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pivotCache/pivotCacheRecords2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2.xml" ContentType="application/vnd.openxmlformats-officedocument.spreadsheetml.pivotTable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omments/comment1.xml" ContentType="application/vnd.openxmlformats-officedocument.spreadsheetml.comment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69" firstSheet="3" activeTab="4" autoFilterDateGrouping="1"/>
  </bookViews>
  <sheets>
    <sheet name="혜림님-노션(확인용)" sheetId="1" state="hidden" r:id="rId1"/>
    <sheet name="Sheet1" sheetId="2" state="visible" r:id="rId2"/>
    <sheet name="월실적(선형)" sheetId="3" state="visible" r:id="rId3"/>
    <sheet name="광고비" sheetId="4" state="visible" r:id="rId4"/>
    <sheet name="제품별 매출" sheetId="5" state="visible" r:id="rId5"/>
    <sheet name="매칭테이블" sheetId="6" state="visible" r:id="rId6"/>
    <sheet name="RD" sheetId="7" state="visible" r:id="rId7"/>
    <sheet name="Sheet4" sheetId="8" state="visible" r:id="rId8"/>
    <sheet name="Sheet2" sheetId="9" state="visible" r:id="rId9"/>
    <sheet name="제품별 매출-화윤" sheetId="10" state="visible" r:id="rId10"/>
  </sheets>
  <definedNames>
    <definedName name="NativeTimeline_일자">#N/A</definedName>
    <definedName name="NativeTimeline_일자1">#N/A</definedName>
    <definedName name="_xlnm._FilterDatabase" localSheetId="5" hidden="1">'매칭테이블'!$B$1:$K$780</definedName>
    <definedName name="_xlnm._FilterDatabase" localSheetId="6" hidden="1">'RD'!$A$1:$Q$3052</definedName>
    <definedName name="_xlnm._FilterDatabase" localSheetId="8" hidden="1">'Sheet2'!$B$12:$G$44</definedName>
  </definedNames>
  <calcPr calcId="181029" fullCalcOnLoad="1"/>
  <pivotCaches>
    <pivotCache cacheId="45" r:id="rId11"/>
    <pivotCache cacheId="46" r:id="rId12"/>
  </pivotCaches>
</workbook>
</file>

<file path=xl/styles.xml><?xml version="1.0" encoding="utf-8"?>
<styleSheet xmlns="http://schemas.openxmlformats.org/spreadsheetml/2006/main">
  <numFmts count="16">
    <numFmt numFmtId="164" formatCode="_-* #,##0_-;\-* #,##0_-;_-* &quot;-&quot;_-;_-@_-"/>
    <numFmt numFmtId="165" formatCode="mm&quot;월&quot;\ dd&quot;일&quot;"/>
    <numFmt numFmtId="166" formatCode="_-&quot;₩&quot;* #,##0.00_-;\-&quot;₩&quot;* #,##0.00_-;_-&quot;₩&quot;* &quot;-&quot;??_-;_-@_-"/>
    <numFmt numFmtId="167" formatCode="[$Rp-3809]#,##0_);[Red]\([$Rp-3809]#,##0\)"/>
    <numFmt numFmtId="168" formatCode="0.0%"/>
    <numFmt numFmtId="169" formatCode="\$#,##0_);[Red]\(\$#,##0\)"/>
    <numFmt numFmtId="170" formatCode="#,##0\ [$₫-42A]"/>
    <numFmt numFmtId="171" formatCode="\$#,##0.0_);[Red]\(\$#,##0.0\)"/>
    <numFmt numFmtId="172" formatCode="_-&quot;₩&quot;* #,##0.0_-;\-&quot;₩&quot;* #,##0.0_-;_-&quot;₩&quot;* &quot;-&quot;?_-;_-@_-"/>
    <numFmt numFmtId="173" formatCode="yyyy\-mm\-dd"/>
    <numFmt numFmtId="174" formatCode="m&quot;월&quot;\ d&quot;일&quot;;@"/>
    <numFmt numFmtId="175" formatCode="0_ "/>
    <numFmt numFmtId="176" formatCode="#,##0_ ;[Red]\-#,##0\ "/>
    <numFmt numFmtId="177" formatCode="&quot;₩&quot;#,##0.00;&quot;₩&quot;\-#,##0.00"/>
    <numFmt numFmtId="178" formatCode="_(&quot;₩&quot;* #,##0_);_(&quot;₩&quot;* \(#,##0\);_(&quot;₩&quot;* &quot;-&quot;_);_(@_)"/>
    <numFmt numFmtId="179" formatCode="[$-F800]dddd\,\ mmmm\ dd\,\ yyyy"/>
  </numFmts>
  <fonts count="74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color rgb="FFFF0000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3"/>
      <b val="1"/>
      <color rgb="FFFF0000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indexed="8"/>
      <sz val="11"/>
    </font>
    <font>
      <name val="바탕체"/>
      <charset val="129"/>
      <family val="1"/>
      <sz val="12"/>
    </font>
    <font>
      <name val="굴림체"/>
      <charset val="129"/>
      <family val="3"/>
      <sz val="10"/>
    </font>
    <font>
      <name val="돋움"/>
      <charset val="129"/>
      <family val="3"/>
      <sz val="11"/>
    </font>
    <font>
      <name val="Times New Roman"/>
      <family val="1"/>
      <sz val="12"/>
    </font>
    <font>
      <name val="맑은 고딕"/>
      <charset val="129"/>
      <family val="3"/>
      <color indexed="9"/>
      <sz val="11"/>
    </font>
    <font>
      <name val="ⓒoUAAA¨u"/>
      <charset val="129"/>
      <family val="1"/>
      <sz val="12"/>
    </font>
    <font>
      <name val="￥i￠￢￠?o"/>
      <charset val="129"/>
      <family val="3"/>
      <sz val="11"/>
    </font>
    <font>
      <name val="¹UAAA¼"/>
      <charset val="129"/>
      <family val="3"/>
      <sz val="12"/>
    </font>
    <font>
      <name val="System"/>
      <charset val="129"/>
      <family val="2"/>
      <sz val="12"/>
    </font>
    <font>
      <name val="Arial"/>
      <family val="2"/>
      <sz val="10"/>
    </font>
    <font>
      <name val="Arial"/>
      <family val="2"/>
      <b val="1"/>
      <sz val="12"/>
    </font>
    <font>
      <name val="Arial"/>
      <family val="2"/>
      <b val="1"/>
      <sz val="18"/>
    </font>
    <font>
      <name val="Helv"/>
      <family val="2"/>
      <b val="1"/>
      <sz val="11"/>
    </font>
    <font>
      <name val="맑은 고딕"/>
      <charset val="129"/>
      <family val="3"/>
      <color indexed="10"/>
      <sz val="11"/>
    </font>
    <font>
      <name val="맑은 고딕"/>
      <charset val="129"/>
      <family val="3"/>
      <b val="1"/>
      <color indexed="52"/>
      <sz val="11"/>
    </font>
    <font>
      <name val="맑은 고딕"/>
      <charset val="129"/>
      <family val="3"/>
      <color indexed="20"/>
      <sz val="11"/>
    </font>
    <font>
      <name val="뼻뮝"/>
      <charset val="129"/>
      <family val="3"/>
      <sz val="14"/>
    </font>
    <font>
      <name val="굴림체"/>
      <charset val="129"/>
      <family val="3"/>
      <sz val="11"/>
    </font>
    <font>
      <name val="맑은 고딕"/>
      <charset val="129"/>
      <family val="3"/>
      <color indexed="60"/>
      <sz val="11"/>
    </font>
    <font>
      <name val="뼻뮝"/>
      <charset val="129"/>
      <family val="3"/>
      <sz val="12"/>
    </font>
    <font>
      <name val="맑은 고딕"/>
      <charset val="129"/>
      <family val="3"/>
      <i val="1"/>
      <color indexed="23"/>
      <sz val="11"/>
    </font>
    <font>
      <name val="맑은 고딕"/>
      <charset val="129"/>
      <family val="3"/>
      <b val="1"/>
      <color indexed="9"/>
      <sz val="11"/>
    </font>
    <font>
      <name val="굴림"/>
      <charset val="129"/>
      <family val="3"/>
      <b val="1"/>
      <sz val="9"/>
    </font>
    <font>
      <name val="맑은 고딕"/>
      <charset val="129"/>
      <family val="3"/>
      <color indexed="52"/>
      <sz val="11"/>
    </font>
    <font>
      <name val="맑은 고딕"/>
      <charset val="129"/>
      <family val="3"/>
      <b val="1"/>
      <color indexed="8"/>
      <sz val="11"/>
    </font>
    <font>
      <name val="맑은 고딕"/>
      <charset val="129"/>
      <family val="3"/>
      <color indexed="62"/>
      <sz val="11"/>
    </font>
    <font>
      <name val="맑은 고딕"/>
      <charset val="129"/>
      <family val="3"/>
      <b val="1"/>
      <color indexed="56"/>
      <sz val="15"/>
    </font>
    <font>
      <name val="맑은 고딕"/>
      <charset val="129"/>
      <family val="3"/>
      <b val="1"/>
      <color indexed="56"/>
      <sz val="13"/>
    </font>
    <font>
      <name val="맑은 고딕"/>
      <charset val="129"/>
      <family val="3"/>
      <b val="1"/>
      <color indexed="56"/>
      <sz val="11"/>
    </font>
    <font>
      <name val="맑은 고딕"/>
      <charset val="129"/>
      <family val="3"/>
      <b val="1"/>
      <color indexed="56"/>
      <sz val="18"/>
    </font>
    <font>
      <name val="맑은 고딕"/>
      <charset val="129"/>
      <family val="3"/>
      <color indexed="17"/>
      <sz val="11"/>
    </font>
    <font>
      <name val="맑은 고딕"/>
      <charset val="129"/>
      <family val="3"/>
      <b val="1"/>
      <color indexed="63"/>
      <sz val="11"/>
    </font>
    <font>
      <name val="Arial"/>
      <family val="2"/>
      <color indexed="8"/>
      <sz val="10"/>
    </font>
    <font>
      <name val="굴림체"/>
      <charset val="129"/>
      <family val="3"/>
      <color indexed="8"/>
      <sz val="10"/>
    </font>
    <font>
      <name val="맑은 고딕"/>
      <charset val="129"/>
      <family val="3"/>
      <color theme="0"/>
      <sz val="11"/>
      <scheme val="minor"/>
    </font>
    <font>
      <name val="맑은 고딕"/>
      <charset val="129"/>
      <family val="3"/>
      <b val="1"/>
      <color rgb="FFFA7D00"/>
      <sz val="11"/>
      <scheme val="minor"/>
    </font>
    <font>
      <name val="맑은 고딕"/>
      <charset val="129"/>
      <family val="3"/>
      <color rgb="FF9C0006"/>
      <sz val="11"/>
      <scheme val="minor"/>
    </font>
    <font>
      <name val="굴림체"/>
      <charset val="129"/>
      <family val="3"/>
      <color theme="1"/>
      <sz val="10"/>
    </font>
    <font>
      <name val="맑은 고딕"/>
      <charset val="129"/>
      <family val="3"/>
      <color rgb="FF9C6500"/>
      <sz val="11"/>
      <scheme val="minor"/>
    </font>
    <font>
      <name val="맑은 고딕"/>
      <charset val="129"/>
      <family val="3"/>
      <i val="1"/>
      <color rgb="FF7F7F7F"/>
      <sz val="11"/>
      <scheme val="minor"/>
    </font>
    <font>
      <name val="맑은 고딕"/>
      <charset val="129"/>
      <family val="3"/>
      <b val="1"/>
      <color theme="0"/>
      <sz val="11"/>
      <scheme val="minor"/>
    </font>
    <font>
      <name val="맑은 고딕"/>
      <charset val="129"/>
      <family val="3"/>
      <color theme="1"/>
      <sz val="10"/>
      <scheme val="minor"/>
    </font>
    <font>
      <name val="맑은 고딕"/>
      <charset val="129"/>
      <family val="3"/>
      <color rgb="FFFA7D00"/>
      <sz val="11"/>
      <scheme val="minor"/>
    </font>
    <font>
      <name val="맑은 고딕"/>
      <charset val="129"/>
      <family val="3"/>
      <color rgb="FF3F3F76"/>
      <sz val="11"/>
      <scheme val="minor"/>
    </font>
    <font>
      <name val="맑은 고딕"/>
      <charset val="129"/>
      <family val="3"/>
      <b val="1"/>
      <color theme="3"/>
      <sz val="18"/>
      <scheme val="major"/>
    </font>
    <font>
      <name val="맑은 고딕"/>
      <charset val="129"/>
      <family val="3"/>
      <b val="1"/>
      <color theme="3"/>
      <sz val="15"/>
      <scheme val="minor"/>
    </font>
    <font>
      <name val="맑은 고딕"/>
      <charset val="129"/>
      <family val="3"/>
      <b val="1"/>
      <color theme="3"/>
      <sz val="13"/>
      <scheme val="minor"/>
    </font>
    <font>
      <name val="맑은 고딕"/>
      <charset val="129"/>
      <family val="3"/>
      <b val="1"/>
      <color theme="3"/>
      <sz val="11"/>
      <scheme val="minor"/>
    </font>
    <font>
      <name val="맑은 고딕"/>
      <charset val="129"/>
      <family val="3"/>
      <color rgb="FF006100"/>
      <sz val="11"/>
      <scheme val="minor"/>
    </font>
    <font>
      <name val="맑은 고딕"/>
      <charset val="129"/>
      <family val="3"/>
      <b val="1"/>
      <color rgb="FF3F3F3F"/>
      <sz val="11"/>
      <scheme val="minor"/>
    </font>
    <font>
      <name val="나눔고딕"/>
      <charset val="129"/>
      <family val="3"/>
      <color theme="1"/>
      <sz val="11"/>
    </font>
    <font>
      <name val="돋움"/>
      <charset val="129"/>
      <family val="3"/>
      <color rgb="FF000000"/>
      <sz val="11"/>
    </font>
    <font>
      <name val="맑은 고딕"/>
      <charset val="129"/>
      <family val="3"/>
      <color indexed="8"/>
      <sz val="11"/>
      <scheme val="minor"/>
    </font>
    <font>
      <name val="나눔고딕"/>
      <charset val="129"/>
      <family val="3"/>
      <color theme="10"/>
      <sz val="11"/>
      <u val="single"/>
    </font>
    <font>
      <name val="맑은 고딕"/>
      <charset val="129"/>
      <family val="2"/>
      <color theme="1"/>
      <sz val="10"/>
      <scheme val="minor"/>
    </font>
    <font>
      <name val="맑은 고딕"/>
      <charset val="129"/>
      <family val="3"/>
      <sz val="11"/>
      <scheme val="minor"/>
    </font>
    <font>
      <name val="맑은 고딕"/>
      <charset val="129"/>
      <family val="3"/>
      <color theme="1"/>
      <sz val="11"/>
      <scheme val="major"/>
    </font>
    <font>
      <name val="맑은 고딕"/>
      <charset val="129"/>
      <family val="2"/>
      <color theme="1"/>
      <sz val="11"/>
      <scheme val="major"/>
    </font>
    <font>
      <name val="맑은 고딕"/>
      <charset val="129"/>
      <family val="3"/>
      <color rgb="FF000000"/>
      <sz val="11"/>
    </font>
    <font>
      <name val="Arial"/>
      <family val="2"/>
      <color rgb="FF333333"/>
      <sz val="11"/>
    </font>
    <font>
      <name val="Arial"/>
      <family val="2"/>
      <color rgb="FF202124"/>
      <sz val="9"/>
    </font>
    <font>
      <name val="맑은 고딕"/>
      <charset val="129"/>
      <family val="3"/>
      <color rgb="FF000000"/>
      <sz val="11"/>
      <scheme val="minor"/>
    </font>
    <font>
      <name val="Verdana"/>
      <family val="2"/>
      <sz val="10"/>
    </font>
    <font>
      <name val="돋움"/>
      <charset val="129"/>
      <family val="3"/>
      <sz val="10"/>
    </font>
    <font>
      <name val="Verdana"/>
      <charset val="129"/>
      <family val="3"/>
      <sz val="10"/>
    </font>
    <font>
      <name val="Verdana"/>
      <family val="2"/>
      <sz val="11"/>
    </font>
  </fonts>
  <fills count="70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1" tint="0.0499893185216834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2926">
    <xf numFmtId="0" fontId="3" fillId="0" borderId="0" applyAlignment="1">
      <alignment vertical="center"/>
    </xf>
    <xf numFmtId="41" fontId="3" fillId="0" borderId="0" applyAlignment="1">
      <alignment vertical="center"/>
    </xf>
    <xf numFmtId="0" fontId="4" fillId="0" borderId="0" applyAlignment="1">
      <alignment vertical="center"/>
    </xf>
    <xf numFmtId="0" fontId="8" fillId="0" borderId="0"/>
    <xf numFmtId="0" fontId="8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1" fillId="0" borderId="0"/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4" fillId="12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7" fillId="35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2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4" fillId="1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7" fillId="3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16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4" fillId="20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7" fillId="37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0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4" fillId="24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4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4" fillId="28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7" fillId="39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28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4" fillId="32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7" fillId="40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32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4" fillId="13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3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4" fillId="17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7" fillId="42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17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4" fillId="21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7" fillId="43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1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4" fillId="25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7" fillId="38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5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4" fillId="29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7" fillId="41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29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4" fillId="33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7" fillId="44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" fillId="33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12" fillId="45" borderId="0" applyAlignment="1">
      <alignment vertical="center"/>
    </xf>
    <xf numFmtId="0" fontId="12" fillId="45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4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12" fillId="42" borderId="0" applyAlignment="1">
      <alignment vertical="center"/>
    </xf>
    <xf numFmtId="0" fontId="12" fillId="42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18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12" fillId="43" borderId="0" applyAlignment="1">
      <alignment vertical="center"/>
    </xf>
    <xf numFmtId="0" fontId="12" fillId="43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2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12" fillId="46" borderId="0" applyAlignment="1">
      <alignment vertical="center"/>
    </xf>
    <xf numFmtId="0" fontId="12" fillId="4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26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12" fillId="47" borderId="0" applyAlignment="1">
      <alignment vertical="center"/>
    </xf>
    <xf numFmtId="0" fontId="12" fillId="47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0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12" fillId="48" borderId="0" applyAlignment="1">
      <alignment vertical="center"/>
    </xf>
    <xf numFmtId="0" fontId="12" fillId="48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42" fillId="34" borderId="0" applyAlignment="1">
      <alignment vertical="center"/>
    </xf>
    <xf numFmtId="0" fontId="13" fillId="0" borderId="0"/>
    <xf numFmtId="0" fontId="14" fillId="0" borderId="0"/>
    <xf numFmtId="0" fontId="15" fillId="0" borderId="0"/>
    <xf numFmtId="0" fontId="15" fillId="0" borderId="0"/>
    <xf numFmtId="0" fontId="13" fillId="0" borderId="0"/>
    <xf numFmtId="0" fontId="13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7" fillId="0" borderId="0"/>
    <xf numFmtId="0" fontId="17" fillId="0" borderId="0"/>
    <xf numFmtId="3" fontId="17" fillId="0" borderId="0"/>
    <xf numFmtId="0" fontId="9" fillId="0" borderId="0"/>
    <xf numFmtId="0" fontId="17" fillId="0" borderId="0"/>
    <xf numFmtId="0" fontId="17" fillId="0" borderId="0"/>
    <xf numFmtId="177" fontId="10" fillId="0" borderId="0"/>
    <xf numFmtId="0" fontId="17" fillId="0" borderId="0"/>
    <xf numFmtId="2" fontId="17" fillId="0" borderId="0"/>
    <xf numFmtId="0" fontId="18" fillId="0" borderId="10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8" fillId="0" borderId="11" applyAlignment="1">
      <alignment horizontal="left" vertical="center"/>
    </xf>
    <xf numFmtId="0" fontId="19" fillId="0" borderId="0"/>
    <xf numFmtId="0" fontId="18" fillId="0" borderId="0"/>
    <xf numFmtId="0" fontId="17" fillId="0" borderId="0"/>
    <xf numFmtId="10" fontId="17" fillId="0" borderId="0"/>
    <xf numFmtId="0" fontId="20" fillId="0" borderId="0"/>
    <xf numFmtId="0" fontId="17" fillId="0" borderId="12"/>
    <xf numFmtId="0" fontId="17" fillId="0" borderId="12"/>
    <xf numFmtId="0" fontId="17" fillId="0" borderId="12"/>
    <xf numFmtId="0" fontId="17" fillId="0" borderId="12"/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12" fillId="49" borderId="0" applyAlignment="1">
      <alignment vertical="center"/>
    </xf>
    <xf numFmtId="0" fontId="12" fillId="49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1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12" fillId="50" borderId="0" applyAlignment="1">
      <alignment vertical="center"/>
    </xf>
    <xf numFmtId="0" fontId="12" fillId="50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5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12" fillId="51" borderId="0" applyAlignment="1">
      <alignment vertical="center"/>
    </xf>
    <xf numFmtId="0" fontId="12" fillId="51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19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12" fillId="46" borderId="0" applyAlignment="1">
      <alignment vertical="center"/>
    </xf>
    <xf numFmtId="0" fontId="12" fillId="46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3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12" fillId="47" borderId="0" applyAlignment="1">
      <alignment vertical="center"/>
    </xf>
    <xf numFmtId="0" fontId="12" fillId="4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27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12" fillId="52" borderId="0" applyAlignment="1">
      <alignment vertical="center"/>
    </xf>
    <xf numFmtId="0" fontId="12" fillId="52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42" fillId="31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1" fillId="0" borderId="0" applyAlignment="1">
      <alignment vertical="center"/>
    </xf>
    <xf numFmtId="0" fontId="21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2" fillId="0" borderId="0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22" fillId="53" borderId="13" applyAlignment="1">
      <alignment vertical="center"/>
    </xf>
    <xf numFmtId="0" fontId="22" fillId="53" borderId="13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3" fillId="8" borderId="4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23" fillId="36" borderId="0" applyAlignment="1">
      <alignment vertical="center"/>
    </xf>
    <xf numFmtId="0" fontId="23" fillId="36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0" fontId="44" fillId="5" borderId="0" applyAlignment="1">
      <alignment vertical="center"/>
    </xf>
    <xf numFmtId="40" fontId="24" fillId="0" borderId="0"/>
    <xf numFmtId="38" fontId="24" fillId="0" borderId="0"/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4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25" fillId="54" borderId="14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7" fillId="10" borderId="8" applyAlignment="1">
      <alignment vertical="center"/>
    </xf>
    <xf numFmtId="0" fontId="24" fillId="0" borderId="0"/>
    <xf numFmtId="0" fontId="24" fillId="0" borderId="0"/>
    <xf numFmtId="9" fontId="45" fillId="0" borderId="0" applyAlignment="1">
      <alignment vertical="center"/>
    </xf>
    <xf numFmtId="9" fontId="4" fillId="0" borderId="0" applyAlignment="1">
      <alignment vertical="center"/>
    </xf>
    <xf numFmtId="9" fontId="7" fillId="0" borderId="0" applyAlignment="1">
      <alignment vertical="center"/>
    </xf>
    <xf numFmtId="9" fontId="10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7" fillId="0" borderId="0" applyAlignment="1">
      <alignment vertical="center"/>
    </xf>
    <xf numFmtId="9" fontId="45" fillId="0" borderId="0" applyAlignment="1">
      <alignment vertical="center"/>
    </xf>
    <xf numFmtId="9" fontId="41" fillId="0" borderId="0" applyAlignment="1">
      <alignment vertical="center"/>
    </xf>
    <xf numFmtId="9" fontId="4" fillId="0" borderId="0" applyAlignment="1">
      <alignment vertical="center"/>
    </xf>
    <xf numFmtId="9" fontId="7" fillId="0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26" fillId="55" borderId="0" applyAlignment="1">
      <alignment vertical="center"/>
    </xf>
    <xf numFmtId="0" fontId="26" fillId="55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46" fillId="6" borderId="0" applyAlignment="1">
      <alignment vertical="center"/>
    </xf>
    <xf numFmtId="0" fontId="27" fillId="0" borderId="0"/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28" fillId="0" borderId="0" applyAlignment="1">
      <alignment vertical="center"/>
    </xf>
    <xf numFmtId="0" fontId="28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7" fillId="0" borderId="0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48" fillId="9" borderId="7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48" fillId="9" borderId="7" applyAlignment="1">
      <alignment vertical="center"/>
    </xf>
    <xf numFmtId="0" fontId="29" fillId="56" borderId="15" applyAlignment="1">
      <alignment vertical="center"/>
    </xf>
    <xf numFmtId="0" fontId="29" fillId="56" borderId="15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0" fontId="48" fillId="9" borderId="7" applyAlignment="1">
      <alignment vertical="center"/>
    </xf>
    <xf numFmtId="41" fontId="17" fillId="0" borderId="0"/>
    <xf numFmtId="41" fontId="30" fillId="0" borderId="0" applyProtection="1">
      <protection locked="0" hidden="0"/>
    </xf>
    <xf numFmtId="41" fontId="30" fillId="0" borderId="0" applyProtection="1">
      <protection locked="0" hidden="0"/>
    </xf>
    <xf numFmtId="41" fontId="4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4" fillId="0" borderId="0" applyAlignment="1">
      <alignment vertical="center"/>
    </xf>
    <xf numFmtId="41" fontId="10" fillId="0" borderId="0" applyAlignment="1">
      <alignment vertical="center"/>
    </xf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49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7" fillId="0" borderId="0" applyAlignment="1">
      <alignment vertical="center"/>
    </xf>
    <xf numFmtId="41" fontId="25" fillId="0" borderId="0" applyAlignment="1">
      <alignment vertical="center"/>
    </xf>
    <xf numFmtId="41" fontId="7" fillId="0" borderId="0" applyAlignment="1">
      <alignment vertical="center"/>
    </xf>
    <xf numFmtId="41" fontId="4" fillId="0" borderId="0" applyAlignment="1">
      <alignment vertical="center"/>
    </xf>
    <xf numFmtId="41" fontId="7" fillId="0" borderId="0" applyAlignment="1">
      <alignment vertical="center"/>
    </xf>
    <xf numFmtId="41" fontId="45" fillId="0" borderId="0" applyAlignment="1">
      <alignment vertical="center"/>
    </xf>
    <xf numFmtId="41" fontId="45" fillId="0" borderId="0" applyAlignment="1">
      <alignment vertical="center"/>
    </xf>
    <xf numFmtId="41" fontId="41" fillId="0" borderId="0" applyAlignment="1">
      <alignment vertical="center"/>
    </xf>
    <xf numFmtId="41" fontId="10" fillId="0" borderId="0"/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4" fillId="0" borderId="0" applyAlignment="1">
      <alignment vertical="center"/>
    </xf>
    <xf numFmtId="41" fontId="7" fillId="0" borderId="0" applyAlignment="1">
      <alignment vertical="center"/>
    </xf>
    <xf numFmtId="41" fontId="45" fillId="0" borderId="0" applyAlignment="1">
      <alignment vertical="center"/>
    </xf>
    <xf numFmtId="41" fontId="7" fillId="0" borderId="0" applyAlignment="1">
      <alignment vertical="center"/>
    </xf>
    <xf numFmtId="41" fontId="17" fillId="0" borderId="0"/>
    <xf numFmtId="0" fontId="10" fillId="0" borderId="0"/>
    <xf numFmtId="0" fontId="10" fillId="0" borderId="0"/>
    <xf numFmtId="0" fontId="9" fillId="0" borderId="0"/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31" fillId="0" borderId="16" applyAlignment="1">
      <alignment vertical="center"/>
    </xf>
    <xf numFmtId="0" fontId="31" fillId="0" borderId="1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50" fillId="0" borderId="6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32" fillId="0" borderId="17" applyAlignment="1">
      <alignment vertical="center"/>
    </xf>
    <xf numFmtId="0" fontId="32" fillId="0" borderId="17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6" fillId="0" borderId="9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33" fillId="40" borderId="13" applyAlignment="1">
      <alignment vertical="center"/>
    </xf>
    <xf numFmtId="0" fontId="33" fillId="40" borderId="13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1" fillId="7" borderId="4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34" fillId="0" borderId="18" applyAlignment="1">
      <alignment vertical="center"/>
    </xf>
    <xf numFmtId="0" fontId="34" fillId="0" borderId="18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3" fillId="0" borderId="1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35" fillId="0" borderId="19" applyAlignment="1">
      <alignment vertical="center"/>
    </xf>
    <xf numFmtId="0" fontId="35" fillId="0" borderId="19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4" fillId="0" borderId="2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36" fillId="0" borderId="20" applyAlignment="1">
      <alignment vertical="center"/>
    </xf>
    <xf numFmtId="0" fontId="36" fillId="0" borderId="20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3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36" fillId="0" borderId="0" applyAlignment="1">
      <alignment vertical="center"/>
    </xf>
    <xf numFmtId="0" fontId="36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5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37" fillId="0" borderId="0" applyAlignment="1">
      <alignment vertical="center"/>
    </xf>
    <xf numFmtId="0" fontId="37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2" fillId="0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38" fillId="37" borderId="0" applyAlignment="1">
      <alignment vertical="center"/>
    </xf>
    <xf numFmtId="0" fontId="38" fillId="37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6" fillId="4" borderId="0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39" fillId="53" borderId="21" applyAlignment="1">
      <alignment vertical="center"/>
    </xf>
    <xf numFmtId="0" fontId="39" fillId="53" borderId="21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57" fillId="8" borderId="5" applyAlignment="1">
      <alignment vertical="center"/>
    </xf>
    <xf numFmtId="0" fontId="8" fillId="0" borderId="0"/>
    <xf numFmtId="0" fontId="8" fillId="0" borderId="0"/>
    <xf numFmtId="178" fontId="4" fillId="0" borderId="0" applyAlignment="1">
      <alignment vertical="center"/>
    </xf>
    <xf numFmtId="178" fontId="10" fillId="0" borderId="0" applyAlignment="1">
      <alignment vertical="center"/>
    </xf>
    <xf numFmtId="178" fontId="30" fillId="0" borderId="0" applyProtection="1">
      <protection locked="0" hidden="0"/>
    </xf>
    <xf numFmtId="178" fontId="10" fillId="0" borderId="0" applyAlignment="1">
      <alignment vertical="center"/>
    </xf>
    <xf numFmtId="178" fontId="49" fillId="0" borderId="0" applyAlignment="1">
      <alignment vertical="center"/>
    </xf>
    <xf numFmtId="178" fontId="30" fillId="0" borderId="0" applyProtection="1">
      <protection locked="0" hidden="0"/>
    </xf>
    <xf numFmtId="178" fontId="30" fillId="0" borderId="0" applyProtection="1">
      <protection locked="0" hidden="0"/>
    </xf>
    <xf numFmtId="0" fontId="17" fillId="0" borderId="0"/>
    <xf numFmtId="0" fontId="4" fillId="0" borderId="0" applyAlignment="1">
      <alignment vertical="center"/>
    </xf>
    <xf numFmtId="0" fontId="10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7" fillId="0" borderId="0" applyAlignment="1">
      <alignment vertical="center"/>
    </xf>
    <xf numFmtId="0" fontId="17" fillId="0" borderId="0"/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7" fillId="0" borderId="0"/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30" fillId="0" borderId="0" applyProtection="1">
      <protection locked="0" hidden="0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17" fillId="0" borderId="0"/>
    <xf numFmtId="179" fontId="4" fillId="0" borderId="0" applyAlignment="1">
      <alignment vertical="center"/>
    </xf>
    <xf numFmtId="179" fontId="4" fillId="0" borderId="0" applyAlignment="1">
      <alignment vertical="center"/>
    </xf>
    <xf numFmtId="0" fontId="17" fillId="0" borderId="0"/>
    <xf numFmtId="0" fontId="45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 applyProtection="1">
      <protection locked="0" hidden="0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0" fillId="0" borderId="0"/>
    <xf numFmtId="0" fontId="10" fillId="0" borderId="0" applyAlignment="1">
      <alignment vertical="center"/>
    </xf>
    <xf numFmtId="0" fontId="7" fillId="0" borderId="0" applyAlignment="1">
      <alignment vertical="center"/>
    </xf>
    <xf numFmtId="0" fontId="40" fillId="0" borderId="0"/>
    <xf numFmtId="0" fontId="7" fillId="0" borderId="0" applyAlignment="1">
      <alignment vertical="center"/>
    </xf>
    <xf numFmtId="0" fontId="7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40" fillId="0" borderId="0"/>
    <xf numFmtId="0" fontId="10" fillId="0" borderId="0" applyAlignment="1">
      <alignment vertical="center"/>
    </xf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45" fillId="0" borderId="0" applyAlignment="1">
      <alignment vertical="center"/>
    </xf>
    <xf numFmtId="0" fontId="17" fillId="0" borderId="0"/>
    <xf numFmtId="0" fontId="58" fillId="0" borderId="0" applyAlignment="1">
      <alignment vertical="center"/>
    </xf>
    <xf numFmtId="0" fontId="4" fillId="0" borderId="0" applyAlignment="1">
      <alignment vertical="center"/>
    </xf>
    <xf numFmtId="0" fontId="7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7" fillId="0" borderId="0"/>
    <xf numFmtId="0" fontId="4" fillId="0" borderId="0" applyAlignment="1">
      <alignment vertical="center"/>
    </xf>
    <xf numFmtId="0" fontId="45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4" fillId="0" borderId="0" applyAlignment="1">
      <alignment vertical="center"/>
    </xf>
    <xf numFmtId="0" fontId="40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59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179" fontId="4" fillId="0" borderId="0" applyAlignment="1">
      <alignment vertical="center"/>
    </xf>
    <xf numFmtId="0" fontId="4" fillId="0" borderId="0" applyAlignment="1">
      <alignment vertical="center"/>
    </xf>
    <xf numFmtId="0" fontId="30" fillId="0" borderId="0" applyProtection="1">
      <protection locked="0" hidden="0"/>
    </xf>
    <xf numFmtId="0" fontId="17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60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9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10" fillId="0" borderId="0" applyAlignment="1">
      <alignment vertical="center"/>
    </xf>
    <xf numFmtId="0" fontId="4" fillId="0" borderId="0" applyAlignment="1">
      <alignment vertical="center"/>
    </xf>
    <xf numFmtId="0" fontId="17" fillId="0" borderId="0" applyProtection="1">
      <protection locked="0" hidden="0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" fillId="0" borderId="0" applyAlignment="1">
      <alignment vertical="center"/>
    </xf>
    <xf numFmtId="0" fontId="40" fillId="0" borderId="0"/>
    <xf numFmtId="0" fontId="4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4" fillId="0" borderId="0" applyAlignment="1">
      <alignment vertical="center"/>
    </xf>
    <xf numFmtId="0" fontId="17" fillId="0" borderId="0"/>
    <xf numFmtId="0" fontId="10" fillId="0" borderId="0"/>
    <xf numFmtId="0" fontId="17" fillId="0" borderId="0"/>
    <xf numFmtId="0" fontId="4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17" fillId="0" borderId="0"/>
    <xf numFmtId="0" fontId="4" fillId="0" borderId="0" applyAlignment="1">
      <alignment vertical="center"/>
    </xf>
    <xf numFmtId="0" fontId="17" fillId="0" borderId="0"/>
    <xf numFmtId="0" fontId="10" fillId="0" borderId="0" applyAlignment="1">
      <alignment vertical="center"/>
    </xf>
    <xf numFmtId="0" fontId="61" fillId="0" borderId="0" applyAlignment="1">
      <alignment vertical="center"/>
    </xf>
  </cellStyleXfs>
  <cellXfs count="153">
    <xf numFmtId="0" fontId="0" fillId="0" borderId="0" applyAlignment="1" pivotButton="0" quotePrefix="0" xfId="0">
      <alignment vertical="center"/>
    </xf>
    <xf numFmtId="0" fontId="0" fillId="0" borderId="0" applyAlignment="1" pivotButton="1" quotePrefix="0" xfId="0">
      <alignment vertical="center"/>
    </xf>
    <xf numFmtId="0" fontId="0" fillId="3" borderId="0" applyAlignment="1" pivotButton="0" quotePrefix="0" xfId="0">
      <alignment vertical="center"/>
    </xf>
    <xf numFmtId="0" fontId="5" fillId="2" borderId="0" applyAlignment="1" pivotButton="0" quotePrefix="0" xfId="0">
      <alignment horizontal="center" vertical="center"/>
    </xf>
    <xf numFmtId="0" fontId="6" fillId="2" borderId="0" applyAlignment="1" pivotButton="0" quotePrefix="0" xfId="0">
      <alignment vertical="center"/>
    </xf>
    <xf numFmtId="49" fontId="4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4" fillId="0" borderId="0" applyAlignment="1" pivotButton="0" quotePrefix="1" xfId="0">
      <alignment vertical="center"/>
    </xf>
    <xf numFmtId="49" fontId="4" fillId="3" borderId="0" applyAlignment="1" pivotButton="0" quotePrefix="0" xfId="0">
      <alignment vertical="center"/>
    </xf>
    <xf numFmtId="0" fontId="4" fillId="3" borderId="0" applyAlignment="1" pivotButton="0" quotePrefix="0" xfId="0">
      <alignment vertical="center"/>
    </xf>
    <xf numFmtId="49" fontId="4" fillId="57" borderId="0" applyAlignment="1" pivotButton="0" quotePrefix="0" xfId="0">
      <alignment vertical="center"/>
    </xf>
    <xf numFmtId="0" fontId="0" fillId="58" borderId="0" applyAlignment="1" pivotButton="0" quotePrefix="0" xfId="0">
      <alignment vertical="center"/>
    </xf>
    <xf numFmtId="49" fontId="4" fillId="58" borderId="0" applyAlignment="1" pivotButton="0" quotePrefix="0" xfId="0">
      <alignment vertical="center"/>
    </xf>
    <xf numFmtId="0" fontId="4" fillId="58" borderId="0" applyAlignment="1" pivotButton="0" quotePrefix="1" xfId="0">
      <alignment vertical="center"/>
    </xf>
    <xf numFmtId="49" fontId="4" fillId="2" borderId="0" applyAlignment="1" pivotButton="0" quotePrefix="0" xfId="0">
      <alignment vertical="center"/>
    </xf>
    <xf numFmtId="0" fontId="4" fillId="2" borderId="0" applyAlignment="1" pivotButton="0" quotePrefix="1" xfId="0">
      <alignment vertical="center"/>
    </xf>
    <xf numFmtId="14" fontId="0" fillId="0" borderId="0" applyAlignment="1" pivotButton="0" quotePrefix="0" xfId="0">
      <alignment horizontal="left" vertical="center"/>
    </xf>
    <xf numFmtId="0" fontId="4" fillId="3" borderId="0" applyAlignment="1" pivotButton="0" quotePrefix="0" xfId="0">
      <alignment horizontal="center" vertical="center"/>
    </xf>
    <xf numFmtId="0" fontId="4" fillId="57" borderId="0" applyAlignment="1" pivotButton="0" quotePrefix="0" xfId="0">
      <alignment vertical="center"/>
    </xf>
    <xf numFmtId="0" fontId="62" fillId="0" borderId="0" applyAlignment="1" pivotButton="0" quotePrefix="0" xfId="0">
      <alignment vertical="center"/>
    </xf>
    <xf numFmtId="0" fontId="4" fillId="60" borderId="0" applyAlignment="1" pivotButton="0" quotePrefix="0" xfId="0">
      <alignment horizontal="left" vertical="center"/>
    </xf>
    <xf numFmtId="0" fontId="4" fillId="60" borderId="0" applyAlignment="1" pivotButton="0" quotePrefix="1" xfId="2815">
      <alignment vertical="center"/>
    </xf>
    <xf numFmtId="9" fontId="4" fillId="3" borderId="0" applyAlignment="1" pivotButton="0" quotePrefix="0" xfId="0">
      <alignment horizontal="right" vertical="center"/>
    </xf>
    <xf numFmtId="49" fontId="4" fillId="60" borderId="0" applyAlignment="1" pivotButton="0" quotePrefix="0" xfId="0">
      <alignment horizontal="left" vertical="center"/>
    </xf>
    <xf numFmtId="0" fontId="4" fillId="59" borderId="0" applyAlignment="1" pivotButton="0" quotePrefix="0" xfId="0">
      <alignment horizontal="left" vertical="center"/>
    </xf>
    <xf numFmtId="0" fontId="4" fillId="59" borderId="0" applyAlignment="1" pivotButton="0" quotePrefix="1" xfId="2815">
      <alignment vertical="center"/>
    </xf>
    <xf numFmtId="49" fontId="4" fillId="59" borderId="0" applyAlignment="1" pivotButton="0" quotePrefix="0" xfId="0">
      <alignment horizontal="left" vertical="center"/>
    </xf>
    <xf numFmtId="9" fontId="4" fillId="0" borderId="0" applyAlignment="1" pivotButton="0" quotePrefix="0" xfId="0">
      <alignment horizontal="right" vertical="center"/>
    </xf>
    <xf numFmtId="0" fontId="4" fillId="3" borderId="0" applyAlignment="1" pivotButton="0" quotePrefix="1" xfId="0">
      <alignment vertical="center"/>
    </xf>
    <xf numFmtId="0" fontId="2" fillId="3" borderId="0" applyAlignment="1" pivotButton="0" quotePrefix="0" xfId="0">
      <alignment vertical="center"/>
    </xf>
    <xf numFmtId="10" fontId="4" fillId="0" borderId="0" applyAlignment="1" pivotButton="0" quotePrefix="0" xfId="0">
      <alignment horizontal="right" vertical="center"/>
    </xf>
    <xf numFmtId="9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63" fillId="59" borderId="0" applyAlignment="1" pivotButton="0" quotePrefix="0" xfId="2815">
      <alignment vertical="center"/>
    </xf>
    <xf numFmtId="0" fontId="4" fillId="60" borderId="0" applyAlignment="1" pivotButton="0" quotePrefix="0" xfId="2815">
      <alignment vertical="center"/>
    </xf>
    <xf numFmtId="0" fontId="4" fillId="61" borderId="0" applyAlignment="1" pivotButton="0" quotePrefix="0" xfId="2815">
      <alignment vertical="center"/>
    </xf>
    <xf numFmtId="0" fontId="4" fillId="61" borderId="0" applyAlignment="1" pivotButton="0" quotePrefix="0" xfId="0">
      <alignment horizontal="left" vertical="center"/>
    </xf>
    <xf numFmtId="49" fontId="4" fillId="61" borderId="0" applyAlignment="1" pivotButton="0" quotePrefix="0" xfId="0">
      <alignment horizontal="left" vertical="center"/>
    </xf>
    <xf numFmtId="0" fontId="63" fillId="61" borderId="0" applyAlignment="1" pivotButton="0" quotePrefix="0" xfId="2815">
      <alignment vertical="center"/>
    </xf>
    <xf numFmtId="0" fontId="63" fillId="60" borderId="0" applyAlignment="1" pivotButton="0" quotePrefix="0" xfId="2815">
      <alignment vertical="center"/>
    </xf>
    <xf numFmtId="0" fontId="4" fillId="63" borderId="22" applyAlignment="1" pivotButton="0" quotePrefix="0" xfId="0">
      <alignment vertical="center"/>
    </xf>
    <xf numFmtId="0" fontId="4" fillId="63" borderId="22" applyAlignment="1" pivotButton="0" quotePrefix="0" xfId="0">
      <alignment horizontal="right" vertical="center"/>
    </xf>
    <xf numFmtId="0" fontId="4" fillId="63" borderId="22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4" fillId="59" borderId="0" applyAlignment="1" pivotButton="0" quotePrefix="0" xfId="2815">
      <alignment vertical="center"/>
    </xf>
    <xf numFmtId="0" fontId="64" fillId="0" borderId="0" applyAlignment="1" pivotButton="0" quotePrefix="0" xfId="0">
      <alignment horizontal="center"/>
    </xf>
    <xf numFmtId="0" fontId="0" fillId="64" borderId="0" applyAlignment="1" pivotButton="0" quotePrefix="0" xfId="0">
      <alignment vertical="center"/>
    </xf>
    <xf numFmtId="0" fontId="4" fillId="64" borderId="0" applyAlignment="1" pivotButton="0" quotePrefix="1" xfId="0">
      <alignment vertical="center"/>
    </xf>
    <xf numFmtId="0" fontId="4" fillId="64" borderId="0" applyAlignment="1" pivotButton="0" quotePrefix="0" xfId="0">
      <alignment vertical="center"/>
    </xf>
    <xf numFmtId="0" fontId="4" fillId="0" borderId="12" applyAlignment="1" pivotButton="0" quotePrefix="0" xfId="0">
      <alignment vertical="center"/>
    </xf>
    <xf numFmtId="10" fontId="4" fillId="0" borderId="12" applyAlignment="1" pivotButton="0" quotePrefix="0" xfId="0">
      <alignment horizontal="right" vertical="center"/>
    </xf>
    <xf numFmtId="0" fontId="4" fillId="0" borderId="12" applyAlignment="1" pivotButton="0" quotePrefix="0" xfId="0">
      <alignment horizontal="center" vertical="center"/>
    </xf>
    <xf numFmtId="0" fontId="4" fillId="0" borderId="12" applyAlignment="1" pivotButton="0" quotePrefix="1" xfId="0">
      <alignment vertical="center"/>
    </xf>
    <xf numFmtId="0" fontId="4" fillId="57" borderId="0" applyAlignment="1" pivotButton="0" quotePrefix="1" xfId="0">
      <alignment vertical="center"/>
    </xf>
    <xf numFmtId="10" fontId="4" fillId="57" borderId="0" applyAlignment="1" pivotButton="0" quotePrefix="0" xfId="0">
      <alignment horizontal="right" vertical="center"/>
    </xf>
    <xf numFmtId="0" fontId="64" fillId="57" borderId="0" applyAlignment="1" pivotButton="0" quotePrefix="0" xfId="0">
      <alignment horizontal="center"/>
    </xf>
    <xf numFmtId="0" fontId="4" fillId="57" borderId="0" applyAlignment="1" pivotButton="0" quotePrefix="0" xfId="0">
      <alignment horizontal="center" vertical="center"/>
    </xf>
    <xf numFmtId="0" fontId="0" fillId="57" borderId="0" applyAlignment="1" pivotButton="0" quotePrefix="0" xfId="0">
      <alignment vertical="center"/>
    </xf>
    <xf numFmtId="0" fontId="4" fillId="57" borderId="0" applyAlignment="1" pivotButton="0" quotePrefix="0" xfId="0">
      <alignment vertical="center" wrapText="1"/>
    </xf>
    <xf numFmtId="0" fontId="4" fillId="58" borderId="0" applyAlignment="1" pivotButton="0" quotePrefix="0" xfId="0">
      <alignment vertical="center"/>
    </xf>
    <xf numFmtId="0" fontId="66" fillId="0" borderId="0" applyAlignment="1" pivotButton="0" quotePrefix="0" xfId="0">
      <alignment vertical="center"/>
    </xf>
    <xf numFmtId="0" fontId="4" fillId="2" borderId="0" applyAlignment="1" pivotButton="0" quotePrefix="0" xfId="0">
      <alignment vertical="center"/>
    </xf>
    <xf numFmtId="0" fontId="4" fillId="65" borderId="0" applyAlignment="1" pivotButton="0" quotePrefix="0" xfId="0">
      <alignment vertical="center"/>
    </xf>
    <xf numFmtId="0" fontId="4" fillId="66" borderId="0" applyAlignment="1" pivotButton="0" quotePrefix="0" xfId="0">
      <alignment vertical="center"/>
    </xf>
    <xf numFmtId="49" fontId="4" fillId="66" borderId="0" applyAlignment="1" pivotButton="0" quotePrefix="0" xfId="0">
      <alignment vertical="center"/>
    </xf>
    <xf numFmtId="0" fontId="0" fillId="66" borderId="0" applyAlignment="1" pivotButton="0" quotePrefix="0" xfId="0">
      <alignment vertical="center"/>
    </xf>
    <xf numFmtId="0" fontId="4" fillId="66" borderId="0" applyAlignment="1" pivotButton="0" quotePrefix="0" xfId="0">
      <alignment vertical="center" wrapText="1"/>
    </xf>
    <xf numFmtId="0" fontId="4" fillId="66" borderId="0" applyAlignment="1" pivotButton="0" quotePrefix="1" xfId="0">
      <alignment vertical="center"/>
    </xf>
    <xf numFmtId="10" fontId="4" fillId="66" borderId="0" applyAlignment="1" pivotButton="0" quotePrefix="0" xfId="0">
      <alignment horizontal="right" vertical="center"/>
    </xf>
    <xf numFmtId="0" fontId="4" fillId="66" borderId="0" applyAlignment="1" pivotButton="0" quotePrefix="0" xfId="0">
      <alignment horizontal="center" vertical="center"/>
    </xf>
    <xf numFmtId="3" fontId="67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 wrapText="1"/>
    </xf>
    <xf numFmtId="0" fontId="2" fillId="2" borderId="0" applyAlignment="1" pivotButton="0" quotePrefix="0" xfId="0">
      <alignment vertical="center"/>
    </xf>
    <xf numFmtId="3" fontId="68" fillId="0" borderId="0" applyAlignment="1" pivotButton="0" quotePrefix="0" xfId="0">
      <alignment vertical="center"/>
    </xf>
    <xf numFmtId="0" fontId="69" fillId="0" borderId="0" applyAlignment="1" pivotButton="0" quotePrefix="0" xfId="0">
      <alignment vertical="center"/>
    </xf>
    <xf numFmtId="0" fontId="0" fillId="67" borderId="0" applyAlignment="1" pivotButton="0" quotePrefix="0" xfId="0">
      <alignment vertical="center"/>
    </xf>
    <xf numFmtId="49" fontId="4" fillId="68" borderId="0" applyAlignment="1" pivotButton="0" quotePrefix="0" xfId="0">
      <alignment vertical="center"/>
    </xf>
    <xf numFmtId="0" fontId="4" fillId="68" borderId="0" applyAlignment="1" pivotButton="0" quotePrefix="0" xfId="0">
      <alignment vertical="center"/>
    </xf>
    <xf numFmtId="0" fontId="0" fillId="68" borderId="0" applyAlignment="1" pivotButton="0" quotePrefix="0" xfId="0">
      <alignment vertical="center"/>
    </xf>
    <xf numFmtId="9" fontId="4" fillId="68" borderId="0" applyAlignment="1" pivotButton="0" quotePrefix="0" xfId="0">
      <alignment horizontal="right" vertical="center"/>
    </xf>
    <xf numFmtId="0" fontId="42" fillId="69" borderId="0" applyAlignment="1" pivotButton="0" quotePrefix="0" xfId="0">
      <alignment vertical="center"/>
    </xf>
    <xf numFmtId="0" fontId="42" fillId="69" borderId="0" applyAlignment="1" pivotButton="0" quotePrefix="0" xfId="0">
      <alignment horizontal="right" vertical="center"/>
    </xf>
    <xf numFmtId="0" fontId="42" fillId="69" borderId="0" applyAlignment="1" pivotButton="0" quotePrefix="0" xfId="0">
      <alignment horizontal="center" vertical="center"/>
    </xf>
    <xf numFmtId="0" fontId="48" fillId="69" borderId="0" applyAlignment="1" pivotButton="0" quotePrefix="0" xfId="0">
      <alignment vertical="center"/>
    </xf>
    <xf numFmtId="0" fontId="7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left" vertical="center" indent="1"/>
    </xf>
    <xf numFmtId="0" fontId="4" fillId="0" borderId="0" applyAlignment="1" pivotButton="0" quotePrefix="0" xfId="0">
      <alignment horizontal="right" vertical="center"/>
    </xf>
    <xf numFmtId="0" fontId="4" fillId="0" borderId="0" applyAlignment="1" pivotButton="0" quotePrefix="0" xfId="0">
      <alignment horizontal="center" vertical="center"/>
    </xf>
    <xf numFmtId="0" fontId="0" fillId="60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70" fillId="0" borderId="0" applyAlignment="1" pivotButton="0" quotePrefix="0" xfId="0">
      <alignment horizontal="left"/>
    </xf>
    <xf numFmtId="0" fontId="0" fillId="2" borderId="0" applyAlignment="1" pivotButton="0" quotePrefix="0" xfId="0">
      <alignment vertical="center"/>
    </xf>
    <xf numFmtId="0" fontId="0" fillId="0" borderId="0" applyAlignment="1" pivotButton="0" quotePrefix="1" xfId="0">
      <alignment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0" fontId="71" fillId="0" borderId="0" applyAlignment="1" pivotButton="0" quotePrefix="0" xfId="0">
      <alignment horizontal="left"/>
    </xf>
    <xf numFmtId="14" fontId="0" fillId="0" borderId="0" applyAlignment="1" pivotButton="0" quotePrefix="0" xfId="0">
      <alignment vertical="center"/>
    </xf>
    <xf numFmtId="0" fontId="72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left" vertical="center"/>
    </xf>
    <xf numFmtId="0" fontId="73" fillId="0" borderId="0" applyAlignment="1" pivotButton="0" quotePrefix="0" xfId="0">
      <alignment horizontal="left" vertical="center"/>
    </xf>
    <xf numFmtId="0" fontId="10" fillId="0" borderId="0" applyAlignment="1" pivotButton="0" quotePrefix="0" xfId="0">
      <alignment horizontal="left" vertic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vertical="center"/>
    </xf>
    <xf numFmtId="164" fontId="0" fillId="0" borderId="0" applyAlignment="1" pivotButton="0" quotePrefix="0" xfId="1">
      <alignment vertical="center"/>
    </xf>
    <xf numFmtId="164" fontId="0" fillId="60" borderId="0" applyAlignment="1" pivotButton="0" quotePrefix="0" xfId="0">
      <alignment vertical="center"/>
    </xf>
    <xf numFmtId="166" fontId="0" fillId="0" borderId="0" applyAlignment="1" pivotButton="0" quotePrefix="0" xfId="0">
      <alignment vertical="center"/>
    </xf>
    <xf numFmtId="164" fontId="4" fillId="0" borderId="0" applyAlignment="1" pivotButton="0" quotePrefix="0" xfId="1">
      <alignment horizontal="center"/>
    </xf>
    <xf numFmtId="164" fontId="4" fillId="59" borderId="0" applyAlignment="1" pivotButton="0" quotePrefix="0" xfId="1">
      <alignment horizontal="center"/>
    </xf>
    <xf numFmtId="164" fontId="4" fillId="60" borderId="0" applyAlignment="1" pivotButton="0" quotePrefix="0" xfId="1">
      <alignment horizontal="center"/>
    </xf>
    <xf numFmtId="164" fontId="4" fillId="0" borderId="0" applyAlignment="1" pivotButton="0" quotePrefix="0" xfId="1">
      <alignment vertical="center"/>
    </xf>
    <xf numFmtId="164" fontId="4" fillId="61" borderId="0" applyAlignment="1" pivotButton="0" quotePrefix="0" xfId="1">
      <alignment horizontal="center"/>
    </xf>
    <xf numFmtId="164" fontId="4" fillId="62" borderId="0" applyAlignment="1" pivotButton="0" quotePrefix="0" xfId="1">
      <alignment horizontal="center"/>
    </xf>
    <xf numFmtId="167" fontId="0" fillId="0" borderId="0" applyAlignment="1" pivotButton="0" quotePrefix="0" xfId="0">
      <alignment horizontal="center"/>
    </xf>
    <xf numFmtId="168" fontId="4" fillId="0" borderId="0" applyAlignment="1" pivotButton="0" quotePrefix="0" xfId="0">
      <alignment horizontal="right" vertical="center"/>
    </xf>
    <xf numFmtId="169" fontId="0" fillId="0" borderId="0" applyAlignment="1" pivotButton="0" quotePrefix="0" xfId="0">
      <alignment horizontal="center"/>
    </xf>
    <xf numFmtId="169" fontId="64" fillId="0" borderId="0" applyAlignment="1" pivotButton="0" quotePrefix="0" xfId="0">
      <alignment horizontal="center" vertical="center"/>
    </xf>
    <xf numFmtId="170" fontId="65" fillId="0" borderId="0" pivotButton="0" quotePrefix="0" xfId="0"/>
    <xf numFmtId="171" fontId="64" fillId="0" borderId="0" applyAlignment="1" pivotButton="0" quotePrefix="0" xfId="0">
      <alignment horizontal="center"/>
    </xf>
    <xf numFmtId="171" fontId="64" fillId="0" borderId="0" applyAlignment="1" pivotButton="0" quotePrefix="0" xfId="0">
      <alignment horizontal="center" vertical="center"/>
    </xf>
    <xf numFmtId="172" fontId="0" fillId="0" borderId="0" applyAlignment="1" pivotButton="0" quotePrefix="0" xfId="0">
      <alignment vertical="center"/>
    </xf>
    <xf numFmtId="173" fontId="0" fillId="0" borderId="0" applyAlignment="1" pivotButton="0" quotePrefix="0" xfId="0">
      <alignment horizontal="left" vertical="center"/>
    </xf>
    <xf numFmtId="174" fontId="0" fillId="0" borderId="0" applyAlignment="1" pivotButton="0" quotePrefix="0" xfId="0">
      <alignment vertical="center"/>
    </xf>
    <xf numFmtId="175" fontId="0" fillId="0" borderId="0" applyAlignment="1" pivotButton="0" quotePrefix="0" xfId="0">
      <alignment vertical="center"/>
    </xf>
    <xf numFmtId="176" fontId="4" fillId="0" borderId="0" applyAlignment="1" pivotButton="0" quotePrefix="0" xfId="0">
      <alignment vertical="center"/>
    </xf>
    <xf numFmtId="175" fontId="0" fillId="2" borderId="0" applyAlignment="1" pivotButton="0" quotePrefix="0" xfId="0">
      <alignment vertical="center"/>
    </xf>
    <xf numFmtId="175" fontId="0" fillId="64" borderId="0" applyAlignment="1" pivotButton="0" quotePrefix="0" xfId="0">
      <alignment vertical="center"/>
    </xf>
    <xf numFmtId="175" fontId="0" fillId="6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vertical="center"/>
    </xf>
    <xf numFmtId="164" fontId="0" fillId="0" borderId="0" applyAlignment="1" pivotButton="0" quotePrefix="0" xfId="1">
      <alignment vertical="center"/>
    </xf>
    <xf numFmtId="164" fontId="0" fillId="60" borderId="0" applyAlignment="1" pivotButton="0" quotePrefix="0" xfId="0">
      <alignment vertical="center"/>
    </xf>
    <xf numFmtId="166" fontId="0" fillId="0" borderId="0" applyAlignment="1" pivotButton="0" quotePrefix="0" xfId="0">
      <alignment vertical="center"/>
    </xf>
    <xf numFmtId="164" fontId="4" fillId="0" borderId="0" applyAlignment="1" pivotButton="0" quotePrefix="0" xfId="1">
      <alignment horizontal="center"/>
    </xf>
    <xf numFmtId="164" fontId="4" fillId="59" borderId="0" applyAlignment="1" pivotButton="0" quotePrefix="0" xfId="1">
      <alignment horizontal="center"/>
    </xf>
    <xf numFmtId="164" fontId="4" fillId="60" borderId="0" applyAlignment="1" pivotButton="0" quotePrefix="0" xfId="1">
      <alignment horizontal="center"/>
    </xf>
    <xf numFmtId="164" fontId="4" fillId="0" borderId="0" applyAlignment="1" pivotButton="0" quotePrefix="0" xfId="1">
      <alignment vertical="center"/>
    </xf>
    <xf numFmtId="164" fontId="4" fillId="61" borderId="0" applyAlignment="1" pivotButton="0" quotePrefix="0" xfId="1">
      <alignment horizontal="center"/>
    </xf>
    <xf numFmtId="164" fontId="4" fillId="62" borderId="0" applyAlignment="1" pivotButton="0" quotePrefix="0" xfId="1">
      <alignment horizontal="center"/>
    </xf>
    <xf numFmtId="167" fontId="0" fillId="0" borderId="0" applyAlignment="1" pivotButton="0" quotePrefix="0" xfId="0">
      <alignment horizontal="center"/>
    </xf>
    <xf numFmtId="168" fontId="4" fillId="0" borderId="0" applyAlignment="1" pivotButton="0" quotePrefix="0" xfId="0">
      <alignment horizontal="right" vertical="center"/>
    </xf>
    <xf numFmtId="169" fontId="0" fillId="0" borderId="0" applyAlignment="1" pivotButton="0" quotePrefix="0" xfId="0">
      <alignment horizontal="center"/>
    </xf>
    <xf numFmtId="169" fontId="64" fillId="0" borderId="0" applyAlignment="1" pivotButton="0" quotePrefix="0" xfId="0">
      <alignment horizontal="center" vertical="center"/>
    </xf>
    <xf numFmtId="170" fontId="65" fillId="0" borderId="0" pivotButton="0" quotePrefix="0" xfId="0"/>
    <xf numFmtId="171" fontId="64" fillId="0" borderId="0" applyAlignment="1" pivotButton="0" quotePrefix="0" xfId="0">
      <alignment horizontal="center"/>
    </xf>
    <xf numFmtId="171" fontId="64" fillId="0" borderId="0" applyAlignment="1" pivotButton="0" quotePrefix="0" xfId="0">
      <alignment horizontal="center" vertical="center"/>
    </xf>
    <xf numFmtId="172" fontId="0" fillId="0" borderId="0" applyAlignment="1" pivotButton="0" quotePrefix="0" xfId="0">
      <alignment vertical="center"/>
    </xf>
    <xf numFmtId="173" fontId="0" fillId="0" borderId="0" applyAlignment="1" pivotButton="0" quotePrefix="0" xfId="0">
      <alignment horizontal="left" vertical="center"/>
    </xf>
    <xf numFmtId="174" fontId="0" fillId="0" borderId="0" applyAlignment="1" pivotButton="0" quotePrefix="0" xfId="0">
      <alignment vertical="center"/>
    </xf>
    <xf numFmtId="175" fontId="0" fillId="0" borderId="0" applyAlignment="1" pivotButton="0" quotePrefix="0" xfId="0">
      <alignment vertical="center"/>
    </xf>
    <xf numFmtId="176" fontId="4" fillId="0" borderId="0" applyAlignment="1" pivotButton="0" quotePrefix="0" xfId="0">
      <alignment vertical="center"/>
    </xf>
    <xf numFmtId="175" fontId="0" fillId="2" borderId="0" applyAlignment="1" pivotButton="0" quotePrefix="0" xfId="0">
      <alignment vertical="center"/>
    </xf>
    <xf numFmtId="175" fontId="0" fillId="64" borderId="0" applyAlignment="1" pivotButton="0" quotePrefix="0" xfId="0">
      <alignment vertical="center"/>
    </xf>
    <xf numFmtId="175" fontId="0" fillId="60" borderId="0" applyAlignment="1" pivotButton="0" quotePrefix="0" xfId="0">
      <alignment vertical="center"/>
    </xf>
  </cellXfs>
  <cellStyles count="2926">
    <cellStyle name="표준" xfId="0" builtinId="0"/>
    <cellStyle name="쉼표 [0]" xfId="1" builtinId="6"/>
    <cellStyle name="표준 55" xfId="2"/>
    <cellStyle name="??&amp;O?&amp;H?_x0008__x000f__x0007_?_x0007__x0001__x0001_" xfId="3"/>
    <cellStyle name="??&amp;O?&amp;H?_x0008_??_x0007__x0001__x0001_" xfId="4"/>
    <cellStyle name="_10월급여" xfId="5"/>
    <cellStyle name="_2006년_신세계 푸드" xfId="6"/>
    <cellStyle name="_2007급여" xfId="7"/>
    <cellStyle name="_2007급여_2007급여(오피스웨이)" xfId="8"/>
    <cellStyle name="_2007급여_2007급여(오피스웨이)_2007년_오피스웨이" xfId="9"/>
    <cellStyle name="_2007급여_2007급여(오피스웨이)_2007년_오피스웨이_1" xfId="10"/>
    <cellStyle name="_2007급여_2007급여(오피스웨이)_2007년_오피스웨이_1_2007년_오피스웨이" xfId="11"/>
    <cellStyle name="_2007급여_2007급여(오피스웨이)_2007년_오피스웨이_2007년_오피스웨이" xfId="12"/>
    <cellStyle name="_2007급여_2007급여(오피스웨이)_2007년_오피스웨이_2007년_오피스웨이_1" xfId="13"/>
    <cellStyle name="_2007급여_2007급여(오피스웨이)_2007년_오피스웨이_2007년_오피스웨이_1_2007년_오피스웨이" xfId="14"/>
    <cellStyle name="_2007급여_2007급여(오피스웨이)_2007년_오피스웨이_2007년_오피스웨이_2007년_오피스웨이" xfId="15"/>
    <cellStyle name="_2007급여_2007급여(오피스웨이)_2007년_오피스웨이_2007년_오피스웨이_2007년_오피스웨이_2007년_오피스웨이" xfId="16"/>
    <cellStyle name="_2007급여_2007년_오피스웨이" xfId="17"/>
    <cellStyle name="_2007급여_2007년_오피스웨이_1" xfId="18"/>
    <cellStyle name="_2007급여_2007년_오피스웨이_1_2007년_오피스웨이" xfId="19"/>
    <cellStyle name="_2007급여_2007년_오피스웨이_2007년_오피스웨이" xfId="20"/>
    <cellStyle name="_2007급여_2007년_오피스웨이_2007년_오피스웨이_1" xfId="21"/>
    <cellStyle name="_2007급여_2007년_오피스웨이_2007년_오피스웨이_1_2007년_오피스웨이" xfId="22"/>
    <cellStyle name="_2007급여_2007년_오피스웨이_2007년_오피스웨이_2007년_오피스웨이" xfId="23"/>
    <cellStyle name="_2007급여_2007년_오피스웨이_2007년_오피스웨이_2007년_오피스웨이_2007년_오피스웨이" xfId="24"/>
    <cellStyle name="_2007년_오피스웨이" xfId="25"/>
    <cellStyle name="_2007년_오피스웨이_1" xfId="26"/>
    <cellStyle name="_2007년_오피스웨이_1_2007년_오피스웨이" xfId="27"/>
    <cellStyle name="_2007년_오피스웨이_2007년_오피스웨이" xfId="28"/>
    <cellStyle name="_2007년_오피스웨이_2007년_오피스웨이_1" xfId="29"/>
    <cellStyle name="_2007년_오피스웨이_2007년_오피스웨이_1_2007년_오피스웨이" xfId="30"/>
    <cellStyle name="_2007년_오피스웨이_2007년_오피스웨이_2007년_오피스웨이" xfId="31"/>
    <cellStyle name="_2007년_오피스웨이_2007년_오피스웨이_2007년_오피스웨이_2007년_오피스웨이" xfId="32"/>
    <cellStyle name="_2009년급여(FX유통)" xfId="33"/>
    <cellStyle name="_il현근무자" xfId="34"/>
    <cellStyle name="_시제이부곡10월급여" xfId="35"/>
    <cellStyle name="_시제이부곡10월급여_2007급여" xfId="36"/>
    <cellStyle name="_시제이부곡10월급여_2007급여_2007급여(오피스웨이)" xfId="37"/>
    <cellStyle name="_시제이부곡10월급여_2007급여_2007급여(오피스웨이)_2007년_오피스웨이" xfId="38"/>
    <cellStyle name="_시제이부곡10월급여_2007급여_2007급여(오피스웨이)_2007년_오피스웨이_1" xfId="39"/>
    <cellStyle name="_시제이부곡10월급여_2007급여_2007급여(오피스웨이)_2007년_오피스웨이_1_2007년_오피스웨이" xfId="40"/>
    <cellStyle name="_시제이부곡10월급여_2007급여_2007급여(오피스웨이)_2007년_오피스웨이_2007년_오피스웨이" xfId="41"/>
    <cellStyle name="_시제이부곡10월급여_2007급여_2007급여(오피스웨이)_2007년_오피스웨이_2007년_오피스웨이_1" xfId="42"/>
    <cellStyle name="_시제이부곡10월급여_2007급여_2007급여(오피스웨이)_2007년_오피스웨이_2007년_오피스웨이_1_2007년_오피스웨이" xfId="43"/>
    <cellStyle name="_시제이부곡10월급여_2007급여_2007급여(오피스웨이)_2007년_오피스웨이_2007년_오피스웨이_2007년_오피스웨이" xfId="44"/>
    <cellStyle name="_시제이부곡10월급여_2007급여_2007급여(오피스웨이)_2007년_오피스웨이_2007년_오피스웨이_2007년_오피스웨이_2007년_오피스웨이" xfId="45"/>
    <cellStyle name="_시제이부곡10월급여_2007급여_2007년_오피스웨이" xfId="46"/>
    <cellStyle name="_시제이부곡10월급여_2007급여_2007년_오피스웨이_1" xfId="47"/>
    <cellStyle name="_시제이부곡10월급여_2007급여_2007년_오피스웨이_1_2007년_오피스웨이" xfId="48"/>
    <cellStyle name="_시제이부곡10월급여_2007급여_2007년_오피스웨이_2007년_오피스웨이" xfId="49"/>
    <cellStyle name="_시제이부곡10월급여_2007급여_2007년_오피스웨이_2007년_오피스웨이_1" xfId="50"/>
    <cellStyle name="_시제이부곡10월급여_2007급여_2007년_오피스웨이_2007년_오피스웨이_1_2007년_오피스웨이" xfId="51"/>
    <cellStyle name="_시제이부곡10월급여_2007급여_2007년_오피스웨이_2007년_오피스웨이_2007년_오피스웨이" xfId="52"/>
    <cellStyle name="_시제이부곡10월급여_2007급여_2007년_오피스웨이_2007년_오피스웨이_2007년_오피스웨이_2007년_오피스웨이" xfId="53"/>
    <cellStyle name="_시제이부곡10월급여_2007년_오피스웨이" xfId="54"/>
    <cellStyle name="_시제이부곡10월급여_2007년_오피스웨이_1" xfId="55"/>
    <cellStyle name="_시제이부곡10월급여_2007년_오피스웨이_1_2007년_오피스웨이" xfId="56"/>
    <cellStyle name="_시제이부곡10월급여_2007년_오피스웨이_2007년_오피스웨이" xfId="57"/>
    <cellStyle name="_시제이부곡10월급여_2007년_오피스웨이_2007년_오피스웨이_1" xfId="58"/>
    <cellStyle name="_시제이부곡10월급여_2007년_오피스웨이_2007년_오피스웨이_1_2007년_오피스웨이" xfId="59"/>
    <cellStyle name="_시제이부곡10월급여_2007년_오피스웨이_2007년_오피스웨이_2007년_오피스웨이" xfId="60"/>
    <cellStyle name="_시제이부곡10월급여_2007년_오피스웨이_2007년_오피스웨이_2007년_오피스웨이_2007년_오피스웨이" xfId="61"/>
    <cellStyle name="_씨제이부곡9월급여" xfId="62"/>
    <cellStyle name="_씨제이부곡9월급여_2007급여" xfId="63"/>
    <cellStyle name="_씨제이부곡9월급여_2007급여_2007급여(오피스웨이)" xfId="64"/>
    <cellStyle name="_씨제이부곡9월급여_2007급여_2007급여(오피스웨이)_2007년_오피스웨이" xfId="65"/>
    <cellStyle name="_씨제이부곡9월급여_2007급여_2007급여(오피스웨이)_2007년_오피스웨이_1" xfId="66"/>
    <cellStyle name="_씨제이부곡9월급여_2007급여_2007급여(오피스웨이)_2007년_오피스웨이_1_2007년_오피스웨이" xfId="67"/>
    <cellStyle name="_씨제이부곡9월급여_2007급여_2007급여(오피스웨이)_2007년_오피스웨이_2007년_오피스웨이" xfId="68"/>
    <cellStyle name="_씨제이부곡9월급여_2007급여_2007급여(오피스웨이)_2007년_오피스웨이_2007년_오피스웨이_1" xfId="69"/>
    <cellStyle name="_씨제이부곡9월급여_2007급여_2007급여(오피스웨이)_2007년_오피스웨이_2007년_오피스웨이_1_2007년_오피스웨이" xfId="70"/>
    <cellStyle name="_씨제이부곡9월급여_2007급여_2007급여(오피스웨이)_2007년_오피스웨이_2007년_오피스웨이_2007년_오피스웨이" xfId="71"/>
    <cellStyle name="_씨제이부곡9월급여_2007급여_2007급여(오피스웨이)_2007년_오피스웨이_2007년_오피스웨이_2007년_오피스웨이_2007년_오피스웨이" xfId="72"/>
    <cellStyle name="_씨제이부곡9월급여_2007급여_2007년_오피스웨이" xfId="73"/>
    <cellStyle name="_씨제이부곡9월급여_2007급여_2007년_오피스웨이_1" xfId="74"/>
    <cellStyle name="_씨제이부곡9월급여_2007급여_2007년_오피스웨이_1_2007년_오피스웨이" xfId="75"/>
    <cellStyle name="_씨제이부곡9월급여_2007급여_2007년_오피스웨이_2007년_오피스웨이" xfId="76"/>
    <cellStyle name="_씨제이부곡9월급여_2007급여_2007년_오피스웨이_2007년_오피스웨이_1" xfId="77"/>
    <cellStyle name="_씨제이부곡9월급여_2007급여_2007년_오피스웨이_2007년_오피스웨이_1_2007년_오피스웨이" xfId="78"/>
    <cellStyle name="_씨제이부곡9월급여_2007급여_2007년_오피스웨이_2007년_오피스웨이_2007년_오피스웨이" xfId="79"/>
    <cellStyle name="_씨제이부곡9월급여_2007급여_2007년_오피스웨이_2007년_오피스웨이_2007년_오피스웨이_2007년_오피스웨이" xfId="80"/>
    <cellStyle name="_씨제이부곡9월급여_2007년_오피스웨이" xfId="81"/>
    <cellStyle name="_씨제이부곡9월급여_2007년_오피스웨이_1" xfId="82"/>
    <cellStyle name="_씨제이부곡9월급여_2007년_오피스웨이_1_2007년_오피스웨이" xfId="83"/>
    <cellStyle name="_씨제이부곡9월급여_2007년_오피스웨이_2007년_오피스웨이" xfId="84"/>
    <cellStyle name="_씨제이부곡9월급여_2007년_오피스웨이_2007년_오피스웨이_1" xfId="85"/>
    <cellStyle name="_씨제이부곡9월급여_2007년_오피스웨이_2007년_오피스웨이_1_2007년_오피스웨이" xfId="86"/>
    <cellStyle name="_씨제이부곡9월급여_2007년_오피스웨이_2007년_오피스웨이_2007년_오피스웨이" xfId="87"/>
    <cellStyle name="_씨제이부곡9월급여_2007년_오피스웨이_2007년_오피스웨이_2007년_오피스웨이_2007년_오피스웨이" xfId="88"/>
    <cellStyle name="_씨제이부곡9월급여_시제이부곡10월급여" xfId="89"/>
    <cellStyle name="_씨제이부곡9월급여_시제이부곡10월급여_2007급여" xfId="90"/>
    <cellStyle name="_씨제이부곡9월급여_시제이부곡10월급여_2007급여_2007급여(오피스웨이)" xfId="91"/>
    <cellStyle name="_씨제이부곡9월급여_시제이부곡10월급여_2007급여_2007급여(오피스웨이)_2007년_오피스웨이" xfId="92"/>
    <cellStyle name="_씨제이부곡9월급여_시제이부곡10월급여_2007급여_2007급여(오피스웨이)_2007년_오피스웨이_1" xfId="93"/>
    <cellStyle name="_씨제이부곡9월급여_시제이부곡10월급여_2007급여_2007급여(오피스웨이)_2007년_오피스웨이_1_2007년_오피스웨이" xfId="94"/>
    <cellStyle name="_씨제이부곡9월급여_시제이부곡10월급여_2007급여_2007급여(오피스웨이)_2007년_오피스웨이_2007년_오피스웨이" xfId="95"/>
    <cellStyle name="_씨제이부곡9월급여_시제이부곡10월급여_2007급여_2007급여(오피스웨이)_2007년_오피스웨이_2007년_오피스웨이_1" xfId="96"/>
    <cellStyle name="_씨제이부곡9월급여_시제이부곡10월급여_2007급여_2007급여(오피스웨이)_2007년_오피스웨이_2007년_오피스웨이_1_2007년_오피스웨이" xfId="97"/>
    <cellStyle name="_씨제이부곡9월급여_시제이부곡10월급여_2007급여_2007급여(오피스웨이)_2007년_오피스웨이_2007년_오피스웨이_2007년_오피스웨이" xfId="98"/>
    <cellStyle name="_씨제이부곡9월급여_시제이부곡10월급여_2007급여_2007급여(오피스웨이)_2007년_오피스웨이_2007년_오피스웨이_2007년_오피스웨이_2007년_오피스웨이" xfId="99"/>
    <cellStyle name="_씨제이부곡9월급여_시제이부곡10월급여_2007급여_2007년_오피스웨이" xfId="100"/>
    <cellStyle name="_씨제이부곡9월급여_시제이부곡10월급여_2007급여_2007년_오피스웨이_1" xfId="101"/>
    <cellStyle name="_씨제이부곡9월급여_시제이부곡10월급여_2007급여_2007년_오피스웨이_1_2007년_오피스웨이" xfId="102"/>
    <cellStyle name="_씨제이부곡9월급여_시제이부곡10월급여_2007급여_2007년_오피스웨이_2007년_오피스웨이" xfId="103"/>
    <cellStyle name="_씨제이부곡9월급여_시제이부곡10월급여_2007급여_2007년_오피스웨이_2007년_오피스웨이_1" xfId="104"/>
    <cellStyle name="_씨제이부곡9월급여_시제이부곡10월급여_2007급여_2007년_오피스웨이_2007년_오피스웨이_1_2007년_오피스웨이" xfId="105"/>
    <cellStyle name="_씨제이부곡9월급여_시제이부곡10월급여_2007급여_2007년_오피스웨이_2007년_오피스웨이_2007년_오피스웨이" xfId="106"/>
    <cellStyle name="_씨제이부곡9월급여_시제이부곡10월급여_2007급여_2007년_오피스웨이_2007년_오피스웨이_2007년_오피스웨이_2007년_오피스웨이" xfId="107"/>
    <cellStyle name="_씨제이부곡9월급여_시제이부곡10월급여_2007년_오피스웨이" xfId="108"/>
    <cellStyle name="_씨제이부곡9월급여_시제이부곡10월급여_2007년_오피스웨이_1" xfId="109"/>
    <cellStyle name="_씨제이부곡9월급여_시제이부곡10월급여_2007년_오피스웨이_1_2007년_오피스웨이" xfId="110"/>
    <cellStyle name="_씨제이부곡9월급여_시제이부곡10월급여_2007년_오피스웨이_2007년_오피스웨이" xfId="111"/>
    <cellStyle name="_씨제이부곡9월급여_시제이부곡10월급여_2007년_오피스웨이_2007년_오피스웨이_1" xfId="112"/>
    <cellStyle name="_씨제이부곡9월급여_시제이부곡10월급여_2007년_오피스웨이_2007년_오피스웨이_1_2007년_오피스웨이" xfId="113"/>
    <cellStyle name="_씨제이부곡9월급여_시제이부곡10월급여_2007년_오피스웨이_2007년_오피스웨이_2007년_오피스웨이" xfId="114"/>
    <cellStyle name="_씨제이부곡9월급여_시제이부곡10월급여_2007년_오피스웨이_2007년_오피스웨이_2007년_오피스웨이_2007년_오피스웨이" xfId="115"/>
    <cellStyle name="_애드(인원)_11월" xfId="116"/>
    <cellStyle name="_최종10월마감" xfId="117"/>
    <cellStyle name="_현근무자" xfId="118"/>
    <cellStyle name="¤@?e_TEST-1 " xfId="119"/>
    <cellStyle name="20% - 강조색1 10" xfId="120"/>
    <cellStyle name="20% - 강조색1 11" xfId="121"/>
    <cellStyle name="20% - 강조색1 12" xfId="122"/>
    <cellStyle name="20% - 강조색1 13" xfId="123"/>
    <cellStyle name="20% - 강조색1 14" xfId="124"/>
    <cellStyle name="20% - 강조색1 15" xfId="125"/>
    <cellStyle name="20% - 강조색1 16" xfId="126"/>
    <cellStyle name="20% - 강조색1 17" xfId="127"/>
    <cellStyle name="20% - 강조색1 18" xfId="128"/>
    <cellStyle name="20% - 강조색1 19" xfId="129"/>
    <cellStyle name="20% - 강조색1 2" xfId="130"/>
    <cellStyle name="20% - 강조색1 2 10" xfId="131"/>
    <cellStyle name="20% - 강조색1 2 11" xfId="132"/>
    <cellStyle name="20% - 강조색1 2 12" xfId="133"/>
    <cellStyle name="20% - 강조색1 2 13" xfId="134"/>
    <cellStyle name="20% - 강조색1 2 14" xfId="135"/>
    <cellStyle name="20% - 강조색1 2 2" xfId="136"/>
    <cellStyle name="20% - 강조색1 2 2 2" xfId="137"/>
    <cellStyle name="20% - 강조색1 2 2 3" xfId="138"/>
    <cellStyle name="20% - 강조색1 2 2 4" xfId="139"/>
    <cellStyle name="20% - 강조색1 2 2 5" xfId="140"/>
    <cellStyle name="20% - 강조색1 2 3" xfId="141"/>
    <cellStyle name="20% - 강조색1 2 3 2" xfId="142"/>
    <cellStyle name="20% - 강조색1 2 3 3" xfId="143"/>
    <cellStyle name="20% - 강조색1 2 3 4" xfId="144"/>
    <cellStyle name="20% - 강조색1 2 4" xfId="145"/>
    <cellStyle name="20% - 강조색1 2 5" xfId="146"/>
    <cellStyle name="20% - 강조색1 2 6" xfId="147"/>
    <cellStyle name="20% - 강조색1 2 7" xfId="148"/>
    <cellStyle name="20% - 강조색1 2 8" xfId="149"/>
    <cellStyle name="20% - 강조색1 2 9" xfId="150"/>
    <cellStyle name="20% - 강조색1 20" xfId="151"/>
    <cellStyle name="20% - 강조색1 21" xfId="152"/>
    <cellStyle name="20% - 강조색1 22" xfId="153"/>
    <cellStyle name="20% - 강조색1 23" xfId="154"/>
    <cellStyle name="20% - 강조색1 24" xfId="155"/>
    <cellStyle name="20% - 강조색1 25" xfId="156"/>
    <cellStyle name="20% - 강조색1 26" xfId="157"/>
    <cellStyle name="20% - 강조색1 27" xfId="158"/>
    <cellStyle name="20% - 강조색1 28" xfId="159"/>
    <cellStyle name="20% - 강조색1 29" xfId="160"/>
    <cellStyle name="20% - 강조색1 3" xfId="161"/>
    <cellStyle name="20% - 강조색1 3 2" xfId="162"/>
    <cellStyle name="20% - 강조색1 30" xfId="163"/>
    <cellStyle name="20% - 강조색1 31" xfId="164"/>
    <cellStyle name="20% - 강조색1 32" xfId="165"/>
    <cellStyle name="20% - 강조색1 4" xfId="166"/>
    <cellStyle name="20% - 강조색1 5" xfId="167"/>
    <cellStyle name="20% - 강조색1 6" xfId="168"/>
    <cellStyle name="20% - 강조색1 7" xfId="169"/>
    <cellStyle name="20% - 강조색1 8" xfId="170"/>
    <cellStyle name="20% - 강조색1 9" xfId="171"/>
    <cellStyle name="20% - 강조색2 10" xfId="172"/>
    <cellStyle name="20% - 강조색2 11" xfId="173"/>
    <cellStyle name="20% - 강조색2 12" xfId="174"/>
    <cellStyle name="20% - 강조색2 13" xfId="175"/>
    <cellStyle name="20% - 강조색2 14" xfId="176"/>
    <cellStyle name="20% - 강조색2 15" xfId="177"/>
    <cellStyle name="20% - 강조색2 16" xfId="178"/>
    <cellStyle name="20% - 강조색2 17" xfId="179"/>
    <cellStyle name="20% - 강조색2 18" xfId="180"/>
    <cellStyle name="20% - 강조색2 19" xfId="181"/>
    <cellStyle name="20% - 강조색2 2" xfId="182"/>
    <cellStyle name="20% - 강조색2 2 10" xfId="183"/>
    <cellStyle name="20% - 강조색2 2 11" xfId="184"/>
    <cellStyle name="20% - 강조색2 2 12" xfId="185"/>
    <cellStyle name="20% - 강조색2 2 13" xfId="186"/>
    <cellStyle name="20% - 강조색2 2 14" xfId="187"/>
    <cellStyle name="20% - 강조색2 2 2" xfId="188"/>
    <cellStyle name="20% - 강조색2 2 2 2" xfId="189"/>
    <cellStyle name="20% - 강조색2 2 2 3" xfId="190"/>
    <cellStyle name="20% - 강조색2 2 2 4" xfId="191"/>
    <cellStyle name="20% - 강조색2 2 2 5" xfId="192"/>
    <cellStyle name="20% - 강조색2 2 3" xfId="193"/>
    <cellStyle name="20% - 강조색2 2 3 2" xfId="194"/>
    <cellStyle name="20% - 강조색2 2 3 3" xfId="195"/>
    <cellStyle name="20% - 강조색2 2 3 4" xfId="196"/>
    <cellStyle name="20% - 강조색2 2 4" xfId="197"/>
    <cellStyle name="20% - 강조색2 2 5" xfId="198"/>
    <cellStyle name="20% - 강조색2 2 6" xfId="199"/>
    <cellStyle name="20% - 강조색2 2 7" xfId="200"/>
    <cellStyle name="20% - 강조색2 2 8" xfId="201"/>
    <cellStyle name="20% - 강조색2 2 9" xfId="202"/>
    <cellStyle name="20% - 강조색2 20" xfId="203"/>
    <cellStyle name="20% - 강조색2 21" xfId="204"/>
    <cellStyle name="20% - 강조색2 22" xfId="205"/>
    <cellStyle name="20% - 강조색2 23" xfId="206"/>
    <cellStyle name="20% - 강조색2 24" xfId="207"/>
    <cellStyle name="20% - 강조색2 25" xfId="208"/>
    <cellStyle name="20% - 강조색2 26" xfId="209"/>
    <cellStyle name="20% - 강조색2 27" xfId="210"/>
    <cellStyle name="20% - 강조색2 28" xfId="211"/>
    <cellStyle name="20% - 강조색2 29" xfId="212"/>
    <cellStyle name="20% - 강조색2 3" xfId="213"/>
    <cellStyle name="20% - 강조색2 3 2" xfId="214"/>
    <cellStyle name="20% - 강조색2 30" xfId="215"/>
    <cellStyle name="20% - 강조색2 31" xfId="216"/>
    <cellStyle name="20% - 강조색2 32" xfId="217"/>
    <cellStyle name="20% - 강조색2 4" xfId="218"/>
    <cellStyle name="20% - 강조색2 5" xfId="219"/>
    <cellStyle name="20% - 강조색2 6" xfId="220"/>
    <cellStyle name="20% - 강조색2 7" xfId="221"/>
    <cellStyle name="20% - 강조색2 8" xfId="222"/>
    <cellStyle name="20% - 강조색2 9" xfId="223"/>
    <cellStyle name="20% - 강조색3 10" xfId="224"/>
    <cellStyle name="20% - 강조색3 11" xfId="225"/>
    <cellStyle name="20% - 강조색3 12" xfId="226"/>
    <cellStyle name="20% - 강조색3 13" xfId="227"/>
    <cellStyle name="20% - 강조색3 14" xfId="228"/>
    <cellStyle name="20% - 강조색3 15" xfId="229"/>
    <cellStyle name="20% - 강조색3 16" xfId="230"/>
    <cellStyle name="20% - 강조색3 17" xfId="231"/>
    <cellStyle name="20% - 강조색3 18" xfId="232"/>
    <cellStyle name="20% - 강조색3 19" xfId="233"/>
    <cellStyle name="20% - 강조색3 2" xfId="234"/>
    <cellStyle name="20% - 강조색3 2 10" xfId="235"/>
    <cellStyle name="20% - 강조색3 2 11" xfId="236"/>
    <cellStyle name="20% - 강조색3 2 12" xfId="237"/>
    <cellStyle name="20% - 강조색3 2 13" xfId="238"/>
    <cellStyle name="20% - 강조색3 2 14" xfId="239"/>
    <cellStyle name="20% - 강조색3 2 2" xfId="240"/>
    <cellStyle name="20% - 강조색3 2 2 2" xfId="241"/>
    <cellStyle name="20% - 강조색3 2 2 3" xfId="242"/>
    <cellStyle name="20% - 강조색3 2 2 4" xfId="243"/>
    <cellStyle name="20% - 강조색3 2 2 5" xfId="244"/>
    <cellStyle name="20% - 강조색3 2 3" xfId="245"/>
    <cellStyle name="20% - 강조색3 2 3 2" xfId="246"/>
    <cellStyle name="20% - 강조색3 2 3 3" xfId="247"/>
    <cellStyle name="20% - 강조색3 2 3 4" xfId="248"/>
    <cellStyle name="20% - 강조색3 2 4" xfId="249"/>
    <cellStyle name="20% - 강조색3 2 5" xfId="250"/>
    <cellStyle name="20% - 강조색3 2 6" xfId="251"/>
    <cellStyle name="20% - 강조색3 2 7" xfId="252"/>
    <cellStyle name="20% - 강조색3 2 8" xfId="253"/>
    <cellStyle name="20% - 강조색3 2 9" xfId="254"/>
    <cellStyle name="20% - 강조색3 20" xfId="255"/>
    <cellStyle name="20% - 강조색3 21" xfId="256"/>
    <cellStyle name="20% - 강조색3 22" xfId="257"/>
    <cellStyle name="20% - 강조색3 23" xfId="258"/>
    <cellStyle name="20% - 강조색3 24" xfId="259"/>
    <cellStyle name="20% - 강조색3 25" xfId="260"/>
    <cellStyle name="20% - 강조색3 26" xfId="261"/>
    <cellStyle name="20% - 강조색3 27" xfId="262"/>
    <cellStyle name="20% - 강조색3 28" xfId="263"/>
    <cellStyle name="20% - 강조색3 29" xfId="264"/>
    <cellStyle name="20% - 강조색3 3" xfId="265"/>
    <cellStyle name="20% - 강조색3 3 2" xfId="266"/>
    <cellStyle name="20% - 강조색3 30" xfId="267"/>
    <cellStyle name="20% - 강조색3 31" xfId="268"/>
    <cellStyle name="20% - 강조색3 32" xfId="269"/>
    <cellStyle name="20% - 강조색3 4" xfId="270"/>
    <cellStyle name="20% - 강조색3 5" xfId="271"/>
    <cellStyle name="20% - 강조색3 6" xfId="272"/>
    <cellStyle name="20% - 강조색3 7" xfId="273"/>
    <cellStyle name="20% - 강조색3 8" xfId="274"/>
    <cellStyle name="20% - 강조색3 9" xfId="275"/>
    <cellStyle name="20% - 강조색4 10" xfId="276"/>
    <cellStyle name="20% - 강조색4 11" xfId="277"/>
    <cellStyle name="20% - 강조색4 12" xfId="278"/>
    <cellStyle name="20% - 강조색4 13" xfId="279"/>
    <cellStyle name="20% - 강조색4 14" xfId="280"/>
    <cellStyle name="20% - 강조색4 15" xfId="281"/>
    <cellStyle name="20% - 강조색4 16" xfId="282"/>
    <cellStyle name="20% - 강조색4 17" xfId="283"/>
    <cellStyle name="20% - 강조색4 18" xfId="284"/>
    <cellStyle name="20% - 강조색4 19" xfId="285"/>
    <cellStyle name="20% - 강조색4 2" xfId="286"/>
    <cellStyle name="20% - 강조색4 2 10" xfId="287"/>
    <cellStyle name="20% - 강조색4 2 11" xfId="288"/>
    <cellStyle name="20% - 강조색4 2 12" xfId="289"/>
    <cellStyle name="20% - 강조색4 2 13" xfId="290"/>
    <cellStyle name="20% - 강조색4 2 14" xfId="291"/>
    <cellStyle name="20% - 강조색4 2 2" xfId="292"/>
    <cellStyle name="20% - 강조색4 2 2 2" xfId="293"/>
    <cellStyle name="20% - 강조색4 2 2 3" xfId="294"/>
    <cellStyle name="20% - 강조색4 2 2 4" xfId="295"/>
    <cellStyle name="20% - 강조색4 2 2 5" xfId="296"/>
    <cellStyle name="20% - 강조색4 2 3" xfId="297"/>
    <cellStyle name="20% - 강조색4 2 3 2" xfId="298"/>
    <cellStyle name="20% - 강조색4 2 3 3" xfId="299"/>
    <cellStyle name="20% - 강조색4 2 3 4" xfId="300"/>
    <cellStyle name="20% - 강조색4 2 4" xfId="301"/>
    <cellStyle name="20% - 강조색4 2 5" xfId="302"/>
    <cellStyle name="20% - 강조색4 2 6" xfId="303"/>
    <cellStyle name="20% - 강조색4 2 7" xfId="304"/>
    <cellStyle name="20% - 강조색4 2 8" xfId="305"/>
    <cellStyle name="20% - 강조색4 2 9" xfId="306"/>
    <cellStyle name="20% - 강조색4 20" xfId="307"/>
    <cellStyle name="20% - 강조색4 21" xfId="308"/>
    <cellStyle name="20% - 강조색4 22" xfId="309"/>
    <cellStyle name="20% - 강조색4 23" xfId="310"/>
    <cellStyle name="20% - 강조색4 24" xfId="311"/>
    <cellStyle name="20% - 강조색4 25" xfId="312"/>
    <cellStyle name="20% - 강조색4 26" xfId="313"/>
    <cellStyle name="20% - 강조색4 27" xfId="314"/>
    <cellStyle name="20% - 강조색4 28" xfId="315"/>
    <cellStyle name="20% - 강조색4 29" xfId="316"/>
    <cellStyle name="20% - 강조색4 3" xfId="317"/>
    <cellStyle name="20% - 강조색4 3 2" xfId="318"/>
    <cellStyle name="20% - 강조색4 30" xfId="319"/>
    <cellStyle name="20% - 강조색4 31" xfId="320"/>
    <cellStyle name="20% - 강조색4 32" xfId="321"/>
    <cellStyle name="20% - 강조색4 4" xfId="322"/>
    <cellStyle name="20% - 강조색4 5" xfId="323"/>
    <cellStyle name="20% - 강조색4 6" xfId="324"/>
    <cellStyle name="20% - 강조색4 7" xfId="325"/>
    <cellStyle name="20% - 강조색4 8" xfId="326"/>
    <cellStyle name="20% - 강조색4 9" xfId="327"/>
    <cellStyle name="20% - 강조색5 10" xfId="328"/>
    <cellStyle name="20% - 강조색5 11" xfId="329"/>
    <cellStyle name="20% - 강조색5 12" xfId="330"/>
    <cellStyle name="20% - 강조색5 13" xfId="331"/>
    <cellStyle name="20% - 강조색5 14" xfId="332"/>
    <cellStyle name="20% - 강조색5 15" xfId="333"/>
    <cellStyle name="20% - 강조색5 16" xfId="334"/>
    <cellStyle name="20% - 강조색5 17" xfId="335"/>
    <cellStyle name="20% - 강조색5 18" xfId="336"/>
    <cellStyle name="20% - 강조색5 19" xfId="337"/>
    <cellStyle name="20% - 강조색5 2" xfId="338"/>
    <cellStyle name="20% - 강조색5 2 10" xfId="339"/>
    <cellStyle name="20% - 강조색5 2 11" xfId="340"/>
    <cellStyle name="20% - 강조색5 2 12" xfId="341"/>
    <cellStyle name="20% - 강조색5 2 13" xfId="342"/>
    <cellStyle name="20% - 강조색5 2 14" xfId="343"/>
    <cellStyle name="20% - 강조색5 2 2" xfId="344"/>
    <cellStyle name="20% - 강조색5 2 2 2" xfId="345"/>
    <cellStyle name="20% - 강조색5 2 2 3" xfId="346"/>
    <cellStyle name="20% - 강조색5 2 2 4" xfId="347"/>
    <cellStyle name="20% - 강조색5 2 2 5" xfId="348"/>
    <cellStyle name="20% - 강조색5 2 3" xfId="349"/>
    <cellStyle name="20% - 강조색5 2 3 2" xfId="350"/>
    <cellStyle name="20% - 강조색5 2 3 3" xfId="351"/>
    <cellStyle name="20% - 강조색5 2 3 4" xfId="352"/>
    <cellStyle name="20% - 강조색5 2 4" xfId="353"/>
    <cellStyle name="20% - 강조색5 2 5" xfId="354"/>
    <cellStyle name="20% - 강조색5 2 6" xfId="355"/>
    <cellStyle name="20% - 강조색5 2 7" xfId="356"/>
    <cellStyle name="20% - 강조색5 2 8" xfId="357"/>
    <cellStyle name="20% - 강조색5 2 9" xfId="358"/>
    <cellStyle name="20% - 강조색5 20" xfId="359"/>
    <cellStyle name="20% - 강조색5 21" xfId="360"/>
    <cellStyle name="20% - 강조색5 22" xfId="361"/>
    <cellStyle name="20% - 강조색5 23" xfId="362"/>
    <cellStyle name="20% - 강조색5 24" xfId="363"/>
    <cellStyle name="20% - 강조색5 25" xfId="364"/>
    <cellStyle name="20% - 강조색5 26" xfId="365"/>
    <cellStyle name="20% - 강조색5 27" xfId="366"/>
    <cellStyle name="20% - 강조색5 28" xfId="367"/>
    <cellStyle name="20% - 강조색5 29" xfId="368"/>
    <cellStyle name="20% - 강조색5 3" xfId="369"/>
    <cellStyle name="20% - 강조색5 3 2" xfId="370"/>
    <cellStyle name="20% - 강조색5 30" xfId="371"/>
    <cellStyle name="20% - 강조색5 31" xfId="372"/>
    <cellStyle name="20% - 강조색5 32" xfId="373"/>
    <cellStyle name="20% - 강조색5 4" xfId="374"/>
    <cellStyle name="20% - 강조색5 5" xfId="375"/>
    <cellStyle name="20% - 강조색5 6" xfId="376"/>
    <cellStyle name="20% - 강조색5 7" xfId="377"/>
    <cellStyle name="20% - 강조색5 8" xfId="378"/>
    <cellStyle name="20% - 강조색5 9" xfId="379"/>
    <cellStyle name="20% - 강조색6 10" xfId="380"/>
    <cellStyle name="20% - 강조색6 11" xfId="381"/>
    <cellStyle name="20% - 강조색6 12" xfId="382"/>
    <cellStyle name="20% - 강조색6 13" xfId="383"/>
    <cellStyle name="20% - 강조색6 14" xfId="384"/>
    <cellStyle name="20% - 강조색6 15" xfId="385"/>
    <cellStyle name="20% - 강조색6 16" xfId="386"/>
    <cellStyle name="20% - 강조색6 17" xfId="387"/>
    <cellStyle name="20% - 강조색6 18" xfId="388"/>
    <cellStyle name="20% - 강조색6 19" xfId="389"/>
    <cellStyle name="20% - 강조색6 2" xfId="390"/>
    <cellStyle name="20% - 강조색6 2 10" xfId="391"/>
    <cellStyle name="20% - 강조색6 2 11" xfId="392"/>
    <cellStyle name="20% - 강조색6 2 12" xfId="393"/>
    <cellStyle name="20% - 강조색6 2 13" xfId="394"/>
    <cellStyle name="20% - 강조색6 2 14" xfId="395"/>
    <cellStyle name="20% - 강조색6 2 2" xfId="396"/>
    <cellStyle name="20% - 강조색6 2 2 2" xfId="397"/>
    <cellStyle name="20% - 강조색6 2 2 3" xfId="398"/>
    <cellStyle name="20% - 강조색6 2 2 4" xfId="399"/>
    <cellStyle name="20% - 강조색6 2 2 5" xfId="400"/>
    <cellStyle name="20% - 강조색6 2 3" xfId="401"/>
    <cellStyle name="20% - 강조색6 2 3 2" xfId="402"/>
    <cellStyle name="20% - 강조색6 2 3 3" xfId="403"/>
    <cellStyle name="20% - 강조색6 2 3 4" xfId="404"/>
    <cellStyle name="20% - 강조색6 2 4" xfId="405"/>
    <cellStyle name="20% - 강조색6 2 5" xfId="406"/>
    <cellStyle name="20% - 강조색6 2 6" xfId="407"/>
    <cellStyle name="20% - 강조색6 2 7" xfId="408"/>
    <cellStyle name="20% - 강조색6 2 8" xfId="409"/>
    <cellStyle name="20% - 강조색6 2 9" xfId="410"/>
    <cellStyle name="20% - 강조색6 20" xfId="411"/>
    <cellStyle name="20% - 강조색6 21" xfId="412"/>
    <cellStyle name="20% - 강조색6 22" xfId="413"/>
    <cellStyle name="20% - 강조색6 23" xfId="414"/>
    <cellStyle name="20% - 강조색6 24" xfId="415"/>
    <cellStyle name="20% - 강조색6 25" xfId="416"/>
    <cellStyle name="20% - 강조색6 26" xfId="417"/>
    <cellStyle name="20% - 강조색6 27" xfId="418"/>
    <cellStyle name="20% - 강조색6 28" xfId="419"/>
    <cellStyle name="20% - 강조색6 29" xfId="420"/>
    <cellStyle name="20% - 강조색6 3" xfId="421"/>
    <cellStyle name="20% - 강조색6 3 2" xfId="422"/>
    <cellStyle name="20% - 강조색6 30" xfId="423"/>
    <cellStyle name="20% - 강조색6 31" xfId="424"/>
    <cellStyle name="20% - 강조색6 32" xfId="425"/>
    <cellStyle name="20% - 강조색6 4" xfId="426"/>
    <cellStyle name="20% - 강조색6 5" xfId="427"/>
    <cellStyle name="20% - 강조색6 6" xfId="428"/>
    <cellStyle name="20% - 강조색6 7" xfId="429"/>
    <cellStyle name="20% - 강조색6 8" xfId="430"/>
    <cellStyle name="20% - 강조색6 9" xfId="431"/>
    <cellStyle name="40% - 강조색1 10" xfId="432"/>
    <cellStyle name="40% - 강조색1 11" xfId="433"/>
    <cellStyle name="40% - 강조색1 12" xfId="434"/>
    <cellStyle name="40% - 강조색1 13" xfId="435"/>
    <cellStyle name="40% - 강조색1 14" xfId="436"/>
    <cellStyle name="40% - 강조색1 15" xfId="437"/>
    <cellStyle name="40% - 강조색1 16" xfId="438"/>
    <cellStyle name="40% - 강조색1 17" xfId="439"/>
    <cellStyle name="40% - 강조색1 18" xfId="440"/>
    <cellStyle name="40% - 강조색1 19" xfId="441"/>
    <cellStyle name="40% - 강조색1 2" xfId="442"/>
    <cellStyle name="40% - 강조색1 2 10" xfId="443"/>
    <cellStyle name="40% - 강조색1 2 11" xfId="444"/>
    <cellStyle name="40% - 강조색1 2 12" xfId="445"/>
    <cellStyle name="40% - 강조색1 2 13" xfId="446"/>
    <cellStyle name="40% - 강조색1 2 14" xfId="447"/>
    <cellStyle name="40% - 강조색1 2 2" xfId="448"/>
    <cellStyle name="40% - 강조색1 2 2 2" xfId="449"/>
    <cellStyle name="40% - 강조색1 2 2 3" xfId="450"/>
    <cellStyle name="40% - 강조색1 2 2 4" xfId="451"/>
    <cellStyle name="40% - 강조색1 2 2 5" xfId="452"/>
    <cellStyle name="40% - 강조색1 2 3" xfId="453"/>
    <cellStyle name="40% - 강조색1 2 3 2" xfId="454"/>
    <cellStyle name="40% - 강조색1 2 3 3" xfId="455"/>
    <cellStyle name="40% - 강조색1 2 3 4" xfId="456"/>
    <cellStyle name="40% - 강조색1 2 4" xfId="457"/>
    <cellStyle name="40% - 강조색1 2 5" xfId="458"/>
    <cellStyle name="40% - 강조색1 2 6" xfId="459"/>
    <cellStyle name="40% - 강조색1 2 7" xfId="460"/>
    <cellStyle name="40% - 강조색1 2 8" xfId="461"/>
    <cellStyle name="40% - 강조색1 2 9" xfId="462"/>
    <cellStyle name="40% - 강조색1 20" xfId="463"/>
    <cellStyle name="40% - 강조색1 21" xfId="464"/>
    <cellStyle name="40% - 강조색1 22" xfId="465"/>
    <cellStyle name="40% - 강조색1 23" xfId="466"/>
    <cellStyle name="40% - 강조색1 24" xfId="467"/>
    <cellStyle name="40% - 강조색1 25" xfId="468"/>
    <cellStyle name="40% - 강조색1 26" xfId="469"/>
    <cellStyle name="40% - 강조색1 27" xfId="470"/>
    <cellStyle name="40% - 강조색1 28" xfId="471"/>
    <cellStyle name="40% - 강조색1 29" xfId="472"/>
    <cellStyle name="40% - 강조색1 3" xfId="473"/>
    <cellStyle name="40% - 강조색1 3 2" xfId="474"/>
    <cellStyle name="40% - 강조색1 30" xfId="475"/>
    <cellStyle name="40% - 강조색1 31" xfId="476"/>
    <cellStyle name="40% - 강조색1 32" xfId="477"/>
    <cellStyle name="40% - 강조색1 4" xfId="478"/>
    <cellStyle name="40% - 강조색1 5" xfId="479"/>
    <cellStyle name="40% - 강조색1 6" xfId="480"/>
    <cellStyle name="40% - 강조색1 7" xfId="481"/>
    <cellStyle name="40% - 강조색1 8" xfId="482"/>
    <cellStyle name="40% - 강조색1 9" xfId="483"/>
    <cellStyle name="40% - 강조색2 10" xfId="484"/>
    <cellStyle name="40% - 강조색2 11" xfId="485"/>
    <cellStyle name="40% - 강조색2 12" xfId="486"/>
    <cellStyle name="40% - 강조색2 13" xfId="487"/>
    <cellStyle name="40% - 강조색2 14" xfId="488"/>
    <cellStyle name="40% - 강조색2 15" xfId="489"/>
    <cellStyle name="40% - 강조색2 16" xfId="490"/>
    <cellStyle name="40% - 강조색2 17" xfId="491"/>
    <cellStyle name="40% - 강조색2 18" xfId="492"/>
    <cellStyle name="40% - 강조색2 19" xfId="493"/>
    <cellStyle name="40% - 강조색2 2" xfId="494"/>
    <cellStyle name="40% - 강조색2 2 10" xfId="495"/>
    <cellStyle name="40% - 강조색2 2 11" xfId="496"/>
    <cellStyle name="40% - 강조색2 2 12" xfId="497"/>
    <cellStyle name="40% - 강조색2 2 13" xfId="498"/>
    <cellStyle name="40% - 강조색2 2 14" xfId="499"/>
    <cellStyle name="40% - 강조색2 2 2" xfId="500"/>
    <cellStyle name="40% - 강조색2 2 2 2" xfId="501"/>
    <cellStyle name="40% - 강조색2 2 2 3" xfId="502"/>
    <cellStyle name="40% - 강조색2 2 2 4" xfId="503"/>
    <cellStyle name="40% - 강조색2 2 2 5" xfId="504"/>
    <cellStyle name="40% - 강조색2 2 3" xfId="505"/>
    <cellStyle name="40% - 강조색2 2 3 2" xfId="506"/>
    <cellStyle name="40% - 강조색2 2 3 3" xfId="507"/>
    <cellStyle name="40% - 강조색2 2 3 4" xfId="508"/>
    <cellStyle name="40% - 강조색2 2 4" xfId="509"/>
    <cellStyle name="40% - 강조색2 2 5" xfId="510"/>
    <cellStyle name="40% - 강조색2 2 6" xfId="511"/>
    <cellStyle name="40% - 강조색2 2 7" xfId="512"/>
    <cellStyle name="40% - 강조색2 2 8" xfId="513"/>
    <cellStyle name="40% - 강조색2 2 9" xfId="514"/>
    <cellStyle name="40% - 강조색2 20" xfId="515"/>
    <cellStyle name="40% - 강조색2 21" xfId="516"/>
    <cellStyle name="40% - 강조색2 22" xfId="517"/>
    <cellStyle name="40% - 강조색2 23" xfId="518"/>
    <cellStyle name="40% - 강조색2 24" xfId="519"/>
    <cellStyle name="40% - 강조색2 25" xfId="520"/>
    <cellStyle name="40% - 강조색2 26" xfId="521"/>
    <cellStyle name="40% - 강조색2 27" xfId="522"/>
    <cellStyle name="40% - 강조색2 28" xfId="523"/>
    <cellStyle name="40% - 강조색2 29" xfId="524"/>
    <cellStyle name="40% - 강조색2 3" xfId="525"/>
    <cellStyle name="40% - 강조색2 3 2" xfId="526"/>
    <cellStyle name="40% - 강조색2 30" xfId="527"/>
    <cellStyle name="40% - 강조색2 31" xfId="528"/>
    <cellStyle name="40% - 강조색2 32" xfId="529"/>
    <cellStyle name="40% - 강조색2 4" xfId="530"/>
    <cellStyle name="40% - 강조색2 5" xfId="531"/>
    <cellStyle name="40% - 강조색2 6" xfId="532"/>
    <cellStyle name="40% - 강조색2 7" xfId="533"/>
    <cellStyle name="40% - 강조색2 8" xfId="534"/>
    <cellStyle name="40% - 강조색2 9" xfId="535"/>
    <cellStyle name="40% - 강조색3 10" xfId="536"/>
    <cellStyle name="40% - 강조색3 11" xfId="537"/>
    <cellStyle name="40% - 강조색3 12" xfId="538"/>
    <cellStyle name="40% - 강조색3 13" xfId="539"/>
    <cellStyle name="40% - 강조색3 14" xfId="540"/>
    <cellStyle name="40% - 강조색3 15" xfId="541"/>
    <cellStyle name="40% - 강조색3 16" xfId="542"/>
    <cellStyle name="40% - 강조색3 17" xfId="543"/>
    <cellStyle name="40% - 강조색3 18" xfId="544"/>
    <cellStyle name="40% - 강조색3 19" xfId="545"/>
    <cellStyle name="40% - 강조색3 2" xfId="546"/>
    <cellStyle name="40% - 강조색3 2 10" xfId="547"/>
    <cellStyle name="40% - 강조색3 2 11" xfId="548"/>
    <cellStyle name="40% - 강조색3 2 12" xfId="549"/>
    <cellStyle name="40% - 강조색3 2 13" xfId="550"/>
    <cellStyle name="40% - 강조색3 2 14" xfId="551"/>
    <cellStyle name="40% - 강조색3 2 2" xfId="552"/>
    <cellStyle name="40% - 강조색3 2 2 2" xfId="553"/>
    <cellStyle name="40% - 강조색3 2 2 3" xfId="554"/>
    <cellStyle name="40% - 강조색3 2 2 4" xfId="555"/>
    <cellStyle name="40% - 강조색3 2 2 5" xfId="556"/>
    <cellStyle name="40% - 강조색3 2 3" xfId="557"/>
    <cellStyle name="40% - 강조색3 2 3 2" xfId="558"/>
    <cellStyle name="40% - 강조색3 2 3 3" xfId="559"/>
    <cellStyle name="40% - 강조색3 2 3 4" xfId="560"/>
    <cellStyle name="40% - 강조색3 2 4" xfId="561"/>
    <cellStyle name="40% - 강조색3 2 5" xfId="562"/>
    <cellStyle name="40% - 강조색3 2 6" xfId="563"/>
    <cellStyle name="40% - 강조색3 2 7" xfId="564"/>
    <cellStyle name="40% - 강조색3 2 8" xfId="565"/>
    <cellStyle name="40% - 강조색3 2 9" xfId="566"/>
    <cellStyle name="40% - 강조색3 20" xfId="567"/>
    <cellStyle name="40% - 강조색3 21" xfId="568"/>
    <cellStyle name="40% - 강조색3 22" xfId="569"/>
    <cellStyle name="40% - 강조색3 23" xfId="570"/>
    <cellStyle name="40% - 강조색3 24" xfId="571"/>
    <cellStyle name="40% - 강조색3 25" xfId="572"/>
    <cellStyle name="40% - 강조색3 26" xfId="573"/>
    <cellStyle name="40% - 강조색3 27" xfId="574"/>
    <cellStyle name="40% - 강조색3 28" xfId="575"/>
    <cellStyle name="40% - 강조색3 29" xfId="576"/>
    <cellStyle name="40% - 강조색3 3" xfId="577"/>
    <cellStyle name="40% - 강조색3 3 2" xfId="578"/>
    <cellStyle name="40% - 강조색3 30" xfId="579"/>
    <cellStyle name="40% - 강조색3 31" xfId="580"/>
    <cellStyle name="40% - 강조색3 32" xfId="581"/>
    <cellStyle name="40% - 강조색3 4" xfId="582"/>
    <cellStyle name="40% - 강조색3 5" xfId="583"/>
    <cellStyle name="40% - 강조색3 6" xfId="584"/>
    <cellStyle name="40% - 강조색3 7" xfId="585"/>
    <cellStyle name="40% - 강조색3 8" xfId="586"/>
    <cellStyle name="40% - 강조색3 9" xfId="587"/>
    <cellStyle name="40% - 강조색4 10" xfId="588"/>
    <cellStyle name="40% - 강조색4 11" xfId="589"/>
    <cellStyle name="40% - 강조색4 12" xfId="590"/>
    <cellStyle name="40% - 강조색4 13" xfId="591"/>
    <cellStyle name="40% - 강조색4 14" xfId="592"/>
    <cellStyle name="40% - 강조색4 15" xfId="593"/>
    <cellStyle name="40% - 강조색4 16" xfId="594"/>
    <cellStyle name="40% - 강조색4 17" xfId="595"/>
    <cellStyle name="40% - 강조색4 18" xfId="596"/>
    <cellStyle name="40% - 강조색4 19" xfId="597"/>
    <cellStyle name="40% - 강조색4 2" xfId="598"/>
    <cellStyle name="40% - 강조색4 2 10" xfId="599"/>
    <cellStyle name="40% - 강조색4 2 11" xfId="600"/>
    <cellStyle name="40% - 강조색4 2 12" xfId="601"/>
    <cellStyle name="40% - 강조색4 2 13" xfId="602"/>
    <cellStyle name="40% - 강조색4 2 14" xfId="603"/>
    <cellStyle name="40% - 강조색4 2 2" xfId="604"/>
    <cellStyle name="40% - 강조색4 2 2 2" xfId="605"/>
    <cellStyle name="40% - 강조색4 2 2 3" xfId="606"/>
    <cellStyle name="40% - 강조색4 2 2 4" xfId="607"/>
    <cellStyle name="40% - 강조색4 2 2 5" xfId="608"/>
    <cellStyle name="40% - 강조색4 2 3" xfId="609"/>
    <cellStyle name="40% - 강조색4 2 3 2" xfId="610"/>
    <cellStyle name="40% - 강조색4 2 3 3" xfId="611"/>
    <cellStyle name="40% - 강조색4 2 3 4" xfId="612"/>
    <cellStyle name="40% - 강조색4 2 4" xfId="613"/>
    <cellStyle name="40% - 강조색4 2 5" xfId="614"/>
    <cellStyle name="40% - 강조색4 2 6" xfId="615"/>
    <cellStyle name="40% - 강조색4 2 7" xfId="616"/>
    <cellStyle name="40% - 강조색4 2 8" xfId="617"/>
    <cellStyle name="40% - 강조색4 2 9" xfId="618"/>
    <cellStyle name="40% - 강조색4 20" xfId="619"/>
    <cellStyle name="40% - 강조색4 21" xfId="620"/>
    <cellStyle name="40% - 강조색4 22" xfId="621"/>
    <cellStyle name="40% - 강조색4 23" xfId="622"/>
    <cellStyle name="40% - 강조색4 24" xfId="623"/>
    <cellStyle name="40% - 강조색4 25" xfId="624"/>
    <cellStyle name="40% - 강조색4 26" xfId="625"/>
    <cellStyle name="40% - 강조색4 27" xfId="626"/>
    <cellStyle name="40% - 강조색4 28" xfId="627"/>
    <cellStyle name="40% - 강조색4 29" xfId="628"/>
    <cellStyle name="40% - 강조색4 3" xfId="629"/>
    <cellStyle name="40% - 강조색4 3 2" xfId="630"/>
    <cellStyle name="40% - 강조색4 30" xfId="631"/>
    <cellStyle name="40% - 강조색4 31" xfId="632"/>
    <cellStyle name="40% - 강조색4 32" xfId="633"/>
    <cellStyle name="40% - 강조색4 4" xfId="634"/>
    <cellStyle name="40% - 강조색4 5" xfId="635"/>
    <cellStyle name="40% - 강조색4 6" xfId="636"/>
    <cellStyle name="40% - 강조색4 7" xfId="637"/>
    <cellStyle name="40% - 강조색4 8" xfId="638"/>
    <cellStyle name="40% - 강조색4 9" xfId="639"/>
    <cellStyle name="40% - 강조색5 10" xfId="640"/>
    <cellStyle name="40% - 강조색5 11" xfId="641"/>
    <cellStyle name="40% - 강조색5 12" xfId="642"/>
    <cellStyle name="40% - 강조색5 13" xfId="643"/>
    <cellStyle name="40% - 강조색5 14" xfId="644"/>
    <cellStyle name="40% - 강조색5 15" xfId="645"/>
    <cellStyle name="40% - 강조색5 16" xfId="646"/>
    <cellStyle name="40% - 강조색5 17" xfId="647"/>
    <cellStyle name="40% - 강조색5 18" xfId="648"/>
    <cellStyle name="40% - 강조색5 19" xfId="649"/>
    <cellStyle name="40% - 강조색5 2" xfId="650"/>
    <cellStyle name="40% - 강조색5 2 10" xfId="651"/>
    <cellStyle name="40% - 강조색5 2 11" xfId="652"/>
    <cellStyle name="40% - 강조색5 2 12" xfId="653"/>
    <cellStyle name="40% - 강조색5 2 13" xfId="654"/>
    <cellStyle name="40% - 강조색5 2 14" xfId="655"/>
    <cellStyle name="40% - 강조색5 2 2" xfId="656"/>
    <cellStyle name="40% - 강조색5 2 2 2" xfId="657"/>
    <cellStyle name="40% - 강조색5 2 2 3" xfId="658"/>
    <cellStyle name="40% - 강조색5 2 2 4" xfId="659"/>
    <cellStyle name="40% - 강조색5 2 2 5" xfId="660"/>
    <cellStyle name="40% - 강조색5 2 3" xfId="661"/>
    <cellStyle name="40% - 강조색5 2 3 2" xfId="662"/>
    <cellStyle name="40% - 강조색5 2 3 3" xfId="663"/>
    <cellStyle name="40% - 강조색5 2 3 4" xfId="664"/>
    <cellStyle name="40% - 강조색5 2 4" xfId="665"/>
    <cellStyle name="40% - 강조색5 2 5" xfId="666"/>
    <cellStyle name="40% - 강조색5 2 6" xfId="667"/>
    <cellStyle name="40% - 강조색5 2 7" xfId="668"/>
    <cellStyle name="40% - 강조색5 2 8" xfId="669"/>
    <cellStyle name="40% - 강조색5 2 9" xfId="670"/>
    <cellStyle name="40% - 강조색5 20" xfId="671"/>
    <cellStyle name="40% - 강조색5 21" xfId="672"/>
    <cellStyle name="40% - 강조색5 22" xfId="673"/>
    <cellStyle name="40% - 강조색5 23" xfId="674"/>
    <cellStyle name="40% - 강조색5 24" xfId="675"/>
    <cellStyle name="40% - 강조색5 25" xfId="676"/>
    <cellStyle name="40% - 강조색5 26" xfId="677"/>
    <cellStyle name="40% - 강조색5 27" xfId="678"/>
    <cellStyle name="40% - 강조색5 28" xfId="679"/>
    <cellStyle name="40% - 강조색5 29" xfId="680"/>
    <cellStyle name="40% - 강조색5 3" xfId="681"/>
    <cellStyle name="40% - 강조색5 3 2" xfId="682"/>
    <cellStyle name="40% - 강조색5 30" xfId="683"/>
    <cellStyle name="40% - 강조색5 31" xfId="684"/>
    <cellStyle name="40% - 강조색5 32" xfId="685"/>
    <cellStyle name="40% - 강조색5 4" xfId="686"/>
    <cellStyle name="40% - 강조색5 5" xfId="687"/>
    <cellStyle name="40% - 강조색5 6" xfId="688"/>
    <cellStyle name="40% - 강조색5 7" xfId="689"/>
    <cellStyle name="40% - 강조색5 8" xfId="690"/>
    <cellStyle name="40% - 강조색5 9" xfId="691"/>
    <cellStyle name="40% - 강조색6 10" xfId="692"/>
    <cellStyle name="40% - 강조색6 11" xfId="693"/>
    <cellStyle name="40% - 강조색6 12" xfId="694"/>
    <cellStyle name="40% - 강조색6 13" xfId="695"/>
    <cellStyle name="40% - 강조색6 14" xfId="696"/>
    <cellStyle name="40% - 강조색6 15" xfId="697"/>
    <cellStyle name="40% - 강조색6 16" xfId="698"/>
    <cellStyle name="40% - 강조색6 17" xfId="699"/>
    <cellStyle name="40% - 강조색6 18" xfId="700"/>
    <cellStyle name="40% - 강조색6 19" xfId="701"/>
    <cellStyle name="40% - 강조색6 2" xfId="702"/>
    <cellStyle name="40% - 강조색6 2 10" xfId="703"/>
    <cellStyle name="40% - 강조색6 2 11" xfId="704"/>
    <cellStyle name="40% - 강조색6 2 12" xfId="705"/>
    <cellStyle name="40% - 강조색6 2 13" xfId="706"/>
    <cellStyle name="40% - 강조색6 2 14" xfId="707"/>
    <cellStyle name="40% - 강조색6 2 2" xfId="708"/>
    <cellStyle name="40% - 강조색6 2 2 2" xfId="709"/>
    <cellStyle name="40% - 강조색6 2 2 3" xfId="710"/>
    <cellStyle name="40% - 강조색6 2 2 4" xfId="711"/>
    <cellStyle name="40% - 강조색6 2 2 5" xfId="712"/>
    <cellStyle name="40% - 강조색6 2 3" xfId="713"/>
    <cellStyle name="40% - 강조색6 2 3 2" xfId="714"/>
    <cellStyle name="40% - 강조색6 2 3 3" xfId="715"/>
    <cellStyle name="40% - 강조색6 2 3 4" xfId="716"/>
    <cellStyle name="40% - 강조색6 2 4" xfId="717"/>
    <cellStyle name="40% - 강조색6 2 5" xfId="718"/>
    <cellStyle name="40% - 강조색6 2 6" xfId="719"/>
    <cellStyle name="40% - 강조색6 2 7" xfId="720"/>
    <cellStyle name="40% - 강조색6 2 8" xfId="721"/>
    <cellStyle name="40% - 강조색6 2 9" xfId="722"/>
    <cellStyle name="40% - 강조색6 20" xfId="723"/>
    <cellStyle name="40% - 강조색6 21" xfId="724"/>
    <cellStyle name="40% - 강조색6 22" xfId="725"/>
    <cellStyle name="40% - 강조색6 23" xfId="726"/>
    <cellStyle name="40% - 강조색6 24" xfId="727"/>
    <cellStyle name="40% - 강조색6 25" xfId="728"/>
    <cellStyle name="40% - 강조색6 26" xfId="729"/>
    <cellStyle name="40% - 강조색6 27" xfId="730"/>
    <cellStyle name="40% - 강조색6 28" xfId="731"/>
    <cellStyle name="40% - 강조색6 29" xfId="732"/>
    <cellStyle name="40% - 강조색6 3" xfId="733"/>
    <cellStyle name="40% - 강조색6 3 2" xfId="734"/>
    <cellStyle name="40% - 강조색6 30" xfId="735"/>
    <cellStyle name="40% - 강조색6 31" xfId="736"/>
    <cellStyle name="40% - 강조색6 32" xfId="737"/>
    <cellStyle name="40% - 강조색6 4" xfId="738"/>
    <cellStyle name="40% - 강조색6 5" xfId="739"/>
    <cellStyle name="40% - 강조색6 6" xfId="740"/>
    <cellStyle name="40% - 강조색6 7" xfId="741"/>
    <cellStyle name="40% - 강조색6 8" xfId="742"/>
    <cellStyle name="40% - 강조색6 9" xfId="743"/>
    <cellStyle name="60% - 강조색1 10" xfId="744"/>
    <cellStyle name="60% - 강조색1 11" xfId="745"/>
    <cellStyle name="60% - 강조색1 12" xfId="746"/>
    <cellStyle name="60% - 강조색1 13" xfId="747"/>
    <cellStyle name="60% - 강조색1 14" xfId="748"/>
    <cellStyle name="60% - 강조색1 15" xfId="749"/>
    <cellStyle name="60% - 강조색1 16" xfId="750"/>
    <cellStyle name="60% - 강조색1 17" xfId="751"/>
    <cellStyle name="60% - 강조색1 18" xfId="752"/>
    <cellStyle name="60% - 강조색1 19" xfId="753"/>
    <cellStyle name="60% - 강조색1 2" xfId="754"/>
    <cellStyle name="60% - 강조색1 2 10" xfId="755"/>
    <cellStyle name="60% - 강조색1 2 11" xfId="756"/>
    <cellStyle name="60% - 강조색1 2 12" xfId="757"/>
    <cellStyle name="60% - 강조색1 2 2" xfId="758"/>
    <cellStyle name="60% - 강조색1 2 2 2" xfId="759"/>
    <cellStyle name="60% - 강조색1 2 2 3" xfId="760"/>
    <cellStyle name="60% - 강조색1 2 3" xfId="761"/>
    <cellStyle name="60% - 강조색1 2 4" xfId="762"/>
    <cellStyle name="60% - 강조색1 2 5" xfId="763"/>
    <cellStyle name="60% - 강조색1 2 6" xfId="764"/>
    <cellStyle name="60% - 강조색1 2 7" xfId="765"/>
    <cellStyle name="60% - 강조색1 2 8" xfId="766"/>
    <cellStyle name="60% - 강조색1 2 9" xfId="767"/>
    <cellStyle name="60% - 강조색1 20" xfId="768"/>
    <cellStyle name="60% - 강조색1 21" xfId="769"/>
    <cellStyle name="60% - 강조색1 22" xfId="770"/>
    <cellStyle name="60% - 강조색1 23" xfId="771"/>
    <cellStyle name="60% - 강조색1 24" xfId="772"/>
    <cellStyle name="60% - 강조색1 25" xfId="773"/>
    <cellStyle name="60% - 강조색1 26" xfId="774"/>
    <cellStyle name="60% - 강조색1 27" xfId="775"/>
    <cellStyle name="60% - 강조색1 28" xfId="776"/>
    <cellStyle name="60% - 강조색1 29" xfId="777"/>
    <cellStyle name="60% - 강조색1 3" xfId="778"/>
    <cellStyle name="60% - 강조색1 3 2" xfId="779"/>
    <cellStyle name="60% - 강조색1 30" xfId="780"/>
    <cellStyle name="60% - 강조색1 31" xfId="781"/>
    <cellStyle name="60% - 강조색1 32" xfId="782"/>
    <cellStyle name="60% - 강조색1 4" xfId="783"/>
    <cellStyle name="60% - 강조색1 5" xfId="784"/>
    <cellStyle name="60% - 강조색1 6" xfId="785"/>
    <cellStyle name="60% - 강조색1 7" xfId="786"/>
    <cellStyle name="60% - 강조색1 8" xfId="787"/>
    <cellStyle name="60% - 강조색1 9" xfId="788"/>
    <cellStyle name="60% - 강조색2 10" xfId="789"/>
    <cellStyle name="60% - 강조색2 11" xfId="790"/>
    <cellStyle name="60% - 강조색2 12" xfId="791"/>
    <cellStyle name="60% - 강조색2 13" xfId="792"/>
    <cellStyle name="60% - 강조색2 14" xfId="793"/>
    <cellStyle name="60% - 강조색2 15" xfId="794"/>
    <cellStyle name="60% - 강조색2 16" xfId="795"/>
    <cellStyle name="60% - 강조색2 17" xfId="796"/>
    <cellStyle name="60% - 강조색2 18" xfId="797"/>
    <cellStyle name="60% - 강조색2 19" xfId="798"/>
    <cellStyle name="60% - 강조색2 2" xfId="799"/>
    <cellStyle name="60% - 강조색2 2 10" xfId="800"/>
    <cellStyle name="60% - 강조색2 2 11" xfId="801"/>
    <cellStyle name="60% - 강조색2 2 12" xfId="802"/>
    <cellStyle name="60% - 강조색2 2 2" xfId="803"/>
    <cellStyle name="60% - 강조색2 2 2 2" xfId="804"/>
    <cellStyle name="60% - 강조색2 2 2 3" xfId="805"/>
    <cellStyle name="60% - 강조색2 2 3" xfId="806"/>
    <cellStyle name="60% - 강조색2 2 4" xfId="807"/>
    <cellStyle name="60% - 강조색2 2 5" xfId="808"/>
    <cellStyle name="60% - 강조색2 2 6" xfId="809"/>
    <cellStyle name="60% - 강조색2 2 7" xfId="810"/>
    <cellStyle name="60% - 강조색2 2 8" xfId="811"/>
    <cellStyle name="60% - 강조색2 2 9" xfId="812"/>
    <cellStyle name="60% - 강조색2 20" xfId="813"/>
    <cellStyle name="60% - 강조색2 21" xfId="814"/>
    <cellStyle name="60% - 강조색2 22" xfId="815"/>
    <cellStyle name="60% - 강조색2 23" xfId="816"/>
    <cellStyle name="60% - 강조색2 24" xfId="817"/>
    <cellStyle name="60% - 강조색2 25" xfId="818"/>
    <cellStyle name="60% - 강조색2 26" xfId="819"/>
    <cellStyle name="60% - 강조색2 27" xfId="820"/>
    <cellStyle name="60% - 강조색2 28" xfId="821"/>
    <cellStyle name="60% - 강조색2 29" xfId="822"/>
    <cellStyle name="60% - 강조색2 3" xfId="823"/>
    <cellStyle name="60% - 강조색2 3 2" xfId="824"/>
    <cellStyle name="60% - 강조색2 30" xfId="825"/>
    <cellStyle name="60% - 강조색2 31" xfId="826"/>
    <cellStyle name="60% - 강조색2 32" xfId="827"/>
    <cellStyle name="60% - 강조색2 4" xfId="828"/>
    <cellStyle name="60% - 강조색2 5" xfId="829"/>
    <cellStyle name="60% - 강조색2 6" xfId="830"/>
    <cellStyle name="60% - 강조색2 7" xfId="831"/>
    <cellStyle name="60% - 강조색2 8" xfId="832"/>
    <cellStyle name="60% - 강조색2 9" xfId="833"/>
    <cellStyle name="60% - 강조색3 10" xfId="834"/>
    <cellStyle name="60% - 강조색3 11" xfId="835"/>
    <cellStyle name="60% - 강조색3 12" xfId="836"/>
    <cellStyle name="60% - 강조색3 13" xfId="837"/>
    <cellStyle name="60% - 강조색3 14" xfId="838"/>
    <cellStyle name="60% - 강조색3 15" xfId="839"/>
    <cellStyle name="60% - 강조색3 16" xfId="840"/>
    <cellStyle name="60% - 강조색3 17" xfId="841"/>
    <cellStyle name="60% - 강조색3 18" xfId="842"/>
    <cellStyle name="60% - 강조색3 19" xfId="843"/>
    <cellStyle name="60% - 강조색3 2" xfId="844"/>
    <cellStyle name="60% - 강조색3 2 10" xfId="845"/>
    <cellStyle name="60% - 강조색3 2 11" xfId="846"/>
    <cellStyle name="60% - 강조색3 2 12" xfId="847"/>
    <cellStyle name="60% - 강조색3 2 2" xfId="848"/>
    <cellStyle name="60% - 강조색3 2 2 2" xfId="849"/>
    <cellStyle name="60% - 강조색3 2 2 3" xfId="850"/>
    <cellStyle name="60% - 강조색3 2 3" xfId="851"/>
    <cellStyle name="60% - 강조색3 2 4" xfId="852"/>
    <cellStyle name="60% - 강조색3 2 5" xfId="853"/>
    <cellStyle name="60% - 강조색3 2 6" xfId="854"/>
    <cellStyle name="60% - 강조색3 2 7" xfId="855"/>
    <cellStyle name="60% - 강조색3 2 8" xfId="856"/>
    <cellStyle name="60% - 강조색3 2 9" xfId="857"/>
    <cellStyle name="60% - 강조색3 20" xfId="858"/>
    <cellStyle name="60% - 강조색3 21" xfId="859"/>
    <cellStyle name="60% - 강조색3 22" xfId="860"/>
    <cellStyle name="60% - 강조색3 23" xfId="861"/>
    <cellStyle name="60% - 강조색3 24" xfId="862"/>
    <cellStyle name="60% - 강조색3 25" xfId="863"/>
    <cellStyle name="60% - 강조색3 26" xfId="864"/>
    <cellStyle name="60% - 강조색3 27" xfId="865"/>
    <cellStyle name="60% - 강조색3 28" xfId="866"/>
    <cellStyle name="60% - 강조색3 29" xfId="867"/>
    <cellStyle name="60% - 강조색3 3" xfId="868"/>
    <cellStyle name="60% - 강조색3 3 2" xfId="869"/>
    <cellStyle name="60% - 강조색3 30" xfId="870"/>
    <cellStyle name="60% - 강조색3 31" xfId="871"/>
    <cellStyle name="60% - 강조색3 32" xfId="872"/>
    <cellStyle name="60% - 강조색3 4" xfId="873"/>
    <cellStyle name="60% - 강조색3 5" xfId="874"/>
    <cellStyle name="60% - 강조색3 6" xfId="875"/>
    <cellStyle name="60% - 강조색3 7" xfId="876"/>
    <cellStyle name="60% - 강조색3 8" xfId="877"/>
    <cellStyle name="60% - 강조색3 9" xfId="878"/>
    <cellStyle name="60% - 강조색4 10" xfId="879"/>
    <cellStyle name="60% - 강조색4 11" xfId="880"/>
    <cellStyle name="60% - 강조색4 12" xfId="881"/>
    <cellStyle name="60% - 강조색4 13" xfId="882"/>
    <cellStyle name="60% - 강조색4 14" xfId="883"/>
    <cellStyle name="60% - 강조색4 15" xfId="884"/>
    <cellStyle name="60% - 강조색4 16" xfId="885"/>
    <cellStyle name="60% - 강조색4 17" xfId="886"/>
    <cellStyle name="60% - 강조색4 18" xfId="887"/>
    <cellStyle name="60% - 강조색4 19" xfId="888"/>
    <cellStyle name="60% - 강조색4 2" xfId="889"/>
    <cellStyle name="60% - 강조색4 2 10" xfId="890"/>
    <cellStyle name="60% - 강조색4 2 11" xfId="891"/>
    <cellStyle name="60% - 강조색4 2 12" xfId="892"/>
    <cellStyle name="60% - 강조색4 2 2" xfId="893"/>
    <cellStyle name="60% - 강조색4 2 2 2" xfId="894"/>
    <cellStyle name="60% - 강조색4 2 2 3" xfId="895"/>
    <cellStyle name="60% - 강조색4 2 3" xfId="896"/>
    <cellStyle name="60% - 강조색4 2 4" xfId="897"/>
    <cellStyle name="60% - 강조색4 2 5" xfId="898"/>
    <cellStyle name="60% - 강조색4 2 6" xfId="899"/>
    <cellStyle name="60% - 강조색4 2 7" xfId="900"/>
    <cellStyle name="60% - 강조색4 2 8" xfId="901"/>
    <cellStyle name="60% - 강조색4 2 9" xfId="902"/>
    <cellStyle name="60% - 강조색4 20" xfId="903"/>
    <cellStyle name="60% - 강조색4 21" xfId="904"/>
    <cellStyle name="60% - 강조색4 22" xfId="905"/>
    <cellStyle name="60% - 강조색4 23" xfId="906"/>
    <cellStyle name="60% - 강조색4 24" xfId="907"/>
    <cellStyle name="60% - 강조색4 25" xfId="908"/>
    <cellStyle name="60% - 강조색4 26" xfId="909"/>
    <cellStyle name="60% - 강조색4 27" xfId="910"/>
    <cellStyle name="60% - 강조색4 28" xfId="911"/>
    <cellStyle name="60% - 강조색4 29" xfId="912"/>
    <cellStyle name="60% - 강조색4 3" xfId="913"/>
    <cellStyle name="60% - 강조색4 3 2" xfId="914"/>
    <cellStyle name="60% - 강조색4 30" xfId="915"/>
    <cellStyle name="60% - 강조색4 31" xfId="916"/>
    <cellStyle name="60% - 강조색4 32" xfId="917"/>
    <cellStyle name="60% - 강조색4 4" xfId="918"/>
    <cellStyle name="60% - 강조색4 5" xfId="919"/>
    <cellStyle name="60% - 강조색4 6" xfId="920"/>
    <cellStyle name="60% - 강조색4 7" xfId="921"/>
    <cellStyle name="60% - 강조색4 8" xfId="922"/>
    <cellStyle name="60% - 강조색4 9" xfId="923"/>
    <cellStyle name="60% - 강조색5 10" xfId="924"/>
    <cellStyle name="60% - 강조색5 11" xfId="925"/>
    <cellStyle name="60% - 강조색5 12" xfId="926"/>
    <cellStyle name="60% - 강조색5 13" xfId="927"/>
    <cellStyle name="60% - 강조색5 14" xfId="928"/>
    <cellStyle name="60% - 강조색5 15" xfId="929"/>
    <cellStyle name="60% - 강조색5 16" xfId="930"/>
    <cellStyle name="60% - 강조색5 17" xfId="931"/>
    <cellStyle name="60% - 강조색5 18" xfId="932"/>
    <cellStyle name="60% - 강조색5 19" xfId="933"/>
    <cellStyle name="60% - 강조색5 2" xfId="934"/>
    <cellStyle name="60% - 강조색5 2 10" xfId="935"/>
    <cellStyle name="60% - 강조색5 2 11" xfId="936"/>
    <cellStyle name="60% - 강조색5 2 12" xfId="937"/>
    <cellStyle name="60% - 강조색5 2 2" xfId="938"/>
    <cellStyle name="60% - 강조색5 2 2 2" xfId="939"/>
    <cellStyle name="60% - 강조색5 2 2 3" xfId="940"/>
    <cellStyle name="60% - 강조색5 2 3" xfId="941"/>
    <cellStyle name="60% - 강조색5 2 4" xfId="942"/>
    <cellStyle name="60% - 강조색5 2 5" xfId="943"/>
    <cellStyle name="60% - 강조색5 2 6" xfId="944"/>
    <cellStyle name="60% - 강조색5 2 7" xfId="945"/>
    <cellStyle name="60% - 강조색5 2 8" xfId="946"/>
    <cellStyle name="60% - 강조색5 2 9" xfId="947"/>
    <cellStyle name="60% - 강조색5 20" xfId="948"/>
    <cellStyle name="60% - 강조색5 21" xfId="949"/>
    <cellStyle name="60% - 강조색5 22" xfId="950"/>
    <cellStyle name="60% - 강조색5 23" xfId="951"/>
    <cellStyle name="60% - 강조색5 24" xfId="952"/>
    <cellStyle name="60% - 강조색5 25" xfId="953"/>
    <cellStyle name="60% - 강조색5 26" xfId="954"/>
    <cellStyle name="60% - 강조색5 27" xfId="955"/>
    <cellStyle name="60% - 강조색5 28" xfId="956"/>
    <cellStyle name="60% - 강조색5 29" xfId="957"/>
    <cellStyle name="60% - 강조색5 3" xfId="958"/>
    <cellStyle name="60% - 강조색5 3 2" xfId="959"/>
    <cellStyle name="60% - 강조색5 30" xfId="960"/>
    <cellStyle name="60% - 강조색5 31" xfId="961"/>
    <cellStyle name="60% - 강조색5 32" xfId="962"/>
    <cellStyle name="60% - 강조색5 4" xfId="963"/>
    <cellStyle name="60% - 강조색5 5" xfId="964"/>
    <cellStyle name="60% - 강조색5 6" xfId="965"/>
    <cellStyle name="60% - 강조색5 7" xfId="966"/>
    <cellStyle name="60% - 강조색5 8" xfId="967"/>
    <cellStyle name="60% - 강조색5 9" xfId="968"/>
    <cellStyle name="60% - 강조색6 10" xfId="969"/>
    <cellStyle name="60% - 강조색6 11" xfId="970"/>
    <cellStyle name="60% - 강조색6 12" xfId="971"/>
    <cellStyle name="60% - 강조색6 13" xfId="972"/>
    <cellStyle name="60% - 강조색6 14" xfId="973"/>
    <cellStyle name="60% - 강조색6 15" xfId="974"/>
    <cellStyle name="60% - 강조색6 16" xfId="975"/>
    <cellStyle name="60% - 강조색6 17" xfId="976"/>
    <cellStyle name="60% - 강조색6 18" xfId="977"/>
    <cellStyle name="60% - 강조색6 19" xfId="978"/>
    <cellStyle name="60% - 강조색6 2" xfId="979"/>
    <cellStyle name="60% - 강조색6 2 10" xfId="980"/>
    <cellStyle name="60% - 강조색6 2 11" xfId="981"/>
    <cellStyle name="60% - 강조색6 2 12" xfId="982"/>
    <cellStyle name="60% - 강조색6 2 2" xfId="983"/>
    <cellStyle name="60% - 강조색6 2 2 2" xfId="984"/>
    <cellStyle name="60% - 강조색6 2 2 3" xfId="985"/>
    <cellStyle name="60% - 강조색6 2 3" xfId="986"/>
    <cellStyle name="60% - 강조색6 2 4" xfId="987"/>
    <cellStyle name="60% - 강조색6 2 5" xfId="988"/>
    <cellStyle name="60% - 강조색6 2 6" xfId="989"/>
    <cellStyle name="60% - 강조색6 2 7" xfId="990"/>
    <cellStyle name="60% - 강조색6 2 8" xfId="991"/>
    <cellStyle name="60% - 강조색6 2 9" xfId="992"/>
    <cellStyle name="60% - 강조색6 20" xfId="993"/>
    <cellStyle name="60% - 강조색6 21" xfId="994"/>
    <cellStyle name="60% - 강조색6 22" xfId="995"/>
    <cellStyle name="60% - 강조색6 23" xfId="996"/>
    <cellStyle name="60% - 강조색6 24" xfId="997"/>
    <cellStyle name="60% - 강조색6 25" xfId="998"/>
    <cellStyle name="60% - 강조색6 26" xfId="999"/>
    <cellStyle name="60% - 강조색6 27" xfId="1000"/>
    <cellStyle name="60% - 강조색6 28" xfId="1001"/>
    <cellStyle name="60% - 강조색6 29" xfId="1002"/>
    <cellStyle name="60% - 강조색6 3" xfId="1003"/>
    <cellStyle name="60% - 강조색6 3 2" xfId="1004"/>
    <cellStyle name="60% - 강조색6 30" xfId="1005"/>
    <cellStyle name="60% - 강조색6 31" xfId="1006"/>
    <cellStyle name="60% - 강조색6 32" xfId="1007"/>
    <cellStyle name="60% - 강조색6 4" xfId="1008"/>
    <cellStyle name="60% - 강조색6 5" xfId="1009"/>
    <cellStyle name="60% - 강조색6 6" xfId="1010"/>
    <cellStyle name="60% - 강조색6 7" xfId="1011"/>
    <cellStyle name="60% - 강조색6 8" xfId="1012"/>
    <cellStyle name="60% - 강조색6 9" xfId="1013"/>
    <cellStyle name="A¨­￠￢￠O [0]_INQUIRY ￠?￥i¨u¡AAⓒ￢Aⓒª " xfId="1014"/>
    <cellStyle name="A¨­￠￢￠O_INQUIRY ￠?￥i¨u¡AAⓒ￢Aⓒª " xfId="1015"/>
    <cellStyle name="AeE­ [0]_AMT " xfId="1016"/>
    <cellStyle name="AeE­_AMT " xfId="1017"/>
    <cellStyle name="AeE¡ⓒ [0]_INQUIRY ￠?￥i¨u¡AAⓒ￢Aⓒª " xfId="1018"/>
    <cellStyle name="AeE¡ⓒ_INQUIRY ￠?￥i¨u¡AAⓒ￢Aⓒª " xfId="1019"/>
    <cellStyle name="AÞ¸¶ [0]_AN°y(1.25) " xfId="1020"/>
    <cellStyle name="AÞ¸¶_AN°y(1.25) " xfId="1021"/>
    <cellStyle name="C¡IA¨ª_¡ic¨u¡A¨￢I¨￢¡Æ AN¡Æe " xfId="1022"/>
    <cellStyle name="C￥AØ_¿μ¾÷CoE² " xfId="1023"/>
    <cellStyle name="Comma [0]_ SG&amp;A Bridge " xfId="1024"/>
    <cellStyle name="Comma_ SG&amp;A Bridge " xfId="1025"/>
    <cellStyle name="Comma0" xfId="1026"/>
    <cellStyle name="Curren?_x0012_퐀_x0017_?" xfId="1027"/>
    <cellStyle name="Currency [0]_ SG&amp;A Bridge " xfId="1028"/>
    <cellStyle name="Currency_ SG&amp;A Bridge " xfId="1029"/>
    <cellStyle name="Currency0" xfId="1030"/>
    <cellStyle name="Date" xfId="1031"/>
    <cellStyle name="Fixed" xfId="1032"/>
    <cellStyle name="Header1" xfId="1033"/>
    <cellStyle name="Header2" xfId="1034"/>
    <cellStyle name="Header2 2" xfId="1035"/>
    <cellStyle name="Header2 2 10" xfId="1036"/>
    <cellStyle name="Header2 2 10 2" xfId="1037"/>
    <cellStyle name="Header2 2 11" xfId="1038"/>
    <cellStyle name="Header2 2 2" xfId="1039"/>
    <cellStyle name="Header2 2 2 2" xfId="1040"/>
    <cellStyle name="Header2 2 2 2 2" xfId="1041"/>
    <cellStyle name="Header2 2 2 3" xfId="1042"/>
    <cellStyle name="Header2 2 2 3 2" xfId="1043"/>
    <cellStyle name="Header2 2 2 4" xfId="1044"/>
    <cellStyle name="Header2 2 2 4 2" xfId="1045"/>
    <cellStyle name="Header2 2 2 5" xfId="1046"/>
    <cellStyle name="Header2 2 2 5 2" xfId="1047"/>
    <cellStyle name="Header2 2 2 6" xfId="1048"/>
    <cellStyle name="Header2 2 2 6 2" xfId="1049"/>
    <cellStyle name="Header2 2 2 7" xfId="1050"/>
    <cellStyle name="Header2 2 2 7 2" xfId="1051"/>
    <cellStyle name="Header2 2 2 8" xfId="1052"/>
    <cellStyle name="Header2 2 2 8 2" xfId="1053"/>
    <cellStyle name="Header2 2 2 9" xfId="1054"/>
    <cellStyle name="Header2 2 3" xfId="1055"/>
    <cellStyle name="Header2 2 3 2" xfId="1056"/>
    <cellStyle name="Header2 2 3 2 2" xfId="1057"/>
    <cellStyle name="Header2 2 3 3" xfId="1058"/>
    <cellStyle name="Header2 2 3 3 2" xfId="1059"/>
    <cellStyle name="Header2 2 3 4" xfId="1060"/>
    <cellStyle name="Header2 2 3 4 2" xfId="1061"/>
    <cellStyle name="Header2 2 3 5" xfId="1062"/>
    <cellStyle name="Header2 2 3 5 2" xfId="1063"/>
    <cellStyle name="Header2 2 3 6" xfId="1064"/>
    <cellStyle name="Header2 2 3 6 2" xfId="1065"/>
    <cellStyle name="Header2 2 3 7" xfId="1066"/>
    <cellStyle name="Header2 2 3 7 2" xfId="1067"/>
    <cellStyle name="Header2 2 3 8" xfId="1068"/>
    <cellStyle name="Header2 2 3 8 2" xfId="1069"/>
    <cellStyle name="Header2 2 3 9" xfId="1070"/>
    <cellStyle name="Header2 2 4" xfId="1071"/>
    <cellStyle name="Header2 2 4 2" xfId="1072"/>
    <cellStyle name="Header2 2 5" xfId="1073"/>
    <cellStyle name="Header2 2 5 2" xfId="1074"/>
    <cellStyle name="Header2 2 6" xfId="1075"/>
    <cellStyle name="Header2 2 6 2" xfId="1076"/>
    <cellStyle name="Header2 2 7" xfId="1077"/>
    <cellStyle name="Header2 2 7 2" xfId="1078"/>
    <cellStyle name="Header2 2 8" xfId="1079"/>
    <cellStyle name="Header2 2 8 2" xfId="1080"/>
    <cellStyle name="Header2 2 9" xfId="1081"/>
    <cellStyle name="Header2 2 9 2" xfId="1082"/>
    <cellStyle name="Header2 3" xfId="1083"/>
    <cellStyle name="Header2 3 2" xfId="1084"/>
    <cellStyle name="Header2 3 2 2" xfId="1085"/>
    <cellStyle name="Header2 3 3" xfId="1086"/>
    <cellStyle name="Header2 3 3 2" xfId="1087"/>
    <cellStyle name="Header2 3 4" xfId="1088"/>
    <cellStyle name="Header2 3 4 2" xfId="1089"/>
    <cellStyle name="Header2 3 5" xfId="1090"/>
    <cellStyle name="Header2 3 5 2" xfId="1091"/>
    <cellStyle name="Header2 3 6" xfId="1092"/>
    <cellStyle name="Header2 3 6 2" xfId="1093"/>
    <cellStyle name="Header2 3 7" xfId="1094"/>
    <cellStyle name="Header2 3 7 2" xfId="1095"/>
    <cellStyle name="Header2 3 8" xfId="1096"/>
    <cellStyle name="Header2 3 8 2" xfId="1097"/>
    <cellStyle name="Header2 3 9" xfId="1098"/>
    <cellStyle name="Header2 4" xfId="1099"/>
    <cellStyle name="Header2 4 2" xfId="1100"/>
    <cellStyle name="Header2 4 2 2" xfId="1101"/>
    <cellStyle name="Header2 4 3" xfId="1102"/>
    <cellStyle name="Header2 4 3 2" xfId="1103"/>
    <cellStyle name="Header2 4 4" xfId="1104"/>
    <cellStyle name="Header2 4 4 2" xfId="1105"/>
    <cellStyle name="Header2 4 5" xfId="1106"/>
    <cellStyle name="Header2 4 5 2" xfId="1107"/>
    <cellStyle name="Header2 4 6" xfId="1108"/>
    <cellStyle name="Header2 4 6 2" xfId="1109"/>
    <cellStyle name="Header2 4 7" xfId="1110"/>
    <cellStyle name="Header2 4 7 2" xfId="1111"/>
    <cellStyle name="Header2 4 8" xfId="1112"/>
    <cellStyle name="Header2 4 8 2" xfId="1113"/>
    <cellStyle name="Header2 4 9" xfId="1114"/>
    <cellStyle name="Header2 5" xfId="1115"/>
    <cellStyle name="Header2 5 2" xfId="1116"/>
    <cellStyle name="Header2 6" xfId="1117"/>
    <cellStyle name="Header2 6 2" xfId="1118"/>
    <cellStyle name="Header2 7" xfId="1119"/>
    <cellStyle name="Header2 7 2" xfId="1120"/>
    <cellStyle name="Heading 1" xfId="1121"/>
    <cellStyle name="Heading 2" xfId="1122"/>
    <cellStyle name="Normal_ SG&amp;A Bridge " xfId="1123"/>
    <cellStyle name="Percent [2]" xfId="1124"/>
    <cellStyle name="subhead" xfId="1125"/>
    <cellStyle name="Total" xfId="1126"/>
    <cellStyle name="Total 2" xfId="1127"/>
    <cellStyle name="Total 2 2" xfId="1128"/>
    <cellStyle name="Total 3" xfId="1129"/>
    <cellStyle name="강조색1 10" xfId="1130"/>
    <cellStyle name="강조색1 11" xfId="1131"/>
    <cellStyle name="강조색1 12" xfId="1132"/>
    <cellStyle name="강조색1 13" xfId="1133"/>
    <cellStyle name="강조색1 14" xfId="1134"/>
    <cellStyle name="강조색1 15" xfId="1135"/>
    <cellStyle name="강조색1 16" xfId="1136"/>
    <cellStyle name="강조색1 17" xfId="1137"/>
    <cellStyle name="강조색1 18" xfId="1138"/>
    <cellStyle name="강조색1 19" xfId="1139"/>
    <cellStyle name="강조색1 2" xfId="1140"/>
    <cellStyle name="강조색1 2 10" xfId="1141"/>
    <cellStyle name="강조색1 2 11" xfId="1142"/>
    <cellStyle name="강조색1 2 12" xfId="1143"/>
    <cellStyle name="강조색1 2 2" xfId="1144"/>
    <cellStyle name="강조색1 2 2 2" xfId="1145"/>
    <cellStyle name="강조색1 2 2 3" xfId="1146"/>
    <cellStyle name="강조색1 2 3" xfId="1147"/>
    <cellStyle name="강조색1 2 4" xfId="1148"/>
    <cellStyle name="강조색1 2 5" xfId="1149"/>
    <cellStyle name="강조색1 2 6" xfId="1150"/>
    <cellStyle name="강조색1 2 7" xfId="1151"/>
    <cellStyle name="강조색1 2 8" xfId="1152"/>
    <cellStyle name="강조색1 2 9" xfId="1153"/>
    <cellStyle name="강조색1 20" xfId="1154"/>
    <cellStyle name="강조색1 21" xfId="1155"/>
    <cellStyle name="강조색1 22" xfId="1156"/>
    <cellStyle name="강조색1 23" xfId="1157"/>
    <cellStyle name="강조색1 24" xfId="1158"/>
    <cellStyle name="강조색1 25" xfId="1159"/>
    <cellStyle name="강조색1 26" xfId="1160"/>
    <cellStyle name="강조색1 27" xfId="1161"/>
    <cellStyle name="강조색1 28" xfId="1162"/>
    <cellStyle name="강조색1 29" xfId="1163"/>
    <cellStyle name="강조색1 3" xfId="1164"/>
    <cellStyle name="강조색1 3 2" xfId="1165"/>
    <cellStyle name="강조색1 30" xfId="1166"/>
    <cellStyle name="강조색1 31" xfId="1167"/>
    <cellStyle name="강조색1 32" xfId="1168"/>
    <cellStyle name="강조색1 4" xfId="1169"/>
    <cellStyle name="강조색1 5" xfId="1170"/>
    <cellStyle name="강조색1 6" xfId="1171"/>
    <cellStyle name="강조색1 7" xfId="1172"/>
    <cellStyle name="강조색1 8" xfId="1173"/>
    <cellStyle name="강조색1 9" xfId="1174"/>
    <cellStyle name="강조색2 10" xfId="1175"/>
    <cellStyle name="강조색2 11" xfId="1176"/>
    <cellStyle name="강조색2 12" xfId="1177"/>
    <cellStyle name="강조색2 13" xfId="1178"/>
    <cellStyle name="강조색2 14" xfId="1179"/>
    <cellStyle name="강조색2 15" xfId="1180"/>
    <cellStyle name="강조색2 16" xfId="1181"/>
    <cellStyle name="강조색2 17" xfId="1182"/>
    <cellStyle name="강조색2 18" xfId="1183"/>
    <cellStyle name="강조색2 19" xfId="1184"/>
    <cellStyle name="강조색2 2" xfId="1185"/>
    <cellStyle name="강조색2 2 10" xfId="1186"/>
    <cellStyle name="강조색2 2 11" xfId="1187"/>
    <cellStyle name="강조색2 2 12" xfId="1188"/>
    <cellStyle name="강조색2 2 2" xfId="1189"/>
    <cellStyle name="강조색2 2 2 2" xfId="1190"/>
    <cellStyle name="강조색2 2 2 3" xfId="1191"/>
    <cellStyle name="강조색2 2 3" xfId="1192"/>
    <cellStyle name="강조색2 2 4" xfId="1193"/>
    <cellStyle name="강조색2 2 5" xfId="1194"/>
    <cellStyle name="강조색2 2 6" xfId="1195"/>
    <cellStyle name="강조색2 2 7" xfId="1196"/>
    <cellStyle name="강조색2 2 8" xfId="1197"/>
    <cellStyle name="강조색2 2 9" xfId="1198"/>
    <cellStyle name="강조색2 20" xfId="1199"/>
    <cellStyle name="강조색2 21" xfId="1200"/>
    <cellStyle name="강조색2 22" xfId="1201"/>
    <cellStyle name="강조색2 23" xfId="1202"/>
    <cellStyle name="강조색2 24" xfId="1203"/>
    <cellStyle name="강조색2 25" xfId="1204"/>
    <cellStyle name="강조색2 26" xfId="1205"/>
    <cellStyle name="강조색2 27" xfId="1206"/>
    <cellStyle name="강조색2 28" xfId="1207"/>
    <cellStyle name="강조색2 29" xfId="1208"/>
    <cellStyle name="강조색2 3" xfId="1209"/>
    <cellStyle name="강조색2 3 2" xfId="1210"/>
    <cellStyle name="강조색2 30" xfId="1211"/>
    <cellStyle name="강조색2 31" xfId="1212"/>
    <cellStyle name="강조색2 32" xfId="1213"/>
    <cellStyle name="강조색2 4" xfId="1214"/>
    <cellStyle name="강조색2 5" xfId="1215"/>
    <cellStyle name="강조색2 6" xfId="1216"/>
    <cellStyle name="강조색2 7" xfId="1217"/>
    <cellStyle name="강조색2 8" xfId="1218"/>
    <cellStyle name="강조색2 9" xfId="1219"/>
    <cellStyle name="강조색3 10" xfId="1220"/>
    <cellStyle name="강조색3 11" xfId="1221"/>
    <cellStyle name="강조색3 12" xfId="1222"/>
    <cellStyle name="강조색3 13" xfId="1223"/>
    <cellStyle name="강조색3 14" xfId="1224"/>
    <cellStyle name="강조색3 15" xfId="1225"/>
    <cellStyle name="강조색3 16" xfId="1226"/>
    <cellStyle name="강조색3 17" xfId="1227"/>
    <cellStyle name="강조색3 18" xfId="1228"/>
    <cellStyle name="강조색3 19" xfId="1229"/>
    <cellStyle name="강조색3 2" xfId="1230"/>
    <cellStyle name="강조색3 2 10" xfId="1231"/>
    <cellStyle name="강조색3 2 11" xfId="1232"/>
    <cellStyle name="강조색3 2 12" xfId="1233"/>
    <cellStyle name="강조색3 2 2" xfId="1234"/>
    <cellStyle name="강조색3 2 2 2" xfId="1235"/>
    <cellStyle name="강조색3 2 2 3" xfId="1236"/>
    <cellStyle name="강조색3 2 3" xfId="1237"/>
    <cellStyle name="강조색3 2 4" xfId="1238"/>
    <cellStyle name="강조색3 2 5" xfId="1239"/>
    <cellStyle name="강조색3 2 6" xfId="1240"/>
    <cellStyle name="강조색3 2 7" xfId="1241"/>
    <cellStyle name="강조색3 2 8" xfId="1242"/>
    <cellStyle name="강조색3 2 9" xfId="1243"/>
    <cellStyle name="강조색3 20" xfId="1244"/>
    <cellStyle name="강조색3 21" xfId="1245"/>
    <cellStyle name="강조색3 22" xfId="1246"/>
    <cellStyle name="강조색3 23" xfId="1247"/>
    <cellStyle name="강조색3 24" xfId="1248"/>
    <cellStyle name="강조색3 25" xfId="1249"/>
    <cellStyle name="강조색3 26" xfId="1250"/>
    <cellStyle name="강조색3 27" xfId="1251"/>
    <cellStyle name="강조색3 28" xfId="1252"/>
    <cellStyle name="강조색3 29" xfId="1253"/>
    <cellStyle name="강조색3 3" xfId="1254"/>
    <cellStyle name="강조색3 3 2" xfId="1255"/>
    <cellStyle name="강조색3 30" xfId="1256"/>
    <cellStyle name="강조색3 31" xfId="1257"/>
    <cellStyle name="강조색3 32" xfId="1258"/>
    <cellStyle name="강조색3 4" xfId="1259"/>
    <cellStyle name="강조색3 5" xfId="1260"/>
    <cellStyle name="강조색3 6" xfId="1261"/>
    <cellStyle name="강조색3 7" xfId="1262"/>
    <cellStyle name="강조색3 8" xfId="1263"/>
    <cellStyle name="강조색3 9" xfId="1264"/>
    <cellStyle name="강조색4 10" xfId="1265"/>
    <cellStyle name="강조색4 11" xfId="1266"/>
    <cellStyle name="강조색4 12" xfId="1267"/>
    <cellStyle name="강조색4 13" xfId="1268"/>
    <cellStyle name="강조색4 14" xfId="1269"/>
    <cellStyle name="강조색4 15" xfId="1270"/>
    <cellStyle name="강조색4 16" xfId="1271"/>
    <cellStyle name="강조색4 17" xfId="1272"/>
    <cellStyle name="강조색4 18" xfId="1273"/>
    <cellStyle name="강조색4 19" xfId="1274"/>
    <cellStyle name="강조색4 2" xfId="1275"/>
    <cellStyle name="강조색4 2 10" xfId="1276"/>
    <cellStyle name="강조색4 2 11" xfId="1277"/>
    <cellStyle name="강조색4 2 12" xfId="1278"/>
    <cellStyle name="강조색4 2 2" xfId="1279"/>
    <cellStyle name="강조색4 2 2 2" xfId="1280"/>
    <cellStyle name="강조색4 2 2 3" xfId="1281"/>
    <cellStyle name="강조색4 2 3" xfId="1282"/>
    <cellStyle name="강조색4 2 4" xfId="1283"/>
    <cellStyle name="강조색4 2 5" xfId="1284"/>
    <cellStyle name="강조색4 2 6" xfId="1285"/>
    <cellStyle name="강조색4 2 7" xfId="1286"/>
    <cellStyle name="강조색4 2 8" xfId="1287"/>
    <cellStyle name="강조색4 2 9" xfId="1288"/>
    <cellStyle name="강조색4 20" xfId="1289"/>
    <cellStyle name="강조색4 21" xfId="1290"/>
    <cellStyle name="강조색4 22" xfId="1291"/>
    <cellStyle name="강조색4 23" xfId="1292"/>
    <cellStyle name="강조색4 24" xfId="1293"/>
    <cellStyle name="강조색4 25" xfId="1294"/>
    <cellStyle name="강조색4 26" xfId="1295"/>
    <cellStyle name="강조색4 27" xfId="1296"/>
    <cellStyle name="강조색4 28" xfId="1297"/>
    <cellStyle name="강조색4 29" xfId="1298"/>
    <cellStyle name="강조색4 3" xfId="1299"/>
    <cellStyle name="강조색4 3 2" xfId="1300"/>
    <cellStyle name="강조색4 30" xfId="1301"/>
    <cellStyle name="강조색4 31" xfId="1302"/>
    <cellStyle name="강조색4 32" xfId="1303"/>
    <cellStyle name="강조색4 4" xfId="1304"/>
    <cellStyle name="강조색4 5" xfId="1305"/>
    <cellStyle name="강조색4 6" xfId="1306"/>
    <cellStyle name="강조색4 7" xfId="1307"/>
    <cellStyle name="강조색4 8" xfId="1308"/>
    <cellStyle name="강조색4 9" xfId="1309"/>
    <cellStyle name="강조색5 10" xfId="1310"/>
    <cellStyle name="강조색5 11" xfId="1311"/>
    <cellStyle name="강조색5 12" xfId="1312"/>
    <cellStyle name="강조색5 13" xfId="1313"/>
    <cellStyle name="강조색5 14" xfId="1314"/>
    <cellStyle name="강조색5 15" xfId="1315"/>
    <cellStyle name="강조색5 16" xfId="1316"/>
    <cellStyle name="강조색5 17" xfId="1317"/>
    <cellStyle name="강조색5 18" xfId="1318"/>
    <cellStyle name="강조색5 19" xfId="1319"/>
    <cellStyle name="강조색5 2" xfId="1320"/>
    <cellStyle name="강조색5 2 10" xfId="1321"/>
    <cellStyle name="강조색5 2 11" xfId="1322"/>
    <cellStyle name="강조색5 2 12" xfId="1323"/>
    <cellStyle name="강조색5 2 2" xfId="1324"/>
    <cellStyle name="강조색5 2 2 2" xfId="1325"/>
    <cellStyle name="강조색5 2 2 3" xfId="1326"/>
    <cellStyle name="강조색5 2 3" xfId="1327"/>
    <cellStyle name="강조색5 2 4" xfId="1328"/>
    <cellStyle name="강조색5 2 5" xfId="1329"/>
    <cellStyle name="강조색5 2 6" xfId="1330"/>
    <cellStyle name="강조색5 2 7" xfId="1331"/>
    <cellStyle name="강조색5 2 8" xfId="1332"/>
    <cellStyle name="강조색5 2 9" xfId="1333"/>
    <cellStyle name="강조색5 20" xfId="1334"/>
    <cellStyle name="강조색5 21" xfId="1335"/>
    <cellStyle name="강조색5 22" xfId="1336"/>
    <cellStyle name="강조색5 23" xfId="1337"/>
    <cellStyle name="강조색5 24" xfId="1338"/>
    <cellStyle name="강조색5 25" xfId="1339"/>
    <cellStyle name="강조색5 26" xfId="1340"/>
    <cellStyle name="강조색5 27" xfId="1341"/>
    <cellStyle name="강조색5 28" xfId="1342"/>
    <cellStyle name="강조색5 29" xfId="1343"/>
    <cellStyle name="강조색5 3" xfId="1344"/>
    <cellStyle name="강조색5 3 2" xfId="1345"/>
    <cellStyle name="강조색5 30" xfId="1346"/>
    <cellStyle name="강조색5 31" xfId="1347"/>
    <cellStyle name="강조색5 32" xfId="1348"/>
    <cellStyle name="강조색5 4" xfId="1349"/>
    <cellStyle name="강조색5 5" xfId="1350"/>
    <cellStyle name="강조색5 6" xfId="1351"/>
    <cellStyle name="강조색5 7" xfId="1352"/>
    <cellStyle name="강조색5 8" xfId="1353"/>
    <cellStyle name="강조색5 9" xfId="1354"/>
    <cellStyle name="강조색6 10" xfId="1355"/>
    <cellStyle name="강조색6 11" xfId="1356"/>
    <cellStyle name="강조색6 12" xfId="1357"/>
    <cellStyle name="강조색6 13" xfId="1358"/>
    <cellStyle name="강조색6 14" xfId="1359"/>
    <cellStyle name="강조색6 15" xfId="1360"/>
    <cellStyle name="강조색6 16" xfId="1361"/>
    <cellStyle name="강조색6 17" xfId="1362"/>
    <cellStyle name="강조색6 18" xfId="1363"/>
    <cellStyle name="강조색6 19" xfId="1364"/>
    <cellStyle name="강조색6 2" xfId="1365"/>
    <cellStyle name="강조색6 2 10" xfId="1366"/>
    <cellStyle name="강조색6 2 11" xfId="1367"/>
    <cellStyle name="강조색6 2 12" xfId="1368"/>
    <cellStyle name="강조색6 2 2" xfId="1369"/>
    <cellStyle name="강조색6 2 2 2" xfId="1370"/>
    <cellStyle name="강조색6 2 2 3" xfId="1371"/>
    <cellStyle name="강조색6 2 3" xfId="1372"/>
    <cellStyle name="강조색6 2 4" xfId="1373"/>
    <cellStyle name="강조색6 2 5" xfId="1374"/>
    <cellStyle name="강조색6 2 6" xfId="1375"/>
    <cellStyle name="강조색6 2 7" xfId="1376"/>
    <cellStyle name="강조색6 2 8" xfId="1377"/>
    <cellStyle name="강조색6 2 9" xfId="1378"/>
    <cellStyle name="강조색6 20" xfId="1379"/>
    <cellStyle name="강조색6 21" xfId="1380"/>
    <cellStyle name="강조색6 22" xfId="1381"/>
    <cellStyle name="강조색6 23" xfId="1382"/>
    <cellStyle name="강조색6 24" xfId="1383"/>
    <cellStyle name="강조색6 25" xfId="1384"/>
    <cellStyle name="강조색6 26" xfId="1385"/>
    <cellStyle name="강조색6 27" xfId="1386"/>
    <cellStyle name="강조색6 28" xfId="1387"/>
    <cellStyle name="강조색6 29" xfId="1388"/>
    <cellStyle name="강조색6 3" xfId="1389"/>
    <cellStyle name="강조색6 3 2" xfId="1390"/>
    <cellStyle name="강조색6 30" xfId="1391"/>
    <cellStyle name="강조색6 31" xfId="1392"/>
    <cellStyle name="강조색6 32" xfId="1393"/>
    <cellStyle name="강조색6 4" xfId="1394"/>
    <cellStyle name="강조색6 5" xfId="1395"/>
    <cellStyle name="강조색6 6" xfId="1396"/>
    <cellStyle name="강조색6 7" xfId="1397"/>
    <cellStyle name="강조색6 8" xfId="1398"/>
    <cellStyle name="강조색6 9" xfId="1399"/>
    <cellStyle name="경고문 10" xfId="1400"/>
    <cellStyle name="경고문 11" xfId="1401"/>
    <cellStyle name="경고문 12" xfId="1402"/>
    <cellStyle name="경고문 13" xfId="1403"/>
    <cellStyle name="경고문 14" xfId="1404"/>
    <cellStyle name="경고문 15" xfId="1405"/>
    <cellStyle name="경고문 16" xfId="1406"/>
    <cellStyle name="경고문 17" xfId="1407"/>
    <cellStyle name="경고문 18" xfId="1408"/>
    <cellStyle name="경고문 19" xfId="1409"/>
    <cellStyle name="경고문 2" xfId="1410"/>
    <cellStyle name="경고문 2 10" xfId="1411"/>
    <cellStyle name="경고문 2 11" xfId="1412"/>
    <cellStyle name="경고문 2 12" xfId="1413"/>
    <cellStyle name="경고문 2 2" xfId="1414"/>
    <cellStyle name="경고문 2 2 2" xfId="1415"/>
    <cellStyle name="경고문 2 2 3" xfId="1416"/>
    <cellStyle name="경고문 2 3" xfId="1417"/>
    <cellStyle name="경고문 2 4" xfId="1418"/>
    <cellStyle name="경고문 2 5" xfId="1419"/>
    <cellStyle name="경고문 2 6" xfId="1420"/>
    <cellStyle name="경고문 2 7" xfId="1421"/>
    <cellStyle name="경고문 2 8" xfId="1422"/>
    <cellStyle name="경고문 2 9" xfId="1423"/>
    <cellStyle name="경고문 20" xfId="1424"/>
    <cellStyle name="경고문 21" xfId="1425"/>
    <cellStyle name="경고문 22" xfId="1426"/>
    <cellStyle name="경고문 23" xfId="1427"/>
    <cellStyle name="경고문 24" xfId="1428"/>
    <cellStyle name="경고문 25" xfId="1429"/>
    <cellStyle name="경고문 26" xfId="1430"/>
    <cellStyle name="경고문 27" xfId="1431"/>
    <cellStyle name="경고문 28" xfId="1432"/>
    <cellStyle name="경고문 29" xfId="1433"/>
    <cellStyle name="경고문 3" xfId="1434"/>
    <cellStyle name="경고문 3 2" xfId="1435"/>
    <cellStyle name="경고문 30" xfId="1436"/>
    <cellStyle name="경고문 31" xfId="1437"/>
    <cellStyle name="경고문 32" xfId="1438"/>
    <cellStyle name="경고문 4" xfId="1439"/>
    <cellStyle name="경고문 5" xfId="1440"/>
    <cellStyle name="경고문 6" xfId="1441"/>
    <cellStyle name="경고문 7" xfId="1442"/>
    <cellStyle name="경고문 8" xfId="1443"/>
    <cellStyle name="경고문 9" xfId="1444"/>
    <cellStyle name="계산 10" xfId="1445"/>
    <cellStyle name="계산 11" xfId="1446"/>
    <cellStyle name="계산 12" xfId="1447"/>
    <cellStyle name="계산 13" xfId="1448"/>
    <cellStyle name="계산 14" xfId="1449"/>
    <cellStyle name="계산 15" xfId="1450"/>
    <cellStyle name="계산 16" xfId="1451"/>
    <cellStyle name="계산 17" xfId="1452"/>
    <cellStyle name="계산 18" xfId="1453"/>
    <cellStyle name="계산 19" xfId="1454"/>
    <cellStyle name="계산 2" xfId="1455"/>
    <cellStyle name="계산 2 10" xfId="1456"/>
    <cellStyle name="계산 2 11" xfId="1457"/>
    <cellStyle name="계산 2 12" xfId="1458"/>
    <cellStyle name="계산 2 2" xfId="1459"/>
    <cellStyle name="계산 2 2 10" xfId="1460"/>
    <cellStyle name="계산 2 2 10 2" xfId="1461"/>
    <cellStyle name="계산 2 2 11" xfId="1462"/>
    <cellStyle name="계산 2 2 11 2" xfId="1463"/>
    <cellStyle name="계산 2 2 2" xfId="1464"/>
    <cellStyle name="계산 2 2 2 10" xfId="1465"/>
    <cellStyle name="계산 2 2 2 2" xfId="1466"/>
    <cellStyle name="계산 2 2 2 2 2" xfId="1467"/>
    <cellStyle name="계산 2 2 2 3" xfId="1468"/>
    <cellStyle name="계산 2 2 2 3 2" xfId="1469"/>
    <cellStyle name="계산 2 2 2 4" xfId="1470"/>
    <cellStyle name="계산 2 2 2 4 2" xfId="1471"/>
    <cellStyle name="계산 2 2 2 5" xfId="1472"/>
    <cellStyle name="계산 2 2 2 5 2" xfId="1473"/>
    <cellStyle name="계산 2 2 2 6" xfId="1474"/>
    <cellStyle name="계산 2 2 2 6 2" xfId="1475"/>
    <cellStyle name="계산 2 2 2 7" xfId="1476"/>
    <cellStyle name="계산 2 2 2 7 2" xfId="1477"/>
    <cellStyle name="계산 2 2 2 8" xfId="1478"/>
    <cellStyle name="계산 2 2 2 8 2" xfId="1479"/>
    <cellStyle name="계산 2 2 2 9" xfId="1480"/>
    <cellStyle name="계산 2 2 2 9 2" xfId="1481"/>
    <cellStyle name="계산 2 2 3" xfId="1482"/>
    <cellStyle name="계산 2 2 3 10" xfId="1483"/>
    <cellStyle name="계산 2 2 3 2" xfId="1484"/>
    <cellStyle name="계산 2 2 3 2 2" xfId="1485"/>
    <cellStyle name="계산 2 2 3 3" xfId="1486"/>
    <cellStyle name="계산 2 2 3 3 2" xfId="1487"/>
    <cellStyle name="계산 2 2 3 4" xfId="1488"/>
    <cellStyle name="계산 2 2 3 4 2" xfId="1489"/>
    <cellStyle name="계산 2 2 3 5" xfId="1490"/>
    <cellStyle name="계산 2 2 3 5 2" xfId="1491"/>
    <cellStyle name="계산 2 2 3 6" xfId="1492"/>
    <cellStyle name="계산 2 2 3 6 2" xfId="1493"/>
    <cellStyle name="계산 2 2 3 7" xfId="1494"/>
    <cellStyle name="계산 2 2 3 7 2" xfId="1495"/>
    <cellStyle name="계산 2 2 3 8" xfId="1496"/>
    <cellStyle name="계산 2 2 3 8 2" xfId="1497"/>
    <cellStyle name="계산 2 2 3 9" xfId="1498"/>
    <cellStyle name="계산 2 2 3 9 2" xfId="1499"/>
    <cellStyle name="계산 2 2 4" xfId="1500"/>
    <cellStyle name="계산 2 2 4 2" xfId="1501"/>
    <cellStyle name="계산 2 2 5" xfId="1502"/>
    <cellStyle name="계산 2 2 5 2" xfId="1503"/>
    <cellStyle name="계산 2 2 6" xfId="1504"/>
    <cellStyle name="계산 2 2 6 2" xfId="1505"/>
    <cellStyle name="계산 2 2 7" xfId="1506"/>
    <cellStyle name="계산 2 2 7 2" xfId="1507"/>
    <cellStyle name="계산 2 2 8" xfId="1508"/>
    <cellStyle name="계산 2 2 8 2" xfId="1509"/>
    <cellStyle name="계산 2 2 9" xfId="1510"/>
    <cellStyle name="계산 2 2 9 2" xfId="1511"/>
    <cellStyle name="계산 2 3" xfId="1512"/>
    <cellStyle name="계산 2 3 10" xfId="1513"/>
    <cellStyle name="계산 2 3 10 2" xfId="1514"/>
    <cellStyle name="계산 2 3 2" xfId="1515"/>
    <cellStyle name="계산 2 3 2 2" xfId="1516"/>
    <cellStyle name="계산 2 3 3" xfId="1517"/>
    <cellStyle name="계산 2 3 3 2" xfId="1518"/>
    <cellStyle name="계산 2 3 4" xfId="1519"/>
    <cellStyle name="계산 2 3 4 2" xfId="1520"/>
    <cellStyle name="계산 2 3 5" xfId="1521"/>
    <cellStyle name="계산 2 3 5 2" xfId="1522"/>
    <cellStyle name="계산 2 3 6" xfId="1523"/>
    <cellStyle name="계산 2 3 6 2" xfId="1524"/>
    <cellStyle name="계산 2 3 7" xfId="1525"/>
    <cellStyle name="계산 2 3 7 2" xfId="1526"/>
    <cellStyle name="계산 2 3 8" xfId="1527"/>
    <cellStyle name="계산 2 3 8 2" xfId="1528"/>
    <cellStyle name="계산 2 3 9" xfId="1529"/>
    <cellStyle name="계산 2 3 9 2" xfId="1530"/>
    <cellStyle name="계산 2 4" xfId="1531"/>
    <cellStyle name="계산 2 4 10" xfId="1532"/>
    <cellStyle name="계산 2 4 10 2" xfId="1533"/>
    <cellStyle name="계산 2 4 2" xfId="1534"/>
    <cellStyle name="계산 2 4 2 2" xfId="1535"/>
    <cellStyle name="계산 2 4 3" xfId="1536"/>
    <cellStyle name="계산 2 4 3 2" xfId="1537"/>
    <cellStyle name="계산 2 4 4" xfId="1538"/>
    <cellStyle name="계산 2 4 4 2" xfId="1539"/>
    <cellStyle name="계산 2 4 5" xfId="1540"/>
    <cellStyle name="계산 2 4 5 2" xfId="1541"/>
    <cellStyle name="계산 2 4 6" xfId="1542"/>
    <cellStyle name="계산 2 4 6 2" xfId="1543"/>
    <cellStyle name="계산 2 4 7" xfId="1544"/>
    <cellStyle name="계산 2 4 7 2" xfId="1545"/>
    <cellStyle name="계산 2 4 8" xfId="1546"/>
    <cellStyle name="계산 2 4 8 2" xfId="1547"/>
    <cellStyle name="계산 2 4 9" xfId="1548"/>
    <cellStyle name="계산 2 4 9 2" xfId="1549"/>
    <cellStyle name="계산 2 5" xfId="1550"/>
    <cellStyle name="계산 2 5 2" xfId="1551"/>
    <cellStyle name="계산 2 5 2 2" xfId="1552"/>
    <cellStyle name="계산 2 6" xfId="1553"/>
    <cellStyle name="계산 2 6 2" xfId="1554"/>
    <cellStyle name="계산 2 6 3" xfId="1555"/>
    <cellStyle name="계산 2 7" xfId="1556"/>
    <cellStyle name="계산 2 8" xfId="1557"/>
    <cellStyle name="계산 2 9" xfId="1558"/>
    <cellStyle name="계산 20" xfId="1559"/>
    <cellStyle name="계산 21" xfId="1560"/>
    <cellStyle name="계산 22" xfId="1561"/>
    <cellStyle name="계산 23" xfId="1562"/>
    <cellStyle name="계산 24" xfId="1563"/>
    <cellStyle name="계산 25" xfId="1564"/>
    <cellStyle name="계산 26" xfId="1565"/>
    <cellStyle name="계산 27" xfId="1566"/>
    <cellStyle name="계산 28" xfId="1567"/>
    <cellStyle name="계산 29" xfId="1568"/>
    <cellStyle name="계산 3" xfId="1569"/>
    <cellStyle name="계산 3 2" xfId="1570"/>
    <cellStyle name="계산 30" xfId="1571"/>
    <cellStyle name="계산 31" xfId="1572"/>
    <cellStyle name="계산 32" xfId="1573"/>
    <cellStyle name="계산 4" xfId="1574"/>
    <cellStyle name="계산 5" xfId="1575"/>
    <cellStyle name="계산 6" xfId="1576"/>
    <cellStyle name="계산 7" xfId="1577"/>
    <cellStyle name="계산 8" xfId="1578"/>
    <cellStyle name="계산 9" xfId="1579"/>
    <cellStyle name="나쁨 10" xfId="1580"/>
    <cellStyle name="나쁨 11" xfId="1581"/>
    <cellStyle name="나쁨 12" xfId="1582"/>
    <cellStyle name="나쁨 13" xfId="1583"/>
    <cellStyle name="나쁨 14" xfId="1584"/>
    <cellStyle name="나쁨 15" xfId="1585"/>
    <cellStyle name="나쁨 16" xfId="1586"/>
    <cellStyle name="나쁨 17" xfId="1587"/>
    <cellStyle name="나쁨 18" xfId="1588"/>
    <cellStyle name="나쁨 19" xfId="1589"/>
    <cellStyle name="나쁨 2" xfId="1590"/>
    <cellStyle name="나쁨 2 10" xfId="1591"/>
    <cellStyle name="나쁨 2 11" xfId="1592"/>
    <cellStyle name="나쁨 2 12" xfId="1593"/>
    <cellStyle name="나쁨 2 2" xfId="1594"/>
    <cellStyle name="나쁨 2 2 2" xfId="1595"/>
    <cellStyle name="나쁨 2 2 3" xfId="1596"/>
    <cellStyle name="나쁨 2 3" xfId="1597"/>
    <cellStyle name="나쁨 2 4" xfId="1598"/>
    <cellStyle name="나쁨 2 5" xfId="1599"/>
    <cellStyle name="나쁨 2 6" xfId="1600"/>
    <cellStyle name="나쁨 2 7" xfId="1601"/>
    <cellStyle name="나쁨 2 8" xfId="1602"/>
    <cellStyle name="나쁨 2 9" xfId="1603"/>
    <cellStyle name="나쁨 20" xfId="1604"/>
    <cellStyle name="나쁨 21" xfId="1605"/>
    <cellStyle name="나쁨 22" xfId="1606"/>
    <cellStyle name="나쁨 23" xfId="1607"/>
    <cellStyle name="나쁨 24" xfId="1608"/>
    <cellStyle name="나쁨 25" xfId="1609"/>
    <cellStyle name="나쁨 26" xfId="1610"/>
    <cellStyle name="나쁨 27" xfId="1611"/>
    <cellStyle name="나쁨 28" xfId="1612"/>
    <cellStyle name="나쁨 29" xfId="1613"/>
    <cellStyle name="나쁨 3" xfId="1614"/>
    <cellStyle name="나쁨 3 2" xfId="1615"/>
    <cellStyle name="나쁨 30" xfId="1616"/>
    <cellStyle name="나쁨 31" xfId="1617"/>
    <cellStyle name="나쁨 32" xfId="1618"/>
    <cellStyle name="나쁨 4" xfId="1619"/>
    <cellStyle name="나쁨 5" xfId="1620"/>
    <cellStyle name="나쁨 6" xfId="1621"/>
    <cellStyle name="나쁨 7" xfId="1622"/>
    <cellStyle name="나쁨 8" xfId="1623"/>
    <cellStyle name="나쁨 9" xfId="1624"/>
    <cellStyle name="똿뗦먛귟 [0.00]_PRODUCT DETAIL Q1" xfId="1625"/>
    <cellStyle name="똿뗦먛귟_PRODUCT DETAIL Q1" xfId="1626"/>
    <cellStyle name="메모 10" xfId="1627"/>
    <cellStyle name="메모 11" xfId="1628"/>
    <cellStyle name="메모 12" xfId="1629"/>
    <cellStyle name="메모 13" xfId="1630"/>
    <cellStyle name="메모 14" xfId="1631"/>
    <cellStyle name="메모 15" xfId="1632"/>
    <cellStyle name="메모 16" xfId="1633"/>
    <cellStyle name="메모 17" xfId="1634"/>
    <cellStyle name="메모 18" xfId="1635"/>
    <cellStyle name="메모 19" xfId="1636"/>
    <cellStyle name="메모 2" xfId="1637"/>
    <cellStyle name="메모 2 10" xfId="1638"/>
    <cellStyle name="메모 2 11" xfId="1639"/>
    <cellStyle name="메모 2 12" xfId="1640"/>
    <cellStyle name="메모 2 2" xfId="1641"/>
    <cellStyle name="메모 2 2 10" xfId="1642"/>
    <cellStyle name="메모 2 2 11" xfId="1643"/>
    <cellStyle name="메모 2 2 12" xfId="1644"/>
    <cellStyle name="메모 2 2 2" xfId="1645"/>
    <cellStyle name="메모 2 2 2 2" xfId="1646"/>
    <cellStyle name="메모 2 2 2 3" xfId="1647"/>
    <cellStyle name="메모 2 2 2 4" xfId="1648"/>
    <cellStyle name="메모 2 2 2 5" xfId="1649"/>
    <cellStyle name="메모 2 2 2 6" xfId="1650"/>
    <cellStyle name="메모 2 2 2 7" xfId="1651"/>
    <cellStyle name="메모 2 2 2 8" xfId="1652"/>
    <cellStyle name="메모 2 2 2 9" xfId="1653"/>
    <cellStyle name="메모 2 2 3" xfId="1654"/>
    <cellStyle name="메모 2 2 3 2" xfId="1655"/>
    <cellStyle name="메모 2 2 3 3" xfId="1656"/>
    <cellStyle name="메모 2 2 3 4" xfId="1657"/>
    <cellStyle name="메모 2 2 3 5" xfId="1658"/>
    <cellStyle name="메모 2 2 3 6" xfId="1659"/>
    <cellStyle name="메모 2 2 3 7" xfId="1660"/>
    <cellStyle name="메모 2 2 3 8" xfId="1661"/>
    <cellStyle name="메모 2 2 3 9" xfId="1662"/>
    <cellStyle name="메모 2 2 4" xfId="1663"/>
    <cellStyle name="메모 2 2 5" xfId="1664"/>
    <cellStyle name="메모 2 2 6" xfId="1665"/>
    <cellStyle name="메모 2 2 7" xfId="1666"/>
    <cellStyle name="메모 2 2 8" xfId="1667"/>
    <cellStyle name="메모 2 2 9" xfId="1668"/>
    <cellStyle name="메모 2 3" xfId="1669"/>
    <cellStyle name="메모 2 3 10" xfId="1670"/>
    <cellStyle name="메모 2 3 2" xfId="1671"/>
    <cellStyle name="메모 2 3 3" xfId="1672"/>
    <cellStyle name="메모 2 3 4" xfId="1673"/>
    <cellStyle name="메모 2 3 5" xfId="1674"/>
    <cellStyle name="메모 2 3 6" xfId="1675"/>
    <cellStyle name="메모 2 3 7" xfId="1676"/>
    <cellStyle name="메모 2 3 8" xfId="1677"/>
    <cellStyle name="메모 2 3 9" xfId="1678"/>
    <cellStyle name="메모 2 4" xfId="1679"/>
    <cellStyle name="메모 2 4 10" xfId="1680"/>
    <cellStyle name="메모 2 4 2" xfId="1681"/>
    <cellStyle name="메모 2 4 3" xfId="1682"/>
    <cellStyle name="메모 2 4 4" xfId="1683"/>
    <cellStyle name="메모 2 4 5" xfId="1684"/>
    <cellStyle name="메모 2 4 6" xfId="1685"/>
    <cellStyle name="메모 2 4 7" xfId="1686"/>
    <cellStyle name="메모 2 4 8" xfId="1687"/>
    <cellStyle name="메모 2 4 9" xfId="1688"/>
    <cellStyle name="메모 2 5" xfId="1689"/>
    <cellStyle name="메모 2 5 2" xfId="1690"/>
    <cellStyle name="메모 2 6" xfId="1691"/>
    <cellStyle name="메모 2 6 2" xfId="1692"/>
    <cellStyle name="메모 2 7" xfId="1693"/>
    <cellStyle name="메모 2 8" xfId="1694"/>
    <cellStyle name="메모 2 9" xfId="1695"/>
    <cellStyle name="메모 20" xfId="1696"/>
    <cellStyle name="메모 21" xfId="1697"/>
    <cellStyle name="메모 22" xfId="1698"/>
    <cellStyle name="메모 23" xfId="1699"/>
    <cellStyle name="메모 24" xfId="1700"/>
    <cellStyle name="메모 25" xfId="1701"/>
    <cellStyle name="메모 26" xfId="1702"/>
    <cellStyle name="메모 27" xfId="1703"/>
    <cellStyle name="메모 28" xfId="1704"/>
    <cellStyle name="메모 29" xfId="1705"/>
    <cellStyle name="메모 3" xfId="1706"/>
    <cellStyle name="메모 3 2" xfId="1707"/>
    <cellStyle name="메모 30" xfId="1708"/>
    <cellStyle name="메모 31" xfId="1709"/>
    <cellStyle name="메모 32" xfId="1710"/>
    <cellStyle name="메모 4" xfId="1711"/>
    <cellStyle name="메모 5" xfId="1712"/>
    <cellStyle name="메모 6" xfId="1713"/>
    <cellStyle name="메모 7" xfId="1714"/>
    <cellStyle name="메모 8" xfId="1715"/>
    <cellStyle name="메모 9" xfId="1716"/>
    <cellStyle name="믅됞 [0.00]_PRODUCT DETAIL Q1" xfId="1717"/>
    <cellStyle name="믅됞_PRODUCT DETAIL Q1" xfId="1718"/>
    <cellStyle name="백분율 2" xfId="1719"/>
    <cellStyle name="백분율 2 2" xfId="1720"/>
    <cellStyle name="백분율 2 2 2" xfId="1721"/>
    <cellStyle name="백분율 2 3" xfId="1722"/>
    <cellStyle name="백분율 3" xfId="1723"/>
    <cellStyle name="백분율 3 2" xfId="1724"/>
    <cellStyle name="백분율 3 2 2" xfId="1725"/>
    <cellStyle name="백분율 3 2 3" xfId="1726"/>
    <cellStyle name="백분율 3 2 4" xfId="1727"/>
    <cellStyle name="백분율 3 3" xfId="1728"/>
    <cellStyle name="백분율 3 4" xfId="1729"/>
    <cellStyle name="백분율 3 5" xfId="1730"/>
    <cellStyle name="백분율 3 6" xfId="1731"/>
    <cellStyle name="백분율 4" xfId="1732"/>
    <cellStyle name="백분율 4 2" xfId="1733"/>
    <cellStyle name="백분율 5" xfId="1734"/>
    <cellStyle name="백분율 5 2" xfId="1735"/>
    <cellStyle name="보통 10" xfId="1736"/>
    <cellStyle name="보통 11" xfId="1737"/>
    <cellStyle name="보통 12" xfId="1738"/>
    <cellStyle name="보통 13" xfId="1739"/>
    <cellStyle name="보통 14" xfId="1740"/>
    <cellStyle name="보통 15" xfId="1741"/>
    <cellStyle name="보통 16" xfId="1742"/>
    <cellStyle name="보통 17" xfId="1743"/>
    <cellStyle name="보통 18" xfId="1744"/>
    <cellStyle name="보통 19" xfId="1745"/>
    <cellStyle name="보통 2" xfId="1746"/>
    <cellStyle name="보통 2 10" xfId="1747"/>
    <cellStyle name="보통 2 11" xfId="1748"/>
    <cellStyle name="보통 2 12" xfId="1749"/>
    <cellStyle name="보통 2 2" xfId="1750"/>
    <cellStyle name="보통 2 2 2" xfId="1751"/>
    <cellStyle name="보통 2 2 3" xfId="1752"/>
    <cellStyle name="보통 2 3" xfId="1753"/>
    <cellStyle name="보통 2 4" xfId="1754"/>
    <cellStyle name="보통 2 5" xfId="1755"/>
    <cellStyle name="보통 2 6" xfId="1756"/>
    <cellStyle name="보통 2 7" xfId="1757"/>
    <cellStyle name="보통 2 8" xfId="1758"/>
    <cellStyle name="보통 2 9" xfId="1759"/>
    <cellStyle name="보통 20" xfId="1760"/>
    <cellStyle name="보통 21" xfId="1761"/>
    <cellStyle name="보통 22" xfId="1762"/>
    <cellStyle name="보통 23" xfId="1763"/>
    <cellStyle name="보통 24" xfId="1764"/>
    <cellStyle name="보통 25" xfId="1765"/>
    <cellStyle name="보통 26" xfId="1766"/>
    <cellStyle name="보통 27" xfId="1767"/>
    <cellStyle name="보통 28" xfId="1768"/>
    <cellStyle name="보통 29" xfId="1769"/>
    <cellStyle name="보통 3" xfId="1770"/>
    <cellStyle name="보통 3 2" xfId="1771"/>
    <cellStyle name="보통 30" xfId="1772"/>
    <cellStyle name="보통 31" xfId="1773"/>
    <cellStyle name="보통 32" xfId="1774"/>
    <cellStyle name="보통 4" xfId="1775"/>
    <cellStyle name="보통 5" xfId="1776"/>
    <cellStyle name="보통 6" xfId="1777"/>
    <cellStyle name="보통 7" xfId="1778"/>
    <cellStyle name="보통 8" xfId="1779"/>
    <cellStyle name="보통 9" xfId="1780"/>
    <cellStyle name="뷭?_BOOKSHIP" xfId="1781"/>
    <cellStyle name="설명 텍스트 10" xfId="1782"/>
    <cellStyle name="설명 텍스트 11" xfId="1783"/>
    <cellStyle name="설명 텍스트 12" xfId="1784"/>
    <cellStyle name="설명 텍스트 13" xfId="1785"/>
    <cellStyle name="설명 텍스트 14" xfId="1786"/>
    <cellStyle name="설명 텍스트 15" xfId="1787"/>
    <cellStyle name="설명 텍스트 16" xfId="1788"/>
    <cellStyle name="설명 텍스트 17" xfId="1789"/>
    <cellStyle name="설명 텍스트 18" xfId="1790"/>
    <cellStyle name="설명 텍스트 19" xfId="1791"/>
    <cellStyle name="설명 텍스트 2" xfId="1792"/>
    <cellStyle name="설명 텍스트 2 10" xfId="1793"/>
    <cellStyle name="설명 텍스트 2 11" xfId="1794"/>
    <cellStyle name="설명 텍스트 2 12" xfId="1795"/>
    <cellStyle name="설명 텍스트 2 2" xfId="1796"/>
    <cellStyle name="설명 텍스트 2 2 2" xfId="1797"/>
    <cellStyle name="설명 텍스트 2 2 3" xfId="1798"/>
    <cellStyle name="설명 텍스트 2 3" xfId="1799"/>
    <cellStyle name="설명 텍스트 2 4" xfId="1800"/>
    <cellStyle name="설명 텍스트 2 5" xfId="1801"/>
    <cellStyle name="설명 텍스트 2 6" xfId="1802"/>
    <cellStyle name="설명 텍스트 2 7" xfId="1803"/>
    <cellStyle name="설명 텍스트 2 8" xfId="1804"/>
    <cellStyle name="설명 텍스트 2 9" xfId="1805"/>
    <cellStyle name="설명 텍스트 20" xfId="1806"/>
    <cellStyle name="설명 텍스트 21" xfId="1807"/>
    <cellStyle name="설명 텍스트 22" xfId="1808"/>
    <cellStyle name="설명 텍스트 23" xfId="1809"/>
    <cellStyle name="설명 텍스트 24" xfId="1810"/>
    <cellStyle name="설명 텍스트 25" xfId="1811"/>
    <cellStyle name="설명 텍스트 26" xfId="1812"/>
    <cellStyle name="설명 텍스트 27" xfId="1813"/>
    <cellStyle name="설명 텍스트 28" xfId="1814"/>
    <cellStyle name="설명 텍스트 29" xfId="1815"/>
    <cellStyle name="설명 텍스트 3" xfId="1816"/>
    <cellStyle name="설명 텍스트 3 2" xfId="1817"/>
    <cellStyle name="설명 텍스트 30" xfId="1818"/>
    <cellStyle name="설명 텍스트 31" xfId="1819"/>
    <cellStyle name="설명 텍스트 32" xfId="1820"/>
    <cellStyle name="설명 텍스트 4" xfId="1821"/>
    <cellStyle name="설명 텍스트 5" xfId="1822"/>
    <cellStyle name="설명 텍스트 6" xfId="1823"/>
    <cellStyle name="설명 텍스트 7" xfId="1824"/>
    <cellStyle name="설명 텍스트 8" xfId="1825"/>
    <cellStyle name="설명 텍스트 9" xfId="1826"/>
    <cellStyle name="셀 확인 10" xfId="1827"/>
    <cellStyle name="셀 확인 11" xfId="1828"/>
    <cellStyle name="셀 확인 12" xfId="1829"/>
    <cellStyle name="셀 확인 13" xfId="1830"/>
    <cellStyle name="셀 확인 14" xfId="1831"/>
    <cellStyle name="셀 확인 15" xfId="1832"/>
    <cellStyle name="셀 확인 16" xfId="1833"/>
    <cellStyle name="셀 확인 17" xfId="1834"/>
    <cellStyle name="셀 확인 18" xfId="1835"/>
    <cellStyle name="셀 확인 19" xfId="1836"/>
    <cellStyle name="셀 확인 2" xfId="1837"/>
    <cellStyle name="셀 확인 2 10" xfId="1838"/>
    <cellStyle name="셀 확인 2 11" xfId="1839"/>
    <cellStyle name="셀 확인 2 12" xfId="1840"/>
    <cellStyle name="셀 확인 2 2" xfId="1841"/>
    <cellStyle name="셀 확인 2 2 2" xfId="1842"/>
    <cellStyle name="셀 확인 2 2 2 2" xfId="1843"/>
    <cellStyle name="셀 확인 2 2 3" xfId="1844"/>
    <cellStyle name="셀 확인 2 2 3 2" xfId="1845"/>
    <cellStyle name="셀 확인 2 3" xfId="1846"/>
    <cellStyle name="셀 확인 2 3 2" xfId="1847"/>
    <cellStyle name="셀 확인 2 3 2 2" xfId="1848"/>
    <cellStyle name="셀 확인 2 4" xfId="1849"/>
    <cellStyle name="셀 확인 2 4 2" xfId="1850"/>
    <cellStyle name="셀 확인 2 4 3" xfId="1851"/>
    <cellStyle name="셀 확인 2 5" xfId="1852"/>
    <cellStyle name="셀 확인 2 6" xfId="1853"/>
    <cellStyle name="셀 확인 2 7" xfId="1854"/>
    <cellStyle name="셀 확인 2 8" xfId="1855"/>
    <cellStyle name="셀 확인 2 9" xfId="1856"/>
    <cellStyle name="셀 확인 20" xfId="1857"/>
    <cellStyle name="셀 확인 21" xfId="1858"/>
    <cellStyle name="셀 확인 22" xfId="1859"/>
    <cellStyle name="셀 확인 23" xfId="1860"/>
    <cellStyle name="셀 확인 24" xfId="1861"/>
    <cellStyle name="셀 확인 25" xfId="1862"/>
    <cellStyle name="셀 확인 26" xfId="1863"/>
    <cellStyle name="셀 확인 27" xfId="1864"/>
    <cellStyle name="셀 확인 28" xfId="1865"/>
    <cellStyle name="셀 확인 29" xfId="1866"/>
    <cellStyle name="셀 확인 3" xfId="1867"/>
    <cellStyle name="셀 확인 3 2" xfId="1868"/>
    <cellStyle name="셀 확인 30" xfId="1869"/>
    <cellStyle name="셀 확인 31" xfId="1870"/>
    <cellStyle name="셀 확인 32" xfId="1871"/>
    <cellStyle name="셀 확인 4" xfId="1872"/>
    <cellStyle name="셀 확인 5" xfId="1873"/>
    <cellStyle name="셀 확인 6" xfId="1874"/>
    <cellStyle name="셀 확인 7" xfId="1875"/>
    <cellStyle name="셀 확인 8" xfId="1876"/>
    <cellStyle name="셀 확인 9" xfId="1877"/>
    <cellStyle name="쉼표 [0] 10" xfId="1878"/>
    <cellStyle name="쉼표 [0] 2" xfId="1879"/>
    <cellStyle name="쉼표 [0] 2 2" xfId="1880"/>
    <cellStyle name="쉼표 [0] 2 2 2" xfId="1881"/>
    <cellStyle name="쉼표 [0] 2 2 2 2" xfId="1882"/>
    <cellStyle name="쉼표 [0] 2 2 3" xfId="1883"/>
    <cellStyle name="쉼표 [0] 2 3" xfId="1884"/>
    <cellStyle name="쉼표 [0] 2 4" xfId="1885"/>
    <cellStyle name="쉼표 [0] 2 5" xfId="1886"/>
    <cellStyle name="쉼표 [0] 20" xfId="1887"/>
    <cellStyle name="쉼표 [0] 28" xfId="1888"/>
    <cellStyle name="쉼표 [0] 3" xfId="1889"/>
    <cellStyle name="쉼표 [0] 3 2" xfId="1890"/>
    <cellStyle name="쉼표 [0] 3 2 2" xfId="1891"/>
    <cellStyle name="쉼표 [0] 3 2 2 2" xfId="1892"/>
    <cellStyle name="쉼표 [0] 3 2 2 3" xfId="1893"/>
    <cellStyle name="쉼표 [0] 3 2 2 4" xfId="1894"/>
    <cellStyle name="쉼표 [0] 3 2 3" xfId="1895"/>
    <cellStyle name="쉼표 [0] 3 2 4" xfId="1896"/>
    <cellStyle name="쉼표 [0] 3 2 5" xfId="1897"/>
    <cellStyle name="쉼표 [0] 3 2 6" xfId="1898"/>
    <cellStyle name="쉼표 [0] 3 3" xfId="1899"/>
    <cellStyle name="쉼표 [0] 3 3 2" xfId="1900"/>
    <cellStyle name="쉼표 [0] 4" xfId="1901"/>
    <cellStyle name="쉼표 [0] 4 2" xfId="1902"/>
    <cellStyle name="쉼표 [0] 5" xfId="1903"/>
    <cellStyle name="쉼표 [0] 5 2" xfId="1904"/>
    <cellStyle name="쉼표 [0] 5 3" xfId="1905"/>
    <cellStyle name="쉼표 [0] 6" xfId="1906"/>
    <cellStyle name="쉼표 [0] 7" xfId="1907"/>
    <cellStyle name="쉼표 [0] 7 2" xfId="1908"/>
    <cellStyle name="쉼표 [0] 7 2 2 11" xfId="1909"/>
    <cellStyle name="쉼표 [0] 7 2 2 3" xfId="1910"/>
    <cellStyle name="쉼표 [0] 7 3" xfId="1911"/>
    <cellStyle name="쉼표 [0] 8" xfId="1912"/>
    <cellStyle name="쉼표 [0] 8 2" xfId="1913"/>
    <cellStyle name="쉼표 [0] 9" xfId="1914"/>
    <cellStyle name="스타일 1" xfId="1915"/>
    <cellStyle name="스타일 1 2" xfId="1916"/>
    <cellStyle name="스타일 1 3" xfId="1917"/>
    <cellStyle name="연결된 셀 10" xfId="1918"/>
    <cellStyle name="연결된 셀 11" xfId="1919"/>
    <cellStyle name="연결된 셀 12" xfId="1920"/>
    <cellStyle name="연결된 셀 13" xfId="1921"/>
    <cellStyle name="연결된 셀 14" xfId="1922"/>
    <cellStyle name="연결된 셀 15" xfId="1923"/>
    <cellStyle name="연결된 셀 16" xfId="1924"/>
    <cellStyle name="연결된 셀 17" xfId="1925"/>
    <cellStyle name="연결된 셀 18" xfId="1926"/>
    <cellStyle name="연결된 셀 19" xfId="1927"/>
    <cellStyle name="연결된 셀 2" xfId="1928"/>
    <cellStyle name="연결된 셀 2 10" xfId="1929"/>
    <cellStyle name="연결된 셀 2 11" xfId="1930"/>
    <cellStyle name="연결된 셀 2 12" xfId="1931"/>
    <cellStyle name="연결된 셀 2 2" xfId="1932"/>
    <cellStyle name="연결된 셀 2 2 2" xfId="1933"/>
    <cellStyle name="연결된 셀 2 2 3" xfId="1934"/>
    <cellStyle name="연결된 셀 2 3" xfId="1935"/>
    <cellStyle name="연결된 셀 2 4" xfId="1936"/>
    <cellStyle name="연결된 셀 2 5" xfId="1937"/>
    <cellStyle name="연결된 셀 2 6" xfId="1938"/>
    <cellStyle name="연결된 셀 2 7" xfId="1939"/>
    <cellStyle name="연결된 셀 2 8" xfId="1940"/>
    <cellStyle name="연결된 셀 2 9" xfId="1941"/>
    <cellStyle name="연결된 셀 20" xfId="1942"/>
    <cellStyle name="연결된 셀 21" xfId="1943"/>
    <cellStyle name="연결된 셀 22" xfId="1944"/>
    <cellStyle name="연결된 셀 23" xfId="1945"/>
    <cellStyle name="연결된 셀 24" xfId="1946"/>
    <cellStyle name="연결된 셀 25" xfId="1947"/>
    <cellStyle name="연결된 셀 26" xfId="1948"/>
    <cellStyle name="연결된 셀 27" xfId="1949"/>
    <cellStyle name="연결된 셀 28" xfId="1950"/>
    <cellStyle name="연결된 셀 29" xfId="1951"/>
    <cellStyle name="연결된 셀 3" xfId="1952"/>
    <cellStyle name="연결된 셀 3 2" xfId="1953"/>
    <cellStyle name="연결된 셀 30" xfId="1954"/>
    <cellStyle name="연결된 셀 31" xfId="1955"/>
    <cellStyle name="연결된 셀 32" xfId="1956"/>
    <cellStyle name="연결된 셀 4" xfId="1957"/>
    <cellStyle name="연결된 셀 5" xfId="1958"/>
    <cellStyle name="연결된 셀 6" xfId="1959"/>
    <cellStyle name="연결된 셀 7" xfId="1960"/>
    <cellStyle name="연결된 셀 8" xfId="1961"/>
    <cellStyle name="연결된 셀 9" xfId="1962"/>
    <cellStyle name="요약 10" xfId="1963"/>
    <cellStyle name="요약 11" xfId="1964"/>
    <cellStyle name="요약 12" xfId="1965"/>
    <cellStyle name="요약 13" xfId="1966"/>
    <cellStyle name="요약 14" xfId="1967"/>
    <cellStyle name="요약 15" xfId="1968"/>
    <cellStyle name="요약 16" xfId="1969"/>
    <cellStyle name="요약 17" xfId="1970"/>
    <cellStyle name="요약 18" xfId="1971"/>
    <cellStyle name="요약 19" xfId="1972"/>
    <cellStyle name="요약 2" xfId="1973"/>
    <cellStyle name="요약 2 10" xfId="1974"/>
    <cellStyle name="요약 2 11" xfId="1975"/>
    <cellStyle name="요약 2 12" xfId="1976"/>
    <cellStyle name="요약 2 2" xfId="1977"/>
    <cellStyle name="요약 2 2 10" xfId="1978"/>
    <cellStyle name="요약 2 2 10 2" xfId="1979"/>
    <cellStyle name="요약 2 2 11" xfId="1980"/>
    <cellStyle name="요약 2 2 11 2" xfId="1981"/>
    <cellStyle name="요약 2 2 2" xfId="1982"/>
    <cellStyle name="요약 2 2 2 10" xfId="1983"/>
    <cellStyle name="요약 2 2 2 2" xfId="1984"/>
    <cellStyle name="요약 2 2 2 2 2" xfId="1985"/>
    <cellStyle name="요약 2 2 2 2 2 2" xfId="1986"/>
    <cellStyle name="요약 2 2 2 2 3" xfId="1987"/>
    <cellStyle name="요약 2 2 2 3" xfId="1988"/>
    <cellStyle name="요약 2 2 2 3 2" xfId="1989"/>
    <cellStyle name="요약 2 2 2 3 2 2" xfId="1990"/>
    <cellStyle name="요약 2 2 2 3 3" xfId="1991"/>
    <cellStyle name="요약 2 2 2 4" xfId="1992"/>
    <cellStyle name="요약 2 2 2 4 2" xfId="1993"/>
    <cellStyle name="요약 2 2 2 4 2 2" xfId="1994"/>
    <cellStyle name="요약 2 2 2 4 3" xfId="1995"/>
    <cellStyle name="요약 2 2 2 5" xfId="1996"/>
    <cellStyle name="요약 2 2 2 5 2" xfId="1997"/>
    <cellStyle name="요약 2 2 2 5 2 2" xfId="1998"/>
    <cellStyle name="요약 2 2 2 5 3" xfId="1999"/>
    <cellStyle name="요약 2 2 2 6" xfId="2000"/>
    <cellStyle name="요약 2 2 2 6 2" xfId="2001"/>
    <cellStyle name="요약 2 2 2 6 2 2" xfId="2002"/>
    <cellStyle name="요약 2 2 2 6 3" xfId="2003"/>
    <cellStyle name="요약 2 2 2 7" xfId="2004"/>
    <cellStyle name="요약 2 2 2 7 2" xfId="2005"/>
    <cellStyle name="요약 2 2 2 7 2 2" xfId="2006"/>
    <cellStyle name="요약 2 2 2 7 3" xfId="2007"/>
    <cellStyle name="요약 2 2 2 8" xfId="2008"/>
    <cellStyle name="요약 2 2 2 8 2" xfId="2009"/>
    <cellStyle name="요약 2 2 2 8 2 2" xfId="2010"/>
    <cellStyle name="요약 2 2 2 8 3" xfId="2011"/>
    <cellStyle name="요약 2 2 2 9" xfId="2012"/>
    <cellStyle name="요약 2 2 2 9 2" xfId="2013"/>
    <cellStyle name="요약 2 2 3" xfId="2014"/>
    <cellStyle name="요약 2 2 3 10" xfId="2015"/>
    <cellStyle name="요약 2 2 3 2" xfId="2016"/>
    <cellStyle name="요약 2 2 3 2 2" xfId="2017"/>
    <cellStyle name="요약 2 2 3 2 2 2" xfId="2018"/>
    <cellStyle name="요약 2 2 3 2 3" xfId="2019"/>
    <cellStyle name="요약 2 2 3 3" xfId="2020"/>
    <cellStyle name="요약 2 2 3 3 2" xfId="2021"/>
    <cellStyle name="요약 2 2 3 3 2 2" xfId="2022"/>
    <cellStyle name="요약 2 2 3 3 3" xfId="2023"/>
    <cellStyle name="요약 2 2 3 4" xfId="2024"/>
    <cellStyle name="요약 2 2 3 4 2" xfId="2025"/>
    <cellStyle name="요약 2 2 3 4 2 2" xfId="2026"/>
    <cellStyle name="요약 2 2 3 4 3" xfId="2027"/>
    <cellStyle name="요약 2 2 3 5" xfId="2028"/>
    <cellStyle name="요약 2 2 3 5 2" xfId="2029"/>
    <cellStyle name="요약 2 2 3 5 2 2" xfId="2030"/>
    <cellStyle name="요약 2 2 3 5 3" xfId="2031"/>
    <cellStyle name="요약 2 2 3 6" xfId="2032"/>
    <cellStyle name="요약 2 2 3 6 2" xfId="2033"/>
    <cellStyle name="요약 2 2 3 6 2 2" xfId="2034"/>
    <cellStyle name="요약 2 2 3 6 3" xfId="2035"/>
    <cellStyle name="요약 2 2 3 7" xfId="2036"/>
    <cellStyle name="요약 2 2 3 7 2" xfId="2037"/>
    <cellStyle name="요약 2 2 3 7 2 2" xfId="2038"/>
    <cellStyle name="요약 2 2 3 7 3" xfId="2039"/>
    <cellStyle name="요약 2 2 3 8" xfId="2040"/>
    <cellStyle name="요약 2 2 3 8 2" xfId="2041"/>
    <cellStyle name="요약 2 2 3 8 2 2" xfId="2042"/>
    <cellStyle name="요약 2 2 3 8 3" xfId="2043"/>
    <cellStyle name="요약 2 2 3 9" xfId="2044"/>
    <cellStyle name="요약 2 2 3 9 2" xfId="2045"/>
    <cellStyle name="요약 2 2 4" xfId="2046"/>
    <cellStyle name="요약 2 2 4 2" xfId="2047"/>
    <cellStyle name="요약 2 2 4 2 2" xfId="2048"/>
    <cellStyle name="요약 2 2 4 3" xfId="2049"/>
    <cellStyle name="요약 2 2 5" xfId="2050"/>
    <cellStyle name="요약 2 2 5 2" xfId="2051"/>
    <cellStyle name="요약 2 2 5 2 2" xfId="2052"/>
    <cellStyle name="요약 2 2 5 3" xfId="2053"/>
    <cellStyle name="요약 2 2 6" xfId="2054"/>
    <cellStyle name="요약 2 2 6 2" xfId="2055"/>
    <cellStyle name="요약 2 2 6 2 2" xfId="2056"/>
    <cellStyle name="요약 2 2 6 3" xfId="2057"/>
    <cellStyle name="요약 2 2 7" xfId="2058"/>
    <cellStyle name="요약 2 2 7 2" xfId="2059"/>
    <cellStyle name="요약 2 2 7 2 2" xfId="2060"/>
    <cellStyle name="요약 2 2 7 3" xfId="2061"/>
    <cellStyle name="요약 2 2 8" xfId="2062"/>
    <cellStyle name="요약 2 2 8 2" xfId="2063"/>
    <cellStyle name="요약 2 2 8 2 2" xfId="2064"/>
    <cellStyle name="요약 2 2 8 3" xfId="2065"/>
    <cellStyle name="요약 2 2 9" xfId="2066"/>
    <cellStyle name="요약 2 2 9 2" xfId="2067"/>
    <cellStyle name="요약 2 2 9 2 2" xfId="2068"/>
    <cellStyle name="요약 2 2 9 3" xfId="2069"/>
    <cellStyle name="요약 2 3" xfId="2070"/>
    <cellStyle name="요약 2 3 10" xfId="2071"/>
    <cellStyle name="요약 2 3 10 2" xfId="2072"/>
    <cellStyle name="요약 2 3 2" xfId="2073"/>
    <cellStyle name="요약 2 3 2 2" xfId="2074"/>
    <cellStyle name="요약 2 3 2 2 2" xfId="2075"/>
    <cellStyle name="요약 2 3 2 3" xfId="2076"/>
    <cellStyle name="요약 2 3 3" xfId="2077"/>
    <cellStyle name="요약 2 3 3 2" xfId="2078"/>
    <cellStyle name="요약 2 3 3 2 2" xfId="2079"/>
    <cellStyle name="요약 2 3 3 3" xfId="2080"/>
    <cellStyle name="요약 2 3 4" xfId="2081"/>
    <cellStyle name="요약 2 3 4 2" xfId="2082"/>
    <cellStyle name="요약 2 3 4 2 2" xfId="2083"/>
    <cellStyle name="요약 2 3 4 3" xfId="2084"/>
    <cellStyle name="요약 2 3 5" xfId="2085"/>
    <cellStyle name="요약 2 3 5 2" xfId="2086"/>
    <cellStyle name="요약 2 3 5 2 2" xfId="2087"/>
    <cellStyle name="요약 2 3 5 3" xfId="2088"/>
    <cellStyle name="요약 2 3 6" xfId="2089"/>
    <cellStyle name="요약 2 3 6 2" xfId="2090"/>
    <cellStyle name="요약 2 3 6 2 2" xfId="2091"/>
    <cellStyle name="요약 2 3 6 3" xfId="2092"/>
    <cellStyle name="요약 2 3 7" xfId="2093"/>
    <cellStyle name="요약 2 3 7 2" xfId="2094"/>
    <cellStyle name="요약 2 3 7 2 2" xfId="2095"/>
    <cellStyle name="요약 2 3 7 3" xfId="2096"/>
    <cellStyle name="요약 2 3 8" xfId="2097"/>
    <cellStyle name="요약 2 3 8 2" xfId="2098"/>
    <cellStyle name="요약 2 3 8 2 2" xfId="2099"/>
    <cellStyle name="요약 2 3 8 3" xfId="2100"/>
    <cellStyle name="요약 2 3 9" xfId="2101"/>
    <cellStyle name="요약 2 3 9 2" xfId="2102"/>
    <cellStyle name="요약 2 4" xfId="2103"/>
    <cellStyle name="요약 2 4 10" xfId="2104"/>
    <cellStyle name="요약 2 4 10 2" xfId="2105"/>
    <cellStyle name="요약 2 4 2" xfId="2106"/>
    <cellStyle name="요약 2 4 2 2" xfId="2107"/>
    <cellStyle name="요약 2 4 2 2 2" xfId="2108"/>
    <cellStyle name="요약 2 4 2 3" xfId="2109"/>
    <cellStyle name="요약 2 4 3" xfId="2110"/>
    <cellStyle name="요약 2 4 3 2" xfId="2111"/>
    <cellStyle name="요약 2 4 3 2 2" xfId="2112"/>
    <cellStyle name="요약 2 4 3 3" xfId="2113"/>
    <cellStyle name="요약 2 4 4" xfId="2114"/>
    <cellStyle name="요약 2 4 4 2" xfId="2115"/>
    <cellStyle name="요약 2 4 4 2 2" xfId="2116"/>
    <cellStyle name="요약 2 4 4 3" xfId="2117"/>
    <cellStyle name="요약 2 4 5" xfId="2118"/>
    <cellStyle name="요약 2 4 5 2" xfId="2119"/>
    <cellStyle name="요약 2 4 5 2 2" xfId="2120"/>
    <cellStyle name="요약 2 4 5 3" xfId="2121"/>
    <cellStyle name="요약 2 4 6" xfId="2122"/>
    <cellStyle name="요약 2 4 6 2" xfId="2123"/>
    <cellStyle name="요약 2 4 6 2 2" xfId="2124"/>
    <cellStyle name="요약 2 4 6 3" xfId="2125"/>
    <cellStyle name="요약 2 4 7" xfId="2126"/>
    <cellStyle name="요약 2 4 7 2" xfId="2127"/>
    <cellStyle name="요약 2 4 7 2 2" xfId="2128"/>
    <cellStyle name="요약 2 4 7 3" xfId="2129"/>
    <cellStyle name="요약 2 4 8" xfId="2130"/>
    <cellStyle name="요약 2 4 8 2" xfId="2131"/>
    <cellStyle name="요약 2 4 8 2 2" xfId="2132"/>
    <cellStyle name="요약 2 4 8 3" xfId="2133"/>
    <cellStyle name="요약 2 4 9" xfId="2134"/>
    <cellStyle name="요약 2 4 9 2" xfId="2135"/>
    <cellStyle name="요약 2 5" xfId="2136"/>
    <cellStyle name="요약 2 5 2" xfId="2137"/>
    <cellStyle name="요약 2 5 2 2" xfId="2138"/>
    <cellStyle name="요약 2 5 3" xfId="2139"/>
    <cellStyle name="요약 2 5 3 2" xfId="2140"/>
    <cellStyle name="요약 2 6" xfId="2141"/>
    <cellStyle name="요약 2 6 2" xfId="2142"/>
    <cellStyle name="요약 2 6 3" xfId="2143"/>
    <cellStyle name="요약 2 7" xfId="2144"/>
    <cellStyle name="요약 2 8" xfId="2145"/>
    <cellStyle name="요약 2 9" xfId="2146"/>
    <cellStyle name="요약 20" xfId="2147"/>
    <cellStyle name="요약 21" xfId="2148"/>
    <cellStyle name="요약 22" xfId="2149"/>
    <cellStyle name="요약 23" xfId="2150"/>
    <cellStyle name="요약 24" xfId="2151"/>
    <cellStyle name="요약 25" xfId="2152"/>
    <cellStyle name="요약 26" xfId="2153"/>
    <cellStyle name="요약 27" xfId="2154"/>
    <cellStyle name="요약 28" xfId="2155"/>
    <cellStyle name="요약 29" xfId="2156"/>
    <cellStyle name="요약 3" xfId="2157"/>
    <cellStyle name="요약 3 2" xfId="2158"/>
    <cellStyle name="요약 30" xfId="2159"/>
    <cellStyle name="요약 31" xfId="2160"/>
    <cellStyle name="요약 32" xfId="2161"/>
    <cellStyle name="요약 4" xfId="2162"/>
    <cellStyle name="요약 5" xfId="2163"/>
    <cellStyle name="요약 6" xfId="2164"/>
    <cellStyle name="요약 7" xfId="2165"/>
    <cellStyle name="요약 8" xfId="2166"/>
    <cellStyle name="요약 9" xfId="2167"/>
    <cellStyle name="입력 10" xfId="2168"/>
    <cellStyle name="입력 11" xfId="2169"/>
    <cellStyle name="입력 12" xfId="2170"/>
    <cellStyle name="입력 13" xfId="2171"/>
    <cellStyle name="입력 14" xfId="2172"/>
    <cellStyle name="입력 15" xfId="2173"/>
    <cellStyle name="입력 16" xfId="2174"/>
    <cellStyle name="입력 17" xfId="2175"/>
    <cellStyle name="입력 18" xfId="2176"/>
    <cellStyle name="입력 19" xfId="2177"/>
    <cellStyle name="입력 2" xfId="2178"/>
    <cellStyle name="입력 2 10" xfId="2179"/>
    <cellStyle name="입력 2 11" xfId="2180"/>
    <cellStyle name="입력 2 12" xfId="2181"/>
    <cellStyle name="입력 2 2" xfId="2182"/>
    <cellStyle name="입력 2 2 10" xfId="2183"/>
    <cellStyle name="입력 2 2 10 2" xfId="2184"/>
    <cellStyle name="입력 2 2 11" xfId="2185"/>
    <cellStyle name="입력 2 2 11 2" xfId="2186"/>
    <cellStyle name="입력 2 2 2" xfId="2187"/>
    <cellStyle name="입력 2 2 2 10" xfId="2188"/>
    <cellStyle name="입력 2 2 2 2" xfId="2189"/>
    <cellStyle name="입력 2 2 2 2 2" xfId="2190"/>
    <cellStyle name="입력 2 2 2 3" xfId="2191"/>
    <cellStyle name="입력 2 2 2 3 2" xfId="2192"/>
    <cellStyle name="입력 2 2 2 4" xfId="2193"/>
    <cellStyle name="입력 2 2 2 4 2" xfId="2194"/>
    <cellStyle name="입력 2 2 2 5" xfId="2195"/>
    <cellStyle name="입력 2 2 2 5 2" xfId="2196"/>
    <cellStyle name="입력 2 2 2 6" xfId="2197"/>
    <cellStyle name="입력 2 2 2 6 2" xfId="2198"/>
    <cellStyle name="입력 2 2 2 7" xfId="2199"/>
    <cellStyle name="입력 2 2 2 7 2" xfId="2200"/>
    <cellStyle name="입력 2 2 2 8" xfId="2201"/>
    <cellStyle name="입력 2 2 2 8 2" xfId="2202"/>
    <cellStyle name="입력 2 2 2 9" xfId="2203"/>
    <cellStyle name="입력 2 2 2 9 2" xfId="2204"/>
    <cellStyle name="입력 2 2 3" xfId="2205"/>
    <cellStyle name="입력 2 2 3 10" xfId="2206"/>
    <cellStyle name="입력 2 2 3 2" xfId="2207"/>
    <cellStyle name="입력 2 2 3 2 2" xfId="2208"/>
    <cellStyle name="입력 2 2 3 3" xfId="2209"/>
    <cellStyle name="입력 2 2 3 3 2" xfId="2210"/>
    <cellStyle name="입력 2 2 3 4" xfId="2211"/>
    <cellStyle name="입력 2 2 3 4 2" xfId="2212"/>
    <cellStyle name="입력 2 2 3 5" xfId="2213"/>
    <cellStyle name="입력 2 2 3 5 2" xfId="2214"/>
    <cellStyle name="입력 2 2 3 6" xfId="2215"/>
    <cellStyle name="입력 2 2 3 6 2" xfId="2216"/>
    <cellStyle name="입력 2 2 3 7" xfId="2217"/>
    <cellStyle name="입력 2 2 3 7 2" xfId="2218"/>
    <cellStyle name="입력 2 2 3 8" xfId="2219"/>
    <cellStyle name="입력 2 2 3 8 2" xfId="2220"/>
    <cellStyle name="입력 2 2 3 9" xfId="2221"/>
    <cellStyle name="입력 2 2 3 9 2" xfId="2222"/>
    <cellStyle name="입력 2 2 4" xfId="2223"/>
    <cellStyle name="입력 2 2 4 2" xfId="2224"/>
    <cellStyle name="입력 2 2 5" xfId="2225"/>
    <cellStyle name="입력 2 2 5 2" xfId="2226"/>
    <cellStyle name="입력 2 2 6" xfId="2227"/>
    <cellStyle name="입력 2 2 6 2" xfId="2228"/>
    <cellStyle name="입력 2 2 7" xfId="2229"/>
    <cellStyle name="입력 2 2 7 2" xfId="2230"/>
    <cellStyle name="입력 2 2 8" xfId="2231"/>
    <cellStyle name="입력 2 2 8 2" xfId="2232"/>
    <cellStyle name="입력 2 2 9" xfId="2233"/>
    <cellStyle name="입력 2 2 9 2" xfId="2234"/>
    <cellStyle name="입력 2 3" xfId="2235"/>
    <cellStyle name="입력 2 3 10" xfId="2236"/>
    <cellStyle name="입력 2 3 10 2" xfId="2237"/>
    <cellStyle name="입력 2 3 2" xfId="2238"/>
    <cellStyle name="입력 2 3 2 2" xfId="2239"/>
    <cellStyle name="입력 2 3 3" xfId="2240"/>
    <cellStyle name="입력 2 3 3 2" xfId="2241"/>
    <cellStyle name="입력 2 3 4" xfId="2242"/>
    <cellStyle name="입력 2 3 4 2" xfId="2243"/>
    <cellStyle name="입력 2 3 5" xfId="2244"/>
    <cellStyle name="입력 2 3 5 2" xfId="2245"/>
    <cellStyle name="입력 2 3 6" xfId="2246"/>
    <cellStyle name="입력 2 3 6 2" xfId="2247"/>
    <cellStyle name="입력 2 3 7" xfId="2248"/>
    <cellStyle name="입력 2 3 7 2" xfId="2249"/>
    <cellStyle name="입력 2 3 8" xfId="2250"/>
    <cellStyle name="입력 2 3 8 2" xfId="2251"/>
    <cellStyle name="입력 2 3 9" xfId="2252"/>
    <cellStyle name="입력 2 3 9 2" xfId="2253"/>
    <cellStyle name="입력 2 4" xfId="2254"/>
    <cellStyle name="입력 2 4 10" xfId="2255"/>
    <cellStyle name="입력 2 4 10 2" xfId="2256"/>
    <cellStyle name="입력 2 4 2" xfId="2257"/>
    <cellStyle name="입력 2 4 2 2" xfId="2258"/>
    <cellStyle name="입력 2 4 3" xfId="2259"/>
    <cellStyle name="입력 2 4 3 2" xfId="2260"/>
    <cellStyle name="입력 2 4 4" xfId="2261"/>
    <cellStyle name="입력 2 4 4 2" xfId="2262"/>
    <cellStyle name="입력 2 4 5" xfId="2263"/>
    <cellStyle name="입력 2 4 5 2" xfId="2264"/>
    <cellStyle name="입력 2 4 6" xfId="2265"/>
    <cellStyle name="입력 2 4 6 2" xfId="2266"/>
    <cellStyle name="입력 2 4 7" xfId="2267"/>
    <cellStyle name="입력 2 4 7 2" xfId="2268"/>
    <cellStyle name="입력 2 4 8" xfId="2269"/>
    <cellStyle name="입력 2 4 8 2" xfId="2270"/>
    <cellStyle name="입력 2 4 9" xfId="2271"/>
    <cellStyle name="입력 2 4 9 2" xfId="2272"/>
    <cellStyle name="입력 2 5" xfId="2273"/>
    <cellStyle name="입력 2 5 2" xfId="2274"/>
    <cellStyle name="입력 2 5 2 2" xfId="2275"/>
    <cellStyle name="입력 2 6" xfId="2276"/>
    <cellStyle name="입력 2 6 2" xfId="2277"/>
    <cellStyle name="입력 2 6 3" xfId="2278"/>
    <cellStyle name="입력 2 7" xfId="2279"/>
    <cellStyle name="입력 2 8" xfId="2280"/>
    <cellStyle name="입력 2 9" xfId="2281"/>
    <cellStyle name="입력 20" xfId="2282"/>
    <cellStyle name="입력 21" xfId="2283"/>
    <cellStyle name="입력 22" xfId="2284"/>
    <cellStyle name="입력 23" xfId="2285"/>
    <cellStyle name="입력 24" xfId="2286"/>
    <cellStyle name="입력 25" xfId="2287"/>
    <cellStyle name="입력 26" xfId="2288"/>
    <cellStyle name="입력 27" xfId="2289"/>
    <cellStyle name="입력 28" xfId="2290"/>
    <cellStyle name="입력 29" xfId="2291"/>
    <cellStyle name="입력 3" xfId="2292"/>
    <cellStyle name="입력 3 2" xfId="2293"/>
    <cellStyle name="입력 30" xfId="2294"/>
    <cellStyle name="입력 31" xfId="2295"/>
    <cellStyle name="입력 32" xfId="2296"/>
    <cellStyle name="입력 4" xfId="2297"/>
    <cellStyle name="입력 5" xfId="2298"/>
    <cellStyle name="입력 6" xfId="2299"/>
    <cellStyle name="입력 7" xfId="2300"/>
    <cellStyle name="입력 8" xfId="2301"/>
    <cellStyle name="입력 9" xfId="2302"/>
    <cellStyle name="제목 1 10" xfId="2303"/>
    <cellStyle name="제목 1 11" xfId="2304"/>
    <cellStyle name="제목 1 12" xfId="2305"/>
    <cellStyle name="제목 1 13" xfId="2306"/>
    <cellStyle name="제목 1 14" xfId="2307"/>
    <cellStyle name="제목 1 15" xfId="2308"/>
    <cellStyle name="제목 1 16" xfId="2309"/>
    <cellStyle name="제목 1 17" xfId="2310"/>
    <cellStyle name="제목 1 18" xfId="2311"/>
    <cellStyle name="제목 1 19" xfId="2312"/>
    <cellStyle name="제목 1 2" xfId="2313"/>
    <cellStyle name="제목 1 2 10" xfId="2314"/>
    <cellStyle name="제목 1 2 11" xfId="2315"/>
    <cellStyle name="제목 1 2 12" xfId="2316"/>
    <cellStyle name="제목 1 2 2" xfId="2317"/>
    <cellStyle name="제목 1 2 2 2" xfId="2318"/>
    <cellStyle name="제목 1 2 2 3" xfId="2319"/>
    <cellStyle name="제목 1 2 3" xfId="2320"/>
    <cellStyle name="제목 1 2 4" xfId="2321"/>
    <cellStyle name="제목 1 2 5" xfId="2322"/>
    <cellStyle name="제목 1 2 6" xfId="2323"/>
    <cellStyle name="제목 1 2 7" xfId="2324"/>
    <cellStyle name="제목 1 2 8" xfId="2325"/>
    <cellStyle name="제목 1 2 9" xfId="2326"/>
    <cellStyle name="제목 1 20" xfId="2327"/>
    <cellStyle name="제목 1 21" xfId="2328"/>
    <cellStyle name="제목 1 22" xfId="2329"/>
    <cellStyle name="제목 1 23" xfId="2330"/>
    <cellStyle name="제목 1 24" xfId="2331"/>
    <cellStyle name="제목 1 25" xfId="2332"/>
    <cellStyle name="제목 1 26" xfId="2333"/>
    <cellStyle name="제목 1 27" xfId="2334"/>
    <cellStyle name="제목 1 28" xfId="2335"/>
    <cellStyle name="제목 1 29" xfId="2336"/>
    <cellStyle name="제목 1 3" xfId="2337"/>
    <cellStyle name="제목 1 3 2" xfId="2338"/>
    <cellStyle name="제목 1 30" xfId="2339"/>
    <cellStyle name="제목 1 31" xfId="2340"/>
    <cellStyle name="제목 1 32" xfId="2341"/>
    <cellStyle name="제목 1 4" xfId="2342"/>
    <cellStyle name="제목 1 5" xfId="2343"/>
    <cellStyle name="제목 1 6" xfId="2344"/>
    <cellStyle name="제목 1 7" xfId="2345"/>
    <cellStyle name="제목 1 8" xfId="2346"/>
    <cellStyle name="제목 1 9" xfId="2347"/>
    <cellStyle name="제목 10" xfId="2348"/>
    <cellStyle name="제목 11" xfId="2349"/>
    <cellStyle name="제목 12" xfId="2350"/>
    <cellStyle name="제목 13" xfId="2351"/>
    <cellStyle name="제목 14" xfId="2352"/>
    <cellStyle name="제목 15" xfId="2353"/>
    <cellStyle name="제목 2 10" xfId="2354"/>
    <cellStyle name="제목 2 11" xfId="2355"/>
    <cellStyle name="제목 2 12" xfId="2356"/>
    <cellStyle name="제목 2 13" xfId="2357"/>
    <cellStyle name="제목 2 14" xfId="2358"/>
    <cellStyle name="제목 2 15" xfId="2359"/>
    <cellStyle name="제목 2 16" xfId="2360"/>
    <cellStyle name="제목 2 17" xfId="2361"/>
    <cellStyle name="제목 2 18" xfId="2362"/>
    <cellStyle name="제목 2 19" xfId="2363"/>
    <cellStyle name="제목 2 2" xfId="2364"/>
    <cellStyle name="제목 2 2 10" xfId="2365"/>
    <cellStyle name="제목 2 2 11" xfId="2366"/>
    <cellStyle name="제목 2 2 12" xfId="2367"/>
    <cellStyle name="제목 2 2 2" xfId="2368"/>
    <cellStyle name="제목 2 2 2 2" xfId="2369"/>
    <cellStyle name="제목 2 2 2 3" xfId="2370"/>
    <cellStyle name="제목 2 2 3" xfId="2371"/>
    <cellStyle name="제목 2 2 4" xfId="2372"/>
    <cellStyle name="제목 2 2 5" xfId="2373"/>
    <cellStyle name="제목 2 2 6" xfId="2374"/>
    <cellStyle name="제목 2 2 7" xfId="2375"/>
    <cellStyle name="제목 2 2 8" xfId="2376"/>
    <cellStyle name="제목 2 2 9" xfId="2377"/>
    <cellStyle name="제목 2 20" xfId="2378"/>
    <cellStyle name="제목 2 21" xfId="2379"/>
    <cellStyle name="제목 2 22" xfId="2380"/>
    <cellStyle name="제목 2 23" xfId="2381"/>
    <cellStyle name="제목 2 24" xfId="2382"/>
    <cellStyle name="제목 2 25" xfId="2383"/>
    <cellStyle name="제목 2 26" xfId="2384"/>
    <cellStyle name="제목 2 27" xfId="2385"/>
    <cellStyle name="제목 2 28" xfId="2386"/>
    <cellStyle name="제목 2 29" xfId="2387"/>
    <cellStyle name="제목 2 3" xfId="2388"/>
    <cellStyle name="제목 2 3 2" xfId="2389"/>
    <cellStyle name="제목 2 30" xfId="2390"/>
    <cellStyle name="제목 2 31" xfId="2391"/>
    <cellStyle name="제목 2 32" xfId="2392"/>
    <cellStyle name="제목 2 4" xfId="2393"/>
    <cellStyle name="제목 2 5" xfId="2394"/>
    <cellStyle name="제목 2 6" xfId="2395"/>
    <cellStyle name="제목 2 7" xfId="2396"/>
    <cellStyle name="제목 2 8" xfId="2397"/>
    <cellStyle name="제목 2 9" xfId="2398"/>
    <cellStyle name="제목 3 10" xfId="2399"/>
    <cellStyle name="제목 3 11" xfId="2400"/>
    <cellStyle name="제목 3 12" xfId="2401"/>
    <cellStyle name="제목 3 13" xfId="2402"/>
    <cellStyle name="제목 3 14" xfId="2403"/>
    <cellStyle name="제목 3 15" xfId="2404"/>
    <cellStyle name="제목 3 16" xfId="2405"/>
    <cellStyle name="제목 3 17" xfId="2406"/>
    <cellStyle name="제목 3 18" xfId="2407"/>
    <cellStyle name="제목 3 19" xfId="2408"/>
    <cellStyle name="제목 3 2" xfId="2409"/>
    <cellStyle name="제목 3 2 10" xfId="2410"/>
    <cellStyle name="제목 3 2 11" xfId="2411"/>
    <cellStyle name="제목 3 2 12" xfId="2412"/>
    <cellStyle name="제목 3 2 2" xfId="2413"/>
    <cellStyle name="제목 3 2 2 2" xfId="2414"/>
    <cellStyle name="제목 3 2 2 3" xfId="2415"/>
    <cellStyle name="제목 3 2 3" xfId="2416"/>
    <cellStyle name="제목 3 2 4" xfId="2417"/>
    <cellStyle name="제목 3 2 5" xfId="2418"/>
    <cellStyle name="제목 3 2 6" xfId="2419"/>
    <cellStyle name="제목 3 2 7" xfId="2420"/>
    <cellStyle name="제목 3 2 8" xfId="2421"/>
    <cellStyle name="제목 3 2 9" xfId="2422"/>
    <cellStyle name="제목 3 20" xfId="2423"/>
    <cellStyle name="제목 3 21" xfId="2424"/>
    <cellStyle name="제목 3 22" xfId="2425"/>
    <cellStyle name="제목 3 23" xfId="2426"/>
    <cellStyle name="제목 3 24" xfId="2427"/>
    <cellStyle name="제목 3 25" xfId="2428"/>
    <cellStyle name="제목 3 26" xfId="2429"/>
    <cellStyle name="제목 3 27" xfId="2430"/>
    <cellStyle name="제목 3 28" xfId="2431"/>
    <cellStyle name="제목 3 29" xfId="2432"/>
    <cellStyle name="제목 3 3" xfId="2433"/>
    <cellStyle name="제목 3 3 2" xfId="2434"/>
    <cellStyle name="제목 3 30" xfId="2435"/>
    <cellStyle name="제목 3 31" xfId="2436"/>
    <cellStyle name="제목 3 32" xfId="2437"/>
    <cellStyle name="제목 3 4" xfId="2438"/>
    <cellStyle name="제목 3 5" xfId="2439"/>
    <cellStyle name="제목 3 6" xfId="2440"/>
    <cellStyle name="제목 3 7" xfId="2441"/>
    <cellStyle name="제목 3 8" xfId="2442"/>
    <cellStyle name="제목 3 9" xfId="2443"/>
    <cellStyle name="제목 4 10" xfId="2444"/>
    <cellStyle name="제목 4 11" xfId="2445"/>
    <cellStyle name="제목 4 12" xfId="2446"/>
    <cellStyle name="제목 4 13" xfId="2447"/>
    <cellStyle name="제목 4 14" xfId="2448"/>
    <cellStyle name="제목 4 15" xfId="2449"/>
    <cellStyle name="제목 4 16" xfId="2450"/>
    <cellStyle name="제목 4 17" xfId="2451"/>
    <cellStyle name="제목 4 18" xfId="2452"/>
    <cellStyle name="제목 4 19" xfId="2453"/>
    <cellStyle name="제목 4 2" xfId="2454"/>
    <cellStyle name="제목 4 2 10" xfId="2455"/>
    <cellStyle name="제목 4 2 11" xfId="2456"/>
    <cellStyle name="제목 4 2 12" xfId="2457"/>
    <cellStyle name="제목 4 2 2" xfId="2458"/>
    <cellStyle name="제목 4 2 2 2" xfId="2459"/>
    <cellStyle name="제목 4 2 2 3" xfId="2460"/>
    <cellStyle name="제목 4 2 3" xfId="2461"/>
    <cellStyle name="제목 4 2 4" xfId="2462"/>
    <cellStyle name="제목 4 2 5" xfId="2463"/>
    <cellStyle name="제목 4 2 6" xfId="2464"/>
    <cellStyle name="제목 4 2 7" xfId="2465"/>
    <cellStyle name="제목 4 2 8" xfId="2466"/>
    <cellStyle name="제목 4 2 9" xfId="2467"/>
    <cellStyle name="제목 4 20" xfId="2468"/>
    <cellStyle name="제목 4 21" xfId="2469"/>
    <cellStyle name="제목 4 22" xfId="2470"/>
    <cellStyle name="제목 4 23" xfId="2471"/>
    <cellStyle name="제목 4 24" xfId="2472"/>
    <cellStyle name="제목 4 25" xfId="2473"/>
    <cellStyle name="제목 4 26" xfId="2474"/>
    <cellStyle name="제목 4 27" xfId="2475"/>
    <cellStyle name="제목 4 28" xfId="2476"/>
    <cellStyle name="제목 4 29" xfId="2477"/>
    <cellStyle name="제목 4 3" xfId="2478"/>
    <cellStyle name="제목 4 3 2" xfId="2479"/>
    <cellStyle name="제목 4 30" xfId="2480"/>
    <cellStyle name="제목 4 31" xfId="2481"/>
    <cellStyle name="제목 4 32" xfId="2482"/>
    <cellStyle name="제목 4 4" xfId="2483"/>
    <cellStyle name="제목 4 5" xfId="2484"/>
    <cellStyle name="제목 4 6" xfId="2485"/>
    <cellStyle name="제목 4 7" xfId="2486"/>
    <cellStyle name="제목 4 8" xfId="2487"/>
    <cellStyle name="제목 4 9" xfId="2488"/>
    <cellStyle name="제목 5" xfId="2489"/>
    <cellStyle name="제목 5 10" xfId="2490"/>
    <cellStyle name="제목 5 11" xfId="2491"/>
    <cellStyle name="제목 5 12" xfId="2492"/>
    <cellStyle name="제목 5 2" xfId="2493"/>
    <cellStyle name="제목 5 2 2" xfId="2494"/>
    <cellStyle name="제목 5 2 3" xfId="2495"/>
    <cellStyle name="제목 5 3" xfId="2496"/>
    <cellStyle name="제목 5 4" xfId="2497"/>
    <cellStyle name="제목 5 5" xfId="2498"/>
    <cellStyle name="제목 5 6" xfId="2499"/>
    <cellStyle name="제목 5 7" xfId="2500"/>
    <cellStyle name="제목 5 8" xfId="2501"/>
    <cellStyle name="제목 5 9" xfId="2502"/>
    <cellStyle name="제목 6" xfId="2503"/>
    <cellStyle name="제목 6 2" xfId="2504"/>
    <cellStyle name="제목 7" xfId="2505"/>
    <cellStyle name="제목 8" xfId="2506"/>
    <cellStyle name="제목 9" xfId="2507"/>
    <cellStyle name="좋음 10" xfId="2508"/>
    <cellStyle name="좋음 11" xfId="2509"/>
    <cellStyle name="좋음 12" xfId="2510"/>
    <cellStyle name="좋음 13" xfId="2511"/>
    <cellStyle name="좋음 14" xfId="2512"/>
    <cellStyle name="좋음 15" xfId="2513"/>
    <cellStyle name="좋음 16" xfId="2514"/>
    <cellStyle name="좋음 17" xfId="2515"/>
    <cellStyle name="좋음 18" xfId="2516"/>
    <cellStyle name="좋음 19" xfId="2517"/>
    <cellStyle name="좋음 2" xfId="2518"/>
    <cellStyle name="좋음 2 10" xfId="2519"/>
    <cellStyle name="좋음 2 11" xfId="2520"/>
    <cellStyle name="좋음 2 12" xfId="2521"/>
    <cellStyle name="좋음 2 2" xfId="2522"/>
    <cellStyle name="좋음 2 2 2" xfId="2523"/>
    <cellStyle name="좋음 2 2 3" xfId="2524"/>
    <cellStyle name="좋음 2 3" xfId="2525"/>
    <cellStyle name="좋음 2 4" xfId="2526"/>
    <cellStyle name="좋음 2 5" xfId="2527"/>
    <cellStyle name="좋음 2 6" xfId="2528"/>
    <cellStyle name="좋음 2 7" xfId="2529"/>
    <cellStyle name="좋음 2 8" xfId="2530"/>
    <cellStyle name="좋음 2 9" xfId="2531"/>
    <cellStyle name="좋음 20" xfId="2532"/>
    <cellStyle name="좋음 21" xfId="2533"/>
    <cellStyle name="좋음 22" xfId="2534"/>
    <cellStyle name="좋음 23" xfId="2535"/>
    <cellStyle name="좋음 24" xfId="2536"/>
    <cellStyle name="좋음 25" xfId="2537"/>
    <cellStyle name="좋음 26" xfId="2538"/>
    <cellStyle name="좋음 27" xfId="2539"/>
    <cellStyle name="좋음 28" xfId="2540"/>
    <cellStyle name="좋음 29" xfId="2541"/>
    <cellStyle name="좋음 3" xfId="2542"/>
    <cellStyle name="좋음 3 2" xfId="2543"/>
    <cellStyle name="좋음 30" xfId="2544"/>
    <cellStyle name="좋음 31" xfId="2545"/>
    <cellStyle name="좋음 32" xfId="2546"/>
    <cellStyle name="좋음 4" xfId="2547"/>
    <cellStyle name="좋음 5" xfId="2548"/>
    <cellStyle name="좋음 6" xfId="2549"/>
    <cellStyle name="좋음 7" xfId="2550"/>
    <cellStyle name="좋음 8" xfId="2551"/>
    <cellStyle name="좋음 9" xfId="2552"/>
    <cellStyle name="출력 10" xfId="2553"/>
    <cellStyle name="출력 11" xfId="2554"/>
    <cellStyle name="출력 12" xfId="2555"/>
    <cellStyle name="출력 13" xfId="2556"/>
    <cellStyle name="출력 14" xfId="2557"/>
    <cellStyle name="출력 15" xfId="2558"/>
    <cellStyle name="출력 16" xfId="2559"/>
    <cellStyle name="출력 17" xfId="2560"/>
    <cellStyle name="출력 18" xfId="2561"/>
    <cellStyle name="출력 19" xfId="2562"/>
    <cellStyle name="출력 2" xfId="2563"/>
    <cellStyle name="출력 2 10" xfId="2564"/>
    <cellStyle name="출력 2 11" xfId="2565"/>
    <cellStyle name="출력 2 12" xfId="2566"/>
    <cellStyle name="출력 2 2" xfId="2567"/>
    <cellStyle name="출력 2 2 10" xfId="2568"/>
    <cellStyle name="출력 2 2 10 2" xfId="2569"/>
    <cellStyle name="출력 2 2 11" xfId="2570"/>
    <cellStyle name="출력 2 2 11 2" xfId="2571"/>
    <cellStyle name="출력 2 2 2" xfId="2572"/>
    <cellStyle name="출력 2 2 2 10" xfId="2573"/>
    <cellStyle name="출력 2 2 2 2" xfId="2574"/>
    <cellStyle name="출력 2 2 2 2 2" xfId="2575"/>
    <cellStyle name="출력 2 2 2 2 2 2" xfId="2576"/>
    <cellStyle name="출력 2 2 2 2 3" xfId="2577"/>
    <cellStyle name="출력 2 2 2 3" xfId="2578"/>
    <cellStyle name="출력 2 2 2 3 2" xfId="2579"/>
    <cellStyle name="출력 2 2 2 3 2 2" xfId="2580"/>
    <cellStyle name="출력 2 2 2 3 3" xfId="2581"/>
    <cellStyle name="출력 2 2 2 4" xfId="2582"/>
    <cellStyle name="출력 2 2 2 4 2" xfId="2583"/>
    <cellStyle name="출력 2 2 2 4 2 2" xfId="2584"/>
    <cellStyle name="출력 2 2 2 4 3" xfId="2585"/>
    <cellStyle name="출력 2 2 2 5" xfId="2586"/>
    <cellStyle name="출력 2 2 2 5 2" xfId="2587"/>
    <cellStyle name="출력 2 2 2 5 2 2" xfId="2588"/>
    <cellStyle name="출력 2 2 2 5 3" xfId="2589"/>
    <cellStyle name="출력 2 2 2 6" xfId="2590"/>
    <cellStyle name="출력 2 2 2 6 2" xfId="2591"/>
    <cellStyle name="출력 2 2 2 6 2 2" xfId="2592"/>
    <cellStyle name="출력 2 2 2 6 3" xfId="2593"/>
    <cellStyle name="출력 2 2 2 7" xfId="2594"/>
    <cellStyle name="출력 2 2 2 7 2" xfId="2595"/>
    <cellStyle name="출력 2 2 2 7 2 2" xfId="2596"/>
    <cellStyle name="출력 2 2 2 7 3" xfId="2597"/>
    <cellStyle name="출력 2 2 2 8" xfId="2598"/>
    <cellStyle name="출력 2 2 2 8 2" xfId="2599"/>
    <cellStyle name="출력 2 2 2 8 2 2" xfId="2600"/>
    <cellStyle name="출력 2 2 2 8 3" xfId="2601"/>
    <cellStyle name="출력 2 2 2 9" xfId="2602"/>
    <cellStyle name="출력 2 2 2 9 2" xfId="2603"/>
    <cellStyle name="출력 2 2 3" xfId="2604"/>
    <cellStyle name="출력 2 2 3 10" xfId="2605"/>
    <cellStyle name="출력 2 2 3 2" xfId="2606"/>
    <cellStyle name="출력 2 2 3 2 2" xfId="2607"/>
    <cellStyle name="출력 2 2 3 2 2 2" xfId="2608"/>
    <cellStyle name="출력 2 2 3 2 3" xfId="2609"/>
    <cellStyle name="출력 2 2 3 3" xfId="2610"/>
    <cellStyle name="출력 2 2 3 3 2" xfId="2611"/>
    <cellStyle name="출력 2 2 3 3 2 2" xfId="2612"/>
    <cellStyle name="출력 2 2 3 3 3" xfId="2613"/>
    <cellStyle name="출력 2 2 3 4" xfId="2614"/>
    <cellStyle name="출력 2 2 3 4 2" xfId="2615"/>
    <cellStyle name="출력 2 2 3 4 2 2" xfId="2616"/>
    <cellStyle name="출력 2 2 3 4 3" xfId="2617"/>
    <cellStyle name="출력 2 2 3 5" xfId="2618"/>
    <cellStyle name="출력 2 2 3 5 2" xfId="2619"/>
    <cellStyle name="출력 2 2 3 5 2 2" xfId="2620"/>
    <cellStyle name="출력 2 2 3 5 3" xfId="2621"/>
    <cellStyle name="출력 2 2 3 6" xfId="2622"/>
    <cellStyle name="출력 2 2 3 6 2" xfId="2623"/>
    <cellStyle name="출력 2 2 3 6 2 2" xfId="2624"/>
    <cellStyle name="출력 2 2 3 6 3" xfId="2625"/>
    <cellStyle name="출력 2 2 3 7" xfId="2626"/>
    <cellStyle name="출력 2 2 3 7 2" xfId="2627"/>
    <cellStyle name="출력 2 2 3 7 2 2" xfId="2628"/>
    <cellStyle name="출력 2 2 3 7 3" xfId="2629"/>
    <cellStyle name="출력 2 2 3 8" xfId="2630"/>
    <cellStyle name="출력 2 2 3 8 2" xfId="2631"/>
    <cellStyle name="출력 2 2 3 8 2 2" xfId="2632"/>
    <cellStyle name="출력 2 2 3 8 3" xfId="2633"/>
    <cellStyle name="출력 2 2 3 9" xfId="2634"/>
    <cellStyle name="출력 2 2 3 9 2" xfId="2635"/>
    <cellStyle name="출력 2 2 4" xfId="2636"/>
    <cellStyle name="출력 2 2 4 2" xfId="2637"/>
    <cellStyle name="출력 2 2 4 2 2" xfId="2638"/>
    <cellStyle name="출력 2 2 4 3" xfId="2639"/>
    <cellStyle name="출력 2 2 5" xfId="2640"/>
    <cellStyle name="출력 2 2 5 2" xfId="2641"/>
    <cellStyle name="출력 2 2 5 2 2" xfId="2642"/>
    <cellStyle name="출력 2 2 5 3" xfId="2643"/>
    <cellStyle name="출력 2 2 6" xfId="2644"/>
    <cellStyle name="출력 2 2 6 2" xfId="2645"/>
    <cellStyle name="출력 2 2 6 2 2" xfId="2646"/>
    <cellStyle name="출력 2 2 6 3" xfId="2647"/>
    <cellStyle name="출력 2 2 7" xfId="2648"/>
    <cellStyle name="출력 2 2 7 2" xfId="2649"/>
    <cellStyle name="출력 2 2 7 2 2" xfId="2650"/>
    <cellStyle name="출력 2 2 7 3" xfId="2651"/>
    <cellStyle name="출력 2 2 8" xfId="2652"/>
    <cellStyle name="출력 2 2 8 2" xfId="2653"/>
    <cellStyle name="출력 2 2 8 2 2" xfId="2654"/>
    <cellStyle name="출력 2 2 8 3" xfId="2655"/>
    <cellStyle name="출력 2 2 9" xfId="2656"/>
    <cellStyle name="출력 2 2 9 2" xfId="2657"/>
    <cellStyle name="출력 2 2 9 2 2" xfId="2658"/>
    <cellStyle name="출력 2 2 9 3" xfId="2659"/>
    <cellStyle name="출력 2 3" xfId="2660"/>
    <cellStyle name="출력 2 3 10" xfId="2661"/>
    <cellStyle name="출력 2 3 10 2" xfId="2662"/>
    <cellStyle name="출력 2 3 2" xfId="2663"/>
    <cellStyle name="출력 2 3 2 2" xfId="2664"/>
    <cellStyle name="출력 2 3 2 2 2" xfId="2665"/>
    <cellStyle name="출력 2 3 2 3" xfId="2666"/>
    <cellStyle name="출력 2 3 3" xfId="2667"/>
    <cellStyle name="출력 2 3 3 2" xfId="2668"/>
    <cellStyle name="출력 2 3 3 2 2" xfId="2669"/>
    <cellStyle name="출력 2 3 3 3" xfId="2670"/>
    <cellStyle name="출력 2 3 4" xfId="2671"/>
    <cellStyle name="출력 2 3 4 2" xfId="2672"/>
    <cellStyle name="출력 2 3 4 2 2" xfId="2673"/>
    <cellStyle name="출력 2 3 4 3" xfId="2674"/>
    <cellStyle name="출력 2 3 5" xfId="2675"/>
    <cellStyle name="출력 2 3 5 2" xfId="2676"/>
    <cellStyle name="출력 2 3 5 2 2" xfId="2677"/>
    <cellStyle name="출력 2 3 5 3" xfId="2678"/>
    <cellStyle name="출력 2 3 6" xfId="2679"/>
    <cellStyle name="출력 2 3 6 2" xfId="2680"/>
    <cellStyle name="출력 2 3 6 2 2" xfId="2681"/>
    <cellStyle name="출력 2 3 6 3" xfId="2682"/>
    <cellStyle name="출력 2 3 7" xfId="2683"/>
    <cellStyle name="출력 2 3 7 2" xfId="2684"/>
    <cellStyle name="출력 2 3 7 2 2" xfId="2685"/>
    <cellStyle name="출력 2 3 7 3" xfId="2686"/>
    <cellStyle name="출력 2 3 8" xfId="2687"/>
    <cellStyle name="출력 2 3 8 2" xfId="2688"/>
    <cellStyle name="출력 2 3 8 2 2" xfId="2689"/>
    <cellStyle name="출력 2 3 8 3" xfId="2690"/>
    <cellStyle name="출력 2 3 9" xfId="2691"/>
    <cellStyle name="출력 2 3 9 2" xfId="2692"/>
    <cellStyle name="출력 2 4" xfId="2693"/>
    <cellStyle name="출력 2 4 10" xfId="2694"/>
    <cellStyle name="출력 2 4 10 2" xfId="2695"/>
    <cellStyle name="출력 2 4 2" xfId="2696"/>
    <cellStyle name="출력 2 4 2 2" xfId="2697"/>
    <cellStyle name="출력 2 4 2 2 2" xfId="2698"/>
    <cellStyle name="출력 2 4 2 3" xfId="2699"/>
    <cellStyle name="출력 2 4 3" xfId="2700"/>
    <cellStyle name="출력 2 4 3 2" xfId="2701"/>
    <cellStyle name="출력 2 4 3 2 2" xfId="2702"/>
    <cellStyle name="출력 2 4 3 3" xfId="2703"/>
    <cellStyle name="출력 2 4 4" xfId="2704"/>
    <cellStyle name="출력 2 4 4 2" xfId="2705"/>
    <cellStyle name="출력 2 4 4 2 2" xfId="2706"/>
    <cellStyle name="출력 2 4 4 3" xfId="2707"/>
    <cellStyle name="출력 2 4 5" xfId="2708"/>
    <cellStyle name="출력 2 4 5 2" xfId="2709"/>
    <cellStyle name="출력 2 4 5 2 2" xfId="2710"/>
    <cellStyle name="출력 2 4 5 3" xfId="2711"/>
    <cellStyle name="출력 2 4 6" xfId="2712"/>
    <cellStyle name="출력 2 4 6 2" xfId="2713"/>
    <cellStyle name="출력 2 4 6 2 2" xfId="2714"/>
    <cellStyle name="출력 2 4 6 3" xfId="2715"/>
    <cellStyle name="출력 2 4 7" xfId="2716"/>
    <cellStyle name="출력 2 4 7 2" xfId="2717"/>
    <cellStyle name="출력 2 4 7 2 2" xfId="2718"/>
    <cellStyle name="출력 2 4 7 3" xfId="2719"/>
    <cellStyle name="출력 2 4 8" xfId="2720"/>
    <cellStyle name="출력 2 4 8 2" xfId="2721"/>
    <cellStyle name="출력 2 4 8 2 2" xfId="2722"/>
    <cellStyle name="출력 2 4 8 3" xfId="2723"/>
    <cellStyle name="출력 2 4 9" xfId="2724"/>
    <cellStyle name="출력 2 4 9 2" xfId="2725"/>
    <cellStyle name="출력 2 5" xfId="2726"/>
    <cellStyle name="출력 2 5 2" xfId="2727"/>
    <cellStyle name="출력 2 5 2 2" xfId="2728"/>
    <cellStyle name="출력 2 5 3" xfId="2729"/>
    <cellStyle name="출력 2 5 3 2" xfId="2730"/>
    <cellStyle name="출력 2 6" xfId="2731"/>
    <cellStyle name="출력 2 6 2" xfId="2732"/>
    <cellStyle name="출력 2 6 3" xfId="2733"/>
    <cellStyle name="출력 2 7" xfId="2734"/>
    <cellStyle name="출력 2 8" xfId="2735"/>
    <cellStyle name="출력 2 9" xfId="2736"/>
    <cellStyle name="출력 20" xfId="2737"/>
    <cellStyle name="출력 21" xfId="2738"/>
    <cellStyle name="출력 22" xfId="2739"/>
    <cellStyle name="출력 23" xfId="2740"/>
    <cellStyle name="출력 24" xfId="2741"/>
    <cellStyle name="출력 25" xfId="2742"/>
    <cellStyle name="출력 26" xfId="2743"/>
    <cellStyle name="출력 27" xfId="2744"/>
    <cellStyle name="출력 28" xfId="2745"/>
    <cellStyle name="출력 29" xfId="2746"/>
    <cellStyle name="출력 3" xfId="2747"/>
    <cellStyle name="출력 3 2" xfId="2748"/>
    <cellStyle name="출력 30" xfId="2749"/>
    <cellStyle name="출력 31" xfId="2750"/>
    <cellStyle name="출력 32" xfId="2751"/>
    <cellStyle name="출력 4" xfId="2752"/>
    <cellStyle name="출력 5" xfId="2753"/>
    <cellStyle name="출력 6" xfId="2754"/>
    <cellStyle name="출력 7" xfId="2755"/>
    <cellStyle name="출력 8" xfId="2756"/>
    <cellStyle name="출력 9" xfId="2757"/>
    <cellStyle name="콤마 [0]_ 견적기준 FLOW " xfId="2758"/>
    <cellStyle name="콤마_ 견적기준 FLOW " xfId="2759"/>
    <cellStyle name="통화 [0] 14" xfId="2760"/>
    <cellStyle name="통화 [0] 2" xfId="2761"/>
    <cellStyle name="통화 [0] 2 2" xfId="2762"/>
    <cellStyle name="통화 [0] 2 3" xfId="2763"/>
    <cellStyle name="통화 [0] 3" xfId="2764"/>
    <cellStyle name="통화 [0] 4" xfId="2765"/>
    <cellStyle name="통화 [0] 5" xfId="2766"/>
    <cellStyle name="표준 10" xfId="2767"/>
    <cellStyle name="표준 10 2" xfId="2768"/>
    <cellStyle name="표준 10 3" xfId="2769"/>
    <cellStyle name="표준 10 3 2" xfId="2770"/>
    <cellStyle name="표준 11" xfId="2771"/>
    <cellStyle name="표준 11 2" xfId="2772"/>
    <cellStyle name="표준 11 2 2" xfId="2773"/>
    <cellStyle name="표준 11 3" xfId="2774"/>
    <cellStyle name="표준 11 3 2" xfId="2775"/>
    <cellStyle name="표준 11 3 3" xfId="2776"/>
    <cellStyle name="표준 11 3 4" xfId="2777"/>
    <cellStyle name="표준 11 3 5" xfId="2778"/>
    <cellStyle name="표준 11 4" xfId="2779"/>
    <cellStyle name="표준 11 4 2" xfId="2780"/>
    <cellStyle name="표준 11 4 3" xfId="2781"/>
    <cellStyle name="표준 11 5" xfId="2782"/>
    <cellStyle name="표준 12" xfId="2783"/>
    <cellStyle name="표준 12 2" xfId="2784"/>
    <cellStyle name="표준 12 3" xfId="2785"/>
    <cellStyle name="표준 13" xfId="2786"/>
    <cellStyle name="표준 13 2" xfId="2787"/>
    <cellStyle name="표준 137" xfId="2788"/>
    <cellStyle name="표준 14" xfId="2789"/>
    <cellStyle name="표준 14 2" xfId="2790"/>
    <cellStyle name="표준 15" xfId="2791"/>
    <cellStyle name="표준 15 2" xfId="2792"/>
    <cellStyle name="표준 15 2 2" xfId="2793"/>
    <cellStyle name="표준 15 3" xfId="2794"/>
    <cellStyle name="표준 15 3 2" xfId="2795"/>
    <cellStyle name="표준 16" xfId="2796"/>
    <cellStyle name="표준 16 2" xfId="2797"/>
    <cellStyle name="표준 16 2 2" xfId="2798"/>
    <cellStyle name="표준 17" xfId="2799"/>
    <cellStyle name="표준 17 2" xfId="2800"/>
    <cellStyle name="표준 17 2 2" xfId="2801"/>
    <cellStyle name="표준 18" xfId="2802"/>
    <cellStyle name="표준 18 2" xfId="2803"/>
    <cellStyle name="표준 182" xfId="2804"/>
    <cellStyle name="표준 183" xfId="2805"/>
    <cellStyle name="표준 19" xfId="2806"/>
    <cellStyle name="표준 19 2" xfId="2807"/>
    <cellStyle name="표준 19 2 2" xfId="2808"/>
    <cellStyle name="표준 19 3" xfId="2809"/>
    <cellStyle name="표준 19 3 2" xfId="2810"/>
    <cellStyle name="표준 19 4" xfId="2811"/>
    <cellStyle name="표준 19 4 2" xfId="2812"/>
    <cellStyle name="표준 19 5" xfId="2813"/>
    <cellStyle name="표준 19 5 2" xfId="2814"/>
    <cellStyle name="표준 2" xfId="2815"/>
    <cellStyle name="표준 2 10 2 2 2" xfId="2816"/>
    <cellStyle name="표준 2 2" xfId="2817"/>
    <cellStyle name="표준 2 2 2" xfId="2818"/>
    <cellStyle name="표준 2 2 2 2" xfId="2819"/>
    <cellStyle name="표준 2 2 3" xfId="2820"/>
    <cellStyle name="표준 2 2 4" xfId="2821"/>
    <cellStyle name="표준 2 2 5" xfId="2822"/>
    <cellStyle name="표준 2 2 6" xfId="2823"/>
    <cellStyle name="표준 2 2 6 2" xfId="2824"/>
    <cellStyle name="표준 2 2 7" xfId="2825"/>
    <cellStyle name="표준 2 2 7 2" xfId="2826"/>
    <cellStyle name="표준 2 2 8" xfId="2827"/>
    <cellStyle name="표준 2 3" xfId="2828"/>
    <cellStyle name="표준 2 3 2" xfId="2829"/>
    <cellStyle name="표준 2 3 2 2" xfId="2830"/>
    <cellStyle name="표준 2 4" xfId="2831"/>
    <cellStyle name="표준 2 4 2" xfId="2832"/>
    <cellStyle name="표준 2 5" xfId="2833"/>
    <cellStyle name="표준 2 5 2" xfId="2834"/>
    <cellStyle name="표준 2 6" xfId="2835"/>
    <cellStyle name="표준 2 7" xfId="2836"/>
    <cellStyle name="표준 2 8" xfId="2837"/>
    <cellStyle name="표준 2 8 2" xfId="2838"/>
    <cellStyle name="표준 2_3. 물류센터 운영현황 및 관리지표(일별)_2013년 8월 2" xfId="2839"/>
    <cellStyle name="표준 20" xfId="2840"/>
    <cellStyle name="표준 21" xfId="2841"/>
    <cellStyle name="표준 22" xfId="2842"/>
    <cellStyle name="표준 23" xfId="2843"/>
    <cellStyle name="표준 24" xfId="2844"/>
    <cellStyle name="표준 25" xfId="2845"/>
    <cellStyle name="표준 25 2" xfId="2846"/>
    <cellStyle name="표준 25 3" xfId="2847"/>
    <cellStyle name="표준 26" xfId="2848"/>
    <cellStyle name="표준 26 2" xfId="2849"/>
    <cellStyle name="표준 27" xfId="2850"/>
    <cellStyle name="표준 28" xfId="2851"/>
    <cellStyle name="표준 28 2" xfId="2852"/>
    <cellStyle name="표준 283" xfId="2853"/>
    <cellStyle name="표준 29" xfId="2854"/>
    <cellStyle name="표준 29 2" xfId="2855"/>
    <cellStyle name="표준 3" xfId="2856"/>
    <cellStyle name="표준 3 2" xfId="2857"/>
    <cellStyle name="표준 3 2 2" xfId="2858"/>
    <cellStyle name="표준 3 3" xfId="2859"/>
    <cellStyle name="표준 3 3 2" xfId="2860"/>
    <cellStyle name="표준 3 4" xfId="2861"/>
    <cellStyle name="표준 3 5" xfId="2862"/>
    <cellStyle name="표준 3 5 2" xfId="2863"/>
    <cellStyle name="표준 30" xfId="2864"/>
    <cellStyle name="표준 30 2" xfId="2865"/>
    <cellStyle name="표준 30 3" xfId="2866"/>
    <cellStyle name="표준 31" xfId="2867"/>
    <cellStyle name="표준 31 2" xfId="2868"/>
    <cellStyle name="표준 32" xfId="2869"/>
    <cellStyle name="표준 32 2" xfId="2870"/>
    <cellStyle name="표준 33" xfId="2871"/>
    <cellStyle name="표준 33 2" xfId="2872"/>
    <cellStyle name="표준 34" xfId="2873"/>
    <cellStyle name="표준 34 2" xfId="2874"/>
    <cellStyle name="표준 35" xfId="2875"/>
    <cellStyle name="표준 35 2" xfId="2876"/>
    <cellStyle name="표준 36" xfId="2877"/>
    <cellStyle name="표준 36 2" xfId="2878"/>
    <cellStyle name="표준 37" xfId="2879"/>
    <cellStyle name="표준 38" xfId="2880"/>
    <cellStyle name="표준 38 2 2 2" xfId="2881"/>
    <cellStyle name="표준 39" xfId="2882"/>
    <cellStyle name="표준 4" xfId="2883"/>
    <cellStyle name="표준 4 2" xfId="2884"/>
    <cellStyle name="표준 4 2 2" xfId="2885"/>
    <cellStyle name="표준 4 3" xfId="2886"/>
    <cellStyle name="표준 4 3 2" xfId="2887"/>
    <cellStyle name="표준 4 4" xfId="2888"/>
    <cellStyle name="표준 40" xfId="2889"/>
    <cellStyle name="표준 41" xfId="2890"/>
    <cellStyle name="표준 42" xfId="2891"/>
    <cellStyle name="표준 43" xfId="2892"/>
    <cellStyle name="표준 44" xfId="2893"/>
    <cellStyle name="표준 44 2" xfId="2894"/>
    <cellStyle name="표준 45" xfId="2895"/>
    <cellStyle name="표준 46" xfId="2896"/>
    <cellStyle name="표준 47" xfId="2897"/>
    <cellStyle name="표준 48" xfId="2898"/>
    <cellStyle name="표준 49" xfId="2899"/>
    <cellStyle name="표준 5" xfId="2900"/>
    <cellStyle name="표준 5 2" xfId="2901"/>
    <cellStyle name="표준 5 3" xfId="2902"/>
    <cellStyle name="표준 5 4" xfId="2903"/>
    <cellStyle name="표준 50" xfId="2904"/>
    <cellStyle name="표준 51" xfId="2905"/>
    <cellStyle name="표준 52" xfId="2906"/>
    <cellStyle name="표준 53" xfId="2907"/>
    <cellStyle name="표준 54" xfId="2908"/>
    <cellStyle name="표준 57" xfId="2909"/>
    <cellStyle name="표준 59" xfId="2910"/>
    <cellStyle name="표준 6" xfId="2911"/>
    <cellStyle name="표준 6 2" xfId="2912"/>
    <cellStyle name="표준 6 3" xfId="2913"/>
    <cellStyle name="표준 7" xfId="2914"/>
    <cellStyle name="표준 7 2" xfId="2915"/>
    <cellStyle name="표준 7 3" xfId="2916"/>
    <cellStyle name="표준 8" xfId="2917"/>
    <cellStyle name="표준 8 2" xfId="2918"/>
    <cellStyle name="표준 8 2 2" xfId="2919"/>
    <cellStyle name="표준 8 3" xfId="2920"/>
    <cellStyle name="표준 9" xfId="2921"/>
    <cellStyle name="표준 9 2" xfId="2922"/>
    <cellStyle name="표준 9 2 2" xfId="2923"/>
    <cellStyle name="표준 9 3" xfId="2924"/>
    <cellStyle name="하이퍼링크 2" xfId="2925"/>
  </cellStyles>
  <dxfs count="2">
    <dxf>
      <numFmt numFmtId="189" formatCode="_(* #,##0_);_(* \(#,##0\);_(* &quot;-&quot;_);_(@_)"/>
    </dxf>
    <dxf>
      <numFmt numFmtId="189" formatCode="_(* #,##0_);_(* \(#,##0\);_(* &quot;-&quot;_);_(@_)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pivotCacheDefinition" Target="/xl/pivotCache/pivotCacheDefinition1.xml" Id="rId11" /><Relationship Type="http://schemas.openxmlformats.org/officeDocument/2006/relationships/pivotCacheDefinition" Target="/xl/pivotCache/pivotCacheDefinition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comments/comment1.xml><?xml version="1.0" encoding="utf-8"?>
<comments xmlns="http://schemas.openxmlformats.org/spreadsheetml/2006/main">
  <authors>
    <author>tc={F1560D72-BCA5-4919-9555-C6101AAA2C24}</author>
  </authors>
  <commentList>
    <comment ref="N1" authorId="0" shapeId="0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채널마다, 결제방식마다 수수료 상이</t>
      </text>
    </comment>
  </commentList>
</comment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_rels/pivotCacheDefinition2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yun lee" refreshedDate="44236.49096608796" createdVersion="6" refreshedVersion="6" minRefreshableVersion="3" recordCount="14997" r:id="rId1">
  <cacheSource type="worksheet">
    <worksheetSource ref="B1:M1048576" sheet="RD"/>
  </cacheSource>
  <cacheFields count="12">
    <cacheField name="일자" uniqueList="1" numFmtId="0" sqlType="0" hierarchy="0" level="0" databaseField="1">
      <sharedItems count="558" containsBlank="1" containsDate="1" containsNonDate="0" containsString="0" minDate="1899-12-31T12:00:00" maxDate="2021-02-09T00:00:00">
        <d v="2019-10-24T00:00:00"/>
        <d v="2019-10-30T00:00:00"/>
        <d v="2019-10-31T00:00:00"/>
        <d v="2019-11-01T00:00:00"/>
        <d v="2019-10-07T00:00:00"/>
        <d v="2019-10-08T00:00:00"/>
        <d v="2019-10-09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5T00:00:00"/>
        <d v="2019-10-26T00:00:00"/>
        <d v="2019-10-27T00:00:00"/>
        <d v="2019-10-28T00:00:00"/>
        <d v="2019-10-29T00:00:00"/>
        <d v="2019-10-01T00:00:00"/>
        <d v="2019-10-02T00:00:00"/>
        <d v="2019-10-03T00:00:00"/>
        <d v="2019-10-04T00:00:00"/>
        <d v="2019-10-05T00:00:00"/>
        <d v="2019-10-06T00:00:00"/>
        <d v="2019-10-10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7-21T00:00:00"/>
        <d v="2020-08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2T00:00:00"/>
        <d v="2020-08-13T00:00:00"/>
        <d v="2020-08-10T00:00:00"/>
        <d v="2020-08-11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9-02T00:00:00"/>
        <d v="2020-08-21T00:00:00"/>
        <d v="2020-08-2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m/>
        <d v="2019-09-26T00:00:00"/>
        <d v="2019-09-27T00:00:00"/>
        <d v="2019-09-28T00:00:00"/>
        <d v="2019-09-29T00:00:00"/>
        <d v="2019-09-30T00:00:00"/>
        <d v="2019-08-02T00:00:00" u="1"/>
        <d v="2019-08-04T00:00:00" u="1"/>
        <d v="2019-08-06T00:00:00" u="1"/>
        <d v="2019-09-02T00:00:00" u="1"/>
        <d v="2019-08-08T00:00:00" u="1"/>
        <d v="2019-09-04T00:00:00" u="1"/>
        <d v="2019-08-10T00:00:00" u="1"/>
        <d v="2019-09-06T00:00:00" u="1"/>
        <d v="2019-08-12T00:00:00" u="1"/>
        <d v="2019-09-08T00:00:00" u="1"/>
        <d v="2019-08-14T00:00:00" u="1"/>
        <d v="2019-09-10T00:00:00" u="1"/>
        <d v="2019-08-16T00:00:00" u="1"/>
        <d v="2019-09-12T00:00:00" u="1"/>
        <d v="2019-08-18T00:00:00" u="1"/>
        <d v="2019-09-14T00:00:00" u="1"/>
        <d v="2019-08-20T00:00:00" u="1"/>
        <d v="2019-09-16T00:00:00" u="1"/>
        <d v="2019-08-22T00:00:00" u="1"/>
        <d v="2019-09-18T00:00:00" u="1"/>
        <d v="2019-08-24T00:00:00" u="1"/>
        <d v="2019-09-20T00:00:00" u="1"/>
        <d v="2019-08-26T00:00:00" u="1"/>
        <d v="2019-09-22T00:00:00" u="1"/>
        <d v="2019-08-28T00:00:00" u="1"/>
        <d v="2019-08-30T00:00:00" u="1"/>
        <d v="1899-12-31T12:00:00" u="1"/>
        <d v="2019-08-01T00:00:00" u="1"/>
        <d v="2019-08-03T00:00:00" u="1"/>
        <d v="2019-08-05T00:00:00" u="1"/>
        <d v="2019-09-01T00:00:00" u="1"/>
        <d v="2019-08-07T00:00:00" u="1"/>
        <d v="2019-09-03T00:00:00" u="1"/>
        <d v="2019-08-09T00:00:00" u="1"/>
        <d v="2019-09-05T00:00:00" u="1"/>
        <d v="2019-08-11T00:00:00" u="1"/>
        <d v="2019-09-07T00:00:00" u="1"/>
        <d v="2019-08-13T00:00:00" u="1"/>
        <d v="2019-09-09T00:00:00" u="1"/>
        <d v="2019-08-15T00:00:00" u="1"/>
        <d v="2019-09-11T00:00:00" u="1"/>
        <d v="2019-08-17T00:00:00" u="1"/>
        <d v="2019-09-13T00:00:00" u="1"/>
        <d v="2019-08-19T00:00:00" u="1"/>
        <d v="2019-09-15T00:00:00" u="1"/>
        <d v="2019-08-21T00:00:00" u="1"/>
        <d v="2019-09-17T00:00:00" u="1"/>
        <d v="2019-08-23T00:00:00" u="1"/>
        <d v="2019-09-19T00:00:00" u="1"/>
        <d v="2019-08-25T00:00:00" u="1"/>
        <d v="2019-09-21T00:00:00" u="1"/>
        <d v="2019-08-27T00:00:00" u="1"/>
        <d v="2019-09-23T00:00:00" u="1"/>
        <d v="2019-08-29T00:00:00" u="1"/>
        <d v="2019-08-31T00:00:00" u="1"/>
      </sharedItems>
    </cacheField>
    <cacheField name="요일" uniqueList="1" numFmtId="0" sqlType="0" hierarchy="0" level="0" databaseField="1">
      <sharedItems count="8" containsBlank="1">
        <s v="목"/>
        <s v="수"/>
        <s v="금"/>
        <s v="월"/>
        <s v="화"/>
        <s v="토"/>
        <s v="일"/>
        <m/>
      </sharedItems>
    </cacheField>
    <cacheField name="미디어" uniqueList="1" numFmtId="0" sqlType="0" hierarchy="0" level="0" databaseField="1">
      <sharedItems count="0" containsBlank="1"/>
    </cacheField>
    <cacheField name="상품1" uniqueList="1" numFmtId="0" sqlType="0" hierarchy="0" level="0" databaseField="1">
      <sharedItems count="40" containsBlank="1" containsInteger="1" containsMixedTypes="1" containsNumber="1" minValue="0" maxValue="0">
        <s v="토너"/>
        <s v="머드크림마스크"/>
        <s v="앰플 사전 체험단"/>
        <s v="브랜드"/>
        <s v="마스크팩"/>
        <s v="앰플"/>
        <s v="선크림"/>
        <s v="토너패드"/>
        <s v="토너로션"/>
        <s v="머크마"/>
        <m/>
        <s v="크림"/>
        <s v="인터뷰모집"/>
        <s v="랄라블라"/>
        <s v="고양이모래품평단"/>
        <s v="고양이모래"/>
        <n v="0"/>
        <s v="패드"/>
        <s v="화장솜"/>
        <s v="클렌징폼"/>
        <s v="토너 기획세트"/>
        <s v="토너+머드크림세트"/>
        <s v="수딩크림"/>
        <s v="클렌징폼 기획세트"/>
        <s v="앰플 기획세트"/>
        <s v="어성초진정패키지"/>
        <s v="수딩크림 증정기획"/>
        <s v="토너 증정기획"/>
        <s v="대용량 기획세트"/>
        <s v="여름 한정 진정세트"/>
        <s v="로션"/>
        <s v="클리어 패드"/>
        <s v="토너+패드 세트"/>
        <s v="바디워시"/>
        <s v="수분 보충 세트"/>
        <s v="크림마스크"/>
        <s v="카밍크림"/>
        <s v="토너로션 기획세트"/>
        <s v="패드 기획세트"/>
        <s v="수딩 크림"/>
      </sharedItems>
    </cacheField>
    <cacheField name="채널" uniqueList="1" numFmtId="0" sqlType="0" hierarchy="0" level="0" databaseField="1">
      <sharedItems count="38" containsBlank="1">
        <m/>
        <s v="W컨셉"/>
        <s v="카페24"/>
        <s v="아누아 CS"/>
        <s v="큐텐"/>
        <s v="글로우데이즈 시코르"/>
        <s v="랄라블라"/>
        <s v="스타일쉐어"/>
        <s v="현대면세점"/>
        <s v="화해"/>
        <s v="큐텐재팬"/>
        <s v="쇼피필리핀"/>
        <s v="쇼피태국"/>
        <s v="큐텐싱가폴"/>
        <s v="쇼피말레이시아"/>
        <s v="라자다싱가폴"/>
        <s v="쇼피싱가폴"/>
        <s v="쇼피인도네시아"/>
        <s v="쇼피대만"/>
        <s v="굿닥"/>
        <s v="AD_페이스북" u="1"/>
        <s v="쿠팡" u="1"/>
        <s v="쇼피 필리핀" u="1"/>
        <s v="CJ몰" u="1"/>
        <s v="위메프(2.0)" u="1"/>
        <s v="롯데홈쇼핑" u="1"/>
        <s v="마켓컬리" u="1"/>
        <s v="위메프" u="1"/>
        <s v="홈페이지" u="1"/>
        <s v="쇼피 태국" u="1"/>
        <s v="N스토어" u="1"/>
        <s v="프로젝트21 스토어팜" u="1"/>
        <s v="펫프렌즈" u="1"/>
        <s v="프로젝트21 CS" u="1"/>
        <s v="텐바이텐" u="1"/>
        <s v="롯데아이몰(신)" u="1"/>
        <s v="프로젝트21 홈페이지" u="1"/>
        <s v="CJ" u="1"/>
      </sharedItems>
    </cacheField>
    <cacheField name="상품2" uniqueList="1" numFmtId="0" sqlType="0" hierarchy="0" level="0" databaseField="1">
      <sharedItems count="321" containsBlank="1">
        <m/>
        <s v="테스트"/>
        <s v="테스트-장문"/>
        <s v="당첨"/>
        <s v="비당첨"/>
        <s v="블로그 작성 유도"/>
        <s v="설문지 전달"/>
        <s v="당첨자 안내(URL누락)"/>
        <s v="사용방법팁"/>
        <s v="리마인드"/>
        <s v="리마인드(테스트)"/>
        <s v="마지막날 리마인드"/>
        <s v="재구매의사 테스트"/>
        <s v="재구매의사"/>
        <s v="키워드 발굴"/>
        <s v="250ml"/>
        <s v="250ml 2set"/>
        <s v="500ml"/>
        <s v="머드크림마스크 100ml"/>
        <s v="스킨팩 화장솜 60P"/>
        <s v="40ml"/>
        <s v="머드크림마스크 100ml 2set"/>
        <s v="클렌징폼 120ml"/>
        <s v="클렌징폼 120ml 2set"/>
        <s v="클렌징폼 120ml 3set"/>
        <s v="토너 기획세트"/>
        <s v="마스크팩 1매"/>
        <s v="마스크팩 10매"/>
        <s v="앰플 30ml"/>
        <s v="수딩크림 100ml"/>
        <s v="클렌징폼 기획세트"/>
        <s v="앰플 기획세트"/>
        <s v="[플친 단독 30% off] 어성초 78 수딩 크림"/>
        <s v="[플친 단독 30% off] 어성초 80 수분 진정 앰플"/>
        <s v="어성초 진정패키지세트"/>
        <s v="수딩크림 증정기획"/>
        <s v="토너 증정기획"/>
        <s v="선크림 50ml"/>
        <s v="클렌징폼 120ml(선크림할인)"/>
        <s v="대용량 기획세트"/>
        <s v="여름 한정 진정세트"/>
        <s v="여름 한정 진정세트 (대용량)"/>
        <s v="선크림 50ml  2set"/>
        <s v="[200618-22] 250ml 2set"/>
        <s v="[200618-22] 250ml (화장솜 증정)"/>
        <s v="[200618-22] 앰플 30ml"/>
        <s v="[200618-22] 선크림 50ml"/>
        <s v="[200618-22] 마스크팩 3매"/>
        <s v="[200618-22] 클렌징폼 120ml"/>
        <s v="선크림=선크림 50ml"/>
        <s v="클렌징폼=클렌징폼 120ml"/>
        <s v="토너=250ml"/>
        <s v="수딩크림=수딩크림 100ml"/>
        <s v="앰플=앰플 30ml"/>
        <s v="200726=250ml"/>
        <s v="200726=수딩크림 100ml"/>
        <s v="200726=앰플 30ml"/>
        <s v="200726=250ml 2set"/>
        <s v="200726=머드크림마스크 100ml"/>
        <s v="200726=선크림 50ml"/>
        <s v="200728=250ml = 화장솜 60P"/>
        <s v="마스크팩=마스크팩 1매"/>
        <s v="마스크팩=마스크팩 10매"/>
        <s v="머드크림마스크=머드크림마스크 100ml"/>
        <s v="200726=500ml"/>
        <s v="200728=500ml = 화장솜 60P X 2"/>
        <s v="마스크 5+1 기획세트"/>
        <s v="200726=250ml = 화장솜 60P"/>
        <s v="200812=250ml"/>
        <s v="앰플 30ml  2set"/>
        <s v="200812=수딩크림 100ml"/>
        <s v="200812=머드크림마스크 100ml"/>
        <s v="200812=선크림 50ml"/>
        <s v="[재구매전용특가] 250ml"/>
        <s v="[재구매전용특가] 250ml 2set"/>
        <s v="200820=250ml"/>
        <s v="200821=250ml"/>
        <s v="200820=마스크팩 10매"/>
        <s v="40ml(증정)"/>
        <s v="200820=수딩크림 100ml"/>
        <s v="200820=선크림 50ml"/>
        <s v="200831=250ml"/>
        <s v="200831=앰플 30ml"/>
        <s v="200831=250ml = 화장솜 60P X 2"/>
        <s v="200820=앰플 30ml"/>
        <s v="200831=500ml"/>
        <s v="200831=250ml = 화장솜 60P"/>
        <s v="로션 200ml"/>
        <s v="어성초 클리어패드 70P"/>
        <s v="[플친단독할인] 어성초 77 클리어 패드 1개-29% off"/>
        <s v="[플친단독할인] 어성초 77 클리어 패드 2개-30% off"/>
        <s v="[플친단독할인] 좁쌀 진정 세트 토너+클리어 패드-30% off"/>
        <s v="바디워시 1개 -30% off"/>
        <s v="바디워시 2개 -35% off (무료배송)"/>
        <s v="바디워시 500ml"/>
        <s v="어성초 77 클리어 패드 1개-20% off"/>
        <s v="어성초 77 클리어 패드 2개-30% off"/>
        <s v="좁쌀 진정 세트 토너+클리어 패드-30% off"/>
        <s v="어성초 77 토너 250ml + 어성초 70 로션 200ml -30%"/>
        <s v="어성초 70 데일리 릴리프 로션 1개 -20% off"/>
        <s v="어성초 70 데일리 릴리프 로션 2개 -30% off"/>
        <s v="200820=500ml"/>
        <s v="200820=클렌징폼 120ml"/>
        <s v="아누아 어성초77 클리어 패드"/>
        <s v="아누아 어성초70 로션 200ml"/>
        <s v="[20/09/28 부터] 어성초 77 토너 250ml + 어성초 70 로션 200ml -30%"/>
        <s v="아누아 어성초 아크네 바디워시 500ml"/>
        <s v="어성초 크림마스크 나이트 솔루션 10매"/>
        <s v="아누아 어성초 크림 마스크"/>
        <s v="_x0009_어성초 70 인텐스 카밍 크림 50ml"/>
        <s v="[플친 단독 (11/16-11/20)] 크림(필수)=어성초 70 인텐스 카밍 크림 1개-20% off"/>
        <s v="[플친 단독 (11/16-11/20)] 크림(필수)=어성초 70 인텐스 카밍 크림 2개-30% off (무료배송)"/>
        <s v="[플친 단독 (11/16-11/20)] 크림마스크팩(선택)=크림마스크팩 1장-50% off"/>
        <s v="크림=어성초 토너 250ml + 카밍 크림 50ml (-30%)"/>
        <s v="크림=어성초 70 인텐스 카밍 크림 2개 (-30%)"/>
        <s v="옵션=어성초 크림마스크 나이트 솔루션 1장"/>
        <s v="크림=어성초 70 인텐스 카밍 크림 1개 (-20%)"/>
        <s v="옵션=어성초 크림마스크 나이트 솔루션 10장"/>
        <s v="아누아 어성초70 크림 50ml"/>
        <s v="아누아 어성초77 수딩 토너&amp;로션 기획세트"/>
        <s v="아누아 어성초77 클리어 패드 기획세트"/>
        <s v="아누아 어성초80 앰플 기획세트 (NEW)"/>
        <s v="어성초 크림마스크 나이트 솔루션 1매"/>
        <s v="어성초 77토너 (2 SET) HEARTLEAF 77% SOOTHING TONER 250ml250ml 2set"/>
        <s v="어성초 77토너 HEARTLEAF 77% SOOTHING TONER 250ml250ml"/>
        <s v="어성초 77 수딩 토너화장솜(선택)=촉촉 스킨팩 화장솜"/>
        <s v="5 제로 무기자차 선크림옵션=5제로 무기자차 선크림 1개-20% off"/>
        <s v="5 제로 무기자차 선크림옵션=5제로 무기자차 선크림 2개-30% off (무료배송)"/>
        <s v="[수분 보충 세트] 어성초 77 토너 + 어성초 70 로션옵션=어성초 77 토너 250ml + 어성초 70 로션 200ml -30%"/>
        <s v="[어성초 진정 패키지 세트] 대용량 토너 + 앰플 + 수딩 크림 + 마스크팩 10장"/>
        <s v="대용량 어성초 77 수딩 토너 500ml"/>
        <s v="대용량 어성초 77 토너 500ml"/>
        <s v="어성초 70 데일리 릴리프 로션로션=어성초 70 데일리 릴리프 로션 1개 -20% off"/>
        <s v="어성초 70 데일리 릴리프 로션로션=어성초 70 데일리 릴리프 로션 2개 -30% off"/>
        <s v="어성초 70 데일리 릴리프 로션로션=어성초 77토너 + 어성초 70 로션 수분 보충 세트 -30% off"/>
        <s v="어성초 70 머드 크림 마스크옵션=어성초 70 머드 크림 마스크-20% off"/>
        <s v="어성초 70 인텐스 카밍 크림크림=어성초 70 인텐스 카밍 크림 1개 (-20%)"/>
        <s v="어성초 70 인텐스 카밍 크림크림=어성초 토너 250ml + 카밍 크림 50ml (-30%)"/>
        <s v="어성초 77 수딩 토너토너(필수)=어성초 77 토너 1개-20% off"/>
        <s v="어성초 77 수딩 토너토너(필수)=어성초 77 토너 2개-30% off (무료배송)"/>
        <s v="어성초 77 수딩 토너토너(필수)=어성초77토너1개 + 어성초77패드1개 -30% off (무료배송)"/>
        <s v="어성초 77 수딩 토너토너(필수)=(대용량) 어성초 77 토너 500ml (무료배송)"/>
        <s v="어성초 77 진정 마스크옵션=어성초 77 진정 마스크팩 1장"/>
        <s v="어성초 77 진정 마스크옵션=어성초 77 진정 마스크팩 10장-50% off"/>
        <s v="어성초 77 진정 마스크"/>
        <s v="어성초 77 클리어 패드옵션=어성초 77 클리어 패드 1개-20% off"/>
        <s v="어성초 77 클리어 패드옵션=어성초 77 클리어 패드 2개-30% off (무료배송)"/>
        <s v="어성초 77 클리어 패드옵션=어성초77토너1개+어성초77패드1개-30% off (무료배송)"/>
        <s v="어성초 77 토너"/>
        <s v="어성초 77 토너토너(필수)=어성초 77 토너 1개-20% off"/>
        <s v="어성초 78 수딩 크림"/>
        <s v="어성초 80 수분 진정 앰플앰플=어성초 80 앰플 1개-15%off"/>
        <s v="어성초 80 수분 진정 앰플앰플=어성초 80 앰플 2개-27%off (무료배송)"/>
        <s v="어성초 80 수분 진정 앰플"/>
        <s v="어성초 80 수분 진정 앰플옵션=어성초 80 앰플 1개 - 15%off"/>
        <s v="어성초 아크네 바디워시옵션=어성초 아크네 바디워시 1개 -30% off"/>
        <s v="어성초 아크네 바디워시옵션=어성초 아크네 바디워시 2개 -35% off (무료배송)"/>
        <s v="어성초 약산성 클렌징폼클렌징폼=어성초 약산성 클렌징폼 1개 -19%off"/>
        <s v="어성초 약산성 클렌징폼클렌징폼=어성초 약산성 클렌징폼 2개 -25%off"/>
        <s v="어성초 약산성 클렌징폼클렌징폼=어성초 약산성 클렌징폼 3개 -31%off (무료배송)"/>
        <s v="어성초 크림마스크 나이트 솔루션옵션=어성초 크림마스크 나이트 솔루션 10장 (-50%)"/>
        <s v="촉촉 스킨팩 화장솜"/>
        <s v="어성초 77 토너 250ml어성초 77 토너 250ml"/>
        <s v="아누아 어성초 77 토너 250ml"/>
        <s v="어성초 77 토너 250ml"/>
        <s v="어성초 70 머드 크림 마스크옵션=어성초 70 머드 크림 마스크 2개-30% off (무료배송)"/>
        <s v="어성초 77 토너화장솜(선택)=촉촉 스킨팩 화장솜"/>
        <s v="어성초 77 클리어 패드 70매어성초 77 클리어 패드 70매"/>
        <s v="아누아 어성초 77 수딩 토너토너(필수)=어성초 77 토너 1개-20% off"/>
        <s v="어성초 77 토너토너(필수)=어성초77토너1개 + 어성초77패드1개 -30% off (무료배송)"/>
        <s v="어성초 크림마스크 나이트 솔루션옵션=어성초 크림마스크 나이트 솔루션 1장"/>
        <s v="어성초 70 데일리 릴리프 로션 200ml어성초 70 데일리 릴리프 로션 200ml"/>
        <s v="5제로 무기자차 선크림 50ml"/>
        <s v="어성초 70 인텐스 카밍 크림 50ml"/>
        <s v="어성초 77 토너토너(필수)=어성초 77 토너 2개-30% off (무료배송)"/>
        <s v="어성초 77 패드옵션=어성초 77 클리어 패드 2개-30% off (무료배송)"/>
        <s v="어성초 70 인텐스 카밍 크림크림=어성초 70 인텐스 카밍 크림 2개 (-30%)"/>
        <s v="어성초 80 수분 진정 앰플 30ml어성초 80 수분 진정 앰플 30ml"/>
        <s v="아누아 어성초 77 수딩 토너토너(필수)=어성초 77 토너 2개-30% off (무료배송)"/>
        <s v="아누아 어성초 77 수딩 토너화장솜(선택)=촉촉 스킨팩 화장솜"/>
        <s v="아누아 어성초 77 수딩 토너토너(필수)=어성초77토너1개 + 어성초77패드1개 -30% off (무료배송)"/>
        <s v="어성초 약산성 클렌징폼"/>
        <s v="어성초 80 앰플 30ml"/>
        <s v="어성초 70 머드 크림 마스크"/>
        <s v="어성초 77 포어 클리어 패드옵션=어성초 77 클리어 패드 2개-30% off (무료배송)"/>
        <s v="어성초 77 포어 클리어 패드옵션=어성초77토너1개+어성초77패드1개-30% off (무료배송)"/>
        <s v="어성초 77% 패드옵션=어성초 77 클리어 패드 1개-20% off"/>
        <s v="어성초 77% 패드옵션=어성초 77 클리어 패드 2개-30% off (무료배송)"/>
        <s v="어성초 77% 패드옵션=어성초77토너1개+어성초77패드1개-30% off (무료배송)"/>
        <s v="어성초 77 포어 클리어 패드옵션=어성초 77 클리어 패드 1개-20% off"/>
        <s v="어성초 77 토너 500ml"/>
        <s v="어성초 77 마스크팩 10매"/>
        <s v="아누아 어성초 77 클리어 패드옵션=어성초 77 클리어 패드 2개-30% off (무료배송)"/>
        <s v="[연휴특가]아누아 어성초 77 토너 250ml"/>
        <s v="어성초 77 수딩 토너 (클리어패드 세트 구매시 1/11 순차발송 예정)토너(필수)=어성초 77 토너 1개-20% off"/>
        <s v="어성초 77 수딩 토너 (클리어패드 세트 구매시 1/11 순차발송 예정)토너(필수)=어성초 77 토너 2개-30% off (무료배송)"/>
        <s v="어성초 77 수딩 토너 (클리어패드 세트 구매시 1/11 순차발송 예정)토너(필수)=어성초77토너1개 + 어성초77패드1개 -30% off (무료배송)"/>
        <s v="어성초 77 수딩 토너 (클리어패드 세트 구매시 1/11 순차발송 예정)화장솜(선택)=촉촉 스킨팩 화장솜"/>
        <s v="어성초 77 클리어 패드 (1/11 순차발송 예정)옵션=어성초 77 클리어 패드 1개-20% off"/>
        <s v="어성초 77 클리어 패드 (1/11 순차발송 예정)옵션=어성초 77 클리어 패드 2개-30% off (무료배송)"/>
        <s v="어성초 77 클리어 패드 (1/11 순차발송 예정)옵션=어성초77토너1개+어성초77패드1개-30% off (무료배송)"/>
        <s v="어성초 77 포어 클리어 패드 (1/11 순차발송 예정)옵션=어성초 77 클리어 패드 1개-20% off"/>
        <s v="어성초 77 포어 클리어 패드 (1/11 순차발송 예정)옵션=어성초 77 클리어 패드 2개-30% off (무료배송)"/>
        <s v="어성초 77 포어 클리어 패드 (1/11 순차발송 예정)옵션=어성초77토너1개+어성초77패드1개-30% off (무료배송)"/>
        <s v="어성초 77% 패드 (1/11 순차발송 예정)옵션=어성초 77 클리어 패드 1개-20% off"/>
        <s v="어성초 77% 패드 (1/11 순차발송 예정)옵션=어성초 77 클리어 패드 2개-30% off (무료배송)"/>
        <s v="어성초 77% 패드 (1/11 순차발송 예정)옵션=어성초77토너1개+어성초77패드1개-30% off (무료배송)"/>
        <s v="청귤 비타 잡티 마스크옵션=청귤 비타 잡티 마스크 1장"/>
        <s v="청귤 비타 잡티 마스크옵션=청귤 비타 잡티 마스크 10장(50% off)"/>
        <s v="어성초 80 수분 진정 앰플옵션=어성초 80 앰플 2개 - 27%off (무료배송)"/>
        <s v="어성초 클리어패드 70P_CS"/>
        <s v="어성초 77 수딩 토너 (클리어패드 세트 구매시 1/11 순차발송 예정)옵션=어성초 77 토너 1개-20% off"/>
        <s v="어성초 77 수딩 토너 (클리어패드 세트 구매시 1/11 순차발송 예정)옵션=어성초 77 토너 2개-30% off (무료배송)"/>
        <s v="어성초 77 수딩 토너 (클리어패드 세트 구매시 1/11 순차발송 예정)옵션=어성초 77토너1개 + 어성초77패드1개 -30% off (무료배송)"/>
        <s v="어성초 77 클리어 패드 (1/11 순차발송 예정)옵션=어성초 77 클리어 패드 3개-35% off (무료배송)"/>
        <s v="어성초 77 포어 클리어 패드 (1/11 순차발송 예정)옵션=어성초 77 클리어 패드 3개-35% off (무료배송)"/>
        <s v="어성초 77% 패드 (1/11 순차발송 예정)옵션=어성초 77 클리어 패드 3개-35% off (무료배송)"/>
        <s v="어성초 클렌징폼 120ml"/>
        <s v="어성초 77 수딩 토너옵션=어성초 77 토너 1개-20% off"/>
        <s v="어성초 77 수딩 토너옵션=어성초 77 토너 2개-30% off (무료배송)"/>
        <s v="어성초 77 수딩 토너옵션=어성초 77토너1개 + 어성초77패드1개 -30% off (무료배송)"/>
        <s v="어성초 77 클리어 패드옵션=어성초 77 클리어 패드 3개-35% off (무료배송)"/>
        <s v="어성초 77% 패드옵션=어성초 77 클리어 패드 3개-35% off (무료배송)"/>
        <s v="어성초 77 포어 클리어 패드옵션=어성초 77 클리어 패드 3개-35% off (무료배송)"/>
        <s v="대용량 어성초 77 수딩 토너 500ml옵션=대용량 어성초 77 토너 1개 - 27% OFF"/>
        <s v="대용량 어성초 77 수딩 토너 500ml화장솜(선택)=촉촉 스킨팩 화장솜"/>
        <s v="어성초 78 수딩 크림 100ml어성초 78 수딩 크림 100ml"/>
        <s v="[01/27 순차발송] 어성초 77 클리어 패드옵션=어성초 77 클리어 패드 1개-20% off"/>
        <s v="[01/27 순차발송] 어성초 77 클리어 패드옵션=어성초 77 클리어 패드 2개-30% off (무료배송)"/>
        <s v="[01/27 순차발송] 어성초 77 클리어 패드옵션=어성초 77 클리어 패드 2+1 EVENT (무료배송)"/>
        <s v="[01/27 순차발송] 어성초 77 클리어 패드옵션=어성초77토너1개+어성초77패드1개-30% off (무료배송)"/>
        <s v="[01/27 순차발송] 어성초 77 포어 클리어 패드옵션=어성초 77 클리어 패드 1개-20% off"/>
        <s v="[01/27 순차발송] 어성초 77 포어 클리어 패드옵션=어성초 77 클리어 패드 2개-30% off (무료배송)"/>
        <s v="[01/27 순차발송] 어성초 77 포어 클리어 패드옵션=어성초 77 클리어 패드 2+1 EVENT (무료배송)"/>
        <s v="[01/27 순차발송] 어성초 77 포어 클리어 패드옵션=어성초77토너1개+어성초77패드1개-30% off (무료배송)"/>
        <s v="[01/27 순차발송] 어성초 77% 패드옵션=어성초 77 클리어 패드 1개-20% off"/>
        <s v="[01/27 순차발송] 어성초 77% 패드옵션=어성초 77 클리어 패드 2개-30% off (무료배송)"/>
        <s v="[01/27 순차발송] 어성초 77% 패드옵션=어성초 77 클리어 패드 2+1 EVENT (무료배송)"/>
        <s v="[01/27 순차발송] 어성초 77% 패드옵션=어성초77토너1개+어성초77패드1개-30% off (무료배송)"/>
        <s v="어성초 77 수딩 토너옵션="/>
        <s v="어성초 77 수딩 토너옵션=BEST어성초 77 토너 2개-30% off (무료배송)"/>
        <s v="청귤 비타 잡티 마스크옵션=청귤 비타 잡티 마스크 10장 (50% off)"/>
        <s v="자작나무 수분 마스크옵션=자작나무 수분 마스크 10장 (50% off)"/>
        <s v="자작나무 수분 마스크옵션=자작나무 수분 마스크 1장"/>
        <s v="어성초 아크네 바디워시 500ml어성초 아크네 바디워시 500ml"/>
        <s v="어성초 클리어패드 2P"/>
        <s v="[플친단독] 어성초 80 수분 진정 앰플옵션=어성초 80 앰플 1개 - 28%off"/>
        <s v="[플친단독] 어성초 80 수분 진정 앰플옵션=어성초 80 앰플 2+1 EVENT (무료배송)"/>
        <s v="5 제로 무기자차 선크림 50ml5 제로 무기자차 선크림 50ml"/>
        <s v="어성초 77 클리어 패드옵션=어성초 77 클리어 패드 2+1 EVENT (무료배송)"/>
        <s v="어성초 77% 수딩 토너토너(필수)=어성초 77 토너 1개-20% off"/>
        <s v="어성초 77% 수딩 토너토너(필수)=어성초 77 토너 2개-30% off (무료배송)"/>
        <s v="어성초 77% 수딩 토너화장솜(선택)=촉촉 스킨팩 화장솜"/>
        <s v="어성초 77 포어 클리어 패드옵션=어성초 77 클리어 패드 2+1 EVENT (무료배송)"/>
        <s v="어성초 77% 수딩 토너토너(필수)=어성초77토너1개 + 어성초77패드1개 -30% off (무료배송)"/>
        <s v="어성초 77% 패드옵션=어성초 77 클리어 패드 2+1 EVENT (무료배송)"/>
        <s v="어성초 77 토너 350ml"/>
        <s v="어성초 77 진정 마스크 25ml 1매/10매1매어성초 77 진정 마스크 25ml 1매/10매1매"/>
        <s v="어성초 77 진정 토너옵션=어성초 77 토너 1개-20% off"/>
        <s v="어성초 77 진정 토너옵션=BEST어성초 77 토너 2개-30% off (무료배송)"/>
        <s v="어성초 77 진정 토너옵션=어성초 77토너1개 + 어성초77패드1개 -30% off (무료배송)"/>
        <s v="어성초 77 진정 토너화장솜(선택)=촉촉 스킨팩 화장솜"/>
        <s v="어성초 70 머드크림 마스크 100ml어성초 70 머드크림 마스크 100ml"/>
        <s v="어성초 약산성 클렌징폼 120ml어성초 약산성 클렌징폼 120ml"/>
        <s v="어성초 70 로션 200ml"/>
        <s v="대용량 어성초 77 토너 500ml옵션=대용량 어성초 77 토너 1개 - 27% OFF"/>
        <s v="대용량 어성초 77 토너 500ml화장솜(선택)=촉촉 스킨팩 화장솜"/>
        <s v="실리콘 호스 (3p)" u="1"/>
        <s v="토너" u="1"/>
        <s v="눕눕백(중형)_네이비(DN)" u="1"/>
        <s v="선인장정수기 젠핑크" u="1"/>
        <s v="[200618~22] 클렌징폼 120ml" u="1"/>
        <s v="선인장정수기 젠민트" u="1"/>
        <s v="리얼스틱_6종세트" u="1"/>
        <s v="리얼스틱_4종세트" u="1"/>
        <s v="리얼스틱_조선토종닭" u="1"/>
        <s v="눕눕백_패드(중형)_인견" u="1"/>
        <s v="정수 필터 (3p)" u="1"/>
        <s v="눕눕백(대형)_네이비(DN)" u="1"/>
        <s v="눕눕백_패드(중형)_스크래쳐" u="1"/>
        <s v="수핑크림=수딩크림 100ml" u="1"/>
        <s v="100ml" u="1"/>
        <s v="리얼스틱_오로라연어_6팩" u="1"/>
        <s v="눕눕백_패드(대형)_방수" u="1"/>
        <s v="드라이매트" u="1"/>
        <s v="[200618~22] 마스크팩 3매" u="1"/>
        <s v="가이드스틱" u="1"/>
        <s v="특수요청건(배송주의사항에 상품기입)" u="1"/>
        <s v="눕눕백_패드(중형)_극세사" u="1"/>
        <s v="리얼스틱_서호주청정양_6팩" u="1"/>
        <s v="리얼스틱_서호주청정양" u="1"/>
        <s v="리얼스틱_맛보기샘플(6종)" u="1"/>
        <s v="250ml (화장솜 증정)" u="1"/>
        <s v="[200618~22] 250ml 2set" u="1"/>
        <s v="리얼스틱_북태평양 눈다랑어" u="1"/>
        <s v="리얼스틱_조선토종닭_6팩" u="1"/>
        <s v="눕눕백_패드(대형)_인견" u="1"/>
        <s v="[200618~22] 선크림 50ml" u="1"/>
        <s v="[200618~22] 250ml (화장솜 증정)" u="1"/>
        <s v="리얼스틱_북태평양눈다랑어_6팩" u="1"/>
        <s v="눕눕백(중형)_그레이(LG)" u="1"/>
        <s v="눕눕백_패드(대형)_스크래쳐" u="1"/>
        <s v="[200618-22] 수딩크림 100ml" u="1"/>
        <s v="수중펌프 (white)" u="1"/>
        <s v="정수필터 &amp; 폼필터 세트 (30% 할인)" u="1"/>
        <s v="리얼스틱_오로라연어" u="1"/>
        <s v="리얼스틱_뉴질랜드참돔_6팩" u="1"/>
        <s v="눕눕백_패드(중형)_방수" u="1"/>
        <s v="폼 필터 (1p)" u="1"/>
        <s v="[200618~22] 앰플 30ml" u="1"/>
        <s v="리얼스틱_6종세트x2" u="1"/>
        <s v="리얼스틱_뉴질랜드참돔" u="1"/>
        <s v="폼 필터 (3p)" u="1"/>
        <s v="워시오프팩 100ml" u="1"/>
        <s v="리얼스틱_지리산우리땅오리" u="1"/>
        <s v="_x0009_어성초 클리어패드 70P" u="1"/>
        <s v="눕눕백(대형)_그레이(LG)" u="1"/>
        <s v="[플친 단독 30% off][무료배송] 어성초 앰플 + 수딩 크림 세트" u="1"/>
        <s v="실리콘 호스 (1p)" u="1"/>
        <s v="리얼스틱_지리산우리땅오리_6팩" u="1"/>
        <s v="눕눕백_패드(대형)_극세사" u="1"/>
      </sharedItems>
    </cacheField>
    <cacheField name="구분(수수료)" uniqueList="1" numFmtId="0" sqlType="0" hierarchy="0" level="0" databaseField="1">
      <sharedItems count="0" containsBlank="1" containsInteger="1" containsNumber="1" containsString="0" minValue="190801" maxValue="200801"/>
    </cacheField>
    <cacheField name="구분(원가)" uniqueList="1" numFmtId="0" sqlType="0" hierarchy="0" level="0" databaseField="1">
      <sharedItems count="0" containsBlank="1" containsInteger="1" containsNumber="1" containsString="0" minValue="190801" maxValue="200801"/>
    </cacheField>
    <cacheField name="광고비(VAT미포함)" uniqueList="1" numFmtId="0" sqlType="0" hierarchy="0" level="0" databaseField="1">
      <sharedItems count="0" containsBlank="1" containsNumber="1" containsString="0" minValue="-4260" maxValue="10743636.36363636"/>
    </cacheField>
    <cacheField name="판매수량" uniqueList="1" numFmtId="0" sqlType="0" hierarchy="0" level="0" databaseField="1">
      <sharedItems count="0" containsBlank="1" containsInteger="1" containsNumber="1" containsString="0" minValue="0" maxValue="1584"/>
    </cacheField>
    <cacheField name="구분(판매가)" uniqueList="1" numFmtId="0" sqlType="0" hierarchy="0" level="0" databaseField="1">
      <sharedItems count="0" containsBlank="1" containsInteger="1" containsNumber="1" containsString="0" minValue="190801" maxValue="201208"/>
    </cacheField>
    <cacheField name="판매액" uniqueList="1" numFmtId="0" sqlType="0" hierarchy="0" level="0" databaseField="1">
      <sharedItems count="0" containsBlank="1" containsInteger="1" containsNumber="1" containsString="0" minValue="0" maxValue="16561446"/>
    </cacheField>
  </cacheFields>
</pivotCacheDefinition>
</file>

<file path=xl/pivotCache/pivotCacheDefinition2.xml><?xml version="1.0" encoding="utf-8"?>
<pivotCacheDefinition xmlns:r="http://schemas.openxmlformats.org/officeDocument/2006/relationships" xmlns="http://schemas.openxmlformats.org/spreadsheetml/2006/main" refreshedBy="seyun lee" refreshedDate="44236.49096412037" createdVersion="6" refreshedVersion="6" minRefreshableVersion="3" recordCount="11653" r:id="rId1">
  <cacheSource type="worksheet">
    <worksheetSource ref="B1:P11654" sheet="RD"/>
  </cacheSource>
  <cacheFields count="15">
    <cacheField name="일자" uniqueList="1" numFmtId="0" sqlType="0" hierarchy="0" level="0" databaseField="1">
      <sharedItems count="504" containsBlank="1" containsDate="1" containsNonDate="0" containsString="0" minDate="1899-12-31T12:00:00" maxDate="2021-02-09T00:00:00">
        <d v="2019-10-24T00:00:00"/>
        <d v="2019-10-30T00:00:00"/>
        <d v="2019-10-31T00:00:00"/>
        <d v="2019-11-01T00:00:00"/>
        <d v="2019-10-07T00:00:00"/>
        <d v="2019-10-08T00:00:00"/>
        <d v="2019-10-09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5T00:00:00"/>
        <d v="2019-10-26T00:00:00"/>
        <d v="2019-10-27T00:00:00"/>
        <d v="2019-10-28T00:00:00"/>
        <d v="2019-10-29T00:00:00"/>
        <d v="2019-10-01T00:00:00"/>
        <d v="2019-10-02T00:00:00"/>
        <d v="2019-10-03T00:00:00"/>
        <d v="2019-10-04T00:00:00"/>
        <d v="2019-10-05T00:00:00"/>
        <d v="2019-10-06T00:00:00"/>
        <d v="2019-10-10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7-21T00:00:00"/>
        <d v="2020-08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2T00:00:00"/>
        <d v="2020-08-13T00:00:00"/>
        <d v="2020-08-10T00:00:00"/>
        <d v="2020-08-11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9-01T00:00:00"/>
        <d v="2020-09-02T00:00:00"/>
        <d v="2020-08-21T00:00:00"/>
        <d v="2020-08-2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m/>
        <d v="2019-09-26T00:00:00"/>
        <d v="2019-09-27T00:00:00"/>
        <d v="2019-09-28T00:00:00"/>
        <d v="2019-09-29T00:00:00"/>
        <d v="2019-09-30T00:00:00"/>
        <d v="1899-12-31T12:00:00" u="1"/>
      </sharedItems>
    </cacheField>
    <cacheField name="요일" uniqueList="1" numFmtId="0" sqlType="0" hierarchy="0" level="0" databaseField="1">
      <sharedItems count="0" containsBlank="1"/>
    </cacheField>
    <cacheField name="미디어" uniqueList="1" numFmtId="0" sqlType="0" hierarchy="0" level="0" databaseField="1">
      <sharedItems count="0" containsBlank="1"/>
    </cacheField>
    <cacheField name="상품1" uniqueList="1" numFmtId="0" sqlType="0" hierarchy="0" level="0" databaseField="1">
      <sharedItems count="0" containsBlank="1" containsInteger="1" containsMixedTypes="1" containsNumber="1" minValue="0" maxValue="0"/>
    </cacheField>
    <cacheField name="채널" uniqueList="1" numFmtId="0" sqlType="0" hierarchy="0" level="0" databaseField="1">
      <sharedItems count="0" containsBlank="1"/>
    </cacheField>
    <cacheField name="상품2" uniqueList="1" numFmtId="0" sqlType="0" hierarchy="0" level="0" databaseField="1">
      <sharedItems count="0" containsBlank="1"/>
    </cacheField>
    <cacheField name="구분(수수료)" uniqueList="1" numFmtId="0" sqlType="0" hierarchy="0" level="0" databaseField="1">
      <sharedItems count="0" containsBlank="1" containsInteger="1" containsNumber="1" containsString="0" minValue="190801" maxValue="200801"/>
    </cacheField>
    <cacheField name="구분(원가)" uniqueList="1" numFmtId="0" sqlType="0" hierarchy="0" level="0" databaseField="1">
      <sharedItems count="0" containsBlank="1" containsInteger="1" containsNumber="1" containsString="0" minValue="190801" maxValue="200801"/>
    </cacheField>
    <cacheField name="광고비(VAT미포함)" uniqueList="1" numFmtId="0" sqlType="0" hierarchy="0" level="0" databaseField="1">
      <sharedItems count="0" containsBlank="1" containsNumber="1" containsString="0" minValue="-4260" maxValue="10743636.36363636"/>
    </cacheField>
    <cacheField name="판매수량" uniqueList="1" numFmtId="0" sqlType="0" hierarchy="0" level="0" databaseField="1">
      <sharedItems count="0" containsBlank="1" containsInteger="1" containsNumber="1" containsString="0" minValue="1" maxValue="1584"/>
    </cacheField>
    <cacheField name="구분(판매가)" uniqueList="1" numFmtId="0" sqlType="0" hierarchy="0" level="0" databaseField="1">
      <sharedItems count="0" containsBlank="1" containsInteger="1" containsNumber="1" containsString="0" minValue="190801" maxValue="201208"/>
    </cacheField>
    <cacheField name="판매액" uniqueList="1" numFmtId="0" sqlType="0" hierarchy="0" level="0" databaseField="1">
      <sharedItems count="0" containsBlank="1" containsInteger="1" containsNumber="1" containsString="0" minValue="0" maxValue="16561446"/>
    </cacheField>
    <cacheField name="판매액(수수료제외)" uniqueList="1" numFmtId="0" sqlType="0" hierarchy="0" level="0" databaseField="1">
      <sharedItems count="0" containsBlank="1" containsNumber="1" containsString="0" minValue="0" maxValue="16561446"/>
    </cacheField>
    <cacheField name="원가" uniqueList="1" numFmtId="0" sqlType="0" hierarchy="0" level="0" databaseField="1">
      <sharedItems count="0" containsBlank="1" containsInteger="1" containsNumber="1" containsString="0" minValue="0" maxValue="7666400"/>
    </cacheField>
    <cacheField name="판매액(VAT미포함)" uniqueList="1" numFmtId="0" sqlType="0" hierarchy="0" level="0" databaseField="1">
      <sharedItems count="0" containsBlank="1" containsNumber="1" containsString="0" minValue="0" maxValue="15055860"/>
    </cacheField>
  </cacheFields>
</pivotCacheDefinition>
</file>

<file path=xl/pivotCache/pivotCacheRecords1.xml><?xml version="1.0" encoding="utf-8"?>
<pivotCacheRecords xmlns="http://schemas.openxmlformats.org/spreadsheetml/2006/main" count="14997">
  <r>
    <x v="0"/>
    <x v="0"/>
    <s v="카카오광고"/>
    <x v="0"/>
    <x v="0"/>
    <x v="0"/>
    <m/>
    <m/>
    <n v="52249.99999999999"/>
    <m/>
    <m/>
    <m/>
  </r>
  <r>
    <x v="1"/>
    <x v="1"/>
    <s v="카카오광고"/>
    <x v="0"/>
    <x v="0"/>
    <x v="0"/>
    <m/>
    <m/>
    <n v="127120"/>
    <m/>
    <m/>
    <m/>
  </r>
  <r>
    <x v="2"/>
    <x v="0"/>
    <s v="카카오광고"/>
    <x v="0"/>
    <x v="0"/>
    <x v="0"/>
    <m/>
    <m/>
    <n v="101030"/>
    <m/>
    <m/>
    <m/>
  </r>
  <r>
    <x v="3"/>
    <x v="2"/>
    <s v="카카오광고"/>
    <x v="0"/>
    <x v="0"/>
    <x v="0"/>
    <m/>
    <m/>
    <n v="114860"/>
    <m/>
    <m/>
    <m/>
  </r>
  <r>
    <x v="4"/>
    <x v="3"/>
    <s v="네이버 쇼핑검색"/>
    <x v="0"/>
    <x v="0"/>
    <x v="0"/>
    <m/>
    <m/>
    <n v="749.9999999999999"/>
    <m/>
    <m/>
    <m/>
  </r>
  <r>
    <x v="5"/>
    <x v="4"/>
    <s v="네이버 쇼핑검색"/>
    <x v="0"/>
    <x v="0"/>
    <x v="0"/>
    <m/>
    <m/>
    <n v="499.9999999999999"/>
    <m/>
    <m/>
    <m/>
  </r>
  <r>
    <x v="6"/>
    <x v="1"/>
    <s v="네이버 쇼핑검색"/>
    <x v="0"/>
    <x v="0"/>
    <x v="0"/>
    <m/>
    <m/>
    <n v="2560"/>
    <m/>
    <m/>
    <m/>
  </r>
  <r>
    <x v="7"/>
    <x v="2"/>
    <s v="네이버 쇼핑검색"/>
    <x v="0"/>
    <x v="0"/>
    <x v="0"/>
    <m/>
    <m/>
    <n v="4650"/>
    <m/>
    <m/>
    <m/>
  </r>
  <r>
    <x v="8"/>
    <x v="5"/>
    <s v="네이버 쇼핑검색"/>
    <x v="0"/>
    <x v="0"/>
    <x v="0"/>
    <m/>
    <m/>
    <n v="4350"/>
    <m/>
    <m/>
    <m/>
  </r>
  <r>
    <x v="9"/>
    <x v="6"/>
    <s v="네이버 쇼핑검색"/>
    <x v="0"/>
    <x v="0"/>
    <x v="0"/>
    <m/>
    <m/>
    <n v="5400"/>
    <m/>
    <m/>
    <m/>
  </r>
  <r>
    <x v="10"/>
    <x v="3"/>
    <s v="네이버 쇼핑검색"/>
    <x v="0"/>
    <x v="0"/>
    <x v="0"/>
    <m/>
    <m/>
    <n v="4980"/>
    <m/>
    <m/>
    <m/>
  </r>
  <r>
    <x v="11"/>
    <x v="4"/>
    <s v="네이버 쇼핑검색"/>
    <x v="0"/>
    <x v="0"/>
    <x v="0"/>
    <m/>
    <m/>
    <n v="3910"/>
    <m/>
    <m/>
    <m/>
  </r>
  <r>
    <x v="12"/>
    <x v="1"/>
    <s v="네이버 쇼핑검색"/>
    <x v="0"/>
    <x v="0"/>
    <x v="0"/>
    <m/>
    <m/>
    <n v="3060"/>
    <m/>
    <m/>
    <m/>
  </r>
  <r>
    <x v="13"/>
    <x v="0"/>
    <s v="네이버 쇼핑검색"/>
    <x v="0"/>
    <x v="0"/>
    <x v="0"/>
    <m/>
    <m/>
    <n v="3400"/>
    <m/>
    <m/>
    <m/>
  </r>
  <r>
    <x v="14"/>
    <x v="2"/>
    <s v="네이버 쇼핑검색"/>
    <x v="0"/>
    <x v="0"/>
    <x v="0"/>
    <m/>
    <m/>
    <n v="5300"/>
    <m/>
    <m/>
    <m/>
  </r>
  <r>
    <x v="15"/>
    <x v="5"/>
    <s v="네이버 쇼핑검색"/>
    <x v="0"/>
    <x v="0"/>
    <x v="0"/>
    <m/>
    <m/>
    <n v="5280"/>
    <m/>
    <m/>
    <m/>
  </r>
  <r>
    <x v="16"/>
    <x v="6"/>
    <s v="네이버 쇼핑검색"/>
    <x v="0"/>
    <x v="0"/>
    <x v="0"/>
    <m/>
    <m/>
    <n v="6079.999999999999"/>
    <m/>
    <m/>
    <m/>
  </r>
  <r>
    <x v="17"/>
    <x v="3"/>
    <s v="네이버 쇼핑검색"/>
    <x v="0"/>
    <x v="0"/>
    <x v="0"/>
    <m/>
    <m/>
    <n v="3680"/>
    <m/>
    <m/>
    <m/>
  </r>
  <r>
    <x v="18"/>
    <x v="4"/>
    <s v="네이버 쇼핑검색"/>
    <x v="0"/>
    <x v="0"/>
    <x v="0"/>
    <m/>
    <m/>
    <n v="4090"/>
    <m/>
    <m/>
    <m/>
  </r>
  <r>
    <x v="19"/>
    <x v="1"/>
    <s v="네이버 쇼핑검색"/>
    <x v="0"/>
    <x v="0"/>
    <x v="0"/>
    <m/>
    <m/>
    <n v="4240"/>
    <m/>
    <m/>
    <m/>
  </r>
  <r>
    <x v="0"/>
    <x v="0"/>
    <s v="네이버 쇼핑검색"/>
    <x v="0"/>
    <x v="0"/>
    <x v="0"/>
    <m/>
    <m/>
    <n v="3320"/>
    <m/>
    <m/>
    <m/>
  </r>
  <r>
    <x v="20"/>
    <x v="2"/>
    <s v="네이버 쇼핑검색"/>
    <x v="0"/>
    <x v="0"/>
    <x v="0"/>
    <m/>
    <m/>
    <n v="4750"/>
    <m/>
    <m/>
    <m/>
  </r>
  <r>
    <x v="21"/>
    <x v="5"/>
    <s v="네이버 쇼핑검색"/>
    <x v="0"/>
    <x v="0"/>
    <x v="0"/>
    <m/>
    <m/>
    <n v="3810"/>
    <m/>
    <m/>
    <m/>
  </r>
  <r>
    <x v="22"/>
    <x v="6"/>
    <s v="네이버 쇼핑검색"/>
    <x v="0"/>
    <x v="0"/>
    <x v="0"/>
    <m/>
    <m/>
    <n v="4080"/>
    <m/>
    <m/>
    <m/>
  </r>
  <r>
    <x v="23"/>
    <x v="3"/>
    <s v="네이버 쇼핑검색"/>
    <x v="0"/>
    <x v="0"/>
    <x v="0"/>
    <m/>
    <m/>
    <n v="3600"/>
    <m/>
    <m/>
    <m/>
  </r>
  <r>
    <x v="24"/>
    <x v="4"/>
    <s v="네이버 쇼핑검색"/>
    <x v="0"/>
    <x v="0"/>
    <x v="0"/>
    <m/>
    <m/>
    <n v="2300"/>
    <m/>
    <m/>
    <m/>
  </r>
  <r>
    <x v="1"/>
    <x v="1"/>
    <s v="네이버 쇼핑검색"/>
    <x v="0"/>
    <x v="0"/>
    <x v="0"/>
    <m/>
    <m/>
    <n v="2660"/>
    <m/>
    <m/>
    <m/>
  </r>
  <r>
    <x v="2"/>
    <x v="0"/>
    <s v="네이버 쇼핑검색"/>
    <x v="0"/>
    <x v="0"/>
    <x v="0"/>
    <m/>
    <m/>
    <n v="2100"/>
    <m/>
    <m/>
    <m/>
  </r>
  <r>
    <x v="7"/>
    <x v="2"/>
    <s v="네이버 브랜드검색"/>
    <x v="0"/>
    <x v="0"/>
    <x v="0"/>
    <m/>
    <m/>
    <n v="20000"/>
    <m/>
    <m/>
    <m/>
  </r>
  <r>
    <x v="8"/>
    <x v="5"/>
    <s v="네이버 브랜드검색"/>
    <x v="0"/>
    <x v="0"/>
    <x v="0"/>
    <m/>
    <m/>
    <n v="20000"/>
    <m/>
    <m/>
    <m/>
  </r>
  <r>
    <x v="9"/>
    <x v="6"/>
    <s v="네이버 브랜드검색"/>
    <x v="0"/>
    <x v="0"/>
    <x v="0"/>
    <m/>
    <m/>
    <n v="20000"/>
    <m/>
    <m/>
    <m/>
  </r>
  <r>
    <x v="10"/>
    <x v="3"/>
    <s v="네이버 브랜드검색"/>
    <x v="0"/>
    <x v="0"/>
    <x v="0"/>
    <m/>
    <m/>
    <n v="20000"/>
    <m/>
    <m/>
    <m/>
  </r>
  <r>
    <x v="11"/>
    <x v="4"/>
    <s v="네이버 브랜드검색"/>
    <x v="0"/>
    <x v="0"/>
    <x v="0"/>
    <m/>
    <m/>
    <n v="20000"/>
    <m/>
    <m/>
    <m/>
  </r>
  <r>
    <x v="12"/>
    <x v="1"/>
    <s v="네이버 브랜드검색"/>
    <x v="0"/>
    <x v="0"/>
    <x v="0"/>
    <m/>
    <m/>
    <n v="20000"/>
    <m/>
    <m/>
    <m/>
  </r>
  <r>
    <x v="13"/>
    <x v="0"/>
    <s v="네이버 브랜드검색"/>
    <x v="0"/>
    <x v="0"/>
    <x v="0"/>
    <m/>
    <m/>
    <n v="20000"/>
    <m/>
    <m/>
    <m/>
  </r>
  <r>
    <x v="14"/>
    <x v="2"/>
    <s v="네이버 브랜드검색"/>
    <x v="0"/>
    <x v="0"/>
    <x v="0"/>
    <m/>
    <m/>
    <n v="20000"/>
    <m/>
    <m/>
    <m/>
  </r>
  <r>
    <x v="15"/>
    <x v="5"/>
    <s v="네이버 브랜드검색"/>
    <x v="0"/>
    <x v="0"/>
    <x v="0"/>
    <m/>
    <m/>
    <n v="20000"/>
    <m/>
    <m/>
    <m/>
  </r>
  <r>
    <x v="16"/>
    <x v="6"/>
    <s v="네이버 브랜드검색"/>
    <x v="0"/>
    <x v="0"/>
    <x v="0"/>
    <m/>
    <m/>
    <n v="20000"/>
    <m/>
    <m/>
    <m/>
  </r>
  <r>
    <x v="17"/>
    <x v="3"/>
    <s v="네이버 브랜드검색"/>
    <x v="0"/>
    <x v="0"/>
    <x v="0"/>
    <m/>
    <m/>
    <n v="20000"/>
    <m/>
    <m/>
    <m/>
  </r>
  <r>
    <x v="18"/>
    <x v="4"/>
    <s v="네이버 브랜드검색"/>
    <x v="0"/>
    <x v="0"/>
    <x v="0"/>
    <m/>
    <m/>
    <n v="20000"/>
    <m/>
    <m/>
    <m/>
  </r>
  <r>
    <x v="19"/>
    <x v="1"/>
    <s v="네이버 브랜드검색"/>
    <x v="0"/>
    <x v="0"/>
    <x v="0"/>
    <m/>
    <m/>
    <n v="20000"/>
    <m/>
    <m/>
    <m/>
  </r>
  <r>
    <x v="0"/>
    <x v="0"/>
    <s v="네이버 브랜드검색"/>
    <x v="0"/>
    <x v="0"/>
    <x v="0"/>
    <m/>
    <m/>
    <n v="20000"/>
    <m/>
    <m/>
    <m/>
  </r>
  <r>
    <x v="20"/>
    <x v="2"/>
    <s v="네이버 브랜드검색"/>
    <x v="0"/>
    <x v="0"/>
    <x v="0"/>
    <m/>
    <m/>
    <n v="20000"/>
    <m/>
    <m/>
    <m/>
  </r>
  <r>
    <x v="21"/>
    <x v="5"/>
    <s v="네이버 브랜드검색"/>
    <x v="0"/>
    <x v="0"/>
    <x v="0"/>
    <m/>
    <m/>
    <n v="20000"/>
    <m/>
    <m/>
    <m/>
  </r>
  <r>
    <x v="22"/>
    <x v="6"/>
    <s v="네이버 브랜드검색"/>
    <x v="0"/>
    <x v="0"/>
    <x v="0"/>
    <m/>
    <m/>
    <n v="20000"/>
    <m/>
    <m/>
    <m/>
  </r>
  <r>
    <x v="23"/>
    <x v="3"/>
    <s v="네이버 브랜드검색"/>
    <x v="0"/>
    <x v="0"/>
    <x v="0"/>
    <m/>
    <m/>
    <n v="20000"/>
    <m/>
    <m/>
    <m/>
  </r>
  <r>
    <x v="24"/>
    <x v="4"/>
    <s v="네이버 브랜드검색"/>
    <x v="0"/>
    <x v="0"/>
    <x v="0"/>
    <m/>
    <m/>
    <n v="20000"/>
    <m/>
    <m/>
    <m/>
  </r>
  <r>
    <x v="1"/>
    <x v="1"/>
    <s v="네이버 브랜드검색"/>
    <x v="0"/>
    <x v="0"/>
    <x v="0"/>
    <m/>
    <m/>
    <n v="20000"/>
    <m/>
    <m/>
    <m/>
  </r>
  <r>
    <x v="2"/>
    <x v="0"/>
    <s v="네이버 브랜드검색"/>
    <x v="0"/>
    <x v="0"/>
    <x v="0"/>
    <m/>
    <m/>
    <n v="20000"/>
    <m/>
    <m/>
    <m/>
  </r>
  <r>
    <x v="20"/>
    <x v="2"/>
    <s v="인스타그램(랄라블라)"/>
    <x v="0"/>
    <x v="0"/>
    <x v="0"/>
    <m/>
    <m/>
    <n v="55923"/>
    <m/>
    <m/>
    <m/>
  </r>
  <r>
    <x v="21"/>
    <x v="5"/>
    <s v="인스타그램(랄라블라)"/>
    <x v="0"/>
    <x v="0"/>
    <x v="0"/>
    <m/>
    <m/>
    <n v="57647"/>
    <m/>
    <m/>
    <m/>
  </r>
  <r>
    <x v="22"/>
    <x v="6"/>
    <s v="인스타그램(랄라블라)"/>
    <x v="0"/>
    <x v="0"/>
    <x v="0"/>
    <m/>
    <m/>
    <n v="50514"/>
    <m/>
    <m/>
    <m/>
  </r>
  <r>
    <x v="23"/>
    <x v="3"/>
    <s v="인스타그램(랄라블라)"/>
    <x v="0"/>
    <x v="0"/>
    <x v="0"/>
    <m/>
    <m/>
    <n v="46315"/>
    <m/>
    <m/>
    <m/>
  </r>
  <r>
    <x v="24"/>
    <x v="4"/>
    <s v="인스타그램(랄라블라)"/>
    <x v="0"/>
    <x v="0"/>
    <x v="0"/>
    <m/>
    <m/>
    <n v="46910"/>
    <m/>
    <m/>
    <m/>
  </r>
  <r>
    <x v="1"/>
    <x v="1"/>
    <s v="인스타그램(랄라블라)"/>
    <x v="0"/>
    <x v="0"/>
    <x v="0"/>
    <m/>
    <m/>
    <n v="49688"/>
    <m/>
    <m/>
    <m/>
  </r>
  <r>
    <x v="2"/>
    <x v="0"/>
    <s v="인스타그램(랄라블라)"/>
    <x v="0"/>
    <x v="0"/>
    <x v="0"/>
    <m/>
    <m/>
    <n v="52405"/>
    <m/>
    <m/>
    <m/>
  </r>
  <r>
    <x v="25"/>
    <x v="4"/>
    <s v="인스타그램(전환)"/>
    <x v="0"/>
    <x v="0"/>
    <x v="0"/>
    <m/>
    <m/>
    <n v="962876"/>
    <m/>
    <m/>
    <m/>
  </r>
  <r>
    <x v="26"/>
    <x v="1"/>
    <s v="인스타그램(전환)"/>
    <x v="0"/>
    <x v="0"/>
    <x v="0"/>
    <m/>
    <m/>
    <n v="952678"/>
    <m/>
    <m/>
    <m/>
  </r>
  <r>
    <x v="27"/>
    <x v="0"/>
    <s v="인스타그램(전환)"/>
    <x v="0"/>
    <x v="0"/>
    <x v="0"/>
    <m/>
    <m/>
    <n v="848492"/>
    <m/>
    <m/>
    <m/>
  </r>
  <r>
    <x v="28"/>
    <x v="2"/>
    <s v="인스타그램(전환)"/>
    <x v="0"/>
    <x v="0"/>
    <x v="0"/>
    <m/>
    <m/>
    <n v="658633"/>
    <m/>
    <m/>
    <m/>
  </r>
  <r>
    <x v="29"/>
    <x v="5"/>
    <s v="인스타그램(전환)"/>
    <x v="0"/>
    <x v="0"/>
    <x v="0"/>
    <m/>
    <m/>
    <n v="715729"/>
    <m/>
    <m/>
    <m/>
  </r>
  <r>
    <x v="30"/>
    <x v="6"/>
    <s v="인스타그램(전환)"/>
    <x v="0"/>
    <x v="0"/>
    <x v="0"/>
    <m/>
    <m/>
    <n v="701516"/>
    <m/>
    <m/>
    <m/>
  </r>
  <r>
    <x v="4"/>
    <x v="3"/>
    <s v="인스타그램(전환)"/>
    <x v="0"/>
    <x v="0"/>
    <x v="0"/>
    <m/>
    <m/>
    <n v="679664"/>
    <m/>
    <m/>
    <m/>
  </r>
  <r>
    <x v="5"/>
    <x v="4"/>
    <s v="인스타그램(전환)"/>
    <x v="0"/>
    <x v="0"/>
    <x v="0"/>
    <m/>
    <m/>
    <n v="680421"/>
    <m/>
    <m/>
    <m/>
  </r>
  <r>
    <x v="6"/>
    <x v="1"/>
    <s v="인스타그램(전환)"/>
    <x v="0"/>
    <x v="0"/>
    <x v="0"/>
    <m/>
    <m/>
    <n v="711011"/>
    <m/>
    <m/>
    <m/>
  </r>
  <r>
    <x v="31"/>
    <x v="0"/>
    <s v="인스타그램(전환)"/>
    <x v="0"/>
    <x v="0"/>
    <x v="0"/>
    <m/>
    <m/>
    <n v="801407"/>
    <m/>
    <m/>
    <m/>
  </r>
  <r>
    <x v="7"/>
    <x v="2"/>
    <s v="인스타그램(전환)"/>
    <x v="0"/>
    <x v="0"/>
    <x v="0"/>
    <m/>
    <m/>
    <n v="839323"/>
    <m/>
    <m/>
    <m/>
  </r>
  <r>
    <x v="8"/>
    <x v="5"/>
    <s v="인스타그램(전환)"/>
    <x v="0"/>
    <x v="0"/>
    <x v="0"/>
    <m/>
    <m/>
    <n v="888039"/>
    <m/>
    <m/>
    <m/>
  </r>
  <r>
    <x v="9"/>
    <x v="6"/>
    <s v="인스타그램(전환)"/>
    <x v="0"/>
    <x v="0"/>
    <x v="0"/>
    <m/>
    <m/>
    <n v="991477"/>
    <m/>
    <m/>
    <m/>
  </r>
  <r>
    <x v="10"/>
    <x v="3"/>
    <s v="인스타그램(전환)"/>
    <x v="0"/>
    <x v="0"/>
    <x v="0"/>
    <m/>
    <m/>
    <n v="1448244"/>
    <m/>
    <m/>
    <m/>
  </r>
  <r>
    <x v="11"/>
    <x v="4"/>
    <s v="인스타그램(전환)"/>
    <x v="0"/>
    <x v="0"/>
    <x v="0"/>
    <m/>
    <m/>
    <n v="1095944"/>
    <m/>
    <m/>
    <m/>
  </r>
  <r>
    <x v="12"/>
    <x v="1"/>
    <s v="인스타그램(전환)"/>
    <x v="0"/>
    <x v="0"/>
    <x v="0"/>
    <m/>
    <m/>
    <n v="1062483"/>
    <m/>
    <m/>
    <m/>
  </r>
  <r>
    <x v="13"/>
    <x v="0"/>
    <s v="인스타그램(전환)"/>
    <x v="0"/>
    <x v="0"/>
    <x v="0"/>
    <m/>
    <m/>
    <n v="1231696"/>
    <m/>
    <m/>
    <m/>
  </r>
  <r>
    <x v="14"/>
    <x v="2"/>
    <s v="인스타그램(전환)"/>
    <x v="0"/>
    <x v="0"/>
    <x v="0"/>
    <m/>
    <m/>
    <n v="1242437"/>
    <m/>
    <m/>
    <m/>
  </r>
  <r>
    <x v="15"/>
    <x v="5"/>
    <s v="인스타그램(전환)"/>
    <x v="0"/>
    <x v="0"/>
    <x v="0"/>
    <m/>
    <m/>
    <n v="1327349"/>
    <m/>
    <m/>
    <m/>
  </r>
  <r>
    <x v="16"/>
    <x v="6"/>
    <s v="인스타그램(전환)"/>
    <x v="0"/>
    <x v="0"/>
    <x v="0"/>
    <m/>
    <m/>
    <n v="1302895"/>
    <m/>
    <m/>
    <m/>
  </r>
  <r>
    <x v="17"/>
    <x v="3"/>
    <s v="인스타그램(전환)"/>
    <x v="0"/>
    <x v="0"/>
    <x v="0"/>
    <m/>
    <m/>
    <n v="1256239"/>
    <m/>
    <m/>
    <m/>
  </r>
  <r>
    <x v="18"/>
    <x v="4"/>
    <s v="인스타그램(전환)"/>
    <x v="0"/>
    <x v="0"/>
    <x v="0"/>
    <m/>
    <m/>
    <n v="972541"/>
    <m/>
    <m/>
    <m/>
  </r>
  <r>
    <x v="19"/>
    <x v="1"/>
    <s v="인스타그램(전환)"/>
    <x v="0"/>
    <x v="0"/>
    <x v="0"/>
    <m/>
    <m/>
    <n v="950442"/>
    <m/>
    <m/>
    <m/>
  </r>
  <r>
    <x v="0"/>
    <x v="0"/>
    <s v="인스타그램(전환)"/>
    <x v="0"/>
    <x v="0"/>
    <x v="0"/>
    <m/>
    <m/>
    <n v="959391"/>
    <m/>
    <m/>
    <m/>
  </r>
  <r>
    <x v="20"/>
    <x v="2"/>
    <s v="인스타그램(전환)"/>
    <x v="0"/>
    <x v="0"/>
    <x v="0"/>
    <m/>
    <m/>
    <n v="973744"/>
    <m/>
    <m/>
    <m/>
  </r>
  <r>
    <x v="21"/>
    <x v="5"/>
    <s v="인스타그램(전환)"/>
    <x v="0"/>
    <x v="0"/>
    <x v="0"/>
    <m/>
    <m/>
    <n v="1033779"/>
    <m/>
    <m/>
    <m/>
  </r>
  <r>
    <x v="22"/>
    <x v="6"/>
    <s v="인스타그램(전환)"/>
    <x v="0"/>
    <x v="0"/>
    <x v="0"/>
    <m/>
    <m/>
    <n v="1006539"/>
    <m/>
    <m/>
    <m/>
  </r>
  <r>
    <x v="23"/>
    <x v="3"/>
    <s v="인스타그램(전환)"/>
    <x v="0"/>
    <x v="0"/>
    <x v="0"/>
    <m/>
    <m/>
    <n v="965223"/>
    <m/>
    <m/>
    <m/>
  </r>
  <r>
    <x v="24"/>
    <x v="4"/>
    <s v="인스타그램(전환)"/>
    <x v="0"/>
    <x v="0"/>
    <x v="0"/>
    <m/>
    <m/>
    <n v="874147"/>
    <m/>
    <m/>
    <m/>
  </r>
  <r>
    <x v="1"/>
    <x v="1"/>
    <s v="인스타그램(전환)"/>
    <x v="0"/>
    <x v="0"/>
    <x v="0"/>
    <m/>
    <m/>
    <n v="779088"/>
    <m/>
    <m/>
    <m/>
  </r>
  <r>
    <x v="2"/>
    <x v="0"/>
    <s v="인스타그램(전환)"/>
    <x v="0"/>
    <x v="0"/>
    <x v="0"/>
    <m/>
    <m/>
    <n v="768209"/>
    <m/>
    <m/>
    <m/>
  </r>
  <r>
    <x v="10"/>
    <x v="3"/>
    <s v="인스타그램(전환)"/>
    <x v="0"/>
    <x v="0"/>
    <x v="0"/>
    <m/>
    <m/>
    <n v="54560"/>
    <m/>
    <m/>
    <m/>
  </r>
  <r>
    <x v="11"/>
    <x v="4"/>
    <s v="인스타그램(전환)"/>
    <x v="0"/>
    <x v="0"/>
    <x v="0"/>
    <m/>
    <m/>
    <n v="98976"/>
    <m/>
    <m/>
    <m/>
  </r>
  <r>
    <x v="12"/>
    <x v="1"/>
    <s v="인스타그램(전환)"/>
    <x v="0"/>
    <x v="0"/>
    <x v="0"/>
    <m/>
    <m/>
    <n v="95090"/>
    <m/>
    <m/>
    <m/>
  </r>
  <r>
    <x v="13"/>
    <x v="0"/>
    <s v="인스타그램(전환)"/>
    <x v="0"/>
    <x v="0"/>
    <x v="0"/>
    <m/>
    <m/>
    <n v="42439"/>
    <m/>
    <m/>
    <m/>
  </r>
  <r>
    <x v="19"/>
    <x v="1"/>
    <s v="인스타그램(전환)"/>
    <x v="0"/>
    <x v="0"/>
    <x v="0"/>
    <m/>
    <m/>
    <n v="94502"/>
    <m/>
    <m/>
    <m/>
  </r>
  <r>
    <x v="0"/>
    <x v="0"/>
    <s v="인스타그램(전환)"/>
    <x v="0"/>
    <x v="0"/>
    <x v="0"/>
    <m/>
    <m/>
    <n v="113465"/>
    <m/>
    <m/>
    <m/>
  </r>
  <r>
    <x v="20"/>
    <x v="2"/>
    <s v="인스타그램(전환)"/>
    <x v="0"/>
    <x v="0"/>
    <x v="0"/>
    <m/>
    <m/>
    <n v="76761"/>
    <m/>
    <m/>
    <m/>
  </r>
  <r>
    <x v="1"/>
    <x v="1"/>
    <s v="페이스북(전환)"/>
    <x v="0"/>
    <x v="0"/>
    <x v="0"/>
    <m/>
    <m/>
    <n v="93017"/>
    <m/>
    <m/>
    <m/>
  </r>
  <r>
    <x v="2"/>
    <x v="0"/>
    <s v="페이스북(전환)"/>
    <x v="0"/>
    <x v="0"/>
    <x v="0"/>
    <m/>
    <m/>
    <n v="191158"/>
    <m/>
    <m/>
    <m/>
  </r>
  <r>
    <x v="25"/>
    <x v="4"/>
    <s v="인스타그램(블로그)"/>
    <x v="0"/>
    <x v="0"/>
    <x v="0"/>
    <m/>
    <m/>
    <n v="49774"/>
    <m/>
    <m/>
    <m/>
  </r>
  <r>
    <x v="26"/>
    <x v="1"/>
    <s v="인스타그램(블로그)"/>
    <x v="0"/>
    <x v="0"/>
    <x v="0"/>
    <m/>
    <m/>
    <n v="50726"/>
    <m/>
    <m/>
    <m/>
  </r>
  <r>
    <x v="27"/>
    <x v="0"/>
    <s v="인스타그램(블로그)"/>
    <x v="0"/>
    <x v="0"/>
    <x v="0"/>
    <m/>
    <m/>
    <n v="50497"/>
    <m/>
    <m/>
    <m/>
  </r>
  <r>
    <x v="28"/>
    <x v="2"/>
    <s v="인스타그램(블로그)"/>
    <x v="0"/>
    <x v="0"/>
    <x v="0"/>
    <m/>
    <m/>
    <n v="49298"/>
    <m/>
    <m/>
    <m/>
  </r>
  <r>
    <x v="29"/>
    <x v="5"/>
    <s v="인스타그램(블로그)"/>
    <x v="0"/>
    <x v="0"/>
    <x v="0"/>
    <m/>
    <m/>
    <n v="51462"/>
    <m/>
    <m/>
    <m/>
  </r>
  <r>
    <x v="30"/>
    <x v="6"/>
    <s v="인스타그램(블로그)"/>
    <x v="0"/>
    <x v="0"/>
    <x v="0"/>
    <m/>
    <m/>
    <n v="50117"/>
    <m/>
    <m/>
    <m/>
  </r>
  <r>
    <x v="4"/>
    <x v="3"/>
    <s v="인스타그램(블로그)"/>
    <x v="0"/>
    <x v="0"/>
    <x v="0"/>
    <m/>
    <m/>
    <n v="48825"/>
    <m/>
    <m/>
    <m/>
  </r>
  <r>
    <x v="5"/>
    <x v="4"/>
    <s v="인스타그램(블로그)"/>
    <x v="0"/>
    <x v="0"/>
    <x v="0"/>
    <m/>
    <m/>
    <n v="48567"/>
    <m/>
    <m/>
    <m/>
  </r>
  <r>
    <x v="6"/>
    <x v="1"/>
    <s v="인스타그램(블로그)"/>
    <x v="0"/>
    <x v="0"/>
    <x v="0"/>
    <m/>
    <m/>
    <n v="50934"/>
    <m/>
    <m/>
    <m/>
  </r>
  <r>
    <x v="31"/>
    <x v="0"/>
    <s v="인스타그램(블로그)"/>
    <x v="0"/>
    <x v="0"/>
    <x v="0"/>
    <m/>
    <m/>
    <n v="48326"/>
    <m/>
    <m/>
    <m/>
  </r>
  <r>
    <x v="7"/>
    <x v="2"/>
    <s v="인스타그램(블로그)"/>
    <x v="0"/>
    <x v="0"/>
    <x v="0"/>
    <m/>
    <m/>
    <n v="50887"/>
    <m/>
    <m/>
    <m/>
  </r>
  <r>
    <x v="8"/>
    <x v="5"/>
    <s v="인스타그램(블로그)"/>
    <x v="0"/>
    <x v="0"/>
    <x v="0"/>
    <m/>
    <m/>
    <n v="52340"/>
    <m/>
    <m/>
    <m/>
  </r>
  <r>
    <x v="9"/>
    <x v="6"/>
    <s v="인스타그램(블로그)"/>
    <x v="0"/>
    <x v="0"/>
    <x v="0"/>
    <m/>
    <m/>
    <n v="50374"/>
    <m/>
    <m/>
    <m/>
  </r>
  <r>
    <x v="10"/>
    <x v="3"/>
    <s v="인스타그램(블로그)"/>
    <x v="0"/>
    <x v="0"/>
    <x v="0"/>
    <m/>
    <m/>
    <n v="48341"/>
    <m/>
    <m/>
    <m/>
  </r>
  <r>
    <x v="11"/>
    <x v="4"/>
    <s v="인스타그램(블로그)"/>
    <x v="0"/>
    <x v="0"/>
    <x v="0"/>
    <m/>
    <m/>
    <n v="50532"/>
    <m/>
    <m/>
    <m/>
  </r>
  <r>
    <x v="12"/>
    <x v="1"/>
    <s v="인스타그램(블로그)"/>
    <x v="0"/>
    <x v="0"/>
    <x v="0"/>
    <m/>
    <m/>
    <n v="49563"/>
    <m/>
    <m/>
    <m/>
  </r>
  <r>
    <x v="13"/>
    <x v="0"/>
    <s v="인스타그램(블로그)"/>
    <x v="0"/>
    <x v="0"/>
    <x v="0"/>
    <m/>
    <m/>
    <n v="48582"/>
    <m/>
    <m/>
    <m/>
  </r>
  <r>
    <x v="14"/>
    <x v="2"/>
    <s v="인스타그램(블로그)"/>
    <x v="0"/>
    <x v="0"/>
    <x v="0"/>
    <m/>
    <m/>
    <n v="49537"/>
    <m/>
    <m/>
    <m/>
  </r>
  <r>
    <x v="15"/>
    <x v="5"/>
    <s v="인스타그램(블로그)"/>
    <x v="0"/>
    <x v="0"/>
    <x v="0"/>
    <m/>
    <m/>
    <n v="53066"/>
    <m/>
    <m/>
    <m/>
  </r>
  <r>
    <x v="16"/>
    <x v="6"/>
    <s v="인스타그램(블로그)"/>
    <x v="0"/>
    <x v="0"/>
    <x v="0"/>
    <m/>
    <m/>
    <n v="50474"/>
    <m/>
    <m/>
    <m/>
  </r>
  <r>
    <x v="17"/>
    <x v="3"/>
    <s v="인스타그램(블로그)"/>
    <x v="0"/>
    <x v="0"/>
    <x v="0"/>
    <m/>
    <m/>
    <n v="48652"/>
    <m/>
    <m/>
    <m/>
  </r>
  <r>
    <x v="18"/>
    <x v="4"/>
    <s v="인스타그램(블로그)"/>
    <x v="0"/>
    <x v="0"/>
    <x v="0"/>
    <m/>
    <m/>
    <n v="50035"/>
    <m/>
    <m/>
    <m/>
  </r>
  <r>
    <x v="19"/>
    <x v="1"/>
    <s v="인스타그램(블로그)"/>
    <x v="0"/>
    <x v="0"/>
    <x v="0"/>
    <m/>
    <m/>
    <n v="48896"/>
    <m/>
    <m/>
    <m/>
  </r>
  <r>
    <x v="0"/>
    <x v="0"/>
    <s v="인스타그램(블로그)"/>
    <x v="0"/>
    <x v="0"/>
    <x v="0"/>
    <m/>
    <m/>
    <n v="50890"/>
    <m/>
    <m/>
    <m/>
  </r>
  <r>
    <x v="20"/>
    <x v="2"/>
    <s v="인스타그램(블로그)"/>
    <x v="0"/>
    <x v="0"/>
    <x v="0"/>
    <m/>
    <m/>
    <n v="48343"/>
    <m/>
    <m/>
    <m/>
  </r>
  <r>
    <x v="21"/>
    <x v="5"/>
    <s v="인스타그램(블로그)"/>
    <x v="0"/>
    <x v="0"/>
    <x v="0"/>
    <m/>
    <m/>
    <n v="52710"/>
    <m/>
    <m/>
    <m/>
  </r>
  <r>
    <x v="22"/>
    <x v="6"/>
    <s v="인스타그램(블로그)"/>
    <x v="0"/>
    <x v="0"/>
    <x v="0"/>
    <m/>
    <m/>
    <n v="50207"/>
    <m/>
    <m/>
    <m/>
  </r>
  <r>
    <x v="23"/>
    <x v="3"/>
    <s v="인스타그램(블로그)"/>
    <x v="0"/>
    <x v="0"/>
    <x v="0"/>
    <m/>
    <m/>
    <n v="49578"/>
    <m/>
    <m/>
    <m/>
  </r>
  <r>
    <x v="24"/>
    <x v="4"/>
    <s v="인스타그램(블로그)"/>
    <x v="0"/>
    <x v="0"/>
    <x v="0"/>
    <m/>
    <m/>
    <n v="48347"/>
    <m/>
    <m/>
    <m/>
  </r>
  <r>
    <x v="1"/>
    <x v="1"/>
    <s v="인스타그램(블로그)"/>
    <x v="0"/>
    <x v="0"/>
    <x v="0"/>
    <m/>
    <m/>
    <n v="49943"/>
    <m/>
    <m/>
    <m/>
  </r>
  <r>
    <x v="2"/>
    <x v="0"/>
    <s v="인스타그램(블로그)"/>
    <x v="0"/>
    <x v="0"/>
    <x v="0"/>
    <m/>
    <m/>
    <n v="50434"/>
    <m/>
    <m/>
    <m/>
  </r>
  <r>
    <x v="3"/>
    <x v="2"/>
    <s v="인스타그램(전환)"/>
    <x v="0"/>
    <x v="0"/>
    <x v="0"/>
    <m/>
    <m/>
    <n v="802115"/>
    <m/>
    <m/>
    <m/>
  </r>
  <r>
    <x v="32"/>
    <x v="5"/>
    <s v="인스타그램(전환)"/>
    <x v="0"/>
    <x v="0"/>
    <x v="0"/>
    <m/>
    <m/>
    <n v="667446"/>
    <m/>
    <m/>
    <m/>
  </r>
  <r>
    <x v="33"/>
    <x v="6"/>
    <s v="인스타그램(전환)"/>
    <x v="0"/>
    <x v="0"/>
    <x v="0"/>
    <m/>
    <m/>
    <n v="601447"/>
    <m/>
    <m/>
    <m/>
  </r>
  <r>
    <x v="34"/>
    <x v="3"/>
    <s v="인스타그램(전환)"/>
    <x v="0"/>
    <x v="0"/>
    <x v="0"/>
    <m/>
    <m/>
    <n v="693226"/>
    <m/>
    <m/>
    <m/>
  </r>
  <r>
    <x v="35"/>
    <x v="4"/>
    <s v="인스타그램(전환)"/>
    <x v="0"/>
    <x v="0"/>
    <x v="0"/>
    <m/>
    <m/>
    <n v="621868"/>
    <m/>
    <m/>
    <m/>
  </r>
  <r>
    <x v="36"/>
    <x v="1"/>
    <s v="인스타그램(전환)"/>
    <x v="0"/>
    <x v="0"/>
    <x v="0"/>
    <m/>
    <m/>
    <n v="569821"/>
    <m/>
    <m/>
    <m/>
  </r>
  <r>
    <x v="37"/>
    <x v="0"/>
    <s v="인스타그램(전환)"/>
    <x v="0"/>
    <x v="0"/>
    <x v="0"/>
    <m/>
    <m/>
    <n v="578903"/>
    <m/>
    <m/>
    <m/>
  </r>
  <r>
    <x v="38"/>
    <x v="2"/>
    <s v="인스타그램(전환)"/>
    <x v="0"/>
    <x v="0"/>
    <x v="0"/>
    <m/>
    <m/>
    <n v="577486"/>
    <m/>
    <m/>
    <m/>
  </r>
  <r>
    <x v="39"/>
    <x v="5"/>
    <s v="인스타그램(전환)"/>
    <x v="0"/>
    <x v="0"/>
    <x v="0"/>
    <m/>
    <m/>
    <n v="621286"/>
    <m/>
    <m/>
    <m/>
  </r>
  <r>
    <x v="40"/>
    <x v="6"/>
    <s v="인스타그램(전환)"/>
    <x v="0"/>
    <x v="0"/>
    <x v="0"/>
    <m/>
    <m/>
    <n v="601372"/>
    <m/>
    <m/>
    <m/>
  </r>
  <r>
    <x v="41"/>
    <x v="3"/>
    <s v="인스타그램(전환)"/>
    <x v="0"/>
    <x v="0"/>
    <x v="0"/>
    <m/>
    <m/>
    <n v="577770"/>
    <m/>
    <m/>
    <m/>
  </r>
  <r>
    <x v="42"/>
    <x v="4"/>
    <s v="인스타그램(전환)"/>
    <x v="0"/>
    <x v="0"/>
    <x v="0"/>
    <m/>
    <m/>
    <n v="595670"/>
    <m/>
    <m/>
    <m/>
  </r>
  <r>
    <x v="43"/>
    <x v="1"/>
    <s v="인스타그램(전환)"/>
    <x v="0"/>
    <x v="0"/>
    <x v="0"/>
    <m/>
    <m/>
    <n v="608592"/>
    <m/>
    <m/>
    <m/>
  </r>
  <r>
    <x v="44"/>
    <x v="0"/>
    <s v="인스타그램(전환)"/>
    <x v="0"/>
    <x v="0"/>
    <x v="0"/>
    <m/>
    <m/>
    <n v="587517"/>
    <m/>
    <m/>
    <m/>
  </r>
  <r>
    <x v="45"/>
    <x v="2"/>
    <s v="인스타그램(전환)"/>
    <x v="0"/>
    <x v="0"/>
    <x v="0"/>
    <m/>
    <m/>
    <n v="616005"/>
    <m/>
    <m/>
    <m/>
  </r>
  <r>
    <x v="46"/>
    <x v="5"/>
    <s v="인스타그램(전환)"/>
    <x v="0"/>
    <x v="0"/>
    <x v="0"/>
    <m/>
    <m/>
    <n v="455656"/>
    <m/>
    <m/>
    <m/>
  </r>
  <r>
    <x v="47"/>
    <x v="6"/>
    <s v="인스타그램(전환)"/>
    <x v="0"/>
    <x v="0"/>
    <x v="0"/>
    <m/>
    <m/>
    <n v="501264"/>
    <m/>
    <m/>
    <m/>
  </r>
  <r>
    <x v="48"/>
    <x v="3"/>
    <s v="인스타그램(전환)"/>
    <x v="0"/>
    <x v="0"/>
    <x v="0"/>
    <m/>
    <m/>
    <n v="499673"/>
    <m/>
    <m/>
    <m/>
  </r>
  <r>
    <x v="49"/>
    <x v="4"/>
    <s v="인스타그램(전환)"/>
    <x v="0"/>
    <x v="0"/>
    <x v="0"/>
    <m/>
    <m/>
    <n v="482970"/>
    <m/>
    <m/>
    <m/>
  </r>
  <r>
    <x v="50"/>
    <x v="1"/>
    <s v="인스타그램(전환)"/>
    <x v="0"/>
    <x v="0"/>
    <x v="0"/>
    <m/>
    <m/>
    <n v="490600"/>
    <m/>
    <m/>
    <m/>
  </r>
  <r>
    <x v="51"/>
    <x v="0"/>
    <s v="인스타그램(전환)"/>
    <x v="0"/>
    <x v="0"/>
    <x v="0"/>
    <m/>
    <m/>
    <n v="498482"/>
    <m/>
    <m/>
    <m/>
  </r>
  <r>
    <x v="52"/>
    <x v="2"/>
    <s v="인스타그램(전환)"/>
    <x v="0"/>
    <x v="0"/>
    <x v="0"/>
    <m/>
    <m/>
    <n v="497099"/>
    <m/>
    <m/>
    <m/>
  </r>
  <r>
    <x v="53"/>
    <x v="5"/>
    <s v="인스타그램(전환)"/>
    <x v="0"/>
    <x v="0"/>
    <x v="0"/>
    <m/>
    <m/>
    <n v="529912"/>
    <m/>
    <m/>
    <m/>
  </r>
  <r>
    <x v="54"/>
    <x v="6"/>
    <s v="인스타그램(전환)"/>
    <x v="0"/>
    <x v="0"/>
    <x v="0"/>
    <m/>
    <m/>
    <n v="501169"/>
    <m/>
    <m/>
    <m/>
  </r>
  <r>
    <x v="55"/>
    <x v="3"/>
    <s v="인스타그램(전환)"/>
    <x v="0"/>
    <x v="0"/>
    <x v="0"/>
    <m/>
    <m/>
    <n v="480687"/>
    <m/>
    <m/>
    <m/>
  </r>
  <r>
    <x v="56"/>
    <x v="4"/>
    <s v="인스타그램(전환)"/>
    <x v="0"/>
    <x v="0"/>
    <x v="0"/>
    <m/>
    <m/>
    <n v="498963"/>
    <m/>
    <m/>
    <m/>
  </r>
  <r>
    <x v="57"/>
    <x v="1"/>
    <s v="인스타그램(전환)"/>
    <x v="0"/>
    <x v="0"/>
    <x v="0"/>
    <m/>
    <m/>
    <n v="490233"/>
    <m/>
    <m/>
    <m/>
  </r>
  <r>
    <x v="58"/>
    <x v="0"/>
    <s v="인스타그램(전환)"/>
    <x v="0"/>
    <x v="0"/>
    <x v="0"/>
    <m/>
    <m/>
    <n v="488641"/>
    <m/>
    <m/>
    <m/>
  </r>
  <r>
    <x v="59"/>
    <x v="2"/>
    <s v="인스타그램(전환)"/>
    <x v="0"/>
    <x v="0"/>
    <x v="0"/>
    <m/>
    <m/>
    <n v="511305"/>
    <m/>
    <m/>
    <m/>
  </r>
  <r>
    <x v="60"/>
    <x v="5"/>
    <s v="인스타그램(전환)"/>
    <x v="0"/>
    <x v="0"/>
    <x v="0"/>
    <m/>
    <m/>
    <n v="529002"/>
    <m/>
    <m/>
    <m/>
  </r>
  <r>
    <x v="3"/>
    <x v="2"/>
    <s v="인스타그램(랄라블라)"/>
    <x v="0"/>
    <x v="0"/>
    <x v="0"/>
    <m/>
    <m/>
    <n v="52275"/>
    <m/>
    <m/>
    <m/>
  </r>
  <r>
    <x v="32"/>
    <x v="5"/>
    <s v="인스타그램(랄라블라)"/>
    <x v="0"/>
    <x v="0"/>
    <x v="0"/>
    <m/>
    <m/>
    <n v="51893"/>
    <m/>
    <m/>
    <m/>
  </r>
  <r>
    <x v="33"/>
    <x v="6"/>
    <s v="인스타그램(랄라블라)"/>
    <x v="0"/>
    <x v="0"/>
    <x v="0"/>
    <m/>
    <m/>
    <n v="50491"/>
    <m/>
    <m/>
    <m/>
  </r>
  <r>
    <x v="34"/>
    <x v="3"/>
    <s v="인스타그램(랄라블라)"/>
    <x v="0"/>
    <x v="0"/>
    <x v="0"/>
    <m/>
    <m/>
    <n v="12046"/>
    <m/>
    <m/>
    <m/>
  </r>
  <r>
    <x v="35"/>
    <x v="4"/>
    <s v="인스타그램(랄라블라)"/>
    <x v="0"/>
    <x v="0"/>
    <x v="0"/>
    <m/>
    <m/>
    <n v="54874"/>
    <m/>
    <m/>
    <m/>
  </r>
  <r>
    <x v="36"/>
    <x v="1"/>
    <s v="인스타그램(랄라블라)"/>
    <x v="0"/>
    <x v="0"/>
    <x v="0"/>
    <m/>
    <m/>
    <n v="57633"/>
    <m/>
    <m/>
    <m/>
  </r>
  <r>
    <x v="37"/>
    <x v="0"/>
    <s v="인스타그램(랄라블라)"/>
    <x v="0"/>
    <x v="0"/>
    <x v="0"/>
    <m/>
    <m/>
    <n v="57304"/>
    <m/>
    <m/>
    <m/>
  </r>
  <r>
    <x v="38"/>
    <x v="2"/>
    <s v="인스타그램(랄라블라)"/>
    <x v="0"/>
    <x v="0"/>
    <x v="0"/>
    <m/>
    <m/>
    <n v="57666"/>
    <m/>
    <m/>
    <m/>
  </r>
  <r>
    <x v="39"/>
    <x v="5"/>
    <s v="인스타그램(랄라블라)"/>
    <x v="0"/>
    <x v="0"/>
    <x v="0"/>
    <m/>
    <m/>
    <n v="57655"/>
    <m/>
    <m/>
    <m/>
  </r>
  <r>
    <x v="40"/>
    <x v="6"/>
    <s v="인스타그램(랄라블라)"/>
    <x v="0"/>
    <x v="0"/>
    <x v="0"/>
    <m/>
    <m/>
    <n v="50134"/>
    <m/>
    <m/>
    <m/>
  </r>
  <r>
    <x v="41"/>
    <x v="3"/>
    <s v="인스타그램(랄라블라)"/>
    <x v="0"/>
    <x v="0"/>
    <x v="0"/>
    <m/>
    <m/>
    <n v="34293"/>
    <m/>
    <m/>
    <m/>
  </r>
  <r>
    <x v="42"/>
    <x v="4"/>
    <s v="인스타그램(랄라블라)"/>
    <x v="0"/>
    <x v="0"/>
    <x v="0"/>
    <m/>
    <m/>
    <n v="24871"/>
    <m/>
    <m/>
    <m/>
  </r>
  <r>
    <x v="43"/>
    <x v="1"/>
    <s v="인스타그램(랄라블라)"/>
    <x v="0"/>
    <x v="0"/>
    <x v="0"/>
    <m/>
    <m/>
    <n v="23891"/>
    <m/>
    <m/>
    <m/>
  </r>
  <r>
    <x v="44"/>
    <x v="0"/>
    <s v="인스타그램(랄라블라)"/>
    <x v="0"/>
    <x v="0"/>
    <x v="0"/>
    <m/>
    <m/>
    <n v="24721"/>
    <m/>
    <m/>
    <m/>
  </r>
  <r>
    <x v="45"/>
    <x v="2"/>
    <s v="인스타그램(랄라블라)"/>
    <x v="0"/>
    <x v="0"/>
    <x v="0"/>
    <m/>
    <m/>
    <n v="25411"/>
    <m/>
    <m/>
    <m/>
  </r>
  <r>
    <x v="46"/>
    <x v="5"/>
    <s v="인스타그램(랄라블라)"/>
    <x v="0"/>
    <x v="0"/>
    <x v="0"/>
    <m/>
    <m/>
    <n v="25174"/>
    <m/>
    <m/>
    <m/>
  </r>
  <r>
    <x v="47"/>
    <x v="6"/>
    <s v="인스타그램(랄라블라)"/>
    <x v="0"/>
    <x v="0"/>
    <x v="0"/>
    <m/>
    <m/>
    <n v="25041"/>
    <m/>
    <m/>
    <m/>
  </r>
  <r>
    <x v="48"/>
    <x v="3"/>
    <s v="인스타그램(랄라블라)"/>
    <x v="0"/>
    <x v="0"/>
    <x v="0"/>
    <m/>
    <m/>
    <n v="24011"/>
    <m/>
    <m/>
    <m/>
  </r>
  <r>
    <x v="49"/>
    <x v="4"/>
    <s v="인스타그램(랄라블라)"/>
    <x v="0"/>
    <x v="0"/>
    <x v="0"/>
    <m/>
    <m/>
    <n v="25223"/>
    <m/>
    <m/>
    <m/>
  </r>
  <r>
    <x v="50"/>
    <x v="1"/>
    <s v="인스타그램(랄라블라)"/>
    <x v="0"/>
    <x v="0"/>
    <x v="0"/>
    <m/>
    <m/>
    <n v="24434"/>
    <m/>
    <m/>
    <m/>
  </r>
  <r>
    <x v="51"/>
    <x v="0"/>
    <s v="인스타그램(랄라블라)"/>
    <x v="0"/>
    <x v="0"/>
    <x v="0"/>
    <m/>
    <m/>
    <n v="25463"/>
    <m/>
    <m/>
    <m/>
  </r>
  <r>
    <x v="52"/>
    <x v="2"/>
    <s v="인스타그램(랄라블라)"/>
    <x v="0"/>
    <x v="0"/>
    <x v="0"/>
    <m/>
    <m/>
    <n v="25474"/>
    <m/>
    <m/>
    <m/>
  </r>
  <r>
    <x v="53"/>
    <x v="5"/>
    <s v="인스타그램(랄라블라)"/>
    <x v="0"/>
    <x v="0"/>
    <x v="0"/>
    <m/>
    <m/>
    <n v="25354"/>
    <m/>
    <m/>
    <m/>
  </r>
  <r>
    <x v="54"/>
    <x v="6"/>
    <s v="인스타그램(랄라블라)"/>
    <x v="0"/>
    <x v="0"/>
    <x v="0"/>
    <m/>
    <m/>
    <n v="25051"/>
    <m/>
    <m/>
    <m/>
  </r>
  <r>
    <x v="55"/>
    <x v="3"/>
    <s v="인스타그램(랄라블라)"/>
    <x v="0"/>
    <x v="0"/>
    <x v="0"/>
    <m/>
    <m/>
    <n v="24121"/>
    <m/>
    <m/>
    <m/>
  </r>
  <r>
    <x v="56"/>
    <x v="4"/>
    <s v="인스타그램(랄라블라)"/>
    <x v="0"/>
    <x v="0"/>
    <x v="0"/>
    <m/>
    <m/>
    <n v="25156"/>
    <m/>
    <m/>
    <m/>
  </r>
  <r>
    <x v="57"/>
    <x v="1"/>
    <s v="인스타그램(랄라블라)"/>
    <x v="0"/>
    <x v="0"/>
    <x v="0"/>
    <m/>
    <m/>
    <n v="25190"/>
    <m/>
    <m/>
    <m/>
  </r>
  <r>
    <x v="58"/>
    <x v="0"/>
    <s v="인스타그램(랄라블라)"/>
    <x v="0"/>
    <x v="0"/>
    <x v="0"/>
    <m/>
    <m/>
    <n v="24853"/>
    <m/>
    <m/>
    <m/>
  </r>
  <r>
    <x v="59"/>
    <x v="2"/>
    <s v="인스타그램(랄라블라)"/>
    <x v="0"/>
    <x v="0"/>
    <x v="0"/>
    <m/>
    <m/>
    <n v="25392"/>
    <m/>
    <m/>
    <m/>
  </r>
  <r>
    <x v="60"/>
    <x v="5"/>
    <s v="인스타그램(랄라블라)"/>
    <x v="0"/>
    <x v="0"/>
    <x v="0"/>
    <m/>
    <m/>
    <n v="25237"/>
    <m/>
    <m/>
    <m/>
  </r>
  <r>
    <x v="3"/>
    <x v="2"/>
    <s v="페이스북(전환)"/>
    <x v="0"/>
    <x v="0"/>
    <x v="0"/>
    <m/>
    <m/>
    <n v="195181"/>
    <m/>
    <m/>
    <m/>
  </r>
  <r>
    <x v="32"/>
    <x v="5"/>
    <s v="페이스북(전환)"/>
    <x v="0"/>
    <x v="0"/>
    <x v="0"/>
    <m/>
    <m/>
    <n v="122294"/>
    <m/>
    <m/>
    <m/>
  </r>
  <r>
    <x v="3"/>
    <x v="2"/>
    <s v="인스타그램(블로그)"/>
    <x v="0"/>
    <x v="0"/>
    <x v="0"/>
    <m/>
    <m/>
    <n v="50491"/>
    <m/>
    <m/>
    <m/>
  </r>
  <r>
    <x v="32"/>
    <x v="5"/>
    <s v="인스타그램(블로그)"/>
    <x v="0"/>
    <x v="0"/>
    <x v="0"/>
    <m/>
    <m/>
    <n v="51000"/>
    <m/>
    <m/>
    <m/>
  </r>
  <r>
    <x v="33"/>
    <x v="6"/>
    <s v="인스타그램(블로그)"/>
    <x v="0"/>
    <x v="0"/>
    <x v="0"/>
    <m/>
    <m/>
    <n v="50259"/>
    <m/>
    <m/>
    <m/>
  </r>
  <r>
    <x v="34"/>
    <x v="3"/>
    <s v="인스타그램(블로그)"/>
    <x v="0"/>
    <x v="0"/>
    <x v="0"/>
    <m/>
    <m/>
    <n v="48151"/>
    <m/>
    <m/>
    <m/>
  </r>
  <r>
    <x v="35"/>
    <x v="4"/>
    <s v="인스타그램(블로그)"/>
    <x v="0"/>
    <x v="0"/>
    <x v="0"/>
    <m/>
    <m/>
    <n v="50427"/>
    <m/>
    <m/>
    <m/>
  </r>
  <r>
    <x v="36"/>
    <x v="1"/>
    <s v="인스타그램(블로그)"/>
    <x v="0"/>
    <x v="0"/>
    <x v="0"/>
    <m/>
    <m/>
    <n v="49368"/>
    <m/>
    <m/>
    <m/>
  </r>
  <r>
    <x v="37"/>
    <x v="0"/>
    <s v="인스타그램(블로그)"/>
    <x v="0"/>
    <x v="0"/>
    <x v="0"/>
    <m/>
    <m/>
    <n v="50701"/>
    <m/>
    <m/>
    <m/>
  </r>
  <r>
    <x v="38"/>
    <x v="2"/>
    <s v="인스타그램(블로그)"/>
    <x v="0"/>
    <x v="0"/>
    <x v="0"/>
    <m/>
    <m/>
    <n v="48869"/>
    <m/>
    <m/>
    <m/>
  </r>
  <r>
    <x v="39"/>
    <x v="5"/>
    <s v="인스타그램(블로그)"/>
    <x v="0"/>
    <x v="0"/>
    <x v="0"/>
    <m/>
    <m/>
    <n v="52197"/>
    <m/>
    <m/>
    <m/>
  </r>
  <r>
    <x v="40"/>
    <x v="6"/>
    <s v="인스타그램(블로그)"/>
    <x v="0"/>
    <x v="0"/>
    <x v="0"/>
    <m/>
    <m/>
    <n v="50252"/>
    <m/>
    <m/>
    <m/>
  </r>
  <r>
    <x v="41"/>
    <x v="3"/>
    <s v="인스타그램(블로그)"/>
    <x v="0"/>
    <x v="0"/>
    <x v="0"/>
    <m/>
    <m/>
    <n v="48298"/>
    <m/>
    <m/>
    <m/>
  </r>
  <r>
    <x v="42"/>
    <x v="4"/>
    <s v="인스타그램(블로그)"/>
    <x v="0"/>
    <x v="0"/>
    <x v="0"/>
    <m/>
    <m/>
    <n v="50619"/>
    <m/>
    <m/>
    <m/>
  </r>
  <r>
    <x v="43"/>
    <x v="1"/>
    <s v="인스타그램(블로그)"/>
    <x v="0"/>
    <x v="0"/>
    <x v="0"/>
    <m/>
    <m/>
    <n v="50372"/>
    <m/>
    <m/>
    <m/>
  </r>
  <r>
    <x v="44"/>
    <x v="0"/>
    <s v="인스타그램(블로그)"/>
    <x v="0"/>
    <x v="0"/>
    <x v="0"/>
    <m/>
    <m/>
    <n v="49210"/>
    <m/>
    <m/>
    <m/>
  </r>
  <r>
    <x v="45"/>
    <x v="2"/>
    <s v="인스타그램(블로그)"/>
    <x v="0"/>
    <x v="0"/>
    <x v="0"/>
    <m/>
    <m/>
    <n v="50263"/>
    <m/>
    <m/>
    <m/>
  </r>
  <r>
    <x v="46"/>
    <x v="5"/>
    <s v="인스타그램(블로그)"/>
    <x v="0"/>
    <x v="0"/>
    <x v="0"/>
    <m/>
    <m/>
    <n v="50957"/>
    <m/>
    <m/>
    <m/>
  </r>
  <r>
    <x v="47"/>
    <x v="6"/>
    <s v="인스타그램(블로그)"/>
    <x v="0"/>
    <x v="0"/>
    <x v="0"/>
    <m/>
    <m/>
    <n v="50130"/>
    <m/>
    <m/>
    <m/>
  </r>
  <r>
    <x v="48"/>
    <x v="3"/>
    <s v="인스타그램(블로그)"/>
    <x v="0"/>
    <x v="0"/>
    <x v="0"/>
    <m/>
    <m/>
    <n v="48778"/>
    <m/>
    <m/>
    <m/>
  </r>
  <r>
    <x v="49"/>
    <x v="4"/>
    <s v="인스타그램(블로그)"/>
    <x v="0"/>
    <x v="0"/>
    <x v="0"/>
    <m/>
    <m/>
    <n v="48602"/>
    <m/>
    <m/>
    <m/>
  </r>
  <r>
    <x v="50"/>
    <x v="1"/>
    <s v="인스타그램(블로그)"/>
    <x v="0"/>
    <x v="0"/>
    <x v="0"/>
    <m/>
    <m/>
    <n v="49190"/>
    <m/>
    <m/>
    <m/>
  </r>
  <r>
    <x v="51"/>
    <x v="0"/>
    <s v="인스타그램(블로그)"/>
    <x v="0"/>
    <x v="0"/>
    <x v="0"/>
    <m/>
    <m/>
    <n v="50596"/>
    <m/>
    <m/>
    <m/>
  </r>
  <r>
    <x v="52"/>
    <x v="2"/>
    <s v="인스타그램(블로그)"/>
    <x v="0"/>
    <x v="0"/>
    <x v="0"/>
    <m/>
    <m/>
    <n v="50082"/>
    <m/>
    <m/>
    <m/>
  </r>
  <r>
    <x v="53"/>
    <x v="5"/>
    <s v="인스타그램(블로그)"/>
    <x v="0"/>
    <x v="0"/>
    <x v="0"/>
    <m/>
    <m/>
    <n v="52622"/>
    <m/>
    <m/>
    <m/>
  </r>
  <r>
    <x v="54"/>
    <x v="6"/>
    <s v="인스타그램(블로그)"/>
    <x v="0"/>
    <x v="0"/>
    <x v="0"/>
    <m/>
    <m/>
    <n v="50158"/>
    <m/>
    <m/>
    <m/>
  </r>
  <r>
    <x v="55"/>
    <x v="3"/>
    <s v="인스타그램(블로그)"/>
    <x v="0"/>
    <x v="0"/>
    <x v="0"/>
    <m/>
    <m/>
    <n v="48491"/>
    <m/>
    <m/>
    <m/>
  </r>
  <r>
    <x v="56"/>
    <x v="4"/>
    <s v="인스타그램(블로그)"/>
    <x v="0"/>
    <x v="0"/>
    <x v="0"/>
    <m/>
    <m/>
    <n v="49023"/>
    <m/>
    <m/>
    <m/>
  </r>
  <r>
    <x v="57"/>
    <x v="1"/>
    <s v="인스타그램(블로그)"/>
    <x v="0"/>
    <x v="0"/>
    <x v="0"/>
    <m/>
    <m/>
    <n v="49431"/>
    <m/>
    <m/>
    <m/>
  </r>
  <r>
    <x v="58"/>
    <x v="0"/>
    <s v="인스타그램(블로그)"/>
    <x v="0"/>
    <x v="0"/>
    <x v="0"/>
    <m/>
    <m/>
    <n v="48688"/>
    <m/>
    <m/>
    <m/>
  </r>
  <r>
    <x v="59"/>
    <x v="2"/>
    <s v="인스타그램(블로그)"/>
    <x v="0"/>
    <x v="0"/>
    <x v="0"/>
    <m/>
    <m/>
    <n v="51824"/>
    <m/>
    <m/>
    <m/>
  </r>
  <r>
    <x v="60"/>
    <x v="5"/>
    <s v="인스타그램(블로그)"/>
    <x v="0"/>
    <x v="0"/>
    <x v="0"/>
    <m/>
    <m/>
    <n v="52385"/>
    <m/>
    <m/>
    <m/>
  </r>
  <r>
    <x v="3"/>
    <x v="2"/>
    <s v="네이버 쇼핑검색"/>
    <x v="0"/>
    <x v="0"/>
    <x v="0"/>
    <m/>
    <m/>
    <n v="3900"/>
    <m/>
    <m/>
    <m/>
  </r>
  <r>
    <x v="32"/>
    <x v="5"/>
    <s v="네이버 쇼핑검색"/>
    <x v="0"/>
    <x v="0"/>
    <x v="0"/>
    <m/>
    <m/>
    <n v="3110"/>
    <m/>
    <m/>
    <m/>
  </r>
  <r>
    <x v="33"/>
    <x v="6"/>
    <s v="네이버 쇼핑검색"/>
    <x v="0"/>
    <x v="0"/>
    <x v="0"/>
    <m/>
    <m/>
    <n v="4670"/>
    <m/>
    <m/>
    <m/>
  </r>
  <r>
    <x v="34"/>
    <x v="3"/>
    <s v="네이버 쇼핑검색"/>
    <x v="0"/>
    <x v="0"/>
    <x v="0"/>
    <m/>
    <m/>
    <n v="2640"/>
    <m/>
    <m/>
    <m/>
  </r>
  <r>
    <x v="35"/>
    <x v="4"/>
    <s v="네이버 쇼핑검색"/>
    <x v="0"/>
    <x v="0"/>
    <x v="0"/>
    <m/>
    <m/>
    <n v="3990"/>
    <m/>
    <m/>
    <m/>
  </r>
  <r>
    <x v="36"/>
    <x v="1"/>
    <s v="네이버 쇼핑검색"/>
    <x v="0"/>
    <x v="0"/>
    <x v="0"/>
    <m/>
    <m/>
    <n v="4940"/>
    <m/>
    <m/>
    <m/>
  </r>
  <r>
    <x v="37"/>
    <x v="0"/>
    <s v="네이버 쇼핑검색"/>
    <x v="0"/>
    <x v="0"/>
    <x v="0"/>
    <m/>
    <m/>
    <n v="3990"/>
    <m/>
    <m/>
    <m/>
  </r>
  <r>
    <x v="38"/>
    <x v="2"/>
    <s v="네이버 쇼핑검색"/>
    <x v="0"/>
    <x v="0"/>
    <x v="0"/>
    <m/>
    <m/>
    <n v="4550"/>
    <m/>
    <m/>
    <m/>
  </r>
  <r>
    <x v="39"/>
    <x v="5"/>
    <s v="네이버 쇼핑검색"/>
    <x v="0"/>
    <x v="0"/>
    <x v="0"/>
    <m/>
    <m/>
    <n v="4020"/>
    <m/>
    <m/>
    <m/>
  </r>
  <r>
    <x v="40"/>
    <x v="6"/>
    <s v="네이버 쇼핑검색"/>
    <x v="0"/>
    <x v="0"/>
    <x v="0"/>
    <m/>
    <m/>
    <n v="4750"/>
    <m/>
    <m/>
    <m/>
  </r>
  <r>
    <x v="41"/>
    <x v="3"/>
    <s v="네이버 쇼핑검색"/>
    <x v="0"/>
    <x v="0"/>
    <x v="0"/>
    <m/>
    <m/>
    <n v="4560"/>
    <m/>
    <m/>
    <m/>
  </r>
  <r>
    <x v="42"/>
    <x v="4"/>
    <s v="네이버 쇼핑검색"/>
    <x v="0"/>
    <x v="0"/>
    <x v="0"/>
    <m/>
    <m/>
    <n v="12350"/>
    <m/>
    <m/>
    <m/>
  </r>
  <r>
    <x v="43"/>
    <x v="1"/>
    <s v="네이버 쇼핑검색"/>
    <x v="0"/>
    <x v="0"/>
    <x v="0"/>
    <m/>
    <m/>
    <n v="6509.999999999999"/>
    <m/>
    <m/>
    <m/>
  </r>
  <r>
    <x v="44"/>
    <x v="0"/>
    <s v="네이버 쇼핑검색"/>
    <x v="0"/>
    <x v="0"/>
    <x v="0"/>
    <m/>
    <m/>
    <n v="4990"/>
    <m/>
    <m/>
    <m/>
  </r>
  <r>
    <x v="45"/>
    <x v="2"/>
    <s v="네이버 쇼핑검색"/>
    <x v="0"/>
    <x v="0"/>
    <x v="0"/>
    <m/>
    <m/>
    <n v="5400"/>
    <m/>
    <m/>
    <m/>
  </r>
  <r>
    <x v="46"/>
    <x v="5"/>
    <s v="네이버 쇼핑검색"/>
    <x v="0"/>
    <x v="0"/>
    <x v="0"/>
    <m/>
    <m/>
    <n v="4600"/>
    <m/>
    <m/>
    <m/>
  </r>
  <r>
    <x v="47"/>
    <x v="6"/>
    <s v="네이버 쇼핑검색"/>
    <x v="0"/>
    <x v="0"/>
    <x v="0"/>
    <m/>
    <m/>
    <n v="6199.999999999999"/>
    <m/>
    <m/>
    <m/>
  </r>
  <r>
    <x v="48"/>
    <x v="3"/>
    <s v="네이버 쇼핑검색"/>
    <x v="0"/>
    <x v="0"/>
    <x v="0"/>
    <m/>
    <m/>
    <n v="3980"/>
    <m/>
    <m/>
    <m/>
  </r>
  <r>
    <x v="49"/>
    <x v="4"/>
    <s v="네이버 쇼핑검색"/>
    <x v="0"/>
    <x v="0"/>
    <x v="0"/>
    <m/>
    <m/>
    <n v="8800"/>
    <m/>
    <m/>
    <m/>
  </r>
  <r>
    <x v="50"/>
    <x v="1"/>
    <s v="네이버 쇼핑검색"/>
    <x v="0"/>
    <x v="0"/>
    <x v="0"/>
    <m/>
    <m/>
    <n v="5799.999999999999"/>
    <m/>
    <m/>
    <m/>
  </r>
  <r>
    <x v="51"/>
    <x v="0"/>
    <s v="네이버 쇼핑검색"/>
    <x v="0"/>
    <x v="0"/>
    <x v="0"/>
    <m/>
    <m/>
    <n v="5590"/>
    <m/>
    <m/>
    <m/>
  </r>
  <r>
    <x v="52"/>
    <x v="2"/>
    <s v="네이버 쇼핑검색"/>
    <x v="0"/>
    <x v="0"/>
    <x v="0"/>
    <m/>
    <m/>
    <n v="5350"/>
    <m/>
    <m/>
    <m/>
  </r>
  <r>
    <x v="53"/>
    <x v="5"/>
    <s v="네이버 쇼핑검색"/>
    <x v="0"/>
    <x v="0"/>
    <x v="0"/>
    <m/>
    <m/>
    <n v="5200"/>
    <m/>
    <m/>
    <m/>
  </r>
  <r>
    <x v="54"/>
    <x v="6"/>
    <s v="네이버 쇼핑검색"/>
    <x v="0"/>
    <x v="0"/>
    <x v="0"/>
    <m/>
    <m/>
    <n v="6799.999999999999"/>
    <m/>
    <m/>
    <m/>
  </r>
  <r>
    <x v="55"/>
    <x v="3"/>
    <s v="네이버 쇼핑검색"/>
    <x v="0"/>
    <x v="0"/>
    <x v="0"/>
    <m/>
    <m/>
    <n v="6199.999999999999"/>
    <m/>
    <m/>
    <m/>
  </r>
  <r>
    <x v="56"/>
    <x v="4"/>
    <s v="네이버 쇼핑검색"/>
    <x v="0"/>
    <x v="0"/>
    <x v="0"/>
    <m/>
    <m/>
    <n v="5350"/>
    <m/>
    <m/>
    <m/>
  </r>
  <r>
    <x v="57"/>
    <x v="1"/>
    <s v="네이버 쇼핑검색"/>
    <x v="0"/>
    <x v="0"/>
    <x v="0"/>
    <m/>
    <m/>
    <n v="3600"/>
    <m/>
    <m/>
    <m/>
  </r>
  <r>
    <x v="58"/>
    <x v="0"/>
    <s v="네이버 쇼핑검색"/>
    <x v="0"/>
    <x v="0"/>
    <x v="0"/>
    <m/>
    <m/>
    <n v="3390"/>
    <m/>
    <m/>
    <m/>
  </r>
  <r>
    <x v="59"/>
    <x v="2"/>
    <s v="네이버 쇼핑검색"/>
    <x v="0"/>
    <x v="0"/>
    <x v="0"/>
    <m/>
    <m/>
    <n v="4550"/>
    <m/>
    <m/>
    <m/>
  </r>
  <r>
    <x v="60"/>
    <x v="5"/>
    <s v="네이버 쇼핑검색"/>
    <x v="0"/>
    <x v="0"/>
    <x v="0"/>
    <m/>
    <m/>
    <n v="3600"/>
    <m/>
    <m/>
    <m/>
  </r>
  <r>
    <x v="3"/>
    <x v="2"/>
    <s v="네이버 브랜드검색"/>
    <x v="0"/>
    <x v="0"/>
    <x v="0"/>
    <m/>
    <m/>
    <n v="20000"/>
    <m/>
    <m/>
    <m/>
  </r>
  <r>
    <x v="32"/>
    <x v="5"/>
    <s v="네이버 브랜드검색"/>
    <x v="0"/>
    <x v="0"/>
    <x v="0"/>
    <m/>
    <m/>
    <n v="20000"/>
    <m/>
    <m/>
    <m/>
  </r>
  <r>
    <x v="33"/>
    <x v="6"/>
    <s v="네이버 브랜드검색"/>
    <x v="0"/>
    <x v="0"/>
    <x v="0"/>
    <m/>
    <m/>
    <n v="20000"/>
    <m/>
    <m/>
    <m/>
  </r>
  <r>
    <x v="34"/>
    <x v="3"/>
    <s v="네이버 브랜드검색"/>
    <x v="0"/>
    <x v="0"/>
    <x v="0"/>
    <m/>
    <m/>
    <n v="20000"/>
    <m/>
    <m/>
    <m/>
  </r>
  <r>
    <x v="35"/>
    <x v="4"/>
    <s v="네이버 브랜드검색"/>
    <x v="0"/>
    <x v="0"/>
    <x v="0"/>
    <m/>
    <m/>
    <n v="20000"/>
    <m/>
    <m/>
    <m/>
  </r>
  <r>
    <x v="36"/>
    <x v="1"/>
    <s v="네이버 브랜드검색"/>
    <x v="0"/>
    <x v="0"/>
    <x v="0"/>
    <m/>
    <m/>
    <n v="20000"/>
    <m/>
    <m/>
    <m/>
  </r>
  <r>
    <x v="37"/>
    <x v="0"/>
    <s v="네이버 브랜드검색"/>
    <x v="0"/>
    <x v="0"/>
    <x v="0"/>
    <m/>
    <m/>
    <n v="20000"/>
    <m/>
    <m/>
    <m/>
  </r>
  <r>
    <x v="38"/>
    <x v="2"/>
    <s v="네이버 브랜드검색"/>
    <x v="0"/>
    <x v="0"/>
    <x v="0"/>
    <m/>
    <m/>
    <n v="20000"/>
    <m/>
    <m/>
    <m/>
  </r>
  <r>
    <x v="39"/>
    <x v="5"/>
    <s v="네이버 브랜드검색"/>
    <x v="0"/>
    <x v="0"/>
    <x v="0"/>
    <m/>
    <m/>
    <n v="20000"/>
    <m/>
    <m/>
    <m/>
  </r>
  <r>
    <x v="40"/>
    <x v="6"/>
    <s v="네이버 브랜드검색"/>
    <x v="0"/>
    <x v="0"/>
    <x v="0"/>
    <m/>
    <m/>
    <n v="20000"/>
    <m/>
    <m/>
    <m/>
  </r>
  <r>
    <x v="41"/>
    <x v="3"/>
    <s v="네이버 브랜드검색"/>
    <x v="0"/>
    <x v="0"/>
    <x v="0"/>
    <m/>
    <m/>
    <n v="20000"/>
    <m/>
    <m/>
    <m/>
  </r>
  <r>
    <x v="42"/>
    <x v="4"/>
    <s v="네이버 브랜드검색"/>
    <x v="0"/>
    <x v="0"/>
    <x v="0"/>
    <m/>
    <m/>
    <n v="20000"/>
    <m/>
    <m/>
    <m/>
  </r>
  <r>
    <x v="43"/>
    <x v="1"/>
    <s v="네이버 브랜드검색"/>
    <x v="0"/>
    <x v="0"/>
    <x v="0"/>
    <m/>
    <m/>
    <n v="20000"/>
    <m/>
    <m/>
    <m/>
  </r>
  <r>
    <x v="44"/>
    <x v="0"/>
    <s v="네이버 브랜드검색"/>
    <x v="0"/>
    <x v="0"/>
    <x v="0"/>
    <m/>
    <m/>
    <n v="20000"/>
    <m/>
    <m/>
    <m/>
  </r>
  <r>
    <x v="45"/>
    <x v="2"/>
    <s v="네이버 브랜드검색"/>
    <x v="0"/>
    <x v="0"/>
    <x v="0"/>
    <m/>
    <m/>
    <n v="20000"/>
    <m/>
    <m/>
    <m/>
  </r>
  <r>
    <x v="46"/>
    <x v="5"/>
    <s v="네이버 브랜드검색"/>
    <x v="0"/>
    <x v="0"/>
    <x v="0"/>
    <m/>
    <m/>
    <n v="20000"/>
    <m/>
    <m/>
    <m/>
  </r>
  <r>
    <x v="47"/>
    <x v="6"/>
    <s v="네이버 브랜드검색"/>
    <x v="0"/>
    <x v="0"/>
    <x v="0"/>
    <m/>
    <m/>
    <n v="20000"/>
    <m/>
    <m/>
    <m/>
  </r>
  <r>
    <x v="48"/>
    <x v="3"/>
    <s v="네이버 브랜드검색"/>
    <x v="0"/>
    <x v="0"/>
    <x v="0"/>
    <m/>
    <m/>
    <n v="20000"/>
    <m/>
    <m/>
    <m/>
  </r>
  <r>
    <x v="49"/>
    <x v="4"/>
    <s v="네이버 브랜드검색"/>
    <x v="0"/>
    <x v="0"/>
    <x v="0"/>
    <m/>
    <m/>
    <n v="20000"/>
    <m/>
    <m/>
    <m/>
  </r>
  <r>
    <x v="50"/>
    <x v="1"/>
    <s v="네이버 브랜드검색"/>
    <x v="0"/>
    <x v="0"/>
    <x v="0"/>
    <m/>
    <m/>
    <n v="20000"/>
    <m/>
    <m/>
    <m/>
  </r>
  <r>
    <x v="51"/>
    <x v="0"/>
    <s v="네이버 브랜드검색"/>
    <x v="0"/>
    <x v="0"/>
    <x v="0"/>
    <m/>
    <m/>
    <n v="20000"/>
    <m/>
    <m/>
    <m/>
  </r>
  <r>
    <x v="52"/>
    <x v="2"/>
    <s v="네이버 브랜드검색"/>
    <x v="0"/>
    <x v="0"/>
    <x v="0"/>
    <m/>
    <m/>
    <n v="20000"/>
    <m/>
    <m/>
    <m/>
  </r>
  <r>
    <x v="53"/>
    <x v="5"/>
    <s v="네이버 브랜드검색"/>
    <x v="0"/>
    <x v="0"/>
    <x v="0"/>
    <m/>
    <m/>
    <n v="20000"/>
    <m/>
    <m/>
    <m/>
  </r>
  <r>
    <x v="54"/>
    <x v="6"/>
    <s v="네이버 브랜드검색"/>
    <x v="0"/>
    <x v="0"/>
    <x v="0"/>
    <m/>
    <m/>
    <n v="20000"/>
    <m/>
    <m/>
    <m/>
  </r>
  <r>
    <x v="55"/>
    <x v="3"/>
    <s v="네이버 브랜드검색"/>
    <x v="0"/>
    <x v="0"/>
    <x v="0"/>
    <m/>
    <m/>
    <n v="20000"/>
    <m/>
    <m/>
    <m/>
  </r>
  <r>
    <x v="56"/>
    <x v="4"/>
    <s v="네이버 브랜드검색"/>
    <x v="0"/>
    <x v="0"/>
    <x v="0"/>
    <m/>
    <m/>
    <n v="20000"/>
    <m/>
    <m/>
    <m/>
  </r>
  <r>
    <x v="57"/>
    <x v="1"/>
    <s v="네이버 브랜드검색"/>
    <x v="0"/>
    <x v="0"/>
    <x v="0"/>
    <m/>
    <m/>
    <n v="20000"/>
    <m/>
    <m/>
    <m/>
  </r>
  <r>
    <x v="58"/>
    <x v="0"/>
    <s v="네이버 브랜드검색"/>
    <x v="0"/>
    <x v="0"/>
    <x v="0"/>
    <m/>
    <m/>
    <n v="20000"/>
    <m/>
    <m/>
    <m/>
  </r>
  <r>
    <x v="59"/>
    <x v="2"/>
    <s v="네이버 브랜드검색"/>
    <x v="0"/>
    <x v="0"/>
    <x v="0"/>
    <m/>
    <m/>
    <n v="20000"/>
    <m/>
    <m/>
    <m/>
  </r>
  <r>
    <x v="60"/>
    <x v="5"/>
    <s v="네이버 브랜드검색"/>
    <x v="0"/>
    <x v="0"/>
    <x v="0"/>
    <m/>
    <m/>
    <n v="20000"/>
    <m/>
    <m/>
    <m/>
  </r>
  <r>
    <x v="44"/>
    <x v="0"/>
    <s v="네이버 무상캐시"/>
    <x v="0"/>
    <x v="0"/>
    <x v="0"/>
    <m/>
    <m/>
    <n v="-2400"/>
    <m/>
    <m/>
    <m/>
  </r>
  <r>
    <x v="45"/>
    <x v="2"/>
    <s v="네이버 무상캐시"/>
    <x v="0"/>
    <x v="0"/>
    <x v="0"/>
    <m/>
    <m/>
    <n v="-4260"/>
    <m/>
    <m/>
    <m/>
  </r>
  <r>
    <x v="31"/>
    <x v="0"/>
    <s v="유튜브(지안씨_일반)"/>
    <x v="0"/>
    <x v="0"/>
    <x v="0"/>
    <m/>
    <m/>
    <n v="2500000"/>
    <m/>
    <m/>
    <m/>
  </r>
  <r>
    <x v="8"/>
    <x v="5"/>
    <s v="네이버(어성초토너)"/>
    <x v="0"/>
    <x v="0"/>
    <x v="0"/>
    <m/>
    <m/>
    <n v="1000000"/>
    <m/>
    <m/>
    <m/>
  </r>
  <r>
    <x v="35"/>
    <x v="4"/>
    <s v="유튜브(챙잇_브랜디드)"/>
    <x v="0"/>
    <x v="0"/>
    <x v="0"/>
    <m/>
    <m/>
    <n v="6000000"/>
    <m/>
    <m/>
    <m/>
  </r>
  <r>
    <x v="37"/>
    <x v="0"/>
    <s v="유튜브(단미_반기획)"/>
    <x v="0"/>
    <x v="0"/>
    <x v="0"/>
    <m/>
    <m/>
    <n v="4500000"/>
    <m/>
    <m/>
    <m/>
  </r>
  <r>
    <x v="41"/>
    <x v="3"/>
    <s v="커뮤니티(쭉빵카페)"/>
    <x v="0"/>
    <x v="0"/>
    <x v="0"/>
    <m/>
    <m/>
    <n v="1500000"/>
    <m/>
    <m/>
    <m/>
  </r>
  <r>
    <x v="61"/>
    <x v="6"/>
    <s v="인스타그램(랄라블라)"/>
    <x v="0"/>
    <x v="0"/>
    <x v="0"/>
    <m/>
    <m/>
    <n v="25050"/>
    <m/>
    <m/>
    <m/>
  </r>
  <r>
    <x v="61"/>
    <x v="6"/>
    <s v="인스타그램(블로그)"/>
    <x v="0"/>
    <x v="0"/>
    <x v="0"/>
    <m/>
    <m/>
    <n v="50064"/>
    <m/>
    <m/>
    <m/>
  </r>
  <r>
    <x v="61"/>
    <x v="6"/>
    <s v="인스타그램(전환)"/>
    <x v="0"/>
    <x v="0"/>
    <x v="0"/>
    <m/>
    <m/>
    <n v="501023"/>
    <m/>
    <m/>
    <m/>
  </r>
  <r>
    <x v="61"/>
    <x v="6"/>
    <s v="네이버 브랜드검색"/>
    <x v="0"/>
    <x v="0"/>
    <x v="0"/>
    <m/>
    <m/>
    <n v="20000"/>
    <m/>
    <m/>
    <m/>
  </r>
  <r>
    <x v="61"/>
    <x v="6"/>
    <s v="네이버 쇼핑검색"/>
    <x v="0"/>
    <x v="0"/>
    <x v="0"/>
    <m/>
    <m/>
    <n v="6599.999999999999"/>
    <m/>
    <m/>
    <m/>
  </r>
  <r>
    <x v="62"/>
    <x v="3"/>
    <s v="인스타그램(랄라블라)"/>
    <x v="0"/>
    <x v="0"/>
    <x v="0"/>
    <m/>
    <m/>
    <n v="23962"/>
    <m/>
    <m/>
    <m/>
  </r>
  <r>
    <x v="62"/>
    <x v="3"/>
    <s v="인스타그램(블로그)"/>
    <x v="0"/>
    <x v="0"/>
    <x v="0"/>
    <m/>
    <m/>
    <n v="48392"/>
    <m/>
    <m/>
    <m/>
  </r>
  <r>
    <x v="62"/>
    <x v="3"/>
    <s v="인스타그램(전환)"/>
    <x v="0"/>
    <x v="0"/>
    <x v="0"/>
    <m/>
    <m/>
    <n v="483331"/>
    <m/>
    <m/>
    <m/>
  </r>
  <r>
    <x v="62"/>
    <x v="3"/>
    <s v="네이버 브랜드검색"/>
    <x v="0"/>
    <x v="0"/>
    <x v="0"/>
    <m/>
    <m/>
    <n v="20000"/>
    <m/>
    <m/>
    <m/>
  </r>
  <r>
    <x v="62"/>
    <x v="3"/>
    <s v="네이버 쇼핑검색"/>
    <x v="0"/>
    <x v="0"/>
    <x v="0"/>
    <m/>
    <m/>
    <n v="4360"/>
    <m/>
    <m/>
    <m/>
  </r>
  <r>
    <x v="63"/>
    <x v="4"/>
    <s v="인스타그램(랄라블라)"/>
    <x v="0"/>
    <x v="0"/>
    <x v="0"/>
    <m/>
    <m/>
    <n v="25278"/>
    <m/>
    <m/>
    <m/>
  </r>
  <r>
    <x v="63"/>
    <x v="4"/>
    <s v="인스타그램(블로그)"/>
    <x v="0"/>
    <x v="0"/>
    <x v="0"/>
    <m/>
    <m/>
    <n v="50330"/>
    <m/>
    <m/>
    <m/>
  </r>
  <r>
    <x v="63"/>
    <x v="4"/>
    <s v="인스타그램(전환)"/>
    <x v="0"/>
    <x v="0"/>
    <x v="0"/>
    <m/>
    <m/>
    <n v="499445"/>
    <m/>
    <m/>
    <m/>
  </r>
  <r>
    <x v="63"/>
    <x v="4"/>
    <s v="네이버 브랜드검색"/>
    <x v="0"/>
    <x v="0"/>
    <x v="0"/>
    <m/>
    <m/>
    <n v="20000"/>
    <m/>
    <m/>
    <m/>
  </r>
  <r>
    <x v="63"/>
    <x v="4"/>
    <s v="네이버 쇼핑검색"/>
    <x v="0"/>
    <x v="0"/>
    <x v="0"/>
    <m/>
    <m/>
    <n v="216363.6363636364"/>
    <m/>
    <m/>
    <m/>
  </r>
  <r>
    <x v="64"/>
    <x v="1"/>
    <s v="인스타그램(랄라블라)"/>
    <x v="0"/>
    <x v="0"/>
    <x v="0"/>
    <m/>
    <m/>
    <n v="25144"/>
    <m/>
    <m/>
    <m/>
  </r>
  <r>
    <x v="64"/>
    <x v="1"/>
    <s v="인스타그램(블로그)"/>
    <x v="0"/>
    <x v="0"/>
    <x v="0"/>
    <m/>
    <m/>
    <n v="48615"/>
    <m/>
    <m/>
    <m/>
  </r>
  <r>
    <x v="64"/>
    <x v="1"/>
    <s v="인스타그램(전환)"/>
    <x v="0"/>
    <x v="0"/>
    <x v="0"/>
    <m/>
    <m/>
    <n v="484160"/>
    <m/>
    <m/>
    <m/>
  </r>
  <r>
    <x v="64"/>
    <x v="1"/>
    <s v="네이버 브랜드검색"/>
    <x v="0"/>
    <x v="0"/>
    <x v="0"/>
    <m/>
    <m/>
    <n v="20000"/>
    <m/>
    <m/>
    <m/>
  </r>
  <r>
    <x v="64"/>
    <x v="1"/>
    <s v="네이버 쇼핑검색"/>
    <x v="0"/>
    <x v="0"/>
    <x v="0"/>
    <m/>
    <m/>
    <n v="5600"/>
    <m/>
    <m/>
    <m/>
  </r>
  <r>
    <x v="65"/>
    <x v="0"/>
    <s v="인스타그램(랄라블라)"/>
    <x v="0"/>
    <x v="0"/>
    <x v="0"/>
    <m/>
    <m/>
    <n v="24640"/>
    <m/>
    <m/>
    <m/>
  </r>
  <r>
    <x v="65"/>
    <x v="0"/>
    <s v="인스타그램(블로그)"/>
    <x v="0"/>
    <x v="0"/>
    <x v="0"/>
    <m/>
    <m/>
    <n v="50478"/>
    <m/>
    <m/>
    <m/>
  </r>
  <r>
    <x v="65"/>
    <x v="0"/>
    <s v="인스타그램(전환)"/>
    <x v="0"/>
    <x v="0"/>
    <x v="0"/>
    <m/>
    <m/>
    <n v="497363"/>
    <m/>
    <m/>
    <m/>
  </r>
  <r>
    <x v="65"/>
    <x v="0"/>
    <s v="네이버 브랜드검색"/>
    <x v="0"/>
    <x v="0"/>
    <x v="0"/>
    <m/>
    <m/>
    <n v="20000"/>
    <m/>
    <m/>
    <m/>
  </r>
  <r>
    <x v="65"/>
    <x v="0"/>
    <s v="네이버 쇼핑검색"/>
    <x v="0"/>
    <x v="0"/>
    <x v="0"/>
    <m/>
    <m/>
    <n v="4980"/>
    <m/>
    <m/>
    <m/>
  </r>
  <r>
    <x v="66"/>
    <x v="2"/>
    <s v="인스타그램(랄라블라)"/>
    <x v="0"/>
    <x v="0"/>
    <x v="0"/>
    <m/>
    <m/>
    <n v="25591"/>
    <m/>
    <m/>
    <m/>
  </r>
  <r>
    <x v="66"/>
    <x v="2"/>
    <s v="인스타그램(블로그)"/>
    <x v="0"/>
    <x v="0"/>
    <x v="0"/>
    <m/>
    <m/>
    <n v="49603"/>
    <m/>
    <m/>
    <m/>
  </r>
  <r>
    <x v="66"/>
    <x v="2"/>
    <s v="인스타그램(전환)"/>
    <x v="0"/>
    <x v="0"/>
    <x v="0"/>
    <m/>
    <m/>
    <n v="498941"/>
    <m/>
    <m/>
    <m/>
  </r>
  <r>
    <x v="66"/>
    <x v="2"/>
    <s v="네이버 브랜드검색"/>
    <x v="0"/>
    <x v="0"/>
    <x v="0"/>
    <m/>
    <m/>
    <n v="20000"/>
    <m/>
    <m/>
    <m/>
  </r>
  <r>
    <x v="66"/>
    <x v="2"/>
    <s v="네이버 쇼핑검색"/>
    <x v="0"/>
    <x v="0"/>
    <x v="0"/>
    <m/>
    <m/>
    <n v="5200"/>
    <m/>
    <m/>
    <m/>
  </r>
  <r>
    <x v="67"/>
    <x v="5"/>
    <s v="인스타그램(랄라블라)"/>
    <x v="0"/>
    <x v="0"/>
    <x v="0"/>
    <m/>
    <m/>
    <n v="25335"/>
    <m/>
    <m/>
    <m/>
  </r>
  <r>
    <x v="67"/>
    <x v="5"/>
    <s v="인스타그램(블로그)"/>
    <x v="0"/>
    <x v="0"/>
    <x v="0"/>
    <m/>
    <m/>
    <n v="52518"/>
    <m/>
    <m/>
    <m/>
  </r>
  <r>
    <x v="67"/>
    <x v="5"/>
    <s v="인스타그램(전환)"/>
    <x v="0"/>
    <x v="0"/>
    <x v="0"/>
    <m/>
    <m/>
    <n v="535722"/>
    <m/>
    <m/>
    <m/>
  </r>
  <r>
    <x v="67"/>
    <x v="5"/>
    <s v="네이버 브랜드검색"/>
    <x v="0"/>
    <x v="0"/>
    <x v="0"/>
    <m/>
    <m/>
    <n v="20000"/>
    <m/>
    <m/>
    <m/>
  </r>
  <r>
    <x v="67"/>
    <x v="5"/>
    <s v="네이버 쇼핑검색"/>
    <x v="0"/>
    <x v="0"/>
    <x v="0"/>
    <m/>
    <m/>
    <n v="4200"/>
    <m/>
    <m/>
    <m/>
  </r>
  <r>
    <x v="68"/>
    <x v="6"/>
    <s v="인스타그램(랄라블라)"/>
    <x v="0"/>
    <x v="0"/>
    <x v="0"/>
    <m/>
    <m/>
    <n v="25053"/>
    <m/>
    <m/>
    <m/>
  </r>
  <r>
    <x v="68"/>
    <x v="6"/>
    <s v="인스타그램(블로그)"/>
    <x v="0"/>
    <x v="0"/>
    <x v="0"/>
    <m/>
    <m/>
    <n v="50474"/>
    <m/>
    <m/>
    <m/>
  </r>
  <r>
    <x v="68"/>
    <x v="6"/>
    <s v="인스타그램(전환)"/>
    <x v="0"/>
    <x v="0"/>
    <x v="0"/>
    <m/>
    <m/>
    <n v="501350"/>
    <m/>
    <m/>
    <m/>
  </r>
  <r>
    <x v="68"/>
    <x v="6"/>
    <s v="네이버 브랜드검색"/>
    <x v="0"/>
    <x v="0"/>
    <x v="0"/>
    <m/>
    <m/>
    <n v="20000"/>
    <m/>
    <m/>
    <m/>
  </r>
  <r>
    <x v="68"/>
    <x v="6"/>
    <s v="네이버 쇼핑검색"/>
    <x v="0"/>
    <x v="0"/>
    <x v="0"/>
    <m/>
    <m/>
    <n v="5799.999999999999"/>
    <m/>
    <m/>
    <m/>
  </r>
  <r>
    <x v="69"/>
    <x v="3"/>
    <s v="인스타그램(랄라블라)"/>
    <x v="0"/>
    <x v="0"/>
    <x v="0"/>
    <m/>
    <m/>
    <n v="24046"/>
    <m/>
    <m/>
    <m/>
  </r>
  <r>
    <x v="69"/>
    <x v="3"/>
    <s v="인스타그램(블로그)"/>
    <x v="0"/>
    <x v="0"/>
    <x v="0"/>
    <m/>
    <m/>
    <n v="49038"/>
    <m/>
    <m/>
    <m/>
  </r>
  <r>
    <x v="69"/>
    <x v="3"/>
    <s v="인스타그램(전환)"/>
    <x v="0"/>
    <x v="0"/>
    <x v="0"/>
    <m/>
    <m/>
    <n v="488953"/>
    <m/>
    <m/>
    <m/>
  </r>
  <r>
    <x v="69"/>
    <x v="3"/>
    <s v="네이버 브랜드검색"/>
    <x v="0"/>
    <x v="0"/>
    <x v="0"/>
    <m/>
    <m/>
    <n v="20000"/>
    <m/>
    <m/>
    <m/>
  </r>
  <r>
    <x v="69"/>
    <x v="3"/>
    <s v="네이버 쇼핑검색"/>
    <x v="0"/>
    <x v="0"/>
    <x v="0"/>
    <m/>
    <m/>
    <n v="5000"/>
    <m/>
    <m/>
    <m/>
  </r>
  <r>
    <x v="70"/>
    <x v="4"/>
    <s v="인스타그램(랄라블라)"/>
    <x v="0"/>
    <x v="0"/>
    <x v="0"/>
    <m/>
    <m/>
    <n v="25294"/>
    <m/>
    <m/>
    <m/>
  </r>
  <r>
    <x v="70"/>
    <x v="4"/>
    <s v="인스타그램(블로그)"/>
    <x v="0"/>
    <x v="0"/>
    <x v="0"/>
    <m/>
    <m/>
    <n v="48642"/>
    <m/>
    <m/>
    <m/>
  </r>
  <r>
    <x v="70"/>
    <x v="4"/>
    <s v="인스타그램(전환)"/>
    <x v="0"/>
    <x v="0"/>
    <x v="0"/>
    <m/>
    <m/>
    <n v="492391"/>
    <m/>
    <m/>
    <m/>
  </r>
  <r>
    <x v="70"/>
    <x v="4"/>
    <s v="네이버 브랜드검색"/>
    <x v="0"/>
    <x v="0"/>
    <x v="0"/>
    <m/>
    <m/>
    <n v="20000"/>
    <m/>
    <m/>
    <m/>
  </r>
  <r>
    <x v="70"/>
    <x v="4"/>
    <s v="네이버 쇼핑검색"/>
    <x v="0"/>
    <x v="0"/>
    <x v="0"/>
    <m/>
    <m/>
    <n v="7199.999999999999"/>
    <m/>
    <m/>
    <m/>
  </r>
  <r>
    <x v="71"/>
    <x v="1"/>
    <s v="인스타그램(랄라블라)"/>
    <x v="0"/>
    <x v="0"/>
    <x v="0"/>
    <m/>
    <m/>
    <n v="25143"/>
    <m/>
    <m/>
    <m/>
  </r>
  <r>
    <x v="71"/>
    <x v="1"/>
    <s v="인스타그램(블로그)"/>
    <x v="0"/>
    <x v="0"/>
    <x v="0"/>
    <m/>
    <m/>
    <n v="50353"/>
    <m/>
    <m/>
    <m/>
  </r>
  <r>
    <x v="71"/>
    <x v="1"/>
    <s v="인스타그램(전환)"/>
    <x v="0"/>
    <x v="0"/>
    <x v="0"/>
    <m/>
    <m/>
    <n v="501665"/>
    <m/>
    <m/>
    <m/>
  </r>
  <r>
    <x v="71"/>
    <x v="1"/>
    <s v="네이버 브랜드검색"/>
    <x v="0"/>
    <x v="0"/>
    <x v="0"/>
    <m/>
    <m/>
    <n v="20000"/>
    <m/>
    <m/>
    <m/>
  </r>
  <r>
    <x v="71"/>
    <x v="1"/>
    <s v="네이버 쇼핑검색"/>
    <x v="0"/>
    <x v="0"/>
    <x v="0"/>
    <m/>
    <m/>
    <n v="5200"/>
    <m/>
    <m/>
    <m/>
  </r>
  <r>
    <x v="72"/>
    <x v="0"/>
    <s v="인스타그램(랄라블라)"/>
    <x v="0"/>
    <x v="0"/>
    <x v="0"/>
    <m/>
    <m/>
    <n v="24502"/>
    <m/>
    <m/>
    <m/>
  </r>
  <r>
    <x v="72"/>
    <x v="0"/>
    <s v="인스타그램(블로그)"/>
    <x v="0"/>
    <x v="0"/>
    <x v="0"/>
    <m/>
    <m/>
    <n v="49344"/>
    <m/>
    <m/>
    <m/>
  </r>
  <r>
    <x v="72"/>
    <x v="0"/>
    <s v="인스타그램(전환)"/>
    <x v="0"/>
    <x v="0"/>
    <x v="0"/>
    <m/>
    <m/>
    <n v="535379"/>
    <m/>
    <m/>
    <m/>
  </r>
  <r>
    <x v="72"/>
    <x v="0"/>
    <s v="네이버 브랜드검색"/>
    <x v="0"/>
    <x v="0"/>
    <x v="0"/>
    <m/>
    <m/>
    <n v="20000"/>
    <m/>
    <m/>
    <m/>
  </r>
  <r>
    <x v="72"/>
    <x v="0"/>
    <s v="네이버 쇼핑검색"/>
    <x v="0"/>
    <x v="0"/>
    <x v="0"/>
    <m/>
    <m/>
    <n v="4600"/>
    <m/>
    <m/>
    <m/>
  </r>
  <r>
    <x v="73"/>
    <x v="2"/>
    <s v="인스타그램(랄라블라)"/>
    <x v="0"/>
    <x v="0"/>
    <x v="0"/>
    <m/>
    <m/>
    <n v="25527"/>
    <m/>
    <m/>
    <m/>
  </r>
  <r>
    <x v="73"/>
    <x v="2"/>
    <s v="인스타그램(블로그)"/>
    <x v="0"/>
    <x v="0"/>
    <x v="0"/>
    <m/>
    <m/>
    <n v="49212"/>
    <m/>
    <m/>
    <m/>
  </r>
  <r>
    <x v="73"/>
    <x v="2"/>
    <s v="인스타그램(전환)"/>
    <x v="0"/>
    <x v="0"/>
    <x v="0"/>
    <m/>
    <m/>
    <n v="660359"/>
    <m/>
    <m/>
    <m/>
  </r>
  <r>
    <x v="73"/>
    <x v="2"/>
    <s v="네이버 브랜드검색"/>
    <x v="0"/>
    <x v="0"/>
    <x v="0"/>
    <m/>
    <m/>
    <n v="20000"/>
    <m/>
    <m/>
    <m/>
  </r>
  <r>
    <x v="73"/>
    <x v="2"/>
    <s v="네이버 쇼핑검색"/>
    <x v="0"/>
    <x v="0"/>
    <x v="0"/>
    <m/>
    <m/>
    <n v="5170"/>
    <m/>
    <m/>
    <m/>
  </r>
  <r>
    <x v="74"/>
    <x v="5"/>
    <s v="인스타그램(랄라블라)"/>
    <x v="0"/>
    <x v="0"/>
    <x v="0"/>
    <m/>
    <m/>
    <n v="25435"/>
    <m/>
    <m/>
    <m/>
  </r>
  <r>
    <x v="74"/>
    <x v="5"/>
    <s v="인스타그램(블로그)"/>
    <x v="0"/>
    <x v="0"/>
    <x v="0"/>
    <m/>
    <m/>
    <n v="52937"/>
    <m/>
    <m/>
    <m/>
  </r>
  <r>
    <x v="74"/>
    <x v="5"/>
    <s v="인스타그램(전환)"/>
    <x v="0"/>
    <x v="0"/>
    <x v="0"/>
    <m/>
    <m/>
    <n v="505800"/>
    <m/>
    <m/>
    <m/>
  </r>
  <r>
    <x v="74"/>
    <x v="5"/>
    <s v="네이버 브랜드검색"/>
    <x v="0"/>
    <x v="0"/>
    <x v="0"/>
    <m/>
    <m/>
    <n v="20000"/>
    <m/>
    <m/>
    <m/>
  </r>
  <r>
    <x v="74"/>
    <x v="5"/>
    <s v="네이버 쇼핑검색"/>
    <x v="0"/>
    <x v="0"/>
    <x v="0"/>
    <m/>
    <m/>
    <n v="31090"/>
    <m/>
    <m/>
    <m/>
  </r>
  <r>
    <x v="75"/>
    <x v="6"/>
    <s v="인스타그램(랄라블라)"/>
    <x v="0"/>
    <x v="0"/>
    <x v="0"/>
    <m/>
    <m/>
    <n v="25029"/>
    <m/>
    <m/>
    <m/>
  </r>
  <r>
    <x v="75"/>
    <x v="6"/>
    <s v="인스타그램(블로그)"/>
    <x v="0"/>
    <x v="0"/>
    <x v="0"/>
    <m/>
    <m/>
    <n v="50268"/>
    <m/>
    <m/>
    <m/>
  </r>
  <r>
    <x v="75"/>
    <x v="6"/>
    <s v="인스타그램(전환)"/>
    <x v="0"/>
    <x v="0"/>
    <x v="0"/>
    <m/>
    <m/>
    <n v="501303"/>
    <m/>
    <m/>
    <m/>
  </r>
  <r>
    <x v="75"/>
    <x v="6"/>
    <s v="네이버 브랜드검색"/>
    <x v="0"/>
    <x v="0"/>
    <x v="0"/>
    <m/>
    <m/>
    <n v="20000"/>
    <m/>
    <m/>
    <m/>
  </r>
  <r>
    <x v="75"/>
    <x v="6"/>
    <s v="네이버 쇼핑검색"/>
    <x v="0"/>
    <x v="0"/>
    <x v="0"/>
    <m/>
    <m/>
    <n v="66390"/>
    <m/>
    <m/>
    <m/>
  </r>
  <r>
    <x v="76"/>
    <x v="3"/>
    <s v="인스타그램(랄라블라)"/>
    <x v="0"/>
    <x v="0"/>
    <x v="0"/>
    <m/>
    <m/>
    <n v="24111"/>
    <m/>
    <m/>
    <m/>
  </r>
  <r>
    <x v="76"/>
    <x v="3"/>
    <s v="인스타그램(블로그)"/>
    <x v="0"/>
    <x v="0"/>
    <x v="0"/>
    <m/>
    <m/>
    <n v="48303"/>
    <m/>
    <m/>
    <m/>
  </r>
  <r>
    <x v="76"/>
    <x v="3"/>
    <s v="인스타그램(전환)"/>
    <x v="0"/>
    <x v="0"/>
    <x v="0"/>
    <m/>
    <m/>
    <n v="483008"/>
    <m/>
    <m/>
    <m/>
  </r>
  <r>
    <x v="76"/>
    <x v="3"/>
    <s v="네이버 브랜드검색"/>
    <x v="0"/>
    <x v="0"/>
    <x v="0"/>
    <m/>
    <m/>
    <n v="20000"/>
    <m/>
    <m/>
    <m/>
  </r>
  <r>
    <x v="76"/>
    <x v="3"/>
    <s v="네이버 쇼핑검색"/>
    <x v="0"/>
    <x v="0"/>
    <x v="0"/>
    <m/>
    <m/>
    <n v="13520"/>
    <m/>
    <m/>
    <m/>
  </r>
  <r>
    <x v="77"/>
    <x v="4"/>
    <s v="인스타그램(랄라블라)"/>
    <x v="0"/>
    <x v="0"/>
    <x v="0"/>
    <m/>
    <m/>
    <n v="24294"/>
    <m/>
    <m/>
    <m/>
  </r>
  <r>
    <x v="77"/>
    <x v="4"/>
    <s v="인스타그램(블로그)"/>
    <x v="0"/>
    <x v="0"/>
    <x v="0"/>
    <m/>
    <m/>
    <n v="49118"/>
    <m/>
    <m/>
    <m/>
  </r>
  <r>
    <x v="77"/>
    <x v="4"/>
    <s v="인스타그램(전환)"/>
    <x v="0"/>
    <x v="0"/>
    <x v="0"/>
    <m/>
    <m/>
    <n v="496204"/>
    <m/>
    <m/>
    <m/>
  </r>
  <r>
    <x v="77"/>
    <x v="4"/>
    <s v="네이버 브랜드검색"/>
    <x v="0"/>
    <x v="0"/>
    <x v="0"/>
    <m/>
    <m/>
    <n v="20000"/>
    <m/>
    <m/>
    <m/>
  </r>
  <r>
    <x v="77"/>
    <x v="4"/>
    <s v="네이버 쇼핑검색"/>
    <x v="0"/>
    <x v="0"/>
    <x v="0"/>
    <m/>
    <m/>
    <n v="8200"/>
    <m/>
    <m/>
    <m/>
  </r>
  <r>
    <x v="78"/>
    <x v="1"/>
    <s v="인스타그램(랄라블라)"/>
    <x v="0"/>
    <x v="0"/>
    <x v="0"/>
    <m/>
    <m/>
    <n v="24611"/>
    <m/>
    <m/>
    <m/>
  </r>
  <r>
    <x v="78"/>
    <x v="1"/>
    <s v="인스타그램(블로그)"/>
    <x v="0"/>
    <x v="0"/>
    <x v="0"/>
    <m/>
    <m/>
    <n v="48682"/>
    <m/>
    <m/>
    <m/>
  </r>
  <r>
    <x v="78"/>
    <x v="1"/>
    <s v="인스타그램(전환)"/>
    <x v="0"/>
    <x v="0"/>
    <x v="0"/>
    <m/>
    <m/>
    <n v="493802"/>
    <m/>
    <m/>
    <m/>
  </r>
  <r>
    <x v="78"/>
    <x v="1"/>
    <s v="네이버 브랜드검색"/>
    <x v="0"/>
    <x v="0"/>
    <x v="0"/>
    <m/>
    <m/>
    <n v="20000"/>
    <m/>
    <m/>
    <m/>
  </r>
  <r>
    <x v="78"/>
    <x v="1"/>
    <s v="네이버 쇼핑검색"/>
    <x v="0"/>
    <x v="0"/>
    <x v="0"/>
    <m/>
    <m/>
    <n v="9600"/>
    <m/>
    <m/>
    <m/>
  </r>
  <r>
    <x v="78"/>
    <x v="1"/>
    <s v="속닥"/>
    <x v="0"/>
    <x v="0"/>
    <x v="0"/>
    <m/>
    <m/>
    <n v="1500000"/>
    <m/>
    <m/>
    <m/>
  </r>
  <r>
    <x v="79"/>
    <x v="0"/>
    <s v="인스타그램(랄라블라)"/>
    <x v="0"/>
    <x v="0"/>
    <x v="0"/>
    <m/>
    <m/>
    <n v="24707"/>
    <m/>
    <m/>
    <m/>
  </r>
  <r>
    <x v="79"/>
    <x v="0"/>
    <s v="인스타그램(블로그)"/>
    <x v="0"/>
    <x v="0"/>
    <x v="0"/>
    <m/>
    <m/>
    <n v="50103"/>
    <m/>
    <m/>
    <m/>
  </r>
  <r>
    <x v="79"/>
    <x v="0"/>
    <s v="인스타그램(전환)"/>
    <x v="0"/>
    <x v="0"/>
    <x v="0"/>
    <m/>
    <m/>
    <n v="495558"/>
    <m/>
    <m/>
    <m/>
  </r>
  <r>
    <x v="79"/>
    <x v="0"/>
    <s v="네이버 브랜드검색"/>
    <x v="0"/>
    <x v="0"/>
    <x v="0"/>
    <m/>
    <m/>
    <n v="20000"/>
    <m/>
    <m/>
    <m/>
  </r>
  <r>
    <x v="79"/>
    <x v="0"/>
    <s v="네이버 쇼핑검색"/>
    <x v="0"/>
    <x v="0"/>
    <x v="0"/>
    <m/>
    <m/>
    <n v="12600"/>
    <m/>
    <m/>
    <m/>
  </r>
  <r>
    <x v="80"/>
    <x v="2"/>
    <s v="인스타그램(랄라블라)"/>
    <x v="0"/>
    <x v="0"/>
    <x v="0"/>
    <m/>
    <m/>
    <n v="26167"/>
    <m/>
    <m/>
    <m/>
  </r>
  <r>
    <x v="80"/>
    <x v="2"/>
    <s v="인스타그램(블로그)"/>
    <x v="0"/>
    <x v="0"/>
    <x v="0"/>
    <m/>
    <m/>
    <n v="49883"/>
    <m/>
    <m/>
    <m/>
  </r>
  <r>
    <x v="80"/>
    <x v="2"/>
    <s v="인스타그램(전환)"/>
    <x v="0"/>
    <x v="0"/>
    <x v="0"/>
    <m/>
    <m/>
    <n v="495653"/>
    <m/>
    <m/>
    <m/>
  </r>
  <r>
    <x v="80"/>
    <x v="2"/>
    <s v="네이버 브랜드검색"/>
    <x v="0"/>
    <x v="0"/>
    <x v="0"/>
    <m/>
    <m/>
    <n v="20000"/>
    <m/>
    <m/>
    <m/>
  </r>
  <r>
    <x v="80"/>
    <x v="2"/>
    <s v="네이버 쇼핑검색"/>
    <x v="0"/>
    <x v="0"/>
    <x v="0"/>
    <m/>
    <m/>
    <n v="7799.999999999999"/>
    <m/>
    <m/>
    <m/>
  </r>
  <r>
    <x v="80"/>
    <x v="2"/>
    <s v="카카오톡 메시지"/>
    <x v="1"/>
    <x v="0"/>
    <x v="0"/>
    <m/>
    <m/>
    <n v="15495"/>
    <m/>
    <m/>
    <m/>
  </r>
  <r>
    <x v="80"/>
    <x v="2"/>
    <s v="카카오톡 메시지"/>
    <x v="1"/>
    <x v="0"/>
    <x v="1"/>
    <m/>
    <m/>
    <n v="20"/>
    <m/>
    <m/>
    <m/>
  </r>
  <r>
    <x v="78"/>
    <x v="1"/>
    <s v="SMS"/>
    <x v="2"/>
    <x v="0"/>
    <x v="1"/>
    <m/>
    <m/>
    <n v="3900"/>
    <m/>
    <m/>
    <m/>
  </r>
  <r>
    <x v="78"/>
    <x v="1"/>
    <s v="SMS"/>
    <x v="2"/>
    <x v="0"/>
    <x v="0"/>
    <m/>
    <m/>
    <n v="1000"/>
    <m/>
    <m/>
    <m/>
  </r>
  <r>
    <x v="79"/>
    <x v="0"/>
    <s v="SMS"/>
    <x v="2"/>
    <x v="0"/>
    <x v="0"/>
    <m/>
    <m/>
    <n v="3500"/>
    <m/>
    <m/>
    <m/>
  </r>
  <r>
    <x v="79"/>
    <x v="0"/>
    <s v="SMS"/>
    <x v="1"/>
    <x v="0"/>
    <x v="1"/>
    <m/>
    <m/>
    <n v="400"/>
    <m/>
    <m/>
    <m/>
  </r>
  <r>
    <x v="79"/>
    <x v="0"/>
    <s v="SMS"/>
    <x v="1"/>
    <x v="0"/>
    <x v="2"/>
    <m/>
    <m/>
    <n v="120"/>
    <m/>
    <m/>
    <m/>
  </r>
  <r>
    <x v="80"/>
    <x v="2"/>
    <s v="SMS"/>
    <x v="1"/>
    <x v="0"/>
    <x v="0"/>
    <m/>
    <m/>
    <n v="16900"/>
    <m/>
    <m/>
    <m/>
  </r>
  <r>
    <x v="80"/>
    <x v="2"/>
    <s v="SMS"/>
    <x v="1"/>
    <x v="0"/>
    <x v="1"/>
    <m/>
    <m/>
    <n v="100"/>
    <m/>
    <m/>
    <m/>
  </r>
  <r>
    <x v="81"/>
    <x v="5"/>
    <s v="인스타그램(랄라블라)"/>
    <x v="0"/>
    <x v="0"/>
    <x v="0"/>
    <m/>
    <m/>
    <n v="26081"/>
    <m/>
    <m/>
    <m/>
  </r>
  <r>
    <x v="81"/>
    <x v="5"/>
    <s v="인스타그램(블로그)"/>
    <x v="0"/>
    <x v="0"/>
    <x v="0"/>
    <m/>
    <m/>
    <n v="53643"/>
    <m/>
    <m/>
    <m/>
  </r>
  <r>
    <x v="81"/>
    <x v="5"/>
    <s v="인스타그램(전환)"/>
    <x v="0"/>
    <x v="0"/>
    <x v="0"/>
    <m/>
    <m/>
    <n v="534472"/>
    <m/>
    <m/>
    <m/>
  </r>
  <r>
    <x v="81"/>
    <x v="5"/>
    <s v="네이버 브랜드검색"/>
    <x v="0"/>
    <x v="0"/>
    <x v="0"/>
    <m/>
    <m/>
    <n v="20000"/>
    <m/>
    <m/>
    <m/>
  </r>
  <r>
    <x v="81"/>
    <x v="5"/>
    <s v="네이버 쇼핑검색"/>
    <x v="0"/>
    <x v="0"/>
    <x v="0"/>
    <m/>
    <m/>
    <n v="6399.999999999999"/>
    <m/>
    <m/>
    <m/>
  </r>
  <r>
    <x v="82"/>
    <x v="6"/>
    <s v="인스타그램(랄라블라)"/>
    <x v="0"/>
    <x v="0"/>
    <x v="0"/>
    <m/>
    <m/>
    <n v="25023"/>
    <m/>
    <m/>
    <m/>
  </r>
  <r>
    <x v="82"/>
    <x v="6"/>
    <s v="인스타그램(블로그)"/>
    <x v="0"/>
    <x v="0"/>
    <x v="0"/>
    <m/>
    <m/>
    <n v="50131"/>
    <m/>
    <m/>
    <m/>
  </r>
  <r>
    <x v="82"/>
    <x v="6"/>
    <s v="인스타그램(전환)"/>
    <x v="0"/>
    <x v="0"/>
    <x v="0"/>
    <m/>
    <m/>
    <n v="500422"/>
    <m/>
    <m/>
    <m/>
  </r>
  <r>
    <x v="82"/>
    <x v="6"/>
    <s v="네이버 브랜드검색"/>
    <x v="0"/>
    <x v="0"/>
    <x v="0"/>
    <m/>
    <m/>
    <n v="20000"/>
    <m/>
    <m/>
    <m/>
  </r>
  <r>
    <x v="82"/>
    <x v="6"/>
    <s v="네이버 쇼핑검색"/>
    <x v="0"/>
    <x v="0"/>
    <x v="0"/>
    <m/>
    <m/>
    <n v="7399.999999999999"/>
    <m/>
    <m/>
    <m/>
  </r>
  <r>
    <x v="83"/>
    <x v="3"/>
    <s v="인스타그램(랄라블라)"/>
    <x v="0"/>
    <x v="0"/>
    <x v="0"/>
    <m/>
    <m/>
    <n v="24146"/>
    <m/>
    <m/>
    <m/>
  </r>
  <r>
    <x v="83"/>
    <x v="3"/>
    <s v="인스타그램(블로그)"/>
    <x v="0"/>
    <x v="0"/>
    <x v="0"/>
    <m/>
    <m/>
    <n v="48348"/>
    <m/>
    <m/>
    <m/>
  </r>
  <r>
    <x v="83"/>
    <x v="3"/>
    <s v="인스타그램(전환)"/>
    <x v="0"/>
    <x v="0"/>
    <x v="0"/>
    <m/>
    <m/>
    <n v="482007"/>
    <m/>
    <m/>
    <m/>
  </r>
  <r>
    <x v="83"/>
    <x v="3"/>
    <s v="네이버 브랜드검색"/>
    <x v="0"/>
    <x v="0"/>
    <x v="0"/>
    <m/>
    <m/>
    <n v="20000"/>
    <m/>
    <m/>
    <m/>
  </r>
  <r>
    <x v="83"/>
    <x v="3"/>
    <s v="네이버 쇼핑검색"/>
    <x v="0"/>
    <x v="0"/>
    <x v="0"/>
    <m/>
    <m/>
    <n v="5000"/>
    <m/>
    <m/>
    <m/>
  </r>
  <r>
    <x v="83"/>
    <x v="3"/>
    <s v="카카오톡 메시지"/>
    <x v="1"/>
    <x v="0"/>
    <x v="3"/>
    <m/>
    <m/>
    <n v="600"/>
    <m/>
    <m/>
    <m/>
  </r>
  <r>
    <x v="83"/>
    <x v="3"/>
    <s v="카카오톡 메시지"/>
    <x v="1"/>
    <x v="0"/>
    <x v="4"/>
    <m/>
    <m/>
    <n v="1820"/>
    <m/>
    <m/>
    <m/>
  </r>
  <r>
    <x v="83"/>
    <x v="3"/>
    <s v="SMS"/>
    <x v="1"/>
    <x v="0"/>
    <x v="1"/>
    <m/>
    <m/>
    <n v="30"/>
    <m/>
    <m/>
    <m/>
  </r>
  <r>
    <x v="83"/>
    <x v="3"/>
    <s v="SMS"/>
    <x v="1"/>
    <x v="0"/>
    <x v="1"/>
    <m/>
    <m/>
    <n v="70"/>
    <m/>
    <m/>
    <m/>
  </r>
  <r>
    <x v="83"/>
    <x v="3"/>
    <s v="SMS"/>
    <x v="1"/>
    <x v="0"/>
    <x v="3"/>
    <m/>
    <m/>
    <n v="1680"/>
    <m/>
    <m/>
    <m/>
  </r>
  <r>
    <x v="83"/>
    <x v="3"/>
    <s v="SMS"/>
    <x v="1"/>
    <x v="0"/>
    <x v="4"/>
    <m/>
    <m/>
    <n v="300"/>
    <m/>
    <m/>
    <m/>
  </r>
  <r>
    <x v="83"/>
    <x v="3"/>
    <s v="SMS"/>
    <x v="0"/>
    <x v="0"/>
    <x v="5"/>
    <m/>
    <m/>
    <n v="350"/>
    <m/>
    <m/>
    <m/>
  </r>
  <r>
    <x v="84"/>
    <x v="4"/>
    <s v="인스타그램(랄라블라)"/>
    <x v="0"/>
    <x v="0"/>
    <x v="0"/>
    <m/>
    <m/>
    <n v="25209"/>
    <m/>
    <m/>
    <m/>
  </r>
  <r>
    <x v="84"/>
    <x v="4"/>
    <s v="인스타그램(블로그)"/>
    <x v="0"/>
    <x v="0"/>
    <x v="0"/>
    <m/>
    <m/>
    <n v="48581"/>
    <m/>
    <m/>
    <m/>
  </r>
  <r>
    <x v="84"/>
    <x v="4"/>
    <s v="인스타그램(전환)"/>
    <x v="0"/>
    <x v="0"/>
    <x v="0"/>
    <m/>
    <m/>
    <n v="487985"/>
    <m/>
    <m/>
    <m/>
  </r>
  <r>
    <x v="84"/>
    <x v="4"/>
    <s v="네이버 브랜드검색"/>
    <x v="0"/>
    <x v="0"/>
    <x v="0"/>
    <m/>
    <m/>
    <n v="20000"/>
    <m/>
    <m/>
    <m/>
  </r>
  <r>
    <x v="84"/>
    <x v="4"/>
    <s v="네이버 쇼핑검색"/>
    <x v="0"/>
    <x v="0"/>
    <x v="0"/>
    <m/>
    <m/>
    <n v="5400"/>
    <m/>
    <m/>
    <m/>
  </r>
  <r>
    <x v="84"/>
    <x v="4"/>
    <s v="카카오톡 메시지"/>
    <x v="2"/>
    <x v="0"/>
    <x v="6"/>
    <m/>
    <m/>
    <n v="60"/>
    <m/>
    <m/>
    <m/>
  </r>
  <r>
    <x v="84"/>
    <x v="4"/>
    <s v="SMS"/>
    <x v="2"/>
    <x v="0"/>
    <x v="1"/>
    <m/>
    <m/>
    <n v="30"/>
    <m/>
    <m/>
    <m/>
  </r>
  <r>
    <x v="84"/>
    <x v="4"/>
    <s v="SMS"/>
    <x v="2"/>
    <x v="0"/>
    <x v="6"/>
    <m/>
    <m/>
    <n v="390"/>
    <m/>
    <m/>
    <m/>
  </r>
  <r>
    <x v="84"/>
    <x v="4"/>
    <s v="SMS"/>
    <x v="1"/>
    <x v="0"/>
    <x v="7"/>
    <m/>
    <m/>
    <n v="1680"/>
    <m/>
    <m/>
    <m/>
  </r>
  <r>
    <x v="84"/>
    <x v="4"/>
    <s v="홈페이지 스킨 구매"/>
    <x v="3"/>
    <x v="0"/>
    <x v="0"/>
    <m/>
    <m/>
    <n v="227272.7272727273"/>
    <m/>
    <m/>
    <m/>
  </r>
  <r>
    <x v="85"/>
    <x v="1"/>
    <s v="인스타그램(랄라블라)"/>
    <x v="0"/>
    <x v="0"/>
    <x v="0"/>
    <m/>
    <m/>
    <n v="25202"/>
    <m/>
    <m/>
    <m/>
  </r>
  <r>
    <x v="85"/>
    <x v="1"/>
    <s v="인스타그램(블로그)"/>
    <x v="0"/>
    <x v="0"/>
    <x v="0"/>
    <m/>
    <m/>
    <n v="50805"/>
    <m/>
    <m/>
    <m/>
  </r>
  <r>
    <x v="85"/>
    <x v="1"/>
    <s v="인스타그램(전환)"/>
    <x v="0"/>
    <x v="0"/>
    <x v="0"/>
    <m/>
    <m/>
    <n v="509049"/>
    <m/>
    <m/>
    <m/>
  </r>
  <r>
    <x v="85"/>
    <x v="1"/>
    <s v="네이버 브랜드검색"/>
    <x v="0"/>
    <x v="0"/>
    <x v="0"/>
    <m/>
    <m/>
    <n v="20000"/>
    <m/>
    <m/>
    <m/>
  </r>
  <r>
    <x v="85"/>
    <x v="1"/>
    <s v="네이버 쇼핑검색"/>
    <x v="0"/>
    <x v="0"/>
    <x v="0"/>
    <m/>
    <m/>
    <n v="5799.999999999999"/>
    <m/>
    <m/>
    <m/>
  </r>
  <r>
    <x v="86"/>
    <x v="0"/>
    <s v="인스타그램(랄라블라)"/>
    <x v="0"/>
    <x v="0"/>
    <x v="0"/>
    <m/>
    <m/>
    <n v="24384"/>
    <m/>
    <m/>
    <m/>
  </r>
  <r>
    <x v="86"/>
    <x v="0"/>
    <s v="인스타그램(블로그)"/>
    <x v="0"/>
    <x v="0"/>
    <x v="0"/>
    <m/>
    <m/>
    <n v="49397"/>
    <m/>
    <m/>
    <m/>
  </r>
  <r>
    <x v="86"/>
    <x v="0"/>
    <s v="인스타그램(전환)"/>
    <x v="0"/>
    <x v="0"/>
    <x v="0"/>
    <m/>
    <m/>
    <n v="506898"/>
    <m/>
    <m/>
    <m/>
  </r>
  <r>
    <x v="86"/>
    <x v="0"/>
    <s v="네이버 브랜드검색"/>
    <x v="0"/>
    <x v="0"/>
    <x v="0"/>
    <m/>
    <m/>
    <n v="20000"/>
    <m/>
    <m/>
    <m/>
  </r>
  <r>
    <x v="86"/>
    <x v="0"/>
    <s v="네이버 쇼핑검색"/>
    <x v="0"/>
    <x v="0"/>
    <x v="0"/>
    <m/>
    <m/>
    <n v="8800"/>
    <m/>
    <m/>
    <m/>
  </r>
  <r>
    <x v="86"/>
    <x v="0"/>
    <s v="카카오톡 메시지"/>
    <x v="1"/>
    <x v="0"/>
    <x v="8"/>
    <m/>
    <m/>
    <n v="660"/>
    <m/>
    <m/>
    <m/>
  </r>
  <r>
    <x v="86"/>
    <x v="0"/>
    <s v="SMS"/>
    <x v="1"/>
    <x v="0"/>
    <x v="1"/>
    <m/>
    <m/>
    <n v="100"/>
    <m/>
    <m/>
    <m/>
  </r>
  <r>
    <x v="86"/>
    <x v="0"/>
    <s v="SMS"/>
    <x v="1"/>
    <x v="0"/>
    <x v="8"/>
    <m/>
    <m/>
    <n v="1470"/>
    <m/>
    <m/>
    <m/>
  </r>
  <r>
    <x v="87"/>
    <x v="2"/>
    <s v="인스타그램(랄라블라)"/>
    <x v="0"/>
    <x v="0"/>
    <x v="0"/>
    <m/>
    <m/>
    <n v="24523"/>
    <m/>
    <m/>
    <m/>
  </r>
  <r>
    <x v="87"/>
    <x v="2"/>
    <s v="인스타그램(블로그)"/>
    <x v="0"/>
    <x v="0"/>
    <x v="0"/>
    <m/>
    <m/>
    <n v="49321"/>
    <m/>
    <m/>
    <m/>
  </r>
  <r>
    <x v="87"/>
    <x v="2"/>
    <s v="인스타그램(전환)"/>
    <x v="0"/>
    <x v="0"/>
    <x v="0"/>
    <m/>
    <m/>
    <n v="490909"/>
    <m/>
    <m/>
    <m/>
  </r>
  <r>
    <x v="87"/>
    <x v="2"/>
    <s v="네이버 브랜드검색"/>
    <x v="0"/>
    <x v="0"/>
    <x v="0"/>
    <m/>
    <m/>
    <n v="20000"/>
    <m/>
    <m/>
    <m/>
  </r>
  <r>
    <x v="87"/>
    <x v="2"/>
    <s v="네이버 쇼핑검색"/>
    <x v="0"/>
    <x v="0"/>
    <x v="0"/>
    <m/>
    <m/>
    <n v="10400"/>
    <m/>
    <m/>
    <m/>
  </r>
  <r>
    <x v="87"/>
    <x v="2"/>
    <s v="카카오톡 메시지"/>
    <x v="2"/>
    <x v="0"/>
    <x v="9"/>
    <m/>
    <m/>
    <n v="40"/>
    <m/>
    <m/>
    <m/>
  </r>
  <r>
    <x v="87"/>
    <x v="2"/>
    <s v="SMS"/>
    <x v="2"/>
    <x v="0"/>
    <x v="1"/>
    <m/>
    <m/>
    <n v="70"/>
    <m/>
    <m/>
    <m/>
  </r>
  <r>
    <x v="87"/>
    <x v="2"/>
    <s v="SMS"/>
    <x v="2"/>
    <x v="0"/>
    <x v="9"/>
    <m/>
    <m/>
    <n v="420"/>
    <m/>
    <m/>
    <m/>
  </r>
  <r>
    <x v="87"/>
    <x v="2"/>
    <s v="제품 촬영"/>
    <x v="1"/>
    <x v="0"/>
    <x v="0"/>
    <m/>
    <m/>
    <n v="2550000"/>
    <m/>
    <m/>
    <m/>
  </r>
  <r>
    <x v="88"/>
    <x v="5"/>
    <s v="인스타그램(랄라블라)"/>
    <x v="0"/>
    <x v="0"/>
    <x v="0"/>
    <m/>
    <m/>
    <n v="26513"/>
    <m/>
    <m/>
    <m/>
  </r>
  <r>
    <x v="88"/>
    <x v="5"/>
    <s v="인스타그램(블로그)"/>
    <x v="0"/>
    <x v="0"/>
    <x v="0"/>
    <m/>
    <m/>
    <n v="53417"/>
    <m/>
    <m/>
    <m/>
  </r>
  <r>
    <x v="88"/>
    <x v="5"/>
    <s v="인스타그램(전환)"/>
    <x v="0"/>
    <x v="0"/>
    <x v="0"/>
    <m/>
    <m/>
    <n v="522730"/>
    <m/>
    <m/>
    <m/>
  </r>
  <r>
    <x v="88"/>
    <x v="5"/>
    <s v="네이버 브랜드검색"/>
    <x v="0"/>
    <x v="0"/>
    <x v="0"/>
    <m/>
    <m/>
    <n v="20000"/>
    <m/>
    <m/>
    <m/>
  </r>
  <r>
    <x v="88"/>
    <x v="5"/>
    <s v="네이버 쇼핑검색"/>
    <x v="0"/>
    <x v="0"/>
    <x v="0"/>
    <m/>
    <m/>
    <n v="7999.999999999999"/>
    <m/>
    <m/>
    <m/>
  </r>
  <r>
    <x v="89"/>
    <x v="6"/>
    <s v="인스타그램(랄라블라)"/>
    <x v="0"/>
    <x v="0"/>
    <x v="0"/>
    <m/>
    <m/>
    <n v="25038"/>
    <m/>
    <m/>
    <m/>
  </r>
  <r>
    <x v="89"/>
    <x v="6"/>
    <s v="인스타그램(블로그)"/>
    <x v="0"/>
    <x v="0"/>
    <x v="0"/>
    <m/>
    <m/>
    <n v="50087"/>
    <m/>
    <m/>
    <m/>
  </r>
  <r>
    <x v="89"/>
    <x v="6"/>
    <s v="인스타그램(전환)"/>
    <x v="0"/>
    <x v="0"/>
    <x v="0"/>
    <m/>
    <m/>
    <n v="500903"/>
    <m/>
    <m/>
    <m/>
  </r>
  <r>
    <x v="89"/>
    <x v="6"/>
    <s v="네이버 브랜드검색"/>
    <x v="0"/>
    <x v="0"/>
    <x v="0"/>
    <m/>
    <m/>
    <n v="20000"/>
    <m/>
    <m/>
    <m/>
  </r>
  <r>
    <x v="89"/>
    <x v="6"/>
    <s v="네이버 쇼핑검색"/>
    <x v="0"/>
    <x v="0"/>
    <x v="0"/>
    <m/>
    <m/>
    <n v="8600"/>
    <m/>
    <m/>
    <m/>
  </r>
  <r>
    <x v="90"/>
    <x v="3"/>
    <s v="인스타그램(랄라블라)"/>
    <x v="0"/>
    <x v="0"/>
    <x v="0"/>
    <m/>
    <m/>
    <n v="25008"/>
    <m/>
    <m/>
    <m/>
  </r>
  <r>
    <x v="90"/>
    <x v="3"/>
    <s v="인스타그램(블로그)"/>
    <x v="0"/>
    <x v="0"/>
    <x v="0"/>
    <m/>
    <m/>
    <n v="48434"/>
    <m/>
    <m/>
    <m/>
  </r>
  <r>
    <x v="90"/>
    <x v="3"/>
    <s v="인스타그램(전환)"/>
    <x v="0"/>
    <x v="0"/>
    <x v="0"/>
    <m/>
    <m/>
    <n v="491635"/>
    <m/>
    <m/>
    <m/>
  </r>
  <r>
    <x v="90"/>
    <x v="3"/>
    <s v="네이버 브랜드검색"/>
    <x v="0"/>
    <x v="0"/>
    <x v="0"/>
    <m/>
    <m/>
    <n v="20000"/>
    <m/>
    <m/>
    <m/>
  </r>
  <r>
    <x v="90"/>
    <x v="3"/>
    <s v="네이버 쇼핑검색"/>
    <x v="0"/>
    <x v="0"/>
    <x v="0"/>
    <m/>
    <m/>
    <n v="7799.999999999999"/>
    <m/>
    <m/>
    <m/>
  </r>
  <r>
    <x v="91"/>
    <x v="4"/>
    <s v="인스타그램(랄라블라)"/>
    <x v="0"/>
    <x v="0"/>
    <x v="0"/>
    <m/>
    <m/>
    <n v="25025"/>
    <m/>
    <m/>
    <m/>
  </r>
  <r>
    <x v="91"/>
    <x v="4"/>
    <s v="인스타그램(블로그)"/>
    <x v="0"/>
    <x v="0"/>
    <x v="0"/>
    <m/>
    <m/>
    <n v="48488"/>
    <m/>
    <m/>
    <m/>
  </r>
  <r>
    <x v="91"/>
    <x v="4"/>
    <s v="인스타그램(전환)"/>
    <x v="0"/>
    <x v="0"/>
    <x v="0"/>
    <m/>
    <m/>
    <n v="482471"/>
    <m/>
    <m/>
    <m/>
  </r>
  <r>
    <x v="91"/>
    <x v="4"/>
    <s v="네이버 브랜드검색"/>
    <x v="0"/>
    <x v="0"/>
    <x v="0"/>
    <m/>
    <m/>
    <n v="20000"/>
    <m/>
    <m/>
    <m/>
  </r>
  <r>
    <x v="91"/>
    <x v="4"/>
    <s v="네이버 쇼핑검색"/>
    <x v="0"/>
    <x v="0"/>
    <x v="0"/>
    <m/>
    <m/>
    <n v="4520"/>
    <m/>
    <m/>
    <m/>
  </r>
  <r>
    <x v="92"/>
    <x v="1"/>
    <s v="인스타그램(랄라블라)"/>
    <x v="0"/>
    <x v="0"/>
    <x v="0"/>
    <m/>
    <m/>
    <n v="24210"/>
    <m/>
    <m/>
    <m/>
  </r>
  <r>
    <x v="92"/>
    <x v="1"/>
    <s v="인스타그램(블로그)"/>
    <x v="0"/>
    <x v="0"/>
    <x v="0"/>
    <m/>
    <m/>
    <n v="50968"/>
    <m/>
    <m/>
    <m/>
  </r>
  <r>
    <x v="92"/>
    <x v="1"/>
    <s v="인스타그램(전환)"/>
    <x v="0"/>
    <x v="0"/>
    <x v="0"/>
    <m/>
    <m/>
    <n v="507324"/>
    <m/>
    <m/>
    <m/>
  </r>
  <r>
    <x v="92"/>
    <x v="1"/>
    <s v="네이버 브랜드검색"/>
    <x v="0"/>
    <x v="0"/>
    <x v="0"/>
    <m/>
    <m/>
    <n v="20000"/>
    <m/>
    <m/>
    <m/>
  </r>
  <r>
    <x v="92"/>
    <x v="1"/>
    <s v="네이버 쇼핑검색"/>
    <x v="0"/>
    <x v="0"/>
    <x v="0"/>
    <m/>
    <m/>
    <n v="5999.999999999999"/>
    <m/>
    <m/>
    <m/>
  </r>
  <r>
    <x v="93"/>
    <x v="0"/>
    <s v="인스타그램(랄라블라)"/>
    <x v="0"/>
    <x v="0"/>
    <x v="0"/>
    <m/>
    <m/>
    <n v="25247"/>
    <m/>
    <m/>
    <m/>
  </r>
  <r>
    <x v="93"/>
    <x v="0"/>
    <s v="인스타그램(블로그)"/>
    <x v="0"/>
    <x v="0"/>
    <x v="0"/>
    <m/>
    <m/>
    <n v="49752"/>
    <m/>
    <m/>
    <m/>
  </r>
  <r>
    <x v="93"/>
    <x v="0"/>
    <s v="인스타그램(전환)"/>
    <x v="0"/>
    <x v="0"/>
    <x v="0"/>
    <m/>
    <m/>
    <n v="506596"/>
    <m/>
    <m/>
    <m/>
  </r>
  <r>
    <x v="93"/>
    <x v="0"/>
    <s v="네이버 브랜드검색"/>
    <x v="0"/>
    <x v="0"/>
    <x v="0"/>
    <m/>
    <m/>
    <n v="20000"/>
    <m/>
    <m/>
    <m/>
  </r>
  <r>
    <x v="93"/>
    <x v="0"/>
    <s v="네이버 쇼핑검색"/>
    <x v="0"/>
    <x v="0"/>
    <x v="0"/>
    <m/>
    <m/>
    <n v="6999.999999999999"/>
    <m/>
    <m/>
    <m/>
  </r>
  <r>
    <x v="93"/>
    <x v="0"/>
    <s v="SMS"/>
    <x v="1"/>
    <x v="0"/>
    <x v="10"/>
    <m/>
    <m/>
    <n v="140"/>
    <m/>
    <m/>
    <m/>
  </r>
  <r>
    <x v="93"/>
    <x v="0"/>
    <s v="SMS"/>
    <x v="1"/>
    <x v="0"/>
    <x v="9"/>
    <m/>
    <m/>
    <n v="980"/>
    <m/>
    <m/>
    <m/>
  </r>
  <r>
    <x v="93"/>
    <x v="0"/>
    <s v="카카오톡 메시지"/>
    <x v="1"/>
    <x v="0"/>
    <x v="9"/>
    <m/>
    <m/>
    <n v="440"/>
    <m/>
    <m/>
    <m/>
  </r>
  <r>
    <x v="94"/>
    <x v="2"/>
    <s v="인스타그램(랄라블라)"/>
    <x v="0"/>
    <x v="0"/>
    <x v="0"/>
    <m/>
    <m/>
    <n v="25155"/>
    <m/>
    <m/>
    <m/>
  </r>
  <r>
    <x v="94"/>
    <x v="2"/>
    <s v="인스타그램(블로그)"/>
    <x v="0"/>
    <x v="0"/>
    <x v="0"/>
    <m/>
    <m/>
    <n v="49100"/>
    <m/>
    <m/>
    <m/>
  </r>
  <r>
    <x v="94"/>
    <x v="2"/>
    <s v="인스타그램(전환)"/>
    <x v="0"/>
    <x v="0"/>
    <x v="0"/>
    <m/>
    <m/>
    <n v="486203"/>
    <m/>
    <m/>
    <m/>
  </r>
  <r>
    <x v="94"/>
    <x v="2"/>
    <s v="네이버 브랜드검색"/>
    <x v="0"/>
    <x v="0"/>
    <x v="0"/>
    <m/>
    <m/>
    <n v="20000"/>
    <m/>
    <m/>
    <m/>
  </r>
  <r>
    <x v="94"/>
    <x v="2"/>
    <s v="네이버 쇼핑검색"/>
    <x v="0"/>
    <x v="0"/>
    <x v="0"/>
    <m/>
    <m/>
    <n v="10200"/>
    <m/>
    <m/>
    <m/>
  </r>
  <r>
    <x v="94"/>
    <x v="2"/>
    <s v="기획사이다"/>
    <x v="0"/>
    <x v="0"/>
    <x v="0"/>
    <m/>
    <m/>
    <n v="5020909.090909091"/>
    <m/>
    <m/>
    <m/>
  </r>
  <r>
    <x v="95"/>
    <x v="5"/>
    <s v="인스타그램(랄라블라)"/>
    <x v="0"/>
    <x v="0"/>
    <x v="0"/>
    <m/>
    <m/>
    <n v="25317"/>
    <m/>
    <m/>
    <m/>
  </r>
  <r>
    <x v="95"/>
    <x v="5"/>
    <s v="인스타그램(블로그)"/>
    <x v="0"/>
    <x v="0"/>
    <x v="0"/>
    <m/>
    <m/>
    <n v="53171"/>
    <m/>
    <m/>
    <m/>
  </r>
  <r>
    <x v="95"/>
    <x v="5"/>
    <s v="인스타그램(전환)"/>
    <x v="0"/>
    <x v="0"/>
    <x v="0"/>
    <m/>
    <m/>
    <n v="524868"/>
    <m/>
    <m/>
    <m/>
  </r>
  <r>
    <x v="95"/>
    <x v="5"/>
    <s v="네이버 브랜드검색"/>
    <x v="0"/>
    <x v="0"/>
    <x v="0"/>
    <m/>
    <m/>
    <n v="20000"/>
    <m/>
    <m/>
    <m/>
  </r>
  <r>
    <x v="95"/>
    <x v="5"/>
    <s v="네이버 쇼핑검색"/>
    <x v="0"/>
    <x v="0"/>
    <x v="0"/>
    <m/>
    <m/>
    <n v="8159.999999999999"/>
    <m/>
    <m/>
    <m/>
  </r>
  <r>
    <x v="96"/>
    <x v="6"/>
    <s v="인스타그램(랄라블라)"/>
    <x v="0"/>
    <x v="0"/>
    <x v="0"/>
    <m/>
    <m/>
    <n v="25019"/>
    <m/>
    <m/>
    <m/>
  </r>
  <r>
    <x v="96"/>
    <x v="6"/>
    <s v="인스타그램(블로그)"/>
    <x v="0"/>
    <x v="0"/>
    <x v="0"/>
    <m/>
    <m/>
    <n v="50056"/>
    <m/>
    <m/>
    <m/>
  </r>
  <r>
    <x v="96"/>
    <x v="6"/>
    <s v="인스타그램(전환)"/>
    <x v="0"/>
    <x v="0"/>
    <x v="0"/>
    <m/>
    <m/>
    <n v="500863"/>
    <m/>
    <m/>
    <m/>
  </r>
  <r>
    <x v="96"/>
    <x v="6"/>
    <s v="네이버 브랜드검색"/>
    <x v="0"/>
    <x v="0"/>
    <x v="0"/>
    <m/>
    <m/>
    <n v="20000"/>
    <m/>
    <m/>
    <m/>
  </r>
  <r>
    <x v="96"/>
    <x v="6"/>
    <s v="네이버 쇼핑검색"/>
    <x v="0"/>
    <x v="0"/>
    <x v="0"/>
    <m/>
    <m/>
    <n v="8200"/>
    <m/>
    <m/>
    <m/>
  </r>
  <r>
    <x v="96"/>
    <x v="6"/>
    <s v="SMS"/>
    <x v="1"/>
    <x v="0"/>
    <x v="11"/>
    <m/>
    <m/>
    <n v="270"/>
    <m/>
    <m/>
    <m/>
  </r>
  <r>
    <x v="96"/>
    <x v="6"/>
    <s v="카카오톡 메시지"/>
    <x v="1"/>
    <x v="0"/>
    <x v="11"/>
    <m/>
    <m/>
    <n v="300"/>
    <m/>
    <m/>
    <m/>
  </r>
  <r>
    <x v="97"/>
    <x v="3"/>
    <s v="인스타그램(랄라블라)"/>
    <x v="0"/>
    <x v="0"/>
    <x v="0"/>
    <m/>
    <m/>
    <n v="24361"/>
    <m/>
    <m/>
    <m/>
  </r>
  <r>
    <x v="97"/>
    <x v="3"/>
    <s v="인스타그램(블로그)"/>
    <x v="0"/>
    <x v="0"/>
    <x v="0"/>
    <m/>
    <m/>
    <n v="48648"/>
    <m/>
    <m/>
    <m/>
  </r>
  <r>
    <x v="97"/>
    <x v="3"/>
    <s v="인스타그램(전환)"/>
    <x v="0"/>
    <x v="0"/>
    <x v="0"/>
    <m/>
    <m/>
    <n v="489928"/>
    <m/>
    <m/>
    <m/>
  </r>
  <r>
    <x v="97"/>
    <x v="3"/>
    <s v="네이버 브랜드검색"/>
    <x v="0"/>
    <x v="0"/>
    <x v="0"/>
    <m/>
    <m/>
    <n v="20000"/>
    <m/>
    <m/>
    <m/>
  </r>
  <r>
    <x v="97"/>
    <x v="3"/>
    <s v="네이버 쇼핑검색"/>
    <x v="0"/>
    <x v="0"/>
    <x v="0"/>
    <m/>
    <m/>
    <n v="8600"/>
    <m/>
    <m/>
    <m/>
  </r>
  <r>
    <x v="97"/>
    <x v="3"/>
    <s v="SMS"/>
    <x v="0"/>
    <x v="0"/>
    <x v="5"/>
    <m/>
    <m/>
    <n v="420"/>
    <m/>
    <m/>
    <m/>
  </r>
  <r>
    <x v="97"/>
    <x v="3"/>
    <s v="자사몰 스킨 교체"/>
    <x v="3"/>
    <x v="0"/>
    <x v="0"/>
    <m/>
    <m/>
    <n v="227272.7272727273"/>
    <m/>
    <m/>
    <m/>
  </r>
  <r>
    <x v="98"/>
    <x v="4"/>
    <s v="인스타그램(랄라블라)"/>
    <x v="0"/>
    <x v="0"/>
    <x v="0"/>
    <m/>
    <m/>
    <n v="25136"/>
    <m/>
    <m/>
    <m/>
  </r>
  <r>
    <x v="98"/>
    <x v="4"/>
    <s v="인스타그램(블로그)"/>
    <x v="0"/>
    <x v="0"/>
    <x v="0"/>
    <m/>
    <m/>
    <n v="50327"/>
    <m/>
    <m/>
    <m/>
  </r>
  <r>
    <x v="98"/>
    <x v="4"/>
    <s v="인스타그램(전환)"/>
    <x v="0"/>
    <x v="0"/>
    <x v="0"/>
    <m/>
    <m/>
    <n v="489707"/>
    <m/>
    <m/>
    <m/>
  </r>
  <r>
    <x v="98"/>
    <x v="4"/>
    <s v="네이버 브랜드검색"/>
    <x v="0"/>
    <x v="0"/>
    <x v="0"/>
    <m/>
    <m/>
    <n v="20000"/>
    <m/>
    <m/>
    <m/>
  </r>
  <r>
    <x v="98"/>
    <x v="4"/>
    <s v="네이버 쇼핑검색"/>
    <x v="0"/>
    <x v="0"/>
    <x v="0"/>
    <m/>
    <m/>
    <n v="7499.999999999999"/>
    <m/>
    <m/>
    <m/>
  </r>
  <r>
    <x v="99"/>
    <x v="1"/>
    <s v="인스타그램(랄라블라)"/>
    <x v="0"/>
    <x v="0"/>
    <x v="0"/>
    <m/>
    <m/>
    <n v="24838"/>
    <m/>
    <m/>
    <m/>
  </r>
  <r>
    <x v="99"/>
    <x v="1"/>
    <s v="인스타그램(블로그)"/>
    <x v="0"/>
    <x v="0"/>
    <x v="0"/>
    <m/>
    <m/>
    <n v="48829"/>
    <m/>
    <m/>
    <m/>
  </r>
  <r>
    <x v="99"/>
    <x v="1"/>
    <s v="인스타그램(전환)"/>
    <x v="0"/>
    <x v="0"/>
    <x v="0"/>
    <m/>
    <m/>
    <n v="495239"/>
    <m/>
    <m/>
    <m/>
  </r>
  <r>
    <x v="99"/>
    <x v="1"/>
    <s v="네이버 브랜드검색"/>
    <x v="0"/>
    <x v="0"/>
    <x v="0"/>
    <m/>
    <m/>
    <n v="20000"/>
    <m/>
    <m/>
    <m/>
  </r>
  <r>
    <x v="99"/>
    <x v="1"/>
    <s v="네이버 쇼핑검색"/>
    <x v="0"/>
    <x v="0"/>
    <x v="0"/>
    <m/>
    <m/>
    <n v="8800"/>
    <m/>
    <m/>
    <m/>
  </r>
  <r>
    <x v="100"/>
    <x v="0"/>
    <s v="인스타그램(랄라블라)"/>
    <x v="0"/>
    <x v="0"/>
    <x v="0"/>
    <m/>
    <m/>
    <n v="25030"/>
    <m/>
    <m/>
    <m/>
  </r>
  <r>
    <x v="100"/>
    <x v="0"/>
    <s v="인스타그램(블로그)"/>
    <x v="0"/>
    <x v="0"/>
    <x v="0"/>
    <m/>
    <m/>
    <n v="49879"/>
    <m/>
    <m/>
    <m/>
  </r>
  <r>
    <x v="100"/>
    <x v="0"/>
    <s v="인스타그램(전환)"/>
    <x v="0"/>
    <x v="0"/>
    <x v="0"/>
    <m/>
    <m/>
    <n v="491968"/>
    <m/>
    <m/>
    <m/>
  </r>
  <r>
    <x v="100"/>
    <x v="0"/>
    <s v="네이버 쇼핑검색"/>
    <x v="0"/>
    <x v="0"/>
    <x v="0"/>
    <m/>
    <m/>
    <n v="26000"/>
    <m/>
    <m/>
    <m/>
  </r>
  <r>
    <x v="101"/>
    <x v="2"/>
    <s v="인스타그램(랄라블라)"/>
    <x v="0"/>
    <x v="0"/>
    <x v="0"/>
    <m/>
    <m/>
    <n v="25323"/>
    <m/>
    <m/>
    <m/>
  </r>
  <r>
    <x v="101"/>
    <x v="2"/>
    <s v="인스타그램(블로그)"/>
    <x v="0"/>
    <x v="0"/>
    <x v="0"/>
    <m/>
    <m/>
    <n v="49081"/>
    <m/>
    <m/>
    <m/>
  </r>
  <r>
    <x v="101"/>
    <x v="2"/>
    <s v="인스타그램(전환)"/>
    <x v="0"/>
    <x v="0"/>
    <x v="0"/>
    <m/>
    <m/>
    <n v="496107"/>
    <m/>
    <m/>
    <m/>
  </r>
  <r>
    <x v="101"/>
    <x v="2"/>
    <s v="네이버 브랜드검색"/>
    <x v="0"/>
    <x v="0"/>
    <x v="0"/>
    <m/>
    <m/>
    <n v="40000"/>
    <m/>
    <m/>
    <m/>
  </r>
  <r>
    <x v="101"/>
    <x v="2"/>
    <s v="네이버 쇼핑검색"/>
    <x v="0"/>
    <x v="0"/>
    <x v="0"/>
    <m/>
    <m/>
    <n v="16200"/>
    <m/>
    <m/>
    <m/>
  </r>
  <r>
    <x v="101"/>
    <x v="2"/>
    <s v="SMS"/>
    <x v="0"/>
    <x v="0"/>
    <x v="12"/>
    <m/>
    <m/>
    <n v="70"/>
    <m/>
    <m/>
    <m/>
  </r>
  <r>
    <x v="101"/>
    <x v="2"/>
    <s v="SMS"/>
    <x v="0"/>
    <x v="0"/>
    <x v="13"/>
    <m/>
    <m/>
    <n v="1960"/>
    <m/>
    <m/>
    <m/>
  </r>
  <r>
    <x v="101"/>
    <x v="2"/>
    <s v="카카오톡 메시지"/>
    <x v="0"/>
    <x v="0"/>
    <x v="13"/>
    <m/>
    <m/>
    <n v="560"/>
    <m/>
    <m/>
    <m/>
  </r>
  <r>
    <x v="102"/>
    <x v="5"/>
    <s v="인스타그램(랄라블라)"/>
    <x v="0"/>
    <x v="0"/>
    <x v="0"/>
    <m/>
    <m/>
    <n v="25293"/>
    <m/>
    <m/>
    <m/>
  </r>
  <r>
    <x v="102"/>
    <x v="5"/>
    <s v="인스타그램(블로그)"/>
    <x v="0"/>
    <x v="0"/>
    <x v="0"/>
    <m/>
    <m/>
    <n v="53180"/>
    <m/>
    <m/>
    <m/>
  </r>
  <r>
    <x v="102"/>
    <x v="5"/>
    <s v="인스타그램(전환)"/>
    <x v="0"/>
    <x v="0"/>
    <x v="0"/>
    <m/>
    <m/>
    <n v="536188"/>
    <m/>
    <m/>
    <m/>
  </r>
  <r>
    <x v="102"/>
    <x v="5"/>
    <s v="네이버 브랜드검색"/>
    <x v="0"/>
    <x v="0"/>
    <x v="0"/>
    <m/>
    <m/>
    <n v="40000"/>
    <m/>
    <m/>
    <m/>
  </r>
  <r>
    <x v="102"/>
    <x v="5"/>
    <s v="네이버 쇼핑검색"/>
    <x v="0"/>
    <x v="0"/>
    <x v="0"/>
    <m/>
    <m/>
    <n v="14790"/>
    <m/>
    <m/>
    <m/>
  </r>
  <r>
    <x v="103"/>
    <x v="6"/>
    <s v="인스타그램(랄라블라)"/>
    <x v="0"/>
    <x v="0"/>
    <x v="0"/>
    <m/>
    <m/>
    <n v="25102"/>
    <m/>
    <m/>
    <m/>
  </r>
  <r>
    <x v="103"/>
    <x v="6"/>
    <s v="인스타그램(블로그)"/>
    <x v="0"/>
    <x v="0"/>
    <x v="0"/>
    <m/>
    <m/>
    <n v="50229"/>
    <m/>
    <m/>
    <m/>
  </r>
  <r>
    <x v="103"/>
    <x v="6"/>
    <s v="인스타그램(전환)"/>
    <x v="0"/>
    <x v="0"/>
    <x v="0"/>
    <m/>
    <m/>
    <n v="502252"/>
    <m/>
    <m/>
    <m/>
  </r>
  <r>
    <x v="103"/>
    <x v="6"/>
    <s v="네이버 브랜드검색"/>
    <x v="0"/>
    <x v="0"/>
    <x v="0"/>
    <m/>
    <m/>
    <n v="40000"/>
    <m/>
    <m/>
    <m/>
  </r>
  <r>
    <x v="103"/>
    <x v="6"/>
    <s v="네이버 쇼핑검색"/>
    <x v="0"/>
    <x v="0"/>
    <x v="0"/>
    <m/>
    <m/>
    <n v="33000"/>
    <m/>
    <m/>
    <m/>
  </r>
  <r>
    <x v="104"/>
    <x v="3"/>
    <s v="인스타그램(랄라블라)"/>
    <x v="0"/>
    <x v="0"/>
    <x v="0"/>
    <m/>
    <m/>
    <n v="24749"/>
    <m/>
    <m/>
    <m/>
  </r>
  <r>
    <x v="104"/>
    <x v="3"/>
    <s v="인스타그램(블로그)"/>
    <x v="0"/>
    <x v="0"/>
    <x v="0"/>
    <m/>
    <m/>
    <n v="48691"/>
    <m/>
    <m/>
    <m/>
  </r>
  <r>
    <x v="104"/>
    <x v="3"/>
    <s v="인스타그램(전환)"/>
    <x v="0"/>
    <x v="0"/>
    <x v="0"/>
    <m/>
    <m/>
    <n v="481370"/>
    <m/>
    <m/>
    <m/>
  </r>
  <r>
    <x v="104"/>
    <x v="3"/>
    <s v="네이버 브랜드검색"/>
    <x v="0"/>
    <x v="0"/>
    <x v="0"/>
    <m/>
    <m/>
    <n v="40000"/>
    <m/>
    <m/>
    <m/>
  </r>
  <r>
    <x v="104"/>
    <x v="3"/>
    <s v="네이버 쇼핑검색"/>
    <x v="0"/>
    <x v="0"/>
    <x v="0"/>
    <m/>
    <m/>
    <n v="81800"/>
    <m/>
    <m/>
    <m/>
  </r>
  <r>
    <x v="104"/>
    <x v="3"/>
    <s v="SMS"/>
    <x v="0"/>
    <x v="0"/>
    <x v="12"/>
    <m/>
    <m/>
    <n v="70"/>
    <m/>
    <m/>
    <m/>
  </r>
  <r>
    <x v="104"/>
    <x v="3"/>
    <s v="SMS"/>
    <x v="0"/>
    <x v="0"/>
    <x v="13"/>
    <m/>
    <m/>
    <n v="17010"/>
    <m/>
    <m/>
    <m/>
  </r>
  <r>
    <x v="105"/>
    <x v="4"/>
    <s v="인스타그램(랄라블라)"/>
    <x v="0"/>
    <x v="0"/>
    <x v="0"/>
    <m/>
    <m/>
    <n v="24810"/>
    <m/>
    <m/>
    <m/>
  </r>
  <r>
    <x v="105"/>
    <x v="4"/>
    <s v="인스타그램(블로그)"/>
    <x v="0"/>
    <x v="0"/>
    <x v="0"/>
    <m/>
    <m/>
    <n v="49247"/>
    <m/>
    <m/>
    <m/>
  </r>
  <r>
    <x v="105"/>
    <x v="4"/>
    <s v="인스타그램(전환)"/>
    <x v="0"/>
    <x v="0"/>
    <x v="0"/>
    <m/>
    <m/>
    <n v="604360"/>
    <m/>
    <m/>
    <m/>
  </r>
  <r>
    <x v="105"/>
    <x v="4"/>
    <s v="네이버 브랜드검색"/>
    <x v="0"/>
    <x v="0"/>
    <x v="0"/>
    <m/>
    <m/>
    <n v="40000"/>
    <m/>
    <m/>
    <m/>
  </r>
  <r>
    <x v="105"/>
    <x v="4"/>
    <s v="네이버 쇼핑검색"/>
    <x v="0"/>
    <x v="0"/>
    <x v="0"/>
    <m/>
    <m/>
    <n v="30800"/>
    <m/>
    <m/>
    <m/>
  </r>
  <r>
    <x v="105"/>
    <x v="4"/>
    <s v="SMS"/>
    <x v="0"/>
    <x v="0"/>
    <x v="13"/>
    <m/>
    <m/>
    <n v="23240"/>
    <m/>
    <m/>
    <m/>
  </r>
  <r>
    <x v="105"/>
    <x v="4"/>
    <s v="SMS"/>
    <x v="0"/>
    <x v="0"/>
    <x v="5"/>
    <m/>
    <m/>
    <n v="770"/>
    <m/>
    <m/>
    <m/>
  </r>
  <r>
    <x v="106"/>
    <x v="1"/>
    <s v="인스타그램(랄라블라)"/>
    <x v="0"/>
    <x v="0"/>
    <x v="0"/>
    <m/>
    <m/>
    <n v="24404"/>
    <m/>
    <m/>
    <m/>
  </r>
  <r>
    <x v="106"/>
    <x v="1"/>
    <s v="인스타그램(블로그)"/>
    <x v="0"/>
    <x v="0"/>
    <x v="0"/>
    <m/>
    <m/>
    <n v="50234"/>
    <m/>
    <m/>
    <m/>
  </r>
  <r>
    <x v="106"/>
    <x v="1"/>
    <s v="인스타그램(전환)"/>
    <x v="0"/>
    <x v="0"/>
    <x v="0"/>
    <m/>
    <m/>
    <n v="684990"/>
    <m/>
    <m/>
    <m/>
  </r>
  <r>
    <x v="106"/>
    <x v="1"/>
    <s v="네이버 브랜드검색"/>
    <x v="0"/>
    <x v="0"/>
    <x v="0"/>
    <m/>
    <m/>
    <n v="40000"/>
    <m/>
    <m/>
    <m/>
  </r>
  <r>
    <x v="106"/>
    <x v="1"/>
    <s v="네이버 쇼핑검색"/>
    <x v="0"/>
    <x v="0"/>
    <x v="0"/>
    <m/>
    <m/>
    <n v="17400"/>
    <m/>
    <m/>
    <m/>
  </r>
  <r>
    <x v="107"/>
    <x v="0"/>
    <s v="인스타그램(랄라블라)"/>
    <x v="0"/>
    <x v="0"/>
    <x v="0"/>
    <m/>
    <m/>
    <n v="25351"/>
    <m/>
    <m/>
    <m/>
  </r>
  <r>
    <x v="107"/>
    <x v="0"/>
    <s v="인스타그램(블로그)"/>
    <x v="0"/>
    <x v="0"/>
    <x v="0"/>
    <m/>
    <m/>
    <n v="49365"/>
    <m/>
    <m/>
    <m/>
  </r>
  <r>
    <x v="107"/>
    <x v="0"/>
    <s v="인스타그램(전환)"/>
    <x v="0"/>
    <x v="0"/>
    <x v="0"/>
    <m/>
    <m/>
    <n v="553775"/>
    <m/>
    <m/>
    <m/>
  </r>
  <r>
    <x v="107"/>
    <x v="0"/>
    <s v="네이버 브랜드검색"/>
    <x v="0"/>
    <x v="0"/>
    <x v="0"/>
    <m/>
    <m/>
    <n v="40000"/>
    <m/>
    <m/>
    <m/>
  </r>
  <r>
    <x v="107"/>
    <x v="0"/>
    <s v="네이버 쇼핑검색"/>
    <x v="0"/>
    <x v="0"/>
    <x v="0"/>
    <m/>
    <m/>
    <n v="13200"/>
    <m/>
    <m/>
    <m/>
  </r>
  <r>
    <x v="108"/>
    <x v="2"/>
    <s v="인스타그램(랄라블라)"/>
    <x v="0"/>
    <x v="0"/>
    <x v="0"/>
    <m/>
    <m/>
    <n v="25200"/>
    <m/>
    <m/>
    <m/>
  </r>
  <r>
    <x v="108"/>
    <x v="2"/>
    <s v="인스타그램(블로그)"/>
    <x v="0"/>
    <x v="0"/>
    <x v="0"/>
    <m/>
    <m/>
    <n v="49280"/>
    <m/>
    <m/>
    <m/>
  </r>
  <r>
    <x v="108"/>
    <x v="2"/>
    <s v="인스타그램(전환)"/>
    <x v="0"/>
    <x v="0"/>
    <x v="0"/>
    <m/>
    <m/>
    <n v="465220"/>
    <m/>
    <m/>
    <m/>
  </r>
  <r>
    <x v="108"/>
    <x v="2"/>
    <s v="네이버 브랜드검색"/>
    <x v="0"/>
    <x v="0"/>
    <x v="0"/>
    <m/>
    <m/>
    <n v="40000"/>
    <m/>
    <m/>
    <m/>
  </r>
  <r>
    <x v="108"/>
    <x v="2"/>
    <s v="네이버 쇼핑검색"/>
    <x v="0"/>
    <x v="0"/>
    <x v="0"/>
    <m/>
    <m/>
    <n v="14200"/>
    <m/>
    <m/>
    <m/>
  </r>
  <r>
    <x v="109"/>
    <x v="5"/>
    <s v="인스타그램(랄라블라)"/>
    <x v="0"/>
    <x v="0"/>
    <x v="0"/>
    <m/>
    <m/>
    <n v="25384"/>
    <m/>
    <m/>
    <m/>
  </r>
  <r>
    <x v="109"/>
    <x v="5"/>
    <s v="인스타그램(블로그)"/>
    <x v="0"/>
    <x v="0"/>
    <x v="0"/>
    <m/>
    <m/>
    <n v="52954"/>
    <m/>
    <m/>
    <m/>
  </r>
  <r>
    <x v="109"/>
    <x v="5"/>
    <s v="인스타그램(전환)"/>
    <x v="0"/>
    <x v="0"/>
    <x v="0"/>
    <m/>
    <m/>
    <n v="498379"/>
    <m/>
    <m/>
    <m/>
  </r>
  <r>
    <x v="109"/>
    <x v="5"/>
    <s v="네이버 브랜드검색"/>
    <x v="0"/>
    <x v="0"/>
    <x v="0"/>
    <m/>
    <m/>
    <n v="40000"/>
    <m/>
    <m/>
    <m/>
  </r>
  <r>
    <x v="109"/>
    <x v="5"/>
    <s v="네이버 쇼핑검색"/>
    <x v="0"/>
    <x v="0"/>
    <x v="0"/>
    <m/>
    <m/>
    <n v="9000"/>
    <m/>
    <m/>
    <m/>
  </r>
  <r>
    <x v="110"/>
    <x v="6"/>
    <s v="인스타그램(랄라블라)"/>
    <x v="0"/>
    <x v="0"/>
    <x v="0"/>
    <m/>
    <m/>
    <n v="25032"/>
    <m/>
    <m/>
    <m/>
  </r>
  <r>
    <x v="110"/>
    <x v="6"/>
    <s v="인스타그램(블로그)"/>
    <x v="0"/>
    <x v="0"/>
    <x v="0"/>
    <m/>
    <m/>
    <n v="50287"/>
    <m/>
    <m/>
    <m/>
  </r>
  <r>
    <x v="110"/>
    <x v="6"/>
    <s v="인스타그램(전환)"/>
    <x v="0"/>
    <x v="0"/>
    <x v="0"/>
    <m/>
    <m/>
    <n v="501252"/>
    <m/>
    <m/>
    <m/>
  </r>
  <r>
    <x v="110"/>
    <x v="6"/>
    <s v="네이버 브랜드검색"/>
    <x v="0"/>
    <x v="0"/>
    <x v="0"/>
    <m/>
    <m/>
    <n v="40000"/>
    <m/>
    <m/>
    <m/>
  </r>
  <r>
    <x v="110"/>
    <x v="6"/>
    <s v="네이버 쇼핑검색"/>
    <x v="0"/>
    <x v="0"/>
    <x v="0"/>
    <m/>
    <m/>
    <n v="8800"/>
    <m/>
    <m/>
    <m/>
  </r>
  <r>
    <x v="111"/>
    <x v="3"/>
    <s v="인스타그램(랄라블라)"/>
    <x v="0"/>
    <x v="0"/>
    <x v="0"/>
    <m/>
    <m/>
    <n v="24943"/>
    <m/>
    <m/>
    <m/>
  </r>
  <r>
    <x v="111"/>
    <x v="3"/>
    <s v="인스타그램(블로그)"/>
    <x v="0"/>
    <x v="0"/>
    <x v="0"/>
    <m/>
    <m/>
    <n v="48673"/>
    <m/>
    <m/>
    <m/>
  </r>
  <r>
    <x v="111"/>
    <x v="3"/>
    <s v="인스타그램(전환)"/>
    <x v="0"/>
    <x v="0"/>
    <x v="0"/>
    <m/>
    <m/>
    <n v="480127"/>
    <m/>
    <m/>
    <m/>
  </r>
  <r>
    <x v="111"/>
    <x v="3"/>
    <s v="네이버 브랜드검색"/>
    <x v="0"/>
    <x v="0"/>
    <x v="0"/>
    <m/>
    <m/>
    <n v="40000"/>
    <m/>
    <m/>
    <m/>
  </r>
  <r>
    <x v="111"/>
    <x v="3"/>
    <s v="네이버 쇼핑검색"/>
    <x v="0"/>
    <x v="0"/>
    <x v="0"/>
    <m/>
    <m/>
    <n v="7569.999999999999"/>
    <m/>
    <m/>
    <m/>
  </r>
  <r>
    <x v="112"/>
    <x v="4"/>
    <s v="인스타그램(랄라블라)"/>
    <x v="0"/>
    <x v="0"/>
    <x v="0"/>
    <m/>
    <m/>
    <n v="25062"/>
    <m/>
    <m/>
    <m/>
  </r>
  <r>
    <x v="112"/>
    <x v="4"/>
    <s v="인스타그램(블로그)"/>
    <x v="0"/>
    <x v="0"/>
    <x v="0"/>
    <m/>
    <m/>
    <n v="48795"/>
    <m/>
    <m/>
    <m/>
  </r>
  <r>
    <x v="112"/>
    <x v="4"/>
    <s v="인스타그램(전환)"/>
    <x v="0"/>
    <x v="0"/>
    <x v="0"/>
    <m/>
    <m/>
    <n v="499793"/>
    <m/>
    <m/>
    <m/>
  </r>
  <r>
    <x v="112"/>
    <x v="4"/>
    <s v="네이버 브랜드검색"/>
    <x v="0"/>
    <x v="0"/>
    <x v="0"/>
    <m/>
    <m/>
    <n v="40000"/>
    <m/>
    <m/>
    <m/>
  </r>
  <r>
    <x v="112"/>
    <x v="4"/>
    <s v="네이버 쇼핑검색"/>
    <x v="0"/>
    <x v="0"/>
    <x v="0"/>
    <m/>
    <m/>
    <n v="2540"/>
    <m/>
    <m/>
    <m/>
  </r>
  <r>
    <x v="112"/>
    <x v="4"/>
    <s v="SMS"/>
    <x v="0"/>
    <x v="0"/>
    <x v="5"/>
    <m/>
    <m/>
    <n v="490"/>
    <m/>
    <m/>
    <m/>
  </r>
  <r>
    <x v="113"/>
    <x v="1"/>
    <s v="인스타그램(랄라블라)"/>
    <x v="0"/>
    <x v="0"/>
    <x v="0"/>
    <m/>
    <m/>
    <n v="24888"/>
    <m/>
    <m/>
    <m/>
  </r>
  <r>
    <x v="113"/>
    <x v="1"/>
    <s v="인스타그램(블로그)"/>
    <x v="0"/>
    <x v="0"/>
    <x v="0"/>
    <m/>
    <m/>
    <n v="48827"/>
    <m/>
    <m/>
    <m/>
  </r>
  <r>
    <x v="113"/>
    <x v="1"/>
    <s v="인스타그램(전환)"/>
    <x v="0"/>
    <x v="0"/>
    <x v="0"/>
    <m/>
    <m/>
    <n v="490496"/>
    <m/>
    <m/>
    <m/>
  </r>
  <r>
    <x v="113"/>
    <x v="1"/>
    <s v="네이버 브랜드검색"/>
    <x v="0"/>
    <x v="0"/>
    <x v="0"/>
    <m/>
    <m/>
    <n v="40000"/>
    <m/>
    <m/>
    <m/>
  </r>
  <r>
    <x v="113"/>
    <x v="1"/>
    <s v="네이버 쇼핑검색"/>
    <x v="0"/>
    <x v="0"/>
    <x v="0"/>
    <m/>
    <m/>
    <n v="1660"/>
    <m/>
    <m/>
    <m/>
  </r>
  <r>
    <x v="114"/>
    <x v="0"/>
    <s v="인스타그램(랄라블라)"/>
    <x v="0"/>
    <x v="0"/>
    <x v="0"/>
    <m/>
    <m/>
    <n v="25051"/>
    <m/>
    <m/>
    <m/>
  </r>
  <r>
    <x v="114"/>
    <x v="0"/>
    <s v="인스타그램(블로그)"/>
    <x v="0"/>
    <x v="0"/>
    <x v="0"/>
    <m/>
    <m/>
    <n v="50576"/>
    <m/>
    <m/>
    <m/>
  </r>
  <r>
    <x v="114"/>
    <x v="0"/>
    <s v="인스타그램(전환)"/>
    <x v="0"/>
    <x v="0"/>
    <x v="0"/>
    <m/>
    <m/>
    <n v="494002"/>
    <m/>
    <m/>
    <m/>
  </r>
  <r>
    <x v="114"/>
    <x v="0"/>
    <s v="네이버 브랜드검색"/>
    <x v="0"/>
    <x v="0"/>
    <x v="0"/>
    <m/>
    <m/>
    <n v="40000"/>
    <m/>
    <m/>
    <m/>
  </r>
  <r>
    <x v="114"/>
    <x v="0"/>
    <s v="네이버 쇼핑검색"/>
    <x v="0"/>
    <x v="0"/>
    <x v="0"/>
    <m/>
    <m/>
    <n v="1210"/>
    <m/>
    <m/>
    <m/>
  </r>
  <r>
    <x v="115"/>
    <x v="2"/>
    <s v="인스타그램(랄라블라)"/>
    <x v="0"/>
    <x v="0"/>
    <x v="0"/>
    <m/>
    <m/>
    <n v="24730"/>
    <m/>
    <m/>
    <m/>
  </r>
  <r>
    <x v="115"/>
    <x v="2"/>
    <s v="인스타그램(블로그)"/>
    <x v="0"/>
    <x v="0"/>
    <x v="0"/>
    <m/>
    <m/>
    <n v="51482"/>
    <m/>
    <m/>
    <m/>
  </r>
  <r>
    <x v="115"/>
    <x v="2"/>
    <s v="인스타그램(전환)"/>
    <x v="0"/>
    <x v="0"/>
    <x v="0"/>
    <m/>
    <m/>
    <n v="517886"/>
    <m/>
    <m/>
    <m/>
  </r>
  <r>
    <x v="115"/>
    <x v="2"/>
    <s v="네이버 브랜드검색"/>
    <x v="0"/>
    <x v="0"/>
    <x v="0"/>
    <m/>
    <m/>
    <n v="40000"/>
    <m/>
    <m/>
    <m/>
  </r>
  <r>
    <x v="115"/>
    <x v="2"/>
    <s v="네이버 쇼핑검색"/>
    <x v="0"/>
    <x v="0"/>
    <x v="0"/>
    <m/>
    <m/>
    <n v="3160"/>
    <m/>
    <m/>
    <m/>
  </r>
  <r>
    <x v="116"/>
    <x v="5"/>
    <s v="인스타그램(랄라블라)"/>
    <x v="0"/>
    <x v="0"/>
    <x v="0"/>
    <m/>
    <m/>
    <n v="25293"/>
    <m/>
    <m/>
    <m/>
  </r>
  <r>
    <x v="116"/>
    <x v="5"/>
    <s v="인스타그램(블로그)"/>
    <x v="0"/>
    <x v="0"/>
    <x v="0"/>
    <m/>
    <m/>
    <n v="51360"/>
    <m/>
    <m/>
    <m/>
  </r>
  <r>
    <x v="116"/>
    <x v="5"/>
    <s v="인스타그램(전환)"/>
    <x v="0"/>
    <x v="0"/>
    <x v="0"/>
    <m/>
    <m/>
    <n v="516444"/>
    <m/>
    <m/>
    <m/>
  </r>
  <r>
    <x v="116"/>
    <x v="5"/>
    <s v="네이버 브랜드검색"/>
    <x v="0"/>
    <x v="0"/>
    <x v="0"/>
    <m/>
    <m/>
    <n v="40000"/>
    <m/>
    <m/>
    <m/>
  </r>
  <r>
    <x v="116"/>
    <x v="5"/>
    <s v="네이버 쇼핑검색"/>
    <x v="0"/>
    <x v="0"/>
    <x v="0"/>
    <m/>
    <m/>
    <n v="3720"/>
    <m/>
    <m/>
    <m/>
  </r>
  <r>
    <x v="117"/>
    <x v="6"/>
    <s v="인스타그램(랄라블라)"/>
    <x v="0"/>
    <x v="0"/>
    <x v="0"/>
    <m/>
    <m/>
    <n v="25052"/>
    <m/>
    <m/>
    <m/>
  </r>
  <r>
    <x v="117"/>
    <x v="6"/>
    <s v="인스타그램(블로그)"/>
    <x v="0"/>
    <x v="0"/>
    <x v="0"/>
    <m/>
    <m/>
    <n v="50159"/>
    <m/>
    <m/>
    <m/>
  </r>
  <r>
    <x v="117"/>
    <x v="6"/>
    <s v="인스타그램(전환)"/>
    <x v="0"/>
    <x v="0"/>
    <x v="0"/>
    <m/>
    <m/>
    <n v="593910"/>
    <m/>
    <m/>
    <m/>
  </r>
  <r>
    <x v="117"/>
    <x v="6"/>
    <s v="네이버 브랜드검색"/>
    <x v="0"/>
    <x v="0"/>
    <x v="0"/>
    <m/>
    <m/>
    <n v="40000"/>
    <m/>
    <m/>
    <m/>
  </r>
  <r>
    <x v="117"/>
    <x v="6"/>
    <s v="네이버 쇼핑검색"/>
    <x v="0"/>
    <x v="0"/>
    <x v="0"/>
    <m/>
    <m/>
    <n v="3860"/>
    <m/>
    <m/>
    <m/>
  </r>
  <r>
    <x v="118"/>
    <x v="3"/>
    <s v="인스타그램(랄라블라)"/>
    <x v="0"/>
    <x v="0"/>
    <x v="0"/>
    <m/>
    <m/>
    <n v="25045"/>
    <m/>
    <m/>
    <m/>
  </r>
  <r>
    <x v="118"/>
    <x v="3"/>
    <s v="인스타그램(블로그)"/>
    <x v="0"/>
    <x v="0"/>
    <x v="0"/>
    <m/>
    <m/>
    <n v="50158"/>
    <m/>
    <m/>
    <m/>
  </r>
  <r>
    <x v="118"/>
    <x v="3"/>
    <s v="인스타그램(전환)"/>
    <x v="0"/>
    <x v="0"/>
    <x v="0"/>
    <m/>
    <m/>
    <n v="600972"/>
    <m/>
    <m/>
    <m/>
  </r>
  <r>
    <x v="118"/>
    <x v="3"/>
    <s v="네이버 브랜드검색"/>
    <x v="0"/>
    <x v="0"/>
    <x v="0"/>
    <m/>
    <m/>
    <n v="40000"/>
    <m/>
    <m/>
    <m/>
  </r>
  <r>
    <x v="118"/>
    <x v="3"/>
    <s v="네이버 쇼핑검색"/>
    <x v="0"/>
    <x v="0"/>
    <x v="0"/>
    <m/>
    <m/>
    <n v="5170"/>
    <m/>
    <m/>
    <m/>
  </r>
  <r>
    <x v="119"/>
    <x v="4"/>
    <s v="인스타그램(랄라블라)"/>
    <x v="0"/>
    <x v="0"/>
    <x v="0"/>
    <m/>
    <m/>
    <n v="24487"/>
    <m/>
    <m/>
    <m/>
  </r>
  <r>
    <x v="119"/>
    <x v="4"/>
    <s v="인스타그램(블로그)"/>
    <x v="0"/>
    <x v="0"/>
    <x v="0"/>
    <m/>
    <m/>
    <n v="48587"/>
    <m/>
    <m/>
    <m/>
  </r>
  <r>
    <x v="119"/>
    <x v="4"/>
    <s v="인스타그램(전환)"/>
    <x v="0"/>
    <x v="0"/>
    <x v="0"/>
    <m/>
    <m/>
    <n v="686218"/>
    <m/>
    <m/>
    <m/>
  </r>
  <r>
    <x v="119"/>
    <x v="4"/>
    <s v="네이버 브랜드검색"/>
    <x v="0"/>
    <x v="0"/>
    <x v="0"/>
    <m/>
    <m/>
    <n v="40000"/>
    <m/>
    <m/>
    <m/>
  </r>
  <r>
    <x v="119"/>
    <x v="4"/>
    <s v="네이버 쇼핑검색"/>
    <x v="0"/>
    <x v="0"/>
    <x v="0"/>
    <m/>
    <m/>
    <n v="5709.999999999999"/>
    <m/>
    <m/>
    <m/>
  </r>
  <r>
    <x v="119"/>
    <x v="4"/>
    <s v="SMS"/>
    <x v="0"/>
    <x v="0"/>
    <x v="5"/>
    <m/>
    <m/>
    <n v="280"/>
    <m/>
    <m/>
    <m/>
  </r>
  <r>
    <x v="120"/>
    <x v="1"/>
    <s v="인스타그램(랄라블라)"/>
    <x v="0"/>
    <x v="0"/>
    <x v="0"/>
    <m/>
    <m/>
    <n v="25154"/>
    <m/>
    <m/>
    <m/>
  </r>
  <r>
    <x v="120"/>
    <x v="1"/>
    <s v="인스타그램(블로그)"/>
    <x v="0"/>
    <x v="0"/>
    <x v="0"/>
    <m/>
    <m/>
    <n v="49075"/>
    <m/>
    <m/>
    <m/>
  </r>
  <r>
    <x v="120"/>
    <x v="1"/>
    <s v="인스타그램(전환)"/>
    <x v="0"/>
    <x v="0"/>
    <x v="0"/>
    <m/>
    <m/>
    <n v="886929"/>
    <m/>
    <m/>
    <m/>
  </r>
  <r>
    <x v="120"/>
    <x v="1"/>
    <s v="네이버 브랜드검색"/>
    <x v="0"/>
    <x v="0"/>
    <x v="0"/>
    <m/>
    <m/>
    <n v="40000"/>
    <m/>
    <m/>
    <m/>
  </r>
  <r>
    <x v="120"/>
    <x v="1"/>
    <s v="네이버 쇼핑검색"/>
    <x v="0"/>
    <x v="0"/>
    <x v="0"/>
    <m/>
    <m/>
    <n v="9760"/>
    <m/>
    <m/>
    <m/>
  </r>
  <r>
    <x v="121"/>
    <x v="0"/>
    <s v="인스타그램(랄라블라)"/>
    <x v="0"/>
    <x v="0"/>
    <x v="0"/>
    <m/>
    <m/>
    <n v="25112"/>
    <m/>
    <m/>
    <m/>
  </r>
  <r>
    <x v="121"/>
    <x v="0"/>
    <s v="인스타그램(블로그)"/>
    <x v="0"/>
    <x v="0"/>
    <x v="0"/>
    <m/>
    <m/>
    <n v="50557"/>
    <m/>
    <m/>
    <m/>
  </r>
  <r>
    <x v="121"/>
    <x v="0"/>
    <s v="인스타그램(전환)"/>
    <x v="0"/>
    <x v="0"/>
    <x v="0"/>
    <m/>
    <m/>
    <n v="877355"/>
    <m/>
    <m/>
    <m/>
  </r>
  <r>
    <x v="121"/>
    <x v="0"/>
    <s v="인스타그램(소재 테스트)"/>
    <x v="1"/>
    <x v="0"/>
    <x v="14"/>
    <m/>
    <m/>
    <n v="20906"/>
    <m/>
    <m/>
    <m/>
  </r>
  <r>
    <x v="121"/>
    <x v="0"/>
    <s v="네이버 브랜드검색"/>
    <x v="0"/>
    <x v="0"/>
    <x v="0"/>
    <m/>
    <m/>
    <n v="40000"/>
    <m/>
    <m/>
    <m/>
  </r>
  <r>
    <x v="121"/>
    <x v="0"/>
    <s v="네이버 쇼핑검색"/>
    <x v="0"/>
    <x v="0"/>
    <x v="0"/>
    <m/>
    <m/>
    <n v="8860"/>
    <m/>
    <m/>
    <m/>
  </r>
  <r>
    <x v="122"/>
    <x v="2"/>
    <s v="인스타그램(랄라블라)"/>
    <x v="0"/>
    <x v="0"/>
    <x v="0"/>
    <m/>
    <m/>
    <n v="24943"/>
    <m/>
    <m/>
    <m/>
  </r>
  <r>
    <x v="122"/>
    <x v="2"/>
    <s v="인스타그램(블로그)"/>
    <x v="0"/>
    <x v="0"/>
    <x v="0"/>
    <m/>
    <m/>
    <n v="49605"/>
    <m/>
    <m/>
    <m/>
  </r>
  <r>
    <x v="122"/>
    <x v="2"/>
    <s v="인스타그램(전환)"/>
    <x v="0"/>
    <x v="0"/>
    <x v="0"/>
    <m/>
    <m/>
    <n v="884997"/>
    <m/>
    <m/>
    <m/>
  </r>
  <r>
    <x v="122"/>
    <x v="2"/>
    <s v="인스타그램(소재 테스트)"/>
    <x v="1"/>
    <x v="0"/>
    <x v="14"/>
    <m/>
    <m/>
    <n v="22089"/>
    <m/>
    <m/>
    <m/>
  </r>
  <r>
    <x v="122"/>
    <x v="2"/>
    <s v="네이버 브랜드검색"/>
    <x v="0"/>
    <x v="0"/>
    <x v="0"/>
    <m/>
    <m/>
    <n v="40000"/>
    <m/>
    <m/>
    <m/>
  </r>
  <r>
    <x v="122"/>
    <x v="2"/>
    <s v="네이버 쇼핑검색"/>
    <x v="0"/>
    <x v="0"/>
    <x v="0"/>
    <m/>
    <m/>
    <n v="5110"/>
    <m/>
    <m/>
    <m/>
  </r>
  <r>
    <x v="123"/>
    <x v="5"/>
    <s v="인스타그램(랄라블라)"/>
    <x v="0"/>
    <x v="0"/>
    <x v="0"/>
    <m/>
    <m/>
    <n v="25207"/>
    <m/>
    <m/>
    <m/>
  </r>
  <r>
    <x v="123"/>
    <x v="5"/>
    <s v="인스타그램(블로그)"/>
    <x v="0"/>
    <x v="0"/>
    <x v="0"/>
    <m/>
    <m/>
    <n v="51859"/>
    <m/>
    <m/>
    <m/>
  </r>
  <r>
    <x v="123"/>
    <x v="5"/>
    <s v="인스타그램(전환)"/>
    <x v="0"/>
    <x v="0"/>
    <x v="0"/>
    <m/>
    <m/>
    <n v="943975"/>
    <m/>
    <m/>
    <m/>
  </r>
  <r>
    <x v="123"/>
    <x v="5"/>
    <s v="네이버 브랜드검색"/>
    <x v="0"/>
    <x v="0"/>
    <x v="0"/>
    <m/>
    <m/>
    <n v="40000"/>
    <m/>
    <m/>
    <m/>
  </r>
  <r>
    <x v="123"/>
    <x v="5"/>
    <s v="네이버 쇼핑검색"/>
    <x v="0"/>
    <x v="0"/>
    <x v="0"/>
    <m/>
    <m/>
    <n v="4580"/>
    <m/>
    <m/>
    <m/>
  </r>
  <r>
    <x v="124"/>
    <x v="6"/>
    <s v="인스타그램(랄라블라)"/>
    <x v="0"/>
    <x v="0"/>
    <x v="0"/>
    <m/>
    <m/>
    <n v="25051"/>
    <m/>
    <m/>
    <m/>
  </r>
  <r>
    <x v="124"/>
    <x v="6"/>
    <s v="인스타그램(블로그)"/>
    <x v="0"/>
    <x v="0"/>
    <x v="0"/>
    <m/>
    <m/>
    <n v="50262"/>
    <m/>
    <m/>
    <m/>
  </r>
  <r>
    <x v="124"/>
    <x v="6"/>
    <s v="인스타그램(전환)"/>
    <x v="0"/>
    <x v="0"/>
    <x v="0"/>
    <m/>
    <m/>
    <n v="940952"/>
    <m/>
    <m/>
    <m/>
  </r>
  <r>
    <x v="124"/>
    <x v="6"/>
    <s v="네이버 브랜드검색"/>
    <x v="0"/>
    <x v="0"/>
    <x v="0"/>
    <m/>
    <m/>
    <n v="40000"/>
    <m/>
    <m/>
    <m/>
  </r>
  <r>
    <x v="124"/>
    <x v="6"/>
    <s v="네이버 쇼핑검색"/>
    <x v="0"/>
    <x v="0"/>
    <x v="0"/>
    <m/>
    <m/>
    <n v="5390"/>
    <m/>
    <m/>
    <m/>
  </r>
  <r>
    <x v="125"/>
    <x v="3"/>
    <s v="인스타그램(랄라블라)"/>
    <x v="0"/>
    <x v="0"/>
    <x v="0"/>
    <m/>
    <m/>
    <n v="24985"/>
    <m/>
    <m/>
    <m/>
  </r>
  <r>
    <x v="125"/>
    <x v="3"/>
    <s v="인스타그램(블로그)"/>
    <x v="0"/>
    <x v="0"/>
    <x v="0"/>
    <m/>
    <m/>
    <n v="48641"/>
    <m/>
    <m/>
    <m/>
  </r>
  <r>
    <x v="125"/>
    <x v="3"/>
    <s v="인스타그램(전환)"/>
    <x v="0"/>
    <x v="0"/>
    <x v="0"/>
    <m/>
    <m/>
    <n v="967479"/>
    <m/>
    <m/>
    <m/>
  </r>
  <r>
    <x v="125"/>
    <x v="3"/>
    <s v="네이버 브랜드검색"/>
    <x v="0"/>
    <x v="0"/>
    <x v="0"/>
    <m/>
    <m/>
    <n v="40000"/>
    <m/>
    <m/>
    <m/>
  </r>
  <r>
    <x v="125"/>
    <x v="3"/>
    <s v="네이버 쇼핑검색"/>
    <x v="0"/>
    <x v="0"/>
    <x v="0"/>
    <m/>
    <m/>
    <n v="3770"/>
    <m/>
    <m/>
    <m/>
  </r>
  <r>
    <x v="126"/>
    <x v="4"/>
    <s v="인스타그램(랄라블라)"/>
    <x v="0"/>
    <x v="0"/>
    <x v="0"/>
    <m/>
    <m/>
    <n v="24994"/>
    <m/>
    <m/>
    <m/>
  </r>
  <r>
    <x v="126"/>
    <x v="4"/>
    <s v="인스타그램(블로그)"/>
    <x v="0"/>
    <x v="0"/>
    <x v="0"/>
    <m/>
    <m/>
    <n v="49541"/>
    <m/>
    <m/>
    <m/>
  </r>
  <r>
    <x v="126"/>
    <x v="4"/>
    <s v="인스타그램(전환)"/>
    <x v="0"/>
    <x v="0"/>
    <x v="0"/>
    <m/>
    <m/>
    <n v="778733"/>
    <m/>
    <m/>
    <m/>
  </r>
  <r>
    <x v="126"/>
    <x v="4"/>
    <s v="네이버 브랜드검색"/>
    <x v="0"/>
    <x v="0"/>
    <x v="0"/>
    <m/>
    <m/>
    <n v="40000"/>
    <m/>
    <m/>
    <m/>
  </r>
  <r>
    <x v="126"/>
    <x v="4"/>
    <s v="네이버 쇼핑검색"/>
    <x v="0"/>
    <x v="0"/>
    <x v="0"/>
    <m/>
    <m/>
    <n v="2760"/>
    <m/>
    <m/>
    <m/>
  </r>
  <r>
    <x v="127"/>
    <x v="1"/>
    <s v="인스타그램(랄라블라)"/>
    <x v="0"/>
    <x v="0"/>
    <x v="0"/>
    <m/>
    <m/>
    <n v="24996"/>
    <m/>
    <m/>
    <m/>
  </r>
  <r>
    <x v="127"/>
    <x v="1"/>
    <s v="인스타그램(블로그)"/>
    <x v="0"/>
    <x v="0"/>
    <x v="0"/>
    <m/>
    <m/>
    <n v="49920"/>
    <m/>
    <m/>
    <m/>
  </r>
  <r>
    <x v="127"/>
    <x v="1"/>
    <s v="인스타그램(전환)"/>
    <x v="0"/>
    <x v="0"/>
    <x v="0"/>
    <m/>
    <m/>
    <n v="783943"/>
    <m/>
    <m/>
    <m/>
  </r>
  <r>
    <x v="127"/>
    <x v="1"/>
    <s v="네이버 브랜드검색"/>
    <x v="0"/>
    <x v="0"/>
    <x v="0"/>
    <m/>
    <m/>
    <n v="40000"/>
    <m/>
    <m/>
    <m/>
  </r>
  <r>
    <x v="127"/>
    <x v="1"/>
    <s v="네이버 쇼핑검색"/>
    <x v="0"/>
    <x v="0"/>
    <x v="0"/>
    <m/>
    <m/>
    <n v="2300"/>
    <m/>
    <m/>
    <m/>
  </r>
  <r>
    <x v="128"/>
    <x v="0"/>
    <s v="인스타그램(랄라블라)"/>
    <x v="0"/>
    <x v="0"/>
    <x v="0"/>
    <m/>
    <m/>
    <n v="23266"/>
    <m/>
    <m/>
    <m/>
  </r>
  <r>
    <x v="128"/>
    <x v="0"/>
    <s v="인스타그램(블로그)"/>
    <x v="0"/>
    <x v="0"/>
    <x v="0"/>
    <m/>
    <m/>
    <n v="49386"/>
    <m/>
    <m/>
    <m/>
  </r>
  <r>
    <x v="128"/>
    <x v="0"/>
    <s v="인스타그램(전환)"/>
    <x v="0"/>
    <x v="0"/>
    <x v="0"/>
    <m/>
    <m/>
    <n v="783018"/>
    <m/>
    <m/>
    <m/>
  </r>
  <r>
    <x v="128"/>
    <x v="0"/>
    <s v="네이버 브랜드검색"/>
    <x v="0"/>
    <x v="0"/>
    <x v="0"/>
    <m/>
    <m/>
    <n v="40000"/>
    <m/>
    <m/>
    <m/>
  </r>
  <r>
    <x v="128"/>
    <x v="0"/>
    <s v="네이버 쇼핑검색"/>
    <x v="0"/>
    <x v="0"/>
    <x v="0"/>
    <m/>
    <m/>
    <n v="1420"/>
    <m/>
    <m/>
    <m/>
  </r>
  <r>
    <x v="129"/>
    <x v="2"/>
    <s v="인스타그램(랄라블라)"/>
    <x v="0"/>
    <x v="0"/>
    <x v="0"/>
    <m/>
    <m/>
    <n v="25901"/>
    <m/>
    <m/>
    <m/>
  </r>
  <r>
    <x v="129"/>
    <x v="2"/>
    <s v="인스타그램(블로그)"/>
    <x v="0"/>
    <x v="0"/>
    <x v="0"/>
    <m/>
    <m/>
    <n v="49270"/>
    <m/>
    <m/>
    <m/>
  </r>
  <r>
    <x v="129"/>
    <x v="2"/>
    <s v="인스타그램(전환)"/>
    <x v="1"/>
    <x v="0"/>
    <x v="0"/>
    <m/>
    <m/>
    <n v="67166"/>
    <m/>
    <m/>
    <m/>
  </r>
  <r>
    <x v="129"/>
    <x v="2"/>
    <s v="인스타그램(리타게팅 전환)"/>
    <x v="1"/>
    <x v="0"/>
    <x v="0"/>
    <m/>
    <m/>
    <n v="32275"/>
    <m/>
    <m/>
    <m/>
  </r>
  <r>
    <x v="129"/>
    <x v="2"/>
    <s v="인스타그램(전환)"/>
    <x v="0"/>
    <x v="0"/>
    <x v="0"/>
    <m/>
    <m/>
    <n v="810349"/>
    <m/>
    <m/>
    <m/>
  </r>
  <r>
    <x v="129"/>
    <x v="2"/>
    <s v="네이버 브랜드검색"/>
    <x v="0"/>
    <x v="0"/>
    <x v="0"/>
    <m/>
    <m/>
    <n v="40000"/>
    <m/>
    <m/>
    <m/>
  </r>
  <r>
    <x v="129"/>
    <x v="2"/>
    <s v="네이버 쇼핑검색"/>
    <x v="0"/>
    <x v="0"/>
    <x v="0"/>
    <m/>
    <m/>
    <n v="2900"/>
    <m/>
    <m/>
    <m/>
  </r>
  <r>
    <x v="130"/>
    <x v="5"/>
    <s v="인스타그램(랄라블라)"/>
    <x v="0"/>
    <x v="0"/>
    <x v="0"/>
    <m/>
    <m/>
    <n v="25807"/>
    <m/>
    <m/>
    <m/>
  </r>
  <r>
    <x v="130"/>
    <x v="5"/>
    <s v="인스타그램(블로그)"/>
    <x v="0"/>
    <x v="0"/>
    <x v="0"/>
    <m/>
    <m/>
    <n v="52980"/>
    <m/>
    <m/>
    <m/>
  </r>
  <r>
    <x v="130"/>
    <x v="5"/>
    <s v="인스타그램(전환)"/>
    <x v="0"/>
    <x v="0"/>
    <x v="0"/>
    <m/>
    <m/>
    <n v="834251"/>
    <m/>
    <m/>
    <m/>
  </r>
  <r>
    <x v="130"/>
    <x v="5"/>
    <s v="네이버 브랜드검색"/>
    <x v="0"/>
    <x v="0"/>
    <x v="0"/>
    <m/>
    <m/>
    <n v="40000"/>
    <m/>
    <m/>
    <m/>
  </r>
  <r>
    <x v="130"/>
    <x v="5"/>
    <s v="네이버 쇼핑검색"/>
    <x v="0"/>
    <x v="0"/>
    <x v="0"/>
    <m/>
    <m/>
    <n v="3510"/>
    <m/>
    <m/>
    <m/>
  </r>
  <r>
    <x v="131"/>
    <x v="6"/>
    <s v="인스타그램(랄라블라)"/>
    <x v="0"/>
    <x v="0"/>
    <x v="0"/>
    <m/>
    <m/>
    <n v="25052"/>
    <m/>
    <m/>
    <m/>
  </r>
  <r>
    <x v="131"/>
    <x v="6"/>
    <s v="인스타그램(블로그)"/>
    <x v="0"/>
    <x v="0"/>
    <x v="0"/>
    <m/>
    <m/>
    <n v="50187"/>
    <m/>
    <m/>
    <m/>
  </r>
  <r>
    <x v="131"/>
    <x v="6"/>
    <s v="인스타그램(전환)"/>
    <x v="0"/>
    <x v="0"/>
    <x v="0"/>
    <m/>
    <m/>
    <n v="948018"/>
    <m/>
    <m/>
    <m/>
  </r>
  <r>
    <x v="131"/>
    <x v="6"/>
    <s v="네이버 브랜드검색"/>
    <x v="0"/>
    <x v="0"/>
    <x v="0"/>
    <m/>
    <m/>
    <n v="40000"/>
    <m/>
    <m/>
    <m/>
  </r>
  <r>
    <x v="131"/>
    <x v="6"/>
    <s v="네이버 쇼핑검색"/>
    <x v="0"/>
    <x v="0"/>
    <x v="0"/>
    <m/>
    <m/>
    <n v="1890"/>
    <m/>
    <m/>
    <m/>
  </r>
  <r>
    <x v="132"/>
    <x v="3"/>
    <s v="인스타그램(랄라블라)"/>
    <x v="0"/>
    <x v="0"/>
    <x v="0"/>
    <m/>
    <m/>
    <n v="25007"/>
    <m/>
    <m/>
    <m/>
  </r>
  <r>
    <x v="132"/>
    <x v="3"/>
    <s v="인스타그램(블로그)"/>
    <x v="0"/>
    <x v="0"/>
    <x v="0"/>
    <m/>
    <m/>
    <n v="48782"/>
    <m/>
    <m/>
    <m/>
  </r>
  <r>
    <x v="132"/>
    <x v="3"/>
    <s v="인스타그램(전환)"/>
    <x v="1"/>
    <x v="0"/>
    <x v="0"/>
    <m/>
    <m/>
    <n v="113411"/>
    <m/>
    <m/>
    <m/>
  </r>
  <r>
    <x v="132"/>
    <x v="3"/>
    <s v="인스타그램(리타게팅 전환)"/>
    <x v="1"/>
    <x v="0"/>
    <x v="0"/>
    <m/>
    <m/>
    <n v="57142"/>
    <m/>
    <m/>
    <m/>
  </r>
  <r>
    <x v="132"/>
    <x v="3"/>
    <s v="인스타그램(전환)"/>
    <x v="0"/>
    <x v="0"/>
    <x v="0"/>
    <m/>
    <m/>
    <n v="861713"/>
    <m/>
    <m/>
    <m/>
  </r>
  <r>
    <x v="132"/>
    <x v="3"/>
    <s v="네이버 브랜드검색"/>
    <x v="0"/>
    <x v="0"/>
    <x v="0"/>
    <m/>
    <m/>
    <n v="40000"/>
    <m/>
    <m/>
    <m/>
  </r>
  <r>
    <x v="132"/>
    <x v="3"/>
    <s v="네이버 쇼핑검색"/>
    <x v="0"/>
    <x v="0"/>
    <x v="0"/>
    <m/>
    <m/>
    <n v="5060"/>
    <m/>
    <m/>
    <m/>
  </r>
  <r>
    <x v="133"/>
    <x v="4"/>
    <s v="인스타그램(랄라블라)"/>
    <x v="0"/>
    <x v="0"/>
    <x v="0"/>
    <m/>
    <m/>
    <n v="25031"/>
    <m/>
    <m/>
    <m/>
  </r>
  <r>
    <x v="133"/>
    <x v="4"/>
    <s v="인스타그램(블로그)"/>
    <x v="0"/>
    <x v="0"/>
    <x v="0"/>
    <m/>
    <m/>
    <n v="50367"/>
    <m/>
    <m/>
    <m/>
  </r>
  <r>
    <x v="133"/>
    <x v="4"/>
    <s v="인스타그램(전환)"/>
    <x v="1"/>
    <x v="0"/>
    <x v="0"/>
    <m/>
    <m/>
    <n v="115027"/>
    <m/>
    <m/>
    <m/>
  </r>
  <r>
    <x v="133"/>
    <x v="4"/>
    <s v="인스타그램(리타게팅 전환)"/>
    <x v="1"/>
    <x v="0"/>
    <x v="0"/>
    <m/>
    <m/>
    <n v="79711"/>
    <m/>
    <m/>
    <m/>
  </r>
  <r>
    <x v="133"/>
    <x v="4"/>
    <s v="인스타그램(전환)"/>
    <x v="0"/>
    <x v="0"/>
    <x v="0"/>
    <m/>
    <m/>
    <n v="1046622"/>
    <m/>
    <m/>
    <m/>
  </r>
  <r>
    <x v="133"/>
    <x v="4"/>
    <s v="네이버 브랜드검색"/>
    <x v="0"/>
    <x v="0"/>
    <x v="0"/>
    <m/>
    <m/>
    <n v="40000"/>
    <m/>
    <m/>
    <m/>
  </r>
  <r>
    <x v="133"/>
    <x v="4"/>
    <s v="네이버 쇼핑검색"/>
    <x v="0"/>
    <x v="0"/>
    <x v="0"/>
    <m/>
    <m/>
    <n v="7399.999999999999"/>
    <m/>
    <m/>
    <m/>
  </r>
  <r>
    <x v="134"/>
    <x v="1"/>
    <s v="인스타그램(랄라블라)"/>
    <x v="0"/>
    <x v="0"/>
    <x v="0"/>
    <m/>
    <m/>
    <n v="24956"/>
    <m/>
    <m/>
    <m/>
  </r>
  <r>
    <x v="134"/>
    <x v="1"/>
    <s v="인스타그램(블로그)"/>
    <x v="0"/>
    <x v="0"/>
    <x v="0"/>
    <m/>
    <m/>
    <n v="49536"/>
    <m/>
    <m/>
    <m/>
  </r>
  <r>
    <x v="134"/>
    <x v="1"/>
    <s v="인스타그램(전환)"/>
    <x v="1"/>
    <x v="0"/>
    <x v="0"/>
    <m/>
    <m/>
    <n v="128474"/>
    <m/>
    <m/>
    <m/>
  </r>
  <r>
    <x v="134"/>
    <x v="1"/>
    <s v="인스타그램(리타게팅 전환)"/>
    <x v="1"/>
    <x v="0"/>
    <x v="0"/>
    <m/>
    <m/>
    <n v="95244"/>
    <m/>
    <m/>
    <m/>
  </r>
  <r>
    <x v="134"/>
    <x v="1"/>
    <s v="인스타그램(전환)"/>
    <x v="0"/>
    <x v="0"/>
    <x v="0"/>
    <m/>
    <m/>
    <n v="1273431"/>
    <m/>
    <m/>
    <m/>
  </r>
  <r>
    <x v="134"/>
    <x v="1"/>
    <s v="네이버 브랜드검색"/>
    <x v="0"/>
    <x v="0"/>
    <x v="0"/>
    <m/>
    <m/>
    <n v="40000"/>
    <m/>
    <m/>
    <m/>
  </r>
  <r>
    <x v="134"/>
    <x v="1"/>
    <s v="네이버 쇼핑검색"/>
    <x v="0"/>
    <x v="0"/>
    <x v="0"/>
    <m/>
    <m/>
    <n v="6149.999999999999"/>
    <m/>
    <m/>
    <m/>
  </r>
  <r>
    <x v="135"/>
    <x v="0"/>
    <s v="인스타그램(랄라블라)"/>
    <x v="0"/>
    <x v="0"/>
    <x v="0"/>
    <m/>
    <m/>
    <n v="24314"/>
    <m/>
    <m/>
    <m/>
  </r>
  <r>
    <x v="135"/>
    <x v="0"/>
    <s v="인스타그램(블로그)"/>
    <x v="0"/>
    <x v="0"/>
    <x v="0"/>
    <m/>
    <m/>
    <n v="48891"/>
    <m/>
    <m/>
    <m/>
  </r>
  <r>
    <x v="135"/>
    <x v="0"/>
    <s v="인스타그램(전환)"/>
    <x v="1"/>
    <x v="0"/>
    <x v="0"/>
    <m/>
    <m/>
    <n v="141392"/>
    <m/>
    <m/>
    <m/>
  </r>
  <r>
    <x v="135"/>
    <x v="0"/>
    <s v="인스타그램(리타게팅 전환)"/>
    <x v="1"/>
    <x v="0"/>
    <x v="0"/>
    <m/>
    <m/>
    <n v="96100"/>
    <m/>
    <m/>
    <m/>
  </r>
  <r>
    <x v="135"/>
    <x v="0"/>
    <s v="인스타그램(전환)"/>
    <x v="0"/>
    <x v="0"/>
    <x v="0"/>
    <m/>
    <m/>
    <n v="977869"/>
    <m/>
    <m/>
    <m/>
  </r>
  <r>
    <x v="135"/>
    <x v="0"/>
    <s v="네이버 브랜드검색"/>
    <x v="0"/>
    <x v="0"/>
    <x v="0"/>
    <m/>
    <m/>
    <n v="40000"/>
    <m/>
    <m/>
    <m/>
  </r>
  <r>
    <x v="135"/>
    <x v="0"/>
    <s v="네이버 쇼핑검색"/>
    <x v="0"/>
    <x v="0"/>
    <x v="0"/>
    <m/>
    <m/>
    <n v="7049.999999999999"/>
    <m/>
    <m/>
    <m/>
  </r>
  <r>
    <x v="136"/>
    <x v="2"/>
    <s v="인스타그램(랄라블라)"/>
    <x v="0"/>
    <x v="0"/>
    <x v="0"/>
    <m/>
    <m/>
    <n v="25092"/>
    <m/>
    <m/>
    <m/>
  </r>
  <r>
    <x v="136"/>
    <x v="2"/>
    <s v="인스타그램(블로그)"/>
    <x v="0"/>
    <x v="0"/>
    <x v="0"/>
    <m/>
    <m/>
    <n v="49140"/>
    <m/>
    <m/>
    <m/>
  </r>
  <r>
    <x v="136"/>
    <x v="2"/>
    <s v="인스타그램(전환)"/>
    <x v="1"/>
    <x v="0"/>
    <x v="0"/>
    <m/>
    <m/>
    <n v="141363"/>
    <m/>
    <m/>
    <m/>
  </r>
  <r>
    <x v="136"/>
    <x v="2"/>
    <s v="인스타그램(리타게팅 전환)"/>
    <x v="1"/>
    <x v="0"/>
    <x v="0"/>
    <m/>
    <m/>
    <n v="97370"/>
    <m/>
    <m/>
    <m/>
  </r>
  <r>
    <x v="136"/>
    <x v="2"/>
    <s v="인스타그램(전환)"/>
    <x v="0"/>
    <x v="0"/>
    <x v="0"/>
    <m/>
    <m/>
    <n v="915783"/>
    <m/>
    <m/>
    <m/>
  </r>
  <r>
    <x v="136"/>
    <x v="2"/>
    <s v="네이버 브랜드검색"/>
    <x v="0"/>
    <x v="0"/>
    <x v="0"/>
    <m/>
    <m/>
    <n v="40000"/>
    <m/>
    <m/>
    <m/>
  </r>
  <r>
    <x v="136"/>
    <x v="2"/>
    <s v="네이버 쇼핑검색"/>
    <x v="0"/>
    <x v="0"/>
    <x v="0"/>
    <m/>
    <m/>
    <n v="4470"/>
    <m/>
    <m/>
    <m/>
  </r>
  <r>
    <x v="137"/>
    <x v="5"/>
    <s v="인스타그램(랄라블라)"/>
    <x v="0"/>
    <x v="0"/>
    <x v="0"/>
    <m/>
    <m/>
    <n v="25548"/>
    <m/>
    <m/>
    <m/>
  </r>
  <r>
    <x v="137"/>
    <x v="5"/>
    <s v="인스타그램(블로그)"/>
    <x v="0"/>
    <x v="0"/>
    <x v="0"/>
    <m/>
    <m/>
    <n v="53097"/>
    <m/>
    <m/>
    <m/>
  </r>
  <r>
    <x v="137"/>
    <x v="5"/>
    <s v="인스타그램(전환)"/>
    <x v="1"/>
    <x v="0"/>
    <x v="0"/>
    <m/>
    <m/>
    <n v="154516"/>
    <m/>
    <m/>
    <m/>
  </r>
  <r>
    <x v="137"/>
    <x v="5"/>
    <s v="인스타그램(리타게팅 전환)"/>
    <x v="1"/>
    <x v="0"/>
    <x v="0"/>
    <m/>
    <m/>
    <n v="104333"/>
    <m/>
    <m/>
    <m/>
  </r>
  <r>
    <x v="137"/>
    <x v="5"/>
    <s v="인스타그램(전환)"/>
    <x v="0"/>
    <x v="0"/>
    <x v="0"/>
    <m/>
    <m/>
    <n v="860913"/>
    <m/>
    <m/>
    <m/>
  </r>
  <r>
    <x v="137"/>
    <x v="5"/>
    <s v="네이버 브랜드검색"/>
    <x v="0"/>
    <x v="0"/>
    <x v="0"/>
    <m/>
    <m/>
    <n v="40000"/>
    <m/>
    <m/>
    <m/>
  </r>
  <r>
    <x v="137"/>
    <x v="5"/>
    <s v="네이버 쇼핑검색"/>
    <x v="0"/>
    <x v="0"/>
    <x v="0"/>
    <m/>
    <m/>
    <n v="4030"/>
    <m/>
    <m/>
    <m/>
  </r>
  <r>
    <x v="138"/>
    <x v="6"/>
    <s v="인스타그램(랄라블라)"/>
    <x v="0"/>
    <x v="0"/>
    <x v="0"/>
    <m/>
    <m/>
    <n v="25036"/>
    <m/>
    <m/>
    <m/>
  </r>
  <r>
    <x v="138"/>
    <x v="6"/>
    <s v="인스타그램(블로그)"/>
    <x v="0"/>
    <x v="0"/>
    <x v="0"/>
    <m/>
    <m/>
    <n v="50151"/>
    <m/>
    <m/>
    <m/>
  </r>
  <r>
    <x v="138"/>
    <x v="6"/>
    <s v="인스타그램(전환)"/>
    <x v="1"/>
    <x v="0"/>
    <x v="0"/>
    <m/>
    <m/>
    <n v="150810"/>
    <m/>
    <m/>
    <m/>
  </r>
  <r>
    <x v="138"/>
    <x v="6"/>
    <s v="인스타그램(리타게팅 전환)"/>
    <x v="1"/>
    <x v="0"/>
    <x v="0"/>
    <m/>
    <m/>
    <n v="100567"/>
    <m/>
    <m/>
    <m/>
  </r>
  <r>
    <x v="138"/>
    <x v="6"/>
    <s v="인스타그램(전환)"/>
    <x v="0"/>
    <x v="0"/>
    <x v="0"/>
    <m/>
    <m/>
    <n v="801780"/>
    <m/>
    <m/>
    <m/>
  </r>
  <r>
    <x v="138"/>
    <x v="6"/>
    <s v="네이버 브랜드검색"/>
    <x v="0"/>
    <x v="0"/>
    <x v="0"/>
    <m/>
    <m/>
    <n v="40000"/>
    <m/>
    <m/>
    <m/>
  </r>
  <r>
    <x v="138"/>
    <x v="6"/>
    <s v="네이버 쇼핑검색"/>
    <x v="0"/>
    <x v="0"/>
    <x v="0"/>
    <m/>
    <m/>
    <n v="3150"/>
    <m/>
    <m/>
    <m/>
  </r>
  <r>
    <x v="139"/>
    <x v="3"/>
    <s v="인스타그램(랄라블라)"/>
    <x v="0"/>
    <x v="0"/>
    <x v="0"/>
    <m/>
    <m/>
    <n v="25062"/>
    <m/>
    <m/>
    <m/>
  </r>
  <r>
    <x v="139"/>
    <x v="3"/>
    <s v="인스타그램(블로그)"/>
    <x v="0"/>
    <x v="0"/>
    <x v="0"/>
    <m/>
    <m/>
    <n v="48554"/>
    <m/>
    <m/>
    <m/>
  </r>
  <r>
    <x v="139"/>
    <x v="3"/>
    <s v="인스타그램(전환)"/>
    <x v="1"/>
    <x v="0"/>
    <x v="0"/>
    <m/>
    <m/>
    <n v="145221"/>
    <m/>
    <m/>
    <m/>
  </r>
  <r>
    <x v="139"/>
    <x v="3"/>
    <s v="인스타그램(리타게팅 전환)"/>
    <x v="1"/>
    <x v="0"/>
    <x v="0"/>
    <m/>
    <m/>
    <n v="97916"/>
    <m/>
    <m/>
    <m/>
  </r>
  <r>
    <x v="139"/>
    <x v="3"/>
    <s v="인스타그램(전환)"/>
    <x v="0"/>
    <x v="0"/>
    <x v="0"/>
    <m/>
    <m/>
    <n v="785804"/>
    <m/>
    <m/>
    <m/>
  </r>
  <r>
    <x v="139"/>
    <x v="3"/>
    <s v="네이버 브랜드검색"/>
    <x v="0"/>
    <x v="0"/>
    <x v="0"/>
    <m/>
    <m/>
    <n v="40000"/>
    <m/>
    <m/>
    <m/>
  </r>
  <r>
    <x v="139"/>
    <x v="3"/>
    <s v="네이버 쇼핑검색"/>
    <x v="0"/>
    <x v="0"/>
    <x v="0"/>
    <m/>
    <m/>
    <n v="2980"/>
    <m/>
    <m/>
    <m/>
  </r>
  <r>
    <x v="140"/>
    <x v="4"/>
    <s v="인스타그램(랄라블라)"/>
    <x v="0"/>
    <x v="0"/>
    <x v="0"/>
    <m/>
    <m/>
    <n v="24148"/>
    <m/>
    <m/>
    <m/>
  </r>
  <r>
    <x v="140"/>
    <x v="4"/>
    <s v="인스타그램(블로그)"/>
    <x v="0"/>
    <x v="0"/>
    <x v="0"/>
    <m/>
    <m/>
    <n v="49801"/>
    <m/>
    <m/>
    <m/>
  </r>
  <r>
    <x v="140"/>
    <x v="4"/>
    <s v="인스타그램(전환)"/>
    <x v="1"/>
    <x v="0"/>
    <x v="0"/>
    <m/>
    <m/>
    <n v="148874"/>
    <m/>
    <m/>
    <m/>
  </r>
  <r>
    <x v="140"/>
    <x v="4"/>
    <s v="인스타그램(리타게팅 전환)"/>
    <x v="1"/>
    <x v="0"/>
    <x v="0"/>
    <m/>
    <m/>
    <n v="99182"/>
    <m/>
    <m/>
    <m/>
  </r>
  <r>
    <x v="140"/>
    <x v="4"/>
    <s v="인스타그램(전환)"/>
    <x v="0"/>
    <x v="0"/>
    <x v="0"/>
    <m/>
    <m/>
    <n v="816053"/>
    <m/>
    <m/>
    <m/>
  </r>
  <r>
    <x v="140"/>
    <x v="4"/>
    <s v="네이버 브랜드검색"/>
    <x v="0"/>
    <x v="0"/>
    <x v="0"/>
    <m/>
    <m/>
    <n v="40000"/>
    <m/>
    <m/>
    <m/>
  </r>
  <r>
    <x v="140"/>
    <x v="4"/>
    <s v="네이버 쇼핑검색"/>
    <x v="0"/>
    <x v="0"/>
    <x v="0"/>
    <m/>
    <m/>
    <n v="11840"/>
    <m/>
    <m/>
    <m/>
  </r>
  <r>
    <x v="141"/>
    <x v="1"/>
    <s v="인스타그램(랄라블라)"/>
    <x v="0"/>
    <x v="0"/>
    <x v="0"/>
    <m/>
    <m/>
    <n v="24705"/>
    <m/>
    <m/>
    <m/>
  </r>
  <r>
    <x v="141"/>
    <x v="1"/>
    <s v="인스타그램(블로그)"/>
    <x v="0"/>
    <x v="0"/>
    <x v="0"/>
    <m/>
    <m/>
    <n v="49139"/>
    <m/>
    <m/>
    <m/>
  </r>
  <r>
    <x v="141"/>
    <x v="1"/>
    <s v="인스타그램(전환)"/>
    <x v="1"/>
    <x v="0"/>
    <x v="0"/>
    <m/>
    <m/>
    <n v="147403"/>
    <m/>
    <m/>
    <m/>
  </r>
  <r>
    <x v="141"/>
    <x v="1"/>
    <s v="인스타그램(리타게팅 전환)"/>
    <x v="1"/>
    <x v="0"/>
    <x v="0"/>
    <m/>
    <m/>
    <n v="98531"/>
    <m/>
    <m/>
    <m/>
  </r>
  <r>
    <x v="141"/>
    <x v="1"/>
    <s v="인스타그램(전환)"/>
    <x v="0"/>
    <x v="0"/>
    <x v="0"/>
    <m/>
    <m/>
    <n v="955570"/>
    <m/>
    <m/>
    <m/>
  </r>
  <r>
    <x v="141"/>
    <x v="1"/>
    <s v="네이버 브랜드검색"/>
    <x v="0"/>
    <x v="0"/>
    <x v="0"/>
    <m/>
    <m/>
    <n v="40000"/>
    <m/>
    <m/>
    <m/>
  </r>
  <r>
    <x v="141"/>
    <x v="1"/>
    <s v="네이버 쇼핑검색"/>
    <x v="0"/>
    <x v="0"/>
    <x v="0"/>
    <m/>
    <m/>
    <n v="12530"/>
    <m/>
    <m/>
    <m/>
  </r>
  <r>
    <x v="142"/>
    <x v="0"/>
    <s v="인스타그램(랄라블라)"/>
    <x v="0"/>
    <x v="0"/>
    <x v="0"/>
    <m/>
    <m/>
    <n v="25396"/>
    <m/>
    <m/>
    <m/>
  </r>
  <r>
    <x v="142"/>
    <x v="0"/>
    <s v="인스타그램(블로그)"/>
    <x v="0"/>
    <x v="0"/>
    <x v="0"/>
    <m/>
    <m/>
    <n v="49969"/>
    <m/>
    <m/>
    <m/>
  </r>
  <r>
    <x v="142"/>
    <x v="0"/>
    <s v="인스타그램(전환)"/>
    <x v="1"/>
    <x v="0"/>
    <x v="0"/>
    <m/>
    <m/>
    <n v="152714"/>
    <m/>
    <m/>
    <m/>
  </r>
  <r>
    <x v="142"/>
    <x v="0"/>
    <s v="인스타그램(리타게팅 전환)"/>
    <x v="1"/>
    <x v="0"/>
    <x v="0"/>
    <m/>
    <m/>
    <n v="100943"/>
    <m/>
    <m/>
    <m/>
  </r>
  <r>
    <x v="142"/>
    <x v="0"/>
    <s v="페이스북(전환)"/>
    <x v="0"/>
    <x v="0"/>
    <x v="0"/>
    <m/>
    <m/>
    <n v="117740"/>
    <m/>
    <m/>
    <m/>
  </r>
  <r>
    <x v="142"/>
    <x v="0"/>
    <s v="인스타그램(전환)"/>
    <x v="0"/>
    <x v="0"/>
    <x v="0"/>
    <m/>
    <m/>
    <n v="986135"/>
    <m/>
    <m/>
    <m/>
  </r>
  <r>
    <x v="142"/>
    <x v="0"/>
    <s v="네이버 브랜드검색"/>
    <x v="0"/>
    <x v="0"/>
    <x v="0"/>
    <m/>
    <m/>
    <n v="40000"/>
    <m/>
    <m/>
    <m/>
  </r>
  <r>
    <x v="142"/>
    <x v="0"/>
    <s v="네이버 쇼핑검색"/>
    <x v="0"/>
    <x v="0"/>
    <x v="0"/>
    <m/>
    <m/>
    <n v="8520"/>
    <m/>
    <m/>
    <m/>
  </r>
  <r>
    <x v="143"/>
    <x v="2"/>
    <s v="인스타그램(랄라블라)"/>
    <x v="0"/>
    <x v="0"/>
    <x v="0"/>
    <m/>
    <m/>
    <n v="23660"/>
    <m/>
    <m/>
    <m/>
  </r>
  <r>
    <x v="143"/>
    <x v="2"/>
    <s v="인스타그램(블로그)"/>
    <x v="0"/>
    <x v="0"/>
    <x v="0"/>
    <m/>
    <m/>
    <n v="49631"/>
    <m/>
    <m/>
    <m/>
  </r>
  <r>
    <x v="143"/>
    <x v="2"/>
    <s v="인스타그램(전환)"/>
    <x v="1"/>
    <x v="0"/>
    <x v="0"/>
    <m/>
    <m/>
    <n v="148239"/>
    <m/>
    <m/>
    <m/>
  </r>
  <r>
    <x v="143"/>
    <x v="2"/>
    <s v="인스타그램(리타게팅 전환)"/>
    <x v="1"/>
    <x v="0"/>
    <x v="0"/>
    <m/>
    <m/>
    <n v="99950"/>
    <m/>
    <m/>
    <m/>
  </r>
  <r>
    <x v="143"/>
    <x v="2"/>
    <s v="페이스북(전환)"/>
    <x v="0"/>
    <x v="0"/>
    <x v="0"/>
    <m/>
    <m/>
    <n v="116341"/>
    <m/>
    <m/>
    <m/>
  </r>
  <r>
    <x v="143"/>
    <x v="2"/>
    <s v="인스타그램(전환)"/>
    <x v="0"/>
    <x v="0"/>
    <x v="0"/>
    <m/>
    <m/>
    <n v="977618"/>
    <m/>
    <m/>
    <m/>
  </r>
  <r>
    <x v="143"/>
    <x v="2"/>
    <s v="네이버 브랜드검색"/>
    <x v="0"/>
    <x v="0"/>
    <x v="0"/>
    <m/>
    <m/>
    <n v="40000"/>
    <m/>
    <m/>
    <m/>
  </r>
  <r>
    <x v="143"/>
    <x v="2"/>
    <s v="네이버 쇼핑검색"/>
    <x v="0"/>
    <x v="0"/>
    <x v="0"/>
    <m/>
    <m/>
    <n v="4580"/>
    <m/>
    <m/>
    <m/>
  </r>
  <r>
    <x v="144"/>
    <x v="5"/>
    <s v="인스타그램(랄라블라)"/>
    <x v="0"/>
    <x v="0"/>
    <x v="0"/>
    <m/>
    <m/>
    <n v="26992"/>
    <m/>
    <m/>
    <m/>
  </r>
  <r>
    <x v="144"/>
    <x v="5"/>
    <s v="인스타그램(블로그)"/>
    <x v="0"/>
    <x v="0"/>
    <x v="0"/>
    <m/>
    <m/>
    <n v="52753"/>
    <m/>
    <m/>
    <m/>
  </r>
  <r>
    <x v="144"/>
    <x v="5"/>
    <s v="인스타그램(전환)"/>
    <x v="1"/>
    <x v="0"/>
    <x v="0"/>
    <m/>
    <m/>
    <n v="156739"/>
    <m/>
    <m/>
    <m/>
  </r>
  <r>
    <x v="144"/>
    <x v="5"/>
    <s v="인스타그램(리타게팅 전환)"/>
    <x v="1"/>
    <x v="0"/>
    <x v="0"/>
    <m/>
    <m/>
    <n v="102911"/>
    <m/>
    <m/>
    <m/>
  </r>
  <r>
    <x v="144"/>
    <x v="5"/>
    <s v="페이스북(전환)"/>
    <x v="0"/>
    <x v="0"/>
    <x v="0"/>
    <m/>
    <m/>
    <n v="116977"/>
    <m/>
    <m/>
    <m/>
  </r>
  <r>
    <x v="144"/>
    <x v="5"/>
    <s v="인스타그램(전환)"/>
    <x v="0"/>
    <x v="0"/>
    <x v="0"/>
    <m/>
    <m/>
    <n v="1038014"/>
    <m/>
    <m/>
    <m/>
  </r>
  <r>
    <x v="144"/>
    <x v="5"/>
    <s v="네이버 브랜드검색"/>
    <x v="0"/>
    <x v="0"/>
    <x v="0"/>
    <m/>
    <m/>
    <n v="40000"/>
    <m/>
    <m/>
    <m/>
  </r>
  <r>
    <x v="144"/>
    <x v="5"/>
    <s v="네이버 쇼핑검색"/>
    <x v="0"/>
    <x v="0"/>
    <x v="0"/>
    <m/>
    <m/>
    <n v="4530"/>
    <m/>
    <m/>
    <m/>
  </r>
  <r>
    <x v="145"/>
    <x v="6"/>
    <s v="인스타그램(랄라블라)"/>
    <x v="0"/>
    <x v="0"/>
    <x v="0"/>
    <m/>
    <m/>
    <n v="25049"/>
    <m/>
    <m/>
    <m/>
  </r>
  <r>
    <x v="145"/>
    <x v="6"/>
    <s v="인스타그램(블로그)"/>
    <x v="0"/>
    <x v="0"/>
    <x v="0"/>
    <m/>
    <m/>
    <n v="50231"/>
    <m/>
    <m/>
    <m/>
  </r>
  <r>
    <x v="145"/>
    <x v="6"/>
    <s v="인스타그램(전환)"/>
    <x v="1"/>
    <x v="0"/>
    <x v="0"/>
    <m/>
    <m/>
    <n v="150432"/>
    <m/>
    <m/>
    <m/>
  </r>
  <r>
    <x v="145"/>
    <x v="6"/>
    <s v="인스타그램(리타게팅 전환)"/>
    <x v="1"/>
    <x v="0"/>
    <x v="0"/>
    <m/>
    <m/>
    <n v="100276"/>
    <m/>
    <m/>
    <m/>
  </r>
  <r>
    <x v="145"/>
    <x v="6"/>
    <s v="페이스북(전환)"/>
    <x v="0"/>
    <x v="0"/>
    <x v="0"/>
    <m/>
    <m/>
    <n v="102044"/>
    <m/>
    <m/>
    <m/>
  </r>
  <r>
    <x v="145"/>
    <x v="6"/>
    <s v="인스타그램(전환)"/>
    <x v="0"/>
    <x v="0"/>
    <x v="0"/>
    <m/>
    <m/>
    <n v="1156344"/>
    <m/>
    <m/>
    <m/>
  </r>
  <r>
    <x v="145"/>
    <x v="6"/>
    <s v="네이버 브랜드검색"/>
    <x v="0"/>
    <x v="0"/>
    <x v="0"/>
    <m/>
    <m/>
    <n v="40000"/>
    <m/>
    <m/>
    <m/>
  </r>
  <r>
    <x v="145"/>
    <x v="6"/>
    <s v="네이버 쇼핑검색"/>
    <x v="0"/>
    <x v="0"/>
    <x v="0"/>
    <m/>
    <m/>
    <n v="8410"/>
    <m/>
    <m/>
    <m/>
  </r>
  <r>
    <x v="146"/>
    <x v="3"/>
    <s v="인스타그램(랄라블라)"/>
    <x v="0"/>
    <x v="0"/>
    <x v="0"/>
    <m/>
    <m/>
    <n v="25019"/>
    <m/>
    <m/>
    <m/>
  </r>
  <r>
    <x v="146"/>
    <x v="3"/>
    <s v="인스타그램(블로그)"/>
    <x v="0"/>
    <x v="0"/>
    <x v="0"/>
    <m/>
    <m/>
    <n v="49616"/>
    <m/>
    <m/>
    <m/>
  </r>
  <r>
    <x v="146"/>
    <x v="3"/>
    <s v="인스타그램(전환)"/>
    <x v="1"/>
    <x v="0"/>
    <x v="0"/>
    <m/>
    <m/>
    <n v="145106"/>
    <m/>
    <m/>
    <m/>
  </r>
  <r>
    <x v="146"/>
    <x v="3"/>
    <s v="인스타그램(리타게팅 전환)"/>
    <x v="1"/>
    <x v="0"/>
    <x v="0"/>
    <m/>
    <m/>
    <n v="96801"/>
    <m/>
    <m/>
    <m/>
  </r>
  <r>
    <x v="146"/>
    <x v="3"/>
    <s v="페이스북(전환)"/>
    <x v="0"/>
    <x v="0"/>
    <x v="0"/>
    <m/>
    <m/>
    <n v="97792"/>
    <m/>
    <m/>
    <m/>
  </r>
  <r>
    <x v="146"/>
    <x v="3"/>
    <s v="인스타그램(전환)"/>
    <x v="0"/>
    <x v="0"/>
    <x v="0"/>
    <m/>
    <m/>
    <n v="1577445"/>
    <m/>
    <m/>
    <m/>
  </r>
  <r>
    <x v="146"/>
    <x v="3"/>
    <s v="네이버 브랜드검색"/>
    <x v="0"/>
    <x v="0"/>
    <x v="0"/>
    <m/>
    <m/>
    <n v="40000"/>
    <m/>
    <m/>
    <m/>
  </r>
  <r>
    <x v="146"/>
    <x v="3"/>
    <s v="네이버 쇼핑검색"/>
    <x v="0"/>
    <x v="0"/>
    <x v="0"/>
    <m/>
    <m/>
    <n v="9170"/>
    <m/>
    <m/>
    <m/>
  </r>
  <r>
    <x v="147"/>
    <x v="4"/>
    <s v="인스타그램(랄라블라)"/>
    <x v="0"/>
    <x v="0"/>
    <x v="0"/>
    <m/>
    <m/>
    <n v="21776"/>
    <m/>
    <m/>
    <m/>
  </r>
  <r>
    <x v="147"/>
    <x v="4"/>
    <s v="인스타그램(블로그)"/>
    <x v="0"/>
    <x v="0"/>
    <x v="0"/>
    <m/>
    <m/>
    <n v="50163"/>
    <m/>
    <m/>
    <m/>
  </r>
  <r>
    <x v="147"/>
    <x v="4"/>
    <s v="인스타그램(전환)"/>
    <x v="1"/>
    <x v="0"/>
    <x v="0"/>
    <m/>
    <m/>
    <n v="151239"/>
    <m/>
    <m/>
    <m/>
  </r>
  <r>
    <x v="147"/>
    <x v="4"/>
    <s v="인스타그램(리타게팅 전환)"/>
    <x v="1"/>
    <x v="0"/>
    <x v="0"/>
    <m/>
    <m/>
    <n v="100980"/>
    <m/>
    <m/>
    <m/>
  </r>
  <r>
    <x v="147"/>
    <x v="4"/>
    <s v="페이스북(전환)"/>
    <x v="0"/>
    <x v="0"/>
    <x v="0"/>
    <m/>
    <m/>
    <n v="46828"/>
    <m/>
    <m/>
    <m/>
  </r>
  <r>
    <x v="147"/>
    <x v="4"/>
    <s v="인스타그램(전환)"/>
    <x v="0"/>
    <x v="0"/>
    <x v="0"/>
    <m/>
    <m/>
    <n v="1981573"/>
    <m/>
    <m/>
    <m/>
  </r>
  <r>
    <x v="147"/>
    <x v="4"/>
    <s v="네이버 브랜드검색"/>
    <x v="0"/>
    <x v="0"/>
    <x v="0"/>
    <m/>
    <m/>
    <n v="40000"/>
    <m/>
    <m/>
    <m/>
  </r>
  <r>
    <x v="147"/>
    <x v="4"/>
    <s v="네이버 쇼핑검색"/>
    <x v="0"/>
    <x v="0"/>
    <x v="0"/>
    <m/>
    <m/>
    <n v="11300"/>
    <m/>
    <m/>
    <m/>
  </r>
  <r>
    <x v="148"/>
    <x v="1"/>
    <s v="인스타그램(랄라블라)"/>
    <x v="0"/>
    <x v="0"/>
    <x v="0"/>
    <m/>
    <m/>
    <n v="24653"/>
    <m/>
    <m/>
    <m/>
  </r>
  <r>
    <x v="148"/>
    <x v="1"/>
    <s v="인스타그램(블로그)"/>
    <x v="0"/>
    <x v="0"/>
    <x v="0"/>
    <m/>
    <m/>
    <n v="49299"/>
    <m/>
    <m/>
    <m/>
  </r>
  <r>
    <x v="148"/>
    <x v="1"/>
    <s v="인스타그램(전환)"/>
    <x v="1"/>
    <x v="0"/>
    <x v="0"/>
    <m/>
    <m/>
    <n v="150159"/>
    <m/>
    <m/>
    <m/>
  </r>
  <r>
    <x v="148"/>
    <x v="1"/>
    <s v="인스타그램(리타게팅 전환)"/>
    <x v="1"/>
    <x v="0"/>
    <x v="0"/>
    <m/>
    <m/>
    <n v="100641"/>
    <m/>
    <m/>
    <m/>
  </r>
  <r>
    <x v="148"/>
    <x v="1"/>
    <s v="인스타그램(리타게팅 전환)"/>
    <x v="0"/>
    <x v="0"/>
    <x v="0"/>
    <m/>
    <m/>
    <n v="111254"/>
    <m/>
    <m/>
    <m/>
  </r>
  <r>
    <x v="148"/>
    <x v="1"/>
    <s v="페이스북(전환)"/>
    <x v="0"/>
    <x v="0"/>
    <x v="0"/>
    <m/>
    <m/>
    <n v="113862"/>
    <m/>
    <m/>
    <m/>
  </r>
  <r>
    <x v="148"/>
    <x v="1"/>
    <s v="인스타그램(전환)"/>
    <x v="0"/>
    <x v="0"/>
    <x v="0"/>
    <m/>
    <m/>
    <n v="1508890"/>
    <m/>
    <m/>
    <m/>
  </r>
  <r>
    <x v="148"/>
    <x v="1"/>
    <s v="네이버 브랜드검색"/>
    <x v="0"/>
    <x v="0"/>
    <x v="0"/>
    <m/>
    <m/>
    <n v="40000"/>
    <m/>
    <m/>
    <m/>
  </r>
  <r>
    <x v="148"/>
    <x v="1"/>
    <s v="네이버 쇼핑검색"/>
    <x v="0"/>
    <x v="0"/>
    <x v="0"/>
    <m/>
    <m/>
    <n v="10180"/>
    <m/>
    <m/>
    <m/>
  </r>
  <r>
    <x v="149"/>
    <x v="0"/>
    <s v="인스타그램(랄라블라)"/>
    <x v="0"/>
    <x v="0"/>
    <x v="0"/>
    <m/>
    <m/>
    <n v="23750"/>
    <m/>
    <m/>
    <m/>
  </r>
  <r>
    <x v="149"/>
    <x v="0"/>
    <s v="인스타그램(블로그)"/>
    <x v="0"/>
    <x v="0"/>
    <x v="0"/>
    <m/>
    <m/>
    <n v="50451"/>
    <m/>
    <m/>
    <m/>
  </r>
  <r>
    <x v="149"/>
    <x v="0"/>
    <s v="인스타그램(리타게팅 전환)"/>
    <x v="0"/>
    <x v="0"/>
    <x v="0"/>
    <m/>
    <m/>
    <n v="182686"/>
    <m/>
    <m/>
    <m/>
  </r>
  <r>
    <x v="149"/>
    <x v="0"/>
    <s v="인스타그램(전환)"/>
    <x v="1"/>
    <x v="0"/>
    <x v="0"/>
    <m/>
    <m/>
    <n v="151008"/>
    <m/>
    <m/>
    <m/>
  </r>
  <r>
    <x v="149"/>
    <x v="0"/>
    <s v="인스타그램(리타게팅 전환)"/>
    <x v="1"/>
    <x v="0"/>
    <x v="0"/>
    <m/>
    <m/>
    <n v="98364"/>
    <m/>
    <m/>
    <m/>
  </r>
  <r>
    <x v="149"/>
    <x v="0"/>
    <s v="페이스북(전환)"/>
    <x v="0"/>
    <x v="0"/>
    <x v="0"/>
    <m/>
    <m/>
    <n v="114945"/>
    <m/>
    <m/>
    <m/>
  </r>
  <r>
    <x v="149"/>
    <x v="0"/>
    <s v="인스타그램(전환)"/>
    <x v="0"/>
    <x v="0"/>
    <x v="0"/>
    <m/>
    <m/>
    <n v="1429646"/>
    <m/>
    <m/>
    <m/>
  </r>
  <r>
    <x v="149"/>
    <x v="0"/>
    <s v="일본 인스타그램(1324참여)"/>
    <x v="0"/>
    <x v="0"/>
    <x v="0"/>
    <m/>
    <m/>
    <n v="30625"/>
    <m/>
    <m/>
    <m/>
  </r>
  <r>
    <x v="149"/>
    <x v="0"/>
    <s v="일본 인스타그램(2540참여)"/>
    <x v="0"/>
    <x v="0"/>
    <x v="0"/>
    <m/>
    <m/>
    <n v="30561"/>
    <m/>
    <m/>
    <m/>
  </r>
  <r>
    <x v="149"/>
    <x v="0"/>
    <s v="네이버 브랜드검색"/>
    <x v="0"/>
    <x v="0"/>
    <x v="0"/>
    <m/>
    <m/>
    <n v="40000"/>
    <m/>
    <m/>
    <m/>
  </r>
  <r>
    <x v="149"/>
    <x v="0"/>
    <s v="네이버 쇼핑검색"/>
    <x v="0"/>
    <x v="0"/>
    <x v="0"/>
    <m/>
    <m/>
    <n v="5060"/>
    <m/>
    <m/>
    <m/>
  </r>
  <r>
    <x v="150"/>
    <x v="2"/>
    <s v="인스타그램(랄라블라)"/>
    <x v="0"/>
    <x v="0"/>
    <x v="0"/>
    <m/>
    <m/>
    <n v="24049"/>
    <m/>
    <m/>
    <m/>
  </r>
  <r>
    <x v="150"/>
    <x v="2"/>
    <s v="인스타그램(블로그)"/>
    <x v="0"/>
    <x v="0"/>
    <x v="0"/>
    <m/>
    <m/>
    <n v="49602"/>
    <m/>
    <m/>
    <m/>
  </r>
  <r>
    <x v="150"/>
    <x v="2"/>
    <s v="인스타그램(리타게팅 전환)"/>
    <x v="0"/>
    <x v="0"/>
    <x v="0"/>
    <m/>
    <m/>
    <n v="232179"/>
    <m/>
    <m/>
    <m/>
  </r>
  <r>
    <x v="150"/>
    <x v="2"/>
    <s v="인스타그램(전환)"/>
    <x v="1"/>
    <x v="0"/>
    <x v="0"/>
    <m/>
    <m/>
    <n v="146465"/>
    <m/>
    <m/>
    <m/>
  </r>
  <r>
    <x v="150"/>
    <x v="2"/>
    <s v="인스타그램(리타게팅 전환)"/>
    <x v="1"/>
    <x v="0"/>
    <x v="0"/>
    <m/>
    <m/>
    <n v="97845"/>
    <m/>
    <m/>
    <m/>
  </r>
  <r>
    <x v="150"/>
    <x v="2"/>
    <s v="페이스북(전환)"/>
    <x v="0"/>
    <x v="0"/>
    <x v="0"/>
    <m/>
    <m/>
    <n v="113615"/>
    <m/>
    <m/>
    <m/>
  </r>
  <r>
    <x v="150"/>
    <x v="2"/>
    <s v="인스타그램(전환)"/>
    <x v="0"/>
    <x v="0"/>
    <x v="0"/>
    <m/>
    <m/>
    <n v="1415107"/>
    <m/>
    <m/>
    <m/>
  </r>
  <r>
    <x v="150"/>
    <x v="2"/>
    <s v="일본 인스타그램(1324참여)"/>
    <x v="0"/>
    <x v="0"/>
    <x v="0"/>
    <m/>
    <m/>
    <n v="7192"/>
    <m/>
    <m/>
    <m/>
  </r>
  <r>
    <x v="150"/>
    <x v="2"/>
    <s v="일본 인스타그램(2540참여)"/>
    <x v="0"/>
    <x v="0"/>
    <x v="0"/>
    <m/>
    <m/>
    <n v="9003"/>
    <m/>
    <m/>
    <m/>
  </r>
  <r>
    <x v="150"/>
    <x v="2"/>
    <s v="네이버 브랜드검색"/>
    <x v="0"/>
    <x v="0"/>
    <x v="0"/>
    <m/>
    <m/>
    <n v="40000"/>
    <m/>
    <m/>
    <m/>
  </r>
  <r>
    <x v="150"/>
    <x v="2"/>
    <s v="네이버 쇼핑검색"/>
    <x v="0"/>
    <x v="0"/>
    <x v="0"/>
    <m/>
    <m/>
    <n v="4630"/>
    <m/>
    <m/>
    <m/>
  </r>
  <r>
    <x v="151"/>
    <x v="5"/>
    <s v="인스타그램(랄라블라)"/>
    <x v="0"/>
    <x v="0"/>
    <x v="0"/>
    <m/>
    <m/>
    <n v="26181"/>
    <m/>
    <m/>
    <m/>
  </r>
  <r>
    <x v="151"/>
    <x v="5"/>
    <s v="인스타그램(블로그)"/>
    <x v="0"/>
    <x v="0"/>
    <x v="0"/>
    <m/>
    <m/>
    <n v="50630"/>
    <m/>
    <m/>
    <m/>
  </r>
  <r>
    <x v="151"/>
    <x v="5"/>
    <s v="인스타그램(리타게팅 전환)"/>
    <x v="0"/>
    <x v="0"/>
    <x v="0"/>
    <m/>
    <m/>
    <n v="249525"/>
    <m/>
    <m/>
    <m/>
  </r>
  <r>
    <x v="151"/>
    <x v="5"/>
    <s v="인스타그램(전환)"/>
    <x v="1"/>
    <x v="0"/>
    <x v="0"/>
    <m/>
    <m/>
    <n v="83388"/>
    <m/>
    <m/>
    <m/>
  </r>
  <r>
    <x v="151"/>
    <x v="5"/>
    <s v="인스타그램(리타게팅 전환)"/>
    <x v="1"/>
    <x v="0"/>
    <x v="0"/>
    <m/>
    <m/>
    <n v="68204"/>
    <m/>
    <m/>
    <m/>
  </r>
  <r>
    <x v="151"/>
    <x v="5"/>
    <s v="페이스북(전환)"/>
    <x v="0"/>
    <x v="0"/>
    <x v="0"/>
    <m/>
    <m/>
    <n v="42732"/>
    <m/>
    <m/>
    <m/>
  </r>
  <r>
    <x v="151"/>
    <x v="5"/>
    <s v="인스타그램(전환)"/>
    <x v="0"/>
    <x v="0"/>
    <x v="0"/>
    <m/>
    <m/>
    <n v="1239708"/>
    <m/>
    <m/>
    <m/>
  </r>
  <r>
    <x v="151"/>
    <x v="5"/>
    <s v="네이버 브랜드검색"/>
    <x v="0"/>
    <x v="0"/>
    <x v="0"/>
    <m/>
    <m/>
    <n v="40000"/>
    <m/>
    <m/>
    <m/>
  </r>
  <r>
    <x v="151"/>
    <x v="5"/>
    <s v="네이버 쇼핑검색"/>
    <x v="0"/>
    <x v="0"/>
    <x v="0"/>
    <m/>
    <m/>
    <n v="3630"/>
    <m/>
    <m/>
    <m/>
  </r>
  <r>
    <x v="152"/>
    <x v="6"/>
    <s v="인스타그램(랄라블라)"/>
    <x v="0"/>
    <x v="0"/>
    <x v="0"/>
    <m/>
    <m/>
    <n v="24896"/>
    <m/>
    <m/>
    <m/>
  </r>
  <r>
    <x v="152"/>
    <x v="6"/>
    <s v="인스타그램(블로그)"/>
    <x v="0"/>
    <x v="0"/>
    <x v="0"/>
    <m/>
    <m/>
    <n v="50142"/>
    <m/>
    <m/>
    <m/>
  </r>
  <r>
    <x v="152"/>
    <x v="6"/>
    <s v="인스타그램(리타게팅 전환)"/>
    <x v="0"/>
    <x v="0"/>
    <x v="0"/>
    <m/>
    <m/>
    <n v="250875"/>
    <m/>
    <m/>
    <m/>
  </r>
  <r>
    <x v="152"/>
    <x v="6"/>
    <s v="인스타그램(전환)"/>
    <x v="0"/>
    <x v="0"/>
    <x v="0"/>
    <m/>
    <m/>
    <n v="1202324"/>
    <m/>
    <m/>
    <m/>
  </r>
  <r>
    <x v="152"/>
    <x v="6"/>
    <s v="네이버 브랜드검색"/>
    <x v="0"/>
    <x v="0"/>
    <x v="0"/>
    <m/>
    <m/>
    <n v="40000"/>
    <m/>
    <m/>
    <m/>
  </r>
  <r>
    <x v="152"/>
    <x v="6"/>
    <s v="네이버 쇼핑검색"/>
    <x v="0"/>
    <x v="0"/>
    <x v="0"/>
    <m/>
    <m/>
    <n v="3790"/>
    <m/>
    <m/>
    <m/>
  </r>
  <r>
    <x v="153"/>
    <x v="3"/>
    <s v="인스타그램(랄라블라)"/>
    <x v="0"/>
    <x v="0"/>
    <x v="0"/>
    <m/>
    <m/>
    <n v="23767"/>
    <m/>
    <m/>
    <m/>
  </r>
  <r>
    <x v="153"/>
    <x v="3"/>
    <s v="인스타그램(블로그)"/>
    <x v="0"/>
    <x v="0"/>
    <x v="0"/>
    <m/>
    <m/>
    <n v="48538"/>
    <m/>
    <m/>
    <m/>
  </r>
  <r>
    <x v="153"/>
    <x v="3"/>
    <s v="인스타그램(리타게팅 전환)"/>
    <x v="0"/>
    <x v="0"/>
    <x v="0"/>
    <m/>
    <m/>
    <n v="243451"/>
    <m/>
    <m/>
    <m/>
  </r>
  <r>
    <x v="153"/>
    <x v="3"/>
    <s v="인스타그램(전환)"/>
    <x v="0"/>
    <x v="0"/>
    <x v="0"/>
    <m/>
    <m/>
    <n v="1168022"/>
    <m/>
    <m/>
    <m/>
  </r>
  <r>
    <x v="153"/>
    <x v="3"/>
    <s v="네이버 브랜드검색"/>
    <x v="0"/>
    <x v="0"/>
    <x v="0"/>
    <m/>
    <m/>
    <n v="40000"/>
    <m/>
    <m/>
    <m/>
  </r>
  <r>
    <x v="153"/>
    <x v="3"/>
    <s v="네이버 쇼핑검색"/>
    <x v="0"/>
    <x v="0"/>
    <x v="0"/>
    <m/>
    <m/>
    <n v="2970"/>
    <m/>
    <m/>
    <m/>
  </r>
  <r>
    <x v="154"/>
    <x v="4"/>
    <s v="인스타그램(랄라블라)"/>
    <x v="0"/>
    <x v="0"/>
    <x v="0"/>
    <m/>
    <m/>
    <n v="23871"/>
    <m/>
    <m/>
    <m/>
  </r>
  <r>
    <x v="154"/>
    <x v="4"/>
    <s v="인스타그램(블로그)"/>
    <x v="0"/>
    <x v="0"/>
    <x v="0"/>
    <m/>
    <m/>
    <n v="50217"/>
    <m/>
    <m/>
    <m/>
  </r>
  <r>
    <x v="154"/>
    <x v="4"/>
    <s v="인스타그램(리타게팅 전환)"/>
    <x v="0"/>
    <x v="0"/>
    <x v="0"/>
    <m/>
    <m/>
    <n v="251796"/>
    <m/>
    <m/>
    <m/>
  </r>
  <r>
    <x v="154"/>
    <x v="4"/>
    <s v="인스타그램(전환)"/>
    <x v="1"/>
    <x v="0"/>
    <x v="0"/>
    <m/>
    <m/>
    <n v="90511"/>
    <m/>
    <m/>
    <m/>
  </r>
  <r>
    <x v="154"/>
    <x v="4"/>
    <s v="인스타그램(전환)"/>
    <x v="0"/>
    <x v="0"/>
    <x v="0"/>
    <m/>
    <m/>
    <n v="1165707"/>
    <m/>
    <m/>
    <m/>
  </r>
  <r>
    <x v="154"/>
    <x v="4"/>
    <s v="네이버 브랜드검색"/>
    <x v="0"/>
    <x v="0"/>
    <x v="0"/>
    <m/>
    <m/>
    <n v="40000"/>
    <m/>
    <m/>
    <m/>
  </r>
  <r>
    <x v="154"/>
    <x v="4"/>
    <s v="네이버 쇼핑검색"/>
    <x v="0"/>
    <x v="0"/>
    <x v="0"/>
    <m/>
    <m/>
    <n v="3800"/>
    <m/>
    <m/>
    <m/>
  </r>
  <r>
    <x v="155"/>
    <x v="1"/>
    <s v="인스타그램(랄라블라)"/>
    <x v="0"/>
    <x v="0"/>
    <x v="0"/>
    <m/>
    <m/>
    <n v="25685"/>
    <m/>
    <m/>
    <m/>
  </r>
  <r>
    <x v="155"/>
    <x v="1"/>
    <s v="인스타그램(블로그)"/>
    <x v="0"/>
    <x v="0"/>
    <x v="0"/>
    <m/>
    <m/>
    <n v="48430"/>
    <m/>
    <m/>
    <m/>
  </r>
  <r>
    <x v="155"/>
    <x v="1"/>
    <s v="인스타그램(리타게팅 전환)"/>
    <x v="0"/>
    <x v="0"/>
    <x v="0"/>
    <m/>
    <m/>
    <n v="244644"/>
    <m/>
    <m/>
    <m/>
  </r>
  <r>
    <x v="155"/>
    <x v="1"/>
    <s v="인스타그램(전환)"/>
    <x v="1"/>
    <x v="0"/>
    <x v="0"/>
    <m/>
    <m/>
    <n v="91027"/>
    <m/>
    <m/>
    <m/>
  </r>
  <r>
    <x v="155"/>
    <x v="1"/>
    <s v="인스타그램(리타게팅 전환)"/>
    <x v="1"/>
    <x v="0"/>
    <x v="0"/>
    <m/>
    <m/>
    <n v="113126"/>
    <m/>
    <m/>
    <m/>
  </r>
  <r>
    <x v="155"/>
    <x v="1"/>
    <s v="인스타그램(전환)"/>
    <x v="0"/>
    <x v="0"/>
    <x v="0"/>
    <m/>
    <m/>
    <n v="847988"/>
    <m/>
    <m/>
    <m/>
  </r>
  <r>
    <x v="155"/>
    <x v="1"/>
    <s v="네이버 브랜드검색"/>
    <x v="0"/>
    <x v="0"/>
    <x v="0"/>
    <m/>
    <m/>
    <n v="40000"/>
    <m/>
    <m/>
    <m/>
  </r>
  <r>
    <x v="155"/>
    <x v="1"/>
    <s v="네이버 쇼핑검색"/>
    <x v="0"/>
    <x v="0"/>
    <x v="0"/>
    <m/>
    <m/>
    <n v="6549.999999999999"/>
    <m/>
    <m/>
    <m/>
  </r>
  <r>
    <x v="156"/>
    <x v="0"/>
    <s v="인스타그램(랄라블라)"/>
    <x v="0"/>
    <x v="0"/>
    <x v="0"/>
    <m/>
    <m/>
    <n v="24511"/>
    <m/>
    <m/>
    <m/>
  </r>
  <r>
    <x v="156"/>
    <x v="0"/>
    <s v="인스타그램(블로그)"/>
    <x v="0"/>
    <x v="0"/>
    <x v="0"/>
    <m/>
    <m/>
    <n v="49318"/>
    <m/>
    <m/>
    <m/>
  </r>
  <r>
    <x v="156"/>
    <x v="0"/>
    <s v="인스타그램(리타게팅 전환)"/>
    <x v="0"/>
    <x v="0"/>
    <x v="0"/>
    <m/>
    <m/>
    <n v="247808"/>
    <m/>
    <m/>
    <m/>
  </r>
  <r>
    <x v="156"/>
    <x v="0"/>
    <s v="인스타그램(전환)"/>
    <x v="1"/>
    <x v="0"/>
    <x v="0"/>
    <m/>
    <m/>
    <n v="91488"/>
    <m/>
    <m/>
    <m/>
  </r>
  <r>
    <x v="156"/>
    <x v="0"/>
    <s v="인스타그램(리타게팅 전환)"/>
    <x v="1"/>
    <x v="0"/>
    <x v="0"/>
    <m/>
    <m/>
    <n v="113952"/>
    <m/>
    <m/>
    <m/>
  </r>
  <r>
    <x v="156"/>
    <x v="0"/>
    <s v="인스타그램(전환)"/>
    <x v="0"/>
    <x v="0"/>
    <x v="0"/>
    <m/>
    <m/>
    <n v="751846"/>
    <m/>
    <m/>
    <m/>
  </r>
  <r>
    <x v="156"/>
    <x v="0"/>
    <s v="네이버 브랜드검색"/>
    <x v="0"/>
    <x v="0"/>
    <x v="0"/>
    <m/>
    <m/>
    <n v="40000"/>
    <m/>
    <m/>
    <m/>
  </r>
  <r>
    <x v="156"/>
    <x v="0"/>
    <s v="네이버 쇼핑검색"/>
    <x v="0"/>
    <x v="0"/>
    <x v="0"/>
    <m/>
    <m/>
    <n v="5300"/>
    <m/>
    <m/>
    <m/>
  </r>
  <r>
    <x v="157"/>
    <x v="2"/>
    <s v="인스타그램(랄라블라)"/>
    <x v="0"/>
    <x v="0"/>
    <x v="0"/>
    <m/>
    <m/>
    <n v="26202"/>
    <m/>
    <m/>
    <m/>
  </r>
  <r>
    <x v="157"/>
    <x v="2"/>
    <s v="인스타그램(블로그)"/>
    <x v="0"/>
    <x v="0"/>
    <x v="0"/>
    <m/>
    <m/>
    <n v="50108"/>
    <m/>
    <m/>
    <m/>
  </r>
  <r>
    <x v="157"/>
    <x v="2"/>
    <s v="인스타그램(리타게팅 전환)"/>
    <x v="0"/>
    <x v="0"/>
    <x v="0"/>
    <m/>
    <m/>
    <n v="167196"/>
    <m/>
    <m/>
    <m/>
  </r>
  <r>
    <x v="157"/>
    <x v="2"/>
    <s v="인스타그램(전환)"/>
    <x v="1"/>
    <x v="0"/>
    <x v="0"/>
    <m/>
    <m/>
    <n v="91068"/>
    <m/>
    <m/>
    <m/>
  </r>
  <r>
    <x v="157"/>
    <x v="2"/>
    <s v="인스타그램(리타게팅 전환)"/>
    <x v="1"/>
    <x v="0"/>
    <x v="0"/>
    <m/>
    <m/>
    <n v="114351"/>
    <m/>
    <m/>
    <m/>
  </r>
  <r>
    <x v="157"/>
    <x v="2"/>
    <s v="인스타그램(전환)"/>
    <x v="0"/>
    <x v="0"/>
    <x v="0"/>
    <m/>
    <m/>
    <n v="762515"/>
    <m/>
    <m/>
    <m/>
  </r>
  <r>
    <x v="157"/>
    <x v="2"/>
    <s v="네이버 브랜드검색"/>
    <x v="0"/>
    <x v="0"/>
    <x v="0"/>
    <m/>
    <m/>
    <n v="40000"/>
    <m/>
    <m/>
    <m/>
  </r>
  <r>
    <x v="157"/>
    <x v="2"/>
    <s v="네이버 쇼핑검색"/>
    <x v="0"/>
    <x v="0"/>
    <x v="0"/>
    <m/>
    <m/>
    <n v="4390"/>
    <m/>
    <m/>
    <m/>
  </r>
  <r>
    <x v="158"/>
    <x v="5"/>
    <s v="인스타그램(랄라블라)"/>
    <x v="0"/>
    <x v="0"/>
    <x v="0"/>
    <m/>
    <m/>
    <n v="26068"/>
    <m/>
    <m/>
    <m/>
  </r>
  <r>
    <x v="158"/>
    <x v="5"/>
    <s v="인스타그램(블로그)"/>
    <x v="0"/>
    <x v="0"/>
    <x v="0"/>
    <m/>
    <m/>
    <n v="53236"/>
    <m/>
    <m/>
    <m/>
  </r>
  <r>
    <x v="158"/>
    <x v="5"/>
    <s v="인스타그램(리타게팅 전환)"/>
    <x v="0"/>
    <x v="0"/>
    <x v="0"/>
    <m/>
    <m/>
    <n v="94855"/>
    <m/>
    <m/>
    <m/>
  </r>
  <r>
    <x v="158"/>
    <x v="5"/>
    <s v="인스타그램(전환)"/>
    <x v="1"/>
    <x v="0"/>
    <x v="0"/>
    <m/>
    <m/>
    <n v="92091"/>
    <m/>
    <m/>
    <m/>
  </r>
  <r>
    <x v="158"/>
    <x v="5"/>
    <s v="인스타그램(리타게팅 전환)"/>
    <x v="1"/>
    <x v="0"/>
    <x v="0"/>
    <m/>
    <m/>
    <n v="115321"/>
    <m/>
    <m/>
    <m/>
  </r>
  <r>
    <x v="158"/>
    <x v="5"/>
    <s v="인스타그램(전환)"/>
    <x v="0"/>
    <x v="0"/>
    <x v="0"/>
    <m/>
    <m/>
    <n v="818350"/>
    <m/>
    <m/>
    <m/>
  </r>
  <r>
    <x v="158"/>
    <x v="5"/>
    <s v="네이버 브랜드검색"/>
    <x v="0"/>
    <x v="0"/>
    <x v="0"/>
    <m/>
    <m/>
    <n v="40000"/>
    <m/>
    <m/>
    <m/>
  </r>
  <r>
    <x v="158"/>
    <x v="5"/>
    <s v="네이버 쇼핑검색"/>
    <x v="0"/>
    <x v="0"/>
    <x v="0"/>
    <m/>
    <m/>
    <n v="6169.999999999999"/>
    <m/>
    <m/>
    <m/>
  </r>
  <r>
    <x v="159"/>
    <x v="6"/>
    <s v="인스타그램(랄라블라)"/>
    <x v="0"/>
    <x v="0"/>
    <x v="0"/>
    <m/>
    <m/>
    <n v="23918"/>
    <m/>
    <m/>
    <m/>
  </r>
  <r>
    <x v="159"/>
    <x v="6"/>
    <s v="인스타그램(블로그)"/>
    <x v="0"/>
    <x v="0"/>
    <x v="0"/>
    <m/>
    <m/>
    <n v="50203"/>
    <m/>
    <m/>
    <m/>
  </r>
  <r>
    <x v="159"/>
    <x v="6"/>
    <s v="인스타그램(리타게팅 전환)"/>
    <x v="0"/>
    <x v="0"/>
    <x v="0"/>
    <m/>
    <m/>
    <n v="100479"/>
    <m/>
    <m/>
    <m/>
  </r>
  <r>
    <x v="159"/>
    <x v="6"/>
    <s v="인스타그램(전환)"/>
    <x v="1"/>
    <x v="0"/>
    <x v="0"/>
    <m/>
    <m/>
    <n v="80228"/>
    <m/>
    <m/>
    <m/>
  </r>
  <r>
    <x v="159"/>
    <x v="6"/>
    <s v="인스타그램(리타게팅 전환)"/>
    <x v="1"/>
    <x v="0"/>
    <x v="0"/>
    <m/>
    <m/>
    <n v="100457"/>
    <m/>
    <m/>
    <m/>
  </r>
  <r>
    <x v="159"/>
    <x v="6"/>
    <s v="인스타그램(전환)"/>
    <x v="0"/>
    <x v="0"/>
    <x v="0"/>
    <m/>
    <m/>
    <n v="801211"/>
    <m/>
    <m/>
    <m/>
  </r>
  <r>
    <x v="159"/>
    <x v="6"/>
    <s v="네이버 브랜드검색"/>
    <x v="0"/>
    <x v="0"/>
    <x v="0"/>
    <m/>
    <m/>
    <n v="40000"/>
    <m/>
    <m/>
    <m/>
  </r>
  <r>
    <x v="159"/>
    <x v="6"/>
    <s v="네이버 쇼핑검색"/>
    <x v="0"/>
    <x v="0"/>
    <x v="0"/>
    <m/>
    <m/>
    <n v="4060"/>
    <m/>
    <m/>
    <m/>
  </r>
  <r>
    <x v="160"/>
    <x v="3"/>
    <s v="인스타그램(랄라블라)"/>
    <x v="0"/>
    <x v="0"/>
    <x v="0"/>
    <m/>
    <m/>
    <n v="23906"/>
    <m/>
    <m/>
    <m/>
  </r>
  <r>
    <x v="160"/>
    <x v="3"/>
    <s v="인스타그램(블로그)"/>
    <x v="0"/>
    <x v="0"/>
    <x v="0"/>
    <m/>
    <m/>
    <n v="48783"/>
    <m/>
    <m/>
    <m/>
  </r>
  <r>
    <x v="160"/>
    <x v="3"/>
    <s v="인스타그램(리타게팅 전환)"/>
    <x v="0"/>
    <x v="0"/>
    <x v="0"/>
    <m/>
    <m/>
    <n v="98877"/>
    <m/>
    <m/>
    <m/>
  </r>
  <r>
    <x v="160"/>
    <x v="3"/>
    <s v="인스타그램(전환)"/>
    <x v="1"/>
    <x v="0"/>
    <x v="0"/>
    <m/>
    <m/>
    <n v="45752"/>
    <m/>
    <m/>
    <m/>
  </r>
  <r>
    <x v="160"/>
    <x v="3"/>
    <s v="인스타그램(리타게팅 전환)"/>
    <x v="1"/>
    <x v="0"/>
    <x v="0"/>
    <m/>
    <m/>
    <n v="60474"/>
    <m/>
    <m/>
    <m/>
  </r>
  <r>
    <x v="160"/>
    <x v="3"/>
    <s v="인스타그램(전환)"/>
    <x v="0"/>
    <x v="0"/>
    <x v="0"/>
    <m/>
    <m/>
    <n v="776856"/>
    <m/>
    <m/>
    <m/>
  </r>
  <r>
    <x v="160"/>
    <x v="3"/>
    <s v="네이버 브랜드검색"/>
    <x v="0"/>
    <x v="0"/>
    <x v="0"/>
    <m/>
    <m/>
    <n v="40000"/>
    <m/>
    <m/>
    <m/>
  </r>
  <r>
    <x v="160"/>
    <x v="3"/>
    <s v="네이버 쇼핑검색"/>
    <x v="0"/>
    <x v="0"/>
    <x v="0"/>
    <m/>
    <m/>
    <n v="6669.999999999999"/>
    <m/>
    <m/>
    <m/>
  </r>
  <r>
    <x v="161"/>
    <x v="4"/>
    <s v="인스타그램(랄라블라)"/>
    <x v="0"/>
    <x v="0"/>
    <x v="0"/>
    <m/>
    <m/>
    <n v="24385"/>
    <m/>
    <m/>
    <m/>
  </r>
  <r>
    <x v="161"/>
    <x v="4"/>
    <s v="인스타그램(블로그)"/>
    <x v="0"/>
    <x v="0"/>
    <x v="0"/>
    <m/>
    <m/>
    <n v="49892"/>
    <m/>
    <m/>
    <m/>
  </r>
  <r>
    <x v="161"/>
    <x v="4"/>
    <s v="인스타그램(리타게팅 전환)"/>
    <x v="0"/>
    <x v="0"/>
    <x v="0"/>
    <m/>
    <m/>
    <n v="100905"/>
    <m/>
    <m/>
    <m/>
  </r>
  <r>
    <x v="161"/>
    <x v="4"/>
    <s v="인스타그램(전환)"/>
    <x v="0"/>
    <x v="0"/>
    <x v="0"/>
    <m/>
    <m/>
    <n v="800054"/>
    <m/>
    <m/>
    <m/>
  </r>
  <r>
    <x v="161"/>
    <x v="4"/>
    <s v="네이버 브랜드검색"/>
    <x v="0"/>
    <x v="0"/>
    <x v="0"/>
    <m/>
    <m/>
    <n v="40000"/>
    <m/>
    <m/>
    <m/>
  </r>
  <r>
    <x v="161"/>
    <x v="4"/>
    <s v="네이버 쇼핑검색"/>
    <x v="0"/>
    <x v="0"/>
    <x v="0"/>
    <m/>
    <m/>
    <n v="57869.99999999999"/>
    <m/>
    <m/>
    <m/>
  </r>
  <r>
    <x v="161"/>
    <x v="4"/>
    <s v="유튜브(최모나)"/>
    <x v="0"/>
    <x v="0"/>
    <x v="0"/>
    <m/>
    <m/>
    <n v="818181.8181818181"/>
    <m/>
    <m/>
    <m/>
  </r>
  <r>
    <x v="162"/>
    <x v="1"/>
    <s v="인스타그램(랄라블라)"/>
    <x v="0"/>
    <x v="0"/>
    <x v="0"/>
    <m/>
    <m/>
    <n v="24884"/>
    <m/>
    <m/>
    <m/>
  </r>
  <r>
    <x v="162"/>
    <x v="1"/>
    <s v="인스타그램(블로그)"/>
    <x v="0"/>
    <x v="0"/>
    <x v="0"/>
    <m/>
    <m/>
    <n v="48955"/>
    <m/>
    <m/>
    <m/>
  </r>
  <r>
    <x v="162"/>
    <x v="1"/>
    <s v="인스타그램(리타게팅 전환)"/>
    <x v="0"/>
    <x v="0"/>
    <x v="0"/>
    <m/>
    <m/>
    <n v="96615"/>
    <m/>
    <m/>
    <m/>
  </r>
  <r>
    <x v="162"/>
    <x v="1"/>
    <s v="인스타그램(전환)"/>
    <x v="0"/>
    <x v="0"/>
    <x v="0"/>
    <m/>
    <m/>
    <n v="787574"/>
    <m/>
    <m/>
    <m/>
  </r>
  <r>
    <x v="162"/>
    <x v="1"/>
    <s v="네이버 브랜드검색"/>
    <x v="0"/>
    <x v="0"/>
    <x v="0"/>
    <m/>
    <m/>
    <n v="40000"/>
    <m/>
    <m/>
    <m/>
  </r>
  <r>
    <x v="162"/>
    <x v="1"/>
    <s v="네이버 쇼핑검색"/>
    <x v="0"/>
    <x v="0"/>
    <x v="0"/>
    <m/>
    <m/>
    <n v="67250"/>
    <m/>
    <m/>
    <m/>
  </r>
  <r>
    <x v="151"/>
    <x v="5"/>
    <s v="기획사이다"/>
    <x v="0"/>
    <x v="0"/>
    <x v="0"/>
    <m/>
    <m/>
    <n v="6015909"/>
    <m/>
    <m/>
    <m/>
  </r>
  <r>
    <x v="151"/>
    <x v="5"/>
    <s v="기획사이다"/>
    <x v="0"/>
    <x v="0"/>
    <x v="0"/>
    <m/>
    <m/>
    <n v="2400000"/>
    <m/>
    <m/>
    <m/>
  </r>
  <r>
    <x v="156"/>
    <x v="0"/>
    <s v="트위터(일본)"/>
    <x v="0"/>
    <x v="0"/>
    <x v="0"/>
    <m/>
    <m/>
    <n v="29801"/>
    <m/>
    <m/>
    <m/>
  </r>
  <r>
    <x v="146"/>
    <x v="3"/>
    <s v="트위터(일본)"/>
    <x v="0"/>
    <x v="0"/>
    <x v="0"/>
    <m/>
    <m/>
    <n v="39251"/>
    <m/>
    <m/>
    <m/>
  </r>
  <r>
    <x v="148"/>
    <x v="1"/>
    <s v="트위터(일본)"/>
    <x v="0"/>
    <x v="0"/>
    <x v="0"/>
    <m/>
    <m/>
    <n v="50000"/>
    <m/>
    <m/>
    <m/>
  </r>
  <r>
    <x v="149"/>
    <x v="0"/>
    <s v="트위터(일본)"/>
    <x v="0"/>
    <x v="0"/>
    <x v="0"/>
    <m/>
    <m/>
    <n v="50000"/>
    <m/>
    <m/>
    <m/>
  </r>
  <r>
    <x v="150"/>
    <x v="2"/>
    <s v="트위터(일본)"/>
    <x v="0"/>
    <x v="0"/>
    <x v="0"/>
    <m/>
    <m/>
    <n v="35283"/>
    <m/>
    <m/>
    <m/>
  </r>
  <r>
    <x v="163"/>
    <x v="0"/>
    <s v="인스타그램(랄라블라)"/>
    <x v="0"/>
    <x v="0"/>
    <x v="0"/>
    <m/>
    <m/>
    <n v="18412"/>
    <m/>
    <m/>
    <m/>
  </r>
  <r>
    <x v="163"/>
    <x v="0"/>
    <s v="인스타그램(블로그)"/>
    <x v="0"/>
    <x v="0"/>
    <x v="0"/>
    <m/>
    <m/>
    <n v="36663"/>
    <m/>
    <m/>
    <m/>
  </r>
  <r>
    <x v="163"/>
    <x v="0"/>
    <s v="인스타그램(리타게팅 전환)"/>
    <x v="0"/>
    <x v="0"/>
    <x v="0"/>
    <m/>
    <m/>
    <n v="73400"/>
    <m/>
    <m/>
    <m/>
  </r>
  <r>
    <x v="163"/>
    <x v="0"/>
    <s v="인스타그램(전환)"/>
    <x v="0"/>
    <x v="0"/>
    <x v="0"/>
    <m/>
    <m/>
    <n v="646600"/>
    <m/>
    <m/>
    <m/>
  </r>
  <r>
    <x v="163"/>
    <x v="0"/>
    <s v="페북/인스타(전환)"/>
    <x v="0"/>
    <x v="0"/>
    <x v="0"/>
    <m/>
    <m/>
    <n v="107518"/>
    <m/>
    <m/>
    <m/>
  </r>
  <r>
    <x v="163"/>
    <x v="0"/>
    <s v="네이버 브랜드검색"/>
    <x v="0"/>
    <x v="0"/>
    <x v="0"/>
    <m/>
    <m/>
    <n v="40000"/>
    <m/>
    <m/>
    <m/>
  </r>
  <r>
    <x v="163"/>
    <x v="0"/>
    <s v="네이버 쇼핑검색"/>
    <x v="0"/>
    <x v="0"/>
    <x v="0"/>
    <m/>
    <m/>
    <n v="43180"/>
    <m/>
    <m/>
    <m/>
  </r>
  <r>
    <x v="164"/>
    <x v="2"/>
    <s v="인스타그램(전환)"/>
    <x v="0"/>
    <x v="0"/>
    <x v="0"/>
    <m/>
    <m/>
    <n v="285531"/>
    <m/>
    <m/>
    <m/>
  </r>
  <r>
    <x v="164"/>
    <x v="2"/>
    <s v="페북/인스타(전환)"/>
    <x v="0"/>
    <x v="0"/>
    <x v="0"/>
    <m/>
    <m/>
    <n v="108058"/>
    <m/>
    <m/>
    <m/>
  </r>
  <r>
    <x v="164"/>
    <x v="2"/>
    <s v="네이버 브랜드검색"/>
    <x v="0"/>
    <x v="0"/>
    <x v="0"/>
    <m/>
    <m/>
    <n v="40000"/>
    <m/>
    <m/>
    <m/>
  </r>
  <r>
    <x v="164"/>
    <x v="2"/>
    <s v="네이버 쇼핑검색"/>
    <x v="0"/>
    <x v="0"/>
    <x v="0"/>
    <m/>
    <m/>
    <n v="29000"/>
    <m/>
    <m/>
    <m/>
  </r>
  <r>
    <x v="165"/>
    <x v="5"/>
    <s v="인스타그램(전환)"/>
    <x v="0"/>
    <x v="0"/>
    <x v="0"/>
    <m/>
    <m/>
    <n v="308193"/>
    <m/>
    <m/>
    <m/>
  </r>
  <r>
    <x v="165"/>
    <x v="5"/>
    <s v="페북/인스타(전환)"/>
    <x v="0"/>
    <x v="0"/>
    <x v="0"/>
    <m/>
    <m/>
    <n v="112509"/>
    <m/>
    <m/>
    <m/>
  </r>
  <r>
    <x v="165"/>
    <x v="5"/>
    <s v="네이버 브랜드검색"/>
    <x v="0"/>
    <x v="0"/>
    <x v="0"/>
    <m/>
    <m/>
    <n v="40000"/>
    <m/>
    <m/>
    <m/>
  </r>
  <r>
    <x v="165"/>
    <x v="5"/>
    <s v="네이버 쇼핑검색"/>
    <x v="0"/>
    <x v="0"/>
    <x v="0"/>
    <m/>
    <m/>
    <n v="31590"/>
    <m/>
    <m/>
    <m/>
  </r>
  <r>
    <x v="166"/>
    <x v="6"/>
    <s v="인스타그램(전환)"/>
    <x v="0"/>
    <x v="0"/>
    <x v="0"/>
    <m/>
    <m/>
    <n v="300794"/>
    <m/>
    <m/>
    <m/>
  </r>
  <r>
    <x v="166"/>
    <x v="6"/>
    <s v="페북/인스타(전환)"/>
    <x v="0"/>
    <x v="0"/>
    <x v="0"/>
    <m/>
    <m/>
    <n v="100404"/>
    <m/>
    <m/>
    <m/>
  </r>
  <r>
    <x v="166"/>
    <x v="6"/>
    <s v="네이버 브랜드검색"/>
    <x v="0"/>
    <x v="0"/>
    <x v="0"/>
    <m/>
    <m/>
    <n v="40000"/>
    <m/>
    <m/>
    <m/>
  </r>
  <r>
    <x v="166"/>
    <x v="6"/>
    <s v="네이버 쇼핑검색"/>
    <x v="0"/>
    <x v="0"/>
    <x v="0"/>
    <m/>
    <m/>
    <n v="32670"/>
    <m/>
    <m/>
    <m/>
  </r>
  <r>
    <x v="167"/>
    <x v="3"/>
    <s v="인스타그램(전환)"/>
    <x v="0"/>
    <x v="0"/>
    <x v="0"/>
    <m/>
    <m/>
    <n v="291717"/>
    <m/>
    <m/>
    <m/>
  </r>
  <r>
    <x v="167"/>
    <x v="3"/>
    <s v="페북/인스타(전환)"/>
    <x v="0"/>
    <x v="0"/>
    <x v="0"/>
    <m/>
    <m/>
    <n v="96289"/>
    <m/>
    <m/>
    <m/>
  </r>
  <r>
    <x v="167"/>
    <x v="3"/>
    <s v="네이버 브랜드검색"/>
    <x v="0"/>
    <x v="0"/>
    <x v="0"/>
    <m/>
    <m/>
    <n v="40000"/>
    <m/>
    <m/>
    <m/>
  </r>
  <r>
    <x v="167"/>
    <x v="3"/>
    <s v="네이버 쇼핑검색"/>
    <x v="0"/>
    <x v="0"/>
    <x v="0"/>
    <m/>
    <m/>
    <n v="32680"/>
    <m/>
    <m/>
    <m/>
  </r>
  <r>
    <x v="168"/>
    <x v="4"/>
    <s v="인스타그램(전환)"/>
    <x v="0"/>
    <x v="0"/>
    <x v="0"/>
    <m/>
    <m/>
    <n v="297007"/>
    <m/>
    <m/>
    <m/>
  </r>
  <r>
    <x v="168"/>
    <x v="4"/>
    <s v="페북/인스타(전환)"/>
    <x v="0"/>
    <x v="0"/>
    <x v="0"/>
    <m/>
    <m/>
    <n v="100970"/>
    <m/>
    <m/>
    <m/>
  </r>
  <r>
    <x v="168"/>
    <x v="4"/>
    <s v="네이버 브랜드검색"/>
    <x v="0"/>
    <x v="0"/>
    <x v="0"/>
    <m/>
    <m/>
    <n v="40000"/>
    <m/>
    <m/>
    <m/>
  </r>
  <r>
    <x v="168"/>
    <x v="4"/>
    <s v="네이버 쇼핑검색"/>
    <x v="0"/>
    <x v="0"/>
    <x v="0"/>
    <m/>
    <m/>
    <n v="35400"/>
    <m/>
    <m/>
    <m/>
  </r>
  <r>
    <x v="169"/>
    <x v="1"/>
    <s v="인스타그램(리타게팅 전환)"/>
    <x v="0"/>
    <x v="0"/>
    <x v="0"/>
    <m/>
    <m/>
    <n v="114819"/>
    <m/>
    <m/>
    <m/>
  </r>
  <r>
    <x v="169"/>
    <x v="1"/>
    <s v="인스타그램(전환)"/>
    <x v="0"/>
    <x v="0"/>
    <x v="0"/>
    <m/>
    <m/>
    <n v="582410"/>
    <m/>
    <m/>
    <m/>
  </r>
  <r>
    <x v="169"/>
    <x v="1"/>
    <s v="페북/인스타(전환)"/>
    <x v="0"/>
    <x v="0"/>
    <x v="0"/>
    <m/>
    <m/>
    <n v="527873"/>
    <m/>
    <m/>
    <m/>
  </r>
  <r>
    <x v="169"/>
    <x v="1"/>
    <s v="네이버 브랜드검색"/>
    <x v="0"/>
    <x v="0"/>
    <x v="0"/>
    <m/>
    <m/>
    <n v="40000"/>
    <m/>
    <m/>
    <m/>
  </r>
  <r>
    <x v="169"/>
    <x v="1"/>
    <s v="네이버 쇼핑검색"/>
    <x v="0"/>
    <x v="0"/>
    <x v="0"/>
    <m/>
    <m/>
    <n v="33440"/>
    <m/>
    <m/>
    <m/>
  </r>
  <r>
    <x v="170"/>
    <x v="0"/>
    <s v="인스타그램(리타게팅 전환)"/>
    <x v="0"/>
    <x v="0"/>
    <x v="0"/>
    <m/>
    <m/>
    <n v="115219"/>
    <m/>
    <m/>
    <m/>
  </r>
  <r>
    <x v="170"/>
    <x v="0"/>
    <s v="인스타그램(전환)"/>
    <x v="0"/>
    <x v="0"/>
    <x v="0"/>
    <m/>
    <m/>
    <n v="973333"/>
    <m/>
    <m/>
    <m/>
  </r>
  <r>
    <x v="170"/>
    <x v="0"/>
    <s v="페북/인스타(전환)"/>
    <x v="0"/>
    <x v="0"/>
    <x v="0"/>
    <m/>
    <m/>
    <n v="966267"/>
    <m/>
    <m/>
    <m/>
  </r>
  <r>
    <x v="170"/>
    <x v="0"/>
    <s v="네이버 브랜드검색"/>
    <x v="0"/>
    <x v="0"/>
    <x v="0"/>
    <m/>
    <m/>
    <n v="40000"/>
    <m/>
    <m/>
    <m/>
  </r>
  <r>
    <x v="170"/>
    <x v="0"/>
    <s v="네이버 쇼핑검색"/>
    <x v="0"/>
    <x v="0"/>
    <x v="0"/>
    <m/>
    <m/>
    <n v="32450"/>
    <m/>
    <m/>
    <m/>
  </r>
  <r>
    <x v="171"/>
    <x v="2"/>
    <s v="인스타그램(랄라블라)"/>
    <x v="0"/>
    <x v="0"/>
    <x v="0"/>
    <m/>
    <m/>
    <n v="38071"/>
    <m/>
    <m/>
    <m/>
  </r>
  <r>
    <x v="171"/>
    <x v="2"/>
    <s v="인스타그램(리타게팅 전환)"/>
    <x v="0"/>
    <x v="0"/>
    <x v="0"/>
    <m/>
    <m/>
    <n v="113974"/>
    <m/>
    <m/>
    <m/>
  </r>
  <r>
    <x v="171"/>
    <x v="2"/>
    <s v="인스타그램(전환)"/>
    <x v="0"/>
    <x v="0"/>
    <x v="0"/>
    <m/>
    <m/>
    <n v="954284"/>
    <m/>
    <m/>
    <m/>
  </r>
  <r>
    <x v="171"/>
    <x v="2"/>
    <s v="페북/인스타(전환)"/>
    <x v="0"/>
    <x v="0"/>
    <x v="0"/>
    <m/>
    <m/>
    <n v="964493"/>
    <m/>
    <m/>
    <m/>
  </r>
  <r>
    <x v="171"/>
    <x v="2"/>
    <s v="네이버 브랜드검색"/>
    <x v="0"/>
    <x v="0"/>
    <x v="0"/>
    <m/>
    <m/>
    <n v="40000"/>
    <m/>
    <m/>
    <m/>
  </r>
  <r>
    <x v="171"/>
    <x v="2"/>
    <s v="네이버 쇼핑검색"/>
    <x v="0"/>
    <x v="0"/>
    <x v="0"/>
    <m/>
    <m/>
    <n v="32440"/>
    <m/>
    <m/>
    <m/>
  </r>
  <r>
    <x v="172"/>
    <x v="5"/>
    <s v="인스타그램(랄라블라)"/>
    <x v="0"/>
    <x v="0"/>
    <x v="0"/>
    <m/>
    <m/>
    <n v="65806"/>
    <m/>
    <m/>
    <m/>
  </r>
  <r>
    <x v="172"/>
    <x v="5"/>
    <s v="인스타그램(리타게팅 전환)"/>
    <x v="0"/>
    <x v="0"/>
    <x v="0"/>
    <m/>
    <m/>
    <n v="115051"/>
    <m/>
    <m/>
    <m/>
  </r>
  <r>
    <x v="172"/>
    <x v="5"/>
    <s v="인스타그램(전환)"/>
    <x v="0"/>
    <x v="0"/>
    <x v="0"/>
    <m/>
    <m/>
    <n v="1029711"/>
    <m/>
    <m/>
    <m/>
  </r>
  <r>
    <x v="172"/>
    <x v="5"/>
    <s v="페북/인스타(전환)"/>
    <x v="0"/>
    <x v="0"/>
    <x v="0"/>
    <m/>
    <m/>
    <n v="1025853"/>
    <m/>
    <m/>
    <m/>
  </r>
  <r>
    <x v="172"/>
    <x v="5"/>
    <s v="네이버 브랜드검색"/>
    <x v="0"/>
    <x v="0"/>
    <x v="0"/>
    <m/>
    <m/>
    <n v="40000"/>
    <m/>
    <m/>
    <m/>
  </r>
  <r>
    <x v="172"/>
    <x v="5"/>
    <s v="네이버 쇼핑검색"/>
    <x v="0"/>
    <x v="0"/>
    <x v="0"/>
    <m/>
    <m/>
    <n v="26390"/>
    <m/>
    <m/>
    <m/>
  </r>
  <r>
    <x v="173"/>
    <x v="6"/>
    <s v="인스타그램(랄라블라)"/>
    <x v="0"/>
    <x v="0"/>
    <x v="0"/>
    <m/>
    <m/>
    <n v="65659"/>
    <m/>
    <m/>
    <m/>
  </r>
  <r>
    <x v="173"/>
    <x v="6"/>
    <s v="인스타그램(리타게팅 전환)"/>
    <x v="0"/>
    <x v="0"/>
    <x v="0"/>
    <m/>
    <m/>
    <n v="100503"/>
    <m/>
    <m/>
    <m/>
  </r>
  <r>
    <x v="173"/>
    <x v="6"/>
    <s v="인스타그램(전환)"/>
    <x v="0"/>
    <x v="0"/>
    <x v="0"/>
    <m/>
    <m/>
    <n v="778502"/>
    <m/>
    <m/>
    <m/>
  </r>
  <r>
    <x v="173"/>
    <x v="6"/>
    <s v="페북/인스타(전환)"/>
    <x v="0"/>
    <x v="0"/>
    <x v="0"/>
    <m/>
    <m/>
    <n v="768475"/>
    <m/>
    <m/>
    <m/>
  </r>
  <r>
    <x v="173"/>
    <x v="6"/>
    <s v="네이버 브랜드검색"/>
    <x v="0"/>
    <x v="0"/>
    <x v="0"/>
    <m/>
    <m/>
    <n v="40000"/>
    <m/>
    <m/>
    <m/>
  </r>
  <r>
    <x v="173"/>
    <x v="6"/>
    <s v="네이버 쇼핑검색"/>
    <x v="0"/>
    <x v="0"/>
    <x v="0"/>
    <m/>
    <m/>
    <n v="34000"/>
    <m/>
    <m/>
    <m/>
  </r>
  <r>
    <x v="174"/>
    <x v="3"/>
    <s v="인스타그램(랄라블라)"/>
    <x v="0"/>
    <x v="0"/>
    <x v="0"/>
    <m/>
    <m/>
    <n v="66343"/>
    <m/>
    <m/>
    <m/>
  </r>
  <r>
    <x v="174"/>
    <x v="3"/>
    <s v="인스타그램(리타게팅 전환)"/>
    <x v="0"/>
    <x v="0"/>
    <x v="0"/>
    <m/>
    <m/>
    <n v="98342"/>
    <m/>
    <m/>
    <m/>
  </r>
  <r>
    <x v="174"/>
    <x v="3"/>
    <s v="인스타그램(전환)"/>
    <x v="0"/>
    <x v="0"/>
    <x v="0"/>
    <m/>
    <m/>
    <n v="669307"/>
    <m/>
    <m/>
    <m/>
  </r>
  <r>
    <x v="174"/>
    <x v="3"/>
    <s v="페북/인스타(전환)"/>
    <x v="0"/>
    <x v="0"/>
    <x v="0"/>
    <m/>
    <m/>
    <n v="792950"/>
    <m/>
    <m/>
    <m/>
  </r>
  <r>
    <x v="174"/>
    <x v="3"/>
    <s v="인스타그램(일본1324)"/>
    <x v="0"/>
    <x v="0"/>
    <x v="0"/>
    <m/>
    <m/>
    <n v="34222"/>
    <m/>
    <m/>
    <m/>
  </r>
  <r>
    <x v="174"/>
    <x v="3"/>
    <s v="인스타그램(일본2540)"/>
    <x v="0"/>
    <x v="0"/>
    <x v="0"/>
    <m/>
    <m/>
    <n v="33859"/>
    <m/>
    <m/>
    <m/>
  </r>
  <r>
    <x v="174"/>
    <x v="3"/>
    <s v="네이버 GFA"/>
    <x v="0"/>
    <x v="0"/>
    <x v="0"/>
    <m/>
    <m/>
    <n v="2911.818181818182"/>
    <m/>
    <m/>
    <m/>
  </r>
  <r>
    <x v="174"/>
    <x v="3"/>
    <s v="네이버 브랜드검색"/>
    <x v="0"/>
    <x v="0"/>
    <x v="0"/>
    <m/>
    <m/>
    <n v="40000"/>
    <m/>
    <m/>
    <m/>
  </r>
  <r>
    <x v="174"/>
    <x v="3"/>
    <s v="네이버 쇼핑검색"/>
    <x v="0"/>
    <x v="0"/>
    <x v="0"/>
    <m/>
    <m/>
    <n v="23000"/>
    <m/>
    <m/>
    <m/>
  </r>
  <r>
    <x v="174"/>
    <x v="3"/>
    <s v="카카오톡 메시지"/>
    <x v="4"/>
    <x v="0"/>
    <x v="0"/>
    <m/>
    <m/>
    <n v="103754.5454545454"/>
    <m/>
    <m/>
    <m/>
  </r>
  <r>
    <x v="175"/>
    <x v="4"/>
    <s v="인스타그램(랄라블라)"/>
    <x v="0"/>
    <x v="0"/>
    <x v="0"/>
    <m/>
    <m/>
    <n v="71691"/>
    <m/>
    <m/>
    <m/>
  </r>
  <r>
    <x v="175"/>
    <x v="4"/>
    <s v="인스타그램(리타게팅 전환)"/>
    <x v="0"/>
    <x v="0"/>
    <x v="0"/>
    <m/>
    <m/>
    <n v="100761"/>
    <m/>
    <m/>
    <m/>
  </r>
  <r>
    <x v="175"/>
    <x v="4"/>
    <s v="인스타그램(전환)"/>
    <x v="0"/>
    <x v="0"/>
    <x v="0"/>
    <m/>
    <m/>
    <n v="697451"/>
    <m/>
    <m/>
    <m/>
  </r>
  <r>
    <x v="175"/>
    <x v="4"/>
    <s v="페북/인스타(전환)"/>
    <x v="0"/>
    <x v="0"/>
    <x v="0"/>
    <m/>
    <m/>
    <n v="469859"/>
    <m/>
    <m/>
    <m/>
  </r>
  <r>
    <x v="175"/>
    <x v="4"/>
    <s v="인스타그램(일본1324)"/>
    <x v="0"/>
    <x v="0"/>
    <x v="0"/>
    <m/>
    <m/>
    <n v="34356"/>
    <m/>
    <m/>
    <m/>
  </r>
  <r>
    <x v="175"/>
    <x v="4"/>
    <s v="인스타그램(일본2540)"/>
    <x v="0"/>
    <x v="0"/>
    <x v="0"/>
    <m/>
    <m/>
    <n v="34277"/>
    <m/>
    <m/>
    <m/>
  </r>
  <r>
    <x v="175"/>
    <x v="4"/>
    <s v="네이버 GFA"/>
    <x v="0"/>
    <x v="0"/>
    <x v="0"/>
    <m/>
    <m/>
    <n v="280418.1818181818"/>
    <m/>
    <m/>
    <m/>
  </r>
  <r>
    <x v="175"/>
    <x v="4"/>
    <s v="네이버 브랜드검색"/>
    <x v="0"/>
    <x v="0"/>
    <x v="0"/>
    <m/>
    <m/>
    <n v="40000"/>
    <m/>
    <m/>
    <m/>
  </r>
  <r>
    <x v="175"/>
    <x v="4"/>
    <s v="네이버 쇼핑검색"/>
    <x v="0"/>
    <x v="0"/>
    <x v="0"/>
    <m/>
    <m/>
    <n v="42060"/>
    <m/>
    <m/>
    <m/>
  </r>
  <r>
    <x v="176"/>
    <x v="1"/>
    <s v="인스타그램(랄라블라)"/>
    <x v="0"/>
    <x v="0"/>
    <x v="0"/>
    <m/>
    <m/>
    <n v="70343"/>
    <m/>
    <m/>
    <m/>
  </r>
  <r>
    <x v="176"/>
    <x v="1"/>
    <s v="인스타그램(리타게팅 전환)"/>
    <x v="0"/>
    <x v="0"/>
    <x v="0"/>
    <m/>
    <m/>
    <n v="100507"/>
    <m/>
    <m/>
    <m/>
  </r>
  <r>
    <x v="176"/>
    <x v="1"/>
    <s v="인스타그램(전환)"/>
    <x v="0"/>
    <x v="0"/>
    <x v="0"/>
    <m/>
    <m/>
    <n v="563049"/>
    <m/>
    <m/>
    <m/>
  </r>
  <r>
    <x v="176"/>
    <x v="1"/>
    <s v="페북/인스타(전환)"/>
    <x v="0"/>
    <x v="0"/>
    <x v="0"/>
    <m/>
    <m/>
    <n v="370029"/>
    <m/>
    <m/>
    <m/>
  </r>
  <r>
    <x v="176"/>
    <x v="1"/>
    <s v="인스타그램(일본1324)"/>
    <x v="0"/>
    <x v="0"/>
    <x v="0"/>
    <m/>
    <m/>
    <n v="34406"/>
    <m/>
    <m/>
    <m/>
  </r>
  <r>
    <x v="176"/>
    <x v="1"/>
    <s v="인스타그램(일본2540)"/>
    <x v="0"/>
    <x v="0"/>
    <x v="0"/>
    <m/>
    <m/>
    <n v="34369"/>
    <m/>
    <m/>
    <m/>
  </r>
  <r>
    <x v="176"/>
    <x v="1"/>
    <s v="네이버 GFA"/>
    <x v="0"/>
    <x v="0"/>
    <x v="0"/>
    <m/>
    <m/>
    <n v="163685.4545454545"/>
    <m/>
    <m/>
    <m/>
  </r>
  <r>
    <x v="176"/>
    <x v="1"/>
    <s v="네이버 브랜드검색"/>
    <x v="0"/>
    <x v="0"/>
    <x v="0"/>
    <m/>
    <m/>
    <n v="40000"/>
    <m/>
    <m/>
    <m/>
  </r>
  <r>
    <x v="176"/>
    <x v="1"/>
    <s v="네이버 쇼핑검색"/>
    <x v="0"/>
    <x v="0"/>
    <x v="0"/>
    <m/>
    <m/>
    <n v="136420"/>
    <m/>
    <m/>
    <m/>
  </r>
  <r>
    <x v="177"/>
    <x v="0"/>
    <s v="인스타그램(랄라블라)"/>
    <x v="0"/>
    <x v="0"/>
    <x v="0"/>
    <m/>
    <m/>
    <n v="69934"/>
    <m/>
    <m/>
    <m/>
  </r>
  <r>
    <x v="177"/>
    <x v="0"/>
    <s v="인스타그램(리타게팅 전환)"/>
    <x v="0"/>
    <x v="0"/>
    <x v="0"/>
    <m/>
    <m/>
    <n v="97751"/>
    <m/>
    <m/>
    <m/>
  </r>
  <r>
    <x v="177"/>
    <x v="0"/>
    <s v="인스타그램(전환)"/>
    <x v="0"/>
    <x v="0"/>
    <x v="0"/>
    <m/>
    <m/>
    <n v="631359"/>
    <m/>
    <m/>
    <m/>
  </r>
  <r>
    <x v="177"/>
    <x v="0"/>
    <s v="페북/인스타(전환)"/>
    <x v="0"/>
    <x v="0"/>
    <x v="0"/>
    <m/>
    <m/>
    <n v="629539"/>
    <m/>
    <m/>
    <m/>
  </r>
  <r>
    <x v="177"/>
    <x v="0"/>
    <s v="인스타그램(일본1324)"/>
    <x v="0"/>
    <x v="0"/>
    <x v="0"/>
    <m/>
    <m/>
    <n v="34527"/>
    <m/>
    <m/>
    <m/>
  </r>
  <r>
    <x v="177"/>
    <x v="0"/>
    <s v="인스타그램(일본2540)"/>
    <x v="0"/>
    <x v="0"/>
    <x v="0"/>
    <m/>
    <m/>
    <n v="34274"/>
    <m/>
    <m/>
    <m/>
  </r>
  <r>
    <x v="177"/>
    <x v="0"/>
    <s v="네이버 GFA"/>
    <x v="0"/>
    <x v="0"/>
    <x v="0"/>
    <m/>
    <m/>
    <n v="62130.90909090909"/>
    <m/>
    <m/>
    <m/>
  </r>
  <r>
    <x v="177"/>
    <x v="0"/>
    <s v="네이버 브랜드검색"/>
    <x v="0"/>
    <x v="0"/>
    <x v="0"/>
    <m/>
    <m/>
    <n v="40000"/>
    <m/>
    <m/>
    <m/>
  </r>
  <r>
    <x v="177"/>
    <x v="0"/>
    <s v="네이버 쇼핑검색"/>
    <x v="0"/>
    <x v="0"/>
    <x v="0"/>
    <m/>
    <m/>
    <n v="94759.99999999999"/>
    <m/>
    <m/>
    <m/>
  </r>
  <r>
    <x v="178"/>
    <x v="2"/>
    <s v="인스타그램(랄라블라)"/>
    <x v="0"/>
    <x v="0"/>
    <x v="0"/>
    <m/>
    <m/>
    <n v="44144"/>
    <m/>
    <m/>
    <m/>
  </r>
  <r>
    <x v="178"/>
    <x v="2"/>
    <s v="인스타그램(리타게팅 전환)"/>
    <x v="0"/>
    <x v="0"/>
    <x v="0"/>
    <m/>
    <m/>
    <n v="97086"/>
    <m/>
    <m/>
    <m/>
  </r>
  <r>
    <x v="178"/>
    <x v="2"/>
    <s v="인스타그램(전환)"/>
    <x v="0"/>
    <x v="0"/>
    <x v="0"/>
    <m/>
    <m/>
    <n v="517350"/>
    <m/>
    <m/>
    <m/>
  </r>
  <r>
    <x v="178"/>
    <x v="2"/>
    <s v="페북/인스타(전환)"/>
    <x v="0"/>
    <x v="0"/>
    <x v="0"/>
    <m/>
    <m/>
    <n v="519416"/>
    <m/>
    <m/>
    <m/>
  </r>
  <r>
    <x v="178"/>
    <x v="2"/>
    <s v="인스타그램(일본1324)"/>
    <x v="0"/>
    <x v="0"/>
    <x v="0"/>
    <m/>
    <m/>
    <n v="46395"/>
    <m/>
    <m/>
    <m/>
  </r>
  <r>
    <x v="178"/>
    <x v="2"/>
    <s v="인스타그램(일본2540)"/>
    <x v="0"/>
    <x v="0"/>
    <x v="0"/>
    <m/>
    <m/>
    <n v="12525"/>
    <m/>
    <m/>
    <m/>
  </r>
  <r>
    <x v="178"/>
    <x v="2"/>
    <s v="네이버 브랜드검색"/>
    <x v="0"/>
    <x v="0"/>
    <x v="0"/>
    <m/>
    <m/>
    <n v="40000"/>
    <m/>
    <m/>
    <m/>
  </r>
  <r>
    <x v="178"/>
    <x v="2"/>
    <s v="네이버 쇼핑검색"/>
    <x v="0"/>
    <x v="0"/>
    <x v="0"/>
    <m/>
    <m/>
    <n v="51979.99999999999"/>
    <m/>
    <m/>
    <m/>
  </r>
  <r>
    <x v="179"/>
    <x v="5"/>
    <s v="인스타그램(랄라블라)"/>
    <x v="0"/>
    <x v="0"/>
    <x v="0"/>
    <m/>
    <m/>
    <n v="28199"/>
    <m/>
    <m/>
    <m/>
  </r>
  <r>
    <x v="179"/>
    <x v="5"/>
    <s v="인스타그램(리타게팅 전환)"/>
    <x v="0"/>
    <x v="0"/>
    <x v="0"/>
    <m/>
    <m/>
    <n v="105050"/>
    <m/>
    <m/>
    <m/>
  </r>
  <r>
    <x v="179"/>
    <x v="5"/>
    <s v="인스타그램(전환)"/>
    <x v="0"/>
    <x v="0"/>
    <x v="0"/>
    <m/>
    <m/>
    <n v="459420"/>
    <m/>
    <m/>
    <m/>
  </r>
  <r>
    <x v="179"/>
    <x v="5"/>
    <s v="페북/인스타(전환)"/>
    <x v="0"/>
    <x v="0"/>
    <x v="0"/>
    <m/>
    <m/>
    <n v="457215"/>
    <m/>
    <m/>
    <m/>
  </r>
  <r>
    <x v="179"/>
    <x v="5"/>
    <s v="인스타그램(일본1324)"/>
    <x v="0"/>
    <x v="0"/>
    <x v="0"/>
    <m/>
    <m/>
    <n v="55334"/>
    <m/>
    <m/>
    <m/>
  </r>
  <r>
    <x v="179"/>
    <x v="5"/>
    <s v="네이버 브랜드검색"/>
    <x v="0"/>
    <x v="0"/>
    <x v="0"/>
    <m/>
    <m/>
    <n v="40000"/>
    <m/>
    <m/>
    <m/>
  </r>
  <r>
    <x v="179"/>
    <x v="5"/>
    <s v="네이버 쇼핑검색"/>
    <x v="0"/>
    <x v="0"/>
    <x v="0"/>
    <m/>
    <m/>
    <n v="45010"/>
    <m/>
    <m/>
    <m/>
  </r>
  <r>
    <x v="180"/>
    <x v="6"/>
    <s v="인스타그램(랄라블라)"/>
    <x v="0"/>
    <x v="0"/>
    <x v="0"/>
    <m/>
    <m/>
    <n v="30021"/>
    <m/>
    <m/>
    <m/>
  </r>
  <r>
    <x v="180"/>
    <x v="6"/>
    <s v="인스타그램(리타게팅 전환)"/>
    <x v="0"/>
    <x v="0"/>
    <x v="0"/>
    <m/>
    <m/>
    <n v="100381"/>
    <m/>
    <m/>
    <m/>
  </r>
  <r>
    <x v="180"/>
    <x v="6"/>
    <s v="인스타그램(전환)"/>
    <x v="0"/>
    <x v="0"/>
    <x v="0"/>
    <m/>
    <m/>
    <n v="500593"/>
    <m/>
    <m/>
    <m/>
  </r>
  <r>
    <x v="180"/>
    <x v="6"/>
    <s v="페북/인스타(전환)"/>
    <x v="0"/>
    <x v="0"/>
    <x v="0"/>
    <m/>
    <m/>
    <n v="497457"/>
    <m/>
    <m/>
    <m/>
  </r>
  <r>
    <x v="180"/>
    <x v="6"/>
    <s v="인스타그램(일본1324)"/>
    <x v="0"/>
    <x v="0"/>
    <x v="0"/>
    <m/>
    <m/>
    <n v="60104"/>
    <m/>
    <m/>
    <m/>
  </r>
  <r>
    <x v="180"/>
    <x v="6"/>
    <s v="네이버 브랜드검색"/>
    <x v="0"/>
    <x v="0"/>
    <x v="0"/>
    <m/>
    <m/>
    <n v="40000"/>
    <m/>
    <m/>
    <m/>
  </r>
  <r>
    <x v="180"/>
    <x v="6"/>
    <s v="네이버 쇼핑검색"/>
    <x v="0"/>
    <x v="0"/>
    <x v="0"/>
    <m/>
    <m/>
    <n v="60699.99999999999"/>
    <m/>
    <m/>
    <m/>
  </r>
  <r>
    <x v="181"/>
    <x v="3"/>
    <s v="인스타그램(랄라블라)"/>
    <x v="0"/>
    <x v="0"/>
    <x v="0"/>
    <m/>
    <m/>
    <n v="30063"/>
    <m/>
    <m/>
    <m/>
  </r>
  <r>
    <x v="181"/>
    <x v="3"/>
    <s v="인스타그램(리타게팅 전환)"/>
    <x v="0"/>
    <x v="0"/>
    <x v="0"/>
    <m/>
    <m/>
    <n v="98277"/>
    <m/>
    <m/>
    <m/>
  </r>
  <r>
    <x v="181"/>
    <x v="3"/>
    <s v="인스타그램(전환)"/>
    <x v="0"/>
    <x v="0"/>
    <x v="0"/>
    <m/>
    <m/>
    <n v="483368"/>
    <m/>
    <m/>
    <m/>
  </r>
  <r>
    <x v="181"/>
    <x v="3"/>
    <s v="인스타VC(전환)"/>
    <x v="0"/>
    <x v="0"/>
    <x v="0"/>
    <m/>
    <m/>
    <n v="148860"/>
    <m/>
    <m/>
    <m/>
  </r>
  <r>
    <x v="181"/>
    <x v="3"/>
    <s v="페북/인스타(전환)"/>
    <x v="0"/>
    <x v="0"/>
    <x v="0"/>
    <m/>
    <m/>
    <n v="396871"/>
    <m/>
    <m/>
    <m/>
  </r>
  <r>
    <x v="181"/>
    <x v="3"/>
    <s v="인스타그램(일본1324)"/>
    <x v="0"/>
    <x v="0"/>
    <x v="0"/>
    <m/>
    <m/>
    <n v="60007"/>
    <m/>
    <m/>
    <m/>
  </r>
  <r>
    <x v="181"/>
    <x v="3"/>
    <s v="네이버 GFA"/>
    <x v="0"/>
    <x v="0"/>
    <x v="0"/>
    <m/>
    <m/>
    <n v="265129.0909090909"/>
    <m/>
    <m/>
    <m/>
  </r>
  <r>
    <x v="181"/>
    <x v="3"/>
    <s v="카카오광고"/>
    <x v="0"/>
    <x v="0"/>
    <x v="0"/>
    <m/>
    <m/>
    <n v="2300"/>
    <m/>
    <m/>
    <m/>
  </r>
  <r>
    <x v="181"/>
    <x v="3"/>
    <s v="네이버 브랜드검색"/>
    <x v="0"/>
    <x v="0"/>
    <x v="0"/>
    <m/>
    <m/>
    <n v="40000"/>
    <m/>
    <m/>
    <m/>
  </r>
  <r>
    <x v="181"/>
    <x v="3"/>
    <s v="네이버 쇼핑검색"/>
    <x v="0"/>
    <x v="0"/>
    <x v="0"/>
    <m/>
    <m/>
    <n v="82950"/>
    <m/>
    <m/>
    <m/>
  </r>
  <r>
    <x v="182"/>
    <x v="4"/>
    <s v="인스타그램(랄라블라)"/>
    <x v="0"/>
    <x v="0"/>
    <x v="0"/>
    <m/>
    <m/>
    <n v="30031"/>
    <m/>
    <m/>
    <m/>
  </r>
  <r>
    <x v="182"/>
    <x v="4"/>
    <s v="인스타그램(리타게팅 전환)"/>
    <x v="0"/>
    <x v="0"/>
    <x v="0"/>
    <m/>
    <m/>
    <n v="99718"/>
    <m/>
    <m/>
    <m/>
  </r>
  <r>
    <x v="182"/>
    <x v="4"/>
    <s v="인스타그램(전환)"/>
    <x v="0"/>
    <x v="0"/>
    <x v="0"/>
    <m/>
    <m/>
    <n v="582204"/>
    <m/>
    <m/>
    <m/>
  </r>
  <r>
    <x v="182"/>
    <x v="4"/>
    <s v="인스타VC(전환)"/>
    <x v="0"/>
    <x v="0"/>
    <x v="0"/>
    <m/>
    <m/>
    <n v="259105"/>
    <m/>
    <m/>
    <m/>
  </r>
  <r>
    <x v="182"/>
    <x v="4"/>
    <s v="페북/인스타(전환)"/>
    <x v="0"/>
    <x v="0"/>
    <x v="0"/>
    <m/>
    <m/>
    <n v="345807"/>
    <m/>
    <m/>
    <m/>
  </r>
  <r>
    <x v="182"/>
    <x v="4"/>
    <s v="인스타그램(일본1324)"/>
    <x v="0"/>
    <x v="0"/>
    <x v="0"/>
    <m/>
    <m/>
    <n v="60032"/>
    <m/>
    <m/>
    <m/>
  </r>
  <r>
    <x v="182"/>
    <x v="4"/>
    <s v="네이버 GFA"/>
    <x v="0"/>
    <x v="0"/>
    <x v="0"/>
    <m/>
    <m/>
    <n v="263225.4545454545"/>
    <m/>
    <m/>
    <m/>
  </r>
  <r>
    <x v="182"/>
    <x v="4"/>
    <s v="카카오광고"/>
    <x v="0"/>
    <x v="0"/>
    <x v="0"/>
    <m/>
    <m/>
    <n v="7229.999999999999"/>
    <m/>
    <m/>
    <m/>
  </r>
  <r>
    <x v="182"/>
    <x v="4"/>
    <s v="네이버 브랜드검색"/>
    <x v="0"/>
    <x v="0"/>
    <x v="0"/>
    <m/>
    <m/>
    <n v="40000"/>
    <m/>
    <m/>
    <m/>
  </r>
  <r>
    <x v="182"/>
    <x v="4"/>
    <s v="네이버 쇼핑검색"/>
    <x v="0"/>
    <x v="0"/>
    <x v="0"/>
    <m/>
    <m/>
    <n v="82970"/>
    <m/>
    <m/>
    <m/>
  </r>
  <r>
    <x v="183"/>
    <x v="1"/>
    <s v="인스타그램(랄라블라)"/>
    <x v="0"/>
    <x v="0"/>
    <x v="0"/>
    <m/>
    <m/>
    <n v="29052"/>
    <m/>
    <m/>
    <m/>
  </r>
  <r>
    <x v="183"/>
    <x v="1"/>
    <s v="인스타그램(리타게팅 전환)"/>
    <x v="0"/>
    <x v="0"/>
    <x v="0"/>
    <m/>
    <m/>
    <n v="100123"/>
    <m/>
    <m/>
    <m/>
  </r>
  <r>
    <x v="183"/>
    <x v="1"/>
    <s v="인스타그램(전환)"/>
    <x v="0"/>
    <x v="0"/>
    <x v="0"/>
    <m/>
    <m/>
    <n v="597557"/>
    <m/>
    <m/>
    <m/>
  </r>
  <r>
    <x v="183"/>
    <x v="1"/>
    <s v="인스타VC(전환)"/>
    <x v="0"/>
    <x v="0"/>
    <x v="0"/>
    <m/>
    <m/>
    <n v="194338"/>
    <m/>
    <m/>
    <m/>
  </r>
  <r>
    <x v="183"/>
    <x v="1"/>
    <s v="페북/인스타(전환)"/>
    <x v="0"/>
    <x v="0"/>
    <x v="0"/>
    <m/>
    <m/>
    <n v="338278"/>
    <m/>
    <m/>
    <m/>
  </r>
  <r>
    <x v="183"/>
    <x v="1"/>
    <s v="인스타그램(일본1324)"/>
    <x v="0"/>
    <x v="0"/>
    <x v="0"/>
    <m/>
    <m/>
    <n v="59965"/>
    <m/>
    <m/>
    <m/>
  </r>
  <r>
    <x v="183"/>
    <x v="1"/>
    <s v="네이버 GFA"/>
    <x v="0"/>
    <x v="0"/>
    <x v="0"/>
    <m/>
    <m/>
    <n v="374032.7272727272"/>
    <m/>
    <m/>
    <m/>
  </r>
  <r>
    <x v="183"/>
    <x v="1"/>
    <s v="카카오광고"/>
    <x v="0"/>
    <x v="0"/>
    <x v="0"/>
    <m/>
    <m/>
    <n v="5639.999999999999"/>
    <m/>
    <m/>
    <m/>
  </r>
  <r>
    <x v="183"/>
    <x v="1"/>
    <s v="네이버 브랜드검색"/>
    <x v="0"/>
    <x v="0"/>
    <x v="0"/>
    <m/>
    <m/>
    <n v="40000"/>
    <m/>
    <m/>
    <m/>
  </r>
  <r>
    <x v="183"/>
    <x v="1"/>
    <s v="네이버 쇼핑검색"/>
    <x v="0"/>
    <x v="0"/>
    <x v="0"/>
    <m/>
    <m/>
    <n v="87780"/>
    <m/>
    <m/>
    <m/>
  </r>
  <r>
    <x v="184"/>
    <x v="0"/>
    <s v="인스타그램(랄라블라)"/>
    <x v="0"/>
    <x v="0"/>
    <x v="0"/>
    <m/>
    <m/>
    <n v="29604"/>
    <m/>
    <m/>
    <m/>
  </r>
  <r>
    <x v="184"/>
    <x v="0"/>
    <s v="인스타그램(리타게팅 전환)"/>
    <x v="0"/>
    <x v="0"/>
    <x v="0"/>
    <m/>
    <m/>
    <n v="100834"/>
    <m/>
    <m/>
    <m/>
  </r>
  <r>
    <x v="184"/>
    <x v="0"/>
    <s v="인스타그램(전환)"/>
    <x v="0"/>
    <x v="0"/>
    <x v="0"/>
    <m/>
    <m/>
    <n v="600724"/>
    <m/>
    <m/>
    <m/>
  </r>
  <r>
    <x v="184"/>
    <x v="0"/>
    <s v="인스타VC(전환)"/>
    <x v="0"/>
    <x v="0"/>
    <x v="0"/>
    <m/>
    <m/>
    <n v="196303"/>
    <m/>
    <m/>
    <m/>
  </r>
  <r>
    <x v="184"/>
    <x v="0"/>
    <s v="페북/인스타(전환)"/>
    <x v="0"/>
    <x v="0"/>
    <x v="0"/>
    <m/>
    <m/>
    <n v="352025"/>
    <m/>
    <m/>
    <m/>
  </r>
  <r>
    <x v="184"/>
    <x v="0"/>
    <s v="인스타그램(일본1324)"/>
    <x v="0"/>
    <x v="0"/>
    <x v="0"/>
    <m/>
    <m/>
    <n v="60061"/>
    <m/>
    <m/>
    <m/>
  </r>
  <r>
    <x v="184"/>
    <x v="0"/>
    <s v="네이버 GFA"/>
    <x v="0"/>
    <x v="0"/>
    <x v="0"/>
    <m/>
    <m/>
    <n v="358552.7272727272"/>
    <m/>
    <m/>
    <m/>
  </r>
  <r>
    <x v="184"/>
    <x v="0"/>
    <s v="카카오광고"/>
    <x v="0"/>
    <x v="0"/>
    <x v="0"/>
    <m/>
    <m/>
    <n v="14580"/>
    <m/>
    <m/>
    <m/>
  </r>
  <r>
    <x v="184"/>
    <x v="0"/>
    <s v="네이버 브랜드검색"/>
    <x v="0"/>
    <x v="0"/>
    <x v="0"/>
    <m/>
    <m/>
    <n v="40000"/>
    <m/>
    <m/>
    <m/>
  </r>
  <r>
    <x v="184"/>
    <x v="0"/>
    <s v="네이버 쇼핑검색"/>
    <x v="0"/>
    <x v="0"/>
    <x v="0"/>
    <m/>
    <m/>
    <n v="81810"/>
    <m/>
    <m/>
    <m/>
  </r>
  <r>
    <x v="185"/>
    <x v="2"/>
    <s v="인스타그램(랄라블라)"/>
    <x v="0"/>
    <x v="0"/>
    <x v="0"/>
    <m/>
    <m/>
    <n v="29860"/>
    <m/>
    <m/>
    <m/>
  </r>
  <r>
    <x v="185"/>
    <x v="2"/>
    <s v="인스타그램(리타게팅 전환)"/>
    <x v="0"/>
    <x v="0"/>
    <x v="0"/>
    <m/>
    <m/>
    <n v="96590"/>
    <m/>
    <m/>
    <m/>
  </r>
  <r>
    <x v="185"/>
    <x v="2"/>
    <s v="인스타그램(전환)"/>
    <x v="0"/>
    <x v="0"/>
    <x v="0"/>
    <m/>
    <m/>
    <n v="576471"/>
    <m/>
    <m/>
    <m/>
  </r>
  <r>
    <x v="185"/>
    <x v="2"/>
    <s v="인스타VC(전환)"/>
    <x v="0"/>
    <x v="0"/>
    <x v="0"/>
    <m/>
    <m/>
    <n v="189805"/>
    <m/>
    <m/>
    <m/>
  </r>
  <r>
    <x v="185"/>
    <x v="2"/>
    <s v="페북/인스타(전환)"/>
    <x v="0"/>
    <x v="0"/>
    <x v="0"/>
    <m/>
    <m/>
    <n v="337759"/>
    <m/>
    <m/>
    <m/>
  </r>
  <r>
    <x v="185"/>
    <x v="2"/>
    <s v="인스타그램(일본1324)"/>
    <x v="0"/>
    <x v="0"/>
    <x v="0"/>
    <m/>
    <m/>
    <n v="60060"/>
    <m/>
    <m/>
    <m/>
  </r>
  <r>
    <x v="185"/>
    <x v="2"/>
    <s v="네이버 GFA"/>
    <x v="0"/>
    <x v="0"/>
    <x v="0"/>
    <m/>
    <m/>
    <n v="251520"/>
    <m/>
    <m/>
    <m/>
  </r>
  <r>
    <x v="185"/>
    <x v="2"/>
    <s v="카카오광고"/>
    <x v="0"/>
    <x v="0"/>
    <x v="0"/>
    <m/>
    <m/>
    <n v="8079.999999999999"/>
    <m/>
    <m/>
    <m/>
  </r>
  <r>
    <x v="185"/>
    <x v="2"/>
    <s v="네이버 브랜드검색"/>
    <x v="0"/>
    <x v="0"/>
    <x v="0"/>
    <m/>
    <m/>
    <n v="40000"/>
    <m/>
    <m/>
    <m/>
  </r>
  <r>
    <x v="185"/>
    <x v="2"/>
    <s v="네이버 쇼핑검색"/>
    <x v="0"/>
    <x v="0"/>
    <x v="0"/>
    <m/>
    <m/>
    <n v="64399.99999999999"/>
    <m/>
    <m/>
    <m/>
  </r>
  <r>
    <x v="186"/>
    <x v="5"/>
    <s v="인스타그램(랄라블라)"/>
    <x v="0"/>
    <x v="0"/>
    <x v="0"/>
    <m/>
    <m/>
    <n v="31369"/>
    <m/>
    <m/>
    <m/>
  </r>
  <r>
    <x v="186"/>
    <x v="5"/>
    <s v="인스타그램(리타게팅 전환)"/>
    <x v="0"/>
    <x v="0"/>
    <x v="0"/>
    <m/>
    <m/>
    <n v="104077"/>
    <m/>
    <m/>
    <m/>
  </r>
  <r>
    <x v="186"/>
    <x v="5"/>
    <s v="인스타그램(전환)"/>
    <x v="0"/>
    <x v="0"/>
    <x v="0"/>
    <m/>
    <m/>
    <n v="622164"/>
    <m/>
    <m/>
    <m/>
  </r>
  <r>
    <x v="186"/>
    <x v="5"/>
    <s v="인스타VC(전환)"/>
    <x v="0"/>
    <x v="0"/>
    <x v="0"/>
    <m/>
    <m/>
    <n v="201971"/>
    <m/>
    <m/>
    <m/>
  </r>
  <r>
    <x v="186"/>
    <x v="5"/>
    <s v="페북/인스타(전환)"/>
    <x v="0"/>
    <x v="0"/>
    <x v="0"/>
    <m/>
    <m/>
    <n v="362776"/>
    <m/>
    <m/>
    <m/>
  </r>
  <r>
    <x v="186"/>
    <x v="5"/>
    <s v="인스타그램(일본1324)"/>
    <x v="0"/>
    <x v="0"/>
    <x v="0"/>
    <m/>
    <m/>
    <n v="59754"/>
    <m/>
    <m/>
    <m/>
  </r>
  <r>
    <x v="186"/>
    <x v="5"/>
    <s v="카카오광고"/>
    <x v="0"/>
    <x v="0"/>
    <x v="0"/>
    <m/>
    <m/>
    <n v="10090"/>
    <m/>
    <m/>
    <m/>
  </r>
  <r>
    <x v="186"/>
    <x v="5"/>
    <s v="네이버 브랜드검색"/>
    <x v="0"/>
    <x v="0"/>
    <x v="0"/>
    <m/>
    <m/>
    <n v="40000"/>
    <m/>
    <m/>
    <m/>
  </r>
  <r>
    <x v="186"/>
    <x v="5"/>
    <s v="네이버 쇼핑검색"/>
    <x v="0"/>
    <x v="0"/>
    <x v="0"/>
    <m/>
    <m/>
    <n v="59969.99999999999"/>
    <m/>
    <m/>
    <m/>
  </r>
  <r>
    <x v="187"/>
    <x v="6"/>
    <s v="인스타그램(랄라블라)"/>
    <x v="0"/>
    <x v="0"/>
    <x v="0"/>
    <m/>
    <m/>
    <n v="30061"/>
    <m/>
    <m/>
    <m/>
  </r>
  <r>
    <x v="187"/>
    <x v="6"/>
    <s v="인스타그램(리타게팅 전환)"/>
    <x v="0"/>
    <x v="0"/>
    <x v="0"/>
    <m/>
    <m/>
    <n v="100532"/>
    <m/>
    <m/>
    <m/>
  </r>
  <r>
    <x v="187"/>
    <x v="6"/>
    <s v="인스타그램(전환)"/>
    <x v="0"/>
    <x v="0"/>
    <x v="0"/>
    <m/>
    <m/>
    <n v="600782"/>
    <m/>
    <m/>
    <m/>
  </r>
  <r>
    <x v="187"/>
    <x v="6"/>
    <s v="인스타VC(전환)"/>
    <x v="0"/>
    <x v="0"/>
    <x v="0"/>
    <m/>
    <m/>
    <n v="200202"/>
    <m/>
    <m/>
    <m/>
  </r>
  <r>
    <x v="187"/>
    <x v="6"/>
    <s v="페북/인스타(전환)"/>
    <x v="0"/>
    <x v="0"/>
    <x v="0"/>
    <m/>
    <m/>
    <n v="351072"/>
    <m/>
    <m/>
    <m/>
  </r>
  <r>
    <x v="187"/>
    <x v="6"/>
    <s v="인스타그램(일본1324)"/>
    <x v="0"/>
    <x v="0"/>
    <x v="0"/>
    <m/>
    <m/>
    <n v="60104"/>
    <m/>
    <m/>
    <m/>
  </r>
  <r>
    <x v="187"/>
    <x v="6"/>
    <s v="카카오광고"/>
    <x v="0"/>
    <x v="0"/>
    <x v="0"/>
    <m/>
    <m/>
    <n v="10840"/>
    <m/>
    <m/>
    <m/>
  </r>
  <r>
    <x v="187"/>
    <x v="6"/>
    <s v="네이버 브랜드검색"/>
    <x v="0"/>
    <x v="0"/>
    <x v="0"/>
    <m/>
    <m/>
    <n v="40000"/>
    <m/>
    <m/>
    <m/>
  </r>
  <r>
    <x v="187"/>
    <x v="6"/>
    <s v="네이버 쇼핑검색"/>
    <x v="0"/>
    <x v="0"/>
    <x v="0"/>
    <m/>
    <m/>
    <n v="61979.99999999999"/>
    <m/>
    <m/>
    <m/>
  </r>
  <r>
    <x v="182"/>
    <x v="4"/>
    <s v="기획사이다"/>
    <x v="0"/>
    <x v="0"/>
    <x v="0"/>
    <m/>
    <m/>
    <n v="9018181.818181818"/>
    <m/>
    <m/>
    <m/>
  </r>
  <r>
    <x v="182"/>
    <x v="4"/>
    <s v="기획사이다"/>
    <x v="4"/>
    <x v="0"/>
    <x v="0"/>
    <m/>
    <m/>
    <n v="3520909.090909091"/>
    <m/>
    <m/>
    <m/>
  </r>
  <r>
    <x v="188"/>
    <x v="3"/>
    <s v="인스타그램(랄라블라)"/>
    <x v="0"/>
    <x v="0"/>
    <x v="0"/>
    <m/>
    <m/>
    <n v="29524"/>
    <m/>
    <m/>
    <m/>
  </r>
  <r>
    <x v="189"/>
    <x v="4"/>
    <s v="인스타그램(랄라블라)"/>
    <x v="0"/>
    <x v="0"/>
    <x v="0"/>
    <m/>
    <m/>
    <n v="29965"/>
    <m/>
    <m/>
    <m/>
  </r>
  <r>
    <x v="190"/>
    <x v="1"/>
    <s v="인스타그램(랄라블라)"/>
    <x v="0"/>
    <x v="0"/>
    <x v="0"/>
    <m/>
    <m/>
    <n v="29619"/>
    <m/>
    <m/>
    <m/>
  </r>
  <r>
    <x v="191"/>
    <x v="0"/>
    <s v="인스타그램(랄라블라)"/>
    <x v="0"/>
    <x v="0"/>
    <x v="0"/>
    <m/>
    <m/>
    <n v="30325"/>
    <m/>
    <m/>
    <m/>
  </r>
  <r>
    <x v="192"/>
    <x v="2"/>
    <s v="인스타그램(랄라블라)"/>
    <x v="0"/>
    <x v="0"/>
    <x v="0"/>
    <m/>
    <m/>
    <n v="30300"/>
    <m/>
    <m/>
    <m/>
  </r>
  <r>
    <x v="193"/>
    <x v="5"/>
    <s v="인스타그램(랄라블라)"/>
    <x v="0"/>
    <x v="0"/>
    <x v="0"/>
    <m/>
    <m/>
    <n v="30205"/>
    <m/>
    <m/>
    <m/>
  </r>
  <r>
    <x v="194"/>
    <x v="6"/>
    <s v="인스타그램(랄라블라)"/>
    <x v="0"/>
    <x v="0"/>
    <x v="0"/>
    <m/>
    <m/>
    <n v="29599"/>
    <m/>
    <m/>
    <m/>
  </r>
  <r>
    <x v="195"/>
    <x v="3"/>
    <s v="인스타그램(랄라블라)"/>
    <x v="0"/>
    <x v="0"/>
    <x v="0"/>
    <m/>
    <m/>
    <n v="29272"/>
    <m/>
    <m/>
    <m/>
  </r>
  <r>
    <x v="196"/>
    <x v="4"/>
    <s v="인스타그램(랄라블라)"/>
    <x v="0"/>
    <x v="0"/>
    <x v="0"/>
    <m/>
    <m/>
    <n v="30293"/>
    <m/>
    <m/>
    <m/>
  </r>
  <r>
    <x v="197"/>
    <x v="1"/>
    <s v="인스타그램(랄라블라)"/>
    <x v="0"/>
    <x v="0"/>
    <x v="0"/>
    <m/>
    <m/>
    <n v="30249"/>
    <m/>
    <m/>
    <m/>
  </r>
  <r>
    <x v="198"/>
    <x v="0"/>
    <s v="인스타그램(랄라블라)"/>
    <x v="0"/>
    <x v="0"/>
    <x v="0"/>
    <m/>
    <m/>
    <n v="29359"/>
    <m/>
    <m/>
    <m/>
  </r>
  <r>
    <x v="199"/>
    <x v="2"/>
    <s v="인스타그램(랄라블라)"/>
    <x v="0"/>
    <x v="0"/>
    <x v="0"/>
    <m/>
    <m/>
    <n v="30627"/>
    <m/>
    <m/>
    <m/>
  </r>
  <r>
    <x v="200"/>
    <x v="5"/>
    <s v="인스타그램(랄라블라)"/>
    <x v="0"/>
    <x v="0"/>
    <x v="0"/>
    <m/>
    <m/>
    <n v="30601"/>
    <m/>
    <m/>
    <m/>
  </r>
  <r>
    <x v="201"/>
    <x v="6"/>
    <s v="인스타그램(랄라블라)"/>
    <x v="0"/>
    <x v="0"/>
    <x v="0"/>
    <m/>
    <m/>
    <n v="30049"/>
    <m/>
    <m/>
    <m/>
  </r>
  <r>
    <x v="202"/>
    <x v="3"/>
    <s v="인스타그램(랄라블라)"/>
    <x v="0"/>
    <x v="0"/>
    <x v="0"/>
    <m/>
    <m/>
    <n v="30010"/>
    <m/>
    <m/>
    <m/>
  </r>
  <r>
    <x v="203"/>
    <x v="4"/>
    <s v="인스타그램(랄라블라)"/>
    <x v="0"/>
    <x v="0"/>
    <x v="0"/>
    <m/>
    <m/>
    <n v="30006"/>
    <m/>
    <m/>
    <m/>
  </r>
  <r>
    <x v="204"/>
    <x v="1"/>
    <s v="인스타그램(랄라블라)"/>
    <x v="0"/>
    <x v="0"/>
    <x v="0"/>
    <m/>
    <m/>
    <n v="30070"/>
    <m/>
    <m/>
    <m/>
  </r>
  <r>
    <x v="205"/>
    <x v="0"/>
    <s v="인스타그램(랄라블라)"/>
    <x v="0"/>
    <x v="0"/>
    <x v="0"/>
    <m/>
    <m/>
    <n v="29986"/>
    <m/>
    <m/>
    <m/>
  </r>
  <r>
    <x v="206"/>
    <x v="2"/>
    <s v="인스타그램(랄라블라)"/>
    <x v="0"/>
    <x v="0"/>
    <x v="0"/>
    <m/>
    <m/>
    <n v="29823"/>
    <m/>
    <m/>
    <m/>
  </r>
  <r>
    <x v="207"/>
    <x v="5"/>
    <s v="인스타그램(랄라블라)"/>
    <x v="0"/>
    <x v="0"/>
    <x v="0"/>
    <m/>
    <m/>
    <n v="30056"/>
    <m/>
    <m/>
    <m/>
  </r>
  <r>
    <x v="208"/>
    <x v="6"/>
    <s v="인스타그램(랄라블라)"/>
    <x v="0"/>
    <x v="0"/>
    <x v="0"/>
    <m/>
    <m/>
    <n v="30131"/>
    <m/>
    <m/>
    <m/>
  </r>
  <r>
    <x v="209"/>
    <x v="3"/>
    <s v="인스타그램(랄라블라)"/>
    <x v="0"/>
    <x v="0"/>
    <x v="0"/>
    <m/>
    <m/>
    <n v="29568"/>
    <m/>
    <m/>
    <m/>
  </r>
  <r>
    <x v="210"/>
    <x v="4"/>
    <s v="인스타그램(랄라블라)"/>
    <x v="0"/>
    <x v="0"/>
    <x v="0"/>
    <m/>
    <m/>
    <n v="29454"/>
    <m/>
    <m/>
    <m/>
  </r>
  <r>
    <x v="211"/>
    <x v="1"/>
    <s v="인스타그램(랄라블라)"/>
    <x v="0"/>
    <x v="0"/>
    <x v="0"/>
    <m/>
    <m/>
    <n v="30326"/>
    <m/>
    <m/>
    <m/>
  </r>
  <r>
    <x v="212"/>
    <x v="0"/>
    <s v="인스타그램(랄라블라)"/>
    <x v="0"/>
    <x v="0"/>
    <x v="0"/>
    <m/>
    <m/>
    <n v="30189"/>
    <m/>
    <m/>
    <m/>
  </r>
  <r>
    <x v="188"/>
    <x v="3"/>
    <s v="인스타그램(일본1324)"/>
    <x v="0"/>
    <x v="0"/>
    <x v="0"/>
    <m/>
    <m/>
    <n v="60091"/>
    <m/>
    <m/>
    <m/>
  </r>
  <r>
    <x v="189"/>
    <x v="4"/>
    <s v="인스타그램(일본1324)"/>
    <x v="0"/>
    <x v="0"/>
    <x v="0"/>
    <m/>
    <m/>
    <n v="27136"/>
    <m/>
    <m/>
    <m/>
  </r>
  <r>
    <x v="191"/>
    <x v="0"/>
    <s v="인스타그램(일본1324)"/>
    <x v="0"/>
    <x v="0"/>
    <x v="0"/>
    <m/>
    <m/>
    <n v="68319"/>
    <m/>
    <m/>
    <m/>
  </r>
  <r>
    <x v="192"/>
    <x v="2"/>
    <s v="인스타그램(일본1324)"/>
    <x v="0"/>
    <x v="0"/>
    <x v="0"/>
    <m/>
    <m/>
    <n v="69126"/>
    <m/>
    <m/>
    <m/>
  </r>
  <r>
    <x v="193"/>
    <x v="5"/>
    <s v="인스타그램(일본1324)"/>
    <x v="0"/>
    <x v="0"/>
    <x v="0"/>
    <m/>
    <m/>
    <n v="69113"/>
    <m/>
    <m/>
    <m/>
  </r>
  <r>
    <x v="194"/>
    <x v="6"/>
    <s v="인스타그램(일본1324)"/>
    <x v="0"/>
    <x v="0"/>
    <x v="0"/>
    <m/>
    <m/>
    <n v="59824"/>
    <m/>
    <m/>
    <m/>
  </r>
  <r>
    <x v="195"/>
    <x v="3"/>
    <s v="인스타그램(일본1324)"/>
    <x v="0"/>
    <x v="0"/>
    <x v="0"/>
    <m/>
    <m/>
    <n v="60087"/>
    <m/>
    <m/>
    <m/>
  </r>
  <r>
    <x v="196"/>
    <x v="4"/>
    <s v="인스타그램(일본1324)"/>
    <x v="0"/>
    <x v="0"/>
    <x v="0"/>
    <m/>
    <m/>
    <n v="60098"/>
    <m/>
    <m/>
    <m/>
  </r>
  <r>
    <x v="197"/>
    <x v="1"/>
    <s v="인스타그램(일본1324)"/>
    <x v="0"/>
    <x v="0"/>
    <x v="0"/>
    <m/>
    <m/>
    <n v="60118"/>
    <m/>
    <m/>
    <m/>
  </r>
  <r>
    <x v="198"/>
    <x v="0"/>
    <s v="인스타그램(일본1324)"/>
    <x v="0"/>
    <x v="0"/>
    <x v="0"/>
    <m/>
    <m/>
    <n v="60030"/>
    <m/>
    <m/>
    <m/>
  </r>
  <r>
    <x v="199"/>
    <x v="2"/>
    <s v="인스타그램(일본1324)"/>
    <x v="0"/>
    <x v="0"/>
    <x v="0"/>
    <m/>
    <m/>
    <n v="105463"/>
    <m/>
    <m/>
    <m/>
  </r>
  <r>
    <x v="200"/>
    <x v="5"/>
    <s v="인스타그램(일본1324)"/>
    <x v="0"/>
    <x v="0"/>
    <x v="0"/>
    <m/>
    <m/>
    <n v="139054"/>
    <m/>
    <m/>
    <m/>
  </r>
  <r>
    <x v="201"/>
    <x v="6"/>
    <s v="인스타그램(일본1324)"/>
    <x v="0"/>
    <x v="0"/>
    <x v="0"/>
    <m/>
    <m/>
    <n v="150143"/>
    <m/>
    <m/>
    <m/>
  </r>
  <r>
    <x v="202"/>
    <x v="3"/>
    <s v="인스타그램(일본1324)"/>
    <x v="0"/>
    <x v="0"/>
    <x v="0"/>
    <m/>
    <m/>
    <n v="150138"/>
    <m/>
    <m/>
    <m/>
  </r>
  <r>
    <x v="203"/>
    <x v="4"/>
    <s v="인스타그램(일본1324)"/>
    <x v="0"/>
    <x v="0"/>
    <x v="0"/>
    <m/>
    <m/>
    <n v="149667"/>
    <m/>
    <m/>
    <m/>
  </r>
  <r>
    <x v="204"/>
    <x v="1"/>
    <s v="인스타그램(일본1324)"/>
    <x v="0"/>
    <x v="0"/>
    <x v="0"/>
    <m/>
    <m/>
    <n v="148373"/>
    <m/>
    <m/>
    <m/>
  </r>
  <r>
    <x v="205"/>
    <x v="0"/>
    <s v="인스타그램(일본1324)"/>
    <x v="0"/>
    <x v="0"/>
    <x v="0"/>
    <m/>
    <m/>
    <n v="146982"/>
    <m/>
    <m/>
    <m/>
  </r>
  <r>
    <x v="206"/>
    <x v="2"/>
    <s v="인스타그램(일본1324)"/>
    <x v="0"/>
    <x v="0"/>
    <x v="0"/>
    <m/>
    <m/>
    <n v="151948"/>
    <m/>
    <m/>
    <m/>
  </r>
  <r>
    <x v="207"/>
    <x v="5"/>
    <s v="인스타그램(일본1324)"/>
    <x v="0"/>
    <x v="0"/>
    <x v="0"/>
    <m/>
    <m/>
    <n v="152712"/>
    <m/>
    <m/>
    <m/>
  </r>
  <r>
    <x v="208"/>
    <x v="6"/>
    <s v="인스타그램(일본1324)"/>
    <x v="0"/>
    <x v="0"/>
    <x v="0"/>
    <m/>
    <m/>
    <n v="151033"/>
    <m/>
    <m/>
    <m/>
  </r>
  <r>
    <x v="209"/>
    <x v="3"/>
    <s v="인스타그램(일본1324)"/>
    <x v="0"/>
    <x v="0"/>
    <x v="0"/>
    <m/>
    <m/>
    <n v="149879"/>
    <m/>
    <m/>
    <m/>
  </r>
  <r>
    <x v="210"/>
    <x v="4"/>
    <s v="인스타그램(일본1324)"/>
    <x v="0"/>
    <x v="0"/>
    <x v="0"/>
    <m/>
    <m/>
    <n v="149682"/>
    <m/>
    <m/>
    <m/>
  </r>
  <r>
    <x v="211"/>
    <x v="1"/>
    <s v="인스타그램(일본1324)"/>
    <x v="0"/>
    <x v="0"/>
    <x v="0"/>
    <m/>
    <m/>
    <n v="149463"/>
    <m/>
    <m/>
    <m/>
  </r>
  <r>
    <x v="212"/>
    <x v="0"/>
    <s v="인스타그램(일본1324)"/>
    <x v="0"/>
    <x v="0"/>
    <x v="0"/>
    <m/>
    <m/>
    <n v="149704"/>
    <m/>
    <m/>
    <m/>
  </r>
  <r>
    <x v="188"/>
    <x v="3"/>
    <s v="인스타그램(전환)"/>
    <x v="0"/>
    <x v="0"/>
    <x v="0"/>
    <m/>
    <m/>
    <n v="583748"/>
    <m/>
    <m/>
    <m/>
  </r>
  <r>
    <x v="189"/>
    <x v="4"/>
    <s v="인스타그램(전환)"/>
    <x v="0"/>
    <x v="0"/>
    <x v="0"/>
    <m/>
    <m/>
    <n v="588087"/>
    <m/>
    <m/>
    <m/>
  </r>
  <r>
    <x v="190"/>
    <x v="1"/>
    <s v="인스타그램(전환)"/>
    <x v="0"/>
    <x v="0"/>
    <x v="0"/>
    <m/>
    <m/>
    <n v="590710"/>
    <m/>
    <m/>
    <m/>
  </r>
  <r>
    <x v="191"/>
    <x v="0"/>
    <s v="인스타그램(전환)"/>
    <x v="0"/>
    <x v="0"/>
    <x v="0"/>
    <m/>
    <m/>
    <n v="593965"/>
    <m/>
    <m/>
    <m/>
  </r>
  <r>
    <x v="192"/>
    <x v="2"/>
    <s v="인스타그램(전환)"/>
    <x v="0"/>
    <x v="0"/>
    <x v="0"/>
    <m/>
    <m/>
    <n v="594150"/>
    <m/>
    <m/>
    <m/>
  </r>
  <r>
    <x v="193"/>
    <x v="5"/>
    <s v="인스타그램(전환)"/>
    <x v="0"/>
    <x v="0"/>
    <x v="0"/>
    <m/>
    <m/>
    <n v="648558"/>
    <m/>
    <m/>
    <m/>
  </r>
  <r>
    <x v="194"/>
    <x v="6"/>
    <s v="인스타그램(전환)"/>
    <x v="0"/>
    <x v="0"/>
    <x v="0"/>
    <m/>
    <m/>
    <n v="600965"/>
    <m/>
    <m/>
    <m/>
  </r>
  <r>
    <x v="195"/>
    <x v="3"/>
    <s v="인스타그램(전환)"/>
    <x v="0"/>
    <x v="0"/>
    <x v="0"/>
    <m/>
    <m/>
    <n v="578385"/>
    <m/>
    <m/>
    <m/>
  </r>
  <r>
    <x v="196"/>
    <x v="4"/>
    <s v="인스타그램(전환)"/>
    <x v="0"/>
    <x v="0"/>
    <x v="0"/>
    <m/>
    <m/>
    <n v="581746"/>
    <m/>
    <m/>
    <m/>
  </r>
  <r>
    <x v="197"/>
    <x v="1"/>
    <s v="인스타그램(전환)"/>
    <x v="0"/>
    <x v="0"/>
    <x v="0"/>
    <m/>
    <m/>
    <n v="610360"/>
    <m/>
    <m/>
    <m/>
  </r>
  <r>
    <x v="198"/>
    <x v="0"/>
    <s v="인스타그램(전환)"/>
    <x v="0"/>
    <x v="0"/>
    <x v="0"/>
    <m/>
    <m/>
    <n v="590891"/>
    <m/>
    <m/>
    <m/>
  </r>
  <r>
    <x v="199"/>
    <x v="2"/>
    <s v="인스타그램(전환)"/>
    <x v="0"/>
    <x v="0"/>
    <x v="0"/>
    <m/>
    <m/>
    <n v="592901"/>
    <m/>
    <m/>
    <m/>
  </r>
  <r>
    <x v="200"/>
    <x v="5"/>
    <s v="인스타그램(전환)"/>
    <x v="0"/>
    <x v="0"/>
    <x v="0"/>
    <m/>
    <m/>
    <n v="644752"/>
    <m/>
    <m/>
    <m/>
  </r>
  <r>
    <x v="201"/>
    <x v="6"/>
    <s v="인스타그램(전환)"/>
    <x v="0"/>
    <x v="0"/>
    <x v="0"/>
    <m/>
    <m/>
    <n v="601660"/>
    <m/>
    <m/>
    <m/>
  </r>
  <r>
    <x v="202"/>
    <x v="3"/>
    <s v="인스타그램(전환)"/>
    <x v="0"/>
    <x v="0"/>
    <x v="0"/>
    <m/>
    <m/>
    <n v="477360"/>
    <m/>
    <m/>
    <m/>
  </r>
  <r>
    <x v="203"/>
    <x v="4"/>
    <s v="인스타그램(전환)"/>
    <x v="0"/>
    <x v="0"/>
    <x v="0"/>
    <m/>
    <m/>
    <n v="385294"/>
    <m/>
    <m/>
    <m/>
  </r>
  <r>
    <x v="204"/>
    <x v="1"/>
    <s v="인스타그램(전환)"/>
    <x v="0"/>
    <x v="0"/>
    <x v="0"/>
    <m/>
    <m/>
    <n v="382499"/>
    <m/>
    <m/>
    <m/>
  </r>
  <r>
    <x v="205"/>
    <x v="0"/>
    <s v="인스타그램(전환)"/>
    <x v="0"/>
    <x v="0"/>
    <x v="0"/>
    <m/>
    <m/>
    <n v="441853"/>
    <m/>
    <m/>
    <m/>
  </r>
  <r>
    <x v="206"/>
    <x v="2"/>
    <s v="인스타그램(전환)"/>
    <x v="0"/>
    <x v="0"/>
    <x v="0"/>
    <m/>
    <m/>
    <n v="462558"/>
    <m/>
    <m/>
    <m/>
  </r>
  <r>
    <x v="207"/>
    <x v="5"/>
    <s v="인스타그램(전환)"/>
    <x v="0"/>
    <x v="0"/>
    <x v="0"/>
    <m/>
    <m/>
    <n v="498843"/>
    <m/>
    <m/>
    <m/>
  </r>
  <r>
    <x v="208"/>
    <x v="6"/>
    <s v="인스타그램(전환)"/>
    <x v="0"/>
    <x v="0"/>
    <x v="0"/>
    <m/>
    <m/>
    <n v="500575"/>
    <m/>
    <m/>
    <m/>
  </r>
  <r>
    <x v="209"/>
    <x v="3"/>
    <s v="인스타그램(전환)"/>
    <x v="0"/>
    <x v="0"/>
    <x v="0"/>
    <m/>
    <m/>
    <n v="483769"/>
    <m/>
    <m/>
    <m/>
  </r>
  <r>
    <x v="210"/>
    <x v="4"/>
    <s v="인스타그램(전환)"/>
    <x v="0"/>
    <x v="0"/>
    <x v="0"/>
    <m/>
    <m/>
    <n v="483464"/>
    <m/>
    <m/>
    <m/>
  </r>
  <r>
    <x v="211"/>
    <x v="1"/>
    <s v="인스타그램(전환)"/>
    <x v="0"/>
    <x v="0"/>
    <x v="0"/>
    <m/>
    <m/>
    <n v="614832"/>
    <m/>
    <m/>
    <m/>
  </r>
  <r>
    <x v="212"/>
    <x v="0"/>
    <s v="인스타그램(전환)"/>
    <x v="0"/>
    <x v="0"/>
    <x v="0"/>
    <m/>
    <m/>
    <n v="554402"/>
    <m/>
    <m/>
    <m/>
  </r>
  <r>
    <x v="188"/>
    <x v="3"/>
    <s v="인스타그램(리타게팅 전환)"/>
    <x v="0"/>
    <x v="0"/>
    <x v="0"/>
    <m/>
    <m/>
    <n v="100119"/>
    <m/>
    <m/>
    <m/>
  </r>
  <r>
    <x v="189"/>
    <x v="4"/>
    <s v="인스타그램(리타게팅 전환)"/>
    <x v="0"/>
    <x v="0"/>
    <x v="0"/>
    <m/>
    <m/>
    <n v="97230"/>
    <m/>
    <m/>
    <m/>
  </r>
  <r>
    <x v="190"/>
    <x v="1"/>
    <s v="인스타그램(리타게팅 전환)"/>
    <x v="0"/>
    <x v="0"/>
    <x v="0"/>
    <m/>
    <m/>
    <n v="100566"/>
    <m/>
    <m/>
    <m/>
  </r>
  <r>
    <x v="191"/>
    <x v="0"/>
    <s v="인스타그램(리타게팅 전환)"/>
    <x v="0"/>
    <x v="0"/>
    <x v="0"/>
    <m/>
    <m/>
    <n v="100375"/>
    <m/>
    <m/>
    <m/>
  </r>
  <r>
    <x v="192"/>
    <x v="2"/>
    <s v="인스타그램(리타게팅 전환)"/>
    <x v="0"/>
    <x v="0"/>
    <x v="0"/>
    <m/>
    <m/>
    <n v="96880"/>
    <m/>
    <m/>
    <m/>
  </r>
  <r>
    <x v="193"/>
    <x v="5"/>
    <s v="인스타그램(리타게팅 전환)"/>
    <x v="0"/>
    <x v="0"/>
    <x v="0"/>
    <m/>
    <m/>
    <n v="104298"/>
    <m/>
    <m/>
    <m/>
  </r>
  <r>
    <x v="194"/>
    <x v="6"/>
    <s v="인스타그램(리타게팅 전환)"/>
    <x v="0"/>
    <x v="0"/>
    <x v="0"/>
    <m/>
    <m/>
    <n v="100533"/>
    <m/>
    <m/>
    <m/>
  </r>
  <r>
    <x v="195"/>
    <x v="3"/>
    <s v="인스타그램(리타게팅 전환)"/>
    <x v="0"/>
    <x v="0"/>
    <x v="0"/>
    <m/>
    <m/>
    <n v="97614"/>
    <m/>
    <m/>
    <m/>
  </r>
  <r>
    <x v="196"/>
    <x v="4"/>
    <s v="인스타그램(리타게팅 전환)"/>
    <x v="0"/>
    <x v="0"/>
    <x v="0"/>
    <m/>
    <m/>
    <n v="99229"/>
    <m/>
    <m/>
    <m/>
  </r>
  <r>
    <x v="197"/>
    <x v="1"/>
    <s v="인스타그램(리타게팅 전환)"/>
    <x v="0"/>
    <x v="0"/>
    <x v="0"/>
    <m/>
    <m/>
    <n v="101170"/>
    <m/>
    <m/>
    <m/>
  </r>
  <r>
    <x v="198"/>
    <x v="0"/>
    <s v="인스타그램(리타게팅 전환)"/>
    <x v="0"/>
    <x v="0"/>
    <x v="0"/>
    <m/>
    <m/>
    <n v="96795"/>
    <m/>
    <m/>
    <m/>
  </r>
  <r>
    <x v="199"/>
    <x v="2"/>
    <s v="인스타그램(리타게팅 전환)"/>
    <x v="0"/>
    <x v="0"/>
    <x v="0"/>
    <m/>
    <m/>
    <n v="98991"/>
    <m/>
    <m/>
    <m/>
  </r>
  <r>
    <x v="200"/>
    <x v="5"/>
    <s v="인스타그램(리타게팅 전환)"/>
    <x v="0"/>
    <x v="0"/>
    <x v="0"/>
    <m/>
    <m/>
    <n v="105668"/>
    <m/>
    <m/>
    <m/>
  </r>
  <r>
    <x v="201"/>
    <x v="6"/>
    <s v="인스타그램(리타게팅 전환)"/>
    <x v="0"/>
    <x v="0"/>
    <x v="0"/>
    <m/>
    <m/>
    <n v="100894"/>
    <m/>
    <m/>
    <m/>
  </r>
  <r>
    <x v="202"/>
    <x v="3"/>
    <s v="인스타그램(리타게팅 전환)"/>
    <x v="0"/>
    <x v="0"/>
    <x v="0"/>
    <m/>
    <m/>
    <n v="98923"/>
    <m/>
    <m/>
    <m/>
  </r>
  <r>
    <x v="203"/>
    <x v="4"/>
    <s v="인스타그램(리타게팅 전환)"/>
    <x v="0"/>
    <x v="0"/>
    <x v="0"/>
    <m/>
    <m/>
    <n v="99858"/>
    <m/>
    <m/>
    <m/>
  </r>
  <r>
    <x v="204"/>
    <x v="1"/>
    <s v="인스타그램(리타게팅 전환)"/>
    <x v="0"/>
    <x v="0"/>
    <x v="0"/>
    <m/>
    <m/>
    <n v="97027"/>
    <m/>
    <m/>
    <m/>
  </r>
  <r>
    <x v="205"/>
    <x v="0"/>
    <s v="인스타그램(리타게팅 전환)"/>
    <x v="0"/>
    <x v="0"/>
    <x v="0"/>
    <m/>
    <m/>
    <n v="100389"/>
    <m/>
    <m/>
    <m/>
  </r>
  <r>
    <x v="206"/>
    <x v="2"/>
    <s v="인스타그램(리타게팅 전환)"/>
    <x v="0"/>
    <x v="0"/>
    <x v="0"/>
    <m/>
    <m/>
    <n v="98399"/>
    <m/>
    <m/>
    <m/>
  </r>
  <r>
    <x v="207"/>
    <x v="5"/>
    <s v="인스타그램(리타게팅 전환)"/>
    <x v="0"/>
    <x v="0"/>
    <x v="0"/>
    <m/>
    <m/>
    <n v="104503"/>
    <m/>
    <m/>
    <m/>
  </r>
  <r>
    <x v="208"/>
    <x v="6"/>
    <s v="인스타그램(리타게팅 전환)"/>
    <x v="0"/>
    <x v="0"/>
    <x v="0"/>
    <m/>
    <m/>
    <n v="100416"/>
    <m/>
    <m/>
    <m/>
  </r>
  <r>
    <x v="209"/>
    <x v="3"/>
    <s v="인스타그램(리타게팅 전환)"/>
    <x v="0"/>
    <x v="0"/>
    <x v="0"/>
    <m/>
    <m/>
    <n v="98748"/>
    <m/>
    <m/>
    <m/>
  </r>
  <r>
    <x v="210"/>
    <x v="4"/>
    <s v="인스타그램(리타게팅 전환)"/>
    <x v="0"/>
    <x v="0"/>
    <x v="0"/>
    <m/>
    <m/>
    <n v="97518"/>
    <m/>
    <m/>
    <m/>
  </r>
  <r>
    <x v="211"/>
    <x v="1"/>
    <s v="인스타그램(리타게팅 전환)"/>
    <x v="0"/>
    <x v="0"/>
    <x v="0"/>
    <m/>
    <m/>
    <n v="97837"/>
    <m/>
    <m/>
    <m/>
  </r>
  <r>
    <x v="212"/>
    <x v="0"/>
    <s v="인스타그램(리타게팅 전환)"/>
    <x v="0"/>
    <x v="0"/>
    <x v="0"/>
    <m/>
    <m/>
    <n v="100664"/>
    <m/>
    <m/>
    <m/>
  </r>
  <r>
    <x v="209"/>
    <x v="3"/>
    <s v="인스타그램(소재테스트)"/>
    <x v="0"/>
    <x v="0"/>
    <x v="0"/>
    <m/>
    <m/>
    <n v="15841"/>
    <m/>
    <m/>
    <m/>
  </r>
  <r>
    <x v="210"/>
    <x v="4"/>
    <s v="인스타그램(소재테스트)"/>
    <x v="0"/>
    <x v="0"/>
    <x v="0"/>
    <m/>
    <m/>
    <n v="76604"/>
    <m/>
    <m/>
    <m/>
  </r>
  <r>
    <x v="211"/>
    <x v="1"/>
    <s v="인스타그램(소재테스트)"/>
    <x v="0"/>
    <x v="0"/>
    <x v="0"/>
    <m/>
    <m/>
    <n v="94314"/>
    <m/>
    <m/>
    <m/>
  </r>
  <r>
    <x v="212"/>
    <x v="0"/>
    <s v="인스타그램(소재테스트)"/>
    <x v="0"/>
    <x v="0"/>
    <x v="0"/>
    <m/>
    <m/>
    <n v="98240"/>
    <m/>
    <m/>
    <m/>
  </r>
  <r>
    <x v="188"/>
    <x v="3"/>
    <s v="인스타VC(전환)"/>
    <x v="0"/>
    <x v="0"/>
    <x v="0"/>
    <m/>
    <m/>
    <n v="193838"/>
    <m/>
    <m/>
    <m/>
  </r>
  <r>
    <x v="189"/>
    <x v="4"/>
    <s v="인스타VC(전환)"/>
    <x v="0"/>
    <x v="0"/>
    <x v="0"/>
    <m/>
    <m/>
    <n v="198522"/>
    <m/>
    <m/>
    <m/>
  </r>
  <r>
    <x v="190"/>
    <x v="1"/>
    <s v="인스타VC(전환)"/>
    <x v="0"/>
    <x v="0"/>
    <x v="0"/>
    <m/>
    <m/>
    <n v="197028"/>
    <m/>
    <m/>
    <m/>
  </r>
  <r>
    <x v="191"/>
    <x v="0"/>
    <s v="인스타VC(전환)"/>
    <x v="0"/>
    <x v="0"/>
    <x v="0"/>
    <m/>
    <m/>
    <n v="201794"/>
    <m/>
    <m/>
    <m/>
  </r>
  <r>
    <x v="192"/>
    <x v="2"/>
    <s v="인스타VC(전환)"/>
    <x v="0"/>
    <x v="0"/>
    <x v="0"/>
    <m/>
    <m/>
    <n v="244514"/>
    <m/>
    <m/>
    <m/>
  </r>
  <r>
    <x v="193"/>
    <x v="5"/>
    <s v="인스타VC(전환)"/>
    <x v="0"/>
    <x v="0"/>
    <x v="0"/>
    <m/>
    <m/>
    <n v="276092"/>
    <m/>
    <m/>
    <m/>
  </r>
  <r>
    <x v="194"/>
    <x v="6"/>
    <s v="인스타VC(전환)"/>
    <x v="0"/>
    <x v="0"/>
    <x v="0"/>
    <m/>
    <m/>
    <n v="300406"/>
    <m/>
    <m/>
    <m/>
  </r>
  <r>
    <x v="195"/>
    <x v="3"/>
    <s v="인스타VC(전환)"/>
    <x v="0"/>
    <x v="0"/>
    <x v="0"/>
    <m/>
    <m/>
    <n v="288994"/>
    <m/>
    <m/>
    <m/>
  </r>
  <r>
    <x v="196"/>
    <x v="4"/>
    <s v="인스타VC(전환)"/>
    <x v="0"/>
    <x v="0"/>
    <x v="0"/>
    <m/>
    <m/>
    <n v="291663"/>
    <m/>
    <m/>
    <m/>
  </r>
  <r>
    <x v="197"/>
    <x v="1"/>
    <s v="인스타VC(전환)"/>
    <x v="0"/>
    <x v="0"/>
    <x v="0"/>
    <m/>
    <m/>
    <n v="306467"/>
    <m/>
    <m/>
    <m/>
  </r>
  <r>
    <x v="198"/>
    <x v="0"/>
    <s v="인스타VC(전환)"/>
    <x v="0"/>
    <x v="0"/>
    <x v="0"/>
    <m/>
    <m/>
    <n v="291049"/>
    <m/>
    <m/>
    <m/>
  </r>
  <r>
    <x v="199"/>
    <x v="2"/>
    <s v="인스타VC(전환)"/>
    <x v="0"/>
    <x v="0"/>
    <x v="0"/>
    <m/>
    <m/>
    <n v="298086"/>
    <m/>
    <m/>
    <m/>
  </r>
  <r>
    <x v="200"/>
    <x v="5"/>
    <s v="인스타VC(전환)"/>
    <x v="0"/>
    <x v="0"/>
    <x v="0"/>
    <m/>
    <m/>
    <n v="323296"/>
    <m/>
    <m/>
    <m/>
  </r>
  <r>
    <x v="201"/>
    <x v="6"/>
    <s v="인스타VC(전환)"/>
    <x v="0"/>
    <x v="0"/>
    <x v="0"/>
    <m/>
    <m/>
    <n v="300456"/>
    <m/>
    <m/>
    <m/>
  </r>
  <r>
    <x v="202"/>
    <x v="3"/>
    <s v="인스타VC(전환)"/>
    <x v="0"/>
    <x v="0"/>
    <x v="0"/>
    <m/>
    <m/>
    <n v="295506"/>
    <m/>
    <m/>
    <m/>
  </r>
  <r>
    <x v="203"/>
    <x v="4"/>
    <s v="인스타VC(전환)"/>
    <x v="0"/>
    <x v="0"/>
    <x v="0"/>
    <m/>
    <m/>
    <n v="301922"/>
    <m/>
    <m/>
    <m/>
  </r>
  <r>
    <x v="204"/>
    <x v="1"/>
    <s v="인스타VC(전환)"/>
    <x v="0"/>
    <x v="0"/>
    <x v="0"/>
    <m/>
    <m/>
    <n v="287517"/>
    <m/>
    <m/>
    <m/>
  </r>
  <r>
    <x v="205"/>
    <x v="0"/>
    <s v="인스타VC(전환)"/>
    <x v="0"/>
    <x v="0"/>
    <x v="0"/>
    <m/>
    <m/>
    <n v="182105"/>
    <m/>
    <m/>
    <m/>
  </r>
  <r>
    <x v="206"/>
    <x v="2"/>
    <s v="인스타VC(전환)"/>
    <x v="0"/>
    <x v="0"/>
    <x v="0"/>
    <m/>
    <m/>
    <n v="56878"/>
    <m/>
    <m/>
    <m/>
  </r>
  <r>
    <x v="188"/>
    <x v="3"/>
    <s v="페북/인스타(전환)"/>
    <x v="0"/>
    <x v="0"/>
    <x v="0"/>
    <m/>
    <m/>
    <n v="350873"/>
    <m/>
    <m/>
    <m/>
  </r>
  <r>
    <x v="189"/>
    <x v="4"/>
    <s v="페북/인스타(전환)"/>
    <x v="0"/>
    <x v="0"/>
    <x v="0"/>
    <m/>
    <m/>
    <n v="233976"/>
    <m/>
    <m/>
    <m/>
  </r>
  <r>
    <x v="190"/>
    <x v="1"/>
    <s v="페북/인스타(전환)"/>
    <x v="0"/>
    <x v="0"/>
    <x v="0"/>
    <m/>
    <m/>
    <n v="149815"/>
    <m/>
    <m/>
    <m/>
  </r>
  <r>
    <x v="188"/>
    <x v="3"/>
    <s v="네이버 쇼핑검색"/>
    <x v="0"/>
    <x v="0"/>
    <x v="0"/>
    <m/>
    <m/>
    <n v="64099.99999999999"/>
    <m/>
    <m/>
    <m/>
  </r>
  <r>
    <x v="189"/>
    <x v="4"/>
    <s v="네이버 쇼핑검색"/>
    <x v="0"/>
    <x v="0"/>
    <x v="0"/>
    <m/>
    <m/>
    <n v="55869.99999999999"/>
    <m/>
    <m/>
    <m/>
  </r>
  <r>
    <x v="190"/>
    <x v="1"/>
    <s v="네이버 쇼핑검색"/>
    <x v="0"/>
    <x v="0"/>
    <x v="0"/>
    <m/>
    <m/>
    <n v="43590"/>
    <m/>
    <m/>
    <m/>
  </r>
  <r>
    <x v="191"/>
    <x v="0"/>
    <s v="네이버 쇼핑검색"/>
    <x v="0"/>
    <x v="0"/>
    <x v="0"/>
    <m/>
    <m/>
    <n v="56699.99999999999"/>
    <m/>
    <m/>
    <m/>
  </r>
  <r>
    <x v="192"/>
    <x v="2"/>
    <s v="네이버 쇼핑검색"/>
    <x v="0"/>
    <x v="0"/>
    <x v="0"/>
    <m/>
    <m/>
    <n v="46109.99999999999"/>
    <m/>
    <m/>
    <m/>
  </r>
  <r>
    <x v="193"/>
    <x v="5"/>
    <s v="네이버 쇼핑검색"/>
    <x v="0"/>
    <x v="0"/>
    <x v="0"/>
    <m/>
    <m/>
    <n v="44870"/>
    <m/>
    <m/>
    <m/>
  </r>
  <r>
    <x v="194"/>
    <x v="6"/>
    <s v="네이버 쇼핑검색"/>
    <x v="0"/>
    <x v="0"/>
    <x v="0"/>
    <m/>
    <m/>
    <n v="49699.99999999999"/>
    <m/>
    <m/>
    <m/>
  </r>
  <r>
    <x v="195"/>
    <x v="3"/>
    <s v="네이버 쇼핑검색"/>
    <x v="0"/>
    <x v="0"/>
    <x v="0"/>
    <m/>
    <m/>
    <n v="51799.99999999999"/>
    <m/>
    <m/>
    <m/>
  </r>
  <r>
    <x v="196"/>
    <x v="4"/>
    <s v="네이버 쇼핑검색"/>
    <x v="0"/>
    <x v="0"/>
    <x v="0"/>
    <m/>
    <m/>
    <n v="41550"/>
    <m/>
    <m/>
    <m/>
  </r>
  <r>
    <x v="197"/>
    <x v="1"/>
    <s v="네이버 쇼핑검색"/>
    <x v="0"/>
    <x v="0"/>
    <x v="0"/>
    <m/>
    <m/>
    <n v="38940"/>
    <m/>
    <m/>
    <m/>
  </r>
  <r>
    <x v="198"/>
    <x v="0"/>
    <s v="네이버 쇼핑검색"/>
    <x v="0"/>
    <x v="0"/>
    <x v="0"/>
    <m/>
    <m/>
    <n v="39520"/>
    <m/>
    <m/>
    <m/>
  </r>
  <r>
    <x v="199"/>
    <x v="2"/>
    <s v="네이버 쇼핑검색"/>
    <x v="0"/>
    <x v="0"/>
    <x v="0"/>
    <m/>
    <m/>
    <n v="34060"/>
    <m/>
    <m/>
    <m/>
  </r>
  <r>
    <x v="200"/>
    <x v="5"/>
    <s v="네이버 쇼핑검색"/>
    <x v="0"/>
    <x v="0"/>
    <x v="0"/>
    <m/>
    <m/>
    <n v="34360"/>
    <m/>
    <m/>
    <m/>
  </r>
  <r>
    <x v="201"/>
    <x v="6"/>
    <s v="네이버 쇼핑검색"/>
    <x v="0"/>
    <x v="0"/>
    <x v="0"/>
    <m/>
    <m/>
    <n v="32460"/>
    <m/>
    <m/>
    <m/>
  </r>
  <r>
    <x v="202"/>
    <x v="3"/>
    <s v="네이버 쇼핑검색"/>
    <x v="0"/>
    <x v="0"/>
    <x v="0"/>
    <m/>
    <m/>
    <n v="32620"/>
    <m/>
    <m/>
    <m/>
  </r>
  <r>
    <x v="203"/>
    <x v="4"/>
    <s v="네이버 쇼핑검색"/>
    <x v="0"/>
    <x v="0"/>
    <x v="0"/>
    <m/>
    <m/>
    <n v="26520"/>
    <m/>
    <m/>
    <m/>
  </r>
  <r>
    <x v="204"/>
    <x v="1"/>
    <s v="네이버 쇼핑검색"/>
    <x v="0"/>
    <x v="0"/>
    <x v="0"/>
    <m/>
    <m/>
    <n v="28190"/>
    <m/>
    <m/>
    <m/>
  </r>
  <r>
    <x v="205"/>
    <x v="0"/>
    <s v="네이버 쇼핑검색"/>
    <x v="0"/>
    <x v="0"/>
    <x v="0"/>
    <m/>
    <m/>
    <n v="27640"/>
    <m/>
    <m/>
    <m/>
  </r>
  <r>
    <x v="206"/>
    <x v="2"/>
    <s v="네이버 쇼핑검색"/>
    <x v="0"/>
    <x v="0"/>
    <x v="0"/>
    <m/>
    <m/>
    <n v="39170"/>
    <m/>
    <m/>
    <m/>
  </r>
  <r>
    <x v="207"/>
    <x v="5"/>
    <s v="네이버 쇼핑검색"/>
    <x v="0"/>
    <x v="0"/>
    <x v="0"/>
    <m/>
    <m/>
    <n v="29070"/>
    <m/>
    <m/>
    <m/>
  </r>
  <r>
    <x v="208"/>
    <x v="6"/>
    <s v="네이버 쇼핑검색"/>
    <x v="0"/>
    <x v="0"/>
    <x v="0"/>
    <m/>
    <m/>
    <n v="29090"/>
    <m/>
    <m/>
    <m/>
  </r>
  <r>
    <x v="209"/>
    <x v="3"/>
    <s v="네이버 쇼핑검색"/>
    <x v="0"/>
    <x v="0"/>
    <x v="0"/>
    <m/>
    <m/>
    <n v="40950"/>
    <m/>
    <m/>
    <m/>
  </r>
  <r>
    <x v="210"/>
    <x v="4"/>
    <s v="네이버 쇼핑검색"/>
    <x v="0"/>
    <x v="0"/>
    <x v="0"/>
    <m/>
    <m/>
    <n v="28460"/>
    <m/>
    <m/>
    <m/>
  </r>
  <r>
    <x v="211"/>
    <x v="1"/>
    <s v="네이버 쇼핑검색"/>
    <x v="0"/>
    <x v="0"/>
    <x v="0"/>
    <m/>
    <m/>
    <n v="18630"/>
    <m/>
    <m/>
    <m/>
  </r>
  <r>
    <x v="212"/>
    <x v="0"/>
    <s v="네이버 쇼핑검색"/>
    <x v="0"/>
    <x v="0"/>
    <x v="0"/>
    <m/>
    <m/>
    <n v="28050"/>
    <m/>
    <m/>
    <m/>
  </r>
  <r>
    <x v="188"/>
    <x v="3"/>
    <s v="네이버 브랜드검색"/>
    <x v="0"/>
    <x v="0"/>
    <x v="0"/>
    <m/>
    <m/>
    <n v="40000"/>
    <m/>
    <m/>
    <m/>
  </r>
  <r>
    <x v="189"/>
    <x v="4"/>
    <s v="네이버 브랜드검색"/>
    <x v="0"/>
    <x v="0"/>
    <x v="0"/>
    <m/>
    <m/>
    <n v="40000"/>
    <m/>
    <m/>
    <m/>
  </r>
  <r>
    <x v="190"/>
    <x v="1"/>
    <s v="네이버 브랜드검색"/>
    <x v="0"/>
    <x v="0"/>
    <x v="0"/>
    <m/>
    <m/>
    <n v="40000"/>
    <m/>
    <m/>
    <m/>
  </r>
  <r>
    <x v="191"/>
    <x v="0"/>
    <s v="네이버 브랜드검색"/>
    <x v="0"/>
    <x v="0"/>
    <x v="0"/>
    <m/>
    <m/>
    <n v="40000"/>
    <m/>
    <m/>
    <m/>
  </r>
  <r>
    <x v="192"/>
    <x v="2"/>
    <s v="네이버 브랜드검색"/>
    <x v="0"/>
    <x v="0"/>
    <x v="0"/>
    <m/>
    <m/>
    <n v="40000"/>
    <m/>
    <m/>
    <m/>
  </r>
  <r>
    <x v="193"/>
    <x v="5"/>
    <s v="네이버 브랜드검색"/>
    <x v="0"/>
    <x v="0"/>
    <x v="0"/>
    <m/>
    <m/>
    <n v="40000"/>
    <m/>
    <m/>
    <m/>
  </r>
  <r>
    <x v="194"/>
    <x v="6"/>
    <s v="네이버 브랜드검색"/>
    <x v="0"/>
    <x v="0"/>
    <x v="0"/>
    <m/>
    <m/>
    <n v="40000"/>
    <m/>
    <m/>
    <m/>
  </r>
  <r>
    <x v="195"/>
    <x v="3"/>
    <s v="네이버 브랜드검색"/>
    <x v="0"/>
    <x v="0"/>
    <x v="0"/>
    <m/>
    <m/>
    <n v="40000"/>
    <m/>
    <m/>
    <m/>
  </r>
  <r>
    <x v="196"/>
    <x v="4"/>
    <s v="네이버 브랜드검색"/>
    <x v="0"/>
    <x v="0"/>
    <x v="0"/>
    <m/>
    <m/>
    <n v="40000"/>
    <m/>
    <m/>
    <m/>
  </r>
  <r>
    <x v="197"/>
    <x v="1"/>
    <s v="네이버 브랜드검색"/>
    <x v="0"/>
    <x v="0"/>
    <x v="0"/>
    <m/>
    <m/>
    <n v="40000"/>
    <m/>
    <m/>
    <m/>
  </r>
  <r>
    <x v="198"/>
    <x v="0"/>
    <s v="네이버 브랜드검색"/>
    <x v="0"/>
    <x v="0"/>
    <x v="0"/>
    <m/>
    <m/>
    <n v="40000"/>
    <m/>
    <m/>
    <m/>
  </r>
  <r>
    <x v="199"/>
    <x v="2"/>
    <s v="네이버 브랜드검색"/>
    <x v="0"/>
    <x v="0"/>
    <x v="0"/>
    <m/>
    <m/>
    <n v="40000"/>
    <m/>
    <m/>
    <m/>
  </r>
  <r>
    <x v="200"/>
    <x v="5"/>
    <s v="네이버 브랜드검색"/>
    <x v="0"/>
    <x v="0"/>
    <x v="0"/>
    <m/>
    <m/>
    <n v="40000"/>
    <m/>
    <m/>
    <m/>
  </r>
  <r>
    <x v="201"/>
    <x v="6"/>
    <s v="네이버 브랜드검색"/>
    <x v="0"/>
    <x v="0"/>
    <x v="0"/>
    <m/>
    <m/>
    <n v="40000"/>
    <m/>
    <m/>
    <m/>
  </r>
  <r>
    <x v="202"/>
    <x v="3"/>
    <s v="네이버 브랜드검색"/>
    <x v="0"/>
    <x v="0"/>
    <x v="0"/>
    <m/>
    <m/>
    <n v="40000"/>
    <m/>
    <m/>
    <m/>
  </r>
  <r>
    <x v="203"/>
    <x v="4"/>
    <s v="네이버 브랜드검색"/>
    <x v="0"/>
    <x v="0"/>
    <x v="0"/>
    <m/>
    <m/>
    <n v="40000"/>
    <m/>
    <m/>
    <m/>
  </r>
  <r>
    <x v="204"/>
    <x v="1"/>
    <s v="네이버 브랜드검색"/>
    <x v="0"/>
    <x v="0"/>
    <x v="0"/>
    <m/>
    <m/>
    <n v="40000"/>
    <m/>
    <m/>
    <m/>
  </r>
  <r>
    <x v="205"/>
    <x v="0"/>
    <s v="네이버 브랜드검색"/>
    <x v="0"/>
    <x v="0"/>
    <x v="0"/>
    <m/>
    <m/>
    <n v="40000"/>
    <m/>
    <m/>
    <m/>
  </r>
  <r>
    <x v="206"/>
    <x v="2"/>
    <s v="네이버 브랜드검색"/>
    <x v="0"/>
    <x v="0"/>
    <x v="0"/>
    <m/>
    <m/>
    <n v="40000"/>
    <m/>
    <m/>
    <m/>
  </r>
  <r>
    <x v="207"/>
    <x v="5"/>
    <s v="네이버 브랜드검색"/>
    <x v="0"/>
    <x v="0"/>
    <x v="0"/>
    <m/>
    <m/>
    <n v="40000"/>
    <m/>
    <m/>
    <m/>
  </r>
  <r>
    <x v="208"/>
    <x v="6"/>
    <s v="네이버 브랜드검색"/>
    <x v="0"/>
    <x v="0"/>
    <x v="0"/>
    <m/>
    <m/>
    <n v="40000"/>
    <m/>
    <m/>
    <m/>
  </r>
  <r>
    <x v="209"/>
    <x v="3"/>
    <s v="네이버 브랜드검색"/>
    <x v="0"/>
    <x v="0"/>
    <x v="0"/>
    <m/>
    <m/>
    <n v="40000"/>
    <m/>
    <m/>
    <m/>
  </r>
  <r>
    <x v="210"/>
    <x v="4"/>
    <s v="네이버 브랜드검색"/>
    <x v="0"/>
    <x v="0"/>
    <x v="0"/>
    <m/>
    <m/>
    <n v="40000"/>
    <m/>
    <m/>
    <m/>
  </r>
  <r>
    <x v="211"/>
    <x v="1"/>
    <s v="네이버 브랜드검색"/>
    <x v="0"/>
    <x v="0"/>
    <x v="0"/>
    <m/>
    <m/>
    <n v="40000"/>
    <m/>
    <m/>
    <m/>
  </r>
  <r>
    <x v="212"/>
    <x v="0"/>
    <s v="네이버 브랜드검색"/>
    <x v="0"/>
    <x v="0"/>
    <x v="0"/>
    <m/>
    <m/>
    <n v="40000"/>
    <m/>
    <m/>
    <m/>
  </r>
  <r>
    <x v="188"/>
    <x v="3"/>
    <s v="카카오광고"/>
    <x v="0"/>
    <x v="0"/>
    <x v="0"/>
    <m/>
    <m/>
    <n v="6859.999999999999"/>
    <m/>
    <m/>
    <m/>
  </r>
  <r>
    <x v="189"/>
    <x v="4"/>
    <s v="카카오광고"/>
    <x v="0"/>
    <x v="0"/>
    <x v="0"/>
    <m/>
    <m/>
    <n v="7759.999999999999"/>
    <m/>
    <m/>
    <m/>
  </r>
  <r>
    <x v="190"/>
    <x v="1"/>
    <s v="카카오광고"/>
    <x v="0"/>
    <x v="0"/>
    <x v="0"/>
    <m/>
    <m/>
    <n v="7529.999999999999"/>
    <m/>
    <m/>
    <m/>
  </r>
  <r>
    <x v="191"/>
    <x v="0"/>
    <s v="카카오광고"/>
    <x v="0"/>
    <x v="0"/>
    <x v="0"/>
    <m/>
    <m/>
    <n v="10720"/>
    <m/>
    <m/>
    <m/>
  </r>
  <r>
    <x v="192"/>
    <x v="2"/>
    <s v="카카오광고"/>
    <x v="0"/>
    <x v="0"/>
    <x v="0"/>
    <m/>
    <m/>
    <n v="10150"/>
    <m/>
    <m/>
    <m/>
  </r>
  <r>
    <x v="193"/>
    <x v="5"/>
    <s v="카카오광고"/>
    <x v="0"/>
    <x v="0"/>
    <x v="0"/>
    <m/>
    <m/>
    <n v="10890"/>
    <m/>
    <m/>
    <m/>
  </r>
  <r>
    <x v="194"/>
    <x v="6"/>
    <s v="카카오광고"/>
    <x v="0"/>
    <x v="0"/>
    <x v="0"/>
    <m/>
    <m/>
    <n v="5659.999999999999"/>
    <m/>
    <m/>
    <m/>
  </r>
  <r>
    <x v="195"/>
    <x v="3"/>
    <s v="카카오광고"/>
    <x v="0"/>
    <x v="0"/>
    <x v="0"/>
    <m/>
    <m/>
    <n v="8320"/>
    <m/>
    <m/>
    <m/>
  </r>
  <r>
    <x v="196"/>
    <x v="4"/>
    <s v="카카오광고"/>
    <x v="0"/>
    <x v="0"/>
    <x v="0"/>
    <m/>
    <m/>
    <n v="9260"/>
    <m/>
    <m/>
    <m/>
  </r>
  <r>
    <x v="197"/>
    <x v="1"/>
    <s v="카카오광고"/>
    <x v="0"/>
    <x v="0"/>
    <x v="0"/>
    <m/>
    <m/>
    <n v="6989.999999999999"/>
    <m/>
    <m/>
    <m/>
  </r>
  <r>
    <x v="198"/>
    <x v="0"/>
    <s v="카카오광고"/>
    <x v="0"/>
    <x v="0"/>
    <x v="0"/>
    <m/>
    <m/>
    <n v="5879.999999999999"/>
    <m/>
    <m/>
    <m/>
  </r>
  <r>
    <x v="199"/>
    <x v="2"/>
    <s v="카카오광고"/>
    <x v="0"/>
    <x v="0"/>
    <x v="0"/>
    <m/>
    <m/>
    <n v="16930"/>
    <m/>
    <m/>
    <m/>
  </r>
  <r>
    <x v="200"/>
    <x v="5"/>
    <s v="카카오광고"/>
    <x v="0"/>
    <x v="0"/>
    <x v="0"/>
    <m/>
    <m/>
    <n v="6789.999999999999"/>
    <m/>
    <m/>
    <m/>
  </r>
  <r>
    <x v="201"/>
    <x v="6"/>
    <s v="카카오광고"/>
    <x v="0"/>
    <x v="0"/>
    <x v="0"/>
    <m/>
    <m/>
    <n v="13110"/>
    <m/>
    <m/>
    <m/>
  </r>
  <r>
    <x v="202"/>
    <x v="3"/>
    <s v="카카오광고"/>
    <x v="0"/>
    <x v="0"/>
    <x v="0"/>
    <m/>
    <m/>
    <n v="8570"/>
    <m/>
    <m/>
    <m/>
  </r>
  <r>
    <x v="203"/>
    <x v="4"/>
    <s v="카카오광고"/>
    <x v="0"/>
    <x v="0"/>
    <x v="0"/>
    <m/>
    <m/>
    <n v="10830"/>
    <m/>
    <m/>
    <m/>
  </r>
  <r>
    <x v="205"/>
    <x v="0"/>
    <s v="카카오광고"/>
    <x v="0"/>
    <x v="0"/>
    <x v="0"/>
    <m/>
    <m/>
    <n v="12590"/>
    <m/>
    <m/>
    <m/>
  </r>
  <r>
    <x v="206"/>
    <x v="2"/>
    <s v="카카오광고"/>
    <x v="0"/>
    <x v="0"/>
    <x v="0"/>
    <m/>
    <m/>
    <n v="12960"/>
    <m/>
    <m/>
    <m/>
  </r>
  <r>
    <x v="207"/>
    <x v="5"/>
    <s v="카카오광고"/>
    <x v="0"/>
    <x v="0"/>
    <x v="0"/>
    <m/>
    <m/>
    <n v="12310"/>
    <m/>
    <m/>
    <m/>
  </r>
  <r>
    <x v="208"/>
    <x v="6"/>
    <s v="카카오광고"/>
    <x v="0"/>
    <x v="0"/>
    <x v="0"/>
    <m/>
    <m/>
    <n v="11640"/>
    <m/>
    <m/>
    <m/>
  </r>
  <r>
    <x v="209"/>
    <x v="3"/>
    <s v="카카오광고"/>
    <x v="0"/>
    <x v="0"/>
    <x v="0"/>
    <m/>
    <m/>
    <n v="13150"/>
    <m/>
    <m/>
    <m/>
  </r>
  <r>
    <x v="210"/>
    <x v="4"/>
    <s v="카카오광고"/>
    <x v="0"/>
    <x v="0"/>
    <x v="0"/>
    <m/>
    <m/>
    <n v="13320"/>
    <m/>
    <m/>
    <m/>
  </r>
  <r>
    <x v="211"/>
    <x v="1"/>
    <s v="카카오광고"/>
    <x v="0"/>
    <x v="0"/>
    <x v="0"/>
    <m/>
    <m/>
    <n v="4450"/>
    <m/>
    <m/>
    <m/>
  </r>
  <r>
    <x v="212"/>
    <x v="0"/>
    <s v="카카오광고"/>
    <x v="0"/>
    <x v="0"/>
    <x v="0"/>
    <m/>
    <m/>
    <n v="4320"/>
    <m/>
    <m/>
    <m/>
  </r>
  <r>
    <x v="188"/>
    <x v="3"/>
    <s v="네이버 GFA"/>
    <x v="0"/>
    <x v="0"/>
    <x v="0"/>
    <m/>
    <m/>
    <n v="428873.6363636364"/>
    <m/>
    <m/>
    <m/>
  </r>
  <r>
    <x v="189"/>
    <x v="4"/>
    <s v="네이버 GFA"/>
    <x v="0"/>
    <x v="0"/>
    <x v="0"/>
    <m/>
    <m/>
    <n v="494276.3636363636"/>
    <m/>
    <m/>
    <m/>
  </r>
  <r>
    <x v="190"/>
    <x v="1"/>
    <s v="네이버 GFA"/>
    <x v="0"/>
    <x v="0"/>
    <x v="0"/>
    <m/>
    <m/>
    <n v="372426.3636363636"/>
    <m/>
    <m/>
    <m/>
  </r>
  <r>
    <x v="191"/>
    <x v="0"/>
    <s v="네이버 GFA"/>
    <x v="0"/>
    <x v="0"/>
    <x v="0"/>
    <m/>
    <m/>
    <n v="312596.3636363636"/>
    <m/>
    <m/>
    <m/>
  </r>
  <r>
    <x v="192"/>
    <x v="2"/>
    <s v="네이버 GFA"/>
    <x v="0"/>
    <x v="0"/>
    <x v="0"/>
    <m/>
    <m/>
    <n v="454718.1818181818"/>
    <m/>
    <m/>
    <m/>
  </r>
  <r>
    <x v="195"/>
    <x v="3"/>
    <s v="네이버 GFA"/>
    <x v="0"/>
    <x v="0"/>
    <x v="0"/>
    <m/>
    <m/>
    <n v="528575.4545454545"/>
    <m/>
    <m/>
    <m/>
  </r>
  <r>
    <x v="196"/>
    <x v="4"/>
    <s v="네이버 GFA"/>
    <x v="0"/>
    <x v="0"/>
    <x v="0"/>
    <m/>
    <m/>
    <n v="534620"/>
    <m/>
    <m/>
    <m/>
  </r>
  <r>
    <x v="198"/>
    <x v="0"/>
    <s v="네이버 GFA"/>
    <x v="0"/>
    <x v="0"/>
    <x v="0"/>
    <m/>
    <m/>
    <n v="178296.3636363636"/>
    <m/>
    <m/>
    <m/>
  </r>
  <r>
    <x v="199"/>
    <x v="2"/>
    <s v="네이버 GFA"/>
    <x v="0"/>
    <x v="0"/>
    <x v="0"/>
    <m/>
    <m/>
    <n v="315627.2727272727"/>
    <m/>
    <m/>
    <m/>
  </r>
  <r>
    <x v="202"/>
    <x v="3"/>
    <s v="네이버 GFA"/>
    <x v="0"/>
    <x v="0"/>
    <x v="0"/>
    <m/>
    <m/>
    <n v="225719.0909090909"/>
    <m/>
    <m/>
    <m/>
  </r>
  <r>
    <x v="203"/>
    <x v="4"/>
    <s v="네이버 GFA"/>
    <x v="0"/>
    <x v="0"/>
    <x v="0"/>
    <m/>
    <m/>
    <n v="202246.3636363636"/>
    <m/>
    <m/>
    <m/>
  </r>
  <r>
    <x v="204"/>
    <x v="1"/>
    <s v="네이버 GFA"/>
    <x v="0"/>
    <x v="0"/>
    <x v="0"/>
    <m/>
    <m/>
    <n v="90146.36363636363"/>
    <m/>
    <m/>
    <m/>
  </r>
  <r>
    <x v="205"/>
    <x v="0"/>
    <s v="네이버 GFA"/>
    <x v="0"/>
    <x v="0"/>
    <x v="0"/>
    <m/>
    <m/>
    <n v="96320.90909090909"/>
    <m/>
    <m/>
    <m/>
  </r>
  <r>
    <x v="206"/>
    <x v="2"/>
    <s v="네이버 GFA"/>
    <x v="0"/>
    <x v="0"/>
    <x v="0"/>
    <m/>
    <m/>
    <n v="136253.6363636364"/>
    <m/>
    <m/>
    <m/>
  </r>
  <r>
    <x v="207"/>
    <x v="5"/>
    <s v="네이버 GFA"/>
    <x v="0"/>
    <x v="0"/>
    <x v="0"/>
    <m/>
    <m/>
    <n v="146149.0909090909"/>
    <m/>
    <m/>
    <m/>
  </r>
  <r>
    <x v="208"/>
    <x v="6"/>
    <s v="네이버 GFA"/>
    <x v="0"/>
    <x v="0"/>
    <x v="0"/>
    <m/>
    <m/>
    <n v="139627.2727272727"/>
    <m/>
    <m/>
    <m/>
  </r>
  <r>
    <x v="209"/>
    <x v="3"/>
    <s v="네이버 GFA"/>
    <x v="0"/>
    <x v="0"/>
    <x v="0"/>
    <m/>
    <m/>
    <n v="134183.6363636364"/>
    <m/>
    <m/>
    <m/>
  </r>
  <r>
    <x v="210"/>
    <x v="4"/>
    <s v="네이버 GFA"/>
    <x v="0"/>
    <x v="0"/>
    <x v="0"/>
    <m/>
    <m/>
    <n v="157556.3636363636"/>
    <m/>
    <m/>
    <m/>
  </r>
  <r>
    <x v="211"/>
    <x v="1"/>
    <s v="네이버 GFA"/>
    <x v="0"/>
    <x v="0"/>
    <x v="0"/>
    <m/>
    <m/>
    <n v="332770"/>
    <m/>
    <m/>
    <m/>
  </r>
  <r>
    <x v="212"/>
    <x v="0"/>
    <s v="네이버 GFA"/>
    <x v="0"/>
    <x v="0"/>
    <x v="0"/>
    <m/>
    <m/>
    <n v="253.6363636363636"/>
    <m/>
    <m/>
    <m/>
  </r>
  <r>
    <x v="195"/>
    <x v="3"/>
    <s v="카카오톡 메시지"/>
    <x v="5"/>
    <x v="0"/>
    <x v="0"/>
    <m/>
    <m/>
    <n v="153630"/>
    <m/>
    <m/>
    <m/>
  </r>
  <r>
    <x v="196"/>
    <x v="4"/>
    <s v="카카오톡 메시지"/>
    <x v="5"/>
    <x v="0"/>
    <x v="0"/>
    <m/>
    <m/>
    <n v="152940"/>
    <m/>
    <m/>
    <m/>
  </r>
  <r>
    <x v="199"/>
    <x v="2"/>
    <s v="기획사이다"/>
    <x v="0"/>
    <x v="0"/>
    <x v="0"/>
    <m/>
    <m/>
    <n v="6699999.999999999"/>
    <m/>
    <m/>
    <m/>
  </r>
  <r>
    <x v="213"/>
    <x v="2"/>
    <s v="네이버 쇼핑검색"/>
    <x v="0"/>
    <x v="0"/>
    <x v="0"/>
    <m/>
    <m/>
    <n v="32470"/>
    <m/>
    <m/>
    <m/>
  </r>
  <r>
    <x v="214"/>
    <x v="5"/>
    <s v="네이버 쇼핑검색"/>
    <x v="0"/>
    <x v="0"/>
    <x v="0"/>
    <m/>
    <m/>
    <n v="30520"/>
    <m/>
    <m/>
    <m/>
  </r>
  <r>
    <x v="215"/>
    <x v="6"/>
    <s v="네이버 쇼핑검색"/>
    <x v="0"/>
    <x v="0"/>
    <x v="0"/>
    <m/>
    <m/>
    <n v="32090"/>
    <m/>
    <m/>
    <m/>
  </r>
  <r>
    <x v="216"/>
    <x v="3"/>
    <s v="네이버 쇼핑검색"/>
    <x v="0"/>
    <x v="0"/>
    <x v="0"/>
    <m/>
    <m/>
    <n v="25450"/>
    <m/>
    <m/>
    <m/>
  </r>
  <r>
    <x v="217"/>
    <x v="4"/>
    <s v="네이버 쇼핑검색"/>
    <x v="0"/>
    <x v="0"/>
    <x v="0"/>
    <m/>
    <m/>
    <n v="28650"/>
    <m/>
    <m/>
    <m/>
  </r>
  <r>
    <x v="218"/>
    <x v="1"/>
    <s v="네이버 쇼핑검색"/>
    <x v="0"/>
    <x v="0"/>
    <x v="0"/>
    <m/>
    <m/>
    <n v="31470"/>
    <m/>
    <m/>
    <m/>
  </r>
  <r>
    <x v="219"/>
    <x v="0"/>
    <s v="네이버 쇼핑검색"/>
    <x v="0"/>
    <x v="0"/>
    <x v="0"/>
    <m/>
    <m/>
    <n v="44090"/>
    <m/>
    <m/>
    <m/>
  </r>
  <r>
    <x v="220"/>
    <x v="2"/>
    <s v="네이버 쇼핑검색"/>
    <x v="0"/>
    <x v="0"/>
    <x v="0"/>
    <m/>
    <m/>
    <n v="53829.99999999999"/>
    <m/>
    <m/>
    <m/>
  </r>
  <r>
    <x v="221"/>
    <x v="5"/>
    <s v="네이버 쇼핑검색"/>
    <x v="0"/>
    <x v="0"/>
    <x v="0"/>
    <m/>
    <m/>
    <n v="34860"/>
    <m/>
    <m/>
    <m/>
  </r>
  <r>
    <x v="222"/>
    <x v="6"/>
    <s v="네이버 쇼핑검색"/>
    <x v="0"/>
    <x v="0"/>
    <x v="0"/>
    <m/>
    <m/>
    <n v="35680"/>
    <m/>
    <m/>
    <m/>
  </r>
  <r>
    <x v="223"/>
    <x v="3"/>
    <s v="네이버 쇼핑검색"/>
    <x v="0"/>
    <x v="0"/>
    <x v="0"/>
    <m/>
    <m/>
    <n v="43660"/>
    <m/>
    <m/>
    <m/>
  </r>
  <r>
    <x v="224"/>
    <x v="4"/>
    <s v="네이버 쇼핑검색"/>
    <x v="0"/>
    <x v="0"/>
    <x v="0"/>
    <m/>
    <m/>
    <n v="29390"/>
    <m/>
    <m/>
    <m/>
  </r>
  <r>
    <x v="225"/>
    <x v="1"/>
    <s v="네이버 쇼핑검색"/>
    <x v="0"/>
    <x v="0"/>
    <x v="0"/>
    <m/>
    <m/>
    <n v="31880"/>
    <m/>
    <m/>
    <m/>
  </r>
  <r>
    <x v="226"/>
    <x v="0"/>
    <s v="네이버 쇼핑검색"/>
    <x v="0"/>
    <x v="0"/>
    <x v="0"/>
    <m/>
    <m/>
    <n v="26640"/>
    <m/>
    <m/>
    <m/>
  </r>
  <r>
    <x v="227"/>
    <x v="2"/>
    <s v="네이버 쇼핑검색"/>
    <x v="0"/>
    <x v="0"/>
    <x v="0"/>
    <m/>
    <m/>
    <n v="25230"/>
    <m/>
    <m/>
    <m/>
  </r>
  <r>
    <x v="228"/>
    <x v="5"/>
    <s v="네이버 쇼핑검색"/>
    <x v="0"/>
    <x v="0"/>
    <x v="0"/>
    <m/>
    <m/>
    <n v="27420"/>
    <m/>
    <m/>
    <m/>
  </r>
  <r>
    <x v="229"/>
    <x v="6"/>
    <s v="네이버 쇼핑검색"/>
    <x v="0"/>
    <x v="0"/>
    <x v="0"/>
    <m/>
    <m/>
    <n v="26640"/>
    <m/>
    <m/>
    <m/>
  </r>
  <r>
    <x v="230"/>
    <x v="3"/>
    <s v="네이버 쇼핑검색"/>
    <x v="0"/>
    <x v="0"/>
    <x v="0"/>
    <m/>
    <m/>
    <n v="54949.99999999999"/>
    <m/>
    <m/>
    <m/>
  </r>
  <r>
    <x v="231"/>
    <x v="4"/>
    <s v="네이버 쇼핑검색"/>
    <x v="0"/>
    <x v="0"/>
    <x v="0"/>
    <m/>
    <m/>
    <n v="47029.99999999999"/>
    <m/>
    <m/>
    <m/>
  </r>
  <r>
    <x v="232"/>
    <x v="1"/>
    <s v="네이버 쇼핑검색"/>
    <x v="0"/>
    <x v="0"/>
    <x v="0"/>
    <m/>
    <m/>
    <n v="37110"/>
    <m/>
    <m/>
    <m/>
  </r>
  <r>
    <x v="233"/>
    <x v="0"/>
    <s v="네이버 쇼핑검색"/>
    <x v="0"/>
    <x v="0"/>
    <x v="0"/>
    <m/>
    <m/>
    <n v="28530"/>
    <m/>
    <m/>
    <m/>
  </r>
  <r>
    <x v="234"/>
    <x v="2"/>
    <s v="네이버 쇼핑검색"/>
    <x v="0"/>
    <x v="0"/>
    <x v="0"/>
    <m/>
    <m/>
    <n v="20300"/>
    <m/>
    <m/>
    <m/>
  </r>
  <r>
    <x v="235"/>
    <x v="5"/>
    <s v="네이버 쇼핑검색"/>
    <x v="0"/>
    <x v="0"/>
    <x v="0"/>
    <m/>
    <m/>
    <n v="20990"/>
    <m/>
    <m/>
    <m/>
  </r>
  <r>
    <x v="236"/>
    <x v="6"/>
    <s v="네이버 쇼핑검색"/>
    <x v="0"/>
    <x v="0"/>
    <x v="0"/>
    <m/>
    <m/>
    <n v="29750"/>
    <m/>
    <m/>
    <m/>
  </r>
  <r>
    <x v="237"/>
    <x v="3"/>
    <s v="네이버 쇼핑검색"/>
    <x v="0"/>
    <x v="0"/>
    <x v="0"/>
    <m/>
    <m/>
    <n v="48819.99999999999"/>
    <m/>
    <m/>
    <m/>
  </r>
  <r>
    <x v="238"/>
    <x v="4"/>
    <s v="네이버 쇼핑검색"/>
    <x v="0"/>
    <x v="0"/>
    <x v="0"/>
    <m/>
    <m/>
    <n v="48889.99999999999"/>
    <m/>
    <m/>
    <m/>
  </r>
  <r>
    <x v="239"/>
    <x v="1"/>
    <s v="네이버 쇼핑검색"/>
    <x v="0"/>
    <x v="0"/>
    <x v="0"/>
    <m/>
    <m/>
    <n v="42540"/>
    <m/>
    <m/>
    <m/>
  </r>
  <r>
    <x v="240"/>
    <x v="0"/>
    <s v="네이버 쇼핑검색"/>
    <x v="0"/>
    <x v="0"/>
    <x v="0"/>
    <m/>
    <m/>
    <n v="34260"/>
    <m/>
    <m/>
    <m/>
  </r>
  <r>
    <x v="241"/>
    <x v="2"/>
    <s v="네이버 쇼핑검색"/>
    <x v="0"/>
    <x v="0"/>
    <x v="0"/>
    <m/>
    <m/>
    <n v="33500"/>
    <m/>
    <m/>
    <m/>
  </r>
  <r>
    <x v="242"/>
    <x v="5"/>
    <s v="네이버 쇼핑검색"/>
    <x v="0"/>
    <x v="0"/>
    <x v="0"/>
    <m/>
    <m/>
    <n v="36510"/>
    <m/>
    <m/>
    <m/>
  </r>
  <r>
    <x v="243"/>
    <x v="6"/>
    <s v="네이버 쇼핑검색"/>
    <x v="0"/>
    <x v="0"/>
    <x v="0"/>
    <m/>
    <m/>
    <n v="43510"/>
    <m/>
    <m/>
    <m/>
  </r>
  <r>
    <x v="213"/>
    <x v="2"/>
    <s v="네이버 브랜드검색"/>
    <x v="0"/>
    <x v="0"/>
    <x v="0"/>
    <m/>
    <m/>
    <n v="40000"/>
    <m/>
    <m/>
    <m/>
  </r>
  <r>
    <x v="214"/>
    <x v="5"/>
    <s v="네이버 브랜드검색"/>
    <x v="0"/>
    <x v="0"/>
    <x v="0"/>
    <m/>
    <m/>
    <n v="40000"/>
    <m/>
    <m/>
    <m/>
  </r>
  <r>
    <x v="215"/>
    <x v="6"/>
    <s v="네이버 브랜드검색"/>
    <x v="0"/>
    <x v="0"/>
    <x v="0"/>
    <m/>
    <m/>
    <n v="40000"/>
    <m/>
    <m/>
    <m/>
  </r>
  <r>
    <x v="216"/>
    <x v="3"/>
    <s v="네이버 브랜드검색"/>
    <x v="0"/>
    <x v="0"/>
    <x v="0"/>
    <m/>
    <m/>
    <n v="40000"/>
    <m/>
    <m/>
    <m/>
  </r>
  <r>
    <x v="217"/>
    <x v="4"/>
    <s v="네이버 브랜드검색"/>
    <x v="0"/>
    <x v="0"/>
    <x v="0"/>
    <m/>
    <m/>
    <n v="65000"/>
    <m/>
    <m/>
    <m/>
  </r>
  <r>
    <x v="218"/>
    <x v="1"/>
    <s v="네이버 브랜드검색"/>
    <x v="0"/>
    <x v="0"/>
    <x v="0"/>
    <m/>
    <m/>
    <n v="65000"/>
    <m/>
    <m/>
    <m/>
  </r>
  <r>
    <x v="219"/>
    <x v="0"/>
    <s v="네이버 브랜드검색"/>
    <x v="0"/>
    <x v="0"/>
    <x v="0"/>
    <m/>
    <m/>
    <n v="65000"/>
    <m/>
    <m/>
    <m/>
  </r>
  <r>
    <x v="220"/>
    <x v="2"/>
    <s v="네이버 브랜드검색"/>
    <x v="0"/>
    <x v="0"/>
    <x v="0"/>
    <m/>
    <m/>
    <n v="65000"/>
    <m/>
    <m/>
    <m/>
  </r>
  <r>
    <x v="221"/>
    <x v="5"/>
    <s v="네이버 브랜드검색"/>
    <x v="0"/>
    <x v="0"/>
    <x v="0"/>
    <m/>
    <m/>
    <n v="65000"/>
    <m/>
    <m/>
    <m/>
  </r>
  <r>
    <x v="222"/>
    <x v="6"/>
    <s v="네이버 브랜드검색"/>
    <x v="0"/>
    <x v="0"/>
    <x v="0"/>
    <m/>
    <m/>
    <n v="65000"/>
    <m/>
    <m/>
    <m/>
  </r>
  <r>
    <x v="223"/>
    <x v="3"/>
    <s v="네이버 브랜드검색"/>
    <x v="0"/>
    <x v="0"/>
    <x v="0"/>
    <m/>
    <m/>
    <n v="65000"/>
    <m/>
    <m/>
    <m/>
  </r>
  <r>
    <x v="224"/>
    <x v="4"/>
    <s v="네이버 브랜드검색"/>
    <x v="0"/>
    <x v="0"/>
    <x v="0"/>
    <m/>
    <m/>
    <n v="65000"/>
    <m/>
    <m/>
    <m/>
  </r>
  <r>
    <x v="225"/>
    <x v="1"/>
    <s v="네이버 브랜드검색"/>
    <x v="0"/>
    <x v="0"/>
    <x v="0"/>
    <m/>
    <m/>
    <n v="65000"/>
    <m/>
    <m/>
    <m/>
  </r>
  <r>
    <x v="226"/>
    <x v="0"/>
    <s v="네이버 브랜드검색"/>
    <x v="0"/>
    <x v="0"/>
    <x v="0"/>
    <m/>
    <m/>
    <n v="65000"/>
    <m/>
    <m/>
    <m/>
  </r>
  <r>
    <x v="227"/>
    <x v="2"/>
    <s v="네이버 브랜드검색"/>
    <x v="0"/>
    <x v="0"/>
    <x v="0"/>
    <m/>
    <m/>
    <n v="65000"/>
    <m/>
    <m/>
    <m/>
  </r>
  <r>
    <x v="228"/>
    <x v="5"/>
    <s v="네이버 브랜드검색"/>
    <x v="0"/>
    <x v="0"/>
    <x v="0"/>
    <m/>
    <m/>
    <n v="65000"/>
    <m/>
    <m/>
    <m/>
  </r>
  <r>
    <x v="229"/>
    <x v="6"/>
    <s v="네이버 브랜드검색"/>
    <x v="0"/>
    <x v="0"/>
    <x v="0"/>
    <m/>
    <m/>
    <n v="65000"/>
    <m/>
    <m/>
    <m/>
  </r>
  <r>
    <x v="230"/>
    <x v="3"/>
    <s v="네이버 브랜드검색"/>
    <x v="0"/>
    <x v="0"/>
    <x v="0"/>
    <m/>
    <m/>
    <n v="65000"/>
    <m/>
    <m/>
    <m/>
  </r>
  <r>
    <x v="231"/>
    <x v="4"/>
    <s v="네이버 브랜드검색"/>
    <x v="0"/>
    <x v="0"/>
    <x v="0"/>
    <m/>
    <m/>
    <n v="65000"/>
    <m/>
    <m/>
    <m/>
  </r>
  <r>
    <x v="232"/>
    <x v="1"/>
    <s v="네이버 브랜드검색"/>
    <x v="0"/>
    <x v="0"/>
    <x v="0"/>
    <m/>
    <m/>
    <n v="65000"/>
    <m/>
    <m/>
    <m/>
  </r>
  <r>
    <x v="233"/>
    <x v="0"/>
    <s v="네이버 브랜드검색"/>
    <x v="0"/>
    <x v="0"/>
    <x v="0"/>
    <m/>
    <m/>
    <n v="65000"/>
    <m/>
    <m/>
    <m/>
  </r>
  <r>
    <x v="234"/>
    <x v="2"/>
    <s v="네이버 브랜드검색"/>
    <x v="0"/>
    <x v="0"/>
    <x v="0"/>
    <m/>
    <m/>
    <n v="65000"/>
    <m/>
    <m/>
    <m/>
  </r>
  <r>
    <x v="235"/>
    <x v="5"/>
    <s v="네이버 브랜드검색"/>
    <x v="0"/>
    <x v="0"/>
    <x v="0"/>
    <m/>
    <m/>
    <n v="65000"/>
    <m/>
    <m/>
    <m/>
  </r>
  <r>
    <x v="236"/>
    <x v="6"/>
    <s v="네이버 브랜드검색"/>
    <x v="0"/>
    <x v="0"/>
    <x v="0"/>
    <m/>
    <m/>
    <n v="65000"/>
    <m/>
    <m/>
    <m/>
  </r>
  <r>
    <x v="237"/>
    <x v="3"/>
    <s v="네이버 브랜드검색"/>
    <x v="0"/>
    <x v="0"/>
    <x v="0"/>
    <m/>
    <m/>
    <n v="65000"/>
    <m/>
    <m/>
    <m/>
  </r>
  <r>
    <x v="238"/>
    <x v="4"/>
    <s v="네이버 브랜드검색"/>
    <x v="0"/>
    <x v="0"/>
    <x v="0"/>
    <m/>
    <m/>
    <n v="65000"/>
    <m/>
    <m/>
    <m/>
  </r>
  <r>
    <x v="239"/>
    <x v="1"/>
    <s v="네이버 브랜드검색"/>
    <x v="0"/>
    <x v="0"/>
    <x v="0"/>
    <m/>
    <m/>
    <n v="65000"/>
    <m/>
    <m/>
    <m/>
  </r>
  <r>
    <x v="240"/>
    <x v="0"/>
    <s v="네이버 브랜드검색"/>
    <x v="0"/>
    <x v="0"/>
    <x v="0"/>
    <m/>
    <m/>
    <n v="65000"/>
    <m/>
    <m/>
    <m/>
  </r>
  <r>
    <x v="241"/>
    <x v="2"/>
    <s v="네이버 브랜드검색"/>
    <x v="0"/>
    <x v="0"/>
    <x v="0"/>
    <m/>
    <m/>
    <n v="120000"/>
    <m/>
    <m/>
    <m/>
  </r>
  <r>
    <x v="242"/>
    <x v="5"/>
    <s v="네이버 브랜드검색"/>
    <x v="0"/>
    <x v="0"/>
    <x v="0"/>
    <m/>
    <m/>
    <n v="120000"/>
    <m/>
    <m/>
    <m/>
  </r>
  <r>
    <x v="243"/>
    <x v="6"/>
    <s v="네이버 브랜드검색"/>
    <x v="0"/>
    <x v="0"/>
    <x v="0"/>
    <m/>
    <m/>
    <n v="120000"/>
    <m/>
    <m/>
    <m/>
  </r>
  <r>
    <x v="213"/>
    <x v="2"/>
    <s v="페이스북/인스타그램"/>
    <x v="0"/>
    <x v="0"/>
    <x v="0"/>
    <m/>
    <m/>
    <n v="845384"/>
    <m/>
    <m/>
    <m/>
  </r>
  <r>
    <x v="214"/>
    <x v="5"/>
    <s v="페이스북/인스타그램"/>
    <x v="0"/>
    <x v="0"/>
    <x v="0"/>
    <m/>
    <m/>
    <n v="856413"/>
    <m/>
    <m/>
    <m/>
  </r>
  <r>
    <x v="215"/>
    <x v="6"/>
    <s v="페이스북/인스타그램"/>
    <x v="0"/>
    <x v="0"/>
    <x v="0"/>
    <m/>
    <m/>
    <n v="830640"/>
    <m/>
    <m/>
    <m/>
  </r>
  <r>
    <x v="216"/>
    <x v="3"/>
    <s v="페이스북/인스타그램"/>
    <x v="0"/>
    <x v="0"/>
    <x v="0"/>
    <m/>
    <m/>
    <n v="1078378"/>
    <m/>
    <m/>
    <m/>
  </r>
  <r>
    <x v="217"/>
    <x v="4"/>
    <s v="페이스북/인스타그램"/>
    <x v="0"/>
    <x v="0"/>
    <x v="0"/>
    <m/>
    <m/>
    <n v="1218327"/>
    <m/>
    <m/>
    <m/>
  </r>
  <r>
    <x v="218"/>
    <x v="1"/>
    <s v="페이스북/인스타그램"/>
    <x v="0"/>
    <x v="0"/>
    <x v="0"/>
    <m/>
    <m/>
    <n v="1208655"/>
    <m/>
    <m/>
    <m/>
  </r>
  <r>
    <x v="219"/>
    <x v="0"/>
    <s v="페이스북/인스타그램"/>
    <x v="0"/>
    <x v="0"/>
    <x v="0"/>
    <m/>
    <m/>
    <n v="1427473"/>
    <m/>
    <m/>
    <m/>
  </r>
  <r>
    <x v="220"/>
    <x v="2"/>
    <s v="페이스북/인스타그램"/>
    <x v="0"/>
    <x v="0"/>
    <x v="0"/>
    <m/>
    <m/>
    <n v="1081225"/>
    <m/>
    <m/>
    <m/>
  </r>
  <r>
    <x v="221"/>
    <x v="5"/>
    <s v="페이스북/인스타그램"/>
    <x v="0"/>
    <x v="0"/>
    <x v="0"/>
    <m/>
    <m/>
    <n v="959003"/>
    <m/>
    <m/>
    <m/>
  </r>
  <r>
    <x v="222"/>
    <x v="6"/>
    <s v="페이스북/인스타그램"/>
    <x v="0"/>
    <x v="0"/>
    <x v="0"/>
    <m/>
    <m/>
    <n v="982497"/>
    <m/>
    <m/>
    <m/>
  </r>
  <r>
    <x v="223"/>
    <x v="3"/>
    <s v="페이스북/인스타그램"/>
    <x v="0"/>
    <x v="0"/>
    <x v="0"/>
    <m/>
    <m/>
    <n v="1143378"/>
    <m/>
    <m/>
    <m/>
  </r>
  <r>
    <x v="224"/>
    <x v="4"/>
    <s v="페이스북/인스타그램"/>
    <x v="0"/>
    <x v="0"/>
    <x v="0"/>
    <m/>
    <m/>
    <n v="1647564"/>
    <m/>
    <m/>
    <m/>
  </r>
  <r>
    <x v="225"/>
    <x v="1"/>
    <s v="페이스북/인스타그램"/>
    <x v="0"/>
    <x v="0"/>
    <x v="0"/>
    <m/>
    <m/>
    <n v="1773703"/>
    <m/>
    <m/>
    <m/>
  </r>
  <r>
    <x v="226"/>
    <x v="0"/>
    <s v="페이스북/인스타그램"/>
    <x v="0"/>
    <x v="0"/>
    <x v="0"/>
    <m/>
    <m/>
    <n v="1834312"/>
    <m/>
    <m/>
    <m/>
  </r>
  <r>
    <x v="227"/>
    <x v="2"/>
    <s v="페이스북/인스타그램"/>
    <x v="0"/>
    <x v="0"/>
    <x v="0"/>
    <m/>
    <m/>
    <n v="1793861"/>
    <m/>
    <m/>
    <m/>
  </r>
  <r>
    <x v="228"/>
    <x v="5"/>
    <s v="페이스북/인스타그램"/>
    <x v="0"/>
    <x v="0"/>
    <x v="0"/>
    <m/>
    <m/>
    <n v="1820383"/>
    <m/>
    <m/>
    <m/>
  </r>
  <r>
    <x v="229"/>
    <x v="6"/>
    <s v="페이스북/인스타그램"/>
    <x v="0"/>
    <x v="0"/>
    <x v="0"/>
    <m/>
    <m/>
    <n v="1734431"/>
    <m/>
    <m/>
    <m/>
  </r>
  <r>
    <x v="230"/>
    <x v="3"/>
    <s v="페이스북/인스타그램"/>
    <x v="0"/>
    <x v="0"/>
    <x v="0"/>
    <m/>
    <m/>
    <n v="1534702"/>
    <m/>
    <m/>
    <m/>
  </r>
  <r>
    <x v="231"/>
    <x v="4"/>
    <s v="페이스북/인스타그램"/>
    <x v="0"/>
    <x v="0"/>
    <x v="0"/>
    <m/>
    <m/>
    <n v="1163561"/>
    <m/>
    <m/>
    <m/>
  </r>
  <r>
    <x v="232"/>
    <x v="1"/>
    <s v="페이스북/인스타그램"/>
    <x v="0"/>
    <x v="0"/>
    <x v="0"/>
    <m/>
    <m/>
    <n v="943347"/>
    <m/>
    <m/>
    <m/>
  </r>
  <r>
    <x v="233"/>
    <x v="0"/>
    <s v="페이스북/인스타그램"/>
    <x v="0"/>
    <x v="0"/>
    <x v="0"/>
    <m/>
    <m/>
    <n v="922300"/>
    <m/>
    <m/>
    <m/>
  </r>
  <r>
    <x v="234"/>
    <x v="2"/>
    <s v="페이스북/인스타그램"/>
    <x v="0"/>
    <x v="0"/>
    <x v="0"/>
    <m/>
    <m/>
    <n v="914938"/>
    <m/>
    <m/>
    <m/>
  </r>
  <r>
    <x v="235"/>
    <x v="5"/>
    <s v="페이스북/인스타그램"/>
    <x v="0"/>
    <x v="0"/>
    <x v="0"/>
    <m/>
    <m/>
    <n v="986710"/>
    <m/>
    <m/>
    <m/>
  </r>
  <r>
    <x v="236"/>
    <x v="6"/>
    <s v="페이스북/인스타그램"/>
    <x v="0"/>
    <x v="0"/>
    <x v="0"/>
    <m/>
    <m/>
    <n v="932160"/>
    <m/>
    <m/>
    <m/>
  </r>
  <r>
    <x v="237"/>
    <x v="3"/>
    <s v="페이스북/인스타그램"/>
    <x v="0"/>
    <x v="0"/>
    <x v="0"/>
    <m/>
    <m/>
    <n v="914415"/>
    <m/>
    <m/>
    <m/>
  </r>
  <r>
    <x v="238"/>
    <x v="4"/>
    <s v="페이스북/인스타그램"/>
    <x v="0"/>
    <x v="0"/>
    <x v="0"/>
    <m/>
    <m/>
    <n v="1036184"/>
    <m/>
    <m/>
    <m/>
  </r>
  <r>
    <x v="239"/>
    <x v="1"/>
    <s v="페이스북/인스타그램"/>
    <x v="0"/>
    <x v="0"/>
    <x v="0"/>
    <m/>
    <m/>
    <n v="1397067"/>
    <m/>
    <m/>
    <m/>
  </r>
  <r>
    <x v="240"/>
    <x v="0"/>
    <s v="페이스북/인스타그램"/>
    <x v="0"/>
    <x v="0"/>
    <x v="0"/>
    <m/>
    <m/>
    <n v="1270208"/>
    <m/>
    <m/>
    <m/>
  </r>
  <r>
    <x v="241"/>
    <x v="2"/>
    <s v="페이스북/인스타그램"/>
    <x v="0"/>
    <x v="0"/>
    <x v="0"/>
    <m/>
    <m/>
    <n v="1138471"/>
    <m/>
    <m/>
    <m/>
  </r>
  <r>
    <x v="242"/>
    <x v="5"/>
    <s v="페이스북/인스타그램"/>
    <x v="0"/>
    <x v="0"/>
    <x v="0"/>
    <m/>
    <m/>
    <n v="1189427"/>
    <m/>
    <m/>
    <m/>
  </r>
  <r>
    <x v="243"/>
    <x v="6"/>
    <s v="페이스북/인스타그램"/>
    <x v="0"/>
    <x v="0"/>
    <x v="0"/>
    <m/>
    <m/>
    <n v="1132767"/>
    <m/>
    <m/>
    <m/>
  </r>
  <r>
    <x v="213"/>
    <x v="2"/>
    <s v="카카오광고"/>
    <x v="0"/>
    <x v="0"/>
    <x v="0"/>
    <m/>
    <m/>
    <n v="11830"/>
    <m/>
    <m/>
    <m/>
  </r>
  <r>
    <x v="214"/>
    <x v="5"/>
    <s v="카카오광고"/>
    <x v="0"/>
    <x v="0"/>
    <x v="0"/>
    <m/>
    <m/>
    <n v="13430"/>
    <m/>
    <m/>
    <m/>
  </r>
  <r>
    <x v="215"/>
    <x v="6"/>
    <s v="카카오광고"/>
    <x v="0"/>
    <x v="0"/>
    <x v="0"/>
    <m/>
    <m/>
    <n v="6699.999999999999"/>
    <m/>
    <m/>
    <m/>
  </r>
  <r>
    <x v="216"/>
    <x v="3"/>
    <s v="카카오광고"/>
    <x v="0"/>
    <x v="0"/>
    <x v="0"/>
    <m/>
    <m/>
    <n v="9590"/>
    <m/>
    <m/>
    <m/>
  </r>
  <r>
    <x v="217"/>
    <x v="4"/>
    <s v="카카오광고"/>
    <x v="0"/>
    <x v="0"/>
    <x v="0"/>
    <m/>
    <m/>
    <n v="9880"/>
    <m/>
    <m/>
    <m/>
  </r>
  <r>
    <x v="218"/>
    <x v="1"/>
    <s v="카카오광고"/>
    <x v="0"/>
    <x v="0"/>
    <x v="0"/>
    <m/>
    <m/>
    <n v="9430"/>
    <m/>
    <m/>
    <m/>
  </r>
  <r>
    <x v="219"/>
    <x v="0"/>
    <s v="카카오광고"/>
    <x v="0"/>
    <x v="0"/>
    <x v="0"/>
    <m/>
    <m/>
    <n v="7049.999999999999"/>
    <m/>
    <m/>
    <m/>
  </r>
  <r>
    <x v="220"/>
    <x v="2"/>
    <s v="카카오광고"/>
    <x v="0"/>
    <x v="0"/>
    <x v="0"/>
    <m/>
    <m/>
    <n v="10380"/>
    <m/>
    <m/>
    <m/>
  </r>
  <r>
    <x v="221"/>
    <x v="5"/>
    <s v="카카오광고"/>
    <x v="0"/>
    <x v="0"/>
    <x v="0"/>
    <m/>
    <m/>
    <n v="7949.999999999999"/>
    <m/>
    <m/>
    <m/>
  </r>
  <r>
    <x v="222"/>
    <x v="6"/>
    <s v="카카오광고"/>
    <x v="0"/>
    <x v="0"/>
    <x v="0"/>
    <m/>
    <m/>
    <n v="15550"/>
    <m/>
    <m/>
    <m/>
  </r>
  <r>
    <x v="223"/>
    <x v="3"/>
    <s v="카카오광고"/>
    <x v="0"/>
    <x v="0"/>
    <x v="0"/>
    <m/>
    <m/>
    <n v="14370"/>
    <m/>
    <m/>
    <m/>
  </r>
  <r>
    <x v="224"/>
    <x v="4"/>
    <s v="카카오광고"/>
    <x v="0"/>
    <x v="0"/>
    <x v="0"/>
    <m/>
    <m/>
    <n v="12550"/>
    <m/>
    <m/>
    <m/>
  </r>
  <r>
    <x v="225"/>
    <x v="1"/>
    <s v="카카오광고"/>
    <x v="0"/>
    <x v="0"/>
    <x v="0"/>
    <m/>
    <m/>
    <n v="11960"/>
    <m/>
    <m/>
    <m/>
  </r>
  <r>
    <x v="226"/>
    <x v="0"/>
    <s v="카카오광고"/>
    <x v="0"/>
    <x v="0"/>
    <x v="0"/>
    <m/>
    <m/>
    <n v="14380"/>
    <m/>
    <m/>
    <m/>
  </r>
  <r>
    <x v="227"/>
    <x v="2"/>
    <s v="카카오광고"/>
    <x v="0"/>
    <x v="0"/>
    <x v="0"/>
    <m/>
    <m/>
    <n v="14610"/>
    <m/>
    <m/>
    <m/>
  </r>
  <r>
    <x v="228"/>
    <x v="5"/>
    <s v="카카오광고"/>
    <x v="0"/>
    <x v="0"/>
    <x v="0"/>
    <m/>
    <m/>
    <n v="10080"/>
    <m/>
    <m/>
    <m/>
  </r>
  <r>
    <x v="229"/>
    <x v="6"/>
    <s v="카카오광고"/>
    <x v="0"/>
    <x v="0"/>
    <x v="0"/>
    <m/>
    <m/>
    <n v="10790"/>
    <m/>
    <m/>
    <m/>
  </r>
  <r>
    <x v="230"/>
    <x v="3"/>
    <s v="카카오광고"/>
    <x v="0"/>
    <x v="0"/>
    <x v="0"/>
    <m/>
    <m/>
    <n v="8680"/>
    <m/>
    <m/>
    <m/>
  </r>
  <r>
    <x v="231"/>
    <x v="4"/>
    <s v="카카오광고"/>
    <x v="0"/>
    <x v="0"/>
    <x v="0"/>
    <m/>
    <m/>
    <n v="9740"/>
    <m/>
    <m/>
    <m/>
  </r>
  <r>
    <x v="232"/>
    <x v="1"/>
    <s v="카카오광고"/>
    <x v="0"/>
    <x v="0"/>
    <x v="0"/>
    <m/>
    <m/>
    <n v="11780"/>
    <m/>
    <m/>
    <m/>
  </r>
  <r>
    <x v="233"/>
    <x v="0"/>
    <s v="카카오광고"/>
    <x v="0"/>
    <x v="0"/>
    <x v="0"/>
    <m/>
    <m/>
    <n v="8260"/>
    <m/>
    <m/>
    <m/>
  </r>
  <r>
    <x v="234"/>
    <x v="2"/>
    <s v="카카오광고"/>
    <x v="0"/>
    <x v="0"/>
    <x v="0"/>
    <m/>
    <m/>
    <n v="11410"/>
    <m/>
    <m/>
    <m/>
  </r>
  <r>
    <x v="235"/>
    <x v="5"/>
    <s v="카카오광고"/>
    <x v="0"/>
    <x v="0"/>
    <x v="0"/>
    <m/>
    <m/>
    <n v="11060"/>
    <m/>
    <m/>
    <m/>
  </r>
  <r>
    <x v="236"/>
    <x v="6"/>
    <s v="카카오광고"/>
    <x v="0"/>
    <x v="0"/>
    <x v="0"/>
    <m/>
    <m/>
    <n v="12050"/>
    <m/>
    <m/>
    <m/>
  </r>
  <r>
    <x v="237"/>
    <x v="3"/>
    <s v="카카오광고"/>
    <x v="0"/>
    <x v="0"/>
    <x v="0"/>
    <m/>
    <m/>
    <n v="14110"/>
    <m/>
    <m/>
    <m/>
  </r>
  <r>
    <x v="238"/>
    <x v="4"/>
    <s v="카카오광고"/>
    <x v="0"/>
    <x v="0"/>
    <x v="0"/>
    <m/>
    <m/>
    <n v="11310"/>
    <m/>
    <m/>
    <m/>
  </r>
  <r>
    <x v="239"/>
    <x v="1"/>
    <s v="카카오광고"/>
    <x v="0"/>
    <x v="0"/>
    <x v="0"/>
    <m/>
    <m/>
    <n v="10900"/>
    <m/>
    <m/>
    <m/>
  </r>
  <r>
    <x v="240"/>
    <x v="0"/>
    <s v="카카오광고"/>
    <x v="0"/>
    <x v="0"/>
    <x v="0"/>
    <m/>
    <m/>
    <n v="10830"/>
    <m/>
    <m/>
    <m/>
  </r>
  <r>
    <x v="241"/>
    <x v="2"/>
    <s v="카카오광고"/>
    <x v="0"/>
    <x v="0"/>
    <x v="0"/>
    <m/>
    <m/>
    <n v="11860"/>
    <m/>
    <m/>
    <m/>
  </r>
  <r>
    <x v="242"/>
    <x v="5"/>
    <s v="카카오광고"/>
    <x v="0"/>
    <x v="0"/>
    <x v="0"/>
    <m/>
    <m/>
    <n v="10440"/>
    <m/>
    <m/>
    <m/>
  </r>
  <r>
    <x v="243"/>
    <x v="6"/>
    <s v="카카오광고"/>
    <x v="0"/>
    <x v="0"/>
    <x v="0"/>
    <m/>
    <m/>
    <n v="13900"/>
    <m/>
    <m/>
    <m/>
  </r>
  <r>
    <x v="216"/>
    <x v="3"/>
    <s v="네이버 GFA"/>
    <x v="0"/>
    <x v="0"/>
    <x v="0"/>
    <m/>
    <m/>
    <n v="256125.4545454545"/>
    <m/>
    <m/>
    <m/>
  </r>
  <r>
    <x v="218"/>
    <x v="1"/>
    <s v="네이버 GFA"/>
    <x v="0"/>
    <x v="0"/>
    <x v="0"/>
    <m/>
    <m/>
    <n v="113381.8181818182"/>
    <m/>
    <m/>
    <m/>
  </r>
  <r>
    <x v="219"/>
    <x v="0"/>
    <s v="네이버 GFA"/>
    <x v="0"/>
    <x v="0"/>
    <x v="0"/>
    <m/>
    <m/>
    <n v="161790"/>
    <m/>
    <m/>
    <m/>
  </r>
  <r>
    <x v="220"/>
    <x v="2"/>
    <s v="네이버 GFA"/>
    <x v="0"/>
    <x v="0"/>
    <x v="0"/>
    <m/>
    <m/>
    <n v="171693.6363636364"/>
    <m/>
    <m/>
    <m/>
  </r>
  <r>
    <x v="221"/>
    <x v="5"/>
    <s v="네이버 GFA"/>
    <x v="0"/>
    <x v="0"/>
    <x v="0"/>
    <m/>
    <m/>
    <n v="180380.9090909091"/>
    <m/>
    <m/>
    <m/>
  </r>
  <r>
    <x v="222"/>
    <x v="6"/>
    <s v="네이버 GFA"/>
    <x v="0"/>
    <x v="0"/>
    <x v="0"/>
    <m/>
    <m/>
    <n v="175014.5454545454"/>
    <m/>
    <m/>
    <m/>
  </r>
  <r>
    <x v="223"/>
    <x v="3"/>
    <s v="네이버 GFA"/>
    <x v="0"/>
    <x v="0"/>
    <x v="0"/>
    <m/>
    <m/>
    <n v="176703.6363636364"/>
    <m/>
    <m/>
    <m/>
  </r>
  <r>
    <x v="224"/>
    <x v="4"/>
    <s v="네이버 GFA"/>
    <x v="0"/>
    <x v="0"/>
    <x v="0"/>
    <m/>
    <m/>
    <n v="176079.0909090909"/>
    <m/>
    <m/>
    <m/>
  </r>
  <r>
    <x v="225"/>
    <x v="1"/>
    <s v="네이버 GFA"/>
    <x v="0"/>
    <x v="0"/>
    <x v="0"/>
    <m/>
    <m/>
    <n v="176261.8181818182"/>
    <m/>
    <m/>
    <m/>
  </r>
  <r>
    <x v="226"/>
    <x v="0"/>
    <s v="네이버 GFA"/>
    <x v="0"/>
    <x v="0"/>
    <x v="0"/>
    <m/>
    <m/>
    <n v="174419.0909090909"/>
    <m/>
    <m/>
    <m/>
  </r>
  <r>
    <x v="227"/>
    <x v="2"/>
    <s v="네이버 GFA"/>
    <x v="0"/>
    <x v="0"/>
    <x v="0"/>
    <m/>
    <m/>
    <n v="174179.0909090909"/>
    <m/>
    <m/>
    <m/>
  </r>
  <r>
    <x v="228"/>
    <x v="5"/>
    <s v="네이버 GFA"/>
    <x v="0"/>
    <x v="0"/>
    <x v="0"/>
    <m/>
    <m/>
    <n v="175095.4545454545"/>
    <m/>
    <m/>
    <m/>
  </r>
  <r>
    <x v="229"/>
    <x v="6"/>
    <s v="네이버 GFA"/>
    <x v="0"/>
    <x v="0"/>
    <x v="0"/>
    <m/>
    <m/>
    <n v="175893.6363636364"/>
    <m/>
    <m/>
    <m/>
  </r>
  <r>
    <x v="230"/>
    <x v="3"/>
    <s v="네이버 GFA"/>
    <x v="0"/>
    <x v="0"/>
    <x v="0"/>
    <m/>
    <m/>
    <n v="173066.3636363636"/>
    <m/>
    <m/>
    <m/>
  </r>
  <r>
    <x v="231"/>
    <x v="4"/>
    <s v="네이버 GFA"/>
    <x v="0"/>
    <x v="0"/>
    <x v="0"/>
    <m/>
    <m/>
    <n v="173985.4545454545"/>
    <m/>
    <m/>
    <m/>
  </r>
  <r>
    <x v="232"/>
    <x v="1"/>
    <s v="네이버 GFA"/>
    <x v="0"/>
    <x v="0"/>
    <x v="0"/>
    <m/>
    <m/>
    <n v="170103.6363636364"/>
    <m/>
    <m/>
    <m/>
  </r>
  <r>
    <x v="233"/>
    <x v="0"/>
    <s v="네이버 GFA"/>
    <x v="0"/>
    <x v="0"/>
    <x v="0"/>
    <m/>
    <m/>
    <n v="165450.9090909091"/>
    <m/>
    <m/>
    <m/>
  </r>
  <r>
    <x v="234"/>
    <x v="2"/>
    <s v="네이버 GFA"/>
    <x v="0"/>
    <x v="0"/>
    <x v="0"/>
    <m/>
    <m/>
    <n v="165850.9090909091"/>
    <m/>
    <m/>
    <m/>
  </r>
  <r>
    <x v="235"/>
    <x v="5"/>
    <s v="네이버 GFA"/>
    <x v="0"/>
    <x v="0"/>
    <x v="0"/>
    <m/>
    <m/>
    <n v="106975.4545454545"/>
    <m/>
    <m/>
    <m/>
  </r>
  <r>
    <x v="240"/>
    <x v="0"/>
    <s v="네이버 GFA"/>
    <x v="0"/>
    <x v="0"/>
    <x v="0"/>
    <m/>
    <m/>
    <n v="1211.818181818182"/>
    <m/>
    <m/>
    <m/>
  </r>
  <r>
    <x v="226"/>
    <x v="0"/>
    <s v="카카오톡 메시지"/>
    <x v="6"/>
    <x v="0"/>
    <x v="0"/>
    <m/>
    <m/>
    <n v="195720"/>
    <m/>
    <m/>
    <m/>
  </r>
  <r>
    <x v="237"/>
    <x v="3"/>
    <s v="카카오톡 메시지"/>
    <x v="6"/>
    <x v="0"/>
    <x v="0"/>
    <m/>
    <m/>
    <n v="207615"/>
    <m/>
    <m/>
    <m/>
  </r>
  <r>
    <x v="237"/>
    <x v="3"/>
    <s v="기획사이다"/>
    <x v="0"/>
    <x v="0"/>
    <x v="0"/>
    <m/>
    <m/>
    <n v="8000000"/>
    <m/>
    <m/>
    <m/>
  </r>
  <r>
    <x v="244"/>
    <x v="4"/>
    <s v="기획사이다"/>
    <x v="0"/>
    <x v="0"/>
    <x v="0"/>
    <m/>
    <m/>
    <n v="7727272.727272727"/>
    <m/>
    <m/>
    <m/>
  </r>
  <r>
    <x v="245"/>
    <x v="3"/>
    <s v="기획사이다"/>
    <x v="0"/>
    <x v="0"/>
    <x v="0"/>
    <m/>
    <m/>
    <n v="10743636.36363636"/>
    <m/>
    <m/>
    <m/>
  </r>
  <r>
    <x v="246"/>
    <x v="3"/>
    <s v="네이버 브랜드검색"/>
    <x v="0"/>
    <x v="0"/>
    <x v="0"/>
    <m/>
    <m/>
    <n v="120000"/>
    <m/>
    <m/>
    <m/>
  </r>
  <r>
    <x v="247"/>
    <x v="4"/>
    <s v="네이버 브랜드검색"/>
    <x v="0"/>
    <x v="0"/>
    <x v="0"/>
    <m/>
    <m/>
    <n v="120000"/>
    <m/>
    <m/>
    <m/>
  </r>
  <r>
    <x v="248"/>
    <x v="1"/>
    <s v="네이버 브랜드검색"/>
    <x v="0"/>
    <x v="0"/>
    <x v="0"/>
    <m/>
    <m/>
    <n v="120000"/>
    <m/>
    <m/>
    <m/>
  </r>
  <r>
    <x v="249"/>
    <x v="0"/>
    <s v="네이버 브랜드검색"/>
    <x v="0"/>
    <x v="0"/>
    <x v="0"/>
    <m/>
    <m/>
    <n v="120000"/>
    <m/>
    <m/>
    <m/>
  </r>
  <r>
    <x v="250"/>
    <x v="2"/>
    <s v="네이버 브랜드검색"/>
    <x v="0"/>
    <x v="0"/>
    <x v="0"/>
    <m/>
    <m/>
    <n v="120000"/>
    <m/>
    <m/>
    <m/>
  </r>
  <r>
    <x v="251"/>
    <x v="5"/>
    <s v="네이버 브랜드검색"/>
    <x v="0"/>
    <x v="0"/>
    <x v="0"/>
    <m/>
    <m/>
    <n v="120000"/>
    <m/>
    <m/>
    <m/>
  </r>
  <r>
    <x v="252"/>
    <x v="6"/>
    <s v="네이버 브랜드검색"/>
    <x v="0"/>
    <x v="0"/>
    <x v="0"/>
    <m/>
    <m/>
    <n v="120000"/>
    <m/>
    <m/>
    <m/>
  </r>
  <r>
    <x v="253"/>
    <x v="3"/>
    <s v="네이버 브랜드검색"/>
    <x v="0"/>
    <x v="0"/>
    <x v="0"/>
    <m/>
    <m/>
    <n v="120000"/>
    <m/>
    <m/>
    <m/>
  </r>
  <r>
    <x v="254"/>
    <x v="4"/>
    <s v="네이버 브랜드검색"/>
    <x v="0"/>
    <x v="0"/>
    <x v="0"/>
    <m/>
    <m/>
    <n v="120000"/>
    <m/>
    <m/>
    <m/>
  </r>
  <r>
    <x v="255"/>
    <x v="1"/>
    <s v="네이버 브랜드검색"/>
    <x v="0"/>
    <x v="0"/>
    <x v="0"/>
    <m/>
    <m/>
    <n v="120000"/>
    <m/>
    <m/>
    <m/>
  </r>
  <r>
    <x v="256"/>
    <x v="0"/>
    <s v="네이버 브랜드검색"/>
    <x v="0"/>
    <x v="0"/>
    <x v="0"/>
    <m/>
    <m/>
    <n v="120000"/>
    <m/>
    <m/>
    <m/>
  </r>
  <r>
    <x v="257"/>
    <x v="2"/>
    <s v="네이버 브랜드검색"/>
    <x v="0"/>
    <x v="0"/>
    <x v="0"/>
    <m/>
    <m/>
    <n v="120000"/>
    <m/>
    <m/>
    <m/>
  </r>
  <r>
    <x v="258"/>
    <x v="5"/>
    <s v="네이버 브랜드검색"/>
    <x v="0"/>
    <x v="0"/>
    <x v="0"/>
    <m/>
    <m/>
    <n v="120000"/>
    <m/>
    <m/>
    <m/>
  </r>
  <r>
    <x v="259"/>
    <x v="6"/>
    <s v="네이버 브랜드검색"/>
    <x v="0"/>
    <x v="0"/>
    <x v="0"/>
    <m/>
    <m/>
    <n v="120000"/>
    <m/>
    <m/>
    <m/>
  </r>
  <r>
    <x v="260"/>
    <x v="3"/>
    <s v="네이버 브랜드검색"/>
    <x v="0"/>
    <x v="0"/>
    <x v="0"/>
    <m/>
    <m/>
    <n v="120000"/>
    <m/>
    <m/>
    <m/>
  </r>
  <r>
    <x v="261"/>
    <x v="4"/>
    <s v="네이버 브랜드검색"/>
    <x v="0"/>
    <x v="0"/>
    <x v="0"/>
    <m/>
    <m/>
    <n v="120000"/>
    <m/>
    <m/>
    <m/>
  </r>
  <r>
    <x v="262"/>
    <x v="1"/>
    <s v="네이버 브랜드검색"/>
    <x v="0"/>
    <x v="0"/>
    <x v="0"/>
    <m/>
    <m/>
    <n v="120000"/>
    <m/>
    <m/>
    <m/>
  </r>
  <r>
    <x v="263"/>
    <x v="0"/>
    <s v="네이버 브랜드검색"/>
    <x v="0"/>
    <x v="0"/>
    <x v="0"/>
    <m/>
    <m/>
    <n v="120000"/>
    <m/>
    <m/>
    <m/>
  </r>
  <r>
    <x v="264"/>
    <x v="2"/>
    <s v="네이버 브랜드검색"/>
    <x v="0"/>
    <x v="0"/>
    <x v="0"/>
    <m/>
    <m/>
    <n v="120000"/>
    <m/>
    <m/>
    <m/>
  </r>
  <r>
    <x v="265"/>
    <x v="5"/>
    <s v="네이버 브랜드검색"/>
    <x v="0"/>
    <x v="0"/>
    <x v="0"/>
    <m/>
    <m/>
    <n v="120000"/>
    <m/>
    <m/>
    <m/>
  </r>
  <r>
    <x v="266"/>
    <x v="6"/>
    <s v="네이버 브랜드검색"/>
    <x v="0"/>
    <x v="0"/>
    <x v="0"/>
    <m/>
    <m/>
    <n v="120000"/>
    <m/>
    <m/>
    <m/>
  </r>
  <r>
    <x v="267"/>
    <x v="3"/>
    <s v="네이버 브랜드검색"/>
    <x v="0"/>
    <x v="0"/>
    <x v="0"/>
    <m/>
    <m/>
    <n v="120000"/>
    <m/>
    <m/>
    <m/>
  </r>
  <r>
    <x v="268"/>
    <x v="4"/>
    <s v="네이버 브랜드검색"/>
    <x v="0"/>
    <x v="0"/>
    <x v="0"/>
    <m/>
    <m/>
    <n v="120000"/>
    <m/>
    <m/>
    <m/>
  </r>
  <r>
    <x v="269"/>
    <x v="1"/>
    <s v="네이버 브랜드검색"/>
    <x v="0"/>
    <x v="0"/>
    <x v="0"/>
    <m/>
    <m/>
    <n v="120000"/>
    <m/>
    <m/>
    <m/>
  </r>
  <r>
    <x v="270"/>
    <x v="0"/>
    <s v="네이버 브랜드검색"/>
    <x v="0"/>
    <x v="0"/>
    <x v="0"/>
    <m/>
    <m/>
    <n v="100000"/>
    <m/>
    <m/>
    <m/>
  </r>
  <r>
    <x v="271"/>
    <x v="2"/>
    <s v="네이버 브랜드검색"/>
    <x v="0"/>
    <x v="0"/>
    <x v="0"/>
    <m/>
    <m/>
    <n v="100000"/>
    <m/>
    <m/>
    <m/>
  </r>
  <r>
    <x v="272"/>
    <x v="5"/>
    <s v="네이버 브랜드검색"/>
    <x v="0"/>
    <x v="0"/>
    <x v="0"/>
    <m/>
    <m/>
    <n v="100000"/>
    <m/>
    <m/>
    <m/>
  </r>
  <r>
    <x v="273"/>
    <x v="6"/>
    <s v="네이버 브랜드검색"/>
    <x v="0"/>
    <x v="0"/>
    <x v="0"/>
    <m/>
    <m/>
    <n v="100000"/>
    <m/>
    <m/>
    <m/>
  </r>
  <r>
    <x v="274"/>
    <x v="3"/>
    <s v="네이버 브랜드검색"/>
    <x v="0"/>
    <x v="0"/>
    <x v="0"/>
    <m/>
    <m/>
    <n v="100000"/>
    <m/>
    <m/>
    <m/>
  </r>
  <r>
    <x v="275"/>
    <x v="4"/>
    <s v="네이버 브랜드검색"/>
    <x v="0"/>
    <x v="0"/>
    <x v="0"/>
    <m/>
    <m/>
    <n v="100000"/>
    <m/>
    <m/>
    <m/>
  </r>
  <r>
    <x v="276"/>
    <x v="1"/>
    <s v="네이버 브랜드검색"/>
    <x v="0"/>
    <x v="0"/>
    <x v="0"/>
    <m/>
    <m/>
    <n v="100000"/>
    <m/>
    <m/>
    <m/>
  </r>
  <r>
    <x v="277"/>
    <x v="0"/>
    <s v="네이버 브랜드검색"/>
    <x v="0"/>
    <x v="0"/>
    <x v="0"/>
    <m/>
    <m/>
    <n v="50000"/>
    <m/>
    <m/>
    <m/>
  </r>
  <r>
    <x v="278"/>
    <x v="2"/>
    <s v="네이버 브랜드검색"/>
    <x v="0"/>
    <x v="0"/>
    <x v="0"/>
    <m/>
    <m/>
    <n v="50000"/>
    <m/>
    <m/>
    <m/>
  </r>
  <r>
    <x v="279"/>
    <x v="5"/>
    <s v="네이버 브랜드검색"/>
    <x v="0"/>
    <x v="0"/>
    <x v="0"/>
    <m/>
    <m/>
    <n v="50000"/>
    <m/>
    <m/>
    <m/>
  </r>
  <r>
    <x v="280"/>
    <x v="6"/>
    <s v="네이버 브랜드검색"/>
    <x v="0"/>
    <x v="0"/>
    <x v="0"/>
    <m/>
    <m/>
    <n v="50000"/>
    <m/>
    <m/>
    <m/>
  </r>
  <r>
    <x v="281"/>
    <x v="3"/>
    <s v="네이버 브랜드검색"/>
    <x v="0"/>
    <x v="0"/>
    <x v="0"/>
    <m/>
    <m/>
    <n v="50000"/>
    <m/>
    <m/>
    <m/>
  </r>
  <r>
    <x v="282"/>
    <x v="4"/>
    <s v="네이버 브랜드검색"/>
    <x v="0"/>
    <x v="0"/>
    <x v="0"/>
    <m/>
    <m/>
    <n v="50000"/>
    <m/>
    <m/>
    <m/>
  </r>
  <r>
    <x v="283"/>
    <x v="1"/>
    <s v="네이버 브랜드검색"/>
    <x v="0"/>
    <x v="0"/>
    <x v="0"/>
    <m/>
    <m/>
    <n v="50000"/>
    <m/>
    <m/>
    <m/>
  </r>
  <r>
    <x v="284"/>
    <x v="0"/>
    <s v="네이버 브랜드검색"/>
    <x v="0"/>
    <x v="0"/>
    <x v="0"/>
    <m/>
    <m/>
    <n v="50000"/>
    <m/>
    <m/>
    <m/>
  </r>
  <r>
    <x v="285"/>
    <x v="2"/>
    <s v="네이버 브랜드검색"/>
    <x v="0"/>
    <x v="0"/>
    <x v="0"/>
    <m/>
    <m/>
    <n v="50000"/>
    <m/>
    <m/>
    <m/>
  </r>
  <r>
    <x v="286"/>
    <x v="5"/>
    <s v="네이버 브랜드검색"/>
    <x v="0"/>
    <x v="0"/>
    <x v="0"/>
    <m/>
    <m/>
    <n v="50000"/>
    <m/>
    <m/>
    <m/>
  </r>
  <r>
    <x v="287"/>
    <x v="6"/>
    <s v="네이버 브랜드검색"/>
    <x v="0"/>
    <x v="0"/>
    <x v="0"/>
    <m/>
    <m/>
    <n v="50000"/>
    <m/>
    <m/>
    <m/>
  </r>
  <r>
    <x v="288"/>
    <x v="3"/>
    <s v="네이버 브랜드검색"/>
    <x v="0"/>
    <x v="0"/>
    <x v="0"/>
    <m/>
    <m/>
    <n v="50000"/>
    <m/>
    <m/>
    <m/>
  </r>
  <r>
    <x v="289"/>
    <x v="4"/>
    <s v="네이버 브랜드검색"/>
    <x v="0"/>
    <x v="0"/>
    <x v="0"/>
    <m/>
    <m/>
    <n v="50000"/>
    <m/>
    <m/>
    <m/>
  </r>
  <r>
    <x v="290"/>
    <x v="1"/>
    <s v="네이버 브랜드검색"/>
    <x v="0"/>
    <x v="0"/>
    <x v="0"/>
    <m/>
    <m/>
    <n v="50000"/>
    <m/>
    <m/>
    <m/>
  </r>
  <r>
    <x v="291"/>
    <x v="0"/>
    <s v="네이버 브랜드검색"/>
    <x v="0"/>
    <x v="0"/>
    <x v="0"/>
    <m/>
    <m/>
    <n v="50000"/>
    <m/>
    <m/>
    <m/>
  </r>
  <r>
    <x v="292"/>
    <x v="2"/>
    <s v="네이버 브랜드검색"/>
    <x v="0"/>
    <x v="0"/>
    <x v="0"/>
    <m/>
    <m/>
    <n v="50000"/>
    <m/>
    <m/>
    <m/>
  </r>
  <r>
    <x v="293"/>
    <x v="5"/>
    <s v="네이버 브랜드검색"/>
    <x v="0"/>
    <x v="0"/>
    <x v="0"/>
    <m/>
    <m/>
    <n v="50000"/>
    <m/>
    <m/>
    <m/>
  </r>
  <r>
    <x v="294"/>
    <x v="6"/>
    <s v="네이버 브랜드검색"/>
    <x v="0"/>
    <x v="0"/>
    <x v="0"/>
    <m/>
    <m/>
    <n v="50000"/>
    <m/>
    <m/>
    <m/>
  </r>
  <r>
    <x v="295"/>
    <x v="3"/>
    <s v="네이버 브랜드검색"/>
    <x v="0"/>
    <x v="0"/>
    <x v="0"/>
    <m/>
    <m/>
    <n v="50000"/>
    <m/>
    <m/>
    <m/>
  </r>
  <r>
    <x v="246"/>
    <x v="3"/>
    <s v="페이스북/인스타그램"/>
    <x v="0"/>
    <x v="0"/>
    <x v="0"/>
    <m/>
    <m/>
    <n v="906693"/>
    <m/>
    <m/>
    <m/>
  </r>
  <r>
    <x v="247"/>
    <x v="4"/>
    <s v="페이스북/인스타그램"/>
    <x v="0"/>
    <x v="0"/>
    <x v="0"/>
    <m/>
    <m/>
    <n v="913859"/>
    <m/>
    <m/>
    <m/>
  </r>
  <r>
    <x v="248"/>
    <x v="1"/>
    <s v="페이스북/인스타그램"/>
    <x v="0"/>
    <x v="0"/>
    <x v="0"/>
    <m/>
    <m/>
    <n v="925087"/>
    <m/>
    <m/>
    <m/>
  </r>
  <r>
    <x v="249"/>
    <x v="0"/>
    <s v="페이스북/인스타그램"/>
    <x v="0"/>
    <x v="0"/>
    <x v="0"/>
    <m/>
    <m/>
    <n v="918197"/>
    <m/>
    <m/>
    <m/>
  </r>
  <r>
    <x v="250"/>
    <x v="2"/>
    <s v="페이스북/인스타그램"/>
    <x v="0"/>
    <x v="0"/>
    <x v="0"/>
    <m/>
    <m/>
    <n v="867829"/>
    <m/>
    <m/>
    <m/>
  </r>
  <r>
    <x v="251"/>
    <x v="5"/>
    <s v="페이스북/인스타그램"/>
    <x v="0"/>
    <x v="0"/>
    <x v="0"/>
    <m/>
    <m/>
    <n v="1045713"/>
    <m/>
    <m/>
    <m/>
  </r>
  <r>
    <x v="252"/>
    <x v="6"/>
    <s v="페이스북/인스타그램"/>
    <x v="0"/>
    <x v="0"/>
    <x v="0"/>
    <m/>
    <m/>
    <n v="931396"/>
    <m/>
    <m/>
    <m/>
  </r>
  <r>
    <x v="253"/>
    <x v="3"/>
    <s v="페이스북/인스타그램"/>
    <x v="0"/>
    <x v="0"/>
    <x v="0"/>
    <m/>
    <m/>
    <n v="908951"/>
    <m/>
    <m/>
    <m/>
  </r>
  <r>
    <x v="254"/>
    <x v="4"/>
    <s v="페이스북/인스타그램"/>
    <x v="0"/>
    <x v="0"/>
    <x v="0"/>
    <m/>
    <m/>
    <n v="929852"/>
    <m/>
    <m/>
    <m/>
  </r>
  <r>
    <x v="255"/>
    <x v="1"/>
    <s v="페이스북/인스타그램"/>
    <x v="0"/>
    <x v="0"/>
    <x v="0"/>
    <m/>
    <m/>
    <n v="950064"/>
    <m/>
    <m/>
    <m/>
  </r>
  <r>
    <x v="256"/>
    <x v="0"/>
    <s v="페이스북/인스타그램"/>
    <x v="0"/>
    <x v="0"/>
    <x v="0"/>
    <m/>
    <m/>
    <n v="1046113"/>
    <m/>
    <m/>
    <m/>
  </r>
  <r>
    <x v="257"/>
    <x v="2"/>
    <s v="페이스북/인스타그램"/>
    <x v="0"/>
    <x v="0"/>
    <x v="0"/>
    <m/>
    <m/>
    <n v="1103296"/>
    <m/>
    <m/>
    <m/>
  </r>
  <r>
    <x v="258"/>
    <x v="5"/>
    <s v="페이스북/인스타그램"/>
    <x v="0"/>
    <x v="0"/>
    <x v="0"/>
    <m/>
    <m/>
    <n v="1055474"/>
    <m/>
    <m/>
    <m/>
  </r>
  <r>
    <x v="259"/>
    <x v="6"/>
    <s v="페이스북/인스타그램"/>
    <x v="0"/>
    <x v="0"/>
    <x v="0"/>
    <m/>
    <m/>
    <n v="980815"/>
    <m/>
    <m/>
    <m/>
  </r>
  <r>
    <x v="260"/>
    <x v="3"/>
    <s v="페이스북/인스타그램"/>
    <x v="0"/>
    <x v="0"/>
    <x v="0"/>
    <m/>
    <m/>
    <n v="944873"/>
    <m/>
    <m/>
    <m/>
  </r>
  <r>
    <x v="261"/>
    <x v="4"/>
    <s v="페이스북/인스타그램"/>
    <x v="0"/>
    <x v="0"/>
    <x v="0"/>
    <m/>
    <m/>
    <n v="975856"/>
    <m/>
    <m/>
    <m/>
  </r>
  <r>
    <x v="262"/>
    <x v="1"/>
    <s v="페이스북/인스타그램"/>
    <x v="0"/>
    <x v="0"/>
    <x v="0"/>
    <m/>
    <m/>
    <n v="1013497"/>
    <m/>
    <m/>
    <m/>
  </r>
  <r>
    <x v="263"/>
    <x v="0"/>
    <s v="페이스북/인스타그램"/>
    <x v="0"/>
    <x v="0"/>
    <x v="0"/>
    <m/>
    <m/>
    <n v="1194806"/>
    <m/>
    <m/>
    <m/>
  </r>
  <r>
    <x v="264"/>
    <x v="2"/>
    <s v="페이스북/인스타그램"/>
    <x v="0"/>
    <x v="0"/>
    <x v="0"/>
    <m/>
    <m/>
    <n v="1093008"/>
    <m/>
    <m/>
    <m/>
  </r>
  <r>
    <x v="265"/>
    <x v="5"/>
    <s v="페이스북/인스타그램"/>
    <x v="0"/>
    <x v="0"/>
    <x v="0"/>
    <m/>
    <m/>
    <n v="997917"/>
    <m/>
    <m/>
    <m/>
  </r>
  <r>
    <x v="266"/>
    <x v="6"/>
    <s v="페이스북/인스타그램"/>
    <x v="0"/>
    <x v="0"/>
    <x v="0"/>
    <m/>
    <m/>
    <n v="981630"/>
    <m/>
    <m/>
    <m/>
  </r>
  <r>
    <x v="267"/>
    <x v="3"/>
    <s v="페이스북/인스타그램"/>
    <x v="0"/>
    <x v="0"/>
    <x v="0"/>
    <m/>
    <m/>
    <n v="958828"/>
    <m/>
    <m/>
    <m/>
  </r>
  <r>
    <x v="268"/>
    <x v="4"/>
    <s v="페이스북/인스타그램"/>
    <x v="0"/>
    <x v="0"/>
    <x v="0"/>
    <m/>
    <m/>
    <n v="984741"/>
    <m/>
    <m/>
    <m/>
  </r>
  <r>
    <x v="269"/>
    <x v="1"/>
    <s v="페이스북/인스타그램"/>
    <x v="0"/>
    <x v="0"/>
    <x v="0"/>
    <m/>
    <m/>
    <n v="957482"/>
    <m/>
    <m/>
    <m/>
  </r>
  <r>
    <x v="270"/>
    <x v="0"/>
    <s v="페이스북/인스타그램"/>
    <x v="0"/>
    <x v="0"/>
    <x v="0"/>
    <m/>
    <m/>
    <n v="955821"/>
    <m/>
    <m/>
    <m/>
  </r>
  <r>
    <x v="271"/>
    <x v="2"/>
    <s v="페이스북/인스타그램"/>
    <x v="0"/>
    <x v="0"/>
    <x v="0"/>
    <m/>
    <m/>
    <n v="971434"/>
    <m/>
    <m/>
    <m/>
  </r>
  <r>
    <x v="272"/>
    <x v="5"/>
    <s v="페이스북/인스타그램"/>
    <x v="0"/>
    <x v="0"/>
    <x v="0"/>
    <m/>
    <m/>
    <n v="1050035"/>
    <m/>
    <m/>
    <m/>
  </r>
  <r>
    <x v="273"/>
    <x v="6"/>
    <s v="페이스북/인스타그램"/>
    <x v="0"/>
    <x v="0"/>
    <x v="0"/>
    <m/>
    <m/>
    <n v="983009"/>
    <m/>
    <m/>
    <m/>
  </r>
  <r>
    <x v="274"/>
    <x v="3"/>
    <s v="페이스북/인스타그램"/>
    <x v="0"/>
    <x v="0"/>
    <x v="0"/>
    <m/>
    <m/>
    <n v="864619"/>
    <m/>
    <m/>
    <m/>
  </r>
  <r>
    <x v="275"/>
    <x v="4"/>
    <s v="페이스북/인스타그램"/>
    <x v="0"/>
    <x v="0"/>
    <x v="0"/>
    <m/>
    <m/>
    <n v="589284"/>
    <m/>
    <m/>
    <m/>
  </r>
  <r>
    <x v="276"/>
    <x v="1"/>
    <s v="페이스북/인스타그램"/>
    <x v="0"/>
    <x v="0"/>
    <x v="0"/>
    <m/>
    <m/>
    <n v="475294"/>
    <m/>
    <m/>
    <m/>
  </r>
  <r>
    <x v="277"/>
    <x v="0"/>
    <s v="페이스북/인스타그램"/>
    <x v="0"/>
    <x v="0"/>
    <x v="0"/>
    <m/>
    <m/>
    <n v="460614"/>
    <m/>
    <m/>
    <m/>
  </r>
  <r>
    <x v="278"/>
    <x v="2"/>
    <s v="페이스북/인스타그램"/>
    <x v="0"/>
    <x v="0"/>
    <x v="0"/>
    <m/>
    <m/>
    <n v="407525"/>
    <m/>
    <m/>
    <m/>
  </r>
  <r>
    <x v="279"/>
    <x v="5"/>
    <s v="페이스북/인스타그램"/>
    <x v="0"/>
    <x v="0"/>
    <x v="0"/>
    <m/>
    <m/>
    <n v="297970"/>
    <m/>
    <m/>
    <m/>
  </r>
  <r>
    <x v="280"/>
    <x v="6"/>
    <s v="페이스북/인스타그램"/>
    <x v="0"/>
    <x v="0"/>
    <x v="0"/>
    <m/>
    <m/>
    <n v="442737"/>
    <m/>
    <m/>
    <m/>
  </r>
  <r>
    <x v="281"/>
    <x v="3"/>
    <s v="페이스북/인스타그램"/>
    <x v="0"/>
    <x v="0"/>
    <x v="0"/>
    <m/>
    <m/>
    <n v="507581"/>
    <m/>
    <m/>
    <m/>
  </r>
  <r>
    <x v="282"/>
    <x v="4"/>
    <s v="페이스북/인스타그램"/>
    <x v="0"/>
    <x v="0"/>
    <x v="0"/>
    <m/>
    <m/>
    <n v="493234"/>
    <m/>
    <m/>
    <m/>
  </r>
  <r>
    <x v="283"/>
    <x v="1"/>
    <s v="페이스북/인스타그램"/>
    <x v="0"/>
    <x v="0"/>
    <x v="0"/>
    <m/>
    <m/>
    <n v="410599"/>
    <m/>
    <m/>
    <m/>
  </r>
  <r>
    <x v="284"/>
    <x v="0"/>
    <s v="페이스북/인스타그램"/>
    <x v="0"/>
    <x v="0"/>
    <x v="0"/>
    <m/>
    <m/>
    <n v="432117"/>
    <m/>
    <m/>
    <m/>
  </r>
  <r>
    <x v="285"/>
    <x v="2"/>
    <s v="페이스북/인스타그램"/>
    <x v="0"/>
    <x v="0"/>
    <x v="0"/>
    <m/>
    <m/>
    <n v="475119"/>
    <m/>
    <m/>
    <m/>
  </r>
  <r>
    <x v="286"/>
    <x v="5"/>
    <s v="페이스북/인스타그램"/>
    <x v="0"/>
    <x v="0"/>
    <x v="0"/>
    <m/>
    <m/>
    <n v="336260"/>
    <m/>
    <m/>
    <m/>
  </r>
  <r>
    <x v="287"/>
    <x v="6"/>
    <s v="페이스북/인스타그램"/>
    <x v="0"/>
    <x v="0"/>
    <x v="0"/>
    <m/>
    <m/>
    <n v="683454"/>
    <m/>
    <m/>
    <m/>
  </r>
  <r>
    <x v="288"/>
    <x v="3"/>
    <s v="페이스북/인스타그램"/>
    <x v="0"/>
    <x v="0"/>
    <x v="0"/>
    <m/>
    <m/>
    <n v="748942"/>
    <m/>
    <m/>
    <m/>
  </r>
  <r>
    <x v="289"/>
    <x v="4"/>
    <s v="페이스북/인스타그램"/>
    <x v="0"/>
    <x v="0"/>
    <x v="0"/>
    <m/>
    <m/>
    <n v="1193212"/>
    <m/>
    <m/>
    <m/>
  </r>
  <r>
    <x v="290"/>
    <x v="1"/>
    <s v="페이스북/인스타그램"/>
    <x v="0"/>
    <x v="0"/>
    <x v="0"/>
    <m/>
    <m/>
    <n v="907765"/>
    <m/>
    <m/>
    <m/>
  </r>
  <r>
    <x v="291"/>
    <x v="0"/>
    <s v="페이스북/인스타그램"/>
    <x v="0"/>
    <x v="0"/>
    <x v="0"/>
    <m/>
    <m/>
    <n v="677537"/>
    <m/>
    <m/>
    <m/>
  </r>
  <r>
    <x v="292"/>
    <x v="2"/>
    <s v="페이스북/인스타그램"/>
    <x v="0"/>
    <x v="0"/>
    <x v="0"/>
    <m/>
    <m/>
    <n v="505633"/>
    <m/>
    <m/>
    <m/>
  </r>
  <r>
    <x v="293"/>
    <x v="5"/>
    <s v="페이스북/인스타그램"/>
    <x v="0"/>
    <x v="0"/>
    <x v="0"/>
    <m/>
    <m/>
    <n v="366610"/>
    <m/>
    <m/>
    <m/>
  </r>
  <r>
    <x v="294"/>
    <x v="6"/>
    <s v="페이스북/인스타그램"/>
    <x v="0"/>
    <x v="0"/>
    <x v="0"/>
    <m/>
    <m/>
    <n v="499987"/>
    <m/>
    <m/>
    <m/>
  </r>
  <r>
    <x v="295"/>
    <x v="3"/>
    <s v="페이스북/인스타그램"/>
    <x v="0"/>
    <x v="0"/>
    <x v="0"/>
    <m/>
    <m/>
    <n v="344181"/>
    <m/>
    <m/>
    <m/>
  </r>
  <r>
    <x v="246"/>
    <x v="3"/>
    <s v="페이스북/인스타그램"/>
    <x v="6"/>
    <x v="0"/>
    <x v="0"/>
    <m/>
    <m/>
    <n v="230258"/>
    <m/>
    <m/>
    <m/>
  </r>
  <r>
    <x v="247"/>
    <x v="4"/>
    <s v="페이스북/인스타그램"/>
    <x v="6"/>
    <x v="0"/>
    <x v="0"/>
    <m/>
    <m/>
    <n v="306777"/>
    <m/>
    <m/>
    <m/>
  </r>
  <r>
    <x v="248"/>
    <x v="1"/>
    <s v="페이스북/인스타그램"/>
    <x v="6"/>
    <x v="0"/>
    <x v="0"/>
    <m/>
    <m/>
    <n v="349054"/>
    <m/>
    <m/>
    <m/>
  </r>
  <r>
    <x v="249"/>
    <x v="0"/>
    <s v="페이스북/인스타그램"/>
    <x v="6"/>
    <x v="0"/>
    <x v="0"/>
    <m/>
    <m/>
    <n v="347887"/>
    <m/>
    <m/>
    <m/>
  </r>
  <r>
    <x v="250"/>
    <x v="2"/>
    <s v="페이스북/인스타그램"/>
    <x v="6"/>
    <x v="0"/>
    <x v="0"/>
    <m/>
    <m/>
    <n v="288936"/>
    <m/>
    <m/>
    <m/>
  </r>
  <r>
    <x v="251"/>
    <x v="5"/>
    <s v="페이스북/인스타그램"/>
    <x v="6"/>
    <x v="0"/>
    <x v="0"/>
    <m/>
    <m/>
    <n v="255359"/>
    <m/>
    <m/>
    <m/>
  </r>
  <r>
    <x v="252"/>
    <x v="6"/>
    <s v="페이스북/인스타그램"/>
    <x v="6"/>
    <x v="0"/>
    <x v="0"/>
    <m/>
    <m/>
    <n v="251005"/>
    <m/>
    <m/>
    <m/>
  </r>
  <r>
    <x v="253"/>
    <x v="3"/>
    <s v="페이스북/인스타그램"/>
    <x v="6"/>
    <x v="0"/>
    <x v="0"/>
    <m/>
    <m/>
    <n v="202755"/>
    <m/>
    <m/>
    <m/>
  </r>
  <r>
    <x v="254"/>
    <x v="4"/>
    <s v="페이스북/인스타그램"/>
    <x v="6"/>
    <x v="0"/>
    <x v="0"/>
    <m/>
    <m/>
    <n v="191655"/>
    <m/>
    <m/>
    <m/>
  </r>
  <r>
    <x v="255"/>
    <x v="1"/>
    <s v="페이스북/인스타그램"/>
    <x v="6"/>
    <x v="0"/>
    <x v="0"/>
    <m/>
    <m/>
    <n v="189906"/>
    <m/>
    <m/>
    <m/>
  </r>
  <r>
    <x v="256"/>
    <x v="0"/>
    <s v="페이스북/인스타그램"/>
    <x v="6"/>
    <x v="0"/>
    <x v="0"/>
    <m/>
    <m/>
    <n v="194898"/>
    <m/>
    <m/>
    <m/>
  </r>
  <r>
    <x v="257"/>
    <x v="2"/>
    <s v="페이스북/인스타그램"/>
    <x v="6"/>
    <x v="0"/>
    <x v="0"/>
    <m/>
    <m/>
    <n v="197022"/>
    <m/>
    <m/>
    <m/>
  </r>
  <r>
    <x v="258"/>
    <x v="5"/>
    <s v="페이스북/인스타그램"/>
    <x v="6"/>
    <x v="0"/>
    <x v="0"/>
    <m/>
    <m/>
    <n v="210002"/>
    <m/>
    <m/>
    <m/>
  </r>
  <r>
    <x v="259"/>
    <x v="6"/>
    <s v="페이스북/인스타그램"/>
    <x v="6"/>
    <x v="0"/>
    <x v="0"/>
    <m/>
    <m/>
    <n v="200976"/>
    <m/>
    <m/>
    <m/>
  </r>
  <r>
    <x v="260"/>
    <x v="3"/>
    <s v="페이스북/인스타그램"/>
    <x v="6"/>
    <x v="0"/>
    <x v="0"/>
    <m/>
    <m/>
    <n v="191422"/>
    <m/>
    <m/>
    <m/>
  </r>
  <r>
    <x v="261"/>
    <x v="4"/>
    <s v="페이스북/인스타그램"/>
    <x v="6"/>
    <x v="0"/>
    <x v="0"/>
    <m/>
    <m/>
    <n v="211328"/>
    <m/>
    <m/>
    <m/>
  </r>
  <r>
    <x v="262"/>
    <x v="1"/>
    <s v="페이스북/인스타그램"/>
    <x v="6"/>
    <x v="0"/>
    <x v="0"/>
    <m/>
    <m/>
    <n v="250306"/>
    <m/>
    <m/>
    <m/>
  </r>
  <r>
    <x v="263"/>
    <x v="0"/>
    <s v="페이스북/인스타그램"/>
    <x v="6"/>
    <x v="0"/>
    <x v="0"/>
    <m/>
    <m/>
    <n v="808409"/>
    <m/>
    <m/>
    <m/>
  </r>
  <r>
    <x v="264"/>
    <x v="2"/>
    <s v="페이스북/인스타그램"/>
    <x v="6"/>
    <x v="0"/>
    <x v="0"/>
    <m/>
    <m/>
    <n v="715304"/>
    <m/>
    <m/>
    <m/>
  </r>
  <r>
    <x v="265"/>
    <x v="5"/>
    <s v="페이스북/인스타그램"/>
    <x v="6"/>
    <x v="0"/>
    <x v="0"/>
    <m/>
    <m/>
    <n v="102806"/>
    <m/>
    <m/>
    <m/>
  </r>
  <r>
    <x v="267"/>
    <x v="3"/>
    <s v="페이스북/인스타그램"/>
    <x v="6"/>
    <x v="0"/>
    <x v="0"/>
    <m/>
    <m/>
    <n v="37887"/>
    <m/>
    <m/>
    <m/>
  </r>
  <r>
    <x v="268"/>
    <x v="4"/>
    <s v="페이스북/인스타그램"/>
    <x v="6"/>
    <x v="0"/>
    <x v="0"/>
    <m/>
    <m/>
    <n v="108574"/>
    <m/>
    <m/>
    <m/>
  </r>
  <r>
    <x v="269"/>
    <x v="1"/>
    <s v="페이스북/인스타그램"/>
    <x v="6"/>
    <x v="0"/>
    <x v="0"/>
    <m/>
    <m/>
    <n v="22905"/>
    <m/>
    <m/>
    <m/>
  </r>
  <r>
    <x v="270"/>
    <x v="0"/>
    <s v="페이스북/인스타그램"/>
    <x v="6"/>
    <x v="0"/>
    <x v="0"/>
    <m/>
    <m/>
    <n v="240418"/>
    <m/>
    <m/>
    <m/>
  </r>
  <r>
    <x v="271"/>
    <x v="2"/>
    <s v="페이스북/인스타그램"/>
    <x v="6"/>
    <x v="0"/>
    <x v="0"/>
    <m/>
    <m/>
    <n v="564316"/>
    <m/>
    <m/>
    <m/>
  </r>
  <r>
    <x v="272"/>
    <x v="5"/>
    <s v="페이스북/인스타그램"/>
    <x v="6"/>
    <x v="0"/>
    <x v="0"/>
    <m/>
    <m/>
    <n v="434729"/>
    <m/>
    <m/>
    <m/>
  </r>
  <r>
    <x v="273"/>
    <x v="6"/>
    <s v="페이스북/인스타그램"/>
    <x v="6"/>
    <x v="0"/>
    <x v="0"/>
    <m/>
    <m/>
    <n v="263331"/>
    <m/>
    <m/>
    <m/>
  </r>
  <r>
    <x v="274"/>
    <x v="3"/>
    <s v="페이스북/인스타그램"/>
    <x v="6"/>
    <x v="0"/>
    <x v="0"/>
    <m/>
    <m/>
    <n v="426827"/>
    <m/>
    <m/>
    <m/>
  </r>
  <r>
    <x v="275"/>
    <x v="4"/>
    <s v="페이스북/인스타그램"/>
    <x v="6"/>
    <x v="0"/>
    <x v="0"/>
    <m/>
    <m/>
    <n v="1013264"/>
    <m/>
    <m/>
    <m/>
  </r>
  <r>
    <x v="276"/>
    <x v="1"/>
    <s v="페이스북/인스타그램"/>
    <x v="6"/>
    <x v="0"/>
    <x v="0"/>
    <m/>
    <m/>
    <n v="537522"/>
    <m/>
    <m/>
    <m/>
  </r>
  <r>
    <x v="277"/>
    <x v="0"/>
    <s v="페이스북/인스타그램"/>
    <x v="6"/>
    <x v="0"/>
    <x v="0"/>
    <m/>
    <m/>
    <n v="234502"/>
    <m/>
    <m/>
    <m/>
  </r>
  <r>
    <x v="278"/>
    <x v="2"/>
    <s v="페이스북/인스타그램"/>
    <x v="6"/>
    <x v="0"/>
    <x v="0"/>
    <m/>
    <m/>
    <n v="142802"/>
    <m/>
    <m/>
    <m/>
  </r>
  <r>
    <x v="280"/>
    <x v="6"/>
    <s v="페이스북/인스타그램"/>
    <x v="6"/>
    <x v="0"/>
    <x v="0"/>
    <m/>
    <m/>
    <n v="198885"/>
    <m/>
    <m/>
    <m/>
  </r>
  <r>
    <x v="281"/>
    <x v="3"/>
    <s v="페이스북/인스타그램"/>
    <x v="6"/>
    <x v="0"/>
    <x v="0"/>
    <m/>
    <m/>
    <n v="346014"/>
    <m/>
    <m/>
    <m/>
  </r>
  <r>
    <x v="282"/>
    <x v="4"/>
    <s v="페이스북/인스타그램"/>
    <x v="6"/>
    <x v="0"/>
    <x v="0"/>
    <m/>
    <m/>
    <n v="400190"/>
    <m/>
    <m/>
    <m/>
  </r>
  <r>
    <x v="283"/>
    <x v="1"/>
    <s v="페이스북/인스타그램"/>
    <x v="6"/>
    <x v="0"/>
    <x v="0"/>
    <m/>
    <m/>
    <n v="224787"/>
    <m/>
    <m/>
    <m/>
  </r>
  <r>
    <x v="284"/>
    <x v="0"/>
    <s v="페이스북/인스타그램"/>
    <x v="6"/>
    <x v="0"/>
    <x v="0"/>
    <m/>
    <m/>
    <n v="68869"/>
    <m/>
    <m/>
    <m/>
  </r>
  <r>
    <x v="287"/>
    <x v="6"/>
    <s v="페이스북/인스타그램"/>
    <x v="6"/>
    <x v="0"/>
    <x v="0"/>
    <m/>
    <m/>
    <n v="196749"/>
    <m/>
    <m/>
    <m/>
  </r>
  <r>
    <x v="288"/>
    <x v="3"/>
    <s v="페이스북/인스타그램"/>
    <x v="6"/>
    <x v="0"/>
    <x v="0"/>
    <m/>
    <m/>
    <n v="623302"/>
    <m/>
    <m/>
    <m/>
  </r>
  <r>
    <x v="289"/>
    <x v="4"/>
    <s v="페이스북/인스타그램"/>
    <x v="6"/>
    <x v="0"/>
    <x v="0"/>
    <m/>
    <m/>
    <n v="321690"/>
    <m/>
    <m/>
    <m/>
  </r>
  <r>
    <x v="290"/>
    <x v="1"/>
    <s v="페이스북/인스타그램"/>
    <x v="6"/>
    <x v="0"/>
    <x v="0"/>
    <m/>
    <m/>
    <n v="7062"/>
    <m/>
    <m/>
    <m/>
  </r>
  <r>
    <x v="283"/>
    <x v="1"/>
    <s v="네이버 GFA"/>
    <x v="6"/>
    <x v="0"/>
    <x v="0"/>
    <m/>
    <m/>
    <n v="14084.54545454545"/>
    <m/>
    <m/>
    <m/>
  </r>
  <r>
    <x v="284"/>
    <x v="0"/>
    <s v="네이버 GFA"/>
    <x v="6"/>
    <x v="0"/>
    <x v="0"/>
    <m/>
    <m/>
    <n v="104525.4545454545"/>
    <m/>
    <m/>
    <m/>
  </r>
  <r>
    <x v="285"/>
    <x v="2"/>
    <s v="네이버 GFA"/>
    <x v="6"/>
    <x v="0"/>
    <x v="0"/>
    <m/>
    <m/>
    <n v="116573.6363636364"/>
    <m/>
    <m/>
    <m/>
  </r>
  <r>
    <x v="286"/>
    <x v="5"/>
    <s v="네이버 GFA"/>
    <x v="6"/>
    <x v="0"/>
    <x v="0"/>
    <m/>
    <m/>
    <n v="82024.54545454544"/>
    <m/>
    <m/>
    <m/>
  </r>
  <r>
    <x v="287"/>
    <x v="6"/>
    <s v="네이버 GFA"/>
    <x v="6"/>
    <x v="0"/>
    <x v="0"/>
    <m/>
    <m/>
    <n v="62659.0909090909"/>
    <m/>
    <m/>
    <m/>
  </r>
  <r>
    <x v="288"/>
    <x v="3"/>
    <s v="네이버 GFA"/>
    <x v="6"/>
    <x v="0"/>
    <x v="0"/>
    <m/>
    <m/>
    <n v="220084.5454545454"/>
    <m/>
    <m/>
    <m/>
  </r>
  <r>
    <x v="289"/>
    <x v="4"/>
    <s v="네이버 GFA"/>
    <x v="6"/>
    <x v="0"/>
    <x v="0"/>
    <m/>
    <m/>
    <n v="261468.1818181818"/>
    <m/>
    <m/>
    <m/>
  </r>
  <r>
    <x v="290"/>
    <x v="1"/>
    <s v="네이버 GFA"/>
    <x v="6"/>
    <x v="0"/>
    <x v="0"/>
    <m/>
    <m/>
    <n v="216820.9090909091"/>
    <m/>
    <m/>
    <m/>
  </r>
  <r>
    <x v="291"/>
    <x v="0"/>
    <s v="네이버 GFA"/>
    <x v="6"/>
    <x v="0"/>
    <x v="0"/>
    <m/>
    <m/>
    <n v="206910"/>
    <m/>
    <m/>
    <m/>
  </r>
  <r>
    <x v="292"/>
    <x v="2"/>
    <s v="네이버 GFA"/>
    <x v="6"/>
    <x v="0"/>
    <x v="0"/>
    <m/>
    <m/>
    <n v="198557.2727272727"/>
    <m/>
    <m/>
    <m/>
  </r>
  <r>
    <x v="293"/>
    <x v="5"/>
    <s v="네이버 GFA"/>
    <x v="6"/>
    <x v="0"/>
    <x v="0"/>
    <m/>
    <m/>
    <n v="76952.72727272726"/>
    <m/>
    <m/>
    <m/>
  </r>
  <r>
    <x v="294"/>
    <x v="6"/>
    <s v="네이버 GFA"/>
    <x v="6"/>
    <x v="0"/>
    <x v="0"/>
    <m/>
    <m/>
    <n v="81342.72727272726"/>
    <m/>
    <m/>
    <m/>
  </r>
  <r>
    <x v="295"/>
    <x v="3"/>
    <s v="네이버 GFA"/>
    <x v="6"/>
    <x v="0"/>
    <x v="0"/>
    <m/>
    <m/>
    <n v="188838.1818181818"/>
    <m/>
    <m/>
    <m/>
  </r>
  <r>
    <x v="283"/>
    <x v="1"/>
    <s v="네이버 GFA"/>
    <x v="0"/>
    <x v="0"/>
    <x v="0"/>
    <m/>
    <m/>
    <n v="86108.18181818181"/>
    <m/>
    <m/>
    <m/>
  </r>
  <r>
    <x v="288"/>
    <x v="3"/>
    <s v="네이버 GFA"/>
    <x v="0"/>
    <x v="0"/>
    <x v="0"/>
    <m/>
    <m/>
    <n v="259598.1818181818"/>
    <m/>
    <m/>
    <m/>
  </r>
  <r>
    <x v="289"/>
    <x v="4"/>
    <s v="네이버 GFA"/>
    <x v="0"/>
    <x v="0"/>
    <x v="0"/>
    <m/>
    <m/>
    <n v="691918.1818181818"/>
    <m/>
    <m/>
    <m/>
  </r>
  <r>
    <x v="290"/>
    <x v="1"/>
    <s v="네이버 GFA"/>
    <x v="0"/>
    <x v="0"/>
    <x v="0"/>
    <m/>
    <m/>
    <n v="420592.7272727272"/>
    <m/>
    <m/>
    <m/>
  </r>
  <r>
    <x v="291"/>
    <x v="0"/>
    <s v="네이버 GFA"/>
    <x v="0"/>
    <x v="0"/>
    <x v="0"/>
    <m/>
    <m/>
    <n v="447038.1818181818"/>
    <m/>
    <m/>
    <m/>
  </r>
  <r>
    <x v="292"/>
    <x v="2"/>
    <s v="네이버 GFA"/>
    <x v="0"/>
    <x v="0"/>
    <x v="0"/>
    <m/>
    <m/>
    <n v="270964.5454545454"/>
    <m/>
    <m/>
    <m/>
  </r>
  <r>
    <x v="293"/>
    <x v="5"/>
    <s v="네이버 GFA"/>
    <x v="0"/>
    <x v="0"/>
    <x v="0"/>
    <m/>
    <m/>
    <n v="35880"/>
    <m/>
    <m/>
    <m/>
  </r>
  <r>
    <x v="294"/>
    <x v="6"/>
    <s v="네이버 GFA"/>
    <x v="0"/>
    <x v="0"/>
    <x v="0"/>
    <m/>
    <m/>
    <n v="36828.18181818182"/>
    <m/>
    <m/>
    <m/>
  </r>
  <r>
    <x v="295"/>
    <x v="3"/>
    <s v="네이버 GFA"/>
    <x v="0"/>
    <x v="0"/>
    <x v="0"/>
    <m/>
    <m/>
    <n v="493568.1818181818"/>
    <m/>
    <m/>
    <m/>
  </r>
  <r>
    <x v="246"/>
    <x v="3"/>
    <s v="카카오광고"/>
    <x v="0"/>
    <x v="0"/>
    <x v="0"/>
    <m/>
    <m/>
    <n v="14500"/>
    <m/>
    <m/>
    <m/>
  </r>
  <r>
    <x v="247"/>
    <x v="4"/>
    <s v="카카오광고"/>
    <x v="0"/>
    <x v="0"/>
    <x v="0"/>
    <m/>
    <m/>
    <n v="13730"/>
    <m/>
    <m/>
    <m/>
  </r>
  <r>
    <x v="248"/>
    <x v="1"/>
    <s v="카카오광고"/>
    <x v="0"/>
    <x v="0"/>
    <x v="0"/>
    <m/>
    <m/>
    <n v="13750"/>
    <m/>
    <m/>
    <m/>
  </r>
  <r>
    <x v="249"/>
    <x v="0"/>
    <s v="카카오광고"/>
    <x v="0"/>
    <x v="0"/>
    <x v="0"/>
    <m/>
    <m/>
    <n v="13790"/>
    <m/>
    <m/>
    <m/>
  </r>
  <r>
    <x v="250"/>
    <x v="2"/>
    <s v="카카오광고"/>
    <x v="0"/>
    <x v="0"/>
    <x v="0"/>
    <m/>
    <m/>
    <n v="14150"/>
    <m/>
    <m/>
    <m/>
  </r>
  <r>
    <x v="251"/>
    <x v="5"/>
    <s v="카카오광고"/>
    <x v="0"/>
    <x v="0"/>
    <x v="0"/>
    <m/>
    <m/>
    <n v="13990"/>
    <m/>
    <m/>
    <m/>
  </r>
  <r>
    <x v="252"/>
    <x v="6"/>
    <s v="카카오광고"/>
    <x v="0"/>
    <x v="0"/>
    <x v="0"/>
    <m/>
    <m/>
    <n v="11230"/>
    <m/>
    <m/>
    <m/>
  </r>
  <r>
    <x v="253"/>
    <x v="3"/>
    <s v="카카오광고"/>
    <x v="0"/>
    <x v="0"/>
    <x v="0"/>
    <m/>
    <m/>
    <n v="10020"/>
    <m/>
    <m/>
    <m/>
  </r>
  <r>
    <x v="254"/>
    <x v="4"/>
    <s v="카카오광고"/>
    <x v="0"/>
    <x v="0"/>
    <x v="0"/>
    <m/>
    <m/>
    <n v="14440"/>
    <m/>
    <m/>
    <m/>
  </r>
  <r>
    <x v="255"/>
    <x v="1"/>
    <s v="카카오광고"/>
    <x v="0"/>
    <x v="0"/>
    <x v="0"/>
    <m/>
    <m/>
    <n v="13040"/>
    <m/>
    <m/>
    <m/>
  </r>
  <r>
    <x v="256"/>
    <x v="0"/>
    <s v="카카오광고"/>
    <x v="0"/>
    <x v="0"/>
    <x v="0"/>
    <m/>
    <m/>
    <n v="10450"/>
    <m/>
    <m/>
    <m/>
  </r>
  <r>
    <x v="257"/>
    <x v="2"/>
    <s v="카카오광고"/>
    <x v="0"/>
    <x v="0"/>
    <x v="0"/>
    <m/>
    <m/>
    <n v="9690"/>
    <m/>
    <m/>
    <m/>
  </r>
  <r>
    <x v="258"/>
    <x v="5"/>
    <s v="카카오광고"/>
    <x v="0"/>
    <x v="0"/>
    <x v="0"/>
    <m/>
    <m/>
    <n v="12320"/>
    <m/>
    <m/>
    <m/>
  </r>
  <r>
    <x v="259"/>
    <x v="6"/>
    <s v="카카오광고"/>
    <x v="0"/>
    <x v="0"/>
    <x v="0"/>
    <m/>
    <m/>
    <n v="10090"/>
    <m/>
    <m/>
    <m/>
  </r>
  <r>
    <x v="260"/>
    <x v="3"/>
    <s v="카카오광고"/>
    <x v="0"/>
    <x v="0"/>
    <x v="0"/>
    <m/>
    <m/>
    <n v="11090"/>
    <m/>
    <m/>
    <m/>
  </r>
  <r>
    <x v="261"/>
    <x v="4"/>
    <s v="카카오광고"/>
    <x v="0"/>
    <x v="0"/>
    <x v="0"/>
    <m/>
    <m/>
    <n v="8360"/>
    <m/>
    <m/>
    <m/>
  </r>
  <r>
    <x v="262"/>
    <x v="1"/>
    <s v="카카오광고"/>
    <x v="0"/>
    <x v="0"/>
    <x v="0"/>
    <m/>
    <m/>
    <n v="7179.999999999999"/>
    <m/>
    <m/>
    <m/>
  </r>
  <r>
    <x v="263"/>
    <x v="0"/>
    <s v="카카오광고"/>
    <x v="0"/>
    <x v="0"/>
    <x v="0"/>
    <m/>
    <m/>
    <n v="10070"/>
    <m/>
    <m/>
    <m/>
  </r>
  <r>
    <x v="264"/>
    <x v="2"/>
    <s v="카카오광고"/>
    <x v="0"/>
    <x v="0"/>
    <x v="0"/>
    <m/>
    <m/>
    <n v="4070"/>
    <m/>
    <m/>
    <m/>
  </r>
  <r>
    <x v="265"/>
    <x v="5"/>
    <s v="카카오광고"/>
    <x v="0"/>
    <x v="0"/>
    <x v="0"/>
    <m/>
    <m/>
    <n v="12050"/>
    <m/>
    <m/>
    <m/>
  </r>
  <r>
    <x v="266"/>
    <x v="6"/>
    <s v="카카오광고"/>
    <x v="0"/>
    <x v="0"/>
    <x v="0"/>
    <m/>
    <m/>
    <n v="7429.999999999999"/>
    <m/>
    <m/>
    <m/>
  </r>
  <r>
    <x v="267"/>
    <x v="3"/>
    <s v="카카오광고"/>
    <x v="0"/>
    <x v="0"/>
    <x v="0"/>
    <m/>
    <m/>
    <n v="8059.999999999999"/>
    <m/>
    <m/>
    <m/>
  </r>
  <r>
    <x v="268"/>
    <x v="4"/>
    <s v="카카오광고"/>
    <x v="0"/>
    <x v="0"/>
    <x v="0"/>
    <m/>
    <m/>
    <n v="4180"/>
    <m/>
    <m/>
    <m/>
  </r>
  <r>
    <x v="269"/>
    <x v="1"/>
    <s v="카카오광고"/>
    <x v="0"/>
    <x v="0"/>
    <x v="0"/>
    <m/>
    <m/>
    <n v="9650"/>
    <m/>
    <m/>
    <m/>
  </r>
  <r>
    <x v="270"/>
    <x v="0"/>
    <s v="카카오광고"/>
    <x v="0"/>
    <x v="0"/>
    <x v="0"/>
    <m/>
    <m/>
    <n v="6129.999999999999"/>
    <m/>
    <m/>
    <m/>
  </r>
  <r>
    <x v="271"/>
    <x v="2"/>
    <s v="카카오광고"/>
    <x v="0"/>
    <x v="0"/>
    <x v="0"/>
    <m/>
    <m/>
    <n v="6989.999999999999"/>
    <m/>
    <m/>
    <m/>
  </r>
  <r>
    <x v="272"/>
    <x v="5"/>
    <s v="카카오광고"/>
    <x v="0"/>
    <x v="0"/>
    <x v="0"/>
    <m/>
    <m/>
    <n v="6389.999999999999"/>
    <m/>
    <m/>
    <m/>
  </r>
  <r>
    <x v="273"/>
    <x v="6"/>
    <s v="카카오광고"/>
    <x v="0"/>
    <x v="0"/>
    <x v="0"/>
    <m/>
    <m/>
    <n v="9060"/>
    <m/>
    <m/>
    <m/>
  </r>
  <r>
    <x v="274"/>
    <x v="3"/>
    <s v="카카오광고"/>
    <x v="0"/>
    <x v="0"/>
    <x v="0"/>
    <m/>
    <m/>
    <n v="9640"/>
    <m/>
    <m/>
    <m/>
  </r>
  <r>
    <x v="275"/>
    <x v="4"/>
    <s v="카카오광고"/>
    <x v="0"/>
    <x v="0"/>
    <x v="0"/>
    <m/>
    <m/>
    <n v="9650"/>
    <m/>
    <m/>
    <m/>
  </r>
  <r>
    <x v="276"/>
    <x v="1"/>
    <s v="카카오광고"/>
    <x v="0"/>
    <x v="0"/>
    <x v="0"/>
    <m/>
    <m/>
    <n v="6369.999999999999"/>
    <m/>
    <m/>
    <m/>
  </r>
  <r>
    <x v="277"/>
    <x v="0"/>
    <s v="카카오광고"/>
    <x v="0"/>
    <x v="0"/>
    <x v="0"/>
    <m/>
    <m/>
    <n v="8820"/>
    <m/>
    <m/>
    <m/>
  </r>
  <r>
    <x v="278"/>
    <x v="2"/>
    <s v="카카오광고"/>
    <x v="0"/>
    <x v="0"/>
    <x v="0"/>
    <m/>
    <m/>
    <n v="10530"/>
    <m/>
    <m/>
    <m/>
  </r>
  <r>
    <x v="279"/>
    <x v="5"/>
    <s v="카카오광고"/>
    <x v="0"/>
    <x v="0"/>
    <x v="0"/>
    <m/>
    <m/>
    <n v="6489.999999999999"/>
    <m/>
    <m/>
    <m/>
  </r>
  <r>
    <x v="280"/>
    <x v="6"/>
    <s v="카카오광고"/>
    <x v="0"/>
    <x v="0"/>
    <x v="0"/>
    <m/>
    <m/>
    <n v="15000"/>
    <m/>
    <m/>
    <m/>
  </r>
  <r>
    <x v="281"/>
    <x v="3"/>
    <s v="카카오광고"/>
    <x v="0"/>
    <x v="0"/>
    <x v="0"/>
    <m/>
    <m/>
    <n v="8690"/>
    <m/>
    <m/>
    <m/>
  </r>
  <r>
    <x v="282"/>
    <x v="4"/>
    <s v="카카오광고"/>
    <x v="0"/>
    <x v="0"/>
    <x v="0"/>
    <m/>
    <m/>
    <n v="4740"/>
    <m/>
    <m/>
    <m/>
  </r>
  <r>
    <x v="283"/>
    <x v="1"/>
    <s v="카카오광고"/>
    <x v="0"/>
    <x v="0"/>
    <x v="0"/>
    <m/>
    <m/>
    <n v="3780"/>
    <m/>
    <m/>
    <m/>
  </r>
  <r>
    <x v="284"/>
    <x v="0"/>
    <s v="카카오광고"/>
    <x v="0"/>
    <x v="0"/>
    <x v="0"/>
    <m/>
    <m/>
    <n v="4620"/>
    <m/>
    <m/>
    <m/>
  </r>
  <r>
    <x v="285"/>
    <x v="2"/>
    <s v="카카오광고"/>
    <x v="0"/>
    <x v="0"/>
    <x v="0"/>
    <m/>
    <m/>
    <n v="5929.999999999999"/>
    <m/>
    <m/>
    <m/>
  </r>
  <r>
    <x v="286"/>
    <x v="5"/>
    <s v="카카오광고"/>
    <x v="0"/>
    <x v="0"/>
    <x v="0"/>
    <m/>
    <m/>
    <n v="5869.999999999999"/>
    <m/>
    <m/>
    <m/>
  </r>
  <r>
    <x v="287"/>
    <x v="6"/>
    <s v="카카오광고"/>
    <x v="0"/>
    <x v="0"/>
    <x v="0"/>
    <m/>
    <m/>
    <n v="6559.999999999999"/>
    <m/>
    <m/>
    <m/>
  </r>
  <r>
    <x v="288"/>
    <x v="3"/>
    <s v="카카오광고"/>
    <x v="0"/>
    <x v="0"/>
    <x v="0"/>
    <m/>
    <m/>
    <n v="12410"/>
    <m/>
    <m/>
    <m/>
  </r>
  <r>
    <x v="289"/>
    <x v="4"/>
    <s v="카카오광고"/>
    <x v="0"/>
    <x v="0"/>
    <x v="0"/>
    <m/>
    <m/>
    <n v="11300"/>
    <m/>
    <m/>
    <m/>
  </r>
  <r>
    <x v="290"/>
    <x v="1"/>
    <s v="카카오광고"/>
    <x v="0"/>
    <x v="0"/>
    <x v="0"/>
    <m/>
    <m/>
    <n v="10090"/>
    <m/>
    <m/>
    <m/>
  </r>
  <r>
    <x v="291"/>
    <x v="0"/>
    <s v="카카오광고"/>
    <x v="0"/>
    <x v="0"/>
    <x v="0"/>
    <m/>
    <m/>
    <n v="6449.999999999999"/>
    <m/>
    <m/>
    <m/>
  </r>
  <r>
    <x v="292"/>
    <x v="2"/>
    <s v="카카오광고"/>
    <x v="0"/>
    <x v="0"/>
    <x v="0"/>
    <m/>
    <m/>
    <n v="13500"/>
    <m/>
    <m/>
    <m/>
  </r>
  <r>
    <x v="293"/>
    <x v="5"/>
    <s v="카카오광고"/>
    <x v="0"/>
    <x v="0"/>
    <x v="0"/>
    <m/>
    <m/>
    <n v="13790"/>
    <m/>
    <m/>
    <m/>
  </r>
  <r>
    <x v="294"/>
    <x v="6"/>
    <s v="카카오광고"/>
    <x v="0"/>
    <x v="0"/>
    <x v="0"/>
    <m/>
    <m/>
    <n v="7479.999999999999"/>
    <m/>
    <m/>
    <m/>
  </r>
  <r>
    <x v="295"/>
    <x v="3"/>
    <s v="카카오광고"/>
    <x v="0"/>
    <x v="0"/>
    <x v="0"/>
    <m/>
    <m/>
    <n v="6879.999999999999"/>
    <m/>
    <m/>
    <m/>
  </r>
  <r>
    <x v="284"/>
    <x v="0"/>
    <s v="카카오광고"/>
    <x v="6"/>
    <x v="0"/>
    <x v="0"/>
    <m/>
    <m/>
    <n v="20520"/>
    <m/>
    <m/>
    <m/>
  </r>
  <r>
    <x v="285"/>
    <x v="2"/>
    <s v="카카오광고"/>
    <x v="6"/>
    <x v="0"/>
    <x v="0"/>
    <m/>
    <m/>
    <n v="58539.99999999999"/>
    <m/>
    <m/>
    <m/>
  </r>
  <r>
    <x v="288"/>
    <x v="3"/>
    <s v="카카오광고"/>
    <x v="6"/>
    <x v="0"/>
    <x v="0"/>
    <m/>
    <m/>
    <n v="183590"/>
    <m/>
    <m/>
    <m/>
  </r>
  <r>
    <x v="289"/>
    <x v="4"/>
    <s v="카카오광고"/>
    <x v="6"/>
    <x v="0"/>
    <x v="0"/>
    <m/>
    <m/>
    <n v="136720"/>
    <m/>
    <m/>
    <m/>
  </r>
  <r>
    <x v="290"/>
    <x v="1"/>
    <s v="카카오광고"/>
    <x v="6"/>
    <x v="0"/>
    <x v="0"/>
    <m/>
    <m/>
    <n v="24400"/>
    <m/>
    <m/>
    <m/>
  </r>
  <r>
    <x v="263"/>
    <x v="0"/>
    <s v="카카오톡 메시지"/>
    <x v="6"/>
    <x v="0"/>
    <x v="0"/>
    <m/>
    <m/>
    <n v="235830"/>
    <m/>
    <m/>
    <m/>
  </r>
  <r>
    <x v="246"/>
    <x v="3"/>
    <s v="네이버 쇼핑검색"/>
    <x v="0"/>
    <x v="0"/>
    <x v="0"/>
    <m/>
    <m/>
    <n v="39350"/>
    <m/>
    <m/>
    <m/>
  </r>
  <r>
    <x v="247"/>
    <x v="4"/>
    <s v="네이버 쇼핑검색"/>
    <x v="0"/>
    <x v="0"/>
    <x v="0"/>
    <m/>
    <m/>
    <n v="41210"/>
    <m/>
    <m/>
    <m/>
  </r>
  <r>
    <x v="248"/>
    <x v="1"/>
    <s v="네이버 쇼핑검색"/>
    <x v="0"/>
    <x v="0"/>
    <x v="0"/>
    <m/>
    <m/>
    <n v="33600"/>
    <m/>
    <m/>
    <m/>
  </r>
  <r>
    <x v="249"/>
    <x v="0"/>
    <s v="네이버 쇼핑검색"/>
    <x v="0"/>
    <x v="0"/>
    <x v="0"/>
    <m/>
    <m/>
    <n v="36100"/>
    <m/>
    <m/>
    <m/>
  </r>
  <r>
    <x v="250"/>
    <x v="2"/>
    <s v="네이버 쇼핑검색"/>
    <x v="0"/>
    <x v="0"/>
    <x v="0"/>
    <m/>
    <m/>
    <n v="24530"/>
    <m/>
    <m/>
    <m/>
  </r>
  <r>
    <x v="251"/>
    <x v="5"/>
    <s v="네이버 쇼핑검색"/>
    <x v="0"/>
    <x v="0"/>
    <x v="0"/>
    <m/>
    <m/>
    <n v="26990"/>
    <m/>
    <m/>
    <m/>
  </r>
  <r>
    <x v="252"/>
    <x v="6"/>
    <s v="네이버 쇼핑검색"/>
    <x v="0"/>
    <x v="0"/>
    <x v="0"/>
    <m/>
    <m/>
    <n v="61669.99999999999"/>
    <m/>
    <m/>
    <m/>
  </r>
  <r>
    <x v="253"/>
    <x v="3"/>
    <s v="네이버 쇼핑검색"/>
    <x v="0"/>
    <x v="0"/>
    <x v="0"/>
    <m/>
    <m/>
    <n v="66260"/>
    <m/>
    <m/>
    <m/>
  </r>
  <r>
    <x v="254"/>
    <x v="4"/>
    <s v="네이버 쇼핑검색"/>
    <x v="0"/>
    <x v="0"/>
    <x v="0"/>
    <m/>
    <m/>
    <n v="50569.99999999999"/>
    <m/>
    <m/>
    <m/>
  </r>
  <r>
    <x v="255"/>
    <x v="1"/>
    <s v="네이버 쇼핑검색"/>
    <x v="0"/>
    <x v="0"/>
    <x v="0"/>
    <m/>
    <m/>
    <n v="43930"/>
    <m/>
    <m/>
    <m/>
  </r>
  <r>
    <x v="256"/>
    <x v="0"/>
    <s v="네이버 쇼핑검색"/>
    <x v="0"/>
    <x v="0"/>
    <x v="0"/>
    <m/>
    <m/>
    <n v="36670"/>
    <m/>
    <m/>
    <m/>
  </r>
  <r>
    <x v="257"/>
    <x v="2"/>
    <s v="네이버 쇼핑검색"/>
    <x v="0"/>
    <x v="0"/>
    <x v="0"/>
    <m/>
    <m/>
    <n v="32100"/>
    <m/>
    <m/>
    <m/>
  </r>
  <r>
    <x v="258"/>
    <x v="5"/>
    <s v="네이버 쇼핑검색"/>
    <x v="0"/>
    <x v="0"/>
    <x v="0"/>
    <m/>
    <m/>
    <n v="35790"/>
    <m/>
    <m/>
    <m/>
  </r>
  <r>
    <x v="259"/>
    <x v="6"/>
    <s v="네이버 쇼핑검색"/>
    <x v="0"/>
    <x v="0"/>
    <x v="0"/>
    <m/>
    <m/>
    <n v="39970"/>
    <m/>
    <m/>
    <m/>
  </r>
  <r>
    <x v="260"/>
    <x v="3"/>
    <s v="네이버 쇼핑검색"/>
    <x v="0"/>
    <x v="0"/>
    <x v="0"/>
    <m/>
    <m/>
    <n v="33700"/>
    <m/>
    <m/>
    <m/>
  </r>
  <r>
    <x v="261"/>
    <x v="4"/>
    <s v="네이버 쇼핑검색"/>
    <x v="0"/>
    <x v="0"/>
    <x v="0"/>
    <m/>
    <m/>
    <n v="38960"/>
    <m/>
    <m/>
    <m/>
  </r>
  <r>
    <x v="262"/>
    <x v="1"/>
    <s v="네이버 쇼핑검색"/>
    <x v="0"/>
    <x v="0"/>
    <x v="0"/>
    <m/>
    <m/>
    <n v="31830"/>
    <m/>
    <m/>
    <m/>
  </r>
  <r>
    <x v="263"/>
    <x v="0"/>
    <s v="네이버 쇼핑검색"/>
    <x v="0"/>
    <x v="0"/>
    <x v="0"/>
    <m/>
    <m/>
    <n v="53899.99999999999"/>
    <m/>
    <m/>
    <m/>
  </r>
  <r>
    <x v="264"/>
    <x v="2"/>
    <s v="네이버 쇼핑검색"/>
    <x v="0"/>
    <x v="0"/>
    <x v="0"/>
    <m/>
    <m/>
    <n v="59449.99999999999"/>
    <m/>
    <m/>
    <m/>
  </r>
  <r>
    <x v="265"/>
    <x v="5"/>
    <s v="네이버 쇼핑검색"/>
    <x v="0"/>
    <x v="0"/>
    <x v="0"/>
    <m/>
    <m/>
    <n v="50379.99999999999"/>
    <m/>
    <m/>
    <m/>
  </r>
  <r>
    <x v="266"/>
    <x v="6"/>
    <s v="네이버 쇼핑검색"/>
    <x v="0"/>
    <x v="0"/>
    <x v="0"/>
    <m/>
    <m/>
    <n v="58689.99999999999"/>
    <m/>
    <m/>
    <m/>
  </r>
  <r>
    <x v="267"/>
    <x v="3"/>
    <s v="네이버 쇼핑검색"/>
    <x v="0"/>
    <x v="0"/>
    <x v="0"/>
    <m/>
    <m/>
    <n v="40720"/>
    <m/>
    <m/>
    <m/>
  </r>
  <r>
    <x v="268"/>
    <x v="4"/>
    <s v="네이버 쇼핑검색"/>
    <x v="0"/>
    <x v="0"/>
    <x v="0"/>
    <m/>
    <m/>
    <n v="41070"/>
    <m/>
    <m/>
    <m/>
  </r>
  <r>
    <x v="269"/>
    <x v="1"/>
    <s v="네이버 쇼핑검색"/>
    <x v="0"/>
    <x v="0"/>
    <x v="0"/>
    <m/>
    <m/>
    <n v="40080"/>
    <m/>
    <m/>
    <m/>
  </r>
  <r>
    <x v="270"/>
    <x v="0"/>
    <s v="네이버 쇼핑검색"/>
    <x v="0"/>
    <x v="0"/>
    <x v="0"/>
    <m/>
    <m/>
    <n v="41990"/>
    <m/>
    <m/>
    <m/>
  </r>
  <r>
    <x v="271"/>
    <x v="2"/>
    <s v="네이버 쇼핑검색"/>
    <x v="0"/>
    <x v="0"/>
    <x v="0"/>
    <m/>
    <m/>
    <n v="29240"/>
    <m/>
    <m/>
    <m/>
  </r>
  <r>
    <x v="272"/>
    <x v="5"/>
    <s v="네이버 쇼핑검색"/>
    <x v="0"/>
    <x v="0"/>
    <x v="0"/>
    <m/>
    <m/>
    <n v="34320"/>
    <m/>
    <m/>
    <m/>
  </r>
  <r>
    <x v="273"/>
    <x v="6"/>
    <s v="네이버 쇼핑검색"/>
    <x v="0"/>
    <x v="0"/>
    <x v="0"/>
    <m/>
    <m/>
    <n v="43070"/>
    <m/>
    <m/>
    <m/>
  </r>
  <r>
    <x v="274"/>
    <x v="3"/>
    <s v="네이버 쇼핑검색"/>
    <x v="0"/>
    <x v="0"/>
    <x v="0"/>
    <m/>
    <m/>
    <n v="46459.99999999999"/>
    <m/>
    <m/>
    <m/>
  </r>
  <r>
    <x v="275"/>
    <x v="4"/>
    <s v="네이버 쇼핑검색"/>
    <x v="0"/>
    <x v="0"/>
    <x v="0"/>
    <m/>
    <m/>
    <n v="35600"/>
    <m/>
    <m/>
    <m/>
  </r>
  <r>
    <x v="276"/>
    <x v="1"/>
    <s v="네이버 쇼핑검색"/>
    <x v="0"/>
    <x v="0"/>
    <x v="0"/>
    <m/>
    <m/>
    <n v="36290"/>
    <m/>
    <m/>
    <m/>
  </r>
  <r>
    <x v="277"/>
    <x v="0"/>
    <s v="네이버 쇼핑검색"/>
    <x v="0"/>
    <x v="0"/>
    <x v="0"/>
    <m/>
    <m/>
    <n v="35640"/>
    <m/>
    <m/>
    <m/>
  </r>
  <r>
    <x v="278"/>
    <x v="2"/>
    <s v="네이버 쇼핑검색"/>
    <x v="0"/>
    <x v="0"/>
    <x v="0"/>
    <m/>
    <m/>
    <n v="25110"/>
    <m/>
    <m/>
    <m/>
  </r>
  <r>
    <x v="279"/>
    <x v="5"/>
    <s v="네이버 쇼핑검색"/>
    <x v="0"/>
    <x v="0"/>
    <x v="0"/>
    <m/>
    <m/>
    <n v="24360"/>
    <m/>
    <m/>
    <m/>
  </r>
  <r>
    <x v="280"/>
    <x v="6"/>
    <s v="네이버 쇼핑검색"/>
    <x v="0"/>
    <x v="0"/>
    <x v="0"/>
    <m/>
    <m/>
    <n v="37020"/>
    <m/>
    <m/>
    <m/>
  </r>
  <r>
    <x v="281"/>
    <x v="3"/>
    <s v="네이버 쇼핑검색"/>
    <x v="0"/>
    <x v="0"/>
    <x v="0"/>
    <m/>
    <m/>
    <n v="36580"/>
    <m/>
    <m/>
    <m/>
  </r>
  <r>
    <x v="282"/>
    <x v="4"/>
    <s v="네이버 쇼핑검색"/>
    <x v="0"/>
    <x v="0"/>
    <x v="0"/>
    <m/>
    <m/>
    <n v="37650"/>
    <m/>
    <m/>
    <m/>
  </r>
  <r>
    <x v="283"/>
    <x v="1"/>
    <s v="네이버 쇼핑검색"/>
    <x v="0"/>
    <x v="0"/>
    <x v="0"/>
    <m/>
    <m/>
    <n v="35970"/>
    <m/>
    <m/>
    <m/>
  </r>
  <r>
    <x v="284"/>
    <x v="0"/>
    <s v="네이버 쇼핑검색"/>
    <x v="0"/>
    <x v="0"/>
    <x v="0"/>
    <m/>
    <m/>
    <n v="31940"/>
    <m/>
    <m/>
    <m/>
  </r>
  <r>
    <x v="285"/>
    <x v="2"/>
    <s v="네이버 쇼핑검색"/>
    <x v="0"/>
    <x v="0"/>
    <x v="0"/>
    <m/>
    <m/>
    <n v="27430"/>
    <m/>
    <m/>
    <m/>
  </r>
  <r>
    <x v="286"/>
    <x v="5"/>
    <s v="네이버 쇼핑검색"/>
    <x v="0"/>
    <x v="0"/>
    <x v="0"/>
    <m/>
    <m/>
    <n v="27690"/>
    <m/>
    <m/>
    <m/>
  </r>
  <r>
    <x v="287"/>
    <x v="6"/>
    <s v="네이버 쇼핑검색"/>
    <x v="0"/>
    <x v="0"/>
    <x v="0"/>
    <m/>
    <m/>
    <n v="38590"/>
    <m/>
    <m/>
    <m/>
  </r>
  <r>
    <x v="288"/>
    <x v="3"/>
    <s v="네이버 쇼핑검색"/>
    <x v="0"/>
    <x v="0"/>
    <x v="0"/>
    <m/>
    <m/>
    <n v="39350"/>
    <m/>
    <m/>
    <m/>
  </r>
  <r>
    <x v="289"/>
    <x v="4"/>
    <s v="네이버 쇼핑검색"/>
    <x v="0"/>
    <x v="0"/>
    <x v="0"/>
    <m/>
    <m/>
    <n v="39550"/>
    <m/>
    <m/>
    <m/>
  </r>
  <r>
    <x v="290"/>
    <x v="1"/>
    <s v="네이버 쇼핑검색"/>
    <x v="0"/>
    <x v="0"/>
    <x v="0"/>
    <m/>
    <m/>
    <n v="41910"/>
    <m/>
    <m/>
    <m/>
  </r>
  <r>
    <x v="291"/>
    <x v="0"/>
    <s v="네이버 쇼핑검색"/>
    <x v="0"/>
    <x v="0"/>
    <x v="0"/>
    <m/>
    <m/>
    <n v="46859.99999999999"/>
    <m/>
    <m/>
    <m/>
  </r>
  <r>
    <x v="292"/>
    <x v="2"/>
    <s v="네이버 쇼핑검색"/>
    <x v="0"/>
    <x v="0"/>
    <x v="0"/>
    <m/>
    <m/>
    <n v="40430"/>
    <m/>
    <m/>
    <m/>
  </r>
  <r>
    <x v="293"/>
    <x v="5"/>
    <s v="네이버 쇼핑검색"/>
    <x v="0"/>
    <x v="0"/>
    <x v="0"/>
    <m/>
    <m/>
    <n v="37750"/>
    <m/>
    <m/>
    <m/>
  </r>
  <r>
    <x v="294"/>
    <x v="6"/>
    <s v="네이버 쇼핑검색"/>
    <x v="0"/>
    <x v="0"/>
    <x v="0"/>
    <m/>
    <m/>
    <n v="37290"/>
    <m/>
    <m/>
    <m/>
  </r>
  <r>
    <x v="295"/>
    <x v="3"/>
    <s v="네이버 쇼핑검색"/>
    <x v="0"/>
    <x v="0"/>
    <x v="0"/>
    <m/>
    <m/>
    <n v="51359.99999999999"/>
    <m/>
    <m/>
    <m/>
  </r>
  <r>
    <x v="251"/>
    <x v="5"/>
    <s v="유튜브_윤이든"/>
    <x v="0"/>
    <x v="0"/>
    <x v="0"/>
    <m/>
    <m/>
    <n v="1200000"/>
    <m/>
    <m/>
    <m/>
  </r>
  <r>
    <x v="262"/>
    <x v="1"/>
    <s v="유튜브_카멜"/>
    <x v="0"/>
    <x v="0"/>
    <x v="0"/>
    <m/>
    <m/>
    <n v="200000"/>
    <m/>
    <m/>
    <m/>
  </r>
  <r>
    <x v="265"/>
    <x v="5"/>
    <s v="유튜브_귄펭"/>
    <x v="0"/>
    <x v="0"/>
    <x v="0"/>
    <m/>
    <m/>
    <n v="1200000"/>
    <m/>
    <m/>
    <m/>
  </r>
  <r>
    <x v="266"/>
    <x v="6"/>
    <s v="유튜브_심톨"/>
    <x v="0"/>
    <x v="0"/>
    <x v="0"/>
    <m/>
    <m/>
    <n v="1000000"/>
    <m/>
    <m/>
    <m/>
  </r>
  <r>
    <x v="276"/>
    <x v="1"/>
    <s v="유튜브_꿀랄라"/>
    <x v="0"/>
    <x v="0"/>
    <x v="0"/>
    <m/>
    <m/>
    <n v="500000"/>
    <m/>
    <m/>
    <m/>
  </r>
  <r>
    <x v="278"/>
    <x v="2"/>
    <s v="유튜브_비타천서영"/>
    <x v="0"/>
    <x v="0"/>
    <x v="0"/>
    <m/>
    <m/>
    <n v="230000"/>
    <m/>
    <m/>
    <m/>
  </r>
  <r>
    <x v="283"/>
    <x v="1"/>
    <s v="유튜브_나답게"/>
    <x v="0"/>
    <x v="0"/>
    <x v="0"/>
    <m/>
    <m/>
    <n v="700000"/>
    <m/>
    <m/>
    <m/>
  </r>
  <r>
    <x v="285"/>
    <x v="2"/>
    <s v="유튜브_킴키미"/>
    <x v="0"/>
    <x v="0"/>
    <x v="0"/>
    <m/>
    <m/>
    <n v="615363.6363636364"/>
    <m/>
    <m/>
    <m/>
  </r>
  <r>
    <x v="285"/>
    <x v="2"/>
    <s v="유튜브_챙잇뷰티"/>
    <x v="0"/>
    <x v="0"/>
    <x v="0"/>
    <m/>
    <m/>
    <n v="10400000"/>
    <m/>
    <m/>
    <m/>
  </r>
  <r>
    <x v="286"/>
    <x v="5"/>
    <s v="유튜브_츄츄"/>
    <x v="0"/>
    <x v="0"/>
    <x v="0"/>
    <m/>
    <m/>
    <n v="700000"/>
    <m/>
    <m/>
    <m/>
  </r>
  <r>
    <x v="287"/>
    <x v="6"/>
    <s v="유튜브_단이"/>
    <x v="0"/>
    <x v="0"/>
    <x v="0"/>
    <m/>
    <m/>
    <n v="1200000"/>
    <m/>
    <m/>
    <m/>
  </r>
  <r>
    <x v="256"/>
    <x v="0"/>
    <s v="유튜브 디스커버리"/>
    <x v="0"/>
    <x v="0"/>
    <x v="0"/>
    <m/>
    <m/>
    <n v="3319"/>
    <m/>
    <m/>
    <m/>
  </r>
  <r>
    <x v="257"/>
    <x v="2"/>
    <s v="유튜브 디스커버리"/>
    <x v="0"/>
    <x v="0"/>
    <x v="0"/>
    <m/>
    <m/>
    <n v="91286"/>
    <m/>
    <m/>
    <m/>
  </r>
  <r>
    <x v="258"/>
    <x v="5"/>
    <s v="유튜브 디스커버리"/>
    <x v="0"/>
    <x v="0"/>
    <x v="0"/>
    <m/>
    <m/>
    <n v="107479"/>
    <m/>
    <m/>
    <m/>
  </r>
  <r>
    <x v="259"/>
    <x v="6"/>
    <s v="유튜브 디스커버리"/>
    <x v="0"/>
    <x v="0"/>
    <x v="0"/>
    <m/>
    <m/>
    <n v="99648"/>
    <m/>
    <m/>
    <m/>
  </r>
  <r>
    <x v="260"/>
    <x v="3"/>
    <s v="유튜브 디스커버리"/>
    <x v="0"/>
    <x v="0"/>
    <x v="0"/>
    <m/>
    <m/>
    <n v="131205"/>
    <m/>
    <m/>
    <m/>
  </r>
  <r>
    <x v="261"/>
    <x v="4"/>
    <s v="유튜브 디스커버리"/>
    <x v="0"/>
    <x v="0"/>
    <x v="0"/>
    <m/>
    <m/>
    <n v="135938"/>
    <m/>
    <m/>
    <m/>
  </r>
  <r>
    <x v="262"/>
    <x v="1"/>
    <s v="유튜브 디스커버리"/>
    <x v="0"/>
    <x v="0"/>
    <x v="0"/>
    <m/>
    <m/>
    <n v="121292"/>
    <m/>
    <m/>
    <m/>
  </r>
  <r>
    <x v="263"/>
    <x v="0"/>
    <s v="유튜브 디스커버리"/>
    <x v="0"/>
    <x v="0"/>
    <x v="0"/>
    <m/>
    <m/>
    <n v="141139"/>
    <m/>
    <m/>
    <m/>
  </r>
  <r>
    <x v="264"/>
    <x v="2"/>
    <s v="유튜브 디스커버리"/>
    <x v="0"/>
    <x v="0"/>
    <x v="0"/>
    <m/>
    <m/>
    <n v="148486"/>
    <m/>
    <m/>
    <m/>
  </r>
  <r>
    <x v="265"/>
    <x v="5"/>
    <s v="유튜브 디스커버리"/>
    <x v="0"/>
    <x v="0"/>
    <x v="0"/>
    <m/>
    <m/>
    <n v="146521"/>
    <m/>
    <m/>
    <m/>
  </r>
  <r>
    <x v="266"/>
    <x v="6"/>
    <s v="유튜브 디스커버리"/>
    <x v="0"/>
    <x v="0"/>
    <x v="0"/>
    <m/>
    <m/>
    <n v="143074"/>
    <m/>
    <m/>
    <m/>
  </r>
  <r>
    <x v="267"/>
    <x v="3"/>
    <s v="유튜브 디스커버리"/>
    <x v="0"/>
    <x v="0"/>
    <x v="0"/>
    <m/>
    <m/>
    <n v="127425"/>
    <m/>
    <m/>
    <m/>
  </r>
  <r>
    <x v="268"/>
    <x v="4"/>
    <s v="유튜브 디스커버리"/>
    <x v="0"/>
    <x v="0"/>
    <x v="0"/>
    <m/>
    <m/>
    <n v="347051"/>
    <m/>
    <m/>
    <m/>
  </r>
  <r>
    <x v="269"/>
    <x v="1"/>
    <s v="유튜브 디스커버리"/>
    <x v="0"/>
    <x v="0"/>
    <x v="0"/>
    <m/>
    <m/>
    <n v="850307"/>
    <m/>
    <m/>
    <m/>
  </r>
  <r>
    <x v="270"/>
    <x v="0"/>
    <s v="유튜브 디스커버리"/>
    <x v="0"/>
    <x v="0"/>
    <x v="0"/>
    <m/>
    <m/>
    <n v="838477"/>
    <m/>
    <m/>
    <m/>
  </r>
  <r>
    <x v="271"/>
    <x v="2"/>
    <s v="유튜브 디스커버리"/>
    <x v="0"/>
    <x v="0"/>
    <x v="0"/>
    <m/>
    <m/>
    <n v="830207"/>
    <m/>
    <m/>
    <m/>
  </r>
  <r>
    <x v="272"/>
    <x v="5"/>
    <s v="유튜브 디스커버리"/>
    <x v="0"/>
    <x v="0"/>
    <x v="0"/>
    <m/>
    <m/>
    <n v="835662"/>
    <m/>
    <m/>
    <m/>
  </r>
  <r>
    <x v="273"/>
    <x v="6"/>
    <s v="유튜브 디스커버리"/>
    <x v="0"/>
    <x v="0"/>
    <x v="0"/>
    <m/>
    <m/>
    <n v="927598"/>
    <m/>
    <m/>
    <m/>
  </r>
  <r>
    <x v="274"/>
    <x v="3"/>
    <s v="유튜브 디스커버리"/>
    <x v="0"/>
    <x v="0"/>
    <x v="0"/>
    <m/>
    <m/>
    <n v="933664"/>
    <m/>
    <m/>
    <m/>
  </r>
  <r>
    <x v="275"/>
    <x v="4"/>
    <s v="유튜브 디스커버리"/>
    <x v="0"/>
    <x v="0"/>
    <x v="0"/>
    <m/>
    <m/>
    <n v="601963"/>
    <m/>
    <m/>
    <m/>
  </r>
  <r>
    <x v="276"/>
    <x v="1"/>
    <s v="유튜브 디스커버리"/>
    <x v="0"/>
    <x v="0"/>
    <x v="0"/>
    <m/>
    <m/>
    <n v="332793"/>
    <m/>
    <m/>
    <m/>
  </r>
  <r>
    <x v="277"/>
    <x v="0"/>
    <s v="유튜브 디스커버리"/>
    <x v="0"/>
    <x v="0"/>
    <x v="0"/>
    <m/>
    <m/>
    <n v="331866"/>
    <m/>
    <m/>
    <m/>
  </r>
  <r>
    <x v="278"/>
    <x v="2"/>
    <s v="유튜브 디스커버리"/>
    <x v="0"/>
    <x v="0"/>
    <x v="0"/>
    <m/>
    <m/>
    <n v="81624"/>
    <m/>
    <m/>
    <m/>
  </r>
  <r>
    <x v="284"/>
    <x v="0"/>
    <s v="유튜브 디스커버리"/>
    <x v="0"/>
    <x v="0"/>
    <x v="0"/>
    <m/>
    <m/>
    <n v="63532"/>
    <m/>
    <m/>
    <m/>
  </r>
  <r>
    <x v="285"/>
    <x v="2"/>
    <s v="유튜브 디스커버리"/>
    <x v="0"/>
    <x v="0"/>
    <x v="0"/>
    <m/>
    <m/>
    <n v="49216"/>
    <m/>
    <m/>
    <m/>
  </r>
  <r>
    <x v="286"/>
    <x v="5"/>
    <s v="유튜브 디스커버리"/>
    <x v="0"/>
    <x v="0"/>
    <x v="0"/>
    <m/>
    <m/>
    <n v="49548"/>
    <m/>
    <m/>
    <m/>
  </r>
  <r>
    <x v="287"/>
    <x v="6"/>
    <s v="유튜브 디스커버리"/>
    <x v="0"/>
    <x v="0"/>
    <x v="0"/>
    <m/>
    <m/>
    <n v="49961"/>
    <m/>
    <m/>
    <m/>
  </r>
  <r>
    <x v="288"/>
    <x v="3"/>
    <s v="유튜브 디스커버리"/>
    <x v="0"/>
    <x v="0"/>
    <x v="0"/>
    <m/>
    <m/>
    <n v="156856"/>
    <m/>
    <m/>
    <m/>
  </r>
  <r>
    <x v="289"/>
    <x v="4"/>
    <s v="유튜브 디스커버리"/>
    <x v="0"/>
    <x v="0"/>
    <x v="0"/>
    <m/>
    <m/>
    <n v="54759"/>
    <m/>
    <m/>
    <m/>
  </r>
  <r>
    <x v="290"/>
    <x v="1"/>
    <s v="유튜브 디스커버리"/>
    <x v="0"/>
    <x v="0"/>
    <x v="0"/>
    <m/>
    <m/>
    <n v="156693"/>
    <m/>
    <m/>
    <m/>
  </r>
  <r>
    <x v="291"/>
    <x v="0"/>
    <s v="유튜브 디스커버리"/>
    <x v="0"/>
    <x v="0"/>
    <x v="0"/>
    <m/>
    <m/>
    <n v="53197"/>
    <m/>
    <m/>
    <m/>
  </r>
  <r>
    <x v="292"/>
    <x v="2"/>
    <s v="유튜브 디스커버리"/>
    <x v="0"/>
    <x v="0"/>
    <x v="0"/>
    <m/>
    <m/>
    <n v="50309"/>
    <m/>
    <m/>
    <m/>
  </r>
  <r>
    <x v="293"/>
    <x v="5"/>
    <s v="유튜브 디스커버리"/>
    <x v="0"/>
    <x v="0"/>
    <x v="0"/>
    <m/>
    <m/>
    <n v="50327"/>
    <m/>
    <m/>
    <m/>
  </r>
  <r>
    <x v="294"/>
    <x v="6"/>
    <s v="유튜브 디스커버리"/>
    <x v="0"/>
    <x v="0"/>
    <x v="0"/>
    <m/>
    <m/>
    <n v="50178"/>
    <m/>
    <m/>
    <m/>
  </r>
  <r>
    <x v="295"/>
    <x v="3"/>
    <s v="유튜브 디스커버리"/>
    <x v="0"/>
    <x v="0"/>
    <x v="0"/>
    <m/>
    <m/>
    <n v="22729"/>
    <m/>
    <m/>
    <m/>
  </r>
  <r>
    <x v="244"/>
    <x v="4"/>
    <s v="페이스북/인스타그램"/>
    <x v="6"/>
    <x v="0"/>
    <x v="0"/>
    <m/>
    <m/>
    <n v="76703"/>
    <m/>
    <m/>
    <m/>
  </r>
  <r>
    <x v="296"/>
    <x v="1"/>
    <s v="페이스북/인스타그램"/>
    <x v="6"/>
    <x v="0"/>
    <x v="0"/>
    <m/>
    <m/>
    <n v="255149"/>
    <m/>
    <m/>
    <m/>
  </r>
  <r>
    <x v="297"/>
    <x v="0"/>
    <s v="페이스북/인스타그램"/>
    <x v="6"/>
    <x v="0"/>
    <x v="0"/>
    <m/>
    <m/>
    <n v="127809"/>
    <m/>
    <m/>
    <m/>
  </r>
  <r>
    <x v="298"/>
    <x v="2"/>
    <s v="페이스북/인스타그램"/>
    <x v="6"/>
    <x v="0"/>
    <x v="0"/>
    <m/>
    <m/>
    <n v="26537"/>
    <m/>
    <m/>
    <m/>
  </r>
  <r>
    <x v="299"/>
    <x v="5"/>
    <s v="페이스북/인스타그램"/>
    <x v="6"/>
    <x v="0"/>
    <x v="0"/>
    <m/>
    <m/>
    <n v="96455"/>
    <m/>
    <m/>
    <m/>
  </r>
  <r>
    <x v="300"/>
    <x v="6"/>
    <s v="페이스북/인스타그램"/>
    <x v="6"/>
    <x v="0"/>
    <x v="0"/>
    <m/>
    <m/>
    <n v="81552"/>
    <m/>
    <m/>
    <m/>
  </r>
  <r>
    <x v="301"/>
    <x v="3"/>
    <s v="페이스북/인스타그램"/>
    <x v="6"/>
    <x v="0"/>
    <x v="0"/>
    <m/>
    <m/>
    <n v="79582"/>
    <m/>
    <m/>
    <m/>
  </r>
  <r>
    <x v="244"/>
    <x v="4"/>
    <s v="페이스북/인스타그램"/>
    <x v="0"/>
    <x v="0"/>
    <x v="0"/>
    <m/>
    <m/>
    <n v="30139"/>
    <m/>
    <m/>
    <m/>
  </r>
  <r>
    <x v="296"/>
    <x v="1"/>
    <s v="페이스북/인스타그램"/>
    <x v="0"/>
    <x v="0"/>
    <x v="0"/>
    <m/>
    <m/>
    <n v="997161"/>
    <m/>
    <m/>
    <m/>
  </r>
  <r>
    <x v="297"/>
    <x v="0"/>
    <s v="페이스북/인스타그램"/>
    <x v="0"/>
    <x v="0"/>
    <x v="0"/>
    <m/>
    <m/>
    <n v="911539"/>
    <m/>
    <m/>
    <m/>
  </r>
  <r>
    <x v="298"/>
    <x v="2"/>
    <s v="페이스북/인스타그램"/>
    <x v="0"/>
    <x v="0"/>
    <x v="0"/>
    <m/>
    <m/>
    <n v="682505"/>
    <m/>
    <m/>
    <m/>
  </r>
  <r>
    <x v="299"/>
    <x v="5"/>
    <s v="페이스북/인스타그램"/>
    <x v="0"/>
    <x v="0"/>
    <x v="0"/>
    <m/>
    <m/>
    <n v="446074"/>
    <m/>
    <m/>
    <m/>
  </r>
  <r>
    <x v="300"/>
    <x v="6"/>
    <s v="페이스북/인스타그램"/>
    <x v="0"/>
    <x v="0"/>
    <x v="0"/>
    <m/>
    <m/>
    <n v="602841"/>
    <m/>
    <m/>
    <m/>
  </r>
  <r>
    <x v="301"/>
    <x v="3"/>
    <s v="페이스북/인스타그램"/>
    <x v="0"/>
    <x v="0"/>
    <x v="0"/>
    <m/>
    <m/>
    <n v="866686"/>
    <m/>
    <m/>
    <m/>
  </r>
  <r>
    <x v="244"/>
    <x v="4"/>
    <s v="네이버 GFA"/>
    <x v="6"/>
    <x v="0"/>
    <x v="0"/>
    <m/>
    <m/>
    <n v="371851.8181818182"/>
    <m/>
    <m/>
    <m/>
  </r>
  <r>
    <x v="296"/>
    <x v="1"/>
    <s v="네이버 GFA"/>
    <x v="6"/>
    <x v="0"/>
    <x v="0"/>
    <m/>
    <m/>
    <n v="446914.5454545454"/>
    <m/>
    <m/>
    <m/>
  </r>
  <r>
    <x v="297"/>
    <x v="0"/>
    <s v="네이버 GFA"/>
    <x v="6"/>
    <x v="0"/>
    <x v="0"/>
    <m/>
    <m/>
    <n v="70551.81818181818"/>
    <m/>
    <m/>
    <m/>
  </r>
  <r>
    <x v="301"/>
    <x v="3"/>
    <s v="네이버 GFA"/>
    <x v="6"/>
    <x v="0"/>
    <x v="0"/>
    <m/>
    <m/>
    <n v="25896.36363636364"/>
    <m/>
    <m/>
    <m/>
  </r>
  <r>
    <x v="296"/>
    <x v="1"/>
    <s v="네이버 GFA"/>
    <x v="0"/>
    <x v="0"/>
    <x v="0"/>
    <m/>
    <m/>
    <n v="54467.27272727272"/>
    <m/>
    <m/>
    <m/>
  </r>
  <r>
    <x v="297"/>
    <x v="0"/>
    <s v="네이버 GFA"/>
    <x v="0"/>
    <x v="0"/>
    <x v="0"/>
    <m/>
    <m/>
    <n v="127239.0909090909"/>
    <m/>
    <m/>
    <m/>
  </r>
  <r>
    <x v="298"/>
    <x v="2"/>
    <s v="네이버 GFA"/>
    <x v="0"/>
    <x v="0"/>
    <x v="0"/>
    <m/>
    <m/>
    <n v="143582.7272727273"/>
    <m/>
    <m/>
    <m/>
  </r>
  <r>
    <x v="299"/>
    <x v="5"/>
    <s v="네이버 GFA"/>
    <x v="0"/>
    <x v="0"/>
    <x v="0"/>
    <m/>
    <m/>
    <n v="142633.6363636364"/>
    <m/>
    <m/>
    <m/>
  </r>
  <r>
    <x v="300"/>
    <x v="6"/>
    <s v="네이버 GFA"/>
    <x v="0"/>
    <x v="0"/>
    <x v="0"/>
    <m/>
    <m/>
    <n v="131167.2727272727"/>
    <m/>
    <m/>
    <m/>
  </r>
  <r>
    <x v="301"/>
    <x v="3"/>
    <s v="네이버 GFA"/>
    <x v="0"/>
    <x v="0"/>
    <x v="0"/>
    <m/>
    <m/>
    <n v="384813.6363636364"/>
    <m/>
    <m/>
    <m/>
  </r>
  <r>
    <x v="244"/>
    <x v="4"/>
    <s v="네이버 쇼핑검색"/>
    <x v="0"/>
    <x v="0"/>
    <x v="0"/>
    <m/>
    <m/>
    <n v="42270"/>
    <m/>
    <m/>
    <m/>
  </r>
  <r>
    <x v="296"/>
    <x v="1"/>
    <s v="네이버 쇼핑검색"/>
    <x v="0"/>
    <x v="0"/>
    <x v="0"/>
    <m/>
    <m/>
    <n v="41850"/>
    <m/>
    <m/>
    <m/>
  </r>
  <r>
    <x v="297"/>
    <x v="0"/>
    <s v="네이버 쇼핑검색"/>
    <x v="0"/>
    <x v="0"/>
    <x v="0"/>
    <m/>
    <m/>
    <n v="44490"/>
    <m/>
    <m/>
    <m/>
  </r>
  <r>
    <x v="298"/>
    <x v="2"/>
    <s v="네이버 쇼핑검색"/>
    <x v="0"/>
    <x v="0"/>
    <x v="0"/>
    <m/>
    <m/>
    <n v="31110"/>
    <m/>
    <m/>
    <m/>
  </r>
  <r>
    <x v="299"/>
    <x v="5"/>
    <s v="네이버 쇼핑검색"/>
    <x v="0"/>
    <x v="0"/>
    <x v="0"/>
    <m/>
    <m/>
    <n v="32950"/>
    <m/>
    <m/>
    <m/>
  </r>
  <r>
    <x v="300"/>
    <x v="6"/>
    <s v="네이버 쇼핑검색"/>
    <x v="0"/>
    <x v="0"/>
    <x v="0"/>
    <m/>
    <m/>
    <n v="38950"/>
    <m/>
    <m/>
    <m/>
  </r>
  <r>
    <x v="301"/>
    <x v="3"/>
    <s v="네이버 쇼핑검색"/>
    <x v="0"/>
    <x v="0"/>
    <x v="0"/>
    <m/>
    <m/>
    <n v="47119.99999999999"/>
    <m/>
    <m/>
    <m/>
  </r>
  <r>
    <x v="244"/>
    <x v="4"/>
    <s v="네이버 브랜드검색"/>
    <x v="0"/>
    <x v="0"/>
    <x v="0"/>
    <m/>
    <m/>
    <n v="50000"/>
    <m/>
    <m/>
    <m/>
  </r>
  <r>
    <x v="296"/>
    <x v="1"/>
    <s v="네이버 브랜드검색"/>
    <x v="0"/>
    <x v="0"/>
    <x v="0"/>
    <m/>
    <m/>
    <n v="50000"/>
    <m/>
    <m/>
    <m/>
  </r>
  <r>
    <x v="297"/>
    <x v="0"/>
    <s v="네이버 브랜드검색"/>
    <x v="0"/>
    <x v="0"/>
    <x v="0"/>
    <m/>
    <m/>
    <n v="50000"/>
    <m/>
    <m/>
    <m/>
  </r>
  <r>
    <x v="298"/>
    <x v="2"/>
    <s v="네이버 브랜드검색"/>
    <x v="0"/>
    <x v="0"/>
    <x v="0"/>
    <m/>
    <m/>
    <n v="50000"/>
    <m/>
    <m/>
    <m/>
  </r>
  <r>
    <x v="299"/>
    <x v="5"/>
    <s v="네이버 브랜드검색"/>
    <x v="0"/>
    <x v="0"/>
    <x v="0"/>
    <m/>
    <m/>
    <n v="50000"/>
    <m/>
    <m/>
    <m/>
  </r>
  <r>
    <x v="300"/>
    <x v="6"/>
    <s v="네이버 브랜드검색"/>
    <x v="0"/>
    <x v="0"/>
    <x v="0"/>
    <m/>
    <m/>
    <n v="50000"/>
    <m/>
    <m/>
    <m/>
  </r>
  <r>
    <x v="301"/>
    <x v="3"/>
    <s v="네이버 브랜드검색"/>
    <x v="0"/>
    <x v="0"/>
    <x v="0"/>
    <m/>
    <m/>
    <n v="50000"/>
    <m/>
    <m/>
    <m/>
  </r>
  <r>
    <x v="296"/>
    <x v="1"/>
    <s v="유튜브 디스커버리(이미지)"/>
    <x v="0"/>
    <x v="0"/>
    <x v="0"/>
    <m/>
    <m/>
    <n v="214315"/>
    <m/>
    <m/>
    <m/>
  </r>
  <r>
    <x v="297"/>
    <x v="0"/>
    <s v="유튜브 디스커버리(이미지)"/>
    <x v="0"/>
    <x v="0"/>
    <x v="0"/>
    <m/>
    <m/>
    <n v="73621"/>
    <m/>
    <m/>
    <m/>
  </r>
  <r>
    <x v="301"/>
    <x v="3"/>
    <s v="유튜브 디스커버리(이미지)"/>
    <x v="0"/>
    <x v="0"/>
    <x v="0"/>
    <m/>
    <m/>
    <n v="200687"/>
    <m/>
    <m/>
    <m/>
  </r>
  <r>
    <x v="298"/>
    <x v="2"/>
    <s v="카카오광고"/>
    <x v="0"/>
    <x v="0"/>
    <x v="0"/>
    <m/>
    <m/>
    <n v="5849.999999999999"/>
    <m/>
    <m/>
    <m/>
  </r>
  <r>
    <x v="299"/>
    <x v="5"/>
    <s v="카카오광고"/>
    <x v="0"/>
    <x v="0"/>
    <x v="0"/>
    <m/>
    <m/>
    <n v="11600"/>
    <m/>
    <m/>
    <m/>
  </r>
  <r>
    <x v="300"/>
    <x v="6"/>
    <s v="카카오광고"/>
    <x v="0"/>
    <x v="0"/>
    <x v="0"/>
    <m/>
    <m/>
    <n v="10660"/>
    <m/>
    <m/>
    <m/>
  </r>
  <r>
    <x v="301"/>
    <x v="3"/>
    <s v="카카오광고"/>
    <x v="0"/>
    <x v="0"/>
    <x v="0"/>
    <m/>
    <m/>
    <n v="12490"/>
    <m/>
    <m/>
    <m/>
  </r>
  <r>
    <x v="302"/>
    <x v="4"/>
    <s v="페이스북/인스타그램"/>
    <x v="6"/>
    <x v="0"/>
    <x v="0"/>
    <m/>
    <m/>
    <n v="20460"/>
    <m/>
    <m/>
    <m/>
  </r>
  <r>
    <x v="302"/>
    <x v="4"/>
    <s v="페이스북/인스타그램"/>
    <x v="0"/>
    <x v="0"/>
    <x v="0"/>
    <m/>
    <m/>
    <n v="1066370"/>
    <m/>
    <m/>
    <m/>
  </r>
  <r>
    <x v="303"/>
    <x v="1"/>
    <s v="페이스북/인스타그램"/>
    <x v="0"/>
    <x v="0"/>
    <x v="0"/>
    <m/>
    <m/>
    <n v="1021026"/>
    <m/>
    <m/>
    <m/>
  </r>
  <r>
    <x v="302"/>
    <x v="4"/>
    <s v="네이버 GFA"/>
    <x v="6"/>
    <x v="0"/>
    <x v="0"/>
    <m/>
    <m/>
    <n v="26576.36363636364"/>
    <m/>
    <m/>
    <m/>
  </r>
  <r>
    <x v="302"/>
    <x v="4"/>
    <s v="네이버 GFA"/>
    <x v="6"/>
    <x v="0"/>
    <x v="0"/>
    <m/>
    <m/>
    <n v="73693.63636363635"/>
    <m/>
    <m/>
    <m/>
  </r>
  <r>
    <x v="303"/>
    <x v="1"/>
    <s v="네이버 GFA"/>
    <x v="0"/>
    <x v="0"/>
    <x v="0"/>
    <m/>
    <m/>
    <n v="212996.3636363636"/>
    <m/>
    <m/>
    <m/>
  </r>
  <r>
    <x v="303"/>
    <x v="1"/>
    <s v="네이버 GFA"/>
    <x v="0"/>
    <x v="0"/>
    <x v="0"/>
    <m/>
    <m/>
    <n v="408134.5454545454"/>
    <m/>
    <m/>
    <m/>
  </r>
  <r>
    <x v="302"/>
    <x v="4"/>
    <s v="네이버 쇼핑검색"/>
    <x v="0"/>
    <x v="0"/>
    <x v="0"/>
    <m/>
    <m/>
    <n v="47729.99999999999"/>
    <m/>
    <m/>
    <m/>
  </r>
  <r>
    <x v="303"/>
    <x v="1"/>
    <s v="네이버 쇼핑검색"/>
    <x v="0"/>
    <x v="0"/>
    <x v="0"/>
    <m/>
    <m/>
    <n v="46159.99999999999"/>
    <m/>
    <m/>
    <m/>
  </r>
  <r>
    <x v="302"/>
    <x v="4"/>
    <s v="네이버 브랜드검색"/>
    <x v="0"/>
    <x v="0"/>
    <x v="0"/>
    <m/>
    <m/>
    <n v="50000"/>
    <m/>
    <m/>
    <m/>
  </r>
  <r>
    <x v="303"/>
    <x v="1"/>
    <s v="네이버 브랜드검색"/>
    <x v="0"/>
    <x v="0"/>
    <x v="0"/>
    <m/>
    <m/>
    <n v="50000"/>
    <m/>
    <m/>
    <m/>
  </r>
  <r>
    <x v="302"/>
    <x v="4"/>
    <s v="유튜브 디스커버리(이미지)"/>
    <x v="0"/>
    <x v="0"/>
    <x v="0"/>
    <m/>
    <m/>
    <n v="29720"/>
    <m/>
    <m/>
    <m/>
  </r>
  <r>
    <x v="303"/>
    <x v="1"/>
    <s v="유튜브 디스커버리(이미지)"/>
    <x v="0"/>
    <x v="0"/>
    <x v="0"/>
    <m/>
    <m/>
    <n v="171893"/>
    <m/>
    <m/>
    <m/>
  </r>
  <r>
    <x v="302"/>
    <x v="4"/>
    <s v="카카오광고"/>
    <x v="0"/>
    <x v="0"/>
    <x v="0"/>
    <m/>
    <m/>
    <n v="8420"/>
    <m/>
    <m/>
    <m/>
  </r>
  <r>
    <x v="303"/>
    <x v="1"/>
    <s v="카카오광고"/>
    <x v="0"/>
    <x v="0"/>
    <x v="0"/>
    <m/>
    <m/>
    <n v="7849.999999999999"/>
    <m/>
    <m/>
    <m/>
  </r>
  <r>
    <x v="304"/>
    <x v="0"/>
    <s v="페이스북/인스타그램"/>
    <x v="6"/>
    <x v="0"/>
    <x v="0"/>
    <m/>
    <m/>
    <n v="31984"/>
    <m/>
    <m/>
    <m/>
  </r>
  <r>
    <x v="305"/>
    <x v="2"/>
    <s v="페이스북/인스타그램"/>
    <x v="6"/>
    <x v="0"/>
    <x v="0"/>
    <m/>
    <m/>
    <n v="122997"/>
    <m/>
    <m/>
    <m/>
  </r>
  <r>
    <x v="304"/>
    <x v="0"/>
    <s v="페이스북/인스타그램"/>
    <x v="0"/>
    <x v="0"/>
    <x v="0"/>
    <m/>
    <m/>
    <n v="1020142"/>
    <m/>
    <m/>
    <m/>
  </r>
  <r>
    <x v="305"/>
    <x v="2"/>
    <s v="페이스북/인스타그램"/>
    <x v="0"/>
    <x v="0"/>
    <x v="0"/>
    <m/>
    <m/>
    <n v="872616"/>
    <m/>
    <m/>
    <m/>
  </r>
  <r>
    <x v="306"/>
    <x v="5"/>
    <s v="페이스북/인스타그램"/>
    <x v="0"/>
    <x v="0"/>
    <x v="0"/>
    <m/>
    <m/>
    <n v="594496"/>
    <m/>
    <m/>
    <m/>
  </r>
  <r>
    <x v="307"/>
    <x v="6"/>
    <s v="페이스북/인스타그램"/>
    <x v="0"/>
    <x v="0"/>
    <x v="0"/>
    <m/>
    <m/>
    <n v="827226"/>
    <m/>
    <m/>
    <m/>
  </r>
  <r>
    <x v="308"/>
    <x v="3"/>
    <s v="페이스북/인스타그램"/>
    <x v="0"/>
    <x v="0"/>
    <x v="0"/>
    <m/>
    <m/>
    <n v="724791"/>
    <m/>
    <m/>
    <m/>
  </r>
  <r>
    <x v="309"/>
    <x v="4"/>
    <s v="페이스북/인스타그램"/>
    <x v="0"/>
    <x v="0"/>
    <x v="0"/>
    <m/>
    <m/>
    <n v="826114"/>
    <m/>
    <m/>
    <m/>
  </r>
  <r>
    <x v="309"/>
    <x v="4"/>
    <s v="페이스북/인스타그램"/>
    <x v="6"/>
    <x v="0"/>
    <x v="0"/>
    <m/>
    <m/>
    <n v="22414"/>
    <m/>
    <m/>
    <m/>
  </r>
  <r>
    <x v="304"/>
    <x v="0"/>
    <s v="네이버 GFA"/>
    <x v="0"/>
    <x v="0"/>
    <x v="0"/>
    <m/>
    <m/>
    <n v="567455.4545454545"/>
    <m/>
    <m/>
    <m/>
  </r>
  <r>
    <x v="305"/>
    <x v="2"/>
    <s v="네이버 GFA"/>
    <x v="0"/>
    <x v="0"/>
    <x v="0"/>
    <m/>
    <m/>
    <n v="249744"/>
    <m/>
    <m/>
    <m/>
  </r>
  <r>
    <x v="306"/>
    <x v="5"/>
    <s v="네이버 GFA"/>
    <x v="0"/>
    <x v="0"/>
    <x v="0"/>
    <m/>
    <m/>
    <n v="310"/>
    <m/>
    <m/>
    <m/>
  </r>
  <r>
    <x v="308"/>
    <x v="3"/>
    <s v="네이버 GFA"/>
    <x v="0"/>
    <x v="0"/>
    <x v="0"/>
    <m/>
    <m/>
    <n v="402019.0909090909"/>
    <m/>
    <m/>
    <m/>
  </r>
  <r>
    <x v="309"/>
    <x v="4"/>
    <s v="네이버 GFA"/>
    <x v="0"/>
    <x v="0"/>
    <x v="0"/>
    <m/>
    <m/>
    <n v="429790.9090909091"/>
    <m/>
    <m/>
    <m/>
  </r>
  <r>
    <x v="304"/>
    <x v="0"/>
    <s v="네이버 GFA"/>
    <x v="6"/>
    <x v="0"/>
    <x v="0"/>
    <m/>
    <m/>
    <n v="86620.90909090909"/>
    <m/>
    <m/>
    <m/>
  </r>
  <r>
    <x v="305"/>
    <x v="2"/>
    <s v="네이버 GFA"/>
    <x v="6"/>
    <x v="0"/>
    <x v="0"/>
    <m/>
    <m/>
    <n v="46508.18181818182"/>
    <m/>
    <m/>
    <m/>
  </r>
  <r>
    <x v="308"/>
    <x v="3"/>
    <s v="네이버 GFA"/>
    <x v="6"/>
    <x v="0"/>
    <x v="0"/>
    <m/>
    <m/>
    <n v="66323.63636363635"/>
    <m/>
    <m/>
    <m/>
  </r>
  <r>
    <x v="309"/>
    <x v="4"/>
    <s v="네이버 GFA"/>
    <x v="6"/>
    <x v="0"/>
    <x v="0"/>
    <m/>
    <m/>
    <n v="65862.72727272726"/>
    <m/>
    <m/>
    <m/>
  </r>
  <r>
    <x v="304"/>
    <x v="0"/>
    <s v="네이버 쇼핑검색"/>
    <x v="0"/>
    <x v="0"/>
    <x v="0"/>
    <m/>
    <m/>
    <n v="66320"/>
    <m/>
    <m/>
    <m/>
  </r>
  <r>
    <x v="305"/>
    <x v="2"/>
    <s v="네이버 쇼핑검색"/>
    <x v="0"/>
    <x v="0"/>
    <x v="0"/>
    <m/>
    <m/>
    <n v="69020"/>
    <m/>
    <m/>
    <m/>
  </r>
  <r>
    <x v="306"/>
    <x v="5"/>
    <s v="네이버 쇼핑검색"/>
    <x v="0"/>
    <x v="0"/>
    <x v="0"/>
    <m/>
    <m/>
    <n v="51379.99999999999"/>
    <m/>
    <m/>
    <m/>
  </r>
  <r>
    <x v="307"/>
    <x v="6"/>
    <s v="네이버 쇼핑검색"/>
    <x v="0"/>
    <x v="0"/>
    <x v="0"/>
    <m/>
    <m/>
    <n v="54469.99999999999"/>
    <m/>
    <m/>
    <m/>
  </r>
  <r>
    <x v="308"/>
    <x v="3"/>
    <s v="네이버 쇼핑검색"/>
    <x v="0"/>
    <x v="0"/>
    <x v="0"/>
    <m/>
    <m/>
    <n v="54269.99999999999"/>
    <m/>
    <m/>
    <m/>
  </r>
  <r>
    <x v="309"/>
    <x v="4"/>
    <s v="네이버 쇼핑검색"/>
    <x v="0"/>
    <x v="0"/>
    <x v="0"/>
    <m/>
    <m/>
    <n v="56029.99999999999"/>
    <m/>
    <m/>
    <m/>
  </r>
  <r>
    <x v="304"/>
    <x v="0"/>
    <s v="네이버 브랜드검색"/>
    <x v="0"/>
    <x v="0"/>
    <x v="0"/>
    <m/>
    <m/>
    <n v="50000"/>
    <m/>
    <m/>
    <m/>
  </r>
  <r>
    <x v="305"/>
    <x v="2"/>
    <s v="네이버 브랜드검색"/>
    <x v="0"/>
    <x v="0"/>
    <x v="0"/>
    <m/>
    <m/>
    <n v="50000"/>
    <m/>
    <m/>
    <m/>
  </r>
  <r>
    <x v="306"/>
    <x v="5"/>
    <s v="네이버 브랜드검색"/>
    <x v="0"/>
    <x v="0"/>
    <x v="0"/>
    <m/>
    <m/>
    <n v="50000"/>
    <m/>
    <m/>
    <m/>
  </r>
  <r>
    <x v="307"/>
    <x v="6"/>
    <s v="네이버 브랜드검색"/>
    <x v="0"/>
    <x v="0"/>
    <x v="0"/>
    <m/>
    <m/>
    <n v="50000"/>
    <m/>
    <m/>
    <m/>
  </r>
  <r>
    <x v="308"/>
    <x v="3"/>
    <s v="네이버 브랜드검색"/>
    <x v="0"/>
    <x v="0"/>
    <x v="0"/>
    <m/>
    <m/>
    <n v="50000"/>
    <m/>
    <m/>
    <m/>
  </r>
  <r>
    <x v="309"/>
    <x v="4"/>
    <s v="네이버 브랜드검색"/>
    <x v="0"/>
    <x v="0"/>
    <x v="0"/>
    <m/>
    <m/>
    <n v="50000"/>
    <m/>
    <m/>
    <m/>
  </r>
  <r>
    <x v="304"/>
    <x v="0"/>
    <s v="유튜브 디스커버리(이미지)"/>
    <x v="0"/>
    <x v="0"/>
    <x v="0"/>
    <m/>
    <m/>
    <n v="261"/>
    <m/>
    <m/>
    <m/>
  </r>
  <r>
    <x v="305"/>
    <x v="2"/>
    <s v="유튜브 디스커버리(이미지)"/>
    <x v="0"/>
    <x v="0"/>
    <x v="0"/>
    <m/>
    <m/>
    <n v="3118"/>
    <m/>
    <m/>
    <m/>
  </r>
  <r>
    <x v="306"/>
    <x v="5"/>
    <s v="유튜브 디스커버리(이미지)"/>
    <x v="0"/>
    <x v="0"/>
    <x v="0"/>
    <m/>
    <m/>
    <n v="109778"/>
    <m/>
    <m/>
    <m/>
  </r>
  <r>
    <x v="307"/>
    <x v="6"/>
    <s v="유튜브 디스커버리(이미지)"/>
    <x v="0"/>
    <x v="0"/>
    <x v="0"/>
    <m/>
    <m/>
    <n v="101121"/>
    <m/>
    <m/>
    <m/>
  </r>
  <r>
    <x v="308"/>
    <x v="3"/>
    <s v="유튜브 디스커버리(이미지)"/>
    <x v="0"/>
    <x v="0"/>
    <x v="0"/>
    <m/>
    <m/>
    <n v="246567"/>
    <m/>
    <m/>
    <m/>
  </r>
  <r>
    <x v="309"/>
    <x v="4"/>
    <s v="유튜브 디스커버리(이미지)"/>
    <x v="0"/>
    <x v="0"/>
    <x v="0"/>
    <m/>
    <m/>
    <n v="257827"/>
    <m/>
    <m/>
    <m/>
  </r>
  <r>
    <x v="304"/>
    <x v="0"/>
    <s v="카카오광고"/>
    <x v="0"/>
    <x v="0"/>
    <x v="0"/>
    <m/>
    <m/>
    <n v="11600"/>
    <m/>
    <m/>
    <m/>
  </r>
  <r>
    <x v="305"/>
    <x v="2"/>
    <s v="카카오광고"/>
    <x v="0"/>
    <x v="0"/>
    <x v="0"/>
    <m/>
    <m/>
    <n v="8410"/>
    <m/>
    <m/>
    <m/>
  </r>
  <r>
    <x v="306"/>
    <x v="5"/>
    <s v="카카오광고"/>
    <x v="0"/>
    <x v="0"/>
    <x v="0"/>
    <m/>
    <m/>
    <n v="9460"/>
    <m/>
    <m/>
    <m/>
  </r>
  <r>
    <x v="307"/>
    <x v="6"/>
    <s v="카카오광고"/>
    <x v="0"/>
    <x v="0"/>
    <x v="0"/>
    <m/>
    <m/>
    <n v="7329.999999999999"/>
    <m/>
    <m/>
    <m/>
  </r>
  <r>
    <x v="308"/>
    <x v="3"/>
    <s v="카카오광고"/>
    <x v="0"/>
    <x v="0"/>
    <x v="0"/>
    <m/>
    <m/>
    <n v="11730"/>
    <m/>
    <m/>
    <m/>
  </r>
  <r>
    <x v="309"/>
    <x v="4"/>
    <s v="카카오광고"/>
    <x v="0"/>
    <x v="0"/>
    <x v="0"/>
    <m/>
    <m/>
    <n v="6919.999999999999"/>
    <m/>
    <m/>
    <m/>
  </r>
  <r>
    <x v="310"/>
    <x v="1"/>
    <s v="페이스북/인스타그램"/>
    <x v="6"/>
    <x v="0"/>
    <x v="0"/>
    <m/>
    <m/>
    <n v="155241"/>
    <m/>
    <m/>
    <m/>
  </r>
  <r>
    <x v="311"/>
    <x v="0"/>
    <s v="페이스북/인스타그램"/>
    <x v="6"/>
    <x v="0"/>
    <x v="0"/>
    <m/>
    <m/>
    <n v="142618"/>
    <m/>
    <m/>
    <m/>
  </r>
  <r>
    <x v="310"/>
    <x v="1"/>
    <s v="페이스북/인스타그램"/>
    <x v="0"/>
    <x v="0"/>
    <x v="0"/>
    <m/>
    <m/>
    <n v="242218"/>
    <m/>
    <m/>
    <m/>
  </r>
  <r>
    <x v="310"/>
    <x v="1"/>
    <s v="네이버 GFA"/>
    <x v="6"/>
    <x v="0"/>
    <x v="0"/>
    <m/>
    <m/>
    <n v="7437.272727272727"/>
    <m/>
    <m/>
    <m/>
  </r>
  <r>
    <x v="310"/>
    <x v="1"/>
    <s v="네이버 GFA"/>
    <x v="0"/>
    <x v="0"/>
    <x v="0"/>
    <m/>
    <m/>
    <n v="69681.81818181818"/>
    <m/>
    <m/>
    <m/>
  </r>
  <r>
    <x v="310"/>
    <x v="1"/>
    <s v="네이버 쇼핑검색"/>
    <x v="0"/>
    <x v="0"/>
    <x v="0"/>
    <m/>
    <m/>
    <n v="53659.99999999999"/>
    <m/>
    <m/>
    <m/>
  </r>
  <r>
    <x v="311"/>
    <x v="0"/>
    <s v="네이버 쇼핑검색"/>
    <x v="0"/>
    <x v="0"/>
    <x v="0"/>
    <m/>
    <m/>
    <n v="46679.99999999999"/>
    <m/>
    <m/>
    <m/>
  </r>
  <r>
    <x v="310"/>
    <x v="1"/>
    <s v="네이버 브랜드검색"/>
    <x v="0"/>
    <x v="0"/>
    <x v="0"/>
    <m/>
    <m/>
    <n v="50000"/>
    <m/>
    <m/>
    <m/>
  </r>
  <r>
    <x v="311"/>
    <x v="0"/>
    <s v="네이버 브랜드검색"/>
    <x v="0"/>
    <x v="0"/>
    <x v="0"/>
    <m/>
    <m/>
    <n v="50000"/>
    <m/>
    <m/>
    <m/>
  </r>
  <r>
    <x v="310"/>
    <x v="1"/>
    <s v="카카오광고"/>
    <x v="0"/>
    <x v="0"/>
    <x v="0"/>
    <m/>
    <m/>
    <n v="4020"/>
    <m/>
    <m/>
    <m/>
  </r>
  <r>
    <x v="310"/>
    <x v="1"/>
    <s v="문자대표"/>
    <x v="0"/>
    <x v="0"/>
    <x v="0"/>
    <m/>
    <m/>
    <n v="2460"/>
    <m/>
    <m/>
    <m/>
  </r>
  <r>
    <x v="312"/>
    <x v="2"/>
    <s v="페이스북/인스타그램"/>
    <x v="6"/>
    <x v="0"/>
    <x v="0"/>
    <m/>
    <m/>
    <n v="28688"/>
    <m/>
    <m/>
    <m/>
  </r>
  <r>
    <x v="313"/>
    <x v="5"/>
    <s v="페이스북/인스타그램"/>
    <x v="6"/>
    <x v="0"/>
    <x v="0"/>
    <m/>
    <m/>
    <n v="8459"/>
    <m/>
    <m/>
    <m/>
  </r>
  <r>
    <x v="314"/>
    <x v="6"/>
    <s v="페이스북/인스타그램"/>
    <x v="0"/>
    <x v="0"/>
    <x v="0"/>
    <m/>
    <m/>
    <n v="174582"/>
    <m/>
    <m/>
    <m/>
  </r>
  <r>
    <x v="312"/>
    <x v="2"/>
    <s v="네이버 쇼핑검색"/>
    <x v="0"/>
    <x v="0"/>
    <x v="0"/>
    <m/>
    <m/>
    <n v="43420"/>
    <m/>
    <m/>
    <m/>
  </r>
  <r>
    <x v="313"/>
    <x v="5"/>
    <s v="네이버 쇼핑검색"/>
    <x v="0"/>
    <x v="0"/>
    <x v="0"/>
    <m/>
    <m/>
    <n v="40630"/>
    <m/>
    <m/>
    <m/>
  </r>
  <r>
    <x v="314"/>
    <x v="6"/>
    <s v="네이버 쇼핑검색"/>
    <x v="0"/>
    <x v="0"/>
    <x v="0"/>
    <m/>
    <m/>
    <n v="44520"/>
    <m/>
    <m/>
    <m/>
  </r>
  <r>
    <x v="312"/>
    <x v="2"/>
    <s v="네이버 브랜드검색"/>
    <x v="0"/>
    <x v="0"/>
    <x v="0"/>
    <m/>
    <m/>
    <n v="50000"/>
    <m/>
    <m/>
    <m/>
  </r>
  <r>
    <x v="313"/>
    <x v="5"/>
    <s v="네이버 브랜드검색"/>
    <x v="0"/>
    <x v="0"/>
    <x v="0"/>
    <m/>
    <m/>
    <n v="50000"/>
    <m/>
    <m/>
    <m/>
  </r>
  <r>
    <x v="314"/>
    <x v="6"/>
    <s v="네이버 브랜드검색"/>
    <x v="0"/>
    <x v="0"/>
    <x v="0"/>
    <m/>
    <m/>
    <n v="50000"/>
    <m/>
    <m/>
    <m/>
  </r>
  <r>
    <x v="315"/>
    <x v="1"/>
    <s v="페이스북/인스타그램"/>
    <x v="5"/>
    <x v="0"/>
    <x v="0"/>
    <m/>
    <m/>
    <n v="29818"/>
    <m/>
    <m/>
    <m/>
  </r>
  <r>
    <x v="316"/>
    <x v="0"/>
    <s v="페이스북/인스타그램"/>
    <x v="5"/>
    <x v="0"/>
    <x v="0"/>
    <m/>
    <m/>
    <n v="182538"/>
    <m/>
    <m/>
    <m/>
  </r>
  <r>
    <x v="317"/>
    <x v="3"/>
    <s v="페이스북/인스타그램"/>
    <x v="0"/>
    <x v="0"/>
    <x v="0"/>
    <m/>
    <m/>
    <n v="186936"/>
    <m/>
    <m/>
    <m/>
  </r>
  <r>
    <x v="318"/>
    <x v="4"/>
    <s v="페이스북/인스타그램"/>
    <x v="0"/>
    <x v="0"/>
    <x v="0"/>
    <m/>
    <m/>
    <n v="328834"/>
    <m/>
    <m/>
    <m/>
  </r>
  <r>
    <x v="315"/>
    <x v="1"/>
    <s v="페이스북/인스타그램"/>
    <x v="0"/>
    <x v="0"/>
    <x v="0"/>
    <m/>
    <m/>
    <n v="377139"/>
    <m/>
    <m/>
    <m/>
  </r>
  <r>
    <x v="316"/>
    <x v="0"/>
    <s v="페이스북/인스타그램"/>
    <x v="0"/>
    <x v="0"/>
    <x v="0"/>
    <m/>
    <m/>
    <n v="380062"/>
    <m/>
    <m/>
    <m/>
  </r>
  <r>
    <x v="317"/>
    <x v="3"/>
    <s v="네이버 GFA"/>
    <x v="6"/>
    <x v="0"/>
    <x v="0"/>
    <m/>
    <m/>
    <n v="35943.63636363636"/>
    <m/>
    <m/>
    <m/>
  </r>
  <r>
    <x v="318"/>
    <x v="4"/>
    <s v="네이버 GFA"/>
    <x v="6"/>
    <x v="0"/>
    <x v="0"/>
    <m/>
    <m/>
    <n v="67935.45454545454"/>
    <m/>
    <m/>
    <m/>
  </r>
  <r>
    <x v="315"/>
    <x v="1"/>
    <s v="네이버 GFA"/>
    <x v="6"/>
    <x v="0"/>
    <x v="0"/>
    <m/>
    <m/>
    <n v="29291.81818181818"/>
    <m/>
    <m/>
    <m/>
  </r>
  <r>
    <x v="316"/>
    <x v="0"/>
    <s v="네이버 GFA"/>
    <x v="6"/>
    <x v="0"/>
    <x v="0"/>
    <m/>
    <m/>
    <n v="14801.81818181818"/>
    <m/>
    <m/>
    <m/>
  </r>
  <r>
    <x v="317"/>
    <x v="3"/>
    <s v="네이버 GFA"/>
    <x v="0"/>
    <x v="0"/>
    <x v="0"/>
    <m/>
    <m/>
    <n v="356192.7272727272"/>
    <m/>
    <m/>
    <m/>
  </r>
  <r>
    <x v="318"/>
    <x v="4"/>
    <s v="네이버 GFA"/>
    <x v="0"/>
    <x v="0"/>
    <x v="0"/>
    <m/>
    <m/>
    <n v="593463.6363636364"/>
    <m/>
    <m/>
    <m/>
  </r>
  <r>
    <x v="315"/>
    <x v="1"/>
    <s v="네이버 GFA"/>
    <x v="0"/>
    <x v="0"/>
    <x v="0"/>
    <m/>
    <m/>
    <n v="297630.9090909091"/>
    <m/>
    <m/>
    <m/>
  </r>
  <r>
    <x v="316"/>
    <x v="0"/>
    <s v="네이버 GFA"/>
    <x v="0"/>
    <x v="0"/>
    <x v="0"/>
    <m/>
    <m/>
    <n v="282929.0909090909"/>
    <m/>
    <m/>
    <m/>
  </r>
  <r>
    <x v="317"/>
    <x v="3"/>
    <s v="네이버 쇼핑검색"/>
    <x v="0"/>
    <x v="0"/>
    <x v="0"/>
    <m/>
    <m/>
    <n v="67760"/>
    <m/>
    <m/>
    <m/>
  </r>
  <r>
    <x v="318"/>
    <x v="4"/>
    <s v="네이버 쇼핑검색"/>
    <x v="0"/>
    <x v="0"/>
    <x v="0"/>
    <m/>
    <m/>
    <n v="68230"/>
    <m/>
    <m/>
    <m/>
  </r>
  <r>
    <x v="315"/>
    <x v="1"/>
    <s v="네이버 쇼핑검색"/>
    <x v="0"/>
    <x v="0"/>
    <x v="0"/>
    <m/>
    <m/>
    <n v="56339.99999999999"/>
    <m/>
    <m/>
    <m/>
  </r>
  <r>
    <x v="316"/>
    <x v="0"/>
    <s v="네이버 쇼핑검색"/>
    <x v="0"/>
    <x v="0"/>
    <x v="0"/>
    <m/>
    <m/>
    <n v="47289.99999999999"/>
    <m/>
    <m/>
    <m/>
  </r>
  <r>
    <x v="317"/>
    <x v="3"/>
    <s v="네이버 브랜드검색"/>
    <x v="0"/>
    <x v="0"/>
    <x v="0"/>
    <m/>
    <m/>
    <n v="50000"/>
    <m/>
    <m/>
    <m/>
  </r>
  <r>
    <x v="318"/>
    <x v="4"/>
    <s v="네이버 브랜드검색"/>
    <x v="0"/>
    <x v="0"/>
    <x v="0"/>
    <m/>
    <m/>
    <n v="50000"/>
    <m/>
    <m/>
    <m/>
  </r>
  <r>
    <x v="315"/>
    <x v="1"/>
    <s v="네이버 브랜드검색"/>
    <x v="0"/>
    <x v="0"/>
    <x v="0"/>
    <m/>
    <m/>
    <n v="50000"/>
    <m/>
    <m/>
    <m/>
  </r>
  <r>
    <x v="316"/>
    <x v="0"/>
    <s v="네이버 브랜드검색"/>
    <x v="0"/>
    <x v="0"/>
    <x v="0"/>
    <m/>
    <m/>
    <n v="50000"/>
    <m/>
    <m/>
    <m/>
  </r>
  <r>
    <x v="317"/>
    <x v="3"/>
    <s v="유튜브 디스커버리(이미지)"/>
    <x v="0"/>
    <x v="0"/>
    <x v="0"/>
    <m/>
    <m/>
    <n v="327394"/>
    <m/>
    <m/>
    <m/>
  </r>
  <r>
    <x v="318"/>
    <x v="4"/>
    <s v="유튜브 디스커버리(이미지)"/>
    <x v="0"/>
    <x v="0"/>
    <x v="0"/>
    <m/>
    <m/>
    <n v="130650"/>
    <m/>
    <m/>
    <m/>
  </r>
  <r>
    <x v="315"/>
    <x v="1"/>
    <s v="유튜브 디스커버리(이미지)"/>
    <x v="0"/>
    <x v="0"/>
    <x v="0"/>
    <m/>
    <m/>
    <n v="282379"/>
    <m/>
    <m/>
    <m/>
  </r>
  <r>
    <x v="316"/>
    <x v="0"/>
    <s v="유튜브 디스커버리(이미지)"/>
    <x v="0"/>
    <x v="0"/>
    <x v="0"/>
    <m/>
    <m/>
    <n v="203662"/>
    <m/>
    <m/>
    <m/>
  </r>
  <r>
    <x v="315"/>
    <x v="1"/>
    <s v="문자대표"/>
    <x v="0"/>
    <x v="0"/>
    <x v="0"/>
    <m/>
    <m/>
    <n v="630"/>
    <m/>
    <m/>
    <m/>
  </r>
  <r>
    <x v="319"/>
    <x v="2"/>
    <s v="페이스북/인스타그램"/>
    <x v="5"/>
    <x v="0"/>
    <x v="0"/>
    <m/>
    <m/>
    <n v="163267"/>
    <m/>
    <m/>
    <m/>
  </r>
  <r>
    <x v="319"/>
    <x v="2"/>
    <s v="페이스북/인스타그램"/>
    <x v="0"/>
    <x v="0"/>
    <x v="0"/>
    <m/>
    <m/>
    <n v="263148"/>
    <m/>
    <m/>
    <m/>
  </r>
  <r>
    <x v="319"/>
    <x v="2"/>
    <s v="네이버 GFA"/>
    <x v="6"/>
    <x v="0"/>
    <x v="0"/>
    <m/>
    <m/>
    <n v="16087.27272727273"/>
    <m/>
    <m/>
    <m/>
  </r>
  <r>
    <x v="319"/>
    <x v="2"/>
    <s v="네이버 GFA"/>
    <x v="0"/>
    <x v="0"/>
    <x v="0"/>
    <m/>
    <m/>
    <n v="188749.0909090909"/>
    <m/>
    <m/>
    <m/>
  </r>
  <r>
    <x v="320"/>
    <x v="5"/>
    <s v="네이버 쇼핑검색"/>
    <x v="0"/>
    <x v="0"/>
    <x v="0"/>
    <m/>
    <m/>
    <n v="48139.99999999999"/>
    <m/>
    <m/>
    <m/>
  </r>
  <r>
    <x v="321"/>
    <x v="6"/>
    <s v="네이버 쇼핑검색"/>
    <x v="0"/>
    <x v="0"/>
    <x v="0"/>
    <m/>
    <m/>
    <n v="34710"/>
    <m/>
    <m/>
    <m/>
  </r>
  <r>
    <x v="322"/>
    <x v="3"/>
    <s v="네이버 쇼핑검색"/>
    <x v="0"/>
    <x v="0"/>
    <x v="0"/>
    <m/>
    <m/>
    <n v="47189.99999999999"/>
    <m/>
    <m/>
    <m/>
  </r>
  <r>
    <x v="323"/>
    <x v="4"/>
    <s v="네이버 쇼핑검색"/>
    <x v="0"/>
    <x v="0"/>
    <x v="0"/>
    <m/>
    <m/>
    <n v="46689.99999999999"/>
    <m/>
    <m/>
    <m/>
  </r>
  <r>
    <x v="324"/>
    <x v="1"/>
    <s v="네이버 쇼핑검색"/>
    <x v="0"/>
    <x v="0"/>
    <x v="0"/>
    <m/>
    <m/>
    <n v="54669.99999999999"/>
    <m/>
    <m/>
    <m/>
  </r>
  <r>
    <x v="325"/>
    <x v="0"/>
    <s v="네이버 쇼핑검색"/>
    <x v="0"/>
    <x v="0"/>
    <x v="0"/>
    <m/>
    <m/>
    <n v="39540"/>
    <m/>
    <m/>
    <m/>
  </r>
  <r>
    <x v="319"/>
    <x v="2"/>
    <s v="네이버 브랜드검색"/>
    <x v="0"/>
    <x v="0"/>
    <x v="0"/>
    <m/>
    <m/>
    <n v="50000"/>
    <m/>
    <m/>
    <m/>
  </r>
  <r>
    <x v="320"/>
    <x v="5"/>
    <s v="네이버 브랜드검색"/>
    <x v="0"/>
    <x v="0"/>
    <x v="0"/>
    <m/>
    <m/>
    <n v="50000"/>
    <m/>
    <m/>
    <m/>
  </r>
  <r>
    <x v="321"/>
    <x v="6"/>
    <s v="네이버 브랜드검색"/>
    <x v="0"/>
    <x v="0"/>
    <x v="0"/>
    <m/>
    <m/>
    <n v="50000"/>
    <m/>
    <m/>
    <m/>
  </r>
  <r>
    <x v="322"/>
    <x v="3"/>
    <s v="네이버 브랜드검색"/>
    <x v="0"/>
    <x v="0"/>
    <x v="0"/>
    <m/>
    <m/>
    <n v="50000"/>
    <m/>
    <m/>
    <m/>
  </r>
  <r>
    <x v="323"/>
    <x v="4"/>
    <s v="네이버 브랜드검색"/>
    <x v="0"/>
    <x v="0"/>
    <x v="0"/>
    <m/>
    <m/>
    <n v="50000"/>
    <m/>
    <m/>
    <m/>
  </r>
  <r>
    <x v="324"/>
    <x v="1"/>
    <s v="네이버 브랜드검색"/>
    <x v="0"/>
    <x v="0"/>
    <x v="0"/>
    <m/>
    <m/>
    <n v="50000"/>
    <m/>
    <m/>
    <m/>
  </r>
  <r>
    <x v="325"/>
    <x v="0"/>
    <s v="네이버 브랜드검색"/>
    <x v="0"/>
    <x v="0"/>
    <x v="0"/>
    <m/>
    <m/>
    <n v="50000"/>
    <m/>
    <m/>
    <m/>
  </r>
  <r>
    <x v="319"/>
    <x v="2"/>
    <s v="유튜브 디스커버리(이미지)"/>
    <x v="0"/>
    <x v="0"/>
    <x v="0"/>
    <m/>
    <m/>
    <n v="44919"/>
    <m/>
    <m/>
    <m/>
  </r>
  <r>
    <x v="324"/>
    <x v="1"/>
    <s v="카카오톡 메시지"/>
    <x v="0"/>
    <x v="0"/>
    <x v="0"/>
    <m/>
    <m/>
    <n v="5478"/>
    <m/>
    <m/>
    <m/>
  </r>
  <r>
    <x v="324"/>
    <x v="1"/>
    <s v="문자대표"/>
    <x v="0"/>
    <x v="0"/>
    <x v="0"/>
    <m/>
    <m/>
    <n v="8070"/>
    <m/>
    <m/>
    <m/>
  </r>
  <r>
    <x v="326"/>
    <x v="6"/>
    <s v="페이스북/인스타그램"/>
    <x v="0"/>
    <x v="0"/>
    <x v="0"/>
    <m/>
    <m/>
    <n v="150097"/>
    <m/>
    <m/>
    <m/>
  </r>
  <r>
    <x v="327"/>
    <x v="3"/>
    <s v="페이스북/인스타그램"/>
    <x v="0"/>
    <x v="0"/>
    <x v="0"/>
    <m/>
    <m/>
    <n v="263174"/>
    <m/>
    <m/>
    <m/>
  </r>
  <r>
    <x v="328"/>
    <x v="4"/>
    <s v="페이스북/인스타그램"/>
    <x v="0"/>
    <x v="0"/>
    <x v="0"/>
    <m/>
    <m/>
    <n v="347976"/>
    <m/>
    <m/>
    <m/>
  </r>
  <r>
    <x v="329"/>
    <x v="1"/>
    <s v="페이스북/인스타그램"/>
    <x v="0"/>
    <x v="0"/>
    <x v="0"/>
    <m/>
    <m/>
    <n v="185499"/>
    <m/>
    <m/>
    <m/>
  </r>
  <r>
    <x v="330"/>
    <x v="0"/>
    <s v="페이스북/인스타그램"/>
    <x v="0"/>
    <x v="0"/>
    <x v="0"/>
    <m/>
    <m/>
    <n v="266513"/>
    <m/>
    <m/>
    <m/>
  </r>
  <r>
    <x v="331"/>
    <x v="2"/>
    <s v="페이스북/인스타그램"/>
    <x v="0"/>
    <x v="0"/>
    <x v="0"/>
    <m/>
    <m/>
    <n v="221180"/>
    <m/>
    <m/>
    <m/>
  </r>
  <r>
    <x v="332"/>
    <x v="5"/>
    <s v="페이스북/인스타그램"/>
    <x v="0"/>
    <x v="0"/>
    <x v="0"/>
    <m/>
    <m/>
    <n v="106388"/>
    <m/>
    <m/>
    <m/>
  </r>
  <r>
    <x v="333"/>
    <x v="6"/>
    <s v="페이스북/인스타그램"/>
    <x v="0"/>
    <x v="0"/>
    <x v="0"/>
    <m/>
    <m/>
    <n v="146130"/>
    <m/>
    <m/>
    <m/>
  </r>
  <r>
    <x v="245"/>
    <x v="3"/>
    <s v="페이스북/인스타그램"/>
    <x v="0"/>
    <x v="0"/>
    <x v="0"/>
    <m/>
    <m/>
    <n v="225894"/>
    <m/>
    <m/>
    <m/>
  </r>
  <r>
    <x v="334"/>
    <x v="4"/>
    <s v="페이스북/인스타그램"/>
    <x v="0"/>
    <x v="0"/>
    <x v="0"/>
    <m/>
    <m/>
    <n v="276037"/>
    <m/>
    <m/>
    <m/>
  </r>
  <r>
    <x v="335"/>
    <x v="1"/>
    <s v="페이스북/인스타그램"/>
    <x v="0"/>
    <x v="0"/>
    <x v="0"/>
    <m/>
    <m/>
    <n v="273861"/>
    <m/>
    <m/>
    <m/>
  </r>
  <r>
    <x v="245"/>
    <x v="3"/>
    <s v="페이스북/인스타그램"/>
    <x v="5"/>
    <x v="0"/>
    <x v="0"/>
    <m/>
    <m/>
    <n v="19610"/>
    <m/>
    <m/>
    <m/>
  </r>
  <r>
    <x v="334"/>
    <x v="4"/>
    <s v="페이스북/인스타그램"/>
    <x v="5"/>
    <x v="0"/>
    <x v="0"/>
    <m/>
    <m/>
    <n v="246783"/>
    <m/>
    <m/>
    <m/>
  </r>
  <r>
    <x v="335"/>
    <x v="1"/>
    <s v="페이스북/인스타그램"/>
    <x v="5"/>
    <x v="0"/>
    <x v="0"/>
    <m/>
    <m/>
    <n v="185504"/>
    <m/>
    <m/>
    <m/>
  </r>
  <r>
    <x v="327"/>
    <x v="3"/>
    <s v="네이버 GFA"/>
    <x v="0"/>
    <x v="0"/>
    <x v="0"/>
    <m/>
    <m/>
    <n v="357111.8181818182"/>
    <m/>
    <m/>
    <m/>
  </r>
  <r>
    <x v="328"/>
    <x v="4"/>
    <s v="네이버 GFA"/>
    <x v="0"/>
    <x v="0"/>
    <x v="0"/>
    <m/>
    <m/>
    <n v="412806.3636363636"/>
    <m/>
    <m/>
    <m/>
  </r>
  <r>
    <x v="329"/>
    <x v="1"/>
    <s v="네이버 GFA"/>
    <x v="0"/>
    <x v="0"/>
    <x v="0"/>
    <m/>
    <m/>
    <n v="370464.5454545454"/>
    <m/>
    <m/>
    <m/>
  </r>
  <r>
    <x v="330"/>
    <x v="0"/>
    <s v="네이버 GFA"/>
    <x v="0"/>
    <x v="0"/>
    <x v="0"/>
    <m/>
    <m/>
    <n v="440808.1818181818"/>
    <m/>
    <m/>
    <m/>
  </r>
  <r>
    <x v="331"/>
    <x v="2"/>
    <s v="네이버 GFA"/>
    <x v="0"/>
    <x v="0"/>
    <x v="0"/>
    <m/>
    <m/>
    <n v="310808.1818181818"/>
    <m/>
    <m/>
    <m/>
  </r>
  <r>
    <x v="332"/>
    <x v="5"/>
    <s v="네이버 GFA"/>
    <x v="0"/>
    <x v="0"/>
    <x v="0"/>
    <m/>
    <m/>
    <n v="158205.4545454545"/>
    <m/>
    <m/>
    <m/>
  </r>
  <r>
    <x v="333"/>
    <x v="6"/>
    <s v="네이버 GFA"/>
    <x v="0"/>
    <x v="0"/>
    <x v="0"/>
    <m/>
    <m/>
    <n v="158178.1818181818"/>
    <m/>
    <m/>
    <m/>
  </r>
  <r>
    <x v="245"/>
    <x v="3"/>
    <s v="네이버 GFA"/>
    <x v="0"/>
    <x v="0"/>
    <x v="0"/>
    <m/>
    <m/>
    <n v="227434.5454545454"/>
    <m/>
    <m/>
    <m/>
  </r>
  <r>
    <x v="334"/>
    <x v="4"/>
    <s v="네이버 GFA"/>
    <x v="0"/>
    <x v="0"/>
    <x v="0"/>
    <m/>
    <m/>
    <n v="223165.4545454545"/>
    <m/>
    <m/>
    <m/>
  </r>
  <r>
    <x v="335"/>
    <x v="1"/>
    <s v="네이버 GFA"/>
    <x v="0"/>
    <x v="0"/>
    <x v="0"/>
    <m/>
    <m/>
    <n v="425641.8181818182"/>
    <m/>
    <m/>
    <m/>
  </r>
  <r>
    <x v="327"/>
    <x v="3"/>
    <s v="네이버 GFA"/>
    <x v="6"/>
    <x v="0"/>
    <x v="0"/>
    <m/>
    <m/>
    <n v="68737.27272727272"/>
    <m/>
    <m/>
    <m/>
  </r>
  <r>
    <x v="328"/>
    <x v="4"/>
    <s v="네이버 GFA"/>
    <x v="6"/>
    <x v="0"/>
    <x v="0"/>
    <m/>
    <m/>
    <n v="26470.90909090909"/>
    <m/>
    <m/>
    <m/>
  </r>
  <r>
    <x v="329"/>
    <x v="1"/>
    <s v="네이버 GFA"/>
    <x v="6"/>
    <x v="0"/>
    <x v="0"/>
    <m/>
    <m/>
    <n v="17612.72727272727"/>
    <m/>
    <m/>
    <m/>
  </r>
  <r>
    <x v="330"/>
    <x v="0"/>
    <s v="네이버 GFA"/>
    <x v="6"/>
    <x v="0"/>
    <x v="0"/>
    <m/>
    <m/>
    <n v="35782.72727272727"/>
    <m/>
    <m/>
    <m/>
  </r>
  <r>
    <x v="331"/>
    <x v="2"/>
    <s v="네이버 GFA"/>
    <x v="6"/>
    <x v="0"/>
    <x v="0"/>
    <m/>
    <m/>
    <n v="30262.72727272727"/>
    <m/>
    <m/>
    <m/>
  </r>
  <r>
    <x v="332"/>
    <x v="5"/>
    <s v="네이버 GFA"/>
    <x v="6"/>
    <x v="0"/>
    <x v="0"/>
    <m/>
    <m/>
    <n v="34480"/>
    <m/>
    <m/>
    <m/>
  </r>
  <r>
    <x v="333"/>
    <x v="6"/>
    <s v="네이버 GFA"/>
    <x v="6"/>
    <x v="0"/>
    <x v="0"/>
    <m/>
    <m/>
    <n v="32842.72727272727"/>
    <m/>
    <m/>
    <m/>
  </r>
  <r>
    <x v="245"/>
    <x v="3"/>
    <s v="네이버 GFA"/>
    <x v="6"/>
    <x v="0"/>
    <x v="0"/>
    <m/>
    <m/>
    <n v="28893.63636363636"/>
    <m/>
    <m/>
    <m/>
  </r>
  <r>
    <x v="334"/>
    <x v="4"/>
    <s v="네이버 GFA"/>
    <x v="6"/>
    <x v="0"/>
    <x v="0"/>
    <m/>
    <m/>
    <n v="34178.18181818182"/>
    <m/>
    <m/>
    <m/>
  </r>
  <r>
    <x v="335"/>
    <x v="1"/>
    <s v="네이버 GFA"/>
    <x v="6"/>
    <x v="0"/>
    <x v="0"/>
    <m/>
    <m/>
    <n v="63110.90909090909"/>
    <m/>
    <m/>
    <m/>
  </r>
  <r>
    <x v="325"/>
    <x v="0"/>
    <s v="네이버 쇼핑검색"/>
    <x v="0"/>
    <x v="0"/>
    <x v="0"/>
    <m/>
    <m/>
    <n v="39570"/>
    <m/>
    <m/>
    <m/>
  </r>
  <r>
    <x v="336"/>
    <x v="2"/>
    <s v="네이버 쇼핑검색"/>
    <x v="0"/>
    <x v="0"/>
    <x v="0"/>
    <m/>
    <m/>
    <n v="32760"/>
    <m/>
    <m/>
    <m/>
  </r>
  <r>
    <x v="337"/>
    <x v="5"/>
    <s v="네이버 쇼핑검색"/>
    <x v="0"/>
    <x v="0"/>
    <x v="0"/>
    <m/>
    <m/>
    <n v="33820"/>
    <m/>
    <m/>
    <m/>
  </r>
  <r>
    <x v="326"/>
    <x v="6"/>
    <s v="네이버 쇼핑검색"/>
    <x v="0"/>
    <x v="0"/>
    <x v="0"/>
    <m/>
    <m/>
    <n v="43310"/>
    <m/>
    <m/>
    <m/>
  </r>
  <r>
    <x v="327"/>
    <x v="3"/>
    <s v="네이버 쇼핑검색"/>
    <x v="0"/>
    <x v="0"/>
    <x v="0"/>
    <m/>
    <m/>
    <n v="51589.99999999999"/>
    <m/>
    <m/>
    <m/>
  </r>
  <r>
    <x v="328"/>
    <x v="4"/>
    <s v="네이버 쇼핑검색"/>
    <x v="0"/>
    <x v="0"/>
    <x v="0"/>
    <m/>
    <m/>
    <n v="54609.99999999999"/>
    <m/>
    <m/>
    <m/>
  </r>
  <r>
    <x v="329"/>
    <x v="1"/>
    <s v="네이버 쇼핑검색"/>
    <x v="0"/>
    <x v="0"/>
    <x v="0"/>
    <m/>
    <m/>
    <n v="47649.99999999999"/>
    <m/>
    <m/>
    <m/>
  </r>
  <r>
    <x v="330"/>
    <x v="0"/>
    <s v="네이버 쇼핑검색"/>
    <x v="0"/>
    <x v="0"/>
    <x v="0"/>
    <m/>
    <m/>
    <n v="48399.99999999999"/>
    <m/>
    <m/>
    <m/>
  </r>
  <r>
    <x v="331"/>
    <x v="2"/>
    <s v="네이버 쇼핑검색"/>
    <x v="0"/>
    <x v="0"/>
    <x v="0"/>
    <m/>
    <m/>
    <n v="37770"/>
    <m/>
    <m/>
    <m/>
  </r>
  <r>
    <x v="332"/>
    <x v="5"/>
    <s v="네이버 쇼핑검색"/>
    <x v="0"/>
    <x v="0"/>
    <x v="0"/>
    <m/>
    <m/>
    <n v="34740"/>
    <m/>
    <m/>
    <m/>
  </r>
  <r>
    <x v="333"/>
    <x v="6"/>
    <s v="네이버 쇼핑검색"/>
    <x v="0"/>
    <x v="0"/>
    <x v="0"/>
    <m/>
    <m/>
    <n v="39880"/>
    <m/>
    <m/>
    <m/>
  </r>
  <r>
    <x v="245"/>
    <x v="3"/>
    <s v="네이버 쇼핑검색"/>
    <x v="0"/>
    <x v="0"/>
    <x v="0"/>
    <m/>
    <m/>
    <n v="47229.99999999999"/>
    <m/>
    <m/>
    <m/>
  </r>
  <r>
    <x v="334"/>
    <x v="4"/>
    <s v="네이버 쇼핑검색"/>
    <x v="0"/>
    <x v="0"/>
    <x v="0"/>
    <m/>
    <m/>
    <n v="47599.99999999999"/>
    <m/>
    <m/>
    <m/>
  </r>
  <r>
    <x v="335"/>
    <x v="1"/>
    <s v="네이버 쇼핑검색"/>
    <x v="0"/>
    <x v="0"/>
    <x v="0"/>
    <m/>
    <m/>
    <n v="38150"/>
    <m/>
    <m/>
    <m/>
  </r>
  <r>
    <x v="325"/>
    <x v="0"/>
    <s v="네이버 브랜드검색"/>
    <x v="0"/>
    <x v="0"/>
    <x v="0"/>
    <m/>
    <m/>
    <n v="50000"/>
    <m/>
    <m/>
    <m/>
  </r>
  <r>
    <x v="336"/>
    <x v="2"/>
    <s v="네이버 브랜드검색"/>
    <x v="0"/>
    <x v="0"/>
    <x v="0"/>
    <m/>
    <m/>
    <n v="50000"/>
    <m/>
    <m/>
    <m/>
  </r>
  <r>
    <x v="337"/>
    <x v="5"/>
    <s v="네이버 브랜드검색"/>
    <x v="0"/>
    <x v="0"/>
    <x v="0"/>
    <m/>
    <m/>
    <n v="50000"/>
    <m/>
    <m/>
    <m/>
  </r>
  <r>
    <x v="326"/>
    <x v="6"/>
    <s v="네이버 브랜드검색"/>
    <x v="0"/>
    <x v="0"/>
    <x v="0"/>
    <m/>
    <m/>
    <n v="50000"/>
    <m/>
    <m/>
    <m/>
  </r>
  <r>
    <x v="327"/>
    <x v="3"/>
    <s v="네이버 브랜드검색"/>
    <x v="0"/>
    <x v="0"/>
    <x v="0"/>
    <m/>
    <m/>
    <n v="50000"/>
    <m/>
    <m/>
    <m/>
  </r>
  <r>
    <x v="328"/>
    <x v="4"/>
    <s v="네이버 브랜드검색"/>
    <x v="0"/>
    <x v="0"/>
    <x v="0"/>
    <m/>
    <m/>
    <n v="50000"/>
    <m/>
    <m/>
    <m/>
  </r>
  <r>
    <x v="329"/>
    <x v="1"/>
    <s v="네이버 브랜드검색"/>
    <x v="0"/>
    <x v="0"/>
    <x v="0"/>
    <m/>
    <m/>
    <n v="50000"/>
    <m/>
    <m/>
    <m/>
  </r>
  <r>
    <x v="330"/>
    <x v="0"/>
    <s v="네이버 브랜드검색"/>
    <x v="0"/>
    <x v="0"/>
    <x v="0"/>
    <m/>
    <m/>
    <n v="50000"/>
    <m/>
    <m/>
    <m/>
  </r>
  <r>
    <x v="331"/>
    <x v="2"/>
    <s v="네이버 브랜드검색"/>
    <x v="0"/>
    <x v="0"/>
    <x v="0"/>
    <m/>
    <m/>
    <n v="50000"/>
    <m/>
    <m/>
    <m/>
  </r>
  <r>
    <x v="332"/>
    <x v="5"/>
    <s v="네이버 브랜드검색"/>
    <x v="0"/>
    <x v="0"/>
    <x v="0"/>
    <m/>
    <m/>
    <n v="50000"/>
    <m/>
    <m/>
    <m/>
  </r>
  <r>
    <x v="333"/>
    <x v="6"/>
    <s v="네이버 브랜드검색"/>
    <x v="0"/>
    <x v="0"/>
    <x v="0"/>
    <m/>
    <m/>
    <n v="50000"/>
    <m/>
    <m/>
    <m/>
  </r>
  <r>
    <x v="245"/>
    <x v="3"/>
    <s v="네이버 브랜드검색"/>
    <x v="0"/>
    <x v="0"/>
    <x v="0"/>
    <m/>
    <m/>
    <n v="50000"/>
    <m/>
    <m/>
    <m/>
  </r>
  <r>
    <x v="334"/>
    <x v="4"/>
    <s v="네이버 브랜드검색"/>
    <x v="0"/>
    <x v="0"/>
    <x v="0"/>
    <m/>
    <m/>
    <n v="50000"/>
    <m/>
    <m/>
    <m/>
  </r>
  <r>
    <x v="335"/>
    <x v="1"/>
    <s v="네이버 브랜드검색"/>
    <x v="0"/>
    <x v="0"/>
    <x v="0"/>
    <m/>
    <m/>
    <n v="50000"/>
    <m/>
    <m/>
    <m/>
  </r>
  <r>
    <x v="327"/>
    <x v="3"/>
    <s v="유튜브 디스커버리"/>
    <x v="0"/>
    <x v="0"/>
    <x v="0"/>
    <m/>
    <m/>
    <n v="1052805"/>
    <m/>
    <m/>
    <m/>
  </r>
  <r>
    <x v="328"/>
    <x v="4"/>
    <s v="유튜브 디스커버리"/>
    <x v="0"/>
    <x v="0"/>
    <x v="0"/>
    <m/>
    <m/>
    <n v="614892"/>
    <m/>
    <m/>
    <m/>
  </r>
  <r>
    <x v="329"/>
    <x v="1"/>
    <s v="유튜브 디스커버리"/>
    <x v="0"/>
    <x v="0"/>
    <x v="0"/>
    <m/>
    <m/>
    <n v="316320"/>
    <m/>
    <m/>
    <m/>
  </r>
  <r>
    <x v="330"/>
    <x v="0"/>
    <s v="유튜브 디스커버리"/>
    <x v="0"/>
    <x v="0"/>
    <x v="0"/>
    <m/>
    <m/>
    <n v="233538"/>
    <m/>
    <m/>
    <m/>
  </r>
  <r>
    <x v="331"/>
    <x v="2"/>
    <s v="유튜브 디스커버리"/>
    <x v="0"/>
    <x v="0"/>
    <x v="0"/>
    <m/>
    <m/>
    <n v="366135"/>
    <m/>
    <m/>
    <m/>
  </r>
  <r>
    <x v="332"/>
    <x v="5"/>
    <s v="유튜브 디스커버리"/>
    <x v="0"/>
    <x v="0"/>
    <x v="0"/>
    <m/>
    <m/>
    <n v="298485"/>
    <m/>
    <m/>
    <m/>
  </r>
  <r>
    <x v="333"/>
    <x v="6"/>
    <s v="유튜브 디스커버리"/>
    <x v="0"/>
    <x v="0"/>
    <x v="0"/>
    <m/>
    <m/>
    <n v="219144"/>
    <m/>
    <m/>
    <m/>
  </r>
  <r>
    <x v="245"/>
    <x v="3"/>
    <s v="유튜브 디스커버리"/>
    <x v="0"/>
    <x v="0"/>
    <x v="0"/>
    <m/>
    <m/>
    <n v="114132"/>
    <m/>
    <m/>
    <m/>
  </r>
  <r>
    <x v="334"/>
    <x v="4"/>
    <s v="유튜브 디스커버리"/>
    <x v="0"/>
    <x v="0"/>
    <x v="0"/>
    <m/>
    <m/>
    <n v="738334"/>
    <m/>
    <m/>
    <m/>
  </r>
  <r>
    <x v="327"/>
    <x v="3"/>
    <s v="유튜브 디스커버리(이미지)"/>
    <x v="0"/>
    <x v="0"/>
    <x v="0"/>
    <m/>
    <m/>
    <n v="350935"/>
    <m/>
    <m/>
    <m/>
  </r>
  <r>
    <x v="328"/>
    <x v="4"/>
    <s v="유튜브 디스커버리(이미지)"/>
    <x v="0"/>
    <x v="0"/>
    <x v="0"/>
    <m/>
    <m/>
    <n v="204964"/>
    <m/>
    <m/>
    <m/>
  </r>
  <r>
    <x v="329"/>
    <x v="1"/>
    <s v="유튜브 디스커버리(이미지)"/>
    <x v="0"/>
    <x v="0"/>
    <x v="0"/>
    <m/>
    <m/>
    <n v="105440"/>
    <m/>
    <m/>
    <m/>
  </r>
  <r>
    <x v="330"/>
    <x v="0"/>
    <s v="유튜브 디스커버리(이미지)"/>
    <x v="0"/>
    <x v="0"/>
    <x v="0"/>
    <m/>
    <m/>
    <n v="77846"/>
    <m/>
    <m/>
    <m/>
  </r>
  <r>
    <x v="331"/>
    <x v="2"/>
    <s v="유튜브 디스커버리(이미지)"/>
    <x v="0"/>
    <x v="0"/>
    <x v="0"/>
    <m/>
    <m/>
    <n v="122045"/>
    <m/>
    <m/>
    <m/>
  </r>
  <r>
    <x v="332"/>
    <x v="5"/>
    <s v="유튜브 디스커버리(이미지)"/>
    <x v="0"/>
    <x v="0"/>
    <x v="0"/>
    <m/>
    <m/>
    <n v="99495"/>
    <m/>
    <m/>
    <m/>
  </r>
  <r>
    <x v="333"/>
    <x v="6"/>
    <s v="유튜브 디스커버리(이미지)"/>
    <x v="0"/>
    <x v="0"/>
    <x v="0"/>
    <m/>
    <m/>
    <n v="73048"/>
    <m/>
    <m/>
    <m/>
  </r>
  <r>
    <x v="245"/>
    <x v="3"/>
    <s v="유튜브 디스커버리(이미지)"/>
    <x v="0"/>
    <x v="0"/>
    <x v="0"/>
    <m/>
    <m/>
    <n v="38044"/>
    <m/>
    <m/>
    <m/>
  </r>
  <r>
    <x v="334"/>
    <x v="4"/>
    <s v="유튜브 디스커버리(이미지)"/>
    <x v="0"/>
    <x v="0"/>
    <x v="0"/>
    <m/>
    <m/>
    <n v="3151"/>
    <m/>
    <m/>
    <m/>
  </r>
  <r>
    <x v="335"/>
    <x v="1"/>
    <s v="페이스북/인스타그램"/>
    <x v="0"/>
    <x v="0"/>
    <x v="0"/>
    <m/>
    <m/>
    <n v="273861"/>
    <m/>
    <m/>
    <m/>
  </r>
  <r>
    <x v="338"/>
    <x v="0"/>
    <s v="페이스북/인스타그램"/>
    <x v="0"/>
    <x v="0"/>
    <x v="0"/>
    <m/>
    <m/>
    <n v="275318"/>
    <m/>
    <m/>
    <m/>
  </r>
  <r>
    <x v="339"/>
    <x v="2"/>
    <s v="페이스북/인스타그램"/>
    <x v="0"/>
    <x v="0"/>
    <x v="0"/>
    <m/>
    <m/>
    <n v="270296"/>
    <m/>
    <m/>
    <m/>
  </r>
  <r>
    <x v="340"/>
    <x v="5"/>
    <s v="페이스북/인스타그램"/>
    <x v="0"/>
    <x v="0"/>
    <x v="0"/>
    <m/>
    <m/>
    <n v="161036"/>
    <m/>
    <m/>
    <m/>
  </r>
  <r>
    <x v="341"/>
    <x v="6"/>
    <s v="페이스북/인스타그램"/>
    <x v="0"/>
    <x v="0"/>
    <x v="0"/>
    <m/>
    <m/>
    <n v="213800"/>
    <m/>
    <m/>
    <m/>
  </r>
  <r>
    <x v="342"/>
    <x v="3"/>
    <s v="페이스북/인스타그램"/>
    <x v="0"/>
    <x v="0"/>
    <x v="0"/>
    <m/>
    <m/>
    <n v="266242"/>
    <m/>
    <m/>
    <m/>
  </r>
  <r>
    <x v="343"/>
    <x v="4"/>
    <s v="페이스북/인스타그램"/>
    <x v="0"/>
    <x v="0"/>
    <x v="0"/>
    <m/>
    <m/>
    <n v="267945"/>
    <m/>
    <m/>
    <m/>
  </r>
  <r>
    <x v="344"/>
    <x v="1"/>
    <s v="페이스북/인스타그램"/>
    <x v="0"/>
    <x v="0"/>
    <x v="0"/>
    <m/>
    <m/>
    <n v="279998"/>
    <m/>
    <m/>
    <m/>
  </r>
  <r>
    <x v="345"/>
    <x v="0"/>
    <s v="페이스북/인스타그램"/>
    <x v="0"/>
    <x v="0"/>
    <x v="0"/>
    <m/>
    <m/>
    <n v="271807"/>
    <m/>
    <m/>
    <m/>
  </r>
  <r>
    <x v="346"/>
    <x v="2"/>
    <s v="페이스북/인스타그램"/>
    <x v="0"/>
    <x v="0"/>
    <x v="0"/>
    <m/>
    <m/>
    <n v="231681"/>
    <m/>
    <m/>
    <m/>
  </r>
  <r>
    <x v="347"/>
    <x v="5"/>
    <s v="페이스북/인스타그램"/>
    <x v="0"/>
    <x v="0"/>
    <x v="0"/>
    <m/>
    <m/>
    <n v="154489"/>
    <m/>
    <m/>
    <m/>
  </r>
  <r>
    <x v="348"/>
    <x v="6"/>
    <s v="페이스북/인스타그램"/>
    <x v="0"/>
    <x v="0"/>
    <x v="0"/>
    <m/>
    <m/>
    <n v="206446"/>
    <m/>
    <m/>
    <m/>
  </r>
  <r>
    <x v="349"/>
    <x v="3"/>
    <s v="페이스북/인스타그램"/>
    <x v="0"/>
    <x v="0"/>
    <x v="0"/>
    <m/>
    <m/>
    <n v="252222"/>
    <m/>
    <m/>
    <m/>
  </r>
  <r>
    <x v="350"/>
    <x v="4"/>
    <s v="페이스북/인스타그램"/>
    <x v="0"/>
    <x v="0"/>
    <x v="0"/>
    <m/>
    <m/>
    <n v="254997"/>
    <m/>
    <m/>
    <m/>
  </r>
  <r>
    <x v="351"/>
    <x v="1"/>
    <s v="페이스북/인스타그램"/>
    <x v="0"/>
    <x v="0"/>
    <x v="0"/>
    <m/>
    <m/>
    <n v="258789"/>
    <m/>
    <m/>
    <m/>
  </r>
  <r>
    <x v="352"/>
    <x v="0"/>
    <s v="페이스북/인스타그램"/>
    <x v="0"/>
    <x v="0"/>
    <x v="0"/>
    <m/>
    <m/>
    <n v="251761"/>
    <m/>
    <m/>
    <m/>
  </r>
  <r>
    <x v="338"/>
    <x v="0"/>
    <s v="네이버 GFA"/>
    <x v="0"/>
    <x v="0"/>
    <x v="0"/>
    <m/>
    <m/>
    <n v="333464.5454545454"/>
    <m/>
    <m/>
    <m/>
  </r>
  <r>
    <x v="339"/>
    <x v="2"/>
    <s v="네이버 GFA"/>
    <x v="0"/>
    <x v="0"/>
    <x v="0"/>
    <m/>
    <m/>
    <n v="136250.9090909091"/>
    <m/>
    <m/>
    <m/>
  </r>
  <r>
    <x v="340"/>
    <x v="5"/>
    <s v="네이버 GFA"/>
    <x v="0"/>
    <x v="0"/>
    <x v="0"/>
    <m/>
    <m/>
    <n v="150902.7272727273"/>
    <m/>
    <m/>
    <m/>
  </r>
  <r>
    <x v="341"/>
    <x v="6"/>
    <s v="네이버 GFA"/>
    <x v="0"/>
    <x v="0"/>
    <x v="0"/>
    <m/>
    <m/>
    <n v="150136.3636363636"/>
    <m/>
    <m/>
    <m/>
  </r>
  <r>
    <x v="342"/>
    <x v="3"/>
    <s v="네이버 GFA"/>
    <x v="0"/>
    <x v="0"/>
    <x v="0"/>
    <m/>
    <m/>
    <n v="196039.0909090909"/>
    <m/>
    <m/>
    <m/>
  </r>
  <r>
    <x v="343"/>
    <x v="4"/>
    <s v="네이버 GFA"/>
    <x v="0"/>
    <x v="0"/>
    <x v="0"/>
    <m/>
    <m/>
    <n v="158441.8181818182"/>
    <m/>
    <m/>
    <m/>
  </r>
  <r>
    <x v="344"/>
    <x v="1"/>
    <s v="네이버 GFA"/>
    <x v="0"/>
    <x v="0"/>
    <x v="0"/>
    <m/>
    <m/>
    <n v="95989.0909090909"/>
    <m/>
    <m/>
    <m/>
  </r>
  <r>
    <x v="345"/>
    <x v="0"/>
    <s v="네이버 GFA"/>
    <x v="0"/>
    <x v="0"/>
    <x v="0"/>
    <m/>
    <m/>
    <n v="94370.90909090909"/>
    <m/>
    <m/>
    <m/>
  </r>
  <r>
    <x v="346"/>
    <x v="2"/>
    <s v="네이버 GFA"/>
    <x v="0"/>
    <x v="0"/>
    <x v="0"/>
    <m/>
    <m/>
    <n v="56099.99999999999"/>
    <m/>
    <m/>
    <m/>
  </r>
  <r>
    <x v="347"/>
    <x v="5"/>
    <s v="네이버 GFA"/>
    <x v="0"/>
    <x v="0"/>
    <x v="0"/>
    <m/>
    <m/>
    <n v="58006.36363636363"/>
    <m/>
    <m/>
    <m/>
  </r>
  <r>
    <x v="348"/>
    <x v="6"/>
    <s v="네이버 GFA"/>
    <x v="0"/>
    <x v="0"/>
    <x v="0"/>
    <m/>
    <m/>
    <n v="63279.99999999999"/>
    <m/>
    <m/>
    <m/>
  </r>
  <r>
    <x v="349"/>
    <x v="3"/>
    <s v="네이버 GFA"/>
    <x v="0"/>
    <x v="0"/>
    <x v="0"/>
    <m/>
    <m/>
    <n v="33799.0909090909"/>
    <m/>
    <m/>
    <m/>
  </r>
  <r>
    <x v="350"/>
    <x v="4"/>
    <s v="네이버 GFA"/>
    <x v="0"/>
    <x v="0"/>
    <x v="0"/>
    <m/>
    <m/>
    <n v="135907.2727272727"/>
    <m/>
    <m/>
    <m/>
  </r>
  <r>
    <x v="351"/>
    <x v="1"/>
    <s v="네이버 GFA"/>
    <x v="0"/>
    <x v="0"/>
    <x v="0"/>
    <m/>
    <m/>
    <n v="148635.4545454545"/>
    <m/>
    <m/>
    <m/>
  </r>
  <r>
    <x v="352"/>
    <x v="0"/>
    <s v="네이버 GFA"/>
    <x v="0"/>
    <x v="0"/>
    <x v="0"/>
    <m/>
    <m/>
    <n v="127749.0909090909"/>
    <m/>
    <m/>
    <m/>
  </r>
  <r>
    <x v="338"/>
    <x v="0"/>
    <s v="네이버 GFA"/>
    <x v="6"/>
    <x v="0"/>
    <x v="0"/>
    <m/>
    <m/>
    <n v="42720"/>
    <m/>
    <m/>
    <m/>
  </r>
  <r>
    <x v="339"/>
    <x v="2"/>
    <s v="네이버 GFA"/>
    <x v="6"/>
    <x v="0"/>
    <x v="0"/>
    <m/>
    <m/>
    <n v="17560.90909090909"/>
    <m/>
    <m/>
    <m/>
  </r>
  <r>
    <x v="340"/>
    <x v="5"/>
    <s v="네이버 GFA"/>
    <x v="6"/>
    <x v="0"/>
    <x v="0"/>
    <m/>
    <m/>
    <n v="23557.27272727272"/>
    <m/>
    <m/>
    <m/>
  </r>
  <r>
    <x v="341"/>
    <x v="6"/>
    <s v="네이버 GFA"/>
    <x v="6"/>
    <x v="0"/>
    <x v="0"/>
    <m/>
    <m/>
    <n v="30493.63636363636"/>
    <m/>
    <m/>
    <m/>
  </r>
  <r>
    <x v="342"/>
    <x v="3"/>
    <s v="네이버 GFA"/>
    <x v="6"/>
    <x v="0"/>
    <x v="0"/>
    <m/>
    <m/>
    <n v="22386.36363636364"/>
    <m/>
    <m/>
    <m/>
  </r>
  <r>
    <x v="343"/>
    <x v="4"/>
    <s v="네이버 GFA"/>
    <x v="6"/>
    <x v="0"/>
    <x v="0"/>
    <m/>
    <m/>
    <n v="15495.45454545454"/>
    <m/>
    <m/>
    <m/>
  </r>
  <r>
    <x v="344"/>
    <x v="1"/>
    <s v="네이버 GFA"/>
    <x v="6"/>
    <x v="0"/>
    <x v="0"/>
    <m/>
    <m/>
    <n v="10581.81818181818"/>
    <m/>
    <m/>
    <m/>
  </r>
  <r>
    <x v="345"/>
    <x v="0"/>
    <s v="네이버 GFA"/>
    <x v="6"/>
    <x v="0"/>
    <x v="0"/>
    <m/>
    <m/>
    <n v="3779.090909090909"/>
    <m/>
    <m/>
    <m/>
  </r>
  <r>
    <x v="346"/>
    <x v="2"/>
    <s v="네이버 GFA"/>
    <x v="6"/>
    <x v="0"/>
    <x v="0"/>
    <m/>
    <m/>
    <n v="4013.636363636364"/>
    <m/>
    <m/>
    <m/>
  </r>
  <r>
    <x v="347"/>
    <x v="5"/>
    <s v="네이버 GFA"/>
    <x v="6"/>
    <x v="0"/>
    <x v="0"/>
    <m/>
    <m/>
    <n v="12565.45454545454"/>
    <m/>
    <m/>
    <m/>
  </r>
  <r>
    <x v="348"/>
    <x v="6"/>
    <s v="네이버 GFA"/>
    <x v="6"/>
    <x v="0"/>
    <x v="0"/>
    <m/>
    <m/>
    <n v="10719.09090909091"/>
    <m/>
    <m/>
    <m/>
  </r>
  <r>
    <x v="349"/>
    <x v="3"/>
    <s v="네이버 GFA"/>
    <x v="6"/>
    <x v="0"/>
    <x v="0"/>
    <m/>
    <m/>
    <n v="2304.545454545455"/>
    <m/>
    <m/>
    <m/>
  </r>
  <r>
    <x v="350"/>
    <x v="4"/>
    <s v="네이버 GFA"/>
    <x v="6"/>
    <x v="0"/>
    <x v="0"/>
    <m/>
    <m/>
    <n v="575.4545454545454"/>
    <m/>
    <m/>
    <m/>
  </r>
  <r>
    <x v="351"/>
    <x v="1"/>
    <s v="네이버 GFA"/>
    <x v="6"/>
    <x v="0"/>
    <x v="0"/>
    <m/>
    <m/>
    <n v="291.8181818181818"/>
    <m/>
    <m/>
    <m/>
  </r>
  <r>
    <x v="338"/>
    <x v="0"/>
    <s v="네이버 쇼핑검색"/>
    <x v="0"/>
    <x v="0"/>
    <x v="0"/>
    <m/>
    <m/>
    <n v="42590"/>
    <m/>
    <m/>
    <m/>
  </r>
  <r>
    <x v="339"/>
    <x v="2"/>
    <s v="네이버 쇼핑검색"/>
    <x v="0"/>
    <x v="0"/>
    <x v="0"/>
    <m/>
    <m/>
    <n v="35400"/>
    <m/>
    <m/>
    <m/>
  </r>
  <r>
    <x v="340"/>
    <x v="5"/>
    <s v="네이버 쇼핑검색"/>
    <x v="0"/>
    <x v="0"/>
    <x v="0"/>
    <m/>
    <m/>
    <n v="28620"/>
    <m/>
    <m/>
    <m/>
  </r>
  <r>
    <x v="341"/>
    <x v="6"/>
    <s v="네이버 쇼핑검색"/>
    <x v="0"/>
    <x v="0"/>
    <x v="0"/>
    <m/>
    <m/>
    <n v="40030"/>
    <m/>
    <m/>
    <m/>
  </r>
  <r>
    <x v="342"/>
    <x v="3"/>
    <s v="네이버 쇼핑검색"/>
    <x v="0"/>
    <x v="0"/>
    <x v="0"/>
    <m/>
    <m/>
    <n v="43350"/>
    <m/>
    <m/>
    <m/>
  </r>
  <r>
    <x v="343"/>
    <x v="4"/>
    <s v="네이버 쇼핑검색"/>
    <x v="0"/>
    <x v="0"/>
    <x v="0"/>
    <m/>
    <m/>
    <n v="47769.99999999999"/>
    <m/>
    <m/>
    <m/>
  </r>
  <r>
    <x v="344"/>
    <x v="1"/>
    <s v="네이버 쇼핑검색"/>
    <x v="0"/>
    <x v="0"/>
    <x v="0"/>
    <m/>
    <m/>
    <n v="63949.99999999999"/>
    <m/>
    <m/>
    <m/>
  </r>
  <r>
    <x v="345"/>
    <x v="0"/>
    <s v="네이버 쇼핑검색"/>
    <x v="0"/>
    <x v="0"/>
    <x v="0"/>
    <m/>
    <m/>
    <n v="46359.99999999999"/>
    <m/>
    <m/>
    <m/>
  </r>
  <r>
    <x v="346"/>
    <x v="2"/>
    <s v="네이버 쇼핑검색"/>
    <x v="0"/>
    <x v="0"/>
    <x v="0"/>
    <m/>
    <m/>
    <n v="28480"/>
    <m/>
    <m/>
    <m/>
  </r>
  <r>
    <x v="347"/>
    <x v="5"/>
    <s v="네이버 쇼핑검색"/>
    <x v="0"/>
    <x v="0"/>
    <x v="0"/>
    <m/>
    <m/>
    <n v="26500"/>
    <m/>
    <m/>
    <m/>
  </r>
  <r>
    <x v="348"/>
    <x v="6"/>
    <s v="네이버 쇼핑검색"/>
    <x v="0"/>
    <x v="0"/>
    <x v="0"/>
    <m/>
    <m/>
    <n v="26850"/>
    <m/>
    <m/>
    <m/>
  </r>
  <r>
    <x v="349"/>
    <x v="3"/>
    <s v="네이버 쇼핑검색"/>
    <x v="0"/>
    <x v="0"/>
    <x v="0"/>
    <m/>
    <m/>
    <n v="34990"/>
    <m/>
    <m/>
    <m/>
  </r>
  <r>
    <x v="350"/>
    <x v="4"/>
    <s v="네이버 쇼핑검색"/>
    <x v="0"/>
    <x v="0"/>
    <x v="0"/>
    <m/>
    <m/>
    <n v="31640"/>
    <m/>
    <m/>
    <m/>
  </r>
  <r>
    <x v="351"/>
    <x v="1"/>
    <s v="네이버 쇼핑검색"/>
    <x v="0"/>
    <x v="0"/>
    <x v="0"/>
    <m/>
    <m/>
    <n v="21910"/>
    <m/>
    <m/>
    <m/>
  </r>
  <r>
    <x v="352"/>
    <x v="0"/>
    <s v="네이버 쇼핑검색"/>
    <x v="0"/>
    <x v="0"/>
    <x v="0"/>
    <m/>
    <m/>
    <n v="35530"/>
    <m/>
    <m/>
    <m/>
  </r>
  <r>
    <x v="338"/>
    <x v="0"/>
    <s v="네이버 브랜드검색"/>
    <x v="0"/>
    <x v="0"/>
    <x v="0"/>
    <m/>
    <m/>
    <n v="50000"/>
    <m/>
    <m/>
    <m/>
  </r>
  <r>
    <x v="339"/>
    <x v="2"/>
    <s v="네이버 브랜드검색"/>
    <x v="0"/>
    <x v="0"/>
    <x v="0"/>
    <m/>
    <m/>
    <n v="50000"/>
    <m/>
    <m/>
    <m/>
  </r>
  <r>
    <x v="340"/>
    <x v="5"/>
    <s v="네이버 브랜드검색"/>
    <x v="0"/>
    <x v="0"/>
    <x v="0"/>
    <m/>
    <m/>
    <n v="50000"/>
    <m/>
    <m/>
    <m/>
  </r>
  <r>
    <x v="341"/>
    <x v="6"/>
    <s v="네이버 브랜드검색"/>
    <x v="0"/>
    <x v="0"/>
    <x v="0"/>
    <m/>
    <m/>
    <n v="50000"/>
    <m/>
    <m/>
    <m/>
  </r>
  <r>
    <x v="342"/>
    <x v="3"/>
    <s v="네이버 브랜드검색"/>
    <x v="0"/>
    <x v="0"/>
    <x v="0"/>
    <m/>
    <m/>
    <n v="50000"/>
    <m/>
    <m/>
    <m/>
  </r>
  <r>
    <x v="343"/>
    <x v="4"/>
    <s v="네이버 브랜드검색"/>
    <x v="0"/>
    <x v="0"/>
    <x v="0"/>
    <m/>
    <m/>
    <n v="50000"/>
    <m/>
    <m/>
    <m/>
  </r>
  <r>
    <x v="344"/>
    <x v="1"/>
    <s v="네이버 브랜드검색"/>
    <x v="0"/>
    <x v="0"/>
    <x v="0"/>
    <m/>
    <m/>
    <n v="50000"/>
    <m/>
    <m/>
    <m/>
  </r>
  <r>
    <x v="345"/>
    <x v="0"/>
    <s v="네이버 브랜드검색"/>
    <x v="0"/>
    <x v="0"/>
    <x v="0"/>
    <m/>
    <m/>
    <n v="50000"/>
    <m/>
    <m/>
    <m/>
  </r>
  <r>
    <x v="346"/>
    <x v="2"/>
    <s v="네이버 브랜드검색"/>
    <x v="0"/>
    <x v="0"/>
    <x v="0"/>
    <m/>
    <m/>
    <n v="50000"/>
    <m/>
    <m/>
    <m/>
  </r>
  <r>
    <x v="347"/>
    <x v="5"/>
    <s v="네이버 브랜드검색"/>
    <x v="0"/>
    <x v="0"/>
    <x v="0"/>
    <m/>
    <m/>
    <n v="50000"/>
    <m/>
    <m/>
    <m/>
  </r>
  <r>
    <x v="348"/>
    <x v="6"/>
    <s v="네이버 브랜드검색"/>
    <x v="0"/>
    <x v="0"/>
    <x v="0"/>
    <m/>
    <m/>
    <n v="50000"/>
    <m/>
    <m/>
    <m/>
  </r>
  <r>
    <x v="349"/>
    <x v="3"/>
    <s v="네이버 브랜드검색"/>
    <x v="0"/>
    <x v="0"/>
    <x v="0"/>
    <m/>
    <m/>
    <n v="50000"/>
    <m/>
    <m/>
    <m/>
  </r>
  <r>
    <x v="350"/>
    <x v="4"/>
    <s v="네이버 브랜드검색"/>
    <x v="0"/>
    <x v="0"/>
    <x v="0"/>
    <m/>
    <m/>
    <n v="50000"/>
    <m/>
    <m/>
    <m/>
  </r>
  <r>
    <x v="351"/>
    <x v="1"/>
    <s v="네이버 브랜드검색"/>
    <x v="0"/>
    <x v="0"/>
    <x v="0"/>
    <m/>
    <m/>
    <n v="50000"/>
    <m/>
    <m/>
    <m/>
  </r>
  <r>
    <x v="352"/>
    <x v="0"/>
    <s v="네이버 브랜드검색"/>
    <x v="0"/>
    <x v="0"/>
    <x v="0"/>
    <m/>
    <m/>
    <n v="50000"/>
    <m/>
    <m/>
    <m/>
  </r>
  <r>
    <x v="350"/>
    <x v="4"/>
    <s v="유튜브 디스커버리"/>
    <x v="0"/>
    <x v="0"/>
    <x v="0"/>
    <m/>
    <m/>
    <n v="31727"/>
    <m/>
    <m/>
    <m/>
  </r>
  <r>
    <x v="351"/>
    <x v="1"/>
    <s v="유튜브 디스커버리"/>
    <x v="0"/>
    <x v="0"/>
    <x v="0"/>
    <m/>
    <m/>
    <n v="738585"/>
    <m/>
    <m/>
    <m/>
  </r>
  <r>
    <x v="350"/>
    <x v="4"/>
    <s v="카카오광고"/>
    <x v="0"/>
    <x v="0"/>
    <x v="0"/>
    <m/>
    <m/>
    <n v="2180"/>
    <m/>
    <m/>
    <m/>
  </r>
  <r>
    <x v="351"/>
    <x v="1"/>
    <s v="카카오광고"/>
    <x v="0"/>
    <x v="0"/>
    <x v="0"/>
    <m/>
    <m/>
    <n v="11020"/>
    <m/>
    <m/>
    <m/>
  </r>
  <r>
    <x v="352"/>
    <x v="0"/>
    <s v="카카오광고"/>
    <x v="0"/>
    <x v="0"/>
    <x v="0"/>
    <m/>
    <m/>
    <n v="13340"/>
    <m/>
    <m/>
    <m/>
  </r>
  <r>
    <x v="344"/>
    <x v="1"/>
    <s v="카카오톡 메시지"/>
    <x v="7"/>
    <x v="0"/>
    <x v="0"/>
    <m/>
    <m/>
    <n v="351765"/>
    <m/>
    <m/>
    <m/>
  </r>
  <r>
    <x v="349"/>
    <x v="3"/>
    <s v="카카오톡 메시지"/>
    <x v="7"/>
    <x v="0"/>
    <x v="0"/>
    <m/>
    <m/>
    <n v="355035"/>
    <m/>
    <m/>
    <m/>
  </r>
  <r>
    <x v="351"/>
    <x v="1"/>
    <s v="카카오톡 메시지"/>
    <x v="7"/>
    <x v="0"/>
    <x v="0"/>
    <m/>
    <m/>
    <n v="355305"/>
    <m/>
    <m/>
    <m/>
  </r>
  <r>
    <x v="352"/>
    <x v="0"/>
    <s v="카카오톡 메시지"/>
    <x v="7"/>
    <x v="0"/>
    <x v="0"/>
    <m/>
    <m/>
    <n v="600"/>
    <m/>
    <m/>
    <m/>
  </r>
  <r>
    <x v="342"/>
    <x v="3"/>
    <s v="문자대표"/>
    <x v="0"/>
    <x v="0"/>
    <x v="0"/>
    <m/>
    <m/>
    <n v="1260"/>
    <m/>
    <m/>
    <m/>
  </r>
  <r>
    <x v="346"/>
    <x v="2"/>
    <s v="문자대표"/>
    <x v="0"/>
    <x v="0"/>
    <x v="0"/>
    <m/>
    <m/>
    <n v="2170"/>
    <m/>
    <m/>
    <m/>
  </r>
  <r>
    <x v="349"/>
    <x v="3"/>
    <s v="문자대표"/>
    <x v="0"/>
    <x v="0"/>
    <x v="0"/>
    <m/>
    <m/>
    <n v="280"/>
    <m/>
    <m/>
    <m/>
  </r>
  <r>
    <x v="352"/>
    <x v="0"/>
    <s v="문자대표"/>
    <x v="0"/>
    <x v="0"/>
    <x v="0"/>
    <m/>
    <m/>
    <n v="23520"/>
    <m/>
    <m/>
    <m/>
  </r>
  <r>
    <x v="335"/>
    <x v="1"/>
    <s v="페이스북/인스타그램"/>
    <x v="5"/>
    <x v="0"/>
    <x v="0"/>
    <m/>
    <m/>
    <n v="185516"/>
    <m/>
    <m/>
    <m/>
  </r>
  <r>
    <x v="338"/>
    <x v="0"/>
    <s v="페이스북/인스타그램"/>
    <x v="5"/>
    <x v="0"/>
    <x v="0"/>
    <m/>
    <m/>
    <n v="331815"/>
    <m/>
    <m/>
    <m/>
  </r>
  <r>
    <x v="339"/>
    <x v="2"/>
    <s v="페이스북/인스타그램"/>
    <x v="5"/>
    <x v="0"/>
    <x v="0"/>
    <m/>
    <m/>
    <n v="335937"/>
    <m/>
    <m/>
    <m/>
  </r>
  <r>
    <x v="340"/>
    <x v="5"/>
    <s v="페이스북/인스타그램"/>
    <x v="5"/>
    <x v="0"/>
    <x v="0"/>
    <m/>
    <m/>
    <n v="213015"/>
    <m/>
    <m/>
    <m/>
  </r>
  <r>
    <x v="341"/>
    <x v="6"/>
    <s v="페이스북/인스타그램"/>
    <x v="5"/>
    <x v="0"/>
    <x v="0"/>
    <m/>
    <m/>
    <n v="312072"/>
    <m/>
    <m/>
    <m/>
  </r>
  <r>
    <x v="342"/>
    <x v="3"/>
    <s v="페이스북/인스타그램"/>
    <x v="5"/>
    <x v="0"/>
    <x v="0"/>
    <m/>
    <m/>
    <n v="719466"/>
    <m/>
    <m/>
    <m/>
  </r>
  <r>
    <x v="343"/>
    <x v="4"/>
    <s v="페이스북/인스타그램"/>
    <x v="5"/>
    <x v="0"/>
    <x v="0"/>
    <m/>
    <m/>
    <n v="744020"/>
    <m/>
    <m/>
    <m/>
  </r>
  <r>
    <x v="344"/>
    <x v="1"/>
    <s v="페이스북/인스타그램"/>
    <x v="5"/>
    <x v="0"/>
    <x v="0"/>
    <m/>
    <m/>
    <n v="552089"/>
    <m/>
    <m/>
    <m/>
  </r>
  <r>
    <x v="345"/>
    <x v="0"/>
    <s v="페이스북/인스타그램"/>
    <x v="5"/>
    <x v="0"/>
    <x v="0"/>
    <m/>
    <m/>
    <n v="445261"/>
    <m/>
    <m/>
    <m/>
  </r>
  <r>
    <x v="346"/>
    <x v="2"/>
    <s v="페이스북/인스타그램"/>
    <x v="5"/>
    <x v="0"/>
    <x v="0"/>
    <m/>
    <m/>
    <n v="105830"/>
    <m/>
    <m/>
    <m/>
  </r>
  <r>
    <x v="352"/>
    <x v="0"/>
    <s v="페이스북/인스타그램"/>
    <x v="5"/>
    <x v="0"/>
    <x v="0"/>
    <m/>
    <m/>
    <n v="216683"/>
    <m/>
    <m/>
    <m/>
  </r>
  <r>
    <x v="353"/>
    <x v="2"/>
    <s v="페이스북/인스타그램"/>
    <x v="0"/>
    <x v="0"/>
    <x v="0"/>
    <m/>
    <m/>
    <n v="235543"/>
    <m/>
    <m/>
    <m/>
  </r>
  <r>
    <x v="354"/>
    <x v="5"/>
    <s v="페이스북/인스타그램"/>
    <x v="0"/>
    <x v="0"/>
    <x v="0"/>
    <m/>
    <m/>
    <n v="148761"/>
    <m/>
    <m/>
    <m/>
  </r>
  <r>
    <x v="355"/>
    <x v="6"/>
    <s v="페이스북/인스타그램"/>
    <x v="0"/>
    <x v="0"/>
    <x v="0"/>
    <m/>
    <m/>
    <n v="208582"/>
    <m/>
    <m/>
    <m/>
  </r>
  <r>
    <x v="356"/>
    <x v="3"/>
    <s v="페이스북/인스타그램"/>
    <x v="0"/>
    <x v="0"/>
    <x v="0"/>
    <m/>
    <m/>
    <n v="246690"/>
    <m/>
    <m/>
    <m/>
  </r>
  <r>
    <x v="357"/>
    <x v="4"/>
    <s v="페이스북/인스타그램"/>
    <x v="0"/>
    <x v="0"/>
    <x v="0"/>
    <m/>
    <m/>
    <n v="253011"/>
    <m/>
    <m/>
    <m/>
  </r>
  <r>
    <x v="358"/>
    <x v="1"/>
    <s v="페이스북/인스타그램"/>
    <x v="0"/>
    <x v="0"/>
    <x v="0"/>
    <m/>
    <m/>
    <n v="254590"/>
    <m/>
    <m/>
    <m/>
  </r>
  <r>
    <x v="359"/>
    <x v="0"/>
    <s v="페이스북/인스타그램"/>
    <x v="0"/>
    <x v="0"/>
    <x v="0"/>
    <m/>
    <m/>
    <n v="211902"/>
    <m/>
    <m/>
    <m/>
  </r>
  <r>
    <x v="360"/>
    <x v="2"/>
    <s v="페이스북/인스타그램"/>
    <x v="0"/>
    <x v="0"/>
    <x v="0"/>
    <m/>
    <m/>
    <n v="158698"/>
    <m/>
    <m/>
    <m/>
  </r>
  <r>
    <x v="361"/>
    <x v="5"/>
    <s v="페이스북/인스타그램"/>
    <x v="0"/>
    <x v="0"/>
    <x v="0"/>
    <m/>
    <m/>
    <n v="100022"/>
    <m/>
    <m/>
    <m/>
  </r>
  <r>
    <x v="362"/>
    <x v="6"/>
    <s v="페이스북/인스타그램"/>
    <x v="0"/>
    <x v="0"/>
    <x v="0"/>
    <m/>
    <m/>
    <n v="71603"/>
    <m/>
    <m/>
    <m/>
  </r>
  <r>
    <x v="363"/>
    <x v="3"/>
    <s v="페이스북/인스타그램"/>
    <x v="0"/>
    <x v="0"/>
    <x v="0"/>
    <m/>
    <m/>
    <n v="102072"/>
    <m/>
    <m/>
    <m/>
  </r>
  <r>
    <x v="364"/>
    <x v="4"/>
    <s v="페이스북/인스타그램"/>
    <x v="0"/>
    <x v="0"/>
    <x v="0"/>
    <m/>
    <m/>
    <n v="102929"/>
    <m/>
    <m/>
    <m/>
  </r>
  <r>
    <x v="365"/>
    <x v="1"/>
    <s v="페이스북/인스타그램"/>
    <x v="0"/>
    <x v="0"/>
    <x v="0"/>
    <m/>
    <m/>
    <n v="103665"/>
    <m/>
    <m/>
    <m/>
  </r>
  <r>
    <x v="366"/>
    <x v="0"/>
    <s v="페이스북/인스타그램"/>
    <x v="0"/>
    <x v="0"/>
    <x v="0"/>
    <m/>
    <m/>
    <n v="105706"/>
    <m/>
    <m/>
    <m/>
  </r>
  <r>
    <x v="367"/>
    <x v="2"/>
    <s v="페이스북/인스타그램"/>
    <x v="0"/>
    <x v="0"/>
    <x v="0"/>
    <m/>
    <m/>
    <n v="106104"/>
    <m/>
    <m/>
    <m/>
  </r>
  <r>
    <x v="368"/>
    <x v="5"/>
    <s v="페이스북/인스타그램"/>
    <x v="0"/>
    <x v="0"/>
    <x v="0"/>
    <m/>
    <m/>
    <n v="107897"/>
    <m/>
    <m/>
    <m/>
  </r>
  <r>
    <x v="369"/>
    <x v="6"/>
    <s v="페이스북/인스타그램"/>
    <x v="0"/>
    <x v="0"/>
    <x v="0"/>
    <m/>
    <m/>
    <n v="100068"/>
    <m/>
    <m/>
    <m/>
  </r>
  <r>
    <x v="358"/>
    <x v="1"/>
    <s v="페이스북/인스타그램"/>
    <x v="8"/>
    <x v="0"/>
    <x v="0"/>
    <m/>
    <m/>
    <n v="19472"/>
    <m/>
    <m/>
    <m/>
  </r>
  <r>
    <x v="359"/>
    <x v="0"/>
    <s v="페이스북/인스타그램"/>
    <x v="8"/>
    <x v="0"/>
    <x v="0"/>
    <m/>
    <m/>
    <n v="96089"/>
    <m/>
    <m/>
    <m/>
  </r>
  <r>
    <x v="360"/>
    <x v="2"/>
    <s v="페이스북/인스타그램"/>
    <x v="8"/>
    <x v="0"/>
    <x v="0"/>
    <m/>
    <m/>
    <n v="154130"/>
    <m/>
    <m/>
    <m/>
  </r>
  <r>
    <x v="361"/>
    <x v="5"/>
    <s v="페이스북/인스타그램"/>
    <x v="8"/>
    <x v="0"/>
    <x v="0"/>
    <m/>
    <m/>
    <n v="185811"/>
    <m/>
    <m/>
    <m/>
  </r>
  <r>
    <x v="362"/>
    <x v="6"/>
    <s v="페이스북/인스타그램"/>
    <x v="8"/>
    <x v="0"/>
    <x v="0"/>
    <m/>
    <m/>
    <n v="265705"/>
    <m/>
    <m/>
    <m/>
  </r>
  <r>
    <x v="356"/>
    <x v="3"/>
    <s v="페이스북/인스타그램"/>
    <x v="7"/>
    <x v="0"/>
    <x v="0"/>
    <m/>
    <m/>
    <n v="177775"/>
    <m/>
    <m/>
    <m/>
  </r>
  <r>
    <x v="357"/>
    <x v="4"/>
    <s v="페이스북/인스타그램"/>
    <x v="7"/>
    <x v="0"/>
    <x v="0"/>
    <m/>
    <m/>
    <n v="306041"/>
    <m/>
    <m/>
    <m/>
  </r>
  <r>
    <x v="358"/>
    <x v="1"/>
    <s v="페이스북/인스타그램"/>
    <x v="7"/>
    <x v="0"/>
    <x v="0"/>
    <m/>
    <m/>
    <n v="433832"/>
    <m/>
    <m/>
    <m/>
  </r>
  <r>
    <x v="359"/>
    <x v="0"/>
    <s v="페이스북/인스타그램"/>
    <x v="7"/>
    <x v="0"/>
    <x v="0"/>
    <m/>
    <m/>
    <n v="603519"/>
    <m/>
    <m/>
    <m/>
  </r>
  <r>
    <x v="360"/>
    <x v="2"/>
    <s v="페이스북/인스타그램"/>
    <x v="7"/>
    <x v="0"/>
    <x v="0"/>
    <m/>
    <m/>
    <n v="570376"/>
    <m/>
    <m/>
    <m/>
  </r>
  <r>
    <x v="361"/>
    <x v="5"/>
    <s v="페이스북/인스타그램"/>
    <x v="7"/>
    <x v="0"/>
    <x v="0"/>
    <m/>
    <m/>
    <n v="392415"/>
    <m/>
    <m/>
    <m/>
  </r>
  <r>
    <x v="362"/>
    <x v="6"/>
    <s v="페이스북/인스타그램"/>
    <x v="7"/>
    <x v="0"/>
    <x v="0"/>
    <m/>
    <m/>
    <n v="680858"/>
    <m/>
    <m/>
    <m/>
  </r>
  <r>
    <x v="363"/>
    <x v="3"/>
    <s v="페이스북/인스타그램"/>
    <x v="7"/>
    <x v="0"/>
    <x v="0"/>
    <m/>
    <m/>
    <n v="740050"/>
    <m/>
    <m/>
    <m/>
  </r>
  <r>
    <x v="364"/>
    <x v="4"/>
    <s v="페이스북/인스타그램"/>
    <x v="7"/>
    <x v="0"/>
    <x v="0"/>
    <m/>
    <m/>
    <n v="465992"/>
    <m/>
    <m/>
    <m/>
  </r>
  <r>
    <x v="365"/>
    <x v="1"/>
    <s v="페이스북/인스타그램"/>
    <x v="7"/>
    <x v="0"/>
    <x v="0"/>
    <m/>
    <m/>
    <n v="232280"/>
    <m/>
    <m/>
    <m/>
  </r>
  <r>
    <x v="366"/>
    <x v="0"/>
    <s v="페이스북/인스타그램"/>
    <x v="7"/>
    <x v="0"/>
    <x v="0"/>
    <m/>
    <m/>
    <n v="197082"/>
    <m/>
    <m/>
    <m/>
  </r>
  <r>
    <x v="367"/>
    <x v="2"/>
    <s v="페이스북/인스타그램"/>
    <x v="7"/>
    <x v="0"/>
    <x v="0"/>
    <m/>
    <m/>
    <n v="196868"/>
    <m/>
    <m/>
    <m/>
  </r>
  <r>
    <x v="368"/>
    <x v="5"/>
    <s v="페이스북/인스타그램"/>
    <x v="7"/>
    <x v="0"/>
    <x v="0"/>
    <m/>
    <m/>
    <n v="253700"/>
    <m/>
    <m/>
    <m/>
  </r>
  <r>
    <x v="369"/>
    <x v="6"/>
    <s v="페이스북/인스타그램"/>
    <x v="7"/>
    <x v="0"/>
    <x v="0"/>
    <m/>
    <m/>
    <n v="529548"/>
    <m/>
    <m/>
    <m/>
  </r>
  <r>
    <x v="353"/>
    <x v="2"/>
    <s v="페이스북/인스타그램"/>
    <x v="5"/>
    <x v="0"/>
    <x v="0"/>
    <m/>
    <m/>
    <n v="195501"/>
    <m/>
    <m/>
    <m/>
  </r>
  <r>
    <x v="354"/>
    <x v="5"/>
    <s v="페이스북/인스타그램"/>
    <x v="5"/>
    <x v="0"/>
    <x v="0"/>
    <m/>
    <m/>
    <n v="178475"/>
    <m/>
    <m/>
    <m/>
  </r>
  <r>
    <x v="355"/>
    <x v="6"/>
    <s v="페이스북/인스타그램"/>
    <x v="5"/>
    <x v="0"/>
    <x v="0"/>
    <m/>
    <m/>
    <n v="141041"/>
    <m/>
    <m/>
    <m/>
  </r>
  <r>
    <x v="356"/>
    <x v="3"/>
    <s v="페이스북/인스타그램"/>
    <x v="5"/>
    <x v="0"/>
    <x v="0"/>
    <m/>
    <m/>
    <n v="223709"/>
    <m/>
    <m/>
    <m/>
  </r>
  <r>
    <x v="357"/>
    <x v="4"/>
    <s v="페이스북/인스타그램"/>
    <x v="5"/>
    <x v="0"/>
    <x v="0"/>
    <m/>
    <m/>
    <n v="147153"/>
    <m/>
    <m/>
    <m/>
  </r>
  <r>
    <x v="359"/>
    <x v="0"/>
    <s v="페이스북/인스타그램"/>
    <x v="5"/>
    <x v="0"/>
    <x v="0"/>
    <m/>
    <m/>
    <n v="48070"/>
    <m/>
    <m/>
    <m/>
  </r>
  <r>
    <x v="360"/>
    <x v="2"/>
    <s v="페이스북/인스타그램"/>
    <x v="5"/>
    <x v="0"/>
    <x v="0"/>
    <m/>
    <m/>
    <n v="188083"/>
    <m/>
    <m/>
    <m/>
  </r>
  <r>
    <x v="361"/>
    <x v="5"/>
    <s v="페이스북/인스타그램"/>
    <x v="5"/>
    <x v="0"/>
    <x v="0"/>
    <m/>
    <m/>
    <n v="552436"/>
    <m/>
    <m/>
    <m/>
  </r>
  <r>
    <x v="362"/>
    <x v="6"/>
    <s v="페이스북/인스타그램"/>
    <x v="5"/>
    <x v="0"/>
    <x v="0"/>
    <m/>
    <m/>
    <n v="452018"/>
    <m/>
    <m/>
    <m/>
  </r>
  <r>
    <x v="363"/>
    <x v="3"/>
    <s v="페이스북/인스타그램"/>
    <x v="5"/>
    <x v="0"/>
    <x v="0"/>
    <m/>
    <m/>
    <n v="337484"/>
    <m/>
    <m/>
    <m/>
  </r>
  <r>
    <x v="364"/>
    <x v="4"/>
    <s v="페이스북/인스타그램"/>
    <x v="5"/>
    <x v="0"/>
    <x v="0"/>
    <m/>
    <m/>
    <n v="323865"/>
    <m/>
    <m/>
    <m/>
  </r>
  <r>
    <x v="365"/>
    <x v="1"/>
    <s v="페이스북/인스타그램"/>
    <x v="5"/>
    <x v="0"/>
    <x v="0"/>
    <m/>
    <m/>
    <n v="111371"/>
    <m/>
    <m/>
    <m/>
  </r>
  <r>
    <x v="366"/>
    <x v="0"/>
    <s v="페이스북/인스타그램"/>
    <x v="5"/>
    <x v="0"/>
    <x v="0"/>
    <m/>
    <m/>
    <n v="7061"/>
    <m/>
    <m/>
    <m/>
  </r>
  <r>
    <x v="367"/>
    <x v="2"/>
    <s v="페이스북/인스타그램"/>
    <x v="5"/>
    <x v="0"/>
    <x v="0"/>
    <m/>
    <m/>
    <n v="101079"/>
    <m/>
    <m/>
    <m/>
  </r>
  <r>
    <x v="368"/>
    <x v="5"/>
    <s v="페이스북/인스타그램"/>
    <x v="5"/>
    <x v="0"/>
    <x v="0"/>
    <m/>
    <m/>
    <n v="248465"/>
    <m/>
    <m/>
    <m/>
  </r>
  <r>
    <x v="369"/>
    <x v="6"/>
    <s v="페이스북/인스타그램"/>
    <x v="5"/>
    <x v="0"/>
    <x v="0"/>
    <m/>
    <m/>
    <n v="500289"/>
    <m/>
    <m/>
    <m/>
  </r>
  <r>
    <x v="354"/>
    <x v="5"/>
    <s v="네이버 GFA"/>
    <x v="6"/>
    <x v="0"/>
    <x v="0"/>
    <m/>
    <m/>
    <n v="263.6363636363636"/>
    <m/>
    <m/>
    <m/>
  </r>
  <r>
    <x v="355"/>
    <x v="6"/>
    <s v="네이버 GFA"/>
    <x v="6"/>
    <x v="0"/>
    <x v="0"/>
    <m/>
    <m/>
    <n v="2083.636363636364"/>
    <m/>
    <m/>
    <m/>
  </r>
  <r>
    <x v="353"/>
    <x v="2"/>
    <s v="네이버 GFA"/>
    <x v="0"/>
    <x v="0"/>
    <x v="0"/>
    <m/>
    <m/>
    <n v="120660"/>
    <m/>
    <m/>
    <m/>
  </r>
  <r>
    <x v="354"/>
    <x v="5"/>
    <s v="네이버 GFA"/>
    <x v="0"/>
    <x v="0"/>
    <x v="0"/>
    <m/>
    <m/>
    <n v="115405.4545454545"/>
    <m/>
    <m/>
    <m/>
  </r>
  <r>
    <x v="355"/>
    <x v="6"/>
    <s v="네이버 GFA"/>
    <x v="0"/>
    <x v="0"/>
    <x v="0"/>
    <m/>
    <m/>
    <n v="114250"/>
    <m/>
    <m/>
    <m/>
  </r>
  <r>
    <x v="356"/>
    <x v="3"/>
    <s v="네이버 GFA"/>
    <x v="0"/>
    <x v="0"/>
    <x v="0"/>
    <m/>
    <m/>
    <n v="78933.63636363635"/>
    <m/>
    <m/>
    <m/>
  </r>
  <r>
    <x v="357"/>
    <x v="4"/>
    <s v="네이버 GFA"/>
    <x v="0"/>
    <x v="0"/>
    <x v="0"/>
    <m/>
    <m/>
    <n v="182068.1818181818"/>
    <m/>
    <m/>
    <m/>
  </r>
  <r>
    <x v="358"/>
    <x v="1"/>
    <s v="네이버 GFA"/>
    <x v="0"/>
    <x v="0"/>
    <x v="0"/>
    <m/>
    <m/>
    <n v="190875.4545454545"/>
    <m/>
    <m/>
    <m/>
  </r>
  <r>
    <x v="359"/>
    <x v="0"/>
    <s v="네이버 GFA"/>
    <x v="0"/>
    <x v="0"/>
    <x v="0"/>
    <m/>
    <m/>
    <n v="258735.4545454545"/>
    <m/>
    <m/>
    <m/>
  </r>
  <r>
    <x v="360"/>
    <x v="2"/>
    <s v="네이버 GFA"/>
    <x v="0"/>
    <x v="0"/>
    <x v="0"/>
    <m/>
    <m/>
    <n v="206150.9090909091"/>
    <m/>
    <m/>
    <m/>
  </r>
  <r>
    <x v="361"/>
    <x v="5"/>
    <s v="네이버 GFA"/>
    <x v="0"/>
    <x v="0"/>
    <x v="0"/>
    <m/>
    <m/>
    <n v="122402.7272727273"/>
    <m/>
    <m/>
    <m/>
  </r>
  <r>
    <x v="362"/>
    <x v="6"/>
    <s v="네이버 GFA"/>
    <x v="0"/>
    <x v="0"/>
    <x v="0"/>
    <m/>
    <m/>
    <n v="119765.4545454545"/>
    <m/>
    <m/>
    <m/>
  </r>
  <r>
    <x v="363"/>
    <x v="3"/>
    <s v="네이버 GFA"/>
    <x v="0"/>
    <x v="0"/>
    <x v="0"/>
    <m/>
    <m/>
    <n v="138131.8181818182"/>
    <m/>
    <m/>
    <m/>
  </r>
  <r>
    <x v="364"/>
    <x v="4"/>
    <s v="네이버 GFA"/>
    <x v="0"/>
    <x v="0"/>
    <x v="0"/>
    <m/>
    <m/>
    <n v="73740"/>
    <m/>
    <m/>
    <m/>
  </r>
  <r>
    <x v="365"/>
    <x v="1"/>
    <s v="네이버 GFA"/>
    <x v="0"/>
    <x v="0"/>
    <x v="0"/>
    <m/>
    <m/>
    <n v="81552.72727272726"/>
    <m/>
    <m/>
    <m/>
  </r>
  <r>
    <x v="366"/>
    <x v="0"/>
    <s v="네이버 GFA"/>
    <x v="0"/>
    <x v="0"/>
    <x v="0"/>
    <m/>
    <m/>
    <n v="94656"/>
    <m/>
    <m/>
    <m/>
  </r>
  <r>
    <x v="367"/>
    <x v="2"/>
    <s v="네이버 GFA"/>
    <x v="0"/>
    <x v="0"/>
    <x v="0"/>
    <m/>
    <m/>
    <n v="94028.99999999999"/>
    <m/>
    <m/>
    <m/>
  </r>
  <r>
    <x v="368"/>
    <x v="5"/>
    <s v="네이버 GFA"/>
    <x v="0"/>
    <x v="0"/>
    <x v="0"/>
    <m/>
    <m/>
    <n v="92848"/>
    <m/>
    <m/>
    <m/>
  </r>
  <r>
    <x v="369"/>
    <x v="6"/>
    <s v="네이버 GFA"/>
    <x v="0"/>
    <x v="0"/>
    <x v="0"/>
    <m/>
    <m/>
    <n v="91853"/>
    <m/>
    <m/>
    <m/>
  </r>
  <r>
    <x v="353"/>
    <x v="2"/>
    <s v="네이버 쇼핑검색"/>
    <x v="0"/>
    <x v="0"/>
    <x v="0"/>
    <m/>
    <m/>
    <n v="25530"/>
    <m/>
    <m/>
    <m/>
  </r>
  <r>
    <x v="354"/>
    <x v="5"/>
    <s v="네이버 쇼핑검색"/>
    <x v="0"/>
    <x v="0"/>
    <x v="0"/>
    <m/>
    <m/>
    <n v="20800"/>
    <m/>
    <m/>
    <m/>
  </r>
  <r>
    <x v="355"/>
    <x v="6"/>
    <s v="네이버 쇼핑검색"/>
    <x v="0"/>
    <x v="0"/>
    <x v="0"/>
    <m/>
    <m/>
    <n v="23990"/>
    <m/>
    <m/>
    <m/>
  </r>
  <r>
    <x v="356"/>
    <x v="3"/>
    <s v="네이버 쇼핑검색"/>
    <x v="0"/>
    <x v="0"/>
    <x v="0"/>
    <m/>
    <m/>
    <n v="24100"/>
    <m/>
    <m/>
    <m/>
  </r>
  <r>
    <x v="357"/>
    <x v="4"/>
    <s v="네이버 쇼핑검색"/>
    <x v="0"/>
    <x v="0"/>
    <x v="0"/>
    <m/>
    <m/>
    <n v="27640"/>
    <m/>
    <m/>
    <m/>
  </r>
  <r>
    <x v="358"/>
    <x v="1"/>
    <s v="네이버 쇼핑검색"/>
    <x v="0"/>
    <x v="0"/>
    <x v="0"/>
    <m/>
    <m/>
    <n v="36400"/>
    <m/>
    <m/>
    <m/>
  </r>
  <r>
    <x v="359"/>
    <x v="0"/>
    <s v="네이버 쇼핑검색"/>
    <x v="0"/>
    <x v="0"/>
    <x v="0"/>
    <m/>
    <m/>
    <n v="33140"/>
    <m/>
    <m/>
    <m/>
  </r>
  <r>
    <x v="360"/>
    <x v="2"/>
    <s v="네이버 쇼핑검색"/>
    <x v="0"/>
    <x v="0"/>
    <x v="0"/>
    <m/>
    <m/>
    <n v="28130"/>
    <m/>
    <m/>
    <m/>
  </r>
  <r>
    <x v="361"/>
    <x v="5"/>
    <s v="네이버 쇼핑검색"/>
    <x v="0"/>
    <x v="0"/>
    <x v="0"/>
    <m/>
    <m/>
    <n v="22180"/>
    <m/>
    <m/>
    <m/>
  </r>
  <r>
    <x v="362"/>
    <x v="6"/>
    <s v="네이버 쇼핑검색"/>
    <x v="0"/>
    <x v="0"/>
    <x v="0"/>
    <m/>
    <m/>
    <n v="24750"/>
    <m/>
    <m/>
    <m/>
  </r>
  <r>
    <x v="363"/>
    <x v="3"/>
    <s v="네이버 쇼핑검색"/>
    <x v="0"/>
    <x v="0"/>
    <x v="0"/>
    <m/>
    <m/>
    <n v="25210"/>
    <m/>
    <m/>
    <m/>
  </r>
  <r>
    <x v="364"/>
    <x v="4"/>
    <s v="네이버 쇼핑검색"/>
    <x v="0"/>
    <x v="0"/>
    <x v="0"/>
    <m/>
    <m/>
    <n v="15970"/>
    <m/>
    <m/>
    <m/>
  </r>
  <r>
    <x v="365"/>
    <x v="1"/>
    <s v="네이버 쇼핑검색"/>
    <x v="0"/>
    <x v="0"/>
    <x v="0"/>
    <m/>
    <m/>
    <n v="18790"/>
    <m/>
    <m/>
    <m/>
  </r>
  <r>
    <x v="366"/>
    <x v="0"/>
    <s v="네이버 쇼핑검색"/>
    <x v="0"/>
    <x v="0"/>
    <x v="0"/>
    <m/>
    <m/>
    <n v="23738"/>
    <m/>
    <m/>
    <m/>
  </r>
  <r>
    <x v="367"/>
    <x v="2"/>
    <s v="네이버 쇼핑검색"/>
    <x v="0"/>
    <x v="0"/>
    <x v="0"/>
    <m/>
    <m/>
    <n v="29062"/>
    <m/>
    <m/>
    <m/>
  </r>
  <r>
    <x v="368"/>
    <x v="5"/>
    <s v="네이버 쇼핑검색"/>
    <x v="0"/>
    <x v="0"/>
    <x v="0"/>
    <m/>
    <m/>
    <n v="29106"/>
    <m/>
    <m/>
    <m/>
  </r>
  <r>
    <x v="369"/>
    <x v="6"/>
    <s v="네이버 쇼핑검색"/>
    <x v="0"/>
    <x v="0"/>
    <x v="0"/>
    <m/>
    <m/>
    <n v="40645"/>
    <m/>
    <m/>
    <m/>
  </r>
  <r>
    <x v="353"/>
    <x v="2"/>
    <s v="네이버 브랜드검색"/>
    <x v="0"/>
    <x v="0"/>
    <x v="0"/>
    <m/>
    <m/>
    <n v="50000"/>
    <m/>
    <m/>
    <m/>
  </r>
  <r>
    <x v="354"/>
    <x v="5"/>
    <s v="네이버 브랜드검색"/>
    <x v="0"/>
    <x v="0"/>
    <x v="0"/>
    <m/>
    <m/>
    <n v="50000"/>
    <m/>
    <m/>
    <m/>
  </r>
  <r>
    <x v="355"/>
    <x v="6"/>
    <s v="네이버 브랜드검색"/>
    <x v="0"/>
    <x v="0"/>
    <x v="0"/>
    <m/>
    <m/>
    <n v="50000"/>
    <m/>
    <m/>
    <m/>
  </r>
  <r>
    <x v="356"/>
    <x v="3"/>
    <s v="네이버 브랜드검색"/>
    <x v="0"/>
    <x v="0"/>
    <x v="0"/>
    <m/>
    <m/>
    <n v="50000"/>
    <m/>
    <m/>
    <m/>
  </r>
  <r>
    <x v="357"/>
    <x v="4"/>
    <s v="네이버 브랜드검색"/>
    <x v="0"/>
    <x v="0"/>
    <x v="0"/>
    <m/>
    <m/>
    <n v="50000"/>
    <m/>
    <m/>
    <m/>
  </r>
  <r>
    <x v="358"/>
    <x v="1"/>
    <s v="네이버 브랜드검색"/>
    <x v="0"/>
    <x v="0"/>
    <x v="0"/>
    <m/>
    <m/>
    <n v="50000"/>
    <m/>
    <m/>
    <m/>
  </r>
  <r>
    <x v="359"/>
    <x v="0"/>
    <s v="네이버 브랜드검색"/>
    <x v="0"/>
    <x v="0"/>
    <x v="0"/>
    <m/>
    <m/>
    <n v="50000"/>
    <m/>
    <m/>
    <m/>
  </r>
  <r>
    <x v="360"/>
    <x v="2"/>
    <s v="네이버 브랜드검색"/>
    <x v="0"/>
    <x v="0"/>
    <x v="0"/>
    <m/>
    <m/>
    <n v="50000"/>
    <m/>
    <m/>
    <m/>
  </r>
  <r>
    <x v="361"/>
    <x v="5"/>
    <s v="네이버 브랜드검색"/>
    <x v="0"/>
    <x v="0"/>
    <x v="0"/>
    <m/>
    <m/>
    <n v="50000"/>
    <m/>
    <m/>
    <m/>
  </r>
  <r>
    <x v="362"/>
    <x v="6"/>
    <s v="네이버 브랜드검색"/>
    <x v="0"/>
    <x v="0"/>
    <x v="0"/>
    <m/>
    <m/>
    <n v="50000"/>
    <m/>
    <m/>
    <m/>
  </r>
  <r>
    <x v="363"/>
    <x v="3"/>
    <s v="네이버 브랜드검색"/>
    <x v="0"/>
    <x v="0"/>
    <x v="0"/>
    <m/>
    <m/>
    <n v="50000"/>
    <m/>
    <m/>
    <m/>
  </r>
  <r>
    <x v="364"/>
    <x v="4"/>
    <s v="네이버 브랜드검색"/>
    <x v="0"/>
    <x v="0"/>
    <x v="0"/>
    <m/>
    <m/>
    <n v="50000"/>
    <m/>
    <m/>
    <m/>
  </r>
  <r>
    <x v="365"/>
    <x v="1"/>
    <s v="네이버 브랜드검색"/>
    <x v="0"/>
    <x v="0"/>
    <x v="0"/>
    <m/>
    <m/>
    <n v="50000"/>
    <m/>
    <m/>
    <m/>
  </r>
  <r>
    <x v="366"/>
    <x v="0"/>
    <s v="네이버 브랜드검색"/>
    <x v="0"/>
    <x v="0"/>
    <x v="0"/>
    <m/>
    <m/>
    <n v="50000"/>
    <m/>
    <m/>
    <m/>
  </r>
  <r>
    <x v="367"/>
    <x v="2"/>
    <s v="네이버 브랜드검색"/>
    <x v="0"/>
    <x v="0"/>
    <x v="0"/>
    <m/>
    <m/>
    <n v="50000"/>
    <m/>
    <m/>
    <m/>
  </r>
  <r>
    <x v="368"/>
    <x v="5"/>
    <s v="네이버 브랜드검색"/>
    <x v="0"/>
    <x v="0"/>
    <x v="0"/>
    <m/>
    <m/>
    <n v="50000"/>
    <m/>
    <m/>
    <m/>
  </r>
  <r>
    <x v="369"/>
    <x v="6"/>
    <s v="네이버 브랜드검색"/>
    <x v="0"/>
    <x v="0"/>
    <x v="0"/>
    <m/>
    <m/>
    <n v="50000"/>
    <m/>
    <m/>
    <m/>
  </r>
  <r>
    <x v="353"/>
    <x v="2"/>
    <s v="카카오광고"/>
    <x v="0"/>
    <x v="0"/>
    <x v="0"/>
    <m/>
    <m/>
    <n v="11850"/>
    <m/>
    <m/>
    <m/>
  </r>
  <r>
    <x v="354"/>
    <x v="5"/>
    <s v="카카오광고"/>
    <x v="0"/>
    <x v="0"/>
    <x v="0"/>
    <m/>
    <m/>
    <n v="8210"/>
    <m/>
    <m/>
    <m/>
  </r>
  <r>
    <x v="355"/>
    <x v="6"/>
    <s v="카카오광고"/>
    <x v="0"/>
    <x v="0"/>
    <x v="0"/>
    <m/>
    <m/>
    <n v="5570"/>
    <m/>
    <m/>
    <m/>
  </r>
  <r>
    <x v="356"/>
    <x v="3"/>
    <s v="카카오광고"/>
    <x v="0"/>
    <x v="0"/>
    <x v="0"/>
    <m/>
    <m/>
    <n v="7659.999999999999"/>
    <m/>
    <m/>
    <m/>
  </r>
  <r>
    <x v="357"/>
    <x v="4"/>
    <s v="카카오광고"/>
    <x v="0"/>
    <x v="0"/>
    <x v="0"/>
    <m/>
    <m/>
    <n v="14830"/>
    <m/>
    <m/>
    <m/>
  </r>
  <r>
    <x v="358"/>
    <x v="1"/>
    <s v="카카오광고"/>
    <x v="0"/>
    <x v="0"/>
    <x v="0"/>
    <m/>
    <m/>
    <n v="6939.999999999999"/>
    <m/>
    <m/>
    <m/>
  </r>
  <r>
    <x v="359"/>
    <x v="0"/>
    <s v="카카오광고"/>
    <x v="0"/>
    <x v="0"/>
    <x v="0"/>
    <m/>
    <m/>
    <n v="7709.999999999999"/>
    <m/>
    <m/>
    <m/>
  </r>
  <r>
    <x v="360"/>
    <x v="2"/>
    <s v="카카오광고"/>
    <x v="0"/>
    <x v="0"/>
    <x v="0"/>
    <m/>
    <m/>
    <n v="14070"/>
    <m/>
    <m/>
    <m/>
  </r>
  <r>
    <x v="361"/>
    <x v="5"/>
    <s v="카카오광고"/>
    <x v="0"/>
    <x v="0"/>
    <x v="0"/>
    <m/>
    <m/>
    <n v="15110"/>
    <m/>
    <m/>
    <m/>
  </r>
  <r>
    <x v="362"/>
    <x v="6"/>
    <s v="카카오광고"/>
    <x v="0"/>
    <x v="0"/>
    <x v="0"/>
    <m/>
    <m/>
    <n v="11460"/>
    <m/>
    <m/>
    <m/>
  </r>
  <r>
    <x v="363"/>
    <x v="3"/>
    <s v="카카오광고"/>
    <x v="0"/>
    <x v="0"/>
    <x v="0"/>
    <m/>
    <m/>
    <n v="12400"/>
    <m/>
    <m/>
    <m/>
  </r>
  <r>
    <x v="364"/>
    <x v="4"/>
    <s v="카카오광고"/>
    <x v="0"/>
    <x v="0"/>
    <x v="0"/>
    <m/>
    <m/>
    <n v="11350"/>
    <m/>
    <m/>
    <m/>
  </r>
  <r>
    <x v="365"/>
    <x v="1"/>
    <s v="카카오광고"/>
    <x v="0"/>
    <x v="0"/>
    <x v="0"/>
    <m/>
    <m/>
    <n v="10740"/>
    <m/>
    <m/>
    <m/>
  </r>
  <r>
    <x v="366"/>
    <x v="0"/>
    <s v="카카오광고"/>
    <x v="0"/>
    <x v="0"/>
    <x v="0"/>
    <m/>
    <m/>
    <n v="9280"/>
    <m/>
    <m/>
    <m/>
  </r>
  <r>
    <x v="367"/>
    <x v="2"/>
    <s v="카카오광고"/>
    <x v="0"/>
    <x v="0"/>
    <x v="0"/>
    <m/>
    <m/>
    <n v="7769.999999999999"/>
    <m/>
    <m/>
    <m/>
  </r>
  <r>
    <x v="368"/>
    <x v="5"/>
    <s v="카카오광고"/>
    <x v="0"/>
    <x v="0"/>
    <x v="0"/>
    <m/>
    <m/>
    <n v="13900"/>
    <m/>
    <m/>
    <m/>
  </r>
  <r>
    <x v="369"/>
    <x v="6"/>
    <s v="카카오광고"/>
    <x v="0"/>
    <x v="0"/>
    <x v="0"/>
    <m/>
    <m/>
    <n v="15540"/>
    <m/>
    <m/>
    <m/>
  </r>
  <r>
    <x v="358"/>
    <x v="1"/>
    <s v="문자대표"/>
    <x v="0"/>
    <x v="0"/>
    <x v="0"/>
    <m/>
    <m/>
    <n v="900"/>
    <m/>
    <m/>
    <m/>
  </r>
  <r>
    <x v="363"/>
    <x v="3"/>
    <s v="문자대표"/>
    <x v="0"/>
    <x v="0"/>
    <x v="0"/>
    <m/>
    <m/>
    <n v="210"/>
    <m/>
    <m/>
    <m/>
  </r>
  <r>
    <x v="355"/>
    <x v="6"/>
    <s v="유튜브 디스커버리"/>
    <x v="0"/>
    <x v="0"/>
    <x v="0"/>
    <m/>
    <m/>
    <n v="716242"/>
    <m/>
    <m/>
    <m/>
  </r>
  <r>
    <x v="356"/>
    <x v="3"/>
    <s v="유튜브 디스커버리"/>
    <x v="0"/>
    <x v="0"/>
    <x v="0"/>
    <m/>
    <m/>
    <n v="365864"/>
    <m/>
    <m/>
    <m/>
  </r>
  <r>
    <x v="357"/>
    <x v="4"/>
    <s v="유튜브 디스커버리"/>
    <x v="0"/>
    <x v="0"/>
    <x v="0"/>
    <m/>
    <m/>
    <n v="13853"/>
    <m/>
    <m/>
    <m/>
  </r>
  <r>
    <x v="358"/>
    <x v="1"/>
    <s v="유튜브 디스커버리"/>
    <x v="0"/>
    <x v="0"/>
    <x v="0"/>
    <m/>
    <m/>
    <n v="733412"/>
    <m/>
    <m/>
    <m/>
  </r>
  <r>
    <x v="359"/>
    <x v="0"/>
    <s v="유튜브 디스커버리"/>
    <x v="0"/>
    <x v="0"/>
    <x v="0"/>
    <m/>
    <m/>
    <n v="312293"/>
    <m/>
    <m/>
    <m/>
  </r>
  <r>
    <x v="362"/>
    <x v="6"/>
    <s v="유튜브 디스커버리"/>
    <x v="0"/>
    <x v="0"/>
    <x v="0"/>
    <m/>
    <m/>
    <n v="627057"/>
    <m/>
    <m/>
    <m/>
  </r>
  <r>
    <x v="368"/>
    <x v="5"/>
    <s v="유튜브 디스커버리"/>
    <x v="0"/>
    <x v="0"/>
    <x v="0"/>
    <m/>
    <m/>
    <n v="842650"/>
    <m/>
    <m/>
    <m/>
  </r>
  <r>
    <x v="369"/>
    <x v="6"/>
    <s v="유튜브 디스커버리"/>
    <x v="0"/>
    <x v="0"/>
    <x v="0"/>
    <m/>
    <m/>
    <n v="945485"/>
    <m/>
    <m/>
    <m/>
  </r>
  <r>
    <x v="370"/>
    <x v="3"/>
    <s v="페이스북/인스타그램"/>
    <x v="0"/>
    <x v="0"/>
    <x v="0"/>
    <m/>
    <m/>
    <n v="162344"/>
    <m/>
    <m/>
    <m/>
  </r>
  <r>
    <x v="371"/>
    <x v="4"/>
    <s v="페이스북/인스타그램"/>
    <x v="0"/>
    <x v="0"/>
    <x v="0"/>
    <m/>
    <m/>
    <n v="299408"/>
    <m/>
    <m/>
    <m/>
  </r>
  <r>
    <x v="372"/>
    <x v="1"/>
    <s v="페이스북/인스타그램"/>
    <x v="0"/>
    <x v="0"/>
    <x v="0"/>
    <m/>
    <m/>
    <n v="60293"/>
    <m/>
    <m/>
    <m/>
  </r>
  <r>
    <x v="370"/>
    <x v="3"/>
    <s v="페이스북/인스타그램"/>
    <x v="8"/>
    <x v="0"/>
    <x v="0"/>
    <m/>
    <m/>
    <n v="128769"/>
    <m/>
    <m/>
    <m/>
  </r>
  <r>
    <x v="371"/>
    <x v="4"/>
    <s v="페이스북/인스타그램"/>
    <x v="8"/>
    <x v="0"/>
    <x v="0"/>
    <m/>
    <m/>
    <n v="286613"/>
    <m/>
    <m/>
    <m/>
  </r>
  <r>
    <x v="372"/>
    <x v="1"/>
    <s v="페이스북/인스타그램"/>
    <x v="8"/>
    <x v="0"/>
    <x v="0"/>
    <m/>
    <m/>
    <n v="294932"/>
    <m/>
    <m/>
    <m/>
  </r>
  <r>
    <x v="373"/>
    <x v="0"/>
    <s v="페이스북/인스타그램"/>
    <x v="8"/>
    <x v="0"/>
    <x v="0"/>
    <m/>
    <m/>
    <n v="226414"/>
    <m/>
    <m/>
    <m/>
  </r>
  <r>
    <x v="374"/>
    <x v="2"/>
    <s v="페이스북/인스타그램"/>
    <x v="8"/>
    <x v="0"/>
    <x v="0"/>
    <m/>
    <m/>
    <n v="101844"/>
    <m/>
    <m/>
    <m/>
  </r>
  <r>
    <x v="375"/>
    <x v="5"/>
    <s v="페이스북/인스타그램"/>
    <x v="8"/>
    <x v="0"/>
    <x v="0"/>
    <m/>
    <m/>
    <n v="94922"/>
    <m/>
    <m/>
    <m/>
  </r>
  <r>
    <x v="376"/>
    <x v="6"/>
    <s v="페이스북/인스타그램"/>
    <x v="8"/>
    <x v="0"/>
    <x v="0"/>
    <m/>
    <m/>
    <n v="154644"/>
    <m/>
    <m/>
    <m/>
  </r>
  <r>
    <x v="377"/>
    <x v="3"/>
    <s v="페이스북/인스타그램"/>
    <x v="8"/>
    <x v="0"/>
    <x v="0"/>
    <m/>
    <m/>
    <n v="163137"/>
    <m/>
    <m/>
    <m/>
  </r>
  <r>
    <x v="378"/>
    <x v="4"/>
    <s v="페이스북/인스타그램"/>
    <x v="8"/>
    <x v="0"/>
    <x v="0"/>
    <m/>
    <m/>
    <n v="169691"/>
    <m/>
    <m/>
    <m/>
  </r>
  <r>
    <x v="379"/>
    <x v="1"/>
    <s v="페이스북/인스타그램"/>
    <x v="8"/>
    <x v="0"/>
    <x v="0"/>
    <m/>
    <m/>
    <n v="242887"/>
    <m/>
    <m/>
    <m/>
  </r>
  <r>
    <x v="380"/>
    <x v="0"/>
    <s v="페이스북/인스타그램"/>
    <x v="8"/>
    <x v="0"/>
    <x v="0"/>
    <m/>
    <m/>
    <n v="366247"/>
    <m/>
    <m/>
    <m/>
  </r>
  <r>
    <x v="381"/>
    <x v="2"/>
    <s v="페이스북/인스타그램"/>
    <x v="8"/>
    <x v="0"/>
    <x v="0"/>
    <m/>
    <m/>
    <n v="204512"/>
    <m/>
    <m/>
    <m/>
  </r>
  <r>
    <x v="382"/>
    <x v="5"/>
    <s v="페이스북/인스타그램"/>
    <x v="8"/>
    <x v="0"/>
    <x v="0"/>
    <m/>
    <m/>
    <n v="72440"/>
    <m/>
    <m/>
    <m/>
  </r>
  <r>
    <x v="383"/>
    <x v="6"/>
    <s v="페이스북/인스타그램"/>
    <x v="8"/>
    <x v="0"/>
    <x v="0"/>
    <m/>
    <m/>
    <n v="104358"/>
    <m/>
    <m/>
    <m/>
  </r>
  <r>
    <x v="384"/>
    <x v="3"/>
    <s v="페이스북/인스타그램"/>
    <x v="8"/>
    <x v="0"/>
    <x v="0"/>
    <m/>
    <m/>
    <n v="156159"/>
    <m/>
    <m/>
    <m/>
  </r>
  <r>
    <x v="370"/>
    <x v="3"/>
    <s v="페이스북/인스타그램"/>
    <x v="7"/>
    <x v="0"/>
    <x v="0"/>
    <m/>
    <m/>
    <n v="779174"/>
    <m/>
    <m/>
    <m/>
  </r>
  <r>
    <x v="371"/>
    <x v="4"/>
    <s v="페이스북/인스타그램"/>
    <x v="7"/>
    <x v="0"/>
    <x v="0"/>
    <m/>
    <m/>
    <n v="822603"/>
    <m/>
    <m/>
    <m/>
  </r>
  <r>
    <x v="372"/>
    <x v="1"/>
    <s v="페이스북/인스타그램"/>
    <x v="7"/>
    <x v="0"/>
    <x v="0"/>
    <m/>
    <m/>
    <n v="323746"/>
    <m/>
    <m/>
    <m/>
  </r>
  <r>
    <x v="370"/>
    <x v="3"/>
    <s v="페이스북/인스타그램"/>
    <x v="5"/>
    <x v="0"/>
    <x v="0"/>
    <m/>
    <m/>
    <n v="376554"/>
    <m/>
    <m/>
    <m/>
  </r>
  <r>
    <x v="371"/>
    <x v="4"/>
    <s v="페이스북/인스타그램"/>
    <x v="5"/>
    <x v="0"/>
    <x v="0"/>
    <m/>
    <m/>
    <n v="317503"/>
    <m/>
    <m/>
    <m/>
  </r>
  <r>
    <x v="372"/>
    <x v="1"/>
    <s v="페이스북/인스타그램"/>
    <x v="5"/>
    <x v="0"/>
    <x v="0"/>
    <m/>
    <m/>
    <n v="267187"/>
    <m/>
    <m/>
    <m/>
  </r>
  <r>
    <x v="373"/>
    <x v="0"/>
    <s v="페이스북/인스타그램"/>
    <x v="5"/>
    <x v="0"/>
    <x v="0"/>
    <m/>
    <m/>
    <n v="264361"/>
    <m/>
    <m/>
    <m/>
  </r>
  <r>
    <x v="374"/>
    <x v="2"/>
    <s v="페이스북/인스타그램"/>
    <x v="5"/>
    <x v="0"/>
    <x v="0"/>
    <m/>
    <m/>
    <n v="228009"/>
    <m/>
    <m/>
    <m/>
  </r>
  <r>
    <x v="375"/>
    <x v="5"/>
    <s v="페이스북/인스타그램"/>
    <x v="5"/>
    <x v="0"/>
    <x v="0"/>
    <m/>
    <m/>
    <n v="114163"/>
    <m/>
    <m/>
    <m/>
  </r>
  <r>
    <x v="376"/>
    <x v="6"/>
    <s v="페이스북/인스타그램"/>
    <x v="5"/>
    <x v="0"/>
    <x v="0"/>
    <m/>
    <m/>
    <n v="166660"/>
    <m/>
    <m/>
    <m/>
  </r>
  <r>
    <x v="377"/>
    <x v="3"/>
    <s v="페이스북/인스타그램"/>
    <x v="5"/>
    <x v="0"/>
    <x v="0"/>
    <m/>
    <m/>
    <n v="117470"/>
    <m/>
    <m/>
    <m/>
  </r>
  <r>
    <x v="378"/>
    <x v="4"/>
    <s v="페이스북/인스타그램"/>
    <x v="5"/>
    <x v="0"/>
    <x v="0"/>
    <m/>
    <m/>
    <n v="119686"/>
    <m/>
    <m/>
    <m/>
  </r>
  <r>
    <x v="379"/>
    <x v="1"/>
    <s v="페이스북/인스타그램"/>
    <x v="5"/>
    <x v="0"/>
    <x v="0"/>
    <m/>
    <m/>
    <n v="146644"/>
    <m/>
    <m/>
    <m/>
  </r>
  <r>
    <x v="380"/>
    <x v="0"/>
    <s v="페이스북/인스타그램"/>
    <x v="5"/>
    <x v="0"/>
    <x v="0"/>
    <m/>
    <m/>
    <n v="158624"/>
    <m/>
    <m/>
    <m/>
  </r>
  <r>
    <x v="381"/>
    <x v="2"/>
    <s v="페이스북/인스타그램"/>
    <x v="5"/>
    <x v="0"/>
    <x v="0"/>
    <m/>
    <m/>
    <n v="116627"/>
    <m/>
    <m/>
    <m/>
  </r>
  <r>
    <x v="382"/>
    <x v="5"/>
    <s v="페이스북/인스타그램"/>
    <x v="5"/>
    <x v="0"/>
    <x v="0"/>
    <m/>
    <m/>
    <n v="106812"/>
    <m/>
    <m/>
    <m/>
  </r>
  <r>
    <x v="383"/>
    <x v="6"/>
    <s v="페이스북/인스타그램"/>
    <x v="5"/>
    <x v="0"/>
    <x v="0"/>
    <m/>
    <m/>
    <n v="81251"/>
    <m/>
    <m/>
    <m/>
  </r>
  <r>
    <x v="384"/>
    <x v="3"/>
    <s v="페이스북/인스타그램"/>
    <x v="5"/>
    <x v="0"/>
    <x v="0"/>
    <m/>
    <m/>
    <n v="104094"/>
    <m/>
    <m/>
    <m/>
  </r>
  <r>
    <x v="370"/>
    <x v="3"/>
    <s v="페이스북/인스타그램"/>
    <x v="9"/>
    <x v="0"/>
    <x v="0"/>
    <m/>
    <m/>
    <n v="11288"/>
    <m/>
    <m/>
    <m/>
  </r>
  <r>
    <x v="371"/>
    <x v="4"/>
    <s v="페이스북/인스타그램"/>
    <x v="9"/>
    <x v="0"/>
    <x v="0"/>
    <m/>
    <m/>
    <n v="94622"/>
    <m/>
    <m/>
    <m/>
  </r>
  <r>
    <x v="372"/>
    <x v="1"/>
    <s v="페이스북/인스타그램"/>
    <x v="9"/>
    <x v="0"/>
    <x v="0"/>
    <m/>
    <m/>
    <n v="170932"/>
    <m/>
    <m/>
    <m/>
  </r>
  <r>
    <x v="373"/>
    <x v="0"/>
    <s v="페이스북/인스타그램"/>
    <x v="9"/>
    <x v="0"/>
    <x v="0"/>
    <m/>
    <m/>
    <n v="100272"/>
    <m/>
    <m/>
    <m/>
  </r>
  <r>
    <x v="374"/>
    <x v="2"/>
    <s v="페이스북/인스타그램"/>
    <x v="9"/>
    <x v="0"/>
    <x v="0"/>
    <m/>
    <m/>
    <n v="93488"/>
    <m/>
    <m/>
    <m/>
  </r>
  <r>
    <x v="375"/>
    <x v="5"/>
    <s v="페이스북/인스타그램"/>
    <x v="9"/>
    <x v="0"/>
    <x v="0"/>
    <m/>
    <m/>
    <n v="54017"/>
    <m/>
    <m/>
    <m/>
  </r>
  <r>
    <x v="376"/>
    <x v="6"/>
    <s v="페이스북/인스타그램"/>
    <x v="9"/>
    <x v="0"/>
    <x v="0"/>
    <m/>
    <m/>
    <n v="50176"/>
    <m/>
    <m/>
    <m/>
  </r>
  <r>
    <x v="377"/>
    <x v="3"/>
    <s v="페이스북/인스타그램"/>
    <x v="9"/>
    <x v="0"/>
    <x v="0"/>
    <m/>
    <m/>
    <n v="54792"/>
    <m/>
    <m/>
    <m/>
  </r>
  <r>
    <x v="378"/>
    <x v="4"/>
    <s v="페이스북/인스타그램"/>
    <x v="9"/>
    <x v="0"/>
    <x v="0"/>
    <m/>
    <m/>
    <n v="147188"/>
    <m/>
    <m/>
    <m/>
  </r>
  <r>
    <x v="379"/>
    <x v="1"/>
    <s v="페이스북/인스타그램"/>
    <x v="9"/>
    <x v="0"/>
    <x v="0"/>
    <m/>
    <m/>
    <n v="511957"/>
    <m/>
    <m/>
    <m/>
  </r>
  <r>
    <x v="380"/>
    <x v="0"/>
    <s v="페이스북/인스타그램"/>
    <x v="9"/>
    <x v="0"/>
    <x v="0"/>
    <m/>
    <m/>
    <n v="262634"/>
    <m/>
    <m/>
    <m/>
  </r>
  <r>
    <x v="381"/>
    <x v="2"/>
    <s v="페이스북/인스타그램"/>
    <x v="9"/>
    <x v="0"/>
    <x v="0"/>
    <m/>
    <m/>
    <n v="284781"/>
    <m/>
    <m/>
    <m/>
  </r>
  <r>
    <x v="382"/>
    <x v="5"/>
    <s v="페이스북/인스타그램"/>
    <x v="9"/>
    <x v="0"/>
    <x v="0"/>
    <m/>
    <m/>
    <n v="453685"/>
    <m/>
    <m/>
    <m/>
  </r>
  <r>
    <x v="383"/>
    <x v="6"/>
    <s v="페이스북/인스타그램"/>
    <x v="9"/>
    <x v="0"/>
    <x v="0"/>
    <m/>
    <m/>
    <n v="448994"/>
    <m/>
    <m/>
    <m/>
  </r>
  <r>
    <x v="384"/>
    <x v="3"/>
    <s v="페이스북/인스타그램"/>
    <x v="9"/>
    <x v="0"/>
    <x v="0"/>
    <m/>
    <m/>
    <n v="1196397"/>
    <m/>
    <m/>
    <m/>
  </r>
  <r>
    <x v="370"/>
    <x v="3"/>
    <s v="네이버 GFA"/>
    <x v="0"/>
    <x v="0"/>
    <x v="0"/>
    <m/>
    <m/>
    <n v="113605.7851239673"/>
    <m/>
    <m/>
    <m/>
  </r>
  <r>
    <x v="371"/>
    <x v="4"/>
    <s v="네이버 GFA"/>
    <x v="0"/>
    <x v="0"/>
    <x v="0"/>
    <m/>
    <m/>
    <n v="97124.79338842999"/>
    <m/>
    <m/>
    <m/>
  </r>
  <r>
    <x v="370"/>
    <x v="3"/>
    <s v="네이버 쇼핑검색"/>
    <x v="0"/>
    <x v="0"/>
    <x v="0"/>
    <m/>
    <m/>
    <n v="32770"/>
    <m/>
    <m/>
    <m/>
  </r>
  <r>
    <x v="371"/>
    <x v="4"/>
    <s v="네이버 쇼핑검색"/>
    <x v="0"/>
    <x v="0"/>
    <x v="0"/>
    <m/>
    <m/>
    <n v="22450"/>
    <m/>
    <m/>
    <m/>
  </r>
  <r>
    <x v="371"/>
    <x v="4"/>
    <s v="유튜브 디스커버리"/>
    <x v="0"/>
    <x v="0"/>
    <x v="0"/>
    <m/>
    <m/>
    <n v="1829630"/>
    <m/>
    <m/>
    <m/>
  </r>
  <r>
    <x v="370"/>
    <x v="3"/>
    <s v="네이버 브랜드검색"/>
    <x v="0"/>
    <x v="0"/>
    <x v="0"/>
    <m/>
    <m/>
    <n v="50000"/>
    <m/>
    <m/>
    <m/>
  </r>
  <r>
    <x v="371"/>
    <x v="4"/>
    <s v="네이버 브랜드검색"/>
    <x v="0"/>
    <x v="0"/>
    <x v="0"/>
    <m/>
    <m/>
    <n v="50000"/>
    <m/>
    <m/>
    <m/>
  </r>
  <r>
    <x v="372"/>
    <x v="1"/>
    <s v="네이버 브랜드검색"/>
    <x v="0"/>
    <x v="0"/>
    <x v="0"/>
    <m/>
    <m/>
    <n v="50000"/>
    <m/>
    <m/>
    <m/>
  </r>
  <r>
    <x v="373"/>
    <x v="0"/>
    <s v="네이버 브랜드검색"/>
    <x v="0"/>
    <x v="0"/>
    <x v="0"/>
    <m/>
    <m/>
    <n v="50000"/>
    <m/>
    <m/>
    <m/>
  </r>
  <r>
    <x v="374"/>
    <x v="2"/>
    <s v="네이버 브랜드검색"/>
    <x v="0"/>
    <x v="0"/>
    <x v="0"/>
    <m/>
    <m/>
    <n v="50000"/>
    <m/>
    <m/>
    <m/>
  </r>
  <r>
    <x v="375"/>
    <x v="5"/>
    <s v="네이버 브랜드검색"/>
    <x v="0"/>
    <x v="0"/>
    <x v="0"/>
    <m/>
    <m/>
    <n v="50000"/>
    <m/>
    <m/>
    <m/>
  </r>
  <r>
    <x v="376"/>
    <x v="6"/>
    <s v="네이버 브랜드검색"/>
    <x v="0"/>
    <x v="0"/>
    <x v="0"/>
    <m/>
    <m/>
    <n v="50000"/>
    <m/>
    <m/>
    <m/>
  </r>
  <r>
    <x v="377"/>
    <x v="3"/>
    <s v="네이버 브랜드검색"/>
    <x v="0"/>
    <x v="0"/>
    <x v="0"/>
    <m/>
    <m/>
    <n v="50000"/>
    <m/>
    <m/>
    <m/>
  </r>
  <r>
    <x v="378"/>
    <x v="4"/>
    <s v="네이버 브랜드검색"/>
    <x v="0"/>
    <x v="0"/>
    <x v="0"/>
    <m/>
    <m/>
    <n v="50000"/>
    <m/>
    <m/>
    <m/>
  </r>
  <r>
    <x v="379"/>
    <x v="1"/>
    <s v="네이버 브랜드검색"/>
    <x v="0"/>
    <x v="0"/>
    <x v="0"/>
    <m/>
    <m/>
    <n v="50000"/>
    <m/>
    <m/>
    <m/>
  </r>
  <r>
    <x v="380"/>
    <x v="0"/>
    <s v="네이버 브랜드검색"/>
    <x v="0"/>
    <x v="0"/>
    <x v="0"/>
    <m/>
    <m/>
    <n v="50000"/>
    <m/>
    <m/>
    <m/>
  </r>
  <r>
    <x v="381"/>
    <x v="2"/>
    <s v="네이버 브랜드검색"/>
    <x v="0"/>
    <x v="0"/>
    <x v="0"/>
    <m/>
    <m/>
    <n v="50000"/>
    <m/>
    <m/>
    <m/>
  </r>
  <r>
    <x v="382"/>
    <x v="5"/>
    <s v="네이버 브랜드검색"/>
    <x v="0"/>
    <x v="0"/>
    <x v="0"/>
    <m/>
    <m/>
    <n v="50000"/>
    <m/>
    <m/>
    <m/>
  </r>
  <r>
    <x v="383"/>
    <x v="6"/>
    <s v="네이버 브랜드검색"/>
    <x v="0"/>
    <x v="0"/>
    <x v="0"/>
    <m/>
    <m/>
    <n v="50000"/>
    <m/>
    <m/>
    <m/>
  </r>
  <r>
    <x v="384"/>
    <x v="3"/>
    <s v="네이버 브랜드검색"/>
    <x v="0"/>
    <x v="0"/>
    <x v="0"/>
    <m/>
    <m/>
    <n v="50000"/>
    <m/>
    <m/>
    <m/>
  </r>
  <r>
    <x v="370"/>
    <x v="3"/>
    <s v="카카오광고"/>
    <x v="0"/>
    <x v="0"/>
    <x v="0"/>
    <m/>
    <m/>
    <n v="9590"/>
    <m/>
    <m/>
    <m/>
  </r>
  <r>
    <x v="371"/>
    <x v="4"/>
    <s v="카카오광고"/>
    <x v="0"/>
    <x v="0"/>
    <x v="0"/>
    <m/>
    <m/>
    <n v="6540"/>
    <m/>
    <m/>
    <m/>
  </r>
  <r>
    <x v="385"/>
    <x v="4"/>
    <s v="네이버 GFA"/>
    <x v="10"/>
    <x v="0"/>
    <x v="0"/>
    <m/>
    <m/>
    <n v="0"/>
    <m/>
    <m/>
    <m/>
  </r>
  <r>
    <x v="385"/>
    <x v="4"/>
    <s v="네이버 쇼핑검색"/>
    <x v="10"/>
    <x v="0"/>
    <x v="0"/>
    <m/>
    <m/>
    <n v="0"/>
    <m/>
    <m/>
    <m/>
  </r>
  <r>
    <x v="385"/>
    <x v="4"/>
    <s v="네이버 브랜드검색"/>
    <x v="0"/>
    <x v="0"/>
    <x v="0"/>
    <m/>
    <m/>
    <n v="50000"/>
    <m/>
    <m/>
    <m/>
  </r>
  <r>
    <x v="385"/>
    <x v="4"/>
    <s v="유튜브 디스커버리"/>
    <x v="10"/>
    <x v="0"/>
    <x v="0"/>
    <m/>
    <m/>
    <n v="0"/>
    <m/>
    <m/>
    <m/>
  </r>
  <r>
    <x v="385"/>
    <x v="4"/>
    <s v="페이스북/인스타그램"/>
    <x v="8"/>
    <x v="0"/>
    <x v="0"/>
    <m/>
    <m/>
    <n v="256759"/>
    <m/>
    <m/>
    <m/>
  </r>
  <r>
    <x v="385"/>
    <x v="4"/>
    <s v="페이스북/인스타그램"/>
    <x v="5"/>
    <x v="0"/>
    <x v="0"/>
    <m/>
    <m/>
    <n v="104461"/>
    <m/>
    <m/>
    <m/>
  </r>
  <r>
    <x v="385"/>
    <x v="4"/>
    <s v="페이스북/인스타그램"/>
    <x v="9"/>
    <x v="0"/>
    <x v="0"/>
    <m/>
    <m/>
    <n v="910520"/>
    <m/>
    <m/>
    <m/>
  </r>
  <r>
    <x v="385"/>
    <x v="4"/>
    <s v="카카오광고"/>
    <x v="10"/>
    <x v="0"/>
    <x v="0"/>
    <m/>
    <m/>
    <n v="0"/>
    <m/>
    <m/>
    <m/>
  </r>
  <r>
    <x v="386"/>
    <x v="1"/>
    <s v="페이스북/인스타그램"/>
    <x v="8"/>
    <x v="0"/>
    <x v="0"/>
    <m/>
    <m/>
    <n v="71895"/>
    <m/>
    <m/>
    <m/>
  </r>
  <r>
    <x v="386"/>
    <x v="1"/>
    <s v="페이스북/인스타그램"/>
    <x v="5"/>
    <x v="0"/>
    <x v="0"/>
    <m/>
    <m/>
    <n v="87699"/>
    <m/>
    <m/>
    <m/>
  </r>
  <r>
    <x v="386"/>
    <x v="1"/>
    <s v="페이스북/인스타그램"/>
    <x v="9"/>
    <x v="0"/>
    <x v="0"/>
    <m/>
    <m/>
    <n v="865195"/>
    <m/>
    <m/>
    <m/>
  </r>
  <r>
    <x v="386"/>
    <x v="1"/>
    <s v="네이버 GFA"/>
    <x v="10"/>
    <x v="0"/>
    <x v="0"/>
    <m/>
    <m/>
    <n v="0"/>
    <m/>
    <m/>
    <m/>
  </r>
  <r>
    <x v="386"/>
    <x v="1"/>
    <s v="네이버 브랜드검색"/>
    <x v="0"/>
    <x v="0"/>
    <x v="0"/>
    <m/>
    <m/>
    <n v="50000"/>
    <m/>
    <m/>
    <m/>
  </r>
  <r>
    <x v="386"/>
    <x v="1"/>
    <s v="네이버 쇼핑검색"/>
    <x v="10"/>
    <x v="0"/>
    <x v="0"/>
    <m/>
    <m/>
    <n v="0"/>
    <m/>
    <m/>
    <m/>
  </r>
  <r>
    <x v="386"/>
    <x v="1"/>
    <s v="카카오광고"/>
    <x v="10"/>
    <x v="0"/>
    <x v="0"/>
    <m/>
    <m/>
    <n v="0"/>
    <m/>
    <m/>
    <m/>
  </r>
  <r>
    <x v="386"/>
    <x v="1"/>
    <s v="유튜브 디스커버리"/>
    <x v="10"/>
    <x v="0"/>
    <x v="0"/>
    <m/>
    <m/>
    <n v="0"/>
    <m/>
    <m/>
    <m/>
  </r>
  <r>
    <x v="387"/>
    <x v="0"/>
    <s v="페이스북/인스타그램"/>
    <x v="8"/>
    <x v="0"/>
    <x v="0"/>
    <m/>
    <m/>
    <n v="0"/>
    <m/>
    <m/>
    <m/>
  </r>
  <r>
    <x v="387"/>
    <x v="0"/>
    <s v="페이스북/인스타그램"/>
    <x v="5"/>
    <x v="0"/>
    <x v="0"/>
    <m/>
    <m/>
    <n v="53826"/>
    <m/>
    <m/>
    <m/>
  </r>
  <r>
    <x v="387"/>
    <x v="0"/>
    <s v="페이스북/인스타그램"/>
    <x v="9"/>
    <x v="0"/>
    <x v="0"/>
    <m/>
    <m/>
    <n v="515422"/>
    <m/>
    <m/>
    <m/>
  </r>
  <r>
    <x v="387"/>
    <x v="0"/>
    <s v="네이버 GFA"/>
    <x v="10"/>
    <x v="0"/>
    <x v="0"/>
    <m/>
    <m/>
    <n v="0"/>
    <m/>
    <m/>
    <m/>
  </r>
  <r>
    <x v="387"/>
    <x v="0"/>
    <s v="네이버 브랜드검색"/>
    <x v="0"/>
    <x v="0"/>
    <x v="0"/>
    <m/>
    <m/>
    <n v="50000"/>
    <m/>
    <m/>
    <m/>
  </r>
  <r>
    <x v="387"/>
    <x v="0"/>
    <s v="네이버 쇼핑검색"/>
    <x v="10"/>
    <x v="0"/>
    <x v="0"/>
    <m/>
    <m/>
    <n v="0"/>
    <m/>
    <m/>
    <m/>
  </r>
  <r>
    <x v="387"/>
    <x v="0"/>
    <s v="카카오광고"/>
    <x v="10"/>
    <x v="0"/>
    <x v="0"/>
    <m/>
    <m/>
    <n v="0"/>
    <m/>
    <m/>
    <m/>
  </r>
  <r>
    <x v="387"/>
    <x v="0"/>
    <s v="유튜브 디스커버리"/>
    <x v="10"/>
    <x v="0"/>
    <x v="0"/>
    <m/>
    <m/>
    <n v="0"/>
    <m/>
    <m/>
    <m/>
  </r>
  <r>
    <x v="388"/>
    <x v="2"/>
    <s v="페이스북/인스타그램"/>
    <x v="7"/>
    <x v="0"/>
    <x v="0"/>
    <m/>
    <m/>
    <n v="184340"/>
    <m/>
    <m/>
    <m/>
  </r>
  <r>
    <x v="388"/>
    <x v="2"/>
    <s v="페이스북/인스타그램"/>
    <x v="5"/>
    <x v="0"/>
    <x v="0"/>
    <m/>
    <m/>
    <n v="28306"/>
    <m/>
    <m/>
    <m/>
  </r>
  <r>
    <x v="388"/>
    <x v="2"/>
    <s v="페이스북/인스타그램"/>
    <x v="9"/>
    <x v="0"/>
    <x v="0"/>
    <m/>
    <m/>
    <n v="155672"/>
    <m/>
    <m/>
    <m/>
  </r>
  <r>
    <x v="388"/>
    <x v="2"/>
    <s v="네이버 브랜드검색"/>
    <x v="0"/>
    <x v="0"/>
    <x v="0"/>
    <m/>
    <m/>
    <n v="50000"/>
    <m/>
    <m/>
    <m/>
  </r>
  <r>
    <x v="388"/>
    <x v="2"/>
    <s v="네이버 GFA"/>
    <x v="10"/>
    <x v="0"/>
    <x v="0"/>
    <m/>
    <m/>
    <n v="0"/>
    <m/>
    <m/>
    <m/>
  </r>
  <r>
    <x v="388"/>
    <x v="2"/>
    <s v="네이버 쇼핑검색"/>
    <x v="10"/>
    <x v="0"/>
    <x v="0"/>
    <m/>
    <m/>
    <n v="0"/>
    <m/>
    <m/>
    <m/>
  </r>
  <r>
    <x v="388"/>
    <x v="2"/>
    <s v="카카오광고"/>
    <x v="10"/>
    <x v="0"/>
    <x v="0"/>
    <m/>
    <m/>
    <n v="0"/>
    <m/>
    <m/>
    <m/>
  </r>
  <r>
    <x v="388"/>
    <x v="2"/>
    <s v="유튜브 디스커버리"/>
    <x v="10"/>
    <x v="0"/>
    <x v="0"/>
    <m/>
    <m/>
    <n v="0"/>
    <m/>
    <m/>
    <m/>
  </r>
  <r>
    <x v="389"/>
    <x v="5"/>
    <s v="페이스북/인스타그램"/>
    <x v="7"/>
    <x v="0"/>
    <x v="0"/>
    <m/>
    <m/>
    <n v="430540"/>
    <m/>
    <m/>
    <m/>
  </r>
  <r>
    <x v="389"/>
    <x v="5"/>
    <s v="페이스북/인스타그램"/>
    <x v="5"/>
    <x v="0"/>
    <x v="0"/>
    <m/>
    <m/>
    <n v="0"/>
    <m/>
    <m/>
    <m/>
  </r>
  <r>
    <x v="389"/>
    <x v="5"/>
    <s v="페이스북/인스타그램"/>
    <x v="9"/>
    <x v="0"/>
    <x v="0"/>
    <m/>
    <m/>
    <n v="112256"/>
    <m/>
    <m/>
    <m/>
  </r>
  <r>
    <x v="389"/>
    <x v="5"/>
    <s v="네이버 브랜드검색"/>
    <x v="0"/>
    <x v="0"/>
    <x v="0"/>
    <m/>
    <m/>
    <n v="50000"/>
    <m/>
    <m/>
    <m/>
  </r>
  <r>
    <x v="389"/>
    <x v="5"/>
    <s v="네이버 GFA"/>
    <x v="10"/>
    <x v="0"/>
    <x v="0"/>
    <m/>
    <m/>
    <n v="0"/>
    <m/>
    <m/>
    <m/>
  </r>
  <r>
    <x v="389"/>
    <x v="5"/>
    <s v="네이버 쇼핑검색"/>
    <x v="10"/>
    <x v="0"/>
    <x v="0"/>
    <m/>
    <m/>
    <n v="0"/>
    <m/>
    <m/>
    <m/>
  </r>
  <r>
    <x v="389"/>
    <x v="5"/>
    <s v="카카오광고"/>
    <x v="10"/>
    <x v="0"/>
    <x v="0"/>
    <m/>
    <m/>
    <n v="0"/>
    <m/>
    <m/>
    <m/>
  </r>
  <r>
    <x v="389"/>
    <x v="5"/>
    <s v="유튜브 디스커버리"/>
    <x v="10"/>
    <x v="0"/>
    <x v="0"/>
    <m/>
    <m/>
    <n v="0"/>
    <m/>
    <m/>
    <m/>
  </r>
  <r>
    <x v="390"/>
    <x v="6"/>
    <s v="페이스북/인스타그램"/>
    <x v="7"/>
    <x v="0"/>
    <x v="0"/>
    <m/>
    <m/>
    <n v="652211"/>
    <m/>
    <m/>
    <m/>
  </r>
  <r>
    <x v="390"/>
    <x v="6"/>
    <s v="페이스북/인스타그램"/>
    <x v="5"/>
    <x v="0"/>
    <x v="0"/>
    <m/>
    <m/>
    <n v="0"/>
    <m/>
    <m/>
    <m/>
  </r>
  <r>
    <x v="390"/>
    <x v="6"/>
    <s v="페이스북/인스타그램"/>
    <x v="9"/>
    <x v="0"/>
    <x v="0"/>
    <m/>
    <m/>
    <n v="145039"/>
    <m/>
    <m/>
    <m/>
  </r>
  <r>
    <x v="390"/>
    <x v="6"/>
    <s v="네이버 브랜드검색"/>
    <x v="0"/>
    <x v="0"/>
    <x v="0"/>
    <m/>
    <m/>
    <n v="50000"/>
    <m/>
    <m/>
    <m/>
  </r>
  <r>
    <x v="390"/>
    <x v="6"/>
    <s v="네이버 GFA"/>
    <x v="10"/>
    <x v="0"/>
    <x v="0"/>
    <m/>
    <m/>
    <n v="0"/>
    <m/>
    <m/>
    <m/>
  </r>
  <r>
    <x v="390"/>
    <x v="6"/>
    <s v="네이버 쇼핑검색"/>
    <x v="10"/>
    <x v="0"/>
    <x v="0"/>
    <m/>
    <m/>
    <n v="0"/>
    <m/>
    <m/>
    <m/>
  </r>
  <r>
    <x v="390"/>
    <x v="6"/>
    <s v="카카오광고"/>
    <x v="10"/>
    <x v="0"/>
    <x v="0"/>
    <m/>
    <m/>
    <n v="0"/>
    <m/>
    <m/>
    <m/>
  </r>
  <r>
    <x v="390"/>
    <x v="6"/>
    <s v="유튜브 디스커버리"/>
    <x v="10"/>
    <x v="0"/>
    <x v="0"/>
    <m/>
    <m/>
    <n v="0"/>
    <m/>
    <m/>
    <m/>
  </r>
  <r>
    <x v="391"/>
    <x v="3"/>
    <s v="페이스북/인스타그램"/>
    <x v="7"/>
    <x v="0"/>
    <x v="0"/>
    <m/>
    <m/>
    <n v="975473"/>
    <m/>
    <m/>
    <m/>
  </r>
  <r>
    <x v="391"/>
    <x v="3"/>
    <s v="페이스북/인스타그램"/>
    <x v="9"/>
    <x v="0"/>
    <x v="0"/>
    <m/>
    <m/>
    <n v="228009"/>
    <m/>
    <m/>
    <m/>
  </r>
  <r>
    <x v="391"/>
    <x v="3"/>
    <s v="네이버 브랜드검색"/>
    <x v="0"/>
    <x v="0"/>
    <x v="0"/>
    <m/>
    <m/>
    <n v="50000"/>
    <m/>
    <m/>
    <m/>
  </r>
  <r>
    <x v="391"/>
    <x v="3"/>
    <s v="카카오광고"/>
    <x v="10"/>
    <x v="0"/>
    <x v="0"/>
    <m/>
    <m/>
    <n v="0"/>
    <m/>
    <m/>
    <m/>
  </r>
  <r>
    <x v="391"/>
    <x v="3"/>
    <s v="네이버 GFA"/>
    <x v="10"/>
    <x v="0"/>
    <x v="0"/>
    <m/>
    <m/>
    <n v="0"/>
    <m/>
    <m/>
    <m/>
  </r>
  <r>
    <x v="391"/>
    <x v="3"/>
    <s v="네이버 쇼핑검색"/>
    <x v="10"/>
    <x v="0"/>
    <x v="0"/>
    <m/>
    <m/>
    <n v="0"/>
    <m/>
    <m/>
    <m/>
  </r>
  <r>
    <x v="391"/>
    <x v="3"/>
    <s v="유튜브 디스커버리"/>
    <x v="10"/>
    <x v="0"/>
    <x v="0"/>
    <m/>
    <m/>
    <n v="0"/>
    <m/>
    <m/>
    <m/>
  </r>
  <r>
    <x v="392"/>
    <x v="4"/>
    <s v="네이버 브랜드검색"/>
    <x v="0"/>
    <x v="0"/>
    <x v="0"/>
    <m/>
    <m/>
    <n v="50000"/>
    <m/>
    <m/>
    <m/>
  </r>
  <r>
    <x v="392"/>
    <x v="4"/>
    <s v="카카오광고"/>
    <x v="10"/>
    <x v="0"/>
    <x v="0"/>
    <m/>
    <m/>
    <n v="0"/>
    <m/>
    <m/>
    <m/>
  </r>
  <r>
    <x v="392"/>
    <x v="4"/>
    <s v="네이버 GFA"/>
    <x v="10"/>
    <x v="0"/>
    <x v="0"/>
    <m/>
    <m/>
    <n v="0"/>
    <m/>
    <m/>
    <m/>
  </r>
  <r>
    <x v="392"/>
    <x v="4"/>
    <s v="네이버 쇼핑검색"/>
    <x v="10"/>
    <x v="0"/>
    <x v="0"/>
    <m/>
    <m/>
    <n v="0"/>
    <m/>
    <m/>
    <m/>
  </r>
  <r>
    <x v="392"/>
    <x v="4"/>
    <s v="유튜브 디스커버리"/>
    <x v="10"/>
    <x v="0"/>
    <x v="0"/>
    <m/>
    <m/>
    <n v="0"/>
    <m/>
    <m/>
    <m/>
  </r>
  <r>
    <x v="392"/>
    <x v="4"/>
    <s v="페이스북/인스타그램"/>
    <x v="7"/>
    <x v="0"/>
    <x v="0"/>
    <m/>
    <m/>
    <n v="907870"/>
    <m/>
    <m/>
    <m/>
  </r>
  <r>
    <x v="392"/>
    <x v="4"/>
    <s v="페이스북/인스타그램"/>
    <x v="9"/>
    <x v="0"/>
    <x v="0"/>
    <m/>
    <m/>
    <n v="210011"/>
    <m/>
    <m/>
    <m/>
  </r>
  <r>
    <x v="392"/>
    <x v="4"/>
    <s v="페이스북/인스타그램"/>
    <x v="5"/>
    <x v="0"/>
    <x v="0"/>
    <m/>
    <m/>
    <n v="101099"/>
    <m/>
    <m/>
    <m/>
  </r>
  <r>
    <x v="392"/>
    <x v="4"/>
    <s v="네이버 브랜드검색"/>
    <x v="0"/>
    <x v="0"/>
    <x v="0"/>
    <m/>
    <m/>
    <n v="50000"/>
    <m/>
    <m/>
    <m/>
  </r>
  <r>
    <x v="392"/>
    <x v="4"/>
    <s v="네이버 GFA"/>
    <x v="10"/>
    <x v="0"/>
    <x v="0"/>
    <m/>
    <m/>
    <n v="0"/>
    <m/>
    <m/>
    <m/>
  </r>
  <r>
    <x v="392"/>
    <x v="4"/>
    <s v="네이버 쇼핑검색"/>
    <x v="10"/>
    <x v="0"/>
    <x v="0"/>
    <m/>
    <m/>
    <n v="0"/>
    <m/>
    <m/>
    <m/>
  </r>
  <r>
    <x v="392"/>
    <x v="4"/>
    <s v="유튜브 디스커버리"/>
    <x v="10"/>
    <x v="0"/>
    <x v="0"/>
    <m/>
    <m/>
    <n v="0"/>
    <m/>
    <m/>
    <m/>
  </r>
  <r>
    <x v="393"/>
    <x v="1"/>
    <s v="페이스북/인스타그램"/>
    <x v="7"/>
    <x v="0"/>
    <x v="0"/>
    <m/>
    <m/>
    <n v="822775"/>
    <m/>
    <m/>
    <m/>
  </r>
  <r>
    <x v="393"/>
    <x v="1"/>
    <s v="페이스북/인스타그램"/>
    <x v="0"/>
    <x v="0"/>
    <x v="0"/>
    <m/>
    <m/>
    <n v="78561"/>
    <m/>
    <m/>
    <m/>
  </r>
  <r>
    <x v="393"/>
    <x v="1"/>
    <s v="페이스북/인스타그램"/>
    <x v="9"/>
    <x v="0"/>
    <x v="0"/>
    <m/>
    <m/>
    <n v="122006"/>
    <m/>
    <m/>
    <m/>
  </r>
  <r>
    <x v="393"/>
    <x v="1"/>
    <s v="페이스북/인스타그램"/>
    <x v="5"/>
    <x v="0"/>
    <x v="0"/>
    <m/>
    <m/>
    <n v="185467"/>
    <m/>
    <m/>
    <m/>
  </r>
  <r>
    <x v="393"/>
    <x v="1"/>
    <s v="네이버 브랜드검색"/>
    <x v="0"/>
    <x v="0"/>
    <x v="0"/>
    <m/>
    <m/>
    <n v="50000"/>
    <m/>
    <m/>
    <m/>
  </r>
  <r>
    <x v="393"/>
    <x v="1"/>
    <s v="카카오광고"/>
    <x v="0"/>
    <x v="0"/>
    <x v="0"/>
    <m/>
    <m/>
    <n v="17550"/>
    <m/>
    <m/>
    <m/>
  </r>
  <r>
    <x v="393"/>
    <x v="1"/>
    <s v="네이버 쇼핑검색"/>
    <x v="10"/>
    <x v="0"/>
    <x v="0"/>
    <m/>
    <m/>
    <n v="0"/>
    <m/>
    <m/>
    <m/>
  </r>
  <r>
    <x v="393"/>
    <x v="1"/>
    <s v="유튜브 디스커버리"/>
    <x v="10"/>
    <x v="0"/>
    <x v="0"/>
    <m/>
    <m/>
    <n v="0"/>
    <m/>
    <m/>
    <m/>
  </r>
  <r>
    <x v="394"/>
    <x v="0"/>
    <s v="페이스북/인스타그램"/>
    <x v="7"/>
    <x v="0"/>
    <x v="0"/>
    <m/>
    <m/>
    <n v="782743"/>
    <m/>
    <m/>
    <m/>
  </r>
  <r>
    <x v="394"/>
    <x v="0"/>
    <s v="페이스북/인스타그램"/>
    <x v="0"/>
    <x v="0"/>
    <x v="0"/>
    <m/>
    <m/>
    <n v="192418"/>
    <m/>
    <m/>
    <m/>
  </r>
  <r>
    <x v="394"/>
    <x v="0"/>
    <s v="페이스북/인스타그램"/>
    <x v="9"/>
    <x v="0"/>
    <x v="0"/>
    <m/>
    <m/>
    <n v="88926"/>
    <m/>
    <m/>
    <m/>
  </r>
  <r>
    <x v="394"/>
    <x v="0"/>
    <s v="페이스북/인스타그램"/>
    <x v="5"/>
    <x v="0"/>
    <x v="0"/>
    <m/>
    <m/>
    <n v="10539"/>
    <m/>
    <m/>
    <m/>
  </r>
  <r>
    <x v="394"/>
    <x v="0"/>
    <s v="네이버 브랜드검색"/>
    <x v="0"/>
    <x v="0"/>
    <x v="0"/>
    <m/>
    <m/>
    <n v="50000"/>
    <m/>
    <m/>
    <m/>
  </r>
  <r>
    <x v="394"/>
    <x v="0"/>
    <s v="카카오광고"/>
    <x v="0"/>
    <x v="0"/>
    <x v="0"/>
    <m/>
    <m/>
    <n v="19640"/>
    <m/>
    <m/>
    <m/>
  </r>
  <r>
    <x v="394"/>
    <x v="0"/>
    <s v="유튜브 디스커버리"/>
    <x v="0"/>
    <x v="0"/>
    <x v="0"/>
    <m/>
    <m/>
    <n v="569931"/>
    <m/>
    <m/>
    <m/>
  </r>
  <r>
    <x v="394"/>
    <x v="0"/>
    <s v="네이버 쇼핑검색"/>
    <x v="10"/>
    <x v="0"/>
    <x v="0"/>
    <m/>
    <m/>
    <n v="0"/>
    <m/>
    <m/>
    <m/>
  </r>
  <r>
    <x v="395"/>
    <x v="2"/>
    <s v="페이스북/인스타그램"/>
    <x v="7"/>
    <x v="0"/>
    <x v="0"/>
    <m/>
    <m/>
    <n v="665182"/>
    <m/>
    <m/>
    <m/>
  </r>
  <r>
    <x v="395"/>
    <x v="2"/>
    <s v="페이스북/인스타그램"/>
    <x v="0"/>
    <x v="0"/>
    <x v="0"/>
    <m/>
    <m/>
    <n v="158836"/>
    <m/>
    <m/>
    <m/>
  </r>
  <r>
    <x v="395"/>
    <x v="2"/>
    <s v="페이스북/인스타그램"/>
    <x v="9"/>
    <x v="0"/>
    <x v="0"/>
    <m/>
    <m/>
    <n v="56622"/>
    <m/>
    <m/>
    <m/>
  </r>
  <r>
    <x v="395"/>
    <x v="2"/>
    <s v="페이스북/인스타그램"/>
    <x v="5"/>
    <x v="0"/>
    <x v="0"/>
    <m/>
    <m/>
    <n v="0"/>
    <m/>
    <m/>
    <m/>
  </r>
  <r>
    <x v="395"/>
    <x v="2"/>
    <s v="네이버 브랜드검색"/>
    <x v="0"/>
    <x v="0"/>
    <x v="0"/>
    <m/>
    <m/>
    <n v="50000"/>
    <m/>
    <m/>
    <m/>
  </r>
  <r>
    <x v="395"/>
    <x v="2"/>
    <s v="카카오광고"/>
    <x v="0"/>
    <x v="0"/>
    <x v="0"/>
    <m/>
    <m/>
    <n v="18570"/>
    <m/>
    <m/>
    <m/>
  </r>
  <r>
    <x v="395"/>
    <x v="2"/>
    <s v="유튜브 디스커버리"/>
    <x v="0"/>
    <x v="0"/>
    <x v="0"/>
    <m/>
    <m/>
    <n v="192487"/>
    <m/>
    <m/>
    <m/>
  </r>
  <r>
    <x v="395"/>
    <x v="2"/>
    <s v="네이버 쇼핑검색"/>
    <x v="10"/>
    <x v="0"/>
    <x v="0"/>
    <m/>
    <m/>
    <n v="0"/>
    <m/>
    <m/>
    <m/>
  </r>
  <r>
    <x v="396"/>
    <x v="5"/>
    <s v="페이스북/인스타그램"/>
    <x v="7"/>
    <x v="0"/>
    <x v="0"/>
    <m/>
    <m/>
    <n v="387151"/>
    <m/>
    <m/>
    <m/>
  </r>
  <r>
    <x v="396"/>
    <x v="5"/>
    <s v="페이스북/인스타그램"/>
    <x v="0"/>
    <x v="0"/>
    <x v="0"/>
    <m/>
    <m/>
    <n v="96380"/>
    <m/>
    <m/>
    <m/>
  </r>
  <r>
    <x v="396"/>
    <x v="5"/>
    <s v="페이스북/인스타그램"/>
    <x v="9"/>
    <x v="0"/>
    <x v="0"/>
    <m/>
    <m/>
    <n v="62269"/>
    <m/>
    <m/>
    <m/>
  </r>
  <r>
    <x v="396"/>
    <x v="5"/>
    <s v="페이스북/인스타그램"/>
    <x v="5"/>
    <x v="0"/>
    <x v="0"/>
    <m/>
    <m/>
    <n v="0"/>
    <m/>
    <m/>
    <m/>
  </r>
  <r>
    <x v="396"/>
    <x v="5"/>
    <s v="네이버 브랜드검색"/>
    <x v="0"/>
    <x v="0"/>
    <x v="0"/>
    <m/>
    <m/>
    <n v="50000"/>
    <m/>
    <m/>
    <m/>
  </r>
  <r>
    <x v="396"/>
    <x v="5"/>
    <s v="카카오광고"/>
    <x v="0"/>
    <x v="0"/>
    <x v="0"/>
    <m/>
    <m/>
    <n v="14310"/>
    <m/>
    <m/>
    <m/>
  </r>
  <r>
    <x v="396"/>
    <x v="5"/>
    <s v="유튜브 디스커버리"/>
    <x v="10"/>
    <x v="0"/>
    <x v="0"/>
    <m/>
    <m/>
    <n v="0"/>
    <m/>
    <m/>
    <m/>
  </r>
  <r>
    <x v="396"/>
    <x v="5"/>
    <s v="네이버 쇼핑검색"/>
    <x v="10"/>
    <x v="0"/>
    <x v="0"/>
    <m/>
    <m/>
    <n v="0"/>
    <m/>
    <m/>
    <m/>
  </r>
  <r>
    <x v="397"/>
    <x v="6"/>
    <s v="페이스북/인스타그램"/>
    <x v="7"/>
    <x v="0"/>
    <x v="0"/>
    <m/>
    <m/>
    <n v="624382"/>
    <m/>
    <m/>
    <m/>
  </r>
  <r>
    <x v="397"/>
    <x v="6"/>
    <s v="페이스북/인스타그램"/>
    <x v="0"/>
    <x v="0"/>
    <x v="0"/>
    <m/>
    <m/>
    <n v="157009"/>
    <m/>
    <m/>
    <m/>
  </r>
  <r>
    <x v="397"/>
    <x v="6"/>
    <s v="페이스북/인스타그램"/>
    <x v="9"/>
    <x v="0"/>
    <x v="0"/>
    <m/>
    <m/>
    <n v="92426"/>
    <m/>
    <m/>
    <m/>
  </r>
  <r>
    <x v="397"/>
    <x v="6"/>
    <s v="페이스북/인스타그램"/>
    <x v="5"/>
    <x v="0"/>
    <x v="0"/>
    <m/>
    <m/>
    <n v="203489"/>
    <m/>
    <m/>
    <m/>
  </r>
  <r>
    <x v="397"/>
    <x v="6"/>
    <s v="네이버 브랜드검색"/>
    <x v="0"/>
    <x v="0"/>
    <x v="0"/>
    <m/>
    <m/>
    <n v="50000"/>
    <m/>
    <m/>
    <m/>
  </r>
  <r>
    <x v="397"/>
    <x v="6"/>
    <s v="카카오광고"/>
    <x v="0"/>
    <x v="0"/>
    <x v="0"/>
    <m/>
    <m/>
    <n v="18610"/>
    <m/>
    <m/>
    <m/>
  </r>
  <r>
    <x v="397"/>
    <x v="6"/>
    <s v="유튜브 디스커버리"/>
    <x v="10"/>
    <x v="0"/>
    <x v="0"/>
    <m/>
    <m/>
    <n v="0"/>
    <m/>
    <m/>
    <m/>
  </r>
  <r>
    <x v="397"/>
    <x v="6"/>
    <s v="네이버 쇼핑검색"/>
    <x v="10"/>
    <x v="0"/>
    <x v="0"/>
    <m/>
    <m/>
    <n v="0"/>
    <m/>
    <m/>
    <m/>
  </r>
  <r>
    <x v="398"/>
    <x v="3"/>
    <s v="페이스북/인스타그램"/>
    <x v="7"/>
    <x v="0"/>
    <x v="0"/>
    <m/>
    <m/>
    <n v="863467"/>
    <m/>
    <m/>
    <m/>
  </r>
  <r>
    <x v="398"/>
    <x v="3"/>
    <s v="페이스북/인스타그램"/>
    <x v="8"/>
    <x v="0"/>
    <x v="0"/>
    <m/>
    <m/>
    <n v="347365"/>
    <m/>
    <m/>
    <m/>
  </r>
  <r>
    <x v="398"/>
    <x v="3"/>
    <s v="페이스북/인스타그램"/>
    <x v="0"/>
    <x v="0"/>
    <x v="0"/>
    <m/>
    <m/>
    <n v="383836"/>
    <m/>
    <m/>
    <m/>
  </r>
  <r>
    <x v="398"/>
    <x v="3"/>
    <s v="페이스북/인스타그램"/>
    <x v="9"/>
    <x v="0"/>
    <x v="0"/>
    <m/>
    <m/>
    <n v="0"/>
    <m/>
    <m/>
    <m/>
  </r>
  <r>
    <x v="398"/>
    <x v="3"/>
    <s v="페이스북/인스타그램"/>
    <x v="5"/>
    <x v="0"/>
    <x v="0"/>
    <m/>
    <m/>
    <n v="226072"/>
    <m/>
    <m/>
    <m/>
  </r>
  <r>
    <x v="398"/>
    <x v="3"/>
    <s v="네이버 브랜드검색"/>
    <x v="0"/>
    <x v="0"/>
    <x v="0"/>
    <m/>
    <m/>
    <n v="50000"/>
    <m/>
    <m/>
    <m/>
  </r>
  <r>
    <x v="398"/>
    <x v="3"/>
    <s v="카카오광고"/>
    <x v="0"/>
    <x v="0"/>
    <x v="0"/>
    <m/>
    <m/>
    <n v="18550"/>
    <m/>
    <m/>
    <m/>
  </r>
  <r>
    <x v="398"/>
    <x v="3"/>
    <s v="유튜브 디스커버리"/>
    <x v="0"/>
    <x v="0"/>
    <x v="0"/>
    <m/>
    <m/>
    <n v="107265"/>
    <m/>
    <m/>
    <m/>
  </r>
  <r>
    <x v="398"/>
    <x v="3"/>
    <s v="네이버 쇼핑검색"/>
    <x v="10"/>
    <x v="0"/>
    <x v="0"/>
    <m/>
    <m/>
    <n v="0"/>
    <m/>
    <m/>
    <m/>
  </r>
  <r>
    <x v="398"/>
    <x v="3"/>
    <s v="네이버 GFA"/>
    <x v="5"/>
    <x v="0"/>
    <x v="0"/>
    <m/>
    <m/>
    <n v="82663.63636363635"/>
    <m/>
    <m/>
    <m/>
  </r>
  <r>
    <x v="397"/>
    <x v="6"/>
    <s v="네이버 GFA"/>
    <x v="5"/>
    <x v="0"/>
    <x v="0"/>
    <m/>
    <m/>
    <n v="74653.63636363635"/>
    <m/>
    <m/>
    <m/>
  </r>
  <r>
    <x v="393"/>
    <x v="1"/>
    <s v="네이버 GFA"/>
    <x v="0"/>
    <x v="0"/>
    <x v="0"/>
    <m/>
    <m/>
    <n v="2310"/>
    <m/>
    <m/>
    <m/>
  </r>
  <r>
    <x v="393"/>
    <x v="1"/>
    <s v="네이버 GFA"/>
    <x v="0"/>
    <x v="0"/>
    <x v="0"/>
    <m/>
    <m/>
    <n v="33650"/>
    <m/>
    <m/>
    <m/>
  </r>
  <r>
    <x v="398"/>
    <x v="3"/>
    <s v="네이버 GFA"/>
    <x v="0"/>
    <x v="0"/>
    <x v="0"/>
    <m/>
    <m/>
    <n v="8962.727272727272"/>
    <m/>
    <m/>
    <m/>
  </r>
  <r>
    <x v="397"/>
    <x v="6"/>
    <s v="네이버 GFA"/>
    <x v="0"/>
    <x v="0"/>
    <x v="0"/>
    <m/>
    <m/>
    <n v="8751.818181818182"/>
    <m/>
    <m/>
    <m/>
  </r>
  <r>
    <x v="394"/>
    <x v="0"/>
    <s v="네이버 GFA"/>
    <x v="0"/>
    <x v="0"/>
    <x v="0"/>
    <m/>
    <m/>
    <n v="1101.818181818182"/>
    <m/>
    <m/>
    <m/>
  </r>
  <r>
    <x v="394"/>
    <x v="0"/>
    <s v="네이버 GFA"/>
    <x v="0"/>
    <x v="0"/>
    <x v="0"/>
    <m/>
    <m/>
    <n v="61509.99999999999"/>
    <m/>
    <m/>
    <m/>
  </r>
  <r>
    <x v="398"/>
    <x v="3"/>
    <s v="네이버 GFA"/>
    <x v="0"/>
    <x v="0"/>
    <x v="0"/>
    <m/>
    <m/>
    <n v="10920.90909090909"/>
    <m/>
    <m/>
    <m/>
  </r>
  <r>
    <x v="397"/>
    <x v="6"/>
    <s v="네이버 GFA"/>
    <x v="0"/>
    <x v="0"/>
    <x v="0"/>
    <m/>
    <m/>
    <n v="4210"/>
    <m/>
    <m/>
    <m/>
  </r>
  <r>
    <x v="395"/>
    <x v="2"/>
    <s v="네이버 GFA"/>
    <x v="5"/>
    <x v="0"/>
    <x v="0"/>
    <m/>
    <m/>
    <n v="16806.36363636364"/>
    <m/>
    <m/>
    <m/>
  </r>
  <r>
    <x v="395"/>
    <x v="2"/>
    <s v="네이버 GFA"/>
    <x v="0"/>
    <x v="0"/>
    <x v="0"/>
    <m/>
    <m/>
    <n v="8129.999999999999"/>
    <m/>
    <m/>
    <m/>
  </r>
  <r>
    <x v="395"/>
    <x v="2"/>
    <s v="네이버 GFA"/>
    <x v="0"/>
    <x v="0"/>
    <x v="0"/>
    <m/>
    <m/>
    <n v="600"/>
    <m/>
    <m/>
    <m/>
  </r>
  <r>
    <x v="395"/>
    <x v="2"/>
    <s v="네이버 GFA"/>
    <x v="0"/>
    <x v="0"/>
    <x v="0"/>
    <m/>
    <m/>
    <n v="62720.90909090909"/>
    <m/>
    <m/>
    <m/>
  </r>
  <r>
    <x v="398"/>
    <x v="3"/>
    <s v="네이버 GFA"/>
    <x v="0"/>
    <x v="0"/>
    <x v="0"/>
    <m/>
    <m/>
    <n v="94498.18181818181"/>
    <m/>
    <m/>
    <m/>
  </r>
  <r>
    <x v="397"/>
    <x v="6"/>
    <s v="네이버 GFA"/>
    <x v="0"/>
    <x v="0"/>
    <x v="0"/>
    <m/>
    <m/>
    <n v="70489.0909090909"/>
    <m/>
    <m/>
    <m/>
  </r>
  <r>
    <x v="396"/>
    <x v="5"/>
    <s v="네이버 GFA"/>
    <x v="5"/>
    <x v="0"/>
    <x v="0"/>
    <m/>
    <m/>
    <n v="16528.18181818182"/>
    <m/>
    <m/>
    <m/>
  </r>
  <r>
    <x v="396"/>
    <x v="5"/>
    <s v="네이버 GFA"/>
    <x v="0"/>
    <x v="0"/>
    <x v="0"/>
    <m/>
    <m/>
    <n v="8532.727272727272"/>
    <m/>
    <m/>
    <m/>
  </r>
  <r>
    <x v="396"/>
    <x v="5"/>
    <s v="네이버 GFA"/>
    <x v="0"/>
    <x v="0"/>
    <x v="0"/>
    <m/>
    <m/>
    <n v="0"/>
    <m/>
    <m/>
    <m/>
  </r>
  <r>
    <x v="396"/>
    <x v="5"/>
    <s v="네이버 GFA"/>
    <x v="0"/>
    <x v="0"/>
    <x v="0"/>
    <m/>
    <m/>
    <n v="62665.45454545454"/>
    <m/>
    <m/>
    <m/>
  </r>
  <r>
    <x v="399"/>
    <x v="4"/>
    <s v="페이스북/인스타그램"/>
    <x v="7"/>
    <x v="0"/>
    <x v="0"/>
    <m/>
    <m/>
    <n v="1089081"/>
    <m/>
    <m/>
    <m/>
  </r>
  <r>
    <x v="399"/>
    <x v="4"/>
    <s v="페이스북/인스타그램"/>
    <x v="8"/>
    <x v="0"/>
    <x v="0"/>
    <m/>
    <m/>
    <n v="378357"/>
    <m/>
    <m/>
    <m/>
  </r>
  <r>
    <x v="399"/>
    <x v="4"/>
    <s v="페이스북/인스타그램"/>
    <x v="0"/>
    <x v="0"/>
    <x v="0"/>
    <m/>
    <m/>
    <n v="356283"/>
    <m/>
    <m/>
    <m/>
  </r>
  <r>
    <x v="399"/>
    <x v="4"/>
    <s v="페이스북/인스타그램"/>
    <x v="5"/>
    <x v="0"/>
    <x v="0"/>
    <m/>
    <m/>
    <n v="236739"/>
    <m/>
    <m/>
    <m/>
  </r>
  <r>
    <x v="399"/>
    <x v="4"/>
    <s v="네이버 브랜드검색"/>
    <x v="0"/>
    <x v="0"/>
    <x v="0"/>
    <m/>
    <m/>
    <n v="50000"/>
    <m/>
    <m/>
    <m/>
  </r>
  <r>
    <x v="399"/>
    <x v="4"/>
    <s v="카카오광고"/>
    <x v="0"/>
    <x v="0"/>
    <x v="0"/>
    <m/>
    <m/>
    <n v="19240"/>
    <m/>
    <m/>
    <m/>
  </r>
  <r>
    <x v="399"/>
    <x v="4"/>
    <s v="유튜브 디스커버리"/>
    <x v="0"/>
    <x v="0"/>
    <x v="0"/>
    <m/>
    <m/>
    <n v="156857"/>
    <m/>
    <m/>
    <m/>
  </r>
  <r>
    <x v="399"/>
    <x v="4"/>
    <s v="네이버 쇼핑검색"/>
    <x v="10"/>
    <x v="0"/>
    <x v="0"/>
    <m/>
    <m/>
    <n v="0"/>
    <m/>
    <m/>
    <m/>
  </r>
  <r>
    <x v="399"/>
    <x v="4"/>
    <s v="네이버 GFA"/>
    <x v="0"/>
    <x v="0"/>
    <x v="0"/>
    <m/>
    <m/>
    <n v="107757.2727272727"/>
    <m/>
    <m/>
    <m/>
  </r>
  <r>
    <x v="399"/>
    <x v="4"/>
    <s v="네이버 GFA"/>
    <x v="5"/>
    <x v="0"/>
    <x v="0"/>
    <m/>
    <m/>
    <n v="34852.72727272727"/>
    <m/>
    <m/>
    <m/>
  </r>
  <r>
    <x v="400"/>
    <x v="1"/>
    <s v="카카오광고"/>
    <x v="0"/>
    <x v="0"/>
    <x v="0"/>
    <m/>
    <m/>
    <n v="13450"/>
    <m/>
    <m/>
    <m/>
  </r>
  <r>
    <x v="401"/>
    <x v="0"/>
    <s v="카카오광고"/>
    <x v="0"/>
    <x v="0"/>
    <x v="0"/>
    <m/>
    <m/>
    <n v="9790"/>
    <m/>
    <m/>
    <m/>
  </r>
  <r>
    <x v="402"/>
    <x v="2"/>
    <s v="카카오광고"/>
    <x v="0"/>
    <x v="0"/>
    <x v="0"/>
    <m/>
    <m/>
    <n v="15030"/>
    <m/>
    <m/>
    <m/>
  </r>
  <r>
    <x v="403"/>
    <x v="5"/>
    <s v="카카오광고"/>
    <x v="0"/>
    <x v="0"/>
    <x v="0"/>
    <m/>
    <m/>
    <n v="17730"/>
    <m/>
    <m/>
    <m/>
  </r>
  <r>
    <x v="404"/>
    <x v="6"/>
    <s v="카카오광고"/>
    <x v="0"/>
    <x v="0"/>
    <x v="0"/>
    <m/>
    <m/>
    <n v="15870"/>
    <m/>
    <m/>
    <m/>
  </r>
  <r>
    <x v="400"/>
    <x v="1"/>
    <s v="네이버 브랜드검색"/>
    <x v="0"/>
    <x v="0"/>
    <x v="0"/>
    <m/>
    <m/>
    <n v="50000"/>
    <m/>
    <m/>
    <m/>
  </r>
  <r>
    <x v="401"/>
    <x v="0"/>
    <s v="네이버 브랜드검색"/>
    <x v="0"/>
    <x v="0"/>
    <x v="0"/>
    <m/>
    <m/>
    <n v="50000"/>
    <m/>
    <m/>
    <m/>
  </r>
  <r>
    <x v="402"/>
    <x v="2"/>
    <s v="네이버 브랜드검색"/>
    <x v="0"/>
    <x v="0"/>
    <x v="0"/>
    <m/>
    <m/>
    <n v="50000"/>
    <m/>
    <m/>
    <m/>
  </r>
  <r>
    <x v="403"/>
    <x v="5"/>
    <s v="네이버 브랜드검색"/>
    <x v="0"/>
    <x v="0"/>
    <x v="0"/>
    <m/>
    <m/>
    <n v="50000"/>
    <m/>
    <m/>
    <m/>
  </r>
  <r>
    <x v="404"/>
    <x v="6"/>
    <s v="네이버 브랜드검색"/>
    <x v="0"/>
    <x v="0"/>
    <x v="0"/>
    <m/>
    <m/>
    <n v="50000"/>
    <m/>
    <m/>
    <m/>
  </r>
  <r>
    <x v="400"/>
    <x v="1"/>
    <s v="네이버 GFA"/>
    <x v="5"/>
    <x v="0"/>
    <x v="0"/>
    <m/>
    <m/>
    <n v="131950.9090909091"/>
    <m/>
    <m/>
    <m/>
  </r>
  <r>
    <x v="401"/>
    <x v="0"/>
    <s v="네이버 GFA"/>
    <x v="5"/>
    <x v="0"/>
    <x v="0"/>
    <m/>
    <m/>
    <n v="131804.5454545454"/>
    <m/>
    <m/>
    <m/>
  </r>
  <r>
    <x v="402"/>
    <x v="2"/>
    <s v="네이버 GFA"/>
    <x v="5"/>
    <x v="0"/>
    <x v="0"/>
    <m/>
    <m/>
    <n v="120883.6363636364"/>
    <m/>
    <m/>
    <m/>
  </r>
  <r>
    <x v="403"/>
    <x v="5"/>
    <s v="네이버 GFA"/>
    <x v="5"/>
    <x v="0"/>
    <x v="0"/>
    <m/>
    <m/>
    <n v="85180.90909090909"/>
    <m/>
    <m/>
    <m/>
  </r>
  <r>
    <x v="404"/>
    <x v="6"/>
    <s v="네이버 GFA"/>
    <x v="5"/>
    <x v="0"/>
    <x v="0"/>
    <m/>
    <m/>
    <n v="87226.36363636363"/>
    <m/>
    <m/>
    <m/>
  </r>
  <r>
    <x v="400"/>
    <x v="1"/>
    <s v="네이버 GFA"/>
    <x v="0"/>
    <x v="0"/>
    <x v="0"/>
    <m/>
    <m/>
    <n v="76726.36363636363"/>
    <m/>
    <m/>
    <m/>
  </r>
  <r>
    <x v="401"/>
    <x v="0"/>
    <s v="네이버 GFA"/>
    <x v="0"/>
    <x v="0"/>
    <x v="0"/>
    <m/>
    <m/>
    <n v="78690"/>
    <m/>
    <m/>
    <m/>
  </r>
  <r>
    <x v="402"/>
    <x v="2"/>
    <s v="네이버 GFA"/>
    <x v="0"/>
    <x v="0"/>
    <x v="0"/>
    <m/>
    <m/>
    <n v="70262.72727272728"/>
    <m/>
    <m/>
    <m/>
  </r>
  <r>
    <x v="403"/>
    <x v="5"/>
    <s v="네이버 GFA"/>
    <x v="0"/>
    <x v="0"/>
    <x v="0"/>
    <m/>
    <m/>
    <n v="71009.0909090909"/>
    <m/>
    <m/>
    <m/>
  </r>
  <r>
    <x v="404"/>
    <x v="6"/>
    <s v="네이버 GFA"/>
    <x v="0"/>
    <x v="0"/>
    <x v="0"/>
    <m/>
    <m/>
    <n v="83579.0909090909"/>
    <m/>
    <m/>
    <m/>
  </r>
  <r>
    <x v="400"/>
    <x v="1"/>
    <s v="유튜브 디스커버리"/>
    <x v="0"/>
    <x v="0"/>
    <x v="0"/>
    <m/>
    <m/>
    <n v="844935"/>
    <m/>
    <m/>
    <m/>
  </r>
  <r>
    <x v="401"/>
    <x v="0"/>
    <s v="유튜브 디스커버리"/>
    <x v="0"/>
    <x v="0"/>
    <x v="0"/>
    <m/>
    <m/>
    <n v="615480"/>
    <m/>
    <m/>
    <m/>
  </r>
  <r>
    <x v="402"/>
    <x v="2"/>
    <s v="유튜브 디스커버리"/>
    <x v="0"/>
    <x v="0"/>
    <x v="0"/>
    <m/>
    <m/>
    <m/>
    <m/>
    <m/>
    <m/>
  </r>
  <r>
    <x v="403"/>
    <x v="5"/>
    <s v="유튜브 디스커버리"/>
    <x v="0"/>
    <x v="0"/>
    <x v="0"/>
    <m/>
    <m/>
    <m/>
    <m/>
    <m/>
    <m/>
  </r>
  <r>
    <x v="404"/>
    <x v="6"/>
    <s v="유튜브 디스커버리"/>
    <x v="0"/>
    <x v="0"/>
    <x v="0"/>
    <m/>
    <m/>
    <m/>
    <m/>
    <m/>
    <m/>
  </r>
  <r>
    <x v="400"/>
    <x v="1"/>
    <s v="페이스북/인스타그램"/>
    <x v="5"/>
    <x v="0"/>
    <x v="0"/>
    <m/>
    <m/>
    <n v="162027"/>
    <m/>
    <m/>
    <m/>
  </r>
  <r>
    <x v="400"/>
    <x v="1"/>
    <s v="페이스북/인스타그램"/>
    <x v="0"/>
    <x v="0"/>
    <x v="0"/>
    <m/>
    <m/>
    <n v="341032"/>
    <m/>
    <m/>
    <m/>
  </r>
  <r>
    <x v="400"/>
    <x v="1"/>
    <s v="페이스북/인스타그램"/>
    <x v="8"/>
    <x v="0"/>
    <x v="0"/>
    <m/>
    <m/>
    <n v="410463"/>
    <m/>
    <m/>
    <m/>
  </r>
  <r>
    <x v="400"/>
    <x v="1"/>
    <s v="페이스북/인스타그램"/>
    <x v="7"/>
    <x v="0"/>
    <x v="0"/>
    <m/>
    <m/>
    <n v="1307372"/>
    <m/>
    <m/>
    <m/>
  </r>
  <r>
    <x v="401"/>
    <x v="0"/>
    <s v="페이스북/인스타그램"/>
    <x v="5"/>
    <x v="0"/>
    <x v="0"/>
    <m/>
    <m/>
    <n v="77964"/>
    <m/>
    <m/>
    <m/>
  </r>
  <r>
    <x v="401"/>
    <x v="0"/>
    <s v="페이스북/인스타그램"/>
    <x v="0"/>
    <x v="0"/>
    <x v="0"/>
    <m/>
    <m/>
    <n v="435763"/>
    <m/>
    <m/>
    <m/>
  </r>
  <r>
    <x v="401"/>
    <x v="0"/>
    <s v="페이스북/인스타그램"/>
    <x v="8"/>
    <x v="0"/>
    <x v="0"/>
    <m/>
    <m/>
    <n v="282188"/>
    <m/>
    <m/>
    <m/>
  </r>
  <r>
    <x v="401"/>
    <x v="0"/>
    <s v="페이스북/인스타그램"/>
    <x v="7"/>
    <x v="0"/>
    <x v="0"/>
    <m/>
    <m/>
    <n v="934532"/>
    <m/>
    <m/>
    <m/>
  </r>
  <r>
    <x v="402"/>
    <x v="2"/>
    <s v="페이스북/인스타그램"/>
    <x v="5"/>
    <x v="0"/>
    <x v="0"/>
    <m/>
    <m/>
    <n v="95007"/>
    <m/>
    <m/>
    <m/>
  </r>
  <r>
    <x v="402"/>
    <x v="2"/>
    <s v="페이스북/인스타그램"/>
    <x v="0"/>
    <x v="0"/>
    <x v="0"/>
    <m/>
    <m/>
    <n v="491693"/>
    <m/>
    <m/>
    <m/>
  </r>
  <r>
    <x v="402"/>
    <x v="2"/>
    <s v="페이스북/인스타그램"/>
    <x v="8"/>
    <x v="0"/>
    <x v="0"/>
    <m/>
    <m/>
    <n v="161950"/>
    <m/>
    <m/>
    <m/>
  </r>
  <r>
    <x v="402"/>
    <x v="2"/>
    <s v="페이스북/인스타그램"/>
    <x v="7"/>
    <x v="0"/>
    <x v="0"/>
    <m/>
    <m/>
    <n v="1120441"/>
    <m/>
    <m/>
    <m/>
  </r>
  <r>
    <x v="403"/>
    <x v="5"/>
    <s v="페이스북/인스타그램"/>
    <x v="5"/>
    <x v="0"/>
    <x v="0"/>
    <m/>
    <m/>
    <n v="101089"/>
    <m/>
    <m/>
    <m/>
  </r>
  <r>
    <x v="403"/>
    <x v="5"/>
    <s v="페이스북/인스타그램"/>
    <x v="0"/>
    <x v="0"/>
    <x v="0"/>
    <m/>
    <m/>
    <n v="289980"/>
    <m/>
    <m/>
    <m/>
  </r>
  <r>
    <x v="403"/>
    <x v="5"/>
    <s v="페이스북/인스타그램"/>
    <x v="8"/>
    <x v="0"/>
    <x v="0"/>
    <m/>
    <m/>
    <n v="119195"/>
    <m/>
    <m/>
    <m/>
  </r>
  <r>
    <x v="403"/>
    <x v="5"/>
    <s v="페이스북/인스타그램"/>
    <x v="7"/>
    <x v="0"/>
    <x v="0"/>
    <m/>
    <m/>
    <n v="809431"/>
    <m/>
    <m/>
    <m/>
  </r>
  <r>
    <x v="404"/>
    <x v="6"/>
    <s v="페이스북/인스타그램"/>
    <x v="5"/>
    <x v="0"/>
    <x v="0"/>
    <m/>
    <m/>
    <n v="54178"/>
    <m/>
    <m/>
    <m/>
  </r>
  <r>
    <x v="404"/>
    <x v="6"/>
    <s v="페이스북/인스타그램"/>
    <x v="0"/>
    <x v="0"/>
    <x v="0"/>
    <m/>
    <m/>
    <n v="258075"/>
    <m/>
    <m/>
    <m/>
  </r>
  <r>
    <x v="404"/>
    <x v="6"/>
    <s v="페이스북/인스타그램"/>
    <x v="8"/>
    <x v="0"/>
    <x v="0"/>
    <m/>
    <m/>
    <n v="131322"/>
    <m/>
    <m/>
    <m/>
  </r>
  <r>
    <x v="404"/>
    <x v="6"/>
    <s v="페이스북/인스타그램"/>
    <x v="7"/>
    <x v="0"/>
    <x v="0"/>
    <m/>
    <m/>
    <n v="745960"/>
    <m/>
    <m/>
    <m/>
  </r>
  <r>
    <x v="400"/>
    <x v="1"/>
    <s v="유튜브 디스커버리"/>
    <x v="0"/>
    <x v="0"/>
    <x v="0"/>
    <m/>
    <m/>
    <n v="844935"/>
    <m/>
    <m/>
    <m/>
  </r>
  <r>
    <x v="401"/>
    <x v="0"/>
    <s v="유튜브 디스커버리"/>
    <x v="0"/>
    <x v="0"/>
    <x v="0"/>
    <m/>
    <m/>
    <n v="615480"/>
    <m/>
    <m/>
    <m/>
  </r>
  <r>
    <x v="402"/>
    <x v="2"/>
    <s v="유튜브 디스커버리"/>
    <x v="0"/>
    <x v="0"/>
    <x v="0"/>
    <m/>
    <m/>
    <m/>
    <m/>
    <m/>
    <m/>
  </r>
  <r>
    <x v="403"/>
    <x v="5"/>
    <s v="유튜브 디스커버리"/>
    <x v="0"/>
    <x v="0"/>
    <x v="0"/>
    <m/>
    <m/>
    <m/>
    <m/>
    <m/>
    <m/>
  </r>
  <r>
    <x v="404"/>
    <x v="6"/>
    <s v="유튜브 디스커버리"/>
    <x v="0"/>
    <x v="0"/>
    <x v="0"/>
    <m/>
    <m/>
    <m/>
    <m/>
    <m/>
    <m/>
  </r>
  <r>
    <x v="405"/>
    <x v="3"/>
    <s v="페이스북/인스타그램"/>
    <x v="7"/>
    <x v="0"/>
    <x v="0"/>
    <m/>
    <m/>
    <n v="551449"/>
    <m/>
    <m/>
    <m/>
  </r>
  <r>
    <x v="405"/>
    <x v="3"/>
    <s v="페이스북/인스타그램"/>
    <x v="8"/>
    <x v="0"/>
    <x v="0"/>
    <m/>
    <m/>
    <n v="100745"/>
    <m/>
    <m/>
    <m/>
  </r>
  <r>
    <x v="405"/>
    <x v="3"/>
    <s v="페이스북/인스타그램"/>
    <x v="0"/>
    <x v="0"/>
    <x v="0"/>
    <m/>
    <m/>
    <n v="233475"/>
    <m/>
    <m/>
    <m/>
  </r>
  <r>
    <x v="405"/>
    <x v="3"/>
    <s v="페이스북/인스타그램"/>
    <x v="5"/>
    <x v="0"/>
    <x v="0"/>
    <m/>
    <m/>
    <n v="48375"/>
    <m/>
    <m/>
    <m/>
  </r>
  <r>
    <x v="405"/>
    <x v="3"/>
    <s v="네이버 브랜드검색"/>
    <x v="0"/>
    <x v="0"/>
    <x v="0"/>
    <m/>
    <m/>
    <n v="50000"/>
    <m/>
    <m/>
    <m/>
  </r>
  <r>
    <x v="405"/>
    <x v="3"/>
    <s v="카카오광고"/>
    <x v="0"/>
    <x v="0"/>
    <x v="0"/>
    <m/>
    <m/>
    <n v="14080"/>
    <m/>
    <m/>
    <m/>
  </r>
  <r>
    <x v="405"/>
    <x v="3"/>
    <s v="유튜브 디스커버리"/>
    <x v="0"/>
    <x v="0"/>
    <x v="0"/>
    <m/>
    <m/>
    <n v="712963"/>
    <m/>
    <m/>
    <m/>
  </r>
  <r>
    <x v="405"/>
    <x v="3"/>
    <s v="네이버 쇼핑검색"/>
    <x v="10"/>
    <x v="0"/>
    <x v="0"/>
    <m/>
    <m/>
    <n v="0"/>
    <m/>
    <m/>
    <m/>
  </r>
  <r>
    <x v="405"/>
    <x v="3"/>
    <s v="네이버 GFA"/>
    <x v="0"/>
    <x v="0"/>
    <x v="0"/>
    <m/>
    <m/>
    <n v="99279.0909090909"/>
    <m/>
    <m/>
    <m/>
  </r>
  <r>
    <x v="405"/>
    <x v="3"/>
    <s v="네이버 GFA"/>
    <x v="5"/>
    <x v="0"/>
    <x v="0"/>
    <m/>
    <m/>
    <n v="87280.90909090909"/>
    <m/>
    <m/>
    <m/>
  </r>
  <r>
    <x v="406"/>
    <x v="4"/>
    <s v="페이스북/인스타그램"/>
    <x v="7"/>
    <x v="0"/>
    <x v="0"/>
    <m/>
    <m/>
    <n v="540431"/>
    <m/>
    <m/>
    <m/>
  </r>
  <r>
    <x v="406"/>
    <x v="4"/>
    <s v="페이스북/인스타그램"/>
    <x v="8"/>
    <x v="0"/>
    <x v="0"/>
    <m/>
    <m/>
    <n v="77308"/>
    <m/>
    <m/>
    <m/>
  </r>
  <r>
    <x v="406"/>
    <x v="4"/>
    <s v="페이스북/인스타그램"/>
    <x v="0"/>
    <x v="0"/>
    <x v="0"/>
    <m/>
    <m/>
    <n v="269244"/>
    <m/>
    <m/>
    <m/>
  </r>
  <r>
    <x v="406"/>
    <x v="4"/>
    <s v="페이스북/인스타그램"/>
    <x v="5"/>
    <x v="0"/>
    <x v="0"/>
    <m/>
    <m/>
    <n v="80153"/>
    <m/>
    <m/>
    <m/>
  </r>
  <r>
    <x v="406"/>
    <x v="4"/>
    <s v="네이버 브랜드검색"/>
    <x v="0"/>
    <x v="0"/>
    <x v="0"/>
    <m/>
    <m/>
    <n v="50000"/>
    <m/>
    <m/>
    <m/>
  </r>
  <r>
    <x v="406"/>
    <x v="4"/>
    <s v="카카오광고"/>
    <x v="0"/>
    <x v="0"/>
    <x v="0"/>
    <m/>
    <m/>
    <n v="7109.999999999999"/>
    <m/>
    <m/>
    <m/>
  </r>
  <r>
    <x v="406"/>
    <x v="4"/>
    <s v="유튜브 디스커버리"/>
    <x v="0"/>
    <x v="0"/>
    <x v="0"/>
    <m/>
    <m/>
    <n v="744022"/>
    <m/>
    <m/>
    <m/>
  </r>
  <r>
    <x v="406"/>
    <x v="4"/>
    <s v="네이버 쇼핑검색"/>
    <x v="10"/>
    <x v="0"/>
    <x v="0"/>
    <m/>
    <m/>
    <n v="0"/>
    <m/>
    <m/>
    <m/>
  </r>
  <r>
    <x v="406"/>
    <x v="4"/>
    <s v="네이버 GFA"/>
    <x v="0"/>
    <x v="0"/>
    <x v="0"/>
    <m/>
    <m/>
    <n v="97432.72727272726"/>
    <m/>
    <m/>
    <m/>
  </r>
  <r>
    <x v="406"/>
    <x v="4"/>
    <s v="네이버 GFA"/>
    <x v="7"/>
    <x v="0"/>
    <x v="0"/>
    <m/>
    <m/>
    <n v="41498.18181818182"/>
    <m/>
    <m/>
    <m/>
  </r>
  <r>
    <x v="406"/>
    <x v="4"/>
    <s v="네이버 GFA"/>
    <x v="5"/>
    <x v="0"/>
    <x v="0"/>
    <m/>
    <m/>
    <n v="48751.81818181818"/>
    <m/>
    <m/>
    <m/>
  </r>
  <r>
    <x v="407"/>
    <x v="1"/>
    <s v="페이스북/인스타그램"/>
    <x v="7"/>
    <x v="0"/>
    <x v="0"/>
    <m/>
    <m/>
    <n v="508988"/>
    <m/>
    <m/>
    <m/>
  </r>
  <r>
    <x v="407"/>
    <x v="1"/>
    <s v="페이스북/인스타그램"/>
    <x v="8"/>
    <x v="0"/>
    <x v="0"/>
    <m/>
    <m/>
    <n v="33869"/>
    <m/>
    <m/>
    <m/>
  </r>
  <r>
    <x v="407"/>
    <x v="1"/>
    <s v="페이스북/인스타그램"/>
    <x v="0"/>
    <x v="0"/>
    <x v="0"/>
    <m/>
    <m/>
    <n v="267708"/>
    <m/>
    <m/>
    <m/>
  </r>
  <r>
    <x v="407"/>
    <x v="1"/>
    <s v="페이스북/인스타그램"/>
    <x v="5"/>
    <x v="0"/>
    <x v="0"/>
    <m/>
    <m/>
    <n v="79558"/>
    <m/>
    <m/>
    <m/>
  </r>
  <r>
    <x v="407"/>
    <x v="1"/>
    <s v="네이버 브랜드검색"/>
    <x v="0"/>
    <x v="0"/>
    <x v="0"/>
    <m/>
    <m/>
    <n v="50000"/>
    <m/>
    <m/>
    <m/>
  </r>
  <r>
    <x v="407"/>
    <x v="1"/>
    <s v="카카오광고"/>
    <x v="0"/>
    <x v="0"/>
    <x v="0"/>
    <m/>
    <m/>
    <n v="5759.999999999999"/>
    <m/>
    <m/>
    <m/>
  </r>
  <r>
    <x v="407"/>
    <x v="1"/>
    <s v="유튜브 디스커버리"/>
    <x v="0"/>
    <x v="0"/>
    <x v="0"/>
    <m/>
    <m/>
    <n v="612180"/>
    <m/>
    <m/>
    <m/>
  </r>
  <r>
    <x v="407"/>
    <x v="1"/>
    <s v="네이버 쇼핑검색"/>
    <x v="10"/>
    <x v="0"/>
    <x v="0"/>
    <m/>
    <m/>
    <n v="0"/>
    <m/>
    <m/>
    <m/>
  </r>
  <r>
    <x v="407"/>
    <x v="1"/>
    <s v="네이버 GFA"/>
    <x v="5"/>
    <x v="0"/>
    <x v="0"/>
    <m/>
    <m/>
    <n v="18160.90909090909"/>
    <m/>
    <m/>
    <m/>
  </r>
  <r>
    <x v="407"/>
    <x v="1"/>
    <s v="네이버 GFA"/>
    <x v="0"/>
    <x v="0"/>
    <x v="0"/>
    <m/>
    <m/>
    <n v="33053.63636363636"/>
    <m/>
    <m/>
    <m/>
  </r>
  <r>
    <x v="407"/>
    <x v="1"/>
    <s v="네이버 GFA"/>
    <x v="7"/>
    <x v="0"/>
    <x v="0"/>
    <m/>
    <m/>
    <n v="101838.1818181818"/>
    <m/>
    <m/>
    <m/>
  </r>
  <r>
    <x v="408"/>
    <x v="0"/>
    <s v="페이스북/인스타그램"/>
    <x v="7"/>
    <x v="0"/>
    <x v="0"/>
    <m/>
    <m/>
    <n v="675423"/>
    <m/>
    <m/>
    <m/>
  </r>
  <r>
    <x v="408"/>
    <x v="0"/>
    <s v="페이스북/인스타그램"/>
    <x v="8"/>
    <x v="0"/>
    <x v="0"/>
    <m/>
    <m/>
    <n v="0"/>
    <m/>
    <m/>
    <m/>
  </r>
  <r>
    <x v="408"/>
    <x v="0"/>
    <s v="페이스북/인스타그램"/>
    <x v="0"/>
    <x v="0"/>
    <x v="0"/>
    <m/>
    <m/>
    <n v="243229"/>
    <m/>
    <m/>
    <m/>
  </r>
  <r>
    <x v="408"/>
    <x v="0"/>
    <s v="페이스북/인스타그램"/>
    <x v="5"/>
    <x v="0"/>
    <x v="0"/>
    <m/>
    <m/>
    <n v="76369"/>
    <m/>
    <m/>
    <m/>
  </r>
  <r>
    <x v="408"/>
    <x v="0"/>
    <s v="네이버 브랜드검색"/>
    <x v="0"/>
    <x v="0"/>
    <x v="0"/>
    <m/>
    <m/>
    <n v="50000"/>
    <m/>
    <m/>
    <m/>
  </r>
  <r>
    <x v="408"/>
    <x v="0"/>
    <s v="카카오광고"/>
    <x v="0"/>
    <x v="0"/>
    <x v="0"/>
    <m/>
    <m/>
    <n v="3830"/>
    <m/>
    <m/>
    <m/>
  </r>
  <r>
    <x v="408"/>
    <x v="0"/>
    <s v="유튜브 디스커버리"/>
    <x v="0"/>
    <x v="0"/>
    <x v="0"/>
    <m/>
    <m/>
    <n v="638052"/>
    <m/>
    <m/>
    <m/>
  </r>
  <r>
    <x v="408"/>
    <x v="0"/>
    <s v="네이버 쇼핑검색"/>
    <x v="10"/>
    <x v="0"/>
    <x v="0"/>
    <m/>
    <m/>
    <n v="0"/>
    <m/>
    <m/>
    <m/>
  </r>
  <r>
    <x v="408"/>
    <x v="0"/>
    <s v="네이버 GFA"/>
    <x v="5"/>
    <x v="0"/>
    <x v="0"/>
    <m/>
    <m/>
    <n v="18160.90909090909"/>
    <m/>
    <m/>
    <m/>
  </r>
  <r>
    <x v="408"/>
    <x v="0"/>
    <s v="네이버 GFA"/>
    <x v="0"/>
    <x v="0"/>
    <x v="0"/>
    <m/>
    <m/>
    <n v="134402"/>
    <m/>
    <m/>
    <m/>
  </r>
  <r>
    <x v="408"/>
    <x v="0"/>
    <s v="네이버 GFA"/>
    <x v="7"/>
    <x v="0"/>
    <x v="0"/>
    <m/>
    <m/>
    <n v="110842"/>
    <m/>
    <m/>
    <m/>
  </r>
  <r>
    <x v="409"/>
    <x v="2"/>
    <s v="페이스북/인스타그램"/>
    <x v="5"/>
    <x v="0"/>
    <x v="0"/>
    <m/>
    <m/>
    <n v="56130.8"/>
    <m/>
    <m/>
    <m/>
  </r>
  <r>
    <x v="410"/>
    <x v="5"/>
    <s v="페이스북/인스타그램"/>
    <x v="5"/>
    <x v="0"/>
    <x v="0"/>
    <m/>
    <m/>
    <n v="0"/>
    <m/>
    <m/>
    <m/>
  </r>
  <r>
    <x v="411"/>
    <x v="6"/>
    <s v="페이스북/인스타그램"/>
    <x v="5"/>
    <x v="0"/>
    <x v="0"/>
    <m/>
    <m/>
    <n v="0"/>
    <m/>
    <m/>
    <m/>
  </r>
  <r>
    <x v="409"/>
    <x v="2"/>
    <s v="페이스북/인스타그램"/>
    <x v="0"/>
    <x v="0"/>
    <x v="0"/>
    <m/>
    <m/>
    <n v="252253.1"/>
    <m/>
    <m/>
    <m/>
  </r>
  <r>
    <x v="410"/>
    <x v="5"/>
    <s v="페이스북/인스타그램"/>
    <x v="0"/>
    <x v="0"/>
    <x v="0"/>
    <m/>
    <m/>
    <n v="190950.1"/>
    <m/>
    <m/>
    <m/>
  </r>
  <r>
    <x v="411"/>
    <x v="6"/>
    <s v="페이스북/인스타그램"/>
    <x v="0"/>
    <x v="0"/>
    <x v="0"/>
    <m/>
    <m/>
    <n v="342908.5"/>
    <m/>
    <m/>
    <m/>
  </r>
  <r>
    <x v="409"/>
    <x v="2"/>
    <s v="페이스북/인스타그램"/>
    <x v="7"/>
    <x v="0"/>
    <x v="0"/>
    <m/>
    <m/>
    <n v="858453.2000000001"/>
    <m/>
    <m/>
    <m/>
  </r>
  <r>
    <x v="410"/>
    <x v="5"/>
    <s v="페이스북/인스타그램"/>
    <x v="7"/>
    <x v="0"/>
    <x v="0"/>
    <m/>
    <m/>
    <n v="642998.4"/>
    <m/>
    <m/>
    <m/>
  </r>
  <r>
    <x v="411"/>
    <x v="6"/>
    <s v="페이스북/인스타그램"/>
    <x v="7"/>
    <x v="0"/>
    <x v="0"/>
    <m/>
    <m/>
    <n v="842033.5"/>
    <m/>
    <m/>
    <m/>
  </r>
  <r>
    <x v="409"/>
    <x v="2"/>
    <s v="네이버 브랜드검색"/>
    <x v="0"/>
    <x v="0"/>
    <x v="0"/>
    <m/>
    <m/>
    <n v="50000"/>
    <m/>
    <m/>
    <m/>
  </r>
  <r>
    <x v="410"/>
    <x v="5"/>
    <s v="네이버 브랜드검색"/>
    <x v="0"/>
    <x v="0"/>
    <x v="0"/>
    <m/>
    <m/>
    <n v="50000"/>
    <m/>
    <m/>
    <m/>
  </r>
  <r>
    <x v="411"/>
    <x v="6"/>
    <s v="네이버 브랜드검색"/>
    <x v="0"/>
    <x v="0"/>
    <x v="0"/>
    <m/>
    <m/>
    <n v="50000"/>
    <m/>
    <m/>
    <m/>
  </r>
  <r>
    <x v="409"/>
    <x v="2"/>
    <s v="카카오광고"/>
    <x v="0"/>
    <x v="0"/>
    <x v="0"/>
    <m/>
    <m/>
    <n v="2948"/>
    <m/>
    <m/>
    <m/>
  </r>
  <r>
    <x v="410"/>
    <x v="5"/>
    <s v="카카오광고"/>
    <x v="0"/>
    <x v="0"/>
    <x v="0"/>
    <m/>
    <m/>
    <n v="5060"/>
    <m/>
    <m/>
    <m/>
  </r>
  <r>
    <x v="411"/>
    <x v="6"/>
    <s v="카카오광고"/>
    <x v="0"/>
    <x v="0"/>
    <x v="0"/>
    <m/>
    <m/>
    <n v="10494"/>
    <m/>
    <m/>
    <m/>
  </r>
  <r>
    <x v="409"/>
    <x v="2"/>
    <s v="유튜브 디스커버리"/>
    <x v="0"/>
    <x v="0"/>
    <x v="0"/>
    <m/>
    <m/>
    <n v="7661.500000000001"/>
    <m/>
    <m/>
    <m/>
  </r>
  <r>
    <x v="410"/>
    <x v="5"/>
    <s v="유튜브 디스커버리"/>
    <x v="0"/>
    <x v="0"/>
    <x v="0"/>
    <m/>
    <m/>
    <n v="0"/>
    <m/>
    <m/>
    <m/>
  </r>
  <r>
    <x v="411"/>
    <x v="6"/>
    <s v="유튜브 디스커버리"/>
    <x v="0"/>
    <x v="0"/>
    <x v="0"/>
    <m/>
    <m/>
    <n v="1418685.4"/>
    <m/>
    <m/>
    <m/>
  </r>
  <r>
    <x v="409"/>
    <x v="2"/>
    <s v="네이버 쇼핑검색"/>
    <x v="10"/>
    <x v="0"/>
    <x v="0"/>
    <m/>
    <m/>
    <n v="700"/>
    <m/>
    <m/>
    <m/>
  </r>
  <r>
    <x v="410"/>
    <x v="5"/>
    <s v="네이버 쇼핑검색"/>
    <x v="10"/>
    <x v="0"/>
    <x v="0"/>
    <m/>
    <m/>
    <n v="1450"/>
    <m/>
    <m/>
    <m/>
  </r>
  <r>
    <x v="411"/>
    <x v="6"/>
    <s v="네이버 쇼핑검색"/>
    <x v="10"/>
    <x v="0"/>
    <x v="0"/>
    <m/>
    <m/>
    <n v="749.9999999999999"/>
    <m/>
    <m/>
    <m/>
  </r>
  <r>
    <x v="409"/>
    <x v="2"/>
    <s v="네이버 GFA"/>
    <x v="0"/>
    <x v="0"/>
    <x v="0"/>
    <m/>
    <m/>
    <n v="186729"/>
    <m/>
    <m/>
    <m/>
  </r>
  <r>
    <x v="410"/>
    <x v="5"/>
    <s v="네이버 GFA"/>
    <x v="0"/>
    <x v="0"/>
    <x v="0"/>
    <m/>
    <m/>
    <n v="185288"/>
    <m/>
    <m/>
    <m/>
  </r>
  <r>
    <x v="411"/>
    <x v="6"/>
    <s v="네이버 GFA"/>
    <x v="0"/>
    <x v="0"/>
    <x v="0"/>
    <m/>
    <m/>
    <n v="207935"/>
    <m/>
    <m/>
    <m/>
  </r>
  <r>
    <x v="409"/>
    <x v="2"/>
    <s v="네이버 GFA"/>
    <x v="7"/>
    <x v="0"/>
    <x v="0"/>
    <m/>
    <m/>
    <n v="105211"/>
    <m/>
    <m/>
    <m/>
  </r>
  <r>
    <x v="410"/>
    <x v="5"/>
    <s v="네이버 GFA"/>
    <x v="7"/>
    <x v="0"/>
    <x v="0"/>
    <m/>
    <m/>
    <n v="102960"/>
    <m/>
    <m/>
    <m/>
  </r>
  <r>
    <x v="411"/>
    <x v="6"/>
    <s v="네이버 GFA"/>
    <x v="7"/>
    <x v="0"/>
    <x v="0"/>
    <m/>
    <m/>
    <n v="104000"/>
    <m/>
    <m/>
    <m/>
  </r>
  <r>
    <x v="412"/>
    <x v="3"/>
    <s v="페이스북/인스타그램"/>
    <x v="7"/>
    <x v="0"/>
    <x v="0"/>
    <m/>
    <m/>
    <n v="1095342"/>
    <m/>
    <m/>
    <m/>
  </r>
  <r>
    <x v="412"/>
    <x v="3"/>
    <s v="페이스북/인스타그램"/>
    <x v="0"/>
    <x v="0"/>
    <x v="0"/>
    <m/>
    <m/>
    <n v="542992"/>
    <m/>
    <m/>
    <m/>
  </r>
  <r>
    <x v="412"/>
    <x v="3"/>
    <s v="네이버 브랜드검색"/>
    <x v="0"/>
    <x v="0"/>
    <x v="0"/>
    <m/>
    <m/>
    <n v="50000"/>
    <m/>
    <m/>
    <m/>
  </r>
  <r>
    <x v="412"/>
    <x v="3"/>
    <s v="카카오광고"/>
    <x v="0"/>
    <x v="0"/>
    <x v="0"/>
    <m/>
    <m/>
    <n v="9760"/>
    <m/>
    <m/>
    <m/>
  </r>
  <r>
    <x v="412"/>
    <x v="3"/>
    <s v="카카오톡 메시지"/>
    <x v="11"/>
    <x v="0"/>
    <x v="0"/>
    <m/>
    <m/>
    <n v="419654.9999999999"/>
    <m/>
    <m/>
    <m/>
  </r>
  <r>
    <x v="412"/>
    <x v="3"/>
    <s v="유튜브 디스커버리"/>
    <x v="0"/>
    <x v="0"/>
    <x v="0"/>
    <m/>
    <m/>
    <n v="638052"/>
    <m/>
    <m/>
    <m/>
  </r>
  <r>
    <x v="412"/>
    <x v="3"/>
    <s v="네이버 쇼핑검색"/>
    <x v="10"/>
    <x v="0"/>
    <x v="0"/>
    <m/>
    <m/>
    <n v="1600"/>
    <m/>
    <m/>
    <m/>
  </r>
  <r>
    <x v="412"/>
    <x v="3"/>
    <s v="네이버 GFA"/>
    <x v="0"/>
    <x v="0"/>
    <x v="0"/>
    <m/>
    <m/>
    <n v="105332.7272727273"/>
    <m/>
    <m/>
    <m/>
  </r>
  <r>
    <x v="412"/>
    <x v="3"/>
    <s v="네이버 GFA"/>
    <x v="7"/>
    <x v="0"/>
    <x v="0"/>
    <m/>
    <m/>
    <n v="83241.81818181818"/>
    <m/>
    <m/>
    <m/>
  </r>
  <r>
    <x v="413"/>
    <x v="4"/>
    <s v="페이스북/인스타그램"/>
    <x v="7"/>
    <x v="0"/>
    <x v="0"/>
    <m/>
    <m/>
    <n v="1517096"/>
    <m/>
    <m/>
    <m/>
  </r>
  <r>
    <x v="413"/>
    <x v="4"/>
    <s v="페이스북/인스타그램"/>
    <x v="0"/>
    <x v="0"/>
    <x v="0"/>
    <m/>
    <m/>
    <n v="709070"/>
    <m/>
    <m/>
    <m/>
  </r>
  <r>
    <x v="413"/>
    <x v="4"/>
    <s v="네이버 브랜드검색"/>
    <x v="0"/>
    <x v="0"/>
    <x v="0"/>
    <m/>
    <m/>
    <n v="50000"/>
    <m/>
    <m/>
    <m/>
  </r>
  <r>
    <x v="413"/>
    <x v="4"/>
    <s v="카카오광고"/>
    <x v="7"/>
    <x v="0"/>
    <x v="0"/>
    <m/>
    <m/>
    <n v="6109.999999999999"/>
    <m/>
    <m/>
    <m/>
  </r>
  <r>
    <x v="413"/>
    <x v="4"/>
    <s v="카카오광고"/>
    <x v="0"/>
    <x v="0"/>
    <x v="0"/>
    <m/>
    <m/>
    <n v="7069.999999999999"/>
    <m/>
    <m/>
    <m/>
  </r>
  <r>
    <x v="413"/>
    <x v="4"/>
    <s v="카카오톡 메시지"/>
    <x v="11"/>
    <x v="0"/>
    <x v="0"/>
    <m/>
    <m/>
    <n v="1875"/>
    <m/>
    <m/>
    <m/>
  </r>
  <r>
    <x v="413"/>
    <x v="4"/>
    <s v="유튜브 디스커버리"/>
    <x v="0"/>
    <x v="0"/>
    <x v="0"/>
    <m/>
    <m/>
    <n v="402456"/>
    <m/>
    <m/>
    <m/>
  </r>
  <r>
    <x v="413"/>
    <x v="4"/>
    <s v="네이버 쇼핑검색"/>
    <x v="10"/>
    <x v="0"/>
    <x v="0"/>
    <m/>
    <m/>
    <n v="2020"/>
    <m/>
    <m/>
    <m/>
  </r>
  <r>
    <x v="413"/>
    <x v="4"/>
    <s v="네이버 GFA"/>
    <x v="0"/>
    <x v="0"/>
    <x v="0"/>
    <m/>
    <m/>
    <n v="593328.1818181818"/>
    <m/>
    <m/>
    <m/>
  </r>
  <r>
    <x v="413"/>
    <x v="4"/>
    <s v="네이버 GFA"/>
    <x v="7"/>
    <x v="0"/>
    <x v="0"/>
    <m/>
    <m/>
    <n v="402930.9090909091"/>
    <m/>
    <m/>
    <m/>
  </r>
  <r>
    <x v="414"/>
    <x v="1"/>
    <s v="페이스북/인스타그램"/>
    <x v="7"/>
    <x v="0"/>
    <x v="0"/>
    <m/>
    <m/>
    <n v="1950185"/>
    <m/>
    <m/>
    <m/>
  </r>
  <r>
    <x v="414"/>
    <x v="1"/>
    <s v="페이스북/인스타그램"/>
    <x v="0"/>
    <x v="0"/>
    <x v="0"/>
    <m/>
    <m/>
    <n v="1130434"/>
    <m/>
    <m/>
    <m/>
  </r>
  <r>
    <x v="414"/>
    <x v="1"/>
    <s v="네이버 브랜드검색"/>
    <x v="0"/>
    <x v="0"/>
    <x v="0"/>
    <m/>
    <m/>
    <n v="50000"/>
    <m/>
    <m/>
    <m/>
  </r>
  <r>
    <x v="414"/>
    <x v="1"/>
    <s v="카카오광고"/>
    <x v="7"/>
    <x v="0"/>
    <x v="0"/>
    <m/>
    <m/>
    <n v="63969.99999999999"/>
    <m/>
    <m/>
    <m/>
  </r>
  <r>
    <x v="414"/>
    <x v="1"/>
    <s v="카카오광고"/>
    <x v="0"/>
    <x v="0"/>
    <x v="0"/>
    <m/>
    <m/>
    <n v="3510"/>
    <m/>
    <m/>
    <m/>
  </r>
  <r>
    <x v="414"/>
    <x v="1"/>
    <s v="유튜브 디스커버리"/>
    <x v="0"/>
    <x v="0"/>
    <x v="0"/>
    <m/>
    <m/>
    <n v="1227326"/>
    <m/>
    <m/>
    <m/>
  </r>
  <r>
    <x v="414"/>
    <x v="1"/>
    <s v="네이버 쇼핑검색"/>
    <x v="10"/>
    <x v="0"/>
    <x v="0"/>
    <m/>
    <m/>
    <n v="1360"/>
    <m/>
    <m/>
    <m/>
  </r>
  <r>
    <x v="414"/>
    <x v="1"/>
    <s v="네이버 GFA"/>
    <x v="0"/>
    <x v="0"/>
    <x v="0"/>
    <m/>
    <m/>
    <n v="1529730.909090909"/>
    <m/>
    <m/>
    <m/>
  </r>
  <r>
    <x v="414"/>
    <x v="1"/>
    <s v="네이버 GFA"/>
    <x v="7"/>
    <x v="0"/>
    <x v="0"/>
    <m/>
    <m/>
    <n v="3406176.363636363"/>
    <m/>
    <m/>
    <m/>
  </r>
  <r>
    <x v="415"/>
    <x v="0"/>
    <s v="페이스북/인스타그램"/>
    <x v="7"/>
    <x v="0"/>
    <x v="0"/>
    <m/>
    <m/>
    <n v="1887111"/>
    <m/>
    <m/>
    <m/>
  </r>
  <r>
    <x v="415"/>
    <x v="0"/>
    <s v="페이스북/인스타그램"/>
    <x v="0"/>
    <x v="0"/>
    <x v="0"/>
    <m/>
    <m/>
    <n v="826067"/>
    <m/>
    <m/>
    <m/>
  </r>
  <r>
    <x v="415"/>
    <x v="0"/>
    <s v="네이버 브랜드검색"/>
    <x v="0"/>
    <x v="0"/>
    <x v="0"/>
    <m/>
    <m/>
    <n v="50000"/>
    <m/>
    <m/>
    <m/>
  </r>
  <r>
    <x v="415"/>
    <x v="0"/>
    <s v="카카오광고"/>
    <x v="7"/>
    <x v="0"/>
    <x v="0"/>
    <m/>
    <m/>
    <n v="83670"/>
    <m/>
    <m/>
    <m/>
  </r>
  <r>
    <x v="415"/>
    <x v="0"/>
    <s v="카카오광고"/>
    <x v="0"/>
    <x v="0"/>
    <x v="0"/>
    <m/>
    <m/>
    <n v="6869.999999999999"/>
    <m/>
    <m/>
    <m/>
  </r>
  <r>
    <x v="415"/>
    <x v="0"/>
    <s v="유튜브 디스커버리"/>
    <x v="0"/>
    <x v="0"/>
    <x v="0"/>
    <m/>
    <m/>
    <n v="943814"/>
    <m/>
    <m/>
    <m/>
  </r>
  <r>
    <x v="415"/>
    <x v="0"/>
    <s v="네이버 쇼핑검색"/>
    <x v="10"/>
    <x v="0"/>
    <x v="0"/>
    <m/>
    <m/>
    <n v="3150"/>
    <m/>
    <m/>
    <m/>
  </r>
  <r>
    <x v="415"/>
    <x v="0"/>
    <s v="네이버 GFA"/>
    <x v="0"/>
    <x v="0"/>
    <x v="0"/>
    <m/>
    <m/>
    <n v="3541251.818181817"/>
    <m/>
    <m/>
    <m/>
  </r>
  <r>
    <x v="415"/>
    <x v="0"/>
    <s v="네이버 GFA"/>
    <x v="7"/>
    <x v="0"/>
    <x v="0"/>
    <m/>
    <m/>
    <n v="2317206.363636363"/>
    <m/>
    <m/>
    <m/>
  </r>
  <r>
    <x v="416"/>
    <x v="2"/>
    <s v="페이스북/인스타그램"/>
    <x v="7"/>
    <x v="0"/>
    <x v="0"/>
    <m/>
    <m/>
    <n v="1188283"/>
    <m/>
    <m/>
    <m/>
  </r>
  <r>
    <x v="417"/>
    <x v="5"/>
    <s v="페이스북/인스타그램"/>
    <x v="7"/>
    <x v="0"/>
    <x v="0"/>
    <m/>
    <m/>
    <n v="681412"/>
    <m/>
    <m/>
    <m/>
  </r>
  <r>
    <x v="418"/>
    <x v="6"/>
    <s v="페이스북/인스타그램"/>
    <x v="7"/>
    <x v="0"/>
    <x v="0"/>
    <m/>
    <m/>
    <n v="802161"/>
    <m/>
    <m/>
    <m/>
  </r>
  <r>
    <x v="416"/>
    <x v="2"/>
    <s v="페이스북/인스타그램"/>
    <x v="0"/>
    <x v="0"/>
    <x v="0"/>
    <m/>
    <m/>
    <n v="698256"/>
    <m/>
    <m/>
    <m/>
  </r>
  <r>
    <x v="417"/>
    <x v="5"/>
    <s v="페이스북/인스타그램"/>
    <x v="0"/>
    <x v="0"/>
    <x v="0"/>
    <m/>
    <m/>
    <n v="480099"/>
    <m/>
    <m/>
    <m/>
  </r>
  <r>
    <x v="418"/>
    <x v="6"/>
    <s v="페이스북/인스타그램"/>
    <x v="0"/>
    <x v="0"/>
    <x v="0"/>
    <m/>
    <m/>
    <n v="633026"/>
    <m/>
    <m/>
    <m/>
  </r>
  <r>
    <x v="416"/>
    <x v="2"/>
    <s v="네이버 브랜드검색"/>
    <x v="0"/>
    <x v="0"/>
    <x v="0"/>
    <m/>
    <m/>
    <n v="50000"/>
    <m/>
    <m/>
    <m/>
  </r>
  <r>
    <x v="417"/>
    <x v="5"/>
    <s v="네이버 브랜드검색"/>
    <x v="0"/>
    <x v="0"/>
    <x v="0"/>
    <m/>
    <m/>
    <n v="50000"/>
    <m/>
    <m/>
    <m/>
  </r>
  <r>
    <x v="418"/>
    <x v="6"/>
    <s v="네이버 브랜드검색"/>
    <x v="0"/>
    <x v="0"/>
    <x v="0"/>
    <m/>
    <m/>
    <n v="50000"/>
    <m/>
    <m/>
    <m/>
  </r>
  <r>
    <x v="416"/>
    <x v="2"/>
    <s v="카카오광고"/>
    <x v="7"/>
    <x v="0"/>
    <x v="0"/>
    <m/>
    <m/>
    <n v="468040"/>
    <m/>
    <m/>
    <m/>
  </r>
  <r>
    <x v="417"/>
    <x v="5"/>
    <s v="카카오광고"/>
    <x v="7"/>
    <x v="0"/>
    <x v="0"/>
    <m/>
    <m/>
    <n v="488350"/>
    <m/>
    <m/>
    <m/>
  </r>
  <r>
    <x v="418"/>
    <x v="6"/>
    <s v="카카오광고"/>
    <x v="7"/>
    <x v="0"/>
    <x v="0"/>
    <m/>
    <m/>
    <n v="448770"/>
    <m/>
    <m/>
    <m/>
  </r>
  <r>
    <x v="416"/>
    <x v="2"/>
    <s v="카카오광고"/>
    <x v="0"/>
    <x v="0"/>
    <x v="0"/>
    <m/>
    <m/>
    <n v="7629.999999999999"/>
    <m/>
    <m/>
    <m/>
  </r>
  <r>
    <x v="417"/>
    <x v="5"/>
    <s v="카카오광고"/>
    <x v="0"/>
    <x v="0"/>
    <x v="0"/>
    <m/>
    <m/>
    <n v="16150"/>
    <m/>
    <m/>
    <m/>
  </r>
  <r>
    <x v="418"/>
    <x v="6"/>
    <s v="카카오광고"/>
    <x v="0"/>
    <x v="0"/>
    <x v="0"/>
    <m/>
    <m/>
    <n v="20180"/>
    <m/>
    <m/>
    <m/>
  </r>
  <r>
    <x v="416"/>
    <x v="2"/>
    <s v="유튜브 디스커버리"/>
    <x v="0"/>
    <x v="0"/>
    <x v="0"/>
    <m/>
    <m/>
    <n v="856621"/>
    <m/>
    <m/>
    <m/>
  </r>
  <r>
    <x v="417"/>
    <x v="5"/>
    <s v="유튜브 디스커버리"/>
    <x v="0"/>
    <x v="0"/>
    <x v="0"/>
    <m/>
    <m/>
    <n v="47433"/>
    <m/>
    <m/>
    <m/>
  </r>
  <r>
    <x v="418"/>
    <x v="6"/>
    <s v="유튜브 디스커버리"/>
    <x v="0"/>
    <x v="0"/>
    <x v="0"/>
    <m/>
    <m/>
    <n v="1268865"/>
    <m/>
    <m/>
    <m/>
  </r>
  <r>
    <x v="416"/>
    <x v="2"/>
    <s v="네이버 쇼핑검색"/>
    <x v="10"/>
    <x v="0"/>
    <x v="0"/>
    <m/>
    <m/>
    <n v="4440"/>
    <m/>
    <m/>
    <m/>
  </r>
  <r>
    <x v="417"/>
    <x v="5"/>
    <s v="네이버 쇼핑검색"/>
    <x v="10"/>
    <x v="0"/>
    <x v="0"/>
    <m/>
    <m/>
    <n v="3450"/>
    <m/>
    <m/>
    <m/>
  </r>
  <r>
    <x v="418"/>
    <x v="6"/>
    <s v="네이버 쇼핑검색"/>
    <x v="10"/>
    <x v="0"/>
    <x v="0"/>
    <m/>
    <m/>
    <n v="5659.999999999999"/>
    <m/>
    <m/>
    <m/>
  </r>
  <r>
    <x v="416"/>
    <x v="2"/>
    <s v="네이버 GFA"/>
    <x v="0"/>
    <x v="0"/>
    <x v="0"/>
    <m/>
    <m/>
    <n v="1603258.181818182"/>
    <m/>
    <m/>
    <m/>
  </r>
  <r>
    <x v="417"/>
    <x v="5"/>
    <s v="네이버 GFA"/>
    <x v="0"/>
    <x v="0"/>
    <x v="0"/>
    <m/>
    <m/>
    <n v="608941.8181818181"/>
    <m/>
    <m/>
    <m/>
  </r>
  <r>
    <x v="418"/>
    <x v="6"/>
    <s v="네이버 GFA"/>
    <x v="0"/>
    <x v="0"/>
    <x v="0"/>
    <m/>
    <m/>
    <n v="2589041.818181818"/>
    <m/>
    <m/>
    <m/>
  </r>
  <r>
    <x v="416"/>
    <x v="2"/>
    <s v="네이버 GFA"/>
    <x v="7"/>
    <x v="0"/>
    <x v="0"/>
    <m/>
    <m/>
    <n v="2110130.909090909"/>
    <m/>
    <m/>
    <m/>
  </r>
  <r>
    <x v="417"/>
    <x v="5"/>
    <s v="네이버 GFA"/>
    <x v="7"/>
    <x v="0"/>
    <x v="0"/>
    <m/>
    <m/>
    <n v="806149.0909090908"/>
    <m/>
    <m/>
    <m/>
  </r>
  <r>
    <x v="418"/>
    <x v="6"/>
    <s v="네이버 GFA"/>
    <x v="7"/>
    <x v="0"/>
    <x v="0"/>
    <m/>
    <m/>
    <n v="3048233.636363636"/>
    <m/>
    <m/>
    <m/>
  </r>
  <r>
    <x v="419"/>
    <x v="3"/>
    <s v="페이스북/인스타그램"/>
    <x v="7"/>
    <x v="0"/>
    <x v="0"/>
    <m/>
    <m/>
    <n v="928434"/>
    <m/>
    <m/>
    <m/>
  </r>
  <r>
    <x v="419"/>
    <x v="3"/>
    <s v="페이스북/인스타그램"/>
    <x v="0"/>
    <x v="0"/>
    <x v="0"/>
    <m/>
    <m/>
    <n v="858361"/>
    <m/>
    <m/>
    <m/>
  </r>
  <r>
    <x v="419"/>
    <x v="3"/>
    <s v="네이버 브랜드검색"/>
    <x v="0"/>
    <x v="0"/>
    <x v="0"/>
    <m/>
    <m/>
    <n v="50000"/>
    <m/>
    <m/>
    <m/>
  </r>
  <r>
    <x v="418"/>
    <x v="6"/>
    <s v="카카오광고"/>
    <x v="7"/>
    <x v="0"/>
    <x v="0"/>
    <m/>
    <m/>
    <n v="520729.9999999999"/>
    <m/>
    <m/>
    <m/>
  </r>
  <r>
    <x v="419"/>
    <x v="3"/>
    <s v="카카오광고"/>
    <x v="0"/>
    <x v="0"/>
    <x v="0"/>
    <m/>
    <m/>
    <n v="18520"/>
    <m/>
    <m/>
    <m/>
  </r>
  <r>
    <x v="419"/>
    <x v="3"/>
    <s v="유튜브 디스커버리"/>
    <x v="0"/>
    <x v="0"/>
    <x v="0"/>
    <m/>
    <m/>
    <n v="1209324"/>
    <m/>
    <m/>
    <m/>
  </r>
  <r>
    <x v="419"/>
    <x v="3"/>
    <s v="네이버 쇼핑검색"/>
    <x v="10"/>
    <x v="0"/>
    <x v="0"/>
    <m/>
    <m/>
    <n v="6919.999999999999"/>
    <m/>
    <m/>
    <m/>
  </r>
  <r>
    <x v="419"/>
    <x v="3"/>
    <s v="네이버 GFA"/>
    <x v="0"/>
    <x v="0"/>
    <x v="0"/>
    <m/>
    <m/>
    <n v="1295640"/>
    <m/>
    <m/>
    <m/>
  </r>
  <r>
    <x v="419"/>
    <x v="3"/>
    <s v="네이버 GFA"/>
    <x v="7"/>
    <x v="0"/>
    <x v="0"/>
    <m/>
    <m/>
    <n v="4074146.363636363"/>
    <m/>
    <m/>
    <m/>
  </r>
  <r>
    <x v="420"/>
    <x v="4"/>
    <s v="페이스북/인스타그램"/>
    <x v="7"/>
    <x v="0"/>
    <x v="0"/>
    <m/>
    <m/>
    <n v="315456"/>
    <m/>
    <m/>
    <m/>
  </r>
  <r>
    <x v="420"/>
    <x v="4"/>
    <s v="페이스북/인스타그램"/>
    <x v="0"/>
    <x v="0"/>
    <x v="0"/>
    <m/>
    <m/>
    <n v="723891"/>
    <m/>
    <m/>
    <m/>
  </r>
  <r>
    <x v="420"/>
    <x v="4"/>
    <s v="네이버 브랜드검색"/>
    <x v="0"/>
    <x v="0"/>
    <x v="0"/>
    <m/>
    <m/>
    <n v="50000"/>
    <m/>
    <m/>
    <m/>
  </r>
  <r>
    <x v="420"/>
    <x v="4"/>
    <s v="카카오광고"/>
    <x v="7"/>
    <x v="0"/>
    <x v="0"/>
    <m/>
    <m/>
    <n v="402169.9999999999"/>
    <m/>
    <m/>
    <m/>
  </r>
  <r>
    <x v="420"/>
    <x v="4"/>
    <s v="카카오광고"/>
    <x v="0"/>
    <x v="0"/>
    <x v="0"/>
    <m/>
    <m/>
    <n v="16810"/>
    <m/>
    <m/>
    <m/>
  </r>
  <r>
    <x v="420"/>
    <x v="4"/>
    <s v="유튜브 디스커버리"/>
    <x v="0"/>
    <x v="0"/>
    <x v="0"/>
    <m/>
    <m/>
    <n v="1736247"/>
    <m/>
    <m/>
    <m/>
  </r>
  <r>
    <x v="420"/>
    <x v="4"/>
    <s v="네이버 쇼핑검색"/>
    <x v="10"/>
    <x v="0"/>
    <x v="0"/>
    <m/>
    <m/>
    <n v="8680"/>
    <m/>
    <m/>
    <m/>
  </r>
  <r>
    <x v="420"/>
    <x v="4"/>
    <s v="네이버 GFA"/>
    <x v="0"/>
    <x v="0"/>
    <x v="0"/>
    <m/>
    <m/>
    <n v="332516.3636363636"/>
    <m/>
    <m/>
    <m/>
  </r>
  <r>
    <x v="420"/>
    <x v="4"/>
    <s v="네이버 GFA"/>
    <x v="7"/>
    <x v="0"/>
    <x v="0"/>
    <m/>
    <m/>
    <n v="2306842.727272727"/>
    <m/>
    <m/>
    <m/>
  </r>
  <r>
    <x v="421"/>
    <x v="1"/>
    <s v="페이스북/인스타그램"/>
    <x v="7"/>
    <x v="0"/>
    <x v="0"/>
    <m/>
    <m/>
    <n v="857103"/>
    <m/>
    <m/>
    <m/>
  </r>
  <r>
    <x v="421"/>
    <x v="1"/>
    <s v="페이스북/인스타그램"/>
    <x v="0"/>
    <x v="0"/>
    <x v="0"/>
    <m/>
    <m/>
    <n v="583205"/>
    <m/>
    <m/>
    <m/>
  </r>
  <r>
    <x v="421"/>
    <x v="1"/>
    <s v="네이버 브랜드검색"/>
    <x v="0"/>
    <x v="0"/>
    <x v="0"/>
    <m/>
    <m/>
    <n v="50000"/>
    <m/>
    <m/>
    <m/>
  </r>
  <r>
    <x v="421"/>
    <x v="1"/>
    <s v="카카오광고"/>
    <x v="7"/>
    <x v="0"/>
    <x v="0"/>
    <m/>
    <m/>
    <n v="280560"/>
    <m/>
    <m/>
    <m/>
  </r>
  <r>
    <x v="421"/>
    <x v="1"/>
    <s v="카카오광고"/>
    <x v="0"/>
    <x v="0"/>
    <x v="0"/>
    <m/>
    <m/>
    <n v="18580"/>
    <m/>
    <m/>
    <m/>
  </r>
  <r>
    <x v="421"/>
    <x v="1"/>
    <s v="유튜브 디스커버리"/>
    <x v="0"/>
    <x v="0"/>
    <x v="0"/>
    <m/>
    <m/>
    <n v="759646"/>
    <m/>
    <m/>
    <m/>
  </r>
  <r>
    <x v="421"/>
    <x v="1"/>
    <s v="네이버 쇼핑검색"/>
    <x v="10"/>
    <x v="0"/>
    <x v="0"/>
    <m/>
    <m/>
    <n v="18650"/>
    <m/>
    <m/>
    <m/>
  </r>
  <r>
    <x v="421"/>
    <x v="1"/>
    <s v="네이버 GFA"/>
    <x v="0"/>
    <x v="0"/>
    <x v="0"/>
    <m/>
    <m/>
    <n v="861334.5454545454"/>
    <m/>
    <m/>
    <m/>
  </r>
  <r>
    <x v="421"/>
    <x v="1"/>
    <s v="네이버 GFA"/>
    <x v="7"/>
    <x v="0"/>
    <x v="0"/>
    <m/>
    <m/>
    <n v="1368027.272727273"/>
    <m/>
    <m/>
    <m/>
  </r>
  <r>
    <x v="422"/>
    <x v="0"/>
    <s v="페이스북/인스타그램"/>
    <x v="7"/>
    <x v="0"/>
    <x v="0"/>
    <m/>
    <m/>
    <n v="964901"/>
    <m/>
    <m/>
    <m/>
  </r>
  <r>
    <x v="422"/>
    <x v="0"/>
    <s v="페이스북/인스타그램"/>
    <x v="0"/>
    <x v="0"/>
    <x v="0"/>
    <m/>
    <m/>
    <n v="534450"/>
    <m/>
    <m/>
    <m/>
  </r>
  <r>
    <x v="422"/>
    <x v="0"/>
    <s v="네이버 브랜드검색"/>
    <x v="0"/>
    <x v="0"/>
    <x v="0"/>
    <m/>
    <m/>
    <n v="50000"/>
    <m/>
    <m/>
    <m/>
  </r>
  <r>
    <x v="422"/>
    <x v="0"/>
    <s v="카카오광고"/>
    <x v="0"/>
    <x v="0"/>
    <x v="0"/>
    <m/>
    <m/>
    <n v="14150"/>
    <m/>
    <m/>
    <m/>
  </r>
  <r>
    <x v="422"/>
    <x v="0"/>
    <s v="유튜브 디스커버리"/>
    <x v="0"/>
    <x v="0"/>
    <x v="0"/>
    <m/>
    <m/>
    <n v="763963"/>
    <m/>
    <m/>
    <m/>
  </r>
  <r>
    <x v="422"/>
    <x v="0"/>
    <s v="네이버 쇼핑검색"/>
    <x v="10"/>
    <x v="0"/>
    <x v="0"/>
    <m/>
    <m/>
    <n v="27870"/>
    <m/>
    <m/>
    <m/>
  </r>
  <r>
    <x v="422"/>
    <x v="0"/>
    <s v="네이버 GFA"/>
    <x v="0"/>
    <x v="0"/>
    <x v="0"/>
    <m/>
    <m/>
    <n v="419798.1818181818"/>
    <m/>
    <m/>
    <m/>
  </r>
  <r>
    <x v="422"/>
    <x v="0"/>
    <s v="네이버 GFA"/>
    <x v="7"/>
    <x v="0"/>
    <x v="0"/>
    <m/>
    <m/>
    <n v="877144.5454545454"/>
    <m/>
    <m/>
    <m/>
  </r>
  <r>
    <x v="423"/>
    <x v="2"/>
    <s v="페이스북/인스타그램"/>
    <x v="0"/>
    <x v="0"/>
    <x v="0"/>
    <m/>
    <m/>
    <n v="431446"/>
    <m/>
    <m/>
    <m/>
  </r>
  <r>
    <x v="424"/>
    <x v="5"/>
    <s v="페이스북/인스타그램"/>
    <x v="0"/>
    <x v="0"/>
    <x v="0"/>
    <m/>
    <m/>
    <n v="286457"/>
    <m/>
    <m/>
    <m/>
  </r>
  <r>
    <x v="425"/>
    <x v="6"/>
    <s v="페이스북/인스타그램"/>
    <x v="0"/>
    <x v="0"/>
    <x v="0"/>
    <m/>
    <m/>
    <n v="333834"/>
    <m/>
    <m/>
    <m/>
  </r>
  <r>
    <x v="423"/>
    <x v="2"/>
    <s v="페이스북/인스타그램"/>
    <x v="7"/>
    <x v="0"/>
    <x v="0"/>
    <m/>
    <m/>
    <n v="987151"/>
    <m/>
    <m/>
    <m/>
  </r>
  <r>
    <x v="424"/>
    <x v="5"/>
    <s v="페이스북/인스타그램"/>
    <x v="7"/>
    <x v="0"/>
    <x v="0"/>
    <m/>
    <m/>
    <n v="722230"/>
    <m/>
    <m/>
    <m/>
  </r>
  <r>
    <x v="425"/>
    <x v="6"/>
    <s v="페이스북/인스타그램"/>
    <x v="7"/>
    <x v="0"/>
    <x v="0"/>
    <m/>
    <m/>
    <n v="664134"/>
    <m/>
    <m/>
    <m/>
  </r>
  <r>
    <x v="423"/>
    <x v="2"/>
    <s v="네이버 브랜드검색"/>
    <x v="0"/>
    <x v="0"/>
    <x v="0"/>
    <m/>
    <m/>
    <n v="50000"/>
    <m/>
    <m/>
    <m/>
  </r>
  <r>
    <x v="424"/>
    <x v="5"/>
    <s v="네이버 브랜드검색"/>
    <x v="0"/>
    <x v="0"/>
    <x v="0"/>
    <m/>
    <m/>
    <n v="50000"/>
    <m/>
    <m/>
    <m/>
  </r>
  <r>
    <x v="425"/>
    <x v="6"/>
    <s v="네이버 브랜드검색"/>
    <x v="0"/>
    <x v="0"/>
    <x v="0"/>
    <m/>
    <m/>
    <n v="50000"/>
    <m/>
    <m/>
    <m/>
  </r>
  <r>
    <x v="423"/>
    <x v="2"/>
    <s v="카카오광고"/>
    <x v="0"/>
    <x v="0"/>
    <x v="0"/>
    <m/>
    <m/>
    <n v="15060"/>
    <m/>
    <m/>
    <m/>
  </r>
  <r>
    <x v="424"/>
    <x v="5"/>
    <s v="카카오광고"/>
    <x v="0"/>
    <x v="0"/>
    <x v="0"/>
    <m/>
    <m/>
    <n v="19710"/>
    <m/>
    <m/>
    <m/>
  </r>
  <r>
    <x v="425"/>
    <x v="6"/>
    <s v="카카오광고"/>
    <x v="0"/>
    <x v="0"/>
    <x v="0"/>
    <m/>
    <m/>
    <n v="18560"/>
    <m/>
    <m/>
    <m/>
  </r>
  <r>
    <x v="423"/>
    <x v="2"/>
    <s v="유튜브 디스커버리"/>
    <x v="0"/>
    <x v="0"/>
    <x v="0"/>
    <m/>
    <m/>
    <n v="399039"/>
    <m/>
    <m/>
    <m/>
  </r>
  <r>
    <x v="424"/>
    <x v="5"/>
    <s v="유튜브 디스커버리"/>
    <x v="0"/>
    <x v="0"/>
    <x v="0"/>
    <m/>
    <m/>
    <n v="8726"/>
    <m/>
    <m/>
    <m/>
  </r>
  <r>
    <x v="425"/>
    <x v="6"/>
    <s v="유튜브 디스커버리"/>
    <x v="0"/>
    <x v="0"/>
    <x v="0"/>
    <m/>
    <m/>
    <n v="1581294"/>
    <m/>
    <m/>
    <m/>
  </r>
  <r>
    <x v="423"/>
    <x v="2"/>
    <s v="네이버 쇼핑검색"/>
    <x v="10"/>
    <x v="0"/>
    <x v="0"/>
    <m/>
    <m/>
    <n v="15940"/>
    <m/>
    <m/>
    <m/>
  </r>
  <r>
    <x v="424"/>
    <x v="5"/>
    <s v="네이버 쇼핑검색"/>
    <x v="10"/>
    <x v="0"/>
    <x v="0"/>
    <m/>
    <m/>
    <n v="14410"/>
    <m/>
    <m/>
    <m/>
  </r>
  <r>
    <x v="425"/>
    <x v="6"/>
    <s v="네이버 쇼핑검색"/>
    <x v="10"/>
    <x v="0"/>
    <x v="0"/>
    <m/>
    <m/>
    <n v="64169.99999999999"/>
    <m/>
    <m/>
    <m/>
  </r>
  <r>
    <x v="423"/>
    <x v="2"/>
    <s v="네이버 GFA"/>
    <x v="0"/>
    <x v="0"/>
    <x v="0"/>
    <m/>
    <m/>
    <n v="298774.5454545454"/>
    <m/>
    <m/>
    <m/>
  </r>
  <r>
    <x v="424"/>
    <x v="5"/>
    <s v="네이버 GFA"/>
    <x v="0"/>
    <x v="0"/>
    <x v="0"/>
    <m/>
    <m/>
    <n v="262276.3636363636"/>
    <m/>
    <m/>
    <m/>
  </r>
  <r>
    <x v="425"/>
    <x v="6"/>
    <s v="네이버 GFA"/>
    <x v="0"/>
    <x v="0"/>
    <x v="0"/>
    <m/>
    <m/>
    <n v="176421.8181818182"/>
    <m/>
    <m/>
    <m/>
  </r>
  <r>
    <x v="423"/>
    <x v="2"/>
    <s v="네이버 GFA"/>
    <x v="7"/>
    <x v="0"/>
    <x v="0"/>
    <m/>
    <m/>
    <n v="820149.9999999999"/>
    <m/>
    <m/>
    <m/>
  </r>
  <r>
    <x v="424"/>
    <x v="5"/>
    <s v="네이버 GFA"/>
    <x v="7"/>
    <x v="0"/>
    <x v="0"/>
    <m/>
    <m/>
    <n v="554280"/>
    <m/>
    <m/>
    <m/>
  </r>
  <r>
    <x v="425"/>
    <x v="6"/>
    <s v="네이버 GFA"/>
    <x v="7"/>
    <x v="0"/>
    <x v="0"/>
    <m/>
    <m/>
    <n v="837673.6363636364"/>
    <m/>
    <m/>
    <m/>
  </r>
  <r>
    <x v="426"/>
    <x v="3"/>
    <s v="페이스북/인스타그램"/>
    <x v="7"/>
    <x v="0"/>
    <x v="0"/>
    <m/>
    <m/>
    <n v="853330"/>
    <m/>
    <m/>
    <m/>
  </r>
  <r>
    <x v="426"/>
    <x v="3"/>
    <s v="페이스북/인스타그램"/>
    <x v="0"/>
    <x v="0"/>
    <x v="0"/>
    <m/>
    <m/>
    <n v="350797"/>
    <m/>
    <m/>
    <m/>
  </r>
  <r>
    <x v="426"/>
    <x v="3"/>
    <s v="페이스북/인스타그램"/>
    <x v="12"/>
    <x v="0"/>
    <x v="0"/>
    <m/>
    <m/>
    <n v="47564"/>
    <m/>
    <m/>
    <m/>
  </r>
  <r>
    <x v="426"/>
    <x v="3"/>
    <s v="네이버 브랜드검색"/>
    <x v="0"/>
    <x v="0"/>
    <x v="0"/>
    <m/>
    <m/>
    <n v="50000"/>
    <m/>
    <m/>
    <m/>
  </r>
  <r>
    <x v="426"/>
    <x v="3"/>
    <s v="카카오광고"/>
    <x v="0"/>
    <x v="0"/>
    <x v="0"/>
    <m/>
    <m/>
    <n v="19850"/>
    <m/>
    <m/>
    <m/>
  </r>
  <r>
    <x v="426"/>
    <x v="3"/>
    <s v="유튜브 디스커버리"/>
    <x v="0"/>
    <x v="0"/>
    <x v="0"/>
    <m/>
    <m/>
    <n v="1094393"/>
    <m/>
    <m/>
    <m/>
  </r>
  <r>
    <x v="426"/>
    <x v="3"/>
    <s v="네이버 쇼핑검색"/>
    <x v="10"/>
    <x v="0"/>
    <x v="0"/>
    <m/>
    <m/>
    <n v="76130"/>
    <m/>
    <m/>
    <m/>
  </r>
  <r>
    <x v="426"/>
    <x v="3"/>
    <s v="네이버 GFA"/>
    <x v="0"/>
    <x v="0"/>
    <x v="0"/>
    <m/>
    <m/>
    <n v="498056.3636363636"/>
    <m/>
    <m/>
    <m/>
  </r>
  <r>
    <x v="426"/>
    <x v="3"/>
    <s v="네이버 GFA"/>
    <x v="7"/>
    <x v="0"/>
    <x v="0"/>
    <m/>
    <m/>
    <n v="1537047.272727273"/>
    <m/>
    <m/>
    <m/>
  </r>
  <r>
    <x v="427"/>
    <x v="4"/>
    <s v="페이스북/인스타그램"/>
    <x v="7"/>
    <x v="0"/>
    <x v="0"/>
    <m/>
    <m/>
    <n v="943112"/>
    <m/>
    <m/>
    <m/>
  </r>
  <r>
    <x v="427"/>
    <x v="4"/>
    <s v="페이스북/인스타그램"/>
    <x v="0"/>
    <x v="0"/>
    <x v="0"/>
    <m/>
    <m/>
    <n v="440995"/>
    <m/>
    <m/>
    <m/>
  </r>
  <r>
    <x v="427"/>
    <x v="4"/>
    <s v="페이스북/인스타그램"/>
    <x v="12"/>
    <x v="0"/>
    <x v="0"/>
    <m/>
    <m/>
    <n v="127726"/>
    <m/>
    <m/>
    <m/>
  </r>
  <r>
    <x v="427"/>
    <x v="4"/>
    <s v="네이버 브랜드검색"/>
    <x v="0"/>
    <x v="0"/>
    <x v="0"/>
    <m/>
    <m/>
    <n v="50000"/>
    <m/>
    <m/>
    <m/>
  </r>
  <r>
    <x v="427"/>
    <x v="4"/>
    <s v="카카오광고"/>
    <x v="0"/>
    <x v="0"/>
    <x v="0"/>
    <m/>
    <m/>
    <n v="19410"/>
    <m/>
    <m/>
    <m/>
  </r>
  <r>
    <x v="427"/>
    <x v="4"/>
    <s v="유튜브 디스커버리"/>
    <x v="0"/>
    <x v="0"/>
    <x v="0"/>
    <m/>
    <m/>
    <n v="1029733"/>
    <m/>
    <m/>
    <m/>
  </r>
  <r>
    <x v="427"/>
    <x v="4"/>
    <s v="네이버 쇼핑검색"/>
    <x v="10"/>
    <x v="0"/>
    <x v="0"/>
    <m/>
    <m/>
    <n v="47439.99999999999"/>
    <m/>
    <m/>
    <m/>
  </r>
  <r>
    <x v="427"/>
    <x v="4"/>
    <s v="네이버 GFA"/>
    <x v="0"/>
    <x v="0"/>
    <x v="0"/>
    <m/>
    <m/>
    <n v="219165.4545454545"/>
    <m/>
    <m/>
    <m/>
  </r>
  <r>
    <x v="427"/>
    <x v="4"/>
    <s v="네이버 GFA"/>
    <x v="7"/>
    <x v="0"/>
    <x v="0"/>
    <m/>
    <m/>
    <n v="1081099.090909091"/>
    <m/>
    <m/>
    <m/>
  </r>
  <r>
    <x v="428"/>
    <x v="1"/>
    <s v="페이스북/인스타그램"/>
    <x v="7"/>
    <x v="0"/>
    <x v="0"/>
    <m/>
    <m/>
    <n v="1148196"/>
    <m/>
    <m/>
    <m/>
  </r>
  <r>
    <x v="428"/>
    <x v="1"/>
    <s v="페이스북/인스타그램"/>
    <x v="0"/>
    <x v="0"/>
    <x v="0"/>
    <m/>
    <m/>
    <n v="333590"/>
    <m/>
    <m/>
    <m/>
  </r>
  <r>
    <x v="428"/>
    <x v="1"/>
    <s v="페이스북/인스타그램"/>
    <x v="13"/>
    <x v="0"/>
    <x v="0"/>
    <m/>
    <m/>
    <n v="33664"/>
    <m/>
    <m/>
    <m/>
  </r>
  <r>
    <x v="428"/>
    <x v="1"/>
    <s v="페이스북/인스타그램"/>
    <x v="12"/>
    <x v="0"/>
    <x v="0"/>
    <m/>
    <m/>
    <n v="2311"/>
    <m/>
    <m/>
    <m/>
  </r>
  <r>
    <x v="428"/>
    <x v="1"/>
    <s v="네이버 브랜드검색"/>
    <x v="0"/>
    <x v="0"/>
    <x v="0"/>
    <m/>
    <m/>
    <n v="50000"/>
    <m/>
    <m/>
    <m/>
  </r>
  <r>
    <x v="428"/>
    <x v="1"/>
    <s v="카카오광고"/>
    <x v="0"/>
    <x v="0"/>
    <x v="0"/>
    <m/>
    <m/>
    <n v="21300"/>
    <m/>
    <m/>
    <m/>
  </r>
  <r>
    <x v="428"/>
    <x v="1"/>
    <s v="유튜브 디스커버리"/>
    <x v="0"/>
    <x v="0"/>
    <x v="0"/>
    <m/>
    <m/>
    <n v="934582"/>
    <m/>
    <m/>
    <m/>
  </r>
  <r>
    <x v="428"/>
    <x v="1"/>
    <s v="네이버 쇼핑검색"/>
    <x v="10"/>
    <x v="0"/>
    <x v="0"/>
    <m/>
    <m/>
    <n v="53839.99999999999"/>
    <m/>
    <m/>
    <m/>
  </r>
  <r>
    <x v="428"/>
    <x v="1"/>
    <s v="네이버 GFA"/>
    <x v="0"/>
    <x v="0"/>
    <x v="0"/>
    <m/>
    <m/>
    <n v="142269.0909090909"/>
    <m/>
    <m/>
    <m/>
  </r>
  <r>
    <x v="428"/>
    <x v="1"/>
    <s v="네이버 GFA"/>
    <x v="7"/>
    <x v="0"/>
    <x v="0"/>
    <m/>
    <m/>
    <n v="1379818.181818182"/>
    <m/>
    <m/>
    <m/>
  </r>
  <r>
    <x v="429"/>
    <x v="0"/>
    <s v="페이스북/인스타그램"/>
    <x v="7"/>
    <x v="0"/>
    <x v="0"/>
    <m/>
    <m/>
    <n v="1302382"/>
    <m/>
    <m/>
    <m/>
  </r>
  <r>
    <x v="429"/>
    <x v="0"/>
    <s v="페이스북/인스타그램"/>
    <x v="0"/>
    <x v="0"/>
    <x v="0"/>
    <m/>
    <m/>
    <n v="431376"/>
    <m/>
    <m/>
    <m/>
  </r>
  <r>
    <x v="429"/>
    <x v="0"/>
    <s v="페이스북/인스타그램"/>
    <x v="13"/>
    <x v="0"/>
    <x v="0"/>
    <m/>
    <m/>
    <n v="34551"/>
    <m/>
    <m/>
    <m/>
  </r>
  <r>
    <x v="429"/>
    <x v="0"/>
    <s v="네이버 브랜드검색"/>
    <x v="0"/>
    <x v="0"/>
    <x v="0"/>
    <m/>
    <m/>
    <n v="50000"/>
    <m/>
    <m/>
    <m/>
  </r>
  <r>
    <x v="429"/>
    <x v="0"/>
    <s v="카카오광고"/>
    <x v="0"/>
    <x v="0"/>
    <x v="0"/>
    <m/>
    <m/>
    <n v="18920"/>
    <m/>
    <m/>
    <m/>
  </r>
  <r>
    <x v="429"/>
    <x v="0"/>
    <s v="유튜브 디스커버리"/>
    <x v="0"/>
    <x v="0"/>
    <x v="0"/>
    <m/>
    <m/>
    <n v="889380"/>
    <m/>
    <m/>
    <m/>
  </r>
  <r>
    <x v="429"/>
    <x v="0"/>
    <s v="네이버 쇼핑검색"/>
    <x v="10"/>
    <x v="0"/>
    <x v="0"/>
    <m/>
    <m/>
    <n v="57879.99999999999"/>
    <m/>
    <m/>
    <m/>
  </r>
  <r>
    <x v="429"/>
    <x v="0"/>
    <s v="네이버 GFA"/>
    <x v="0"/>
    <x v="0"/>
    <x v="0"/>
    <m/>
    <m/>
    <n v="112554.5454545454"/>
    <m/>
    <m/>
    <m/>
  </r>
  <r>
    <x v="429"/>
    <x v="0"/>
    <s v="네이버 GFA"/>
    <x v="7"/>
    <x v="0"/>
    <x v="0"/>
    <m/>
    <m/>
    <n v="1680220"/>
    <m/>
    <m/>
    <m/>
  </r>
  <r>
    <x v="430"/>
    <x v="2"/>
    <s v="페이스북/인스타그램"/>
    <x v="7"/>
    <x v="0"/>
    <x v="0"/>
    <m/>
    <m/>
    <n v="1170195"/>
    <m/>
    <m/>
    <m/>
  </r>
  <r>
    <x v="431"/>
    <x v="5"/>
    <s v="페이스북/인스타그램"/>
    <x v="7"/>
    <x v="0"/>
    <x v="0"/>
    <m/>
    <m/>
    <n v="727778"/>
    <m/>
    <m/>
    <m/>
  </r>
  <r>
    <x v="432"/>
    <x v="6"/>
    <s v="페이스북/인스타그램"/>
    <x v="7"/>
    <x v="0"/>
    <x v="0"/>
    <m/>
    <m/>
    <n v="1059336"/>
    <m/>
    <m/>
    <m/>
  </r>
  <r>
    <x v="430"/>
    <x v="2"/>
    <s v="페이스북/인스타그램"/>
    <x v="0"/>
    <x v="0"/>
    <x v="0"/>
    <m/>
    <m/>
    <n v="415294"/>
    <m/>
    <m/>
    <m/>
  </r>
  <r>
    <x v="431"/>
    <x v="5"/>
    <s v="페이스북/인스타그램"/>
    <x v="0"/>
    <x v="0"/>
    <x v="0"/>
    <m/>
    <m/>
    <n v="289894"/>
    <m/>
    <m/>
    <m/>
  </r>
  <r>
    <x v="432"/>
    <x v="6"/>
    <s v="페이스북/인스타그램"/>
    <x v="0"/>
    <x v="0"/>
    <x v="0"/>
    <m/>
    <m/>
    <n v="451685"/>
    <m/>
    <m/>
    <m/>
  </r>
  <r>
    <x v="430"/>
    <x v="2"/>
    <s v="페이스북/인스타그램"/>
    <x v="13"/>
    <x v="0"/>
    <x v="0"/>
    <m/>
    <m/>
    <n v="26235"/>
    <m/>
    <m/>
    <m/>
  </r>
  <r>
    <x v="431"/>
    <x v="5"/>
    <s v="페이스북/인스타그램"/>
    <x v="13"/>
    <x v="0"/>
    <x v="0"/>
    <m/>
    <m/>
    <n v="14539"/>
    <m/>
    <m/>
    <m/>
  </r>
  <r>
    <x v="432"/>
    <x v="6"/>
    <s v="페이스북/인스타그램"/>
    <x v="13"/>
    <x v="0"/>
    <x v="0"/>
    <m/>
    <m/>
    <n v="20426"/>
    <m/>
    <m/>
    <m/>
  </r>
  <r>
    <x v="430"/>
    <x v="2"/>
    <s v="네이버 브랜드검색"/>
    <x v="0"/>
    <x v="0"/>
    <x v="0"/>
    <m/>
    <m/>
    <n v="50000"/>
    <m/>
    <m/>
    <m/>
  </r>
  <r>
    <x v="431"/>
    <x v="5"/>
    <s v="네이버 브랜드검색"/>
    <x v="0"/>
    <x v="0"/>
    <x v="0"/>
    <m/>
    <m/>
    <n v="50000"/>
    <m/>
    <m/>
    <m/>
  </r>
  <r>
    <x v="432"/>
    <x v="6"/>
    <s v="네이버 브랜드검색"/>
    <x v="0"/>
    <x v="0"/>
    <x v="0"/>
    <m/>
    <m/>
    <n v="50000"/>
    <m/>
    <m/>
    <m/>
  </r>
  <r>
    <x v="430"/>
    <x v="2"/>
    <s v="카카오광고"/>
    <x v="0"/>
    <x v="0"/>
    <x v="0"/>
    <m/>
    <m/>
    <n v="19240"/>
    <m/>
    <m/>
    <m/>
  </r>
  <r>
    <x v="431"/>
    <x v="5"/>
    <s v="카카오광고"/>
    <x v="0"/>
    <x v="0"/>
    <x v="0"/>
    <m/>
    <m/>
    <n v="18450"/>
    <m/>
    <m/>
    <m/>
  </r>
  <r>
    <x v="432"/>
    <x v="6"/>
    <s v="카카오광고"/>
    <x v="0"/>
    <x v="0"/>
    <x v="0"/>
    <m/>
    <m/>
    <n v="20100"/>
    <m/>
    <m/>
    <m/>
  </r>
  <r>
    <x v="430"/>
    <x v="2"/>
    <s v="유튜브 디스커버리"/>
    <x v="0"/>
    <x v="0"/>
    <x v="0"/>
    <m/>
    <m/>
    <n v="405589"/>
    <m/>
    <m/>
    <m/>
  </r>
  <r>
    <x v="431"/>
    <x v="5"/>
    <s v="유튜브 디스커버리"/>
    <x v="0"/>
    <x v="0"/>
    <x v="0"/>
    <m/>
    <m/>
    <n v="50220"/>
    <m/>
    <m/>
    <m/>
  </r>
  <r>
    <x v="432"/>
    <x v="6"/>
    <s v="유튜브 디스커버리"/>
    <x v="0"/>
    <x v="0"/>
    <x v="0"/>
    <m/>
    <m/>
    <n v="915343"/>
    <m/>
    <m/>
    <m/>
  </r>
  <r>
    <x v="430"/>
    <x v="2"/>
    <s v="네이버 쇼핑검색"/>
    <x v="10"/>
    <x v="0"/>
    <x v="0"/>
    <m/>
    <m/>
    <n v="55519.99999999999"/>
    <m/>
    <m/>
    <m/>
  </r>
  <r>
    <x v="431"/>
    <x v="5"/>
    <s v="네이버 쇼핑검색"/>
    <x v="10"/>
    <x v="0"/>
    <x v="0"/>
    <m/>
    <m/>
    <n v="45859.99999999999"/>
    <m/>
    <m/>
    <m/>
  </r>
  <r>
    <x v="432"/>
    <x v="6"/>
    <s v="네이버 쇼핑검색"/>
    <x v="10"/>
    <x v="0"/>
    <x v="0"/>
    <m/>
    <m/>
    <n v="54209.99999999999"/>
    <m/>
    <m/>
    <m/>
  </r>
  <r>
    <x v="430"/>
    <x v="2"/>
    <s v="네이버 GFA"/>
    <x v="0"/>
    <x v="0"/>
    <x v="0"/>
    <m/>
    <m/>
    <n v="103876.3636363636"/>
    <m/>
    <m/>
    <m/>
  </r>
  <r>
    <x v="431"/>
    <x v="5"/>
    <s v="네이버 GFA"/>
    <x v="0"/>
    <x v="0"/>
    <x v="0"/>
    <m/>
    <m/>
    <n v="51640.90909090909"/>
    <m/>
    <m/>
    <m/>
  </r>
  <r>
    <x v="432"/>
    <x v="6"/>
    <s v="네이버 GFA"/>
    <x v="0"/>
    <x v="0"/>
    <x v="0"/>
    <m/>
    <m/>
    <n v="86579.09090909091"/>
    <m/>
    <m/>
    <m/>
  </r>
  <r>
    <x v="430"/>
    <x v="2"/>
    <s v="네이버 GFA"/>
    <x v="7"/>
    <x v="0"/>
    <x v="0"/>
    <m/>
    <m/>
    <n v="992682.7272727272"/>
    <m/>
    <m/>
    <m/>
  </r>
  <r>
    <x v="431"/>
    <x v="5"/>
    <s v="네이버 GFA"/>
    <x v="7"/>
    <x v="0"/>
    <x v="0"/>
    <m/>
    <m/>
    <n v="1009000"/>
    <m/>
    <m/>
    <m/>
  </r>
  <r>
    <x v="432"/>
    <x v="6"/>
    <s v="네이버 GFA"/>
    <x v="7"/>
    <x v="0"/>
    <x v="0"/>
    <m/>
    <m/>
    <n v="1401953.636363636"/>
    <m/>
    <m/>
    <m/>
  </r>
  <r>
    <x v="433"/>
    <x v="3"/>
    <s v="페이스북/인스타그램"/>
    <x v="7"/>
    <x v="0"/>
    <x v="0"/>
    <m/>
    <m/>
    <n v="2073295"/>
    <m/>
    <m/>
    <m/>
  </r>
  <r>
    <x v="433"/>
    <x v="3"/>
    <s v="페이스북/인스타그램"/>
    <x v="0"/>
    <x v="0"/>
    <x v="0"/>
    <m/>
    <m/>
    <n v="594494"/>
    <m/>
    <m/>
    <m/>
  </r>
  <r>
    <x v="433"/>
    <x v="3"/>
    <s v="페이스북/인스타그램"/>
    <x v="13"/>
    <x v="0"/>
    <x v="0"/>
    <m/>
    <m/>
    <n v="27255"/>
    <m/>
    <m/>
    <m/>
  </r>
  <r>
    <x v="433"/>
    <x v="3"/>
    <s v="네이버 브랜드검색"/>
    <x v="0"/>
    <x v="0"/>
    <x v="0"/>
    <m/>
    <m/>
    <n v="50000"/>
    <m/>
    <m/>
    <m/>
  </r>
  <r>
    <x v="433"/>
    <x v="3"/>
    <s v="카카오광고"/>
    <x v="0"/>
    <x v="0"/>
    <x v="0"/>
    <m/>
    <m/>
    <n v="19630"/>
    <m/>
    <m/>
    <m/>
  </r>
  <r>
    <x v="433"/>
    <x v="3"/>
    <s v="카카오광고"/>
    <x v="14"/>
    <x v="0"/>
    <x v="0"/>
    <m/>
    <m/>
    <n v="393224.9999999999"/>
    <m/>
    <m/>
    <m/>
  </r>
  <r>
    <x v="433"/>
    <x v="3"/>
    <s v="유튜브 디스커버리"/>
    <x v="0"/>
    <x v="0"/>
    <x v="0"/>
    <m/>
    <m/>
    <n v="789084"/>
    <m/>
    <m/>
    <m/>
  </r>
  <r>
    <x v="433"/>
    <x v="3"/>
    <s v="네이버 쇼핑검색"/>
    <x v="10"/>
    <x v="0"/>
    <x v="0"/>
    <m/>
    <m/>
    <n v="70980"/>
    <m/>
    <m/>
    <m/>
  </r>
  <r>
    <x v="433"/>
    <x v="3"/>
    <s v="네이버 GFA"/>
    <x v="0"/>
    <x v="0"/>
    <x v="0"/>
    <m/>
    <m/>
    <n v="88787.27272727272"/>
    <m/>
    <m/>
    <m/>
  </r>
  <r>
    <x v="433"/>
    <x v="3"/>
    <s v="네이버 GFA"/>
    <x v="7"/>
    <x v="0"/>
    <x v="0"/>
    <m/>
    <m/>
    <n v="1362062.727272727"/>
    <m/>
    <m/>
    <m/>
  </r>
  <r>
    <x v="434"/>
    <x v="4"/>
    <s v="페이스북/인스타그램"/>
    <x v="7"/>
    <x v="0"/>
    <x v="0"/>
    <m/>
    <m/>
    <n v="1393656"/>
    <m/>
    <m/>
    <m/>
  </r>
  <r>
    <x v="434"/>
    <x v="4"/>
    <s v="페이스북/인스타그램"/>
    <x v="0"/>
    <x v="0"/>
    <x v="0"/>
    <m/>
    <m/>
    <n v="719581"/>
    <m/>
    <m/>
    <m/>
  </r>
  <r>
    <x v="434"/>
    <x v="4"/>
    <s v="페이스북/인스타그램"/>
    <x v="13"/>
    <x v="0"/>
    <x v="0"/>
    <m/>
    <m/>
    <n v="29973"/>
    <m/>
    <m/>
    <m/>
  </r>
  <r>
    <x v="434"/>
    <x v="4"/>
    <s v="네이버 브랜드검색"/>
    <x v="0"/>
    <x v="0"/>
    <x v="0"/>
    <m/>
    <m/>
    <n v="50000"/>
    <m/>
    <m/>
    <m/>
  </r>
  <r>
    <x v="434"/>
    <x v="4"/>
    <s v="카카오광고"/>
    <x v="0"/>
    <x v="0"/>
    <x v="0"/>
    <m/>
    <m/>
    <n v="19550"/>
    <m/>
    <m/>
    <m/>
  </r>
  <r>
    <x v="434"/>
    <x v="4"/>
    <s v="카카오광고"/>
    <x v="14"/>
    <x v="0"/>
    <x v="0"/>
    <m/>
    <m/>
    <n v="854.9999999999999"/>
    <m/>
    <m/>
    <m/>
  </r>
  <r>
    <x v="434"/>
    <x v="4"/>
    <s v="유튜브 디스커버리"/>
    <x v="0"/>
    <x v="0"/>
    <x v="0"/>
    <m/>
    <m/>
    <n v="770309"/>
    <m/>
    <m/>
    <m/>
  </r>
  <r>
    <x v="434"/>
    <x v="4"/>
    <s v="네이버 쇼핑검색"/>
    <x v="10"/>
    <x v="0"/>
    <x v="0"/>
    <m/>
    <m/>
    <n v="54049.99999999999"/>
    <m/>
    <m/>
    <m/>
  </r>
  <r>
    <x v="434"/>
    <x v="4"/>
    <s v="네이버 GFA"/>
    <x v="0"/>
    <x v="0"/>
    <x v="0"/>
    <m/>
    <m/>
    <n v="87133.63636363635"/>
    <m/>
    <m/>
    <m/>
  </r>
  <r>
    <x v="434"/>
    <x v="4"/>
    <s v="네이버 GFA"/>
    <x v="7"/>
    <x v="0"/>
    <x v="0"/>
    <m/>
    <m/>
    <n v="1236332.727272727"/>
    <m/>
    <m/>
    <m/>
  </r>
  <r>
    <x v="435"/>
    <x v="1"/>
    <s v="페이스북/인스타그램"/>
    <x v="7"/>
    <x v="0"/>
    <x v="0"/>
    <m/>
    <m/>
    <n v="939509"/>
    <m/>
    <m/>
    <m/>
  </r>
  <r>
    <x v="435"/>
    <x v="1"/>
    <s v="페이스북/인스타그램"/>
    <x v="0"/>
    <x v="0"/>
    <x v="0"/>
    <m/>
    <m/>
    <n v="1076522"/>
    <m/>
    <m/>
    <m/>
  </r>
  <r>
    <x v="435"/>
    <x v="1"/>
    <s v="페이스북/인스타그램"/>
    <x v="13"/>
    <x v="0"/>
    <x v="0"/>
    <m/>
    <m/>
    <n v="28707"/>
    <m/>
    <m/>
    <m/>
  </r>
  <r>
    <x v="435"/>
    <x v="1"/>
    <s v="네이버 브랜드검색"/>
    <x v="0"/>
    <x v="0"/>
    <x v="0"/>
    <m/>
    <m/>
    <n v="50000"/>
    <m/>
    <m/>
    <m/>
  </r>
  <r>
    <x v="435"/>
    <x v="1"/>
    <s v="카카오광고"/>
    <x v="0"/>
    <x v="0"/>
    <x v="0"/>
    <m/>
    <m/>
    <n v="19710"/>
    <m/>
    <m/>
    <m/>
  </r>
  <r>
    <x v="435"/>
    <x v="1"/>
    <s v="카카오광고"/>
    <x v="15"/>
    <x v="0"/>
    <x v="0"/>
    <m/>
    <m/>
    <n v="394994.9999999999"/>
    <m/>
    <m/>
    <m/>
  </r>
  <r>
    <x v="435"/>
    <x v="1"/>
    <s v="유튜브 디스커버리"/>
    <x v="0"/>
    <x v="0"/>
    <x v="0"/>
    <m/>
    <m/>
    <n v="787971"/>
    <m/>
    <m/>
    <m/>
  </r>
  <r>
    <x v="435"/>
    <x v="1"/>
    <s v="네이버 쇼핑검색"/>
    <x v="10"/>
    <x v="0"/>
    <x v="0"/>
    <m/>
    <m/>
    <n v="41990"/>
    <m/>
    <m/>
    <m/>
  </r>
  <r>
    <x v="435"/>
    <x v="1"/>
    <s v="네이버 GFA"/>
    <x v="0"/>
    <x v="0"/>
    <x v="0"/>
    <m/>
    <m/>
    <n v="89142.72727272726"/>
    <m/>
    <m/>
    <m/>
  </r>
  <r>
    <x v="435"/>
    <x v="1"/>
    <s v="네이버 GFA"/>
    <x v="7"/>
    <x v="0"/>
    <x v="0"/>
    <m/>
    <m/>
    <n v="1364131.818181818"/>
    <m/>
    <m/>
    <m/>
  </r>
  <r>
    <x v="436"/>
    <x v="0"/>
    <s v="페이스북/인스타그램"/>
    <x v="7"/>
    <x v="0"/>
    <x v="0"/>
    <m/>
    <m/>
    <n v="805790"/>
    <m/>
    <m/>
    <m/>
  </r>
  <r>
    <x v="436"/>
    <x v="0"/>
    <s v="페이스북/인스타그램"/>
    <x v="0"/>
    <x v="0"/>
    <x v="0"/>
    <m/>
    <m/>
    <n v="1323945"/>
    <m/>
    <m/>
    <m/>
  </r>
  <r>
    <x v="436"/>
    <x v="0"/>
    <s v="페이스북/인스타그램"/>
    <x v="13"/>
    <x v="0"/>
    <x v="0"/>
    <m/>
    <m/>
    <n v="29653"/>
    <m/>
    <m/>
    <m/>
  </r>
  <r>
    <x v="436"/>
    <x v="0"/>
    <s v="네이버 브랜드검색"/>
    <x v="0"/>
    <x v="0"/>
    <x v="0"/>
    <m/>
    <m/>
    <n v="50000"/>
    <m/>
    <m/>
    <m/>
  </r>
  <r>
    <x v="436"/>
    <x v="0"/>
    <s v="카카오광고"/>
    <x v="0"/>
    <x v="0"/>
    <x v="0"/>
    <m/>
    <m/>
    <n v="22748"/>
    <m/>
    <m/>
    <m/>
  </r>
  <r>
    <x v="436"/>
    <x v="0"/>
    <s v="유튜브 디스커버리"/>
    <x v="0"/>
    <x v="0"/>
    <x v="0"/>
    <m/>
    <m/>
    <n v="617778"/>
    <m/>
    <m/>
    <m/>
  </r>
  <r>
    <x v="436"/>
    <x v="0"/>
    <s v="네이버 쇼핑검색"/>
    <x v="10"/>
    <x v="0"/>
    <x v="0"/>
    <m/>
    <m/>
    <n v="38010"/>
    <m/>
    <m/>
    <m/>
  </r>
  <r>
    <x v="436"/>
    <x v="0"/>
    <s v="네이버 GFA"/>
    <x v="0"/>
    <x v="0"/>
    <x v="0"/>
    <m/>
    <m/>
    <n v="81578.18181818181"/>
    <m/>
    <m/>
    <m/>
  </r>
  <r>
    <x v="436"/>
    <x v="0"/>
    <s v="네이버 GFA"/>
    <x v="7"/>
    <x v="0"/>
    <x v="0"/>
    <m/>
    <m/>
    <n v="1176778.181818182"/>
    <m/>
    <m/>
    <m/>
  </r>
  <r>
    <x v="437"/>
    <x v="2"/>
    <s v="네이버 브랜드검색"/>
    <x v="0"/>
    <x v="0"/>
    <x v="0"/>
    <m/>
    <m/>
    <n v="50000"/>
    <m/>
    <m/>
    <m/>
  </r>
  <r>
    <x v="438"/>
    <x v="5"/>
    <s v="네이버 브랜드검색"/>
    <x v="0"/>
    <x v="0"/>
    <x v="0"/>
    <m/>
    <m/>
    <n v="50000"/>
    <m/>
    <m/>
    <m/>
  </r>
  <r>
    <x v="439"/>
    <x v="6"/>
    <s v="네이버 브랜드검색"/>
    <x v="0"/>
    <x v="0"/>
    <x v="0"/>
    <m/>
    <m/>
    <n v="50000"/>
    <m/>
    <m/>
    <m/>
  </r>
  <r>
    <x v="437"/>
    <x v="2"/>
    <s v="페이스북/인스타그램"/>
    <x v="13"/>
    <x v="0"/>
    <x v="0"/>
    <m/>
    <m/>
    <n v="29765"/>
    <m/>
    <m/>
    <m/>
  </r>
  <r>
    <x v="438"/>
    <x v="5"/>
    <s v="페이스북/인스타그램"/>
    <x v="13"/>
    <x v="0"/>
    <x v="0"/>
    <m/>
    <m/>
    <n v="32830"/>
    <m/>
    <m/>
    <m/>
  </r>
  <r>
    <x v="439"/>
    <x v="6"/>
    <s v="페이스북/인스타그램"/>
    <x v="13"/>
    <x v="0"/>
    <x v="0"/>
    <m/>
    <m/>
    <n v="29945"/>
    <m/>
    <m/>
    <m/>
  </r>
  <r>
    <x v="437"/>
    <x v="2"/>
    <s v="페이스북/인스타그램"/>
    <x v="0"/>
    <x v="0"/>
    <x v="0"/>
    <m/>
    <m/>
    <n v="1036025"/>
    <m/>
    <m/>
    <m/>
  </r>
  <r>
    <x v="438"/>
    <x v="5"/>
    <s v="페이스북/인스타그램"/>
    <x v="0"/>
    <x v="0"/>
    <x v="0"/>
    <m/>
    <m/>
    <n v="651098"/>
    <m/>
    <m/>
    <m/>
  </r>
  <r>
    <x v="439"/>
    <x v="6"/>
    <s v="페이스북/인스타그램"/>
    <x v="0"/>
    <x v="0"/>
    <x v="0"/>
    <m/>
    <m/>
    <n v="690242"/>
    <m/>
    <m/>
    <m/>
  </r>
  <r>
    <x v="437"/>
    <x v="2"/>
    <s v="페이스북/인스타그램"/>
    <x v="7"/>
    <x v="0"/>
    <x v="0"/>
    <m/>
    <m/>
    <n v="680743"/>
    <m/>
    <m/>
    <m/>
  </r>
  <r>
    <x v="438"/>
    <x v="5"/>
    <s v="페이스북/인스타그램"/>
    <x v="7"/>
    <x v="0"/>
    <x v="0"/>
    <m/>
    <m/>
    <n v="459554"/>
    <m/>
    <m/>
    <m/>
  </r>
  <r>
    <x v="439"/>
    <x v="6"/>
    <s v="페이스북/인스타그램"/>
    <x v="7"/>
    <x v="0"/>
    <x v="0"/>
    <m/>
    <m/>
    <n v="534059"/>
    <m/>
    <m/>
    <m/>
  </r>
  <r>
    <x v="437"/>
    <x v="2"/>
    <s v="카카오광고"/>
    <x v="0"/>
    <x v="0"/>
    <x v="0"/>
    <m/>
    <m/>
    <n v="20840"/>
    <m/>
    <m/>
    <m/>
  </r>
  <r>
    <x v="438"/>
    <x v="5"/>
    <s v="카카오광고"/>
    <x v="0"/>
    <x v="0"/>
    <x v="0"/>
    <m/>
    <m/>
    <n v="18830"/>
    <m/>
    <m/>
    <m/>
  </r>
  <r>
    <x v="439"/>
    <x v="6"/>
    <s v="카카오광고"/>
    <x v="0"/>
    <x v="0"/>
    <x v="0"/>
    <m/>
    <m/>
    <n v="18950"/>
    <m/>
    <m/>
    <m/>
  </r>
  <r>
    <x v="437"/>
    <x v="2"/>
    <s v="유튜브 디스커버리"/>
    <x v="0"/>
    <x v="0"/>
    <x v="0"/>
    <m/>
    <m/>
    <n v="182561"/>
    <m/>
    <m/>
    <m/>
  </r>
  <r>
    <x v="439"/>
    <x v="6"/>
    <s v="유튜브 디스커버리"/>
    <x v="0"/>
    <x v="0"/>
    <x v="0"/>
    <m/>
    <m/>
    <n v="1095387"/>
    <m/>
    <m/>
    <m/>
  </r>
  <r>
    <x v="437"/>
    <x v="2"/>
    <s v="네이버 쇼핑검색"/>
    <x v="10"/>
    <x v="0"/>
    <x v="0"/>
    <m/>
    <m/>
    <n v="43560"/>
    <m/>
    <m/>
    <m/>
  </r>
  <r>
    <x v="438"/>
    <x v="5"/>
    <s v="네이버 쇼핑검색"/>
    <x v="10"/>
    <x v="0"/>
    <x v="0"/>
    <m/>
    <m/>
    <n v="38790"/>
    <m/>
    <m/>
    <m/>
  </r>
  <r>
    <x v="439"/>
    <x v="6"/>
    <s v="네이버 쇼핑검색"/>
    <x v="10"/>
    <x v="0"/>
    <x v="0"/>
    <m/>
    <m/>
    <n v="48489.99999999999"/>
    <m/>
    <m/>
    <m/>
  </r>
  <r>
    <x v="437"/>
    <x v="2"/>
    <s v="네이버 GFA"/>
    <x v="0"/>
    <x v="0"/>
    <x v="0"/>
    <m/>
    <m/>
    <n v="108913.6363636364"/>
    <m/>
    <m/>
    <m/>
  </r>
  <r>
    <x v="438"/>
    <x v="5"/>
    <s v="네이버 GFA"/>
    <x v="0"/>
    <x v="0"/>
    <x v="0"/>
    <m/>
    <m/>
    <n v="115110.9090909091"/>
    <m/>
    <m/>
    <m/>
  </r>
  <r>
    <x v="439"/>
    <x v="6"/>
    <s v="네이버 GFA"/>
    <x v="0"/>
    <x v="0"/>
    <x v="0"/>
    <m/>
    <m/>
    <n v="115298.1818181818"/>
    <m/>
    <m/>
    <m/>
  </r>
  <r>
    <x v="437"/>
    <x v="2"/>
    <s v="네이버 GFA"/>
    <x v="7"/>
    <x v="0"/>
    <x v="0"/>
    <m/>
    <m/>
    <n v="738482.7272727272"/>
    <m/>
    <m/>
    <m/>
  </r>
  <r>
    <x v="438"/>
    <x v="5"/>
    <s v="네이버 GFA"/>
    <x v="7"/>
    <x v="0"/>
    <x v="0"/>
    <m/>
    <m/>
    <n v="402244.5454545454"/>
    <m/>
    <m/>
    <m/>
  </r>
  <r>
    <x v="439"/>
    <x v="6"/>
    <s v="네이버 GFA"/>
    <x v="7"/>
    <x v="0"/>
    <x v="0"/>
    <m/>
    <m/>
    <n v="456658.1818181818"/>
    <m/>
    <m/>
    <m/>
  </r>
  <r>
    <x v="440"/>
    <x v="3"/>
    <s v="네이버 브랜드검색"/>
    <x v="0"/>
    <x v="0"/>
    <x v="0"/>
    <m/>
    <m/>
    <n v="50000"/>
    <m/>
    <m/>
    <m/>
  </r>
  <r>
    <x v="440"/>
    <x v="3"/>
    <s v="페이스북/인스타그램"/>
    <x v="7"/>
    <x v="0"/>
    <x v="0"/>
    <m/>
    <m/>
    <n v="667461"/>
    <m/>
    <m/>
    <m/>
  </r>
  <r>
    <x v="440"/>
    <x v="3"/>
    <s v="페이스북/인스타그램"/>
    <x v="0"/>
    <x v="0"/>
    <x v="0"/>
    <m/>
    <m/>
    <n v="708904"/>
    <m/>
    <m/>
    <m/>
  </r>
  <r>
    <x v="440"/>
    <x v="3"/>
    <s v="페이스북/인스타그램"/>
    <x v="13"/>
    <x v="0"/>
    <x v="0"/>
    <m/>
    <m/>
    <n v="28398"/>
    <m/>
    <m/>
    <m/>
  </r>
  <r>
    <x v="440"/>
    <x v="3"/>
    <s v="유튜브 디스커버리"/>
    <x v="0"/>
    <x v="0"/>
    <x v="0"/>
    <m/>
    <m/>
    <n v="600833"/>
    <m/>
    <m/>
    <m/>
  </r>
  <r>
    <x v="440"/>
    <x v="3"/>
    <s v="네이버 쇼핑검색"/>
    <x v="10"/>
    <x v="0"/>
    <x v="0"/>
    <m/>
    <m/>
    <n v="45529.99999999999"/>
    <m/>
    <m/>
    <m/>
  </r>
  <r>
    <x v="440"/>
    <x v="3"/>
    <s v="카카오광고"/>
    <x v="0"/>
    <x v="0"/>
    <x v="0"/>
    <m/>
    <m/>
    <n v="19340"/>
    <m/>
    <m/>
    <m/>
  </r>
  <r>
    <x v="440"/>
    <x v="3"/>
    <s v="네이버 GFA"/>
    <x v="0"/>
    <x v="0"/>
    <x v="0"/>
    <m/>
    <m/>
    <n v="294351.8181818182"/>
    <m/>
    <m/>
    <m/>
  </r>
  <r>
    <x v="440"/>
    <x v="3"/>
    <s v="네이버 GFA"/>
    <x v="7"/>
    <x v="0"/>
    <x v="0"/>
    <m/>
    <m/>
    <n v="803529.9999999999"/>
    <m/>
    <m/>
    <m/>
  </r>
  <r>
    <x v="441"/>
    <x v="4"/>
    <s v="네이버 브랜드검색"/>
    <x v="0"/>
    <x v="0"/>
    <x v="0"/>
    <m/>
    <m/>
    <n v="50000"/>
    <m/>
    <m/>
    <m/>
  </r>
  <r>
    <x v="441"/>
    <x v="4"/>
    <s v="페이스북/인스타그램"/>
    <x v="7"/>
    <x v="0"/>
    <x v="0"/>
    <m/>
    <m/>
    <n v="617038"/>
    <m/>
    <m/>
    <m/>
  </r>
  <r>
    <x v="441"/>
    <x v="4"/>
    <s v="페이스북/인스타그램"/>
    <x v="0"/>
    <x v="0"/>
    <x v="0"/>
    <m/>
    <m/>
    <n v="697755"/>
    <m/>
    <m/>
    <m/>
  </r>
  <r>
    <x v="441"/>
    <x v="4"/>
    <s v="페이스북/인스타그램"/>
    <x v="13"/>
    <x v="0"/>
    <x v="0"/>
    <m/>
    <m/>
    <n v="28614"/>
    <m/>
    <m/>
    <m/>
  </r>
  <r>
    <x v="441"/>
    <x v="4"/>
    <s v="유튜브 디스커버리"/>
    <x v="0"/>
    <x v="0"/>
    <x v="0"/>
    <m/>
    <m/>
    <n v="511588"/>
    <m/>
    <m/>
    <m/>
  </r>
  <r>
    <x v="441"/>
    <x v="4"/>
    <s v="네이버 쇼핑검색"/>
    <x v="10"/>
    <x v="0"/>
    <x v="0"/>
    <m/>
    <m/>
    <n v="41870"/>
    <m/>
    <m/>
    <m/>
  </r>
  <r>
    <x v="441"/>
    <x v="4"/>
    <s v="카카오광고"/>
    <x v="0"/>
    <x v="0"/>
    <x v="0"/>
    <m/>
    <m/>
    <n v="19610"/>
    <m/>
    <m/>
    <m/>
  </r>
  <r>
    <x v="441"/>
    <x v="4"/>
    <s v="네이버 GFA"/>
    <x v="0"/>
    <x v="0"/>
    <x v="0"/>
    <m/>
    <m/>
    <n v="74514.54545454544"/>
    <m/>
    <m/>
    <m/>
  </r>
  <r>
    <x v="441"/>
    <x v="4"/>
    <s v="네이버 GFA"/>
    <x v="7"/>
    <x v="0"/>
    <x v="0"/>
    <m/>
    <m/>
    <n v="827286.3636363635"/>
    <m/>
    <m/>
    <m/>
  </r>
  <r>
    <x v="442"/>
    <x v="1"/>
    <s v="네이버 브랜드검색"/>
    <x v="0"/>
    <x v="0"/>
    <x v="0"/>
    <m/>
    <m/>
    <n v="50000"/>
    <m/>
    <m/>
    <m/>
  </r>
  <r>
    <x v="442"/>
    <x v="1"/>
    <s v="페이스북/인스타그램"/>
    <x v="7"/>
    <x v="0"/>
    <x v="0"/>
    <m/>
    <m/>
    <n v="351879"/>
    <m/>
    <m/>
    <m/>
  </r>
  <r>
    <x v="442"/>
    <x v="1"/>
    <s v="페이스북/인스타그램"/>
    <x v="0"/>
    <x v="0"/>
    <x v="0"/>
    <m/>
    <m/>
    <n v="531512"/>
    <m/>
    <m/>
    <m/>
  </r>
  <r>
    <x v="442"/>
    <x v="1"/>
    <s v="페이스북/인스타그램"/>
    <x v="13"/>
    <x v="0"/>
    <x v="0"/>
    <m/>
    <m/>
    <n v="29780"/>
    <m/>
    <m/>
    <m/>
  </r>
  <r>
    <x v="442"/>
    <x v="1"/>
    <s v="유튜브 디스커버리"/>
    <x v="0"/>
    <x v="0"/>
    <x v="0"/>
    <m/>
    <m/>
    <n v="473220"/>
    <m/>
    <m/>
    <m/>
  </r>
  <r>
    <x v="442"/>
    <x v="1"/>
    <s v="네이버 쇼핑검색"/>
    <x v="10"/>
    <x v="0"/>
    <x v="0"/>
    <m/>
    <m/>
    <n v="53639.99999999999"/>
    <m/>
    <m/>
    <m/>
  </r>
  <r>
    <x v="442"/>
    <x v="1"/>
    <s v="카카오광고"/>
    <x v="0"/>
    <x v="0"/>
    <x v="0"/>
    <m/>
    <m/>
    <n v="20650"/>
    <m/>
    <m/>
    <m/>
  </r>
  <r>
    <x v="442"/>
    <x v="1"/>
    <s v="네이버 GFA"/>
    <x v="0"/>
    <x v="0"/>
    <x v="0"/>
    <m/>
    <m/>
    <n v="80195.45454545454"/>
    <m/>
    <m/>
    <m/>
  </r>
  <r>
    <x v="442"/>
    <x v="1"/>
    <s v="네이버 GFA"/>
    <x v="7"/>
    <x v="0"/>
    <x v="0"/>
    <m/>
    <m/>
    <n v="1017833.636363636"/>
    <m/>
    <m/>
    <m/>
  </r>
  <r>
    <x v="443"/>
    <x v="0"/>
    <s v="네이버 브랜드검색"/>
    <x v="0"/>
    <x v="0"/>
    <x v="0"/>
    <m/>
    <m/>
    <n v="50000"/>
    <m/>
    <m/>
    <m/>
  </r>
  <r>
    <x v="443"/>
    <x v="0"/>
    <s v="페이스북/인스타그램"/>
    <x v="7"/>
    <x v="0"/>
    <x v="0"/>
    <m/>
    <m/>
    <n v="532595"/>
    <m/>
    <m/>
    <m/>
  </r>
  <r>
    <x v="443"/>
    <x v="0"/>
    <s v="페이스북/인스타그램"/>
    <x v="13"/>
    <x v="0"/>
    <x v="0"/>
    <m/>
    <m/>
    <n v="29907"/>
    <m/>
    <m/>
    <m/>
  </r>
  <r>
    <x v="443"/>
    <x v="0"/>
    <s v="페이스북/인스타그램"/>
    <x v="0"/>
    <x v="0"/>
    <x v="0"/>
    <m/>
    <m/>
    <n v="403242"/>
    <m/>
    <m/>
    <m/>
  </r>
  <r>
    <x v="443"/>
    <x v="0"/>
    <s v="유튜브 디스커버리"/>
    <x v="0"/>
    <x v="0"/>
    <x v="0"/>
    <m/>
    <m/>
    <n v="393785"/>
    <m/>
    <m/>
    <m/>
  </r>
  <r>
    <x v="443"/>
    <x v="0"/>
    <s v="네이버 쇼핑검색"/>
    <x v="10"/>
    <x v="0"/>
    <x v="0"/>
    <m/>
    <m/>
    <n v="40238"/>
    <m/>
    <m/>
    <m/>
  </r>
  <r>
    <x v="443"/>
    <x v="0"/>
    <s v="카카오광고"/>
    <x v="0"/>
    <x v="0"/>
    <x v="0"/>
    <m/>
    <m/>
    <n v="20944"/>
    <m/>
    <m/>
    <m/>
  </r>
  <r>
    <x v="443"/>
    <x v="0"/>
    <s v="네이버 GFA"/>
    <x v="0"/>
    <x v="0"/>
    <x v="0"/>
    <m/>
    <m/>
    <n v="115568"/>
    <m/>
    <m/>
    <m/>
  </r>
  <r>
    <x v="443"/>
    <x v="0"/>
    <s v="네이버 GFA"/>
    <x v="7"/>
    <x v="0"/>
    <x v="0"/>
    <m/>
    <m/>
    <n v="1659017"/>
    <m/>
    <m/>
    <m/>
  </r>
  <r>
    <x v="444"/>
    <x v="2"/>
    <s v="네이버 브랜드검색"/>
    <x v="0"/>
    <x v="0"/>
    <x v="0"/>
    <m/>
    <m/>
    <n v="50000"/>
    <m/>
    <m/>
    <m/>
  </r>
  <r>
    <x v="445"/>
    <x v="5"/>
    <s v="네이버 브랜드검색"/>
    <x v="10"/>
    <x v="0"/>
    <x v="0"/>
    <m/>
    <m/>
    <n v="50000"/>
    <m/>
    <m/>
    <m/>
  </r>
  <r>
    <x v="446"/>
    <x v="6"/>
    <s v="네이버 브랜드검색"/>
    <x v="10"/>
    <x v="0"/>
    <x v="0"/>
    <m/>
    <m/>
    <n v="50000"/>
    <m/>
    <m/>
    <m/>
  </r>
  <r>
    <x v="444"/>
    <x v="2"/>
    <s v="페이스북/인스타그램"/>
    <x v="13"/>
    <x v="0"/>
    <x v="0"/>
    <m/>
    <m/>
    <n v="30117"/>
    <m/>
    <m/>
    <m/>
  </r>
  <r>
    <x v="445"/>
    <x v="5"/>
    <s v="페이스북/인스타그램"/>
    <x v="13"/>
    <x v="0"/>
    <x v="0"/>
    <m/>
    <m/>
    <n v="33190"/>
    <m/>
    <m/>
    <m/>
  </r>
  <r>
    <x v="446"/>
    <x v="6"/>
    <s v="페이스북/인스타그램"/>
    <x v="13"/>
    <x v="0"/>
    <x v="0"/>
    <m/>
    <m/>
    <n v="29831"/>
    <m/>
    <m/>
    <m/>
  </r>
  <r>
    <x v="444"/>
    <x v="2"/>
    <s v="페이스북/인스타그램"/>
    <x v="0"/>
    <x v="0"/>
    <x v="0"/>
    <m/>
    <m/>
    <n v="476717"/>
    <m/>
    <m/>
    <m/>
  </r>
  <r>
    <x v="445"/>
    <x v="5"/>
    <s v="페이스북/인스타그램"/>
    <x v="0"/>
    <x v="0"/>
    <x v="0"/>
    <m/>
    <m/>
    <n v="273939"/>
    <m/>
    <m/>
    <m/>
  </r>
  <r>
    <x v="446"/>
    <x v="6"/>
    <s v="페이스북/인스타그램"/>
    <x v="0"/>
    <x v="0"/>
    <x v="0"/>
    <m/>
    <m/>
    <n v="441639"/>
    <m/>
    <m/>
    <m/>
  </r>
  <r>
    <x v="444"/>
    <x v="2"/>
    <s v="페이스북/인스타그램"/>
    <x v="7"/>
    <x v="0"/>
    <x v="0"/>
    <m/>
    <m/>
    <n v="520593"/>
    <m/>
    <m/>
    <m/>
  </r>
  <r>
    <x v="445"/>
    <x v="5"/>
    <s v="페이스북/인스타그램"/>
    <x v="7"/>
    <x v="0"/>
    <x v="0"/>
    <m/>
    <m/>
    <n v="264465"/>
    <m/>
    <m/>
    <m/>
  </r>
  <r>
    <x v="446"/>
    <x v="6"/>
    <s v="페이스북/인스타그램"/>
    <x v="7"/>
    <x v="0"/>
    <x v="0"/>
    <m/>
    <m/>
    <n v="390906"/>
    <m/>
    <m/>
    <m/>
  </r>
  <r>
    <x v="444"/>
    <x v="2"/>
    <s v="유튜브 디스커버리"/>
    <x v="0"/>
    <x v="0"/>
    <x v="0"/>
    <m/>
    <m/>
    <n v="983"/>
    <m/>
    <m/>
    <m/>
  </r>
  <r>
    <x v="444"/>
    <x v="2"/>
    <s v="유튜브 디스커버리"/>
    <x v="0"/>
    <x v="0"/>
    <x v="0"/>
    <m/>
    <m/>
    <n v="208744"/>
    <m/>
    <m/>
    <m/>
  </r>
  <r>
    <x v="446"/>
    <x v="6"/>
    <s v="유튜브 디스커버리"/>
    <x v="0"/>
    <x v="0"/>
    <x v="0"/>
    <m/>
    <m/>
    <n v="79344"/>
    <m/>
    <m/>
    <m/>
  </r>
  <r>
    <x v="446"/>
    <x v="6"/>
    <s v="유튜브 디스커버리"/>
    <x v="0"/>
    <x v="0"/>
    <x v="0"/>
    <m/>
    <m/>
    <n v="197720"/>
    <m/>
    <m/>
    <m/>
  </r>
  <r>
    <x v="446"/>
    <x v="6"/>
    <s v="유튜브 디스커버리"/>
    <x v="0"/>
    <x v="0"/>
    <x v="0"/>
    <m/>
    <m/>
    <n v="503223"/>
    <m/>
    <m/>
    <m/>
  </r>
  <r>
    <x v="444"/>
    <x v="2"/>
    <s v="네이버 쇼핑검색"/>
    <x v="10"/>
    <x v="0"/>
    <x v="0"/>
    <m/>
    <m/>
    <n v="55770"/>
    <m/>
    <m/>
    <m/>
  </r>
  <r>
    <x v="445"/>
    <x v="5"/>
    <s v="네이버 쇼핑검색"/>
    <x v="10"/>
    <x v="0"/>
    <x v="0"/>
    <m/>
    <m/>
    <n v="58058"/>
    <m/>
    <m/>
    <m/>
  </r>
  <r>
    <x v="446"/>
    <x v="6"/>
    <s v="네이버 쇼핑검색"/>
    <x v="10"/>
    <x v="0"/>
    <x v="0"/>
    <m/>
    <m/>
    <n v="77891"/>
    <m/>
    <m/>
    <m/>
  </r>
  <r>
    <x v="444"/>
    <x v="2"/>
    <s v="카카오광고"/>
    <x v="0"/>
    <x v="0"/>
    <x v="0"/>
    <m/>
    <m/>
    <n v="20933"/>
    <m/>
    <m/>
    <m/>
  </r>
  <r>
    <x v="445"/>
    <x v="5"/>
    <s v="카카오광고"/>
    <x v="0"/>
    <x v="0"/>
    <x v="0"/>
    <m/>
    <m/>
    <n v="21384"/>
    <m/>
    <m/>
    <m/>
  </r>
  <r>
    <x v="446"/>
    <x v="6"/>
    <s v="카카오광고"/>
    <x v="0"/>
    <x v="0"/>
    <x v="0"/>
    <m/>
    <m/>
    <n v="20339"/>
    <m/>
    <m/>
    <m/>
  </r>
  <r>
    <x v="444"/>
    <x v="2"/>
    <s v="네이버 GFA"/>
    <x v="0"/>
    <x v="0"/>
    <x v="0"/>
    <m/>
    <m/>
    <n v="109865"/>
    <m/>
    <m/>
    <m/>
  </r>
  <r>
    <x v="445"/>
    <x v="5"/>
    <s v="네이버 GFA"/>
    <x v="0"/>
    <x v="0"/>
    <x v="0"/>
    <m/>
    <m/>
    <n v="113894"/>
    <m/>
    <m/>
    <m/>
  </r>
  <r>
    <x v="446"/>
    <x v="6"/>
    <s v="네이버 GFA"/>
    <x v="0"/>
    <x v="0"/>
    <x v="0"/>
    <m/>
    <m/>
    <n v="310218"/>
    <m/>
    <m/>
    <m/>
  </r>
  <r>
    <x v="444"/>
    <x v="2"/>
    <s v="네이버 GFA"/>
    <x v="7"/>
    <x v="0"/>
    <x v="0"/>
    <m/>
    <m/>
    <n v="3345112"/>
    <m/>
    <m/>
    <m/>
  </r>
  <r>
    <x v="445"/>
    <x v="5"/>
    <s v="네이버 GFA"/>
    <x v="7"/>
    <x v="0"/>
    <x v="0"/>
    <m/>
    <m/>
    <n v="943232"/>
    <m/>
    <m/>
    <m/>
  </r>
  <r>
    <x v="446"/>
    <x v="6"/>
    <s v="네이버 GFA"/>
    <x v="7"/>
    <x v="0"/>
    <x v="0"/>
    <m/>
    <m/>
    <n v="1230760"/>
    <m/>
    <m/>
    <m/>
  </r>
  <r>
    <x v="447"/>
    <x v="3"/>
    <s v="네이버 브랜드검색"/>
    <x v="0"/>
    <x v="0"/>
    <x v="0"/>
    <m/>
    <m/>
    <n v="50000"/>
    <m/>
    <m/>
    <m/>
  </r>
  <r>
    <x v="447"/>
    <x v="3"/>
    <s v="페이스북/인스타그램"/>
    <x v="7"/>
    <x v="0"/>
    <x v="0"/>
    <m/>
    <m/>
    <n v="556870"/>
    <m/>
    <m/>
    <m/>
  </r>
  <r>
    <x v="447"/>
    <x v="3"/>
    <s v="페이스북/인스타그램"/>
    <x v="13"/>
    <x v="0"/>
    <x v="0"/>
    <m/>
    <m/>
    <n v="28288"/>
    <m/>
    <m/>
    <m/>
  </r>
  <r>
    <x v="447"/>
    <x v="3"/>
    <s v="페이스북/인스타그램"/>
    <x v="0"/>
    <x v="0"/>
    <x v="0"/>
    <m/>
    <m/>
    <n v="502275"/>
    <m/>
    <m/>
    <m/>
  </r>
  <r>
    <x v="447"/>
    <x v="3"/>
    <s v="유튜브 디스커버리"/>
    <x v="10"/>
    <x v="0"/>
    <x v="0"/>
    <m/>
    <m/>
    <n v="15894"/>
    <m/>
    <m/>
    <m/>
  </r>
  <r>
    <x v="447"/>
    <x v="3"/>
    <s v="유튜브 디스커버리"/>
    <x v="10"/>
    <x v="0"/>
    <x v="0"/>
    <m/>
    <m/>
    <n v="236787"/>
    <m/>
    <m/>
    <m/>
  </r>
  <r>
    <x v="447"/>
    <x v="3"/>
    <s v="유튜브 디스커버리"/>
    <x v="10"/>
    <x v="0"/>
    <x v="0"/>
    <m/>
    <m/>
    <n v="376148"/>
    <m/>
    <m/>
    <m/>
  </r>
  <r>
    <x v="447"/>
    <x v="3"/>
    <s v="네이버 쇼핑검색"/>
    <x v="10"/>
    <x v="0"/>
    <x v="0"/>
    <m/>
    <m/>
    <n v="79086.36363636363"/>
    <m/>
    <m/>
    <m/>
  </r>
  <r>
    <x v="447"/>
    <x v="3"/>
    <s v="카카오광고"/>
    <x v="0"/>
    <x v="0"/>
    <x v="0"/>
    <m/>
    <m/>
    <n v="21010"/>
    <m/>
    <m/>
    <m/>
  </r>
  <r>
    <x v="447"/>
    <x v="3"/>
    <s v="네이버 GFA"/>
    <x v="0"/>
    <x v="0"/>
    <x v="0"/>
    <m/>
    <m/>
    <n v="295571.8181818182"/>
    <m/>
    <m/>
    <m/>
  </r>
  <r>
    <x v="447"/>
    <x v="3"/>
    <s v="네이버 GFA"/>
    <x v="7"/>
    <x v="0"/>
    <x v="0"/>
    <m/>
    <m/>
    <n v="2491376.363636363"/>
    <m/>
    <m/>
    <m/>
  </r>
  <r>
    <x v="448"/>
    <x v="4"/>
    <s v="네이버 브랜드검색"/>
    <x v="0"/>
    <x v="0"/>
    <x v="0"/>
    <m/>
    <m/>
    <n v="50000"/>
    <m/>
    <m/>
    <m/>
  </r>
  <r>
    <x v="448"/>
    <x v="4"/>
    <s v="페이스북/인스타그램"/>
    <x v="0"/>
    <x v="0"/>
    <x v="0"/>
    <m/>
    <m/>
    <n v="508977"/>
    <m/>
    <m/>
    <m/>
  </r>
  <r>
    <x v="448"/>
    <x v="4"/>
    <s v="페이스북/인스타그램"/>
    <x v="13"/>
    <x v="0"/>
    <x v="0"/>
    <m/>
    <m/>
    <n v="30422"/>
    <m/>
    <m/>
    <m/>
  </r>
  <r>
    <x v="448"/>
    <x v="4"/>
    <s v="페이스북/인스타그램"/>
    <x v="7"/>
    <x v="0"/>
    <x v="0"/>
    <m/>
    <m/>
    <n v="658660"/>
    <m/>
    <m/>
    <m/>
  </r>
  <r>
    <x v="448"/>
    <x v="4"/>
    <s v="유튜브 디스커버리"/>
    <x v="0"/>
    <x v="0"/>
    <x v="0"/>
    <m/>
    <m/>
    <n v="215606"/>
    <m/>
    <m/>
    <m/>
  </r>
  <r>
    <x v="448"/>
    <x v="4"/>
    <s v="유튜브 디스커버리"/>
    <x v="0"/>
    <x v="0"/>
    <x v="0"/>
    <m/>
    <m/>
    <n v="351084"/>
    <m/>
    <m/>
    <m/>
  </r>
  <r>
    <x v="448"/>
    <x v="4"/>
    <s v="유튜브 디스커버리"/>
    <x v="0"/>
    <x v="0"/>
    <x v="0"/>
    <m/>
    <m/>
    <n v="49021"/>
    <m/>
    <m/>
    <m/>
  </r>
  <r>
    <x v="448"/>
    <x v="4"/>
    <s v="네이버 쇼핑검색"/>
    <x v="10"/>
    <x v="0"/>
    <x v="0"/>
    <m/>
    <m/>
    <n v="73200"/>
    <m/>
    <m/>
    <m/>
  </r>
  <r>
    <x v="448"/>
    <x v="4"/>
    <s v="네이버 쇼핑검색"/>
    <x v="10"/>
    <x v="0"/>
    <x v="0"/>
    <m/>
    <m/>
    <n v="7059.999999999999"/>
    <m/>
    <m/>
    <m/>
  </r>
  <r>
    <x v="448"/>
    <x v="4"/>
    <s v="카카오광고"/>
    <x v="0"/>
    <x v="0"/>
    <x v="0"/>
    <m/>
    <m/>
    <n v="21280"/>
    <m/>
    <m/>
    <m/>
  </r>
  <r>
    <x v="448"/>
    <x v="4"/>
    <s v="네이버 GFA"/>
    <x v="0"/>
    <x v="0"/>
    <x v="0"/>
    <m/>
    <m/>
    <n v="0"/>
    <m/>
    <m/>
    <m/>
  </r>
  <r>
    <x v="448"/>
    <x v="4"/>
    <s v="네이버 GFA"/>
    <x v="7"/>
    <x v="0"/>
    <x v="0"/>
    <m/>
    <m/>
    <n v="4854766.363636363"/>
    <m/>
    <m/>
    <m/>
  </r>
  <r>
    <x v="448"/>
    <x v="4"/>
    <s v="네이버 GFA"/>
    <x v="0"/>
    <x v="0"/>
    <x v="0"/>
    <m/>
    <m/>
    <n v="5917.272727272727"/>
    <m/>
    <m/>
    <m/>
  </r>
  <r>
    <x v="449"/>
    <x v="1"/>
    <s v="네이버 브랜드검색"/>
    <x v="0"/>
    <x v="0"/>
    <x v="0"/>
    <m/>
    <m/>
    <n v="50000"/>
    <m/>
    <m/>
    <m/>
  </r>
  <r>
    <x v="449"/>
    <x v="1"/>
    <s v="네이버 쇼핑검색"/>
    <x v="10"/>
    <x v="0"/>
    <x v="0"/>
    <m/>
    <m/>
    <n v="70540"/>
    <m/>
    <m/>
    <m/>
  </r>
  <r>
    <x v="449"/>
    <x v="1"/>
    <s v="네이버 쇼핑검색"/>
    <x v="10"/>
    <x v="0"/>
    <x v="0"/>
    <m/>
    <m/>
    <n v="5150"/>
    <m/>
    <m/>
    <m/>
  </r>
  <r>
    <x v="449"/>
    <x v="1"/>
    <s v="페이스북/인스타그램"/>
    <x v="0"/>
    <x v="0"/>
    <x v="0"/>
    <m/>
    <m/>
    <n v="108674"/>
    <m/>
    <m/>
    <m/>
  </r>
  <r>
    <x v="449"/>
    <x v="1"/>
    <s v="페이스북/인스타그램"/>
    <x v="0"/>
    <x v="0"/>
    <x v="0"/>
    <m/>
    <m/>
    <n v="731063"/>
    <m/>
    <m/>
    <m/>
  </r>
  <r>
    <x v="449"/>
    <x v="1"/>
    <s v="페이스북/인스타그램"/>
    <x v="13"/>
    <x v="0"/>
    <x v="0"/>
    <m/>
    <m/>
    <n v="30380"/>
    <m/>
    <m/>
    <m/>
  </r>
  <r>
    <x v="449"/>
    <x v="1"/>
    <s v="페이스북/인스타그램"/>
    <x v="7"/>
    <x v="0"/>
    <x v="0"/>
    <m/>
    <m/>
    <n v="861599"/>
    <m/>
    <m/>
    <m/>
  </r>
  <r>
    <x v="449"/>
    <x v="1"/>
    <s v="유튜브 디스커버리"/>
    <x v="0"/>
    <x v="0"/>
    <x v="0"/>
    <m/>
    <m/>
    <n v="25939"/>
    <m/>
    <m/>
    <m/>
  </r>
  <r>
    <x v="449"/>
    <x v="1"/>
    <s v="유튜브 디스커버리"/>
    <x v="0"/>
    <x v="0"/>
    <x v="0"/>
    <m/>
    <m/>
    <n v="322010"/>
    <m/>
    <m/>
    <m/>
  </r>
  <r>
    <x v="449"/>
    <x v="1"/>
    <s v="유튜브 디스커버리"/>
    <x v="0"/>
    <x v="0"/>
    <x v="0"/>
    <m/>
    <m/>
    <n v="203542"/>
    <m/>
    <m/>
    <m/>
  </r>
  <r>
    <x v="449"/>
    <x v="1"/>
    <s v="카카오광고"/>
    <x v="0"/>
    <x v="0"/>
    <x v="0"/>
    <m/>
    <m/>
    <n v="19110"/>
    <m/>
    <m/>
    <m/>
  </r>
  <r>
    <x v="449"/>
    <x v="1"/>
    <s v="네이버 GFA"/>
    <x v="0"/>
    <x v="0"/>
    <x v="0"/>
    <m/>
    <m/>
    <n v="40205.45454545454"/>
    <m/>
    <m/>
    <m/>
  </r>
  <r>
    <x v="449"/>
    <x v="1"/>
    <s v="네이버 GFA"/>
    <x v="7"/>
    <x v="0"/>
    <x v="0"/>
    <m/>
    <m/>
    <n v="8848441.818181818"/>
    <m/>
    <m/>
    <m/>
  </r>
  <r>
    <x v="449"/>
    <x v="1"/>
    <s v="네이버 GFA"/>
    <x v="0"/>
    <x v="0"/>
    <x v="0"/>
    <m/>
    <m/>
    <n v="129368.1818181818"/>
    <m/>
    <m/>
    <m/>
  </r>
  <r>
    <x v="450"/>
    <x v="0"/>
    <s v="네이버 브랜드검색"/>
    <x v="0"/>
    <x v="0"/>
    <x v="0"/>
    <m/>
    <m/>
    <n v="50000"/>
    <m/>
    <m/>
    <m/>
  </r>
  <r>
    <x v="451"/>
    <x v="2"/>
    <s v="네이버 브랜드검색"/>
    <x v="0"/>
    <x v="0"/>
    <x v="0"/>
    <m/>
    <m/>
    <n v="50000"/>
    <m/>
    <m/>
    <m/>
  </r>
  <r>
    <x v="452"/>
    <x v="5"/>
    <s v="네이버 브랜드검색"/>
    <x v="0"/>
    <x v="0"/>
    <x v="0"/>
    <m/>
    <m/>
    <n v="50000"/>
    <m/>
    <m/>
    <m/>
  </r>
  <r>
    <x v="453"/>
    <x v="6"/>
    <s v="네이버 브랜드검색"/>
    <x v="0"/>
    <x v="0"/>
    <x v="0"/>
    <m/>
    <m/>
    <n v="50000"/>
    <m/>
    <m/>
    <m/>
  </r>
  <r>
    <x v="450"/>
    <x v="0"/>
    <s v="페이스북/인스타그램"/>
    <x v="7"/>
    <x v="0"/>
    <x v="0"/>
    <m/>
    <m/>
    <n v="583197"/>
    <m/>
    <m/>
    <m/>
  </r>
  <r>
    <x v="450"/>
    <x v="0"/>
    <s v="페이스북/인스타그램"/>
    <x v="13"/>
    <x v="0"/>
    <x v="0"/>
    <m/>
    <m/>
    <n v="25495"/>
    <m/>
    <m/>
    <m/>
  </r>
  <r>
    <x v="450"/>
    <x v="0"/>
    <s v="페이스북/인스타그램"/>
    <x v="0"/>
    <x v="0"/>
    <x v="0"/>
    <m/>
    <m/>
    <n v="582971"/>
    <m/>
    <m/>
    <m/>
  </r>
  <r>
    <x v="451"/>
    <x v="2"/>
    <s v="페이스북/인스타그램"/>
    <x v="7"/>
    <x v="0"/>
    <x v="0"/>
    <m/>
    <m/>
    <n v="312632"/>
    <m/>
    <m/>
    <m/>
  </r>
  <r>
    <x v="451"/>
    <x v="2"/>
    <s v="페이스북/인스타그램"/>
    <x v="13"/>
    <x v="0"/>
    <x v="0"/>
    <m/>
    <m/>
    <n v="14749"/>
    <m/>
    <m/>
    <m/>
  </r>
  <r>
    <x v="451"/>
    <x v="2"/>
    <s v="페이스북/인스타그램"/>
    <x v="0"/>
    <x v="0"/>
    <x v="0"/>
    <m/>
    <m/>
    <n v="395548"/>
    <m/>
    <m/>
    <m/>
  </r>
  <r>
    <x v="452"/>
    <x v="5"/>
    <s v="페이스북/인스타그램"/>
    <x v="7"/>
    <x v="0"/>
    <x v="0"/>
    <m/>
    <m/>
    <n v="269521"/>
    <m/>
    <m/>
    <m/>
  </r>
  <r>
    <x v="452"/>
    <x v="5"/>
    <s v="페이스북/인스타그램"/>
    <x v="13"/>
    <x v="0"/>
    <x v="0"/>
    <m/>
    <m/>
    <n v="14716"/>
    <m/>
    <m/>
    <m/>
  </r>
  <r>
    <x v="452"/>
    <x v="5"/>
    <s v="페이스북/인스타그램"/>
    <x v="0"/>
    <x v="0"/>
    <x v="0"/>
    <m/>
    <m/>
    <n v="303250"/>
    <m/>
    <m/>
    <m/>
  </r>
  <r>
    <x v="453"/>
    <x v="6"/>
    <s v="페이스북/인스타그램"/>
    <x v="7"/>
    <x v="0"/>
    <x v="0"/>
    <m/>
    <m/>
    <n v="363467"/>
    <m/>
    <m/>
    <m/>
  </r>
  <r>
    <x v="453"/>
    <x v="6"/>
    <s v="페이스북/인스타그램"/>
    <x v="13"/>
    <x v="0"/>
    <x v="0"/>
    <m/>
    <m/>
    <n v="18686"/>
    <m/>
    <m/>
    <m/>
  </r>
  <r>
    <x v="453"/>
    <x v="6"/>
    <s v="페이스북/인스타그램"/>
    <x v="0"/>
    <x v="0"/>
    <x v="0"/>
    <m/>
    <m/>
    <n v="394478"/>
    <m/>
    <m/>
    <m/>
  </r>
  <r>
    <x v="450"/>
    <x v="0"/>
    <s v="유튜브 디스커버리"/>
    <x v="0"/>
    <x v="0"/>
    <x v="0"/>
    <m/>
    <m/>
    <n v="534676"/>
    <m/>
    <m/>
    <m/>
  </r>
  <r>
    <x v="451"/>
    <x v="2"/>
    <s v="유튜브 디스커버리"/>
    <x v="0"/>
    <x v="0"/>
    <x v="0"/>
    <m/>
    <m/>
    <n v="182373"/>
    <m/>
    <m/>
    <m/>
  </r>
  <r>
    <x v="452"/>
    <x v="5"/>
    <s v="유튜브 디스커버리"/>
    <x v="0"/>
    <x v="0"/>
    <x v="0"/>
    <m/>
    <m/>
    <n v="0"/>
    <m/>
    <m/>
    <m/>
  </r>
  <r>
    <x v="453"/>
    <x v="6"/>
    <s v="유튜브 디스커버리"/>
    <x v="0"/>
    <x v="0"/>
    <x v="0"/>
    <m/>
    <m/>
    <n v="1076361"/>
    <m/>
    <m/>
    <m/>
  </r>
  <r>
    <x v="450"/>
    <x v="0"/>
    <s v="네이버 쇼핑검색"/>
    <x v="10"/>
    <x v="0"/>
    <x v="0"/>
    <m/>
    <m/>
    <n v="55719.99999999999"/>
    <m/>
    <m/>
    <m/>
  </r>
  <r>
    <x v="451"/>
    <x v="2"/>
    <s v="네이버 쇼핑검색"/>
    <x v="10"/>
    <x v="0"/>
    <x v="0"/>
    <m/>
    <m/>
    <n v="79070"/>
    <m/>
    <m/>
    <m/>
  </r>
  <r>
    <x v="452"/>
    <x v="5"/>
    <s v="네이버 쇼핑검색"/>
    <x v="10"/>
    <x v="0"/>
    <x v="0"/>
    <m/>
    <m/>
    <n v="85560"/>
    <m/>
    <m/>
    <m/>
  </r>
  <r>
    <x v="453"/>
    <x v="6"/>
    <s v="네이버 쇼핑검색"/>
    <x v="10"/>
    <x v="0"/>
    <x v="0"/>
    <m/>
    <m/>
    <n v="104540"/>
    <m/>
    <m/>
    <m/>
  </r>
  <r>
    <x v="450"/>
    <x v="0"/>
    <s v="네이버 쇼핑검색"/>
    <x v="10"/>
    <x v="0"/>
    <x v="0"/>
    <m/>
    <m/>
    <n v="2490"/>
    <m/>
    <m/>
    <m/>
  </r>
  <r>
    <x v="451"/>
    <x v="2"/>
    <s v="네이버 쇼핑검색"/>
    <x v="10"/>
    <x v="0"/>
    <x v="0"/>
    <m/>
    <m/>
    <n v="1080"/>
    <m/>
    <m/>
    <m/>
  </r>
  <r>
    <x v="452"/>
    <x v="5"/>
    <s v="네이버 쇼핑검색"/>
    <x v="10"/>
    <x v="0"/>
    <x v="0"/>
    <m/>
    <m/>
    <n v="3000"/>
    <m/>
    <m/>
    <m/>
  </r>
  <r>
    <x v="453"/>
    <x v="6"/>
    <s v="네이버 쇼핑검색"/>
    <x v="10"/>
    <x v="0"/>
    <x v="0"/>
    <m/>
    <m/>
    <n v="2160"/>
    <m/>
    <m/>
    <m/>
  </r>
  <r>
    <x v="450"/>
    <x v="0"/>
    <s v="카카오광고"/>
    <x v="0"/>
    <x v="0"/>
    <x v="0"/>
    <m/>
    <m/>
    <n v="74730"/>
    <m/>
    <m/>
    <m/>
  </r>
  <r>
    <x v="451"/>
    <x v="2"/>
    <s v="카카오광고"/>
    <x v="0"/>
    <x v="0"/>
    <x v="0"/>
    <m/>
    <m/>
    <n v="274320"/>
    <m/>
    <m/>
    <m/>
  </r>
  <r>
    <x v="452"/>
    <x v="5"/>
    <s v="카카오광고"/>
    <x v="0"/>
    <x v="0"/>
    <x v="0"/>
    <m/>
    <m/>
    <n v="326510"/>
    <m/>
    <m/>
    <m/>
  </r>
  <r>
    <x v="453"/>
    <x v="6"/>
    <s v="카카오광고"/>
    <x v="0"/>
    <x v="0"/>
    <x v="0"/>
    <m/>
    <m/>
    <n v="340230"/>
    <m/>
    <m/>
    <m/>
  </r>
  <r>
    <x v="453"/>
    <x v="6"/>
    <s v="네이버 GFA"/>
    <x v="0"/>
    <x v="0"/>
    <x v="0"/>
    <m/>
    <m/>
    <n v="12705.45454545454"/>
    <m/>
    <m/>
    <m/>
  </r>
  <r>
    <x v="452"/>
    <x v="5"/>
    <s v="네이버 GFA"/>
    <x v="0"/>
    <x v="0"/>
    <x v="0"/>
    <m/>
    <m/>
    <n v="2502.727272727273"/>
    <m/>
    <m/>
    <m/>
  </r>
  <r>
    <x v="451"/>
    <x v="2"/>
    <s v="네이버 GFA"/>
    <x v="0"/>
    <x v="0"/>
    <x v="0"/>
    <m/>
    <m/>
    <n v="7595.454545454545"/>
    <m/>
    <m/>
    <m/>
  </r>
  <r>
    <x v="450"/>
    <x v="0"/>
    <s v="네이버 GFA"/>
    <x v="0"/>
    <x v="0"/>
    <x v="0"/>
    <m/>
    <m/>
    <n v="17692.72727272727"/>
    <m/>
    <m/>
    <m/>
  </r>
  <r>
    <x v="453"/>
    <x v="6"/>
    <s v="네이버 GFA"/>
    <x v="7"/>
    <x v="0"/>
    <x v="0"/>
    <m/>
    <m/>
    <n v="5466429.090909091"/>
    <m/>
    <m/>
    <m/>
  </r>
  <r>
    <x v="452"/>
    <x v="5"/>
    <s v="네이버 GFA"/>
    <x v="7"/>
    <x v="0"/>
    <x v="0"/>
    <m/>
    <m/>
    <n v="4972238.181818182"/>
    <m/>
    <m/>
    <m/>
  </r>
  <r>
    <x v="451"/>
    <x v="2"/>
    <s v="네이버 GFA"/>
    <x v="7"/>
    <x v="0"/>
    <x v="0"/>
    <m/>
    <m/>
    <n v="7568151.818181817"/>
    <m/>
    <m/>
    <m/>
  </r>
  <r>
    <x v="450"/>
    <x v="0"/>
    <s v="네이버 GFA"/>
    <x v="7"/>
    <x v="0"/>
    <x v="0"/>
    <m/>
    <m/>
    <n v="8243889.09090909"/>
    <m/>
    <m/>
    <m/>
  </r>
  <r>
    <x v="453"/>
    <x v="6"/>
    <s v="네이버 GFA"/>
    <x v="0"/>
    <x v="0"/>
    <x v="0"/>
    <m/>
    <m/>
    <n v="1639073.636363636"/>
    <m/>
    <m/>
    <m/>
  </r>
  <r>
    <x v="452"/>
    <x v="5"/>
    <s v="네이버 GFA"/>
    <x v="0"/>
    <x v="0"/>
    <x v="0"/>
    <m/>
    <m/>
    <n v="1447581.818181818"/>
    <m/>
    <m/>
    <m/>
  </r>
  <r>
    <x v="451"/>
    <x v="2"/>
    <s v="네이버 GFA"/>
    <x v="0"/>
    <x v="0"/>
    <x v="0"/>
    <m/>
    <m/>
    <n v="3607028.181818182"/>
    <m/>
    <m/>
    <m/>
  </r>
  <r>
    <x v="450"/>
    <x v="0"/>
    <s v="네이버 GFA"/>
    <x v="0"/>
    <x v="0"/>
    <x v="0"/>
    <m/>
    <m/>
    <n v="2169074.545454545"/>
    <m/>
    <m/>
    <m/>
  </r>
  <r>
    <x v="454"/>
    <x v="3"/>
    <s v="페이스북/인스타그램"/>
    <x v="0"/>
    <x v="0"/>
    <x v="0"/>
    <m/>
    <m/>
    <n v="572374"/>
    <m/>
    <m/>
    <m/>
  </r>
  <r>
    <x v="454"/>
    <x v="3"/>
    <s v="페이스북/인스타그램"/>
    <x v="13"/>
    <x v="0"/>
    <x v="0"/>
    <m/>
    <m/>
    <n v="28557"/>
    <m/>
    <m/>
    <m/>
  </r>
  <r>
    <x v="454"/>
    <x v="3"/>
    <s v="페이스북/인스타그램"/>
    <x v="7"/>
    <x v="0"/>
    <x v="0"/>
    <m/>
    <m/>
    <n v="525216"/>
    <m/>
    <m/>
    <m/>
  </r>
  <r>
    <x v="454"/>
    <x v="3"/>
    <s v="네이버 쇼핑검색"/>
    <x v="10"/>
    <x v="0"/>
    <x v="0"/>
    <m/>
    <m/>
    <n v="99769.99999999999"/>
    <m/>
    <m/>
    <m/>
  </r>
  <r>
    <x v="454"/>
    <x v="3"/>
    <s v="네이버 쇼핑검색"/>
    <x v="10"/>
    <x v="0"/>
    <x v="0"/>
    <m/>
    <m/>
    <n v="2740"/>
    <m/>
    <m/>
    <m/>
  </r>
  <r>
    <x v="454"/>
    <x v="3"/>
    <s v="네이버 브랜드검색"/>
    <x v="0"/>
    <x v="0"/>
    <x v="0"/>
    <m/>
    <m/>
    <n v="50000"/>
    <m/>
    <m/>
    <m/>
  </r>
  <r>
    <x v="454"/>
    <x v="3"/>
    <s v="네이버 GFA"/>
    <x v="7"/>
    <x v="0"/>
    <x v="0"/>
    <m/>
    <m/>
    <n v="5898856.363636363"/>
    <m/>
    <m/>
    <m/>
  </r>
  <r>
    <x v="454"/>
    <x v="3"/>
    <s v="네이버 GFA"/>
    <x v="0"/>
    <x v="0"/>
    <x v="0"/>
    <m/>
    <m/>
    <n v="1605961.818181818"/>
    <m/>
    <m/>
    <m/>
  </r>
  <r>
    <x v="454"/>
    <x v="3"/>
    <s v="카카오광고"/>
    <x v="0"/>
    <x v="0"/>
    <x v="0"/>
    <m/>
    <m/>
    <n v="189330"/>
    <m/>
    <m/>
    <m/>
  </r>
  <r>
    <x v="454"/>
    <x v="3"/>
    <s v="유튜브 디스커버리"/>
    <x v="0"/>
    <x v="0"/>
    <x v="0"/>
    <m/>
    <m/>
    <n v="1068230"/>
    <m/>
    <m/>
    <m/>
  </r>
  <r>
    <x v="455"/>
    <x v="4"/>
    <s v="페이스북/인스타그램"/>
    <x v="0"/>
    <x v="0"/>
    <x v="0"/>
    <m/>
    <m/>
    <n v="465502"/>
    <m/>
    <m/>
    <m/>
  </r>
  <r>
    <x v="455"/>
    <x v="4"/>
    <s v="페이스북/인스타그램"/>
    <x v="13"/>
    <x v="0"/>
    <x v="0"/>
    <m/>
    <m/>
    <n v="29242"/>
    <m/>
    <m/>
    <m/>
  </r>
  <r>
    <x v="455"/>
    <x v="4"/>
    <s v="페이스북/인스타그램"/>
    <x v="7"/>
    <x v="0"/>
    <x v="0"/>
    <m/>
    <m/>
    <n v="436261"/>
    <m/>
    <m/>
    <m/>
  </r>
  <r>
    <x v="455"/>
    <x v="4"/>
    <s v="네이버 쇼핑검색"/>
    <x v="10"/>
    <x v="0"/>
    <x v="0"/>
    <m/>
    <m/>
    <n v="72500"/>
    <m/>
    <m/>
    <m/>
  </r>
  <r>
    <x v="455"/>
    <x v="4"/>
    <s v="네이버 쇼핑검색"/>
    <x v="10"/>
    <x v="0"/>
    <x v="0"/>
    <m/>
    <m/>
    <n v="5110"/>
    <m/>
    <m/>
    <m/>
  </r>
  <r>
    <x v="455"/>
    <x v="4"/>
    <s v="네이버 GFA"/>
    <x v="7"/>
    <x v="0"/>
    <x v="0"/>
    <m/>
    <m/>
    <n v="7245109.09090909"/>
    <m/>
    <m/>
    <m/>
  </r>
  <r>
    <x v="455"/>
    <x v="4"/>
    <s v="네이버 GFA"/>
    <x v="0"/>
    <x v="0"/>
    <x v="0"/>
    <m/>
    <m/>
    <n v="1028383.636363636"/>
    <m/>
    <m/>
    <m/>
  </r>
  <r>
    <x v="455"/>
    <x v="4"/>
    <s v="카카오광고"/>
    <x v="0"/>
    <x v="0"/>
    <x v="0"/>
    <m/>
    <m/>
    <n v="154720"/>
    <m/>
    <m/>
    <m/>
  </r>
  <r>
    <x v="455"/>
    <x v="4"/>
    <s v="유튜브 디스커버리"/>
    <x v="0"/>
    <x v="0"/>
    <x v="0"/>
    <m/>
    <m/>
    <n v="583328"/>
    <m/>
    <m/>
    <m/>
  </r>
  <r>
    <x v="456"/>
    <x v="1"/>
    <s v="페이스북/인스타그램"/>
    <x v="0"/>
    <x v="0"/>
    <x v="0"/>
    <m/>
    <m/>
    <n v="396063"/>
    <m/>
    <m/>
    <m/>
  </r>
  <r>
    <x v="456"/>
    <x v="1"/>
    <s v="페이스북/인스타그램"/>
    <x v="13"/>
    <x v="0"/>
    <x v="0"/>
    <m/>
    <m/>
    <n v="29833"/>
    <m/>
    <m/>
    <m/>
  </r>
  <r>
    <x v="456"/>
    <x v="1"/>
    <s v="페이스북/인스타그램"/>
    <x v="7"/>
    <x v="0"/>
    <x v="0"/>
    <m/>
    <m/>
    <n v="535112"/>
    <m/>
    <m/>
    <m/>
  </r>
  <r>
    <x v="456"/>
    <x v="1"/>
    <s v="네이버 쇼핑검색"/>
    <x v="16"/>
    <x v="0"/>
    <x v="0"/>
    <m/>
    <m/>
    <n v="57649.99999999999"/>
    <m/>
    <m/>
    <m/>
  </r>
  <r>
    <x v="456"/>
    <x v="1"/>
    <s v="네이버 쇼핑검색"/>
    <x v="16"/>
    <x v="0"/>
    <x v="0"/>
    <m/>
    <m/>
    <n v="8410"/>
    <m/>
    <m/>
    <m/>
  </r>
  <r>
    <x v="456"/>
    <x v="1"/>
    <s v="카카오광고"/>
    <x v="0"/>
    <x v="0"/>
    <x v="0"/>
    <m/>
    <m/>
    <n v="209750"/>
    <m/>
    <m/>
    <m/>
  </r>
  <r>
    <x v="456"/>
    <x v="1"/>
    <s v="네이버 GFA"/>
    <x v="7"/>
    <x v="0"/>
    <x v="0"/>
    <m/>
    <m/>
    <n v="4674090.909090909"/>
    <m/>
    <m/>
    <m/>
  </r>
  <r>
    <x v="456"/>
    <x v="1"/>
    <s v="네이버 GFA"/>
    <x v="0"/>
    <x v="0"/>
    <x v="0"/>
    <m/>
    <m/>
    <n v="1219902.727272727"/>
    <m/>
    <m/>
    <m/>
  </r>
  <r>
    <x v="456"/>
    <x v="1"/>
    <s v="유튜브 디스커버리"/>
    <x v="0"/>
    <x v="0"/>
    <x v="0"/>
    <m/>
    <m/>
    <n v="669567"/>
    <m/>
    <m/>
    <m/>
  </r>
  <r>
    <x v="457"/>
    <x v="0"/>
    <s v="페이스북/인스타그램"/>
    <x v="7"/>
    <x v="0"/>
    <x v="0"/>
    <m/>
    <m/>
    <n v="470501"/>
    <m/>
    <m/>
    <m/>
  </r>
  <r>
    <x v="457"/>
    <x v="0"/>
    <s v="페이스북/인스타그램"/>
    <x v="13"/>
    <x v="0"/>
    <x v="0"/>
    <m/>
    <m/>
    <n v="23643"/>
    <m/>
    <m/>
    <m/>
  </r>
  <r>
    <x v="457"/>
    <x v="0"/>
    <s v="페이스북/인스타그램"/>
    <x v="0"/>
    <x v="0"/>
    <x v="0"/>
    <m/>
    <m/>
    <n v="268765"/>
    <m/>
    <m/>
    <m/>
  </r>
  <r>
    <x v="458"/>
    <x v="2"/>
    <s v="페이스북/인스타그램"/>
    <x v="7"/>
    <x v="0"/>
    <x v="0"/>
    <m/>
    <m/>
    <n v="276149"/>
    <m/>
    <m/>
    <m/>
  </r>
  <r>
    <x v="458"/>
    <x v="2"/>
    <s v="페이스북/인스타그램"/>
    <x v="13"/>
    <x v="0"/>
    <x v="0"/>
    <m/>
    <m/>
    <n v="14766"/>
    <m/>
    <m/>
    <m/>
  </r>
  <r>
    <x v="458"/>
    <x v="2"/>
    <s v="페이스북/인스타그램"/>
    <x v="0"/>
    <x v="0"/>
    <x v="0"/>
    <m/>
    <m/>
    <n v="141734"/>
    <m/>
    <m/>
    <m/>
  </r>
  <r>
    <x v="459"/>
    <x v="5"/>
    <s v="페이스북/인스타그램"/>
    <x v="7"/>
    <x v="0"/>
    <x v="0"/>
    <m/>
    <m/>
    <n v="274432"/>
    <m/>
    <m/>
    <m/>
  </r>
  <r>
    <x v="459"/>
    <x v="5"/>
    <s v="페이스북/인스타그램"/>
    <x v="13"/>
    <x v="0"/>
    <x v="0"/>
    <m/>
    <m/>
    <n v="14743"/>
    <m/>
    <m/>
    <m/>
  </r>
  <r>
    <x v="459"/>
    <x v="5"/>
    <s v="페이스북/인스타그램"/>
    <x v="0"/>
    <x v="0"/>
    <x v="0"/>
    <m/>
    <m/>
    <n v="136847"/>
    <m/>
    <m/>
    <m/>
  </r>
  <r>
    <x v="460"/>
    <x v="6"/>
    <s v="페이스북/인스타그램"/>
    <x v="7"/>
    <x v="0"/>
    <x v="0"/>
    <m/>
    <m/>
    <n v="391919"/>
    <m/>
    <m/>
    <m/>
  </r>
  <r>
    <x v="460"/>
    <x v="6"/>
    <s v="페이스북/인스타그램"/>
    <x v="13"/>
    <x v="0"/>
    <x v="0"/>
    <m/>
    <m/>
    <n v="20180"/>
    <m/>
    <m/>
    <m/>
  </r>
  <r>
    <x v="460"/>
    <x v="6"/>
    <s v="페이스북/인스타그램"/>
    <x v="0"/>
    <x v="0"/>
    <x v="0"/>
    <m/>
    <m/>
    <n v="194399"/>
    <m/>
    <m/>
    <m/>
  </r>
  <r>
    <x v="457"/>
    <x v="0"/>
    <s v="페이스북/인스타그램"/>
    <x v="0"/>
    <x v="0"/>
    <x v="0"/>
    <m/>
    <m/>
    <n v="93955"/>
    <m/>
    <m/>
    <m/>
  </r>
  <r>
    <x v="458"/>
    <x v="2"/>
    <s v="페이스북/인스타그램"/>
    <x v="0"/>
    <x v="0"/>
    <x v="0"/>
    <m/>
    <m/>
    <n v="99315"/>
    <m/>
    <m/>
    <m/>
  </r>
  <r>
    <x v="459"/>
    <x v="5"/>
    <s v="페이스북/인스타그램"/>
    <x v="0"/>
    <x v="0"/>
    <x v="0"/>
    <m/>
    <m/>
    <n v="98328"/>
    <m/>
    <m/>
    <m/>
  </r>
  <r>
    <x v="460"/>
    <x v="6"/>
    <s v="페이스북/인스타그램"/>
    <x v="0"/>
    <x v="0"/>
    <x v="0"/>
    <m/>
    <m/>
    <n v="100338"/>
    <m/>
    <m/>
    <m/>
  </r>
  <r>
    <x v="457"/>
    <x v="0"/>
    <s v="카카오광고"/>
    <x v="0"/>
    <x v="0"/>
    <x v="0"/>
    <m/>
    <m/>
    <n v="239620"/>
    <m/>
    <m/>
    <m/>
  </r>
  <r>
    <x v="458"/>
    <x v="2"/>
    <s v="카카오광고"/>
    <x v="0"/>
    <x v="0"/>
    <x v="0"/>
    <m/>
    <m/>
    <n v="352100"/>
    <m/>
    <m/>
    <m/>
  </r>
  <r>
    <x v="459"/>
    <x v="5"/>
    <s v="카카오광고"/>
    <x v="0"/>
    <x v="0"/>
    <x v="0"/>
    <m/>
    <m/>
    <n v="342610"/>
    <m/>
    <m/>
    <m/>
  </r>
  <r>
    <x v="460"/>
    <x v="6"/>
    <s v="카카오광고"/>
    <x v="0"/>
    <x v="0"/>
    <x v="0"/>
    <m/>
    <m/>
    <n v="401589.9999999999"/>
    <m/>
    <m/>
    <m/>
  </r>
  <r>
    <x v="457"/>
    <x v="0"/>
    <s v="카카오광고"/>
    <x v="0"/>
    <x v="0"/>
    <x v="0"/>
    <m/>
    <m/>
    <n v="277610"/>
    <m/>
    <m/>
    <m/>
  </r>
  <r>
    <x v="458"/>
    <x v="2"/>
    <s v="카카오광고"/>
    <x v="0"/>
    <x v="0"/>
    <x v="0"/>
    <m/>
    <m/>
    <n v="274550"/>
    <m/>
    <m/>
    <m/>
  </r>
  <r>
    <x v="459"/>
    <x v="5"/>
    <s v="카카오광고"/>
    <x v="0"/>
    <x v="0"/>
    <x v="0"/>
    <m/>
    <m/>
    <n v="273320"/>
    <m/>
    <m/>
    <m/>
  </r>
  <r>
    <x v="460"/>
    <x v="6"/>
    <s v="카카오광고"/>
    <x v="0"/>
    <x v="0"/>
    <x v="0"/>
    <m/>
    <m/>
    <n v="274780"/>
    <m/>
    <m/>
    <m/>
  </r>
  <r>
    <x v="457"/>
    <x v="0"/>
    <s v="네이버 쇼핑검색"/>
    <x v="10"/>
    <x v="0"/>
    <x v="0"/>
    <m/>
    <m/>
    <n v="46049.99999999999"/>
    <m/>
    <m/>
    <m/>
  </r>
  <r>
    <x v="458"/>
    <x v="2"/>
    <s v="네이버 쇼핑검색"/>
    <x v="10"/>
    <x v="0"/>
    <x v="0"/>
    <m/>
    <m/>
    <n v="60939.99999999999"/>
    <m/>
    <m/>
    <m/>
  </r>
  <r>
    <x v="459"/>
    <x v="5"/>
    <s v="네이버 쇼핑검색"/>
    <x v="10"/>
    <x v="0"/>
    <x v="0"/>
    <m/>
    <m/>
    <n v="70940"/>
    <m/>
    <m/>
    <m/>
  </r>
  <r>
    <x v="460"/>
    <x v="6"/>
    <s v="네이버 쇼핑검색"/>
    <x v="10"/>
    <x v="0"/>
    <x v="0"/>
    <m/>
    <m/>
    <n v="93559.99999999999"/>
    <m/>
    <m/>
    <m/>
  </r>
  <r>
    <x v="457"/>
    <x v="0"/>
    <s v="네이버 쇼핑검색"/>
    <x v="10"/>
    <x v="0"/>
    <x v="0"/>
    <m/>
    <m/>
    <n v="3240"/>
    <m/>
    <m/>
    <m/>
  </r>
  <r>
    <x v="458"/>
    <x v="2"/>
    <s v="네이버 쇼핑검색"/>
    <x v="10"/>
    <x v="0"/>
    <x v="0"/>
    <m/>
    <m/>
    <n v="1080"/>
    <m/>
    <m/>
    <m/>
  </r>
  <r>
    <x v="459"/>
    <x v="5"/>
    <s v="네이버 쇼핑검색"/>
    <x v="10"/>
    <x v="0"/>
    <x v="0"/>
    <m/>
    <m/>
    <n v="2370"/>
    <m/>
    <m/>
    <m/>
  </r>
  <r>
    <x v="460"/>
    <x v="6"/>
    <s v="네이버 쇼핑검색"/>
    <x v="10"/>
    <x v="0"/>
    <x v="0"/>
    <m/>
    <m/>
    <n v="3780"/>
    <m/>
    <m/>
    <m/>
  </r>
  <r>
    <x v="457"/>
    <x v="0"/>
    <s v="네이버 GFA"/>
    <x v="7"/>
    <x v="0"/>
    <x v="0"/>
    <m/>
    <m/>
    <n v="19827.27272727272"/>
    <m/>
    <m/>
    <m/>
  </r>
  <r>
    <x v="457"/>
    <x v="0"/>
    <s v="네이버 GFA"/>
    <x v="7"/>
    <x v="0"/>
    <x v="0"/>
    <m/>
    <m/>
    <n v="86008.18181818181"/>
    <m/>
    <m/>
    <m/>
  </r>
  <r>
    <x v="457"/>
    <x v="0"/>
    <s v="네이버 GFA"/>
    <x v="7"/>
    <x v="0"/>
    <x v="0"/>
    <m/>
    <m/>
    <n v="117669.0909090909"/>
    <m/>
    <m/>
    <m/>
  </r>
  <r>
    <x v="457"/>
    <x v="0"/>
    <s v="네이버 GFA"/>
    <x v="7"/>
    <x v="0"/>
    <x v="0"/>
    <m/>
    <m/>
    <n v="710663.6363636364"/>
    <m/>
    <m/>
    <m/>
  </r>
  <r>
    <x v="458"/>
    <x v="2"/>
    <s v="네이버 GFA"/>
    <x v="7"/>
    <x v="0"/>
    <x v="0"/>
    <m/>
    <m/>
    <n v="6738761.818181817"/>
    <m/>
    <m/>
    <m/>
  </r>
  <r>
    <x v="458"/>
    <x v="2"/>
    <s v="네이버 GFA"/>
    <x v="7"/>
    <x v="0"/>
    <x v="0"/>
    <m/>
    <m/>
    <n v="5368067.272727272"/>
    <m/>
    <m/>
    <m/>
  </r>
  <r>
    <x v="459"/>
    <x v="5"/>
    <s v="네이버 GFA"/>
    <x v="7"/>
    <x v="0"/>
    <x v="0"/>
    <m/>
    <m/>
    <n v="5791245.454545454"/>
    <m/>
    <m/>
    <m/>
  </r>
  <r>
    <x v="459"/>
    <x v="5"/>
    <s v="네이버 GFA"/>
    <x v="7"/>
    <x v="0"/>
    <x v="0"/>
    <m/>
    <m/>
    <n v="3551437.272727272"/>
    <m/>
    <m/>
    <m/>
  </r>
  <r>
    <x v="460"/>
    <x v="6"/>
    <s v="네이버 GFA"/>
    <x v="0"/>
    <x v="0"/>
    <x v="0"/>
    <m/>
    <m/>
    <n v="448435.4545454545"/>
    <m/>
    <m/>
    <m/>
  </r>
  <r>
    <x v="460"/>
    <x v="6"/>
    <s v="네이버 GFA"/>
    <x v="0"/>
    <x v="0"/>
    <x v="0"/>
    <m/>
    <m/>
    <n v="448393.6363636364"/>
    <m/>
    <m/>
    <m/>
  </r>
  <r>
    <x v="460"/>
    <x v="6"/>
    <s v="네이버 GFA"/>
    <x v="0"/>
    <x v="0"/>
    <x v="0"/>
    <m/>
    <m/>
    <n v="452163.6363636364"/>
    <m/>
    <m/>
    <m/>
  </r>
  <r>
    <x v="460"/>
    <x v="6"/>
    <s v="네이버 GFA"/>
    <x v="0"/>
    <x v="0"/>
    <x v="0"/>
    <m/>
    <m/>
    <n v="285906.3636363636"/>
    <m/>
    <m/>
    <m/>
  </r>
  <r>
    <x v="457"/>
    <x v="0"/>
    <s v="유튜브 디스커버리"/>
    <x v="0"/>
    <x v="0"/>
    <x v="0"/>
    <m/>
    <m/>
    <n v="177030"/>
    <m/>
    <m/>
    <m/>
  </r>
  <r>
    <x v="457"/>
    <x v="0"/>
    <s v="유튜브 디스커버리"/>
    <x v="0"/>
    <x v="0"/>
    <x v="0"/>
    <m/>
    <m/>
    <n v="386851"/>
    <m/>
    <m/>
    <m/>
  </r>
  <r>
    <x v="457"/>
    <x v="0"/>
    <s v="유튜브 디스커버리"/>
    <x v="0"/>
    <x v="0"/>
    <x v="0"/>
    <m/>
    <m/>
    <n v="227577"/>
    <m/>
    <m/>
    <m/>
  </r>
  <r>
    <x v="458"/>
    <x v="2"/>
    <s v="유튜브 디스커버리"/>
    <x v="0"/>
    <x v="0"/>
    <x v="0"/>
    <m/>
    <m/>
    <n v="207043"/>
    <m/>
    <m/>
    <m/>
  </r>
  <r>
    <x v="458"/>
    <x v="2"/>
    <s v="유튜브 디스커버리"/>
    <x v="0"/>
    <x v="0"/>
    <x v="0"/>
    <m/>
    <m/>
    <n v="150727"/>
    <m/>
    <m/>
    <m/>
  </r>
  <r>
    <x v="458"/>
    <x v="2"/>
    <s v="유튜브 디스커버리"/>
    <x v="0"/>
    <x v="0"/>
    <x v="0"/>
    <m/>
    <m/>
    <n v="7309"/>
    <m/>
    <m/>
    <m/>
  </r>
  <r>
    <x v="459"/>
    <x v="5"/>
    <s v="유튜브 디스커버리"/>
    <x v="0"/>
    <x v="0"/>
    <x v="0"/>
    <m/>
    <m/>
    <n v="25"/>
    <m/>
    <m/>
    <m/>
  </r>
  <r>
    <x v="459"/>
    <x v="5"/>
    <s v="유튜브 디스커버리"/>
    <x v="0"/>
    <x v="0"/>
    <x v="0"/>
    <m/>
    <m/>
    <n v="12"/>
    <m/>
    <m/>
    <m/>
  </r>
  <r>
    <x v="461"/>
    <x v="3"/>
    <s v="페이스북/인스타그램"/>
    <x v="0"/>
    <x v="0"/>
    <x v="0"/>
    <m/>
    <m/>
    <n v="389907"/>
    <m/>
    <m/>
    <m/>
  </r>
  <r>
    <x v="461"/>
    <x v="3"/>
    <s v="페이스북/인스타그램"/>
    <x v="13"/>
    <x v="0"/>
    <x v="0"/>
    <m/>
    <m/>
    <n v="28686"/>
    <m/>
    <m/>
    <m/>
  </r>
  <r>
    <x v="461"/>
    <x v="3"/>
    <s v="페이스북/인스타그램"/>
    <x v="7"/>
    <x v="0"/>
    <x v="0"/>
    <m/>
    <m/>
    <n v="553994"/>
    <m/>
    <m/>
    <m/>
  </r>
  <r>
    <x v="461"/>
    <x v="3"/>
    <s v="페이스북/인스타그램"/>
    <x v="0"/>
    <x v="0"/>
    <x v="0"/>
    <m/>
    <m/>
    <n v="4417"/>
    <m/>
    <m/>
    <m/>
  </r>
  <r>
    <x v="461"/>
    <x v="3"/>
    <s v="네이버 GFA"/>
    <x v="7"/>
    <x v="0"/>
    <x v="0"/>
    <m/>
    <m/>
    <n v="34779.0909090909"/>
    <m/>
    <m/>
    <m/>
  </r>
  <r>
    <x v="461"/>
    <x v="3"/>
    <s v="네이버 GFA"/>
    <x v="7"/>
    <x v="0"/>
    <x v="0"/>
    <m/>
    <m/>
    <n v="246019.0909090909"/>
    <m/>
    <m/>
    <m/>
  </r>
  <r>
    <x v="461"/>
    <x v="3"/>
    <s v="네이버 GFA"/>
    <x v="7"/>
    <x v="0"/>
    <x v="0"/>
    <m/>
    <m/>
    <n v="3260623.636363636"/>
    <m/>
    <m/>
    <m/>
  </r>
  <r>
    <x v="461"/>
    <x v="3"/>
    <s v="네이버 GFA"/>
    <x v="0"/>
    <x v="0"/>
    <x v="0"/>
    <m/>
    <m/>
    <n v="451964.5454545454"/>
    <m/>
    <m/>
    <m/>
  </r>
  <r>
    <x v="461"/>
    <x v="3"/>
    <s v="카카오광고"/>
    <x v="4"/>
    <x v="0"/>
    <x v="0"/>
    <m/>
    <m/>
    <n v="601215"/>
    <m/>
    <m/>
    <m/>
  </r>
  <r>
    <x v="461"/>
    <x v="3"/>
    <s v="유튜브 디스커버리"/>
    <x v="0"/>
    <x v="0"/>
    <x v="0"/>
    <m/>
    <m/>
    <n v="437812"/>
    <m/>
    <m/>
    <m/>
  </r>
  <r>
    <x v="461"/>
    <x v="3"/>
    <s v="유튜브 디스커버리"/>
    <x v="0"/>
    <x v="0"/>
    <x v="0"/>
    <m/>
    <m/>
    <n v="397700"/>
    <m/>
    <m/>
    <m/>
  </r>
  <r>
    <x v="461"/>
    <x v="3"/>
    <s v="유튜브 디스커버리"/>
    <x v="0"/>
    <x v="0"/>
    <x v="0"/>
    <m/>
    <m/>
    <n v="212130"/>
    <m/>
    <m/>
    <m/>
  </r>
  <r>
    <x v="461"/>
    <x v="3"/>
    <s v="네이버 쇼핑검색"/>
    <x v="10"/>
    <x v="0"/>
    <x v="0"/>
    <m/>
    <m/>
    <n v="87290"/>
    <m/>
    <m/>
    <m/>
  </r>
  <r>
    <x v="461"/>
    <x v="3"/>
    <s v="네이버 쇼핑검색"/>
    <x v="10"/>
    <x v="0"/>
    <x v="0"/>
    <m/>
    <m/>
    <n v="5610"/>
    <m/>
    <m/>
    <m/>
  </r>
  <r>
    <x v="462"/>
    <x v="4"/>
    <s v="페이스북/인스타그램"/>
    <x v="7"/>
    <x v="0"/>
    <x v="0"/>
    <m/>
    <m/>
    <n v="587974"/>
    <m/>
    <m/>
    <m/>
  </r>
  <r>
    <x v="462"/>
    <x v="4"/>
    <s v="페이스북/인스타그램"/>
    <x v="13"/>
    <x v="0"/>
    <x v="0"/>
    <m/>
    <m/>
    <n v="29185"/>
    <m/>
    <m/>
    <m/>
  </r>
  <r>
    <x v="462"/>
    <x v="4"/>
    <s v="페이스북/인스타그램"/>
    <x v="0"/>
    <x v="0"/>
    <x v="0"/>
    <m/>
    <m/>
    <n v="438806"/>
    <m/>
    <m/>
    <m/>
  </r>
  <r>
    <x v="462"/>
    <x v="4"/>
    <s v="네이버 GFA"/>
    <x v="7"/>
    <x v="0"/>
    <x v="0"/>
    <m/>
    <m/>
    <n v="1134130.909090909"/>
    <m/>
    <m/>
    <m/>
  </r>
  <r>
    <x v="462"/>
    <x v="4"/>
    <s v="네이버 GFA"/>
    <x v="0"/>
    <x v="0"/>
    <x v="0"/>
    <m/>
    <m/>
    <n v="1600309.090909091"/>
    <m/>
    <m/>
    <m/>
  </r>
  <r>
    <x v="462"/>
    <x v="4"/>
    <s v="네이버 쇼핑검색"/>
    <x v="10"/>
    <x v="0"/>
    <x v="0"/>
    <m/>
    <m/>
    <n v="67470"/>
    <m/>
    <m/>
    <m/>
  </r>
  <r>
    <x v="462"/>
    <x v="4"/>
    <s v="네이버 쇼핑검색"/>
    <x v="10"/>
    <x v="0"/>
    <x v="0"/>
    <m/>
    <m/>
    <n v="5939.999999999999"/>
    <m/>
    <m/>
    <m/>
  </r>
  <r>
    <x v="462"/>
    <x v="4"/>
    <s v="유튜브 디스커버리"/>
    <x v="0"/>
    <x v="0"/>
    <x v="0"/>
    <m/>
    <m/>
    <n v="26573"/>
    <m/>
    <m/>
    <m/>
  </r>
  <r>
    <x v="462"/>
    <x v="4"/>
    <s v="유튜브 디스커버리"/>
    <x v="0"/>
    <x v="0"/>
    <x v="0"/>
    <m/>
    <m/>
    <n v="4105"/>
    <m/>
    <m/>
    <m/>
  </r>
  <r>
    <x v="462"/>
    <x v="4"/>
    <s v="유튜브 디스커버리"/>
    <x v="0"/>
    <x v="0"/>
    <x v="0"/>
    <m/>
    <m/>
    <n v="388990"/>
    <m/>
    <m/>
    <m/>
  </r>
  <r>
    <x v="462"/>
    <x v="4"/>
    <s v="유튜브 디스커버리"/>
    <x v="0"/>
    <x v="0"/>
    <x v="0"/>
    <m/>
    <m/>
    <n v="266746"/>
    <m/>
    <m/>
    <m/>
  </r>
  <r>
    <x v="463"/>
    <x v="1"/>
    <s v="페이스북/인스타그램"/>
    <x v="7"/>
    <x v="0"/>
    <x v="0"/>
    <m/>
    <m/>
    <n v="575755"/>
    <m/>
    <m/>
    <m/>
  </r>
  <r>
    <x v="463"/>
    <x v="1"/>
    <s v="페이스북/인스타그램"/>
    <x v="13"/>
    <x v="0"/>
    <x v="0"/>
    <m/>
    <m/>
    <n v="30096"/>
    <m/>
    <m/>
    <m/>
  </r>
  <r>
    <x v="463"/>
    <x v="1"/>
    <s v="페이스북/인스타그램"/>
    <x v="0"/>
    <x v="0"/>
    <x v="0"/>
    <m/>
    <m/>
    <n v="563578"/>
    <m/>
    <m/>
    <m/>
  </r>
  <r>
    <x v="463"/>
    <x v="1"/>
    <s v="네이버 GFA"/>
    <x v="0"/>
    <x v="0"/>
    <x v="0"/>
    <m/>
    <m/>
    <n v="80821.81818181818"/>
    <m/>
    <m/>
    <m/>
  </r>
  <r>
    <x v="463"/>
    <x v="1"/>
    <s v="네이버 GFA"/>
    <x v="7"/>
    <x v="0"/>
    <x v="0"/>
    <m/>
    <m/>
    <n v="708453.6363636364"/>
    <m/>
    <m/>
    <m/>
  </r>
  <r>
    <x v="463"/>
    <x v="1"/>
    <s v="네이버 GFA"/>
    <x v="0"/>
    <x v="0"/>
    <x v="0"/>
    <m/>
    <m/>
    <n v="2782894.545454545"/>
    <m/>
    <m/>
    <m/>
  </r>
  <r>
    <x v="463"/>
    <x v="1"/>
    <s v="네이버 쇼핑검색"/>
    <x v="10"/>
    <x v="0"/>
    <x v="0"/>
    <m/>
    <m/>
    <n v="72180"/>
    <m/>
    <m/>
    <m/>
  </r>
  <r>
    <x v="463"/>
    <x v="1"/>
    <s v="네이버 쇼핑검색"/>
    <x v="10"/>
    <x v="0"/>
    <x v="0"/>
    <m/>
    <m/>
    <n v="9440"/>
    <m/>
    <m/>
    <m/>
  </r>
  <r>
    <x v="463"/>
    <x v="1"/>
    <s v="유튜브 디스커버리"/>
    <x v="0"/>
    <x v="0"/>
    <x v="0"/>
    <m/>
    <m/>
    <n v="109493"/>
    <m/>
    <m/>
    <m/>
  </r>
  <r>
    <x v="463"/>
    <x v="1"/>
    <s v="유튜브 디스커버리"/>
    <x v="0"/>
    <x v="0"/>
    <x v="0"/>
    <m/>
    <m/>
    <n v="8492"/>
    <m/>
    <m/>
    <m/>
  </r>
  <r>
    <x v="463"/>
    <x v="1"/>
    <s v="카카오광고"/>
    <x v="4"/>
    <x v="0"/>
    <x v="0"/>
    <m/>
    <m/>
    <n v="0"/>
    <m/>
    <m/>
    <m/>
  </r>
  <r>
    <x v="463"/>
    <x v="1"/>
    <s v="카카오광고"/>
    <x v="0"/>
    <x v="0"/>
    <x v="0"/>
    <m/>
    <m/>
    <n v="230494"/>
    <m/>
    <m/>
    <m/>
  </r>
  <r>
    <x v="464"/>
    <x v="0"/>
    <s v="페이스북/인스타그램"/>
    <x v="7"/>
    <x v="0"/>
    <x v="0"/>
    <m/>
    <m/>
    <n v="763254"/>
    <m/>
    <m/>
    <m/>
  </r>
  <r>
    <x v="464"/>
    <x v="0"/>
    <s v="페이스북/인스타그램"/>
    <x v="13"/>
    <x v="0"/>
    <x v="0"/>
    <m/>
    <m/>
    <n v="29666"/>
    <m/>
    <m/>
    <m/>
  </r>
  <r>
    <x v="464"/>
    <x v="0"/>
    <s v="페이스북/인스타그램"/>
    <x v="0"/>
    <x v="0"/>
    <x v="0"/>
    <m/>
    <m/>
    <n v="726284"/>
    <m/>
    <m/>
    <m/>
  </r>
  <r>
    <x v="464"/>
    <x v="0"/>
    <s v="네이버 GFA"/>
    <x v="7"/>
    <x v="0"/>
    <x v="0"/>
    <m/>
    <m/>
    <n v="1188988.181818182"/>
    <m/>
    <m/>
    <m/>
  </r>
  <r>
    <x v="464"/>
    <x v="0"/>
    <s v="네이버 GFA"/>
    <x v="0"/>
    <x v="0"/>
    <x v="0"/>
    <m/>
    <m/>
    <n v="2128515.454545455"/>
    <m/>
    <m/>
    <m/>
  </r>
  <r>
    <x v="464"/>
    <x v="0"/>
    <s v="카카오광고"/>
    <x v="4"/>
    <x v="0"/>
    <x v="0"/>
    <m/>
    <m/>
    <n v="0"/>
    <m/>
    <m/>
    <m/>
  </r>
  <r>
    <x v="464"/>
    <x v="0"/>
    <s v="카카오광고"/>
    <x v="0"/>
    <x v="0"/>
    <x v="0"/>
    <m/>
    <m/>
    <n v="215410"/>
    <m/>
    <m/>
    <m/>
  </r>
  <r>
    <x v="464"/>
    <x v="0"/>
    <s v="유튜브 디스커버리"/>
    <x v="0"/>
    <x v="0"/>
    <x v="0"/>
    <m/>
    <m/>
    <n v="108846"/>
    <m/>
    <m/>
    <m/>
  </r>
  <r>
    <x v="464"/>
    <x v="0"/>
    <s v="유튜브 디스커버리"/>
    <x v="0"/>
    <x v="0"/>
    <x v="0"/>
    <m/>
    <m/>
    <n v="8393"/>
    <m/>
    <m/>
    <m/>
  </r>
  <r>
    <x v="464"/>
    <x v="0"/>
    <s v="네이버 쇼핑검색"/>
    <x v="10"/>
    <x v="0"/>
    <x v="0"/>
    <m/>
    <m/>
    <n v="81850"/>
    <m/>
    <m/>
    <m/>
  </r>
  <r>
    <x v="464"/>
    <x v="0"/>
    <s v="네이버 쇼핑검색"/>
    <x v="10"/>
    <x v="0"/>
    <x v="0"/>
    <m/>
    <m/>
    <n v="5659.999999999999"/>
    <m/>
    <m/>
    <m/>
  </r>
  <r>
    <x v="465"/>
    <x v="2"/>
    <s v="페이스북/인스타그램"/>
    <x v="7"/>
    <x v="0"/>
    <x v="0"/>
    <m/>
    <m/>
    <n v="759375"/>
    <m/>
    <m/>
    <m/>
  </r>
  <r>
    <x v="465"/>
    <x v="2"/>
    <s v="페이스북/인스타그램"/>
    <x v="13"/>
    <x v="0"/>
    <x v="0"/>
    <m/>
    <m/>
    <n v="24784"/>
    <m/>
    <m/>
    <m/>
  </r>
  <r>
    <x v="465"/>
    <x v="2"/>
    <s v="페이스북/인스타그램"/>
    <x v="0"/>
    <x v="0"/>
    <x v="0"/>
    <m/>
    <m/>
    <n v="664201"/>
    <m/>
    <m/>
    <m/>
  </r>
  <r>
    <x v="465"/>
    <x v="2"/>
    <s v="카카오광고"/>
    <x v="0"/>
    <x v="0"/>
    <x v="0"/>
    <m/>
    <m/>
    <n v="145760"/>
    <m/>
    <m/>
    <m/>
  </r>
  <r>
    <x v="465"/>
    <x v="2"/>
    <s v="네이버 GFA"/>
    <x v="0"/>
    <x v="0"/>
    <x v="0"/>
    <m/>
    <m/>
    <n v="177399.0909090909"/>
    <m/>
    <m/>
    <m/>
  </r>
  <r>
    <x v="465"/>
    <x v="2"/>
    <s v="네이버 GFA"/>
    <x v="0"/>
    <x v="0"/>
    <x v="0"/>
    <m/>
    <m/>
    <n v="191388.1818181818"/>
    <m/>
    <m/>
    <m/>
  </r>
  <r>
    <x v="465"/>
    <x v="2"/>
    <s v="네이버 GFA"/>
    <x v="7"/>
    <x v="0"/>
    <x v="0"/>
    <m/>
    <m/>
    <n v="2048086.363636364"/>
    <m/>
    <m/>
    <m/>
  </r>
  <r>
    <x v="465"/>
    <x v="2"/>
    <s v="네이버 GFA"/>
    <x v="0"/>
    <x v="0"/>
    <x v="0"/>
    <m/>
    <m/>
    <n v="1304849.090909091"/>
    <m/>
    <m/>
    <m/>
  </r>
  <r>
    <x v="465"/>
    <x v="2"/>
    <s v="네이버 쇼핑검색"/>
    <x v="10"/>
    <x v="0"/>
    <x v="0"/>
    <m/>
    <m/>
    <n v="66460"/>
    <m/>
    <m/>
    <m/>
  </r>
  <r>
    <x v="465"/>
    <x v="2"/>
    <s v="네이버 쇼핑검색"/>
    <x v="10"/>
    <x v="0"/>
    <x v="0"/>
    <m/>
    <m/>
    <n v="4860"/>
    <m/>
    <m/>
    <m/>
  </r>
  <r>
    <x v="466"/>
    <x v="5"/>
    <s v="페이스북/인스타그램"/>
    <x v="7"/>
    <x v="0"/>
    <x v="0"/>
    <m/>
    <m/>
    <n v="382476"/>
    <m/>
    <m/>
    <m/>
  </r>
  <r>
    <x v="466"/>
    <x v="5"/>
    <s v="페이스북/인스타그램"/>
    <x v="13"/>
    <x v="0"/>
    <x v="0"/>
    <m/>
    <m/>
    <n v="14588"/>
    <m/>
    <m/>
    <m/>
  </r>
  <r>
    <x v="466"/>
    <x v="5"/>
    <s v="페이스북/인스타그램"/>
    <x v="0"/>
    <x v="0"/>
    <x v="0"/>
    <m/>
    <m/>
    <n v="396965"/>
    <m/>
    <m/>
    <m/>
  </r>
  <r>
    <x v="466"/>
    <x v="5"/>
    <s v="네이버 GFA"/>
    <x v="7"/>
    <x v="0"/>
    <x v="0"/>
    <m/>
    <m/>
    <n v="1572439.090909091"/>
    <m/>
    <m/>
    <m/>
  </r>
  <r>
    <x v="466"/>
    <x v="5"/>
    <s v="네이버 GFA"/>
    <x v="0"/>
    <x v="0"/>
    <x v="0"/>
    <m/>
    <m/>
    <n v="1742430"/>
    <m/>
    <m/>
    <m/>
  </r>
  <r>
    <x v="466"/>
    <x v="5"/>
    <s v="카카오광고"/>
    <x v="0"/>
    <x v="0"/>
    <x v="0"/>
    <m/>
    <m/>
    <n v="145810"/>
    <m/>
    <m/>
    <m/>
  </r>
  <r>
    <x v="466"/>
    <x v="5"/>
    <s v="네이버 쇼핑검색"/>
    <x v="10"/>
    <x v="0"/>
    <x v="0"/>
    <m/>
    <m/>
    <n v="83880"/>
    <m/>
    <m/>
    <m/>
  </r>
  <r>
    <x v="466"/>
    <x v="5"/>
    <s v="네이버 쇼핑검색"/>
    <x v="10"/>
    <x v="0"/>
    <x v="0"/>
    <m/>
    <m/>
    <n v="2390"/>
    <m/>
    <m/>
    <m/>
  </r>
  <r>
    <x v="467"/>
    <x v="6"/>
    <s v="페이스북/인스타그램"/>
    <x v="7"/>
    <x v="0"/>
    <x v="0"/>
    <m/>
    <m/>
    <n v="593602"/>
    <m/>
    <m/>
    <m/>
  </r>
  <r>
    <x v="467"/>
    <x v="6"/>
    <s v="페이스북/인스타그램"/>
    <x v="13"/>
    <x v="0"/>
    <x v="0"/>
    <m/>
    <m/>
    <n v="21647"/>
    <m/>
    <m/>
    <m/>
  </r>
  <r>
    <x v="467"/>
    <x v="6"/>
    <s v="페이스북/인스타그램"/>
    <x v="0"/>
    <x v="0"/>
    <x v="0"/>
    <m/>
    <m/>
    <n v="544987"/>
    <m/>
    <m/>
    <m/>
  </r>
  <r>
    <x v="467"/>
    <x v="6"/>
    <s v="네이버 GFA"/>
    <x v="7"/>
    <x v="0"/>
    <x v="0"/>
    <m/>
    <m/>
    <n v="2513507.272727272"/>
    <m/>
    <m/>
    <m/>
  </r>
  <r>
    <x v="467"/>
    <x v="6"/>
    <s v="네이버 GFA"/>
    <x v="0"/>
    <x v="0"/>
    <x v="0"/>
    <m/>
    <m/>
    <n v="1751517.272727272"/>
    <m/>
    <m/>
    <m/>
  </r>
  <r>
    <x v="467"/>
    <x v="6"/>
    <s v="카카오광고"/>
    <x v="0"/>
    <x v="0"/>
    <x v="0"/>
    <m/>
    <m/>
    <n v="145630"/>
    <m/>
    <m/>
    <m/>
  </r>
  <r>
    <x v="467"/>
    <x v="6"/>
    <s v="네이버 쇼핑검색"/>
    <x v="10"/>
    <x v="0"/>
    <x v="0"/>
    <m/>
    <m/>
    <n v="104120"/>
    <m/>
    <m/>
    <m/>
  </r>
  <r>
    <x v="467"/>
    <x v="6"/>
    <s v="네이버 쇼핑검색"/>
    <x v="10"/>
    <x v="0"/>
    <x v="0"/>
    <m/>
    <m/>
    <n v="5540"/>
    <m/>
    <m/>
    <m/>
  </r>
  <r>
    <x v="468"/>
    <x v="3"/>
    <s v="페이스북/인스타그램"/>
    <x v="7"/>
    <x v="0"/>
    <x v="0"/>
    <m/>
    <m/>
    <n v="917219"/>
    <m/>
    <m/>
    <m/>
  </r>
  <r>
    <x v="468"/>
    <x v="3"/>
    <s v="페이스북/인스타그램"/>
    <x v="13"/>
    <x v="0"/>
    <x v="0"/>
    <m/>
    <m/>
    <n v="29167"/>
    <m/>
    <m/>
    <m/>
  </r>
  <r>
    <x v="468"/>
    <x v="3"/>
    <s v="페이스북/인스타그램"/>
    <x v="0"/>
    <x v="0"/>
    <x v="0"/>
    <m/>
    <m/>
    <n v="769075"/>
    <m/>
    <m/>
    <m/>
  </r>
  <r>
    <x v="468"/>
    <x v="3"/>
    <s v="네이버 GFA"/>
    <x v="7"/>
    <x v="0"/>
    <x v="0"/>
    <m/>
    <m/>
    <n v="4815417.272727272"/>
    <m/>
    <m/>
    <m/>
  </r>
  <r>
    <x v="468"/>
    <x v="3"/>
    <s v="네이버 GFA"/>
    <x v="0"/>
    <x v="0"/>
    <x v="0"/>
    <m/>
    <m/>
    <n v="1574307.272727273"/>
    <m/>
    <m/>
    <m/>
  </r>
  <r>
    <x v="468"/>
    <x v="3"/>
    <s v="네이버 쇼핑검색"/>
    <x v="10"/>
    <x v="0"/>
    <x v="0"/>
    <m/>
    <m/>
    <n v="73150"/>
    <m/>
    <m/>
    <m/>
  </r>
  <r>
    <x v="468"/>
    <x v="3"/>
    <s v="네이버 쇼핑검색"/>
    <x v="10"/>
    <x v="0"/>
    <x v="0"/>
    <m/>
    <m/>
    <n v="4070"/>
    <m/>
    <m/>
    <m/>
  </r>
  <r>
    <x v="468"/>
    <x v="3"/>
    <s v="카카오광고"/>
    <x v="0"/>
    <x v="0"/>
    <x v="0"/>
    <m/>
    <m/>
    <n v="14050"/>
    <m/>
    <m/>
    <m/>
  </r>
  <r>
    <x v="468"/>
    <x v="3"/>
    <s v="카카오광고"/>
    <x v="0"/>
    <x v="0"/>
    <x v="0"/>
    <m/>
    <m/>
    <n v="0"/>
    <m/>
    <m/>
    <m/>
  </r>
  <r>
    <x v="468"/>
    <x v="3"/>
    <s v="카카오광고"/>
    <x v="4"/>
    <x v="0"/>
    <x v="0"/>
    <m/>
    <m/>
    <n v="0"/>
    <m/>
    <m/>
    <m/>
  </r>
  <r>
    <x v="468"/>
    <x v="3"/>
    <s v="카카오광고"/>
    <x v="0"/>
    <x v="0"/>
    <x v="0"/>
    <m/>
    <m/>
    <n v="399.9999999999999"/>
    <m/>
    <m/>
    <m/>
  </r>
  <r>
    <x v="468"/>
    <x v="3"/>
    <s v="카카오광고"/>
    <x v="0"/>
    <x v="0"/>
    <x v="0"/>
    <m/>
    <m/>
    <n v="16340"/>
    <m/>
    <m/>
    <m/>
  </r>
  <r>
    <x v="469"/>
    <x v="4"/>
    <s v="페이스북/인스타그램"/>
    <x v="7"/>
    <x v="0"/>
    <x v="0"/>
    <m/>
    <m/>
    <n v="1355340"/>
    <m/>
    <m/>
    <m/>
  </r>
  <r>
    <x v="469"/>
    <x v="4"/>
    <s v="페이스북/인스타그램"/>
    <x v="13"/>
    <x v="0"/>
    <x v="0"/>
    <m/>
    <m/>
    <n v="29809"/>
    <m/>
    <m/>
    <m/>
  </r>
  <r>
    <x v="469"/>
    <x v="4"/>
    <s v="페이스북/인스타그램"/>
    <x v="0"/>
    <x v="0"/>
    <x v="0"/>
    <m/>
    <m/>
    <n v="898915"/>
    <m/>
    <m/>
    <m/>
  </r>
  <r>
    <x v="469"/>
    <x v="4"/>
    <s v="네이버 GFA"/>
    <x v="0"/>
    <x v="0"/>
    <x v="0"/>
    <m/>
    <m/>
    <n v="126157.2727272727"/>
    <m/>
    <m/>
    <m/>
  </r>
  <r>
    <x v="469"/>
    <x v="4"/>
    <s v="네이버 GFA"/>
    <x v="0"/>
    <x v="0"/>
    <x v="0"/>
    <m/>
    <m/>
    <n v="221923.6363636364"/>
    <m/>
    <m/>
    <m/>
  </r>
  <r>
    <x v="469"/>
    <x v="4"/>
    <s v="네이버 GFA"/>
    <x v="7"/>
    <x v="0"/>
    <x v="0"/>
    <m/>
    <m/>
    <n v="89470.90909090909"/>
    <m/>
    <m/>
    <m/>
  </r>
  <r>
    <x v="469"/>
    <x v="4"/>
    <s v="네이버 GFA"/>
    <x v="7"/>
    <x v="0"/>
    <x v="0"/>
    <m/>
    <m/>
    <n v="4321121.818181817"/>
    <m/>
    <m/>
    <m/>
  </r>
  <r>
    <x v="469"/>
    <x v="4"/>
    <s v="네이버 GFA"/>
    <x v="0"/>
    <x v="0"/>
    <x v="0"/>
    <m/>
    <m/>
    <n v="2526459.090909091"/>
    <m/>
    <m/>
    <m/>
  </r>
  <r>
    <x v="469"/>
    <x v="4"/>
    <s v="카카오광고"/>
    <x v="0"/>
    <x v="0"/>
    <x v="0"/>
    <m/>
    <m/>
    <n v="12720"/>
    <m/>
    <m/>
    <m/>
  </r>
  <r>
    <x v="469"/>
    <x v="4"/>
    <s v="카카오광고"/>
    <x v="0"/>
    <x v="0"/>
    <x v="0"/>
    <m/>
    <m/>
    <n v="0"/>
    <m/>
    <m/>
    <m/>
  </r>
  <r>
    <x v="469"/>
    <x v="4"/>
    <s v="카카오광고"/>
    <x v="4"/>
    <x v="0"/>
    <x v="0"/>
    <m/>
    <m/>
    <n v="0"/>
    <m/>
    <m/>
    <m/>
  </r>
  <r>
    <x v="469"/>
    <x v="4"/>
    <s v="카카오광고"/>
    <x v="0"/>
    <x v="0"/>
    <x v="0"/>
    <m/>
    <m/>
    <n v="98269.99999999999"/>
    <m/>
    <m/>
    <m/>
  </r>
  <r>
    <x v="469"/>
    <x v="4"/>
    <s v="카카오광고"/>
    <x v="0"/>
    <x v="0"/>
    <x v="0"/>
    <m/>
    <m/>
    <n v="0"/>
    <m/>
    <m/>
    <m/>
  </r>
  <r>
    <x v="469"/>
    <x v="4"/>
    <s v="네이버 쇼핑검색"/>
    <x v="10"/>
    <x v="0"/>
    <x v="0"/>
    <m/>
    <m/>
    <n v="113800"/>
    <m/>
    <m/>
    <m/>
  </r>
  <r>
    <x v="469"/>
    <x v="4"/>
    <s v="네이버 쇼핑검색"/>
    <x v="10"/>
    <x v="0"/>
    <x v="0"/>
    <m/>
    <m/>
    <n v="3370"/>
    <m/>
    <m/>
    <m/>
  </r>
  <r>
    <x v="469"/>
    <x v="4"/>
    <s v="유튜브 디스커버리"/>
    <x v="0"/>
    <x v="0"/>
    <x v="0"/>
    <m/>
    <m/>
    <n v="14"/>
    <m/>
    <m/>
    <m/>
  </r>
  <r>
    <x v="470"/>
    <x v="1"/>
    <s v="페이스북/인스타그램"/>
    <x v="7"/>
    <x v="0"/>
    <x v="0"/>
    <m/>
    <m/>
    <n v="1280435"/>
    <m/>
    <m/>
    <m/>
  </r>
  <r>
    <x v="470"/>
    <x v="1"/>
    <s v="페이스북/인스타그램"/>
    <x v="13"/>
    <x v="0"/>
    <x v="0"/>
    <m/>
    <m/>
    <n v="29776"/>
    <m/>
    <m/>
    <m/>
  </r>
  <r>
    <x v="470"/>
    <x v="1"/>
    <s v="페이스북/인스타그램"/>
    <x v="0"/>
    <x v="0"/>
    <x v="0"/>
    <m/>
    <m/>
    <n v="965977"/>
    <m/>
    <m/>
    <m/>
  </r>
  <r>
    <x v="470"/>
    <x v="1"/>
    <s v="네이버 GFA"/>
    <x v="0"/>
    <x v="0"/>
    <x v="0"/>
    <m/>
    <m/>
    <n v="239509.0909090909"/>
    <m/>
    <m/>
    <m/>
  </r>
  <r>
    <x v="470"/>
    <x v="1"/>
    <s v="네이버 GFA"/>
    <x v="0"/>
    <x v="0"/>
    <x v="0"/>
    <m/>
    <m/>
    <n v="127179.0909090909"/>
    <m/>
    <m/>
    <m/>
  </r>
  <r>
    <x v="470"/>
    <x v="1"/>
    <s v="네이버 GFA"/>
    <x v="7"/>
    <x v="0"/>
    <x v="0"/>
    <m/>
    <m/>
    <n v="28251.81818181818"/>
    <m/>
    <m/>
    <m/>
  </r>
  <r>
    <x v="470"/>
    <x v="1"/>
    <s v="네이버 GFA"/>
    <x v="7"/>
    <x v="0"/>
    <x v="0"/>
    <m/>
    <m/>
    <n v="3652972.727272727"/>
    <m/>
    <m/>
    <m/>
  </r>
  <r>
    <x v="470"/>
    <x v="1"/>
    <s v="네이버 GFA"/>
    <x v="0"/>
    <x v="0"/>
    <x v="0"/>
    <m/>
    <m/>
    <n v="1873231.818181818"/>
    <m/>
    <m/>
    <m/>
  </r>
  <r>
    <x v="470"/>
    <x v="1"/>
    <s v="카카오광고"/>
    <x v="0"/>
    <x v="0"/>
    <x v="0"/>
    <m/>
    <m/>
    <n v="25770"/>
    <m/>
    <m/>
    <m/>
  </r>
  <r>
    <x v="470"/>
    <x v="1"/>
    <s v="카카오광고"/>
    <x v="0"/>
    <x v="0"/>
    <x v="0"/>
    <m/>
    <m/>
    <n v="330"/>
    <m/>
    <m/>
    <m/>
  </r>
  <r>
    <x v="470"/>
    <x v="1"/>
    <s v="카카오광고"/>
    <x v="4"/>
    <x v="0"/>
    <x v="0"/>
    <m/>
    <m/>
    <n v="0"/>
    <m/>
    <m/>
    <m/>
  </r>
  <r>
    <x v="470"/>
    <x v="1"/>
    <s v="카카오광고"/>
    <x v="0"/>
    <x v="0"/>
    <x v="0"/>
    <m/>
    <m/>
    <n v="16620"/>
    <m/>
    <m/>
    <m/>
  </r>
  <r>
    <x v="470"/>
    <x v="1"/>
    <s v="네이버 쇼핑검색"/>
    <x v="10"/>
    <x v="0"/>
    <x v="0"/>
    <m/>
    <m/>
    <n v="113670"/>
    <m/>
    <m/>
    <m/>
  </r>
  <r>
    <x v="470"/>
    <x v="1"/>
    <s v="네이버 쇼핑검색"/>
    <x v="10"/>
    <x v="0"/>
    <x v="0"/>
    <m/>
    <m/>
    <n v="5100"/>
    <m/>
    <m/>
    <m/>
  </r>
  <r>
    <x v="471"/>
    <x v="0"/>
    <s v="페이스북/인스타그램"/>
    <x v="7"/>
    <x v="0"/>
    <x v="0"/>
    <m/>
    <m/>
    <n v="1280998"/>
    <m/>
    <m/>
    <m/>
  </r>
  <r>
    <x v="471"/>
    <x v="0"/>
    <s v="페이스북/인스타그램"/>
    <x v="13"/>
    <x v="0"/>
    <x v="0"/>
    <m/>
    <m/>
    <n v="29631"/>
    <m/>
    <m/>
    <m/>
  </r>
  <r>
    <x v="471"/>
    <x v="0"/>
    <s v="페이스북/인스타그램"/>
    <x v="0"/>
    <x v="0"/>
    <x v="0"/>
    <m/>
    <m/>
    <n v="979024"/>
    <m/>
    <m/>
    <m/>
  </r>
  <r>
    <x v="471"/>
    <x v="0"/>
    <s v="네이버 GFA"/>
    <x v="0"/>
    <x v="0"/>
    <x v="0"/>
    <m/>
    <m/>
    <n v="185104.5454545454"/>
    <m/>
    <m/>
    <m/>
  </r>
  <r>
    <x v="471"/>
    <x v="0"/>
    <s v="네이버 GFA"/>
    <x v="0"/>
    <x v="0"/>
    <x v="0"/>
    <m/>
    <m/>
    <n v="2517577.272727272"/>
    <m/>
    <m/>
    <m/>
  </r>
  <r>
    <x v="471"/>
    <x v="0"/>
    <s v="네이버 GFA"/>
    <x v="7"/>
    <x v="0"/>
    <x v="0"/>
    <m/>
    <m/>
    <n v="99646.36363636363"/>
    <m/>
    <m/>
    <m/>
  </r>
  <r>
    <x v="471"/>
    <x v="0"/>
    <s v="네이버 GFA"/>
    <x v="7"/>
    <x v="0"/>
    <x v="0"/>
    <m/>
    <m/>
    <n v="3001660.909090909"/>
    <m/>
    <m/>
    <m/>
  </r>
  <r>
    <x v="471"/>
    <x v="0"/>
    <s v="네이버 GFA"/>
    <x v="0"/>
    <x v="0"/>
    <x v="0"/>
    <m/>
    <m/>
    <n v="1004407.272727273"/>
    <m/>
    <m/>
    <m/>
  </r>
  <r>
    <x v="471"/>
    <x v="0"/>
    <s v="카카오광고"/>
    <x v="0"/>
    <x v="0"/>
    <x v="0"/>
    <m/>
    <m/>
    <n v="48799.99999999999"/>
    <m/>
    <m/>
    <m/>
  </r>
  <r>
    <x v="471"/>
    <x v="0"/>
    <s v="카카오광고"/>
    <x v="0"/>
    <x v="0"/>
    <x v="0"/>
    <m/>
    <m/>
    <n v="310"/>
    <m/>
    <m/>
    <m/>
  </r>
  <r>
    <x v="471"/>
    <x v="0"/>
    <s v="카카오광고"/>
    <x v="4"/>
    <x v="0"/>
    <x v="0"/>
    <m/>
    <m/>
    <n v="0"/>
    <m/>
    <m/>
    <m/>
  </r>
  <r>
    <x v="471"/>
    <x v="0"/>
    <s v="카카오광고"/>
    <x v="0"/>
    <x v="0"/>
    <x v="0"/>
    <m/>
    <m/>
    <n v="21210"/>
    <m/>
    <m/>
    <m/>
  </r>
  <r>
    <x v="471"/>
    <x v="0"/>
    <s v="네이버 쇼핑검색"/>
    <x v="10"/>
    <x v="0"/>
    <x v="0"/>
    <m/>
    <m/>
    <n v="106410"/>
    <m/>
    <m/>
    <m/>
  </r>
  <r>
    <x v="471"/>
    <x v="0"/>
    <s v="네이버 쇼핑검색"/>
    <x v="10"/>
    <x v="0"/>
    <x v="0"/>
    <m/>
    <m/>
    <n v="8330"/>
    <m/>
    <m/>
    <m/>
  </r>
  <r>
    <x v="472"/>
    <x v="2"/>
    <s v="페이스북/인스타그램"/>
    <x v="7"/>
    <x v="0"/>
    <x v="0"/>
    <m/>
    <m/>
    <n v="986500"/>
    <m/>
    <m/>
    <m/>
  </r>
  <r>
    <x v="472"/>
    <x v="2"/>
    <s v="페이스북/인스타그램"/>
    <x v="13"/>
    <x v="0"/>
    <x v="0"/>
    <m/>
    <m/>
    <n v="23745"/>
    <m/>
    <m/>
    <m/>
  </r>
  <r>
    <x v="472"/>
    <x v="2"/>
    <s v="페이스북/인스타그램"/>
    <x v="0"/>
    <x v="0"/>
    <x v="0"/>
    <m/>
    <m/>
    <n v="847801"/>
    <m/>
    <m/>
    <m/>
  </r>
  <r>
    <x v="472"/>
    <x v="2"/>
    <s v="네이버 GFA"/>
    <x v="0"/>
    <x v="0"/>
    <x v="0"/>
    <m/>
    <m/>
    <n v="47807.27272727272"/>
    <m/>
    <m/>
    <m/>
  </r>
  <r>
    <x v="472"/>
    <x v="2"/>
    <s v="네이버 GFA"/>
    <x v="0"/>
    <x v="0"/>
    <x v="0"/>
    <m/>
    <m/>
    <n v="925710.9090909091"/>
    <m/>
    <m/>
    <m/>
  </r>
  <r>
    <x v="472"/>
    <x v="2"/>
    <s v="네이버 GFA"/>
    <x v="0"/>
    <x v="0"/>
    <x v="0"/>
    <m/>
    <m/>
    <n v="96797.27272727272"/>
    <m/>
    <m/>
    <m/>
  </r>
  <r>
    <x v="472"/>
    <x v="2"/>
    <s v="네이버 GFA"/>
    <x v="7"/>
    <x v="0"/>
    <x v="0"/>
    <m/>
    <m/>
    <n v="55806.36363636363"/>
    <m/>
    <m/>
    <m/>
  </r>
  <r>
    <x v="472"/>
    <x v="2"/>
    <s v="네이버 GFA"/>
    <x v="0"/>
    <x v="0"/>
    <x v="0"/>
    <m/>
    <m/>
    <n v="25725.45454545454"/>
    <m/>
    <m/>
    <m/>
  </r>
  <r>
    <x v="472"/>
    <x v="2"/>
    <s v="네이버 GFA"/>
    <x v="0"/>
    <x v="0"/>
    <x v="0"/>
    <m/>
    <m/>
    <n v="122155.4545454545"/>
    <m/>
    <m/>
    <m/>
  </r>
  <r>
    <x v="472"/>
    <x v="2"/>
    <s v="네이버 GFA"/>
    <x v="7"/>
    <x v="0"/>
    <x v="0"/>
    <m/>
    <m/>
    <n v="887.2727272727273"/>
    <m/>
    <m/>
    <m/>
  </r>
  <r>
    <x v="472"/>
    <x v="2"/>
    <s v="네이버 GFA"/>
    <x v="7"/>
    <x v="0"/>
    <x v="0"/>
    <m/>
    <m/>
    <n v="2389717.272727272"/>
    <m/>
    <m/>
    <m/>
  </r>
  <r>
    <x v="472"/>
    <x v="2"/>
    <s v="네이버 GFA"/>
    <x v="0"/>
    <x v="0"/>
    <x v="0"/>
    <m/>
    <m/>
    <n v="1193048.181818182"/>
    <m/>
    <m/>
    <m/>
  </r>
  <r>
    <x v="472"/>
    <x v="2"/>
    <s v="카카오광고"/>
    <x v="0"/>
    <x v="0"/>
    <x v="0"/>
    <m/>
    <m/>
    <n v="999.1485148514852"/>
    <m/>
    <m/>
    <m/>
  </r>
  <r>
    <x v="472"/>
    <x v="2"/>
    <s v="카카오광고"/>
    <x v="0"/>
    <x v="0"/>
    <x v="0"/>
    <m/>
    <m/>
    <n v="24.61386138613861"/>
    <m/>
    <m/>
    <m/>
  </r>
  <r>
    <x v="472"/>
    <x v="2"/>
    <s v="카카오광고"/>
    <x v="4"/>
    <x v="0"/>
    <x v="0"/>
    <m/>
    <m/>
    <n v="0"/>
    <m/>
    <m/>
    <m/>
  </r>
  <r>
    <x v="472"/>
    <x v="2"/>
    <s v="네이버 쇼핑검색"/>
    <x v="10"/>
    <x v="0"/>
    <x v="0"/>
    <m/>
    <m/>
    <n v="78180"/>
    <m/>
    <m/>
    <m/>
  </r>
  <r>
    <x v="472"/>
    <x v="2"/>
    <s v="네이버 쇼핑검색"/>
    <x v="10"/>
    <x v="0"/>
    <x v="0"/>
    <m/>
    <m/>
    <n v="9230"/>
    <m/>
    <m/>
    <m/>
  </r>
  <r>
    <x v="473"/>
    <x v="5"/>
    <s v="페이스북/인스타그램"/>
    <x v="7"/>
    <x v="0"/>
    <x v="0"/>
    <m/>
    <m/>
    <n v="627180"/>
    <m/>
    <m/>
    <m/>
  </r>
  <r>
    <x v="473"/>
    <x v="5"/>
    <s v="페이스북/인스타그램"/>
    <x v="13"/>
    <x v="0"/>
    <x v="0"/>
    <m/>
    <m/>
    <n v="14486"/>
    <m/>
    <m/>
    <m/>
  </r>
  <r>
    <x v="473"/>
    <x v="5"/>
    <s v="페이스북/인스타그램"/>
    <x v="0"/>
    <x v="0"/>
    <x v="0"/>
    <m/>
    <m/>
    <n v="449092"/>
    <m/>
    <m/>
    <m/>
  </r>
  <r>
    <x v="473"/>
    <x v="5"/>
    <s v="네이버 GFA"/>
    <x v="0"/>
    <x v="0"/>
    <x v="0"/>
    <m/>
    <m/>
    <n v="21173.63636363636"/>
    <m/>
    <m/>
    <m/>
  </r>
  <r>
    <x v="473"/>
    <x v="5"/>
    <s v="네이버 GFA"/>
    <x v="0"/>
    <x v="0"/>
    <x v="0"/>
    <m/>
    <m/>
    <n v="830171.8181818181"/>
    <m/>
    <m/>
    <m/>
  </r>
  <r>
    <x v="473"/>
    <x v="5"/>
    <s v="네이버 GFA"/>
    <x v="0"/>
    <x v="0"/>
    <x v="0"/>
    <m/>
    <m/>
    <n v="50482.72727272727"/>
    <m/>
    <m/>
    <m/>
  </r>
  <r>
    <x v="473"/>
    <x v="5"/>
    <s v="네이버 GFA"/>
    <x v="7"/>
    <x v="0"/>
    <x v="0"/>
    <m/>
    <m/>
    <n v="55729.0909090909"/>
    <m/>
    <m/>
    <m/>
  </r>
  <r>
    <x v="473"/>
    <x v="5"/>
    <s v="네이버 GFA"/>
    <x v="0"/>
    <x v="0"/>
    <x v="0"/>
    <m/>
    <m/>
    <n v="66562.72727272726"/>
    <m/>
    <m/>
    <m/>
  </r>
  <r>
    <x v="473"/>
    <x v="5"/>
    <s v="네이버 GFA"/>
    <x v="7"/>
    <x v="0"/>
    <x v="0"/>
    <m/>
    <m/>
    <n v="1910135.454545454"/>
    <m/>
    <m/>
    <m/>
  </r>
  <r>
    <x v="473"/>
    <x v="5"/>
    <s v="네이버 GFA"/>
    <x v="0"/>
    <x v="0"/>
    <x v="0"/>
    <m/>
    <m/>
    <n v="432878.1818181818"/>
    <m/>
    <m/>
    <m/>
  </r>
  <r>
    <x v="473"/>
    <x v="5"/>
    <s v="카카오광고"/>
    <x v="0"/>
    <x v="0"/>
    <x v="0"/>
    <m/>
    <m/>
    <n v="1029.207920792079"/>
    <m/>
    <m/>
    <m/>
  </r>
  <r>
    <x v="473"/>
    <x v="5"/>
    <s v="카카오광고"/>
    <x v="0"/>
    <x v="0"/>
    <x v="0"/>
    <m/>
    <m/>
    <n v="37.79207920792079"/>
    <m/>
    <m/>
    <m/>
  </r>
  <r>
    <x v="473"/>
    <x v="5"/>
    <s v="카카오광고"/>
    <x v="4"/>
    <x v="0"/>
    <x v="0"/>
    <m/>
    <m/>
    <n v="0"/>
    <m/>
    <m/>
    <m/>
  </r>
  <r>
    <x v="473"/>
    <x v="5"/>
    <s v="네이버 쇼핑검색"/>
    <x v="10"/>
    <x v="0"/>
    <x v="0"/>
    <m/>
    <m/>
    <n v="69020"/>
    <m/>
    <m/>
    <m/>
  </r>
  <r>
    <x v="473"/>
    <x v="5"/>
    <s v="네이버 쇼핑검색"/>
    <x v="10"/>
    <x v="0"/>
    <x v="0"/>
    <m/>
    <m/>
    <n v="1500"/>
    <m/>
    <m/>
    <m/>
  </r>
  <r>
    <x v="474"/>
    <x v="6"/>
    <s v="페이스북/인스타그램"/>
    <x v="7"/>
    <x v="0"/>
    <x v="0"/>
    <m/>
    <m/>
    <n v="876422"/>
    <m/>
    <m/>
    <m/>
  </r>
  <r>
    <x v="474"/>
    <x v="6"/>
    <s v="페이스북/인스타그램"/>
    <x v="13"/>
    <x v="0"/>
    <x v="0"/>
    <m/>
    <m/>
    <n v="20674"/>
    <m/>
    <m/>
    <m/>
  </r>
  <r>
    <x v="474"/>
    <x v="6"/>
    <s v="페이스북/인스타그램"/>
    <x v="0"/>
    <x v="0"/>
    <x v="0"/>
    <m/>
    <m/>
    <n v="575297"/>
    <m/>
    <m/>
    <m/>
  </r>
  <r>
    <x v="474"/>
    <x v="6"/>
    <s v="네이버 GFA"/>
    <x v="0"/>
    <x v="0"/>
    <x v="0"/>
    <m/>
    <m/>
    <n v="234301.8181818182"/>
    <m/>
    <m/>
    <m/>
  </r>
  <r>
    <x v="474"/>
    <x v="6"/>
    <s v="네이버 GFA"/>
    <x v="7"/>
    <x v="0"/>
    <x v="0"/>
    <m/>
    <m/>
    <n v="76277.27272727272"/>
    <m/>
    <m/>
    <m/>
  </r>
  <r>
    <x v="474"/>
    <x v="6"/>
    <s v="네이버 GFA"/>
    <x v="0"/>
    <x v="0"/>
    <x v="0"/>
    <m/>
    <m/>
    <n v="88877.27272727272"/>
    <m/>
    <m/>
    <m/>
  </r>
  <r>
    <x v="474"/>
    <x v="6"/>
    <s v="네이버 GFA"/>
    <x v="7"/>
    <x v="0"/>
    <x v="0"/>
    <m/>
    <m/>
    <n v="2216896.363636363"/>
    <m/>
    <m/>
    <m/>
  </r>
  <r>
    <x v="474"/>
    <x v="6"/>
    <s v="네이버 GFA"/>
    <x v="0"/>
    <x v="0"/>
    <x v="0"/>
    <m/>
    <m/>
    <n v="1089642.727272727"/>
    <m/>
    <m/>
    <m/>
  </r>
  <r>
    <x v="474"/>
    <x v="6"/>
    <s v="카카오광고"/>
    <x v="0"/>
    <x v="0"/>
    <x v="0"/>
    <m/>
    <m/>
    <n v="1000.346534653465"/>
    <m/>
    <m/>
    <m/>
  </r>
  <r>
    <x v="474"/>
    <x v="6"/>
    <s v="카카오광고"/>
    <x v="0"/>
    <x v="0"/>
    <x v="0"/>
    <m/>
    <m/>
    <n v="120.2376237623762"/>
    <m/>
    <m/>
    <m/>
  </r>
  <r>
    <x v="474"/>
    <x v="6"/>
    <s v="카카오광고"/>
    <x v="4"/>
    <x v="0"/>
    <x v="0"/>
    <m/>
    <m/>
    <n v="0"/>
    <m/>
    <m/>
    <m/>
  </r>
  <r>
    <x v="474"/>
    <x v="6"/>
    <s v="네이버 쇼핑검색"/>
    <x v="10"/>
    <x v="0"/>
    <x v="0"/>
    <m/>
    <m/>
    <n v="93889.99999999999"/>
    <m/>
    <m/>
    <m/>
  </r>
  <r>
    <x v="474"/>
    <x v="6"/>
    <s v="네이버 쇼핑검색"/>
    <x v="10"/>
    <x v="0"/>
    <x v="0"/>
    <m/>
    <m/>
    <n v="3560"/>
    <m/>
    <m/>
    <m/>
  </r>
  <r>
    <x v="472"/>
    <x v="2"/>
    <s v="유튜브 디스커버리"/>
    <x v="0"/>
    <x v="0"/>
    <x v="0"/>
    <m/>
    <m/>
    <n v="97137"/>
    <m/>
    <m/>
    <m/>
  </r>
  <r>
    <x v="473"/>
    <x v="5"/>
    <s v="유튜브 디스커버리"/>
    <x v="0"/>
    <x v="0"/>
    <x v="0"/>
    <m/>
    <m/>
    <n v="824"/>
    <m/>
    <m/>
    <m/>
  </r>
  <r>
    <x v="474"/>
    <x v="6"/>
    <s v="유튜브 디스커버리"/>
    <x v="0"/>
    <x v="0"/>
    <x v="0"/>
    <m/>
    <m/>
    <n v="204892"/>
    <m/>
    <m/>
    <m/>
  </r>
  <r>
    <x v="474"/>
    <x v="6"/>
    <s v="유튜브 디스커버리"/>
    <x v="0"/>
    <x v="0"/>
    <x v="0"/>
    <m/>
    <m/>
    <n v="213740"/>
    <m/>
    <m/>
    <m/>
  </r>
  <r>
    <x v="475"/>
    <x v="3"/>
    <s v="페이스북/인스타그램"/>
    <x v="7"/>
    <x v="0"/>
    <x v="0"/>
    <m/>
    <m/>
    <n v="890364"/>
    <m/>
    <m/>
    <m/>
  </r>
  <r>
    <x v="475"/>
    <x v="3"/>
    <s v="페이스북/인스타그램"/>
    <x v="13"/>
    <x v="0"/>
    <x v="0"/>
    <m/>
    <m/>
    <n v="28680"/>
    <m/>
    <m/>
    <m/>
  </r>
  <r>
    <x v="475"/>
    <x v="3"/>
    <s v="페이스북/인스타그램"/>
    <x v="0"/>
    <x v="0"/>
    <x v="0"/>
    <m/>
    <m/>
    <n v="1031724"/>
    <m/>
    <m/>
    <m/>
  </r>
  <r>
    <x v="475"/>
    <x v="3"/>
    <s v="네이버 GFA"/>
    <x v="0"/>
    <x v="0"/>
    <x v="0"/>
    <m/>
    <m/>
    <n v="165233.6363636364"/>
    <m/>
    <m/>
    <m/>
  </r>
  <r>
    <x v="475"/>
    <x v="3"/>
    <s v="네이버 GFA"/>
    <x v="0"/>
    <x v="0"/>
    <x v="0"/>
    <m/>
    <m/>
    <n v="0"/>
    <m/>
    <m/>
    <m/>
  </r>
  <r>
    <x v="475"/>
    <x v="3"/>
    <s v="네이버 GFA"/>
    <x v="7"/>
    <x v="0"/>
    <x v="0"/>
    <m/>
    <m/>
    <n v="87379.0909090909"/>
    <m/>
    <m/>
    <m/>
  </r>
  <r>
    <x v="475"/>
    <x v="3"/>
    <s v="네이버 GFA"/>
    <x v="0"/>
    <x v="0"/>
    <x v="0"/>
    <m/>
    <m/>
    <n v="60797.27272727272"/>
    <m/>
    <m/>
    <m/>
  </r>
  <r>
    <x v="475"/>
    <x v="3"/>
    <s v="네이버 GFA"/>
    <x v="7"/>
    <x v="0"/>
    <x v="0"/>
    <m/>
    <m/>
    <n v="925197.2727272727"/>
    <m/>
    <m/>
    <m/>
  </r>
  <r>
    <x v="475"/>
    <x v="3"/>
    <s v="네이버 GFA"/>
    <x v="0"/>
    <x v="0"/>
    <x v="0"/>
    <m/>
    <m/>
    <n v="1644108.181818182"/>
    <m/>
    <m/>
    <m/>
  </r>
  <r>
    <x v="475"/>
    <x v="3"/>
    <s v="카카오광고"/>
    <x v="0"/>
    <x v="0"/>
    <x v="0"/>
    <m/>
    <m/>
    <n v="73520"/>
    <m/>
    <m/>
    <m/>
  </r>
  <r>
    <x v="475"/>
    <x v="3"/>
    <s v="카카오광고"/>
    <x v="4"/>
    <x v="0"/>
    <x v="0"/>
    <m/>
    <m/>
    <n v="521504.9999999999"/>
    <m/>
    <m/>
    <m/>
  </r>
  <r>
    <x v="475"/>
    <x v="3"/>
    <s v="네이버 쇼핑검색"/>
    <x v="10"/>
    <x v="0"/>
    <x v="0"/>
    <m/>
    <m/>
    <n v="88740"/>
    <m/>
    <m/>
    <m/>
  </r>
  <r>
    <x v="475"/>
    <x v="3"/>
    <s v="네이버 쇼핑검색"/>
    <x v="10"/>
    <x v="0"/>
    <x v="0"/>
    <m/>
    <m/>
    <n v="8730"/>
    <m/>
    <m/>
    <m/>
  </r>
  <r>
    <x v="475"/>
    <x v="3"/>
    <s v="유튜브 디스커버리"/>
    <x v="0"/>
    <x v="0"/>
    <x v="0"/>
    <m/>
    <m/>
    <n v="97137"/>
    <m/>
    <m/>
    <m/>
  </r>
  <r>
    <x v="475"/>
    <x v="3"/>
    <s v="유튜브 디스커버리"/>
    <x v="0"/>
    <x v="0"/>
    <x v="0"/>
    <m/>
    <m/>
    <n v="213972"/>
    <m/>
    <m/>
    <m/>
  </r>
  <r>
    <x v="475"/>
    <x v="3"/>
    <s v="유튜브 디스커버리"/>
    <x v="0"/>
    <x v="0"/>
    <x v="0"/>
    <m/>
    <m/>
    <n v="824"/>
    <m/>
    <m/>
    <m/>
  </r>
  <r>
    <x v="475"/>
    <x v="3"/>
    <s v="유튜브 디스커버리"/>
    <x v="0"/>
    <x v="0"/>
    <x v="0"/>
    <m/>
    <m/>
    <n v="204892"/>
    <m/>
    <m/>
    <m/>
  </r>
  <r>
    <x v="476"/>
    <x v="4"/>
    <s v="페이스북/인스타그램"/>
    <x v="7"/>
    <x v="0"/>
    <x v="0"/>
    <m/>
    <m/>
    <n v="865074"/>
    <m/>
    <m/>
    <m/>
  </r>
  <r>
    <x v="476"/>
    <x v="4"/>
    <s v="페이스북/인스타그램"/>
    <x v="13"/>
    <x v="0"/>
    <x v="0"/>
    <m/>
    <m/>
    <n v="28993"/>
    <m/>
    <m/>
    <m/>
  </r>
  <r>
    <x v="476"/>
    <x v="4"/>
    <s v="페이스북/인스타그램"/>
    <x v="0"/>
    <x v="0"/>
    <x v="0"/>
    <m/>
    <m/>
    <n v="1207196"/>
    <m/>
    <m/>
    <m/>
  </r>
  <r>
    <x v="476"/>
    <x v="4"/>
    <s v="네이버 GFA"/>
    <x v="0"/>
    <x v="0"/>
    <x v="0"/>
    <m/>
    <m/>
    <n v="121243.6363636364"/>
    <m/>
    <m/>
    <m/>
  </r>
  <r>
    <x v="476"/>
    <x v="4"/>
    <s v="네이버 GFA"/>
    <x v="7"/>
    <x v="0"/>
    <x v="0"/>
    <m/>
    <m/>
    <n v="96576.36363636363"/>
    <m/>
    <m/>
    <m/>
  </r>
  <r>
    <x v="476"/>
    <x v="4"/>
    <s v="네이버 GFA"/>
    <x v="0"/>
    <x v="0"/>
    <x v="0"/>
    <m/>
    <m/>
    <n v="62130.90909090909"/>
    <m/>
    <m/>
    <m/>
  </r>
  <r>
    <x v="476"/>
    <x v="4"/>
    <s v="네이버 GFA"/>
    <x v="7"/>
    <x v="0"/>
    <x v="0"/>
    <m/>
    <m/>
    <n v="917292.7272727272"/>
    <m/>
    <m/>
    <m/>
  </r>
  <r>
    <x v="476"/>
    <x v="4"/>
    <s v="네이버 GFA"/>
    <x v="0"/>
    <x v="0"/>
    <x v="0"/>
    <m/>
    <m/>
    <n v="687455.4545454545"/>
    <m/>
    <m/>
    <m/>
  </r>
  <r>
    <x v="476"/>
    <x v="4"/>
    <s v="네이버 쇼핑검색"/>
    <x v="10"/>
    <x v="0"/>
    <x v="0"/>
    <m/>
    <m/>
    <n v="84250"/>
    <m/>
    <m/>
    <m/>
  </r>
  <r>
    <x v="476"/>
    <x v="4"/>
    <s v="네이버 쇼핑검색"/>
    <x v="10"/>
    <x v="0"/>
    <x v="0"/>
    <m/>
    <m/>
    <n v="4470"/>
    <m/>
    <m/>
    <m/>
  </r>
  <r>
    <x v="476"/>
    <x v="4"/>
    <s v="카카오광고"/>
    <x v="0"/>
    <x v="0"/>
    <x v="0"/>
    <m/>
    <m/>
    <n v="12680"/>
    <m/>
    <m/>
    <m/>
  </r>
  <r>
    <x v="476"/>
    <x v="4"/>
    <s v="카카오광고"/>
    <x v="4"/>
    <x v="0"/>
    <x v="0"/>
    <m/>
    <m/>
    <n v="0"/>
    <m/>
    <m/>
    <m/>
  </r>
  <r>
    <x v="476"/>
    <x v="4"/>
    <s v="유튜브 디스커버리"/>
    <x v="0"/>
    <x v="0"/>
    <x v="0"/>
    <m/>
    <m/>
    <n v="51436"/>
    <m/>
    <m/>
    <m/>
  </r>
  <r>
    <x v="476"/>
    <x v="4"/>
    <s v="유튜브 디스커버리"/>
    <x v="0"/>
    <x v="0"/>
    <x v="0"/>
    <m/>
    <m/>
    <n v="204031"/>
    <m/>
    <m/>
    <m/>
  </r>
  <r>
    <x v="476"/>
    <x v="4"/>
    <s v="유튜브 디스커버리"/>
    <x v="0"/>
    <x v="0"/>
    <x v="0"/>
    <m/>
    <m/>
    <n v="90349"/>
    <m/>
    <m/>
    <m/>
  </r>
  <r>
    <x v="476"/>
    <x v="4"/>
    <s v="유튜브 디스커버리"/>
    <x v="0"/>
    <x v="0"/>
    <x v="0"/>
    <m/>
    <m/>
    <n v="102389"/>
    <m/>
    <m/>
    <m/>
  </r>
  <r>
    <x v="476"/>
    <x v="4"/>
    <s v="유튜브 디스커버리"/>
    <x v="0"/>
    <x v="0"/>
    <x v="0"/>
    <m/>
    <m/>
    <n v="138395"/>
    <m/>
    <m/>
    <m/>
  </r>
  <r>
    <x v="476"/>
    <x v="4"/>
    <s v="유튜브 디스커버리"/>
    <x v="0"/>
    <x v="0"/>
    <x v="0"/>
    <m/>
    <m/>
    <n v="17"/>
    <m/>
    <m/>
    <m/>
  </r>
  <r>
    <x v="476"/>
    <x v="4"/>
    <s v="유튜브 디스커버리"/>
    <x v="0"/>
    <x v="0"/>
    <x v="0"/>
    <m/>
    <m/>
    <n v="51790"/>
    <m/>
    <m/>
    <m/>
  </r>
  <r>
    <x v="476"/>
    <x v="4"/>
    <s v="유튜브 디스커버리"/>
    <x v="0"/>
    <x v="0"/>
    <x v="0"/>
    <m/>
    <m/>
    <n v="3703"/>
    <m/>
    <m/>
    <m/>
  </r>
  <r>
    <x v="476"/>
    <x v="4"/>
    <s v="유튜브 디스커버리"/>
    <x v="0"/>
    <x v="0"/>
    <x v="0"/>
    <m/>
    <m/>
    <n v="978"/>
    <m/>
    <m/>
    <m/>
  </r>
  <r>
    <x v="477"/>
    <x v="1"/>
    <s v="페이스북/인스타그램"/>
    <x v="7"/>
    <x v="0"/>
    <x v="0"/>
    <m/>
    <m/>
    <n v="624016"/>
    <m/>
    <m/>
    <m/>
  </r>
  <r>
    <x v="477"/>
    <x v="1"/>
    <s v="페이스북/인스타그램"/>
    <x v="13"/>
    <x v="0"/>
    <x v="0"/>
    <m/>
    <m/>
    <n v="29969"/>
    <m/>
    <m/>
    <m/>
  </r>
  <r>
    <x v="477"/>
    <x v="1"/>
    <s v="페이스북/인스타그램"/>
    <x v="0"/>
    <x v="0"/>
    <x v="0"/>
    <m/>
    <m/>
    <n v="968055"/>
    <m/>
    <m/>
    <m/>
  </r>
  <r>
    <x v="477"/>
    <x v="1"/>
    <s v="네이버 GFA"/>
    <x v="0"/>
    <x v="0"/>
    <x v="0"/>
    <m/>
    <m/>
    <n v="639854.5454545454"/>
    <m/>
    <m/>
    <m/>
  </r>
  <r>
    <x v="477"/>
    <x v="1"/>
    <s v="네이버 GFA"/>
    <x v="7"/>
    <x v="0"/>
    <x v="0"/>
    <m/>
    <m/>
    <n v="42272.72727272727"/>
    <m/>
    <m/>
    <m/>
  </r>
  <r>
    <x v="477"/>
    <x v="1"/>
    <s v="네이버 GFA"/>
    <x v="7"/>
    <x v="0"/>
    <x v="0"/>
    <m/>
    <m/>
    <n v="727950.9090909091"/>
    <m/>
    <m/>
    <m/>
  </r>
  <r>
    <x v="477"/>
    <x v="1"/>
    <s v="네이버 GFA"/>
    <x v="0"/>
    <x v="0"/>
    <x v="0"/>
    <m/>
    <m/>
    <n v="1186279.090909091"/>
    <m/>
    <m/>
    <m/>
  </r>
  <r>
    <x v="477"/>
    <x v="1"/>
    <s v="네이버 쇼핑검색"/>
    <x v="10"/>
    <x v="0"/>
    <x v="0"/>
    <m/>
    <m/>
    <n v="53999.99999999999"/>
    <m/>
    <m/>
    <m/>
  </r>
  <r>
    <x v="477"/>
    <x v="1"/>
    <s v="네이버 쇼핑검색"/>
    <x v="10"/>
    <x v="0"/>
    <x v="0"/>
    <m/>
    <m/>
    <n v="3320"/>
    <m/>
    <m/>
    <m/>
  </r>
  <r>
    <x v="477"/>
    <x v="1"/>
    <s v="카카오광고"/>
    <x v="0"/>
    <x v="0"/>
    <x v="0"/>
    <m/>
    <m/>
    <n v="6099.999999999999"/>
    <m/>
    <m/>
    <m/>
  </r>
  <r>
    <x v="477"/>
    <x v="1"/>
    <s v="카카오광고"/>
    <x v="5"/>
    <x v="0"/>
    <x v="0"/>
    <m/>
    <m/>
    <n v="664215"/>
    <m/>
    <m/>
    <m/>
  </r>
  <r>
    <x v="477"/>
    <x v="1"/>
    <s v="유튜브 디스커버리"/>
    <x v="0"/>
    <x v="0"/>
    <x v="0"/>
    <m/>
    <m/>
    <n v="105383"/>
    <m/>
    <m/>
    <m/>
  </r>
  <r>
    <x v="477"/>
    <x v="1"/>
    <s v="유튜브 디스커버리"/>
    <x v="0"/>
    <x v="0"/>
    <x v="0"/>
    <m/>
    <m/>
    <n v="15221"/>
    <m/>
    <m/>
    <m/>
  </r>
  <r>
    <x v="477"/>
    <x v="1"/>
    <s v="유튜브 디스커버리"/>
    <x v="0"/>
    <x v="0"/>
    <x v="0"/>
    <m/>
    <m/>
    <n v="7"/>
    <m/>
    <m/>
    <m/>
  </r>
  <r>
    <x v="477"/>
    <x v="1"/>
    <s v="유튜브 디스커버리"/>
    <x v="0"/>
    <x v="0"/>
    <x v="0"/>
    <m/>
    <m/>
    <n v="51469"/>
    <m/>
    <m/>
    <m/>
  </r>
  <r>
    <x v="477"/>
    <x v="1"/>
    <s v="유튜브 디스커버리"/>
    <x v="0"/>
    <x v="0"/>
    <x v="0"/>
    <m/>
    <m/>
    <n v="17589"/>
    <m/>
    <m/>
    <m/>
  </r>
  <r>
    <x v="477"/>
    <x v="1"/>
    <s v="유튜브 디스커버리"/>
    <x v="0"/>
    <x v="0"/>
    <x v="0"/>
    <m/>
    <m/>
    <n v="3060"/>
    <m/>
    <m/>
    <m/>
  </r>
  <r>
    <x v="478"/>
    <x v="0"/>
    <s v="페이스북/인스타그램"/>
    <x v="7"/>
    <x v="0"/>
    <x v="0"/>
    <m/>
    <m/>
    <n v="376572"/>
    <m/>
    <m/>
    <m/>
  </r>
  <r>
    <x v="478"/>
    <x v="0"/>
    <s v="페이스북/인스타그램"/>
    <x v="13"/>
    <x v="0"/>
    <x v="0"/>
    <m/>
    <m/>
    <n v="30235"/>
    <m/>
    <m/>
    <m/>
  </r>
  <r>
    <x v="478"/>
    <x v="0"/>
    <s v="페이스북/인스타그램"/>
    <x v="0"/>
    <x v="0"/>
    <x v="0"/>
    <m/>
    <m/>
    <n v="728488"/>
    <m/>
    <m/>
    <m/>
  </r>
  <r>
    <x v="478"/>
    <x v="0"/>
    <s v="네이버 GFA"/>
    <x v="0"/>
    <x v="0"/>
    <x v="0"/>
    <m/>
    <m/>
    <n v="164105.4545454545"/>
    <m/>
    <m/>
    <m/>
  </r>
  <r>
    <x v="478"/>
    <x v="0"/>
    <s v="네이버 GFA"/>
    <x v="7"/>
    <x v="0"/>
    <x v="0"/>
    <m/>
    <m/>
    <n v="145608.1818181818"/>
    <m/>
    <m/>
    <m/>
  </r>
  <r>
    <x v="478"/>
    <x v="0"/>
    <s v="네이버 GFA"/>
    <x v="0"/>
    <x v="0"/>
    <x v="0"/>
    <m/>
    <m/>
    <n v="0"/>
    <m/>
    <m/>
    <m/>
  </r>
  <r>
    <x v="478"/>
    <x v="0"/>
    <s v="네이버 GFA"/>
    <x v="7"/>
    <x v="0"/>
    <x v="0"/>
    <m/>
    <m/>
    <n v="854033.6363636362"/>
    <m/>
    <m/>
    <m/>
  </r>
  <r>
    <x v="478"/>
    <x v="0"/>
    <s v="네이버 GFA"/>
    <x v="0"/>
    <x v="0"/>
    <x v="0"/>
    <m/>
    <m/>
    <n v="1104577.272727273"/>
    <m/>
    <m/>
    <m/>
  </r>
  <r>
    <x v="478"/>
    <x v="0"/>
    <s v="네이버 쇼핑검색"/>
    <x v="10"/>
    <x v="0"/>
    <x v="0"/>
    <m/>
    <m/>
    <n v="40110"/>
    <m/>
    <m/>
    <m/>
  </r>
  <r>
    <x v="478"/>
    <x v="0"/>
    <s v="네이버 쇼핑검색"/>
    <x v="10"/>
    <x v="0"/>
    <x v="0"/>
    <m/>
    <m/>
    <n v="3580"/>
    <m/>
    <m/>
    <m/>
  </r>
  <r>
    <x v="478"/>
    <x v="0"/>
    <s v="카카오광고"/>
    <x v="0"/>
    <x v="0"/>
    <x v="0"/>
    <m/>
    <m/>
    <n v="1230"/>
    <m/>
    <m/>
    <m/>
  </r>
  <r>
    <x v="478"/>
    <x v="0"/>
    <s v="카카오광고"/>
    <x v="5"/>
    <x v="0"/>
    <x v="0"/>
    <m/>
    <m/>
    <n v="0"/>
    <m/>
    <m/>
    <m/>
  </r>
  <r>
    <x v="478"/>
    <x v="0"/>
    <s v="유튜브 디스커버리"/>
    <x v="0"/>
    <x v="0"/>
    <x v="0"/>
    <m/>
    <m/>
    <n v="23616"/>
    <m/>
    <m/>
    <m/>
  </r>
  <r>
    <x v="478"/>
    <x v="0"/>
    <s v="유튜브 디스커버리"/>
    <x v="0"/>
    <x v="0"/>
    <x v="0"/>
    <m/>
    <m/>
    <n v="1010"/>
    <m/>
    <m/>
    <m/>
  </r>
  <r>
    <x v="478"/>
    <x v="0"/>
    <s v="유튜브 디스커버리"/>
    <x v="0"/>
    <x v="0"/>
    <x v="0"/>
    <m/>
    <m/>
    <n v="168"/>
    <m/>
    <m/>
    <m/>
  </r>
  <r>
    <x v="478"/>
    <x v="0"/>
    <s v="유튜브 디스커버리"/>
    <x v="0"/>
    <x v="0"/>
    <x v="0"/>
    <m/>
    <m/>
    <n v="1602"/>
    <m/>
    <m/>
    <m/>
  </r>
  <r>
    <x v="478"/>
    <x v="0"/>
    <s v="유튜브 디스커버리"/>
    <x v="0"/>
    <x v="0"/>
    <x v="0"/>
    <m/>
    <m/>
    <n v="29384"/>
    <m/>
    <m/>
    <m/>
  </r>
  <r>
    <x v="478"/>
    <x v="0"/>
    <s v="유튜브 디스커버리"/>
    <x v="0"/>
    <x v="0"/>
    <x v="0"/>
    <m/>
    <m/>
    <n v="2925"/>
    <m/>
    <m/>
    <m/>
  </r>
  <r>
    <x v="478"/>
    <x v="0"/>
    <s v="유튜브 디스커버리"/>
    <x v="0"/>
    <x v="0"/>
    <x v="0"/>
    <m/>
    <m/>
    <n v="25947"/>
    <m/>
    <m/>
    <m/>
  </r>
  <r>
    <x v="479"/>
    <x v="2"/>
    <s v="페이스북/인스타그램"/>
    <x v="7"/>
    <x v="0"/>
    <x v="0"/>
    <m/>
    <m/>
    <n v="305554"/>
    <m/>
    <m/>
    <m/>
  </r>
  <r>
    <x v="479"/>
    <x v="2"/>
    <s v="페이스북/인스타그램"/>
    <x v="13"/>
    <x v="0"/>
    <x v="0"/>
    <m/>
    <m/>
    <n v="25027"/>
    <m/>
    <m/>
    <m/>
  </r>
  <r>
    <x v="479"/>
    <x v="2"/>
    <s v="페이스북/인스타그램"/>
    <x v="0"/>
    <x v="0"/>
    <x v="0"/>
    <m/>
    <m/>
    <n v="462706"/>
    <m/>
    <m/>
    <m/>
  </r>
  <r>
    <x v="480"/>
    <x v="5"/>
    <s v="페이스북/인스타그램"/>
    <x v="7"/>
    <x v="0"/>
    <x v="0"/>
    <m/>
    <m/>
    <n v="294867"/>
    <m/>
    <m/>
    <m/>
  </r>
  <r>
    <x v="480"/>
    <x v="5"/>
    <s v="페이스북/인스타그램"/>
    <x v="13"/>
    <x v="0"/>
    <x v="0"/>
    <m/>
    <m/>
    <n v="14504"/>
    <m/>
    <m/>
    <m/>
  </r>
  <r>
    <x v="480"/>
    <x v="5"/>
    <s v="페이스북/인스타그램"/>
    <x v="0"/>
    <x v="0"/>
    <x v="0"/>
    <m/>
    <m/>
    <n v="313194"/>
    <m/>
    <m/>
    <m/>
  </r>
  <r>
    <x v="481"/>
    <x v="6"/>
    <s v="페이스북/인스타그램"/>
    <x v="7"/>
    <x v="0"/>
    <x v="0"/>
    <m/>
    <m/>
    <n v="373773"/>
    <m/>
    <m/>
    <m/>
  </r>
  <r>
    <x v="481"/>
    <x v="6"/>
    <s v="페이스북/인스타그램"/>
    <x v="13"/>
    <x v="0"/>
    <x v="0"/>
    <m/>
    <m/>
    <n v="20374"/>
    <m/>
    <m/>
    <m/>
  </r>
  <r>
    <x v="481"/>
    <x v="6"/>
    <s v="페이스북/인스타그램"/>
    <x v="0"/>
    <x v="0"/>
    <x v="0"/>
    <m/>
    <m/>
    <n v="501611"/>
    <m/>
    <m/>
    <m/>
  </r>
  <r>
    <x v="479"/>
    <x v="2"/>
    <s v="네이버 GFA"/>
    <x v="7"/>
    <x v="0"/>
    <x v="0"/>
    <m/>
    <m/>
    <n v="74490.90909090909"/>
    <m/>
    <m/>
    <m/>
  </r>
  <r>
    <x v="479"/>
    <x v="2"/>
    <s v="네이버 GFA"/>
    <x v="7"/>
    <x v="0"/>
    <x v="0"/>
    <m/>
    <m/>
    <n v="832594.5454545454"/>
    <m/>
    <m/>
    <m/>
  </r>
  <r>
    <x v="479"/>
    <x v="2"/>
    <s v="네이버 GFA"/>
    <x v="0"/>
    <x v="0"/>
    <x v="0"/>
    <m/>
    <m/>
    <n v="1186129.090909091"/>
    <m/>
    <m/>
    <m/>
  </r>
  <r>
    <x v="480"/>
    <x v="5"/>
    <s v="네이버 GFA"/>
    <x v="0"/>
    <x v="0"/>
    <x v="0"/>
    <m/>
    <m/>
    <n v="0"/>
    <m/>
    <m/>
    <m/>
  </r>
  <r>
    <x v="480"/>
    <x v="5"/>
    <s v="네이버 GFA"/>
    <x v="7"/>
    <x v="0"/>
    <x v="0"/>
    <m/>
    <m/>
    <n v="230190.9090909091"/>
    <m/>
    <m/>
    <m/>
  </r>
  <r>
    <x v="480"/>
    <x v="5"/>
    <s v="네이버 GFA"/>
    <x v="7"/>
    <x v="0"/>
    <x v="0"/>
    <m/>
    <m/>
    <n v="1315490"/>
    <m/>
    <m/>
    <m/>
  </r>
  <r>
    <x v="480"/>
    <x v="5"/>
    <s v="네이버 GFA"/>
    <x v="0"/>
    <x v="0"/>
    <x v="0"/>
    <m/>
    <m/>
    <n v="473944.5454545454"/>
    <m/>
    <m/>
    <m/>
  </r>
  <r>
    <x v="481"/>
    <x v="6"/>
    <s v="네이버 GFA"/>
    <x v="0"/>
    <x v="0"/>
    <x v="0"/>
    <m/>
    <m/>
    <n v="0"/>
    <m/>
    <m/>
    <m/>
  </r>
  <r>
    <x v="481"/>
    <x v="6"/>
    <s v="네이버 GFA"/>
    <x v="7"/>
    <x v="0"/>
    <x v="0"/>
    <m/>
    <m/>
    <n v="363636.3636363636"/>
    <m/>
    <m/>
    <m/>
  </r>
  <r>
    <x v="481"/>
    <x v="6"/>
    <s v="네이버 GFA"/>
    <x v="7"/>
    <x v="0"/>
    <x v="0"/>
    <m/>
    <m/>
    <n v="1606093.636363636"/>
    <m/>
    <m/>
    <m/>
  </r>
  <r>
    <x v="481"/>
    <x v="6"/>
    <s v="네이버 GFA"/>
    <x v="0"/>
    <x v="0"/>
    <x v="0"/>
    <m/>
    <m/>
    <n v="308248.1818181818"/>
    <m/>
    <m/>
    <m/>
  </r>
  <r>
    <x v="479"/>
    <x v="2"/>
    <s v="네이버 쇼핑검색"/>
    <x v="10"/>
    <x v="0"/>
    <x v="0"/>
    <m/>
    <m/>
    <n v="34870"/>
    <m/>
    <m/>
    <m/>
  </r>
  <r>
    <x v="479"/>
    <x v="2"/>
    <s v="네이버 쇼핑검색"/>
    <x v="10"/>
    <x v="0"/>
    <x v="0"/>
    <m/>
    <m/>
    <n v="4590"/>
    <m/>
    <m/>
    <m/>
  </r>
  <r>
    <x v="480"/>
    <x v="5"/>
    <s v="네이버 쇼핑검색"/>
    <x v="10"/>
    <x v="0"/>
    <x v="0"/>
    <m/>
    <m/>
    <n v="30750"/>
    <m/>
    <m/>
    <m/>
  </r>
  <r>
    <x v="480"/>
    <x v="5"/>
    <s v="네이버 쇼핑검색"/>
    <x v="10"/>
    <x v="0"/>
    <x v="0"/>
    <m/>
    <m/>
    <n v="399.9999999999999"/>
    <m/>
    <m/>
    <m/>
  </r>
  <r>
    <x v="481"/>
    <x v="6"/>
    <s v="네이버 쇼핑검색"/>
    <x v="10"/>
    <x v="0"/>
    <x v="0"/>
    <m/>
    <m/>
    <n v="37280"/>
    <m/>
    <m/>
    <m/>
  </r>
  <r>
    <x v="481"/>
    <x v="6"/>
    <s v="네이버 쇼핑검색"/>
    <x v="10"/>
    <x v="0"/>
    <x v="0"/>
    <m/>
    <m/>
    <n v="1250"/>
    <m/>
    <m/>
    <m/>
  </r>
  <r>
    <x v="479"/>
    <x v="2"/>
    <s v="카카오광고"/>
    <x v="0"/>
    <x v="0"/>
    <x v="0"/>
    <m/>
    <m/>
    <n v="1680"/>
    <m/>
    <m/>
    <m/>
  </r>
  <r>
    <x v="479"/>
    <x v="2"/>
    <s v="카카오광고"/>
    <x v="5"/>
    <x v="0"/>
    <x v="0"/>
    <m/>
    <m/>
    <n v="0"/>
    <m/>
    <m/>
    <m/>
  </r>
  <r>
    <x v="479"/>
    <x v="2"/>
    <s v="카카오광고"/>
    <x v="5"/>
    <x v="0"/>
    <x v="0"/>
    <m/>
    <m/>
    <n v="0"/>
    <m/>
    <m/>
    <m/>
  </r>
  <r>
    <x v="480"/>
    <x v="5"/>
    <s v="카카오광고"/>
    <x v="0"/>
    <x v="0"/>
    <x v="0"/>
    <m/>
    <m/>
    <n v="399.9999999999999"/>
    <m/>
    <m/>
    <m/>
  </r>
  <r>
    <x v="480"/>
    <x v="5"/>
    <s v="카카오광고"/>
    <x v="5"/>
    <x v="0"/>
    <x v="0"/>
    <m/>
    <m/>
    <n v="0"/>
    <m/>
    <m/>
    <m/>
  </r>
  <r>
    <x v="480"/>
    <x v="5"/>
    <s v="카카오광고"/>
    <x v="5"/>
    <x v="0"/>
    <x v="0"/>
    <m/>
    <m/>
    <n v="0"/>
    <m/>
    <m/>
    <m/>
  </r>
  <r>
    <x v="481"/>
    <x v="6"/>
    <s v="카카오광고"/>
    <x v="0"/>
    <x v="0"/>
    <x v="0"/>
    <m/>
    <m/>
    <n v="449.9999999999999"/>
    <m/>
    <m/>
    <m/>
  </r>
  <r>
    <x v="481"/>
    <x v="6"/>
    <s v="카카오광고"/>
    <x v="5"/>
    <x v="0"/>
    <x v="0"/>
    <m/>
    <m/>
    <n v="662205"/>
    <m/>
    <m/>
    <m/>
  </r>
  <r>
    <x v="481"/>
    <x v="6"/>
    <s v="카카오광고"/>
    <x v="5"/>
    <x v="0"/>
    <x v="0"/>
    <m/>
    <m/>
    <n v="0"/>
    <m/>
    <m/>
    <m/>
  </r>
  <r>
    <x v="479"/>
    <x v="2"/>
    <s v="유튜브 디스커버리"/>
    <x v="0"/>
    <x v="0"/>
    <x v="0"/>
    <m/>
    <m/>
    <n v="164292"/>
    <m/>
    <m/>
    <m/>
  </r>
  <r>
    <x v="479"/>
    <x v="2"/>
    <s v="유튜브 디스커버리"/>
    <x v="0"/>
    <x v="0"/>
    <x v="0"/>
    <m/>
    <m/>
    <n v="7924"/>
    <m/>
    <m/>
    <m/>
  </r>
  <r>
    <x v="479"/>
    <x v="2"/>
    <s v="유튜브 디스커버리"/>
    <x v="17"/>
    <x v="0"/>
    <x v="0"/>
    <m/>
    <m/>
    <n v="200"/>
    <m/>
    <m/>
    <m/>
  </r>
  <r>
    <x v="479"/>
    <x v="2"/>
    <s v="유튜브 디스커버리"/>
    <x v="17"/>
    <x v="0"/>
    <x v="0"/>
    <m/>
    <m/>
    <n v="10942"/>
    <m/>
    <m/>
    <m/>
  </r>
  <r>
    <x v="479"/>
    <x v="2"/>
    <s v="유튜브 디스커버리"/>
    <x v="0"/>
    <x v="0"/>
    <x v="0"/>
    <m/>
    <m/>
    <n v="35138"/>
    <m/>
    <m/>
    <m/>
  </r>
  <r>
    <x v="479"/>
    <x v="2"/>
    <s v="유튜브 디스커버리"/>
    <x v="0"/>
    <x v="0"/>
    <x v="0"/>
    <m/>
    <m/>
    <n v="12350"/>
    <m/>
    <m/>
    <m/>
  </r>
  <r>
    <x v="479"/>
    <x v="2"/>
    <s v="유튜브 디스커버리"/>
    <x v="0"/>
    <x v="0"/>
    <x v="0"/>
    <m/>
    <m/>
    <n v="668"/>
    <m/>
    <m/>
    <m/>
  </r>
  <r>
    <x v="480"/>
    <x v="5"/>
    <s v="유튜브 디스커버리"/>
    <x v="0"/>
    <x v="0"/>
    <x v="0"/>
    <m/>
    <m/>
    <n v="25405"/>
    <m/>
    <m/>
    <m/>
  </r>
  <r>
    <x v="480"/>
    <x v="5"/>
    <s v="유튜브 디스커버리"/>
    <x v="17"/>
    <x v="0"/>
    <x v="0"/>
    <m/>
    <m/>
    <n v="23961"/>
    <m/>
    <m/>
    <m/>
  </r>
  <r>
    <x v="480"/>
    <x v="5"/>
    <s v="유튜브 디스커버리"/>
    <x v="0"/>
    <x v="0"/>
    <x v="0"/>
    <m/>
    <m/>
    <n v="65204"/>
    <m/>
    <m/>
    <m/>
  </r>
  <r>
    <x v="480"/>
    <x v="5"/>
    <s v="유튜브 디스커버리"/>
    <x v="0"/>
    <x v="0"/>
    <x v="0"/>
    <m/>
    <m/>
    <n v="4916"/>
    <m/>
    <m/>
    <m/>
  </r>
  <r>
    <x v="480"/>
    <x v="5"/>
    <s v="유튜브 디스커버리"/>
    <x v="0"/>
    <x v="0"/>
    <x v="0"/>
    <m/>
    <m/>
    <n v="1242"/>
    <m/>
    <m/>
    <m/>
  </r>
  <r>
    <x v="480"/>
    <x v="5"/>
    <s v="유튜브 디스커버리"/>
    <x v="17"/>
    <x v="0"/>
    <x v="0"/>
    <m/>
    <m/>
    <n v="175"/>
    <m/>
    <m/>
    <m/>
  </r>
  <r>
    <x v="480"/>
    <x v="5"/>
    <s v="유튜브 디스커버리"/>
    <x v="0"/>
    <x v="0"/>
    <x v="0"/>
    <m/>
    <m/>
    <n v="374"/>
    <m/>
    <m/>
    <m/>
  </r>
  <r>
    <x v="481"/>
    <x v="6"/>
    <s v="유튜브 디스커버리"/>
    <x v="0"/>
    <x v="0"/>
    <x v="0"/>
    <m/>
    <m/>
    <n v="16076"/>
    <m/>
    <m/>
    <m/>
  </r>
  <r>
    <x v="481"/>
    <x v="6"/>
    <s v="유튜브 디스커버리"/>
    <x v="0"/>
    <x v="0"/>
    <x v="0"/>
    <m/>
    <m/>
    <n v="50507"/>
    <m/>
    <m/>
    <m/>
  </r>
  <r>
    <x v="481"/>
    <x v="6"/>
    <s v="유튜브 디스커버리"/>
    <x v="0"/>
    <x v="0"/>
    <x v="0"/>
    <m/>
    <m/>
    <n v="55"/>
    <m/>
    <m/>
    <m/>
  </r>
  <r>
    <x v="481"/>
    <x v="6"/>
    <s v="유튜브 디스커버리"/>
    <x v="0"/>
    <x v="0"/>
    <x v="0"/>
    <m/>
    <m/>
    <n v="65457"/>
    <m/>
    <m/>
    <m/>
  </r>
  <r>
    <x v="481"/>
    <x v="6"/>
    <s v="유튜브 디스커버리"/>
    <x v="0"/>
    <x v="0"/>
    <x v="0"/>
    <m/>
    <m/>
    <n v="8256"/>
    <m/>
    <m/>
    <m/>
  </r>
  <r>
    <x v="481"/>
    <x v="6"/>
    <s v="유튜브 디스커버리"/>
    <x v="0"/>
    <x v="0"/>
    <x v="0"/>
    <m/>
    <m/>
    <n v="956"/>
    <m/>
    <m/>
    <m/>
  </r>
  <r>
    <x v="481"/>
    <x v="6"/>
    <s v="유튜브 디스커버리"/>
    <x v="0"/>
    <x v="0"/>
    <x v="0"/>
    <m/>
    <m/>
    <n v="12840"/>
    <m/>
    <m/>
    <m/>
  </r>
  <r>
    <x v="481"/>
    <x v="6"/>
    <s v="유튜브 디스커버리"/>
    <x v="0"/>
    <x v="0"/>
    <x v="0"/>
    <m/>
    <m/>
    <n v="32391"/>
    <m/>
    <m/>
    <m/>
  </r>
  <r>
    <x v="481"/>
    <x v="6"/>
    <s v="유튜브 디스커버리"/>
    <x v="0"/>
    <x v="0"/>
    <x v="0"/>
    <m/>
    <m/>
    <n v="210"/>
    <m/>
    <m/>
    <m/>
  </r>
  <r>
    <x v="481"/>
    <x v="6"/>
    <s v="유튜브 디스커버리"/>
    <x v="17"/>
    <x v="0"/>
    <x v="0"/>
    <m/>
    <m/>
    <n v="40248"/>
    <m/>
    <m/>
    <m/>
  </r>
  <r>
    <x v="481"/>
    <x v="6"/>
    <s v="유튜브 디스커버리"/>
    <x v="17"/>
    <x v="0"/>
    <x v="0"/>
    <m/>
    <m/>
    <n v="410"/>
    <m/>
    <m/>
    <m/>
  </r>
  <r>
    <x v="482"/>
    <x v="3"/>
    <s v="페이스북/인스타그램"/>
    <x v="7"/>
    <x v="0"/>
    <x v="0"/>
    <m/>
    <m/>
    <n v="349027"/>
    <m/>
    <m/>
    <m/>
  </r>
  <r>
    <x v="482"/>
    <x v="3"/>
    <s v="페이스북/인스타그램"/>
    <x v="13"/>
    <x v="0"/>
    <x v="0"/>
    <m/>
    <m/>
    <n v="28483"/>
    <m/>
    <m/>
    <m/>
  </r>
  <r>
    <x v="482"/>
    <x v="3"/>
    <s v="페이스북/인스타그램"/>
    <x v="0"/>
    <x v="0"/>
    <x v="0"/>
    <m/>
    <m/>
    <n v="760084"/>
    <m/>
    <m/>
    <m/>
  </r>
  <r>
    <x v="482"/>
    <x v="3"/>
    <s v="네이버 GFA"/>
    <x v="7"/>
    <x v="0"/>
    <x v="0"/>
    <m/>
    <m/>
    <n v="386729.0909090909"/>
    <m/>
    <m/>
    <m/>
  </r>
  <r>
    <x v="482"/>
    <x v="3"/>
    <s v="네이버 GFA"/>
    <x v="7"/>
    <x v="0"/>
    <x v="0"/>
    <m/>
    <m/>
    <n v="1273889.090909091"/>
    <m/>
    <m/>
    <m/>
  </r>
  <r>
    <x v="482"/>
    <x v="3"/>
    <s v="네이버 GFA"/>
    <x v="0"/>
    <x v="0"/>
    <x v="0"/>
    <m/>
    <m/>
    <n v="359906.3636363636"/>
    <m/>
    <m/>
    <m/>
  </r>
  <r>
    <x v="482"/>
    <x v="3"/>
    <s v="네이버 쇼핑검색"/>
    <x v="10"/>
    <x v="0"/>
    <x v="0"/>
    <m/>
    <m/>
    <n v="48429.99999999999"/>
    <m/>
    <m/>
    <m/>
  </r>
  <r>
    <x v="482"/>
    <x v="3"/>
    <s v="네이버 쇼핑검색"/>
    <x v="10"/>
    <x v="0"/>
    <x v="0"/>
    <m/>
    <m/>
    <n v="5430"/>
    <m/>
    <m/>
    <m/>
  </r>
  <r>
    <x v="482"/>
    <x v="3"/>
    <s v="네이버 쇼핑박스"/>
    <x v="7"/>
    <x v="0"/>
    <x v="0"/>
    <m/>
    <m/>
    <n v="649350.64"/>
    <m/>
    <m/>
    <m/>
  </r>
  <r>
    <x v="482"/>
    <x v="3"/>
    <s v="카카오광고"/>
    <x v="0"/>
    <x v="0"/>
    <x v="0"/>
    <m/>
    <m/>
    <n v="429.9999999999999"/>
    <m/>
    <m/>
    <m/>
  </r>
  <r>
    <x v="482"/>
    <x v="3"/>
    <s v="카카오광고"/>
    <x v="0"/>
    <x v="0"/>
    <x v="0"/>
    <m/>
    <m/>
    <n v="180"/>
    <m/>
    <m/>
    <m/>
  </r>
  <r>
    <x v="482"/>
    <x v="3"/>
    <s v="유튜브 디스커버리"/>
    <x v="0"/>
    <x v="0"/>
    <x v="0"/>
    <m/>
    <m/>
    <n v="59"/>
    <m/>
    <m/>
    <m/>
  </r>
  <r>
    <x v="482"/>
    <x v="3"/>
    <s v="유튜브 디스커버리"/>
    <x v="17"/>
    <x v="0"/>
    <x v="0"/>
    <m/>
    <m/>
    <n v="110"/>
    <m/>
    <m/>
    <m/>
  </r>
  <r>
    <x v="482"/>
    <x v="3"/>
    <s v="유튜브 디스커버리"/>
    <x v="0"/>
    <x v="0"/>
    <x v="0"/>
    <m/>
    <m/>
    <n v="138"/>
    <m/>
    <m/>
    <m/>
  </r>
  <r>
    <x v="482"/>
    <x v="3"/>
    <s v="유튜브 디스커버리"/>
    <x v="0"/>
    <x v="0"/>
    <x v="0"/>
    <m/>
    <m/>
    <n v="51328"/>
    <m/>
    <m/>
    <m/>
  </r>
  <r>
    <x v="482"/>
    <x v="3"/>
    <s v="유튜브 디스커버리"/>
    <x v="0"/>
    <x v="0"/>
    <x v="0"/>
    <m/>
    <m/>
    <n v="64642"/>
    <m/>
    <m/>
    <m/>
  </r>
  <r>
    <x v="482"/>
    <x v="3"/>
    <s v="유튜브 디스커버리"/>
    <x v="0"/>
    <x v="0"/>
    <x v="0"/>
    <m/>
    <m/>
    <n v="1285"/>
    <m/>
    <m/>
    <m/>
  </r>
  <r>
    <x v="482"/>
    <x v="3"/>
    <s v="유튜브 디스커버리"/>
    <x v="0"/>
    <x v="0"/>
    <x v="0"/>
    <m/>
    <m/>
    <n v="105001"/>
    <m/>
    <m/>
    <m/>
  </r>
  <r>
    <x v="482"/>
    <x v="3"/>
    <s v="유튜브 디스커버리"/>
    <x v="17"/>
    <x v="0"/>
    <x v="0"/>
    <m/>
    <m/>
    <n v="83454"/>
    <m/>
    <m/>
    <m/>
  </r>
  <r>
    <x v="482"/>
    <x v="3"/>
    <s v="유튜브 디스커버리"/>
    <x v="0"/>
    <x v="0"/>
    <x v="0"/>
    <m/>
    <m/>
    <n v="25359"/>
    <m/>
    <m/>
    <m/>
  </r>
  <r>
    <x v="482"/>
    <x v="3"/>
    <s v="유튜브 디스커버리"/>
    <x v="0"/>
    <x v="0"/>
    <x v="0"/>
    <m/>
    <m/>
    <n v="284246"/>
    <m/>
    <m/>
    <m/>
  </r>
  <r>
    <x v="482"/>
    <x v="3"/>
    <s v="유튜브 디스커버리"/>
    <x v="0"/>
    <x v="0"/>
    <x v="0"/>
    <m/>
    <m/>
    <n v="28383"/>
    <m/>
    <m/>
    <m/>
  </r>
  <r>
    <x v="482"/>
    <x v="3"/>
    <s v="유튜브 디스커버리"/>
    <x v="0"/>
    <x v="0"/>
    <x v="0"/>
    <m/>
    <m/>
    <n v="1004"/>
    <m/>
    <m/>
    <m/>
  </r>
  <r>
    <x v="482"/>
    <x v="3"/>
    <s v="유튜브 디스커버리"/>
    <x v="0"/>
    <x v="0"/>
    <x v="0"/>
    <m/>
    <m/>
    <n v="10073"/>
    <m/>
    <m/>
    <m/>
  </r>
  <r>
    <x v="482"/>
    <x v="3"/>
    <s v="유튜브 디스커버리"/>
    <x v="0"/>
    <x v="0"/>
    <x v="0"/>
    <m/>
    <m/>
    <n v="44411"/>
    <m/>
    <m/>
    <m/>
  </r>
  <r>
    <x v="482"/>
    <x v="3"/>
    <s v="유튜브 디스커버리"/>
    <x v="0"/>
    <x v="0"/>
    <x v="0"/>
    <m/>
    <m/>
    <n v="1127"/>
    <m/>
    <m/>
    <m/>
  </r>
  <r>
    <x v="483"/>
    <x v="4"/>
    <s v="페이스북/인스타그램"/>
    <x v="7"/>
    <x v="0"/>
    <x v="0"/>
    <m/>
    <m/>
    <n v="444208"/>
    <m/>
    <m/>
    <m/>
  </r>
  <r>
    <x v="483"/>
    <x v="4"/>
    <s v="페이스북/인스타그램"/>
    <x v="13"/>
    <x v="0"/>
    <x v="0"/>
    <m/>
    <m/>
    <n v="29349"/>
    <m/>
    <m/>
    <m/>
  </r>
  <r>
    <x v="483"/>
    <x v="4"/>
    <s v="페이스북/인스타그램"/>
    <x v="0"/>
    <x v="0"/>
    <x v="0"/>
    <m/>
    <m/>
    <n v="763309"/>
    <m/>
    <m/>
    <m/>
  </r>
  <r>
    <x v="483"/>
    <x v="4"/>
    <s v="네이버 GFA"/>
    <x v="7"/>
    <x v="0"/>
    <x v="0"/>
    <m/>
    <m/>
    <n v="471122.7272727272"/>
    <m/>
    <m/>
    <m/>
  </r>
  <r>
    <x v="483"/>
    <x v="4"/>
    <s v="네이버 GFA"/>
    <x v="7"/>
    <x v="0"/>
    <x v="0"/>
    <m/>
    <m/>
    <n v="1741337.272727272"/>
    <m/>
    <m/>
    <m/>
  </r>
  <r>
    <x v="483"/>
    <x v="4"/>
    <s v="네이버 GFA"/>
    <x v="0"/>
    <x v="0"/>
    <x v="0"/>
    <m/>
    <m/>
    <n v="1290054.545454545"/>
    <m/>
    <m/>
    <m/>
  </r>
  <r>
    <x v="483"/>
    <x v="4"/>
    <s v="네이버 쇼핑검색"/>
    <x v="10"/>
    <x v="0"/>
    <x v="0"/>
    <m/>
    <m/>
    <n v="54169.99999999999"/>
    <m/>
    <m/>
    <m/>
  </r>
  <r>
    <x v="483"/>
    <x v="4"/>
    <s v="네이버 쇼핑검색"/>
    <x v="10"/>
    <x v="0"/>
    <x v="0"/>
    <m/>
    <m/>
    <n v="3970"/>
    <m/>
    <m/>
    <m/>
  </r>
  <r>
    <x v="483"/>
    <x v="4"/>
    <s v="네이버 쇼핑박스"/>
    <x v="7"/>
    <x v="0"/>
    <x v="0"/>
    <m/>
    <m/>
    <n v="649350.64"/>
    <m/>
    <m/>
    <m/>
  </r>
  <r>
    <x v="483"/>
    <x v="4"/>
    <s v="카카오광고"/>
    <x v="0"/>
    <x v="0"/>
    <x v="0"/>
    <m/>
    <m/>
    <n v="759.9999999999999"/>
    <m/>
    <m/>
    <m/>
  </r>
  <r>
    <x v="483"/>
    <x v="4"/>
    <s v="카카오광고"/>
    <x v="0"/>
    <x v="0"/>
    <x v="0"/>
    <m/>
    <m/>
    <n v="98389.99999999999"/>
    <m/>
    <m/>
    <m/>
  </r>
  <r>
    <x v="483"/>
    <x v="4"/>
    <s v="유튜브 디스커버리"/>
    <x v="0"/>
    <x v="0"/>
    <x v="0"/>
    <m/>
    <m/>
    <n v="124863"/>
    <m/>
    <m/>
    <m/>
  </r>
  <r>
    <x v="483"/>
    <x v="4"/>
    <s v="유튜브 디스커버리"/>
    <x v="0"/>
    <x v="0"/>
    <x v="0"/>
    <m/>
    <m/>
    <n v="51853"/>
    <m/>
    <m/>
    <m/>
  </r>
  <r>
    <x v="483"/>
    <x v="4"/>
    <s v="유튜브 디스커버리"/>
    <x v="0"/>
    <x v="0"/>
    <x v="0"/>
    <m/>
    <m/>
    <n v="354093"/>
    <m/>
    <m/>
    <m/>
  </r>
  <r>
    <x v="483"/>
    <x v="4"/>
    <s v="유튜브 디스커버리"/>
    <x v="0"/>
    <x v="0"/>
    <x v="0"/>
    <m/>
    <m/>
    <n v="408282"/>
    <m/>
    <m/>
    <m/>
  </r>
  <r>
    <x v="483"/>
    <x v="4"/>
    <s v="유튜브 디스커버리"/>
    <x v="0"/>
    <x v="0"/>
    <x v="0"/>
    <m/>
    <m/>
    <n v="70349"/>
    <m/>
    <m/>
    <m/>
  </r>
  <r>
    <x v="483"/>
    <x v="4"/>
    <s v="유튜브 디스커버리"/>
    <x v="17"/>
    <x v="0"/>
    <x v="0"/>
    <m/>
    <m/>
    <n v="239"/>
    <m/>
    <m/>
    <m/>
  </r>
  <r>
    <x v="483"/>
    <x v="4"/>
    <s v="유튜브 디스커버리"/>
    <x v="0"/>
    <x v="0"/>
    <x v="0"/>
    <m/>
    <m/>
    <n v="108354"/>
    <m/>
    <m/>
    <m/>
  </r>
  <r>
    <x v="483"/>
    <x v="4"/>
    <s v="유튜브 디스커버리"/>
    <x v="17"/>
    <x v="0"/>
    <x v="0"/>
    <m/>
    <m/>
    <n v="45951"/>
    <m/>
    <m/>
    <m/>
  </r>
  <r>
    <x v="483"/>
    <x v="4"/>
    <s v="유튜브 디스커버리"/>
    <x v="0"/>
    <x v="0"/>
    <x v="0"/>
    <m/>
    <m/>
    <n v="86944"/>
    <m/>
    <m/>
    <m/>
  </r>
  <r>
    <x v="483"/>
    <x v="4"/>
    <s v="유튜브 디스커버리"/>
    <x v="0"/>
    <x v="0"/>
    <x v="0"/>
    <m/>
    <m/>
    <n v="101569"/>
    <m/>
    <m/>
    <m/>
  </r>
  <r>
    <x v="483"/>
    <x v="4"/>
    <s v="유튜브 디스커버리"/>
    <x v="0"/>
    <x v="0"/>
    <x v="0"/>
    <m/>
    <m/>
    <n v="34245"/>
    <m/>
    <m/>
    <m/>
  </r>
  <r>
    <x v="483"/>
    <x v="4"/>
    <s v="유튜브 디스커버리"/>
    <x v="0"/>
    <x v="0"/>
    <x v="0"/>
    <m/>
    <m/>
    <n v="61989"/>
    <m/>
    <m/>
    <m/>
  </r>
  <r>
    <x v="483"/>
    <x v="4"/>
    <s v="유튜브 디스커버리"/>
    <x v="0"/>
    <x v="0"/>
    <x v="0"/>
    <m/>
    <m/>
    <n v="68255"/>
    <m/>
    <m/>
    <m/>
  </r>
  <r>
    <x v="483"/>
    <x v="4"/>
    <s v="유튜브 디스커버리"/>
    <x v="0"/>
    <x v="0"/>
    <x v="0"/>
    <m/>
    <m/>
    <n v="48943"/>
    <m/>
    <m/>
    <m/>
  </r>
  <r>
    <x v="483"/>
    <x v="4"/>
    <s v="유튜브 디스커버리"/>
    <x v="0"/>
    <x v="0"/>
    <x v="0"/>
    <m/>
    <m/>
    <n v="26425"/>
    <m/>
    <m/>
    <m/>
  </r>
  <r>
    <x v="483"/>
    <x v="4"/>
    <s v="유튜브 디스커버리"/>
    <x v="0"/>
    <x v="0"/>
    <x v="0"/>
    <m/>
    <m/>
    <n v="162112"/>
    <m/>
    <m/>
    <m/>
  </r>
  <r>
    <x v="483"/>
    <x v="4"/>
    <s v="유튜브 디스커버리"/>
    <x v="0"/>
    <x v="0"/>
    <x v="0"/>
    <m/>
    <m/>
    <n v="70062"/>
    <m/>
    <m/>
    <m/>
  </r>
  <r>
    <x v="483"/>
    <x v="4"/>
    <s v="유튜브 디스커버리"/>
    <x v="0"/>
    <x v="0"/>
    <x v="0"/>
    <m/>
    <m/>
    <n v="1417"/>
    <m/>
    <m/>
    <m/>
  </r>
  <r>
    <x v="483"/>
    <x v="4"/>
    <s v="유튜브 디스커버리"/>
    <x v="0"/>
    <x v="0"/>
    <x v="0"/>
    <m/>
    <m/>
    <n v="480132"/>
    <m/>
    <m/>
    <m/>
  </r>
  <r>
    <x v="484"/>
    <x v="1"/>
    <s v="페이스북/인스타그램"/>
    <x v="7"/>
    <x v="0"/>
    <x v="0"/>
    <m/>
    <m/>
    <n v="482361"/>
    <m/>
    <m/>
    <m/>
  </r>
  <r>
    <x v="484"/>
    <x v="1"/>
    <s v="페이스북/인스타그램"/>
    <x v="13"/>
    <x v="0"/>
    <x v="0"/>
    <m/>
    <m/>
    <n v="29657"/>
    <m/>
    <m/>
    <m/>
  </r>
  <r>
    <x v="484"/>
    <x v="1"/>
    <s v="페이스북/인스타그램"/>
    <x v="0"/>
    <x v="0"/>
    <x v="0"/>
    <m/>
    <m/>
    <n v="847301"/>
    <m/>
    <m/>
    <m/>
  </r>
  <r>
    <x v="484"/>
    <x v="1"/>
    <s v="네이버 GFA"/>
    <x v="0"/>
    <x v="0"/>
    <x v="0"/>
    <m/>
    <m/>
    <n v="49696.36363636363"/>
    <m/>
    <m/>
    <m/>
  </r>
  <r>
    <x v="484"/>
    <x v="1"/>
    <s v="네이버 GFA"/>
    <x v="7"/>
    <x v="0"/>
    <x v="0"/>
    <m/>
    <m/>
    <n v="570630.9090909091"/>
    <m/>
    <m/>
    <m/>
  </r>
  <r>
    <x v="484"/>
    <x v="1"/>
    <s v="네이버 GFA"/>
    <x v="7"/>
    <x v="0"/>
    <x v="0"/>
    <m/>
    <m/>
    <n v="1720624.545454545"/>
    <m/>
    <m/>
    <m/>
  </r>
  <r>
    <x v="484"/>
    <x v="1"/>
    <s v="네이버 GFA"/>
    <x v="0"/>
    <x v="0"/>
    <x v="0"/>
    <m/>
    <m/>
    <n v="867085.4545454545"/>
    <m/>
    <m/>
    <m/>
  </r>
  <r>
    <x v="484"/>
    <x v="1"/>
    <s v="네이버 쇼핑검색"/>
    <x v="10"/>
    <x v="0"/>
    <x v="0"/>
    <m/>
    <m/>
    <n v="45339.99999999999"/>
    <m/>
    <m/>
    <m/>
  </r>
  <r>
    <x v="484"/>
    <x v="1"/>
    <s v="네이버 쇼핑검색"/>
    <x v="10"/>
    <x v="0"/>
    <x v="0"/>
    <m/>
    <m/>
    <n v="4530"/>
    <m/>
    <m/>
    <m/>
  </r>
  <r>
    <x v="484"/>
    <x v="1"/>
    <s v="네이버 쇼핑박스"/>
    <x v="7"/>
    <x v="0"/>
    <x v="0"/>
    <m/>
    <m/>
    <n v="649350.64"/>
    <m/>
    <m/>
    <m/>
  </r>
  <r>
    <x v="484"/>
    <x v="1"/>
    <s v="카카오광고"/>
    <x v="0"/>
    <x v="0"/>
    <x v="0"/>
    <m/>
    <m/>
    <n v="819.9999999999999"/>
    <m/>
    <m/>
    <m/>
  </r>
  <r>
    <x v="484"/>
    <x v="1"/>
    <s v="카카오광고"/>
    <x v="0"/>
    <x v="0"/>
    <x v="0"/>
    <m/>
    <m/>
    <n v="187960"/>
    <m/>
    <m/>
    <m/>
  </r>
  <r>
    <x v="484"/>
    <x v="1"/>
    <s v="유튜브 디스커버리"/>
    <x v="0"/>
    <x v="0"/>
    <x v="0"/>
    <m/>
    <m/>
    <n v="610297"/>
    <m/>
    <m/>
    <m/>
  </r>
  <r>
    <x v="484"/>
    <x v="1"/>
    <s v="유튜브 디스커버리"/>
    <x v="0"/>
    <x v="0"/>
    <x v="0"/>
    <m/>
    <m/>
    <n v="137314"/>
    <m/>
    <m/>
    <m/>
  </r>
  <r>
    <x v="484"/>
    <x v="1"/>
    <s v="유튜브 디스커버리"/>
    <x v="0"/>
    <x v="0"/>
    <x v="0"/>
    <m/>
    <m/>
    <n v="40764"/>
    <m/>
    <m/>
    <m/>
  </r>
  <r>
    <x v="484"/>
    <x v="1"/>
    <s v="유튜브 디스커버리"/>
    <x v="17"/>
    <x v="0"/>
    <x v="0"/>
    <m/>
    <m/>
    <n v="1092"/>
    <m/>
    <m/>
    <m/>
  </r>
  <r>
    <x v="484"/>
    <x v="1"/>
    <s v="유튜브 디스커버리"/>
    <x v="0"/>
    <x v="0"/>
    <x v="0"/>
    <m/>
    <m/>
    <n v="409021"/>
    <m/>
    <m/>
    <m/>
  </r>
  <r>
    <x v="484"/>
    <x v="1"/>
    <s v="유튜브 디스커버리"/>
    <x v="0"/>
    <x v="0"/>
    <x v="0"/>
    <m/>
    <m/>
    <n v="384862"/>
    <m/>
    <m/>
    <m/>
  </r>
  <r>
    <x v="484"/>
    <x v="1"/>
    <s v="유튜브 디스커버리"/>
    <x v="0"/>
    <x v="0"/>
    <x v="0"/>
    <m/>
    <m/>
    <n v="51733"/>
    <m/>
    <m/>
    <m/>
  </r>
  <r>
    <x v="484"/>
    <x v="1"/>
    <s v="유튜브 디스커버리"/>
    <x v="0"/>
    <x v="0"/>
    <x v="0"/>
    <m/>
    <m/>
    <n v="1138"/>
    <m/>
    <m/>
    <m/>
  </r>
  <r>
    <x v="484"/>
    <x v="1"/>
    <s v="유튜브 디스커버리"/>
    <x v="0"/>
    <x v="0"/>
    <x v="0"/>
    <m/>
    <m/>
    <n v="144562"/>
    <m/>
    <m/>
    <m/>
  </r>
  <r>
    <x v="484"/>
    <x v="1"/>
    <s v="유튜브 디스커버리"/>
    <x v="0"/>
    <x v="0"/>
    <x v="0"/>
    <m/>
    <m/>
    <n v="206975"/>
    <m/>
    <m/>
    <m/>
  </r>
  <r>
    <x v="484"/>
    <x v="1"/>
    <s v="유튜브 디스커버리"/>
    <x v="0"/>
    <x v="0"/>
    <x v="0"/>
    <m/>
    <m/>
    <n v="96409"/>
    <m/>
    <m/>
    <m/>
  </r>
  <r>
    <x v="484"/>
    <x v="1"/>
    <s v="유튜브 디스커버리"/>
    <x v="0"/>
    <x v="0"/>
    <x v="0"/>
    <m/>
    <m/>
    <n v="199780"/>
    <m/>
    <m/>
    <m/>
  </r>
  <r>
    <x v="484"/>
    <x v="1"/>
    <s v="유튜브 디스커버리"/>
    <x v="0"/>
    <x v="0"/>
    <x v="0"/>
    <m/>
    <m/>
    <n v="179"/>
    <m/>
    <m/>
    <m/>
  </r>
  <r>
    <x v="484"/>
    <x v="1"/>
    <s v="유튜브 디스커버리"/>
    <x v="0"/>
    <x v="0"/>
    <x v="0"/>
    <m/>
    <m/>
    <n v="52122"/>
    <m/>
    <m/>
    <m/>
  </r>
  <r>
    <x v="484"/>
    <x v="1"/>
    <s v="유튜브 디스커버리"/>
    <x v="0"/>
    <x v="0"/>
    <x v="0"/>
    <m/>
    <m/>
    <n v="52384"/>
    <m/>
    <m/>
    <m/>
  </r>
  <r>
    <x v="484"/>
    <x v="1"/>
    <s v="유튜브 디스커버리"/>
    <x v="0"/>
    <x v="0"/>
    <x v="0"/>
    <m/>
    <m/>
    <n v="1048718"/>
    <m/>
    <m/>
    <m/>
  </r>
  <r>
    <x v="484"/>
    <x v="1"/>
    <s v="유튜브 디스커버리"/>
    <x v="0"/>
    <x v="0"/>
    <x v="0"/>
    <m/>
    <m/>
    <n v="272079"/>
    <m/>
    <m/>
    <m/>
  </r>
  <r>
    <x v="484"/>
    <x v="1"/>
    <s v="유튜브 디스커버리"/>
    <x v="0"/>
    <x v="0"/>
    <x v="0"/>
    <m/>
    <m/>
    <n v="52679"/>
    <m/>
    <m/>
    <m/>
  </r>
  <r>
    <x v="484"/>
    <x v="1"/>
    <s v="유튜브 디스커버리"/>
    <x v="0"/>
    <x v="0"/>
    <x v="0"/>
    <m/>
    <m/>
    <n v="228342"/>
    <m/>
    <m/>
    <m/>
  </r>
  <r>
    <x v="484"/>
    <x v="1"/>
    <s v="유튜브 디스커버리"/>
    <x v="0"/>
    <x v="0"/>
    <x v="0"/>
    <m/>
    <m/>
    <n v="5240"/>
    <m/>
    <m/>
    <m/>
  </r>
  <r>
    <x v="484"/>
    <x v="1"/>
    <s v="유튜브 디스커버리"/>
    <x v="17"/>
    <x v="0"/>
    <x v="0"/>
    <m/>
    <m/>
    <n v="150266"/>
    <m/>
    <m/>
    <m/>
  </r>
  <r>
    <x v="484"/>
    <x v="1"/>
    <s v="유튜브 디스커버리"/>
    <x v="0"/>
    <x v="0"/>
    <x v="0"/>
    <m/>
    <m/>
    <n v="65553"/>
    <m/>
    <m/>
    <m/>
  </r>
  <r>
    <x v="485"/>
    <x v="0"/>
    <s v="페이스북/인스타그램"/>
    <x v="7"/>
    <x v="0"/>
    <x v="0"/>
    <m/>
    <m/>
    <n v="484946"/>
    <m/>
    <m/>
    <m/>
  </r>
  <r>
    <x v="485"/>
    <x v="0"/>
    <s v="페이스북/인스타그램"/>
    <x v="13"/>
    <x v="0"/>
    <x v="0"/>
    <m/>
    <m/>
    <n v="30293"/>
    <m/>
    <m/>
    <m/>
  </r>
  <r>
    <x v="485"/>
    <x v="0"/>
    <s v="페이스북/인스타그램"/>
    <x v="0"/>
    <x v="0"/>
    <x v="0"/>
    <m/>
    <m/>
    <n v="1328496"/>
    <m/>
    <m/>
    <m/>
  </r>
  <r>
    <x v="485"/>
    <x v="0"/>
    <s v="네이버 GFA"/>
    <x v="0"/>
    <x v="0"/>
    <x v="0"/>
    <m/>
    <m/>
    <n v="67492.72727272726"/>
    <m/>
    <m/>
    <m/>
  </r>
  <r>
    <x v="485"/>
    <x v="0"/>
    <s v="네이버 GFA"/>
    <x v="7"/>
    <x v="0"/>
    <x v="0"/>
    <m/>
    <m/>
    <n v="425816.3636363636"/>
    <m/>
    <m/>
    <m/>
  </r>
  <r>
    <x v="485"/>
    <x v="0"/>
    <s v="네이버 GFA"/>
    <x v="7"/>
    <x v="0"/>
    <x v="0"/>
    <m/>
    <m/>
    <n v="1354725.454545454"/>
    <m/>
    <m/>
    <m/>
  </r>
  <r>
    <x v="485"/>
    <x v="0"/>
    <s v="네이버 GFA"/>
    <x v="0"/>
    <x v="0"/>
    <x v="0"/>
    <m/>
    <m/>
    <n v="628834.5454545454"/>
    <m/>
    <m/>
    <m/>
  </r>
  <r>
    <x v="485"/>
    <x v="0"/>
    <s v="네이버 쇼핑검색"/>
    <x v="10"/>
    <x v="0"/>
    <x v="0"/>
    <m/>
    <m/>
    <n v="56799.99999999999"/>
    <m/>
    <m/>
    <m/>
  </r>
  <r>
    <x v="485"/>
    <x v="0"/>
    <s v="네이버 쇼핑검색"/>
    <x v="10"/>
    <x v="0"/>
    <x v="0"/>
    <m/>
    <m/>
    <n v="6139.999999999999"/>
    <m/>
    <m/>
    <m/>
  </r>
  <r>
    <x v="485"/>
    <x v="0"/>
    <s v="네이버 쇼핑박스"/>
    <x v="7"/>
    <x v="0"/>
    <x v="0"/>
    <m/>
    <m/>
    <n v="649350.64"/>
    <m/>
    <m/>
    <m/>
  </r>
  <r>
    <x v="485"/>
    <x v="0"/>
    <s v="카카오광고"/>
    <x v="0"/>
    <x v="0"/>
    <x v="0"/>
    <m/>
    <m/>
    <n v="909.9999999999999"/>
    <m/>
    <m/>
    <m/>
  </r>
  <r>
    <x v="485"/>
    <x v="0"/>
    <s v="카카오광고"/>
    <x v="0"/>
    <x v="0"/>
    <x v="0"/>
    <m/>
    <m/>
    <n v="225570"/>
    <m/>
    <m/>
    <m/>
  </r>
  <r>
    <x v="485"/>
    <x v="0"/>
    <s v="유튜브 디스커버리"/>
    <x v="17"/>
    <x v="0"/>
    <x v="0"/>
    <m/>
    <m/>
    <n v="21591"/>
    <m/>
    <m/>
    <m/>
  </r>
  <r>
    <x v="485"/>
    <x v="0"/>
    <s v="유튜브 디스커버리"/>
    <x v="0"/>
    <x v="0"/>
    <x v="0"/>
    <m/>
    <m/>
    <n v="376541"/>
    <m/>
    <m/>
    <m/>
  </r>
  <r>
    <x v="485"/>
    <x v="0"/>
    <s v="유튜브 디스커버리"/>
    <x v="0"/>
    <x v="0"/>
    <x v="0"/>
    <m/>
    <m/>
    <n v="405917"/>
    <m/>
    <m/>
    <m/>
  </r>
  <r>
    <x v="485"/>
    <x v="0"/>
    <s v="유튜브 디스커버리"/>
    <x v="0"/>
    <x v="0"/>
    <x v="0"/>
    <m/>
    <m/>
    <n v="26573"/>
    <m/>
    <m/>
    <m/>
  </r>
  <r>
    <x v="485"/>
    <x v="0"/>
    <s v="유튜브 디스커버리"/>
    <x v="0"/>
    <x v="0"/>
    <x v="0"/>
    <m/>
    <m/>
    <n v="107037"/>
    <m/>
    <m/>
    <m/>
  </r>
  <r>
    <x v="485"/>
    <x v="0"/>
    <s v="유튜브 디스커버리"/>
    <x v="0"/>
    <x v="0"/>
    <x v="0"/>
    <m/>
    <m/>
    <n v="583333"/>
    <m/>
    <m/>
    <m/>
  </r>
  <r>
    <x v="485"/>
    <x v="0"/>
    <s v="유튜브 디스커버리"/>
    <x v="0"/>
    <x v="0"/>
    <x v="0"/>
    <m/>
    <m/>
    <n v="41926"/>
    <m/>
    <m/>
    <m/>
  </r>
  <r>
    <x v="485"/>
    <x v="0"/>
    <s v="유튜브 디스커버리"/>
    <x v="0"/>
    <x v="0"/>
    <x v="0"/>
    <m/>
    <m/>
    <n v="7866"/>
    <m/>
    <m/>
    <m/>
  </r>
  <r>
    <x v="485"/>
    <x v="0"/>
    <s v="유튜브 디스커버리"/>
    <x v="0"/>
    <x v="0"/>
    <x v="0"/>
    <m/>
    <m/>
    <n v="17885"/>
    <m/>
    <m/>
    <m/>
  </r>
  <r>
    <x v="485"/>
    <x v="0"/>
    <s v="유튜브 디스커버리"/>
    <x v="17"/>
    <x v="0"/>
    <x v="0"/>
    <m/>
    <m/>
    <n v="408435"/>
    <m/>
    <m/>
    <m/>
  </r>
  <r>
    <x v="485"/>
    <x v="0"/>
    <s v="유튜브 디스커버리"/>
    <x v="0"/>
    <x v="0"/>
    <x v="0"/>
    <m/>
    <m/>
    <n v="95659"/>
    <m/>
    <m/>
    <m/>
  </r>
  <r>
    <x v="485"/>
    <x v="0"/>
    <s v="유튜브 디스커버리"/>
    <x v="0"/>
    <x v="0"/>
    <x v="0"/>
    <m/>
    <m/>
    <n v="20067"/>
    <m/>
    <m/>
    <m/>
  </r>
  <r>
    <x v="485"/>
    <x v="0"/>
    <s v="유튜브 디스커버리"/>
    <x v="0"/>
    <x v="0"/>
    <x v="0"/>
    <m/>
    <m/>
    <n v="52484"/>
    <m/>
    <m/>
    <m/>
  </r>
  <r>
    <x v="485"/>
    <x v="0"/>
    <s v="유튜브 디스커버리"/>
    <x v="0"/>
    <x v="0"/>
    <x v="0"/>
    <m/>
    <m/>
    <n v="553107"/>
    <m/>
    <m/>
    <m/>
  </r>
  <r>
    <x v="485"/>
    <x v="0"/>
    <s v="유튜브 디스커버리"/>
    <x v="7"/>
    <x v="0"/>
    <x v="0"/>
    <m/>
    <m/>
    <n v="229"/>
    <m/>
    <m/>
    <m/>
  </r>
  <r>
    <x v="485"/>
    <x v="0"/>
    <s v="유튜브 디스커버리"/>
    <x v="0"/>
    <x v="0"/>
    <x v="0"/>
    <m/>
    <m/>
    <n v="659975"/>
    <m/>
    <m/>
    <m/>
  </r>
  <r>
    <x v="485"/>
    <x v="0"/>
    <s v="유튜브 디스커버리"/>
    <x v="0"/>
    <x v="0"/>
    <x v="0"/>
    <m/>
    <m/>
    <n v="201977"/>
    <m/>
    <m/>
    <m/>
  </r>
  <r>
    <x v="485"/>
    <x v="0"/>
    <s v="유튜브 디스커버리"/>
    <x v="0"/>
    <x v="0"/>
    <x v="0"/>
    <m/>
    <m/>
    <n v="77372"/>
    <m/>
    <m/>
    <m/>
  </r>
  <r>
    <x v="485"/>
    <x v="0"/>
    <s v="유튜브 디스커버리"/>
    <x v="0"/>
    <x v="0"/>
    <x v="0"/>
    <m/>
    <m/>
    <n v="2389"/>
    <m/>
    <m/>
    <m/>
  </r>
  <r>
    <x v="485"/>
    <x v="0"/>
    <s v="유튜브 디스커버리"/>
    <x v="0"/>
    <x v="0"/>
    <x v="0"/>
    <m/>
    <m/>
    <n v="63088"/>
    <m/>
    <m/>
    <m/>
  </r>
  <r>
    <x v="485"/>
    <x v="0"/>
    <s v="유튜브 디스커버리"/>
    <x v="0"/>
    <x v="0"/>
    <x v="0"/>
    <m/>
    <m/>
    <n v="484"/>
    <m/>
    <m/>
    <m/>
  </r>
  <r>
    <x v="485"/>
    <x v="0"/>
    <s v="유튜브 디스커버리"/>
    <x v="0"/>
    <x v="0"/>
    <x v="0"/>
    <m/>
    <m/>
    <n v="208909"/>
    <m/>
    <m/>
    <m/>
  </r>
  <r>
    <x v="485"/>
    <x v="0"/>
    <s v="유튜브 디스커버리"/>
    <x v="0"/>
    <x v="0"/>
    <x v="0"/>
    <m/>
    <m/>
    <n v="127892"/>
    <m/>
    <m/>
    <m/>
  </r>
  <r>
    <x v="485"/>
    <x v="0"/>
    <s v="유튜브 디스커버리"/>
    <x v="0"/>
    <x v="0"/>
    <x v="0"/>
    <m/>
    <m/>
    <n v="1059480"/>
    <m/>
    <m/>
    <m/>
  </r>
  <r>
    <x v="485"/>
    <x v="0"/>
    <s v="유튜브 디스커버리"/>
    <x v="0"/>
    <x v="0"/>
    <x v="0"/>
    <m/>
    <m/>
    <n v="131870"/>
    <m/>
    <m/>
    <m/>
  </r>
  <r>
    <x v="485"/>
    <x v="0"/>
    <s v="유튜브 디스커버리"/>
    <x v="0"/>
    <x v="0"/>
    <x v="0"/>
    <m/>
    <m/>
    <n v="18896"/>
    <m/>
    <m/>
    <m/>
  </r>
  <r>
    <x v="486"/>
    <x v="2"/>
    <s v="페이스북/인스타그램"/>
    <x v="7"/>
    <x v="0"/>
    <x v="0"/>
    <m/>
    <m/>
    <n v="381154"/>
    <m/>
    <m/>
    <m/>
  </r>
  <r>
    <x v="486"/>
    <x v="2"/>
    <s v="페이스북/인스타그램"/>
    <x v="13"/>
    <x v="0"/>
    <x v="0"/>
    <m/>
    <m/>
    <n v="29831"/>
    <m/>
    <m/>
    <m/>
  </r>
  <r>
    <x v="486"/>
    <x v="2"/>
    <s v="페이스북/인스타그램"/>
    <x v="0"/>
    <x v="0"/>
    <x v="0"/>
    <m/>
    <m/>
    <n v="938088"/>
    <m/>
    <m/>
    <m/>
  </r>
  <r>
    <x v="487"/>
    <x v="5"/>
    <s v="페이스북/인스타그램"/>
    <x v="7"/>
    <x v="0"/>
    <x v="0"/>
    <m/>
    <m/>
    <n v="296389"/>
    <m/>
    <m/>
    <m/>
  </r>
  <r>
    <x v="487"/>
    <x v="5"/>
    <s v="페이스북/인스타그램"/>
    <x v="13"/>
    <x v="0"/>
    <x v="0"/>
    <m/>
    <m/>
    <n v="30711"/>
    <m/>
    <m/>
    <m/>
  </r>
  <r>
    <x v="487"/>
    <x v="5"/>
    <s v="페이스북/인스타그램"/>
    <x v="0"/>
    <x v="0"/>
    <x v="0"/>
    <m/>
    <m/>
    <n v="636745"/>
    <m/>
    <m/>
    <m/>
  </r>
  <r>
    <x v="488"/>
    <x v="6"/>
    <s v="페이스북/인스타그램"/>
    <x v="7"/>
    <x v="0"/>
    <x v="0"/>
    <m/>
    <m/>
    <n v="366550"/>
    <m/>
    <m/>
    <m/>
  </r>
  <r>
    <x v="488"/>
    <x v="6"/>
    <s v="페이스북/인스타그램"/>
    <x v="13"/>
    <x v="0"/>
    <x v="0"/>
    <m/>
    <m/>
    <n v="30015"/>
    <m/>
    <m/>
    <m/>
  </r>
  <r>
    <x v="488"/>
    <x v="6"/>
    <s v="페이스북/인스타그램"/>
    <x v="0"/>
    <x v="0"/>
    <x v="0"/>
    <m/>
    <m/>
    <n v="792392"/>
    <m/>
    <m/>
    <m/>
  </r>
  <r>
    <x v="486"/>
    <x v="2"/>
    <s v="네이버 GFA"/>
    <x v="0"/>
    <x v="0"/>
    <x v="0"/>
    <m/>
    <m/>
    <n v="605653.6363636364"/>
    <m/>
    <m/>
    <m/>
  </r>
  <r>
    <x v="486"/>
    <x v="2"/>
    <s v="네이버 GFA"/>
    <x v="7"/>
    <x v="0"/>
    <x v="0"/>
    <m/>
    <m/>
    <n v="280507.2727272727"/>
    <m/>
    <m/>
    <m/>
  </r>
  <r>
    <x v="486"/>
    <x v="2"/>
    <s v="네이버 GFA"/>
    <x v="7"/>
    <x v="0"/>
    <x v="0"/>
    <m/>
    <m/>
    <n v="1150436.363636364"/>
    <m/>
    <m/>
    <m/>
  </r>
  <r>
    <x v="486"/>
    <x v="2"/>
    <s v="네이버 GFA"/>
    <x v="0"/>
    <x v="0"/>
    <x v="0"/>
    <m/>
    <m/>
    <n v="1317699.090909091"/>
    <m/>
    <m/>
    <m/>
  </r>
  <r>
    <x v="487"/>
    <x v="5"/>
    <s v="네이버 GFA"/>
    <x v="0"/>
    <x v="0"/>
    <x v="0"/>
    <m/>
    <m/>
    <n v="485759.0909090909"/>
    <m/>
    <m/>
    <m/>
  </r>
  <r>
    <x v="487"/>
    <x v="5"/>
    <s v="네이버 GFA"/>
    <x v="7"/>
    <x v="0"/>
    <x v="0"/>
    <m/>
    <m/>
    <n v="1787412.727272727"/>
    <m/>
    <m/>
    <m/>
  </r>
  <r>
    <x v="487"/>
    <x v="5"/>
    <s v="네이버 GFA"/>
    <x v="7"/>
    <x v="0"/>
    <x v="0"/>
    <m/>
    <m/>
    <n v="987566.3636363635"/>
    <m/>
    <m/>
    <m/>
  </r>
  <r>
    <x v="487"/>
    <x v="5"/>
    <s v="네이버 GFA"/>
    <x v="0"/>
    <x v="0"/>
    <x v="0"/>
    <m/>
    <m/>
    <n v="1465180.909090909"/>
    <m/>
    <m/>
    <m/>
  </r>
  <r>
    <x v="488"/>
    <x v="6"/>
    <s v="네이버 GFA"/>
    <x v="0"/>
    <x v="0"/>
    <x v="0"/>
    <m/>
    <m/>
    <n v="53764.54545454545"/>
    <m/>
    <m/>
    <m/>
  </r>
  <r>
    <x v="488"/>
    <x v="6"/>
    <s v="네이버 GFA"/>
    <x v="7"/>
    <x v="0"/>
    <x v="0"/>
    <m/>
    <m/>
    <n v="861039.9999999999"/>
    <m/>
    <m/>
    <m/>
  </r>
  <r>
    <x v="488"/>
    <x v="6"/>
    <s v="네이버 GFA"/>
    <x v="7"/>
    <x v="0"/>
    <x v="0"/>
    <m/>
    <m/>
    <n v="1114197.272727273"/>
    <m/>
    <m/>
    <m/>
  </r>
  <r>
    <x v="488"/>
    <x v="6"/>
    <s v="네이버 GFA"/>
    <x v="0"/>
    <x v="0"/>
    <x v="0"/>
    <m/>
    <m/>
    <n v="1154444.545454545"/>
    <m/>
    <m/>
    <m/>
  </r>
  <r>
    <x v="486"/>
    <x v="2"/>
    <s v="네이버 쇼핑검색"/>
    <x v="10"/>
    <x v="0"/>
    <x v="0"/>
    <m/>
    <m/>
    <n v="51119.99999999999"/>
    <m/>
    <m/>
    <m/>
  </r>
  <r>
    <x v="486"/>
    <x v="2"/>
    <s v="네이버 쇼핑검색"/>
    <x v="10"/>
    <x v="0"/>
    <x v="0"/>
    <m/>
    <m/>
    <n v="3620"/>
    <m/>
    <m/>
    <m/>
  </r>
  <r>
    <x v="487"/>
    <x v="5"/>
    <s v="네이버 쇼핑검색"/>
    <x v="10"/>
    <x v="0"/>
    <x v="0"/>
    <m/>
    <m/>
    <n v="66860"/>
    <m/>
    <m/>
    <m/>
  </r>
  <r>
    <x v="487"/>
    <x v="5"/>
    <s v="네이버 쇼핑검색"/>
    <x v="10"/>
    <x v="0"/>
    <x v="0"/>
    <m/>
    <m/>
    <n v="2680"/>
    <m/>
    <m/>
    <m/>
  </r>
  <r>
    <x v="488"/>
    <x v="6"/>
    <s v="네이버 쇼핑검색"/>
    <x v="10"/>
    <x v="0"/>
    <x v="0"/>
    <m/>
    <m/>
    <n v="60389.99999999999"/>
    <m/>
    <m/>
    <m/>
  </r>
  <r>
    <x v="488"/>
    <x v="6"/>
    <s v="네이버 쇼핑검색"/>
    <x v="10"/>
    <x v="0"/>
    <x v="0"/>
    <m/>
    <m/>
    <n v="4530"/>
    <m/>
    <m/>
    <m/>
  </r>
  <r>
    <x v="486"/>
    <x v="2"/>
    <s v="네이버 쇼핑박스"/>
    <x v="7"/>
    <x v="0"/>
    <x v="0"/>
    <m/>
    <m/>
    <n v="649350.64"/>
    <m/>
    <m/>
    <m/>
  </r>
  <r>
    <x v="487"/>
    <x v="5"/>
    <s v="네이버 쇼핑박스"/>
    <x v="7"/>
    <x v="0"/>
    <x v="0"/>
    <m/>
    <m/>
    <n v="649350.64"/>
    <m/>
    <m/>
    <m/>
  </r>
  <r>
    <x v="488"/>
    <x v="6"/>
    <s v="네이버 쇼핑박스"/>
    <x v="7"/>
    <x v="0"/>
    <x v="0"/>
    <m/>
    <m/>
    <n v="649350.64"/>
    <m/>
    <m/>
    <m/>
  </r>
  <r>
    <x v="486"/>
    <x v="2"/>
    <s v="카카오광고"/>
    <x v="0"/>
    <x v="0"/>
    <x v="0"/>
    <m/>
    <m/>
    <n v="4740"/>
    <m/>
    <m/>
    <m/>
  </r>
  <r>
    <x v="486"/>
    <x v="2"/>
    <s v="카카오광고"/>
    <x v="0"/>
    <x v="0"/>
    <x v="0"/>
    <m/>
    <m/>
    <n v="173060"/>
    <m/>
    <m/>
    <m/>
  </r>
  <r>
    <x v="487"/>
    <x v="5"/>
    <s v="카카오광고"/>
    <x v="0"/>
    <x v="0"/>
    <x v="0"/>
    <m/>
    <m/>
    <n v="6859.999999999999"/>
    <m/>
    <m/>
    <m/>
  </r>
  <r>
    <x v="487"/>
    <x v="5"/>
    <s v="카카오광고"/>
    <x v="0"/>
    <x v="0"/>
    <x v="0"/>
    <m/>
    <m/>
    <n v="94989.99999999999"/>
    <m/>
    <m/>
    <m/>
  </r>
  <r>
    <x v="488"/>
    <x v="6"/>
    <s v="카카오광고"/>
    <x v="0"/>
    <x v="0"/>
    <x v="0"/>
    <m/>
    <m/>
    <n v="3850"/>
    <m/>
    <m/>
    <m/>
  </r>
  <r>
    <x v="488"/>
    <x v="6"/>
    <s v="카카오광고"/>
    <x v="0"/>
    <x v="0"/>
    <x v="0"/>
    <m/>
    <m/>
    <n v="154550"/>
    <m/>
    <m/>
    <m/>
  </r>
  <r>
    <x v="486"/>
    <x v="2"/>
    <s v="유튜브 디스커버리"/>
    <x v="0"/>
    <x v="0"/>
    <x v="0"/>
    <m/>
    <m/>
    <n v="97806"/>
    <m/>
    <m/>
    <m/>
  </r>
  <r>
    <x v="486"/>
    <x v="2"/>
    <s v="유튜브 디스커버리"/>
    <x v="7"/>
    <x v="0"/>
    <x v="0"/>
    <m/>
    <m/>
    <n v="2456"/>
    <m/>
    <m/>
    <m/>
  </r>
  <r>
    <x v="486"/>
    <x v="2"/>
    <s v="유튜브 디스커버리"/>
    <x v="0"/>
    <x v="0"/>
    <x v="0"/>
    <m/>
    <m/>
    <n v="103510"/>
    <m/>
    <m/>
    <m/>
  </r>
  <r>
    <x v="486"/>
    <x v="2"/>
    <s v="유튜브 디스커버리"/>
    <x v="0"/>
    <x v="0"/>
    <x v="0"/>
    <m/>
    <m/>
    <n v="240917"/>
    <m/>
    <m/>
    <m/>
  </r>
  <r>
    <x v="486"/>
    <x v="2"/>
    <s v="유튜브 디스커버리"/>
    <x v="0"/>
    <x v="0"/>
    <x v="0"/>
    <m/>
    <m/>
    <n v="5534"/>
    <m/>
    <m/>
    <m/>
  </r>
  <r>
    <x v="486"/>
    <x v="2"/>
    <s v="유튜브 디스커버리"/>
    <x v="0"/>
    <x v="0"/>
    <x v="0"/>
    <m/>
    <m/>
    <n v="2281355"/>
    <m/>
    <m/>
    <m/>
  </r>
  <r>
    <x v="486"/>
    <x v="2"/>
    <s v="유튜브 디스커버리"/>
    <x v="0"/>
    <x v="0"/>
    <x v="0"/>
    <m/>
    <m/>
    <n v="147418"/>
    <m/>
    <m/>
    <m/>
  </r>
  <r>
    <x v="486"/>
    <x v="2"/>
    <s v="유튜브 디스커버리"/>
    <x v="17"/>
    <x v="0"/>
    <x v="0"/>
    <m/>
    <m/>
    <n v="138409"/>
    <m/>
    <m/>
    <m/>
  </r>
  <r>
    <x v="486"/>
    <x v="2"/>
    <s v="유튜브 디스커버리"/>
    <x v="0"/>
    <x v="0"/>
    <x v="0"/>
    <m/>
    <m/>
    <n v="64192"/>
    <m/>
    <m/>
    <m/>
  </r>
  <r>
    <x v="486"/>
    <x v="2"/>
    <s v="유튜브 디스커버리"/>
    <x v="0"/>
    <x v="0"/>
    <x v="0"/>
    <m/>
    <m/>
    <n v="536286"/>
    <m/>
    <m/>
    <m/>
  </r>
  <r>
    <x v="486"/>
    <x v="2"/>
    <s v="유튜브 디스커버리"/>
    <x v="0"/>
    <x v="0"/>
    <x v="0"/>
    <m/>
    <m/>
    <n v="135253"/>
    <m/>
    <m/>
    <m/>
  </r>
  <r>
    <x v="486"/>
    <x v="2"/>
    <s v="유튜브 디스커버리"/>
    <x v="0"/>
    <x v="0"/>
    <x v="0"/>
    <m/>
    <m/>
    <n v="121068"/>
    <m/>
    <m/>
    <m/>
  </r>
  <r>
    <x v="486"/>
    <x v="2"/>
    <s v="유튜브 디스커버리"/>
    <x v="17"/>
    <x v="0"/>
    <x v="0"/>
    <m/>
    <m/>
    <n v="376043"/>
    <m/>
    <m/>
    <m/>
  </r>
  <r>
    <x v="486"/>
    <x v="2"/>
    <s v="유튜브 디스커버리"/>
    <x v="0"/>
    <x v="0"/>
    <x v="0"/>
    <m/>
    <m/>
    <n v="31497"/>
    <m/>
    <m/>
    <m/>
  </r>
  <r>
    <x v="486"/>
    <x v="2"/>
    <s v="유튜브 디스커버리"/>
    <x v="0"/>
    <x v="0"/>
    <x v="0"/>
    <m/>
    <m/>
    <n v="18218"/>
    <m/>
    <m/>
    <m/>
  </r>
  <r>
    <x v="486"/>
    <x v="2"/>
    <s v="유튜브 디스커버리"/>
    <x v="0"/>
    <x v="0"/>
    <x v="0"/>
    <m/>
    <m/>
    <n v="31685"/>
    <m/>
    <m/>
    <m/>
  </r>
  <r>
    <x v="487"/>
    <x v="5"/>
    <s v="유튜브 디스커버리"/>
    <x v="0"/>
    <x v="0"/>
    <x v="0"/>
    <m/>
    <m/>
    <n v="411905"/>
    <m/>
    <m/>
    <m/>
  </r>
  <r>
    <x v="487"/>
    <x v="5"/>
    <s v="유튜브 디스커버리"/>
    <x v="0"/>
    <x v="0"/>
    <x v="0"/>
    <m/>
    <m/>
    <n v="47"/>
    <m/>
    <m/>
    <m/>
  </r>
  <r>
    <x v="487"/>
    <x v="5"/>
    <s v="유튜브 디스커버리"/>
    <x v="0"/>
    <x v="0"/>
    <x v="0"/>
    <m/>
    <m/>
    <n v="5030220"/>
    <m/>
    <m/>
    <m/>
  </r>
  <r>
    <x v="487"/>
    <x v="5"/>
    <s v="유튜브 디스커버리"/>
    <x v="0"/>
    <x v="0"/>
    <x v="0"/>
    <m/>
    <m/>
    <n v="8932"/>
    <m/>
    <m/>
    <m/>
  </r>
  <r>
    <x v="487"/>
    <x v="5"/>
    <s v="유튜브 디스커버리"/>
    <x v="0"/>
    <x v="0"/>
    <x v="0"/>
    <m/>
    <m/>
    <n v="76399"/>
    <m/>
    <m/>
    <m/>
  </r>
  <r>
    <x v="487"/>
    <x v="5"/>
    <s v="유튜브 디스커버리"/>
    <x v="17"/>
    <x v="0"/>
    <x v="0"/>
    <m/>
    <m/>
    <n v="153920"/>
    <m/>
    <m/>
    <m/>
  </r>
  <r>
    <x v="487"/>
    <x v="5"/>
    <s v="유튜브 디스커버리"/>
    <x v="0"/>
    <x v="0"/>
    <x v="0"/>
    <m/>
    <m/>
    <n v="43792"/>
    <m/>
    <m/>
    <m/>
  </r>
  <r>
    <x v="487"/>
    <x v="5"/>
    <s v="유튜브 디스커버리"/>
    <x v="0"/>
    <x v="0"/>
    <x v="0"/>
    <m/>
    <m/>
    <n v="12111"/>
    <m/>
    <m/>
    <m/>
  </r>
  <r>
    <x v="487"/>
    <x v="5"/>
    <s v="유튜브 디스커버리"/>
    <x v="17"/>
    <x v="0"/>
    <x v="0"/>
    <m/>
    <m/>
    <n v="114208"/>
    <m/>
    <m/>
    <m/>
  </r>
  <r>
    <x v="487"/>
    <x v="5"/>
    <s v="유튜브 디스커버리"/>
    <x v="0"/>
    <x v="0"/>
    <x v="0"/>
    <m/>
    <m/>
    <n v="102400"/>
    <m/>
    <m/>
    <m/>
  </r>
  <r>
    <x v="487"/>
    <x v="5"/>
    <s v="유튜브 디스커버리"/>
    <x v="0"/>
    <x v="0"/>
    <x v="0"/>
    <m/>
    <m/>
    <n v="40982"/>
    <m/>
    <m/>
    <m/>
  </r>
  <r>
    <x v="487"/>
    <x v="5"/>
    <s v="유튜브 디스커버리"/>
    <x v="7"/>
    <x v="0"/>
    <x v="0"/>
    <m/>
    <m/>
    <n v="52450"/>
    <m/>
    <m/>
    <m/>
  </r>
  <r>
    <x v="487"/>
    <x v="5"/>
    <s v="유튜브 디스커버리"/>
    <x v="0"/>
    <x v="0"/>
    <x v="0"/>
    <m/>
    <m/>
    <n v="414820"/>
    <m/>
    <m/>
    <m/>
  </r>
  <r>
    <x v="487"/>
    <x v="5"/>
    <s v="유튜브 디스커버리"/>
    <x v="0"/>
    <x v="0"/>
    <x v="0"/>
    <m/>
    <m/>
    <n v="34715"/>
    <m/>
    <m/>
    <m/>
  </r>
  <r>
    <x v="488"/>
    <x v="6"/>
    <s v="유튜브 디스커버리"/>
    <x v="0"/>
    <x v="0"/>
    <x v="0"/>
    <m/>
    <m/>
    <n v="201241"/>
    <m/>
    <m/>
    <m/>
  </r>
  <r>
    <x v="488"/>
    <x v="6"/>
    <s v="유튜브 디스커버리"/>
    <x v="0"/>
    <x v="0"/>
    <x v="0"/>
    <m/>
    <m/>
    <n v="253713"/>
    <m/>
    <m/>
    <m/>
  </r>
  <r>
    <x v="488"/>
    <x v="6"/>
    <s v="유튜브 디스커버리"/>
    <x v="7"/>
    <x v="0"/>
    <x v="0"/>
    <m/>
    <m/>
    <n v="37345"/>
    <m/>
    <m/>
    <m/>
  </r>
  <r>
    <x v="488"/>
    <x v="6"/>
    <s v="유튜브 디스커버리"/>
    <x v="0"/>
    <x v="0"/>
    <x v="0"/>
    <m/>
    <m/>
    <n v="403716"/>
    <m/>
    <m/>
    <m/>
  </r>
  <r>
    <x v="488"/>
    <x v="6"/>
    <s v="유튜브 디스커버리"/>
    <x v="0"/>
    <x v="0"/>
    <x v="0"/>
    <m/>
    <m/>
    <n v="407010"/>
    <m/>
    <m/>
    <m/>
  </r>
  <r>
    <x v="488"/>
    <x v="6"/>
    <s v="유튜브 디스커버리"/>
    <x v="0"/>
    <x v="0"/>
    <x v="0"/>
    <m/>
    <m/>
    <n v="339267"/>
    <m/>
    <m/>
    <m/>
  </r>
  <r>
    <x v="488"/>
    <x v="6"/>
    <s v="유튜브 디스커버리"/>
    <x v="0"/>
    <x v="0"/>
    <x v="0"/>
    <m/>
    <m/>
    <n v="616717"/>
    <m/>
    <m/>
    <m/>
  </r>
  <r>
    <x v="488"/>
    <x v="6"/>
    <s v="유튜브 디스커버리"/>
    <x v="0"/>
    <x v="0"/>
    <x v="0"/>
    <m/>
    <m/>
    <n v="113861"/>
    <m/>
    <m/>
    <m/>
  </r>
  <r>
    <x v="488"/>
    <x v="6"/>
    <s v="유튜브 디스커버리"/>
    <x v="17"/>
    <x v="0"/>
    <x v="0"/>
    <m/>
    <m/>
    <n v="17229"/>
    <m/>
    <m/>
    <m/>
  </r>
  <r>
    <x v="488"/>
    <x v="6"/>
    <s v="유튜브 디스커버리"/>
    <x v="0"/>
    <x v="0"/>
    <x v="0"/>
    <m/>
    <m/>
    <n v="8068"/>
    <m/>
    <m/>
    <m/>
  </r>
  <r>
    <x v="488"/>
    <x v="6"/>
    <s v="유튜브 디스커버리"/>
    <x v="17"/>
    <x v="0"/>
    <x v="0"/>
    <m/>
    <m/>
    <n v="100832"/>
    <m/>
    <m/>
    <m/>
  </r>
  <r>
    <x v="488"/>
    <x v="6"/>
    <s v="유튜브 디스커버리"/>
    <x v="0"/>
    <x v="0"/>
    <x v="0"/>
    <m/>
    <m/>
    <n v="401732"/>
    <m/>
    <m/>
    <m/>
  </r>
  <r>
    <x v="488"/>
    <x v="6"/>
    <s v="유튜브 디스커버리"/>
    <x v="0"/>
    <x v="0"/>
    <x v="0"/>
    <m/>
    <m/>
    <n v="421315"/>
    <m/>
    <m/>
    <m/>
  </r>
  <r>
    <x v="488"/>
    <x v="6"/>
    <s v="유튜브 디스커버리"/>
    <x v="0"/>
    <x v="0"/>
    <x v="0"/>
    <m/>
    <m/>
    <n v="94943"/>
    <m/>
    <m/>
    <m/>
  </r>
  <r>
    <x v="489"/>
    <x v="3"/>
    <s v="페이스북/인스타그램"/>
    <x v="7"/>
    <x v="0"/>
    <x v="0"/>
    <m/>
    <m/>
    <n v="588384"/>
    <m/>
    <m/>
    <m/>
  </r>
  <r>
    <x v="489"/>
    <x v="3"/>
    <s v="페이스북/인스타그램"/>
    <x v="13"/>
    <x v="0"/>
    <x v="0"/>
    <m/>
    <m/>
    <n v="29681"/>
    <m/>
    <m/>
    <m/>
  </r>
  <r>
    <x v="489"/>
    <x v="3"/>
    <s v="페이스북/인스타그램"/>
    <x v="0"/>
    <x v="0"/>
    <x v="0"/>
    <m/>
    <m/>
    <n v="1334989"/>
    <m/>
    <m/>
    <m/>
  </r>
  <r>
    <x v="489"/>
    <x v="3"/>
    <s v="네이버 GFA"/>
    <x v="0"/>
    <x v="0"/>
    <x v="0"/>
    <m/>
    <m/>
    <n v="0"/>
    <m/>
    <m/>
    <m/>
  </r>
  <r>
    <x v="489"/>
    <x v="3"/>
    <s v="네이버 GFA"/>
    <x v="7"/>
    <x v="0"/>
    <x v="0"/>
    <m/>
    <m/>
    <n v="592426.3636363635"/>
    <m/>
    <m/>
    <m/>
  </r>
  <r>
    <x v="489"/>
    <x v="3"/>
    <s v="네이버 GFA"/>
    <x v="7"/>
    <x v="0"/>
    <x v="0"/>
    <m/>
    <m/>
    <n v="1827081.818181818"/>
    <m/>
    <m/>
    <m/>
  </r>
  <r>
    <x v="489"/>
    <x v="3"/>
    <s v="네이버 GFA"/>
    <x v="0"/>
    <x v="0"/>
    <x v="0"/>
    <m/>
    <m/>
    <n v="694119.0909090908"/>
    <m/>
    <m/>
    <m/>
  </r>
  <r>
    <x v="489"/>
    <x v="3"/>
    <s v="네이버 쇼핑검색"/>
    <x v="10"/>
    <x v="0"/>
    <x v="0"/>
    <m/>
    <m/>
    <n v="61909.99999999999"/>
    <m/>
    <m/>
    <m/>
  </r>
  <r>
    <x v="489"/>
    <x v="3"/>
    <s v="네이버 쇼핑검색"/>
    <x v="10"/>
    <x v="0"/>
    <x v="0"/>
    <m/>
    <m/>
    <n v="6619.999999999999"/>
    <m/>
    <m/>
    <m/>
  </r>
  <r>
    <x v="489"/>
    <x v="3"/>
    <s v="카카오광고"/>
    <x v="0"/>
    <x v="0"/>
    <x v="0"/>
    <m/>
    <m/>
    <n v="7789.999999999999"/>
    <m/>
    <m/>
    <m/>
  </r>
  <r>
    <x v="489"/>
    <x v="3"/>
    <s v="카카오광고"/>
    <x v="0"/>
    <x v="0"/>
    <x v="0"/>
    <m/>
    <m/>
    <n v="700140"/>
    <m/>
    <m/>
    <m/>
  </r>
  <r>
    <x v="489"/>
    <x v="3"/>
    <s v="카카오광고"/>
    <x v="0"/>
    <x v="0"/>
    <x v="0"/>
    <m/>
    <m/>
    <n v="615330"/>
    <m/>
    <m/>
    <m/>
  </r>
  <r>
    <x v="489"/>
    <x v="3"/>
    <s v="유튜브 디스커버리"/>
    <x v="0"/>
    <x v="0"/>
    <x v="0"/>
    <m/>
    <m/>
    <n v="221529.0909090909"/>
    <m/>
    <m/>
    <m/>
  </r>
  <r>
    <x v="489"/>
    <x v="3"/>
    <s v="유튜브 디스커버리"/>
    <x v="7"/>
    <x v="0"/>
    <x v="0"/>
    <m/>
    <m/>
    <n v="115528.1818181818"/>
    <m/>
    <m/>
    <m/>
  </r>
  <r>
    <x v="489"/>
    <x v="3"/>
    <s v="유튜브 디스커버리"/>
    <x v="17"/>
    <x v="0"/>
    <x v="0"/>
    <m/>
    <m/>
    <n v="9216.363636363636"/>
    <m/>
    <m/>
    <m/>
  </r>
  <r>
    <x v="489"/>
    <x v="3"/>
    <s v="유튜브 디스커버리"/>
    <x v="0"/>
    <x v="0"/>
    <x v="0"/>
    <m/>
    <m/>
    <n v="116160.9090909091"/>
    <m/>
    <m/>
    <m/>
  </r>
  <r>
    <x v="489"/>
    <x v="3"/>
    <s v="유튜브 디스커버리"/>
    <x v="0"/>
    <x v="0"/>
    <x v="0"/>
    <m/>
    <m/>
    <n v="246941.8181818181"/>
    <m/>
    <m/>
    <m/>
  </r>
  <r>
    <x v="489"/>
    <x v="3"/>
    <s v="유튜브 디스커버리"/>
    <x v="0"/>
    <x v="0"/>
    <x v="0"/>
    <m/>
    <m/>
    <n v="3201.818181818182"/>
    <m/>
    <m/>
    <m/>
  </r>
  <r>
    <x v="489"/>
    <x v="3"/>
    <s v="유튜브 디스커버리"/>
    <x v="0"/>
    <x v="0"/>
    <x v="0"/>
    <m/>
    <m/>
    <n v="124275.4545454545"/>
    <m/>
    <m/>
    <m/>
  </r>
  <r>
    <x v="489"/>
    <x v="3"/>
    <s v="유튜브 디스커버리"/>
    <x v="0"/>
    <x v="0"/>
    <x v="0"/>
    <m/>
    <m/>
    <n v="1596.363636363636"/>
    <m/>
    <m/>
    <m/>
  </r>
  <r>
    <x v="489"/>
    <x v="3"/>
    <s v="유튜브 디스커버리"/>
    <x v="0"/>
    <x v="0"/>
    <x v="0"/>
    <m/>
    <m/>
    <n v="82667.27272727272"/>
    <m/>
    <m/>
    <m/>
  </r>
  <r>
    <x v="489"/>
    <x v="3"/>
    <s v="유튜브 디스커버리"/>
    <x v="0"/>
    <x v="0"/>
    <x v="0"/>
    <m/>
    <m/>
    <n v="1709.090909090909"/>
    <m/>
    <m/>
    <m/>
  </r>
  <r>
    <x v="489"/>
    <x v="3"/>
    <s v="유튜브 디스커버리"/>
    <x v="0"/>
    <x v="0"/>
    <x v="0"/>
    <m/>
    <m/>
    <n v="83020.90909090909"/>
    <m/>
    <m/>
    <m/>
  </r>
  <r>
    <x v="489"/>
    <x v="3"/>
    <s v="유튜브 디스커버리"/>
    <x v="0"/>
    <x v="0"/>
    <x v="0"/>
    <m/>
    <m/>
    <n v="286118.1818181818"/>
    <m/>
    <m/>
    <m/>
  </r>
  <r>
    <x v="489"/>
    <x v="3"/>
    <s v="유튜브 디스커버리"/>
    <x v="0"/>
    <x v="0"/>
    <x v="0"/>
    <m/>
    <m/>
    <n v="249345.4545454545"/>
    <m/>
    <m/>
    <m/>
  </r>
  <r>
    <x v="489"/>
    <x v="3"/>
    <s v="유튜브 디스커버리"/>
    <x v="0"/>
    <x v="0"/>
    <x v="0"/>
    <m/>
    <m/>
    <n v="189850.9090909091"/>
    <m/>
    <m/>
    <m/>
  </r>
  <r>
    <x v="489"/>
    <x v="3"/>
    <s v="유튜브 디스커버리"/>
    <x v="0"/>
    <x v="0"/>
    <x v="0"/>
    <m/>
    <m/>
    <n v="1798.181818181818"/>
    <m/>
    <m/>
    <m/>
  </r>
  <r>
    <x v="489"/>
    <x v="3"/>
    <s v="유튜브 디스커버리"/>
    <x v="0"/>
    <x v="0"/>
    <x v="0"/>
    <m/>
    <m/>
    <n v="200663.6363636364"/>
    <m/>
    <m/>
    <m/>
  </r>
  <r>
    <x v="490"/>
    <x v="4"/>
    <s v="페이스북/인스타그램"/>
    <x v="0"/>
    <x v="0"/>
    <x v="0"/>
    <m/>
    <m/>
    <n v="29602"/>
    <m/>
    <m/>
    <m/>
  </r>
  <r>
    <x v="490"/>
    <x v="4"/>
    <s v="페이스북/인스타그램"/>
    <x v="7"/>
    <x v="0"/>
    <x v="0"/>
    <m/>
    <m/>
    <n v="305475"/>
    <m/>
    <m/>
    <m/>
  </r>
  <r>
    <x v="490"/>
    <x v="4"/>
    <s v="페이스북/인스타그램"/>
    <x v="13"/>
    <x v="0"/>
    <x v="0"/>
    <m/>
    <m/>
    <n v="18606"/>
    <m/>
    <m/>
    <m/>
  </r>
  <r>
    <x v="490"/>
    <x v="4"/>
    <s v="페이스북/인스타그램"/>
    <x v="0"/>
    <x v="0"/>
    <x v="0"/>
    <m/>
    <m/>
    <n v="934350"/>
    <m/>
    <m/>
    <m/>
  </r>
  <r>
    <x v="490"/>
    <x v="4"/>
    <s v="네이버 GFA"/>
    <x v="7"/>
    <x v="0"/>
    <x v="0"/>
    <m/>
    <m/>
    <n v="142510.9090909091"/>
    <m/>
    <m/>
    <m/>
  </r>
  <r>
    <x v="490"/>
    <x v="4"/>
    <s v="네이버 GFA"/>
    <x v="0"/>
    <x v="0"/>
    <x v="0"/>
    <m/>
    <m/>
    <n v="67130.90909090909"/>
    <m/>
    <m/>
    <m/>
  </r>
  <r>
    <x v="490"/>
    <x v="4"/>
    <s v="네이버 GFA"/>
    <x v="7"/>
    <x v="0"/>
    <x v="0"/>
    <m/>
    <m/>
    <n v="516337.2727272727"/>
    <m/>
    <m/>
    <m/>
  </r>
  <r>
    <x v="490"/>
    <x v="4"/>
    <s v="네이버 GFA"/>
    <x v="7"/>
    <x v="0"/>
    <x v="0"/>
    <m/>
    <m/>
    <n v="1232533.636363636"/>
    <m/>
    <m/>
    <m/>
  </r>
  <r>
    <x v="490"/>
    <x v="4"/>
    <s v="네이버 GFA"/>
    <x v="0"/>
    <x v="0"/>
    <x v="0"/>
    <m/>
    <m/>
    <n v="3117240.909090909"/>
    <m/>
    <m/>
    <m/>
  </r>
  <r>
    <x v="490"/>
    <x v="4"/>
    <s v="네이버 쇼핑검색"/>
    <x v="10"/>
    <x v="0"/>
    <x v="0"/>
    <m/>
    <m/>
    <n v="50049.99999999999"/>
    <m/>
    <m/>
    <m/>
  </r>
  <r>
    <x v="490"/>
    <x v="4"/>
    <s v="네이버 쇼핑검색"/>
    <x v="10"/>
    <x v="0"/>
    <x v="0"/>
    <m/>
    <m/>
    <n v="7369.999999999999"/>
    <m/>
    <m/>
    <m/>
  </r>
  <r>
    <x v="490"/>
    <x v="4"/>
    <s v="카카오광고"/>
    <x v="0"/>
    <x v="0"/>
    <x v="0"/>
    <m/>
    <m/>
    <n v="7209.999999999999"/>
    <m/>
    <m/>
    <m/>
  </r>
  <r>
    <x v="490"/>
    <x v="4"/>
    <s v="카카오광고"/>
    <x v="0"/>
    <x v="0"/>
    <x v="0"/>
    <m/>
    <m/>
    <n v="5595"/>
    <m/>
    <m/>
    <m/>
  </r>
  <r>
    <x v="490"/>
    <x v="4"/>
    <s v="카카오광고"/>
    <x v="0"/>
    <x v="0"/>
    <x v="0"/>
    <m/>
    <m/>
    <n v="202550"/>
    <m/>
    <m/>
    <m/>
  </r>
  <r>
    <x v="490"/>
    <x v="4"/>
    <s v="유튜브 디스커버리"/>
    <x v="0"/>
    <x v="0"/>
    <x v="0"/>
    <m/>
    <m/>
    <n v="238515"/>
    <m/>
    <m/>
    <m/>
  </r>
  <r>
    <x v="490"/>
    <x v="4"/>
    <s v="유튜브 디스커버리"/>
    <x v="0"/>
    <x v="0"/>
    <x v="0"/>
    <m/>
    <m/>
    <n v="1437"/>
    <m/>
    <m/>
    <m/>
  </r>
  <r>
    <x v="490"/>
    <x v="4"/>
    <s v="유튜브 디스커버리"/>
    <x v="7"/>
    <x v="0"/>
    <x v="0"/>
    <m/>
    <m/>
    <n v="205556"/>
    <m/>
    <m/>
    <m/>
  </r>
  <r>
    <x v="490"/>
    <x v="4"/>
    <s v="유튜브 디스커버리"/>
    <x v="0"/>
    <x v="0"/>
    <x v="0"/>
    <m/>
    <m/>
    <n v="88378"/>
    <m/>
    <m/>
    <m/>
  </r>
  <r>
    <x v="490"/>
    <x v="4"/>
    <s v="유튜브 디스커버리"/>
    <x v="0"/>
    <x v="0"/>
    <x v="0"/>
    <m/>
    <m/>
    <n v="134776"/>
    <m/>
    <m/>
    <m/>
  </r>
  <r>
    <x v="490"/>
    <x v="4"/>
    <s v="유튜브 디스커버리"/>
    <x v="0"/>
    <x v="0"/>
    <x v="0"/>
    <m/>
    <m/>
    <n v="252279"/>
    <m/>
    <m/>
    <m/>
  </r>
  <r>
    <x v="490"/>
    <x v="4"/>
    <s v="유튜브 디스커버리"/>
    <x v="0"/>
    <x v="0"/>
    <x v="0"/>
    <m/>
    <m/>
    <n v="268911"/>
    <m/>
    <m/>
    <m/>
  </r>
  <r>
    <x v="490"/>
    <x v="4"/>
    <s v="유튜브 디스커버리"/>
    <x v="0"/>
    <x v="0"/>
    <x v="0"/>
    <m/>
    <m/>
    <n v="207328"/>
    <m/>
    <m/>
    <m/>
  </r>
  <r>
    <x v="490"/>
    <x v="4"/>
    <s v="유튜브 디스커버리"/>
    <x v="0"/>
    <x v="0"/>
    <x v="0"/>
    <m/>
    <m/>
    <n v="180"/>
    <m/>
    <m/>
    <m/>
  </r>
  <r>
    <x v="490"/>
    <x v="4"/>
    <s v="유튜브 디스커버리"/>
    <x v="0"/>
    <x v="0"/>
    <x v="0"/>
    <m/>
    <m/>
    <n v="23"/>
    <m/>
    <m/>
    <m/>
  </r>
  <r>
    <x v="490"/>
    <x v="4"/>
    <s v="유튜브 디스커버리"/>
    <x v="0"/>
    <x v="0"/>
    <x v="0"/>
    <m/>
    <m/>
    <n v="310548"/>
    <m/>
    <m/>
    <m/>
  </r>
  <r>
    <x v="491"/>
    <x v="1"/>
    <s v="페이스북/인스타그램"/>
    <x v="0"/>
    <x v="0"/>
    <x v="0"/>
    <m/>
    <m/>
    <n v="807176"/>
    <m/>
    <m/>
    <m/>
  </r>
  <r>
    <x v="491"/>
    <x v="1"/>
    <s v="페이스북/인스타그램"/>
    <x v="7"/>
    <x v="0"/>
    <x v="0"/>
    <m/>
    <m/>
    <n v="167794"/>
    <m/>
    <m/>
    <m/>
  </r>
  <r>
    <x v="491"/>
    <x v="1"/>
    <s v="페이스북/인스타그램"/>
    <x v="0"/>
    <x v="0"/>
    <x v="0"/>
    <m/>
    <m/>
    <n v="98123"/>
    <m/>
    <m/>
    <m/>
  </r>
  <r>
    <x v="491"/>
    <x v="1"/>
    <s v="네이버 GFA"/>
    <x v="0"/>
    <x v="0"/>
    <x v="0"/>
    <m/>
    <m/>
    <n v="1488740"/>
    <m/>
    <m/>
    <m/>
  </r>
  <r>
    <x v="491"/>
    <x v="1"/>
    <s v="네이버 GFA"/>
    <x v="7"/>
    <x v="0"/>
    <x v="0"/>
    <m/>
    <m/>
    <n v="54439.0909090909"/>
    <m/>
    <m/>
    <m/>
  </r>
  <r>
    <x v="491"/>
    <x v="1"/>
    <s v="네이버 GFA"/>
    <x v="0"/>
    <x v="0"/>
    <x v="0"/>
    <m/>
    <m/>
    <n v="93839.99999999999"/>
    <m/>
    <m/>
    <m/>
  </r>
  <r>
    <x v="491"/>
    <x v="1"/>
    <s v="네이버 GFA"/>
    <x v="7"/>
    <x v="0"/>
    <x v="0"/>
    <m/>
    <m/>
    <n v="268933.6363636364"/>
    <m/>
    <m/>
    <m/>
  </r>
  <r>
    <x v="491"/>
    <x v="1"/>
    <s v="네이버 GFA"/>
    <x v="7"/>
    <x v="0"/>
    <x v="0"/>
    <m/>
    <m/>
    <n v="1410914.545454545"/>
    <m/>
    <m/>
    <m/>
  </r>
  <r>
    <x v="491"/>
    <x v="1"/>
    <s v="네이버 GFA"/>
    <x v="0"/>
    <x v="0"/>
    <x v="0"/>
    <m/>
    <m/>
    <n v="2846732.727272727"/>
    <m/>
    <m/>
    <m/>
  </r>
  <r>
    <x v="491"/>
    <x v="1"/>
    <s v="네이버 쇼핑검색"/>
    <x v="10"/>
    <x v="0"/>
    <x v="0"/>
    <m/>
    <m/>
    <n v="51279.99999999999"/>
    <m/>
    <m/>
    <m/>
  </r>
  <r>
    <x v="491"/>
    <x v="1"/>
    <s v="네이버 쇼핑검색"/>
    <x v="10"/>
    <x v="0"/>
    <x v="0"/>
    <m/>
    <m/>
    <n v="4110"/>
    <m/>
    <m/>
    <m/>
  </r>
  <r>
    <x v="491"/>
    <x v="1"/>
    <s v="카카오광고"/>
    <x v="0"/>
    <x v="0"/>
    <x v="0"/>
    <m/>
    <m/>
    <n v="6799.999999999999"/>
    <m/>
    <m/>
    <m/>
  </r>
  <r>
    <x v="491"/>
    <x v="1"/>
    <s v="카카오광고"/>
    <x v="0"/>
    <x v="0"/>
    <x v="0"/>
    <m/>
    <m/>
    <n v="4680"/>
    <m/>
    <m/>
    <m/>
  </r>
  <r>
    <x v="491"/>
    <x v="1"/>
    <s v="카카오광고"/>
    <x v="0"/>
    <x v="0"/>
    <x v="0"/>
    <m/>
    <m/>
    <n v="104970"/>
    <m/>
    <m/>
    <m/>
  </r>
  <r>
    <x v="491"/>
    <x v="1"/>
    <s v="유튜브 디스커버리"/>
    <x v="0"/>
    <x v="0"/>
    <x v="0"/>
    <m/>
    <m/>
    <n v="267134"/>
    <m/>
    <m/>
    <m/>
  </r>
  <r>
    <x v="491"/>
    <x v="1"/>
    <s v="유튜브 디스커버리"/>
    <x v="0"/>
    <x v="0"/>
    <x v="0"/>
    <m/>
    <m/>
    <n v="275030"/>
    <m/>
    <m/>
    <m/>
  </r>
  <r>
    <x v="491"/>
    <x v="1"/>
    <s v="유튜브 디스커버리"/>
    <x v="0"/>
    <x v="0"/>
    <x v="0"/>
    <m/>
    <m/>
    <n v="312915"/>
    <m/>
    <m/>
    <m/>
  </r>
  <r>
    <x v="491"/>
    <x v="1"/>
    <s v="유튜브 디스커버리"/>
    <x v="0"/>
    <x v="0"/>
    <x v="0"/>
    <m/>
    <m/>
    <n v="206705"/>
    <m/>
    <m/>
    <m/>
  </r>
  <r>
    <x v="491"/>
    <x v="1"/>
    <s v="유튜브 디스커버리"/>
    <x v="0"/>
    <x v="0"/>
    <x v="0"/>
    <m/>
    <m/>
    <n v="1"/>
    <m/>
    <m/>
    <m/>
  </r>
  <r>
    <x v="491"/>
    <x v="1"/>
    <s v="유튜브 디스커버리"/>
    <x v="0"/>
    <x v="0"/>
    <x v="0"/>
    <m/>
    <m/>
    <n v="480"/>
    <m/>
    <m/>
    <m/>
  </r>
  <r>
    <x v="491"/>
    <x v="1"/>
    <s v="유튜브 디스커버리"/>
    <x v="7"/>
    <x v="0"/>
    <x v="0"/>
    <m/>
    <m/>
    <n v="66090"/>
    <m/>
    <m/>
    <m/>
  </r>
  <r>
    <x v="491"/>
    <x v="1"/>
    <s v="유튜브 디스커버리"/>
    <x v="0"/>
    <x v="0"/>
    <x v="0"/>
    <m/>
    <m/>
    <n v="219387"/>
    <m/>
    <m/>
    <m/>
  </r>
  <r>
    <x v="491"/>
    <x v="1"/>
    <s v="유튜브 디스커버리"/>
    <x v="0"/>
    <x v="0"/>
    <x v="0"/>
    <m/>
    <m/>
    <n v="132403"/>
    <m/>
    <m/>
    <m/>
  </r>
  <r>
    <x v="491"/>
    <x v="1"/>
    <s v="유튜브 디스커버리"/>
    <x v="0"/>
    <x v="0"/>
    <x v="0"/>
    <m/>
    <m/>
    <n v="279994"/>
    <m/>
    <m/>
    <m/>
  </r>
  <r>
    <x v="492"/>
    <x v="0"/>
    <s v="페이스북/인스타그램"/>
    <x v="0"/>
    <x v="0"/>
    <x v="0"/>
    <m/>
    <m/>
    <n v="97353"/>
    <m/>
    <m/>
    <m/>
  </r>
  <r>
    <x v="492"/>
    <x v="0"/>
    <s v="페이스북/인스타그램"/>
    <x v="7"/>
    <x v="0"/>
    <x v="0"/>
    <m/>
    <m/>
    <n v="164954"/>
    <m/>
    <m/>
    <m/>
  </r>
  <r>
    <x v="492"/>
    <x v="0"/>
    <s v="페이스북/인스타그램"/>
    <x v="0"/>
    <x v="0"/>
    <x v="0"/>
    <m/>
    <m/>
    <n v="729757"/>
    <m/>
    <m/>
    <m/>
  </r>
  <r>
    <x v="492"/>
    <x v="0"/>
    <s v="네이버 쇼핑검색"/>
    <x v="10"/>
    <x v="0"/>
    <x v="0"/>
    <m/>
    <m/>
    <n v="59879.99999999999"/>
    <m/>
    <m/>
    <m/>
  </r>
  <r>
    <x v="492"/>
    <x v="0"/>
    <s v="네이버 쇼핑검색"/>
    <x v="10"/>
    <x v="0"/>
    <x v="0"/>
    <m/>
    <m/>
    <n v="7289.999999999999"/>
    <m/>
    <m/>
    <m/>
  </r>
  <r>
    <x v="492"/>
    <x v="0"/>
    <s v="네이버 GFA"/>
    <x v="0"/>
    <x v="0"/>
    <x v="0"/>
    <m/>
    <m/>
    <n v="0"/>
    <m/>
    <m/>
    <m/>
  </r>
  <r>
    <x v="492"/>
    <x v="0"/>
    <s v="네이버 GFA"/>
    <x v="7"/>
    <x v="0"/>
    <x v="0"/>
    <m/>
    <m/>
    <n v="29533.63636363636"/>
    <m/>
    <m/>
    <m/>
  </r>
  <r>
    <x v="492"/>
    <x v="0"/>
    <s v="네이버 GFA"/>
    <x v="0"/>
    <x v="0"/>
    <x v="0"/>
    <m/>
    <m/>
    <n v="242373.6363636364"/>
    <m/>
    <m/>
    <m/>
  </r>
  <r>
    <x v="492"/>
    <x v="0"/>
    <s v="네이버 GFA"/>
    <x v="7"/>
    <x v="0"/>
    <x v="0"/>
    <m/>
    <m/>
    <n v="595274.5454545454"/>
    <m/>
    <m/>
    <m/>
  </r>
  <r>
    <x v="492"/>
    <x v="0"/>
    <s v="네이버 GFA"/>
    <x v="7"/>
    <x v="0"/>
    <x v="0"/>
    <m/>
    <m/>
    <n v="2198620.909090909"/>
    <m/>
    <m/>
    <m/>
  </r>
  <r>
    <x v="492"/>
    <x v="0"/>
    <s v="네이버 GFA"/>
    <x v="0"/>
    <x v="0"/>
    <x v="0"/>
    <m/>
    <m/>
    <n v="607031.8181818181"/>
    <m/>
    <m/>
    <m/>
  </r>
  <r>
    <x v="492"/>
    <x v="0"/>
    <s v="카카오광고"/>
    <x v="0"/>
    <x v="0"/>
    <x v="0"/>
    <m/>
    <m/>
    <n v="5769.999999999999"/>
    <m/>
    <m/>
    <m/>
  </r>
  <r>
    <x v="492"/>
    <x v="0"/>
    <s v="카카오광고"/>
    <x v="0"/>
    <x v="0"/>
    <x v="0"/>
    <m/>
    <m/>
    <n v="4380"/>
    <m/>
    <m/>
    <m/>
  </r>
  <r>
    <x v="492"/>
    <x v="0"/>
    <s v="카카오광고"/>
    <x v="0"/>
    <x v="0"/>
    <x v="0"/>
    <m/>
    <m/>
    <n v="153320"/>
    <m/>
    <m/>
    <m/>
  </r>
  <r>
    <x v="492"/>
    <x v="0"/>
    <s v="유튜브 디스커버리"/>
    <x v="0"/>
    <x v="0"/>
    <x v="0"/>
    <m/>
    <m/>
    <n v="417202"/>
    <m/>
    <m/>
    <m/>
  </r>
  <r>
    <x v="492"/>
    <x v="0"/>
    <s v="유튜브 디스커버리"/>
    <x v="0"/>
    <x v="0"/>
    <x v="0"/>
    <m/>
    <m/>
    <n v="205490"/>
    <m/>
    <m/>
    <m/>
  </r>
  <r>
    <x v="492"/>
    <x v="0"/>
    <s v="유튜브 디스커버리"/>
    <x v="0"/>
    <x v="0"/>
    <x v="0"/>
    <m/>
    <m/>
    <n v="290675"/>
    <m/>
    <m/>
    <m/>
  </r>
  <r>
    <x v="492"/>
    <x v="0"/>
    <s v="유튜브 디스커버리"/>
    <x v="0"/>
    <x v="0"/>
    <x v="0"/>
    <m/>
    <m/>
    <n v="410985"/>
    <m/>
    <m/>
    <m/>
  </r>
  <r>
    <x v="492"/>
    <x v="0"/>
    <s v="유튜브 디스커버리"/>
    <x v="0"/>
    <x v="0"/>
    <x v="0"/>
    <m/>
    <m/>
    <n v="271270"/>
    <m/>
    <m/>
    <m/>
  </r>
  <r>
    <x v="492"/>
    <x v="0"/>
    <s v="유튜브 디스커버리"/>
    <x v="0"/>
    <x v="0"/>
    <x v="0"/>
    <m/>
    <m/>
    <n v="144439"/>
    <m/>
    <m/>
    <m/>
  </r>
  <r>
    <x v="492"/>
    <x v="0"/>
    <s v="유튜브 디스커버리"/>
    <x v="0"/>
    <x v="0"/>
    <x v="0"/>
    <m/>
    <m/>
    <n v="130433"/>
    <m/>
    <m/>
    <m/>
  </r>
  <r>
    <x v="492"/>
    <x v="0"/>
    <s v="유튜브 디스커버리"/>
    <x v="0"/>
    <x v="0"/>
    <x v="0"/>
    <m/>
    <m/>
    <n v="26212"/>
    <m/>
    <m/>
    <m/>
  </r>
  <r>
    <x v="492"/>
    <x v="0"/>
    <s v="유튜브 디스커버리"/>
    <x v="7"/>
    <x v="0"/>
    <x v="0"/>
    <m/>
    <m/>
    <n v="101911"/>
    <m/>
    <m/>
    <m/>
  </r>
  <r>
    <x v="492"/>
    <x v="0"/>
    <s v="유튜브 디스커버리"/>
    <x v="0"/>
    <x v="0"/>
    <x v="0"/>
    <m/>
    <m/>
    <n v="1164"/>
    <m/>
    <m/>
    <m/>
  </r>
  <r>
    <x v="493"/>
    <x v="2"/>
    <s v="페이스북/인스타그램"/>
    <x v="0"/>
    <x v="0"/>
    <x v="0"/>
    <m/>
    <m/>
    <n v="75472"/>
    <m/>
    <m/>
    <m/>
  </r>
  <r>
    <x v="493"/>
    <x v="2"/>
    <s v="페이스북/인스타그램"/>
    <x v="7"/>
    <x v="0"/>
    <x v="0"/>
    <m/>
    <m/>
    <n v="167247"/>
    <m/>
    <m/>
    <m/>
  </r>
  <r>
    <x v="493"/>
    <x v="2"/>
    <s v="페이스북/인스타그램"/>
    <x v="0"/>
    <x v="0"/>
    <x v="0"/>
    <m/>
    <m/>
    <n v="596704"/>
    <m/>
    <m/>
    <m/>
  </r>
  <r>
    <x v="494"/>
    <x v="5"/>
    <s v="페이스북/인스타그램"/>
    <x v="0"/>
    <x v="0"/>
    <x v="0"/>
    <m/>
    <m/>
    <n v="48585"/>
    <m/>
    <m/>
    <m/>
  </r>
  <r>
    <x v="494"/>
    <x v="5"/>
    <s v="페이스북/인스타그램"/>
    <x v="7"/>
    <x v="0"/>
    <x v="0"/>
    <m/>
    <m/>
    <n v="175825"/>
    <m/>
    <m/>
    <m/>
  </r>
  <r>
    <x v="494"/>
    <x v="5"/>
    <s v="페이스북/인스타그램"/>
    <x v="0"/>
    <x v="0"/>
    <x v="0"/>
    <m/>
    <m/>
    <n v="387601"/>
    <m/>
    <m/>
    <m/>
  </r>
  <r>
    <x v="495"/>
    <x v="6"/>
    <s v="페이스북/인스타그램"/>
    <x v="0"/>
    <x v="0"/>
    <x v="0"/>
    <m/>
    <m/>
    <n v="48920"/>
    <m/>
    <m/>
    <m/>
  </r>
  <r>
    <x v="495"/>
    <x v="6"/>
    <s v="페이스북/인스타그램"/>
    <x v="7"/>
    <x v="0"/>
    <x v="0"/>
    <m/>
    <m/>
    <n v="195927"/>
    <m/>
    <m/>
    <m/>
  </r>
  <r>
    <x v="495"/>
    <x v="6"/>
    <s v="페이스북/인스타그램"/>
    <x v="0"/>
    <x v="0"/>
    <x v="0"/>
    <m/>
    <m/>
    <n v="497274"/>
    <m/>
    <m/>
    <m/>
  </r>
  <r>
    <x v="493"/>
    <x v="2"/>
    <s v="네이버 GFA"/>
    <x v="7"/>
    <x v="0"/>
    <x v="0"/>
    <m/>
    <m/>
    <n v="102388.1818181818"/>
    <m/>
    <m/>
    <m/>
  </r>
  <r>
    <x v="493"/>
    <x v="2"/>
    <s v="네이버 GFA"/>
    <x v="0"/>
    <x v="0"/>
    <x v="0"/>
    <m/>
    <m/>
    <n v="316981.8181818182"/>
    <m/>
    <m/>
    <m/>
  </r>
  <r>
    <x v="493"/>
    <x v="2"/>
    <s v="네이버 GFA"/>
    <x v="7"/>
    <x v="0"/>
    <x v="0"/>
    <m/>
    <m/>
    <n v="383296.3636363636"/>
    <m/>
    <m/>
    <m/>
  </r>
  <r>
    <x v="493"/>
    <x v="2"/>
    <s v="네이버 GFA"/>
    <x v="7"/>
    <x v="0"/>
    <x v="0"/>
    <m/>
    <m/>
    <n v="1432445.454545454"/>
    <m/>
    <m/>
    <m/>
  </r>
  <r>
    <x v="493"/>
    <x v="2"/>
    <s v="네이버 GFA"/>
    <x v="0"/>
    <x v="0"/>
    <x v="0"/>
    <m/>
    <m/>
    <n v="167582.7272727273"/>
    <m/>
    <m/>
    <m/>
  </r>
  <r>
    <x v="494"/>
    <x v="5"/>
    <s v="네이버 GFA"/>
    <x v="0"/>
    <x v="0"/>
    <x v="0"/>
    <m/>
    <m/>
    <n v="0"/>
    <m/>
    <m/>
    <m/>
  </r>
  <r>
    <x v="494"/>
    <x v="5"/>
    <s v="네이버 GFA"/>
    <x v="7"/>
    <x v="0"/>
    <x v="0"/>
    <m/>
    <m/>
    <n v="75820.90909090909"/>
    <m/>
    <m/>
    <m/>
  </r>
  <r>
    <x v="494"/>
    <x v="5"/>
    <s v="네이버 GFA"/>
    <x v="0"/>
    <x v="0"/>
    <x v="0"/>
    <m/>
    <m/>
    <n v="375879.9999999999"/>
    <m/>
    <m/>
    <m/>
  </r>
  <r>
    <x v="494"/>
    <x v="5"/>
    <s v="네이버 GFA"/>
    <x v="7"/>
    <x v="0"/>
    <x v="0"/>
    <m/>
    <m/>
    <n v="154457.2727272727"/>
    <m/>
    <m/>
    <m/>
  </r>
  <r>
    <x v="494"/>
    <x v="5"/>
    <s v="네이버 GFA"/>
    <x v="7"/>
    <x v="0"/>
    <x v="0"/>
    <m/>
    <m/>
    <n v="1181763.636363636"/>
    <m/>
    <m/>
    <m/>
  </r>
  <r>
    <x v="494"/>
    <x v="5"/>
    <s v="네이버 GFA"/>
    <x v="0"/>
    <x v="0"/>
    <x v="0"/>
    <m/>
    <m/>
    <n v="997950.9090909091"/>
    <m/>
    <m/>
    <m/>
  </r>
  <r>
    <x v="495"/>
    <x v="6"/>
    <s v="네이버 GFA"/>
    <x v="7"/>
    <x v="0"/>
    <x v="0"/>
    <m/>
    <m/>
    <n v="46575.45454545454"/>
    <m/>
    <m/>
    <m/>
  </r>
  <r>
    <x v="495"/>
    <x v="6"/>
    <s v="네이버 GFA"/>
    <x v="0"/>
    <x v="0"/>
    <x v="0"/>
    <m/>
    <m/>
    <n v="429888.1818181818"/>
    <m/>
    <m/>
    <m/>
  </r>
  <r>
    <x v="495"/>
    <x v="6"/>
    <s v="네이버 GFA"/>
    <x v="7"/>
    <x v="0"/>
    <x v="0"/>
    <m/>
    <m/>
    <n v="321972.7272727272"/>
    <m/>
    <m/>
    <m/>
  </r>
  <r>
    <x v="495"/>
    <x v="6"/>
    <s v="네이버 GFA"/>
    <x v="7"/>
    <x v="0"/>
    <x v="0"/>
    <m/>
    <m/>
    <n v="1008679.090909091"/>
    <m/>
    <m/>
    <m/>
  </r>
  <r>
    <x v="495"/>
    <x v="6"/>
    <s v="네이버 GFA"/>
    <x v="0"/>
    <x v="0"/>
    <x v="0"/>
    <m/>
    <m/>
    <n v="966384.5454545454"/>
    <m/>
    <m/>
    <m/>
  </r>
  <r>
    <x v="493"/>
    <x v="2"/>
    <s v="카카오광고"/>
    <x v="0"/>
    <x v="0"/>
    <x v="0"/>
    <m/>
    <m/>
    <n v="2800"/>
    <m/>
    <m/>
    <m/>
  </r>
  <r>
    <x v="493"/>
    <x v="2"/>
    <s v="카카오광고"/>
    <x v="0"/>
    <x v="0"/>
    <x v="0"/>
    <m/>
    <m/>
    <n v="4395"/>
    <m/>
    <m/>
    <m/>
  </r>
  <r>
    <x v="493"/>
    <x v="2"/>
    <s v="카카오광고"/>
    <x v="0"/>
    <x v="0"/>
    <x v="0"/>
    <m/>
    <m/>
    <n v="379849.9999999999"/>
    <m/>
    <m/>
    <m/>
  </r>
  <r>
    <x v="494"/>
    <x v="5"/>
    <s v="카카오광고"/>
    <x v="0"/>
    <x v="0"/>
    <x v="0"/>
    <m/>
    <m/>
    <n v="4260"/>
    <m/>
    <m/>
    <m/>
  </r>
  <r>
    <x v="494"/>
    <x v="5"/>
    <s v="카카오광고"/>
    <x v="0"/>
    <x v="0"/>
    <x v="0"/>
    <m/>
    <m/>
    <n v="2760"/>
    <m/>
    <m/>
    <m/>
  </r>
  <r>
    <x v="494"/>
    <x v="5"/>
    <s v="카카오광고"/>
    <x v="0"/>
    <x v="0"/>
    <x v="0"/>
    <m/>
    <m/>
    <n v="416729.9999999999"/>
    <m/>
    <m/>
    <m/>
  </r>
  <r>
    <x v="495"/>
    <x v="6"/>
    <s v="카카오광고"/>
    <x v="0"/>
    <x v="0"/>
    <x v="0"/>
    <m/>
    <m/>
    <n v="6579.999999999999"/>
    <m/>
    <m/>
    <m/>
  </r>
  <r>
    <x v="495"/>
    <x v="6"/>
    <s v="카카오광고"/>
    <x v="0"/>
    <x v="0"/>
    <x v="0"/>
    <m/>
    <m/>
    <n v="3225"/>
    <m/>
    <m/>
    <m/>
  </r>
  <r>
    <x v="495"/>
    <x v="6"/>
    <s v="카카오광고"/>
    <x v="0"/>
    <x v="0"/>
    <x v="0"/>
    <m/>
    <m/>
    <n v="374819.9999999999"/>
    <m/>
    <m/>
    <m/>
  </r>
  <r>
    <x v="493"/>
    <x v="2"/>
    <s v="유튜브 디스커버리"/>
    <x v="0"/>
    <x v="0"/>
    <x v="0"/>
    <m/>
    <m/>
    <n v="79353"/>
    <m/>
    <m/>
    <m/>
  </r>
  <r>
    <x v="493"/>
    <x v="2"/>
    <s v="유튜브 디스커버리"/>
    <x v="0"/>
    <x v="0"/>
    <x v="0"/>
    <m/>
    <m/>
    <n v="139935"/>
    <m/>
    <m/>
    <m/>
  </r>
  <r>
    <x v="493"/>
    <x v="2"/>
    <s v="유튜브 디스커버리"/>
    <x v="0"/>
    <x v="0"/>
    <x v="0"/>
    <m/>
    <m/>
    <n v="101375"/>
    <m/>
    <m/>
    <m/>
  </r>
  <r>
    <x v="493"/>
    <x v="2"/>
    <s v="유튜브 디스커버리"/>
    <x v="0"/>
    <x v="0"/>
    <x v="0"/>
    <m/>
    <m/>
    <n v="47133"/>
    <m/>
    <m/>
    <m/>
  </r>
  <r>
    <x v="493"/>
    <x v="2"/>
    <s v="유튜브 디스커버리"/>
    <x v="0"/>
    <x v="0"/>
    <x v="0"/>
    <m/>
    <m/>
    <n v="100791"/>
    <m/>
    <m/>
    <m/>
  </r>
  <r>
    <x v="493"/>
    <x v="2"/>
    <s v="유튜브 디스커버리"/>
    <x v="0"/>
    <x v="0"/>
    <x v="0"/>
    <m/>
    <m/>
    <n v="171056"/>
    <m/>
    <m/>
    <m/>
  </r>
  <r>
    <x v="493"/>
    <x v="2"/>
    <s v="유튜브 디스커버리"/>
    <x v="0"/>
    <x v="0"/>
    <x v="0"/>
    <m/>
    <m/>
    <n v="100101"/>
    <m/>
    <m/>
    <m/>
  </r>
  <r>
    <x v="493"/>
    <x v="2"/>
    <s v="유튜브 디스커버리"/>
    <x v="0"/>
    <x v="0"/>
    <x v="0"/>
    <m/>
    <m/>
    <n v="163458"/>
    <m/>
    <m/>
    <m/>
  </r>
  <r>
    <x v="493"/>
    <x v="2"/>
    <s v="유튜브 디스커버리"/>
    <x v="0"/>
    <x v="0"/>
    <x v="0"/>
    <m/>
    <m/>
    <n v="89352"/>
    <m/>
    <m/>
    <m/>
  </r>
  <r>
    <x v="493"/>
    <x v="2"/>
    <s v="유튜브 디스커버리"/>
    <x v="0"/>
    <x v="0"/>
    <x v="0"/>
    <m/>
    <m/>
    <n v="128337"/>
    <m/>
    <m/>
    <m/>
  </r>
  <r>
    <x v="493"/>
    <x v="2"/>
    <s v="유튜브 디스커버리"/>
    <x v="7"/>
    <x v="0"/>
    <x v="0"/>
    <m/>
    <m/>
    <n v="125316"/>
    <m/>
    <m/>
    <m/>
  </r>
  <r>
    <x v="493"/>
    <x v="2"/>
    <s v="유튜브 디스커버리"/>
    <x v="0"/>
    <x v="0"/>
    <x v="0"/>
    <m/>
    <m/>
    <n v="69132"/>
    <m/>
    <m/>
    <m/>
  </r>
  <r>
    <x v="494"/>
    <x v="5"/>
    <s v="유튜브 디스커버리"/>
    <x v="0"/>
    <x v="0"/>
    <x v="0"/>
    <m/>
    <m/>
    <n v="99942"/>
    <m/>
    <m/>
    <m/>
  </r>
  <r>
    <x v="494"/>
    <x v="5"/>
    <s v="유튜브 디스커버리"/>
    <x v="7"/>
    <x v="0"/>
    <x v="0"/>
    <m/>
    <m/>
    <n v="135187"/>
    <m/>
    <m/>
    <m/>
  </r>
  <r>
    <x v="494"/>
    <x v="5"/>
    <s v="유튜브 디스커버리"/>
    <x v="0"/>
    <x v="0"/>
    <x v="0"/>
    <m/>
    <m/>
    <n v="99830"/>
    <m/>
    <m/>
    <m/>
  </r>
  <r>
    <x v="494"/>
    <x v="5"/>
    <s v="유튜브 디스커버리"/>
    <x v="0"/>
    <x v="0"/>
    <x v="0"/>
    <m/>
    <m/>
    <n v="208193"/>
    <m/>
    <m/>
    <m/>
  </r>
  <r>
    <x v="494"/>
    <x v="5"/>
    <s v="유튜브 디스커버리"/>
    <x v="0"/>
    <x v="0"/>
    <x v="0"/>
    <m/>
    <m/>
    <n v="119502"/>
    <m/>
    <m/>
    <m/>
  </r>
  <r>
    <x v="494"/>
    <x v="5"/>
    <s v="유튜브 디스커버리"/>
    <x v="0"/>
    <x v="0"/>
    <x v="0"/>
    <m/>
    <m/>
    <n v="111919"/>
    <m/>
    <m/>
    <m/>
  </r>
  <r>
    <x v="494"/>
    <x v="5"/>
    <s v="유튜브 디스커버리"/>
    <x v="0"/>
    <x v="0"/>
    <x v="0"/>
    <m/>
    <m/>
    <n v="200630"/>
    <m/>
    <m/>
    <m/>
  </r>
  <r>
    <x v="494"/>
    <x v="5"/>
    <s v="유튜브 디스커버리"/>
    <x v="0"/>
    <x v="0"/>
    <x v="0"/>
    <m/>
    <m/>
    <n v="26749"/>
    <m/>
    <m/>
    <m/>
  </r>
  <r>
    <x v="494"/>
    <x v="5"/>
    <s v="유튜브 디스커버리"/>
    <x v="0"/>
    <x v="0"/>
    <x v="0"/>
    <m/>
    <m/>
    <n v="65304"/>
    <m/>
    <m/>
    <m/>
  </r>
  <r>
    <x v="494"/>
    <x v="5"/>
    <s v="유튜브 디스커버리"/>
    <x v="0"/>
    <x v="0"/>
    <x v="0"/>
    <m/>
    <m/>
    <n v="99983"/>
    <m/>
    <m/>
    <m/>
  </r>
  <r>
    <x v="494"/>
    <x v="5"/>
    <s v="유튜브 디스커버리"/>
    <x v="0"/>
    <x v="0"/>
    <x v="0"/>
    <m/>
    <m/>
    <n v="7627"/>
    <m/>
    <m/>
    <m/>
  </r>
  <r>
    <x v="495"/>
    <x v="6"/>
    <s v="유튜브 디스커버리"/>
    <x v="7"/>
    <x v="0"/>
    <x v="0"/>
    <m/>
    <m/>
    <n v="334629"/>
    <m/>
    <m/>
    <m/>
  </r>
  <r>
    <x v="495"/>
    <x v="6"/>
    <s v="유튜브 디스커버리"/>
    <x v="0"/>
    <x v="0"/>
    <x v="0"/>
    <m/>
    <m/>
    <n v="130479"/>
    <m/>
    <m/>
    <m/>
  </r>
  <r>
    <x v="495"/>
    <x v="6"/>
    <s v="유튜브 디스커버리"/>
    <x v="0"/>
    <x v="0"/>
    <x v="0"/>
    <m/>
    <m/>
    <n v="99985"/>
    <m/>
    <m/>
    <m/>
  </r>
  <r>
    <x v="495"/>
    <x v="6"/>
    <s v="유튜브 디스커버리"/>
    <x v="0"/>
    <x v="0"/>
    <x v="0"/>
    <m/>
    <m/>
    <n v="160420"/>
    <m/>
    <m/>
    <m/>
  </r>
  <r>
    <x v="495"/>
    <x v="6"/>
    <s v="유튜브 디스커버리"/>
    <x v="0"/>
    <x v="0"/>
    <x v="0"/>
    <m/>
    <m/>
    <n v="99999"/>
    <m/>
    <m/>
    <m/>
  </r>
  <r>
    <x v="495"/>
    <x v="6"/>
    <s v="유튜브 디스커버리"/>
    <x v="0"/>
    <x v="0"/>
    <x v="0"/>
    <m/>
    <m/>
    <n v="294078"/>
    <m/>
    <m/>
    <m/>
  </r>
  <r>
    <x v="495"/>
    <x v="6"/>
    <s v="유튜브 디스커버리"/>
    <x v="0"/>
    <x v="0"/>
    <x v="0"/>
    <m/>
    <m/>
    <n v="90709"/>
    <m/>
    <m/>
    <m/>
  </r>
  <r>
    <x v="495"/>
    <x v="6"/>
    <s v="유튜브 디스커버리"/>
    <x v="0"/>
    <x v="0"/>
    <x v="0"/>
    <m/>
    <m/>
    <n v="341893"/>
    <m/>
    <m/>
    <m/>
  </r>
  <r>
    <x v="495"/>
    <x v="6"/>
    <s v="유튜브 디스커버리"/>
    <x v="0"/>
    <x v="0"/>
    <x v="0"/>
    <m/>
    <m/>
    <n v="422080"/>
    <m/>
    <m/>
    <m/>
  </r>
  <r>
    <x v="495"/>
    <x v="6"/>
    <s v="유튜브 디스커버리"/>
    <x v="0"/>
    <x v="0"/>
    <x v="0"/>
    <m/>
    <m/>
    <n v="619962"/>
    <m/>
    <m/>
    <m/>
  </r>
  <r>
    <x v="495"/>
    <x v="6"/>
    <s v="유튜브 디스커버리"/>
    <x v="0"/>
    <x v="0"/>
    <x v="0"/>
    <m/>
    <m/>
    <n v="99860"/>
    <m/>
    <m/>
    <m/>
  </r>
  <r>
    <x v="495"/>
    <x v="6"/>
    <s v="유튜브 디스커버리"/>
    <x v="0"/>
    <x v="0"/>
    <x v="0"/>
    <m/>
    <m/>
    <n v="731"/>
    <m/>
    <m/>
    <m/>
  </r>
  <r>
    <x v="495"/>
    <x v="6"/>
    <s v="유튜브 디스커버리"/>
    <x v="0"/>
    <x v="0"/>
    <x v="0"/>
    <m/>
    <m/>
    <n v="200308"/>
    <m/>
    <m/>
    <m/>
  </r>
  <r>
    <x v="496"/>
    <x v="3"/>
    <s v="페이스북/인스타그램"/>
    <x v="0"/>
    <x v="0"/>
    <x v="0"/>
    <m/>
    <m/>
    <n v="48506"/>
    <m/>
    <m/>
    <m/>
  </r>
  <r>
    <x v="496"/>
    <x v="3"/>
    <s v="페이스북/인스타그램"/>
    <x v="7"/>
    <x v="0"/>
    <x v="0"/>
    <m/>
    <m/>
    <n v="239582"/>
    <m/>
    <m/>
    <m/>
  </r>
  <r>
    <x v="496"/>
    <x v="3"/>
    <s v="페이스북/인스타그램"/>
    <x v="0"/>
    <x v="0"/>
    <x v="0"/>
    <m/>
    <m/>
    <n v="845612"/>
    <m/>
    <m/>
    <m/>
  </r>
  <r>
    <x v="496"/>
    <x v="3"/>
    <s v="네이버 GFA"/>
    <x v="7"/>
    <x v="0"/>
    <x v="0"/>
    <m/>
    <m/>
    <n v="26399.09090909091"/>
    <m/>
    <m/>
    <m/>
  </r>
  <r>
    <x v="496"/>
    <x v="3"/>
    <s v="네이버 GFA"/>
    <x v="0"/>
    <x v="0"/>
    <x v="0"/>
    <m/>
    <m/>
    <n v="374303.6363636364"/>
    <m/>
    <m/>
    <m/>
  </r>
  <r>
    <x v="496"/>
    <x v="3"/>
    <s v="네이버 GFA"/>
    <x v="7"/>
    <x v="0"/>
    <x v="0"/>
    <m/>
    <m/>
    <n v="683280.9090909091"/>
    <m/>
    <m/>
    <m/>
  </r>
  <r>
    <x v="496"/>
    <x v="3"/>
    <s v="네이버 GFA"/>
    <x v="7"/>
    <x v="0"/>
    <x v="0"/>
    <m/>
    <m/>
    <n v="577695.4545454545"/>
    <m/>
    <m/>
    <m/>
  </r>
  <r>
    <x v="496"/>
    <x v="3"/>
    <s v="네이버 GFA"/>
    <x v="0"/>
    <x v="0"/>
    <x v="0"/>
    <m/>
    <m/>
    <n v="901785.4545454545"/>
    <m/>
    <m/>
    <m/>
  </r>
  <r>
    <x v="496"/>
    <x v="3"/>
    <s v="유튜브 디스커버리"/>
    <x v="0"/>
    <x v="0"/>
    <x v="0"/>
    <m/>
    <m/>
    <n v="244944"/>
    <m/>
    <m/>
    <m/>
  </r>
  <r>
    <x v="496"/>
    <x v="3"/>
    <s v="유튜브 디스커버리"/>
    <x v="0"/>
    <x v="0"/>
    <x v="0"/>
    <m/>
    <m/>
    <n v="212420"/>
    <m/>
    <m/>
    <m/>
  </r>
  <r>
    <x v="496"/>
    <x v="3"/>
    <s v="유튜브 디스커버리"/>
    <x v="0"/>
    <x v="0"/>
    <x v="0"/>
    <m/>
    <m/>
    <n v="161633"/>
    <m/>
    <m/>
    <m/>
  </r>
  <r>
    <x v="496"/>
    <x v="3"/>
    <s v="유튜브 디스커버리"/>
    <x v="0"/>
    <x v="0"/>
    <x v="0"/>
    <m/>
    <m/>
    <n v="103927"/>
    <m/>
    <m/>
    <m/>
  </r>
  <r>
    <x v="496"/>
    <x v="3"/>
    <s v="유튜브 디스커버리"/>
    <x v="0"/>
    <x v="0"/>
    <x v="0"/>
    <m/>
    <m/>
    <n v="11591"/>
    <m/>
    <m/>
    <m/>
  </r>
  <r>
    <x v="496"/>
    <x v="3"/>
    <s v="유튜브 디스커버리"/>
    <x v="0"/>
    <x v="0"/>
    <x v="0"/>
    <m/>
    <m/>
    <n v="355"/>
    <m/>
    <m/>
    <m/>
  </r>
  <r>
    <x v="496"/>
    <x v="3"/>
    <s v="유튜브 디스커버리"/>
    <x v="0"/>
    <x v="0"/>
    <x v="0"/>
    <m/>
    <m/>
    <n v="520650"/>
    <m/>
    <m/>
    <m/>
  </r>
  <r>
    <x v="496"/>
    <x v="3"/>
    <s v="유튜브 디스커버리"/>
    <x v="0"/>
    <x v="0"/>
    <x v="0"/>
    <m/>
    <m/>
    <n v="52013"/>
    <m/>
    <m/>
    <m/>
  </r>
  <r>
    <x v="496"/>
    <x v="3"/>
    <s v="유튜브 디스커버리"/>
    <x v="0"/>
    <x v="0"/>
    <x v="0"/>
    <m/>
    <m/>
    <n v="1184"/>
    <m/>
    <m/>
    <m/>
  </r>
  <r>
    <x v="496"/>
    <x v="3"/>
    <s v="유튜브 디스커버리"/>
    <x v="0"/>
    <x v="0"/>
    <x v="0"/>
    <m/>
    <m/>
    <n v="127676"/>
    <m/>
    <m/>
    <m/>
  </r>
  <r>
    <x v="496"/>
    <x v="3"/>
    <s v="유튜브 디스커버리"/>
    <x v="0"/>
    <x v="0"/>
    <x v="0"/>
    <m/>
    <m/>
    <n v="106771"/>
    <m/>
    <m/>
    <m/>
  </r>
  <r>
    <x v="496"/>
    <x v="3"/>
    <s v="유튜브 디스커버리"/>
    <x v="7"/>
    <x v="0"/>
    <x v="0"/>
    <m/>
    <m/>
    <n v="201765"/>
    <m/>
    <m/>
    <m/>
  </r>
  <r>
    <x v="496"/>
    <x v="3"/>
    <s v="유튜브 디스커버리"/>
    <x v="0"/>
    <x v="0"/>
    <x v="0"/>
    <m/>
    <m/>
    <n v="51219"/>
    <m/>
    <m/>
    <m/>
  </r>
  <r>
    <x v="496"/>
    <x v="3"/>
    <s v="유튜브 디스커버리"/>
    <x v="0"/>
    <x v="0"/>
    <x v="0"/>
    <m/>
    <m/>
    <n v="44662"/>
    <m/>
    <m/>
    <m/>
  </r>
  <r>
    <x v="496"/>
    <x v="3"/>
    <s v="유튜브 디스커버리"/>
    <x v="0"/>
    <x v="0"/>
    <x v="0"/>
    <m/>
    <m/>
    <n v="95051"/>
    <m/>
    <m/>
    <m/>
  </r>
  <r>
    <x v="496"/>
    <x v="3"/>
    <s v="카카오광고"/>
    <x v="0"/>
    <x v="0"/>
    <x v="0"/>
    <m/>
    <m/>
    <n v="90979.99999999999"/>
    <m/>
    <m/>
    <m/>
  </r>
  <r>
    <x v="496"/>
    <x v="3"/>
    <s v="카카오광고"/>
    <x v="0"/>
    <x v="0"/>
    <x v="0"/>
    <m/>
    <m/>
    <n v="44060"/>
    <m/>
    <m/>
    <m/>
  </r>
  <r>
    <x v="496"/>
    <x v="3"/>
    <s v="카카오광고"/>
    <x v="0"/>
    <x v="0"/>
    <x v="0"/>
    <m/>
    <m/>
    <n v="3540"/>
    <m/>
    <m/>
    <m/>
  </r>
  <r>
    <x v="496"/>
    <x v="3"/>
    <s v="카카오광고"/>
    <x v="0"/>
    <x v="0"/>
    <x v="0"/>
    <m/>
    <m/>
    <n v="225990"/>
    <m/>
    <m/>
    <m/>
  </r>
  <r>
    <x v="496"/>
    <x v="3"/>
    <s v="카카오광고"/>
    <x v="17"/>
    <x v="0"/>
    <x v="0"/>
    <m/>
    <m/>
    <n v="9350"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8"/>
    <x v="0"/>
    <m/>
    <x v="0"/>
    <x v="1"/>
    <x v="15"/>
    <n v="190801"/>
    <n v="190801"/>
    <m/>
    <n v="4"/>
    <n v="190801"/>
    <n v="80000"/>
  </r>
  <r>
    <x v="498"/>
    <x v="0"/>
    <m/>
    <x v="0"/>
    <x v="1"/>
    <x v="16"/>
    <n v="190801"/>
    <n v="190801"/>
    <m/>
    <n v="4"/>
    <n v="190801"/>
    <n v="140000"/>
  </r>
  <r>
    <x v="498"/>
    <x v="0"/>
    <m/>
    <x v="0"/>
    <x v="2"/>
    <x v="15"/>
    <n v="190801"/>
    <n v="190801"/>
    <m/>
    <n v="38"/>
    <n v="190801"/>
    <n v="760000"/>
  </r>
  <r>
    <x v="498"/>
    <x v="0"/>
    <m/>
    <x v="0"/>
    <x v="2"/>
    <x v="16"/>
    <n v="190801"/>
    <n v="190801"/>
    <m/>
    <n v="42"/>
    <n v="190801"/>
    <n v="1470000"/>
  </r>
  <r>
    <x v="499"/>
    <x v="2"/>
    <m/>
    <x v="0"/>
    <x v="1"/>
    <x v="15"/>
    <n v="190801"/>
    <n v="190801"/>
    <m/>
    <n v="3"/>
    <n v="190801"/>
    <n v="60000"/>
  </r>
  <r>
    <x v="499"/>
    <x v="2"/>
    <m/>
    <x v="0"/>
    <x v="1"/>
    <x v="16"/>
    <n v="190801"/>
    <n v="190801"/>
    <m/>
    <n v="3"/>
    <n v="190801"/>
    <n v="105000"/>
  </r>
  <r>
    <x v="499"/>
    <x v="2"/>
    <m/>
    <x v="0"/>
    <x v="2"/>
    <x v="15"/>
    <n v="190801"/>
    <n v="190801"/>
    <m/>
    <n v="35"/>
    <n v="190801"/>
    <n v="700000"/>
  </r>
  <r>
    <x v="499"/>
    <x v="2"/>
    <m/>
    <x v="0"/>
    <x v="2"/>
    <x v="16"/>
    <n v="190801"/>
    <n v="190801"/>
    <m/>
    <n v="31"/>
    <n v="190801"/>
    <n v="1085000"/>
  </r>
  <r>
    <x v="500"/>
    <x v="5"/>
    <m/>
    <x v="0"/>
    <x v="1"/>
    <x v="15"/>
    <n v="190801"/>
    <n v="190801"/>
    <m/>
    <n v="3"/>
    <n v="190801"/>
    <n v="60000"/>
  </r>
  <r>
    <x v="500"/>
    <x v="5"/>
    <m/>
    <x v="0"/>
    <x v="3"/>
    <x v="15"/>
    <n v="190801"/>
    <n v="190801"/>
    <m/>
    <n v="10"/>
    <n v="190801"/>
    <n v="0"/>
  </r>
  <r>
    <x v="500"/>
    <x v="5"/>
    <m/>
    <x v="0"/>
    <x v="2"/>
    <x v="15"/>
    <n v="190801"/>
    <n v="190801"/>
    <m/>
    <n v="39"/>
    <n v="190801"/>
    <n v="780000"/>
  </r>
  <r>
    <x v="501"/>
    <x v="6"/>
    <m/>
    <x v="0"/>
    <x v="2"/>
    <x v="16"/>
    <n v="190801"/>
    <n v="190801"/>
    <m/>
    <n v="35"/>
    <n v="190801"/>
    <n v="1225000"/>
  </r>
  <r>
    <x v="501"/>
    <x v="6"/>
    <m/>
    <x v="0"/>
    <x v="1"/>
    <x v="15"/>
    <n v="190801"/>
    <n v="190801"/>
    <m/>
    <n v="4"/>
    <n v="190801"/>
    <n v="80000"/>
  </r>
  <r>
    <x v="501"/>
    <x v="6"/>
    <m/>
    <x v="0"/>
    <x v="3"/>
    <x v="15"/>
    <n v="190801"/>
    <n v="190801"/>
    <m/>
    <n v="3"/>
    <n v="190801"/>
    <n v="0"/>
  </r>
  <r>
    <x v="501"/>
    <x v="6"/>
    <m/>
    <x v="0"/>
    <x v="2"/>
    <x v="15"/>
    <n v="190801"/>
    <n v="190801"/>
    <m/>
    <n v="37"/>
    <n v="190801"/>
    <n v="740000"/>
  </r>
  <r>
    <x v="502"/>
    <x v="3"/>
    <m/>
    <x v="0"/>
    <x v="2"/>
    <x v="16"/>
    <n v="190801"/>
    <n v="190801"/>
    <m/>
    <n v="27"/>
    <n v="190801"/>
    <n v="945000"/>
  </r>
  <r>
    <x v="502"/>
    <x v="3"/>
    <m/>
    <x v="0"/>
    <x v="1"/>
    <x v="15"/>
    <n v="190801"/>
    <n v="190801"/>
    <m/>
    <n v="8"/>
    <n v="190801"/>
    <n v="160000"/>
  </r>
  <r>
    <x v="502"/>
    <x v="3"/>
    <m/>
    <x v="0"/>
    <x v="2"/>
    <x v="15"/>
    <n v="190801"/>
    <n v="190801"/>
    <m/>
    <n v="31"/>
    <n v="190801"/>
    <n v="620000"/>
  </r>
  <r>
    <x v="25"/>
    <x v="4"/>
    <m/>
    <x v="0"/>
    <x v="2"/>
    <x v="15"/>
    <n v="190801"/>
    <n v="190801"/>
    <m/>
    <n v="55"/>
    <n v="190801"/>
    <n v="1100000"/>
  </r>
  <r>
    <x v="25"/>
    <x v="4"/>
    <m/>
    <x v="0"/>
    <x v="2"/>
    <x v="16"/>
    <n v="190801"/>
    <n v="190801"/>
    <m/>
    <n v="47"/>
    <n v="190801"/>
    <n v="1645000"/>
  </r>
  <r>
    <x v="25"/>
    <x v="4"/>
    <m/>
    <x v="0"/>
    <x v="1"/>
    <x v="15"/>
    <n v="190801"/>
    <n v="190801"/>
    <m/>
    <n v="25"/>
    <n v="190801"/>
    <n v="500000"/>
  </r>
  <r>
    <x v="26"/>
    <x v="1"/>
    <m/>
    <x v="0"/>
    <x v="2"/>
    <x v="15"/>
    <n v="190801"/>
    <n v="190801"/>
    <m/>
    <n v="54"/>
    <n v="190801"/>
    <n v="1080000"/>
  </r>
  <r>
    <x v="26"/>
    <x v="1"/>
    <m/>
    <x v="0"/>
    <x v="2"/>
    <x v="16"/>
    <n v="190801"/>
    <n v="190801"/>
    <m/>
    <n v="47"/>
    <n v="190801"/>
    <n v="1645000"/>
  </r>
  <r>
    <x v="26"/>
    <x v="1"/>
    <m/>
    <x v="0"/>
    <x v="1"/>
    <x v="15"/>
    <n v="190801"/>
    <n v="190801"/>
    <m/>
    <n v="2"/>
    <n v="190801"/>
    <n v="40000"/>
  </r>
  <r>
    <x v="27"/>
    <x v="0"/>
    <m/>
    <x v="0"/>
    <x v="2"/>
    <x v="15"/>
    <n v="190801"/>
    <n v="190801"/>
    <m/>
    <n v="36"/>
    <n v="190801"/>
    <n v="720000"/>
  </r>
  <r>
    <x v="27"/>
    <x v="0"/>
    <m/>
    <x v="0"/>
    <x v="2"/>
    <x v="16"/>
    <n v="190801"/>
    <n v="190801"/>
    <m/>
    <n v="41"/>
    <n v="190801"/>
    <n v="1435000"/>
  </r>
  <r>
    <x v="27"/>
    <x v="0"/>
    <m/>
    <x v="0"/>
    <x v="1"/>
    <x v="15"/>
    <n v="190801"/>
    <n v="190801"/>
    <m/>
    <n v="11"/>
    <n v="190801"/>
    <n v="220000"/>
  </r>
  <r>
    <x v="28"/>
    <x v="2"/>
    <m/>
    <x v="0"/>
    <x v="2"/>
    <x v="15"/>
    <n v="190801"/>
    <n v="190801"/>
    <m/>
    <n v="35"/>
    <n v="190801"/>
    <n v="700000"/>
  </r>
  <r>
    <x v="28"/>
    <x v="2"/>
    <m/>
    <x v="0"/>
    <x v="2"/>
    <x v="16"/>
    <n v="190801"/>
    <n v="190801"/>
    <m/>
    <n v="38"/>
    <n v="190801"/>
    <n v="1330000"/>
  </r>
  <r>
    <x v="28"/>
    <x v="2"/>
    <m/>
    <x v="0"/>
    <x v="3"/>
    <x v="15"/>
    <n v="190801"/>
    <n v="190801"/>
    <m/>
    <n v="2"/>
    <n v="190801"/>
    <n v="0"/>
  </r>
  <r>
    <x v="28"/>
    <x v="2"/>
    <m/>
    <x v="0"/>
    <x v="1"/>
    <x v="15"/>
    <n v="190801"/>
    <n v="190801"/>
    <m/>
    <n v="4"/>
    <n v="190801"/>
    <n v="80000"/>
  </r>
  <r>
    <x v="29"/>
    <x v="5"/>
    <m/>
    <x v="0"/>
    <x v="2"/>
    <x v="16"/>
    <n v="190801"/>
    <n v="190801"/>
    <m/>
    <n v="40"/>
    <n v="190801"/>
    <n v="1400000"/>
  </r>
  <r>
    <x v="29"/>
    <x v="5"/>
    <m/>
    <x v="0"/>
    <x v="1"/>
    <x v="15"/>
    <n v="190801"/>
    <n v="190801"/>
    <m/>
    <n v="8"/>
    <n v="190801"/>
    <n v="160000"/>
  </r>
  <r>
    <x v="29"/>
    <x v="5"/>
    <m/>
    <x v="0"/>
    <x v="2"/>
    <x v="15"/>
    <n v="190801"/>
    <n v="190801"/>
    <m/>
    <n v="31"/>
    <n v="190801"/>
    <n v="620000"/>
  </r>
  <r>
    <x v="30"/>
    <x v="6"/>
    <m/>
    <x v="0"/>
    <x v="2"/>
    <x v="16"/>
    <n v="190801"/>
    <n v="190801"/>
    <m/>
    <n v="27"/>
    <n v="190801"/>
    <n v="945000"/>
  </r>
  <r>
    <x v="30"/>
    <x v="6"/>
    <m/>
    <x v="0"/>
    <x v="1"/>
    <x v="15"/>
    <n v="190801"/>
    <n v="190801"/>
    <m/>
    <n v="4"/>
    <n v="190801"/>
    <n v="80000"/>
  </r>
  <r>
    <x v="30"/>
    <x v="6"/>
    <m/>
    <x v="0"/>
    <x v="3"/>
    <x v="15"/>
    <n v="190801"/>
    <n v="190801"/>
    <m/>
    <n v="3"/>
    <n v="190801"/>
    <n v="0"/>
  </r>
  <r>
    <x v="30"/>
    <x v="6"/>
    <m/>
    <x v="0"/>
    <x v="2"/>
    <x v="15"/>
    <n v="190801"/>
    <n v="190801"/>
    <m/>
    <n v="37"/>
    <n v="190801"/>
    <n v="740000"/>
  </r>
  <r>
    <x v="4"/>
    <x v="3"/>
    <m/>
    <x v="0"/>
    <x v="2"/>
    <x v="16"/>
    <n v="190801"/>
    <n v="190801"/>
    <m/>
    <n v="35"/>
    <n v="190801"/>
    <n v="1225000"/>
  </r>
  <r>
    <x v="4"/>
    <x v="3"/>
    <m/>
    <x v="0"/>
    <x v="1"/>
    <x v="15"/>
    <n v="190801"/>
    <n v="190801"/>
    <m/>
    <n v="3"/>
    <n v="190801"/>
    <n v="60000"/>
  </r>
  <r>
    <x v="4"/>
    <x v="3"/>
    <m/>
    <x v="0"/>
    <x v="2"/>
    <x v="15"/>
    <n v="190801"/>
    <n v="190801"/>
    <m/>
    <n v="39"/>
    <n v="190801"/>
    <n v="780000"/>
  </r>
  <r>
    <x v="4"/>
    <x v="3"/>
    <m/>
    <x v="0"/>
    <x v="3"/>
    <x v="15"/>
    <n v="190801"/>
    <n v="190801"/>
    <m/>
    <n v="10"/>
    <n v="190801"/>
    <n v="0"/>
  </r>
  <r>
    <x v="5"/>
    <x v="4"/>
    <m/>
    <x v="0"/>
    <x v="1"/>
    <x v="15"/>
    <n v="190801"/>
    <n v="190801"/>
    <m/>
    <n v="3"/>
    <n v="190801"/>
    <n v="60000"/>
  </r>
  <r>
    <x v="5"/>
    <x v="4"/>
    <m/>
    <x v="0"/>
    <x v="1"/>
    <x v="16"/>
    <n v="190801"/>
    <n v="190801"/>
    <m/>
    <n v="3"/>
    <n v="190801"/>
    <n v="105000"/>
  </r>
  <r>
    <x v="5"/>
    <x v="4"/>
    <m/>
    <x v="0"/>
    <x v="2"/>
    <x v="15"/>
    <n v="190801"/>
    <n v="190801"/>
    <m/>
    <n v="35"/>
    <n v="190801"/>
    <n v="700000"/>
  </r>
  <r>
    <x v="5"/>
    <x v="4"/>
    <m/>
    <x v="0"/>
    <x v="2"/>
    <x v="16"/>
    <n v="190801"/>
    <n v="190801"/>
    <m/>
    <n v="31"/>
    <n v="190801"/>
    <n v="1085000"/>
  </r>
  <r>
    <x v="6"/>
    <x v="1"/>
    <m/>
    <x v="0"/>
    <x v="1"/>
    <x v="15"/>
    <n v="190801"/>
    <n v="190801"/>
    <m/>
    <n v="4"/>
    <n v="190801"/>
    <n v="80000"/>
  </r>
  <r>
    <x v="6"/>
    <x v="1"/>
    <m/>
    <x v="0"/>
    <x v="1"/>
    <x v="16"/>
    <n v="190801"/>
    <n v="190801"/>
    <m/>
    <n v="4"/>
    <n v="190801"/>
    <n v="140000"/>
  </r>
  <r>
    <x v="6"/>
    <x v="1"/>
    <m/>
    <x v="0"/>
    <x v="2"/>
    <x v="15"/>
    <n v="190801"/>
    <n v="190801"/>
    <m/>
    <n v="38"/>
    <n v="190801"/>
    <n v="760000"/>
  </r>
  <r>
    <x v="6"/>
    <x v="1"/>
    <m/>
    <x v="0"/>
    <x v="2"/>
    <x v="16"/>
    <n v="190801"/>
    <n v="190801"/>
    <m/>
    <n v="42"/>
    <n v="190801"/>
    <n v="1470000"/>
  </r>
  <r>
    <x v="31"/>
    <x v="0"/>
    <m/>
    <x v="0"/>
    <x v="1"/>
    <x v="15"/>
    <n v="190801"/>
    <n v="190801"/>
    <m/>
    <n v="5"/>
    <n v="190801"/>
    <n v="100000"/>
  </r>
  <r>
    <x v="31"/>
    <x v="0"/>
    <m/>
    <x v="0"/>
    <x v="1"/>
    <x v="16"/>
    <n v="190801"/>
    <n v="190801"/>
    <m/>
    <n v="5"/>
    <n v="190801"/>
    <n v="175000"/>
  </r>
  <r>
    <x v="31"/>
    <x v="0"/>
    <m/>
    <x v="0"/>
    <x v="2"/>
    <x v="15"/>
    <n v="190801"/>
    <n v="190801"/>
    <m/>
    <n v="49"/>
    <n v="190801"/>
    <n v="980000"/>
  </r>
  <r>
    <x v="31"/>
    <x v="0"/>
    <m/>
    <x v="0"/>
    <x v="2"/>
    <x v="16"/>
    <n v="190801"/>
    <n v="190801"/>
    <m/>
    <n v="44"/>
    <n v="190801"/>
    <n v="1540000"/>
  </r>
  <r>
    <x v="7"/>
    <x v="2"/>
    <m/>
    <x v="0"/>
    <x v="1"/>
    <x v="15"/>
    <n v="190801"/>
    <n v="190801"/>
    <m/>
    <n v="5"/>
    <n v="190801"/>
    <n v="100000"/>
  </r>
  <r>
    <x v="7"/>
    <x v="2"/>
    <m/>
    <x v="0"/>
    <x v="1"/>
    <x v="16"/>
    <n v="190801"/>
    <n v="190801"/>
    <m/>
    <n v="5"/>
    <n v="190801"/>
    <n v="175000"/>
  </r>
  <r>
    <x v="7"/>
    <x v="2"/>
    <m/>
    <x v="0"/>
    <x v="2"/>
    <x v="15"/>
    <n v="190801"/>
    <n v="190801"/>
    <m/>
    <n v="46"/>
    <n v="190801"/>
    <n v="920000"/>
  </r>
  <r>
    <x v="7"/>
    <x v="2"/>
    <m/>
    <x v="0"/>
    <x v="2"/>
    <x v="16"/>
    <n v="190801"/>
    <n v="190801"/>
    <m/>
    <n v="49"/>
    <n v="190801"/>
    <n v="1715000"/>
  </r>
  <r>
    <x v="7"/>
    <x v="2"/>
    <m/>
    <x v="0"/>
    <x v="2"/>
    <x v="16"/>
    <n v="190801"/>
    <n v="190801"/>
    <m/>
    <n v="1"/>
    <n v="190801"/>
    <n v="35000"/>
  </r>
  <r>
    <x v="8"/>
    <x v="5"/>
    <m/>
    <x v="0"/>
    <x v="1"/>
    <x v="16"/>
    <n v="190801"/>
    <n v="190801"/>
    <m/>
    <n v="7"/>
    <n v="190801"/>
    <n v="245000"/>
  </r>
  <r>
    <x v="8"/>
    <x v="5"/>
    <m/>
    <x v="0"/>
    <x v="2"/>
    <x v="15"/>
    <n v="190801"/>
    <n v="190801"/>
    <m/>
    <n v="45"/>
    <n v="190801"/>
    <n v="900000"/>
  </r>
  <r>
    <x v="8"/>
    <x v="5"/>
    <m/>
    <x v="0"/>
    <x v="2"/>
    <x v="16"/>
    <n v="190801"/>
    <n v="190801"/>
    <m/>
    <n v="39"/>
    <n v="190801"/>
    <n v="1365000"/>
  </r>
  <r>
    <x v="9"/>
    <x v="6"/>
    <m/>
    <x v="0"/>
    <x v="1"/>
    <x v="15"/>
    <n v="190801"/>
    <n v="190801"/>
    <m/>
    <n v="1"/>
    <n v="190801"/>
    <n v="20000"/>
  </r>
  <r>
    <x v="9"/>
    <x v="6"/>
    <m/>
    <x v="0"/>
    <x v="1"/>
    <x v="16"/>
    <n v="190801"/>
    <n v="190801"/>
    <m/>
    <n v="4"/>
    <n v="190801"/>
    <n v="140000"/>
  </r>
  <r>
    <x v="9"/>
    <x v="6"/>
    <m/>
    <x v="0"/>
    <x v="2"/>
    <x v="15"/>
    <n v="190801"/>
    <n v="190801"/>
    <m/>
    <n v="48"/>
    <n v="190801"/>
    <n v="960000"/>
  </r>
  <r>
    <x v="9"/>
    <x v="6"/>
    <m/>
    <x v="0"/>
    <x v="2"/>
    <x v="16"/>
    <n v="190801"/>
    <n v="190801"/>
    <m/>
    <n v="66"/>
    <n v="190801"/>
    <n v="2310000"/>
  </r>
  <r>
    <x v="9"/>
    <x v="6"/>
    <m/>
    <x v="0"/>
    <x v="2"/>
    <x v="16"/>
    <n v="190801"/>
    <n v="190801"/>
    <m/>
    <n v="2"/>
    <n v="190801"/>
    <n v="70000"/>
  </r>
  <r>
    <x v="10"/>
    <x v="3"/>
    <m/>
    <x v="0"/>
    <x v="1"/>
    <x v="15"/>
    <n v="190801"/>
    <n v="190801"/>
    <m/>
    <n v="6"/>
    <n v="190801"/>
    <n v="120000"/>
  </r>
  <r>
    <x v="10"/>
    <x v="3"/>
    <m/>
    <x v="0"/>
    <x v="1"/>
    <x v="16"/>
    <n v="190801"/>
    <n v="190801"/>
    <m/>
    <n v="6"/>
    <n v="190801"/>
    <n v="210000"/>
  </r>
  <r>
    <x v="10"/>
    <x v="3"/>
    <m/>
    <x v="0"/>
    <x v="2"/>
    <x v="15"/>
    <n v="190801"/>
    <n v="190801"/>
    <m/>
    <n v="60"/>
    <n v="190801"/>
    <n v="1200000"/>
  </r>
  <r>
    <x v="10"/>
    <x v="3"/>
    <m/>
    <x v="0"/>
    <x v="2"/>
    <x v="16"/>
    <n v="190801"/>
    <n v="190801"/>
    <m/>
    <n v="69"/>
    <n v="190801"/>
    <n v="2415000"/>
  </r>
  <r>
    <x v="10"/>
    <x v="3"/>
    <m/>
    <x v="0"/>
    <x v="2"/>
    <x v="16"/>
    <n v="190801"/>
    <n v="190801"/>
    <m/>
    <n v="2"/>
    <n v="190801"/>
    <n v="70000"/>
  </r>
  <r>
    <x v="11"/>
    <x v="4"/>
    <m/>
    <x v="0"/>
    <x v="1"/>
    <x v="15"/>
    <n v="190801"/>
    <n v="190801"/>
    <m/>
    <n v="5"/>
    <n v="190801"/>
    <n v="100000"/>
  </r>
  <r>
    <x v="11"/>
    <x v="4"/>
    <m/>
    <x v="0"/>
    <x v="1"/>
    <x v="16"/>
    <n v="190801"/>
    <n v="190801"/>
    <m/>
    <n v="5"/>
    <n v="190801"/>
    <n v="175000"/>
  </r>
  <r>
    <x v="11"/>
    <x v="4"/>
    <m/>
    <x v="0"/>
    <x v="2"/>
    <x v="15"/>
    <n v="190801"/>
    <n v="190801"/>
    <m/>
    <n v="56"/>
    <n v="190801"/>
    <n v="1120000"/>
  </r>
  <r>
    <x v="11"/>
    <x v="4"/>
    <m/>
    <x v="0"/>
    <x v="2"/>
    <x v="16"/>
    <n v="190801"/>
    <n v="190801"/>
    <m/>
    <n v="36"/>
    <n v="190801"/>
    <n v="1260000"/>
  </r>
  <r>
    <x v="11"/>
    <x v="4"/>
    <m/>
    <x v="0"/>
    <x v="2"/>
    <x v="16"/>
    <n v="190801"/>
    <n v="190801"/>
    <m/>
    <n v="6"/>
    <n v="190801"/>
    <n v="210000"/>
  </r>
  <r>
    <x v="12"/>
    <x v="1"/>
    <m/>
    <x v="0"/>
    <x v="1"/>
    <x v="15"/>
    <n v="190801"/>
    <n v="190801"/>
    <m/>
    <n v="3"/>
    <n v="190801"/>
    <n v="60000"/>
  </r>
  <r>
    <x v="12"/>
    <x v="1"/>
    <m/>
    <x v="0"/>
    <x v="1"/>
    <x v="16"/>
    <n v="190801"/>
    <n v="190801"/>
    <m/>
    <n v="2"/>
    <n v="190801"/>
    <n v="70000"/>
  </r>
  <r>
    <x v="12"/>
    <x v="1"/>
    <m/>
    <x v="0"/>
    <x v="2"/>
    <x v="15"/>
    <n v="190801"/>
    <n v="190801"/>
    <m/>
    <n v="63"/>
    <n v="190801"/>
    <n v="1260000"/>
  </r>
  <r>
    <x v="12"/>
    <x v="1"/>
    <m/>
    <x v="0"/>
    <x v="2"/>
    <x v="16"/>
    <n v="190801"/>
    <n v="190801"/>
    <m/>
    <n v="43"/>
    <n v="190801"/>
    <n v="1505000"/>
  </r>
  <r>
    <x v="12"/>
    <x v="1"/>
    <m/>
    <x v="0"/>
    <x v="2"/>
    <x v="16"/>
    <n v="190801"/>
    <n v="190801"/>
    <m/>
    <n v="8"/>
    <n v="190801"/>
    <n v="280000"/>
  </r>
  <r>
    <x v="13"/>
    <x v="0"/>
    <m/>
    <x v="0"/>
    <x v="1"/>
    <x v="15"/>
    <n v="190801"/>
    <n v="190801"/>
    <m/>
    <n v="2"/>
    <n v="190801"/>
    <n v="40000"/>
  </r>
  <r>
    <x v="13"/>
    <x v="0"/>
    <m/>
    <x v="0"/>
    <x v="1"/>
    <x v="16"/>
    <n v="190801"/>
    <n v="190801"/>
    <m/>
    <n v="2"/>
    <n v="190801"/>
    <n v="70000"/>
  </r>
  <r>
    <x v="13"/>
    <x v="0"/>
    <m/>
    <x v="0"/>
    <x v="2"/>
    <x v="15"/>
    <n v="190801"/>
    <n v="190801"/>
    <m/>
    <n v="46"/>
    <n v="190801"/>
    <n v="920000"/>
  </r>
  <r>
    <x v="13"/>
    <x v="0"/>
    <m/>
    <x v="0"/>
    <x v="2"/>
    <x v="16"/>
    <n v="190801"/>
    <n v="190801"/>
    <m/>
    <n v="51"/>
    <n v="190801"/>
    <n v="1785000"/>
  </r>
  <r>
    <x v="13"/>
    <x v="0"/>
    <m/>
    <x v="0"/>
    <x v="2"/>
    <x v="16"/>
    <n v="190801"/>
    <n v="190801"/>
    <m/>
    <n v="4"/>
    <n v="190801"/>
    <n v="140000"/>
  </r>
  <r>
    <x v="14"/>
    <x v="2"/>
    <m/>
    <x v="0"/>
    <x v="1"/>
    <x v="15"/>
    <n v="190801"/>
    <n v="190801"/>
    <m/>
    <n v="3"/>
    <n v="190801"/>
    <n v="60000"/>
  </r>
  <r>
    <x v="14"/>
    <x v="2"/>
    <m/>
    <x v="0"/>
    <x v="1"/>
    <x v="16"/>
    <n v="190801"/>
    <n v="190801"/>
    <m/>
    <n v="1"/>
    <n v="190801"/>
    <n v="35000"/>
  </r>
  <r>
    <x v="14"/>
    <x v="2"/>
    <m/>
    <x v="0"/>
    <x v="2"/>
    <x v="15"/>
    <n v="190801"/>
    <n v="190801"/>
    <m/>
    <n v="43"/>
    <n v="190801"/>
    <n v="860000"/>
  </r>
  <r>
    <x v="14"/>
    <x v="2"/>
    <m/>
    <x v="0"/>
    <x v="2"/>
    <x v="16"/>
    <n v="190801"/>
    <n v="190801"/>
    <m/>
    <n v="49"/>
    <n v="190801"/>
    <n v="1715000"/>
  </r>
  <r>
    <x v="14"/>
    <x v="2"/>
    <m/>
    <x v="0"/>
    <x v="2"/>
    <x v="16"/>
    <n v="190801"/>
    <n v="190801"/>
    <m/>
    <n v="7"/>
    <n v="190801"/>
    <n v="245000"/>
  </r>
  <r>
    <x v="15"/>
    <x v="5"/>
    <m/>
    <x v="0"/>
    <x v="1"/>
    <x v="15"/>
    <n v="190801"/>
    <n v="190801"/>
    <m/>
    <n v="3"/>
    <n v="190801"/>
    <n v="60000"/>
  </r>
  <r>
    <x v="15"/>
    <x v="5"/>
    <m/>
    <x v="0"/>
    <x v="1"/>
    <x v="16"/>
    <n v="190801"/>
    <n v="190801"/>
    <m/>
    <n v="3"/>
    <n v="190801"/>
    <n v="105000"/>
  </r>
  <r>
    <x v="15"/>
    <x v="5"/>
    <m/>
    <x v="0"/>
    <x v="2"/>
    <x v="15"/>
    <n v="190801"/>
    <n v="190801"/>
    <m/>
    <n v="51"/>
    <n v="190801"/>
    <n v="1020000"/>
  </r>
  <r>
    <x v="15"/>
    <x v="5"/>
    <m/>
    <x v="0"/>
    <x v="2"/>
    <x v="16"/>
    <n v="190801"/>
    <n v="190801"/>
    <m/>
    <n v="42"/>
    <n v="190801"/>
    <n v="1470000"/>
  </r>
  <r>
    <x v="15"/>
    <x v="5"/>
    <m/>
    <x v="0"/>
    <x v="2"/>
    <x v="16"/>
    <n v="190801"/>
    <n v="190801"/>
    <m/>
    <n v="3"/>
    <n v="190801"/>
    <n v="105000"/>
  </r>
  <r>
    <x v="16"/>
    <x v="6"/>
    <m/>
    <x v="0"/>
    <x v="1"/>
    <x v="15"/>
    <n v="190801"/>
    <n v="190801"/>
    <m/>
    <n v="2"/>
    <n v="190801"/>
    <n v="40000"/>
  </r>
  <r>
    <x v="16"/>
    <x v="6"/>
    <m/>
    <x v="0"/>
    <x v="1"/>
    <x v="16"/>
    <n v="190801"/>
    <n v="190801"/>
    <m/>
    <n v="4"/>
    <n v="190801"/>
    <n v="140000"/>
  </r>
  <r>
    <x v="16"/>
    <x v="6"/>
    <m/>
    <x v="0"/>
    <x v="2"/>
    <x v="15"/>
    <n v="190801"/>
    <n v="190801"/>
    <m/>
    <n v="53"/>
    <n v="190801"/>
    <n v="1060000"/>
  </r>
  <r>
    <x v="16"/>
    <x v="6"/>
    <m/>
    <x v="0"/>
    <x v="2"/>
    <x v="16"/>
    <n v="190801"/>
    <n v="190801"/>
    <m/>
    <n v="44"/>
    <n v="190801"/>
    <n v="1540000"/>
  </r>
  <r>
    <x v="16"/>
    <x v="6"/>
    <m/>
    <x v="0"/>
    <x v="2"/>
    <x v="16"/>
    <n v="190801"/>
    <n v="190801"/>
    <m/>
    <n v="6"/>
    <n v="190801"/>
    <n v="210000"/>
  </r>
  <r>
    <x v="17"/>
    <x v="3"/>
    <m/>
    <x v="0"/>
    <x v="1"/>
    <x v="16"/>
    <n v="190801"/>
    <n v="190801"/>
    <m/>
    <n v="2"/>
    <n v="190801"/>
    <n v="70000"/>
  </r>
  <r>
    <x v="17"/>
    <x v="3"/>
    <m/>
    <x v="0"/>
    <x v="2"/>
    <x v="15"/>
    <n v="190801"/>
    <n v="190801"/>
    <m/>
    <n v="40"/>
    <n v="190801"/>
    <n v="800000"/>
  </r>
  <r>
    <x v="17"/>
    <x v="3"/>
    <m/>
    <x v="0"/>
    <x v="2"/>
    <x v="16"/>
    <n v="190801"/>
    <n v="190801"/>
    <m/>
    <n v="66"/>
    <n v="190801"/>
    <n v="2310000"/>
  </r>
  <r>
    <x v="17"/>
    <x v="3"/>
    <m/>
    <x v="0"/>
    <x v="2"/>
    <x v="16"/>
    <n v="190801"/>
    <n v="190801"/>
    <m/>
    <n v="12"/>
    <n v="190801"/>
    <n v="420000"/>
  </r>
  <r>
    <x v="18"/>
    <x v="4"/>
    <m/>
    <x v="0"/>
    <x v="1"/>
    <x v="15"/>
    <n v="190801"/>
    <n v="190801"/>
    <m/>
    <n v="2"/>
    <n v="190801"/>
    <n v="40000"/>
  </r>
  <r>
    <x v="18"/>
    <x v="4"/>
    <m/>
    <x v="0"/>
    <x v="1"/>
    <x v="16"/>
    <n v="190801"/>
    <n v="190801"/>
    <m/>
    <n v="1"/>
    <n v="190801"/>
    <n v="35000"/>
  </r>
  <r>
    <x v="18"/>
    <x v="4"/>
    <m/>
    <x v="0"/>
    <x v="2"/>
    <x v="17"/>
    <n v="190801"/>
    <n v="190801"/>
    <m/>
    <n v="2"/>
    <n v="190801"/>
    <n v="66000"/>
  </r>
  <r>
    <x v="18"/>
    <x v="4"/>
    <m/>
    <x v="0"/>
    <x v="2"/>
    <x v="15"/>
    <n v="190801"/>
    <n v="190801"/>
    <m/>
    <n v="48"/>
    <n v="190801"/>
    <n v="960000"/>
  </r>
  <r>
    <x v="18"/>
    <x v="4"/>
    <m/>
    <x v="0"/>
    <x v="2"/>
    <x v="16"/>
    <n v="190801"/>
    <n v="190801"/>
    <m/>
    <n v="43"/>
    <n v="190801"/>
    <n v="1505000"/>
  </r>
  <r>
    <x v="18"/>
    <x v="4"/>
    <m/>
    <x v="0"/>
    <x v="2"/>
    <x v="16"/>
    <n v="190801"/>
    <n v="190801"/>
    <m/>
    <n v="4"/>
    <n v="190801"/>
    <n v="140000"/>
  </r>
  <r>
    <x v="19"/>
    <x v="1"/>
    <m/>
    <x v="0"/>
    <x v="1"/>
    <x v="15"/>
    <n v="190801"/>
    <n v="190801"/>
    <m/>
    <n v="1"/>
    <n v="190801"/>
    <n v="20000"/>
  </r>
  <r>
    <x v="19"/>
    <x v="1"/>
    <m/>
    <x v="0"/>
    <x v="1"/>
    <x v="16"/>
    <n v="190801"/>
    <n v="190801"/>
    <m/>
    <n v="1"/>
    <n v="190801"/>
    <n v="35000"/>
  </r>
  <r>
    <x v="19"/>
    <x v="1"/>
    <m/>
    <x v="0"/>
    <x v="3"/>
    <x v="17"/>
    <n v="190801"/>
    <n v="190801"/>
    <m/>
    <n v="1"/>
    <n v="190801"/>
    <n v="0"/>
  </r>
  <r>
    <x v="19"/>
    <x v="1"/>
    <m/>
    <x v="0"/>
    <x v="2"/>
    <x v="17"/>
    <n v="190801"/>
    <n v="190801"/>
    <m/>
    <n v="58"/>
    <n v="190801"/>
    <n v="1914000"/>
  </r>
  <r>
    <x v="19"/>
    <x v="1"/>
    <m/>
    <x v="0"/>
    <x v="2"/>
    <x v="15"/>
    <n v="190801"/>
    <n v="190801"/>
    <m/>
    <n v="40"/>
    <n v="190801"/>
    <n v="800000"/>
  </r>
  <r>
    <x v="19"/>
    <x v="1"/>
    <m/>
    <x v="0"/>
    <x v="2"/>
    <x v="16"/>
    <n v="190801"/>
    <n v="190801"/>
    <m/>
    <n v="35"/>
    <n v="190801"/>
    <n v="1225000"/>
  </r>
  <r>
    <x v="19"/>
    <x v="1"/>
    <m/>
    <x v="0"/>
    <x v="2"/>
    <x v="16"/>
    <n v="190801"/>
    <n v="190801"/>
    <m/>
    <n v="1"/>
    <n v="190801"/>
    <n v="35000"/>
  </r>
  <r>
    <x v="19"/>
    <x v="1"/>
    <m/>
    <x v="0"/>
    <x v="2"/>
    <x v="16"/>
    <n v="190801"/>
    <n v="190801"/>
    <m/>
    <n v="5"/>
    <n v="190801"/>
    <n v="175000"/>
  </r>
  <r>
    <x v="0"/>
    <x v="0"/>
    <m/>
    <x v="0"/>
    <x v="1"/>
    <x v="15"/>
    <n v="190801"/>
    <n v="190801"/>
    <m/>
    <n v="3"/>
    <n v="190801"/>
    <n v="60000"/>
  </r>
  <r>
    <x v="0"/>
    <x v="0"/>
    <m/>
    <x v="0"/>
    <x v="1"/>
    <x v="16"/>
    <n v="190801"/>
    <n v="190801"/>
    <m/>
    <n v="4"/>
    <n v="190801"/>
    <n v="140000"/>
  </r>
  <r>
    <x v="0"/>
    <x v="0"/>
    <m/>
    <x v="0"/>
    <x v="2"/>
    <x v="17"/>
    <n v="190801"/>
    <n v="190801"/>
    <m/>
    <n v="36"/>
    <n v="190801"/>
    <n v="1188000"/>
  </r>
  <r>
    <x v="0"/>
    <x v="0"/>
    <m/>
    <x v="0"/>
    <x v="2"/>
    <x v="15"/>
    <n v="190801"/>
    <n v="190801"/>
    <m/>
    <n v="26"/>
    <n v="190801"/>
    <n v="520000"/>
  </r>
  <r>
    <x v="0"/>
    <x v="0"/>
    <m/>
    <x v="0"/>
    <x v="2"/>
    <x v="16"/>
    <n v="190801"/>
    <n v="190801"/>
    <m/>
    <n v="13"/>
    <n v="190801"/>
    <n v="455000"/>
  </r>
  <r>
    <x v="20"/>
    <x v="2"/>
    <m/>
    <x v="0"/>
    <x v="1"/>
    <x v="15"/>
    <n v="190801"/>
    <n v="190801"/>
    <m/>
    <n v="1"/>
    <n v="190801"/>
    <n v="20000"/>
  </r>
  <r>
    <x v="20"/>
    <x v="2"/>
    <m/>
    <x v="0"/>
    <x v="1"/>
    <x v="16"/>
    <n v="190801"/>
    <n v="190801"/>
    <m/>
    <n v="1"/>
    <n v="190801"/>
    <n v="35000"/>
  </r>
  <r>
    <x v="20"/>
    <x v="2"/>
    <m/>
    <x v="0"/>
    <x v="3"/>
    <x v="17"/>
    <n v="190801"/>
    <n v="190801"/>
    <m/>
    <n v="6"/>
    <n v="190801"/>
    <n v="0"/>
  </r>
  <r>
    <x v="20"/>
    <x v="2"/>
    <m/>
    <x v="0"/>
    <x v="2"/>
    <x v="17"/>
    <n v="190801"/>
    <n v="190801"/>
    <m/>
    <n v="24"/>
    <n v="190801"/>
    <n v="792000"/>
  </r>
  <r>
    <x v="20"/>
    <x v="2"/>
    <m/>
    <x v="0"/>
    <x v="2"/>
    <x v="15"/>
    <n v="190801"/>
    <n v="190801"/>
    <m/>
    <n v="27"/>
    <n v="190801"/>
    <n v="540000"/>
  </r>
  <r>
    <x v="20"/>
    <x v="2"/>
    <m/>
    <x v="0"/>
    <x v="2"/>
    <x v="17"/>
    <n v="190801"/>
    <n v="190801"/>
    <m/>
    <n v="30"/>
    <n v="190801"/>
    <n v="990000"/>
  </r>
  <r>
    <x v="21"/>
    <x v="5"/>
    <m/>
    <x v="0"/>
    <x v="1"/>
    <x v="16"/>
    <n v="190801"/>
    <n v="190801"/>
    <m/>
    <n v="4"/>
    <n v="190801"/>
    <n v="140000"/>
  </r>
  <r>
    <x v="21"/>
    <x v="5"/>
    <m/>
    <x v="0"/>
    <x v="2"/>
    <x v="17"/>
    <n v="190801"/>
    <n v="190801"/>
    <m/>
    <n v="16"/>
    <n v="190801"/>
    <n v="528000"/>
  </r>
  <r>
    <x v="21"/>
    <x v="5"/>
    <m/>
    <x v="0"/>
    <x v="2"/>
    <x v="15"/>
    <n v="190801"/>
    <n v="190801"/>
    <m/>
    <n v="26"/>
    <n v="190801"/>
    <n v="520000"/>
  </r>
  <r>
    <x v="21"/>
    <x v="5"/>
    <m/>
    <x v="0"/>
    <x v="2"/>
    <x v="17"/>
    <n v="190801"/>
    <n v="190801"/>
    <m/>
    <n v="24"/>
    <n v="190801"/>
    <n v="792000"/>
  </r>
  <r>
    <x v="22"/>
    <x v="6"/>
    <m/>
    <x v="0"/>
    <x v="1"/>
    <x v="15"/>
    <n v="190801"/>
    <n v="190801"/>
    <m/>
    <n v="1"/>
    <n v="190801"/>
    <n v="20000"/>
  </r>
  <r>
    <x v="22"/>
    <x v="6"/>
    <m/>
    <x v="0"/>
    <x v="1"/>
    <x v="16"/>
    <n v="190801"/>
    <n v="190801"/>
    <m/>
    <n v="2"/>
    <n v="190801"/>
    <n v="70000"/>
  </r>
  <r>
    <x v="22"/>
    <x v="6"/>
    <m/>
    <x v="0"/>
    <x v="2"/>
    <x v="17"/>
    <n v="190801"/>
    <n v="190801"/>
    <m/>
    <n v="20"/>
    <n v="190801"/>
    <n v="660000"/>
  </r>
  <r>
    <x v="22"/>
    <x v="6"/>
    <m/>
    <x v="0"/>
    <x v="2"/>
    <x v="15"/>
    <n v="190801"/>
    <n v="190801"/>
    <m/>
    <n v="36"/>
    <n v="190801"/>
    <n v="720000"/>
  </r>
  <r>
    <x v="22"/>
    <x v="6"/>
    <m/>
    <x v="0"/>
    <x v="2"/>
    <x v="17"/>
    <n v="190801"/>
    <n v="190801"/>
    <m/>
    <n v="26"/>
    <n v="190801"/>
    <n v="858000"/>
  </r>
  <r>
    <x v="23"/>
    <x v="3"/>
    <m/>
    <x v="0"/>
    <x v="1"/>
    <x v="16"/>
    <n v="190801"/>
    <n v="190801"/>
    <m/>
    <n v="7"/>
    <n v="190801"/>
    <n v="245000"/>
  </r>
  <r>
    <x v="23"/>
    <x v="3"/>
    <m/>
    <x v="0"/>
    <x v="2"/>
    <x v="17"/>
    <n v="190801"/>
    <n v="190801"/>
    <m/>
    <n v="24"/>
    <n v="190801"/>
    <n v="792000"/>
  </r>
  <r>
    <x v="23"/>
    <x v="3"/>
    <m/>
    <x v="0"/>
    <x v="2"/>
    <x v="15"/>
    <n v="190801"/>
    <n v="190801"/>
    <m/>
    <n v="27"/>
    <n v="190801"/>
    <n v="540000"/>
  </r>
  <r>
    <x v="23"/>
    <x v="3"/>
    <m/>
    <x v="0"/>
    <x v="2"/>
    <x v="17"/>
    <n v="190801"/>
    <n v="190801"/>
    <m/>
    <n v="26"/>
    <n v="190801"/>
    <n v="858000"/>
  </r>
  <r>
    <x v="24"/>
    <x v="4"/>
    <m/>
    <x v="0"/>
    <x v="1"/>
    <x v="16"/>
    <n v="190801"/>
    <n v="190801"/>
    <m/>
    <n v="7"/>
    <n v="190801"/>
    <n v="245000"/>
  </r>
  <r>
    <x v="24"/>
    <x v="4"/>
    <m/>
    <x v="0"/>
    <x v="3"/>
    <x v="17"/>
    <n v="190801"/>
    <n v="190801"/>
    <m/>
    <n v="1"/>
    <n v="190801"/>
    <n v="0"/>
  </r>
  <r>
    <x v="24"/>
    <x v="4"/>
    <m/>
    <x v="0"/>
    <x v="2"/>
    <x v="17"/>
    <n v="190801"/>
    <n v="190801"/>
    <m/>
    <n v="19"/>
    <n v="190801"/>
    <n v="627000"/>
  </r>
  <r>
    <x v="24"/>
    <x v="4"/>
    <m/>
    <x v="0"/>
    <x v="2"/>
    <x v="15"/>
    <n v="190801"/>
    <n v="190801"/>
    <m/>
    <n v="35"/>
    <n v="190801"/>
    <n v="700000"/>
  </r>
  <r>
    <x v="24"/>
    <x v="4"/>
    <m/>
    <x v="0"/>
    <x v="2"/>
    <x v="17"/>
    <n v="190801"/>
    <n v="190801"/>
    <m/>
    <n v="24"/>
    <n v="190801"/>
    <n v="792000"/>
  </r>
  <r>
    <x v="1"/>
    <x v="1"/>
    <m/>
    <x v="0"/>
    <x v="1"/>
    <x v="16"/>
    <n v="190801"/>
    <n v="190801"/>
    <m/>
    <n v="1"/>
    <n v="190801"/>
    <n v="35000"/>
  </r>
  <r>
    <x v="1"/>
    <x v="1"/>
    <m/>
    <x v="0"/>
    <x v="2"/>
    <x v="15"/>
    <n v="190801"/>
    <n v="190801"/>
    <m/>
    <n v="43"/>
    <n v="190801"/>
    <n v="860000"/>
  </r>
  <r>
    <x v="1"/>
    <x v="1"/>
    <m/>
    <x v="0"/>
    <x v="2"/>
    <x v="17"/>
    <n v="190801"/>
    <n v="190801"/>
    <m/>
    <n v="25"/>
    <n v="190801"/>
    <n v="825000"/>
  </r>
  <r>
    <x v="2"/>
    <x v="0"/>
    <m/>
    <x v="0"/>
    <x v="2"/>
    <x v="17"/>
    <n v="190801"/>
    <n v="190801"/>
    <m/>
    <n v="20"/>
    <n v="190801"/>
    <n v="660000"/>
  </r>
  <r>
    <x v="2"/>
    <x v="0"/>
    <m/>
    <x v="0"/>
    <x v="2"/>
    <x v="15"/>
    <n v="190801"/>
    <n v="190801"/>
    <m/>
    <n v="20"/>
    <n v="190801"/>
    <n v="400000"/>
  </r>
  <r>
    <x v="2"/>
    <x v="0"/>
    <m/>
    <x v="0"/>
    <x v="2"/>
    <x v="17"/>
    <n v="190801"/>
    <n v="190801"/>
    <m/>
    <n v="34"/>
    <n v="190801"/>
    <n v="1122000"/>
  </r>
  <r>
    <x v="3"/>
    <x v="2"/>
    <m/>
    <x v="0"/>
    <x v="1"/>
    <x v="15"/>
    <n v="190801"/>
    <n v="190801"/>
    <m/>
    <n v="3"/>
    <n v="190801"/>
    <n v="60000"/>
  </r>
  <r>
    <x v="3"/>
    <x v="2"/>
    <m/>
    <x v="0"/>
    <x v="1"/>
    <x v="16"/>
    <n v="190801"/>
    <n v="190801"/>
    <m/>
    <n v="5"/>
    <n v="190801"/>
    <n v="175000"/>
  </r>
  <r>
    <x v="3"/>
    <x v="2"/>
    <m/>
    <x v="0"/>
    <x v="2"/>
    <x v="17"/>
    <n v="190801"/>
    <n v="190801"/>
    <m/>
    <n v="45"/>
    <n v="190801"/>
    <n v="1485000"/>
  </r>
  <r>
    <x v="3"/>
    <x v="2"/>
    <m/>
    <x v="0"/>
    <x v="2"/>
    <x v="15"/>
    <n v="190801"/>
    <n v="190801"/>
    <m/>
    <n v="35"/>
    <n v="190801"/>
    <n v="700000"/>
  </r>
  <r>
    <x v="3"/>
    <x v="2"/>
    <m/>
    <x v="0"/>
    <x v="2"/>
    <x v="16"/>
    <n v="190801"/>
    <n v="190801"/>
    <m/>
    <n v="4"/>
    <n v="190801"/>
    <n v="140000"/>
  </r>
  <r>
    <x v="32"/>
    <x v="5"/>
    <m/>
    <x v="0"/>
    <x v="1"/>
    <x v="16"/>
    <n v="190801"/>
    <n v="190801"/>
    <m/>
    <n v="3"/>
    <n v="190801"/>
    <n v="105000"/>
  </r>
  <r>
    <x v="32"/>
    <x v="5"/>
    <m/>
    <x v="0"/>
    <x v="2"/>
    <x v="17"/>
    <n v="190801"/>
    <n v="190801"/>
    <m/>
    <n v="15"/>
    <n v="190801"/>
    <n v="495000"/>
  </r>
  <r>
    <x v="32"/>
    <x v="5"/>
    <m/>
    <x v="0"/>
    <x v="2"/>
    <x v="15"/>
    <n v="190801"/>
    <n v="190801"/>
    <m/>
    <n v="26"/>
    <n v="190801"/>
    <n v="520000"/>
  </r>
  <r>
    <x v="32"/>
    <x v="5"/>
    <m/>
    <x v="0"/>
    <x v="2"/>
    <x v="16"/>
    <n v="190801"/>
    <n v="190801"/>
    <m/>
    <n v="17"/>
    <n v="190801"/>
    <n v="595000"/>
  </r>
  <r>
    <x v="33"/>
    <x v="6"/>
    <m/>
    <x v="0"/>
    <x v="1"/>
    <x v="15"/>
    <n v="190801"/>
    <n v="190801"/>
    <m/>
    <n v="1"/>
    <n v="190801"/>
    <n v="20000"/>
  </r>
  <r>
    <x v="33"/>
    <x v="6"/>
    <m/>
    <x v="0"/>
    <x v="1"/>
    <x v="16"/>
    <n v="190801"/>
    <n v="190801"/>
    <m/>
    <n v="6"/>
    <n v="190801"/>
    <n v="210000"/>
  </r>
  <r>
    <x v="33"/>
    <x v="6"/>
    <m/>
    <x v="0"/>
    <x v="2"/>
    <x v="17"/>
    <n v="190801"/>
    <n v="190801"/>
    <m/>
    <n v="21"/>
    <n v="190801"/>
    <n v="693000"/>
  </r>
  <r>
    <x v="33"/>
    <x v="6"/>
    <m/>
    <x v="0"/>
    <x v="2"/>
    <x v="15"/>
    <n v="190801"/>
    <n v="190801"/>
    <m/>
    <n v="27"/>
    <n v="190801"/>
    <n v="540000"/>
  </r>
  <r>
    <x v="33"/>
    <x v="6"/>
    <m/>
    <x v="0"/>
    <x v="2"/>
    <x v="16"/>
    <n v="190801"/>
    <n v="190801"/>
    <m/>
    <n v="18"/>
    <n v="190801"/>
    <n v="630000"/>
  </r>
  <r>
    <x v="34"/>
    <x v="3"/>
    <m/>
    <x v="0"/>
    <x v="1"/>
    <x v="15"/>
    <n v="190801"/>
    <n v="190801"/>
    <m/>
    <n v="1"/>
    <n v="190801"/>
    <n v="20000"/>
  </r>
  <r>
    <x v="34"/>
    <x v="3"/>
    <m/>
    <x v="0"/>
    <x v="1"/>
    <x v="16"/>
    <n v="190801"/>
    <n v="190801"/>
    <m/>
    <n v="9"/>
    <n v="190801"/>
    <n v="315000"/>
  </r>
  <r>
    <x v="34"/>
    <x v="3"/>
    <m/>
    <x v="0"/>
    <x v="2"/>
    <x v="17"/>
    <n v="190801"/>
    <n v="190801"/>
    <m/>
    <n v="25"/>
    <n v="190801"/>
    <n v="825000"/>
  </r>
  <r>
    <x v="34"/>
    <x v="3"/>
    <m/>
    <x v="0"/>
    <x v="2"/>
    <x v="15"/>
    <n v="190801"/>
    <n v="190801"/>
    <m/>
    <n v="24"/>
    <n v="190801"/>
    <n v="480000"/>
  </r>
  <r>
    <x v="34"/>
    <x v="3"/>
    <m/>
    <x v="0"/>
    <x v="2"/>
    <x v="16"/>
    <n v="190801"/>
    <n v="190801"/>
    <m/>
    <n v="28"/>
    <n v="190801"/>
    <n v="980000"/>
  </r>
  <r>
    <x v="34"/>
    <x v="3"/>
    <m/>
    <x v="0"/>
    <x v="3"/>
    <x v="15"/>
    <n v="190801"/>
    <n v="190801"/>
    <m/>
    <n v="6"/>
    <n v="190801"/>
    <n v="0"/>
  </r>
  <r>
    <x v="35"/>
    <x v="4"/>
    <m/>
    <x v="0"/>
    <x v="1"/>
    <x v="15"/>
    <n v="190801"/>
    <n v="190801"/>
    <m/>
    <n v="1"/>
    <n v="190801"/>
    <n v="20000"/>
  </r>
  <r>
    <x v="35"/>
    <x v="4"/>
    <m/>
    <x v="0"/>
    <x v="1"/>
    <x v="16"/>
    <n v="190801"/>
    <n v="190801"/>
    <m/>
    <n v="2"/>
    <n v="190801"/>
    <n v="70000"/>
  </r>
  <r>
    <x v="35"/>
    <x v="4"/>
    <m/>
    <x v="0"/>
    <x v="2"/>
    <x v="17"/>
    <n v="190801"/>
    <n v="190801"/>
    <m/>
    <n v="23"/>
    <n v="190801"/>
    <n v="759000"/>
  </r>
  <r>
    <x v="35"/>
    <x v="4"/>
    <m/>
    <x v="0"/>
    <x v="2"/>
    <x v="15"/>
    <n v="190801"/>
    <n v="190801"/>
    <m/>
    <n v="40"/>
    <n v="190801"/>
    <n v="800000"/>
  </r>
  <r>
    <x v="35"/>
    <x v="4"/>
    <m/>
    <x v="0"/>
    <x v="2"/>
    <x v="16"/>
    <n v="190801"/>
    <n v="190801"/>
    <m/>
    <n v="17"/>
    <n v="190801"/>
    <n v="595000"/>
  </r>
  <r>
    <x v="36"/>
    <x v="1"/>
    <m/>
    <x v="0"/>
    <x v="1"/>
    <x v="15"/>
    <n v="190801"/>
    <n v="190801"/>
    <m/>
    <n v="1"/>
    <n v="190801"/>
    <n v="20000"/>
  </r>
  <r>
    <x v="36"/>
    <x v="1"/>
    <m/>
    <x v="0"/>
    <x v="1"/>
    <x v="16"/>
    <n v="190801"/>
    <n v="190801"/>
    <m/>
    <n v="5"/>
    <n v="190801"/>
    <n v="175000"/>
  </r>
  <r>
    <x v="36"/>
    <x v="1"/>
    <m/>
    <x v="0"/>
    <x v="2"/>
    <x v="17"/>
    <n v="190801"/>
    <n v="190801"/>
    <m/>
    <n v="21"/>
    <n v="190801"/>
    <n v="693000"/>
  </r>
  <r>
    <x v="36"/>
    <x v="1"/>
    <m/>
    <x v="0"/>
    <x v="2"/>
    <x v="15"/>
    <n v="190801"/>
    <n v="190801"/>
    <m/>
    <n v="32"/>
    <n v="190801"/>
    <n v="640000"/>
  </r>
  <r>
    <x v="36"/>
    <x v="1"/>
    <m/>
    <x v="0"/>
    <x v="2"/>
    <x v="16"/>
    <n v="190801"/>
    <n v="190801"/>
    <m/>
    <n v="22"/>
    <n v="190801"/>
    <n v="770000"/>
  </r>
  <r>
    <x v="37"/>
    <x v="0"/>
    <m/>
    <x v="0"/>
    <x v="1"/>
    <x v="15"/>
    <n v="190801"/>
    <n v="190801"/>
    <m/>
    <n v="2"/>
    <n v="190801"/>
    <n v="40000"/>
  </r>
  <r>
    <x v="37"/>
    <x v="0"/>
    <m/>
    <x v="0"/>
    <x v="1"/>
    <x v="16"/>
    <n v="190801"/>
    <n v="190801"/>
    <m/>
    <n v="3"/>
    <n v="190801"/>
    <n v="105000"/>
  </r>
  <r>
    <x v="37"/>
    <x v="0"/>
    <m/>
    <x v="0"/>
    <x v="2"/>
    <x v="17"/>
    <n v="190801"/>
    <n v="190801"/>
    <m/>
    <n v="18"/>
    <n v="190801"/>
    <n v="594000"/>
  </r>
  <r>
    <x v="37"/>
    <x v="0"/>
    <m/>
    <x v="0"/>
    <x v="2"/>
    <x v="15"/>
    <n v="190801"/>
    <n v="190801"/>
    <m/>
    <n v="34"/>
    <n v="190801"/>
    <n v="680000"/>
  </r>
  <r>
    <x v="37"/>
    <x v="0"/>
    <m/>
    <x v="0"/>
    <x v="2"/>
    <x v="16"/>
    <n v="190801"/>
    <n v="190801"/>
    <m/>
    <n v="24"/>
    <n v="190801"/>
    <n v="840000"/>
  </r>
  <r>
    <x v="37"/>
    <x v="0"/>
    <m/>
    <x v="0"/>
    <x v="3"/>
    <x v="15"/>
    <n v="190801"/>
    <n v="190801"/>
    <m/>
    <n v="1"/>
    <n v="190801"/>
    <n v="0"/>
  </r>
  <r>
    <x v="38"/>
    <x v="2"/>
    <m/>
    <x v="0"/>
    <x v="1"/>
    <x v="16"/>
    <n v="190801"/>
    <n v="190801"/>
    <m/>
    <n v="5"/>
    <n v="190801"/>
    <n v="175000"/>
  </r>
  <r>
    <x v="38"/>
    <x v="2"/>
    <m/>
    <x v="0"/>
    <x v="2"/>
    <x v="17"/>
    <n v="190801"/>
    <n v="190801"/>
    <m/>
    <n v="8"/>
    <n v="190801"/>
    <n v="264000"/>
  </r>
  <r>
    <x v="38"/>
    <x v="2"/>
    <m/>
    <x v="0"/>
    <x v="2"/>
    <x v="15"/>
    <n v="190801"/>
    <n v="190801"/>
    <m/>
    <n v="27"/>
    <n v="190801"/>
    <n v="540000"/>
  </r>
  <r>
    <x v="38"/>
    <x v="2"/>
    <m/>
    <x v="0"/>
    <x v="2"/>
    <x v="16"/>
    <n v="190801"/>
    <n v="190801"/>
    <m/>
    <n v="12"/>
    <n v="190801"/>
    <n v="420000"/>
  </r>
  <r>
    <x v="38"/>
    <x v="2"/>
    <m/>
    <x v="0"/>
    <x v="3"/>
    <x v="15"/>
    <n v="190801"/>
    <n v="190801"/>
    <m/>
    <n v="20"/>
    <n v="190801"/>
    <n v="0"/>
  </r>
  <r>
    <x v="39"/>
    <x v="5"/>
    <m/>
    <x v="0"/>
    <x v="1"/>
    <x v="16"/>
    <n v="190801"/>
    <n v="190801"/>
    <m/>
    <n v="3"/>
    <n v="190801"/>
    <n v="105000"/>
  </r>
  <r>
    <x v="39"/>
    <x v="5"/>
    <m/>
    <x v="0"/>
    <x v="2"/>
    <x v="17"/>
    <n v="190801"/>
    <n v="190801"/>
    <m/>
    <n v="13"/>
    <n v="190801"/>
    <n v="429000"/>
  </r>
  <r>
    <x v="39"/>
    <x v="5"/>
    <m/>
    <x v="0"/>
    <x v="2"/>
    <x v="15"/>
    <n v="190801"/>
    <n v="190801"/>
    <m/>
    <n v="27"/>
    <n v="190801"/>
    <n v="540000"/>
  </r>
  <r>
    <x v="39"/>
    <x v="5"/>
    <m/>
    <x v="0"/>
    <x v="2"/>
    <x v="16"/>
    <n v="190801"/>
    <n v="190801"/>
    <m/>
    <n v="19"/>
    <n v="190801"/>
    <n v="665000"/>
  </r>
  <r>
    <x v="40"/>
    <x v="6"/>
    <m/>
    <x v="0"/>
    <x v="1"/>
    <x v="15"/>
    <n v="190801"/>
    <n v="190801"/>
    <m/>
    <n v="1"/>
    <n v="190801"/>
    <n v="20000"/>
  </r>
  <r>
    <x v="40"/>
    <x v="6"/>
    <m/>
    <x v="0"/>
    <x v="1"/>
    <x v="16"/>
    <n v="190801"/>
    <n v="190801"/>
    <m/>
    <n v="4"/>
    <n v="190801"/>
    <n v="140000"/>
  </r>
  <r>
    <x v="40"/>
    <x v="6"/>
    <m/>
    <x v="0"/>
    <x v="2"/>
    <x v="17"/>
    <n v="190801"/>
    <n v="190801"/>
    <m/>
    <n v="20"/>
    <n v="190801"/>
    <n v="660000"/>
  </r>
  <r>
    <x v="40"/>
    <x v="6"/>
    <m/>
    <x v="0"/>
    <x v="2"/>
    <x v="15"/>
    <n v="190801"/>
    <n v="190801"/>
    <m/>
    <n v="33"/>
    <n v="190801"/>
    <n v="660000"/>
  </r>
  <r>
    <x v="40"/>
    <x v="6"/>
    <m/>
    <x v="0"/>
    <x v="2"/>
    <x v="16"/>
    <n v="190801"/>
    <n v="190801"/>
    <m/>
    <n v="25"/>
    <n v="190801"/>
    <n v="875000"/>
  </r>
  <r>
    <x v="41"/>
    <x v="3"/>
    <m/>
    <x v="0"/>
    <x v="1"/>
    <x v="15"/>
    <n v="190801"/>
    <n v="190801"/>
    <m/>
    <n v="1"/>
    <n v="190801"/>
    <n v="20000"/>
  </r>
  <r>
    <x v="41"/>
    <x v="3"/>
    <m/>
    <x v="0"/>
    <x v="1"/>
    <x v="16"/>
    <n v="190801"/>
    <n v="190801"/>
    <m/>
    <n v="6"/>
    <n v="190801"/>
    <n v="210000"/>
  </r>
  <r>
    <x v="41"/>
    <x v="3"/>
    <m/>
    <x v="0"/>
    <x v="2"/>
    <x v="17"/>
    <n v="190801"/>
    <n v="190801"/>
    <m/>
    <n v="28"/>
    <n v="190801"/>
    <n v="924000"/>
  </r>
  <r>
    <x v="41"/>
    <x v="3"/>
    <m/>
    <x v="0"/>
    <x v="2"/>
    <x v="15"/>
    <n v="190801"/>
    <n v="190801"/>
    <m/>
    <n v="36"/>
    <n v="190801"/>
    <n v="720000"/>
  </r>
  <r>
    <x v="41"/>
    <x v="3"/>
    <m/>
    <x v="0"/>
    <x v="2"/>
    <x v="16"/>
    <n v="190801"/>
    <n v="190801"/>
    <m/>
    <n v="16"/>
    <n v="190801"/>
    <n v="560000"/>
  </r>
  <r>
    <x v="42"/>
    <x v="4"/>
    <m/>
    <x v="0"/>
    <x v="1"/>
    <x v="15"/>
    <n v="190801"/>
    <n v="190801"/>
    <m/>
    <n v="2"/>
    <n v="190801"/>
    <n v="40000"/>
  </r>
  <r>
    <x v="42"/>
    <x v="4"/>
    <m/>
    <x v="0"/>
    <x v="1"/>
    <x v="16"/>
    <n v="190801"/>
    <n v="190801"/>
    <m/>
    <n v="7"/>
    <n v="190801"/>
    <n v="245000"/>
  </r>
  <r>
    <x v="42"/>
    <x v="4"/>
    <m/>
    <x v="0"/>
    <x v="2"/>
    <x v="17"/>
    <n v="190801"/>
    <n v="190801"/>
    <m/>
    <n v="29"/>
    <n v="190801"/>
    <n v="957000"/>
  </r>
  <r>
    <x v="42"/>
    <x v="4"/>
    <m/>
    <x v="0"/>
    <x v="2"/>
    <x v="15"/>
    <n v="190801"/>
    <n v="190801"/>
    <m/>
    <n v="41"/>
    <n v="190801"/>
    <n v="820000"/>
  </r>
  <r>
    <x v="42"/>
    <x v="4"/>
    <m/>
    <x v="0"/>
    <x v="2"/>
    <x v="16"/>
    <n v="190801"/>
    <n v="190801"/>
    <m/>
    <n v="26"/>
    <n v="190801"/>
    <n v="910000"/>
  </r>
  <r>
    <x v="42"/>
    <x v="4"/>
    <m/>
    <x v="0"/>
    <x v="3"/>
    <x v="15"/>
    <n v="190801"/>
    <n v="190801"/>
    <m/>
    <n v="4"/>
    <n v="190801"/>
    <n v="0"/>
  </r>
  <r>
    <x v="43"/>
    <x v="1"/>
    <m/>
    <x v="0"/>
    <x v="1"/>
    <x v="16"/>
    <n v="190801"/>
    <n v="190801"/>
    <m/>
    <n v="1"/>
    <n v="190801"/>
    <n v="35000"/>
  </r>
  <r>
    <x v="43"/>
    <x v="1"/>
    <m/>
    <x v="0"/>
    <x v="2"/>
    <x v="17"/>
    <n v="190801"/>
    <n v="190801"/>
    <m/>
    <n v="31"/>
    <n v="190801"/>
    <n v="1023000"/>
  </r>
  <r>
    <x v="43"/>
    <x v="1"/>
    <m/>
    <x v="0"/>
    <x v="2"/>
    <x v="15"/>
    <n v="190801"/>
    <n v="190801"/>
    <m/>
    <n v="36"/>
    <n v="190801"/>
    <n v="720000"/>
  </r>
  <r>
    <x v="43"/>
    <x v="1"/>
    <m/>
    <x v="0"/>
    <x v="2"/>
    <x v="16"/>
    <n v="190801"/>
    <n v="190801"/>
    <m/>
    <n v="25"/>
    <n v="190801"/>
    <n v="875000"/>
  </r>
  <r>
    <x v="44"/>
    <x v="0"/>
    <m/>
    <x v="0"/>
    <x v="1"/>
    <x v="15"/>
    <n v="190801"/>
    <n v="190801"/>
    <m/>
    <n v="2"/>
    <n v="190801"/>
    <n v="40000"/>
  </r>
  <r>
    <x v="44"/>
    <x v="0"/>
    <m/>
    <x v="0"/>
    <x v="1"/>
    <x v="16"/>
    <n v="190801"/>
    <n v="190801"/>
    <m/>
    <n v="5"/>
    <n v="190801"/>
    <n v="175000"/>
  </r>
  <r>
    <x v="44"/>
    <x v="0"/>
    <m/>
    <x v="0"/>
    <x v="2"/>
    <x v="17"/>
    <n v="190801"/>
    <n v="190801"/>
    <m/>
    <n v="21"/>
    <n v="190801"/>
    <n v="693000"/>
  </r>
  <r>
    <x v="44"/>
    <x v="0"/>
    <m/>
    <x v="0"/>
    <x v="2"/>
    <x v="15"/>
    <n v="190801"/>
    <n v="190801"/>
    <m/>
    <n v="23"/>
    <n v="190801"/>
    <n v="460000"/>
  </r>
  <r>
    <x v="44"/>
    <x v="0"/>
    <m/>
    <x v="0"/>
    <x v="2"/>
    <x v="16"/>
    <n v="190801"/>
    <n v="190801"/>
    <m/>
    <n v="17"/>
    <n v="190801"/>
    <n v="595000"/>
  </r>
  <r>
    <x v="45"/>
    <x v="2"/>
    <m/>
    <x v="0"/>
    <x v="1"/>
    <x v="15"/>
    <n v="190801"/>
    <n v="190801"/>
    <m/>
    <n v="1"/>
    <n v="190801"/>
    <n v="20000"/>
  </r>
  <r>
    <x v="45"/>
    <x v="2"/>
    <m/>
    <x v="0"/>
    <x v="1"/>
    <x v="16"/>
    <n v="190801"/>
    <n v="190801"/>
    <m/>
    <n v="1"/>
    <n v="190801"/>
    <n v="35000"/>
  </r>
  <r>
    <x v="45"/>
    <x v="2"/>
    <m/>
    <x v="0"/>
    <x v="2"/>
    <x v="17"/>
    <n v="190801"/>
    <n v="190801"/>
    <m/>
    <n v="12"/>
    <n v="190801"/>
    <n v="396000"/>
  </r>
  <r>
    <x v="45"/>
    <x v="2"/>
    <m/>
    <x v="0"/>
    <x v="2"/>
    <x v="15"/>
    <n v="190801"/>
    <n v="190801"/>
    <m/>
    <n v="21"/>
    <n v="190801"/>
    <n v="420000"/>
  </r>
  <r>
    <x v="45"/>
    <x v="2"/>
    <m/>
    <x v="0"/>
    <x v="2"/>
    <x v="16"/>
    <n v="190801"/>
    <n v="190801"/>
    <m/>
    <n v="27"/>
    <n v="190801"/>
    <n v="945000"/>
  </r>
  <r>
    <x v="46"/>
    <x v="5"/>
    <m/>
    <x v="0"/>
    <x v="1"/>
    <x v="15"/>
    <n v="190801"/>
    <n v="190801"/>
    <m/>
    <n v="1"/>
    <n v="190801"/>
    <n v="20000"/>
  </r>
  <r>
    <x v="46"/>
    <x v="5"/>
    <m/>
    <x v="0"/>
    <x v="1"/>
    <x v="16"/>
    <n v="190801"/>
    <n v="190801"/>
    <m/>
    <n v="1"/>
    <n v="190801"/>
    <n v="35000"/>
  </r>
  <r>
    <x v="46"/>
    <x v="5"/>
    <m/>
    <x v="0"/>
    <x v="2"/>
    <x v="17"/>
    <n v="190801"/>
    <n v="190801"/>
    <m/>
    <n v="13"/>
    <n v="190801"/>
    <n v="429000"/>
  </r>
  <r>
    <x v="46"/>
    <x v="5"/>
    <m/>
    <x v="0"/>
    <x v="2"/>
    <x v="15"/>
    <n v="190801"/>
    <n v="190801"/>
    <m/>
    <n v="24"/>
    <n v="190801"/>
    <n v="480000"/>
  </r>
  <r>
    <x v="46"/>
    <x v="5"/>
    <m/>
    <x v="0"/>
    <x v="2"/>
    <x v="16"/>
    <n v="190801"/>
    <n v="190801"/>
    <m/>
    <n v="13"/>
    <n v="190801"/>
    <n v="455000"/>
  </r>
  <r>
    <x v="47"/>
    <x v="6"/>
    <m/>
    <x v="0"/>
    <x v="1"/>
    <x v="16"/>
    <n v="190801"/>
    <n v="190801"/>
    <m/>
    <n v="5"/>
    <n v="190801"/>
    <n v="175000"/>
  </r>
  <r>
    <x v="47"/>
    <x v="6"/>
    <m/>
    <x v="0"/>
    <x v="2"/>
    <x v="17"/>
    <n v="190801"/>
    <n v="190801"/>
    <m/>
    <n v="30"/>
    <n v="190801"/>
    <n v="990000"/>
  </r>
  <r>
    <x v="47"/>
    <x v="6"/>
    <m/>
    <x v="0"/>
    <x v="2"/>
    <x v="15"/>
    <n v="190801"/>
    <n v="190801"/>
    <m/>
    <n v="29"/>
    <n v="190801"/>
    <n v="580000"/>
  </r>
  <r>
    <x v="47"/>
    <x v="6"/>
    <m/>
    <x v="0"/>
    <x v="2"/>
    <x v="16"/>
    <n v="190801"/>
    <n v="190801"/>
    <m/>
    <n v="21"/>
    <n v="190801"/>
    <n v="735000"/>
  </r>
  <r>
    <x v="48"/>
    <x v="3"/>
    <m/>
    <x v="0"/>
    <x v="1"/>
    <x v="16"/>
    <n v="190801"/>
    <n v="190801"/>
    <m/>
    <n v="3"/>
    <n v="190801"/>
    <n v="105000"/>
  </r>
  <r>
    <x v="48"/>
    <x v="3"/>
    <m/>
    <x v="0"/>
    <x v="2"/>
    <x v="17"/>
    <n v="190801"/>
    <n v="190801"/>
    <m/>
    <n v="25"/>
    <n v="190801"/>
    <n v="825000"/>
  </r>
  <r>
    <x v="48"/>
    <x v="3"/>
    <m/>
    <x v="0"/>
    <x v="2"/>
    <x v="15"/>
    <n v="190801"/>
    <n v="190801"/>
    <m/>
    <n v="32"/>
    <n v="190801"/>
    <n v="640000"/>
  </r>
  <r>
    <x v="48"/>
    <x v="3"/>
    <m/>
    <x v="0"/>
    <x v="2"/>
    <x v="16"/>
    <n v="190801"/>
    <n v="190801"/>
    <m/>
    <n v="12"/>
    <n v="190801"/>
    <n v="420000"/>
  </r>
  <r>
    <x v="49"/>
    <x v="4"/>
    <m/>
    <x v="0"/>
    <x v="1"/>
    <x v="16"/>
    <n v="190801"/>
    <n v="190801"/>
    <m/>
    <n v="5"/>
    <n v="190801"/>
    <n v="175000"/>
  </r>
  <r>
    <x v="49"/>
    <x v="4"/>
    <m/>
    <x v="0"/>
    <x v="2"/>
    <x v="17"/>
    <n v="190801"/>
    <n v="190801"/>
    <m/>
    <n v="20"/>
    <n v="190801"/>
    <n v="660000"/>
  </r>
  <r>
    <x v="49"/>
    <x v="4"/>
    <m/>
    <x v="0"/>
    <x v="2"/>
    <x v="15"/>
    <n v="190801"/>
    <n v="190801"/>
    <m/>
    <n v="11"/>
    <n v="190801"/>
    <n v="220000"/>
  </r>
  <r>
    <x v="49"/>
    <x v="4"/>
    <m/>
    <x v="0"/>
    <x v="2"/>
    <x v="16"/>
    <n v="190801"/>
    <n v="190801"/>
    <m/>
    <n v="19"/>
    <n v="190801"/>
    <n v="665000"/>
  </r>
  <r>
    <x v="50"/>
    <x v="1"/>
    <m/>
    <x v="0"/>
    <x v="1"/>
    <x v="15"/>
    <n v="190801"/>
    <n v="190801"/>
    <m/>
    <n v="2"/>
    <n v="190801"/>
    <n v="40000"/>
  </r>
  <r>
    <x v="50"/>
    <x v="1"/>
    <m/>
    <x v="0"/>
    <x v="1"/>
    <x v="16"/>
    <n v="190801"/>
    <n v="190801"/>
    <m/>
    <n v="2"/>
    <n v="190801"/>
    <n v="70000"/>
  </r>
  <r>
    <x v="50"/>
    <x v="1"/>
    <m/>
    <x v="0"/>
    <x v="2"/>
    <x v="17"/>
    <n v="190801"/>
    <n v="190801"/>
    <m/>
    <n v="16"/>
    <n v="190801"/>
    <n v="528000"/>
  </r>
  <r>
    <x v="50"/>
    <x v="1"/>
    <m/>
    <x v="0"/>
    <x v="2"/>
    <x v="15"/>
    <n v="190801"/>
    <n v="190801"/>
    <m/>
    <n v="30"/>
    <n v="190801"/>
    <n v="600000"/>
  </r>
  <r>
    <x v="50"/>
    <x v="1"/>
    <m/>
    <x v="0"/>
    <x v="2"/>
    <x v="16"/>
    <n v="190801"/>
    <n v="190801"/>
    <m/>
    <n v="12"/>
    <n v="190801"/>
    <n v="420000"/>
  </r>
  <r>
    <x v="51"/>
    <x v="0"/>
    <m/>
    <x v="0"/>
    <x v="2"/>
    <x v="17"/>
    <n v="190801"/>
    <n v="190801"/>
    <m/>
    <n v="24"/>
    <n v="190801"/>
    <n v="792000"/>
  </r>
  <r>
    <x v="51"/>
    <x v="0"/>
    <m/>
    <x v="0"/>
    <x v="2"/>
    <x v="15"/>
    <n v="190801"/>
    <n v="190801"/>
    <m/>
    <n v="21"/>
    <n v="190801"/>
    <n v="420000"/>
  </r>
  <r>
    <x v="51"/>
    <x v="0"/>
    <m/>
    <x v="0"/>
    <x v="2"/>
    <x v="16"/>
    <n v="190801"/>
    <n v="190801"/>
    <m/>
    <n v="17"/>
    <n v="190801"/>
    <n v="595000"/>
  </r>
  <r>
    <x v="52"/>
    <x v="2"/>
    <m/>
    <x v="0"/>
    <x v="1"/>
    <x v="16"/>
    <n v="190801"/>
    <n v="190801"/>
    <m/>
    <n v="1"/>
    <n v="190801"/>
    <n v="35000"/>
  </r>
  <r>
    <x v="52"/>
    <x v="2"/>
    <m/>
    <x v="0"/>
    <x v="2"/>
    <x v="17"/>
    <n v="190801"/>
    <n v="190801"/>
    <m/>
    <n v="20"/>
    <n v="190801"/>
    <n v="660000"/>
  </r>
  <r>
    <x v="52"/>
    <x v="2"/>
    <m/>
    <x v="0"/>
    <x v="2"/>
    <x v="15"/>
    <n v="190801"/>
    <n v="190801"/>
    <m/>
    <n v="21"/>
    <n v="190801"/>
    <n v="420000"/>
  </r>
  <r>
    <x v="52"/>
    <x v="2"/>
    <m/>
    <x v="0"/>
    <x v="2"/>
    <x v="16"/>
    <n v="190801"/>
    <n v="190801"/>
    <m/>
    <n v="12"/>
    <n v="190801"/>
    <n v="420000"/>
  </r>
  <r>
    <x v="53"/>
    <x v="5"/>
    <m/>
    <x v="0"/>
    <x v="2"/>
    <x v="17"/>
    <n v="190801"/>
    <n v="190801"/>
    <m/>
    <n v="19"/>
    <n v="190801"/>
    <n v="627000"/>
  </r>
  <r>
    <x v="53"/>
    <x v="5"/>
    <m/>
    <x v="0"/>
    <x v="2"/>
    <x v="15"/>
    <n v="190801"/>
    <n v="190801"/>
    <m/>
    <n v="23"/>
    <n v="190801"/>
    <n v="460000"/>
  </r>
  <r>
    <x v="53"/>
    <x v="5"/>
    <m/>
    <x v="0"/>
    <x v="2"/>
    <x v="16"/>
    <n v="190801"/>
    <n v="190801"/>
    <m/>
    <n v="15"/>
    <n v="190801"/>
    <n v="525000"/>
  </r>
  <r>
    <x v="54"/>
    <x v="6"/>
    <m/>
    <x v="0"/>
    <x v="1"/>
    <x v="15"/>
    <n v="190801"/>
    <n v="190801"/>
    <m/>
    <n v="1"/>
    <n v="190801"/>
    <n v="20000"/>
  </r>
  <r>
    <x v="54"/>
    <x v="6"/>
    <m/>
    <x v="0"/>
    <x v="2"/>
    <x v="17"/>
    <n v="190801"/>
    <n v="190801"/>
    <m/>
    <n v="21"/>
    <n v="190801"/>
    <n v="693000"/>
  </r>
  <r>
    <x v="54"/>
    <x v="6"/>
    <m/>
    <x v="0"/>
    <x v="2"/>
    <x v="15"/>
    <n v="190801"/>
    <n v="190801"/>
    <m/>
    <n v="27"/>
    <n v="190801"/>
    <n v="540000"/>
  </r>
  <r>
    <x v="54"/>
    <x v="6"/>
    <m/>
    <x v="0"/>
    <x v="2"/>
    <x v="16"/>
    <n v="190801"/>
    <n v="190801"/>
    <m/>
    <n v="9"/>
    <n v="190801"/>
    <n v="315000"/>
  </r>
  <r>
    <x v="55"/>
    <x v="3"/>
    <m/>
    <x v="0"/>
    <x v="1"/>
    <x v="15"/>
    <n v="190801"/>
    <n v="190801"/>
    <m/>
    <n v="1"/>
    <n v="190801"/>
    <n v="20000"/>
  </r>
  <r>
    <x v="55"/>
    <x v="3"/>
    <m/>
    <x v="0"/>
    <x v="1"/>
    <x v="16"/>
    <n v="190801"/>
    <n v="190801"/>
    <m/>
    <n v="1"/>
    <n v="190801"/>
    <n v="35000"/>
  </r>
  <r>
    <x v="55"/>
    <x v="3"/>
    <m/>
    <x v="0"/>
    <x v="2"/>
    <x v="17"/>
    <n v="190801"/>
    <n v="190801"/>
    <m/>
    <n v="27"/>
    <n v="190801"/>
    <n v="891000"/>
  </r>
  <r>
    <x v="55"/>
    <x v="3"/>
    <m/>
    <x v="0"/>
    <x v="2"/>
    <x v="15"/>
    <n v="190801"/>
    <n v="190801"/>
    <m/>
    <n v="26"/>
    <n v="190801"/>
    <n v="520000"/>
  </r>
  <r>
    <x v="55"/>
    <x v="3"/>
    <m/>
    <x v="0"/>
    <x v="2"/>
    <x v="16"/>
    <n v="190801"/>
    <n v="190801"/>
    <m/>
    <n v="22"/>
    <n v="190801"/>
    <n v="770000"/>
  </r>
  <r>
    <x v="56"/>
    <x v="4"/>
    <m/>
    <x v="0"/>
    <x v="1"/>
    <x v="16"/>
    <n v="190801"/>
    <n v="190801"/>
    <m/>
    <n v="5"/>
    <n v="190801"/>
    <n v="175000"/>
  </r>
  <r>
    <x v="56"/>
    <x v="4"/>
    <m/>
    <x v="0"/>
    <x v="2"/>
    <x v="17"/>
    <n v="190801"/>
    <n v="190801"/>
    <m/>
    <n v="14"/>
    <n v="190801"/>
    <n v="462000"/>
  </r>
  <r>
    <x v="56"/>
    <x v="4"/>
    <m/>
    <x v="0"/>
    <x v="2"/>
    <x v="15"/>
    <n v="190801"/>
    <n v="190801"/>
    <m/>
    <n v="22"/>
    <n v="190801"/>
    <n v="440000"/>
  </r>
  <r>
    <x v="56"/>
    <x v="4"/>
    <m/>
    <x v="0"/>
    <x v="2"/>
    <x v="16"/>
    <n v="190801"/>
    <n v="190801"/>
    <m/>
    <n v="16"/>
    <n v="190801"/>
    <n v="560000"/>
  </r>
  <r>
    <x v="57"/>
    <x v="1"/>
    <m/>
    <x v="0"/>
    <x v="1"/>
    <x v="15"/>
    <n v="190801"/>
    <n v="190801"/>
    <m/>
    <n v="2"/>
    <n v="190801"/>
    <n v="40000"/>
  </r>
  <r>
    <x v="57"/>
    <x v="1"/>
    <m/>
    <x v="0"/>
    <x v="1"/>
    <x v="16"/>
    <n v="190801"/>
    <n v="190801"/>
    <m/>
    <n v="9"/>
    <n v="190801"/>
    <n v="315000"/>
  </r>
  <r>
    <x v="57"/>
    <x v="1"/>
    <m/>
    <x v="0"/>
    <x v="2"/>
    <x v="17"/>
    <n v="190801"/>
    <n v="190801"/>
    <m/>
    <n v="17"/>
    <n v="190801"/>
    <n v="561000"/>
  </r>
  <r>
    <x v="57"/>
    <x v="1"/>
    <m/>
    <x v="0"/>
    <x v="2"/>
    <x v="15"/>
    <n v="190801"/>
    <n v="190801"/>
    <m/>
    <n v="16"/>
    <n v="190801"/>
    <n v="320000"/>
  </r>
  <r>
    <x v="57"/>
    <x v="1"/>
    <m/>
    <x v="0"/>
    <x v="2"/>
    <x v="16"/>
    <n v="190801"/>
    <n v="190801"/>
    <m/>
    <n v="10"/>
    <n v="190801"/>
    <n v="350000"/>
  </r>
  <r>
    <x v="58"/>
    <x v="0"/>
    <m/>
    <x v="0"/>
    <x v="1"/>
    <x v="15"/>
    <n v="190801"/>
    <n v="190801"/>
    <m/>
    <n v="1"/>
    <n v="190801"/>
    <n v="20000"/>
  </r>
  <r>
    <x v="58"/>
    <x v="0"/>
    <m/>
    <x v="0"/>
    <x v="2"/>
    <x v="17"/>
    <n v="190801"/>
    <n v="190801"/>
    <m/>
    <n v="21"/>
    <n v="190801"/>
    <n v="693000"/>
  </r>
  <r>
    <x v="58"/>
    <x v="0"/>
    <m/>
    <x v="0"/>
    <x v="2"/>
    <x v="15"/>
    <n v="190801"/>
    <n v="190801"/>
    <m/>
    <n v="23"/>
    <n v="190801"/>
    <n v="460000"/>
  </r>
  <r>
    <x v="58"/>
    <x v="0"/>
    <m/>
    <x v="0"/>
    <x v="2"/>
    <x v="16"/>
    <n v="190801"/>
    <n v="190801"/>
    <m/>
    <n v="15"/>
    <n v="190801"/>
    <n v="525000"/>
  </r>
  <r>
    <x v="59"/>
    <x v="2"/>
    <m/>
    <x v="0"/>
    <x v="1"/>
    <x v="15"/>
    <n v="190801"/>
    <n v="190801"/>
    <m/>
    <n v="1"/>
    <n v="190801"/>
    <n v="20000"/>
  </r>
  <r>
    <x v="59"/>
    <x v="2"/>
    <m/>
    <x v="0"/>
    <x v="1"/>
    <x v="16"/>
    <n v="190801"/>
    <n v="190801"/>
    <m/>
    <n v="5"/>
    <n v="190801"/>
    <n v="175000"/>
  </r>
  <r>
    <x v="59"/>
    <x v="2"/>
    <m/>
    <x v="0"/>
    <x v="2"/>
    <x v="17"/>
    <n v="190801"/>
    <n v="190801"/>
    <m/>
    <n v="10"/>
    <n v="190801"/>
    <n v="330000"/>
  </r>
  <r>
    <x v="59"/>
    <x v="2"/>
    <m/>
    <x v="0"/>
    <x v="2"/>
    <x v="15"/>
    <n v="190801"/>
    <n v="190801"/>
    <m/>
    <n v="16"/>
    <n v="190801"/>
    <n v="320000"/>
  </r>
  <r>
    <x v="59"/>
    <x v="2"/>
    <m/>
    <x v="0"/>
    <x v="2"/>
    <x v="16"/>
    <n v="190801"/>
    <n v="190801"/>
    <m/>
    <n v="4"/>
    <n v="190801"/>
    <n v="140000"/>
  </r>
  <r>
    <x v="60"/>
    <x v="5"/>
    <m/>
    <x v="0"/>
    <x v="1"/>
    <x v="16"/>
    <n v="190801"/>
    <n v="190801"/>
    <m/>
    <n v="4"/>
    <n v="190801"/>
    <n v="140000"/>
  </r>
  <r>
    <x v="60"/>
    <x v="5"/>
    <m/>
    <x v="0"/>
    <x v="2"/>
    <x v="17"/>
    <n v="190801"/>
    <n v="190801"/>
    <m/>
    <n v="10"/>
    <n v="190801"/>
    <n v="330000"/>
  </r>
  <r>
    <x v="60"/>
    <x v="5"/>
    <m/>
    <x v="0"/>
    <x v="2"/>
    <x v="15"/>
    <n v="190801"/>
    <n v="190801"/>
    <m/>
    <n v="14"/>
    <n v="190801"/>
    <n v="280000"/>
  </r>
  <r>
    <x v="60"/>
    <x v="5"/>
    <m/>
    <x v="0"/>
    <x v="2"/>
    <x v="16"/>
    <n v="190801"/>
    <n v="190801"/>
    <m/>
    <n v="17"/>
    <n v="190801"/>
    <n v="595000"/>
  </r>
  <r>
    <x v="61"/>
    <x v="6"/>
    <m/>
    <x v="0"/>
    <x v="1"/>
    <x v="15"/>
    <n v="190801"/>
    <n v="190801"/>
    <m/>
    <n v="1"/>
    <n v="190801"/>
    <n v="20000"/>
  </r>
  <r>
    <x v="61"/>
    <x v="6"/>
    <m/>
    <x v="0"/>
    <x v="1"/>
    <x v="16"/>
    <n v="190801"/>
    <n v="190801"/>
    <m/>
    <n v="1"/>
    <n v="190801"/>
    <n v="35000"/>
  </r>
  <r>
    <x v="61"/>
    <x v="6"/>
    <m/>
    <x v="0"/>
    <x v="2"/>
    <x v="17"/>
    <n v="190801"/>
    <n v="190801"/>
    <m/>
    <n v="24"/>
    <n v="190801"/>
    <n v="792000"/>
  </r>
  <r>
    <x v="61"/>
    <x v="6"/>
    <m/>
    <x v="0"/>
    <x v="2"/>
    <x v="15"/>
    <n v="190801"/>
    <n v="190801"/>
    <m/>
    <n v="18"/>
    <n v="190801"/>
    <n v="360000"/>
  </r>
  <r>
    <x v="61"/>
    <x v="6"/>
    <m/>
    <x v="0"/>
    <x v="2"/>
    <x v="16"/>
    <n v="190801"/>
    <n v="190801"/>
    <m/>
    <n v="12"/>
    <n v="190801"/>
    <n v="420000"/>
  </r>
  <r>
    <x v="62"/>
    <x v="3"/>
    <m/>
    <x v="0"/>
    <x v="1"/>
    <x v="15"/>
    <n v="190801"/>
    <n v="190801"/>
    <m/>
    <n v="1"/>
    <n v="190801"/>
    <n v="20000"/>
  </r>
  <r>
    <x v="62"/>
    <x v="3"/>
    <m/>
    <x v="0"/>
    <x v="1"/>
    <x v="16"/>
    <n v="190801"/>
    <n v="190801"/>
    <m/>
    <n v="3"/>
    <n v="190801"/>
    <n v="105000"/>
  </r>
  <r>
    <x v="62"/>
    <x v="3"/>
    <m/>
    <x v="0"/>
    <x v="2"/>
    <x v="17"/>
    <n v="190801"/>
    <n v="190801"/>
    <m/>
    <n v="22"/>
    <n v="190801"/>
    <n v="726000"/>
  </r>
  <r>
    <x v="62"/>
    <x v="3"/>
    <m/>
    <x v="0"/>
    <x v="2"/>
    <x v="15"/>
    <n v="190801"/>
    <n v="190801"/>
    <m/>
    <n v="34"/>
    <n v="190801"/>
    <n v="680000"/>
  </r>
  <r>
    <x v="62"/>
    <x v="3"/>
    <m/>
    <x v="0"/>
    <x v="2"/>
    <x v="16"/>
    <n v="190801"/>
    <n v="190801"/>
    <m/>
    <n v="29"/>
    <n v="190801"/>
    <n v="1015000"/>
  </r>
  <r>
    <x v="63"/>
    <x v="4"/>
    <m/>
    <x v="0"/>
    <x v="1"/>
    <x v="15"/>
    <n v="190801"/>
    <n v="190801"/>
    <m/>
    <n v="2"/>
    <n v="190801"/>
    <n v="40000"/>
  </r>
  <r>
    <x v="63"/>
    <x v="4"/>
    <m/>
    <x v="0"/>
    <x v="1"/>
    <x v="16"/>
    <n v="190801"/>
    <n v="190801"/>
    <m/>
    <n v="1"/>
    <n v="190801"/>
    <n v="35000"/>
  </r>
  <r>
    <x v="63"/>
    <x v="4"/>
    <m/>
    <x v="0"/>
    <x v="2"/>
    <x v="17"/>
    <n v="190801"/>
    <n v="190801"/>
    <m/>
    <n v="32"/>
    <n v="190801"/>
    <n v="1056000"/>
  </r>
  <r>
    <x v="63"/>
    <x v="4"/>
    <m/>
    <x v="0"/>
    <x v="2"/>
    <x v="15"/>
    <n v="190801"/>
    <n v="190801"/>
    <m/>
    <n v="19"/>
    <n v="190801"/>
    <n v="380000"/>
  </r>
  <r>
    <x v="63"/>
    <x v="4"/>
    <m/>
    <x v="0"/>
    <x v="2"/>
    <x v="16"/>
    <n v="190801"/>
    <n v="190801"/>
    <m/>
    <n v="21"/>
    <n v="190801"/>
    <n v="735000"/>
  </r>
  <r>
    <x v="64"/>
    <x v="1"/>
    <m/>
    <x v="0"/>
    <x v="2"/>
    <x v="17"/>
    <n v="190801"/>
    <n v="190801"/>
    <m/>
    <n v="15"/>
    <n v="190801"/>
    <n v="495000"/>
  </r>
  <r>
    <x v="64"/>
    <x v="1"/>
    <m/>
    <x v="0"/>
    <x v="2"/>
    <x v="15"/>
    <n v="190801"/>
    <n v="190801"/>
    <m/>
    <n v="22"/>
    <n v="190801"/>
    <n v="440000"/>
  </r>
  <r>
    <x v="64"/>
    <x v="1"/>
    <m/>
    <x v="0"/>
    <x v="2"/>
    <x v="16"/>
    <n v="190801"/>
    <n v="190801"/>
    <m/>
    <n v="18"/>
    <n v="190801"/>
    <n v="630000"/>
  </r>
  <r>
    <x v="65"/>
    <x v="0"/>
    <m/>
    <x v="0"/>
    <x v="1"/>
    <x v="15"/>
    <n v="190801"/>
    <n v="190801"/>
    <m/>
    <n v="1"/>
    <n v="190801"/>
    <n v="20000"/>
  </r>
  <r>
    <x v="65"/>
    <x v="0"/>
    <m/>
    <x v="0"/>
    <x v="1"/>
    <x v="16"/>
    <n v="190801"/>
    <n v="190801"/>
    <m/>
    <n v="4"/>
    <n v="190801"/>
    <n v="140000"/>
  </r>
  <r>
    <x v="65"/>
    <x v="0"/>
    <m/>
    <x v="0"/>
    <x v="2"/>
    <x v="17"/>
    <n v="190801"/>
    <n v="190801"/>
    <m/>
    <n v="18"/>
    <n v="190801"/>
    <n v="594000"/>
  </r>
  <r>
    <x v="65"/>
    <x v="0"/>
    <m/>
    <x v="0"/>
    <x v="2"/>
    <x v="15"/>
    <n v="190801"/>
    <n v="190801"/>
    <m/>
    <n v="22"/>
    <n v="190801"/>
    <n v="440000"/>
  </r>
  <r>
    <x v="65"/>
    <x v="0"/>
    <m/>
    <x v="0"/>
    <x v="2"/>
    <x v="16"/>
    <n v="190801"/>
    <n v="190801"/>
    <m/>
    <n v="14"/>
    <n v="190801"/>
    <n v="490000"/>
  </r>
  <r>
    <x v="65"/>
    <x v="0"/>
    <m/>
    <x v="0"/>
    <x v="3"/>
    <x v="15"/>
    <n v="190801"/>
    <n v="190801"/>
    <m/>
    <n v="10"/>
    <n v="190801"/>
    <n v="0"/>
  </r>
  <r>
    <x v="66"/>
    <x v="2"/>
    <m/>
    <x v="0"/>
    <x v="2"/>
    <x v="17"/>
    <n v="190801"/>
    <n v="190801"/>
    <m/>
    <n v="10"/>
    <n v="190801"/>
    <n v="330000"/>
  </r>
  <r>
    <x v="66"/>
    <x v="2"/>
    <m/>
    <x v="0"/>
    <x v="2"/>
    <x v="15"/>
    <n v="190801"/>
    <n v="190801"/>
    <m/>
    <n v="20"/>
    <n v="190801"/>
    <n v="400000"/>
  </r>
  <r>
    <x v="66"/>
    <x v="2"/>
    <m/>
    <x v="0"/>
    <x v="2"/>
    <x v="16"/>
    <n v="190801"/>
    <n v="190801"/>
    <m/>
    <n v="13"/>
    <n v="190801"/>
    <n v="455000"/>
  </r>
  <r>
    <x v="67"/>
    <x v="5"/>
    <m/>
    <x v="0"/>
    <x v="2"/>
    <x v="17"/>
    <n v="190801"/>
    <n v="190801"/>
    <m/>
    <n v="11"/>
    <n v="190801"/>
    <n v="363000"/>
  </r>
  <r>
    <x v="67"/>
    <x v="5"/>
    <m/>
    <x v="0"/>
    <x v="2"/>
    <x v="15"/>
    <n v="190801"/>
    <n v="190801"/>
    <m/>
    <n v="15"/>
    <n v="190801"/>
    <n v="300000"/>
  </r>
  <r>
    <x v="67"/>
    <x v="5"/>
    <m/>
    <x v="0"/>
    <x v="2"/>
    <x v="16"/>
    <n v="190801"/>
    <n v="190801"/>
    <m/>
    <n v="9"/>
    <n v="190801"/>
    <n v="315000"/>
  </r>
  <r>
    <x v="68"/>
    <x v="6"/>
    <m/>
    <x v="0"/>
    <x v="1"/>
    <x v="16"/>
    <n v="190801"/>
    <n v="190801"/>
    <m/>
    <n v="2"/>
    <n v="190801"/>
    <n v="70000"/>
  </r>
  <r>
    <x v="68"/>
    <x v="6"/>
    <m/>
    <x v="0"/>
    <x v="2"/>
    <x v="17"/>
    <n v="190801"/>
    <n v="190801"/>
    <m/>
    <n v="17"/>
    <n v="190801"/>
    <n v="561000"/>
  </r>
  <r>
    <x v="68"/>
    <x v="6"/>
    <m/>
    <x v="0"/>
    <x v="2"/>
    <x v="15"/>
    <n v="190801"/>
    <n v="190801"/>
    <m/>
    <n v="17"/>
    <n v="190801"/>
    <n v="340000"/>
  </r>
  <r>
    <x v="68"/>
    <x v="6"/>
    <m/>
    <x v="0"/>
    <x v="2"/>
    <x v="16"/>
    <n v="190801"/>
    <n v="190801"/>
    <m/>
    <n v="15"/>
    <n v="190801"/>
    <n v="525000"/>
  </r>
  <r>
    <x v="69"/>
    <x v="3"/>
    <m/>
    <x v="0"/>
    <x v="1"/>
    <x v="15"/>
    <n v="190801"/>
    <n v="190801"/>
    <m/>
    <n v="2"/>
    <n v="190801"/>
    <n v="40000"/>
  </r>
  <r>
    <x v="69"/>
    <x v="3"/>
    <m/>
    <x v="0"/>
    <x v="1"/>
    <x v="16"/>
    <n v="190801"/>
    <n v="190801"/>
    <m/>
    <n v="5"/>
    <n v="190801"/>
    <n v="175000"/>
  </r>
  <r>
    <x v="69"/>
    <x v="3"/>
    <m/>
    <x v="0"/>
    <x v="2"/>
    <x v="17"/>
    <n v="190801"/>
    <n v="190801"/>
    <m/>
    <n v="23"/>
    <n v="190801"/>
    <n v="759000"/>
  </r>
  <r>
    <x v="69"/>
    <x v="3"/>
    <m/>
    <x v="0"/>
    <x v="2"/>
    <x v="15"/>
    <n v="190801"/>
    <n v="190801"/>
    <m/>
    <n v="24"/>
    <n v="190801"/>
    <n v="480000"/>
  </r>
  <r>
    <x v="69"/>
    <x v="3"/>
    <m/>
    <x v="0"/>
    <x v="2"/>
    <x v="16"/>
    <n v="190801"/>
    <n v="190801"/>
    <m/>
    <n v="20"/>
    <n v="190801"/>
    <n v="700000"/>
  </r>
  <r>
    <x v="69"/>
    <x v="3"/>
    <m/>
    <x v="0"/>
    <x v="3"/>
    <x v="15"/>
    <n v="190801"/>
    <n v="190801"/>
    <m/>
    <n v="4"/>
    <n v="190801"/>
    <n v="0"/>
  </r>
  <r>
    <x v="70"/>
    <x v="4"/>
    <m/>
    <x v="0"/>
    <x v="1"/>
    <x v="16"/>
    <n v="190801"/>
    <n v="190801"/>
    <m/>
    <n v="2"/>
    <n v="190801"/>
    <n v="70000"/>
  </r>
  <r>
    <x v="70"/>
    <x v="4"/>
    <m/>
    <x v="0"/>
    <x v="3"/>
    <x v="15"/>
    <n v="190801"/>
    <n v="190801"/>
    <m/>
    <n v="5"/>
    <n v="190801"/>
    <n v="0"/>
  </r>
  <r>
    <x v="70"/>
    <x v="4"/>
    <m/>
    <x v="0"/>
    <x v="2"/>
    <x v="17"/>
    <n v="190801"/>
    <n v="190801"/>
    <m/>
    <n v="30"/>
    <n v="190801"/>
    <n v="990000"/>
  </r>
  <r>
    <x v="70"/>
    <x v="4"/>
    <m/>
    <x v="0"/>
    <x v="2"/>
    <x v="15"/>
    <n v="190801"/>
    <n v="190801"/>
    <m/>
    <n v="23"/>
    <n v="190801"/>
    <n v="460000"/>
  </r>
  <r>
    <x v="70"/>
    <x v="4"/>
    <m/>
    <x v="0"/>
    <x v="2"/>
    <x v="16"/>
    <n v="190801"/>
    <n v="190801"/>
    <m/>
    <n v="19"/>
    <n v="190801"/>
    <n v="665000"/>
  </r>
  <r>
    <x v="70"/>
    <x v="4"/>
    <m/>
    <x v="0"/>
    <x v="4"/>
    <x v="16"/>
    <n v="190801"/>
    <n v="190801"/>
    <m/>
    <n v="2"/>
    <n v="190801"/>
    <n v="88000"/>
  </r>
  <r>
    <x v="71"/>
    <x v="1"/>
    <m/>
    <x v="0"/>
    <x v="1"/>
    <x v="16"/>
    <n v="190801"/>
    <n v="190801"/>
    <m/>
    <n v="4"/>
    <n v="190801"/>
    <n v="140000"/>
  </r>
  <r>
    <x v="71"/>
    <x v="1"/>
    <m/>
    <x v="0"/>
    <x v="2"/>
    <x v="17"/>
    <n v="190801"/>
    <n v="190801"/>
    <m/>
    <n v="23"/>
    <n v="190801"/>
    <n v="759000"/>
  </r>
  <r>
    <x v="71"/>
    <x v="1"/>
    <m/>
    <x v="0"/>
    <x v="2"/>
    <x v="15"/>
    <n v="190801"/>
    <n v="190801"/>
    <m/>
    <n v="21"/>
    <n v="190801"/>
    <n v="420000"/>
  </r>
  <r>
    <x v="71"/>
    <x v="1"/>
    <m/>
    <x v="0"/>
    <x v="2"/>
    <x v="16"/>
    <n v="190801"/>
    <n v="190801"/>
    <m/>
    <n v="20"/>
    <n v="190801"/>
    <n v="700000"/>
  </r>
  <r>
    <x v="71"/>
    <x v="1"/>
    <m/>
    <x v="0"/>
    <x v="4"/>
    <x v="15"/>
    <n v="190801"/>
    <n v="190801"/>
    <m/>
    <n v="1"/>
    <n v="190801"/>
    <n v="31500"/>
  </r>
  <r>
    <x v="71"/>
    <x v="1"/>
    <m/>
    <x v="0"/>
    <x v="4"/>
    <x v="16"/>
    <n v="190801"/>
    <n v="190801"/>
    <m/>
    <n v="1"/>
    <n v="190801"/>
    <n v="44000"/>
  </r>
  <r>
    <x v="72"/>
    <x v="0"/>
    <m/>
    <x v="0"/>
    <x v="1"/>
    <x v="16"/>
    <n v="190801"/>
    <n v="190801"/>
    <m/>
    <n v="2"/>
    <n v="190801"/>
    <n v="70000"/>
  </r>
  <r>
    <x v="72"/>
    <x v="0"/>
    <m/>
    <x v="0"/>
    <x v="3"/>
    <x v="15"/>
    <n v="190801"/>
    <n v="190801"/>
    <m/>
    <n v="5"/>
    <n v="190801"/>
    <n v="0"/>
  </r>
  <r>
    <x v="72"/>
    <x v="0"/>
    <m/>
    <x v="0"/>
    <x v="2"/>
    <x v="17"/>
    <n v="190801"/>
    <n v="190801"/>
    <m/>
    <n v="14"/>
    <n v="190801"/>
    <n v="462000"/>
  </r>
  <r>
    <x v="72"/>
    <x v="0"/>
    <m/>
    <x v="0"/>
    <x v="2"/>
    <x v="15"/>
    <n v="190801"/>
    <n v="190801"/>
    <m/>
    <n v="24"/>
    <n v="190801"/>
    <n v="480000"/>
  </r>
  <r>
    <x v="72"/>
    <x v="0"/>
    <m/>
    <x v="0"/>
    <x v="2"/>
    <x v="16"/>
    <n v="190801"/>
    <n v="190801"/>
    <m/>
    <n v="22"/>
    <n v="190801"/>
    <n v="770000"/>
  </r>
  <r>
    <x v="73"/>
    <x v="2"/>
    <m/>
    <x v="1"/>
    <x v="3"/>
    <x v="18"/>
    <n v="190801"/>
    <n v="190801"/>
    <m/>
    <n v="20"/>
    <n v="190801"/>
    <n v="0"/>
  </r>
  <r>
    <x v="73"/>
    <x v="2"/>
    <m/>
    <x v="0"/>
    <x v="1"/>
    <x v="16"/>
    <n v="190801"/>
    <n v="190801"/>
    <m/>
    <n v="1"/>
    <n v="190801"/>
    <n v="35000"/>
  </r>
  <r>
    <x v="73"/>
    <x v="2"/>
    <m/>
    <x v="0"/>
    <x v="2"/>
    <x v="17"/>
    <n v="190801"/>
    <n v="190801"/>
    <m/>
    <n v="29"/>
    <n v="190801"/>
    <n v="957000"/>
  </r>
  <r>
    <x v="73"/>
    <x v="2"/>
    <m/>
    <x v="0"/>
    <x v="2"/>
    <x v="15"/>
    <n v="190801"/>
    <n v="190801"/>
    <m/>
    <n v="26"/>
    <n v="190801"/>
    <n v="520000"/>
  </r>
  <r>
    <x v="73"/>
    <x v="2"/>
    <m/>
    <x v="0"/>
    <x v="2"/>
    <x v="16"/>
    <n v="190801"/>
    <n v="190801"/>
    <m/>
    <n v="15"/>
    <n v="190801"/>
    <n v="525000"/>
  </r>
  <r>
    <x v="74"/>
    <x v="5"/>
    <m/>
    <x v="0"/>
    <x v="1"/>
    <x v="16"/>
    <n v="190801"/>
    <n v="190801"/>
    <m/>
    <n v="4"/>
    <n v="190801"/>
    <n v="140000"/>
  </r>
  <r>
    <x v="74"/>
    <x v="5"/>
    <m/>
    <x v="0"/>
    <x v="2"/>
    <x v="17"/>
    <n v="190801"/>
    <n v="190801"/>
    <m/>
    <n v="75"/>
    <n v="190801"/>
    <n v="2475000"/>
  </r>
  <r>
    <x v="74"/>
    <x v="5"/>
    <m/>
    <x v="0"/>
    <x v="2"/>
    <x v="15"/>
    <n v="190801"/>
    <n v="190801"/>
    <m/>
    <n v="73"/>
    <n v="190801"/>
    <n v="1460000"/>
  </r>
  <r>
    <x v="74"/>
    <x v="5"/>
    <m/>
    <x v="0"/>
    <x v="2"/>
    <x v="16"/>
    <n v="190801"/>
    <n v="190801"/>
    <m/>
    <n v="36"/>
    <n v="190801"/>
    <n v="1260000"/>
  </r>
  <r>
    <x v="75"/>
    <x v="6"/>
    <m/>
    <x v="0"/>
    <x v="1"/>
    <x v="15"/>
    <n v="190801"/>
    <n v="190801"/>
    <m/>
    <n v="1"/>
    <n v="190801"/>
    <n v="20000"/>
  </r>
  <r>
    <x v="75"/>
    <x v="6"/>
    <m/>
    <x v="0"/>
    <x v="1"/>
    <x v="16"/>
    <n v="190801"/>
    <n v="190801"/>
    <m/>
    <n v="11"/>
    <n v="190801"/>
    <n v="385000"/>
  </r>
  <r>
    <x v="75"/>
    <x v="6"/>
    <m/>
    <x v="0"/>
    <x v="2"/>
    <x v="17"/>
    <n v="190801"/>
    <n v="190801"/>
    <m/>
    <n v="175"/>
    <n v="190801"/>
    <n v="5775000"/>
  </r>
  <r>
    <x v="75"/>
    <x v="6"/>
    <m/>
    <x v="0"/>
    <x v="2"/>
    <x v="15"/>
    <n v="190801"/>
    <n v="190801"/>
    <m/>
    <n v="144"/>
    <n v="190801"/>
    <n v="2880000"/>
  </r>
  <r>
    <x v="75"/>
    <x v="6"/>
    <m/>
    <x v="0"/>
    <x v="2"/>
    <x v="16"/>
    <n v="190801"/>
    <n v="190801"/>
    <m/>
    <n v="66"/>
    <n v="190801"/>
    <n v="2310000"/>
  </r>
  <r>
    <x v="76"/>
    <x v="3"/>
    <m/>
    <x v="0"/>
    <x v="1"/>
    <x v="15"/>
    <n v="190801"/>
    <n v="190801"/>
    <m/>
    <n v="1"/>
    <n v="190801"/>
    <n v="20000"/>
  </r>
  <r>
    <x v="76"/>
    <x v="3"/>
    <m/>
    <x v="0"/>
    <x v="1"/>
    <x v="16"/>
    <n v="190801"/>
    <n v="190801"/>
    <m/>
    <n v="8"/>
    <n v="190801"/>
    <n v="280000"/>
  </r>
  <r>
    <x v="76"/>
    <x v="3"/>
    <m/>
    <x v="0"/>
    <x v="2"/>
    <x v="17"/>
    <n v="190801"/>
    <n v="190801"/>
    <m/>
    <n v="36"/>
    <n v="190801"/>
    <n v="1188000"/>
  </r>
  <r>
    <x v="76"/>
    <x v="3"/>
    <m/>
    <x v="0"/>
    <x v="2"/>
    <x v="15"/>
    <n v="190801"/>
    <n v="190801"/>
    <m/>
    <n v="37"/>
    <n v="190801"/>
    <n v="740000"/>
  </r>
  <r>
    <x v="76"/>
    <x v="3"/>
    <m/>
    <x v="0"/>
    <x v="2"/>
    <x v="16"/>
    <n v="190801"/>
    <n v="190801"/>
    <m/>
    <n v="34"/>
    <n v="190801"/>
    <n v="1190000"/>
  </r>
  <r>
    <x v="77"/>
    <x v="4"/>
    <m/>
    <x v="0"/>
    <x v="1"/>
    <x v="16"/>
    <n v="190801"/>
    <n v="190801"/>
    <m/>
    <n v="11"/>
    <n v="190801"/>
    <n v="385000"/>
  </r>
  <r>
    <x v="77"/>
    <x v="4"/>
    <m/>
    <x v="0"/>
    <x v="2"/>
    <x v="17"/>
    <n v="190801"/>
    <n v="190801"/>
    <m/>
    <n v="29"/>
    <n v="190801"/>
    <n v="957000"/>
  </r>
  <r>
    <x v="77"/>
    <x v="4"/>
    <m/>
    <x v="0"/>
    <x v="2"/>
    <x v="15"/>
    <n v="190801"/>
    <n v="190801"/>
    <m/>
    <n v="45"/>
    <n v="190801"/>
    <n v="900000"/>
  </r>
  <r>
    <x v="77"/>
    <x v="4"/>
    <m/>
    <x v="0"/>
    <x v="2"/>
    <x v="16"/>
    <n v="190801"/>
    <n v="190801"/>
    <m/>
    <n v="31"/>
    <n v="190801"/>
    <n v="1085000"/>
  </r>
  <r>
    <x v="78"/>
    <x v="1"/>
    <m/>
    <x v="0"/>
    <x v="1"/>
    <x v="16"/>
    <n v="190801"/>
    <n v="190801"/>
    <m/>
    <n v="6"/>
    <n v="190801"/>
    <n v="210000"/>
  </r>
  <r>
    <x v="78"/>
    <x v="1"/>
    <m/>
    <x v="0"/>
    <x v="2"/>
    <x v="17"/>
    <n v="190801"/>
    <n v="190801"/>
    <m/>
    <n v="39"/>
    <n v="190801"/>
    <n v="1287000"/>
  </r>
  <r>
    <x v="78"/>
    <x v="1"/>
    <m/>
    <x v="0"/>
    <x v="2"/>
    <x v="15"/>
    <n v="190801"/>
    <n v="190801"/>
    <m/>
    <n v="28"/>
    <n v="190801"/>
    <n v="560000"/>
  </r>
  <r>
    <x v="78"/>
    <x v="1"/>
    <m/>
    <x v="0"/>
    <x v="2"/>
    <x v="16"/>
    <n v="190801"/>
    <n v="190801"/>
    <m/>
    <n v="23"/>
    <n v="190801"/>
    <n v="805000"/>
  </r>
  <r>
    <x v="78"/>
    <x v="1"/>
    <m/>
    <x v="0"/>
    <x v="3"/>
    <x v="15"/>
    <n v="190801"/>
    <n v="190801"/>
    <m/>
    <n v="11"/>
    <n v="190801"/>
    <n v="0"/>
  </r>
  <r>
    <x v="79"/>
    <x v="0"/>
    <m/>
    <x v="0"/>
    <x v="1"/>
    <x v="16"/>
    <n v="190801"/>
    <n v="190801"/>
    <m/>
    <n v="2"/>
    <n v="190801"/>
    <n v="70000"/>
  </r>
  <r>
    <x v="79"/>
    <x v="0"/>
    <m/>
    <x v="0"/>
    <x v="2"/>
    <x v="17"/>
    <n v="190801"/>
    <n v="190801"/>
    <m/>
    <n v="34"/>
    <n v="190801"/>
    <n v="1122000"/>
  </r>
  <r>
    <x v="79"/>
    <x v="0"/>
    <m/>
    <x v="0"/>
    <x v="2"/>
    <x v="15"/>
    <n v="190801"/>
    <n v="190801"/>
    <m/>
    <n v="36"/>
    <n v="190801"/>
    <n v="720000"/>
  </r>
  <r>
    <x v="79"/>
    <x v="0"/>
    <m/>
    <x v="0"/>
    <x v="2"/>
    <x v="16"/>
    <n v="190801"/>
    <n v="190801"/>
    <m/>
    <n v="26"/>
    <n v="190801"/>
    <n v="910000"/>
  </r>
  <r>
    <x v="80"/>
    <x v="2"/>
    <m/>
    <x v="0"/>
    <x v="1"/>
    <x v="15"/>
    <n v="190801"/>
    <n v="190801"/>
    <m/>
    <n v="1"/>
    <n v="190801"/>
    <n v="20000"/>
  </r>
  <r>
    <x v="80"/>
    <x v="2"/>
    <m/>
    <x v="0"/>
    <x v="1"/>
    <x v="16"/>
    <n v="190801"/>
    <n v="190801"/>
    <m/>
    <n v="7"/>
    <n v="190801"/>
    <n v="245000"/>
  </r>
  <r>
    <x v="80"/>
    <x v="2"/>
    <m/>
    <x v="0"/>
    <x v="2"/>
    <x v="17"/>
    <n v="190801"/>
    <n v="190801"/>
    <m/>
    <n v="35"/>
    <n v="190801"/>
    <n v="1155000"/>
  </r>
  <r>
    <x v="80"/>
    <x v="2"/>
    <m/>
    <x v="0"/>
    <x v="2"/>
    <x v="15"/>
    <n v="190801"/>
    <n v="190801"/>
    <m/>
    <n v="27"/>
    <n v="190801"/>
    <n v="540000"/>
  </r>
  <r>
    <x v="80"/>
    <x v="2"/>
    <m/>
    <x v="0"/>
    <x v="2"/>
    <x v="16"/>
    <n v="190801"/>
    <n v="190801"/>
    <m/>
    <n v="25"/>
    <n v="190801"/>
    <n v="875000"/>
  </r>
  <r>
    <x v="81"/>
    <x v="5"/>
    <m/>
    <x v="0"/>
    <x v="1"/>
    <x v="15"/>
    <n v="190801"/>
    <n v="190801"/>
    <m/>
    <n v="2"/>
    <n v="190801"/>
    <n v="40000"/>
  </r>
  <r>
    <x v="81"/>
    <x v="5"/>
    <m/>
    <x v="0"/>
    <x v="1"/>
    <x v="16"/>
    <n v="190801"/>
    <n v="190801"/>
    <m/>
    <n v="1"/>
    <n v="190801"/>
    <n v="35000"/>
  </r>
  <r>
    <x v="81"/>
    <x v="5"/>
    <m/>
    <x v="0"/>
    <x v="2"/>
    <x v="17"/>
    <n v="190801"/>
    <n v="190801"/>
    <m/>
    <n v="37"/>
    <n v="190801"/>
    <n v="1221000"/>
  </r>
  <r>
    <x v="81"/>
    <x v="5"/>
    <m/>
    <x v="0"/>
    <x v="2"/>
    <x v="15"/>
    <n v="190801"/>
    <n v="190801"/>
    <m/>
    <n v="17"/>
    <n v="190801"/>
    <n v="340000"/>
  </r>
  <r>
    <x v="81"/>
    <x v="5"/>
    <m/>
    <x v="0"/>
    <x v="2"/>
    <x v="16"/>
    <n v="190801"/>
    <n v="190801"/>
    <m/>
    <n v="15"/>
    <n v="190801"/>
    <n v="525000"/>
  </r>
  <r>
    <x v="82"/>
    <x v="6"/>
    <m/>
    <x v="0"/>
    <x v="1"/>
    <x v="16"/>
    <n v="190801"/>
    <n v="190801"/>
    <m/>
    <n v="3"/>
    <n v="190801"/>
    <n v="105000"/>
  </r>
  <r>
    <x v="82"/>
    <x v="6"/>
    <m/>
    <x v="0"/>
    <x v="2"/>
    <x v="17"/>
    <n v="190801"/>
    <n v="190801"/>
    <m/>
    <n v="24"/>
    <n v="190801"/>
    <n v="792000"/>
  </r>
  <r>
    <x v="82"/>
    <x v="6"/>
    <m/>
    <x v="0"/>
    <x v="2"/>
    <x v="15"/>
    <n v="190801"/>
    <n v="190801"/>
    <m/>
    <n v="27"/>
    <n v="190801"/>
    <n v="540000"/>
  </r>
  <r>
    <x v="82"/>
    <x v="6"/>
    <m/>
    <x v="0"/>
    <x v="2"/>
    <x v="16"/>
    <n v="190801"/>
    <n v="190801"/>
    <m/>
    <n v="8"/>
    <n v="190801"/>
    <n v="280000"/>
  </r>
  <r>
    <x v="83"/>
    <x v="3"/>
    <m/>
    <x v="0"/>
    <x v="1"/>
    <x v="16"/>
    <n v="190801"/>
    <n v="190801"/>
    <m/>
    <n v="2"/>
    <n v="190801"/>
    <n v="70000"/>
  </r>
  <r>
    <x v="83"/>
    <x v="3"/>
    <m/>
    <x v="0"/>
    <x v="2"/>
    <x v="17"/>
    <n v="190801"/>
    <n v="190801"/>
    <m/>
    <n v="17"/>
    <n v="190801"/>
    <n v="561000"/>
  </r>
  <r>
    <x v="83"/>
    <x v="3"/>
    <m/>
    <x v="0"/>
    <x v="2"/>
    <x v="15"/>
    <n v="190801"/>
    <n v="190801"/>
    <m/>
    <n v="18"/>
    <n v="190801"/>
    <n v="360000"/>
  </r>
  <r>
    <x v="83"/>
    <x v="3"/>
    <m/>
    <x v="0"/>
    <x v="2"/>
    <x v="16"/>
    <n v="190801"/>
    <n v="190801"/>
    <m/>
    <n v="22"/>
    <n v="190801"/>
    <n v="770000"/>
  </r>
  <r>
    <x v="83"/>
    <x v="3"/>
    <m/>
    <x v="0"/>
    <x v="4"/>
    <x v="15"/>
    <n v="190801"/>
    <n v="190801"/>
    <m/>
    <n v="3"/>
    <n v="190801"/>
    <n v="94500"/>
  </r>
  <r>
    <x v="83"/>
    <x v="3"/>
    <m/>
    <x v="0"/>
    <x v="4"/>
    <x v="16"/>
    <n v="190801"/>
    <n v="190801"/>
    <m/>
    <n v="4"/>
    <n v="190801"/>
    <n v="176000"/>
  </r>
  <r>
    <x v="72"/>
    <x v="0"/>
    <m/>
    <x v="0"/>
    <x v="4"/>
    <x v="15"/>
    <n v="190801"/>
    <n v="190801"/>
    <m/>
    <n v="1"/>
    <n v="190801"/>
    <n v="31500"/>
  </r>
  <r>
    <x v="72"/>
    <x v="0"/>
    <m/>
    <x v="0"/>
    <x v="4"/>
    <x v="16"/>
    <n v="190801"/>
    <n v="190801"/>
    <m/>
    <n v="1"/>
    <n v="190801"/>
    <n v="44000"/>
  </r>
  <r>
    <x v="73"/>
    <x v="2"/>
    <m/>
    <x v="0"/>
    <x v="4"/>
    <x v="15"/>
    <n v="190801"/>
    <n v="190801"/>
    <m/>
    <n v="2"/>
    <n v="190801"/>
    <n v="63000"/>
  </r>
  <r>
    <x v="77"/>
    <x v="4"/>
    <m/>
    <x v="0"/>
    <x v="4"/>
    <x v="15"/>
    <n v="190801"/>
    <n v="190801"/>
    <m/>
    <n v="7"/>
    <n v="190801"/>
    <n v="220500"/>
  </r>
  <r>
    <x v="77"/>
    <x v="4"/>
    <m/>
    <x v="0"/>
    <x v="4"/>
    <x v="16"/>
    <n v="190801"/>
    <n v="190801"/>
    <m/>
    <n v="18"/>
    <n v="190801"/>
    <n v="792000"/>
  </r>
  <r>
    <x v="78"/>
    <x v="1"/>
    <m/>
    <x v="0"/>
    <x v="4"/>
    <x v="16"/>
    <n v="190801"/>
    <n v="190801"/>
    <m/>
    <n v="2"/>
    <n v="190801"/>
    <n v="88000"/>
  </r>
  <r>
    <x v="80"/>
    <x v="2"/>
    <m/>
    <x v="0"/>
    <x v="4"/>
    <x v="15"/>
    <n v="190801"/>
    <n v="190801"/>
    <m/>
    <n v="2"/>
    <n v="190801"/>
    <n v="63000"/>
  </r>
  <r>
    <x v="80"/>
    <x v="2"/>
    <m/>
    <x v="0"/>
    <x v="4"/>
    <x v="16"/>
    <n v="190801"/>
    <n v="190801"/>
    <m/>
    <n v="2"/>
    <n v="190801"/>
    <n v="88000"/>
  </r>
  <r>
    <x v="84"/>
    <x v="4"/>
    <m/>
    <x v="0"/>
    <x v="1"/>
    <x v="15"/>
    <n v="190801"/>
    <n v="190801"/>
    <m/>
    <n v="1"/>
    <n v="190801"/>
    <n v="20000"/>
  </r>
  <r>
    <x v="84"/>
    <x v="4"/>
    <m/>
    <x v="0"/>
    <x v="1"/>
    <x v="16"/>
    <n v="190801"/>
    <n v="190801"/>
    <m/>
    <n v="2"/>
    <n v="190801"/>
    <n v="70000"/>
  </r>
  <r>
    <x v="84"/>
    <x v="4"/>
    <m/>
    <x v="0"/>
    <x v="2"/>
    <x v="17"/>
    <n v="190801"/>
    <n v="190801"/>
    <m/>
    <n v="22"/>
    <n v="190801"/>
    <n v="726000"/>
  </r>
  <r>
    <x v="84"/>
    <x v="4"/>
    <m/>
    <x v="0"/>
    <x v="2"/>
    <x v="15"/>
    <n v="190801"/>
    <n v="190801"/>
    <m/>
    <n v="18"/>
    <n v="190801"/>
    <n v="360000"/>
  </r>
  <r>
    <x v="84"/>
    <x v="4"/>
    <m/>
    <x v="0"/>
    <x v="2"/>
    <x v="16"/>
    <n v="190801"/>
    <n v="190801"/>
    <m/>
    <n v="18"/>
    <n v="190801"/>
    <n v="630000"/>
  </r>
  <r>
    <x v="84"/>
    <x v="4"/>
    <m/>
    <x v="0"/>
    <x v="4"/>
    <x v="15"/>
    <n v="190801"/>
    <n v="190801"/>
    <m/>
    <n v="2"/>
    <n v="190801"/>
    <n v="63000"/>
  </r>
  <r>
    <x v="84"/>
    <x v="4"/>
    <m/>
    <x v="0"/>
    <x v="3"/>
    <x v="15"/>
    <n v="190801"/>
    <n v="190801"/>
    <m/>
    <n v="25"/>
    <n v="190801"/>
    <n v="0"/>
  </r>
  <r>
    <x v="84"/>
    <x v="4"/>
    <m/>
    <x v="1"/>
    <x v="3"/>
    <x v="18"/>
    <n v="190801"/>
    <n v="190801"/>
    <m/>
    <n v="10"/>
    <n v="190801"/>
    <n v="0"/>
  </r>
  <r>
    <x v="84"/>
    <x v="4"/>
    <m/>
    <x v="18"/>
    <x v="3"/>
    <x v="19"/>
    <n v="190801"/>
    <n v="190801"/>
    <m/>
    <n v="20"/>
    <n v="190801"/>
    <n v="0"/>
  </r>
  <r>
    <x v="85"/>
    <x v="1"/>
    <m/>
    <x v="0"/>
    <x v="1"/>
    <x v="15"/>
    <n v="190801"/>
    <n v="190801"/>
    <m/>
    <n v="2"/>
    <n v="190801"/>
    <n v="40000"/>
  </r>
  <r>
    <x v="85"/>
    <x v="1"/>
    <m/>
    <x v="0"/>
    <x v="1"/>
    <x v="16"/>
    <n v="190801"/>
    <n v="190801"/>
    <m/>
    <n v="9"/>
    <n v="190801"/>
    <n v="315000"/>
  </r>
  <r>
    <x v="85"/>
    <x v="1"/>
    <m/>
    <x v="0"/>
    <x v="2"/>
    <x v="17"/>
    <n v="190801"/>
    <n v="190801"/>
    <m/>
    <n v="29"/>
    <n v="190801"/>
    <n v="957000"/>
  </r>
  <r>
    <x v="85"/>
    <x v="1"/>
    <m/>
    <x v="0"/>
    <x v="2"/>
    <x v="15"/>
    <n v="190801"/>
    <n v="190801"/>
    <m/>
    <n v="29"/>
    <n v="190801"/>
    <n v="580000"/>
  </r>
  <r>
    <x v="85"/>
    <x v="1"/>
    <m/>
    <x v="0"/>
    <x v="2"/>
    <x v="16"/>
    <n v="190801"/>
    <n v="190801"/>
    <m/>
    <n v="17"/>
    <n v="190801"/>
    <n v="595000"/>
  </r>
  <r>
    <x v="86"/>
    <x v="0"/>
    <m/>
    <x v="0"/>
    <x v="1"/>
    <x v="15"/>
    <n v="190801"/>
    <n v="190801"/>
    <m/>
    <n v="3"/>
    <n v="190801"/>
    <n v="60000"/>
  </r>
  <r>
    <x v="86"/>
    <x v="0"/>
    <m/>
    <x v="0"/>
    <x v="1"/>
    <x v="16"/>
    <n v="190801"/>
    <n v="190801"/>
    <m/>
    <n v="10"/>
    <n v="190801"/>
    <n v="350000"/>
  </r>
  <r>
    <x v="86"/>
    <x v="0"/>
    <m/>
    <x v="0"/>
    <x v="2"/>
    <x v="17"/>
    <n v="190801"/>
    <n v="190801"/>
    <m/>
    <n v="29"/>
    <n v="190801"/>
    <n v="957000"/>
  </r>
  <r>
    <x v="86"/>
    <x v="0"/>
    <m/>
    <x v="0"/>
    <x v="2"/>
    <x v="15"/>
    <n v="190801"/>
    <n v="190801"/>
    <m/>
    <n v="36"/>
    <n v="190801"/>
    <n v="720000"/>
  </r>
  <r>
    <x v="86"/>
    <x v="0"/>
    <m/>
    <x v="0"/>
    <x v="2"/>
    <x v="16"/>
    <n v="190801"/>
    <n v="190801"/>
    <m/>
    <n v="26"/>
    <n v="190801"/>
    <n v="910000"/>
  </r>
  <r>
    <x v="86"/>
    <x v="0"/>
    <m/>
    <x v="0"/>
    <x v="4"/>
    <x v="15"/>
    <n v="190801"/>
    <n v="190801"/>
    <m/>
    <n v="3"/>
    <n v="190801"/>
    <n v="94500"/>
  </r>
  <r>
    <x v="86"/>
    <x v="0"/>
    <m/>
    <x v="0"/>
    <x v="4"/>
    <x v="16"/>
    <n v="190801"/>
    <n v="190801"/>
    <m/>
    <n v="1"/>
    <n v="190801"/>
    <n v="44000"/>
  </r>
  <r>
    <x v="87"/>
    <x v="2"/>
    <m/>
    <x v="0"/>
    <x v="1"/>
    <x v="15"/>
    <n v="190801"/>
    <n v="190801"/>
    <m/>
    <n v="1"/>
    <n v="190801"/>
    <n v="20000"/>
  </r>
  <r>
    <x v="87"/>
    <x v="2"/>
    <m/>
    <x v="0"/>
    <x v="1"/>
    <x v="16"/>
    <n v="190801"/>
    <n v="190801"/>
    <m/>
    <n v="4"/>
    <n v="190801"/>
    <n v="140000"/>
  </r>
  <r>
    <x v="87"/>
    <x v="2"/>
    <m/>
    <x v="0"/>
    <x v="2"/>
    <x v="17"/>
    <n v="190801"/>
    <n v="190801"/>
    <m/>
    <n v="28"/>
    <n v="190801"/>
    <n v="924000"/>
  </r>
  <r>
    <x v="87"/>
    <x v="2"/>
    <m/>
    <x v="0"/>
    <x v="2"/>
    <x v="15"/>
    <n v="190801"/>
    <n v="190801"/>
    <m/>
    <n v="26"/>
    <n v="190801"/>
    <n v="520000"/>
  </r>
  <r>
    <x v="87"/>
    <x v="2"/>
    <m/>
    <x v="0"/>
    <x v="2"/>
    <x v="16"/>
    <n v="190801"/>
    <n v="190801"/>
    <m/>
    <n v="25"/>
    <n v="190801"/>
    <n v="875000"/>
  </r>
  <r>
    <x v="87"/>
    <x v="2"/>
    <m/>
    <x v="0"/>
    <x v="4"/>
    <x v="15"/>
    <n v="190801"/>
    <n v="190801"/>
    <m/>
    <n v="4"/>
    <n v="190801"/>
    <n v="126000"/>
  </r>
  <r>
    <x v="88"/>
    <x v="5"/>
    <m/>
    <x v="0"/>
    <x v="1"/>
    <x v="16"/>
    <n v="190801"/>
    <n v="190801"/>
    <m/>
    <n v="1"/>
    <n v="190801"/>
    <n v="35000"/>
  </r>
  <r>
    <x v="88"/>
    <x v="5"/>
    <m/>
    <x v="0"/>
    <x v="2"/>
    <x v="17"/>
    <n v="190801"/>
    <n v="190801"/>
    <m/>
    <n v="28"/>
    <n v="190801"/>
    <n v="924000"/>
  </r>
  <r>
    <x v="88"/>
    <x v="5"/>
    <m/>
    <x v="0"/>
    <x v="2"/>
    <x v="15"/>
    <n v="190801"/>
    <n v="190801"/>
    <m/>
    <n v="21"/>
    <n v="190801"/>
    <n v="420000"/>
  </r>
  <r>
    <x v="88"/>
    <x v="5"/>
    <m/>
    <x v="0"/>
    <x v="2"/>
    <x v="16"/>
    <n v="190801"/>
    <n v="190801"/>
    <m/>
    <n v="21"/>
    <n v="190801"/>
    <n v="735000"/>
  </r>
  <r>
    <x v="89"/>
    <x v="6"/>
    <m/>
    <x v="0"/>
    <x v="1"/>
    <x v="16"/>
    <n v="190801"/>
    <n v="190801"/>
    <m/>
    <n v="5"/>
    <n v="190801"/>
    <n v="175000"/>
  </r>
  <r>
    <x v="89"/>
    <x v="6"/>
    <m/>
    <x v="0"/>
    <x v="2"/>
    <x v="17"/>
    <n v="190801"/>
    <n v="190801"/>
    <m/>
    <n v="19"/>
    <n v="190801"/>
    <n v="627000"/>
  </r>
  <r>
    <x v="89"/>
    <x v="6"/>
    <m/>
    <x v="0"/>
    <x v="2"/>
    <x v="15"/>
    <n v="190801"/>
    <n v="190801"/>
    <m/>
    <n v="28"/>
    <n v="190801"/>
    <n v="560000"/>
  </r>
  <r>
    <x v="89"/>
    <x v="6"/>
    <m/>
    <x v="0"/>
    <x v="2"/>
    <x v="16"/>
    <n v="190801"/>
    <n v="190801"/>
    <m/>
    <n v="10"/>
    <n v="190801"/>
    <n v="350000"/>
  </r>
  <r>
    <x v="90"/>
    <x v="3"/>
    <m/>
    <x v="0"/>
    <x v="1"/>
    <x v="15"/>
    <n v="190801"/>
    <n v="190801"/>
    <m/>
    <n v="2"/>
    <n v="190801"/>
    <n v="40000"/>
  </r>
  <r>
    <x v="90"/>
    <x v="3"/>
    <m/>
    <x v="0"/>
    <x v="1"/>
    <x v="16"/>
    <n v="190801"/>
    <n v="190801"/>
    <m/>
    <n v="5"/>
    <n v="190801"/>
    <n v="175000"/>
  </r>
  <r>
    <x v="90"/>
    <x v="3"/>
    <m/>
    <x v="0"/>
    <x v="2"/>
    <x v="17"/>
    <n v="190801"/>
    <n v="190801"/>
    <m/>
    <n v="25"/>
    <n v="190801"/>
    <n v="825000"/>
  </r>
  <r>
    <x v="90"/>
    <x v="3"/>
    <m/>
    <x v="0"/>
    <x v="2"/>
    <x v="15"/>
    <n v="190801"/>
    <n v="190801"/>
    <m/>
    <n v="29"/>
    <n v="190801"/>
    <n v="580000"/>
  </r>
  <r>
    <x v="90"/>
    <x v="3"/>
    <m/>
    <x v="0"/>
    <x v="2"/>
    <x v="16"/>
    <n v="190801"/>
    <n v="190801"/>
    <m/>
    <n v="22"/>
    <n v="190801"/>
    <n v="770000"/>
  </r>
  <r>
    <x v="90"/>
    <x v="3"/>
    <m/>
    <x v="0"/>
    <x v="3"/>
    <x v="15"/>
    <n v="190801"/>
    <n v="190801"/>
    <m/>
    <n v="2"/>
    <n v="190801"/>
    <n v="0"/>
  </r>
  <r>
    <x v="91"/>
    <x v="4"/>
    <m/>
    <x v="0"/>
    <x v="1"/>
    <x v="15"/>
    <n v="190801"/>
    <n v="190801"/>
    <m/>
    <n v="1"/>
    <n v="190801"/>
    <n v="20000"/>
  </r>
  <r>
    <x v="91"/>
    <x v="4"/>
    <m/>
    <x v="0"/>
    <x v="1"/>
    <x v="16"/>
    <n v="190801"/>
    <n v="190801"/>
    <m/>
    <n v="25"/>
    <n v="190801"/>
    <n v="875000"/>
  </r>
  <r>
    <x v="91"/>
    <x v="4"/>
    <m/>
    <x v="0"/>
    <x v="2"/>
    <x v="17"/>
    <n v="190801"/>
    <n v="190801"/>
    <m/>
    <n v="13"/>
    <n v="190801"/>
    <n v="429000"/>
  </r>
  <r>
    <x v="91"/>
    <x v="4"/>
    <m/>
    <x v="0"/>
    <x v="2"/>
    <x v="15"/>
    <n v="190801"/>
    <n v="190801"/>
    <m/>
    <n v="19"/>
    <n v="190801"/>
    <n v="380000"/>
  </r>
  <r>
    <x v="91"/>
    <x v="4"/>
    <m/>
    <x v="0"/>
    <x v="2"/>
    <x v="16"/>
    <n v="190801"/>
    <n v="190801"/>
    <m/>
    <n v="15"/>
    <n v="190801"/>
    <n v="525000"/>
  </r>
  <r>
    <x v="91"/>
    <x v="4"/>
    <m/>
    <x v="0"/>
    <x v="4"/>
    <x v="15"/>
    <n v="190801"/>
    <n v="190801"/>
    <m/>
    <n v="4"/>
    <n v="190801"/>
    <n v="126000"/>
  </r>
  <r>
    <x v="91"/>
    <x v="4"/>
    <m/>
    <x v="0"/>
    <x v="4"/>
    <x v="16"/>
    <n v="190801"/>
    <n v="190801"/>
    <m/>
    <n v="2"/>
    <n v="190801"/>
    <n v="88000"/>
  </r>
  <r>
    <x v="91"/>
    <x v="4"/>
    <m/>
    <x v="1"/>
    <x v="3"/>
    <x v="18"/>
    <n v="190801"/>
    <n v="190801"/>
    <m/>
    <n v="10"/>
    <n v="190801"/>
    <n v="0"/>
  </r>
  <r>
    <x v="92"/>
    <x v="1"/>
    <m/>
    <x v="0"/>
    <x v="1"/>
    <x v="16"/>
    <n v="190801"/>
    <n v="190801"/>
    <m/>
    <n v="2"/>
    <n v="190801"/>
    <n v="70000"/>
  </r>
  <r>
    <x v="92"/>
    <x v="1"/>
    <m/>
    <x v="0"/>
    <x v="2"/>
    <x v="17"/>
    <n v="190801"/>
    <n v="190801"/>
    <m/>
    <n v="31"/>
    <n v="190801"/>
    <n v="1023000"/>
  </r>
  <r>
    <x v="92"/>
    <x v="1"/>
    <m/>
    <x v="0"/>
    <x v="2"/>
    <x v="15"/>
    <n v="190801"/>
    <n v="190801"/>
    <m/>
    <n v="28"/>
    <n v="190801"/>
    <n v="560000"/>
  </r>
  <r>
    <x v="92"/>
    <x v="1"/>
    <m/>
    <x v="0"/>
    <x v="2"/>
    <x v="16"/>
    <n v="190801"/>
    <n v="190801"/>
    <m/>
    <n v="21"/>
    <n v="190801"/>
    <n v="735000"/>
  </r>
  <r>
    <x v="93"/>
    <x v="0"/>
    <m/>
    <x v="0"/>
    <x v="1"/>
    <x v="15"/>
    <n v="190801"/>
    <n v="190801"/>
    <m/>
    <n v="1"/>
    <n v="190801"/>
    <n v="20000"/>
  </r>
  <r>
    <x v="93"/>
    <x v="0"/>
    <m/>
    <x v="0"/>
    <x v="1"/>
    <x v="16"/>
    <n v="190801"/>
    <n v="190801"/>
    <m/>
    <n v="3"/>
    <n v="190801"/>
    <n v="105000"/>
  </r>
  <r>
    <x v="93"/>
    <x v="0"/>
    <m/>
    <x v="0"/>
    <x v="2"/>
    <x v="17"/>
    <n v="190801"/>
    <n v="190801"/>
    <m/>
    <n v="31"/>
    <n v="190801"/>
    <n v="1023000"/>
  </r>
  <r>
    <x v="93"/>
    <x v="0"/>
    <m/>
    <x v="0"/>
    <x v="2"/>
    <x v="15"/>
    <n v="190801"/>
    <n v="190801"/>
    <m/>
    <n v="33"/>
    <n v="190801"/>
    <n v="660000"/>
  </r>
  <r>
    <x v="93"/>
    <x v="0"/>
    <m/>
    <x v="0"/>
    <x v="2"/>
    <x v="16"/>
    <n v="190801"/>
    <n v="190801"/>
    <m/>
    <n v="28"/>
    <n v="190801"/>
    <n v="980000"/>
  </r>
  <r>
    <x v="93"/>
    <x v="0"/>
    <m/>
    <x v="0"/>
    <x v="4"/>
    <x v="15"/>
    <n v="190801"/>
    <n v="190801"/>
    <m/>
    <n v="3"/>
    <n v="190801"/>
    <n v="94500"/>
  </r>
  <r>
    <x v="93"/>
    <x v="0"/>
    <m/>
    <x v="0"/>
    <x v="3"/>
    <x v="15"/>
    <n v="190801"/>
    <n v="190801"/>
    <m/>
    <n v="1"/>
    <n v="190801"/>
    <n v="0"/>
  </r>
  <r>
    <x v="94"/>
    <x v="2"/>
    <m/>
    <x v="0"/>
    <x v="1"/>
    <x v="15"/>
    <n v="190801"/>
    <n v="190801"/>
    <m/>
    <n v="1"/>
    <n v="190801"/>
    <n v="20000"/>
  </r>
  <r>
    <x v="94"/>
    <x v="2"/>
    <m/>
    <x v="0"/>
    <x v="1"/>
    <x v="16"/>
    <n v="190801"/>
    <n v="190801"/>
    <m/>
    <n v="3"/>
    <n v="190801"/>
    <n v="105000"/>
  </r>
  <r>
    <x v="94"/>
    <x v="2"/>
    <m/>
    <x v="0"/>
    <x v="2"/>
    <x v="17"/>
    <n v="190801"/>
    <n v="190801"/>
    <m/>
    <n v="26"/>
    <n v="190801"/>
    <n v="858000"/>
  </r>
  <r>
    <x v="94"/>
    <x v="2"/>
    <m/>
    <x v="0"/>
    <x v="2"/>
    <x v="15"/>
    <n v="190801"/>
    <n v="190801"/>
    <m/>
    <n v="34"/>
    <n v="190801"/>
    <n v="680000"/>
  </r>
  <r>
    <x v="94"/>
    <x v="2"/>
    <m/>
    <x v="0"/>
    <x v="2"/>
    <x v="16"/>
    <n v="190801"/>
    <n v="190801"/>
    <m/>
    <n v="22"/>
    <n v="190801"/>
    <n v="770000"/>
  </r>
  <r>
    <x v="94"/>
    <x v="2"/>
    <m/>
    <x v="0"/>
    <x v="4"/>
    <x v="15"/>
    <n v="190801"/>
    <n v="190801"/>
    <m/>
    <n v="3"/>
    <n v="190801"/>
    <n v="94500"/>
  </r>
  <r>
    <x v="94"/>
    <x v="2"/>
    <m/>
    <x v="1"/>
    <x v="2"/>
    <x v="18"/>
    <n v="190801"/>
    <n v="190801"/>
    <m/>
    <n v="1"/>
    <n v="190801"/>
    <n v="20000"/>
  </r>
  <r>
    <x v="95"/>
    <x v="5"/>
    <m/>
    <x v="0"/>
    <x v="1"/>
    <x v="16"/>
    <n v="190801"/>
    <n v="190801"/>
    <m/>
    <n v="6"/>
    <n v="190801"/>
    <n v="210000"/>
  </r>
  <r>
    <x v="95"/>
    <x v="5"/>
    <m/>
    <x v="0"/>
    <x v="2"/>
    <x v="17"/>
    <n v="190801"/>
    <n v="190801"/>
    <m/>
    <n v="35"/>
    <n v="190801"/>
    <n v="1155000"/>
  </r>
  <r>
    <x v="95"/>
    <x v="5"/>
    <m/>
    <x v="0"/>
    <x v="2"/>
    <x v="15"/>
    <n v="190801"/>
    <n v="190801"/>
    <m/>
    <n v="19"/>
    <n v="190801"/>
    <n v="380000"/>
  </r>
  <r>
    <x v="95"/>
    <x v="5"/>
    <m/>
    <x v="0"/>
    <x v="2"/>
    <x v="16"/>
    <n v="190801"/>
    <n v="190801"/>
    <m/>
    <n v="11"/>
    <n v="190801"/>
    <n v="385000"/>
  </r>
  <r>
    <x v="95"/>
    <x v="5"/>
    <m/>
    <x v="1"/>
    <x v="2"/>
    <x v="18"/>
    <n v="190801"/>
    <n v="190801"/>
    <m/>
    <n v="1"/>
    <n v="190801"/>
    <n v="20000"/>
  </r>
  <r>
    <x v="96"/>
    <x v="6"/>
    <m/>
    <x v="0"/>
    <x v="1"/>
    <x v="15"/>
    <n v="190801"/>
    <n v="190801"/>
    <m/>
    <n v="1"/>
    <n v="190801"/>
    <n v="20000"/>
  </r>
  <r>
    <x v="96"/>
    <x v="6"/>
    <m/>
    <x v="0"/>
    <x v="1"/>
    <x v="16"/>
    <n v="190801"/>
    <n v="190801"/>
    <m/>
    <n v="1"/>
    <n v="190801"/>
    <n v="35000"/>
  </r>
  <r>
    <x v="96"/>
    <x v="6"/>
    <m/>
    <x v="1"/>
    <x v="2"/>
    <x v="18"/>
    <n v="190801"/>
    <n v="190801"/>
    <m/>
    <n v="1"/>
    <n v="190801"/>
    <n v="20000"/>
  </r>
  <r>
    <x v="96"/>
    <x v="6"/>
    <m/>
    <x v="0"/>
    <x v="2"/>
    <x v="17"/>
    <n v="190801"/>
    <n v="190801"/>
    <m/>
    <n v="22"/>
    <n v="190801"/>
    <n v="726000"/>
  </r>
  <r>
    <x v="96"/>
    <x v="6"/>
    <m/>
    <x v="0"/>
    <x v="2"/>
    <x v="15"/>
    <n v="190801"/>
    <n v="190801"/>
    <m/>
    <n v="22"/>
    <n v="190801"/>
    <n v="440000"/>
  </r>
  <r>
    <x v="96"/>
    <x v="6"/>
    <m/>
    <x v="0"/>
    <x v="2"/>
    <x v="16"/>
    <n v="190801"/>
    <n v="190801"/>
    <m/>
    <n v="29"/>
    <n v="190801"/>
    <n v="1015000"/>
  </r>
  <r>
    <x v="97"/>
    <x v="3"/>
    <m/>
    <x v="0"/>
    <x v="1"/>
    <x v="15"/>
    <n v="190801"/>
    <n v="190801"/>
    <m/>
    <n v="1"/>
    <n v="190801"/>
    <n v="20000"/>
  </r>
  <r>
    <x v="97"/>
    <x v="3"/>
    <m/>
    <x v="0"/>
    <x v="1"/>
    <x v="16"/>
    <n v="190801"/>
    <n v="190801"/>
    <m/>
    <n v="5"/>
    <n v="190801"/>
    <n v="175000"/>
  </r>
  <r>
    <x v="97"/>
    <x v="3"/>
    <m/>
    <x v="1"/>
    <x v="2"/>
    <x v="18"/>
    <n v="190801"/>
    <n v="190801"/>
    <m/>
    <n v="2"/>
    <n v="190801"/>
    <n v="40000"/>
  </r>
  <r>
    <x v="97"/>
    <x v="3"/>
    <m/>
    <x v="0"/>
    <x v="2"/>
    <x v="17"/>
    <n v="190801"/>
    <n v="190801"/>
    <m/>
    <n v="32"/>
    <n v="190801"/>
    <n v="1056000"/>
  </r>
  <r>
    <x v="97"/>
    <x v="3"/>
    <m/>
    <x v="0"/>
    <x v="2"/>
    <x v="15"/>
    <n v="190801"/>
    <n v="190801"/>
    <m/>
    <n v="32"/>
    <n v="190801"/>
    <n v="640000"/>
  </r>
  <r>
    <x v="97"/>
    <x v="3"/>
    <m/>
    <x v="0"/>
    <x v="2"/>
    <x v="16"/>
    <n v="190801"/>
    <n v="190801"/>
    <m/>
    <n v="29"/>
    <n v="190801"/>
    <n v="1015000"/>
  </r>
  <r>
    <x v="97"/>
    <x v="3"/>
    <m/>
    <x v="0"/>
    <x v="4"/>
    <x v="15"/>
    <n v="190801"/>
    <n v="190801"/>
    <m/>
    <n v="9"/>
    <n v="190801"/>
    <n v="283500"/>
  </r>
  <r>
    <x v="97"/>
    <x v="3"/>
    <m/>
    <x v="0"/>
    <x v="4"/>
    <x v="16"/>
    <n v="190801"/>
    <n v="190801"/>
    <m/>
    <n v="3"/>
    <n v="190801"/>
    <n v="132000"/>
  </r>
  <r>
    <x v="97"/>
    <x v="3"/>
    <m/>
    <x v="1"/>
    <x v="3"/>
    <x v="18"/>
    <n v="190801"/>
    <n v="190801"/>
    <m/>
    <n v="2"/>
    <n v="190801"/>
    <n v="0"/>
  </r>
  <r>
    <x v="98"/>
    <x v="4"/>
    <m/>
    <x v="0"/>
    <x v="1"/>
    <x v="15"/>
    <n v="190801"/>
    <n v="190801"/>
    <m/>
    <n v="2"/>
    <n v="190801"/>
    <n v="40000"/>
  </r>
  <r>
    <x v="98"/>
    <x v="4"/>
    <m/>
    <x v="0"/>
    <x v="1"/>
    <x v="16"/>
    <n v="190801"/>
    <n v="190801"/>
    <m/>
    <n v="2"/>
    <n v="190801"/>
    <n v="70000"/>
  </r>
  <r>
    <x v="98"/>
    <x v="4"/>
    <m/>
    <x v="1"/>
    <x v="2"/>
    <x v="18"/>
    <n v="190801"/>
    <n v="190801"/>
    <m/>
    <n v="6"/>
    <n v="190801"/>
    <n v="120000"/>
  </r>
  <r>
    <x v="98"/>
    <x v="4"/>
    <m/>
    <x v="0"/>
    <x v="2"/>
    <x v="17"/>
    <n v="190801"/>
    <n v="190801"/>
    <m/>
    <n v="36"/>
    <n v="190801"/>
    <n v="1188000"/>
  </r>
  <r>
    <x v="98"/>
    <x v="4"/>
    <m/>
    <x v="0"/>
    <x v="2"/>
    <x v="15"/>
    <n v="190801"/>
    <n v="190801"/>
    <m/>
    <n v="21"/>
    <n v="190801"/>
    <n v="420000"/>
  </r>
  <r>
    <x v="98"/>
    <x v="4"/>
    <m/>
    <x v="0"/>
    <x v="2"/>
    <x v="16"/>
    <n v="190801"/>
    <n v="190801"/>
    <m/>
    <n v="24"/>
    <n v="190801"/>
    <n v="840000"/>
  </r>
  <r>
    <x v="98"/>
    <x v="4"/>
    <m/>
    <x v="0"/>
    <x v="4"/>
    <x v="15"/>
    <n v="190801"/>
    <n v="190801"/>
    <m/>
    <n v="1"/>
    <n v="190801"/>
    <n v="31500"/>
  </r>
  <r>
    <x v="98"/>
    <x v="4"/>
    <m/>
    <x v="0"/>
    <x v="4"/>
    <x v="16"/>
    <n v="190801"/>
    <n v="190801"/>
    <m/>
    <n v="2"/>
    <n v="190801"/>
    <n v="88000"/>
  </r>
  <r>
    <x v="99"/>
    <x v="1"/>
    <m/>
    <x v="0"/>
    <x v="1"/>
    <x v="15"/>
    <n v="190801"/>
    <n v="190801"/>
    <m/>
    <n v="1"/>
    <n v="190801"/>
    <n v="20000"/>
  </r>
  <r>
    <x v="99"/>
    <x v="1"/>
    <m/>
    <x v="0"/>
    <x v="1"/>
    <x v="16"/>
    <n v="190801"/>
    <n v="190801"/>
    <m/>
    <n v="1"/>
    <n v="190801"/>
    <n v="35000"/>
  </r>
  <r>
    <x v="99"/>
    <x v="1"/>
    <m/>
    <x v="1"/>
    <x v="2"/>
    <x v="18"/>
    <n v="190801"/>
    <n v="190801"/>
    <m/>
    <n v="2"/>
    <n v="190801"/>
    <n v="40000"/>
  </r>
  <r>
    <x v="99"/>
    <x v="1"/>
    <m/>
    <x v="0"/>
    <x v="2"/>
    <x v="17"/>
    <n v="190801"/>
    <n v="190801"/>
    <m/>
    <n v="28"/>
    <n v="190801"/>
    <n v="924000"/>
  </r>
  <r>
    <x v="99"/>
    <x v="1"/>
    <m/>
    <x v="0"/>
    <x v="2"/>
    <x v="15"/>
    <n v="190801"/>
    <n v="190801"/>
    <m/>
    <n v="32"/>
    <n v="190801"/>
    <n v="640000"/>
  </r>
  <r>
    <x v="99"/>
    <x v="1"/>
    <m/>
    <x v="0"/>
    <x v="2"/>
    <x v="16"/>
    <n v="190801"/>
    <n v="190801"/>
    <m/>
    <n v="21"/>
    <n v="190801"/>
    <n v="735000"/>
  </r>
  <r>
    <x v="99"/>
    <x v="1"/>
    <m/>
    <x v="0"/>
    <x v="4"/>
    <x v="15"/>
    <n v="190801"/>
    <n v="190801"/>
    <m/>
    <n v="3"/>
    <n v="190801"/>
    <n v="94500"/>
  </r>
  <r>
    <x v="100"/>
    <x v="0"/>
    <m/>
    <x v="0"/>
    <x v="1"/>
    <x v="16"/>
    <n v="190801"/>
    <n v="190801"/>
    <m/>
    <n v="6"/>
    <n v="190801"/>
    <n v="210000"/>
  </r>
  <r>
    <x v="100"/>
    <x v="0"/>
    <m/>
    <x v="0"/>
    <x v="5"/>
    <x v="15"/>
    <n v="190801"/>
    <n v="190801"/>
    <m/>
    <n v="30"/>
    <n v="190801"/>
    <n v="306810"/>
  </r>
  <r>
    <x v="100"/>
    <x v="0"/>
    <m/>
    <x v="0"/>
    <x v="3"/>
    <x v="15"/>
    <n v="190801"/>
    <n v="190801"/>
    <m/>
    <n v="1"/>
    <n v="190801"/>
    <n v="0"/>
  </r>
  <r>
    <x v="100"/>
    <x v="0"/>
    <m/>
    <x v="1"/>
    <x v="3"/>
    <x v="18"/>
    <n v="190801"/>
    <n v="190801"/>
    <m/>
    <n v="1"/>
    <n v="190801"/>
    <n v="0"/>
  </r>
  <r>
    <x v="100"/>
    <x v="0"/>
    <m/>
    <x v="1"/>
    <x v="2"/>
    <x v="18"/>
    <n v="190801"/>
    <n v="190801"/>
    <m/>
    <n v="3"/>
    <n v="190801"/>
    <n v="60000"/>
  </r>
  <r>
    <x v="100"/>
    <x v="0"/>
    <m/>
    <x v="0"/>
    <x v="2"/>
    <x v="17"/>
    <n v="190801"/>
    <n v="190801"/>
    <m/>
    <n v="38"/>
    <n v="190801"/>
    <n v="1254000"/>
  </r>
  <r>
    <x v="100"/>
    <x v="0"/>
    <m/>
    <x v="0"/>
    <x v="2"/>
    <x v="15"/>
    <n v="190801"/>
    <n v="190801"/>
    <m/>
    <n v="45"/>
    <n v="190801"/>
    <n v="900000"/>
  </r>
  <r>
    <x v="100"/>
    <x v="0"/>
    <m/>
    <x v="0"/>
    <x v="2"/>
    <x v="16"/>
    <n v="190801"/>
    <n v="190801"/>
    <m/>
    <n v="16"/>
    <n v="190801"/>
    <n v="560000"/>
  </r>
  <r>
    <x v="100"/>
    <x v="0"/>
    <m/>
    <x v="0"/>
    <x v="4"/>
    <x v="15"/>
    <n v="190801"/>
    <n v="190801"/>
    <m/>
    <n v="3"/>
    <n v="190801"/>
    <n v="94500"/>
  </r>
  <r>
    <x v="100"/>
    <x v="0"/>
    <m/>
    <x v="0"/>
    <x v="4"/>
    <x v="16"/>
    <n v="190801"/>
    <n v="190801"/>
    <m/>
    <n v="1"/>
    <n v="190801"/>
    <n v="44000"/>
  </r>
  <r>
    <x v="101"/>
    <x v="2"/>
    <m/>
    <x v="0"/>
    <x v="1"/>
    <x v="15"/>
    <n v="190801"/>
    <n v="190801"/>
    <m/>
    <n v="3"/>
    <n v="190801"/>
    <n v="60000"/>
  </r>
  <r>
    <x v="101"/>
    <x v="2"/>
    <m/>
    <x v="0"/>
    <x v="1"/>
    <x v="16"/>
    <n v="190801"/>
    <n v="190801"/>
    <m/>
    <n v="13"/>
    <n v="190801"/>
    <n v="455000"/>
  </r>
  <r>
    <x v="101"/>
    <x v="2"/>
    <m/>
    <x v="1"/>
    <x v="3"/>
    <x v="18"/>
    <n v="190801"/>
    <n v="190801"/>
    <m/>
    <n v="20"/>
    <n v="190801"/>
    <n v="0"/>
  </r>
  <r>
    <x v="101"/>
    <x v="2"/>
    <m/>
    <x v="0"/>
    <x v="2"/>
    <x v="17"/>
    <n v="190801"/>
    <n v="190801"/>
    <m/>
    <n v="27"/>
    <n v="190801"/>
    <n v="891000"/>
  </r>
  <r>
    <x v="101"/>
    <x v="2"/>
    <m/>
    <x v="0"/>
    <x v="2"/>
    <x v="15"/>
    <n v="190801"/>
    <n v="190801"/>
    <m/>
    <n v="29"/>
    <n v="190801"/>
    <n v="580000"/>
  </r>
  <r>
    <x v="101"/>
    <x v="2"/>
    <m/>
    <x v="0"/>
    <x v="2"/>
    <x v="16"/>
    <n v="190801"/>
    <n v="190801"/>
    <m/>
    <n v="31"/>
    <n v="190801"/>
    <n v="1085000"/>
  </r>
  <r>
    <x v="101"/>
    <x v="2"/>
    <m/>
    <x v="0"/>
    <x v="4"/>
    <x v="15"/>
    <n v="190801"/>
    <n v="190801"/>
    <m/>
    <n v="1"/>
    <n v="190801"/>
    <n v="31500"/>
  </r>
  <r>
    <x v="101"/>
    <x v="2"/>
    <m/>
    <x v="0"/>
    <x v="4"/>
    <x v="16"/>
    <n v="190801"/>
    <n v="190801"/>
    <m/>
    <n v="1"/>
    <n v="190801"/>
    <n v="44000"/>
  </r>
  <r>
    <x v="102"/>
    <x v="5"/>
    <m/>
    <x v="1"/>
    <x v="2"/>
    <x v="18"/>
    <n v="190801"/>
    <n v="190801"/>
    <m/>
    <n v="1"/>
    <n v="190801"/>
    <n v="20000"/>
  </r>
  <r>
    <x v="102"/>
    <x v="5"/>
    <m/>
    <x v="0"/>
    <x v="2"/>
    <x v="17"/>
    <n v="190801"/>
    <n v="190801"/>
    <m/>
    <n v="33"/>
    <n v="190801"/>
    <n v="1089000"/>
  </r>
  <r>
    <x v="102"/>
    <x v="5"/>
    <m/>
    <x v="0"/>
    <x v="2"/>
    <x v="15"/>
    <n v="190801"/>
    <n v="190801"/>
    <m/>
    <n v="28"/>
    <n v="190801"/>
    <n v="560000"/>
  </r>
  <r>
    <x v="102"/>
    <x v="5"/>
    <m/>
    <x v="0"/>
    <x v="2"/>
    <x v="16"/>
    <n v="190801"/>
    <n v="190801"/>
    <m/>
    <n v="16"/>
    <n v="190801"/>
    <n v="560000"/>
  </r>
  <r>
    <x v="103"/>
    <x v="6"/>
    <m/>
    <x v="0"/>
    <x v="1"/>
    <x v="15"/>
    <n v="190801"/>
    <n v="190801"/>
    <m/>
    <n v="1"/>
    <n v="190801"/>
    <n v="20000"/>
  </r>
  <r>
    <x v="103"/>
    <x v="6"/>
    <m/>
    <x v="0"/>
    <x v="1"/>
    <x v="16"/>
    <n v="190801"/>
    <n v="190801"/>
    <m/>
    <n v="4"/>
    <n v="190801"/>
    <n v="140000"/>
  </r>
  <r>
    <x v="103"/>
    <x v="6"/>
    <m/>
    <x v="1"/>
    <x v="2"/>
    <x v="18"/>
    <n v="190801"/>
    <n v="190801"/>
    <m/>
    <n v="2"/>
    <n v="190801"/>
    <n v="40000"/>
  </r>
  <r>
    <x v="103"/>
    <x v="6"/>
    <m/>
    <x v="0"/>
    <x v="2"/>
    <x v="17"/>
    <n v="190801"/>
    <n v="190801"/>
    <m/>
    <n v="42"/>
    <n v="190801"/>
    <n v="1386000"/>
  </r>
  <r>
    <x v="103"/>
    <x v="6"/>
    <m/>
    <x v="0"/>
    <x v="2"/>
    <x v="15"/>
    <n v="190801"/>
    <n v="190801"/>
    <m/>
    <n v="41"/>
    <n v="190801"/>
    <n v="820000"/>
  </r>
  <r>
    <x v="103"/>
    <x v="6"/>
    <m/>
    <x v="0"/>
    <x v="2"/>
    <x v="16"/>
    <n v="190801"/>
    <n v="190801"/>
    <m/>
    <n v="23"/>
    <n v="190801"/>
    <n v="805000"/>
  </r>
  <r>
    <x v="104"/>
    <x v="3"/>
    <m/>
    <x v="0"/>
    <x v="1"/>
    <x v="15"/>
    <n v="190801"/>
    <n v="190801"/>
    <m/>
    <n v="4"/>
    <n v="190801"/>
    <n v="80000"/>
  </r>
  <r>
    <x v="104"/>
    <x v="3"/>
    <m/>
    <x v="0"/>
    <x v="1"/>
    <x v="16"/>
    <n v="190801"/>
    <n v="190801"/>
    <m/>
    <n v="6"/>
    <n v="190801"/>
    <n v="210000"/>
  </r>
  <r>
    <x v="104"/>
    <x v="3"/>
    <m/>
    <x v="1"/>
    <x v="2"/>
    <x v="18"/>
    <n v="190801"/>
    <n v="190801"/>
    <m/>
    <n v="2"/>
    <n v="190801"/>
    <n v="40000"/>
  </r>
  <r>
    <x v="104"/>
    <x v="3"/>
    <m/>
    <x v="0"/>
    <x v="2"/>
    <x v="17"/>
    <n v="190801"/>
    <n v="190801"/>
    <m/>
    <n v="90"/>
    <n v="190801"/>
    <n v="2970000"/>
  </r>
  <r>
    <x v="104"/>
    <x v="3"/>
    <m/>
    <x v="0"/>
    <x v="2"/>
    <x v="15"/>
    <n v="190801"/>
    <n v="190801"/>
    <m/>
    <n v="138"/>
    <n v="190801"/>
    <n v="2760000"/>
  </r>
  <r>
    <x v="104"/>
    <x v="3"/>
    <m/>
    <x v="0"/>
    <x v="2"/>
    <x v="16"/>
    <n v="190801"/>
    <n v="190801"/>
    <m/>
    <n v="54"/>
    <n v="190801"/>
    <n v="1890000"/>
  </r>
  <r>
    <x v="104"/>
    <x v="3"/>
    <m/>
    <x v="0"/>
    <x v="3"/>
    <x v="15"/>
    <n v="190801"/>
    <n v="190801"/>
    <m/>
    <n v="1"/>
    <n v="190801"/>
    <n v="0"/>
  </r>
  <r>
    <x v="104"/>
    <x v="3"/>
    <m/>
    <x v="1"/>
    <x v="3"/>
    <x v="18"/>
    <n v="190801"/>
    <n v="190801"/>
    <m/>
    <n v="4"/>
    <n v="190801"/>
    <n v="0"/>
  </r>
  <r>
    <x v="104"/>
    <x v="3"/>
    <m/>
    <x v="18"/>
    <x v="3"/>
    <x v="19"/>
    <n v="190801"/>
    <n v="190801"/>
    <m/>
    <n v="4"/>
    <n v="190801"/>
    <n v="0"/>
  </r>
  <r>
    <x v="104"/>
    <x v="3"/>
    <m/>
    <x v="0"/>
    <x v="3"/>
    <x v="20"/>
    <n v="190801"/>
    <n v="190801"/>
    <m/>
    <n v="4"/>
    <n v="190801"/>
    <n v="0"/>
  </r>
  <r>
    <x v="104"/>
    <x v="3"/>
    <m/>
    <x v="0"/>
    <x v="4"/>
    <x v="15"/>
    <n v="190801"/>
    <n v="190801"/>
    <m/>
    <n v="5"/>
    <n v="190801"/>
    <n v="157500"/>
  </r>
  <r>
    <x v="104"/>
    <x v="3"/>
    <m/>
    <x v="0"/>
    <x v="4"/>
    <x v="16"/>
    <n v="190801"/>
    <n v="190801"/>
    <m/>
    <n v="5"/>
    <n v="190801"/>
    <n v="220000"/>
  </r>
  <r>
    <x v="105"/>
    <x v="4"/>
    <m/>
    <x v="0"/>
    <x v="1"/>
    <x v="15"/>
    <n v="190801"/>
    <n v="190801"/>
    <m/>
    <n v="1"/>
    <n v="190801"/>
    <n v="20000"/>
  </r>
  <r>
    <x v="105"/>
    <x v="4"/>
    <m/>
    <x v="0"/>
    <x v="1"/>
    <x v="16"/>
    <n v="190801"/>
    <n v="190801"/>
    <m/>
    <n v="5"/>
    <n v="190801"/>
    <n v="175000"/>
  </r>
  <r>
    <x v="105"/>
    <x v="4"/>
    <m/>
    <x v="1"/>
    <x v="2"/>
    <x v="18"/>
    <n v="190801"/>
    <n v="190801"/>
    <m/>
    <n v="1"/>
    <n v="190801"/>
    <n v="20000"/>
  </r>
  <r>
    <x v="105"/>
    <x v="4"/>
    <m/>
    <x v="0"/>
    <x v="2"/>
    <x v="17"/>
    <n v="190801"/>
    <n v="190801"/>
    <m/>
    <n v="55"/>
    <n v="190801"/>
    <n v="1815000"/>
  </r>
  <r>
    <x v="105"/>
    <x v="4"/>
    <m/>
    <x v="0"/>
    <x v="2"/>
    <x v="15"/>
    <n v="190801"/>
    <n v="190801"/>
    <m/>
    <n v="52"/>
    <n v="190801"/>
    <n v="1040000"/>
  </r>
  <r>
    <x v="105"/>
    <x v="4"/>
    <m/>
    <x v="0"/>
    <x v="2"/>
    <x v="16"/>
    <n v="190801"/>
    <n v="190801"/>
    <m/>
    <n v="28"/>
    <n v="190801"/>
    <n v="980000"/>
  </r>
  <r>
    <x v="106"/>
    <x v="1"/>
    <m/>
    <x v="0"/>
    <x v="1"/>
    <x v="16"/>
    <n v="190801"/>
    <n v="190801"/>
    <m/>
    <n v="8"/>
    <n v="190801"/>
    <n v="280000"/>
  </r>
  <r>
    <x v="106"/>
    <x v="1"/>
    <m/>
    <x v="18"/>
    <x v="2"/>
    <x v="19"/>
    <n v="190801"/>
    <n v="190801"/>
    <m/>
    <n v="7"/>
    <n v="190801"/>
    <n v="28000"/>
  </r>
  <r>
    <x v="106"/>
    <x v="1"/>
    <m/>
    <x v="1"/>
    <x v="2"/>
    <x v="18"/>
    <n v="190801"/>
    <n v="190801"/>
    <m/>
    <n v="3"/>
    <n v="190801"/>
    <n v="60000"/>
  </r>
  <r>
    <x v="106"/>
    <x v="1"/>
    <m/>
    <x v="0"/>
    <x v="2"/>
    <x v="17"/>
    <n v="190801"/>
    <n v="190801"/>
    <m/>
    <n v="44"/>
    <n v="190801"/>
    <n v="1452000"/>
  </r>
  <r>
    <x v="106"/>
    <x v="1"/>
    <m/>
    <x v="0"/>
    <x v="2"/>
    <x v="15"/>
    <n v="190801"/>
    <n v="190801"/>
    <m/>
    <n v="33"/>
    <n v="190801"/>
    <n v="660000"/>
  </r>
  <r>
    <x v="106"/>
    <x v="1"/>
    <m/>
    <x v="0"/>
    <x v="2"/>
    <x v="16"/>
    <n v="190801"/>
    <n v="190801"/>
    <m/>
    <n v="28"/>
    <n v="190801"/>
    <n v="980000"/>
  </r>
  <r>
    <x v="106"/>
    <x v="1"/>
    <m/>
    <x v="0"/>
    <x v="4"/>
    <x v="15"/>
    <n v="190801"/>
    <n v="190801"/>
    <m/>
    <n v="7"/>
    <n v="190801"/>
    <n v="220500"/>
  </r>
  <r>
    <x v="106"/>
    <x v="1"/>
    <m/>
    <x v="0"/>
    <x v="4"/>
    <x v="16"/>
    <n v="190801"/>
    <n v="190801"/>
    <m/>
    <n v="2"/>
    <n v="190801"/>
    <n v="88000"/>
  </r>
  <r>
    <x v="107"/>
    <x v="0"/>
    <m/>
    <x v="0"/>
    <x v="1"/>
    <x v="16"/>
    <n v="190801"/>
    <n v="190801"/>
    <m/>
    <n v="3"/>
    <n v="190801"/>
    <n v="105000"/>
  </r>
  <r>
    <x v="107"/>
    <x v="0"/>
    <m/>
    <x v="18"/>
    <x v="2"/>
    <x v="19"/>
    <n v="190801"/>
    <n v="190801"/>
    <m/>
    <n v="2"/>
    <n v="190801"/>
    <n v="8000"/>
  </r>
  <r>
    <x v="107"/>
    <x v="0"/>
    <m/>
    <x v="1"/>
    <x v="2"/>
    <x v="18"/>
    <n v="190801"/>
    <n v="190801"/>
    <m/>
    <n v="1"/>
    <n v="190801"/>
    <n v="20000"/>
  </r>
  <r>
    <x v="107"/>
    <x v="0"/>
    <m/>
    <x v="0"/>
    <x v="2"/>
    <x v="17"/>
    <n v="190801"/>
    <n v="190801"/>
    <m/>
    <n v="25"/>
    <n v="190801"/>
    <n v="825000"/>
  </r>
  <r>
    <x v="107"/>
    <x v="0"/>
    <m/>
    <x v="0"/>
    <x v="2"/>
    <x v="15"/>
    <n v="190801"/>
    <n v="190801"/>
    <m/>
    <n v="31"/>
    <n v="190801"/>
    <n v="620000"/>
  </r>
  <r>
    <x v="107"/>
    <x v="0"/>
    <m/>
    <x v="0"/>
    <x v="2"/>
    <x v="16"/>
    <n v="190801"/>
    <n v="190801"/>
    <m/>
    <n v="22"/>
    <n v="190801"/>
    <n v="770000"/>
  </r>
  <r>
    <x v="107"/>
    <x v="0"/>
    <m/>
    <x v="0"/>
    <x v="4"/>
    <x v="15"/>
    <n v="190801"/>
    <n v="190801"/>
    <m/>
    <n v="2"/>
    <n v="190801"/>
    <n v="63000"/>
  </r>
  <r>
    <x v="107"/>
    <x v="0"/>
    <m/>
    <x v="0"/>
    <x v="4"/>
    <x v="16"/>
    <n v="190801"/>
    <n v="190801"/>
    <m/>
    <n v="3"/>
    <n v="190801"/>
    <n v="132000"/>
  </r>
  <r>
    <x v="108"/>
    <x v="2"/>
    <m/>
    <x v="0"/>
    <x v="1"/>
    <x v="16"/>
    <n v="190801"/>
    <n v="190801"/>
    <m/>
    <n v="104"/>
    <n v="190801"/>
    <n v="3640000"/>
  </r>
  <r>
    <x v="108"/>
    <x v="2"/>
    <m/>
    <x v="0"/>
    <x v="2"/>
    <x v="19"/>
    <n v="190801"/>
    <n v="190801"/>
    <m/>
    <n v="8"/>
    <n v="190801"/>
    <n v="24000"/>
  </r>
  <r>
    <x v="108"/>
    <x v="2"/>
    <m/>
    <x v="1"/>
    <x v="2"/>
    <x v="18"/>
    <n v="190801"/>
    <n v="190801"/>
    <m/>
    <n v="2"/>
    <n v="190801"/>
    <n v="40000"/>
  </r>
  <r>
    <x v="108"/>
    <x v="2"/>
    <m/>
    <x v="0"/>
    <x v="2"/>
    <x v="17"/>
    <n v="190801"/>
    <n v="190801"/>
    <m/>
    <n v="24"/>
    <n v="190801"/>
    <n v="792000"/>
  </r>
  <r>
    <x v="108"/>
    <x v="2"/>
    <m/>
    <x v="0"/>
    <x v="2"/>
    <x v="15"/>
    <n v="190801"/>
    <n v="190801"/>
    <m/>
    <n v="39"/>
    <n v="190801"/>
    <n v="780000"/>
  </r>
  <r>
    <x v="108"/>
    <x v="2"/>
    <m/>
    <x v="0"/>
    <x v="2"/>
    <x v="16"/>
    <n v="190801"/>
    <n v="190801"/>
    <m/>
    <n v="27"/>
    <n v="190801"/>
    <n v="945000"/>
  </r>
  <r>
    <x v="108"/>
    <x v="2"/>
    <m/>
    <x v="0"/>
    <x v="4"/>
    <x v="15"/>
    <n v="190801"/>
    <n v="190801"/>
    <m/>
    <n v="1"/>
    <n v="190801"/>
    <n v="31500"/>
  </r>
  <r>
    <x v="108"/>
    <x v="2"/>
    <m/>
    <x v="0"/>
    <x v="4"/>
    <x v="16"/>
    <n v="190801"/>
    <n v="190801"/>
    <m/>
    <n v="2"/>
    <n v="190801"/>
    <n v="88000"/>
  </r>
  <r>
    <x v="109"/>
    <x v="5"/>
    <m/>
    <x v="0"/>
    <x v="1"/>
    <x v="16"/>
    <n v="190801"/>
    <n v="190801"/>
    <m/>
    <n v="2"/>
    <n v="190801"/>
    <n v="70000"/>
  </r>
  <r>
    <x v="109"/>
    <x v="5"/>
    <m/>
    <x v="18"/>
    <x v="2"/>
    <x v="19"/>
    <n v="190801"/>
    <n v="190801"/>
    <m/>
    <n v="2"/>
    <n v="190801"/>
    <n v="8000"/>
  </r>
  <r>
    <x v="109"/>
    <x v="5"/>
    <m/>
    <x v="1"/>
    <x v="2"/>
    <x v="18"/>
    <n v="190801"/>
    <n v="190801"/>
    <m/>
    <n v="2"/>
    <n v="190801"/>
    <n v="40000"/>
  </r>
  <r>
    <x v="109"/>
    <x v="5"/>
    <m/>
    <x v="0"/>
    <x v="2"/>
    <x v="19"/>
    <n v="190801"/>
    <n v="190801"/>
    <m/>
    <n v="20"/>
    <n v="190801"/>
    <n v="60000"/>
  </r>
  <r>
    <x v="109"/>
    <x v="5"/>
    <m/>
    <x v="0"/>
    <x v="2"/>
    <x v="17"/>
    <n v="190801"/>
    <n v="190801"/>
    <m/>
    <n v="20"/>
    <n v="190801"/>
    <n v="660000"/>
  </r>
  <r>
    <x v="109"/>
    <x v="5"/>
    <m/>
    <x v="0"/>
    <x v="2"/>
    <x v="15"/>
    <n v="190801"/>
    <n v="190801"/>
    <m/>
    <n v="37"/>
    <n v="190801"/>
    <n v="740000"/>
  </r>
  <r>
    <x v="109"/>
    <x v="5"/>
    <m/>
    <x v="0"/>
    <x v="2"/>
    <x v="16"/>
    <n v="190801"/>
    <n v="190801"/>
    <m/>
    <n v="24"/>
    <n v="190801"/>
    <n v="840000"/>
  </r>
  <r>
    <x v="110"/>
    <x v="6"/>
    <m/>
    <x v="0"/>
    <x v="1"/>
    <x v="16"/>
    <n v="190801"/>
    <n v="190801"/>
    <m/>
    <n v="3"/>
    <n v="190801"/>
    <n v="105000"/>
  </r>
  <r>
    <x v="110"/>
    <x v="6"/>
    <m/>
    <x v="18"/>
    <x v="2"/>
    <x v="19"/>
    <n v="190801"/>
    <n v="190801"/>
    <m/>
    <n v="7"/>
    <n v="190801"/>
    <n v="28000"/>
  </r>
  <r>
    <x v="110"/>
    <x v="6"/>
    <m/>
    <x v="1"/>
    <x v="2"/>
    <x v="18"/>
    <n v="190801"/>
    <n v="190801"/>
    <m/>
    <n v="3"/>
    <n v="190801"/>
    <n v="60000"/>
  </r>
  <r>
    <x v="110"/>
    <x v="6"/>
    <m/>
    <x v="0"/>
    <x v="2"/>
    <x v="19"/>
    <n v="190801"/>
    <n v="190801"/>
    <m/>
    <n v="18"/>
    <n v="190801"/>
    <n v="54000"/>
  </r>
  <r>
    <x v="110"/>
    <x v="6"/>
    <m/>
    <x v="0"/>
    <x v="2"/>
    <x v="17"/>
    <n v="190801"/>
    <n v="190801"/>
    <m/>
    <n v="22"/>
    <n v="190801"/>
    <n v="726000"/>
  </r>
  <r>
    <x v="110"/>
    <x v="6"/>
    <m/>
    <x v="0"/>
    <x v="2"/>
    <x v="15"/>
    <n v="190801"/>
    <n v="190801"/>
    <m/>
    <n v="40"/>
    <n v="190801"/>
    <n v="800000"/>
  </r>
  <r>
    <x v="110"/>
    <x v="6"/>
    <m/>
    <x v="0"/>
    <x v="2"/>
    <x v="16"/>
    <n v="190801"/>
    <n v="190801"/>
    <m/>
    <n v="28"/>
    <n v="190801"/>
    <n v="980000"/>
  </r>
  <r>
    <x v="111"/>
    <x v="3"/>
    <m/>
    <x v="0"/>
    <x v="1"/>
    <x v="16"/>
    <n v="190801"/>
    <n v="190801"/>
    <m/>
    <n v="7"/>
    <n v="190801"/>
    <n v="245000"/>
  </r>
  <r>
    <x v="111"/>
    <x v="3"/>
    <m/>
    <x v="1"/>
    <x v="2"/>
    <x v="18"/>
    <n v="190801"/>
    <n v="190801"/>
    <m/>
    <n v="3"/>
    <n v="190801"/>
    <n v="60000"/>
  </r>
  <r>
    <x v="111"/>
    <x v="3"/>
    <m/>
    <x v="0"/>
    <x v="2"/>
    <x v="19"/>
    <n v="190801"/>
    <n v="190801"/>
    <m/>
    <n v="35"/>
    <n v="190801"/>
    <n v="105000"/>
  </r>
  <r>
    <x v="111"/>
    <x v="3"/>
    <m/>
    <x v="0"/>
    <x v="2"/>
    <x v="17"/>
    <n v="190801"/>
    <n v="190801"/>
    <m/>
    <n v="35"/>
    <n v="190801"/>
    <n v="1155000"/>
  </r>
  <r>
    <x v="111"/>
    <x v="3"/>
    <m/>
    <x v="0"/>
    <x v="2"/>
    <x v="15"/>
    <n v="190801"/>
    <n v="190801"/>
    <m/>
    <n v="29"/>
    <n v="190801"/>
    <n v="580000"/>
  </r>
  <r>
    <x v="111"/>
    <x v="3"/>
    <m/>
    <x v="0"/>
    <x v="2"/>
    <x v="16"/>
    <n v="190801"/>
    <n v="190801"/>
    <m/>
    <n v="26"/>
    <n v="190801"/>
    <n v="910000"/>
  </r>
  <r>
    <x v="111"/>
    <x v="3"/>
    <m/>
    <x v="0"/>
    <x v="4"/>
    <x v="15"/>
    <n v="190801"/>
    <n v="190801"/>
    <m/>
    <n v="15"/>
    <n v="190801"/>
    <n v="472500"/>
  </r>
  <r>
    <x v="111"/>
    <x v="3"/>
    <m/>
    <x v="0"/>
    <x v="4"/>
    <x v="16"/>
    <n v="190801"/>
    <n v="190801"/>
    <m/>
    <n v="5"/>
    <n v="190801"/>
    <n v="220000"/>
  </r>
  <r>
    <x v="111"/>
    <x v="3"/>
    <m/>
    <x v="0"/>
    <x v="3"/>
    <x v="15"/>
    <n v="190801"/>
    <n v="190801"/>
    <m/>
    <n v="2"/>
    <n v="190801"/>
    <n v="0"/>
  </r>
  <r>
    <x v="112"/>
    <x v="4"/>
    <m/>
    <x v="0"/>
    <x v="1"/>
    <x v="15"/>
    <n v="190801"/>
    <n v="190801"/>
    <m/>
    <n v="2"/>
    <n v="190801"/>
    <n v="40000"/>
  </r>
  <r>
    <x v="112"/>
    <x v="4"/>
    <m/>
    <x v="0"/>
    <x v="1"/>
    <x v="16"/>
    <n v="190801"/>
    <n v="190801"/>
    <m/>
    <n v="7"/>
    <n v="190801"/>
    <n v="245000"/>
  </r>
  <r>
    <x v="112"/>
    <x v="4"/>
    <m/>
    <x v="1"/>
    <x v="2"/>
    <x v="18"/>
    <n v="190801"/>
    <n v="190801"/>
    <m/>
    <n v="2"/>
    <n v="190801"/>
    <n v="40000"/>
  </r>
  <r>
    <x v="112"/>
    <x v="4"/>
    <m/>
    <x v="0"/>
    <x v="2"/>
    <x v="15"/>
    <n v="190801"/>
    <n v="190801"/>
    <m/>
    <n v="39"/>
    <n v="190801"/>
    <n v="780000"/>
  </r>
  <r>
    <x v="112"/>
    <x v="4"/>
    <m/>
    <x v="0"/>
    <x v="2"/>
    <x v="16"/>
    <n v="190801"/>
    <n v="190801"/>
    <m/>
    <n v="27"/>
    <n v="190801"/>
    <n v="945000"/>
  </r>
  <r>
    <x v="112"/>
    <x v="4"/>
    <m/>
    <x v="0"/>
    <x v="2"/>
    <x v="17"/>
    <n v="190801"/>
    <n v="190801"/>
    <m/>
    <n v="17"/>
    <n v="190801"/>
    <n v="561000"/>
  </r>
  <r>
    <x v="112"/>
    <x v="4"/>
    <m/>
    <x v="0"/>
    <x v="2"/>
    <x v="19"/>
    <n v="190801"/>
    <n v="190801"/>
    <m/>
    <n v="19"/>
    <n v="190801"/>
    <n v="57000"/>
  </r>
  <r>
    <x v="112"/>
    <x v="4"/>
    <m/>
    <x v="0"/>
    <x v="4"/>
    <x v="15"/>
    <n v="190801"/>
    <n v="190801"/>
    <m/>
    <n v="50"/>
    <n v="190801"/>
    <n v="1575000"/>
  </r>
  <r>
    <x v="112"/>
    <x v="4"/>
    <m/>
    <x v="0"/>
    <x v="4"/>
    <x v="16"/>
    <n v="190801"/>
    <n v="190801"/>
    <m/>
    <n v="4"/>
    <n v="190801"/>
    <n v="176000"/>
  </r>
  <r>
    <x v="113"/>
    <x v="1"/>
    <m/>
    <x v="0"/>
    <x v="1"/>
    <x v="16"/>
    <n v="190801"/>
    <n v="190801"/>
    <m/>
    <n v="4"/>
    <n v="190801"/>
    <n v="140000"/>
  </r>
  <r>
    <x v="113"/>
    <x v="1"/>
    <m/>
    <x v="1"/>
    <x v="2"/>
    <x v="18"/>
    <n v="190801"/>
    <n v="190801"/>
    <m/>
    <n v="2"/>
    <n v="190801"/>
    <n v="40000"/>
  </r>
  <r>
    <x v="113"/>
    <x v="1"/>
    <m/>
    <x v="0"/>
    <x v="2"/>
    <x v="15"/>
    <n v="190801"/>
    <n v="190801"/>
    <m/>
    <n v="23"/>
    <n v="190801"/>
    <n v="460000"/>
  </r>
  <r>
    <x v="113"/>
    <x v="1"/>
    <m/>
    <x v="0"/>
    <x v="2"/>
    <x v="16"/>
    <n v="190801"/>
    <n v="190801"/>
    <m/>
    <n v="21"/>
    <n v="190801"/>
    <n v="735000"/>
  </r>
  <r>
    <x v="113"/>
    <x v="1"/>
    <m/>
    <x v="0"/>
    <x v="2"/>
    <x v="17"/>
    <n v="190801"/>
    <n v="190801"/>
    <m/>
    <n v="19"/>
    <n v="190801"/>
    <n v="627000"/>
  </r>
  <r>
    <x v="113"/>
    <x v="1"/>
    <m/>
    <x v="0"/>
    <x v="2"/>
    <x v="19"/>
    <n v="190801"/>
    <n v="190801"/>
    <m/>
    <n v="23"/>
    <n v="190801"/>
    <n v="69000"/>
  </r>
  <r>
    <x v="113"/>
    <x v="1"/>
    <m/>
    <x v="0"/>
    <x v="4"/>
    <x v="15"/>
    <n v="190801"/>
    <n v="190801"/>
    <m/>
    <n v="42"/>
    <n v="190801"/>
    <n v="1323000"/>
  </r>
  <r>
    <x v="113"/>
    <x v="1"/>
    <m/>
    <x v="0"/>
    <x v="4"/>
    <x v="16"/>
    <n v="190801"/>
    <n v="190801"/>
    <m/>
    <n v="15"/>
    <n v="190801"/>
    <n v="660000"/>
  </r>
  <r>
    <x v="114"/>
    <x v="0"/>
    <m/>
    <x v="0"/>
    <x v="1"/>
    <x v="15"/>
    <n v="190801"/>
    <n v="190801"/>
    <m/>
    <n v="1"/>
    <n v="190801"/>
    <n v="20000"/>
  </r>
  <r>
    <x v="114"/>
    <x v="0"/>
    <m/>
    <x v="0"/>
    <x v="1"/>
    <x v="16"/>
    <n v="190801"/>
    <n v="190801"/>
    <m/>
    <n v="2"/>
    <n v="190801"/>
    <n v="70000"/>
  </r>
  <r>
    <x v="114"/>
    <x v="0"/>
    <m/>
    <x v="1"/>
    <x v="2"/>
    <x v="18"/>
    <n v="190801"/>
    <n v="190801"/>
    <m/>
    <n v="1"/>
    <n v="190801"/>
    <n v="20000"/>
  </r>
  <r>
    <x v="114"/>
    <x v="0"/>
    <m/>
    <x v="0"/>
    <x v="2"/>
    <x v="15"/>
    <n v="190801"/>
    <n v="190801"/>
    <m/>
    <n v="21"/>
    <n v="190801"/>
    <n v="420000"/>
  </r>
  <r>
    <x v="114"/>
    <x v="0"/>
    <m/>
    <x v="0"/>
    <x v="2"/>
    <x v="16"/>
    <n v="190801"/>
    <n v="190801"/>
    <m/>
    <n v="25"/>
    <n v="190801"/>
    <n v="875000"/>
  </r>
  <r>
    <x v="114"/>
    <x v="0"/>
    <m/>
    <x v="0"/>
    <x v="2"/>
    <x v="17"/>
    <n v="190801"/>
    <n v="190801"/>
    <m/>
    <n v="12"/>
    <n v="190801"/>
    <n v="396000"/>
  </r>
  <r>
    <x v="114"/>
    <x v="0"/>
    <m/>
    <x v="0"/>
    <x v="2"/>
    <x v="19"/>
    <n v="190801"/>
    <n v="190801"/>
    <m/>
    <n v="24"/>
    <n v="190801"/>
    <n v="72000"/>
  </r>
  <r>
    <x v="115"/>
    <x v="2"/>
    <m/>
    <x v="0"/>
    <x v="1"/>
    <x v="16"/>
    <n v="190801"/>
    <n v="190801"/>
    <m/>
    <n v="3"/>
    <n v="190801"/>
    <n v="105000"/>
  </r>
  <r>
    <x v="115"/>
    <x v="2"/>
    <m/>
    <x v="1"/>
    <x v="2"/>
    <x v="18"/>
    <n v="190801"/>
    <n v="190801"/>
    <m/>
    <n v="2"/>
    <n v="190801"/>
    <n v="40000"/>
  </r>
  <r>
    <x v="115"/>
    <x v="2"/>
    <m/>
    <x v="0"/>
    <x v="2"/>
    <x v="15"/>
    <n v="190801"/>
    <n v="190801"/>
    <m/>
    <n v="22"/>
    <n v="190801"/>
    <n v="440000"/>
  </r>
  <r>
    <x v="115"/>
    <x v="2"/>
    <m/>
    <x v="0"/>
    <x v="2"/>
    <x v="16"/>
    <n v="190801"/>
    <n v="190801"/>
    <m/>
    <n v="31"/>
    <n v="190801"/>
    <n v="1085000"/>
  </r>
  <r>
    <x v="115"/>
    <x v="2"/>
    <m/>
    <x v="0"/>
    <x v="2"/>
    <x v="17"/>
    <n v="190801"/>
    <n v="190801"/>
    <m/>
    <n v="13"/>
    <n v="190801"/>
    <n v="429000"/>
  </r>
  <r>
    <x v="115"/>
    <x v="2"/>
    <m/>
    <x v="0"/>
    <x v="2"/>
    <x v="19"/>
    <n v="190801"/>
    <n v="190801"/>
    <m/>
    <n v="33"/>
    <n v="190801"/>
    <n v="99000"/>
  </r>
  <r>
    <x v="116"/>
    <x v="5"/>
    <m/>
    <x v="0"/>
    <x v="1"/>
    <x v="15"/>
    <n v="190801"/>
    <n v="190801"/>
    <m/>
    <n v="1"/>
    <n v="190801"/>
    <n v="20000"/>
  </r>
  <r>
    <x v="116"/>
    <x v="5"/>
    <m/>
    <x v="0"/>
    <x v="1"/>
    <x v="16"/>
    <n v="190801"/>
    <n v="190801"/>
    <m/>
    <n v="1"/>
    <n v="190801"/>
    <n v="35000"/>
  </r>
  <r>
    <x v="116"/>
    <x v="5"/>
    <m/>
    <x v="1"/>
    <x v="2"/>
    <x v="18"/>
    <n v="190801"/>
    <n v="190801"/>
    <m/>
    <n v="3"/>
    <n v="190801"/>
    <n v="60000"/>
  </r>
  <r>
    <x v="116"/>
    <x v="5"/>
    <m/>
    <x v="0"/>
    <x v="2"/>
    <x v="15"/>
    <n v="190801"/>
    <n v="190801"/>
    <m/>
    <n v="21"/>
    <n v="190801"/>
    <n v="420000"/>
  </r>
  <r>
    <x v="116"/>
    <x v="5"/>
    <m/>
    <x v="0"/>
    <x v="2"/>
    <x v="16"/>
    <n v="190801"/>
    <n v="190801"/>
    <m/>
    <n v="25"/>
    <n v="190801"/>
    <n v="875000"/>
  </r>
  <r>
    <x v="116"/>
    <x v="5"/>
    <m/>
    <x v="0"/>
    <x v="2"/>
    <x v="17"/>
    <n v="190801"/>
    <n v="190801"/>
    <m/>
    <n v="17"/>
    <n v="190801"/>
    <n v="561000"/>
  </r>
  <r>
    <x v="116"/>
    <x v="5"/>
    <m/>
    <x v="0"/>
    <x v="2"/>
    <x v="19"/>
    <n v="190801"/>
    <n v="190801"/>
    <m/>
    <n v="31"/>
    <n v="190801"/>
    <n v="93000"/>
  </r>
  <r>
    <x v="117"/>
    <x v="6"/>
    <m/>
    <x v="0"/>
    <x v="1"/>
    <x v="15"/>
    <n v="190801"/>
    <n v="190801"/>
    <m/>
    <n v="1"/>
    <n v="190801"/>
    <n v="20000"/>
  </r>
  <r>
    <x v="117"/>
    <x v="6"/>
    <m/>
    <x v="0"/>
    <x v="1"/>
    <x v="16"/>
    <n v="190801"/>
    <n v="190801"/>
    <m/>
    <n v="102"/>
    <n v="190801"/>
    <n v="3570000"/>
  </r>
  <r>
    <x v="117"/>
    <x v="6"/>
    <m/>
    <x v="1"/>
    <x v="2"/>
    <x v="18"/>
    <n v="190801"/>
    <n v="190801"/>
    <m/>
    <n v="1"/>
    <n v="190801"/>
    <n v="20000"/>
  </r>
  <r>
    <x v="117"/>
    <x v="6"/>
    <m/>
    <x v="0"/>
    <x v="2"/>
    <x v="15"/>
    <n v="190801"/>
    <n v="190801"/>
    <m/>
    <n v="48"/>
    <n v="190801"/>
    <n v="960000"/>
  </r>
  <r>
    <x v="117"/>
    <x v="6"/>
    <m/>
    <x v="0"/>
    <x v="2"/>
    <x v="16"/>
    <n v="190801"/>
    <n v="190801"/>
    <m/>
    <n v="32"/>
    <n v="190801"/>
    <n v="1120000"/>
  </r>
  <r>
    <x v="117"/>
    <x v="6"/>
    <m/>
    <x v="0"/>
    <x v="2"/>
    <x v="17"/>
    <n v="190801"/>
    <n v="190801"/>
    <m/>
    <n v="22"/>
    <n v="190801"/>
    <n v="726000"/>
  </r>
  <r>
    <x v="117"/>
    <x v="6"/>
    <m/>
    <x v="0"/>
    <x v="2"/>
    <x v="19"/>
    <n v="190801"/>
    <n v="190801"/>
    <m/>
    <n v="49"/>
    <n v="190801"/>
    <n v="147000"/>
  </r>
  <r>
    <x v="117"/>
    <x v="6"/>
    <m/>
    <x v="18"/>
    <x v="2"/>
    <x v="19"/>
    <n v="190801"/>
    <n v="190801"/>
    <m/>
    <n v="3"/>
    <n v="190801"/>
    <n v="12000"/>
  </r>
  <r>
    <x v="118"/>
    <x v="3"/>
    <m/>
    <x v="0"/>
    <x v="1"/>
    <x v="16"/>
    <n v="190801"/>
    <n v="190801"/>
    <m/>
    <n v="8"/>
    <n v="190801"/>
    <n v="280000"/>
  </r>
  <r>
    <x v="118"/>
    <x v="3"/>
    <m/>
    <x v="1"/>
    <x v="2"/>
    <x v="18"/>
    <n v="190801"/>
    <n v="190801"/>
    <m/>
    <n v="4"/>
    <n v="190801"/>
    <n v="80000"/>
  </r>
  <r>
    <x v="118"/>
    <x v="3"/>
    <m/>
    <x v="0"/>
    <x v="2"/>
    <x v="15"/>
    <n v="190801"/>
    <n v="190801"/>
    <m/>
    <n v="52"/>
    <n v="190801"/>
    <n v="1040000"/>
  </r>
  <r>
    <x v="118"/>
    <x v="3"/>
    <m/>
    <x v="0"/>
    <x v="2"/>
    <x v="16"/>
    <n v="190801"/>
    <n v="190801"/>
    <m/>
    <n v="51"/>
    <n v="190801"/>
    <n v="1785000"/>
  </r>
  <r>
    <x v="118"/>
    <x v="3"/>
    <m/>
    <x v="0"/>
    <x v="2"/>
    <x v="17"/>
    <n v="190801"/>
    <n v="190801"/>
    <m/>
    <n v="41"/>
    <n v="190801"/>
    <n v="1353000"/>
  </r>
  <r>
    <x v="118"/>
    <x v="3"/>
    <m/>
    <x v="0"/>
    <x v="2"/>
    <x v="19"/>
    <n v="190801"/>
    <n v="190801"/>
    <m/>
    <n v="59"/>
    <n v="190801"/>
    <n v="177000"/>
  </r>
  <r>
    <x v="118"/>
    <x v="3"/>
    <m/>
    <x v="18"/>
    <x v="2"/>
    <x v="19"/>
    <n v="190801"/>
    <n v="190801"/>
    <m/>
    <n v="1"/>
    <n v="190801"/>
    <n v="4000"/>
  </r>
  <r>
    <x v="119"/>
    <x v="4"/>
    <m/>
    <x v="0"/>
    <x v="1"/>
    <x v="15"/>
    <n v="190801"/>
    <n v="190801"/>
    <m/>
    <n v="3"/>
    <n v="190801"/>
    <n v="60000"/>
  </r>
  <r>
    <x v="119"/>
    <x v="4"/>
    <m/>
    <x v="0"/>
    <x v="1"/>
    <x v="16"/>
    <n v="190801"/>
    <n v="190801"/>
    <m/>
    <n v="204"/>
    <n v="190801"/>
    <n v="7140000"/>
  </r>
  <r>
    <x v="119"/>
    <x v="4"/>
    <m/>
    <x v="1"/>
    <x v="2"/>
    <x v="18"/>
    <n v="190801"/>
    <n v="190801"/>
    <m/>
    <n v="3"/>
    <n v="190801"/>
    <n v="60000"/>
  </r>
  <r>
    <x v="119"/>
    <x v="4"/>
    <m/>
    <x v="0"/>
    <x v="2"/>
    <x v="15"/>
    <n v="190801"/>
    <n v="190801"/>
    <m/>
    <n v="64"/>
    <n v="190801"/>
    <n v="1280000"/>
  </r>
  <r>
    <x v="119"/>
    <x v="4"/>
    <m/>
    <x v="0"/>
    <x v="2"/>
    <x v="16"/>
    <n v="190801"/>
    <n v="190801"/>
    <m/>
    <n v="54"/>
    <n v="190801"/>
    <n v="1890000"/>
  </r>
  <r>
    <x v="119"/>
    <x v="4"/>
    <m/>
    <x v="0"/>
    <x v="2"/>
    <x v="17"/>
    <n v="190801"/>
    <n v="190801"/>
    <m/>
    <n v="35"/>
    <n v="190801"/>
    <n v="1155000"/>
  </r>
  <r>
    <x v="119"/>
    <x v="4"/>
    <m/>
    <x v="0"/>
    <x v="2"/>
    <x v="19"/>
    <n v="190801"/>
    <n v="190801"/>
    <m/>
    <n v="63"/>
    <n v="190801"/>
    <n v="189000"/>
  </r>
  <r>
    <x v="119"/>
    <x v="4"/>
    <m/>
    <x v="0"/>
    <x v="4"/>
    <x v="15"/>
    <n v="190801"/>
    <n v="190801"/>
    <m/>
    <n v="124"/>
    <n v="190801"/>
    <n v="3906000"/>
  </r>
  <r>
    <x v="119"/>
    <x v="4"/>
    <m/>
    <x v="0"/>
    <x v="4"/>
    <x v="16"/>
    <n v="190801"/>
    <n v="190801"/>
    <m/>
    <n v="24"/>
    <n v="190801"/>
    <n v="1056000"/>
  </r>
  <r>
    <x v="120"/>
    <x v="1"/>
    <m/>
    <x v="0"/>
    <x v="1"/>
    <x v="15"/>
    <n v="190801"/>
    <n v="190801"/>
    <m/>
    <n v="5"/>
    <n v="190801"/>
    <n v="100000"/>
  </r>
  <r>
    <x v="120"/>
    <x v="1"/>
    <m/>
    <x v="0"/>
    <x v="1"/>
    <x v="16"/>
    <n v="190801"/>
    <n v="190801"/>
    <m/>
    <n v="44"/>
    <n v="190801"/>
    <n v="1540000"/>
  </r>
  <r>
    <x v="120"/>
    <x v="1"/>
    <m/>
    <x v="1"/>
    <x v="2"/>
    <x v="18"/>
    <n v="190801"/>
    <n v="190801"/>
    <m/>
    <n v="5"/>
    <n v="190801"/>
    <n v="100000"/>
  </r>
  <r>
    <x v="120"/>
    <x v="1"/>
    <m/>
    <x v="0"/>
    <x v="2"/>
    <x v="15"/>
    <n v="190801"/>
    <n v="190801"/>
    <m/>
    <n v="72"/>
    <n v="190801"/>
    <n v="1440000"/>
  </r>
  <r>
    <x v="120"/>
    <x v="1"/>
    <m/>
    <x v="0"/>
    <x v="2"/>
    <x v="16"/>
    <n v="190801"/>
    <n v="190801"/>
    <m/>
    <n v="72"/>
    <n v="190801"/>
    <n v="2520000"/>
  </r>
  <r>
    <x v="120"/>
    <x v="1"/>
    <m/>
    <x v="0"/>
    <x v="2"/>
    <x v="17"/>
    <n v="190801"/>
    <n v="190801"/>
    <m/>
    <n v="69"/>
    <n v="190801"/>
    <n v="2277000"/>
  </r>
  <r>
    <x v="120"/>
    <x v="1"/>
    <m/>
    <x v="0"/>
    <x v="2"/>
    <x v="19"/>
    <n v="190801"/>
    <n v="190801"/>
    <m/>
    <n v="78"/>
    <n v="190801"/>
    <n v="234000"/>
  </r>
  <r>
    <x v="120"/>
    <x v="1"/>
    <m/>
    <x v="0"/>
    <x v="4"/>
    <x v="15"/>
    <n v="190801"/>
    <n v="190801"/>
    <m/>
    <n v="9"/>
    <n v="190801"/>
    <n v="283500"/>
  </r>
  <r>
    <x v="120"/>
    <x v="1"/>
    <m/>
    <x v="0"/>
    <x v="3"/>
    <x v="17"/>
    <n v="190801"/>
    <n v="190801"/>
    <m/>
    <n v="1"/>
    <n v="190801"/>
    <n v="0"/>
  </r>
  <r>
    <x v="121"/>
    <x v="0"/>
    <m/>
    <x v="0"/>
    <x v="1"/>
    <x v="16"/>
    <n v="190801"/>
    <n v="190801"/>
    <m/>
    <n v="34"/>
    <n v="190801"/>
    <n v="1190000"/>
  </r>
  <r>
    <x v="121"/>
    <x v="0"/>
    <m/>
    <x v="1"/>
    <x v="2"/>
    <x v="18"/>
    <n v="190801"/>
    <n v="190801"/>
    <m/>
    <n v="2"/>
    <n v="190801"/>
    <n v="40000"/>
  </r>
  <r>
    <x v="121"/>
    <x v="0"/>
    <m/>
    <x v="0"/>
    <x v="2"/>
    <x v="15"/>
    <n v="190801"/>
    <n v="190801"/>
    <m/>
    <n v="59"/>
    <n v="190801"/>
    <n v="1180000"/>
  </r>
  <r>
    <x v="121"/>
    <x v="0"/>
    <m/>
    <x v="0"/>
    <x v="2"/>
    <x v="16"/>
    <n v="190801"/>
    <n v="190801"/>
    <m/>
    <n v="74"/>
    <n v="190801"/>
    <n v="2590000"/>
  </r>
  <r>
    <x v="121"/>
    <x v="0"/>
    <m/>
    <x v="0"/>
    <x v="2"/>
    <x v="17"/>
    <n v="190801"/>
    <n v="190801"/>
    <m/>
    <n v="60"/>
    <n v="190801"/>
    <n v="1980000"/>
  </r>
  <r>
    <x v="121"/>
    <x v="0"/>
    <m/>
    <x v="0"/>
    <x v="2"/>
    <x v="19"/>
    <n v="190801"/>
    <n v="190801"/>
    <m/>
    <n v="75"/>
    <n v="190801"/>
    <n v="225000"/>
  </r>
  <r>
    <x v="122"/>
    <x v="2"/>
    <m/>
    <x v="0"/>
    <x v="1"/>
    <x v="16"/>
    <n v="190801"/>
    <n v="190801"/>
    <m/>
    <n v="222"/>
    <n v="190801"/>
    <n v="7770000"/>
  </r>
  <r>
    <x v="122"/>
    <x v="2"/>
    <m/>
    <x v="18"/>
    <x v="2"/>
    <x v="19"/>
    <n v="190801"/>
    <n v="190801"/>
    <m/>
    <n v="1"/>
    <n v="190801"/>
    <n v="4000"/>
  </r>
  <r>
    <x v="122"/>
    <x v="2"/>
    <m/>
    <x v="1"/>
    <x v="2"/>
    <x v="18"/>
    <n v="190801"/>
    <n v="190801"/>
    <m/>
    <n v="4"/>
    <n v="190801"/>
    <n v="80000"/>
  </r>
  <r>
    <x v="122"/>
    <x v="2"/>
    <m/>
    <x v="0"/>
    <x v="2"/>
    <x v="15"/>
    <n v="190801"/>
    <n v="190801"/>
    <m/>
    <n v="49"/>
    <n v="190801"/>
    <n v="980000"/>
  </r>
  <r>
    <x v="122"/>
    <x v="2"/>
    <m/>
    <x v="0"/>
    <x v="2"/>
    <x v="16"/>
    <n v="190801"/>
    <n v="190801"/>
    <m/>
    <n v="55"/>
    <n v="190801"/>
    <n v="1925000"/>
  </r>
  <r>
    <x v="122"/>
    <x v="2"/>
    <m/>
    <x v="0"/>
    <x v="2"/>
    <x v="17"/>
    <n v="190801"/>
    <n v="190801"/>
    <m/>
    <n v="33"/>
    <n v="190801"/>
    <n v="1089000"/>
  </r>
  <r>
    <x v="122"/>
    <x v="2"/>
    <m/>
    <x v="0"/>
    <x v="2"/>
    <x v="19"/>
    <n v="190801"/>
    <n v="190801"/>
    <m/>
    <n v="54"/>
    <n v="190801"/>
    <n v="162000"/>
  </r>
  <r>
    <x v="122"/>
    <x v="2"/>
    <m/>
    <x v="0"/>
    <x v="4"/>
    <x v="15"/>
    <n v="190801"/>
    <n v="190801"/>
    <m/>
    <n v="18"/>
    <n v="190801"/>
    <n v="567000"/>
  </r>
  <r>
    <x v="122"/>
    <x v="2"/>
    <m/>
    <x v="0"/>
    <x v="4"/>
    <x v="16"/>
    <n v="190801"/>
    <n v="190801"/>
    <m/>
    <n v="5"/>
    <n v="190801"/>
    <n v="220000"/>
  </r>
  <r>
    <x v="123"/>
    <x v="5"/>
    <m/>
    <x v="0"/>
    <x v="1"/>
    <x v="15"/>
    <n v="190801"/>
    <n v="190801"/>
    <m/>
    <n v="2"/>
    <n v="190801"/>
    <n v="40000"/>
  </r>
  <r>
    <x v="123"/>
    <x v="5"/>
    <m/>
    <x v="0"/>
    <x v="1"/>
    <x v="16"/>
    <n v="190801"/>
    <n v="190801"/>
    <m/>
    <n v="14"/>
    <n v="190801"/>
    <n v="490000"/>
  </r>
  <r>
    <x v="123"/>
    <x v="5"/>
    <m/>
    <x v="1"/>
    <x v="2"/>
    <x v="18"/>
    <n v="190801"/>
    <n v="190801"/>
    <m/>
    <n v="5"/>
    <n v="190801"/>
    <n v="100000"/>
  </r>
  <r>
    <x v="123"/>
    <x v="5"/>
    <m/>
    <x v="0"/>
    <x v="2"/>
    <x v="15"/>
    <n v="190801"/>
    <n v="190801"/>
    <m/>
    <n v="60"/>
    <n v="190801"/>
    <n v="1200000"/>
  </r>
  <r>
    <x v="123"/>
    <x v="5"/>
    <m/>
    <x v="0"/>
    <x v="2"/>
    <x v="16"/>
    <n v="190801"/>
    <n v="190801"/>
    <m/>
    <n v="55"/>
    <n v="190801"/>
    <n v="1925000"/>
  </r>
  <r>
    <x v="123"/>
    <x v="5"/>
    <m/>
    <x v="0"/>
    <x v="2"/>
    <x v="17"/>
    <n v="190801"/>
    <n v="190801"/>
    <m/>
    <n v="37"/>
    <n v="190801"/>
    <n v="1221000"/>
  </r>
  <r>
    <x v="123"/>
    <x v="5"/>
    <m/>
    <x v="0"/>
    <x v="2"/>
    <x v="19"/>
    <n v="190801"/>
    <n v="190801"/>
    <m/>
    <n v="47"/>
    <n v="190801"/>
    <n v="141000"/>
  </r>
  <r>
    <x v="124"/>
    <x v="6"/>
    <m/>
    <x v="0"/>
    <x v="1"/>
    <x v="15"/>
    <n v="190801"/>
    <n v="190801"/>
    <m/>
    <n v="3"/>
    <n v="190801"/>
    <n v="60000"/>
  </r>
  <r>
    <x v="124"/>
    <x v="6"/>
    <m/>
    <x v="0"/>
    <x v="1"/>
    <x v="16"/>
    <n v="190801"/>
    <n v="190801"/>
    <m/>
    <n v="10"/>
    <n v="190801"/>
    <n v="350000"/>
  </r>
  <r>
    <x v="124"/>
    <x v="6"/>
    <m/>
    <x v="18"/>
    <x v="2"/>
    <x v="19"/>
    <n v="190801"/>
    <n v="190801"/>
    <m/>
    <n v="3"/>
    <n v="190801"/>
    <n v="12000"/>
  </r>
  <r>
    <x v="124"/>
    <x v="6"/>
    <m/>
    <x v="1"/>
    <x v="2"/>
    <x v="18"/>
    <n v="190801"/>
    <n v="190801"/>
    <m/>
    <n v="8"/>
    <n v="190801"/>
    <n v="160000"/>
  </r>
  <r>
    <x v="124"/>
    <x v="6"/>
    <m/>
    <x v="0"/>
    <x v="2"/>
    <x v="15"/>
    <n v="190801"/>
    <n v="190801"/>
    <m/>
    <n v="55"/>
    <n v="190801"/>
    <n v="1100000"/>
  </r>
  <r>
    <x v="124"/>
    <x v="6"/>
    <m/>
    <x v="0"/>
    <x v="2"/>
    <x v="16"/>
    <n v="190801"/>
    <n v="190801"/>
    <m/>
    <n v="55"/>
    <n v="190801"/>
    <n v="1925000"/>
  </r>
  <r>
    <x v="124"/>
    <x v="6"/>
    <m/>
    <x v="0"/>
    <x v="2"/>
    <x v="17"/>
    <n v="190801"/>
    <n v="190801"/>
    <m/>
    <n v="41"/>
    <n v="190801"/>
    <n v="1353000"/>
  </r>
  <r>
    <x v="124"/>
    <x v="6"/>
    <m/>
    <x v="0"/>
    <x v="2"/>
    <x v="19"/>
    <n v="190801"/>
    <n v="190801"/>
    <m/>
    <n v="68"/>
    <n v="190801"/>
    <n v="204000"/>
  </r>
  <r>
    <x v="124"/>
    <x v="6"/>
    <m/>
    <x v="0"/>
    <x v="6"/>
    <x v="15"/>
    <n v="190801"/>
    <n v="190801"/>
    <m/>
    <n v="911"/>
    <n v="190801"/>
    <n v="8260948"/>
  </r>
  <r>
    <x v="125"/>
    <x v="3"/>
    <m/>
    <x v="0"/>
    <x v="1"/>
    <x v="15"/>
    <n v="190801"/>
    <n v="190801"/>
    <m/>
    <n v="3"/>
    <n v="190801"/>
    <n v="60000"/>
  </r>
  <r>
    <x v="125"/>
    <x v="3"/>
    <m/>
    <x v="0"/>
    <x v="1"/>
    <x v="16"/>
    <n v="190801"/>
    <n v="190801"/>
    <m/>
    <n v="117"/>
    <n v="190801"/>
    <n v="4095000"/>
  </r>
  <r>
    <x v="125"/>
    <x v="3"/>
    <m/>
    <x v="1"/>
    <x v="2"/>
    <x v="18"/>
    <n v="190801"/>
    <n v="190801"/>
    <m/>
    <n v="4"/>
    <n v="190801"/>
    <n v="80000"/>
  </r>
  <r>
    <x v="125"/>
    <x v="3"/>
    <m/>
    <x v="0"/>
    <x v="2"/>
    <x v="15"/>
    <n v="190801"/>
    <n v="190801"/>
    <m/>
    <n v="56"/>
    <n v="190801"/>
    <n v="1120000"/>
  </r>
  <r>
    <x v="125"/>
    <x v="3"/>
    <m/>
    <x v="0"/>
    <x v="2"/>
    <x v="16"/>
    <n v="190801"/>
    <n v="190801"/>
    <m/>
    <n v="50"/>
    <n v="190801"/>
    <n v="1750000"/>
  </r>
  <r>
    <x v="125"/>
    <x v="3"/>
    <m/>
    <x v="0"/>
    <x v="2"/>
    <x v="17"/>
    <n v="190801"/>
    <n v="190801"/>
    <m/>
    <n v="44"/>
    <n v="190801"/>
    <n v="1452000"/>
  </r>
  <r>
    <x v="125"/>
    <x v="3"/>
    <m/>
    <x v="0"/>
    <x v="2"/>
    <x v="19"/>
    <n v="190801"/>
    <n v="190801"/>
    <m/>
    <n v="58"/>
    <n v="190801"/>
    <n v="174000"/>
  </r>
  <r>
    <x v="125"/>
    <x v="3"/>
    <m/>
    <x v="0"/>
    <x v="4"/>
    <x v="15"/>
    <n v="190801"/>
    <n v="190801"/>
    <m/>
    <n v="18"/>
    <n v="190801"/>
    <n v="567000"/>
  </r>
  <r>
    <x v="125"/>
    <x v="3"/>
    <m/>
    <x v="0"/>
    <x v="4"/>
    <x v="16"/>
    <n v="190801"/>
    <n v="190801"/>
    <m/>
    <n v="5"/>
    <n v="190801"/>
    <n v="220000"/>
  </r>
  <r>
    <x v="126"/>
    <x v="4"/>
    <m/>
    <x v="0"/>
    <x v="1"/>
    <x v="16"/>
    <n v="190801"/>
    <n v="190801"/>
    <m/>
    <n v="28"/>
    <n v="190801"/>
    <n v="980000"/>
  </r>
  <r>
    <x v="126"/>
    <x v="4"/>
    <m/>
    <x v="1"/>
    <x v="2"/>
    <x v="18"/>
    <n v="190801"/>
    <n v="190801"/>
    <m/>
    <n v="2"/>
    <n v="190801"/>
    <n v="40000"/>
  </r>
  <r>
    <x v="126"/>
    <x v="4"/>
    <m/>
    <x v="0"/>
    <x v="2"/>
    <x v="15"/>
    <n v="190801"/>
    <n v="190801"/>
    <m/>
    <n v="46"/>
    <n v="190801"/>
    <n v="920000"/>
  </r>
  <r>
    <x v="126"/>
    <x v="4"/>
    <m/>
    <x v="0"/>
    <x v="2"/>
    <x v="16"/>
    <n v="190801"/>
    <n v="190801"/>
    <m/>
    <n v="40"/>
    <n v="190801"/>
    <n v="1400000"/>
  </r>
  <r>
    <x v="126"/>
    <x v="4"/>
    <m/>
    <x v="0"/>
    <x v="2"/>
    <x v="17"/>
    <n v="190801"/>
    <n v="190801"/>
    <m/>
    <n v="35"/>
    <n v="190801"/>
    <n v="1155000"/>
  </r>
  <r>
    <x v="126"/>
    <x v="4"/>
    <m/>
    <x v="0"/>
    <x v="2"/>
    <x v="19"/>
    <n v="190801"/>
    <n v="190801"/>
    <m/>
    <n v="62"/>
    <n v="190801"/>
    <n v="186000"/>
  </r>
  <r>
    <x v="127"/>
    <x v="1"/>
    <m/>
    <x v="0"/>
    <x v="1"/>
    <x v="15"/>
    <n v="190801"/>
    <n v="190801"/>
    <m/>
    <n v="6"/>
    <n v="190801"/>
    <n v="120000"/>
  </r>
  <r>
    <x v="127"/>
    <x v="1"/>
    <m/>
    <x v="0"/>
    <x v="1"/>
    <x v="16"/>
    <n v="190801"/>
    <n v="190801"/>
    <m/>
    <n v="9"/>
    <n v="190801"/>
    <n v="315000"/>
  </r>
  <r>
    <x v="127"/>
    <x v="1"/>
    <m/>
    <x v="1"/>
    <x v="2"/>
    <x v="18"/>
    <n v="190801"/>
    <n v="190801"/>
    <m/>
    <n v="8"/>
    <n v="190801"/>
    <n v="160000"/>
  </r>
  <r>
    <x v="127"/>
    <x v="1"/>
    <m/>
    <x v="0"/>
    <x v="2"/>
    <x v="15"/>
    <n v="190801"/>
    <n v="190801"/>
    <m/>
    <n v="56"/>
    <n v="190801"/>
    <n v="1120000"/>
  </r>
  <r>
    <x v="127"/>
    <x v="1"/>
    <m/>
    <x v="0"/>
    <x v="2"/>
    <x v="16"/>
    <n v="190801"/>
    <n v="190801"/>
    <m/>
    <n v="37"/>
    <n v="190801"/>
    <n v="1295000"/>
  </r>
  <r>
    <x v="127"/>
    <x v="1"/>
    <m/>
    <x v="0"/>
    <x v="2"/>
    <x v="17"/>
    <n v="190801"/>
    <n v="190801"/>
    <m/>
    <n v="40"/>
    <n v="190801"/>
    <n v="1320000"/>
  </r>
  <r>
    <x v="127"/>
    <x v="1"/>
    <m/>
    <x v="0"/>
    <x v="2"/>
    <x v="19"/>
    <n v="190801"/>
    <n v="190801"/>
    <m/>
    <n v="53"/>
    <n v="190801"/>
    <n v="159000"/>
  </r>
  <r>
    <x v="127"/>
    <x v="1"/>
    <m/>
    <x v="0"/>
    <x v="4"/>
    <x v="15"/>
    <n v="190801"/>
    <n v="190801"/>
    <m/>
    <n v="14"/>
    <n v="190801"/>
    <n v="441000"/>
  </r>
  <r>
    <x v="127"/>
    <x v="1"/>
    <m/>
    <x v="0"/>
    <x v="4"/>
    <x v="16"/>
    <n v="190801"/>
    <n v="190801"/>
    <m/>
    <n v="2"/>
    <n v="190801"/>
    <n v="88000"/>
  </r>
  <r>
    <x v="128"/>
    <x v="0"/>
    <m/>
    <x v="0"/>
    <x v="1"/>
    <x v="15"/>
    <n v="190801"/>
    <n v="190801"/>
    <m/>
    <n v="1"/>
    <n v="190801"/>
    <n v="20000"/>
  </r>
  <r>
    <x v="128"/>
    <x v="0"/>
    <m/>
    <x v="0"/>
    <x v="3"/>
    <x v="15"/>
    <n v="190801"/>
    <n v="190801"/>
    <m/>
    <n v="1"/>
    <n v="190801"/>
    <n v="0"/>
  </r>
  <r>
    <x v="128"/>
    <x v="0"/>
    <m/>
    <x v="18"/>
    <x v="2"/>
    <x v="19"/>
    <n v="190801"/>
    <n v="190801"/>
    <m/>
    <n v="1"/>
    <n v="190801"/>
    <n v="4000"/>
  </r>
  <r>
    <x v="128"/>
    <x v="0"/>
    <m/>
    <x v="1"/>
    <x v="2"/>
    <x v="18"/>
    <n v="190801"/>
    <n v="190801"/>
    <m/>
    <n v="9"/>
    <n v="190801"/>
    <n v="180000"/>
  </r>
  <r>
    <x v="128"/>
    <x v="0"/>
    <m/>
    <x v="0"/>
    <x v="2"/>
    <x v="15"/>
    <n v="190801"/>
    <n v="190801"/>
    <m/>
    <n v="34"/>
    <n v="190801"/>
    <n v="680000"/>
  </r>
  <r>
    <x v="128"/>
    <x v="0"/>
    <m/>
    <x v="0"/>
    <x v="2"/>
    <x v="16"/>
    <n v="190801"/>
    <n v="190801"/>
    <m/>
    <n v="65"/>
    <n v="190801"/>
    <n v="2275000"/>
  </r>
  <r>
    <x v="128"/>
    <x v="0"/>
    <m/>
    <x v="0"/>
    <x v="2"/>
    <x v="17"/>
    <n v="190801"/>
    <n v="190801"/>
    <m/>
    <n v="38"/>
    <n v="190801"/>
    <n v="1254000"/>
  </r>
  <r>
    <x v="128"/>
    <x v="0"/>
    <m/>
    <x v="0"/>
    <x v="2"/>
    <x v="19"/>
    <n v="190801"/>
    <n v="190801"/>
    <m/>
    <n v="44"/>
    <n v="190801"/>
    <n v="132000"/>
  </r>
  <r>
    <x v="128"/>
    <x v="0"/>
    <m/>
    <x v="0"/>
    <x v="4"/>
    <x v="15"/>
    <n v="190801"/>
    <n v="190801"/>
    <m/>
    <n v="6"/>
    <n v="190801"/>
    <n v="189000"/>
  </r>
  <r>
    <x v="129"/>
    <x v="2"/>
    <m/>
    <x v="0"/>
    <x v="3"/>
    <x v="15"/>
    <n v="190801"/>
    <n v="190801"/>
    <m/>
    <n v="1"/>
    <n v="190801"/>
    <n v="0"/>
  </r>
  <r>
    <x v="129"/>
    <x v="2"/>
    <m/>
    <x v="18"/>
    <x v="2"/>
    <x v="19"/>
    <n v="190801"/>
    <n v="190801"/>
    <m/>
    <n v="1"/>
    <n v="190801"/>
    <n v="4000"/>
  </r>
  <r>
    <x v="129"/>
    <x v="2"/>
    <m/>
    <x v="1"/>
    <x v="2"/>
    <x v="18"/>
    <n v="190801"/>
    <n v="190801"/>
    <m/>
    <n v="6"/>
    <n v="190801"/>
    <n v="120000"/>
  </r>
  <r>
    <x v="129"/>
    <x v="2"/>
    <m/>
    <x v="0"/>
    <x v="2"/>
    <x v="15"/>
    <n v="190801"/>
    <n v="190801"/>
    <m/>
    <n v="44"/>
    <n v="190801"/>
    <n v="880000"/>
  </r>
  <r>
    <x v="129"/>
    <x v="2"/>
    <m/>
    <x v="0"/>
    <x v="2"/>
    <x v="16"/>
    <n v="190801"/>
    <n v="190801"/>
    <m/>
    <n v="154"/>
    <n v="190801"/>
    <n v="5390000"/>
  </r>
  <r>
    <x v="129"/>
    <x v="2"/>
    <m/>
    <x v="0"/>
    <x v="2"/>
    <x v="17"/>
    <n v="190801"/>
    <n v="190801"/>
    <m/>
    <n v="23"/>
    <n v="190801"/>
    <n v="759000"/>
  </r>
  <r>
    <x v="129"/>
    <x v="2"/>
    <m/>
    <x v="0"/>
    <x v="2"/>
    <x v="19"/>
    <n v="190801"/>
    <n v="190801"/>
    <m/>
    <n v="48"/>
    <n v="190801"/>
    <n v="144000"/>
  </r>
  <r>
    <x v="129"/>
    <x v="2"/>
    <m/>
    <x v="0"/>
    <x v="4"/>
    <x v="15"/>
    <n v="190801"/>
    <n v="190801"/>
    <m/>
    <n v="4"/>
    <n v="190801"/>
    <n v="126000"/>
  </r>
  <r>
    <x v="129"/>
    <x v="2"/>
    <m/>
    <x v="0"/>
    <x v="4"/>
    <x v="16"/>
    <n v="190801"/>
    <n v="190801"/>
    <m/>
    <n v="1"/>
    <n v="190801"/>
    <n v="44000"/>
  </r>
  <r>
    <x v="130"/>
    <x v="5"/>
    <m/>
    <x v="18"/>
    <x v="2"/>
    <x v="19"/>
    <n v="190801"/>
    <n v="190801"/>
    <m/>
    <n v="6"/>
    <n v="190801"/>
    <n v="24000"/>
  </r>
  <r>
    <x v="130"/>
    <x v="5"/>
    <m/>
    <x v="1"/>
    <x v="2"/>
    <x v="18"/>
    <n v="190801"/>
    <n v="190801"/>
    <m/>
    <n v="5"/>
    <n v="190801"/>
    <n v="100000"/>
  </r>
  <r>
    <x v="130"/>
    <x v="5"/>
    <m/>
    <x v="1"/>
    <x v="2"/>
    <x v="21"/>
    <n v="190801"/>
    <n v="190801"/>
    <m/>
    <n v="1"/>
    <n v="190801"/>
    <n v="35000"/>
  </r>
  <r>
    <x v="130"/>
    <x v="5"/>
    <m/>
    <x v="0"/>
    <x v="2"/>
    <x v="15"/>
    <n v="190801"/>
    <n v="190801"/>
    <m/>
    <n v="35"/>
    <n v="190801"/>
    <n v="700000"/>
  </r>
  <r>
    <x v="130"/>
    <x v="5"/>
    <m/>
    <x v="0"/>
    <x v="2"/>
    <x v="16"/>
    <n v="190801"/>
    <n v="190801"/>
    <m/>
    <n v="30"/>
    <n v="190801"/>
    <n v="1050000"/>
  </r>
  <r>
    <x v="130"/>
    <x v="5"/>
    <m/>
    <x v="0"/>
    <x v="2"/>
    <x v="17"/>
    <n v="190801"/>
    <n v="190801"/>
    <m/>
    <n v="33"/>
    <n v="190801"/>
    <n v="1089000"/>
  </r>
  <r>
    <x v="130"/>
    <x v="5"/>
    <m/>
    <x v="0"/>
    <x v="2"/>
    <x v="19"/>
    <n v="190801"/>
    <n v="190801"/>
    <m/>
    <n v="37"/>
    <n v="190801"/>
    <n v="111000"/>
  </r>
  <r>
    <x v="131"/>
    <x v="6"/>
    <m/>
    <x v="1"/>
    <x v="2"/>
    <x v="18"/>
    <n v="190801"/>
    <n v="190801"/>
    <m/>
    <n v="6"/>
    <n v="190801"/>
    <n v="120000"/>
  </r>
  <r>
    <x v="131"/>
    <x v="6"/>
    <m/>
    <x v="1"/>
    <x v="2"/>
    <x v="21"/>
    <n v="190801"/>
    <n v="190801"/>
    <m/>
    <n v="1"/>
    <n v="190801"/>
    <n v="35000"/>
  </r>
  <r>
    <x v="131"/>
    <x v="6"/>
    <m/>
    <x v="0"/>
    <x v="2"/>
    <x v="15"/>
    <n v="190801"/>
    <n v="190801"/>
    <m/>
    <n v="52"/>
    <n v="190801"/>
    <n v="1040000"/>
  </r>
  <r>
    <x v="131"/>
    <x v="6"/>
    <m/>
    <x v="0"/>
    <x v="2"/>
    <x v="16"/>
    <n v="190801"/>
    <n v="190801"/>
    <m/>
    <n v="40"/>
    <n v="190801"/>
    <n v="1400000"/>
  </r>
  <r>
    <x v="131"/>
    <x v="6"/>
    <m/>
    <x v="0"/>
    <x v="2"/>
    <x v="17"/>
    <n v="190801"/>
    <n v="190801"/>
    <m/>
    <n v="33"/>
    <n v="190801"/>
    <n v="1089000"/>
  </r>
  <r>
    <x v="131"/>
    <x v="6"/>
    <m/>
    <x v="0"/>
    <x v="2"/>
    <x v="19"/>
    <n v="190801"/>
    <n v="190801"/>
    <m/>
    <n v="48"/>
    <n v="190801"/>
    <n v="144000"/>
  </r>
  <r>
    <x v="132"/>
    <x v="3"/>
    <m/>
    <x v="0"/>
    <x v="1"/>
    <x v="15"/>
    <n v="190801"/>
    <n v="190801"/>
    <m/>
    <n v="7"/>
    <n v="190801"/>
    <n v="140000"/>
  </r>
  <r>
    <x v="132"/>
    <x v="3"/>
    <m/>
    <x v="0"/>
    <x v="1"/>
    <x v="16"/>
    <n v="190801"/>
    <n v="190801"/>
    <m/>
    <n v="27"/>
    <n v="190801"/>
    <n v="945000"/>
  </r>
  <r>
    <x v="132"/>
    <x v="3"/>
    <m/>
    <x v="0"/>
    <x v="3"/>
    <x v="15"/>
    <n v="190801"/>
    <n v="190801"/>
    <m/>
    <n v="85"/>
    <n v="190801"/>
    <n v="0"/>
  </r>
  <r>
    <x v="132"/>
    <x v="3"/>
    <m/>
    <x v="0"/>
    <x v="3"/>
    <x v="17"/>
    <n v="190801"/>
    <n v="190801"/>
    <m/>
    <n v="2"/>
    <n v="190801"/>
    <n v="0"/>
  </r>
  <r>
    <x v="132"/>
    <x v="3"/>
    <m/>
    <x v="1"/>
    <x v="3"/>
    <x v="18"/>
    <n v="190801"/>
    <n v="190801"/>
    <m/>
    <n v="81"/>
    <n v="190801"/>
    <n v="0"/>
  </r>
  <r>
    <x v="132"/>
    <x v="3"/>
    <m/>
    <x v="19"/>
    <x v="3"/>
    <x v="22"/>
    <n v="190801"/>
    <n v="190801"/>
    <m/>
    <n v="60"/>
    <n v="190801"/>
    <n v="0"/>
  </r>
  <r>
    <x v="132"/>
    <x v="3"/>
    <m/>
    <x v="1"/>
    <x v="2"/>
    <x v="18"/>
    <n v="190801"/>
    <n v="190801"/>
    <m/>
    <n v="12"/>
    <n v="190801"/>
    <n v="240000"/>
  </r>
  <r>
    <x v="132"/>
    <x v="3"/>
    <m/>
    <x v="0"/>
    <x v="2"/>
    <x v="15"/>
    <n v="190801"/>
    <n v="190801"/>
    <m/>
    <n v="94"/>
    <n v="190801"/>
    <n v="1880000"/>
  </r>
  <r>
    <x v="132"/>
    <x v="3"/>
    <m/>
    <x v="0"/>
    <x v="2"/>
    <x v="16"/>
    <n v="190801"/>
    <n v="190801"/>
    <m/>
    <n v="172"/>
    <n v="190801"/>
    <n v="6020000"/>
  </r>
  <r>
    <x v="132"/>
    <x v="3"/>
    <m/>
    <x v="0"/>
    <x v="2"/>
    <x v="17"/>
    <n v="190801"/>
    <n v="190801"/>
    <m/>
    <n v="53"/>
    <n v="190801"/>
    <n v="1749000"/>
  </r>
  <r>
    <x v="132"/>
    <x v="3"/>
    <m/>
    <x v="0"/>
    <x v="2"/>
    <x v="19"/>
    <n v="190801"/>
    <n v="190801"/>
    <m/>
    <n v="85"/>
    <n v="190801"/>
    <n v="255000"/>
  </r>
  <r>
    <x v="132"/>
    <x v="3"/>
    <m/>
    <x v="0"/>
    <x v="4"/>
    <x v="15"/>
    <n v="190801"/>
    <n v="190801"/>
    <m/>
    <n v="31"/>
    <n v="190801"/>
    <n v="976500"/>
  </r>
  <r>
    <x v="132"/>
    <x v="3"/>
    <m/>
    <x v="0"/>
    <x v="4"/>
    <x v="16"/>
    <n v="190801"/>
    <n v="190801"/>
    <m/>
    <n v="14"/>
    <n v="190801"/>
    <n v="616000"/>
  </r>
  <r>
    <x v="133"/>
    <x v="4"/>
    <m/>
    <x v="0"/>
    <x v="1"/>
    <x v="15"/>
    <n v="190801"/>
    <n v="190801"/>
    <m/>
    <n v="6"/>
    <n v="190801"/>
    <n v="120000"/>
  </r>
  <r>
    <x v="133"/>
    <x v="4"/>
    <m/>
    <x v="0"/>
    <x v="1"/>
    <x v="16"/>
    <n v="190801"/>
    <n v="190801"/>
    <m/>
    <n v="15"/>
    <n v="190801"/>
    <n v="525000"/>
  </r>
  <r>
    <x v="133"/>
    <x v="4"/>
    <m/>
    <x v="0"/>
    <x v="3"/>
    <x v="15"/>
    <n v="190801"/>
    <n v="190801"/>
    <m/>
    <n v="7"/>
    <n v="190801"/>
    <n v="0"/>
  </r>
  <r>
    <x v="133"/>
    <x v="4"/>
    <m/>
    <x v="1"/>
    <x v="3"/>
    <x v="18"/>
    <n v="190801"/>
    <n v="190801"/>
    <m/>
    <n v="1"/>
    <n v="190801"/>
    <n v="0"/>
  </r>
  <r>
    <x v="133"/>
    <x v="4"/>
    <m/>
    <x v="19"/>
    <x v="3"/>
    <x v="22"/>
    <n v="190801"/>
    <n v="190801"/>
    <m/>
    <n v="1"/>
    <n v="190801"/>
    <n v="0"/>
  </r>
  <r>
    <x v="133"/>
    <x v="4"/>
    <m/>
    <x v="18"/>
    <x v="2"/>
    <x v="19"/>
    <n v="190801"/>
    <n v="190801"/>
    <m/>
    <n v="5"/>
    <n v="190801"/>
    <n v="20000"/>
  </r>
  <r>
    <x v="133"/>
    <x v="4"/>
    <m/>
    <x v="1"/>
    <x v="2"/>
    <x v="18"/>
    <n v="190801"/>
    <n v="190801"/>
    <m/>
    <n v="17"/>
    <n v="190801"/>
    <n v="340000"/>
  </r>
  <r>
    <x v="133"/>
    <x v="4"/>
    <m/>
    <x v="1"/>
    <x v="2"/>
    <x v="21"/>
    <n v="190801"/>
    <n v="190801"/>
    <m/>
    <n v="4"/>
    <n v="190801"/>
    <n v="140000"/>
  </r>
  <r>
    <x v="133"/>
    <x v="4"/>
    <m/>
    <x v="0"/>
    <x v="2"/>
    <x v="15"/>
    <n v="190801"/>
    <n v="190801"/>
    <m/>
    <n v="109"/>
    <n v="190801"/>
    <n v="2180000"/>
  </r>
  <r>
    <x v="133"/>
    <x v="4"/>
    <m/>
    <x v="0"/>
    <x v="2"/>
    <x v="16"/>
    <n v="190801"/>
    <n v="190801"/>
    <m/>
    <n v="104"/>
    <n v="190801"/>
    <n v="3640000"/>
  </r>
  <r>
    <x v="133"/>
    <x v="4"/>
    <m/>
    <x v="0"/>
    <x v="2"/>
    <x v="17"/>
    <n v="190801"/>
    <n v="190801"/>
    <m/>
    <n v="58"/>
    <n v="190801"/>
    <n v="1914000"/>
  </r>
  <r>
    <x v="133"/>
    <x v="4"/>
    <m/>
    <x v="0"/>
    <x v="2"/>
    <x v="19"/>
    <n v="190801"/>
    <n v="190801"/>
    <m/>
    <n v="109"/>
    <n v="190801"/>
    <n v="327000"/>
  </r>
  <r>
    <x v="133"/>
    <x v="4"/>
    <m/>
    <x v="19"/>
    <x v="2"/>
    <x v="22"/>
    <n v="190801"/>
    <n v="190801"/>
    <m/>
    <n v="7"/>
    <n v="190801"/>
    <n v="91000"/>
  </r>
  <r>
    <x v="133"/>
    <x v="4"/>
    <m/>
    <x v="19"/>
    <x v="2"/>
    <x v="23"/>
    <n v="190801"/>
    <n v="190801"/>
    <m/>
    <n v="2"/>
    <n v="190801"/>
    <n v="48000"/>
  </r>
  <r>
    <x v="133"/>
    <x v="4"/>
    <m/>
    <x v="19"/>
    <x v="2"/>
    <x v="24"/>
    <n v="190801"/>
    <n v="190801"/>
    <m/>
    <n v="1"/>
    <n v="190801"/>
    <n v="33000"/>
  </r>
  <r>
    <x v="133"/>
    <x v="4"/>
    <m/>
    <x v="0"/>
    <x v="4"/>
    <x v="15"/>
    <n v="190801"/>
    <n v="190801"/>
    <m/>
    <n v="10"/>
    <n v="190801"/>
    <n v="315000"/>
  </r>
  <r>
    <x v="133"/>
    <x v="4"/>
    <m/>
    <x v="0"/>
    <x v="4"/>
    <x v="16"/>
    <n v="190801"/>
    <n v="190801"/>
    <m/>
    <n v="1"/>
    <n v="190801"/>
    <n v="44000"/>
  </r>
  <r>
    <x v="134"/>
    <x v="1"/>
    <m/>
    <x v="0"/>
    <x v="1"/>
    <x v="15"/>
    <n v="190801"/>
    <n v="190801"/>
    <m/>
    <n v="2"/>
    <n v="190801"/>
    <n v="40000"/>
  </r>
  <r>
    <x v="134"/>
    <x v="1"/>
    <m/>
    <x v="0"/>
    <x v="1"/>
    <x v="16"/>
    <n v="190801"/>
    <n v="190801"/>
    <m/>
    <n v="19"/>
    <n v="190801"/>
    <n v="665000"/>
  </r>
  <r>
    <x v="134"/>
    <x v="1"/>
    <m/>
    <x v="18"/>
    <x v="2"/>
    <x v="19"/>
    <n v="190801"/>
    <n v="190801"/>
    <m/>
    <n v="1"/>
    <n v="190801"/>
    <n v="4000"/>
  </r>
  <r>
    <x v="134"/>
    <x v="1"/>
    <m/>
    <x v="1"/>
    <x v="2"/>
    <x v="18"/>
    <n v="190801"/>
    <n v="190801"/>
    <m/>
    <n v="4"/>
    <n v="190801"/>
    <n v="80000"/>
  </r>
  <r>
    <x v="134"/>
    <x v="1"/>
    <m/>
    <x v="1"/>
    <x v="2"/>
    <x v="21"/>
    <n v="190801"/>
    <n v="190801"/>
    <m/>
    <n v="1"/>
    <n v="190801"/>
    <n v="35000"/>
  </r>
  <r>
    <x v="134"/>
    <x v="1"/>
    <m/>
    <x v="0"/>
    <x v="2"/>
    <x v="15"/>
    <n v="190801"/>
    <n v="190801"/>
    <m/>
    <n v="94"/>
    <n v="190801"/>
    <n v="1880000"/>
  </r>
  <r>
    <x v="134"/>
    <x v="1"/>
    <m/>
    <x v="0"/>
    <x v="2"/>
    <x v="16"/>
    <n v="190801"/>
    <n v="190801"/>
    <m/>
    <n v="182"/>
    <n v="190801"/>
    <n v="6370000"/>
  </r>
  <r>
    <x v="134"/>
    <x v="1"/>
    <m/>
    <x v="0"/>
    <x v="2"/>
    <x v="17"/>
    <n v="190801"/>
    <n v="190801"/>
    <m/>
    <n v="46"/>
    <n v="190801"/>
    <n v="1518000"/>
  </r>
  <r>
    <x v="134"/>
    <x v="1"/>
    <m/>
    <x v="0"/>
    <x v="2"/>
    <x v="19"/>
    <n v="190801"/>
    <n v="190801"/>
    <m/>
    <n v="86"/>
    <n v="190801"/>
    <n v="258000"/>
  </r>
  <r>
    <x v="134"/>
    <x v="1"/>
    <m/>
    <x v="19"/>
    <x v="2"/>
    <x v="22"/>
    <n v="190801"/>
    <n v="190801"/>
    <m/>
    <n v="11"/>
    <n v="190801"/>
    <n v="143000"/>
  </r>
  <r>
    <x v="134"/>
    <x v="1"/>
    <m/>
    <x v="19"/>
    <x v="2"/>
    <x v="24"/>
    <n v="190801"/>
    <n v="190801"/>
    <m/>
    <n v="1"/>
    <n v="190801"/>
    <n v="33000"/>
  </r>
  <r>
    <x v="134"/>
    <x v="1"/>
    <m/>
    <x v="0"/>
    <x v="4"/>
    <x v="15"/>
    <n v="190801"/>
    <n v="190801"/>
    <m/>
    <n v="12"/>
    <n v="190801"/>
    <n v="378000"/>
  </r>
  <r>
    <x v="134"/>
    <x v="1"/>
    <m/>
    <x v="0"/>
    <x v="4"/>
    <x v="16"/>
    <n v="190801"/>
    <n v="190801"/>
    <m/>
    <n v="4"/>
    <n v="190801"/>
    <n v="176000"/>
  </r>
  <r>
    <x v="135"/>
    <x v="0"/>
    <m/>
    <x v="0"/>
    <x v="1"/>
    <x v="16"/>
    <n v="190801"/>
    <n v="190801"/>
    <m/>
    <n v="16"/>
    <n v="190801"/>
    <n v="560000"/>
  </r>
  <r>
    <x v="135"/>
    <x v="0"/>
    <m/>
    <x v="0"/>
    <x v="3"/>
    <x v="15"/>
    <n v="190801"/>
    <n v="190801"/>
    <m/>
    <n v="10"/>
    <n v="190801"/>
    <n v="0"/>
  </r>
  <r>
    <x v="135"/>
    <x v="0"/>
    <m/>
    <x v="19"/>
    <x v="3"/>
    <x v="22"/>
    <n v="190801"/>
    <n v="190801"/>
    <m/>
    <n v="8"/>
    <n v="190801"/>
    <n v="0"/>
  </r>
  <r>
    <x v="135"/>
    <x v="0"/>
    <m/>
    <x v="18"/>
    <x v="3"/>
    <x v="19"/>
    <n v="190801"/>
    <n v="190801"/>
    <m/>
    <n v="8"/>
    <n v="190801"/>
    <n v="0"/>
  </r>
  <r>
    <x v="135"/>
    <x v="0"/>
    <m/>
    <x v="1"/>
    <x v="2"/>
    <x v="18"/>
    <n v="190801"/>
    <n v="190801"/>
    <m/>
    <n v="11"/>
    <n v="190801"/>
    <n v="220000"/>
  </r>
  <r>
    <x v="135"/>
    <x v="0"/>
    <m/>
    <x v="1"/>
    <x v="2"/>
    <x v="21"/>
    <n v="190801"/>
    <n v="190801"/>
    <m/>
    <n v="2"/>
    <n v="190801"/>
    <n v="70000"/>
  </r>
  <r>
    <x v="135"/>
    <x v="0"/>
    <m/>
    <x v="0"/>
    <x v="2"/>
    <x v="15"/>
    <n v="190801"/>
    <n v="190801"/>
    <m/>
    <n v="73"/>
    <n v="190801"/>
    <n v="1460000"/>
  </r>
  <r>
    <x v="135"/>
    <x v="0"/>
    <m/>
    <x v="0"/>
    <x v="2"/>
    <x v="16"/>
    <n v="190801"/>
    <n v="190801"/>
    <m/>
    <n v="57"/>
    <n v="190801"/>
    <n v="1995000"/>
  </r>
  <r>
    <x v="135"/>
    <x v="0"/>
    <m/>
    <x v="0"/>
    <x v="2"/>
    <x v="17"/>
    <n v="190801"/>
    <n v="190801"/>
    <m/>
    <n v="39"/>
    <n v="190801"/>
    <n v="1287000"/>
  </r>
  <r>
    <x v="135"/>
    <x v="0"/>
    <m/>
    <x v="0"/>
    <x v="2"/>
    <x v="19"/>
    <n v="190801"/>
    <n v="190801"/>
    <m/>
    <n v="65"/>
    <n v="190801"/>
    <n v="195000"/>
  </r>
  <r>
    <x v="135"/>
    <x v="0"/>
    <m/>
    <x v="19"/>
    <x v="2"/>
    <x v="22"/>
    <n v="190801"/>
    <n v="190801"/>
    <m/>
    <n v="14"/>
    <n v="190801"/>
    <n v="182000"/>
  </r>
  <r>
    <x v="135"/>
    <x v="0"/>
    <m/>
    <x v="0"/>
    <x v="4"/>
    <x v="15"/>
    <n v="190801"/>
    <n v="190801"/>
    <m/>
    <n v="3"/>
    <n v="190801"/>
    <n v="94500"/>
  </r>
  <r>
    <x v="135"/>
    <x v="0"/>
    <m/>
    <x v="0"/>
    <x v="4"/>
    <x v="16"/>
    <n v="190801"/>
    <n v="190801"/>
    <m/>
    <n v="1"/>
    <n v="190801"/>
    <n v="44000"/>
  </r>
  <r>
    <x v="136"/>
    <x v="2"/>
    <m/>
    <x v="0"/>
    <x v="1"/>
    <x v="16"/>
    <n v="190801"/>
    <n v="190801"/>
    <m/>
    <n v="9"/>
    <n v="190801"/>
    <n v="315000"/>
  </r>
  <r>
    <x v="136"/>
    <x v="2"/>
    <m/>
    <x v="0"/>
    <x v="7"/>
    <x v="15"/>
    <n v="190801"/>
    <n v="190801"/>
    <m/>
    <n v="11"/>
    <n v="190801"/>
    <n v="220000"/>
  </r>
  <r>
    <x v="136"/>
    <x v="2"/>
    <m/>
    <x v="1"/>
    <x v="2"/>
    <x v="18"/>
    <n v="190801"/>
    <n v="190801"/>
    <m/>
    <n v="4"/>
    <n v="190801"/>
    <n v="80000"/>
  </r>
  <r>
    <x v="136"/>
    <x v="2"/>
    <m/>
    <x v="1"/>
    <x v="2"/>
    <x v="21"/>
    <n v="190801"/>
    <n v="190801"/>
    <m/>
    <n v="4"/>
    <n v="190801"/>
    <n v="140000"/>
  </r>
  <r>
    <x v="136"/>
    <x v="2"/>
    <m/>
    <x v="0"/>
    <x v="2"/>
    <x v="15"/>
    <n v="190801"/>
    <n v="190801"/>
    <m/>
    <n v="64"/>
    <n v="190801"/>
    <n v="1280000"/>
  </r>
  <r>
    <x v="136"/>
    <x v="2"/>
    <m/>
    <x v="0"/>
    <x v="2"/>
    <x v="16"/>
    <n v="190801"/>
    <n v="190801"/>
    <m/>
    <n v="37"/>
    <n v="190801"/>
    <n v="1295000"/>
  </r>
  <r>
    <x v="136"/>
    <x v="2"/>
    <m/>
    <x v="0"/>
    <x v="2"/>
    <x v="17"/>
    <n v="190801"/>
    <n v="190801"/>
    <m/>
    <n v="31"/>
    <n v="190801"/>
    <n v="1023000"/>
  </r>
  <r>
    <x v="136"/>
    <x v="2"/>
    <m/>
    <x v="0"/>
    <x v="2"/>
    <x v="19"/>
    <n v="190801"/>
    <n v="190801"/>
    <m/>
    <n v="51"/>
    <n v="190801"/>
    <n v="153000"/>
  </r>
  <r>
    <x v="136"/>
    <x v="2"/>
    <m/>
    <x v="19"/>
    <x v="2"/>
    <x v="22"/>
    <n v="190801"/>
    <n v="190801"/>
    <m/>
    <n v="7"/>
    <n v="190801"/>
    <n v="91000"/>
  </r>
  <r>
    <x v="136"/>
    <x v="2"/>
    <m/>
    <x v="19"/>
    <x v="2"/>
    <x v="23"/>
    <n v="190801"/>
    <n v="190801"/>
    <m/>
    <n v="2"/>
    <n v="190801"/>
    <n v="48000"/>
  </r>
  <r>
    <x v="136"/>
    <x v="2"/>
    <m/>
    <x v="19"/>
    <x v="2"/>
    <x v="24"/>
    <n v="190801"/>
    <n v="190801"/>
    <m/>
    <n v="1"/>
    <n v="190801"/>
    <n v="33000"/>
  </r>
  <r>
    <x v="136"/>
    <x v="2"/>
    <m/>
    <x v="0"/>
    <x v="4"/>
    <x v="15"/>
    <n v="190801"/>
    <n v="190801"/>
    <m/>
    <n v="2"/>
    <n v="190801"/>
    <n v="63000"/>
  </r>
  <r>
    <x v="136"/>
    <x v="2"/>
    <m/>
    <x v="0"/>
    <x v="4"/>
    <x v="16"/>
    <n v="190801"/>
    <n v="190801"/>
    <m/>
    <n v="2"/>
    <n v="190801"/>
    <n v="88000"/>
  </r>
  <r>
    <x v="137"/>
    <x v="5"/>
    <m/>
    <x v="0"/>
    <x v="7"/>
    <x v="15"/>
    <n v="190801"/>
    <n v="190801"/>
    <m/>
    <n v="12"/>
    <n v="190801"/>
    <n v="240000"/>
  </r>
  <r>
    <x v="137"/>
    <x v="5"/>
    <m/>
    <x v="1"/>
    <x v="2"/>
    <x v="18"/>
    <n v="190801"/>
    <n v="190801"/>
    <m/>
    <n v="6"/>
    <n v="190801"/>
    <n v="120000"/>
  </r>
  <r>
    <x v="137"/>
    <x v="5"/>
    <m/>
    <x v="0"/>
    <x v="2"/>
    <x v="15"/>
    <n v="190801"/>
    <n v="190801"/>
    <m/>
    <n v="40"/>
    <n v="190801"/>
    <n v="800000"/>
  </r>
  <r>
    <x v="137"/>
    <x v="5"/>
    <m/>
    <x v="0"/>
    <x v="2"/>
    <x v="16"/>
    <n v="190801"/>
    <n v="190801"/>
    <m/>
    <n v="40"/>
    <n v="190801"/>
    <n v="1400000"/>
  </r>
  <r>
    <x v="137"/>
    <x v="5"/>
    <m/>
    <x v="0"/>
    <x v="2"/>
    <x v="17"/>
    <n v="190801"/>
    <n v="190801"/>
    <m/>
    <n v="25"/>
    <n v="190801"/>
    <n v="825000"/>
  </r>
  <r>
    <x v="137"/>
    <x v="5"/>
    <m/>
    <x v="0"/>
    <x v="2"/>
    <x v="19"/>
    <n v="190801"/>
    <n v="190801"/>
    <m/>
    <n v="38"/>
    <n v="190801"/>
    <n v="114000"/>
  </r>
  <r>
    <x v="137"/>
    <x v="5"/>
    <m/>
    <x v="19"/>
    <x v="2"/>
    <x v="22"/>
    <n v="190801"/>
    <n v="190801"/>
    <m/>
    <n v="6"/>
    <n v="190801"/>
    <n v="78000"/>
  </r>
  <r>
    <x v="137"/>
    <x v="5"/>
    <m/>
    <x v="19"/>
    <x v="2"/>
    <x v="23"/>
    <n v="190801"/>
    <n v="190801"/>
    <m/>
    <n v="1"/>
    <n v="190801"/>
    <n v="24000"/>
  </r>
  <r>
    <x v="137"/>
    <x v="5"/>
    <m/>
    <x v="19"/>
    <x v="2"/>
    <x v="24"/>
    <n v="190801"/>
    <n v="190801"/>
    <m/>
    <n v="1"/>
    <n v="190801"/>
    <n v="33000"/>
  </r>
  <r>
    <x v="138"/>
    <x v="6"/>
    <m/>
    <x v="0"/>
    <x v="7"/>
    <x v="15"/>
    <n v="190801"/>
    <n v="190801"/>
    <m/>
    <n v="6"/>
    <n v="190801"/>
    <n v="120000"/>
  </r>
  <r>
    <x v="138"/>
    <x v="6"/>
    <m/>
    <x v="1"/>
    <x v="2"/>
    <x v="18"/>
    <n v="190801"/>
    <n v="190801"/>
    <m/>
    <n v="11"/>
    <n v="190801"/>
    <n v="220000"/>
  </r>
  <r>
    <x v="138"/>
    <x v="6"/>
    <m/>
    <x v="1"/>
    <x v="2"/>
    <x v="21"/>
    <n v="190801"/>
    <n v="190801"/>
    <m/>
    <n v="3"/>
    <n v="190801"/>
    <n v="105000"/>
  </r>
  <r>
    <x v="138"/>
    <x v="6"/>
    <m/>
    <x v="0"/>
    <x v="2"/>
    <x v="15"/>
    <n v="190801"/>
    <n v="190801"/>
    <m/>
    <n v="39"/>
    <n v="190801"/>
    <n v="780000"/>
  </r>
  <r>
    <x v="138"/>
    <x v="6"/>
    <m/>
    <x v="0"/>
    <x v="2"/>
    <x v="16"/>
    <n v="190801"/>
    <n v="190801"/>
    <m/>
    <n v="30"/>
    <n v="190801"/>
    <n v="1050000"/>
  </r>
  <r>
    <x v="138"/>
    <x v="6"/>
    <m/>
    <x v="0"/>
    <x v="2"/>
    <x v="17"/>
    <n v="190801"/>
    <n v="190801"/>
    <m/>
    <n v="33"/>
    <n v="190801"/>
    <n v="1089000"/>
  </r>
  <r>
    <x v="138"/>
    <x v="6"/>
    <m/>
    <x v="0"/>
    <x v="2"/>
    <x v="19"/>
    <n v="190801"/>
    <n v="190801"/>
    <m/>
    <n v="57"/>
    <n v="190801"/>
    <n v="171000"/>
  </r>
  <r>
    <x v="138"/>
    <x v="6"/>
    <m/>
    <x v="19"/>
    <x v="2"/>
    <x v="22"/>
    <n v="190801"/>
    <n v="190801"/>
    <m/>
    <n v="8"/>
    <n v="190801"/>
    <n v="104000"/>
  </r>
  <r>
    <x v="138"/>
    <x v="6"/>
    <m/>
    <x v="19"/>
    <x v="2"/>
    <x v="23"/>
    <n v="190801"/>
    <n v="190801"/>
    <m/>
    <n v="1"/>
    <n v="190801"/>
    <n v="24000"/>
  </r>
  <r>
    <x v="131"/>
    <x v="6"/>
    <m/>
    <x v="0"/>
    <x v="6"/>
    <x v="15"/>
    <n v="190801"/>
    <n v="190801"/>
    <m/>
    <n v="419"/>
    <n v="190801"/>
    <n v="3799492"/>
  </r>
  <r>
    <x v="131"/>
    <x v="6"/>
    <m/>
    <x v="19"/>
    <x v="6"/>
    <x v="22"/>
    <n v="190801"/>
    <n v="190801"/>
    <m/>
    <n v="3"/>
    <n v="190801"/>
    <n v="20373"/>
  </r>
  <r>
    <x v="138"/>
    <x v="6"/>
    <m/>
    <x v="0"/>
    <x v="6"/>
    <x v="15"/>
    <n v="190801"/>
    <n v="190801"/>
    <m/>
    <n v="551"/>
    <n v="190801"/>
    <n v="4996468"/>
  </r>
  <r>
    <x v="138"/>
    <x v="6"/>
    <m/>
    <x v="19"/>
    <x v="6"/>
    <x v="22"/>
    <n v="190801"/>
    <n v="190801"/>
    <m/>
    <n v="8"/>
    <n v="190801"/>
    <n v="54328"/>
  </r>
  <r>
    <x v="138"/>
    <x v="6"/>
    <m/>
    <x v="1"/>
    <x v="6"/>
    <x v="18"/>
    <n v="190801"/>
    <n v="190801"/>
    <m/>
    <n v="5"/>
    <n v="190801"/>
    <n v="46025"/>
  </r>
  <r>
    <x v="139"/>
    <x v="3"/>
    <m/>
    <x v="0"/>
    <x v="1"/>
    <x v="15"/>
    <n v="190801"/>
    <n v="190801"/>
    <m/>
    <n v="1"/>
    <n v="190801"/>
    <n v="20000"/>
  </r>
  <r>
    <x v="139"/>
    <x v="3"/>
    <m/>
    <x v="0"/>
    <x v="1"/>
    <x v="16"/>
    <n v="190801"/>
    <n v="190801"/>
    <m/>
    <n v="136"/>
    <n v="190801"/>
    <n v="4760000"/>
  </r>
  <r>
    <x v="139"/>
    <x v="3"/>
    <m/>
    <x v="0"/>
    <x v="7"/>
    <x v="15"/>
    <n v="190801"/>
    <n v="190801"/>
    <m/>
    <n v="11"/>
    <n v="190801"/>
    <n v="220000"/>
  </r>
  <r>
    <x v="139"/>
    <x v="3"/>
    <m/>
    <x v="0"/>
    <x v="3"/>
    <x v="15"/>
    <n v="190801"/>
    <n v="190801"/>
    <m/>
    <n v="2"/>
    <n v="190801"/>
    <n v="0"/>
  </r>
  <r>
    <x v="139"/>
    <x v="3"/>
    <m/>
    <x v="19"/>
    <x v="3"/>
    <x v="22"/>
    <n v="190801"/>
    <n v="190801"/>
    <m/>
    <n v="2"/>
    <n v="190801"/>
    <n v="0"/>
  </r>
  <r>
    <x v="139"/>
    <x v="3"/>
    <m/>
    <x v="0"/>
    <x v="3"/>
    <x v="19"/>
    <n v="190801"/>
    <n v="190801"/>
    <m/>
    <n v="1"/>
    <n v="190801"/>
    <n v="0"/>
  </r>
  <r>
    <x v="139"/>
    <x v="3"/>
    <m/>
    <x v="18"/>
    <x v="2"/>
    <x v="19"/>
    <n v="190801"/>
    <n v="190801"/>
    <m/>
    <n v="4"/>
    <n v="190801"/>
    <n v="16000"/>
  </r>
  <r>
    <x v="139"/>
    <x v="3"/>
    <m/>
    <x v="1"/>
    <x v="2"/>
    <x v="18"/>
    <n v="190801"/>
    <n v="190801"/>
    <m/>
    <n v="12"/>
    <n v="190801"/>
    <n v="240000"/>
  </r>
  <r>
    <x v="139"/>
    <x v="3"/>
    <m/>
    <x v="0"/>
    <x v="2"/>
    <x v="15"/>
    <n v="190801"/>
    <n v="190801"/>
    <m/>
    <n v="37"/>
    <n v="190801"/>
    <n v="740000"/>
  </r>
  <r>
    <x v="139"/>
    <x v="3"/>
    <m/>
    <x v="0"/>
    <x v="2"/>
    <x v="16"/>
    <n v="190801"/>
    <n v="190801"/>
    <m/>
    <n v="44"/>
    <n v="190801"/>
    <n v="1540000"/>
  </r>
  <r>
    <x v="139"/>
    <x v="3"/>
    <m/>
    <x v="0"/>
    <x v="2"/>
    <x v="17"/>
    <n v="190801"/>
    <n v="190801"/>
    <m/>
    <n v="45"/>
    <n v="190801"/>
    <n v="1485000"/>
  </r>
  <r>
    <x v="139"/>
    <x v="3"/>
    <m/>
    <x v="0"/>
    <x v="2"/>
    <x v="19"/>
    <n v="190801"/>
    <n v="190801"/>
    <m/>
    <n v="64"/>
    <n v="190801"/>
    <n v="192000"/>
  </r>
  <r>
    <x v="139"/>
    <x v="3"/>
    <m/>
    <x v="19"/>
    <x v="2"/>
    <x v="22"/>
    <n v="190801"/>
    <n v="190801"/>
    <m/>
    <n v="4"/>
    <n v="190801"/>
    <n v="52000"/>
  </r>
  <r>
    <x v="139"/>
    <x v="3"/>
    <m/>
    <x v="19"/>
    <x v="2"/>
    <x v="23"/>
    <n v="190801"/>
    <n v="190801"/>
    <m/>
    <n v="4"/>
    <n v="190801"/>
    <n v="96000"/>
  </r>
  <r>
    <x v="139"/>
    <x v="3"/>
    <m/>
    <x v="0"/>
    <x v="4"/>
    <x v="15"/>
    <n v="190801"/>
    <n v="190801"/>
    <m/>
    <n v="24"/>
    <n v="190801"/>
    <n v="756000"/>
  </r>
  <r>
    <x v="139"/>
    <x v="3"/>
    <m/>
    <x v="0"/>
    <x v="4"/>
    <x v="16"/>
    <n v="190801"/>
    <n v="190801"/>
    <m/>
    <n v="10"/>
    <n v="190801"/>
    <n v="440000"/>
  </r>
  <r>
    <x v="139"/>
    <x v="3"/>
    <m/>
    <x v="1"/>
    <x v="4"/>
    <x v="18"/>
    <n v="190801"/>
    <n v="190801"/>
    <m/>
    <n v="1"/>
    <n v="190801"/>
    <n v="31500"/>
  </r>
  <r>
    <x v="140"/>
    <x v="4"/>
    <m/>
    <x v="0"/>
    <x v="1"/>
    <x v="16"/>
    <n v="190801"/>
    <n v="190801"/>
    <m/>
    <n v="7"/>
    <n v="190801"/>
    <n v="245000"/>
  </r>
  <r>
    <x v="140"/>
    <x v="4"/>
    <m/>
    <x v="0"/>
    <x v="7"/>
    <x v="15"/>
    <n v="190801"/>
    <n v="190801"/>
    <m/>
    <n v="36"/>
    <n v="190801"/>
    <n v="720000"/>
  </r>
  <r>
    <x v="140"/>
    <x v="4"/>
    <m/>
    <x v="0"/>
    <x v="3"/>
    <x v="15"/>
    <n v="190801"/>
    <n v="190801"/>
    <m/>
    <n v="1"/>
    <n v="190801"/>
    <n v="0"/>
  </r>
  <r>
    <x v="140"/>
    <x v="4"/>
    <m/>
    <x v="1"/>
    <x v="3"/>
    <x v="18"/>
    <n v="190801"/>
    <n v="190801"/>
    <m/>
    <n v="1"/>
    <n v="190801"/>
    <n v="0"/>
  </r>
  <r>
    <x v="140"/>
    <x v="4"/>
    <m/>
    <x v="18"/>
    <x v="2"/>
    <x v="19"/>
    <n v="190801"/>
    <n v="190801"/>
    <m/>
    <n v="2"/>
    <n v="190801"/>
    <n v="8000"/>
  </r>
  <r>
    <x v="140"/>
    <x v="4"/>
    <m/>
    <x v="1"/>
    <x v="2"/>
    <x v="18"/>
    <n v="190801"/>
    <n v="190801"/>
    <m/>
    <n v="11"/>
    <n v="190801"/>
    <n v="220000"/>
  </r>
  <r>
    <x v="140"/>
    <x v="4"/>
    <m/>
    <x v="1"/>
    <x v="2"/>
    <x v="21"/>
    <n v="190801"/>
    <n v="190801"/>
    <m/>
    <n v="4"/>
    <n v="190801"/>
    <n v="140000"/>
  </r>
  <r>
    <x v="140"/>
    <x v="4"/>
    <m/>
    <x v="0"/>
    <x v="2"/>
    <x v="15"/>
    <n v="190801"/>
    <n v="190801"/>
    <m/>
    <n v="99"/>
    <n v="190801"/>
    <n v="1980000"/>
  </r>
  <r>
    <x v="140"/>
    <x v="4"/>
    <m/>
    <x v="0"/>
    <x v="2"/>
    <x v="16"/>
    <n v="190801"/>
    <n v="190801"/>
    <m/>
    <n v="189"/>
    <n v="190801"/>
    <n v="6615000"/>
  </r>
  <r>
    <x v="140"/>
    <x v="4"/>
    <m/>
    <x v="0"/>
    <x v="2"/>
    <x v="17"/>
    <n v="190801"/>
    <n v="190801"/>
    <m/>
    <n v="32"/>
    <n v="190801"/>
    <n v="1056000"/>
  </r>
  <r>
    <x v="140"/>
    <x v="4"/>
    <m/>
    <x v="0"/>
    <x v="2"/>
    <x v="19"/>
    <n v="190801"/>
    <n v="190801"/>
    <m/>
    <n v="89"/>
    <n v="190801"/>
    <n v="267000"/>
  </r>
  <r>
    <x v="140"/>
    <x v="4"/>
    <m/>
    <x v="19"/>
    <x v="2"/>
    <x v="22"/>
    <n v="190801"/>
    <n v="190801"/>
    <m/>
    <n v="17"/>
    <n v="190801"/>
    <n v="221000"/>
  </r>
  <r>
    <x v="140"/>
    <x v="4"/>
    <m/>
    <x v="19"/>
    <x v="2"/>
    <x v="23"/>
    <n v="190801"/>
    <n v="190801"/>
    <m/>
    <n v="2"/>
    <n v="190801"/>
    <n v="48000"/>
  </r>
  <r>
    <x v="140"/>
    <x v="4"/>
    <m/>
    <x v="0"/>
    <x v="4"/>
    <x v="15"/>
    <n v="190801"/>
    <n v="190801"/>
    <m/>
    <n v="8"/>
    <n v="190801"/>
    <n v="252000"/>
  </r>
  <r>
    <x v="140"/>
    <x v="4"/>
    <m/>
    <x v="0"/>
    <x v="4"/>
    <x v="16"/>
    <n v="190801"/>
    <n v="190801"/>
    <m/>
    <n v="5"/>
    <n v="190801"/>
    <n v="220000"/>
  </r>
  <r>
    <x v="141"/>
    <x v="1"/>
    <m/>
    <x v="0"/>
    <x v="1"/>
    <x v="15"/>
    <n v="190801"/>
    <n v="190801"/>
    <m/>
    <n v="29"/>
    <n v="190801"/>
    <n v="580000"/>
  </r>
  <r>
    <x v="141"/>
    <x v="1"/>
    <m/>
    <x v="0"/>
    <x v="1"/>
    <x v="16"/>
    <n v="190801"/>
    <n v="190801"/>
    <m/>
    <n v="5"/>
    <n v="190801"/>
    <n v="175000"/>
  </r>
  <r>
    <x v="141"/>
    <x v="1"/>
    <m/>
    <x v="0"/>
    <x v="7"/>
    <x v="15"/>
    <n v="190801"/>
    <n v="190801"/>
    <m/>
    <n v="59"/>
    <n v="190801"/>
    <n v="1180000"/>
  </r>
  <r>
    <x v="141"/>
    <x v="1"/>
    <m/>
    <x v="18"/>
    <x v="2"/>
    <x v="19"/>
    <n v="190801"/>
    <n v="190801"/>
    <m/>
    <n v="2"/>
    <n v="190801"/>
    <n v="8000"/>
  </r>
  <r>
    <x v="141"/>
    <x v="1"/>
    <m/>
    <x v="1"/>
    <x v="2"/>
    <x v="18"/>
    <n v="190801"/>
    <n v="190801"/>
    <m/>
    <n v="10"/>
    <n v="190801"/>
    <n v="200000"/>
  </r>
  <r>
    <x v="141"/>
    <x v="1"/>
    <m/>
    <x v="1"/>
    <x v="2"/>
    <x v="21"/>
    <n v="190801"/>
    <n v="190801"/>
    <m/>
    <n v="2"/>
    <n v="190801"/>
    <n v="70000"/>
  </r>
  <r>
    <x v="141"/>
    <x v="1"/>
    <m/>
    <x v="0"/>
    <x v="2"/>
    <x v="15"/>
    <n v="190801"/>
    <n v="190801"/>
    <m/>
    <n v="163"/>
    <n v="190801"/>
    <n v="3260000"/>
  </r>
  <r>
    <x v="141"/>
    <x v="1"/>
    <m/>
    <x v="0"/>
    <x v="2"/>
    <x v="16"/>
    <n v="190801"/>
    <n v="190801"/>
    <m/>
    <n v="233"/>
    <n v="190801"/>
    <n v="8155000"/>
  </r>
  <r>
    <x v="141"/>
    <x v="1"/>
    <m/>
    <x v="0"/>
    <x v="2"/>
    <x v="17"/>
    <n v="190801"/>
    <n v="190801"/>
    <m/>
    <n v="111"/>
    <n v="190801"/>
    <n v="3663000"/>
  </r>
  <r>
    <x v="141"/>
    <x v="1"/>
    <m/>
    <x v="0"/>
    <x v="2"/>
    <x v="19"/>
    <n v="190801"/>
    <n v="190801"/>
    <m/>
    <n v="81"/>
    <n v="190801"/>
    <n v="243000"/>
  </r>
  <r>
    <x v="141"/>
    <x v="1"/>
    <m/>
    <x v="19"/>
    <x v="2"/>
    <x v="22"/>
    <n v="190801"/>
    <n v="190801"/>
    <m/>
    <n v="41"/>
    <n v="190801"/>
    <n v="533000"/>
  </r>
  <r>
    <x v="141"/>
    <x v="1"/>
    <m/>
    <x v="19"/>
    <x v="2"/>
    <x v="23"/>
    <n v="190801"/>
    <n v="190801"/>
    <m/>
    <n v="2"/>
    <n v="190801"/>
    <n v="48000"/>
  </r>
  <r>
    <x v="141"/>
    <x v="1"/>
    <m/>
    <x v="0"/>
    <x v="4"/>
    <x v="15"/>
    <n v="190801"/>
    <n v="190801"/>
    <m/>
    <n v="10"/>
    <n v="190801"/>
    <n v="315000"/>
  </r>
  <r>
    <x v="141"/>
    <x v="1"/>
    <m/>
    <x v="0"/>
    <x v="4"/>
    <x v="16"/>
    <n v="190801"/>
    <n v="190801"/>
    <m/>
    <n v="5"/>
    <n v="190801"/>
    <n v="220000"/>
  </r>
  <r>
    <x v="142"/>
    <x v="0"/>
    <m/>
    <x v="0"/>
    <x v="1"/>
    <x v="15"/>
    <n v="190801"/>
    <n v="190801"/>
    <m/>
    <n v="23"/>
    <n v="190801"/>
    <n v="460000"/>
  </r>
  <r>
    <x v="142"/>
    <x v="0"/>
    <m/>
    <x v="0"/>
    <x v="1"/>
    <x v="16"/>
    <n v="190801"/>
    <n v="190801"/>
    <m/>
    <n v="17"/>
    <n v="190801"/>
    <n v="595000"/>
  </r>
  <r>
    <x v="142"/>
    <x v="0"/>
    <m/>
    <x v="0"/>
    <x v="7"/>
    <x v="15"/>
    <n v="190801"/>
    <n v="190801"/>
    <m/>
    <n v="45"/>
    <n v="190801"/>
    <n v="900000"/>
  </r>
  <r>
    <x v="142"/>
    <x v="0"/>
    <m/>
    <x v="0"/>
    <x v="5"/>
    <x v="15"/>
    <n v="190801"/>
    <n v="190801"/>
    <m/>
    <n v="20"/>
    <n v="190801"/>
    <n v="204540"/>
  </r>
  <r>
    <x v="142"/>
    <x v="0"/>
    <m/>
    <x v="1"/>
    <x v="2"/>
    <x v="18"/>
    <n v="190801"/>
    <n v="190801"/>
    <m/>
    <n v="18"/>
    <n v="190801"/>
    <n v="360000"/>
  </r>
  <r>
    <x v="142"/>
    <x v="0"/>
    <m/>
    <x v="1"/>
    <x v="2"/>
    <x v="21"/>
    <n v="190801"/>
    <n v="190801"/>
    <m/>
    <n v="5"/>
    <n v="190801"/>
    <n v="175000"/>
  </r>
  <r>
    <x v="142"/>
    <x v="0"/>
    <m/>
    <x v="0"/>
    <x v="2"/>
    <x v="15"/>
    <n v="190801"/>
    <n v="190801"/>
    <m/>
    <n v="125"/>
    <n v="190801"/>
    <n v="2500000"/>
  </r>
  <r>
    <x v="142"/>
    <x v="0"/>
    <m/>
    <x v="0"/>
    <x v="2"/>
    <x v="16"/>
    <n v="190801"/>
    <n v="190801"/>
    <m/>
    <n v="169"/>
    <n v="190801"/>
    <n v="5915000"/>
  </r>
  <r>
    <x v="142"/>
    <x v="0"/>
    <m/>
    <x v="0"/>
    <x v="2"/>
    <x v="17"/>
    <n v="190801"/>
    <n v="190801"/>
    <m/>
    <n v="117"/>
    <n v="190801"/>
    <n v="3861000"/>
  </r>
  <r>
    <x v="142"/>
    <x v="0"/>
    <m/>
    <x v="0"/>
    <x v="2"/>
    <x v="19"/>
    <n v="190801"/>
    <n v="190801"/>
    <m/>
    <n v="19"/>
    <n v="190801"/>
    <n v="57000"/>
  </r>
  <r>
    <x v="142"/>
    <x v="0"/>
    <m/>
    <x v="19"/>
    <x v="2"/>
    <x v="22"/>
    <n v="190801"/>
    <n v="190801"/>
    <m/>
    <n v="26"/>
    <n v="190801"/>
    <n v="338000"/>
  </r>
  <r>
    <x v="142"/>
    <x v="0"/>
    <m/>
    <x v="19"/>
    <x v="2"/>
    <x v="23"/>
    <n v="190801"/>
    <n v="190801"/>
    <m/>
    <n v="1"/>
    <n v="190801"/>
    <n v="24000"/>
  </r>
  <r>
    <x v="142"/>
    <x v="0"/>
    <m/>
    <x v="19"/>
    <x v="2"/>
    <x v="24"/>
    <n v="190801"/>
    <n v="190801"/>
    <m/>
    <n v="2"/>
    <n v="190801"/>
    <n v="66000"/>
  </r>
  <r>
    <x v="142"/>
    <x v="0"/>
    <m/>
    <x v="0"/>
    <x v="4"/>
    <x v="15"/>
    <n v="190801"/>
    <n v="190801"/>
    <m/>
    <n v="9"/>
    <n v="190801"/>
    <n v="283500"/>
  </r>
  <r>
    <x v="142"/>
    <x v="0"/>
    <m/>
    <x v="0"/>
    <x v="4"/>
    <x v="16"/>
    <n v="190801"/>
    <n v="190801"/>
    <m/>
    <n v="4"/>
    <n v="190801"/>
    <n v="176000"/>
  </r>
  <r>
    <x v="143"/>
    <x v="2"/>
    <m/>
    <x v="0"/>
    <x v="1"/>
    <x v="15"/>
    <n v="190801"/>
    <n v="190801"/>
    <m/>
    <n v="9"/>
    <n v="190801"/>
    <n v="180000"/>
  </r>
  <r>
    <x v="143"/>
    <x v="2"/>
    <m/>
    <x v="0"/>
    <x v="1"/>
    <x v="16"/>
    <n v="190801"/>
    <n v="190801"/>
    <m/>
    <n v="20"/>
    <n v="190801"/>
    <n v="700000"/>
  </r>
  <r>
    <x v="143"/>
    <x v="2"/>
    <m/>
    <x v="0"/>
    <x v="7"/>
    <x v="15"/>
    <n v="190801"/>
    <n v="190801"/>
    <m/>
    <n v="31"/>
    <n v="190801"/>
    <n v="620000"/>
  </r>
  <r>
    <x v="143"/>
    <x v="2"/>
    <m/>
    <x v="19"/>
    <x v="3"/>
    <x v="22"/>
    <n v="190801"/>
    <n v="190801"/>
    <m/>
    <n v="10"/>
    <n v="190801"/>
    <n v="0"/>
  </r>
  <r>
    <x v="143"/>
    <x v="2"/>
    <m/>
    <x v="0"/>
    <x v="2"/>
    <x v="15"/>
    <n v="190801"/>
    <n v="190801"/>
    <m/>
    <n v="84"/>
    <n v="190801"/>
    <n v="1680000"/>
  </r>
  <r>
    <x v="143"/>
    <x v="2"/>
    <m/>
    <x v="0"/>
    <x v="2"/>
    <x v="16"/>
    <n v="190801"/>
    <n v="190801"/>
    <m/>
    <n v="48"/>
    <n v="190801"/>
    <n v="1680000"/>
  </r>
  <r>
    <x v="143"/>
    <x v="2"/>
    <m/>
    <x v="0"/>
    <x v="2"/>
    <x v="17"/>
    <n v="190801"/>
    <n v="190801"/>
    <m/>
    <n v="85"/>
    <n v="190801"/>
    <n v="2805000"/>
  </r>
  <r>
    <x v="143"/>
    <x v="2"/>
    <m/>
    <x v="0"/>
    <x v="2"/>
    <x v="19"/>
    <n v="190801"/>
    <n v="190801"/>
    <m/>
    <n v="60"/>
    <n v="190801"/>
    <n v="180000"/>
  </r>
  <r>
    <x v="143"/>
    <x v="2"/>
    <m/>
    <x v="19"/>
    <x v="2"/>
    <x v="22"/>
    <n v="190801"/>
    <n v="190801"/>
    <m/>
    <n v="23"/>
    <n v="190801"/>
    <n v="299000"/>
  </r>
  <r>
    <x v="143"/>
    <x v="2"/>
    <m/>
    <x v="1"/>
    <x v="2"/>
    <x v="18"/>
    <n v="190801"/>
    <n v="190801"/>
    <m/>
    <n v="12"/>
    <n v="190801"/>
    <n v="240000"/>
  </r>
  <r>
    <x v="143"/>
    <x v="2"/>
    <m/>
    <x v="19"/>
    <x v="2"/>
    <x v="24"/>
    <n v="190801"/>
    <n v="190801"/>
    <m/>
    <n v="1"/>
    <n v="190801"/>
    <n v="33000"/>
  </r>
  <r>
    <x v="144"/>
    <x v="5"/>
    <m/>
    <x v="0"/>
    <x v="7"/>
    <x v="15"/>
    <n v="190801"/>
    <n v="190801"/>
    <m/>
    <n v="42"/>
    <n v="190801"/>
    <n v="840000"/>
  </r>
  <r>
    <x v="144"/>
    <x v="5"/>
    <m/>
    <x v="1"/>
    <x v="2"/>
    <x v="18"/>
    <n v="190801"/>
    <n v="190801"/>
    <m/>
    <n v="7"/>
    <n v="190801"/>
    <n v="140000"/>
  </r>
  <r>
    <x v="144"/>
    <x v="5"/>
    <m/>
    <x v="1"/>
    <x v="2"/>
    <x v="21"/>
    <n v="190801"/>
    <n v="190801"/>
    <m/>
    <n v="1"/>
    <n v="190801"/>
    <n v="35000"/>
  </r>
  <r>
    <x v="144"/>
    <x v="5"/>
    <m/>
    <x v="0"/>
    <x v="2"/>
    <x v="15"/>
    <n v="190801"/>
    <n v="190801"/>
    <m/>
    <n v="60"/>
    <n v="190801"/>
    <n v="1200000"/>
  </r>
  <r>
    <x v="144"/>
    <x v="5"/>
    <m/>
    <x v="0"/>
    <x v="2"/>
    <x v="16"/>
    <n v="190801"/>
    <n v="190801"/>
    <m/>
    <n v="58"/>
    <n v="190801"/>
    <n v="2030000"/>
  </r>
  <r>
    <x v="144"/>
    <x v="5"/>
    <m/>
    <x v="0"/>
    <x v="2"/>
    <x v="17"/>
    <n v="190801"/>
    <n v="190801"/>
    <m/>
    <n v="79"/>
    <n v="190801"/>
    <n v="2607000"/>
  </r>
  <r>
    <x v="144"/>
    <x v="5"/>
    <m/>
    <x v="0"/>
    <x v="2"/>
    <x v="19"/>
    <n v="190801"/>
    <n v="190801"/>
    <m/>
    <n v="32"/>
    <n v="190801"/>
    <n v="96000"/>
  </r>
  <r>
    <x v="144"/>
    <x v="5"/>
    <m/>
    <x v="19"/>
    <x v="2"/>
    <x v="22"/>
    <n v="190801"/>
    <n v="190801"/>
    <m/>
    <n v="22"/>
    <n v="190801"/>
    <n v="286000"/>
  </r>
  <r>
    <x v="144"/>
    <x v="5"/>
    <m/>
    <x v="19"/>
    <x v="2"/>
    <x v="24"/>
    <n v="190801"/>
    <n v="190801"/>
    <m/>
    <n v="1"/>
    <n v="190801"/>
    <n v="33000"/>
  </r>
  <r>
    <x v="145"/>
    <x v="6"/>
    <m/>
    <x v="0"/>
    <x v="7"/>
    <x v="15"/>
    <n v="190801"/>
    <n v="190801"/>
    <m/>
    <n v="40"/>
    <n v="190801"/>
    <n v="800000"/>
  </r>
  <r>
    <x v="145"/>
    <x v="6"/>
    <m/>
    <x v="1"/>
    <x v="2"/>
    <x v="18"/>
    <n v="190801"/>
    <n v="190801"/>
    <m/>
    <n v="13"/>
    <n v="190801"/>
    <n v="260000"/>
  </r>
  <r>
    <x v="145"/>
    <x v="6"/>
    <m/>
    <x v="1"/>
    <x v="2"/>
    <x v="21"/>
    <n v="190801"/>
    <n v="190801"/>
    <m/>
    <n v="2"/>
    <n v="190801"/>
    <n v="70000"/>
  </r>
  <r>
    <x v="145"/>
    <x v="6"/>
    <m/>
    <x v="0"/>
    <x v="2"/>
    <x v="15"/>
    <n v="190801"/>
    <n v="190801"/>
    <m/>
    <n v="82"/>
    <n v="190801"/>
    <n v="1640000"/>
  </r>
  <r>
    <x v="145"/>
    <x v="6"/>
    <m/>
    <x v="0"/>
    <x v="2"/>
    <x v="16"/>
    <n v="190801"/>
    <n v="190801"/>
    <m/>
    <n v="168"/>
    <n v="190801"/>
    <n v="5880000"/>
  </r>
  <r>
    <x v="145"/>
    <x v="6"/>
    <m/>
    <x v="0"/>
    <x v="2"/>
    <x v="17"/>
    <n v="190801"/>
    <n v="190801"/>
    <m/>
    <n v="91"/>
    <n v="190801"/>
    <n v="3003000"/>
  </r>
  <r>
    <x v="145"/>
    <x v="6"/>
    <m/>
    <x v="0"/>
    <x v="2"/>
    <x v="19"/>
    <n v="190801"/>
    <n v="190801"/>
    <m/>
    <n v="38"/>
    <n v="190801"/>
    <n v="114000"/>
  </r>
  <r>
    <x v="145"/>
    <x v="6"/>
    <m/>
    <x v="19"/>
    <x v="2"/>
    <x v="22"/>
    <n v="190801"/>
    <n v="190801"/>
    <m/>
    <n v="24"/>
    <n v="190801"/>
    <n v="312000"/>
  </r>
  <r>
    <x v="145"/>
    <x v="6"/>
    <m/>
    <x v="19"/>
    <x v="2"/>
    <x v="23"/>
    <n v="190801"/>
    <n v="190801"/>
    <m/>
    <n v="2"/>
    <n v="190801"/>
    <n v="48000"/>
  </r>
  <r>
    <x v="146"/>
    <x v="3"/>
    <m/>
    <x v="0"/>
    <x v="1"/>
    <x v="15"/>
    <n v="190801"/>
    <n v="190801"/>
    <m/>
    <n v="13"/>
    <n v="190801"/>
    <n v="260000"/>
  </r>
  <r>
    <x v="146"/>
    <x v="3"/>
    <m/>
    <x v="0"/>
    <x v="1"/>
    <x v="16"/>
    <n v="190801"/>
    <n v="190801"/>
    <m/>
    <n v="52"/>
    <n v="190801"/>
    <n v="1820000"/>
  </r>
  <r>
    <x v="146"/>
    <x v="3"/>
    <m/>
    <x v="0"/>
    <x v="7"/>
    <x v="15"/>
    <n v="190801"/>
    <n v="190801"/>
    <m/>
    <n v="8"/>
    <n v="190801"/>
    <n v="160000"/>
  </r>
  <r>
    <x v="146"/>
    <x v="3"/>
    <m/>
    <x v="0"/>
    <x v="3"/>
    <x v="15"/>
    <n v="190801"/>
    <n v="190801"/>
    <m/>
    <n v="40"/>
    <n v="190801"/>
    <n v="0"/>
  </r>
  <r>
    <x v="146"/>
    <x v="3"/>
    <m/>
    <x v="19"/>
    <x v="3"/>
    <x v="22"/>
    <n v="190801"/>
    <n v="190801"/>
    <m/>
    <n v="19"/>
    <n v="190801"/>
    <n v="0"/>
  </r>
  <r>
    <x v="146"/>
    <x v="3"/>
    <m/>
    <x v="1"/>
    <x v="3"/>
    <x v="18"/>
    <n v="190801"/>
    <n v="190801"/>
    <m/>
    <n v="19"/>
    <n v="190801"/>
    <n v="0"/>
  </r>
  <r>
    <x v="146"/>
    <x v="3"/>
    <m/>
    <x v="1"/>
    <x v="2"/>
    <x v="18"/>
    <n v="190801"/>
    <n v="190801"/>
    <m/>
    <n v="20"/>
    <n v="190801"/>
    <n v="400000"/>
  </r>
  <r>
    <x v="146"/>
    <x v="3"/>
    <m/>
    <x v="1"/>
    <x v="2"/>
    <x v="21"/>
    <n v="190801"/>
    <n v="190801"/>
    <m/>
    <n v="2"/>
    <n v="190801"/>
    <n v="70000"/>
  </r>
  <r>
    <x v="146"/>
    <x v="3"/>
    <m/>
    <x v="0"/>
    <x v="2"/>
    <x v="15"/>
    <n v="190801"/>
    <n v="190801"/>
    <m/>
    <n v="125"/>
    <n v="190801"/>
    <n v="2500000"/>
  </r>
  <r>
    <x v="146"/>
    <x v="3"/>
    <m/>
    <x v="0"/>
    <x v="2"/>
    <x v="16"/>
    <n v="190801"/>
    <n v="190801"/>
    <m/>
    <n v="97"/>
    <n v="190801"/>
    <n v="3395000"/>
  </r>
  <r>
    <x v="146"/>
    <x v="3"/>
    <m/>
    <x v="0"/>
    <x v="2"/>
    <x v="17"/>
    <n v="190801"/>
    <n v="190801"/>
    <m/>
    <n v="103"/>
    <n v="190801"/>
    <n v="3399000"/>
  </r>
  <r>
    <x v="146"/>
    <x v="3"/>
    <m/>
    <x v="0"/>
    <x v="2"/>
    <x v="19"/>
    <n v="190801"/>
    <n v="190801"/>
    <m/>
    <n v="56"/>
    <n v="190801"/>
    <n v="168000"/>
  </r>
  <r>
    <x v="146"/>
    <x v="3"/>
    <m/>
    <x v="19"/>
    <x v="2"/>
    <x v="22"/>
    <n v="190801"/>
    <n v="190801"/>
    <m/>
    <n v="31"/>
    <n v="190801"/>
    <n v="403000"/>
  </r>
  <r>
    <x v="146"/>
    <x v="3"/>
    <m/>
    <x v="19"/>
    <x v="2"/>
    <x v="23"/>
    <n v="190801"/>
    <n v="190801"/>
    <m/>
    <n v="3"/>
    <n v="190801"/>
    <n v="72000"/>
  </r>
  <r>
    <x v="146"/>
    <x v="3"/>
    <m/>
    <x v="19"/>
    <x v="2"/>
    <x v="24"/>
    <n v="190801"/>
    <n v="190801"/>
    <m/>
    <n v="1"/>
    <n v="190801"/>
    <n v="33000"/>
  </r>
  <r>
    <x v="146"/>
    <x v="3"/>
    <m/>
    <x v="0"/>
    <x v="4"/>
    <x v="15"/>
    <n v="190801"/>
    <n v="190801"/>
    <m/>
    <n v="4"/>
    <n v="190801"/>
    <n v="126000"/>
  </r>
  <r>
    <x v="147"/>
    <x v="4"/>
    <m/>
    <x v="0"/>
    <x v="1"/>
    <x v="15"/>
    <n v="190801"/>
    <n v="190801"/>
    <m/>
    <n v="15"/>
    <n v="190801"/>
    <n v="300000"/>
  </r>
  <r>
    <x v="147"/>
    <x v="4"/>
    <m/>
    <x v="0"/>
    <x v="1"/>
    <x v="16"/>
    <n v="190801"/>
    <n v="190801"/>
    <m/>
    <n v="50"/>
    <n v="190801"/>
    <n v="1750000"/>
  </r>
  <r>
    <x v="147"/>
    <x v="4"/>
    <m/>
    <x v="0"/>
    <x v="7"/>
    <x v="15"/>
    <n v="190801"/>
    <n v="190801"/>
    <m/>
    <n v="47"/>
    <n v="190801"/>
    <n v="940000"/>
  </r>
  <r>
    <x v="147"/>
    <x v="4"/>
    <m/>
    <x v="1"/>
    <x v="2"/>
    <x v="18"/>
    <n v="190801"/>
    <n v="190801"/>
    <m/>
    <n v="15"/>
    <n v="190801"/>
    <n v="300000"/>
  </r>
  <r>
    <x v="147"/>
    <x v="4"/>
    <m/>
    <x v="1"/>
    <x v="2"/>
    <x v="21"/>
    <n v="190801"/>
    <n v="190801"/>
    <m/>
    <n v="1"/>
    <n v="190801"/>
    <n v="35000"/>
  </r>
  <r>
    <x v="147"/>
    <x v="4"/>
    <m/>
    <x v="0"/>
    <x v="2"/>
    <x v="15"/>
    <n v="190801"/>
    <n v="190801"/>
    <m/>
    <n v="165"/>
    <n v="190801"/>
    <n v="3300000"/>
  </r>
  <r>
    <x v="147"/>
    <x v="4"/>
    <m/>
    <x v="0"/>
    <x v="2"/>
    <x v="16"/>
    <n v="190801"/>
    <n v="190801"/>
    <m/>
    <n v="225"/>
    <n v="190801"/>
    <n v="7875000"/>
  </r>
  <r>
    <x v="147"/>
    <x v="4"/>
    <m/>
    <x v="0"/>
    <x v="2"/>
    <x v="17"/>
    <n v="190801"/>
    <n v="190801"/>
    <m/>
    <n v="138"/>
    <n v="190801"/>
    <n v="4554000"/>
  </r>
  <r>
    <x v="147"/>
    <x v="4"/>
    <m/>
    <x v="0"/>
    <x v="2"/>
    <x v="19"/>
    <n v="190801"/>
    <n v="190801"/>
    <m/>
    <n v="102"/>
    <n v="190801"/>
    <n v="306000"/>
  </r>
  <r>
    <x v="147"/>
    <x v="4"/>
    <m/>
    <x v="19"/>
    <x v="2"/>
    <x v="22"/>
    <n v="190801"/>
    <n v="190801"/>
    <m/>
    <n v="33"/>
    <n v="190801"/>
    <n v="429000"/>
  </r>
  <r>
    <x v="147"/>
    <x v="4"/>
    <m/>
    <x v="19"/>
    <x v="2"/>
    <x v="23"/>
    <n v="190801"/>
    <n v="190801"/>
    <m/>
    <n v="5"/>
    <n v="190801"/>
    <n v="120000"/>
  </r>
  <r>
    <x v="147"/>
    <x v="4"/>
    <m/>
    <x v="19"/>
    <x v="2"/>
    <x v="24"/>
    <n v="190801"/>
    <n v="190801"/>
    <m/>
    <n v="2"/>
    <n v="190801"/>
    <n v="66000"/>
  </r>
  <r>
    <x v="147"/>
    <x v="4"/>
    <m/>
    <x v="0"/>
    <x v="4"/>
    <x v="15"/>
    <n v="190801"/>
    <n v="190801"/>
    <m/>
    <n v="33"/>
    <n v="190801"/>
    <n v="1039500"/>
  </r>
  <r>
    <x v="147"/>
    <x v="4"/>
    <m/>
    <x v="0"/>
    <x v="4"/>
    <x v="16"/>
    <n v="190801"/>
    <n v="190801"/>
    <m/>
    <n v="10"/>
    <n v="190801"/>
    <n v="440000"/>
  </r>
  <r>
    <x v="147"/>
    <x v="4"/>
    <m/>
    <x v="1"/>
    <x v="4"/>
    <x v="18"/>
    <n v="190801"/>
    <n v="190801"/>
    <m/>
    <n v="2"/>
    <n v="190801"/>
    <n v="63000"/>
  </r>
  <r>
    <x v="148"/>
    <x v="1"/>
    <m/>
    <x v="0"/>
    <x v="1"/>
    <x v="15"/>
    <n v="190801"/>
    <n v="190801"/>
    <m/>
    <n v="4"/>
    <n v="190801"/>
    <n v="80000"/>
  </r>
  <r>
    <x v="148"/>
    <x v="1"/>
    <m/>
    <x v="0"/>
    <x v="1"/>
    <x v="16"/>
    <n v="190801"/>
    <n v="190801"/>
    <m/>
    <n v="24"/>
    <n v="190801"/>
    <n v="840000"/>
  </r>
  <r>
    <x v="148"/>
    <x v="1"/>
    <m/>
    <x v="0"/>
    <x v="7"/>
    <x v="15"/>
    <n v="190801"/>
    <n v="190801"/>
    <m/>
    <n v="60"/>
    <n v="190801"/>
    <n v="1200000"/>
  </r>
  <r>
    <x v="148"/>
    <x v="1"/>
    <m/>
    <x v="0"/>
    <x v="3"/>
    <x v="15"/>
    <n v="190801"/>
    <n v="190801"/>
    <m/>
    <n v="3"/>
    <n v="190801"/>
    <n v="0"/>
  </r>
  <r>
    <x v="148"/>
    <x v="1"/>
    <m/>
    <x v="19"/>
    <x v="3"/>
    <x v="22"/>
    <n v="190801"/>
    <n v="190801"/>
    <m/>
    <n v="1"/>
    <n v="190801"/>
    <n v="0"/>
  </r>
  <r>
    <x v="148"/>
    <x v="1"/>
    <m/>
    <x v="1"/>
    <x v="3"/>
    <x v="18"/>
    <n v="190801"/>
    <n v="190801"/>
    <m/>
    <n v="1"/>
    <n v="190801"/>
    <n v="0"/>
  </r>
  <r>
    <x v="148"/>
    <x v="1"/>
    <m/>
    <x v="18"/>
    <x v="3"/>
    <x v="19"/>
    <n v="190801"/>
    <n v="190801"/>
    <m/>
    <n v="1"/>
    <n v="190801"/>
    <n v="0"/>
  </r>
  <r>
    <x v="148"/>
    <x v="1"/>
    <m/>
    <x v="1"/>
    <x v="2"/>
    <x v="18"/>
    <n v="190801"/>
    <n v="190801"/>
    <m/>
    <n v="28"/>
    <n v="190801"/>
    <n v="560000"/>
  </r>
  <r>
    <x v="148"/>
    <x v="1"/>
    <m/>
    <x v="1"/>
    <x v="2"/>
    <x v="21"/>
    <n v="190801"/>
    <n v="190801"/>
    <m/>
    <n v="4"/>
    <n v="190801"/>
    <n v="140000"/>
  </r>
  <r>
    <x v="148"/>
    <x v="1"/>
    <m/>
    <x v="0"/>
    <x v="2"/>
    <x v="15"/>
    <n v="190801"/>
    <n v="190801"/>
    <m/>
    <n v="116"/>
    <n v="190801"/>
    <n v="2320000"/>
  </r>
  <r>
    <x v="148"/>
    <x v="1"/>
    <m/>
    <x v="0"/>
    <x v="2"/>
    <x v="16"/>
    <n v="190801"/>
    <n v="190801"/>
    <m/>
    <n v="95"/>
    <n v="190801"/>
    <n v="3325000"/>
  </r>
  <r>
    <x v="148"/>
    <x v="1"/>
    <m/>
    <x v="0"/>
    <x v="2"/>
    <x v="17"/>
    <n v="190801"/>
    <n v="190801"/>
    <m/>
    <n v="158"/>
    <n v="190801"/>
    <n v="5214000"/>
  </r>
  <r>
    <x v="148"/>
    <x v="1"/>
    <m/>
    <x v="0"/>
    <x v="2"/>
    <x v="19"/>
    <n v="190801"/>
    <n v="190801"/>
    <m/>
    <n v="78"/>
    <n v="190801"/>
    <n v="234000"/>
  </r>
  <r>
    <x v="148"/>
    <x v="1"/>
    <m/>
    <x v="19"/>
    <x v="2"/>
    <x v="22"/>
    <n v="190801"/>
    <n v="190801"/>
    <m/>
    <n v="27"/>
    <n v="190801"/>
    <n v="351000"/>
  </r>
  <r>
    <x v="148"/>
    <x v="1"/>
    <m/>
    <x v="19"/>
    <x v="2"/>
    <x v="23"/>
    <n v="190801"/>
    <n v="190801"/>
    <m/>
    <n v="3"/>
    <n v="190801"/>
    <n v="72000"/>
  </r>
  <r>
    <x v="148"/>
    <x v="1"/>
    <m/>
    <x v="19"/>
    <x v="2"/>
    <x v="24"/>
    <n v="190801"/>
    <n v="190801"/>
    <m/>
    <n v="3"/>
    <n v="190801"/>
    <n v="99000"/>
  </r>
  <r>
    <x v="148"/>
    <x v="1"/>
    <m/>
    <x v="0"/>
    <x v="4"/>
    <x v="15"/>
    <n v="190801"/>
    <n v="190801"/>
    <m/>
    <n v="3"/>
    <n v="190801"/>
    <n v="94500"/>
  </r>
  <r>
    <x v="148"/>
    <x v="1"/>
    <m/>
    <x v="0"/>
    <x v="4"/>
    <x v="16"/>
    <n v="190801"/>
    <n v="190801"/>
    <m/>
    <n v="5"/>
    <n v="190801"/>
    <n v="220000"/>
  </r>
  <r>
    <x v="149"/>
    <x v="0"/>
    <m/>
    <x v="0"/>
    <x v="1"/>
    <x v="15"/>
    <n v="190801"/>
    <n v="190801"/>
    <m/>
    <n v="3"/>
    <n v="190801"/>
    <n v="60000"/>
  </r>
  <r>
    <x v="149"/>
    <x v="0"/>
    <m/>
    <x v="0"/>
    <x v="1"/>
    <x v="16"/>
    <n v="190801"/>
    <n v="190801"/>
    <m/>
    <n v="11"/>
    <n v="190801"/>
    <n v="385000"/>
  </r>
  <r>
    <x v="149"/>
    <x v="0"/>
    <m/>
    <x v="0"/>
    <x v="7"/>
    <x v="15"/>
    <n v="190801"/>
    <n v="190801"/>
    <m/>
    <n v="40"/>
    <n v="190801"/>
    <n v="800000"/>
  </r>
  <r>
    <x v="149"/>
    <x v="0"/>
    <m/>
    <x v="1"/>
    <x v="2"/>
    <x v="18"/>
    <n v="190801"/>
    <n v="190801"/>
    <m/>
    <n v="12"/>
    <n v="190801"/>
    <n v="240000"/>
  </r>
  <r>
    <x v="149"/>
    <x v="0"/>
    <m/>
    <x v="1"/>
    <x v="2"/>
    <x v="21"/>
    <n v="190801"/>
    <n v="190801"/>
    <m/>
    <n v="4"/>
    <n v="190801"/>
    <n v="140000"/>
  </r>
  <r>
    <x v="149"/>
    <x v="0"/>
    <m/>
    <x v="0"/>
    <x v="2"/>
    <x v="15"/>
    <n v="190801"/>
    <n v="190801"/>
    <m/>
    <n v="116"/>
    <n v="190801"/>
    <n v="2320000"/>
  </r>
  <r>
    <x v="149"/>
    <x v="0"/>
    <m/>
    <x v="0"/>
    <x v="2"/>
    <x v="16"/>
    <n v="190801"/>
    <n v="190801"/>
    <m/>
    <n v="89"/>
    <n v="190801"/>
    <n v="3115000"/>
  </r>
  <r>
    <x v="149"/>
    <x v="0"/>
    <m/>
    <x v="0"/>
    <x v="2"/>
    <x v="17"/>
    <n v="190801"/>
    <n v="190801"/>
    <m/>
    <n v="101"/>
    <n v="190801"/>
    <n v="3333000"/>
  </r>
  <r>
    <x v="149"/>
    <x v="0"/>
    <m/>
    <x v="0"/>
    <x v="2"/>
    <x v="19"/>
    <n v="190801"/>
    <n v="190801"/>
    <m/>
    <n v="72"/>
    <n v="190801"/>
    <n v="216000"/>
  </r>
  <r>
    <x v="149"/>
    <x v="0"/>
    <m/>
    <x v="19"/>
    <x v="2"/>
    <x v="22"/>
    <n v="190801"/>
    <n v="190801"/>
    <m/>
    <n v="20"/>
    <n v="190801"/>
    <n v="260000"/>
  </r>
  <r>
    <x v="149"/>
    <x v="0"/>
    <m/>
    <x v="19"/>
    <x v="2"/>
    <x v="23"/>
    <n v="190801"/>
    <n v="190801"/>
    <m/>
    <n v="2"/>
    <n v="190801"/>
    <n v="48000"/>
  </r>
  <r>
    <x v="149"/>
    <x v="0"/>
    <m/>
    <x v="19"/>
    <x v="2"/>
    <x v="24"/>
    <n v="190801"/>
    <n v="190801"/>
    <m/>
    <n v="1"/>
    <n v="190801"/>
    <n v="33000"/>
  </r>
  <r>
    <x v="149"/>
    <x v="0"/>
    <m/>
    <x v="0"/>
    <x v="4"/>
    <x v="15"/>
    <n v="190801"/>
    <n v="190801"/>
    <m/>
    <n v="7"/>
    <n v="190801"/>
    <n v="220500"/>
  </r>
  <r>
    <x v="149"/>
    <x v="0"/>
    <m/>
    <x v="0"/>
    <x v="4"/>
    <x v="16"/>
    <n v="190801"/>
    <n v="190801"/>
    <m/>
    <n v="4"/>
    <n v="190801"/>
    <n v="176000"/>
  </r>
  <r>
    <x v="150"/>
    <x v="2"/>
    <m/>
    <x v="0"/>
    <x v="1"/>
    <x v="15"/>
    <n v="190801"/>
    <n v="190801"/>
    <m/>
    <n v="2"/>
    <n v="190801"/>
    <n v="40000"/>
  </r>
  <r>
    <x v="150"/>
    <x v="2"/>
    <m/>
    <x v="0"/>
    <x v="1"/>
    <x v="16"/>
    <n v="190801"/>
    <n v="190801"/>
    <m/>
    <n v="9"/>
    <n v="190801"/>
    <n v="315000"/>
  </r>
  <r>
    <x v="150"/>
    <x v="2"/>
    <m/>
    <x v="0"/>
    <x v="7"/>
    <x v="15"/>
    <n v="190801"/>
    <n v="190801"/>
    <m/>
    <n v="31"/>
    <n v="190801"/>
    <n v="620000"/>
  </r>
  <r>
    <x v="150"/>
    <x v="2"/>
    <m/>
    <x v="1"/>
    <x v="2"/>
    <x v="18"/>
    <n v="190801"/>
    <n v="190801"/>
    <m/>
    <n v="18"/>
    <n v="190801"/>
    <n v="360000"/>
  </r>
  <r>
    <x v="150"/>
    <x v="2"/>
    <m/>
    <x v="0"/>
    <x v="2"/>
    <x v="15"/>
    <n v="190801"/>
    <n v="190801"/>
    <m/>
    <n v="100"/>
    <n v="190801"/>
    <n v="2000000"/>
  </r>
  <r>
    <x v="150"/>
    <x v="2"/>
    <m/>
    <x v="0"/>
    <x v="2"/>
    <x v="16"/>
    <n v="190801"/>
    <n v="190801"/>
    <m/>
    <n v="85"/>
    <n v="190801"/>
    <n v="2975000"/>
  </r>
  <r>
    <x v="150"/>
    <x v="2"/>
    <m/>
    <x v="0"/>
    <x v="2"/>
    <x v="17"/>
    <n v="190801"/>
    <n v="190801"/>
    <m/>
    <n v="59"/>
    <n v="190801"/>
    <n v="1947000"/>
  </r>
  <r>
    <x v="150"/>
    <x v="2"/>
    <m/>
    <x v="0"/>
    <x v="2"/>
    <x v="19"/>
    <n v="190801"/>
    <n v="190801"/>
    <m/>
    <n v="75"/>
    <n v="190801"/>
    <n v="225000"/>
  </r>
  <r>
    <x v="150"/>
    <x v="2"/>
    <m/>
    <x v="19"/>
    <x v="2"/>
    <x v="22"/>
    <n v="190801"/>
    <n v="190801"/>
    <m/>
    <n v="19"/>
    <n v="190801"/>
    <n v="247000"/>
  </r>
  <r>
    <x v="150"/>
    <x v="2"/>
    <m/>
    <x v="19"/>
    <x v="2"/>
    <x v="23"/>
    <n v="190801"/>
    <n v="190801"/>
    <m/>
    <n v="5"/>
    <n v="190801"/>
    <n v="120000"/>
  </r>
  <r>
    <x v="150"/>
    <x v="2"/>
    <m/>
    <x v="0"/>
    <x v="4"/>
    <x v="15"/>
    <n v="190801"/>
    <n v="190801"/>
    <m/>
    <n v="12"/>
    <n v="190801"/>
    <n v="378000"/>
  </r>
  <r>
    <x v="150"/>
    <x v="2"/>
    <m/>
    <x v="0"/>
    <x v="4"/>
    <x v="16"/>
    <n v="190801"/>
    <n v="190801"/>
    <m/>
    <n v="7"/>
    <n v="190801"/>
    <n v="308000"/>
  </r>
  <r>
    <x v="151"/>
    <x v="5"/>
    <m/>
    <x v="0"/>
    <x v="7"/>
    <x v="15"/>
    <n v="190801"/>
    <n v="190801"/>
    <m/>
    <n v="31"/>
    <n v="190801"/>
    <n v="620000"/>
  </r>
  <r>
    <x v="151"/>
    <x v="5"/>
    <m/>
    <x v="1"/>
    <x v="2"/>
    <x v="18"/>
    <n v="190801"/>
    <n v="190801"/>
    <m/>
    <n v="11"/>
    <n v="190801"/>
    <n v="220000"/>
  </r>
  <r>
    <x v="151"/>
    <x v="5"/>
    <m/>
    <x v="1"/>
    <x v="2"/>
    <x v="21"/>
    <n v="190801"/>
    <n v="190801"/>
    <m/>
    <n v="3"/>
    <n v="190801"/>
    <n v="105000"/>
  </r>
  <r>
    <x v="151"/>
    <x v="5"/>
    <m/>
    <x v="0"/>
    <x v="2"/>
    <x v="15"/>
    <n v="190801"/>
    <n v="190801"/>
    <m/>
    <n v="71"/>
    <n v="190801"/>
    <n v="1420000"/>
  </r>
  <r>
    <x v="151"/>
    <x v="5"/>
    <m/>
    <x v="0"/>
    <x v="2"/>
    <x v="16"/>
    <n v="190801"/>
    <n v="190801"/>
    <m/>
    <n v="44"/>
    <n v="190801"/>
    <n v="1540000"/>
  </r>
  <r>
    <x v="151"/>
    <x v="5"/>
    <m/>
    <x v="0"/>
    <x v="2"/>
    <x v="17"/>
    <n v="190801"/>
    <n v="190801"/>
    <m/>
    <n v="75"/>
    <n v="190801"/>
    <n v="2475000"/>
  </r>
  <r>
    <x v="151"/>
    <x v="5"/>
    <m/>
    <x v="0"/>
    <x v="2"/>
    <x v="19"/>
    <n v="190801"/>
    <n v="190801"/>
    <m/>
    <n v="45"/>
    <n v="190801"/>
    <n v="135000"/>
  </r>
  <r>
    <x v="151"/>
    <x v="5"/>
    <m/>
    <x v="19"/>
    <x v="2"/>
    <x v="22"/>
    <n v="190801"/>
    <n v="190801"/>
    <m/>
    <n v="24"/>
    <n v="190801"/>
    <n v="312000"/>
  </r>
  <r>
    <x v="151"/>
    <x v="5"/>
    <m/>
    <x v="19"/>
    <x v="2"/>
    <x v="23"/>
    <n v="190801"/>
    <n v="190801"/>
    <m/>
    <n v="2"/>
    <n v="190801"/>
    <n v="48000"/>
  </r>
  <r>
    <x v="151"/>
    <x v="5"/>
    <m/>
    <x v="19"/>
    <x v="2"/>
    <x v="24"/>
    <n v="190801"/>
    <n v="190801"/>
    <m/>
    <n v="2"/>
    <n v="190801"/>
    <n v="66000"/>
  </r>
  <r>
    <x v="152"/>
    <x v="6"/>
    <m/>
    <x v="0"/>
    <x v="7"/>
    <x v="15"/>
    <n v="190801"/>
    <n v="190801"/>
    <m/>
    <n v="33"/>
    <n v="190801"/>
    <n v="660000"/>
  </r>
  <r>
    <x v="152"/>
    <x v="6"/>
    <m/>
    <x v="1"/>
    <x v="2"/>
    <x v="18"/>
    <n v="190801"/>
    <n v="190801"/>
    <m/>
    <n v="6"/>
    <n v="190801"/>
    <n v="120000"/>
  </r>
  <r>
    <x v="152"/>
    <x v="6"/>
    <m/>
    <x v="1"/>
    <x v="2"/>
    <x v="21"/>
    <n v="190801"/>
    <n v="190801"/>
    <m/>
    <n v="1"/>
    <n v="190801"/>
    <n v="35000"/>
  </r>
  <r>
    <x v="152"/>
    <x v="6"/>
    <m/>
    <x v="0"/>
    <x v="2"/>
    <x v="15"/>
    <n v="190801"/>
    <n v="190801"/>
    <m/>
    <n v="93"/>
    <n v="190801"/>
    <n v="1860000"/>
  </r>
  <r>
    <x v="152"/>
    <x v="6"/>
    <m/>
    <x v="0"/>
    <x v="2"/>
    <x v="16"/>
    <n v="190801"/>
    <n v="190801"/>
    <m/>
    <n v="111"/>
    <n v="190801"/>
    <n v="3885000"/>
  </r>
  <r>
    <x v="152"/>
    <x v="6"/>
    <m/>
    <x v="0"/>
    <x v="2"/>
    <x v="17"/>
    <n v="190801"/>
    <n v="190801"/>
    <m/>
    <n v="33"/>
    <n v="190801"/>
    <n v="1089000"/>
  </r>
  <r>
    <x v="152"/>
    <x v="6"/>
    <m/>
    <x v="0"/>
    <x v="2"/>
    <x v="19"/>
    <n v="190801"/>
    <n v="190801"/>
    <m/>
    <n v="61"/>
    <n v="190801"/>
    <n v="183000"/>
  </r>
  <r>
    <x v="152"/>
    <x v="6"/>
    <m/>
    <x v="19"/>
    <x v="2"/>
    <x v="22"/>
    <n v="190801"/>
    <n v="190801"/>
    <m/>
    <n v="25"/>
    <n v="190801"/>
    <n v="325000"/>
  </r>
  <r>
    <x v="152"/>
    <x v="6"/>
    <m/>
    <x v="19"/>
    <x v="2"/>
    <x v="23"/>
    <n v="190801"/>
    <n v="190801"/>
    <m/>
    <n v="5"/>
    <n v="190801"/>
    <n v="120000"/>
  </r>
  <r>
    <x v="152"/>
    <x v="6"/>
    <m/>
    <x v="19"/>
    <x v="2"/>
    <x v="24"/>
    <n v="190801"/>
    <n v="190801"/>
    <m/>
    <n v="1"/>
    <n v="190801"/>
    <n v="33000"/>
  </r>
  <r>
    <x v="152"/>
    <x v="6"/>
    <m/>
    <x v="20"/>
    <x v="6"/>
    <x v="25"/>
    <n v="190801"/>
    <n v="190801"/>
    <m/>
    <n v="1369"/>
    <n v="190801"/>
    <n v="13301204"/>
  </r>
  <r>
    <x v="152"/>
    <x v="6"/>
    <m/>
    <x v="0"/>
    <x v="6"/>
    <x v="15"/>
    <n v="190801"/>
    <n v="190801"/>
    <m/>
    <n v="557"/>
    <n v="190801"/>
    <n v="5050876"/>
  </r>
  <r>
    <x v="152"/>
    <x v="6"/>
    <m/>
    <x v="1"/>
    <x v="6"/>
    <x v="18"/>
    <n v="190801"/>
    <n v="190801"/>
    <m/>
    <n v="6"/>
    <n v="190801"/>
    <n v="55230"/>
  </r>
  <r>
    <x v="152"/>
    <x v="6"/>
    <m/>
    <x v="19"/>
    <x v="6"/>
    <x v="22"/>
    <n v="190801"/>
    <n v="190801"/>
    <m/>
    <n v="11"/>
    <n v="190801"/>
    <n v="74701"/>
  </r>
  <r>
    <x v="153"/>
    <x v="3"/>
    <m/>
    <x v="0"/>
    <x v="1"/>
    <x v="15"/>
    <n v="190801"/>
    <n v="190801"/>
    <m/>
    <n v="11"/>
    <n v="190801"/>
    <n v="220000"/>
  </r>
  <r>
    <x v="153"/>
    <x v="3"/>
    <m/>
    <x v="0"/>
    <x v="1"/>
    <x v="16"/>
    <n v="190801"/>
    <n v="190801"/>
    <m/>
    <n v="43"/>
    <n v="190801"/>
    <n v="1505000"/>
  </r>
  <r>
    <x v="153"/>
    <x v="3"/>
    <m/>
    <x v="0"/>
    <x v="7"/>
    <x v="15"/>
    <n v="190801"/>
    <n v="190801"/>
    <m/>
    <n v="34"/>
    <n v="190801"/>
    <n v="680000"/>
  </r>
  <r>
    <x v="153"/>
    <x v="3"/>
    <m/>
    <x v="1"/>
    <x v="2"/>
    <x v="18"/>
    <n v="190801"/>
    <n v="190801"/>
    <m/>
    <n v="15"/>
    <n v="190801"/>
    <n v="300000"/>
  </r>
  <r>
    <x v="153"/>
    <x v="3"/>
    <m/>
    <x v="0"/>
    <x v="2"/>
    <x v="15"/>
    <n v="190801"/>
    <n v="190801"/>
    <m/>
    <n v="111"/>
    <n v="190801"/>
    <n v="2220000"/>
  </r>
  <r>
    <x v="153"/>
    <x v="3"/>
    <m/>
    <x v="0"/>
    <x v="2"/>
    <x v="16"/>
    <n v="190801"/>
    <n v="190801"/>
    <m/>
    <n v="118"/>
    <n v="190801"/>
    <n v="4130000"/>
  </r>
  <r>
    <x v="153"/>
    <x v="3"/>
    <m/>
    <x v="0"/>
    <x v="2"/>
    <x v="17"/>
    <n v="190801"/>
    <n v="190801"/>
    <m/>
    <n v="1"/>
    <n v="190801"/>
    <n v="33000"/>
  </r>
  <r>
    <x v="153"/>
    <x v="3"/>
    <m/>
    <x v="0"/>
    <x v="2"/>
    <x v="19"/>
    <n v="190801"/>
    <n v="190801"/>
    <m/>
    <n v="61"/>
    <n v="190801"/>
    <n v="183000"/>
  </r>
  <r>
    <x v="153"/>
    <x v="3"/>
    <m/>
    <x v="19"/>
    <x v="2"/>
    <x v="22"/>
    <n v="190801"/>
    <n v="190801"/>
    <m/>
    <n v="21"/>
    <n v="190801"/>
    <n v="273000"/>
  </r>
  <r>
    <x v="153"/>
    <x v="3"/>
    <m/>
    <x v="19"/>
    <x v="2"/>
    <x v="23"/>
    <n v="190801"/>
    <n v="190801"/>
    <m/>
    <n v="1"/>
    <n v="190801"/>
    <n v="24000"/>
  </r>
  <r>
    <x v="153"/>
    <x v="3"/>
    <m/>
    <x v="19"/>
    <x v="2"/>
    <x v="24"/>
    <n v="190801"/>
    <n v="190801"/>
    <m/>
    <n v="1"/>
    <n v="190801"/>
    <n v="33000"/>
  </r>
  <r>
    <x v="153"/>
    <x v="3"/>
    <m/>
    <x v="0"/>
    <x v="4"/>
    <x v="15"/>
    <n v="190801"/>
    <n v="190801"/>
    <m/>
    <n v="37"/>
    <n v="190801"/>
    <n v="1165500"/>
  </r>
  <r>
    <x v="153"/>
    <x v="3"/>
    <m/>
    <x v="0"/>
    <x v="4"/>
    <x v="16"/>
    <n v="190801"/>
    <n v="190801"/>
    <m/>
    <n v="10"/>
    <n v="190801"/>
    <n v="440000"/>
  </r>
  <r>
    <x v="153"/>
    <x v="3"/>
    <m/>
    <x v="1"/>
    <x v="4"/>
    <x v="18"/>
    <n v="190801"/>
    <n v="190801"/>
    <m/>
    <n v="2"/>
    <n v="190801"/>
    <n v="63000"/>
  </r>
  <r>
    <x v="154"/>
    <x v="4"/>
    <m/>
    <x v="0"/>
    <x v="1"/>
    <x v="15"/>
    <n v="190801"/>
    <n v="190801"/>
    <m/>
    <n v="4"/>
    <n v="190801"/>
    <n v="80000"/>
  </r>
  <r>
    <x v="154"/>
    <x v="4"/>
    <m/>
    <x v="0"/>
    <x v="1"/>
    <x v="16"/>
    <n v="190801"/>
    <n v="190801"/>
    <m/>
    <n v="22"/>
    <n v="190801"/>
    <n v="770000"/>
  </r>
  <r>
    <x v="154"/>
    <x v="4"/>
    <m/>
    <x v="0"/>
    <x v="7"/>
    <x v="15"/>
    <n v="190801"/>
    <n v="190801"/>
    <m/>
    <n v="55"/>
    <n v="190801"/>
    <n v="1100000"/>
  </r>
  <r>
    <x v="154"/>
    <x v="4"/>
    <m/>
    <x v="18"/>
    <x v="3"/>
    <x v="19"/>
    <n v="190801"/>
    <n v="190801"/>
    <m/>
    <n v="500"/>
    <n v="190801"/>
    <n v="0"/>
  </r>
  <r>
    <x v="154"/>
    <x v="4"/>
    <m/>
    <x v="0"/>
    <x v="3"/>
    <x v="20"/>
    <n v="190801"/>
    <n v="190801"/>
    <m/>
    <n v="500"/>
    <n v="190801"/>
    <n v="0"/>
  </r>
  <r>
    <x v="154"/>
    <x v="4"/>
    <m/>
    <x v="0"/>
    <x v="3"/>
    <x v="17"/>
    <n v="190801"/>
    <n v="190801"/>
    <m/>
    <n v="2"/>
    <n v="190801"/>
    <n v="0"/>
  </r>
  <r>
    <x v="154"/>
    <x v="4"/>
    <m/>
    <x v="1"/>
    <x v="2"/>
    <x v="18"/>
    <n v="190801"/>
    <n v="190801"/>
    <m/>
    <n v="17"/>
    <n v="190801"/>
    <n v="340000"/>
  </r>
  <r>
    <x v="154"/>
    <x v="4"/>
    <m/>
    <x v="1"/>
    <x v="2"/>
    <x v="21"/>
    <n v="190801"/>
    <n v="190801"/>
    <m/>
    <n v="2"/>
    <n v="190801"/>
    <n v="70000"/>
  </r>
  <r>
    <x v="154"/>
    <x v="4"/>
    <m/>
    <x v="0"/>
    <x v="2"/>
    <x v="15"/>
    <n v="190801"/>
    <n v="190801"/>
    <m/>
    <n v="121"/>
    <n v="190801"/>
    <n v="2420000"/>
  </r>
  <r>
    <x v="154"/>
    <x v="4"/>
    <m/>
    <x v="0"/>
    <x v="2"/>
    <x v="16"/>
    <n v="190801"/>
    <n v="190801"/>
    <m/>
    <n v="155"/>
    <n v="190801"/>
    <n v="5425000"/>
  </r>
  <r>
    <x v="154"/>
    <x v="4"/>
    <m/>
    <x v="0"/>
    <x v="2"/>
    <x v="17"/>
    <n v="190801"/>
    <n v="190801"/>
    <m/>
    <n v="1"/>
    <n v="190801"/>
    <n v="33000"/>
  </r>
  <r>
    <x v="154"/>
    <x v="4"/>
    <m/>
    <x v="0"/>
    <x v="2"/>
    <x v="19"/>
    <n v="190801"/>
    <n v="190801"/>
    <m/>
    <n v="75"/>
    <n v="190801"/>
    <n v="225000"/>
  </r>
  <r>
    <x v="154"/>
    <x v="4"/>
    <m/>
    <x v="19"/>
    <x v="2"/>
    <x v="22"/>
    <n v="190801"/>
    <n v="190801"/>
    <m/>
    <n v="28"/>
    <n v="190801"/>
    <n v="364000"/>
  </r>
  <r>
    <x v="154"/>
    <x v="4"/>
    <m/>
    <x v="19"/>
    <x v="2"/>
    <x v="23"/>
    <n v="190801"/>
    <n v="190801"/>
    <m/>
    <n v="6"/>
    <n v="190801"/>
    <n v="144000"/>
  </r>
  <r>
    <x v="154"/>
    <x v="4"/>
    <m/>
    <x v="0"/>
    <x v="4"/>
    <x v="15"/>
    <n v="190801"/>
    <n v="190801"/>
    <m/>
    <n v="7"/>
    <n v="190801"/>
    <n v="220500"/>
  </r>
  <r>
    <x v="154"/>
    <x v="4"/>
    <m/>
    <x v="0"/>
    <x v="4"/>
    <x v="16"/>
    <n v="190801"/>
    <n v="190801"/>
    <m/>
    <n v="1"/>
    <n v="190801"/>
    <n v="44000"/>
  </r>
  <r>
    <x v="155"/>
    <x v="1"/>
    <m/>
    <x v="0"/>
    <x v="1"/>
    <x v="15"/>
    <n v="190801"/>
    <n v="190801"/>
    <m/>
    <n v="2"/>
    <n v="190801"/>
    <n v="40000"/>
  </r>
  <r>
    <x v="155"/>
    <x v="1"/>
    <m/>
    <x v="0"/>
    <x v="1"/>
    <x v="16"/>
    <n v="190801"/>
    <n v="190801"/>
    <m/>
    <n v="21"/>
    <n v="190801"/>
    <n v="735000"/>
  </r>
  <r>
    <x v="155"/>
    <x v="1"/>
    <m/>
    <x v="0"/>
    <x v="7"/>
    <x v="15"/>
    <n v="190801"/>
    <n v="190801"/>
    <m/>
    <n v="32"/>
    <n v="190801"/>
    <n v="640000"/>
  </r>
  <r>
    <x v="155"/>
    <x v="1"/>
    <m/>
    <x v="1"/>
    <x v="2"/>
    <x v="18"/>
    <n v="190801"/>
    <n v="190801"/>
    <m/>
    <n v="13"/>
    <n v="190801"/>
    <n v="260000"/>
  </r>
  <r>
    <x v="155"/>
    <x v="1"/>
    <m/>
    <x v="1"/>
    <x v="2"/>
    <x v="21"/>
    <n v="190801"/>
    <n v="190801"/>
    <m/>
    <n v="2"/>
    <n v="190801"/>
    <n v="70000"/>
  </r>
  <r>
    <x v="155"/>
    <x v="1"/>
    <m/>
    <x v="0"/>
    <x v="2"/>
    <x v="15"/>
    <n v="190801"/>
    <n v="190801"/>
    <m/>
    <n v="116"/>
    <n v="190801"/>
    <n v="2320000"/>
  </r>
  <r>
    <x v="155"/>
    <x v="1"/>
    <m/>
    <x v="0"/>
    <x v="2"/>
    <x v="16"/>
    <n v="190801"/>
    <n v="190801"/>
    <m/>
    <n v="253"/>
    <n v="190801"/>
    <n v="8855000"/>
  </r>
  <r>
    <x v="155"/>
    <x v="1"/>
    <m/>
    <x v="0"/>
    <x v="2"/>
    <x v="17"/>
    <n v="190801"/>
    <n v="190801"/>
    <m/>
    <n v="2"/>
    <n v="190801"/>
    <n v="66000"/>
  </r>
  <r>
    <x v="155"/>
    <x v="1"/>
    <m/>
    <x v="0"/>
    <x v="2"/>
    <x v="19"/>
    <n v="190801"/>
    <n v="190801"/>
    <m/>
    <n v="72"/>
    <n v="190801"/>
    <n v="216000"/>
  </r>
  <r>
    <x v="155"/>
    <x v="1"/>
    <m/>
    <x v="19"/>
    <x v="2"/>
    <x v="22"/>
    <n v="190801"/>
    <n v="190801"/>
    <m/>
    <n v="21"/>
    <n v="190801"/>
    <n v="273000"/>
  </r>
  <r>
    <x v="155"/>
    <x v="1"/>
    <m/>
    <x v="19"/>
    <x v="2"/>
    <x v="23"/>
    <n v="190801"/>
    <n v="190801"/>
    <m/>
    <n v="16"/>
    <n v="190801"/>
    <n v="384000"/>
  </r>
  <r>
    <x v="155"/>
    <x v="1"/>
    <m/>
    <x v="0"/>
    <x v="4"/>
    <x v="15"/>
    <n v="190801"/>
    <n v="190801"/>
    <m/>
    <n v="19"/>
    <n v="190801"/>
    <n v="598500"/>
  </r>
  <r>
    <x v="155"/>
    <x v="1"/>
    <m/>
    <x v="0"/>
    <x v="4"/>
    <x v="16"/>
    <n v="190801"/>
    <n v="190801"/>
    <m/>
    <n v="3"/>
    <n v="190801"/>
    <n v="132000"/>
  </r>
  <r>
    <x v="156"/>
    <x v="0"/>
    <m/>
    <x v="0"/>
    <x v="1"/>
    <x v="15"/>
    <n v="190801"/>
    <n v="190801"/>
    <m/>
    <n v="1"/>
    <n v="190801"/>
    <n v="20000"/>
  </r>
  <r>
    <x v="156"/>
    <x v="0"/>
    <m/>
    <x v="0"/>
    <x v="1"/>
    <x v="16"/>
    <n v="190801"/>
    <n v="190801"/>
    <m/>
    <n v="18"/>
    <n v="190801"/>
    <n v="630000"/>
  </r>
  <r>
    <x v="156"/>
    <x v="0"/>
    <m/>
    <x v="0"/>
    <x v="7"/>
    <x v="15"/>
    <n v="190801"/>
    <n v="190801"/>
    <m/>
    <n v="36"/>
    <n v="190801"/>
    <n v="720000"/>
  </r>
  <r>
    <x v="156"/>
    <x v="0"/>
    <m/>
    <x v="1"/>
    <x v="2"/>
    <x v="18"/>
    <n v="190801"/>
    <n v="190801"/>
    <m/>
    <n v="15"/>
    <n v="190801"/>
    <n v="300000"/>
  </r>
  <r>
    <x v="156"/>
    <x v="0"/>
    <m/>
    <x v="1"/>
    <x v="2"/>
    <x v="21"/>
    <n v="190801"/>
    <n v="190801"/>
    <m/>
    <n v="3"/>
    <n v="190801"/>
    <n v="105000"/>
  </r>
  <r>
    <x v="156"/>
    <x v="0"/>
    <m/>
    <x v="0"/>
    <x v="2"/>
    <x v="15"/>
    <n v="190801"/>
    <n v="190801"/>
    <m/>
    <n v="125"/>
    <n v="190801"/>
    <n v="2500000"/>
  </r>
  <r>
    <x v="156"/>
    <x v="0"/>
    <m/>
    <x v="0"/>
    <x v="2"/>
    <x v="16"/>
    <n v="190801"/>
    <n v="190801"/>
    <m/>
    <n v="286"/>
    <n v="190801"/>
    <n v="10010000"/>
  </r>
  <r>
    <x v="156"/>
    <x v="0"/>
    <m/>
    <x v="0"/>
    <x v="2"/>
    <x v="17"/>
    <n v="190801"/>
    <n v="190801"/>
    <m/>
    <n v="2"/>
    <n v="190801"/>
    <n v="66000"/>
  </r>
  <r>
    <x v="156"/>
    <x v="0"/>
    <m/>
    <x v="0"/>
    <x v="2"/>
    <x v="19"/>
    <n v="190801"/>
    <n v="190801"/>
    <m/>
    <n v="133"/>
    <n v="190801"/>
    <n v="399000"/>
  </r>
  <r>
    <x v="156"/>
    <x v="0"/>
    <m/>
    <x v="19"/>
    <x v="2"/>
    <x v="22"/>
    <n v="190801"/>
    <n v="190801"/>
    <m/>
    <n v="18"/>
    <n v="190801"/>
    <n v="234000"/>
  </r>
  <r>
    <x v="156"/>
    <x v="0"/>
    <m/>
    <x v="19"/>
    <x v="2"/>
    <x v="23"/>
    <n v="190801"/>
    <n v="190801"/>
    <m/>
    <n v="1"/>
    <n v="190801"/>
    <n v="24000"/>
  </r>
  <r>
    <x v="156"/>
    <x v="0"/>
    <m/>
    <x v="0"/>
    <x v="4"/>
    <x v="15"/>
    <n v="190801"/>
    <n v="190801"/>
    <m/>
    <n v="44"/>
    <n v="190801"/>
    <n v="1386000"/>
  </r>
  <r>
    <x v="156"/>
    <x v="0"/>
    <m/>
    <x v="0"/>
    <x v="4"/>
    <x v="16"/>
    <n v="190801"/>
    <n v="190801"/>
    <m/>
    <n v="14"/>
    <n v="190801"/>
    <n v="616000"/>
  </r>
  <r>
    <x v="156"/>
    <x v="0"/>
    <m/>
    <x v="1"/>
    <x v="4"/>
    <x v="18"/>
    <n v="190801"/>
    <n v="190801"/>
    <m/>
    <n v="2"/>
    <n v="190801"/>
    <n v="63000"/>
  </r>
  <r>
    <x v="157"/>
    <x v="2"/>
    <m/>
    <x v="0"/>
    <x v="1"/>
    <x v="15"/>
    <n v="190801"/>
    <n v="190801"/>
    <m/>
    <n v="3"/>
    <n v="190801"/>
    <n v="60000"/>
  </r>
  <r>
    <x v="157"/>
    <x v="2"/>
    <m/>
    <x v="0"/>
    <x v="1"/>
    <x v="16"/>
    <n v="190801"/>
    <n v="190801"/>
    <m/>
    <n v="17"/>
    <n v="190801"/>
    <n v="595000"/>
  </r>
  <r>
    <x v="157"/>
    <x v="2"/>
    <m/>
    <x v="0"/>
    <x v="7"/>
    <x v="15"/>
    <n v="190801"/>
    <n v="190801"/>
    <m/>
    <n v="25"/>
    <n v="190801"/>
    <n v="500000"/>
  </r>
  <r>
    <x v="157"/>
    <x v="2"/>
    <m/>
    <x v="0"/>
    <x v="3"/>
    <x v="15"/>
    <n v="190801"/>
    <n v="190801"/>
    <m/>
    <n v="1"/>
    <n v="190801"/>
    <n v="0"/>
  </r>
  <r>
    <x v="157"/>
    <x v="2"/>
    <m/>
    <x v="1"/>
    <x v="2"/>
    <x v="18"/>
    <n v="190801"/>
    <n v="190801"/>
    <m/>
    <n v="13"/>
    <n v="190801"/>
    <n v="260000"/>
  </r>
  <r>
    <x v="157"/>
    <x v="2"/>
    <m/>
    <x v="1"/>
    <x v="2"/>
    <x v="21"/>
    <n v="190801"/>
    <n v="190801"/>
    <m/>
    <n v="3"/>
    <n v="190801"/>
    <n v="105000"/>
  </r>
  <r>
    <x v="157"/>
    <x v="2"/>
    <m/>
    <x v="0"/>
    <x v="2"/>
    <x v="15"/>
    <n v="190801"/>
    <n v="190801"/>
    <m/>
    <n v="97"/>
    <n v="190801"/>
    <n v="1940000"/>
  </r>
  <r>
    <x v="157"/>
    <x v="2"/>
    <m/>
    <x v="0"/>
    <x v="2"/>
    <x v="16"/>
    <n v="190801"/>
    <n v="190801"/>
    <m/>
    <n v="100"/>
    <n v="190801"/>
    <n v="3500000"/>
  </r>
  <r>
    <x v="157"/>
    <x v="2"/>
    <m/>
    <x v="0"/>
    <x v="2"/>
    <x v="17"/>
    <n v="190801"/>
    <n v="190801"/>
    <m/>
    <n v="42"/>
    <n v="190801"/>
    <n v="1386000"/>
  </r>
  <r>
    <x v="157"/>
    <x v="2"/>
    <m/>
    <x v="0"/>
    <x v="2"/>
    <x v="19"/>
    <n v="190801"/>
    <n v="190801"/>
    <m/>
    <n v="104"/>
    <n v="190801"/>
    <n v="312000"/>
  </r>
  <r>
    <x v="157"/>
    <x v="2"/>
    <m/>
    <x v="19"/>
    <x v="2"/>
    <x v="22"/>
    <n v="190801"/>
    <n v="190801"/>
    <m/>
    <n v="14"/>
    <n v="190801"/>
    <n v="182000"/>
  </r>
  <r>
    <x v="157"/>
    <x v="2"/>
    <m/>
    <x v="19"/>
    <x v="2"/>
    <x v="23"/>
    <n v="190801"/>
    <n v="190801"/>
    <m/>
    <n v="3"/>
    <n v="190801"/>
    <n v="72000"/>
  </r>
  <r>
    <x v="157"/>
    <x v="2"/>
    <m/>
    <x v="0"/>
    <x v="4"/>
    <x v="15"/>
    <n v="190801"/>
    <n v="190801"/>
    <m/>
    <n v="33"/>
    <n v="190801"/>
    <n v="1039500"/>
  </r>
  <r>
    <x v="157"/>
    <x v="2"/>
    <m/>
    <x v="0"/>
    <x v="4"/>
    <x v="16"/>
    <n v="190801"/>
    <n v="190801"/>
    <m/>
    <n v="25"/>
    <n v="190801"/>
    <n v="1100000"/>
  </r>
  <r>
    <x v="158"/>
    <x v="5"/>
    <m/>
    <x v="0"/>
    <x v="7"/>
    <x v="15"/>
    <n v="190801"/>
    <n v="190801"/>
    <m/>
    <n v="27"/>
    <n v="190801"/>
    <n v="540000"/>
  </r>
  <r>
    <x v="158"/>
    <x v="5"/>
    <m/>
    <x v="1"/>
    <x v="2"/>
    <x v="18"/>
    <n v="190801"/>
    <n v="190801"/>
    <m/>
    <n v="11"/>
    <n v="190801"/>
    <n v="220000"/>
  </r>
  <r>
    <x v="158"/>
    <x v="5"/>
    <m/>
    <x v="1"/>
    <x v="2"/>
    <x v="21"/>
    <n v="190801"/>
    <n v="190801"/>
    <m/>
    <n v="2"/>
    <n v="190801"/>
    <n v="70000"/>
  </r>
  <r>
    <x v="158"/>
    <x v="5"/>
    <m/>
    <x v="0"/>
    <x v="2"/>
    <x v="15"/>
    <n v="190801"/>
    <n v="190801"/>
    <m/>
    <n v="99"/>
    <n v="190801"/>
    <n v="1980000"/>
  </r>
  <r>
    <x v="158"/>
    <x v="5"/>
    <m/>
    <x v="0"/>
    <x v="2"/>
    <x v="16"/>
    <n v="190801"/>
    <n v="190801"/>
    <m/>
    <n v="63"/>
    <n v="190801"/>
    <n v="2205000"/>
  </r>
  <r>
    <x v="158"/>
    <x v="5"/>
    <m/>
    <x v="0"/>
    <x v="2"/>
    <x v="17"/>
    <n v="190801"/>
    <n v="190801"/>
    <m/>
    <n v="93"/>
    <n v="190801"/>
    <n v="3069000"/>
  </r>
  <r>
    <x v="158"/>
    <x v="5"/>
    <m/>
    <x v="0"/>
    <x v="2"/>
    <x v="19"/>
    <n v="190801"/>
    <n v="190801"/>
    <m/>
    <n v="101"/>
    <n v="190801"/>
    <n v="303000"/>
  </r>
  <r>
    <x v="158"/>
    <x v="5"/>
    <m/>
    <x v="19"/>
    <x v="2"/>
    <x v="22"/>
    <n v="190801"/>
    <n v="190801"/>
    <m/>
    <n v="13"/>
    <n v="190801"/>
    <n v="169000"/>
  </r>
  <r>
    <x v="158"/>
    <x v="5"/>
    <m/>
    <x v="19"/>
    <x v="2"/>
    <x v="23"/>
    <n v="190801"/>
    <n v="190801"/>
    <m/>
    <n v="2"/>
    <n v="190801"/>
    <n v="48000"/>
  </r>
  <r>
    <x v="159"/>
    <x v="6"/>
    <m/>
    <x v="0"/>
    <x v="7"/>
    <x v="15"/>
    <n v="190801"/>
    <n v="190801"/>
    <m/>
    <n v="32"/>
    <n v="190801"/>
    <n v="640000"/>
  </r>
  <r>
    <x v="159"/>
    <x v="6"/>
    <m/>
    <x v="1"/>
    <x v="2"/>
    <x v="18"/>
    <n v="190801"/>
    <n v="190801"/>
    <m/>
    <n v="13"/>
    <n v="190801"/>
    <n v="260000"/>
  </r>
  <r>
    <x v="159"/>
    <x v="6"/>
    <m/>
    <x v="1"/>
    <x v="2"/>
    <x v="21"/>
    <n v="190801"/>
    <n v="190801"/>
    <m/>
    <n v="1"/>
    <n v="190801"/>
    <n v="35000"/>
  </r>
  <r>
    <x v="159"/>
    <x v="6"/>
    <m/>
    <x v="0"/>
    <x v="2"/>
    <x v="15"/>
    <n v="190801"/>
    <n v="190801"/>
    <m/>
    <n v="98"/>
    <n v="190801"/>
    <n v="1960000"/>
  </r>
  <r>
    <x v="159"/>
    <x v="6"/>
    <m/>
    <x v="0"/>
    <x v="2"/>
    <x v="16"/>
    <n v="190801"/>
    <n v="190801"/>
    <m/>
    <n v="68"/>
    <n v="190801"/>
    <n v="2380000"/>
  </r>
  <r>
    <x v="159"/>
    <x v="6"/>
    <m/>
    <x v="0"/>
    <x v="2"/>
    <x v="17"/>
    <n v="190801"/>
    <n v="190801"/>
    <m/>
    <n v="112"/>
    <n v="190801"/>
    <n v="3696000"/>
  </r>
  <r>
    <x v="159"/>
    <x v="6"/>
    <m/>
    <x v="0"/>
    <x v="2"/>
    <x v="19"/>
    <n v="190801"/>
    <n v="190801"/>
    <m/>
    <n v="113"/>
    <n v="190801"/>
    <n v="339000"/>
  </r>
  <r>
    <x v="159"/>
    <x v="6"/>
    <m/>
    <x v="19"/>
    <x v="2"/>
    <x v="22"/>
    <n v="190801"/>
    <n v="190801"/>
    <m/>
    <n v="19"/>
    <n v="190801"/>
    <n v="247000"/>
  </r>
  <r>
    <x v="159"/>
    <x v="6"/>
    <m/>
    <x v="19"/>
    <x v="2"/>
    <x v="23"/>
    <n v="190801"/>
    <n v="190801"/>
    <m/>
    <n v="2"/>
    <n v="190801"/>
    <n v="48000"/>
  </r>
  <r>
    <x v="159"/>
    <x v="6"/>
    <m/>
    <x v="19"/>
    <x v="2"/>
    <x v="24"/>
    <n v="190801"/>
    <n v="190801"/>
    <m/>
    <n v="1"/>
    <n v="190801"/>
    <n v="33000"/>
  </r>
  <r>
    <x v="159"/>
    <x v="6"/>
    <m/>
    <x v="20"/>
    <x v="6"/>
    <x v="25"/>
    <n v="190801"/>
    <n v="190801"/>
    <m/>
    <n v="1325"/>
    <n v="190801"/>
    <n v="12873700"/>
  </r>
  <r>
    <x v="159"/>
    <x v="6"/>
    <m/>
    <x v="0"/>
    <x v="6"/>
    <x v="15"/>
    <n v="190801"/>
    <n v="190801"/>
    <m/>
    <n v="632"/>
    <n v="190801"/>
    <n v="5730976"/>
  </r>
  <r>
    <x v="159"/>
    <x v="6"/>
    <m/>
    <x v="1"/>
    <x v="6"/>
    <x v="18"/>
    <n v="190801"/>
    <n v="190801"/>
    <m/>
    <n v="3"/>
    <n v="190801"/>
    <n v="27615"/>
  </r>
  <r>
    <x v="159"/>
    <x v="6"/>
    <m/>
    <x v="19"/>
    <x v="6"/>
    <x v="22"/>
    <n v="190801"/>
    <n v="190801"/>
    <m/>
    <n v="9"/>
    <n v="190801"/>
    <n v="61119"/>
  </r>
  <r>
    <x v="160"/>
    <x v="3"/>
    <m/>
    <x v="0"/>
    <x v="1"/>
    <x v="15"/>
    <n v="190801"/>
    <n v="190801"/>
    <m/>
    <n v="4"/>
    <n v="190801"/>
    <n v="80000"/>
  </r>
  <r>
    <x v="160"/>
    <x v="3"/>
    <m/>
    <x v="0"/>
    <x v="1"/>
    <x v="16"/>
    <n v="190801"/>
    <n v="190801"/>
    <m/>
    <n v="34"/>
    <n v="190801"/>
    <n v="1190000"/>
  </r>
  <r>
    <x v="160"/>
    <x v="3"/>
    <m/>
    <x v="0"/>
    <x v="7"/>
    <x v="15"/>
    <n v="190801"/>
    <n v="190801"/>
    <m/>
    <n v="22"/>
    <n v="190801"/>
    <n v="440000"/>
  </r>
  <r>
    <x v="160"/>
    <x v="3"/>
    <m/>
    <x v="1"/>
    <x v="2"/>
    <x v="18"/>
    <n v="190801"/>
    <n v="190801"/>
    <m/>
    <n v="13"/>
    <n v="190801"/>
    <n v="260000"/>
  </r>
  <r>
    <x v="160"/>
    <x v="3"/>
    <m/>
    <x v="1"/>
    <x v="2"/>
    <x v="21"/>
    <n v="190801"/>
    <n v="190801"/>
    <m/>
    <n v="3"/>
    <n v="190801"/>
    <n v="105000"/>
  </r>
  <r>
    <x v="160"/>
    <x v="3"/>
    <m/>
    <x v="0"/>
    <x v="2"/>
    <x v="15"/>
    <n v="190801"/>
    <n v="190801"/>
    <m/>
    <n v="87"/>
    <n v="190801"/>
    <n v="1740000"/>
  </r>
  <r>
    <x v="160"/>
    <x v="3"/>
    <m/>
    <x v="0"/>
    <x v="2"/>
    <x v="16"/>
    <n v="190801"/>
    <n v="190801"/>
    <m/>
    <n v="78"/>
    <n v="190801"/>
    <n v="2730000"/>
  </r>
  <r>
    <x v="160"/>
    <x v="3"/>
    <m/>
    <x v="0"/>
    <x v="2"/>
    <x v="17"/>
    <n v="190801"/>
    <n v="190801"/>
    <m/>
    <n v="137"/>
    <n v="190801"/>
    <n v="4521000"/>
  </r>
  <r>
    <x v="160"/>
    <x v="3"/>
    <m/>
    <x v="0"/>
    <x v="2"/>
    <x v="19"/>
    <n v="190801"/>
    <n v="190801"/>
    <m/>
    <n v="105"/>
    <n v="190801"/>
    <n v="315000"/>
  </r>
  <r>
    <x v="160"/>
    <x v="3"/>
    <m/>
    <x v="19"/>
    <x v="2"/>
    <x v="22"/>
    <n v="190801"/>
    <n v="190801"/>
    <m/>
    <n v="17"/>
    <n v="190801"/>
    <n v="221000"/>
  </r>
  <r>
    <x v="160"/>
    <x v="3"/>
    <m/>
    <x v="19"/>
    <x v="2"/>
    <x v="23"/>
    <n v="190801"/>
    <n v="190801"/>
    <m/>
    <n v="3"/>
    <n v="190801"/>
    <n v="72000"/>
  </r>
  <r>
    <x v="160"/>
    <x v="3"/>
    <m/>
    <x v="19"/>
    <x v="2"/>
    <x v="24"/>
    <n v="190801"/>
    <n v="190801"/>
    <m/>
    <n v="1"/>
    <n v="190801"/>
    <n v="33000"/>
  </r>
  <r>
    <x v="160"/>
    <x v="3"/>
    <m/>
    <x v="0"/>
    <x v="4"/>
    <x v="15"/>
    <n v="190801"/>
    <n v="190801"/>
    <m/>
    <n v="85"/>
    <n v="190801"/>
    <n v="2677500"/>
  </r>
  <r>
    <x v="160"/>
    <x v="3"/>
    <m/>
    <x v="0"/>
    <x v="4"/>
    <x v="16"/>
    <n v="190801"/>
    <n v="190801"/>
    <m/>
    <n v="42"/>
    <n v="190801"/>
    <n v="1848000"/>
  </r>
  <r>
    <x v="160"/>
    <x v="3"/>
    <m/>
    <x v="1"/>
    <x v="4"/>
    <x v="18"/>
    <n v="190801"/>
    <n v="190801"/>
    <m/>
    <n v="3"/>
    <n v="190801"/>
    <n v="94500"/>
  </r>
  <r>
    <x v="161"/>
    <x v="4"/>
    <m/>
    <x v="0"/>
    <x v="1"/>
    <x v="15"/>
    <n v="190801"/>
    <n v="190801"/>
    <m/>
    <n v="4"/>
    <n v="190801"/>
    <n v="80000"/>
  </r>
  <r>
    <x v="161"/>
    <x v="4"/>
    <m/>
    <x v="0"/>
    <x v="1"/>
    <x v="16"/>
    <n v="190801"/>
    <n v="190801"/>
    <m/>
    <n v="12"/>
    <n v="190801"/>
    <n v="420000"/>
  </r>
  <r>
    <x v="161"/>
    <x v="4"/>
    <m/>
    <x v="0"/>
    <x v="7"/>
    <x v="15"/>
    <n v="190801"/>
    <n v="190801"/>
    <m/>
    <n v="27"/>
    <n v="190801"/>
    <n v="540000"/>
  </r>
  <r>
    <x v="161"/>
    <x v="4"/>
    <m/>
    <x v="1"/>
    <x v="2"/>
    <x v="18"/>
    <n v="190801"/>
    <n v="190801"/>
    <m/>
    <n v="13"/>
    <n v="190801"/>
    <n v="260000"/>
  </r>
  <r>
    <x v="161"/>
    <x v="4"/>
    <m/>
    <x v="1"/>
    <x v="2"/>
    <x v="21"/>
    <n v="190801"/>
    <n v="190801"/>
    <m/>
    <n v="2"/>
    <n v="190801"/>
    <n v="70000"/>
  </r>
  <r>
    <x v="161"/>
    <x v="4"/>
    <m/>
    <x v="4"/>
    <x v="2"/>
    <x v="26"/>
    <n v="190801"/>
    <n v="190801"/>
    <m/>
    <n v="2"/>
    <n v="190801"/>
    <n v="8000"/>
  </r>
  <r>
    <x v="161"/>
    <x v="4"/>
    <m/>
    <x v="4"/>
    <x v="2"/>
    <x v="27"/>
    <n v="190801"/>
    <n v="190801"/>
    <m/>
    <n v="6"/>
    <n v="190801"/>
    <n v="120000"/>
  </r>
  <r>
    <x v="161"/>
    <x v="4"/>
    <m/>
    <x v="0"/>
    <x v="2"/>
    <x v="15"/>
    <n v="190801"/>
    <n v="190801"/>
    <m/>
    <n v="93"/>
    <n v="190801"/>
    <n v="1860000"/>
  </r>
  <r>
    <x v="161"/>
    <x v="4"/>
    <m/>
    <x v="0"/>
    <x v="2"/>
    <x v="16"/>
    <n v="190801"/>
    <n v="190801"/>
    <m/>
    <n v="58"/>
    <n v="190801"/>
    <n v="2030000"/>
  </r>
  <r>
    <x v="161"/>
    <x v="4"/>
    <m/>
    <x v="0"/>
    <x v="2"/>
    <x v="17"/>
    <n v="190801"/>
    <n v="190801"/>
    <m/>
    <n v="106"/>
    <n v="190801"/>
    <n v="3498000"/>
  </r>
  <r>
    <x v="161"/>
    <x v="4"/>
    <m/>
    <x v="0"/>
    <x v="2"/>
    <x v="19"/>
    <n v="190801"/>
    <n v="190801"/>
    <m/>
    <n v="113"/>
    <n v="190801"/>
    <n v="339000"/>
  </r>
  <r>
    <x v="161"/>
    <x v="4"/>
    <m/>
    <x v="19"/>
    <x v="2"/>
    <x v="22"/>
    <n v="190801"/>
    <n v="190801"/>
    <m/>
    <n v="17"/>
    <n v="190801"/>
    <n v="221000"/>
  </r>
  <r>
    <x v="161"/>
    <x v="4"/>
    <m/>
    <x v="19"/>
    <x v="2"/>
    <x v="23"/>
    <n v="190801"/>
    <n v="190801"/>
    <m/>
    <n v="1"/>
    <n v="190801"/>
    <n v="24000"/>
  </r>
  <r>
    <x v="161"/>
    <x v="4"/>
    <m/>
    <x v="19"/>
    <x v="2"/>
    <x v="24"/>
    <n v="190801"/>
    <n v="190801"/>
    <m/>
    <n v="1"/>
    <n v="190801"/>
    <n v="33000"/>
  </r>
  <r>
    <x v="161"/>
    <x v="4"/>
    <m/>
    <x v="0"/>
    <x v="4"/>
    <x v="15"/>
    <n v="190801"/>
    <n v="190801"/>
    <m/>
    <n v="12"/>
    <n v="190801"/>
    <n v="378000"/>
  </r>
  <r>
    <x v="161"/>
    <x v="4"/>
    <m/>
    <x v="0"/>
    <x v="4"/>
    <x v="16"/>
    <n v="190801"/>
    <n v="190801"/>
    <m/>
    <n v="12"/>
    <n v="190801"/>
    <n v="528000"/>
  </r>
  <r>
    <x v="161"/>
    <x v="4"/>
    <m/>
    <x v="1"/>
    <x v="4"/>
    <x v="18"/>
    <n v="190801"/>
    <n v="190801"/>
    <m/>
    <n v="1"/>
    <n v="190801"/>
    <n v="31500"/>
  </r>
  <r>
    <x v="162"/>
    <x v="1"/>
    <m/>
    <x v="0"/>
    <x v="1"/>
    <x v="15"/>
    <n v="190801"/>
    <n v="190801"/>
    <m/>
    <n v="5"/>
    <n v="190801"/>
    <n v="100000"/>
  </r>
  <r>
    <x v="162"/>
    <x v="1"/>
    <m/>
    <x v="0"/>
    <x v="1"/>
    <x v="16"/>
    <n v="190801"/>
    <n v="190801"/>
    <m/>
    <n v="21"/>
    <n v="190801"/>
    <n v="735000"/>
  </r>
  <r>
    <x v="162"/>
    <x v="1"/>
    <m/>
    <x v="0"/>
    <x v="7"/>
    <x v="15"/>
    <n v="190801"/>
    <n v="190801"/>
    <m/>
    <n v="20"/>
    <n v="190801"/>
    <n v="400000"/>
  </r>
  <r>
    <x v="162"/>
    <x v="1"/>
    <m/>
    <x v="1"/>
    <x v="2"/>
    <x v="18"/>
    <n v="190801"/>
    <n v="190801"/>
    <m/>
    <n v="7"/>
    <n v="190801"/>
    <n v="140000"/>
  </r>
  <r>
    <x v="162"/>
    <x v="1"/>
    <m/>
    <x v="1"/>
    <x v="2"/>
    <x v="21"/>
    <n v="190801"/>
    <n v="190801"/>
    <m/>
    <n v="2"/>
    <n v="190801"/>
    <n v="70000"/>
  </r>
  <r>
    <x v="162"/>
    <x v="1"/>
    <m/>
    <x v="4"/>
    <x v="2"/>
    <x v="26"/>
    <n v="190801"/>
    <n v="190801"/>
    <m/>
    <n v="9"/>
    <n v="190801"/>
    <n v="36000"/>
  </r>
  <r>
    <x v="162"/>
    <x v="1"/>
    <m/>
    <x v="4"/>
    <x v="2"/>
    <x v="27"/>
    <n v="190801"/>
    <n v="190801"/>
    <m/>
    <n v="10"/>
    <n v="190801"/>
    <n v="200000"/>
  </r>
  <r>
    <x v="162"/>
    <x v="1"/>
    <m/>
    <x v="0"/>
    <x v="2"/>
    <x v="15"/>
    <n v="190801"/>
    <n v="190801"/>
    <m/>
    <n v="82"/>
    <n v="190801"/>
    <n v="1640000"/>
  </r>
  <r>
    <x v="162"/>
    <x v="1"/>
    <m/>
    <x v="0"/>
    <x v="2"/>
    <x v="16"/>
    <n v="190801"/>
    <n v="190801"/>
    <m/>
    <n v="271"/>
    <n v="190801"/>
    <n v="9485000"/>
  </r>
  <r>
    <x v="162"/>
    <x v="1"/>
    <m/>
    <x v="0"/>
    <x v="2"/>
    <x v="17"/>
    <n v="190801"/>
    <n v="190801"/>
    <m/>
    <n v="216"/>
    <n v="190801"/>
    <n v="7128000"/>
  </r>
  <r>
    <x v="162"/>
    <x v="1"/>
    <m/>
    <x v="0"/>
    <x v="2"/>
    <x v="19"/>
    <n v="190801"/>
    <n v="190801"/>
    <m/>
    <n v="97"/>
    <n v="190801"/>
    <n v="291000"/>
  </r>
  <r>
    <x v="162"/>
    <x v="1"/>
    <m/>
    <x v="19"/>
    <x v="2"/>
    <x v="22"/>
    <n v="190801"/>
    <n v="190801"/>
    <m/>
    <n v="9"/>
    <n v="190801"/>
    <n v="117000"/>
  </r>
  <r>
    <x v="162"/>
    <x v="1"/>
    <m/>
    <x v="0"/>
    <x v="4"/>
    <x v="15"/>
    <n v="190801"/>
    <n v="190801"/>
    <m/>
    <n v="19"/>
    <n v="190801"/>
    <n v="598500"/>
  </r>
  <r>
    <x v="162"/>
    <x v="1"/>
    <m/>
    <x v="0"/>
    <x v="4"/>
    <x v="16"/>
    <n v="190801"/>
    <n v="190801"/>
    <m/>
    <n v="10"/>
    <n v="190801"/>
    <n v="440000"/>
  </r>
  <r>
    <x v="162"/>
    <x v="1"/>
    <m/>
    <x v="19"/>
    <x v="3"/>
    <x v="22"/>
    <n v="190801"/>
    <n v="190801"/>
    <m/>
    <n v="30"/>
    <n v="190801"/>
    <n v="0"/>
  </r>
  <r>
    <x v="163"/>
    <x v="0"/>
    <m/>
    <x v="0"/>
    <x v="1"/>
    <x v="15"/>
    <n v="190801"/>
    <n v="190801"/>
    <m/>
    <n v="2"/>
    <n v="190801"/>
    <n v="40000"/>
  </r>
  <r>
    <x v="163"/>
    <x v="0"/>
    <m/>
    <x v="0"/>
    <x v="1"/>
    <x v="16"/>
    <n v="190801"/>
    <n v="190801"/>
    <m/>
    <n v="4"/>
    <n v="190801"/>
    <n v="140000"/>
  </r>
  <r>
    <x v="163"/>
    <x v="0"/>
    <m/>
    <x v="0"/>
    <x v="7"/>
    <x v="15"/>
    <n v="190801"/>
    <n v="190801"/>
    <m/>
    <n v="15"/>
    <n v="190801"/>
    <n v="300000"/>
  </r>
  <r>
    <x v="163"/>
    <x v="0"/>
    <m/>
    <x v="1"/>
    <x v="2"/>
    <x v="18"/>
    <n v="190801"/>
    <n v="190801"/>
    <m/>
    <n v="12"/>
    <n v="190801"/>
    <n v="240000"/>
  </r>
  <r>
    <x v="163"/>
    <x v="0"/>
    <m/>
    <x v="1"/>
    <x v="2"/>
    <x v="21"/>
    <n v="190801"/>
    <n v="190801"/>
    <m/>
    <n v="1"/>
    <n v="190801"/>
    <n v="35000"/>
  </r>
  <r>
    <x v="163"/>
    <x v="0"/>
    <m/>
    <x v="0"/>
    <x v="2"/>
    <x v="15"/>
    <n v="190801"/>
    <n v="190801"/>
    <m/>
    <n v="89"/>
    <n v="190801"/>
    <n v="1780000"/>
  </r>
  <r>
    <x v="163"/>
    <x v="0"/>
    <m/>
    <x v="0"/>
    <x v="2"/>
    <x v="16"/>
    <n v="190801"/>
    <n v="190801"/>
    <m/>
    <n v="60"/>
    <n v="190801"/>
    <n v="2100000"/>
  </r>
  <r>
    <x v="163"/>
    <x v="0"/>
    <m/>
    <x v="0"/>
    <x v="2"/>
    <x v="17"/>
    <n v="190801"/>
    <n v="190801"/>
    <m/>
    <n v="80"/>
    <n v="190801"/>
    <n v="2640000"/>
  </r>
  <r>
    <x v="163"/>
    <x v="0"/>
    <m/>
    <x v="0"/>
    <x v="2"/>
    <x v="19"/>
    <n v="190801"/>
    <n v="190801"/>
    <m/>
    <n v="89"/>
    <n v="190801"/>
    <n v="267000"/>
  </r>
  <r>
    <x v="163"/>
    <x v="0"/>
    <m/>
    <x v="19"/>
    <x v="2"/>
    <x v="22"/>
    <n v="190801"/>
    <n v="190801"/>
    <m/>
    <n v="15"/>
    <n v="190801"/>
    <n v="195000"/>
  </r>
  <r>
    <x v="163"/>
    <x v="0"/>
    <m/>
    <x v="0"/>
    <x v="4"/>
    <x v="15"/>
    <n v="190801"/>
    <n v="190801"/>
    <m/>
    <n v="28"/>
    <n v="190801"/>
    <n v="882000"/>
  </r>
  <r>
    <x v="163"/>
    <x v="0"/>
    <m/>
    <x v="0"/>
    <x v="4"/>
    <x v="16"/>
    <n v="190801"/>
    <n v="190801"/>
    <m/>
    <n v="13"/>
    <n v="190801"/>
    <n v="572000"/>
  </r>
  <r>
    <x v="163"/>
    <x v="0"/>
    <m/>
    <x v="19"/>
    <x v="4"/>
    <x v="22"/>
    <n v="190801"/>
    <n v="190801"/>
    <m/>
    <n v="2"/>
    <n v="190801"/>
    <n v="50000"/>
  </r>
  <r>
    <x v="163"/>
    <x v="0"/>
    <m/>
    <x v="1"/>
    <x v="4"/>
    <x v="18"/>
    <n v="190801"/>
    <n v="190801"/>
    <m/>
    <n v="1"/>
    <n v="190801"/>
    <n v="31500"/>
  </r>
  <r>
    <x v="163"/>
    <x v="0"/>
    <m/>
    <x v="4"/>
    <x v="2"/>
    <x v="26"/>
    <n v="190801"/>
    <n v="190801"/>
    <m/>
    <n v="2"/>
    <n v="190801"/>
    <n v="8000"/>
  </r>
  <r>
    <x v="163"/>
    <x v="0"/>
    <m/>
    <x v="4"/>
    <x v="2"/>
    <x v="27"/>
    <n v="190801"/>
    <n v="190801"/>
    <m/>
    <n v="8"/>
    <n v="190801"/>
    <n v="160000"/>
  </r>
  <r>
    <x v="164"/>
    <x v="2"/>
    <m/>
    <x v="0"/>
    <x v="1"/>
    <x v="15"/>
    <n v="190801"/>
    <n v="190801"/>
    <m/>
    <n v="2"/>
    <n v="190801"/>
    <n v="40000"/>
  </r>
  <r>
    <x v="164"/>
    <x v="2"/>
    <m/>
    <x v="0"/>
    <x v="1"/>
    <x v="16"/>
    <n v="190801"/>
    <n v="190801"/>
    <m/>
    <n v="27"/>
    <n v="190801"/>
    <n v="945000"/>
  </r>
  <r>
    <x v="164"/>
    <x v="2"/>
    <m/>
    <x v="0"/>
    <x v="7"/>
    <x v="15"/>
    <n v="190801"/>
    <n v="190801"/>
    <m/>
    <n v="8"/>
    <n v="190801"/>
    <n v="160000"/>
  </r>
  <r>
    <x v="164"/>
    <x v="2"/>
    <m/>
    <x v="1"/>
    <x v="2"/>
    <x v="18"/>
    <n v="190801"/>
    <n v="190801"/>
    <m/>
    <n v="10"/>
    <n v="190801"/>
    <n v="200000"/>
  </r>
  <r>
    <x v="164"/>
    <x v="2"/>
    <m/>
    <x v="1"/>
    <x v="2"/>
    <x v="21"/>
    <n v="190801"/>
    <n v="190801"/>
    <m/>
    <n v="1"/>
    <n v="190801"/>
    <n v="35000"/>
  </r>
  <r>
    <x v="164"/>
    <x v="2"/>
    <m/>
    <x v="0"/>
    <x v="2"/>
    <x v="15"/>
    <n v="190801"/>
    <n v="190801"/>
    <m/>
    <n v="34"/>
    <n v="190801"/>
    <n v="680000"/>
  </r>
  <r>
    <x v="164"/>
    <x v="2"/>
    <m/>
    <x v="0"/>
    <x v="2"/>
    <x v="16"/>
    <n v="190801"/>
    <n v="190801"/>
    <m/>
    <n v="27"/>
    <n v="190801"/>
    <n v="945000"/>
  </r>
  <r>
    <x v="164"/>
    <x v="2"/>
    <m/>
    <x v="0"/>
    <x v="2"/>
    <x v="17"/>
    <n v="190801"/>
    <n v="190801"/>
    <m/>
    <n v="64"/>
    <n v="190801"/>
    <n v="2112000"/>
  </r>
  <r>
    <x v="164"/>
    <x v="2"/>
    <m/>
    <x v="0"/>
    <x v="2"/>
    <x v="19"/>
    <n v="190801"/>
    <n v="190801"/>
    <m/>
    <n v="56"/>
    <n v="190801"/>
    <n v="168000"/>
  </r>
  <r>
    <x v="164"/>
    <x v="2"/>
    <m/>
    <x v="4"/>
    <x v="2"/>
    <x v="26"/>
    <n v="190801"/>
    <n v="190801"/>
    <m/>
    <n v="1"/>
    <n v="190801"/>
    <n v="4000"/>
  </r>
  <r>
    <x v="164"/>
    <x v="2"/>
    <m/>
    <x v="4"/>
    <x v="2"/>
    <x v="27"/>
    <n v="190801"/>
    <n v="190801"/>
    <m/>
    <n v="6"/>
    <n v="190801"/>
    <n v="120000"/>
  </r>
  <r>
    <x v="164"/>
    <x v="2"/>
    <m/>
    <x v="0"/>
    <x v="4"/>
    <x v="15"/>
    <n v="190801"/>
    <n v="190801"/>
    <m/>
    <n v="9"/>
    <n v="190801"/>
    <n v="283500"/>
  </r>
  <r>
    <x v="164"/>
    <x v="2"/>
    <m/>
    <x v="0"/>
    <x v="4"/>
    <x v="16"/>
    <n v="190801"/>
    <n v="190801"/>
    <m/>
    <n v="9"/>
    <n v="190801"/>
    <n v="396000"/>
  </r>
  <r>
    <x v="164"/>
    <x v="2"/>
    <m/>
    <x v="19"/>
    <x v="2"/>
    <x v="22"/>
    <n v="190801"/>
    <n v="190801"/>
    <m/>
    <n v="5"/>
    <n v="190801"/>
    <n v="65000"/>
  </r>
  <r>
    <x v="165"/>
    <x v="5"/>
    <m/>
    <x v="0"/>
    <x v="7"/>
    <x v="15"/>
    <n v="190801"/>
    <n v="190801"/>
    <m/>
    <n v="3"/>
    <n v="190801"/>
    <n v="60000"/>
  </r>
  <r>
    <x v="165"/>
    <x v="5"/>
    <m/>
    <x v="1"/>
    <x v="2"/>
    <x v="18"/>
    <n v="190801"/>
    <n v="190801"/>
    <m/>
    <n v="8"/>
    <n v="190801"/>
    <n v="160000"/>
  </r>
  <r>
    <x v="165"/>
    <x v="5"/>
    <m/>
    <x v="4"/>
    <x v="2"/>
    <x v="26"/>
    <n v="190801"/>
    <n v="190801"/>
    <m/>
    <n v="6"/>
    <n v="190801"/>
    <n v="24000"/>
  </r>
  <r>
    <x v="165"/>
    <x v="5"/>
    <m/>
    <x v="4"/>
    <x v="2"/>
    <x v="27"/>
    <n v="190801"/>
    <n v="190801"/>
    <m/>
    <n v="6"/>
    <n v="190801"/>
    <n v="120000"/>
  </r>
  <r>
    <x v="165"/>
    <x v="5"/>
    <m/>
    <x v="0"/>
    <x v="2"/>
    <x v="15"/>
    <n v="190801"/>
    <n v="190801"/>
    <m/>
    <n v="41"/>
    <n v="190801"/>
    <n v="820000"/>
  </r>
  <r>
    <x v="165"/>
    <x v="5"/>
    <m/>
    <x v="0"/>
    <x v="2"/>
    <x v="16"/>
    <n v="190801"/>
    <n v="190801"/>
    <m/>
    <n v="34"/>
    <n v="190801"/>
    <n v="1190000"/>
  </r>
  <r>
    <x v="165"/>
    <x v="5"/>
    <m/>
    <x v="0"/>
    <x v="2"/>
    <x v="17"/>
    <n v="190801"/>
    <n v="190801"/>
    <m/>
    <n v="60"/>
    <n v="190801"/>
    <n v="1980000"/>
  </r>
  <r>
    <x v="165"/>
    <x v="5"/>
    <m/>
    <x v="19"/>
    <x v="2"/>
    <x v="22"/>
    <n v="190801"/>
    <n v="190801"/>
    <m/>
    <n v="11"/>
    <n v="190801"/>
    <n v="143000"/>
  </r>
  <r>
    <x v="165"/>
    <x v="5"/>
    <m/>
    <x v="19"/>
    <x v="2"/>
    <x v="23"/>
    <n v="190801"/>
    <n v="190801"/>
    <m/>
    <n v="2"/>
    <n v="190801"/>
    <n v="48000"/>
  </r>
  <r>
    <x v="165"/>
    <x v="5"/>
    <m/>
    <x v="0"/>
    <x v="2"/>
    <x v="19"/>
    <n v="190801"/>
    <n v="190801"/>
    <m/>
    <n v="53"/>
    <n v="190801"/>
    <n v="159000"/>
  </r>
  <r>
    <x v="166"/>
    <x v="6"/>
    <m/>
    <x v="0"/>
    <x v="1"/>
    <x v="16"/>
    <n v="190801"/>
    <n v="190801"/>
    <m/>
    <n v="7"/>
    <n v="190801"/>
    <n v="245000"/>
  </r>
  <r>
    <x v="166"/>
    <x v="6"/>
    <m/>
    <x v="0"/>
    <x v="7"/>
    <x v="15"/>
    <n v="190801"/>
    <n v="190801"/>
    <m/>
    <n v="3"/>
    <n v="190801"/>
    <n v="60000"/>
  </r>
  <r>
    <x v="166"/>
    <x v="6"/>
    <m/>
    <x v="1"/>
    <x v="2"/>
    <x v="18"/>
    <n v="190801"/>
    <n v="190801"/>
    <m/>
    <n v="9"/>
    <n v="190801"/>
    <n v="180000"/>
  </r>
  <r>
    <x v="166"/>
    <x v="6"/>
    <m/>
    <x v="4"/>
    <x v="2"/>
    <x v="26"/>
    <n v="190801"/>
    <n v="190801"/>
    <m/>
    <n v="2"/>
    <n v="190801"/>
    <n v="8000"/>
  </r>
  <r>
    <x v="166"/>
    <x v="6"/>
    <m/>
    <x v="4"/>
    <x v="2"/>
    <x v="27"/>
    <n v="190801"/>
    <n v="190801"/>
    <m/>
    <n v="4"/>
    <n v="190801"/>
    <n v="80000"/>
  </r>
  <r>
    <x v="166"/>
    <x v="6"/>
    <m/>
    <x v="0"/>
    <x v="2"/>
    <x v="15"/>
    <n v="190801"/>
    <n v="190801"/>
    <m/>
    <n v="64"/>
    <n v="190801"/>
    <n v="1280000"/>
  </r>
  <r>
    <x v="166"/>
    <x v="6"/>
    <m/>
    <x v="0"/>
    <x v="2"/>
    <x v="16"/>
    <n v="190801"/>
    <n v="190801"/>
    <m/>
    <n v="43"/>
    <n v="190801"/>
    <n v="1505000"/>
  </r>
  <r>
    <x v="166"/>
    <x v="6"/>
    <m/>
    <x v="0"/>
    <x v="2"/>
    <x v="17"/>
    <n v="190801"/>
    <n v="190801"/>
    <m/>
    <n v="64"/>
    <n v="190801"/>
    <n v="2112000"/>
  </r>
  <r>
    <x v="166"/>
    <x v="6"/>
    <m/>
    <x v="19"/>
    <x v="2"/>
    <x v="22"/>
    <n v="190801"/>
    <n v="190801"/>
    <m/>
    <n v="12"/>
    <n v="190801"/>
    <n v="156000"/>
  </r>
  <r>
    <x v="166"/>
    <x v="6"/>
    <m/>
    <x v="0"/>
    <x v="2"/>
    <x v="19"/>
    <n v="190801"/>
    <n v="190801"/>
    <m/>
    <n v="74"/>
    <n v="190801"/>
    <n v="222000"/>
  </r>
  <r>
    <x v="166"/>
    <x v="6"/>
    <m/>
    <x v="20"/>
    <x v="6"/>
    <x v="25"/>
    <n v="190801"/>
    <n v="190801"/>
    <m/>
    <n v="646"/>
    <n v="190801"/>
    <n v="6276536"/>
  </r>
  <r>
    <x v="166"/>
    <x v="6"/>
    <m/>
    <x v="0"/>
    <x v="6"/>
    <x v="15"/>
    <n v="190801"/>
    <n v="190801"/>
    <m/>
    <n v="774"/>
    <n v="190801"/>
    <n v="7018632"/>
  </r>
  <r>
    <x v="166"/>
    <x v="6"/>
    <m/>
    <x v="1"/>
    <x v="6"/>
    <x v="18"/>
    <n v="190801"/>
    <n v="190801"/>
    <m/>
    <n v="10"/>
    <n v="190801"/>
    <n v="92050"/>
  </r>
  <r>
    <x v="166"/>
    <x v="6"/>
    <m/>
    <x v="19"/>
    <x v="6"/>
    <x v="22"/>
    <n v="190801"/>
    <n v="190801"/>
    <m/>
    <n v="19"/>
    <n v="190801"/>
    <n v="129029"/>
  </r>
  <r>
    <x v="167"/>
    <x v="3"/>
    <m/>
    <x v="0"/>
    <x v="1"/>
    <x v="16"/>
    <n v="190801"/>
    <n v="190801"/>
    <m/>
    <n v="6"/>
    <n v="190801"/>
    <n v="210000"/>
  </r>
  <r>
    <x v="167"/>
    <x v="3"/>
    <m/>
    <x v="0"/>
    <x v="7"/>
    <x v="15"/>
    <n v="190801"/>
    <n v="190801"/>
    <m/>
    <n v="7"/>
    <n v="190801"/>
    <n v="140000"/>
  </r>
  <r>
    <x v="167"/>
    <x v="3"/>
    <m/>
    <x v="1"/>
    <x v="2"/>
    <x v="18"/>
    <n v="190801"/>
    <n v="190801"/>
    <m/>
    <n v="6"/>
    <n v="190801"/>
    <n v="120000"/>
  </r>
  <r>
    <x v="167"/>
    <x v="3"/>
    <m/>
    <x v="1"/>
    <x v="2"/>
    <x v="21"/>
    <n v="190801"/>
    <n v="190801"/>
    <m/>
    <n v="1"/>
    <n v="190801"/>
    <n v="35000"/>
  </r>
  <r>
    <x v="167"/>
    <x v="3"/>
    <m/>
    <x v="0"/>
    <x v="2"/>
    <x v="15"/>
    <n v="190801"/>
    <n v="190801"/>
    <m/>
    <n v="64"/>
    <n v="190801"/>
    <n v="1280000"/>
  </r>
  <r>
    <x v="167"/>
    <x v="3"/>
    <m/>
    <x v="0"/>
    <x v="2"/>
    <x v="16"/>
    <n v="190801"/>
    <n v="190801"/>
    <m/>
    <n v="26"/>
    <n v="190801"/>
    <n v="910000"/>
  </r>
  <r>
    <x v="167"/>
    <x v="3"/>
    <m/>
    <x v="0"/>
    <x v="2"/>
    <x v="17"/>
    <n v="190801"/>
    <n v="190801"/>
    <m/>
    <n v="85"/>
    <n v="190801"/>
    <n v="2805000"/>
  </r>
  <r>
    <x v="167"/>
    <x v="3"/>
    <m/>
    <x v="0"/>
    <x v="2"/>
    <x v="19"/>
    <n v="190801"/>
    <n v="190801"/>
    <m/>
    <n v="56"/>
    <n v="190801"/>
    <n v="168000"/>
  </r>
  <r>
    <x v="167"/>
    <x v="3"/>
    <m/>
    <x v="19"/>
    <x v="2"/>
    <x v="22"/>
    <n v="190801"/>
    <n v="190801"/>
    <m/>
    <n v="10"/>
    <n v="190801"/>
    <n v="130000"/>
  </r>
  <r>
    <x v="167"/>
    <x v="3"/>
    <m/>
    <x v="19"/>
    <x v="2"/>
    <x v="23"/>
    <n v="190801"/>
    <n v="190801"/>
    <m/>
    <n v="1"/>
    <n v="190801"/>
    <n v="24000"/>
  </r>
  <r>
    <x v="167"/>
    <x v="3"/>
    <m/>
    <x v="4"/>
    <x v="2"/>
    <x v="26"/>
    <n v="190801"/>
    <n v="190801"/>
    <m/>
    <n v="8"/>
    <n v="190801"/>
    <n v="32000"/>
  </r>
  <r>
    <x v="167"/>
    <x v="3"/>
    <m/>
    <x v="4"/>
    <x v="2"/>
    <x v="27"/>
    <n v="190801"/>
    <n v="190801"/>
    <m/>
    <n v="3"/>
    <n v="190801"/>
    <n v="60000"/>
  </r>
  <r>
    <x v="167"/>
    <x v="3"/>
    <m/>
    <x v="0"/>
    <x v="4"/>
    <x v="15"/>
    <n v="190801"/>
    <n v="190801"/>
    <m/>
    <n v="70"/>
    <n v="190801"/>
    <n v="2205000"/>
  </r>
  <r>
    <x v="167"/>
    <x v="3"/>
    <m/>
    <x v="0"/>
    <x v="4"/>
    <x v="16"/>
    <n v="190801"/>
    <n v="190801"/>
    <m/>
    <n v="33"/>
    <n v="190801"/>
    <n v="1452000"/>
  </r>
  <r>
    <x v="167"/>
    <x v="3"/>
    <m/>
    <x v="19"/>
    <x v="4"/>
    <x v="22"/>
    <n v="190801"/>
    <n v="190801"/>
    <m/>
    <n v="3"/>
    <n v="190801"/>
    <n v="75000"/>
  </r>
  <r>
    <x v="167"/>
    <x v="3"/>
    <m/>
    <x v="1"/>
    <x v="4"/>
    <x v="18"/>
    <n v="190801"/>
    <n v="190801"/>
    <m/>
    <n v="2"/>
    <n v="190801"/>
    <n v="63000"/>
  </r>
  <r>
    <x v="168"/>
    <x v="4"/>
    <m/>
    <x v="0"/>
    <x v="1"/>
    <x v="15"/>
    <n v="190801"/>
    <n v="190801"/>
    <m/>
    <n v="1"/>
    <n v="190801"/>
    <n v="20000"/>
  </r>
  <r>
    <x v="168"/>
    <x v="4"/>
    <m/>
    <x v="0"/>
    <x v="1"/>
    <x v="16"/>
    <n v="190801"/>
    <n v="190801"/>
    <m/>
    <n v="2"/>
    <n v="190801"/>
    <n v="70000"/>
  </r>
  <r>
    <x v="168"/>
    <x v="4"/>
    <m/>
    <x v="0"/>
    <x v="7"/>
    <x v="15"/>
    <n v="190801"/>
    <n v="190801"/>
    <m/>
    <n v="7"/>
    <n v="190801"/>
    <n v="140000"/>
  </r>
  <r>
    <x v="168"/>
    <x v="4"/>
    <m/>
    <x v="1"/>
    <x v="2"/>
    <x v="18"/>
    <n v="190801"/>
    <n v="190801"/>
    <m/>
    <n v="6"/>
    <n v="190801"/>
    <n v="120000"/>
  </r>
  <r>
    <x v="168"/>
    <x v="4"/>
    <m/>
    <x v="1"/>
    <x v="2"/>
    <x v="21"/>
    <n v="190801"/>
    <n v="190801"/>
    <m/>
    <n v="1"/>
    <n v="190801"/>
    <n v="35000"/>
  </r>
  <r>
    <x v="168"/>
    <x v="4"/>
    <m/>
    <x v="0"/>
    <x v="2"/>
    <x v="15"/>
    <n v="190801"/>
    <n v="190801"/>
    <m/>
    <n v="58"/>
    <n v="190801"/>
    <n v="1160000"/>
  </r>
  <r>
    <x v="168"/>
    <x v="4"/>
    <m/>
    <x v="0"/>
    <x v="2"/>
    <x v="16"/>
    <n v="190801"/>
    <n v="190801"/>
    <m/>
    <n v="31"/>
    <n v="190801"/>
    <n v="1085000"/>
  </r>
  <r>
    <x v="168"/>
    <x v="4"/>
    <m/>
    <x v="0"/>
    <x v="2"/>
    <x v="17"/>
    <n v="190801"/>
    <n v="190801"/>
    <m/>
    <n v="75"/>
    <n v="190801"/>
    <n v="2475000"/>
  </r>
  <r>
    <x v="168"/>
    <x v="4"/>
    <m/>
    <x v="0"/>
    <x v="2"/>
    <x v="19"/>
    <n v="190801"/>
    <n v="190801"/>
    <m/>
    <n v="77"/>
    <n v="190801"/>
    <n v="231000"/>
  </r>
  <r>
    <x v="168"/>
    <x v="4"/>
    <m/>
    <x v="19"/>
    <x v="2"/>
    <x v="22"/>
    <n v="190801"/>
    <n v="190801"/>
    <m/>
    <n v="11"/>
    <n v="190801"/>
    <n v="143000"/>
  </r>
  <r>
    <x v="168"/>
    <x v="4"/>
    <m/>
    <x v="19"/>
    <x v="2"/>
    <x v="23"/>
    <n v="190801"/>
    <n v="190801"/>
    <m/>
    <n v="1"/>
    <n v="190801"/>
    <n v="24000"/>
  </r>
  <r>
    <x v="168"/>
    <x v="4"/>
    <m/>
    <x v="19"/>
    <x v="2"/>
    <x v="24"/>
    <n v="190801"/>
    <n v="190801"/>
    <m/>
    <n v="1"/>
    <n v="190801"/>
    <n v="33000"/>
  </r>
  <r>
    <x v="168"/>
    <x v="4"/>
    <m/>
    <x v="4"/>
    <x v="2"/>
    <x v="26"/>
    <n v="190801"/>
    <n v="190801"/>
    <m/>
    <n v="6"/>
    <n v="190801"/>
    <n v="24000"/>
  </r>
  <r>
    <x v="168"/>
    <x v="4"/>
    <m/>
    <x v="4"/>
    <x v="2"/>
    <x v="27"/>
    <n v="190801"/>
    <n v="190801"/>
    <m/>
    <n v="15"/>
    <n v="190801"/>
    <n v="300000"/>
  </r>
  <r>
    <x v="168"/>
    <x v="4"/>
    <m/>
    <x v="0"/>
    <x v="4"/>
    <x v="15"/>
    <n v="190801"/>
    <n v="190801"/>
    <m/>
    <n v="5"/>
    <n v="190801"/>
    <n v="157500"/>
  </r>
  <r>
    <x v="168"/>
    <x v="4"/>
    <m/>
    <x v="0"/>
    <x v="4"/>
    <x v="16"/>
    <n v="190801"/>
    <n v="190801"/>
    <m/>
    <n v="5"/>
    <n v="190801"/>
    <n v="220000"/>
  </r>
  <r>
    <x v="169"/>
    <x v="1"/>
    <m/>
    <x v="0"/>
    <x v="1"/>
    <x v="15"/>
    <n v="190801"/>
    <n v="190801"/>
    <m/>
    <n v="2"/>
    <n v="190801"/>
    <n v="40000"/>
  </r>
  <r>
    <x v="169"/>
    <x v="1"/>
    <m/>
    <x v="0"/>
    <x v="1"/>
    <x v="16"/>
    <n v="190801"/>
    <n v="190801"/>
    <m/>
    <n v="9"/>
    <n v="190801"/>
    <n v="315000"/>
  </r>
  <r>
    <x v="169"/>
    <x v="1"/>
    <m/>
    <x v="0"/>
    <x v="7"/>
    <x v="15"/>
    <n v="190801"/>
    <n v="190801"/>
    <m/>
    <n v="3"/>
    <n v="190801"/>
    <n v="60000"/>
  </r>
  <r>
    <x v="169"/>
    <x v="1"/>
    <m/>
    <x v="1"/>
    <x v="2"/>
    <x v="18"/>
    <n v="190801"/>
    <n v="190801"/>
    <m/>
    <n v="38"/>
    <n v="190801"/>
    <n v="760000"/>
  </r>
  <r>
    <x v="169"/>
    <x v="1"/>
    <m/>
    <x v="1"/>
    <x v="2"/>
    <x v="21"/>
    <n v="190801"/>
    <n v="190801"/>
    <m/>
    <n v="22"/>
    <n v="190801"/>
    <n v="770000"/>
  </r>
  <r>
    <x v="169"/>
    <x v="1"/>
    <m/>
    <x v="0"/>
    <x v="2"/>
    <x v="15"/>
    <n v="190801"/>
    <n v="190801"/>
    <m/>
    <n v="61"/>
    <n v="190801"/>
    <n v="1220000"/>
  </r>
  <r>
    <x v="169"/>
    <x v="1"/>
    <m/>
    <x v="0"/>
    <x v="2"/>
    <x v="16"/>
    <n v="190801"/>
    <n v="190801"/>
    <m/>
    <n v="38"/>
    <n v="190801"/>
    <n v="1330000"/>
  </r>
  <r>
    <x v="169"/>
    <x v="1"/>
    <m/>
    <x v="0"/>
    <x v="2"/>
    <x v="17"/>
    <n v="190801"/>
    <n v="190801"/>
    <m/>
    <n v="75"/>
    <n v="190801"/>
    <n v="2475000"/>
  </r>
  <r>
    <x v="169"/>
    <x v="1"/>
    <m/>
    <x v="0"/>
    <x v="2"/>
    <x v="19"/>
    <n v="190801"/>
    <n v="190801"/>
    <m/>
    <n v="68"/>
    <n v="190801"/>
    <n v="204000"/>
  </r>
  <r>
    <x v="169"/>
    <x v="1"/>
    <m/>
    <x v="19"/>
    <x v="2"/>
    <x v="22"/>
    <n v="190801"/>
    <n v="190801"/>
    <m/>
    <n v="16"/>
    <n v="190801"/>
    <n v="208000"/>
  </r>
  <r>
    <x v="169"/>
    <x v="1"/>
    <m/>
    <x v="19"/>
    <x v="2"/>
    <x v="23"/>
    <n v="190801"/>
    <n v="190801"/>
    <m/>
    <n v="1"/>
    <n v="190801"/>
    <n v="24000"/>
  </r>
  <r>
    <x v="169"/>
    <x v="1"/>
    <m/>
    <x v="19"/>
    <x v="2"/>
    <x v="24"/>
    <n v="190801"/>
    <n v="190801"/>
    <m/>
    <n v="1"/>
    <n v="190801"/>
    <n v="33000"/>
  </r>
  <r>
    <x v="169"/>
    <x v="1"/>
    <m/>
    <x v="4"/>
    <x v="2"/>
    <x v="26"/>
    <n v="190801"/>
    <n v="190801"/>
    <m/>
    <n v="8"/>
    <n v="190801"/>
    <n v="32000"/>
  </r>
  <r>
    <x v="169"/>
    <x v="1"/>
    <m/>
    <x v="4"/>
    <x v="2"/>
    <x v="27"/>
    <n v="190801"/>
    <n v="190801"/>
    <m/>
    <n v="10"/>
    <n v="190801"/>
    <n v="200000"/>
  </r>
  <r>
    <x v="169"/>
    <x v="1"/>
    <m/>
    <x v="0"/>
    <x v="4"/>
    <x v="15"/>
    <n v="190801"/>
    <n v="190801"/>
    <m/>
    <n v="13"/>
    <n v="190801"/>
    <n v="409500"/>
  </r>
  <r>
    <x v="169"/>
    <x v="1"/>
    <m/>
    <x v="0"/>
    <x v="4"/>
    <x v="16"/>
    <n v="190801"/>
    <n v="190801"/>
    <m/>
    <n v="5"/>
    <n v="190801"/>
    <n v="220000"/>
  </r>
  <r>
    <x v="170"/>
    <x v="0"/>
    <m/>
    <x v="0"/>
    <x v="1"/>
    <x v="15"/>
    <n v="190801"/>
    <n v="190801"/>
    <m/>
    <n v="1"/>
    <n v="190801"/>
    <n v="20000"/>
  </r>
  <r>
    <x v="170"/>
    <x v="0"/>
    <m/>
    <x v="0"/>
    <x v="1"/>
    <x v="16"/>
    <n v="190801"/>
    <n v="190801"/>
    <m/>
    <n v="6"/>
    <n v="190801"/>
    <n v="210000"/>
  </r>
  <r>
    <x v="170"/>
    <x v="0"/>
    <m/>
    <x v="0"/>
    <x v="7"/>
    <x v="15"/>
    <n v="190801"/>
    <n v="190801"/>
    <m/>
    <n v="8"/>
    <n v="190801"/>
    <n v="160000"/>
  </r>
  <r>
    <x v="170"/>
    <x v="0"/>
    <m/>
    <x v="1"/>
    <x v="2"/>
    <x v="18"/>
    <n v="190801"/>
    <n v="190801"/>
    <m/>
    <n v="51"/>
    <n v="190801"/>
    <n v="1020000"/>
  </r>
  <r>
    <x v="170"/>
    <x v="0"/>
    <m/>
    <x v="1"/>
    <x v="2"/>
    <x v="21"/>
    <n v="190801"/>
    <n v="190801"/>
    <m/>
    <n v="24"/>
    <n v="190801"/>
    <n v="840000"/>
  </r>
  <r>
    <x v="170"/>
    <x v="0"/>
    <m/>
    <x v="0"/>
    <x v="2"/>
    <x v="15"/>
    <n v="190801"/>
    <n v="190801"/>
    <m/>
    <n v="73"/>
    <n v="190801"/>
    <n v="1460000"/>
  </r>
  <r>
    <x v="170"/>
    <x v="0"/>
    <m/>
    <x v="0"/>
    <x v="2"/>
    <x v="16"/>
    <n v="190801"/>
    <n v="190801"/>
    <m/>
    <n v="55"/>
    <n v="190801"/>
    <n v="1925000"/>
  </r>
  <r>
    <x v="170"/>
    <x v="0"/>
    <m/>
    <x v="0"/>
    <x v="2"/>
    <x v="17"/>
    <n v="190801"/>
    <n v="190801"/>
    <m/>
    <n v="79"/>
    <n v="190801"/>
    <n v="2607000"/>
  </r>
  <r>
    <x v="170"/>
    <x v="0"/>
    <m/>
    <x v="0"/>
    <x v="2"/>
    <x v="19"/>
    <n v="190801"/>
    <n v="190801"/>
    <m/>
    <n v="93"/>
    <n v="190801"/>
    <n v="279000"/>
  </r>
  <r>
    <x v="170"/>
    <x v="0"/>
    <m/>
    <x v="19"/>
    <x v="2"/>
    <x v="22"/>
    <n v="190801"/>
    <n v="190801"/>
    <m/>
    <n v="21"/>
    <n v="190801"/>
    <n v="273000"/>
  </r>
  <r>
    <x v="170"/>
    <x v="0"/>
    <m/>
    <x v="19"/>
    <x v="2"/>
    <x v="23"/>
    <n v="190801"/>
    <n v="190801"/>
    <m/>
    <n v="2"/>
    <n v="190801"/>
    <n v="48000"/>
  </r>
  <r>
    <x v="170"/>
    <x v="0"/>
    <m/>
    <x v="19"/>
    <x v="2"/>
    <x v="24"/>
    <n v="190801"/>
    <n v="190801"/>
    <m/>
    <n v="1"/>
    <n v="190801"/>
    <n v="33000"/>
  </r>
  <r>
    <x v="170"/>
    <x v="0"/>
    <m/>
    <x v="4"/>
    <x v="2"/>
    <x v="26"/>
    <n v="190801"/>
    <n v="190801"/>
    <m/>
    <n v="9"/>
    <n v="190801"/>
    <n v="36000"/>
  </r>
  <r>
    <x v="170"/>
    <x v="0"/>
    <m/>
    <x v="4"/>
    <x v="2"/>
    <x v="27"/>
    <n v="190801"/>
    <n v="190801"/>
    <m/>
    <n v="6"/>
    <n v="190801"/>
    <n v="120000"/>
  </r>
  <r>
    <x v="171"/>
    <x v="2"/>
    <m/>
    <x v="0"/>
    <x v="1"/>
    <x v="16"/>
    <n v="190801"/>
    <n v="190801"/>
    <m/>
    <n v="4"/>
    <n v="190801"/>
    <n v="140000"/>
  </r>
  <r>
    <x v="171"/>
    <x v="2"/>
    <m/>
    <x v="0"/>
    <x v="7"/>
    <x v="15"/>
    <n v="190801"/>
    <n v="190801"/>
    <m/>
    <n v="4"/>
    <n v="190801"/>
    <n v="80000"/>
  </r>
  <r>
    <x v="171"/>
    <x v="2"/>
    <m/>
    <x v="1"/>
    <x v="2"/>
    <x v="18"/>
    <n v="190801"/>
    <n v="190801"/>
    <m/>
    <n v="40"/>
    <n v="190801"/>
    <n v="800000"/>
  </r>
  <r>
    <x v="171"/>
    <x v="2"/>
    <m/>
    <x v="1"/>
    <x v="2"/>
    <x v="21"/>
    <n v="190801"/>
    <n v="190801"/>
    <m/>
    <n v="18"/>
    <n v="190801"/>
    <n v="630000"/>
  </r>
  <r>
    <x v="171"/>
    <x v="2"/>
    <m/>
    <x v="0"/>
    <x v="2"/>
    <x v="15"/>
    <n v="190801"/>
    <n v="190801"/>
    <m/>
    <n v="60"/>
    <n v="190801"/>
    <n v="1200000"/>
  </r>
  <r>
    <x v="171"/>
    <x v="2"/>
    <m/>
    <x v="0"/>
    <x v="2"/>
    <x v="16"/>
    <n v="190801"/>
    <n v="190801"/>
    <m/>
    <n v="40"/>
    <n v="190801"/>
    <n v="1400000"/>
  </r>
  <r>
    <x v="171"/>
    <x v="2"/>
    <m/>
    <x v="0"/>
    <x v="2"/>
    <x v="17"/>
    <n v="190801"/>
    <n v="190801"/>
    <m/>
    <n v="67"/>
    <n v="190801"/>
    <n v="2211000"/>
  </r>
  <r>
    <x v="171"/>
    <x v="2"/>
    <m/>
    <x v="0"/>
    <x v="2"/>
    <x v="19"/>
    <n v="190801"/>
    <n v="190801"/>
    <m/>
    <n v="78"/>
    <n v="190801"/>
    <n v="234000"/>
  </r>
  <r>
    <x v="171"/>
    <x v="2"/>
    <m/>
    <x v="19"/>
    <x v="2"/>
    <x v="22"/>
    <n v="190801"/>
    <n v="190801"/>
    <m/>
    <n v="17"/>
    <n v="190801"/>
    <n v="221000"/>
  </r>
  <r>
    <x v="171"/>
    <x v="2"/>
    <m/>
    <x v="19"/>
    <x v="2"/>
    <x v="23"/>
    <n v="190801"/>
    <n v="190801"/>
    <m/>
    <n v="1"/>
    <n v="190801"/>
    <n v="24000"/>
  </r>
  <r>
    <x v="171"/>
    <x v="2"/>
    <m/>
    <x v="4"/>
    <x v="2"/>
    <x v="26"/>
    <n v="190801"/>
    <n v="190801"/>
    <m/>
    <n v="3"/>
    <n v="190801"/>
    <n v="12000"/>
  </r>
  <r>
    <x v="171"/>
    <x v="2"/>
    <m/>
    <x v="4"/>
    <x v="2"/>
    <x v="27"/>
    <n v="190801"/>
    <n v="190801"/>
    <m/>
    <n v="10"/>
    <n v="190801"/>
    <n v="200000"/>
  </r>
  <r>
    <x v="171"/>
    <x v="2"/>
    <m/>
    <x v="21"/>
    <x v="2"/>
    <x v="15"/>
    <n v="190801"/>
    <n v="190801"/>
    <m/>
    <n v="3"/>
    <n v="190801"/>
    <n v="52500"/>
  </r>
  <r>
    <x v="171"/>
    <x v="2"/>
    <m/>
    <x v="21"/>
    <x v="2"/>
    <x v="18"/>
    <n v="190801"/>
    <n v="190801"/>
    <m/>
    <n v="3"/>
    <n v="190801"/>
    <n v="52500"/>
  </r>
  <r>
    <x v="172"/>
    <x v="5"/>
    <m/>
    <x v="0"/>
    <x v="7"/>
    <x v="15"/>
    <n v="190801"/>
    <n v="190801"/>
    <m/>
    <n v="5"/>
    <n v="190801"/>
    <n v="100000"/>
  </r>
  <r>
    <x v="172"/>
    <x v="5"/>
    <m/>
    <x v="1"/>
    <x v="2"/>
    <x v="18"/>
    <n v="190801"/>
    <n v="190801"/>
    <m/>
    <n v="27"/>
    <n v="190801"/>
    <n v="540000"/>
  </r>
  <r>
    <x v="172"/>
    <x v="5"/>
    <m/>
    <x v="1"/>
    <x v="2"/>
    <x v="21"/>
    <n v="190801"/>
    <n v="190801"/>
    <m/>
    <n v="17"/>
    <n v="190801"/>
    <n v="595000"/>
  </r>
  <r>
    <x v="172"/>
    <x v="5"/>
    <m/>
    <x v="0"/>
    <x v="2"/>
    <x v="15"/>
    <n v="190801"/>
    <n v="190801"/>
    <m/>
    <n v="54"/>
    <n v="190801"/>
    <n v="1080000"/>
  </r>
  <r>
    <x v="172"/>
    <x v="5"/>
    <m/>
    <x v="0"/>
    <x v="2"/>
    <x v="16"/>
    <n v="190801"/>
    <n v="190801"/>
    <m/>
    <n v="31"/>
    <n v="190801"/>
    <n v="1085000"/>
  </r>
  <r>
    <x v="172"/>
    <x v="5"/>
    <m/>
    <x v="0"/>
    <x v="2"/>
    <x v="17"/>
    <n v="190801"/>
    <n v="190801"/>
    <m/>
    <n v="50"/>
    <n v="190801"/>
    <n v="1650000"/>
  </r>
  <r>
    <x v="172"/>
    <x v="5"/>
    <m/>
    <x v="0"/>
    <x v="2"/>
    <x v="19"/>
    <n v="190801"/>
    <n v="190801"/>
    <m/>
    <n v="54"/>
    <n v="190801"/>
    <n v="162000"/>
  </r>
  <r>
    <x v="172"/>
    <x v="5"/>
    <m/>
    <x v="19"/>
    <x v="2"/>
    <x v="22"/>
    <n v="190801"/>
    <n v="190801"/>
    <m/>
    <n v="20"/>
    <n v="190801"/>
    <n v="260000"/>
  </r>
  <r>
    <x v="172"/>
    <x v="5"/>
    <m/>
    <x v="4"/>
    <x v="2"/>
    <x v="26"/>
    <n v="190801"/>
    <n v="190801"/>
    <m/>
    <n v="1"/>
    <n v="190801"/>
    <n v="4000"/>
  </r>
  <r>
    <x v="172"/>
    <x v="5"/>
    <m/>
    <x v="4"/>
    <x v="2"/>
    <x v="27"/>
    <n v="190801"/>
    <n v="190801"/>
    <m/>
    <n v="12"/>
    <n v="190801"/>
    <n v="240000"/>
  </r>
  <r>
    <x v="172"/>
    <x v="5"/>
    <m/>
    <x v="21"/>
    <x v="2"/>
    <x v="15"/>
    <n v="190801"/>
    <n v="190801"/>
    <m/>
    <n v="2"/>
    <n v="190801"/>
    <n v="35000"/>
  </r>
  <r>
    <x v="172"/>
    <x v="5"/>
    <m/>
    <x v="21"/>
    <x v="2"/>
    <x v="18"/>
    <n v="190801"/>
    <n v="190801"/>
    <m/>
    <n v="2"/>
    <n v="190801"/>
    <n v="35000"/>
  </r>
  <r>
    <x v="173"/>
    <x v="6"/>
    <m/>
    <x v="0"/>
    <x v="7"/>
    <x v="15"/>
    <n v="190801"/>
    <n v="190801"/>
    <m/>
    <n v="16"/>
    <n v="190801"/>
    <n v="320000"/>
  </r>
  <r>
    <x v="173"/>
    <x v="6"/>
    <m/>
    <x v="1"/>
    <x v="2"/>
    <x v="18"/>
    <n v="190801"/>
    <n v="190801"/>
    <m/>
    <n v="30"/>
    <n v="190801"/>
    <n v="600000"/>
  </r>
  <r>
    <x v="173"/>
    <x v="6"/>
    <m/>
    <x v="1"/>
    <x v="2"/>
    <x v="21"/>
    <n v="190801"/>
    <n v="190801"/>
    <m/>
    <n v="8"/>
    <n v="190801"/>
    <n v="280000"/>
  </r>
  <r>
    <x v="173"/>
    <x v="6"/>
    <m/>
    <x v="0"/>
    <x v="2"/>
    <x v="15"/>
    <n v="190801"/>
    <n v="190801"/>
    <m/>
    <n v="63"/>
    <n v="190801"/>
    <n v="1260000"/>
  </r>
  <r>
    <x v="173"/>
    <x v="6"/>
    <m/>
    <x v="0"/>
    <x v="2"/>
    <x v="16"/>
    <n v="190801"/>
    <n v="190801"/>
    <m/>
    <n v="31"/>
    <n v="190801"/>
    <n v="1085000"/>
  </r>
  <r>
    <x v="173"/>
    <x v="6"/>
    <m/>
    <x v="0"/>
    <x v="2"/>
    <x v="17"/>
    <n v="190801"/>
    <n v="190801"/>
    <m/>
    <n v="51"/>
    <n v="190801"/>
    <n v="1683000"/>
  </r>
  <r>
    <x v="173"/>
    <x v="6"/>
    <m/>
    <x v="0"/>
    <x v="2"/>
    <x v="19"/>
    <n v="190801"/>
    <n v="190801"/>
    <m/>
    <n v="58"/>
    <n v="190801"/>
    <n v="174000"/>
  </r>
  <r>
    <x v="173"/>
    <x v="6"/>
    <m/>
    <x v="19"/>
    <x v="2"/>
    <x v="22"/>
    <n v="190801"/>
    <n v="190801"/>
    <m/>
    <n v="14"/>
    <n v="190801"/>
    <n v="182000"/>
  </r>
  <r>
    <x v="173"/>
    <x v="6"/>
    <m/>
    <x v="19"/>
    <x v="2"/>
    <x v="23"/>
    <n v="190801"/>
    <n v="190801"/>
    <m/>
    <n v="2"/>
    <n v="190801"/>
    <n v="48000"/>
  </r>
  <r>
    <x v="173"/>
    <x v="6"/>
    <m/>
    <x v="4"/>
    <x v="2"/>
    <x v="26"/>
    <n v="190801"/>
    <n v="190801"/>
    <m/>
    <n v="2"/>
    <n v="190801"/>
    <n v="8000"/>
  </r>
  <r>
    <x v="173"/>
    <x v="6"/>
    <m/>
    <x v="4"/>
    <x v="2"/>
    <x v="27"/>
    <n v="190801"/>
    <n v="190801"/>
    <m/>
    <n v="7"/>
    <n v="190801"/>
    <n v="140000"/>
  </r>
  <r>
    <x v="173"/>
    <x v="6"/>
    <m/>
    <x v="21"/>
    <x v="2"/>
    <x v="15"/>
    <n v="190801"/>
    <n v="190801"/>
    <m/>
    <n v="1"/>
    <n v="190801"/>
    <n v="17500"/>
  </r>
  <r>
    <x v="173"/>
    <x v="6"/>
    <m/>
    <x v="21"/>
    <x v="2"/>
    <x v="18"/>
    <n v="190801"/>
    <n v="190801"/>
    <m/>
    <n v="1"/>
    <n v="190801"/>
    <n v="17500"/>
  </r>
  <r>
    <x v="173"/>
    <x v="6"/>
    <m/>
    <x v="20"/>
    <x v="6"/>
    <x v="25"/>
    <n v="190801"/>
    <n v="190801"/>
    <m/>
    <n v="540"/>
    <n v="190801"/>
    <n v="5246640"/>
  </r>
  <r>
    <x v="173"/>
    <x v="6"/>
    <m/>
    <x v="0"/>
    <x v="6"/>
    <x v="15"/>
    <n v="190801"/>
    <n v="190801"/>
    <m/>
    <n v="605"/>
    <n v="190801"/>
    <n v="5486140"/>
  </r>
  <r>
    <x v="173"/>
    <x v="6"/>
    <m/>
    <x v="1"/>
    <x v="6"/>
    <x v="18"/>
    <n v="190801"/>
    <n v="190801"/>
    <m/>
    <n v="8"/>
    <n v="190801"/>
    <n v="73640"/>
  </r>
  <r>
    <x v="173"/>
    <x v="6"/>
    <m/>
    <x v="19"/>
    <x v="6"/>
    <x v="22"/>
    <n v="190801"/>
    <n v="190801"/>
    <m/>
    <n v="11"/>
    <n v="190801"/>
    <n v="74701"/>
  </r>
  <r>
    <x v="173"/>
    <x v="6"/>
    <m/>
    <x v="4"/>
    <x v="6"/>
    <x v="26"/>
    <n v="190801"/>
    <n v="190801"/>
    <m/>
    <n v="258"/>
    <n v="190801"/>
    <n v="276834"/>
  </r>
  <r>
    <x v="174"/>
    <x v="3"/>
    <m/>
    <x v="0"/>
    <x v="1"/>
    <x v="15"/>
    <n v="190801"/>
    <n v="190801"/>
    <m/>
    <n v="3"/>
    <n v="190801"/>
    <n v="60000"/>
  </r>
  <r>
    <x v="174"/>
    <x v="3"/>
    <m/>
    <x v="0"/>
    <x v="1"/>
    <x v="16"/>
    <n v="190801"/>
    <n v="190801"/>
    <m/>
    <n v="12"/>
    <n v="190801"/>
    <n v="420000"/>
  </r>
  <r>
    <x v="174"/>
    <x v="3"/>
    <m/>
    <x v="0"/>
    <x v="7"/>
    <x v="15"/>
    <n v="190801"/>
    <n v="190801"/>
    <m/>
    <n v="11"/>
    <n v="190801"/>
    <n v="220000"/>
  </r>
  <r>
    <x v="174"/>
    <x v="3"/>
    <m/>
    <x v="5"/>
    <x v="3"/>
    <x v="28"/>
    <n v="190801"/>
    <n v="190801"/>
    <m/>
    <n v="11"/>
    <n v="190801"/>
    <n v="0"/>
  </r>
  <r>
    <x v="174"/>
    <x v="3"/>
    <m/>
    <x v="1"/>
    <x v="2"/>
    <x v="18"/>
    <n v="190801"/>
    <n v="190801"/>
    <m/>
    <n v="39"/>
    <n v="190801"/>
    <n v="780000"/>
  </r>
  <r>
    <x v="174"/>
    <x v="3"/>
    <m/>
    <x v="1"/>
    <x v="2"/>
    <x v="21"/>
    <n v="190801"/>
    <n v="190801"/>
    <m/>
    <n v="11"/>
    <n v="190801"/>
    <n v="385000"/>
  </r>
  <r>
    <x v="174"/>
    <x v="3"/>
    <m/>
    <x v="0"/>
    <x v="2"/>
    <x v="15"/>
    <n v="190801"/>
    <n v="190801"/>
    <m/>
    <n v="100"/>
    <n v="190801"/>
    <n v="2000000"/>
  </r>
  <r>
    <x v="174"/>
    <x v="3"/>
    <m/>
    <x v="0"/>
    <x v="2"/>
    <x v="16"/>
    <n v="190801"/>
    <n v="190801"/>
    <m/>
    <n v="47"/>
    <n v="190801"/>
    <n v="1645000"/>
  </r>
  <r>
    <x v="174"/>
    <x v="3"/>
    <m/>
    <x v="0"/>
    <x v="2"/>
    <x v="17"/>
    <n v="190801"/>
    <n v="190801"/>
    <m/>
    <n v="121"/>
    <n v="190801"/>
    <n v="3993000"/>
  </r>
  <r>
    <x v="174"/>
    <x v="3"/>
    <m/>
    <x v="0"/>
    <x v="2"/>
    <x v="19"/>
    <n v="190801"/>
    <n v="190801"/>
    <m/>
    <n v="118"/>
    <n v="190801"/>
    <n v="354000"/>
  </r>
  <r>
    <x v="174"/>
    <x v="3"/>
    <m/>
    <x v="19"/>
    <x v="2"/>
    <x v="22"/>
    <n v="190801"/>
    <n v="190801"/>
    <m/>
    <n v="22"/>
    <n v="190801"/>
    <n v="286000"/>
  </r>
  <r>
    <x v="174"/>
    <x v="3"/>
    <m/>
    <x v="19"/>
    <x v="2"/>
    <x v="23"/>
    <n v="190801"/>
    <n v="190801"/>
    <m/>
    <n v="2"/>
    <n v="190801"/>
    <n v="48000"/>
  </r>
  <r>
    <x v="174"/>
    <x v="3"/>
    <m/>
    <x v="4"/>
    <x v="2"/>
    <x v="26"/>
    <n v="190801"/>
    <n v="190801"/>
    <m/>
    <n v="804"/>
    <n v="190801"/>
    <n v="3216000"/>
  </r>
  <r>
    <x v="174"/>
    <x v="3"/>
    <m/>
    <x v="21"/>
    <x v="2"/>
    <x v="15"/>
    <n v="190801"/>
    <n v="190801"/>
    <m/>
    <n v="2"/>
    <n v="190801"/>
    <n v="35000"/>
  </r>
  <r>
    <x v="174"/>
    <x v="3"/>
    <m/>
    <x v="21"/>
    <x v="2"/>
    <x v="18"/>
    <n v="190801"/>
    <n v="190801"/>
    <m/>
    <n v="2"/>
    <n v="190801"/>
    <n v="35000"/>
  </r>
  <r>
    <x v="174"/>
    <x v="3"/>
    <m/>
    <x v="0"/>
    <x v="4"/>
    <x v="15"/>
    <n v="190801"/>
    <n v="190801"/>
    <m/>
    <n v="37"/>
    <n v="190801"/>
    <n v="1165500"/>
  </r>
  <r>
    <x v="174"/>
    <x v="3"/>
    <m/>
    <x v="0"/>
    <x v="4"/>
    <x v="16"/>
    <n v="190801"/>
    <n v="190801"/>
    <m/>
    <n v="29"/>
    <n v="190801"/>
    <n v="1276000"/>
  </r>
  <r>
    <x v="174"/>
    <x v="3"/>
    <m/>
    <x v="19"/>
    <x v="4"/>
    <x v="22"/>
    <n v="190801"/>
    <n v="190801"/>
    <m/>
    <n v="1"/>
    <n v="190801"/>
    <n v="25000"/>
  </r>
  <r>
    <x v="174"/>
    <x v="3"/>
    <m/>
    <x v="1"/>
    <x v="4"/>
    <x v="18"/>
    <n v="190801"/>
    <n v="190801"/>
    <m/>
    <n v="2"/>
    <n v="190801"/>
    <n v="63000"/>
  </r>
  <r>
    <x v="175"/>
    <x v="4"/>
    <m/>
    <x v="0"/>
    <x v="1"/>
    <x v="15"/>
    <n v="190801"/>
    <n v="190801"/>
    <m/>
    <n v="1"/>
    <n v="190801"/>
    <n v="20000"/>
  </r>
  <r>
    <x v="175"/>
    <x v="4"/>
    <m/>
    <x v="0"/>
    <x v="1"/>
    <x v="16"/>
    <n v="190801"/>
    <n v="190801"/>
    <m/>
    <n v="11"/>
    <n v="190801"/>
    <n v="385000"/>
  </r>
  <r>
    <x v="175"/>
    <x v="4"/>
    <m/>
    <x v="0"/>
    <x v="7"/>
    <x v="15"/>
    <n v="190801"/>
    <n v="190801"/>
    <m/>
    <n v="11"/>
    <n v="190801"/>
    <n v="220000"/>
  </r>
  <r>
    <x v="175"/>
    <x v="4"/>
    <m/>
    <x v="5"/>
    <x v="3"/>
    <x v="28"/>
    <n v="190801"/>
    <n v="190801"/>
    <m/>
    <n v="2"/>
    <n v="190801"/>
    <n v="0"/>
  </r>
  <r>
    <x v="175"/>
    <x v="4"/>
    <m/>
    <x v="4"/>
    <x v="3"/>
    <x v="27"/>
    <n v="190801"/>
    <n v="190801"/>
    <m/>
    <n v="16"/>
    <n v="190801"/>
    <n v="0"/>
  </r>
  <r>
    <x v="175"/>
    <x v="4"/>
    <m/>
    <x v="0"/>
    <x v="3"/>
    <x v="15"/>
    <n v="190801"/>
    <n v="190801"/>
    <m/>
    <n v="8"/>
    <n v="190801"/>
    <n v="0"/>
  </r>
  <r>
    <x v="175"/>
    <x v="4"/>
    <m/>
    <x v="22"/>
    <x v="3"/>
    <x v="29"/>
    <n v="190801"/>
    <n v="190801"/>
    <m/>
    <n v="21"/>
    <n v="190801"/>
    <n v="0"/>
  </r>
  <r>
    <x v="175"/>
    <x v="4"/>
    <m/>
    <x v="1"/>
    <x v="2"/>
    <x v="18"/>
    <n v="190801"/>
    <n v="190801"/>
    <m/>
    <n v="13"/>
    <n v="190801"/>
    <n v="260000"/>
  </r>
  <r>
    <x v="175"/>
    <x v="4"/>
    <m/>
    <x v="1"/>
    <x v="2"/>
    <x v="21"/>
    <n v="190801"/>
    <n v="190801"/>
    <m/>
    <n v="4"/>
    <n v="190801"/>
    <n v="140000"/>
  </r>
  <r>
    <x v="175"/>
    <x v="4"/>
    <m/>
    <x v="0"/>
    <x v="2"/>
    <x v="15"/>
    <n v="190801"/>
    <n v="190801"/>
    <m/>
    <n v="69"/>
    <n v="190801"/>
    <n v="1380000"/>
  </r>
  <r>
    <x v="175"/>
    <x v="4"/>
    <m/>
    <x v="0"/>
    <x v="2"/>
    <x v="16"/>
    <n v="190801"/>
    <n v="190801"/>
    <m/>
    <n v="240"/>
    <n v="190801"/>
    <n v="8400000"/>
  </r>
  <r>
    <x v="175"/>
    <x v="4"/>
    <m/>
    <x v="0"/>
    <x v="2"/>
    <x v="17"/>
    <n v="190801"/>
    <n v="190801"/>
    <m/>
    <n v="76"/>
    <n v="190801"/>
    <n v="2508000"/>
  </r>
  <r>
    <x v="175"/>
    <x v="4"/>
    <m/>
    <x v="0"/>
    <x v="2"/>
    <x v="19"/>
    <n v="190801"/>
    <n v="190801"/>
    <m/>
    <n v="66"/>
    <n v="190801"/>
    <n v="198000"/>
  </r>
  <r>
    <x v="175"/>
    <x v="4"/>
    <m/>
    <x v="19"/>
    <x v="2"/>
    <x v="22"/>
    <n v="190801"/>
    <n v="190801"/>
    <m/>
    <n v="18"/>
    <n v="190801"/>
    <n v="234000"/>
  </r>
  <r>
    <x v="175"/>
    <x v="4"/>
    <m/>
    <x v="4"/>
    <x v="2"/>
    <x v="27"/>
    <n v="190801"/>
    <n v="190801"/>
    <m/>
    <n v="8"/>
    <n v="190801"/>
    <n v="160000"/>
  </r>
  <r>
    <x v="175"/>
    <x v="4"/>
    <m/>
    <x v="4"/>
    <x v="2"/>
    <x v="26"/>
    <n v="190801"/>
    <n v="190801"/>
    <m/>
    <n v="9"/>
    <n v="190801"/>
    <n v="36000"/>
  </r>
  <r>
    <x v="175"/>
    <x v="4"/>
    <m/>
    <x v="0"/>
    <x v="4"/>
    <x v="15"/>
    <n v="190801"/>
    <n v="190801"/>
    <m/>
    <n v="16"/>
    <n v="190801"/>
    <n v="504000"/>
  </r>
  <r>
    <x v="175"/>
    <x v="4"/>
    <m/>
    <x v="0"/>
    <x v="4"/>
    <x v="16"/>
    <n v="190801"/>
    <n v="190801"/>
    <m/>
    <n v="7"/>
    <n v="190801"/>
    <n v="308000"/>
  </r>
  <r>
    <x v="175"/>
    <x v="4"/>
    <m/>
    <x v="19"/>
    <x v="4"/>
    <x v="22"/>
    <n v="190801"/>
    <n v="190801"/>
    <m/>
    <n v="1"/>
    <n v="190801"/>
    <n v="25000"/>
  </r>
  <r>
    <x v="176"/>
    <x v="1"/>
    <m/>
    <x v="0"/>
    <x v="1"/>
    <x v="15"/>
    <n v="190801"/>
    <n v="190801"/>
    <m/>
    <n v="5"/>
    <n v="190801"/>
    <n v="100000"/>
  </r>
  <r>
    <x v="176"/>
    <x v="1"/>
    <m/>
    <x v="0"/>
    <x v="1"/>
    <x v="16"/>
    <n v="190801"/>
    <n v="190801"/>
    <m/>
    <n v="10"/>
    <n v="190801"/>
    <n v="350000"/>
  </r>
  <r>
    <x v="176"/>
    <x v="1"/>
    <m/>
    <x v="0"/>
    <x v="7"/>
    <x v="15"/>
    <n v="190801"/>
    <n v="190801"/>
    <m/>
    <n v="27"/>
    <n v="190801"/>
    <n v="540000"/>
  </r>
  <r>
    <x v="176"/>
    <x v="1"/>
    <m/>
    <x v="0"/>
    <x v="3"/>
    <x v="15"/>
    <n v="190801"/>
    <n v="190801"/>
    <m/>
    <n v="305"/>
    <n v="190801"/>
    <n v="0"/>
  </r>
  <r>
    <x v="176"/>
    <x v="1"/>
    <m/>
    <x v="0"/>
    <x v="3"/>
    <x v="20"/>
    <n v="190801"/>
    <n v="190801"/>
    <m/>
    <n v="300"/>
    <n v="190801"/>
    <n v="0"/>
  </r>
  <r>
    <x v="176"/>
    <x v="1"/>
    <m/>
    <x v="5"/>
    <x v="3"/>
    <x v="28"/>
    <n v="190801"/>
    <n v="190801"/>
    <m/>
    <n v="1"/>
    <n v="190801"/>
    <n v="0"/>
  </r>
  <r>
    <x v="176"/>
    <x v="1"/>
    <m/>
    <x v="4"/>
    <x v="3"/>
    <x v="27"/>
    <n v="190801"/>
    <n v="190801"/>
    <m/>
    <n v="4"/>
    <n v="190801"/>
    <n v="0"/>
  </r>
  <r>
    <x v="176"/>
    <x v="1"/>
    <m/>
    <x v="1"/>
    <x v="2"/>
    <x v="18"/>
    <n v="190801"/>
    <n v="190801"/>
    <m/>
    <n v="24"/>
    <n v="190801"/>
    <n v="480000"/>
  </r>
  <r>
    <x v="176"/>
    <x v="1"/>
    <m/>
    <x v="1"/>
    <x v="2"/>
    <x v="21"/>
    <n v="190801"/>
    <n v="190801"/>
    <m/>
    <n v="3"/>
    <n v="190801"/>
    <n v="105000"/>
  </r>
  <r>
    <x v="176"/>
    <x v="1"/>
    <m/>
    <x v="0"/>
    <x v="2"/>
    <x v="15"/>
    <n v="190801"/>
    <n v="190801"/>
    <m/>
    <n v="130"/>
    <n v="190801"/>
    <n v="2600000"/>
  </r>
  <r>
    <x v="176"/>
    <x v="1"/>
    <m/>
    <x v="0"/>
    <x v="2"/>
    <x v="16"/>
    <n v="190801"/>
    <n v="190801"/>
    <m/>
    <n v="101"/>
    <n v="190801"/>
    <n v="3535000"/>
  </r>
  <r>
    <x v="176"/>
    <x v="1"/>
    <m/>
    <x v="0"/>
    <x v="2"/>
    <x v="17"/>
    <n v="190801"/>
    <n v="190801"/>
    <m/>
    <n v="153"/>
    <n v="190801"/>
    <n v="5049000"/>
  </r>
  <r>
    <x v="176"/>
    <x v="1"/>
    <m/>
    <x v="0"/>
    <x v="2"/>
    <x v="19"/>
    <n v="190801"/>
    <n v="190801"/>
    <m/>
    <n v="122"/>
    <n v="190801"/>
    <n v="366000"/>
  </r>
  <r>
    <x v="176"/>
    <x v="1"/>
    <m/>
    <x v="4"/>
    <x v="2"/>
    <x v="27"/>
    <n v="190801"/>
    <n v="190801"/>
    <m/>
    <n v="16"/>
    <n v="190801"/>
    <n v="320000"/>
  </r>
  <r>
    <x v="176"/>
    <x v="1"/>
    <m/>
    <x v="4"/>
    <x v="2"/>
    <x v="26"/>
    <n v="190801"/>
    <n v="190801"/>
    <m/>
    <n v="12"/>
    <n v="190801"/>
    <n v="48000"/>
  </r>
  <r>
    <x v="176"/>
    <x v="1"/>
    <m/>
    <x v="19"/>
    <x v="2"/>
    <x v="22"/>
    <n v="190801"/>
    <n v="190801"/>
    <m/>
    <n v="21"/>
    <n v="190801"/>
    <n v="273000"/>
  </r>
  <r>
    <x v="176"/>
    <x v="1"/>
    <m/>
    <x v="19"/>
    <x v="2"/>
    <x v="23"/>
    <n v="190801"/>
    <n v="190801"/>
    <m/>
    <n v="4"/>
    <n v="190801"/>
    <n v="96000"/>
  </r>
  <r>
    <x v="176"/>
    <x v="1"/>
    <m/>
    <x v="0"/>
    <x v="4"/>
    <x v="15"/>
    <n v="190801"/>
    <n v="190801"/>
    <m/>
    <n v="24"/>
    <n v="190801"/>
    <n v="756000"/>
  </r>
  <r>
    <x v="176"/>
    <x v="1"/>
    <m/>
    <x v="0"/>
    <x v="4"/>
    <x v="16"/>
    <n v="190801"/>
    <n v="190801"/>
    <m/>
    <n v="4"/>
    <n v="190801"/>
    <n v="176000"/>
  </r>
  <r>
    <x v="176"/>
    <x v="1"/>
    <m/>
    <x v="19"/>
    <x v="4"/>
    <x v="22"/>
    <n v="190801"/>
    <n v="190801"/>
    <m/>
    <n v="1"/>
    <n v="190801"/>
    <n v="25000"/>
  </r>
  <r>
    <x v="177"/>
    <x v="0"/>
    <m/>
    <x v="0"/>
    <x v="1"/>
    <x v="15"/>
    <n v="190801"/>
    <n v="190801"/>
    <m/>
    <n v="5"/>
    <n v="190801"/>
    <n v="100000"/>
  </r>
  <r>
    <x v="177"/>
    <x v="0"/>
    <m/>
    <x v="0"/>
    <x v="1"/>
    <x v="16"/>
    <n v="190801"/>
    <n v="190801"/>
    <m/>
    <n v="17"/>
    <n v="190801"/>
    <n v="595000"/>
  </r>
  <r>
    <x v="177"/>
    <x v="0"/>
    <m/>
    <x v="0"/>
    <x v="7"/>
    <x v="15"/>
    <n v="190801"/>
    <n v="190801"/>
    <m/>
    <n v="16"/>
    <n v="190801"/>
    <n v="320000"/>
  </r>
  <r>
    <x v="177"/>
    <x v="0"/>
    <m/>
    <x v="4"/>
    <x v="3"/>
    <x v="27"/>
    <n v="190801"/>
    <n v="190801"/>
    <m/>
    <n v="1"/>
    <n v="190801"/>
    <n v="0"/>
  </r>
  <r>
    <x v="177"/>
    <x v="0"/>
    <m/>
    <x v="0"/>
    <x v="3"/>
    <x v="15"/>
    <n v="190801"/>
    <n v="190801"/>
    <m/>
    <n v="1"/>
    <n v="190801"/>
    <n v="0"/>
  </r>
  <r>
    <x v="177"/>
    <x v="0"/>
    <m/>
    <x v="18"/>
    <x v="3"/>
    <x v="19"/>
    <n v="190801"/>
    <n v="190801"/>
    <m/>
    <n v="1"/>
    <n v="190801"/>
    <n v="0"/>
  </r>
  <r>
    <x v="177"/>
    <x v="0"/>
    <m/>
    <x v="1"/>
    <x v="2"/>
    <x v="18"/>
    <n v="190801"/>
    <n v="190801"/>
    <m/>
    <n v="28"/>
    <n v="190801"/>
    <n v="560000"/>
  </r>
  <r>
    <x v="177"/>
    <x v="0"/>
    <m/>
    <x v="1"/>
    <x v="2"/>
    <x v="21"/>
    <n v="190801"/>
    <n v="190801"/>
    <m/>
    <n v="3"/>
    <n v="190801"/>
    <n v="105000"/>
  </r>
  <r>
    <x v="177"/>
    <x v="0"/>
    <m/>
    <x v="0"/>
    <x v="2"/>
    <x v="15"/>
    <n v="190801"/>
    <n v="190801"/>
    <m/>
    <n v="125"/>
    <n v="190801"/>
    <n v="2500000"/>
  </r>
  <r>
    <x v="177"/>
    <x v="0"/>
    <m/>
    <x v="0"/>
    <x v="2"/>
    <x v="16"/>
    <n v="190801"/>
    <n v="190801"/>
    <m/>
    <n v="68"/>
    <n v="190801"/>
    <n v="2380000"/>
  </r>
  <r>
    <x v="177"/>
    <x v="0"/>
    <m/>
    <x v="0"/>
    <x v="2"/>
    <x v="17"/>
    <n v="190801"/>
    <n v="190801"/>
    <m/>
    <n v="120"/>
    <n v="190801"/>
    <n v="3960000"/>
  </r>
  <r>
    <x v="177"/>
    <x v="0"/>
    <m/>
    <x v="0"/>
    <x v="2"/>
    <x v="19"/>
    <n v="190801"/>
    <n v="190801"/>
    <m/>
    <n v="125"/>
    <n v="190801"/>
    <n v="375000"/>
  </r>
  <r>
    <x v="177"/>
    <x v="0"/>
    <m/>
    <x v="4"/>
    <x v="2"/>
    <x v="27"/>
    <n v="190801"/>
    <n v="190801"/>
    <m/>
    <n v="12"/>
    <n v="190801"/>
    <n v="240000"/>
  </r>
  <r>
    <x v="177"/>
    <x v="0"/>
    <m/>
    <x v="4"/>
    <x v="2"/>
    <x v="26"/>
    <n v="190801"/>
    <n v="190801"/>
    <m/>
    <n v="12"/>
    <n v="190801"/>
    <n v="48000"/>
  </r>
  <r>
    <x v="177"/>
    <x v="0"/>
    <m/>
    <x v="19"/>
    <x v="2"/>
    <x v="22"/>
    <n v="190801"/>
    <n v="190801"/>
    <m/>
    <n v="25"/>
    <n v="190801"/>
    <n v="325000"/>
  </r>
  <r>
    <x v="177"/>
    <x v="0"/>
    <m/>
    <x v="19"/>
    <x v="2"/>
    <x v="23"/>
    <n v="190801"/>
    <n v="190801"/>
    <m/>
    <n v="1"/>
    <n v="190801"/>
    <n v="24000"/>
  </r>
  <r>
    <x v="177"/>
    <x v="0"/>
    <m/>
    <x v="0"/>
    <x v="4"/>
    <x v="15"/>
    <n v="190801"/>
    <n v="190801"/>
    <m/>
    <n v="20"/>
    <n v="190801"/>
    <n v="630000"/>
  </r>
  <r>
    <x v="177"/>
    <x v="0"/>
    <m/>
    <x v="0"/>
    <x v="4"/>
    <x v="16"/>
    <n v="190801"/>
    <n v="190801"/>
    <m/>
    <n v="10"/>
    <n v="190801"/>
    <n v="440000"/>
  </r>
  <r>
    <x v="177"/>
    <x v="0"/>
    <m/>
    <x v="1"/>
    <x v="4"/>
    <x v="18"/>
    <n v="190801"/>
    <n v="190801"/>
    <m/>
    <n v="1"/>
    <n v="190801"/>
    <n v="31500"/>
  </r>
  <r>
    <x v="178"/>
    <x v="2"/>
    <m/>
    <x v="0"/>
    <x v="1"/>
    <x v="15"/>
    <n v="190801"/>
    <n v="190801"/>
    <m/>
    <n v="2"/>
    <n v="190801"/>
    <n v="40000"/>
  </r>
  <r>
    <x v="178"/>
    <x v="2"/>
    <m/>
    <x v="0"/>
    <x v="1"/>
    <x v="16"/>
    <n v="190801"/>
    <n v="190801"/>
    <m/>
    <n v="11"/>
    <n v="190801"/>
    <n v="385000"/>
  </r>
  <r>
    <x v="178"/>
    <x v="2"/>
    <m/>
    <x v="0"/>
    <x v="7"/>
    <x v="15"/>
    <n v="190801"/>
    <n v="190801"/>
    <m/>
    <n v="7"/>
    <n v="190801"/>
    <n v="140000"/>
  </r>
  <r>
    <x v="178"/>
    <x v="2"/>
    <m/>
    <x v="4"/>
    <x v="3"/>
    <x v="27"/>
    <n v="190801"/>
    <n v="190801"/>
    <m/>
    <n v="4"/>
    <n v="190801"/>
    <n v="0"/>
  </r>
  <r>
    <x v="178"/>
    <x v="2"/>
    <m/>
    <x v="0"/>
    <x v="3"/>
    <x v="15"/>
    <n v="190801"/>
    <n v="190801"/>
    <m/>
    <n v="7"/>
    <n v="190801"/>
    <n v="0"/>
  </r>
  <r>
    <x v="178"/>
    <x v="2"/>
    <m/>
    <x v="5"/>
    <x v="3"/>
    <x v="28"/>
    <n v="190801"/>
    <n v="190801"/>
    <m/>
    <n v="4"/>
    <n v="190801"/>
    <n v="0"/>
  </r>
  <r>
    <x v="178"/>
    <x v="2"/>
    <m/>
    <x v="1"/>
    <x v="2"/>
    <x v="18"/>
    <n v="190801"/>
    <n v="190801"/>
    <m/>
    <n v="12"/>
    <n v="190801"/>
    <n v="240000"/>
  </r>
  <r>
    <x v="178"/>
    <x v="2"/>
    <m/>
    <x v="1"/>
    <x v="2"/>
    <x v="21"/>
    <n v="190801"/>
    <n v="190801"/>
    <m/>
    <n v="3"/>
    <n v="190801"/>
    <n v="105000"/>
  </r>
  <r>
    <x v="178"/>
    <x v="2"/>
    <m/>
    <x v="0"/>
    <x v="2"/>
    <x v="15"/>
    <n v="190801"/>
    <n v="190801"/>
    <m/>
    <n v="73"/>
    <n v="190801"/>
    <n v="1460000"/>
  </r>
  <r>
    <x v="178"/>
    <x v="2"/>
    <m/>
    <x v="0"/>
    <x v="2"/>
    <x v="16"/>
    <n v="190801"/>
    <n v="190801"/>
    <m/>
    <n v="44"/>
    <n v="190801"/>
    <n v="1540000"/>
  </r>
  <r>
    <x v="178"/>
    <x v="2"/>
    <m/>
    <x v="0"/>
    <x v="2"/>
    <x v="17"/>
    <n v="190801"/>
    <n v="190801"/>
    <m/>
    <n v="61"/>
    <n v="190801"/>
    <n v="2013000"/>
  </r>
  <r>
    <x v="178"/>
    <x v="2"/>
    <m/>
    <x v="0"/>
    <x v="2"/>
    <x v="19"/>
    <n v="190801"/>
    <n v="190801"/>
    <m/>
    <n v="91"/>
    <n v="190801"/>
    <n v="273000"/>
  </r>
  <r>
    <x v="178"/>
    <x v="2"/>
    <m/>
    <x v="4"/>
    <x v="2"/>
    <x v="27"/>
    <n v="190801"/>
    <n v="190801"/>
    <m/>
    <n v="8"/>
    <n v="190801"/>
    <n v="160000"/>
  </r>
  <r>
    <x v="178"/>
    <x v="2"/>
    <m/>
    <x v="4"/>
    <x v="2"/>
    <x v="26"/>
    <n v="190801"/>
    <n v="190801"/>
    <m/>
    <n v="7"/>
    <n v="190801"/>
    <n v="28000"/>
  </r>
  <r>
    <x v="178"/>
    <x v="2"/>
    <m/>
    <x v="19"/>
    <x v="2"/>
    <x v="22"/>
    <n v="190801"/>
    <n v="190801"/>
    <m/>
    <n v="14"/>
    <n v="190801"/>
    <n v="182000"/>
  </r>
  <r>
    <x v="178"/>
    <x v="2"/>
    <m/>
    <x v="0"/>
    <x v="4"/>
    <x v="15"/>
    <n v="190801"/>
    <n v="190801"/>
    <m/>
    <n v="15"/>
    <n v="190801"/>
    <n v="472500"/>
  </r>
  <r>
    <x v="178"/>
    <x v="2"/>
    <m/>
    <x v="0"/>
    <x v="4"/>
    <x v="16"/>
    <n v="190801"/>
    <n v="190801"/>
    <m/>
    <n v="9"/>
    <n v="190801"/>
    <n v="396000"/>
  </r>
  <r>
    <x v="178"/>
    <x v="2"/>
    <m/>
    <x v="19"/>
    <x v="4"/>
    <x v="22"/>
    <n v="190801"/>
    <n v="190801"/>
    <m/>
    <n v="1"/>
    <n v="190801"/>
    <n v="25000"/>
  </r>
  <r>
    <x v="179"/>
    <x v="5"/>
    <m/>
    <x v="0"/>
    <x v="7"/>
    <x v="15"/>
    <n v="190801"/>
    <n v="190801"/>
    <m/>
    <n v="7"/>
    <n v="190801"/>
    <n v="140000"/>
  </r>
  <r>
    <x v="179"/>
    <x v="5"/>
    <m/>
    <x v="1"/>
    <x v="2"/>
    <x v="18"/>
    <n v="190801"/>
    <n v="190801"/>
    <m/>
    <n v="11"/>
    <n v="190801"/>
    <n v="220000"/>
  </r>
  <r>
    <x v="179"/>
    <x v="5"/>
    <m/>
    <x v="0"/>
    <x v="2"/>
    <x v="15"/>
    <n v="190801"/>
    <n v="190801"/>
    <m/>
    <n v="59"/>
    <n v="190801"/>
    <n v="1180000"/>
  </r>
  <r>
    <x v="179"/>
    <x v="5"/>
    <m/>
    <x v="0"/>
    <x v="2"/>
    <x v="16"/>
    <n v="190801"/>
    <n v="190801"/>
    <m/>
    <n v="32"/>
    <n v="190801"/>
    <n v="1120000"/>
  </r>
  <r>
    <x v="179"/>
    <x v="5"/>
    <m/>
    <x v="0"/>
    <x v="2"/>
    <x v="17"/>
    <n v="190801"/>
    <n v="190801"/>
    <m/>
    <n v="53"/>
    <n v="190801"/>
    <n v="1749000"/>
  </r>
  <r>
    <x v="179"/>
    <x v="5"/>
    <m/>
    <x v="0"/>
    <x v="2"/>
    <x v="19"/>
    <n v="190801"/>
    <n v="190801"/>
    <m/>
    <n v="68"/>
    <n v="190801"/>
    <n v="204000"/>
  </r>
  <r>
    <x v="179"/>
    <x v="5"/>
    <m/>
    <x v="4"/>
    <x v="2"/>
    <x v="27"/>
    <n v="190801"/>
    <n v="190801"/>
    <m/>
    <n v="12"/>
    <n v="190801"/>
    <n v="240000"/>
  </r>
  <r>
    <x v="179"/>
    <x v="5"/>
    <m/>
    <x v="4"/>
    <x v="2"/>
    <x v="26"/>
    <n v="190801"/>
    <n v="190801"/>
    <m/>
    <n v="3"/>
    <n v="190801"/>
    <n v="12000"/>
  </r>
  <r>
    <x v="179"/>
    <x v="5"/>
    <m/>
    <x v="19"/>
    <x v="2"/>
    <x v="22"/>
    <n v="190801"/>
    <n v="190801"/>
    <m/>
    <n v="13"/>
    <n v="190801"/>
    <n v="169000"/>
  </r>
  <r>
    <x v="179"/>
    <x v="5"/>
    <m/>
    <x v="19"/>
    <x v="2"/>
    <x v="23"/>
    <n v="190801"/>
    <n v="190801"/>
    <m/>
    <n v="1"/>
    <n v="190801"/>
    <n v="24000"/>
  </r>
  <r>
    <x v="180"/>
    <x v="6"/>
    <m/>
    <x v="0"/>
    <x v="7"/>
    <x v="15"/>
    <n v="190801"/>
    <n v="190801"/>
    <m/>
    <n v="3"/>
    <n v="190801"/>
    <n v="60000"/>
  </r>
  <r>
    <x v="180"/>
    <x v="6"/>
    <m/>
    <x v="1"/>
    <x v="2"/>
    <x v="18"/>
    <n v="190801"/>
    <n v="190801"/>
    <m/>
    <n v="19"/>
    <n v="190801"/>
    <n v="380000"/>
  </r>
  <r>
    <x v="180"/>
    <x v="6"/>
    <m/>
    <x v="1"/>
    <x v="2"/>
    <x v="21"/>
    <n v="190801"/>
    <n v="190801"/>
    <m/>
    <n v="2"/>
    <n v="190801"/>
    <n v="70000"/>
  </r>
  <r>
    <x v="180"/>
    <x v="6"/>
    <m/>
    <x v="0"/>
    <x v="2"/>
    <x v="15"/>
    <n v="190801"/>
    <n v="190801"/>
    <m/>
    <n v="71"/>
    <n v="190801"/>
    <n v="1420000"/>
  </r>
  <r>
    <x v="180"/>
    <x v="6"/>
    <m/>
    <x v="0"/>
    <x v="2"/>
    <x v="16"/>
    <n v="190801"/>
    <n v="190801"/>
    <m/>
    <n v="60"/>
    <n v="190801"/>
    <n v="2100000"/>
  </r>
  <r>
    <x v="180"/>
    <x v="6"/>
    <m/>
    <x v="0"/>
    <x v="2"/>
    <x v="17"/>
    <n v="190801"/>
    <n v="190801"/>
    <m/>
    <n v="87"/>
    <n v="190801"/>
    <n v="2871000"/>
  </r>
  <r>
    <x v="180"/>
    <x v="6"/>
    <m/>
    <x v="0"/>
    <x v="2"/>
    <x v="19"/>
    <n v="190801"/>
    <n v="190801"/>
    <m/>
    <n v="93"/>
    <n v="190801"/>
    <n v="279000"/>
  </r>
  <r>
    <x v="180"/>
    <x v="6"/>
    <m/>
    <x v="4"/>
    <x v="2"/>
    <x v="27"/>
    <n v="190801"/>
    <n v="190801"/>
    <m/>
    <n v="13"/>
    <n v="190801"/>
    <n v="260000"/>
  </r>
  <r>
    <x v="180"/>
    <x v="6"/>
    <m/>
    <x v="4"/>
    <x v="2"/>
    <x v="26"/>
    <n v="190801"/>
    <n v="190801"/>
    <m/>
    <n v="4"/>
    <n v="190801"/>
    <n v="16000"/>
  </r>
  <r>
    <x v="180"/>
    <x v="6"/>
    <m/>
    <x v="19"/>
    <x v="2"/>
    <x v="22"/>
    <n v="190801"/>
    <n v="190801"/>
    <m/>
    <n v="18"/>
    <n v="190801"/>
    <n v="234000"/>
  </r>
  <r>
    <x v="180"/>
    <x v="6"/>
    <m/>
    <x v="21"/>
    <x v="2"/>
    <x v="15"/>
    <n v="190801"/>
    <n v="190801"/>
    <m/>
    <n v="1"/>
    <n v="190801"/>
    <n v="17500"/>
  </r>
  <r>
    <x v="180"/>
    <x v="6"/>
    <m/>
    <x v="21"/>
    <x v="2"/>
    <x v="18"/>
    <n v="190801"/>
    <n v="190801"/>
    <m/>
    <n v="1"/>
    <n v="190801"/>
    <n v="17500"/>
  </r>
  <r>
    <x v="180"/>
    <x v="6"/>
    <m/>
    <x v="20"/>
    <x v="6"/>
    <x v="25"/>
    <n v="190801"/>
    <n v="190801"/>
    <m/>
    <n v="703"/>
    <n v="190801"/>
    <n v="6830348"/>
  </r>
  <r>
    <x v="180"/>
    <x v="6"/>
    <m/>
    <x v="0"/>
    <x v="6"/>
    <x v="15"/>
    <n v="190801"/>
    <n v="190801"/>
    <m/>
    <n v="1028"/>
    <n v="190801"/>
    <n v="9321904"/>
  </r>
  <r>
    <x v="180"/>
    <x v="6"/>
    <m/>
    <x v="1"/>
    <x v="6"/>
    <x v="18"/>
    <n v="190801"/>
    <n v="190801"/>
    <m/>
    <n v="10"/>
    <n v="190801"/>
    <n v="92050"/>
  </r>
  <r>
    <x v="180"/>
    <x v="6"/>
    <m/>
    <x v="19"/>
    <x v="6"/>
    <x v="22"/>
    <n v="190801"/>
    <n v="190801"/>
    <m/>
    <n v="12"/>
    <n v="190801"/>
    <n v="81492"/>
  </r>
  <r>
    <x v="180"/>
    <x v="6"/>
    <m/>
    <x v="4"/>
    <x v="6"/>
    <x v="26"/>
    <n v="190801"/>
    <n v="190801"/>
    <m/>
    <n v="487"/>
    <n v="190801"/>
    <n v="522551"/>
  </r>
  <r>
    <x v="181"/>
    <x v="3"/>
    <m/>
    <x v="0"/>
    <x v="1"/>
    <x v="15"/>
    <n v="190801"/>
    <n v="190801"/>
    <m/>
    <n v="10"/>
    <n v="190801"/>
    <n v="200000"/>
  </r>
  <r>
    <x v="181"/>
    <x v="3"/>
    <m/>
    <x v="0"/>
    <x v="1"/>
    <x v="16"/>
    <n v="190801"/>
    <n v="190801"/>
    <m/>
    <n v="36"/>
    <n v="190801"/>
    <n v="1260000"/>
  </r>
  <r>
    <x v="181"/>
    <x v="3"/>
    <m/>
    <x v="0"/>
    <x v="7"/>
    <x v="15"/>
    <n v="190801"/>
    <n v="190801"/>
    <m/>
    <n v="10"/>
    <n v="190801"/>
    <n v="200000"/>
  </r>
  <r>
    <x v="181"/>
    <x v="3"/>
    <m/>
    <x v="1"/>
    <x v="2"/>
    <x v="18"/>
    <n v="190801"/>
    <n v="190801"/>
    <m/>
    <n v="17"/>
    <n v="190801"/>
    <n v="340000"/>
  </r>
  <r>
    <x v="181"/>
    <x v="3"/>
    <m/>
    <x v="1"/>
    <x v="2"/>
    <x v="21"/>
    <n v="190801"/>
    <n v="190801"/>
    <m/>
    <n v="3"/>
    <n v="190801"/>
    <n v="105000"/>
  </r>
  <r>
    <x v="181"/>
    <x v="3"/>
    <m/>
    <x v="4"/>
    <x v="2"/>
    <x v="26"/>
    <n v="190801"/>
    <n v="190801"/>
    <m/>
    <n v="7"/>
    <n v="190801"/>
    <n v="28000"/>
  </r>
  <r>
    <x v="181"/>
    <x v="3"/>
    <m/>
    <x v="4"/>
    <x v="2"/>
    <x v="27"/>
    <n v="190801"/>
    <n v="190801"/>
    <m/>
    <n v="12"/>
    <n v="190801"/>
    <n v="240000"/>
  </r>
  <r>
    <x v="181"/>
    <x v="3"/>
    <m/>
    <x v="0"/>
    <x v="2"/>
    <x v="15"/>
    <n v="190801"/>
    <n v="190801"/>
    <m/>
    <n v="91"/>
    <n v="190801"/>
    <n v="1820000"/>
  </r>
  <r>
    <x v="181"/>
    <x v="3"/>
    <m/>
    <x v="0"/>
    <x v="2"/>
    <x v="16"/>
    <n v="190801"/>
    <n v="190801"/>
    <m/>
    <n v="50"/>
    <n v="190801"/>
    <n v="1750000"/>
  </r>
  <r>
    <x v="181"/>
    <x v="3"/>
    <m/>
    <x v="0"/>
    <x v="2"/>
    <x v="17"/>
    <n v="190801"/>
    <n v="190801"/>
    <m/>
    <n v="119"/>
    <n v="190801"/>
    <n v="3927000"/>
  </r>
  <r>
    <x v="181"/>
    <x v="3"/>
    <m/>
    <x v="19"/>
    <x v="2"/>
    <x v="22"/>
    <n v="190801"/>
    <n v="190801"/>
    <m/>
    <n v="22"/>
    <n v="190801"/>
    <n v="286000"/>
  </r>
  <r>
    <x v="181"/>
    <x v="3"/>
    <m/>
    <x v="0"/>
    <x v="2"/>
    <x v="19"/>
    <n v="190801"/>
    <n v="190801"/>
    <m/>
    <n v="92"/>
    <n v="190801"/>
    <n v="276000"/>
  </r>
  <r>
    <x v="181"/>
    <x v="3"/>
    <m/>
    <x v="0"/>
    <x v="3"/>
    <x v="15"/>
    <n v="190801"/>
    <n v="190801"/>
    <m/>
    <n v="2"/>
    <n v="190801"/>
    <n v="0"/>
  </r>
  <r>
    <x v="181"/>
    <x v="3"/>
    <m/>
    <x v="0"/>
    <x v="3"/>
    <x v="19"/>
    <n v="190801"/>
    <n v="190801"/>
    <m/>
    <n v="2"/>
    <n v="190801"/>
    <n v="0"/>
  </r>
  <r>
    <x v="181"/>
    <x v="3"/>
    <m/>
    <x v="0"/>
    <x v="4"/>
    <x v="15"/>
    <n v="190801"/>
    <n v="190801"/>
    <m/>
    <n v="61"/>
    <n v="190801"/>
    <n v="1921500"/>
  </r>
  <r>
    <x v="181"/>
    <x v="3"/>
    <m/>
    <x v="0"/>
    <x v="4"/>
    <x v="16"/>
    <n v="190801"/>
    <n v="190801"/>
    <m/>
    <n v="17"/>
    <n v="190801"/>
    <n v="748000"/>
  </r>
  <r>
    <x v="181"/>
    <x v="3"/>
    <m/>
    <x v="19"/>
    <x v="4"/>
    <x v="22"/>
    <n v="190801"/>
    <n v="190801"/>
    <m/>
    <n v="1"/>
    <n v="190801"/>
    <n v="25000"/>
  </r>
  <r>
    <x v="182"/>
    <x v="4"/>
    <m/>
    <x v="0"/>
    <x v="1"/>
    <x v="15"/>
    <n v="190801"/>
    <n v="190801"/>
    <m/>
    <n v="1"/>
    <n v="190801"/>
    <n v="20000"/>
  </r>
  <r>
    <x v="182"/>
    <x v="4"/>
    <m/>
    <x v="0"/>
    <x v="1"/>
    <x v="16"/>
    <n v="190801"/>
    <n v="190801"/>
    <m/>
    <n v="61"/>
    <n v="190801"/>
    <n v="2135000"/>
  </r>
  <r>
    <x v="182"/>
    <x v="4"/>
    <m/>
    <x v="0"/>
    <x v="7"/>
    <x v="15"/>
    <n v="190801"/>
    <n v="190801"/>
    <m/>
    <n v="14"/>
    <n v="190801"/>
    <n v="280000"/>
  </r>
  <r>
    <x v="182"/>
    <x v="4"/>
    <m/>
    <x v="0"/>
    <x v="5"/>
    <x v="15"/>
    <n v="190801"/>
    <n v="190801"/>
    <m/>
    <n v="7"/>
    <n v="190801"/>
    <n v="71589"/>
  </r>
  <r>
    <x v="182"/>
    <x v="4"/>
    <m/>
    <x v="1"/>
    <x v="2"/>
    <x v="18"/>
    <n v="190801"/>
    <n v="190801"/>
    <m/>
    <n v="11"/>
    <n v="190801"/>
    <n v="220000"/>
  </r>
  <r>
    <x v="182"/>
    <x v="4"/>
    <m/>
    <x v="1"/>
    <x v="2"/>
    <x v="21"/>
    <n v="190801"/>
    <n v="190801"/>
    <m/>
    <n v="7"/>
    <n v="190801"/>
    <n v="245000"/>
  </r>
  <r>
    <x v="182"/>
    <x v="4"/>
    <m/>
    <x v="4"/>
    <x v="2"/>
    <x v="26"/>
    <n v="190801"/>
    <n v="190801"/>
    <m/>
    <n v="5"/>
    <n v="190801"/>
    <n v="20000"/>
  </r>
  <r>
    <x v="182"/>
    <x v="4"/>
    <m/>
    <x v="4"/>
    <x v="2"/>
    <x v="27"/>
    <n v="190801"/>
    <n v="190801"/>
    <m/>
    <n v="23"/>
    <n v="190801"/>
    <n v="460000"/>
  </r>
  <r>
    <x v="182"/>
    <x v="4"/>
    <m/>
    <x v="0"/>
    <x v="2"/>
    <x v="15"/>
    <n v="190801"/>
    <n v="190801"/>
    <m/>
    <n v="75"/>
    <n v="190801"/>
    <n v="1500000"/>
  </r>
  <r>
    <x v="182"/>
    <x v="4"/>
    <m/>
    <x v="0"/>
    <x v="2"/>
    <x v="16"/>
    <n v="190801"/>
    <n v="190801"/>
    <m/>
    <n v="49"/>
    <n v="190801"/>
    <n v="1715000"/>
  </r>
  <r>
    <x v="182"/>
    <x v="4"/>
    <m/>
    <x v="0"/>
    <x v="2"/>
    <x v="17"/>
    <n v="190801"/>
    <n v="190801"/>
    <m/>
    <n v="124"/>
    <n v="190801"/>
    <n v="4092000"/>
  </r>
  <r>
    <x v="182"/>
    <x v="4"/>
    <m/>
    <x v="0"/>
    <x v="2"/>
    <x v="19"/>
    <n v="190801"/>
    <n v="190801"/>
    <m/>
    <n v="104"/>
    <n v="190801"/>
    <n v="312000"/>
  </r>
  <r>
    <x v="182"/>
    <x v="4"/>
    <m/>
    <x v="0"/>
    <x v="4"/>
    <x v="15"/>
    <n v="190801"/>
    <n v="190801"/>
    <m/>
    <n v="19"/>
    <n v="190801"/>
    <n v="598500"/>
  </r>
  <r>
    <x v="182"/>
    <x v="4"/>
    <m/>
    <x v="0"/>
    <x v="4"/>
    <x v="16"/>
    <n v="190801"/>
    <n v="190801"/>
    <m/>
    <n v="2"/>
    <n v="190801"/>
    <n v="88000"/>
  </r>
  <r>
    <x v="183"/>
    <x v="1"/>
    <m/>
    <x v="0"/>
    <x v="1"/>
    <x v="15"/>
    <n v="190801"/>
    <n v="190801"/>
    <m/>
    <n v="1"/>
    <n v="190801"/>
    <n v="20000"/>
  </r>
  <r>
    <x v="183"/>
    <x v="1"/>
    <m/>
    <x v="0"/>
    <x v="1"/>
    <x v="16"/>
    <n v="190801"/>
    <n v="190801"/>
    <m/>
    <n v="18"/>
    <n v="190801"/>
    <n v="630000"/>
  </r>
  <r>
    <x v="183"/>
    <x v="1"/>
    <m/>
    <x v="0"/>
    <x v="7"/>
    <x v="15"/>
    <n v="190801"/>
    <n v="190801"/>
    <m/>
    <n v="20"/>
    <n v="190801"/>
    <n v="400000"/>
  </r>
  <r>
    <x v="183"/>
    <x v="1"/>
    <m/>
    <x v="1"/>
    <x v="2"/>
    <x v="18"/>
    <n v="190801"/>
    <n v="190801"/>
    <m/>
    <n v="24"/>
    <n v="190801"/>
    <n v="480000"/>
  </r>
  <r>
    <x v="183"/>
    <x v="1"/>
    <m/>
    <x v="1"/>
    <x v="2"/>
    <x v="21"/>
    <n v="190801"/>
    <n v="190801"/>
    <m/>
    <n v="3"/>
    <n v="190801"/>
    <n v="105000"/>
  </r>
  <r>
    <x v="183"/>
    <x v="1"/>
    <m/>
    <x v="4"/>
    <x v="2"/>
    <x v="26"/>
    <n v="190801"/>
    <n v="190801"/>
    <m/>
    <n v="8"/>
    <n v="190801"/>
    <n v="32000"/>
  </r>
  <r>
    <x v="183"/>
    <x v="1"/>
    <m/>
    <x v="4"/>
    <x v="2"/>
    <x v="27"/>
    <n v="190801"/>
    <n v="190801"/>
    <m/>
    <n v="16"/>
    <n v="190801"/>
    <n v="320000"/>
  </r>
  <r>
    <x v="183"/>
    <x v="1"/>
    <m/>
    <x v="0"/>
    <x v="2"/>
    <x v="15"/>
    <n v="190801"/>
    <n v="190801"/>
    <m/>
    <n v="118"/>
    <n v="190801"/>
    <n v="2360000"/>
  </r>
  <r>
    <x v="183"/>
    <x v="1"/>
    <m/>
    <x v="0"/>
    <x v="2"/>
    <x v="16"/>
    <n v="190801"/>
    <n v="190801"/>
    <m/>
    <n v="80"/>
    <n v="190801"/>
    <n v="2800000"/>
  </r>
  <r>
    <x v="183"/>
    <x v="1"/>
    <m/>
    <x v="0"/>
    <x v="2"/>
    <x v="17"/>
    <n v="190801"/>
    <n v="190801"/>
    <m/>
    <n v="156"/>
    <n v="190801"/>
    <n v="5148000"/>
  </r>
  <r>
    <x v="183"/>
    <x v="1"/>
    <m/>
    <x v="0"/>
    <x v="2"/>
    <x v="19"/>
    <n v="190801"/>
    <n v="190801"/>
    <m/>
    <n v="128"/>
    <n v="190801"/>
    <n v="384000"/>
  </r>
  <r>
    <x v="183"/>
    <x v="1"/>
    <m/>
    <x v="22"/>
    <x v="2"/>
    <x v="29"/>
    <n v="190801"/>
    <n v="190801"/>
    <m/>
    <n v="7"/>
    <n v="190801"/>
    <n v="266000"/>
  </r>
  <r>
    <x v="183"/>
    <x v="1"/>
    <m/>
    <x v="19"/>
    <x v="2"/>
    <x v="22"/>
    <n v="190801"/>
    <n v="190801"/>
    <m/>
    <n v="25"/>
    <n v="190801"/>
    <n v="325000"/>
  </r>
  <r>
    <x v="183"/>
    <x v="1"/>
    <m/>
    <x v="19"/>
    <x v="2"/>
    <x v="24"/>
    <n v="190801"/>
    <n v="190801"/>
    <m/>
    <n v="2"/>
    <n v="190801"/>
    <n v="66000"/>
  </r>
  <r>
    <x v="183"/>
    <x v="1"/>
    <m/>
    <x v="21"/>
    <x v="2"/>
    <x v="15"/>
    <n v="190801"/>
    <n v="190801"/>
    <m/>
    <n v="3"/>
    <n v="190801"/>
    <n v="52500"/>
  </r>
  <r>
    <x v="183"/>
    <x v="1"/>
    <m/>
    <x v="21"/>
    <x v="2"/>
    <x v="18"/>
    <n v="190801"/>
    <n v="190801"/>
    <m/>
    <n v="3"/>
    <n v="190801"/>
    <n v="52500"/>
  </r>
  <r>
    <x v="183"/>
    <x v="1"/>
    <m/>
    <x v="0"/>
    <x v="4"/>
    <x v="15"/>
    <n v="190801"/>
    <n v="190801"/>
    <m/>
    <n v="17"/>
    <n v="190801"/>
    <n v="535500"/>
  </r>
  <r>
    <x v="183"/>
    <x v="1"/>
    <m/>
    <x v="0"/>
    <x v="4"/>
    <x v="16"/>
    <n v="190801"/>
    <n v="190801"/>
    <m/>
    <n v="9"/>
    <n v="190801"/>
    <n v="396000"/>
  </r>
  <r>
    <x v="182"/>
    <x v="4"/>
    <m/>
    <x v="21"/>
    <x v="2"/>
    <x v="15"/>
    <n v="190801"/>
    <n v="190801"/>
    <m/>
    <n v="2"/>
    <n v="190801"/>
    <n v="35000"/>
  </r>
  <r>
    <x v="182"/>
    <x v="4"/>
    <m/>
    <x v="21"/>
    <x v="2"/>
    <x v="18"/>
    <n v="190801"/>
    <n v="190801"/>
    <m/>
    <n v="2"/>
    <n v="190801"/>
    <n v="35000"/>
  </r>
  <r>
    <x v="182"/>
    <x v="4"/>
    <m/>
    <x v="19"/>
    <x v="2"/>
    <x v="22"/>
    <n v="190801"/>
    <n v="190801"/>
    <m/>
    <n v="24"/>
    <n v="190801"/>
    <n v="312000"/>
  </r>
  <r>
    <x v="182"/>
    <x v="4"/>
    <m/>
    <x v="19"/>
    <x v="2"/>
    <x v="23"/>
    <n v="190801"/>
    <n v="190801"/>
    <m/>
    <n v="3"/>
    <n v="190801"/>
    <n v="72000"/>
  </r>
  <r>
    <x v="182"/>
    <x v="4"/>
    <m/>
    <x v="19"/>
    <x v="2"/>
    <x v="24"/>
    <n v="190801"/>
    <n v="190801"/>
    <m/>
    <n v="1"/>
    <n v="190801"/>
    <n v="33000"/>
  </r>
  <r>
    <x v="184"/>
    <x v="0"/>
    <m/>
    <x v="0"/>
    <x v="1"/>
    <x v="15"/>
    <n v="190801"/>
    <n v="190801"/>
    <m/>
    <n v="4"/>
    <n v="190801"/>
    <n v="80000"/>
  </r>
  <r>
    <x v="184"/>
    <x v="0"/>
    <m/>
    <x v="0"/>
    <x v="1"/>
    <x v="16"/>
    <n v="190801"/>
    <n v="190801"/>
    <m/>
    <n v="6"/>
    <n v="190801"/>
    <n v="210000"/>
  </r>
  <r>
    <x v="184"/>
    <x v="0"/>
    <m/>
    <x v="0"/>
    <x v="7"/>
    <x v="15"/>
    <n v="190801"/>
    <n v="190801"/>
    <m/>
    <n v="22"/>
    <n v="190801"/>
    <n v="440000"/>
  </r>
  <r>
    <x v="184"/>
    <x v="0"/>
    <m/>
    <x v="1"/>
    <x v="2"/>
    <x v="18"/>
    <n v="190801"/>
    <n v="190801"/>
    <m/>
    <n v="20"/>
    <n v="190801"/>
    <n v="400000"/>
  </r>
  <r>
    <x v="184"/>
    <x v="0"/>
    <m/>
    <x v="1"/>
    <x v="2"/>
    <x v="21"/>
    <n v="190801"/>
    <n v="190801"/>
    <m/>
    <n v="4"/>
    <n v="190801"/>
    <n v="140000"/>
  </r>
  <r>
    <x v="184"/>
    <x v="0"/>
    <m/>
    <x v="4"/>
    <x v="2"/>
    <x v="26"/>
    <n v="190801"/>
    <n v="190801"/>
    <m/>
    <n v="9"/>
    <n v="190801"/>
    <n v="36000"/>
  </r>
  <r>
    <x v="184"/>
    <x v="0"/>
    <m/>
    <x v="4"/>
    <x v="2"/>
    <x v="27"/>
    <n v="190801"/>
    <n v="190801"/>
    <m/>
    <n v="6"/>
    <n v="190801"/>
    <n v="120000"/>
  </r>
  <r>
    <x v="184"/>
    <x v="0"/>
    <m/>
    <x v="0"/>
    <x v="2"/>
    <x v="15"/>
    <n v="190801"/>
    <n v="190801"/>
    <m/>
    <n v="123"/>
    <n v="190801"/>
    <n v="2460000"/>
  </r>
  <r>
    <x v="184"/>
    <x v="0"/>
    <m/>
    <x v="0"/>
    <x v="2"/>
    <x v="16"/>
    <n v="190801"/>
    <n v="190801"/>
    <m/>
    <n v="190"/>
    <n v="190801"/>
    <n v="6650000"/>
  </r>
  <r>
    <x v="184"/>
    <x v="0"/>
    <m/>
    <x v="0"/>
    <x v="2"/>
    <x v="17"/>
    <n v="190801"/>
    <n v="190801"/>
    <m/>
    <n v="96"/>
    <n v="190801"/>
    <n v="3168000"/>
  </r>
  <r>
    <x v="184"/>
    <x v="0"/>
    <m/>
    <x v="0"/>
    <x v="2"/>
    <x v="19"/>
    <n v="190801"/>
    <n v="190801"/>
    <m/>
    <n v="150"/>
    <n v="190801"/>
    <n v="450000"/>
  </r>
  <r>
    <x v="184"/>
    <x v="0"/>
    <m/>
    <x v="0"/>
    <x v="5"/>
    <x v="15"/>
    <n v="190801"/>
    <n v="190801"/>
    <m/>
    <n v="10"/>
    <n v="190801"/>
    <n v="102270"/>
  </r>
  <r>
    <x v="184"/>
    <x v="0"/>
    <m/>
    <x v="5"/>
    <x v="5"/>
    <x v="28"/>
    <n v="190801"/>
    <n v="190801"/>
    <m/>
    <n v="5"/>
    <n v="190801"/>
    <n v="67500"/>
  </r>
  <r>
    <x v="184"/>
    <x v="0"/>
    <m/>
    <x v="22"/>
    <x v="5"/>
    <x v="29"/>
    <n v="190801"/>
    <n v="190801"/>
    <m/>
    <n v="5"/>
    <n v="190801"/>
    <n v="77725"/>
  </r>
  <r>
    <x v="184"/>
    <x v="0"/>
    <m/>
    <x v="4"/>
    <x v="5"/>
    <x v="26"/>
    <n v="190801"/>
    <n v="190801"/>
    <m/>
    <n v="5"/>
    <n v="190801"/>
    <n v="8180"/>
  </r>
  <r>
    <x v="184"/>
    <x v="0"/>
    <m/>
    <x v="1"/>
    <x v="5"/>
    <x v="18"/>
    <n v="190801"/>
    <n v="190801"/>
    <m/>
    <n v="5"/>
    <n v="190801"/>
    <n v="51135"/>
  </r>
  <r>
    <x v="184"/>
    <x v="0"/>
    <m/>
    <x v="19"/>
    <x v="5"/>
    <x v="22"/>
    <n v="190801"/>
    <n v="190801"/>
    <m/>
    <n v="5"/>
    <n v="190801"/>
    <n v="32725"/>
  </r>
  <r>
    <x v="184"/>
    <x v="0"/>
    <m/>
    <x v="4"/>
    <x v="5"/>
    <x v="27"/>
    <n v="190801"/>
    <n v="190801"/>
    <m/>
    <n v="5"/>
    <n v="190801"/>
    <n v="81820"/>
  </r>
  <r>
    <x v="184"/>
    <x v="0"/>
    <m/>
    <x v="4"/>
    <x v="3"/>
    <x v="27"/>
    <n v="190801"/>
    <n v="190801"/>
    <m/>
    <n v="1"/>
    <n v="190801"/>
    <n v="0"/>
  </r>
  <r>
    <x v="184"/>
    <x v="0"/>
    <m/>
    <x v="0"/>
    <x v="3"/>
    <x v="15"/>
    <n v="190801"/>
    <n v="190801"/>
    <m/>
    <n v="12"/>
    <n v="190801"/>
    <n v="0"/>
  </r>
  <r>
    <x v="184"/>
    <x v="0"/>
    <m/>
    <x v="5"/>
    <x v="3"/>
    <x v="28"/>
    <n v="190801"/>
    <n v="190801"/>
    <m/>
    <n v="32"/>
    <n v="190801"/>
    <n v="0"/>
  </r>
  <r>
    <x v="184"/>
    <x v="0"/>
    <m/>
    <x v="1"/>
    <x v="3"/>
    <x v="18"/>
    <n v="190801"/>
    <n v="190801"/>
    <m/>
    <n v="1"/>
    <n v="190801"/>
    <n v="0"/>
  </r>
  <r>
    <x v="184"/>
    <x v="0"/>
    <m/>
    <x v="19"/>
    <x v="3"/>
    <x v="22"/>
    <n v="190801"/>
    <n v="190801"/>
    <m/>
    <n v="2"/>
    <n v="190801"/>
    <n v="0"/>
  </r>
  <r>
    <x v="184"/>
    <x v="0"/>
    <m/>
    <x v="5"/>
    <x v="2"/>
    <x v="28"/>
    <n v="190801"/>
    <n v="190801"/>
    <m/>
    <n v="5"/>
    <n v="190801"/>
    <n v="140000"/>
  </r>
  <r>
    <x v="184"/>
    <x v="0"/>
    <m/>
    <x v="22"/>
    <x v="2"/>
    <x v="29"/>
    <n v="190801"/>
    <n v="190801"/>
    <m/>
    <n v="13"/>
    <n v="190801"/>
    <n v="494000"/>
  </r>
  <r>
    <x v="184"/>
    <x v="0"/>
    <m/>
    <x v="21"/>
    <x v="2"/>
    <x v="15"/>
    <n v="190801"/>
    <n v="190801"/>
    <m/>
    <n v="4"/>
    <n v="190801"/>
    <n v="70000"/>
  </r>
  <r>
    <x v="184"/>
    <x v="0"/>
    <m/>
    <x v="21"/>
    <x v="2"/>
    <x v="18"/>
    <n v="190801"/>
    <n v="190801"/>
    <m/>
    <n v="4"/>
    <n v="190801"/>
    <n v="70000"/>
  </r>
  <r>
    <x v="184"/>
    <x v="0"/>
    <m/>
    <x v="19"/>
    <x v="2"/>
    <x v="22"/>
    <n v="190801"/>
    <n v="190801"/>
    <m/>
    <n v="21"/>
    <n v="190801"/>
    <n v="273000"/>
  </r>
  <r>
    <x v="184"/>
    <x v="0"/>
    <m/>
    <x v="19"/>
    <x v="2"/>
    <x v="23"/>
    <n v="190801"/>
    <n v="190801"/>
    <m/>
    <n v="3"/>
    <n v="190801"/>
    <n v="72000"/>
  </r>
  <r>
    <x v="184"/>
    <x v="0"/>
    <m/>
    <x v="19"/>
    <x v="2"/>
    <x v="24"/>
    <n v="190801"/>
    <n v="190801"/>
    <m/>
    <n v="4"/>
    <n v="190801"/>
    <n v="132000"/>
  </r>
  <r>
    <x v="184"/>
    <x v="0"/>
    <m/>
    <x v="0"/>
    <x v="4"/>
    <x v="15"/>
    <n v="190801"/>
    <n v="190801"/>
    <m/>
    <n v="23"/>
    <n v="190801"/>
    <n v="724500"/>
  </r>
  <r>
    <x v="184"/>
    <x v="0"/>
    <m/>
    <x v="0"/>
    <x v="4"/>
    <x v="16"/>
    <n v="190801"/>
    <n v="190801"/>
    <m/>
    <n v="6"/>
    <n v="190801"/>
    <n v="264000"/>
  </r>
  <r>
    <x v="184"/>
    <x v="0"/>
    <m/>
    <x v="19"/>
    <x v="4"/>
    <x v="22"/>
    <n v="190801"/>
    <n v="190801"/>
    <m/>
    <n v="1"/>
    <n v="190801"/>
    <n v="25000"/>
  </r>
  <r>
    <x v="182"/>
    <x v="4"/>
    <m/>
    <x v="1"/>
    <x v="5"/>
    <x v="18"/>
    <n v="190801"/>
    <n v="190801"/>
    <m/>
    <n v="7"/>
    <n v="190801"/>
    <n v="71589"/>
  </r>
  <r>
    <x v="182"/>
    <x v="4"/>
    <m/>
    <x v="0"/>
    <x v="5"/>
    <x v="17"/>
    <n v="190801"/>
    <n v="190801"/>
    <m/>
    <n v="7"/>
    <n v="190801"/>
    <n v="141750"/>
  </r>
  <r>
    <x v="185"/>
    <x v="2"/>
    <m/>
    <x v="0"/>
    <x v="1"/>
    <x v="15"/>
    <n v="190801"/>
    <n v="190801"/>
    <m/>
    <n v="3"/>
    <n v="190801"/>
    <n v="60000"/>
  </r>
  <r>
    <x v="185"/>
    <x v="2"/>
    <m/>
    <x v="0"/>
    <x v="1"/>
    <x v="16"/>
    <n v="190801"/>
    <n v="190801"/>
    <m/>
    <n v="17"/>
    <n v="190801"/>
    <n v="595000"/>
  </r>
  <r>
    <x v="185"/>
    <x v="2"/>
    <m/>
    <x v="0"/>
    <x v="7"/>
    <x v="15"/>
    <n v="190801"/>
    <n v="190801"/>
    <m/>
    <n v="32"/>
    <n v="190801"/>
    <n v="640000"/>
  </r>
  <r>
    <x v="185"/>
    <x v="2"/>
    <m/>
    <x v="0"/>
    <x v="3"/>
    <x v="15"/>
    <n v="190801"/>
    <n v="190801"/>
    <m/>
    <n v="1"/>
    <n v="190801"/>
    <n v="0"/>
  </r>
  <r>
    <x v="185"/>
    <x v="2"/>
    <m/>
    <x v="1"/>
    <x v="2"/>
    <x v="18"/>
    <n v="190801"/>
    <n v="190801"/>
    <m/>
    <n v="16"/>
    <n v="190801"/>
    <n v="320000"/>
  </r>
  <r>
    <x v="185"/>
    <x v="2"/>
    <m/>
    <x v="1"/>
    <x v="2"/>
    <x v="21"/>
    <n v="190801"/>
    <n v="190801"/>
    <m/>
    <n v="3"/>
    <n v="190801"/>
    <n v="105000"/>
  </r>
  <r>
    <x v="185"/>
    <x v="2"/>
    <m/>
    <x v="4"/>
    <x v="2"/>
    <x v="26"/>
    <n v="190801"/>
    <n v="190801"/>
    <m/>
    <n v="5"/>
    <n v="190801"/>
    <n v="20000"/>
  </r>
  <r>
    <x v="185"/>
    <x v="2"/>
    <m/>
    <x v="4"/>
    <x v="2"/>
    <x v="27"/>
    <n v="190801"/>
    <n v="190801"/>
    <m/>
    <n v="7"/>
    <n v="190801"/>
    <n v="140000"/>
  </r>
  <r>
    <x v="185"/>
    <x v="2"/>
    <m/>
    <x v="0"/>
    <x v="2"/>
    <x v="15"/>
    <n v="190801"/>
    <n v="190801"/>
    <m/>
    <n v="84"/>
    <n v="190801"/>
    <n v="1680000"/>
  </r>
  <r>
    <x v="185"/>
    <x v="2"/>
    <m/>
    <x v="0"/>
    <x v="2"/>
    <x v="16"/>
    <n v="190801"/>
    <n v="190801"/>
    <m/>
    <n v="71"/>
    <n v="190801"/>
    <n v="2485000"/>
  </r>
  <r>
    <x v="185"/>
    <x v="2"/>
    <m/>
    <x v="0"/>
    <x v="2"/>
    <x v="17"/>
    <n v="190801"/>
    <n v="190801"/>
    <m/>
    <n v="68"/>
    <n v="190801"/>
    <n v="2244000"/>
  </r>
  <r>
    <x v="185"/>
    <x v="2"/>
    <m/>
    <x v="0"/>
    <x v="2"/>
    <x v="19"/>
    <n v="190801"/>
    <n v="190801"/>
    <m/>
    <n v="76"/>
    <n v="190801"/>
    <n v="228000"/>
  </r>
  <r>
    <x v="185"/>
    <x v="2"/>
    <m/>
    <x v="5"/>
    <x v="2"/>
    <x v="28"/>
    <n v="190801"/>
    <n v="190801"/>
    <m/>
    <n v="9"/>
    <n v="190801"/>
    <n v="252000"/>
  </r>
  <r>
    <x v="185"/>
    <x v="2"/>
    <m/>
    <x v="22"/>
    <x v="2"/>
    <x v="29"/>
    <n v="190801"/>
    <n v="190801"/>
    <m/>
    <n v="12"/>
    <n v="190801"/>
    <n v="456000"/>
  </r>
  <r>
    <x v="185"/>
    <x v="2"/>
    <m/>
    <x v="21"/>
    <x v="2"/>
    <x v="15"/>
    <n v="190801"/>
    <n v="190801"/>
    <m/>
    <n v="2"/>
    <n v="190801"/>
    <n v="35000"/>
  </r>
  <r>
    <x v="185"/>
    <x v="2"/>
    <m/>
    <x v="21"/>
    <x v="2"/>
    <x v="18"/>
    <n v="190801"/>
    <n v="190801"/>
    <m/>
    <n v="2"/>
    <n v="190801"/>
    <n v="35000"/>
  </r>
  <r>
    <x v="185"/>
    <x v="2"/>
    <m/>
    <x v="19"/>
    <x v="2"/>
    <x v="22"/>
    <n v="190801"/>
    <n v="190801"/>
    <m/>
    <n v="8"/>
    <n v="190801"/>
    <n v="104000"/>
  </r>
  <r>
    <x v="185"/>
    <x v="2"/>
    <m/>
    <x v="19"/>
    <x v="2"/>
    <x v="23"/>
    <n v="190801"/>
    <n v="190801"/>
    <m/>
    <n v="1"/>
    <n v="190801"/>
    <n v="24000"/>
  </r>
  <r>
    <x v="185"/>
    <x v="2"/>
    <m/>
    <x v="19"/>
    <x v="2"/>
    <x v="24"/>
    <n v="190801"/>
    <n v="190801"/>
    <m/>
    <n v="1"/>
    <n v="190801"/>
    <n v="33000"/>
  </r>
  <r>
    <x v="185"/>
    <x v="2"/>
    <m/>
    <x v="0"/>
    <x v="4"/>
    <x v="15"/>
    <n v="190801"/>
    <n v="190801"/>
    <m/>
    <n v="30"/>
    <n v="190801"/>
    <n v="945000"/>
  </r>
  <r>
    <x v="185"/>
    <x v="2"/>
    <m/>
    <x v="0"/>
    <x v="4"/>
    <x v="16"/>
    <n v="190801"/>
    <n v="190801"/>
    <m/>
    <n v="6"/>
    <n v="190801"/>
    <n v="264000"/>
  </r>
  <r>
    <x v="186"/>
    <x v="5"/>
    <m/>
    <x v="0"/>
    <x v="7"/>
    <x v="15"/>
    <n v="190801"/>
    <n v="190801"/>
    <m/>
    <n v="24"/>
    <n v="190801"/>
    <n v="480000"/>
  </r>
  <r>
    <x v="186"/>
    <x v="5"/>
    <m/>
    <x v="1"/>
    <x v="2"/>
    <x v="18"/>
    <n v="190801"/>
    <n v="190801"/>
    <m/>
    <n v="10"/>
    <n v="190801"/>
    <n v="200000"/>
  </r>
  <r>
    <x v="186"/>
    <x v="5"/>
    <m/>
    <x v="4"/>
    <x v="2"/>
    <x v="26"/>
    <n v="190801"/>
    <n v="190801"/>
    <m/>
    <n v="11"/>
    <n v="190801"/>
    <n v="44000"/>
  </r>
  <r>
    <x v="186"/>
    <x v="5"/>
    <m/>
    <x v="4"/>
    <x v="2"/>
    <x v="27"/>
    <n v="190801"/>
    <n v="190801"/>
    <m/>
    <n v="7"/>
    <n v="190801"/>
    <n v="140000"/>
  </r>
  <r>
    <x v="186"/>
    <x v="5"/>
    <m/>
    <x v="0"/>
    <x v="2"/>
    <x v="15"/>
    <n v="190801"/>
    <n v="190801"/>
    <m/>
    <n v="85"/>
    <n v="190801"/>
    <n v="1700000"/>
  </r>
  <r>
    <x v="186"/>
    <x v="5"/>
    <m/>
    <x v="0"/>
    <x v="2"/>
    <x v="16"/>
    <n v="190801"/>
    <n v="190801"/>
    <m/>
    <n v="78"/>
    <n v="190801"/>
    <n v="2730000"/>
  </r>
  <r>
    <x v="186"/>
    <x v="5"/>
    <m/>
    <x v="0"/>
    <x v="2"/>
    <x v="17"/>
    <n v="190801"/>
    <n v="190801"/>
    <m/>
    <n v="67"/>
    <n v="190801"/>
    <n v="2211000"/>
  </r>
  <r>
    <x v="186"/>
    <x v="5"/>
    <m/>
    <x v="0"/>
    <x v="2"/>
    <x v="19"/>
    <n v="190801"/>
    <n v="190801"/>
    <m/>
    <n v="92"/>
    <n v="190801"/>
    <n v="276000"/>
  </r>
  <r>
    <x v="186"/>
    <x v="5"/>
    <m/>
    <x v="5"/>
    <x v="2"/>
    <x v="28"/>
    <n v="190801"/>
    <n v="190801"/>
    <m/>
    <n v="10"/>
    <n v="190801"/>
    <n v="280000"/>
  </r>
  <r>
    <x v="186"/>
    <x v="5"/>
    <m/>
    <x v="22"/>
    <x v="2"/>
    <x v="29"/>
    <n v="190801"/>
    <n v="190801"/>
    <m/>
    <n v="10"/>
    <n v="190801"/>
    <n v="380000"/>
  </r>
  <r>
    <x v="187"/>
    <x v="6"/>
    <m/>
    <x v="0"/>
    <x v="7"/>
    <x v="15"/>
    <n v="190801"/>
    <n v="190801"/>
    <m/>
    <n v="32"/>
    <n v="190801"/>
    <n v="640000"/>
  </r>
  <r>
    <x v="187"/>
    <x v="6"/>
    <m/>
    <x v="1"/>
    <x v="2"/>
    <x v="18"/>
    <n v="190801"/>
    <n v="190801"/>
    <m/>
    <n v="17"/>
    <n v="190801"/>
    <n v="340000"/>
  </r>
  <r>
    <x v="187"/>
    <x v="6"/>
    <m/>
    <x v="1"/>
    <x v="2"/>
    <x v="21"/>
    <n v="190801"/>
    <n v="190801"/>
    <m/>
    <n v="7"/>
    <n v="190801"/>
    <n v="245000"/>
  </r>
  <r>
    <x v="187"/>
    <x v="6"/>
    <m/>
    <x v="4"/>
    <x v="2"/>
    <x v="26"/>
    <n v="190801"/>
    <n v="190801"/>
    <m/>
    <n v="4"/>
    <n v="190801"/>
    <n v="16000"/>
  </r>
  <r>
    <x v="187"/>
    <x v="6"/>
    <m/>
    <x v="4"/>
    <x v="2"/>
    <x v="27"/>
    <n v="190801"/>
    <n v="190801"/>
    <m/>
    <n v="5"/>
    <n v="190801"/>
    <n v="100000"/>
  </r>
  <r>
    <x v="187"/>
    <x v="6"/>
    <m/>
    <x v="0"/>
    <x v="2"/>
    <x v="15"/>
    <n v="190801"/>
    <n v="190801"/>
    <m/>
    <n v="117"/>
    <n v="190801"/>
    <n v="2340000"/>
  </r>
  <r>
    <x v="187"/>
    <x v="6"/>
    <m/>
    <x v="0"/>
    <x v="2"/>
    <x v="16"/>
    <n v="190801"/>
    <n v="190801"/>
    <m/>
    <n v="63"/>
    <n v="190801"/>
    <n v="2205000"/>
  </r>
  <r>
    <x v="187"/>
    <x v="6"/>
    <m/>
    <x v="0"/>
    <x v="2"/>
    <x v="17"/>
    <n v="190801"/>
    <n v="190801"/>
    <m/>
    <n v="85"/>
    <n v="190801"/>
    <n v="2805000"/>
  </r>
  <r>
    <x v="187"/>
    <x v="6"/>
    <m/>
    <x v="0"/>
    <x v="2"/>
    <x v="19"/>
    <n v="190801"/>
    <n v="190801"/>
    <m/>
    <n v="94"/>
    <n v="190801"/>
    <n v="282000"/>
  </r>
  <r>
    <x v="187"/>
    <x v="6"/>
    <m/>
    <x v="5"/>
    <x v="2"/>
    <x v="28"/>
    <n v="190801"/>
    <n v="190801"/>
    <m/>
    <n v="19"/>
    <n v="190801"/>
    <n v="532000"/>
  </r>
  <r>
    <x v="187"/>
    <x v="6"/>
    <m/>
    <x v="22"/>
    <x v="2"/>
    <x v="29"/>
    <n v="190801"/>
    <n v="190801"/>
    <m/>
    <n v="9"/>
    <n v="190801"/>
    <n v="342000"/>
  </r>
  <r>
    <x v="187"/>
    <x v="6"/>
    <m/>
    <x v="20"/>
    <x v="6"/>
    <x v="25"/>
    <n v="190801"/>
    <n v="190801"/>
    <m/>
    <n v="192"/>
    <n v="190801"/>
    <n v="1865472"/>
  </r>
  <r>
    <x v="187"/>
    <x v="6"/>
    <m/>
    <x v="0"/>
    <x v="6"/>
    <x v="15"/>
    <n v="190801"/>
    <n v="190801"/>
    <m/>
    <n v="1169"/>
    <n v="190801"/>
    <n v="10600492"/>
  </r>
  <r>
    <x v="187"/>
    <x v="6"/>
    <m/>
    <x v="1"/>
    <x v="6"/>
    <x v="18"/>
    <n v="190801"/>
    <n v="190801"/>
    <m/>
    <n v="6"/>
    <n v="190801"/>
    <n v="55230"/>
  </r>
  <r>
    <x v="187"/>
    <x v="6"/>
    <m/>
    <x v="19"/>
    <x v="6"/>
    <x v="22"/>
    <n v="190801"/>
    <n v="190801"/>
    <m/>
    <n v="10"/>
    <n v="190801"/>
    <n v="67910"/>
  </r>
  <r>
    <x v="187"/>
    <x v="6"/>
    <m/>
    <x v="4"/>
    <x v="6"/>
    <x v="26"/>
    <n v="190801"/>
    <n v="190801"/>
    <m/>
    <n v="615"/>
    <n v="190801"/>
    <n v="659895"/>
  </r>
  <r>
    <x v="187"/>
    <x v="6"/>
    <m/>
    <x v="23"/>
    <x v="6"/>
    <x v="30"/>
    <n v="190801"/>
    <n v="190801"/>
    <m/>
    <n v="56"/>
    <n v="190801"/>
    <n v="389984"/>
  </r>
  <r>
    <x v="187"/>
    <x v="6"/>
    <m/>
    <x v="24"/>
    <x v="6"/>
    <x v="31"/>
    <n v="190801"/>
    <n v="190801"/>
    <m/>
    <n v="72"/>
    <n v="190801"/>
    <n v="1071144"/>
  </r>
  <r>
    <x v="187"/>
    <x v="6"/>
    <m/>
    <x v="5"/>
    <x v="6"/>
    <x v="28"/>
    <n v="190801"/>
    <n v="190801"/>
    <m/>
    <n v="2"/>
    <n v="190801"/>
    <n v="29200"/>
  </r>
  <r>
    <x v="187"/>
    <x v="6"/>
    <m/>
    <x v="0"/>
    <x v="6"/>
    <x v="17"/>
    <n v="190801"/>
    <n v="190801"/>
    <m/>
    <n v="273"/>
    <n v="190801"/>
    <n v="4318314"/>
  </r>
  <r>
    <x v="188"/>
    <x v="3"/>
    <m/>
    <x v="0"/>
    <x v="1"/>
    <x v="15"/>
    <n v="190801"/>
    <n v="190801"/>
    <m/>
    <n v="14"/>
    <n v="190801"/>
    <n v="280000"/>
  </r>
  <r>
    <x v="188"/>
    <x v="3"/>
    <m/>
    <x v="0"/>
    <x v="1"/>
    <x v="16"/>
    <n v="190801"/>
    <n v="190801"/>
    <m/>
    <n v="39"/>
    <n v="190801"/>
    <n v="1365000"/>
  </r>
  <r>
    <x v="188"/>
    <x v="3"/>
    <m/>
    <x v="0"/>
    <x v="7"/>
    <x v="15"/>
    <n v="190801"/>
    <n v="190801"/>
    <m/>
    <n v="29"/>
    <n v="190801"/>
    <n v="580000"/>
  </r>
  <r>
    <x v="188"/>
    <x v="3"/>
    <m/>
    <x v="18"/>
    <x v="3"/>
    <x v="19"/>
    <n v="190801"/>
    <n v="190801"/>
    <m/>
    <n v="2"/>
    <n v="190801"/>
    <n v="0"/>
  </r>
  <r>
    <x v="188"/>
    <x v="3"/>
    <m/>
    <x v="1"/>
    <x v="2"/>
    <x v="18"/>
    <n v="190801"/>
    <n v="190801"/>
    <m/>
    <n v="30"/>
    <n v="190801"/>
    <n v="600000"/>
  </r>
  <r>
    <x v="188"/>
    <x v="3"/>
    <m/>
    <x v="1"/>
    <x v="2"/>
    <x v="21"/>
    <n v="190801"/>
    <n v="190801"/>
    <m/>
    <n v="3"/>
    <n v="190801"/>
    <n v="105000"/>
  </r>
  <r>
    <x v="188"/>
    <x v="3"/>
    <m/>
    <x v="4"/>
    <x v="2"/>
    <x v="26"/>
    <n v="190801"/>
    <n v="190801"/>
    <m/>
    <n v="19"/>
    <n v="190801"/>
    <n v="76000"/>
  </r>
  <r>
    <x v="188"/>
    <x v="3"/>
    <m/>
    <x v="4"/>
    <x v="2"/>
    <x v="27"/>
    <n v="190801"/>
    <n v="190801"/>
    <m/>
    <n v="2"/>
    <n v="190801"/>
    <n v="40000"/>
  </r>
  <r>
    <x v="188"/>
    <x v="3"/>
    <m/>
    <x v="0"/>
    <x v="2"/>
    <x v="15"/>
    <n v="190801"/>
    <n v="190801"/>
    <m/>
    <n v="122"/>
    <n v="190801"/>
    <n v="2440000"/>
  </r>
  <r>
    <x v="188"/>
    <x v="3"/>
    <m/>
    <x v="0"/>
    <x v="2"/>
    <x v="16"/>
    <n v="190801"/>
    <n v="190801"/>
    <m/>
    <n v="77"/>
    <n v="190801"/>
    <n v="2695000"/>
  </r>
  <r>
    <x v="188"/>
    <x v="3"/>
    <m/>
    <x v="0"/>
    <x v="2"/>
    <x v="17"/>
    <n v="190801"/>
    <n v="190801"/>
    <m/>
    <n v="84"/>
    <n v="190801"/>
    <n v="2772000"/>
  </r>
  <r>
    <x v="188"/>
    <x v="3"/>
    <m/>
    <x v="0"/>
    <x v="2"/>
    <x v="19"/>
    <n v="190801"/>
    <n v="190801"/>
    <m/>
    <n v="115"/>
    <n v="190801"/>
    <n v="345000"/>
  </r>
  <r>
    <x v="188"/>
    <x v="3"/>
    <m/>
    <x v="5"/>
    <x v="2"/>
    <x v="28"/>
    <n v="190801"/>
    <n v="190801"/>
    <m/>
    <n v="17"/>
    <n v="190801"/>
    <n v="476000"/>
  </r>
  <r>
    <x v="188"/>
    <x v="3"/>
    <m/>
    <x v="22"/>
    <x v="2"/>
    <x v="29"/>
    <n v="190801"/>
    <n v="190801"/>
    <m/>
    <n v="19"/>
    <n v="190801"/>
    <n v="722000"/>
  </r>
  <r>
    <x v="188"/>
    <x v="3"/>
    <m/>
    <x v="21"/>
    <x v="2"/>
    <x v="15"/>
    <n v="190801"/>
    <n v="190801"/>
    <m/>
    <n v="3"/>
    <n v="190801"/>
    <n v="52500"/>
  </r>
  <r>
    <x v="188"/>
    <x v="3"/>
    <m/>
    <x v="21"/>
    <x v="2"/>
    <x v="18"/>
    <n v="190801"/>
    <n v="190801"/>
    <m/>
    <n v="3"/>
    <n v="190801"/>
    <n v="52500"/>
  </r>
  <r>
    <x v="188"/>
    <x v="3"/>
    <m/>
    <x v="0"/>
    <x v="4"/>
    <x v="15"/>
    <n v="190801"/>
    <n v="190801"/>
    <m/>
    <n v="86"/>
    <n v="190801"/>
    <n v="2709000"/>
  </r>
  <r>
    <x v="188"/>
    <x v="3"/>
    <m/>
    <x v="0"/>
    <x v="4"/>
    <x v="16"/>
    <n v="190801"/>
    <n v="190801"/>
    <m/>
    <n v="40"/>
    <n v="190801"/>
    <n v="1760000"/>
  </r>
  <r>
    <x v="188"/>
    <x v="3"/>
    <m/>
    <x v="1"/>
    <x v="4"/>
    <x v="18"/>
    <n v="190801"/>
    <n v="190801"/>
    <m/>
    <n v="1"/>
    <n v="190801"/>
    <n v="31500"/>
  </r>
  <r>
    <x v="189"/>
    <x v="4"/>
    <m/>
    <x v="0"/>
    <x v="1"/>
    <x v="15"/>
    <n v="190801"/>
    <n v="190801"/>
    <m/>
    <n v="6"/>
    <n v="190801"/>
    <n v="120000"/>
  </r>
  <r>
    <x v="189"/>
    <x v="4"/>
    <m/>
    <x v="0"/>
    <x v="1"/>
    <x v="16"/>
    <n v="190801"/>
    <n v="190801"/>
    <m/>
    <n v="7"/>
    <n v="190801"/>
    <n v="245000"/>
  </r>
  <r>
    <x v="189"/>
    <x v="4"/>
    <m/>
    <x v="0"/>
    <x v="7"/>
    <x v="15"/>
    <n v="190801"/>
    <n v="190801"/>
    <m/>
    <n v="6"/>
    <n v="190801"/>
    <n v="120000"/>
  </r>
  <r>
    <x v="189"/>
    <x v="4"/>
    <m/>
    <x v="22"/>
    <x v="3"/>
    <x v="29"/>
    <n v="190801"/>
    <n v="190801"/>
    <m/>
    <n v="60"/>
    <n v="190801"/>
    <n v="0"/>
  </r>
  <r>
    <x v="189"/>
    <x v="4"/>
    <m/>
    <x v="5"/>
    <x v="3"/>
    <x v="28"/>
    <n v="190801"/>
    <n v="190801"/>
    <m/>
    <n v="2"/>
    <n v="190801"/>
    <n v="0"/>
  </r>
  <r>
    <x v="189"/>
    <x v="4"/>
    <m/>
    <x v="4"/>
    <x v="3"/>
    <x v="26"/>
    <n v="190801"/>
    <n v="190801"/>
    <m/>
    <n v="10"/>
    <n v="190801"/>
    <n v="0"/>
  </r>
  <r>
    <x v="189"/>
    <x v="4"/>
    <m/>
    <x v="4"/>
    <x v="3"/>
    <x v="27"/>
    <n v="190801"/>
    <n v="190801"/>
    <m/>
    <n v="5"/>
    <n v="190801"/>
    <n v="0"/>
  </r>
  <r>
    <x v="189"/>
    <x v="4"/>
    <m/>
    <x v="1"/>
    <x v="3"/>
    <x v="18"/>
    <n v="190801"/>
    <n v="190801"/>
    <m/>
    <n v="40"/>
    <n v="190801"/>
    <n v="0"/>
  </r>
  <r>
    <x v="189"/>
    <x v="4"/>
    <m/>
    <x v="1"/>
    <x v="2"/>
    <x v="18"/>
    <n v="190801"/>
    <n v="190801"/>
    <m/>
    <n v="17"/>
    <n v="190801"/>
    <n v="340000"/>
  </r>
  <r>
    <x v="189"/>
    <x v="4"/>
    <m/>
    <x v="1"/>
    <x v="2"/>
    <x v="21"/>
    <n v="190801"/>
    <n v="190801"/>
    <m/>
    <n v="9"/>
    <n v="190801"/>
    <n v="315000"/>
  </r>
  <r>
    <x v="189"/>
    <x v="4"/>
    <m/>
    <x v="4"/>
    <x v="2"/>
    <x v="26"/>
    <n v="190801"/>
    <n v="190801"/>
    <m/>
    <n v="3"/>
    <n v="190801"/>
    <n v="12000"/>
  </r>
  <r>
    <x v="189"/>
    <x v="4"/>
    <m/>
    <x v="4"/>
    <x v="2"/>
    <x v="27"/>
    <n v="190801"/>
    <n v="190801"/>
    <m/>
    <n v="4"/>
    <n v="190801"/>
    <n v="80000"/>
  </r>
  <r>
    <x v="189"/>
    <x v="4"/>
    <m/>
    <x v="0"/>
    <x v="2"/>
    <x v="15"/>
    <n v="190801"/>
    <n v="190801"/>
    <m/>
    <n v="119"/>
    <n v="190801"/>
    <n v="2380000"/>
  </r>
  <r>
    <x v="189"/>
    <x v="4"/>
    <m/>
    <x v="0"/>
    <x v="2"/>
    <x v="16"/>
    <n v="190801"/>
    <n v="190801"/>
    <m/>
    <n v="63"/>
    <n v="190801"/>
    <n v="2205000"/>
  </r>
  <r>
    <x v="189"/>
    <x v="4"/>
    <m/>
    <x v="0"/>
    <x v="2"/>
    <x v="17"/>
    <n v="190801"/>
    <n v="190801"/>
    <m/>
    <n v="71"/>
    <n v="190801"/>
    <n v="2343000"/>
  </r>
  <r>
    <x v="189"/>
    <x v="4"/>
    <m/>
    <x v="0"/>
    <x v="2"/>
    <x v="19"/>
    <n v="190801"/>
    <n v="190801"/>
    <m/>
    <n v="106"/>
    <n v="190801"/>
    <n v="318000"/>
  </r>
  <r>
    <x v="189"/>
    <x v="4"/>
    <m/>
    <x v="5"/>
    <x v="2"/>
    <x v="28"/>
    <n v="190801"/>
    <n v="190801"/>
    <m/>
    <n v="11"/>
    <n v="190801"/>
    <n v="308000"/>
  </r>
  <r>
    <x v="189"/>
    <x v="4"/>
    <m/>
    <x v="22"/>
    <x v="2"/>
    <x v="29"/>
    <n v="190801"/>
    <n v="190801"/>
    <m/>
    <n v="14"/>
    <n v="190801"/>
    <n v="532000"/>
  </r>
  <r>
    <x v="189"/>
    <x v="4"/>
    <m/>
    <x v="21"/>
    <x v="2"/>
    <x v="15"/>
    <n v="190801"/>
    <n v="190801"/>
    <m/>
    <n v="2"/>
    <n v="190801"/>
    <n v="35000"/>
  </r>
  <r>
    <x v="189"/>
    <x v="4"/>
    <m/>
    <x v="21"/>
    <x v="2"/>
    <x v="18"/>
    <n v="190801"/>
    <n v="190801"/>
    <m/>
    <n v="2"/>
    <n v="190801"/>
    <n v="35000"/>
  </r>
  <r>
    <x v="189"/>
    <x v="4"/>
    <m/>
    <x v="0"/>
    <x v="4"/>
    <x v="15"/>
    <n v="190801"/>
    <n v="190801"/>
    <m/>
    <n v="27"/>
    <n v="190801"/>
    <n v="850500"/>
  </r>
  <r>
    <x v="189"/>
    <x v="4"/>
    <m/>
    <x v="0"/>
    <x v="4"/>
    <x v="16"/>
    <n v="190801"/>
    <n v="190801"/>
    <m/>
    <n v="4"/>
    <n v="190801"/>
    <n v="176000"/>
  </r>
  <r>
    <x v="190"/>
    <x v="1"/>
    <m/>
    <x v="0"/>
    <x v="1"/>
    <x v="15"/>
    <n v="190801"/>
    <n v="190801"/>
    <m/>
    <n v="5"/>
    <n v="190801"/>
    <n v="100000"/>
  </r>
  <r>
    <x v="190"/>
    <x v="1"/>
    <m/>
    <x v="0"/>
    <x v="1"/>
    <x v="16"/>
    <n v="190801"/>
    <n v="190801"/>
    <m/>
    <n v="24"/>
    <n v="190801"/>
    <n v="840000"/>
  </r>
  <r>
    <x v="190"/>
    <x v="1"/>
    <m/>
    <x v="0"/>
    <x v="7"/>
    <x v="15"/>
    <n v="190801"/>
    <n v="190801"/>
    <m/>
    <n v="4"/>
    <n v="190801"/>
    <n v="80000"/>
  </r>
  <r>
    <x v="190"/>
    <x v="1"/>
    <m/>
    <x v="0"/>
    <x v="3"/>
    <x v="15"/>
    <n v="190801"/>
    <n v="190801"/>
    <m/>
    <n v="2"/>
    <n v="190801"/>
    <n v="0"/>
  </r>
  <r>
    <x v="190"/>
    <x v="1"/>
    <m/>
    <x v="1"/>
    <x v="2"/>
    <x v="18"/>
    <n v="190801"/>
    <n v="190801"/>
    <m/>
    <n v="14"/>
    <n v="190801"/>
    <n v="280000"/>
  </r>
  <r>
    <x v="190"/>
    <x v="1"/>
    <m/>
    <x v="1"/>
    <x v="2"/>
    <x v="21"/>
    <n v="190801"/>
    <n v="190801"/>
    <m/>
    <n v="2"/>
    <n v="190801"/>
    <n v="70000"/>
  </r>
  <r>
    <x v="190"/>
    <x v="1"/>
    <m/>
    <x v="4"/>
    <x v="2"/>
    <x v="26"/>
    <n v="190801"/>
    <n v="190801"/>
    <m/>
    <n v="8"/>
    <n v="190801"/>
    <n v="32000"/>
  </r>
  <r>
    <x v="190"/>
    <x v="1"/>
    <m/>
    <x v="4"/>
    <x v="2"/>
    <x v="27"/>
    <n v="190801"/>
    <n v="190801"/>
    <m/>
    <n v="2"/>
    <n v="190801"/>
    <n v="40000"/>
  </r>
  <r>
    <x v="190"/>
    <x v="1"/>
    <m/>
    <x v="0"/>
    <x v="2"/>
    <x v="15"/>
    <n v="190801"/>
    <n v="190801"/>
    <m/>
    <n v="92"/>
    <n v="190801"/>
    <n v="1840000"/>
  </r>
  <r>
    <x v="190"/>
    <x v="1"/>
    <m/>
    <x v="0"/>
    <x v="2"/>
    <x v="16"/>
    <n v="190801"/>
    <n v="190801"/>
    <m/>
    <n v="69"/>
    <n v="190801"/>
    <n v="2415000"/>
  </r>
  <r>
    <x v="190"/>
    <x v="1"/>
    <m/>
    <x v="0"/>
    <x v="2"/>
    <x v="17"/>
    <n v="190801"/>
    <n v="190801"/>
    <m/>
    <n v="54"/>
    <n v="190801"/>
    <n v="1782000"/>
  </r>
  <r>
    <x v="190"/>
    <x v="1"/>
    <m/>
    <x v="0"/>
    <x v="2"/>
    <x v="19"/>
    <n v="190801"/>
    <n v="190801"/>
    <m/>
    <n v="73"/>
    <n v="190801"/>
    <n v="219000"/>
  </r>
  <r>
    <x v="190"/>
    <x v="1"/>
    <m/>
    <x v="5"/>
    <x v="2"/>
    <x v="28"/>
    <n v="190801"/>
    <n v="190801"/>
    <m/>
    <n v="12"/>
    <n v="190801"/>
    <n v="336000"/>
  </r>
  <r>
    <x v="190"/>
    <x v="1"/>
    <m/>
    <x v="22"/>
    <x v="2"/>
    <x v="29"/>
    <n v="190801"/>
    <n v="190801"/>
    <m/>
    <n v="11"/>
    <n v="190801"/>
    <n v="418000"/>
  </r>
  <r>
    <x v="190"/>
    <x v="1"/>
    <m/>
    <x v="0"/>
    <x v="4"/>
    <x v="15"/>
    <n v="190801"/>
    <n v="190801"/>
    <m/>
    <n v="20"/>
    <n v="190801"/>
    <n v="630000"/>
  </r>
  <r>
    <x v="190"/>
    <x v="1"/>
    <m/>
    <x v="0"/>
    <x v="4"/>
    <x v="16"/>
    <n v="190801"/>
    <n v="190801"/>
    <m/>
    <n v="6"/>
    <n v="190801"/>
    <n v="264000"/>
  </r>
  <r>
    <x v="191"/>
    <x v="0"/>
    <m/>
    <x v="0"/>
    <x v="1"/>
    <x v="15"/>
    <n v="190801"/>
    <n v="190801"/>
    <m/>
    <n v="1"/>
    <n v="190801"/>
    <n v="20000"/>
  </r>
  <r>
    <x v="191"/>
    <x v="0"/>
    <m/>
    <x v="0"/>
    <x v="1"/>
    <x v="16"/>
    <n v="190801"/>
    <n v="190801"/>
    <m/>
    <n v="11"/>
    <n v="190801"/>
    <n v="385000"/>
  </r>
  <r>
    <x v="191"/>
    <x v="0"/>
    <m/>
    <x v="0"/>
    <x v="7"/>
    <x v="15"/>
    <n v="190801"/>
    <n v="190801"/>
    <m/>
    <n v="1"/>
    <n v="190801"/>
    <n v="20000"/>
  </r>
  <r>
    <x v="191"/>
    <x v="0"/>
    <m/>
    <x v="5"/>
    <x v="3"/>
    <x v="28"/>
    <n v="190801"/>
    <n v="190801"/>
    <m/>
    <n v="1"/>
    <n v="190801"/>
    <n v="0"/>
  </r>
  <r>
    <x v="191"/>
    <x v="0"/>
    <m/>
    <x v="1"/>
    <x v="2"/>
    <x v="18"/>
    <n v="190801"/>
    <n v="190801"/>
    <m/>
    <n v="15"/>
    <n v="190801"/>
    <n v="300000"/>
  </r>
  <r>
    <x v="191"/>
    <x v="0"/>
    <m/>
    <x v="1"/>
    <x v="2"/>
    <x v="21"/>
    <n v="190801"/>
    <n v="190801"/>
    <m/>
    <n v="6"/>
    <n v="190801"/>
    <n v="210000"/>
  </r>
  <r>
    <x v="191"/>
    <x v="0"/>
    <m/>
    <x v="4"/>
    <x v="2"/>
    <x v="26"/>
    <n v="190801"/>
    <n v="190801"/>
    <m/>
    <n v="5"/>
    <n v="190801"/>
    <n v="20000"/>
  </r>
  <r>
    <x v="191"/>
    <x v="0"/>
    <m/>
    <x v="4"/>
    <x v="2"/>
    <x v="27"/>
    <n v="190801"/>
    <n v="190801"/>
    <m/>
    <n v="6"/>
    <n v="190801"/>
    <n v="120000"/>
  </r>
  <r>
    <x v="191"/>
    <x v="0"/>
    <m/>
    <x v="0"/>
    <x v="2"/>
    <x v="15"/>
    <n v="190801"/>
    <n v="190801"/>
    <m/>
    <n v="75"/>
    <n v="190801"/>
    <n v="1500000"/>
  </r>
  <r>
    <x v="191"/>
    <x v="0"/>
    <m/>
    <x v="0"/>
    <x v="2"/>
    <x v="16"/>
    <n v="190801"/>
    <n v="190801"/>
    <m/>
    <n v="63"/>
    <n v="190801"/>
    <n v="2205000"/>
  </r>
  <r>
    <x v="191"/>
    <x v="0"/>
    <m/>
    <x v="0"/>
    <x v="2"/>
    <x v="17"/>
    <n v="190801"/>
    <n v="190801"/>
    <m/>
    <n v="57"/>
    <n v="190801"/>
    <n v="1881000"/>
  </r>
  <r>
    <x v="191"/>
    <x v="0"/>
    <m/>
    <x v="0"/>
    <x v="2"/>
    <x v="19"/>
    <n v="190801"/>
    <n v="190801"/>
    <m/>
    <n v="93"/>
    <n v="190801"/>
    <n v="279000"/>
  </r>
  <r>
    <x v="191"/>
    <x v="0"/>
    <m/>
    <x v="5"/>
    <x v="2"/>
    <x v="28"/>
    <n v="190801"/>
    <n v="190801"/>
    <m/>
    <n v="11"/>
    <n v="190801"/>
    <n v="308000"/>
  </r>
  <r>
    <x v="191"/>
    <x v="0"/>
    <m/>
    <x v="22"/>
    <x v="2"/>
    <x v="29"/>
    <n v="190801"/>
    <n v="190801"/>
    <m/>
    <n v="7"/>
    <n v="190801"/>
    <n v="266000"/>
  </r>
  <r>
    <x v="191"/>
    <x v="0"/>
    <m/>
    <x v="0"/>
    <x v="4"/>
    <x v="15"/>
    <n v="190801"/>
    <n v="190801"/>
    <m/>
    <n v="12"/>
    <n v="190801"/>
    <n v="378000"/>
  </r>
  <r>
    <x v="191"/>
    <x v="0"/>
    <m/>
    <x v="0"/>
    <x v="4"/>
    <x v="16"/>
    <n v="190801"/>
    <n v="190801"/>
    <m/>
    <n v="5"/>
    <n v="190801"/>
    <n v="220000"/>
  </r>
  <r>
    <x v="192"/>
    <x v="2"/>
    <m/>
    <x v="0"/>
    <x v="1"/>
    <x v="15"/>
    <n v="190801"/>
    <n v="190801"/>
    <m/>
    <n v="6"/>
    <n v="190801"/>
    <n v="120000"/>
  </r>
  <r>
    <x v="192"/>
    <x v="2"/>
    <m/>
    <x v="0"/>
    <x v="1"/>
    <x v="16"/>
    <n v="190801"/>
    <n v="190801"/>
    <m/>
    <n v="19"/>
    <n v="190801"/>
    <n v="665000"/>
  </r>
  <r>
    <x v="192"/>
    <x v="2"/>
    <m/>
    <x v="0"/>
    <x v="7"/>
    <x v="15"/>
    <n v="190801"/>
    <n v="190801"/>
    <m/>
    <n v="4"/>
    <n v="190801"/>
    <n v="80000"/>
  </r>
  <r>
    <x v="192"/>
    <x v="2"/>
    <m/>
    <x v="4"/>
    <x v="3"/>
    <x v="27"/>
    <n v="190801"/>
    <n v="190801"/>
    <m/>
    <n v="3"/>
    <n v="190801"/>
    <n v="0"/>
  </r>
  <r>
    <x v="192"/>
    <x v="2"/>
    <m/>
    <x v="0"/>
    <x v="3"/>
    <x v="15"/>
    <n v="190801"/>
    <n v="190801"/>
    <m/>
    <n v="1"/>
    <n v="190801"/>
    <n v="0"/>
  </r>
  <r>
    <x v="192"/>
    <x v="2"/>
    <m/>
    <x v="0"/>
    <x v="3"/>
    <x v="19"/>
    <n v="190801"/>
    <n v="190801"/>
    <m/>
    <n v="1"/>
    <n v="190801"/>
    <n v="0"/>
  </r>
  <r>
    <x v="192"/>
    <x v="2"/>
    <m/>
    <x v="1"/>
    <x v="2"/>
    <x v="18"/>
    <n v="190801"/>
    <n v="190801"/>
    <m/>
    <n v="11"/>
    <n v="190801"/>
    <n v="220000"/>
  </r>
  <r>
    <x v="192"/>
    <x v="2"/>
    <m/>
    <x v="1"/>
    <x v="2"/>
    <x v="21"/>
    <n v="190801"/>
    <n v="190801"/>
    <m/>
    <n v="4"/>
    <n v="190801"/>
    <n v="140000"/>
  </r>
  <r>
    <x v="192"/>
    <x v="2"/>
    <m/>
    <x v="4"/>
    <x v="2"/>
    <x v="26"/>
    <n v="190801"/>
    <n v="190801"/>
    <m/>
    <n v="2"/>
    <n v="190801"/>
    <n v="8000"/>
  </r>
  <r>
    <x v="192"/>
    <x v="2"/>
    <m/>
    <x v="4"/>
    <x v="2"/>
    <x v="27"/>
    <n v="190801"/>
    <n v="190801"/>
    <m/>
    <n v="3"/>
    <n v="190801"/>
    <n v="60000"/>
  </r>
  <r>
    <x v="192"/>
    <x v="2"/>
    <m/>
    <x v="0"/>
    <x v="2"/>
    <x v="15"/>
    <n v="190801"/>
    <n v="190801"/>
    <m/>
    <n v="73"/>
    <n v="190801"/>
    <n v="1460000"/>
  </r>
  <r>
    <x v="192"/>
    <x v="2"/>
    <m/>
    <x v="0"/>
    <x v="2"/>
    <x v="16"/>
    <n v="190801"/>
    <n v="190801"/>
    <m/>
    <n v="64"/>
    <n v="190801"/>
    <n v="2240000"/>
  </r>
  <r>
    <x v="192"/>
    <x v="2"/>
    <m/>
    <x v="0"/>
    <x v="2"/>
    <x v="17"/>
    <n v="190801"/>
    <n v="190801"/>
    <m/>
    <n v="62"/>
    <n v="190801"/>
    <n v="2046000"/>
  </r>
  <r>
    <x v="192"/>
    <x v="2"/>
    <m/>
    <x v="0"/>
    <x v="2"/>
    <x v="19"/>
    <n v="190801"/>
    <n v="190801"/>
    <m/>
    <n v="78"/>
    <n v="190801"/>
    <n v="234000"/>
  </r>
  <r>
    <x v="192"/>
    <x v="2"/>
    <m/>
    <x v="5"/>
    <x v="2"/>
    <x v="28"/>
    <n v="190801"/>
    <n v="190801"/>
    <m/>
    <n v="11"/>
    <n v="190801"/>
    <n v="308000"/>
  </r>
  <r>
    <x v="192"/>
    <x v="2"/>
    <m/>
    <x v="22"/>
    <x v="2"/>
    <x v="29"/>
    <n v="190801"/>
    <n v="190801"/>
    <m/>
    <n v="8"/>
    <n v="190801"/>
    <n v="304000"/>
  </r>
  <r>
    <x v="192"/>
    <x v="2"/>
    <m/>
    <x v="0"/>
    <x v="4"/>
    <x v="15"/>
    <n v="190801"/>
    <n v="190801"/>
    <m/>
    <n v="12"/>
    <n v="190801"/>
    <n v="378000"/>
  </r>
  <r>
    <x v="192"/>
    <x v="2"/>
    <m/>
    <x v="0"/>
    <x v="4"/>
    <x v="16"/>
    <n v="190801"/>
    <n v="190801"/>
    <m/>
    <n v="4"/>
    <n v="190801"/>
    <n v="176000"/>
  </r>
  <r>
    <x v="193"/>
    <x v="5"/>
    <m/>
    <x v="0"/>
    <x v="7"/>
    <x v="15"/>
    <n v="190801"/>
    <n v="190801"/>
    <m/>
    <n v="4"/>
    <n v="190801"/>
    <n v="80000"/>
  </r>
  <r>
    <x v="193"/>
    <x v="5"/>
    <m/>
    <x v="1"/>
    <x v="2"/>
    <x v="18"/>
    <n v="190801"/>
    <n v="190801"/>
    <m/>
    <n v="11"/>
    <n v="190801"/>
    <n v="220000"/>
  </r>
  <r>
    <x v="193"/>
    <x v="5"/>
    <m/>
    <x v="1"/>
    <x v="2"/>
    <x v="21"/>
    <n v="190801"/>
    <n v="190801"/>
    <m/>
    <n v="3"/>
    <n v="190801"/>
    <n v="105000"/>
  </r>
  <r>
    <x v="193"/>
    <x v="5"/>
    <m/>
    <x v="4"/>
    <x v="2"/>
    <x v="27"/>
    <n v="190801"/>
    <n v="190801"/>
    <m/>
    <n v="7"/>
    <n v="190801"/>
    <n v="140000"/>
  </r>
  <r>
    <x v="193"/>
    <x v="5"/>
    <m/>
    <x v="0"/>
    <x v="2"/>
    <x v="15"/>
    <n v="190801"/>
    <n v="190801"/>
    <m/>
    <n v="61"/>
    <n v="190801"/>
    <n v="1220000"/>
  </r>
  <r>
    <x v="193"/>
    <x v="5"/>
    <m/>
    <x v="0"/>
    <x v="2"/>
    <x v="16"/>
    <n v="190801"/>
    <n v="190801"/>
    <m/>
    <n v="52"/>
    <n v="190801"/>
    <n v="1820000"/>
  </r>
  <r>
    <x v="193"/>
    <x v="5"/>
    <m/>
    <x v="0"/>
    <x v="2"/>
    <x v="17"/>
    <n v="190801"/>
    <n v="190801"/>
    <m/>
    <n v="45"/>
    <n v="190801"/>
    <n v="1485000"/>
  </r>
  <r>
    <x v="193"/>
    <x v="5"/>
    <m/>
    <x v="0"/>
    <x v="2"/>
    <x v="19"/>
    <n v="190801"/>
    <n v="190801"/>
    <m/>
    <n v="56"/>
    <n v="190801"/>
    <n v="168000"/>
  </r>
  <r>
    <x v="193"/>
    <x v="5"/>
    <m/>
    <x v="5"/>
    <x v="2"/>
    <x v="28"/>
    <n v="190801"/>
    <n v="190801"/>
    <m/>
    <n v="10"/>
    <n v="190801"/>
    <n v="280000"/>
  </r>
  <r>
    <x v="193"/>
    <x v="5"/>
    <m/>
    <x v="22"/>
    <x v="2"/>
    <x v="29"/>
    <n v="190801"/>
    <n v="190801"/>
    <m/>
    <n v="3"/>
    <n v="190801"/>
    <n v="114000"/>
  </r>
  <r>
    <x v="194"/>
    <x v="6"/>
    <m/>
    <x v="0"/>
    <x v="7"/>
    <x v="15"/>
    <n v="190801"/>
    <n v="190801"/>
    <m/>
    <n v="3"/>
    <n v="190801"/>
    <n v="60000"/>
  </r>
  <r>
    <x v="194"/>
    <x v="6"/>
    <m/>
    <x v="1"/>
    <x v="2"/>
    <x v="18"/>
    <n v="190801"/>
    <n v="190801"/>
    <m/>
    <n v="20"/>
    <n v="190801"/>
    <n v="400000"/>
  </r>
  <r>
    <x v="194"/>
    <x v="6"/>
    <m/>
    <x v="1"/>
    <x v="2"/>
    <x v="21"/>
    <n v="190801"/>
    <n v="190801"/>
    <m/>
    <n v="7"/>
    <n v="190801"/>
    <n v="245000"/>
  </r>
  <r>
    <x v="194"/>
    <x v="6"/>
    <m/>
    <x v="4"/>
    <x v="2"/>
    <x v="26"/>
    <n v="190801"/>
    <n v="190801"/>
    <m/>
    <n v="3"/>
    <n v="190801"/>
    <n v="12000"/>
  </r>
  <r>
    <x v="194"/>
    <x v="6"/>
    <m/>
    <x v="4"/>
    <x v="2"/>
    <x v="27"/>
    <n v="190801"/>
    <n v="190801"/>
    <m/>
    <n v="2"/>
    <n v="190801"/>
    <n v="40000"/>
  </r>
  <r>
    <x v="194"/>
    <x v="6"/>
    <m/>
    <x v="0"/>
    <x v="2"/>
    <x v="15"/>
    <n v="190801"/>
    <n v="190801"/>
    <m/>
    <n v="75"/>
    <n v="190801"/>
    <n v="1500000"/>
  </r>
  <r>
    <x v="194"/>
    <x v="6"/>
    <m/>
    <x v="0"/>
    <x v="2"/>
    <x v="16"/>
    <n v="190801"/>
    <n v="190801"/>
    <m/>
    <n v="57"/>
    <n v="190801"/>
    <n v="1995000"/>
  </r>
  <r>
    <x v="194"/>
    <x v="6"/>
    <m/>
    <x v="0"/>
    <x v="2"/>
    <x v="17"/>
    <n v="190801"/>
    <n v="190801"/>
    <m/>
    <n v="76"/>
    <n v="190801"/>
    <n v="2508000"/>
  </r>
  <r>
    <x v="194"/>
    <x v="6"/>
    <m/>
    <x v="0"/>
    <x v="2"/>
    <x v="19"/>
    <n v="190801"/>
    <n v="190801"/>
    <m/>
    <n v="79"/>
    <n v="190801"/>
    <n v="237000"/>
  </r>
  <r>
    <x v="194"/>
    <x v="6"/>
    <m/>
    <x v="5"/>
    <x v="2"/>
    <x v="28"/>
    <n v="190801"/>
    <n v="190801"/>
    <m/>
    <n v="19"/>
    <n v="190801"/>
    <n v="532000"/>
  </r>
  <r>
    <x v="194"/>
    <x v="6"/>
    <m/>
    <x v="22"/>
    <x v="2"/>
    <x v="29"/>
    <n v="190801"/>
    <n v="190801"/>
    <m/>
    <n v="6"/>
    <n v="190801"/>
    <n v="228000"/>
  </r>
  <r>
    <x v="194"/>
    <x v="6"/>
    <m/>
    <x v="21"/>
    <x v="2"/>
    <x v="15"/>
    <n v="190801"/>
    <n v="190801"/>
    <m/>
    <n v="1"/>
    <n v="190801"/>
    <n v="17500"/>
  </r>
  <r>
    <x v="194"/>
    <x v="6"/>
    <m/>
    <x v="21"/>
    <x v="2"/>
    <x v="18"/>
    <n v="190801"/>
    <n v="190801"/>
    <m/>
    <n v="1"/>
    <n v="190801"/>
    <n v="17500"/>
  </r>
  <r>
    <x v="194"/>
    <x v="6"/>
    <m/>
    <x v="0"/>
    <x v="6"/>
    <x v="15"/>
    <n v="190801"/>
    <n v="190801"/>
    <m/>
    <n v="592"/>
    <n v="190801"/>
    <n v="5368256"/>
  </r>
  <r>
    <x v="194"/>
    <x v="6"/>
    <m/>
    <x v="0"/>
    <x v="6"/>
    <x v="17"/>
    <n v="190801"/>
    <n v="190801"/>
    <m/>
    <n v="483"/>
    <n v="190801"/>
    <n v="7640094"/>
  </r>
  <r>
    <x v="194"/>
    <x v="6"/>
    <m/>
    <x v="4"/>
    <x v="6"/>
    <x v="26"/>
    <n v="190801"/>
    <n v="190801"/>
    <m/>
    <n v="655"/>
    <n v="190801"/>
    <n v="702815"/>
  </r>
  <r>
    <x v="194"/>
    <x v="6"/>
    <m/>
    <x v="5"/>
    <x v="6"/>
    <x v="28"/>
    <n v="190801"/>
    <n v="190801"/>
    <m/>
    <n v="3"/>
    <n v="190801"/>
    <n v="43800"/>
  </r>
  <r>
    <x v="194"/>
    <x v="6"/>
    <m/>
    <x v="22"/>
    <x v="6"/>
    <x v="29"/>
    <n v="190801"/>
    <n v="190801"/>
    <m/>
    <n v="11"/>
    <n v="190801"/>
    <n v="216601"/>
  </r>
  <r>
    <x v="194"/>
    <x v="6"/>
    <m/>
    <x v="24"/>
    <x v="6"/>
    <x v="31"/>
    <n v="190801"/>
    <n v="190801"/>
    <m/>
    <n v="116"/>
    <n v="190801"/>
    <n v="1725732"/>
  </r>
  <r>
    <x v="194"/>
    <x v="6"/>
    <m/>
    <x v="23"/>
    <x v="6"/>
    <x v="30"/>
    <n v="190801"/>
    <n v="190801"/>
    <m/>
    <n v="106"/>
    <n v="190801"/>
    <n v="738184"/>
  </r>
  <r>
    <x v="194"/>
    <x v="6"/>
    <m/>
    <x v="20"/>
    <x v="6"/>
    <x v="25"/>
    <n v="190801"/>
    <n v="190801"/>
    <m/>
    <n v="76"/>
    <n v="190801"/>
    <n v="738416"/>
  </r>
  <r>
    <x v="194"/>
    <x v="6"/>
    <m/>
    <x v="1"/>
    <x v="6"/>
    <x v="18"/>
    <n v="190801"/>
    <n v="190801"/>
    <m/>
    <n v="11"/>
    <n v="190801"/>
    <n v="101255"/>
  </r>
  <r>
    <x v="195"/>
    <x v="3"/>
    <m/>
    <x v="0"/>
    <x v="1"/>
    <x v="15"/>
    <n v="190801"/>
    <n v="190801"/>
    <m/>
    <n v="5"/>
    <n v="190801"/>
    <n v="100000"/>
  </r>
  <r>
    <x v="195"/>
    <x v="3"/>
    <m/>
    <x v="0"/>
    <x v="1"/>
    <x v="16"/>
    <n v="190801"/>
    <n v="190801"/>
    <m/>
    <n v="32"/>
    <n v="190801"/>
    <n v="1120000"/>
  </r>
  <r>
    <x v="195"/>
    <x v="3"/>
    <m/>
    <x v="0"/>
    <x v="7"/>
    <x v="15"/>
    <n v="190801"/>
    <n v="190801"/>
    <m/>
    <n v="5"/>
    <n v="190801"/>
    <n v="100000"/>
  </r>
  <r>
    <x v="195"/>
    <x v="3"/>
    <m/>
    <x v="22"/>
    <x v="2"/>
    <x v="32"/>
    <n v="190801"/>
    <n v="190801"/>
    <m/>
    <n v="42"/>
    <n v="190801"/>
    <n v="1117200"/>
  </r>
  <r>
    <x v="195"/>
    <x v="3"/>
    <m/>
    <x v="5"/>
    <x v="2"/>
    <x v="33"/>
    <n v="190801"/>
    <n v="190801"/>
    <m/>
    <n v="22"/>
    <n v="190801"/>
    <n v="506000"/>
  </r>
  <r>
    <x v="195"/>
    <x v="3"/>
    <m/>
    <x v="1"/>
    <x v="2"/>
    <x v="18"/>
    <n v="190801"/>
    <n v="190801"/>
    <m/>
    <n v="21"/>
    <n v="190801"/>
    <n v="420000"/>
  </r>
  <r>
    <x v="195"/>
    <x v="3"/>
    <m/>
    <x v="1"/>
    <x v="2"/>
    <x v="21"/>
    <n v="190801"/>
    <n v="190801"/>
    <m/>
    <n v="3"/>
    <n v="190801"/>
    <n v="105000"/>
  </r>
  <r>
    <x v="195"/>
    <x v="3"/>
    <m/>
    <x v="4"/>
    <x v="2"/>
    <x v="26"/>
    <n v="190801"/>
    <n v="190801"/>
    <m/>
    <n v="9"/>
    <n v="190801"/>
    <n v="36000"/>
  </r>
  <r>
    <x v="195"/>
    <x v="3"/>
    <m/>
    <x v="4"/>
    <x v="2"/>
    <x v="27"/>
    <n v="190801"/>
    <n v="190801"/>
    <m/>
    <n v="12"/>
    <n v="190801"/>
    <n v="240000"/>
  </r>
  <r>
    <x v="195"/>
    <x v="3"/>
    <m/>
    <x v="0"/>
    <x v="2"/>
    <x v="15"/>
    <n v="190801"/>
    <n v="190801"/>
    <m/>
    <n v="95"/>
    <n v="190801"/>
    <n v="1900000"/>
  </r>
  <r>
    <x v="195"/>
    <x v="3"/>
    <m/>
    <x v="0"/>
    <x v="2"/>
    <x v="16"/>
    <n v="190801"/>
    <n v="190801"/>
    <m/>
    <n v="336"/>
    <n v="190801"/>
    <n v="11760000"/>
  </r>
  <r>
    <x v="195"/>
    <x v="3"/>
    <m/>
    <x v="0"/>
    <x v="2"/>
    <x v="17"/>
    <n v="190801"/>
    <n v="190801"/>
    <m/>
    <n v="87"/>
    <n v="190801"/>
    <n v="2871000"/>
  </r>
  <r>
    <x v="195"/>
    <x v="3"/>
    <m/>
    <x v="0"/>
    <x v="2"/>
    <x v="19"/>
    <n v="190801"/>
    <n v="190801"/>
    <m/>
    <n v="86"/>
    <n v="190801"/>
    <n v="258000"/>
  </r>
  <r>
    <x v="195"/>
    <x v="3"/>
    <m/>
    <x v="5"/>
    <x v="2"/>
    <x v="28"/>
    <n v="190801"/>
    <n v="190801"/>
    <m/>
    <n v="21"/>
    <n v="190801"/>
    <n v="588000"/>
  </r>
  <r>
    <x v="195"/>
    <x v="3"/>
    <m/>
    <x v="22"/>
    <x v="2"/>
    <x v="29"/>
    <n v="190801"/>
    <n v="190801"/>
    <m/>
    <n v="18"/>
    <n v="190801"/>
    <n v="684000"/>
  </r>
  <r>
    <x v="195"/>
    <x v="3"/>
    <m/>
    <x v="21"/>
    <x v="2"/>
    <x v="15"/>
    <n v="190801"/>
    <n v="190801"/>
    <m/>
    <n v="1"/>
    <n v="190801"/>
    <n v="17500"/>
  </r>
  <r>
    <x v="195"/>
    <x v="3"/>
    <m/>
    <x v="21"/>
    <x v="2"/>
    <x v="18"/>
    <n v="190801"/>
    <n v="190801"/>
    <m/>
    <n v="1"/>
    <n v="190801"/>
    <n v="17500"/>
  </r>
  <r>
    <x v="195"/>
    <x v="3"/>
    <m/>
    <x v="0"/>
    <x v="4"/>
    <x v="15"/>
    <n v="190801"/>
    <n v="190801"/>
    <m/>
    <n v="50"/>
    <n v="190801"/>
    <n v="1575000"/>
  </r>
  <r>
    <x v="195"/>
    <x v="3"/>
    <m/>
    <x v="0"/>
    <x v="4"/>
    <x v="16"/>
    <n v="190801"/>
    <n v="190801"/>
    <m/>
    <n v="19"/>
    <n v="190801"/>
    <n v="836000"/>
  </r>
  <r>
    <x v="195"/>
    <x v="3"/>
    <m/>
    <x v="1"/>
    <x v="4"/>
    <x v="18"/>
    <n v="190801"/>
    <n v="190801"/>
    <m/>
    <n v="1"/>
    <n v="190801"/>
    <n v="31500"/>
  </r>
  <r>
    <x v="196"/>
    <x v="4"/>
    <m/>
    <x v="0"/>
    <x v="1"/>
    <x v="15"/>
    <n v="190801"/>
    <n v="190801"/>
    <m/>
    <n v="1"/>
    <n v="190801"/>
    <n v="20000"/>
  </r>
  <r>
    <x v="196"/>
    <x v="4"/>
    <m/>
    <x v="0"/>
    <x v="1"/>
    <x v="16"/>
    <n v="190801"/>
    <n v="190801"/>
    <m/>
    <n v="4"/>
    <n v="190801"/>
    <n v="140000"/>
  </r>
  <r>
    <x v="196"/>
    <x v="4"/>
    <m/>
    <x v="0"/>
    <x v="7"/>
    <x v="15"/>
    <n v="190801"/>
    <n v="190801"/>
    <m/>
    <n v="5"/>
    <n v="190801"/>
    <n v="100000"/>
  </r>
  <r>
    <x v="196"/>
    <x v="4"/>
    <m/>
    <x v="0"/>
    <x v="5"/>
    <x v="15"/>
    <n v="190801"/>
    <n v="190801"/>
    <m/>
    <n v="100"/>
    <n v="190801"/>
    <n v="1022700"/>
  </r>
  <r>
    <x v="196"/>
    <x v="4"/>
    <m/>
    <x v="0"/>
    <x v="3"/>
    <x v="15"/>
    <n v="190801"/>
    <n v="190801"/>
    <m/>
    <n v="20"/>
    <n v="190801"/>
    <n v="0"/>
  </r>
  <r>
    <x v="196"/>
    <x v="4"/>
    <m/>
    <x v="0"/>
    <x v="3"/>
    <x v="17"/>
    <n v="190801"/>
    <n v="190801"/>
    <m/>
    <n v="20"/>
    <n v="190801"/>
    <n v="0"/>
  </r>
  <r>
    <x v="196"/>
    <x v="4"/>
    <m/>
    <x v="5"/>
    <x v="3"/>
    <x v="28"/>
    <n v="190801"/>
    <n v="190801"/>
    <m/>
    <n v="22"/>
    <n v="190801"/>
    <n v="0"/>
  </r>
  <r>
    <x v="196"/>
    <x v="4"/>
    <m/>
    <x v="22"/>
    <x v="3"/>
    <x v="29"/>
    <n v="190801"/>
    <n v="190801"/>
    <m/>
    <n v="22"/>
    <n v="190801"/>
    <n v="0"/>
  </r>
  <r>
    <x v="196"/>
    <x v="4"/>
    <m/>
    <x v="4"/>
    <x v="3"/>
    <x v="27"/>
    <n v="190801"/>
    <n v="190801"/>
    <m/>
    <n v="22"/>
    <n v="190801"/>
    <n v="0"/>
  </r>
  <r>
    <x v="196"/>
    <x v="4"/>
    <m/>
    <x v="22"/>
    <x v="2"/>
    <x v="32"/>
    <n v="190801"/>
    <n v="190801"/>
    <m/>
    <n v="52"/>
    <n v="190801"/>
    <n v="1383200"/>
  </r>
  <r>
    <x v="196"/>
    <x v="4"/>
    <m/>
    <x v="5"/>
    <x v="2"/>
    <x v="33"/>
    <n v="190801"/>
    <n v="190801"/>
    <m/>
    <n v="57"/>
    <n v="190801"/>
    <n v="1311000"/>
  </r>
  <r>
    <x v="196"/>
    <x v="4"/>
    <m/>
    <x v="1"/>
    <x v="2"/>
    <x v="18"/>
    <n v="190801"/>
    <n v="190801"/>
    <m/>
    <n v="19"/>
    <n v="190801"/>
    <n v="380000"/>
  </r>
  <r>
    <x v="196"/>
    <x v="4"/>
    <m/>
    <x v="1"/>
    <x v="2"/>
    <x v="21"/>
    <n v="190801"/>
    <n v="190801"/>
    <m/>
    <n v="5"/>
    <n v="190801"/>
    <n v="175000"/>
  </r>
  <r>
    <x v="196"/>
    <x v="4"/>
    <m/>
    <x v="4"/>
    <x v="2"/>
    <x v="26"/>
    <n v="190801"/>
    <n v="190801"/>
    <m/>
    <n v="9"/>
    <n v="190801"/>
    <n v="36000"/>
  </r>
  <r>
    <x v="196"/>
    <x v="4"/>
    <m/>
    <x v="4"/>
    <x v="2"/>
    <x v="27"/>
    <n v="190801"/>
    <n v="190801"/>
    <m/>
    <n v="10"/>
    <n v="190801"/>
    <n v="200000"/>
  </r>
  <r>
    <x v="196"/>
    <x v="4"/>
    <m/>
    <x v="0"/>
    <x v="2"/>
    <x v="15"/>
    <n v="190801"/>
    <n v="190801"/>
    <m/>
    <n v="99"/>
    <n v="190801"/>
    <n v="1980000"/>
  </r>
  <r>
    <x v="196"/>
    <x v="4"/>
    <m/>
    <x v="0"/>
    <x v="2"/>
    <x v="16"/>
    <n v="190801"/>
    <n v="190801"/>
    <m/>
    <n v="52"/>
    <n v="190801"/>
    <n v="1820000"/>
  </r>
  <r>
    <x v="196"/>
    <x v="4"/>
    <m/>
    <x v="0"/>
    <x v="2"/>
    <x v="17"/>
    <n v="190801"/>
    <n v="190801"/>
    <m/>
    <n v="72"/>
    <n v="190801"/>
    <n v="2376000"/>
  </r>
  <r>
    <x v="196"/>
    <x v="4"/>
    <m/>
    <x v="0"/>
    <x v="2"/>
    <x v="19"/>
    <n v="190801"/>
    <n v="190801"/>
    <m/>
    <n v="105"/>
    <n v="190801"/>
    <n v="315000"/>
  </r>
  <r>
    <x v="196"/>
    <x v="4"/>
    <m/>
    <x v="5"/>
    <x v="2"/>
    <x v="28"/>
    <n v="190801"/>
    <n v="190801"/>
    <m/>
    <n v="15"/>
    <n v="190801"/>
    <n v="420000"/>
  </r>
  <r>
    <x v="196"/>
    <x v="4"/>
    <m/>
    <x v="22"/>
    <x v="2"/>
    <x v="29"/>
    <n v="190801"/>
    <n v="190801"/>
    <m/>
    <n v="7"/>
    <n v="190801"/>
    <n v="266000"/>
  </r>
  <r>
    <x v="196"/>
    <x v="4"/>
    <m/>
    <x v="21"/>
    <x v="2"/>
    <x v="15"/>
    <n v="190801"/>
    <n v="190801"/>
    <m/>
    <n v="1"/>
    <n v="190801"/>
    <n v="17500"/>
  </r>
  <r>
    <x v="196"/>
    <x v="4"/>
    <m/>
    <x v="21"/>
    <x v="2"/>
    <x v="18"/>
    <n v="190801"/>
    <n v="190801"/>
    <m/>
    <n v="1"/>
    <n v="190801"/>
    <n v="17500"/>
  </r>
  <r>
    <x v="196"/>
    <x v="4"/>
    <m/>
    <x v="0"/>
    <x v="4"/>
    <x v="15"/>
    <n v="190801"/>
    <n v="190801"/>
    <m/>
    <n v="17"/>
    <n v="190801"/>
    <n v="535500"/>
  </r>
  <r>
    <x v="196"/>
    <x v="4"/>
    <m/>
    <x v="0"/>
    <x v="4"/>
    <x v="16"/>
    <n v="190801"/>
    <n v="190801"/>
    <m/>
    <n v="5"/>
    <n v="190801"/>
    <n v="220000"/>
  </r>
  <r>
    <x v="197"/>
    <x v="1"/>
    <m/>
    <x v="0"/>
    <x v="7"/>
    <x v="15"/>
    <n v="190801"/>
    <n v="190801"/>
    <m/>
    <n v="15"/>
    <n v="190801"/>
    <n v="300000"/>
  </r>
  <r>
    <x v="197"/>
    <x v="1"/>
    <m/>
    <x v="5"/>
    <x v="2"/>
    <x v="33"/>
    <n v="190801"/>
    <n v="190801"/>
    <m/>
    <n v="2"/>
    <n v="190801"/>
    <n v="46000"/>
  </r>
  <r>
    <x v="197"/>
    <x v="1"/>
    <m/>
    <x v="22"/>
    <x v="2"/>
    <x v="32"/>
    <n v="190801"/>
    <n v="190801"/>
    <m/>
    <n v="1"/>
    <n v="190801"/>
    <n v="26600"/>
  </r>
  <r>
    <x v="197"/>
    <x v="1"/>
    <m/>
    <x v="1"/>
    <x v="2"/>
    <x v="18"/>
    <n v="190801"/>
    <n v="190801"/>
    <m/>
    <n v="15"/>
    <n v="190801"/>
    <n v="300000"/>
  </r>
  <r>
    <x v="197"/>
    <x v="1"/>
    <m/>
    <x v="1"/>
    <x v="2"/>
    <x v="21"/>
    <n v="190801"/>
    <n v="190801"/>
    <m/>
    <n v="3"/>
    <n v="190801"/>
    <n v="105000"/>
  </r>
  <r>
    <x v="197"/>
    <x v="1"/>
    <m/>
    <x v="4"/>
    <x v="2"/>
    <x v="26"/>
    <n v="190801"/>
    <n v="190801"/>
    <m/>
    <n v="2"/>
    <n v="190801"/>
    <n v="8000"/>
  </r>
  <r>
    <x v="197"/>
    <x v="1"/>
    <m/>
    <x v="4"/>
    <x v="2"/>
    <x v="27"/>
    <n v="190801"/>
    <n v="190801"/>
    <m/>
    <n v="7"/>
    <n v="190801"/>
    <n v="140000"/>
  </r>
  <r>
    <x v="197"/>
    <x v="1"/>
    <m/>
    <x v="0"/>
    <x v="2"/>
    <x v="15"/>
    <n v="190801"/>
    <n v="190801"/>
    <m/>
    <n v="68"/>
    <n v="190801"/>
    <n v="1360000"/>
  </r>
  <r>
    <x v="197"/>
    <x v="1"/>
    <m/>
    <x v="0"/>
    <x v="2"/>
    <x v="16"/>
    <n v="190801"/>
    <n v="190801"/>
    <m/>
    <n v="57"/>
    <n v="190801"/>
    <n v="1995000"/>
  </r>
  <r>
    <x v="197"/>
    <x v="1"/>
    <m/>
    <x v="0"/>
    <x v="2"/>
    <x v="17"/>
    <n v="190801"/>
    <n v="190801"/>
    <m/>
    <n v="52"/>
    <n v="190801"/>
    <n v="1716000"/>
  </r>
  <r>
    <x v="197"/>
    <x v="1"/>
    <m/>
    <x v="0"/>
    <x v="2"/>
    <x v="19"/>
    <n v="190801"/>
    <n v="190801"/>
    <m/>
    <n v="72"/>
    <n v="190801"/>
    <n v="216000"/>
  </r>
  <r>
    <x v="197"/>
    <x v="1"/>
    <m/>
    <x v="5"/>
    <x v="2"/>
    <x v="28"/>
    <n v="190801"/>
    <n v="190801"/>
    <m/>
    <n v="20"/>
    <n v="190801"/>
    <n v="560000"/>
  </r>
  <r>
    <x v="197"/>
    <x v="1"/>
    <m/>
    <x v="22"/>
    <x v="2"/>
    <x v="29"/>
    <n v="190801"/>
    <n v="190801"/>
    <m/>
    <n v="11"/>
    <n v="190801"/>
    <n v="418000"/>
  </r>
  <r>
    <x v="197"/>
    <x v="1"/>
    <m/>
    <x v="21"/>
    <x v="2"/>
    <x v="15"/>
    <n v="190801"/>
    <n v="190801"/>
    <m/>
    <n v="1"/>
    <n v="190801"/>
    <n v="17500"/>
  </r>
  <r>
    <x v="197"/>
    <x v="1"/>
    <m/>
    <x v="21"/>
    <x v="2"/>
    <x v="18"/>
    <n v="190801"/>
    <n v="190801"/>
    <m/>
    <n v="1"/>
    <n v="190801"/>
    <n v="17500"/>
  </r>
  <r>
    <x v="197"/>
    <x v="1"/>
    <m/>
    <x v="19"/>
    <x v="2"/>
    <x v="22"/>
    <n v="190801"/>
    <n v="190801"/>
    <m/>
    <n v="1"/>
    <n v="190801"/>
    <n v="13000"/>
  </r>
  <r>
    <x v="198"/>
    <x v="0"/>
    <m/>
    <x v="0"/>
    <x v="1"/>
    <x v="15"/>
    <n v="190801"/>
    <n v="190801"/>
    <m/>
    <n v="2"/>
    <n v="190801"/>
    <n v="40000"/>
  </r>
  <r>
    <x v="198"/>
    <x v="0"/>
    <m/>
    <x v="0"/>
    <x v="1"/>
    <x v="16"/>
    <n v="190801"/>
    <n v="190801"/>
    <m/>
    <n v="26"/>
    <n v="190801"/>
    <n v="910000"/>
  </r>
  <r>
    <x v="198"/>
    <x v="0"/>
    <m/>
    <x v="0"/>
    <x v="7"/>
    <x v="15"/>
    <n v="190801"/>
    <n v="190801"/>
    <m/>
    <n v="11"/>
    <n v="190801"/>
    <n v="220000"/>
  </r>
  <r>
    <x v="198"/>
    <x v="0"/>
    <m/>
    <x v="0"/>
    <x v="5"/>
    <x v="15"/>
    <n v="190801"/>
    <n v="190801"/>
    <m/>
    <n v="200"/>
    <n v="190801"/>
    <n v="2045400"/>
  </r>
  <r>
    <x v="198"/>
    <x v="0"/>
    <m/>
    <x v="19"/>
    <x v="5"/>
    <x v="22"/>
    <n v="190801"/>
    <n v="190801"/>
    <m/>
    <n v="3"/>
    <n v="190801"/>
    <n v="19635"/>
  </r>
  <r>
    <x v="198"/>
    <x v="0"/>
    <m/>
    <x v="22"/>
    <x v="2"/>
    <x v="32"/>
    <n v="190801"/>
    <n v="190801"/>
    <m/>
    <n v="1"/>
    <n v="190801"/>
    <n v="26600"/>
  </r>
  <r>
    <x v="198"/>
    <x v="0"/>
    <m/>
    <x v="1"/>
    <x v="2"/>
    <x v="18"/>
    <n v="190801"/>
    <n v="190801"/>
    <m/>
    <n v="12"/>
    <n v="190801"/>
    <n v="240000"/>
  </r>
  <r>
    <x v="198"/>
    <x v="0"/>
    <m/>
    <x v="1"/>
    <x v="2"/>
    <x v="21"/>
    <n v="190801"/>
    <n v="190801"/>
    <m/>
    <n v="3"/>
    <n v="190801"/>
    <n v="105000"/>
  </r>
  <r>
    <x v="198"/>
    <x v="0"/>
    <m/>
    <x v="4"/>
    <x v="2"/>
    <x v="26"/>
    <n v="190801"/>
    <n v="190801"/>
    <m/>
    <n v="4"/>
    <n v="190801"/>
    <n v="16000"/>
  </r>
  <r>
    <x v="198"/>
    <x v="0"/>
    <m/>
    <x v="4"/>
    <x v="2"/>
    <x v="27"/>
    <n v="190801"/>
    <n v="190801"/>
    <m/>
    <n v="6"/>
    <n v="190801"/>
    <n v="120000"/>
  </r>
  <r>
    <x v="198"/>
    <x v="0"/>
    <m/>
    <x v="0"/>
    <x v="2"/>
    <x v="15"/>
    <n v="190801"/>
    <n v="190801"/>
    <m/>
    <n v="83"/>
    <n v="190801"/>
    <n v="1660000"/>
  </r>
  <r>
    <x v="198"/>
    <x v="0"/>
    <m/>
    <x v="0"/>
    <x v="2"/>
    <x v="16"/>
    <n v="190801"/>
    <n v="190801"/>
    <m/>
    <n v="33"/>
    <n v="190801"/>
    <n v="1155000"/>
  </r>
  <r>
    <x v="198"/>
    <x v="0"/>
    <m/>
    <x v="0"/>
    <x v="2"/>
    <x v="17"/>
    <n v="190801"/>
    <n v="190801"/>
    <m/>
    <n v="41"/>
    <n v="190801"/>
    <n v="1353000"/>
  </r>
  <r>
    <x v="198"/>
    <x v="0"/>
    <m/>
    <x v="0"/>
    <x v="2"/>
    <x v="19"/>
    <n v="190801"/>
    <n v="190801"/>
    <m/>
    <n v="66"/>
    <n v="190801"/>
    <n v="198000"/>
  </r>
  <r>
    <x v="198"/>
    <x v="0"/>
    <m/>
    <x v="5"/>
    <x v="2"/>
    <x v="28"/>
    <n v="190801"/>
    <n v="190801"/>
    <m/>
    <n v="15"/>
    <n v="190801"/>
    <n v="420000"/>
  </r>
  <r>
    <x v="198"/>
    <x v="0"/>
    <m/>
    <x v="22"/>
    <x v="2"/>
    <x v="29"/>
    <n v="190801"/>
    <n v="190801"/>
    <m/>
    <n v="6"/>
    <n v="190801"/>
    <n v="228000"/>
  </r>
  <r>
    <x v="198"/>
    <x v="0"/>
    <m/>
    <x v="21"/>
    <x v="2"/>
    <x v="15"/>
    <n v="190801"/>
    <n v="190801"/>
    <m/>
    <n v="1"/>
    <n v="190801"/>
    <n v="17500"/>
  </r>
  <r>
    <x v="198"/>
    <x v="0"/>
    <m/>
    <x v="21"/>
    <x v="2"/>
    <x v="18"/>
    <n v="190801"/>
    <n v="190801"/>
    <m/>
    <n v="1"/>
    <n v="190801"/>
    <n v="17500"/>
  </r>
  <r>
    <x v="198"/>
    <x v="0"/>
    <m/>
    <x v="0"/>
    <x v="4"/>
    <x v="15"/>
    <n v="190801"/>
    <n v="190801"/>
    <m/>
    <n v="50"/>
    <n v="190801"/>
    <n v="1575000"/>
  </r>
  <r>
    <x v="198"/>
    <x v="0"/>
    <m/>
    <x v="0"/>
    <x v="4"/>
    <x v="16"/>
    <n v="190801"/>
    <n v="190801"/>
    <m/>
    <n v="7"/>
    <n v="190801"/>
    <n v="308000"/>
  </r>
  <r>
    <x v="198"/>
    <x v="0"/>
    <m/>
    <x v="5"/>
    <x v="4"/>
    <x v="28"/>
    <n v="190801"/>
    <n v="190801"/>
    <m/>
    <n v="2"/>
    <n v="190801"/>
    <n v="76000"/>
  </r>
  <r>
    <x v="198"/>
    <x v="0"/>
    <m/>
    <x v="1"/>
    <x v="4"/>
    <x v="18"/>
    <n v="190801"/>
    <n v="190801"/>
    <m/>
    <n v="1"/>
    <n v="190801"/>
    <n v="31500"/>
  </r>
  <r>
    <x v="199"/>
    <x v="2"/>
    <m/>
    <x v="0"/>
    <x v="1"/>
    <x v="15"/>
    <n v="190801"/>
    <n v="190801"/>
    <m/>
    <n v="1"/>
    <n v="190801"/>
    <n v="20000"/>
  </r>
  <r>
    <x v="199"/>
    <x v="2"/>
    <m/>
    <x v="0"/>
    <x v="1"/>
    <x v="16"/>
    <n v="190801"/>
    <n v="190801"/>
    <m/>
    <n v="4"/>
    <n v="190801"/>
    <n v="140000"/>
  </r>
  <r>
    <x v="199"/>
    <x v="2"/>
    <m/>
    <x v="0"/>
    <x v="7"/>
    <x v="15"/>
    <n v="190801"/>
    <n v="190801"/>
    <m/>
    <n v="2"/>
    <n v="190801"/>
    <n v="40000"/>
  </r>
  <r>
    <x v="199"/>
    <x v="2"/>
    <m/>
    <x v="0"/>
    <x v="5"/>
    <x v="15"/>
    <n v="190801"/>
    <n v="190801"/>
    <m/>
    <n v="3"/>
    <n v="190801"/>
    <n v="30681"/>
  </r>
  <r>
    <x v="199"/>
    <x v="2"/>
    <m/>
    <x v="1"/>
    <x v="5"/>
    <x v="18"/>
    <n v="190801"/>
    <n v="190801"/>
    <m/>
    <n v="1"/>
    <n v="190801"/>
    <n v="10227"/>
  </r>
  <r>
    <x v="199"/>
    <x v="2"/>
    <m/>
    <x v="4"/>
    <x v="5"/>
    <x v="26"/>
    <n v="190801"/>
    <n v="190801"/>
    <m/>
    <n v="1"/>
    <n v="190801"/>
    <n v="1636"/>
  </r>
  <r>
    <x v="199"/>
    <x v="2"/>
    <m/>
    <x v="4"/>
    <x v="5"/>
    <x v="27"/>
    <n v="190801"/>
    <n v="190801"/>
    <m/>
    <n v="1"/>
    <n v="190801"/>
    <n v="16364"/>
  </r>
  <r>
    <x v="199"/>
    <x v="2"/>
    <m/>
    <x v="5"/>
    <x v="5"/>
    <x v="28"/>
    <n v="190801"/>
    <n v="190801"/>
    <m/>
    <n v="1"/>
    <n v="190801"/>
    <n v="13500"/>
  </r>
  <r>
    <x v="199"/>
    <x v="2"/>
    <m/>
    <x v="22"/>
    <x v="5"/>
    <x v="29"/>
    <n v="190801"/>
    <n v="190801"/>
    <m/>
    <n v="1"/>
    <n v="190801"/>
    <n v="15545"/>
  </r>
  <r>
    <x v="199"/>
    <x v="2"/>
    <m/>
    <x v="19"/>
    <x v="5"/>
    <x v="22"/>
    <n v="190801"/>
    <n v="190801"/>
    <m/>
    <n v="1"/>
    <n v="190801"/>
    <n v="6545"/>
  </r>
  <r>
    <x v="199"/>
    <x v="2"/>
    <m/>
    <x v="1"/>
    <x v="2"/>
    <x v="18"/>
    <n v="190801"/>
    <n v="190801"/>
    <m/>
    <n v="11"/>
    <n v="190801"/>
    <n v="220000"/>
  </r>
  <r>
    <x v="199"/>
    <x v="2"/>
    <m/>
    <x v="1"/>
    <x v="2"/>
    <x v="21"/>
    <n v="190801"/>
    <n v="190801"/>
    <m/>
    <n v="2"/>
    <n v="190801"/>
    <n v="70000"/>
  </r>
  <r>
    <x v="199"/>
    <x v="2"/>
    <m/>
    <x v="4"/>
    <x v="2"/>
    <x v="26"/>
    <n v="190801"/>
    <n v="190801"/>
    <m/>
    <n v="7"/>
    <n v="190801"/>
    <n v="28000"/>
  </r>
  <r>
    <x v="199"/>
    <x v="2"/>
    <m/>
    <x v="4"/>
    <x v="2"/>
    <x v="27"/>
    <n v="190801"/>
    <n v="190801"/>
    <m/>
    <n v="9"/>
    <n v="190801"/>
    <n v="180000"/>
  </r>
  <r>
    <x v="199"/>
    <x v="2"/>
    <m/>
    <x v="0"/>
    <x v="2"/>
    <x v="15"/>
    <n v="190801"/>
    <n v="190801"/>
    <m/>
    <n v="58"/>
    <n v="190801"/>
    <n v="1160000"/>
  </r>
  <r>
    <x v="199"/>
    <x v="2"/>
    <m/>
    <x v="0"/>
    <x v="2"/>
    <x v="16"/>
    <n v="190801"/>
    <n v="190801"/>
    <m/>
    <n v="51"/>
    <n v="190801"/>
    <n v="1785000"/>
  </r>
  <r>
    <x v="199"/>
    <x v="2"/>
    <m/>
    <x v="0"/>
    <x v="2"/>
    <x v="17"/>
    <n v="190801"/>
    <n v="190801"/>
    <m/>
    <n v="39"/>
    <n v="190801"/>
    <n v="1287000"/>
  </r>
  <r>
    <x v="199"/>
    <x v="2"/>
    <m/>
    <x v="0"/>
    <x v="2"/>
    <x v="19"/>
    <n v="190801"/>
    <n v="190801"/>
    <m/>
    <n v="54"/>
    <n v="190801"/>
    <n v="162000"/>
  </r>
  <r>
    <x v="199"/>
    <x v="2"/>
    <m/>
    <x v="5"/>
    <x v="2"/>
    <x v="28"/>
    <n v="190801"/>
    <n v="190801"/>
    <m/>
    <n v="19"/>
    <n v="190801"/>
    <n v="532000"/>
  </r>
  <r>
    <x v="199"/>
    <x v="2"/>
    <m/>
    <x v="22"/>
    <x v="2"/>
    <x v="29"/>
    <n v="190801"/>
    <n v="190801"/>
    <m/>
    <n v="8"/>
    <n v="190801"/>
    <n v="304000"/>
  </r>
  <r>
    <x v="199"/>
    <x v="2"/>
    <m/>
    <x v="21"/>
    <x v="2"/>
    <x v="15"/>
    <n v="190801"/>
    <n v="190801"/>
    <m/>
    <n v="3"/>
    <n v="190801"/>
    <n v="52500"/>
  </r>
  <r>
    <x v="199"/>
    <x v="2"/>
    <m/>
    <x v="21"/>
    <x v="2"/>
    <x v="18"/>
    <n v="190801"/>
    <n v="190801"/>
    <m/>
    <n v="3"/>
    <n v="190801"/>
    <n v="52500"/>
  </r>
  <r>
    <x v="199"/>
    <x v="2"/>
    <m/>
    <x v="0"/>
    <x v="4"/>
    <x v="15"/>
    <n v="190801"/>
    <n v="190801"/>
    <m/>
    <n v="34"/>
    <n v="190801"/>
    <n v="1071000"/>
  </r>
  <r>
    <x v="199"/>
    <x v="2"/>
    <m/>
    <x v="0"/>
    <x v="4"/>
    <x v="16"/>
    <n v="190801"/>
    <n v="190801"/>
    <m/>
    <n v="3"/>
    <n v="190801"/>
    <n v="132000"/>
  </r>
  <r>
    <x v="200"/>
    <x v="5"/>
    <m/>
    <x v="0"/>
    <x v="7"/>
    <x v="15"/>
    <n v="190801"/>
    <n v="190801"/>
    <m/>
    <n v="1"/>
    <n v="190801"/>
    <n v="20000"/>
  </r>
  <r>
    <x v="200"/>
    <x v="5"/>
    <m/>
    <x v="1"/>
    <x v="2"/>
    <x v="18"/>
    <n v="190801"/>
    <n v="190801"/>
    <m/>
    <n v="5"/>
    <n v="190801"/>
    <n v="100000"/>
  </r>
  <r>
    <x v="200"/>
    <x v="5"/>
    <m/>
    <x v="1"/>
    <x v="2"/>
    <x v="21"/>
    <n v="190801"/>
    <n v="190801"/>
    <m/>
    <n v="4"/>
    <n v="190801"/>
    <n v="140000"/>
  </r>
  <r>
    <x v="200"/>
    <x v="5"/>
    <m/>
    <x v="4"/>
    <x v="2"/>
    <x v="27"/>
    <n v="190801"/>
    <n v="190801"/>
    <m/>
    <n v="1"/>
    <n v="190801"/>
    <n v="20000"/>
  </r>
  <r>
    <x v="200"/>
    <x v="5"/>
    <m/>
    <x v="0"/>
    <x v="2"/>
    <x v="15"/>
    <n v="190801"/>
    <n v="190801"/>
    <m/>
    <n v="43"/>
    <n v="190801"/>
    <n v="860000"/>
  </r>
  <r>
    <x v="200"/>
    <x v="5"/>
    <m/>
    <x v="0"/>
    <x v="2"/>
    <x v="16"/>
    <n v="190801"/>
    <n v="190801"/>
    <m/>
    <n v="27"/>
    <n v="190801"/>
    <n v="945000"/>
  </r>
  <r>
    <x v="200"/>
    <x v="5"/>
    <m/>
    <x v="0"/>
    <x v="2"/>
    <x v="17"/>
    <n v="190801"/>
    <n v="190801"/>
    <m/>
    <n v="42"/>
    <n v="190801"/>
    <n v="1386000"/>
  </r>
  <r>
    <x v="200"/>
    <x v="5"/>
    <m/>
    <x v="0"/>
    <x v="2"/>
    <x v="19"/>
    <n v="190801"/>
    <n v="190801"/>
    <m/>
    <n v="39"/>
    <n v="190801"/>
    <n v="117000"/>
  </r>
  <r>
    <x v="200"/>
    <x v="5"/>
    <m/>
    <x v="5"/>
    <x v="2"/>
    <x v="28"/>
    <n v="190801"/>
    <n v="190801"/>
    <m/>
    <n v="4"/>
    <n v="190801"/>
    <n v="112000"/>
  </r>
  <r>
    <x v="200"/>
    <x v="5"/>
    <m/>
    <x v="22"/>
    <x v="2"/>
    <x v="29"/>
    <n v="190801"/>
    <n v="190801"/>
    <m/>
    <n v="6"/>
    <n v="190801"/>
    <n v="228000"/>
  </r>
  <r>
    <x v="200"/>
    <x v="5"/>
    <m/>
    <x v="21"/>
    <x v="2"/>
    <x v="15"/>
    <n v="190801"/>
    <n v="190801"/>
    <m/>
    <n v="1"/>
    <n v="190801"/>
    <n v="17500"/>
  </r>
  <r>
    <x v="200"/>
    <x v="5"/>
    <m/>
    <x v="21"/>
    <x v="2"/>
    <x v="18"/>
    <n v="190801"/>
    <n v="190801"/>
    <m/>
    <n v="1"/>
    <n v="190801"/>
    <n v="17500"/>
  </r>
  <r>
    <x v="201"/>
    <x v="6"/>
    <m/>
    <x v="0"/>
    <x v="7"/>
    <x v="15"/>
    <n v="190801"/>
    <n v="190801"/>
    <m/>
    <n v="2"/>
    <n v="190801"/>
    <n v="40000"/>
  </r>
  <r>
    <x v="201"/>
    <x v="6"/>
    <m/>
    <x v="1"/>
    <x v="2"/>
    <x v="18"/>
    <n v="190801"/>
    <n v="190801"/>
    <m/>
    <n v="9"/>
    <n v="190801"/>
    <n v="180000"/>
  </r>
  <r>
    <x v="201"/>
    <x v="6"/>
    <m/>
    <x v="1"/>
    <x v="2"/>
    <x v="21"/>
    <n v="190801"/>
    <n v="190801"/>
    <m/>
    <n v="4"/>
    <n v="190801"/>
    <n v="140000"/>
  </r>
  <r>
    <x v="201"/>
    <x v="6"/>
    <m/>
    <x v="4"/>
    <x v="2"/>
    <x v="27"/>
    <n v="190801"/>
    <n v="190801"/>
    <m/>
    <n v="6"/>
    <n v="190801"/>
    <n v="120000"/>
  </r>
  <r>
    <x v="201"/>
    <x v="6"/>
    <m/>
    <x v="0"/>
    <x v="2"/>
    <x v="15"/>
    <n v="190801"/>
    <n v="190801"/>
    <m/>
    <n v="60"/>
    <n v="190801"/>
    <n v="1200000"/>
  </r>
  <r>
    <x v="201"/>
    <x v="6"/>
    <m/>
    <x v="0"/>
    <x v="2"/>
    <x v="16"/>
    <n v="190801"/>
    <n v="190801"/>
    <m/>
    <n v="257"/>
    <n v="190801"/>
    <n v="8995000"/>
  </r>
  <r>
    <x v="201"/>
    <x v="6"/>
    <m/>
    <x v="0"/>
    <x v="2"/>
    <x v="17"/>
    <n v="190801"/>
    <n v="190801"/>
    <m/>
    <n v="50"/>
    <n v="190801"/>
    <n v="1650000"/>
  </r>
  <r>
    <x v="201"/>
    <x v="6"/>
    <m/>
    <x v="0"/>
    <x v="2"/>
    <x v="19"/>
    <n v="190801"/>
    <n v="190801"/>
    <m/>
    <n v="52"/>
    <n v="190801"/>
    <n v="156000"/>
  </r>
  <r>
    <x v="201"/>
    <x v="6"/>
    <m/>
    <x v="5"/>
    <x v="2"/>
    <x v="28"/>
    <n v="190801"/>
    <n v="190801"/>
    <m/>
    <n v="18"/>
    <n v="190801"/>
    <n v="504000"/>
  </r>
  <r>
    <x v="201"/>
    <x v="6"/>
    <m/>
    <x v="22"/>
    <x v="2"/>
    <x v="29"/>
    <n v="190801"/>
    <n v="190801"/>
    <m/>
    <n v="6"/>
    <n v="190801"/>
    <n v="228000"/>
  </r>
  <r>
    <x v="201"/>
    <x v="6"/>
    <m/>
    <x v="21"/>
    <x v="2"/>
    <x v="15"/>
    <n v="190801"/>
    <n v="190801"/>
    <m/>
    <n v="2"/>
    <n v="190801"/>
    <n v="35000"/>
  </r>
  <r>
    <x v="201"/>
    <x v="6"/>
    <m/>
    <x v="21"/>
    <x v="2"/>
    <x v="18"/>
    <n v="190801"/>
    <n v="190801"/>
    <m/>
    <n v="2"/>
    <n v="190801"/>
    <n v="35000"/>
  </r>
  <r>
    <x v="201"/>
    <x v="6"/>
    <m/>
    <x v="0"/>
    <x v="6"/>
    <x v="15"/>
    <n v="190801"/>
    <n v="190801"/>
    <m/>
    <n v="692"/>
    <n v="190801"/>
    <n v="6275056"/>
  </r>
  <r>
    <x v="201"/>
    <x v="6"/>
    <m/>
    <x v="0"/>
    <x v="6"/>
    <x v="17"/>
    <n v="190801"/>
    <n v="190801"/>
    <m/>
    <n v="537"/>
    <n v="190801"/>
    <n v="8494266"/>
  </r>
  <r>
    <x v="201"/>
    <x v="6"/>
    <m/>
    <x v="4"/>
    <x v="6"/>
    <x v="26"/>
    <n v="190801"/>
    <n v="190801"/>
    <m/>
    <n v="1034"/>
    <n v="190801"/>
    <n v="1109482"/>
  </r>
  <r>
    <x v="201"/>
    <x v="6"/>
    <m/>
    <x v="5"/>
    <x v="6"/>
    <x v="28"/>
    <n v="190801"/>
    <n v="190801"/>
    <m/>
    <n v="1"/>
    <n v="190801"/>
    <n v="14600"/>
  </r>
  <r>
    <x v="201"/>
    <x v="6"/>
    <m/>
    <x v="22"/>
    <x v="6"/>
    <x v="29"/>
    <n v="190801"/>
    <n v="190801"/>
    <m/>
    <n v="36"/>
    <n v="190801"/>
    <n v="708876"/>
  </r>
  <r>
    <x v="201"/>
    <x v="6"/>
    <m/>
    <x v="24"/>
    <x v="6"/>
    <x v="31"/>
    <n v="190801"/>
    <n v="190801"/>
    <m/>
    <n v="152"/>
    <n v="190801"/>
    <n v="2261304"/>
  </r>
  <r>
    <x v="201"/>
    <x v="6"/>
    <m/>
    <x v="23"/>
    <x v="6"/>
    <x v="30"/>
    <n v="190801"/>
    <n v="190801"/>
    <m/>
    <n v="132"/>
    <n v="190801"/>
    <n v="919248"/>
  </r>
  <r>
    <x v="201"/>
    <x v="6"/>
    <m/>
    <x v="20"/>
    <x v="6"/>
    <x v="25"/>
    <n v="190801"/>
    <n v="190801"/>
    <m/>
    <n v="56"/>
    <n v="190801"/>
    <n v="544096"/>
  </r>
  <r>
    <x v="201"/>
    <x v="6"/>
    <m/>
    <x v="1"/>
    <x v="6"/>
    <x v="18"/>
    <n v="190801"/>
    <n v="190801"/>
    <m/>
    <n v="24"/>
    <n v="190801"/>
    <n v="220920"/>
  </r>
  <r>
    <x v="201"/>
    <x v="6"/>
    <m/>
    <x v="19"/>
    <x v="6"/>
    <x v="22"/>
    <n v="190801"/>
    <n v="190801"/>
    <m/>
    <n v="2"/>
    <n v="190801"/>
    <n v="13582"/>
  </r>
  <r>
    <x v="202"/>
    <x v="3"/>
    <m/>
    <x v="0"/>
    <x v="1"/>
    <x v="15"/>
    <n v="190801"/>
    <n v="190801"/>
    <m/>
    <n v="3"/>
    <n v="190801"/>
    <n v="60000"/>
  </r>
  <r>
    <x v="202"/>
    <x v="3"/>
    <m/>
    <x v="0"/>
    <x v="1"/>
    <x v="16"/>
    <n v="190801"/>
    <n v="190801"/>
    <m/>
    <n v="14"/>
    <n v="190801"/>
    <n v="490000"/>
  </r>
  <r>
    <x v="202"/>
    <x v="3"/>
    <m/>
    <x v="0"/>
    <x v="7"/>
    <x v="15"/>
    <n v="190801"/>
    <n v="190801"/>
    <m/>
    <n v="3"/>
    <n v="190801"/>
    <n v="60000"/>
  </r>
  <r>
    <x v="202"/>
    <x v="3"/>
    <m/>
    <x v="0"/>
    <x v="3"/>
    <x v="15"/>
    <n v="190801"/>
    <n v="190801"/>
    <m/>
    <n v="28"/>
    <n v="190801"/>
    <n v="0"/>
  </r>
  <r>
    <x v="202"/>
    <x v="3"/>
    <m/>
    <x v="1"/>
    <x v="2"/>
    <x v="18"/>
    <n v="190801"/>
    <n v="190801"/>
    <m/>
    <n v="8"/>
    <n v="190801"/>
    <n v="160000"/>
  </r>
  <r>
    <x v="202"/>
    <x v="3"/>
    <m/>
    <x v="1"/>
    <x v="2"/>
    <x v="21"/>
    <n v="190801"/>
    <n v="190801"/>
    <m/>
    <n v="2"/>
    <n v="190801"/>
    <n v="70000"/>
  </r>
  <r>
    <x v="202"/>
    <x v="3"/>
    <m/>
    <x v="4"/>
    <x v="2"/>
    <x v="26"/>
    <n v="190801"/>
    <n v="190801"/>
    <m/>
    <n v="2"/>
    <n v="190801"/>
    <n v="8000"/>
  </r>
  <r>
    <x v="202"/>
    <x v="3"/>
    <m/>
    <x v="4"/>
    <x v="2"/>
    <x v="27"/>
    <n v="190801"/>
    <n v="190801"/>
    <m/>
    <n v="6"/>
    <n v="190801"/>
    <n v="120000"/>
  </r>
  <r>
    <x v="202"/>
    <x v="3"/>
    <m/>
    <x v="0"/>
    <x v="2"/>
    <x v="15"/>
    <n v="190801"/>
    <n v="190801"/>
    <m/>
    <n v="60"/>
    <n v="190801"/>
    <n v="1200000"/>
  </r>
  <r>
    <x v="202"/>
    <x v="3"/>
    <m/>
    <x v="0"/>
    <x v="2"/>
    <x v="16"/>
    <n v="190801"/>
    <n v="190801"/>
    <m/>
    <n v="44"/>
    <n v="190801"/>
    <n v="1540000"/>
  </r>
  <r>
    <x v="202"/>
    <x v="3"/>
    <m/>
    <x v="0"/>
    <x v="2"/>
    <x v="17"/>
    <n v="190801"/>
    <n v="190801"/>
    <m/>
    <n v="69"/>
    <n v="190801"/>
    <n v="2277000"/>
  </r>
  <r>
    <x v="202"/>
    <x v="3"/>
    <m/>
    <x v="0"/>
    <x v="2"/>
    <x v="19"/>
    <n v="190801"/>
    <n v="190801"/>
    <m/>
    <n v="61"/>
    <n v="190801"/>
    <n v="183000"/>
  </r>
  <r>
    <x v="202"/>
    <x v="3"/>
    <m/>
    <x v="5"/>
    <x v="2"/>
    <x v="28"/>
    <n v="190801"/>
    <n v="190801"/>
    <m/>
    <n v="17"/>
    <n v="190801"/>
    <n v="476000"/>
  </r>
  <r>
    <x v="202"/>
    <x v="3"/>
    <m/>
    <x v="22"/>
    <x v="2"/>
    <x v="29"/>
    <n v="190801"/>
    <n v="190801"/>
    <m/>
    <n v="12"/>
    <n v="190801"/>
    <n v="456000"/>
  </r>
  <r>
    <x v="202"/>
    <x v="3"/>
    <m/>
    <x v="21"/>
    <x v="2"/>
    <x v="15"/>
    <n v="190801"/>
    <n v="190801"/>
    <m/>
    <n v="1"/>
    <n v="190801"/>
    <n v="17500"/>
  </r>
  <r>
    <x v="202"/>
    <x v="3"/>
    <m/>
    <x v="21"/>
    <x v="2"/>
    <x v="18"/>
    <n v="190801"/>
    <n v="190801"/>
    <m/>
    <n v="1"/>
    <n v="190801"/>
    <n v="17500"/>
  </r>
  <r>
    <x v="202"/>
    <x v="3"/>
    <m/>
    <x v="0"/>
    <x v="4"/>
    <x v="15"/>
    <n v="190801"/>
    <n v="190801"/>
    <m/>
    <n v="79"/>
    <n v="190801"/>
    <n v="2488500"/>
  </r>
  <r>
    <x v="202"/>
    <x v="3"/>
    <m/>
    <x v="0"/>
    <x v="4"/>
    <x v="16"/>
    <n v="190801"/>
    <n v="190801"/>
    <m/>
    <n v="30"/>
    <n v="190801"/>
    <n v="1320000"/>
  </r>
  <r>
    <x v="202"/>
    <x v="3"/>
    <m/>
    <x v="5"/>
    <x v="4"/>
    <x v="28"/>
    <n v="190801"/>
    <n v="190801"/>
    <m/>
    <n v="6"/>
    <n v="190801"/>
    <n v="228000"/>
  </r>
  <r>
    <x v="202"/>
    <x v="3"/>
    <m/>
    <x v="1"/>
    <x v="4"/>
    <x v="18"/>
    <n v="190801"/>
    <n v="190801"/>
    <m/>
    <n v="2"/>
    <n v="190801"/>
    <n v="63000"/>
  </r>
  <r>
    <x v="202"/>
    <x v="3"/>
    <m/>
    <x v="4"/>
    <x v="4"/>
    <x v="27"/>
    <n v="190801"/>
    <n v="190801"/>
    <m/>
    <n v="1"/>
    <n v="190801"/>
    <n v="36000"/>
  </r>
  <r>
    <x v="203"/>
    <x v="4"/>
    <m/>
    <x v="0"/>
    <x v="1"/>
    <x v="15"/>
    <n v="190801"/>
    <n v="190801"/>
    <m/>
    <n v="1"/>
    <n v="190801"/>
    <n v="20000"/>
  </r>
  <r>
    <x v="203"/>
    <x v="4"/>
    <m/>
    <x v="0"/>
    <x v="1"/>
    <x v="16"/>
    <n v="190801"/>
    <n v="190801"/>
    <m/>
    <n v="7"/>
    <n v="190801"/>
    <n v="245000"/>
  </r>
  <r>
    <x v="203"/>
    <x v="4"/>
    <m/>
    <x v="0"/>
    <x v="7"/>
    <x v="15"/>
    <n v="190801"/>
    <n v="190801"/>
    <m/>
    <n v="4"/>
    <n v="190801"/>
    <n v="80000"/>
  </r>
  <r>
    <x v="203"/>
    <x v="4"/>
    <m/>
    <x v="1"/>
    <x v="2"/>
    <x v="18"/>
    <n v="190801"/>
    <n v="190801"/>
    <m/>
    <n v="10"/>
    <n v="190801"/>
    <n v="200000"/>
  </r>
  <r>
    <x v="203"/>
    <x v="4"/>
    <m/>
    <x v="1"/>
    <x v="2"/>
    <x v="21"/>
    <n v="190801"/>
    <n v="190801"/>
    <m/>
    <n v="4"/>
    <n v="190801"/>
    <n v="140000"/>
  </r>
  <r>
    <x v="203"/>
    <x v="4"/>
    <m/>
    <x v="4"/>
    <x v="2"/>
    <x v="26"/>
    <n v="190801"/>
    <n v="190801"/>
    <m/>
    <n v="11"/>
    <n v="190801"/>
    <n v="44000"/>
  </r>
  <r>
    <x v="203"/>
    <x v="4"/>
    <m/>
    <x v="4"/>
    <x v="2"/>
    <x v="27"/>
    <n v="190801"/>
    <n v="190801"/>
    <m/>
    <n v="6"/>
    <n v="190801"/>
    <n v="120000"/>
  </r>
  <r>
    <x v="203"/>
    <x v="4"/>
    <m/>
    <x v="0"/>
    <x v="2"/>
    <x v="15"/>
    <n v="190801"/>
    <n v="190801"/>
    <m/>
    <n v="55"/>
    <n v="190801"/>
    <n v="1100000"/>
  </r>
  <r>
    <x v="203"/>
    <x v="4"/>
    <m/>
    <x v="0"/>
    <x v="2"/>
    <x v="16"/>
    <n v="190801"/>
    <n v="190801"/>
    <m/>
    <n v="50"/>
    <n v="190801"/>
    <n v="1750000"/>
  </r>
  <r>
    <x v="203"/>
    <x v="4"/>
    <m/>
    <x v="0"/>
    <x v="2"/>
    <x v="17"/>
    <n v="190801"/>
    <n v="190801"/>
    <m/>
    <n v="46"/>
    <n v="190801"/>
    <n v="1518000"/>
  </r>
  <r>
    <x v="203"/>
    <x v="4"/>
    <m/>
    <x v="0"/>
    <x v="2"/>
    <x v="19"/>
    <n v="190801"/>
    <n v="190801"/>
    <m/>
    <n v="67"/>
    <n v="190801"/>
    <n v="201000"/>
  </r>
  <r>
    <x v="203"/>
    <x v="4"/>
    <m/>
    <x v="5"/>
    <x v="2"/>
    <x v="28"/>
    <n v="190801"/>
    <n v="190801"/>
    <m/>
    <n v="17"/>
    <n v="190801"/>
    <n v="476000"/>
  </r>
  <r>
    <x v="203"/>
    <x v="4"/>
    <m/>
    <x v="22"/>
    <x v="2"/>
    <x v="29"/>
    <n v="190801"/>
    <n v="190801"/>
    <m/>
    <n v="7"/>
    <n v="190801"/>
    <n v="266000"/>
  </r>
  <r>
    <x v="203"/>
    <x v="4"/>
    <m/>
    <x v="21"/>
    <x v="2"/>
    <x v="15"/>
    <n v="190801"/>
    <n v="190801"/>
    <m/>
    <n v="2"/>
    <n v="190801"/>
    <n v="35000"/>
  </r>
  <r>
    <x v="203"/>
    <x v="4"/>
    <m/>
    <x v="21"/>
    <x v="2"/>
    <x v="18"/>
    <n v="190801"/>
    <n v="190801"/>
    <m/>
    <n v="2"/>
    <n v="190801"/>
    <n v="35000"/>
  </r>
  <r>
    <x v="203"/>
    <x v="4"/>
    <m/>
    <x v="19"/>
    <x v="2"/>
    <x v="22"/>
    <n v="190801"/>
    <n v="190801"/>
    <m/>
    <n v="1"/>
    <n v="190801"/>
    <n v="13000"/>
  </r>
  <r>
    <x v="203"/>
    <x v="4"/>
    <m/>
    <x v="0"/>
    <x v="4"/>
    <x v="15"/>
    <n v="190801"/>
    <n v="190801"/>
    <m/>
    <n v="22"/>
    <n v="190801"/>
    <n v="693000"/>
  </r>
  <r>
    <x v="203"/>
    <x v="4"/>
    <m/>
    <x v="0"/>
    <x v="4"/>
    <x v="16"/>
    <n v="190801"/>
    <n v="190801"/>
    <m/>
    <n v="7"/>
    <n v="190801"/>
    <n v="308000"/>
  </r>
  <r>
    <x v="203"/>
    <x v="4"/>
    <m/>
    <x v="5"/>
    <x v="4"/>
    <x v="28"/>
    <n v="190801"/>
    <n v="190801"/>
    <m/>
    <n v="1"/>
    <n v="190801"/>
    <n v="38000"/>
  </r>
  <r>
    <x v="203"/>
    <x v="4"/>
    <m/>
    <x v="1"/>
    <x v="4"/>
    <x v="18"/>
    <n v="190801"/>
    <n v="190801"/>
    <m/>
    <n v="1"/>
    <n v="190801"/>
    <n v="31500"/>
  </r>
  <r>
    <x v="203"/>
    <x v="4"/>
    <m/>
    <x v="4"/>
    <x v="4"/>
    <x v="27"/>
    <n v="190801"/>
    <n v="190801"/>
    <m/>
    <n v="1"/>
    <n v="190801"/>
    <n v="36000"/>
  </r>
  <r>
    <x v="204"/>
    <x v="1"/>
    <m/>
    <x v="0"/>
    <x v="1"/>
    <x v="16"/>
    <n v="190801"/>
    <n v="190801"/>
    <m/>
    <n v="3"/>
    <n v="190801"/>
    <n v="105000"/>
  </r>
  <r>
    <x v="204"/>
    <x v="1"/>
    <m/>
    <x v="0"/>
    <x v="7"/>
    <x v="15"/>
    <n v="190801"/>
    <n v="190801"/>
    <m/>
    <n v="3"/>
    <n v="190801"/>
    <n v="60000"/>
  </r>
  <r>
    <x v="204"/>
    <x v="1"/>
    <m/>
    <x v="0"/>
    <x v="5"/>
    <x v="15"/>
    <n v="190801"/>
    <n v="190801"/>
    <m/>
    <n v="200"/>
    <n v="190801"/>
    <n v="2045400"/>
  </r>
  <r>
    <x v="204"/>
    <x v="1"/>
    <m/>
    <x v="4"/>
    <x v="5"/>
    <x v="27"/>
    <n v="190801"/>
    <n v="190801"/>
    <m/>
    <n v="50"/>
    <n v="190801"/>
    <n v="818200"/>
  </r>
  <r>
    <x v="204"/>
    <x v="1"/>
    <m/>
    <x v="1"/>
    <x v="2"/>
    <x v="18"/>
    <n v="190801"/>
    <n v="190801"/>
    <m/>
    <n v="6"/>
    <n v="190801"/>
    <n v="120000"/>
  </r>
  <r>
    <x v="204"/>
    <x v="1"/>
    <m/>
    <x v="1"/>
    <x v="2"/>
    <x v="21"/>
    <n v="190801"/>
    <n v="190801"/>
    <m/>
    <n v="1"/>
    <n v="190801"/>
    <n v="35000"/>
  </r>
  <r>
    <x v="204"/>
    <x v="1"/>
    <m/>
    <x v="4"/>
    <x v="2"/>
    <x v="26"/>
    <n v="190801"/>
    <n v="190801"/>
    <m/>
    <n v="4"/>
    <n v="190801"/>
    <n v="16000"/>
  </r>
  <r>
    <x v="204"/>
    <x v="1"/>
    <m/>
    <x v="4"/>
    <x v="2"/>
    <x v="27"/>
    <n v="190801"/>
    <n v="190801"/>
    <m/>
    <n v="1"/>
    <n v="190801"/>
    <n v="20000"/>
  </r>
  <r>
    <x v="204"/>
    <x v="1"/>
    <m/>
    <x v="0"/>
    <x v="2"/>
    <x v="15"/>
    <n v="190801"/>
    <n v="190801"/>
    <m/>
    <n v="47"/>
    <n v="190801"/>
    <n v="940000"/>
  </r>
  <r>
    <x v="204"/>
    <x v="1"/>
    <m/>
    <x v="0"/>
    <x v="2"/>
    <x v="16"/>
    <n v="190801"/>
    <n v="190801"/>
    <m/>
    <n v="30"/>
    <n v="190801"/>
    <n v="1050000"/>
  </r>
  <r>
    <x v="204"/>
    <x v="1"/>
    <m/>
    <x v="0"/>
    <x v="2"/>
    <x v="17"/>
    <n v="190801"/>
    <n v="190801"/>
    <m/>
    <n v="43"/>
    <n v="190801"/>
    <n v="1419000"/>
  </r>
  <r>
    <x v="204"/>
    <x v="1"/>
    <m/>
    <x v="0"/>
    <x v="2"/>
    <x v="19"/>
    <n v="190801"/>
    <n v="190801"/>
    <m/>
    <n v="63"/>
    <n v="190801"/>
    <n v="189000"/>
  </r>
  <r>
    <x v="204"/>
    <x v="1"/>
    <m/>
    <x v="5"/>
    <x v="2"/>
    <x v="28"/>
    <n v="190801"/>
    <n v="190801"/>
    <m/>
    <n v="16"/>
    <n v="190801"/>
    <n v="448000"/>
  </r>
  <r>
    <x v="204"/>
    <x v="1"/>
    <m/>
    <x v="22"/>
    <x v="2"/>
    <x v="29"/>
    <n v="190801"/>
    <n v="190801"/>
    <m/>
    <n v="7"/>
    <n v="190801"/>
    <n v="266000"/>
  </r>
  <r>
    <x v="204"/>
    <x v="1"/>
    <m/>
    <x v="21"/>
    <x v="2"/>
    <x v="15"/>
    <n v="190801"/>
    <n v="190801"/>
    <m/>
    <n v="3"/>
    <n v="190801"/>
    <n v="52500"/>
  </r>
  <r>
    <x v="204"/>
    <x v="1"/>
    <m/>
    <x v="21"/>
    <x v="2"/>
    <x v="18"/>
    <n v="190801"/>
    <n v="190801"/>
    <m/>
    <n v="3"/>
    <n v="190801"/>
    <n v="52500"/>
  </r>
  <r>
    <x v="204"/>
    <x v="1"/>
    <m/>
    <x v="0"/>
    <x v="4"/>
    <x v="15"/>
    <n v="190801"/>
    <n v="190801"/>
    <m/>
    <n v="10"/>
    <n v="190801"/>
    <n v="315000"/>
  </r>
  <r>
    <x v="204"/>
    <x v="1"/>
    <m/>
    <x v="0"/>
    <x v="4"/>
    <x v="16"/>
    <n v="190801"/>
    <n v="190801"/>
    <m/>
    <n v="7"/>
    <n v="190801"/>
    <n v="308000"/>
  </r>
  <r>
    <x v="204"/>
    <x v="1"/>
    <m/>
    <x v="5"/>
    <x v="4"/>
    <x v="28"/>
    <n v="190801"/>
    <n v="190801"/>
    <m/>
    <n v="3"/>
    <n v="190801"/>
    <n v="114000"/>
  </r>
  <r>
    <x v="204"/>
    <x v="1"/>
    <m/>
    <x v="25"/>
    <x v="2"/>
    <x v="34"/>
    <n v="190801"/>
    <n v="190801"/>
    <m/>
    <n v="3"/>
    <n v="190801"/>
    <n v="297000"/>
  </r>
  <r>
    <x v="205"/>
    <x v="0"/>
    <m/>
    <x v="0"/>
    <x v="1"/>
    <x v="15"/>
    <n v="190801"/>
    <n v="190801"/>
    <m/>
    <n v="1"/>
    <n v="190801"/>
    <n v="20000"/>
  </r>
  <r>
    <x v="205"/>
    <x v="0"/>
    <m/>
    <x v="0"/>
    <x v="1"/>
    <x v="16"/>
    <n v="190801"/>
    <n v="190801"/>
    <m/>
    <n v="7"/>
    <n v="190801"/>
    <n v="245000"/>
  </r>
  <r>
    <x v="205"/>
    <x v="0"/>
    <m/>
    <x v="0"/>
    <x v="7"/>
    <x v="15"/>
    <n v="190801"/>
    <n v="190801"/>
    <m/>
    <n v="3"/>
    <n v="190801"/>
    <n v="60000"/>
  </r>
  <r>
    <x v="205"/>
    <x v="0"/>
    <m/>
    <x v="25"/>
    <x v="2"/>
    <x v="34"/>
    <n v="190801"/>
    <n v="190801"/>
    <m/>
    <n v="9"/>
    <n v="190801"/>
    <n v="891000"/>
  </r>
  <r>
    <x v="205"/>
    <x v="0"/>
    <m/>
    <x v="1"/>
    <x v="2"/>
    <x v="18"/>
    <n v="190801"/>
    <n v="190801"/>
    <m/>
    <n v="3"/>
    <n v="190801"/>
    <n v="60000"/>
  </r>
  <r>
    <x v="205"/>
    <x v="0"/>
    <m/>
    <x v="4"/>
    <x v="2"/>
    <x v="27"/>
    <n v="190801"/>
    <n v="190801"/>
    <m/>
    <n v="1"/>
    <n v="190801"/>
    <n v="20000"/>
  </r>
  <r>
    <x v="205"/>
    <x v="0"/>
    <m/>
    <x v="0"/>
    <x v="2"/>
    <x v="15"/>
    <n v="190801"/>
    <n v="190801"/>
    <m/>
    <n v="35"/>
    <n v="190801"/>
    <n v="700000"/>
  </r>
  <r>
    <x v="205"/>
    <x v="0"/>
    <m/>
    <x v="0"/>
    <x v="2"/>
    <x v="16"/>
    <n v="190801"/>
    <n v="190801"/>
    <m/>
    <n v="41"/>
    <n v="190801"/>
    <n v="1435000"/>
  </r>
  <r>
    <x v="205"/>
    <x v="0"/>
    <m/>
    <x v="0"/>
    <x v="2"/>
    <x v="17"/>
    <n v="190801"/>
    <n v="190801"/>
    <m/>
    <n v="42"/>
    <n v="190801"/>
    <n v="1386000"/>
  </r>
  <r>
    <x v="205"/>
    <x v="0"/>
    <m/>
    <x v="0"/>
    <x v="2"/>
    <x v="19"/>
    <n v="190801"/>
    <n v="190801"/>
    <m/>
    <n v="46"/>
    <n v="190801"/>
    <n v="138000"/>
  </r>
  <r>
    <x v="205"/>
    <x v="0"/>
    <m/>
    <x v="5"/>
    <x v="2"/>
    <x v="28"/>
    <n v="190801"/>
    <n v="190801"/>
    <m/>
    <n v="11"/>
    <n v="190801"/>
    <n v="308000"/>
  </r>
  <r>
    <x v="205"/>
    <x v="0"/>
    <m/>
    <x v="22"/>
    <x v="2"/>
    <x v="29"/>
    <n v="190801"/>
    <n v="190801"/>
    <m/>
    <n v="4"/>
    <n v="190801"/>
    <n v="152000"/>
  </r>
  <r>
    <x v="205"/>
    <x v="0"/>
    <m/>
    <x v="21"/>
    <x v="2"/>
    <x v="15"/>
    <n v="190801"/>
    <n v="190801"/>
    <m/>
    <n v="1"/>
    <n v="190801"/>
    <n v="17500"/>
  </r>
  <r>
    <x v="205"/>
    <x v="0"/>
    <m/>
    <x v="21"/>
    <x v="2"/>
    <x v="18"/>
    <n v="190801"/>
    <n v="190801"/>
    <m/>
    <n v="1"/>
    <n v="190801"/>
    <n v="17500"/>
  </r>
  <r>
    <x v="205"/>
    <x v="0"/>
    <m/>
    <x v="0"/>
    <x v="4"/>
    <x v="15"/>
    <n v="190801"/>
    <n v="190801"/>
    <m/>
    <n v="20"/>
    <n v="190801"/>
    <n v="630000"/>
  </r>
  <r>
    <x v="205"/>
    <x v="0"/>
    <m/>
    <x v="0"/>
    <x v="4"/>
    <x v="16"/>
    <n v="190801"/>
    <n v="190801"/>
    <m/>
    <n v="11"/>
    <n v="190801"/>
    <n v="484000"/>
  </r>
  <r>
    <x v="205"/>
    <x v="0"/>
    <m/>
    <x v="5"/>
    <x v="4"/>
    <x v="28"/>
    <n v="190801"/>
    <n v="190801"/>
    <m/>
    <n v="2"/>
    <n v="190801"/>
    <n v="76000"/>
  </r>
  <r>
    <x v="206"/>
    <x v="2"/>
    <m/>
    <x v="0"/>
    <x v="1"/>
    <x v="16"/>
    <n v="190801"/>
    <n v="190801"/>
    <m/>
    <n v="2"/>
    <n v="190801"/>
    <n v="70000"/>
  </r>
  <r>
    <x v="206"/>
    <x v="2"/>
    <m/>
    <x v="0"/>
    <x v="7"/>
    <x v="15"/>
    <n v="190801"/>
    <n v="190801"/>
    <m/>
    <n v="3"/>
    <n v="190801"/>
    <n v="60000"/>
  </r>
  <r>
    <x v="206"/>
    <x v="2"/>
    <m/>
    <x v="25"/>
    <x v="2"/>
    <x v="34"/>
    <n v="190801"/>
    <n v="190801"/>
    <m/>
    <n v="6"/>
    <n v="190801"/>
    <n v="594000"/>
  </r>
  <r>
    <x v="206"/>
    <x v="2"/>
    <m/>
    <x v="1"/>
    <x v="2"/>
    <x v="18"/>
    <n v="190801"/>
    <n v="190801"/>
    <m/>
    <n v="1"/>
    <n v="190801"/>
    <n v="20000"/>
  </r>
  <r>
    <x v="206"/>
    <x v="2"/>
    <m/>
    <x v="1"/>
    <x v="2"/>
    <x v="21"/>
    <n v="190801"/>
    <n v="190801"/>
    <m/>
    <n v="1"/>
    <n v="190801"/>
    <n v="35000"/>
  </r>
  <r>
    <x v="206"/>
    <x v="2"/>
    <m/>
    <x v="4"/>
    <x v="2"/>
    <x v="26"/>
    <n v="190801"/>
    <n v="190801"/>
    <m/>
    <n v="3"/>
    <n v="190801"/>
    <n v="12000"/>
  </r>
  <r>
    <x v="206"/>
    <x v="2"/>
    <m/>
    <x v="4"/>
    <x v="2"/>
    <x v="27"/>
    <n v="190801"/>
    <n v="190801"/>
    <m/>
    <n v="10"/>
    <n v="190801"/>
    <n v="200000"/>
  </r>
  <r>
    <x v="206"/>
    <x v="2"/>
    <m/>
    <x v="0"/>
    <x v="2"/>
    <x v="15"/>
    <n v="190801"/>
    <n v="190801"/>
    <m/>
    <n v="38"/>
    <n v="190801"/>
    <n v="760000"/>
  </r>
  <r>
    <x v="206"/>
    <x v="2"/>
    <m/>
    <x v="0"/>
    <x v="2"/>
    <x v="16"/>
    <n v="190801"/>
    <n v="190801"/>
    <m/>
    <n v="33"/>
    <n v="190801"/>
    <n v="1155000"/>
  </r>
  <r>
    <x v="206"/>
    <x v="2"/>
    <m/>
    <x v="0"/>
    <x v="2"/>
    <x v="17"/>
    <n v="190801"/>
    <n v="190801"/>
    <m/>
    <n v="49"/>
    <n v="190801"/>
    <n v="1617000"/>
  </r>
  <r>
    <x v="206"/>
    <x v="2"/>
    <m/>
    <x v="0"/>
    <x v="2"/>
    <x v="19"/>
    <n v="190801"/>
    <n v="190801"/>
    <m/>
    <n v="49"/>
    <n v="190801"/>
    <n v="147000"/>
  </r>
  <r>
    <x v="206"/>
    <x v="2"/>
    <m/>
    <x v="5"/>
    <x v="2"/>
    <x v="28"/>
    <n v="190801"/>
    <n v="190801"/>
    <m/>
    <n v="5"/>
    <n v="190801"/>
    <n v="140000"/>
  </r>
  <r>
    <x v="206"/>
    <x v="2"/>
    <m/>
    <x v="22"/>
    <x v="2"/>
    <x v="29"/>
    <n v="190801"/>
    <n v="190801"/>
    <m/>
    <n v="3"/>
    <n v="190801"/>
    <n v="114000"/>
  </r>
  <r>
    <x v="206"/>
    <x v="2"/>
    <m/>
    <x v="19"/>
    <x v="2"/>
    <x v="22"/>
    <n v="190801"/>
    <n v="190801"/>
    <m/>
    <n v="4"/>
    <n v="190801"/>
    <n v="52000"/>
  </r>
  <r>
    <x v="206"/>
    <x v="2"/>
    <m/>
    <x v="19"/>
    <x v="2"/>
    <x v="23"/>
    <n v="190801"/>
    <n v="190801"/>
    <m/>
    <n v="1"/>
    <n v="190801"/>
    <n v="24000"/>
  </r>
  <r>
    <x v="206"/>
    <x v="2"/>
    <m/>
    <x v="21"/>
    <x v="2"/>
    <x v="15"/>
    <n v="190801"/>
    <n v="190801"/>
    <m/>
    <n v="1"/>
    <n v="190801"/>
    <n v="17500"/>
  </r>
  <r>
    <x v="206"/>
    <x v="2"/>
    <m/>
    <x v="21"/>
    <x v="2"/>
    <x v="18"/>
    <n v="190801"/>
    <n v="190801"/>
    <m/>
    <n v="1"/>
    <n v="190801"/>
    <n v="17500"/>
  </r>
  <r>
    <x v="206"/>
    <x v="2"/>
    <m/>
    <x v="0"/>
    <x v="4"/>
    <x v="15"/>
    <n v="190801"/>
    <n v="190801"/>
    <m/>
    <n v="32"/>
    <n v="190801"/>
    <n v="1008000"/>
  </r>
  <r>
    <x v="206"/>
    <x v="2"/>
    <m/>
    <x v="0"/>
    <x v="4"/>
    <x v="16"/>
    <n v="190801"/>
    <n v="190801"/>
    <m/>
    <n v="13"/>
    <n v="190801"/>
    <n v="572000"/>
  </r>
  <r>
    <x v="206"/>
    <x v="2"/>
    <m/>
    <x v="5"/>
    <x v="4"/>
    <x v="28"/>
    <n v="190801"/>
    <n v="190801"/>
    <m/>
    <n v="8"/>
    <n v="190801"/>
    <n v="304000"/>
  </r>
  <r>
    <x v="206"/>
    <x v="2"/>
    <m/>
    <x v="1"/>
    <x v="4"/>
    <x v="18"/>
    <n v="190801"/>
    <n v="190801"/>
    <m/>
    <n v="4"/>
    <n v="190801"/>
    <n v="126000"/>
  </r>
  <r>
    <x v="206"/>
    <x v="2"/>
    <m/>
    <x v="4"/>
    <x v="4"/>
    <x v="27"/>
    <n v="190801"/>
    <n v="190801"/>
    <m/>
    <n v="1"/>
    <n v="190801"/>
    <n v="36000"/>
  </r>
  <r>
    <x v="207"/>
    <x v="5"/>
    <m/>
    <x v="0"/>
    <x v="7"/>
    <x v="15"/>
    <n v="190801"/>
    <n v="190801"/>
    <m/>
    <n v="1"/>
    <n v="190801"/>
    <n v="20000"/>
  </r>
  <r>
    <x v="207"/>
    <x v="5"/>
    <m/>
    <x v="25"/>
    <x v="2"/>
    <x v="34"/>
    <n v="190801"/>
    <n v="190801"/>
    <m/>
    <n v="4"/>
    <n v="190801"/>
    <n v="396000"/>
  </r>
  <r>
    <x v="207"/>
    <x v="5"/>
    <m/>
    <x v="1"/>
    <x v="2"/>
    <x v="18"/>
    <n v="190801"/>
    <n v="190801"/>
    <m/>
    <n v="2"/>
    <n v="190801"/>
    <n v="40000"/>
  </r>
  <r>
    <x v="207"/>
    <x v="5"/>
    <m/>
    <x v="1"/>
    <x v="2"/>
    <x v="21"/>
    <n v="190801"/>
    <n v="190801"/>
    <m/>
    <n v="2"/>
    <n v="190801"/>
    <n v="70000"/>
  </r>
  <r>
    <x v="207"/>
    <x v="5"/>
    <m/>
    <x v="4"/>
    <x v="2"/>
    <x v="26"/>
    <n v="190801"/>
    <n v="190801"/>
    <m/>
    <n v="2"/>
    <n v="190801"/>
    <n v="8000"/>
  </r>
  <r>
    <x v="207"/>
    <x v="5"/>
    <m/>
    <x v="4"/>
    <x v="2"/>
    <x v="27"/>
    <n v="190801"/>
    <n v="190801"/>
    <m/>
    <n v="1"/>
    <n v="190801"/>
    <n v="20000"/>
  </r>
  <r>
    <x v="207"/>
    <x v="5"/>
    <m/>
    <x v="0"/>
    <x v="2"/>
    <x v="15"/>
    <n v="190801"/>
    <n v="190801"/>
    <m/>
    <n v="49"/>
    <n v="190801"/>
    <n v="980000"/>
  </r>
  <r>
    <x v="207"/>
    <x v="5"/>
    <m/>
    <x v="0"/>
    <x v="2"/>
    <x v="16"/>
    <n v="190801"/>
    <n v="190801"/>
    <m/>
    <n v="31"/>
    <n v="190801"/>
    <n v="1085000"/>
  </r>
  <r>
    <x v="207"/>
    <x v="5"/>
    <m/>
    <x v="0"/>
    <x v="2"/>
    <x v="17"/>
    <n v="190801"/>
    <n v="190801"/>
    <m/>
    <n v="33"/>
    <n v="190801"/>
    <n v="1089000"/>
  </r>
  <r>
    <x v="207"/>
    <x v="5"/>
    <m/>
    <x v="0"/>
    <x v="2"/>
    <x v="19"/>
    <n v="190801"/>
    <n v="190801"/>
    <m/>
    <n v="39"/>
    <n v="190801"/>
    <n v="117000"/>
  </r>
  <r>
    <x v="207"/>
    <x v="5"/>
    <m/>
    <x v="5"/>
    <x v="2"/>
    <x v="28"/>
    <n v="190801"/>
    <n v="190801"/>
    <m/>
    <n v="12"/>
    <n v="190801"/>
    <n v="336000"/>
  </r>
  <r>
    <x v="207"/>
    <x v="5"/>
    <m/>
    <x v="22"/>
    <x v="2"/>
    <x v="29"/>
    <n v="190801"/>
    <n v="190801"/>
    <m/>
    <n v="8"/>
    <n v="190801"/>
    <n v="304000"/>
  </r>
  <r>
    <x v="207"/>
    <x v="5"/>
    <m/>
    <x v="19"/>
    <x v="2"/>
    <x v="22"/>
    <n v="190801"/>
    <n v="190801"/>
    <m/>
    <n v="4"/>
    <n v="190801"/>
    <n v="52000"/>
  </r>
  <r>
    <x v="207"/>
    <x v="5"/>
    <m/>
    <x v="19"/>
    <x v="2"/>
    <x v="24"/>
    <n v="190801"/>
    <n v="190801"/>
    <m/>
    <n v="3"/>
    <n v="190801"/>
    <n v="99000"/>
  </r>
  <r>
    <x v="208"/>
    <x v="6"/>
    <m/>
    <x v="0"/>
    <x v="7"/>
    <x v="15"/>
    <n v="190801"/>
    <n v="190801"/>
    <m/>
    <n v="1"/>
    <n v="190801"/>
    <n v="20000"/>
  </r>
  <r>
    <x v="208"/>
    <x v="6"/>
    <m/>
    <x v="25"/>
    <x v="2"/>
    <x v="34"/>
    <n v="190801"/>
    <n v="190801"/>
    <m/>
    <n v="3"/>
    <n v="190801"/>
    <n v="297000"/>
  </r>
  <r>
    <x v="208"/>
    <x v="6"/>
    <m/>
    <x v="1"/>
    <x v="2"/>
    <x v="18"/>
    <n v="190801"/>
    <n v="190801"/>
    <m/>
    <n v="2"/>
    <n v="190801"/>
    <n v="40000"/>
  </r>
  <r>
    <x v="208"/>
    <x v="6"/>
    <m/>
    <x v="4"/>
    <x v="2"/>
    <x v="27"/>
    <n v="190801"/>
    <n v="190801"/>
    <m/>
    <n v="2"/>
    <n v="190801"/>
    <n v="40000"/>
  </r>
  <r>
    <x v="208"/>
    <x v="6"/>
    <m/>
    <x v="0"/>
    <x v="2"/>
    <x v="15"/>
    <n v="190801"/>
    <n v="190801"/>
    <m/>
    <n v="51"/>
    <n v="190801"/>
    <n v="1020000"/>
  </r>
  <r>
    <x v="208"/>
    <x v="6"/>
    <m/>
    <x v="0"/>
    <x v="2"/>
    <x v="16"/>
    <n v="190801"/>
    <n v="190801"/>
    <m/>
    <n v="335"/>
    <n v="190801"/>
    <n v="11725000"/>
  </r>
  <r>
    <x v="208"/>
    <x v="6"/>
    <m/>
    <x v="0"/>
    <x v="2"/>
    <x v="17"/>
    <n v="190801"/>
    <n v="190801"/>
    <m/>
    <n v="50"/>
    <n v="190801"/>
    <n v="1650000"/>
  </r>
  <r>
    <x v="208"/>
    <x v="6"/>
    <m/>
    <x v="0"/>
    <x v="2"/>
    <x v="19"/>
    <n v="190801"/>
    <n v="190801"/>
    <m/>
    <n v="65"/>
    <n v="190801"/>
    <n v="195000"/>
  </r>
  <r>
    <x v="208"/>
    <x v="6"/>
    <m/>
    <x v="5"/>
    <x v="2"/>
    <x v="28"/>
    <n v="190801"/>
    <n v="190801"/>
    <m/>
    <n v="16"/>
    <n v="190801"/>
    <n v="448000"/>
  </r>
  <r>
    <x v="208"/>
    <x v="6"/>
    <m/>
    <x v="22"/>
    <x v="2"/>
    <x v="29"/>
    <n v="190801"/>
    <n v="190801"/>
    <m/>
    <n v="6"/>
    <n v="190801"/>
    <n v="228000"/>
  </r>
  <r>
    <x v="208"/>
    <x v="6"/>
    <m/>
    <x v="19"/>
    <x v="2"/>
    <x v="22"/>
    <n v="190801"/>
    <n v="190801"/>
    <m/>
    <n v="7"/>
    <n v="190801"/>
    <n v="91000"/>
  </r>
  <r>
    <x v="208"/>
    <x v="6"/>
    <m/>
    <x v="19"/>
    <x v="2"/>
    <x v="23"/>
    <n v="190801"/>
    <n v="190801"/>
    <m/>
    <n v="4"/>
    <n v="190801"/>
    <n v="96000"/>
  </r>
  <r>
    <x v="208"/>
    <x v="6"/>
    <m/>
    <x v="19"/>
    <x v="2"/>
    <x v="24"/>
    <n v="190801"/>
    <n v="190801"/>
    <m/>
    <n v="1"/>
    <n v="190801"/>
    <n v="33000"/>
  </r>
  <r>
    <x v="208"/>
    <x v="6"/>
    <m/>
    <x v="0"/>
    <x v="6"/>
    <x v="15"/>
    <n v="190801"/>
    <n v="190801"/>
    <m/>
    <n v="433"/>
    <n v="190801"/>
    <n v="3926444"/>
  </r>
  <r>
    <x v="208"/>
    <x v="6"/>
    <m/>
    <x v="0"/>
    <x v="6"/>
    <x v="17"/>
    <n v="190801"/>
    <n v="190801"/>
    <m/>
    <n v="444"/>
    <n v="190801"/>
    <n v="7023192"/>
  </r>
  <r>
    <x v="208"/>
    <x v="6"/>
    <m/>
    <x v="4"/>
    <x v="6"/>
    <x v="26"/>
    <n v="190801"/>
    <n v="190801"/>
    <m/>
    <n v="606"/>
    <n v="190801"/>
    <n v="650238"/>
  </r>
  <r>
    <x v="208"/>
    <x v="6"/>
    <m/>
    <x v="5"/>
    <x v="6"/>
    <x v="28"/>
    <n v="190801"/>
    <n v="190801"/>
    <m/>
    <n v="1"/>
    <n v="190801"/>
    <n v="14600"/>
  </r>
  <r>
    <x v="208"/>
    <x v="6"/>
    <m/>
    <x v="22"/>
    <x v="6"/>
    <x v="29"/>
    <n v="190801"/>
    <n v="190801"/>
    <m/>
    <n v="25"/>
    <n v="190801"/>
    <n v="492275"/>
  </r>
  <r>
    <x v="208"/>
    <x v="6"/>
    <m/>
    <x v="24"/>
    <x v="6"/>
    <x v="31"/>
    <n v="190801"/>
    <n v="190801"/>
    <m/>
    <n v="100"/>
    <n v="190801"/>
    <n v="1487700"/>
  </r>
  <r>
    <x v="208"/>
    <x v="6"/>
    <m/>
    <x v="23"/>
    <x v="6"/>
    <x v="30"/>
    <n v="190801"/>
    <n v="190801"/>
    <m/>
    <n v="86"/>
    <n v="190801"/>
    <n v="598904"/>
  </r>
  <r>
    <x v="208"/>
    <x v="6"/>
    <m/>
    <x v="20"/>
    <x v="6"/>
    <x v="25"/>
    <n v="190801"/>
    <n v="190801"/>
    <m/>
    <n v="24"/>
    <n v="190801"/>
    <n v="233184"/>
  </r>
  <r>
    <x v="208"/>
    <x v="6"/>
    <m/>
    <x v="1"/>
    <x v="6"/>
    <x v="18"/>
    <n v="190801"/>
    <n v="190801"/>
    <m/>
    <n v="9"/>
    <n v="190801"/>
    <n v="82845"/>
  </r>
  <r>
    <x v="208"/>
    <x v="6"/>
    <m/>
    <x v="19"/>
    <x v="6"/>
    <x v="22"/>
    <n v="190801"/>
    <n v="190801"/>
    <m/>
    <n v="7"/>
    <n v="190801"/>
    <n v="47537"/>
  </r>
  <r>
    <x v="209"/>
    <x v="3"/>
    <m/>
    <x v="0"/>
    <x v="1"/>
    <x v="15"/>
    <n v="190801"/>
    <n v="190801"/>
    <m/>
    <n v="5"/>
    <n v="190801"/>
    <n v="100000"/>
  </r>
  <r>
    <x v="209"/>
    <x v="3"/>
    <m/>
    <x v="0"/>
    <x v="1"/>
    <x v="16"/>
    <n v="190801"/>
    <n v="190801"/>
    <m/>
    <n v="20"/>
    <n v="190801"/>
    <n v="700000"/>
  </r>
  <r>
    <x v="209"/>
    <x v="3"/>
    <m/>
    <x v="0"/>
    <x v="7"/>
    <x v="15"/>
    <n v="190801"/>
    <n v="190801"/>
    <m/>
    <n v="1"/>
    <n v="190801"/>
    <n v="20000"/>
  </r>
  <r>
    <x v="209"/>
    <x v="3"/>
    <m/>
    <x v="0"/>
    <x v="5"/>
    <x v="15"/>
    <n v="190801"/>
    <n v="190801"/>
    <m/>
    <n v="300"/>
    <n v="190801"/>
    <n v="3068100"/>
  </r>
  <r>
    <x v="209"/>
    <x v="3"/>
    <m/>
    <x v="25"/>
    <x v="2"/>
    <x v="34"/>
    <n v="190801"/>
    <n v="190801"/>
    <m/>
    <n v="5"/>
    <n v="190801"/>
    <n v="495000"/>
  </r>
  <r>
    <x v="209"/>
    <x v="3"/>
    <m/>
    <x v="1"/>
    <x v="2"/>
    <x v="18"/>
    <n v="190801"/>
    <n v="190801"/>
    <m/>
    <n v="6"/>
    <n v="190801"/>
    <n v="120000"/>
  </r>
  <r>
    <x v="209"/>
    <x v="3"/>
    <m/>
    <x v="1"/>
    <x v="2"/>
    <x v="21"/>
    <n v="190801"/>
    <n v="190801"/>
    <m/>
    <n v="1"/>
    <n v="190801"/>
    <n v="35000"/>
  </r>
  <r>
    <x v="209"/>
    <x v="3"/>
    <m/>
    <x v="4"/>
    <x v="2"/>
    <x v="27"/>
    <n v="190801"/>
    <n v="190801"/>
    <m/>
    <n v="4"/>
    <n v="190801"/>
    <n v="80000"/>
  </r>
  <r>
    <x v="209"/>
    <x v="3"/>
    <m/>
    <x v="0"/>
    <x v="2"/>
    <x v="15"/>
    <n v="190801"/>
    <n v="190801"/>
    <m/>
    <n v="53"/>
    <n v="190801"/>
    <n v="1060000"/>
  </r>
  <r>
    <x v="209"/>
    <x v="3"/>
    <m/>
    <x v="0"/>
    <x v="2"/>
    <x v="16"/>
    <n v="190801"/>
    <n v="190801"/>
    <m/>
    <n v="42"/>
    <n v="190801"/>
    <n v="1470000"/>
  </r>
  <r>
    <x v="209"/>
    <x v="3"/>
    <m/>
    <x v="0"/>
    <x v="2"/>
    <x v="17"/>
    <n v="190801"/>
    <n v="190801"/>
    <m/>
    <n v="59"/>
    <n v="190801"/>
    <n v="1947000"/>
  </r>
  <r>
    <x v="209"/>
    <x v="3"/>
    <m/>
    <x v="0"/>
    <x v="2"/>
    <x v="19"/>
    <n v="190801"/>
    <n v="190801"/>
    <m/>
    <n v="71"/>
    <n v="190801"/>
    <n v="213000"/>
  </r>
  <r>
    <x v="209"/>
    <x v="3"/>
    <m/>
    <x v="5"/>
    <x v="2"/>
    <x v="28"/>
    <n v="190801"/>
    <n v="190801"/>
    <m/>
    <n v="17"/>
    <n v="190801"/>
    <n v="476000"/>
  </r>
  <r>
    <x v="209"/>
    <x v="3"/>
    <m/>
    <x v="22"/>
    <x v="2"/>
    <x v="29"/>
    <n v="190801"/>
    <n v="190801"/>
    <m/>
    <n v="4"/>
    <n v="190801"/>
    <n v="152000"/>
  </r>
  <r>
    <x v="209"/>
    <x v="3"/>
    <m/>
    <x v="19"/>
    <x v="2"/>
    <x v="22"/>
    <n v="190801"/>
    <n v="190801"/>
    <m/>
    <n v="8"/>
    <n v="190801"/>
    <n v="104000"/>
  </r>
  <r>
    <x v="209"/>
    <x v="3"/>
    <m/>
    <x v="19"/>
    <x v="2"/>
    <x v="23"/>
    <n v="190801"/>
    <n v="190801"/>
    <m/>
    <n v="5"/>
    <n v="190801"/>
    <n v="120000"/>
  </r>
  <r>
    <x v="209"/>
    <x v="3"/>
    <m/>
    <x v="0"/>
    <x v="4"/>
    <x v="15"/>
    <n v="190801"/>
    <n v="190801"/>
    <m/>
    <n v="90"/>
    <n v="190801"/>
    <n v="2835000"/>
  </r>
  <r>
    <x v="209"/>
    <x v="3"/>
    <m/>
    <x v="0"/>
    <x v="4"/>
    <x v="16"/>
    <n v="190801"/>
    <n v="190801"/>
    <m/>
    <n v="16"/>
    <n v="190801"/>
    <n v="704000"/>
  </r>
  <r>
    <x v="209"/>
    <x v="3"/>
    <m/>
    <x v="5"/>
    <x v="4"/>
    <x v="28"/>
    <n v="190801"/>
    <n v="190801"/>
    <m/>
    <n v="7"/>
    <n v="190801"/>
    <n v="266000"/>
  </r>
  <r>
    <x v="209"/>
    <x v="3"/>
    <m/>
    <x v="19"/>
    <x v="4"/>
    <x v="22"/>
    <n v="190801"/>
    <n v="190801"/>
    <m/>
    <n v="2"/>
    <n v="190801"/>
    <n v="50000"/>
  </r>
  <r>
    <x v="209"/>
    <x v="3"/>
    <m/>
    <x v="4"/>
    <x v="4"/>
    <x v="27"/>
    <n v="190801"/>
    <n v="190801"/>
    <m/>
    <n v="2"/>
    <n v="190801"/>
    <n v="72000"/>
  </r>
  <r>
    <x v="210"/>
    <x v="4"/>
    <m/>
    <x v="0"/>
    <x v="1"/>
    <x v="15"/>
    <n v="190801"/>
    <n v="190801"/>
    <m/>
    <n v="1"/>
    <n v="190801"/>
    <n v="20000"/>
  </r>
  <r>
    <x v="210"/>
    <x v="4"/>
    <m/>
    <x v="0"/>
    <x v="1"/>
    <x v="16"/>
    <n v="190801"/>
    <n v="190801"/>
    <m/>
    <n v="13"/>
    <n v="190801"/>
    <n v="455000"/>
  </r>
  <r>
    <x v="210"/>
    <x v="4"/>
    <m/>
    <x v="0"/>
    <x v="7"/>
    <x v="15"/>
    <n v="190801"/>
    <n v="190801"/>
    <m/>
    <n v="4"/>
    <n v="190801"/>
    <n v="80000"/>
  </r>
  <r>
    <x v="210"/>
    <x v="4"/>
    <m/>
    <x v="25"/>
    <x v="2"/>
    <x v="34"/>
    <n v="190801"/>
    <n v="190801"/>
    <m/>
    <n v="4"/>
    <n v="190801"/>
    <n v="396000"/>
  </r>
  <r>
    <x v="210"/>
    <x v="4"/>
    <m/>
    <x v="1"/>
    <x v="2"/>
    <x v="18"/>
    <n v="190801"/>
    <n v="190801"/>
    <m/>
    <n v="1"/>
    <n v="190801"/>
    <n v="20000"/>
  </r>
  <r>
    <x v="210"/>
    <x v="4"/>
    <m/>
    <x v="4"/>
    <x v="2"/>
    <x v="26"/>
    <n v="190801"/>
    <n v="190801"/>
    <m/>
    <n v="10"/>
    <n v="190801"/>
    <n v="40000"/>
  </r>
  <r>
    <x v="210"/>
    <x v="4"/>
    <m/>
    <x v="4"/>
    <x v="2"/>
    <x v="27"/>
    <n v="190801"/>
    <n v="190801"/>
    <m/>
    <n v="5"/>
    <n v="190801"/>
    <n v="100000"/>
  </r>
  <r>
    <x v="210"/>
    <x v="4"/>
    <m/>
    <x v="0"/>
    <x v="2"/>
    <x v="15"/>
    <n v="190801"/>
    <n v="190801"/>
    <m/>
    <n v="46"/>
    <n v="190801"/>
    <n v="920000"/>
  </r>
  <r>
    <x v="210"/>
    <x v="4"/>
    <m/>
    <x v="0"/>
    <x v="2"/>
    <x v="16"/>
    <n v="190801"/>
    <n v="190801"/>
    <m/>
    <n v="133"/>
    <n v="190801"/>
    <n v="4655000"/>
  </r>
  <r>
    <x v="210"/>
    <x v="4"/>
    <m/>
    <x v="0"/>
    <x v="2"/>
    <x v="17"/>
    <n v="190801"/>
    <n v="190801"/>
    <m/>
    <n v="34"/>
    <n v="190801"/>
    <n v="1122000"/>
  </r>
  <r>
    <x v="210"/>
    <x v="4"/>
    <m/>
    <x v="0"/>
    <x v="2"/>
    <x v="19"/>
    <n v="190801"/>
    <n v="190801"/>
    <m/>
    <n v="45"/>
    <n v="190801"/>
    <n v="135000"/>
  </r>
  <r>
    <x v="210"/>
    <x v="4"/>
    <m/>
    <x v="5"/>
    <x v="2"/>
    <x v="28"/>
    <n v="190801"/>
    <n v="190801"/>
    <m/>
    <n v="11"/>
    <n v="190801"/>
    <n v="308000"/>
  </r>
  <r>
    <x v="210"/>
    <x v="4"/>
    <m/>
    <x v="22"/>
    <x v="2"/>
    <x v="29"/>
    <n v="190801"/>
    <n v="190801"/>
    <m/>
    <n v="3"/>
    <n v="190801"/>
    <n v="114000"/>
  </r>
  <r>
    <x v="210"/>
    <x v="4"/>
    <m/>
    <x v="19"/>
    <x v="2"/>
    <x v="22"/>
    <n v="190801"/>
    <n v="190801"/>
    <m/>
    <n v="5"/>
    <n v="190801"/>
    <n v="65000"/>
  </r>
  <r>
    <x v="210"/>
    <x v="4"/>
    <m/>
    <x v="19"/>
    <x v="2"/>
    <x v="24"/>
    <n v="190801"/>
    <n v="190801"/>
    <m/>
    <n v="1"/>
    <n v="190801"/>
    <n v="33000"/>
  </r>
  <r>
    <x v="210"/>
    <x v="4"/>
    <m/>
    <x v="0"/>
    <x v="4"/>
    <x v="15"/>
    <n v="190801"/>
    <n v="190801"/>
    <m/>
    <n v="25"/>
    <n v="190801"/>
    <n v="787500"/>
  </r>
  <r>
    <x v="210"/>
    <x v="4"/>
    <m/>
    <x v="0"/>
    <x v="4"/>
    <x v="16"/>
    <n v="190801"/>
    <n v="190801"/>
    <m/>
    <n v="7"/>
    <n v="190801"/>
    <n v="308000"/>
  </r>
  <r>
    <x v="210"/>
    <x v="4"/>
    <m/>
    <x v="5"/>
    <x v="4"/>
    <x v="28"/>
    <n v="190801"/>
    <n v="190801"/>
    <m/>
    <n v="1"/>
    <n v="190801"/>
    <n v="38000"/>
  </r>
  <r>
    <x v="210"/>
    <x v="4"/>
    <m/>
    <x v="19"/>
    <x v="4"/>
    <x v="22"/>
    <n v="190801"/>
    <n v="190801"/>
    <m/>
    <n v="1"/>
    <n v="190801"/>
    <n v="25000"/>
  </r>
  <r>
    <x v="210"/>
    <x v="4"/>
    <m/>
    <x v="4"/>
    <x v="4"/>
    <x v="27"/>
    <n v="190801"/>
    <n v="190801"/>
    <m/>
    <n v="2"/>
    <n v="190801"/>
    <n v="72000"/>
  </r>
  <r>
    <x v="211"/>
    <x v="1"/>
    <m/>
    <x v="0"/>
    <x v="1"/>
    <x v="15"/>
    <n v="190801"/>
    <n v="190801"/>
    <m/>
    <n v="3"/>
    <n v="190801"/>
    <n v="60000"/>
  </r>
  <r>
    <x v="211"/>
    <x v="1"/>
    <m/>
    <x v="0"/>
    <x v="1"/>
    <x v="16"/>
    <n v="190801"/>
    <n v="190801"/>
    <m/>
    <n v="4"/>
    <n v="190801"/>
    <n v="140000"/>
  </r>
  <r>
    <x v="211"/>
    <x v="1"/>
    <m/>
    <x v="0"/>
    <x v="7"/>
    <x v="15"/>
    <n v="190801"/>
    <n v="190801"/>
    <m/>
    <n v="1"/>
    <n v="190801"/>
    <n v="20000"/>
  </r>
  <r>
    <x v="211"/>
    <x v="1"/>
    <m/>
    <x v="25"/>
    <x v="2"/>
    <x v="34"/>
    <n v="190801"/>
    <n v="190801"/>
    <m/>
    <n v="7"/>
    <n v="190801"/>
    <n v="693000"/>
  </r>
  <r>
    <x v="211"/>
    <x v="1"/>
    <m/>
    <x v="4"/>
    <x v="2"/>
    <x v="26"/>
    <n v="190801"/>
    <n v="190801"/>
    <m/>
    <n v="1"/>
    <n v="190801"/>
    <n v="4000"/>
  </r>
  <r>
    <x v="211"/>
    <x v="1"/>
    <m/>
    <x v="4"/>
    <x v="2"/>
    <x v="27"/>
    <n v="190801"/>
    <n v="190801"/>
    <m/>
    <n v="4"/>
    <n v="190801"/>
    <n v="80000"/>
  </r>
  <r>
    <x v="211"/>
    <x v="1"/>
    <m/>
    <x v="1"/>
    <x v="2"/>
    <x v="18"/>
    <n v="190801"/>
    <n v="190801"/>
    <m/>
    <n v="2"/>
    <n v="190801"/>
    <n v="40000"/>
  </r>
  <r>
    <x v="211"/>
    <x v="1"/>
    <m/>
    <x v="0"/>
    <x v="2"/>
    <x v="15"/>
    <n v="190801"/>
    <n v="190801"/>
    <m/>
    <n v="42"/>
    <n v="190801"/>
    <n v="840000"/>
  </r>
  <r>
    <x v="211"/>
    <x v="1"/>
    <m/>
    <x v="0"/>
    <x v="2"/>
    <x v="16"/>
    <n v="190801"/>
    <n v="190801"/>
    <m/>
    <n v="39"/>
    <n v="190801"/>
    <n v="1365000"/>
  </r>
  <r>
    <x v="211"/>
    <x v="1"/>
    <m/>
    <x v="0"/>
    <x v="2"/>
    <x v="17"/>
    <n v="190801"/>
    <n v="190801"/>
    <m/>
    <n v="32"/>
    <n v="190801"/>
    <n v="1056000"/>
  </r>
  <r>
    <x v="211"/>
    <x v="1"/>
    <m/>
    <x v="0"/>
    <x v="2"/>
    <x v="19"/>
    <n v="190801"/>
    <n v="190801"/>
    <m/>
    <n v="58"/>
    <n v="190801"/>
    <n v="174000"/>
  </r>
  <r>
    <x v="211"/>
    <x v="1"/>
    <m/>
    <x v="5"/>
    <x v="2"/>
    <x v="28"/>
    <n v="190801"/>
    <n v="190801"/>
    <m/>
    <n v="11"/>
    <n v="190801"/>
    <n v="308000"/>
  </r>
  <r>
    <x v="211"/>
    <x v="1"/>
    <m/>
    <x v="22"/>
    <x v="2"/>
    <x v="29"/>
    <n v="190801"/>
    <n v="190801"/>
    <m/>
    <n v="2"/>
    <n v="190801"/>
    <n v="76000"/>
  </r>
  <r>
    <x v="211"/>
    <x v="1"/>
    <m/>
    <x v="19"/>
    <x v="2"/>
    <x v="22"/>
    <n v="190801"/>
    <n v="190801"/>
    <m/>
    <n v="14"/>
    <n v="190801"/>
    <n v="182000"/>
  </r>
  <r>
    <x v="211"/>
    <x v="1"/>
    <m/>
    <x v="19"/>
    <x v="2"/>
    <x v="23"/>
    <n v="190801"/>
    <n v="190801"/>
    <m/>
    <n v="1"/>
    <n v="190801"/>
    <n v="24000"/>
  </r>
  <r>
    <x v="211"/>
    <x v="1"/>
    <m/>
    <x v="19"/>
    <x v="2"/>
    <x v="24"/>
    <n v="190801"/>
    <n v="190801"/>
    <m/>
    <n v="1"/>
    <n v="190801"/>
    <n v="33000"/>
  </r>
  <r>
    <x v="211"/>
    <x v="1"/>
    <m/>
    <x v="0"/>
    <x v="4"/>
    <x v="15"/>
    <n v="190801"/>
    <n v="190801"/>
    <m/>
    <n v="26"/>
    <n v="190801"/>
    <n v="819000"/>
  </r>
  <r>
    <x v="211"/>
    <x v="1"/>
    <m/>
    <x v="0"/>
    <x v="4"/>
    <x v="16"/>
    <n v="190801"/>
    <n v="190801"/>
    <m/>
    <n v="7"/>
    <n v="190801"/>
    <n v="308000"/>
  </r>
  <r>
    <x v="211"/>
    <x v="1"/>
    <m/>
    <x v="5"/>
    <x v="4"/>
    <x v="28"/>
    <n v="190801"/>
    <n v="190801"/>
    <m/>
    <n v="2"/>
    <n v="190801"/>
    <n v="76000"/>
  </r>
  <r>
    <x v="212"/>
    <x v="0"/>
    <m/>
    <x v="0"/>
    <x v="7"/>
    <x v="15"/>
    <n v="190801"/>
    <n v="190801"/>
    <m/>
    <n v="1"/>
    <n v="190801"/>
    <n v="20000"/>
  </r>
  <r>
    <x v="212"/>
    <x v="0"/>
    <m/>
    <x v="25"/>
    <x v="2"/>
    <x v="34"/>
    <n v="190801"/>
    <n v="190801"/>
    <m/>
    <n v="9"/>
    <n v="190801"/>
    <n v="891000"/>
  </r>
  <r>
    <x v="212"/>
    <x v="0"/>
    <m/>
    <x v="1"/>
    <x v="2"/>
    <x v="18"/>
    <n v="190801"/>
    <n v="190801"/>
    <m/>
    <n v="2"/>
    <n v="190801"/>
    <n v="40000"/>
  </r>
  <r>
    <x v="212"/>
    <x v="0"/>
    <m/>
    <x v="1"/>
    <x v="2"/>
    <x v="21"/>
    <n v="190801"/>
    <n v="190801"/>
    <m/>
    <n v="4"/>
    <n v="190801"/>
    <n v="140000"/>
  </r>
  <r>
    <x v="212"/>
    <x v="0"/>
    <m/>
    <x v="4"/>
    <x v="2"/>
    <x v="27"/>
    <n v="190801"/>
    <n v="190801"/>
    <m/>
    <n v="1"/>
    <n v="190801"/>
    <n v="20000"/>
  </r>
  <r>
    <x v="212"/>
    <x v="0"/>
    <m/>
    <x v="0"/>
    <x v="2"/>
    <x v="15"/>
    <n v="190801"/>
    <n v="190801"/>
    <m/>
    <n v="30"/>
    <n v="190801"/>
    <n v="600000"/>
  </r>
  <r>
    <x v="212"/>
    <x v="0"/>
    <m/>
    <x v="0"/>
    <x v="2"/>
    <x v="16"/>
    <n v="190801"/>
    <n v="190801"/>
    <m/>
    <n v="26"/>
    <n v="190801"/>
    <n v="910000"/>
  </r>
  <r>
    <x v="212"/>
    <x v="0"/>
    <m/>
    <x v="0"/>
    <x v="2"/>
    <x v="17"/>
    <n v="190801"/>
    <n v="190801"/>
    <m/>
    <n v="39"/>
    <n v="190801"/>
    <n v="1287000"/>
  </r>
  <r>
    <x v="212"/>
    <x v="0"/>
    <m/>
    <x v="0"/>
    <x v="2"/>
    <x v="19"/>
    <n v="190801"/>
    <n v="190801"/>
    <m/>
    <n v="38"/>
    <n v="190801"/>
    <n v="114000"/>
  </r>
  <r>
    <x v="212"/>
    <x v="0"/>
    <m/>
    <x v="5"/>
    <x v="2"/>
    <x v="28"/>
    <n v="190801"/>
    <n v="190801"/>
    <m/>
    <n v="11"/>
    <n v="190801"/>
    <n v="308000"/>
  </r>
  <r>
    <x v="212"/>
    <x v="0"/>
    <m/>
    <x v="22"/>
    <x v="2"/>
    <x v="29"/>
    <n v="190801"/>
    <n v="190801"/>
    <m/>
    <n v="3"/>
    <n v="190801"/>
    <n v="114000"/>
  </r>
  <r>
    <x v="212"/>
    <x v="0"/>
    <m/>
    <x v="19"/>
    <x v="2"/>
    <x v="22"/>
    <n v="190801"/>
    <n v="190801"/>
    <m/>
    <n v="5"/>
    <n v="190801"/>
    <n v="65000"/>
  </r>
  <r>
    <x v="212"/>
    <x v="0"/>
    <m/>
    <x v="19"/>
    <x v="2"/>
    <x v="23"/>
    <n v="190801"/>
    <n v="190801"/>
    <m/>
    <n v="1"/>
    <n v="190801"/>
    <n v="24000"/>
  </r>
  <r>
    <x v="213"/>
    <x v="2"/>
    <m/>
    <x v="0"/>
    <x v="7"/>
    <x v="15"/>
    <n v="190801"/>
    <n v="190801"/>
    <m/>
    <n v="5"/>
    <n v="190801"/>
    <n v="100000"/>
  </r>
  <r>
    <x v="213"/>
    <x v="2"/>
    <m/>
    <x v="25"/>
    <x v="2"/>
    <x v="34"/>
    <n v="190801"/>
    <n v="190801"/>
    <m/>
    <n v="4"/>
    <n v="190801"/>
    <n v="396000"/>
  </r>
  <r>
    <x v="213"/>
    <x v="2"/>
    <m/>
    <x v="1"/>
    <x v="2"/>
    <x v="18"/>
    <n v="190801"/>
    <n v="190801"/>
    <m/>
    <n v="4"/>
    <n v="190801"/>
    <n v="80000"/>
  </r>
  <r>
    <x v="213"/>
    <x v="2"/>
    <m/>
    <x v="1"/>
    <x v="2"/>
    <x v="21"/>
    <n v="190801"/>
    <n v="190801"/>
    <m/>
    <n v="1"/>
    <n v="190801"/>
    <n v="35000"/>
  </r>
  <r>
    <x v="213"/>
    <x v="2"/>
    <m/>
    <x v="4"/>
    <x v="2"/>
    <x v="26"/>
    <n v="190801"/>
    <n v="190801"/>
    <m/>
    <n v="2"/>
    <n v="190801"/>
    <n v="8000"/>
  </r>
  <r>
    <x v="213"/>
    <x v="2"/>
    <m/>
    <x v="4"/>
    <x v="2"/>
    <x v="27"/>
    <n v="190801"/>
    <n v="190801"/>
    <m/>
    <n v="6"/>
    <n v="190801"/>
    <n v="120000"/>
  </r>
  <r>
    <x v="213"/>
    <x v="2"/>
    <m/>
    <x v="0"/>
    <x v="2"/>
    <x v="15"/>
    <n v="190801"/>
    <n v="190801"/>
    <m/>
    <n v="59"/>
    <n v="190801"/>
    <n v="1180000"/>
  </r>
  <r>
    <x v="213"/>
    <x v="2"/>
    <m/>
    <x v="0"/>
    <x v="2"/>
    <x v="16"/>
    <n v="190801"/>
    <n v="190801"/>
    <m/>
    <n v="44"/>
    <n v="190801"/>
    <n v="1540000"/>
  </r>
  <r>
    <x v="213"/>
    <x v="2"/>
    <m/>
    <x v="0"/>
    <x v="2"/>
    <x v="17"/>
    <n v="190801"/>
    <n v="190801"/>
    <m/>
    <n v="66"/>
    <n v="190801"/>
    <n v="2178000"/>
  </r>
  <r>
    <x v="213"/>
    <x v="2"/>
    <m/>
    <x v="19"/>
    <x v="2"/>
    <x v="22"/>
    <n v="190801"/>
    <n v="190801"/>
    <m/>
    <n v="9"/>
    <n v="190801"/>
    <n v="117000"/>
  </r>
  <r>
    <x v="213"/>
    <x v="2"/>
    <m/>
    <x v="19"/>
    <x v="2"/>
    <x v="24"/>
    <n v="190801"/>
    <n v="190801"/>
    <m/>
    <n v="1"/>
    <n v="190801"/>
    <n v="33000"/>
  </r>
  <r>
    <x v="213"/>
    <x v="2"/>
    <m/>
    <x v="0"/>
    <x v="2"/>
    <x v="19"/>
    <n v="190801"/>
    <n v="190801"/>
    <m/>
    <n v="56"/>
    <n v="190801"/>
    <n v="168000"/>
  </r>
  <r>
    <x v="213"/>
    <x v="2"/>
    <m/>
    <x v="5"/>
    <x v="2"/>
    <x v="28"/>
    <n v="190801"/>
    <n v="190801"/>
    <m/>
    <n v="12"/>
    <n v="190801"/>
    <n v="336000"/>
  </r>
  <r>
    <x v="213"/>
    <x v="2"/>
    <m/>
    <x v="22"/>
    <x v="2"/>
    <x v="29"/>
    <n v="190801"/>
    <n v="190801"/>
    <m/>
    <n v="3"/>
    <n v="190801"/>
    <n v="114000"/>
  </r>
  <r>
    <x v="214"/>
    <x v="5"/>
    <m/>
    <x v="0"/>
    <x v="7"/>
    <x v="15"/>
    <n v="190801"/>
    <n v="190801"/>
    <m/>
    <n v="5"/>
    <n v="190801"/>
    <n v="100000"/>
  </r>
  <r>
    <x v="214"/>
    <x v="5"/>
    <m/>
    <x v="25"/>
    <x v="2"/>
    <x v="34"/>
    <n v="190801"/>
    <n v="190801"/>
    <m/>
    <n v="7"/>
    <n v="190801"/>
    <n v="693000"/>
  </r>
  <r>
    <x v="214"/>
    <x v="5"/>
    <m/>
    <x v="1"/>
    <x v="2"/>
    <x v="18"/>
    <n v="190801"/>
    <n v="190801"/>
    <m/>
    <n v="3"/>
    <n v="190801"/>
    <n v="60000"/>
  </r>
  <r>
    <x v="214"/>
    <x v="5"/>
    <m/>
    <x v="4"/>
    <x v="2"/>
    <x v="26"/>
    <n v="190801"/>
    <n v="190801"/>
    <m/>
    <n v="10"/>
    <n v="190801"/>
    <n v="40000"/>
  </r>
  <r>
    <x v="214"/>
    <x v="5"/>
    <m/>
    <x v="4"/>
    <x v="2"/>
    <x v="27"/>
    <n v="190801"/>
    <n v="190801"/>
    <m/>
    <n v="4"/>
    <n v="190801"/>
    <n v="80000"/>
  </r>
  <r>
    <x v="214"/>
    <x v="5"/>
    <m/>
    <x v="0"/>
    <x v="2"/>
    <x v="15"/>
    <n v="190801"/>
    <n v="190801"/>
    <m/>
    <n v="49"/>
    <n v="190801"/>
    <n v="980000"/>
  </r>
  <r>
    <x v="214"/>
    <x v="5"/>
    <m/>
    <x v="0"/>
    <x v="2"/>
    <x v="16"/>
    <n v="190801"/>
    <n v="190801"/>
    <m/>
    <n v="35"/>
    <n v="190801"/>
    <n v="1225000"/>
  </r>
  <r>
    <x v="214"/>
    <x v="5"/>
    <m/>
    <x v="0"/>
    <x v="2"/>
    <x v="17"/>
    <n v="190801"/>
    <n v="190801"/>
    <m/>
    <n v="41"/>
    <n v="190801"/>
    <n v="1353000"/>
  </r>
  <r>
    <x v="214"/>
    <x v="5"/>
    <m/>
    <x v="0"/>
    <x v="2"/>
    <x v="19"/>
    <n v="190801"/>
    <n v="190801"/>
    <m/>
    <n v="48"/>
    <n v="190801"/>
    <n v="144000"/>
  </r>
  <r>
    <x v="214"/>
    <x v="5"/>
    <m/>
    <x v="5"/>
    <x v="2"/>
    <x v="28"/>
    <n v="190801"/>
    <n v="190801"/>
    <m/>
    <n v="9"/>
    <n v="190801"/>
    <n v="252000"/>
  </r>
  <r>
    <x v="214"/>
    <x v="5"/>
    <m/>
    <x v="22"/>
    <x v="2"/>
    <x v="29"/>
    <n v="190801"/>
    <n v="190801"/>
    <m/>
    <n v="2"/>
    <n v="190801"/>
    <n v="76000"/>
  </r>
  <r>
    <x v="214"/>
    <x v="5"/>
    <m/>
    <x v="19"/>
    <x v="2"/>
    <x v="22"/>
    <n v="190801"/>
    <n v="190801"/>
    <m/>
    <n v="2"/>
    <n v="190801"/>
    <n v="26000"/>
  </r>
  <r>
    <x v="214"/>
    <x v="5"/>
    <m/>
    <x v="19"/>
    <x v="2"/>
    <x v="23"/>
    <n v="190801"/>
    <n v="190801"/>
    <m/>
    <n v="1"/>
    <n v="190801"/>
    <n v="24000"/>
  </r>
  <r>
    <x v="214"/>
    <x v="5"/>
    <m/>
    <x v="19"/>
    <x v="2"/>
    <x v="24"/>
    <n v="190801"/>
    <n v="190801"/>
    <m/>
    <n v="1"/>
    <n v="190801"/>
    <n v="33000"/>
  </r>
  <r>
    <x v="215"/>
    <x v="6"/>
    <m/>
    <x v="0"/>
    <x v="7"/>
    <x v="15"/>
    <n v="190801"/>
    <n v="190801"/>
    <m/>
    <n v="1"/>
    <n v="190801"/>
    <n v="20000"/>
  </r>
  <r>
    <x v="215"/>
    <x v="6"/>
    <m/>
    <x v="25"/>
    <x v="2"/>
    <x v="34"/>
    <n v="190801"/>
    <n v="190801"/>
    <m/>
    <n v="7"/>
    <n v="190801"/>
    <n v="693000"/>
  </r>
  <r>
    <x v="215"/>
    <x v="6"/>
    <m/>
    <x v="1"/>
    <x v="2"/>
    <x v="18"/>
    <n v="190801"/>
    <n v="190801"/>
    <m/>
    <n v="8"/>
    <n v="190801"/>
    <n v="160000"/>
  </r>
  <r>
    <x v="215"/>
    <x v="6"/>
    <m/>
    <x v="4"/>
    <x v="2"/>
    <x v="26"/>
    <n v="190801"/>
    <n v="190801"/>
    <m/>
    <n v="11"/>
    <n v="190801"/>
    <n v="44000"/>
  </r>
  <r>
    <x v="215"/>
    <x v="6"/>
    <m/>
    <x v="4"/>
    <x v="2"/>
    <x v="27"/>
    <n v="190801"/>
    <n v="190801"/>
    <m/>
    <n v="3"/>
    <n v="190801"/>
    <n v="60000"/>
  </r>
  <r>
    <x v="215"/>
    <x v="6"/>
    <m/>
    <x v="0"/>
    <x v="2"/>
    <x v="15"/>
    <n v="190801"/>
    <n v="190801"/>
    <m/>
    <n v="45"/>
    <n v="190801"/>
    <n v="900000"/>
  </r>
  <r>
    <x v="215"/>
    <x v="6"/>
    <m/>
    <x v="0"/>
    <x v="2"/>
    <x v="16"/>
    <n v="190801"/>
    <n v="190801"/>
    <m/>
    <n v="22"/>
    <n v="190801"/>
    <n v="770000"/>
  </r>
  <r>
    <x v="215"/>
    <x v="6"/>
    <m/>
    <x v="0"/>
    <x v="2"/>
    <x v="17"/>
    <n v="190801"/>
    <n v="190801"/>
    <m/>
    <n v="54"/>
    <n v="190801"/>
    <n v="1782000"/>
  </r>
  <r>
    <x v="215"/>
    <x v="6"/>
    <m/>
    <x v="0"/>
    <x v="2"/>
    <x v="19"/>
    <n v="190801"/>
    <n v="190801"/>
    <m/>
    <n v="47"/>
    <n v="190801"/>
    <n v="141000"/>
  </r>
  <r>
    <x v="215"/>
    <x v="6"/>
    <m/>
    <x v="5"/>
    <x v="2"/>
    <x v="28"/>
    <n v="190801"/>
    <n v="190801"/>
    <m/>
    <n v="10"/>
    <n v="190801"/>
    <n v="280000"/>
  </r>
  <r>
    <x v="215"/>
    <x v="6"/>
    <m/>
    <x v="22"/>
    <x v="2"/>
    <x v="29"/>
    <n v="190801"/>
    <n v="190801"/>
    <m/>
    <n v="6"/>
    <n v="190801"/>
    <n v="228000"/>
  </r>
  <r>
    <x v="215"/>
    <x v="6"/>
    <m/>
    <x v="19"/>
    <x v="2"/>
    <x v="22"/>
    <n v="190801"/>
    <n v="190801"/>
    <m/>
    <n v="10"/>
    <n v="190801"/>
    <n v="130000"/>
  </r>
  <r>
    <x v="215"/>
    <x v="6"/>
    <m/>
    <x v="19"/>
    <x v="2"/>
    <x v="23"/>
    <n v="190801"/>
    <n v="190801"/>
    <m/>
    <n v="2"/>
    <n v="190801"/>
    <n v="48000"/>
  </r>
  <r>
    <x v="215"/>
    <x v="6"/>
    <m/>
    <x v="19"/>
    <x v="2"/>
    <x v="24"/>
    <n v="190801"/>
    <n v="190801"/>
    <m/>
    <n v="1"/>
    <n v="190801"/>
    <n v="33000"/>
  </r>
  <r>
    <x v="215"/>
    <x v="6"/>
    <m/>
    <x v="0"/>
    <x v="6"/>
    <x v="15"/>
    <n v="190801"/>
    <n v="190801"/>
    <m/>
    <n v="338"/>
    <n v="190801"/>
    <n v="3064984"/>
  </r>
  <r>
    <x v="215"/>
    <x v="6"/>
    <m/>
    <x v="0"/>
    <x v="6"/>
    <x v="17"/>
    <n v="190801"/>
    <n v="190801"/>
    <m/>
    <n v="271"/>
    <n v="190801"/>
    <n v="4286678"/>
  </r>
  <r>
    <x v="215"/>
    <x v="6"/>
    <m/>
    <x v="4"/>
    <x v="6"/>
    <x v="26"/>
    <n v="190801"/>
    <n v="190801"/>
    <m/>
    <n v="710"/>
    <n v="190801"/>
    <n v="761830"/>
  </r>
  <r>
    <x v="215"/>
    <x v="6"/>
    <m/>
    <x v="26"/>
    <x v="6"/>
    <x v="35"/>
    <n v="190801"/>
    <n v="190801"/>
    <m/>
    <n v="56"/>
    <n v="190801"/>
    <n v="959336"/>
  </r>
  <r>
    <x v="215"/>
    <x v="6"/>
    <m/>
    <x v="22"/>
    <x v="6"/>
    <x v="29"/>
    <n v="190801"/>
    <n v="190801"/>
    <m/>
    <n v="15"/>
    <n v="190801"/>
    <n v="295365"/>
  </r>
  <r>
    <x v="215"/>
    <x v="6"/>
    <m/>
    <x v="24"/>
    <x v="6"/>
    <x v="31"/>
    <n v="190801"/>
    <n v="190801"/>
    <m/>
    <n v="107"/>
    <n v="190801"/>
    <n v="1591839"/>
  </r>
  <r>
    <x v="215"/>
    <x v="6"/>
    <m/>
    <x v="23"/>
    <x v="6"/>
    <x v="30"/>
    <n v="190801"/>
    <n v="190801"/>
    <m/>
    <n v="88"/>
    <n v="190801"/>
    <n v="612832"/>
  </r>
  <r>
    <x v="215"/>
    <x v="6"/>
    <m/>
    <x v="20"/>
    <x v="6"/>
    <x v="25"/>
    <n v="190801"/>
    <n v="190801"/>
    <m/>
    <n v="22"/>
    <n v="190801"/>
    <n v="213752"/>
  </r>
  <r>
    <x v="215"/>
    <x v="6"/>
    <m/>
    <x v="1"/>
    <x v="6"/>
    <x v="18"/>
    <n v="190801"/>
    <n v="190801"/>
    <m/>
    <n v="3"/>
    <n v="190801"/>
    <n v="27615"/>
  </r>
  <r>
    <x v="215"/>
    <x v="6"/>
    <m/>
    <x v="19"/>
    <x v="6"/>
    <x v="22"/>
    <n v="190801"/>
    <n v="190801"/>
    <m/>
    <n v="4"/>
    <n v="190801"/>
    <n v="27164"/>
  </r>
  <r>
    <x v="215"/>
    <x v="6"/>
    <m/>
    <x v="27"/>
    <x v="6"/>
    <x v="36"/>
    <n v="190801"/>
    <n v="190801"/>
    <m/>
    <n v="473"/>
    <n v="190801"/>
    <n v="4473161"/>
  </r>
  <r>
    <x v="216"/>
    <x v="3"/>
    <m/>
    <x v="0"/>
    <x v="1"/>
    <x v="15"/>
    <n v="190801"/>
    <n v="190801"/>
    <m/>
    <n v="4"/>
    <n v="190801"/>
    <n v="80000"/>
  </r>
  <r>
    <x v="216"/>
    <x v="3"/>
    <m/>
    <x v="0"/>
    <x v="1"/>
    <x v="16"/>
    <n v="190801"/>
    <n v="190801"/>
    <m/>
    <n v="38"/>
    <n v="190801"/>
    <n v="1330000"/>
  </r>
  <r>
    <x v="216"/>
    <x v="3"/>
    <m/>
    <x v="0"/>
    <x v="7"/>
    <x v="15"/>
    <n v="190801"/>
    <n v="190801"/>
    <m/>
    <n v="3"/>
    <n v="190801"/>
    <n v="60000"/>
  </r>
  <r>
    <x v="216"/>
    <x v="3"/>
    <m/>
    <x v="25"/>
    <x v="2"/>
    <x v="34"/>
    <n v="190801"/>
    <n v="190801"/>
    <m/>
    <n v="6"/>
    <n v="190801"/>
    <n v="594000"/>
  </r>
  <r>
    <x v="216"/>
    <x v="3"/>
    <m/>
    <x v="1"/>
    <x v="2"/>
    <x v="18"/>
    <n v="190801"/>
    <n v="190801"/>
    <m/>
    <n v="2"/>
    <n v="190801"/>
    <n v="40000"/>
  </r>
  <r>
    <x v="216"/>
    <x v="3"/>
    <m/>
    <x v="4"/>
    <x v="2"/>
    <x v="26"/>
    <n v="190801"/>
    <n v="190801"/>
    <m/>
    <n v="3"/>
    <n v="190801"/>
    <n v="12000"/>
  </r>
  <r>
    <x v="216"/>
    <x v="3"/>
    <m/>
    <x v="4"/>
    <x v="2"/>
    <x v="27"/>
    <n v="190801"/>
    <n v="190801"/>
    <m/>
    <n v="10"/>
    <n v="190801"/>
    <n v="200000"/>
  </r>
  <r>
    <x v="216"/>
    <x v="3"/>
    <m/>
    <x v="0"/>
    <x v="2"/>
    <x v="15"/>
    <n v="190801"/>
    <n v="190801"/>
    <m/>
    <n v="49"/>
    <n v="190801"/>
    <n v="980000"/>
  </r>
  <r>
    <x v="216"/>
    <x v="3"/>
    <m/>
    <x v="0"/>
    <x v="2"/>
    <x v="16"/>
    <n v="190801"/>
    <n v="190801"/>
    <m/>
    <n v="46"/>
    <n v="190801"/>
    <n v="1610000"/>
  </r>
  <r>
    <x v="216"/>
    <x v="3"/>
    <m/>
    <x v="0"/>
    <x v="2"/>
    <x v="17"/>
    <n v="190801"/>
    <n v="190801"/>
    <m/>
    <n v="57"/>
    <n v="190801"/>
    <n v="1881000"/>
  </r>
  <r>
    <x v="216"/>
    <x v="3"/>
    <m/>
    <x v="0"/>
    <x v="2"/>
    <x v="19"/>
    <n v="190801"/>
    <n v="190801"/>
    <m/>
    <n v="53"/>
    <n v="190801"/>
    <n v="159000"/>
  </r>
  <r>
    <x v="216"/>
    <x v="3"/>
    <m/>
    <x v="5"/>
    <x v="2"/>
    <x v="28"/>
    <n v="190801"/>
    <n v="190801"/>
    <m/>
    <n v="15"/>
    <n v="190801"/>
    <n v="420000"/>
  </r>
  <r>
    <x v="216"/>
    <x v="3"/>
    <m/>
    <x v="22"/>
    <x v="2"/>
    <x v="29"/>
    <n v="190801"/>
    <n v="190801"/>
    <m/>
    <n v="4"/>
    <n v="190801"/>
    <n v="152000"/>
  </r>
  <r>
    <x v="216"/>
    <x v="3"/>
    <m/>
    <x v="19"/>
    <x v="2"/>
    <x v="22"/>
    <n v="190801"/>
    <n v="190801"/>
    <m/>
    <n v="4"/>
    <n v="190801"/>
    <n v="52000"/>
  </r>
  <r>
    <x v="216"/>
    <x v="3"/>
    <m/>
    <x v="19"/>
    <x v="2"/>
    <x v="23"/>
    <n v="190801"/>
    <n v="190801"/>
    <m/>
    <n v="1"/>
    <n v="190801"/>
    <n v="24000"/>
  </r>
  <r>
    <x v="216"/>
    <x v="3"/>
    <m/>
    <x v="19"/>
    <x v="2"/>
    <x v="24"/>
    <n v="190801"/>
    <n v="190801"/>
    <m/>
    <n v="1"/>
    <n v="190801"/>
    <n v="33000"/>
  </r>
  <r>
    <x v="216"/>
    <x v="3"/>
    <m/>
    <x v="0"/>
    <x v="4"/>
    <x v="15"/>
    <n v="190801"/>
    <n v="190801"/>
    <m/>
    <n v="121"/>
    <n v="190801"/>
    <n v="3811500"/>
  </r>
  <r>
    <x v="216"/>
    <x v="3"/>
    <m/>
    <x v="0"/>
    <x v="4"/>
    <x v="16"/>
    <n v="190801"/>
    <n v="190801"/>
    <m/>
    <n v="42"/>
    <n v="190801"/>
    <n v="1848000"/>
  </r>
  <r>
    <x v="216"/>
    <x v="3"/>
    <m/>
    <x v="5"/>
    <x v="4"/>
    <x v="28"/>
    <n v="190801"/>
    <n v="190801"/>
    <m/>
    <n v="10"/>
    <n v="190801"/>
    <n v="380000"/>
  </r>
  <r>
    <x v="216"/>
    <x v="3"/>
    <m/>
    <x v="19"/>
    <x v="4"/>
    <x v="22"/>
    <n v="190801"/>
    <n v="190801"/>
    <m/>
    <n v="2"/>
    <n v="190801"/>
    <n v="50000"/>
  </r>
  <r>
    <x v="216"/>
    <x v="3"/>
    <m/>
    <x v="4"/>
    <x v="4"/>
    <x v="27"/>
    <n v="190801"/>
    <n v="190801"/>
    <m/>
    <n v="1"/>
    <n v="190801"/>
    <n v="36000"/>
  </r>
  <r>
    <x v="216"/>
    <x v="3"/>
    <m/>
    <x v="1"/>
    <x v="4"/>
    <x v="18"/>
    <n v="190801"/>
    <n v="190801"/>
    <m/>
    <n v="1"/>
    <n v="190801"/>
    <n v="31500"/>
  </r>
  <r>
    <x v="217"/>
    <x v="4"/>
    <m/>
    <x v="0"/>
    <x v="7"/>
    <x v="15"/>
    <n v="190801"/>
    <n v="190801"/>
    <m/>
    <n v="5"/>
    <n v="190801"/>
    <n v="100000"/>
  </r>
  <r>
    <x v="217"/>
    <x v="4"/>
    <m/>
    <x v="25"/>
    <x v="2"/>
    <x v="34"/>
    <n v="190801"/>
    <n v="190801"/>
    <m/>
    <n v="5"/>
    <n v="190801"/>
    <n v="495000"/>
  </r>
  <r>
    <x v="217"/>
    <x v="4"/>
    <m/>
    <x v="1"/>
    <x v="2"/>
    <x v="18"/>
    <n v="190801"/>
    <n v="190801"/>
    <m/>
    <n v="3"/>
    <n v="190801"/>
    <n v="60000"/>
  </r>
  <r>
    <x v="217"/>
    <x v="4"/>
    <m/>
    <x v="1"/>
    <x v="2"/>
    <x v="21"/>
    <n v="190801"/>
    <n v="190801"/>
    <m/>
    <n v="1"/>
    <n v="190801"/>
    <n v="35000"/>
  </r>
  <r>
    <x v="217"/>
    <x v="4"/>
    <m/>
    <x v="4"/>
    <x v="2"/>
    <x v="26"/>
    <n v="190801"/>
    <n v="190801"/>
    <m/>
    <n v="3"/>
    <n v="190801"/>
    <n v="12000"/>
  </r>
  <r>
    <x v="217"/>
    <x v="4"/>
    <m/>
    <x v="4"/>
    <x v="2"/>
    <x v="27"/>
    <n v="190801"/>
    <n v="190801"/>
    <m/>
    <n v="5"/>
    <n v="190801"/>
    <n v="100000"/>
  </r>
  <r>
    <x v="217"/>
    <x v="4"/>
    <m/>
    <x v="0"/>
    <x v="2"/>
    <x v="15"/>
    <n v="190801"/>
    <n v="190801"/>
    <m/>
    <n v="62"/>
    <n v="190801"/>
    <n v="1240000"/>
  </r>
  <r>
    <x v="217"/>
    <x v="4"/>
    <m/>
    <x v="0"/>
    <x v="2"/>
    <x v="16"/>
    <n v="190801"/>
    <n v="190801"/>
    <m/>
    <n v="63"/>
    <n v="190801"/>
    <n v="2205000"/>
  </r>
  <r>
    <x v="217"/>
    <x v="4"/>
    <m/>
    <x v="0"/>
    <x v="2"/>
    <x v="17"/>
    <n v="190801"/>
    <n v="190801"/>
    <m/>
    <n v="50"/>
    <n v="190801"/>
    <n v="1650000"/>
  </r>
  <r>
    <x v="217"/>
    <x v="4"/>
    <m/>
    <x v="0"/>
    <x v="2"/>
    <x v="19"/>
    <n v="190801"/>
    <n v="190801"/>
    <m/>
    <n v="58"/>
    <n v="190801"/>
    <n v="174000"/>
  </r>
  <r>
    <x v="217"/>
    <x v="4"/>
    <m/>
    <x v="5"/>
    <x v="2"/>
    <x v="28"/>
    <n v="190801"/>
    <n v="190801"/>
    <m/>
    <n v="16"/>
    <n v="190801"/>
    <n v="448000"/>
  </r>
  <r>
    <x v="217"/>
    <x v="4"/>
    <m/>
    <x v="22"/>
    <x v="2"/>
    <x v="29"/>
    <n v="190801"/>
    <n v="190801"/>
    <m/>
    <n v="10"/>
    <n v="190801"/>
    <n v="380000"/>
  </r>
  <r>
    <x v="217"/>
    <x v="4"/>
    <m/>
    <x v="19"/>
    <x v="2"/>
    <x v="22"/>
    <n v="190801"/>
    <n v="190801"/>
    <m/>
    <n v="7"/>
    <n v="190801"/>
    <n v="91000"/>
  </r>
  <r>
    <x v="217"/>
    <x v="4"/>
    <m/>
    <x v="19"/>
    <x v="2"/>
    <x v="23"/>
    <n v="190801"/>
    <n v="190801"/>
    <m/>
    <n v="1"/>
    <n v="190801"/>
    <n v="24000"/>
  </r>
  <r>
    <x v="217"/>
    <x v="4"/>
    <m/>
    <x v="19"/>
    <x v="2"/>
    <x v="24"/>
    <n v="190801"/>
    <n v="190801"/>
    <m/>
    <n v="2"/>
    <n v="190801"/>
    <n v="66000"/>
  </r>
  <r>
    <x v="218"/>
    <x v="1"/>
    <m/>
    <x v="0"/>
    <x v="1"/>
    <x v="15"/>
    <n v="190801"/>
    <n v="190801"/>
    <m/>
    <n v="2"/>
    <n v="190801"/>
    <n v="40000"/>
  </r>
  <r>
    <x v="218"/>
    <x v="1"/>
    <m/>
    <x v="0"/>
    <x v="1"/>
    <x v="16"/>
    <n v="190801"/>
    <n v="190801"/>
    <m/>
    <n v="22"/>
    <n v="190801"/>
    <n v="770000"/>
  </r>
  <r>
    <x v="218"/>
    <x v="1"/>
    <m/>
    <x v="0"/>
    <x v="7"/>
    <x v="15"/>
    <n v="190801"/>
    <n v="190801"/>
    <m/>
    <n v="7"/>
    <n v="190801"/>
    <n v="140000"/>
  </r>
  <r>
    <x v="218"/>
    <x v="1"/>
    <m/>
    <x v="25"/>
    <x v="2"/>
    <x v="34"/>
    <n v="190801"/>
    <n v="190801"/>
    <m/>
    <n v="12"/>
    <n v="190801"/>
    <n v="1188000"/>
  </r>
  <r>
    <x v="218"/>
    <x v="1"/>
    <m/>
    <x v="1"/>
    <x v="2"/>
    <x v="18"/>
    <n v="190801"/>
    <n v="190801"/>
    <m/>
    <n v="4"/>
    <n v="190801"/>
    <n v="80000"/>
  </r>
  <r>
    <x v="218"/>
    <x v="1"/>
    <m/>
    <x v="4"/>
    <x v="2"/>
    <x v="26"/>
    <n v="190801"/>
    <n v="190801"/>
    <m/>
    <n v="9"/>
    <n v="190801"/>
    <n v="36000"/>
  </r>
  <r>
    <x v="218"/>
    <x v="1"/>
    <m/>
    <x v="4"/>
    <x v="2"/>
    <x v="27"/>
    <n v="190801"/>
    <n v="190801"/>
    <m/>
    <n v="7"/>
    <n v="190801"/>
    <n v="140000"/>
  </r>
  <r>
    <x v="218"/>
    <x v="1"/>
    <m/>
    <x v="0"/>
    <x v="2"/>
    <x v="15"/>
    <n v="190801"/>
    <n v="190801"/>
    <m/>
    <n v="62"/>
    <n v="190801"/>
    <n v="1240000"/>
  </r>
  <r>
    <x v="218"/>
    <x v="1"/>
    <m/>
    <x v="0"/>
    <x v="2"/>
    <x v="16"/>
    <n v="190801"/>
    <n v="190801"/>
    <m/>
    <n v="50"/>
    <n v="190801"/>
    <n v="1750000"/>
  </r>
  <r>
    <x v="218"/>
    <x v="1"/>
    <m/>
    <x v="0"/>
    <x v="2"/>
    <x v="17"/>
    <n v="190801"/>
    <n v="190801"/>
    <m/>
    <n v="58"/>
    <n v="190801"/>
    <n v="1914000"/>
  </r>
  <r>
    <x v="218"/>
    <x v="1"/>
    <m/>
    <x v="0"/>
    <x v="2"/>
    <x v="19"/>
    <n v="190801"/>
    <n v="190801"/>
    <m/>
    <n v="77"/>
    <n v="190801"/>
    <n v="231000"/>
  </r>
  <r>
    <x v="218"/>
    <x v="1"/>
    <m/>
    <x v="5"/>
    <x v="2"/>
    <x v="28"/>
    <n v="190801"/>
    <n v="190801"/>
    <m/>
    <n v="12"/>
    <n v="190801"/>
    <n v="336000"/>
  </r>
  <r>
    <x v="218"/>
    <x v="1"/>
    <m/>
    <x v="22"/>
    <x v="2"/>
    <x v="29"/>
    <n v="190801"/>
    <n v="190801"/>
    <m/>
    <n v="8"/>
    <n v="190801"/>
    <n v="304000"/>
  </r>
  <r>
    <x v="218"/>
    <x v="1"/>
    <m/>
    <x v="19"/>
    <x v="2"/>
    <x v="22"/>
    <n v="190801"/>
    <n v="190801"/>
    <m/>
    <n v="12"/>
    <n v="190801"/>
    <n v="156000"/>
  </r>
  <r>
    <x v="218"/>
    <x v="1"/>
    <m/>
    <x v="19"/>
    <x v="2"/>
    <x v="23"/>
    <n v="190801"/>
    <n v="190801"/>
    <m/>
    <n v="5"/>
    <n v="190801"/>
    <n v="120000"/>
  </r>
  <r>
    <x v="218"/>
    <x v="1"/>
    <m/>
    <x v="19"/>
    <x v="2"/>
    <x v="24"/>
    <n v="190801"/>
    <n v="190801"/>
    <m/>
    <n v="1"/>
    <n v="190801"/>
    <n v="33000"/>
  </r>
  <r>
    <x v="218"/>
    <x v="1"/>
    <m/>
    <x v="0"/>
    <x v="4"/>
    <x v="15"/>
    <n v="190801"/>
    <n v="190801"/>
    <m/>
    <n v="38"/>
    <n v="190801"/>
    <n v="1197000"/>
  </r>
  <r>
    <x v="218"/>
    <x v="1"/>
    <m/>
    <x v="0"/>
    <x v="4"/>
    <x v="16"/>
    <n v="190801"/>
    <n v="190801"/>
    <m/>
    <n v="8"/>
    <n v="190801"/>
    <n v="352000"/>
  </r>
  <r>
    <x v="218"/>
    <x v="1"/>
    <m/>
    <x v="5"/>
    <x v="4"/>
    <x v="28"/>
    <n v="190801"/>
    <n v="190801"/>
    <m/>
    <n v="3"/>
    <n v="190801"/>
    <n v="114000"/>
  </r>
  <r>
    <x v="218"/>
    <x v="1"/>
    <m/>
    <x v="4"/>
    <x v="4"/>
    <x v="27"/>
    <n v="190801"/>
    <n v="190801"/>
    <m/>
    <n v="1"/>
    <n v="190801"/>
    <n v="36000"/>
  </r>
  <r>
    <x v="219"/>
    <x v="0"/>
    <m/>
    <x v="0"/>
    <x v="1"/>
    <x v="15"/>
    <n v="190801"/>
    <n v="190801"/>
    <m/>
    <n v="2"/>
    <n v="190801"/>
    <n v="40000"/>
  </r>
  <r>
    <x v="219"/>
    <x v="0"/>
    <m/>
    <x v="0"/>
    <x v="1"/>
    <x v="16"/>
    <n v="190801"/>
    <n v="190801"/>
    <m/>
    <n v="5"/>
    <n v="190801"/>
    <n v="175000"/>
  </r>
  <r>
    <x v="219"/>
    <x v="0"/>
    <m/>
    <x v="0"/>
    <x v="7"/>
    <x v="15"/>
    <n v="190801"/>
    <n v="190801"/>
    <m/>
    <n v="4"/>
    <n v="190801"/>
    <n v="80000"/>
  </r>
  <r>
    <x v="219"/>
    <x v="0"/>
    <m/>
    <x v="0"/>
    <x v="5"/>
    <x v="15"/>
    <n v="190801"/>
    <n v="190801"/>
    <m/>
    <n v="200"/>
    <n v="190801"/>
    <n v="2045400"/>
  </r>
  <r>
    <x v="219"/>
    <x v="0"/>
    <m/>
    <x v="25"/>
    <x v="2"/>
    <x v="34"/>
    <n v="190801"/>
    <n v="190801"/>
    <m/>
    <n v="11"/>
    <n v="190801"/>
    <n v="1089000"/>
  </r>
  <r>
    <x v="219"/>
    <x v="0"/>
    <m/>
    <x v="1"/>
    <x v="2"/>
    <x v="18"/>
    <n v="190801"/>
    <n v="190801"/>
    <m/>
    <n v="3"/>
    <n v="190801"/>
    <n v="60000"/>
  </r>
  <r>
    <x v="219"/>
    <x v="0"/>
    <m/>
    <x v="1"/>
    <x v="2"/>
    <x v="21"/>
    <n v="190801"/>
    <n v="190801"/>
    <m/>
    <n v="1"/>
    <n v="190801"/>
    <n v="35000"/>
  </r>
  <r>
    <x v="219"/>
    <x v="0"/>
    <m/>
    <x v="4"/>
    <x v="2"/>
    <x v="26"/>
    <n v="190801"/>
    <n v="190801"/>
    <m/>
    <n v="2"/>
    <n v="190801"/>
    <n v="8000"/>
  </r>
  <r>
    <x v="219"/>
    <x v="0"/>
    <m/>
    <x v="4"/>
    <x v="2"/>
    <x v="27"/>
    <n v="190801"/>
    <n v="190801"/>
    <m/>
    <n v="1"/>
    <n v="190801"/>
    <n v="20000"/>
  </r>
  <r>
    <x v="219"/>
    <x v="0"/>
    <m/>
    <x v="0"/>
    <x v="2"/>
    <x v="15"/>
    <n v="190801"/>
    <n v="190801"/>
    <m/>
    <n v="56"/>
    <n v="190801"/>
    <n v="1120000"/>
  </r>
  <r>
    <x v="219"/>
    <x v="0"/>
    <m/>
    <x v="0"/>
    <x v="2"/>
    <x v="16"/>
    <n v="190801"/>
    <n v="190801"/>
    <m/>
    <n v="52"/>
    <n v="190801"/>
    <n v="1820000"/>
  </r>
  <r>
    <x v="219"/>
    <x v="0"/>
    <m/>
    <x v="0"/>
    <x v="2"/>
    <x v="17"/>
    <n v="190801"/>
    <n v="190801"/>
    <m/>
    <n v="48"/>
    <n v="190801"/>
    <n v="1584000"/>
  </r>
  <r>
    <x v="219"/>
    <x v="0"/>
    <m/>
    <x v="0"/>
    <x v="2"/>
    <x v="19"/>
    <n v="190801"/>
    <n v="190801"/>
    <m/>
    <n v="73"/>
    <n v="190801"/>
    <n v="219000"/>
  </r>
  <r>
    <x v="219"/>
    <x v="0"/>
    <m/>
    <x v="5"/>
    <x v="2"/>
    <x v="28"/>
    <n v="190801"/>
    <n v="190801"/>
    <m/>
    <n v="13"/>
    <n v="190801"/>
    <n v="364000"/>
  </r>
  <r>
    <x v="219"/>
    <x v="0"/>
    <m/>
    <x v="22"/>
    <x v="2"/>
    <x v="29"/>
    <n v="190801"/>
    <n v="190801"/>
    <m/>
    <n v="6"/>
    <n v="190801"/>
    <n v="228000"/>
  </r>
  <r>
    <x v="219"/>
    <x v="0"/>
    <m/>
    <x v="19"/>
    <x v="2"/>
    <x v="22"/>
    <n v="190801"/>
    <n v="190801"/>
    <m/>
    <n v="11"/>
    <n v="190801"/>
    <n v="143000"/>
  </r>
  <r>
    <x v="219"/>
    <x v="0"/>
    <m/>
    <x v="19"/>
    <x v="2"/>
    <x v="23"/>
    <n v="190801"/>
    <n v="190801"/>
    <m/>
    <n v="2"/>
    <n v="190801"/>
    <n v="48000"/>
  </r>
  <r>
    <x v="219"/>
    <x v="0"/>
    <m/>
    <x v="0"/>
    <x v="4"/>
    <x v="15"/>
    <n v="190801"/>
    <n v="190801"/>
    <m/>
    <n v="11"/>
    <n v="190801"/>
    <n v="346500"/>
  </r>
  <r>
    <x v="219"/>
    <x v="0"/>
    <m/>
    <x v="0"/>
    <x v="4"/>
    <x v="16"/>
    <n v="190801"/>
    <n v="190801"/>
    <m/>
    <n v="7"/>
    <n v="190801"/>
    <n v="308000"/>
  </r>
  <r>
    <x v="219"/>
    <x v="0"/>
    <m/>
    <x v="5"/>
    <x v="4"/>
    <x v="28"/>
    <n v="190801"/>
    <n v="190801"/>
    <m/>
    <n v="1"/>
    <n v="190801"/>
    <n v="38000"/>
  </r>
  <r>
    <x v="219"/>
    <x v="0"/>
    <m/>
    <x v="19"/>
    <x v="4"/>
    <x v="22"/>
    <n v="190801"/>
    <n v="190801"/>
    <m/>
    <n v="1"/>
    <n v="190801"/>
    <n v="25000"/>
  </r>
  <r>
    <x v="220"/>
    <x v="2"/>
    <m/>
    <x v="0"/>
    <x v="1"/>
    <x v="15"/>
    <n v="190801"/>
    <n v="190801"/>
    <m/>
    <n v="1"/>
    <n v="190801"/>
    <n v="20000"/>
  </r>
  <r>
    <x v="220"/>
    <x v="2"/>
    <m/>
    <x v="0"/>
    <x v="1"/>
    <x v="16"/>
    <n v="190801"/>
    <n v="190801"/>
    <m/>
    <n v="5"/>
    <n v="190801"/>
    <n v="175000"/>
  </r>
  <r>
    <x v="220"/>
    <x v="2"/>
    <m/>
    <x v="0"/>
    <x v="7"/>
    <x v="15"/>
    <n v="190801"/>
    <n v="190801"/>
    <m/>
    <n v="2"/>
    <n v="190801"/>
    <n v="40000"/>
  </r>
  <r>
    <x v="220"/>
    <x v="2"/>
    <m/>
    <x v="25"/>
    <x v="2"/>
    <x v="34"/>
    <n v="190801"/>
    <n v="190801"/>
    <m/>
    <n v="6"/>
    <n v="190801"/>
    <n v="594000"/>
  </r>
  <r>
    <x v="220"/>
    <x v="2"/>
    <m/>
    <x v="1"/>
    <x v="2"/>
    <x v="18"/>
    <n v="190801"/>
    <n v="190801"/>
    <m/>
    <n v="1"/>
    <n v="190801"/>
    <n v="20000"/>
  </r>
  <r>
    <x v="220"/>
    <x v="2"/>
    <m/>
    <x v="4"/>
    <x v="2"/>
    <x v="26"/>
    <n v="190801"/>
    <n v="190801"/>
    <m/>
    <n v="3"/>
    <n v="190801"/>
    <n v="12000"/>
  </r>
  <r>
    <x v="220"/>
    <x v="2"/>
    <m/>
    <x v="4"/>
    <x v="2"/>
    <x v="27"/>
    <n v="190801"/>
    <n v="190801"/>
    <m/>
    <n v="6"/>
    <n v="190801"/>
    <n v="120000"/>
  </r>
  <r>
    <x v="220"/>
    <x v="2"/>
    <m/>
    <x v="0"/>
    <x v="2"/>
    <x v="15"/>
    <n v="190801"/>
    <n v="190801"/>
    <m/>
    <n v="77"/>
    <n v="190801"/>
    <n v="1540000"/>
  </r>
  <r>
    <x v="220"/>
    <x v="2"/>
    <m/>
    <x v="0"/>
    <x v="2"/>
    <x v="16"/>
    <n v="190801"/>
    <n v="190801"/>
    <m/>
    <n v="76"/>
    <n v="190801"/>
    <n v="2660000"/>
  </r>
  <r>
    <x v="220"/>
    <x v="2"/>
    <m/>
    <x v="0"/>
    <x v="2"/>
    <x v="17"/>
    <n v="190801"/>
    <n v="190801"/>
    <m/>
    <n v="77"/>
    <n v="190801"/>
    <n v="2541000"/>
  </r>
  <r>
    <x v="220"/>
    <x v="2"/>
    <m/>
    <x v="0"/>
    <x v="2"/>
    <x v="19"/>
    <n v="190801"/>
    <n v="190801"/>
    <m/>
    <n v="78"/>
    <n v="190801"/>
    <n v="234000"/>
  </r>
  <r>
    <x v="220"/>
    <x v="2"/>
    <m/>
    <x v="5"/>
    <x v="2"/>
    <x v="28"/>
    <n v="190801"/>
    <n v="190801"/>
    <m/>
    <n v="10"/>
    <n v="190801"/>
    <n v="280000"/>
  </r>
  <r>
    <x v="220"/>
    <x v="2"/>
    <m/>
    <x v="22"/>
    <x v="2"/>
    <x v="29"/>
    <n v="190801"/>
    <n v="190801"/>
    <m/>
    <n v="2"/>
    <n v="190801"/>
    <n v="76000"/>
  </r>
  <r>
    <x v="220"/>
    <x v="2"/>
    <m/>
    <x v="0"/>
    <x v="4"/>
    <x v="15"/>
    <n v="190801"/>
    <n v="190801"/>
    <m/>
    <n v="18"/>
    <n v="190801"/>
    <n v="567000"/>
  </r>
  <r>
    <x v="220"/>
    <x v="2"/>
    <m/>
    <x v="0"/>
    <x v="4"/>
    <x v="16"/>
    <n v="190801"/>
    <n v="190801"/>
    <m/>
    <n v="10"/>
    <n v="190801"/>
    <n v="440000"/>
  </r>
  <r>
    <x v="220"/>
    <x v="2"/>
    <m/>
    <x v="5"/>
    <x v="4"/>
    <x v="28"/>
    <n v="190801"/>
    <n v="190801"/>
    <m/>
    <n v="3"/>
    <n v="190801"/>
    <n v="114000"/>
  </r>
  <r>
    <x v="220"/>
    <x v="2"/>
    <m/>
    <x v="19"/>
    <x v="2"/>
    <x v="22"/>
    <n v="190801"/>
    <n v="190801"/>
    <m/>
    <n v="7"/>
    <n v="190801"/>
    <n v="91000"/>
  </r>
  <r>
    <x v="220"/>
    <x v="2"/>
    <m/>
    <x v="19"/>
    <x v="2"/>
    <x v="23"/>
    <n v="190801"/>
    <n v="190801"/>
    <m/>
    <n v="1"/>
    <n v="190801"/>
    <n v="24000"/>
  </r>
  <r>
    <x v="220"/>
    <x v="2"/>
    <m/>
    <x v="19"/>
    <x v="2"/>
    <x v="24"/>
    <n v="190801"/>
    <n v="190801"/>
    <m/>
    <n v="1"/>
    <n v="190801"/>
    <n v="33000"/>
  </r>
  <r>
    <x v="221"/>
    <x v="5"/>
    <m/>
    <x v="0"/>
    <x v="7"/>
    <x v="15"/>
    <n v="190801"/>
    <n v="190801"/>
    <m/>
    <n v="2"/>
    <n v="190801"/>
    <n v="40000"/>
  </r>
  <r>
    <x v="221"/>
    <x v="5"/>
    <m/>
    <x v="25"/>
    <x v="2"/>
    <x v="34"/>
    <n v="190801"/>
    <n v="190801"/>
    <m/>
    <n v="2"/>
    <n v="190801"/>
    <n v="198000"/>
  </r>
  <r>
    <x v="221"/>
    <x v="5"/>
    <m/>
    <x v="1"/>
    <x v="2"/>
    <x v="18"/>
    <n v="190801"/>
    <n v="190801"/>
    <m/>
    <n v="2"/>
    <n v="190801"/>
    <n v="40000"/>
  </r>
  <r>
    <x v="221"/>
    <x v="5"/>
    <m/>
    <x v="1"/>
    <x v="2"/>
    <x v="21"/>
    <n v="190801"/>
    <n v="190801"/>
    <m/>
    <n v="2"/>
    <n v="190801"/>
    <n v="70000"/>
  </r>
  <r>
    <x v="221"/>
    <x v="5"/>
    <m/>
    <x v="4"/>
    <x v="2"/>
    <x v="26"/>
    <n v="190801"/>
    <n v="190801"/>
    <m/>
    <n v="3"/>
    <n v="190801"/>
    <n v="12000"/>
  </r>
  <r>
    <x v="221"/>
    <x v="5"/>
    <m/>
    <x v="4"/>
    <x v="2"/>
    <x v="27"/>
    <n v="190801"/>
    <n v="190801"/>
    <m/>
    <n v="3"/>
    <n v="190801"/>
    <n v="60000"/>
  </r>
  <r>
    <x v="221"/>
    <x v="5"/>
    <m/>
    <x v="0"/>
    <x v="2"/>
    <x v="15"/>
    <n v="190801"/>
    <n v="190801"/>
    <m/>
    <n v="52"/>
    <n v="190801"/>
    <n v="1040000"/>
  </r>
  <r>
    <x v="221"/>
    <x v="5"/>
    <m/>
    <x v="0"/>
    <x v="2"/>
    <x v="16"/>
    <n v="190801"/>
    <n v="190801"/>
    <m/>
    <n v="35"/>
    <n v="190801"/>
    <n v="1225000"/>
  </r>
  <r>
    <x v="221"/>
    <x v="5"/>
    <m/>
    <x v="0"/>
    <x v="2"/>
    <x v="17"/>
    <n v="190801"/>
    <n v="190801"/>
    <m/>
    <n v="60"/>
    <n v="190801"/>
    <n v="1980000"/>
  </r>
  <r>
    <x v="221"/>
    <x v="5"/>
    <m/>
    <x v="0"/>
    <x v="2"/>
    <x v="19"/>
    <n v="190801"/>
    <n v="190801"/>
    <m/>
    <n v="46"/>
    <n v="190801"/>
    <n v="138000"/>
  </r>
  <r>
    <x v="221"/>
    <x v="5"/>
    <m/>
    <x v="5"/>
    <x v="2"/>
    <x v="28"/>
    <n v="190801"/>
    <n v="190801"/>
    <m/>
    <n v="16"/>
    <n v="190801"/>
    <n v="448000"/>
  </r>
  <r>
    <x v="221"/>
    <x v="5"/>
    <m/>
    <x v="22"/>
    <x v="2"/>
    <x v="29"/>
    <n v="190801"/>
    <n v="190801"/>
    <m/>
    <n v="6"/>
    <n v="190801"/>
    <n v="228000"/>
  </r>
  <r>
    <x v="221"/>
    <x v="5"/>
    <m/>
    <x v="19"/>
    <x v="2"/>
    <x v="22"/>
    <n v="190801"/>
    <n v="190801"/>
    <m/>
    <n v="7"/>
    <n v="190801"/>
    <n v="91000"/>
  </r>
  <r>
    <x v="221"/>
    <x v="5"/>
    <m/>
    <x v="19"/>
    <x v="2"/>
    <x v="24"/>
    <n v="190801"/>
    <n v="190801"/>
    <m/>
    <n v="1"/>
    <n v="190801"/>
    <n v="33000"/>
  </r>
  <r>
    <x v="222"/>
    <x v="6"/>
    <m/>
    <x v="0"/>
    <x v="7"/>
    <x v="15"/>
    <n v="190801"/>
    <n v="190801"/>
    <m/>
    <n v="6"/>
    <n v="190801"/>
    <n v="120000"/>
  </r>
  <r>
    <x v="222"/>
    <x v="6"/>
    <m/>
    <x v="25"/>
    <x v="2"/>
    <x v="34"/>
    <n v="190801"/>
    <n v="190801"/>
    <m/>
    <n v="4"/>
    <n v="190801"/>
    <n v="396000"/>
  </r>
  <r>
    <x v="222"/>
    <x v="6"/>
    <m/>
    <x v="1"/>
    <x v="2"/>
    <x v="18"/>
    <n v="190801"/>
    <n v="190801"/>
    <m/>
    <n v="2"/>
    <n v="190801"/>
    <n v="40000"/>
  </r>
  <r>
    <x v="222"/>
    <x v="6"/>
    <m/>
    <x v="4"/>
    <x v="2"/>
    <x v="27"/>
    <n v="190801"/>
    <n v="190801"/>
    <m/>
    <n v="1"/>
    <n v="190801"/>
    <n v="20000"/>
  </r>
  <r>
    <x v="222"/>
    <x v="6"/>
    <m/>
    <x v="0"/>
    <x v="2"/>
    <x v="15"/>
    <n v="190801"/>
    <n v="190801"/>
    <m/>
    <n v="59"/>
    <n v="190801"/>
    <n v="1180000"/>
  </r>
  <r>
    <x v="222"/>
    <x v="6"/>
    <m/>
    <x v="0"/>
    <x v="2"/>
    <x v="16"/>
    <n v="190801"/>
    <n v="190801"/>
    <m/>
    <n v="61"/>
    <n v="190801"/>
    <n v="2135000"/>
  </r>
  <r>
    <x v="222"/>
    <x v="6"/>
    <m/>
    <x v="0"/>
    <x v="2"/>
    <x v="17"/>
    <n v="190801"/>
    <n v="190801"/>
    <m/>
    <n v="58"/>
    <n v="190801"/>
    <n v="1914000"/>
  </r>
  <r>
    <x v="222"/>
    <x v="6"/>
    <m/>
    <x v="0"/>
    <x v="2"/>
    <x v="19"/>
    <n v="190801"/>
    <n v="190801"/>
    <m/>
    <n v="67"/>
    <n v="190801"/>
    <n v="201000"/>
  </r>
  <r>
    <x v="222"/>
    <x v="6"/>
    <m/>
    <x v="5"/>
    <x v="2"/>
    <x v="28"/>
    <n v="190801"/>
    <n v="190801"/>
    <m/>
    <n v="12"/>
    <n v="190801"/>
    <n v="336000"/>
  </r>
  <r>
    <x v="222"/>
    <x v="6"/>
    <m/>
    <x v="22"/>
    <x v="2"/>
    <x v="29"/>
    <n v="190801"/>
    <n v="190801"/>
    <m/>
    <n v="5"/>
    <n v="190801"/>
    <n v="190000"/>
  </r>
  <r>
    <x v="222"/>
    <x v="6"/>
    <m/>
    <x v="19"/>
    <x v="2"/>
    <x v="22"/>
    <n v="190801"/>
    <n v="190801"/>
    <m/>
    <n v="7"/>
    <n v="190801"/>
    <n v="91000"/>
  </r>
  <r>
    <x v="222"/>
    <x v="6"/>
    <m/>
    <x v="19"/>
    <x v="2"/>
    <x v="23"/>
    <n v="190801"/>
    <n v="190801"/>
    <m/>
    <n v="1"/>
    <n v="190801"/>
    <n v="24000"/>
  </r>
  <r>
    <x v="222"/>
    <x v="6"/>
    <m/>
    <x v="0"/>
    <x v="6"/>
    <x v="15"/>
    <n v="190801"/>
    <n v="190801"/>
    <m/>
    <n v="375"/>
    <n v="190801"/>
    <n v="3400500"/>
  </r>
  <r>
    <x v="222"/>
    <x v="6"/>
    <m/>
    <x v="0"/>
    <x v="6"/>
    <x v="17"/>
    <n v="190801"/>
    <n v="190801"/>
    <m/>
    <n v="15"/>
    <n v="190801"/>
    <n v="237270"/>
  </r>
  <r>
    <x v="222"/>
    <x v="6"/>
    <m/>
    <x v="4"/>
    <x v="6"/>
    <x v="26"/>
    <n v="190801"/>
    <n v="190801"/>
    <m/>
    <n v="718"/>
    <n v="190801"/>
    <n v="770414"/>
  </r>
  <r>
    <x v="222"/>
    <x v="6"/>
    <m/>
    <x v="26"/>
    <x v="6"/>
    <x v="35"/>
    <n v="190801"/>
    <n v="190801"/>
    <m/>
    <n v="85"/>
    <n v="190801"/>
    <n v="1456135"/>
  </r>
  <r>
    <x v="222"/>
    <x v="6"/>
    <m/>
    <x v="22"/>
    <x v="6"/>
    <x v="29"/>
    <n v="190801"/>
    <n v="190801"/>
    <m/>
    <n v="8"/>
    <n v="190801"/>
    <n v="157528"/>
  </r>
  <r>
    <x v="222"/>
    <x v="6"/>
    <m/>
    <x v="24"/>
    <x v="6"/>
    <x v="31"/>
    <n v="190801"/>
    <n v="190801"/>
    <m/>
    <n v="82"/>
    <n v="190801"/>
    <n v="1219914"/>
  </r>
  <r>
    <x v="222"/>
    <x v="6"/>
    <m/>
    <x v="23"/>
    <x v="6"/>
    <x v="30"/>
    <n v="190801"/>
    <n v="190801"/>
    <m/>
    <n v="69"/>
    <n v="190801"/>
    <n v="480516"/>
  </r>
  <r>
    <x v="222"/>
    <x v="6"/>
    <m/>
    <x v="20"/>
    <x v="6"/>
    <x v="25"/>
    <n v="190801"/>
    <n v="190801"/>
    <m/>
    <n v="15"/>
    <n v="190801"/>
    <n v="145740"/>
  </r>
  <r>
    <x v="222"/>
    <x v="6"/>
    <m/>
    <x v="1"/>
    <x v="6"/>
    <x v="18"/>
    <n v="190801"/>
    <n v="190801"/>
    <m/>
    <n v="12"/>
    <n v="190801"/>
    <n v="110460"/>
  </r>
  <r>
    <x v="222"/>
    <x v="6"/>
    <m/>
    <x v="19"/>
    <x v="6"/>
    <x v="22"/>
    <n v="190801"/>
    <n v="190801"/>
    <m/>
    <n v="4"/>
    <n v="190801"/>
    <n v="27164"/>
  </r>
  <r>
    <x v="222"/>
    <x v="6"/>
    <m/>
    <x v="27"/>
    <x v="6"/>
    <x v="36"/>
    <n v="190801"/>
    <n v="190801"/>
    <m/>
    <n v="1239"/>
    <n v="190801"/>
    <n v="11717223"/>
  </r>
  <r>
    <x v="223"/>
    <x v="3"/>
    <m/>
    <x v="0"/>
    <x v="1"/>
    <x v="15"/>
    <n v="190801"/>
    <n v="190801"/>
    <m/>
    <n v="1"/>
    <n v="190801"/>
    <n v="20000"/>
  </r>
  <r>
    <x v="223"/>
    <x v="3"/>
    <m/>
    <x v="0"/>
    <x v="1"/>
    <x v="16"/>
    <n v="190801"/>
    <n v="190801"/>
    <m/>
    <n v="9"/>
    <n v="190801"/>
    <n v="315000"/>
  </r>
  <r>
    <x v="223"/>
    <x v="3"/>
    <m/>
    <x v="0"/>
    <x v="7"/>
    <x v="15"/>
    <n v="190801"/>
    <n v="190801"/>
    <m/>
    <n v="5"/>
    <n v="190801"/>
    <n v="100000"/>
  </r>
  <r>
    <x v="223"/>
    <x v="3"/>
    <m/>
    <x v="0"/>
    <x v="5"/>
    <x v="15"/>
    <n v="190801"/>
    <n v="190801"/>
    <m/>
    <n v="300"/>
    <n v="190801"/>
    <n v="3068100"/>
  </r>
  <r>
    <x v="223"/>
    <x v="3"/>
    <m/>
    <x v="19"/>
    <x v="5"/>
    <x v="22"/>
    <n v="190801"/>
    <n v="190801"/>
    <m/>
    <n v="20"/>
    <n v="190801"/>
    <n v="130900"/>
  </r>
  <r>
    <x v="223"/>
    <x v="3"/>
    <m/>
    <x v="22"/>
    <x v="5"/>
    <x v="29"/>
    <n v="190801"/>
    <n v="190801"/>
    <m/>
    <n v="20"/>
    <n v="190801"/>
    <n v="310900"/>
  </r>
  <r>
    <x v="223"/>
    <x v="3"/>
    <m/>
    <x v="25"/>
    <x v="2"/>
    <x v="34"/>
    <n v="190801"/>
    <n v="190801"/>
    <m/>
    <n v="11"/>
    <n v="190801"/>
    <n v="1089000"/>
  </r>
  <r>
    <x v="223"/>
    <x v="3"/>
    <m/>
    <x v="1"/>
    <x v="2"/>
    <x v="18"/>
    <n v="190801"/>
    <n v="190801"/>
    <m/>
    <n v="2"/>
    <n v="190801"/>
    <n v="40000"/>
  </r>
  <r>
    <x v="223"/>
    <x v="3"/>
    <m/>
    <x v="4"/>
    <x v="2"/>
    <x v="26"/>
    <n v="190801"/>
    <n v="190801"/>
    <m/>
    <n v="1"/>
    <n v="190801"/>
    <n v="4000"/>
  </r>
  <r>
    <x v="223"/>
    <x v="3"/>
    <m/>
    <x v="4"/>
    <x v="2"/>
    <x v="27"/>
    <n v="190801"/>
    <n v="190801"/>
    <m/>
    <n v="5"/>
    <n v="190801"/>
    <n v="100000"/>
  </r>
  <r>
    <x v="223"/>
    <x v="3"/>
    <m/>
    <x v="0"/>
    <x v="2"/>
    <x v="15"/>
    <n v="190801"/>
    <n v="190801"/>
    <m/>
    <n v="60"/>
    <n v="190801"/>
    <n v="1200000"/>
  </r>
  <r>
    <x v="223"/>
    <x v="3"/>
    <m/>
    <x v="0"/>
    <x v="2"/>
    <x v="16"/>
    <n v="190801"/>
    <n v="190801"/>
    <m/>
    <n v="254"/>
    <n v="190801"/>
    <n v="8890000"/>
  </r>
  <r>
    <x v="223"/>
    <x v="3"/>
    <m/>
    <x v="0"/>
    <x v="2"/>
    <x v="17"/>
    <n v="190801"/>
    <n v="190801"/>
    <m/>
    <n v="63"/>
    <n v="190801"/>
    <n v="2079000"/>
  </r>
  <r>
    <x v="223"/>
    <x v="3"/>
    <m/>
    <x v="0"/>
    <x v="2"/>
    <x v="19"/>
    <n v="190801"/>
    <n v="190801"/>
    <m/>
    <n v="83"/>
    <n v="190801"/>
    <n v="249000"/>
  </r>
  <r>
    <x v="223"/>
    <x v="3"/>
    <m/>
    <x v="5"/>
    <x v="2"/>
    <x v="28"/>
    <n v="190801"/>
    <n v="190801"/>
    <m/>
    <n v="19"/>
    <n v="190801"/>
    <n v="532000"/>
  </r>
  <r>
    <x v="223"/>
    <x v="3"/>
    <m/>
    <x v="22"/>
    <x v="2"/>
    <x v="29"/>
    <n v="190801"/>
    <n v="190801"/>
    <m/>
    <n v="7"/>
    <n v="190801"/>
    <n v="266000"/>
  </r>
  <r>
    <x v="223"/>
    <x v="3"/>
    <m/>
    <x v="19"/>
    <x v="2"/>
    <x v="22"/>
    <n v="190801"/>
    <n v="190801"/>
    <m/>
    <n v="5"/>
    <n v="190801"/>
    <n v="65000"/>
  </r>
  <r>
    <x v="223"/>
    <x v="3"/>
    <m/>
    <x v="19"/>
    <x v="2"/>
    <x v="23"/>
    <n v="190801"/>
    <n v="190801"/>
    <m/>
    <n v="1"/>
    <n v="190801"/>
    <n v="24000"/>
  </r>
  <r>
    <x v="223"/>
    <x v="3"/>
    <m/>
    <x v="19"/>
    <x v="2"/>
    <x v="24"/>
    <n v="190801"/>
    <n v="190801"/>
    <m/>
    <n v="2"/>
    <n v="190801"/>
    <n v="66000"/>
  </r>
  <r>
    <x v="223"/>
    <x v="3"/>
    <m/>
    <x v="0"/>
    <x v="4"/>
    <x v="15"/>
    <n v="190801"/>
    <n v="190801"/>
    <m/>
    <n v="57"/>
    <n v="190801"/>
    <n v="1795500"/>
  </r>
  <r>
    <x v="223"/>
    <x v="3"/>
    <m/>
    <x v="0"/>
    <x v="4"/>
    <x v="16"/>
    <n v="190801"/>
    <n v="190801"/>
    <m/>
    <n v="37"/>
    <n v="190801"/>
    <n v="1628000"/>
  </r>
  <r>
    <x v="223"/>
    <x v="3"/>
    <m/>
    <x v="5"/>
    <x v="4"/>
    <x v="28"/>
    <n v="190801"/>
    <n v="190801"/>
    <m/>
    <n v="6"/>
    <n v="190801"/>
    <n v="228000"/>
  </r>
  <r>
    <x v="223"/>
    <x v="3"/>
    <m/>
    <x v="1"/>
    <x v="4"/>
    <x v="18"/>
    <n v="190801"/>
    <n v="190801"/>
    <m/>
    <n v="2"/>
    <n v="190801"/>
    <n v="63000"/>
  </r>
  <r>
    <x v="224"/>
    <x v="4"/>
    <m/>
    <x v="0"/>
    <x v="1"/>
    <x v="16"/>
    <n v="190801"/>
    <n v="190801"/>
    <m/>
    <n v="5"/>
    <n v="190801"/>
    <n v="175000"/>
  </r>
  <r>
    <x v="224"/>
    <x v="4"/>
    <m/>
    <x v="25"/>
    <x v="2"/>
    <x v="34"/>
    <n v="190801"/>
    <n v="190801"/>
    <m/>
    <n v="7"/>
    <n v="190801"/>
    <n v="693000"/>
  </r>
  <r>
    <x v="224"/>
    <x v="4"/>
    <m/>
    <x v="1"/>
    <x v="2"/>
    <x v="18"/>
    <n v="190801"/>
    <n v="190801"/>
    <m/>
    <n v="3"/>
    <n v="190801"/>
    <n v="60000"/>
  </r>
  <r>
    <x v="224"/>
    <x v="4"/>
    <m/>
    <x v="4"/>
    <x v="2"/>
    <x v="26"/>
    <n v="190801"/>
    <n v="190801"/>
    <m/>
    <n v="6"/>
    <n v="190801"/>
    <n v="24000"/>
  </r>
  <r>
    <x v="224"/>
    <x v="4"/>
    <m/>
    <x v="4"/>
    <x v="2"/>
    <x v="27"/>
    <n v="190801"/>
    <n v="190801"/>
    <m/>
    <n v="4"/>
    <n v="190801"/>
    <n v="80000"/>
  </r>
  <r>
    <x v="224"/>
    <x v="4"/>
    <m/>
    <x v="0"/>
    <x v="2"/>
    <x v="15"/>
    <n v="190801"/>
    <n v="190801"/>
    <m/>
    <n v="79"/>
    <n v="190801"/>
    <n v="1580000"/>
  </r>
  <r>
    <x v="224"/>
    <x v="4"/>
    <m/>
    <x v="0"/>
    <x v="2"/>
    <x v="16"/>
    <n v="190801"/>
    <n v="190801"/>
    <m/>
    <n v="37"/>
    <n v="190801"/>
    <n v="1295000"/>
  </r>
  <r>
    <x v="224"/>
    <x v="4"/>
    <m/>
    <x v="0"/>
    <x v="2"/>
    <x v="17"/>
    <n v="190801"/>
    <n v="190801"/>
    <m/>
    <n v="56"/>
    <n v="190801"/>
    <n v="1848000"/>
  </r>
  <r>
    <x v="224"/>
    <x v="4"/>
    <m/>
    <x v="0"/>
    <x v="2"/>
    <x v="19"/>
    <n v="190801"/>
    <n v="190801"/>
    <m/>
    <n v="60"/>
    <n v="190801"/>
    <n v="180000"/>
  </r>
  <r>
    <x v="224"/>
    <x v="4"/>
    <m/>
    <x v="5"/>
    <x v="2"/>
    <x v="28"/>
    <n v="190801"/>
    <n v="190801"/>
    <m/>
    <n v="16"/>
    <n v="190801"/>
    <n v="448000"/>
  </r>
  <r>
    <x v="224"/>
    <x v="4"/>
    <m/>
    <x v="22"/>
    <x v="2"/>
    <x v="29"/>
    <n v="190801"/>
    <n v="190801"/>
    <m/>
    <n v="5"/>
    <n v="190801"/>
    <n v="190000"/>
  </r>
  <r>
    <x v="224"/>
    <x v="4"/>
    <m/>
    <x v="0"/>
    <x v="4"/>
    <x v="15"/>
    <n v="190801"/>
    <n v="190801"/>
    <m/>
    <n v="18"/>
    <n v="190801"/>
    <n v="567000"/>
  </r>
  <r>
    <x v="224"/>
    <x v="4"/>
    <m/>
    <x v="0"/>
    <x v="4"/>
    <x v="16"/>
    <n v="190801"/>
    <n v="190801"/>
    <m/>
    <n v="6"/>
    <n v="190801"/>
    <n v="264000"/>
  </r>
  <r>
    <x v="224"/>
    <x v="4"/>
    <m/>
    <x v="5"/>
    <x v="4"/>
    <x v="28"/>
    <n v="190801"/>
    <n v="190801"/>
    <m/>
    <n v="4"/>
    <n v="190801"/>
    <n v="152000"/>
  </r>
  <r>
    <x v="224"/>
    <x v="4"/>
    <m/>
    <x v="1"/>
    <x v="4"/>
    <x v="18"/>
    <n v="190801"/>
    <n v="190801"/>
    <m/>
    <n v="1"/>
    <n v="190801"/>
    <n v="31500"/>
  </r>
  <r>
    <x v="224"/>
    <x v="4"/>
    <m/>
    <x v="19"/>
    <x v="2"/>
    <x v="22"/>
    <n v="190801"/>
    <n v="190801"/>
    <m/>
    <n v="12"/>
    <n v="190801"/>
    <n v="156000"/>
  </r>
  <r>
    <x v="224"/>
    <x v="4"/>
    <m/>
    <x v="19"/>
    <x v="2"/>
    <x v="23"/>
    <n v="190801"/>
    <n v="190801"/>
    <m/>
    <n v="3"/>
    <n v="190801"/>
    <n v="72000"/>
  </r>
  <r>
    <x v="225"/>
    <x v="1"/>
    <m/>
    <x v="0"/>
    <x v="1"/>
    <x v="16"/>
    <n v="190801"/>
    <n v="190801"/>
    <m/>
    <n v="8"/>
    <n v="190801"/>
    <n v="280000"/>
  </r>
  <r>
    <x v="225"/>
    <x v="1"/>
    <m/>
    <x v="0"/>
    <x v="7"/>
    <x v="15"/>
    <n v="190801"/>
    <n v="190801"/>
    <m/>
    <n v="1"/>
    <n v="190801"/>
    <n v="20000"/>
  </r>
  <r>
    <x v="225"/>
    <x v="1"/>
    <m/>
    <x v="25"/>
    <x v="2"/>
    <x v="34"/>
    <n v="190801"/>
    <n v="190801"/>
    <m/>
    <n v="6"/>
    <n v="190801"/>
    <n v="594000"/>
  </r>
  <r>
    <x v="225"/>
    <x v="1"/>
    <m/>
    <x v="1"/>
    <x v="2"/>
    <x v="18"/>
    <n v="190801"/>
    <n v="190801"/>
    <m/>
    <n v="5"/>
    <n v="190801"/>
    <n v="100000"/>
  </r>
  <r>
    <x v="225"/>
    <x v="1"/>
    <m/>
    <x v="4"/>
    <x v="2"/>
    <x v="26"/>
    <n v="190801"/>
    <n v="190801"/>
    <m/>
    <n v="1"/>
    <n v="190801"/>
    <n v="4000"/>
  </r>
  <r>
    <x v="225"/>
    <x v="1"/>
    <m/>
    <x v="4"/>
    <x v="2"/>
    <x v="27"/>
    <n v="190801"/>
    <n v="190801"/>
    <m/>
    <n v="4"/>
    <n v="190801"/>
    <n v="80000"/>
  </r>
  <r>
    <x v="225"/>
    <x v="1"/>
    <m/>
    <x v="0"/>
    <x v="2"/>
    <x v="15"/>
    <n v="190801"/>
    <n v="190801"/>
    <m/>
    <n v="67"/>
    <n v="190801"/>
    <n v="1340000"/>
  </r>
  <r>
    <x v="225"/>
    <x v="1"/>
    <m/>
    <x v="0"/>
    <x v="2"/>
    <x v="16"/>
    <n v="190801"/>
    <n v="190801"/>
    <m/>
    <n v="59"/>
    <n v="190801"/>
    <n v="2065000"/>
  </r>
  <r>
    <x v="225"/>
    <x v="1"/>
    <m/>
    <x v="0"/>
    <x v="2"/>
    <x v="17"/>
    <n v="190801"/>
    <n v="190801"/>
    <m/>
    <n v="60"/>
    <n v="190801"/>
    <n v="1980000"/>
  </r>
  <r>
    <x v="225"/>
    <x v="1"/>
    <m/>
    <x v="0"/>
    <x v="2"/>
    <x v="19"/>
    <n v="190801"/>
    <n v="190801"/>
    <m/>
    <n v="73"/>
    <n v="190801"/>
    <n v="219000"/>
  </r>
  <r>
    <x v="225"/>
    <x v="1"/>
    <m/>
    <x v="5"/>
    <x v="2"/>
    <x v="28"/>
    <n v="190801"/>
    <n v="190801"/>
    <m/>
    <n v="18"/>
    <n v="190801"/>
    <n v="504000"/>
  </r>
  <r>
    <x v="225"/>
    <x v="1"/>
    <m/>
    <x v="22"/>
    <x v="2"/>
    <x v="29"/>
    <n v="190801"/>
    <n v="190801"/>
    <m/>
    <n v="8"/>
    <n v="190801"/>
    <n v="304000"/>
  </r>
  <r>
    <x v="225"/>
    <x v="1"/>
    <m/>
    <x v="19"/>
    <x v="2"/>
    <x v="22"/>
    <n v="190801"/>
    <n v="190801"/>
    <m/>
    <n v="11"/>
    <n v="190801"/>
    <n v="143000"/>
  </r>
  <r>
    <x v="225"/>
    <x v="1"/>
    <m/>
    <x v="19"/>
    <x v="2"/>
    <x v="23"/>
    <n v="190801"/>
    <n v="190801"/>
    <m/>
    <n v="2"/>
    <n v="190801"/>
    <n v="48000"/>
  </r>
  <r>
    <x v="225"/>
    <x v="1"/>
    <m/>
    <x v="19"/>
    <x v="2"/>
    <x v="24"/>
    <n v="190801"/>
    <n v="190801"/>
    <m/>
    <n v="1"/>
    <n v="190801"/>
    <n v="33000"/>
  </r>
  <r>
    <x v="225"/>
    <x v="1"/>
    <m/>
    <x v="0"/>
    <x v="4"/>
    <x v="15"/>
    <n v="190801"/>
    <n v="190801"/>
    <m/>
    <n v="21"/>
    <n v="190801"/>
    <n v="661500"/>
  </r>
  <r>
    <x v="225"/>
    <x v="1"/>
    <m/>
    <x v="0"/>
    <x v="4"/>
    <x v="16"/>
    <n v="190801"/>
    <n v="190801"/>
    <m/>
    <n v="13"/>
    <n v="190801"/>
    <n v="572000"/>
  </r>
  <r>
    <x v="225"/>
    <x v="1"/>
    <m/>
    <x v="5"/>
    <x v="4"/>
    <x v="28"/>
    <n v="190801"/>
    <n v="190801"/>
    <m/>
    <n v="5"/>
    <n v="190801"/>
    <n v="190000"/>
  </r>
  <r>
    <x v="225"/>
    <x v="1"/>
    <m/>
    <x v="1"/>
    <x v="4"/>
    <x v="18"/>
    <n v="190801"/>
    <n v="190801"/>
    <m/>
    <n v="4"/>
    <n v="190801"/>
    <n v="126000"/>
  </r>
  <r>
    <x v="225"/>
    <x v="1"/>
    <m/>
    <x v="19"/>
    <x v="4"/>
    <x v="22"/>
    <n v="190801"/>
    <n v="190801"/>
    <m/>
    <n v="2"/>
    <n v="190801"/>
    <n v="50000"/>
  </r>
  <r>
    <x v="226"/>
    <x v="0"/>
    <m/>
    <x v="0"/>
    <x v="1"/>
    <x v="16"/>
    <n v="190801"/>
    <n v="190801"/>
    <m/>
    <n v="3"/>
    <n v="190801"/>
    <n v="105000"/>
  </r>
  <r>
    <x v="226"/>
    <x v="0"/>
    <m/>
    <x v="0"/>
    <x v="5"/>
    <x v="15"/>
    <n v="190801"/>
    <n v="190801"/>
    <m/>
    <n v="500"/>
    <n v="190801"/>
    <n v="5113500"/>
  </r>
  <r>
    <x v="226"/>
    <x v="0"/>
    <m/>
    <x v="5"/>
    <x v="5"/>
    <x v="28"/>
    <n v="190801"/>
    <n v="190801"/>
    <m/>
    <n v="20"/>
    <n v="190801"/>
    <n v="270000"/>
  </r>
  <r>
    <x v="226"/>
    <x v="0"/>
    <m/>
    <x v="4"/>
    <x v="5"/>
    <x v="27"/>
    <n v="190801"/>
    <n v="190801"/>
    <m/>
    <n v="8"/>
    <n v="190801"/>
    <n v="130912"/>
  </r>
  <r>
    <x v="226"/>
    <x v="0"/>
    <m/>
    <x v="25"/>
    <x v="2"/>
    <x v="34"/>
    <n v="190801"/>
    <n v="190801"/>
    <m/>
    <n v="8"/>
    <n v="190801"/>
    <n v="792000"/>
  </r>
  <r>
    <x v="226"/>
    <x v="0"/>
    <m/>
    <x v="1"/>
    <x v="2"/>
    <x v="18"/>
    <n v="190801"/>
    <n v="190801"/>
    <m/>
    <n v="3"/>
    <n v="190801"/>
    <n v="60000"/>
  </r>
  <r>
    <x v="226"/>
    <x v="0"/>
    <m/>
    <x v="1"/>
    <x v="2"/>
    <x v="21"/>
    <n v="190801"/>
    <n v="190801"/>
    <m/>
    <n v="1"/>
    <n v="190801"/>
    <n v="35000"/>
  </r>
  <r>
    <x v="226"/>
    <x v="0"/>
    <m/>
    <x v="4"/>
    <x v="2"/>
    <x v="26"/>
    <n v="190801"/>
    <n v="190801"/>
    <m/>
    <n v="17"/>
    <n v="190801"/>
    <n v="68000"/>
  </r>
  <r>
    <x v="226"/>
    <x v="0"/>
    <m/>
    <x v="4"/>
    <x v="2"/>
    <x v="27"/>
    <n v="190801"/>
    <n v="190801"/>
    <m/>
    <n v="2"/>
    <n v="190801"/>
    <n v="40000"/>
  </r>
  <r>
    <x v="226"/>
    <x v="0"/>
    <m/>
    <x v="0"/>
    <x v="2"/>
    <x v="15"/>
    <n v="190801"/>
    <n v="190801"/>
    <m/>
    <n v="74"/>
    <n v="190801"/>
    <n v="1480000"/>
  </r>
  <r>
    <x v="226"/>
    <x v="0"/>
    <m/>
    <x v="0"/>
    <x v="2"/>
    <x v="16"/>
    <n v="190801"/>
    <n v="190801"/>
    <m/>
    <n v="53"/>
    <n v="190801"/>
    <n v="1855000"/>
  </r>
  <r>
    <x v="226"/>
    <x v="0"/>
    <m/>
    <x v="0"/>
    <x v="2"/>
    <x v="17"/>
    <n v="190801"/>
    <n v="190801"/>
    <m/>
    <n v="50"/>
    <n v="190801"/>
    <n v="1650000"/>
  </r>
  <r>
    <x v="226"/>
    <x v="0"/>
    <m/>
    <x v="0"/>
    <x v="2"/>
    <x v="19"/>
    <n v="190801"/>
    <n v="190801"/>
    <m/>
    <n v="70"/>
    <n v="190801"/>
    <n v="210000"/>
  </r>
  <r>
    <x v="226"/>
    <x v="0"/>
    <m/>
    <x v="5"/>
    <x v="2"/>
    <x v="28"/>
    <n v="190801"/>
    <n v="190801"/>
    <m/>
    <n v="18"/>
    <n v="190801"/>
    <n v="504000"/>
  </r>
  <r>
    <x v="226"/>
    <x v="0"/>
    <m/>
    <x v="22"/>
    <x v="2"/>
    <x v="29"/>
    <n v="190801"/>
    <n v="190801"/>
    <m/>
    <n v="4"/>
    <n v="190801"/>
    <n v="152000"/>
  </r>
  <r>
    <x v="226"/>
    <x v="0"/>
    <m/>
    <x v="19"/>
    <x v="2"/>
    <x v="22"/>
    <n v="190801"/>
    <n v="190801"/>
    <m/>
    <n v="9"/>
    <n v="190801"/>
    <n v="117000"/>
  </r>
  <r>
    <x v="226"/>
    <x v="0"/>
    <m/>
    <x v="19"/>
    <x v="2"/>
    <x v="24"/>
    <n v="190801"/>
    <n v="190801"/>
    <m/>
    <n v="1"/>
    <n v="190801"/>
    <n v="33000"/>
  </r>
  <r>
    <x v="226"/>
    <x v="0"/>
    <m/>
    <x v="0"/>
    <x v="4"/>
    <x v="15"/>
    <n v="190801"/>
    <n v="190801"/>
    <m/>
    <n v="17"/>
    <n v="190801"/>
    <n v="535500"/>
  </r>
  <r>
    <x v="226"/>
    <x v="0"/>
    <m/>
    <x v="0"/>
    <x v="4"/>
    <x v="16"/>
    <n v="190801"/>
    <n v="190801"/>
    <m/>
    <n v="6"/>
    <n v="190801"/>
    <n v="264000"/>
  </r>
  <r>
    <x v="226"/>
    <x v="0"/>
    <m/>
    <x v="5"/>
    <x v="4"/>
    <x v="28"/>
    <n v="190801"/>
    <n v="190801"/>
    <m/>
    <n v="3"/>
    <n v="190801"/>
    <n v="114000"/>
  </r>
  <r>
    <x v="226"/>
    <x v="0"/>
    <m/>
    <x v="1"/>
    <x v="4"/>
    <x v="18"/>
    <n v="190801"/>
    <n v="190801"/>
    <m/>
    <n v="1"/>
    <n v="190801"/>
    <n v="31500"/>
  </r>
  <r>
    <x v="226"/>
    <x v="0"/>
    <m/>
    <x v="19"/>
    <x v="4"/>
    <x v="22"/>
    <n v="190801"/>
    <n v="190801"/>
    <m/>
    <n v="3"/>
    <n v="190801"/>
    <n v="75000"/>
  </r>
  <r>
    <x v="227"/>
    <x v="2"/>
    <m/>
    <x v="0"/>
    <x v="1"/>
    <x v="16"/>
    <n v="190801"/>
    <n v="190801"/>
    <m/>
    <n v="8"/>
    <n v="190801"/>
    <n v="280000"/>
  </r>
  <r>
    <x v="227"/>
    <x v="2"/>
    <m/>
    <x v="0"/>
    <x v="7"/>
    <x v="15"/>
    <n v="190801"/>
    <n v="190801"/>
    <m/>
    <n v="4"/>
    <n v="190801"/>
    <n v="80000"/>
  </r>
  <r>
    <x v="227"/>
    <x v="2"/>
    <m/>
    <x v="25"/>
    <x v="2"/>
    <x v="34"/>
    <n v="190801"/>
    <n v="190801"/>
    <m/>
    <n v="7"/>
    <n v="190801"/>
    <n v="693000"/>
  </r>
  <r>
    <x v="227"/>
    <x v="2"/>
    <m/>
    <x v="1"/>
    <x v="2"/>
    <x v="18"/>
    <n v="190801"/>
    <n v="190801"/>
    <m/>
    <n v="3"/>
    <n v="190801"/>
    <n v="60000"/>
  </r>
  <r>
    <x v="227"/>
    <x v="2"/>
    <m/>
    <x v="4"/>
    <x v="2"/>
    <x v="26"/>
    <n v="190801"/>
    <n v="190801"/>
    <m/>
    <n v="5"/>
    <n v="190801"/>
    <n v="20000"/>
  </r>
  <r>
    <x v="227"/>
    <x v="2"/>
    <m/>
    <x v="4"/>
    <x v="2"/>
    <x v="27"/>
    <n v="190801"/>
    <n v="190801"/>
    <m/>
    <n v="2"/>
    <n v="190801"/>
    <n v="40000"/>
  </r>
  <r>
    <x v="227"/>
    <x v="2"/>
    <m/>
    <x v="0"/>
    <x v="2"/>
    <x v="15"/>
    <n v="190801"/>
    <n v="190801"/>
    <m/>
    <n v="64"/>
    <n v="190801"/>
    <n v="1280000"/>
  </r>
  <r>
    <x v="227"/>
    <x v="2"/>
    <m/>
    <x v="0"/>
    <x v="2"/>
    <x v="16"/>
    <n v="190801"/>
    <n v="190801"/>
    <m/>
    <n v="37"/>
    <n v="190801"/>
    <n v="1295000"/>
  </r>
  <r>
    <x v="227"/>
    <x v="2"/>
    <m/>
    <x v="0"/>
    <x v="2"/>
    <x v="17"/>
    <n v="190801"/>
    <n v="190801"/>
    <m/>
    <n v="46"/>
    <n v="190801"/>
    <n v="1518000"/>
  </r>
  <r>
    <x v="227"/>
    <x v="2"/>
    <m/>
    <x v="0"/>
    <x v="2"/>
    <x v="19"/>
    <n v="190801"/>
    <n v="190801"/>
    <m/>
    <n v="59"/>
    <n v="190801"/>
    <n v="177000"/>
  </r>
  <r>
    <x v="227"/>
    <x v="2"/>
    <m/>
    <x v="5"/>
    <x v="2"/>
    <x v="28"/>
    <n v="190801"/>
    <n v="190801"/>
    <m/>
    <n v="11"/>
    <n v="190801"/>
    <n v="308000"/>
  </r>
  <r>
    <x v="227"/>
    <x v="2"/>
    <m/>
    <x v="22"/>
    <x v="2"/>
    <x v="29"/>
    <n v="190801"/>
    <n v="190801"/>
    <m/>
    <n v="5"/>
    <n v="190801"/>
    <n v="190000"/>
  </r>
  <r>
    <x v="227"/>
    <x v="2"/>
    <m/>
    <x v="0"/>
    <x v="4"/>
    <x v="15"/>
    <n v="190801"/>
    <n v="190801"/>
    <m/>
    <n v="15"/>
    <n v="190801"/>
    <n v="472500"/>
  </r>
  <r>
    <x v="227"/>
    <x v="2"/>
    <m/>
    <x v="0"/>
    <x v="4"/>
    <x v="16"/>
    <n v="190801"/>
    <n v="190801"/>
    <m/>
    <n v="8"/>
    <n v="190801"/>
    <n v="352000"/>
  </r>
  <r>
    <x v="227"/>
    <x v="2"/>
    <m/>
    <x v="5"/>
    <x v="4"/>
    <x v="28"/>
    <n v="190801"/>
    <n v="190801"/>
    <m/>
    <n v="2"/>
    <n v="190801"/>
    <n v="76000"/>
  </r>
  <r>
    <x v="227"/>
    <x v="2"/>
    <m/>
    <x v="0"/>
    <x v="8"/>
    <x v="15"/>
    <n v="190801"/>
    <n v="190801"/>
    <m/>
    <n v="80"/>
    <n v="190801"/>
    <n v="504000"/>
  </r>
  <r>
    <x v="227"/>
    <x v="2"/>
    <m/>
    <x v="19"/>
    <x v="2"/>
    <x v="22"/>
    <n v="190801"/>
    <n v="190801"/>
    <m/>
    <n v="8"/>
    <n v="190801"/>
    <n v="104000"/>
  </r>
  <r>
    <x v="227"/>
    <x v="2"/>
    <m/>
    <x v="19"/>
    <x v="2"/>
    <x v="23"/>
    <n v="190801"/>
    <n v="190801"/>
    <m/>
    <n v="1"/>
    <n v="190801"/>
    <n v="24000"/>
  </r>
  <r>
    <x v="227"/>
    <x v="2"/>
    <m/>
    <x v="19"/>
    <x v="2"/>
    <x v="24"/>
    <n v="190801"/>
    <n v="190801"/>
    <m/>
    <n v="2"/>
    <n v="190801"/>
    <n v="66000"/>
  </r>
  <r>
    <x v="228"/>
    <x v="5"/>
    <m/>
    <x v="0"/>
    <x v="7"/>
    <x v="15"/>
    <n v="190801"/>
    <n v="190801"/>
    <m/>
    <n v="2"/>
    <n v="190801"/>
    <n v="40000"/>
  </r>
  <r>
    <x v="228"/>
    <x v="5"/>
    <m/>
    <x v="25"/>
    <x v="2"/>
    <x v="34"/>
    <n v="190801"/>
    <n v="190801"/>
    <m/>
    <n v="7"/>
    <n v="190801"/>
    <n v="693000"/>
  </r>
  <r>
    <x v="228"/>
    <x v="5"/>
    <m/>
    <x v="1"/>
    <x v="2"/>
    <x v="18"/>
    <n v="190801"/>
    <n v="190801"/>
    <m/>
    <n v="3"/>
    <n v="190801"/>
    <n v="60000"/>
  </r>
  <r>
    <x v="228"/>
    <x v="5"/>
    <m/>
    <x v="1"/>
    <x v="2"/>
    <x v="21"/>
    <n v="190801"/>
    <n v="190801"/>
    <m/>
    <n v="1"/>
    <n v="190801"/>
    <n v="35000"/>
  </r>
  <r>
    <x v="228"/>
    <x v="5"/>
    <m/>
    <x v="4"/>
    <x v="2"/>
    <x v="26"/>
    <n v="190801"/>
    <n v="190801"/>
    <m/>
    <n v="14"/>
    <n v="190801"/>
    <n v="56000"/>
  </r>
  <r>
    <x v="228"/>
    <x v="5"/>
    <m/>
    <x v="4"/>
    <x v="2"/>
    <x v="27"/>
    <n v="190801"/>
    <n v="190801"/>
    <m/>
    <n v="3"/>
    <n v="190801"/>
    <n v="60000"/>
  </r>
  <r>
    <x v="228"/>
    <x v="5"/>
    <m/>
    <x v="0"/>
    <x v="2"/>
    <x v="15"/>
    <n v="190801"/>
    <n v="190801"/>
    <m/>
    <n v="58"/>
    <n v="190801"/>
    <n v="1160000"/>
  </r>
  <r>
    <x v="228"/>
    <x v="5"/>
    <m/>
    <x v="0"/>
    <x v="2"/>
    <x v="16"/>
    <n v="190801"/>
    <n v="190801"/>
    <m/>
    <n v="38"/>
    <n v="190801"/>
    <n v="1330000"/>
  </r>
  <r>
    <x v="228"/>
    <x v="5"/>
    <m/>
    <x v="0"/>
    <x v="2"/>
    <x v="17"/>
    <n v="190801"/>
    <n v="190801"/>
    <m/>
    <n v="29"/>
    <n v="190801"/>
    <n v="957000"/>
  </r>
  <r>
    <x v="228"/>
    <x v="5"/>
    <m/>
    <x v="0"/>
    <x v="2"/>
    <x v="19"/>
    <n v="190801"/>
    <n v="190801"/>
    <m/>
    <n v="42"/>
    <n v="190801"/>
    <n v="126000"/>
  </r>
  <r>
    <x v="228"/>
    <x v="5"/>
    <m/>
    <x v="5"/>
    <x v="2"/>
    <x v="28"/>
    <n v="190801"/>
    <n v="190801"/>
    <m/>
    <n v="17"/>
    <n v="190801"/>
    <n v="476000"/>
  </r>
  <r>
    <x v="228"/>
    <x v="5"/>
    <m/>
    <x v="22"/>
    <x v="2"/>
    <x v="29"/>
    <n v="190801"/>
    <n v="190801"/>
    <m/>
    <n v="1"/>
    <n v="190801"/>
    <n v="38000"/>
  </r>
  <r>
    <x v="228"/>
    <x v="5"/>
    <m/>
    <x v="19"/>
    <x v="2"/>
    <x v="22"/>
    <n v="190801"/>
    <n v="190801"/>
    <m/>
    <n v="6"/>
    <n v="190801"/>
    <n v="78000"/>
  </r>
  <r>
    <x v="228"/>
    <x v="5"/>
    <m/>
    <x v="19"/>
    <x v="2"/>
    <x v="23"/>
    <n v="190801"/>
    <n v="190801"/>
    <m/>
    <n v="3"/>
    <n v="190801"/>
    <n v="72000"/>
  </r>
  <r>
    <x v="229"/>
    <x v="6"/>
    <m/>
    <x v="0"/>
    <x v="7"/>
    <x v="15"/>
    <n v="190801"/>
    <n v="190801"/>
    <m/>
    <n v="2"/>
    <n v="190801"/>
    <n v="40000"/>
  </r>
  <r>
    <x v="229"/>
    <x v="6"/>
    <m/>
    <x v="25"/>
    <x v="2"/>
    <x v="34"/>
    <n v="190801"/>
    <n v="190801"/>
    <m/>
    <n v="4"/>
    <n v="190801"/>
    <n v="396000"/>
  </r>
  <r>
    <x v="229"/>
    <x v="6"/>
    <m/>
    <x v="1"/>
    <x v="2"/>
    <x v="18"/>
    <n v="190801"/>
    <n v="190801"/>
    <m/>
    <n v="3"/>
    <n v="190801"/>
    <n v="60000"/>
  </r>
  <r>
    <x v="229"/>
    <x v="6"/>
    <m/>
    <x v="4"/>
    <x v="2"/>
    <x v="26"/>
    <n v="190801"/>
    <n v="190801"/>
    <m/>
    <n v="3"/>
    <n v="190801"/>
    <n v="12000"/>
  </r>
  <r>
    <x v="229"/>
    <x v="6"/>
    <m/>
    <x v="4"/>
    <x v="2"/>
    <x v="27"/>
    <n v="190801"/>
    <n v="190801"/>
    <m/>
    <n v="8"/>
    <n v="190801"/>
    <n v="160000"/>
  </r>
  <r>
    <x v="229"/>
    <x v="6"/>
    <m/>
    <x v="0"/>
    <x v="2"/>
    <x v="15"/>
    <n v="190801"/>
    <n v="190801"/>
    <m/>
    <n v="5"/>
    <n v="190801"/>
    <n v="100000"/>
  </r>
  <r>
    <x v="229"/>
    <x v="6"/>
    <m/>
    <x v="0"/>
    <x v="2"/>
    <x v="16"/>
    <n v="190801"/>
    <n v="190801"/>
    <m/>
    <n v="69"/>
    <n v="190801"/>
    <n v="2415000"/>
  </r>
  <r>
    <x v="229"/>
    <x v="6"/>
    <m/>
    <x v="0"/>
    <x v="2"/>
    <x v="17"/>
    <n v="190801"/>
    <n v="190801"/>
    <m/>
    <n v="43"/>
    <n v="190801"/>
    <n v="1419000"/>
  </r>
  <r>
    <x v="229"/>
    <x v="6"/>
    <m/>
    <x v="0"/>
    <x v="2"/>
    <x v="19"/>
    <n v="190801"/>
    <n v="190801"/>
    <m/>
    <n v="65"/>
    <n v="190801"/>
    <n v="195000"/>
  </r>
  <r>
    <x v="229"/>
    <x v="6"/>
    <m/>
    <x v="5"/>
    <x v="2"/>
    <x v="28"/>
    <n v="190801"/>
    <n v="190801"/>
    <m/>
    <n v="15"/>
    <n v="190801"/>
    <n v="420000"/>
  </r>
  <r>
    <x v="229"/>
    <x v="6"/>
    <m/>
    <x v="22"/>
    <x v="2"/>
    <x v="29"/>
    <n v="190801"/>
    <n v="190801"/>
    <m/>
    <n v="9"/>
    <n v="190801"/>
    <n v="342000"/>
  </r>
  <r>
    <x v="229"/>
    <x v="6"/>
    <m/>
    <x v="19"/>
    <x v="2"/>
    <x v="22"/>
    <n v="190801"/>
    <n v="190801"/>
    <m/>
    <n v="12"/>
    <n v="190801"/>
    <n v="156000"/>
  </r>
  <r>
    <x v="229"/>
    <x v="6"/>
    <m/>
    <x v="19"/>
    <x v="2"/>
    <x v="24"/>
    <n v="190801"/>
    <n v="190801"/>
    <m/>
    <n v="2"/>
    <n v="190801"/>
    <n v="66000"/>
  </r>
  <r>
    <x v="229"/>
    <x v="6"/>
    <m/>
    <x v="0"/>
    <x v="6"/>
    <x v="15"/>
    <n v="190801"/>
    <n v="190801"/>
    <m/>
    <n v="424"/>
    <n v="190801"/>
    <n v="3844832"/>
  </r>
  <r>
    <x v="229"/>
    <x v="6"/>
    <m/>
    <x v="0"/>
    <x v="6"/>
    <x v="17"/>
    <n v="190801"/>
    <n v="190801"/>
    <m/>
    <n v="11"/>
    <n v="190801"/>
    <n v="173998"/>
  </r>
  <r>
    <x v="229"/>
    <x v="6"/>
    <m/>
    <x v="4"/>
    <x v="6"/>
    <x v="26"/>
    <n v="190801"/>
    <n v="190801"/>
    <m/>
    <n v="729"/>
    <n v="190801"/>
    <n v="782217"/>
  </r>
  <r>
    <x v="229"/>
    <x v="6"/>
    <m/>
    <x v="26"/>
    <x v="6"/>
    <x v="35"/>
    <n v="190801"/>
    <n v="190801"/>
    <m/>
    <n v="94"/>
    <n v="190801"/>
    <n v="1610314"/>
  </r>
  <r>
    <x v="229"/>
    <x v="6"/>
    <m/>
    <x v="22"/>
    <x v="6"/>
    <x v="29"/>
    <n v="190801"/>
    <n v="190801"/>
    <m/>
    <n v="7"/>
    <n v="190801"/>
    <n v="137837"/>
  </r>
  <r>
    <x v="229"/>
    <x v="6"/>
    <m/>
    <x v="24"/>
    <x v="6"/>
    <x v="31"/>
    <n v="190801"/>
    <n v="190801"/>
    <m/>
    <n v="97"/>
    <n v="190801"/>
    <n v="1443069"/>
  </r>
  <r>
    <x v="229"/>
    <x v="6"/>
    <m/>
    <x v="23"/>
    <x v="6"/>
    <x v="30"/>
    <n v="190801"/>
    <n v="190801"/>
    <m/>
    <n v="89"/>
    <n v="190801"/>
    <n v="619796"/>
  </r>
  <r>
    <x v="229"/>
    <x v="6"/>
    <m/>
    <x v="20"/>
    <x v="6"/>
    <x v="25"/>
    <n v="190801"/>
    <n v="190801"/>
    <m/>
    <n v="11"/>
    <n v="190801"/>
    <n v="106876"/>
  </r>
  <r>
    <x v="229"/>
    <x v="6"/>
    <m/>
    <x v="1"/>
    <x v="6"/>
    <x v="18"/>
    <n v="190801"/>
    <n v="190801"/>
    <m/>
    <n v="1"/>
    <n v="190801"/>
    <n v="9205"/>
  </r>
  <r>
    <x v="229"/>
    <x v="6"/>
    <m/>
    <x v="19"/>
    <x v="6"/>
    <x v="22"/>
    <n v="190801"/>
    <n v="190801"/>
    <m/>
    <n v="1"/>
    <n v="190801"/>
    <n v="6791"/>
  </r>
  <r>
    <x v="229"/>
    <x v="6"/>
    <m/>
    <x v="27"/>
    <x v="6"/>
    <x v="36"/>
    <n v="190801"/>
    <n v="190801"/>
    <m/>
    <n v="1371"/>
    <n v="190801"/>
    <n v="12965547"/>
  </r>
  <r>
    <x v="229"/>
    <x v="6"/>
    <m/>
    <x v="6"/>
    <x v="6"/>
    <x v="37"/>
    <n v="190801"/>
    <n v="190801"/>
    <m/>
    <n v="10"/>
    <n v="190801"/>
    <n v="100000"/>
  </r>
  <r>
    <x v="230"/>
    <x v="3"/>
    <m/>
    <x v="0"/>
    <x v="1"/>
    <x v="15"/>
    <n v="190801"/>
    <n v="190801"/>
    <m/>
    <n v="1"/>
    <n v="190801"/>
    <n v="20000"/>
  </r>
  <r>
    <x v="230"/>
    <x v="3"/>
    <m/>
    <x v="0"/>
    <x v="1"/>
    <x v="16"/>
    <n v="190801"/>
    <n v="190801"/>
    <m/>
    <n v="6"/>
    <n v="190801"/>
    <n v="210000"/>
  </r>
  <r>
    <x v="230"/>
    <x v="3"/>
    <m/>
    <x v="0"/>
    <x v="7"/>
    <x v="15"/>
    <n v="190801"/>
    <n v="190801"/>
    <m/>
    <n v="5"/>
    <n v="190801"/>
    <n v="100000"/>
  </r>
  <r>
    <x v="230"/>
    <x v="3"/>
    <m/>
    <x v="22"/>
    <x v="5"/>
    <x v="29"/>
    <n v="190801"/>
    <n v="190801"/>
    <m/>
    <n v="20"/>
    <n v="190801"/>
    <n v="310900"/>
  </r>
  <r>
    <x v="230"/>
    <x v="3"/>
    <m/>
    <x v="4"/>
    <x v="5"/>
    <x v="27"/>
    <n v="190801"/>
    <n v="190801"/>
    <m/>
    <n v="1"/>
    <n v="190801"/>
    <n v="16364"/>
  </r>
  <r>
    <x v="230"/>
    <x v="3"/>
    <m/>
    <x v="6"/>
    <x v="2"/>
    <x v="37"/>
    <n v="190801"/>
    <n v="190801"/>
    <m/>
    <n v="5"/>
    <n v="190801"/>
    <n v="100000"/>
  </r>
  <r>
    <x v="230"/>
    <x v="3"/>
    <m/>
    <x v="25"/>
    <x v="2"/>
    <x v="34"/>
    <n v="190801"/>
    <n v="190801"/>
    <m/>
    <n v="6"/>
    <n v="190801"/>
    <n v="594000"/>
  </r>
  <r>
    <x v="230"/>
    <x v="3"/>
    <m/>
    <x v="1"/>
    <x v="2"/>
    <x v="18"/>
    <n v="190801"/>
    <n v="190801"/>
    <m/>
    <n v="2"/>
    <n v="190801"/>
    <n v="40000"/>
  </r>
  <r>
    <x v="230"/>
    <x v="3"/>
    <m/>
    <x v="4"/>
    <x v="2"/>
    <x v="26"/>
    <n v="190801"/>
    <n v="190801"/>
    <m/>
    <n v="10"/>
    <n v="190801"/>
    <n v="40000"/>
  </r>
  <r>
    <x v="230"/>
    <x v="3"/>
    <m/>
    <x v="4"/>
    <x v="2"/>
    <x v="27"/>
    <n v="190801"/>
    <n v="190801"/>
    <m/>
    <n v="5"/>
    <n v="190801"/>
    <n v="100000"/>
  </r>
  <r>
    <x v="230"/>
    <x v="3"/>
    <m/>
    <x v="0"/>
    <x v="2"/>
    <x v="15"/>
    <n v="190801"/>
    <n v="190801"/>
    <m/>
    <n v="84"/>
    <n v="190801"/>
    <n v="1680000"/>
  </r>
  <r>
    <x v="230"/>
    <x v="3"/>
    <m/>
    <x v="0"/>
    <x v="2"/>
    <x v="16"/>
    <n v="190801"/>
    <n v="190801"/>
    <m/>
    <n v="293"/>
    <n v="190801"/>
    <n v="10255000"/>
  </r>
  <r>
    <x v="230"/>
    <x v="3"/>
    <m/>
    <x v="0"/>
    <x v="2"/>
    <x v="17"/>
    <n v="190801"/>
    <n v="190801"/>
    <m/>
    <n v="66"/>
    <n v="190801"/>
    <n v="2178000"/>
  </r>
  <r>
    <x v="230"/>
    <x v="3"/>
    <m/>
    <x v="0"/>
    <x v="2"/>
    <x v="19"/>
    <n v="190801"/>
    <n v="190801"/>
    <m/>
    <n v="85"/>
    <n v="190801"/>
    <n v="255000"/>
  </r>
  <r>
    <x v="230"/>
    <x v="3"/>
    <m/>
    <x v="5"/>
    <x v="2"/>
    <x v="28"/>
    <n v="190801"/>
    <n v="190801"/>
    <m/>
    <n v="20"/>
    <n v="190801"/>
    <n v="560000"/>
  </r>
  <r>
    <x v="230"/>
    <x v="3"/>
    <m/>
    <x v="22"/>
    <x v="2"/>
    <x v="29"/>
    <n v="190801"/>
    <n v="190801"/>
    <m/>
    <n v="4"/>
    <n v="190801"/>
    <n v="152000"/>
  </r>
  <r>
    <x v="230"/>
    <x v="3"/>
    <m/>
    <x v="19"/>
    <x v="2"/>
    <x v="22"/>
    <n v="190801"/>
    <n v="190801"/>
    <m/>
    <n v="13"/>
    <n v="190801"/>
    <n v="169000"/>
  </r>
  <r>
    <x v="230"/>
    <x v="3"/>
    <m/>
    <x v="19"/>
    <x v="2"/>
    <x v="23"/>
    <n v="190801"/>
    <n v="190801"/>
    <m/>
    <n v="3"/>
    <n v="190801"/>
    <n v="72000"/>
  </r>
  <r>
    <x v="230"/>
    <x v="3"/>
    <m/>
    <x v="0"/>
    <x v="4"/>
    <x v="15"/>
    <n v="190801"/>
    <n v="190801"/>
    <m/>
    <n v="54"/>
    <n v="190801"/>
    <n v="1701000"/>
  </r>
  <r>
    <x v="230"/>
    <x v="3"/>
    <m/>
    <x v="0"/>
    <x v="4"/>
    <x v="16"/>
    <n v="190801"/>
    <n v="190801"/>
    <m/>
    <n v="18"/>
    <n v="190801"/>
    <n v="792000"/>
  </r>
  <r>
    <x v="230"/>
    <x v="3"/>
    <m/>
    <x v="5"/>
    <x v="4"/>
    <x v="28"/>
    <n v="190801"/>
    <n v="190801"/>
    <m/>
    <n v="8"/>
    <n v="190801"/>
    <n v="304000"/>
  </r>
  <r>
    <x v="230"/>
    <x v="3"/>
    <m/>
    <x v="1"/>
    <x v="4"/>
    <x v="18"/>
    <n v="190801"/>
    <n v="190801"/>
    <m/>
    <n v="1"/>
    <n v="190801"/>
    <n v="31500"/>
  </r>
  <r>
    <x v="230"/>
    <x v="3"/>
    <m/>
    <x v="19"/>
    <x v="4"/>
    <x v="22"/>
    <n v="190801"/>
    <n v="190801"/>
    <m/>
    <n v="1"/>
    <n v="190801"/>
    <n v="25000"/>
  </r>
  <r>
    <x v="230"/>
    <x v="3"/>
    <m/>
    <x v="4"/>
    <x v="4"/>
    <x v="27"/>
    <n v="190801"/>
    <n v="190801"/>
    <m/>
    <n v="1"/>
    <n v="190801"/>
    <n v="36000"/>
  </r>
  <r>
    <x v="231"/>
    <x v="4"/>
    <m/>
    <x v="0"/>
    <x v="1"/>
    <x v="16"/>
    <n v="190801"/>
    <n v="190801"/>
    <m/>
    <n v="4"/>
    <n v="190801"/>
    <n v="140000"/>
  </r>
  <r>
    <x v="231"/>
    <x v="4"/>
    <m/>
    <x v="0"/>
    <x v="7"/>
    <x v="15"/>
    <n v="190801"/>
    <n v="190801"/>
    <m/>
    <n v="9"/>
    <n v="190801"/>
    <n v="180000"/>
  </r>
  <r>
    <x v="231"/>
    <x v="4"/>
    <m/>
    <x v="6"/>
    <x v="2"/>
    <x v="37"/>
    <n v="190801"/>
    <n v="190801"/>
    <m/>
    <n v="3"/>
    <n v="190801"/>
    <n v="60000"/>
  </r>
  <r>
    <x v="231"/>
    <x v="4"/>
    <m/>
    <x v="25"/>
    <x v="2"/>
    <x v="34"/>
    <n v="190801"/>
    <n v="190801"/>
    <m/>
    <n v="10"/>
    <n v="190801"/>
    <n v="990000"/>
  </r>
  <r>
    <x v="231"/>
    <x v="4"/>
    <m/>
    <x v="1"/>
    <x v="2"/>
    <x v="18"/>
    <n v="190801"/>
    <n v="190801"/>
    <m/>
    <n v="4"/>
    <n v="190801"/>
    <n v="80000"/>
  </r>
  <r>
    <x v="231"/>
    <x v="4"/>
    <m/>
    <x v="4"/>
    <x v="2"/>
    <x v="26"/>
    <n v="190801"/>
    <n v="190801"/>
    <m/>
    <n v="2"/>
    <n v="190801"/>
    <n v="8000"/>
  </r>
  <r>
    <x v="231"/>
    <x v="4"/>
    <m/>
    <x v="4"/>
    <x v="2"/>
    <x v="27"/>
    <n v="190801"/>
    <n v="190801"/>
    <m/>
    <n v="1"/>
    <n v="190801"/>
    <n v="20000"/>
  </r>
  <r>
    <x v="231"/>
    <x v="4"/>
    <m/>
    <x v="0"/>
    <x v="2"/>
    <x v="15"/>
    <n v="190801"/>
    <n v="190801"/>
    <m/>
    <n v="68"/>
    <n v="190801"/>
    <n v="1360000"/>
  </r>
  <r>
    <x v="231"/>
    <x v="4"/>
    <m/>
    <x v="0"/>
    <x v="2"/>
    <x v="16"/>
    <n v="190801"/>
    <n v="190801"/>
    <m/>
    <n v="49"/>
    <n v="190801"/>
    <n v="1715000"/>
  </r>
  <r>
    <x v="231"/>
    <x v="4"/>
    <m/>
    <x v="0"/>
    <x v="2"/>
    <x v="17"/>
    <n v="190801"/>
    <n v="190801"/>
    <m/>
    <n v="54"/>
    <n v="190801"/>
    <n v="1782000"/>
  </r>
  <r>
    <x v="231"/>
    <x v="4"/>
    <m/>
    <x v="0"/>
    <x v="2"/>
    <x v="19"/>
    <n v="190801"/>
    <n v="190801"/>
    <m/>
    <n v="71"/>
    <n v="190801"/>
    <n v="213000"/>
  </r>
  <r>
    <x v="231"/>
    <x v="4"/>
    <m/>
    <x v="5"/>
    <x v="2"/>
    <x v="28"/>
    <n v="190801"/>
    <n v="190801"/>
    <m/>
    <n v="13"/>
    <n v="190801"/>
    <n v="364000"/>
  </r>
  <r>
    <x v="231"/>
    <x v="4"/>
    <m/>
    <x v="22"/>
    <x v="2"/>
    <x v="29"/>
    <n v="190801"/>
    <n v="190801"/>
    <m/>
    <n v="4"/>
    <n v="190801"/>
    <n v="152000"/>
  </r>
  <r>
    <x v="231"/>
    <x v="4"/>
    <m/>
    <x v="19"/>
    <x v="2"/>
    <x v="22"/>
    <n v="190801"/>
    <n v="190801"/>
    <m/>
    <n v="6"/>
    <n v="190801"/>
    <n v="78000"/>
  </r>
  <r>
    <x v="231"/>
    <x v="4"/>
    <m/>
    <x v="19"/>
    <x v="2"/>
    <x v="23"/>
    <n v="190801"/>
    <n v="190801"/>
    <m/>
    <n v="1"/>
    <n v="190801"/>
    <n v="24000"/>
  </r>
  <r>
    <x v="231"/>
    <x v="4"/>
    <m/>
    <x v="19"/>
    <x v="2"/>
    <x v="24"/>
    <n v="190801"/>
    <n v="190801"/>
    <m/>
    <n v="1"/>
    <n v="190801"/>
    <n v="33000"/>
  </r>
  <r>
    <x v="231"/>
    <x v="4"/>
    <m/>
    <x v="0"/>
    <x v="4"/>
    <x v="15"/>
    <n v="190801"/>
    <n v="190801"/>
    <m/>
    <n v="18"/>
    <n v="190801"/>
    <n v="567000"/>
  </r>
  <r>
    <x v="231"/>
    <x v="4"/>
    <m/>
    <x v="0"/>
    <x v="4"/>
    <x v="16"/>
    <n v="190801"/>
    <n v="190801"/>
    <m/>
    <n v="8"/>
    <n v="190801"/>
    <n v="352000"/>
  </r>
  <r>
    <x v="232"/>
    <x v="1"/>
    <m/>
    <x v="0"/>
    <x v="1"/>
    <x v="16"/>
    <n v="190801"/>
    <n v="190801"/>
    <m/>
    <n v="1"/>
    <n v="190801"/>
    <n v="35000"/>
  </r>
  <r>
    <x v="232"/>
    <x v="1"/>
    <m/>
    <x v="0"/>
    <x v="7"/>
    <x v="15"/>
    <n v="190801"/>
    <n v="190801"/>
    <m/>
    <n v="4"/>
    <n v="190801"/>
    <n v="80000"/>
  </r>
  <r>
    <x v="232"/>
    <x v="1"/>
    <m/>
    <x v="6"/>
    <x v="2"/>
    <x v="37"/>
    <n v="190801"/>
    <n v="190801"/>
    <m/>
    <n v="4"/>
    <n v="190801"/>
    <n v="80000"/>
  </r>
  <r>
    <x v="232"/>
    <x v="1"/>
    <m/>
    <x v="25"/>
    <x v="2"/>
    <x v="34"/>
    <n v="190801"/>
    <n v="190801"/>
    <m/>
    <n v="7"/>
    <n v="190801"/>
    <n v="693000"/>
  </r>
  <r>
    <x v="232"/>
    <x v="1"/>
    <m/>
    <x v="1"/>
    <x v="2"/>
    <x v="18"/>
    <n v="190801"/>
    <n v="190801"/>
    <m/>
    <n v="3"/>
    <n v="190801"/>
    <n v="60000"/>
  </r>
  <r>
    <x v="232"/>
    <x v="1"/>
    <m/>
    <x v="4"/>
    <x v="2"/>
    <x v="26"/>
    <n v="190801"/>
    <n v="190801"/>
    <m/>
    <n v="6"/>
    <n v="190801"/>
    <n v="24000"/>
  </r>
  <r>
    <x v="232"/>
    <x v="1"/>
    <m/>
    <x v="4"/>
    <x v="2"/>
    <x v="27"/>
    <n v="190801"/>
    <n v="190801"/>
    <m/>
    <n v="4"/>
    <n v="190801"/>
    <n v="80000"/>
  </r>
  <r>
    <x v="232"/>
    <x v="1"/>
    <m/>
    <x v="0"/>
    <x v="2"/>
    <x v="15"/>
    <n v="190801"/>
    <n v="190801"/>
    <m/>
    <n v="57"/>
    <n v="190801"/>
    <n v="1140000"/>
  </r>
  <r>
    <x v="232"/>
    <x v="1"/>
    <m/>
    <x v="0"/>
    <x v="2"/>
    <x v="16"/>
    <n v="190801"/>
    <n v="190801"/>
    <m/>
    <n v="165"/>
    <n v="190801"/>
    <n v="5775000"/>
  </r>
  <r>
    <x v="232"/>
    <x v="1"/>
    <m/>
    <x v="0"/>
    <x v="2"/>
    <x v="17"/>
    <n v="190801"/>
    <n v="190801"/>
    <m/>
    <n v="56"/>
    <n v="190801"/>
    <n v="1848000"/>
  </r>
  <r>
    <x v="232"/>
    <x v="1"/>
    <m/>
    <x v="0"/>
    <x v="2"/>
    <x v="19"/>
    <n v="190801"/>
    <n v="190801"/>
    <m/>
    <n v="66"/>
    <n v="190801"/>
    <n v="198000"/>
  </r>
  <r>
    <x v="232"/>
    <x v="1"/>
    <m/>
    <x v="5"/>
    <x v="2"/>
    <x v="28"/>
    <n v="190801"/>
    <n v="190801"/>
    <m/>
    <n v="15"/>
    <n v="190801"/>
    <n v="420000"/>
  </r>
  <r>
    <x v="232"/>
    <x v="1"/>
    <m/>
    <x v="22"/>
    <x v="2"/>
    <x v="29"/>
    <n v="190801"/>
    <n v="190801"/>
    <m/>
    <n v="5"/>
    <n v="190801"/>
    <n v="190000"/>
  </r>
  <r>
    <x v="232"/>
    <x v="1"/>
    <m/>
    <x v="19"/>
    <x v="2"/>
    <x v="22"/>
    <n v="190801"/>
    <n v="190801"/>
    <m/>
    <n v="7"/>
    <n v="190801"/>
    <n v="91000"/>
  </r>
  <r>
    <x v="232"/>
    <x v="1"/>
    <m/>
    <x v="19"/>
    <x v="2"/>
    <x v="23"/>
    <n v="190801"/>
    <n v="190801"/>
    <m/>
    <n v="1"/>
    <n v="190801"/>
    <n v="24000"/>
  </r>
  <r>
    <x v="232"/>
    <x v="1"/>
    <m/>
    <x v="0"/>
    <x v="8"/>
    <x v="15"/>
    <n v="190801"/>
    <n v="190801"/>
    <m/>
    <n v="200"/>
    <n v="190801"/>
    <n v="1260000"/>
  </r>
  <r>
    <x v="232"/>
    <x v="1"/>
    <m/>
    <x v="0"/>
    <x v="4"/>
    <x v="15"/>
    <n v="190801"/>
    <n v="190801"/>
    <m/>
    <n v="13"/>
    <n v="190801"/>
    <n v="409500"/>
  </r>
  <r>
    <x v="232"/>
    <x v="1"/>
    <m/>
    <x v="0"/>
    <x v="4"/>
    <x v="16"/>
    <n v="190801"/>
    <n v="190801"/>
    <m/>
    <n v="7"/>
    <n v="190801"/>
    <n v="308000"/>
  </r>
  <r>
    <x v="232"/>
    <x v="1"/>
    <m/>
    <x v="5"/>
    <x v="4"/>
    <x v="28"/>
    <n v="190801"/>
    <n v="190801"/>
    <m/>
    <n v="3"/>
    <n v="190801"/>
    <n v="114000"/>
  </r>
  <r>
    <x v="232"/>
    <x v="1"/>
    <m/>
    <x v="4"/>
    <x v="4"/>
    <x v="27"/>
    <n v="190801"/>
    <n v="190801"/>
    <m/>
    <n v="1"/>
    <n v="190801"/>
    <n v="36000"/>
  </r>
  <r>
    <x v="232"/>
    <x v="1"/>
    <m/>
    <x v="1"/>
    <x v="4"/>
    <x v="18"/>
    <n v="190801"/>
    <n v="190801"/>
    <m/>
    <n v="2"/>
    <n v="190801"/>
    <n v="63000"/>
  </r>
  <r>
    <x v="232"/>
    <x v="1"/>
    <m/>
    <x v="19"/>
    <x v="4"/>
    <x v="22"/>
    <n v="190801"/>
    <n v="190801"/>
    <m/>
    <n v="1"/>
    <n v="190801"/>
    <n v="25000"/>
  </r>
  <r>
    <x v="233"/>
    <x v="0"/>
    <m/>
    <x v="0"/>
    <x v="1"/>
    <x v="16"/>
    <n v="190801"/>
    <n v="190801"/>
    <m/>
    <n v="2"/>
    <n v="190801"/>
    <n v="70000"/>
  </r>
  <r>
    <x v="233"/>
    <x v="0"/>
    <m/>
    <x v="0"/>
    <x v="7"/>
    <x v="15"/>
    <n v="190801"/>
    <n v="190801"/>
    <m/>
    <n v="2"/>
    <n v="190801"/>
    <n v="40000"/>
  </r>
  <r>
    <x v="233"/>
    <x v="0"/>
    <m/>
    <x v="6"/>
    <x v="2"/>
    <x v="37"/>
    <n v="190801"/>
    <n v="190801"/>
    <m/>
    <n v="1"/>
    <n v="190801"/>
    <n v="20000"/>
  </r>
  <r>
    <x v="233"/>
    <x v="0"/>
    <m/>
    <x v="25"/>
    <x v="2"/>
    <x v="34"/>
    <n v="190801"/>
    <n v="190801"/>
    <m/>
    <n v="10"/>
    <n v="190801"/>
    <n v="990000"/>
  </r>
  <r>
    <x v="233"/>
    <x v="0"/>
    <m/>
    <x v="1"/>
    <x v="2"/>
    <x v="18"/>
    <n v="190801"/>
    <n v="190801"/>
    <m/>
    <n v="3"/>
    <n v="190801"/>
    <n v="60000"/>
  </r>
  <r>
    <x v="233"/>
    <x v="0"/>
    <m/>
    <x v="4"/>
    <x v="2"/>
    <x v="26"/>
    <n v="190801"/>
    <n v="190801"/>
    <m/>
    <n v="1"/>
    <n v="190801"/>
    <n v="4000"/>
  </r>
  <r>
    <x v="233"/>
    <x v="0"/>
    <m/>
    <x v="4"/>
    <x v="2"/>
    <x v="27"/>
    <n v="190801"/>
    <n v="190801"/>
    <m/>
    <n v="2"/>
    <n v="190801"/>
    <n v="40000"/>
  </r>
  <r>
    <x v="233"/>
    <x v="0"/>
    <m/>
    <x v="0"/>
    <x v="2"/>
    <x v="15"/>
    <n v="190801"/>
    <n v="190801"/>
    <m/>
    <n v="50"/>
    <n v="190801"/>
    <n v="1000000"/>
  </r>
  <r>
    <x v="233"/>
    <x v="0"/>
    <m/>
    <x v="0"/>
    <x v="2"/>
    <x v="16"/>
    <n v="190801"/>
    <n v="190801"/>
    <m/>
    <n v="32"/>
    <n v="190801"/>
    <n v="1120000"/>
  </r>
  <r>
    <x v="233"/>
    <x v="0"/>
    <m/>
    <x v="0"/>
    <x v="2"/>
    <x v="17"/>
    <n v="190801"/>
    <n v="190801"/>
    <m/>
    <n v="47"/>
    <n v="190801"/>
    <n v="1551000"/>
  </r>
  <r>
    <x v="233"/>
    <x v="0"/>
    <m/>
    <x v="0"/>
    <x v="2"/>
    <x v="19"/>
    <n v="190801"/>
    <n v="190801"/>
    <m/>
    <n v="49"/>
    <n v="190801"/>
    <n v="147000"/>
  </r>
  <r>
    <x v="233"/>
    <x v="0"/>
    <m/>
    <x v="5"/>
    <x v="2"/>
    <x v="28"/>
    <n v="190801"/>
    <n v="190801"/>
    <m/>
    <n v="17"/>
    <n v="190801"/>
    <n v="476000"/>
  </r>
  <r>
    <x v="233"/>
    <x v="0"/>
    <m/>
    <x v="22"/>
    <x v="2"/>
    <x v="29"/>
    <n v="190801"/>
    <n v="190801"/>
    <m/>
    <n v="8"/>
    <n v="190801"/>
    <n v="304000"/>
  </r>
  <r>
    <x v="233"/>
    <x v="0"/>
    <m/>
    <x v="0"/>
    <x v="4"/>
    <x v="15"/>
    <n v="190801"/>
    <n v="190801"/>
    <m/>
    <n v="18"/>
    <n v="190801"/>
    <n v="567000"/>
  </r>
  <r>
    <x v="233"/>
    <x v="0"/>
    <m/>
    <x v="0"/>
    <x v="4"/>
    <x v="16"/>
    <n v="190801"/>
    <n v="190801"/>
    <m/>
    <n v="12"/>
    <n v="190801"/>
    <n v="528000"/>
  </r>
  <r>
    <x v="233"/>
    <x v="0"/>
    <m/>
    <x v="5"/>
    <x v="4"/>
    <x v="28"/>
    <n v="190801"/>
    <n v="190801"/>
    <m/>
    <n v="7"/>
    <n v="190801"/>
    <n v="266000"/>
  </r>
  <r>
    <x v="233"/>
    <x v="0"/>
    <m/>
    <x v="1"/>
    <x v="4"/>
    <x v="18"/>
    <n v="190801"/>
    <n v="190801"/>
    <m/>
    <n v="1"/>
    <n v="190801"/>
    <n v="31500"/>
  </r>
  <r>
    <x v="233"/>
    <x v="0"/>
    <m/>
    <x v="19"/>
    <x v="4"/>
    <x v="22"/>
    <n v="190801"/>
    <n v="190801"/>
    <m/>
    <n v="1"/>
    <n v="190801"/>
    <n v="25000"/>
  </r>
  <r>
    <x v="234"/>
    <x v="2"/>
    <m/>
    <x v="0"/>
    <x v="1"/>
    <x v="16"/>
    <n v="190801"/>
    <n v="190801"/>
    <m/>
    <n v="5"/>
    <n v="190801"/>
    <n v="175000"/>
  </r>
  <r>
    <x v="234"/>
    <x v="2"/>
    <m/>
    <x v="0"/>
    <x v="7"/>
    <x v="15"/>
    <n v="190801"/>
    <n v="190801"/>
    <m/>
    <n v="6"/>
    <n v="190801"/>
    <n v="120000"/>
  </r>
  <r>
    <x v="234"/>
    <x v="2"/>
    <m/>
    <x v="25"/>
    <x v="2"/>
    <x v="34"/>
    <n v="190801"/>
    <n v="190801"/>
    <m/>
    <n v="4"/>
    <n v="190801"/>
    <n v="396000"/>
  </r>
  <r>
    <x v="234"/>
    <x v="2"/>
    <m/>
    <x v="1"/>
    <x v="2"/>
    <x v="18"/>
    <n v="190801"/>
    <n v="190801"/>
    <m/>
    <n v="1"/>
    <n v="190801"/>
    <n v="20000"/>
  </r>
  <r>
    <x v="234"/>
    <x v="2"/>
    <m/>
    <x v="1"/>
    <x v="2"/>
    <x v="21"/>
    <n v="190801"/>
    <n v="190801"/>
    <m/>
    <n v="1"/>
    <n v="190801"/>
    <n v="35000"/>
  </r>
  <r>
    <x v="234"/>
    <x v="2"/>
    <m/>
    <x v="0"/>
    <x v="2"/>
    <x v="15"/>
    <n v="190801"/>
    <n v="190801"/>
    <m/>
    <n v="24"/>
    <n v="190801"/>
    <n v="480000"/>
  </r>
  <r>
    <x v="234"/>
    <x v="2"/>
    <m/>
    <x v="0"/>
    <x v="2"/>
    <x v="16"/>
    <n v="190801"/>
    <n v="190801"/>
    <m/>
    <n v="33"/>
    <n v="190801"/>
    <n v="1155000"/>
  </r>
  <r>
    <x v="234"/>
    <x v="2"/>
    <m/>
    <x v="0"/>
    <x v="2"/>
    <x v="17"/>
    <n v="190801"/>
    <n v="190801"/>
    <m/>
    <n v="44"/>
    <n v="190801"/>
    <n v="1452000"/>
  </r>
  <r>
    <x v="234"/>
    <x v="2"/>
    <m/>
    <x v="0"/>
    <x v="2"/>
    <x v="19"/>
    <n v="190801"/>
    <n v="190801"/>
    <m/>
    <n v="40"/>
    <n v="190801"/>
    <n v="120000"/>
  </r>
  <r>
    <x v="234"/>
    <x v="2"/>
    <m/>
    <x v="5"/>
    <x v="2"/>
    <x v="28"/>
    <n v="190801"/>
    <n v="190801"/>
    <m/>
    <n v="3"/>
    <n v="190801"/>
    <n v="84000"/>
  </r>
  <r>
    <x v="234"/>
    <x v="2"/>
    <m/>
    <x v="22"/>
    <x v="2"/>
    <x v="29"/>
    <n v="190801"/>
    <n v="190801"/>
    <m/>
    <n v="3"/>
    <n v="190801"/>
    <n v="114000"/>
  </r>
  <r>
    <x v="234"/>
    <x v="2"/>
    <m/>
    <x v="19"/>
    <x v="2"/>
    <x v="22"/>
    <n v="190801"/>
    <n v="190801"/>
    <m/>
    <n v="4"/>
    <n v="190801"/>
    <n v="52000"/>
  </r>
  <r>
    <x v="234"/>
    <x v="2"/>
    <m/>
    <x v="19"/>
    <x v="2"/>
    <x v="23"/>
    <n v="190801"/>
    <n v="190801"/>
    <m/>
    <n v="1"/>
    <n v="190801"/>
    <n v="24000"/>
  </r>
  <r>
    <x v="234"/>
    <x v="2"/>
    <m/>
    <x v="0"/>
    <x v="4"/>
    <x v="15"/>
    <n v="190801"/>
    <n v="190801"/>
    <m/>
    <n v="25"/>
    <n v="190801"/>
    <n v="787500"/>
  </r>
  <r>
    <x v="234"/>
    <x v="2"/>
    <m/>
    <x v="0"/>
    <x v="4"/>
    <x v="16"/>
    <n v="190801"/>
    <n v="190801"/>
    <m/>
    <n v="8"/>
    <n v="190801"/>
    <n v="352000"/>
  </r>
  <r>
    <x v="234"/>
    <x v="2"/>
    <m/>
    <x v="5"/>
    <x v="4"/>
    <x v="28"/>
    <n v="190801"/>
    <n v="190801"/>
    <m/>
    <n v="5"/>
    <n v="190801"/>
    <n v="190000"/>
  </r>
  <r>
    <x v="234"/>
    <x v="2"/>
    <m/>
    <x v="1"/>
    <x v="4"/>
    <x v="18"/>
    <n v="190801"/>
    <n v="190801"/>
    <m/>
    <n v="1"/>
    <n v="190801"/>
    <n v="31500"/>
  </r>
  <r>
    <x v="234"/>
    <x v="2"/>
    <m/>
    <x v="19"/>
    <x v="4"/>
    <x v="22"/>
    <n v="190801"/>
    <n v="190801"/>
    <m/>
    <n v="1"/>
    <n v="190801"/>
    <n v="25000"/>
  </r>
  <r>
    <x v="234"/>
    <x v="2"/>
    <m/>
    <x v="4"/>
    <x v="4"/>
    <x v="27"/>
    <n v="190801"/>
    <n v="190801"/>
    <m/>
    <n v="1"/>
    <n v="190801"/>
    <n v="36000"/>
  </r>
  <r>
    <x v="233"/>
    <x v="0"/>
    <m/>
    <x v="19"/>
    <x v="2"/>
    <x v="22"/>
    <n v="190801"/>
    <n v="190801"/>
    <m/>
    <n v="12"/>
    <n v="190801"/>
    <n v="156000"/>
  </r>
  <r>
    <x v="233"/>
    <x v="0"/>
    <m/>
    <x v="19"/>
    <x v="2"/>
    <x v="24"/>
    <n v="190801"/>
    <n v="190801"/>
    <m/>
    <n v="2"/>
    <n v="190801"/>
    <n v="66000"/>
  </r>
  <r>
    <x v="235"/>
    <x v="5"/>
    <m/>
    <x v="0"/>
    <x v="7"/>
    <x v="15"/>
    <n v="190801"/>
    <n v="190801"/>
    <m/>
    <n v="3"/>
    <n v="190801"/>
    <n v="60000"/>
  </r>
  <r>
    <x v="235"/>
    <x v="5"/>
    <m/>
    <x v="25"/>
    <x v="2"/>
    <x v="34"/>
    <n v="190801"/>
    <n v="190801"/>
    <m/>
    <n v="3"/>
    <n v="190801"/>
    <n v="297000"/>
  </r>
  <r>
    <x v="235"/>
    <x v="5"/>
    <m/>
    <x v="1"/>
    <x v="2"/>
    <x v="18"/>
    <n v="190801"/>
    <n v="190801"/>
    <m/>
    <n v="2"/>
    <n v="190801"/>
    <n v="40000"/>
  </r>
  <r>
    <x v="235"/>
    <x v="5"/>
    <m/>
    <x v="4"/>
    <x v="2"/>
    <x v="26"/>
    <n v="190801"/>
    <n v="190801"/>
    <m/>
    <n v="2"/>
    <n v="190801"/>
    <n v="8000"/>
  </r>
  <r>
    <x v="235"/>
    <x v="5"/>
    <m/>
    <x v="4"/>
    <x v="2"/>
    <x v="27"/>
    <n v="190801"/>
    <n v="190801"/>
    <m/>
    <n v="2"/>
    <n v="190801"/>
    <n v="40000"/>
  </r>
  <r>
    <x v="235"/>
    <x v="5"/>
    <m/>
    <x v="0"/>
    <x v="2"/>
    <x v="15"/>
    <n v="190801"/>
    <n v="190801"/>
    <m/>
    <n v="22"/>
    <n v="190801"/>
    <n v="440000"/>
  </r>
  <r>
    <x v="235"/>
    <x v="5"/>
    <m/>
    <x v="0"/>
    <x v="2"/>
    <x v="16"/>
    <n v="190801"/>
    <n v="190801"/>
    <m/>
    <n v="33"/>
    <n v="190801"/>
    <n v="1155000"/>
  </r>
  <r>
    <x v="235"/>
    <x v="5"/>
    <m/>
    <x v="0"/>
    <x v="2"/>
    <x v="17"/>
    <n v="190801"/>
    <n v="190801"/>
    <m/>
    <n v="39"/>
    <n v="190801"/>
    <n v="1287000"/>
  </r>
  <r>
    <x v="235"/>
    <x v="5"/>
    <m/>
    <x v="0"/>
    <x v="2"/>
    <x v="19"/>
    <n v="190801"/>
    <n v="190801"/>
    <m/>
    <n v="31"/>
    <n v="190801"/>
    <n v="93000"/>
  </r>
  <r>
    <x v="235"/>
    <x v="5"/>
    <m/>
    <x v="5"/>
    <x v="2"/>
    <x v="28"/>
    <n v="190801"/>
    <n v="190801"/>
    <m/>
    <n v="8"/>
    <n v="190801"/>
    <n v="224000"/>
  </r>
  <r>
    <x v="235"/>
    <x v="5"/>
    <m/>
    <x v="22"/>
    <x v="2"/>
    <x v="29"/>
    <n v="190801"/>
    <n v="190801"/>
    <m/>
    <n v="2"/>
    <n v="190801"/>
    <n v="76000"/>
  </r>
  <r>
    <x v="235"/>
    <x v="5"/>
    <m/>
    <x v="19"/>
    <x v="2"/>
    <x v="22"/>
    <n v="190801"/>
    <n v="190801"/>
    <m/>
    <n v="4"/>
    <n v="190801"/>
    <n v="52000"/>
  </r>
  <r>
    <x v="235"/>
    <x v="5"/>
    <m/>
    <x v="19"/>
    <x v="2"/>
    <x v="23"/>
    <n v="190801"/>
    <n v="190801"/>
    <m/>
    <n v="2"/>
    <n v="190801"/>
    <n v="48000"/>
  </r>
  <r>
    <x v="236"/>
    <x v="6"/>
    <m/>
    <x v="0"/>
    <x v="7"/>
    <x v="15"/>
    <n v="190801"/>
    <n v="190801"/>
    <m/>
    <n v="1"/>
    <n v="190801"/>
    <n v="20000"/>
  </r>
  <r>
    <x v="236"/>
    <x v="6"/>
    <m/>
    <x v="25"/>
    <x v="2"/>
    <x v="34"/>
    <n v="190801"/>
    <n v="190801"/>
    <m/>
    <n v="7"/>
    <n v="190801"/>
    <n v="693000"/>
  </r>
  <r>
    <x v="236"/>
    <x v="6"/>
    <m/>
    <x v="1"/>
    <x v="2"/>
    <x v="18"/>
    <n v="190801"/>
    <n v="190801"/>
    <m/>
    <n v="5"/>
    <n v="190801"/>
    <n v="100000"/>
  </r>
  <r>
    <x v="236"/>
    <x v="6"/>
    <m/>
    <x v="4"/>
    <x v="2"/>
    <x v="26"/>
    <n v="190801"/>
    <n v="190801"/>
    <m/>
    <n v="2"/>
    <n v="190801"/>
    <n v="8000"/>
  </r>
  <r>
    <x v="236"/>
    <x v="6"/>
    <m/>
    <x v="4"/>
    <x v="2"/>
    <x v="27"/>
    <n v="190801"/>
    <n v="190801"/>
    <m/>
    <n v="2"/>
    <n v="190801"/>
    <n v="40000"/>
  </r>
  <r>
    <x v="236"/>
    <x v="6"/>
    <m/>
    <x v="0"/>
    <x v="2"/>
    <x v="15"/>
    <n v="190801"/>
    <n v="190801"/>
    <m/>
    <n v="48"/>
    <n v="190801"/>
    <n v="960000"/>
  </r>
  <r>
    <x v="236"/>
    <x v="6"/>
    <m/>
    <x v="0"/>
    <x v="2"/>
    <x v="16"/>
    <n v="190801"/>
    <n v="190801"/>
    <m/>
    <n v="41"/>
    <n v="190801"/>
    <n v="1435000"/>
  </r>
  <r>
    <x v="236"/>
    <x v="6"/>
    <m/>
    <x v="0"/>
    <x v="2"/>
    <x v="17"/>
    <n v="190801"/>
    <n v="190801"/>
    <m/>
    <n v="37"/>
    <n v="190801"/>
    <n v="1221000"/>
  </r>
  <r>
    <x v="236"/>
    <x v="6"/>
    <m/>
    <x v="0"/>
    <x v="2"/>
    <x v="19"/>
    <n v="190801"/>
    <n v="190801"/>
    <m/>
    <n v="50"/>
    <n v="190801"/>
    <n v="150000"/>
  </r>
  <r>
    <x v="236"/>
    <x v="6"/>
    <m/>
    <x v="5"/>
    <x v="2"/>
    <x v="28"/>
    <n v="190801"/>
    <n v="190801"/>
    <m/>
    <n v="13"/>
    <n v="190801"/>
    <n v="364000"/>
  </r>
  <r>
    <x v="236"/>
    <x v="6"/>
    <m/>
    <x v="22"/>
    <x v="2"/>
    <x v="29"/>
    <n v="190801"/>
    <n v="190801"/>
    <m/>
    <n v="7"/>
    <n v="190801"/>
    <n v="266000"/>
  </r>
  <r>
    <x v="236"/>
    <x v="6"/>
    <m/>
    <x v="19"/>
    <x v="2"/>
    <x v="22"/>
    <n v="190801"/>
    <n v="190801"/>
    <m/>
    <n v="9"/>
    <n v="190801"/>
    <n v="117000"/>
  </r>
  <r>
    <x v="236"/>
    <x v="6"/>
    <m/>
    <x v="19"/>
    <x v="2"/>
    <x v="23"/>
    <n v="190801"/>
    <n v="190801"/>
    <m/>
    <n v="4"/>
    <n v="190801"/>
    <n v="96000"/>
  </r>
  <r>
    <x v="236"/>
    <x v="6"/>
    <m/>
    <x v="19"/>
    <x v="2"/>
    <x v="24"/>
    <n v="190801"/>
    <n v="190801"/>
    <m/>
    <n v="1"/>
    <n v="190801"/>
    <n v="33000"/>
  </r>
  <r>
    <x v="236"/>
    <x v="6"/>
    <m/>
    <x v="0"/>
    <x v="6"/>
    <x v="15"/>
    <n v="190801"/>
    <n v="190801"/>
    <m/>
    <n v="362"/>
    <n v="190801"/>
    <n v="3282616"/>
  </r>
  <r>
    <x v="236"/>
    <x v="6"/>
    <m/>
    <x v="0"/>
    <x v="6"/>
    <x v="17"/>
    <n v="190801"/>
    <n v="190801"/>
    <m/>
    <n v="9"/>
    <n v="190801"/>
    <n v="142362"/>
  </r>
  <r>
    <x v="236"/>
    <x v="6"/>
    <m/>
    <x v="4"/>
    <x v="6"/>
    <x v="26"/>
    <n v="190801"/>
    <n v="190801"/>
    <m/>
    <n v="793"/>
    <n v="190801"/>
    <n v="850889"/>
  </r>
  <r>
    <x v="236"/>
    <x v="6"/>
    <m/>
    <x v="26"/>
    <x v="6"/>
    <x v="35"/>
    <n v="190801"/>
    <n v="190801"/>
    <m/>
    <n v="99"/>
    <n v="190801"/>
    <n v="1695969"/>
  </r>
  <r>
    <x v="236"/>
    <x v="6"/>
    <m/>
    <x v="22"/>
    <x v="6"/>
    <x v="29"/>
    <n v="190801"/>
    <n v="190801"/>
    <m/>
    <n v="9"/>
    <n v="190801"/>
    <n v="177219"/>
  </r>
  <r>
    <x v="236"/>
    <x v="6"/>
    <m/>
    <x v="24"/>
    <x v="6"/>
    <x v="31"/>
    <n v="190801"/>
    <n v="190801"/>
    <m/>
    <n v="108"/>
    <n v="190801"/>
    <n v="1606716"/>
  </r>
  <r>
    <x v="236"/>
    <x v="6"/>
    <m/>
    <x v="23"/>
    <x v="6"/>
    <x v="30"/>
    <n v="190801"/>
    <n v="190801"/>
    <m/>
    <n v="93"/>
    <n v="190801"/>
    <n v="647652"/>
  </r>
  <r>
    <x v="236"/>
    <x v="6"/>
    <m/>
    <x v="20"/>
    <x v="6"/>
    <x v="25"/>
    <n v="190801"/>
    <n v="190801"/>
    <m/>
    <n v="3"/>
    <n v="190801"/>
    <n v="29148"/>
  </r>
  <r>
    <x v="236"/>
    <x v="6"/>
    <m/>
    <x v="19"/>
    <x v="6"/>
    <x v="22"/>
    <n v="190801"/>
    <n v="190801"/>
    <m/>
    <n v="1"/>
    <n v="190801"/>
    <n v="6791"/>
  </r>
  <r>
    <x v="236"/>
    <x v="6"/>
    <m/>
    <x v="27"/>
    <x v="6"/>
    <x v="36"/>
    <n v="190801"/>
    <n v="190801"/>
    <m/>
    <n v="1273"/>
    <n v="190801"/>
    <n v="12038761"/>
  </r>
  <r>
    <x v="236"/>
    <x v="6"/>
    <m/>
    <x v="6"/>
    <x v="6"/>
    <x v="37"/>
    <n v="190801"/>
    <n v="190801"/>
    <m/>
    <n v="19"/>
    <n v="190801"/>
    <n v="190000"/>
  </r>
  <r>
    <x v="237"/>
    <x v="3"/>
    <m/>
    <x v="0"/>
    <x v="1"/>
    <x v="15"/>
    <n v="190801"/>
    <n v="190801"/>
    <m/>
    <n v="2"/>
    <n v="190801"/>
    <n v="40000"/>
  </r>
  <r>
    <x v="237"/>
    <x v="3"/>
    <m/>
    <x v="0"/>
    <x v="1"/>
    <x v="16"/>
    <n v="190801"/>
    <n v="190801"/>
    <m/>
    <n v="9"/>
    <n v="190801"/>
    <n v="315000"/>
  </r>
  <r>
    <x v="237"/>
    <x v="3"/>
    <m/>
    <x v="0"/>
    <x v="7"/>
    <x v="15"/>
    <n v="190801"/>
    <n v="190801"/>
    <m/>
    <n v="4"/>
    <n v="190801"/>
    <n v="80000"/>
  </r>
  <r>
    <x v="237"/>
    <x v="3"/>
    <m/>
    <x v="6"/>
    <x v="2"/>
    <x v="37"/>
    <n v="190801"/>
    <n v="190801"/>
    <m/>
    <n v="58"/>
    <n v="190801"/>
    <n v="1160000"/>
  </r>
  <r>
    <x v="237"/>
    <x v="3"/>
    <m/>
    <x v="25"/>
    <x v="2"/>
    <x v="34"/>
    <n v="190801"/>
    <n v="190801"/>
    <m/>
    <n v="6"/>
    <n v="190801"/>
    <n v="594000"/>
  </r>
  <r>
    <x v="237"/>
    <x v="3"/>
    <m/>
    <x v="1"/>
    <x v="2"/>
    <x v="18"/>
    <n v="190801"/>
    <n v="190801"/>
    <m/>
    <n v="3"/>
    <n v="190801"/>
    <n v="60000"/>
  </r>
  <r>
    <x v="237"/>
    <x v="3"/>
    <m/>
    <x v="1"/>
    <x v="2"/>
    <x v="21"/>
    <n v="190801"/>
    <n v="190801"/>
    <m/>
    <n v="2"/>
    <n v="190801"/>
    <n v="70000"/>
  </r>
  <r>
    <x v="237"/>
    <x v="3"/>
    <m/>
    <x v="4"/>
    <x v="2"/>
    <x v="26"/>
    <n v="190801"/>
    <n v="190801"/>
    <m/>
    <n v="14"/>
    <n v="190801"/>
    <n v="56000"/>
  </r>
  <r>
    <x v="237"/>
    <x v="3"/>
    <m/>
    <x v="4"/>
    <x v="2"/>
    <x v="27"/>
    <n v="190801"/>
    <n v="190801"/>
    <m/>
    <n v="6"/>
    <n v="190801"/>
    <n v="120000"/>
  </r>
  <r>
    <x v="237"/>
    <x v="3"/>
    <m/>
    <x v="0"/>
    <x v="2"/>
    <x v="15"/>
    <n v="190801"/>
    <n v="190801"/>
    <m/>
    <n v="81"/>
    <n v="190801"/>
    <n v="1620000"/>
  </r>
  <r>
    <x v="237"/>
    <x v="3"/>
    <m/>
    <x v="0"/>
    <x v="2"/>
    <x v="16"/>
    <n v="190801"/>
    <n v="190801"/>
    <m/>
    <n v="56"/>
    <n v="190801"/>
    <n v="1960000"/>
  </r>
  <r>
    <x v="237"/>
    <x v="3"/>
    <m/>
    <x v="0"/>
    <x v="2"/>
    <x v="17"/>
    <n v="190801"/>
    <n v="190801"/>
    <m/>
    <n v="81"/>
    <n v="190801"/>
    <n v="2673000"/>
  </r>
  <r>
    <x v="237"/>
    <x v="3"/>
    <m/>
    <x v="0"/>
    <x v="2"/>
    <x v="19"/>
    <n v="190801"/>
    <n v="190801"/>
    <m/>
    <n v="70"/>
    <n v="190801"/>
    <n v="210000"/>
  </r>
  <r>
    <x v="237"/>
    <x v="3"/>
    <m/>
    <x v="5"/>
    <x v="2"/>
    <x v="28"/>
    <n v="190801"/>
    <n v="190801"/>
    <m/>
    <n v="20"/>
    <n v="190801"/>
    <n v="560000"/>
  </r>
  <r>
    <x v="237"/>
    <x v="3"/>
    <m/>
    <x v="22"/>
    <x v="2"/>
    <x v="29"/>
    <n v="190801"/>
    <n v="190801"/>
    <m/>
    <n v="8"/>
    <n v="190801"/>
    <n v="304000"/>
  </r>
  <r>
    <x v="237"/>
    <x v="3"/>
    <m/>
    <x v="19"/>
    <x v="2"/>
    <x v="22"/>
    <n v="190801"/>
    <n v="190801"/>
    <m/>
    <n v="21"/>
    <n v="190801"/>
    <n v="273000"/>
  </r>
  <r>
    <x v="237"/>
    <x v="3"/>
    <m/>
    <x v="19"/>
    <x v="2"/>
    <x v="23"/>
    <n v="190801"/>
    <n v="190801"/>
    <m/>
    <n v="4"/>
    <n v="190801"/>
    <n v="96000"/>
  </r>
  <r>
    <x v="237"/>
    <x v="3"/>
    <m/>
    <x v="19"/>
    <x v="2"/>
    <x v="24"/>
    <n v="190801"/>
    <n v="190801"/>
    <m/>
    <n v="2"/>
    <n v="190801"/>
    <n v="66000"/>
  </r>
  <r>
    <x v="237"/>
    <x v="3"/>
    <m/>
    <x v="0"/>
    <x v="4"/>
    <x v="15"/>
    <n v="190801"/>
    <n v="190801"/>
    <m/>
    <n v="35"/>
    <n v="190801"/>
    <n v="1102500"/>
  </r>
  <r>
    <x v="237"/>
    <x v="3"/>
    <m/>
    <x v="0"/>
    <x v="4"/>
    <x v="16"/>
    <n v="190801"/>
    <n v="190801"/>
    <m/>
    <n v="42"/>
    <n v="190801"/>
    <n v="1848000"/>
  </r>
  <r>
    <x v="237"/>
    <x v="3"/>
    <m/>
    <x v="5"/>
    <x v="4"/>
    <x v="28"/>
    <n v="190801"/>
    <n v="190801"/>
    <m/>
    <n v="9"/>
    <n v="190801"/>
    <n v="342000"/>
  </r>
  <r>
    <x v="237"/>
    <x v="3"/>
    <m/>
    <x v="1"/>
    <x v="4"/>
    <x v="18"/>
    <n v="190801"/>
    <n v="190801"/>
    <m/>
    <n v="2"/>
    <n v="190801"/>
    <n v="63000"/>
  </r>
  <r>
    <x v="238"/>
    <x v="4"/>
    <m/>
    <x v="0"/>
    <x v="1"/>
    <x v="16"/>
    <n v="190801"/>
    <n v="190801"/>
    <m/>
    <n v="5"/>
    <n v="190801"/>
    <n v="175000"/>
  </r>
  <r>
    <x v="238"/>
    <x v="4"/>
    <m/>
    <x v="0"/>
    <x v="7"/>
    <x v="15"/>
    <n v="190801"/>
    <n v="190801"/>
    <m/>
    <n v="1"/>
    <n v="190801"/>
    <n v="20000"/>
  </r>
  <r>
    <x v="238"/>
    <x v="4"/>
    <m/>
    <x v="0"/>
    <x v="5"/>
    <x v="15"/>
    <n v="190801"/>
    <n v="190801"/>
    <m/>
    <n v="200"/>
    <n v="190801"/>
    <n v="2045400"/>
  </r>
  <r>
    <x v="238"/>
    <x v="4"/>
    <m/>
    <x v="4"/>
    <x v="5"/>
    <x v="26"/>
    <n v="190801"/>
    <n v="190801"/>
    <m/>
    <n v="10"/>
    <n v="190801"/>
    <n v="16360"/>
  </r>
  <r>
    <x v="238"/>
    <x v="4"/>
    <m/>
    <x v="19"/>
    <x v="5"/>
    <x v="22"/>
    <n v="190801"/>
    <n v="190801"/>
    <m/>
    <n v="10"/>
    <n v="190801"/>
    <n v="65450"/>
  </r>
  <r>
    <x v="238"/>
    <x v="4"/>
    <m/>
    <x v="6"/>
    <x v="2"/>
    <x v="37"/>
    <n v="190801"/>
    <n v="190801"/>
    <m/>
    <n v="13"/>
    <n v="190801"/>
    <n v="260000"/>
  </r>
  <r>
    <x v="238"/>
    <x v="4"/>
    <m/>
    <x v="25"/>
    <x v="2"/>
    <x v="34"/>
    <n v="190801"/>
    <n v="190801"/>
    <m/>
    <n v="8"/>
    <n v="190801"/>
    <n v="792000"/>
  </r>
  <r>
    <x v="238"/>
    <x v="4"/>
    <m/>
    <x v="1"/>
    <x v="2"/>
    <x v="18"/>
    <n v="190801"/>
    <n v="190801"/>
    <m/>
    <n v="4"/>
    <n v="190801"/>
    <n v="80000"/>
  </r>
  <r>
    <x v="238"/>
    <x v="4"/>
    <m/>
    <x v="1"/>
    <x v="2"/>
    <x v="21"/>
    <n v="190801"/>
    <n v="190801"/>
    <m/>
    <n v="1"/>
    <n v="190801"/>
    <n v="35000"/>
  </r>
  <r>
    <x v="238"/>
    <x v="4"/>
    <m/>
    <x v="4"/>
    <x v="2"/>
    <x v="26"/>
    <n v="190801"/>
    <n v="190801"/>
    <m/>
    <n v="2"/>
    <n v="190801"/>
    <n v="8000"/>
  </r>
  <r>
    <x v="238"/>
    <x v="4"/>
    <m/>
    <x v="4"/>
    <x v="2"/>
    <x v="27"/>
    <n v="190801"/>
    <n v="190801"/>
    <m/>
    <n v="3"/>
    <n v="190801"/>
    <n v="60000"/>
  </r>
  <r>
    <x v="238"/>
    <x v="4"/>
    <m/>
    <x v="0"/>
    <x v="2"/>
    <x v="15"/>
    <n v="190801"/>
    <n v="190801"/>
    <m/>
    <n v="72"/>
    <n v="190801"/>
    <n v="1440000"/>
  </r>
  <r>
    <x v="238"/>
    <x v="4"/>
    <m/>
    <x v="0"/>
    <x v="2"/>
    <x v="16"/>
    <n v="190801"/>
    <n v="190801"/>
    <m/>
    <n v="60"/>
    <n v="190801"/>
    <n v="2100000"/>
  </r>
  <r>
    <x v="238"/>
    <x v="4"/>
    <m/>
    <x v="0"/>
    <x v="2"/>
    <x v="17"/>
    <n v="190801"/>
    <n v="190801"/>
    <m/>
    <n v="69"/>
    <n v="190801"/>
    <n v="2277000"/>
  </r>
  <r>
    <x v="238"/>
    <x v="4"/>
    <m/>
    <x v="0"/>
    <x v="2"/>
    <x v="19"/>
    <n v="190801"/>
    <n v="190801"/>
    <m/>
    <n v="65"/>
    <n v="190801"/>
    <n v="195000"/>
  </r>
  <r>
    <x v="238"/>
    <x v="4"/>
    <m/>
    <x v="5"/>
    <x v="2"/>
    <x v="28"/>
    <n v="190801"/>
    <n v="190801"/>
    <m/>
    <n v="20"/>
    <n v="190801"/>
    <n v="560000"/>
  </r>
  <r>
    <x v="238"/>
    <x v="4"/>
    <m/>
    <x v="22"/>
    <x v="2"/>
    <x v="29"/>
    <n v="190801"/>
    <n v="190801"/>
    <m/>
    <n v="5"/>
    <n v="190801"/>
    <n v="190000"/>
  </r>
  <r>
    <x v="238"/>
    <x v="4"/>
    <m/>
    <x v="19"/>
    <x v="2"/>
    <x v="22"/>
    <n v="190801"/>
    <n v="190801"/>
    <m/>
    <n v="11"/>
    <n v="190801"/>
    <n v="143000"/>
  </r>
  <r>
    <x v="238"/>
    <x v="4"/>
    <m/>
    <x v="19"/>
    <x v="2"/>
    <x v="23"/>
    <n v="190801"/>
    <n v="190801"/>
    <m/>
    <n v="5"/>
    <n v="190801"/>
    <n v="120000"/>
  </r>
  <r>
    <x v="238"/>
    <x v="4"/>
    <m/>
    <x v="19"/>
    <x v="2"/>
    <x v="24"/>
    <n v="190801"/>
    <n v="190801"/>
    <m/>
    <n v="1"/>
    <n v="190801"/>
    <n v="33000"/>
  </r>
  <r>
    <x v="238"/>
    <x v="4"/>
    <m/>
    <x v="0"/>
    <x v="4"/>
    <x v="15"/>
    <n v="190801"/>
    <n v="190801"/>
    <m/>
    <n v="8"/>
    <n v="190801"/>
    <n v="252000"/>
  </r>
  <r>
    <x v="238"/>
    <x v="4"/>
    <m/>
    <x v="0"/>
    <x v="4"/>
    <x v="16"/>
    <n v="190801"/>
    <n v="190801"/>
    <m/>
    <n v="9"/>
    <n v="190801"/>
    <n v="396000"/>
  </r>
  <r>
    <x v="238"/>
    <x v="4"/>
    <m/>
    <x v="5"/>
    <x v="4"/>
    <x v="28"/>
    <n v="190801"/>
    <n v="190801"/>
    <m/>
    <n v="2"/>
    <n v="190801"/>
    <n v="76000"/>
  </r>
  <r>
    <x v="238"/>
    <x v="4"/>
    <m/>
    <x v="1"/>
    <x v="4"/>
    <x v="18"/>
    <n v="190801"/>
    <n v="190801"/>
    <m/>
    <n v="1"/>
    <n v="190801"/>
    <n v="31500"/>
  </r>
  <r>
    <x v="238"/>
    <x v="4"/>
    <m/>
    <x v="19"/>
    <x v="4"/>
    <x v="22"/>
    <n v="190801"/>
    <n v="190801"/>
    <m/>
    <n v="1"/>
    <n v="190801"/>
    <n v="25000"/>
  </r>
  <r>
    <x v="239"/>
    <x v="1"/>
    <m/>
    <x v="0"/>
    <x v="1"/>
    <x v="15"/>
    <n v="190801"/>
    <n v="190801"/>
    <m/>
    <n v="1"/>
    <n v="190801"/>
    <n v="20000"/>
  </r>
  <r>
    <x v="239"/>
    <x v="1"/>
    <m/>
    <x v="0"/>
    <x v="1"/>
    <x v="16"/>
    <n v="190801"/>
    <n v="190801"/>
    <m/>
    <n v="4"/>
    <n v="190801"/>
    <n v="140000"/>
  </r>
  <r>
    <x v="239"/>
    <x v="1"/>
    <m/>
    <x v="0"/>
    <x v="7"/>
    <x v="15"/>
    <n v="190801"/>
    <n v="190801"/>
    <m/>
    <n v="1"/>
    <n v="190801"/>
    <n v="20000"/>
  </r>
  <r>
    <x v="239"/>
    <x v="1"/>
    <m/>
    <x v="0"/>
    <x v="5"/>
    <x v="15"/>
    <n v="190801"/>
    <n v="190801"/>
    <m/>
    <n v="20"/>
    <n v="190801"/>
    <n v="204540"/>
  </r>
  <r>
    <x v="239"/>
    <x v="1"/>
    <m/>
    <x v="6"/>
    <x v="2"/>
    <x v="37"/>
    <n v="190801"/>
    <n v="190801"/>
    <m/>
    <n v="12"/>
    <n v="190801"/>
    <n v="240000"/>
  </r>
  <r>
    <x v="239"/>
    <x v="1"/>
    <m/>
    <x v="25"/>
    <x v="2"/>
    <x v="34"/>
    <n v="190801"/>
    <n v="190801"/>
    <m/>
    <n v="5"/>
    <n v="190801"/>
    <n v="495000"/>
  </r>
  <r>
    <x v="239"/>
    <x v="1"/>
    <m/>
    <x v="1"/>
    <x v="2"/>
    <x v="21"/>
    <n v="190801"/>
    <n v="190801"/>
    <m/>
    <n v="1"/>
    <n v="190801"/>
    <n v="35000"/>
  </r>
  <r>
    <x v="239"/>
    <x v="1"/>
    <m/>
    <x v="4"/>
    <x v="2"/>
    <x v="26"/>
    <n v="190801"/>
    <n v="190801"/>
    <m/>
    <n v="2"/>
    <n v="190801"/>
    <n v="8000"/>
  </r>
  <r>
    <x v="239"/>
    <x v="1"/>
    <m/>
    <x v="4"/>
    <x v="2"/>
    <x v="27"/>
    <n v="190801"/>
    <n v="190801"/>
    <m/>
    <n v="4"/>
    <n v="190801"/>
    <n v="80000"/>
  </r>
  <r>
    <x v="239"/>
    <x v="1"/>
    <m/>
    <x v="0"/>
    <x v="2"/>
    <x v="15"/>
    <n v="190801"/>
    <n v="190801"/>
    <m/>
    <n v="37"/>
    <n v="190801"/>
    <n v="740000"/>
  </r>
  <r>
    <x v="239"/>
    <x v="1"/>
    <m/>
    <x v="0"/>
    <x v="2"/>
    <x v="16"/>
    <n v="190801"/>
    <n v="190801"/>
    <m/>
    <n v="28"/>
    <n v="190801"/>
    <n v="980000"/>
  </r>
  <r>
    <x v="239"/>
    <x v="1"/>
    <m/>
    <x v="0"/>
    <x v="2"/>
    <x v="17"/>
    <n v="190801"/>
    <n v="190801"/>
    <m/>
    <n v="43"/>
    <n v="190801"/>
    <n v="1419000"/>
  </r>
  <r>
    <x v="239"/>
    <x v="1"/>
    <m/>
    <x v="0"/>
    <x v="2"/>
    <x v="19"/>
    <n v="190801"/>
    <n v="190801"/>
    <m/>
    <n v="23"/>
    <n v="190801"/>
    <n v="69000"/>
  </r>
  <r>
    <x v="239"/>
    <x v="1"/>
    <m/>
    <x v="5"/>
    <x v="2"/>
    <x v="28"/>
    <n v="190801"/>
    <n v="190801"/>
    <m/>
    <n v="13"/>
    <n v="190801"/>
    <n v="364000"/>
  </r>
  <r>
    <x v="239"/>
    <x v="1"/>
    <m/>
    <x v="22"/>
    <x v="2"/>
    <x v="29"/>
    <n v="190801"/>
    <n v="190801"/>
    <m/>
    <n v="5"/>
    <n v="190801"/>
    <n v="190000"/>
  </r>
  <r>
    <x v="239"/>
    <x v="1"/>
    <m/>
    <x v="0"/>
    <x v="4"/>
    <x v="15"/>
    <n v="190801"/>
    <n v="190801"/>
    <m/>
    <n v="14"/>
    <n v="190801"/>
    <n v="441000"/>
  </r>
  <r>
    <x v="239"/>
    <x v="1"/>
    <m/>
    <x v="0"/>
    <x v="4"/>
    <x v="16"/>
    <n v="190801"/>
    <n v="190801"/>
    <m/>
    <n v="7"/>
    <n v="190801"/>
    <n v="308000"/>
  </r>
  <r>
    <x v="239"/>
    <x v="1"/>
    <m/>
    <x v="5"/>
    <x v="4"/>
    <x v="28"/>
    <n v="190801"/>
    <n v="190801"/>
    <m/>
    <n v="5"/>
    <n v="190801"/>
    <n v="190000"/>
  </r>
  <r>
    <x v="239"/>
    <x v="1"/>
    <m/>
    <x v="19"/>
    <x v="4"/>
    <x v="22"/>
    <n v="190801"/>
    <n v="190801"/>
    <m/>
    <n v="1"/>
    <n v="190801"/>
    <n v="25000"/>
  </r>
  <r>
    <x v="239"/>
    <x v="1"/>
    <m/>
    <x v="19"/>
    <x v="2"/>
    <x v="22"/>
    <n v="190801"/>
    <n v="190801"/>
    <m/>
    <n v="5"/>
    <n v="190801"/>
    <n v="65000"/>
  </r>
  <r>
    <x v="239"/>
    <x v="1"/>
    <m/>
    <x v="19"/>
    <x v="2"/>
    <x v="23"/>
    <n v="190801"/>
    <n v="190801"/>
    <m/>
    <n v="2"/>
    <n v="190801"/>
    <n v="48000"/>
  </r>
  <r>
    <x v="240"/>
    <x v="0"/>
    <m/>
    <x v="0"/>
    <x v="1"/>
    <x v="15"/>
    <n v="190801"/>
    <n v="190801"/>
    <m/>
    <n v="2"/>
    <n v="190801"/>
    <n v="40000"/>
  </r>
  <r>
    <x v="240"/>
    <x v="0"/>
    <m/>
    <x v="0"/>
    <x v="1"/>
    <x v="16"/>
    <n v="190801"/>
    <n v="190801"/>
    <m/>
    <n v="4"/>
    <n v="190801"/>
    <n v="140000"/>
  </r>
  <r>
    <x v="240"/>
    <x v="0"/>
    <m/>
    <x v="0"/>
    <x v="7"/>
    <x v="15"/>
    <n v="190801"/>
    <n v="190801"/>
    <m/>
    <n v="2"/>
    <n v="190801"/>
    <n v="40000"/>
  </r>
  <r>
    <x v="240"/>
    <x v="0"/>
    <m/>
    <x v="6"/>
    <x v="2"/>
    <x v="37"/>
    <n v="190801"/>
    <n v="190801"/>
    <m/>
    <n v="10"/>
    <n v="190801"/>
    <n v="200000"/>
  </r>
  <r>
    <x v="240"/>
    <x v="0"/>
    <m/>
    <x v="25"/>
    <x v="2"/>
    <x v="34"/>
    <n v="190801"/>
    <n v="190801"/>
    <m/>
    <n v="5"/>
    <n v="190801"/>
    <n v="495000"/>
  </r>
  <r>
    <x v="240"/>
    <x v="0"/>
    <m/>
    <x v="1"/>
    <x v="2"/>
    <x v="18"/>
    <n v="190801"/>
    <n v="190801"/>
    <m/>
    <n v="3"/>
    <n v="190801"/>
    <n v="60000"/>
  </r>
  <r>
    <x v="240"/>
    <x v="0"/>
    <m/>
    <x v="1"/>
    <x v="2"/>
    <x v="21"/>
    <n v="190801"/>
    <n v="190801"/>
    <m/>
    <n v="2"/>
    <n v="190801"/>
    <n v="70000"/>
  </r>
  <r>
    <x v="240"/>
    <x v="0"/>
    <m/>
    <x v="4"/>
    <x v="2"/>
    <x v="26"/>
    <n v="190801"/>
    <n v="190801"/>
    <m/>
    <n v="3"/>
    <n v="190801"/>
    <n v="12000"/>
  </r>
  <r>
    <x v="240"/>
    <x v="0"/>
    <m/>
    <x v="4"/>
    <x v="2"/>
    <x v="27"/>
    <n v="190801"/>
    <n v="190801"/>
    <m/>
    <n v="2"/>
    <n v="190801"/>
    <n v="40000"/>
  </r>
  <r>
    <x v="240"/>
    <x v="0"/>
    <m/>
    <x v="0"/>
    <x v="2"/>
    <x v="15"/>
    <n v="190801"/>
    <n v="190801"/>
    <m/>
    <n v="44"/>
    <n v="190801"/>
    <n v="880000"/>
  </r>
  <r>
    <x v="240"/>
    <x v="0"/>
    <m/>
    <x v="0"/>
    <x v="2"/>
    <x v="16"/>
    <n v="190801"/>
    <n v="190801"/>
    <m/>
    <n v="46"/>
    <n v="190801"/>
    <n v="1610000"/>
  </r>
  <r>
    <x v="240"/>
    <x v="0"/>
    <m/>
    <x v="0"/>
    <x v="2"/>
    <x v="17"/>
    <n v="190801"/>
    <n v="190801"/>
    <m/>
    <n v="38"/>
    <n v="190801"/>
    <n v="1254000"/>
  </r>
  <r>
    <x v="240"/>
    <x v="0"/>
    <m/>
    <x v="0"/>
    <x v="2"/>
    <x v="19"/>
    <n v="190801"/>
    <n v="190801"/>
    <m/>
    <n v="64"/>
    <n v="190801"/>
    <n v="192000"/>
  </r>
  <r>
    <x v="240"/>
    <x v="0"/>
    <m/>
    <x v="5"/>
    <x v="2"/>
    <x v="28"/>
    <n v="190801"/>
    <n v="190801"/>
    <m/>
    <n v="14"/>
    <n v="190801"/>
    <n v="392000"/>
  </r>
  <r>
    <x v="240"/>
    <x v="0"/>
    <m/>
    <x v="22"/>
    <x v="2"/>
    <x v="29"/>
    <n v="190801"/>
    <n v="190801"/>
    <m/>
    <n v="4"/>
    <n v="190801"/>
    <n v="152000"/>
  </r>
  <r>
    <x v="240"/>
    <x v="0"/>
    <m/>
    <x v="19"/>
    <x v="2"/>
    <x v="23"/>
    <n v="190801"/>
    <n v="190801"/>
    <m/>
    <n v="1"/>
    <n v="190801"/>
    <n v="24000"/>
  </r>
  <r>
    <x v="240"/>
    <x v="0"/>
    <m/>
    <x v="0"/>
    <x v="4"/>
    <x v="15"/>
    <n v="190801"/>
    <n v="190801"/>
    <m/>
    <n v="16"/>
    <n v="190801"/>
    <n v="504000"/>
  </r>
  <r>
    <x v="240"/>
    <x v="0"/>
    <m/>
    <x v="0"/>
    <x v="4"/>
    <x v="16"/>
    <n v="190801"/>
    <n v="190801"/>
    <m/>
    <n v="6"/>
    <n v="190801"/>
    <n v="264000"/>
  </r>
  <r>
    <x v="240"/>
    <x v="0"/>
    <m/>
    <x v="5"/>
    <x v="4"/>
    <x v="28"/>
    <n v="190801"/>
    <n v="190801"/>
    <m/>
    <n v="3"/>
    <n v="190801"/>
    <n v="114000"/>
  </r>
  <r>
    <x v="240"/>
    <x v="0"/>
    <m/>
    <x v="1"/>
    <x v="4"/>
    <x v="18"/>
    <n v="190801"/>
    <n v="190801"/>
    <m/>
    <n v="1"/>
    <n v="190801"/>
    <n v="31500"/>
  </r>
  <r>
    <x v="241"/>
    <x v="2"/>
    <m/>
    <x v="0"/>
    <x v="1"/>
    <x v="16"/>
    <n v="190801"/>
    <n v="190801"/>
    <m/>
    <n v="2"/>
    <n v="190801"/>
    <n v="70000"/>
  </r>
  <r>
    <x v="241"/>
    <x v="2"/>
    <m/>
    <x v="0"/>
    <x v="7"/>
    <x v="15"/>
    <n v="190801"/>
    <n v="190801"/>
    <m/>
    <n v="2"/>
    <n v="190801"/>
    <n v="40000"/>
  </r>
  <r>
    <x v="241"/>
    <x v="2"/>
    <m/>
    <x v="6"/>
    <x v="2"/>
    <x v="37"/>
    <n v="190801"/>
    <n v="190801"/>
    <m/>
    <n v="8"/>
    <n v="190801"/>
    <n v="160000"/>
  </r>
  <r>
    <x v="241"/>
    <x v="2"/>
    <m/>
    <x v="25"/>
    <x v="2"/>
    <x v="34"/>
    <n v="190801"/>
    <n v="190801"/>
    <m/>
    <n v="6"/>
    <n v="190801"/>
    <n v="594000"/>
  </r>
  <r>
    <x v="241"/>
    <x v="2"/>
    <m/>
    <x v="1"/>
    <x v="2"/>
    <x v="18"/>
    <n v="190801"/>
    <n v="190801"/>
    <m/>
    <n v="4"/>
    <n v="190801"/>
    <n v="80000"/>
  </r>
  <r>
    <x v="241"/>
    <x v="2"/>
    <m/>
    <x v="4"/>
    <x v="2"/>
    <x v="26"/>
    <n v="190801"/>
    <n v="190801"/>
    <m/>
    <n v="3"/>
    <n v="190801"/>
    <n v="12000"/>
  </r>
  <r>
    <x v="241"/>
    <x v="2"/>
    <m/>
    <x v="4"/>
    <x v="2"/>
    <x v="27"/>
    <n v="190801"/>
    <n v="190801"/>
    <m/>
    <n v="2"/>
    <n v="190801"/>
    <n v="40000"/>
  </r>
  <r>
    <x v="241"/>
    <x v="2"/>
    <m/>
    <x v="0"/>
    <x v="2"/>
    <x v="15"/>
    <n v="190801"/>
    <n v="190801"/>
    <m/>
    <n v="24"/>
    <n v="190801"/>
    <n v="480000"/>
  </r>
  <r>
    <x v="241"/>
    <x v="2"/>
    <m/>
    <x v="0"/>
    <x v="2"/>
    <x v="16"/>
    <n v="190801"/>
    <n v="190801"/>
    <m/>
    <n v="70"/>
    <n v="190801"/>
    <n v="2450000"/>
  </r>
  <r>
    <x v="241"/>
    <x v="2"/>
    <m/>
    <x v="0"/>
    <x v="2"/>
    <x v="17"/>
    <n v="190801"/>
    <n v="190801"/>
    <m/>
    <n v="39"/>
    <n v="190801"/>
    <n v="1287000"/>
  </r>
  <r>
    <x v="241"/>
    <x v="2"/>
    <m/>
    <x v="0"/>
    <x v="2"/>
    <x v="19"/>
    <n v="190801"/>
    <n v="190801"/>
    <m/>
    <n v="23"/>
    <n v="190801"/>
    <n v="69000"/>
  </r>
  <r>
    <x v="241"/>
    <x v="2"/>
    <m/>
    <x v="5"/>
    <x v="2"/>
    <x v="28"/>
    <n v="190801"/>
    <n v="190801"/>
    <m/>
    <n v="12"/>
    <n v="190801"/>
    <n v="336000"/>
  </r>
  <r>
    <x v="241"/>
    <x v="2"/>
    <m/>
    <x v="22"/>
    <x v="2"/>
    <x v="29"/>
    <n v="190801"/>
    <n v="190801"/>
    <m/>
    <n v="5"/>
    <n v="190801"/>
    <n v="190000"/>
  </r>
  <r>
    <x v="241"/>
    <x v="2"/>
    <m/>
    <x v="19"/>
    <x v="2"/>
    <x v="22"/>
    <n v="190801"/>
    <n v="190801"/>
    <m/>
    <n v="3"/>
    <n v="190801"/>
    <n v="39000"/>
  </r>
  <r>
    <x v="241"/>
    <x v="2"/>
    <m/>
    <x v="19"/>
    <x v="2"/>
    <x v="23"/>
    <n v="190801"/>
    <n v="190801"/>
    <m/>
    <n v="3"/>
    <n v="190801"/>
    <n v="72000"/>
  </r>
  <r>
    <x v="241"/>
    <x v="2"/>
    <m/>
    <x v="19"/>
    <x v="2"/>
    <x v="24"/>
    <n v="190801"/>
    <n v="190801"/>
    <m/>
    <n v="1"/>
    <n v="190801"/>
    <n v="33000"/>
  </r>
  <r>
    <x v="241"/>
    <x v="2"/>
    <m/>
    <x v="0"/>
    <x v="4"/>
    <x v="15"/>
    <n v="190801"/>
    <n v="190801"/>
    <m/>
    <n v="15"/>
    <n v="190801"/>
    <n v="472500"/>
  </r>
  <r>
    <x v="241"/>
    <x v="2"/>
    <m/>
    <x v="0"/>
    <x v="4"/>
    <x v="16"/>
    <n v="190801"/>
    <n v="190801"/>
    <m/>
    <n v="17"/>
    <n v="190801"/>
    <n v="748000"/>
  </r>
  <r>
    <x v="241"/>
    <x v="2"/>
    <m/>
    <x v="5"/>
    <x v="4"/>
    <x v="28"/>
    <n v="190801"/>
    <n v="190801"/>
    <m/>
    <n v="2"/>
    <n v="190801"/>
    <n v="76000"/>
  </r>
  <r>
    <x v="242"/>
    <x v="5"/>
    <m/>
    <x v="0"/>
    <x v="7"/>
    <x v="15"/>
    <n v="190801"/>
    <n v="190801"/>
    <m/>
    <n v="2"/>
    <n v="190801"/>
    <n v="40000"/>
  </r>
  <r>
    <x v="242"/>
    <x v="5"/>
    <m/>
    <x v="6"/>
    <x v="2"/>
    <x v="37"/>
    <n v="190801"/>
    <n v="190801"/>
    <m/>
    <n v="7"/>
    <n v="190801"/>
    <n v="140000"/>
  </r>
  <r>
    <x v="242"/>
    <x v="5"/>
    <m/>
    <x v="25"/>
    <x v="2"/>
    <x v="34"/>
    <n v="190801"/>
    <n v="190801"/>
    <m/>
    <n v="7"/>
    <n v="190801"/>
    <n v="693000"/>
  </r>
  <r>
    <x v="242"/>
    <x v="5"/>
    <m/>
    <x v="1"/>
    <x v="2"/>
    <x v="18"/>
    <n v="190801"/>
    <n v="190801"/>
    <m/>
    <n v="2"/>
    <n v="190801"/>
    <n v="40000"/>
  </r>
  <r>
    <x v="242"/>
    <x v="5"/>
    <m/>
    <x v="4"/>
    <x v="2"/>
    <x v="27"/>
    <n v="190801"/>
    <n v="190801"/>
    <m/>
    <n v="1"/>
    <n v="190801"/>
    <n v="20000"/>
  </r>
  <r>
    <x v="242"/>
    <x v="5"/>
    <m/>
    <x v="0"/>
    <x v="2"/>
    <x v="15"/>
    <n v="190801"/>
    <n v="190801"/>
    <m/>
    <n v="38"/>
    <n v="190801"/>
    <n v="760000"/>
  </r>
  <r>
    <x v="242"/>
    <x v="5"/>
    <m/>
    <x v="0"/>
    <x v="2"/>
    <x v="16"/>
    <n v="190801"/>
    <n v="190801"/>
    <m/>
    <n v="31"/>
    <n v="190801"/>
    <n v="1085000"/>
  </r>
  <r>
    <x v="242"/>
    <x v="5"/>
    <m/>
    <x v="0"/>
    <x v="2"/>
    <x v="17"/>
    <n v="190801"/>
    <n v="190801"/>
    <m/>
    <n v="20"/>
    <n v="190801"/>
    <n v="660000"/>
  </r>
  <r>
    <x v="242"/>
    <x v="5"/>
    <m/>
    <x v="0"/>
    <x v="2"/>
    <x v="19"/>
    <n v="190801"/>
    <n v="190801"/>
    <m/>
    <n v="41"/>
    <n v="190801"/>
    <n v="123000"/>
  </r>
  <r>
    <x v="242"/>
    <x v="5"/>
    <m/>
    <x v="5"/>
    <x v="2"/>
    <x v="28"/>
    <n v="190801"/>
    <n v="190801"/>
    <m/>
    <n v="12"/>
    <n v="190801"/>
    <n v="336000"/>
  </r>
  <r>
    <x v="242"/>
    <x v="5"/>
    <m/>
    <x v="22"/>
    <x v="2"/>
    <x v="29"/>
    <n v="190801"/>
    <n v="190801"/>
    <m/>
    <n v="3"/>
    <n v="190801"/>
    <n v="114000"/>
  </r>
  <r>
    <x v="242"/>
    <x v="5"/>
    <m/>
    <x v="19"/>
    <x v="2"/>
    <x v="22"/>
    <n v="190801"/>
    <n v="190801"/>
    <m/>
    <n v="7"/>
    <n v="190801"/>
    <n v="91000"/>
  </r>
  <r>
    <x v="242"/>
    <x v="5"/>
    <m/>
    <x v="19"/>
    <x v="2"/>
    <x v="23"/>
    <n v="190801"/>
    <n v="190801"/>
    <m/>
    <n v="1"/>
    <n v="190801"/>
    <n v="24000"/>
  </r>
  <r>
    <x v="242"/>
    <x v="5"/>
    <m/>
    <x v="19"/>
    <x v="2"/>
    <x v="38"/>
    <n v="190801"/>
    <n v="190801"/>
    <m/>
    <n v="2"/>
    <n v="190801"/>
    <n v="20000"/>
  </r>
  <r>
    <x v="243"/>
    <x v="6"/>
    <m/>
    <x v="0"/>
    <x v="7"/>
    <x v="15"/>
    <n v="190801"/>
    <n v="190801"/>
    <m/>
    <n v="5"/>
    <n v="190801"/>
    <n v="100000"/>
  </r>
  <r>
    <x v="243"/>
    <x v="6"/>
    <m/>
    <x v="6"/>
    <x v="2"/>
    <x v="37"/>
    <n v="190801"/>
    <n v="190801"/>
    <m/>
    <n v="14"/>
    <n v="190801"/>
    <n v="280000"/>
  </r>
  <r>
    <x v="243"/>
    <x v="6"/>
    <m/>
    <x v="19"/>
    <x v="2"/>
    <x v="38"/>
    <n v="190801"/>
    <n v="190801"/>
    <m/>
    <n v="6"/>
    <n v="190801"/>
    <n v="60000"/>
  </r>
  <r>
    <x v="243"/>
    <x v="6"/>
    <m/>
    <x v="25"/>
    <x v="2"/>
    <x v="34"/>
    <n v="190801"/>
    <n v="190801"/>
    <m/>
    <n v="2"/>
    <n v="190801"/>
    <n v="198000"/>
  </r>
  <r>
    <x v="243"/>
    <x v="6"/>
    <m/>
    <x v="1"/>
    <x v="2"/>
    <x v="18"/>
    <n v="190801"/>
    <n v="190801"/>
    <m/>
    <n v="2"/>
    <n v="190801"/>
    <n v="40000"/>
  </r>
  <r>
    <x v="243"/>
    <x v="6"/>
    <m/>
    <x v="4"/>
    <x v="2"/>
    <x v="26"/>
    <n v="190801"/>
    <n v="190801"/>
    <m/>
    <n v="4"/>
    <n v="190801"/>
    <n v="16000"/>
  </r>
  <r>
    <x v="243"/>
    <x v="6"/>
    <m/>
    <x v="4"/>
    <x v="2"/>
    <x v="27"/>
    <n v="190801"/>
    <n v="190801"/>
    <m/>
    <n v="11"/>
    <n v="190801"/>
    <n v="220000"/>
  </r>
  <r>
    <x v="243"/>
    <x v="6"/>
    <m/>
    <x v="0"/>
    <x v="2"/>
    <x v="15"/>
    <n v="190801"/>
    <n v="190801"/>
    <m/>
    <n v="49"/>
    <n v="190801"/>
    <n v="980000"/>
  </r>
  <r>
    <x v="243"/>
    <x v="6"/>
    <m/>
    <x v="0"/>
    <x v="2"/>
    <x v="16"/>
    <n v="190801"/>
    <n v="190801"/>
    <m/>
    <n v="443"/>
    <n v="190801"/>
    <n v="15505000"/>
  </r>
  <r>
    <x v="243"/>
    <x v="6"/>
    <m/>
    <x v="0"/>
    <x v="2"/>
    <x v="17"/>
    <n v="190801"/>
    <n v="190801"/>
    <m/>
    <n v="28"/>
    <n v="190801"/>
    <n v="924000"/>
  </r>
  <r>
    <x v="243"/>
    <x v="6"/>
    <m/>
    <x v="0"/>
    <x v="2"/>
    <x v="19"/>
    <n v="190801"/>
    <n v="190801"/>
    <m/>
    <n v="50"/>
    <n v="190801"/>
    <n v="150000"/>
  </r>
  <r>
    <x v="243"/>
    <x v="6"/>
    <m/>
    <x v="5"/>
    <x v="2"/>
    <x v="28"/>
    <n v="190801"/>
    <n v="190801"/>
    <m/>
    <n v="13"/>
    <n v="190801"/>
    <n v="364000"/>
  </r>
  <r>
    <x v="243"/>
    <x v="6"/>
    <m/>
    <x v="22"/>
    <x v="2"/>
    <x v="29"/>
    <n v="190801"/>
    <n v="190801"/>
    <m/>
    <n v="6"/>
    <n v="190801"/>
    <n v="228000"/>
  </r>
  <r>
    <x v="243"/>
    <x v="6"/>
    <m/>
    <x v="19"/>
    <x v="2"/>
    <x v="22"/>
    <n v="190801"/>
    <n v="190801"/>
    <m/>
    <n v="7"/>
    <n v="190801"/>
    <n v="91000"/>
  </r>
  <r>
    <x v="243"/>
    <x v="6"/>
    <m/>
    <x v="0"/>
    <x v="6"/>
    <x v="15"/>
    <n v="190801"/>
    <n v="190801"/>
    <m/>
    <n v="217"/>
    <n v="190801"/>
    <n v="1967756"/>
  </r>
  <r>
    <x v="243"/>
    <x v="6"/>
    <m/>
    <x v="0"/>
    <x v="6"/>
    <x v="17"/>
    <n v="190801"/>
    <n v="190801"/>
    <m/>
    <n v="39"/>
    <n v="190801"/>
    <n v="616902"/>
  </r>
  <r>
    <x v="243"/>
    <x v="6"/>
    <m/>
    <x v="4"/>
    <x v="6"/>
    <x v="26"/>
    <n v="190801"/>
    <n v="190801"/>
    <m/>
    <n v="611"/>
    <n v="190801"/>
    <n v="655603"/>
  </r>
  <r>
    <x v="243"/>
    <x v="6"/>
    <m/>
    <x v="26"/>
    <x v="6"/>
    <x v="35"/>
    <n v="190801"/>
    <n v="190801"/>
    <m/>
    <n v="97"/>
    <n v="190801"/>
    <n v="1661707"/>
  </r>
  <r>
    <x v="243"/>
    <x v="6"/>
    <m/>
    <x v="22"/>
    <x v="6"/>
    <x v="29"/>
    <n v="190801"/>
    <n v="190801"/>
    <m/>
    <n v="6"/>
    <n v="190801"/>
    <n v="118146"/>
  </r>
  <r>
    <x v="243"/>
    <x v="6"/>
    <m/>
    <x v="24"/>
    <x v="6"/>
    <x v="31"/>
    <n v="190801"/>
    <n v="190801"/>
    <m/>
    <n v="130"/>
    <n v="190801"/>
    <n v="1934010"/>
  </r>
  <r>
    <x v="243"/>
    <x v="6"/>
    <m/>
    <x v="23"/>
    <x v="6"/>
    <x v="30"/>
    <n v="190801"/>
    <n v="190801"/>
    <m/>
    <n v="77"/>
    <n v="190801"/>
    <n v="536228"/>
  </r>
  <r>
    <x v="243"/>
    <x v="6"/>
    <m/>
    <x v="20"/>
    <x v="6"/>
    <x v="25"/>
    <n v="190801"/>
    <n v="190801"/>
    <m/>
    <n v="3"/>
    <n v="190801"/>
    <n v="29148"/>
  </r>
  <r>
    <x v="243"/>
    <x v="6"/>
    <m/>
    <x v="19"/>
    <x v="6"/>
    <x v="22"/>
    <n v="190801"/>
    <n v="190801"/>
    <m/>
    <n v="5"/>
    <n v="190801"/>
    <n v="33955"/>
  </r>
  <r>
    <x v="243"/>
    <x v="6"/>
    <m/>
    <x v="27"/>
    <x v="6"/>
    <x v="36"/>
    <n v="190801"/>
    <n v="190801"/>
    <m/>
    <n v="1584"/>
    <n v="190801"/>
    <n v="14979888"/>
  </r>
  <r>
    <x v="243"/>
    <x v="6"/>
    <m/>
    <x v="6"/>
    <x v="6"/>
    <x v="37"/>
    <n v="190801"/>
    <n v="190801"/>
    <m/>
    <n v="40"/>
    <n v="190801"/>
    <n v="400000"/>
  </r>
  <r>
    <x v="243"/>
    <x v="6"/>
    <m/>
    <x v="28"/>
    <x v="6"/>
    <x v="39"/>
    <n v="190801"/>
    <n v="190801"/>
    <m/>
    <n v="471"/>
    <n v="190801"/>
    <n v="7450278"/>
  </r>
  <r>
    <x v="246"/>
    <x v="3"/>
    <m/>
    <x v="0"/>
    <x v="1"/>
    <x v="15"/>
    <n v="190801"/>
    <n v="190801"/>
    <m/>
    <n v="3"/>
    <n v="190801"/>
    <n v="60000"/>
  </r>
  <r>
    <x v="246"/>
    <x v="3"/>
    <m/>
    <x v="0"/>
    <x v="1"/>
    <x v="16"/>
    <n v="190801"/>
    <n v="190801"/>
    <m/>
    <n v="9"/>
    <n v="190801"/>
    <n v="315000"/>
  </r>
  <r>
    <x v="246"/>
    <x v="3"/>
    <m/>
    <x v="0"/>
    <x v="7"/>
    <x v="15"/>
    <n v="190801"/>
    <n v="190801"/>
    <m/>
    <n v="2"/>
    <n v="190801"/>
    <n v="40000"/>
  </r>
  <r>
    <x v="246"/>
    <x v="3"/>
    <m/>
    <x v="6"/>
    <x v="2"/>
    <x v="37"/>
    <n v="190801"/>
    <n v="190801"/>
    <m/>
    <n v="14"/>
    <n v="190801"/>
    <n v="280000"/>
  </r>
  <r>
    <x v="246"/>
    <x v="3"/>
    <m/>
    <x v="19"/>
    <x v="2"/>
    <x v="38"/>
    <n v="190801"/>
    <n v="190801"/>
    <m/>
    <n v="1"/>
    <n v="190801"/>
    <n v="10000"/>
  </r>
  <r>
    <x v="246"/>
    <x v="3"/>
    <m/>
    <x v="25"/>
    <x v="2"/>
    <x v="34"/>
    <n v="190801"/>
    <n v="190801"/>
    <m/>
    <n v="6"/>
    <n v="190801"/>
    <n v="594000"/>
  </r>
  <r>
    <x v="246"/>
    <x v="3"/>
    <m/>
    <x v="1"/>
    <x v="2"/>
    <x v="18"/>
    <n v="190801"/>
    <n v="190801"/>
    <m/>
    <n v="4"/>
    <n v="190801"/>
    <n v="80000"/>
  </r>
  <r>
    <x v="246"/>
    <x v="3"/>
    <m/>
    <x v="4"/>
    <x v="2"/>
    <x v="26"/>
    <n v="190801"/>
    <n v="190801"/>
    <m/>
    <n v="3"/>
    <n v="190801"/>
    <n v="12000"/>
  </r>
  <r>
    <x v="246"/>
    <x v="3"/>
    <m/>
    <x v="4"/>
    <x v="2"/>
    <x v="27"/>
    <n v="190801"/>
    <n v="190801"/>
    <m/>
    <n v="1"/>
    <n v="190801"/>
    <n v="20000"/>
  </r>
  <r>
    <x v="246"/>
    <x v="3"/>
    <m/>
    <x v="0"/>
    <x v="2"/>
    <x v="15"/>
    <n v="190801"/>
    <n v="190801"/>
    <m/>
    <n v="89"/>
    <n v="190801"/>
    <n v="1780000"/>
  </r>
  <r>
    <x v="246"/>
    <x v="3"/>
    <m/>
    <x v="0"/>
    <x v="2"/>
    <x v="16"/>
    <n v="190801"/>
    <n v="190801"/>
    <m/>
    <n v="50"/>
    <n v="190801"/>
    <n v="1750000"/>
  </r>
  <r>
    <x v="246"/>
    <x v="3"/>
    <m/>
    <x v="0"/>
    <x v="2"/>
    <x v="17"/>
    <n v="190801"/>
    <n v="190801"/>
    <m/>
    <n v="48"/>
    <n v="190801"/>
    <n v="1584000"/>
  </r>
  <r>
    <x v="246"/>
    <x v="3"/>
    <m/>
    <x v="0"/>
    <x v="2"/>
    <x v="19"/>
    <n v="190801"/>
    <n v="190801"/>
    <m/>
    <n v="60"/>
    <n v="190801"/>
    <n v="180000"/>
  </r>
  <r>
    <x v="246"/>
    <x v="3"/>
    <m/>
    <x v="5"/>
    <x v="2"/>
    <x v="28"/>
    <n v="190801"/>
    <n v="190801"/>
    <m/>
    <n v="22"/>
    <n v="190801"/>
    <n v="616000"/>
  </r>
  <r>
    <x v="246"/>
    <x v="3"/>
    <m/>
    <x v="22"/>
    <x v="2"/>
    <x v="29"/>
    <n v="190801"/>
    <n v="190801"/>
    <m/>
    <n v="6"/>
    <n v="190801"/>
    <n v="228000"/>
  </r>
  <r>
    <x v="246"/>
    <x v="3"/>
    <m/>
    <x v="0"/>
    <x v="4"/>
    <x v="15"/>
    <n v="190801"/>
    <n v="190801"/>
    <m/>
    <n v="22"/>
    <n v="190801"/>
    <n v="693000"/>
  </r>
  <r>
    <x v="246"/>
    <x v="3"/>
    <m/>
    <x v="0"/>
    <x v="4"/>
    <x v="16"/>
    <n v="190801"/>
    <n v="190801"/>
    <m/>
    <n v="17"/>
    <n v="190801"/>
    <n v="748000"/>
  </r>
  <r>
    <x v="246"/>
    <x v="3"/>
    <m/>
    <x v="5"/>
    <x v="4"/>
    <x v="28"/>
    <n v="190801"/>
    <n v="190801"/>
    <m/>
    <n v="11"/>
    <n v="190801"/>
    <n v="418000"/>
  </r>
  <r>
    <x v="246"/>
    <x v="3"/>
    <m/>
    <x v="19"/>
    <x v="2"/>
    <x v="22"/>
    <n v="190801"/>
    <n v="190801"/>
    <m/>
    <n v="12"/>
    <n v="190801"/>
    <n v="156000"/>
  </r>
  <r>
    <x v="247"/>
    <x v="4"/>
    <m/>
    <x v="0"/>
    <x v="1"/>
    <x v="15"/>
    <n v="190801"/>
    <n v="190801"/>
    <m/>
    <n v="2"/>
    <n v="190801"/>
    <n v="40000"/>
  </r>
  <r>
    <x v="247"/>
    <x v="4"/>
    <m/>
    <x v="0"/>
    <x v="1"/>
    <x v="16"/>
    <n v="190801"/>
    <n v="190801"/>
    <m/>
    <n v="8"/>
    <n v="190801"/>
    <n v="280000"/>
  </r>
  <r>
    <x v="247"/>
    <x v="4"/>
    <m/>
    <x v="0"/>
    <x v="7"/>
    <x v="15"/>
    <n v="190801"/>
    <n v="190801"/>
    <m/>
    <n v="3"/>
    <n v="190801"/>
    <n v="60000"/>
  </r>
  <r>
    <x v="247"/>
    <x v="4"/>
    <m/>
    <x v="6"/>
    <x v="2"/>
    <x v="37"/>
    <n v="190801"/>
    <n v="190801"/>
    <m/>
    <n v="11"/>
    <n v="190801"/>
    <n v="220000"/>
  </r>
  <r>
    <x v="247"/>
    <x v="4"/>
    <m/>
    <x v="25"/>
    <x v="2"/>
    <x v="34"/>
    <n v="190801"/>
    <n v="190801"/>
    <m/>
    <n v="12"/>
    <n v="190801"/>
    <n v="1188000"/>
  </r>
  <r>
    <x v="247"/>
    <x v="4"/>
    <m/>
    <x v="1"/>
    <x v="2"/>
    <x v="18"/>
    <n v="190801"/>
    <n v="190801"/>
    <m/>
    <n v="1"/>
    <n v="190801"/>
    <n v="20000"/>
  </r>
  <r>
    <x v="247"/>
    <x v="4"/>
    <m/>
    <x v="4"/>
    <x v="2"/>
    <x v="26"/>
    <n v="190801"/>
    <n v="190801"/>
    <m/>
    <n v="4"/>
    <n v="190801"/>
    <n v="16000"/>
  </r>
  <r>
    <x v="247"/>
    <x v="4"/>
    <m/>
    <x v="4"/>
    <x v="2"/>
    <x v="27"/>
    <n v="190801"/>
    <n v="190801"/>
    <m/>
    <n v="4"/>
    <n v="190801"/>
    <n v="80000"/>
  </r>
  <r>
    <x v="247"/>
    <x v="4"/>
    <m/>
    <x v="0"/>
    <x v="2"/>
    <x v="15"/>
    <n v="190801"/>
    <n v="190801"/>
    <m/>
    <n v="63"/>
    <n v="190801"/>
    <n v="1260000"/>
  </r>
  <r>
    <x v="247"/>
    <x v="4"/>
    <m/>
    <x v="0"/>
    <x v="2"/>
    <x v="16"/>
    <n v="190801"/>
    <n v="190801"/>
    <m/>
    <n v="39"/>
    <n v="190801"/>
    <n v="1365000"/>
  </r>
  <r>
    <x v="247"/>
    <x v="4"/>
    <m/>
    <x v="0"/>
    <x v="2"/>
    <x v="17"/>
    <n v="190801"/>
    <n v="190801"/>
    <m/>
    <n v="53"/>
    <n v="190801"/>
    <n v="1749000"/>
  </r>
  <r>
    <x v="247"/>
    <x v="4"/>
    <m/>
    <x v="0"/>
    <x v="2"/>
    <x v="19"/>
    <n v="190801"/>
    <n v="190801"/>
    <m/>
    <n v="60"/>
    <n v="190801"/>
    <n v="180000"/>
  </r>
  <r>
    <x v="247"/>
    <x v="4"/>
    <m/>
    <x v="5"/>
    <x v="2"/>
    <x v="28"/>
    <n v="190801"/>
    <n v="190801"/>
    <m/>
    <n v="8"/>
    <n v="190801"/>
    <n v="224000"/>
  </r>
  <r>
    <x v="247"/>
    <x v="4"/>
    <m/>
    <x v="22"/>
    <x v="2"/>
    <x v="29"/>
    <n v="190801"/>
    <n v="190801"/>
    <m/>
    <n v="5"/>
    <n v="190801"/>
    <n v="190000"/>
  </r>
  <r>
    <x v="247"/>
    <x v="4"/>
    <m/>
    <x v="19"/>
    <x v="2"/>
    <x v="22"/>
    <n v="190801"/>
    <n v="190801"/>
    <m/>
    <n v="9"/>
    <n v="190801"/>
    <n v="117000"/>
  </r>
  <r>
    <x v="247"/>
    <x v="4"/>
    <m/>
    <x v="19"/>
    <x v="2"/>
    <x v="23"/>
    <n v="190801"/>
    <n v="190801"/>
    <m/>
    <n v="1"/>
    <n v="190801"/>
    <n v="24000"/>
  </r>
  <r>
    <x v="247"/>
    <x v="4"/>
    <m/>
    <x v="19"/>
    <x v="2"/>
    <x v="24"/>
    <n v="190801"/>
    <n v="190801"/>
    <m/>
    <n v="3"/>
    <n v="190801"/>
    <n v="99000"/>
  </r>
  <r>
    <x v="247"/>
    <x v="4"/>
    <m/>
    <x v="0"/>
    <x v="4"/>
    <x v="15"/>
    <n v="190801"/>
    <n v="190801"/>
    <m/>
    <n v="12"/>
    <n v="190801"/>
    <n v="378000"/>
  </r>
  <r>
    <x v="247"/>
    <x v="4"/>
    <m/>
    <x v="0"/>
    <x v="4"/>
    <x v="16"/>
    <n v="190801"/>
    <n v="190801"/>
    <m/>
    <n v="2"/>
    <n v="190801"/>
    <n v="88000"/>
  </r>
  <r>
    <x v="247"/>
    <x v="4"/>
    <m/>
    <x v="5"/>
    <x v="4"/>
    <x v="28"/>
    <n v="190801"/>
    <n v="190801"/>
    <m/>
    <n v="2"/>
    <n v="190801"/>
    <n v="76000"/>
  </r>
  <r>
    <x v="248"/>
    <x v="1"/>
    <m/>
    <x v="0"/>
    <x v="1"/>
    <x v="15"/>
    <n v="190801"/>
    <n v="190801"/>
    <m/>
    <n v="2"/>
    <n v="190801"/>
    <n v="40000"/>
  </r>
  <r>
    <x v="248"/>
    <x v="1"/>
    <m/>
    <x v="0"/>
    <x v="1"/>
    <x v="16"/>
    <n v="190801"/>
    <n v="190801"/>
    <m/>
    <n v="3"/>
    <n v="190801"/>
    <n v="105000"/>
  </r>
  <r>
    <x v="248"/>
    <x v="1"/>
    <m/>
    <x v="0"/>
    <x v="7"/>
    <x v="15"/>
    <n v="190801"/>
    <n v="190801"/>
    <m/>
    <n v="3"/>
    <n v="190801"/>
    <n v="60000"/>
  </r>
  <r>
    <x v="248"/>
    <x v="1"/>
    <m/>
    <x v="6"/>
    <x v="2"/>
    <x v="37"/>
    <n v="190801"/>
    <n v="190801"/>
    <m/>
    <n v="13"/>
    <n v="190801"/>
    <n v="260000"/>
  </r>
  <r>
    <x v="248"/>
    <x v="1"/>
    <m/>
    <x v="19"/>
    <x v="2"/>
    <x v="38"/>
    <n v="190801"/>
    <n v="190801"/>
    <m/>
    <n v="3"/>
    <n v="190801"/>
    <n v="30000"/>
  </r>
  <r>
    <x v="248"/>
    <x v="1"/>
    <m/>
    <x v="25"/>
    <x v="2"/>
    <x v="34"/>
    <n v="190801"/>
    <n v="190801"/>
    <m/>
    <n v="4"/>
    <n v="190801"/>
    <n v="396000"/>
  </r>
  <r>
    <x v="248"/>
    <x v="1"/>
    <m/>
    <x v="1"/>
    <x v="2"/>
    <x v="18"/>
    <n v="190801"/>
    <n v="190801"/>
    <m/>
    <n v="1"/>
    <n v="190801"/>
    <n v="20000"/>
  </r>
  <r>
    <x v="248"/>
    <x v="1"/>
    <m/>
    <x v="1"/>
    <x v="2"/>
    <x v="21"/>
    <n v="190801"/>
    <n v="190801"/>
    <m/>
    <n v="2"/>
    <n v="190801"/>
    <n v="70000"/>
  </r>
  <r>
    <x v="248"/>
    <x v="1"/>
    <m/>
    <x v="4"/>
    <x v="2"/>
    <x v="26"/>
    <n v="190801"/>
    <n v="190801"/>
    <m/>
    <n v="6"/>
    <n v="190801"/>
    <n v="24000"/>
  </r>
  <r>
    <x v="248"/>
    <x v="1"/>
    <m/>
    <x v="4"/>
    <x v="2"/>
    <x v="27"/>
    <n v="190801"/>
    <n v="190801"/>
    <m/>
    <n v="9"/>
    <n v="190801"/>
    <n v="180000"/>
  </r>
  <r>
    <x v="248"/>
    <x v="1"/>
    <m/>
    <x v="0"/>
    <x v="2"/>
    <x v="15"/>
    <n v="190801"/>
    <n v="190801"/>
    <m/>
    <n v="56"/>
    <n v="190801"/>
    <n v="1120000"/>
  </r>
  <r>
    <x v="248"/>
    <x v="1"/>
    <m/>
    <x v="0"/>
    <x v="2"/>
    <x v="16"/>
    <n v="190801"/>
    <n v="190801"/>
    <m/>
    <n v="220"/>
    <n v="190801"/>
    <n v="7700000"/>
  </r>
  <r>
    <x v="248"/>
    <x v="1"/>
    <m/>
    <x v="0"/>
    <x v="2"/>
    <x v="17"/>
    <n v="190801"/>
    <n v="190801"/>
    <m/>
    <n v="27"/>
    <n v="190801"/>
    <n v="891000"/>
  </r>
  <r>
    <x v="248"/>
    <x v="1"/>
    <m/>
    <x v="0"/>
    <x v="2"/>
    <x v="19"/>
    <n v="190801"/>
    <n v="190801"/>
    <m/>
    <n v="457"/>
    <n v="190801"/>
    <n v="1371000"/>
  </r>
  <r>
    <x v="248"/>
    <x v="1"/>
    <m/>
    <x v="5"/>
    <x v="2"/>
    <x v="28"/>
    <n v="190801"/>
    <n v="190801"/>
    <m/>
    <n v="19"/>
    <n v="190801"/>
    <n v="532000"/>
  </r>
  <r>
    <x v="248"/>
    <x v="1"/>
    <m/>
    <x v="22"/>
    <x v="2"/>
    <x v="29"/>
    <n v="190801"/>
    <n v="190801"/>
    <m/>
    <n v="5"/>
    <n v="190801"/>
    <n v="190000"/>
  </r>
  <r>
    <x v="248"/>
    <x v="1"/>
    <m/>
    <x v="19"/>
    <x v="2"/>
    <x v="22"/>
    <n v="190801"/>
    <n v="190801"/>
    <m/>
    <n v="6"/>
    <n v="190801"/>
    <n v="78000"/>
  </r>
  <r>
    <x v="248"/>
    <x v="1"/>
    <m/>
    <x v="0"/>
    <x v="4"/>
    <x v="15"/>
    <n v="190801"/>
    <n v="190801"/>
    <m/>
    <n v="25"/>
    <n v="190801"/>
    <n v="787500"/>
  </r>
  <r>
    <x v="248"/>
    <x v="1"/>
    <m/>
    <x v="0"/>
    <x v="4"/>
    <x v="16"/>
    <n v="190801"/>
    <n v="190801"/>
    <m/>
    <n v="43"/>
    <n v="190801"/>
    <n v="1892000"/>
  </r>
  <r>
    <x v="248"/>
    <x v="1"/>
    <m/>
    <x v="5"/>
    <x v="4"/>
    <x v="28"/>
    <n v="190801"/>
    <n v="190801"/>
    <m/>
    <n v="5"/>
    <n v="190801"/>
    <n v="190000"/>
  </r>
  <r>
    <x v="248"/>
    <x v="1"/>
    <m/>
    <x v="4"/>
    <x v="4"/>
    <x v="27"/>
    <n v="190801"/>
    <n v="190801"/>
    <m/>
    <n v="2"/>
    <n v="190801"/>
    <n v="72000"/>
  </r>
  <r>
    <x v="248"/>
    <x v="1"/>
    <m/>
    <x v="19"/>
    <x v="4"/>
    <x v="22"/>
    <n v="190801"/>
    <n v="190801"/>
    <m/>
    <n v="5"/>
    <n v="190801"/>
    <n v="125000"/>
  </r>
  <r>
    <x v="248"/>
    <x v="1"/>
    <m/>
    <x v="1"/>
    <x v="4"/>
    <x v="18"/>
    <n v="190801"/>
    <n v="190801"/>
    <m/>
    <n v="3"/>
    <n v="190801"/>
    <n v="94500"/>
  </r>
  <r>
    <x v="249"/>
    <x v="0"/>
    <m/>
    <x v="0"/>
    <x v="1"/>
    <x v="16"/>
    <n v="190801"/>
    <n v="190801"/>
    <m/>
    <n v="4"/>
    <n v="190801"/>
    <n v="140000"/>
  </r>
  <r>
    <x v="249"/>
    <x v="0"/>
    <m/>
    <x v="0"/>
    <x v="1"/>
    <x v="15"/>
    <n v="190801"/>
    <n v="190801"/>
    <m/>
    <n v="1"/>
    <n v="190801"/>
    <n v="20000"/>
  </r>
  <r>
    <x v="249"/>
    <x v="0"/>
    <m/>
    <x v="0"/>
    <x v="7"/>
    <x v="15"/>
    <n v="190801"/>
    <n v="190801"/>
    <m/>
    <n v="2"/>
    <n v="190801"/>
    <n v="40000"/>
  </r>
  <r>
    <x v="249"/>
    <x v="0"/>
    <m/>
    <x v="0"/>
    <x v="3"/>
    <x v="15"/>
    <n v="190801"/>
    <n v="190801"/>
    <m/>
    <n v="12"/>
    <n v="190801"/>
    <n v="0"/>
  </r>
  <r>
    <x v="249"/>
    <x v="0"/>
    <m/>
    <x v="18"/>
    <x v="3"/>
    <x v="19"/>
    <n v="190801"/>
    <n v="190801"/>
    <m/>
    <n v="3"/>
    <n v="190801"/>
    <n v="0"/>
  </r>
  <r>
    <x v="249"/>
    <x v="0"/>
    <m/>
    <x v="5"/>
    <x v="3"/>
    <x v="28"/>
    <n v="190801"/>
    <n v="190801"/>
    <m/>
    <n v="3"/>
    <n v="190801"/>
    <n v="0"/>
  </r>
  <r>
    <x v="249"/>
    <x v="0"/>
    <m/>
    <x v="4"/>
    <x v="3"/>
    <x v="27"/>
    <n v="190801"/>
    <n v="190801"/>
    <m/>
    <n v="3"/>
    <n v="190801"/>
    <n v="0"/>
  </r>
  <r>
    <x v="249"/>
    <x v="0"/>
    <m/>
    <x v="6"/>
    <x v="3"/>
    <x v="37"/>
    <n v="190801"/>
    <n v="190801"/>
    <m/>
    <n v="3"/>
    <n v="190801"/>
    <n v="0"/>
  </r>
  <r>
    <x v="249"/>
    <x v="0"/>
    <m/>
    <x v="6"/>
    <x v="2"/>
    <x v="37"/>
    <n v="190801"/>
    <n v="190801"/>
    <m/>
    <n v="14"/>
    <n v="190801"/>
    <n v="280000"/>
  </r>
  <r>
    <x v="249"/>
    <x v="0"/>
    <m/>
    <x v="19"/>
    <x v="2"/>
    <x v="38"/>
    <n v="190801"/>
    <n v="190801"/>
    <m/>
    <n v="2"/>
    <n v="190801"/>
    <n v="20000"/>
  </r>
  <r>
    <x v="249"/>
    <x v="0"/>
    <m/>
    <x v="25"/>
    <x v="2"/>
    <x v="34"/>
    <n v="190801"/>
    <n v="190801"/>
    <m/>
    <n v="3"/>
    <n v="190801"/>
    <n v="297000"/>
  </r>
  <r>
    <x v="249"/>
    <x v="0"/>
    <m/>
    <x v="0"/>
    <x v="2"/>
    <x v="17"/>
    <n v="190801"/>
    <n v="190801"/>
    <m/>
    <n v="36"/>
    <n v="190801"/>
    <n v="1188000"/>
  </r>
  <r>
    <x v="249"/>
    <x v="0"/>
    <m/>
    <x v="0"/>
    <x v="2"/>
    <x v="16"/>
    <n v="190801"/>
    <n v="190801"/>
    <m/>
    <n v="4"/>
    <n v="190801"/>
    <n v="140000"/>
  </r>
  <r>
    <x v="249"/>
    <x v="0"/>
    <m/>
    <x v="1"/>
    <x v="2"/>
    <x v="18"/>
    <n v="190801"/>
    <n v="190801"/>
    <m/>
    <n v="4"/>
    <n v="190801"/>
    <n v="80000"/>
  </r>
  <r>
    <x v="249"/>
    <x v="0"/>
    <m/>
    <x v="1"/>
    <x v="2"/>
    <x v="21"/>
    <n v="190801"/>
    <n v="190801"/>
    <m/>
    <n v="1"/>
    <n v="190801"/>
    <n v="35000"/>
  </r>
  <r>
    <x v="249"/>
    <x v="0"/>
    <m/>
    <x v="4"/>
    <x v="2"/>
    <x v="26"/>
    <n v="190801"/>
    <n v="190801"/>
    <m/>
    <n v="4"/>
    <n v="190801"/>
    <n v="16000"/>
  </r>
  <r>
    <x v="249"/>
    <x v="0"/>
    <m/>
    <x v="4"/>
    <x v="2"/>
    <x v="27"/>
    <n v="190801"/>
    <n v="190801"/>
    <m/>
    <n v="2"/>
    <n v="190801"/>
    <n v="40000"/>
  </r>
  <r>
    <x v="249"/>
    <x v="0"/>
    <m/>
    <x v="0"/>
    <x v="2"/>
    <x v="15"/>
    <n v="190801"/>
    <n v="190801"/>
    <m/>
    <n v="71"/>
    <n v="190801"/>
    <n v="1420000"/>
  </r>
  <r>
    <x v="249"/>
    <x v="0"/>
    <m/>
    <x v="0"/>
    <x v="2"/>
    <x v="16"/>
    <n v="190801"/>
    <n v="190801"/>
    <m/>
    <n v="38"/>
    <n v="190801"/>
    <n v="1330000"/>
  </r>
  <r>
    <x v="249"/>
    <x v="0"/>
    <m/>
    <x v="0"/>
    <x v="2"/>
    <x v="19"/>
    <n v="190801"/>
    <n v="190801"/>
    <m/>
    <n v="36"/>
    <n v="190801"/>
    <n v="108000"/>
  </r>
  <r>
    <x v="249"/>
    <x v="0"/>
    <m/>
    <x v="22"/>
    <x v="2"/>
    <x v="29"/>
    <n v="190801"/>
    <n v="190801"/>
    <m/>
    <n v="3"/>
    <n v="190801"/>
    <n v="114000"/>
  </r>
  <r>
    <x v="249"/>
    <x v="0"/>
    <m/>
    <x v="5"/>
    <x v="2"/>
    <x v="28"/>
    <n v="190801"/>
    <n v="190801"/>
    <m/>
    <n v="13"/>
    <n v="190801"/>
    <n v="364000"/>
  </r>
  <r>
    <x v="249"/>
    <x v="0"/>
    <m/>
    <x v="19"/>
    <x v="2"/>
    <x v="22"/>
    <n v="190801"/>
    <n v="190801"/>
    <m/>
    <n v="4"/>
    <n v="190801"/>
    <n v="52000"/>
  </r>
  <r>
    <x v="249"/>
    <x v="0"/>
    <m/>
    <x v="19"/>
    <x v="2"/>
    <x v="23"/>
    <n v="190801"/>
    <n v="190801"/>
    <m/>
    <n v="1"/>
    <n v="190801"/>
    <n v="24000"/>
  </r>
  <r>
    <x v="249"/>
    <x v="0"/>
    <m/>
    <x v="0"/>
    <x v="2"/>
    <x v="19"/>
    <n v="190801"/>
    <n v="190801"/>
    <m/>
    <n v="19"/>
    <n v="190801"/>
    <n v="57000"/>
  </r>
  <r>
    <x v="249"/>
    <x v="0"/>
    <m/>
    <x v="0"/>
    <x v="4"/>
    <x v="15"/>
    <n v="190801"/>
    <n v="190801"/>
    <m/>
    <n v="45"/>
    <n v="190801"/>
    <n v="1417500"/>
  </r>
  <r>
    <x v="249"/>
    <x v="0"/>
    <m/>
    <x v="0"/>
    <x v="4"/>
    <x v="16"/>
    <n v="190801"/>
    <n v="190801"/>
    <m/>
    <n v="52"/>
    <n v="190801"/>
    <n v="2288000"/>
  </r>
  <r>
    <x v="249"/>
    <x v="0"/>
    <m/>
    <x v="5"/>
    <x v="4"/>
    <x v="28"/>
    <n v="190801"/>
    <n v="190801"/>
    <m/>
    <n v="3"/>
    <n v="190801"/>
    <n v="114000"/>
  </r>
  <r>
    <x v="249"/>
    <x v="0"/>
    <m/>
    <x v="4"/>
    <x v="4"/>
    <x v="27"/>
    <n v="190801"/>
    <n v="190801"/>
    <m/>
    <n v="1"/>
    <n v="190801"/>
    <n v="36000"/>
  </r>
  <r>
    <x v="249"/>
    <x v="0"/>
    <m/>
    <x v="1"/>
    <x v="4"/>
    <x v="18"/>
    <n v="190801"/>
    <n v="190801"/>
    <m/>
    <n v="3"/>
    <n v="190801"/>
    <n v="94500"/>
  </r>
  <r>
    <x v="250"/>
    <x v="2"/>
    <m/>
    <x v="0"/>
    <x v="1"/>
    <x v="16"/>
    <n v="190801"/>
    <n v="190801"/>
    <m/>
    <n v="3"/>
    <n v="190801"/>
    <n v="105000"/>
  </r>
  <r>
    <x v="250"/>
    <x v="2"/>
    <m/>
    <x v="0"/>
    <x v="7"/>
    <x v="15"/>
    <n v="190801"/>
    <n v="190801"/>
    <m/>
    <n v="2"/>
    <n v="190801"/>
    <n v="40000"/>
  </r>
  <r>
    <x v="250"/>
    <x v="2"/>
    <m/>
    <x v="0"/>
    <x v="3"/>
    <x v="15"/>
    <n v="190801"/>
    <n v="190801"/>
    <m/>
    <n v="206"/>
    <n v="190801"/>
    <n v="0"/>
  </r>
  <r>
    <x v="250"/>
    <x v="2"/>
    <m/>
    <x v="0"/>
    <x v="3"/>
    <x v="20"/>
    <n v="190801"/>
    <n v="190801"/>
    <m/>
    <n v="200"/>
    <n v="190801"/>
    <n v="0"/>
  </r>
  <r>
    <x v="250"/>
    <x v="2"/>
    <m/>
    <x v="6"/>
    <x v="3"/>
    <x v="37"/>
    <n v="190801"/>
    <n v="190801"/>
    <m/>
    <n v="2"/>
    <n v="190801"/>
    <n v="0"/>
  </r>
  <r>
    <x v="250"/>
    <x v="2"/>
    <m/>
    <x v="5"/>
    <x v="3"/>
    <x v="28"/>
    <n v="190801"/>
    <n v="190801"/>
    <m/>
    <n v="3"/>
    <n v="190801"/>
    <n v="0"/>
  </r>
  <r>
    <x v="250"/>
    <x v="2"/>
    <m/>
    <x v="18"/>
    <x v="3"/>
    <x v="19"/>
    <n v="190801"/>
    <n v="190801"/>
    <m/>
    <n v="2"/>
    <n v="190801"/>
    <n v="0"/>
  </r>
  <r>
    <x v="250"/>
    <x v="2"/>
    <m/>
    <x v="4"/>
    <x v="3"/>
    <x v="27"/>
    <n v="190801"/>
    <n v="190801"/>
    <m/>
    <n v="2"/>
    <n v="190801"/>
    <n v="0"/>
  </r>
  <r>
    <x v="250"/>
    <x v="2"/>
    <m/>
    <x v="6"/>
    <x v="2"/>
    <x v="37"/>
    <n v="190801"/>
    <n v="190801"/>
    <m/>
    <n v="4"/>
    <n v="190801"/>
    <n v="80000"/>
  </r>
  <r>
    <x v="250"/>
    <x v="2"/>
    <m/>
    <x v="19"/>
    <x v="2"/>
    <x v="38"/>
    <n v="190801"/>
    <n v="190801"/>
    <m/>
    <n v="1"/>
    <n v="190801"/>
    <n v="10000"/>
  </r>
  <r>
    <x v="250"/>
    <x v="2"/>
    <m/>
    <x v="25"/>
    <x v="2"/>
    <x v="34"/>
    <n v="190801"/>
    <n v="190801"/>
    <m/>
    <n v="3"/>
    <n v="190801"/>
    <n v="297000"/>
  </r>
  <r>
    <x v="250"/>
    <x v="2"/>
    <m/>
    <x v="0"/>
    <x v="2"/>
    <x v="17"/>
    <n v="190801"/>
    <n v="190801"/>
    <m/>
    <n v="20"/>
    <n v="190801"/>
    <n v="660000"/>
  </r>
  <r>
    <x v="250"/>
    <x v="2"/>
    <m/>
    <x v="1"/>
    <x v="2"/>
    <x v="21"/>
    <n v="190801"/>
    <n v="190801"/>
    <m/>
    <n v="1"/>
    <n v="190801"/>
    <n v="35000"/>
  </r>
  <r>
    <x v="250"/>
    <x v="2"/>
    <m/>
    <x v="4"/>
    <x v="2"/>
    <x v="27"/>
    <n v="190801"/>
    <n v="190801"/>
    <m/>
    <n v="2"/>
    <n v="190801"/>
    <n v="40000"/>
  </r>
  <r>
    <x v="250"/>
    <x v="2"/>
    <m/>
    <x v="0"/>
    <x v="2"/>
    <x v="15"/>
    <n v="190801"/>
    <n v="190801"/>
    <m/>
    <n v="45"/>
    <n v="190801"/>
    <n v="900000"/>
  </r>
  <r>
    <x v="250"/>
    <x v="2"/>
    <m/>
    <x v="0"/>
    <x v="2"/>
    <x v="16"/>
    <n v="190801"/>
    <n v="190801"/>
    <m/>
    <n v="40"/>
    <n v="190801"/>
    <n v="1400000"/>
  </r>
  <r>
    <x v="250"/>
    <x v="2"/>
    <m/>
    <x v="0"/>
    <x v="2"/>
    <x v="19"/>
    <n v="190801"/>
    <n v="190801"/>
    <m/>
    <n v="34"/>
    <n v="190801"/>
    <n v="102000"/>
  </r>
  <r>
    <x v="250"/>
    <x v="2"/>
    <m/>
    <x v="22"/>
    <x v="2"/>
    <x v="29"/>
    <n v="190801"/>
    <n v="190801"/>
    <m/>
    <n v="1"/>
    <n v="190801"/>
    <n v="38000"/>
  </r>
  <r>
    <x v="250"/>
    <x v="2"/>
    <m/>
    <x v="5"/>
    <x v="2"/>
    <x v="28"/>
    <n v="190801"/>
    <n v="190801"/>
    <m/>
    <n v="2"/>
    <n v="190801"/>
    <n v="56000"/>
  </r>
  <r>
    <x v="250"/>
    <x v="2"/>
    <m/>
    <x v="5"/>
    <x v="2"/>
    <x v="28"/>
    <n v="190801"/>
    <n v="190801"/>
    <m/>
    <n v="7"/>
    <n v="190801"/>
    <n v="196000"/>
  </r>
  <r>
    <x v="250"/>
    <x v="2"/>
    <m/>
    <x v="19"/>
    <x v="2"/>
    <x v="22"/>
    <n v="190801"/>
    <n v="190801"/>
    <m/>
    <n v="3"/>
    <n v="190801"/>
    <n v="39000"/>
  </r>
  <r>
    <x v="250"/>
    <x v="2"/>
    <m/>
    <x v="0"/>
    <x v="2"/>
    <x v="19"/>
    <n v="190801"/>
    <n v="190801"/>
    <m/>
    <n v="4"/>
    <n v="190801"/>
    <n v="12000"/>
  </r>
  <r>
    <x v="250"/>
    <x v="2"/>
    <m/>
    <x v="0"/>
    <x v="4"/>
    <x v="15"/>
    <n v="190801"/>
    <n v="190801"/>
    <m/>
    <n v="40"/>
    <n v="190801"/>
    <n v="1260000"/>
  </r>
  <r>
    <x v="250"/>
    <x v="2"/>
    <m/>
    <x v="0"/>
    <x v="4"/>
    <x v="16"/>
    <n v="190801"/>
    <n v="190801"/>
    <m/>
    <n v="31"/>
    <n v="190801"/>
    <n v="1364000"/>
  </r>
  <r>
    <x v="250"/>
    <x v="2"/>
    <m/>
    <x v="5"/>
    <x v="4"/>
    <x v="28"/>
    <n v="190801"/>
    <n v="190801"/>
    <m/>
    <n v="5"/>
    <n v="190801"/>
    <n v="190000"/>
  </r>
  <r>
    <x v="250"/>
    <x v="2"/>
    <m/>
    <x v="4"/>
    <x v="4"/>
    <x v="27"/>
    <n v="190801"/>
    <n v="190801"/>
    <m/>
    <n v="1"/>
    <n v="190801"/>
    <n v="36000"/>
  </r>
  <r>
    <x v="250"/>
    <x v="2"/>
    <m/>
    <x v="19"/>
    <x v="4"/>
    <x v="22"/>
    <n v="190801"/>
    <n v="190801"/>
    <m/>
    <n v="2"/>
    <n v="190801"/>
    <n v="50000"/>
  </r>
  <r>
    <x v="251"/>
    <x v="5"/>
    <m/>
    <x v="0"/>
    <x v="7"/>
    <x v="15"/>
    <n v="190801"/>
    <n v="190801"/>
    <m/>
    <n v="10"/>
    <n v="190801"/>
    <n v="200000"/>
  </r>
  <r>
    <x v="251"/>
    <x v="5"/>
    <m/>
    <x v="6"/>
    <x v="2"/>
    <x v="37"/>
    <n v="190801"/>
    <n v="190801"/>
    <m/>
    <n v="11"/>
    <n v="190801"/>
    <n v="220000"/>
  </r>
  <r>
    <x v="251"/>
    <x v="5"/>
    <m/>
    <x v="19"/>
    <x v="2"/>
    <x v="38"/>
    <n v="190801"/>
    <n v="190801"/>
    <m/>
    <n v="5"/>
    <n v="190801"/>
    <n v="50000"/>
  </r>
  <r>
    <x v="251"/>
    <x v="5"/>
    <m/>
    <x v="25"/>
    <x v="2"/>
    <x v="34"/>
    <n v="190801"/>
    <n v="190801"/>
    <m/>
    <n v="4"/>
    <n v="190801"/>
    <n v="396000"/>
  </r>
  <r>
    <x v="251"/>
    <x v="5"/>
    <m/>
    <x v="0"/>
    <x v="2"/>
    <x v="17"/>
    <n v="190801"/>
    <n v="190801"/>
    <m/>
    <n v="26"/>
    <n v="190801"/>
    <n v="858000"/>
  </r>
  <r>
    <x v="251"/>
    <x v="5"/>
    <m/>
    <x v="0"/>
    <x v="2"/>
    <x v="16"/>
    <n v="190801"/>
    <n v="190801"/>
    <m/>
    <n v="1"/>
    <n v="190801"/>
    <n v="35000"/>
  </r>
  <r>
    <x v="251"/>
    <x v="5"/>
    <m/>
    <x v="1"/>
    <x v="2"/>
    <x v="21"/>
    <n v="190801"/>
    <n v="190801"/>
    <m/>
    <n v="1"/>
    <n v="190801"/>
    <n v="35000"/>
  </r>
  <r>
    <x v="251"/>
    <x v="5"/>
    <m/>
    <x v="4"/>
    <x v="2"/>
    <x v="26"/>
    <n v="190801"/>
    <n v="190801"/>
    <m/>
    <n v="1"/>
    <n v="190801"/>
    <n v="4000"/>
  </r>
  <r>
    <x v="251"/>
    <x v="5"/>
    <m/>
    <x v="4"/>
    <x v="2"/>
    <x v="27"/>
    <n v="190801"/>
    <n v="190801"/>
    <m/>
    <n v="3"/>
    <n v="190801"/>
    <n v="60000"/>
  </r>
  <r>
    <x v="251"/>
    <x v="5"/>
    <m/>
    <x v="4"/>
    <x v="2"/>
    <x v="26"/>
    <n v="190801"/>
    <n v="190801"/>
    <m/>
    <n v="1"/>
    <n v="190801"/>
    <n v="4000"/>
  </r>
  <r>
    <x v="251"/>
    <x v="5"/>
    <m/>
    <x v="0"/>
    <x v="2"/>
    <x v="15"/>
    <n v="190801"/>
    <n v="190801"/>
    <m/>
    <n v="52"/>
    <n v="190801"/>
    <n v="1040000"/>
  </r>
  <r>
    <x v="251"/>
    <x v="5"/>
    <m/>
    <x v="0"/>
    <x v="2"/>
    <x v="16"/>
    <n v="190801"/>
    <n v="190801"/>
    <m/>
    <n v="34"/>
    <n v="190801"/>
    <n v="1190000"/>
  </r>
  <r>
    <x v="251"/>
    <x v="5"/>
    <m/>
    <x v="0"/>
    <x v="2"/>
    <x v="19"/>
    <n v="190801"/>
    <n v="190801"/>
    <m/>
    <n v="28"/>
    <n v="190801"/>
    <n v="84000"/>
  </r>
  <r>
    <x v="251"/>
    <x v="5"/>
    <m/>
    <x v="22"/>
    <x v="2"/>
    <x v="29"/>
    <n v="190801"/>
    <n v="190801"/>
    <m/>
    <n v="4"/>
    <n v="190801"/>
    <n v="152000"/>
  </r>
  <r>
    <x v="251"/>
    <x v="5"/>
    <m/>
    <x v="22"/>
    <x v="2"/>
    <x v="29"/>
    <n v="190801"/>
    <n v="190801"/>
    <m/>
    <n v="1"/>
    <n v="190801"/>
    <n v="38000"/>
  </r>
  <r>
    <x v="251"/>
    <x v="5"/>
    <m/>
    <x v="5"/>
    <x v="2"/>
    <x v="28"/>
    <n v="190801"/>
    <n v="190801"/>
    <m/>
    <n v="3"/>
    <n v="190801"/>
    <n v="84000"/>
  </r>
  <r>
    <x v="251"/>
    <x v="5"/>
    <m/>
    <x v="5"/>
    <x v="2"/>
    <x v="28"/>
    <n v="190801"/>
    <n v="190801"/>
    <m/>
    <n v="8"/>
    <n v="190801"/>
    <n v="224000"/>
  </r>
  <r>
    <x v="251"/>
    <x v="5"/>
    <m/>
    <x v="19"/>
    <x v="2"/>
    <x v="22"/>
    <n v="190801"/>
    <n v="190801"/>
    <m/>
    <n v="10"/>
    <n v="190801"/>
    <n v="130000"/>
  </r>
  <r>
    <x v="251"/>
    <x v="5"/>
    <m/>
    <x v="19"/>
    <x v="2"/>
    <x v="23"/>
    <n v="190801"/>
    <n v="190801"/>
    <m/>
    <n v="1"/>
    <n v="190801"/>
    <n v="24000"/>
  </r>
  <r>
    <x v="251"/>
    <x v="5"/>
    <m/>
    <x v="19"/>
    <x v="2"/>
    <x v="22"/>
    <n v="190801"/>
    <n v="190801"/>
    <m/>
    <n v="1"/>
    <n v="190801"/>
    <n v="13000"/>
  </r>
  <r>
    <x v="251"/>
    <x v="5"/>
    <m/>
    <x v="0"/>
    <x v="2"/>
    <x v="19"/>
    <n v="190801"/>
    <n v="190801"/>
    <m/>
    <n v="10"/>
    <n v="190801"/>
    <n v="30000"/>
  </r>
  <r>
    <x v="251"/>
    <x v="5"/>
    <m/>
    <x v="0"/>
    <x v="2"/>
    <x v="19"/>
    <n v="190801"/>
    <n v="190801"/>
    <m/>
    <n v="1"/>
    <n v="190801"/>
    <n v="3000"/>
  </r>
  <r>
    <x v="252"/>
    <x v="6"/>
    <m/>
    <x v="0"/>
    <x v="7"/>
    <x v="15"/>
    <n v="190801"/>
    <n v="190801"/>
    <m/>
    <n v="19"/>
    <n v="190801"/>
    <n v="380000"/>
  </r>
  <r>
    <x v="252"/>
    <x v="6"/>
    <m/>
    <x v="6"/>
    <x v="2"/>
    <x v="37"/>
    <n v="190801"/>
    <n v="190801"/>
    <m/>
    <n v="10"/>
    <n v="190801"/>
    <n v="200000"/>
  </r>
  <r>
    <x v="252"/>
    <x v="6"/>
    <m/>
    <x v="19"/>
    <x v="2"/>
    <x v="38"/>
    <n v="190801"/>
    <n v="190801"/>
    <m/>
    <n v="7"/>
    <n v="190801"/>
    <n v="70000"/>
  </r>
  <r>
    <x v="252"/>
    <x v="6"/>
    <m/>
    <x v="25"/>
    <x v="2"/>
    <x v="34"/>
    <n v="190801"/>
    <n v="190801"/>
    <m/>
    <n v="3"/>
    <n v="190801"/>
    <n v="297000"/>
  </r>
  <r>
    <x v="252"/>
    <x v="6"/>
    <m/>
    <x v="0"/>
    <x v="2"/>
    <x v="17"/>
    <n v="190801"/>
    <n v="190801"/>
    <m/>
    <n v="35"/>
    <n v="190801"/>
    <n v="1155000"/>
  </r>
  <r>
    <x v="252"/>
    <x v="6"/>
    <m/>
    <x v="0"/>
    <x v="2"/>
    <x v="16"/>
    <n v="190801"/>
    <n v="190801"/>
    <m/>
    <n v="3"/>
    <n v="190801"/>
    <n v="105000"/>
  </r>
  <r>
    <x v="252"/>
    <x v="6"/>
    <m/>
    <x v="1"/>
    <x v="2"/>
    <x v="18"/>
    <n v="190801"/>
    <n v="190801"/>
    <m/>
    <n v="4"/>
    <n v="190801"/>
    <n v="80000"/>
  </r>
  <r>
    <x v="252"/>
    <x v="6"/>
    <m/>
    <x v="1"/>
    <x v="2"/>
    <x v="21"/>
    <n v="190801"/>
    <n v="190801"/>
    <m/>
    <n v="1"/>
    <n v="190801"/>
    <n v="35000"/>
  </r>
  <r>
    <x v="252"/>
    <x v="6"/>
    <m/>
    <x v="4"/>
    <x v="2"/>
    <x v="26"/>
    <n v="190801"/>
    <n v="190801"/>
    <m/>
    <n v="1"/>
    <n v="190801"/>
    <n v="4000"/>
  </r>
  <r>
    <x v="252"/>
    <x v="6"/>
    <m/>
    <x v="4"/>
    <x v="2"/>
    <x v="27"/>
    <n v="190801"/>
    <n v="190801"/>
    <m/>
    <n v="2"/>
    <n v="190801"/>
    <n v="40000"/>
  </r>
  <r>
    <x v="252"/>
    <x v="6"/>
    <m/>
    <x v="0"/>
    <x v="2"/>
    <x v="15"/>
    <n v="190801"/>
    <n v="190801"/>
    <m/>
    <n v="79"/>
    <n v="190801"/>
    <n v="1580000"/>
  </r>
  <r>
    <x v="252"/>
    <x v="6"/>
    <m/>
    <x v="0"/>
    <x v="2"/>
    <x v="16"/>
    <n v="190801"/>
    <n v="190801"/>
    <m/>
    <n v="43"/>
    <n v="190801"/>
    <n v="1505000"/>
  </r>
  <r>
    <x v="252"/>
    <x v="6"/>
    <m/>
    <x v="0"/>
    <x v="2"/>
    <x v="19"/>
    <n v="190801"/>
    <n v="190801"/>
    <m/>
    <n v="43"/>
    <n v="190801"/>
    <n v="129000"/>
  </r>
  <r>
    <x v="252"/>
    <x v="6"/>
    <m/>
    <x v="0"/>
    <x v="2"/>
    <x v="15"/>
    <n v="190801"/>
    <n v="190801"/>
    <m/>
    <n v="3"/>
    <n v="190801"/>
    <n v="60000"/>
  </r>
  <r>
    <x v="252"/>
    <x v="6"/>
    <m/>
    <x v="22"/>
    <x v="2"/>
    <x v="29"/>
    <n v="190801"/>
    <n v="190801"/>
    <m/>
    <n v="5"/>
    <n v="190801"/>
    <n v="190000"/>
  </r>
  <r>
    <x v="252"/>
    <x v="6"/>
    <m/>
    <x v="22"/>
    <x v="2"/>
    <x v="29"/>
    <n v="190801"/>
    <n v="190801"/>
    <m/>
    <n v="1"/>
    <n v="190801"/>
    <n v="38000"/>
  </r>
  <r>
    <x v="252"/>
    <x v="6"/>
    <m/>
    <x v="5"/>
    <x v="2"/>
    <x v="28"/>
    <n v="190801"/>
    <n v="190801"/>
    <m/>
    <n v="4"/>
    <n v="190801"/>
    <n v="112000"/>
  </r>
  <r>
    <x v="252"/>
    <x v="6"/>
    <m/>
    <x v="5"/>
    <x v="2"/>
    <x v="28"/>
    <n v="190801"/>
    <n v="190801"/>
    <m/>
    <n v="9"/>
    <n v="190801"/>
    <n v="252000"/>
  </r>
  <r>
    <x v="252"/>
    <x v="6"/>
    <m/>
    <x v="19"/>
    <x v="2"/>
    <x v="22"/>
    <n v="190801"/>
    <n v="190801"/>
    <m/>
    <n v="9"/>
    <n v="190801"/>
    <n v="117000"/>
  </r>
  <r>
    <x v="252"/>
    <x v="6"/>
    <m/>
    <x v="19"/>
    <x v="2"/>
    <x v="24"/>
    <n v="190801"/>
    <n v="190801"/>
    <m/>
    <n v="1"/>
    <n v="190801"/>
    <n v="33000"/>
  </r>
  <r>
    <x v="252"/>
    <x v="6"/>
    <m/>
    <x v="0"/>
    <x v="2"/>
    <x v="19"/>
    <n v="190801"/>
    <n v="190801"/>
    <m/>
    <n v="11"/>
    <n v="190801"/>
    <n v="33000"/>
  </r>
  <r>
    <x v="252"/>
    <x v="6"/>
    <m/>
    <x v="0"/>
    <x v="2"/>
    <x v="19"/>
    <n v="190801"/>
    <n v="190801"/>
    <m/>
    <n v="1"/>
    <n v="190801"/>
    <n v="3000"/>
  </r>
  <r>
    <x v="252"/>
    <x v="6"/>
    <m/>
    <x v="0"/>
    <x v="6"/>
    <x v="15"/>
    <n v="190801"/>
    <n v="190801"/>
    <m/>
    <n v="40"/>
    <n v="190801"/>
    <n v="362720"/>
  </r>
  <r>
    <x v="252"/>
    <x v="6"/>
    <m/>
    <x v="0"/>
    <x v="6"/>
    <x v="17"/>
    <n v="190801"/>
    <n v="190801"/>
    <m/>
    <n v="48"/>
    <n v="190801"/>
    <n v="759264"/>
  </r>
  <r>
    <x v="252"/>
    <x v="6"/>
    <m/>
    <x v="4"/>
    <x v="6"/>
    <x v="26"/>
    <n v="190801"/>
    <n v="190801"/>
    <m/>
    <n v="718"/>
    <n v="190801"/>
    <n v="770414"/>
  </r>
  <r>
    <x v="252"/>
    <x v="6"/>
    <m/>
    <x v="26"/>
    <x v="6"/>
    <x v="35"/>
    <n v="190801"/>
    <n v="190801"/>
    <m/>
    <n v="81"/>
    <n v="190801"/>
    <n v="1387611"/>
  </r>
  <r>
    <x v="252"/>
    <x v="6"/>
    <m/>
    <x v="22"/>
    <x v="6"/>
    <x v="29"/>
    <n v="190801"/>
    <n v="190801"/>
    <m/>
    <n v="3"/>
    <n v="190801"/>
    <n v="59073"/>
  </r>
  <r>
    <x v="252"/>
    <x v="6"/>
    <m/>
    <x v="24"/>
    <x v="6"/>
    <x v="31"/>
    <n v="190801"/>
    <n v="190801"/>
    <m/>
    <n v="95"/>
    <n v="190801"/>
    <n v="1413315"/>
  </r>
  <r>
    <x v="252"/>
    <x v="6"/>
    <m/>
    <x v="23"/>
    <x v="6"/>
    <x v="30"/>
    <n v="190801"/>
    <n v="190801"/>
    <m/>
    <n v="96"/>
    <n v="190801"/>
    <n v="668544"/>
  </r>
  <r>
    <x v="252"/>
    <x v="6"/>
    <m/>
    <x v="20"/>
    <x v="6"/>
    <x v="25"/>
    <n v="190801"/>
    <n v="190801"/>
    <m/>
    <n v="1"/>
    <n v="190801"/>
    <n v="9716"/>
  </r>
  <r>
    <x v="252"/>
    <x v="6"/>
    <m/>
    <x v="19"/>
    <x v="6"/>
    <x v="22"/>
    <n v="190801"/>
    <n v="190801"/>
    <m/>
    <n v="4"/>
    <n v="190801"/>
    <n v="27164"/>
  </r>
  <r>
    <x v="252"/>
    <x v="6"/>
    <m/>
    <x v="27"/>
    <x v="6"/>
    <x v="36"/>
    <n v="190801"/>
    <n v="190801"/>
    <m/>
    <n v="349"/>
    <n v="190801"/>
    <n v="3300493"/>
  </r>
  <r>
    <x v="252"/>
    <x v="6"/>
    <m/>
    <x v="6"/>
    <x v="6"/>
    <x v="37"/>
    <n v="190801"/>
    <n v="190801"/>
    <m/>
    <n v="58"/>
    <n v="190801"/>
    <n v="580000"/>
  </r>
  <r>
    <x v="252"/>
    <x v="6"/>
    <m/>
    <x v="28"/>
    <x v="6"/>
    <x v="39"/>
    <n v="190801"/>
    <n v="190801"/>
    <m/>
    <n v="1047"/>
    <n v="190801"/>
    <n v="16561446"/>
  </r>
  <r>
    <x v="253"/>
    <x v="3"/>
    <m/>
    <x v="0"/>
    <x v="1"/>
    <x v="15"/>
    <n v="190801"/>
    <n v="190801"/>
    <m/>
    <n v="4"/>
    <n v="190801"/>
    <n v="80000"/>
  </r>
  <r>
    <x v="253"/>
    <x v="3"/>
    <m/>
    <x v="0"/>
    <x v="1"/>
    <x v="16"/>
    <n v="190801"/>
    <n v="190801"/>
    <m/>
    <n v="11"/>
    <n v="190801"/>
    <n v="385000"/>
  </r>
  <r>
    <x v="253"/>
    <x v="3"/>
    <m/>
    <x v="0"/>
    <x v="7"/>
    <x v="15"/>
    <n v="190801"/>
    <n v="190801"/>
    <m/>
    <n v="18"/>
    <n v="190801"/>
    <n v="360000"/>
  </r>
  <r>
    <x v="253"/>
    <x v="3"/>
    <m/>
    <x v="6"/>
    <x v="2"/>
    <x v="37"/>
    <n v="190801"/>
    <n v="190801"/>
    <m/>
    <n v="9"/>
    <n v="190801"/>
    <n v="180000"/>
  </r>
  <r>
    <x v="253"/>
    <x v="3"/>
    <m/>
    <x v="19"/>
    <x v="2"/>
    <x v="38"/>
    <n v="190801"/>
    <n v="190801"/>
    <m/>
    <n v="1"/>
    <n v="190801"/>
    <n v="10000"/>
  </r>
  <r>
    <x v="253"/>
    <x v="3"/>
    <m/>
    <x v="25"/>
    <x v="2"/>
    <x v="34"/>
    <n v="190801"/>
    <n v="190801"/>
    <m/>
    <n v="6"/>
    <n v="190801"/>
    <n v="594000"/>
  </r>
  <r>
    <x v="253"/>
    <x v="3"/>
    <m/>
    <x v="1"/>
    <x v="2"/>
    <x v="18"/>
    <n v="190801"/>
    <n v="190801"/>
    <m/>
    <n v="6"/>
    <n v="190801"/>
    <n v="120000"/>
  </r>
  <r>
    <x v="253"/>
    <x v="3"/>
    <m/>
    <x v="4"/>
    <x v="2"/>
    <x v="26"/>
    <n v="190801"/>
    <n v="190801"/>
    <m/>
    <n v="3"/>
    <n v="190801"/>
    <n v="12000"/>
  </r>
  <r>
    <x v="253"/>
    <x v="3"/>
    <m/>
    <x v="4"/>
    <x v="2"/>
    <x v="27"/>
    <n v="190801"/>
    <n v="190801"/>
    <m/>
    <n v="2"/>
    <n v="190801"/>
    <n v="40000"/>
  </r>
  <r>
    <x v="253"/>
    <x v="3"/>
    <m/>
    <x v="0"/>
    <x v="2"/>
    <x v="15"/>
    <n v="190801"/>
    <n v="190801"/>
    <m/>
    <n v="108"/>
    <n v="190801"/>
    <n v="2160000"/>
  </r>
  <r>
    <x v="253"/>
    <x v="3"/>
    <m/>
    <x v="0"/>
    <x v="2"/>
    <x v="16"/>
    <n v="190801"/>
    <n v="190801"/>
    <m/>
    <n v="69"/>
    <n v="190801"/>
    <n v="2415000"/>
  </r>
  <r>
    <x v="253"/>
    <x v="3"/>
    <m/>
    <x v="0"/>
    <x v="2"/>
    <x v="17"/>
    <n v="190801"/>
    <n v="190801"/>
    <m/>
    <n v="47"/>
    <n v="190801"/>
    <n v="1551000"/>
  </r>
  <r>
    <x v="253"/>
    <x v="3"/>
    <m/>
    <x v="0"/>
    <x v="2"/>
    <x v="19"/>
    <n v="190801"/>
    <n v="190801"/>
    <m/>
    <n v="76"/>
    <n v="190801"/>
    <n v="228000"/>
  </r>
  <r>
    <x v="253"/>
    <x v="3"/>
    <m/>
    <x v="5"/>
    <x v="2"/>
    <x v="28"/>
    <n v="190801"/>
    <n v="190801"/>
    <m/>
    <n v="22"/>
    <n v="190801"/>
    <n v="616000"/>
  </r>
  <r>
    <x v="253"/>
    <x v="3"/>
    <m/>
    <x v="22"/>
    <x v="2"/>
    <x v="29"/>
    <n v="190801"/>
    <n v="190801"/>
    <m/>
    <n v="13"/>
    <n v="190801"/>
    <n v="494000"/>
  </r>
  <r>
    <x v="253"/>
    <x v="3"/>
    <m/>
    <x v="19"/>
    <x v="2"/>
    <x v="22"/>
    <n v="190801"/>
    <n v="190801"/>
    <m/>
    <n v="8"/>
    <n v="190801"/>
    <n v="104000"/>
  </r>
  <r>
    <x v="253"/>
    <x v="3"/>
    <m/>
    <x v="19"/>
    <x v="2"/>
    <x v="24"/>
    <n v="190801"/>
    <n v="190801"/>
    <m/>
    <n v="1"/>
    <n v="190801"/>
    <n v="33000"/>
  </r>
  <r>
    <x v="253"/>
    <x v="3"/>
    <m/>
    <x v="0"/>
    <x v="4"/>
    <x v="15"/>
    <n v="190801"/>
    <n v="190801"/>
    <m/>
    <n v="105"/>
    <n v="190801"/>
    <n v="3307500"/>
  </r>
  <r>
    <x v="253"/>
    <x v="3"/>
    <m/>
    <x v="0"/>
    <x v="4"/>
    <x v="16"/>
    <n v="190801"/>
    <n v="190801"/>
    <m/>
    <n v="93"/>
    <n v="190801"/>
    <n v="4092000"/>
  </r>
  <r>
    <x v="253"/>
    <x v="3"/>
    <m/>
    <x v="5"/>
    <x v="4"/>
    <x v="28"/>
    <n v="190801"/>
    <n v="190801"/>
    <m/>
    <n v="9"/>
    <n v="190801"/>
    <n v="342000"/>
  </r>
  <r>
    <x v="253"/>
    <x v="3"/>
    <m/>
    <x v="1"/>
    <x v="4"/>
    <x v="18"/>
    <n v="190801"/>
    <n v="190801"/>
    <m/>
    <n v="4"/>
    <n v="190801"/>
    <n v="126000"/>
  </r>
  <r>
    <x v="253"/>
    <x v="3"/>
    <m/>
    <x v="4"/>
    <x v="4"/>
    <x v="27"/>
    <n v="190801"/>
    <n v="190801"/>
    <m/>
    <n v="2"/>
    <n v="190801"/>
    <n v="72000"/>
  </r>
  <r>
    <x v="253"/>
    <x v="3"/>
    <m/>
    <x v="19"/>
    <x v="4"/>
    <x v="22"/>
    <n v="190801"/>
    <n v="190801"/>
    <m/>
    <n v="3"/>
    <n v="190801"/>
    <n v="75000"/>
  </r>
  <r>
    <x v="253"/>
    <x v="3"/>
    <m/>
    <x v="0"/>
    <x v="3"/>
    <x v="15"/>
    <n v="190801"/>
    <n v="190801"/>
    <m/>
    <n v="9"/>
    <n v="190801"/>
    <n v="0"/>
  </r>
  <r>
    <x v="253"/>
    <x v="3"/>
    <m/>
    <x v="0"/>
    <x v="3"/>
    <x v="17"/>
    <n v="190801"/>
    <n v="190801"/>
    <m/>
    <n v="1"/>
    <n v="190801"/>
    <n v="0"/>
  </r>
  <r>
    <x v="253"/>
    <x v="3"/>
    <m/>
    <x v="18"/>
    <x v="3"/>
    <x v="19"/>
    <n v="190801"/>
    <n v="190801"/>
    <m/>
    <n v="12"/>
    <n v="190801"/>
    <n v="0"/>
  </r>
  <r>
    <x v="253"/>
    <x v="3"/>
    <m/>
    <x v="5"/>
    <x v="3"/>
    <x v="28"/>
    <n v="190801"/>
    <n v="190801"/>
    <m/>
    <n v="14"/>
    <n v="190801"/>
    <n v="0"/>
  </r>
  <r>
    <x v="253"/>
    <x v="3"/>
    <m/>
    <x v="4"/>
    <x v="3"/>
    <x v="27"/>
    <n v="190801"/>
    <n v="190801"/>
    <m/>
    <n v="22"/>
    <n v="190801"/>
    <n v="0"/>
  </r>
  <r>
    <x v="253"/>
    <x v="3"/>
    <m/>
    <x v="6"/>
    <x v="3"/>
    <x v="37"/>
    <n v="190801"/>
    <n v="190801"/>
    <m/>
    <n v="24"/>
    <n v="190801"/>
    <n v="0"/>
  </r>
  <r>
    <x v="254"/>
    <x v="4"/>
    <m/>
    <x v="0"/>
    <x v="1"/>
    <x v="15"/>
    <n v="190801"/>
    <n v="190801"/>
    <m/>
    <n v="2"/>
    <n v="190801"/>
    <n v="40000"/>
  </r>
  <r>
    <x v="254"/>
    <x v="4"/>
    <m/>
    <x v="0"/>
    <x v="1"/>
    <x v="16"/>
    <n v="190801"/>
    <n v="190801"/>
    <m/>
    <n v="3"/>
    <n v="190801"/>
    <n v="105000"/>
  </r>
  <r>
    <x v="254"/>
    <x v="4"/>
    <m/>
    <x v="0"/>
    <x v="5"/>
    <x v="15"/>
    <n v="190801"/>
    <n v="190801"/>
    <m/>
    <n v="100"/>
    <n v="190801"/>
    <n v="1022700"/>
  </r>
  <r>
    <x v="254"/>
    <x v="4"/>
    <m/>
    <x v="0"/>
    <x v="7"/>
    <x v="15"/>
    <n v="190801"/>
    <n v="190801"/>
    <m/>
    <n v="13"/>
    <n v="190801"/>
    <n v="260000"/>
  </r>
  <r>
    <x v="254"/>
    <x v="4"/>
    <m/>
    <x v="6"/>
    <x v="2"/>
    <x v="37"/>
    <n v="190801"/>
    <n v="190801"/>
    <m/>
    <n v="13"/>
    <n v="190801"/>
    <n v="260000"/>
  </r>
  <r>
    <x v="254"/>
    <x v="4"/>
    <m/>
    <x v="19"/>
    <x v="2"/>
    <x v="38"/>
    <n v="190801"/>
    <n v="190801"/>
    <m/>
    <n v="3"/>
    <n v="190801"/>
    <n v="30000"/>
  </r>
  <r>
    <x v="254"/>
    <x v="4"/>
    <m/>
    <x v="25"/>
    <x v="2"/>
    <x v="34"/>
    <n v="190801"/>
    <n v="190801"/>
    <m/>
    <n v="6"/>
    <n v="190801"/>
    <n v="594000"/>
  </r>
  <r>
    <x v="254"/>
    <x v="4"/>
    <m/>
    <x v="1"/>
    <x v="2"/>
    <x v="18"/>
    <n v="190801"/>
    <n v="190801"/>
    <m/>
    <n v="1"/>
    <n v="190801"/>
    <n v="20000"/>
  </r>
  <r>
    <x v="254"/>
    <x v="4"/>
    <m/>
    <x v="4"/>
    <x v="2"/>
    <x v="26"/>
    <n v="190801"/>
    <n v="190801"/>
    <m/>
    <n v="4"/>
    <n v="190801"/>
    <n v="16000"/>
  </r>
  <r>
    <x v="254"/>
    <x v="4"/>
    <m/>
    <x v="4"/>
    <x v="2"/>
    <x v="27"/>
    <n v="190801"/>
    <n v="190801"/>
    <m/>
    <n v="3"/>
    <n v="190801"/>
    <n v="60000"/>
  </r>
  <r>
    <x v="254"/>
    <x v="4"/>
    <m/>
    <x v="0"/>
    <x v="2"/>
    <x v="15"/>
    <n v="190801"/>
    <n v="190801"/>
    <m/>
    <n v="77"/>
    <n v="190801"/>
    <n v="1540000"/>
  </r>
  <r>
    <x v="254"/>
    <x v="4"/>
    <m/>
    <x v="0"/>
    <x v="2"/>
    <x v="16"/>
    <n v="190801"/>
    <n v="190801"/>
    <m/>
    <n v="56"/>
    <n v="190801"/>
    <n v="1960000"/>
  </r>
  <r>
    <x v="254"/>
    <x v="4"/>
    <m/>
    <x v="0"/>
    <x v="2"/>
    <x v="17"/>
    <n v="190801"/>
    <n v="190801"/>
    <m/>
    <n v="36"/>
    <n v="190801"/>
    <n v="1188000"/>
  </r>
  <r>
    <x v="254"/>
    <x v="4"/>
    <m/>
    <x v="0"/>
    <x v="2"/>
    <x v="19"/>
    <n v="190801"/>
    <n v="190801"/>
    <m/>
    <n v="44"/>
    <n v="190801"/>
    <n v="132000"/>
  </r>
  <r>
    <x v="254"/>
    <x v="4"/>
    <m/>
    <x v="5"/>
    <x v="2"/>
    <x v="28"/>
    <n v="190801"/>
    <n v="190801"/>
    <m/>
    <n v="10"/>
    <n v="190801"/>
    <n v="280000"/>
  </r>
  <r>
    <x v="254"/>
    <x v="4"/>
    <m/>
    <x v="22"/>
    <x v="2"/>
    <x v="29"/>
    <n v="190801"/>
    <n v="190801"/>
    <m/>
    <n v="9"/>
    <n v="190801"/>
    <n v="342000"/>
  </r>
  <r>
    <x v="254"/>
    <x v="4"/>
    <m/>
    <x v="19"/>
    <x v="2"/>
    <x v="22"/>
    <n v="190801"/>
    <n v="190801"/>
    <m/>
    <n v="7"/>
    <n v="190801"/>
    <n v="91000"/>
  </r>
  <r>
    <x v="254"/>
    <x v="4"/>
    <m/>
    <x v="19"/>
    <x v="2"/>
    <x v="24"/>
    <n v="190801"/>
    <n v="190801"/>
    <m/>
    <n v="1"/>
    <n v="190801"/>
    <n v="33000"/>
  </r>
  <r>
    <x v="254"/>
    <x v="4"/>
    <m/>
    <x v="0"/>
    <x v="4"/>
    <x v="15"/>
    <n v="190801"/>
    <n v="190801"/>
    <m/>
    <n v="21"/>
    <n v="190801"/>
    <n v="661500"/>
  </r>
  <r>
    <x v="254"/>
    <x v="4"/>
    <m/>
    <x v="0"/>
    <x v="4"/>
    <x v="16"/>
    <n v="190801"/>
    <n v="190801"/>
    <m/>
    <n v="24"/>
    <n v="190801"/>
    <n v="1056000"/>
  </r>
  <r>
    <x v="254"/>
    <x v="4"/>
    <m/>
    <x v="5"/>
    <x v="4"/>
    <x v="28"/>
    <n v="190801"/>
    <n v="190801"/>
    <m/>
    <n v="1"/>
    <n v="190801"/>
    <n v="38000"/>
  </r>
  <r>
    <x v="254"/>
    <x v="4"/>
    <m/>
    <x v="1"/>
    <x v="4"/>
    <x v="18"/>
    <n v="190801"/>
    <n v="190801"/>
    <m/>
    <n v="2"/>
    <n v="190801"/>
    <n v="63000"/>
  </r>
  <r>
    <x v="254"/>
    <x v="4"/>
    <m/>
    <x v="19"/>
    <x v="4"/>
    <x v="22"/>
    <n v="190801"/>
    <n v="190801"/>
    <m/>
    <n v="1"/>
    <n v="190801"/>
    <n v="25000"/>
  </r>
  <r>
    <x v="254"/>
    <x v="4"/>
    <m/>
    <x v="0"/>
    <x v="3"/>
    <x v="15"/>
    <n v="190801"/>
    <n v="190801"/>
    <m/>
    <n v="7"/>
    <n v="190801"/>
    <n v="0"/>
  </r>
  <r>
    <x v="254"/>
    <x v="4"/>
    <m/>
    <x v="18"/>
    <x v="3"/>
    <x v="19"/>
    <n v="190801"/>
    <n v="190801"/>
    <m/>
    <n v="1"/>
    <n v="190801"/>
    <n v="0"/>
  </r>
  <r>
    <x v="254"/>
    <x v="4"/>
    <m/>
    <x v="5"/>
    <x v="3"/>
    <x v="28"/>
    <n v="190801"/>
    <n v="190801"/>
    <m/>
    <n v="1"/>
    <n v="190801"/>
    <n v="0"/>
  </r>
  <r>
    <x v="254"/>
    <x v="4"/>
    <m/>
    <x v="4"/>
    <x v="3"/>
    <x v="27"/>
    <n v="190801"/>
    <n v="190801"/>
    <m/>
    <n v="1"/>
    <n v="190801"/>
    <n v="0"/>
  </r>
  <r>
    <x v="254"/>
    <x v="4"/>
    <m/>
    <x v="6"/>
    <x v="3"/>
    <x v="37"/>
    <n v="190801"/>
    <n v="190801"/>
    <m/>
    <n v="1"/>
    <n v="190801"/>
    <n v="0"/>
  </r>
  <r>
    <x v="255"/>
    <x v="1"/>
    <m/>
    <x v="0"/>
    <x v="1"/>
    <x v="15"/>
    <n v="190801"/>
    <n v="190801"/>
    <m/>
    <n v="1"/>
    <n v="190801"/>
    <n v="20000"/>
  </r>
  <r>
    <x v="255"/>
    <x v="1"/>
    <m/>
    <x v="0"/>
    <x v="1"/>
    <x v="16"/>
    <n v="190801"/>
    <n v="190801"/>
    <m/>
    <n v="11"/>
    <n v="190801"/>
    <n v="385000"/>
  </r>
  <r>
    <x v="255"/>
    <x v="1"/>
    <m/>
    <x v="0"/>
    <x v="7"/>
    <x v="15"/>
    <n v="190801"/>
    <n v="190801"/>
    <m/>
    <n v="5"/>
    <n v="190801"/>
    <n v="100000"/>
  </r>
  <r>
    <x v="255"/>
    <x v="1"/>
    <m/>
    <x v="6"/>
    <x v="2"/>
    <x v="37"/>
    <n v="190801"/>
    <n v="190801"/>
    <m/>
    <n v="12"/>
    <n v="190801"/>
    <n v="240000"/>
  </r>
  <r>
    <x v="255"/>
    <x v="1"/>
    <m/>
    <x v="19"/>
    <x v="2"/>
    <x v="38"/>
    <n v="190801"/>
    <n v="190801"/>
    <m/>
    <n v="2"/>
    <n v="190801"/>
    <n v="20000"/>
  </r>
  <r>
    <x v="255"/>
    <x v="1"/>
    <m/>
    <x v="25"/>
    <x v="2"/>
    <x v="34"/>
    <n v="190801"/>
    <n v="190801"/>
    <m/>
    <n v="5"/>
    <n v="190801"/>
    <n v="495000"/>
  </r>
  <r>
    <x v="255"/>
    <x v="1"/>
    <m/>
    <x v="1"/>
    <x v="2"/>
    <x v="18"/>
    <n v="190801"/>
    <n v="190801"/>
    <m/>
    <n v="1"/>
    <n v="190801"/>
    <n v="20000"/>
  </r>
  <r>
    <x v="255"/>
    <x v="1"/>
    <m/>
    <x v="1"/>
    <x v="2"/>
    <x v="21"/>
    <n v="190801"/>
    <n v="190801"/>
    <m/>
    <n v="2"/>
    <n v="190801"/>
    <n v="70000"/>
  </r>
  <r>
    <x v="255"/>
    <x v="1"/>
    <m/>
    <x v="4"/>
    <x v="2"/>
    <x v="26"/>
    <n v="190801"/>
    <n v="190801"/>
    <m/>
    <n v="8"/>
    <n v="190801"/>
    <n v="32000"/>
  </r>
  <r>
    <x v="255"/>
    <x v="1"/>
    <m/>
    <x v="4"/>
    <x v="2"/>
    <x v="27"/>
    <n v="190801"/>
    <n v="190801"/>
    <m/>
    <n v="1"/>
    <n v="190801"/>
    <n v="20000"/>
  </r>
  <r>
    <x v="255"/>
    <x v="1"/>
    <m/>
    <x v="0"/>
    <x v="2"/>
    <x v="15"/>
    <n v="190801"/>
    <n v="190801"/>
    <m/>
    <n v="81"/>
    <n v="190801"/>
    <n v="1620000"/>
  </r>
  <r>
    <x v="255"/>
    <x v="1"/>
    <m/>
    <x v="0"/>
    <x v="2"/>
    <x v="16"/>
    <n v="190801"/>
    <n v="190801"/>
    <m/>
    <n v="438"/>
    <n v="190801"/>
    <n v="15330000"/>
  </r>
  <r>
    <x v="255"/>
    <x v="1"/>
    <m/>
    <x v="0"/>
    <x v="2"/>
    <x v="17"/>
    <n v="190801"/>
    <n v="190801"/>
    <m/>
    <n v="37"/>
    <n v="190801"/>
    <n v="1221000"/>
  </r>
  <r>
    <x v="255"/>
    <x v="1"/>
    <m/>
    <x v="0"/>
    <x v="2"/>
    <x v="19"/>
    <n v="190801"/>
    <n v="190801"/>
    <m/>
    <n v="43"/>
    <n v="190801"/>
    <n v="129000"/>
  </r>
  <r>
    <x v="255"/>
    <x v="1"/>
    <m/>
    <x v="5"/>
    <x v="2"/>
    <x v="28"/>
    <n v="190801"/>
    <n v="190801"/>
    <m/>
    <n v="12"/>
    <n v="190801"/>
    <n v="336000"/>
  </r>
  <r>
    <x v="255"/>
    <x v="1"/>
    <m/>
    <x v="22"/>
    <x v="2"/>
    <x v="29"/>
    <n v="190801"/>
    <n v="190801"/>
    <m/>
    <n v="6"/>
    <n v="190801"/>
    <n v="228000"/>
  </r>
  <r>
    <x v="255"/>
    <x v="1"/>
    <m/>
    <x v="19"/>
    <x v="2"/>
    <x v="22"/>
    <n v="190801"/>
    <n v="190801"/>
    <m/>
    <n v="6"/>
    <n v="190801"/>
    <n v="78000"/>
  </r>
  <r>
    <x v="255"/>
    <x v="1"/>
    <m/>
    <x v="19"/>
    <x v="2"/>
    <x v="23"/>
    <n v="190801"/>
    <n v="190801"/>
    <m/>
    <n v="3"/>
    <n v="190801"/>
    <n v="72000"/>
  </r>
  <r>
    <x v="255"/>
    <x v="1"/>
    <m/>
    <x v="0"/>
    <x v="8"/>
    <x v="15"/>
    <n v="190801"/>
    <n v="190801"/>
    <m/>
    <n v="200"/>
    <n v="190801"/>
    <n v="1260000"/>
  </r>
  <r>
    <x v="255"/>
    <x v="1"/>
    <m/>
    <x v="0"/>
    <x v="4"/>
    <x v="15"/>
    <n v="190801"/>
    <n v="190801"/>
    <m/>
    <n v="23"/>
    <n v="190801"/>
    <n v="724500"/>
  </r>
  <r>
    <x v="255"/>
    <x v="1"/>
    <m/>
    <x v="0"/>
    <x v="4"/>
    <x v="16"/>
    <n v="190801"/>
    <n v="190801"/>
    <m/>
    <n v="22"/>
    <n v="190801"/>
    <n v="968000"/>
  </r>
  <r>
    <x v="255"/>
    <x v="1"/>
    <m/>
    <x v="5"/>
    <x v="4"/>
    <x v="28"/>
    <n v="190801"/>
    <n v="190801"/>
    <m/>
    <n v="2"/>
    <n v="190801"/>
    <n v="76000"/>
  </r>
  <r>
    <x v="255"/>
    <x v="1"/>
    <m/>
    <x v="1"/>
    <x v="4"/>
    <x v="18"/>
    <n v="190801"/>
    <n v="190801"/>
    <m/>
    <n v="1"/>
    <n v="190801"/>
    <n v="31500"/>
  </r>
  <r>
    <x v="255"/>
    <x v="1"/>
    <m/>
    <x v="19"/>
    <x v="4"/>
    <x v="22"/>
    <n v="190801"/>
    <n v="190801"/>
    <m/>
    <n v="1"/>
    <n v="190801"/>
    <n v="25000"/>
  </r>
  <r>
    <x v="255"/>
    <x v="1"/>
    <m/>
    <x v="0"/>
    <x v="3"/>
    <x v="15"/>
    <n v="190801"/>
    <n v="190801"/>
    <m/>
    <n v="217"/>
    <n v="190801"/>
    <n v="0"/>
  </r>
  <r>
    <x v="255"/>
    <x v="1"/>
    <m/>
    <x v="0"/>
    <x v="3"/>
    <x v="20"/>
    <n v="190801"/>
    <n v="190801"/>
    <m/>
    <n v="240"/>
    <n v="190801"/>
    <n v="0"/>
  </r>
  <r>
    <x v="255"/>
    <x v="1"/>
    <m/>
    <x v="18"/>
    <x v="3"/>
    <x v="19"/>
    <n v="190801"/>
    <n v="190801"/>
    <m/>
    <n v="1"/>
    <n v="190801"/>
    <n v="0"/>
  </r>
  <r>
    <x v="255"/>
    <x v="1"/>
    <m/>
    <x v="5"/>
    <x v="3"/>
    <x v="28"/>
    <n v="190801"/>
    <n v="190801"/>
    <m/>
    <n v="1"/>
    <n v="190801"/>
    <n v="0"/>
  </r>
  <r>
    <x v="255"/>
    <x v="1"/>
    <m/>
    <x v="4"/>
    <x v="3"/>
    <x v="27"/>
    <n v="190801"/>
    <n v="190801"/>
    <m/>
    <n v="1"/>
    <n v="190801"/>
    <n v="0"/>
  </r>
  <r>
    <x v="255"/>
    <x v="1"/>
    <m/>
    <x v="6"/>
    <x v="3"/>
    <x v="37"/>
    <n v="190801"/>
    <n v="190801"/>
    <m/>
    <n v="1"/>
    <n v="190801"/>
    <n v="0"/>
  </r>
  <r>
    <x v="256"/>
    <x v="0"/>
    <m/>
    <x v="0"/>
    <x v="1"/>
    <x v="16"/>
    <n v="190801"/>
    <n v="190801"/>
    <m/>
    <n v="4"/>
    <n v="190801"/>
    <n v="140000"/>
  </r>
  <r>
    <x v="256"/>
    <x v="0"/>
    <m/>
    <x v="0"/>
    <x v="7"/>
    <x v="15"/>
    <n v="190801"/>
    <n v="190801"/>
    <m/>
    <n v="5"/>
    <n v="190801"/>
    <n v="100000"/>
  </r>
  <r>
    <x v="256"/>
    <x v="0"/>
    <m/>
    <x v="6"/>
    <x v="2"/>
    <x v="37"/>
    <n v="190801"/>
    <n v="190801"/>
    <m/>
    <n v="15"/>
    <n v="190801"/>
    <n v="300000"/>
  </r>
  <r>
    <x v="256"/>
    <x v="0"/>
    <m/>
    <x v="19"/>
    <x v="2"/>
    <x v="38"/>
    <n v="190801"/>
    <n v="190801"/>
    <m/>
    <n v="5"/>
    <n v="190801"/>
    <n v="50000"/>
  </r>
  <r>
    <x v="256"/>
    <x v="0"/>
    <m/>
    <x v="25"/>
    <x v="2"/>
    <x v="34"/>
    <n v="190801"/>
    <n v="190801"/>
    <m/>
    <n v="6"/>
    <n v="190801"/>
    <n v="594000"/>
  </r>
  <r>
    <x v="256"/>
    <x v="0"/>
    <m/>
    <x v="1"/>
    <x v="2"/>
    <x v="18"/>
    <n v="190801"/>
    <n v="190801"/>
    <m/>
    <n v="1"/>
    <n v="190801"/>
    <n v="20000"/>
  </r>
  <r>
    <x v="256"/>
    <x v="0"/>
    <m/>
    <x v="1"/>
    <x v="2"/>
    <x v="21"/>
    <n v="190801"/>
    <n v="190801"/>
    <m/>
    <n v="1"/>
    <n v="190801"/>
    <n v="35000"/>
  </r>
  <r>
    <x v="256"/>
    <x v="0"/>
    <m/>
    <x v="4"/>
    <x v="2"/>
    <x v="26"/>
    <n v="190801"/>
    <n v="190801"/>
    <m/>
    <n v="13"/>
    <n v="190801"/>
    <n v="52000"/>
  </r>
  <r>
    <x v="256"/>
    <x v="0"/>
    <m/>
    <x v="4"/>
    <x v="2"/>
    <x v="27"/>
    <n v="190801"/>
    <n v="190801"/>
    <m/>
    <n v="12"/>
    <n v="190801"/>
    <n v="240000"/>
  </r>
  <r>
    <x v="256"/>
    <x v="0"/>
    <m/>
    <x v="0"/>
    <x v="2"/>
    <x v="15"/>
    <n v="190801"/>
    <n v="190801"/>
    <m/>
    <n v="53"/>
    <n v="190801"/>
    <n v="1060000"/>
  </r>
  <r>
    <x v="256"/>
    <x v="0"/>
    <m/>
    <x v="0"/>
    <x v="2"/>
    <x v="16"/>
    <n v="190801"/>
    <n v="190801"/>
    <m/>
    <n v="49"/>
    <n v="190801"/>
    <n v="1715000"/>
  </r>
  <r>
    <x v="256"/>
    <x v="0"/>
    <m/>
    <x v="0"/>
    <x v="2"/>
    <x v="17"/>
    <n v="190801"/>
    <n v="190801"/>
    <m/>
    <n v="41"/>
    <n v="190801"/>
    <n v="1353000"/>
  </r>
  <r>
    <x v="256"/>
    <x v="0"/>
    <m/>
    <x v="0"/>
    <x v="2"/>
    <x v="19"/>
    <n v="190801"/>
    <n v="190801"/>
    <m/>
    <n v="51"/>
    <n v="190801"/>
    <n v="153000"/>
  </r>
  <r>
    <x v="256"/>
    <x v="0"/>
    <m/>
    <x v="5"/>
    <x v="2"/>
    <x v="28"/>
    <n v="190801"/>
    <n v="190801"/>
    <m/>
    <n v="18"/>
    <n v="190801"/>
    <n v="504000"/>
  </r>
  <r>
    <x v="256"/>
    <x v="0"/>
    <m/>
    <x v="22"/>
    <x v="2"/>
    <x v="29"/>
    <n v="190801"/>
    <n v="190801"/>
    <m/>
    <n v="7"/>
    <n v="190801"/>
    <n v="266000"/>
  </r>
  <r>
    <x v="256"/>
    <x v="0"/>
    <m/>
    <x v="19"/>
    <x v="2"/>
    <x v="22"/>
    <n v="190801"/>
    <n v="190801"/>
    <m/>
    <n v="8"/>
    <n v="190801"/>
    <n v="104000"/>
  </r>
  <r>
    <x v="256"/>
    <x v="0"/>
    <m/>
    <x v="19"/>
    <x v="2"/>
    <x v="23"/>
    <n v="190801"/>
    <n v="190801"/>
    <m/>
    <n v="1"/>
    <n v="190801"/>
    <n v="24000"/>
  </r>
  <r>
    <x v="256"/>
    <x v="0"/>
    <m/>
    <x v="0"/>
    <x v="4"/>
    <x v="15"/>
    <n v="190801"/>
    <n v="190801"/>
    <m/>
    <n v="31"/>
    <n v="190801"/>
    <n v="976500"/>
  </r>
  <r>
    <x v="256"/>
    <x v="0"/>
    <m/>
    <x v="0"/>
    <x v="4"/>
    <x v="16"/>
    <n v="190801"/>
    <n v="190801"/>
    <m/>
    <n v="37"/>
    <n v="190801"/>
    <n v="1628000"/>
  </r>
  <r>
    <x v="256"/>
    <x v="0"/>
    <m/>
    <x v="5"/>
    <x v="4"/>
    <x v="28"/>
    <n v="190801"/>
    <n v="190801"/>
    <m/>
    <n v="2"/>
    <n v="190801"/>
    <n v="76000"/>
  </r>
  <r>
    <x v="256"/>
    <x v="0"/>
    <m/>
    <x v="4"/>
    <x v="4"/>
    <x v="27"/>
    <n v="190801"/>
    <n v="190801"/>
    <m/>
    <n v="1"/>
    <n v="190801"/>
    <n v="36000"/>
  </r>
  <r>
    <x v="256"/>
    <x v="0"/>
    <m/>
    <x v="0"/>
    <x v="3"/>
    <x v="15"/>
    <n v="190801"/>
    <n v="190801"/>
    <m/>
    <n v="2"/>
    <n v="190801"/>
    <n v="0"/>
  </r>
  <r>
    <x v="256"/>
    <x v="0"/>
    <m/>
    <x v="0"/>
    <x v="3"/>
    <x v="20"/>
    <n v="190801"/>
    <n v="190801"/>
    <m/>
    <n v="2"/>
    <n v="190801"/>
    <n v="0"/>
  </r>
  <r>
    <x v="256"/>
    <x v="0"/>
    <m/>
    <x v="5"/>
    <x v="3"/>
    <x v="28"/>
    <n v="190801"/>
    <n v="190801"/>
    <m/>
    <n v="2"/>
    <n v="190801"/>
    <n v="0"/>
  </r>
  <r>
    <x v="256"/>
    <x v="0"/>
    <m/>
    <x v="6"/>
    <x v="3"/>
    <x v="37"/>
    <n v="190801"/>
    <n v="190801"/>
    <m/>
    <n v="2"/>
    <n v="190801"/>
    <n v="0"/>
  </r>
  <r>
    <x v="257"/>
    <x v="2"/>
    <m/>
    <x v="0"/>
    <x v="1"/>
    <x v="16"/>
    <n v="190801"/>
    <n v="190801"/>
    <m/>
    <n v="5"/>
    <n v="190801"/>
    <n v="175000"/>
  </r>
  <r>
    <x v="257"/>
    <x v="2"/>
    <m/>
    <x v="0"/>
    <x v="5"/>
    <x v="15"/>
    <n v="190801"/>
    <n v="190801"/>
    <m/>
    <n v="100"/>
    <n v="190801"/>
    <n v="1022700"/>
  </r>
  <r>
    <x v="257"/>
    <x v="2"/>
    <m/>
    <x v="0"/>
    <x v="7"/>
    <x v="15"/>
    <n v="190801"/>
    <n v="190801"/>
    <m/>
    <n v="5"/>
    <n v="190801"/>
    <n v="100000"/>
  </r>
  <r>
    <x v="257"/>
    <x v="2"/>
    <m/>
    <x v="6"/>
    <x v="2"/>
    <x v="37"/>
    <n v="190801"/>
    <n v="190801"/>
    <m/>
    <n v="28"/>
    <n v="190801"/>
    <n v="560000"/>
  </r>
  <r>
    <x v="257"/>
    <x v="2"/>
    <m/>
    <x v="19"/>
    <x v="2"/>
    <x v="38"/>
    <n v="190801"/>
    <n v="190801"/>
    <m/>
    <n v="1"/>
    <n v="190801"/>
    <n v="10000"/>
  </r>
  <r>
    <x v="257"/>
    <x v="2"/>
    <m/>
    <x v="25"/>
    <x v="2"/>
    <x v="34"/>
    <n v="190801"/>
    <n v="190801"/>
    <m/>
    <n v="4"/>
    <n v="190801"/>
    <n v="396000"/>
  </r>
  <r>
    <x v="257"/>
    <x v="2"/>
    <m/>
    <x v="1"/>
    <x v="2"/>
    <x v="18"/>
    <n v="190801"/>
    <n v="190801"/>
    <m/>
    <n v="3"/>
    <n v="190801"/>
    <n v="60000"/>
  </r>
  <r>
    <x v="257"/>
    <x v="2"/>
    <m/>
    <x v="1"/>
    <x v="2"/>
    <x v="21"/>
    <n v="190801"/>
    <n v="190801"/>
    <m/>
    <n v="10"/>
    <n v="190801"/>
    <n v="350000"/>
  </r>
  <r>
    <x v="257"/>
    <x v="2"/>
    <m/>
    <x v="4"/>
    <x v="2"/>
    <x v="26"/>
    <n v="190801"/>
    <n v="190801"/>
    <m/>
    <n v="1"/>
    <n v="190801"/>
    <n v="4000"/>
  </r>
  <r>
    <x v="257"/>
    <x v="2"/>
    <m/>
    <x v="4"/>
    <x v="2"/>
    <x v="27"/>
    <n v="190801"/>
    <n v="190801"/>
    <m/>
    <n v="80"/>
    <n v="190801"/>
    <n v="1600000"/>
  </r>
  <r>
    <x v="257"/>
    <x v="2"/>
    <m/>
    <x v="0"/>
    <x v="2"/>
    <x v="15"/>
    <n v="190801"/>
    <n v="190801"/>
    <m/>
    <n v="48"/>
    <n v="190801"/>
    <n v="960000"/>
  </r>
  <r>
    <x v="257"/>
    <x v="2"/>
    <m/>
    <x v="0"/>
    <x v="2"/>
    <x v="16"/>
    <n v="190801"/>
    <n v="190801"/>
    <m/>
    <n v="44"/>
    <n v="190801"/>
    <n v="1540000"/>
  </r>
  <r>
    <x v="257"/>
    <x v="2"/>
    <m/>
    <x v="0"/>
    <x v="2"/>
    <x v="17"/>
    <n v="190801"/>
    <n v="190801"/>
    <m/>
    <n v="27"/>
    <n v="190801"/>
    <n v="891000"/>
  </r>
  <r>
    <x v="257"/>
    <x v="2"/>
    <m/>
    <x v="0"/>
    <x v="2"/>
    <x v="19"/>
    <n v="190801"/>
    <n v="190801"/>
    <m/>
    <n v="53"/>
    <n v="190801"/>
    <n v="159000"/>
  </r>
  <r>
    <x v="257"/>
    <x v="2"/>
    <m/>
    <x v="5"/>
    <x v="2"/>
    <x v="28"/>
    <n v="190801"/>
    <n v="190801"/>
    <m/>
    <n v="13"/>
    <n v="190801"/>
    <n v="364000"/>
  </r>
  <r>
    <x v="257"/>
    <x v="2"/>
    <m/>
    <x v="22"/>
    <x v="2"/>
    <x v="29"/>
    <n v="190801"/>
    <n v="190801"/>
    <m/>
    <n v="4"/>
    <n v="190801"/>
    <n v="152000"/>
  </r>
  <r>
    <x v="257"/>
    <x v="2"/>
    <m/>
    <x v="19"/>
    <x v="2"/>
    <x v="22"/>
    <n v="190801"/>
    <n v="190801"/>
    <m/>
    <n v="7"/>
    <n v="190801"/>
    <n v="91000"/>
  </r>
  <r>
    <x v="257"/>
    <x v="2"/>
    <m/>
    <x v="19"/>
    <x v="2"/>
    <x v="23"/>
    <n v="190801"/>
    <n v="190801"/>
    <m/>
    <n v="3"/>
    <n v="190801"/>
    <n v="72000"/>
  </r>
  <r>
    <x v="257"/>
    <x v="2"/>
    <m/>
    <x v="19"/>
    <x v="2"/>
    <x v="24"/>
    <n v="190801"/>
    <n v="190801"/>
    <m/>
    <n v="1"/>
    <n v="190801"/>
    <n v="33000"/>
  </r>
  <r>
    <x v="257"/>
    <x v="2"/>
    <m/>
    <x v="0"/>
    <x v="4"/>
    <x v="15"/>
    <n v="190801"/>
    <n v="190801"/>
    <m/>
    <n v="24"/>
    <n v="190801"/>
    <n v="756000"/>
  </r>
  <r>
    <x v="257"/>
    <x v="2"/>
    <m/>
    <x v="0"/>
    <x v="4"/>
    <x v="16"/>
    <n v="190801"/>
    <n v="190801"/>
    <m/>
    <n v="21"/>
    <n v="190801"/>
    <n v="924000"/>
  </r>
  <r>
    <x v="257"/>
    <x v="2"/>
    <m/>
    <x v="1"/>
    <x v="4"/>
    <x v="18"/>
    <n v="190801"/>
    <n v="190801"/>
    <m/>
    <n v="1"/>
    <n v="190801"/>
    <n v="31500"/>
  </r>
  <r>
    <x v="257"/>
    <x v="2"/>
    <m/>
    <x v="0"/>
    <x v="3"/>
    <x v="15"/>
    <n v="190801"/>
    <n v="190801"/>
    <m/>
    <n v="2"/>
    <n v="190801"/>
    <n v="0"/>
  </r>
  <r>
    <x v="257"/>
    <x v="2"/>
    <m/>
    <x v="0"/>
    <x v="3"/>
    <x v="17"/>
    <n v="190801"/>
    <n v="190801"/>
    <m/>
    <n v="1"/>
    <n v="190801"/>
    <n v="0"/>
  </r>
  <r>
    <x v="257"/>
    <x v="2"/>
    <m/>
    <x v="18"/>
    <x v="3"/>
    <x v="19"/>
    <n v="190801"/>
    <n v="190801"/>
    <m/>
    <n v="1"/>
    <n v="190801"/>
    <n v="0"/>
  </r>
  <r>
    <x v="257"/>
    <x v="2"/>
    <m/>
    <x v="5"/>
    <x v="3"/>
    <x v="28"/>
    <n v="190801"/>
    <n v="190801"/>
    <m/>
    <n v="1"/>
    <n v="190801"/>
    <n v="0"/>
  </r>
  <r>
    <x v="257"/>
    <x v="2"/>
    <m/>
    <x v="4"/>
    <x v="3"/>
    <x v="27"/>
    <n v="190801"/>
    <n v="190801"/>
    <m/>
    <n v="1"/>
    <n v="190801"/>
    <n v="0"/>
  </r>
  <r>
    <x v="257"/>
    <x v="2"/>
    <m/>
    <x v="6"/>
    <x v="3"/>
    <x v="37"/>
    <n v="190801"/>
    <n v="190801"/>
    <m/>
    <n v="1"/>
    <n v="190801"/>
    <n v="0"/>
  </r>
  <r>
    <x v="258"/>
    <x v="5"/>
    <m/>
    <x v="0"/>
    <x v="7"/>
    <x v="15"/>
    <n v="190801"/>
    <n v="190801"/>
    <m/>
    <n v="1"/>
    <n v="190801"/>
    <n v="20000"/>
  </r>
  <r>
    <x v="258"/>
    <x v="5"/>
    <m/>
    <x v="6"/>
    <x v="2"/>
    <x v="37"/>
    <n v="190801"/>
    <n v="190801"/>
    <m/>
    <n v="13"/>
    <n v="190801"/>
    <n v="260000"/>
  </r>
  <r>
    <x v="258"/>
    <x v="5"/>
    <m/>
    <x v="19"/>
    <x v="2"/>
    <x v="38"/>
    <n v="190801"/>
    <n v="190801"/>
    <m/>
    <n v="1"/>
    <n v="190801"/>
    <n v="10000"/>
  </r>
  <r>
    <x v="258"/>
    <x v="5"/>
    <m/>
    <x v="25"/>
    <x v="2"/>
    <x v="34"/>
    <n v="190801"/>
    <n v="190801"/>
    <m/>
    <n v="4"/>
    <n v="190801"/>
    <n v="396000"/>
  </r>
  <r>
    <x v="258"/>
    <x v="5"/>
    <m/>
    <x v="1"/>
    <x v="2"/>
    <x v="18"/>
    <n v="190801"/>
    <n v="190801"/>
    <m/>
    <n v="1"/>
    <n v="190801"/>
    <n v="20000"/>
  </r>
  <r>
    <x v="258"/>
    <x v="5"/>
    <m/>
    <x v="1"/>
    <x v="2"/>
    <x v="21"/>
    <n v="190801"/>
    <n v="190801"/>
    <m/>
    <n v="1"/>
    <n v="190801"/>
    <n v="35000"/>
  </r>
  <r>
    <x v="258"/>
    <x v="5"/>
    <m/>
    <x v="0"/>
    <x v="2"/>
    <x v="15"/>
    <n v="190801"/>
    <n v="190801"/>
    <m/>
    <n v="41"/>
    <n v="190801"/>
    <n v="820000"/>
  </r>
  <r>
    <x v="258"/>
    <x v="5"/>
    <m/>
    <x v="0"/>
    <x v="2"/>
    <x v="16"/>
    <n v="190801"/>
    <n v="190801"/>
    <m/>
    <n v="37"/>
    <n v="190801"/>
    <n v="1295000"/>
  </r>
  <r>
    <x v="258"/>
    <x v="5"/>
    <m/>
    <x v="0"/>
    <x v="2"/>
    <x v="17"/>
    <n v="190801"/>
    <n v="190801"/>
    <m/>
    <n v="22"/>
    <n v="190801"/>
    <n v="726000"/>
  </r>
  <r>
    <x v="258"/>
    <x v="5"/>
    <m/>
    <x v="0"/>
    <x v="2"/>
    <x v="19"/>
    <n v="190801"/>
    <n v="190801"/>
    <m/>
    <n v="34"/>
    <n v="190801"/>
    <n v="102000"/>
  </r>
  <r>
    <x v="258"/>
    <x v="5"/>
    <m/>
    <x v="5"/>
    <x v="2"/>
    <x v="28"/>
    <n v="190801"/>
    <n v="190801"/>
    <m/>
    <n v="10"/>
    <n v="190801"/>
    <n v="280000"/>
  </r>
  <r>
    <x v="258"/>
    <x v="5"/>
    <m/>
    <x v="22"/>
    <x v="2"/>
    <x v="29"/>
    <n v="190801"/>
    <n v="190801"/>
    <m/>
    <n v="6"/>
    <n v="190801"/>
    <n v="228000"/>
  </r>
  <r>
    <x v="258"/>
    <x v="5"/>
    <m/>
    <x v="19"/>
    <x v="2"/>
    <x v="22"/>
    <n v="190801"/>
    <n v="190801"/>
    <m/>
    <n v="5"/>
    <n v="190801"/>
    <n v="65000"/>
  </r>
  <r>
    <x v="258"/>
    <x v="5"/>
    <m/>
    <x v="19"/>
    <x v="2"/>
    <x v="23"/>
    <n v="190801"/>
    <n v="190801"/>
    <m/>
    <n v="1"/>
    <n v="190801"/>
    <n v="24000"/>
  </r>
  <r>
    <x v="258"/>
    <x v="5"/>
    <m/>
    <x v="19"/>
    <x v="2"/>
    <x v="24"/>
    <n v="190801"/>
    <n v="190801"/>
    <m/>
    <n v="1"/>
    <n v="190801"/>
    <n v="33000"/>
  </r>
  <r>
    <x v="259"/>
    <x v="6"/>
    <m/>
    <x v="0"/>
    <x v="7"/>
    <x v="15"/>
    <n v="190801"/>
    <n v="190801"/>
    <m/>
    <n v="7"/>
    <n v="190801"/>
    <n v="140000"/>
  </r>
  <r>
    <x v="259"/>
    <x v="6"/>
    <m/>
    <x v="6"/>
    <x v="2"/>
    <x v="37"/>
    <n v="190801"/>
    <n v="190801"/>
    <m/>
    <n v="7"/>
    <n v="190801"/>
    <n v="140000"/>
  </r>
  <r>
    <x v="259"/>
    <x v="6"/>
    <m/>
    <x v="19"/>
    <x v="2"/>
    <x v="38"/>
    <n v="190801"/>
    <n v="190801"/>
    <m/>
    <n v="1"/>
    <n v="190801"/>
    <n v="10000"/>
  </r>
  <r>
    <x v="259"/>
    <x v="6"/>
    <m/>
    <x v="25"/>
    <x v="2"/>
    <x v="34"/>
    <n v="190801"/>
    <n v="190801"/>
    <m/>
    <n v="8"/>
    <n v="190801"/>
    <n v="792000"/>
  </r>
  <r>
    <x v="259"/>
    <x v="6"/>
    <m/>
    <x v="1"/>
    <x v="2"/>
    <x v="18"/>
    <n v="190801"/>
    <n v="190801"/>
    <m/>
    <n v="4"/>
    <n v="190801"/>
    <n v="80000"/>
  </r>
  <r>
    <x v="259"/>
    <x v="6"/>
    <m/>
    <x v="4"/>
    <x v="2"/>
    <x v="26"/>
    <n v="190801"/>
    <n v="190801"/>
    <m/>
    <n v="2"/>
    <n v="190801"/>
    <n v="8000"/>
  </r>
  <r>
    <x v="259"/>
    <x v="6"/>
    <m/>
    <x v="4"/>
    <x v="2"/>
    <x v="27"/>
    <n v="190801"/>
    <n v="190801"/>
    <m/>
    <n v="4"/>
    <n v="190801"/>
    <n v="80000"/>
  </r>
  <r>
    <x v="259"/>
    <x v="6"/>
    <m/>
    <x v="0"/>
    <x v="2"/>
    <x v="15"/>
    <n v="190801"/>
    <n v="190801"/>
    <m/>
    <n v="46"/>
    <n v="190801"/>
    <n v="920000"/>
  </r>
  <r>
    <x v="259"/>
    <x v="6"/>
    <m/>
    <x v="0"/>
    <x v="2"/>
    <x v="16"/>
    <n v="190801"/>
    <n v="190801"/>
    <m/>
    <n v="54"/>
    <n v="190801"/>
    <n v="1890000"/>
  </r>
  <r>
    <x v="259"/>
    <x v="6"/>
    <m/>
    <x v="0"/>
    <x v="2"/>
    <x v="17"/>
    <n v="190801"/>
    <n v="190801"/>
    <m/>
    <n v="30"/>
    <n v="190801"/>
    <n v="990000"/>
  </r>
  <r>
    <x v="259"/>
    <x v="6"/>
    <m/>
    <x v="0"/>
    <x v="2"/>
    <x v="19"/>
    <n v="190801"/>
    <n v="190801"/>
    <m/>
    <n v="59"/>
    <n v="190801"/>
    <n v="177000"/>
  </r>
  <r>
    <x v="259"/>
    <x v="6"/>
    <m/>
    <x v="5"/>
    <x v="2"/>
    <x v="28"/>
    <n v="190801"/>
    <n v="190801"/>
    <m/>
    <n v="12"/>
    <n v="190801"/>
    <n v="336000"/>
  </r>
  <r>
    <x v="259"/>
    <x v="6"/>
    <m/>
    <x v="22"/>
    <x v="2"/>
    <x v="29"/>
    <n v="190801"/>
    <n v="190801"/>
    <m/>
    <n v="1"/>
    <n v="190801"/>
    <n v="38000"/>
  </r>
  <r>
    <x v="259"/>
    <x v="6"/>
    <m/>
    <x v="19"/>
    <x v="2"/>
    <x v="22"/>
    <n v="190801"/>
    <n v="190801"/>
    <m/>
    <n v="4"/>
    <n v="190801"/>
    <n v="52000"/>
  </r>
  <r>
    <x v="259"/>
    <x v="6"/>
    <m/>
    <x v="19"/>
    <x v="2"/>
    <x v="23"/>
    <n v="190801"/>
    <n v="190801"/>
    <m/>
    <n v="1"/>
    <n v="190801"/>
    <n v="24000"/>
  </r>
  <r>
    <x v="259"/>
    <x v="6"/>
    <m/>
    <x v="19"/>
    <x v="2"/>
    <x v="24"/>
    <n v="190801"/>
    <n v="190801"/>
    <m/>
    <n v="1"/>
    <n v="190801"/>
    <n v="33000"/>
  </r>
  <r>
    <x v="259"/>
    <x v="6"/>
    <m/>
    <x v="0"/>
    <x v="6"/>
    <x v="15"/>
    <n v="190801"/>
    <n v="190801"/>
    <m/>
    <n v="47"/>
    <n v="190801"/>
    <n v="426196"/>
  </r>
  <r>
    <x v="259"/>
    <x v="6"/>
    <m/>
    <x v="0"/>
    <x v="6"/>
    <x v="17"/>
    <n v="190801"/>
    <n v="190801"/>
    <m/>
    <n v="43"/>
    <n v="190801"/>
    <n v="680174"/>
  </r>
  <r>
    <x v="259"/>
    <x v="6"/>
    <m/>
    <x v="4"/>
    <x v="6"/>
    <x v="26"/>
    <n v="190801"/>
    <n v="190801"/>
    <m/>
    <n v="680"/>
    <n v="190801"/>
    <n v="729640"/>
  </r>
  <r>
    <x v="259"/>
    <x v="6"/>
    <m/>
    <x v="26"/>
    <x v="6"/>
    <x v="35"/>
    <n v="190801"/>
    <n v="190801"/>
    <m/>
    <n v="66"/>
    <n v="190801"/>
    <n v="1130646"/>
  </r>
  <r>
    <x v="259"/>
    <x v="6"/>
    <m/>
    <x v="22"/>
    <x v="6"/>
    <x v="29"/>
    <n v="190801"/>
    <n v="190801"/>
    <m/>
    <n v="6"/>
    <n v="190801"/>
    <n v="118146"/>
  </r>
  <r>
    <x v="259"/>
    <x v="6"/>
    <m/>
    <x v="24"/>
    <x v="6"/>
    <x v="31"/>
    <n v="190801"/>
    <n v="190801"/>
    <m/>
    <n v="60"/>
    <n v="190801"/>
    <n v="892620"/>
  </r>
  <r>
    <x v="259"/>
    <x v="6"/>
    <m/>
    <x v="23"/>
    <x v="6"/>
    <x v="30"/>
    <n v="190801"/>
    <n v="190801"/>
    <m/>
    <n v="47"/>
    <n v="190801"/>
    <n v="327308"/>
  </r>
  <r>
    <x v="259"/>
    <x v="6"/>
    <m/>
    <x v="19"/>
    <x v="6"/>
    <x v="22"/>
    <n v="190801"/>
    <n v="190801"/>
    <m/>
    <n v="7"/>
    <n v="190801"/>
    <n v="47537"/>
  </r>
  <r>
    <x v="259"/>
    <x v="6"/>
    <m/>
    <x v="27"/>
    <x v="6"/>
    <x v="36"/>
    <n v="190801"/>
    <n v="190801"/>
    <m/>
    <n v="59"/>
    <n v="190801"/>
    <n v="557963"/>
  </r>
  <r>
    <x v="259"/>
    <x v="6"/>
    <m/>
    <x v="6"/>
    <x v="6"/>
    <x v="37"/>
    <n v="190801"/>
    <n v="190801"/>
    <m/>
    <n v="42"/>
    <n v="190801"/>
    <n v="420000"/>
  </r>
  <r>
    <x v="259"/>
    <x v="6"/>
    <m/>
    <x v="28"/>
    <x v="6"/>
    <x v="39"/>
    <n v="190801"/>
    <n v="190801"/>
    <m/>
    <n v="771"/>
    <n v="190801"/>
    <n v="12195678"/>
  </r>
  <r>
    <x v="260"/>
    <x v="3"/>
    <m/>
    <x v="0"/>
    <x v="1"/>
    <x v="15"/>
    <n v="190801"/>
    <n v="190801"/>
    <m/>
    <n v="2"/>
    <n v="190801"/>
    <n v="40000"/>
  </r>
  <r>
    <x v="260"/>
    <x v="3"/>
    <m/>
    <x v="0"/>
    <x v="1"/>
    <x v="16"/>
    <n v="190801"/>
    <n v="190801"/>
    <m/>
    <n v="5"/>
    <n v="190801"/>
    <n v="175000"/>
  </r>
  <r>
    <x v="260"/>
    <x v="3"/>
    <m/>
    <x v="0"/>
    <x v="7"/>
    <x v="15"/>
    <n v="190801"/>
    <n v="190801"/>
    <m/>
    <n v="3"/>
    <n v="190801"/>
    <n v="60000"/>
  </r>
  <r>
    <x v="260"/>
    <x v="3"/>
    <m/>
    <x v="6"/>
    <x v="2"/>
    <x v="37"/>
    <n v="190801"/>
    <n v="190801"/>
    <m/>
    <n v="11"/>
    <n v="190801"/>
    <n v="220000"/>
  </r>
  <r>
    <x v="260"/>
    <x v="3"/>
    <m/>
    <x v="19"/>
    <x v="2"/>
    <x v="38"/>
    <n v="190801"/>
    <n v="190801"/>
    <m/>
    <n v="3"/>
    <n v="190801"/>
    <n v="30000"/>
  </r>
  <r>
    <x v="260"/>
    <x v="3"/>
    <m/>
    <x v="25"/>
    <x v="2"/>
    <x v="34"/>
    <n v="190801"/>
    <n v="190801"/>
    <m/>
    <n v="4"/>
    <n v="190801"/>
    <n v="396000"/>
  </r>
  <r>
    <x v="260"/>
    <x v="3"/>
    <m/>
    <x v="1"/>
    <x v="2"/>
    <x v="18"/>
    <n v="190801"/>
    <n v="190801"/>
    <m/>
    <n v="2"/>
    <n v="190801"/>
    <n v="40000"/>
  </r>
  <r>
    <x v="260"/>
    <x v="3"/>
    <m/>
    <x v="1"/>
    <x v="2"/>
    <x v="21"/>
    <n v="190801"/>
    <n v="190801"/>
    <m/>
    <n v="2"/>
    <n v="190801"/>
    <n v="70000"/>
  </r>
  <r>
    <x v="260"/>
    <x v="3"/>
    <m/>
    <x v="4"/>
    <x v="2"/>
    <x v="26"/>
    <n v="190801"/>
    <n v="190801"/>
    <m/>
    <n v="2"/>
    <n v="190801"/>
    <n v="8000"/>
  </r>
  <r>
    <x v="260"/>
    <x v="3"/>
    <m/>
    <x v="4"/>
    <x v="2"/>
    <x v="27"/>
    <n v="190801"/>
    <n v="190801"/>
    <m/>
    <n v="8"/>
    <n v="190801"/>
    <n v="160000"/>
  </r>
  <r>
    <x v="260"/>
    <x v="3"/>
    <m/>
    <x v="0"/>
    <x v="2"/>
    <x v="15"/>
    <n v="190801"/>
    <n v="190801"/>
    <m/>
    <n v="59"/>
    <n v="190801"/>
    <n v="1180000"/>
  </r>
  <r>
    <x v="260"/>
    <x v="3"/>
    <m/>
    <x v="0"/>
    <x v="2"/>
    <x v="16"/>
    <n v="190801"/>
    <n v="190801"/>
    <m/>
    <n v="50"/>
    <n v="190801"/>
    <n v="1750000"/>
  </r>
  <r>
    <x v="260"/>
    <x v="3"/>
    <m/>
    <x v="0"/>
    <x v="2"/>
    <x v="17"/>
    <n v="190801"/>
    <n v="190801"/>
    <m/>
    <n v="55"/>
    <n v="190801"/>
    <n v="1815000"/>
  </r>
  <r>
    <x v="260"/>
    <x v="3"/>
    <m/>
    <x v="0"/>
    <x v="2"/>
    <x v="19"/>
    <n v="190801"/>
    <n v="190801"/>
    <m/>
    <n v="51"/>
    <n v="190801"/>
    <n v="153000"/>
  </r>
  <r>
    <x v="260"/>
    <x v="3"/>
    <m/>
    <x v="5"/>
    <x v="2"/>
    <x v="28"/>
    <n v="190801"/>
    <n v="190801"/>
    <m/>
    <n v="17"/>
    <n v="190801"/>
    <n v="476000"/>
  </r>
  <r>
    <x v="260"/>
    <x v="3"/>
    <m/>
    <x v="22"/>
    <x v="2"/>
    <x v="29"/>
    <n v="190801"/>
    <n v="190801"/>
    <m/>
    <n v="5"/>
    <n v="190801"/>
    <n v="190000"/>
  </r>
  <r>
    <x v="260"/>
    <x v="3"/>
    <m/>
    <x v="19"/>
    <x v="2"/>
    <x v="22"/>
    <n v="190801"/>
    <n v="190801"/>
    <m/>
    <n v="10"/>
    <n v="190801"/>
    <n v="130000"/>
  </r>
  <r>
    <x v="260"/>
    <x v="3"/>
    <m/>
    <x v="19"/>
    <x v="2"/>
    <x v="24"/>
    <n v="190801"/>
    <n v="190801"/>
    <m/>
    <n v="1"/>
    <n v="190801"/>
    <n v="33000"/>
  </r>
  <r>
    <x v="260"/>
    <x v="3"/>
    <m/>
    <x v="0"/>
    <x v="3"/>
    <x v="15"/>
    <n v="190801"/>
    <n v="190801"/>
    <m/>
    <n v="2"/>
    <n v="190801"/>
    <n v="0"/>
  </r>
  <r>
    <x v="261"/>
    <x v="4"/>
    <m/>
    <x v="0"/>
    <x v="1"/>
    <x v="16"/>
    <n v="190801"/>
    <n v="190801"/>
    <m/>
    <n v="3"/>
    <n v="190801"/>
    <n v="105000"/>
  </r>
  <r>
    <x v="261"/>
    <x v="4"/>
    <m/>
    <x v="6"/>
    <x v="2"/>
    <x v="37"/>
    <n v="190801"/>
    <n v="190801"/>
    <m/>
    <n v="8"/>
    <n v="190801"/>
    <n v="160000"/>
  </r>
  <r>
    <x v="261"/>
    <x v="4"/>
    <m/>
    <x v="19"/>
    <x v="2"/>
    <x v="38"/>
    <n v="190801"/>
    <n v="190801"/>
    <m/>
    <n v="1"/>
    <n v="190801"/>
    <n v="10000"/>
  </r>
  <r>
    <x v="261"/>
    <x v="4"/>
    <m/>
    <x v="25"/>
    <x v="2"/>
    <x v="34"/>
    <n v="190801"/>
    <n v="190801"/>
    <m/>
    <n v="4"/>
    <n v="190801"/>
    <n v="396000"/>
  </r>
  <r>
    <x v="261"/>
    <x v="4"/>
    <m/>
    <x v="1"/>
    <x v="2"/>
    <x v="18"/>
    <n v="190801"/>
    <n v="190801"/>
    <m/>
    <n v="2"/>
    <n v="190801"/>
    <n v="40000"/>
  </r>
  <r>
    <x v="261"/>
    <x v="4"/>
    <m/>
    <x v="1"/>
    <x v="2"/>
    <x v="21"/>
    <n v="190801"/>
    <n v="190801"/>
    <m/>
    <n v="1"/>
    <n v="190801"/>
    <n v="35000"/>
  </r>
  <r>
    <x v="261"/>
    <x v="4"/>
    <m/>
    <x v="4"/>
    <x v="2"/>
    <x v="26"/>
    <n v="190801"/>
    <n v="190801"/>
    <m/>
    <n v="2"/>
    <n v="190801"/>
    <n v="8000"/>
  </r>
  <r>
    <x v="261"/>
    <x v="4"/>
    <m/>
    <x v="4"/>
    <x v="2"/>
    <x v="27"/>
    <n v="190801"/>
    <n v="190801"/>
    <m/>
    <n v="2"/>
    <n v="190801"/>
    <n v="40000"/>
  </r>
  <r>
    <x v="261"/>
    <x v="4"/>
    <m/>
    <x v="0"/>
    <x v="2"/>
    <x v="15"/>
    <n v="190801"/>
    <n v="190801"/>
    <m/>
    <n v="59"/>
    <n v="190801"/>
    <n v="1180000"/>
  </r>
  <r>
    <x v="261"/>
    <x v="4"/>
    <m/>
    <x v="0"/>
    <x v="2"/>
    <x v="16"/>
    <n v="190801"/>
    <n v="190801"/>
    <m/>
    <n v="45"/>
    <n v="190801"/>
    <n v="1575000"/>
  </r>
  <r>
    <x v="261"/>
    <x v="4"/>
    <m/>
    <x v="0"/>
    <x v="2"/>
    <x v="17"/>
    <n v="190801"/>
    <n v="190801"/>
    <m/>
    <n v="49"/>
    <n v="190801"/>
    <n v="1617000"/>
  </r>
  <r>
    <x v="261"/>
    <x v="4"/>
    <m/>
    <x v="0"/>
    <x v="2"/>
    <x v="19"/>
    <n v="190801"/>
    <n v="190801"/>
    <m/>
    <n v="50"/>
    <n v="190801"/>
    <n v="150000"/>
  </r>
  <r>
    <x v="261"/>
    <x v="4"/>
    <m/>
    <x v="5"/>
    <x v="2"/>
    <x v="28"/>
    <n v="190801"/>
    <n v="190801"/>
    <m/>
    <n v="15"/>
    <n v="190801"/>
    <n v="420000"/>
  </r>
  <r>
    <x v="261"/>
    <x v="4"/>
    <m/>
    <x v="22"/>
    <x v="2"/>
    <x v="29"/>
    <n v="190801"/>
    <n v="190801"/>
    <m/>
    <n v="3"/>
    <n v="190801"/>
    <n v="114000"/>
  </r>
  <r>
    <x v="261"/>
    <x v="4"/>
    <m/>
    <x v="19"/>
    <x v="2"/>
    <x v="22"/>
    <n v="190801"/>
    <n v="190801"/>
    <m/>
    <n v="8"/>
    <n v="190801"/>
    <n v="104000"/>
  </r>
  <r>
    <x v="261"/>
    <x v="4"/>
    <m/>
    <x v="0"/>
    <x v="4"/>
    <x v="15"/>
    <n v="190801"/>
    <n v="190801"/>
    <m/>
    <n v="84"/>
    <n v="190801"/>
    <n v="2646000"/>
  </r>
  <r>
    <x v="261"/>
    <x v="4"/>
    <m/>
    <x v="0"/>
    <x v="4"/>
    <x v="16"/>
    <n v="190801"/>
    <n v="190801"/>
    <m/>
    <n v="90"/>
    <n v="190801"/>
    <n v="3960000"/>
  </r>
  <r>
    <x v="261"/>
    <x v="4"/>
    <m/>
    <x v="5"/>
    <x v="4"/>
    <x v="28"/>
    <n v="190801"/>
    <n v="190801"/>
    <m/>
    <n v="8"/>
    <n v="190801"/>
    <n v="304000"/>
  </r>
  <r>
    <x v="261"/>
    <x v="4"/>
    <m/>
    <x v="1"/>
    <x v="4"/>
    <x v="18"/>
    <n v="190801"/>
    <n v="190801"/>
    <m/>
    <n v="5"/>
    <n v="190801"/>
    <n v="157500"/>
  </r>
  <r>
    <x v="261"/>
    <x v="4"/>
    <m/>
    <x v="4"/>
    <x v="4"/>
    <x v="27"/>
    <n v="190801"/>
    <n v="190801"/>
    <m/>
    <n v="5"/>
    <n v="190801"/>
    <n v="180000"/>
  </r>
  <r>
    <x v="261"/>
    <x v="4"/>
    <m/>
    <x v="19"/>
    <x v="4"/>
    <x v="22"/>
    <n v="190801"/>
    <n v="190801"/>
    <m/>
    <n v="2"/>
    <n v="190801"/>
    <n v="50000"/>
  </r>
  <r>
    <x v="261"/>
    <x v="4"/>
    <m/>
    <x v="0"/>
    <x v="3"/>
    <x v="20"/>
    <n v="190801"/>
    <n v="190801"/>
    <m/>
    <n v="1"/>
    <n v="190801"/>
    <n v="0"/>
  </r>
  <r>
    <x v="261"/>
    <x v="4"/>
    <m/>
    <x v="22"/>
    <x v="3"/>
    <x v="29"/>
    <n v="190801"/>
    <n v="190801"/>
    <m/>
    <n v="40"/>
    <n v="190801"/>
    <n v="0"/>
  </r>
  <r>
    <x v="262"/>
    <x v="1"/>
    <m/>
    <x v="0"/>
    <x v="1"/>
    <x v="16"/>
    <n v="190801"/>
    <n v="190801"/>
    <m/>
    <n v="5"/>
    <n v="190801"/>
    <n v="175000"/>
  </r>
  <r>
    <x v="262"/>
    <x v="1"/>
    <m/>
    <x v="0"/>
    <x v="7"/>
    <x v="15"/>
    <n v="190801"/>
    <n v="190801"/>
    <m/>
    <n v="2"/>
    <n v="190801"/>
    <n v="40000"/>
  </r>
  <r>
    <x v="262"/>
    <x v="1"/>
    <m/>
    <x v="6"/>
    <x v="2"/>
    <x v="37"/>
    <n v="190801"/>
    <n v="190801"/>
    <m/>
    <n v="19"/>
    <n v="190801"/>
    <n v="380000"/>
  </r>
  <r>
    <x v="262"/>
    <x v="1"/>
    <m/>
    <x v="19"/>
    <x v="2"/>
    <x v="38"/>
    <n v="190801"/>
    <n v="190801"/>
    <m/>
    <n v="3"/>
    <n v="190801"/>
    <n v="30000"/>
  </r>
  <r>
    <x v="262"/>
    <x v="1"/>
    <m/>
    <x v="29"/>
    <x v="2"/>
    <x v="40"/>
    <n v="190801"/>
    <n v="190801"/>
    <m/>
    <n v="1"/>
    <n v="190801"/>
    <n v="35000"/>
  </r>
  <r>
    <x v="262"/>
    <x v="1"/>
    <m/>
    <x v="29"/>
    <x v="2"/>
    <x v="41"/>
    <n v="190801"/>
    <n v="190801"/>
    <m/>
    <n v="1"/>
    <n v="190801"/>
    <n v="45000"/>
  </r>
  <r>
    <x v="262"/>
    <x v="1"/>
    <m/>
    <x v="25"/>
    <x v="2"/>
    <x v="34"/>
    <n v="190801"/>
    <n v="190801"/>
    <m/>
    <n v="7"/>
    <n v="190801"/>
    <n v="693000"/>
  </r>
  <r>
    <x v="262"/>
    <x v="1"/>
    <m/>
    <x v="1"/>
    <x v="2"/>
    <x v="18"/>
    <n v="190801"/>
    <n v="190801"/>
    <m/>
    <n v="7"/>
    <n v="190801"/>
    <n v="140000"/>
  </r>
  <r>
    <x v="262"/>
    <x v="1"/>
    <m/>
    <x v="4"/>
    <x v="2"/>
    <x v="26"/>
    <n v="190801"/>
    <n v="190801"/>
    <m/>
    <n v="7"/>
    <n v="190801"/>
    <n v="28000"/>
  </r>
  <r>
    <x v="262"/>
    <x v="1"/>
    <m/>
    <x v="4"/>
    <x v="2"/>
    <x v="27"/>
    <n v="190801"/>
    <n v="190801"/>
    <m/>
    <n v="1"/>
    <n v="190801"/>
    <n v="20000"/>
  </r>
  <r>
    <x v="262"/>
    <x v="1"/>
    <m/>
    <x v="0"/>
    <x v="2"/>
    <x v="15"/>
    <n v="190801"/>
    <n v="190801"/>
    <m/>
    <n v="48"/>
    <n v="190801"/>
    <n v="960000"/>
  </r>
  <r>
    <x v="262"/>
    <x v="1"/>
    <m/>
    <x v="0"/>
    <x v="2"/>
    <x v="16"/>
    <n v="190801"/>
    <n v="190801"/>
    <m/>
    <n v="38"/>
    <n v="190801"/>
    <n v="1330000"/>
  </r>
  <r>
    <x v="262"/>
    <x v="1"/>
    <m/>
    <x v="0"/>
    <x v="2"/>
    <x v="17"/>
    <n v="190801"/>
    <n v="190801"/>
    <m/>
    <n v="45"/>
    <n v="190801"/>
    <n v="1485000"/>
  </r>
  <r>
    <x v="262"/>
    <x v="1"/>
    <m/>
    <x v="0"/>
    <x v="2"/>
    <x v="19"/>
    <n v="190801"/>
    <n v="190801"/>
    <m/>
    <n v="41"/>
    <n v="190801"/>
    <n v="123000"/>
  </r>
  <r>
    <x v="262"/>
    <x v="1"/>
    <m/>
    <x v="5"/>
    <x v="2"/>
    <x v="28"/>
    <n v="190801"/>
    <n v="190801"/>
    <m/>
    <n v="15"/>
    <n v="190801"/>
    <n v="420000"/>
  </r>
  <r>
    <x v="262"/>
    <x v="1"/>
    <m/>
    <x v="22"/>
    <x v="2"/>
    <x v="29"/>
    <n v="190801"/>
    <n v="190801"/>
    <m/>
    <n v="3"/>
    <n v="190801"/>
    <n v="114000"/>
  </r>
  <r>
    <x v="262"/>
    <x v="1"/>
    <m/>
    <x v="19"/>
    <x v="2"/>
    <x v="22"/>
    <n v="190801"/>
    <n v="190801"/>
    <m/>
    <n v="6"/>
    <n v="190801"/>
    <n v="78000"/>
  </r>
  <r>
    <x v="262"/>
    <x v="1"/>
    <m/>
    <x v="0"/>
    <x v="4"/>
    <x v="15"/>
    <n v="190801"/>
    <n v="190801"/>
    <m/>
    <n v="6"/>
    <n v="190801"/>
    <n v="189000"/>
  </r>
  <r>
    <x v="262"/>
    <x v="1"/>
    <m/>
    <x v="0"/>
    <x v="4"/>
    <x v="16"/>
    <n v="190801"/>
    <n v="190801"/>
    <m/>
    <n v="5"/>
    <n v="190801"/>
    <n v="220000"/>
  </r>
  <r>
    <x v="262"/>
    <x v="1"/>
    <m/>
    <x v="5"/>
    <x v="4"/>
    <x v="28"/>
    <n v="190801"/>
    <n v="190801"/>
    <m/>
    <n v="2"/>
    <n v="190801"/>
    <n v="76000"/>
  </r>
  <r>
    <x v="262"/>
    <x v="1"/>
    <m/>
    <x v="4"/>
    <x v="4"/>
    <x v="27"/>
    <n v="190801"/>
    <n v="190801"/>
    <m/>
    <n v="1"/>
    <n v="190801"/>
    <n v="36000"/>
  </r>
  <r>
    <x v="263"/>
    <x v="0"/>
    <m/>
    <x v="0"/>
    <x v="1"/>
    <x v="15"/>
    <n v="190801"/>
    <n v="190801"/>
    <m/>
    <n v="2"/>
    <n v="190801"/>
    <n v="40000"/>
  </r>
  <r>
    <x v="263"/>
    <x v="0"/>
    <m/>
    <x v="0"/>
    <x v="1"/>
    <x v="16"/>
    <n v="190801"/>
    <n v="190801"/>
    <m/>
    <n v="21"/>
    <n v="190801"/>
    <n v="735000"/>
  </r>
  <r>
    <x v="263"/>
    <x v="0"/>
    <m/>
    <x v="6"/>
    <x v="2"/>
    <x v="37"/>
    <n v="190801"/>
    <n v="190801"/>
    <m/>
    <n v="10"/>
    <n v="190801"/>
    <n v="200000"/>
  </r>
  <r>
    <x v="263"/>
    <x v="0"/>
    <m/>
    <x v="6"/>
    <x v="2"/>
    <x v="42"/>
    <n v="190801"/>
    <n v="190801"/>
    <m/>
    <n v="2"/>
    <n v="190801"/>
    <n v="70000"/>
  </r>
  <r>
    <x v="263"/>
    <x v="0"/>
    <m/>
    <x v="19"/>
    <x v="2"/>
    <x v="38"/>
    <n v="190801"/>
    <n v="190801"/>
    <m/>
    <n v="4"/>
    <n v="190801"/>
    <n v="40000"/>
  </r>
  <r>
    <x v="263"/>
    <x v="0"/>
    <m/>
    <x v="29"/>
    <x v="2"/>
    <x v="40"/>
    <n v="190801"/>
    <n v="190801"/>
    <m/>
    <n v="12"/>
    <n v="190801"/>
    <n v="420000"/>
  </r>
  <r>
    <x v="263"/>
    <x v="0"/>
    <m/>
    <x v="29"/>
    <x v="2"/>
    <x v="41"/>
    <n v="190801"/>
    <n v="190801"/>
    <m/>
    <n v="25"/>
    <n v="190801"/>
    <n v="1125000"/>
  </r>
  <r>
    <x v="263"/>
    <x v="0"/>
    <m/>
    <x v="25"/>
    <x v="2"/>
    <x v="34"/>
    <n v="190801"/>
    <n v="190801"/>
    <m/>
    <n v="16"/>
    <n v="190801"/>
    <n v="1584000"/>
  </r>
  <r>
    <x v="263"/>
    <x v="0"/>
    <m/>
    <x v="1"/>
    <x v="2"/>
    <x v="18"/>
    <n v="190801"/>
    <n v="190801"/>
    <m/>
    <n v="4"/>
    <n v="190801"/>
    <n v="80000"/>
  </r>
  <r>
    <x v="263"/>
    <x v="0"/>
    <m/>
    <x v="1"/>
    <x v="2"/>
    <x v="21"/>
    <n v="190801"/>
    <n v="190801"/>
    <m/>
    <n v="1"/>
    <n v="190801"/>
    <n v="35000"/>
  </r>
  <r>
    <x v="263"/>
    <x v="0"/>
    <m/>
    <x v="4"/>
    <x v="2"/>
    <x v="27"/>
    <n v="190801"/>
    <n v="190801"/>
    <m/>
    <n v="7"/>
    <n v="190801"/>
    <n v="140000"/>
  </r>
  <r>
    <x v="263"/>
    <x v="0"/>
    <m/>
    <x v="0"/>
    <x v="2"/>
    <x v="15"/>
    <n v="190801"/>
    <n v="190801"/>
    <m/>
    <n v="51"/>
    <n v="190801"/>
    <n v="1020000"/>
  </r>
  <r>
    <x v="263"/>
    <x v="0"/>
    <m/>
    <x v="0"/>
    <x v="2"/>
    <x v="16"/>
    <n v="190801"/>
    <n v="190801"/>
    <m/>
    <n v="48"/>
    <n v="190801"/>
    <n v="1680000"/>
  </r>
  <r>
    <x v="263"/>
    <x v="0"/>
    <m/>
    <x v="0"/>
    <x v="2"/>
    <x v="17"/>
    <n v="190801"/>
    <n v="190801"/>
    <m/>
    <n v="64"/>
    <n v="190801"/>
    <n v="2112000"/>
  </r>
  <r>
    <x v="263"/>
    <x v="0"/>
    <m/>
    <x v="0"/>
    <x v="2"/>
    <x v="19"/>
    <n v="190801"/>
    <n v="190801"/>
    <m/>
    <n v="67"/>
    <n v="190801"/>
    <n v="201000"/>
  </r>
  <r>
    <x v="263"/>
    <x v="0"/>
    <m/>
    <x v="5"/>
    <x v="2"/>
    <x v="28"/>
    <n v="190801"/>
    <n v="190801"/>
    <m/>
    <n v="11"/>
    <n v="190801"/>
    <n v="308000"/>
  </r>
  <r>
    <x v="263"/>
    <x v="0"/>
    <m/>
    <x v="22"/>
    <x v="2"/>
    <x v="29"/>
    <n v="190801"/>
    <n v="190801"/>
    <m/>
    <n v="3"/>
    <n v="190801"/>
    <n v="114000"/>
  </r>
  <r>
    <x v="263"/>
    <x v="0"/>
    <m/>
    <x v="19"/>
    <x v="2"/>
    <x v="22"/>
    <n v="190801"/>
    <n v="190801"/>
    <m/>
    <n v="9"/>
    <n v="190801"/>
    <n v="117000"/>
  </r>
  <r>
    <x v="263"/>
    <x v="0"/>
    <m/>
    <x v="19"/>
    <x v="2"/>
    <x v="23"/>
    <n v="190801"/>
    <n v="190801"/>
    <m/>
    <n v="4"/>
    <n v="190801"/>
    <n v="96000"/>
  </r>
  <r>
    <x v="263"/>
    <x v="0"/>
    <m/>
    <x v="0"/>
    <x v="4"/>
    <x v="15"/>
    <n v="190801"/>
    <n v="190801"/>
    <m/>
    <n v="12"/>
    <n v="190801"/>
    <n v="378000"/>
  </r>
  <r>
    <x v="263"/>
    <x v="0"/>
    <m/>
    <x v="0"/>
    <x v="4"/>
    <x v="16"/>
    <n v="190801"/>
    <n v="190801"/>
    <m/>
    <n v="5"/>
    <n v="190801"/>
    <n v="220000"/>
  </r>
  <r>
    <x v="263"/>
    <x v="0"/>
    <m/>
    <x v="19"/>
    <x v="4"/>
    <x v="22"/>
    <n v="190801"/>
    <n v="190801"/>
    <m/>
    <n v="1"/>
    <n v="190801"/>
    <n v="25000"/>
  </r>
  <r>
    <x v="263"/>
    <x v="0"/>
    <m/>
    <x v="0"/>
    <x v="9"/>
    <x v="43"/>
    <n v="190801"/>
    <n v="190801"/>
    <m/>
    <n v="1"/>
    <n v="200618"/>
    <n v="32000"/>
  </r>
  <r>
    <x v="263"/>
    <x v="0"/>
    <m/>
    <x v="0"/>
    <x v="9"/>
    <x v="44"/>
    <n v="190801"/>
    <n v="190801"/>
    <m/>
    <n v="5"/>
    <n v="200618"/>
    <n v="87500"/>
  </r>
  <r>
    <x v="263"/>
    <x v="0"/>
    <m/>
    <x v="5"/>
    <x v="9"/>
    <x v="45"/>
    <n v="190801"/>
    <n v="190801"/>
    <m/>
    <n v="2"/>
    <n v="200618"/>
    <n v="42000"/>
  </r>
  <r>
    <x v="263"/>
    <x v="0"/>
    <m/>
    <x v="0"/>
    <x v="3"/>
    <x v="15"/>
    <n v="190801"/>
    <n v="190801"/>
    <m/>
    <n v="2"/>
    <n v="190801"/>
    <n v="0"/>
  </r>
  <r>
    <x v="263"/>
    <x v="0"/>
    <m/>
    <x v="0"/>
    <x v="3"/>
    <x v="20"/>
    <n v="190801"/>
    <n v="190801"/>
    <m/>
    <n v="1"/>
    <n v="190801"/>
    <n v="0"/>
  </r>
  <r>
    <x v="263"/>
    <x v="0"/>
    <m/>
    <x v="0"/>
    <x v="3"/>
    <x v="17"/>
    <n v="190801"/>
    <n v="190801"/>
    <m/>
    <n v="1"/>
    <n v="190801"/>
    <n v="0"/>
  </r>
  <r>
    <x v="263"/>
    <x v="0"/>
    <m/>
    <x v="18"/>
    <x v="3"/>
    <x v="19"/>
    <n v="190801"/>
    <n v="190801"/>
    <m/>
    <n v="2"/>
    <n v="190801"/>
    <n v="0"/>
  </r>
  <r>
    <x v="263"/>
    <x v="0"/>
    <m/>
    <x v="5"/>
    <x v="3"/>
    <x v="28"/>
    <n v="190801"/>
    <n v="190801"/>
    <m/>
    <n v="2"/>
    <n v="190801"/>
    <n v="0"/>
  </r>
  <r>
    <x v="263"/>
    <x v="0"/>
    <m/>
    <x v="4"/>
    <x v="3"/>
    <x v="27"/>
    <n v="190801"/>
    <n v="190801"/>
    <m/>
    <n v="2"/>
    <n v="190801"/>
    <n v="0"/>
  </r>
  <r>
    <x v="263"/>
    <x v="0"/>
    <m/>
    <x v="6"/>
    <x v="3"/>
    <x v="37"/>
    <n v="190801"/>
    <n v="190801"/>
    <m/>
    <n v="1"/>
    <n v="190801"/>
    <n v="0"/>
  </r>
  <r>
    <x v="263"/>
    <x v="0"/>
    <m/>
    <x v="22"/>
    <x v="3"/>
    <x v="29"/>
    <n v="190801"/>
    <n v="190801"/>
    <m/>
    <n v="2"/>
    <n v="190801"/>
    <n v="0"/>
  </r>
  <r>
    <x v="263"/>
    <x v="0"/>
    <m/>
    <x v="1"/>
    <x v="3"/>
    <x v="18"/>
    <n v="190801"/>
    <n v="190801"/>
    <m/>
    <n v="2"/>
    <n v="190801"/>
    <n v="0"/>
  </r>
  <r>
    <x v="263"/>
    <x v="0"/>
    <m/>
    <x v="19"/>
    <x v="3"/>
    <x v="22"/>
    <n v="190801"/>
    <n v="190801"/>
    <m/>
    <n v="2"/>
    <n v="190801"/>
    <n v="0"/>
  </r>
  <r>
    <x v="263"/>
    <x v="0"/>
    <m/>
    <x v="4"/>
    <x v="3"/>
    <x v="26"/>
    <n v="190801"/>
    <n v="190801"/>
    <m/>
    <n v="360"/>
    <n v="190801"/>
    <n v="0"/>
  </r>
  <r>
    <x v="264"/>
    <x v="2"/>
    <m/>
    <x v="0"/>
    <x v="1"/>
    <x v="16"/>
    <n v="190801"/>
    <n v="190801"/>
    <m/>
    <n v="7"/>
    <n v="190801"/>
    <n v="245000"/>
  </r>
  <r>
    <x v="264"/>
    <x v="2"/>
    <m/>
    <x v="0"/>
    <x v="7"/>
    <x v="15"/>
    <n v="190801"/>
    <n v="190801"/>
    <m/>
    <n v="4"/>
    <n v="190801"/>
    <n v="80000"/>
  </r>
  <r>
    <x v="264"/>
    <x v="2"/>
    <m/>
    <x v="6"/>
    <x v="2"/>
    <x v="37"/>
    <n v="190801"/>
    <n v="190801"/>
    <m/>
    <n v="2"/>
    <n v="190801"/>
    <n v="40000"/>
  </r>
  <r>
    <x v="264"/>
    <x v="2"/>
    <m/>
    <x v="19"/>
    <x v="2"/>
    <x v="38"/>
    <n v="190801"/>
    <n v="190801"/>
    <m/>
    <n v="1"/>
    <n v="190801"/>
    <n v="10000"/>
  </r>
  <r>
    <x v="264"/>
    <x v="2"/>
    <m/>
    <x v="29"/>
    <x v="2"/>
    <x v="40"/>
    <n v="190801"/>
    <n v="190801"/>
    <m/>
    <n v="10"/>
    <n v="190801"/>
    <n v="350000"/>
  </r>
  <r>
    <x v="264"/>
    <x v="2"/>
    <m/>
    <x v="29"/>
    <x v="2"/>
    <x v="41"/>
    <n v="190801"/>
    <n v="190801"/>
    <m/>
    <n v="10"/>
    <n v="190801"/>
    <n v="450000"/>
  </r>
  <r>
    <x v="264"/>
    <x v="2"/>
    <m/>
    <x v="25"/>
    <x v="2"/>
    <x v="34"/>
    <n v="190801"/>
    <n v="190801"/>
    <m/>
    <n v="15"/>
    <n v="190801"/>
    <n v="1485000"/>
  </r>
  <r>
    <x v="264"/>
    <x v="2"/>
    <m/>
    <x v="1"/>
    <x v="2"/>
    <x v="18"/>
    <n v="190801"/>
    <n v="190801"/>
    <m/>
    <n v="4"/>
    <n v="190801"/>
    <n v="80000"/>
  </r>
  <r>
    <x v="264"/>
    <x v="2"/>
    <m/>
    <x v="1"/>
    <x v="2"/>
    <x v="21"/>
    <n v="190801"/>
    <n v="190801"/>
    <m/>
    <n v="1"/>
    <n v="190801"/>
    <n v="35000"/>
  </r>
  <r>
    <x v="264"/>
    <x v="2"/>
    <m/>
    <x v="4"/>
    <x v="2"/>
    <x v="27"/>
    <n v="190801"/>
    <n v="190801"/>
    <m/>
    <n v="2"/>
    <n v="190801"/>
    <n v="40000"/>
  </r>
  <r>
    <x v="264"/>
    <x v="2"/>
    <m/>
    <x v="0"/>
    <x v="2"/>
    <x v="15"/>
    <n v="190801"/>
    <n v="190801"/>
    <m/>
    <n v="60"/>
    <n v="190801"/>
    <n v="1200000"/>
  </r>
  <r>
    <x v="264"/>
    <x v="2"/>
    <m/>
    <x v="0"/>
    <x v="2"/>
    <x v="16"/>
    <n v="190801"/>
    <n v="190801"/>
    <m/>
    <n v="127"/>
    <n v="190801"/>
    <n v="4445000"/>
  </r>
  <r>
    <x v="264"/>
    <x v="2"/>
    <m/>
    <x v="0"/>
    <x v="2"/>
    <x v="17"/>
    <n v="190801"/>
    <n v="190801"/>
    <m/>
    <n v="59"/>
    <n v="190801"/>
    <n v="1947000"/>
  </r>
  <r>
    <x v="264"/>
    <x v="2"/>
    <m/>
    <x v="0"/>
    <x v="2"/>
    <x v="19"/>
    <n v="190801"/>
    <n v="190801"/>
    <m/>
    <n v="277"/>
    <n v="190801"/>
    <n v="831000"/>
  </r>
  <r>
    <x v="264"/>
    <x v="2"/>
    <m/>
    <x v="5"/>
    <x v="2"/>
    <x v="28"/>
    <n v="190801"/>
    <n v="190801"/>
    <m/>
    <n v="16"/>
    <n v="190801"/>
    <n v="448000"/>
  </r>
  <r>
    <x v="264"/>
    <x v="2"/>
    <m/>
    <x v="22"/>
    <x v="2"/>
    <x v="29"/>
    <n v="190801"/>
    <n v="190801"/>
    <m/>
    <n v="4"/>
    <n v="190801"/>
    <n v="152000"/>
  </r>
  <r>
    <x v="264"/>
    <x v="2"/>
    <m/>
    <x v="19"/>
    <x v="2"/>
    <x v="22"/>
    <n v="190801"/>
    <n v="190801"/>
    <m/>
    <n v="6"/>
    <n v="190801"/>
    <n v="78000"/>
  </r>
  <r>
    <x v="264"/>
    <x v="2"/>
    <m/>
    <x v="19"/>
    <x v="2"/>
    <x v="23"/>
    <n v="190801"/>
    <n v="190801"/>
    <m/>
    <n v="1"/>
    <n v="190801"/>
    <n v="24000"/>
  </r>
  <r>
    <x v="264"/>
    <x v="2"/>
    <m/>
    <x v="0"/>
    <x v="4"/>
    <x v="15"/>
    <n v="190801"/>
    <n v="190801"/>
    <m/>
    <n v="13"/>
    <n v="190801"/>
    <n v="409500"/>
  </r>
  <r>
    <x v="264"/>
    <x v="2"/>
    <m/>
    <x v="0"/>
    <x v="4"/>
    <x v="16"/>
    <n v="190801"/>
    <n v="190801"/>
    <m/>
    <n v="5"/>
    <n v="190801"/>
    <n v="220000"/>
  </r>
  <r>
    <x v="264"/>
    <x v="2"/>
    <m/>
    <x v="5"/>
    <x v="4"/>
    <x v="28"/>
    <n v="190801"/>
    <n v="190801"/>
    <m/>
    <n v="1"/>
    <n v="190801"/>
    <n v="38000"/>
  </r>
  <r>
    <x v="264"/>
    <x v="2"/>
    <m/>
    <x v="19"/>
    <x v="4"/>
    <x v="22"/>
    <n v="190801"/>
    <n v="190801"/>
    <m/>
    <n v="2"/>
    <n v="190801"/>
    <n v="50000"/>
  </r>
  <r>
    <x v="264"/>
    <x v="2"/>
    <m/>
    <x v="6"/>
    <x v="9"/>
    <x v="46"/>
    <n v="190801"/>
    <n v="190801"/>
    <m/>
    <n v="1"/>
    <n v="200618"/>
    <n v="18000"/>
  </r>
  <r>
    <x v="264"/>
    <x v="2"/>
    <m/>
    <x v="0"/>
    <x v="9"/>
    <x v="44"/>
    <n v="190801"/>
    <n v="190801"/>
    <m/>
    <n v="8"/>
    <n v="200618"/>
    <n v="140000"/>
  </r>
  <r>
    <x v="264"/>
    <x v="2"/>
    <m/>
    <x v="0"/>
    <x v="9"/>
    <x v="43"/>
    <n v="190801"/>
    <n v="190801"/>
    <m/>
    <n v="1"/>
    <n v="200618"/>
    <n v="32000"/>
  </r>
  <r>
    <x v="264"/>
    <x v="2"/>
    <m/>
    <x v="0"/>
    <x v="3"/>
    <x v="15"/>
    <n v="190801"/>
    <n v="190801"/>
    <m/>
    <n v="14"/>
    <n v="190801"/>
    <n v="0"/>
  </r>
  <r>
    <x v="264"/>
    <x v="2"/>
    <m/>
    <x v="0"/>
    <x v="3"/>
    <x v="20"/>
    <n v="190801"/>
    <n v="190801"/>
    <m/>
    <n v="3"/>
    <n v="190801"/>
    <n v="0"/>
  </r>
  <r>
    <x v="264"/>
    <x v="2"/>
    <m/>
    <x v="18"/>
    <x v="3"/>
    <x v="19"/>
    <n v="190801"/>
    <n v="190801"/>
    <m/>
    <n v="4"/>
    <n v="190801"/>
    <n v="0"/>
  </r>
  <r>
    <x v="264"/>
    <x v="2"/>
    <m/>
    <x v="5"/>
    <x v="3"/>
    <x v="28"/>
    <n v="190801"/>
    <n v="190801"/>
    <m/>
    <n v="4"/>
    <n v="190801"/>
    <n v="0"/>
  </r>
  <r>
    <x v="264"/>
    <x v="2"/>
    <m/>
    <x v="6"/>
    <x v="3"/>
    <x v="37"/>
    <n v="190801"/>
    <n v="190801"/>
    <m/>
    <n v="4"/>
    <n v="190801"/>
    <n v="0"/>
  </r>
  <r>
    <x v="265"/>
    <x v="5"/>
    <m/>
    <x v="0"/>
    <x v="7"/>
    <x v="15"/>
    <n v="190801"/>
    <n v="190801"/>
    <m/>
    <n v="2"/>
    <n v="190801"/>
    <n v="40000"/>
  </r>
  <r>
    <x v="265"/>
    <x v="5"/>
    <m/>
    <x v="6"/>
    <x v="2"/>
    <x v="37"/>
    <n v="190801"/>
    <n v="190801"/>
    <m/>
    <n v="1"/>
    <n v="190801"/>
    <n v="20000"/>
  </r>
  <r>
    <x v="265"/>
    <x v="5"/>
    <m/>
    <x v="19"/>
    <x v="2"/>
    <x v="38"/>
    <n v="190801"/>
    <n v="190801"/>
    <m/>
    <n v="1"/>
    <n v="190801"/>
    <n v="10000"/>
  </r>
  <r>
    <x v="265"/>
    <x v="5"/>
    <m/>
    <x v="29"/>
    <x v="2"/>
    <x v="40"/>
    <n v="190801"/>
    <n v="190801"/>
    <m/>
    <n v="2"/>
    <n v="190801"/>
    <n v="70000"/>
  </r>
  <r>
    <x v="265"/>
    <x v="5"/>
    <m/>
    <x v="29"/>
    <x v="2"/>
    <x v="41"/>
    <n v="190801"/>
    <n v="190801"/>
    <m/>
    <n v="4"/>
    <n v="190801"/>
    <n v="180000"/>
  </r>
  <r>
    <x v="265"/>
    <x v="5"/>
    <m/>
    <x v="25"/>
    <x v="2"/>
    <x v="34"/>
    <n v="190801"/>
    <n v="190801"/>
    <m/>
    <n v="9"/>
    <n v="190801"/>
    <n v="891000"/>
  </r>
  <r>
    <x v="265"/>
    <x v="5"/>
    <m/>
    <x v="1"/>
    <x v="2"/>
    <x v="18"/>
    <n v="190801"/>
    <n v="190801"/>
    <m/>
    <n v="1"/>
    <n v="190801"/>
    <n v="20000"/>
  </r>
  <r>
    <x v="265"/>
    <x v="5"/>
    <m/>
    <x v="1"/>
    <x v="2"/>
    <x v="21"/>
    <n v="190801"/>
    <n v="190801"/>
    <m/>
    <n v="1"/>
    <n v="190801"/>
    <n v="35000"/>
  </r>
  <r>
    <x v="265"/>
    <x v="5"/>
    <m/>
    <x v="4"/>
    <x v="2"/>
    <x v="26"/>
    <n v="190801"/>
    <n v="190801"/>
    <m/>
    <n v="3"/>
    <n v="190801"/>
    <n v="12000"/>
  </r>
  <r>
    <x v="265"/>
    <x v="5"/>
    <m/>
    <x v="4"/>
    <x v="2"/>
    <x v="27"/>
    <n v="190801"/>
    <n v="190801"/>
    <m/>
    <n v="3"/>
    <n v="190801"/>
    <n v="60000"/>
  </r>
  <r>
    <x v="265"/>
    <x v="5"/>
    <m/>
    <x v="0"/>
    <x v="2"/>
    <x v="15"/>
    <n v="190801"/>
    <n v="190801"/>
    <m/>
    <n v="65"/>
    <n v="190801"/>
    <n v="1300000"/>
  </r>
  <r>
    <x v="265"/>
    <x v="5"/>
    <m/>
    <x v="0"/>
    <x v="2"/>
    <x v="16"/>
    <n v="190801"/>
    <n v="190801"/>
    <m/>
    <n v="42"/>
    <n v="190801"/>
    <n v="1470000"/>
  </r>
  <r>
    <x v="265"/>
    <x v="5"/>
    <m/>
    <x v="0"/>
    <x v="2"/>
    <x v="17"/>
    <n v="190801"/>
    <n v="190801"/>
    <m/>
    <n v="31"/>
    <n v="190801"/>
    <n v="1023000"/>
  </r>
  <r>
    <x v="265"/>
    <x v="5"/>
    <m/>
    <x v="0"/>
    <x v="2"/>
    <x v="19"/>
    <n v="190801"/>
    <n v="190801"/>
    <m/>
    <n v="46"/>
    <n v="190801"/>
    <n v="138000"/>
  </r>
  <r>
    <x v="265"/>
    <x v="5"/>
    <m/>
    <x v="5"/>
    <x v="2"/>
    <x v="28"/>
    <n v="190801"/>
    <n v="190801"/>
    <m/>
    <n v="9"/>
    <n v="190801"/>
    <n v="252000"/>
  </r>
  <r>
    <x v="265"/>
    <x v="5"/>
    <m/>
    <x v="22"/>
    <x v="2"/>
    <x v="29"/>
    <n v="190801"/>
    <n v="190801"/>
    <m/>
    <n v="3"/>
    <n v="190801"/>
    <n v="114000"/>
  </r>
  <r>
    <x v="265"/>
    <x v="5"/>
    <m/>
    <x v="19"/>
    <x v="2"/>
    <x v="22"/>
    <n v="190801"/>
    <n v="190801"/>
    <m/>
    <n v="9"/>
    <n v="190801"/>
    <n v="117000"/>
  </r>
  <r>
    <x v="265"/>
    <x v="5"/>
    <m/>
    <x v="19"/>
    <x v="2"/>
    <x v="23"/>
    <n v="190801"/>
    <n v="190801"/>
    <m/>
    <n v="2"/>
    <n v="190801"/>
    <n v="48000"/>
  </r>
  <r>
    <x v="265"/>
    <x v="5"/>
    <m/>
    <x v="19"/>
    <x v="2"/>
    <x v="24"/>
    <n v="190801"/>
    <n v="190801"/>
    <m/>
    <n v="2"/>
    <n v="190801"/>
    <n v="66000"/>
  </r>
  <r>
    <x v="265"/>
    <x v="5"/>
    <m/>
    <x v="6"/>
    <x v="9"/>
    <x v="46"/>
    <n v="190801"/>
    <n v="190801"/>
    <m/>
    <n v="1"/>
    <n v="200618"/>
    <n v="18000"/>
  </r>
  <r>
    <x v="265"/>
    <x v="5"/>
    <m/>
    <x v="0"/>
    <x v="9"/>
    <x v="44"/>
    <n v="190801"/>
    <n v="190801"/>
    <m/>
    <n v="8"/>
    <n v="200618"/>
    <n v="140000"/>
  </r>
  <r>
    <x v="265"/>
    <x v="5"/>
    <m/>
    <x v="0"/>
    <x v="9"/>
    <x v="43"/>
    <n v="190801"/>
    <n v="190801"/>
    <m/>
    <n v="2"/>
    <n v="200618"/>
    <n v="64000"/>
  </r>
  <r>
    <x v="266"/>
    <x v="6"/>
    <m/>
    <x v="0"/>
    <x v="7"/>
    <x v="15"/>
    <n v="190801"/>
    <n v="190801"/>
    <m/>
    <n v="5"/>
    <n v="190801"/>
    <n v="100000"/>
  </r>
  <r>
    <x v="266"/>
    <x v="6"/>
    <m/>
    <x v="6"/>
    <x v="2"/>
    <x v="37"/>
    <n v="190801"/>
    <n v="190801"/>
    <m/>
    <n v="4"/>
    <n v="190801"/>
    <n v="80000"/>
  </r>
  <r>
    <x v="266"/>
    <x v="6"/>
    <m/>
    <x v="19"/>
    <x v="2"/>
    <x v="38"/>
    <n v="190801"/>
    <n v="190801"/>
    <m/>
    <n v="1"/>
    <n v="190801"/>
    <n v="10000"/>
  </r>
  <r>
    <x v="266"/>
    <x v="6"/>
    <m/>
    <x v="29"/>
    <x v="2"/>
    <x v="41"/>
    <n v="190801"/>
    <n v="190801"/>
    <m/>
    <n v="2"/>
    <n v="190801"/>
    <n v="90000"/>
  </r>
  <r>
    <x v="266"/>
    <x v="6"/>
    <m/>
    <x v="25"/>
    <x v="2"/>
    <x v="34"/>
    <n v="190801"/>
    <n v="190801"/>
    <m/>
    <n v="7"/>
    <n v="190801"/>
    <n v="693000"/>
  </r>
  <r>
    <x v="266"/>
    <x v="6"/>
    <m/>
    <x v="1"/>
    <x v="2"/>
    <x v="18"/>
    <n v="190801"/>
    <n v="190801"/>
    <m/>
    <n v="2"/>
    <n v="190801"/>
    <n v="40000"/>
  </r>
  <r>
    <x v="266"/>
    <x v="6"/>
    <m/>
    <x v="4"/>
    <x v="2"/>
    <x v="26"/>
    <n v="190801"/>
    <n v="190801"/>
    <m/>
    <n v="7"/>
    <n v="190801"/>
    <n v="28000"/>
  </r>
  <r>
    <x v="266"/>
    <x v="6"/>
    <m/>
    <x v="4"/>
    <x v="2"/>
    <x v="27"/>
    <n v="190801"/>
    <n v="190801"/>
    <m/>
    <n v="3"/>
    <n v="190801"/>
    <n v="60000"/>
  </r>
  <r>
    <x v="266"/>
    <x v="6"/>
    <m/>
    <x v="0"/>
    <x v="2"/>
    <x v="15"/>
    <n v="190801"/>
    <n v="190801"/>
    <m/>
    <n v="65"/>
    <n v="190801"/>
    <n v="1300000"/>
  </r>
  <r>
    <x v="266"/>
    <x v="6"/>
    <m/>
    <x v="0"/>
    <x v="2"/>
    <x v="16"/>
    <n v="190801"/>
    <n v="190801"/>
    <m/>
    <n v="39"/>
    <n v="190801"/>
    <n v="1365000"/>
  </r>
  <r>
    <x v="266"/>
    <x v="6"/>
    <m/>
    <x v="0"/>
    <x v="2"/>
    <x v="17"/>
    <n v="190801"/>
    <n v="190801"/>
    <m/>
    <n v="52"/>
    <n v="190801"/>
    <n v="1716000"/>
  </r>
  <r>
    <x v="266"/>
    <x v="6"/>
    <m/>
    <x v="0"/>
    <x v="2"/>
    <x v="19"/>
    <n v="190801"/>
    <n v="190801"/>
    <m/>
    <n v="44"/>
    <n v="190801"/>
    <n v="132000"/>
  </r>
  <r>
    <x v="266"/>
    <x v="6"/>
    <m/>
    <x v="5"/>
    <x v="2"/>
    <x v="28"/>
    <n v="190801"/>
    <n v="190801"/>
    <m/>
    <n v="17"/>
    <n v="190801"/>
    <n v="476000"/>
  </r>
  <r>
    <x v="266"/>
    <x v="6"/>
    <m/>
    <x v="22"/>
    <x v="2"/>
    <x v="29"/>
    <n v="190801"/>
    <n v="190801"/>
    <m/>
    <n v="8"/>
    <n v="190801"/>
    <n v="304000"/>
  </r>
  <r>
    <x v="266"/>
    <x v="6"/>
    <m/>
    <x v="19"/>
    <x v="2"/>
    <x v="22"/>
    <n v="190801"/>
    <n v="190801"/>
    <m/>
    <n v="3"/>
    <n v="190801"/>
    <n v="39000"/>
  </r>
  <r>
    <x v="266"/>
    <x v="6"/>
    <m/>
    <x v="19"/>
    <x v="2"/>
    <x v="23"/>
    <n v="190801"/>
    <n v="190801"/>
    <m/>
    <n v="2"/>
    <n v="190801"/>
    <n v="48000"/>
  </r>
  <r>
    <x v="266"/>
    <x v="6"/>
    <m/>
    <x v="19"/>
    <x v="2"/>
    <x v="24"/>
    <n v="190801"/>
    <n v="190801"/>
    <m/>
    <n v="2"/>
    <n v="190801"/>
    <n v="66000"/>
  </r>
  <r>
    <x v="266"/>
    <x v="6"/>
    <m/>
    <x v="4"/>
    <x v="9"/>
    <x v="47"/>
    <n v="190801"/>
    <n v="190801"/>
    <m/>
    <n v="3"/>
    <n v="200618"/>
    <n v="12000"/>
  </r>
  <r>
    <x v="266"/>
    <x v="6"/>
    <m/>
    <x v="19"/>
    <x v="9"/>
    <x v="48"/>
    <n v="190801"/>
    <n v="190801"/>
    <m/>
    <n v="1"/>
    <n v="200618"/>
    <n v="12000"/>
  </r>
  <r>
    <x v="266"/>
    <x v="6"/>
    <m/>
    <x v="0"/>
    <x v="9"/>
    <x v="44"/>
    <n v="190801"/>
    <n v="190801"/>
    <m/>
    <n v="16"/>
    <n v="200618"/>
    <n v="280000"/>
  </r>
  <r>
    <x v="266"/>
    <x v="6"/>
    <m/>
    <x v="0"/>
    <x v="9"/>
    <x v="43"/>
    <n v="190801"/>
    <n v="190801"/>
    <m/>
    <n v="3"/>
    <n v="200618"/>
    <n v="96000"/>
  </r>
  <r>
    <x v="266"/>
    <x v="6"/>
    <m/>
    <x v="5"/>
    <x v="9"/>
    <x v="45"/>
    <n v="190801"/>
    <n v="190801"/>
    <m/>
    <n v="1"/>
    <n v="200618"/>
    <n v="21000"/>
  </r>
  <r>
    <x v="266"/>
    <x v="6"/>
    <m/>
    <x v="0"/>
    <x v="6"/>
    <x v="15"/>
    <n v="190801"/>
    <n v="190801"/>
    <m/>
    <n v="57"/>
    <n v="190801"/>
    <n v="516876"/>
  </r>
  <r>
    <x v="266"/>
    <x v="6"/>
    <m/>
    <x v="0"/>
    <x v="6"/>
    <x v="17"/>
    <n v="190801"/>
    <n v="190801"/>
    <m/>
    <n v="54"/>
    <n v="190801"/>
    <n v="854172"/>
  </r>
  <r>
    <x v="266"/>
    <x v="6"/>
    <m/>
    <x v="4"/>
    <x v="6"/>
    <x v="26"/>
    <n v="190801"/>
    <n v="190801"/>
    <m/>
    <n v="473"/>
    <n v="190801"/>
    <n v="507529"/>
  </r>
  <r>
    <x v="266"/>
    <x v="6"/>
    <m/>
    <x v="26"/>
    <x v="6"/>
    <x v="35"/>
    <n v="190801"/>
    <n v="190801"/>
    <m/>
    <n v="77"/>
    <n v="190801"/>
    <n v="1319087"/>
  </r>
  <r>
    <x v="266"/>
    <x v="6"/>
    <m/>
    <x v="22"/>
    <x v="6"/>
    <x v="29"/>
    <n v="190801"/>
    <n v="190801"/>
    <m/>
    <n v="7"/>
    <n v="190801"/>
    <n v="137837"/>
  </r>
  <r>
    <x v="266"/>
    <x v="6"/>
    <m/>
    <x v="24"/>
    <x v="6"/>
    <x v="31"/>
    <n v="190801"/>
    <n v="190801"/>
    <m/>
    <n v="78"/>
    <n v="190801"/>
    <n v="1160406"/>
  </r>
  <r>
    <x v="266"/>
    <x v="6"/>
    <m/>
    <x v="23"/>
    <x v="6"/>
    <x v="30"/>
    <n v="190801"/>
    <n v="190801"/>
    <m/>
    <n v="53"/>
    <n v="190801"/>
    <n v="369092"/>
  </r>
  <r>
    <x v="266"/>
    <x v="6"/>
    <m/>
    <x v="19"/>
    <x v="6"/>
    <x v="22"/>
    <n v="190801"/>
    <n v="190801"/>
    <m/>
    <n v="2"/>
    <n v="190801"/>
    <n v="13582"/>
  </r>
  <r>
    <x v="266"/>
    <x v="6"/>
    <m/>
    <x v="27"/>
    <x v="6"/>
    <x v="36"/>
    <n v="190801"/>
    <n v="190801"/>
    <m/>
    <n v="65"/>
    <n v="190801"/>
    <n v="614705"/>
  </r>
  <r>
    <x v="266"/>
    <x v="6"/>
    <m/>
    <x v="6"/>
    <x v="6"/>
    <x v="37"/>
    <n v="190801"/>
    <n v="190801"/>
    <m/>
    <n v="47"/>
    <n v="190801"/>
    <n v="470000"/>
  </r>
  <r>
    <x v="266"/>
    <x v="6"/>
    <m/>
    <x v="28"/>
    <x v="6"/>
    <x v="39"/>
    <n v="190801"/>
    <n v="190801"/>
    <m/>
    <n v="685"/>
    <n v="190801"/>
    <n v="10835330"/>
  </r>
  <r>
    <x v="266"/>
    <x v="6"/>
    <m/>
    <x v="20"/>
    <x v="6"/>
    <x v="25"/>
    <n v="190801"/>
    <n v="190801"/>
    <m/>
    <n v="1"/>
    <n v="190801"/>
    <n v="9716"/>
  </r>
  <r>
    <x v="267"/>
    <x v="3"/>
    <m/>
    <x v="0"/>
    <x v="1"/>
    <x v="16"/>
    <n v="190801"/>
    <n v="190801"/>
    <m/>
    <n v="14"/>
    <n v="190801"/>
    <n v="490000"/>
  </r>
  <r>
    <x v="267"/>
    <x v="3"/>
    <m/>
    <x v="0"/>
    <x v="5"/>
    <x v="15"/>
    <n v="190801"/>
    <n v="190801"/>
    <m/>
    <n v="310"/>
    <n v="190801"/>
    <n v="3170370"/>
  </r>
  <r>
    <x v="267"/>
    <x v="3"/>
    <m/>
    <x v="0"/>
    <x v="7"/>
    <x v="15"/>
    <n v="190801"/>
    <n v="190801"/>
    <m/>
    <n v="8"/>
    <n v="190801"/>
    <n v="160000"/>
  </r>
  <r>
    <x v="267"/>
    <x v="3"/>
    <m/>
    <x v="6"/>
    <x v="2"/>
    <x v="37"/>
    <n v="190801"/>
    <n v="190801"/>
    <m/>
    <n v="2"/>
    <n v="190801"/>
    <n v="40000"/>
  </r>
  <r>
    <x v="267"/>
    <x v="3"/>
    <m/>
    <x v="6"/>
    <x v="2"/>
    <x v="42"/>
    <n v="190801"/>
    <n v="190801"/>
    <m/>
    <n v="2"/>
    <n v="190801"/>
    <n v="70000"/>
  </r>
  <r>
    <x v="267"/>
    <x v="3"/>
    <m/>
    <x v="29"/>
    <x v="2"/>
    <x v="40"/>
    <n v="190801"/>
    <n v="190801"/>
    <m/>
    <n v="7"/>
    <n v="190801"/>
    <n v="245000"/>
  </r>
  <r>
    <x v="267"/>
    <x v="3"/>
    <m/>
    <x v="29"/>
    <x v="2"/>
    <x v="41"/>
    <n v="190801"/>
    <n v="190801"/>
    <m/>
    <n v="5"/>
    <n v="190801"/>
    <n v="225000"/>
  </r>
  <r>
    <x v="267"/>
    <x v="3"/>
    <m/>
    <x v="25"/>
    <x v="2"/>
    <x v="34"/>
    <n v="190801"/>
    <n v="190801"/>
    <m/>
    <n v="6"/>
    <n v="190801"/>
    <n v="594000"/>
  </r>
  <r>
    <x v="267"/>
    <x v="3"/>
    <m/>
    <x v="1"/>
    <x v="2"/>
    <x v="18"/>
    <n v="190801"/>
    <n v="190801"/>
    <m/>
    <n v="2"/>
    <n v="190801"/>
    <n v="40000"/>
  </r>
  <r>
    <x v="267"/>
    <x v="3"/>
    <m/>
    <x v="4"/>
    <x v="2"/>
    <x v="26"/>
    <n v="190801"/>
    <n v="190801"/>
    <m/>
    <n v="4"/>
    <n v="190801"/>
    <n v="16000"/>
  </r>
  <r>
    <x v="267"/>
    <x v="3"/>
    <m/>
    <x v="4"/>
    <x v="2"/>
    <x v="27"/>
    <n v="190801"/>
    <n v="190801"/>
    <m/>
    <n v="1"/>
    <n v="190801"/>
    <n v="20000"/>
  </r>
  <r>
    <x v="267"/>
    <x v="3"/>
    <m/>
    <x v="0"/>
    <x v="2"/>
    <x v="15"/>
    <n v="190801"/>
    <n v="190801"/>
    <m/>
    <n v="61"/>
    <n v="190801"/>
    <n v="1220000"/>
  </r>
  <r>
    <x v="267"/>
    <x v="3"/>
    <m/>
    <x v="0"/>
    <x v="2"/>
    <x v="16"/>
    <n v="190801"/>
    <n v="190801"/>
    <m/>
    <n v="42"/>
    <n v="190801"/>
    <n v="1470000"/>
  </r>
  <r>
    <x v="267"/>
    <x v="3"/>
    <m/>
    <x v="0"/>
    <x v="2"/>
    <x v="17"/>
    <n v="190801"/>
    <n v="190801"/>
    <m/>
    <n v="55"/>
    <n v="190801"/>
    <n v="1815000"/>
  </r>
  <r>
    <x v="267"/>
    <x v="3"/>
    <m/>
    <x v="0"/>
    <x v="2"/>
    <x v="19"/>
    <n v="190801"/>
    <n v="190801"/>
    <m/>
    <n v="70"/>
    <n v="190801"/>
    <n v="210000"/>
  </r>
  <r>
    <x v="267"/>
    <x v="3"/>
    <m/>
    <x v="5"/>
    <x v="2"/>
    <x v="28"/>
    <n v="190801"/>
    <n v="190801"/>
    <m/>
    <n v="20"/>
    <n v="190801"/>
    <n v="560000"/>
  </r>
  <r>
    <x v="267"/>
    <x v="3"/>
    <m/>
    <x v="22"/>
    <x v="2"/>
    <x v="29"/>
    <n v="190801"/>
    <n v="190801"/>
    <m/>
    <n v="3"/>
    <n v="190801"/>
    <n v="114000"/>
  </r>
  <r>
    <x v="267"/>
    <x v="3"/>
    <m/>
    <x v="19"/>
    <x v="2"/>
    <x v="22"/>
    <n v="190801"/>
    <n v="190801"/>
    <m/>
    <n v="7"/>
    <n v="190801"/>
    <n v="91000"/>
  </r>
  <r>
    <x v="267"/>
    <x v="3"/>
    <m/>
    <x v="19"/>
    <x v="2"/>
    <x v="23"/>
    <n v="190801"/>
    <n v="190801"/>
    <m/>
    <n v="1"/>
    <n v="190801"/>
    <n v="24000"/>
  </r>
  <r>
    <x v="267"/>
    <x v="3"/>
    <m/>
    <x v="19"/>
    <x v="2"/>
    <x v="24"/>
    <n v="190801"/>
    <n v="190801"/>
    <m/>
    <n v="2"/>
    <n v="190801"/>
    <n v="66000"/>
  </r>
  <r>
    <x v="267"/>
    <x v="3"/>
    <m/>
    <x v="0"/>
    <x v="9"/>
    <x v="15"/>
    <n v="190801"/>
    <n v="190801"/>
    <m/>
    <n v="7"/>
    <n v="190801"/>
    <n v="140000"/>
  </r>
  <r>
    <x v="267"/>
    <x v="3"/>
    <m/>
    <x v="22"/>
    <x v="9"/>
    <x v="29"/>
    <n v="190801"/>
    <n v="190801"/>
    <m/>
    <n v="2"/>
    <n v="190801"/>
    <n v="76000"/>
  </r>
  <r>
    <x v="267"/>
    <x v="3"/>
    <m/>
    <x v="0"/>
    <x v="3"/>
    <x v="15"/>
    <n v="190801"/>
    <n v="190801"/>
    <m/>
    <n v="1"/>
    <n v="190801"/>
    <n v="0"/>
  </r>
  <r>
    <x v="267"/>
    <x v="3"/>
    <m/>
    <x v="0"/>
    <x v="3"/>
    <x v="20"/>
    <n v="190801"/>
    <n v="190801"/>
    <m/>
    <n v="1"/>
    <n v="190801"/>
    <n v="0"/>
  </r>
  <r>
    <x v="267"/>
    <x v="3"/>
    <m/>
    <x v="0"/>
    <x v="3"/>
    <x v="17"/>
    <n v="190801"/>
    <n v="190801"/>
    <m/>
    <n v="1"/>
    <n v="190801"/>
    <n v="0"/>
  </r>
  <r>
    <x v="267"/>
    <x v="3"/>
    <m/>
    <x v="5"/>
    <x v="3"/>
    <x v="28"/>
    <n v="190801"/>
    <n v="190801"/>
    <m/>
    <n v="1"/>
    <n v="190801"/>
    <n v="0"/>
  </r>
  <r>
    <x v="267"/>
    <x v="3"/>
    <m/>
    <x v="6"/>
    <x v="3"/>
    <x v="37"/>
    <n v="190801"/>
    <n v="190801"/>
    <m/>
    <n v="1"/>
    <n v="190801"/>
    <n v="0"/>
  </r>
  <r>
    <x v="267"/>
    <x v="3"/>
    <m/>
    <x v="4"/>
    <x v="3"/>
    <x v="27"/>
    <n v="190801"/>
    <n v="190801"/>
    <m/>
    <n v="1"/>
    <n v="190801"/>
    <n v="0"/>
  </r>
  <r>
    <x v="267"/>
    <x v="3"/>
    <m/>
    <x v="22"/>
    <x v="3"/>
    <x v="29"/>
    <n v="190801"/>
    <n v="190801"/>
    <m/>
    <n v="1"/>
    <n v="190801"/>
    <n v="0"/>
  </r>
  <r>
    <x v="267"/>
    <x v="3"/>
    <m/>
    <x v="1"/>
    <x v="3"/>
    <x v="18"/>
    <n v="190801"/>
    <n v="190801"/>
    <m/>
    <n v="1"/>
    <n v="190801"/>
    <n v="0"/>
  </r>
  <r>
    <x v="267"/>
    <x v="3"/>
    <m/>
    <x v="19"/>
    <x v="3"/>
    <x v="22"/>
    <n v="190801"/>
    <n v="190801"/>
    <m/>
    <n v="1"/>
    <n v="190801"/>
    <n v="0"/>
  </r>
  <r>
    <x v="267"/>
    <x v="3"/>
    <m/>
    <x v="18"/>
    <x v="3"/>
    <x v="19"/>
    <n v="190801"/>
    <n v="190801"/>
    <m/>
    <n v="1"/>
    <n v="190801"/>
    <n v="0"/>
  </r>
  <r>
    <x v="268"/>
    <x v="4"/>
    <m/>
    <x v="0"/>
    <x v="1"/>
    <x v="15"/>
    <n v="190801"/>
    <n v="190801"/>
    <m/>
    <n v="1"/>
    <n v="190801"/>
    <n v="20000"/>
  </r>
  <r>
    <x v="268"/>
    <x v="4"/>
    <m/>
    <x v="0"/>
    <x v="1"/>
    <x v="16"/>
    <n v="190801"/>
    <n v="190801"/>
    <m/>
    <n v="5"/>
    <n v="190801"/>
    <n v="175000"/>
  </r>
  <r>
    <x v="268"/>
    <x v="4"/>
    <m/>
    <x v="0"/>
    <x v="7"/>
    <x v="15"/>
    <n v="190801"/>
    <n v="190801"/>
    <m/>
    <n v="3"/>
    <n v="190801"/>
    <n v="60000"/>
  </r>
  <r>
    <x v="268"/>
    <x v="4"/>
    <m/>
    <x v="6"/>
    <x v="2"/>
    <x v="37"/>
    <n v="190801"/>
    <n v="190801"/>
    <m/>
    <n v="5"/>
    <n v="190801"/>
    <n v="100000"/>
  </r>
  <r>
    <x v="268"/>
    <x v="4"/>
    <m/>
    <x v="6"/>
    <x v="2"/>
    <x v="42"/>
    <n v="190801"/>
    <n v="190801"/>
    <m/>
    <n v="2"/>
    <n v="190801"/>
    <n v="70000"/>
  </r>
  <r>
    <x v="268"/>
    <x v="4"/>
    <m/>
    <x v="19"/>
    <x v="2"/>
    <x v="38"/>
    <n v="190801"/>
    <n v="190801"/>
    <m/>
    <n v="3"/>
    <n v="190801"/>
    <n v="30000"/>
  </r>
  <r>
    <x v="268"/>
    <x v="4"/>
    <m/>
    <x v="29"/>
    <x v="2"/>
    <x v="40"/>
    <n v="190801"/>
    <n v="190801"/>
    <m/>
    <n v="7"/>
    <n v="190801"/>
    <n v="245000"/>
  </r>
  <r>
    <x v="268"/>
    <x v="4"/>
    <m/>
    <x v="29"/>
    <x v="2"/>
    <x v="41"/>
    <n v="190801"/>
    <n v="190801"/>
    <m/>
    <n v="11"/>
    <n v="190801"/>
    <n v="495000"/>
  </r>
  <r>
    <x v="268"/>
    <x v="4"/>
    <m/>
    <x v="25"/>
    <x v="2"/>
    <x v="34"/>
    <n v="190801"/>
    <n v="190801"/>
    <m/>
    <n v="7"/>
    <n v="190801"/>
    <n v="693000"/>
  </r>
  <r>
    <x v="268"/>
    <x v="4"/>
    <m/>
    <x v="1"/>
    <x v="2"/>
    <x v="18"/>
    <n v="190801"/>
    <n v="190801"/>
    <m/>
    <n v="2"/>
    <n v="190801"/>
    <n v="40000"/>
  </r>
  <r>
    <x v="268"/>
    <x v="4"/>
    <m/>
    <x v="1"/>
    <x v="2"/>
    <x v="21"/>
    <n v="190801"/>
    <n v="190801"/>
    <m/>
    <n v="1"/>
    <n v="190801"/>
    <n v="35000"/>
  </r>
  <r>
    <x v="268"/>
    <x v="4"/>
    <m/>
    <x v="4"/>
    <x v="2"/>
    <x v="26"/>
    <n v="190801"/>
    <n v="190801"/>
    <m/>
    <n v="1"/>
    <n v="190801"/>
    <n v="4000"/>
  </r>
  <r>
    <x v="268"/>
    <x v="4"/>
    <m/>
    <x v="4"/>
    <x v="2"/>
    <x v="27"/>
    <n v="190801"/>
    <n v="190801"/>
    <m/>
    <n v="5"/>
    <n v="190801"/>
    <n v="100000"/>
  </r>
  <r>
    <x v="268"/>
    <x v="4"/>
    <m/>
    <x v="0"/>
    <x v="2"/>
    <x v="15"/>
    <n v="190801"/>
    <n v="190801"/>
    <m/>
    <n v="65"/>
    <n v="190801"/>
    <n v="1300000"/>
  </r>
  <r>
    <x v="268"/>
    <x v="4"/>
    <m/>
    <x v="0"/>
    <x v="2"/>
    <x v="16"/>
    <n v="190801"/>
    <n v="190801"/>
    <m/>
    <n v="41"/>
    <n v="190801"/>
    <n v="1435000"/>
  </r>
  <r>
    <x v="268"/>
    <x v="4"/>
    <m/>
    <x v="0"/>
    <x v="2"/>
    <x v="17"/>
    <n v="190801"/>
    <n v="190801"/>
    <m/>
    <n v="55"/>
    <n v="190801"/>
    <n v="1815000"/>
  </r>
  <r>
    <x v="268"/>
    <x v="4"/>
    <m/>
    <x v="0"/>
    <x v="2"/>
    <x v="19"/>
    <n v="190801"/>
    <n v="190801"/>
    <m/>
    <n v="54"/>
    <n v="190801"/>
    <n v="162000"/>
  </r>
  <r>
    <x v="268"/>
    <x v="4"/>
    <m/>
    <x v="5"/>
    <x v="2"/>
    <x v="28"/>
    <n v="190801"/>
    <n v="190801"/>
    <m/>
    <n v="14"/>
    <n v="190801"/>
    <n v="392000"/>
  </r>
  <r>
    <x v="268"/>
    <x v="4"/>
    <m/>
    <x v="22"/>
    <x v="2"/>
    <x v="29"/>
    <n v="190801"/>
    <n v="190801"/>
    <m/>
    <n v="8"/>
    <n v="190801"/>
    <n v="304000"/>
  </r>
  <r>
    <x v="268"/>
    <x v="4"/>
    <m/>
    <x v="19"/>
    <x v="2"/>
    <x v="22"/>
    <n v="190801"/>
    <n v="190801"/>
    <m/>
    <n v="7"/>
    <n v="190801"/>
    <n v="91000"/>
  </r>
  <r>
    <x v="268"/>
    <x v="4"/>
    <m/>
    <x v="19"/>
    <x v="2"/>
    <x v="24"/>
    <n v="190801"/>
    <n v="190801"/>
    <m/>
    <n v="1"/>
    <n v="190801"/>
    <n v="33000"/>
  </r>
  <r>
    <x v="268"/>
    <x v="4"/>
    <m/>
    <x v="0"/>
    <x v="4"/>
    <x v="15"/>
    <n v="190801"/>
    <n v="190801"/>
    <m/>
    <n v="30"/>
    <n v="190801"/>
    <n v="945000"/>
  </r>
  <r>
    <x v="268"/>
    <x v="4"/>
    <m/>
    <x v="0"/>
    <x v="4"/>
    <x v="16"/>
    <n v="190801"/>
    <n v="190801"/>
    <m/>
    <n v="23"/>
    <n v="190801"/>
    <n v="1012000"/>
  </r>
  <r>
    <x v="268"/>
    <x v="4"/>
    <m/>
    <x v="5"/>
    <x v="4"/>
    <x v="28"/>
    <n v="190801"/>
    <n v="190801"/>
    <m/>
    <n v="5"/>
    <n v="190801"/>
    <n v="190000"/>
  </r>
  <r>
    <x v="268"/>
    <x v="4"/>
    <m/>
    <x v="1"/>
    <x v="4"/>
    <x v="18"/>
    <n v="190801"/>
    <n v="190801"/>
    <m/>
    <n v="1"/>
    <n v="190801"/>
    <n v="31500"/>
  </r>
  <r>
    <x v="268"/>
    <x v="4"/>
    <m/>
    <x v="4"/>
    <x v="4"/>
    <x v="27"/>
    <n v="190801"/>
    <n v="190801"/>
    <m/>
    <n v="2"/>
    <n v="190801"/>
    <n v="72000"/>
  </r>
  <r>
    <x v="268"/>
    <x v="4"/>
    <m/>
    <x v="19"/>
    <x v="4"/>
    <x v="22"/>
    <n v="190801"/>
    <n v="190801"/>
    <m/>
    <n v="2"/>
    <n v="190801"/>
    <n v="50000"/>
  </r>
  <r>
    <x v="268"/>
    <x v="4"/>
    <m/>
    <x v="5"/>
    <x v="3"/>
    <x v="28"/>
    <n v="190801"/>
    <n v="190801"/>
    <m/>
    <n v="35"/>
    <n v="190801"/>
    <n v="0"/>
  </r>
  <r>
    <x v="268"/>
    <x v="4"/>
    <m/>
    <x v="0"/>
    <x v="9"/>
    <x v="15"/>
    <n v="190801"/>
    <n v="190801"/>
    <m/>
    <n v="4"/>
    <n v="190801"/>
    <n v="80000"/>
  </r>
  <r>
    <x v="269"/>
    <x v="1"/>
    <m/>
    <x v="0"/>
    <x v="1"/>
    <x v="16"/>
    <n v="190801"/>
    <n v="190801"/>
    <m/>
    <n v="4"/>
    <n v="190801"/>
    <n v="140000"/>
  </r>
  <r>
    <x v="269"/>
    <x v="1"/>
    <m/>
    <x v="1"/>
    <x v="5"/>
    <x v="18"/>
    <n v="190801"/>
    <n v="190801"/>
    <m/>
    <n v="5"/>
    <n v="190801"/>
    <n v="51135"/>
  </r>
  <r>
    <x v="269"/>
    <x v="1"/>
    <m/>
    <x v="0"/>
    <x v="7"/>
    <x v="15"/>
    <n v="190801"/>
    <n v="190801"/>
    <m/>
    <n v="9"/>
    <n v="190801"/>
    <n v="180000"/>
  </r>
  <r>
    <x v="269"/>
    <x v="1"/>
    <m/>
    <x v="6"/>
    <x v="2"/>
    <x v="37"/>
    <n v="190801"/>
    <n v="190801"/>
    <m/>
    <n v="2"/>
    <n v="190801"/>
    <n v="40000"/>
  </r>
  <r>
    <x v="269"/>
    <x v="1"/>
    <m/>
    <x v="19"/>
    <x v="2"/>
    <x v="38"/>
    <n v="190801"/>
    <n v="190801"/>
    <m/>
    <n v="1"/>
    <n v="190801"/>
    <n v="10000"/>
  </r>
  <r>
    <x v="269"/>
    <x v="1"/>
    <m/>
    <x v="29"/>
    <x v="2"/>
    <x v="40"/>
    <n v="190801"/>
    <n v="190801"/>
    <m/>
    <n v="3"/>
    <n v="190801"/>
    <n v="105000"/>
  </r>
  <r>
    <x v="269"/>
    <x v="1"/>
    <m/>
    <x v="29"/>
    <x v="2"/>
    <x v="41"/>
    <n v="190801"/>
    <n v="190801"/>
    <m/>
    <n v="2"/>
    <n v="190801"/>
    <n v="90000"/>
  </r>
  <r>
    <x v="269"/>
    <x v="1"/>
    <m/>
    <x v="25"/>
    <x v="2"/>
    <x v="34"/>
    <n v="190801"/>
    <n v="190801"/>
    <m/>
    <n v="6"/>
    <n v="190801"/>
    <n v="594000"/>
  </r>
  <r>
    <x v="269"/>
    <x v="1"/>
    <m/>
    <x v="1"/>
    <x v="2"/>
    <x v="18"/>
    <n v="190801"/>
    <n v="190801"/>
    <m/>
    <n v="1"/>
    <n v="190801"/>
    <n v="20000"/>
  </r>
  <r>
    <x v="269"/>
    <x v="1"/>
    <m/>
    <x v="4"/>
    <x v="2"/>
    <x v="26"/>
    <n v="190801"/>
    <n v="190801"/>
    <m/>
    <n v="3"/>
    <n v="190801"/>
    <n v="12000"/>
  </r>
  <r>
    <x v="269"/>
    <x v="1"/>
    <m/>
    <x v="4"/>
    <x v="2"/>
    <x v="27"/>
    <n v="190801"/>
    <n v="190801"/>
    <m/>
    <n v="1"/>
    <n v="190801"/>
    <n v="20000"/>
  </r>
  <r>
    <x v="269"/>
    <x v="1"/>
    <m/>
    <x v="0"/>
    <x v="2"/>
    <x v="15"/>
    <n v="190801"/>
    <n v="190801"/>
    <m/>
    <n v="49"/>
    <n v="190801"/>
    <n v="980000"/>
  </r>
  <r>
    <x v="269"/>
    <x v="1"/>
    <m/>
    <x v="0"/>
    <x v="2"/>
    <x v="16"/>
    <n v="190801"/>
    <n v="190801"/>
    <m/>
    <n v="37"/>
    <n v="190801"/>
    <n v="1295000"/>
  </r>
  <r>
    <x v="269"/>
    <x v="1"/>
    <m/>
    <x v="0"/>
    <x v="2"/>
    <x v="17"/>
    <n v="190801"/>
    <n v="190801"/>
    <m/>
    <n v="61"/>
    <n v="190801"/>
    <n v="2013000"/>
  </r>
  <r>
    <x v="269"/>
    <x v="1"/>
    <m/>
    <x v="0"/>
    <x v="2"/>
    <x v="19"/>
    <n v="190801"/>
    <n v="190801"/>
    <m/>
    <n v="44"/>
    <n v="190801"/>
    <n v="132000"/>
  </r>
  <r>
    <x v="269"/>
    <x v="1"/>
    <m/>
    <x v="5"/>
    <x v="2"/>
    <x v="28"/>
    <n v="190801"/>
    <n v="190801"/>
    <m/>
    <n v="18"/>
    <n v="190801"/>
    <n v="504000"/>
  </r>
  <r>
    <x v="269"/>
    <x v="1"/>
    <m/>
    <x v="22"/>
    <x v="2"/>
    <x v="29"/>
    <n v="190801"/>
    <n v="190801"/>
    <m/>
    <n v="4"/>
    <n v="190801"/>
    <n v="152000"/>
  </r>
  <r>
    <x v="269"/>
    <x v="1"/>
    <m/>
    <x v="19"/>
    <x v="2"/>
    <x v="22"/>
    <n v="190801"/>
    <n v="190801"/>
    <m/>
    <n v="7"/>
    <n v="190801"/>
    <n v="91000"/>
  </r>
  <r>
    <x v="269"/>
    <x v="1"/>
    <m/>
    <x v="19"/>
    <x v="2"/>
    <x v="24"/>
    <n v="190801"/>
    <n v="190801"/>
    <m/>
    <n v="1"/>
    <n v="190801"/>
    <n v="33000"/>
  </r>
  <r>
    <x v="269"/>
    <x v="1"/>
    <m/>
    <x v="0"/>
    <x v="4"/>
    <x v="15"/>
    <n v="190801"/>
    <n v="190801"/>
    <m/>
    <n v="8"/>
    <n v="190801"/>
    <n v="252000"/>
  </r>
  <r>
    <x v="269"/>
    <x v="1"/>
    <m/>
    <x v="0"/>
    <x v="4"/>
    <x v="16"/>
    <n v="190801"/>
    <n v="190801"/>
    <m/>
    <n v="4"/>
    <n v="190801"/>
    <n v="176000"/>
  </r>
  <r>
    <x v="269"/>
    <x v="1"/>
    <m/>
    <x v="5"/>
    <x v="4"/>
    <x v="28"/>
    <n v="190801"/>
    <n v="190801"/>
    <m/>
    <n v="3"/>
    <n v="190801"/>
    <n v="114000"/>
  </r>
  <r>
    <x v="269"/>
    <x v="1"/>
    <m/>
    <x v="0"/>
    <x v="9"/>
    <x v="15"/>
    <n v="190801"/>
    <n v="190801"/>
    <m/>
    <n v="1"/>
    <n v="190801"/>
    <n v="20000"/>
  </r>
  <r>
    <x v="270"/>
    <x v="0"/>
    <m/>
    <x v="0"/>
    <x v="1"/>
    <x v="15"/>
    <n v="190801"/>
    <n v="190801"/>
    <m/>
    <n v="2"/>
    <n v="190801"/>
    <n v="40000"/>
  </r>
  <r>
    <x v="270"/>
    <x v="0"/>
    <m/>
    <x v="0"/>
    <x v="1"/>
    <x v="16"/>
    <n v="190801"/>
    <n v="190801"/>
    <m/>
    <n v="2"/>
    <n v="190801"/>
    <n v="70000"/>
  </r>
  <r>
    <x v="270"/>
    <x v="0"/>
    <m/>
    <x v="0"/>
    <x v="7"/>
    <x v="15"/>
    <n v="190801"/>
    <n v="190801"/>
    <m/>
    <n v="4"/>
    <n v="190801"/>
    <n v="80000"/>
  </r>
  <r>
    <x v="270"/>
    <x v="0"/>
    <m/>
    <x v="6"/>
    <x v="2"/>
    <x v="37"/>
    <n v="190801"/>
    <n v="190801"/>
    <m/>
    <n v="5"/>
    <n v="190801"/>
    <n v="100000"/>
  </r>
  <r>
    <x v="270"/>
    <x v="0"/>
    <m/>
    <x v="6"/>
    <x v="2"/>
    <x v="42"/>
    <n v="190801"/>
    <n v="190801"/>
    <m/>
    <n v="1"/>
    <n v="190801"/>
    <n v="35000"/>
  </r>
  <r>
    <x v="270"/>
    <x v="0"/>
    <m/>
    <x v="19"/>
    <x v="2"/>
    <x v="38"/>
    <n v="190801"/>
    <n v="190801"/>
    <m/>
    <n v="2"/>
    <n v="190801"/>
    <n v="20000"/>
  </r>
  <r>
    <x v="270"/>
    <x v="0"/>
    <m/>
    <x v="29"/>
    <x v="2"/>
    <x v="40"/>
    <n v="190801"/>
    <n v="190801"/>
    <m/>
    <n v="2"/>
    <n v="190801"/>
    <n v="70000"/>
  </r>
  <r>
    <x v="270"/>
    <x v="0"/>
    <m/>
    <x v="29"/>
    <x v="2"/>
    <x v="41"/>
    <n v="190801"/>
    <n v="190801"/>
    <m/>
    <n v="4"/>
    <n v="190801"/>
    <n v="180000"/>
  </r>
  <r>
    <x v="270"/>
    <x v="0"/>
    <m/>
    <x v="25"/>
    <x v="2"/>
    <x v="34"/>
    <n v="190801"/>
    <n v="190801"/>
    <m/>
    <n v="12"/>
    <n v="190801"/>
    <n v="1188000"/>
  </r>
  <r>
    <x v="270"/>
    <x v="0"/>
    <m/>
    <x v="1"/>
    <x v="2"/>
    <x v="18"/>
    <n v="190801"/>
    <n v="190801"/>
    <m/>
    <n v="5"/>
    <n v="190801"/>
    <n v="100000"/>
  </r>
  <r>
    <x v="270"/>
    <x v="0"/>
    <m/>
    <x v="1"/>
    <x v="2"/>
    <x v="21"/>
    <n v="190801"/>
    <n v="190801"/>
    <m/>
    <n v="1"/>
    <n v="190801"/>
    <n v="35000"/>
  </r>
  <r>
    <x v="270"/>
    <x v="0"/>
    <m/>
    <x v="4"/>
    <x v="2"/>
    <x v="26"/>
    <n v="190801"/>
    <n v="190801"/>
    <m/>
    <n v="1"/>
    <n v="190801"/>
    <n v="4000"/>
  </r>
  <r>
    <x v="270"/>
    <x v="0"/>
    <m/>
    <x v="4"/>
    <x v="2"/>
    <x v="27"/>
    <n v="190801"/>
    <n v="190801"/>
    <m/>
    <n v="1"/>
    <n v="190801"/>
    <n v="20000"/>
  </r>
  <r>
    <x v="270"/>
    <x v="0"/>
    <m/>
    <x v="0"/>
    <x v="2"/>
    <x v="15"/>
    <n v="190801"/>
    <n v="190801"/>
    <m/>
    <n v="55"/>
    <n v="190801"/>
    <n v="1100000"/>
  </r>
  <r>
    <x v="270"/>
    <x v="0"/>
    <m/>
    <x v="0"/>
    <x v="2"/>
    <x v="16"/>
    <n v="190801"/>
    <n v="190801"/>
    <m/>
    <n v="234"/>
    <n v="190801"/>
    <n v="8190000"/>
  </r>
  <r>
    <x v="270"/>
    <x v="0"/>
    <m/>
    <x v="0"/>
    <x v="2"/>
    <x v="17"/>
    <n v="190801"/>
    <n v="190801"/>
    <m/>
    <n v="58"/>
    <n v="190801"/>
    <n v="1914000"/>
  </r>
  <r>
    <x v="270"/>
    <x v="0"/>
    <m/>
    <x v="0"/>
    <x v="2"/>
    <x v="19"/>
    <n v="190801"/>
    <n v="190801"/>
    <m/>
    <n v="129"/>
    <n v="190801"/>
    <n v="387000"/>
  </r>
  <r>
    <x v="270"/>
    <x v="0"/>
    <m/>
    <x v="5"/>
    <x v="2"/>
    <x v="28"/>
    <n v="190801"/>
    <n v="190801"/>
    <m/>
    <n v="10"/>
    <n v="190801"/>
    <n v="280000"/>
  </r>
  <r>
    <x v="270"/>
    <x v="0"/>
    <m/>
    <x v="22"/>
    <x v="2"/>
    <x v="29"/>
    <n v="190801"/>
    <n v="190801"/>
    <m/>
    <n v="3"/>
    <n v="190801"/>
    <n v="114000"/>
  </r>
  <r>
    <x v="270"/>
    <x v="0"/>
    <m/>
    <x v="19"/>
    <x v="2"/>
    <x v="22"/>
    <n v="190801"/>
    <n v="190801"/>
    <m/>
    <n v="10"/>
    <n v="190801"/>
    <n v="130000"/>
  </r>
  <r>
    <x v="270"/>
    <x v="0"/>
    <m/>
    <x v="19"/>
    <x v="2"/>
    <x v="23"/>
    <n v="190801"/>
    <n v="190801"/>
    <m/>
    <n v="1"/>
    <n v="190801"/>
    <n v="24000"/>
  </r>
  <r>
    <x v="270"/>
    <x v="0"/>
    <m/>
    <x v="19"/>
    <x v="2"/>
    <x v="24"/>
    <n v="190801"/>
    <n v="190801"/>
    <m/>
    <n v="2"/>
    <n v="190801"/>
    <n v="66000"/>
  </r>
  <r>
    <x v="270"/>
    <x v="0"/>
    <m/>
    <x v="0"/>
    <x v="4"/>
    <x v="15"/>
    <n v="190801"/>
    <n v="190801"/>
    <m/>
    <n v="10"/>
    <n v="190801"/>
    <n v="315000"/>
  </r>
  <r>
    <x v="270"/>
    <x v="0"/>
    <m/>
    <x v="0"/>
    <x v="4"/>
    <x v="16"/>
    <n v="190801"/>
    <n v="190801"/>
    <m/>
    <n v="6"/>
    <n v="190801"/>
    <n v="264000"/>
  </r>
  <r>
    <x v="270"/>
    <x v="0"/>
    <m/>
    <x v="5"/>
    <x v="4"/>
    <x v="28"/>
    <n v="190801"/>
    <n v="190801"/>
    <m/>
    <n v="1"/>
    <n v="190801"/>
    <n v="38000"/>
  </r>
  <r>
    <x v="270"/>
    <x v="0"/>
    <m/>
    <x v="1"/>
    <x v="9"/>
    <x v="18"/>
    <n v="190801"/>
    <n v="190801"/>
    <m/>
    <n v="1"/>
    <n v="190801"/>
    <n v="20000"/>
  </r>
  <r>
    <x v="270"/>
    <x v="0"/>
    <m/>
    <x v="0"/>
    <x v="9"/>
    <x v="15"/>
    <n v="190801"/>
    <n v="190801"/>
    <m/>
    <n v="5"/>
    <n v="190801"/>
    <n v="100000"/>
  </r>
  <r>
    <x v="270"/>
    <x v="0"/>
    <m/>
    <x v="18"/>
    <x v="3"/>
    <x v="19"/>
    <n v="190801"/>
    <n v="190801"/>
    <m/>
    <n v="30"/>
    <n v="190801"/>
    <n v="0"/>
  </r>
  <r>
    <x v="270"/>
    <x v="0"/>
    <m/>
    <x v="6"/>
    <x v="3"/>
    <x v="37"/>
    <n v="190801"/>
    <n v="190801"/>
    <m/>
    <n v="40"/>
    <n v="190801"/>
    <n v="0"/>
  </r>
  <r>
    <x v="270"/>
    <x v="0"/>
    <m/>
    <x v="19"/>
    <x v="3"/>
    <x v="22"/>
    <n v="190801"/>
    <n v="190801"/>
    <m/>
    <n v="30"/>
    <n v="190801"/>
    <n v="0"/>
  </r>
  <r>
    <x v="271"/>
    <x v="2"/>
    <m/>
    <x v="0"/>
    <x v="1"/>
    <x v="15"/>
    <n v="190801"/>
    <n v="190801"/>
    <m/>
    <n v="2"/>
    <n v="190801"/>
    <n v="40000"/>
  </r>
  <r>
    <x v="271"/>
    <x v="2"/>
    <m/>
    <x v="0"/>
    <x v="1"/>
    <x v="16"/>
    <n v="190801"/>
    <n v="190801"/>
    <m/>
    <n v="2"/>
    <n v="190801"/>
    <n v="70000"/>
  </r>
  <r>
    <x v="271"/>
    <x v="2"/>
    <m/>
    <x v="6"/>
    <x v="5"/>
    <x v="49"/>
    <n v="190801"/>
    <n v="190801"/>
    <m/>
    <n v="10"/>
    <n v="190801"/>
    <n v="112500"/>
  </r>
  <r>
    <x v="271"/>
    <x v="2"/>
    <m/>
    <x v="0"/>
    <x v="5"/>
    <x v="15"/>
    <n v="190801"/>
    <n v="190801"/>
    <m/>
    <n v="150"/>
    <n v="190801"/>
    <n v="1534050"/>
  </r>
  <r>
    <x v="271"/>
    <x v="2"/>
    <m/>
    <x v="0"/>
    <x v="7"/>
    <x v="15"/>
    <n v="190801"/>
    <n v="190801"/>
    <m/>
    <n v="3"/>
    <n v="190801"/>
    <n v="60000"/>
  </r>
  <r>
    <x v="271"/>
    <x v="2"/>
    <m/>
    <x v="6"/>
    <x v="2"/>
    <x v="37"/>
    <n v="190801"/>
    <n v="190801"/>
    <m/>
    <n v="2"/>
    <n v="190801"/>
    <n v="40000"/>
  </r>
  <r>
    <x v="271"/>
    <x v="2"/>
    <m/>
    <x v="6"/>
    <x v="2"/>
    <x v="42"/>
    <n v="190801"/>
    <n v="190801"/>
    <m/>
    <n v="1"/>
    <n v="190801"/>
    <n v="35000"/>
  </r>
  <r>
    <x v="271"/>
    <x v="2"/>
    <m/>
    <x v="29"/>
    <x v="2"/>
    <x v="40"/>
    <n v="190801"/>
    <n v="190801"/>
    <m/>
    <n v="6"/>
    <n v="190801"/>
    <n v="210000"/>
  </r>
  <r>
    <x v="271"/>
    <x v="2"/>
    <m/>
    <x v="29"/>
    <x v="2"/>
    <x v="41"/>
    <n v="190801"/>
    <n v="190801"/>
    <m/>
    <n v="10"/>
    <n v="190801"/>
    <n v="450000"/>
  </r>
  <r>
    <x v="271"/>
    <x v="2"/>
    <m/>
    <x v="25"/>
    <x v="2"/>
    <x v="34"/>
    <n v="190801"/>
    <n v="190801"/>
    <m/>
    <n v="4"/>
    <n v="190801"/>
    <n v="396000"/>
  </r>
  <r>
    <x v="271"/>
    <x v="2"/>
    <m/>
    <x v="1"/>
    <x v="2"/>
    <x v="18"/>
    <n v="190801"/>
    <n v="190801"/>
    <m/>
    <n v="2"/>
    <n v="190801"/>
    <n v="40000"/>
  </r>
  <r>
    <x v="271"/>
    <x v="2"/>
    <m/>
    <x v="4"/>
    <x v="2"/>
    <x v="26"/>
    <n v="190801"/>
    <n v="190801"/>
    <m/>
    <n v="3"/>
    <n v="190801"/>
    <n v="12000"/>
  </r>
  <r>
    <x v="271"/>
    <x v="2"/>
    <m/>
    <x v="0"/>
    <x v="2"/>
    <x v="15"/>
    <n v="190801"/>
    <n v="190801"/>
    <m/>
    <n v="39"/>
    <n v="190801"/>
    <n v="780000"/>
  </r>
  <r>
    <x v="271"/>
    <x v="2"/>
    <m/>
    <x v="0"/>
    <x v="2"/>
    <x v="16"/>
    <n v="190801"/>
    <n v="190801"/>
    <m/>
    <n v="34"/>
    <n v="190801"/>
    <n v="1190000"/>
  </r>
  <r>
    <x v="271"/>
    <x v="2"/>
    <m/>
    <x v="0"/>
    <x v="2"/>
    <x v="17"/>
    <n v="190801"/>
    <n v="190801"/>
    <m/>
    <n v="58"/>
    <n v="190801"/>
    <n v="1914000"/>
  </r>
  <r>
    <x v="271"/>
    <x v="2"/>
    <m/>
    <x v="0"/>
    <x v="2"/>
    <x v="19"/>
    <n v="190801"/>
    <n v="190801"/>
    <m/>
    <n v="48"/>
    <n v="190801"/>
    <n v="144000"/>
  </r>
  <r>
    <x v="271"/>
    <x v="2"/>
    <m/>
    <x v="5"/>
    <x v="2"/>
    <x v="28"/>
    <n v="190801"/>
    <n v="190801"/>
    <m/>
    <n v="18"/>
    <n v="190801"/>
    <n v="504000"/>
  </r>
  <r>
    <x v="271"/>
    <x v="2"/>
    <m/>
    <x v="22"/>
    <x v="2"/>
    <x v="29"/>
    <n v="190801"/>
    <n v="190801"/>
    <m/>
    <n v="4"/>
    <n v="190801"/>
    <n v="152000"/>
  </r>
  <r>
    <x v="271"/>
    <x v="2"/>
    <m/>
    <x v="19"/>
    <x v="2"/>
    <x v="22"/>
    <n v="190801"/>
    <n v="190801"/>
    <m/>
    <n v="8"/>
    <n v="190801"/>
    <n v="104000"/>
  </r>
  <r>
    <x v="271"/>
    <x v="2"/>
    <m/>
    <x v="19"/>
    <x v="2"/>
    <x v="23"/>
    <n v="190801"/>
    <n v="190801"/>
    <m/>
    <n v="1"/>
    <n v="190801"/>
    <n v="24000"/>
  </r>
  <r>
    <x v="271"/>
    <x v="2"/>
    <m/>
    <x v="19"/>
    <x v="2"/>
    <x v="24"/>
    <n v="190801"/>
    <n v="190801"/>
    <m/>
    <n v="1"/>
    <n v="190801"/>
    <n v="33000"/>
  </r>
  <r>
    <x v="271"/>
    <x v="2"/>
    <m/>
    <x v="0"/>
    <x v="4"/>
    <x v="15"/>
    <n v="190801"/>
    <n v="190801"/>
    <m/>
    <n v="4"/>
    <n v="190801"/>
    <n v="126000"/>
  </r>
  <r>
    <x v="271"/>
    <x v="2"/>
    <m/>
    <x v="0"/>
    <x v="4"/>
    <x v="16"/>
    <n v="190801"/>
    <n v="190801"/>
    <m/>
    <n v="5"/>
    <n v="190801"/>
    <n v="220000"/>
  </r>
  <r>
    <x v="271"/>
    <x v="2"/>
    <m/>
    <x v="5"/>
    <x v="4"/>
    <x v="28"/>
    <n v="190801"/>
    <n v="190801"/>
    <m/>
    <n v="2"/>
    <n v="190801"/>
    <n v="76000"/>
  </r>
  <r>
    <x v="271"/>
    <x v="2"/>
    <m/>
    <x v="0"/>
    <x v="9"/>
    <x v="15"/>
    <n v="190801"/>
    <n v="190801"/>
    <m/>
    <n v="6"/>
    <n v="190801"/>
    <n v="120000"/>
  </r>
  <r>
    <x v="272"/>
    <x v="5"/>
    <m/>
    <x v="0"/>
    <x v="7"/>
    <x v="15"/>
    <n v="190801"/>
    <n v="190801"/>
    <m/>
    <n v="7"/>
    <n v="190801"/>
    <n v="140000"/>
  </r>
  <r>
    <x v="272"/>
    <x v="5"/>
    <m/>
    <x v="6"/>
    <x v="2"/>
    <x v="37"/>
    <n v="190801"/>
    <n v="190801"/>
    <m/>
    <n v="4"/>
    <n v="190801"/>
    <n v="80000"/>
  </r>
  <r>
    <x v="272"/>
    <x v="5"/>
    <m/>
    <x v="19"/>
    <x v="2"/>
    <x v="38"/>
    <n v="190801"/>
    <n v="190801"/>
    <m/>
    <n v="1"/>
    <n v="190801"/>
    <n v="10000"/>
  </r>
  <r>
    <x v="272"/>
    <x v="5"/>
    <m/>
    <x v="29"/>
    <x v="2"/>
    <x v="40"/>
    <n v="190801"/>
    <n v="190801"/>
    <m/>
    <n v="4"/>
    <n v="190801"/>
    <n v="140000"/>
  </r>
  <r>
    <x v="272"/>
    <x v="5"/>
    <m/>
    <x v="29"/>
    <x v="2"/>
    <x v="41"/>
    <n v="190801"/>
    <n v="190801"/>
    <m/>
    <n v="4"/>
    <n v="190801"/>
    <n v="180000"/>
  </r>
  <r>
    <x v="272"/>
    <x v="5"/>
    <m/>
    <x v="25"/>
    <x v="2"/>
    <x v="34"/>
    <n v="190801"/>
    <n v="190801"/>
    <m/>
    <n v="6"/>
    <n v="190801"/>
    <n v="594000"/>
  </r>
  <r>
    <x v="272"/>
    <x v="5"/>
    <m/>
    <x v="1"/>
    <x v="2"/>
    <x v="18"/>
    <n v="190801"/>
    <n v="190801"/>
    <m/>
    <n v="3"/>
    <n v="190801"/>
    <n v="60000"/>
  </r>
  <r>
    <x v="272"/>
    <x v="5"/>
    <m/>
    <x v="4"/>
    <x v="2"/>
    <x v="26"/>
    <n v="190801"/>
    <n v="190801"/>
    <m/>
    <n v="1"/>
    <n v="190801"/>
    <n v="4000"/>
  </r>
  <r>
    <x v="272"/>
    <x v="5"/>
    <m/>
    <x v="4"/>
    <x v="2"/>
    <x v="27"/>
    <n v="190801"/>
    <n v="190801"/>
    <m/>
    <n v="2"/>
    <n v="190801"/>
    <n v="40000"/>
  </r>
  <r>
    <x v="272"/>
    <x v="5"/>
    <m/>
    <x v="0"/>
    <x v="2"/>
    <x v="15"/>
    <n v="190801"/>
    <n v="190801"/>
    <m/>
    <n v="32"/>
    <n v="190801"/>
    <n v="640000"/>
  </r>
  <r>
    <x v="272"/>
    <x v="5"/>
    <m/>
    <x v="0"/>
    <x v="2"/>
    <x v="16"/>
    <n v="190801"/>
    <n v="190801"/>
    <m/>
    <n v="41"/>
    <n v="190801"/>
    <n v="1435000"/>
  </r>
  <r>
    <x v="272"/>
    <x v="5"/>
    <m/>
    <x v="0"/>
    <x v="2"/>
    <x v="17"/>
    <n v="190801"/>
    <n v="190801"/>
    <m/>
    <n v="42"/>
    <n v="190801"/>
    <n v="1386000"/>
  </r>
  <r>
    <x v="272"/>
    <x v="5"/>
    <m/>
    <x v="0"/>
    <x v="2"/>
    <x v="19"/>
    <n v="190801"/>
    <n v="190801"/>
    <m/>
    <n v="44"/>
    <n v="190801"/>
    <n v="132000"/>
  </r>
  <r>
    <x v="272"/>
    <x v="5"/>
    <m/>
    <x v="5"/>
    <x v="2"/>
    <x v="28"/>
    <n v="190801"/>
    <n v="190801"/>
    <m/>
    <n v="12"/>
    <n v="190801"/>
    <n v="336000"/>
  </r>
  <r>
    <x v="272"/>
    <x v="5"/>
    <m/>
    <x v="22"/>
    <x v="2"/>
    <x v="29"/>
    <n v="190801"/>
    <n v="190801"/>
    <m/>
    <n v="4"/>
    <n v="190801"/>
    <n v="152000"/>
  </r>
  <r>
    <x v="272"/>
    <x v="5"/>
    <m/>
    <x v="19"/>
    <x v="2"/>
    <x v="22"/>
    <n v="190801"/>
    <n v="190801"/>
    <m/>
    <n v="3"/>
    <n v="190801"/>
    <n v="39000"/>
  </r>
  <r>
    <x v="272"/>
    <x v="5"/>
    <m/>
    <x v="19"/>
    <x v="2"/>
    <x v="23"/>
    <n v="190801"/>
    <n v="190801"/>
    <m/>
    <n v="1"/>
    <n v="190801"/>
    <n v="24000"/>
  </r>
  <r>
    <x v="272"/>
    <x v="5"/>
    <m/>
    <x v="19"/>
    <x v="2"/>
    <x v="24"/>
    <n v="190801"/>
    <n v="190801"/>
    <m/>
    <n v="2"/>
    <n v="190801"/>
    <n v="66000"/>
  </r>
  <r>
    <x v="272"/>
    <x v="5"/>
    <m/>
    <x v="0"/>
    <x v="9"/>
    <x v="15"/>
    <n v="190801"/>
    <n v="190801"/>
    <m/>
    <n v="5"/>
    <n v="190801"/>
    <n v="100000"/>
  </r>
  <r>
    <x v="273"/>
    <x v="6"/>
    <m/>
    <x v="0"/>
    <x v="7"/>
    <x v="15"/>
    <n v="190801"/>
    <n v="190801"/>
    <m/>
    <n v="12"/>
    <n v="190801"/>
    <n v="240000"/>
  </r>
  <r>
    <x v="273"/>
    <x v="6"/>
    <m/>
    <x v="6"/>
    <x v="2"/>
    <x v="37"/>
    <n v="190801"/>
    <n v="190801"/>
    <m/>
    <n v="5"/>
    <n v="190801"/>
    <n v="100000"/>
  </r>
  <r>
    <x v="273"/>
    <x v="6"/>
    <m/>
    <x v="6"/>
    <x v="2"/>
    <x v="42"/>
    <n v="190801"/>
    <n v="190801"/>
    <m/>
    <n v="1"/>
    <n v="190801"/>
    <n v="35000"/>
  </r>
  <r>
    <x v="273"/>
    <x v="6"/>
    <m/>
    <x v="19"/>
    <x v="2"/>
    <x v="38"/>
    <n v="190801"/>
    <n v="190801"/>
    <m/>
    <n v="2"/>
    <n v="190801"/>
    <n v="20000"/>
  </r>
  <r>
    <x v="273"/>
    <x v="6"/>
    <m/>
    <x v="29"/>
    <x v="2"/>
    <x v="40"/>
    <n v="190801"/>
    <n v="190801"/>
    <m/>
    <n v="1"/>
    <n v="190801"/>
    <n v="35000"/>
  </r>
  <r>
    <x v="273"/>
    <x v="6"/>
    <m/>
    <x v="29"/>
    <x v="2"/>
    <x v="41"/>
    <n v="190801"/>
    <n v="190801"/>
    <m/>
    <n v="2"/>
    <n v="190801"/>
    <n v="90000"/>
  </r>
  <r>
    <x v="273"/>
    <x v="6"/>
    <m/>
    <x v="25"/>
    <x v="2"/>
    <x v="34"/>
    <n v="190801"/>
    <n v="190801"/>
    <m/>
    <n v="8"/>
    <n v="190801"/>
    <n v="792000"/>
  </r>
  <r>
    <x v="273"/>
    <x v="6"/>
    <m/>
    <x v="1"/>
    <x v="2"/>
    <x v="18"/>
    <n v="190801"/>
    <n v="190801"/>
    <m/>
    <n v="2"/>
    <n v="190801"/>
    <n v="40000"/>
  </r>
  <r>
    <x v="273"/>
    <x v="6"/>
    <m/>
    <x v="1"/>
    <x v="2"/>
    <x v="21"/>
    <n v="190801"/>
    <n v="190801"/>
    <m/>
    <n v="1"/>
    <n v="190801"/>
    <n v="35000"/>
  </r>
  <r>
    <x v="273"/>
    <x v="6"/>
    <m/>
    <x v="4"/>
    <x v="2"/>
    <x v="26"/>
    <n v="190801"/>
    <n v="190801"/>
    <m/>
    <n v="3"/>
    <n v="190801"/>
    <n v="12000"/>
  </r>
  <r>
    <x v="273"/>
    <x v="6"/>
    <m/>
    <x v="4"/>
    <x v="2"/>
    <x v="27"/>
    <n v="190801"/>
    <n v="190801"/>
    <m/>
    <n v="4"/>
    <n v="190801"/>
    <n v="80000"/>
  </r>
  <r>
    <x v="273"/>
    <x v="6"/>
    <m/>
    <x v="0"/>
    <x v="2"/>
    <x v="15"/>
    <n v="190801"/>
    <n v="190801"/>
    <m/>
    <n v="73"/>
    <n v="190801"/>
    <n v="1460000"/>
  </r>
  <r>
    <x v="273"/>
    <x v="6"/>
    <m/>
    <x v="0"/>
    <x v="2"/>
    <x v="16"/>
    <n v="190801"/>
    <n v="190801"/>
    <m/>
    <n v="31"/>
    <n v="190801"/>
    <n v="1085000"/>
  </r>
  <r>
    <x v="273"/>
    <x v="6"/>
    <m/>
    <x v="0"/>
    <x v="2"/>
    <x v="17"/>
    <n v="190801"/>
    <n v="190801"/>
    <m/>
    <n v="53"/>
    <n v="190801"/>
    <n v="1749000"/>
  </r>
  <r>
    <x v="273"/>
    <x v="6"/>
    <m/>
    <x v="0"/>
    <x v="2"/>
    <x v="19"/>
    <n v="190801"/>
    <n v="190801"/>
    <m/>
    <n v="60"/>
    <n v="190801"/>
    <n v="180000"/>
  </r>
  <r>
    <x v="273"/>
    <x v="6"/>
    <m/>
    <x v="5"/>
    <x v="2"/>
    <x v="28"/>
    <n v="190801"/>
    <n v="190801"/>
    <m/>
    <n v="9"/>
    <n v="190801"/>
    <n v="252000"/>
  </r>
  <r>
    <x v="273"/>
    <x v="6"/>
    <m/>
    <x v="22"/>
    <x v="2"/>
    <x v="29"/>
    <n v="190801"/>
    <n v="190801"/>
    <m/>
    <n v="9"/>
    <n v="190801"/>
    <n v="342000"/>
  </r>
  <r>
    <x v="273"/>
    <x v="6"/>
    <m/>
    <x v="19"/>
    <x v="2"/>
    <x v="22"/>
    <n v="190801"/>
    <n v="190801"/>
    <m/>
    <n v="6"/>
    <n v="190801"/>
    <n v="78000"/>
  </r>
  <r>
    <x v="273"/>
    <x v="6"/>
    <m/>
    <x v="19"/>
    <x v="2"/>
    <x v="24"/>
    <n v="190801"/>
    <n v="190801"/>
    <m/>
    <n v="1"/>
    <n v="190801"/>
    <n v="33000"/>
  </r>
  <r>
    <x v="273"/>
    <x v="6"/>
    <m/>
    <x v="0"/>
    <x v="9"/>
    <x v="15"/>
    <n v="190801"/>
    <n v="190801"/>
    <m/>
    <n v="5"/>
    <n v="190801"/>
    <n v="100000"/>
  </r>
  <r>
    <x v="273"/>
    <x v="6"/>
    <m/>
    <x v="0"/>
    <x v="6"/>
    <x v="15"/>
    <n v="190801"/>
    <n v="190801"/>
    <m/>
    <n v="233"/>
    <n v="190801"/>
    <n v="2112844"/>
  </r>
  <r>
    <x v="273"/>
    <x v="6"/>
    <m/>
    <x v="0"/>
    <x v="6"/>
    <x v="17"/>
    <n v="190801"/>
    <n v="190801"/>
    <m/>
    <n v="90"/>
    <n v="190801"/>
    <n v="1423620"/>
  </r>
  <r>
    <x v="273"/>
    <x v="6"/>
    <m/>
    <x v="4"/>
    <x v="6"/>
    <x v="26"/>
    <n v="190801"/>
    <n v="190801"/>
    <m/>
    <n v="480"/>
    <n v="190801"/>
    <n v="515040"/>
  </r>
  <r>
    <x v="273"/>
    <x v="6"/>
    <m/>
    <x v="26"/>
    <x v="6"/>
    <x v="35"/>
    <n v="190801"/>
    <n v="190801"/>
    <m/>
    <n v="86"/>
    <n v="190801"/>
    <n v="1473266"/>
  </r>
  <r>
    <x v="273"/>
    <x v="6"/>
    <m/>
    <x v="22"/>
    <x v="6"/>
    <x v="29"/>
    <n v="190801"/>
    <n v="190801"/>
    <m/>
    <n v="6"/>
    <n v="190801"/>
    <n v="118146"/>
  </r>
  <r>
    <x v="273"/>
    <x v="6"/>
    <m/>
    <x v="24"/>
    <x v="6"/>
    <x v="31"/>
    <n v="190801"/>
    <n v="190801"/>
    <m/>
    <n v="99"/>
    <n v="190801"/>
    <n v="1472823"/>
  </r>
  <r>
    <x v="273"/>
    <x v="6"/>
    <m/>
    <x v="23"/>
    <x v="6"/>
    <x v="30"/>
    <n v="190801"/>
    <n v="190801"/>
    <m/>
    <n v="66"/>
    <n v="190801"/>
    <n v="459624"/>
  </r>
  <r>
    <x v="273"/>
    <x v="6"/>
    <m/>
    <x v="19"/>
    <x v="6"/>
    <x v="22"/>
    <n v="190801"/>
    <n v="190801"/>
    <m/>
    <n v="7"/>
    <n v="190801"/>
    <n v="47537"/>
  </r>
  <r>
    <x v="273"/>
    <x v="6"/>
    <m/>
    <x v="27"/>
    <x v="6"/>
    <x v="36"/>
    <n v="190801"/>
    <n v="190801"/>
    <m/>
    <n v="175"/>
    <n v="190801"/>
    <n v="1654975"/>
  </r>
  <r>
    <x v="273"/>
    <x v="6"/>
    <m/>
    <x v="6"/>
    <x v="6"/>
    <x v="37"/>
    <n v="190801"/>
    <n v="190801"/>
    <m/>
    <n v="45"/>
    <n v="190801"/>
    <n v="450000"/>
  </r>
  <r>
    <x v="273"/>
    <x v="6"/>
    <m/>
    <x v="28"/>
    <x v="6"/>
    <x v="39"/>
    <n v="190801"/>
    <n v="190801"/>
    <m/>
    <n v="181"/>
    <n v="190801"/>
    <n v="2863058"/>
  </r>
  <r>
    <x v="274"/>
    <x v="3"/>
    <m/>
    <x v="0"/>
    <x v="1"/>
    <x v="15"/>
    <n v="190801"/>
    <n v="190801"/>
    <m/>
    <n v="2"/>
    <n v="190801"/>
    <n v="40000"/>
  </r>
  <r>
    <x v="274"/>
    <x v="3"/>
    <m/>
    <x v="0"/>
    <x v="1"/>
    <x v="16"/>
    <n v="190801"/>
    <n v="190801"/>
    <m/>
    <n v="19"/>
    <n v="190801"/>
    <n v="665000"/>
  </r>
  <r>
    <x v="274"/>
    <x v="3"/>
    <m/>
    <x v="0"/>
    <x v="7"/>
    <x v="15"/>
    <n v="190801"/>
    <n v="190801"/>
    <m/>
    <n v="4"/>
    <n v="190801"/>
    <n v="80000"/>
  </r>
  <r>
    <x v="274"/>
    <x v="3"/>
    <m/>
    <x v="6"/>
    <x v="2"/>
    <x v="37"/>
    <n v="190801"/>
    <n v="190801"/>
    <m/>
    <n v="3"/>
    <n v="190801"/>
    <n v="60000"/>
  </r>
  <r>
    <x v="274"/>
    <x v="3"/>
    <m/>
    <x v="6"/>
    <x v="2"/>
    <x v="42"/>
    <n v="190801"/>
    <n v="190801"/>
    <m/>
    <n v="1"/>
    <n v="190801"/>
    <n v="35000"/>
  </r>
  <r>
    <x v="274"/>
    <x v="3"/>
    <m/>
    <x v="19"/>
    <x v="2"/>
    <x v="38"/>
    <n v="190801"/>
    <n v="190801"/>
    <m/>
    <n v="1"/>
    <n v="190801"/>
    <n v="10000"/>
  </r>
  <r>
    <x v="274"/>
    <x v="3"/>
    <m/>
    <x v="29"/>
    <x v="2"/>
    <x v="40"/>
    <n v="190801"/>
    <n v="190801"/>
    <m/>
    <n v="4"/>
    <n v="190801"/>
    <n v="140000"/>
  </r>
  <r>
    <x v="274"/>
    <x v="3"/>
    <m/>
    <x v="29"/>
    <x v="2"/>
    <x v="41"/>
    <n v="190801"/>
    <n v="190801"/>
    <m/>
    <n v="2"/>
    <n v="190801"/>
    <n v="90000"/>
  </r>
  <r>
    <x v="274"/>
    <x v="3"/>
    <m/>
    <x v="25"/>
    <x v="2"/>
    <x v="34"/>
    <n v="190801"/>
    <n v="190801"/>
    <m/>
    <n v="8"/>
    <n v="190801"/>
    <n v="792000"/>
  </r>
  <r>
    <x v="274"/>
    <x v="3"/>
    <m/>
    <x v="1"/>
    <x v="2"/>
    <x v="18"/>
    <n v="190801"/>
    <n v="190801"/>
    <m/>
    <n v="2"/>
    <n v="190801"/>
    <n v="40000"/>
  </r>
  <r>
    <x v="274"/>
    <x v="3"/>
    <m/>
    <x v="4"/>
    <x v="2"/>
    <x v="26"/>
    <n v="190801"/>
    <n v="190801"/>
    <m/>
    <n v="5"/>
    <n v="190801"/>
    <n v="20000"/>
  </r>
  <r>
    <x v="274"/>
    <x v="3"/>
    <m/>
    <x v="4"/>
    <x v="2"/>
    <x v="27"/>
    <n v="190801"/>
    <n v="190801"/>
    <m/>
    <n v="1"/>
    <n v="190801"/>
    <n v="20000"/>
  </r>
  <r>
    <x v="274"/>
    <x v="3"/>
    <m/>
    <x v="0"/>
    <x v="2"/>
    <x v="15"/>
    <n v="190801"/>
    <n v="190801"/>
    <m/>
    <n v="74"/>
    <n v="190801"/>
    <n v="1480000"/>
  </r>
  <r>
    <x v="274"/>
    <x v="3"/>
    <m/>
    <x v="0"/>
    <x v="2"/>
    <x v="16"/>
    <n v="190801"/>
    <n v="190801"/>
    <m/>
    <n v="42"/>
    <n v="190801"/>
    <n v="1470000"/>
  </r>
  <r>
    <x v="274"/>
    <x v="3"/>
    <m/>
    <x v="0"/>
    <x v="2"/>
    <x v="17"/>
    <n v="190801"/>
    <n v="190801"/>
    <m/>
    <n v="77"/>
    <n v="190801"/>
    <n v="2541000"/>
  </r>
  <r>
    <x v="274"/>
    <x v="3"/>
    <m/>
    <x v="0"/>
    <x v="2"/>
    <x v="19"/>
    <n v="190801"/>
    <n v="190801"/>
    <m/>
    <n v="66"/>
    <n v="190801"/>
    <n v="198000"/>
  </r>
  <r>
    <x v="274"/>
    <x v="3"/>
    <m/>
    <x v="5"/>
    <x v="2"/>
    <x v="28"/>
    <n v="190801"/>
    <n v="190801"/>
    <m/>
    <n v="11"/>
    <n v="190801"/>
    <n v="308000"/>
  </r>
  <r>
    <x v="274"/>
    <x v="3"/>
    <m/>
    <x v="22"/>
    <x v="2"/>
    <x v="29"/>
    <n v="190801"/>
    <n v="190801"/>
    <m/>
    <n v="7"/>
    <n v="190801"/>
    <n v="266000"/>
  </r>
  <r>
    <x v="274"/>
    <x v="3"/>
    <m/>
    <x v="19"/>
    <x v="2"/>
    <x v="22"/>
    <n v="190801"/>
    <n v="190801"/>
    <m/>
    <n v="6"/>
    <n v="190801"/>
    <n v="78000"/>
  </r>
  <r>
    <x v="274"/>
    <x v="3"/>
    <m/>
    <x v="19"/>
    <x v="2"/>
    <x v="24"/>
    <n v="190801"/>
    <n v="190801"/>
    <m/>
    <n v="1"/>
    <n v="190801"/>
    <n v="33000"/>
  </r>
  <r>
    <x v="274"/>
    <x v="3"/>
    <m/>
    <x v="0"/>
    <x v="4"/>
    <x v="15"/>
    <n v="190801"/>
    <n v="190801"/>
    <m/>
    <n v="26"/>
    <n v="190801"/>
    <n v="819000"/>
  </r>
  <r>
    <x v="274"/>
    <x v="3"/>
    <m/>
    <x v="0"/>
    <x v="4"/>
    <x v="16"/>
    <n v="190801"/>
    <n v="190801"/>
    <m/>
    <n v="12"/>
    <n v="190801"/>
    <n v="528000"/>
  </r>
  <r>
    <x v="274"/>
    <x v="3"/>
    <m/>
    <x v="5"/>
    <x v="4"/>
    <x v="28"/>
    <n v="190801"/>
    <n v="190801"/>
    <m/>
    <n v="5"/>
    <n v="190801"/>
    <n v="190000"/>
  </r>
  <r>
    <x v="274"/>
    <x v="3"/>
    <m/>
    <x v="1"/>
    <x v="4"/>
    <x v="18"/>
    <n v="190801"/>
    <n v="190801"/>
    <m/>
    <n v="1"/>
    <n v="190801"/>
    <n v="31500"/>
  </r>
  <r>
    <x v="274"/>
    <x v="3"/>
    <m/>
    <x v="4"/>
    <x v="4"/>
    <x v="27"/>
    <n v="190801"/>
    <n v="190801"/>
    <m/>
    <n v="1"/>
    <n v="190801"/>
    <n v="36000"/>
  </r>
  <r>
    <x v="274"/>
    <x v="3"/>
    <m/>
    <x v="19"/>
    <x v="4"/>
    <x v="22"/>
    <n v="190801"/>
    <n v="190801"/>
    <m/>
    <n v="1"/>
    <n v="190801"/>
    <n v="25000"/>
  </r>
  <r>
    <x v="274"/>
    <x v="3"/>
    <m/>
    <x v="0"/>
    <x v="3"/>
    <x v="15"/>
    <n v="190801"/>
    <n v="190801"/>
    <m/>
    <n v="5"/>
    <n v="190801"/>
    <n v="0"/>
  </r>
  <r>
    <x v="274"/>
    <x v="3"/>
    <m/>
    <x v="18"/>
    <x v="3"/>
    <x v="19"/>
    <n v="190801"/>
    <n v="190801"/>
    <m/>
    <n v="4"/>
    <n v="190801"/>
    <n v="0"/>
  </r>
  <r>
    <x v="274"/>
    <x v="3"/>
    <m/>
    <x v="5"/>
    <x v="3"/>
    <x v="28"/>
    <n v="190801"/>
    <n v="190801"/>
    <m/>
    <n v="4"/>
    <n v="190801"/>
    <n v="0"/>
  </r>
  <r>
    <x v="274"/>
    <x v="3"/>
    <m/>
    <x v="4"/>
    <x v="3"/>
    <x v="27"/>
    <n v="190801"/>
    <n v="190801"/>
    <m/>
    <n v="4"/>
    <n v="190801"/>
    <n v="0"/>
  </r>
  <r>
    <x v="274"/>
    <x v="3"/>
    <m/>
    <x v="6"/>
    <x v="3"/>
    <x v="37"/>
    <n v="190801"/>
    <n v="190801"/>
    <m/>
    <n v="4"/>
    <n v="190801"/>
    <n v="0"/>
  </r>
  <r>
    <x v="274"/>
    <x v="3"/>
    <m/>
    <x v="0"/>
    <x v="9"/>
    <x v="15"/>
    <n v="190801"/>
    <n v="190801"/>
    <m/>
    <n v="8"/>
    <n v="190801"/>
    <n v="160000"/>
  </r>
  <r>
    <x v="275"/>
    <x v="4"/>
    <m/>
    <x v="0"/>
    <x v="1"/>
    <x v="16"/>
    <n v="190801"/>
    <n v="190801"/>
    <m/>
    <n v="7"/>
    <n v="190801"/>
    <n v="245000"/>
  </r>
  <r>
    <x v="275"/>
    <x v="4"/>
    <m/>
    <x v="0"/>
    <x v="5"/>
    <x v="15"/>
    <n v="190801"/>
    <n v="190801"/>
    <m/>
    <n v="250"/>
    <n v="190801"/>
    <n v="2556750"/>
  </r>
  <r>
    <x v="275"/>
    <x v="4"/>
    <m/>
    <x v="0"/>
    <x v="7"/>
    <x v="15"/>
    <n v="190801"/>
    <n v="190801"/>
    <m/>
    <n v="4"/>
    <n v="190801"/>
    <n v="80000"/>
  </r>
  <r>
    <x v="275"/>
    <x v="4"/>
    <m/>
    <x v="6"/>
    <x v="2"/>
    <x v="37"/>
    <n v="190801"/>
    <n v="190801"/>
    <m/>
    <n v="7"/>
    <n v="190801"/>
    <n v="140000"/>
  </r>
  <r>
    <x v="275"/>
    <x v="4"/>
    <m/>
    <x v="6"/>
    <x v="2"/>
    <x v="42"/>
    <n v="190801"/>
    <n v="190801"/>
    <m/>
    <n v="1"/>
    <n v="190801"/>
    <n v="35000"/>
  </r>
  <r>
    <x v="275"/>
    <x v="4"/>
    <m/>
    <x v="19"/>
    <x v="2"/>
    <x v="38"/>
    <n v="190801"/>
    <n v="190801"/>
    <m/>
    <n v="3"/>
    <n v="190801"/>
    <n v="30000"/>
  </r>
  <r>
    <x v="275"/>
    <x v="4"/>
    <m/>
    <x v="29"/>
    <x v="2"/>
    <x v="40"/>
    <n v="190801"/>
    <n v="190801"/>
    <m/>
    <n v="5"/>
    <n v="190801"/>
    <n v="175000"/>
  </r>
  <r>
    <x v="275"/>
    <x v="4"/>
    <m/>
    <x v="29"/>
    <x v="2"/>
    <x v="41"/>
    <n v="190801"/>
    <n v="190801"/>
    <m/>
    <n v="4"/>
    <n v="190801"/>
    <n v="180000"/>
  </r>
  <r>
    <x v="275"/>
    <x v="4"/>
    <m/>
    <x v="25"/>
    <x v="2"/>
    <x v="34"/>
    <n v="190801"/>
    <n v="190801"/>
    <m/>
    <n v="5"/>
    <n v="190801"/>
    <n v="495000"/>
  </r>
  <r>
    <x v="275"/>
    <x v="4"/>
    <m/>
    <x v="1"/>
    <x v="2"/>
    <x v="18"/>
    <n v="190801"/>
    <n v="190801"/>
    <m/>
    <n v="3"/>
    <n v="190801"/>
    <n v="60000"/>
  </r>
  <r>
    <x v="275"/>
    <x v="4"/>
    <m/>
    <x v="4"/>
    <x v="2"/>
    <x v="26"/>
    <n v="190801"/>
    <n v="190801"/>
    <m/>
    <n v="2"/>
    <n v="190801"/>
    <n v="8000"/>
  </r>
  <r>
    <x v="275"/>
    <x v="4"/>
    <m/>
    <x v="4"/>
    <x v="2"/>
    <x v="27"/>
    <n v="190801"/>
    <n v="190801"/>
    <m/>
    <n v="10"/>
    <n v="190801"/>
    <n v="200000"/>
  </r>
  <r>
    <x v="275"/>
    <x v="4"/>
    <m/>
    <x v="0"/>
    <x v="2"/>
    <x v="15"/>
    <n v="190801"/>
    <n v="190801"/>
    <m/>
    <n v="58"/>
    <n v="190801"/>
    <n v="1160000"/>
  </r>
  <r>
    <x v="275"/>
    <x v="4"/>
    <m/>
    <x v="0"/>
    <x v="2"/>
    <x v="16"/>
    <n v="190801"/>
    <n v="190801"/>
    <m/>
    <n v="45"/>
    <n v="190801"/>
    <n v="1575000"/>
  </r>
  <r>
    <x v="275"/>
    <x v="4"/>
    <m/>
    <x v="0"/>
    <x v="2"/>
    <x v="17"/>
    <n v="190801"/>
    <n v="190801"/>
    <m/>
    <n v="65"/>
    <n v="190801"/>
    <n v="2145000"/>
  </r>
  <r>
    <x v="275"/>
    <x v="4"/>
    <m/>
    <x v="0"/>
    <x v="2"/>
    <x v="19"/>
    <n v="190801"/>
    <n v="190801"/>
    <m/>
    <n v="52"/>
    <n v="190801"/>
    <n v="156000"/>
  </r>
  <r>
    <x v="275"/>
    <x v="4"/>
    <m/>
    <x v="5"/>
    <x v="2"/>
    <x v="28"/>
    <n v="190801"/>
    <n v="190801"/>
    <m/>
    <n v="13"/>
    <n v="190801"/>
    <n v="364000"/>
  </r>
  <r>
    <x v="275"/>
    <x v="4"/>
    <m/>
    <x v="22"/>
    <x v="2"/>
    <x v="29"/>
    <n v="190801"/>
    <n v="190801"/>
    <m/>
    <n v="4"/>
    <n v="190801"/>
    <n v="152000"/>
  </r>
  <r>
    <x v="275"/>
    <x v="4"/>
    <m/>
    <x v="19"/>
    <x v="2"/>
    <x v="22"/>
    <n v="190801"/>
    <n v="190801"/>
    <m/>
    <n v="8"/>
    <n v="190801"/>
    <n v="104000"/>
  </r>
  <r>
    <x v="275"/>
    <x v="4"/>
    <m/>
    <x v="19"/>
    <x v="2"/>
    <x v="23"/>
    <n v="190801"/>
    <n v="190801"/>
    <m/>
    <n v="2"/>
    <n v="190801"/>
    <n v="48000"/>
  </r>
  <r>
    <x v="275"/>
    <x v="4"/>
    <m/>
    <x v="19"/>
    <x v="2"/>
    <x v="24"/>
    <n v="190801"/>
    <n v="190801"/>
    <m/>
    <n v="1"/>
    <n v="190801"/>
    <n v="33000"/>
  </r>
  <r>
    <x v="275"/>
    <x v="4"/>
    <m/>
    <x v="0"/>
    <x v="4"/>
    <x v="15"/>
    <n v="190801"/>
    <n v="190801"/>
    <m/>
    <n v="7"/>
    <n v="190801"/>
    <n v="220500"/>
  </r>
  <r>
    <x v="275"/>
    <x v="4"/>
    <m/>
    <x v="0"/>
    <x v="4"/>
    <x v="16"/>
    <n v="190801"/>
    <n v="190801"/>
    <m/>
    <n v="6"/>
    <n v="190801"/>
    <n v="264000"/>
  </r>
  <r>
    <x v="275"/>
    <x v="4"/>
    <m/>
    <x v="5"/>
    <x v="4"/>
    <x v="28"/>
    <n v="190801"/>
    <n v="190801"/>
    <m/>
    <n v="3"/>
    <n v="190801"/>
    <n v="114000"/>
  </r>
  <r>
    <x v="275"/>
    <x v="4"/>
    <m/>
    <x v="0"/>
    <x v="3"/>
    <x v="15"/>
    <n v="190801"/>
    <n v="190801"/>
    <m/>
    <n v="2"/>
    <n v="190801"/>
    <n v="0"/>
  </r>
  <r>
    <x v="275"/>
    <x v="4"/>
    <m/>
    <x v="0"/>
    <x v="9"/>
    <x v="15"/>
    <n v="190801"/>
    <n v="190801"/>
    <m/>
    <n v="1"/>
    <n v="190801"/>
    <n v="20000"/>
  </r>
  <r>
    <x v="275"/>
    <x v="4"/>
    <m/>
    <x v="5"/>
    <x v="9"/>
    <x v="28"/>
    <n v="190801"/>
    <n v="190801"/>
    <m/>
    <n v="1"/>
    <n v="190801"/>
    <n v="28000"/>
  </r>
  <r>
    <x v="276"/>
    <x v="1"/>
    <m/>
    <x v="0"/>
    <x v="1"/>
    <x v="15"/>
    <n v="190801"/>
    <n v="190801"/>
    <m/>
    <n v="1"/>
    <n v="190801"/>
    <n v="20000"/>
  </r>
  <r>
    <x v="276"/>
    <x v="1"/>
    <m/>
    <x v="0"/>
    <x v="1"/>
    <x v="16"/>
    <n v="190801"/>
    <n v="190801"/>
    <m/>
    <n v="11"/>
    <n v="190801"/>
    <n v="385000"/>
  </r>
  <r>
    <x v="276"/>
    <x v="1"/>
    <m/>
    <x v="0"/>
    <x v="7"/>
    <x v="15"/>
    <n v="190801"/>
    <n v="190801"/>
    <m/>
    <n v="15"/>
    <n v="190801"/>
    <n v="300000"/>
  </r>
  <r>
    <x v="276"/>
    <x v="1"/>
    <m/>
    <x v="6"/>
    <x v="2"/>
    <x v="37"/>
    <n v="190801"/>
    <n v="190801"/>
    <m/>
    <n v="9"/>
    <n v="190801"/>
    <n v="180000"/>
  </r>
  <r>
    <x v="276"/>
    <x v="1"/>
    <m/>
    <x v="6"/>
    <x v="2"/>
    <x v="42"/>
    <n v="190801"/>
    <n v="190801"/>
    <m/>
    <n v="5"/>
    <n v="190801"/>
    <n v="175000"/>
  </r>
  <r>
    <x v="276"/>
    <x v="1"/>
    <m/>
    <x v="19"/>
    <x v="2"/>
    <x v="38"/>
    <n v="190801"/>
    <n v="190801"/>
    <m/>
    <n v="3"/>
    <n v="190801"/>
    <n v="30000"/>
  </r>
  <r>
    <x v="276"/>
    <x v="1"/>
    <m/>
    <x v="29"/>
    <x v="2"/>
    <x v="40"/>
    <n v="190801"/>
    <n v="190801"/>
    <m/>
    <n v="3"/>
    <n v="190801"/>
    <n v="105000"/>
  </r>
  <r>
    <x v="276"/>
    <x v="1"/>
    <m/>
    <x v="29"/>
    <x v="2"/>
    <x v="41"/>
    <n v="190801"/>
    <n v="190801"/>
    <m/>
    <n v="10"/>
    <n v="190801"/>
    <n v="450000"/>
  </r>
  <r>
    <x v="276"/>
    <x v="1"/>
    <m/>
    <x v="25"/>
    <x v="2"/>
    <x v="34"/>
    <n v="190801"/>
    <n v="190801"/>
    <m/>
    <n v="5"/>
    <n v="190801"/>
    <n v="495000"/>
  </r>
  <r>
    <x v="276"/>
    <x v="1"/>
    <m/>
    <x v="1"/>
    <x v="2"/>
    <x v="18"/>
    <n v="190801"/>
    <n v="190801"/>
    <m/>
    <n v="2"/>
    <n v="190801"/>
    <n v="40000"/>
  </r>
  <r>
    <x v="276"/>
    <x v="1"/>
    <m/>
    <x v="4"/>
    <x v="2"/>
    <x v="26"/>
    <n v="190801"/>
    <n v="190801"/>
    <m/>
    <n v="6"/>
    <n v="190801"/>
    <n v="24000"/>
  </r>
  <r>
    <x v="276"/>
    <x v="1"/>
    <m/>
    <x v="4"/>
    <x v="2"/>
    <x v="27"/>
    <n v="190801"/>
    <n v="190801"/>
    <m/>
    <n v="2"/>
    <n v="190801"/>
    <n v="40000"/>
  </r>
  <r>
    <x v="276"/>
    <x v="1"/>
    <m/>
    <x v="0"/>
    <x v="2"/>
    <x v="15"/>
    <n v="190801"/>
    <n v="190801"/>
    <m/>
    <n v="69"/>
    <n v="190801"/>
    <n v="1380000"/>
  </r>
  <r>
    <x v="276"/>
    <x v="1"/>
    <m/>
    <x v="0"/>
    <x v="2"/>
    <x v="16"/>
    <n v="190801"/>
    <n v="190801"/>
    <m/>
    <n v="58"/>
    <n v="190801"/>
    <n v="2030000"/>
  </r>
  <r>
    <x v="276"/>
    <x v="1"/>
    <m/>
    <x v="0"/>
    <x v="2"/>
    <x v="17"/>
    <n v="190801"/>
    <n v="190801"/>
    <m/>
    <n v="84"/>
    <n v="190801"/>
    <n v="2772000"/>
  </r>
  <r>
    <x v="276"/>
    <x v="1"/>
    <m/>
    <x v="0"/>
    <x v="2"/>
    <x v="19"/>
    <n v="190801"/>
    <n v="190801"/>
    <m/>
    <n v="90"/>
    <n v="190801"/>
    <n v="270000"/>
  </r>
  <r>
    <x v="276"/>
    <x v="1"/>
    <m/>
    <x v="5"/>
    <x v="2"/>
    <x v="28"/>
    <n v="190801"/>
    <n v="190801"/>
    <m/>
    <n v="23"/>
    <n v="190801"/>
    <n v="644000"/>
  </r>
  <r>
    <x v="276"/>
    <x v="1"/>
    <m/>
    <x v="22"/>
    <x v="2"/>
    <x v="29"/>
    <n v="190801"/>
    <n v="190801"/>
    <m/>
    <n v="8"/>
    <n v="190801"/>
    <n v="304000"/>
  </r>
  <r>
    <x v="276"/>
    <x v="1"/>
    <m/>
    <x v="19"/>
    <x v="2"/>
    <x v="22"/>
    <n v="190801"/>
    <n v="190801"/>
    <m/>
    <n v="9"/>
    <n v="190801"/>
    <n v="117000"/>
  </r>
  <r>
    <x v="276"/>
    <x v="1"/>
    <m/>
    <x v="19"/>
    <x v="2"/>
    <x v="23"/>
    <n v="190801"/>
    <n v="190801"/>
    <m/>
    <n v="1"/>
    <n v="190801"/>
    <n v="24000"/>
  </r>
  <r>
    <x v="276"/>
    <x v="1"/>
    <m/>
    <x v="19"/>
    <x v="2"/>
    <x v="24"/>
    <n v="190801"/>
    <n v="190801"/>
    <m/>
    <n v="2"/>
    <n v="190801"/>
    <n v="66000"/>
  </r>
  <r>
    <x v="276"/>
    <x v="1"/>
    <m/>
    <x v="0"/>
    <x v="4"/>
    <x v="15"/>
    <n v="190801"/>
    <n v="190801"/>
    <m/>
    <n v="7"/>
    <n v="190801"/>
    <n v="220500"/>
  </r>
  <r>
    <x v="276"/>
    <x v="1"/>
    <m/>
    <x v="0"/>
    <x v="4"/>
    <x v="16"/>
    <n v="190801"/>
    <n v="190801"/>
    <m/>
    <n v="6"/>
    <n v="190801"/>
    <n v="264000"/>
  </r>
  <r>
    <x v="276"/>
    <x v="1"/>
    <m/>
    <x v="5"/>
    <x v="4"/>
    <x v="28"/>
    <n v="190801"/>
    <n v="190801"/>
    <m/>
    <n v="4"/>
    <n v="190801"/>
    <n v="152000"/>
  </r>
  <r>
    <x v="276"/>
    <x v="1"/>
    <m/>
    <x v="6"/>
    <x v="3"/>
    <x v="37"/>
    <n v="190801"/>
    <n v="190801"/>
    <m/>
    <n v="2"/>
    <n v="190801"/>
    <n v="0"/>
  </r>
  <r>
    <x v="276"/>
    <x v="1"/>
    <m/>
    <x v="0"/>
    <x v="9"/>
    <x v="15"/>
    <n v="190801"/>
    <n v="190801"/>
    <m/>
    <n v="5"/>
    <n v="190801"/>
    <n v="100000"/>
  </r>
  <r>
    <x v="277"/>
    <x v="0"/>
    <m/>
    <x v="0"/>
    <x v="1"/>
    <x v="15"/>
    <n v="190801"/>
    <n v="190801"/>
    <m/>
    <n v="2"/>
    <n v="190801"/>
    <n v="40000"/>
  </r>
  <r>
    <x v="277"/>
    <x v="0"/>
    <m/>
    <x v="0"/>
    <x v="1"/>
    <x v="16"/>
    <n v="190801"/>
    <n v="190801"/>
    <m/>
    <n v="5"/>
    <n v="190801"/>
    <n v="175000"/>
  </r>
  <r>
    <x v="277"/>
    <x v="0"/>
    <m/>
    <x v="19"/>
    <x v="5"/>
    <x v="50"/>
    <n v="190801"/>
    <n v="190801"/>
    <m/>
    <n v="10"/>
    <n v="190801"/>
    <n v="72000"/>
  </r>
  <r>
    <x v="277"/>
    <x v="0"/>
    <m/>
    <x v="0"/>
    <x v="7"/>
    <x v="15"/>
    <n v="190801"/>
    <n v="190801"/>
    <m/>
    <n v="1"/>
    <n v="190801"/>
    <n v="20000"/>
  </r>
  <r>
    <x v="277"/>
    <x v="0"/>
    <m/>
    <x v="6"/>
    <x v="2"/>
    <x v="37"/>
    <n v="190801"/>
    <n v="190801"/>
    <m/>
    <n v="7"/>
    <n v="190801"/>
    <n v="140000"/>
  </r>
  <r>
    <x v="277"/>
    <x v="0"/>
    <m/>
    <x v="6"/>
    <x v="2"/>
    <x v="42"/>
    <n v="190801"/>
    <n v="190801"/>
    <m/>
    <n v="4"/>
    <n v="190801"/>
    <n v="140000"/>
  </r>
  <r>
    <x v="277"/>
    <x v="0"/>
    <m/>
    <x v="19"/>
    <x v="2"/>
    <x v="38"/>
    <n v="190801"/>
    <n v="190801"/>
    <m/>
    <n v="6"/>
    <n v="190801"/>
    <n v="60000"/>
  </r>
  <r>
    <x v="277"/>
    <x v="0"/>
    <m/>
    <x v="29"/>
    <x v="2"/>
    <x v="40"/>
    <n v="190801"/>
    <n v="190801"/>
    <m/>
    <n v="4"/>
    <n v="190801"/>
    <n v="140000"/>
  </r>
  <r>
    <x v="277"/>
    <x v="0"/>
    <m/>
    <x v="29"/>
    <x v="2"/>
    <x v="41"/>
    <n v="190801"/>
    <n v="190801"/>
    <m/>
    <n v="4"/>
    <n v="190801"/>
    <n v="180000"/>
  </r>
  <r>
    <x v="277"/>
    <x v="0"/>
    <m/>
    <x v="1"/>
    <x v="2"/>
    <x v="18"/>
    <n v="190801"/>
    <n v="190801"/>
    <m/>
    <n v="4"/>
    <n v="190801"/>
    <n v="80000"/>
  </r>
  <r>
    <x v="277"/>
    <x v="0"/>
    <m/>
    <x v="1"/>
    <x v="2"/>
    <x v="21"/>
    <n v="190801"/>
    <n v="190801"/>
    <m/>
    <n v="1"/>
    <n v="190801"/>
    <n v="35000"/>
  </r>
  <r>
    <x v="277"/>
    <x v="0"/>
    <m/>
    <x v="4"/>
    <x v="2"/>
    <x v="26"/>
    <n v="190801"/>
    <n v="190801"/>
    <m/>
    <n v="2"/>
    <n v="190801"/>
    <n v="8000"/>
  </r>
  <r>
    <x v="277"/>
    <x v="0"/>
    <m/>
    <x v="4"/>
    <x v="2"/>
    <x v="27"/>
    <n v="190801"/>
    <n v="190801"/>
    <m/>
    <n v="3"/>
    <n v="190801"/>
    <n v="60000"/>
  </r>
  <r>
    <x v="277"/>
    <x v="0"/>
    <m/>
    <x v="0"/>
    <x v="2"/>
    <x v="15"/>
    <n v="190801"/>
    <n v="190801"/>
    <m/>
    <n v="56"/>
    <n v="190801"/>
    <n v="1120000"/>
  </r>
  <r>
    <x v="277"/>
    <x v="0"/>
    <m/>
    <x v="0"/>
    <x v="2"/>
    <x v="16"/>
    <n v="190801"/>
    <n v="190801"/>
    <m/>
    <n v="40"/>
    <n v="190801"/>
    <n v="1400000"/>
  </r>
  <r>
    <x v="277"/>
    <x v="0"/>
    <m/>
    <x v="0"/>
    <x v="2"/>
    <x v="17"/>
    <n v="190801"/>
    <n v="190801"/>
    <m/>
    <n v="68"/>
    <n v="190801"/>
    <n v="2244000"/>
  </r>
  <r>
    <x v="277"/>
    <x v="0"/>
    <m/>
    <x v="0"/>
    <x v="2"/>
    <x v="19"/>
    <n v="190801"/>
    <n v="190801"/>
    <m/>
    <n v="60"/>
    <n v="190801"/>
    <n v="180000"/>
  </r>
  <r>
    <x v="277"/>
    <x v="0"/>
    <m/>
    <x v="5"/>
    <x v="2"/>
    <x v="28"/>
    <n v="190801"/>
    <n v="190801"/>
    <m/>
    <n v="21"/>
    <n v="190801"/>
    <n v="588000"/>
  </r>
  <r>
    <x v="277"/>
    <x v="0"/>
    <m/>
    <x v="22"/>
    <x v="2"/>
    <x v="29"/>
    <n v="190801"/>
    <n v="190801"/>
    <m/>
    <n v="2"/>
    <n v="190801"/>
    <n v="76000"/>
  </r>
  <r>
    <x v="277"/>
    <x v="0"/>
    <m/>
    <x v="19"/>
    <x v="2"/>
    <x v="22"/>
    <n v="190801"/>
    <n v="190801"/>
    <m/>
    <n v="8"/>
    <n v="190801"/>
    <n v="104000"/>
  </r>
  <r>
    <x v="277"/>
    <x v="0"/>
    <m/>
    <x v="19"/>
    <x v="2"/>
    <x v="23"/>
    <n v="190801"/>
    <n v="190801"/>
    <m/>
    <n v="1"/>
    <n v="190801"/>
    <n v="24000"/>
  </r>
  <r>
    <x v="277"/>
    <x v="0"/>
    <m/>
    <x v="19"/>
    <x v="2"/>
    <x v="24"/>
    <n v="190801"/>
    <n v="190801"/>
    <m/>
    <n v="1"/>
    <n v="190801"/>
    <n v="33000"/>
  </r>
  <r>
    <x v="277"/>
    <x v="0"/>
    <m/>
    <x v="0"/>
    <x v="4"/>
    <x v="15"/>
    <n v="190801"/>
    <n v="190801"/>
    <m/>
    <n v="8"/>
    <n v="190801"/>
    <n v="252000"/>
  </r>
  <r>
    <x v="277"/>
    <x v="0"/>
    <m/>
    <x v="0"/>
    <x v="4"/>
    <x v="16"/>
    <n v="190801"/>
    <n v="190801"/>
    <m/>
    <n v="8"/>
    <n v="190801"/>
    <n v="352000"/>
  </r>
  <r>
    <x v="277"/>
    <x v="0"/>
    <m/>
    <x v="5"/>
    <x v="4"/>
    <x v="28"/>
    <n v="190801"/>
    <n v="190801"/>
    <m/>
    <n v="1"/>
    <n v="190801"/>
    <n v="38000"/>
  </r>
  <r>
    <x v="277"/>
    <x v="0"/>
    <m/>
    <x v="6"/>
    <x v="3"/>
    <x v="37"/>
    <n v="190801"/>
    <n v="190801"/>
    <m/>
    <n v="5"/>
    <n v="190801"/>
    <n v="0"/>
  </r>
  <r>
    <x v="277"/>
    <x v="0"/>
    <m/>
    <x v="0"/>
    <x v="9"/>
    <x v="15"/>
    <n v="190801"/>
    <n v="190801"/>
    <m/>
    <n v="2"/>
    <n v="190801"/>
    <n v="40000"/>
  </r>
  <r>
    <x v="278"/>
    <x v="2"/>
    <m/>
    <x v="0"/>
    <x v="1"/>
    <x v="15"/>
    <n v="190801"/>
    <n v="190801"/>
    <m/>
    <n v="2"/>
    <n v="190801"/>
    <n v="40000"/>
  </r>
  <r>
    <x v="278"/>
    <x v="2"/>
    <m/>
    <x v="0"/>
    <x v="1"/>
    <x v="16"/>
    <n v="190801"/>
    <n v="190801"/>
    <m/>
    <n v="5"/>
    <n v="190801"/>
    <n v="175000"/>
  </r>
  <r>
    <x v="278"/>
    <x v="2"/>
    <m/>
    <x v="0"/>
    <x v="7"/>
    <x v="15"/>
    <n v="190801"/>
    <n v="190801"/>
    <m/>
    <n v="21"/>
    <n v="190801"/>
    <n v="420000"/>
  </r>
  <r>
    <x v="278"/>
    <x v="2"/>
    <m/>
    <x v="6"/>
    <x v="2"/>
    <x v="37"/>
    <n v="190801"/>
    <n v="190801"/>
    <m/>
    <n v="2"/>
    <n v="190801"/>
    <n v="40000"/>
  </r>
  <r>
    <x v="278"/>
    <x v="2"/>
    <m/>
    <x v="6"/>
    <x v="2"/>
    <x v="42"/>
    <n v="190801"/>
    <n v="190801"/>
    <m/>
    <n v="2"/>
    <n v="190801"/>
    <n v="70000"/>
  </r>
  <r>
    <x v="278"/>
    <x v="2"/>
    <m/>
    <x v="29"/>
    <x v="2"/>
    <x v="40"/>
    <n v="190801"/>
    <n v="190801"/>
    <m/>
    <n v="2"/>
    <n v="190801"/>
    <n v="70000"/>
  </r>
  <r>
    <x v="278"/>
    <x v="2"/>
    <m/>
    <x v="29"/>
    <x v="2"/>
    <x v="41"/>
    <n v="190801"/>
    <n v="190801"/>
    <m/>
    <n v="2"/>
    <n v="190801"/>
    <n v="90000"/>
  </r>
  <r>
    <x v="278"/>
    <x v="2"/>
    <m/>
    <x v="25"/>
    <x v="2"/>
    <x v="34"/>
    <n v="190801"/>
    <n v="190801"/>
    <m/>
    <n v="6"/>
    <n v="190801"/>
    <n v="594000"/>
  </r>
  <r>
    <x v="278"/>
    <x v="2"/>
    <m/>
    <x v="1"/>
    <x v="2"/>
    <x v="18"/>
    <n v="190801"/>
    <n v="190801"/>
    <m/>
    <n v="4"/>
    <n v="190801"/>
    <n v="80000"/>
  </r>
  <r>
    <x v="278"/>
    <x v="2"/>
    <m/>
    <x v="4"/>
    <x v="2"/>
    <x v="26"/>
    <n v="190801"/>
    <n v="190801"/>
    <m/>
    <n v="3"/>
    <n v="190801"/>
    <n v="12000"/>
  </r>
  <r>
    <x v="278"/>
    <x v="2"/>
    <m/>
    <x v="0"/>
    <x v="2"/>
    <x v="15"/>
    <n v="190801"/>
    <n v="190801"/>
    <m/>
    <n v="49"/>
    <n v="190801"/>
    <n v="980000"/>
  </r>
  <r>
    <x v="278"/>
    <x v="2"/>
    <m/>
    <x v="0"/>
    <x v="2"/>
    <x v="16"/>
    <n v="190801"/>
    <n v="190801"/>
    <m/>
    <n v="52"/>
    <n v="190801"/>
    <n v="1820000"/>
  </r>
  <r>
    <x v="278"/>
    <x v="2"/>
    <m/>
    <x v="0"/>
    <x v="2"/>
    <x v="17"/>
    <n v="190801"/>
    <n v="190801"/>
    <m/>
    <n v="44"/>
    <n v="190801"/>
    <n v="1452000"/>
  </r>
  <r>
    <x v="278"/>
    <x v="2"/>
    <m/>
    <x v="0"/>
    <x v="2"/>
    <x v="19"/>
    <n v="190801"/>
    <n v="190801"/>
    <m/>
    <n v="38"/>
    <n v="190801"/>
    <n v="114000"/>
  </r>
  <r>
    <x v="278"/>
    <x v="2"/>
    <m/>
    <x v="5"/>
    <x v="2"/>
    <x v="28"/>
    <n v="190801"/>
    <n v="190801"/>
    <m/>
    <n v="10"/>
    <n v="190801"/>
    <n v="280000"/>
  </r>
  <r>
    <x v="278"/>
    <x v="2"/>
    <m/>
    <x v="22"/>
    <x v="2"/>
    <x v="29"/>
    <n v="190801"/>
    <n v="190801"/>
    <m/>
    <n v="3"/>
    <n v="190801"/>
    <n v="114000"/>
  </r>
  <r>
    <x v="278"/>
    <x v="2"/>
    <m/>
    <x v="19"/>
    <x v="2"/>
    <x v="22"/>
    <n v="190801"/>
    <n v="190801"/>
    <m/>
    <n v="6"/>
    <n v="190801"/>
    <n v="78000"/>
  </r>
  <r>
    <x v="278"/>
    <x v="2"/>
    <m/>
    <x v="19"/>
    <x v="2"/>
    <x v="23"/>
    <n v="190801"/>
    <n v="190801"/>
    <m/>
    <n v="2"/>
    <n v="190801"/>
    <n v="48000"/>
  </r>
  <r>
    <x v="278"/>
    <x v="2"/>
    <m/>
    <x v="19"/>
    <x v="2"/>
    <x v="24"/>
    <n v="190801"/>
    <n v="190801"/>
    <m/>
    <n v="1"/>
    <n v="190801"/>
    <n v="33000"/>
  </r>
  <r>
    <x v="278"/>
    <x v="2"/>
    <m/>
    <x v="0"/>
    <x v="4"/>
    <x v="15"/>
    <n v="190801"/>
    <n v="190801"/>
    <m/>
    <n v="12"/>
    <n v="190801"/>
    <n v="378000"/>
  </r>
  <r>
    <x v="278"/>
    <x v="2"/>
    <m/>
    <x v="0"/>
    <x v="4"/>
    <x v="16"/>
    <n v="190801"/>
    <n v="190801"/>
    <m/>
    <n v="7"/>
    <n v="190801"/>
    <n v="308000"/>
  </r>
  <r>
    <x v="278"/>
    <x v="2"/>
    <m/>
    <x v="5"/>
    <x v="4"/>
    <x v="28"/>
    <n v="190801"/>
    <n v="190801"/>
    <m/>
    <n v="3"/>
    <n v="190801"/>
    <n v="114000"/>
  </r>
  <r>
    <x v="278"/>
    <x v="2"/>
    <m/>
    <x v="0"/>
    <x v="3"/>
    <x v="15"/>
    <n v="190801"/>
    <n v="190801"/>
    <m/>
    <n v="2"/>
    <n v="190801"/>
    <n v="0"/>
  </r>
  <r>
    <x v="278"/>
    <x v="2"/>
    <m/>
    <x v="18"/>
    <x v="3"/>
    <x v="19"/>
    <n v="190801"/>
    <n v="190801"/>
    <m/>
    <n v="2"/>
    <n v="190801"/>
    <n v="0"/>
  </r>
  <r>
    <x v="278"/>
    <x v="2"/>
    <m/>
    <x v="6"/>
    <x v="3"/>
    <x v="37"/>
    <n v="190801"/>
    <n v="190801"/>
    <m/>
    <n v="1"/>
    <n v="190801"/>
    <n v="0"/>
  </r>
  <r>
    <x v="278"/>
    <x v="2"/>
    <m/>
    <x v="0"/>
    <x v="9"/>
    <x v="15"/>
    <n v="190801"/>
    <n v="190801"/>
    <m/>
    <n v="5"/>
    <n v="190801"/>
    <n v="100000"/>
  </r>
  <r>
    <x v="279"/>
    <x v="5"/>
    <m/>
    <x v="0"/>
    <x v="7"/>
    <x v="15"/>
    <n v="190801"/>
    <n v="190801"/>
    <m/>
    <n v="13"/>
    <n v="190801"/>
    <n v="260000"/>
  </r>
  <r>
    <x v="279"/>
    <x v="5"/>
    <m/>
    <x v="6"/>
    <x v="2"/>
    <x v="37"/>
    <n v="190801"/>
    <n v="190801"/>
    <m/>
    <n v="2"/>
    <n v="190801"/>
    <n v="40000"/>
  </r>
  <r>
    <x v="279"/>
    <x v="5"/>
    <m/>
    <x v="6"/>
    <x v="2"/>
    <x v="42"/>
    <n v="190801"/>
    <n v="190801"/>
    <m/>
    <n v="1"/>
    <n v="190801"/>
    <n v="35000"/>
  </r>
  <r>
    <x v="279"/>
    <x v="5"/>
    <m/>
    <x v="19"/>
    <x v="2"/>
    <x v="38"/>
    <n v="190801"/>
    <n v="190801"/>
    <m/>
    <n v="1"/>
    <n v="190801"/>
    <n v="10000"/>
  </r>
  <r>
    <x v="279"/>
    <x v="5"/>
    <m/>
    <x v="29"/>
    <x v="2"/>
    <x v="41"/>
    <n v="190801"/>
    <n v="190801"/>
    <m/>
    <n v="1"/>
    <n v="190801"/>
    <n v="45000"/>
  </r>
  <r>
    <x v="279"/>
    <x v="5"/>
    <m/>
    <x v="25"/>
    <x v="2"/>
    <x v="34"/>
    <n v="190801"/>
    <n v="190801"/>
    <m/>
    <n v="3"/>
    <n v="190801"/>
    <n v="297000"/>
  </r>
  <r>
    <x v="279"/>
    <x v="5"/>
    <m/>
    <x v="1"/>
    <x v="2"/>
    <x v="18"/>
    <n v="190801"/>
    <n v="190801"/>
    <m/>
    <n v="2"/>
    <n v="190801"/>
    <n v="40000"/>
  </r>
  <r>
    <x v="279"/>
    <x v="5"/>
    <m/>
    <x v="1"/>
    <x v="2"/>
    <x v="21"/>
    <n v="190801"/>
    <n v="190801"/>
    <m/>
    <n v="1"/>
    <n v="190801"/>
    <n v="35000"/>
  </r>
  <r>
    <x v="279"/>
    <x v="5"/>
    <m/>
    <x v="4"/>
    <x v="2"/>
    <x v="26"/>
    <n v="190801"/>
    <n v="190801"/>
    <m/>
    <n v="2"/>
    <n v="190801"/>
    <n v="8000"/>
  </r>
  <r>
    <x v="279"/>
    <x v="5"/>
    <m/>
    <x v="4"/>
    <x v="2"/>
    <x v="27"/>
    <n v="190801"/>
    <n v="190801"/>
    <m/>
    <n v="4"/>
    <n v="190801"/>
    <n v="80000"/>
  </r>
  <r>
    <x v="279"/>
    <x v="5"/>
    <m/>
    <x v="0"/>
    <x v="2"/>
    <x v="15"/>
    <n v="190801"/>
    <n v="190801"/>
    <m/>
    <n v="43"/>
    <n v="190801"/>
    <n v="860000"/>
  </r>
  <r>
    <x v="279"/>
    <x v="5"/>
    <m/>
    <x v="0"/>
    <x v="2"/>
    <x v="16"/>
    <n v="190801"/>
    <n v="190801"/>
    <m/>
    <n v="24"/>
    <n v="190801"/>
    <n v="840000"/>
  </r>
  <r>
    <x v="279"/>
    <x v="5"/>
    <m/>
    <x v="0"/>
    <x v="2"/>
    <x v="17"/>
    <n v="190801"/>
    <n v="190801"/>
    <m/>
    <n v="38"/>
    <n v="190801"/>
    <n v="1254000"/>
  </r>
  <r>
    <x v="279"/>
    <x v="5"/>
    <m/>
    <x v="0"/>
    <x v="2"/>
    <x v="19"/>
    <n v="190801"/>
    <n v="190801"/>
    <m/>
    <n v="30"/>
    <n v="190801"/>
    <n v="90000"/>
  </r>
  <r>
    <x v="279"/>
    <x v="5"/>
    <m/>
    <x v="5"/>
    <x v="2"/>
    <x v="28"/>
    <n v="190801"/>
    <n v="190801"/>
    <m/>
    <n v="10"/>
    <n v="190801"/>
    <n v="280000"/>
  </r>
  <r>
    <x v="279"/>
    <x v="5"/>
    <m/>
    <x v="22"/>
    <x v="2"/>
    <x v="29"/>
    <n v="190801"/>
    <n v="190801"/>
    <m/>
    <n v="2"/>
    <n v="190801"/>
    <n v="76000"/>
  </r>
  <r>
    <x v="279"/>
    <x v="5"/>
    <m/>
    <x v="19"/>
    <x v="2"/>
    <x v="22"/>
    <n v="190801"/>
    <n v="190801"/>
    <m/>
    <n v="1"/>
    <n v="190801"/>
    <n v="13000"/>
  </r>
  <r>
    <x v="279"/>
    <x v="5"/>
    <m/>
    <x v="19"/>
    <x v="2"/>
    <x v="23"/>
    <n v="190801"/>
    <n v="190801"/>
    <m/>
    <n v="1"/>
    <n v="190801"/>
    <n v="24000"/>
  </r>
  <r>
    <x v="279"/>
    <x v="5"/>
    <m/>
    <x v="0"/>
    <x v="9"/>
    <x v="15"/>
    <n v="190801"/>
    <n v="190801"/>
    <m/>
    <n v="2"/>
    <n v="190801"/>
    <n v="40000"/>
  </r>
  <r>
    <x v="280"/>
    <x v="6"/>
    <m/>
    <x v="0"/>
    <x v="7"/>
    <x v="15"/>
    <n v="190801"/>
    <n v="190801"/>
    <m/>
    <n v="22"/>
    <n v="190801"/>
    <n v="440000"/>
  </r>
  <r>
    <x v="280"/>
    <x v="6"/>
    <m/>
    <x v="6"/>
    <x v="2"/>
    <x v="37"/>
    <n v="190801"/>
    <n v="190801"/>
    <m/>
    <n v="4"/>
    <n v="190801"/>
    <n v="80000"/>
  </r>
  <r>
    <x v="280"/>
    <x v="6"/>
    <m/>
    <x v="6"/>
    <x v="2"/>
    <x v="42"/>
    <n v="190801"/>
    <n v="190801"/>
    <m/>
    <n v="2"/>
    <n v="190801"/>
    <n v="70000"/>
  </r>
  <r>
    <x v="280"/>
    <x v="6"/>
    <m/>
    <x v="19"/>
    <x v="2"/>
    <x v="38"/>
    <n v="190801"/>
    <n v="190801"/>
    <m/>
    <n v="1"/>
    <n v="190801"/>
    <n v="10000"/>
  </r>
  <r>
    <x v="280"/>
    <x v="6"/>
    <m/>
    <x v="29"/>
    <x v="2"/>
    <x v="40"/>
    <n v="190801"/>
    <n v="190801"/>
    <m/>
    <n v="1"/>
    <n v="190801"/>
    <n v="35000"/>
  </r>
  <r>
    <x v="280"/>
    <x v="6"/>
    <m/>
    <x v="29"/>
    <x v="2"/>
    <x v="41"/>
    <n v="190801"/>
    <n v="190801"/>
    <m/>
    <n v="5"/>
    <n v="190801"/>
    <n v="225000"/>
  </r>
  <r>
    <x v="280"/>
    <x v="6"/>
    <m/>
    <x v="25"/>
    <x v="2"/>
    <x v="34"/>
    <n v="190801"/>
    <n v="190801"/>
    <m/>
    <n v="3"/>
    <n v="190801"/>
    <n v="297000"/>
  </r>
  <r>
    <x v="280"/>
    <x v="6"/>
    <m/>
    <x v="1"/>
    <x v="2"/>
    <x v="18"/>
    <n v="190801"/>
    <n v="190801"/>
    <m/>
    <n v="2"/>
    <n v="190801"/>
    <n v="40000"/>
  </r>
  <r>
    <x v="280"/>
    <x v="6"/>
    <m/>
    <x v="1"/>
    <x v="2"/>
    <x v="21"/>
    <n v="190801"/>
    <n v="190801"/>
    <m/>
    <n v="2"/>
    <n v="190801"/>
    <n v="70000"/>
  </r>
  <r>
    <x v="280"/>
    <x v="6"/>
    <m/>
    <x v="4"/>
    <x v="2"/>
    <x v="26"/>
    <n v="190801"/>
    <n v="190801"/>
    <m/>
    <n v="4"/>
    <n v="190801"/>
    <n v="16000"/>
  </r>
  <r>
    <x v="280"/>
    <x v="6"/>
    <m/>
    <x v="4"/>
    <x v="2"/>
    <x v="27"/>
    <n v="190801"/>
    <n v="190801"/>
    <m/>
    <n v="4"/>
    <n v="190801"/>
    <n v="80000"/>
  </r>
  <r>
    <x v="280"/>
    <x v="6"/>
    <m/>
    <x v="0"/>
    <x v="2"/>
    <x v="15"/>
    <n v="190801"/>
    <n v="190801"/>
    <m/>
    <n v="59"/>
    <n v="190801"/>
    <n v="1180000"/>
  </r>
  <r>
    <x v="280"/>
    <x v="6"/>
    <m/>
    <x v="0"/>
    <x v="2"/>
    <x v="16"/>
    <n v="190801"/>
    <n v="190801"/>
    <m/>
    <n v="51"/>
    <n v="190801"/>
    <n v="1785000"/>
  </r>
  <r>
    <x v="280"/>
    <x v="6"/>
    <m/>
    <x v="0"/>
    <x v="2"/>
    <x v="17"/>
    <n v="190801"/>
    <n v="190801"/>
    <m/>
    <n v="53"/>
    <n v="190801"/>
    <n v="1749000"/>
  </r>
  <r>
    <x v="280"/>
    <x v="6"/>
    <m/>
    <x v="0"/>
    <x v="2"/>
    <x v="19"/>
    <n v="190801"/>
    <n v="190801"/>
    <m/>
    <n v="66"/>
    <n v="190801"/>
    <n v="198000"/>
  </r>
  <r>
    <x v="280"/>
    <x v="6"/>
    <m/>
    <x v="5"/>
    <x v="2"/>
    <x v="28"/>
    <n v="190801"/>
    <n v="190801"/>
    <m/>
    <n v="10"/>
    <n v="190801"/>
    <n v="280000"/>
  </r>
  <r>
    <x v="280"/>
    <x v="6"/>
    <m/>
    <x v="22"/>
    <x v="2"/>
    <x v="29"/>
    <n v="190801"/>
    <n v="190801"/>
    <m/>
    <n v="2"/>
    <n v="190801"/>
    <n v="76000"/>
  </r>
  <r>
    <x v="280"/>
    <x v="6"/>
    <m/>
    <x v="19"/>
    <x v="2"/>
    <x v="22"/>
    <n v="190801"/>
    <n v="190801"/>
    <m/>
    <n v="10"/>
    <n v="190801"/>
    <n v="130000"/>
  </r>
  <r>
    <x v="280"/>
    <x v="6"/>
    <m/>
    <x v="19"/>
    <x v="2"/>
    <x v="23"/>
    <n v="190801"/>
    <n v="190801"/>
    <m/>
    <n v="2"/>
    <n v="190801"/>
    <n v="48000"/>
  </r>
  <r>
    <x v="280"/>
    <x v="6"/>
    <m/>
    <x v="0"/>
    <x v="9"/>
    <x v="15"/>
    <n v="190801"/>
    <n v="190801"/>
    <m/>
    <n v="6"/>
    <n v="190801"/>
    <n v="120000"/>
  </r>
  <r>
    <x v="280"/>
    <x v="6"/>
    <m/>
    <x v="0"/>
    <x v="6"/>
    <x v="15"/>
    <n v="190801"/>
    <n v="190801"/>
    <m/>
    <n v="640"/>
    <n v="190801"/>
    <n v="5803520"/>
  </r>
  <r>
    <x v="280"/>
    <x v="6"/>
    <m/>
    <x v="0"/>
    <x v="6"/>
    <x v="17"/>
    <n v="190801"/>
    <n v="190801"/>
    <m/>
    <n v="7"/>
    <n v="190801"/>
    <n v="110726"/>
  </r>
  <r>
    <x v="280"/>
    <x v="6"/>
    <m/>
    <x v="4"/>
    <x v="6"/>
    <x v="26"/>
    <n v="190801"/>
    <n v="190801"/>
    <m/>
    <n v="523"/>
    <n v="190801"/>
    <n v="561179"/>
  </r>
  <r>
    <x v="280"/>
    <x v="6"/>
    <m/>
    <x v="26"/>
    <x v="6"/>
    <x v="35"/>
    <n v="190801"/>
    <n v="190801"/>
    <m/>
    <n v="82"/>
    <n v="190801"/>
    <n v="1404742"/>
  </r>
  <r>
    <x v="280"/>
    <x v="6"/>
    <m/>
    <x v="22"/>
    <x v="6"/>
    <x v="29"/>
    <n v="190801"/>
    <n v="190801"/>
    <m/>
    <n v="17"/>
    <n v="190801"/>
    <n v="334747"/>
  </r>
  <r>
    <x v="280"/>
    <x v="6"/>
    <m/>
    <x v="24"/>
    <x v="6"/>
    <x v="31"/>
    <n v="190801"/>
    <n v="190801"/>
    <m/>
    <n v="73"/>
    <n v="190801"/>
    <n v="1086021"/>
  </r>
  <r>
    <x v="280"/>
    <x v="6"/>
    <m/>
    <x v="23"/>
    <x v="6"/>
    <x v="30"/>
    <n v="190801"/>
    <n v="190801"/>
    <m/>
    <n v="156"/>
    <n v="190801"/>
    <n v="1086384"/>
  </r>
  <r>
    <x v="280"/>
    <x v="6"/>
    <m/>
    <x v="19"/>
    <x v="6"/>
    <x v="22"/>
    <n v="190801"/>
    <n v="190801"/>
    <m/>
    <n v="7"/>
    <n v="190801"/>
    <n v="47537"/>
  </r>
  <r>
    <x v="280"/>
    <x v="6"/>
    <m/>
    <x v="27"/>
    <x v="6"/>
    <x v="36"/>
    <n v="190801"/>
    <n v="190801"/>
    <m/>
    <n v="168"/>
    <n v="190801"/>
    <n v="1588776"/>
  </r>
  <r>
    <x v="280"/>
    <x v="6"/>
    <m/>
    <x v="6"/>
    <x v="6"/>
    <x v="37"/>
    <n v="190801"/>
    <n v="190801"/>
    <m/>
    <n v="38"/>
    <n v="190801"/>
    <n v="380000"/>
  </r>
  <r>
    <x v="280"/>
    <x v="6"/>
    <m/>
    <x v="28"/>
    <x v="6"/>
    <x v="39"/>
    <n v="190801"/>
    <n v="190801"/>
    <m/>
    <n v="32"/>
    <n v="190801"/>
    <n v="506176"/>
  </r>
  <r>
    <x v="280"/>
    <x v="6"/>
    <m/>
    <x v="20"/>
    <x v="6"/>
    <x v="25"/>
    <n v="190801"/>
    <n v="190801"/>
    <m/>
    <n v="1"/>
    <n v="190801"/>
    <n v="9716"/>
  </r>
  <r>
    <x v="281"/>
    <x v="3"/>
    <m/>
    <x v="0"/>
    <x v="1"/>
    <x v="15"/>
    <n v="190801"/>
    <n v="190801"/>
    <m/>
    <n v="2"/>
    <n v="190801"/>
    <n v="40000"/>
  </r>
  <r>
    <x v="281"/>
    <x v="3"/>
    <m/>
    <x v="0"/>
    <x v="1"/>
    <x v="16"/>
    <n v="190801"/>
    <n v="190801"/>
    <m/>
    <n v="14"/>
    <n v="190801"/>
    <n v="490000"/>
  </r>
  <r>
    <x v="281"/>
    <x v="3"/>
    <m/>
    <x v="0"/>
    <x v="7"/>
    <x v="15"/>
    <n v="190801"/>
    <n v="190801"/>
    <m/>
    <n v="16"/>
    <n v="190801"/>
    <n v="320000"/>
  </r>
  <r>
    <x v="281"/>
    <x v="3"/>
    <m/>
    <x v="6"/>
    <x v="2"/>
    <x v="37"/>
    <n v="190801"/>
    <n v="190801"/>
    <m/>
    <n v="6"/>
    <n v="190801"/>
    <n v="120000"/>
  </r>
  <r>
    <x v="281"/>
    <x v="3"/>
    <m/>
    <x v="6"/>
    <x v="2"/>
    <x v="42"/>
    <n v="190801"/>
    <n v="190801"/>
    <m/>
    <n v="1"/>
    <n v="190801"/>
    <n v="35000"/>
  </r>
  <r>
    <x v="281"/>
    <x v="3"/>
    <m/>
    <x v="19"/>
    <x v="2"/>
    <x v="38"/>
    <n v="190801"/>
    <n v="190801"/>
    <m/>
    <n v="1"/>
    <n v="190801"/>
    <n v="10000"/>
  </r>
  <r>
    <x v="281"/>
    <x v="3"/>
    <m/>
    <x v="29"/>
    <x v="2"/>
    <x v="40"/>
    <n v="190801"/>
    <n v="190801"/>
    <m/>
    <n v="8"/>
    <n v="190801"/>
    <n v="280000"/>
  </r>
  <r>
    <x v="281"/>
    <x v="3"/>
    <m/>
    <x v="29"/>
    <x v="2"/>
    <x v="41"/>
    <n v="190801"/>
    <n v="190801"/>
    <m/>
    <n v="8"/>
    <n v="190801"/>
    <n v="360000"/>
  </r>
  <r>
    <x v="281"/>
    <x v="3"/>
    <m/>
    <x v="25"/>
    <x v="2"/>
    <x v="34"/>
    <n v="190801"/>
    <n v="190801"/>
    <m/>
    <n v="10"/>
    <n v="190801"/>
    <n v="990000"/>
  </r>
  <r>
    <x v="281"/>
    <x v="3"/>
    <m/>
    <x v="1"/>
    <x v="2"/>
    <x v="18"/>
    <n v="190801"/>
    <n v="190801"/>
    <m/>
    <n v="3"/>
    <n v="190801"/>
    <n v="60000"/>
  </r>
  <r>
    <x v="281"/>
    <x v="3"/>
    <m/>
    <x v="1"/>
    <x v="2"/>
    <x v="21"/>
    <n v="190801"/>
    <n v="190801"/>
    <m/>
    <n v="1"/>
    <n v="190801"/>
    <n v="35000"/>
  </r>
  <r>
    <x v="281"/>
    <x v="3"/>
    <m/>
    <x v="4"/>
    <x v="2"/>
    <x v="27"/>
    <n v="190801"/>
    <n v="190801"/>
    <m/>
    <n v="60"/>
    <n v="190801"/>
    <n v="1200000"/>
  </r>
  <r>
    <x v="281"/>
    <x v="3"/>
    <m/>
    <x v="0"/>
    <x v="2"/>
    <x v="15"/>
    <n v="190801"/>
    <n v="190801"/>
    <m/>
    <n v="68"/>
    <n v="190801"/>
    <n v="1360000"/>
  </r>
  <r>
    <x v="281"/>
    <x v="3"/>
    <m/>
    <x v="0"/>
    <x v="2"/>
    <x v="16"/>
    <n v="190801"/>
    <n v="190801"/>
    <m/>
    <n v="256"/>
    <n v="190801"/>
    <n v="8960000"/>
  </r>
  <r>
    <x v="281"/>
    <x v="3"/>
    <m/>
    <x v="0"/>
    <x v="2"/>
    <x v="17"/>
    <n v="190801"/>
    <n v="190801"/>
    <m/>
    <n v="73"/>
    <n v="190801"/>
    <n v="2409000"/>
  </r>
  <r>
    <x v="281"/>
    <x v="3"/>
    <m/>
    <x v="0"/>
    <x v="2"/>
    <x v="19"/>
    <n v="190801"/>
    <n v="190801"/>
    <m/>
    <n v="436"/>
    <n v="190801"/>
    <n v="1308000"/>
  </r>
  <r>
    <x v="281"/>
    <x v="3"/>
    <m/>
    <x v="5"/>
    <x v="2"/>
    <x v="28"/>
    <n v="190801"/>
    <n v="190801"/>
    <m/>
    <n v="17"/>
    <n v="190801"/>
    <n v="476000"/>
  </r>
  <r>
    <x v="281"/>
    <x v="3"/>
    <m/>
    <x v="22"/>
    <x v="2"/>
    <x v="29"/>
    <n v="190801"/>
    <n v="190801"/>
    <m/>
    <n v="5"/>
    <n v="190801"/>
    <n v="190000"/>
  </r>
  <r>
    <x v="281"/>
    <x v="3"/>
    <m/>
    <x v="19"/>
    <x v="2"/>
    <x v="22"/>
    <n v="190801"/>
    <n v="190801"/>
    <m/>
    <n v="33"/>
    <n v="190801"/>
    <n v="429000"/>
  </r>
  <r>
    <x v="281"/>
    <x v="3"/>
    <m/>
    <x v="19"/>
    <x v="2"/>
    <x v="23"/>
    <n v="190801"/>
    <n v="190801"/>
    <m/>
    <n v="2"/>
    <n v="190801"/>
    <n v="48000"/>
  </r>
  <r>
    <x v="281"/>
    <x v="3"/>
    <m/>
    <x v="19"/>
    <x v="2"/>
    <x v="24"/>
    <n v="190801"/>
    <n v="190801"/>
    <m/>
    <n v="1"/>
    <n v="190801"/>
    <n v="33000"/>
  </r>
  <r>
    <x v="281"/>
    <x v="3"/>
    <m/>
    <x v="0"/>
    <x v="4"/>
    <x v="15"/>
    <n v="190801"/>
    <n v="190801"/>
    <m/>
    <n v="34"/>
    <n v="190801"/>
    <n v="1071000"/>
  </r>
  <r>
    <x v="281"/>
    <x v="3"/>
    <m/>
    <x v="0"/>
    <x v="4"/>
    <x v="16"/>
    <n v="190801"/>
    <n v="190801"/>
    <m/>
    <n v="7"/>
    <n v="190801"/>
    <n v="308000"/>
  </r>
  <r>
    <x v="281"/>
    <x v="3"/>
    <m/>
    <x v="5"/>
    <x v="4"/>
    <x v="28"/>
    <n v="190801"/>
    <n v="190801"/>
    <m/>
    <n v="2"/>
    <n v="190801"/>
    <n v="76000"/>
  </r>
  <r>
    <x v="281"/>
    <x v="3"/>
    <m/>
    <x v="4"/>
    <x v="4"/>
    <x v="27"/>
    <n v="190801"/>
    <n v="190801"/>
    <m/>
    <n v="2"/>
    <n v="190801"/>
    <n v="72000"/>
  </r>
  <r>
    <x v="281"/>
    <x v="3"/>
    <m/>
    <x v="19"/>
    <x v="4"/>
    <x v="22"/>
    <n v="190801"/>
    <n v="190801"/>
    <m/>
    <n v="2"/>
    <n v="190801"/>
    <n v="50000"/>
  </r>
  <r>
    <x v="281"/>
    <x v="3"/>
    <m/>
    <x v="0"/>
    <x v="3"/>
    <x v="15"/>
    <n v="190801"/>
    <n v="190801"/>
    <m/>
    <n v="5"/>
    <n v="190801"/>
    <n v="0"/>
  </r>
  <r>
    <x v="281"/>
    <x v="3"/>
    <m/>
    <x v="18"/>
    <x v="3"/>
    <x v="19"/>
    <n v="190801"/>
    <n v="190801"/>
    <m/>
    <n v="4"/>
    <n v="190801"/>
    <n v="0"/>
  </r>
  <r>
    <x v="281"/>
    <x v="3"/>
    <m/>
    <x v="5"/>
    <x v="3"/>
    <x v="28"/>
    <n v="190801"/>
    <n v="190801"/>
    <m/>
    <n v="2"/>
    <n v="190801"/>
    <n v="0"/>
  </r>
  <r>
    <x v="281"/>
    <x v="3"/>
    <m/>
    <x v="4"/>
    <x v="3"/>
    <x v="27"/>
    <n v="190801"/>
    <n v="190801"/>
    <m/>
    <n v="2"/>
    <n v="190801"/>
    <n v="0"/>
  </r>
  <r>
    <x v="281"/>
    <x v="3"/>
    <m/>
    <x v="6"/>
    <x v="3"/>
    <x v="37"/>
    <n v="190801"/>
    <n v="190801"/>
    <m/>
    <n v="6"/>
    <n v="190801"/>
    <n v="0"/>
  </r>
  <r>
    <x v="281"/>
    <x v="3"/>
    <m/>
    <x v="0"/>
    <x v="9"/>
    <x v="15"/>
    <n v="190801"/>
    <n v="190801"/>
    <m/>
    <n v="5"/>
    <n v="190801"/>
    <n v="100000"/>
  </r>
  <r>
    <x v="282"/>
    <x v="4"/>
    <m/>
    <x v="0"/>
    <x v="1"/>
    <x v="16"/>
    <n v="190801"/>
    <n v="190801"/>
    <m/>
    <n v="10"/>
    <n v="190801"/>
    <n v="350000"/>
  </r>
  <r>
    <x v="282"/>
    <x v="4"/>
    <m/>
    <x v="0"/>
    <x v="7"/>
    <x v="15"/>
    <n v="190801"/>
    <n v="190801"/>
    <m/>
    <n v="12"/>
    <n v="190801"/>
    <n v="240000"/>
  </r>
  <r>
    <x v="282"/>
    <x v="4"/>
    <m/>
    <x v="6"/>
    <x v="2"/>
    <x v="37"/>
    <n v="190801"/>
    <n v="190801"/>
    <m/>
    <n v="8"/>
    <n v="190801"/>
    <n v="160000"/>
  </r>
  <r>
    <x v="282"/>
    <x v="4"/>
    <m/>
    <x v="6"/>
    <x v="2"/>
    <x v="42"/>
    <n v="190801"/>
    <n v="190801"/>
    <m/>
    <n v="1"/>
    <n v="190801"/>
    <n v="35000"/>
  </r>
  <r>
    <x v="282"/>
    <x v="4"/>
    <m/>
    <x v="19"/>
    <x v="2"/>
    <x v="38"/>
    <n v="190801"/>
    <n v="190801"/>
    <m/>
    <n v="3"/>
    <n v="190801"/>
    <n v="30000"/>
  </r>
  <r>
    <x v="282"/>
    <x v="4"/>
    <m/>
    <x v="29"/>
    <x v="2"/>
    <x v="40"/>
    <n v="190801"/>
    <n v="190801"/>
    <m/>
    <n v="3"/>
    <n v="190801"/>
    <n v="105000"/>
  </r>
  <r>
    <x v="282"/>
    <x v="4"/>
    <m/>
    <x v="29"/>
    <x v="2"/>
    <x v="41"/>
    <n v="190801"/>
    <n v="190801"/>
    <m/>
    <n v="8"/>
    <n v="190801"/>
    <n v="360000"/>
  </r>
  <r>
    <x v="282"/>
    <x v="4"/>
    <m/>
    <x v="25"/>
    <x v="2"/>
    <x v="34"/>
    <n v="190801"/>
    <n v="190801"/>
    <m/>
    <n v="5"/>
    <n v="190801"/>
    <n v="495000"/>
  </r>
  <r>
    <x v="282"/>
    <x v="4"/>
    <m/>
    <x v="1"/>
    <x v="2"/>
    <x v="18"/>
    <n v="190801"/>
    <n v="190801"/>
    <m/>
    <n v="2"/>
    <n v="190801"/>
    <n v="40000"/>
  </r>
  <r>
    <x v="282"/>
    <x v="4"/>
    <m/>
    <x v="4"/>
    <x v="2"/>
    <x v="26"/>
    <n v="190801"/>
    <n v="190801"/>
    <m/>
    <n v="7"/>
    <n v="190801"/>
    <n v="28000"/>
  </r>
  <r>
    <x v="282"/>
    <x v="4"/>
    <m/>
    <x v="4"/>
    <x v="2"/>
    <x v="27"/>
    <n v="190801"/>
    <n v="190801"/>
    <m/>
    <n v="7"/>
    <n v="190801"/>
    <n v="140000"/>
  </r>
  <r>
    <x v="282"/>
    <x v="4"/>
    <m/>
    <x v="0"/>
    <x v="2"/>
    <x v="15"/>
    <n v="190801"/>
    <n v="190801"/>
    <m/>
    <n v="64"/>
    <n v="190801"/>
    <n v="1280000"/>
  </r>
  <r>
    <x v="282"/>
    <x v="4"/>
    <m/>
    <x v="0"/>
    <x v="2"/>
    <x v="16"/>
    <n v="190801"/>
    <n v="190801"/>
    <m/>
    <n v="46"/>
    <n v="190801"/>
    <n v="1610000"/>
  </r>
  <r>
    <x v="282"/>
    <x v="4"/>
    <m/>
    <x v="0"/>
    <x v="2"/>
    <x v="17"/>
    <n v="190801"/>
    <n v="190801"/>
    <m/>
    <n v="56"/>
    <n v="190801"/>
    <n v="1848000"/>
  </r>
  <r>
    <x v="282"/>
    <x v="4"/>
    <m/>
    <x v="0"/>
    <x v="2"/>
    <x v="19"/>
    <n v="190801"/>
    <n v="190801"/>
    <m/>
    <n v="61"/>
    <n v="190801"/>
    <n v="183000"/>
  </r>
  <r>
    <x v="282"/>
    <x v="4"/>
    <m/>
    <x v="5"/>
    <x v="2"/>
    <x v="28"/>
    <n v="190801"/>
    <n v="190801"/>
    <m/>
    <n v="16"/>
    <n v="190801"/>
    <n v="448000"/>
  </r>
  <r>
    <x v="282"/>
    <x v="4"/>
    <m/>
    <x v="22"/>
    <x v="2"/>
    <x v="29"/>
    <n v="190801"/>
    <n v="190801"/>
    <m/>
    <n v="8"/>
    <n v="190801"/>
    <n v="304000"/>
  </r>
  <r>
    <x v="282"/>
    <x v="4"/>
    <m/>
    <x v="19"/>
    <x v="2"/>
    <x v="22"/>
    <n v="190801"/>
    <n v="190801"/>
    <m/>
    <n v="4"/>
    <n v="190801"/>
    <n v="52000"/>
  </r>
  <r>
    <x v="282"/>
    <x v="4"/>
    <m/>
    <x v="19"/>
    <x v="2"/>
    <x v="24"/>
    <n v="190801"/>
    <n v="190801"/>
    <m/>
    <n v="1"/>
    <n v="190801"/>
    <n v="33000"/>
  </r>
  <r>
    <x v="282"/>
    <x v="4"/>
    <m/>
    <x v="0"/>
    <x v="4"/>
    <x v="15"/>
    <n v="190801"/>
    <n v="190801"/>
    <m/>
    <n v="11"/>
    <n v="190801"/>
    <n v="346500"/>
  </r>
  <r>
    <x v="282"/>
    <x v="4"/>
    <m/>
    <x v="0"/>
    <x v="4"/>
    <x v="16"/>
    <n v="190801"/>
    <n v="190801"/>
    <m/>
    <n v="3"/>
    <n v="190801"/>
    <n v="132000"/>
  </r>
  <r>
    <x v="282"/>
    <x v="4"/>
    <m/>
    <x v="5"/>
    <x v="4"/>
    <x v="28"/>
    <n v="190801"/>
    <n v="190801"/>
    <m/>
    <n v="2"/>
    <n v="190801"/>
    <n v="76000"/>
  </r>
  <r>
    <x v="282"/>
    <x v="4"/>
    <m/>
    <x v="0"/>
    <x v="3"/>
    <x v="15"/>
    <n v="190801"/>
    <n v="190801"/>
    <m/>
    <n v="4"/>
    <n v="190801"/>
    <n v="0"/>
  </r>
  <r>
    <x v="282"/>
    <x v="4"/>
    <m/>
    <x v="18"/>
    <x v="3"/>
    <x v="19"/>
    <n v="190801"/>
    <n v="190801"/>
    <m/>
    <n v="4"/>
    <n v="190801"/>
    <n v="0"/>
  </r>
  <r>
    <x v="282"/>
    <x v="4"/>
    <m/>
    <x v="0"/>
    <x v="9"/>
    <x v="15"/>
    <n v="190801"/>
    <n v="190801"/>
    <m/>
    <n v="5"/>
    <n v="190801"/>
    <n v="100000"/>
  </r>
  <r>
    <x v="283"/>
    <x v="1"/>
    <m/>
    <x v="0"/>
    <x v="1"/>
    <x v="15"/>
    <n v="190801"/>
    <n v="190801"/>
    <m/>
    <n v="2"/>
    <n v="190801"/>
    <n v="40000"/>
  </r>
  <r>
    <x v="283"/>
    <x v="1"/>
    <m/>
    <x v="0"/>
    <x v="1"/>
    <x v="16"/>
    <n v="190801"/>
    <n v="190801"/>
    <m/>
    <n v="11"/>
    <n v="190801"/>
    <n v="385000"/>
  </r>
  <r>
    <x v="283"/>
    <x v="1"/>
    <m/>
    <x v="0"/>
    <x v="7"/>
    <x v="15"/>
    <n v="190801"/>
    <n v="190801"/>
    <m/>
    <n v="6"/>
    <n v="190801"/>
    <n v="120000"/>
  </r>
  <r>
    <x v="283"/>
    <x v="1"/>
    <m/>
    <x v="6"/>
    <x v="2"/>
    <x v="37"/>
    <n v="190801"/>
    <n v="190801"/>
    <m/>
    <n v="9"/>
    <n v="190801"/>
    <n v="180000"/>
  </r>
  <r>
    <x v="283"/>
    <x v="1"/>
    <m/>
    <x v="6"/>
    <x v="2"/>
    <x v="42"/>
    <n v="190801"/>
    <n v="190801"/>
    <m/>
    <n v="1"/>
    <n v="190801"/>
    <n v="35000"/>
  </r>
  <r>
    <x v="283"/>
    <x v="1"/>
    <m/>
    <x v="19"/>
    <x v="2"/>
    <x v="38"/>
    <n v="190801"/>
    <n v="190801"/>
    <m/>
    <n v="3"/>
    <n v="190801"/>
    <n v="30000"/>
  </r>
  <r>
    <x v="283"/>
    <x v="1"/>
    <m/>
    <x v="29"/>
    <x v="2"/>
    <x v="40"/>
    <n v="190801"/>
    <n v="190801"/>
    <m/>
    <n v="2"/>
    <n v="190801"/>
    <n v="70000"/>
  </r>
  <r>
    <x v="283"/>
    <x v="1"/>
    <m/>
    <x v="25"/>
    <x v="2"/>
    <x v="34"/>
    <n v="190801"/>
    <n v="190801"/>
    <m/>
    <n v="3"/>
    <n v="190801"/>
    <n v="297000"/>
  </r>
  <r>
    <x v="283"/>
    <x v="1"/>
    <m/>
    <x v="1"/>
    <x v="2"/>
    <x v="18"/>
    <n v="190801"/>
    <n v="190801"/>
    <m/>
    <n v="1"/>
    <n v="190801"/>
    <n v="20000"/>
  </r>
  <r>
    <x v="283"/>
    <x v="1"/>
    <m/>
    <x v="1"/>
    <x v="2"/>
    <x v="21"/>
    <n v="190801"/>
    <n v="190801"/>
    <m/>
    <n v="1"/>
    <n v="190801"/>
    <n v="35000"/>
  </r>
  <r>
    <x v="283"/>
    <x v="1"/>
    <m/>
    <x v="4"/>
    <x v="2"/>
    <x v="26"/>
    <n v="190801"/>
    <n v="190801"/>
    <m/>
    <n v="7"/>
    <n v="190801"/>
    <n v="28000"/>
  </r>
  <r>
    <x v="283"/>
    <x v="1"/>
    <m/>
    <x v="4"/>
    <x v="2"/>
    <x v="27"/>
    <n v="190801"/>
    <n v="190801"/>
    <m/>
    <n v="2"/>
    <n v="190801"/>
    <n v="40000"/>
  </r>
  <r>
    <x v="283"/>
    <x v="1"/>
    <m/>
    <x v="0"/>
    <x v="2"/>
    <x v="15"/>
    <n v="190801"/>
    <n v="190801"/>
    <m/>
    <n v="57"/>
    <n v="190801"/>
    <n v="1140000"/>
  </r>
  <r>
    <x v="283"/>
    <x v="1"/>
    <m/>
    <x v="0"/>
    <x v="2"/>
    <x v="16"/>
    <n v="190801"/>
    <n v="190801"/>
    <m/>
    <n v="47"/>
    <n v="190801"/>
    <n v="1645000"/>
  </r>
  <r>
    <x v="283"/>
    <x v="1"/>
    <m/>
    <x v="0"/>
    <x v="2"/>
    <x v="17"/>
    <n v="190801"/>
    <n v="190801"/>
    <m/>
    <n v="145"/>
    <n v="190801"/>
    <n v="4785000"/>
  </r>
  <r>
    <x v="283"/>
    <x v="1"/>
    <m/>
    <x v="0"/>
    <x v="2"/>
    <x v="19"/>
    <n v="190801"/>
    <n v="190801"/>
    <m/>
    <n v="199"/>
    <n v="190801"/>
    <n v="597000"/>
  </r>
  <r>
    <x v="283"/>
    <x v="1"/>
    <m/>
    <x v="5"/>
    <x v="2"/>
    <x v="28"/>
    <n v="190801"/>
    <n v="190801"/>
    <m/>
    <n v="7"/>
    <n v="190801"/>
    <n v="196000"/>
  </r>
  <r>
    <x v="283"/>
    <x v="1"/>
    <m/>
    <x v="22"/>
    <x v="2"/>
    <x v="29"/>
    <n v="190801"/>
    <n v="190801"/>
    <m/>
    <n v="6"/>
    <n v="190801"/>
    <n v="228000"/>
  </r>
  <r>
    <x v="283"/>
    <x v="1"/>
    <m/>
    <x v="19"/>
    <x v="2"/>
    <x v="22"/>
    <n v="190801"/>
    <n v="190801"/>
    <m/>
    <n v="7"/>
    <n v="190801"/>
    <n v="91000"/>
  </r>
  <r>
    <x v="283"/>
    <x v="1"/>
    <m/>
    <x v="19"/>
    <x v="2"/>
    <x v="24"/>
    <n v="190801"/>
    <n v="190801"/>
    <m/>
    <n v="1"/>
    <n v="190801"/>
    <n v="33000"/>
  </r>
  <r>
    <x v="283"/>
    <x v="1"/>
    <m/>
    <x v="0"/>
    <x v="10"/>
    <x v="15"/>
    <n v="190801"/>
    <n v="190801"/>
    <m/>
    <n v="4"/>
    <n v="190801"/>
    <n v="126000"/>
  </r>
  <r>
    <x v="283"/>
    <x v="1"/>
    <m/>
    <x v="0"/>
    <x v="10"/>
    <x v="16"/>
    <n v="190801"/>
    <n v="190801"/>
    <m/>
    <n v="9"/>
    <n v="190801"/>
    <n v="396000"/>
  </r>
  <r>
    <x v="283"/>
    <x v="1"/>
    <m/>
    <x v="5"/>
    <x v="10"/>
    <x v="28"/>
    <n v="190801"/>
    <n v="190801"/>
    <m/>
    <n v="1"/>
    <n v="190801"/>
    <n v="38000"/>
  </r>
  <r>
    <x v="283"/>
    <x v="1"/>
    <m/>
    <x v="0"/>
    <x v="3"/>
    <x v="15"/>
    <n v="190801"/>
    <n v="190801"/>
    <m/>
    <n v="2"/>
    <n v="190801"/>
    <n v="0"/>
  </r>
  <r>
    <x v="283"/>
    <x v="1"/>
    <m/>
    <x v="18"/>
    <x v="3"/>
    <x v="19"/>
    <n v="190801"/>
    <n v="190801"/>
    <m/>
    <n v="2"/>
    <n v="190801"/>
    <n v="0"/>
  </r>
  <r>
    <x v="283"/>
    <x v="1"/>
    <m/>
    <x v="0"/>
    <x v="9"/>
    <x v="15"/>
    <n v="190801"/>
    <n v="190801"/>
    <m/>
    <n v="7"/>
    <n v="190801"/>
    <n v="140000"/>
  </r>
  <r>
    <x v="283"/>
    <x v="1"/>
    <m/>
    <x v="6"/>
    <x v="9"/>
    <x v="37"/>
    <n v="190801"/>
    <n v="190801"/>
    <m/>
    <n v="2"/>
    <n v="190801"/>
    <n v="40000"/>
  </r>
  <r>
    <x v="284"/>
    <x v="0"/>
    <m/>
    <x v="0"/>
    <x v="1"/>
    <x v="15"/>
    <n v="190801"/>
    <n v="190801"/>
    <m/>
    <n v="2"/>
    <n v="190801"/>
    <n v="40000"/>
  </r>
  <r>
    <x v="284"/>
    <x v="0"/>
    <m/>
    <x v="0"/>
    <x v="1"/>
    <x v="16"/>
    <n v="190801"/>
    <n v="190801"/>
    <m/>
    <n v="5"/>
    <n v="190801"/>
    <n v="175000"/>
  </r>
  <r>
    <x v="284"/>
    <x v="0"/>
    <m/>
    <x v="0"/>
    <x v="7"/>
    <x v="15"/>
    <n v="190801"/>
    <n v="190801"/>
    <m/>
    <n v="27"/>
    <n v="190801"/>
    <n v="540000"/>
  </r>
  <r>
    <x v="284"/>
    <x v="0"/>
    <m/>
    <x v="6"/>
    <x v="2"/>
    <x v="37"/>
    <n v="190801"/>
    <n v="190801"/>
    <m/>
    <n v="7"/>
    <n v="190801"/>
    <n v="140000"/>
  </r>
  <r>
    <x v="284"/>
    <x v="0"/>
    <m/>
    <x v="6"/>
    <x v="2"/>
    <x v="42"/>
    <n v="190801"/>
    <n v="190801"/>
    <m/>
    <n v="4"/>
    <n v="190801"/>
    <n v="140000"/>
  </r>
  <r>
    <x v="284"/>
    <x v="0"/>
    <m/>
    <x v="19"/>
    <x v="2"/>
    <x v="38"/>
    <n v="190801"/>
    <n v="190801"/>
    <m/>
    <n v="7"/>
    <n v="190801"/>
    <n v="70000"/>
  </r>
  <r>
    <x v="284"/>
    <x v="0"/>
    <m/>
    <x v="29"/>
    <x v="2"/>
    <x v="40"/>
    <n v="190801"/>
    <n v="190801"/>
    <m/>
    <n v="6"/>
    <n v="190801"/>
    <n v="210000"/>
  </r>
  <r>
    <x v="284"/>
    <x v="0"/>
    <m/>
    <x v="29"/>
    <x v="2"/>
    <x v="41"/>
    <n v="190801"/>
    <n v="190801"/>
    <m/>
    <n v="6"/>
    <n v="190801"/>
    <n v="270000"/>
  </r>
  <r>
    <x v="284"/>
    <x v="0"/>
    <m/>
    <x v="25"/>
    <x v="2"/>
    <x v="34"/>
    <n v="190801"/>
    <n v="190801"/>
    <m/>
    <n v="5"/>
    <n v="190801"/>
    <n v="495000"/>
  </r>
  <r>
    <x v="284"/>
    <x v="0"/>
    <m/>
    <x v="1"/>
    <x v="2"/>
    <x v="18"/>
    <n v="190801"/>
    <n v="190801"/>
    <m/>
    <n v="2"/>
    <n v="190801"/>
    <n v="40000"/>
  </r>
  <r>
    <x v="284"/>
    <x v="0"/>
    <m/>
    <x v="4"/>
    <x v="2"/>
    <x v="27"/>
    <n v="190801"/>
    <n v="190801"/>
    <m/>
    <n v="1"/>
    <n v="190801"/>
    <n v="20000"/>
  </r>
  <r>
    <x v="284"/>
    <x v="0"/>
    <m/>
    <x v="0"/>
    <x v="2"/>
    <x v="15"/>
    <n v="190801"/>
    <n v="190801"/>
    <m/>
    <n v="67"/>
    <n v="190801"/>
    <n v="1340000"/>
  </r>
  <r>
    <x v="284"/>
    <x v="0"/>
    <m/>
    <x v="0"/>
    <x v="2"/>
    <x v="16"/>
    <n v="190801"/>
    <n v="190801"/>
    <m/>
    <n v="53"/>
    <n v="190801"/>
    <n v="1855000"/>
  </r>
  <r>
    <x v="284"/>
    <x v="0"/>
    <m/>
    <x v="0"/>
    <x v="2"/>
    <x v="17"/>
    <n v="190801"/>
    <n v="190801"/>
    <m/>
    <n v="45"/>
    <n v="190801"/>
    <n v="1485000"/>
  </r>
  <r>
    <x v="284"/>
    <x v="0"/>
    <m/>
    <x v="0"/>
    <x v="2"/>
    <x v="19"/>
    <n v="190801"/>
    <n v="190801"/>
    <m/>
    <n v="51"/>
    <n v="190801"/>
    <n v="153000"/>
  </r>
  <r>
    <x v="284"/>
    <x v="0"/>
    <m/>
    <x v="5"/>
    <x v="2"/>
    <x v="28"/>
    <n v="190801"/>
    <n v="190801"/>
    <m/>
    <n v="16"/>
    <n v="190801"/>
    <n v="448000"/>
  </r>
  <r>
    <x v="284"/>
    <x v="0"/>
    <m/>
    <x v="22"/>
    <x v="2"/>
    <x v="29"/>
    <n v="190801"/>
    <n v="190801"/>
    <m/>
    <n v="9"/>
    <n v="190801"/>
    <n v="342000"/>
  </r>
  <r>
    <x v="284"/>
    <x v="0"/>
    <m/>
    <x v="19"/>
    <x v="2"/>
    <x v="22"/>
    <n v="190801"/>
    <n v="190801"/>
    <m/>
    <n v="4"/>
    <n v="190801"/>
    <n v="52000"/>
  </r>
  <r>
    <x v="284"/>
    <x v="0"/>
    <m/>
    <x v="19"/>
    <x v="2"/>
    <x v="23"/>
    <n v="190801"/>
    <n v="190801"/>
    <m/>
    <n v="5"/>
    <n v="190801"/>
    <n v="120000"/>
  </r>
  <r>
    <x v="284"/>
    <x v="0"/>
    <m/>
    <x v="0"/>
    <x v="10"/>
    <x v="15"/>
    <n v="190801"/>
    <n v="190801"/>
    <m/>
    <n v="7"/>
    <n v="190801"/>
    <n v="220500"/>
  </r>
  <r>
    <x v="284"/>
    <x v="0"/>
    <m/>
    <x v="0"/>
    <x v="10"/>
    <x v="16"/>
    <n v="190801"/>
    <n v="190801"/>
    <m/>
    <n v="4"/>
    <n v="190801"/>
    <n v="176000"/>
  </r>
  <r>
    <x v="284"/>
    <x v="0"/>
    <m/>
    <x v="1"/>
    <x v="10"/>
    <x v="18"/>
    <n v="190801"/>
    <n v="190801"/>
    <m/>
    <n v="1"/>
    <n v="190801"/>
    <n v="31500"/>
  </r>
  <r>
    <x v="284"/>
    <x v="0"/>
    <m/>
    <x v="0"/>
    <x v="3"/>
    <x v="15"/>
    <n v="190801"/>
    <n v="190801"/>
    <m/>
    <n v="3"/>
    <n v="190801"/>
    <n v="0"/>
  </r>
  <r>
    <x v="284"/>
    <x v="0"/>
    <m/>
    <x v="18"/>
    <x v="3"/>
    <x v="19"/>
    <n v="190801"/>
    <n v="190801"/>
    <m/>
    <n v="3"/>
    <n v="190801"/>
    <n v="0"/>
  </r>
  <r>
    <x v="284"/>
    <x v="0"/>
    <m/>
    <x v="6"/>
    <x v="9"/>
    <x v="37"/>
    <n v="190801"/>
    <n v="190801"/>
    <m/>
    <n v="2"/>
    <n v="190801"/>
    <n v="40000"/>
  </r>
  <r>
    <x v="284"/>
    <x v="0"/>
    <m/>
    <x v="0"/>
    <x v="9"/>
    <x v="15"/>
    <n v="190801"/>
    <n v="190801"/>
    <m/>
    <n v="5"/>
    <n v="190801"/>
    <n v="100000"/>
  </r>
  <r>
    <x v="284"/>
    <x v="0"/>
    <m/>
    <x v="5"/>
    <x v="9"/>
    <x v="28"/>
    <n v="190801"/>
    <n v="190801"/>
    <m/>
    <n v="1"/>
    <n v="190801"/>
    <n v="28000"/>
  </r>
  <r>
    <x v="285"/>
    <x v="2"/>
    <m/>
    <x v="0"/>
    <x v="1"/>
    <x v="15"/>
    <n v="190801"/>
    <n v="190801"/>
    <m/>
    <n v="1"/>
    <n v="190801"/>
    <n v="20000"/>
  </r>
  <r>
    <x v="285"/>
    <x v="2"/>
    <m/>
    <x v="0"/>
    <x v="1"/>
    <x v="16"/>
    <n v="190801"/>
    <n v="190801"/>
    <m/>
    <n v="2"/>
    <n v="190801"/>
    <n v="70000"/>
  </r>
  <r>
    <x v="285"/>
    <x v="2"/>
    <m/>
    <x v="0"/>
    <x v="5"/>
    <x v="51"/>
    <n v="190801"/>
    <n v="190801"/>
    <m/>
    <n v="60"/>
    <n v="190801"/>
    <n v="675000"/>
  </r>
  <r>
    <x v="285"/>
    <x v="2"/>
    <m/>
    <x v="0"/>
    <x v="7"/>
    <x v="15"/>
    <n v="190801"/>
    <n v="190801"/>
    <m/>
    <n v="11"/>
    <n v="190801"/>
    <n v="220000"/>
  </r>
  <r>
    <x v="285"/>
    <x v="2"/>
    <m/>
    <x v="6"/>
    <x v="2"/>
    <x v="37"/>
    <n v="190801"/>
    <n v="190801"/>
    <m/>
    <n v="4"/>
    <n v="190801"/>
    <n v="80000"/>
  </r>
  <r>
    <x v="285"/>
    <x v="2"/>
    <m/>
    <x v="6"/>
    <x v="2"/>
    <x v="42"/>
    <n v="190801"/>
    <n v="190801"/>
    <m/>
    <n v="3"/>
    <n v="190801"/>
    <n v="105000"/>
  </r>
  <r>
    <x v="285"/>
    <x v="2"/>
    <m/>
    <x v="19"/>
    <x v="2"/>
    <x v="38"/>
    <n v="190801"/>
    <n v="190801"/>
    <m/>
    <n v="1"/>
    <n v="190801"/>
    <n v="10000"/>
  </r>
  <r>
    <x v="285"/>
    <x v="2"/>
    <m/>
    <x v="29"/>
    <x v="2"/>
    <x v="40"/>
    <n v="190801"/>
    <n v="190801"/>
    <m/>
    <n v="2"/>
    <n v="190801"/>
    <n v="70000"/>
  </r>
  <r>
    <x v="285"/>
    <x v="2"/>
    <m/>
    <x v="29"/>
    <x v="2"/>
    <x v="41"/>
    <n v="190801"/>
    <n v="190801"/>
    <m/>
    <n v="1"/>
    <n v="190801"/>
    <n v="45000"/>
  </r>
  <r>
    <x v="285"/>
    <x v="2"/>
    <m/>
    <x v="25"/>
    <x v="2"/>
    <x v="34"/>
    <n v="190801"/>
    <n v="190801"/>
    <m/>
    <n v="8"/>
    <n v="190801"/>
    <n v="792000"/>
  </r>
  <r>
    <x v="285"/>
    <x v="2"/>
    <m/>
    <x v="1"/>
    <x v="2"/>
    <x v="18"/>
    <n v="190801"/>
    <n v="190801"/>
    <m/>
    <n v="4"/>
    <n v="190801"/>
    <n v="80000"/>
  </r>
  <r>
    <x v="285"/>
    <x v="2"/>
    <m/>
    <x v="1"/>
    <x v="2"/>
    <x v="21"/>
    <n v="190801"/>
    <n v="190801"/>
    <m/>
    <n v="1"/>
    <n v="190801"/>
    <n v="35000"/>
  </r>
  <r>
    <x v="285"/>
    <x v="2"/>
    <m/>
    <x v="0"/>
    <x v="2"/>
    <x v="15"/>
    <n v="190801"/>
    <n v="190801"/>
    <m/>
    <n v="46"/>
    <n v="190801"/>
    <n v="920000"/>
  </r>
  <r>
    <x v="285"/>
    <x v="2"/>
    <m/>
    <x v="0"/>
    <x v="2"/>
    <x v="16"/>
    <n v="190801"/>
    <n v="190801"/>
    <m/>
    <n v="39"/>
    <n v="190801"/>
    <n v="1365000"/>
  </r>
  <r>
    <x v="285"/>
    <x v="2"/>
    <m/>
    <x v="0"/>
    <x v="2"/>
    <x v="17"/>
    <n v="190801"/>
    <n v="190801"/>
    <m/>
    <n v="70"/>
    <n v="190801"/>
    <n v="2310000"/>
  </r>
  <r>
    <x v="285"/>
    <x v="2"/>
    <m/>
    <x v="0"/>
    <x v="2"/>
    <x v="19"/>
    <n v="190801"/>
    <n v="190801"/>
    <m/>
    <n v="54"/>
    <n v="190801"/>
    <n v="162000"/>
  </r>
  <r>
    <x v="285"/>
    <x v="2"/>
    <m/>
    <x v="5"/>
    <x v="2"/>
    <x v="28"/>
    <n v="190801"/>
    <n v="190801"/>
    <m/>
    <n v="17"/>
    <n v="190801"/>
    <n v="476000"/>
  </r>
  <r>
    <x v="285"/>
    <x v="2"/>
    <m/>
    <x v="22"/>
    <x v="2"/>
    <x v="29"/>
    <n v="190801"/>
    <n v="190801"/>
    <m/>
    <n v="3"/>
    <n v="190801"/>
    <n v="114000"/>
  </r>
  <r>
    <x v="285"/>
    <x v="2"/>
    <m/>
    <x v="19"/>
    <x v="2"/>
    <x v="22"/>
    <n v="190801"/>
    <n v="190801"/>
    <m/>
    <n v="4"/>
    <n v="190801"/>
    <n v="52000"/>
  </r>
  <r>
    <x v="285"/>
    <x v="2"/>
    <m/>
    <x v="19"/>
    <x v="2"/>
    <x v="23"/>
    <n v="190801"/>
    <n v="190801"/>
    <m/>
    <n v="4"/>
    <n v="190801"/>
    <n v="96000"/>
  </r>
  <r>
    <x v="285"/>
    <x v="2"/>
    <m/>
    <x v="19"/>
    <x v="2"/>
    <x v="24"/>
    <n v="190801"/>
    <n v="190801"/>
    <m/>
    <n v="2"/>
    <n v="190801"/>
    <n v="66000"/>
  </r>
  <r>
    <x v="285"/>
    <x v="2"/>
    <m/>
    <x v="0"/>
    <x v="10"/>
    <x v="15"/>
    <n v="190801"/>
    <n v="190801"/>
    <m/>
    <n v="5"/>
    <n v="190801"/>
    <n v="157500"/>
  </r>
  <r>
    <x v="285"/>
    <x v="2"/>
    <m/>
    <x v="0"/>
    <x v="10"/>
    <x v="16"/>
    <n v="190801"/>
    <n v="190801"/>
    <m/>
    <n v="3"/>
    <n v="190801"/>
    <n v="132000"/>
  </r>
  <r>
    <x v="285"/>
    <x v="2"/>
    <m/>
    <x v="5"/>
    <x v="10"/>
    <x v="28"/>
    <n v="190801"/>
    <n v="190801"/>
    <m/>
    <n v="1"/>
    <n v="190801"/>
    <n v="38000"/>
  </r>
  <r>
    <x v="285"/>
    <x v="2"/>
    <m/>
    <x v="19"/>
    <x v="10"/>
    <x v="22"/>
    <n v="190801"/>
    <n v="190801"/>
    <m/>
    <n v="1"/>
    <n v="190801"/>
    <n v="25000"/>
  </r>
  <r>
    <x v="285"/>
    <x v="2"/>
    <m/>
    <x v="22"/>
    <x v="10"/>
    <x v="29"/>
    <n v="190801"/>
    <n v="190801"/>
    <m/>
    <n v="1"/>
    <n v="190801"/>
    <n v="43000"/>
  </r>
  <r>
    <x v="285"/>
    <x v="2"/>
    <m/>
    <x v="0"/>
    <x v="9"/>
    <x v="15"/>
    <n v="190801"/>
    <n v="190801"/>
    <m/>
    <n v="1"/>
    <n v="190801"/>
    <n v="20000"/>
  </r>
  <r>
    <x v="286"/>
    <x v="5"/>
    <m/>
    <x v="0"/>
    <x v="7"/>
    <x v="15"/>
    <n v="190801"/>
    <n v="190801"/>
    <m/>
    <n v="8"/>
    <n v="190801"/>
    <n v="160000"/>
  </r>
  <r>
    <x v="286"/>
    <x v="5"/>
    <m/>
    <x v="6"/>
    <x v="2"/>
    <x v="37"/>
    <n v="190801"/>
    <n v="190801"/>
    <m/>
    <n v="4"/>
    <n v="190801"/>
    <n v="80000"/>
  </r>
  <r>
    <x v="286"/>
    <x v="5"/>
    <m/>
    <x v="6"/>
    <x v="2"/>
    <x v="42"/>
    <n v="190801"/>
    <n v="190801"/>
    <m/>
    <n v="3"/>
    <n v="190801"/>
    <n v="105000"/>
  </r>
  <r>
    <x v="286"/>
    <x v="5"/>
    <m/>
    <x v="19"/>
    <x v="2"/>
    <x v="38"/>
    <n v="190801"/>
    <n v="190801"/>
    <m/>
    <n v="1"/>
    <n v="190801"/>
    <n v="10000"/>
  </r>
  <r>
    <x v="286"/>
    <x v="5"/>
    <m/>
    <x v="29"/>
    <x v="2"/>
    <x v="40"/>
    <n v="190801"/>
    <n v="190801"/>
    <m/>
    <n v="3"/>
    <n v="190801"/>
    <n v="105000"/>
  </r>
  <r>
    <x v="286"/>
    <x v="5"/>
    <m/>
    <x v="29"/>
    <x v="2"/>
    <x v="41"/>
    <n v="190801"/>
    <n v="190801"/>
    <m/>
    <n v="5"/>
    <n v="190801"/>
    <n v="225000"/>
  </r>
  <r>
    <x v="286"/>
    <x v="5"/>
    <m/>
    <x v="25"/>
    <x v="2"/>
    <x v="34"/>
    <n v="190801"/>
    <n v="190801"/>
    <m/>
    <n v="4"/>
    <n v="190801"/>
    <n v="396000"/>
  </r>
  <r>
    <x v="286"/>
    <x v="5"/>
    <m/>
    <x v="1"/>
    <x v="2"/>
    <x v="18"/>
    <n v="190801"/>
    <n v="190801"/>
    <m/>
    <n v="1"/>
    <n v="190801"/>
    <n v="20000"/>
  </r>
  <r>
    <x v="286"/>
    <x v="5"/>
    <m/>
    <x v="0"/>
    <x v="2"/>
    <x v="15"/>
    <n v="190801"/>
    <n v="190801"/>
    <m/>
    <n v="42"/>
    <n v="190801"/>
    <n v="840000"/>
  </r>
  <r>
    <x v="286"/>
    <x v="5"/>
    <m/>
    <x v="0"/>
    <x v="2"/>
    <x v="16"/>
    <n v="190801"/>
    <n v="190801"/>
    <m/>
    <n v="28"/>
    <n v="190801"/>
    <n v="980000"/>
  </r>
  <r>
    <x v="286"/>
    <x v="5"/>
    <m/>
    <x v="0"/>
    <x v="2"/>
    <x v="17"/>
    <n v="190801"/>
    <n v="190801"/>
    <m/>
    <n v="48"/>
    <n v="190801"/>
    <n v="1584000"/>
  </r>
  <r>
    <x v="286"/>
    <x v="5"/>
    <m/>
    <x v="0"/>
    <x v="2"/>
    <x v="19"/>
    <n v="190801"/>
    <n v="190801"/>
    <m/>
    <n v="38"/>
    <n v="190801"/>
    <n v="114000"/>
  </r>
  <r>
    <x v="286"/>
    <x v="5"/>
    <m/>
    <x v="5"/>
    <x v="2"/>
    <x v="28"/>
    <n v="190801"/>
    <n v="190801"/>
    <m/>
    <n v="11"/>
    <n v="190801"/>
    <n v="308000"/>
  </r>
  <r>
    <x v="286"/>
    <x v="5"/>
    <m/>
    <x v="22"/>
    <x v="2"/>
    <x v="29"/>
    <n v="190801"/>
    <n v="190801"/>
    <m/>
    <n v="8"/>
    <n v="190801"/>
    <n v="304000"/>
  </r>
  <r>
    <x v="286"/>
    <x v="5"/>
    <m/>
    <x v="19"/>
    <x v="2"/>
    <x v="22"/>
    <n v="190801"/>
    <n v="190801"/>
    <m/>
    <n v="9"/>
    <n v="190801"/>
    <n v="117000"/>
  </r>
  <r>
    <x v="286"/>
    <x v="5"/>
    <m/>
    <x v="19"/>
    <x v="2"/>
    <x v="24"/>
    <n v="190801"/>
    <n v="190801"/>
    <m/>
    <n v="1"/>
    <n v="190801"/>
    <n v="33000"/>
  </r>
  <r>
    <x v="287"/>
    <x v="6"/>
    <m/>
    <x v="0"/>
    <x v="7"/>
    <x v="15"/>
    <n v="190801"/>
    <n v="190801"/>
    <m/>
    <n v="18"/>
    <n v="190801"/>
    <n v="360000"/>
  </r>
  <r>
    <x v="287"/>
    <x v="6"/>
    <m/>
    <x v="6"/>
    <x v="2"/>
    <x v="37"/>
    <n v="190801"/>
    <n v="190801"/>
    <m/>
    <n v="4"/>
    <n v="190801"/>
    <n v="80000"/>
  </r>
  <r>
    <x v="287"/>
    <x v="6"/>
    <m/>
    <x v="6"/>
    <x v="2"/>
    <x v="42"/>
    <n v="190801"/>
    <n v="190801"/>
    <m/>
    <n v="4"/>
    <n v="190801"/>
    <n v="140000"/>
  </r>
  <r>
    <x v="287"/>
    <x v="6"/>
    <m/>
    <x v="19"/>
    <x v="2"/>
    <x v="38"/>
    <n v="190801"/>
    <n v="190801"/>
    <m/>
    <n v="3"/>
    <n v="190801"/>
    <n v="30000"/>
  </r>
  <r>
    <x v="287"/>
    <x v="6"/>
    <m/>
    <x v="29"/>
    <x v="2"/>
    <x v="40"/>
    <n v="190801"/>
    <n v="190801"/>
    <m/>
    <n v="2"/>
    <n v="190801"/>
    <n v="70000"/>
  </r>
  <r>
    <x v="287"/>
    <x v="6"/>
    <m/>
    <x v="29"/>
    <x v="2"/>
    <x v="41"/>
    <n v="190801"/>
    <n v="190801"/>
    <m/>
    <n v="4"/>
    <n v="190801"/>
    <n v="180000"/>
  </r>
  <r>
    <x v="287"/>
    <x v="6"/>
    <m/>
    <x v="25"/>
    <x v="2"/>
    <x v="34"/>
    <n v="190801"/>
    <n v="190801"/>
    <m/>
    <n v="9"/>
    <n v="190801"/>
    <n v="891000"/>
  </r>
  <r>
    <x v="287"/>
    <x v="6"/>
    <m/>
    <x v="1"/>
    <x v="2"/>
    <x v="18"/>
    <n v="190801"/>
    <n v="190801"/>
    <m/>
    <n v="1"/>
    <n v="190801"/>
    <n v="20000"/>
  </r>
  <r>
    <x v="287"/>
    <x v="6"/>
    <m/>
    <x v="1"/>
    <x v="2"/>
    <x v="21"/>
    <n v="190801"/>
    <n v="190801"/>
    <m/>
    <n v="1"/>
    <n v="190801"/>
    <n v="35000"/>
  </r>
  <r>
    <x v="287"/>
    <x v="6"/>
    <m/>
    <x v="0"/>
    <x v="2"/>
    <x v="15"/>
    <n v="190801"/>
    <n v="190801"/>
    <m/>
    <n v="84"/>
    <n v="190801"/>
    <n v="1680000"/>
  </r>
  <r>
    <x v="287"/>
    <x v="6"/>
    <m/>
    <x v="0"/>
    <x v="2"/>
    <x v="16"/>
    <n v="190801"/>
    <n v="190801"/>
    <m/>
    <n v="57"/>
    <n v="190801"/>
    <n v="1995000"/>
  </r>
  <r>
    <x v="287"/>
    <x v="6"/>
    <m/>
    <x v="0"/>
    <x v="2"/>
    <x v="17"/>
    <n v="190801"/>
    <n v="190801"/>
    <m/>
    <n v="64"/>
    <n v="190801"/>
    <n v="2112000"/>
  </r>
  <r>
    <x v="287"/>
    <x v="6"/>
    <m/>
    <x v="0"/>
    <x v="2"/>
    <x v="19"/>
    <n v="190801"/>
    <n v="190801"/>
    <m/>
    <n v="109"/>
    <n v="190801"/>
    <n v="327000"/>
  </r>
  <r>
    <x v="287"/>
    <x v="6"/>
    <m/>
    <x v="5"/>
    <x v="2"/>
    <x v="28"/>
    <n v="190801"/>
    <n v="190801"/>
    <m/>
    <n v="18"/>
    <n v="190801"/>
    <n v="504000"/>
  </r>
  <r>
    <x v="287"/>
    <x v="6"/>
    <m/>
    <x v="22"/>
    <x v="2"/>
    <x v="29"/>
    <n v="190801"/>
    <n v="190801"/>
    <m/>
    <n v="4"/>
    <n v="190801"/>
    <n v="152000"/>
  </r>
  <r>
    <x v="287"/>
    <x v="6"/>
    <m/>
    <x v="19"/>
    <x v="2"/>
    <x v="22"/>
    <n v="190801"/>
    <n v="190801"/>
    <m/>
    <n v="13"/>
    <n v="190801"/>
    <n v="169000"/>
  </r>
  <r>
    <x v="287"/>
    <x v="6"/>
    <m/>
    <x v="19"/>
    <x v="2"/>
    <x v="23"/>
    <n v="190801"/>
    <n v="190801"/>
    <m/>
    <n v="2"/>
    <n v="190801"/>
    <n v="48000"/>
  </r>
  <r>
    <x v="287"/>
    <x v="6"/>
    <m/>
    <x v="19"/>
    <x v="2"/>
    <x v="24"/>
    <n v="190801"/>
    <n v="190801"/>
    <m/>
    <n v="1"/>
    <n v="190801"/>
    <n v="33000"/>
  </r>
  <r>
    <x v="287"/>
    <x v="6"/>
    <m/>
    <x v="0"/>
    <x v="6"/>
    <x v="15"/>
    <n v="190801"/>
    <n v="190801"/>
    <m/>
    <n v="552"/>
    <n v="190801"/>
    <n v="5005536"/>
  </r>
  <r>
    <x v="287"/>
    <x v="6"/>
    <m/>
    <x v="0"/>
    <x v="6"/>
    <x v="17"/>
    <n v="190801"/>
    <n v="190801"/>
    <m/>
    <n v="7"/>
    <n v="190801"/>
    <n v="110726"/>
  </r>
  <r>
    <x v="287"/>
    <x v="6"/>
    <m/>
    <x v="4"/>
    <x v="6"/>
    <x v="26"/>
    <n v="190801"/>
    <n v="190801"/>
    <m/>
    <n v="509"/>
    <n v="190801"/>
    <n v="546157"/>
  </r>
  <r>
    <x v="287"/>
    <x v="6"/>
    <m/>
    <x v="26"/>
    <x v="6"/>
    <x v="35"/>
    <n v="190801"/>
    <n v="190801"/>
    <m/>
    <n v="55"/>
    <n v="190801"/>
    <n v="942205"/>
  </r>
  <r>
    <x v="287"/>
    <x v="6"/>
    <m/>
    <x v="22"/>
    <x v="6"/>
    <x v="29"/>
    <n v="190801"/>
    <n v="190801"/>
    <m/>
    <n v="15"/>
    <n v="190801"/>
    <n v="295365"/>
  </r>
  <r>
    <x v="287"/>
    <x v="6"/>
    <m/>
    <x v="24"/>
    <x v="6"/>
    <x v="31"/>
    <n v="190801"/>
    <n v="190801"/>
    <m/>
    <n v="126"/>
    <n v="190801"/>
    <n v="1874502"/>
  </r>
  <r>
    <x v="287"/>
    <x v="6"/>
    <m/>
    <x v="23"/>
    <x v="6"/>
    <x v="30"/>
    <n v="190801"/>
    <n v="190801"/>
    <m/>
    <n v="168"/>
    <n v="190801"/>
    <n v="1169952"/>
  </r>
  <r>
    <x v="287"/>
    <x v="6"/>
    <m/>
    <x v="20"/>
    <x v="6"/>
    <x v="25"/>
    <n v="190801"/>
    <n v="190801"/>
    <m/>
    <n v="1"/>
    <n v="190801"/>
    <n v="9716"/>
  </r>
  <r>
    <x v="287"/>
    <x v="6"/>
    <m/>
    <x v="19"/>
    <x v="6"/>
    <x v="22"/>
    <n v="190801"/>
    <n v="190801"/>
    <m/>
    <n v="11"/>
    <n v="190801"/>
    <n v="74701"/>
  </r>
  <r>
    <x v="287"/>
    <x v="6"/>
    <m/>
    <x v="27"/>
    <x v="6"/>
    <x v="36"/>
    <n v="190801"/>
    <n v="190801"/>
    <m/>
    <n v="77"/>
    <n v="190801"/>
    <n v="728189"/>
  </r>
  <r>
    <x v="287"/>
    <x v="6"/>
    <m/>
    <x v="6"/>
    <x v="6"/>
    <x v="37"/>
    <n v="190801"/>
    <n v="190801"/>
    <m/>
    <n v="27"/>
    <n v="190801"/>
    <n v="270000"/>
  </r>
  <r>
    <x v="287"/>
    <x v="6"/>
    <m/>
    <x v="28"/>
    <x v="6"/>
    <x v="39"/>
    <n v="190801"/>
    <n v="190801"/>
    <m/>
    <n v="392"/>
    <n v="190801"/>
    <n v="6200656"/>
  </r>
  <r>
    <x v="288"/>
    <x v="3"/>
    <m/>
    <x v="0"/>
    <x v="1"/>
    <x v="15"/>
    <n v="190801"/>
    <n v="190801"/>
    <m/>
    <n v="1"/>
    <n v="190801"/>
    <n v="20000"/>
  </r>
  <r>
    <x v="288"/>
    <x v="3"/>
    <m/>
    <x v="0"/>
    <x v="1"/>
    <x v="16"/>
    <n v="190801"/>
    <n v="190801"/>
    <m/>
    <n v="15"/>
    <n v="190801"/>
    <n v="525000"/>
  </r>
  <r>
    <x v="288"/>
    <x v="3"/>
    <m/>
    <x v="0"/>
    <x v="7"/>
    <x v="15"/>
    <n v="190801"/>
    <n v="190801"/>
    <m/>
    <n v="13"/>
    <n v="190801"/>
    <n v="260000"/>
  </r>
  <r>
    <x v="288"/>
    <x v="3"/>
    <m/>
    <x v="6"/>
    <x v="2"/>
    <x v="37"/>
    <n v="190801"/>
    <n v="190801"/>
    <m/>
    <n v="7"/>
    <n v="190801"/>
    <n v="140000"/>
  </r>
  <r>
    <x v="288"/>
    <x v="3"/>
    <m/>
    <x v="6"/>
    <x v="2"/>
    <x v="42"/>
    <n v="190801"/>
    <n v="190801"/>
    <m/>
    <n v="2"/>
    <n v="190801"/>
    <n v="70000"/>
  </r>
  <r>
    <x v="288"/>
    <x v="3"/>
    <m/>
    <x v="29"/>
    <x v="2"/>
    <x v="40"/>
    <n v="190801"/>
    <n v="190801"/>
    <m/>
    <n v="9"/>
    <n v="190801"/>
    <n v="315000"/>
  </r>
  <r>
    <x v="288"/>
    <x v="3"/>
    <m/>
    <x v="29"/>
    <x v="2"/>
    <x v="41"/>
    <n v="190801"/>
    <n v="190801"/>
    <m/>
    <n v="2"/>
    <n v="190801"/>
    <n v="90000"/>
  </r>
  <r>
    <x v="288"/>
    <x v="3"/>
    <m/>
    <x v="25"/>
    <x v="2"/>
    <x v="34"/>
    <n v="190801"/>
    <n v="190801"/>
    <m/>
    <n v="3"/>
    <n v="190801"/>
    <n v="297000"/>
  </r>
  <r>
    <x v="288"/>
    <x v="3"/>
    <m/>
    <x v="1"/>
    <x v="2"/>
    <x v="18"/>
    <n v="190801"/>
    <n v="190801"/>
    <m/>
    <n v="1"/>
    <n v="190801"/>
    <n v="20000"/>
  </r>
  <r>
    <x v="288"/>
    <x v="3"/>
    <m/>
    <x v="0"/>
    <x v="2"/>
    <x v="15"/>
    <n v="190801"/>
    <n v="190801"/>
    <m/>
    <n v="93"/>
    <n v="190801"/>
    <n v="1860000"/>
  </r>
  <r>
    <x v="288"/>
    <x v="3"/>
    <m/>
    <x v="0"/>
    <x v="2"/>
    <x v="16"/>
    <n v="190801"/>
    <n v="190801"/>
    <m/>
    <n v="109"/>
    <n v="190801"/>
    <n v="3815000"/>
  </r>
  <r>
    <x v="288"/>
    <x v="3"/>
    <m/>
    <x v="0"/>
    <x v="2"/>
    <x v="17"/>
    <n v="190801"/>
    <n v="190801"/>
    <m/>
    <n v="61"/>
    <n v="190801"/>
    <n v="2013000"/>
  </r>
  <r>
    <x v="288"/>
    <x v="3"/>
    <m/>
    <x v="0"/>
    <x v="2"/>
    <x v="19"/>
    <n v="190801"/>
    <n v="190801"/>
    <m/>
    <n v="102"/>
    <n v="190801"/>
    <n v="306000"/>
  </r>
  <r>
    <x v="288"/>
    <x v="3"/>
    <m/>
    <x v="5"/>
    <x v="2"/>
    <x v="28"/>
    <n v="190801"/>
    <n v="190801"/>
    <m/>
    <n v="31"/>
    <n v="190801"/>
    <n v="868000"/>
  </r>
  <r>
    <x v="288"/>
    <x v="3"/>
    <m/>
    <x v="22"/>
    <x v="2"/>
    <x v="29"/>
    <n v="190801"/>
    <n v="190801"/>
    <m/>
    <n v="9"/>
    <n v="190801"/>
    <n v="342000"/>
  </r>
  <r>
    <x v="288"/>
    <x v="3"/>
    <m/>
    <x v="19"/>
    <x v="2"/>
    <x v="22"/>
    <n v="190801"/>
    <n v="190801"/>
    <m/>
    <n v="7"/>
    <n v="190801"/>
    <n v="91000"/>
  </r>
  <r>
    <x v="288"/>
    <x v="3"/>
    <m/>
    <x v="19"/>
    <x v="2"/>
    <x v="23"/>
    <n v="190801"/>
    <n v="190801"/>
    <m/>
    <n v="4"/>
    <n v="190801"/>
    <n v="96000"/>
  </r>
  <r>
    <x v="288"/>
    <x v="3"/>
    <m/>
    <x v="19"/>
    <x v="2"/>
    <x v="24"/>
    <n v="190801"/>
    <n v="190801"/>
    <m/>
    <n v="1"/>
    <n v="190801"/>
    <n v="33000"/>
  </r>
  <r>
    <x v="288"/>
    <x v="3"/>
    <m/>
    <x v="0"/>
    <x v="10"/>
    <x v="15"/>
    <n v="190801"/>
    <n v="190801"/>
    <m/>
    <n v="27"/>
    <n v="190801"/>
    <n v="850500"/>
  </r>
  <r>
    <x v="288"/>
    <x v="3"/>
    <m/>
    <x v="0"/>
    <x v="10"/>
    <x v="16"/>
    <n v="190801"/>
    <n v="190801"/>
    <m/>
    <n v="9"/>
    <n v="190801"/>
    <n v="396000"/>
  </r>
  <r>
    <x v="288"/>
    <x v="3"/>
    <m/>
    <x v="5"/>
    <x v="10"/>
    <x v="28"/>
    <n v="190801"/>
    <n v="190801"/>
    <m/>
    <n v="3"/>
    <n v="190801"/>
    <n v="114000"/>
  </r>
  <r>
    <x v="288"/>
    <x v="3"/>
    <m/>
    <x v="1"/>
    <x v="10"/>
    <x v="18"/>
    <n v="190801"/>
    <n v="190801"/>
    <m/>
    <n v="1"/>
    <n v="190801"/>
    <n v="31500"/>
  </r>
  <r>
    <x v="288"/>
    <x v="3"/>
    <m/>
    <x v="19"/>
    <x v="10"/>
    <x v="22"/>
    <n v="190801"/>
    <n v="190801"/>
    <m/>
    <n v="1"/>
    <n v="190801"/>
    <n v="25000"/>
  </r>
  <r>
    <x v="288"/>
    <x v="3"/>
    <m/>
    <x v="22"/>
    <x v="10"/>
    <x v="29"/>
    <n v="190801"/>
    <n v="190801"/>
    <m/>
    <n v="1"/>
    <n v="190801"/>
    <n v="43000"/>
  </r>
  <r>
    <x v="288"/>
    <x v="3"/>
    <m/>
    <x v="0"/>
    <x v="3"/>
    <x v="15"/>
    <n v="190801"/>
    <n v="190801"/>
    <m/>
    <n v="2"/>
    <n v="190801"/>
    <n v="0"/>
  </r>
  <r>
    <x v="288"/>
    <x v="3"/>
    <m/>
    <x v="0"/>
    <x v="3"/>
    <x v="17"/>
    <n v="190801"/>
    <n v="190801"/>
    <m/>
    <n v="1"/>
    <n v="190801"/>
    <n v="0"/>
  </r>
  <r>
    <x v="288"/>
    <x v="3"/>
    <m/>
    <x v="18"/>
    <x v="3"/>
    <x v="19"/>
    <n v="190801"/>
    <n v="190801"/>
    <m/>
    <n v="3"/>
    <n v="190801"/>
    <n v="0"/>
  </r>
  <r>
    <x v="288"/>
    <x v="3"/>
    <m/>
    <x v="5"/>
    <x v="3"/>
    <x v="28"/>
    <n v="190801"/>
    <n v="190801"/>
    <m/>
    <n v="1"/>
    <n v="190801"/>
    <n v="0"/>
  </r>
  <r>
    <x v="288"/>
    <x v="3"/>
    <m/>
    <x v="4"/>
    <x v="3"/>
    <x v="27"/>
    <n v="190801"/>
    <n v="190801"/>
    <m/>
    <n v="1"/>
    <n v="190801"/>
    <n v="0"/>
  </r>
  <r>
    <x v="288"/>
    <x v="3"/>
    <m/>
    <x v="6"/>
    <x v="3"/>
    <x v="37"/>
    <n v="190801"/>
    <n v="190801"/>
    <m/>
    <n v="1"/>
    <n v="190801"/>
    <n v="0"/>
  </r>
  <r>
    <x v="288"/>
    <x v="3"/>
    <m/>
    <x v="22"/>
    <x v="3"/>
    <x v="29"/>
    <n v="190801"/>
    <n v="190801"/>
    <m/>
    <n v="1"/>
    <n v="190801"/>
    <n v="0"/>
  </r>
  <r>
    <x v="288"/>
    <x v="3"/>
    <m/>
    <x v="1"/>
    <x v="3"/>
    <x v="18"/>
    <n v="190801"/>
    <n v="190801"/>
    <m/>
    <n v="1"/>
    <n v="190801"/>
    <n v="0"/>
  </r>
  <r>
    <x v="288"/>
    <x v="3"/>
    <m/>
    <x v="19"/>
    <x v="3"/>
    <x v="22"/>
    <n v="190801"/>
    <n v="190801"/>
    <m/>
    <n v="1"/>
    <n v="190801"/>
    <n v="0"/>
  </r>
  <r>
    <x v="288"/>
    <x v="3"/>
    <m/>
    <x v="0"/>
    <x v="9"/>
    <x v="15"/>
    <n v="190801"/>
    <n v="190801"/>
    <m/>
    <n v="4"/>
    <n v="190801"/>
    <n v="80000"/>
  </r>
  <r>
    <x v="289"/>
    <x v="4"/>
    <m/>
    <x v="0"/>
    <x v="1"/>
    <x v="15"/>
    <n v="190801"/>
    <n v="190801"/>
    <m/>
    <n v="1"/>
    <n v="190801"/>
    <n v="20000"/>
  </r>
  <r>
    <x v="289"/>
    <x v="4"/>
    <m/>
    <x v="0"/>
    <x v="1"/>
    <x v="16"/>
    <n v="190801"/>
    <n v="190801"/>
    <m/>
    <n v="4"/>
    <n v="190801"/>
    <n v="140000"/>
  </r>
  <r>
    <x v="289"/>
    <x v="4"/>
    <m/>
    <x v="0"/>
    <x v="7"/>
    <x v="15"/>
    <n v="190801"/>
    <n v="190801"/>
    <m/>
    <n v="5"/>
    <n v="190801"/>
    <n v="100000"/>
  </r>
  <r>
    <x v="289"/>
    <x v="4"/>
    <m/>
    <x v="6"/>
    <x v="2"/>
    <x v="37"/>
    <n v="190801"/>
    <n v="190801"/>
    <m/>
    <n v="9"/>
    <n v="190801"/>
    <n v="180000"/>
  </r>
  <r>
    <x v="289"/>
    <x v="4"/>
    <m/>
    <x v="6"/>
    <x v="2"/>
    <x v="42"/>
    <n v="190801"/>
    <n v="190801"/>
    <m/>
    <n v="4"/>
    <n v="190801"/>
    <n v="140000"/>
  </r>
  <r>
    <x v="289"/>
    <x v="4"/>
    <m/>
    <x v="19"/>
    <x v="2"/>
    <x v="38"/>
    <n v="190801"/>
    <n v="190801"/>
    <m/>
    <n v="3"/>
    <n v="190801"/>
    <n v="30000"/>
  </r>
  <r>
    <x v="289"/>
    <x v="4"/>
    <m/>
    <x v="29"/>
    <x v="2"/>
    <x v="40"/>
    <n v="190801"/>
    <n v="190801"/>
    <m/>
    <n v="4"/>
    <n v="190801"/>
    <n v="140000"/>
  </r>
  <r>
    <x v="289"/>
    <x v="4"/>
    <m/>
    <x v="29"/>
    <x v="2"/>
    <x v="41"/>
    <n v="190801"/>
    <n v="190801"/>
    <m/>
    <n v="7"/>
    <n v="190801"/>
    <n v="315000"/>
  </r>
  <r>
    <x v="289"/>
    <x v="4"/>
    <m/>
    <x v="25"/>
    <x v="2"/>
    <x v="34"/>
    <n v="190801"/>
    <n v="190801"/>
    <m/>
    <n v="1"/>
    <n v="190801"/>
    <n v="99000"/>
  </r>
  <r>
    <x v="289"/>
    <x v="4"/>
    <m/>
    <x v="1"/>
    <x v="2"/>
    <x v="18"/>
    <n v="190801"/>
    <n v="190801"/>
    <m/>
    <n v="3"/>
    <n v="190801"/>
    <n v="60000"/>
  </r>
  <r>
    <x v="289"/>
    <x v="4"/>
    <m/>
    <x v="1"/>
    <x v="2"/>
    <x v="21"/>
    <n v="190801"/>
    <n v="190801"/>
    <m/>
    <n v="3"/>
    <n v="190801"/>
    <n v="105000"/>
  </r>
  <r>
    <x v="289"/>
    <x v="4"/>
    <m/>
    <x v="0"/>
    <x v="2"/>
    <x v="15"/>
    <n v="190801"/>
    <n v="190801"/>
    <m/>
    <n v="79"/>
    <n v="190801"/>
    <n v="1580000"/>
  </r>
  <r>
    <x v="289"/>
    <x v="4"/>
    <m/>
    <x v="0"/>
    <x v="2"/>
    <x v="16"/>
    <n v="190801"/>
    <n v="190801"/>
    <m/>
    <n v="74"/>
    <n v="190801"/>
    <n v="2590000"/>
  </r>
  <r>
    <x v="289"/>
    <x v="4"/>
    <m/>
    <x v="0"/>
    <x v="2"/>
    <x v="17"/>
    <n v="190801"/>
    <n v="190801"/>
    <m/>
    <n v="77"/>
    <n v="190801"/>
    <n v="2541000"/>
  </r>
  <r>
    <x v="289"/>
    <x v="4"/>
    <m/>
    <x v="0"/>
    <x v="2"/>
    <x v="19"/>
    <n v="190801"/>
    <n v="190801"/>
    <m/>
    <n v="109"/>
    <n v="190801"/>
    <n v="327000"/>
  </r>
  <r>
    <x v="289"/>
    <x v="4"/>
    <m/>
    <x v="5"/>
    <x v="2"/>
    <x v="28"/>
    <n v="190801"/>
    <n v="190801"/>
    <m/>
    <n v="32"/>
    <n v="190801"/>
    <n v="896000"/>
  </r>
  <r>
    <x v="289"/>
    <x v="4"/>
    <m/>
    <x v="22"/>
    <x v="2"/>
    <x v="29"/>
    <n v="190801"/>
    <n v="190801"/>
    <m/>
    <n v="13"/>
    <n v="190801"/>
    <n v="494000"/>
  </r>
  <r>
    <x v="289"/>
    <x v="4"/>
    <m/>
    <x v="19"/>
    <x v="2"/>
    <x v="22"/>
    <n v="190801"/>
    <n v="190801"/>
    <m/>
    <n v="12"/>
    <n v="190801"/>
    <n v="156000"/>
  </r>
  <r>
    <x v="289"/>
    <x v="4"/>
    <m/>
    <x v="6"/>
    <x v="8"/>
    <x v="37"/>
    <n v="190801"/>
    <n v="190801"/>
    <m/>
    <n v="10"/>
    <n v="190801"/>
    <n v="63000"/>
  </r>
  <r>
    <x v="289"/>
    <x v="4"/>
    <m/>
    <x v="0"/>
    <x v="10"/>
    <x v="15"/>
    <n v="190801"/>
    <n v="190801"/>
    <m/>
    <n v="7"/>
    <n v="190801"/>
    <n v="220500"/>
  </r>
  <r>
    <x v="289"/>
    <x v="4"/>
    <m/>
    <x v="0"/>
    <x v="10"/>
    <x v="16"/>
    <n v="190801"/>
    <n v="190801"/>
    <m/>
    <n v="3"/>
    <n v="190801"/>
    <n v="132000"/>
  </r>
  <r>
    <x v="289"/>
    <x v="4"/>
    <m/>
    <x v="22"/>
    <x v="10"/>
    <x v="29"/>
    <n v="190801"/>
    <n v="190801"/>
    <m/>
    <n v="1"/>
    <n v="190801"/>
    <n v="43000"/>
  </r>
  <r>
    <x v="289"/>
    <x v="4"/>
    <m/>
    <x v="6"/>
    <x v="3"/>
    <x v="37"/>
    <n v="190801"/>
    <n v="190801"/>
    <m/>
    <n v="2"/>
    <n v="190801"/>
    <n v="0"/>
  </r>
  <r>
    <x v="289"/>
    <x v="4"/>
    <m/>
    <x v="0"/>
    <x v="9"/>
    <x v="15"/>
    <n v="190801"/>
    <n v="190801"/>
    <m/>
    <n v="7"/>
    <n v="190801"/>
    <n v="140000"/>
  </r>
  <r>
    <x v="290"/>
    <x v="1"/>
    <m/>
    <x v="0"/>
    <x v="1"/>
    <x v="15"/>
    <n v="190801"/>
    <n v="190801"/>
    <m/>
    <n v="1"/>
    <n v="190801"/>
    <n v="20000"/>
  </r>
  <r>
    <x v="290"/>
    <x v="1"/>
    <m/>
    <x v="0"/>
    <x v="1"/>
    <x v="16"/>
    <n v="190801"/>
    <n v="190801"/>
    <m/>
    <n v="1"/>
    <n v="190801"/>
    <n v="35000"/>
  </r>
  <r>
    <x v="290"/>
    <x v="1"/>
    <m/>
    <x v="22"/>
    <x v="5"/>
    <x v="52"/>
    <n v="190801"/>
    <n v="190801"/>
    <m/>
    <n v="10"/>
    <n v="190801"/>
    <n v="171000"/>
  </r>
  <r>
    <x v="290"/>
    <x v="1"/>
    <m/>
    <x v="0"/>
    <x v="7"/>
    <x v="15"/>
    <n v="190801"/>
    <n v="190801"/>
    <m/>
    <n v="25"/>
    <n v="190801"/>
    <n v="500000"/>
  </r>
  <r>
    <x v="290"/>
    <x v="1"/>
    <m/>
    <x v="6"/>
    <x v="2"/>
    <x v="37"/>
    <n v="190801"/>
    <n v="190801"/>
    <m/>
    <n v="3"/>
    <n v="190801"/>
    <n v="60000"/>
  </r>
  <r>
    <x v="290"/>
    <x v="1"/>
    <m/>
    <x v="6"/>
    <x v="2"/>
    <x v="42"/>
    <n v="190801"/>
    <n v="190801"/>
    <m/>
    <n v="1"/>
    <n v="190801"/>
    <n v="35000"/>
  </r>
  <r>
    <x v="290"/>
    <x v="1"/>
    <m/>
    <x v="29"/>
    <x v="2"/>
    <x v="40"/>
    <n v="190801"/>
    <n v="190801"/>
    <m/>
    <n v="4"/>
    <n v="190801"/>
    <n v="140000"/>
  </r>
  <r>
    <x v="290"/>
    <x v="1"/>
    <m/>
    <x v="29"/>
    <x v="2"/>
    <x v="41"/>
    <n v="190801"/>
    <n v="190801"/>
    <m/>
    <n v="6"/>
    <n v="190801"/>
    <n v="270000"/>
  </r>
  <r>
    <x v="290"/>
    <x v="1"/>
    <m/>
    <x v="1"/>
    <x v="2"/>
    <x v="18"/>
    <n v="190801"/>
    <n v="190801"/>
    <m/>
    <n v="3"/>
    <n v="190801"/>
    <n v="60000"/>
  </r>
  <r>
    <x v="290"/>
    <x v="1"/>
    <m/>
    <x v="1"/>
    <x v="2"/>
    <x v="21"/>
    <n v="190801"/>
    <n v="190801"/>
    <m/>
    <n v="1"/>
    <n v="190801"/>
    <n v="35000"/>
  </r>
  <r>
    <x v="290"/>
    <x v="1"/>
    <m/>
    <x v="0"/>
    <x v="2"/>
    <x v="15"/>
    <n v="190801"/>
    <n v="190801"/>
    <m/>
    <n v="79"/>
    <n v="190801"/>
    <n v="1580000"/>
  </r>
  <r>
    <x v="290"/>
    <x v="1"/>
    <m/>
    <x v="0"/>
    <x v="2"/>
    <x v="16"/>
    <n v="190801"/>
    <n v="190801"/>
    <m/>
    <n v="77"/>
    <n v="190801"/>
    <n v="2695000"/>
  </r>
  <r>
    <x v="290"/>
    <x v="1"/>
    <m/>
    <x v="0"/>
    <x v="2"/>
    <x v="17"/>
    <n v="190801"/>
    <n v="190801"/>
    <m/>
    <n v="69"/>
    <n v="190801"/>
    <n v="2277000"/>
  </r>
  <r>
    <x v="290"/>
    <x v="1"/>
    <m/>
    <x v="0"/>
    <x v="2"/>
    <x v="19"/>
    <n v="190801"/>
    <n v="190801"/>
    <m/>
    <n v="102"/>
    <n v="190801"/>
    <n v="306000"/>
  </r>
  <r>
    <x v="290"/>
    <x v="1"/>
    <m/>
    <x v="5"/>
    <x v="2"/>
    <x v="28"/>
    <n v="190801"/>
    <n v="190801"/>
    <m/>
    <n v="16"/>
    <n v="190801"/>
    <n v="448000"/>
  </r>
  <r>
    <x v="290"/>
    <x v="1"/>
    <m/>
    <x v="22"/>
    <x v="2"/>
    <x v="29"/>
    <n v="190801"/>
    <n v="190801"/>
    <m/>
    <n v="11"/>
    <n v="190801"/>
    <n v="418000"/>
  </r>
  <r>
    <x v="290"/>
    <x v="1"/>
    <m/>
    <x v="19"/>
    <x v="2"/>
    <x v="22"/>
    <n v="190801"/>
    <n v="190801"/>
    <m/>
    <n v="10"/>
    <n v="190801"/>
    <n v="130000"/>
  </r>
  <r>
    <x v="290"/>
    <x v="1"/>
    <m/>
    <x v="19"/>
    <x v="2"/>
    <x v="23"/>
    <n v="190801"/>
    <n v="190801"/>
    <m/>
    <n v="2"/>
    <n v="190801"/>
    <n v="48000"/>
  </r>
  <r>
    <x v="290"/>
    <x v="1"/>
    <m/>
    <x v="19"/>
    <x v="2"/>
    <x v="24"/>
    <n v="190801"/>
    <n v="190801"/>
    <m/>
    <n v="3"/>
    <n v="190801"/>
    <n v="99000"/>
  </r>
  <r>
    <x v="290"/>
    <x v="1"/>
    <m/>
    <x v="0"/>
    <x v="10"/>
    <x v="15"/>
    <n v="190801"/>
    <n v="190801"/>
    <m/>
    <n v="36"/>
    <n v="190801"/>
    <n v="1134000"/>
  </r>
  <r>
    <x v="290"/>
    <x v="1"/>
    <m/>
    <x v="0"/>
    <x v="10"/>
    <x v="16"/>
    <n v="190801"/>
    <n v="190801"/>
    <m/>
    <n v="4"/>
    <n v="190801"/>
    <n v="176000"/>
  </r>
  <r>
    <x v="290"/>
    <x v="1"/>
    <m/>
    <x v="5"/>
    <x v="10"/>
    <x v="28"/>
    <n v="190801"/>
    <n v="190801"/>
    <m/>
    <n v="2"/>
    <n v="190801"/>
    <n v="76000"/>
  </r>
  <r>
    <x v="290"/>
    <x v="1"/>
    <m/>
    <x v="22"/>
    <x v="10"/>
    <x v="29"/>
    <n v="190801"/>
    <n v="190801"/>
    <m/>
    <n v="1"/>
    <n v="190801"/>
    <n v="43000"/>
  </r>
  <r>
    <x v="290"/>
    <x v="1"/>
    <m/>
    <x v="0"/>
    <x v="9"/>
    <x v="15"/>
    <n v="190801"/>
    <n v="190801"/>
    <m/>
    <n v="5"/>
    <n v="190801"/>
    <n v="100000"/>
  </r>
  <r>
    <x v="291"/>
    <x v="0"/>
    <m/>
    <x v="0"/>
    <x v="1"/>
    <x v="15"/>
    <n v="190801"/>
    <n v="190801"/>
    <m/>
    <n v="5"/>
    <n v="190801"/>
    <n v="100000"/>
  </r>
  <r>
    <x v="291"/>
    <x v="0"/>
    <m/>
    <x v="0"/>
    <x v="1"/>
    <x v="16"/>
    <n v="190801"/>
    <n v="190801"/>
    <m/>
    <n v="4"/>
    <n v="190801"/>
    <n v="140000"/>
  </r>
  <r>
    <x v="291"/>
    <x v="0"/>
    <m/>
    <x v="0"/>
    <x v="7"/>
    <x v="15"/>
    <n v="190801"/>
    <n v="190801"/>
    <m/>
    <n v="7"/>
    <n v="190801"/>
    <n v="140000"/>
  </r>
  <r>
    <x v="291"/>
    <x v="0"/>
    <m/>
    <x v="6"/>
    <x v="2"/>
    <x v="37"/>
    <n v="190801"/>
    <n v="190801"/>
    <m/>
    <n v="7"/>
    <n v="190801"/>
    <n v="140000"/>
  </r>
  <r>
    <x v="291"/>
    <x v="0"/>
    <m/>
    <x v="6"/>
    <x v="2"/>
    <x v="42"/>
    <n v="190801"/>
    <n v="190801"/>
    <m/>
    <n v="2"/>
    <n v="190801"/>
    <n v="70000"/>
  </r>
  <r>
    <x v="291"/>
    <x v="0"/>
    <m/>
    <x v="29"/>
    <x v="2"/>
    <x v="40"/>
    <n v="190801"/>
    <n v="190801"/>
    <m/>
    <n v="2"/>
    <n v="190801"/>
    <n v="70000"/>
  </r>
  <r>
    <x v="291"/>
    <x v="0"/>
    <m/>
    <x v="29"/>
    <x v="2"/>
    <x v="41"/>
    <n v="190801"/>
    <n v="190801"/>
    <m/>
    <n v="1"/>
    <n v="190801"/>
    <n v="45000"/>
  </r>
  <r>
    <x v="291"/>
    <x v="0"/>
    <m/>
    <x v="1"/>
    <x v="2"/>
    <x v="18"/>
    <n v="190801"/>
    <n v="190801"/>
    <m/>
    <n v="3"/>
    <n v="190801"/>
    <n v="60000"/>
  </r>
  <r>
    <x v="291"/>
    <x v="0"/>
    <m/>
    <x v="0"/>
    <x v="2"/>
    <x v="15"/>
    <n v="190801"/>
    <n v="190801"/>
    <m/>
    <n v="64"/>
    <n v="190801"/>
    <n v="1280000"/>
  </r>
  <r>
    <x v="291"/>
    <x v="0"/>
    <m/>
    <x v="0"/>
    <x v="2"/>
    <x v="16"/>
    <n v="190801"/>
    <n v="190801"/>
    <m/>
    <n v="92"/>
    <n v="190801"/>
    <n v="3220000"/>
  </r>
  <r>
    <x v="291"/>
    <x v="0"/>
    <m/>
    <x v="0"/>
    <x v="2"/>
    <x v="17"/>
    <n v="190801"/>
    <n v="190801"/>
    <m/>
    <n v="52"/>
    <n v="190801"/>
    <n v="1716000"/>
  </r>
  <r>
    <x v="291"/>
    <x v="0"/>
    <m/>
    <x v="0"/>
    <x v="2"/>
    <x v="19"/>
    <n v="190801"/>
    <n v="190801"/>
    <m/>
    <n v="347"/>
    <n v="190801"/>
    <n v="1041000"/>
  </r>
  <r>
    <x v="291"/>
    <x v="0"/>
    <m/>
    <x v="5"/>
    <x v="2"/>
    <x v="28"/>
    <n v="190801"/>
    <n v="190801"/>
    <m/>
    <n v="220"/>
    <n v="190801"/>
    <n v="6160000"/>
  </r>
  <r>
    <x v="291"/>
    <x v="0"/>
    <m/>
    <x v="22"/>
    <x v="2"/>
    <x v="29"/>
    <n v="190801"/>
    <n v="190801"/>
    <m/>
    <n v="2"/>
    <n v="190801"/>
    <n v="76000"/>
  </r>
  <r>
    <x v="291"/>
    <x v="0"/>
    <m/>
    <x v="19"/>
    <x v="2"/>
    <x v="22"/>
    <n v="190801"/>
    <n v="190801"/>
    <m/>
    <n v="7"/>
    <n v="190801"/>
    <n v="91000"/>
  </r>
  <r>
    <x v="291"/>
    <x v="0"/>
    <m/>
    <x v="19"/>
    <x v="2"/>
    <x v="23"/>
    <n v="190801"/>
    <n v="190801"/>
    <m/>
    <n v="2"/>
    <n v="190801"/>
    <n v="48000"/>
  </r>
  <r>
    <x v="291"/>
    <x v="0"/>
    <m/>
    <x v="0"/>
    <x v="10"/>
    <x v="15"/>
    <n v="190801"/>
    <n v="190801"/>
    <m/>
    <n v="24"/>
    <n v="190801"/>
    <n v="756000"/>
  </r>
  <r>
    <x v="291"/>
    <x v="0"/>
    <m/>
    <x v="0"/>
    <x v="10"/>
    <x v="16"/>
    <n v="190801"/>
    <n v="190801"/>
    <m/>
    <n v="13"/>
    <n v="190801"/>
    <n v="572000"/>
  </r>
  <r>
    <x v="291"/>
    <x v="0"/>
    <m/>
    <x v="5"/>
    <x v="10"/>
    <x v="28"/>
    <n v="190801"/>
    <n v="190801"/>
    <m/>
    <n v="1"/>
    <n v="190801"/>
    <n v="38000"/>
  </r>
  <r>
    <x v="291"/>
    <x v="0"/>
    <m/>
    <x v="1"/>
    <x v="10"/>
    <x v="18"/>
    <n v="190801"/>
    <n v="190801"/>
    <m/>
    <n v="1"/>
    <n v="190801"/>
    <n v="31500"/>
  </r>
  <r>
    <x v="291"/>
    <x v="0"/>
    <m/>
    <x v="19"/>
    <x v="10"/>
    <x v="22"/>
    <n v="190801"/>
    <n v="190801"/>
    <m/>
    <n v="1"/>
    <n v="190801"/>
    <n v="25000"/>
  </r>
  <r>
    <x v="291"/>
    <x v="0"/>
    <m/>
    <x v="22"/>
    <x v="10"/>
    <x v="29"/>
    <n v="190801"/>
    <n v="190801"/>
    <m/>
    <n v="1"/>
    <n v="190801"/>
    <n v="43000"/>
  </r>
  <r>
    <x v="291"/>
    <x v="0"/>
    <m/>
    <x v="0"/>
    <x v="9"/>
    <x v="15"/>
    <n v="190801"/>
    <n v="190801"/>
    <m/>
    <n v="1"/>
    <n v="190801"/>
    <n v="20000"/>
  </r>
  <r>
    <x v="291"/>
    <x v="0"/>
    <m/>
    <x v="6"/>
    <x v="9"/>
    <x v="37"/>
    <n v="190801"/>
    <n v="190801"/>
    <m/>
    <n v="1"/>
    <n v="190801"/>
    <n v="20000"/>
  </r>
  <r>
    <x v="292"/>
    <x v="2"/>
    <m/>
    <x v="0"/>
    <x v="1"/>
    <x v="15"/>
    <n v="190801"/>
    <n v="190801"/>
    <m/>
    <n v="7"/>
    <n v="190801"/>
    <n v="140000"/>
  </r>
  <r>
    <x v="292"/>
    <x v="2"/>
    <m/>
    <x v="0"/>
    <x v="1"/>
    <x v="16"/>
    <n v="190801"/>
    <n v="190801"/>
    <m/>
    <n v="4"/>
    <n v="190801"/>
    <n v="140000"/>
  </r>
  <r>
    <x v="292"/>
    <x v="2"/>
    <m/>
    <x v="0"/>
    <x v="7"/>
    <x v="15"/>
    <n v="190801"/>
    <n v="190801"/>
    <m/>
    <n v="2"/>
    <n v="190801"/>
    <n v="40000"/>
  </r>
  <r>
    <x v="292"/>
    <x v="2"/>
    <m/>
    <x v="6"/>
    <x v="2"/>
    <x v="37"/>
    <n v="190801"/>
    <n v="190801"/>
    <m/>
    <n v="3"/>
    <n v="190801"/>
    <n v="60000"/>
  </r>
  <r>
    <x v="292"/>
    <x v="2"/>
    <m/>
    <x v="6"/>
    <x v="2"/>
    <x v="42"/>
    <n v="190801"/>
    <n v="190801"/>
    <m/>
    <n v="1"/>
    <n v="190801"/>
    <n v="35000"/>
  </r>
  <r>
    <x v="292"/>
    <x v="2"/>
    <m/>
    <x v="19"/>
    <x v="2"/>
    <x v="38"/>
    <n v="190801"/>
    <n v="190801"/>
    <m/>
    <n v="2"/>
    <n v="190801"/>
    <n v="20000"/>
  </r>
  <r>
    <x v="292"/>
    <x v="2"/>
    <m/>
    <x v="29"/>
    <x v="2"/>
    <x v="41"/>
    <n v="190801"/>
    <n v="190801"/>
    <m/>
    <n v="2"/>
    <n v="190801"/>
    <n v="90000"/>
  </r>
  <r>
    <x v="292"/>
    <x v="2"/>
    <m/>
    <x v="1"/>
    <x v="2"/>
    <x v="21"/>
    <n v="190801"/>
    <n v="190801"/>
    <m/>
    <n v="1"/>
    <n v="190801"/>
    <n v="35000"/>
  </r>
  <r>
    <x v="292"/>
    <x v="2"/>
    <m/>
    <x v="0"/>
    <x v="2"/>
    <x v="15"/>
    <n v="190801"/>
    <n v="190801"/>
    <m/>
    <n v="47"/>
    <n v="190801"/>
    <n v="940000"/>
  </r>
  <r>
    <x v="292"/>
    <x v="2"/>
    <m/>
    <x v="0"/>
    <x v="2"/>
    <x v="16"/>
    <n v="190801"/>
    <n v="190801"/>
    <m/>
    <n v="43"/>
    <n v="190801"/>
    <n v="1505000"/>
  </r>
  <r>
    <x v="292"/>
    <x v="2"/>
    <m/>
    <x v="0"/>
    <x v="2"/>
    <x v="17"/>
    <n v="190801"/>
    <n v="190801"/>
    <m/>
    <n v="46"/>
    <n v="190801"/>
    <n v="1518000"/>
  </r>
  <r>
    <x v="292"/>
    <x v="2"/>
    <m/>
    <x v="0"/>
    <x v="2"/>
    <x v="19"/>
    <n v="190801"/>
    <n v="190801"/>
    <m/>
    <n v="56"/>
    <n v="190801"/>
    <n v="168000"/>
  </r>
  <r>
    <x v="292"/>
    <x v="2"/>
    <m/>
    <x v="5"/>
    <x v="2"/>
    <x v="28"/>
    <n v="190801"/>
    <n v="190801"/>
    <m/>
    <n v="14"/>
    <n v="190801"/>
    <n v="392000"/>
  </r>
  <r>
    <x v="292"/>
    <x v="2"/>
    <m/>
    <x v="22"/>
    <x v="2"/>
    <x v="29"/>
    <n v="190801"/>
    <n v="190801"/>
    <m/>
    <n v="5"/>
    <n v="190801"/>
    <n v="190000"/>
  </r>
  <r>
    <x v="292"/>
    <x v="2"/>
    <m/>
    <x v="19"/>
    <x v="2"/>
    <x v="22"/>
    <n v="190801"/>
    <n v="190801"/>
    <m/>
    <n v="7"/>
    <n v="190801"/>
    <n v="91000"/>
  </r>
  <r>
    <x v="292"/>
    <x v="2"/>
    <m/>
    <x v="19"/>
    <x v="2"/>
    <x v="23"/>
    <n v="190801"/>
    <n v="190801"/>
    <m/>
    <n v="1"/>
    <n v="190801"/>
    <n v="24000"/>
  </r>
  <r>
    <x v="292"/>
    <x v="2"/>
    <m/>
    <x v="19"/>
    <x v="2"/>
    <x v="24"/>
    <n v="190801"/>
    <n v="190801"/>
    <m/>
    <n v="1"/>
    <n v="190801"/>
    <n v="33000"/>
  </r>
  <r>
    <x v="292"/>
    <x v="2"/>
    <m/>
    <x v="0"/>
    <x v="10"/>
    <x v="15"/>
    <n v="190801"/>
    <n v="190801"/>
    <m/>
    <n v="17"/>
    <n v="190801"/>
    <n v="535500"/>
  </r>
  <r>
    <x v="292"/>
    <x v="2"/>
    <m/>
    <x v="0"/>
    <x v="10"/>
    <x v="16"/>
    <n v="190801"/>
    <n v="190801"/>
    <m/>
    <n v="3"/>
    <n v="190801"/>
    <n v="132000"/>
  </r>
  <r>
    <x v="292"/>
    <x v="2"/>
    <m/>
    <x v="5"/>
    <x v="10"/>
    <x v="28"/>
    <n v="190801"/>
    <n v="190801"/>
    <m/>
    <n v="1"/>
    <n v="190801"/>
    <n v="38000"/>
  </r>
  <r>
    <x v="292"/>
    <x v="2"/>
    <m/>
    <x v="0"/>
    <x v="9"/>
    <x v="15"/>
    <n v="190801"/>
    <n v="190801"/>
    <m/>
    <n v="8"/>
    <n v="190801"/>
    <n v="160000"/>
  </r>
  <r>
    <x v="293"/>
    <x v="5"/>
    <m/>
    <x v="0"/>
    <x v="7"/>
    <x v="15"/>
    <n v="190801"/>
    <n v="190801"/>
    <m/>
    <n v="5"/>
    <n v="190801"/>
    <n v="100000"/>
  </r>
  <r>
    <x v="293"/>
    <x v="5"/>
    <m/>
    <x v="6"/>
    <x v="2"/>
    <x v="37"/>
    <n v="190801"/>
    <n v="190801"/>
    <m/>
    <n v="4"/>
    <n v="190801"/>
    <n v="80000"/>
  </r>
  <r>
    <x v="293"/>
    <x v="5"/>
    <m/>
    <x v="6"/>
    <x v="2"/>
    <x v="42"/>
    <n v="190801"/>
    <n v="190801"/>
    <m/>
    <n v="1"/>
    <n v="190801"/>
    <n v="35000"/>
  </r>
  <r>
    <x v="293"/>
    <x v="5"/>
    <m/>
    <x v="19"/>
    <x v="2"/>
    <x v="38"/>
    <n v="190801"/>
    <n v="190801"/>
    <m/>
    <n v="2"/>
    <n v="190801"/>
    <n v="20000"/>
  </r>
  <r>
    <x v="293"/>
    <x v="5"/>
    <m/>
    <x v="29"/>
    <x v="2"/>
    <x v="40"/>
    <n v="190801"/>
    <n v="190801"/>
    <m/>
    <n v="4"/>
    <n v="190801"/>
    <n v="140000"/>
  </r>
  <r>
    <x v="293"/>
    <x v="5"/>
    <m/>
    <x v="29"/>
    <x v="2"/>
    <x v="41"/>
    <n v="190801"/>
    <n v="190801"/>
    <m/>
    <n v="3"/>
    <n v="190801"/>
    <n v="135000"/>
  </r>
  <r>
    <x v="293"/>
    <x v="5"/>
    <m/>
    <x v="1"/>
    <x v="2"/>
    <x v="18"/>
    <n v="190801"/>
    <n v="190801"/>
    <m/>
    <n v="2"/>
    <n v="190801"/>
    <n v="40000"/>
  </r>
  <r>
    <x v="293"/>
    <x v="5"/>
    <m/>
    <x v="0"/>
    <x v="2"/>
    <x v="15"/>
    <n v="190801"/>
    <n v="190801"/>
    <m/>
    <n v="44"/>
    <n v="190801"/>
    <n v="880000"/>
  </r>
  <r>
    <x v="293"/>
    <x v="5"/>
    <m/>
    <x v="0"/>
    <x v="2"/>
    <x v="16"/>
    <n v="190801"/>
    <n v="190801"/>
    <m/>
    <n v="38"/>
    <n v="190801"/>
    <n v="1330000"/>
  </r>
  <r>
    <x v="293"/>
    <x v="5"/>
    <m/>
    <x v="0"/>
    <x v="2"/>
    <x v="17"/>
    <n v="190801"/>
    <n v="190801"/>
    <m/>
    <n v="41"/>
    <n v="190801"/>
    <n v="1353000"/>
  </r>
  <r>
    <x v="293"/>
    <x v="5"/>
    <m/>
    <x v="0"/>
    <x v="2"/>
    <x v="19"/>
    <n v="190801"/>
    <n v="190801"/>
    <m/>
    <n v="42"/>
    <n v="190801"/>
    <n v="126000"/>
  </r>
  <r>
    <x v="293"/>
    <x v="5"/>
    <m/>
    <x v="5"/>
    <x v="2"/>
    <x v="28"/>
    <n v="190801"/>
    <n v="190801"/>
    <m/>
    <n v="10"/>
    <n v="190801"/>
    <n v="280000"/>
  </r>
  <r>
    <x v="293"/>
    <x v="5"/>
    <m/>
    <x v="22"/>
    <x v="2"/>
    <x v="29"/>
    <n v="190801"/>
    <n v="190801"/>
    <m/>
    <n v="5"/>
    <n v="190801"/>
    <n v="190000"/>
  </r>
  <r>
    <x v="293"/>
    <x v="5"/>
    <m/>
    <x v="19"/>
    <x v="2"/>
    <x v="22"/>
    <n v="190801"/>
    <n v="190801"/>
    <m/>
    <n v="4"/>
    <n v="190801"/>
    <n v="52000"/>
  </r>
  <r>
    <x v="293"/>
    <x v="5"/>
    <m/>
    <x v="19"/>
    <x v="2"/>
    <x v="23"/>
    <n v="190801"/>
    <n v="190801"/>
    <m/>
    <n v="1"/>
    <n v="190801"/>
    <n v="24000"/>
  </r>
  <r>
    <x v="293"/>
    <x v="5"/>
    <m/>
    <x v="19"/>
    <x v="2"/>
    <x v="24"/>
    <n v="190801"/>
    <n v="190801"/>
    <m/>
    <n v="1"/>
    <n v="190801"/>
    <n v="33000"/>
  </r>
  <r>
    <x v="293"/>
    <x v="5"/>
    <m/>
    <x v="0"/>
    <x v="9"/>
    <x v="15"/>
    <n v="190801"/>
    <n v="190801"/>
    <m/>
    <n v="7"/>
    <n v="190801"/>
    <n v="140000"/>
  </r>
  <r>
    <x v="294"/>
    <x v="6"/>
    <m/>
    <x v="0"/>
    <x v="7"/>
    <x v="15"/>
    <n v="190801"/>
    <n v="190801"/>
    <m/>
    <n v="12"/>
    <n v="190801"/>
    <n v="240000"/>
  </r>
  <r>
    <x v="294"/>
    <x v="6"/>
    <m/>
    <x v="6"/>
    <x v="2"/>
    <x v="37"/>
    <n v="190801"/>
    <n v="190801"/>
    <m/>
    <n v="2"/>
    <n v="190801"/>
    <n v="40000"/>
  </r>
  <r>
    <x v="294"/>
    <x v="6"/>
    <m/>
    <x v="19"/>
    <x v="2"/>
    <x v="38"/>
    <n v="190801"/>
    <n v="190801"/>
    <m/>
    <n v="1"/>
    <n v="190801"/>
    <n v="10000"/>
  </r>
  <r>
    <x v="294"/>
    <x v="6"/>
    <m/>
    <x v="29"/>
    <x v="2"/>
    <x v="40"/>
    <n v="190801"/>
    <n v="190801"/>
    <m/>
    <n v="2"/>
    <n v="190801"/>
    <n v="70000"/>
  </r>
  <r>
    <x v="294"/>
    <x v="6"/>
    <m/>
    <x v="29"/>
    <x v="2"/>
    <x v="41"/>
    <n v="190801"/>
    <n v="190801"/>
    <m/>
    <n v="2"/>
    <n v="190801"/>
    <n v="90000"/>
  </r>
  <r>
    <x v="294"/>
    <x v="6"/>
    <m/>
    <x v="1"/>
    <x v="2"/>
    <x v="18"/>
    <n v="190801"/>
    <n v="190801"/>
    <m/>
    <n v="3"/>
    <n v="190801"/>
    <n v="60000"/>
  </r>
  <r>
    <x v="294"/>
    <x v="6"/>
    <m/>
    <x v="0"/>
    <x v="2"/>
    <x v="15"/>
    <n v="190801"/>
    <n v="190801"/>
    <m/>
    <n v="44"/>
    <n v="190801"/>
    <n v="880000"/>
  </r>
  <r>
    <x v="294"/>
    <x v="6"/>
    <m/>
    <x v="0"/>
    <x v="2"/>
    <x v="16"/>
    <n v="190801"/>
    <n v="190801"/>
    <m/>
    <n v="49"/>
    <n v="190801"/>
    <n v="1715000"/>
  </r>
  <r>
    <x v="294"/>
    <x v="6"/>
    <m/>
    <x v="0"/>
    <x v="2"/>
    <x v="17"/>
    <n v="190801"/>
    <n v="190801"/>
    <m/>
    <n v="53"/>
    <n v="190801"/>
    <n v="1749000"/>
  </r>
  <r>
    <x v="294"/>
    <x v="6"/>
    <m/>
    <x v="0"/>
    <x v="2"/>
    <x v="19"/>
    <n v="190801"/>
    <n v="190801"/>
    <m/>
    <n v="66"/>
    <n v="190801"/>
    <n v="198000"/>
  </r>
  <r>
    <x v="294"/>
    <x v="6"/>
    <m/>
    <x v="5"/>
    <x v="2"/>
    <x v="28"/>
    <n v="190801"/>
    <n v="190801"/>
    <m/>
    <n v="18"/>
    <n v="190801"/>
    <n v="504000"/>
  </r>
  <r>
    <x v="294"/>
    <x v="6"/>
    <m/>
    <x v="22"/>
    <x v="2"/>
    <x v="29"/>
    <n v="190801"/>
    <n v="190801"/>
    <m/>
    <n v="5"/>
    <n v="190801"/>
    <n v="190000"/>
  </r>
  <r>
    <x v="294"/>
    <x v="6"/>
    <m/>
    <x v="19"/>
    <x v="2"/>
    <x v="22"/>
    <n v="190801"/>
    <n v="190801"/>
    <m/>
    <n v="4"/>
    <n v="190801"/>
    <n v="52000"/>
  </r>
  <r>
    <x v="294"/>
    <x v="6"/>
    <m/>
    <x v="19"/>
    <x v="2"/>
    <x v="24"/>
    <n v="190801"/>
    <n v="190801"/>
    <m/>
    <n v="1"/>
    <n v="190801"/>
    <n v="33000"/>
  </r>
  <r>
    <x v="294"/>
    <x v="6"/>
    <m/>
    <x v="0"/>
    <x v="9"/>
    <x v="15"/>
    <n v="190801"/>
    <n v="190801"/>
    <m/>
    <n v="3"/>
    <n v="190801"/>
    <n v="60000"/>
  </r>
  <r>
    <x v="294"/>
    <x v="6"/>
    <m/>
    <x v="6"/>
    <x v="9"/>
    <x v="37"/>
    <n v="190801"/>
    <n v="190801"/>
    <m/>
    <n v="1"/>
    <n v="190801"/>
    <n v="20000"/>
  </r>
  <r>
    <x v="294"/>
    <x v="6"/>
    <m/>
    <x v="0"/>
    <x v="6"/>
    <x v="15"/>
    <n v="190801"/>
    <n v="190801"/>
    <m/>
    <n v="924"/>
    <n v="190801"/>
    <n v="8378832"/>
  </r>
  <r>
    <x v="294"/>
    <x v="6"/>
    <m/>
    <x v="0"/>
    <x v="6"/>
    <x v="17"/>
    <n v="190801"/>
    <n v="190801"/>
    <m/>
    <n v="6"/>
    <n v="190801"/>
    <n v="94908"/>
  </r>
  <r>
    <x v="294"/>
    <x v="6"/>
    <m/>
    <x v="4"/>
    <x v="6"/>
    <x v="26"/>
    <n v="190801"/>
    <n v="190801"/>
    <m/>
    <n v="702"/>
    <n v="190801"/>
    <n v="753246"/>
  </r>
  <r>
    <x v="294"/>
    <x v="6"/>
    <m/>
    <x v="26"/>
    <x v="6"/>
    <x v="35"/>
    <n v="190801"/>
    <n v="190801"/>
    <m/>
    <n v="80"/>
    <n v="190801"/>
    <n v="1370480"/>
  </r>
  <r>
    <x v="294"/>
    <x v="6"/>
    <m/>
    <x v="22"/>
    <x v="6"/>
    <x v="29"/>
    <n v="190801"/>
    <n v="190801"/>
    <m/>
    <n v="24"/>
    <n v="190801"/>
    <n v="472584"/>
  </r>
  <r>
    <x v="294"/>
    <x v="6"/>
    <m/>
    <x v="24"/>
    <x v="6"/>
    <x v="31"/>
    <n v="190801"/>
    <n v="190801"/>
    <m/>
    <n v="96"/>
    <n v="190801"/>
    <n v="1428192"/>
  </r>
  <r>
    <x v="294"/>
    <x v="6"/>
    <m/>
    <x v="23"/>
    <x v="6"/>
    <x v="30"/>
    <n v="190801"/>
    <n v="190801"/>
    <m/>
    <n v="208"/>
    <n v="190801"/>
    <n v="1448512"/>
  </r>
  <r>
    <x v="294"/>
    <x v="6"/>
    <m/>
    <x v="19"/>
    <x v="6"/>
    <x v="22"/>
    <n v="190801"/>
    <n v="190801"/>
    <m/>
    <n v="14"/>
    <n v="190801"/>
    <n v="95074"/>
  </r>
  <r>
    <x v="294"/>
    <x v="6"/>
    <m/>
    <x v="27"/>
    <x v="6"/>
    <x v="36"/>
    <n v="190801"/>
    <n v="190801"/>
    <m/>
    <n v="45"/>
    <n v="190801"/>
    <n v="425565"/>
  </r>
  <r>
    <x v="294"/>
    <x v="6"/>
    <m/>
    <x v="6"/>
    <x v="6"/>
    <x v="37"/>
    <n v="190801"/>
    <n v="190801"/>
    <m/>
    <n v="32"/>
    <n v="190801"/>
    <n v="320000"/>
  </r>
  <r>
    <x v="294"/>
    <x v="6"/>
    <m/>
    <x v="28"/>
    <x v="6"/>
    <x v="39"/>
    <n v="190801"/>
    <n v="190801"/>
    <m/>
    <n v="484"/>
    <n v="190801"/>
    <n v="7655912"/>
  </r>
  <r>
    <x v="295"/>
    <x v="3"/>
    <m/>
    <x v="0"/>
    <x v="1"/>
    <x v="15"/>
    <n v="190801"/>
    <n v="190801"/>
    <m/>
    <n v="8"/>
    <n v="190801"/>
    <n v="160000"/>
  </r>
  <r>
    <x v="295"/>
    <x v="3"/>
    <m/>
    <x v="0"/>
    <x v="1"/>
    <x v="16"/>
    <n v="190801"/>
    <n v="190801"/>
    <m/>
    <n v="21"/>
    <n v="190801"/>
    <n v="735000"/>
  </r>
  <r>
    <x v="295"/>
    <x v="3"/>
    <m/>
    <x v="0"/>
    <x v="7"/>
    <x v="15"/>
    <n v="190801"/>
    <n v="190801"/>
    <m/>
    <n v="5"/>
    <n v="190801"/>
    <n v="100000"/>
  </r>
  <r>
    <x v="295"/>
    <x v="3"/>
    <m/>
    <x v="6"/>
    <x v="2"/>
    <x v="37"/>
    <n v="190801"/>
    <n v="190801"/>
    <m/>
    <n v="3"/>
    <n v="190801"/>
    <n v="60000"/>
  </r>
  <r>
    <x v="295"/>
    <x v="3"/>
    <m/>
    <x v="6"/>
    <x v="2"/>
    <x v="42"/>
    <n v="190801"/>
    <n v="190801"/>
    <m/>
    <n v="3"/>
    <n v="190801"/>
    <n v="105000"/>
  </r>
  <r>
    <x v="295"/>
    <x v="3"/>
    <m/>
    <x v="19"/>
    <x v="2"/>
    <x v="38"/>
    <n v="190801"/>
    <n v="190801"/>
    <m/>
    <n v="3"/>
    <n v="190801"/>
    <n v="30000"/>
  </r>
  <r>
    <x v="295"/>
    <x v="3"/>
    <m/>
    <x v="29"/>
    <x v="2"/>
    <x v="40"/>
    <n v="190801"/>
    <n v="190801"/>
    <m/>
    <n v="6"/>
    <n v="190801"/>
    <n v="210000"/>
  </r>
  <r>
    <x v="295"/>
    <x v="3"/>
    <m/>
    <x v="29"/>
    <x v="2"/>
    <x v="41"/>
    <n v="190801"/>
    <n v="190801"/>
    <m/>
    <n v="10"/>
    <n v="190801"/>
    <n v="450000"/>
  </r>
  <r>
    <x v="295"/>
    <x v="3"/>
    <m/>
    <x v="1"/>
    <x v="2"/>
    <x v="18"/>
    <n v="190801"/>
    <n v="190801"/>
    <m/>
    <n v="3"/>
    <n v="190801"/>
    <n v="60000"/>
  </r>
  <r>
    <x v="295"/>
    <x v="3"/>
    <m/>
    <x v="1"/>
    <x v="2"/>
    <x v="21"/>
    <n v="190801"/>
    <n v="190801"/>
    <m/>
    <n v="1"/>
    <n v="190801"/>
    <n v="35000"/>
  </r>
  <r>
    <x v="295"/>
    <x v="3"/>
    <m/>
    <x v="0"/>
    <x v="2"/>
    <x v="15"/>
    <n v="190801"/>
    <n v="190801"/>
    <m/>
    <n v="62"/>
    <n v="190801"/>
    <n v="1240000"/>
  </r>
  <r>
    <x v="295"/>
    <x v="3"/>
    <m/>
    <x v="0"/>
    <x v="2"/>
    <x v="16"/>
    <n v="190801"/>
    <n v="190801"/>
    <m/>
    <n v="46"/>
    <n v="190801"/>
    <n v="1610000"/>
  </r>
  <r>
    <x v="295"/>
    <x v="3"/>
    <m/>
    <x v="0"/>
    <x v="2"/>
    <x v="17"/>
    <n v="190801"/>
    <n v="190801"/>
    <m/>
    <n v="77"/>
    <n v="190801"/>
    <n v="2541000"/>
  </r>
  <r>
    <x v="295"/>
    <x v="3"/>
    <m/>
    <x v="0"/>
    <x v="2"/>
    <x v="19"/>
    <n v="190801"/>
    <n v="190801"/>
    <m/>
    <n v="72"/>
    <n v="190801"/>
    <n v="216000"/>
  </r>
  <r>
    <x v="295"/>
    <x v="3"/>
    <m/>
    <x v="5"/>
    <x v="2"/>
    <x v="28"/>
    <n v="190801"/>
    <n v="190801"/>
    <m/>
    <n v="23"/>
    <n v="190801"/>
    <n v="644000"/>
  </r>
  <r>
    <x v="295"/>
    <x v="3"/>
    <m/>
    <x v="22"/>
    <x v="2"/>
    <x v="29"/>
    <n v="190801"/>
    <n v="190801"/>
    <m/>
    <n v="11"/>
    <n v="190801"/>
    <n v="418000"/>
  </r>
  <r>
    <x v="295"/>
    <x v="3"/>
    <m/>
    <x v="19"/>
    <x v="2"/>
    <x v="22"/>
    <n v="190801"/>
    <n v="190801"/>
    <m/>
    <n v="14"/>
    <n v="190801"/>
    <n v="182000"/>
  </r>
  <r>
    <x v="295"/>
    <x v="3"/>
    <m/>
    <x v="19"/>
    <x v="2"/>
    <x v="23"/>
    <n v="190801"/>
    <n v="190801"/>
    <m/>
    <n v="3"/>
    <n v="190801"/>
    <n v="72000"/>
  </r>
  <r>
    <x v="295"/>
    <x v="3"/>
    <m/>
    <x v="19"/>
    <x v="2"/>
    <x v="24"/>
    <n v="190801"/>
    <n v="190801"/>
    <m/>
    <n v="1"/>
    <n v="190801"/>
    <n v="33000"/>
  </r>
  <r>
    <x v="295"/>
    <x v="3"/>
    <m/>
    <x v="0"/>
    <x v="10"/>
    <x v="15"/>
    <n v="190801"/>
    <n v="190801"/>
    <m/>
    <n v="72"/>
    <n v="190801"/>
    <n v="2268000"/>
  </r>
  <r>
    <x v="295"/>
    <x v="3"/>
    <m/>
    <x v="0"/>
    <x v="10"/>
    <x v="16"/>
    <n v="190801"/>
    <n v="190801"/>
    <m/>
    <n v="19"/>
    <n v="190801"/>
    <n v="836000"/>
  </r>
  <r>
    <x v="295"/>
    <x v="3"/>
    <m/>
    <x v="5"/>
    <x v="10"/>
    <x v="28"/>
    <n v="190801"/>
    <n v="190801"/>
    <m/>
    <n v="7"/>
    <n v="190801"/>
    <n v="266000"/>
  </r>
  <r>
    <x v="295"/>
    <x v="3"/>
    <m/>
    <x v="1"/>
    <x v="10"/>
    <x v="18"/>
    <n v="190801"/>
    <n v="190801"/>
    <m/>
    <n v="3"/>
    <n v="190801"/>
    <n v="94500"/>
  </r>
  <r>
    <x v="295"/>
    <x v="3"/>
    <m/>
    <x v="22"/>
    <x v="10"/>
    <x v="29"/>
    <n v="190801"/>
    <n v="190801"/>
    <m/>
    <n v="1"/>
    <n v="190801"/>
    <n v="43000"/>
  </r>
  <r>
    <x v="295"/>
    <x v="3"/>
    <m/>
    <x v="0"/>
    <x v="3"/>
    <x v="15"/>
    <n v="190801"/>
    <n v="190801"/>
    <m/>
    <n v="2"/>
    <n v="190801"/>
    <n v="0"/>
  </r>
  <r>
    <x v="295"/>
    <x v="3"/>
    <m/>
    <x v="18"/>
    <x v="3"/>
    <x v="19"/>
    <n v="190801"/>
    <n v="190801"/>
    <m/>
    <n v="2"/>
    <n v="190801"/>
    <n v="0"/>
  </r>
  <r>
    <x v="295"/>
    <x v="3"/>
    <m/>
    <x v="5"/>
    <x v="3"/>
    <x v="28"/>
    <n v="190801"/>
    <n v="190801"/>
    <m/>
    <n v="2"/>
    <n v="190801"/>
    <n v="0"/>
  </r>
  <r>
    <x v="295"/>
    <x v="3"/>
    <m/>
    <x v="4"/>
    <x v="3"/>
    <x v="27"/>
    <n v="190801"/>
    <n v="190801"/>
    <m/>
    <n v="2"/>
    <n v="190801"/>
    <n v="0"/>
  </r>
  <r>
    <x v="295"/>
    <x v="3"/>
    <m/>
    <x v="6"/>
    <x v="3"/>
    <x v="37"/>
    <n v="190801"/>
    <n v="190801"/>
    <m/>
    <n v="2"/>
    <n v="190801"/>
    <n v="0"/>
  </r>
  <r>
    <x v="295"/>
    <x v="3"/>
    <m/>
    <x v="0"/>
    <x v="9"/>
    <x v="15"/>
    <n v="190801"/>
    <n v="190801"/>
    <m/>
    <n v="3"/>
    <n v="190801"/>
    <n v="60000"/>
  </r>
  <r>
    <x v="295"/>
    <x v="3"/>
    <m/>
    <x v="0"/>
    <x v="11"/>
    <x v="15"/>
    <n v="190801"/>
    <n v="190801"/>
    <m/>
    <n v="1"/>
    <n v="190801"/>
    <n v="26200"/>
  </r>
  <r>
    <x v="244"/>
    <x v="4"/>
    <m/>
    <x v="0"/>
    <x v="7"/>
    <x v="15"/>
    <n v="190801"/>
    <n v="190801"/>
    <m/>
    <n v="1"/>
    <n v="190801"/>
    <n v="20000"/>
  </r>
  <r>
    <x v="244"/>
    <x v="4"/>
    <m/>
    <x v="6"/>
    <x v="2"/>
    <x v="37"/>
    <n v="190801"/>
    <n v="190801"/>
    <m/>
    <n v="9"/>
    <n v="190801"/>
    <n v="180000"/>
  </r>
  <r>
    <x v="244"/>
    <x v="4"/>
    <m/>
    <x v="6"/>
    <x v="2"/>
    <x v="42"/>
    <n v="190801"/>
    <n v="190801"/>
    <m/>
    <n v="8"/>
    <n v="190801"/>
    <n v="280000"/>
  </r>
  <r>
    <x v="244"/>
    <x v="4"/>
    <m/>
    <x v="19"/>
    <x v="2"/>
    <x v="38"/>
    <n v="190801"/>
    <n v="190801"/>
    <m/>
    <n v="6"/>
    <n v="190801"/>
    <n v="60000"/>
  </r>
  <r>
    <x v="244"/>
    <x v="4"/>
    <m/>
    <x v="29"/>
    <x v="2"/>
    <x v="40"/>
    <n v="190801"/>
    <n v="190801"/>
    <m/>
    <n v="1"/>
    <n v="190801"/>
    <n v="35000"/>
  </r>
  <r>
    <x v="244"/>
    <x v="4"/>
    <m/>
    <x v="29"/>
    <x v="2"/>
    <x v="41"/>
    <n v="190801"/>
    <n v="190801"/>
    <m/>
    <n v="4"/>
    <n v="190801"/>
    <n v="180000"/>
  </r>
  <r>
    <x v="244"/>
    <x v="4"/>
    <m/>
    <x v="1"/>
    <x v="2"/>
    <x v="18"/>
    <n v="190801"/>
    <n v="190801"/>
    <m/>
    <n v="3"/>
    <n v="190801"/>
    <n v="60000"/>
  </r>
  <r>
    <x v="244"/>
    <x v="4"/>
    <m/>
    <x v="1"/>
    <x v="2"/>
    <x v="21"/>
    <n v="190801"/>
    <n v="190801"/>
    <m/>
    <n v="1"/>
    <n v="190801"/>
    <n v="35000"/>
  </r>
  <r>
    <x v="244"/>
    <x v="4"/>
    <m/>
    <x v="0"/>
    <x v="2"/>
    <x v="15"/>
    <n v="190801"/>
    <n v="190801"/>
    <m/>
    <n v="42"/>
    <n v="190801"/>
    <n v="840000"/>
  </r>
  <r>
    <x v="244"/>
    <x v="4"/>
    <m/>
    <x v="0"/>
    <x v="2"/>
    <x v="16"/>
    <n v="190801"/>
    <n v="190801"/>
    <m/>
    <n v="43"/>
    <n v="190801"/>
    <n v="1505000"/>
  </r>
  <r>
    <x v="244"/>
    <x v="4"/>
    <m/>
    <x v="0"/>
    <x v="2"/>
    <x v="17"/>
    <n v="190801"/>
    <n v="190801"/>
    <m/>
    <n v="45"/>
    <n v="190801"/>
    <n v="1485000"/>
  </r>
  <r>
    <x v="244"/>
    <x v="4"/>
    <m/>
    <x v="0"/>
    <x v="2"/>
    <x v="19"/>
    <n v="190801"/>
    <n v="190801"/>
    <m/>
    <n v="55"/>
    <n v="190801"/>
    <n v="165000"/>
  </r>
  <r>
    <x v="244"/>
    <x v="4"/>
    <m/>
    <x v="5"/>
    <x v="2"/>
    <x v="28"/>
    <n v="190801"/>
    <n v="190801"/>
    <m/>
    <n v="19"/>
    <n v="190801"/>
    <n v="532000"/>
  </r>
  <r>
    <x v="244"/>
    <x v="4"/>
    <m/>
    <x v="22"/>
    <x v="2"/>
    <x v="29"/>
    <n v="190801"/>
    <n v="190801"/>
    <m/>
    <n v="7"/>
    <n v="190801"/>
    <n v="266000"/>
  </r>
  <r>
    <x v="244"/>
    <x v="4"/>
    <m/>
    <x v="19"/>
    <x v="2"/>
    <x v="22"/>
    <n v="190801"/>
    <n v="190801"/>
    <m/>
    <n v="6"/>
    <n v="190801"/>
    <n v="78000"/>
  </r>
  <r>
    <x v="244"/>
    <x v="4"/>
    <m/>
    <x v="19"/>
    <x v="2"/>
    <x v="23"/>
    <n v="190801"/>
    <n v="190801"/>
    <m/>
    <n v="1"/>
    <n v="190801"/>
    <n v="24000"/>
  </r>
  <r>
    <x v="244"/>
    <x v="4"/>
    <m/>
    <x v="19"/>
    <x v="2"/>
    <x v="24"/>
    <n v="190801"/>
    <n v="190801"/>
    <m/>
    <n v="4"/>
    <n v="190801"/>
    <n v="132000"/>
  </r>
  <r>
    <x v="244"/>
    <x v="4"/>
    <m/>
    <x v="0"/>
    <x v="3"/>
    <x v="15"/>
    <n v="190801"/>
    <n v="190801"/>
    <m/>
    <n v="1"/>
    <n v="190801"/>
    <n v="0"/>
  </r>
  <r>
    <x v="244"/>
    <x v="4"/>
    <m/>
    <x v="1"/>
    <x v="9"/>
    <x v="18"/>
    <n v="190801"/>
    <n v="190801"/>
    <m/>
    <n v="1"/>
    <n v="190801"/>
    <n v="20000"/>
  </r>
  <r>
    <x v="296"/>
    <x v="1"/>
    <m/>
    <x v="19"/>
    <x v="5"/>
    <x v="50"/>
    <n v="190801"/>
    <n v="190801"/>
    <m/>
    <n v="10"/>
    <n v="190801"/>
    <n v="72000"/>
  </r>
  <r>
    <x v="296"/>
    <x v="1"/>
    <m/>
    <x v="5"/>
    <x v="5"/>
    <x v="53"/>
    <n v="190801"/>
    <n v="190801"/>
    <m/>
    <n v="20"/>
    <n v="190801"/>
    <n v="297000"/>
  </r>
  <r>
    <x v="296"/>
    <x v="1"/>
    <m/>
    <x v="6"/>
    <x v="2"/>
    <x v="37"/>
    <n v="190801"/>
    <n v="190801"/>
    <m/>
    <n v="9"/>
    <n v="190801"/>
    <n v="180000"/>
  </r>
  <r>
    <x v="296"/>
    <x v="1"/>
    <m/>
    <x v="6"/>
    <x v="2"/>
    <x v="42"/>
    <n v="190801"/>
    <n v="190801"/>
    <m/>
    <n v="5"/>
    <n v="190801"/>
    <n v="175000"/>
  </r>
  <r>
    <x v="296"/>
    <x v="1"/>
    <m/>
    <x v="19"/>
    <x v="2"/>
    <x v="38"/>
    <n v="190801"/>
    <n v="190801"/>
    <m/>
    <n v="3"/>
    <n v="190801"/>
    <n v="30000"/>
  </r>
  <r>
    <x v="296"/>
    <x v="1"/>
    <m/>
    <x v="29"/>
    <x v="2"/>
    <x v="40"/>
    <n v="190801"/>
    <n v="190801"/>
    <m/>
    <n v="7"/>
    <n v="190801"/>
    <n v="245000"/>
  </r>
  <r>
    <x v="296"/>
    <x v="1"/>
    <m/>
    <x v="29"/>
    <x v="2"/>
    <x v="41"/>
    <n v="190801"/>
    <n v="190801"/>
    <m/>
    <n v="7"/>
    <n v="190801"/>
    <n v="315000"/>
  </r>
  <r>
    <x v="296"/>
    <x v="1"/>
    <m/>
    <x v="1"/>
    <x v="2"/>
    <x v="18"/>
    <n v="190801"/>
    <n v="190801"/>
    <m/>
    <n v="3"/>
    <n v="190801"/>
    <n v="60000"/>
  </r>
  <r>
    <x v="296"/>
    <x v="1"/>
    <m/>
    <x v="1"/>
    <x v="2"/>
    <x v="21"/>
    <n v="190801"/>
    <n v="190801"/>
    <m/>
    <n v="1"/>
    <n v="190801"/>
    <n v="35000"/>
  </r>
  <r>
    <x v="296"/>
    <x v="1"/>
    <m/>
    <x v="0"/>
    <x v="2"/>
    <x v="15"/>
    <n v="190801"/>
    <n v="190801"/>
    <m/>
    <n v="78"/>
    <n v="190801"/>
    <n v="1560000"/>
  </r>
  <r>
    <x v="296"/>
    <x v="1"/>
    <m/>
    <x v="0"/>
    <x v="2"/>
    <x v="16"/>
    <n v="190801"/>
    <n v="190801"/>
    <m/>
    <n v="50"/>
    <n v="190801"/>
    <n v="1750000"/>
  </r>
  <r>
    <x v="296"/>
    <x v="1"/>
    <m/>
    <x v="0"/>
    <x v="2"/>
    <x v="17"/>
    <n v="190801"/>
    <n v="190801"/>
    <m/>
    <n v="61"/>
    <n v="190801"/>
    <n v="2013000"/>
  </r>
  <r>
    <x v="296"/>
    <x v="1"/>
    <m/>
    <x v="0"/>
    <x v="2"/>
    <x v="19"/>
    <n v="190801"/>
    <n v="190801"/>
    <m/>
    <n v="72"/>
    <n v="190801"/>
    <n v="216000"/>
  </r>
  <r>
    <x v="296"/>
    <x v="1"/>
    <m/>
    <x v="5"/>
    <x v="2"/>
    <x v="28"/>
    <n v="190801"/>
    <n v="190801"/>
    <m/>
    <n v="17"/>
    <n v="190801"/>
    <n v="476000"/>
  </r>
  <r>
    <x v="296"/>
    <x v="1"/>
    <m/>
    <x v="22"/>
    <x v="2"/>
    <x v="29"/>
    <n v="190801"/>
    <n v="190801"/>
    <m/>
    <n v="8"/>
    <n v="190801"/>
    <n v="304000"/>
  </r>
  <r>
    <x v="296"/>
    <x v="1"/>
    <m/>
    <x v="19"/>
    <x v="2"/>
    <x v="22"/>
    <n v="190801"/>
    <n v="190801"/>
    <m/>
    <n v="1"/>
    <n v="190801"/>
    <n v="13000"/>
  </r>
  <r>
    <x v="296"/>
    <x v="1"/>
    <m/>
    <x v="19"/>
    <x v="2"/>
    <x v="24"/>
    <n v="190801"/>
    <n v="190801"/>
    <m/>
    <n v="1"/>
    <n v="190801"/>
    <n v="33000"/>
  </r>
  <r>
    <x v="296"/>
    <x v="1"/>
    <m/>
    <x v="0"/>
    <x v="3"/>
    <x v="15"/>
    <n v="190801"/>
    <n v="190801"/>
    <m/>
    <n v="2"/>
    <n v="190801"/>
    <n v="0"/>
  </r>
  <r>
    <x v="296"/>
    <x v="1"/>
    <m/>
    <x v="18"/>
    <x v="3"/>
    <x v="19"/>
    <n v="190801"/>
    <n v="190801"/>
    <m/>
    <n v="305"/>
    <n v="190801"/>
    <n v="0"/>
  </r>
  <r>
    <x v="296"/>
    <x v="1"/>
    <m/>
    <x v="0"/>
    <x v="10"/>
    <x v="15"/>
    <n v="190801"/>
    <n v="190801"/>
    <m/>
    <n v="22"/>
    <n v="190801"/>
    <n v="693000"/>
  </r>
  <r>
    <x v="296"/>
    <x v="1"/>
    <m/>
    <x v="0"/>
    <x v="10"/>
    <x v="16"/>
    <n v="190801"/>
    <n v="190801"/>
    <m/>
    <n v="9"/>
    <n v="190801"/>
    <n v="396000"/>
  </r>
  <r>
    <x v="296"/>
    <x v="1"/>
    <m/>
    <x v="5"/>
    <x v="10"/>
    <x v="28"/>
    <n v="190801"/>
    <n v="190801"/>
    <m/>
    <n v="5"/>
    <n v="190801"/>
    <n v="190000"/>
  </r>
  <r>
    <x v="296"/>
    <x v="1"/>
    <m/>
    <x v="22"/>
    <x v="10"/>
    <x v="29"/>
    <n v="190801"/>
    <n v="190801"/>
    <m/>
    <n v="2"/>
    <n v="190801"/>
    <n v="86000"/>
  </r>
  <r>
    <x v="296"/>
    <x v="1"/>
    <m/>
    <x v="22"/>
    <x v="12"/>
    <x v="29"/>
    <n v="190801"/>
    <n v="190801"/>
    <m/>
    <n v="1"/>
    <n v="190801"/>
    <n v="37780"/>
  </r>
  <r>
    <x v="296"/>
    <x v="1"/>
    <m/>
    <x v="5"/>
    <x v="12"/>
    <x v="28"/>
    <n v="190801"/>
    <n v="190801"/>
    <m/>
    <n v="1"/>
    <n v="190801"/>
    <n v="32900"/>
  </r>
  <r>
    <x v="296"/>
    <x v="1"/>
    <m/>
    <x v="0"/>
    <x v="13"/>
    <x v="17"/>
    <n v="190801"/>
    <n v="190801"/>
    <m/>
    <n v="1"/>
    <n v="190801"/>
    <n v="44900"/>
  </r>
  <r>
    <x v="296"/>
    <x v="1"/>
    <m/>
    <x v="1"/>
    <x v="13"/>
    <x v="18"/>
    <n v="190801"/>
    <n v="190801"/>
    <m/>
    <n v="1"/>
    <n v="190801"/>
    <n v="25900"/>
  </r>
  <r>
    <x v="297"/>
    <x v="0"/>
    <m/>
    <x v="22"/>
    <x v="5"/>
    <x v="52"/>
    <n v="190801"/>
    <n v="190801"/>
    <m/>
    <n v="10"/>
    <n v="190801"/>
    <n v="171000"/>
  </r>
  <r>
    <x v="297"/>
    <x v="0"/>
    <m/>
    <x v="5"/>
    <x v="5"/>
    <x v="53"/>
    <n v="190801"/>
    <n v="190801"/>
    <m/>
    <n v="10"/>
    <n v="190801"/>
    <n v="148500"/>
  </r>
  <r>
    <x v="297"/>
    <x v="0"/>
    <m/>
    <x v="6"/>
    <x v="2"/>
    <x v="37"/>
    <n v="190801"/>
    <n v="190801"/>
    <m/>
    <n v="3"/>
    <n v="190801"/>
    <n v="60000"/>
  </r>
  <r>
    <x v="297"/>
    <x v="0"/>
    <m/>
    <x v="6"/>
    <x v="2"/>
    <x v="42"/>
    <n v="190801"/>
    <n v="190801"/>
    <m/>
    <n v="2"/>
    <n v="190801"/>
    <n v="70000"/>
  </r>
  <r>
    <x v="297"/>
    <x v="0"/>
    <m/>
    <x v="29"/>
    <x v="2"/>
    <x v="40"/>
    <n v="190801"/>
    <n v="190801"/>
    <m/>
    <n v="2"/>
    <n v="190801"/>
    <n v="70000"/>
  </r>
  <r>
    <x v="297"/>
    <x v="0"/>
    <m/>
    <x v="29"/>
    <x v="2"/>
    <x v="41"/>
    <n v="190801"/>
    <n v="190801"/>
    <m/>
    <n v="6"/>
    <n v="190801"/>
    <n v="270000"/>
  </r>
  <r>
    <x v="297"/>
    <x v="0"/>
    <m/>
    <x v="1"/>
    <x v="2"/>
    <x v="18"/>
    <n v="190801"/>
    <n v="190801"/>
    <m/>
    <n v="3"/>
    <n v="190801"/>
    <n v="60000"/>
  </r>
  <r>
    <x v="297"/>
    <x v="0"/>
    <m/>
    <x v="0"/>
    <x v="2"/>
    <x v="15"/>
    <n v="190801"/>
    <n v="190801"/>
    <m/>
    <n v="53"/>
    <n v="190801"/>
    <n v="1060000"/>
  </r>
  <r>
    <x v="297"/>
    <x v="0"/>
    <m/>
    <x v="0"/>
    <x v="2"/>
    <x v="16"/>
    <n v="190801"/>
    <n v="190801"/>
    <m/>
    <n v="55"/>
    <n v="190801"/>
    <n v="1925000"/>
  </r>
  <r>
    <x v="297"/>
    <x v="0"/>
    <m/>
    <x v="0"/>
    <x v="2"/>
    <x v="17"/>
    <n v="190801"/>
    <n v="190801"/>
    <m/>
    <n v="48"/>
    <n v="190801"/>
    <n v="1584000"/>
  </r>
  <r>
    <x v="297"/>
    <x v="0"/>
    <m/>
    <x v="0"/>
    <x v="2"/>
    <x v="19"/>
    <n v="190801"/>
    <n v="190801"/>
    <m/>
    <n v="69"/>
    <n v="190801"/>
    <n v="207000"/>
  </r>
  <r>
    <x v="297"/>
    <x v="0"/>
    <m/>
    <x v="5"/>
    <x v="2"/>
    <x v="28"/>
    <n v="190801"/>
    <n v="190801"/>
    <m/>
    <n v="18"/>
    <n v="190801"/>
    <n v="504000"/>
  </r>
  <r>
    <x v="297"/>
    <x v="0"/>
    <m/>
    <x v="22"/>
    <x v="2"/>
    <x v="29"/>
    <n v="190801"/>
    <n v="190801"/>
    <m/>
    <n v="8"/>
    <n v="190801"/>
    <n v="304000"/>
  </r>
  <r>
    <x v="297"/>
    <x v="0"/>
    <m/>
    <x v="0"/>
    <x v="10"/>
    <x v="15"/>
    <n v="190801"/>
    <n v="190801"/>
    <m/>
    <n v="10"/>
    <n v="190801"/>
    <n v="315000"/>
  </r>
  <r>
    <x v="297"/>
    <x v="0"/>
    <m/>
    <x v="0"/>
    <x v="10"/>
    <x v="16"/>
    <n v="190801"/>
    <n v="190801"/>
    <m/>
    <n v="3"/>
    <n v="190801"/>
    <n v="132000"/>
  </r>
  <r>
    <x v="297"/>
    <x v="0"/>
    <m/>
    <x v="5"/>
    <x v="10"/>
    <x v="28"/>
    <n v="190801"/>
    <n v="190801"/>
    <m/>
    <n v="1"/>
    <n v="190801"/>
    <n v="38000"/>
  </r>
  <r>
    <x v="297"/>
    <x v="0"/>
    <m/>
    <x v="22"/>
    <x v="10"/>
    <x v="29"/>
    <n v="190801"/>
    <n v="190801"/>
    <m/>
    <n v="1"/>
    <n v="190801"/>
    <n v="43000"/>
  </r>
  <r>
    <x v="297"/>
    <x v="0"/>
    <m/>
    <x v="0"/>
    <x v="3"/>
    <x v="15"/>
    <n v="190801"/>
    <n v="190801"/>
    <m/>
    <n v="5"/>
    <n v="190801"/>
    <n v="0"/>
  </r>
  <r>
    <x v="297"/>
    <x v="0"/>
    <m/>
    <x v="6"/>
    <x v="3"/>
    <x v="37"/>
    <n v="190801"/>
    <n v="190801"/>
    <m/>
    <n v="1"/>
    <n v="190801"/>
    <n v="0"/>
  </r>
  <r>
    <x v="297"/>
    <x v="0"/>
    <m/>
    <x v="5"/>
    <x v="12"/>
    <x v="28"/>
    <n v="190801"/>
    <n v="190801"/>
    <m/>
    <n v="1"/>
    <n v="190801"/>
    <n v="32900"/>
  </r>
  <r>
    <x v="297"/>
    <x v="0"/>
    <m/>
    <x v="0"/>
    <x v="9"/>
    <x v="15"/>
    <n v="190801"/>
    <n v="190801"/>
    <m/>
    <n v="3"/>
    <n v="190801"/>
    <n v="60000"/>
  </r>
  <r>
    <x v="298"/>
    <x v="2"/>
    <m/>
    <x v="0"/>
    <x v="1"/>
    <x v="15"/>
    <n v="190801"/>
    <n v="190801"/>
    <m/>
    <n v="1"/>
    <n v="190801"/>
    <n v="20000"/>
  </r>
  <r>
    <x v="298"/>
    <x v="2"/>
    <m/>
    <x v="0"/>
    <x v="1"/>
    <x v="16"/>
    <n v="190801"/>
    <n v="190801"/>
    <m/>
    <n v="1"/>
    <n v="190801"/>
    <n v="35000"/>
  </r>
  <r>
    <x v="298"/>
    <x v="2"/>
    <m/>
    <x v="6"/>
    <x v="2"/>
    <x v="37"/>
    <n v="190801"/>
    <n v="190801"/>
    <m/>
    <n v="2"/>
    <n v="190801"/>
    <n v="40000"/>
  </r>
  <r>
    <x v="298"/>
    <x v="2"/>
    <m/>
    <x v="6"/>
    <x v="2"/>
    <x v="42"/>
    <n v="190801"/>
    <n v="190801"/>
    <m/>
    <n v="1"/>
    <n v="190801"/>
    <n v="35000"/>
  </r>
  <r>
    <x v="298"/>
    <x v="2"/>
    <m/>
    <x v="29"/>
    <x v="2"/>
    <x v="40"/>
    <n v="190801"/>
    <n v="190801"/>
    <m/>
    <n v="2"/>
    <n v="190801"/>
    <n v="70000"/>
  </r>
  <r>
    <x v="298"/>
    <x v="2"/>
    <m/>
    <x v="29"/>
    <x v="2"/>
    <x v="41"/>
    <n v="190801"/>
    <n v="190801"/>
    <m/>
    <n v="5"/>
    <n v="190801"/>
    <n v="225000"/>
  </r>
  <r>
    <x v="298"/>
    <x v="2"/>
    <m/>
    <x v="1"/>
    <x v="2"/>
    <x v="18"/>
    <n v="190801"/>
    <n v="190801"/>
    <m/>
    <n v="2"/>
    <n v="190801"/>
    <n v="40000"/>
  </r>
  <r>
    <x v="298"/>
    <x v="2"/>
    <m/>
    <x v="0"/>
    <x v="2"/>
    <x v="15"/>
    <n v="190801"/>
    <n v="190801"/>
    <m/>
    <n v="51"/>
    <n v="190801"/>
    <n v="1020000"/>
  </r>
  <r>
    <x v="298"/>
    <x v="2"/>
    <m/>
    <x v="0"/>
    <x v="2"/>
    <x v="16"/>
    <n v="190801"/>
    <n v="190801"/>
    <m/>
    <n v="43"/>
    <n v="190801"/>
    <n v="1505000"/>
  </r>
  <r>
    <x v="298"/>
    <x v="2"/>
    <m/>
    <x v="0"/>
    <x v="2"/>
    <x v="17"/>
    <n v="190801"/>
    <n v="190801"/>
    <m/>
    <n v="35"/>
    <n v="190801"/>
    <n v="1155000"/>
  </r>
  <r>
    <x v="298"/>
    <x v="2"/>
    <m/>
    <x v="0"/>
    <x v="2"/>
    <x v="19"/>
    <n v="190801"/>
    <n v="190801"/>
    <m/>
    <n v="51"/>
    <n v="190801"/>
    <n v="153000"/>
  </r>
  <r>
    <x v="298"/>
    <x v="2"/>
    <m/>
    <x v="5"/>
    <x v="2"/>
    <x v="28"/>
    <n v="190801"/>
    <n v="190801"/>
    <m/>
    <n v="15"/>
    <n v="190801"/>
    <n v="420000"/>
  </r>
  <r>
    <x v="298"/>
    <x v="2"/>
    <m/>
    <x v="22"/>
    <x v="2"/>
    <x v="29"/>
    <n v="190801"/>
    <n v="190801"/>
    <m/>
    <n v="6"/>
    <n v="190801"/>
    <n v="228000"/>
  </r>
  <r>
    <x v="298"/>
    <x v="2"/>
    <m/>
    <x v="0"/>
    <x v="3"/>
    <x v="15"/>
    <n v="190801"/>
    <n v="190801"/>
    <m/>
    <n v="3"/>
    <n v="190801"/>
    <n v="0"/>
  </r>
  <r>
    <x v="298"/>
    <x v="2"/>
    <m/>
    <x v="18"/>
    <x v="3"/>
    <x v="19"/>
    <n v="190801"/>
    <n v="190801"/>
    <m/>
    <n v="3"/>
    <n v="190801"/>
    <n v="0"/>
  </r>
  <r>
    <x v="298"/>
    <x v="2"/>
    <m/>
    <x v="5"/>
    <x v="3"/>
    <x v="28"/>
    <n v="190801"/>
    <n v="190801"/>
    <m/>
    <n v="3"/>
    <n v="190801"/>
    <n v="0"/>
  </r>
  <r>
    <x v="298"/>
    <x v="2"/>
    <m/>
    <x v="4"/>
    <x v="3"/>
    <x v="27"/>
    <n v="190801"/>
    <n v="190801"/>
    <m/>
    <n v="1"/>
    <n v="190801"/>
    <n v="0"/>
  </r>
  <r>
    <x v="298"/>
    <x v="2"/>
    <m/>
    <x v="6"/>
    <x v="3"/>
    <x v="37"/>
    <n v="190801"/>
    <n v="190801"/>
    <m/>
    <n v="3"/>
    <n v="190801"/>
    <n v="0"/>
  </r>
  <r>
    <x v="298"/>
    <x v="2"/>
    <m/>
    <x v="0"/>
    <x v="10"/>
    <x v="54"/>
    <n v="190801"/>
    <n v="190801"/>
    <m/>
    <n v="15"/>
    <n v="190801"/>
    <n v="495000"/>
  </r>
  <r>
    <x v="298"/>
    <x v="2"/>
    <m/>
    <x v="22"/>
    <x v="10"/>
    <x v="55"/>
    <n v="190801"/>
    <n v="190801"/>
    <m/>
    <n v="1"/>
    <n v="190801"/>
    <n v="44000"/>
  </r>
  <r>
    <x v="298"/>
    <x v="2"/>
    <m/>
    <x v="5"/>
    <x v="10"/>
    <x v="56"/>
    <n v="190801"/>
    <n v="190801"/>
    <m/>
    <n v="1"/>
    <n v="190801"/>
    <n v="39000"/>
  </r>
  <r>
    <x v="298"/>
    <x v="2"/>
    <m/>
    <x v="0"/>
    <x v="10"/>
    <x v="57"/>
    <n v="190801"/>
    <n v="190801"/>
    <m/>
    <n v="5"/>
    <n v="190801"/>
    <n v="265000"/>
  </r>
  <r>
    <x v="298"/>
    <x v="2"/>
    <m/>
    <x v="0"/>
    <x v="12"/>
    <x v="54"/>
    <n v="190801"/>
    <n v="190801"/>
    <m/>
    <n v="1"/>
    <n v="190801"/>
    <n v="25053"/>
  </r>
  <r>
    <x v="298"/>
    <x v="2"/>
    <m/>
    <x v="1"/>
    <x v="12"/>
    <x v="58"/>
    <n v="190801"/>
    <n v="190801"/>
    <m/>
    <n v="1"/>
    <n v="190801"/>
    <n v="25053"/>
  </r>
  <r>
    <x v="298"/>
    <x v="2"/>
    <m/>
    <x v="5"/>
    <x v="12"/>
    <x v="56"/>
    <n v="190801"/>
    <n v="190801"/>
    <m/>
    <n v="2"/>
    <n v="190801"/>
    <n v="66050"/>
  </r>
  <r>
    <x v="298"/>
    <x v="2"/>
    <m/>
    <x v="6"/>
    <x v="12"/>
    <x v="59"/>
    <n v="190801"/>
    <n v="190801"/>
    <m/>
    <n v="1"/>
    <n v="190801"/>
    <n v="25053"/>
  </r>
  <r>
    <x v="298"/>
    <x v="2"/>
    <m/>
    <x v="0"/>
    <x v="9"/>
    <x v="15"/>
    <n v="190801"/>
    <n v="190801"/>
    <m/>
    <n v="1"/>
    <n v="190801"/>
    <n v="20000"/>
  </r>
  <r>
    <x v="298"/>
    <x v="2"/>
    <m/>
    <x v="6"/>
    <x v="9"/>
    <x v="37"/>
    <n v="190801"/>
    <n v="190801"/>
    <m/>
    <n v="3"/>
    <n v="190801"/>
    <n v="60000"/>
  </r>
  <r>
    <x v="299"/>
    <x v="5"/>
    <m/>
    <x v="6"/>
    <x v="2"/>
    <x v="37"/>
    <n v="190801"/>
    <n v="190801"/>
    <m/>
    <n v="4"/>
    <n v="190801"/>
    <n v="80000"/>
  </r>
  <r>
    <x v="299"/>
    <x v="5"/>
    <m/>
    <x v="6"/>
    <x v="2"/>
    <x v="42"/>
    <n v="190801"/>
    <n v="190801"/>
    <m/>
    <n v="1"/>
    <n v="190801"/>
    <n v="35000"/>
  </r>
  <r>
    <x v="299"/>
    <x v="5"/>
    <m/>
    <x v="29"/>
    <x v="2"/>
    <x v="41"/>
    <n v="190801"/>
    <n v="190801"/>
    <m/>
    <n v="3"/>
    <n v="190801"/>
    <n v="135000"/>
  </r>
  <r>
    <x v="299"/>
    <x v="5"/>
    <m/>
    <x v="1"/>
    <x v="2"/>
    <x v="18"/>
    <n v="190801"/>
    <n v="190801"/>
    <m/>
    <n v="2"/>
    <n v="190801"/>
    <n v="40000"/>
  </r>
  <r>
    <x v="299"/>
    <x v="5"/>
    <m/>
    <x v="0"/>
    <x v="2"/>
    <x v="15"/>
    <n v="190801"/>
    <n v="190801"/>
    <m/>
    <n v="40"/>
    <n v="190801"/>
    <n v="800000"/>
  </r>
  <r>
    <x v="299"/>
    <x v="5"/>
    <m/>
    <x v="0"/>
    <x v="2"/>
    <x v="16"/>
    <n v="190801"/>
    <n v="190801"/>
    <m/>
    <n v="45"/>
    <n v="190801"/>
    <n v="1575000"/>
  </r>
  <r>
    <x v="299"/>
    <x v="5"/>
    <m/>
    <x v="0"/>
    <x v="2"/>
    <x v="17"/>
    <n v="190801"/>
    <n v="190801"/>
    <m/>
    <n v="47"/>
    <n v="190801"/>
    <n v="1551000"/>
  </r>
  <r>
    <x v="299"/>
    <x v="5"/>
    <m/>
    <x v="0"/>
    <x v="2"/>
    <x v="19"/>
    <n v="190801"/>
    <n v="190801"/>
    <m/>
    <n v="46"/>
    <n v="190801"/>
    <n v="138000"/>
  </r>
  <r>
    <x v="299"/>
    <x v="5"/>
    <m/>
    <x v="5"/>
    <x v="2"/>
    <x v="28"/>
    <n v="190801"/>
    <n v="190801"/>
    <m/>
    <n v="7"/>
    <n v="190801"/>
    <n v="196000"/>
  </r>
  <r>
    <x v="299"/>
    <x v="5"/>
    <m/>
    <x v="22"/>
    <x v="2"/>
    <x v="29"/>
    <n v="190801"/>
    <n v="190801"/>
    <m/>
    <n v="7"/>
    <n v="190801"/>
    <n v="266000"/>
  </r>
  <r>
    <x v="300"/>
    <x v="6"/>
    <m/>
    <x v="6"/>
    <x v="2"/>
    <x v="37"/>
    <n v="190801"/>
    <n v="190801"/>
    <m/>
    <n v="1"/>
    <n v="190801"/>
    <n v="20000"/>
  </r>
  <r>
    <x v="300"/>
    <x v="6"/>
    <m/>
    <x v="6"/>
    <x v="2"/>
    <x v="42"/>
    <n v="190801"/>
    <n v="190801"/>
    <m/>
    <n v="3"/>
    <n v="190801"/>
    <n v="105000"/>
  </r>
  <r>
    <x v="300"/>
    <x v="6"/>
    <m/>
    <x v="29"/>
    <x v="2"/>
    <x v="40"/>
    <n v="190801"/>
    <n v="190801"/>
    <m/>
    <n v="1"/>
    <n v="190801"/>
    <n v="35000"/>
  </r>
  <r>
    <x v="300"/>
    <x v="6"/>
    <m/>
    <x v="29"/>
    <x v="2"/>
    <x v="41"/>
    <n v="190801"/>
    <n v="190801"/>
    <m/>
    <n v="3"/>
    <n v="190801"/>
    <n v="135000"/>
  </r>
  <r>
    <x v="300"/>
    <x v="6"/>
    <m/>
    <x v="1"/>
    <x v="2"/>
    <x v="18"/>
    <n v="190801"/>
    <n v="190801"/>
    <m/>
    <n v="2"/>
    <n v="190801"/>
    <n v="40000"/>
  </r>
  <r>
    <x v="300"/>
    <x v="6"/>
    <m/>
    <x v="1"/>
    <x v="2"/>
    <x v="21"/>
    <n v="190801"/>
    <n v="190801"/>
    <m/>
    <n v="1"/>
    <n v="190801"/>
    <n v="35000"/>
  </r>
  <r>
    <x v="300"/>
    <x v="6"/>
    <m/>
    <x v="0"/>
    <x v="2"/>
    <x v="15"/>
    <n v="190801"/>
    <n v="190801"/>
    <m/>
    <n v="59"/>
    <n v="190801"/>
    <n v="1180000"/>
  </r>
  <r>
    <x v="300"/>
    <x v="6"/>
    <m/>
    <x v="0"/>
    <x v="2"/>
    <x v="16"/>
    <n v="190801"/>
    <n v="190801"/>
    <m/>
    <n v="59"/>
    <n v="190801"/>
    <n v="2065000"/>
  </r>
  <r>
    <x v="300"/>
    <x v="6"/>
    <m/>
    <x v="0"/>
    <x v="2"/>
    <x v="17"/>
    <n v="190801"/>
    <n v="190801"/>
    <m/>
    <n v="48"/>
    <n v="190801"/>
    <n v="1584000"/>
  </r>
  <r>
    <x v="300"/>
    <x v="6"/>
    <m/>
    <x v="0"/>
    <x v="2"/>
    <x v="19"/>
    <n v="190801"/>
    <n v="190801"/>
    <m/>
    <n v="67"/>
    <n v="190801"/>
    <n v="201000"/>
  </r>
  <r>
    <x v="300"/>
    <x v="6"/>
    <m/>
    <x v="5"/>
    <x v="2"/>
    <x v="28"/>
    <n v="190801"/>
    <n v="190801"/>
    <m/>
    <n v="18"/>
    <n v="190801"/>
    <n v="504000"/>
  </r>
  <r>
    <x v="300"/>
    <x v="6"/>
    <m/>
    <x v="22"/>
    <x v="2"/>
    <x v="29"/>
    <n v="190801"/>
    <n v="190801"/>
    <m/>
    <n v="6"/>
    <n v="190801"/>
    <n v="228000"/>
  </r>
  <r>
    <x v="300"/>
    <x v="6"/>
    <m/>
    <x v="0"/>
    <x v="6"/>
    <x v="15"/>
    <n v="190801"/>
    <n v="190801"/>
    <m/>
    <n v="537"/>
    <n v="190801"/>
    <n v="4869516"/>
  </r>
  <r>
    <x v="300"/>
    <x v="6"/>
    <m/>
    <x v="0"/>
    <x v="6"/>
    <x v="17"/>
    <n v="190801"/>
    <n v="190801"/>
    <m/>
    <n v="14"/>
    <n v="190801"/>
    <n v="221452"/>
  </r>
  <r>
    <x v="300"/>
    <x v="6"/>
    <m/>
    <x v="4"/>
    <x v="6"/>
    <x v="26"/>
    <n v="190801"/>
    <n v="190801"/>
    <m/>
    <n v="545"/>
    <n v="190801"/>
    <n v="584785"/>
  </r>
  <r>
    <x v="300"/>
    <x v="6"/>
    <m/>
    <x v="26"/>
    <x v="6"/>
    <x v="35"/>
    <n v="190801"/>
    <n v="190801"/>
    <m/>
    <n v="59"/>
    <n v="190801"/>
    <n v="1010729"/>
  </r>
  <r>
    <x v="300"/>
    <x v="6"/>
    <m/>
    <x v="22"/>
    <x v="6"/>
    <x v="29"/>
    <n v="190801"/>
    <n v="190801"/>
    <m/>
    <n v="26"/>
    <n v="190801"/>
    <n v="511966"/>
  </r>
  <r>
    <x v="300"/>
    <x v="6"/>
    <m/>
    <x v="24"/>
    <x v="6"/>
    <x v="31"/>
    <n v="190801"/>
    <n v="190801"/>
    <m/>
    <n v="173"/>
    <n v="190801"/>
    <n v="2573721"/>
  </r>
  <r>
    <x v="300"/>
    <x v="6"/>
    <m/>
    <x v="23"/>
    <x v="6"/>
    <x v="30"/>
    <n v="190801"/>
    <n v="190801"/>
    <m/>
    <n v="50"/>
    <n v="190801"/>
    <n v="348200"/>
  </r>
  <r>
    <x v="300"/>
    <x v="6"/>
    <m/>
    <x v="19"/>
    <x v="6"/>
    <x v="22"/>
    <n v="190801"/>
    <n v="190801"/>
    <m/>
    <n v="19"/>
    <n v="190801"/>
    <n v="129029"/>
  </r>
  <r>
    <x v="300"/>
    <x v="6"/>
    <m/>
    <x v="27"/>
    <x v="6"/>
    <x v="36"/>
    <n v="190801"/>
    <n v="190801"/>
    <m/>
    <n v="29"/>
    <n v="190801"/>
    <n v="274253"/>
  </r>
  <r>
    <x v="300"/>
    <x v="6"/>
    <m/>
    <x v="6"/>
    <x v="6"/>
    <x v="37"/>
    <n v="190801"/>
    <n v="190801"/>
    <m/>
    <n v="34"/>
    <n v="190801"/>
    <n v="340000"/>
  </r>
  <r>
    <x v="300"/>
    <x v="6"/>
    <m/>
    <x v="28"/>
    <x v="6"/>
    <x v="39"/>
    <n v="190801"/>
    <n v="190801"/>
    <m/>
    <n v="288"/>
    <n v="190801"/>
    <n v="4555584"/>
  </r>
  <r>
    <x v="299"/>
    <x v="5"/>
    <m/>
    <x v="0"/>
    <x v="9"/>
    <x v="15"/>
    <n v="190801"/>
    <n v="190801"/>
    <m/>
    <n v="4"/>
    <n v="190801"/>
    <n v="80000"/>
  </r>
  <r>
    <x v="300"/>
    <x v="6"/>
    <m/>
    <x v="0"/>
    <x v="9"/>
    <x v="15"/>
    <n v="190801"/>
    <n v="190801"/>
    <m/>
    <n v="8"/>
    <n v="190801"/>
    <n v="160000"/>
  </r>
  <r>
    <x v="300"/>
    <x v="6"/>
    <m/>
    <x v="6"/>
    <x v="9"/>
    <x v="37"/>
    <n v="190801"/>
    <n v="190801"/>
    <m/>
    <n v="2"/>
    <n v="190801"/>
    <n v="40000"/>
  </r>
  <r>
    <x v="301"/>
    <x v="3"/>
    <m/>
    <x v="0"/>
    <x v="1"/>
    <x v="16"/>
    <n v="190801"/>
    <n v="190801"/>
    <m/>
    <n v="39"/>
    <n v="190801"/>
    <n v="1365000"/>
  </r>
  <r>
    <x v="301"/>
    <x v="3"/>
    <m/>
    <x v="6"/>
    <x v="2"/>
    <x v="42"/>
    <n v="190801"/>
    <n v="190801"/>
    <m/>
    <n v="2"/>
    <n v="190801"/>
    <n v="70000"/>
  </r>
  <r>
    <x v="301"/>
    <x v="3"/>
    <m/>
    <x v="29"/>
    <x v="2"/>
    <x v="40"/>
    <n v="190801"/>
    <n v="190801"/>
    <m/>
    <n v="1"/>
    <n v="190801"/>
    <n v="35000"/>
  </r>
  <r>
    <x v="301"/>
    <x v="3"/>
    <m/>
    <x v="29"/>
    <x v="2"/>
    <x v="41"/>
    <n v="190801"/>
    <n v="190801"/>
    <m/>
    <n v="1"/>
    <n v="190801"/>
    <n v="45000"/>
  </r>
  <r>
    <x v="301"/>
    <x v="3"/>
    <m/>
    <x v="1"/>
    <x v="2"/>
    <x v="18"/>
    <n v="190801"/>
    <n v="190801"/>
    <m/>
    <n v="3"/>
    <n v="190801"/>
    <n v="60000"/>
  </r>
  <r>
    <x v="301"/>
    <x v="3"/>
    <m/>
    <x v="1"/>
    <x v="2"/>
    <x v="21"/>
    <n v="190801"/>
    <n v="190801"/>
    <m/>
    <n v="3"/>
    <n v="190801"/>
    <n v="105000"/>
  </r>
  <r>
    <x v="301"/>
    <x v="3"/>
    <m/>
    <x v="0"/>
    <x v="2"/>
    <x v="15"/>
    <n v="190801"/>
    <n v="190801"/>
    <m/>
    <n v="91"/>
    <n v="190801"/>
    <n v="1820000"/>
  </r>
  <r>
    <x v="301"/>
    <x v="3"/>
    <m/>
    <x v="0"/>
    <x v="2"/>
    <x v="16"/>
    <n v="190801"/>
    <n v="190801"/>
    <m/>
    <n v="77"/>
    <n v="190801"/>
    <n v="2695000"/>
  </r>
  <r>
    <x v="301"/>
    <x v="3"/>
    <m/>
    <x v="0"/>
    <x v="2"/>
    <x v="17"/>
    <n v="190801"/>
    <n v="190801"/>
    <m/>
    <n v="63"/>
    <n v="190801"/>
    <n v="2079000"/>
  </r>
  <r>
    <x v="301"/>
    <x v="3"/>
    <m/>
    <x v="0"/>
    <x v="2"/>
    <x v="19"/>
    <n v="190801"/>
    <n v="190801"/>
    <m/>
    <n v="93"/>
    <n v="190801"/>
    <n v="279000"/>
  </r>
  <r>
    <x v="301"/>
    <x v="3"/>
    <m/>
    <x v="5"/>
    <x v="2"/>
    <x v="28"/>
    <n v="190801"/>
    <n v="190801"/>
    <m/>
    <n v="23"/>
    <n v="190801"/>
    <n v="644000"/>
  </r>
  <r>
    <x v="301"/>
    <x v="3"/>
    <m/>
    <x v="22"/>
    <x v="2"/>
    <x v="29"/>
    <n v="190801"/>
    <n v="190801"/>
    <m/>
    <n v="8"/>
    <n v="190801"/>
    <n v="304000"/>
  </r>
  <r>
    <x v="301"/>
    <x v="3"/>
    <m/>
    <x v="0"/>
    <x v="3"/>
    <x v="15"/>
    <n v="190801"/>
    <n v="190801"/>
    <m/>
    <n v="2"/>
    <n v="190801"/>
    <n v="0"/>
  </r>
  <r>
    <x v="301"/>
    <x v="3"/>
    <m/>
    <x v="0"/>
    <x v="3"/>
    <x v="20"/>
    <n v="190801"/>
    <n v="190801"/>
    <m/>
    <n v="1"/>
    <n v="190801"/>
    <n v="0"/>
  </r>
  <r>
    <x v="301"/>
    <x v="3"/>
    <m/>
    <x v="0"/>
    <x v="3"/>
    <x v="17"/>
    <n v="190801"/>
    <n v="190801"/>
    <m/>
    <n v="2"/>
    <n v="190801"/>
    <n v="0"/>
  </r>
  <r>
    <x v="301"/>
    <x v="3"/>
    <m/>
    <x v="18"/>
    <x v="3"/>
    <x v="19"/>
    <n v="190801"/>
    <n v="190801"/>
    <m/>
    <n v="2"/>
    <n v="190801"/>
    <n v="0"/>
  </r>
  <r>
    <x v="301"/>
    <x v="3"/>
    <m/>
    <x v="5"/>
    <x v="3"/>
    <x v="28"/>
    <n v="190801"/>
    <n v="190801"/>
    <m/>
    <n v="3"/>
    <n v="190801"/>
    <n v="0"/>
  </r>
  <r>
    <x v="301"/>
    <x v="3"/>
    <m/>
    <x v="4"/>
    <x v="3"/>
    <x v="27"/>
    <n v="190801"/>
    <n v="190801"/>
    <m/>
    <n v="2"/>
    <n v="190801"/>
    <n v="0"/>
  </r>
  <r>
    <x v="301"/>
    <x v="3"/>
    <m/>
    <x v="6"/>
    <x v="3"/>
    <x v="37"/>
    <n v="190801"/>
    <n v="190801"/>
    <m/>
    <n v="2"/>
    <n v="190801"/>
    <n v="0"/>
  </r>
  <r>
    <x v="301"/>
    <x v="3"/>
    <m/>
    <x v="19"/>
    <x v="3"/>
    <x v="22"/>
    <n v="190801"/>
    <n v="190801"/>
    <m/>
    <n v="2"/>
    <n v="190801"/>
    <n v="0"/>
  </r>
  <r>
    <x v="301"/>
    <x v="3"/>
    <m/>
    <x v="1"/>
    <x v="3"/>
    <x v="18"/>
    <n v="190801"/>
    <n v="190801"/>
    <m/>
    <n v="1"/>
    <n v="190801"/>
    <n v="0"/>
  </r>
  <r>
    <x v="301"/>
    <x v="3"/>
    <m/>
    <x v="22"/>
    <x v="3"/>
    <x v="29"/>
    <n v="190801"/>
    <n v="190801"/>
    <m/>
    <n v="1"/>
    <n v="190801"/>
    <n v="0"/>
  </r>
  <r>
    <x v="301"/>
    <x v="3"/>
    <m/>
    <x v="0"/>
    <x v="10"/>
    <x v="54"/>
    <n v="190801"/>
    <n v="190801"/>
    <m/>
    <n v="27"/>
    <n v="190801"/>
    <n v="891000"/>
  </r>
  <r>
    <x v="301"/>
    <x v="3"/>
    <m/>
    <x v="22"/>
    <x v="10"/>
    <x v="55"/>
    <n v="190801"/>
    <n v="190801"/>
    <m/>
    <n v="4"/>
    <n v="190801"/>
    <n v="176000"/>
  </r>
  <r>
    <x v="301"/>
    <x v="3"/>
    <m/>
    <x v="5"/>
    <x v="10"/>
    <x v="56"/>
    <n v="190801"/>
    <n v="190801"/>
    <m/>
    <n v="10"/>
    <n v="190801"/>
    <n v="390000"/>
  </r>
  <r>
    <x v="301"/>
    <x v="3"/>
    <m/>
    <x v="6"/>
    <x v="10"/>
    <x v="59"/>
    <n v="190801"/>
    <n v="190801"/>
    <m/>
    <n v="2"/>
    <n v="190801"/>
    <n v="72000"/>
  </r>
  <r>
    <x v="301"/>
    <x v="3"/>
    <m/>
    <x v="0"/>
    <x v="10"/>
    <x v="57"/>
    <n v="190801"/>
    <n v="190801"/>
    <m/>
    <n v="9"/>
    <n v="190801"/>
    <n v="477000"/>
  </r>
  <r>
    <x v="301"/>
    <x v="3"/>
    <m/>
    <x v="0"/>
    <x v="12"/>
    <x v="54"/>
    <n v="190801"/>
    <n v="190801"/>
    <m/>
    <n v="5"/>
    <n v="190801"/>
    <n v="125265"/>
  </r>
  <r>
    <x v="301"/>
    <x v="3"/>
    <m/>
    <x v="5"/>
    <x v="12"/>
    <x v="56"/>
    <n v="190801"/>
    <n v="190801"/>
    <m/>
    <n v="5"/>
    <n v="190801"/>
    <n v="165125"/>
  </r>
  <r>
    <x v="301"/>
    <x v="3"/>
    <m/>
    <x v="6"/>
    <x v="12"/>
    <x v="59"/>
    <n v="190801"/>
    <n v="190801"/>
    <m/>
    <n v="1"/>
    <n v="190801"/>
    <n v="25053"/>
  </r>
  <r>
    <x v="301"/>
    <x v="3"/>
    <m/>
    <x v="0"/>
    <x v="12"/>
    <x v="60"/>
    <n v="190801"/>
    <n v="190801"/>
    <m/>
    <n v="1"/>
    <n v="190801"/>
    <n v="3000"/>
  </r>
  <r>
    <x v="301"/>
    <x v="3"/>
    <m/>
    <x v="0"/>
    <x v="9"/>
    <x v="15"/>
    <n v="190801"/>
    <n v="190801"/>
    <m/>
    <n v="8"/>
    <n v="190801"/>
    <n v="160000"/>
  </r>
  <r>
    <x v="302"/>
    <x v="4"/>
    <m/>
    <x v="0"/>
    <x v="1"/>
    <x v="15"/>
    <n v="190801"/>
    <n v="190801"/>
    <m/>
    <n v="5"/>
    <n v="190801"/>
    <n v="100000"/>
  </r>
  <r>
    <x v="302"/>
    <x v="4"/>
    <m/>
    <x v="0"/>
    <x v="1"/>
    <x v="16"/>
    <n v="190801"/>
    <n v="190801"/>
    <m/>
    <n v="43"/>
    <n v="190801"/>
    <n v="1505000"/>
  </r>
  <r>
    <x v="302"/>
    <x v="4"/>
    <m/>
    <x v="4"/>
    <x v="5"/>
    <x v="61"/>
    <n v="190801"/>
    <n v="190801"/>
    <m/>
    <n v="30"/>
    <n v="190801"/>
    <n v="54000"/>
  </r>
  <r>
    <x v="302"/>
    <x v="4"/>
    <m/>
    <x v="4"/>
    <x v="5"/>
    <x v="62"/>
    <n v="190801"/>
    <n v="190801"/>
    <m/>
    <n v="10"/>
    <n v="190801"/>
    <n v="180000"/>
  </r>
  <r>
    <x v="302"/>
    <x v="4"/>
    <m/>
    <x v="6"/>
    <x v="2"/>
    <x v="37"/>
    <n v="190801"/>
    <n v="190801"/>
    <m/>
    <n v="5"/>
    <n v="190801"/>
    <n v="100000"/>
  </r>
  <r>
    <x v="302"/>
    <x v="4"/>
    <m/>
    <x v="6"/>
    <x v="2"/>
    <x v="42"/>
    <n v="190801"/>
    <n v="190801"/>
    <m/>
    <n v="2"/>
    <n v="190801"/>
    <n v="70000"/>
  </r>
  <r>
    <x v="302"/>
    <x v="4"/>
    <m/>
    <x v="29"/>
    <x v="2"/>
    <x v="40"/>
    <n v="190801"/>
    <n v="190801"/>
    <m/>
    <n v="5"/>
    <n v="190801"/>
    <n v="175000"/>
  </r>
  <r>
    <x v="302"/>
    <x v="4"/>
    <m/>
    <x v="29"/>
    <x v="2"/>
    <x v="41"/>
    <n v="190801"/>
    <n v="190801"/>
    <m/>
    <n v="6"/>
    <n v="190801"/>
    <n v="270000"/>
  </r>
  <r>
    <x v="302"/>
    <x v="4"/>
    <m/>
    <x v="25"/>
    <x v="2"/>
    <x v="34"/>
    <n v="190801"/>
    <n v="190801"/>
    <m/>
    <n v="7"/>
    <n v="190801"/>
    <n v="693000"/>
  </r>
  <r>
    <x v="302"/>
    <x v="4"/>
    <m/>
    <x v="1"/>
    <x v="2"/>
    <x v="18"/>
    <n v="190801"/>
    <n v="190801"/>
    <m/>
    <n v="4"/>
    <n v="190801"/>
    <n v="80000"/>
  </r>
  <r>
    <x v="302"/>
    <x v="4"/>
    <m/>
    <x v="4"/>
    <x v="2"/>
    <x v="26"/>
    <n v="190801"/>
    <n v="190801"/>
    <m/>
    <n v="1"/>
    <n v="190801"/>
    <n v="4000"/>
  </r>
  <r>
    <x v="302"/>
    <x v="4"/>
    <m/>
    <x v="4"/>
    <x v="2"/>
    <x v="27"/>
    <n v="190801"/>
    <n v="190801"/>
    <m/>
    <n v="10"/>
    <n v="190801"/>
    <n v="200000"/>
  </r>
  <r>
    <x v="302"/>
    <x v="4"/>
    <m/>
    <x v="0"/>
    <x v="2"/>
    <x v="15"/>
    <n v="190801"/>
    <n v="190801"/>
    <m/>
    <n v="88"/>
    <n v="190801"/>
    <n v="1760000"/>
  </r>
  <r>
    <x v="302"/>
    <x v="4"/>
    <m/>
    <x v="0"/>
    <x v="2"/>
    <x v="16"/>
    <n v="190801"/>
    <n v="190801"/>
    <m/>
    <n v="66"/>
    <n v="190801"/>
    <n v="2310000"/>
  </r>
  <r>
    <x v="302"/>
    <x v="4"/>
    <m/>
    <x v="0"/>
    <x v="2"/>
    <x v="17"/>
    <n v="190801"/>
    <n v="190801"/>
    <m/>
    <n v="61"/>
    <n v="190801"/>
    <n v="2013000"/>
  </r>
  <r>
    <x v="302"/>
    <x v="4"/>
    <m/>
    <x v="0"/>
    <x v="2"/>
    <x v="19"/>
    <n v="190801"/>
    <n v="190801"/>
    <m/>
    <n v="88"/>
    <n v="190801"/>
    <n v="264000"/>
  </r>
  <r>
    <x v="302"/>
    <x v="4"/>
    <m/>
    <x v="5"/>
    <x v="2"/>
    <x v="28"/>
    <n v="190801"/>
    <n v="190801"/>
    <m/>
    <n v="21"/>
    <n v="190801"/>
    <n v="588000"/>
  </r>
  <r>
    <x v="302"/>
    <x v="4"/>
    <m/>
    <x v="22"/>
    <x v="2"/>
    <x v="29"/>
    <n v="190801"/>
    <n v="190801"/>
    <m/>
    <n v="7"/>
    <n v="190801"/>
    <n v="266000"/>
  </r>
  <r>
    <x v="302"/>
    <x v="4"/>
    <m/>
    <x v="0"/>
    <x v="3"/>
    <x v="15"/>
    <n v="190801"/>
    <n v="190801"/>
    <m/>
    <n v="5"/>
    <n v="190801"/>
    <n v="0"/>
  </r>
  <r>
    <x v="302"/>
    <x v="4"/>
    <m/>
    <x v="0"/>
    <x v="3"/>
    <x v="17"/>
    <n v="190801"/>
    <n v="190801"/>
    <m/>
    <n v="2"/>
    <n v="190801"/>
    <n v="0"/>
  </r>
  <r>
    <x v="302"/>
    <x v="4"/>
    <m/>
    <x v="5"/>
    <x v="3"/>
    <x v="28"/>
    <n v="190801"/>
    <n v="190801"/>
    <m/>
    <n v="2"/>
    <n v="190801"/>
    <n v="0"/>
  </r>
  <r>
    <x v="302"/>
    <x v="4"/>
    <m/>
    <x v="4"/>
    <x v="3"/>
    <x v="27"/>
    <n v="190801"/>
    <n v="190801"/>
    <m/>
    <n v="2"/>
    <n v="190801"/>
    <n v="0"/>
  </r>
  <r>
    <x v="302"/>
    <x v="4"/>
    <m/>
    <x v="6"/>
    <x v="3"/>
    <x v="37"/>
    <n v="190801"/>
    <n v="190801"/>
    <m/>
    <n v="2"/>
    <n v="190801"/>
    <n v="0"/>
  </r>
  <r>
    <x v="302"/>
    <x v="4"/>
    <m/>
    <x v="22"/>
    <x v="3"/>
    <x v="29"/>
    <n v="190801"/>
    <n v="190801"/>
    <m/>
    <n v="2"/>
    <n v="190801"/>
    <n v="0"/>
  </r>
  <r>
    <x v="302"/>
    <x v="4"/>
    <m/>
    <x v="19"/>
    <x v="3"/>
    <x v="22"/>
    <n v="190801"/>
    <n v="190801"/>
    <m/>
    <n v="2"/>
    <n v="190801"/>
    <n v="0"/>
  </r>
  <r>
    <x v="302"/>
    <x v="4"/>
    <m/>
    <x v="1"/>
    <x v="3"/>
    <x v="18"/>
    <n v="190801"/>
    <n v="190801"/>
    <m/>
    <n v="2"/>
    <n v="190801"/>
    <n v="0"/>
  </r>
  <r>
    <x v="302"/>
    <x v="4"/>
    <m/>
    <x v="0"/>
    <x v="10"/>
    <x v="54"/>
    <n v="190801"/>
    <n v="190801"/>
    <m/>
    <n v="10"/>
    <n v="190801"/>
    <n v="330000"/>
  </r>
  <r>
    <x v="302"/>
    <x v="4"/>
    <m/>
    <x v="22"/>
    <x v="10"/>
    <x v="55"/>
    <n v="190801"/>
    <n v="190801"/>
    <m/>
    <n v="1"/>
    <n v="190801"/>
    <n v="44000"/>
  </r>
  <r>
    <x v="302"/>
    <x v="4"/>
    <m/>
    <x v="5"/>
    <x v="10"/>
    <x v="56"/>
    <n v="190801"/>
    <n v="190801"/>
    <m/>
    <n v="3"/>
    <n v="190801"/>
    <n v="117000"/>
  </r>
  <r>
    <x v="302"/>
    <x v="4"/>
    <m/>
    <x v="0"/>
    <x v="10"/>
    <x v="57"/>
    <n v="190801"/>
    <n v="190801"/>
    <m/>
    <n v="3"/>
    <n v="190801"/>
    <n v="159000"/>
  </r>
  <r>
    <x v="302"/>
    <x v="4"/>
    <m/>
    <x v="0"/>
    <x v="12"/>
    <x v="54"/>
    <n v="190801"/>
    <n v="190801"/>
    <m/>
    <n v="1"/>
    <n v="190801"/>
    <n v="25053"/>
  </r>
  <r>
    <x v="302"/>
    <x v="4"/>
    <m/>
    <x v="5"/>
    <x v="12"/>
    <x v="56"/>
    <n v="190801"/>
    <n v="190801"/>
    <m/>
    <n v="2"/>
    <n v="190801"/>
    <n v="66050"/>
  </r>
  <r>
    <x v="302"/>
    <x v="4"/>
    <m/>
    <x v="5"/>
    <x v="9"/>
    <x v="28"/>
    <n v="190801"/>
    <n v="190801"/>
    <m/>
    <n v="1"/>
    <n v="190801"/>
    <n v="28000"/>
  </r>
  <r>
    <x v="302"/>
    <x v="4"/>
    <m/>
    <x v="0"/>
    <x v="9"/>
    <x v="15"/>
    <n v="190801"/>
    <n v="190801"/>
    <m/>
    <n v="7"/>
    <n v="190801"/>
    <n v="140000"/>
  </r>
  <r>
    <x v="302"/>
    <x v="4"/>
    <m/>
    <x v="22"/>
    <x v="9"/>
    <x v="29"/>
    <n v="190801"/>
    <n v="190801"/>
    <m/>
    <n v="1"/>
    <n v="190801"/>
    <n v="38000"/>
  </r>
  <r>
    <x v="303"/>
    <x v="1"/>
    <m/>
    <x v="0"/>
    <x v="1"/>
    <x v="15"/>
    <n v="190801"/>
    <n v="190801"/>
    <m/>
    <n v="6"/>
    <n v="190801"/>
    <n v="120000"/>
  </r>
  <r>
    <x v="303"/>
    <x v="1"/>
    <m/>
    <x v="0"/>
    <x v="1"/>
    <x v="16"/>
    <n v="190801"/>
    <n v="190801"/>
    <m/>
    <n v="18"/>
    <n v="190801"/>
    <n v="630000"/>
  </r>
  <r>
    <x v="303"/>
    <x v="1"/>
    <m/>
    <x v="6"/>
    <x v="2"/>
    <x v="37"/>
    <n v="190801"/>
    <n v="190801"/>
    <m/>
    <n v="5"/>
    <n v="190801"/>
    <n v="100000"/>
  </r>
  <r>
    <x v="303"/>
    <x v="1"/>
    <m/>
    <x v="6"/>
    <x v="2"/>
    <x v="42"/>
    <n v="190801"/>
    <n v="190801"/>
    <m/>
    <n v="2"/>
    <n v="190801"/>
    <n v="70000"/>
  </r>
  <r>
    <x v="303"/>
    <x v="1"/>
    <m/>
    <x v="29"/>
    <x v="2"/>
    <x v="40"/>
    <n v="190801"/>
    <n v="190801"/>
    <m/>
    <n v="6"/>
    <n v="190801"/>
    <n v="210000"/>
  </r>
  <r>
    <x v="303"/>
    <x v="1"/>
    <m/>
    <x v="29"/>
    <x v="2"/>
    <x v="41"/>
    <n v="190801"/>
    <n v="190801"/>
    <m/>
    <n v="2"/>
    <n v="190801"/>
    <n v="90000"/>
  </r>
  <r>
    <x v="303"/>
    <x v="1"/>
    <m/>
    <x v="25"/>
    <x v="2"/>
    <x v="34"/>
    <n v="190801"/>
    <n v="190801"/>
    <m/>
    <n v="4"/>
    <n v="190801"/>
    <n v="396000"/>
  </r>
  <r>
    <x v="303"/>
    <x v="1"/>
    <m/>
    <x v="1"/>
    <x v="2"/>
    <x v="18"/>
    <n v="190801"/>
    <n v="190801"/>
    <m/>
    <n v="2"/>
    <n v="190801"/>
    <n v="40000"/>
  </r>
  <r>
    <x v="303"/>
    <x v="1"/>
    <m/>
    <x v="1"/>
    <x v="2"/>
    <x v="21"/>
    <n v="190801"/>
    <n v="190801"/>
    <m/>
    <n v="1"/>
    <n v="190801"/>
    <n v="35000"/>
  </r>
  <r>
    <x v="303"/>
    <x v="1"/>
    <m/>
    <x v="4"/>
    <x v="2"/>
    <x v="26"/>
    <n v="190801"/>
    <n v="190801"/>
    <m/>
    <n v="2"/>
    <n v="190801"/>
    <n v="8000"/>
  </r>
  <r>
    <x v="303"/>
    <x v="1"/>
    <m/>
    <x v="4"/>
    <x v="2"/>
    <x v="27"/>
    <n v="190801"/>
    <n v="190801"/>
    <m/>
    <n v="11"/>
    <n v="190801"/>
    <n v="220000"/>
  </r>
  <r>
    <x v="303"/>
    <x v="1"/>
    <m/>
    <x v="0"/>
    <x v="2"/>
    <x v="15"/>
    <n v="190801"/>
    <n v="190801"/>
    <m/>
    <n v="78"/>
    <n v="190801"/>
    <n v="1560000"/>
  </r>
  <r>
    <x v="303"/>
    <x v="1"/>
    <m/>
    <x v="0"/>
    <x v="2"/>
    <x v="16"/>
    <n v="190801"/>
    <n v="190801"/>
    <m/>
    <n v="73"/>
    <n v="190801"/>
    <n v="2555000"/>
  </r>
  <r>
    <x v="303"/>
    <x v="1"/>
    <m/>
    <x v="0"/>
    <x v="2"/>
    <x v="17"/>
    <n v="190801"/>
    <n v="190801"/>
    <m/>
    <n v="67"/>
    <n v="190801"/>
    <n v="2211000"/>
  </r>
  <r>
    <x v="303"/>
    <x v="1"/>
    <m/>
    <x v="0"/>
    <x v="2"/>
    <x v="19"/>
    <n v="190801"/>
    <n v="190801"/>
    <m/>
    <n v="76"/>
    <n v="190801"/>
    <n v="228000"/>
  </r>
  <r>
    <x v="303"/>
    <x v="1"/>
    <m/>
    <x v="5"/>
    <x v="2"/>
    <x v="28"/>
    <n v="190801"/>
    <n v="190801"/>
    <m/>
    <n v="17"/>
    <n v="190801"/>
    <n v="476000"/>
  </r>
  <r>
    <x v="303"/>
    <x v="1"/>
    <m/>
    <x v="22"/>
    <x v="2"/>
    <x v="29"/>
    <n v="190801"/>
    <n v="190801"/>
    <m/>
    <n v="9"/>
    <n v="190801"/>
    <n v="342000"/>
  </r>
  <r>
    <x v="303"/>
    <x v="1"/>
    <m/>
    <x v="5"/>
    <x v="3"/>
    <x v="28"/>
    <n v="190801"/>
    <n v="190801"/>
    <m/>
    <n v="35"/>
    <n v="190801"/>
    <n v="0"/>
  </r>
  <r>
    <x v="303"/>
    <x v="1"/>
    <m/>
    <x v="4"/>
    <x v="3"/>
    <x v="27"/>
    <n v="190801"/>
    <n v="190801"/>
    <m/>
    <n v="10"/>
    <n v="190801"/>
    <n v="0"/>
  </r>
  <r>
    <x v="303"/>
    <x v="1"/>
    <m/>
    <x v="6"/>
    <x v="3"/>
    <x v="37"/>
    <n v="190801"/>
    <n v="190801"/>
    <m/>
    <n v="40"/>
    <n v="190801"/>
    <n v="0"/>
  </r>
  <r>
    <x v="303"/>
    <x v="1"/>
    <m/>
    <x v="22"/>
    <x v="3"/>
    <x v="29"/>
    <n v="190801"/>
    <n v="190801"/>
    <m/>
    <n v="40"/>
    <n v="190801"/>
    <n v="0"/>
  </r>
  <r>
    <x v="303"/>
    <x v="1"/>
    <m/>
    <x v="1"/>
    <x v="3"/>
    <x v="18"/>
    <n v="190801"/>
    <n v="190801"/>
    <m/>
    <n v="40"/>
    <n v="190801"/>
    <n v="0"/>
  </r>
  <r>
    <x v="303"/>
    <x v="1"/>
    <m/>
    <x v="0"/>
    <x v="10"/>
    <x v="54"/>
    <n v="190801"/>
    <n v="190801"/>
    <m/>
    <n v="4"/>
    <n v="190801"/>
    <n v="132000"/>
  </r>
  <r>
    <x v="303"/>
    <x v="1"/>
    <m/>
    <x v="22"/>
    <x v="10"/>
    <x v="55"/>
    <n v="190801"/>
    <n v="190801"/>
    <m/>
    <n v="1"/>
    <n v="190801"/>
    <n v="44000"/>
  </r>
  <r>
    <x v="303"/>
    <x v="1"/>
    <m/>
    <x v="5"/>
    <x v="10"/>
    <x v="56"/>
    <n v="190801"/>
    <n v="190801"/>
    <m/>
    <n v="1"/>
    <n v="190801"/>
    <n v="39000"/>
  </r>
  <r>
    <x v="303"/>
    <x v="1"/>
    <m/>
    <x v="0"/>
    <x v="10"/>
    <x v="57"/>
    <n v="190801"/>
    <n v="190801"/>
    <m/>
    <n v="3"/>
    <n v="190801"/>
    <n v="159000"/>
  </r>
  <r>
    <x v="303"/>
    <x v="1"/>
    <m/>
    <x v="22"/>
    <x v="12"/>
    <x v="55"/>
    <n v="190801"/>
    <n v="190801"/>
    <m/>
    <n v="1"/>
    <n v="190801"/>
    <n v="37960"/>
  </r>
  <r>
    <x v="303"/>
    <x v="1"/>
    <m/>
    <x v="5"/>
    <x v="12"/>
    <x v="56"/>
    <n v="190801"/>
    <n v="190801"/>
    <m/>
    <n v="1"/>
    <n v="190801"/>
    <n v="33025"/>
  </r>
  <r>
    <x v="303"/>
    <x v="1"/>
    <m/>
    <x v="0"/>
    <x v="9"/>
    <x v="15"/>
    <n v="190801"/>
    <n v="190801"/>
    <m/>
    <n v="5"/>
    <n v="190801"/>
    <n v="100000"/>
  </r>
  <r>
    <x v="303"/>
    <x v="1"/>
    <m/>
    <x v="1"/>
    <x v="9"/>
    <x v="18"/>
    <n v="190801"/>
    <n v="190801"/>
    <m/>
    <n v="1"/>
    <n v="190801"/>
    <n v="20000"/>
  </r>
  <r>
    <x v="304"/>
    <x v="0"/>
    <m/>
    <x v="0"/>
    <x v="1"/>
    <x v="15"/>
    <n v="190801"/>
    <n v="190801"/>
    <m/>
    <n v="3"/>
    <n v="190801"/>
    <n v="60000"/>
  </r>
  <r>
    <x v="304"/>
    <x v="0"/>
    <m/>
    <x v="0"/>
    <x v="1"/>
    <x v="16"/>
    <n v="190801"/>
    <n v="190801"/>
    <m/>
    <n v="9"/>
    <n v="190801"/>
    <n v="315000"/>
  </r>
  <r>
    <x v="304"/>
    <x v="0"/>
    <m/>
    <x v="22"/>
    <x v="5"/>
    <x v="52"/>
    <n v="190801"/>
    <n v="190801"/>
    <m/>
    <n v="10"/>
    <n v="190801"/>
    <n v="171000"/>
  </r>
  <r>
    <x v="304"/>
    <x v="0"/>
    <m/>
    <x v="4"/>
    <x v="5"/>
    <x v="61"/>
    <n v="190801"/>
    <n v="190801"/>
    <m/>
    <n v="10"/>
    <n v="190801"/>
    <n v="18000"/>
  </r>
  <r>
    <x v="304"/>
    <x v="0"/>
    <m/>
    <x v="1"/>
    <x v="5"/>
    <x v="63"/>
    <n v="190801"/>
    <n v="190801"/>
    <m/>
    <n v="20"/>
    <n v="190801"/>
    <n v="225000"/>
  </r>
  <r>
    <x v="304"/>
    <x v="0"/>
    <m/>
    <x v="0"/>
    <x v="7"/>
    <x v="15"/>
    <n v="190801"/>
    <n v="190801"/>
    <m/>
    <n v="9"/>
    <n v="190801"/>
    <n v="180000"/>
  </r>
  <r>
    <x v="304"/>
    <x v="0"/>
    <m/>
    <x v="6"/>
    <x v="2"/>
    <x v="37"/>
    <n v="190801"/>
    <n v="190801"/>
    <m/>
    <n v="1"/>
    <n v="190801"/>
    <n v="20000"/>
  </r>
  <r>
    <x v="304"/>
    <x v="0"/>
    <m/>
    <x v="6"/>
    <x v="2"/>
    <x v="42"/>
    <n v="190801"/>
    <n v="190801"/>
    <m/>
    <n v="3"/>
    <n v="190801"/>
    <n v="105000"/>
  </r>
  <r>
    <x v="304"/>
    <x v="0"/>
    <m/>
    <x v="29"/>
    <x v="2"/>
    <x v="40"/>
    <n v="190801"/>
    <n v="190801"/>
    <m/>
    <n v="6"/>
    <n v="190801"/>
    <n v="210000"/>
  </r>
  <r>
    <x v="304"/>
    <x v="0"/>
    <m/>
    <x v="29"/>
    <x v="2"/>
    <x v="41"/>
    <n v="190801"/>
    <n v="190801"/>
    <m/>
    <n v="4"/>
    <n v="190801"/>
    <n v="180000"/>
  </r>
  <r>
    <x v="304"/>
    <x v="0"/>
    <m/>
    <x v="25"/>
    <x v="2"/>
    <x v="34"/>
    <n v="190801"/>
    <n v="190801"/>
    <m/>
    <n v="3"/>
    <n v="190801"/>
    <n v="297000"/>
  </r>
  <r>
    <x v="304"/>
    <x v="0"/>
    <m/>
    <x v="1"/>
    <x v="2"/>
    <x v="18"/>
    <n v="190801"/>
    <n v="190801"/>
    <m/>
    <n v="2"/>
    <n v="190801"/>
    <n v="40000"/>
  </r>
  <r>
    <x v="304"/>
    <x v="0"/>
    <m/>
    <x v="1"/>
    <x v="2"/>
    <x v="21"/>
    <n v="190801"/>
    <n v="190801"/>
    <m/>
    <n v="1"/>
    <n v="190801"/>
    <n v="35000"/>
  </r>
  <r>
    <x v="304"/>
    <x v="0"/>
    <m/>
    <x v="4"/>
    <x v="2"/>
    <x v="26"/>
    <n v="190801"/>
    <n v="190801"/>
    <m/>
    <n v="1"/>
    <n v="190801"/>
    <n v="4000"/>
  </r>
  <r>
    <x v="304"/>
    <x v="0"/>
    <m/>
    <x v="4"/>
    <x v="2"/>
    <x v="27"/>
    <n v="190801"/>
    <n v="190801"/>
    <m/>
    <n v="1"/>
    <n v="190801"/>
    <n v="20000"/>
  </r>
  <r>
    <x v="304"/>
    <x v="0"/>
    <m/>
    <x v="0"/>
    <x v="2"/>
    <x v="15"/>
    <n v="190801"/>
    <n v="190801"/>
    <m/>
    <n v="85"/>
    <n v="190801"/>
    <n v="1700000"/>
  </r>
  <r>
    <x v="304"/>
    <x v="0"/>
    <m/>
    <x v="0"/>
    <x v="2"/>
    <x v="16"/>
    <n v="190801"/>
    <n v="190801"/>
    <m/>
    <n v="94"/>
    <n v="190801"/>
    <n v="3290000"/>
  </r>
  <r>
    <x v="304"/>
    <x v="0"/>
    <m/>
    <x v="0"/>
    <x v="2"/>
    <x v="17"/>
    <n v="190801"/>
    <n v="190801"/>
    <m/>
    <n v="51"/>
    <n v="190801"/>
    <n v="1683000"/>
  </r>
  <r>
    <x v="304"/>
    <x v="0"/>
    <m/>
    <x v="0"/>
    <x v="2"/>
    <x v="19"/>
    <n v="190801"/>
    <n v="190801"/>
    <m/>
    <n v="102"/>
    <n v="190801"/>
    <n v="306000"/>
  </r>
  <r>
    <x v="304"/>
    <x v="0"/>
    <m/>
    <x v="5"/>
    <x v="2"/>
    <x v="28"/>
    <n v="190801"/>
    <n v="190801"/>
    <m/>
    <n v="20"/>
    <n v="190801"/>
    <n v="560000"/>
  </r>
  <r>
    <x v="304"/>
    <x v="0"/>
    <m/>
    <x v="22"/>
    <x v="2"/>
    <x v="29"/>
    <n v="190801"/>
    <n v="190801"/>
    <m/>
    <n v="10"/>
    <n v="190801"/>
    <n v="380000"/>
  </r>
  <r>
    <x v="304"/>
    <x v="0"/>
    <m/>
    <x v="0"/>
    <x v="10"/>
    <x v="54"/>
    <n v="190801"/>
    <n v="190801"/>
    <m/>
    <n v="15"/>
    <n v="190801"/>
    <n v="495000"/>
  </r>
  <r>
    <x v="304"/>
    <x v="0"/>
    <m/>
    <x v="5"/>
    <x v="10"/>
    <x v="56"/>
    <n v="190801"/>
    <n v="190801"/>
    <m/>
    <n v="5"/>
    <n v="190801"/>
    <n v="195000"/>
  </r>
  <r>
    <x v="304"/>
    <x v="0"/>
    <m/>
    <x v="0"/>
    <x v="10"/>
    <x v="57"/>
    <n v="190801"/>
    <n v="190801"/>
    <m/>
    <n v="2"/>
    <n v="190801"/>
    <n v="106000"/>
  </r>
  <r>
    <x v="304"/>
    <x v="0"/>
    <m/>
    <x v="0"/>
    <x v="12"/>
    <x v="64"/>
    <n v="190801"/>
    <n v="190801"/>
    <m/>
    <n v="1"/>
    <n v="190801"/>
    <n v="44792"/>
  </r>
  <r>
    <x v="304"/>
    <x v="0"/>
    <m/>
    <x v="5"/>
    <x v="12"/>
    <x v="56"/>
    <n v="190801"/>
    <n v="190801"/>
    <m/>
    <n v="4"/>
    <n v="190801"/>
    <n v="132100"/>
  </r>
  <r>
    <x v="304"/>
    <x v="0"/>
    <m/>
    <x v="0"/>
    <x v="12"/>
    <x v="65"/>
    <n v="190801"/>
    <n v="190801"/>
    <m/>
    <n v="1"/>
    <n v="190801"/>
    <n v="8400"/>
  </r>
  <r>
    <x v="304"/>
    <x v="0"/>
    <m/>
    <x v="0"/>
    <x v="9"/>
    <x v="15"/>
    <n v="190801"/>
    <n v="190801"/>
    <m/>
    <n v="6"/>
    <n v="190801"/>
    <n v="120000"/>
  </r>
  <r>
    <x v="305"/>
    <x v="2"/>
    <m/>
    <x v="0"/>
    <x v="1"/>
    <x v="15"/>
    <n v="190801"/>
    <n v="190801"/>
    <m/>
    <n v="4"/>
    <n v="190801"/>
    <n v="80000"/>
  </r>
  <r>
    <x v="305"/>
    <x v="2"/>
    <m/>
    <x v="0"/>
    <x v="1"/>
    <x v="16"/>
    <n v="190801"/>
    <n v="190801"/>
    <m/>
    <n v="8"/>
    <n v="190801"/>
    <n v="280000"/>
  </r>
  <r>
    <x v="305"/>
    <x v="2"/>
    <m/>
    <x v="0"/>
    <x v="7"/>
    <x v="15"/>
    <n v="190801"/>
    <n v="190801"/>
    <m/>
    <n v="5"/>
    <n v="190801"/>
    <n v="100000"/>
  </r>
  <r>
    <x v="305"/>
    <x v="2"/>
    <m/>
    <x v="6"/>
    <x v="2"/>
    <x v="37"/>
    <n v="190801"/>
    <n v="190801"/>
    <m/>
    <n v="3"/>
    <n v="190801"/>
    <n v="60000"/>
  </r>
  <r>
    <x v="305"/>
    <x v="2"/>
    <m/>
    <x v="6"/>
    <x v="2"/>
    <x v="42"/>
    <n v="190801"/>
    <n v="190801"/>
    <m/>
    <n v="1"/>
    <n v="190801"/>
    <n v="35000"/>
  </r>
  <r>
    <x v="305"/>
    <x v="2"/>
    <m/>
    <x v="29"/>
    <x v="2"/>
    <x v="41"/>
    <n v="190801"/>
    <n v="190801"/>
    <m/>
    <n v="4"/>
    <n v="190801"/>
    <n v="180000"/>
  </r>
  <r>
    <x v="305"/>
    <x v="2"/>
    <m/>
    <x v="25"/>
    <x v="2"/>
    <x v="34"/>
    <n v="190801"/>
    <n v="190801"/>
    <m/>
    <n v="2"/>
    <n v="190801"/>
    <n v="198000"/>
  </r>
  <r>
    <x v="305"/>
    <x v="2"/>
    <m/>
    <x v="1"/>
    <x v="2"/>
    <x v="18"/>
    <n v="190801"/>
    <n v="190801"/>
    <m/>
    <n v="2"/>
    <n v="190801"/>
    <n v="40000"/>
  </r>
  <r>
    <x v="305"/>
    <x v="2"/>
    <m/>
    <x v="4"/>
    <x v="2"/>
    <x v="27"/>
    <n v="190801"/>
    <n v="190801"/>
    <m/>
    <n v="11"/>
    <n v="190801"/>
    <n v="220000"/>
  </r>
  <r>
    <x v="305"/>
    <x v="2"/>
    <m/>
    <x v="0"/>
    <x v="2"/>
    <x v="15"/>
    <n v="190801"/>
    <n v="190801"/>
    <m/>
    <n v="70"/>
    <n v="190801"/>
    <n v="1400000"/>
  </r>
  <r>
    <x v="305"/>
    <x v="2"/>
    <m/>
    <x v="0"/>
    <x v="2"/>
    <x v="16"/>
    <n v="190801"/>
    <n v="190801"/>
    <m/>
    <n v="75"/>
    <n v="190801"/>
    <n v="2625000"/>
  </r>
  <r>
    <x v="305"/>
    <x v="2"/>
    <m/>
    <x v="0"/>
    <x v="2"/>
    <x v="17"/>
    <n v="190801"/>
    <n v="190801"/>
    <m/>
    <n v="55"/>
    <n v="190801"/>
    <n v="1815000"/>
  </r>
  <r>
    <x v="305"/>
    <x v="2"/>
    <m/>
    <x v="0"/>
    <x v="2"/>
    <x v="19"/>
    <n v="190801"/>
    <n v="190801"/>
    <m/>
    <n v="68"/>
    <n v="190801"/>
    <n v="204000"/>
  </r>
  <r>
    <x v="305"/>
    <x v="2"/>
    <m/>
    <x v="5"/>
    <x v="2"/>
    <x v="28"/>
    <n v="190801"/>
    <n v="190801"/>
    <m/>
    <n v="9"/>
    <n v="190801"/>
    <n v="252000"/>
  </r>
  <r>
    <x v="305"/>
    <x v="2"/>
    <m/>
    <x v="22"/>
    <x v="2"/>
    <x v="29"/>
    <n v="190801"/>
    <n v="190801"/>
    <m/>
    <n v="4"/>
    <n v="190801"/>
    <n v="152000"/>
  </r>
  <r>
    <x v="305"/>
    <x v="2"/>
    <m/>
    <x v="0"/>
    <x v="3"/>
    <x v="15"/>
    <n v="190801"/>
    <n v="190801"/>
    <m/>
    <n v="3"/>
    <n v="190801"/>
    <n v="0"/>
  </r>
  <r>
    <x v="305"/>
    <x v="2"/>
    <m/>
    <x v="18"/>
    <x v="3"/>
    <x v="19"/>
    <n v="190801"/>
    <n v="190801"/>
    <m/>
    <n v="2"/>
    <n v="190801"/>
    <n v="0"/>
  </r>
  <r>
    <x v="305"/>
    <x v="2"/>
    <m/>
    <x v="5"/>
    <x v="3"/>
    <x v="28"/>
    <n v="190801"/>
    <n v="190801"/>
    <m/>
    <n v="2"/>
    <n v="190801"/>
    <n v="0"/>
  </r>
  <r>
    <x v="305"/>
    <x v="2"/>
    <m/>
    <x v="4"/>
    <x v="3"/>
    <x v="26"/>
    <n v="190801"/>
    <n v="190801"/>
    <m/>
    <n v="2"/>
    <n v="190801"/>
    <n v="0"/>
  </r>
  <r>
    <x v="305"/>
    <x v="2"/>
    <m/>
    <x v="4"/>
    <x v="3"/>
    <x v="27"/>
    <n v="190801"/>
    <n v="190801"/>
    <m/>
    <n v="2"/>
    <n v="190801"/>
    <n v="0"/>
  </r>
  <r>
    <x v="305"/>
    <x v="2"/>
    <m/>
    <x v="6"/>
    <x v="3"/>
    <x v="37"/>
    <n v="190801"/>
    <n v="190801"/>
    <m/>
    <n v="2"/>
    <n v="190801"/>
    <n v="0"/>
  </r>
  <r>
    <x v="305"/>
    <x v="2"/>
    <m/>
    <x v="22"/>
    <x v="3"/>
    <x v="29"/>
    <n v="190801"/>
    <n v="190801"/>
    <m/>
    <n v="2"/>
    <n v="190801"/>
    <n v="0"/>
  </r>
  <r>
    <x v="305"/>
    <x v="2"/>
    <m/>
    <x v="19"/>
    <x v="3"/>
    <x v="22"/>
    <n v="190801"/>
    <n v="190801"/>
    <m/>
    <n v="2"/>
    <n v="190801"/>
    <n v="0"/>
  </r>
  <r>
    <x v="305"/>
    <x v="2"/>
    <m/>
    <x v="1"/>
    <x v="3"/>
    <x v="18"/>
    <n v="190801"/>
    <n v="190801"/>
    <m/>
    <n v="2"/>
    <n v="190801"/>
    <n v="0"/>
  </r>
  <r>
    <x v="305"/>
    <x v="2"/>
    <m/>
    <x v="0"/>
    <x v="10"/>
    <x v="54"/>
    <n v="190801"/>
    <n v="190801"/>
    <m/>
    <n v="10"/>
    <n v="190801"/>
    <n v="330000"/>
  </r>
  <r>
    <x v="305"/>
    <x v="2"/>
    <m/>
    <x v="22"/>
    <x v="10"/>
    <x v="55"/>
    <n v="190801"/>
    <n v="190801"/>
    <m/>
    <n v="1"/>
    <n v="190801"/>
    <n v="44000"/>
  </r>
  <r>
    <x v="305"/>
    <x v="2"/>
    <m/>
    <x v="1"/>
    <x v="10"/>
    <x v="58"/>
    <n v="190801"/>
    <n v="190801"/>
    <m/>
    <n v="1"/>
    <n v="190801"/>
    <n v="36000"/>
  </r>
  <r>
    <x v="305"/>
    <x v="2"/>
    <m/>
    <x v="5"/>
    <x v="10"/>
    <x v="56"/>
    <n v="190801"/>
    <n v="190801"/>
    <m/>
    <n v="3"/>
    <n v="190801"/>
    <n v="117000"/>
  </r>
  <r>
    <x v="305"/>
    <x v="2"/>
    <m/>
    <x v="0"/>
    <x v="10"/>
    <x v="57"/>
    <n v="190801"/>
    <n v="190801"/>
    <m/>
    <n v="1"/>
    <n v="190801"/>
    <n v="53000"/>
  </r>
  <r>
    <x v="305"/>
    <x v="2"/>
    <m/>
    <x v="0"/>
    <x v="12"/>
    <x v="54"/>
    <n v="190801"/>
    <n v="190801"/>
    <m/>
    <n v="1"/>
    <n v="190801"/>
    <n v="25053"/>
  </r>
  <r>
    <x v="305"/>
    <x v="2"/>
    <m/>
    <x v="5"/>
    <x v="12"/>
    <x v="56"/>
    <n v="190801"/>
    <n v="190801"/>
    <m/>
    <n v="4"/>
    <n v="190801"/>
    <n v="132100"/>
  </r>
  <r>
    <x v="305"/>
    <x v="2"/>
    <m/>
    <x v="0"/>
    <x v="9"/>
    <x v="15"/>
    <n v="190801"/>
    <n v="190801"/>
    <m/>
    <n v="2"/>
    <n v="190801"/>
    <n v="40000"/>
  </r>
  <r>
    <x v="306"/>
    <x v="5"/>
    <m/>
    <x v="6"/>
    <x v="2"/>
    <x v="37"/>
    <n v="190801"/>
    <n v="190801"/>
    <m/>
    <n v="7"/>
    <n v="190801"/>
    <n v="140000"/>
  </r>
  <r>
    <x v="306"/>
    <x v="5"/>
    <m/>
    <x v="29"/>
    <x v="2"/>
    <x v="40"/>
    <n v="190801"/>
    <n v="190801"/>
    <m/>
    <n v="3"/>
    <n v="190801"/>
    <n v="105000"/>
  </r>
  <r>
    <x v="306"/>
    <x v="5"/>
    <m/>
    <x v="29"/>
    <x v="2"/>
    <x v="41"/>
    <n v="190801"/>
    <n v="190801"/>
    <m/>
    <n v="4"/>
    <n v="190801"/>
    <n v="180000"/>
  </r>
  <r>
    <x v="306"/>
    <x v="5"/>
    <m/>
    <x v="25"/>
    <x v="2"/>
    <x v="34"/>
    <n v="190801"/>
    <n v="190801"/>
    <m/>
    <n v="4"/>
    <n v="190801"/>
    <n v="396000"/>
  </r>
  <r>
    <x v="306"/>
    <x v="5"/>
    <m/>
    <x v="1"/>
    <x v="2"/>
    <x v="18"/>
    <n v="190801"/>
    <n v="190801"/>
    <m/>
    <n v="5"/>
    <n v="190801"/>
    <n v="100000"/>
  </r>
  <r>
    <x v="306"/>
    <x v="5"/>
    <m/>
    <x v="1"/>
    <x v="2"/>
    <x v="21"/>
    <n v="190801"/>
    <n v="190801"/>
    <m/>
    <n v="1"/>
    <n v="190801"/>
    <n v="35000"/>
  </r>
  <r>
    <x v="306"/>
    <x v="5"/>
    <m/>
    <x v="4"/>
    <x v="2"/>
    <x v="26"/>
    <n v="190801"/>
    <n v="190801"/>
    <m/>
    <n v="1"/>
    <n v="190801"/>
    <n v="4000"/>
  </r>
  <r>
    <x v="306"/>
    <x v="5"/>
    <m/>
    <x v="4"/>
    <x v="2"/>
    <x v="27"/>
    <n v="190801"/>
    <n v="190801"/>
    <m/>
    <n v="4"/>
    <n v="190801"/>
    <n v="80000"/>
  </r>
  <r>
    <x v="306"/>
    <x v="5"/>
    <m/>
    <x v="0"/>
    <x v="2"/>
    <x v="15"/>
    <n v="190801"/>
    <n v="190801"/>
    <m/>
    <n v="93"/>
    <n v="190801"/>
    <n v="1860000"/>
  </r>
  <r>
    <x v="306"/>
    <x v="5"/>
    <m/>
    <x v="0"/>
    <x v="2"/>
    <x v="16"/>
    <n v="190801"/>
    <n v="190801"/>
    <m/>
    <n v="62"/>
    <n v="190801"/>
    <n v="2170000"/>
  </r>
  <r>
    <x v="306"/>
    <x v="5"/>
    <m/>
    <x v="0"/>
    <x v="2"/>
    <x v="17"/>
    <n v="190801"/>
    <n v="190801"/>
    <m/>
    <n v="76"/>
    <n v="190801"/>
    <n v="2508000"/>
  </r>
  <r>
    <x v="306"/>
    <x v="5"/>
    <m/>
    <x v="0"/>
    <x v="2"/>
    <x v="19"/>
    <n v="190801"/>
    <n v="190801"/>
    <m/>
    <n v="95"/>
    <n v="190801"/>
    <n v="285000"/>
  </r>
  <r>
    <x v="306"/>
    <x v="5"/>
    <m/>
    <x v="5"/>
    <x v="2"/>
    <x v="28"/>
    <n v="190801"/>
    <n v="190801"/>
    <m/>
    <n v="20"/>
    <n v="190801"/>
    <n v="560000"/>
  </r>
  <r>
    <x v="306"/>
    <x v="5"/>
    <m/>
    <x v="22"/>
    <x v="2"/>
    <x v="29"/>
    <n v="190801"/>
    <n v="190801"/>
    <m/>
    <n v="4"/>
    <n v="190801"/>
    <n v="152000"/>
  </r>
  <r>
    <x v="306"/>
    <x v="5"/>
    <m/>
    <x v="0"/>
    <x v="9"/>
    <x v="15"/>
    <n v="190801"/>
    <n v="190801"/>
    <m/>
    <n v="7"/>
    <n v="190801"/>
    <n v="140000"/>
  </r>
  <r>
    <x v="306"/>
    <x v="5"/>
    <m/>
    <x v="6"/>
    <x v="9"/>
    <x v="37"/>
    <n v="190801"/>
    <n v="190801"/>
    <m/>
    <n v="2"/>
    <n v="190801"/>
    <n v="40000"/>
  </r>
  <r>
    <x v="307"/>
    <x v="6"/>
    <m/>
    <x v="0"/>
    <x v="7"/>
    <x v="15"/>
    <n v="190801"/>
    <n v="190801"/>
    <m/>
    <n v="24"/>
    <n v="190801"/>
    <n v="480000"/>
  </r>
  <r>
    <x v="307"/>
    <x v="6"/>
    <m/>
    <x v="6"/>
    <x v="2"/>
    <x v="37"/>
    <n v="190801"/>
    <n v="190801"/>
    <m/>
    <n v="3"/>
    <n v="190801"/>
    <n v="60000"/>
  </r>
  <r>
    <x v="307"/>
    <x v="6"/>
    <m/>
    <x v="6"/>
    <x v="2"/>
    <x v="42"/>
    <n v="190801"/>
    <n v="190801"/>
    <m/>
    <n v="1"/>
    <n v="190801"/>
    <n v="35000"/>
  </r>
  <r>
    <x v="307"/>
    <x v="6"/>
    <m/>
    <x v="29"/>
    <x v="2"/>
    <x v="40"/>
    <n v="190801"/>
    <n v="190801"/>
    <m/>
    <n v="4"/>
    <n v="190801"/>
    <n v="140000"/>
  </r>
  <r>
    <x v="307"/>
    <x v="6"/>
    <m/>
    <x v="29"/>
    <x v="2"/>
    <x v="41"/>
    <n v="190801"/>
    <n v="190801"/>
    <m/>
    <n v="8"/>
    <n v="190801"/>
    <n v="360000"/>
  </r>
  <r>
    <x v="307"/>
    <x v="6"/>
    <m/>
    <x v="25"/>
    <x v="2"/>
    <x v="34"/>
    <n v="190801"/>
    <n v="190801"/>
    <m/>
    <n v="3"/>
    <n v="190801"/>
    <n v="297000"/>
  </r>
  <r>
    <x v="307"/>
    <x v="6"/>
    <m/>
    <x v="1"/>
    <x v="2"/>
    <x v="18"/>
    <n v="190801"/>
    <n v="190801"/>
    <m/>
    <n v="3"/>
    <n v="190801"/>
    <n v="60000"/>
  </r>
  <r>
    <x v="307"/>
    <x v="6"/>
    <m/>
    <x v="4"/>
    <x v="2"/>
    <x v="26"/>
    <n v="190801"/>
    <n v="190801"/>
    <m/>
    <n v="3"/>
    <n v="190801"/>
    <n v="12000"/>
  </r>
  <r>
    <x v="307"/>
    <x v="6"/>
    <m/>
    <x v="4"/>
    <x v="2"/>
    <x v="27"/>
    <n v="190801"/>
    <n v="190801"/>
    <m/>
    <n v="7"/>
    <n v="190801"/>
    <n v="140000"/>
  </r>
  <r>
    <x v="307"/>
    <x v="6"/>
    <m/>
    <x v="0"/>
    <x v="2"/>
    <x v="15"/>
    <n v="190801"/>
    <n v="190801"/>
    <m/>
    <n v="102"/>
    <n v="190801"/>
    <n v="2040000"/>
  </r>
  <r>
    <x v="307"/>
    <x v="6"/>
    <m/>
    <x v="0"/>
    <x v="2"/>
    <x v="16"/>
    <n v="190801"/>
    <n v="190801"/>
    <m/>
    <n v="62"/>
    <n v="190801"/>
    <n v="2170000"/>
  </r>
  <r>
    <x v="307"/>
    <x v="6"/>
    <m/>
    <x v="0"/>
    <x v="2"/>
    <x v="17"/>
    <n v="190801"/>
    <n v="190801"/>
    <m/>
    <n v="66"/>
    <n v="190801"/>
    <n v="2178000"/>
  </r>
  <r>
    <x v="307"/>
    <x v="6"/>
    <m/>
    <x v="0"/>
    <x v="2"/>
    <x v="19"/>
    <n v="190801"/>
    <n v="190801"/>
    <m/>
    <n v="98"/>
    <n v="190801"/>
    <n v="294000"/>
  </r>
  <r>
    <x v="307"/>
    <x v="6"/>
    <m/>
    <x v="5"/>
    <x v="2"/>
    <x v="28"/>
    <n v="190801"/>
    <n v="190801"/>
    <m/>
    <n v="15"/>
    <n v="190801"/>
    <n v="420000"/>
  </r>
  <r>
    <x v="307"/>
    <x v="6"/>
    <m/>
    <x v="22"/>
    <x v="2"/>
    <x v="29"/>
    <n v="190801"/>
    <n v="190801"/>
    <m/>
    <n v="7"/>
    <n v="190801"/>
    <n v="266000"/>
  </r>
  <r>
    <x v="307"/>
    <x v="6"/>
    <m/>
    <x v="0"/>
    <x v="9"/>
    <x v="15"/>
    <n v="190801"/>
    <n v="190801"/>
    <m/>
    <n v="12"/>
    <n v="190801"/>
    <n v="240000"/>
  </r>
  <r>
    <x v="307"/>
    <x v="6"/>
    <m/>
    <x v="0"/>
    <x v="6"/>
    <x v="15"/>
    <n v="190801"/>
    <n v="190801"/>
    <m/>
    <n v="591"/>
    <n v="190801"/>
    <n v="5359188"/>
  </r>
  <r>
    <x v="307"/>
    <x v="6"/>
    <m/>
    <x v="0"/>
    <x v="6"/>
    <x v="17"/>
    <n v="190801"/>
    <n v="190801"/>
    <m/>
    <n v="142"/>
    <n v="190801"/>
    <n v="2246156"/>
  </r>
  <r>
    <x v="307"/>
    <x v="6"/>
    <m/>
    <x v="4"/>
    <x v="6"/>
    <x v="26"/>
    <n v="190801"/>
    <n v="190801"/>
    <m/>
    <n v="744"/>
    <n v="190801"/>
    <n v="798312"/>
  </r>
  <r>
    <x v="307"/>
    <x v="6"/>
    <m/>
    <x v="26"/>
    <x v="6"/>
    <x v="35"/>
    <n v="190801"/>
    <n v="190801"/>
    <m/>
    <n v="68"/>
    <n v="190801"/>
    <n v="1164908"/>
  </r>
  <r>
    <x v="307"/>
    <x v="6"/>
    <m/>
    <x v="22"/>
    <x v="6"/>
    <x v="29"/>
    <n v="190801"/>
    <n v="190801"/>
    <m/>
    <n v="27"/>
    <n v="190801"/>
    <n v="531657"/>
  </r>
  <r>
    <x v="307"/>
    <x v="6"/>
    <m/>
    <x v="24"/>
    <x v="6"/>
    <x v="31"/>
    <n v="190801"/>
    <n v="190801"/>
    <m/>
    <n v="215"/>
    <n v="190801"/>
    <n v="3198555"/>
  </r>
  <r>
    <x v="307"/>
    <x v="6"/>
    <m/>
    <x v="23"/>
    <x v="6"/>
    <x v="30"/>
    <n v="190801"/>
    <n v="190801"/>
    <m/>
    <n v="59"/>
    <n v="190801"/>
    <n v="410876"/>
  </r>
  <r>
    <x v="307"/>
    <x v="6"/>
    <m/>
    <x v="19"/>
    <x v="6"/>
    <x v="22"/>
    <n v="190801"/>
    <n v="190801"/>
    <m/>
    <n v="5"/>
    <n v="190801"/>
    <n v="33955"/>
  </r>
  <r>
    <x v="307"/>
    <x v="6"/>
    <m/>
    <x v="27"/>
    <x v="6"/>
    <x v="36"/>
    <n v="190801"/>
    <n v="190801"/>
    <m/>
    <n v="13"/>
    <n v="190801"/>
    <n v="122941"/>
  </r>
  <r>
    <x v="307"/>
    <x v="6"/>
    <m/>
    <x v="6"/>
    <x v="6"/>
    <x v="37"/>
    <n v="190801"/>
    <n v="190801"/>
    <m/>
    <n v="34"/>
    <n v="190801"/>
    <n v="340000"/>
  </r>
  <r>
    <x v="307"/>
    <x v="6"/>
    <m/>
    <x v="28"/>
    <x v="6"/>
    <x v="39"/>
    <n v="190801"/>
    <n v="190801"/>
    <m/>
    <n v="257"/>
    <n v="190801"/>
    <n v="4065226"/>
  </r>
  <r>
    <x v="307"/>
    <x v="6"/>
    <m/>
    <x v="4"/>
    <x v="6"/>
    <x v="66"/>
    <n v="190801"/>
    <n v="190801"/>
    <m/>
    <n v="246"/>
    <n v="190801"/>
    <n v="1376862"/>
  </r>
  <r>
    <x v="308"/>
    <x v="3"/>
    <m/>
    <x v="0"/>
    <x v="1"/>
    <x v="15"/>
    <n v="190801"/>
    <n v="190801"/>
    <m/>
    <n v="22"/>
    <n v="190801"/>
    <n v="440000"/>
  </r>
  <r>
    <x v="308"/>
    <x v="3"/>
    <m/>
    <x v="0"/>
    <x v="1"/>
    <x v="16"/>
    <n v="190801"/>
    <n v="190801"/>
    <m/>
    <n v="15"/>
    <n v="190801"/>
    <n v="525000"/>
  </r>
  <r>
    <x v="308"/>
    <x v="3"/>
    <m/>
    <x v="0"/>
    <x v="7"/>
    <x v="15"/>
    <n v="190801"/>
    <n v="190801"/>
    <m/>
    <n v="16"/>
    <n v="190801"/>
    <n v="320000"/>
  </r>
  <r>
    <x v="308"/>
    <x v="3"/>
    <m/>
    <x v="6"/>
    <x v="2"/>
    <x v="37"/>
    <n v="190801"/>
    <n v="190801"/>
    <m/>
    <n v="4"/>
    <n v="190801"/>
    <n v="80000"/>
  </r>
  <r>
    <x v="308"/>
    <x v="3"/>
    <m/>
    <x v="6"/>
    <x v="2"/>
    <x v="42"/>
    <n v="190801"/>
    <n v="190801"/>
    <m/>
    <n v="2"/>
    <n v="190801"/>
    <n v="70000"/>
  </r>
  <r>
    <x v="308"/>
    <x v="3"/>
    <m/>
    <x v="29"/>
    <x v="2"/>
    <x v="40"/>
    <n v="190801"/>
    <n v="190801"/>
    <m/>
    <n v="5"/>
    <n v="190801"/>
    <n v="175000"/>
  </r>
  <r>
    <x v="308"/>
    <x v="3"/>
    <m/>
    <x v="29"/>
    <x v="2"/>
    <x v="41"/>
    <n v="190801"/>
    <n v="190801"/>
    <m/>
    <n v="4"/>
    <n v="190801"/>
    <n v="180000"/>
  </r>
  <r>
    <x v="308"/>
    <x v="3"/>
    <m/>
    <x v="25"/>
    <x v="2"/>
    <x v="34"/>
    <n v="190801"/>
    <n v="190801"/>
    <m/>
    <n v="8"/>
    <n v="190801"/>
    <n v="792000"/>
  </r>
  <r>
    <x v="308"/>
    <x v="3"/>
    <m/>
    <x v="1"/>
    <x v="2"/>
    <x v="18"/>
    <n v="190801"/>
    <n v="190801"/>
    <m/>
    <n v="2"/>
    <n v="190801"/>
    <n v="40000"/>
  </r>
  <r>
    <x v="308"/>
    <x v="3"/>
    <m/>
    <x v="1"/>
    <x v="2"/>
    <x v="21"/>
    <n v="190801"/>
    <n v="190801"/>
    <m/>
    <n v="1"/>
    <n v="190801"/>
    <n v="35000"/>
  </r>
  <r>
    <x v="308"/>
    <x v="3"/>
    <m/>
    <x v="4"/>
    <x v="2"/>
    <x v="26"/>
    <n v="190801"/>
    <n v="190801"/>
    <m/>
    <n v="4"/>
    <n v="190801"/>
    <n v="16000"/>
  </r>
  <r>
    <x v="308"/>
    <x v="3"/>
    <m/>
    <x v="4"/>
    <x v="2"/>
    <x v="27"/>
    <n v="190801"/>
    <n v="190801"/>
    <m/>
    <n v="7"/>
    <n v="190801"/>
    <n v="140000"/>
  </r>
  <r>
    <x v="308"/>
    <x v="3"/>
    <m/>
    <x v="0"/>
    <x v="2"/>
    <x v="15"/>
    <n v="190801"/>
    <n v="190801"/>
    <m/>
    <n v="106"/>
    <n v="190801"/>
    <n v="2120000"/>
  </r>
  <r>
    <x v="308"/>
    <x v="3"/>
    <m/>
    <x v="0"/>
    <x v="2"/>
    <x v="16"/>
    <n v="190801"/>
    <n v="190801"/>
    <m/>
    <n v="94"/>
    <n v="190801"/>
    <n v="3290000"/>
  </r>
  <r>
    <x v="308"/>
    <x v="3"/>
    <m/>
    <x v="0"/>
    <x v="2"/>
    <x v="17"/>
    <n v="190801"/>
    <n v="190801"/>
    <m/>
    <n v="92"/>
    <n v="190801"/>
    <n v="3036000"/>
  </r>
  <r>
    <x v="308"/>
    <x v="3"/>
    <m/>
    <x v="0"/>
    <x v="2"/>
    <x v="19"/>
    <n v="190801"/>
    <n v="190801"/>
    <m/>
    <n v="62"/>
    <n v="190801"/>
    <n v="186000"/>
  </r>
  <r>
    <x v="308"/>
    <x v="3"/>
    <m/>
    <x v="5"/>
    <x v="2"/>
    <x v="28"/>
    <n v="190801"/>
    <n v="190801"/>
    <m/>
    <n v="37"/>
    <n v="190801"/>
    <n v="1036000"/>
  </r>
  <r>
    <x v="308"/>
    <x v="3"/>
    <m/>
    <x v="22"/>
    <x v="2"/>
    <x v="29"/>
    <n v="190801"/>
    <n v="190801"/>
    <m/>
    <n v="10"/>
    <n v="190801"/>
    <n v="380000"/>
  </r>
  <r>
    <x v="308"/>
    <x v="3"/>
    <m/>
    <x v="0"/>
    <x v="10"/>
    <x v="54"/>
    <n v="190801"/>
    <n v="190801"/>
    <m/>
    <n v="45"/>
    <n v="190801"/>
    <n v="1485000"/>
  </r>
  <r>
    <x v="308"/>
    <x v="3"/>
    <m/>
    <x v="22"/>
    <x v="10"/>
    <x v="55"/>
    <n v="190801"/>
    <n v="190801"/>
    <m/>
    <n v="1"/>
    <n v="190801"/>
    <n v="44000"/>
  </r>
  <r>
    <x v="308"/>
    <x v="3"/>
    <m/>
    <x v="5"/>
    <x v="10"/>
    <x v="56"/>
    <n v="190801"/>
    <n v="190801"/>
    <m/>
    <n v="9"/>
    <n v="190801"/>
    <n v="351000"/>
  </r>
  <r>
    <x v="308"/>
    <x v="3"/>
    <m/>
    <x v="0"/>
    <x v="10"/>
    <x v="57"/>
    <n v="190801"/>
    <n v="190801"/>
    <m/>
    <n v="18"/>
    <n v="190801"/>
    <n v="954000"/>
  </r>
  <r>
    <x v="308"/>
    <x v="3"/>
    <m/>
    <x v="0"/>
    <x v="12"/>
    <x v="54"/>
    <n v="190801"/>
    <n v="190801"/>
    <m/>
    <n v="1"/>
    <n v="190801"/>
    <n v="25053"/>
  </r>
  <r>
    <x v="308"/>
    <x v="3"/>
    <m/>
    <x v="5"/>
    <x v="12"/>
    <x v="56"/>
    <n v="190801"/>
    <n v="190801"/>
    <m/>
    <n v="3"/>
    <n v="190801"/>
    <n v="99075"/>
  </r>
  <r>
    <x v="308"/>
    <x v="3"/>
    <m/>
    <x v="0"/>
    <x v="11"/>
    <x v="64"/>
    <n v="190801"/>
    <n v="190801"/>
    <m/>
    <n v="1"/>
    <n v="190801"/>
    <n v="45853"/>
  </r>
  <r>
    <x v="308"/>
    <x v="3"/>
    <m/>
    <x v="0"/>
    <x v="9"/>
    <x v="15"/>
    <n v="190801"/>
    <n v="190801"/>
    <m/>
    <n v="12"/>
    <n v="190801"/>
    <n v="240000"/>
  </r>
  <r>
    <x v="309"/>
    <x v="4"/>
    <m/>
    <x v="0"/>
    <x v="1"/>
    <x v="15"/>
    <n v="190801"/>
    <n v="190801"/>
    <m/>
    <n v="21"/>
    <n v="190801"/>
    <n v="420000"/>
  </r>
  <r>
    <x v="309"/>
    <x v="4"/>
    <m/>
    <x v="0"/>
    <x v="1"/>
    <x v="16"/>
    <n v="190801"/>
    <n v="190801"/>
    <m/>
    <n v="7"/>
    <n v="190801"/>
    <n v="245000"/>
  </r>
  <r>
    <x v="309"/>
    <x v="4"/>
    <m/>
    <x v="0"/>
    <x v="7"/>
    <x v="15"/>
    <n v="190801"/>
    <n v="190801"/>
    <m/>
    <n v="1"/>
    <n v="190801"/>
    <n v="20000"/>
  </r>
  <r>
    <x v="309"/>
    <x v="4"/>
    <m/>
    <x v="6"/>
    <x v="2"/>
    <x v="37"/>
    <n v="190801"/>
    <n v="190801"/>
    <m/>
    <n v="1"/>
    <n v="190801"/>
    <n v="20000"/>
  </r>
  <r>
    <x v="309"/>
    <x v="4"/>
    <m/>
    <x v="6"/>
    <x v="2"/>
    <x v="42"/>
    <n v="190801"/>
    <n v="190801"/>
    <m/>
    <n v="1"/>
    <n v="190801"/>
    <n v="35000"/>
  </r>
  <r>
    <x v="309"/>
    <x v="4"/>
    <m/>
    <x v="29"/>
    <x v="2"/>
    <x v="40"/>
    <n v="190801"/>
    <n v="190801"/>
    <m/>
    <n v="3"/>
    <n v="190801"/>
    <n v="105000"/>
  </r>
  <r>
    <x v="309"/>
    <x v="4"/>
    <m/>
    <x v="29"/>
    <x v="2"/>
    <x v="41"/>
    <n v="190801"/>
    <n v="190801"/>
    <m/>
    <n v="5"/>
    <n v="190801"/>
    <n v="225000"/>
  </r>
  <r>
    <x v="309"/>
    <x v="4"/>
    <m/>
    <x v="25"/>
    <x v="2"/>
    <x v="34"/>
    <n v="190801"/>
    <n v="190801"/>
    <m/>
    <n v="5"/>
    <n v="190801"/>
    <n v="495000"/>
  </r>
  <r>
    <x v="309"/>
    <x v="4"/>
    <m/>
    <x v="1"/>
    <x v="2"/>
    <x v="18"/>
    <n v="190801"/>
    <n v="190801"/>
    <m/>
    <n v="3"/>
    <n v="190801"/>
    <n v="60000"/>
  </r>
  <r>
    <x v="309"/>
    <x v="4"/>
    <m/>
    <x v="4"/>
    <x v="2"/>
    <x v="26"/>
    <n v="190801"/>
    <n v="190801"/>
    <m/>
    <n v="3"/>
    <n v="190801"/>
    <n v="12000"/>
  </r>
  <r>
    <x v="309"/>
    <x v="4"/>
    <m/>
    <x v="4"/>
    <x v="2"/>
    <x v="27"/>
    <n v="190801"/>
    <n v="190801"/>
    <m/>
    <n v="6"/>
    <n v="190801"/>
    <n v="120000"/>
  </r>
  <r>
    <x v="309"/>
    <x v="4"/>
    <m/>
    <x v="0"/>
    <x v="2"/>
    <x v="15"/>
    <n v="190801"/>
    <n v="190801"/>
    <m/>
    <n v="103"/>
    <n v="190801"/>
    <n v="2060000"/>
  </r>
  <r>
    <x v="309"/>
    <x v="4"/>
    <m/>
    <x v="0"/>
    <x v="2"/>
    <x v="16"/>
    <n v="190801"/>
    <n v="190801"/>
    <m/>
    <n v="73"/>
    <n v="190801"/>
    <n v="2555000"/>
  </r>
  <r>
    <x v="309"/>
    <x v="4"/>
    <m/>
    <x v="0"/>
    <x v="2"/>
    <x v="17"/>
    <n v="190801"/>
    <n v="190801"/>
    <m/>
    <n v="64"/>
    <n v="190801"/>
    <n v="2112000"/>
  </r>
  <r>
    <x v="309"/>
    <x v="4"/>
    <m/>
    <x v="0"/>
    <x v="2"/>
    <x v="19"/>
    <n v="190801"/>
    <n v="190801"/>
    <m/>
    <n v="2"/>
    <n v="190801"/>
    <n v="6000"/>
  </r>
  <r>
    <x v="309"/>
    <x v="4"/>
    <m/>
    <x v="5"/>
    <x v="2"/>
    <x v="28"/>
    <n v="190801"/>
    <n v="190801"/>
    <m/>
    <n v="30"/>
    <n v="190801"/>
    <n v="840000"/>
  </r>
  <r>
    <x v="309"/>
    <x v="4"/>
    <m/>
    <x v="22"/>
    <x v="2"/>
    <x v="29"/>
    <n v="190801"/>
    <n v="190801"/>
    <m/>
    <n v="7"/>
    <n v="190801"/>
    <n v="266000"/>
  </r>
  <r>
    <x v="309"/>
    <x v="4"/>
    <m/>
    <x v="6"/>
    <x v="3"/>
    <x v="37"/>
    <n v="190801"/>
    <n v="190801"/>
    <m/>
    <n v="1"/>
    <n v="190801"/>
    <n v="0"/>
  </r>
  <r>
    <x v="309"/>
    <x v="4"/>
    <m/>
    <x v="0"/>
    <x v="10"/>
    <x v="54"/>
    <n v="190801"/>
    <n v="190801"/>
    <m/>
    <n v="16"/>
    <n v="190801"/>
    <n v="528000"/>
  </r>
  <r>
    <x v="309"/>
    <x v="4"/>
    <m/>
    <x v="5"/>
    <x v="10"/>
    <x v="56"/>
    <n v="190801"/>
    <n v="190801"/>
    <m/>
    <n v="5"/>
    <n v="190801"/>
    <n v="195000"/>
  </r>
  <r>
    <x v="309"/>
    <x v="4"/>
    <m/>
    <x v="0"/>
    <x v="10"/>
    <x v="57"/>
    <n v="190801"/>
    <n v="190801"/>
    <m/>
    <n v="5"/>
    <n v="190801"/>
    <n v="265000"/>
  </r>
  <r>
    <x v="309"/>
    <x v="4"/>
    <m/>
    <x v="0"/>
    <x v="9"/>
    <x v="15"/>
    <n v="190801"/>
    <n v="190801"/>
    <m/>
    <n v="3"/>
    <n v="190801"/>
    <n v="60000"/>
  </r>
  <r>
    <x v="309"/>
    <x v="4"/>
    <m/>
    <x v="6"/>
    <x v="9"/>
    <x v="37"/>
    <n v="190801"/>
    <n v="190801"/>
    <m/>
    <n v="1"/>
    <n v="190801"/>
    <n v="20000"/>
  </r>
  <r>
    <x v="310"/>
    <x v="1"/>
    <m/>
    <x v="0"/>
    <x v="1"/>
    <x v="15"/>
    <n v="190801"/>
    <n v="190801"/>
    <m/>
    <n v="1"/>
    <n v="190801"/>
    <n v="20000"/>
  </r>
  <r>
    <x v="310"/>
    <x v="1"/>
    <m/>
    <x v="6"/>
    <x v="2"/>
    <x v="37"/>
    <n v="190801"/>
    <n v="190801"/>
    <m/>
    <n v="6"/>
    <n v="190801"/>
    <n v="120000"/>
  </r>
  <r>
    <x v="310"/>
    <x v="1"/>
    <m/>
    <x v="6"/>
    <x v="2"/>
    <x v="42"/>
    <n v="190801"/>
    <n v="190801"/>
    <m/>
    <n v="2"/>
    <n v="190801"/>
    <n v="70000"/>
  </r>
  <r>
    <x v="310"/>
    <x v="1"/>
    <m/>
    <x v="29"/>
    <x v="2"/>
    <x v="40"/>
    <n v="190801"/>
    <n v="190801"/>
    <m/>
    <n v="3"/>
    <n v="190801"/>
    <n v="105000"/>
  </r>
  <r>
    <x v="310"/>
    <x v="1"/>
    <m/>
    <x v="29"/>
    <x v="2"/>
    <x v="41"/>
    <n v="190801"/>
    <n v="190801"/>
    <m/>
    <n v="3"/>
    <n v="190801"/>
    <n v="135000"/>
  </r>
  <r>
    <x v="310"/>
    <x v="1"/>
    <m/>
    <x v="25"/>
    <x v="2"/>
    <x v="34"/>
    <n v="190801"/>
    <n v="190801"/>
    <m/>
    <n v="2"/>
    <n v="190801"/>
    <n v="198000"/>
  </r>
  <r>
    <x v="310"/>
    <x v="1"/>
    <m/>
    <x v="1"/>
    <x v="2"/>
    <x v="18"/>
    <n v="190801"/>
    <n v="190801"/>
    <m/>
    <n v="2"/>
    <n v="190801"/>
    <n v="40000"/>
  </r>
  <r>
    <x v="310"/>
    <x v="1"/>
    <m/>
    <x v="4"/>
    <x v="2"/>
    <x v="26"/>
    <n v="190801"/>
    <n v="190801"/>
    <m/>
    <n v="5"/>
    <n v="190801"/>
    <n v="20000"/>
  </r>
  <r>
    <x v="310"/>
    <x v="1"/>
    <m/>
    <x v="4"/>
    <x v="2"/>
    <x v="27"/>
    <n v="190801"/>
    <n v="190801"/>
    <m/>
    <n v="6"/>
    <n v="190801"/>
    <n v="120000"/>
  </r>
  <r>
    <x v="310"/>
    <x v="1"/>
    <m/>
    <x v="0"/>
    <x v="2"/>
    <x v="15"/>
    <n v="190801"/>
    <n v="190801"/>
    <m/>
    <n v="78"/>
    <n v="190801"/>
    <n v="1560000"/>
  </r>
  <r>
    <x v="310"/>
    <x v="1"/>
    <m/>
    <x v="0"/>
    <x v="2"/>
    <x v="16"/>
    <n v="190801"/>
    <n v="190801"/>
    <m/>
    <n v="53"/>
    <n v="190801"/>
    <n v="1855000"/>
  </r>
  <r>
    <x v="310"/>
    <x v="1"/>
    <m/>
    <x v="0"/>
    <x v="2"/>
    <x v="17"/>
    <n v="190801"/>
    <n v="190801"/>
    <m/>
    <n v="73"/>
    <n v="190801"/>
    <n v="2409000"/>
  </r>
  <r>
    <x v="310"/>
    <x v="1"/>
    <m/>
    <x v="0"/>
    <x v="2"/>
    <x v="19"/>
    <n v="190801"/>
    <n v="190801"/>
    <m/>
    <n v="2"/>
    <n v="190801"/>
    <n v="6000"/>
  </r>
  <r>
    <x v="310"/>
    <x v="1"/>
    <m/>
    <x v="5"/>
    <x v="2"/>
    <x v="28"/>
    <n v="190801"/>
    <n v="190801"/>
    <m/>
    <n v="23"/>
    <n v="190801"/>
    <n v="644000"/>
  </r>
  <r>
    <x v="310"/>
    <x v="1"/>
    <m/>
    <x v="22"/>
    <x v="2"/>
    <x v="29"/>
    <n v="190801"/>
    <n v="190801"/>
    <m/>
    <n v="4"/>
    <n v="190801"/>
    <n v="152000"/>
  </r>
  <r>
    <x v="310"/>
    <x v="1"/>
    <m/>
    <x v="5"/>
    <x v="10"/>
    <x v="56"/>
    <n v="190801"/>
    <n v="190801"/>
    <m/>
    <n v="4"/>
    <n v="190801"/>
    <n v="156000"/>
  </r>
  <r>
    <x v="310"/>
    <x v="1"/>
    <m/>
    <x v="0"/>
    <x v="12"/>
    <x v="54"/>
    <n v="190801"/>
    <n v="190801"/>
    <m/>
    <n v="1"/>
    <n v="190801"/>
    <n v="25053"/>
  </r>
  <r>
    <x v="310"/>
    <x v="1"/>
    <m/>
    <x v="5"/>
    <x v="12"/>
    <x v="56"/>
    <n v="190801"/>
    <n v="190801"/>
    <m/>
    <n v="1"/>
    <n v="190801"/>
    <n v="33025"/>
  </r>
  <r>
    <x v="311"/>
    <x v="0"/>
    <m/>
    <x v="6"/>
    <x v="2"/>
    <x v="37"/>
    <n v="190801"/>
    <n v="190801"/>
    <m/>
    <n v="3"/>
    <n v="190801"/>
    <n v="60000"/>
  </r>
  <r>
    <x v="311"/>
    <x v="0"/>
    <m/>
    <x v="29"/>
    <x v="2"/>
    <x v="40"/>
    <n v="190801"/>
    <n v="190801"/>
    <m/>
    <n v="4"/>
    <n v="190801"/>
    <n v="140000"/>
  </r>
  <r>
    <x v="311"/>
    <x v="0"/>
    <m/>
    <x v="29"/>
    <x v="2"/>
    <x v="41"/>
    <n v="190801"/>
    <n v="190801"/>
    <m/>
    <n v="6"/>
    <n v="190801"/>
    <n v="270000"/>
  </r>
  <r>
    <x v="311"/>
    <x v="0"/>
    <m/>
    <x v="25"/>
    <x v="2"/>
    <x v="34"/>
    <n v="190801"/>
    <n v="190801"/>
    <m/>
    <n v="4"/>
    <n v="190801"/>
    <n v="396000"/>
  </r>
  <r>
    <x v="311"/>
    <x v="0"/>
    <m/>
    <x v="1"/>
    <x v="2"/>
    <x v="18"/>
    <n v="190801"/>
    <n v="190801"/>
    <m/>
    <n v="2"/>
    <n v="190801"/>
    <n v="40000"/>
  </r>
  <r>
    <x v="311"/>
    <x v="0"/>
    <m/>
    <x v="1"/>
    <x v="2"/>
    <x v="21"/>
    <n v="190801"/>
    <n v="190801"/>
    <m/>
    <n v="1"/>
    <n v="190801"/>
    <n v="35000"/>
  </r>
  <r>
    <x v="311"/>
    <x v="0"/>
    <m/>
    <x v="4"/>
    <x v="2"/>
    <x v="27"/>
    <n v="190801"/>
    <n v="190801"/>
    <m/>
    <n v="6"/>
    <n v="190801"/>
    <n v="120000"/>
  </r>
  <r>
    <x v="311"/>
    <x v="0"/>
    <m/>
    <x v="0"/>
    <x v="2"/>
    <x v="15"/>
    <n v="190801"/>
    <n v="190801"/>
    <m/>
    <n v="59"/>
    <n v="190801"/>
    <n v="1180000"/>
  </r>
  <r>
    <x v="311"/>
    <x v="0"/>
    <m/>
    <x v="0"/>
    <x v="2"/>
    <x v="16"/>
    <n v="190801"/>
    <n v="190801"/>
    <m/>
    <n v="46"/>
    <n v="190801"/>
    <n v="1610000"/>
  </r>
  <r>
    <x v="311"/>
    <x v="0"/>
    <m/>
    <x v="0"/>
    <x v="2"/>
    <x v="17"/>
    <n v="190801"/>
    <n v="190801"/>
    <m/>
    <n v="68"/>
    <n v="190801"/>
    <n v="2244000"/>
  </r>
  <r>
    <x v="311"/>
    <x v="0"/>
    <m/>
    <x v="5"/>
    <x v="2"/>
    <x v="28"/>
    <n v="190801"/>
    <n v="190801"/>
    <m/>
    <n v="8"/>
    <n v="190801"/>
    <n v="224000"/>
  </r>
  <r>
    <x v="311"/>
    <x v="0"/>
    <m/>
    <x v="22"/>
    <x v="2"/>
    <x v="29"/>
    <n v="190801"/>
    <n v="190801"/>
    <m/>
    <n v="4"/>
    <n v="190801"/>
    <n v="152000"/>
  </r>
  <r>
    <x v="311"/>
    <x v="0"/>
    <m/>
    <x v="0"/>
    <x v="3"/>
    <x v="17"/>
    <n v="190801"/>
    <n v="190801"/>
    <m/>
    <n v="10"/>
    <n v="190801"/>
    <n v="0"/>
  </r>
  <r>
    <x v="311"/>
    <x v="0"/>
    <m/>
    <x v="6"/>
    <x v="9"/>
    <x v="37"/>
    <n v="190801"/>
    <n v="190801"/>
    <m/>
    <n v="2"/>
    <n v="190801"/>
    <n v="40000"/>
  </r>
  <r>
    <x v="312"/>
    <x v="2"/>
    <m/>
    <x v="6"/>
    <x v="2"/>
    <x v="37"/>
    <n v="190801"/>
    <n v="190801"/>
    <m/>
    <n v="1"/>
    <n v="190801"/>
    <n v="20000"/>
  </r>
  <r>
    <x v="312"/>
    <x v="2"/>
    <m/>
    <x v="6"/>
    <x v="2"/>
    <x v="42"/>
    <n v="190801"/>
    <n v="190801"/>
    <m/>
    <n v="1"/>
    <n v="190801"/>
    <n v="35000"/>
  </r>
  <r>
    <x v="312"/>
    <x v="2"/>
    <m/>
    <x v="29"/>
    <x v="2"/>
    <x v="40"/>
    <n v="190801"/>
    <n v="190801"/>
    <m/>
    <n v="2"/>
    <n v="190801"/>
    <n v="70000"/>
  </r>
  <r>
    <x v="312"/>
    <x v="2"/>
    <m/>
    <x v="29"/>
    <x v="2"/>
    <x v="41"/>
    <n v="190801"/>
    <n v="190801"/>
    <m/>
    <n v="2"/>
    <n v="190801"/>
    <n v="90000"/>
  </r>
  <r>
    <x v="312"/>
    <x v="2"/>
    <m/>
    <x v="25"/>
    <x v="2"/>
    <x v="34"/>
    <n v="190801"/>
    <n v="190801"/>
    <m/>
    <n v="3"/>
    <n v="190801"/>
    <n v="297000"/>
  </r>
  <r>
    <x v="312"/>
    <x v="2"/>
    <m/>
    <x v="1"/>
    <x v="2"/>
    <x v="18"/>
    <n v="190801"/>
    <n v="190801"/>
    <m/>
    <n v="1"/>
    <n v="190801"/>
    <n v="20000"/>
  </r>
  <r>
    <x v="312"/>
    <x v="2"/>
    <m/>
    <x v="1"/>
    <x v="2"/>
    <x v="21"/>
    <n v="190801"/>
    <n v="190801"/>
    <m/>
    <n v="1"/>
    <n v="190801"/>
    <n v="35000"/>
  </r>
  <r>
    <x v="312"/>
    <x v="2"/>
    <m/>
    <x v="4"/>
    <x v="2"/>
    <x v="26"/>
    <n v="190801"/>
    <n v="190801"/>
    <m/>
    <n v="1"/>
    <n v="190801"/>
    <n v="4000"/>
  </r>
  <r>
    <x v="312"/>
    <x v="2"/>
    <m/>
    <x v="4"/>
    <x v="2"/>
    <x v="27"/>
    <n v="190801"/>
    <n v="190801"/>
    <m/>
    <n v="2"/>
    <n v="190801"/>
    <n v="40000"/>
  </r>
  <r>
    <x v="312"/>
    <x v="2"/>
    <m/>
    <x v="0"/>
    <x v="2"/>
    <x v="15"/>
    <n v="190801"/>
    <n v="190801"/>
    <m/>
    <n v="43"/>
    <n v="190801"/>
    <n v="860000"/>
  </r>
  <r>
    <x v="312"/>
    <x v="2"/>
    <m/>
    <x v="0"/>
    <x v="2"/>
    <x v="16"/>
    <n v="190801"/>
    <n v="190801"/>
    <m/>
    <n v="51"/>
    <n v="190801"/>
    <n v="1785000"/>
  </r>
  <r>
    <x v="312"/>
    <x v="2"/>
    <m/>
    <x v="0"/>
    <x v="2"/>
    <x v="17"/>
    <n v="190801"/>
    <n v="190801"/>
    <m/>
    <n v="57"/>
    <n v="190801"/>
    <n v="1881000"/>
  </r>
  <r>
    <x v="312"/>
    <x v="2"/>
    <m/>
    <x v="5"/>
    <x v="2"/>
    <x v="28"/>
    <n v="190801"/>
    <n v="190801"/>
    <m/>
    <n v="7"/>
    <n v="190801"/>
    <n v="196000"/>
  </r>
  <r>
    <x v="312"/>
    <x v="2"/>
    <m/>
    <x v="22"/>
    <x v="2"/>
    <x v="29"/>
    <n v="190801"/>
    <n v="190801"/>
    <m/>
    <n v="5"/>
    <n v="190801"/>
    <n v="190000"/>
  </r>
  <r>
    <x v="312"/>
    <x v="2"/>
    <m/>
    <x v="0"/>
    <x v="3"/>
    <x v="15"/>
    <n v="190801"/>
    <n v="190801"/>
    <m/>
    <n v="3"/>
    <n v="190801"/>
    <n v="0"/>
  </r>
  <r>
    <x v="312"/>
    <x v="2"/>
    <m/>
    <x v="0"/>
    <x v="3"/>
    <x v="17"/>
    <n v="190801"/>
    <n v="190801"/>
    <m/>
    <n v="1"/>
    <n v="190801"/>
    <n v="0"/>
  </r>
  <r>
    <x v="312"/>
    <x v="2"/>
    <m/>
    <x v="18"/>
    <x v="3"/>
    <x v="19"/>
    <n v="190801"/>
    <n v="190801"/>
    <m/>
    <n v="1"/>
    <n v="190801"/>
    <n v="0"/>
  </r>
  <r>
    <x v="312"/>
    <x v="2"/>
    <m/>
    <x v="5"/>
    <x v="3"/>
    <x v="28"/>
    <n v="190801"/>
    <n v="190801"/>
    <m/>
    <n v="1"/>
    <n v="190801"/>
    <n v="0"/>
  </r>
  <r>
    <x v="312"/>
    <x v="2"/>
    <m/>
    <x v="4"/>
    <x v="3"/>
    <x v="27"/>
    <n v="190801"/>
    <n v="190801"/>
    <m/>
    <n v="1"/>
    <n v="190801"/>
    <n v="0"/>
  </r>
  <r>
    <x v="312"/>
    <x v="2"/>
    <m/>
    <x v="6"/>
    <x v="3"/>
    <x v="37"/>
    <n v="190801"/>
    <n v="190801"/>
    <m/>
    <n v="1"/>
    <n v="190801"/>
    <n v="0"/>
  </r>
  <r>
    <x v="312"/>
    <x v="2"/>
    <m/>
    <x v="22"/>
    <x v="3"/>
    <x v="29"/>
    <n v="190801"/>
    <n v="190801"/>
    <m/>
    <n v="1"/>
    <n v="190801"/>
    <n v="0"/>
  </r>
  <r>
    <x v="312"/>
    <x v="2"/>
    <m/>
    <x v="1"/>
    <x v="3"/>
    <x v="18"/>
    <n v="190801"/>
    <n v="190801"/>
    <m/>
    <n v="1"/>
    <n v="190801"/>
    <n v="0"/>
  </r>
  <r>
    <x v="312"/>
    <x v="2"/>
    <m/>
    <x v="5"/>
    <x v="10"/>
    <x v="56"/>
    <n v="190801"/>
    <n v="190801"/>
    <m/>
    <n v="3"/>
    <n v="190801"/>
    <n v="117000"/>
  </r>
  <r>
    <x v="312"/>
    <x v="2"/>
    <m/>
    <x v="22"/>
    <x v="12"/>
    <x v="55"/>
    <n v="190801"/>
    <n v="190801"/>
    <m/>
    <n v="1"/>
    <n v="190801"/>
    <n v="37960"/>
  </r>
  <r>
    <x v="312"/>
    <x v="2"/>
    <m/>
    <x v="1"/>
    <x v="12"/>
    <x v="58"/>
    <n v="190801"/>
    <n v="190801"/>
    <m/>
    <n v="1"/>
    <n v="190801"/>
    <n v="25053"/>
  </r>
  <r>
    <x v="312"/>
    <x v="2"/>
    <m/>
    <x v="5"/>
    <x v="12"/>
    <x v="56"/>
    <n v="190801"/>
    <n v="190801"/>
    <m/>
    <n v="2"/>
    <n v="190801"/>
    <n v="66050"/>
  </r>
  <r>
    <x v="313"/>
    <x v="5"/>
    <m/>
    <x v="6"/>
    <x v="2"/>
    <x v="37"/>
    <n v="190801"/>
    <n v="190801"/>
    <m/>
    <n v="3"/>
    <n v="190801"/>
    <n v="60000"/>
  </r>
  <r>
    <x v="313"/>
    <x v="5"/>
    <m/>
    <x v="29"/>
    <x v="2"/>
    <x v="40"/>
    <n v="190801"/>
    <n v="190801"/>
    <m/>
    <n v="1"/>
    <n v="190801"/>
    <n v="35000"/>
  </r>
  <r>
    <x v="313"/>
    <x v="5"/>
    <m/>
    <x v="29"/>
    <x v="2"/>
    <x v="41"/>
    <n v="190801"/>
    <n v="190801"/>
    <m/>
    <n v="4"/>
    <n v="190801"/>
    <n v="180000"/>
  </r>
  <r>
    <x v="313"/>
    <x v="5"/>
    <m/>
    <x v="1"/>
    <x v="2"/>
    <x v="18"/>
    <n v="190801"/>
    <n v="190801"/>
    <m/>
    <n v="2"/>
    <n v="190801"/>
    <n v="40000"/>
  </r>
  <r>
    <x v="313"/>
    <x v="5"/>
    <m/>
    <x v="4"/>
    <x v="2"/>
    <x v="26"/>
    <n v="190801"/>
    <n v="190801"/>
    <m/>
    <n v="3"/>
    <n v="190801"/>
    <n v="12000"/>
  </r>
  <r>
    <x v="313"/>
    <x v="5"/>
    <m/>
    <x v="4"/>
    <x v="2"/>
    <x v="27"/>
    <n v="190801"/>
    <n v="190801"/>
    <m/>
    <n v="2"/>
    <n v="190801"/>
    <n v="40000"/>
  </r>
  <r>
    <x v="313"/>
    <x v="5"/>
    <m/>
    <x v="0"/>
    <x v="2"/>
    <x v="15"/>
    <n v="190801"/>
    <n v="190801"/>
    <m/>
    <n v="57"/>
    <n v="190801"/>
    <n v="1140000"/>
  </r>
  <r>
    <x v="313"/>
    <x v="5"/>
    <m/>
    <x v="0"/>
    <x v="2"/>
    <x v="16"/>
    <n v="190801"/>
    <n v="190801"/>
    <m/>
    <n v="37"/>
    <n v="190801"/>
    <n v="1295000"/>
  </r>
  <r>
    <x v="313"/>
    <x v="5"/>
    <m/>
    <x v="0"/>
    <x v="2"/>
    <x v="17"/>
    <n v="190801"/>
    <n v="190801"/>
    <m/>
    <n v="53"/>
    <n v="190801"/>
    <n v="1749000"/>
  </r>
  <r>
    <x v="314"/>
    <x v="6"/>
    <m/>
    <x v="6"/>
    <x v="2"/>
    <x v="37"/>
    <n v="190801"/>
    <n v="190801"/>
    <m/>
    <n v="2"/>
    <n v="190801"/>
    <n v="40000"/>
  </r>
  <r>
    <x v="314"/>
    <x v="6"/>
    <m/>
    <x v="29"/>
    <x v="2"/>
    <x v="40"/>
    <n v="190801"/>
    <n v="190801"/>
    <m/>
    <n v="2"/>
    <n v="190801"/>
    <n v="70000"/>
  </r>
  <r>
    <x v="314"/>
    <x v="6"/>
    <m/>
    <x v="29"/>
    <x v="2"/>
    <x v="41"/>
    <n v="190801"/>
    <n v="190801"/>
    <m/>
    <n v="2"/>
    <n v="190801"/>
    <n v="90000"/>
  </r>
  <r>
    <x v="314"/>
    <x v="6"/>
    <m/>
    <x v="1"/>
    <x v="2"/>
    <x v="18"/>
    <n v="190801"/>
    <n v="190801"/>
    <m/>
    <n v="1"/>
    <n v="190801"/>
    <n v="20000"/>
  </r>
  <r>
    <x v="314"/>
    <x v="6"/>
    <m/>
    <x v="1"/>
    <x v="2"/>
    <x v="21"/>
    <n v="190801"/>
    <n v="190801"/>
    <m/>
    <n v="1"/>
    <n v="190801"/>
    <n v="35000"/>
  </r>
  <r>
    <x v="314"/>
    <x v="6"/>
    <m/>
    <x v="4"/>
    <x v="2"/>
    <x v="27"/>
    <n v="190801"/>
    <n v="190801"/>
    <m/>
    <n v="6"/>
    <n v="190801"/>
    <n v="120000"/>
  </r>
  <r>
    <x v="314"/>
    <x v="6"/>
    <m/>
    <x v="0"/>
    <x v="2"/>
    <x v="15"/>
    <n v="190801"/>
    <n v="190801"/>
    <m/>
    <n v="61"/>
    <n v="190801"/>
    <n v="1220000"/>
  </r>
  <r>
    <x v="314"/>
    <x v="6"/>
    <m/>
    <x v="0"/>
    <x v="2"/>
    <x v="16"/>
    <n v="190801"/>
    <n v="190801"/>
    <m/>
    <n v="51"/>
    <n v="190801"/>
    <n v="1785000"/>
  </r>
  <r>
    <x v="314"/>
    <x v="6"/>
    <m/>
    <x v="0"/>
    <x v="2"/>
    <x v="17"/>
    <n v="190801"/>
    <n v="190801"/>
    <m/>
    <n v="70"/>
    <n v="190801"/>
    <n v="2310000"/>
  </r>
  <r>
    <x v="314"/>
    <x v="6"/>
    <m/>
    <x v="22"/>
    <x v="2"/>
    <x v="29"/>
    <n v="190801"/>
    <n v="190801"/>
    <m/>
    <n v="6"/>
    <n v="190801"/>
    <n v="228000"/>
  </r>
  <r>
    <x v="314"/>
    <x v="6"/>
    <m/>
    <x v="6"/>
    <x v="9"/>
    <x v="37"/>
    <n v="190801"/>
    <n v="190801"/>
    <m/>
    <n v="1"/>
    <n v="190801"/>
    <n v="20000"/>
  </r>
  <r>
    <x v="314"/>
    <x v="6"/>
    <m/>
    <x v="0"/>
    <x v="6"/>
    <x v="15"/>
    <n v="190801"/>
    <n v="190801"/>
    <m/>
    <n v="198"/>
    <n v="190801"/>
    <n v="1795464"/>
  </r>
  <r>
    <x v="314"/>
    <x v="6"/>
    <m/>
    <x v="0"/>
    <x v="6"/>
    <x v="17"/>
    <n v="190801"/>
    <n v="190801"/>
    <m/>
    <n v="387"/>
    <n v="190801"/>
    <n v="6121566"/>
  </r>
  <r>
    <x v="314"/>
    <x v="6"/>
    <m/>
    <x v="4"/>
    <x v="6"/>
    <x v="26"/>
    <n v="190801"/>
    <n v="190801"/>
    <m/>
    <n v="739"/>
    <n v="190801"/>
    <n v="792947"/>
  </r>
  <r>
    <x v="314"/>
    <x v="6"/>
    <m/>
    <x v="26"/>
    <x v="6"/>
    <x v="35"/>
    <n v="190801"/>
    <n v="190801"/>
    <m/>
    <n v="59"/>
    <n v="190801"/>
    <n v="1010729"/>
  </r>
  <r>
    <x v="314"/>
    <x v="6"/>
    <m/>
    <x v="22"/>
    <x v="6"/>
    <x v="29"/>
    <n v="190801"/>
    <n v="190801"/>
    <m/>
    <n v="25"/>
    <n v="190801"/>
    <n v="492275"/>
  </r>
  <r>
    <x v="314"/>
    <x v="6"/>
    <m/>
    <x v="24"/>
    <x v="6"/>
    <x v="31"/>
    <n v="190801"/>
    <n v="190801"/>
    <m/>
    <n v="89"/>
    <n v="190801"/>
    <n v="1324053"/>
  </r>
  <r>
    <x v="314"/>
    <x v="6"/>
    <m/>
    <x v="23"/>
    <x v="6"/>
    <x v="30"/>
    <n v="190801"/>
    <n v="190801"/>
    <m/>
    <n v="48"/>
    <n v="190801"/>
    <n v="334272"/>
  </r>
  <r>
    <x v="314"/>
    <x v="6"/>
    <m/>
    <x v="19"/>
    <x v="6"/>
    <x v="22"/>
    <n v="190801"/>
    <n v="190801"/>
    <m/>
    <n v="36"/>
    <n v="190801"/>
    <n v="244476"/>
  </r>
  <r>
    <x v="314"/>
    <x v="6"/>
    <m/>
    <x v="27"/>
    <x v="6"/>
    <x v="36"/>
    <n v="190801"/>
    <n v="190801"/>
    <m/>
    <n v="3"/>
    <n v="190801"/>
    <n v="28371"/>
  </r>
  <r>
    <x v="314"/>
    <x v="6"/>
    <m/>
    <x v="6"/>
    <x v="6"/>
    <x v="37"/>
    <n v="190801"/>
    <n v="190801"/>
    <m/>
    <n v="24"/>
    <n v="190801"/>
    <n v="240000"/>
  </r>
  <r>
    <x v="314"/>
    <x v="6"/>
    <m/>
    <x v="28"/>
    <x v="6"/>
    <x v="39"/>
    <n v="190801"/>
    <n v="190801"/>
    <m/>
    <n v="117"/>
    <n v="190801"/>
    <n v="1850706"/>
  </r>
  <r>
    <x v="314"/>
    <x v="6"/>
    <m/>
    <x v="4"/>
    <x v="6"/>
    <x v="66"/>
    <n v="190801"/>
    <n v="190801"/>
    <m/>
    <n v="421"/>
    <n v="190801"/>
    <n v="2356337"/>
  </r>
  <r>
    <x v="317"/>
    <x v="3"/>
    <m/>
    <x v="0"/>
    <x v="7"/>
    <x v="15"/>
    <n v="190801"/>
    <n v="190801"/>
    <m/>
    <n v="3"/>
    <n v="190801"/>
    <n v="60000"/>
  </r>
  <r>
    <x v="317"/>
    <x v="3"/>
    <m/>
    <x v="6"/>
    <x v="2"/>
    <x v="37"/>
    <n v="190801"/>
    <n v="190801"/>
    <m/>
    <n v="3"/>
    <n v="190801"/>
    <n v="60000"/>
  </r>
  <r>
    <x v="317"/>
    <x v="3"/>
    <m/>
    <x v="6"/>
    <x v="2"/>
    <x v="42"/>
    <n v="190801"/>
    <n v="190801"/>
    <m/>
    <n v="1"/>
    <n v="190801"/>
    <n v="35000"/>
  </r>
  <r>
    <x v="317"/>
    <x v="3"/>
    <m/>
    <x v="29"/>
    <x v="2"/>
    <x v="40"/>
    <n v="190801"/>
    <n v="190801"/>
    <m/>
    <n v="1"/>
    <n v="190801"/>
    <n v="35000"/>
  </r>
  <r>
    <x v="317"/>
    <x v="3"/>
    <m/>
    <x v="29"/>
    <x v="2"/>
    <x v="41"/>
    <n v="190801"/>
    <n v="190801"/>
    <m/>
    <n v="3"/>
    <n v="190801"/>
    <n v="135000"/>
  </r>
  <r>
    <x v="317"/>
    <x v="3"/>
    <m/>
    <x v="25"/>
    <x v="2"/>
    <x v="34"/>
    <n v="190801"/>
    <n v="190801"/>
    <m/>
    <n v="1"/>
    <n v="190801"/>
    <n v="99000"/>
  </r>
  <r>
    <x v="317"/>
    <x v="3"/>
    <m/>
    <x v="1"/>
    <x v="2"/>
    <x v="18"/>
    <n v="190801"/>
    <n v="190801"/>
    <m/>
    <n v="6"/>
    <n v="190801"/>
    <n v="120000"/>
  </r>
  <r>
    <x v="317"/>
    <x v="3"/>
    <m/>
    <x v="1"/>
    <x v="2"/>
    <x v="21"/>
    <n v="190801"/>
    <n v="190801"/>
    <m/>
    <n v="1"/>
    <n v="190801"/>
    <n v="35000"/>
  </r>
  <r>
    <x v="317"/>
    <x v="3"/>
    <m/>
    <x v="4"/>
    <x v="2"/>
    <x v="26"/>
    <n v="190801"/>
    <n v="190801"/>
    <m/>
    <n v="2"/>
    <n v="190801"/>
    <n v="8000"/>
  </r>
  <r>
    <x v="317"/>
    <x v="3"/>
    <m/>
    <x v="4"/>
    <x v="2"/>
    <x v="27"/>
    <n v="190801"/>
    <n v="190801"/>
    <m/>
    <n v="4"/>
    <n v="190801"/>
    <n v="80000"/>
  </r>
  <r>
    <x v="317"/>
    <x v="3"/>
    <m/>
    <x v="0"/>
    <x v="2"/>
    <x v="15"/>
    <n v="190801"/>
    <n v="190801"/>
    <m/>
    <n v="108"/>
    <n v="190801"/>
    <n v="2160000"/>
  </r>
  <r>
    <x v="317"/>
    <x v="3"/>
    <m/>
    <x v="0"/>
    <x v="2"/>
    <x v="16"/>
    <n v="190801"/>
    <n v="190801"/>
    <m/>
    <n v="108"/>
    <n v="190801"/>
    <n v="3780000"/>
  </r>
  <r>
    <x v="317"/>
    <x v="3"/>
    <m/>
    <x v="0"/>
    <x v="2"/>
    <x v="17"/>
    <n v="190801"/>
    <n v="190801"/>
    <m/>
    <n v="88"/>
    <n v="190801"/>
    <n v="2904000"/>
  </r>
  <r>
    <x v="317"/>
    <x v="3"/>
    <m/>
    <x v="5"/>
    <x v="2"/>
    <x v="28"/>
    <n v="190801"/>
    <n v="190801"/>
    <m/>
    <n v="17"/>
    <n v="190801"/>
    <n v="476000"/>
  </r>
  <r>
    <x v="317"/>
    <x v="3"/>
    <m/>
    <x v="22"/>
    <x v="2"/>
    <x v="29"/>
    <n v="190801"/>
    <n v="190801"/>
    <m/>
    <n v="10"/>
    <n v="190801"/>
    <n v="380000"/>
  </r>
  <r>
    <x v="317"/>
    <x v="3"/>
    <m/>
    <x v="0"/>
    <x v="3"/>
    <x v="15"/>
    <n v="190801"/>
    <n v="190801"/>
    <m/>
    <n v="6"/>
    <n v="190801"/>
    <n v="0"/>
  </r>
  <r>
    <x v="317"/>
    <x v="3"/>
    <m/>
    <x v="18"/>
    <x v="3"/>
    <x v="19"/>
    <n v="190801"/>
    <n v="190801"/>
    <m/>
    <n v="6"/>
    <n v="190801"/>
    <n v="0"/>
  </r>
  <r>
    <x v="317"/>
    <x v="3"/>
    <m/>
    <x v="5"/>
    <x v="3"/>
    <x v="28"/>
    <n v="190801"/>
    <n v="190801"/>
    <m/>
    <n v="2"/>
    <n v="190801"/>
    <n v="0"/>
  </r>
  <r>
    <x v="317"/>
    <x v="3"/>
    <m/>
    <x v="4"/>
    <x v="3"/>
    <x v="27"/>
    <n v="190801"/>
    <n v="190801"/>
    <m/>
    <n v="6"/>
    <n v="190801"/>
    <n v="0"/>
  </r>
  <r>
    <x v="317"/>
    <x v="3"/>
    <m/>
    <x v="6"/>
    <x v="3"/>
    <x v="37"/>
    <n v="190801"/>
    <n v="190801"/>
    <m/>
    <n v="6"/>
    <n v="190801"/>
    <n v="0"/>
  </r>
  <r>
    <x v="317"/>
    <x v="3"/>
    <m/>
    <x v="0"/>
    <x v="9"/>
    <x v="15"/>
    <n v="190801"/>
    <n v="190801"/>
    <m/>
    <n v="4"/>
    <n v="190801"/>
    <n v="80000"/>
  </r>
  <r>
    <x v="318"/>
    <x v="4"/>
    <m/>
    <x v="0"/>
    <x v="1"/>
    <x v="15"/>
    <n v="190801"/>
    <n v="190801"/>
    <m/>
    <n v="2"/>
    <n v="190801"/>
    <n v="40000"/>
  </r>
  <r>
    <x v="318"/>
    <x v="4"/>
    <m/>
    <x v="0"/>
    <x v="1"/>
    <x v="16"/>
    <n v="190801"/>
    <n v="190801"/>
    <m/>
    <n v="3"/>
    <n v="190801"/>
    <n v="105000"/>
  </r>
  <r>
    <x v="318"/>
    <x v="4"/>
    <m/>
    <x v="0"/>
    <x v="5"/>
    <x v="51"/>
    <n v="190801"/>
    <n v="190801"/>
    <m/>
    <n v="6"/>
    <n v="190801"/>
    <n v="67500"/>
  </r>
  <r>
    <x v="318"/>
    <x v="4"/>
    <m/>
    <x v="5"/>
    <x v="5"/>
    <x v="53"/>
    <n v="190801"/>
    <n v="190801"/>
    <m/>
    <n v="3"/>
    <n v="190801"/>
    <n v="44550"/>
  </r>
  <r>
    <x v="318"/>
    <x v="4"/>
    <m/>
    <x v="22"/>
    <x v="5"/>
    <x v="52"/>
    <n v="190801"/>
    <n v="190801"/>
    <m/>
    <n v="3"/>
    <n v="190801"/>
    <n v="51300"/>
  </r>
  <r>
    <x v="318"/>
    <x v="4"/>
    <m/>
    <x v="4"/>
    <x v="5"/>
    <x v="61"/>
    <n v="190801"/>
    <n v="190801"/>
    <m/>
    <n v="3"/>
    <n v="190801"/>
    <n v="5400"/>
  </r>
  <r>
    <x v="318"/>
    <x v="4"/>
    <m/>
    <x v="1"/>
    <x v="5"/>
    <x v="63"/>
    <n v="190801"/>
    <n v="190801"/>
    <m/>
    <n v="3"/>
    <n v="190801"/>
    <n v="33750"/>
  </r>
  <r>
    <x v="318"/>
    <x v="4"/>
    <m/>
    <x v="19"/>
    <x v="5"/>
    <x v="50"/>
    <n v="190801"/>
    <n v="190801"/>
    <m/>
    <n v="3"/>
    <n v="190801"/>
    <n v="21600"/>
  </r>
  <r>
    <x v="318"/>
    <x v="4"/>
    <m/>
    <x v="4"/>
    <x v="5"/>
    <x v="62"/>
    <n v="190801"/>
    <n v="190801"/>
    <m/>
    <n v="3"/>
    <n v="190801"/>
    <n v="54000"/>
  </r>
  <r>
    <x v="318"/>
    <x v="4"/>
    <m/>
    <x v="6"/>
    <x v="5"/>
    <x v="49"/>
    <n v="190801"/>
    <n v="190801"/>
    <m/>
    <n v="3"/>
    <n v="190801"/>
    <n v="33750"/>
  </r>
  <r>
    <x v="318"/>
    <x v="4"/>
    <m/>
    <x v="0"/>
    <x v="7"/>
    <x v="15"/>
    <n v="190801"/>
    <n v="190801"/>
    <m/>
    <n v="13"/>
    <n v="190801"/>
    <n v="260000"/>
  </r>
  <r>
    <x v="318"/>
    <x v="4"/>
    <m/>
    <x v="29"/>
    <x v="2"/>
    <x v="40"/>
    <n v="190801"/>
    <n v="190801"/>
    <m/>
    <n v="1"/>
    <n v="190801"/>
    <n v="35000"/>
  </r>
  <r>
    <x v="318"/>
    <x v="4"/>
    <m/>
    <x v="29"/>
    <x v="2"/>
    <x v="41"/>
    <n v="190801"/>
    <n v="190801"/>
    <m/>
    <n v="3"/>
    <n v="190801"/>
    <n v="135000"/>
  </r>
  <r>
    <x v="318"/>
    <x v="4"/>
    <m/>
    <x v="25"/>
    <x v="2"/>
    <x v="34"/>
    <n v="190801"/>
    <n v="190801"/>
    <m/>
    <n v="4"/>
    <n v="190801"/>
    <n v="396000"/>
  </r>
  <r>
    <x v="318"/>
    <x v="4"/>
    <m/>
    <x v="1"/>
    <x v="2"/>
    <x v="18"/>
    <n v="190801"/>
    <n v="190801"/>
    <m/>
    <n v="2"/>
    <n v="190801"/>
    <n v="40000"/>
  </r>
  <r>
    <x v="318"/>
    <x v="4"/>
    <m/>
    <x v="4"/>
    <x v="2"/>
    <x v="27"/>
    <n v="190801"/>
    <n v="190801"/>
    <m/>
    <n v="6"/>
    <n v="190801"/>
    <n v="120000"/>
  </r>
  <r>
    <x v="318"/>
    <x v="4"/>
    <m/>
    <x v="0"/>
    <x v="2"/>
    <x v="15"/>
    <n v="190801"/>
    <n v="190801"/>
    <m/>
    <n v="101"/>
    <n v="190801"/>
    <n v="2020000"/>
  </r>
  <r>
    <x v="318"/>
    <x v="4"/>
    <m/>
    <x v="0"/>
    <x v="2"/>
    <x v="16"/>
    <n v="190801"/>
    <n v="190801"/>
    <m/>
    <n v="84"/>
    <n v="190801"/>
    <n v="2940000"/>
  </r>
  <r>
    <x v="318"/>
    <x v="4"/>
    <m/>
    <x v="0"/>
    <x v="2"/>
    <x v="17"/>
    <n v="190801"/>
    <n v="190801"/>
    <m/>
    <n v="67"/>
    <n v="190801"/>
    <n v="2211000"/>
  </r>
  <r>
    <x v="318"/>
    <x v="4"/>
    <m/>
    <x v="5"/>
    <x v="2"/>
    <x v="28"/>
    <n v="190801"/>
    <n v="190801"/>
    <m/>
    <n v="23"/>
    <n v="190801"/>
    <n v="644000"/>
  </r>
  <r>
    <x v="318"/>
    <x v="4"/>
    <m/>
    <x v="22"/>
    <x v="2"/>
    <x v="29"/>
    <n v="190801"/>
    <n v="190801"/>
    <m/>
    <n v="8"/>
    <n v="190801"/>
    <n v="304000"/>
  </r>
  <r>
    <x v="318"/>
    <x v="4"/>
    <m/>
    <x v="0"/>
    <x v="3"/>
    <x v="15"/>
    <n v="190801"/>
    <n v="190801"/>
    <m/>
    <n v="20"/>
    <n v="190801"/>
    <n v="0"/>
  </r>
  <r>
    <x v="318"/>
    <x v="4"/>
    <m/>
    <x v="0"/>
    <x v="10"/>
    <x v="54"/>
    <n v="190801"/>
    <n v="190801"/>
    <m/>
    <n v="13"/>
    <n v="190801"/>
    <n v="429000"/>
  </r>
  <r>
    <x v="318"/>
    <x v="4"/>
    <m/>
    <x v="22"/>
    <x v="10"/>
    <x v="55"/>
    <n v="190801"/>
    <n v="190801"/>
    <m/>
    <n v="1"/>
    <n v="190801"/>
    <n v="44000"/>
  </r>
  <r>
    <x v="318"/>
    <x v="4"/>
    <m/>
    <x v="0"/>
    <x v="13"/>
    <x v="54"/>
    <n v="190801"/>
    <n v="190801"/>
    <m/>
    <n v="1"/>
    <n v="190801"/>
    <n v="26000"/>
  </r>
  <r>
    <x v="318"/>
    <x v="4"/>
    <m/>
    <x v="0"/>
    <x v="13"/>
    <x v="67"/>
    <n v="190801"/>
    <n v="190801"/>
    <m/>
    <n v="1"/>
    <n v="190801"/>
    <n v="4341"/>
  </r>
  <r>
    <x v="318"/>
    <x v="4"/>
    <m/>
    <x v="0"/>
    <x v="14"/>
    <x v="68"/>
    <n v="190801"/>
    <n v="190801"/>
    <m/>
    <n v="2"/>
    <n v="190801"/>
    <n v="45186"/>
  </r>
  <r>
    <x v="318"/>
    <x v="4"/>
    <m/>
    <x v="0"/>
    <x v="9"/>
    <x v="15"/>
    <n v="190801"/>
    <n v="190801"/>
    <m/>
    <n v="9"/>
    <n v="190801"/>
    <n v="180000"/>
  </r>
  <r>
    <x v="315"/>
    <x v="1"/>
    <m/>
    <x v="0"/>
    <x v="1"/>
    <x v="15"/>
    <n v="190801"/>
    <n v="190801"/>
    <m/>
    <n v="3"/>
    <n v="190801"/>
    <n v="60000"/>
  </r>
  <r>
    <x v="315"/>
    <x v="1"/>
    <m/>
    <x v="0"/>
    <x v="1"/>
    <x v="16"/>
    <n v="190801"/>
    <n v="190801"/>
    <m/>
    <n v="3"/>
    <n v="190801"/>
    <n v="105000"/>
  </r>
  <r>
    <x v="315"/>
    <x v="1"/>
    <m/>
    <x v="4"/>
    <x v="5"/>
    <x v="61"/>
    <n v="190801"/>
    <n v="190801"/>
    <m/>
    <n v="30"/>
    <n v="190801"/>
    <n v="54000"/>
  </r>
  <r>
    <x v="315"/>
    <x v="1"/>
    <m/>
    <x v="0"/>
    <x v="7"/>
    <x v="15"/>
    <n v="190801"/>
    <n v="190801"/>
    <m/>
    <n v="5"/>
    <n v="190801"/>
    <n v="100000"/>
  </r>
  <r>
    <x v="315"/>
    <x v="1"/>
    <m/>
    <x v="6"/>
    <x v="2"/>
    <x v="37"/>
    <n v="190801"/>
    <n v="190801"/>
    <m/>
    <n v="7"/>
    <n v="190801"/>
    <n v="140000"/>
  </r>
  <r>
    <x v="315"/>
    <x v="1"/>
    <m/>
    <x v="6"/>
    <x v="2"/>
    <x v="42"/>
    <n v="190801"/>
    <n v="190801"/>
    <m/>
    <n v="4"/>
    <n v="190801"/>
    <n v="140000"/>
  </r>
  <r>
    <x v="315"/>
    <x v="1"/>
    <m/>
    <x v="29"/>
    <x v="2"/>
    <x v="40"/>
    <n v="190801"/>
    <n v="190801"/>
    <m/>
    <n v="4"/>
    <n v="190801"/>
    <n v="140000"/>
  </r>
  <r>
    <x v="315"/>
    <x v="1"/>
    <m/>
    <x v="29"/>
    <x v="2"/>
    <x v="41"/>
    <n v="190801"/>
    <n v="190801"/>
    <m/>
    <n v="4"/>
    <n v="190801"/>
    <n v="180000"/>
  </r>
  <r>
    <x v="315"/>
    <x v="1"/>
    <m/>
    <x v="25"/>
    <x v="2"/>
    <x v="34"/>
    <n v="190801"/>
    <n v="190801"/>
    <m/>
    <n v="4"/>
    <n v="190801"/>
    <n v="396000"/>
  </r>
  <r>
    <x v="315"/>
    <x v="1"/>
    <m/>
    <x v="1"/>
    <x v="2"/>
    <x v="18"/>
    <n v="190801"/>
    <n v="190801"/>
    <m/>
    <n v="3"/>
    <n v="190801"/>
    <n v="60000"/>
  </r>
  <r>
    <x v="315"/>
    <x v="1"/>
    <m/>
    <x v="4"/>
    <x v="2"/>
    <x v="26"/>
    <n v="190801"/>
    <n v="190801"/>
    <m/>
    <n v="22"/>
    <n v="190801"/>
    <n v="88000"/>
  </r>
  <r>
    <x v="315"/>
    <x v="1"/>
    <m/>
    <x v="4"/>
    <x v="2"/>
    <x v="27"/>
    <n v="190801"/>
    <n v="190801"/>
    <m/>
    <n v="4"/>
    <n v="190801"/>
    <n v="80000"/>
  </r>
  <r>
    <x v="315"/>
    <x v="1"/>
    <m/>
    <x v="0"/>
    <x v="2"/>
    <x v="15"/>
    <n v="190801"/>
    <n v="190801"/>
    <m/>
    <n v="75"/>
    <n v="190801"/>
    <n v="1500000"/>
  </r>
  <r>
    <x v="315"/>
    <x v="1"/>
    <m/>
    <x v="0"/>
    <x v="2"/>
    <x v="16"/>
    <n v="190801"/>
    <n v="190801"/>
    <m/>
    <n v="86"/>
    <n v="190801"/>
    <n v="3010000"/>
  </r>
  <r>
    <x v="315"/>
    <x v="1"/>
    <m/>
    <x v="0"/>
    <x v="2"/>
    <x v="17"/>
    <n v="190801"/>
    <n v="190801"/>
    <m/>
    <n v="46"/>
    <n v="190801"/>
    <n v="1518000"/>
  </r>
  <r>
    <x v="315"/>
    <x v="1"/>
    <m/>
    <x v="5"/>
    <x v="2"/>
    <x v="28"/>
    <n v="190801"/>
    <n v="190801"/>
    <m/>
    <n v="20"/>
    <n v="190801"/>
    <n v="560000"/>
  </r>
  <r>
    <x v="315"/>
    <x v="1"/>
    <m/>
    <x v="22"/>
    <x v="2"/>
    <x v="29"/>
    <n v="190801"/>
    <n v="190801"/>
    <m/>
    <n v="12"/>
    <n v="190801"/>
    <n v="456000"/>
  </r>
  <r>
    <x v="315"/>
    <x v="1"/>
    <m/>
    <x v="0"/>
    <x v="3"/>
    <x v="15"/>
    <n v="190801"/>
    <n v="190801"/>
    <m/>
    <n v="1"/>
    <n v="190801"/>
    <n v="0"/>
  </r>
  <r>
    <x v="315"/>
    <x v="1"/>
    <m/>
    <x v="18"/>
    <x v="3"/>
    <x v="19"/>
    <n v="190801"/>
    <n v="190801"/>
    <m/>
    <n v="1"/>
    <n v="190801"/>
    <n v="0"/>
  </r>
  <r>
    <x v="315"/>
    <x v="1"/>
    <m/>
    <x v="5"/>
    <x v="3"/>
    <x v="28"/>
    <n v="190801"/>
    <n v="190801"/>
    <m/>
    <n v="1"/>
    <n v="190801"/>
    <n v="0"/>
  </r>
  <r>
    <x v="315"/>
    <x v="1"/>
    <m/>
    <x v="4"/>
    <x v="3"/>
    <x v="27"/>
    <n v="190801"/>
    <n v="190801"/>
    <m/>
    <n v="1"/>
    <n v="190801"/>
    <n v="0"/>
  </r>
  <r>
    <x v="315"/>
    <x v="1"/>
    <m/>
    <x v="6"/>
    <x v="3"/>
    <x v="37"/>
    <n v="190801"/>
    <n v="190801"/>
    <m/>
    <n v="1"/>
    <n v="190801"/>
    <n v="0"/>
  </r>
  <r>
    <x v="315"/>
    <x v="1"/>
    <m/>
    <x v="0"/>
    <x v="9"/>
    <x v="15"/>
    <n v="190801"/>
    <n v="190801"/>
    <m/>
    <n v="7"/>
    <n v="190801"/>
    <n v="140000"/>
  </r>
  <r>
    <x v="316"/>
    <x v="0"/>
    <m/>
    <x v="0"/>
    <x v="7"/>
    <x v="15"/>
    <n v="190801"/>
    <n v="190801"/>
    <m/>
    <n v="6"/>
    <n v="190801"/>
    <n v="120000"/>
  </r>
  <r>
    <x v="316"/>
    <x v="0"/>
    <m/>
    <x v="6"/>
    <x v="2"/>
    <x v="37"/>
    <n v="190801"/>
    <n v="190801"/>
    <m/>
    <n v="1"/>
    <n v="190801"/>
    <n v="20000"/>
  </r>
  <r>
    <x v="316"/>
    <x v="0"/>
    <m/>
    <x v="29"/>
    <x v="2"/>
    <x v="40"/>
    <n v="190801"/>
    <n v="190801"/>
    <m/>
    <n v="3"/>
    <n v="190801"/>
    <n v="105000"/>
  </r>
  <r>
    <x v="316"/>
    <x v="0"/>
    <m/>
    <x v="29"/>
    <x v="2"/>
    <x v="41"/>
    <n v="190801"/>
    <n v="190801"/>
    <m/>
    <n v="3"/>
    <n v="190801"/>
    <n v="135000"/>
  </r>
  <r>
    <x v="316"/>
    <x v="0"/>
    <m/>
    <x v="1"/>
    <x v="2"/>
    <x v="18"/>
    <n v="190801"/>
    <n v="190801"/>
    <m/>
    <n v="2"/>
    <n v="190801"/>
    <n v="40000"/>
  </r>
  <r>
    <x v="316"/>
    <x v="0"/>
    <m/>
    <x v="4"/>
    <x v="2"/>
    <x v="26"/>
    <n v="190801"/>
    <n v="190801"/>
    <m/>
    <n v="7"/>
    <n v="190801"/>
    <n v="28000"/>
  </r>
  <r>
    <x v="316"/>
    <x v="0"/>
    <m/>
    <x v="4"/>
    <x v="2"/>
    <x v="27"/>
    <n v="190801"/>
    <n v="190801"/>
    <m/>
    <n v="8"/>
    <n v="190801"/>
    <n v="160000"/>
  </r>
  <r>
    <x v="316"/>
    <x v="0"/>
    <m/>
    <x v="0"/>
    <x v="2"/>
    <x v="15"/>
    <n v="190801"/>
    <n v="190801"/>
    <m/>
    <n v="74"/>
    <n v="190801"/>
    <n v="1480000"/>
  </r>
  <r>
    <x v="316"/>
    <x v="0"/>
    <m/>
    <x v="0"/>
    <x v="2"/>
    <x v="16"/>
    <n v="190801"/>
    <n v="190801"/>
    <m/>
    <n v="45"/>
    <n v="190801"/>
    <n v="1575000"/>
  </r>
  <r>
    <x v="316"/>
    <x v="0"/>
    <m/>
    <x v="0"/>
    <x v="2"/>
    <x v="17"/>
    <n v="190801"/>
    <n v="190801"/>
    <m/>
    <n v="43"/>
    <n v="190801"/>
    <n v="1419000"/>
  </r>
  <r>
    <x v="316"/>
    <x v="0"/>
    <m/>
    <x v="5"/>
    <x v="2"/>
    <x v="28"/>
    <n v="190801"/>
    <n v="190801"/>
    <m/>
    <n v="17"/>
    <n v="190801"/>
    <n v="476000"/>
  </r>
  <r>
    <x v="316"/>
    <x v="0"/>
    <m/>
    <x v="22"/>
    <x v="2"/>
    <x v="29"/>
    <n v="190801"/>
    <n v="190801"/>
    <m/>
    <n v="7"/>
    <n v="190801"/>
    <n v="266000"/>
  </r>
  <r>
    <x v="316"/>
    <x v="0"/>
    <m/>
    <x v="0"/>
    <x v="10"/>
    <x v="54"/>
    <n v="190801"/>
    <n v="190801"/>
    <m/>
    <n v="14"/>
    <n v="190801"/>
    <n v="462000"/>
  </r>
  <r>
    <x v="316"/>
    <x v="0"/>
    <m/>
    <x v="0"/>
    <x v="11"/>
    <x v="57"/>
    <n v="190801"/>
    <n v="190801"/>
    <m/>
    <n v="1"/>
    <n v="190801"/>
    <n v="45853"/>
  </r>
  <r>
    <x v="316"/>
    <x v="0"/>
    <m/>
    <x v="0"/>
    <x v="9"/>
    <x v="15"/>
    <n v="190801"/>
    <n v="190801"/>
    <m/>
    <n v="8"/>
    <n v="190801"/>
    <n v="160000"/>
  </r>
  <r>
    <x v="319"/>
    <x v="2"/>
    <m/>
    <x v="0"/>
    <x v="7"/>
    <x v="15"/>
    <n v="190801"/>
    <n v="190801"/>
    <m/>
    <n v="4"/>
    <n v="190801"/>
    <n v="80000"/>
  </r>
  <r>
    <x v="319"/>
    <x v="2"/>
    <m/>
    <x v="6"/>
    <x v="2"/>
    <x v="37"/>
    <n v="190801"/>
    <n v="190801"/>
    <m/>
    <n v="3"/>
    <n v="190801"/>
    <n v="60000"/>
  </r>
  <r>
    <x v="319"/>
    <x v="2"/>
    <m/>
    <x v="29"/>
    <x v="2"/>
    <x v="40"/>
    <n v="190801"/>
    <n v="190801"/>
    <m/>
    <n v="2"/>
    <n v="190801"/>
    <n v="70000"/>
  </r>
  <r>
    <x v="319"/>
    <x v="2"/>
    <m/>
    <x v="29"/>
    <x v="2"/>
    <x v="41"/>
    <n v="190801"/>
    <n v="190801"/>
    <m/>
    <n v="2"/>
    <n v="190801"/>
    <n v="90000"/>
  </r>
  <r>
    <x v="319"/>
    <x v="2"/>
    <m/>
    <x v="25"/>
    <x v="2"/>
    <x v="34"/>
    <n v="190801"/>
    <n v="190801"/>
    <m/>
    <n v="1"/>
    <n v="190801"/>
    <n v="99000"/>
  </r>
  <r>
    <x v="319"/>
    <x v="2"/>
    <m/>
    <x v="1"/>
    <x v="2"/>
    <x v="18"/>
    <n v="190801"/>
    <n v="190801"/>
    <m/>
    <n v="2"/>
    <n v="190801"/>
    <n v="40000"/>
  </r>
  <r>
    <x v="319"/>
    <x v="2"/>
    <m/>
    <x v="4"/>
    <x v="2"/>
    <x v="26"/>
    <n v="190801"/>
    <n v="190801"/>
    <m/>
    <n v="9"/>
    <n v="190801"/>
    <n v="36000"/>
  </r>
  <r>
    <x v="319"/>
    <x v="2"/>
    <m/>
    <x v="4"/>
    <x v="2"/>
    <x v="27"/>
    <n v="190801"/>
    <n v="190801"/>
    <m/>
    <n v="9"/>
    <n v="190801"/>
    <n v="180000"/>
  </r>
  <r>
    <x v="319"/>
    <x v="2"/>
    <m/>
    <x v="0"/>
    <x v="2"/>
    <x v="15"/>
    <n v="190801"/>
    <n v="190801"/>
    <m/>
    <n v="66"/>
    <n v="190801"/>
    <n v="1320000"/>
  </r>
  <r>
    <x v="319"/>
    <x v="2"/>
    <m/>
    <x v="0"/>
    <x v="2"/>
    <x v="16"/>
    <n v="190801"/>
    <n v="190801"/>
    <m/>
    <n v="70"/>
    <n v="190801"/>
    <n v="2450000"/>
  </r>
  <r>
    <x v="319"/>
    <x v="2"/>
    <m/>
    <x v="0"/>
    <x v="2"/>
    <x v="17"/>
    <n v="190801"/>
    <n v="190801"/>
    <m/>
    <n v="59"/>
    <n v="190801"/>
    <n v="1947000"/>
  </r>
  <r>
    <x v="319"/>
    <x v="2"/>
    <m/>
    <x v="0"/>
    <x v="2"/>
    <x v="19"/>
    <n v="190801"/>
    <n v="190801"/>
    <m/>
    <n v="70"/>
    <n v="190801"/>
    <n v="210000"/>
  </r>
  <r>
    <x v="319"/>
    <x v="2"/>
    <m/>
    <x v="5"/>
    <x v="2"/>
    <x v="28"/>
    <n v="190801"/>
    <n v="190801"/>
    <m/>
    <n v="18"/>
    <n v="190801"/>
    <n v="504000"/>
  </r>
  <r>
    <x v="319"/>
    <x v="2"/>
    <m/>
    <x v="5"/>
    <x v="2"/>
    <x v="69"/>
    <n v="190801"/>
    <n v="190801"/>
    <m/>
    <n v="4"/>
    <n v="190801"/>
    <n v="192000"/>
  </r>
  <r>
    <x v="319"/>
    <x v="2"/>
    <m/>
    <x v="22"/>
    <x v="2"/>
    <x v="29"/>
    <n v="190801"/>
    <n v="190801"/>
    <m/>
    <n v="9"/>
    <n v="190801"/>
    <n v="342000"/>
  </r>
  <r>
    <x v="319"/>
    <x v="2"/>
    <m/>
    <x v="19"/>
    <x v="2"/>
    <x v="22"/>
    <n v="190801"/>
    <n v="190801"/>
    <m/>
    <n v="14"/>
    <n v="190801"/>
    <n v="182000"/>
  </r>
  <r>
    <x v="319"/>
    <x v="2"/>
    <m/>
    <x v="19"/>
    <x v="2"/>
    <x v="23"/>
    <n v="190801"/>
    <n v="190801"/>
    <m/>
    <n v="6"/>
    <n v="190801"/>
    <n v="144000"/>
  </r>
  <r>
    <x v="319"/>
    <x v="2"/>
    <m/>
    <x v="19"/>
    <x v="2"/>
    <x v="24"/>
    <n v="190801"/>
    <n v="190801"/>
    <m/>
    <n v="5"/>
    <n v="190801"/>
    <n v="165000"/>
  </r>
  <r>
    <x v="319"/>
    <x v="2"/>
    <m/>
    <x v="0"/>
    <x v="9"/>
    <x v="15"/>
    <n v="190801"/>
    <n v="190801"/>
    <m/>
    <n v="6"/>
    <n v="190801"/>
    <n v="120000"/>
  </r>
  <r>
    <x v="320"/>
    <x v="5"/>
    <m/>
    <x v="0"/>
    <x v="7"/>
    <x v="15"/>
    <n v="190801"/>
    <n v="190801"/>
    <m/>
    <n v="4"/>
    <n v="190801"/>
    <n v="80000"/>
  </r>
  <r>
    <x v="320"/>
    <x v="5"/>
    <m/>
    <x v="6"/>
    <x v="2"/>
    <x v="42"/>
    <n v="190801"/>
    <n v="190801"/>
    <m/>
    <n v="1"/>
    <n v="190801"/>
    <n v="35000"/>
  </r>
  <r>
    <x v="320"/>
    <x v="5"/>
    <m/>
    <x v="29"/>
    <x v="2"/>
    <x v="40"/>
    <n v="190801"/>
    <n v="190801"/>
    <m/>
    <n v="1"/>
    <n v="190801"/>
    <n v="35000"/>
  </r>
  <r>
    <x v="320"/>
    <x v="5"/>
    <m/>
    <x v="29"/>
    <x v="2"/>
    <x v="41"/>
    <n v="190801"/>
    <n v="190801"/>
    <m/>
    <n v="3"/>
    <n v="190801"/>
    <n v="135000"/>
  </r>
  <r>
    <x v="320"/>
    <x v="5"/>
    <m/>
    <x v="25"/>
    <x v="2"/>
    <x v="34"/>
    <n v="190801"/>
    <n v="190801"/>
    <m/>
    <n v="2"/>
    <n v="190801"/>
    <n v="198000"/>
  </r>
  <r>
    <x v="320"/>
    <x v="5"/>
    <m/>
    <x v="1"/>
    <x v="2"/>
    <x v="18"/>
    <n v="190801"/>
    <n v="190801"/>
    <m/>
    <n v="1"/>
    <n v="190801"/>
    <n v="20000"/>
  </r>
  <r>
    <x v="320"/>
    <x v="5"/>
    <m/>
    <x v="4"/>
    <x v="2"/>
    <x v="26"/>
    <n v="190801"/>
    <n v="190801"/>
    <m/>
    <n v="4"/>
    <n v="190801"/>
    <n v="16000"/>
  </r>
  <r>
    <x v="320"/>
    <x v="5"/>
    <m/>
    <x v="0"/>
    <x v="2"/>
    <x v="15"/>
    <n v="190801"/>
    <n v="190801"/>
    <m/>
    <n v="50"/>
    <n v="190801"/>
    <n v="1000000"/>
  </r>
  <r>
    <x v="320"/>
    <x v="5"/>
    <m/>
    <x v="0"/>
    <x v="2"/>
    <x v="16"/>
    <n v="190801"/>
    <n v="190801"/>
    <m/>
    <n v="17"/>
    <n v="190801"/>
    <n v="595000"/>
  </r>
  <r>
    <x v="320"/>
    <x v="5"/>
    <m/>
    <x v="0"/>
    <x v="2"/>
    <x v="17"/>
    <n v="190801"/>
    <n v="190801"/>
    <m/>
    <n v="46"/>
    <n v="190801"/>
    <n v="1518000"/>
  </r>
  <r>
    <x v="320"/>
    <x v="5"/>
    <m/>
    <x v="0"/>
    <x v="2"/>
    <x v="19"/>
    <n v="190801"/>
    <n v="190801"/>
    <m/>
    <n v="52"/>
    <n v="190801"/>
    <n v="156000"/>
  </r>
  <r>
    <x v="320"/>
    <x v="5"/>
    <m/>
    <x v="5"/>
    <x v="2"/>
    <x v="28"/>
    <n v="190801"/>
    <n v="190801"/>
    <m/>
    <n v="9"/>
    <n v="190801"/>
    <n v="252000"/>
  </r>
  <r>
    <x v="320"/>
    <x v="5"/>
    <m/>
    <x v="5"/>
    <x v="2"/>
    <x v="69"/>
    <n v="190801"/>
    <n v="190801"/>
    <m/>
    <n v="2"/>
    <n v="190801"/>
    <n v="96000"/>
  </r>
  <r>
    <x v="320"/>
    <x v="5"/>
    <m/>
    <x v="22"/>
    <x v="2"/>
    <x v="29"/>
    <n v="190801"/>
    <n v="190801"/>
    <m/>
    <n v="4"/>
    <n v="190801"/>
    <n v="152000"/>
  </r>
  <r>
    <x v="320"/>
    <x v="5"/>
    <m/>
    <x v="19"/>
    <x v="2"/>
    <x v="22"/>
    <n v="190801"/>
    <n v="190801"/>
    <m/>
    <n v="7"/>
    <n v="190801"/>
    <n v="91000"/>
  </r>
  <r>
    <x v="320"/>
    <x v="5"/>
    <m/>
    <x v="19"/>
    <x v="2"/>
    <x v="24"/>
    <n v="190801"/>
    <n v="190801"/>
    <m/>
    <n v="1"/>
    <n v="190801"/>
    <n v="33000"/>
  </r>
  <r>
    <x v="320"/>
    <x v="5"/>
    <m/>
    <x v="0"/>
    <x v="9"/>
    <x v="15"/>
    <n v="190801"/>
    <n v="190801"/>
    <m/>
    <n v="7"/>
    <n v="190801"/>
    <n v="140000"/>
  </r>
  <r>
    <x v="321"/>
    <x v="6"/>
    <m/>
    <x v="0"/>
    <x v="7"/>
    <x v="15"/>
    <n v="190801"/>
    <n v="190801"/>
    <m/>
    <n v="8"/>
    <n v="190801"/>
    <n v="160000"/>
  </r>
  <r>
    <x v="321"/>
    <x v="6"/>
    <m/>
    <x v="6"/>
    <x v="2"/>
    <x v="37"/>
    <n v="190801"/>
    <n v="190801"/>
    <m/>
    <n v="1"/>
    <n v="190801"/>
    <n v="20000"/>
  </r>
  <r>
    <x v="321"/>
    <x v="6"/>
    <m/>
    <x v="6"/>
    <x v="2"/>
    <x v="42"/>
    <n v="190801"/>
    <n v="190801"/>
    <m/>
    <n v="1"/>
    <n v="190801"/>
    <n v="35000"/>
  </r>
  <r>
    <x v="321"/>
    <x v="6"/>
    <m/>
    <x v="29"/>
    <x v="2"/>
    <x v="40"/>
    <n v="190801"/>
    <n v="190801"/>
    <m/>
    <n v="1"/>
    <n v="190801"/>
    <n v="35000"/>
  </r>
  <r>
    <x v="321"/>
    <x v="6"/>
    <m/>
    <x v="29"/>
    <x v="2"/>
    <x v="41"/>
    <n v="190801"/>
    <n v="190801"/>
    <m/>
    <n v="2"/>
    <n v="190801"/>
    <n v="90000"/>
  </r>
  <r>
    <x v="321"/>
    <x v="6"/>
    <m/>
    <x v="25"/>
    <x v="2"/>
    <x v="34"/>
    <n v="190801"/>
    <n v="190801"/>
    <m/>
    <n v="4"/>
    <n v="190801"/>
    <n v="396000"/>
  </r>
  <r>
    <x v="321"/>
    <x v="6"/>
    <m/>
    <x v="1"/>
    <x v="2"/>
    <x v="18"/>
    <n v="190801"/>
    <n v="190801"/>
    <m/>
    <n v="2"/>
    <n v="190801"/>
    <n v="40000"/>
  </r>
  <r>
    <x v="321"/>
    <x v="6"/>
    <m/>
    <x v="1"/>
    <x v="2"/>
    <x v="21"/>
    <n v="190801"/>
    <n v="190801"/>
    <m/>
    <n v="2"/>
    <n v="190801"/>
    <n v="70000"/>
  </r>
  <r>
    <x v="321"/>
    <x v="6"/>
    <m/>
    <x v="4"/>
    <x v="2"/>
    <x v="26"/>
    <n v="190801"/>
    <n v="190801"/>
    <m/>
    <n v="21"/>
    <n v="190801"/>
    <n v="84000"/>
  </r>
  <r>
    <x v="321"/>
    <x v="6"/>
    <m/>
    <x v="4"/>
    <x v="2"/>
    <x v="27"/>
    <n v="190801"/>
    <n v="190801"/>
    <m/>
    <n v="5"/>
    <n v="190801"/>
    <n v="100000"/>
  </r>
  <r>
    <x v="321"/>
    <x v="6"/>
    <m/>
    <x v="0"/>
    <x v="2"/>
    <x v="15"/>
    <n v="190801"/>
    <n v="190801"/>
    <m/>
    <n v="50"/>
    <n v="190801"/>
    <n v="1000000"/>
  </r>
  <r>
    <x v="321"/>
    <x v="6"/>
    <m/>
    <x v="0"/>
    <x v="2"/>
    <x v="16"/>
    <n v="190801"/>
    <n v="190801"/>
    <m/>
    <n v="37"/>
    <n v="190801"/>
    <n v="1295000"/>
  </r>
  <r>
    <x v="321"/>
    <x v="6"/>
    <m/>
    <x v="0"/>
    <x v="2"/>
    <x v="17"/>
    <n v="190801"/>
    <n v="190801"/>
    <m/>
    <n v="49"/>
    <n v="190801"/>
    <n v="1617000"/>
  </r>
  <r>
    <x v="321"/>
    <x v="6"/>
    <m/>
    <x v="0"/>
    <x v="2"/>
    <x v="19"/>
    <n v="190801"/>
    <n v="190801"/>
    <m/>
    <n v="53"/>
    <n v="190801"/>
    <n v="159000"/>
  </r>
  <r>
    <x v="321"/>
    <x v="6"/>
    <m/>
    <x v="5"/>
    <x v="2"/>
    <x v="28"/>
    <n v="190801"/>
    <n v="190801"/>
    <m/>
    <n v="8"/>
    <n v="190801"/>
    <n v="224000"/>
  </r>
  <r>
    <x v="321"/>
    <x v="6"/>
    <m/>
    <x v="5"/>
    <x v="2"/>
    <x v="69"/>
    <n v="190801"/>
    <n v="190801"/>
    <m/>
    <n v="3"/>
    <n v="190801"/>
    <n v="144000"/>
  </r>
  <r>
    <x v="321"/>
    <x v="6"/>
    <m/>
    <x v="22"/>
    <x v="2"/>
    <x v="29"/>
    <n v="190801"/>
    <n v="190801"/>
    <m/>
    <n v="2"/>
    <n v="190801"/>
    <n v="76000"/>
  </r>
  <r>
    <x v="321"/>
    <x v="6"/>
    <m/>
    <x v="19"/>
    <x v="2"/>
    <x v="22"/>
    <n v="190801"/>
    <n v="190801"/>
    <m/>
    <n v="9"/>
    <n v="190801"/>
    <n v="117000"/>
  </r>
  <r>
    <x v="321"/>
    <x v="6"/>
    <m/>
    <x v="19"/>
    <x v="2"/>
    <x v="23"/>
    <n v="190801"/>
    <n v="190801"/>
    <m/>
    <n v="2"/>
    <n v="190801"/>
    <n v="48000"/>
  </r>
  <r>
    <x v="321"/>
    <x v="6"/>
    <m/>
    <x v="19"/>
    <x v="2"/>
    <x v="24"/>
    <n v="190801"/>
    <n v="190801"/>
    <m/>
    <n v="1"/>
    <n v="190801"/>
    <n v="33000"/>
  </r>
  <r>
    <x v="321"/>
    <x v="6"/>
    <m/>
    <x v="0"/>
    <x v="9"/>
    <x v="15"/>
    <n v="190801"/>
    <n v="190801"/>
    <m/>
    <n v="8"/>
    <n v="190801"/>
    <n v="160000"/>
  </r>
  <r>
    <x v="321"/>
    <x v="6"/>
    <m/>
    <x v="0"/>
    <x v="6"/>
    <x v="15"/>
    <n v="190801"/>
    <n v="190801"/>
    <m/>
    <n v="162"/>
    <n v="190801"/>
    <n v="1469016"/>
  </r>
  <r>
    <x v="321"/>
    <x v="6"/>
    <m/>
    <x v="0"/>
    <x v="6"/>
    <x v="17"/>
    <n v="190801"/>
    <n v="190801"/>
    <m/>
    <n v="357"/>
    <n v="190801"/>
    <n v="5647026"/>
  </r>
  <r>
    <x v="321"/>
    <x v="6"/>
    <m/>
    <x v="4"/>
    <x v="6"/>
    <x v="26"/>
    <n v="190801"/>
    <n v="190801"/>
    <m/>
    <n v="734"/>
    <n v="190801"/>
    <n v="787582"/>
  </r>
  <r>
    <x v="321"/>
    <x v="6"/>
    <m/>
    <x v="26"/>
    <x v="6"/>
    <x v="35"/>
    <n v="190801"/>
    <n v="190801"/>
    <m/>
    <n v="59"/>
    <n v="190801"/>
    <n v="1010729"/>
  </r>
  <r>
    <x v="321"/>
    <x v="6"/>
    <m/>
    <x v="22"/>
    <x v="6"/>
    <x v="29"/>
    <n v="190801"/>
    <n v="190801"/>
    <m/>
    <n v="23"/>
    <n v="190801"/>
    <n v="452893"/>
  </r>
  <r>
    <x v="321"/>
    <x v="6"/>
    <m/>
    <x v="24"/>
    <x v="6"/>
    <x v="31"/>
    <n v="190801"/>
    <n v="190801"/>
    <m/>
    <n v="93"/>
    <n v="190801"/>
    <n v="1383561"/>
  </r>
  <r>
    <x v="321"/>
    <x v="6"/>
    <m/>
    <x v="23"/>
    <x v="6"/>
    <x v="30"/>
    <n v="190801"/>
    <n v="190801"/>
    <m/>
    <n v="40"/>
    <n v="190801"/>
    <n v="278560"/>
  </r>
  <r>
    <x v="321"/>
    <x v="6"/>
    <m/>
    <x v="19"/>
    <x v="6"/>
    <x v="22"/>
    <n v="190801"/>
    <n v="190801"/>
    <m/>
    <n v="35"/>
    <n v="190801"/>
    <n v="237685"/>
  </r>
  <r>
    <x v="321"/>
    <x v="6"/>
    <m/>
    <x v="27"/>
    <x v="6"/>
    <x v="36"/>
    <n v="190801"/>
    <n v="190801"/>
    <m/>
    <n v="12"/>
    <n v="190801"/>
    <n v="113484"/>
  </r>
  <r>
    <x v="321"/>
    <x v="6"/>
    <m/>
    <x v="6"/>
    <x v="6"/>
    <x v="37"/>
    <n v="190801"/>
    <n v="190801"/>
    <m/>
    <n v="29"/>
    <n v="190801"/>
    <n v="290000"/>
  </r>
  <r>
    <x v="321"/>
    <x v="6"/>
    <m/>
    <x v="28"/>
    <x v="6"/>
    <x v="39"/>
    <n v="190801"/>
    <n v="190801"/>
    <m/>
    <n v="58"/>
    <n v="190801"/>
    <n v="917444"/>
  </r>
  <r>
    <x v="321"/>
    <x v="6"/>
    <m/>
    <x v="4"/>
    <x v="6"/>
    <x v="66"/>
    <n v="190801"/>
    <n v="190801"/>
    <m/>
    <n v="425"/>
    <n v="190801"/>
    <n v="2378725"/>
  </r>
  <r>
    <x v="322"/>
    <x v="3"/>
    <m/>
    <x v="0"/>
    <x v="7"/>
    <x v="15"/>
    <n v="190801"/>
    <n v="190801"/>
    <m/>
    <n v="11"/>
    <n v="190801"/>
    <n v="220000"/>
  </r>
  <r>
    <x v="322"/>
    <x v="3"/>
    <m/>
    <x v="6"/>
    <x v="2"/>
    <x v="37"/>
    <n v="190801"/>
    <n v="190801"/>
    <m/>
    <n v="6"/>
    <n v="190801"/>
    <n v="120000"/>
  </r>
  <r>
    <x v="322"/>
    <x v="3"/>
    <m/>
    <x v="6"/>
    <x v="2"/>
    <x v="42"/>
    <n v="190801"/>
    <n v="190801"/>
    <m/>
    <n v="1"/>
    <n v="190801"/>
    <n v="35000"/>
  </r>
  <r>
    <x v="322"/>
    <x v="3"/>
    <m/>
    <x v="29"/>
    <x v="2"/>
    <x v="40"/>
    <n v="190801"/>
    <n v="190801"/>
    <m/>
    <n v="2"/>
    <n v="190801"/>
    <n v="70000"/>
  </r>
  <r>
    <x v="322"/>
    <x v="3"/>
    <m/>
    <x v="29"/>
    <x v="2"/>
    <x v="41"/>
    <n v="190801"/>
    <n v="190801"/>
    <m/>
    <n v="6"/>
    <n v="190801"/>
    <n v="270000"/>
  </r>
  <r>
    <x v="322"/>
    <x v="3"/>
    <m/>
    <x v="25"/>
    <x v="2"/>
    <x v="34"/>
    <n v="190801"/>
    <n v="190801"/>
    <m/>
    <n v="2"/>
    <n v="190801"/>
    <n v="198000"/>
  </r>
  <r>
    <x v="322"/>
    <x v="3"/>
    <m/>
    <x v="1"/>
    <x v="2"/>
    <x v="18"/>
    <n v="190801"/>
    <n v="190801"/>
    <m/>
    <n v="6"/>
    <n v="190801"/>
    <n v="120000"/>
  </r>
  <r>
    <x v="322"/>
    <x v="3"/>
    <m/>
    <x v="4"/>
    <x v="2"/>
    <x v="26"/>
    <n v="190801"/>
    <n v="190801"/>
    <m/>
    <n v="6"/>
    <n v="190801"/>
    <n v="24000"/>
  </r>
  <r>
    <x v="322"/>
    <x v="3"/>
    <m/>
    <x v="4"/>
    <x v="2"/>
    <x v="27"/>
    <n v="190801"/>
    <n v="190801"/>
    <m/>
    <n v="3"/>
    <n v="190801"/>
    <n v="60000"/>
  </r>
  <r>
    <x v="322"/>
    <x v="3"/>
    <m/>
    <x v="0"/>
    <x v="2"/>
    <x v="15"/>
    <n v="190801"/>
    <n v="190801"/>
    <m/>
    <n v="83"/>
    <n v="190801"/>
    <n v="1660000"/>
  </r>
  <r>
    <x v="322"/>
    <x v="3"/>
    <m/>
    <x v="0"/>
    <x v="2"/>
    <x v="16"/>
    <n v="190801"/>
    <n v="190801"/>
    <m/>
    <n v="53"/>
    <n v="190801"/>
    <n v="1855000"/>
  </r>
  <r>
    <x v="322"/>
    <x v="3"/>
    <m/>
    <x v="0"/>
    <x v="2"/>
    <x v="17"/>
    <n v="190801"/>
    <n v="190801"/>
    <m/>
    <n v="61"/>
    <n v="190801"/>
    <n v="2013000"/>
  </r>
  <r>
    <x v="322"/>
    <x v="3"/>
    <m/>
    <x v="0"/>
    <x v="2"/>
    <x v="19"/>
    <n v="190801"/>
    <n v="190801"/>
    <m/>
    <n v="113"/>
    <n v="190801"/>
    <n v="339000"/>
  </r>
  <r>
    <x v="322"/>
    <x v="3"/>
    <m/>
    <x v="5"/>
    <x v="2"/>
    <x v="28"/>
    <n v="190801"/>
    <n v="190801"/>
    <m/>
    <n v="20"/>
    <n v="190801"/>
    <n v="560000"/>
  </r>
  <r>
    <x v="322"/>
    <x v="3"/>
    <m/>
    <x v="5"/>
    <x v="2"/>
    <x v="69"/>
    <n v="190801"/>
    <n v="190801"/>
    <m/>
    <n v="2"/>
    <n v="190801"/>
    <n v="96000"/>
  </r>
  <r>
    <x v="322"/>
    <x v="3"/>
    <m/>
    <x v="22"/>
    <x v="2"/>
    <x v="29"/>
    <n v="190801"/>
    <n v="190801"/>
    <m/>
    <n v="7"/>
    <n v="190801"/>
    <n v="266000"/>
  </r>
  <r>
    <x v="322"/>
    <x v="3"/>
    <m/>
    <x v="19"/>
    <x v="2"/>
    <x v="22"/>
    <n v="190801"/>
    <n v="190801"/>
    <m/>
    <n v="19"/>
    <n v="190801"/>
    <n v="247000"/>
  </r>
  <r>
    <x v="322"/>
    <x v="3"/>
    <m/>
    <x v="19"/>
    <x v="2"/>
    <x v="23"/>
    <n v="190801"/>
    <n v="190801"/>
    <m/>
    <n v="3"/>
    <n v="190801"/>
    <n v="72000"/>
  </r>
  <r>
    <x v="322"/>
    <x v="3"/>
    <m/>
    <x v="4"/>
    <x v="9"/>
    <x v="27"/>
    <n v="190801"/>
    <n v="190801"/>
    <m/>
    <n v="1"/>
    <n v="190801"/>
    <n v="20000"/>
  </r>
  <r>
    <x v="322"/>
    <x v="3"/>
    <m/>
    <x v="0"/>
    <x v="9"/>
    <x v="15"/>
    <n v="190801"/>
    <n v="190801"/>
    <m/>
    <n v="6"/>
    <n v="190801"/>
    <n v="120000"/>
  </r>
  <r>
    <x v="323"/>
    <x v="4"/>
    <m/>
    <x v="22"/>
    <x v="12"/>
    <x v="70"/>
    <n v="190801"/>
    <n v="190801"/>
    <m/>
    <n v="2"/>
    <n v="190801"/>
    <n v="76220"/>
  </r>
  <r>
    <x v="323"/>
    <x v="4"/>
    <m/>
    <x v="1"/>
    <x v="12"/>
    <x v="71"/>
    <n v="190801"/>
    <n v="190801"/>
    <m/>
    <n v="1"/>
    <n v="190801"/>
    <n v="22866"/>
  </r>
  <r>
    <x v="323"/>
    <x v="4"/>
    <m/>
    <x v="6"/>
    <x v="12"/>
    <x v="72"/>
    <n v="190801"/>
    <n v="190801"/>
    <m/>
    <n v="2"/>
    <n v="190801"/>
    <n v="45732"/>
  </r>
  <r>
    <x v="323"/>
    <x v="4"/>
    <m/>
    <x v="0"/>
    <x v="7"/>
    <x v="15"/>
    <n v="190801"/>
    <n v="190801"/>
    <m/>
    <n v="7"/>
    <n v="190801"/>
    <n v="140000"/>
  </r>
  <r>
    <x v="323"/>
    <x v="4"/>
    <m/>
    <x v="6"/>
    <x v="2"/>
    <x v="37"/>
    <n v="190801"/>
    <n v="190801"/>
    <m/>
    <n v="2"/>
    <n v="190801"/>
    <n v="40000"/>
  </r>
  <r>
    <x v="323"/>
    <x v="4"/>
    <m/>
    <x v="6"/>
    <x v="2"/>
    <x v="42"/>
    <n v="190801"/>
    <n v="190801"/>
    <m/>
    <n v="1"/>
    <n v="190801"/>
    <n v="35000"/>
  </r>
  <r>
    <x v="323"/>
    <x v="4"/>
    <m/>
    <x v="29"/>
    <x v="2"/>
    <x v="40"/>
    <n v="190801"/>
    <n v="190801"/>
    <m/>
    <n v="6"/>
    <n v="190801"/>
    <n v="210000"/>
  </r>
  <r>
    <x v="323"/>
    <x v="4"/>
    <m/>
    <x v="29"/>
    <x v="2"/>
    <x v="41"/>
    <n v="190801"/>
    <n v="190801"/>
    <m/>
    <n v="8"/>
    <n v="190801"/>
    <n v="360000"/>
  </r>
  <r>
    <x v="323"/>
    <x v="4"/>
    <m/>
    <x v="25"/>
    <x v="2"/>
    <x v="34"/>
    <n v="190801"/>
    <n v="190801"/>
    <m/>
    <n v="2"/>
    <n v="190801"/>
    <n v="198000"/>
  </r>
  <r>
    <x v="323"/>
    <x v="4"/>
    <m/>
    <x v="1"/>
    <x v="2"/>
    <x v="18"/>
    <n v="190801"/>
    <n v="190801"/>
    <m/>
    <n v="2"/>
    <n v="190801"/>
    <n v="40000"/>
  </r>
  <r>
    <x v="323"/>
    <x v="4"/>
    <m/>
    <x v="1"/>
    <x v="2"/>
    <x v="21"/>
    <n v="190801"/>
    <n v="190801"/>
    <m/>
    <n v="2"/>
    <n v="190801"/>
    <n v="70000"/>
  </r>
  <r>
    <x v="323"/>
    <x v="4"/>
    <m/>
    <x v="4"/>
    <x v="2"/>
    <x v="26"/>
    <n v="190801"/>
    <n v="190801"/>
    <m/>
    <n v="2"/>
    <n v="190801"/>
    <n v="8000"/>
  </r>
  <r>
    <x v="323"/>
    <x v="4"/>
    <m/>
    <x v="4"/>
    <x v="2"/>
    <x v="27"/>
    <n v="190801"/>
    <n v="190801"/>
    <m/>
    <n v="4"/>
    <n v="190801"/>
    <n v="80000"/>
  </r>
  <r>
    <x v="323"/>
    <x v="4"/>
    <m/>
    <x v="0"/>
    <x v="2"/>
    <x v="15"/>
    <n v="190801"/>
    <n v="190801"/>
    <m/>
    <n v="88"/>
    <n v="190801"/>
    <n v="1760000"/>
  </r>
  <r>
    <x v="323"/>
    <x v="4"/>
    <m/>
    <x v="0"/>
    <x v="2"/>
    <x v="16"/>
    <n v="190801"/>
    <n v="190801"/>
    <m/>
    <n v="67"/>
    <n v="190801"/>
    <n v="2345000"/>
  </r>
  <r>
    <x v="323"/>
    <x v="4"/>
    <m/>
    <x v="0"/>
    <x v="2"/>
    <x v="17"/>
    <n v="190801"/>
    <n v="190801"/>
    <m/>
    <n v="70"/>
    <n v="190801"/>
    <n v="2310000"/>
  </r>
  <r>
    <x v="323"/>
    <x v="4"/>
    <m/>
    <x v="0"/>
    <x v="2"/>
    <x v="19"/>
    <n v="190801"/>
    <n v="190801"/>
    <m/>
    <n v="76"/>
    <n v="190801"/>
    <n v="228000"/>
  </r>
  <r>
    <x v="323"/>
    <x v="4"/>
    <m/>
    <x v="5"/>
    <x v="2"/>
    <x v="28"/>
    <n v="190801"/>
    <n v="190801"/>
    <m/>
    <n v="14"/>
    <n v="190801"/>
    <n v="392000"/>
  </r>
  <r>
    <x v="323"/>
    <x v="4"/>
    <m/>
    <x v="5"/>
    <x v="2"/>
    <x v="69"/>
    <n v="190801"/>
    <n v="190801"/>
    <m/>
    <n v="2"/>
    <n v="190801"/>
    <n v="96000"/>
  </r>
  <r>
    <x v="323"/>
    <x v="4"/>
    <m/>
    <x v="22"/>
    <x v="2"/>
    <x v="29"/>
    <n v="190801"/>
    <n v="190801"/>
    <m/>
    <n v="10"/>
    <n v="190801"/>
    <n v="380000"/>
  </r>
  <r>
    <x v="323"/>
    <x v="4"/>
    <m/>
    <x v="19"/>
    <x v="2"/>
    <x v="22"/>
    <n v="190801"/>
    <n v="190801"/>
    <m/>
    <n v="21"/>
    <n v="190801"/>
    <n v="273000"/>
  </r>
  <r>
    <x v="323"/>
    <x v="4"/>
    <m/>
    <x v="19"/>
    <x v="2"/>
    <x v="23"/>
    <n v="190801"/>
    <n v="190801"/>
    <m/>
    <n v="5"/>
    <n v="190801"/>
    <n v="120000"/>
  </r>
  <r>
    <x v="323"/>
    <x v="4"/>
    <m/>
    <x v="0"/>
    <x v="3"/>
    <x v="15"/>
    <n v="190801"/>
    <n v="190801"/>
    <m/>
    <n v="7"/>
    <n v="190801"/>
    <n v="0"/>
  </r>
  <r>
    <x v="323"/>
    <x v="4"/>
    <m/>
    <x v="18"/>
    <x v="3"/>
    <x v="19"/>
    <n v="190801"/>
    <n v="190801"/>
    <m/>
    <n v="4"/>
    <n v="190801"/>
    <n v="0"/>
  </r>
  <r>
    <x v="323"/>
    <x v="4"/>
    <m/>
    <x v="5"/>
    <x v="3"/>
    <x v="28"/>
    <n v="190801"/>
    <n v="190801"/>
    <m/>
    <n v="39"/>
    <n v="190801"/>
    <n v="0"/>
  </r>
  <r>
    <x v="323"/>
    <x v="4"/>
    <m/>
    <x v="4"/>
    <x v="3"/>
    <x v="27"/>
    <n v="190801"/>
    <n v="190801"/>
    <m/>
    <n v="4"/>
    <n v="190801"/>
    <n v="0"/>
  </r>
  <r>
    <x v="323"/>
    <x v="4"/>
    <m/>
    <x v="6"/>
    <x v="3"/>
    <x v="37"/>
    <n v="190801"/>
    <n v="190801"/>
    <m/>
    <n v="4"/>
    <n v="190801"/>
    <n v="0"/>
  </r>
  <r>
    <x v="323"/>
    <x v="4"/>
    <m/>
    <x v="19"/>
    <x v="3"/>
    <x v="22"/>
    <n v="190801"/>
    <n v="190801"/>
    <m/>
    <n v="30"/>
    <n v="190801"/>
    <n v="0"/>
  </r>
  <r>
    <x v="323"/>
    <x v="4"/>
    <m/>
    <x v="0"/>
    <x v="9"/>
    <x v="15"/>
    <n v="190801"/>
    <n v="190801"/>
    <m/>
    <n v="7"/>
    <n v="190801"/>
    <n v="140000"/>
  </r>
  <r>
    <x v="324"/>
    <x v="1"/>
    <m/>
    <x v="0"/>
    <x v="5"/>
    <x v="51"/>
    <n v="190801"/>
    <n v="190801"/>
    <m/>
    <n v="83"/>
    <n v="190801"/>
    <n v="933750"/>
  </r>
  <r>
    <x v="324"/>
    <x v="1"/>
    <m/>
    <x v="5"/>
    <x v="5"/>
    <x v="53"/>
    <n v="190801"/>
    <n v="190801"/>
    <m/>
    <n v="93"/>
    <n v="190801"/>
    <n v="1381050"/>
  </r>
  <r>
    <x v="324"/>
    <x v="1"/>
    <m/>
    <x v="22"/>
    <x v="5"/>
    <x v="52"/>
    <n v="190801"/>
    <n v="190801"/>
    <m/>
    <n v="80"/>
    <n v="190801"/>
    <n v="1368000"/>
  </r>
  <r>
    <x v="324"/>
    <x v="1"/>
    <m/>
    <x v="4"/>
    <x v="5"/>
    <x v="61"/>
    <n v="190801"/>
    <n v="190801"/>
    <m/>
    <n v="110"/>
    <n v="190801"/>
    <n v="198000"/>
  </r>
  <r>
    <x v="324"/>
    <x v="1"/>
    <m/>
    <x v="1"/>
    <x v="5"/>
    <x v="63"/>
    <n v="190801"/>
    <n v="190801"/>
    <m/>
    <n v="80"/>
    <n v="190801"/>
    <n v="900000"/>
  </r>
  <r>
    <x v="324"/>
    <x v="1"/>
    <m/>
    <x v="19"/>
    <x v="5"/>
    <x v="50"/>
    <n v="190801"/>
    <n v="190801"/>
    <m/>
    <n v="80"/>
    <n v="190801"/>
    <n v="576000"/>
  </r>
  <r>
    <x v="324"/>
    <x v="1"/>
    <m/>
    <x v="4"/>
    <x v="5"/>
    <x v="62"/>
    <n v="190801"/>
    <n v="190801"/>
    <m/>
    <n v="70"/>
    <n v="190801"/>
    <n v="1260000"/>
  </r>
  <r>
    <x v="324"/>
    <x v="1"/>
    <m/>
    <x v="6"/>
    <x v="5"/>
    <x v="49"/>
    <n v="190801"/>
    <n v="190801"/>
    <m/>
    <n v="90"/>
    <n v="190801"/>
    <n v="1012500"/>
  </r>
  <r>
    <x v="324"/>
    <x v="1"/>
    <m/>
    <x v="0"/>
    <x v="7"/>
    <x v="15"/>
    <n v="190801"/>
    <n v="190801"/>
    <m/>
    <n v="7"/>
    <n v="190801"/>
    <n v="140000"/>
  </r>
  <r>
    <x v="324"/>
    <x v="1"/>
    <m/>
    <x v="6"/>
    <x v="2"/>
    <x v="37"/>
    <n v="190801"/>
    <n v="190801"/>
    <m/>
    <n v="2"/>
    <n v="190801"/>
    <n v="40000"/>
  </r>
  <r>
    <x v="324"/>
    <x v="1"/>
    <m/>
    <x v="6"/>
    <x v="2"/>
    <x v="42"/>
    <n v="190801"/>
    <n v="190801"/>
    <m/>
    <n v="3"/>
    <n v="190801"/>
    <n v="105000"/>
  </r>
  <r>
    <x v="324"/>
    <x v="1"/>
    <m/>
    <x v="29"/>
    <x v="2"/>
    <x v="40"/>
    <n v="190801"/>
    <n v="190801"/>
    <m/>
    <n v="2"/>
    <n v="190801"/>
    <n v="70000"/>
  </r>
  <r>
    <x v="324"/>
    <x v="1"/>
    <m/>
    <x v="29"/>
    <x v="2"/>
    <x v="41"/>
    <n v="190801"/>
    <n v="190801"/>
    <m/>
    <n v="1"/>
    <n v="190801"/>
    <n v="45000"/>
  </r>
  <r>
    <x v="324"/>
    <x v="1"/>
    <m/>
    <x v="25"/>
    <x v="2"/>
    <x v="34"/>
    <n v="190801"/>
    <n v="190801"/>
    <m/>
    <n v="4"/>
    <n v="190801"/>
    <n v="396000"/>
  </r>
  <r>
    <x v="324"/>
    <x v="1"/>
    <m/>
    <x v="1"/>
    <x v="2"/>
    <x v="18"/>
    <n v="190801"/>
    <n v="190801"/>
    <m/>
    <n v="1"/>
    <n v="190801"/>
    <n v="20000"/>
  </r>
  <r>
    <x v="324"/>
    <x v="1"/>
    <m/>
    <x v="4"/>
    <x v="2"/>
    <x v="26"/>
    <n v="190801"/>
    <n v="190801"/>
    <m/>
    <n v="1"/>
    <n v="190801"/>
    <n v="4000"/>
  </r>
  <r>
    <x v="324"/>
    <x v="1"/>
    <m/>
    <x v="4"/>
    <x v="2"/>
    <x v="27"/>
    <n v="190801"/>
    <n v="190801"/>
    <m/>
    <n v="2"/>
    <n v="190801"/>
    <n v="40000"/>
  </r>
  <r>
    <x v="324"/>
    <x v="1"/>
    <m/>
    <x v="0"/>
    <x v="2"/>
    <x v="73"/>
    <n v="190801"/>
    <n v="190801"/>
    <m/>
    <n v="3"/>
    <n v="190801"/>
    <n v="51000"/>
  </r>
  <r>
    <x v="324"/>
    <x v="1"/>
    <m/>
    <x v="0"/>
    <x v="2"/>
    <x v="74"/>
    <n v="190801"/>
    <n v="190801"/>
    <m/>
    <n v="6"/>
    <n v="190801"/>
    <n v="180000"/>
  </r>
  <r>
    <x v="324"/>
    <x v="1"/>
    <m/>
    <x v="0"/>
    <x v="2"/>
    <x v="15"/>
    <n v="190801"/>
    <n v="190801"/>
    <m/>
    <n v="80"/>
    <n v="190801"/>
    <n v="1600000"/>
  </r>
  <r>
    <x v="324"/>
    <x v="1"/>
    <m/>
    <x v="0"/>
    <x v="2"/>
    <x v="16"/>
    <n v="190801"/>
    <n v="190801"/>
    <m/>
    <n v="46"/>
    <n v="190801"/>
    <n v="1610000"/>
  </r>
  <r>
    <x v="324"/>
    <x v="1"/>
    <m/>
    <x v="0"/>
    <x v="2"/>
    <x v="17"/>
    <n v="190801"/>
    <n v="190801"/>
    <m/>
    <n v="70"/>
    <n v="190801"/>
    <n v="2310000"/>
  </r>
  <r>
    <x v="324"/>
    <x v="1"/>
    <m/>
    <x v="0"/>
    <x v="2"/>
    <x v="19"/>
    <n v="190801"/>
    <n v="190801"/>
    <m/>
    <n v="83"/>
    <n v="190801"/>
    <n v="249000"/>
  </r>
  <r>
    <x v="324"/>
    <x v="1"/>
    <m/>
    <x v="5"/>
    <x v="2"/>
    <x v="28"/>
    <n v="190801"/>
    <n v="190801"/>
    <m/>
    <n v="13"/>
    <n v="190801"/>
    <n v="364000"/>
  </r>
  <r>
    <x v="324"/>
    <x v="1"/>
    <m/>
    <x v="5"/>
    <x v="2"/>
    <x v="69"/>
    <n v="190801"/>
    <n v="190801"/>
    <m/>
    <n v="3"/>
    <n v="190801"/>
    <n v="144000"/>
  </r>
  <r>
    <x v="324"/>
    <x v="1"/>
    <m/>
    <x v="22"/>
    <x v="2"/>
    <x v="29"/>
    <n v="190801"/>
    <n v="190801"/>
    <m/>
    <n v="6"/>
    <n v="190801"/>
    <n v="228000"/>
  </r>
  <r>
    <x v="324"/>
    <x v="1"/>
    <m/>
    <x v="19"/>
    <x v="2"/>
    <x v="22"/>
    <n v="190801"/>
    <n v="190801"/>
    <m/>
    <n v="6"/>
    <n v="190801"/>
    <n v="78000"/>
  </r>
  <r>
    <x v="324"/>
    <x v="1"/>
    <m/>
    <x v="19"/>
    <x v="2"/>
    <x v="23"/>
    <n v="190801"/>
    <n v="190801"/>
    <m/>
    <n v="1"/>
    <n v="190801"/>
    <n v="24000"/>
  </r>
  <r>
    <x v="324"/>
    <x v="1"/>
    <m/>
    <x v="19"/>
    <x v="2"/>
    <x v="24"/>
    <n v="190801"/>
    <n v="190801"/>
    <m/>
    <n v="1"/>
    <n v="190801"/>
    <n v="33000"/>
  </r>
  <r>
    <x v="324"/>
    <x v="1"/>
    <m/>
    <x v="0"/>
    <x v="3"/>
    <x v="15"/>
    <n v="190801"/>
    <n v="190801"/>
    <m/>
    <n v="4"/>
    <n v="190801"/>
    <n v="0"/>
  </r>
  <r>
    <x v="324"/>
    <x v="1"/>
    <m/>
    <x v="18"/>
    <x v="3"/>
    <x v="19"/>
    <n v="190801"/>
    <n v="190801"/>
    <m/>
    <n v="1"/>
    <n v="190801"/>
    <n v="0"/>
  </r>
  <r>
    <x v="324"/>
    <x v="1"/>
    <m/>
    <x v="5"/>
    <x v="3"/>
    <x v="28"/>
    <n v="190801"/>
    <n v="190801"/>
    <m/>
    <n v="1"/>
    <n v="190801"/>
    <n v="0"/>
  </r>
  <r>
    <x v="324"/>
    <x v="1"/>
    <m/>
    <x v="4"/>
    <x v="3"/>
    <x v="27"/>
    <n v="190801"/>
    <n v="190801"/>
    <m/>
    <n v="1"/>
    <n v="190801"/>
    <n v="0"/>
  </r>
  <r>
    <x v="324"/>
    <x v="1"/>
    <m/>
    <x v="6"/>
    <x v="3"/>
    <x v="37"/>
    <n v="190801"/>
    <n v="190801"/>
    <m/>
    <n v="1"/>
    <n v="190801"/>
    <n v="0"/>
  </r>
  <r>
    <x v="324"/>
    <x v="1"/>
    <m/>
    <x v="0"/>
    <x v="10"/>
    <x v="54"/>
    <n v="190801"/>
    <n v="190801"/>
    <m/>
    <n v="36"/>
    <n v="190801"/>
    <n v="1188000"/>
  </r>
  <r>
    <x v="324"/>
    <x v="1"/>
    <m/>
    <x v="22"/>
    <x v="10"/>
    <x v="55"/>
    <n v="190801"/>
    <n v="190801"/>
    <m/>
    <n v="1"/>
    <n v="190801"/>
    <n v="44000"/>
  </r>
  <r>
    <x v="324"/>
    <x v="1"/>
    <m/>
    <x v="0"/>
    <x v="10"/>
    <x v="57"/>
    <n v="190801"/>
    <n v="190801"/>
    <m/>
    <n v="17"/>
    <n v="190801"/>
    <n v="901000"/>
  </r>
  <r>
    <x v="324"/>
    <x v="1"/>
    <m/>
    <x v="0"/>
    <x v="11"/>
    <x v="75"/>
    <n v="190801"/>
    <n v="190801"/>
    <m/>
    <n v="1"/>
    <n v="190801"/>
    <n v="24375"/>
  </r>
  <r>
    <x v="324"/>
    <x v="1"/>
    <m/>
    <x v="0"/>
    <x v="14"/>
    <x v="75"/>
    <n v="190801"/>
    <n v="190801"/>
    <m/>
    <n v="1"/>
    <n v="190801"/>
    <n v="19914"/>
  </r>
  <r>
    <x v="325"/>
    <x v="0"/>
    <m/>
    <x v="0"/>
    <x v="15"/>
    <x v="76"/>
    <n v="190801"/>
    <n v="190801"/>
    <m/>
    <n v="1"/>
    <n v="190801"/>
    <n v="24309"/>
  </r>
  <r>
    <x v="325"/>
    <x v="0"/>
    <m/>
    <x v="0"/>
    <x v="7"/>
    <x v="15"/>
    <n v="190801"/>
    <n v="190801"/>
    <m/>
    <n v="7"/>
    <n v="190801"/>
    <n v="140000"/>
  </r>
  <r>
    <x v="325"/>
    <x v="0"/>
    <m/>
    <x v="6"/>
    <x v="2"/>
    <x v="37"/>
    <n v="190801"/>
    <n v="190801"/>
    <m/>
    <n v="2"/>
    <n v="190801"/>
    <n v="40000"/>
  </r>
  <r>
    <x v="325"/>
    <x v="0"/>
    <m/>
    <x v="29"/>
    <x v="2"/>
    <x v="40"/>
    <n v="190801"/>
    <n v="190801"/>
    <m/>
    <n v="1"/>
    <n v="190801"/>
    <n v="35000"/>
  </r>
  <r>
    <x v="325"/>
    <x v="0"/>
    <m/>
    <x v="29"/>
    <x v="2"/>
    <x v="41"/>
    <n v="190801"/>
    <n v="190801"/>
    <m/>
    <n v="3"/>
    <n v="190801"/>
    <n v="135000"/>
  </r>
  <r>
    <x v="325"/>
    <x v="0"/>
    <m/>
    <x v="25"/>
    <x v="2"/>
    <x v="34"/>
    <n v="190801"/>
    <n v="190801"/>
    <m/>
    <n v="4"/>
    <n v="190801"/>
    <n v="396000"/>
  </r>
  <r>
    <x v="325"/>
    <x v="0"/>
    <m/>
    <x v="1"/>
    <x v="2"/>
    <x v="18"/>
    <n v="190801"/>
    <n v="190801"/>
    <m/>
    <n v="6"/>
    <n v="190801"/>
    <n v="120000"/>
  </r>
  <r>
    <x v="325"/>
    <x v="0"/>
    <m/>
    <x v="4"/>
    <x v="2"/>
    <x v="26"/>
    <n v="190801"/>
    <n v="190801"/>
    <m/>
    <n v="1"/>
    <n v="190801"/>
    <n v="4000"/>
  </r>
  <r>
    <x v="325"/>
    <x v="0"/>
    <m/>
    <x v="4"/>
    <x v="2"/>
    <x v="27"/>
    <n v="190801"/>
    <n v="190801"/>
    <m/>
    <n v="5"/>
    <n v="190801"/>
    <n v="100000"/>
  </r>
  <r>
    <x v="325"/>
    <x v="0"/>
    <m/>
    <x v="0"/>
    <x v="2"/>
    <x v="74"/>
    <n v="190801"/>
    <n v="190801"/>
    <m/>
    <n v="5"/>
    <n v="190801"/>
    <n v="150000"/>
  </r>
  <r>
    <x v="325"/>
    <x v="0"/>
    <m/>
    <x v="0"/>
    <x v="2"/>
    <x v="15"/>
    <n v="190801"/>
    <n v="190801"/>
    <m/>
    <n v="75"/>
    <n v="190801"/>
    <n v="1500000"/>
  </r>
  <r>
    <x v="325"/>
    <x v="0"/>
    <m/>
    <x v="0"/>
    <x v="2"/>
    <x v="16"/>
    <n v="190801"/>
    <n v="190801"/>
    <m/>
    <n v="60"/>
    <n v="190801"/>
    <n v="2100000"/>
  </r>
  <r>
    <x v="325"/>
    <x v="0"/>
    <m/>
    <x v="0"/>
    <x v="2"/>
    <x v="17"/>
    <n v="190801"/>
    <n v="190801"/>
    <m/>
    <n v="54"/>
    <n v="190801"/>
    <n v="1782000"/>
  </r>
  <r>
    <x v="325"/>
    <x v="0"/>
    <m/>
    <x v="0"/>
    <x v="2"/>
    <x v="19"/>
    <n v="190801"/>
    <n v="190801"/>
    <m/>
    <n v="67"/>
    <n v="190801"/>
    <n v="201000"/>
  </r>
  <r>
    <x v="325"/>
    <x v="0"/>
    <m/>
    <x v="5"/>
    <x v="2"/>
    <x v="28"/>
    <n v="190801"/>
    <n v="190801"/>
    <m/>
    <n v="14"/>
    <n v="190801"/>
    <n v="392000"/>
  </r>
  <r>
    <x v="325"/>
    <x v="0"/>
    <m/>
    <x v="5"/>
    <x v="2"/>
    <x v="69"/>
    <n v="190801"/>
    <n v="190801"/>
    <m/>
    <n v="4"/>
    <n v="190801"/>
    <n v="192000"/>
  </r>
  <r>
    <x v="325"/>
    <x v="0"/>
    <m/>
    <x v="22"/>
    <x v="2"/>
    <x v="29"/>
    <n v="190801"/>
    <n v="190801"/>
    <m/>
    <n v="8"/>
    <n v="190801"/>
    <n v="304000"/>
  </r>
  <r>
    <x v="325"/>
    <x v="0"/>
    <m/>
    <x v="19"/>
    <x v="2"/>
    <x v="22"/>
    <n v="190801"/>
    <n v="190801"/>
    <m/>
    <n v="9"/>
    <n v="190801"/>
    <n v="117000"/>
  </r>
  <r>
    <x v="325"/>
    <x v="0"/>
    <m/>
    <x v="19"/>
    <x v="2"/>
    <x v="23"/>
    <n v="190801"/>
    <n v="190801"/>
    <m/>
    <n v="1"/>
    <n v="190801"/>
    <n v="24000"/>
  </r>
  <r>
    <x v="325"/>
    <x v="0"/>
    <m/>
    <x v="0"/>
    <x v="3"/>
    <x v="15"/>
    <n v="190801"/>
    <n v="190801"/>
    <m/>
    <n v="1"/>
    <n v="190801"/>
    <n v="0"/>
  </r>
  <r>
    <x v="325"/>
    <x v="0"/>
    <m/>
    <x v="0"/>
    <x v="10"/>
    <x v="54"/>
    <n v="190801"/>
    <n v="190801"/>
    <m/>
    <n v="6"/>
    <n v="190801"/>
    <n v="198000"/>
  </r>
  <r>
    <x v="325"/>
    <x v="0"/>
    <m/>
    <x v="0"/>
    <x v="10"/>
    <x v="57"/>
    <n v="190801"/>
    <n v="190801"/>
    <m/>
    <n v="1"/>
    <n v="190801"/>
    <n v="53000"/>
  </r>
  <r>
    <x v="325"/>
    <x v="0"/>
    <m/>
    <x v="0"/>
    <x v="5"/>
    <x v="51"/>
    <n v="190801"/>
    <n v="190801"/>
    <m/>
    <n v="3"/>
    <n v="190801"/>
    <n v="33750"/>
  </r>
  <r>
    <x v="325"/>
    <x v="0"/>
    <m/>
    <x v="5"/>
    <x v="5"/>
    <x v="53"/>
    <n v="190801"/>
    <n v="190801"/>
    <m/>
    <n v="3"/>
    <n v="190801"/>
    <n v="44550"/>
  </r>
  <r>
    <x v="325"/>
    <x v="0"/>
    <m/>
    <x v="1"/>
    <x v="5"/>
    <x v="63"/>
    <n v="190801"/>
    <n v="190801"/>
    <m/>
    <n v="3"/>
    <n v="190801"/>
    <n v="33750"/>
  </r>
  <r>
    <x v="325"/>
    <x v="0"/>
    <m/>
    <x v="19"/>
    <x v="5"/>
    <x v="50"/>
    <n v="190801"/>
    <n v="190801"/>
    <m/>
    <n v="3"/>
    <n v="190801"/>
    <n v="21600"/>
  </r>
  <r>
    <x v="336"/>
    <x v="2"/>
    <m/>
    <x v="0"/>
    <x v="7"/>
    <x v="15"/>
    <n v="190801"/>
    <n v="190801"/>
    <m/>
    <n v="4"/>
    <n v="190801"/>
    <n v="80000"/>
  </r>
  <r>
    <x v="336"/>
    <x v="2"/>
    <m/>
    <x v="6"/>
    <x v="2"/>
    <x v="37"/>
    <n v="190801"/>
    <n v="190801"/>
    <m/>
    <n v="2"/>
    <n v="190801"/>
    <n v="40000"/>
  </r>
  <r>
    <x v="336"/>
    <x v="2"/>
    <m/>
    <x v="29"/>
    <x v="2"/>
    <x v="40"/>
    <n v="190801"/>
    <n v="190801"/>
    <m/>
    <n v="3"/>
    <n v="190801"/>
    <n v="105000"/>
  </r>
  <r>
    <x v="336"/>
    <x v="2"/>
    <m/>
    <x v="29"/>
    <x v="2"/>
    <x v="41"/>
    <n v="190801"/>
    <n v="190801"/>
    <m/>
    <n v="4"/>
    <n v="190801"/>
    <n v="180000"/>
  </r>
  <r>
    <x v="336"/>
    <x v="2"/>
    <m/>
    <x v="25"/>
    <x v="2"/>
    <x v="34"/>
    <n v="190801"/>
    <n v="190801"/>
    <m/>
    <n v="4"/>
    <n v="190801"/>
    <n v="396000"/>
  </r>
  <r>
    <x v="336"/>
    <x v="2"/>
    <m/>
    <x v="1"/>
    <x v="2"/>
    <x v="18"/>
    <n v="190801"/>
    <n v="190801"/>
    <m/>
    <n v="3"/>
    <n v="190801"/>
    <n v="60000"/>
  </r>
  <r>
    <x v="336"/>
    <x v="2"/>
    <m/>
    <x v="4"/>
    <x v="2"/>
    <x v="27"/>
    <n v="190801"/>
    <n v="190801"/>
    <m/>
    <n v="3"/>
    <n v="190801"/>
    <n v="60000"/>
  </r>
  <r>
    <x v="336"/>
    <x v="2"/>
    <m/>
    <x v="0"/>
    <x v="2"/>
    <x v="15"/>
    <n v="190801"/>
    <n v="190801"/>
    <m/>
    <n v="50"/>
    <n v="190801"/>
    <n v="1000000"/>
  </r>
  <r>
    <x v="336"/>
    <x v="2"/>
    <m/>
    <x v="0"/>
    <x v="2"/>
    <x v="16"/>
    <n v="190801"/>
    <n v="190801"/>
    <m/>
    <n v="45"/>
    <n v="190801"/>
    <n v="1575000"/>
  </r>
  <r>
    <x v="336"/>
    <x v="2"/>
    <m/>
    <x v="0"/>
    <x v="2"/>
    <x v="17"/>
    <n v="190801"/>
    <n v="190801"/>
    <m/>
    <n v="45"/>
    <n v="190801"/>
    <n v="1485000"/>
  </r>
  <r>
    <x v="336"/>
    <x v="2"/>
    <m/>
    <x v="0"/>
    <x v="2"/>
    <x v="19"/>
    <n v="190801"/>
    <n v="190801"/>
    <m/>
    <n v="64"/>
    <n v="190801"/>
    <n v="192000"/>
  </r>
  <r>
    <x v="336"/>
    <x v="2"/>
    <m/>
    <x v="5"/>
    <x v="2"/>
    <x v="28"/>
    <n v="190801"/>
    <n v="190801"/>
    <m/>
    <n v="17"/>
    <n v="190801"/>
    <n v="476000"/>
  </r>
  <r>
    <x v="336"/>
    <x v="2"/>
    <m/>
    <x v="5"/>
    <x v="2"/>
    <x v="69"/>
    <n v="190801"/>
    <n v="190801"/>
    <m/>
    <n v="4"/>
    <n v="190801"/>
    <n v="192000"/>
  </r>
  <r>
    <x v="336"/>
    <x v="2"/>
    <m/>
    <x v="22"/>
    <x v="2"/>
    <x v="29"/>
    <n v="190801"/>
    <n v="190801"/>
    <m/>
    <n v="4"/>
    <n v="190801"/>
    <n v="152000"/>
  </r>
  <r>
    <x v="336"/>
    <x v="2"/>
    <m/>
    <x v="19"/>
    <x v="2"/>
    <x v="22"/>
    <n v="190801"/>
    <n v="190801"/>
    <m/>
    <n v="5"/>
    <n v="190801"/>
    <n v="65000"/>
  </r>
  <r>
    <x v="336"/>
    <x v="2"/>
    <m/>
    <x v="19"/>
    <x v="2"/>
    <x v="23"/>
    <n v="190801"/>
    <n v="190801"/>
    <m/>
    <n v="1"/>
    <n v="190801"/>
    <n v="24000"/>
  </r>
  <r>
    <x v="336"/>
    <x v="2"/>
    <m/>
    <x v="19"/>
    <x v="2"/>
    <x v="24"/>
    <n v="190801"/>
    <n v="190801"/>
    <m/>
    <n v="1"/>
    <n v="190801"/>
    <n v="33000"/>
  </r>
  <r>
    <x v="336"/>
    <x v="2"/>
    <m/>
    <x v="0"/>
    <x v="3"/>
    <x v="15"/>
    <n v="190801"/>
    <n v="190801"/>
    <m/>
    <n v="1"/>
    <n v="190801"/>
    <n v="0"/>
  </r>
  <r>
    <x v="336"/>
    <x v="2"/>
    <m/>
    <x v="0"/>
    <x v="10"/>
    <x v="54"/>
    <n v="190801"/>
    <n v="190801"/>
    <m/>
    <n v="5"/>
    <n v="190801"/>
    <n v="165000"/>
  </r>
  <r>
    <x v="336"/>
    <x v="2"/>
    <m/>
    <x v="0"/>
    <x v="10"/>
    <x v="57"/>
    <n v="190801"/>
    <n v="190801"/>
    <m/>
    <n v="1"/>
    <n v="190801"/>
    <n v="53000"/>
  </r>
  <r>
    <x v="336"/>
    <x v="2"/>
    <m/>
    <x v="0"/>
    <x v="14"/>
    <x v="75"/>
    <n v="190801"/>
    <n v="190801"/>
    <m/>
    <n v="1"/>
    <n v="190801"/>
    <n v="19914"/>
  </r>
  <r>
    <x v="336"/>
    <x v="2"/>
    <m/>
    <x v="1"/>
    <x v="9"/>
    <x v="18"/>
    <n v="190801"/>
    <n v="190801"/>
    <m/>
    <n v="1"/>
    <n v="190801"/>
    <n v="20000"/>
  </r>
  <r>
    <x v="337"/>
    <x v="5"/>
    <m/>
    <x v="0"/>
    <x v="7"/>
    <x v="15"/>
    <n v="190801"/>
    <n v="190801"/>
    <m/>
    <n v="10"/>
    <n v="190801"/>
    <n v="200000"/>
  </r>
  <r>
    <x v="337"/>
    <x v="5"/>
    <m/>
    <x v="6"/>
    <x v="2"/>
    <x v="37"/>
    <n v="190801"/>
    <n v="190801"/>
    <m/>
    <n v="1"/>
    <n v="190801"/>
    <n v="20000"/>
  </r>
  <r>
    <x v="337"/>
    <x v="5"/>
    <m/>
    <x v="29"/>
    <x v="2"/>
    <x v="40"/>
    <n v="190801"/>
    <n v="190801"/>
    <m/>
    <n v="1"/>
    <n v="190801"/>
    <n v="35000"/>
  </r>
  <r>
    <x v="337"/>
    <x v="5"/>
    <m/>
    <x v="29"/>
    <x v="2"/>
    <x v="41"/>
    <n v="190801"/>
    <n v="190801"/>
    <m/>
    <n v="2"/>
    <n v="190801"/>
    <n v="90000"/>
  </r>
  <r>
    <x v="337"/>
    <x v="5"/>
    <m/>
    <x v="1"/>
    <x v="2"/>
    <x v="18"/>
    <n v="190801"/>
    <n v="190801"/>
    <m/>
    <n v="2"/>
    <n v="190801"/>
    <n v="40000"/>
  </r>
  <r>
    <x v="337"/>
    <x v="5"/>
    <m/>
    <x v="4"/>
    <x v="2"/>
    <x v="27"/>
    <n v="190801"/>
    <n v="190801"/>
    <m/>
    <n v="5"/>
    <n v="190801"/>
    <n v="100000"/>
  </r>
  <r>
    <x v="337"/>
    <x v="5"/>
    <m/>
    <x v="0"/>
    <x v="2"/>
    <x v="15"/>
    <n v="190801"/>
    <n v="190801"/>
    <m/>
    <n v="47"/>
    <n v="190801"/>
    <n v="940000"/>
  </r>
  <r>
    <x v="337"/>
    <x v="5"/>
    <m/>
    <x v="0"/>
    <x v="2"/>
    <x v="16"/>
    <n v="190801"/>
    <n v="190801"/>
    <m/>
    <n v="23"/>
    <n v="190801"/>
    <n v="805000"/>
  </r>
  <r>
    <x v="337"/>
    <x v="5"/>
    <m/>
    <x v="0"/>
    <x v="2"/>
    <x v="17"/>
    <n v="190801"/>
    <n v="190801"/>
    <m/>
    <n v="35"/>
    <n v="190801"/>
    <n v="1155000"/>
  </r>
  <r>
    <x v="337"/>
    <x v="5"/>
    <m/>
    <x v="0"/>
    <x v="2"/>
    <x v="19"/>
    <n v="190801"/>
    <n v="190801"/>
    <m/>
    <n v="33"/>
    <n v="190801"/>
    <n v="99000"/>
  </r>
  <r>
    <x v="337"/>
    <x v="5"/>
    <m/>
    <x v="5"/>
    <x v="2"/>
    <x v="28"/>
    <n v="190801"/>
    <n v="190801"/>
    <m/>
    <n v="13"/>
    <n v="190801"/>
    <n v="364000"/>
  </r>
  <r>
    <x v="337"/>
    <x v="5"/>
    <m/>
    <x v="5"/>
    <x v="2"/>
    <x v="69"/>
    <n v="190801"/>
    <n v="190801"/>
    <m/>
    <n v="3"/>
    <n v="190801"/>
    <n v="144000"/>
  </r>
  <r>
    <x v="337"/>
    <x v="5"/>
    <m/>
    <x v="22"/>
    <x v="2"/>
    <x v="29"/>
    <n v="190801"/>
    <n v="190801"/>
    <m/>
    <n v="2"/>
    <n v="190801"/>
    <n v="76000"/>
  </r>
  <r>
    <x v="337"/>
    <x v="5"/>
    <m/>
    <x v="19"/>
    <x v="2"/>
    <x v="22"/>
    <n v="190801"/>
    <n v="190801"/>
    <m/>
    <n v="4"/>
    <n v="190801"/>
    <n v="52000"/>
  </r>
  <r>
    <x v="337"/>
    <x v="5"/>
    <m/>
    <x v="19"/>
    <x v="2"/>
    <x v="23"/>
    <n v="190801"/>
    <n v="190801"/>
    <m/>
    <n v="2"/>
    <n v="190801"/>
    <n v="48000"/>
  </r>
  <r>
    <x v="326"/>
    <x v="6"/>
    <m/>
    <x v="0"/>
    <x v="7"/>
    <x v="15"/>
    <n v="190801"/>
    <n v="190801"/>
    <m/>
    <n v="11"/>
    <n v="190801"/>
    <n v="220000"/>
  </r>
  <r>
    <x v="326"/>
    <x v="6"/>
    <m/>
    <x v="6"/>
    <x v="2"/>
    <x v="37"/>
    <n v="190801"/>
    <n v="190801"/>
    <m/>
    <n v="3"/>
    <n v="190801"/>
    <n v="60000"/>
  </r>
  <r>
    <x v="326"/>
    <x v="6"/>
    <m/>
    <x v="29"/>
    <x v="2"/>
    <x v="40"/>
    <n v="190801"/>
    <n v="190801"/>
    <m/>
    <n v="2"/>
    <n v="190801"/>
    <n v="70000"/>
  </r>
  <r>
    <x v="326"/>
    <x v="6"/>
    <m/>
    <x v="29"/>
    <x v="2"/>
    <x v="41"/>
    <n v="190801"/>
    <n v="190801"/>
    <m/>
    <n v="1"/>
    <n v="190801"/>
    <n v="45000"/>
  </r>
  <r>
    <x v="326"/>
    <x v="6"/>
    <m/>
    <x v="25"/>
    <x v="2"/>
    <x v="34"/>
    <n v="190801"/>
    <n v="190801"/>
    <m/>
    <n v="6"/>
    <n v="190801"/>
    <n v="594000"/>
  </r>
  <r>
    <x v="326"/>
    <x v="6"/>
    <m/>
    <x v="1"/>
    <x v="2"/>
    <x v="18"/>
    <n v="190801"/>
    <n v="190801"/>
    <m/>
    <n v="1"/>
    <n v="190801"/>
    <n v="20000"/>
  </r>
  <r>
    <x v="326"/>
    <x v="6"/>
    <m/>
    <x v="4"/>
    <x v="2"/>
    <x v="26"/>
    <n v="190801"/>
    <n v="190801"/>
    <m/>
    <n v="3"/>
    <n v="190801"/>
    <n v="12000"/>
  </r>
  <r>
    <x v="326"/>
    <x v="6"/>
    <m/>
    <x v="4"/>
    <x v="2"/>
    <x v="27"/>
    <n v="190801"/>
    <n v="190801"/>
    <m/>
    <n v="3"/>
    <n v="190801"/>
    <n v="60000"/>
  </r>
  <r>
    <x v="326"/>
    <x v="6"/>
    <m/>
    <x v="0"/>
    <x v="2"/>
    <x v="15"/>
    <n v="190801"/>
    <n v="190801"/>
    <m/>
    <n v="78"/>
    <n v="190801"/>
    <n v="1560000"/>
  </r>
  <r>
    <x v="326"/>
    <x v="6"/>
    <m/>
    <x v="0"/>
    <x v="2"/>
    <x v="16"/>
    <n v="190801"/>
    <n v="190801"/>
    <m/>
    <n v="45"/>
    <n v="190801"/>
    <n v="1575000"/>
  </r>
  <r>
    <x v="326"/>
    <x v="6"/>
    <m/>
    <x v="0"/>
    <x v="2"/>
    <x v="17"/>
    <n v="190801"/>
    <n v="190801"/>
    <m/>
    <n v="62"/>
    <n v="190801"/>
    <n v="2046000"/>
  </r>
  <r>
    <x v="326"/>
    <x v="6"/>
    <m/>
    <x v="0"/>
    <x v="2"/>
    <x v="19"/>
    <n v="190801"/>
    <n v="190801"/>
    <m/>
    <n v="57"/>
    <n v="190801"/>
    <n v="171000"/>
  </r>
  <r>
    <x v="326"/>
    <x v="6"/>
    <m/>
    <x v="5"/>
    <x v="2"/>
    <x v="28"/>
    <n v="190801"/>
    <n v="190801"/>
    <m/>
    <n v="14"/>
    <n v="190801"/>
    <n v="392000"/>
  </r>
  <r>
    <x v="326"/>
    <x v="6"/>
    <m/>
    <x v="5"/>
    <x v="2"/>
    <x v="69"/>
    <n v="190801"/>
    <n v="190801"/>
    <m/>
    <n v="2"/>
    <n v="190801"/>
    <n v="96000"/>
  </r>
  <r>
    <x v="326"/>
    <x v="6"/>
    <m/>
    <x v="22"/>
    <x v="2"/>
    <x v="29"/>
    <n v="190801"/>
    <n v="190801"/>
    <m/>
    <n v="6"/>
    <n v="190801"/>
    <n v="228000"/>
  </r>
  <r>
    <x v="326"/>
    <x v="6"/>
    <m/>
    <x v="19"/>
    <x v="2"/>
    <x v="22"/>
    <n v="190801"/>
    <n v="190801"/>
    <m/>
    <n v="9"/>
    <n v="190801"/>
    <n v="117000"/>
  </r>
  <r>
    <x v="326"/>
    <x v="6"/>
    <m/>
    <x v="19"/>
    <x v="2"/>
    <x v="23"/>
    <n v="190801"/>
    <n v="190801"/>
    <m/>
    <n v="2"/>
    <n v="190801"/>
    <n v="48000"/>
  </r>
  <r>
    <x v="326"/>
    <x v="6"/>
    <m/>
    <x v="19"/>
    <x v="2"/>
    <x v="24"/>
    <n v="190801"/>
    <n v="190801"/>
    <m/>
    <n v="1"/>
    <n v="190801"/>
    <n v="33000"/>
  </r>
  <r>
    <x v="326"/>
    <x v="6"/>
    <m/>
    <x v="0"/>
    <x v="6"/>
    <x v="15"/>
    <n v="190801"/>
    <n v="190801"/>
    <m/>
    <n v="128"/>
    <n v="190801"/>
    <n v="1160704"/>
  </r>
  <r>
    <x v="326"/>
    <x v="6"/>
    <m/>
    <x v="0"/>
    <x v="6"/>
    <x v="17"/>
    <n v="190801"/>
    <n v="190801"/>
    <m/>
    <n v="318"/>
    <n v="190801"/>
    <n v="5030124"/>
  </r>
  <r>
    <x v="326"/>
    <x v="6"/>
    <m/>
    <x v="4"/>
    <x v="6"/>
    <x v="26"/>
    <n v="190801"/>
    <n v="190801"/>
    <m/>
    <n v="771"/>
    <n v="190801"/>
    <n v="827283"/>
  </r>
  <r>
    <x v="326"/>
    <x v="6"/>
    <m/>
    <x v="26"/>
    <x v="6"/>
    <x v="35"/>
    <n v="190801"/>
    <n v="190801"/>
    <m/>
    <n v="50"/>
    <n v="190801"/>
    <n v="856550"/>
  </r>
  <r>
    <x v="326"/>
    <x v="6"/>
    <m/>
    <x v="22"/>
    <x v="6"/>
    <x v="29"/>
    <n v="190801"/>
    <n v="190801"/>
    <m/>
    <n v="27"/>
    <n v="190801"/>
    <n v="531657"/>
  </r>
  <r>
    <x v="326"/>
    <x v="6"/>
    <m/>
    <x v="24"/>
    <x v="6"/>
    <x v="31"/>
    <n v="190801"/>
    <n v="190801"/>
    <m/>
    <n v="50"/>
    <n v="190801"/>
    <n v="743850"/>
  </r>
  <r>
    <x v="326"/>
    <x v="6"/>
    <m/>
    <x v="23"/>
    <x v="6"/>
    <x v="30"/>
    <n v="190801"/>
    <n v="190801"/>
    <m/>
    <n v="30"/>
    <n v="190801"/>
    <n v="208920"/>
  </r>
  <r>
    <x v="326"/>
    <x v="6"/>
    <m/>
    <x v="19"/>
    <x v="6"/>
    <x v="22"/>
    <n v="190801"/>
    <n v="190801"/>
    <m/>
    <n v="26"/>
    <n v="190801"/>
    <n v="176566"/>
  </r>
  <r>
    <x v="326"/>
    <x v="6"/>
    <m/>
    <x v="6"/>
    <x v="6"/>
    <x v="37"/>
    <n v="190801"/>
    <n v="190801"/>
    <m/>
    <n v="30"/>
    <n v="190801"/>
    <n v="300000"/>
  </r>
  <r>
    <x v="326"/>
    <x v="6"/>
    <m/>
    <x v="28"/>
    <x v="6"/>
    <x v="39"/>
    <n v="190801"/>
    <n v="190801"/>
    <m/>
    <n v="43"/>
    <n v="190801"/>
    <n v="680174"/>
  </r>
  <r>
    <x v="326"/>
    <x v="6"/>
    <m/>
    <x v="4"/>
    <x v="6"/>
    <x v="66"/>
    <n v="190801"/>
    <n v="190801"/>
    <m/>
    <n v="339"/>
    <n v="190801"/>
    <n v="1897383"/>
  </r>
  <r>
    <x v="327"/>
    <x v="3"/>
    <m/>
    <x v="0"/>
    <x v="7"/>
    <x v="15"/>
    <n v="190801"/>
    <n v="190801"/>
    <m/>
    <n v="9"/>
    <n v="190801"/>
    <n v="180000"/>
  </r>
  <r>
    <x v="327"/>
    <x v="3"/>
    <m/>
    <x v="6"/>
    <x v="2"/>
    <x v="37"/>
    <n v="190801"/>
    <n v="190801"/>
    <m/>
    <n v="4"/>
    <n v="190801"/>
    <n v="80000"/>
  </r>
  <r>
    <x v="327"/>
    <x v="3"/>
    <m/>
    <x v="6"/>
    <x v="2"/>
    <x v="42"/>
    <n v="190801"/>
    <n v="190801"/>
    <m/>
    <n v="1"/>
    <n v="190801"/>
    <n v="35000"/>
  </r>
  <r>
    <x v="327"/>
    <x v="3"/>
    <m/>
    <x v="29"/>
    <x v="2"/>
    <x v="40"/>
    <n v="190801"/>
    <n v="190801"/>
    <m/>
    <n v="10"/>
    <n v="190801"/>
    <n v="350000"/>
  </r>
  <r>
    <x v="327"/>
    <x v="3"/>
    <m/>
    <x v="29"/>
    <x v="2"/>
    <x v="41"/>
    <n v="190801"/>
    <n v="190801"/>
    <m/>
    <n v="1"/>
    <n v="190801"/>
    <n v="45000"/>
  </r>
  <r>
    <x v="327"/>
    <x v="3"/>
    <m/>
    <x v="25"/>
    <x v="2"/>
    <x v="34"/>
    <n v="190801"/>
    <n v="190801"/>
    <m/>
    <n v="4"/>
    <n v="190801"/>
    <n v="396000"/>
  </r>
  <r>
    <x v="327"/>
    <x v="3"/>
    <m/>
    <x v="1"/>
    <x v="2"/>
    <x v="21"/>
    <n v="190801"/>
    <n v="190801"/>
    <m/>
    <n v="1"/>
    <n v="190801"/>
    <n v="35000"/>
  </r>
  <r>
    <x v="327"/>
    <x v="3"/>
    <m/>
    <x v="4"/>
    <x v="2"/>
    <x v="26"/>
    <n v="190801"/>
    <n v="190801"/>
    <m/>
    <n v="6"/>
    <n v="190801"/>
    <n v="24000"/>
  </r>
  <r>
    <x v="327"/>
    <x v="3"/>
    <m/>
    <x v="4"/>
    <x v="2"/>
    <x v="27"/>
    <n v="190801"/>
    <n v="190801"/>
    <m/>
    <n v="9"/>
    <n v="190801"/>
    <n v="180000"/>
  </r>
  <r>
    <x v="327"/>
    <x v="3"/>
    <m/>
    <x v="0"/>
    <x v="2"/>
    <x v="15"/>
    <n v="190801"/>
    <n v="190801"/>
    <m/>
    <n v="97"/>
    <n v="190801"/>
    <n v="1940000"/>
  </r>
  <r>
    <x v="327"/>
    <x v="3"/>
    <m/>
    <x v="0"/>
    <x v="2"/>
    <x v="16"/>
    <n v="190801"/>
    <n v="190801"/>
    <m/>
    <n v="107"/>
    <n v="190801"/>
    <n v="3745000"/>
  </r>
  <r>
    <x v="327"/>
    <x v="3"/>
    <m/>
    <x v="0"/>
    <x v="2"/>
    <x v="17"/>
    <n v="190801"/>
    <n v="190801"/>
    <m/>
    <n v="77"/>
    <n v="190801"/>
    <n v="2541000"/>
  </r>
  <r>
    <x v="327"/>
    <x v="3"/>
    <m/>
    <x v="0"/>
    <x v="2"/>
    <x v="19"/>
    <n v="190801"/>
    <n v="190801"/>
    <m/>
    <n v="100"/>
    <n v="190801"/>
    <n v="300000"/>
  </r>
  <r>
    <x v="327"/>
    <x v="3"/>
    <m/>
    <x v="5"/>
    <x v="2"/>
    <x v="28"/>
    <n v="190801"/>
    <n v="190801"/>
    <m/>
    <n v="20"/>
    <n v="190801"/>
    <n v="560000"/>
  </r>
  <r>
    <x v="327"/>
    <x v="3"/>
    <m/>
    <x v="5"/>
    <x v="2"/>
    <x v="69"/>
    <n v="190801"/>
    <n v="190801"/>
    <m/>
    <n v="5"/>
    <n v="190801"/>
    <n v="240000"/>
  </r>
  <r>
    <x v="327"/>
    <x v="3"/>
    <m/>
    <x v="22"/>
    <x v="2"/>
    <x v="29"/>
    <n v="190801"/>
    <n v="190801"/>
    <m/>
    <n v="6"/>
    <n v="190801"/>
    <n v="228000"/>
  </r>
  <r>
    <x v="327"/>
    <x v="3"/>
    <m/>
    <x v="19"/>
    <x v="2"/>
    <x v="22"/>
    <n v="190801"/>
    <n v="190801"/>
    <m/>
    <n v="13"/>
    <n v="190801"/>
    <n v="169000"/>
  </r>
  <r>
    <x v="327"/>
    <x v="3"/>
    <m/>
    <x v="19"/>
    <x v="2"/>
    <x v="23"/>
    <n v="190801"/>
    <n v="190801"/>
    <m/>
    <n v="3"/>
    <n v="190801"/>
    <n v="72000"/>
  </r>
  <r>
    <x v="327"/>
    <x v="3"/>
    <m/>
    <x v="0"/>
    <x v="10"/>
    <x v="54"/>
    <n v="190801"/>
    <n v="190801"/>
    <m/>
    <n v="11"/>
    <n v="190801"/>
    <n v="363000"/>
  </r>
  <r>
    <x v="327"/>
    <x v="3"/>
    <m/>
    <x v="22"/>
    <x v="10"/>
    <x v="55"/>
    <n v="190801"/>
    <n v="190801"/>
    <m/>
    <n v="1"/>
    <n v="190801"/>
    <n v="44000"/>
  </r>
  <r>
    <x v="327"/>
    <x v="3"/>
    <m/>
    <x v="5"/>
    <x v="10"/>
    <x v="56"/>
    <n v="190801"/>
    <n v="190801"/>
    <m/>
    <n v="2"/>
    <n v="190801"/>
    <n v="78000"/>
  </r>
  <r>
    <x v="327"/>
    <x v="3"/>
    <m/>
    <x v="0"/>
    <x v="10"/>
    <x v="57"/>
    <n v="190801"/>
    <n v="190801"/>
    <m/>
    <n v="5"/>
    <n v="190801"/>
    <n v="265000"/>
  </r>
  <r>
    <x v="327"/>
    <x v="3"/>
    <m/>
    <x v="0"/>
    <x v="12"/>
    <x v="75"/>
    <n v="190801"/>
    <n v="190801"/>
    <m/>
    <n v="1"/>
    <n v="190801"/>
    <n v="24602"/>
  </r>
  <r>
    <x v="327"/>
    <x v="3"/>
    <m/>
    <x v="4"/>
    <x v="12"/>
    <x v="77"/>
    <n v="190801"/>
    <n v="190801"/>
    <m/>
    <n v="1"/>
    <n v="190801"/>
    <n v="39742"/>
  </r>
  <r>
    <x v="328"/>
    <x v="4"/>
    <m/>
    <x v="0"/>
    <x v="7"/>
    <x v="15"/>
    <n v="190801"/>
    <n v="190801"/>
    <m/>
    <n v="8"/>
    <n v="190801"/>
    <n v="160000"/>
  </r>
  <r>
    <x v="328"/>
    <x v="4"/>
    <m/>
    <x v="6"/>
    <x v="2"/>
    <x v="37"/>
    <n v="190801"/>
    <n v="190801"/>
    <m/>
    <n v="3"/>
    <n v="190801"/>
    <n v="60000"/>
  </r>
  <r>
    <x v="328"/>
    <x v="4"/>
    <m/>
    <x v="6"/>
    <x v="2"/>
    <x v="42"/>
    <n v="190801"/>
    <n v="190801"/>
    <m/>
    <n v="1"/>
    <n v="190801"/>
    <n v="35000"/>
  </r>
  <r>
    <x v="328"/>
    <x v="4"/>
    <m/>
    <x v="29"/>
    <x v="2"/>
    <x v="40"/>
    <n v="190801"/>
    <n v="190801"/>
    <m/>
    <n v="5"/>
    <n v="190801"/>
    <n v="175000"/>
  </r>
  <r>
    <x v="328"/>
    <x v="4"/>
    <m/>
    <x v="29"/>
    <x v="2"/>
    <x v="41"/>
    <n v="190801"/>
    <n v="190801"/>
    <m/>
    <n v="1"/>
    <n v="190801"/>
    <n v="45000"/>
  </r>
  <r>
    <x v="328"/>
    <x v="4"/>
    <m/>
    <x v="25"/>
    <x v="2"/>
    <x v="34"/>
    <n v="190801"/>
    <n v="190801"/>
    <m/>
    <n v="2"/>
    <n v="190801"/>
    <n v="198000"/>
  </r>
  <r>
    <x v="328"/>
    <x v="4"/>
    <m/>
    <x v="1"/>
    <x v="2"/>
    <x v="18"/>
    <n v="190801"/>
    <n v="190801"/>
    <m/>
    <n v="5"/>
    <n v="190801"/>
    <n v="100000"/>
  </r>
  <r>
    <x v="328"/>
    <x v="4"/>
    <m/>
    <x v="4"/>
    <x v="2"/>
    <x v="26"/>
    <n v="190801"/>
    <n v="190801"/>
    <m/>
    <n v="9"/>
    <n v="190801"/>
    <n v="36000"/>
  </r>
  <r>
    <x v="328"/>
    <x v="4"/>
    <m/>
    <x v="4"/>
    <x v="2"/>
    <x v="27"/>
    <n v="190801"/>
    <n v="190801"/>
    <m/>
    <n v="6"/>
    <n v="190801"/>
    <n v="120000"/>
  </r>
  <r>
    <x v="328"/>
    <x v="4"/>
    <m/>
    <x v="0"/>
    <x v="2"/>
    <x v="15"/>
    <n v="190801"/>
    <n v="190801"/>
    <m/>
    <n v="110"/>
    <n v="190801"/>
    <n v="2200000"/>
  </r>
  <r>
    <x v="328"/>
    <x v="4"/>
    <m/>
    <x v="0"/>
    <x v="2"/>
    <x v="16"/>
    <n v="190801"/>
    <n v="190801"/>
    <m/>
    <n v="86"/>
    <n v="190801"/>
    <n v="3010000"/>
  </r>
  <r>
    <x v="328"/>
    <x v="4"/>
    <m/>
    <x v="0"/>
    <x v="2"/>
    <x v="17"/>
    <n v="190801"/>
    <n v="190801"/>
    <m/>
    <n v="77"/>
    <n v="190801"/>
    <n v="2541000"/>
  </r>
  <r>
    <x v="328"/>
    <x v="4"/>
    <m/>
    <x v="0"/>
    <x v="2"/>
    <x v="19"/>
    <n v="190801"/>
    <n v="190801"/>
    <m/>
    <n v="73"/>
    <n v="190801"/>
    <n v="219000"/>
  </r>
  <r>
    <x v="328"/>
    <x v="4"/>
    <m/>
    <x v="5"/>
    <x v="2"/>
    <x v="28"/>
    <n v="190801"/>
    <n v="190801"/>
    <m/>
    <n v="26"/>
    <n v="190801"/>
    <n v="728000"/>
  </r>
  <r>
    <x v="328"/>
    <x v="4"/>
    <m/>
    <x v="22"/>
    <x v="2"/>
    <x v="29"/>
    <n v="190801"/>
    <n v="190801"/>
    <m/>
    <n v="8"/>
    <n v="190801"/>
    <n v="304000"/>
  </r>
  <r>
    <x v="328"/>
    <x v="4"/>
    <m/>
    <x v="19"/>
    <x v="2"/>
    <x v="22"/>
    <n v="190801"/>
    <n v="190801"/>
    <m/>
    <n v="8"/>
    <n v="190801"/>
    <n v="104000"/>
  </r>
  <r>
    <x v="328"/>
    <x v="4"/>
    <m/>
    <x v="19"/>
    <x v="2"/>
    <x v="23"/>
    <n v="190801"/>
    <n v="190801"/>
    <m/>
    <n v="1"/>
    <n v="190801"/>
    <n v="24000"/>
  </r>
  <r>
    <x v="328"/>
    <x v="4"/>
    <m/>
    <x v="0"/>
    <x v="8"/>
    <x v="78"/>
    <n v="190801"/>
    <n v="190801"/>
    <m/>
    <n v="61"/>
    <n v="190801"/>
    <n v="0"/>
  </r>
  <r>
    <x v="328"/>
    <x v="4"/>
    <m/>
    <x v="0"/>
    <x v="3"/>
    <x v="15"/>
    <n v="190801"/>
    <n v="190801"/>
    <m/>
    <n v="29"/>
    <n v="190801"/>
    <n v="0"/>
  </r>
  <r>
    <x v="328"/>
    <x v="4"/>
    <m/>
    <x v="18"/>
    <x v="3"/>
    <x v="19"/>
    <n v="190801"/>
    <n v="190801"/>
    <m/>
    <n v="3"/>
    <n v="190801"/>
    <n v="0"/>
  </r>
  <r>
    <x v="328"/>
    <x v="4"/>
    <m/>
    <x v="5"/>
    <x v="3"/>
    <x v="28"/>
    <n v="190801"/>
    <n v="190801"/>
    <m/>
    <n v="4"/>
    <n v="190801"/>
    <n v="0"/>
  </r>
  <r>
    <x v="328"/>
    <x v="4"/>
    <m/>
    <x v="4"/>
    <x v="3"/>
    <x v="27"/>
    <n v="190801"/>
    <n v="190801"/>
    <m/>
    <n v="3"/>
    <n v="190801"/>
    <n v="0"/>
  </r>
  <r>
    <x v="328"/>
    <x v="4"/>
    <m/>
    <x v="6"/>
    <x v="3"/>
    <x v="37"/>
    <n v="190801"/>
    <n v="190801"/>
    <m/>
    <n v="3"/>
    <n v="190801"/>
    <n v="0"/>
  </r>
  <r>
    <x v="328"/>
    <x v="4"/>
    <m/>
    <x v="22"/>
    <x v="3"/>
    <x v="29"/>
    <n v="190801"/>
    <n v="190801"/>
    <m/>
    <n v="3"/>
    <n v="190801"/>
    <n v="0"/>
  </r>
  <r>
    <x v="328"/>
    <x v="4"/>
    <m/>
    <x v="19"/>
    <x v="3"/>
    <x v="22"/>
    <n v="190801"/>
    <n v="190801"/>
    <m/>
    <n v="1"/>
    <n v="190801"/>
    <n v="0"/>
  </r>
  <r>
    <x v="328"/>
    <x v="4"/>
    <m/>
    <x v="1"/>
    <x v="3"/>
    <x v="18"/>
    <n v="190801"/>
    <n v="190801"/>
    <m/>
    <n v="3"/>
    <n v="190801"/>
    <n v="0"/>
  </r>
  <r>
    <x v="328"/>
    <x v="4"/>
    <m/>
    <x v="0"/>
    <x v="10"/>
    <x v="54"/>
    <n v="190801"/>
    <n v="190801"/>
    <m/>
    <n v="4"/>
    <n v="190801"/>
    <n v="132000"/>
  </r>
  <r>
    <x v="328"/>
    <x v="4"/>
    <m/>
    <x v="22"/>
    <x v="10"/>
    <x v="55"/>
    <n v="190801"/>
    <n v="190801"/>
    <m/>
    <n v="1"/>
    <n v="190801"/>
    <n v="44000"/>
  </r>
  <r>
    <x v="328"/>
    <x v="4"/>
    <m/>
    <x v="0"/>
    <x v="10"/>
    <x v="57"/>
    <n v="190801"/>
    <n v="190801"/>
    <m/>
    <n v="2"/>
    <n v="190801"/>
    <n v="106000"/>
  </r>
  <r>
    <x v="328"/>
    <x v="4"/>
    <m/>
    <x v="0"/>
    <x v="12"/>
    <x v="75"/>
    <n v="190801"/>
    <n v="190801"/>
    <m/>
    <n v="2"/>
    <n v="190801"/>
    <n v="49204"/>
  </r>
  <r>
    <x v="328"/>
    <x v="4"/>
    <m/>
    <x v="22"/>
    <x v="12"/>
    <x v="79"/>
    <n v="190801"/>
    <n v="190801"/>
    <m/>
    <n v="1"/>
    <n v="190801"/>
    <n v="37850"/>
  </r>
  <r>
    <x v="328"/>
    <x v="4"/>
    <m/>
    <x v="6"/>
    <x v="12"/>
    <x v="80"/>
    <n v="190801"/>
    <n v="190801"/>
    <m/>
    <n v="1"/>
    <n v="190801"/>
    <n v="22710"/>
  </r>
  <r>
    <x v="329"/>
    <x v="1"/>
    <m/>
    <x v="0"/>
    <x v="7"/>
    <x v="15"/>
    <n v="190801"/>
    <n v="190801"/>
    <m/>
    <n v="5"/>
    <n v="190801"/>
    <n v="100000"/>
  </r>
  <r>
    <x v="329"/>
    <x v="1"/>
    <m/>
    <x v="29"/>
    <x v="2"/>
    <x v="40"/>
    <n v="190801"/>
    <n v="190801"/>
    <m/>
    <n v="4"/>
    <n v="190801"/>
    <n v="140000"/>
  </r>
  <r>
    <x v="329"/>
    <x v="1"/>
    <m/>
    <x v="29"/>
    <x v="2"/>
    <x v="41"/>
    <n v="190801"/>
    <n v="190801"/>
    <m/>
    <n v="1"/>
    <n v="190801"/>
    <n v="45000"/>
  </r>
  <r>
    <x v="329"/>
    <x v="1"/>
    <m/>
    <x v="25"/>
    <x v="2"/>
    <x v="34"/>
    <n v="190801"/>
    <n v="190801"/>
    <m/>
    <n v="4"/>
    <n v="190801"/>
    <n v="396000"/>
  </r>
  <r>
    <x v="329"/>
    <x v="1"/>
    <m/>
    <x v="1"/>
    <x v="2"/>
    <x v="18"/>
    <n v="190801"/>
    <n v="190801"/>
    <m/>
    <n v="1"/>
    <n v="190801"/>
    <n v="20000"/>
  </r>
  <r>
    <x v="329"/>
    <x v="1"/>
    <m/>
    <x v="4"/>
    <x v="2"/>
    <x v="26"/>
    <n v="190801"/>
    <n v="190801"/>
    <m/>
    <n v="3"/>
    <n v="190801"/>
    <n v="12000"/>
  </r>
  <r>
    <x v="329"/>
    <x v="1"/>
    <m/>
    <x v="4"/>
    <x v="2"/>
    <x v="27"/>
    <n v="190801"/>
    <n v="190801"/>
    <m/>
    <n v="6"/>
    <n v="190801"/>
    <n v="120000"/>
  </r>
  <r>
    <x v="329"/>
    <x v="1"/>
    <m/>
    <x v="0"/>
    <x v="2"/>
    <x v="15"/>
    <n v="190801"/>
    <n v="190801"/>
    <m/>
    <n v="91"/>
    <n v="190801"/>
    <n v="1820000"/>
  </r>
  <r>
    <x v="329"/>
    <x v="1"/>
    <m/>
    <x v="0"/>
    <x v="2"/>
    <x v="16"/>
    <n v="190801"/>
    <n v="190801"/>
    <m/>
    <n v="70"/>
    <n v="190801"/>
    <n v="2450000"/>
  </r>
  <r>
    <x v="329"/>
    <x v="1"/>
    <m/>
    <x v="0"/>
    <x v="2"/>
    <x v="17"/>
    <n v="190801"/>
    <n v="190801"/>
    <m/>
    <n v="82"/>
    <n v="190801"/>
    <n v="2706000"/>
  </r>
  <r>
    <x v="329"/>
    <x v="1"/>
    <m/>
    <x v="0"/>
    <x v="2"/>
    <x v="19"/>
    <n v="190801"/>
    <n v="190801"/>
    <m/>
    <n v="74"/>
    <n v="190801"/>
    <n v="222000"/>
  </r>
  <r>
    <x v="329"/>
    <x v="1"/>
    <m/>
    <x v="5"/>
    <x v="2"/>
    <x v="28"/>
    <n v="190801"/>
    <n v="190801"/>
    <m/>
    <n v="25"/>
    <n v="190801"/>
    <n v="700000"/>
  </r>
  <r>
    <x v="329"/>
    <x v="1"/>
    <m/>
    <x v="5"/>
    <x v="2"/>
    <x v="69"/>
    <n v="190801"/>
    <n v="190801"/>
    <m/>
    <n v="3"/>
    <n v="190801"/>
    <n v="144000"/>
  </r>
  <r>
    <x v="329"/>
    <x v="1"/>
    <m/>
    <x v="22"/>
    <x v="2"/>
    <x v="29"/>
    <n v="190801"/>
    <n v="190801"/>
    <m/>
    <n v="7"/>
    <n v="190801"/>
    <n v="266000"/>
  </r>
  <r>
    <x v="329"/>
    <x v="1"/>
    <m/>
    <x v="19"/>
    <x v="2"/>
    <x v="22"/>
    <n v="190801"/>
    <n v="190801"/>
    <m/>
    <n v="10"/>
    <n v="190801"/>
    <n v="130000"/>
  </r>
  <r>
    <x v="329"/>
    <x v="1"/>
    <m/>
    <x v="19"/>
    <x v="2"/>
    <x v="23"/>
    <n v="190801"/>
    <n v="190801"/>
    <m/>
    <n v="1"/>
    <n v="190801"/>
    <n v="24000"/>
  </r>
  <r>
    <x v="329"/>
    <x v="1"/>
    <m/>
    <x v="0"/>
    <x v="10"/>
    <x v="54"/>
    <n v="190801"/>
    <n v="190801"/>
    <m/>
    <n v="4"/>
    <n v="190801"/>
    <n v="132000"/>
  </r>
  <r>
    <x v="329"/>
    <x v="1"/>
    <m/>
    <x v="6"/>
    <x v="10"/>
    <x v="59"/>
    <n v="190801"/>
    <n v="190801"/>
    <m/>
    <n v="1"/>
    <n v="190801"/>
    <n v="36000"/>
  </r>
  <r>
    <x v="329"/>
    <x v="1"/>
    <m/>
    <x v="0"/>
    <x v="10"/>
    <x v="57"/>
    <n v="190801"/>
    <n v="190801"/>
    <m/>
    <n v="1"/>
    <n v="190801"/>
    <n v="53000"/>
  </r>
  <r>
    <x v="330"/>
    <x v="0"/>
    <m/>
    <x v="0"/>
    <x v="7"/>
    <x v="15"/>
    <n v="190801"/>
    <n v="190801"/>
    <m/>
    <n v="9"/>
    <n v="190801"/>
    <n v="180000"/>
  </r>
  <r>
    <x v="330"/>
    <x v="0"/>
    <m/>
    <x v="6"/>
    <x v="2"/>
    <x v="37"/>
    <n v="190801"/>
    <n v="190801"/>
    <m/>
    <n v="1"/>
    <n v="190801"/>
    <n v="20000"/>
  </r>
  <r>
    <x v="330"/>
    <x v="0"/>
    <m/>
    <x v="6"/>
    <x v="2"/>
    <x v="42"/>
    <n v="190801"/>
    <n v="190801"/>
    <m/>
    <n v="1"/>
    <n v="190801"/>
    <n v="35000"/>
  </r>
  <r>
    <x v="330"/>
    <x v="0"/>
    <m/>
    <x v="29"/>
    <x v="2"/>
    <x v="40"/>
    <n v="190801"/>
    <n v="190801"/>
    <m/>
    <n v="2"/>
    <n v="190801"/>
    <n v="70000"/>
  </r>
  <r>
    <x v="330"/>
    <x v="0"/>
    <m/>
    <x v="29"/>
    <x v="2"/>
    <x v="41"/>
    <n v="190801"/>
    <n v="190801"/>
    <m/>
    <n v="3"/>
    <n v="190801"/>
    <n v="135000"/>
  </r>
  <r>
    <x v="330"/>
    <x v="0"/>
    <m/>
    <x v="4"/>
    <x v="2"/>
    <x v="26"/>
    <n v="190801"/>
    <n v="190801"/>
    <m/>
    <n v="4"/>
    <n v="190801"/>
    <n v="16000"/>
  </r>
  <r>
    <x v="330"/>
    <x v="0"/>
    <m/>
    <x v="4"/>
    <x v="2"/>
    <x v="27"/>
    <n v="190801"/>
    <n v="190801"/>
    <m/>
    <n v="10"/>
    <n v="190801"/>
    <n v="200000"/>
  </r>
  <r>
    <x v="330"/>
    <x v="0"/>
    <m/>
    <x v="0"/>
    <x v="2"/>
    <x v="15"/>
    <n v="190801"/>
    <n v="190801"/>
    <m/>
    <n v="97"/>
    <n v="190801"/>
    <n v="1940000"/>
  </r>
  <r>
    <x v="330"/>
    <x v="0"/>
    <m/>
    <x v="0"/>
    <x v="2"/>
    <x v="16"/>
    <n v="190801"/>
    <n v="190801"/>
    <m/>
    <n v="73"/>
    <n v="190801"/>
    <n v="2555000"/>
  </r>
  <r>
    <x v="330"/>
    <x v="0"/>
    <m/>
    <x v="0"/>
    <x v="2"/>
    <x v="17"/>
    <n v="190801"/>
    <n v="190801"/>
    <m/>
    <n v="80"/>
    <n v="190801"/>
    <n v="2640000"/>
  </r>
  <r>
    <x v="330"/>
    <x v="0"/>
    <m/>
    <x v="0"/>
    <x v="2"/>
    <x v="19"/>
    <n v="190801"/>
    <n v="190801"/>
    <m/>
    <n v="78"/>
    <n v="190801"/>
    <n v="234000"/>
  </r>
  <r>
    <x v="330"/>
    <x v="0"/>
    <m/>
    <x v="5"/>
    <x v="2"/>
    <x v="28"/>
    <n v="190801"/>
    <n v="190801"/>
    <m/>
    <n v="19"/>
    <n v="190801"/>
    <n v="532000"/>
  </r>
  <r>
    <x v="330"/>
    <x v="0"/>
    <m/>
    <x v="5"/>
    <x v="2"/>
    <x v="69"/>
    <n v="190801"/>
    <n v="190801"/>
    <m/>
    <n v="4"/>
    <n v="190801"/>
    <n v="192000"/>
  </r>
  <r>
    <x v="330"/>
    <x v="0"/>
    <m/>
    <x v="22"/>
    <x v="2"/>
    <x v="29"/>
    <n v="190801"/>
    <n v="190801"/>
    <m/>
    <n v="9"/>
    <n v="190801"/>
    <n v="342000"/>
  </r>
  <r>
    <x v="330"/>
    <x v="0"/>
    <m/>
    <x v="19"/>
    <x v="2"/>
    <x v="22"/>
    <n v="190801"/>
    <n v="190801"/>
    <m/>
    <n v="8"/>
    <n v="190801"/>
    <n v="104000"/>
  </r>
  <r>
    <x v="330"/>
    <x v="0"/>
    <m/>
    <x v="19"/>
    <x v="2"/>
    <x v="24"/>
    <n v="190801"/>
    <n v="190801"/>
    <m/>
    <n v="1"/>
    <n v="190801"/>
    <n v="33000"/>
  </r>
  <r>
    <x v="330"/>
    <x v="0"/>
    <m/>
    <x v="0"/>
    <x v="10"/>
    <x v="54"/>
    <n v="190801"/>
    <n v="190801"/>
    <m/>
    <n v="3"/>
    <n v="190801"/>
    <n v="99000"/>
  </r>
  <r>
    <x v="330"/>
    <x v="0"/>
    <m/>
    <x v="0"/>
    <x v="10"/>
    <x v="57"/>
    <n v="190801"/>
    <n v="190801"/>
    <m/>
    <n v="3"/>
    <n v="190801"/>
    <n v="159000"/>
  </r>
  <r>
    <x v="330"/>
    <x v="0"/>
    <m/>
    <x v="0"/>
    <x v="16"/>
    <x v="81"/>
    <n v="190801"/>
    <n v="190801"/>
    <m/>
    <n v="1"/>
    <n v="190801"/>
    <n v="23073"/>
  </r>
  <r>
    <x v="330"/>
    <x v="0"/>
    <m/>
    <x v="5"/>
    <x v="16"/>
    <x v="82"/>
    <n v="190801"/>
    <n v="190801"/>
    <m/>
    <n v="1"/>
    <n v="190801"/>
    <n v="33086"/>
  </r>
  <r>
    <x v="330"/>
    <x v="0"/>
    <m/>
    <x v="0"/>
    <x v="16"/>
    <x v="83"/>
    <n v="190801"/>
    <n v="190801"/>
    <m/>
    <n v="1"/>
    <n v="190801"/>
    <n v="7401"/>
  </r>
  <r>
    <x v="331"/>
    <x v="2"/>
    <m/>
    <x v="22"/>
    <x v="12"/>
    <x v="79"/>
    <n v="190801"/>
    <n v="190801"/>
    <m/>
    <n v="1"/>
    <n v="190801"/>
    <n v="37850"/>
  </r>
  <r>
    <x v="331"/>
    <x v="2"/>
    <m/>
    <x v="5"/>
    <x v="12"/>
    <x v="84"/>
    <n v="190801"/>
    <n v="190801"/>
    <m/>
    <n v="1"/>
    <n v="190801"/>
    <n v="32134"/>
  </r>
  <r>
    <x v="331"/>
    <x v="2"/>
    <m/>
    <x v="0"/>
    <x v="7"/>
    <x v="15"/>
    <n v="190801"/>
    <n v="190801"/>
    <m/>
    <n v="3"/>
    <n v="190801"/>
    <n v="60000"/>
  </r>
  <r>
    <x v="331"/>
    <x v="2"/>
    <m/>
    <x v="6"/>
    <x v="2"/>
    <x v="37"/>
    <n v="190801"/>
    <n v="190801"/>
    <m/>
    <n v="4"/>
    <n v="190801"/>
    <n v="80000"/>
  </r>
  <r>
    <x v="331"/>
    <x v="2"/>
    <m/>
    <x v="29"/>
    <x v="2"/>
    <x v="40"/>
    <n v="190801"/>
    <n v="190801"/>
    <m/>
    <n v="2"/>
    <n v="190801"/>
    <n v="70000"/>
  </r>
  <r>
    <x v="331"/>
    <x v="2"/>
    <m/>
    <x v="29"/>
    <x v="2"/>
    <x v="41"/>
    <n v="190801"/>
    <n v="190801"/>
    <m/>
    <n v="4"/>
    <n v="190801"/>
    <n v="180000"/>
  </r>
  <r>
    <x v="331"/>
    <x v="2"/>
    <m/>
    <x v="25"/>
    <x v="2"/>
    <x v="34"/>
    <n v="190801"/>
    <n v="190801"/>
    <m/>
    <n v="3"/>
    <n v="190801"/>
    <n v="297000"/>
  </r>
  <r>
    <x v="331"/>
    <x v="2"/>
    <m/>
    <x v="1"/>
    <x v="2"/>
    <x v="18"/>
    <n v="190801"/>
    <n v="190801"/>
    <m/>
    <n v="3"/>
    <n v="190801"/>
    <n v="60000"/>
  </r>
  <r>
    <x v="331"/>
    <x v="2"/>
    <m/>
    <x v="4"/>
    <x v="2"/>
    <x v="26"/>
    <n v="190801"/>
    <n v="190801"/>
    <m/>
    <n v="3"/>
    <n v="190801"/>
    <n v="12000"/>
  </r>
  <r>
    <x v="331"/>
    <x v="2"/>
    <m/>
    <x v="4"/>
    <x v="2"/>
    <x v="27"/>
    <n v="190801"/>
    <n v="190801"/>
    <m/>
    <n v="7"/>
    <n v="190801"/>
    <n v="140000"/>
  </r>
  <r>
    <x v="331"/>
    <x v="2"/>
    <m/>
    <x v="0"/>
    <x v="2"/>
    <x v="15"/>
    <n v="190801"/>
    <n v="190801"/>
    <m/>
    <n v="73"/>
    <n v="190801"/>
    <n v="1460000"/>
  </r>
  <r>
    <x v="331"/>
    <x v="2"/>
    <m/>
    <x v="0"/>
    <x v="2"/>
    <x v="16"/>
    <n v="190801"/>
    <n v="190801"/>
    <m/>
    <n v="61"/>
    <n v="190801"/>
    <n v="2135000"/>
  </r>
  <r>
    <x v="331"/>
    <x v="2"/>
    <m/>
    <x v="0"/>
    <x v="2"/>
    <x v="17"/>
    <n v="190801"/>
    <n v="190801"/>
    <m/>
    <n v="64"/>
    <n v="190801"/>
    <n v="2112000"/>
  </r>
  <r>
    <x v="331"/>
    <x v="2"/>
    <m/>
    <x v="0"/>
    <x v="2"/>
    <x v="19"/>
    <n v="190801"/>
    <n v="190801"/>
    <m/>
    <n v="51"/>
    <n v="190801"/>
    <n v="153000"/>
  </r>
  <r>
    <x v="331"/>
    <x v="2"/>
    <m/>
    <x v="5"/>
    <x v="2"/>
    <x v="28"/>
    <n v="190801"/>
    <n v="190801"/>
    <m/>
    <n v="15"/>
    <n v="190801"/>
    <n v="420000"/>
  </r>
  <r>
    <x v="331"/>
    <x v="2"/>
    <m/>
    <x v="5"/>
    <x v="2"/>
    <x v="69"/>
    <n v="190801"/>
    <n v="190801"/>
    <m/>
    <n v="3"/>
    <n v="190801"/>
    <n v="144000"/>
  </r>
  <r>
    <x v="331"/>
    <x v="2"/>
    <m/>
    <x v="22"/>
    <x v="2"/>
    <x v="29"/>
    <n v="190801"/>
    <n v="190801"/>
    <m/>
    <n v="3"/>
    <n v="190801"/>
    <n v="114000"/>
  </r>
  <r>
    <x v="331"/>
    <x v="2"/>
    <m/>
    <x v="19"/>
    <x v="2"/>
    <x v="22"/>
    <n v="190801"/>
    <n v="190801"/>
    <m/>
    <n v="11"/>
    <n v="190801"/>
    <n v="143000"/>
  </r>
  <r>
    <x v="331"/>
    <x v="2"/>
    <m/>
    <x v="19"/>
    <x v="2"/>
    <x v="23"/>
    <n v="190801"/>
    <n v="190801"/>
    <m/>
    <n v="3"/>
    <n v="190801"/>
    <n v="72000"/>
  </r>
  <r>
    <x v="331"/>
    <x v="2"/>
    <m/>
    <x v="19"/>
    <x v="2"/>
    <x v="24"/>
    <n v="190801"/>
    <n v="190801"/>
    <m/>
    <n v="2"/>
    <n v="190801"/>
    <n v="66000"/>
  </r>
  <r>
    <x v="331"/>
    <x v="2"/>
    <m/>
    <x v="0"/>
    <x v="3"/>
    <x v="15"/>
    <n v="190801"/>
    <n v="190801"/>
    <m/>
    <n v="21"/>
    <n v="190801"/>
    <n v="0"/>
  </r>
  <r>
    <x v="331"/>
    <x v="2"/>
    <m/>
    <x v="5"/>
    <x v="3"/>
    <x v="28"/>
    <n v="190801"/>
    <n v="190801"/>
    <m/>
    <n v="35"/>
    <n v="190801"/>
    <n v="0"/>
  </r>
  <r>
    <x v="331"/>
    <x v="2"/>
    <m/>
    <x v="4"/>
    <x v="3"/>
    <x v="27"/>
    <n v="190801"/>
    <n v="190801"/>
    <m/>
    <n v="20"/>
    <n v="190801"/>
    <n v="0"/>
  </r>
  <r>
    <x v="331"/>
    <x v="2"/>
    <m/>
    <x v="6"/>
    <x v="3"/>
    <x v="37"/>
    <n v="190801"/>
    <n v="190801"/>
    <m/>
    <n v="20"/>
    <n v="190801"/>
    <n v="0"/>
  </r>
  <r>
    <x v="331"/>
    <x v="2"/>
    <m/>
    <x v="22"/>
    <x v="3"/>
    <x v="29"/>
    <n v="190801"/>
    <n v="190801"/>
    <m/>
    <n v="20"/>
    <n v="190801"/>
    <n v="0"/>
  </r>
  <r>
    <x v="331"/>
    <x v="2"/>
    <m/>
    <x v="19"/>
    <x v="3"/>
    <x v="22"/>
    <n v="190801"/>
    <n v="190801"/>
    <m/>
    <n v="20"/>
    <n v="190801"/>
    <n v="0"/>
  </r>
  <r>
    <x v="331"/>
    <x v="2"/>
    <m/>
    <x v="1"/>
    <x v="3"/>
    <x v="18"/>
    <n v="190801"/>
    <n v="190801"/>
    <m/>
    <n v="20"/>
    <n v="190801"/>
    <n v="0"/>
  </r>
  <r>
    <x v="331"/>
    <x v="2"/>
    <m/>
    <x v="0"/>
    <x v="10"/>
    <x v="54"/>
    <n v="190801"/>
    <n v="190801"/>
    <m/>
    <n v="4"/>
    <n v="190801"/>
    <n v="132000"/>
  </r>
  <r>
    <x v="331"/>
    <x v="2"/>
    <m/>
    <x v="0"/>
    <x v="10"/>
    <x v="57"/>
    <n v="190801"/>
    <n v="190801"/>
    <m/>
    <n v="2"/>
    <n v="190801"/>
    <n v="106000"/>
  </r>
  <r>
    <x v="332"/>
    <x v="5"/>
    <m/>
    <x v="0"/>
    <x v="7"/>
    <x v="15"/>
    <n v="190801"/>
    <n v="190801"/>
    <m/>
    <n v="4"/>
    <n v="190801"/>
    <n v="80000"/>
  </r>
  <r>
    <x v="332"/>
    <x v="5"/>
    <m/>
    <x v="6"/>
    <x v="2"/>
    <x v="37"/>
    <n v="190801"/>
    <n v="190801"/>
    <m/>
    <n v="1"/>
    <n v="190801"/>
    <n v="20000"/>
  </r>
  <r>
    <x v="332"/>
    <x v="5"/>
    <m/>
    <x v="6"/>
    <x v="2"/>
    <x v="42"/>
    <n v="190801"/>
    <n v="190801"/>
    <m/>
    <n v="1"/>
    <n v="190801"/>
    <n v="35000"/>
  </r>
  <r>
    <x v="332"/>
    <x v="5"/>
    <m/>
    <x v="19"/>
    <x v="2"/>
    <x v="38"/>
    <n v="190801"/>
    <n v="190801"/>
    <m/>
    <n v="1"/>
    <n v="190801"/>
    <n v="10000"/>
  </r>
  <r>
    <x v="332"/>
    <x v="5"/>
    <m/>
    <x v="29"/>
    <x v="2"/>
    <x v="41"/>
    <n v="190801"/>
    <n v="190801"/>
    <m/>
    <n v="2"/>
    <n v="190801"/>
    <n v="90000"/>
  </r>
  <r>
    <x v="332"/>
    <x v="5"/>
    <m/>
    <x v="25"/>
    <x v="2"/>
    <x v="34"/>
    <n v="190801"/>
    <n v="190801"/>
    <m/>
    <n v="4"/>
    <n v="190801"/>
    <n v="396000"/>
  </r>
  <r>
    <x v="332"/>
    <x v="5"/>
    <m/>
    <x v="1"/>
    <x v="2"/>
    <x v="18"/>
    <n v="190801"/>
    <n v="190801"/>
    <m/>
    <n v="3"/>
    <n v="190801"/>
    <n v="60000"/>
  </r>
  <r>
    <x v="332"/>
    <x v="5"/>
    <m/>
    <x v="1"/>
    <x v="2"/>
    <x v="21"/>
    <n v="190801"/>
    <n v="190801"/>
    <m/>
    <n v="1"/>
    <n v="190801"/>
    <n v="35000"/>
  </r>
  <r>
    <x v="332"/>
    <x v="5"/>
    <m/>
    <x v="4"/>
    <x v="2"/>
    <x v="26"/>
    <n v="190801"/>
    <n v="190801"/>
    <m/>
    <n v="1"/>
    <n v="190801"/>
    <n v="4000"/>
  </r>
  <r>
    <x v="332"/>
    <x v="5"/>
    <m/>
    <x v="4"/>
    <x v="2"/>
    <x v="27"/>
    <n v="190801"/>
    <n v="190801"/>
    <m/>
    <n v="3"/>
    <n v="190801"/>
    <n v="60000"/>
  </r>
  <r>
    <x v="332"/>
    <x v="5"/>
    <m/>
    <x v="0"/>
    <x v="2"/>
    <x v="15"/>
    <n v="190801"/>
    <n v="190801"/>
    <m/>
    <n v="65"/>
    <n v="190801"/>
    <n v="1300000"/>
  </r>
  <r>
    <x v="332"/>
    <x v="5"/>
    <m/>
    <x v="0"/>
    <x v="2"/>
    <x v="16"/>
    <n v="190801"/>
    <n v="190801"/>
    <m/>
    <n v="35"/>
    <n v="190801"/>
    <n v="1225000"/>
  </r>
  <r>
    <x v="332"/>
    <x v="5"/>
    <m/>
    <x v="0"/>
    <x v="2"/>
    <x v="17"/>
    <n v="190801"/>
    <n v="190801"/>
    <m/>
    <n v="44"/>
    <n v="190801"/>
    <n v="1452000"/>
  </r>
  <r>
    <x v="332"/>
    <x v="5"/>
    <m/>
    <x v="0"/>
    <x v="2"/>
    <x v="19"/>
    <n v="190801"/>
    <n v="190801"/>
    <m/>
    <n v="48"/>
    <n v="190801"/>
    <n v="144000"/>
  </r>
  <r>
    <x v="332"/>
    <x v="5"/>
    <m/>
    <x v="5"/>
    <x v="2"/>
    <x v="28"/>
    <n v="190801"/>
    <n v="190801"/>
    <m/>
    <n v="10"/>
    <n v="190801"/>
    <n v="280000"/>
  </r>
  <r>
    <x v="332"/>
    <x v="5"/>
    <m/>
    <x v="5"/>
    <x v="2"/>
    <x v="69"/>
    <n v="190801"/>
    <n v="190801"/>
    <m/>
    <n v="2"/>
    <n v="190801"/>
    <n v="96000"/>
  </r>
  <r>
    <x v="332"/>
    <x v="5"/>
    <m/>
    <x v="22"/>
    <x v="2"/>
    <x v="29"/>
    <n v="190801"/>
    <n v="190801"/>
    <m/>
    <n v="4"/>
    <n v="190801"/>
    <n v="152000"/>
  </r>
  <r>
    <x v="332"/>
    <x v="5"/>
    <m/>
    <x v="19"/>
    <x v="2"/>
    <x v="22"/>
    <n v="190801"/>
    <n v="190801"/>
    <m/>
    <n v="4"/>
    <n v="190801"/>
    <n v="52000"/>
  </r>
  <r>
    <x v="332"/>
    <x v="5"/>
    <m/>
    <x v="19"/>
    <x v="2"/>
    <x v="23"/>
    <n v="190801"/>
    <n v="190801"/>
    <m/>
    <n v="1"/>
    <n v="190801"/>
    <n v="24000"/>
  </r>
  <r>
    <x v="332"/>
    <x v="5"/>
    <m/>
    <x v="19"/>
    <x v="2"/>
    <x v="24"/>
    <n v="190801"/>
    <n v="190801"/>
    <m/>
    <n v="1"/>
    <n v="190801"/>
    <n v="33000"/>
  </r>
  <r>
    <x v="333"/>
    <x v="6"/>
    <m/>
    <x v="0"/>
    <x v="7"/>
    <x v="15"/>
    <n v="190801"/>
    <n v="190801"/>
    <m/>
    <n v="5"/>
    <n v="190801"/>
    <n v="100000"/>
  </r>
  <r>
    <x v="333"/>
    <x v="6"/>
    <m/>
    <x v="6"/>
    <x v="2"/>
    <x v="37"/>
    <n v="190801"/>
    <n v="190801"/>
    <m/>
    <n v="3"/>
    <n v="190801"/>
    <n v="60000"/>
  </r>
  <r>
    <x v="333"/>
    <x v="6"/>
    <m/>
    <x v="29"/>
    <x v="2"/>
    <x v="40"/>
    <n v="190801"/>
    <n v="190801"/>
    <m/>
    <n v="1"/>
    <n v="190801"/>
    <n v="35000"/>
  </r>
  <r>
    <x v="333"/>
    <x v="6"/>
    <m/>
    <x v="29"/>
    <x v="2"/>
    <x v="41"/>
    <n v="190801"/>
    <n v="190801"/>
    <m/>
    <n v="3"/>
    <n v="190801"/>
    <n v="135000"/>
  </r>
  <r>
    <x v="333"/>
    <x v="6"/>
    <m/>
    <x v="25"/>
    <x v="2"/>
    <x v="34"/>
    <n v="190801"/>
    <n v="190801"/>
    <m/>
    <n v="2"/>
    <n v="190801"/>
    <n v="198000"/>
  </r>
  <r>
    <x v="333"/>
    <x v="6"/>
    <m/>
    <x v="1"/>
    <x v="2"/>
    <x v="18"/>
    <n v="190801"/>
    <n v="190801"/>
    <m/>
    <n v="3"/>
    <n v="190801"/>
    <n v="60000"/>
  </r>
  <r>
    <x v="333"/>
    <x v="6"/>
    <m/>
    <x v="4"/>
    <x v="2"/>
    <x v="26"/>
    <n v="190801"/>
    <n v="190801"/>
    <m/>
    <n v="3"/>
    <n v="190801"/>
    <n v="12000"/>
  </r>
  <r>
    <x v="333"/>
    <x v="6"/>
    <m/>
    <x v="4"/>
    <x v="2"/>
    <x v="27"/>
    <n v="190801"/>
    <n v="190801"/>
    <m/>
    <n v="1"/>
    <n v="190801"/>
    <n v="20000"/>
  </r>
  <r>
    <x v="333"/>
    <x v="6"/>
    <m/>
    <x v="0"/>
    <x v="2"/>
    <x v="15"/>
    <n v="190801"/>
    <n v="190801"/>
    <m/>
    <n v="54"/>
    <n v="190801"/>
    <n v="1080000"/>
  </r>
  <r>
    <x v="333"/>
    <x v="6"/>
    <m/>
    <x v="0"/>
    <x v="2"/>
    <x v="16"/>
    <n v="190801"/>
    <n v="190801"/>
    <m/>
    <n v="52"/>
    <n v="190801"/>
    <n v="1820000"/>
  </r>
  <r>
    <x v="333"/>
    <x v="6"/>
    <m/>
    <x v="0"/>
    <x v="2"/>
    <x v="17"/>
    <n v="190801"/>
    <n v="190801"/>
    <m/>
    <n v="65"/>
    <n v="190801"/>
    <n v="2145000"/>
  </r>
  <r>
    <x v="333"/>
    <x v="6"/>
    <m/>
    <x v="0"/>
    <x v="2"/>
    <x v="19"/>
    <n v="190801"/>
    <n v="190801"/>
    <m/>
    <n v="46"/>
    <n v="190801"/>
    <n v="138000"/>
  </r>
  <r>
    <x v="333"/>
    <x v="6"/>
    <m/>
    <x v="5"/>
    <x v="2"/>
    <x v="28"/>
    <n v="190801"/>
    <n v="190801"/>
    <m/>
    <n v="19"/>
    <n v="190801"/>
    <n v="532000"/>
  </r>
  <r>
    <x v="333"/>
    <x v="6"/>
    <m/>
    <x v="22"/>
    <x v="2"/>
    <x v="29"/>
    <n v="190801"/>
    <n v="190801"/>
    <m/>
    <n v="4"/>
    <n v="190801"/>
    <n v="152000"/>
  </r>
  <r>
    <x v="333"/>
    <x v="6"/>
    <m/>
    <x v="19"/>
    <x v="2"/>
    <x v="22"/>
    <n v="190801"/>
    <n v="190801"/>
    <m/>
    <n v="8"/>
    <n v="190801"/>
    <n v="104000"/>
  </r>
  <r>
    <x v="333"/>
    <x v="6"/>
    <m/>
    <x v="19"/>
    <x v="2"/>
    <x v="23"/>
    <n v="190801"/>
    <n v="190801"/>
    <m/>
    <n v="1"/>
    <n v="190801"/>
    <n v="24000"/>
  </r>
  <r>
    <x v="333"/>
    <x v="6"/>
    <m/>
    <x v="19"/>
    <x v="2"/>
    <x v="24"/>
    <n v="190801"/>
    <n v="190801"/>
    <m/>
    <n v="1"/>
    <n v="190801"/>
    <n v="33000"/>
  </r>
  <r>
    <x v="333"/>
    <x v="6"/>
    <m/>
    <x v="0"/>
    <x v="6"/>
    <x v="15"/>
    <n v="190801"/>
    <n v="190801"/>
    <m/>
    <n v="497"/>
    <n v="190801"/>
    <n v="4506796"/>
  </r>
  <r>
    <x v="333"/>
    <x v="6"/>
    <m/>
    <x v="0"/>
    <x v="6"/>
    <x v="17"/>
    <n v="190801"/>
    <n v="190801"/>
    <m/>
    <n v="192"/>
    <n v="190801"/>
    <n v="3037056"/>
  </r>
  <r>
    <x v="333"/>
    <x v="6"/>
    <m/>
    <x v="4"/>
    <x v="6"/>
    <x v="26"/>
    <n v="190801"/>
    <n v="190801"/>
    <m/>
    <n v="399"/>
    <n v="190801"/>
    <n v="428127"/>
  </r>
  <r>
    <x v="333"/>
    <x v="6"/>
    <m/>
    <x v="26"/>
    <x v="6"/>
    <x v="35"/>
    <n v="190801"/>
    <n v="190801"/>
    <m/>
    <n v="39"/>
    <n v="190801"/>
    <n v="668109"/>
  </r>
  <r>
    <x v="333"/>
    <x v="6"/>
    <m/>
    <x v="22"/>
    <x v="6"/>
    <x v="29"/>
    <n v="190801"/>
    <n v="190801"/>
    <m/>
    <n v="35"/>
    <n v="190801"/>
    <n v="689185"/>
  </r>
  <r>
    <x v="333"/>
    <x v="6"/>
    <m/>
    <x v="24"/>
    <x v="6"/>
    <x v="31"/>
    <n v="190801"/>
    <n v="190801"/>
    <m/>
    <n v="92"/>
    <n v="190801"/>
    <n v="1368684"/>
  </r>
  <r>
    <x v="333"/>
    <x v="6"/>
    <m/>
    <x v="23"/>
    <x v="6"/>
    <x v="30"/>
    <n v="190801"/>
    <n v="190801"/>
    <m/>
    <n v="13"/>
    <n v="190801"/>
    <n v="90532"/>
  </r>
  <r>
    <x v="333"/>
    <x v="6"/>
    <m/>
    <x v="19"/>
    <x v="6"/>
    <x v="22"/>
    <n v="190801"/>
    <n v="190801"/>
    <m/>
    <n v="58"/>
    <n v="190801"/>
    <n v="393878"/>
  </r>
  <r>
    <x v="333"/>
    <x v="6"/>
    <m/>
    <x v="27"/>
    <x v="6"/>
    <x v="36"/>
    <n v="190801"/>
    <n v="190801"/>
    <m/>
    <n v="2"/>
    <n v="190801"/>
    <n v="18914"/>
  </r>
  <r>
    <x v="333"/>
    <x v="6"/>
    <m/>
    <x v="6"/>
    <x v="6"/>
    <x v="37"/>
    <n v="190801"/>
    <n v="190801"/>
    <m/>
    <n v="32"/>
    <n v="190801"/>
    <n v="320000"/>
  </r>
  <r>
    <x v="333"/>
    <x v="6"/>
    <m/>
    <x v="28"/>
    <x v="6"/>
    <x v="39"/>
    <n v="190801"/>
    <n v="190801"/>
    <m/>
    <n v="17"/>
    <n v="190801"/>
    <n v="268906"/>
  </r>
  <r>
    <x v="333"/>
    <x v="6"/>
    <m/>
    <x v="4"/>
    <x v="6"/>
    <x v="66"/>
    <n v="190801"/>
    <n v="190801"/>
    <m/>
    <n v="217"/>
    <n v="190801"/>
    <n v="1214549"/>
  </r>
  <r>
    <x v="245"/>
    <x v="3"/>
    <m/>
    <x v="0"/>
    <x v="17"/>
    <x v="85"/>
    <n v="190801"/>
    <n v="190801"/>
    <m/>
    <n v="1"/>
    <n v="190801"/>
    <n v="39935"/>
  </r>
  <r>
    <x v="245"/>
    <x v="3"/>
    <m/>
    <x v="0"/>
    <x v="16"/>
    <x v="81"/>
    <n v="190801"/>
    <n v="190801"/>
    <m/>
    <n v="1"/>
    <n v="190801"/>
    <n v="23073"/>
  </r>
  <r>
    <x v="245"/>
    <x v="3"/>
    <m/>
    <x v="0"/>
    <x v="7"/>
    <x v="15"/>
    <n v="190801"/>
    <n v="190801"/>
    <m/>
    <n v="4"/>
    <n v="190801"/>
    <n v="80000"/>
  </r>
  <r>
    <x v="245"/>
    <x v="3"/>
    <m/>
    <x v="6"/>
    <x v="2"/>
    <x v="37"/>
    <n v="190801"/>
    <n v="190801"/>
    <m/>
    <n v="4"/>
    <n v="190801"/>
    <n v="80000"/>
  </r>
  <r>
    <x v="245"/>
    <x v="3"/>
    <m/>
    <x v="29"/>
    <x v="2"/>
    <x v="40"/>
    <n v="190801"/>
    <n v="190801"/>
    <m/>
    <n v="2"/>
    <n v="190801"/>
    <n v="70000"/>
  </r>
  <r>
    <x v="245"/>
    <x v="3"/>
    <m/>
    <x v="29"/>
    <x v="2"/>
    <x v="41"/>
    <n v="190801"/>
    <n v="190801"/>
    <m/>
    <n v="1"/>
    <n v="190801"/>
    <n v="45000"/>
  </r>
  <r>
    <x v="245"/>
    <x v="3"/>
    <m/>
    <x v="25"/>
    <x v="2"/>
    <x v="34"/>
    <n v="190801"/>
    <n v="190801"/>
    <m/>
    <n v="2"/>
    <n v="190801"/>
    <n v="198000"/>
  </r>
  <r>
    <x v="245"/>
    <x v="3"/>
    <m/>
    <x v="1"/>
    <x v="2"/>
    <x v="18"/>
    <n v="190801"/>
    <n v="190801"/>
    <m/>
    <n v="5"/>
    <n v="190801"/>
    <n v="100000"/>
  </r>
  <r>
    <x v="245"/>
    <x v="3"/>
    <m/>
    <x v="1"/>
    <x v="2"/>
    <x v="21"/>
    <n v="190801"/>
    <n v="190801"/>
    <m/>
    <n v="1"/>
    <n v="190801"/>
    <n v="35000"/>
  </r>
  <r>
    <x v="245"/>
    <x v="3"/>
    <m/>
    <x v="4"/>
    <x v="2"/>
    <x v="26"/>
    <n v="190801"/>
    <n v="190801"/>
    <m/>
    <n v="10"/>
    <n v="190801"/>
    <n v="40000"/>
  </r>
  <r>
    <x v="245"/>
    <x v="3"/>
    <m/>
    <x v="4"/>
    <x v="2"/>
    <x v="27"/>
    <n v="190801"/>
    <n v="190801"/>
    <m/>
    <n v="3"/>
    <n v="190801"/>
    <n v="60000"/>
  </r>
  <r>
    <x v="245"/>
    <x v="3"/>
    <m/>
    <x v="0"/>
    <x v="2"/>
    <x v="15"/>
    <n v="190801"/>
    <n v="190801"/>
    <m/>
    <n v="83"/>
    <n v="190801"/>
    <n v="1660000"/>
  </r>
  <r>
    <x v="245"/>
    <x v="3"/>
    <m/>
    <x v="0"/>
    <x v="2"/>
    <x v="16"/>
    <n v="190801"/>
    <n v="190801"/>
    <m/>
    <n v="65"/>
    <n v="190801"/>
    <n v="2275000"/>
  </r>
  <r>
    <x v="245"/>
    <x v="3"/>
    <m/>
    <x v="0"/>
    <x v="2"/>
    <x v="17"/>
    <n v="190801"/>
    <n v="190801"/>
    <m/>
    <n v="78"/>
    <n v="190801"/>
    <n v="2574000"/>
  </r>
  <r>
    <x v="245"/>
    <x v="3"/>
    <m/>
    <x v="0"/>
    <x v="2"/>
    <x v="19"/>
    <n v="190801"/>
    <n v="190801"/>
    <m/>
    <n v="72"/>
    <n v="190801"/>
    <n v="216000"/>
  </r>
  <r>
    <x v="245"/>
    <x v="3"/>
    <m/>
    <x v="5"/>
    <x v="2"/>
    <x v="28"/>
    <n v="190801"/>
    <n v="190801"/>
    <m/>
    <n v="16"/>
    <n v="190801"/>
    <n v="448000"/>
  </r>
  <r>
    <x v="245"/>
    <x v="3"/>
    <m/>
    <x v="5"/>
    <x v="2"/>
    <x v="69"/>
    <n v="190801"/>
    <n v="190801"/>
    <m/>
    <n v="9"/>
    <n v="190801"/>
    <n v="432000"/>
  </r>
  <r>
    <x v="245"/>
    <x v="3"/>
    <m/>
    <x v="22"/>
    <x v="2"/>
    <x v="29"/>
    <n v="190801"/>
    <n v="190801"/>
    <m/>
    <n v="9"/>
    <n v="190801"/>
    <n v="342000"/>
  </r>
  <r>
    <x v="245"/>
    <x v="3"/>
    <m/>
    <x v="19"/>
    <x v="2"/>
    <x v="22"/>
    <n v="190801"/>
    <n v="190801"/>
    <m/>
    <n v="13"/>
    <n v="190801"/>
    <n v="169000"/>
  </r>
  <r>
    <x v="245"/>
    <x v="3"/>
    <m/>
    <x v="19"/>
    <x v="2"/>
    <x v="23"/>
    <n v="190801"/>
    <n v="190801"/>
    <m/>
    <n v="2"/>
    <n v="190801"/>
    <n v="48000"/>
  </r>
  <r>
    <x v="245"/>
    <x v="3"/>
    <m/>
    <x v="0"/>
    <x v="3"/>
    <x v="15"/>
    <n v="190801"/>
    <n v="190801"/>
    <m/>
    <n v="1"/>
    <n v="190801"/>
    <n v="0"/>
  </r>
  <r>
    <x v="245"/>
    <x v="3"/>
    <m/>
    <x v="0"/>
    <x v="10"/>
    <x v="54"/>
    <n v="190801"/>
    <n v="190801"/>
    <m/>
    <n v="8"/>
    <n v="190801"/>
    <n v="264000"/>
  </r>
  <r>
    <x v="245"/>
    <x v="3"/>
    <m/>
    <x v="0"/>
    <x v="10"/>
    <x v="57"/>
    <n v="190801"/>
    <n v="190801"/>
    <m/>
    <n v="7"/>
    <n v="190801"/>
    <n v="371000"/>
  </r>
  <r>
    <x v="334"/>
    <x v="4"/>
    <m/>
    <x v="0"/>
    <x v="1"/>
    <x v="15"/>
    <n v="190801"/>
    <n v="190801"/>
    <m/>
    <n v="4"/>
    <n v="190801"/>
    <n v="80000"/>
  </r>
  <r>
    <x v="334"/>
    <x v="4"/>
    <m/>
    <x v="0"/>
    <x v="1"/>
    <x v="16"/>
    <n v="190801"/>
    <n v="190801"/>
    <m/>
    <n v="11"/>
    <n v="190801"/>
    <n v="385000"/>
  </r>
  <r>
    <x v="334"/>
    <x v="4"/>
    <m/>
    <x v="0"/>
    <x v="12"/>
    <x v="75"/>
    <n v="190801"/>
    <n v="190801"/>
    <m/>
    <n v="1"/>
    <n v="190801"/>
    <n v="24602"/>
  </r>
  <r>
    <x v="334"/>
    <x v="4"/>
    <m/>
    <x v="5"/>
    <x v="12"/>
    <x v="84"/>
    <n v="190801"/>
    <n v="190801"/>
    <m/>
    <n v="10"/>
    <n v="190801"/>
    <n v="321340"/>
  </r>
  <r>
    <x v="334"/>
    <x v="4"/>
    <m/>
    <x v="5"/>
    <x v="11"/>
    <x v="84"/>
    <n v="190801"/>
    <n v="190801"/>
    <m/>
    <n v="2"/>
    <n v="190801"/>
    <n v="64416"/>
  </r>
  <r>
    <x v="334"/>
    <x v="4"/>
    <m/>
    <x v="0"/>
    <x v="7"/>
    <x v="15"/>
    <n v="190801"/>
    <n v="190801"/>
    <m/>
    <n v="8"/>
    <n v="190801"/>
    <n v="160000"/>
  </r>
  <r>
    <x v="334"/>
    <x v="4"/>
    <m/>
    <x v="0"/>
    <x v="3"/>
    <x v="15"/>
    <n v="190801"/>
    <n v="190801"/>
    <m/>
    <n v="2"/>
    <n v="190801"/>
    <n v="0"/>
  </r>
  <r>
    <x v="334"/>
    <x v="4"/>
    <m/>
    <x v="18"/>
    <x v="3"/>
    <x v="19"/>
    <n v="190801"/>
    <n v="190801"/>
    <m/>
    <n v="11"/>
    <n v="190801"/>
    <n v="0"/>
  </r>
  <r>
    <x v="334"/>
    <x v="4"/>
    <m/>
    <x v="5"/>
    <x v="3"/>
    <x v="28"/>
    <n v="190801"/>
    <n v="190801"/>
    <m/>
    <n v="49"/>
    <n v="190801"/>
    <n v="0"/>
  </r>
  <r>
    <x v="334"/>
    <x v="4"/>
    <m/>
    <x v="4"/>
    <x v="3"/>
    <x v="27"/>
    <n v="190801"/>
    <n v="190801"/>
    <m/>
    <n v="1"/>
    <n v="190801"/>
    <n v="0"/>
  </r>
  <r>
    <x v="334"/>
    <x v="4"/>
    <m/>
    <x v="6"/>
    <x v="3"/>
    <x v="37"/>
    <n v="190801"/>
    <n v="190801"/>
    <m/>
    <n v="1"/>
    <n v="190801"/>
    <n v="0"/>
  </r>
  <r>
    <x v="334"/>
    <x v="4"/>
    <m/>
    <x v="19"/>
    <x v="3"/>
    <x v="22"/>
    <n v="190801"/>
    <n v="190801"/>
    <m/>
    <n v="1"/>
    <n v="190801"/>
    <n v="0"/>
  </r>
  <r>
    <x v="334"/>
    <x v="4"/>
    <m/>
    <x v="1"/>
    <x v="3"/>
    <x v="18"/>
    <n v="190801"/>
    <n v="190801"/>
    <m/>
    <n v="1"/>
    <n v="190801"/>
    <n v="0"/>
  </r>
  <r>
    <x v="334"/>
    <x v="4"/>
    <m/>
    <x v="6"/>
    <x v="2"/>
    <x v="37"/>
    <n v="190801"/>
    <n v="190801"/>
    <m/>
    <n v="4"/>
    <n v="190801"/>
    <n v="80000"/>
  </r>
  <r>
    <x v="334"/>
    <x v="4"/>
    <m/>
    <x v="6"/>
    <x v="2"/>
    <x v="42"/>
    <n v="190801"/>
    <n v="190801"/>
    <m/>
    <n v="22"/>
    <n v="190801"/>
    <n v="770000"/>
  </r>
  <r>
    <x v="334"/>
    <x v="4"/>
    <m/>
    <x v="29"/>
    <x v="2"/>
    <x v="40"/>
    <n v="190801"/>
    <n v="190801"/>
    <m/>
    <n v="6"/>
    <n v="190801"/>
    <n v="210000"/>
  </r>
  <r>
    <x v="334"/>
    <x v="4"/>
    <m/>
    <x v="29"/>
    <x v="2"/>
    <x v="41"/>
    <n v="190801"/>
    <n v="190801"/>
    <m/>
    <n v="5"/>
    <n v="190801"/>
    <n v="225000"/>
  </r>
  <r>
    <x v="334"/>
    <x v="4"/>
    <m/>
    <x v="25"/>
    <x v="2"/>
    <x v="34"/>
    <n v="190801"/>
    <n v="190801"/>
    <m/>
    <n v="6"/>
    <n v="190801"/>
    <n v="594000"/>
  </r>
  <r>
    <x v="334"/>
    <x v="4"/>
    <m/>
    <x v="1"/>
    <x v="2"/>
    <x v="18"/>
    <n v="190801"/>
    <n v="190801"/>
    <m/>
    <n v="2"/>
    <n v="190801"/>
    <n v="40000"/>
  </r>
  <r>
    <x v="334"/>
    <x v="4"/>
    <m/>
    <x v="4"/>
    <x v="2"/>
    <x v="26"/>
    <n v="190801"/>
    <n v="190801"/>
    <m/>
    <n v="17"/>
    <n v="190801"/>
    <n v="68000"/>
  </r>
  <r>
    <x v="334"/>
    <x v="4"/>
    <m/>
    <x v="4"/>
    <x v="2"/>
    <x v="27"/>
    <n v="190801"/>
    <n v="190801"/>
    <m/>
    <n v="6"/>
    <n v="190801"/>
    <n v="120000"/>
  </r>
  <r>
    <x v="334"/>
    <x v="4"/>
    <m/>
    <x v="0"/>
    <x v="2"/>
    <x v="15"/>
    <n v="190801"/>
    <n v="190801"/>
    <m/>
    <n v="89"/>
    <n v="190801"/>
    <n v="1780000"/>
  </r>
  <r>
    <x v="334"/>
    <x v="4"/>
    <m/>
    <x v="0"/>
    <x v="2"/>
    <x v="16"/>
    <n v="190801"/>
    <n v="190801"/>
    <m/>
    <n v="83"/>
    <n v="190801"/>
    <n v="2905000"/>
  </r>
  <r>
    <x v="334"/>
    <x v="4"/>
    <m/>
    <x v="0"/>
    <x v="2"/>
    <x v="17"/>
    <n v="190801"/>
    <n v="190801"/>
    <m/>
    <n v="105"/>
    <n v="190801"/>
    <n v="3465000"/>
  </r>
  <r>
    <x v="334"/>
    <x v="4"/>
    <m/>
    <x v="0"/>
    <x v="2"/>
    <x v="19"/>
    <n v="190801"/>
    <n v="190801"/>
    <m/>
    <n v="98"/>
    <n v="190801"/>
    <n v="294000"/>
  </r>
  <r>
    <x v="334"/>
    <x v="4"/>
    <m/>
    <x v="5"/>
    <x v="2"/>
    <x v="28"/>
    <n v="190801"/>
    <n v="190801"/>
    <m/>
    <n v="30"/>
    <n v="190801"/>
    <n v="840000"/>
  </r>
  <r>
    <x v="334"/>
    <x v="4"/>
    <m/>
    <x v="5"/>
    <x v="2"/>
    <x v="69"/>
    <n v="190801"/>
    <n v="190801"/>
    <m/>
    <n v="6"/>
    <n v="190801"/>
    <n v="288000"/>
  </r>
  <r>
    <x v="334"/>
    <x v="4"/>
    <m/>
    <x v="22"/>
    <x v="2"/>
    <x v="29"/>
    <n v="190801"/>
    <n v="190801"/>
    <m/>
    <n v="13"/>
    <n v="190801"/>
    <n v="494000"/>
  </r>
  <r>
    <x v="334"/>
    <x v="4"/>
    <m/>
    <x v="19"/>
    <x v="2"/>
    <x v="22"/>
    <n v="190801"/>
    <n v="190801"/>
    <m/>
    <n v="12"/>
    <n v="190801"/>
    <n v="156000"/>
  </r>
  <r>
    <x v="334"/>
    <x v="4"/>
    <m/>
    <x v="19"/>
    <x v="2"/>
    <x v="23"/>
    <n v="190801"/>
    <n v="190801"/>
    <m/>
    <n v="1"/>
    <n v="190801"/>
    <n v="24000"/>
  </r>
  <r>
    <x v="334"/>
    <x v="4"/>
    <m/>
    <x v="0"/>
    <x v="10"/>
    <x v="54"/>
    <n v="190801"/>
    <n v="190801"/>
    <m/>
    <n v="20"/>
    <n v="190801"/>
    <n v="660000"/>
  </r>
  <r>
    <x v="334"/>
    <x v="4"/>
    <m/>
    <x v="5"/>
    <x v="10"/>
    <x v="56"/>
    <n v="190801"/>
    <n v="190801"/>
    <m/>
    <n v="4"/>
    <n v="190801"/>
    <n v="156000"/>
  </r>
  <r>
    <x v="334"/>
    <x v="4"/>
    <m/>
    <x v="0"/>
    <x v="10"/>
    <x v="57"/>
    <n v="190801"/>
    <n v="190801"/>
    <m/>
    <n v="13"/>
    <n v="190801"/>
    <n v="689000"/>
  </r>
  <r>
    <x v="334"/>
    <x v="4"/>
    <m/>
    <x v="1"/>
    <x v="9"/>
    <x v="18"/>
    <n v="190801"/>
    <n v="190801"/>
    <m/>
    <n v="1"/>
    <n v="190801"/>
    <n v="20000"/>
  </r>
  <r>
    <x v="335"/>
    <x v="1"/>
    <m/>
    <x v="0"/>
    <x v="1"/>
    <x v="15"/>
    <n v="190801"/>
    <n v="190801"/>
    <m/>
    <n v="2"/>
    <n v="190801"/>
    <n v="40000"/>
  </r>
  <r>
    <x v="335"/>
    <x v="1"/>
    <m/>
    <x v="0"/>
    <x v="1"/>
    <x v="16"/>
    <n v="190801"/>
    <n v="190801"/>
    <m/>
    <n v="8"/>
    <n v="190801"/>
    <n v="280000"/>
  </r>
  <r>
    <x v="335"/>
    <x v="1"/>
    <m/>
    <x v="0"/>
    <x v="17"/>
    <x v="81"/>
    <n v="190801"/>
    <n v="190801"/>
    <m/>
    <n v="1"/>
    <n v="190801"/>
    <n v="21978"/>
  </r>
  <r>
    <x v="335"/>
    <x v="1"/>
    <m/>
    <x v="0"/>
    <x v="17"/>
    <x v="86"/>
    <n v="190801"/>
    <n v="190801"/>
    <m/>
    <n v="1"/>
    <n v="190801"/>
    <n v="5698"/>
  </r>
  <r>
    <x v="335"/>
    <x v="1"/>
    <m/>
    <x v="0"/>
    <x v="7"/>
    <x v="15"/>
    <n v="190801"/>
    <n v="190801"/>
    <m/>
    <n v="1"/>
    <n v="190801"/>
    <n v="20000"/>
  </r>
  <r>
    <x v="335"/>
    <x v="1"/>
    <m/>
    <x v="0"/>
    <x v="3"/>
    <x v="15"/>
    <n v="190801"/>
    <n v="190801"/>
    <m/>
    <n v="2"/>
    <n v="190801"/>
    <n v="0"/>
  </r>
  <r>
    <x v="335"/>
    <x v="1"/>
    <m/>
    <x v="18"/>
    <x v="3"/>
    <x v="19"/>
    <n v="190801"/>
    <n v="190801"/>
    <m/>
    <n v="1"/>
    <n v="190801"/>
    <n v="0"/>
  </r>
  <r>
    <x v="335"/>
    <x v="1"/>
    <m/>
    <x v="5"/>
    <x v="3"/>
    <x v="28"/>
    <n v="190801"/>
    <n v="190801"/>
    <m/>
    <n v="12"/>
    <n v="190801"/>
    <n v="0"/>
  </r>
  <r>
    <x v="335"/>
    <x v="1"/>
    <m/>
    <x v="4"/>
    <x v="3"/>
    <x v="27"/>
    <n v="190801"/>
    <n v="190801"/>
    <m/>
    <n v="1"/>
    <n v="190801"/>
    <n v="0"/>
  </r>
  <r>
    <x v="335"/>
    <x v="1"/>
    <m/>
    <x v="6"/>
    <x v="3"/>
    <x v="37"/>
    <n v="190801"/>
    <n v="190801"/>
    <m/>
    <n v="1"/>
    <n v="190801"/>
    <n v="0"/>
  </r>
  <r>
    <x v="335"/>
    <x v="1"/>
    <m/>
    <x v="19"/>
    <x v="3"/>
    <x v="22"/>
    <n v="190801"/>
    <n v="190801"/>
    <m/>
    <n v="1"/>
    <n v="190801"/>
    <n v="0"/>
  </r>
  <r>
    <x v="335"/>
    <x v="1"/>
    <m/>
    <x v="1"/>
    <x v="3"/>
    <x v="18"/>
    <n v="190801"/>
    <n v="190801"/>
    <m/>
    <n v="1"/>
    <n v="190801"/>
    <n v="0"/>
  </r>
  <r>
    <x v="335"/>
    <x v="1"/>
    <m/>
    <x v="6"/>
    <x v="2"/>
    <x v="37"/>
    <n v="190801"/>
    <n v="190801"/>
    <m/>
    <n v="2"/>
    <n v="190801"/>
    <n v="40000"/>
  </r>
  <r>
    <x v="335"/>
    <x v="1"/>
    <m/>
    <x v="6"/>
    <x v="2"/>
    <x v="42"/>
    <n v="190801"/>
    <n v="190801"/>
    <m/>
    <n v="2"/>
    <n v="190801"/>
    <n v="70000"/>
  </r>
  <r>
    <x v="335"/>
    <x v="1"/>
    <m/>
    <x v="29"/>
    <x v="2"/>
    <x v="40"/>
    <n v="190801"/>
    <n v="190801"/>
    <m/>
    <n v="5"/>
    <n v="190801"/>
    <n v="175000"/>
  </r>
  <r>
    <x v="335"/>
    <x v="1"/>
    <m/>
    <x v="29"/>
    <x v="2"/>
    <x v="41"/>
    <n v="190801"/>
    <n v="190801"/>
    <m/>
    <n v="5"/>
    <n v="190801"/>
    <n v="225000"/>
  </r>
  <r>
    <x v="335"/>
    <x v="1"/>
    <m/>
    <x v="25"/>
    <x v="2"/>
    <x v="34"/>
    <n v="190801"/>
    <n v="190801"/>
    <m/>
    <n v="3"/>
    <n v="190801"/>
    <n v="297000"/>
  </r>
  <r>
    <x v="335"/>
    <x v="1"/>
    <m/>
    <x v="1"/>
    <x v="2"/>
    <x v="18"/>
    <n v="190801"/>
    <n v="190801"/>
    <m/>
    <n v="5"/>
    <n v="190801"/>
    <n v="100000"/>
  </r>
  <r>
    <x v="335"/>
    <x v="1"/>
    <m/>
    <x v="4"/>
    <x v="2"/>
    <x v="26"/>
    <n v="190801"/>
    <n v="190801"/>
    <m/>
    <n v="5"/>
    <n v="190801"/>
    <n v="20000"/>
  </r>
  <r>
    <x v="335"/>
    <x v="1"/>
    <m/>
    <x v="4"/>
    <x v="2"/>
    <x v="27"/>
    <n v="190801"/>
    <n v="190801"/>
    <m/>
    <n v="5"/>
    <n v="190801"/>
    <n v="100000"/>
  </r>
  <r>
    <x v="335"/>
    <x v="1"/>
    <m/>
    <x v="0"/>
    <x v="2"/>
    <x v="15"/>
    <n v="190801"/>
    <n v="190801"/>
    <m/>
    <n v="69"/>
    <n v="190801"/>
    <n v="1380000"/>
  </r>
  <r>
    <x v="335"/>
    <x v="1"/>
    <m/>
    <x v="0"/>
    <x v="2"/>
    <x v="16"/>
    <n v="190801"/>
    <n v="190801"/>
    <m/>
    <n v="77"/>
    <n v="190801"/>
    <n v="2695000"/>
  </r>
  <r>
    <x v="335"/>
    <x v="1"/>
    <m/>
    <x v="0"/>
    <x v="2"/>
    <x v="17"/>
    <n v="190801"/>
    <n v="190801"/>
    <m/>
    <n v="67"/>
    <n v="190801"/>
    <n v="2211000"/>
  </r>
  <r>
    <x v="335"/>
    <x v="1"/>
    <m/>
    <x v="0"/>
    <x v="2"/>
    <x v="19"/>
    <n v="190801"/>
    <n v="190801"/>
    <m/>
    <n v="100"/>
    <n v="190801"/>
    <n v="300000"/>
  </r>
  <r>
    <x v="335"/>
    <x v="1"/>
    <m/>
    <x v="5"/>
    <x v="2"/>
    <x v="28"/>
    <n v="190801"/>
    <n v="190801"/>
    <m/>
    <n v="22"/>
    <n v="190801"/>
    <n v="616000"/>
  </r>
  <r>
    <x v="335"/>
    <x v="1"/>
    <m/>
    <x v="5"/>
    <x v="2"/>
    <x v="69"/>
    <n v="190801"/>
    <n v="190801"/>
    <m/>
    <n v="3"/>
    <n v="190801"/>
    <n v="144000"/>
  </r>
  <r>
    <x v="335"/>
    <x v="1"/>
    <m/>
    <x v="22"/>
    <x v="2"/>
    <x v="29"/>
    <n v="190801"/>
    <n v="190801"/>
    <m/>
    <n v="6"/>
    <n v="190801"/>
    <n v="228000"/>
  </r>
  <r>
    <x v="335"/>
    <x v="1"/>
    <m/>
    <x v="19"/>
    <x v="2"/>
    <x v="22"/>
    <n v="190801"/>
    <n v="190801"/>
    <m/>
    <n v="8"/>
    <n v="190801"/>
    <n v="104000"/>
  </r>
  <r>
    <x v="335"/>
    <x v="1"/>
    <m/>
    <x v="19"/>
    <x v="2"/>
    <x v="23"/>
    <n v="190801"/>
    <n v="190801"/>
    <m/>
    <n v="3"/>
    <n v="190801"/>
    <n v="72000"/>
  </r>
  <r>
    <x v="335"/>
    <x v="1"/>
    <m/>
    <x v="0"/>
    <x v="10"/>
    <x v="54"/>
    <n v="190801"/>
    <n v="190801"/>
    <m/>
    <n v="34"/>
    <n v="190801"/>
    <n v="1122000"/>
  </r>
  <r>
    <x v="335"/>
    <x v="1"/>
    <m/>
    <x v="22"/>
    <x v="10"/>
    <x v="55"/>
    <n v="190801"/>
    <n v="190801"/>
    <m/>
    <n v="1"/>
    <n v="190801"/>
    <n v="44000"/>
  </r>
  <r>
    <x v="335"/>
    <x v="1"/>
    <m/>
    <x v="5"/>
    <x v="10"/>
    <x v="56"/>
    <n v="190801"/>
    <n v="190801"/>
    <m/>
    <n v="9"/>
    <n v="190801"/>
    <n v="351000"/>
  </r>
  <r>
    <x v="335"/>
    <x v="1"/>
    <m/>
    <x v="0"/>
    <x v="10"/>
    <x v="57"/>
    <n v="190801"/>
    <n v="190801"/>
    <m/>
    <n v="26"/>
    <n v="190801"/>
    <n v="1378000"/>
  </r>
  <r>
    <x v="335"/>
    <x v="1"/>
    <m/>
    <x v="1"/>
    <x v="9"/>
    <x v="18"/>
    <n v="190801"/>
    <n v="190801"/>
    <m/>
    <n v="1"/>
    <n v="190801"/>
    <n v="20000"/>
  </r>
  <r>
    <x v="338"/>
    <x v="0"/>
    <m/>
    <x v="0"/>
    <x v="1"/>
    <x v="15"/>
    <n v="190801"/>
    <n v="190801"/>
    <m/>
    <n v="2"/>
    <n v="190801"/>
    <n v="40000"/>
  </r>
  <r>
    <x v="338"/>
    <x v="0"/>
    <m/>
    <x v="0"/>
    <x v="1"/>
    <x v="16"/>
    <n v="190801"/>
    <n v="190801"/>
    <m/>
    <n v="7"/>
    <n v="190801"/>
    <n v="245000"/>
  </r>
  <r>
    <x v="338"/>
    <x v="0"/>
    <m/>
    <x v="0"/>
    <x v="18"/>
    <x v="85"/>
    <n v="190801"/>
    <n v="190801"/>
    <m/>
    <n v="1"/>
    <n v="190801"/>
    <n v="35455"/>
  </r>
  <r>
    <x v="338"/>
    <x v="0"/>
    <m/>
    <x v="0"/>
    <x v="12"/>
    <x v="75"/>
    <n v="190801"/>
    <n v="190801"/>
    <m/>
    <n v="1"/>
    <n v="190801"/>
    <n v="24602"/>
  </r>
  <r>
    <x v="338"/>
    <x v="0"/>
    <m/>
    <x v="5"/>
    <x v="12"/>
    <x v="84"/>
    <n v="190801"/>
    <n v="190801"/>
    <m/>
    <n v="1"/>
    <n v="190801"/>
    <n v="32134"/>
  </r>
  <r>
    <x v="338"/>
    <x v="0"/>
    <m/>
    <x v="0"/>
    <x v="3"/>
    <x v="15"/>
    <n v="190801"/>
    <n v="190801"/>
    <m/>
    <n v="1"/>
    <n v="190801"/>
    <n v="0"/>
  </r>
  <r>
    <x v="338"/>
    <x v="0"/>
    <m/>
    <x v="18"/>
    <x v="3"/>
    <x v="19"/>
    <n v="190801"/>
    <n v="190801"/>
    <m/>
    <n v="1"/>
    <n v="190801"/>
    <n v="0"/>
  </r>
  <r>
    <x v="338"/>
    <x v="0"/>
    <m/>
    <x v="5"/>
    <x v="3"/>
    <x v="28"/>
    <n v="190801"/>
    <n v="190801"/>
    <m/>
    <n v="1"/>
    <n v="190801"/>
    <n v="0"/>
  </r>
  <r>
    <x v="338"/>
    <x v="0"/>
    <m/>
    <x v="4"/>
    <x v="3"/>
    <x v="26"/>
    <n v="190801"/>
    <n v="190801"/>
    <m/>
    <n v="10"/>
    <n v="190801"/>
    <n v="0"/>
  </r>
  <r>
    <x v="338"/>
    <x v="0"/>
    <m/>
    <x v="19"/>
    <x v="3"/>
    <x v="22"/>
    <n v="190801"/>
    <n v="190801"/>
    <m/>
    <n v="1"/>
    <n v="190801"/>
    <n v="0"/>
  </r>
  <r>
    <x v="338"/>
    <x v="0"/>
    <m/>
    <x v="1"/>
    <x v="3"/>
    <x v="18"/>
    <n v="190801"/>
    <n v="190801"/>
    <m/>
    <n v="1"/>
    <n v="190801"/>
    <n v="0"/>
  </r>
  <r>
    <x v="338"/>
    <x v="0"/>
    <m/>
    <x v="6"/>
    <x v="2"/>
    <x v="37"/>
    <n v="190801"/>
    <n v="190801"/>
    <m/>
    <n v="1"/>
    <n v="190801"/>
    <n v="20000"/>
  </r>
  <r>
    <x v="338"/>
    <x v="0"/>
    <m/>
    <x v="29"/>
    <x v="2"/>
    <x v="40"/>
    <n v="190801"/>
    <n v="190801"/>
    <m/>
    <n v="1"/>
    <n v="190801"/>
    <n v="35000"/>
  </r>
  <r>
    <x v="338"/>
    <x v="0"/>
    <m/>
    <x v="29"/>
    <x v="2"/>
    <x v="41"/>
    <n v="190801"/>
    <n v="190801"/>
    <m/>
    <n v="4"/>
    <n v="190801"/>
    <n v="180000"/>
  </r>
  <r>
    <x v="338"/>
    <x v="0"/>
    <m/>
    <x v="25"/>
    <x v="2"/>
    <x v="34"/>
    <n v="190801"/>
    <n v="190801"/>
    <m/>
    <n v="1"/>
    <n v="190801"/>
    <n v="99000"/>
  </r>
  <r>
    <x v="338"/>
    <x v="0"/>
    <m/>
    <x v="1"/>
    <x v="2"/>
    <x v="18"/>
    <n v="190801"/>
    <n v="190801"/>
    <m/>
    <n v="1"/>
    <n v="190801"/>
    <n v="20000"/>
  </r>
  <r>
    <x v="338"/>
    <x v="0"/>
    <m/>
    <x v="4"/>
    <x v="2"/>
    <x v="26"/>
    <n v="190801"/>
    <n v="190801"/>
    <m/>
    <n v="3"/>
    <n v="190801"/>
    <n v="12000"/>
  </r>
  <r>
    <x v="338"/>
    <x v="0"/>
    <m/>
    <x v="0"/>
    <x v="2"/>
    <x v="15"/>
    <n v="190801"/>
    <n v="190801"/>
    <m/>
    <n v="69"/>
    <n v="190801"/>
    <n v="1380000"/>
  </r>
  <r>
    <x v="338"/>
    <x v="0"/>
    <m/>
    <x v="0"/>
    <x v="2"/>
    <x v="16"/>
    <n v="190801"/>
    <n v="190801"/>
    <m/>
    <n v="57"/>
    <n v="190801"/>
    <n v="1995000"/>
  </r>
  <r>
    <x v="338"/>
    <x v="0"/>
    <m/>
    <x v="0"/>
    <x v="2"/>
    <x v="17"/>
    <n v="190801"/>
    <n v="190801"/>
    <m/>
    <n v="66"/>
    <n v="190801"/>
    <n v="2178000"/>
  </r>
  <r>
    <x v="338"/>
    <x v="0"/>
    <m/>
    <x v="0"/>
    <x v="2"/>
    <x v="19"/>
    <n v="190801"/>
    <n v="190801"/>
    <m/>
    <n v="78"/>
    <n v="190801"/>
    <n v="234000"/>
  </r>
  <r>
    <x v="338"/>
    <x v="0"/>
    <m/>
    <x v="5"/>
    <x v="2"/>
    <x v="28"/>
    <n v="190801"/>
    <n v="190801"/>
    <m/>
    <n v="22"/>
    <n v="190801"/>
    <n v="616000"/>
  </r>
  <r>
    <x v="338"/>
    <x v="0"/>
    <m/>
    <x v="5"/>
    <x v="2"/>
    <x v="69"/>
    <n v="190801"/>
    <n v="190801"/>
    <m/>
    <n v="2"/>
    <n v="190801"/>
    <n v="96000"/>
  </r>
  <r>
    <x v="338"/>
    <x v="0"/>
    <m/>
    <x v="22"/>
    <x v="2"/>
    <x v="29"/>
    <n v="190801"/>
    <n v="190801"/>
    <m/>
    <n v="7"/>
    <n v="190801"/>
    <n v="266000"/>
  </r>
  <r>
    <x v="338"/>
    <x v="0"/>
    <m/>
    <x v="19"/>
    <x v="2"/>
    <x v="22"/>
    <n v="190801"/>
    <n v="190801"/>
    <m/>
    <n v="8"/>
    <n v="190801"/>
    <n v="104000"/>
  </r>
  <r>
    <x v="338"/>
    <x v="0"/>
    <m/>
    <x v="19"/>
    <x v="2"/>
    <x v="23"/>
    <n v="190801"/>
    <n v="190801"/>
    <m/>
    <n v="1"/>
    <n v="190801"/>
    <n v="24000"/>
  </r>
  <r>
    <x v="338"/>
    <x v="0"/>
    <m/>
    <x v="0"/>
    <x v="10"/>
    <x v="54"/>
    <n v="190801"/>
    <n v="190801"/>
    <m/>
    <n v="29"/>
    <n v="190801"/>
    <n v="957000"/>
  </r>
  <r>
    <x v="338"/>
    <x v="0"/>
    <m/>
    <x v="22"/>
    <x v="10"/>
    <x v="55"/>
    <n v="190801"/>
    <n v="190801"/>
    <m/>
    <n v="1"/>
    <n v="190801"/>
    <n v="44000"/>
  </r>
  <r>
    <x v="338"/>
    <x v="0"/>
    <m/>
    <x v="5"/>
    <x v="10"/>
    <x v="56"/>
    <n v="190801"/>
    <n v="190801"/>
    <m/>
    <n v="8"/>
    <n v="190801"/>
    <n v="312000"/>
  </r>
  <r>
    <x v="338"/>
    <x v="0"/>
    <m/>
    <x v="0"/>
    <x v="10"/>
    <x v="57"/>
    <n v="190801"/>
    <n v="190801"/>
    <m/>
    <n v="24"/>
    <n v="190801"/>
    <n v="1272000"/>
  </r>
  <r>
    <x v="339"/>
    <x v="2"/>
    <m/>
    <x v="0"/>
    <x v="1"/>
    <x v="15"/>
    <n v="190801"/>
    <n v="190801"/>
    <m/>
    <n v="2"/>
    <n v="190801"/>
    <n v="40000"/>
  </r>
  <r>
    <x v="339"/>
    <x v="2"/>
    <m/>
    <x v="0"/>
    <x v="1"/>
    <x v="16"/>
    <n v="190801"/>
    <n v="190801"/>
    <m/>
    <n v="5"/>
    <n v="190801"/>
    <n v="175000"/>
  </r>
  <r>
    <x v="339"/>
    <x v="2"/>
    <m/>
    <x v="0"/>
    <x v="7"/>
    <x v="15"/>
    <n v="190801"/>
    <n v="190801"/>
    <m/>
    <n v="5"/>
    <n v="190801"/>
    <n v="100000"/>
  </r>
  <r>
    <x v="339"/>
    <x v="2"/>
    <m/>
    <x v="0"/>
    <x v="3"/>
    <x v="15"/>
    <n v="190801"/>
    <n v="190801"/>
    <m/>
    <n v="3"/>
    <n v="190801"/>
    <n v="0"/>
  </r>
  <r>
    <x v="339"/>
    <x v="2"/>
    <m/>
    <x v="0"/>
    <x v="3"/>
    <x v="17"/>
    <n v="190801"/>
    <n v="190801"/>
    <m/>
    <n v="2"/>
    <n v="190801"/>
    <n v="0"/>
  </r>
  <r>
    <x v="339"/>
    <x v="2"/>
    <m/>
    <x v="18"/>
    <x v="3"/>
    <x v="19"/>
    <n v="190801"/>
    <n v="190801"/>
    <m/>
    <n v="3"/>
    <n v="190801"/>
    <n v="0"/>
  </r>
  <r>
    <x v="339"/>
    <x v="2"/>
    <m/>
    <x v="5"/>
    <x v="3"/>
    <x v="28"/>
    <n v="190801"/>
    <n v="190801"/>
    <m/>
    <n v="4"/>
    <n v="190801"/>
    <n v="0"/>
  </r>
  <r>
    <x v="339"/>
    <x v="2"/>
    <m/>
    <x v="4"/>
    <x v="3"/>
    <x v="27"/>
    <n v="190801"/>
    <n v="190801"/>
    <m/>
    <n v="3"/>
    <n v="190801"/>
    <n v="0"/>
  </r>
  <r>
    <x v="339"/>
    <x v="2"/>
    <m/>
    <x v="6"/>
    <x v="3"/>
    <x v="37"/>
    <n v="190801"/>
    <n v="190801"/>
    <m/>
    <n v="3"/>
    <n v="190801"/>
    <n v="0"/>
  </r>
  <r>
    <x v="339"/>
    <x v="2"/>
    <m/>
    <x v="22"/>
    <x v="3"/>
    <x v="29"/>
    <n v="190801"/>
    <n v="190801"/>
    <m/>
    <n v="2"/>
    <n v="190801"/>
    <n v="0"/>
  </r>
  <r>
    <x v="339"/>
    <x v="2"/>
    <m/>
    <x v="19"/>
    <x v="3"/>
    <x v="22"/>
    <n v="190801"/>
    <n v="190801"/>
    <m/>
    <n v="3"/>
    <n v="190801"/>
    <n v="0"/>
  </r>
  <r>
    <x v="339"/>
    <x v="2"/>
    <m/>
    <x v="1"/>
    <x v="3"/>
    <x v="18"/>
    <n v="190801"/>
    <n v="190801"/>
    <m/>
    <n v="3"/>
    <n v="190801"/>
    <n v="0"/>
  </r>
  <r>
    <x v="339"/>
    <x v="2"/>
    <m/>
    <x v="6"/>
    <x v="2"/>
    <x v="37"/>
    <n v="190801"/>
    <n v="190801"/>
    <m/>
    <n v="4"/>
    <n v="190801"/>
    <n v="80000"/>
  </r>
  <r>
    <x v="339"/>
    <x v="2"/>
    <m/>
    <x v="6"/>
    <x v="2"/>
    <x v="42"/>
    <n v="190801"/>
    <n v="190801"/>
    <m/>
    <n v="1"/>
    <n v="190801"/>
    <n v="35000"/>
  </r>
  <r>
    <x v="339"/>
    <x v="2"/>
    <m/>
    <x v="29"/>
    <x v="2"/>
    <x v="40"/>
    <n v="190801"/>
    <n v="190801"/>
    <m/>
    <n v="2"/>
    <n v="190801"/>
    <n v="70000"/>
  </r>
  <r>
    <x v="339"/>
    <x v="2"/>
    <m/>
    <x v="29"/>
    <x v="2"/>
    <x v="41"/>
    <n v="190801"/>
    <n v="190801"/>
    <m/>
    <n v="2"/>
    <n v="190801"/>
    <n v="90000"/>
  </r>
  <r>
    <x v="339"/>
    <x v="2"/>
    <m/>
    <x v="1"/>
    <x v="2"/>
    <x v="18"/>
    <n v="190801"/>
    <n v="190801"/>
    <m/>
    <n v="1"/>
    <n v="190801"/>
    <n v="20000"/>
  </r>
  <r>
    <x v="339"/>
    <x v="2"/>
    <m/>
    <x v="4"/>
    <x v="2"/>
    <x v="26"/>
    <n v="190801"/>
    <n v="190801"/>
    <m/>
    <n v="3"/>
    <n v="190801"/>
    <n v="12000"/>
  </r>
  <r>
    <x v="339"/>
    <x v="2"/>
    <m/>
    <x v="4"/>
    <x v="2"/>
    <x v="27"/>
    <n v="190801"/>
    <n v="190801"/>
    <m/>
    <n v="7"/>
    <n v="190801"/>
    <n v="140000"/>
  </r>
  <r>
    <x v="339"/>
    <x v="2"/>
    <m/>
    <x v="0"/>
    <x v="2"/>
    <x v="15"/>
    <n v="190801"/>
    <n v="190801"/>
    <m/>
    <n v="53"/>
    <n v="190801"/>
    <n v="1060000"/>
  </r>
  <r>
    <x v="339"/>
    <x v="2"/>
    <m/>
    <x v="0"/>
    <x v="2"/>
    <x v="16"/>
    <n v="190801"/>
    <n v="190801"/>
    <m/>
    <n v="51"/>
    <n v="190801"/>
    <n v="1785000"/>
  </r>
  <r>
    <x v="339"/>
    <x v="2"/>
    <m/>
    <x v="0"/>
    <x v="2"/>
    <x v="17"/>
    <n v="190801"/>
    <n v="190801"/>
    <m/>
    <n v="53"/>
    <n v="190801"/>
    <n v="1749000"/>
  </r>
  <r>
    <x v="339"/>
    <x v="2"/>
    <m/>
    <x v="0"/>
    <x v="2"/>
    <x v="19"/>
    <n v="190801"/>
    <n v="190801"/>
    <m/>
    <n v="52"/>
    <n v="190801"/>
    <n v="156000"/>
  </r>
  <r>
    <x v="339"/>
    <x v="2"/>
    <m/>
    <x v="5"/>
    <x v="2"/>
    <x v="28"/>
    <n v="190801"/>
    <n v="190801"/>
    <m/>
    <n v="20"/>
    <n v="190801"/>
    <n v="560000"/>
  </r>
  <r>
    <x v="339"/>
    <x v="2"/>
    <m/>
    <x v="5"/>
    <x v="2"/>
    <x v="69"/>
    <n v="190801"/>
    <n v="190801"/>
    <m/>
    <n v="7"/>
    <n v="190801"/>
    <n v="336000"/>
  </r>
  <r>
    <x v="339"/>
    <x v="2"/>
    <m/>
    <x v="22"/>
    <x v="2"/>
    <x v="29"/>
    <n v="190801"/>
    <n v="190801"/>
    <m/>
    <n v="6"/>
    <n v="190801"/>
    <n v="228000"/>
  </r>
  <r>
    <x v="339"/>
    <x v="2"/>
    <m/>
    <x v="19"/>
    <x v="2"/>
    <x v="22"/>
    <n v="190801"/>
    <n v="190801"/>
    <m/>
    <n v="8"/>
    <n v="190801"/>
    <n v="104000"/>
  </r>
  <r>
    <x v="339"/>
    <x v="2"/>
    <m/>
    <x v="19"/>
    <x v="2"/>
    <x v="23"/>
    <n v="190801"/>
    <n v="190801"/>
    <m/>
    <n v="1"/>
    <n v="190801"/>
    <n v="24000"/>
  </r>
  <r>
    <x v="339"/>
    <x v="2"/>
    <m/>
    <x v="19"/>
    <x v="2"/>
    <x v="24"/>
    <n v="190801"/>
    <n v="190801"/>
    <m/>
    <n v="7"/>
    <n v="190801"/>
    <n v="231000"/>
  </r>
  <r>
    <x v="339"/>
    <x v="2"/>
    <m/>
    <x v="0"/>
    <x v="10"/>
    <x v="54"/>
    <n v="190801"/>
    <n v="190801"/>
    <m/>
    <n v="26"/>
    <n v="190801"/>
    <n v="858000"/>
  </r>
  <r>
    <x v="339"/>
    <x v="2"/>
    <m/>
    <x v="22"/>
    <x v="10"/>
    <x v="55"/>
    <n v="190801"/>
    <n v="190801"/>
    <m/>
    <n v="3"/>
    <n v="190801"/>
    <n v="132000"/>
  </r>
  <r>
    <x v="339"/>
    <x v="2"/>
    <m/>
    <x v="5"/>
    <x v="10"/>
    <x v="56"/>
    <n v="190801"/>
    <n v="190801"/>
    <m/>
    <n v="2"/>
    <n v="190801"/>
    <n v="78000"/>
  </r>
  <r>
    <x v="339"/>
    <x v="2"/>
    <m/>
    <x v="0"/>
    <x v="10"/>
    <x v="57"/>
    <n v="190801"/>
    <n v="190801"/>
    <m/>
    <n v="38"/>
    <n v="190801"/>
    <n v="2014000"/>
  </r>
  <r>
    <x v="340"/>
    <x v="5"/>
    <m/>
    <x v="0"/>
    <x v="7"/>
    <x v="15"/>
    <n v="190801"/>
    <n v="190801"/>
    <m/>
    <n v="9"/>
    <n v="190801"/>
    <n v="180000"/>
  </r>
  <r>
    <x v="340"/>
    <x v="5"/>
    <m/>
    <x v="6"/>
    <x v="2"/>
    <x v="37"/>
    <n v="190801"/>
    <n v="190801"/>
    <m/>
    <n v="2"/>
    <n v="190801"/>
    <n v="40000"/>
  </r>
  <r>
    <x v="340"/>
    <x v="5"/>
    <m/>
    <x v="6"/>
    <x v="2"/>
    <x v="42"/>
    <n v="190801"/>
    <n v="190801"/>
    <m/>
    <n v="1"/>
    <n v="190801"/>
    <n v="35000"/>
  </r>
  <r>
    <x v="340"/>
    <x v="5"/>
    <m/>
    <x v="29"/>
    <x v="2"/>
    <x v="40"/>
    <n v="190801"/>
    <n v="190801"/>
    <m/>
    <n v="1"/>
    <n v="190801"/>
    <n v="35000"/>
  </r>
  <r>
    <x v="340"/>
    <x v="5"/>
    <m/>
    <x v="29"/>
    <x v="2"/>
    <x v="41"/>
    <n v="190801"/>
    <n v="190801"/>
    <m/>
    <n v="2"/>
    <n v="190801"/>
    <n v="90000"/>
  </r>
  <r>
    <x v="340"/>
    <x v="5"/>
    <m/>
    <x v="25"/>
    <x v="2"/>
    <x v="34"/>
    <n v="190801"/>
    <n v="190801"/>
    <m/>
    <n v="1"/>
    <n v="190801"/>
    <n v="99000"/>
  </r>
  <r>
    <x v="340"/>
    <x v="5"/>
    <m/>
    <x v="1"/>
    <x v="2"/>
    <x v="21"/>
    <n v="190801"/>
    <n v="190801"/>
    <m/>
    <n v="1"/>
    <n v="190801"/>
    <n v="35000"/>
  </r>
  <r>
    <x v="340"/>
    <x v="5"/>
    <m/>
    <x v="4"/>
    <x v="2"/>
    <x v="26"/>
    <n v="190801"/>
    <n v="190801"/>
    <m/>
    <n v="2"/>
    <n v="190801"/>
    <n v="8000"/>
  </r>
  <r>
    <x v="340"/>
    <x v="5"/>
    <m/>
    <x v="4"/>
    <x v="2"/>
    <x v="27"/>
    <n v="190801"/>
    <n v="190801"/>
    <m/>
    <n v="1"/>
    <n v="190801"/>
    <n v="20000"/>
  </r>
  <r>
    <x v="340"/>
    <x v="5"/>
    <m/>
    <x v="0"/>
    <x v="2"/>
    <x v="15"/>
    <n v="190801"/>
    <n v="190801"/>
    <m/>
    <n v="57"/>
    <n v="190801"/>
    <n v="1140000"/>
  </r>
  <r>
    <x v="340"/>
    <x v="5"/>
    <m/>
    <x v="0"/>
    <x v="2"/>
    <x v="16"/>
    <n v="190801"/>
    <n v="190801"/>
    <m/>
    <n v="36"/>
    <n v="190801"/>
    <n v="1260000"/>
  </r>
  <r>
    <x v="340"/>
    <x v="5"/>
    <m/>
    <x v="0"/>
    <x v="2"/>
    <x v="17"/>
    <n v="190801"/>
    <n v="190801"/>
    <m/>
    <n v="58"/>
    <n v="190801"/>
    <n v="1914000"/>
  </r>
  <r>
    <x v="340"/>
    <x v="5"/>
    <m/>
    <x v="0"/>
    <x v="2"/>
    <x v="19"/>
    <n v="190801"/>
    <n v="190801"/>
    <m/>
    <n v="51"/>
    <n v="190801"/>
    <n v="153000"/>
  </r>
  <r>
    <x v="340"/>
    <x v="5"/>
    <m/>
    <x v="5"/>
    <x v="2"/>
    <x v="28"/>
    <n v="190801"/>
    <n v="190801"/>
    <m/>
    <n v="14"/>
    <n v="190801"/>
    <n v="392000"/>
  </r>
  <r>
    <x v="340"/>
    <x v="5"/>
    <m/>
    <x v="5"/>
    <x v="2"/>
    <x v="69"/>
    <n v="190801"/>
    <n v="190801"/>
    <m/>
    <n v="3"/>
    <n v="190801"/>
    <n v="144000"/>
  </r>
  <r>
    <x v="340"/>
    <x v="5"/>
    <m/>
    <x v="22"/>
    <x v="2"/>
    <x v="29"/>
    <n v="190801"/>
    <n v="190801"/>
    <m/>
    <n v="8"/>
    <n v="190801"/>
    <n v="304000"/>
  </r>
  <r>
    <x v="340"/>
    <x v="5"/>
    <m/>
    <x v="19"/>
    <x v="2"/>
    <x v="22"/>
    <n v="190801"/>
    <n v="190801"/>
    <m/>
    <n v="3"/>
    <n v="190801"/>
    <n v="39000"/>
  </r>
  <r>
    <x v="341"/>
    <x v="6"/>
    <m/>
    <x v="0"/>
    <x v="7"/>
    <x v="15"/>
    <n v="190801"/>
    <n v="190801"/>
    <m/>
    <n v="4"/>
    <n v="190801"/>
    <n v="80000"/>
  </r>
  <r>
    <x v="341"/>
    <x v="6"/>
    <m/>
    <x v="6"/>
    <x v="2"/>
    <x v="37"/>
    <n v="190801"/>
    <n v="190801"/>
    <m/>
    <n v="4"/>
    <n v="190801"/>
    <n v="80000"/>
  </r>
  <r>
    <x v="341"/>
    <x v="6"/>
    <m/>
    <x v="6"/>
    <x v="2"/>
    <x v="42"/>
    <n v="190801"/>
    <n v="190801"/>
    <m/>
    <n v="2"/>
    <n v="190801"/>
    <n v="70000"/>
  </r>
  <r>
    <x v="341"/>
    <x v="6"/>
    <m/>
    <x v="29"/>
    <x v="2"/>
    <x v="40"/>
    <n v="190801"/>
    <n v="190801"/>
    <m/>
    <n v="3"/>
    <n v="190801"/>
    <n v="105000"/>
  </r>
  <r>
    <x v="341"/>
    <x v="6"/>
    <m/>
    <x v="29"/>
    <x v="2"/>
    <x v="41"/>
    <n v="190801"/>
    <n v="190801"/>
    <m/>
    <n v="2"/>
    <n v="190801"/>
    <n v="90000"/>
  </r>
  <r>
    <x v="341"/>
    <x v="6"/>
    <m/>
    <x v="25"/>
    <x v="2"/>
    <x v="34"/>
    <n v="190801"/>
    <n v="190801"/>
    <m/>
    <n v="4"/>
    <n v="190801"/>
    <n v="396000"/>
  </r>
  <r>
    <x v="341"/>
    <x v="6"/>
    <m/>
    <x v="1"/>
    <x v="2"/>
    <x v="18"/>
    <n v="190801"/>
    <n v="190801"/>
    <m/>
    <n v="5"/>
    <n v="190801"/>
    <n v="100000"/>
  </r>
  <r>
    <x v="341"/>
    <x v="6"/>
    <m/>
    <x v="4"/>
    <x v="2"/>
    <x v="26"/>
    <n v="190801"/>
    <n v="190801"/>
    <m/>
    <n v="3"/>
    <n v="190801"/>
    <n v="12000"/>
  </r>
  <r>
    <x v="341"/>
    <x v="6"/>
    <m/>
    <x v="4"/>
    <x v="2"/>
    <x v="27"/>
    <n v="190801"/>
    <n v="190801"/>
    <m/>
    <n v="4"/>
    <n v="190801"/>
    <n v="80000"/>
  </r>
  <r>
    <x v="341"/>
    <x v="6"/>
    <m/>
    <x v="0"/>
    <x v="2"/>
    <x v="15"/>
    <n v="190801"/>
    <n v="190801"/>
    <m/>
    <n v="61"/>
    <n v="190801"/>
    <n v="1220000"/>
  </r>
  <r>
    <x v="341"/>
    <x v="6"/>
    <m/>
    <x v="0"/>
    <x v="2"/>
    <x v="16"/>
    <n v="190801"/>
    <n v="190801"/>
    <m/>
    <n v="48"/>
    <n v="190801"/>
    <n v="1680000"/>
  </r>
  <r>
    <x v="341"/>
    <x v="6"/>
    <m/>
    <x v="0"/>
    <x v="2"/>
    <x v="17"/>
    <n v="190801"/>
    <n v="190801"/>
    <m/>
    <n v="70"/>
    <n v="190801"/>
    <n v="2310000"/>
  </r>
  <r>
    <x v="341"/>
    <x v="6"/>
    <m/>
    <x v="0"/>
    <x v="2"/>
    <x v="19"/>
    <n v="190801"/>
    <n v="190801"/>
    <m/>
    <n v="64"/>
    <n v="190801"/>
    <n v="192000"/>
  </r>
  <r>
    <x v="341"/>
    <x v="6"/>
    <m/>
    <x v="5"/>
    <x v="2"/>
    <x v="28"/>
    <n v="190801"/>
    <n v="190801"/>
    <m/>
    <n v="21"/>
    <n v="190801"/>
    <n v="588000"/>
  </r>
  <r>
    <x v="341"/>
    <x v="6"/>
    <m/>
    <x v="5"/>
    <x v="2"/>
    <x v="69"/>
    <n v="190801"/>
    <n v="190801"/>
    <m/>
    <n v="6"/>
    <n v="190801"/>
    <n v="288000"/>
  </r>
  <r>
    <x v="341"/>
    <x v="6"/>
    <m/>
    <x v="22"/>
    <x v="2"/>
    <x v="29"/>
    <n v="190801"/>
    <n v="190801"/>
    <m/>
    <n v="7"/>
    <n v="190801"/>
    <n v="266000"/>
  </r>
  <r>
    <x v="341"/>
    <x v="6"/>
    <m/>
    <x v="19"/>
    <x v="2"/>
    <x v="22"/>
    <n v="190801"/>
    <n v="190801"/>
    <m/>
    <n v="14"/>
    <n v="190801"/>
    <n v="182000"/>
  </r>
  <r>
    <x v="341"/>
    <x v="6"/>
    <m/>
    <x v="19"/>
    <x v="2"/>
    <x v="23"/>
    <n v="190801"/>
    <n v="190801"/>
    <m/>
    <n v="1"/>
    <n v="190801"/>
    <n v="24000"/>
  </r>
  <r>
    <x v="341"/>
    <x v="6"/>
    <m/>
    <x v="0"/>
    <x v="6"/>
    <x v="15"/>
    <n v="190801"/>
    <n v="190801"/>
    <m/>
    <n v="903"/>
    <n v="190801"/>
    <n v="8188404"/>
  </r>
  <r>
    <x v="341"/>
    <x v="6"/>
    <m/>
    <x v="4"/>
    <x v="6"/>
    <x v="26"/>
    <n v="190801"/>
    <n v="190801"/>
    <m/>
    <n v="368"/>
    <n v="190801"/>
    <n v="394864"/>
  </r>
  <r>
    <x v="341"/>
    <x v="6"/>
    <m/>
    <x v="26"/>
    <x v="6"/>
    <x v="35"/>
    <n v="190801"/>
    <n v="190801"/>
    <m/>
    <n v="53"/>
    <n v="190801"/>
    <n v="907943"/>
  </r>
  <r>
    <x v="341"/>
    <x v="6"/>
    <m/>
    <x v="22"/>
    <x v="6"/>
    <x v="29"/>
    <n v="190801"/>
    <n v="190801"/>
    <m/>
    <n v="28"/>
    <n v="190801"/>
    <n v="551348"/>
  </r>
  <r>
    <x v="341"/>
    <x v="6"/>
    <m/>
    <x v="24"/>
    <x v="6"/>
    <x v="31"/>
    <n v="190801"/>
    <n v="190801"/>
    <m/>
    <n v="130"/>
    <n v="190801"/>
    <n v="1934010"/>
  </r>
  <r>
    <x v="341"/>
    <x v="6"/>
    <m/>
    <x v="23"/>
    <x v="6"/>
    <x v="30"/>
    <n v="190801"/>
    <n v="190801"/>
    <m/>
    <n v="12"/>
    <n v="190801"/>
    <n v="83568"/>
  </r>
  <r>
    <x v="341"/>
    <x v="6"/>
    <m/>
    <x v="19"/>
    <x v="6"/>
    <x v="22"/>
    <n v="190801"/>
    <n v="190801"/>
    <m/>
    <n v="50"/>
    <n v="190801"/>
    <n v="339550"/>
  </r>
  <r>
    <x v="341"/>
    <x v="6"/>
    <m/>
    <x v="27"/>
    <x v="6"/>
    <x v="36"/>
    <n v="190801"/>
    <n v="190801"/>
    <m/>
    <n v="3"/>
    <n v="190801"/>
    <n v="28371"/>
  </r>
  <r>
    <x v="341"/>
    <x v="6"/>
    <m/>
    <x v="6"/>
    <x v="6"/>
    <x v="37"/>
    <n v="190801"/>
    <n v="190801"/>
    <m/>
    <n v="24"/>
    <n v="190801"/>
    <n v="240000"/>
  </r>
  <r>
    <x v="341"/>
    <x v="6"/>
    <m/>
    <x v="28"/>
    <x v="6"/>
    <x v="39"/>
    <n v="190801"/>
    <n v="190801"/>
    <m/>
    <n v="8"/>
    <n v="190801"/>
    <n v="126544"/>
  </r>
  <r>
    <x v="341"/>
    <x v="6"/>
    <m/>
    <x v="4"/>
    <x v="6"/>
    <x v="66"/>
    <n v="190801"/>
    <n v="190801"/>
    <m/>
    <n v="237"/>
    <n v="190801"/>
    <n v="1326489"/>
  </r>
  <r>
    <x v="341"/>
    <x v="6"/>
    <m/>
    <x v="1"/>
    <x v="6"/>
    <x v="18"/>
    <n v="190801"/>
    <n v="190801"/>
    <m/>
    <n v="1"/>
    <n v="190801"/>
    <n v="9205"/>
  </r>
  <r>
    <x v="342"/>
    <x v="3"/>
    <m/>
    <x v="0"/>
    <x v="7"/>
    <x v="15"/>
    <n v="190801"/>
    <n v="190801"/>
    <m/>
    <n v="16"/>
    <n v="190801"/>
    <n v="320000"/>
  </r>
  <r>
    <x v="342"/>
    <x v="3"/>
    <m/>
    <x v="5"/>
    <x v="3"/>
    <x v="28"/>
    <n v="190801"/>
    <n v="190801"/>
    <m/>
    <n v="8"/>
    <n v="190801"/>
    <n v="0"/>
  </r>
  <r>
    <x v="342"/>
    <x v="3"/>
    <m/>
    <x v="6"/>
    <x v="2"/>
    <x v="37"/>
    <n v="190801"/>
    <n v="190801"/>
    <m/>
    <n v="1"/>
    <n v="190801"/>
    <n v="20000"/>
  </r>
  <r>
    <x v="342"/>
    <x v="3"/>
    <m/>
    <x v="6"/>
    <x v="2"/>
    <x v="42"/>
    <n v="190801"/>
    <n v="190801"/>
    <m/>
    <n v="1"/>
    <n v="190801"/>
    <n v="35000"/>
  </r>
  <r>
    <x v="342"/>
    <x v="3"/>
    <m/>
    <x v="29"/>
    <x v="2"/>
    <x v="40"/>
    <n v="190801"/>
    <n v="190801"/>
    <m/>
    <n v="2"/>
    <n v="190801"/>
    <n v="70000"/>
  </r>
  <r>
    <x v="342"/>
    <x v="3"/>
    <m/>
    <x v="29"/>
    <x v="2"/>
    <x v="41"/>
    <n v="190801"/>
    <n v="190801"/>
    <m/>
    <n v="1"/>
    <n v="190801"/>
    <n v="45000"/>
  </r>
  <r>
    <x v="342"/>
    <x v="3"/>
    <m/>
    <x v="25"/>
    <x v="2"/>
    <x v="34"/>
    <n v="190801"/>
    <n v="190801"/>
    <m/>
    <n v="7"/>
    <n v="190801"/>
    <n v="693000"/>
  </r>
  <r>
    <x v="342"/>
    <x v="3"/>
    <m/>
    <x v="1"/>
    <x v="2"/>
    <x v="18"/>
    <n v="190801"/>
    <n v="190801"/>
    <m/>
    <n v="4"/>
    <n v="190801"/>
    <n v="80000"/>
  </r>
  <r>
    <x v="342"/>
    <x v="3"/>
    <m/>
    <x v="1"/>
    <x v="2"/>
    <x v="21"/>
    <n v="190801"/>
    <n v="190801"/>
    <m/>
    <n v="1"/>
    <n v="190801"/>
    <n v="35000"/>
  </r>
  <r>
    <x v="342"/>
    <x v="3"/>
    <m/>
    <x v="4"/>
    <x v="2"/>
    <x v="26"/>
    <n v="190801"/>
    <n v="190801"/>
    <m/>
    <n v="3"/>
    <n v="190801"/>
    <n v="12000"/>
  </r>
  <r>
    <x v="342"/>
    <x v="3"/>
    <m/>
    <x v="4"/>
    <x v="2"/>
    <x v="27"/>
    <n v="190801"/>
    <n v="190801"/>
    <m/>
    <n v="7"/>
    <n v="190801"/>
    <n v="140000"/>
  </r>
  <r>
    <x v="342"/>
    <x v="3"/>
    <m/>
    <x v="0"/>
    <x v="2"/>
    <x v="15"/>
    <n v="190801"/>
    <n v="190801"/>
    <m/>
    <n v="79"/>
    <n v="190801"/>
    <n v="1580000"/>
  </r>
  <r>
    <x v="342"/>
    <x v="3"/>
    <m/>
    <x v="0"/>
    <x v="2"/>
    <x v="16"/>
    <n v="190801"/>
    <n v="190801"/>
    <m/>
    <n v="64"/>
    <n v="190801"/>
    <n v="2240000"/>
  </r>
  <r>
    <x v="342"/>
    <x v="3"/>
    <m/>
    <x v="0"/>
    <x v="2"/>
    <x v="17"/>
    <n v="190801"/>
    <n v="190801"/>
    <m/>
    <n v="77"/>
    <n v="190801"/>
    <n v="2541000"/>
  </r>
  <r>
    <x v="342"/>
    <x v="3"/>
    <m/>
    <x v="0"/>
    <x v="2"/>
    <x v="19"/>
    <n v="190801"/>
    <n v="190801"/>
    <m/>
    <n v="51"/>
    <n v="190801"/>
    <n v="153000"/>
  </r>
  <r>
    <x v="342"/>
    <x v="3"/>
    <m/>
    <x v="5"/>
    <x v="2"/>
    <x v="28"/>
    <n v="190801"/>
    <n v="190801"/>
    <m/>
    <n v="26"/>
    <n v="190801"/>
    <n v="728000"/>
  </r>
  <r>
    <x v="342"/>
    <x v="3"/>
    <m/>
    <x v="5"/>
    <x v="2"/>
    <x v="69"/>
    <n v="190801"/>
    <n v="190801"/>
    <m/>
    <n v="4"/>
    <n v="190801"/>
    <n v="192000"/>
  </r>
  <r>
    <x v="342"/>
    <x v="3"/>
    <m/>
    <x v="22"/>
    <x v="2"/>
    <x v="29"/>
    <n v="190801"/>
    <n v="190801"/>
    <m/>
    <n v="9"/>
    <n v="190801"/>
    <n v="342000"/>
  </r>
  <r>
    <x v="342"/>
    <x v="3"/>
    <m/>
    <x v="19"/>
    <x v="2"/>
    <x v="22"/>
    <n v="190801"/>
    <n v="190801"/>
    <m/>
    <n v="6"/>
    <n v="190801"/>
    <n v="78000"/>
  </r>
  <r>
    <x v="342"/>
    <x v="3"/>
    <m/>
    <x v="19"/>
    <x v="2"/>
    <x v="23"/>
    <n v="190801"/>
    <n v="190801"/>
    <m/>
    <n v="1"/>
    <n v="190801"/>
    <n v="24000"/>
  </r>
  <r>
    <x v="342"/>
    <x v="3"/>
    <m/>
    <x v="19"/>
    <x v="2"/>
    <x v="24"/>
    <n v="190801"/>
    <n v="190801"/>
    <m/>
    <n v="1"/>
    <n v="190801"/>
    <n v="33000"/>
  </r>
  <r>
    <x v="341"/>
    <x v="6"/>
    <m/>
    <x v="0"/>
    <x v="19"/>
    <x v="15"/>
    <n v="190801"/>
    <n v="190801"/>
    <m/>
    <n v="1"/>
    <n v="190801"/>
    <n v="25000"/>
  </r>
  <r>
    <x v="334"/>
    <x v="4"/>
    <m/>
    <x v="0"/>
    <x v="19"/>
    <x v="15"/>
    <n v="190801"/>
    <n v="190801"/>
    <m/>
    <n v="1"/>
    <n v="190801"/>
    <n v="25000"/>
  </r>
  <r>
    <x v="330"/>
    <x v="0"/>
    <m/>
    <x v="6"/>
    <x v="19"/>
    <x v="37"/>
    <n v="190801"/>
    <n v="190801"/>
    <m/>
    <n v="1"/>
    <n v="190801"/>
    <n v="25000"/>
  </r>
  <r>
    <x v="331"/>
    <x v="2"/>
    <m/>
    <x v="0"/>
    <x v="19"/>
    <x v="15"/>
    <n v="190801"/>
    <n v="190801"/>
    <m/>
    <n v="1"/>
    <n v="190801"/>
    <n v="25000"/>
  </r>
  <r>
    <x v="343"/>
    <x v="4"/>
    <m/>
    <x v="0"/>
    <x v="1"/>
    <x v="15"/>
    <n v="200801"/>
    <n v="200801"/>
    <m/>
    <n v="5"/>
    <n v="200801"/>
    <n v="100000"/>
  </r>
  <r>
    <x v="343"/>
    <x v="4"/>
    <m/>
    <x v="0"/>
    <x v="1"/>
    <x v="16"/>
    <n v="200801"/>
    <n v="200801"/>
    <m/>
    <n v="18"/>
    <n v="200801"/>
    <n v="630000"/>
  </r>
  <r>
    <x v="343"/>
    <x v="4"/>
    <m/>
    <x v="0"/>
    <x v="7"/>
    <x v="15"/>
    <n v="200801"/>
    <n v="200801"/>
    <m/>
    <n v="4"/>
    <n v="200801"/>
    <n v="80000"/>
  </r>
  <r>
    <x v="343"/>
    <x v="4"/>
    <m/>
    <x v="0"/>
    <x v="3"/>
    <x v="15"/>
    <n v="200801"/>
    <n v="200801"/>
    <m/>
    <n v="1"/>
    <n v="200801"/>
    <n v="0"/>
  </r>
  <r>
    <x v="343"/>
    <x v="4"/>
    <m/>
    <x v="6"/>
    <x v="2"/>
    <x v="37"/>
    <n v="200801"/>
    <n v="200801"/>
    <m/>
    <n v="3"/>
    <n v="200801"/>
    <n v="60000"/>
  </r>
  <r>
    <x v="343"/>
    <x v="4"/>
    <m/>
    <x v="6"/>
    <x v="2"/>
    <x v="42"/>
    <n v="200801"/>
    <n v="200801"/>
    <m/>
    <n v="2"/>
    <n v="200801"/>
    <n v="70000"/>
  </r>
  <r>
    <x v="343"/>
    <x v="4"/>
    <m/>
    <x v="29"/>
    <x v="2"/>
    <x v="40"/>
    <n v="200801"/>
    <n v="200801"/>
    <m/>
    <n v="2"/>
    <n v="200801"/>
    <n v="70000"/>
  </r>
  <r>
    <x v="343"/>
    <x v="4"/>
    <m/>
    <x v="25"/>
    <x v="2"/>
    <x v="34"/>
    <n v="200801"/>
    <n v="200801"/>
    <m/>
    <n v="3"/>
    <n v="200801"/>
    <n v="297000"/>
  </r>
  <r>
    <x v="343"/>
    <x v="4"/>
    <m/>
    <x v="1"/>
    <x v="2"/>
    <x v="18"/>
    <n v="200801"/>
    <n v="200801"/>
    <m/>
    <n v="3"/>
    <n v="200801"/>
    <n v="60000"/>
  </r>
  <r>
    <x v="343"/>
    <x v="4"/>
    <m/>
    <x v="1"/>
    <x v="2"/>
    <x v="21"/>
    <n v="200801"/>
    <n v="200801"/>
    <m/>
    <n v="1"/>
    <n v="200801"/>
    <n v="35000"/>
  </r>
  <r>
    <x v="343"/>
    <x v="4"/>
    <m/>
    <x v="4"/>
    <x v="2"/>
    <x v="26"/>
    <n v="200801"/>
    <n v="200801"/>
    <m/>
    <n v="4"/>
    <n v="200801"/>
    <n v="16000"/>
  </r>
  <r>
    <x v="343"/>
    <x v="4"/>
    <m/>
    <x v="4"/>
    <x v="2"/>
    <x v="27"/>
    <n v="200801"/>
    <n v="200801"/>
    <m/>
    <n v="4"/>
    <n v="200801"/>
    <n v="80000"/>
  </r>
  <r>
    <x v="343"/>
    <x v="4"/>
    <m/>
    <x v="0"/>
    <x v="2"/>
    <x v="15"/>
    <n v="200801"/>
    <n v="200801"/>
    <m/>
    <n v="73"/>
    <n v="200801"/>
    <n v="1460000"/>
  </r>
  <r>
    <x v="343"/>
    <x v="4"/>
    <m/>
    <x v="0"/>
    <x v="2"/>
    <x v="16"/>
    <n v="200801"/>
    <n v="200801"/>
    <m/>
    <n v="57"/>
    <n v="200801"/>
    <n v="1995000"/>
  </r>
  <r>
    <x v="343"/>
    <x v="4"/>
    <m/>
    <x v="0"/>
    <x v="2"/>
    <x v="17"/>
    <n v="200801"/>
    <n v="200801"/>
    <m/>
    <n v="63"/>
    <n v="200801"/>
    <n v="2079000"/>
  </r>
  <r>
    <x v="343"/>
    <x v="4"/>
    <m/>
    <x v="0"/>
    <x v="2"/>
    <x v="19"/>
    <n v="200801"/>
    <n v="200801"/>
    <m/>
    <n v="79"/>
    <n v="200801"/>
    <n v="237000"/>
  </r>
  <r>
    <x v="343"/>
    <x v="4"/>
    <m/>
    <x v="5"/>
    <x v="2"/>
    <x v="28"/>
    <n v="200801"/>
    <n v="200801"/>
    <m/>
    <n v="26"/>
    <n v="200801"/>
    <n v="728000"/>
  </r>
  <r>
    <x v="343"/>
    <x v="4"/>
    <m/>
    <x v="5"/>
    <x v="2"/>
    <x v="69"/>
    <n v="200801"/>
    <n v="200801"/>
    <m/>
    <n v="10"/>
    <n v="200801"/>
    <n v="480000"/>
  </r>
  <r>
    <x v="343"/>
    <x v="4"/>
    <m/>
    <x v="22"/>
    <x v="2"/>
    <x v="29"/>
    <n v="200801"/>
    <n v="200801"/>
    <m/>
    <n v="7"/>
    <n v="200801"/>
    <n v="266000"/>
  </r>
  <r>
    <x v="343"/>
    <x v="4"/>
    <m/>
    <x v="19"/>
    <x v="2"/>
    <x v="22"/>
    <n v="200801"/>
    <n v="200801"/>
    <m/>
    <n v="5"/>
    <n v="200801"/>
    <n v="65000"/>
  </r>
  <r>
    <x v="343"/>
    <x v="4"/>
    <m/>
    <x v="19"/>
    <x v="2"/>
    <x v="23"/>
    <n v="200801"/>
    <n v="200801"/>
    <m/>
    <n v="1"/>
    <n v="200801"/>
    <n v="24000"/>
  </r>
  <r>
    <x v="343"/>
    <x v="4"/>
    <m/>
    <x v="19"/>
    <x v="2"/>
    <x v="24"/>
    <n v="200801"/>
    <n v="200801"/>
    <m/>
    <n v="1"/>
    <n v="200801"/>
    <n v="33000"/>
  </r>
  <r>
    <x v="343"/>
    <x v="4"/>
    <m/>
    <x v="0"/>
    <x v="10"/>
    <x v="54"/>
    <n v="200801"/>
    <n v="200801"/>
    <m/>
    <n v="61"/>
    <n v="200801"/>
    <n v="2013000"/>
  </r>
  <r>
    <x v="343"/>
    <x v="4"/>
    <m/>
    <x v="22"/>
    <x v="10"/>
    <x v="55"/>
    <n v="200801"/>
    <n v="200801"/>
    <m/>
    <n v="4"/>
    <n v="200801"/>
    <n v="176000"/>
  </r>
  <r>
    <x v="343"/>
    <x v="4"/>
    <m/>
    <x v="1"/>
    <x v="10"/>
    <x v="58"/>
    <n v="200801"/>
    <n v="200801"/>
    <m/>
    <n v="2"/>
    <n v="200801"/>
    <n v="72000"/>
  </r>
  <r>
    <x v="343"/>
    <x v="4"/>
    <m/>
    <x v="0"/>
    <x v="10"/>
    <x v="57"/>
    <n v="200801"/>
    <n v="200801"/>
    <m/>
    <n v="48"/>
    <n v="200801"/>
    <n v="2544000"/>
  </r>
  <r>
    <x v="344"/>
    <x v="1"/>
    <m/>
    <x v="0"/>
    <x v="1"/>
    <x v="15"/>
    <n v="200801"/>
    <n v="200801"/>
    <m/>
    <n v="1"/>
    <n v="200801"/>
    <n v="20000"/>
  </r>
  <r>
    <x v="344"/>
    <x v="1"/>
    <m/>
    <x v="0"/>
    <x v="1"/>
    <x v="16"/>
    <n v="200801"/>
    <n v="200801"/>
    <m/>
    <n v="5"/>
    <n v="200801"/>
    <n v="175000"/>
  </r>
  <r>
    <x v="344"/>
    <x v="1"/>
    <m/>
    <x v="0"/>
    <x v="14"/>
    <x v="75"/>
    <n v="200801"/>
    <n v="200801"/>
    <m/>
    <n v="1"/>
    <n v="200801"/>
    <n v="19914"/>
  </r>
  <r>
    <x v="344"/>
    <x v="1"/>
    <m/>
    <x v="0"/>
    <x v="16"/>
    <x v="81"/>
    <n v="200801"/>
    <n v="200801"/>
    <m/>
    <n v="1"/>
    <n v="200801"/>
    <n v="23073"/>
  </r>
  <r>
    <x v="344"/>
    <x v="1"/>
    <m/>
    <x v="5"/>
    <x v="16"/>
    <x v="82"/>
    <n v="200801"/>
    <n v="200801"/>
    <m/>
    <n v="1"/>
    <n v="200801"/>
    <n v="33086"/>
  </r>
  <r>
    <x v="344"/>
    <x v="1"/>
    <m/>
    <x v="0"/>
    <x v="7"/>
    <x v="15"/>
    <n v="200801"/>
    <n v="200801"/>
    <m/>
    <n v="10"/>
    <n v="200801"/>
    <n v="200000"/>
  </r>
  <r>
    <x v="344"/>
    <x v="1"/>
    <m/>
    <x v="0"/>
    <x v="3"/>
    <x v="15"/>
    <n v="200801"/>
    <n v="200801"/>
    <m/>
    <n v="2"/>
    <n v="200801"/>
    <n v="0"/>
  </r>
  <r>
    <x v="344"/>
    <x v="1"/>
    <m/>
    <x v="5"/>
    <x v="3"/>
    <x v="28"/>
    <n v="200801"/>
    <n v="200801"/>
    <m/>
    <n v="2"/>
    <n v="200801"/>
    <n v="0"/>
  </r>
  <r>
    <x v="344"/>
    <x v="1"/>
    <m/>
    <x v="6"/>
    <x v="2"/>
    <x v="37"/>
    <n v="200801"/>
    <n v="200801"/>
    <m/>
    <n v="3"/>
    <n v="200801"/>
    <n v="60000"/>
  </r>
  <r>
    <x v="344"/>
    <x v="1"/>
    <m/>
    <x v="6"/>
    <x v="2"/>
    <x v="42"/>
    <n v="200801"/>
    <n v="200801"/>
    <m/>
    <n v="3"/>
    <n v="200801"/>
    <n v="105000"/>
  </r>
  <r>
    <x v="344"/>
    <x v="1"/>
    <m/>
    <x v="29"/>
    <x v="2"/>
    <x v="40"/>
    <n v="200801"/>
    <n v="200801"/>
    <m/>
    <n v="1"/>
    <n v="200801"/>
    <n v="35000"/>
  </r>
  <r>
    <x v="344"/>
    <x v="1"/>
    <m/>
    <x v="29"/>
    <x v="2"/>
    <x v="41"/>
    <n v="200801"/>
    <n v="200801"/>
    <m/>
    <n v="2"/>
    <n v="200801"/>
    <n v="90000"/>
  </r>
  <r>
    <x v="344"/>
    <x v="1"/>
    <m/>
    <x v="25"/>
    <x v="2"/>
    <x v="34"/>
    <n v="200801"/>
    <n v="200801"/>
    <m/>
    <n v="5"/>
    <n v="200801"/>
    <n v="495000"/>
  </r>
  <r>
    <x v="344"/>
    <x v="1"/>
    <m/>
    <x v="1"/>
    <x v="2"/>
    <x v="18"/>
    <n v="200801"/>
    <n v="200801"/>
    <m/>
    <n v="6"/>
    <n v="200801"/>
    <n v="120000"/>
  </r>
  <r>
    <x v="344"/>
    <x v="1"/>
    <m/>
    <x v="4"/>
    <x v="2"/>
    <x v="26"/>
    <n v="200801"/>
    <n v="200801"/>
    <m/>
    <n v="4"/>
    <n v="200801"/>
    <n v="16000"/>
  </r>
  <r>
    <x v="344"/>
    <x v="1"/>
    <m/>
    <x v="4"/>
    <x v="2"/>
    <x v="27"/>
    <n v="200801"/>
    <n v="200801"/>
    <m/>
    <n v="2"/>
    <n v="200801"/>
    <n v="40000"/>
  </r>
  <r>
    <x v="344"/>
    <x v="1"/>
    <m/>
    <x v="0"/>
    <x v="2"/>
    <x v="15"/>
    <n v="200801"/>
    <n v="200801"/>
    <m/>
    <n v="81"/>
    <n v="200801"/>
    <n v="1620000"/>
  </r>
  <r>
    <x v="344"/>
    <x v="1"/>
    <m/>
    <x v="0"/>
    <x v="2"/>
    <x v="16"/>
    <n v="200801"/>
    <n v="200801"/>
    <m/>
    <n v="64"/>
    <n v="200801"/>
    <n v="2240000"/>
  </r>
  <r>
    <x v="344"/>
    <x v="1"/>
    <m/>
    <x v="0"/>
    <x v="2"/>
    <x v="17"/>
    <n v="200801"/>
    <n v="200801"/>
    <m/>
    <n v="95"/>
    <n v="200801"/>
    <n v="3135000"/>
  </r>
  <r>
    <x v="344"/>
    <x v="1"/>
    <m/>
    <x v="0"/>
    <x v="2"/>
    <x v="19"/>
    <n v="200801"/>
    <n v="200801"/>
    <m/>
    <n v="52"/>
    <n v="200801"/>
    <n v="156000"/>
  </r>
  <r>
    <x v="344"/>
    <x v="1"/>
    <m/>
    <x v="5"/>
    <x v="2"/>
    <x v="28"/>
    <n v="200801"/>
    <n v="200801"/>
    <m/>
    <n v="39"/>
    <n v="200801"/>
    <n v="1092000"/>
  </r>
  <r>
    <x v="344"/>
    <x v="1"/>
    <m/>
    <x v="5"/>
    <x v="2"/>
    <x v="69"/>
    <n v="200801"/>
    <n v="200801"/>
    <m/>
    <n v="4"/>
    <n v="200801"/>
    <n v="192000"/>
  </r>
  <r>
    <x v="344"/>
    <x v="1"/>
    <m/>
    <x v="22"/>
    <x v="2"/>
    <x v="29"/>
    <n v="200801"/>
    <n v="200801"/>
    <m/>
    <n v="17"/>
    <n v="200801"/>
    <n v="646000"/>
  </r>
  <r>
    <x v="344"/>
    <x v="1"/>
    <m/>
    <x v="19"/>
    <x v="2"/>
    <x v="22"/>
    <n v="200801"/>
    <n v="200801"/>
    <m/>
    <n v="12"/>
    <n v="200801"/>
    <n v="156000"/>
  </r>
  <r>
    <x v="344"/>
    <x v="1"/>
    <m/>
    <x v="19"/>
    <x v="2"/>
    <x v="23"/>
    <n v="200801"/>
    <n v="200801"/>
    <m/>
    <n v="3"/>
    <n v="200801"/>
    <n v="72000"/>
  </r>
  <r>
    <x v="344"/>
    <x v="1"/>
    <m/>
    <x v="0"/>
    <x v="10"/>
    <x v="54"/>
    <n v="200801"/>
    <n v="200801"/>
    <m/>
    <n v="15"/>
    <n v="200801"/>
    <n v="495000"/>
  </r>
  <r>
    <x v="344"/>
    <x v="1"/>
    <m/>
    <x v="22"/>
    <x v="10"/>
    <x v="55"/>
    <n v="200801"/>
    <n v="200801"/>
    <m/>
    <n v="1"/>
    <n v="200801"/>
    <n v="44000"/>
  </r>
  <r>
    <x v="344"/>
    <x v="1"/>
    <m/>
    <x v="0"/>
    <x v="10"/>
    <x v="57"/>
    <n v="200801"/>
    <n v="200801"/>
    <m/>
    <n v="6"/>
    <n v="200801"/>
    <n v="318000"/>
  </r>
  <r>
    <x v="345"/>
    <x v="0"/>
    <m/>
    <x v="0"/>
    <x v="1"/>
    <x v="15"/>
    <n v="200801"/>
    <n v="200801"/>
    <m/>
    <n v="2"/>
    <n v="200801"/>
    <n v="40000"/>
  </r>
  <r>
    <x v="345"/>
    <x v="0"/>
    <m/>
    <x v="0"/>
    <x v="1"/>
    <x v="16"/>
    <n v="200801"/>
    <n v="200801"/>
    <m/>
    <n v="3"/>
    <n v="200801"/>
    <n v="105000"/>
  </r>
  <r>
    <x v="345"/>
    <x v="0"/>
    <m/>
    <x v="0"/>
    <x v="17"/>
    <x v="85"/>
    <n v="200801"/>
    <n v="200801"/>
    <m/>
    <n v="1"/>
    <n v="200801"/>
    <n v="39935"/>
  </r>
  <r>
    <x v="345"/>
    <x v="0"/>
    <m/>
    <x v="0"/>
    <x v="7"/>
    <x v="15"/>
    <n v="200801"/>
    <n v="200801"/>
    <m/>
    <n v="4"/>
    <n v="200801"/>
    <n v="80000"/>
  </r>
  <r>
    <x v="345"/>
    <x v="0"/>
    <m/>
    <x v="6"/>
    <x v="2"/>
    <x v="37"/>
    <n v="200801"/>
    <n v="200801"/>
    <m/>
    <n v="1"/>
    <n v="200801"/>
    <n v="20000"/>
  </r>
  <r>
    <x v="345"/>
    <x v="0"/>
    <m/>
    <x v="6"/>
    <x v="2"/>
    <x v="42"/>
    <n v="200801"/>
    <n v="200801"/>
    <m/>
    <n v="1"/>
    <n v="200801"/>
    <n v="35000"/>
  </r>
  <r>
    <x v="345"/>
    <x v="0"/>
    <m/>
    <x v="29"/>
    <x v="2"/>
    <x v="40"/>
    <n v="200801"/>
    <n v="200801"/>
    <m/>
    <n v="2"/>
    <n v="200801"/>
    <n v="70000"/>
  </r>
  <r>
    <x v="345"/>
    <x v="0"/>
    <m/>
    <x v="29"/>
    <x v="2"/>
    <x v="41"/>
    <n v="200801"/>
    <n v="200801"/>
    <m/>
    <n v="5"/>
    <n v="200801"/>
    <n v="225000"/>
  </r>
  <r>
    <x v="345"/>
    <x v="0"/>
    <m/>
    <x v="25"/>
    <x v="2"/>
    <x v="34"/>
    <n v="200801"/>
    <n v="200801"/>
    <m/>
    <n v="4"/>
    <n v="200801"/>
    <n v="396000"/>
  </r>
  <r>
    <x v="345"/>
    <x v="0"/>
    <m/>
    <x v="1"/>
    <x v="2"/>
    <x v="18"/>
    <n v="200801"/>
    <n v="200801"/>
    <m/>
    <n v="3"/>
    <n v="200801"/>
    <n v="60000"/>
  </r>
  <r>
    <x v="345"/>
    <x v="0"/>
    <m/>
    <x v="1"/>
    <x v="2"/>
    <x v="21"/>
    <n v="200801"/>
    <n v="200801"/>
    <m/>
    <n v="1"/>
    <n v="200801"/>
    <n v="35000"/>
  </r>
  <r>
    <x v="345"/>
    <x v="0"/>
    <m/>
    <x v="4"/>
    <x v="2"/>
    <x v="26"/>
    <n v="200801"/>
    <n v="200801"/>
    <m/>
    <n v="4"/>
    <n v="200801"/>
    <n v="16000"/>
  </r>
  <r>
    <x v="345"/>
    <x v="0"/>
    <m/>
    <x v="4"/>
    <x v="2"/>
    <x v="27"/>
    <n v="200801"/>
    <n v="200801"/>
    <m/>
    <n v="2"/>
    <n v="200801"/>
    <n v="40000"/>
  </r>
  <r>
    <x v="345"/>
    <x v="0"/>
    <m/>
    <x v="0"/>
    <x v="2"/>
    <x v="15"/>
    <n v="200801"/>
    <n v="200801"/>
    <m/>
    <n v="67"/>
    <n v="200801"/>
    <n v="1340000"/>
  </r>
  <r>
    <x v="345"/>
    <x v="0"/>
    <m/>
    <x v="0"/>
    <x v="2"/>
    <x v="16"/>
    <n v="200801"/>
    <n v="200801"/>
    <m/>
    <n v="60"/>
    <n v="200801"/>
    <n v="2100000"/>
  </r>
  <r>
    <x v="345"/>
    <x v="0"/>
    <m/>
    <x v="0"/>
    <x v="2"/>
    <x v="17"/>
    <n v="200801"/>
    <n v="200801"/>
    <m/>
    <n v="69"/>
    <n v="200801"/>
    <n v="2277000"/>
  </r>
  <r>
    <x v="345"/>
    <x v="0"/>
    <m/>
    <x v="0"/>
    <x v="2"/>
    <x v="19"/>
    <n v="200801"/>
    <n v="200801"/>
    <m/>
    <n v="51"/>
    <n v="200801"/>
    <n v="153000"/>
  </r>
  <r>
    <x v="345"/>
    <x v="0"/>
    <m/>
    <x v="5"/>
    <x v="2"/>
    <x v="28"/>
    <n v="200801"/>
    <n v="200801"/>
    <m/>
    <n v="26"/>
    <n v="200801"/>
    <n v="728000"/>
  </r>
  <r>
    <x v="345"/>
    <x v="0"/>
    <m/>
    <x v="5"/>
    <x v="2"/>
    <x v="69"/>
    <n v="200801"/>
    <n v="200801"/>
    <m/>
    <n v="3"/>
    <n v="200801"/>
    <n v="144000"/>
  </r>
  <r>
    <x v="345"/>
    <x v="0"/>
    <m/>
    <x v="22"/>
    <x v="2"/>
    <x v="29"/>
    <n v="200801"/>
    <n v="200801"/>
    <m/>
    <n v="3"/>
    <n v="200801"/>
    <n v="114000"/>
  </r>
  <r>
    <x v="345"/>
    <x v="0"/>
    <m/>
    <x v="19"/>
    <x v="2"/>
    <x v="22"/>
    <n v="200801"/>
    <n v="200801"/>
    <m/>
    <n v="10"/>
    <n v="200801"/>
    <n v="130000"/>
  </r>
  <r>
    <x v="345"/>
    <x v="0"/>
    <m/>
    <x v="19"/>
    <x v="2"/>
    <x v="24"/>
    <n v="200801"/>
    <n v="200801"/>
    <m/>
    <n v="2"/>
    <n v="200801"/>
    <n v="66000"/>
  </r>
  <r>
    <x v="345"/>
    <x v="0"/>
    <m/>
    <x v="0"/>
    <x v="10"/>
    <x v="54"/>
    <n v="200801"/>
    <n v="200801"/>
    <m/>
    <n v="18"/>
    <n v="200801"/>
    <n v="594000"/>
  </r>
  <r>
    <x v="345"/>
    <x v="0"/>
    <m/>
    <x v="0"/>
    <x v="10"/>
    <x v="57"/>
    <n v="200801"/>
    <n v="200801"/>
    <m/>
    <n v="15"/>
    <n v="200801"/>
    <n v="795000"/>
  </r>
  <r>
    <x v="346"/>
    <x v="2"/>
    <m/>
    <x v="0"/>
    <x v="19"/>
    <x v="15"/>
    <n v="200801"/>
    <n v="200801"/>
    <m/>
    <n v="1"/>
    <n v="200801"/>
    <n v="25000"/>
  </r>
  <r>
    <x v="346"/>
    <x v="2"/>
    <m/>
    <x v="0"/>
    <x v="1"/>
    <x v="15"/>
    <n v="200801"/>
    <n v="200801"/>
    <m/>
    <n v="1"/>
    <n v="200801"/>
    <n v="20000"/>
  </r>
  <r>
    <x v="346"/>
    <x v="2"/>
    <m/>
    <x v="0"/>
    <x v="1"/>
    <x v="16"/>
    <n v="200801"/>
    <n v="200801"/>
    <m/>
    <n v="6"/>
    <n v="200801"/>
    <n v="210000"/>
  </r>
  <r>
    <x v="346"/>
    <x v="2"/>
    <m/>
    <x v="0"/>
    <x v="7"/>
    <x v="15"/>
    <n v="200801"/>
    <n v="200801"/>
    <m/>
    <n v="2"/>
    <n v="200801"/>
    <n v="40000"/>
  </r>
  <r>
    <x v="346"/>
    <x v="2"/>
    <m/>
    <x v="6"/>
    <x v="2"/>
    <x v="37"/>
    <n v="200801"/>
    <n v="200801"/>
    <m/>
    <n v="1"/>
    <n v="200801"/>
    <n v="20000"/>
  </r>
  <r>
    <x v="346"/>
    <x v="2"/>
    <m/>
    <x v="6"/>
    <x v="2"/>
    <x v="42"/>
    <n v="200801"/>
    <n v="200801"/>
    <m/>
    <n v="1"/>
    <n v="200801"/>
    <n v="35000"/>
  </r>
  <r>
    <x v="346"/>
    <x v="2"/>
    <m/>
    <x v="29"/>
    <x v="2"/>
    <x v="40"/>
    <n v="200801"/>
    <n v="200801"/>
    <m/>
    <n v="1"/>
    <n v="200801"/>
    <n v="35000"/>
  </r>
  <r>
    <x v="346"/>
    <x v="2"/>
    <m/>
    <x v="1"/>
    <x v="2"/>
    <x v="18"/>
    <n v="200801"/>
    <n v="200801"/>
    <m/>
    <n v="3"/>
    <n v="200801"/>
    <n v="60000"/>
  </r>
  <r>
    <x v="346"/>
    <x v="2"/>
    <m/>
    <x v="4"/>
    <x v="2"/>
    <x v="26"/>
    <n v="200801"/>
    <n v="200801"/>
    <m/>
    <n v="4"/>
    <n v="200801"/>
    <n v="16000"/>
  </r>
  <r>
    <x v="346"/>
    <x v="2"/>
    <m/>
    <x v="4"/>
    <x v="2"/>
    <x v="27"/>
    <n v="200801"/>
    <n v="200801"/>
    <m/>
    <n v="3"/>
    <n v="200801"/>
    <n v="60000"/>
  </r>
  <r>
    <x v="346"/>
    <x v="2"/>
    <m/>
    <x v="0"/>
    <x v="2"/>
    <x v="15"/>
    <n v="200801"/>
    <n v="200801"/>
    <m/>
    <n v="69"/>
    <n v="200801"/>
    <n v="1380000"/>
  </r>
  <r>
    <x v="346"/>
    <x v="2"/>
    <m/>
    <x v="0"/>
    <x v="2"/>
    <x v="16"/>
    <n v="200801"/>
    <n v="200801"/>
    <m/>
    <n v="35"/>
    <n v="200801"/>
    <n v="1225000"/>
  </r>
  <r>
    <x v="346"/>
    <x v="2"/>
    <m/>
    <x v="0"/>
    <x v="2"/>
    <x v="17"/>
    <n v="200801"/>
    <n v="200801"/>
    <m/>
    <n v="56"/>
    <n v="200801"/>
    <n v="1848000"/>
  </r>
  <r>
    <x v="346"/>
    <x v="2"/>
    <m/>
    <x v="0"/>
    <x v="2"/>
    <x v="19"/>
    <n v="200801"/>
    <n v="200801"/>
    <m/>
    <n v="53"/>
    <n v="200801"/>
    <n v="159000"/>
  </r>
  <r>
    <x v="346"/>
    <x v="2"/>
    <m/>
    <x v="5"/>
    <x v="2"/>
    <x v="28"/>
    <n v="200801"/>
    <n v="200801"/>
    <m/>
    <n v="16"/>
    <n v="200801"/>
    <n v="448000"/>
  </r>
  <r>
    <x v="346"/>
    <x v="2"/>
    <m/>
    <x v="5"/>
    <x v="2"/>
    <x v="69"/>
    <n v="200801"/>
    <n v="200801"/>
    <m/>
    <n v="3"/>
    <n v="200801"/>
    <n v="144000"/>
  </r>
  <r>
    <x v="346"/>
    <x v="2"/>
    <m/>
    <x v="22"/>
    <x v="2"/>
    <x v="29"/>
    <n v="200801"/>
    <n v="200801"/>
    <m/>
    <n v="7"/>
    <n v="200801"/>
    <n v="266000"/>
  </r>
  <r>
    <x v="346"/>
    <x v="2"/>
    <m/>
    <x v="19"/>
    <x v="2"/>
    <x v="22"/>
    <n v="200801"/>
    <n v="200801"/>
    <m/>
    <n v="3"/>
    <n v="200801"/>
    <n v="39000"/>
  </r>
  <r>
    <x v="346"/>
    <x v="2"/>
    <m/>
    <x v="19"/>
    <x v="2"/>
    <x v="23"/>
    <n v="200801"/>
    <n v="200801"/>
    <m/>
    <n v="1"/>
    <n v="200801"/>
    <n v="24000"/>
  </r>
  <r>
    <x v="346"/>
    <x v="2"/>
    <m/>
    <x v="0"/>
    <x v="10"/>
    <x v="54"/>
    <n v="200801"/>
    <n v="200801"/>
    <m/>
    <n v="37"/>
    <n v="200801"/>
    <n v="1221000"/>
  </r>
  <r>
    <x v="346"/>
    <x v="2"/>
    <m/>
    <x v="22"/>
    <x v="10"/>
    <x v="55"/>
    <n v="200801"/>
    <n v="200801"/>
    <m/>
    <n v="1"/>
    <n v="200801"/>
    <n v="44000"/>
  </r>
  <r>
    <x v="346"/>
    <x v="2"/>
    <m/>
    <x v="1"/>
    <x v="10"/>
    <x v="58"/>
    <n v="200801"/>
    <n v="200801"/>
    <m/>
    <n v="2"/>
    <n v="200801"/>
    <n v="72000"/>
  </r>
  <r>
    <x v="346"/>
    <x v="2"/>
    <m/>
    <x v="0"/>
    <x v="10"/>
    <x v="57"/>
    <n v="200801"/>
    <n v="200801"/>
    <m/>
    <n v="17"/>
    <n v="200801"/>
    <n v="901000"/>
  </r>
  <r>
    <x v="347"/>
    <x v="5"/>
    <m/>
    <x v="0"/>
    <x v="7"/>
    <x v="15"/>
    <n v="200801"/>
    <n v="200801"/>
    <m/>
    <n v="6"/>
    <n v="200801"/>
    <n v="120000"/>
  </r>
  <r>
    <x v="347"/>
    <x v="5"/>
    <m/>
    <x v="6"/>
    <x v="2"/>
    <x v="37"/>
    <n v="200801"/>
    <n v="200801"/>
    <m/>
    <n v="1"/>
    <n v="200801"/>
    <n v="20000"/>
  </r>
  <r>
    <x v="347"/>
    <x v="5"/>
    <m/>
    <x v="25"/>
    <x v="2"/>
    <x v="34"/>
    <n v="200801"/>
    <n v="200801"/>
    <m/>
    <n v="2"/>
    <n v="200801"/>
    <n v="198000"/>
  </r>
  <r>
    <x v="347"/>
    <x v="5"/>
    <m/>
    <x v="1"/>
    <x v="2"/>
    <x v="18"/>
    <n v="200801"/>
    <n v="200801"/>
    <m/>
    <n v="4"/>
    <n v="200801"/>
    <n v="80000"/>
  </r>
  <r>
    <x v="347"/>
    <x v="5"/>
    <m/>
    <x v="1"/>
    <x v="2"/>
    <x v="21"/>
    <n v="200801"/>
    <n v="200801"/>
    <m/>
    <n v="1"/>
    <n v="200801"/>
    <n v="35000"/>
  </r>
  <r>
    <x v="347"/>
    <x v="5"/>
    <m/>
    <x v="4"/>
    <x v="2"/>
    <x v="26"/>
    <n v="200801"/>
    <n v="200801"/>
    <m/>
    <n v="2"/>
    <n v="200801"/>
    <n v="8000"/>
  </r>
  <r>
    <x v="347"/>
    <x v="5"/>
    <m/>
    <x v="4"/>
    <x v="2"/>
    <x v="27"/>
    <n v="200801"/>
    <n v="200801"/>
    <m/>
    <n v="2"/>
    <n v="200801"/>
    <n v="40000"/>
  </r>
  <r>
    <x v="347"/>
    <x v="5"/>
    <m/>
    <x v="0"/>
    <x v="2"/>
    <x v="15"/>
    <n v="200801"/>
    <n v="200801"/>
    <m/>
    <n v="48"/>
    <n v="200801"/>
    <n v="960000"/>
  </r>
  <r>
    <x v="347"/>
    <x v="5"/>
    <m/>
    <x v="0"/>
    <x v="2"/>
    <x v="16"/>
    <n v="200801"/>
    <n v="200801"/>
    <m/>
    <n v="26"/>
    <n v="200801"/>
    <n v="910000"/>
  </r>
  <r>
    <x v="347"/>
    <x v="5"/>
    <m/>
    <x v="0"/>
    <x v="2"/>
    <x v="17"/>
    <n v="200801"/>
    <n v="200801"/>
    <m/>
    <n v="49"/>
    <n v="200801"/>
    <n v="1617000"/>
  </r>
  <r>
    <x v="347"/>
    <x v="5"/>
    <m/>
    <x v="0"/>
    <x v="2"/>
    <x v="19"/>
    <n v="200801"/>
    <n v="200801"/>
    <m/>
    <n v="44"/>
    <n v="200801"/>
    <n v="132000"/>
  </r>
  <r>
    <x v="347"/>
    <x v="5"/>
    <m/>
    <x v="5"/>
    <x v="2"/>
    <x v="28"/>
    <n v="200801"/>
    <n v="200801"/>
    <m/>
    <n v="7"/>
    <n v="200801"/>
    <n v="196000"/>
  </r>
  <r>
    <x v="347"/>
    <x v="5"/>
    <m/>
    <x v="5"/>
    <x v="2"/>
    <x v="69"/>
    <n v="200801"/>
    <n v="200801"/>
    <m/>
    <n v="1"/>
    <n v="200801"/>
    <n v="48000"/>
  </r>
  <r>
    <x v="347"/>
    <x v="5"/>
    <m/>
    <x v="22"/>
    <x v="2"/>
    <x v="29"/>
    <n v="200801"/>
    <n v="200801"/>
    <m/>
    <n v="10"/>
    <n v="200801"/>
    <n v="380000"/>
  </r>
  <r>
    <x v="347"/>
    <x v="5"/>
    <m/>
    <x v="19"/>
    <x v="2"/>
    <x v="22"/>
    <n v="200801"/>
    <n v="200801"/>
    <m/>
    <n v="10"/>
    <n v="200801"/>
    <n v="130000"/>
  </r>
  <r>
    <x v="347"/>
    <x v="5"/>
    <m/>
    <x v="19"/>
    <x v="2"/>
    <x v="23"/>
    <n v="200801"/>
    <n v="200801"/>
    <m/>
    <n v="1"/>
    <n v="200801"/>
    <n v="24000"/>
  </r>
  <r>
    <x v="348"/>
    <x v="6"/>
    <m/>
    <x v="0"/>
    <x v="7"/>
    <x v="15"/>
    <n v="200801"/>
    <n v="200801"/>
    <m/>
    <n v="8"/>
    <n v="200801"/>
    <n v="160000"/>
  </r>
  <r>
    <x v="348"/>
    <x v="6"/>
    <m/>
    <x v="6"/>
    <x v="2"/>
    <x v="37"/>
    <n v="200801"/>
    <n v="200801"/>
    <m/>
    <n v="2"/>
    <n v="200801"/>
    <n v="40000"/>
  </r>
  <r>
    <x v="348"/>
    <x v="6"/>
    <m/>
    <x v="29"/>
    <x v="2"/>
    <x v="40"/>
    <n v="200801"/>
    <n v="200801"/>
    <m/>
    <n v="1"/>
    <n v="200801"/>
    <n v="35000"/>
  </r>
  <r>
    <x v="348"/>
    <x v="6"/>
    <m/>
    <x v="29"/>
    <x v="2"/>
    <x v="41"/>
    <n v="200801"/>
    <n v="200801"/>
    <m/>
    <n v="2"/>
    <n v="200801"/>
    <n v="90000"/>
  </r>
  <r>
    <x v="348"/>
    <x v="6"/>
    <m/>
    <x v="25"/>
    <x v="2"/>
    <x v="34"/>
    <n v="200801"/>
    <n v="200801"/>
    <m/>
    <n v="2"/>
    <n v="200801"/>
    <n v="198000"/>
  </r>
  <r>
    <x v="348"/>
    <x v="6"/>
    <m/>
    <x v="1"/>
    <x v="2"/>
    <x v="18"/>
    <n v="200801"/>
    <n v="200801"/>
    <m/>
    <n v="3"/>
    <n v="200801"/>
    <n v="60000"/>
  </r>
  <r>
    <x v="348"/>
    <x v="6"/>
    <m/>
    <x v="4"/>
    <x v="2"/>
    <x v="26"/>
    <n v="200801"/>
    <n v="200801"/>
    <m/>
    <n v="4"/>
    <n v="200801"/>
    <n v="16000"/>
  </r>
  <r>
    <x v="348"/>
    <x v="6"/>
    <m/>
    <x v="0"/>
    <x v="2"/>
    <x v="15"/>
    <n v="200801"/>
    <n v="200801"/>
    <m/>
    <n v="52"/>
    <n v="200801"/>
    <n v="1040000"/>
  </r>
  <r>
    <x v="348"/>
    <x v="6"/>
    <m/>
    <x v="0"/>
    <x v="2"/>
    <x v="16"/>
    <n v="200801"/>
    <n v="200801"/>
    <m/>
    <n v="35"/>
    <n v="200801"/>
    <n v="1225000"/>
  </r>
  <r>
    <x v="348"/>
    <x v="6"/>
    <m/>
    <x v="0"/>
    <x v="2"/>
    <x v="17"/>
    <n v="200801"/>
    <n v="200801"/>
    <m/>
    <n v="44"/>
    <n v="200801"/>
    <n v="1452000"/>
  </r>
  <r>
    <x v="348"/>
    <x v="6"/>
    <m/>
    <x v="0"/>
    <x v="2"/>
    <x v="19"/>
    <n v="200801"/>
    <n v="200801"/>
    <m/>
    <n v="54"/>
    <n v="200801"/>
    <n v="162000"/>
  </r>
  <r>
    <x v="348"/>
    <x v="6"/>
    <m/>
    <x v="5"/>
    <x v="2"/>
    <x v="28"/>
    <n v="200801"/>
    <n v="200801"/>
    <m/>
    <n v="10"/>
    <n v="200801"/>
    <n v="280000"/>
  </r>
  <r>
    <x v="348"/>
    <x v="6"/>
    <m/>
    <x v="5"/>
    <x v="2"/>
    <x v="69"/>
    <n v="200801"/>
    <n v="200801"/>
    <m/>
    <n v="2"/>
    <n v="200801"/>
    <n v="96000"/>
  </r>
  <r>
    <x v="348"/>
    <x v="6"/>
    <m/>
    <x v="22"/>
    <x v="2"/>
    <x v="29"/>
    <n v="200801"/>
    <n v="200801"/>
    <m/>
    <n v="7"/>
    <n v="200801"/>
    <n v="266000"/>
  </r>
  <r>
    <x v="348"/>
    <x v="6"/>
    <m/>
    <x v="19"/>
    <x v="2"/>
    <x v="22"/>
    <n v="200801"/>
    <n v="200801"/>
    <m/>
    <n v="4"/>
    <n v="200801"/>
    <n v="52000"/>
  </r>
  <r>
    <x v="348"/>
    <x v="6"/>
    <m/>
    <x v="19"/>
    <x v="2"/>
    <x v="24"/>
    <n v="200801"/>
    <n v="200801"/>
    <m/>
    <n v="2"/>
    <n v="200801"/>
    <n v="66000"/>
  </r>
  <r>
    <x v="348"/>
    <x v="6"/>
    <m/>
    <x v="0"/>
    <x v="6"/>
    <x v="15"/>
    <n v="200801"/>
    <n v="200801"/>
    <m/>
    <n v="771"/>
    <n v="200801"/>
    <n v="6991428"/>
  </r>
  <r>
    <x v="348"/>
    <x v="6"/>
    <m/>
    <x v="0"/>
    <x v="6"/>
    <x v="17"/>
    <n v="200801"/>
    <n v="200801"/>
    <m/>
    <n v="5"/>
    <n v="200801"/>
    <n v="79090"/>
  </r>
  <r>
    <x v="348"/>
    <x v="6"/>
    <m/>
    <x v="4"/>
    <x v="6"/>
    <x v="26"/>
    <n v="200801"/>
    <n v="200801"/>
    <m/>
    <n v="362"/>
    <n v="200801"/>
    <n v="388426"/>
  </r>
  <r>
    <x v="348"/>
    <x v="6"/>
    <m/>
    <x v="26"/>
    <x v="6"/>
    <x v="35"/>
    <n v="200801"/>
    <n v="200801"/>
    <m/>
    <n v="35"/>
    <n v="200801"/>
    <n v="599585"/>
  </r>
  <r>
    <x v="348"/>
    <x v="6"/>
    <m/>
    <x v="22"/>
    <x v="6"/>
    <x v="29"/>
    <n v="200801"/>
    <n v="200801"/>
    <m/>
    <n v="43"/>
    <n v="200801"/>
    <n v="846713"/>
  </r>
  <r>
    <x v="348"/>
    <x v="6"/>
    <m/>
    <x v="24"/>
    <x v="6"/>
    <x v="31"/>
    <n v="200801"/>
    <n v="200801"/>
    <m/>
    <n v="168"/>
    <n v="200801"/>
    <n v="2499336"/>
  </r>
  <r>
    <x v="348"/>
    <x v="6"/>
    <m/>
    <x v="23"/>
    <x v="6"/>
    <x v="30"/>
    <n v="200801"/>
    <n v="200801"/>
    <m/>
    <n v="18"/>
    <n v="200801"/>
    <n v="125352"/>
  </r>
  <r>
    <x v="348"/>
    <x v="6"/>
    <m/>
    <x v="19"/>
    <x v="6"/>
    <x v="22"/>
    <n v="200801"/>
    <n v="200801"/>
    <m/>
    <n v="50"/>
    <n v="200801"/>
    <n v="339550"/>
  </r>
  <r>
    <x v="348"/>
    <x v="6"/>
    <m/>
    <x v="27"/>
    <x v="6"/>
    <x v="36"/>
    <n v="200801"/>
    <n v="200801"/>
    <m/>
    <n v="4"/>
    <n v="200801"/>
    <n v="37828"/>
  </r>
  <r>
    <x v="348"/>
    <x v="6"/>
    <m/>
    <x v="6"/>
    <x v="6"/>
    <x v="37"/>
    <n v="200801"/>
    <n v="200801"/>
    <m/>
    <n v="17"/>
    <n v="200801"/>
    <n v="170000"/>
  </r>
  <r>
    <x v="348"/>
    <x v="6"/>
    <m/>
    <x v="28"/>
    <x v="6"/>
    <x v="39"/>
    <n v="200801"/>
    <n v="200801"/>
    <m/>
    <n v="12"/>
    <n v="200801"/>
    <n v="189816"/>
  </r>
  <r>
    <x v="348"/>
    <x v="6"/>
    <m/>
    <x v="4"/>
    <x v="6"/>
    <x v="66"/>
    <n v="200801"/>
    <n v="200801"/>
    <m/>
    <n v="186"/>
    <n v="200801"/>
    <n v="1041042"/>
  </r>
  <r>
    <x v="349"/>
    <x v="3"/>
    <m/>
    <x v="0"/>
    <x v="1"/>
    <x v="15"/>
    <n v="200801"/>
    <n v="200801"/>
    <m/>
    <n v="2"/>
    <n v="200801"/>
    <n v="40000"/>
  </r>
  <r>
    <x v="349"/>
    <x v="3"/>
    <m/>
    <x v="0"/>
    <x v="1"/>
    <x v="16"/>
    <n v="200801"/>
    <n v="200801"/>
    <m/>
    <n v="18"/>
    <n v="200801"/>
    <n v="630000"/>
  </r>
  <r>
    <x v="349"/>
    <x v="3"/>
    <m/>
    <x v="0"/>
    <x v="7"/>
    <x v="15"/>
    <n v="200801"/>
    <n v="200801"/>
    <m/>
    <n v="10"/>
    <n v="200801"/>
    <n v="200000"/>
  </r>
  <r>
    <x v="349"/>
    <x v="3"/>
    <m/>
    <x v="0"/>
    <x v="3"/>
    <x v="15"/>
    <n v="200801"/>
    <n v="200801"/>
    <m/>
    <n v="1"/>
    <n v="200801"/>
    <n v="0"/>
  </r>
  <r>
    <x v="349"/>
    <x v="3"/>
    <m/>
    <x v="30"/>
    <x v="3"/>
    <x v="87"/>
    <n v="200801"/>
    <n v="200801"/>
    <m/>
    <n v="41"/>
    <n v="200801"/>
    <n v="0"/>
  </r>
  <r>
    <x v="349"/>
    <x v="3"/>
    <m/>
    <x v="31"/>
    <x v="3"/>
    <x v="88"/>
    <n v="200801"/>
    <n v="200801"/>
    <m/>
    <n v="67"/>
    <n v="200801"/>
    <n v="0"/>
  </r>
  <r>
    <x v="349"/>
    <x v="3"/>
    <m/>
    <x v="6"/>
    <x v="2"/>
    <x v="37"/>
    <n v="200801"/>
    <n v="200801"/>
    <m/>
    <n v="2"/>
    <n v="200801"/>
    <n v="40000"/>
  </r>
  <r>
    <x v="349"/>
    <x v="3"/>
    <m/>
    <x v="29"/>
    <x v="2"/>
    <x v="40"/>
    <n v="200801"/>
    <n v="200801"/>
    <m/>
    <n v="3"/>
    <n v="200801"/>
    <n v="105000"/>
  </r>
  <r>
    <x v="349"/>
    <x v="3"/>
    <m/>
    <x v="29"/>
    <x v="2"/>
    <x v="41"/>
    <n v="200801"/>
    <n v="200801"/>
    <m/>
    <n v="8"/>
    <n v="200801"/>
    <n v="360000"/>
  </r>
  <r>
    <x v="349"/>
    <x v="3"/>
    <m/>
    <x v="25"/>
    <x v="2"/>
    <x v="34"/>
    <n v="200801"/>
    <n v="200801"/>
    <m/>
    <n v="3"/>
    <n v="200801"/>
    <n v="297000"/>
  </r>
  <r>
    <x v="349"/>
    <x v="3"/>
    <m/>
    <x v="31"/>
    <x v="2"/>
    <x v="89"/>
    <n v="200801"/>
    <n v="200801"/>
    <m/>
    <n v="56"/>
    <n v="200801"/>
    <n v="1114400"/>
  </r>
  <r>
    <x v="349"/>
    <x v="3"/>
    <m/>
    <x v="31"/>
    <x v="2"/>
    <x v="90"/>
    <n v="200801"/>
    <n v="200801"/>
    <m/>
    <n v="77"/>
    <n v="200801"/>
    <n v="3018400"/>
  </r>
  <r>
    <x v="349"/>
    <x v="3"/>
    <m/>
    <x v="32"/>
    <x v="2"/>
    <x v="91"/>
    <n v="200801"/>
    <n v="200801"/>
    <m/>
    <n v="61"/>
    <n v="200801"/>
    <n v="2263100"/>
  </r>
  <r>
    <x v="349"/>
    <x v="3"/>
    <m/>
    <x v="1"/>
    <x v="2"/>
    <x v="18"/>
    <n v="200801"/>
    <n v="200801"/>
    <m/>
    <n v="6"/>
    <n v="200801"/>
    <n v="120000"/>
  </r>
  <r>
    <x v="349"/>
    <x v="3"/>
    <m/>
    <x v="1"/>
    <x v="2"/>
    <x v="21"/>
    <n v="200801"/>
    <n v="200801"/>
    <m/>
    <n v="1"/>
    <n v="200801"/>
    <n v="35000"/>
  </r>
  <r>
    <x v="349"/>
    <x v="3"/>
    <m/>
    <x v="4"/>
    <x v="2"/>
    <x v="27"/>
    <n v="200801"/>
    <n v="200801"/>
    <m/>
    <n v="3"/>
    <n v="200801"/>
    <n v="60000"/>
  </r>
  <r>
    <x v="349"/>
    <x v="3"/>
    <m/>
    <x v="0"/>
    <x v="2"/>
    <x v="15"/>
    <n v="200801"/>
    <n v="200801"/>
    <m/>
    <n v="99"/>
    <n v="200801"/>
    <n v="1980000"/>
  </r>
  <r>
    <x v="349"/>
    <x v="3"/>
    <m/>
    <x v="0"/>
    <x v="2"/>
    <x v="16"/>
    <n v="200801"/>
    <n v="200801"/>
    <m/>
    <n v="61"/>
    <n v="200801"/>
    <n v="2135000"/>
  </r>
  <r>
    <x v="349"/>
    <x v="3"/>
    <m/>
    <x v="0"/>
    <x v="2"/>
    <x v="17"/>
    <n v="200801"/>
    <n v="200801"/>
    <m/>
    <n v="80"/>
    <n v="200801"/>
    <n v="2640000"/>
  </r>
  <r>
    <x v="349"/>
    <x v="3"/>
    <m/>
    <x v="0"/>
    <x v="2"/>
    <x v="19"/>
    <n v="200801"/>
    <n v="200801"/>
    <m/>
    <n v="74"/>
    <n v="200801"/>
    <n v="222000"/>
  </r>
  <r>
    <x v="349"/>
    <x v="3"/>
    <m/>
    <x v="5"/>
    <x v="2"/>
    <x v="28"/>
    <n v="200801"/>
    <n v="200801"/>
    <m/>
    <n v="20"/>
    <n v="200801"/>
    <n v="560000"/>
  </r>
  <r>
    <x v="349"/>
    <x v="3"/>
    <m/>
    <x v="5"/>
    <x v="2"/>
    <x v="69"/>
    <n v="200801"/>
    <n v="200801"/>
    <m/>
    <n v="7"/>
    <n v="200801"/>
    <n v="336000"/>
  </r>
  <r>
    <x v="349"/>
    <x v="3"/>
    <m/>
    <x v="22"/>
    <x v="2"/>
    <x v="29"/>
    <n v="200801"/>
    <n v="200801"/>
    <m/>
    <n v="15"/>
    <n v="200801"/>
    <n v="570000"/>
  </r>
  <r>
    <x v="349"/>
    <x v="3"/>
    <m/>
    <x v="19"/>
    <x v="2"/>
    <x v="22"/>
    <n v="200801"/>
    <n v="200801"/>
    <m/>
    <n v="18"/>
    <n v="200801"/>
    <n v="234000"/>
  </r>
  <r>
    <x v="349"/>
    <x v="3"/>
    <m/>
    <x v="19"/>
    <x v="2"/>
    <x v="23"/>
    <n v="200801"/>
    <n v="200801"/>
    <m/>
    <n v="4"/>
    <n v="200801"/>
    <n v="96000"/>
  </r>
  <r>
    <x v="349"/>
    <x v="3"/>
    <m/>
    <x v="19"/>
    <x v="2"/>
    <x v="24"/>
    <n v="200801"/>
    <n v="200801"/>
    <m/>
    <n v="3"/>
    <n v="200801"/>
    <n v="99000"/>
  </r>
  <r>
    <x v="349"/>
    <x v="3"/>
    <m/>
    <x v="0"/>
    <x v="10"/>
    <x v="54"/>
    <n v="200801"/>
    <n v="200801"/>
    <m/>
    <n v="12"/>
    <n v="200801"/>
    <n v="396000"/>
  </r>
  <r>
    <x v="349"/>
    <x v="3"/>
    <m/>
    <x v="22"/>
    <x v="10"/>
    <x v="55"/>
    <n v="200801"/>
    <n v="200801"/>
    <m/>
    <n v="1"/>
    <n v="200801"/>
    <n v="44000"/>
  </r>
  <r>
    <x v="349"/>
    <x v="3"/>
    <m/>
    <x v="1"/>
    <x v="10"/>
    <x v="58"/>
    <n v="200801"/>
    <n v="200801"/>
    <m/>
    <n v="2"/>
    <n v="200801"/>
    <n v="72000"/>
  </r>
  <r>
    <x v="349"/>
    <x v="3"/>
    <m/>
    <x v="0"/>
    <x v="10"/>
    <x v="57"/>
    <n v="200801"/>
    <n v="200801"/>
    <m/>
    <n v="2"/>
    <n v="200801"/>
    <n v="106000"/>
  </r>
  <r>
    <x v="350"/>
    <x v="4"/>
    <m/>
    <x v="0"/>
    <x v="1"/>
    <x v="15"/>
    <n v="200801"/>
    <n v="200801"/>
    <m/>
    <n v="1"/>
    <n v="200801"/>
    <n v="20000"/>
  </r>
  <r>
    <x v="350"/>
    <x v="4"/>
    <m/>
    <x v="0"/>
    <x v="1"/>
    <x v="16"/>
    <n v="200801"/>
    <n v="200801"/>
    <m/>
    <n v="12"/>
    <n v="200801"/>
    <n v="420000"/>
  </r>
  <r>
    <x v="350"/>
    <x v="4"/>
    <m/>
    <x v="0"/>
    <x v="7"/>
    <x v="15"/>
    <n v="200801"/>
    <n v="200801"/>
    <m/>
    <n v="5"/>
    <n v="200801"/>
    <n v="100000"/>
  </r>
  <r>
    <x v="350"/>
    <x v="4"/>
    <m/>
    <x v="31"/>
    <x v="3"/>
    <x v="88"/>
    <n v="200801"/>
    <n v="200801"/>
    <m/>
    <n v="4"/>
    <n v="200801"/>
    <n v="0"/>
  </r>
  <r>
    <x v="350"/>
    <x v="4"/>
    <m/>
    <x v="6"/>
    <x v="2"/>
    <x v="37"/>
    <n v="200801"/>
    <n v="200801"/>
    <m/>
    <n v="1"/>
    <n v="200801"/>
    <n v="20000"/>
  </r>
  <r>
    <x v="350"/>
    <x v="4"/>
    <m/>
    <x v="6"/>
    <x v="2"/>
    <x v="42"/>
    <n v="200801"/>
    <n v="200801"/>
    <m/>
    <n v="2"/>
    <n v="200801"/>
    <n v="70000"/>
  </r>
  <r>
    <x v="350"/>
    <x v="4"/>
    <m/>
    <x v="29"/>
    <x v="2"/>
    <x v="40"/>
    <n v="200801"/>
    <n v="200801"/>
    <m/>
    <n v="1"/>
    <n v="200801"/>
    <n v="35000"/>
  </r>
  <r>
    <x v="350"/>
    <x v="4"/>
    <m/>
    <x v="25"/>
    <x v="2"/>
    <x v="34"/>
    <n v="200801"/>
    <n v="200801"/>
    <m/>
    <n v="6"/>
    <n v="200801"/>
    <n v="594000"/>
  </r>
  <r>
    <x v="350"/>
    <x v="4"/>
    <m/>
    <x v="31"/>
    <x v="2"/>
    <x v="89"/>
    <n v="200801"/>
    <n v="200801"/>
    <m/>
    <n v="23"/>
    <n v="200801"/>
    <n v="457700"/>
  </r>
  <r>
    <x v="350"/>
    <x v="4"/>
    <m/>
    <x v="31"/>
    <x v="2"/>
    <x v="90"/>
    <n v="200801"/>
    <n v="200801"/>
    <m/>
    <n v="13"/>
    <n v="200801"/>
    <n v="509600"/>
  </r>
  <r>
    <x v="350"/>
    <x v="4"/>
    <m/>
    <x v="32"/>
    <x v="2"/>
    <x v="91"/>
    <n v="200801"/>
    <n v="200801"/>
    <m/>
    <n v="31"/>
    <n v="200801"/>
    <n v="1150100"/>
  </r>
  <r>
    <x v="350"/>
    <x v="4"/>
    <m/>
    <x v="1"/>
    <x v="2"/>
    <x v="18"/>
    <n v="200801"/>
    <n v="200801"/>
    <m/>
    <n v="2"/>
    <n v="200801"/>
    <n v="40000"/>
  </r>
  <r>
    <x v="350"/>
    <x v="4"/>
    <m/>
    <x v="1"/>
    <x v="2"/>
    <x v="21"/>
    <n v="200801"/>
    <n v="200801"/>
    <m/>
    <n v="3"/>
    <n v="200801"/>
    <n v="105000"/>
  </r>
  <r>
    <x v="350"/>
    <x v="4"/>
    <m/>
    <x v="4"/>
    <x v="2"/>
    <x v="26"/>
    <n v="200801"/>
    <n v="200801"/>
    <m/>
    <n v="6"/>
    <n v="200801"/>
    <n v="24000"/>
  </r>
  <r>
    <x v="350"/>
    <x v="4"/>
    <m/>
    <x v="4"/>
    <x v="2"/>
    <x v="27"/>
    <n v="200801"/>
    <n v="200801"/>
    <m/>
    <n v="7"/>
    <n v="200801"/>
    <n v="140000"/>
  </r>
  <r>
    <x v="350"/>
    <x v="4"/>
    <m/>
    <x v="0"/>
    <x v="2"/>
    <x v="15"/>
    <n v="200801"/>
    <n v="200801"/>
    <m/>
    <n v="76"/>
    <n v="200801"/>
    <n v="1520000"/>
  </r>
  <r>
    <x v="350"/>
    <x v="4"/>
    <m/>
    <x v="0"/>
    <x v="2"/>
    <x v="16"/>
    <n v="200801"/>
    <n v="200801"/>
    <m/>
    <n v="65"/>
    <n v="200801"/>
    <n v="2275000"/>
  </r>
  <r>
    <x v="350"/>
    <x v="4"/>
    <m/>
    <x v="0"/>
    <x v="2"/>
    <x v="17"/>
    <n v="200801"/>
    <n v="200801"/>
    <m/>
    <n v="49"/>
    <n v="200801"/>
    <n v="1617000"/>
  </r>
  <r>
    <x v="350"/>
    <x v="4"/>
    <m/>
    <x v="0"/>
    <x v="2"/>
    <x v="19"/>
    <n v="200801"/>
    <n v="200801"/>
    <m/>
    <n v="50"/>
    <n v="200801"/>
    <n v="150000"/>
  </r>
  <r>
    <x v="350"/>
    <x v="4"/>
    <m/>
    <x v="5"/>
    <x v="2"/>
    <x v="28"/>
    <n v="200801"/>
    <n v="200801"/>
    <m/>
    <n v="23"/>
    <n v="200801"/>
    <n v="644000"/>
  </r>
  <r>
    <x v="350"/>
    <x v="4"/>
    <m/>
    <x v="5"/>
    <x v="2"/>
    <x v="69"/>
    <n v="200801"/>
    <n v="200801"/>
    <m/>
    <n v="4"/>
    <n v="200801"/>
    <n v="192000"/>
  </r>
  <r>
    <x v="350"/>
    <x v="4"/>
    <m/>
    <x v="22"/>
    <x v="2"/>
    <x v="29"/>
    <n v="200801"/>
    <n v="200801"/>
    <m/>
    <n v="9"/>
    <n v="200801"/>
    <n v="342000"/>
  </r>
  <r>
    <x v="350"/>
    <x v="4"/>
    <m/>
    <x v="19"/>
    <x v="2"/>
    <x v="22"/>
    <n v="200801"/>
    <n v="200801"/>
    <m/>
    <n v="10"/>
    <n v="200801"/>
    <n v="130000"/>
  </r>
  <r>
    <x v="350"/>
    <x v="4"/>
    <m/>
    <x v="19"/>
    <x v="2"/>
    <x v="23"/>
    <n v="200801"/>
    <n v="200801"/>
    <m/>
    <n v="2"/>
    <n v="200801"/>
    <n v="48000"/>
  </r>
  <r>
    <x v="350"/>
    <x v="4"/>
    <m/>
    <x v="0"/>
    <x v="10"/>
    <x v="54"/>
    <n v="200801"/>
    <n v="200801"/>
    <m/>
    <n v="5"/>
    <n v="200801"/>
    <n v="165000"/>
  </r>
  <r>
    <x v="350"/>
    <x v="4"/>
    <m/>
    <x v="0"/>
    <x v="10"/>
    <x v="57"/>
    <n v="200801"/>
    <n v="200801"/>
    <m/>
    <n v="1"/>
    <n v="200801"/>
    <n v="53000"/>
  </r>
  <r>
    <x v="351"/>
    <x v="1"/>
    <m/>
    <x v="0"/>
    <x v="1"/>
    <x v="15"/>
    <n v="200801"/>
    <n v="200801"/>
    <m/>
    <n v="4"/>
    <n v="200801"/>
    <n v="80000"/>
  </r>
  <r>
    <x v="351"/>
    <x v="1"/>
    <m/>
    <x v="0"/>
    <x v="1"/>
    <x v="16"/>
    <n v="200801"/>
    <n v="200801"/>
    <m/>
    <n v="3"/>
    <n v="200801"/>
    <n v="105000"/>
  </r>
  <r>
    <x v="351"/>
    <x v="1"/>
    <m/>
    <x v="0"/>
    <x v="7"/>
    <x v="15"/>
    <n v="200801"/>
    <n v="200801"/>
    <m/>
    <n v="3"/>
    <n v="200801"/>
    <n v="60000"/>
  </r>
  <r>
    <x v="351"/>
    <x v="1"/>
    <m/>
    <x v="29"/>
    <x v="2"/>
    <x v="40"/>
    <n v="200801"/>
    <n v="200801"/>
    <m/>
    <n v="5"/>
    <n v="200801"/>
    <n v="175000"/>
  </r>
  <r>
    <x v="351"/>
    <x v="1"/>
    <m/>
    <x v="29"/>
    <x v="2"/>
    <x v="41"/>
    <n v="200801"/>
    <n v="200801"/>
    <m/>
    <n v="3"/>
    <n v="200801"/>
    <n v="135000"/>
  </r>
  <r>
    <x v="351"/>
    <x v="1"/>
    <m/>
    <x v="31"/>
    <x v="2"/>
    <x v="89"/>
    <n v="200801"/>
    <n v="200801"/>
    <m/>
    <n v="40"/>
    <n v="200801"/>
    <n v="796000"/>
  </r>
  <r>
    <x v="351"/>
    <x v="1"/>
    <m/>
    <x v="31"/>
    <x v="2"/>
    <x v="90"/>
    <n v="200801"/>
    <n v="200801"/>
    <m/>
    <n v="43"/>
    <n v="200801"/>
    <n v="1685600"/>
  </r>
  <r>
    <x v="351"/>
    <x v="1"/>
    <m/>
    <x v="32"/>
    <x v="2"/>
    <x v="91"/>
    <n v="200801"/>
    <n v="200801"/>
    <m/>
    <n v="49"/>
    <n v="200801"/>
    <n v="1817900"/>
  </r>
  <r>
    <x v="351"/>
    <x v="1"/>
    <m/>
    <x v="1"/>
    <x v="2"/>
    <x v="18"/>
    <n v="200801"/>
    <n v="200801"/>
    <m/>
    <n v="5"/>
    <n v="200801"/>
    <n v="100000"/>
  </r>
  <r>
    <x v="351"/>
    <x v="1"/>
    <m/>
    <x v="4"/>
    <x v="2"/>
    <x v="26"/>
    <n v="200801"/>
    <n v="200801"/>
    <m/>
    <n v="2"/>
    <n v="200801"/>
    <n v="8000"/>
  </r>
  <r>
    <x v="351"/>
    <x v="1"/>
    <m/>
    <x v="4"/>
    <x v="2"/>
    <x v="27"/>
    <n v="200801"/>
    <n v="200801"/>
    <m/>
    <n v="2"/>
    <n v="200801"/>
    <n v="40000"/>
  </r>
  <r>
    <x v="351"/>
    <x v="1"/>
    <m/>
    <x v="0"/>
    <x v="2"/>
    <x v="15"/>
    <n v="200801"/>
    <n v="200801"/>
    <m/>
    <n v="55"/>
    <n v="200801"/>
    <n v="1100000"/>
  </r>
  <r>
    <x v="351"/>
    <x v="1"/>
    <m/>
    <x v="0"/>
    <x v="2"/>
    <x v="16"/>
    <n v="200801"/>
    <n v="200801"/>
    <m/>
    <n v="48"/>
    <n v="200801"/>
    <n v="1680000"/>
  </r>
  <r>
    <x v="351"/>
    <x v="1"/>
    <m/>
    <x v="0"/>
    <x v="2"/>
    <x v="17"/>
    <n v="200801"/>
    <n v="200801"/>
    <m/>
    <n v="59"/>
    <n v="200801"/>
    <n v="1947000"/>
  </r>
  <r>
    <x v="351"/>
    <x v="1"/>
    <m/>
    <x v="0"/>
    <x v="2"/>
    <x v="19"/>
    <n v="200801"/>
    <n v="200801"/>
    <m/>
    <n v="44"/>
    <n v="200801"/>
    <n v="132000"/>
  </r>
  <r>
    <x v="351"/>
    <x v="1"/>
    <m/>
    <x v="5"/>
    <x v="2"/>
    <x v="28"/>
    <n v="200801"/>
    <n v="200801"/>
    <m/>
    <n v="17"/>
    <n v="200801"/>
    <n v="476000"/>
  </r>
  <r>
    <x v="351"/>
    <x v="1"/>
    <m/>
    <x v="5"/>
    <x v="2"/>
    <x v="69"/>
    <n v="200801"/>
    <n v="200801"/>
    <m/>
    <n v="4"/>
    <n v="200801"/>
    <n v="192000"/>
  </r>
  <r>
    <x v="351"/>
    <x v="1"/>
    <m/>
    <x v="22"/>
    <x v="2"/>
    <x v="29"/>
    <n v="200801"/>
    <n v="200801"/>
    <m/>
    <n v="8"/>
    <n v="200801"/>
    <n v="304000"/>
  </r>
  <r>
    <x v="351"/>
    <x v="1"/>
    <m/>
    <x v="19"/>
    <x v="2"/>
    <x v="22"/>
    <n v="200801"/>
    <n v="200801"/>
    <m/>
    <n v="10"/>
    <n v="200801"/>
    <n v="130000"/>
  </r>
  <r>
    <x v="351"/>
    <x v="1"/>
    <m/>
    <x v="19"/>
    <x v="2"/>
    <x v="23"/>
    <n v="200801"/>
    <n v="200801"/>
    <m/>
    <n v="1"/>
    <n v="200801"/>
    <n v="24000"/>
  </r>
  <r>
    <x v="351"/>
    <x v="1"/>
    <m/>
    <x v="19"/>
    <x v="2"/>
    <x v="24"/>
    <n v="200801"/>
    <n v="200801"/>
    <m/>
    <n v="1"/>
    <n v="200801"/>
    <n v="33000"/>
  </r>
  <r>
    <x v="351"/>
    <x v="1"/>
    <m/>
    <x v="0"/>
    <x v="10"/>
    <x v="54"/>
    <n v="200801"/>
    <n v="200801"/>
    <m/>
    <n v="6"/>
    <n v="200801"/>
    <n v="198000"/>
  </r>
  <r>
    <x v="351"/>
    <x v="1"/>
    <m/>
    <x v="0"/>
    <x v="10"/>
    <x v="57"/>
    <n v="200801"/>
    <n v="200801"/>
    <m/>
    <n v="2"/>
    <n v="200801"/>
    <n v="106000"/>
  </r>
  <r>
    <x v="352"/>
    <x v="0"/>
    <m/>
    <x v="0"/>
    <x v="1"/>
    <x v="15"/>
    <n v="200801"/>
    <n v="200801"/>
    <m/>
    <n v="2"/>
    <n v="200801"/>
    <n v="40000"/>
  </r>
  <r>
    <x v="352"/>
    <x v="0"/>
    <m/>
    <x v="0"/>
    <x v="1"/>
    <x v="16"/>
    <n v="200801"/>
    <n v="200801"/>
    <m/>
    <n v="9"/>
    <n v="200801"/>
    <n v="315000"/>
  </r>
  <r>
    <x v="352"/>
    <x v="0"/>
    <m/>
    <x v="0"/>
    <x v="7"/>
    <x v="15"/>
    <n v="200801"/>
    <n v="200801"/>
    <m/>
    <n v="1"/>
    <n v="200801"/>
    <n v="20000"/>
  </r>
  <r>
    <x v="352"/>
    <x v="0"/>
    <m/>
    <x v="6"/>
    <x v="2"/>
    <x v="37"/>
    <n v="200801"/>
    <n v="200801"/>
    <m/>
    <n v="1"/>
    <n v="200801"/>
    <n v="20000"/>
  </r>
  <r>
    <x v="352"/>
    <x v="0"/>
    <m/>
    <x v="29"/>
    <x v="2"/>
    <x v="40"/>
    <n v="200801"/>
    <n v="200801"/>
    <m/>
    <n v="1"/>
    <n v="200801"/>
    <n v="35000"/>
  </r>
  <r>
    <x v="352"/>
    <x v="0"/>
    <m/>
    <x v="29"/>
    <x v="2"/>
    <x v="41"/>
    <n v="200801"/>
    <n v="200801"/>
    <m/>
    <n v="4"/>
    <n v="200801"/>
    <n v="180000"/>
  </r>
  <r>
    <x v="352"/>
    <x v="0"/>
    <m/>
    <x v="25"/>
    <x v="2"/>
    <x v="34"/>
    <n v="200801"/>
    <n v="200801"/>
    <m/>
    <n v="4"/>
    <n v="200801"/>
    <n v="396000"/>
  </r>
  <r>
    <x v="352"/>
    <x v="0"/>
    <m/>
    <x v="31"/>
    <x v="2"/>
    <x v="89"/>
    <n v="200801"/>
    <n v="200801"/>
    <m/>
    <n v="1"/>
    <n v="200801"/>
    <n v="19900"/>
  </r>
  <r>
    <x v="352"/>
    <x v="0"/>
    <m/>
    <x v="1"/>
    <x v="2"/>
    <x v="18"/>
    <n v="200801"/>
    <n v="200801"/>
    <m/>
    <n v="3"/>
    <n v="200801"/>
    <n v="60000"/>
  </r>
  <r>
    <x v="352"/>
    <x v="0"/>
    <m/>
    <x v="4"/>
    <x v="2"/>
    <x v="27"/>
    <n v="200801"/>
    <n v="200801"/>
    <m/>
    <n v="1"/>
    <n v="200801"/>
    <n v="20000"/>
  </r>
  <r>
    <x v="352"/>
    <x v="0"/>
    <m/>
    <x v="0"/>
    <x v="2"/>
    <x v="15"/>
    <n v="200801"/>
    <n v="200801"/>
    <m/>
    <n v="43"/>
    <n v="200801"/>
    <n v="860000"/>
  </r>
  <r>
    <x v="352"/>
    <x v="0"/>
    <m/>
    <x v="0"/>
    <x v="2"/>
    <x v="16"/>
    <n v="200801"/>
    <n v="200801"/>
    <m/>
    <n v="36"/>
    <n v="200801"/>
    <n v="1260000"/>
  </r>
  <r>
    <x v="352"/>
    <x v="0"/>
    <m/>
    <x v="0"/>
    <x v="2"/>
    <x v="17"/>
    <n v="200801"/>
    <n v="200801"/>
    <m/>
    <n v="58"/>
    <n v="200801"/>
    <n v="1914000"/>
  </r>
  <r>
    <x v="352"/>
    <x v="0"/>
    <m/>
    <x v="0"/>
    <x v="2"/>
    <x v="19"/>
    <n v="200801"/>
    <n v="200801"/>
    <m/>
    <n v="40"/>
    <n v="200801"/>
    <n v="120000"/>
  </r>
  <r>
    <x v="352"/>
    <x v="0"/>
    <m/>
    <x v="5"/>
    <x v="2"/>
    <x v="28"/>
    <n v="200801"/>
    <n v="200801"/>
    <m/>
    <n v="17"/>
    <n v="200801"/>
    <n v="476000"/>
  </r>
  <r>
    <x v="352"/>
    <x v="0"/>
    <m/>
    <x v="5"/>
    <x v="2"/>
    <x v="69"/>
    <n v="200801"/>
    <n v="200801"/>
    <m/>
    <n v="5"/>
    <n v="200801"/>
    <n v="240000"/>
  </r>
  <r>
    <x v="352"/>
    <x v="0"/>
    <m/>
    <x v="22"/>
    <x v="2"/>
    <x v="29"/>
    <n v="200801"/>
    <n v="200801"/>
    <m/>
    <n v="5"/>
    <n v="200801"/>
    <n v="190000"/>
  </r>
  <r>
    <x v="352"/>
    <x v="0"/>
    <m/>
    <x v="19"/>
    <x v="2"/>
    <x v="22"/>
    <n v="200801"/>
    <n v="200801"/>
    <m/>
    <n v="5"/>
    <n v="200801"/>
    <n v="65000"/>
  </r>
  <r>
    <x v="352"/>
    <x v="0"/>
    <m/>
    <x v="19"/>
    <x v="2"/>
    <x v="23"/>
    <n v="200801"/>
    <n v="200801"/>
    <m/>
    <n v="1"/>
    <n v="200801"/>
    <n v="24000"/>
  </r>
  <r>
    <x v="352"/>
    <x v="0"/>
    <m/>
    <x v="19"/>
    <x v="2"/>
    <x v="24"/>
    <n v="200801"/>
    <n v="200801"/>
    <m/>
    <n v="1"/>
    <n v="200801"/>
    <n v="33000"/>
  </r>
  <r>
    <x v="352"/>
    <x v="0"/>
    <m/>
    <x v="33"/>
    <x v="2"/>
    <x v="92"/>
    <n v="200801"/>
    <n v="200801"/>
    <m/>
    <n v="1"/>
    <n v="200801"/>
    <n v="18200"/>
  </r>
  <r>
    <x v="352"/>
    <x v="0"/>
    <m/>
    <x v="33"/>
    <x v="2"/>
    <x v="93"/>
    <n v="200801"/>
    <n v="200801"/>
    <m/>
    <n v="1"/>
    <n v="200801"/>
    <n v="33800"/>
  </r>
  <r>
    <x v="352"/>
    <x v="0"/>
    <m/>
    <x v="0"/>
    <x v="10"/>
    <x v="54"/>
    <n v="200801"/>
    <n v="200801"/>
    <m/>
    <n v="7"/>
    <n v="200801"/>
    <n v="231000"/>
  </r>
  <r>
    <x v="352"/>
    <x v="0"/>
    <m/>
    <x v="22"/>
    <x v="10"/>
    <x v="55"/>
    <n v="200801"/>
    <n v="200801"/>
    <m/>
    <n v="1"/>
    <n v="200801"/>
    <n v="44000"/>
  </r>
  <r>
    <x v="352"/>
    <x v="0"/>
    <m/>
    <x v="0"/>
    <x v="10"/>
    <x v="57"/>
    <n v="200801"/>
    <n v="200801"/>
    <m/>
    <n v="1"/>
    <n v="200801"/>
    <n v="53000"/>
  </r>
  <r>
    <x v="352"/>
    <x v="0"/>
    <m/>
    <x v="0"/>
    <x v="9"/>
    <x v="15"/>
    <n v="200801"/>
    <n v="200801"/>
    <m/>
    <n v="2"/>
    <n v="200801"/>
    <n v="40000"/>
  </r>
  <r>
    <x v="353"/>
    <x v="2"/>
    <m/>
    <x v="0"/>
    <x v="1"/>
    <x v="15"/>
    <n v="200801"/>
    <n v="200801"/>
    <m/>
    <n v="1"/>
    <n v="200801"/>
    <n v="20000"/>
  </r>
  <r>
    <x v="353"/>
    <x v="2"/>
    <m/>
    <x v="0"/>
    <x v="1"/>
    <x v="16"/>
    <n v="200801"/>
    <n v="200801"/>
    <m/>
    <n v="6"/>
    <n v="200801"/>
    <n v="210000"/>
  </r>
  <r>
    <x v="353"/>
    <x v="2"/>
    <m/>
    <x v="5"/>
    <x v="5"/>
    <x v="53"/>
    <n v="200801"/>
    <n v="200801"/>
    <m/>
    <n v="10"/>
    <n v="200801"/>
    <n v="148500"/>
  </r>
  <r>
    <x v="353"/>
    <x v="2"/>
    <m/>
    <x v="22"/>
    <x v="5"/>
    <x v="52"/>
    <n v="200801"/>
    <n v="200801"/>
    <m/>
    <n v="20"/>
    <n v="200801"/>
    <n v="342000"/>
  </r>
  <r>
    <x v="353"/>
    <x v="2"/>
    <m/>
    <x v="19"/>
    <x v="5"/>
    <x v="50"/>
    <n v="200801"/>
    <n v="200801"/>
    <m/>
    <n v="40"/>
    <n v="200801"/>
    <n v="288000"/>
  </r>
  <r>
    <x v="353"/>
    <x v="2"/>
    <m/>
    <x v="4"/>
    <x v="5"/>
    <x v="62"/>
    <n v="200801"/>
    <n v="200801"/>
    <m/>
    <n v="20"/>
    <n v="200801"/>
    <n v="360000"/>
  </r>
  <r>
    <x v="353"/>
    <x v="2"/>
    <m/>
    <x v="0"/>
    <x v="7"/>
    <x v="15"/>
    <n v="200801"/>
    <n v="200801"/>
    <m/>
    <n v="3"/>
    <n v="200801"/>
    <n v="60000"/>
  </r>
  <r>
    <x v="353"/>
    <x v="2"/>
    <m/>
    <x v="33"/>
    <x v="3"/>
    <x v="94"/>
    <n v="200801"/>
    <n v="200801"/>
    <m/>
    <n v="1"/>
    <n v="200801"/>
    <n v="0"/>
  </r>
  <r>
    <x v="353"/>
    <x v="2"/>
    <m/>
    <x v="31"/>
    <x v="3"/>
    <x v="88"/>
    <n v="200801"/>
    <n v="200801"/>
    <m/>
    <n v="1"/>
    <n v="200801"/>
    <n v="0"/>
  </r>
  <r>
    <x v="353"/>
    <x v="2"/>
    <m/>
    <x v="0"/>
    <x v="3"/>
    <x v="15"/>
    <n v="200801"/>
    <n v="200801"/>
    <m/>
    <n v="2"/>
    <n v="200801"/>
    <n v="0"/>
  </r>
  <r>
    <x v="353"/>
    <x v="2"/>
    <m/>
    <x v="6"/>
    <x v="2"/>
    <x v="37"/>
    <n v="200801"/>
    <n v="200801"/>
    <m/>
    <n v="1"/>
    <n v="200801"/>
    <n v="20000"/>
  </r>
  <r>
    <x v="353"/>
    <x v="2"/>
    <m/>
    <x v="25"/>
    <x v="2"/>
    <x v="34"/>
    <n v="200801"/>
    <n v="200801"/>
    <m/>
    <n v="3"/>
    <n v="200801"/>
    <n v="297000"/>
  </r>
  <r>
    <x v="353"/>
    <x v="2"/>
    <m/>
    <x v="4"/>
    <x v="2"/>
    <x v="26"/>
    <n v="200801"/>
    <n v="200801"/>
    <m/>
    <n v="14"/>
    <n v="200801"/>
    <n v="56000"/>
  </r>
  <r>
    <x v="353"/>
    <x v="2"/>
    <m/>
    <x v="4"/>
    <x v="2"/>
    <x v="27"/>
    <n v="200801"/>
    <n v="200801"/>
    <m/>
    <n v="2"/>
    <n v="200801"/>
    <n v="40000"/>
  </r>
  <r>
    <x v="353"/>
    <x v="2"/>
    <m/>
    <x v="0"/>
    <x v="2"/>
    <x v="15"/>
    <n v="200801"/>
    <n v="200801"/>
    <m/>
    <n v="46"/>
    <n v="200801"/>
    <n v="920000"/>
  </r>
  <r>
    <x v="353"/>
    <x v="2"/>
    <m/>
    <x v="0"/>
    <x v="2"/>
    <x v="16"/>
    <n v="200801"/>
    <n v="200801"/>
    <m/>
    <n v="30"/>
    <n v="200801"/>
    <n v="1050000"/>
  </r>
  <r>
    <x v="353"/>
    <x v="2"/>
    <m/>
    <x v="0"/>
    <x v="2"/>
    <x v="17"/>
    <n v="200801"/>
    <n v="200801"/>
    <m/>
    <n v="58"/>
    <n v="200801"/>
    <n v="1914000"/>
  </r>
  <r>
    <x v="353"/>
    <x v="2"/>
    <m/>
    <x v="0"/>
    <x v="2"/>
    <x v="19"/>
    <n v="200801"/>
    <n v="200801"/>
    <m/>
    <n v="37"/>
    <n v="200801"/>
    <n v="111000"/>
  </r>
  <r>
    <x v="353"/>
    <x v="2"/>
    <m/>
    <x v="5"/>
    <x v="2"/>
    <x v="28"/>
    <n v="200801"/>
    <n v="200801"/>
    <m/>
    <n v="16"/>
    <n v="200801"/>
    <n v="448000"/>
  </r>
  <r>
    <x v="353"/>
    <x v="2"/>
    <m/>
    <x v="5"/>
    <x v="2"/>
    <x v="69"/>
    <n v="200801"/>
    <n v="200801"/>
    <m/>
    <n v="4"/>
    <n v="200801"/>
    <n v="192000"/>
  </r>
  <r>
    <x v="353"/>
    <x v="2"/>
    <m/>
    <x v="22"/>
    <x v="2"/>
    <x v="29"/>
    <n v="200801"/>
    <n v="200801"/>
    <m/>
    <n v="4"/>
    <n v="200801"/>
    <n v="152000"/>
  </r>
  <r>
    <x v="353"/>
    <x v="2"/>
    <m/>
    <x v="19"/>
    <x v="2"/>
    <x v="22"/>
    <n v="200801"/>
    <n v="200801"/>
    <m/>
    <n v="9"/>
    <n v="200801"/>
    <n v="117000"/>
  </r>
  <r>
    <x v="353"/>
    <x v="2"/>
    <m/>
    <x v="33"/>
    <x v="2"/>
    <x v="92"/>
    <n v="200801"/>
    <n v="200801"/>
    <m/>
    <n v="2"/>
    <n v="200801"/>
    <n v="36400"/>
  </r>
  <r>
    <x v="353"/>
    <x v="2"/>
    <m/>
    <x v="33"/>
    <x v="2"/>
    <x v="93"/>
    <n v="200801"/>
    <n v="200801"/>
    <m/>
    <n v="1"/>
    <n v="200801"/>
    <n v="33800"/>
  </r>
  <r>
    <x v="353"/>
    <x v="2"/>
    <m/>
    <x v="0"/>
    <x v="10"/>
    <x v="54"/>
    <n v="200801"/>
    <n v="200801"/>
    <m/>
    <n v="2"/>
    <n v="200801"/>
    <n v="66000"/>
  </r>
  <r>
    <x v="353"/>
    <x v="2"/>
    <m/>
    <x v="0"/>
    <x v="9"/>
    <x v="15"/>
    <n v="200801"/>
    <n v="200801"/>
    <m/>
    <n v="2"/>
    <n v="200801"/>
    <n v="40000"/>
  </r>
  <r>
    <x v="354"/>
    <x v="5"/>
    <m/>
    <x v="0"/>
    <x v="7"/>
    <x v="15"/>
    <n v="200801"/>
    <n v="200801"/>
    <m/>
    <n v="2"/>
    <n v="200801"/>
    <n v="40000"/>
  </r>
  <r>
    <x v="354"/>
    <x v="5"/>
    <m/>
    <x v="6"/>
    <x v="2"/>
    <x v="37"/>
    <n v="200801"/>
    <n v="200801"/>
    <m/>
    <n v="1"/>
    <n v="200801"/>
    <n v="20000"/>
  </r>
  <r>
    <x v="354"/>
    <x v="5"/>
    <m/>
    <x v="25"/>
    <x v="2"/>
    <x v="34"/>
    <n v="200801"/>
    <n v="200801"/>
    <m/>
    <n v="2"/>
    <n v="200801"/>
    <n v="198000"/>
  </r>
  <r>
    <x v="354"/>
    <x v="5"/>
    <m/>
    <x v="1"/>
    <x v="2"/>
    <x v="21"/>
    <n v="200801"/>
    <n v="200801"/>
    <m/>
    <n v="1"/>
    <n v="200801"/>
    <n v="35000"/>
  </r>
  <r>
    <x v="354"/>
    <x v="5"/>
    <m/>
    <x v="4"/>
    <x v="2"/>
    <x v="26"/>
    <n v="200801"/>
    <n v="200801"/>
    <m/>
    <n v="4"/>
    <n v="200801"/>
    <n v="16000"/>
  </r>
  <r>
    <x v="354"/>
    <x v="5"/>
    <m/>
    <x v="4"/>
    <x v="2"/>
    <x v="27"/>
    <n v="200801"/>
    <n v="200801"/>
    <m/>
    <n v="2"/>
    <n v="200801"/>
    <n v="40000"/>
  </r>
  <r>
    <x v="354"/>
    <x v="5"/>
    <m/>
    <x v="0"/>
    <x v="2"/>
    <x v="15"/>
    <n v="200801"/>
    <n v="200801"/>
    <m/>
    <n v="31"/>
    <n v="200801"/>
    <n v="620000"/>
  </r>
  <r>
    <x v="354"/>
    <x v="5"/>
    <m/>
    <x v="0"/>
    <x v="2"/>
    <x v="16"/>
    <n v="200801"/>
    <n v="200801"/>
    <m/>
    <n v="30"/>
    <n v="200801"/>
    <n v="1050000"/>
  </r>
  <r>
    <x v="354"/>
    <x v="5"/>
    <m/>
    <x v="0"/>
    <x v="2"/>
    <x v="17"/>
    <n v="200801"/>
    <n v="200801"/>
    <m/>
    <n v="44"/>
    <n v="200801"/>
    <n v="1452000"/>
  </r>
  <r>
    <x v="354"/>
    <x v="5"/>
    <m/>
    <x v="0"/>
    <x v="2"/>
    <x v="19"/>
    <n v="200801"/>
    <n v="200801"/>
    <m/>
    <n v="33"/>
    <n v="200801"/>
    <n v="99000"/>
  </r>
  <r>
    <x v="354"/>
    <x v="5"/>
    <m/>
    <x v="5"/>
    <x v="2"/>
    <x v="28"/>
    <n v="200801"/>
    <n v="200801"/>
    <m/>
    <n v="10"/>
    <n v="200801"/>
    <n v="280000"/>
  </r>
  <r>
    <x v="354"/>
    <x v="5"/>
    <m/>
    <x v="22"/>
    <x v="2"/>
    <x v="29"/>
    <n v="200801"/>
    <n v="200801"/>
    <m/>
    <n v="7"/>
    <n v="200801"/>
    <n v="266000"/>
  </r>
  <r>
    <x v="354"/>
    <x v="5"/>
    <m/>
    <x v="19"/>
    <x v="2"/>
    <x v="22"/>
    <n v="200801"/>
    <n v="200801"/>
    <m/>
    <n v="1"/>
    <n v="200801"/>
    <n v="13000"/>
  </r>
  <r>
    <x v="354"/>
    <x v="5"/>
    <m/>
    <x v="33"/>
    <x v="2"/>
    <x v="92"/>
    <n v="200801"/>
    <n v="200801"/>
    <m/>
    <n v="2"/>
    <n v="200801"/>
    <n v="36400"/>
  </r>
  <r>
    <x v="354"/>
    <x v="5"/>
    <m/>
    <x v="33"/>
    <x v="2"/>
    <x v="93"/>
    <n v="200801"/>
    <n v="200801"/>
    <m/>
    <n v="1"/>
    <n v="200801"/>
    <n v="33800"/>
  </r>
  <r>
    <x v="354"/>
    <x v="5"/>
    <m/>
    <x v="0"/>
    <x v="9"/>
    <x v="15"/>
    <n v="200801"/>
    <n v="200801"/>
    <m/>
    <n v="7"/>
    <n v="200801"/>
    <n v="140000"/>
  </r>
  <r>
    <x v="354"/>
    <x v="5"/>
    <m/>
    <x v="1"/>
    <x v="9"/>
    <x v="18"/>
    <n v="200801"/>
    <n v="200801"/>
    <m/>
    <n v="1"/>
    <n v="200801"/>
    <n v="20000"/>
  </r>
  <r>
    <x v="354"/>
    <x v="5"/>
    <m/>
    <x v="6"/>
    <x v="9"/>
    <x v="37"/>
    <n v="200801"/>
    <n v="200801"/>
    <m/>
    <n v="1"/>
    <n v="200801"/>
    <n v="20000"/>
  </r>
  <r>
    <x v="355"/>
    <x v="6"/>
    <m/>
    <x v="0"/>
    <x v="7"/>
    <x v="15"/>
    <n v="200801"/>
    <n v="200801"/>
    <m/>
    <n v="5"/>
    <n v="200801"/>
    <n v="100000"/>
  </r>
  <r>
    <x v="355"/>
    <x v="6"/>
    <m/>
    <x v="6"/>
    <x v="2"/>
    <x v="37"/>
    <n v="200801"/>
    <n v="200801"/>
    <m/>
    <n v="1"/>
    <n v="200801"/>
    <n v="20000"/>
  </r>
  <r>
    <x v="355"/>
    <x v="6"/>
    <m/>
    <x v="6"/>
    <x v="2"/>
    <x v="42"/>
    <n v="200801"/>
    <n v="200801"/>
    <m/>
    <n v="1"/>
    <n v="200801"/>
    <n v="35000"/>
  </r>
  <r>
    <x v="355"/>
    <x v="6"/>
    <m/>
    <x v="25"/>
    <x v="2"/>
    <x v="34"/>
    <n v="200801"/>
    <n v="200801"/>
    <m/>
    <n v="3"/>
    <n v="200801"/>
    <n v="297000"/>
  </r>
  <r>
    <x v="355"/>
    <x v="6"/>
    <m/>
    <x v="32"/>
    <x v="2"/>
    <x v="91"/>
    <n v="200801"/>
    <n v="200801"/>
    <m/>
    <n v="1"/>
    <n v="200801"/>
    <n v="37100"/>
  </r>
  <r>
    <x v="355"/>
    <x v="6"/>
    <m/>
    <x v="1"/>
    <x v="2"/>
    <x v="21"/>
    <n v="200801"/>
    <n v="200801"/>
    <m/>
    <n v="1"/>
    <n v="200801"/>
    <n v="35000"/>
  </r>
  <r>
    <x v="355"/>
    <x v="6"/>
    <m/>
    <x v="4"/>
    <x v="2"/>
    <x v="26"/>
    <n v="200801"/>
    <n v="200801"/>
    <m/>
    <n v="6"/>
    <n v="200801"/>
    <n v="24000"/>
  </r>
  <r>
    <x v="355"/>
    <x v="6"/>
    <m/>
    <x v="4"/>
    <x v="2"/>
    <x v="27"/>
    <n v="200801"/>
    <n v="200801"/>
    <m/>
    <n v="3"/>
    <n v="200801"/>
    <n v="60000"/>
  </r>
  <r>
    <x v="355"/>
    <x v="6"/>
    <m/>
    <x v="0"/>
    <x v="2"/>
    <x v="15"/>
    <n v="200801"/>
    <n v="200801"/>
    <m/>
    <n v="45"/>
    <n v="200801"/>
    <n v="900000"/>
  </r>
  <r>
    <x v="355"/>
    <x v="6"/>
    <m/>
    <x v="0"/>
    <x v="2"/>
    <x v="16"/>
    <n v="200801"/>
    <n v="200801"/>
    <m/>
    <n v="36"/>
    <n v="200801"/>
    <n v="1260000"/>
  </r>
  <r>
    <x v="355"/>
    <x v="6"/>
    <m/>
    <x v="0"/>
    <x v="2"/>
    <x v="17"/>
    <n v="200801"/>
    <n v="200801"/>
    <m/>
    <n v="50"/>
    <n v="200801"/>
    <n v="1650000"/>
  </r>
  <r>
    <x v="355"/>
    <x v="6"/>
    <m/>
    <x v="0"/>
    <x v="2"/>
    <x v="19"/>
    <n v="200801"/>
    <n v="200801"/>
    <m/>
    <n v="36"/>
    <n v="200801"/>
    <n v="108000"/>
  </r>
  <r>
    <x v="355"/>
    <x v="6"/>
    <m/>
    <x v="5"/>
    <x v="2"/>
    <x v="28"/>
    <n v="200801"/>
    <n v="200801"/>
    <m/>
    <n v="17"/>
    <n v="200801"/>
    <n v="476000"/>
  </r>
  <r>
    <x v="355"/>
    <x v="6"/>
    <m/>
    <x v="5"/>
    <x v="2"/>
    <x v="69"/>
    <n v="200801"/>
    <n v="200801"/>
    <m/>
    <n v="1"/>
    <n v="200801"/>
    <n v="48000"/>
  </r>
  <r>
    <x v="355"/>
    <x v="6"/>
    <m/>
    <x v="22"/>
    <x v="2"/>
    <x v="29"/>
    <n v="200801"/>
    <n v="200801"/>
    <m/>
    <n v="10"/>
    <n v="200801"/>
    <n v="380000"/>
  </r>
  <r>
    <x v="355"/>
    <x v="6"/>
    <m/>
    <x v="19"/>
    <x v="2"/>
    <x v="22"/>
    <n v="200801"/>
    <n v="200801"/>
    <m/>
    <n v="4"/>
    <n v="200801"/>
    <n v="52000"/>
  </r>
  <r>
    <x v="355"/>
    <x v="6"/>
    <m/>
    <x v="19"/>
    <x v="2"/>
    <x v="23"/>
    <n v="200801"/>
    <n v="200801"/>
    <m/>
    <n v="1"/>
    <n v="200801"/>
    <n v="24000"/>
  </r>
  <r>
    <x v="355"/>
    <x v="6"/>
    <m/>
    <x v="19"/>
    <x v="2"/>
    <x v="24"/>
    <n v="200801"/>
    <n v="200801"/>
    <m/>
    <n v="2"/>
    <n v="200801"/>
    <n v="66000"/>
  </r>
  <r>
    <x v="355"/>
    <x v="6"/>
    <m/>
    <x v="33"/>
    <x v="2"/>
    <x v="92"/>
    <n v="200801"/>
    <n v="200801"/>
    <m/>
    <n v="1"/>
    <n v="200801"/>
    <n v="18200"/>
  </r>
  <r>
    <x v="355"/>
    <x v="6"/>
    <m/>
    <x v="0"/>
    <x v="9"/>
    <x v="15"/>
    <n v="200801"/>
    <n v="200801"/>
    <m/>
    <n v="8"/>
    <n v="200801"/>
    <n v="160000"/>
  </r>
  <r>
    <x v="355"/>
    <x v="6"/>
    <m/>
    <x v="0"/>
    <x v="6"/>
    <x v="15"/>
    <n v="200801"/>
    <n v="200801"/>
    <m/>
    <n v="936"/>
    <n v="200801"/>
    <n v="8487648"/>
  </r>
  <r>
    <x v="355"/>
    <x v="6"/>
    <m/>
    <x v="0"/>
    <x v="6"/>
    <x v="17"/>
    <n v="200801"/>
    <n v="200801"/>
    <m/>
    <n v="3"/>
    <n v="200801"/>
    <n v="47454"/>
  </r>
  <r>
    <x v="355"/>
    <x v="6"/>
    <m/>
    <x v="4"/>
    <x v="6"/>
    <x v="26"/>
    <n v="200801"/>
    <n v="200801"/>
    <m/>
    <n v="401"/>
    <n v="200801"/>
    <n v="430273"/>
  </r>
  <r>
    <x v="355"/>
    <x v="6"/>
    <m/>
    <x v="26"/>
    <x v="6"/>
    <x v="35"/>
    <n v="200801"/>
    <n v="200801"/>
    <m/>
    <n v="38"/>
    <n v="200801"/>
    <n v="650978"/>
  </r>
  <r>
    <x v="355"/>
    <x v="6"/>
    <m/>
    <x v="22"/>
    <x v="6"/>
    <x v="29"/>
    <n v="200801"/>
    <n v="200801"/>
    <m/>
    <n v="63"/>
    <n v="200801"/>
    <n v="1240533"/>
  </r>
  <r>
    <x v="355"/>
    <x v="6"/>
    <m/>
    <x v="24"/>
    <x v="6"/>
    <x v="31"/>
    <n v="200801"/>
    <n v="200801"/>
    <m/>
    <n v="139"/>
    <n v="200801"/>
    <n v="2067903"/>
  </r>
  <r>
    <x v="355"/>
    <x v="6"/>
    <m/>
    <x v="23"/>
    <x v="6"/>
    <x v="30"/>
    <n v="200801"/>
    <n v="200801"/>
    <m/>
    <n v="12"/>
    <n v="200801"/>
    <n v="83568"/>
  </r>
  <r>
    <x v="355"/>
    <x v="6"/>
    <m/>
    <x v="20"/>
    <x v="6"/>
    <x v="25"/>
    <n v="200801"/>
    <n v="200801"/>
    <m/>
    <n v="1"/>
    <n v="200801"/>
    <n v="9716"/>
  </r>
  <r>
    <x v="355"/>
    <x v="6"/>
    <m/>
    <x v="19"/>
    <x v="6"/>
    <x v="22"/>
    <n v="200801"/>
    <n v="200801"/>
    <m/>
    <n v="55"/>
    <n v="200801"/>
    <n v="373505"/>
  </r>
  <r>
    <x v="355"/>
    <x v="6"/>
    <m/>
    <x v="27"/>
    <x v="6"/>
    <x v="36"/>
    <n v="200801"/>
    <n v="200801"/>
    <m/>
    <n v="1"/>
    <n v="200801"/>
    <n v="9457"/>
  </r>
  <r>
    <x v="355"/>
    <x v="6"/>
    <m/>
    <x v="6"/>
    <x v="6"/>
    <x v="37"/>
    <n v="200801"/>
    <n v="200801"/>
    <m/>
    <n v="34"/>
    <n v="200801"/>
    <n v="340000"/>
  </r>
  <r>
    <x v="355"/>
    <x v="6"/>
    <m/>
    <x v="28"/>
    <x v="6"/>
    <x v="39"/>
    <n v="200801"/>
    <n v="200801"/>
    <m/>
    <n v="22"/>
    <n v="200801"/>
    <n v="347996"/>
  </r>
  <r>
    <x v="355"/>
    <x v="6"/>
    <m/>
    <x v="4"/>
    <x v="6"/>
    <x v="66"/>
    <n v="200801"/>
    <n v="200801"/>
    <m/>
    <n v="106"/>
    <n v="200801"/>
    <n v="593282"/>
  </r>
  <r>
    <x v="356"/>
    <x v="3"/>
    <m/>
    <x v="0"/>
    <x v="1"/>
    <x v="15"/>
    <n v="200801"/>
    <n v="200801"/>
    <m/>
    <n v="4"/>
    <n v="200801"/>
    <n v="80000"/>
  </r>
  <r>
    <x v="356"/>
    <x v="3"/>
    <m/>
    <x v="0"/>
    <x v="1"/>
    <x v="16"/>
    <n v="200801"/>
    <n v="200801"/>
    <m/>
    <n v="16"/>
    <n v="200801"/>
    <n v="560000"/>
  </r>
  <r>
    <x v="356"/>
    <x v="3"/>
    <m/>
    <x v="0"/>
    <x v="7"/>
    <x v="15"/>
    <n v="200801"/>
    <n v="200801"/>
    <m/>
    <n v="7"/>
    <n v="200801"/>
    <n v="140000"/>
  </r>
  <r>
    <x v="356"/>
    <x v="3"/>
    <m/>
    <x v="0"/>
    <x v="3"/>
    <x v="15"/>
    <n v="200801"/>
    <n v="200801"/>
    <m/>
    <n v="2"/>
    <n v="200801"/>
    <n v="0"/>
  </r>
  <r>
    <x v="356"/>
    <x v="3"/>
    <m/>
    <x v="6"/>
    <x v="2"/>
    <x v="37"/>
    <n v="200801"/>
    <n v="200801"/>
    <m/>
    <n v="3"/>
    <n v="200801"/>
    <n v="60000"/>
  </r>
  <r>
    <x v="356"/>
    <x v="3"/>
    <m/>
    <x v="25"/>
    <x v="2"/>
    <x v="34"/>
    <n v="200801"/>
    <n v="200801"/>
    <m/>
    <n v="5"/>
    <n v="200801"/>
    <n v="495000"/>
  </r>
  <r>
    <x v="356"/>
    <x v="3"/>
    <m/>
    <x v="32"/>
    <x v="2"/>
    <x v="91"/>
    <n v="200801"/>
    <n v="200801"/>
    <m/>
    <n v="1"/>
    <n v="200801"/>
    <n v="37100"/>
  </r>
  <r>
    <x v="356"/>
    <x v="3"/>
    <m/>
    <x v="31"/>
    <x v="2"/>
    <x v="95"/>
    <n v="200801"/>
    <n v="200801"/>
    <m/>
    <n v="8"/>
    <n v="200801"/>
    <n v="179200"/>
  </r>
  <r>
    <x v="356"/>
    <x v="3"/>
    <m/>
    <x v="31"/>
    <x v="2"/>
    <x v="96"/>
    <n v="200801"/>
    <n v="200801"/>
    <m/>
    <n v="3"/>
    <n v="200801"/>
    <n v="117600"/>
  </r>
  <r>
    <x v="356"/>
    <x v="3"/>
    <m/>
    <x v="32"/>
    <x v="2"/>
    <x v="97"/>
    <n v="200801"/>
    <n v="200801"/>
    <m/>
    <n v="7"/>
    <n v="200801"/>
    <n v="259700"/>
  </r>
  <r>
    <x v="356"/>
    <x v="3"/>
    <m/>
    <x v="34"/>
    <x v="2"/>
    <x v="98"/>
    <n v="200801"/>
    <n v="200801"/>
    <m/>
    <n v="14"/>
    <n v="200801"/>
    <n v="490000"/>
  </r>
  <r>
    <x v="356"/>
    <x v="3"/>
    <m/>
    <x v="30"/>
    <x v="2"/>
    <x v="99"/>
    <n v="200801"/>
    <n v="200801"/>
    <m/>
    <n v="3"/>
    <n v="200801"/>
    <n v="67200"/>
  </r>
  <r>
    <x v="356"/>
    <x v="3"/>
    <m/>
    <x v="1"/>
    <x v="2"/>
    <x v="18"/>
    <n v="200801"/>
    <n v="200801"/>
    <m/>
    <n v="3"/>
    <n v="200801"/>
    <n v="60000"/>
  </r>
  <r>
    <x v="356"/>
    <x v="3"/>
    <m/>
    <x v="1"/>
    <x v="2"/>
    <x v="21"/>
    <n v="200801"/>
    <n v="200801"/>
    <m/>
    <n v="1"/>
    <n v="200801"/>
    <n v="35000"/>
  </r>
  <r>
    <x v="356"/>
    <x v="3"/>
    <m/>
    <x v="4"/>
    <x v="2"/>
    <x v="26"/>
    <n v="200801"/>
    <n v="200801"/>
    <m/>
    <n v="6"/>
    <n v="200801"/>
    <n v="24000"/>
  </r>
  <r>
    <x v="356"/>
    <x v="3"/>
    <m/>
    <x v="4"/>
    <x v="2"/>
    <x v="27"/>
    <n v="200801"/>
    <n v="200801"/>
    <m/>
    <n v="8"/>
    <n v="200801"/>
    <n v="160000"/>
  </r>
  <r>
    <x v="356"/>
    <x v="3"/>
    <m/>
    <x v="0"/>
    <x v="2"/>
    <x v="15"/>
    <n v="200801"/>
    <n v="200801"/>
    <m/>
    <n v="66"/>
    <n v="200801"/>
    <n v="1320000"/>
  </r>
  <r>
    <x v="356"/>
    <x v="3"/>
    <m/>
    <x v="0"/>
    <x v="2"/>
    <x v="16"/>
    <n v="200801"/>
    <n v="200801"/>
    <m/>
    <n v="52"/>
    <n v="200801"/>
    <n v="1820000"/>
  </r>
  <r>
    <x v="356"/>
    <x v="3"/>
    <m/>
    <x v="0"/>
    <x v="2"/>
    <x v="17"/>
    <n v="200801"/>
    <n v="200801"/>
    <m/>
    <n v="65"/>
    <n v="200801"/>
    <n v="2145000"/>
  </r>
  <r>
    <x v="356"/>
    <x v="3"/>
    <m/>
    <x v="0"/>
    <x v="2"/>
    <x v="19"/>
    <n v="200801"/>
    <n v="200801"/>
    <m/>
    <n v="49"/>
    <n v="200801"/>
    <n v="147000"/>
  </r>
  <r>
    <x v="356"/>
    <x v="3"/>
    <m/>
    <x v="5"/>
    <x v="2"/>
    <x v="28"/>
    <n v="200801"/>
    <n v="200801"/>
    <m/>
    <n v="21"/>
    <n v="200801"/>
    <n v="588000"/>
  </r>
  <r>
    <x v="356"/>
    <x v="3"/>
    <m/>
    <x v="5"/>
    <x v="2"/>
    <x v="69"/>
    <n v="200801"/>
    <n v="200801"/>
    <m/>
    <n v="3"/>
    <n v="200801"/>
    <n v="144000"/>
  </r>
  <r>
    <x v="356"/>
    <x v="3"/>
    <m/>
    <x v="22"/>
    <x v="2"/>
    <x v="29"/>
    <n v="200801"/>
    <n v="200801"/>
    <m/>
    <n v="7"/>
    <n v="200801"/>
    <n v="266000"/>
  </r>
  <r>
    <x v="356"/>
    <x v="3"/>
    <m/>
    <x v="19"/>
    <x v="2"/>
    <x v="22"/>
    <n v="200801"/>
    <n v="200801"/>
    <m/>
    <n v="4"/>
    <n v="200801"/>
    <n v="52000"/>
  </r>
  <r>
    <x v="356"/>
    <x v="3"/>
    <m/>
    <x v="19"/>
    <x v="2"/>
    <x v="23"/>
    <n v="200801"/>
    <n v="200801"/>
    <m/>
    <n v="1"/>
    <n v="200801"/>
    <n v="24000"/>
  </r>
  <r>
    <x v="356"/>
    <x v="3"/>
    <m/>
    <x v="33"/>
    <x v="2"/>
    <x v="92"/>
    <n v="200801"/>
    <n v="200801"/>
    <m/>
    <n v="5"/>
    <n v="200801"/>
    <n v="91000"/>
  </r>
  <r>
    <x v="356"/>
    <x v="3"/>
    <m/>
    <x v="33"/>
    <x v="2"/>
    <x v="93"/>
    <n v="200801"/>
    <n v="200801"/>
    <m/>
    <n v="1"/>
    <n v="200801"/>
    <n v="33800"/>
  </r>
  <r>
    <x v="356"/>
    <x v="3"/>
    <m/>
    <x v="0"/>
    <x v="10"/>
    <x v="54"/>
    <n v="200801"/>
    <n v="200801"/>
    <m/>
    <n v="4"/>
    <n v="200801"/>
    <n v="132000"/>
  </r>
  <r>
    <x v="356"/>
    <x v="3"/>
    <m/>
    <x v="0"/>
    <x v="10"/>
    <x v="57"/>
    <n v="200801"/>
    <n v="200801"/>
    <m/>
    <n v="4"/>
    <n v="200801"/>
    <n v="212000"/>
  </r>
  <r>
    <x v="356"/>
    <x v="3"/>
    <m/>
    <x v="0"/>
    <x v="9"/>
    <x v="15"/>
    <n v="200801"/>
    <n v="200801"/>
    <m/>
    <n v="3"/>
    <n v="200801"/>
    <n v="60000"/>
  </r>
  <r>
    <x v="356"/>
    <x v="3"/>
    <m/>
    <x v="6"/>
    <x v="19"/>
    <x v="37"/>
    <n v="200801"/>
    <n v="200801"/>
    <m/>
    <n v="1"/>
    <n v="200801"/>
    <n v="25000"/>
  </r>
  <r>
    <x v="357"/>
    <x v="4"/>
    <m/>
    <x v="0"/>
    <x v="1"/>
    <x v="15"/>
    <n v="200801"/>
    <n v="200801"/>
    <m/>
    <n v="1"/>
    <n v="200801"/>
    <n v="20000"/>
  </r>
  <r>
    <x v="357"/>
    <x v="4"/>
    <m/>
    <x v="0"/>
    <x v="1"/>
    <x v="16"/>
    <n v="200801"/>
    <n v="200801"/>
    <m/>
    <n v="8"/>
    <n v="200801"/>
    <n v="280000"/>
  </r>
  <r>
    <x v="357"/>
    <x v="4"/>
    <m/>
    <x v="0"/>
    <x v="7"/>
    <x v="15"/>
    <n v="200801"/>
    <n v="200801"/>
    <m/>
    <n v="2"/>
    <n v="200801"/>
    <n v="40000"/>
  </r>
  <r>
    <x v="357"/>
    <x v="4"/>
    <m/>
    <x v="6"/>
    <x v="2"/>
    <x v="37"/>
    <n v="200801"/>
    <n v="200801"/>
    <m/>
    <n v="1"/>
    <n v="200801"/>
    <n v="20000"/>
  </r>
  <r>
    <x v="357"/>
    <x v="4"/>
    <m/>
    <x v="6"/>
    <x v="2"/>
    <x v="42"/>
    <n v="200801"/>
    <n v="200801"/>
    <m/>
    <n v="1"/>
    <n v="200801"/>
    <n v="35000"/>
  </r>
  <r>
    <x v="357"/>
    <x v="4"/>
    <m/>
    <x v="25"/>
    <x v="2"/>
    <x v="34"/>
    <n v="200801"/>
    <n v="200801"/>
    <m/>
    <n v="2"/>
    <n v="200801"/>
    <n v="198000"/>
  </r>
  <r>
    <x v="357"/>
    <x v="4"/>
    <m/>
    <x v="31"/>
    <x v="2"/>
    <x v="95"/>
    <n v="200801"/>
    <n v="200801"/>
    <m/>
    <n v="11"/>
    <n v="200801"/>
    <n v="246400"/>
  </r>
  <r>
    <x v="357"/>
    <x v="4"/>
    <m/>
    <x v="31"/>
    <x v="2"/>
    <x v="96"/>
    <n v="200801"/>
    <n v="200801"/>
    <m/>
    <n v="10"/>
    <n v="200801"/>
    <n v="392000"/>
  </r>
  <r>
    <x v="357"/>
    <x v="4"/>
    <m/>
    <x v="32"/>
    <x v="2"/>
    <x v="97"/>
    <n v="200801"/>
    <n v="200801"/>
    <m/>
    <n v="12"/>
    <n v="200801"/>
    <n v="445200"/>
  </r>
  <r>
    <x v="357"/>
    <x v="4"/>
    <m/>
    <x v="34"/>
    <x v="2"/>
    <x v="98"/>
    <n v="200801"/>
    <n v="200801"/>
    <m/>
    <n v="23"/>
    <n v="200801"/>
    <n v="805000"/>
  </r>
  <r>
    <x v="357"/>
    <x v="4"/>
    <m/>
    <x v="30"/>
    <x v="2"/>
    <x v="99"/>
    <n v="200801"/>
    <n v="200801"/>
    <m/>
    <n v="1"/>
    <n v="200801"/>
    <n v="22400"/>
  </r>
  <r>
    <x v="357"/>
    <x v="4"/>
    <m/>
    <x v="30"/>
    <x v="2"/>
    <x v="100"/>
    <n v="200801"/>
    <n v="200801"/>
    <m/>
    <n v="1"/>
    <n v="200801"/>
    <n v="39200"/>
  </r>
  <r>
    <x v="357"/>
    <x v="4"/>
    <m/>
    <x v="4"/>
    <x v="2"/>
    <x v="26"/>
    <n v="200801"/>
    <n v="200801"/>
    <m/>
    <n v="2"/>
    <n v="200801"/>
    <n v="8000"/>
  </r>
  <r>
    <x v="357"/>
    <x v="4"/>
    <m/>
    <x v="4"/>
    <x v="2"/>
    <x v="27"/>
    <n v="200801"/>
    <n v="200801"/>
    <m/>
    <n v="5"/>
    <n v="200801"/>
    <n v="100000"/>
  </r>
  <r>
    <x v="357"/>
    <x v="4"/>
    <m/>
    <x v="0"/>
    <x v="2"/>
    <x v="15"/>
    <n v="200801"/>
    <n v="200801"/>
    <m/>
    <n v="39"/>
    <n v="200801"/>
    <n v="780000"/>
  </r>
  <r>
    <x v="357"/>
    <x v="4"/>
    <m/>
    <x v="0"/>
    <x v="2"/>
    <x v="16"/>
    <n v="200801"/>
    <n v="200801"/>
    <m/>
    <n v="27"/>
    <n v="200801"/>
    <n v="945000"/>
  </r>
  <r>
    <x v="357"/>
    <x v="4"/>
    <m/>
    <x v="0"/>
    <x v="2"/>
    <x v="17"/>
    <n v="200801"/>
    <n v="200801"/>
    <m/>
    <n v="45"/>
    <n v="200801"/>
    <n v="1485000"/>
  </r>
  <r>
    <x v="357"/>
    <x v="4"/>
    <m/>
    <x v="0"/>
    <x v="2"/>
    <x v="19"/>
    <n v="200801"/>
    <n v="200801"/>
    <m/>
    <n v="36"/>
    <n v="200801"/>
    <n v="108000"/>
  </r>
  <r>
    <x v="357"/>
    <x v="4"/>
    <m/>
    <x v="5"/>
    <x v="2"/>
    <x v="28"/>
    <n v="200801"/>
    <n v="200801"/>
    <m/>
    <n v="9"/>
    <n v="200801"/>
    <n v="252000"/>
  </r>
  <r>
    <x v="357"/>
    <x v="4"/>
    <m/>
    <x v="5"/>
    <x v="2"/>
    <x v="69"/>
    <n v="200801"/>
    <n v="200801"/>
    <m/>
    <n v="4"/>
    <n v="200801"/>
    <n v="192000"/>
  </r>
  <r>
    <x v="357"/>
    <x v="4"/>
    <m/>
    <x v="22"/>
    <x v="2"/>
    <x v="29"/>
    <n v="200801"/>
    <n v="200801"/>
    <m/>
    <n v="1"/>
    <n v="200801"/>
    <n v="38000"/>
  </r>
  <r>
    <x v="357"/>
    <x v="4"/>
    <m/>
    <x v="19"/>
    <x v="2"/>
    <x v="22"/>
    <n v="200801"/>
    <n v="200801"/>
    <m/>
    <n v="7"/>
    <n v="200801"/>
    <n v="91000"/>
  </r>
  <r>
    <x v="357"/>
    <x v="4"/>
    <m/>
    <x v="19"/>
    <x v="2"/>
    <x v="23"/>
    <n v="200801"/>
    <n v="200801"/>
    <m/>
    <n v="1"/>
    <n v="200801"/>
    <n v="24000"/>
  </r>
  <r>
    <x v="357"/>
    <x v="4"/>
    <m/>
    <x v="19"/>
    <x v="2"/>
    <x v="24"/>
    <n v="200801"/>
    <n v="200801"/>
    <m/>
    <n v="1"/>
    <n v="200801"/>
    <n v="33000"/>
  </r>
  <r>
    <x v="357"/>
    <x v="4"/>
    <m/>
    <x v="33"/>
    <x v="2"/>
    <x v="92"/>
    <n v="200801"/>
    <n v="200801"/>
    <m/>
    <n v="1"/>
    <n v="200801"/>
    <n v="18200"/>
  </r>
  <r>
    <x v="357"/>
    <x v="4"/>
    <m/>
    <x v="0"/>
    <x v="10"/>
    <x v="54"/>
    <n v="200801"/>
    <n v="200801"/>
    <m/>
    <n v="2"/>
    <n v="200801"/>
    <n v="66000"/>
  </r>
  <r>
    <x v="357"/>
    <x v="4"/>
    <m/>
    <x v="1"/>
    <x v="10"/>
    <x v="58"/>
    <n v="200801"/>
    <n v="200801"/>
    <m/>
    <n v="1"/>
    <n v="200801"/>
    <n v="36000"/>
  </r>
  <r>
    <x v="357"/>
    <x v="4"/>
    <m/>
    <x v="5"/>
    <x v="9"/>
    <x v="28"/>
    <n v="200801"/>
    <n v="200801"/>
    <m/>
    <n v="1"/>
    <n v="200801"/>
    <n v="28000"/>
  </r>
  <r>
    <x v="357"/>
    <x v="4"/>
    <m/>
    <x v="0"/>
    <x v="9"/>
    <x v="15"/>
    <n v="200801"/>
    <n v="200801"/>
    <m/>
    <n v="7"/>
    <n v="200801"/>
    <n v="140000"/>
  </r>
  <r>
    <x v="358"/>
    <x v="1"/>
    <s v="　"/>
    <x v="0"/>
    <x v="1"/>
    <x v="16"/>
    <n v="200801"/>
    <n v="200801"/>
    <m/>
    <n v="2"/>
    <n v="200801"/>
    <n v="70000"/>
  </r>
  <r>
    <x v="358"/>
    <x v="1"/>
    <s v="　"/>
    <x v="0"/>
    <x v="5"/>
    <x v="51"/>
    <n v="200801"/>
    <n v="200801"/>
    <m/>
    <n v="50"/>
    <n v="200801"/>
    <n v="562500"/>
  </r>
  <r>
    <x v="358"/>
    <x v="1"/>
    <s v="　"/>
    <x v="5"/>
    <x v="5"/>
    <x v="53"/>
    <n v="200801"/>
    <n v="200801"/>
    <m/>
    <n v="40"/>
    <n v="200801"/>
    <n v="594000"/>
  </r>
  <r>
    <x v="358"/>
    <x v="1"/>
    <s v="　"/>
    <x v="22"/>
    <x v="5"/>
    <x v="52"/>
    <n v="200801"/>
    <n v="200801"/>
    <m/>
    <n v="10"/>
    <n v="200801"/>
    <n v="171000"/>
  </r>
  <r>
    <x v="358"/>
    <x v="1"/>
    <s v="　"/>
    <x v="1"/>
    <x v="5"/>
    <x v="63"/>
    <n v="200801"/>
    <n v="200801"/>
    <m/>
    <n v="10"/>
    <n v="200801"/>
    <n v="112500"/>
  </r>
  <r>
    <x v="358"/>
    <x v="1"/>
    <s v="　"/>
    <x v="19"/>
    <x v="5"/>
    <x v="50"/>
    <n v="200801"/>
    <n v="200801"/>
    <m/>
    <n v="20"/>
    <n v="200801"/>
    <n v="144000"/>
  </r>
  <r>
    <x v="358"/>
    <x v="1"/>
    <s v="　"/>
    <x v="4"/>
    <x v="5"/>
    <x v="62"/>
    <n v="200801"/>
    <n v="200801"/>
    <m/>
    <n v="53"/>
    <n v="200801"/>
    <n v="954000"/>
  </r>
  <r>
    <x v="358"/>
    <x v="1"/>
    <s v="　"/>
    <x v="6"/>
    <x v="5"/>
    <x v="49"/>
    <n v="200801"/>
    <n v="200801"/>
    <m/>
    <n v="20"/>
    <n v="200801"/>
    <n v="225000"/>
  </r>
  <r>
    <x v="358"/>
    <x v="1"/>
    <s v="　"/>
    <x v="0"/>
    <x v="7"/>
    <x v="15"/>
    <n v="200801"/>
    <n v="200801"/>
    <m/>
    <n v="6"/>
    <n v="200801"/>
    <n v="120000"/>
  </r>
  <r>
    <x v="358"/>
    <x v="1"/>
    <s v="　"/>
    <x v="31"/>
    <x v="3"/>
    <x v="88"/>
    <n v="200801"/>
    <n v="200801"/>
    <m/>
    <n v="21"/>
    <n v="200801"/>
    <n v="0"/>
  </r>
  <r>
    <x v="358"/>
    <x v="1"/>
    <s v="　"/>
    <x v="5"/>
    <x v="3"/>
    <x v="28"/>
    <n v="200801"/>
    <n v="200801"/>
    <m/>
    <n v="35"/>
    <n v="200801"/>
    <n v="0"/>
  </r>
  <r>
    <x v="358"/>
    <x v="1"/>
    <s v="　"/>
    <x v="4"/>
    <x v="3"/>
    <x v="27"/>
    <n v="200801"/>
    <n v="200801"/>
    <m/>
    <n v="6"/>
    <n v="200801"/>
    <n v="0"/>
  </r>
  <r>
    <x v="358"/>
    <x v="1"/>
    <s v="　"/>
    <x v="6"/>
    <x v="3"/>
    <x v="37"/>
    <n v="200801"/>
    <n v="200801"/>
    <m/>
    <n v="40"/>
    <n v="200801"/>
    <n v="0"/>
  </r>
  <r>
    <x v="358"/>
    <x v="1"/>
    <s v="　"/>
    <x v="22"/>
    <x v="3"/>
    <x v="29"/>
    <n v="200801"/>
    <n v="200801"/>
    <m/>
    <n v="30"/>
    <n v="200801"/>
    <n v="0"/>
  </r>
  <r>
    <x v="358"/>
    <x v="1"/>
    <s v="　"/>
    <x v="19"/>
    <x v="3"/>
    <x v="22"/>
    <n v="200801"/>
    <n v="200801"/>
    <m/>
    <n v="30"/>
    <n v="200801"/>
    <n v="0"/>
  </r>
  <r>
    <x v="358"/>
    <x v="1"/>
    <s v="　"/>
    <x v="1"/>
    <x v="3"/>
    <x v="18"/>
    <n v="200801"/>
    <n v="200801"/>
    <m/>
    <n v="40"/>
    <n v="200801"/>
    <n v="0"/>
  </r>
  <r>
    <x v="358"/>
    <x v="1"/>
    <s v="　"/>
    <x v="6"/>
    <x v="2"/>
    <x v="37"/>
    <n v="200801"/>
    <n v="200801"/>
    <m/>
    <n v="2"/>
    <n v="200801"/>
    <n v="40000"/>
  </r>
  <r>
    <x v="358"/>
    <x v="1"/>
    <s v="　"/>
    <x v="25"/>
    <x v="2"/>
    <x v="34"/>
    <n v="200801"/>
    <n v="200801"/>
    <m/>
    <n v="7"/>
    <n v="200801"/>
    <n v="693000"/>
  </r>
  <r>
    <x v="358"/>
    <x v="1"/>
    <s v="　"/>
    <x v="31"/>
    <x v="2"/>
    <x v="95"/>
    <n v="200801"/>
    <n v="200801"/>
    <m/>
    <n v="22"/>
    <n v="200801"/>
    <n v="492800"/>
  </r>
  <r>
    <x v="358"/>
    <x v="1"/>
    <s v="　"/>
    <x v="31"/>
    <x v="2"/>
    <x v="96"/>
    <n v="200801"/>
    <n v="200801"/>
    <m/>
    <n v="13"/>
    <n v="200801"/>
    <n v="509600"/>
  </r>
  <r>
    <x v="358"/>
    <x v="1"/>
    <s v="　"/>
    <x v="32"/>
    <x v="2"/>
    <x v="97"/>
    <n v="200801"/>
    <n v="200801"/>
    <m/>
    <n v="21"/>
    <n v="200801"/>
    <n v="779100"/>
  </r>
  <r>
    <x v="358"/>
    <x v="1"/>
    <s v="　"/>
    <x v="34"/>
    <x v="2"/>
    <x v="98"/>
    <n v="200801"/>
    <n v="200801"/>
    <m/>
    <n v="29"/>
    <n v="200801"/>
    <n v="1015000"/>
  </r>
  <r>
    <x v="358"/>
    <x v="1"/>
    <s v="　"/>
    <x v="30"/>
    <x v="2"/>
    <x v="99"/>
    <n v="200801"/>
    <n v="200801"/>
    <m/>
    <n v="8"/>
    <n v="200801"/>
    <n v="179200"/>
  </r>
  <r>
    <x v="358"/>
    <x v="1"/>
    <s v="　"/>
    <x v="1"/>
    <x v="2"/>
    <x v="18"/>
    <n v="200801"/>
    <n v="200801"/>
    <m/>
    <n v="4"/>
    <n v="200801"/>
    <n v="80000"/>
  </r>
  <r>
    <x v="358"/>
    <x v="1"/>
    <s v="　"/>
    <x v="4"/>
    <x v="2"/>
    <x v="26"/>
    <n v="200801"/>
    <n v="200801"/>
    <m/>
    <n v="2"/>
    <n v="200801"/>
    <n v="8000"/>
  </r>
  <r>
    <x v="358"/>
    <x v="1"/>
    <s v="　"/>
    <x v="4"/>
    <x v="2"/>
    <x v="27"/>
    <n v="200801"/>
    <n v="200801"/>
    <m/>
    <n v="4"/>
    <n v="200801"/>
    <n v="80000"/>
  </r>
  <r>
    <x v="358"/>
    <x v="1"/>
    <s v="　"/>
    <x v="0"/>
    <x v="2"/>
    <x v="15"/>
    <n v="200801"/>
    <n v="200801"/>
    <m/>
    <n v="43"/>
    <n v="200801"/>
    <n v="860000"/>
  </r>
  <r>
    <x v="358"/>
    <x v="1"/>
    <s v="　"/>
    <x v="0"/>
    <x v="2"/>
    <x v="16"/>
    <n v="200801"/>
    <n v="200801"/>
    <m/>
    <n v="45"/>
    <n v="200801"/>
    <n v="1575000"/>
  </r>
  <r>
    <x v="358"/>
    <x v="1"/>
    <s v="　"/>
    <x v="0"/>
    <x v="2"/>
    <x v="17"/>
    <n v="200801"/>
    <n v="200801"/>
    <m/>
    <n v="47"/>
    <n v="200801"/>
    <n v="1551000"/>
  </r>
  <r>
    <x v="358"/>
    <x v="1"/>
    <s v="　"/>
    <x v="0"/>
    <x v="2"/>
    <x v="19"/>
    <n v="200801"/>
    <n v="200801"/>
    <m/>
    <n v="33"/>
    <n v="200801"/>
    <n v="99000"/>
  </r>
  <r>
    <x v="358"/>
    <x v="1"/>
    <s v="　"/>
    <x v="5"/>
    <x v="2"/>
    <x v="28"/>
    <n v="200801"/>
    <n v="200801"/>
    <m/>
    <n v="18"/>
    <n v="200801"/>
    <n v="504000"/>
  </r>
  <r>
    <x v="358"/>
    <x v="1"/>
    <s v="　"/>
    <x v="5"/>
    <x v="2"/>
    <x v="69"/>
    <n v="200801"/>
    <n v="200801"/>
    <m/>
    <n v="3"/>
    <n v="200801"/>
    <n v="144000"/>
  </r>
  <r>
    <x v="358"/>
    <x v="1"/>
    <s v="　"/>
    <x v="22"/>
    <x v="2"/>
    <x v="29"/>
    <n v="200801"/>
    <n v="200801"/>
    <m/>
    <n v="6"/>
    <n v="200801"/>
    <n v="228000"/>
  </r>
  <r>
    <x v="358"/>
    <x v="1"/>
    <s v="　"/>
    <x v="19"/>
    <x v="2"/>
    <x v="22"/>
    <n v="200801"/>
    <n v="200801"/>
    <m/>
    <n v="6"/>
    <n v="200801"/>
    <n v="78000"/>
  </r>
  <r>
    <x v="358"/>
    <x v="1"/>
    <s v="　"/>
    <x v="19"/>
    <x v="2"/>
    <x v="23"/>
    <n v="200801"/>
    <n v="200801"/>
    <m/>
    <n v="1"/>
    <n v="200801"/>
    <n v="24000"/>
  </r>
  <r>
    <x v="358"/>
    <x v="1"/>
    <s v="　"/>
    <x v="19"/>
    <x v="2"/>
    <x v="24"/>
    <n v="200801"/>
    <n v="200801"/>
    <m/>
    <n v="2"/>
    <n v="200801"/>
    <n v="66000"/>
  </r>
  <r>
    <x v="358"/>
    <x v="1"/>
    <s v="　"/>
    <x v="33"/>
    <x v="2"/>
    <x v="92"/>
    <n v="200801"/>
    <n v="200801"/>
    <m/>
    <n v="1"/>
    <n v="200801"/>
    <n v="18200"/>
  </r>
  <r>
    <x v="358"/>
    <x v="1"/>
    <s v="　"/>
    <x v="0"/>
    <x v="9"/>
    <x v="15"/>
    <n v="200801"/>
    <n v="200801"/>
    <m/>
    <n v="4"/>
    <n v="200801"/>
    <n v="80000"/>
  </r>
  <r>
    <x v="359"/>
    <x v="0"/>
    <m/>
    <x v="0"/>
    <x v="1"/>
    <x v="15"/>
    <n v="200801"/>
    <n v="200801"/>
    <m/>
    <n v="2"/>
    <n v="200801"/>
    <n v="40000"/>
  </r>
  <r>
    <x v="359"/>
    <x v="0"/>
    <m/>
    <x v="0"/>
    <x v="1"/>
    <x v="16"/>
    <n v="200801"/>
    <n v="200801"/>
    <m/>
    <n v="10"/>
    <n v="200801"/>
    <n v="350000"/>
  </r>
  <r>
    <x v="359"/>
    <x v="0"/>
    <m/>
    <x v="0"/>
    <x v="12"/>
    <x v="75"/>
    <n v="200801"/>
    <n v="200801"/>
    <m/>
    <n v="1"/>
    <n v="200801"/>
    <n v="24602"/>
  </r>
  <r>
    <x v="359"/>
    <x v="0"/>
    <m/>
    <x v="0"/>
    <x v="12"/>
    <x v="101"/>
    <n v="200801"/>
    <n v="200801"/>
    <m/>
    <n v="1"/>
    <n v="200801"/>
    <n v="44663"/>
  </r>
  <r>
    <x v="359"/>
    <x v="0"/>
    <m/>
    <x v="19"/>
    <x v="12"/>
    <x v="102"/>
    <n v="200801"/>
    <n v="200801"/>
    <m/>
    <n v="1"/>
    <n v="200801"/>
    <n v="15897"/>
  </r>
  <r>
    <x v="359"/>
    <x v="0"/>
    <m/>
    <x v="0"/>
    <x v="7"/>
    <x v="15"/>
    <n v="200801"/>
    <n v="200801"/>
    <m/>
    <n v="5"/>
    <n v="200801"/>
    <n v="100000"/>
  </r>
  <r>
    <x v="359"/>
    <x v="0"/>
    <m/>
    <x v="30"/>
    <x v="3"/>
    <x v="87"/>
    <n v="200801"/>
    <n v="200801"/>
    <m/>
    <n v="2"/>
    <n v="200801"/>
    <n v="0"/>
  </r>
  <r>
    <x v="359"/>
    <x v="0"/>
    <m/>
    <x v="31"/>
    <x v="3"/>
    <x v="88"/>
    <n v="200801"/>
    <n v="200801"/>
    <m/>
    <n v="2"/>
    <n v="200801"/>
    <n v="0"/>
  </r>
  <r>
    <x v="359"/>
    <x v="0"/>
    <m/>
    <x v="0"/>
    <x v="3"/>
    <x v="15"/>
    <n v="200801"/>
    <n v="200801"/>
    <m/>
    <n v="11"/>
    <n v="200801"/>
    <n v="0"/>
  </r>
  <r>
    <x v="359"/>
    <x v="0"/>
    <m/>
    <x v="18"/>
    <x v="3"/>
    <x v="19"/>
    <n v="200801"/>
    <n v="200801"/>
    <m/>
    <n v="1"/>
    <n v="200801"/>
    <n v="0"/>
  </r>
  <r>
    <x v="359"/>
    <x v="0"/>
    <m/>
    <x v="5"/>
    <x v="3"/>
    <x v="28"/>
    <n v="200801"/>
    <n v="200801"/>
    <m/>
    <n v="25"/>
    <n v="200801"/>
    <n v="0"/>
  </r>
  <r>
    <x v="359"/>
    <x v="0"/>
    <m/>
    <x v="19"/>
    <x v="3"/>
    <x v="22"/>
    <n v="200801"/>
    <n v="200801"/>
    <m/>
    <n v="35"/>
    <n v="200801"/>
    <n v="0"/>
  </r>
  <r>
    <x v="359"/>
    <x v="0"/>
    <m/>
    <x v="1"/>
    <x v="3"/>
    <x v="18"/>
    <n v="200801"/>
    <n v="200801"/>
    <m/>
    <n v="25"/>
    <n v="200801"/>
    <n v="0"/>
  </r>
  <r>
    <x v="359"/>
    <x v="0"/>
    <m/>
    <x v="6"/>
    <x v="2"/>
    <x v="37"/>
    <n v="200801"/>
    <n v="200801"/>
    <m/>
    <n v="1"/>
    <n v="200801"/>
    <n v="20000"/>
  </r>
  <r>
    <x v="359"/>
    <x v="0"/>
    <m/>
    <x v="25"/>
    <x v="2"/>
    <x v="34"/>
    <n v="200801"/>
    <n v="200801"/>
    <m/>
    <n v="1"/>
    <n v="200801"/>
    <n v="99000"/>
  </r>
  <r>
    <x v="359"/>
    <x v="0"/>
    <m/>
    <x v="31"/>
    <x v="2"/>
    <x v="95"/>
    <n v="200801"/>
    <n v="200801"/>
    <m/>
    <n v="19"/>
    <n v="200801"/>
    <n v="425600"/>
  </r>
  <r>
    <x v="359"/>
    <x v="0"/>
    <m/>
    <x v="31"/>
    <x v="2"/>
    <x v="96"/>
    <n v="200801"/>
    <n v="200801"/>
    <m/>
    <n v="21"/>
    <n v="200801"/>
    <n v="823200"/>
  </r>
  <r>
    <x v="359"/>
    <x v="0"/>
    <m/>
    <x v="32"/>
    <x v="2"/>
    <x v="97"/>
    <n v="200801"/>
    <n v="200801"/>
    <m/>
    <n v="20"/>
    <n v="200801"/>
    <n v="742000"/>
  </r>
  <r>
    <x v="359"/>
    <x v="0"/>
    <m/>
    <x v="34"/>
    <x v="2"/>
    <x v="98"/>
    <n v="200801"/>
    <n v="200801"/>
    <m/>
    <n v="31"/>
    <n v="200801"/>
    <n v="1085000"/>
  </r>
  <r>
    <x v="359"/>
    <x v="0"/>
    <m/>
    <x v="30"/>
    <x v="2"/>
    <x v="99"/>
    <n v="200801"/>
    <n v="200801"/>
    <m/>
    <n v="6"/>
    <n v="200801"/>
    <n v="134400"/>
  </r>
  <r>
    <x v="359"/>
    <x v="0"/>
    <m/>
    <x v="30"/>
    <x v="2"/>
    <x v="100"/>
    <n v="200801"/>
    <n v="200801"/>
    <m/>
    <n v="1"/>
    <n v="200801"/>
    <n v="39200"/>
  </r>
  <r>
    <x v="359"/>
    <x v="0"/>
    <m/>
    <x v="1"/>
    <x v="2"/>
    <x v="18"/>
    <n v="200801"/>
    <n v="200801"/>
    <m/>
    <n v="2"/>
    <n v="200801"/>
    <n v="40000"/>
  </r>
  <r>
    <x v="359"/>
    <x v="0"/>
    <m/>
    <x v="4"/>
    <x v="2"/>
    <x v="26"/>
    <n v="200801"/>
    <n v="200801"/>
    <m/>
    <n v="4"/>
    <n v="200801"/>
    <n v="16000"/>
  </r>
  <r>
    <x v="359"/>
    <x v="0"/>
    <m/>
    <x v="4"/>
    <x v="2"/>
    <x v="27"/>
    <n v="200801"/>
    <n v="200801"/>
    <m/>
    <n v="6"/>
    <n v="200801"/>
    <n v="120000"/>
  </r>
  <r>
    <x v="359"/>
    <x v="0"/>
    <m/>
    <x v="0"/>
    <x v="2"/>
    <x v="15"/>
    <n v="200801"/>
    <n v="200801"/>
    <m/>
    <n v="55"/>
    <n v="200801"/>
    <n v="1100000"/>
  </r>
  <r>
    <x v="359"/>
    <x v="0"/>
    <m/>
    <x v="0"/>
    <x v="2"/>
    <x v="16"/>
    <n v="200801"/>
    <n v="200801"/>
    <m/>
    <n v="30"/>
    <n v="200801"/>
    <n v="1050000"/>
  </r>
  <r>
    <x v="359"/>
    <x v="0"/>
    <m/>
    <x v="0"/>
    <x v="2"/>
    <x v="17"/>
    <n v="200801"/>
    <n v="200801"/>
    <m/>
    <n v="49"/>
    <n v="200801"/>
    <n v="1617000"/>
  </r>
  <r>
    <x v="359"/>
    <x v="0"/>
    <m/>
    <x v="0"/>
    <x v="2"/>
    <x v="19"/>
    <n v="200801"/>
    <n v="200801"/>
    <m/>
    <n v="45"/>
    <n v="200801"/>
    <n v="135000"/>
  </r>
  <r>
    <x v="359"/>
    <x v="0"/>
    <m/>
    <x v="5"/>
    <x v="2"/>
    <x v="28"/>
    <n v="200801"/>
    <n v="200801"/>
    <m/>
    <n v="23"/>
    <n v="200801"/>
    <n v="644000"/>
  </r>
  <r>
    <x v="359"/>
    <x v="0"/>
    <m/>
    <x v="5"/>
    <x v="2"/>
    <x v="69"/>
    <n v="200801"/>
    <n v="200801"/>
    <m/>
    <n v="4"/>
    <n v="200801"/>
    <n v="192000"/>
  </r>
  <r>
    <x v="359"/>
    <x v="0"/>
    <m/>
    <x v="22"/>
    <x v="2"/>
    <x v="29"/>
    <n v="200801"/>
    <n v="200801"/>
    <m/>
    <n v="7"/>
    <n v="200801"/>
    <n v="266000"/>
  </r>
  <r>
    <x v="359"/>
    <x v="0"/>
    <m/>
    <x v="19"/>
    <x v="2"/>
    <x v="22"/>
    <n v="200801"/>
    <n v="200801"/>
    <m/>
    <n v="6"/>
    <n v="200801"/>
    <n v="78000"/>
  </r>
  <r>
    <x v="359"/>
    <x v="0"/>
    <m/>
    <x v="19"/>
    <x v="2"/>
    <x v="23"/>
    <n v="200801"/>
    <n v="200801"/>
    <m/>
    <n v="4"/>
    <n v="200801"/>
    <n v="96000"/>
  </r>
  <r>
    <x v="359"/>
    <x v="0"/>
    <m/>
    <x v="19"/>
    <x v="2"/>
    <x v="24"/>
    <n v="200801"/>
    <n v="200801"/>
    <m/>
    <n v="3"/>
    <n v="200801"/>
    <n v="99000"/>
  </r>
  <r>
    <x v="359"/>
    <x v="0"/>
    <m/>
    <x v="33"/>
    <x v="2"/>
    <x v="93"/>
    <n v="200801"/>
    <n v="200801"/>
    <m/>
    <n v="1"/>
    <n v="200801"/>
    <n v="33800"/>
  </r>
  <r>
    <x v="359"/>
    <x v="0"/>
    <m/>
    <x v="0"/>
    <x v="9"/>
    <x v="15"/>
    <n v="200801"/>
    <n v="200801"/>
    <m/>
    <n v="4"/>
    <n v="200801"/>
    <n v="80000"/>
  </r>
  <r>
    <x v="360"/>
    <x v="2"/>
    <m/>
    <x v="0"/>
    <x v="1"/>
    <x v="15"/>
    <n v="200801"/>
    <n v="200801"/>
    <m/>
    <n v="2"/>
    <n v="200801"/>
    <n v="40000"/>
  </r>
  <r>
    <x v="360"/>
    <x v="2"/>
    <m/>
    <x v="0"/>
    <x v="1"/>
    <x v="16"/>
    <n v="200801"/>
    <n v="200801"/>
    <m/>
    <n v="5"/>
    <n v="200801"/>
    <n v="175000"/>
  </r>
  <r>
    <x v="360"/>
    <x v="2"/>
    <m/>
    <x v="0"/>
    <x v="7"/>
    <x v="15"/>
    <n v="200801"/>
    <n v="200801"/>
    <m/>
    <n v="2"/>
    <n v="200801"/>
    <n v="40000"/>
  </r>
  <r>
    <x v="360"/>
    <x v="2"/>
    <m/>
    <x v="30"/>
    <x v="3"/>
    <x v="87"/>
    <n v="200801"/>
    <n v="200801"/>
    <m/>
    <n v="2"/>
    <n v="200801"/>
    <n v="0"/>
  </r>
  <r>
    <x v="360"/>
    <x v="2"/>
    <m/>
    <x v="31"/>
    <x v="3"/>
    <x v="88"/>
    <n v="200801"/>
    <n v="200801"/>
    <m/>
    <n v="2"/>
    <n v="200801"/>
    <n v="0"/>
  </r>
  <r>
    <x v="360"/>
    <x v="2"/>
    <m/>
    <x v="0"/>
    <x v="3"/>
    <x v="15"/>
    <n v="200801"/>
    <n v="200801"/>
    <m/>
    <n v="1"/>
    <n v="200801"/>
    <n v="0"/>
  </r>
  <r>
    <x v="360"/>
    <x v="2"/>
    <m/>
    <x v="18"/>
    <x v="3"/>
    <x v="19"/>
    <n v="200801"/>
    <n v="200801"/>
    <m/>
    <n v="1"/>
    <n v="200801"/>
    <n v="0"/>
  </r>
  <r>
    <x v="360"/>
    <x v="2"/>
    <m/>
    <x v="5"/>
    <x v="3"/>
    <x v="28"/>
    <n v="200801"/>
    <n v="200801"/>
    <m/>
    <n v="1"/>
    <n v="200801"/>
    <n v="0"/>
  </r>
  <r>
    <x v="360"/>
    <x v="2"/>
    <m/>
    <x v="6"/>
    <x v="2"/>
    <x v="37"/>
    <n v="200801"/>
    <n v="200801"/>
    <m/>
    <n v="4"/>
    <n v="200801"/>
    <n v="80000"/>
  </r>
  <r>
    <x v="360"/>
    <x v="2"/>
    <m/>
    <x v="6"/>
    <x v="2"/>
    <x v="42"/>
    <n v="200801"/>
    <n v="200801"/>
    <m/>
    <n v="1"/>
    <n v="200801"/>
    <n v="35000"/>
  </r>
  <r>
    <x v="360"/>
    <x v="2"/>
    <m/>
    <x v="25"/>
    <x v="2"/>
    <x v="34"/>
    <n v="200801"/>
    <n v="200801"/>
    <m/>
    <n v="2"/>
    <n v="200801"/>
    <n v="198000"/>
  </r>
  <r>
    <x v="360"/>
    <x v="2"/>
    <m/>
    <x v="31"/>
    <x v="2"/>
    <x v="95"/>
    <n v="200801"/>
    <n v="200801"/>
    <m/>
    <n v="14"/>
    <n v="200801"/>
    <n v="313600"/>
  </r>
  <r>
    <x v="360"/>
    <x v="2"/>
    <m/>
    <x v="31"/>
    <x v="2"/>
    <x v="96"/>
    <n v="200801"/>
    <n v="200801"/>
    <m/>
    <n v="18"/>
    <n v="200801"/>
    <n v="705600"/>
  </r>
  <r>
    <x v="360"/>
    <x v="2"/>
    <m/>
    <x v="32"/>
    <x v="2"/>
    <x v="97"/>
    <n v="200801"/>
    <n v="200801"/>
    <m/>
    <n v="15"/>
    <n v="200801"/>
    <n v="556500"/>
  </r>
  <r>
    <x v="360"/>
    <x v="2"/>
    <m/>
    <x v="34"/>
    <x v="2"/>
    <x v="98"/>
    <n v="200801"/>
    <n v="200801"/>
    <m/>
    <n v="34"/>
    <n v="200801"/>
    <n v="1190000"/>
  </r>
  <r>
    <x v="360"/>
    <x v="2"/>
    <m/>
    <x v="30"/>
    <x v="2"/>
    <x v="99"/>
    <n v="200801"/>
    <n v="200801"/>
    <m/>
    <n v="4"/>
    <n v="200801"/>
    <n v="89600"/>
  </r>
  <r>
    <x v="360"/>
    <x v="2"/>
    <m/>
    <x v="30"/>
    <x v="2"/>
    <x v="100"/>
    <n v="200801"/>
    <n v="200801"/>
    <m/>
    <n v="2"/>
    <n v="200801"/>
    <n v="78400"/>
  </r>
  <r>
    <x v="360"/>
    <x v="2"/>
    <m/>
    <x v="1"/>
    <x v="2"/>
    <x v="18"/>
    <n v="200801"/>
    <n v="200801"/>
    <m/>
    <n v="1"/>
    <n v="200801"/>
    <n v="20000"/>
  </r>
  <r>
    <x v="360"/>
    <x v="2"/>
    <m/>
    <x v="4"/>
    <x v="2"/>
    <x v="27"/>
    <n v="200801"/>
    <n v="200801"/>
    <m/>
    <n v="2"/>
    <n v="200801"/>
    <n v="40000"/>
  </r>
  <r>
    <x v="360"/>
    <x v="2"/>
    <m/>
    <x v="0"/>
    <x v="2"/>
    <x v="15"/>
    <n v="200801"/>
    <n v="200801"/>
    <m/>
    <n v="43"/>
    <n v="200801"/>
    <n v="860000"/>
  </r>
  <r>
    <x v="360"/>
    <x v="2"/>
    <m/>
    <x v="0"/>
    <x v="2"/>
    <x v="16"/>
    <n v="200801"/>
    <n v="200801"/>
    <m/>
    <n v="30"/>
    <n v="200801"/>
    <n v="1050000"/>
  </r>
  <r>
    <x v="360"/>
    <x v="2"/>
    <m/>
    <x v="0"/>
    <x v="2"/>
    <x v="17"/>
    <n v="200801"/>
    <n v="200801"/>
    <m/>
    <n v="34"/>
    <n v="200801"/>
    <n v="1122000"/>
  </r>
  <r>
    <x v="360"/>
    <x v="2"/>
    <m/>
    <x v="0"/>
    <x v="2"/>
    <x v="19"/>
    <n v="200801"/>
    <n v="200801"/>
    <m/>
    <n v="27"/>
    <n v="200801"/>
    <n v="81000"/>
  </r>
  <r>
    <x v="360"/>
    <x v="2"/>
    <m/>
    <x v="5"/>
    <x v="2"/>
    <x v="28"/>
    <n v="200801"/>
    <n v="200801"/>
    <m/>
    <n v="20"/>
    <n v="200801"/>
    <n v="560000"/>
  </r>
  <r>
    <x v="360"/>
    <x v="2"/>
    <m/>
    <x v="5"/>
    <x v="2"/>
    <x v="69"/>
    <n v="200801"/>
    <n v="200801"/>
    <m/>
    <n v="3"/>
    <n v="200801"/>
    <n v="144000"/>
  </r>
  <r>
    <x v="360"/>
    <x v="2"/>
    <m/>
    <x v="22"/>
    <x v="2"/>
    <x v="29"/>
    <n v="200801"/>
    <n v="200801"/>
    <m/>
    <n v="2"/>
    <n v="200801"/>
    <n v="76000"/>
  </r>
  <r>
    <x v="360"/>
    <x v="2"/>
    <m/>
    <x v="19"/>
    <x v="2"/>
    <x v="22"/>
    <n v="200801"/>
    <n v="200801"/>
    <m/>
    <n v="4"/>
    <n v="200801"/>
    <n v="52000"/>
  </r>
  <r>
    <x v="360"/>
    <x v="2"/>
    <m/>
    <x v="19"/>
    <x v="2"/>
    <x v="23"/>
    <n v="200801"/>
    <n v="200801"/>
    <m/>
    <n v="1"/>
    <n v="200801"/>
    <n v="24000"/>
  </r>
  <r>
    <x v="360"/>
    <x v="2"/>
    <m/>
    <x v="19"/>
    <x v="2"/>
    <x v="24"/>
    <n v="200801"/>
    <n v="200801"/>
    <m/>
    <n v="1"/>
    <n v="200801"/>
    <n v="33000"/>
  </r>
  <r>
    <x v="360"/>
    <x v="2"/>
    <m/>
    <x v="0"/>
    <x v="10"/>
    <x v="54"/>
    <n v="200801"/>
    <n v="200801"/>
    <m/>
    <n v="2"/>
    <n v="200801"/>
    <n v="66000"/>
  </r>
  <r>
    <x v="360"/>
    <x v="2"/>
    <m/>
    <x v="0"/>
    <x v="10"/>
    <x v="57"/>
    <n v="200801"/>
    <n v="200801"/>
    <m/>
    <n v="1"/>
    <n v="200801"/>
    <n v="53000"/>
  </r>
  <r>
    <x v="360"/>
    <x v="2"/>
    <m/>
    <x v="0"/>
    <x v="9"/>
    <x v="15"/>
    <n v="200801"/>
    <n v="200801"/>
    <m/>
    <n v="5"/>
    <n v="200801"/>
    <n v="100000"/>
  </r>
  <r>
    <x v="361"/>
    <x v="5"/>
    <m/>
    <x v="0"/>
    <x v="7"/>
    <x v="15"/>
    <n v="200801"/>
    <n v="200801"/>
    <m/>
    <n v="7"/>
    <n v="200801"/>
    <n v="140000"/>
  </r>
  <r>
    <x v="361"/>
    <x v="5"/>
    <m/>
    <x v="6"/>
    <x v="2"/>
    <x v="37"/>
    <n v="200801"/>
    <n v="200801"/>
    <m/>
    <n v="2"/>
    <n v="200801"/>
    <n v="40000"/>
  </r>
  <r>
    <x v="361"/>
    <x v="5"/>
    <m/>
    <x v="25"/>
    <x v="2"/>
    <x v="34"/>
    <n v="200801"/>
    <n v="200801"/>
    <m/>
    <n v="3"/>
    <n v="200801"/>
    <n v="297000"/>
  </r>
  <r>
    <x v="361"/>
    <x v="5"/>
    <m/>
    <x v="31"/>
    <x v="2"/>
    <x v="95"/>
    <n v="200801"/>
    <n v="200801"/>
    <m/>
    <n v="20"/>
    <n v="200801"/>
    <n v="448000"/>
  </r>
  <r>
    <x v="361"/>
    <x v="5"/>
    <m/>
    <x v="31"/>
    <x v="2"/>
    <x v="96"/>
    <n v="200801"/>
    <n v="200801"/>
    <m/>
    <n v="10"/>
    <n v="200801"/>
    <n v="392000"/>
  </r>
  <r>
    <x v="361"/>
    <x v="5"/>
    <m/>
    <x v="32"/>
    <x v="2"/>
    <x v="97"/>
    <n v="200801"/>
    <n v="200801"/>
    <m/>
    <n v="18"/>
    <n v="200801"/>
    <n v="667800"/>
  </r>
  <r>
    <x v="361"/>
    <x v="5"/>
    <m/>
    <x v="34"/>
    <x v="2"/>
    <x v="98"/>
    <n v="200801"/>
    <n v="200801"/>
    <m/>
    <n v="23"/>
    <n v="200801"/>
    <n v="805000"/>
  </r>
  <r>
    <x v="361"/>
    <x v="5"/>
    <m/>
    <x v="30"/>
    <x v="2"/>
    <x v="99"/>
    <n v="200801"/>
    <n v="200801"/>
    <m/>
    <n v="9"/>
    <n v="200801"/>
    <n v="201600"/>
  </r>
  <r>
    <x v="361"/>
    <x v="5"/>
    <m/>
    <x v="1"/>
    <x v="2"/>
    <x v="18"/>
    <n v="200801"/>
    <n v="200801"/>
    <m/>
    <n v="3"/>
    <n v="200801"/>
    <n v="60000"/>
  </r>
  <r>
    <x v="361"/>
    <x v="5"/>
    <m/>
    <x v="1"/>
    <x v="2"/>
    <x v="21"/>
    <n v="200801"/>
    <n v="200801"/>
    <m/>
    <n v="1"/>
    <n v="200801"/>
    <n v="35000"/>
  </r>
  <r>
    <x v="361"/>
    <x v="5"/>
    <m/>
    <x v="4"/>
    <x v="2"/>
    <x v="26"/>
    <n v="200801"/>
    <n v="200801"/>
    <m/>
    <n v="1"/>
    <n v="200801"/>
    <n v="4000"/>
  </r>
  <r>
    <x v="361"/>
    <x v="5"/>
    <m/>
    <x v="4"/>
    <x v="2"/>
    <x v="27"/>
    <n v="200801"/>
    <n v="200801"/>
    <m/>
    <n v="2"/>
    <n v="200801"/>
    <n v="40000"/>
  </r>
  <r>
    <x v="361"/>
    <x v="5"/>
    <m/>
    <x v="0"/>
    <x v="2"/>
    <x v="15"/>
    <n v="200801"/>
    <n v="200801"/>
    <m/>
    <n v="24"/>
    <n v="200801"/>
    <n v="480000"/>
  </r>
  <r>
    <x v="361"/>
    <x v="5"/>
    <m/>
    <x v="0"/>
    <x v="2"/>
    <x v="16"/>
    <n v="200801"/>
    <n v="200801"/>
    <m/>
    <n v="18"/>
    <n v="200801"/>
    <n v="630000"/>
  </r>
  <r>
    <x v="361"/>
    <x v="5"/>
    <m/>
    <x v="0"/>
    <x v="2"/>
    <x v="17"/>
    <n v="200801"/>
    <n v="200801"/>
    <m/>
    <n v="27"/>
    <n v="200801"/>
    <n v="891000"/>
  </r>
  <r>
    <x v="361"/>
    <x v="5"/>
    <m/>
    <x v="0"/>
    <x v="2"/>
    <x v="19"/>
    <n v="200801"/>
    <n v="200801"/>
    <m/>
    <n v="23"/>
    <n v="200801"/>
    <n v="69000"/>
  </r>
  <r>
    <x v="361"/>
    <x v="5"/>
    <m/>
    <x v="5"/>
    <x v="2"/>
    <x v="28"/>
    <n v="200801"/>
    <n v="200801"/>
    <m/>
    <n v="15"/>
    <n v="200801"/>
    <n v="420000"/>
  </r>
  <r>
    <x v="361"/>
    <x v="5"/>
    <m/>
    <x v="5"/>
    <x v="2"/>
    <x v="69"/>
    <n v="200801"/>
    <n v="200801"/>
    <m/>
    <n v="4"/>
    <n v="200801"/>
    <n v="192000"/>
  </r>
  <r>
    <x v="361"/>
    <x v="5"/>
    <m/>
    <x v="22"/>
    <x v="2"/>
    <x v="29"/>
    <n v="200801"/>
    <n v="200801"/>
    <m/>
    <n v="4"/>
    <n v="200801"/>
    <n v="152000"/>
  </r>
  <r>
    <x v="361"/>
    <x v="5"/>
    <m/>
    <x v="19"/>
    <x v="2"/>
    <x v="22"/>
    <n v="200801"/>
    <n v="200801"/>
    <m/>
    <n v="7"/>
    <n v="200801"/>
    <n v="91000"/>
  </r>
  <r>
    <x v="361"/>
    <x v="5"/>
    <m/>
    <x v="19"/>
    <x v="2"/>
    <x v="23"/>
    <n v="200801"/>
    <n v="200801"/>
    <m/>
    <n v="1"/>
    <n v="200801"/>
    <n v="24000"/>
  </r>
  <r>
    <x v="361"/>
    <x v="5"/>
    <m/>
    <x v="33"/>
    <x v="2"/>
    <x v="92"/>
    <n v="200801"/>
    <n v="200801"/>
    <m/>
    <n v="1"/>
    <n v="200801"/>
    <n v="18200"/>
  </r>
  <r>
    <x v="361"/>
    <x v="5"/>
    <m/>
    <x v="0"/>
    <x v="9"/>
    <x v="15"/>
    <n v="200801"/>
    <n v="200801"/>
    <m/>
    <n v="4"/>
    <n v="200801"/>
    <n v="80000"/>
  </r>
  <r>
    <x v="362"/>
    <x v="6"/>
    <m/>
    <x v="0"/>
    <x v="7"/>
    <x v="15"/>
    <n v="200801"/>
    <n v="200801"/>
    <m/>
    <n v="4"/>
    <n v="200801"/>
    <n v="80000"/>
  </r>
  <r>
    <x v="362"/>
    <x v="6"/>
    <m/>
    <x v="6"/>
    <x v="2"/>
    <x v="37"/>
    <n v="200801"/>
    <n v="200801"/>
    <m/>
    <n v="3"/>
    <n v="200801"/>
    <n v="60000"/>
  </r>
  <r>
    <x v="362"/>
    <x v="6"/>
    <m/>
    <x v="25"/>
    <x v="2"/>
    <x v="34"/>
    <n v="200801"/>
    <n v="200801"/>
    <m/>
    <n v="4"/>
    <n v="200801"/>
    <n v="396000"/>
  </r>
  <r>
    <x v="362"/>
    <x v="6"/>
    <m/>
    <x v="31"/>
    <x v="2"/>
    <x v="95"/>
    <n v="200801"/>
    <n v="200801"/>
    <m/>
    <n v="31"/>
    <n v="200801"/>
    <n v="694400"/>
  </r>
  <r>
    <x v="362"/>
    <x v="6"/>
    <m/>
    <x v="31"/>
    <x v="2"/>
    <x v="96"/>
    <n v="200801"/>
    <n v="200801"/>
    <m/>
    <n v="16"/>
    <n v="200801"/>
    <n v="627200"/>
  </r>
  <r>
    <x v="362"/>
    <x v="6"/>
    <m/>
    <x v="32"/>
    <x v="2"/>
    <x v="97"/>
    <n v="200801"/>
    <n v="200801"/>
    <m/>
    <n v="25"/>
    <n v="200801"/>
    <n v="927500"/>
  </r>
  <r>
    <x v="362"/>
    <x v="6"/>
    <m/>
    <x v="34"/>
    <x v="2"/>
    <x v="98"/>
    <n v="200801"/>
    <n v="200801"/>
    <m/>
    <n v="29"/>
    <n v="200801"/>
    <n v="1015000"/>
  </r>
  <r>
    <x v="362"/>
    <x v="6"/>
    <m/>
    <x v="30"/>
    <x v="2"/>
    <x v="99"/>
    <n v="200801"/>
    <n v="200801"/>
    <m/>
    <n v="3"/>
    <n v="200801"/>
    <n v="67200"/>
  </r>
  <r>
    <x v="362"/>
    <x v="6"/>
    <m/>
    <x v="30"/>
    <x v="2"/>
    <x v="100"/>
    <n v="200801"/>
    <n v="200801"/>
    <m/>
    <n v="2"/>
    <n v="200801"/>
    <n v="78400"/>
  </r>
  <r>
    <x v="362"/>
    <x v="6"/>
    <m/>
    <x v="1"/>
    <x v="2"/>
    <x v="18"/>
    <n v="200801"/>
    <n v="200801"/>
    <m/>
    <n v="1"/>
    <n v="200801"/>
    <n v="20000"/>
  </r>
  <r>
    <x v="362"/>
    <x v="6"/>
    <m/>
    <x v="4"/>
    <x v="2"/>
    <x v="26"/>
    <n v="200801"/>
    <n v="200801"/>
    <m/>
    <n v="7"/>
    <n v="200801"/>
    <n v="28000"/>
  </r>
  <r>
    <x v="362"/>
    <x v="6"/>
    <m/>
    <x v="4"/>
    <x v="2"/>
    <x v="27"/>
    <n v="200801"/>
    <n v="200801"/>
    <m/>
    <n v="4"/>
    <n v="200801"/>
    <n v="80000"/>
  </r>
  <r>
    <x v="362"/>
    <x v="6"/>
    <m/>
    <x v="0"/>
    <x v="2"/>
    <x v="15"/>
    <n v="200801"/>
    <n v="200801"/>
    <m/>
    <n v="32"/>
    <n v="200801"/>
    <n v="640000"/>
  </r>
  <r>
    <x v="362"/>
    <x v="6"/>
    <m/>
    <x v="0"/>
    <x v="2"/>
    <x v="16"/>
    <n v="200801"/>
    <n v="200801"/>
    <m/>
    <n v="22"/>
    <n v="200801"/>
    <n v="770000"/>
  </r>
  <r>
    <x v="362"/>
    <x v="6"/>
    <m/>
    <x v="0"/>
    <x v="2"/>
    <x v="17"/>
    <n v="200801"/>
    <n v="200801"/>
    <m/>
    <n v="33"/>
    <n v="200801"/>
    <n v="1089000"/>
  </r>
  <r>
    <x v="362"/>
    <x v="6"/>
    <m/>
    <x v="0"/>
    <x v="2"/>
    <x v="19"/>
    <n v="200801"/>
    <n v="200801"/>
    <m/>
    <n v="29"/>
    <n v="200801"/>
    <n v="87000"/>
  </r>
  <r>
    <x v="362"/>
    <x v="6"/>
    <m/>
    <x v="5"/>
    <x v="2"/>
    <x v="28"/>
    <n v="200801"/>
    <n v="200801"/>
    <m/>
    <n v="17"/>
    <n v="200801"/>
    <n v="476000"/>
  </r>
  <r>
    <x v="362"/>
    <x v="6"/>
    <m/>
    <x v="5"/>
    <x v="2"/>
    <x v="69"/>
    <n v="200801"/>
    <n v="200801"/>
    <m/>
    <n v="3"/>
    <n v="200801"/>
    <n v="144000"/>
  </r>
  <r>
    <x v="362"/>
    <x v="6"/>
    <m/>
    <x v="22"/>
    <x v="2"/>
    <x v="29"/>
    <n v="200801"/>
    <n v="200801"/>
    <m/>
    <n v="2"/>
    <n v="200801"/>
    <n v="76000"/>
  </r>
  <r>
    <x v="362"/>
    <x v="6"/>
    <m/>
    <x v="19"/>
    <x v="2"/>
    <x v="22"/>
    <n v="200801"/>
    <n v="200801"/>
    <m/>
    <n v="4"/>
    <n v="200801"/>
    <n v="52000"/>
  </r>
  <r>
    <x v="362"/>
    <x v="6"/>
    <m/>
    <x v="19"/>
    <x v="2"/>
    <x v="24"/>
    <n v="200801"/>
    <n v="200801"/>
    <m/>
    <n v="1"/>
    <n v="200801"/>
    <n v="33000"/>
  </r>
  <r>
    <x v="362"/>
    <x v="6"/>
    <m/>
    <x v="33"/>
    <x v="2"/>
    <x v="92"/>
    <n v="200801"/>
    <n v="200801"/>
    <m/>
    <n v="2"/>
    <n v="200801"/>
    <n v="36400"/>
  </r>
  <r>
    <x v="362"/>
    <x v="6"/>
    <m/>
    <x v="33"/>
    <x v="2"/>
    <x v="93"/>
    <n v="200801"/>
    <n v="200801"/>
    <m/>
    <n v="2"/>
    <n v="200801"/>
    <n v="67600"/>
  </r>
  <r>
    <x v="362"/>
    <x v="6"/>
    <m/>
    <x v="0"/>
    <x v="6"/>
    <x v="15"/>
    <n v="200801"/>
    <n v="200801"/>
    <m/>
    <n v="648"/>
    <n v="200801"/>
    <n v="5876064"/>
  </r>
  <r>
    <x v="362"/>
    <x v="6"/>
    <m/>
    <x v="0"/>
    <x v="6"/>
    <x v="17"/>
    <n v="200801"/>
    <n v="200801"/>
    <m/>
    <n v="66"/>
    <n v="200801"/>
    <n v="1043988"/>
  </r>
  <r>
    <x v="362"/>
    <x v="6"/>
    <m/>
    <x v="4"/>
    <x v="6"/>
    <x v="26"/>
    <n v="200801"/>
    <n v="200801"/>
    <m/>
    <n v="416"/>
    <n v="200801"/>
    <n v="446368"/>
  </r>
  <r>
    <x v="362"/>
    <x v="6"/>
    <m/>
    <x v="26"/>
    <x v="6"/>
    <x v="35"/>
    <n v="200801"/>
    <n v="200801"/>
    <m/>
    <n v="29"/>
    <n v="200801"/>
    <n v="496799"/>
  </r>
  <r>
    <x v="362"/>
    <x v="6"/>
    <m/>
    <x v="22"/>
    <x v="6"/>
    <x v="29"/>
    <n v="200801"/>
    <n v="200801"/>
    <m/>
    <n v="44"/>
    <n v="200801"/>
    <n v="866404"/>
  </r>
  <r>
    <x v="362"/>
    <x v="6"/>
    <m/>
    <x v="24"/>
    <x v="6"/>
    <x v="31"/>
    <n v="200801"/>
    <n v="200801"/>
    <m/>
    <n v="131"/>
    <n v="200801"/>
    <n v="1948887"/>
  </r>
  <r>
    <x v="362"/>
    <x v="6"/>
    <m/>
    <x v="23"/>
    <x v="6"/>
    <x v="30"/>
    <n v="200801"/>
    <n v="200801"/>
    <m/>
    <n v="13"/>
    <n v="200801"/>
    <n v="90532"/>
  </r>
  <r>
    <x v="362"/>
    <x v="6"/>
    <m/>
    <x v="19"/>
    <x v="6"/>
    <x v="22"/>
    <n v="200801"/>
    <n v="200801"/>
    <m/>
    <n v="43"/>
    <n v="200801"/>
    <n v="292013"/>
  </r>
  <r>
    <x v="362"/>
    <x v="6"/>
    <m/>
    <x v="27"/>
    <x v="6"/>
    <x v="36"/>
    <n v="200801"/>
    <n v="200801"/>
    <m/>
    <n v="1"/>
    <n v="200801"/>
    <n v="9457"/>
  </r>
  <r>
    <x v="362"/>
    <x v="6"/>
    <m/>
    <x v="6"/>
    <x v="6"/>
    <x v="37"/>
    <n v="200801"/>
    <n v="200801"/>
    <m/>
    <n v="14"/>
    <n v="200801"/>
    <n v="140000"/>
  </r>
  <r>
    <x v="362"/>
    <x v="6"/>
    <m/>
    <x v="28"/>
    <x v="6"/>
    <x v="39"/>
    <n v="200801"/>
    <n v="200801"/>
    <m/>
    <n v="12"/>
    <n v="200801"/>
    <n v="189816"/>
  </r>
  <r>
    <x v="362"/>
    <x v="6"/>
    <m/>
    <x v="4"/>
    <x v="6"/>
    <x v="66"/>
    <n v="200801"/>
    <n v="200801"/>
    <m/>
    <n v="70"/>
    <n v="200801"/>
    <n v="391790"/>
  </r>
  <r>
    <x v="362"/>
    <x v="6"/>
    <m/>
    <x v="31"/>
    <x v="6"/>
    <x v="103"/>
    <n v="200801"/>
    <n v="200801"/>
    <m/>
    <n v="21"/>
    <n v="200801"/>
    <n v="235200"/>
  </r>
  <r>
    <x v="362"/>
    <x v="6"/>
    <m/>
    <x v="30"/>
    <x v="6"/>
    <x v="104"/>
    <n v="200801"/>
    <n v="200801"/>
    <m/>
    <n v="15"/>
    <n v="200801"/>
    <n v="168000"/>
  </r>
  <r>
    <x v="363"/>
    <x v="3"/>
    <m/>
    <x v="0"/>
    <x v="1"/>
    <x v="15"/>
    <n v="200801"/>
    <n v="200801"/>
    <m/>
    <n v="1"/>
    <n v="200801"/>
    <n v="20000"/>
  </r>
  <r>
    <x v="363"/>
    <x v="3"/>
    <m/>
    <x v="0"/>
    <x v="1"/>
    <x v="16"/>
    <n v="200801"/>
    <n v="200801"/>
    <m/>
    <n v="12"/>
    <n v="200801"/>
    <n v="420000"/>
  </r>
  <r>
    <x v="363"/>
    <x v="3"/>
    <m/>
    <x v="0"/>
    <x v="7"/>
    <x v="15"/>
    <n v="200801"/>
    <n v="200801"/>
    <m/>
    <n v="7"/>
    <n v="200801"/>
    <n v="140000"/>
  </r>
  <r>
    <x v="363"/>
    <x v="3"/>
    <m/>
    <x v="30"/>
    <x v="3"/>
    <x v="87"/>
    <n v="200801"/>
    <n v="200801"/>
    <m/>
    <n v="3"/>
    <n v="200801"/>
    <n v="0"/>
  </r>
  <r>
    <x v="363"/>
    <x v="3"/>
    <m/>
    <x v="31"/>
    <x v="3"/>
    <x v="88"/>
    <n v="200801"/>
    <n v="200801"/>
    <m/>
    <n v="3"/>
    <n v="200801"/>
    <n v="0"/>
  </r>
  <r>
    <x v="363"/>
    <x v="3"/>
    <m/>
    <x v="25"/>
    <x v="2"/>
    <x v="34"/>
    <n v="200801"/>
    <n v="200801"/>
    <m/>
    <n v="3"/>
    <n v="200801"/>
    <n v="297000"/>
  </r>
  <r>
    <x v="363"/>
    <x v="3"/>
    <m/>
    <x v="31"/>
    <x v="2"/>
    <x v="95"/>
    <n v="200801"/>
    <n v="200801"/>
    <m/>
    <n v="23"/>
    <n v="200801"/>
    <n v="515200"/>
  </r>
  <r>
    <x v="363"/>
    <x v="3"/>
    <m/>
    <x v="31"/>
    <x v="2"/>
    <x v="96"/>
    <n v="200801"/>
    <n v="200801"/>
    <m/>
    <n v="16"/>
    <n v="200801"/>
    <n v="627200"/>
  </r>
  <r>
    <x v="363"/>
    <x v="3"/>
    <m/>
    <x v="32"/>
    <x v="2"/>
    <x v="97"/>
    <n v="200801"/>
    <n v="200801"/>
    <m/>
    <n v="18"/>
    <n v="200801"/>
    <n v="667800"/>
  </r>
  <r>
    <x v="363"/>
    <x v="3"/>
    <m/>
    <x v="34"/>
    <x v="2"/>
    <x v="105"/>
    <n v="200801"/>
    <n v="200801"/>
    <m/>
    <n v="19"/>
    <n v="200801"/>
    <n v="704900"/>
  </r>
  <r>
    <x v="363"/>
    <x v="3"/>
    <m/>
    <x v="30"/>
    <x v="2"/>
    <x v="99"/>
    <n v="200801"/>
    <n v="200801"/>
    <m/>
    <n v="2"/>
    <n v="200801"/>
    <n v="44800"/>
  </r>
  <r>
    <x v="363"/>
    <x v="3"/>
    <m/>
    <x v="30"/>
    <x v="2"/>
    <x v="100"/>
    <n v="200801"/>
    <n v="200801"/>
    <m/>
    <n v="1"/>
    <n v="200801"/>
    <n v="39200"/>
  </r>
  <r>
    <x v="363"/>
    <x v="3"/>
    <m/>
    <x v="1"/>
    <x v="2"/>
    <x v="18"/>
    <n v="200801"/>
    <n v="200801"/>
    <m/>
    <n v="3"/>
    <n v="200801"/>
    <n v="60000"/>
  </r>
  <r>
    <x v="363"/>
    <x v="3"/>
    <m/>
    <x v="4"/>
    <x v="2"/>
    <x v="26"/>
    <n v="200801"/>
    <n v="200801"/>
    <m/>
    <n v="3"/>
    <n v="200801"/>
    <n v="12000"/>
  </r>
  <r>
    <x v="363"/>
    <x v="3"/>
    <m/>
    <x v="4"/>
    <x v="2"/>
    <x v="27"/>
    <n v="200801"/>
    <n v="200801"/>
    <m/>
    <n v="4"/>
    <n v="200801"/>
    <n v="80000"/>
  </r>
  <r>
    <x v="363"/>
    <x v="3"/>
    <m/>
    <x v="0"/>
    <x v="2"/>
    <x v="15"/>
    <n v="200801"/>
    <n v="200801"/>
    <m/>
    <n v="27"/>
    <n v="200801"/>
    <n v="540000"/>
  </r>
  <r>
    <x v="363"/>
    <x v="3"/>
    <m/>
    <x v="0"/>
    <x v="2"/>
    <x v="16"/>
    <n v="200801"/>
    <n v="200801"/>
    <m/>
    <n v="26"/>
    <n v="200801"/>
    <n v="910000"/>
  </r>
  <r>
    <x v="363"/>
    <x v="3"/>
    <m/>
    <x v="0"/>
    <x v="2"/>
    <x v="17"/>
    <n v="200801"/>
    <n v="200801"/>
    <m/>
    <n v="41"/>
    <n v="200801"/>
    <n v="1353000"/>
  </r>
  <r>
    <x v="363"/>
    <x v="3"/>
    <m/>
    <x v="0"/>
    <x v="2"/>
    <x v="19"/>
    <n v="200801"/>
    <n v="200801"/>
    <m/>
    <n v="32"/>
    <n v="200801"/>
    <n v="96000"/>
  </r>
  <r>
    <x v="363"/>
    <x v="3"/>
    <m/>
    <x v="5"/>
    <x v="2"/>
    <x v="28"/>
    <n v="200801"/>
    <n v="200801"/>
    <m/>
    <n v="15"/>
    <n v="200801"/>
    <n v="420000"/>
  </r>
  <r>
    <x v="363"/>
    <x v="3"/>
    <m/>
    <x v="22"/>
    <x v="2"/>
    <x v="29"/>
    <n v="200801"/>
    <n v="200801"/>
    <m/>
    <n v="4"/>
    <n v="200801"/>
    <n v="152000"/>
  </r>
  <r>
    <x v="363"/>
    <x v="3"/>
    <m/>
    <x v="19"/>
    <x v="2"/>
    <x v="22"/>
    <n v="200801"/>
    <n v="200801"/>
    <m/>
    <n v="2"/>
    <n v="200801"/>
    <n v="26000"/>
  </r>
  <r>
    <x v="363"/>
    <x v="3"/>
    <m/>
    <x v="19"/>
    <x v="2"/>
    <x v="23"/>
    <n v="200801"/>
    <n v="200801"/>
    <m/>
    <n v="1"/>
    <n v="200801"/>
    <n v="24000"/>
  </r>
  <r>
    <x v="363"/>
    <x v="3"/>
    <m/>
    <x v="33"/>
    <x v="2"/>
    <x v="92"/>
    <n v="200801"/>
    <n v="200801"/>
    <m/>
    <n v="2"/>
    <n v="200801"/>
    <n v="36400"/>
  </r>
  <r>
    <x v="363"/>
    <x v="3"/>
    <m/>
    <x v="0"/>
    <x v="9"/>
    <x v="15"/>
    <n v="200801"/>
    <n v="200801"/>
    <m/>
    <n v="6"/>
    <n v="200801"/>
    <n v="120000"/>
  </r>
  <r>
    <x v="364"/>
    <x v="4"/>
    <m/>
    <x v="0"/>
    <x v="7"/>
    <x v="15"/>
    <n v="200801"/>
    <n v="200801"/>
    <m/>
    <n v="4"/>
    <n v="200801"/>
    <n v="80000"/>
  </r>
  <r>
    <x v="364"/>
    <x v="4"/>
    <m/>
    <x v="6"/>
    <x v="2"/>
    <x v="37"/>
    <n v="200801"/>
    <n v="200801"/>
    <m/>
    <n v="3"/>
    <n v="200801"/>
    <n v="60000"/>
  </r>
  <r>
    <x v="364"/>
    <x v="4"/>
    <m/>
    <x v="6"/>
    <x v="2"/>
    <x v="42"/>
    <n v="200801"/>
    <n v="200801"/>
    <m/>
    <n v="1"/>
    <n v="200801"/>
    <n v="35000"/>
  </r>
  <r>
    <x v="364"/>
    <x v="4"/>
    <m/>
    <x v="25"/>
    <x v="2"/>
    <x v="34"/>
    <n v="200801"/>
    <n v="200801"/>
    <m/>
    <n v="1"/>
    <n v="200801"/>
    <n v="99000"/>
  </r>
  <r>
    <x v="364"/>
    <x v="4"/>
    <m/>
    <x v="31"/>
    <x v="2"/>
    <x v="95"/>
    <n v="200801"/>
    <n v="200801"/>
    <m/>
    <n v="18"/>
    <n v="200801"/>
    <n v="403200"/>
  </r>
  <r>
    <x v="364"/>
    <x v="4"/>
    <m/>
    <x v="31"/>
    <x v="2"/>
    <x v="96"/>
    <n v="200801"/>
    <n v="200801"/>
    <m/>
    <n v="8"/>
    <n v="200801"/>
    <n v="313600"/>
  </r>
  <r>
    <x v="364"/>
    <x v="4"/>
    <m/>
    <x v="32"/>
    <x v="2"/>
    <x v="97"/>
    <n v="200801"/>
    <n v="200801"/>
    <m/>
    <n v="13"/>
    <n v="200801"/>
    <n v="482300"/>
  </r>
  <r>
    <x v="364"/>
    <x v="4"/>
    <m/>
    <x v="34"/>
    <x v="2"/>
    <x v="105"/>
    <n v="200801"/>
    <n v="200801"/>
    <m/>
    <n v="15"/>
    <n v="200801"/>
    <n v="556500"/>
  </r>
  <r>
    <x v="364"/>
    <x v="4"/>
    <m/>
    <x v="30"/>
    <x v="2"/>
    <x v="99"/>
    <n v="200801"/>
    <n v="200801"/>
    <m/>
    <n v="2"/>
    <n v="200801"/>
    <n v="44800"/>
  </r>
  <r>
    <x v="364"/>
    <x v="4"/>
    <m/>
    <x v="30"/>
    <x v="2"/>
    <x v="100"/>
    <n v="200801"/>
    <n v="200801"/>
    <m/>
    <n v="2"/>
    <n v="200801"/>
    <n v="78400"/>
  </r>
  <r>
    <x v="364"/>
    <x v="4"/>
    <m/>
    <x v="1"/>
    <x v="2"/>
    <x v="18"/>
    <n v="200801"/>
    <n v="200801"/>
    <m/>
    <n v="2"/>
    <n v="200801"/>
    <n v="40000"/>
  </r>
  <r>
    <x v="364"/>
    <x v="4"/>
    <m/>
    <x v="4"/>
    <x v="2"/>
    <x v="26"/>
    <n v="200801"/>
    <n v="200801"/>
    <m/>
    <n v="1"/>
    <n v="200801"/>
    <n v="4000"/>
  </r>
  <r>
    <x v="364"/>
    <x v="4"/>
    <m/>
    <x v="4"/>
    <x v="2"/>
    <x v="27"/>
    <n v="200801"/>
    <n v="200801"/>
    <m/>
    <n v="7"/>
    <n v="200801"/>
    <n v="140000"/>
  </r>
  <r>
    <x v="364"/>
    <x v="4"/>
    <m/>
    <x v="0"/>
    <x v="2"/>
    <x v="15"/>
    <n v="200801"/>
    <n v="200801"/>
    <m/>
    <n v="30"/>
    <n v="200801"/>
    <n v="600000"/>
  </r>
  <r>
    <x v="364"/>
    <x v="4"/>
    <m/>
    <x v="0"/>
    <x v="2"/>
    <x v="16"/>
    <n v="200801"/>
    <n v="200801"/>
    <m/>
    <n v="14"/>
    <n v="200801"/>
    <n v="490000"/>
  </r>
  <r>
    <x v="364"/>
    <x v="4"/>
    <m/>
    <x v="0"/>
    <x v="2"/>
    <x v="17"/>
    <n v="200801"/>
    <n v="200801"/>
    <m/>
    <n v="21"/>
    <n v="200801"/>
    <n v="693000"/>
  </r>
  <r>
    <x v="364"/>
    <x v="4"/>
    <m/>
    <x v="0"/>
    <x v="2"/>
    <x v="19"/>
    <n v="200801"/>
    <n v="200801"/>
    <m/>
    <n v="32"/>
    <n v="200801"/>
    <n v="96000"/>
  </r>
  <r>
    <x v="364"/>
    <x v="4"/>
    <m/>
    <x v="5"/>
    <x v="2"/>
    <x v="28"/>
    <n v="200801"/>
    <n v="200801"/>
    <m/>
    <n v="24"/>
    <n v="200801"/>
    <n v="672000"/>
  </r>
  <r>
    <x v="364"/>
    <x v="4"/>
    <m/>
    <x v="5"/>
    <x v="2"/>
    <x v="69"/>
    <n v="200801"/>
    <n v="200801"/>
    <m/>
    <n v="6"/>
    <n v="200801"/>
    <n v="288000"/>
  </r>
  <r>
    <x v="364"/>
    <x v="4"/>
    <m/>
    <x v="22"/>
    <x v="2"/>
    <x v="29"/>
    <n v="200801"/>
    <n v="200801"/>
    <m/>
    <n v="1"/>
    <n v="200801"/>
    <n v="38000"/>
  </r>
  <r>
    <x v="364"/>
    <x v="4"/>
    <m/>
    <x v="19"/>
    <x v="2"/>
    <x v="22"/>
    <n v="200801"/>
    <n v="200801"/>
    <m/>
    <n v="5"/>
    <n v="200801"/>
    <n v="65000"/>
  </r>
  <r>
    <x v="364"/>
    <x v="4"/>
    <m/>
    <x v="19"/>
    <x v="2"/>
    <x v="23"/>
    <n v="200801"/>
    <n v="200801"/>
    <m/>
    <n v="3"/>
    <n v="200801"/>
    <n v="72000"/>
  </r>
  <r>
    <x v="364"/>
    <x v="4"/>
    <m/>
    <x v="19"/>
    <x v="2"/>
    <x v="24"/>
    <n v="200801"/>
    <n v="200801"/>
    <m/>
    <n v="1"/>
    <n v="200801"/>
    <n v="33000"/>
  </r>
  <r>
    <x v="364"/>
    <x v="4"/>
    <m/>
    <x v="33"/>
    <x v="2"/>
    <x v="92"/>
    <n v="200801"/>
    <n v="200801"/>
    <m/>
    <n v="2"/>
    <n v="200801"/>
    <n v="36400"/>
  </r>
  <r>
    <x v="364"/>
    <x v="4"/>
    <m/>
    <x v="0"/>
    <x v="9"/>
    <x v="15"/>
    <n v="200801"/>
    <n v="200801"/>
    <m/>
    <n v="4"/>
    <n v="200801"/>
    <n v="80000"/>
  </r>
  <r>
    <x v="365"/>
    <x v="1"/>
    <m/>
    <x v="0"/>
    <x v="7"/>
    <x v="15"/>
    <n v="200801"/>
    <n v="200801"/>
    <m/>
    <n v="1"/>
    <n v="200801"/>
    <n v="20000"/>
  </r>
  <r>
    <x v="365"/>
    <x v="1"/>
    <m/>
    <x v="6"/>
    <x v="2"/>
    <x v="37"/>
    <n v="200801"/>
    <n v="200801"/>
    <m/>
    <n v="3"/>
    <n v="200801"/>
    <n v="60000"/>
  </r>
  <r>
    <x v="365"/>
    <x v="1"/>
    <m/>
    <x v="25"/>
    <x v="2"/>
    <x v="34"/>
    <n v="200801"/>
    <n v="200801"/>
    <m/>
    <n v="2"/>
    <n v="200801"/>
    <n v="198000"/>
  </r>
  <r>
    <x v="365"/>
    <x v="1"/>
    <m/>
    <x v="31"/>
    <x v="2"/>
    <x v="95"/>
    <n v="200801"/>
    <n v="200801"/>
    <m/>
    <n v="9"/>
    <n v="200801"/>
    <n v="201600"/>
  </r>
  <r>
    <x v="365"/>
    <x v="1"/>
    <m/>
    <x v="31"/>
    <x v="2"/>
    <x v="96"/>
    <n v="200801"/>
    <n v="200801"/>
    <m/>
    <n v="9"/>
    <n v="200801"/>
    <n v="352800"/>
  </r>
  <r>
    <x v="365"/>
    <x v="1"/>
    <m/>
    <x v="32"/>
    <x v="2"/>
    <x v="97"/>
    <n v="200801"/>
    <n v="200801"/>
    <m/>
    <n v="20"/>
    <n v="200801"/>
    <n v="742000"/>
  </r>
  <r>
    <x v="365"/>
    <x v="1"/>
    <m/>
    <x v="34"/>
    <x v="2"/>
    <x v="105"/>
    <n v="200801"/>
    <n v="200801"/>
    <m/>
    <n v="14"/>
    <n v="200801"/>
    <n v="519400"/>
  </r>
  <r>
    <x v="365"/>
    <x v="1"/>
    <m/>
    <x v="30"/>
    <x v="2"/>
    <x v="99"/>
    <n v="200801"/>
    <n v="200801"/>
    <m/>
    <n v="3"/>
    <n v="200801"/>
    <n v="67200"/>
  </r>
  <r>
    <x v="365"/>
    <x v="1"/>
    <m/>
    <x v="1"/>
    <x v="2"/>
    <x v="18"/>
    <n v="200801"/>
    <n v="200801"/>
    <m/>
    <n v="4"/>
    <n v="200801"/>
    <n v="80000"/>
  </r>
  <r>
    <x v="365"/>
    <x v="1"/>
    <m/>
    <x v="4"/>
    <x v="2"/>
    <x v="26"/>
    <n v="200801"/>
    <n v="200801"/>
    <m/>
    <n v="1"/>
    <n v="200801"/>
    <n v="4000"/>
  </r>
  <r>
    <x v="365"/>
    <x v="1"/>
    <m/>
    <x v="4"/>
    <x v="2"/>
    <x v="27"/>
    <n v="200801"/>
    <n v="200801"/>
    <m/>
    <n v="2"/>
    <n v="200801"/>
    <n v="40000"/>
  </r>
  <r>
    <x v="365"/>
    <x v="1"/>
    <m/>
    <x v="0"/>
    <x v="2"/>
    <x v="15"/>
    <n v="200801"/>
    <n v="200801"/>
    <m/>
    <n v="27"/>
    <n v="200801"/>
    <n v="540000"/>
  </r>
  <r>
    <x v="365"/>
    <x v="1"/>
    <m/>
    <x v="0"/>
    <x v="2"/>
    <x v="16"/>
    <n v="200801"/>
    <n v="200801"/>
    <m/>
    <n v="7"/>
    <n v="200801"/>
    <n v="245000"/>
  </r>
  <r>
    <x v="365"/>
    <x v="1"/>
    <m/>
    <x v="0"/>
    <x v="2"/>
    <x v="17"/>
    <n v="200801"/>
    <n v="200801"/>
    <m/>
    <n v="27"/>
    <n v="200801"/>
    <n v="891000"/>
  </r>
  <r>
    <x v="365"/>
    <x v="1"/>
    <m/>
    <x v="0"/>
    <x v="2"/>
    <x v="19"/>
    <n v="200801"/>
    <n v="200801"/>
    <m/>
    <n v="21"/>
    <n v="200801"/>
    <n v="63000"/>
  </r>
  <r>
    <x v="365"/>
    <x v="1"/>
    <m/>
    <x v="5"/>
    <x v="2"/>
    <x v="28"/>
    <n v="200801"/>
    <n v="200801"/>
    <m/>
    <n v="20"/>
    <n v="200801"/>
    <n v="560000"/>
  </r>
  <r>
    <x v="365"/>
    <x v="1"/>
    <m/>
    <x v="5"/>
    <x v="2"/>
    <x v="69"/>
    <n v="200801"/>
    <n v="200801"/>
    <m/>
    <n v="2"/>
    <n v="200801"/>
    <n v="96000"/>
  </r>
  <r>
    <x v="365"/>
    <x v="1"/>
    <m/>
    <x v="19"/>
    <x v="2"/>
    <x v="22"/>
    <n v="200801"/>
    <n v="200801"/>
    <m/>
    <n v="3"/>
    <n v="200801"/>
    <n v="39000"/>
  </r>
  <r>
    <x v="365"/>
    <x v="1"/>
    <m/>
    <x v="19"/>
    <x v="2"/>
    <x v="23"/>
    <n v="200801"/>
    <n v="200801"/>
    <m/>
    <n v="1"/>
    <n v="200801"/>
    <n v="24000"/>
  </r>
  <r>
    <x v="365"/>
    <x v="1"/>
    <m/>
    <x v="0"/>
    <x v="9"/>
    <x v="15"/>
    <n v="200801"/>
    <n v="200801"/>
    <m/>
    <n v="2"/>
    <n v="200801"/>
    <n v="40000"/>
  </r>
  <r>
    <x v="365"/>
    <x v="1"/>
    <m/>
    <x v="22"/>
    <x v="9"/>
    <x v="29"/>
    <n v="200801"/>
    <n v="200801"/>
    <m/>
    <n v="1"/>
    <n v="200801"/>
    <n v="38000"/>
  </r>
  <r>
    <x v="366"/>
    <x v="0"/>
    <m/>
    <x v="0"/>
    <x v="7"/>
    <x v="15"/>
    <n v="200801"/>
    <n v="200801"/>
    <m/>
    <n v="7"/>
    <n v="200801"/>
    <n v="140000"/>
  </r>
  <r>
    <x v="366"/>
    <x v="0"/>
    <m/>
    <x v="6"/>
    <x v="2"/>
    <x v="37"/>
    <n v="200801"/>
    <n v="200801"/>
    <m/>
    <n v="4"/>
    <n v="200801"/>
    <n v="80000"/>
  </r>
  <r>
    <x v="366"/>
    <x v="0"/>
    <m/>
    <x v="6"/>
    <x v="2"/>
    <x v="42"/>
    <n v="200801"/>
    <n v="200801"/>
    <m/>
    <n v="2"/>
    <n v="200801"/>
    <n v="70000"/>
  </r>
  <r>
    <x v="366"/>
    <x v="0"/>
    <m/>
    <x v="25"/>
    <x v="2"/>
    <x v="34"/>
    <n v="200801"/>
    <n v="200801"/>
    <m/>
    <n v="5"/>
    <n v="200801"/>
    <n v="495000"/>
  </r>
  <r>
    <x v="366"/>
    <x v="0"/>
    <m/>
    <x v="31"/>
    <x v="2"/>
    <x v="95"/>
    <n v="200801"/>
    <n v="200801"/>
    <m/>
    <n v="11"/>
    <n v="200801"/>
    <n v="246400"/>
  </r>
  <r>
    <x v="366"/>
    <x v="0"/>
    <m/>
    <x v="31"/>
    <x v="2"/>
    <x v="96"/>
    <n v="200801"/>
    <n v="200801"/>
    <m/>
    <n v="10"/>
    <n v="200801"/>
    <n v="392000"/>
  </r>
  <r>
    <x v="366"/>
    <x v="0"/>
    <m/>
    <x v="32"/>
    <x v="2"/>
    <x v="97"/>
    <n v="200801"/>
    <n v="200801"/>
    <m/>
    <n v="21"/>
    <n v="200801"/>
    <n v="779100"/>
  </r>
  <r>
    <x v="366"/>
    <x v="0"/>
    <m/>
    <x v="34"/>
    <x v="2"/>
    <x v="105"/>
    <n v="200801"/>
    <n v="200801"/>
    <m/>
    <n v="19"/>
    <n v="200801"/>
    <n v="704900"/>
  </r>
  <r>
    <x v="366"/>
    <x v="0"/>
    <m/>
    <x v="30"/>
    <x v="2"/>
    <x v="99"/>
    <n v="200801"/>
    <n v="200801"/>
    <m/>
    <n v="7"/>
    <n v="200801"/>
    <n v="156800"/>
  </r>
  <r>
    <x v="366"/>
    <x v="0"/>
    <m/>
    <x v="30"/>
    <x v="2"/>
    <x v="100"/>
    <n v="200801"/>
    <n v="200801"/>
    <m/>
    <n v="1"/>
    <n v="200801"/>
    <n v="39200"/>
  </r>
  <r>
    <x v="366"/>
    <x v="0"/>
    <m/>
    <x v="1"/>
    <x v="2"/>
    <x v="18"/>
    <n v="200801"/>
    <n v="200801"/>
    <m/>
    <n v="1"/>
    <n v="200801"/>
    <n v="20000"/>
  </r>
  <r>
    <x v="366"/>
    <x v="0"/>
    <m/>
    <x v="1"/>
    <x v="2"/>
    <x v="21"/>
    <n v="200801"/>
    <n v="200801"/>
    <m/>
    <n v="1"/>
    <n v="200801"/>
    <n v="35000"/>
  </r>
  <r>
    <x v="366"/>
    <x v="0"/>
    <m/>
    <x v="4"/>
    <x v="2"/>
    <x v="27"/>
    <n v="200801"/>
    <n v="200801"/>
    <m/>
    <n v="8"/>
    <n v="200801"/>
    <n v="160000"/>
  </r>
  <r>
    <x v="366"/>
    <x v="0"/>
    <m/>
    <x v="0"/>
    <x v="2"/>
    <x v="15"/>
    <n v="200801"/>
    <n v="200801"/>
    <m/>
    <n v="28"/>
    <n v="200801"/>
    <n v="560000"/>
  </r>
  <r>
    <x v="366"/>
    <x v="0"/>
    <m/>
    <x v="0"/>
    <x v="2"/>
    <x v="16"/>
    <n v="200801"/>
    <n v="200801"/>
    <m/>
    <n v="17"/>
    <n v="200801"/>
    <n v="595000"/>
  </r>
  <r>
    <x v="366"/>
    <x v="0"/>
    <m/>
    <x v="0"/>
    <x v="2"/>
    <x v="17"/>
    <n v="200801"/>
    <n v="200801"/>
    <m/>
    <n v="29"/>
    <n v="200801"/>
    <n v="957000"/>
  </r>
  <r>
    <x v="366"/>
    <x v="0"/>
    <m/>
    <x v="0"/>
    <x v="2"/>
    <x v="19"/>
    <n v="200801"/>
    <n v="200801"/>
    <m/>
    <n v="24"/>
    <n v="200801"/>
    <n v="72000"/>
  </r>
  <r>
    <x v="366"/>
    <x v="0"/>
    <m/>
    <x v="5"/>
    <x v="2"/>
    <x v="28"/>
    <n v="200801"/>
    <n v="200801"/>
    <m/>
    <n v="16"/>
    <n v="200801"/>
    <n v="448000"/>
  </r>
  <r>
    <x v="366"/>
    <x v="0"/>
    <m/>
    <x v="5"/>
    <x v="2"/>
    <x v="69"/>
    <n v="200801"/>
    <n v="200801"/>
    <m/>
    <n v="6"/>
    <n v="200801"/>
    <n v="288000"/>
  </r>
  <r>
    <x v="366"/>
    <x v="0"/>
    <m/>
    <x v="22"/>
    <x v="2"/>
    <x v="29"/>
    <n v="200801"/>
    <n v="200801"/>
    <m/>
    <n v="6"/>
    <n v="200801"/>
    <n v="228000"/>
  </r>
  <r>
    <x v="366"/>
    <x v="0"/>
    <m/>
    <x v="19"/>
    <x v="2"/>
    <x v="22"/>
    <n v="200801"/>
    <n v="200801"/>
    <m/>
    <n v="9"/>
    <n v="200801"/>
    <n v="117000"/>
  </r>
  <r>
    <x v="366"/>
    <x v="0"/>
    <m/>
    <x v="19"/>
    <x v="2"/>
    <x v="23"/>
    <n v="200801"/>
    <n v="200801"/>
    <m/>
    <n v="3"/>
    <n v="200801"/>
    <n v="72000"/>
  </r>
  <r>
    <x v="366"/>
    <x v="0"/>
    <m/>
    <x v="19"/>
    <x v="2"/>
    <x v="24"/>
    <n v="200801"/>
    <n v="200801"/>
    <m/>
    <n v="1"/>
    <n v="200801"/>
    <n v="33000"/>
  </r>
  <r>
    <x v="366"/>
    <x v="0"/>
    <m/>
    <x v="33"/>
    <x v="2"/>
    <x v="92"/>
    <n v="200801"/>
    <n v="200801"/>
    <m/>
    <n v="1"/>
    <n v="200801"/>
    <n v="18200"/>
  </r>
  <r>
    <x v="366"/>
    <x v="0"/>
    <m/>
    <x v="0"/>
    <x v="9"/>
    <x v="15"/>
    <n v="200801"/>
    <n v="200801"/>
    <m/>
    <n v="4"/>
    <n v="200801"/>
    <n v="80000"/>
  </r>
  <r>
    <x v="367"/>
    <x v="2"/>
    <m/>
    <x v="0"/>
    <x v="7"/>
    <x v="15"/>
    <n v="200801"/>
    <n v="200801"/>
    <m/>
    <n v="4"/>
    <n v="200801"/>
    <n v="80000"/>
  </r>
  <r>
    <x v="367"/>
    <x v="2"/>
    <m/>
    <x v="6"/>
    <x v="2"/>
    <x v="37"/>
    <n v="200801"/>
    <n v="200801"/>
    <m/>
    <n v="3"/>
    <n v="200801"/>
    <n v="60000"/>
  </r>
  <r>
    <x v="367"/>
    <x v="2"/>
    <m/>
    <x v="25"/>
    <x v="2"/>
    <x v="34"/>
    <n v="200801"/>
    <n v="200801"/>
    <m/>
    <n v="3"/>
    <n v="200801"/>
    <n v="297000"/>
  </r>
  <r>
    <x v="367"/>
    <x v="2"/>
    <m/>
    <x v="31"/>
    <x v="2"/>
    <x v="95"/>
    <n v="200801"/>
    <n v="200801"/>
    <m/>
    <n v="23"/>
    <n v="200801"/>
    <n v="515200"/>
  </r>
  <r>
    <x v="367"/>
    <x v="2"/>
    <m/>
    <x v="31"/>
    <x v="2"/>
    <x v="96"/>
    <n v="200801"/>
    <n v="200801"/>
    <m/>
    <n v="12"/>
    <n v="200801"/>
    <n v="470400"/>
  </r>
  <r>
    <x v="367"/>
    <x v="2"/>
    <m/>
    <x v="32"/>
    <x v="2"/>
    <x v="97"/>
    <n v="200801"/>
    <n v="200801"/>
    <m/>
    <n v="17"/>
    <n v="200801"/>
    <n v="630700"/>
  </r>
  <r>
    <x v="367"/>
    <x v="2"/>
    <m/>
    <x v="34"/>
    <x v="2"/>
    <x v="105"/>
    <n v="200801"/>
    <n v="200801"/>
    <m/>
    <n v="21"/>
    <n v="200801"/>
    <n v="779100"/>
  </r>
  <r>
    <x v="367"/>
    <x v="2"/>
    <m/>
    <x v="30"/>
    <x v="2"/>
    <x v="99"/>
    <n v="200801"/>
    <n v="200801"/>
    <m/>
    <n v="7"/>
    <n v="200801"/>
    <n v="156800"/>
  </r>
  <r>
    <x v="367"/>
    <x v="2"/>
    <m/>
    <x v="1"/>
    <x v="2"/>
    <x v="18"/>
    <n v="200801"/>
    <n v="200801"/>
    <m/>
    <n v="3"/>
    <n v="200801"/>
    <n v="60000"/>
  </r>
  <r>
    <x v="367"/>
    <x v="2"/>
    <m/>
    <x v="4"/>
    <x v="2"/>
    <x v="27"/>
    <n v="200801"/>
    <n v="200801"/>
    <m/>
    <n v="3"/>
    <n v="200801"/>
    <n v="60000"/>
  </r>
  <r>
    <x v="367"/>
    <x v="2"/>
    <m/>
    <x v="0"/>
    <x v="2"/>
    <x v="15"/>
    <n v="200801"/>
    <n v="200801"/>
    <m/>
    <n v="36"/>
    <n v="200801"/>
    <n v="720000"/>
  </r>
  <r>
    <x v="367"/>
    <x v="2"/>
    <m/>
    <x v="0"/>
    <x v="2"/>
    <x v="16"/>
    <n v="200801"/>
    <n v="200801"/>
    <m/>
    <n v="24"/>
    <n v="200801"/>
    <n v="840000"/>
  </r>
  <r>
    <x v="367"/>
    <x v="2"/>
    <m/>
    <x v="0"/>
    <x v="2"/>
    <x v="17"/>
    <n v="200801"/>
    <n v="200801"/>
    <m/>
    <n v="34"/>
    <n v="200801"/>
    <n v="1122000"/>
  </r>
  <r>
    <x v="367"/>
    <x v="2"/>
    <m/>
    <x v="0"/>
    <x v="2"/>
    <x v="19"/>
    <n v="200801"/>
    <n v="200801"/>
    <m/>
    <n v="37"/>
    <n v="200801"/>
    <n v="111000"/>
  </r>
  <r>
    <x v="367"/>
    <x v="2"/>
    <m/>
    <x v="5"/>
    <x v="2"/>
    <x v="28"/>
    <n v="200801"/>
    <n v="200801"/>
    <m/>
    <n v="15"/>
    <n v="200801"/>
    <n v="420000"/>
  </r>
  <r>
    <x v="367"/>
    <x v="2"/>
    <m/>
    <x v="5"/>
    <x v="2"/>
    <x v="69"/>
    <n v="200801"/>
    <n v="200801"/>
    <m/>
    <n v="4"/>
    <n v="200801"/>
    <n v="192000"/>
  </r>
  <r>
    <x v="367"/>
    <x v="2"/>
    <m/>
    <x v="22"/>
    <x v="2"/>
    <x v="29"/>
    <n v="200801"/>
    <n v="200801"/>
    <m/>
    <n v="6"/>
    <n v="200801"/>
    <n v="228000"/>
  </r>
  <r>
    <x v="367"/>
    <x v="2"/>
    <m/>
    <x v="19"/>
    <x v="2"/>
    <x v="22"/>
    <n v="200801"/>
    <n v="200801"/>
    <m/>
    <n v="4"/>
    <n v="200801"/>
    <n v="52000"/>
  </r>
  <r>
    <x v="367"/>
    <x v="2"/>
    <m/>
    <x v="19"/>
    <x v="2"/>
    <x v="24"/>
    <n v="200801"/>
    <n v="200801"/>
    <m/>
    <n v="1"/>
    <n v="200801"/>
    <n v="33000"/>
  </r>
  <r>
    <x v="367"/>
    <x v="2"/>
    <m/>
    <x v="33"/>
    <x v="2"/>
    <x v="92"/>
    <n v="200801"/>
    <n v="200801"/>
    <m/>
    <n v="2"/>
    <n v="200801"/>
    <n v="36400"/>
  </r>
  <r>
    <x v="367"/>
    <x v="2"/>
    <m/>
    <x v="0"/>
    <x v="9"/>
    <x v="15"/>
    <n v="200801"/>
    <n v="200801"/>
    <m/>
    <n v="4"/>
    <n v="200801"/>
    <n v="80000"/>
  </r>
  <r>
    <x v="368"/>
    <x v="5"/>
    <m/>
    <x v="0"/>
    <x v="7"/>
    <x v="15"/>
    <n v="200801"/>
    <n v="200801"/>
    <m/>
    <n v="8"/>
    <n v="200801"/>
    <n v="160000"/>
  </r>
  <r>
    <x v="368"/>
    <x v="5"/>
    <m/>
    <x v="6"/>
    <x v="2"/>
    <x v="37"/>
    <n v="200801"/>
    <n v="200801"/>
    <m/>
    <n v="2"/>
    <n v="200801"/>
    <n v="40000"/>
  </r>
  <r>
    <x v="368"/>
    <x v="5"/>
    <m/>
    <x v="25"/>
    <x v="2"/>
    <x v="34"/>
    <n v="200801"/>
    <n v="200801"/>
    <m/>
    <n v="5"/>
    <n v="200801"/>
    <n v="495000"/>
  </r>
  <r>
    <x v="368"/>
    <x v="5"/>
    <m/>
    <x v="31"/>
    <x v="2"/>
    <x v="95"/>
    <n v="200801"/>
    <n v="200801"/>
    <m/>
    <n v="24"/>
    <n v="200801"/>
    <n v="537600"/>
  </r>
  <r>
    <x v="368"/>
    <x v="5"/>
    <m/>
    <x v="31"/>
    <x v="2"/>
    <x v="96"/>
    <n v="200801"/>
    <n v="200801"/>
    <m/>
    <n v="19"/>
    <n v="200801"/>
    <n v="744800"/>
  </r>
  <r>
    <x v="368"/>
    <x v="5"/>
    <m/>
    <x v="32"/>
    <x v="2"/>
    <x v="97"/>
    <n v="200801"/>
    <n v="200801"/>
    <m/>
    <n v="22"/>
    <n v="200801"/>
    <n v="816200"/>
  </r>
  <r>
    <x v="368"/>
    <x v="5"/>
    <m/>
    <x v="34"/>
    <x v="2"/>
    <x v="105"/>
    <n v="200801"/>
    <n v="200801"/>
    <m/>
    <n v="21"/>
    <n v="200801"/>
    <n v="779100"/>
  </r>
  <r>
    <x v="368"/>
    <x v="5"/>
    <m/>
    <x v="30"/>
    <x v="2"/>
    <x v="99"/>
    <n v="200801"/>
    <n v="200801"/>
    <m/>
    <n v="3"/>
    <n v="200801"/>
    <n v="67200"/>
  </r>
  <r>
    <x v="368"/>
    <x v="5"/>
    <m/>
    <x v="1"/>
    <x v="2"/>
    <x v="18"/>
    <n v="200801"/>
    <n v="200801"/>
    <m/>
    <n v="6"/>
    <n v="200801"/>
    <n v="120000"/>
  </r>
  <r>
    <x v="368"/>
    <x v="5"/>
    <m/>
    <x v="4"/>
    <x v="2"/>
    <x v="26"/>
    <n v="200801"/>
    <n v="200801"/>
    <m/>
    <n v="4"/>
    <n v="200801"/>
    <n v="16000"/>
  </r>
  <r>
    <x v="368"/>
    <x v="5"/>
    <m/>
    <x v="4"/>
    <x v="2"/>
    <x v="27"/>
    <n v="200801"/>
    <n v="200801"/>
    <m/>
    <n v="3"/>
    <n v="200801"/>
    <n v="60000"/>
  </r>
  <r>
    <x v="368"/>
    <x v="5"/>
    <m/>
    <x v="0"/>
    <x v="2"/>
    <x v="15"/>
    <n v="200801"/>
    <n v="200801"/>
    <m/>
    <n v="48"/>
    <n v="200801"/>
    <n v="960000"/>
  </r>
  <r>
    <x v="368"/>
    <x v="5"/>
    <m/>
    <x v="0"/>
    <x v="2"/>
    <x v="16"/>
    <n v="200801"/>
    <n v="200801"/>
    <m/>
    <n v="33"/>
    <n v="200801"/>
    <n v="1155000"/>
  </r>
  <r>
    <x v="368"/>
    <x v="5"/>
    <m/>
    <x v="0"/>
    <x v="2"/>
    <x v="17"/>
    <n v="200801"/>
    <n v="200801"/>
    <m/>
    <n v="50"/>
    <n v="200801"/>
    <n v="1650000"/>
  </r>
  <r>
    <x v="368"/>
    <x v="5"/>
    <m/>
    <x v="0"/>
    <x v="2"/>
    <x v="19"/>
    <n v="200801"/>
    <n v="200801"/>
    <m/>
    <n v="35"/>
    <n v="200801"/>
    <n v="105000"/>
  </r>
  <r>
    <x v="368"/>
    <x v="5"/>
    <m/>
    <x v="5"/>
    <x v="2"/>
    <x v="28"/>
    <n v="200801"/>
    <n v="200801"/>
    <m/>
    <n v="25"/>
    <n v="200801"/>
    <n v="700000"/>
  </r>
  <r>
    <x v="368"/>
    <x v="5"/>
    <m/>
    <x v="5"/>
    <x v="2"/>
    <x v="69"/>
    <n v="200801"/>
    <n v="200801"/>
    <m/>
    <n v="8"/>
    <n v="200801"/>
    <n v="384000"/>
  </r>
  <r>
    <x v="368"/>
    <x v="5"/>
    <m/>
    <x v="22"/>
    <x v="2"/>
    <x v="29"/>
    <n v="200801"/>
    <n v="200801"/>
    <m/>
    <n v="9"/>
    <n v="200801"/>
    <n v="342000"/>
  </r>
  <r>
    <x v="368"/>
    <x v="5"/>
    <m/>
    <x v="19"/>
    <x v="2"/>
    <x v="22"/>
    <n v="200801"/>
    <n v="200801"/>
    <m/>
    <n v="11"/>
    <n v="200801"/>
    <n v="143000"/>
  </r>
  <r>
    <x v="368"/>
    <x v="5"/>
    <m/>
    <x v="19"/>
    <x v="2"/>
    <x v="23"/>
    <n v="200801"/>
    <n v="200801"/>
    <m/>
    <n v="1"/>
    <n v="200801"/>
    <n v="24000"/>
  </r>
  <r>
    <x v="368"/>
    <x v="5"/>
    <m/>
    <x v="19"/>
    <x v="2"/>
    <x v="24"/>
    <n v="200801"/>
    <n v="200801"/>
    <m/>
    <n v="1"/>
    <n v="200801"/>
    <n v="33000"/>
  </r>
  <r>
    <x v="368"/>
    <x v="5"/>
    <m/>
    <x v="33"/>
    <x v="2"/>
    <x v="92"/>
    <n v="200801"/>
    <n v="200801"/>
    <m/>
    <n v="3"/>
    <n v="200801"/>
    <n v="54600"/>
  </r>
  <r>
    <x v="368"/>
    <x v="5"/>
    <m/>
    <x v="5"/>
    <x v="9"/>
    <x v="28"/>
    <n v="200801"/>
    <n v="200801"/>
    <m/>
    <n v="1"/>
    <n v="200801"/>
    <n v="28000"/>
  </r>
  <r>
    <x v="368"/>
    <x v="5"/>
    <m/>
    <x v="0"/>
    <x v="9"/>
    <x v="15"/>
    <n v="200801"/>
    <n v="200801"/>
    <m/>
    <n v="5"/>
    <n v="200801"/>
    <n v="100000"/>
  </r>
  <r>
    <x v="369"/>
    <x v="6"/>
    <m/>
    <x v="0"/>
    <x v="7"/>
    <x v="15"/>
    <n v="200801"/>
    <n v="200801"/>
    <m/>
    <n v="7"/>
    <n v="200801"/>
    <n v="140000"/>
  </r>
  <r>
    <x v="369"/>
    <x v="6"/>
    <m/>
    <x v="6"/>
    <x v="2"/>
    <x v="37"/>
    <n v="200801"/>
    <n v="200801"/>
    <m/>
    <n v="4"/>
    <n v="200801"/>
    <n v="80000"/>
  </r>
  <r>
    <x v="369"/>
    <x v="6"/>
    <m/>
    <x v="6"/>
    <x v="2"/>
    <x v="42"/>
    <n v="200801"/>
    <n v="200801"/>
    <m/>
    <n v="1"/>
    <n v="200801"/>
    <n v="35000"/>
  </r>
  <r>
    <x v="369"/>
    <x v="6"/>
    <m/>
    <x v="25"/>
    <x v="2"/>
    <x v="34"/>
    <n v="200801"/>
    <n v="200801"/>
    <m/>
    <n v="4"/>
    <n v="200801"/>
    <n v="396000"/>
  </r>
  <r>
    <x v="369"/>
    <x v="6"/>
    <m/>
    <x v="31"/>
    <x v="2"/>
    <x v="95"/>
    <n v="200801"/>
    <n v="200801"/>
    <m/>
    <n v="36"/>
    <n v="200801"/>
    <n v="806400"/>
  </r>
  <r>
    <x v="369"/>
    <x v="6"/>
    <m/>
    <x v="31"/>
    <x v="2"/>
    <x v="96"/>
    <n v="200801"/>
    <n v="200801"/>
    <m/>
    <n v="33"/>
    <n v="200801"/>
    <n v="1293600"/>
  </r>
  <r>
    <x v="369"/>
    <x v="6"/>
    <m/>
    <x v="32"/>
    <x v="2"/>
    <x v="97"/>
    <n v="200801"/>
    <n v="200801"/>
    <m/>
    <n v="44"/>
    <n v="200801"/>
    <n v="1632400"/>
  </r>
  <r>
    <x v="369"/>
    <x v="6"/>
    <m/>
    <x v="34"/>
    <x v="2"/>
    <x v="105"/>
    <n v="200801"/>
    <n v="200801"/>
    <m/>
    <n v="44"/>
    <n v="200801"/>
    <n v="1632400"/>
  </r>
  <r>
    <x v="369"/>
    <x v="6"/>
    <m/>
    <x v="30"/>
    <x v="2"/>
    <x v="99"/>
    <n v="200801"/>
    <n v="200801"/>
    <m/>
    <n v="8"/>
    <n v="200801"/>
    <n v="179200"/>
  </r>
  <r>
    <x v="369"/>
    <x v="6"/>
    <m/>
    <x v="30"/>
    <x v="2"/>
    <x v="100"/>
    <n v="200801"/>
    <n v="200801"/>
    <m/>
    <n v="1"/>
    <n v="200801"/>
    <n v="39200"/>
  </r>
  <r>
    <x v="369"/>
    <x v="6"/>
    <m/>
    <x v="1"/>
    <x v="2"/>
    <x v="18"/>
    <n v="200801"/>
    <n v="200801"/>
    <m/>
    <n v="2"/>
    <n v="200801"/>
    <n v="40000"/>
  </r>
  <r>
    <x v="369"/>
    <x v="6"/>
    <m/>
    <x v="1"/>
    <x v="2"/>
    <x v="21"/>
    <n v="200801"/>
    <n v="200801"/>
    <m/>
    <n v="1"/>
    <n v="200801"/>
    <n v="35000"/>
  </r>
  <r>
    <x v="369"/>
    <x v="6"/>
    <m/>
    <x v="4"/>
    <x v="2"/>
    <x v="26"/>
    <n v="200801"/>
    <n v="200801"/>
    <m/>
    <n v="2"/>
    <n v="200801"/>
    <n v="8000"/>
  </r>
  <r>
    <x v="369"/>
    <x v="6"/>
    <m/>
    <x v="4"/>
    <x v="2"/>
    <x v="27"/>
    <n v="200801"/>
    <n v="200801"/>
    <m/>
    <n v="5"/>
    <n v="200801"/>
    <n v="100000"/>
  </r>
  <r>
    <x v="369"/>
    <x v="6"/>
    <m/>
    <x v="0"/>
    <x v="2"/>
    <x v="15"/>
    <n v="200801"/>
    <n v="200801"/>
    <m/>
    <n v="61"/>
    <n v="200801"/>
    <n v="1220000"/>
  </r>
  <r>
    <x v="369"/>
    <x v="6"/>
    <m/>
    <x v="0"/>
    <x v="2"/>
    <x v="16"/>
    <n v="200801"/>
    <n v="200801"/>
    <m/>
    <n v="46"/>
    <n v="200801"/>
    <n v="1610000"/>
  </r>
  <r>
    <x v="369"/>
    <x v="6"/>
    <m/>
    <x v="0"/>
    <x v="2"/>
    <x v="17"/>
    <n v="200801"/>
    <n v="200801"/>
    <m/>
    <n v="62"/>
    <n v="200801"/>
    <n v="2046000"/>
  </r>
  <r>
    <x v="369"/>
    <x v="6"/>
    <m/>
    <x v="0"/>
    <x v="2"/>
    <x v="19"/>
    <n v="200801"/>
    <n v="200801"/>
    <m/>
    <n v="53"/>
    <n v="200801"/>
    <n v="159000"/>
  </r>
  <r>
    <x v="369"/>
    <x v="6"/>
    <m/>
    <x v="5"/>
    <x v="2"/>
    <x v="28"/>
    <n v="200801"/>
    <n v="200801"/>
    <m/>
    <n v="44"/>
    <n v="200801"/>
    <n v="1232000"/>
  </r>
  <r>
    <x v="369"/>
    <x v="6"/>
    <m/>
    <x v="5"/>
    <x v="2"/>
    <x v="69"/>
    <n v="200801"/>
    <n v="200801"/>
    <m/>
    <n v="9"/>
    <n v="200801"/>
    <n v="432000"/>
  </r>
  <r>
    <x v="369"/>
    <x v="6"/>
    <m/>
    <x v="22"/>
    <x v="2"/>
    <x v="29"/>
    <n v="200801"/>
    <n v="200801"/>
    <m/>
    <n v="14"/>
    <n v="200801"/>
    <n v="532000"/>
  </r>
  <r>
    <x v="369"/>
    <x v="6"/>
    <m/>
    <x v="19"/>
    <x v="2"/>
    <x v="22"/>
    <n v="200801"/>
    <n v="200801"/>
    <m/>
    <n v="9"/>
    <n v="200801"/>
    <n v="117000"/>
  </r>
  <r>
    <x v="369"/>
    <x v="6"/>
    <m/>
    <x v="19"/>
    <x v="2"/>
    <x v="23"/>
    <n v="200801"/>
    <n v="200801"/>
    <m/>
    <n v="2"/>
    <n v="200801"/>
    <n v="48000"/>
  </r>
  <r>
    <x v="369"/>
    <x v="6"/>
    <m/>
    <x v="19"/>
    <x v="2"/>
    <x v="24"/>
    <n v="200801"/>
    <n v="200801"/>
    <m/>
    <n v="3"/>
    <n v="200801"/>
    <n v="99000"/>
  </r>
  <r>
    <x v="369"/>
    <x v="6"/>
    <m/>
    <x v="33"/>
    <x v="2"/>
    <x v="92"/>
    <n v="200801"/>
    <n v="200801"/>
    <m/>
    <n v="3"/>
    <n v="200801"/>
    <n v="54600"/>
  </r>
  <r>
    <x v="369"/>
    <x v="6"/>
    <m/>
    <x v="33"/>
    <x v="2"/>
    <x v="93"/>
    <n v="200801"/>
    <n v="200801"/>
    <m/>
    <n v="1"/>
    <n v="200801"/>
    <n v="33800"/>
  </r>
  <r>
    <x v="369"/>
    <x v="6"/>
    <m/>
    <x v="0"/>
    <x v="9"/>
    <x v="15"/>
    <n v="200801"/>
    <n v="200801"/>
    <m/>
    <n v="12"/>
    <n v="200801"/>
    <n v="240000"/>
  </r>
  <r>
    <x v="369"/>
    <x v="6"/>
    <m/>
    <x v="0"/>
    <x v="6"/>
    <x v="15"/>
    <n v="200801"/>
    <n v="200801"/>
    <m/>
    <n v="479"/>
    <n v="200801"/>
    <n v="4343572"/>
  </r>
  <r>
    <x v="369"/>
    <x v="6"/>
    <m/>
    <x v="0"/>
    <x v="6"/>
    <x v="17"/>
    <n v="200801"/>
    <n v="200801"/>
    <m/>
    <n v="344"/>
    <n v="200801"/>
    <n v="5441392"/>
  </r>
  <r>
    <x v="369"/>
    <x v="6"/>
    <m/>
    <x v="4"/>
    <x v="6"/>
    <x v="26"/>
    <n v="200801"/>
    <n v="200801"/>
    <m/>
    <n v="567"/>
    <n v="200801"/>
    <n v="608391"/>
  </r>
  <r>
    <x v="369"/>
    <x v="6"/>
    <m/>
    <x v="26"/>
    <x v="6"/>
    <x v="35"/>
    <n v="200801"/>
    <n v="200801"/>
    <m/>
    <n v="57"/>
    <n v="200801"/>
    <n v="976467"/>
  </r>
  <r>
    <x v="369"/>
    <x v="6"/>
    <m/>
    <x v="22"/>
    <x v="6"/>
    <x v="29"/>
    <n v="200801"/>
    <n v="200801"/>
    <m/>
    <n v="39"/>
    <n v="200801"/>
    <n v="767949"/>
  </r>
  <r>
    <x v="369"/>
    <x v="6"/>
    <m/>
    <x v="24"/>
    <x v="6"/>
    <x v="31"/>
    <n v="200801"/>
    <n v="200801"/>
    <m/>
    <n v="199"/>
    <n v="200801"/>
    <n v="2960523"/>
  </r>
  <r>
    <x v="369"/>
    <x v="6"/>
    <m/>
    <x v="23"/>
    <x v="6"/>
    <x v="30"/>
    <n v="200801"/>
    <n v="200801"/>
    <m/>
    <n v="17"/>
    <n v="200801"/>
    <n v="118388"/>
  </r>
  <r>
    <x v="369"/>
    <x v="6"/>
    <m/>
    <x v="19"/>
    <x v="6"/>
    <x v="22"/>
    <n v="200801"/>
    <n v="200801"/>
    <m/>
    <n v="68"/>
    <n v="200801"/>
    <n v="461788"/>
  </r>
  <r>
    <x v="369"/>
    <x v="6"/>
    <m/>
    <x v="5"/>
    <x v="6"/>
    <x v="28"/>
    <n v="200801"/>
    <n v="200801"/>
    <m/>
    <n v="5"/>
    <n v="200801"/>
    <n v="73000"/>
  </r>
  <r>
    <x v="369"/>
    <x v="6"/>
    <m/>
    <x v="6"/>
    <x v="6"/>
    <x v="37"/>
    <n v="200801"/>
    <n v="200801"/>
    <m/>
    <n v="30"/>
    <n v="200801"/>
    <n v="300000"/>
  </r>
  <r>
    <x v="369"/>
    <x v="6"/>
    <m/>
    <x v="28"/>
    <x v="6"/>
    <x v="39"/>
    <n v="200801"/>
    <n v="200801"/>
    <m/>
    <n v="7"/>
    <n v="200801"/>
    <n v="110726"/>
  </r>
  <r>
    <x v="369"/>
    <x v="6"/>
    <m/>
    <x v="4"/>
    <x v="6"/>
    <x v="66"/>
    <n v="200801"/>
    <n v="200801"/>
    <m/>
    <n v="80"/>
    <n v="200801"/>
    <n v="447760"/>
  </r>
  <r>
    <x v="369"/>
    <x v="6"/>
    <m/>
    <x v="33"/>
    <x v="6"/>
    <x v="106"/>
    <n v="200801"/>
    <n v="200801"/>
    <m/>
    <n v="4"/>
    <n v="200801"/>
    <n v="39000"/>
  </r>
  <r>
    <x v="369"/>
    <x v="6"/>
    <m/>
    <x v="31"/>
    <x v="6"/>
    <x v="103"/>
    <n v="200801"/>
    <n v="200801"/>
    <m/>
    <n v="105"/>
    <n v="200801"/>
    <n v="1176000"/>
  </r>
  <r>
    <x v="369"/>
    <x v="6"/>
    <m/>
    <x v="30"/>
    <x v="6"/>
    <x v="104"/>
    <n v="200801"/>
    <n v="200801"/>
    <m/>
    <n v="97"/>
    <n v="200801"/>
    <n v="1086400"/>
  </r>
  <r>
    <x v="370"/>
    <x v="3"/>
    <m/>
    <x v="19"/>
    <x v="19"/>
    <x v="22"/>
    <n v="200801"/>
    <n v="200801"/>
    <m/>
    <n v="2"/>
    <n v="200801"/>
    <n v="32000"/>
  </r>
  <r>
    <x v="370"/>
    <x v="3"/>
    <m/>
    <x v="6"/>
    <x v="19"/>
    <x v="37"/>
    <n v="200801"/>
    <n v="200801"/>
    <m/>
    <n v="1"/>
    <n v="200801"/>
    <n v="25000"/>
  </r>
  <r>
    <x v="370"/>
    <x v="3"/>
    <m/>
    <x v="0"/>
    <x v="1"/>
    <x v="15"/>
    <n v="200801"/>
    <n v="200801"/>
    <m/>
    <n v="5"/>
    <n v="200801"/>
    <n v="100000"/>
  </r>
  <r>
    <x v="370"/>
    <x v="3"/>
    <m/>
    <x v="0"/>
    <x v="1"/>
    <x v="16"/>
    <n v="200801"/>
    <n v="200801"/>
    <m/>
    <n v="35"/>
    <n v="200801"/>
    <n v="1225000"/>
  </r>
  <r>
    <x v="370"/>
    <x v="3"/>
    <m/>
    <x v="0"/>
    <x v="7"/>
    <x v="15"/>
    <n v="200801"/>
    <n v="200801"/>
    <m/>
    <n v="12"/>
    <n v="200801"/>
    <n v="240000"/>
  </r>
  <r>
    <x v="370"/>
    <x v="3"/>
    <m/>
    <x v="6"/>
    <x v="2"/>
    <x v="37"/>
    <n v="200801"/>
    <n v="200801"/>
    <m/>
    <n v="8"/>
    <n v="200801"/>
    <n v="160000"/>
  </r>
  <r>
    <x v="370"/>
    <x v="3"/>
    <m/>
    <x v="25"/>
    <x v="2"/>
    <x v="34"/>
    <n v="200801"/>
    <n v="200801"/>
    <m/>
    <n v="7"/>
    <n v="200801"/>
    <n v="693000"/>
  </r>
  <r>
    <x v="370"/>
    <x v="3"/>
    <m/>
    <x v="31"/>
    <x v="2"/>
    <x v="95"/>
    <n v="200801"/>
    <n v="200801"/>
    <m/>
    <n v="49"/>
    <n v="200801"/>
    <n v="1097600"/>
  </r>
  <r>
    <x v="370"/>
    <x v="3"/>
    <m/>
    <x v="31"/>
    <x v="2"/>
    <x v="96"/>
    <n v="200801"/>
    <n v="200801"/>
    <m/>
    <n v="34"/>
    <n v="200801"/>
    <n v="1332800"/>
  </r>
  <r>
    <x v="370"/>
    <x v="3"/>
    <m/>
    <x v="32"/>
    <x v="2"/>
    <x v="97"/>
    <n v="200801"/>
    <n v="200801"/>
    <m/>
    <n v="41"/>
    <n v="200801"/>
    <n v="1521100"/>
  </r>
  <r>
    <x v="370"/>
    <x v="3"/>
    <m/>
    <x v="34"/>
    <x v="2"/>
    <x v="105"/>
    <n v="200801"/>
    <n v="200801"/>
    <m/>
    <n v="53"/>
    <n v="200801"/>
    <n v="1966300"/>
  </r>
  <r>
    <x v="370"/>
    <x v="3"/>
    <m/>
    <x v="30"/>
    <x v="2"/>
    <x v="99"/>
    <n v="200801"/>
    <n v="200801"/>
    <m/>
    <n v="13"/>
    <n v="200801"/>
    <n v="291200"/>
  </r>
  <r>
    <x v="370"/>
    <x v="3"/>
    <m/>
    <x v="30"/>
    <x v="2"/>
    <x v="100"/>
    <n v="200801"/>
    <n v="200801"/>
    <m/>
    <n v="1"/>
    <n v="200801"/>
    <n v="39200"/>
  </r>
  <r>
    <x v="370"/>
    <x v="3"/>
    <m/>
    <x v="1"/>
    <x v="2"/>
    <x v="18"/>
    <n v="200801"/>
    <n v="200801"/>
    <m/>
    <n v="5"/>
    <n v="200801"/>
    <n v="100000"/>
  </r>
  <r>
    <x v="370"/>
    <x v="3"/>
    <m/>
    <x v="1"/>
    <x v="2"/>
    <x v="21"/>
    <n v="200801"/>
    <n v="200801"/>
    <m/>
    <n v="1"/>
    <n v="200801"/>
    <n v="35000"/>
  </r>
  <r>
    <x v="370"/>
    <x v="3"/>
    <m/>
    <x v="4"/>
    <x v="2"/>
    <x v="26"/>
    <n v="200801"/>
    <n v="200801"/>
    <m/>
    <n v="2"/>
    <n v="200801"/>
    <n v="8000"/>
  </r>
  <r>
    <x v="370"/>
    <x v="3"/>
    <m/>
    <x v="4"/>
    <x v="2"/>
    <x v="27"/>
    <n v="200801"/>
    <n v="200801"/>
    <m/>
    <n v="7"/>
    <n v="200801"/>
    <n v="140000"/>
  </r>
  <r>
    <x v="370"/>
    <x v="3"/>
    <m/>
    <x v="0"/>
    <x v="2"/>
    <x v="15"/>
    <n v="200801"/>
    <n v="200801"/>
    <m/>
    <n v="55"/>
    <n v="200801"/>
    <n v="1100000"/>
  </r>
  <r>
    <x v="370"/>
    <x v="3"/>
    <m/>
    <x v="0"/>
    <x v="2"/>
    <x v="16"/>
    <n v="200801"/>
    <n v="200801"/>
    <m/>
    <n v="63"/>
    <n v="200801"/>
    <n v="2205000"/>
  </r>
  <r>
    <x v="370"/>
    <x v="3"/>
    <m/>
    <x v="0"/>
    <x v="2"/>
    <x v="17"/>
    <n v="200801"/>
    <n v="200801"/>
    <m/>
    <n v="80"/>
    <n v="200801"/>
    <n v="2640000"/>
  </r>
  <r>
    <x v="370"/>
    <x v="3"/>
    <m/>
    <x v="0"/>
    <x v="2"/>
    <x v="19"/>
    <n v="200801"/>
    <n v="200801"/>
    <m/>
    <n v="48"/>
    <n v="200801"/>
    <n v="144000"/>
  </r>
  <r>
    <x v="370"/>
    <x v="3"/>
    <m/>
    <x v="5"/>
    <x v="2"/>
    <x v="28"/>
    <n v="200801"/>
    <n v="200801"/>
    <m/>
    <n v="33"/>
    <n v="200801"/>
    <n v="924000"/>
  </r>
  <r>
    <x v="370"/>
    <x v="3"/>
    <m/>
    <x v="5"/>
    <x v="2"/>
    <x v="69"/>
    <n v="200801"/>
    <n v="200801"/>
    <m/>
    <n v="9"/>
    <n v="200801"/>
    <n v="432000"/>
  </r>
  <r>
    <x v="370"/>
    <x v="3"/>
    <m/>
    <x v="22"/>
    <x v="2"/>
    <x v="29"/>
    <n v="200801"/>
    <n v="200801"/>
    <m/>
    <n v="7"/>
    <n v="200801"/>
    <n v="266000"/>
  </r>
  <r>
    <x v="370"/>
    <x v="3"/>
    <m/>
    <x v="19"/>
    <x v="2"/>
    <x v="22"/>
    <n v="200801"/>
    <n v="200801"/>
    <m/>
    <n v="14"/>
    <n v="200801"/>
    <n v="182000"/>
  </r>
  <r>
    <x v="370"/>
    <x v="3"/>
    <m/>
    <x v="19"/>
    <x v="2"/>
    <x v="23"/>
    <n v="200801"/>
    <n v="200801"/>
    <m/>
    <n v="3"/>
    <n v="200801"/>
    <n v="72000"/>
  </r>
  <r>
    <x v="370"/>
    <x v="3"/>
    <m/>
    <x v="0"/>
    <x v="9"/>
    <x v="15"/>
    <n v="200801"/>
    <n v="200801"/>
    <m/>
    <n v="5"/>
    <n v="200801"/>
    <n v="100000"/>
  </r>
  <r>
    <x v="371"/>
    <x v="4"/>
    <m/>
    <x v="0"/>
    <x v="1"/>
    <x v="15"/>
    <n v="200801"/>
    <n v="200801"/>
    <m/>
    <n v="2"/>
    <n v="200801"/>
    <n v="40000"/>
  </r>
  <r>
    <x v="371"/>
    <x v="4"/>
    <m/>
    <x v="0"/>
    <x v="1"/>
    <x v="16"/>
    <n v="200801"/>
    <n v="200801"/>
    <m/>
    <n v="8"/>
    <n v="200801"/>
    <n v="280000"/>
  </r>
  <r>
    <x v="371"/>
    <x v="4"/>
    <m/>
    <x v="0"/>
    <x v="7"/>
    <x v="15"/>
    <n v="200801"/>
    <n v="200801"/>
    <m/>
    <n v="2"/>
    <n v="200801"/>
    <n v="40000"/>
  </r>
  <r>
    <x v="371"/>
    <x v="4"/>
    <m/>
    <x v="6"/>
    <x v="2"/>
    <x v="37"/>
    <n v="200801"/>
    <n v="200801"/>
    <m/>
    <n v="4"/>
    <n v="200801"/>
    <n v="80000"/>
  </r>
  <r>
    <x v="371"/>
    <x v="4"/>
    <m/>
    <x v="25"/>
    <x v="2"/>
    <x v="34"/>
    <n v="200801"/>
    <n v="200801"/>
    <m/>
    <n v="3"/>
    <n v="200801"/>
    <n v="297000"/>
  </r>
  <r>
    <x v="371"/>
    <x v="4"/>
    <m/>
    <x v="31"/>
    <x v="2"/>
    <x v="95"/>
    <n v="200801"/>
    <n v="200801"/>
    <m/>
    <n v="28"/>
    <n v="200801"/>
    <n v="627200"/>
  </r>
  <r>
    <x v="371"/>
    <x v="4"/>
    <m/>
    <x v="31"/>
    <x v="2"/>
    <x v="96"/>
    <n v="200801"/>
    <n v="200801"/>
    <m/>
    <n v="37"/>
    <n v="200801"/>
    <n v="1450400"/>
  </r>
  <r>
    <x v="371"/>
    <x v="4"/>
    <m/>
    <x v="32"/>
    <x v="2"/>
    <x v="97"/>
    <n v="200801"/>
    <n v="200801"/>
    <m/>
    <n v="36"/>
    <n v="200801"/>
    <n v="1335600"/>
  </r>
  <r>
    <x v="371"/>
    <x v="4"/>
    <m/>
    <x v="34"/>
    <x v="2"/>
    <x v="105"/>
    <n v="200801"/>
    <n v="200801"/>
    <m/>
    <n v="53"/>
    <n v="200801"/>
    <n v="1966300"/>
  </r>
  <r>
    <x v="371"/>
    <x v="4"/>
    <m/>
    <x v="30"/>
    <x v="2"/>
    <x v="99"/>
    <n v="200801"/>
    <n v="200801"/>
    <m/>
    <n v="7"/>
    <n v="200801"/>
    <n v="156800"/>
  </r>
  <r>
    <x v="371"/>
    <x v="4"/>
    <m/>
    <x v="30"/>
    <x v="2"/>
    <x v="100"/>
    <n v="200801"/>
    <n v="200801"/>
    <m/>
    <n v="1"/>
    <n v="200801"/>
    <n v="39200"/>
  </r>
  <r>
    <x v="371"/>
    <x v="4"/>
    <m/>
    <x v="1"/>
    <x v="2"/>
    <x v="18"/>
    <n v="200801"/>
    <n v="200801"/>
    <m/>
    <n v="3"/>
    <n v="200801"/>
    <n v="60000"/>
  </r>
  <r>
    <x v="371"/>
    <x v="4"/>
    <m/>
    <x v="1"/>
    <x v="2"/>
    <x v="21"/>
    <n v="200801"/>
    <n v="200801"/>
    <m/>
    <n v="4"/>
    <n v="200801"/>
    <n v="140000"/>
  </r>
  <r>
    <x v="371"/>
    <x v="4"/>
    <m/>
    <x v="4"/>
    <x v="2"/>
    <x v="26"/>
    <n v="200801"/>
    <n v="200801"/>
    <m/>
    <n v="5"/>
    <n v="200801"/>
    <n v="20000"/>
  </r>
  <r>
    <x v="371"/>
    <x v="4"/>
    <m/>
    <x v="4"/>
    <x v="2"/>
    <x v="27"/>
    <n v="200801"/>
    <n v="200801"/>
    <m/>
    <n v="4"/>
    <n v="200801"/>
    <n v="80000"/>
  </r>
  <r>
    <x v="371"/>
    <x v="4"/>
    <m/>
    <x v="0"/>
    <x v="2"/>
    <x v="15"/>
    <n v="200801"/>
    <n v="200801"/>
    <m/>
    <n v="71"/>
    <n v="200801"/>
    <n v="1420000"/>
  </r>
  <r>
    <x v="371"/>
    <x v="4"/>
    <m/>
    <x v="0"/>
    <x v="2"/>
    <x v="16"/>
    <n v="200801"/>
    <n v="200801"/>
    <m/>
    <n v="62"/>
    <n v="200801"/>
    <n v="2170000"/>
  </r>
  <r>
    <x v="371"/>
    <x v="4"/>
    <m/>
    <x v="0"/>
    <x v="2"/>
    <x v="17"/>
    <n v="200801"/>
    <n v="200801"/>
    <m/>
    <n v="85"/>
    <n v="200801"/>
    <n v="2805000"/>
  </r>
  <r>
    <x v="371"/>
    <x v="4"/>
    <m/>
    <x v="0"/>
    <x v="2"/>
    <x v="19"/>
    <n v="200801"/>
    <n v="200801"/>
    <m/>
    <n v="61"/>
    <n v="200801"/>
    <n v="183000"/>
  </r>
  <r>
    <x v="371"/>
    <x v="4"/>
    <m/>
    <x v="5"/>
    <x v="2"/>
    <x v="28"/>
    <n v="200801"/>
    <n v="200801"/>
    <m/>
    <n v="28"/>
    <n v="200801"/>
    <n v="784000"/>
  </r>
  <r>
    <x v="371"/>
    <x v="4"/>
    <m/>
    <x v="5"/>
    <x v="2"/>
    <x v="69"/>
    <n v="200801"/>
    <n v="200801"/>
    <m/>
    <n v="4"/>
    <n v="200801"/>
    <n v="192000"/>
  </r>
  <r>
    <x v="371"/>
    <x v="4"/>
    <m/>
    <x v="22"/>
    <x v="2"/>
    <x v="29"/>
    <n v="200801"/>
    <n v="200801"/>
    <m/>
    <n v="5"/>
    <n v="200801"/>
    <n v="190000"/>
  </r>
  <r>
    <x v="371"/>
    <x v="4"/>
    <m/>
    <x v="19"/>
    <x v="2"/>
    <x v="22"/>
    <n v="200801"/>
    <n v="200801"/>
    <m/>
    <n v="8"/>
    <n v="200801"/>
    <n v="104000"/>
  </r>
  <r>
    <x v="371"/>
    <x v="4"/>
    <m/>
    <x v="19"/>
    <x v="2"/>
    <x v="23"/>
    <n v="200801"/>
    <n v="200801"/>
    <m/>
    <n v="5"/>
    <n v="200801"/>
    <n v="120000"/>
  </r>
  <r>
    <x v="371"/>
    <x v="4"/>
    <m/>
    <x v="33"/>
    <x v="2"/>
    <x v="92"/>
    <n v="200801"/>
    <n v="200801"/>
    <m/>
    <n v="2"/>
    <n v="200801"/>
    <n v="36400"/>
  </r>
  <r>
    <x v="371"/>
    <x v="4"/>
    <m/>
    <x v="0"/>
    <x v="9"/>
    <x v="15"/>
    <n v="200801"/>
    <n v="200801"/>
    <m/>
    <n v="5"/>
    <n v="200801"/>
    <n v="100000"/>
  </r>
  <r>
    <x v="372"/>
    <x v="1"/>
    <m/>
    <x v="0"/>
    <x v="1"/>
    <x v="15"/>
    <n v="200801"/>
    <n v="200801"/>
    <m/>
    <n v="2"/>
    <n v="200801"/>
    <n v="40000"/>
  </r>
  <r>
    <x v="372"/>
    <x v="1"/>
    <m/>
    <x v="0"/>
    <x v="1"/>
    <x v="16"/>
    <n v="200801"/>
    <n v="200801"/>
    <m/>
    <n v="18"/>
    <n v="200801"/>
    <n v="630000"/>
  </r>
  <r>
    <x v="372"/>
    <x v="1"/>
    <m/>
    <x v="5"/>
    <x v="5"/>
    <x v="53"/>
    <n v="200801"/>
    <n v="200801"/>
    <m/>
    <n v="20"/>
    <n v="200801"/>
    <n v="297000"/>
  </r>
  <r>
    <x v="372"/>
    <x v="1"/>
    <m/>
    <x v="22"/>
    <x v="5"/>
    <x v="52"/>
    <n v="200801"/>
    <n v="200801"/>
    <m/>
    <n v="20"/>
    <n v="200801"/>
    <n v="342000"/>
  </r>
  <r>
    <x v="372"/>
    <x v="1"/>
    <m/>
    <x v="0"/>
    <x v="7"/>
    <x v="15"/>
    <n v="200801"/>
    <n v="200801"/>
    <m/>
    <n v="6"/>
    <n v="200801"/>
    <n v="120000"/>
  </r>
  <r>
    <x v="372"/>
    <x v="1"/>
    <m/>
    <x v="6"/>
    <x v="2"/>
    <x v="37"/>
    <n v="200801"/>
    <n v="200801"/>
    <m/>
    <n v="4"/>
    <n v="200801"/>
    <n v="80000"/>
  </r>
  <r>
    <x v="372"/>
    <x v="1"/>
    <m/>
    <x v="6"/>
    <x v="2"/>
    <x v="42"/>
    <n v="200801"/>
    <n v="200801"/>
    <m/>
    <n v="3"/>
    <n v="200801"/>
    <n v="105000"/>
  </r>
  <r>
    <x v="372"/>
    <x v="1"/>
    <m/>
    <x v="25"/>
    <x v="2"/>
    <x v="34"/>
    <n v="200801"/>
    <n v="200801"/>
    <m/>
    <n v="5"/>
    <n v="200801"/>
    <n v="495000"/>
  </r>
  <r>
    <x v="372"/>
    <x v="1"/>
    <m/>
    <x v="31"/>
    <x v="2"/>
    <x v="95"/>
    <n v="200801"/>
    <n v="200801"/>
    <m/>
    <n v="16"/>
    <n v="200801"/>
    <n v="358400"/>
  </r>
  <r>
    <x v="372"/>
    <x v="1"/>
    <m/>
    <x v="31"/>
    <x v="2"/>
    <x v="96"/>
    <n v="200801"/>
    <n v="200801"/>
    <m/>
    <n v="13"/>
    <n v="200801"/>
    <n v="509600"/>
  </r>
  <r>
    <x v="372"/>
    <x v="1"/>
    <m/>
    <x v="32"/>
    <x v="2"/>
    <x v="97"/>
    <n v="200801"/>
    <n v="200801"/>
    <m/>
    <n v="20"/>
    <n v="200801"/>
    <n v="742000"/>
  </r>
  <r>
    <x v="372"/>
    <x v="1"/>
    <m/>
    <x v="34"/>
    <x v="2"/>
    <x v="105"/>
    <n v="200801"/>
    <n v="200801"/>
    <m/>
    <n v="56"/>
    <n v="200801"/>
    <n v="2077600"/>
  </r>
  <r>
    <x v="372"/>
    <x v="1"/>
    <m/>
    <x v="30"/>
    <x v="2"/>
    <x v="99"/>
    <n v="200801"/>
    <n v="200801"/>
    <m/>
    <n v="9"/>
    <n v="200801"/>
    <n v="201600"/>
  </r>
  <r>
    <x v="372"/>
    <x v="1"/>
    <m/>
    <x v="30"/>
    <x v="2"/>
    <x v="100"/>
    <n v="200801"/>
    <n v="200801"/>
    <m/>
    <n v="2"/>
    <n v="200801"/>
    <n v="78400"/>
  </r>
  <r>
    <x v="372"/>
    <x v="1"/>
    <m/>
    <x v="1"/>
    <x v="2"/>
    <x v="18"/>
    <n v="200801"/>
    <n v="200801"/>
    <m/>
    <n v="7"/>
    <n v="200801"/>
    <n v="140000"/>
  </r>
  <r>
    <x v="372"/>
    <x v="1"/>
    <m/>
    <x v="1"/>
    <x v="2"/>
    <x v="21"/>
    <n v="200801"/>
    <n v="200801"/>
    <m/>
    <n v="2"/>
    <n v="200801"/>
    <n v="70000"/>
  </r>
  <r>
    <x v="372"/>
    <x v="1"/>
    <m/>
    <x v="4"/>
    <x v="2"/>
    <x v="26"/>
    <n v="200801"/>
    <n v="200801"/>
    <m/>
    <n v="1"/>
    <n v="200801"/>
    <n v="4000"/>
  </r>
  <r>
    <x v="372"/>
    <x v="1"/>
    <m/>
    <x v="4"/>
    <x v="2"/>
    <x v="27"/>
    <n v="200801"/>
    <n v="200801"/>
    <m/>
    <n v="4"/>
    <n v="200801"/>
    <n v="80000"/>
  </r>
  <r>
    <x v="372"/>
    <x v="1"/>
    <m/>
    <x v="0"/>
    <x v="2"/>
    <x v="15"/>
    <n v="200801"/>
    <n v="200801"/>
    <m/>
    <n v="43"/>
    <n v="200801"/>
    <n v="860000"/>
  </r>
  <r>
    <x v="372"/>
    <x v="1"/>
    <m/>
    <x v="0"/>
    <x v="2"/>
    <x v="16"/>
    <n v="200801"/>
    <n v="200801"/>
    <m/>
    <n v="24"/>
    <n v="200801"/>
    <n v="840000"/>
  </r>
  <r>
    <x v="372"/>
    <x v="1"/>
    <m/>
    <x v="0"/>
    <x v="2"/>
    <x v="17"/>
    <n v="200801"/>
    <n v="200801"/>
    <m/>
    <n v="61"/>
    <n v="200801"/>
    <n v="2013000"/>
  </r>
  <r>
    <x v="372"/>
    <x v="1"/>
    <m/>
    <x v="0"/>
    <x v="2"/>
    <x v="19"/>
    <n v="200801"/>
    <n v="200801"/>
    <m/>
    <n v="35"/>
    <n v="200801"/>
    <n v="105000"/>
  </r>
  <r>
    <x v="372"/>
    <x v="1"/>
    <m/>
    <x v="5"/>
    <x v="2"/>
    <x v="28"/>
    <n v="200801"/>
    <n v="200801"/>
    <m/>
    <n v="29"/>
    <n v="200801"/>
    <n v="812000"/>
  </r>
  <r>
    <x v="372"/>
    <x v="1"/>
    <m/>
    <x v="5"/>
    <x v="2"/>
    <x v="69"/>
    <n v="200801"/>
    <n v="200801"/>
    <m/>
    <n v="4"/>
    <n v="200801"/>
    <n v="192000"/>
  </r>
  <r>
    <x v="372"/>
    <x v="1"/>
    <m/>
    <x v="22"/>
    <x v="2"/>
    <x v="29"/>
    <n v="200801"/>
    <n v="200801"/>
    <m/>
    <n v="5"/>
    <n v="200801"/>
    <n v="190000"/>
  </r>
  <r>
    <x v="372"/>
    <x v="1"/>
    <m/>
    <x v="19"/>
    <x v="2"/>
    <x v="22"/>
    <n v="200801"/>
    <n v="200801"/>
    <m/>
    <n v="13"/>
    <n v="200801"/>
    <n v="169000"/>
  </r>
  <r>
    <x v="372"/>
    <x v="1"/>
    <m/>
    <x v="19"/>
    <x v="2"/>
    <x v="23"/>
    <n v="200801"/>
    <n v="200801"/>
    <m/>
    <n v="4"/>
    <n v="200801"/>
    <n v="96000"/>
  </r>
  <r>
    <x v="372"/>
    <x v="1"/>
    <m/>
    <x v="19"/>
    <x v="2"/>
    <x v="24"/>
    <n v="200801"/>
    <n v="200801"/>
    <m/>
    <n v="1"/>
    <n v="200801"/>
    <n v="33000"/>
  </r>
  <r>
    <x v="372"/>
    <x v="1"/>
    <m/>
    <x v="0"/>
    <x v="9"/>
    <x v="15"/>
    <n v="200801"/>
    <n v="200801"/>
    <m/>
    <n v="2"/>
    <n v="200801"/>
    <n v="40000"/>
  </r>
  <r>
    <x v="373"/>
    <x v="0"/>
    <m/>
    <x v="0"/>
    <x v="1"/>
    <x v="16"/>
    <n v="200801"/>
    <n v="200801"/>
    <m/>
    <n v="10"/>
    <n v="200801"/>
    <n v="350000"/>
  </r>
  <r>
    <x v="373"/>
    <x v="0"/>
    <m/>
    <x v="30"/>
    <x v="5"/>
    <x v="87"/>
    <n v="200801"/>
    <n v="200801"/>
    <m/>
    <n v="5"/>
    <n v="200801"/>
    <n v="57275"/>
  </r>
  <r>
    <x v="373"/>
    <x v="0"/>
    <m/>
    <x v="31"/>
    <x v="5"/>
    <x v="88"/>
    <n v="200801"/>
    <n v="200801"/>
    <m/>
    <n v="5"/>
    <n v="200801"/>
    <n v="57275"/>
  </r>
  <r>
    <x v="373"/>
    <x v="0"/>
    <m/>
    <x v="0"/>
    <x v="7"/>
    <x v="15"/>
    <n v="200801"/>
    <n v="200801"/>
    <m/>
    <n v="5"/>
    <n v="200801"/>
    <n v="100000"/>
  </r>
  <r>
    <x v="373"/>
    <x v="0"/>
    <m/>
    <x v="30"/>
    <x v="3"/>
    <x v="87"/>
    <n v="200801"/>
    <n v="200801"/>
    <m/>
    <n v="20"/>
    <n v="200801"/>
    <n v="0"/>
  </r>
  <r>
    <x v="373"/>
    <x v="0"/>
    <m/>
    <x v="33"/>
    <x v="3"/>
    <x v="94"/>
    <n v="200801"/>
    <n v="200801"/>
    <m/>
    <n v="10"/>
    <n v="200801"/>
    <n v="0"/>
  </r>
  <r>
    <x v="373"/>
    <x v="0"/>
    <m/>
    <x v="0"/>
    <x v="3"/>
    <x v="15"/>
    <n v="200801"/>
    <n v="200801"/>
    <m/>
    <n v="80"/>
    <n v="200801"/>
    <n v="0"/>
  </r>
  <r>
    <x v="373"/>
    <x v="0"/>
    <m/>
    <x v="5"/>
    <x v="3"/>
    <x v="28"/>
    <n v="200801"/>
    <n v="200801"/>
    <m/>
    <n v="70"/>
    <n v="200801"/>
    <n v="0"/>
  </r>
  <r>
    <x v="373"/>
    <x v="0"/>
    <m/>
    <x v="4"/>
    <x v="3"/>
    <x v="26"/>
    <n v="200801"/>
    <n v="200801"/>
    <m/>
    <n v="80"/>
    <n v="200801"/>
    <n v="0"/>
  </r>
  <r>
    <x v="373"/>
    <x v="0"/>
    <m/>
    <x v="6"/>
    <x v="3"/>
    <x v="37"/>
    <n v="200801"/>
    <n v="200801"/>
    <m/>
    <n v="15"/>
    <n v="200801"/>
    <n v="0"/>
  </r>
  <r>
    <x v="373"/>
    <x v="0"/>
    <m/>
    <x v="22"/>
    <x v="3"/>
    <x v="29"/>
    <n v="200801"/>
    <n v="200801"/>
    <m/>
    <n v="20"/>
    <n v="200801"/>
    <n v="0"/>
  </r>
  <r>
    <x v="373"/>
    <x v="0"/>
    <m/>
    <x v="19"/>
    <x v="3"/>
    <x v="22"/>
    <n v="200801"/>
    <n v="200801"/>
    <m/>
    <n v="20"/>
    <n v="200801"/>
    <n v="0"/>
  </r>
  <r>
    <x v="373"/>
    <x v="0"/>
    <m/>
    <x v="1"/>
    <x v="3"/>
    <x v="18"/>
    <n v="200801"/>
    <n v="200801"/>
    <m/>
    <n v="30"/>
    <n v="200801"/>
    <n v="0"/>
  </r>
  <r>
    <x v="373"/>
    <x v="0"/>
    <m/>
    <x v="6"/>
    <x v="2"/>
    <x v="42"/>
    <n v="200801"/>
    <n v="200801"/>
    <m/>
    <n v="1"/>
    <n v="200801"/>
    <n v="35000"/>
  </r>
  <r>
    <x v="373"/>
    <x v="0"/>
    <m/>
    <x v="25"/>
    <x v="2"/>
    <x v="34"/>
    <n v="200801"/>
    <n v="200801"/>
    <m/>
    <n v="5"/>
    <n v="200801"/>
    <n v="495000"/>
  </r>
  <r>
    <x v="373"/>
    <x v="0"/>
    <m/>
    <x v="31"/>
    <x v="2"/>
    <x v="95"/>
    <n v="200801"/>
    <n v="200801"/>
    <m/>
    <n v="8"/>
    <n v="200801"/>
    <n v="179200"/>
  </r>
  <r>
    <x v="373"/>
    <x v="0"/>
    <m/>
    <x v="31"/>
    <x v="2"/>
    <x v="96"/>
    <n v="200801"/>
    <n v="200801"/>
    <m/>
    <n v="8"/>
    <n v="200801"/>
    <n v="313600"/>
  </r>
  <r>
    <x v="373"/>
    <x v="0"/>
    <m/>
    <x v="32"/>
    <x v="2"/>
    <x v="97"/>
    <n v="200801"/>
    <n v="200801"/>
    <m/>
    <n v="26"/>
    <n v="200801"/>
    <n v="964600"/>
  </r>
  <r>
    <x v="373"/>
    <x v="0"/>
    <m/>
    <x v="34"/>
    <x v="2"/>
    <x v="105"/>
    <n v="200801"/>
    <n v="200801"/>
    <m/>
    <n v="32"/>
    <n v="200801"/>
    <n v="1187200"/>
  </r>
  <r>
    <x v="373"/>
    <x v="0"/>
    <m/>
    <x v="30"/>
    <x v="2"/>
    <x v="99"/>
    <n v="200801"/>
    <n v="200801"/>
    <m/>
    <n v="4"/>
    <n v="200801"/>
    <n v="89600"/>
  </r>
  <r>
    <x v="373"/>
    <x v="0"/>
    <m/>
    <x v="1"/>
    <x v="2"/>
    <x v="18"/>
    <n v="200801"/>
    <n v="200801"/>
    <m/>
    <n v="3"/>
    <n v="200801"/>
    <n v="60000"/>
  </r>
  <r>
    <x v="373"/>
    <x v="0"/>
    <m/>
    <x v="1"/>
    <x v="2"/>
    <x v="21"/>
    <n v="200801"/>
    <n v="200801"/>
    <m/>
    <n v="2"/>
    <n v="200801"/>
    <n v="70000"/>
  </r>
  <r>
    <x v="373"/>
    <x v="0"/>
    <m/>
    <x v="4"/>
    <x v="2"/>
    <x v="26"/>
    <n v="200801"/>
    <n v="200801"/>
    <m/>
    <n v="1"/>
    <n v="200801"/>
    <n v="4000"/>
  </r>
  <r>
    <x v="373"/>
    <x v="0"/>
    <m/>
    <x v="4"/>
    <x v="2"/>
    <x v="27"/>
    <n v="200801"/>
    <n v="200801"/>
    <m/>
    <n v="3"/>
    <n v="200801"/>
    <n v="60000"/>
  </r>
  <r>
    <x v="373"/>
    <x v="0"/>
    <m/>
    <x v="0"/>
    <x v="2"/>
    <x v="15"/>
    <n v="200801"/>
    <n v="200801"/>
    <m/>
    <n v="33"/>
    <n v="200801"/>
    <n v="660000"/>
  </r>
  <r>
    <x v="373"/>
    <x v="0"/>
    <m/>
    <x v="0"/>
    <x v="2"/>
    <x v="16"/>
    <n v="200801"/>
    <n v="200801"/>
    <m/>
    <n v="13"/>
    <n v="200801"/>
    <n v="455000"/>
  </r>
  <r>
    <x v="373"/>
    <x v="0"/>
    <m/>
    <x v="0"/>
    <x v="2"/>
    <x v="17"/>
    <n v="200801"/>
    <n v="200801"/>
    <m/>
    <n v="50"/>
    <n v="200801"/>
    <n v="1650000"/>
  </r>
  <r>
    <x v="373"/>
    <x v="0"/>
    <m/>
    <x v="0"/>
    <x v="2"/>
    <x v="19"/>
    <n v="200801"/>
    <n v="200801"/>
    <m/>
    <n v="39"/>
    <n v="200801"/>
    <n v="117000"/>
  </r>
  <r>
    <x v="373"/>
    <x v="0"/>
    <m/>
    <x v="5"/>
    <x v="2"/>
    <x v="28"/>
    <n v="200801"/>
    <n v="200801"/>
    <m/>
    <n v="18"/>
    <n v="200801"/>
    <n v="504000"/>
  </r>
  <r>
    <x v="373"/>
    <x v="0"/>
    <m/>
    <x v="5"/>
    <x v="2"/>
    <x v="69"/>
    <n v="200801"/>
    <n v="200801"/>
    <m/>
    <n v="1"/>
    <n v="200801"/>
    <n v="48000"/>
  </r>
  <r>
    <x v="373"/>
    <x v="0"/>
    <m/>
    <x v="22"/>
    <x v="2"/>
    <x v="29"/>
    <n v="200801"/>
    <n v="200801"/>
    <m/>
    <n v="8"/>
    <n v="200801"/>
    <n v="304000"/>
  </r>
  <r>
    <x v="373"/>
    <x v="0"/>
    <m/>
    <x v="19"/>
    <x v="2"/>
    <x v="22"/>
    <n v="200801"/>
    <n v="200801"/>
    <m/>
    <n v="4"/>
    <n v="200801"/>
    <n v="52000"/>
  </r>
  <r>
    <x v="373"/>
    <x v="0"/>
    <m/>
    <x v="19"/>
    <x v="2"/>
    <x v="23"/>
    <n v="200801"/>
    <n v="200801"/>
    <m/>
    <n v="3"/>
    <n v="200801"/>
    <n v="72000"/>
  </r>
  <r>
    <x v="373"/>
    <x v="0"/>
    <m/>
    <x v="5"/>
    <x v="9"/>
    <x v="28"/>
    <n v="200801"/>
    <n v="200801"/>
    <m/>
    <n v="1"/>
    <n v="200801"/>
    <n v="28000"/>
  </r>
  <r>
    <x v="373"/>
    <x v="0"/>
    <m/>
    <x v="4"/>
    <x v="9"/>
    <x v="26"/>
    <n v="200801"/>
    <n v="200801"/>
    <m/>
    <n v="1"/>
    <n v="200801"/>
    <n v="4000"/>
  </r>
  <r>
    <x v="373"/>
    <x v="0"/>
    <m/>
    <x v="0"/>
    <x v="9"/>
    <x v="15"/>
    <n v="200801"/>
    <n v="200801"/>
    <m/>
    <n v="4"/>
    <n v="200801"/>
    <n v="80000"/>
  </r>
  <r>
    <x v="374"/>
    <x v="2"/>
    <m/>
    <x v="0"/>
    <x v="7"/>
    <x v="15"/>
    <n v="200801"/>
    <n v="200801"/>
    <m/>
    <n v="2"/>
    <n v="200801"/>
    <n v="40000"/>
  </r>
  <r>
    <x v="374"/>
    <x v="2"/>
    <m/>
    <x v="6"/>
    <x v="2"/>
    <x v="37"/>
    <n v="200801"/>
    <n v="200801"/>
    <m/>
    <n v="3"/>
    <n v="200801"/>
    <n v="60000"/>
  </r>
  <r>
    <x v="374"/>
    <x v="2"/>
    <m/>
    <x v="6"/>
    <x v="2"/>
    <x v="42"/>
    <n v="200801"/>
    <n v="200801"/>
    <m/>
    <n v="2"/>
    <n v="200801"/>
    <n v="70000"/>
  </r>
  <r>
    <x v="374"/>
    <x v="2"/>
    <m/>
    <x v="25"/>
    <x v="2"/>
    <x v="34"/>
    <n v="200801"/>
    <n v="200801"/>
    <m/>
    <n v="5"/>
    <n v="200801"/>
    <n v="495000"/>
  </r>
  <r>
    <x v="374"/>
    <x v="2"/>
    <m/>
    <x v="31"/>
    <x v="2"/>
    <x v="95"/>
    <n v="200801"/>
    <n v="200801"/>
    <m/>
    <n v="9"/>
    <n v="200801"/>
    <n v="201600"/>
  </r>
  <r>
    <x v="374"/>
    <x v="2"/>
    <m/>
    <x v="31"/>
    <x v="2"/>
    <x v="96"/>
    <n v="200801"/>
    <n v="200801"/>
    <m/>
    <n v="6"/>
    <n v="200801"/>
    <n v="235200"/>
  </r>
  <r>
    <x v="374"/>
    <x v="2"/>
    <m/>
    <x v="32"/>
    <x v="2"/>
    <x v="97"/>
    <n v="200801"/>
    <n v="200801"/>
    <m/>
    <n v="3"/>
    <n v="200801"/>
    <n v="111300"/>
  </r>
  <r>
    <x v="374"/>
    <x v="2"/>
    <m/>
    <x v="34"/>
    <x v="2"/>
    <x v="105"/>
    <n v="200801"/>
    <n v="200801"/>
    <m/>
    <n v="23"/>
    <n v="200801"/>
    <n v="853300"/>
  </r>
  <r>
    <x v="374"/>
    <x v="2"/>
    <m/>
    <x v="30"/>
    <x v="2"/>
    <x v="99"/>
    <n v="200801"/>
    <n v="200801"/>
    <m/>
    <n v="1"/>
    <n v="200801"/>
    <n v="22400"/>
  </r>
  <r>
    <x v="374"/>
    <x v="2"/>
    <m/>
    <x v="1"/>
    <x v="2"/>
    <x v="18"/>
    <n v="200801"/>
    <n v="200801"/>
    <m/>
    <n v="4"/>
    <n v="200801"/>
    <n v="80000"/>
  </r>
  <r>
    <x v="374"/>
    <x v="2"/>
    <m/>
    <x v="4"/>
    <x v="2"/>
    <x v="27"/>
    <n v="200801"/>
    <n v="200801"/>
    <m/>
    <n v="1"/>
    <n v="200801"/>
    <n v="20000"/>
  </r>
  <r>
    <x v="374"/>
    <x v="2"/>
    <m/>
    <x v="0"/>
    <x v="2"/>
    <x v="15"/>
    <n v="200801"/>
    <n v="200801"/>
    <m/>
    <n v="34"/>
    <n v="200801"/>
    <n v="680000"/>
  </r>
  <r>
    <x v="374"/>
    <x v="2"/>
    <m/>
    <x v="0"/>
    <x v="2"/>
    <x v="16"/>
    <n v="200801"/>
    <n v="200801"/>
    <m/>
    <n v="10"/>
    <n v="200801"/>
    <n v="350000"/>
  </r>
  <r>
    <x v="374"/>
    <x v="2"/>
    <m/>
    <x v="0"/>
    <x v="2"/>
    <x v="17"/>
    <n v="200801"/>
    <n v="200801"/>
    <m/>
    <n v="38"/>
    <n v="200801"/>
    <n v="1254000"/>
  </r>
  <r>
    <x v="374"/>
    <x v="2"/>
    <m/>
    <x v="0"/>
    <x v="2"/>
    <x v="19"/>
    <n v="200801"/>
    <n v="200801"/>
    <m/>
    <n v="17"/>
    <n v="200801"/>
    <n v="51000"/>
  </r>
  <r>
    <x v="374"/>
    <x v="2"/>
    <m/>
    <x v="5"/>
    <x v="2"/>
    <x v="28"/>
    <n v="200801"/>
    <n v="200801"/>
    <m/>
    <n v="16"/>
    <n v="200801"/>
    <n v="448000"/>
  </r>
  <r>
    <x v="374"/>
    <x v="2"/>
    <m/>
    <x v="5"/>
    <x v="2"/>
    <x v="69"/>
    <n v="200801"/>
    <n v="200801"/>
    <m/>
    <n v="4"/>
    <n v="200801"/>
    <n v="192000"/>
  </r>
  <r>
    <x v="374"/>
    <x v="2"/>
    <m/>
    <x v="22"/>
    <x v="2"/>
    <x v="29"/>
    <n v="200801"/>
    <n v="200801"/>
    <m/>
    <n v="5"/>
    <n v="200801"/>
    <n v="190000"/>
  </r>
  <r>
    <x v="374"/>
    <x v="2"/>
    <m/>
    <x v="19"/>
    <x v="2"/>
    <x v="22"/>
    <n v="200801"/>
    <n v="200801"/>
    <m/>
    <n v="7"/>
    <n v="200801"/>
    <n v="91000"/>
  </r>
  <r>
    <x v="374"/>
    <x v="2"/>
    <m/>
    <x v="19"/>
    <x v="2"/>
    <x v="23"/>
    <n v="200801"/>
    <n v="200801"/>
    <m/>
    <n v="2"/>
    <n v="200801"/>
    <n v="48000"/>
  </r>
  <r>
    <x v="374"/>
    <x v="2"/>
    <m/>
    <x v="33"/>
    <x v="2"/>
    <x v="92"/>
    <n v="200801"/>
    <n v="200801"/>
    <m/>
    <n v="1"/>
    <n v="200801"/>
    <n v="18200"/>
  </r>
  <r>
    <x v="374"/>
    <x v="2"/>
    <m/>
    <x v="0"/>
    <x v="9"/>
    <x v="15"/>
    <n v="200801"/>
    <n v="200801"/>
    <m/>
    <n v="6"/>
    <n v="200801"/>
    <n v="120000"/>
  </r>
  <r>
    <x v="375"/>
    <x v="5"/>
    <m/>
    <x v="0"/>
    <x v="7"/>
    <x v="15"/>
    <n v="200801"/>
    <n v="200801"/>
    <m/>
    <n v="7"/>
    <n v="200801"/>
    <n v="140000"/>
  </r>
  <r>
    <x v="375"/>
    <x v="5"/>
    <m/>
    <x v="6"/>
    <x v="2"/>
    <x v="37"/>
    <n v="200801"/>
    <n v="200801"/>
    <m/>
    <n v="2"/>
    <n v="200801"/>
    <n v="40000"/>
  </r>
  <r>
    <x v="375"/>
    <x v="5"/>
    <m/>
    <x v="6"/>
    <x v="2"/>
    <x v="42"/>
    <n v="200801"/>
    <n v="200801"/>
    <m/>
    <n v="2"/>
    <n v="200801"/>
    <n v="70000"/>
  </r>
  <r>
    <x v="375"/>
    <x v="5"/>
    <m/>
    <x v="25"/>
    <x v="2"/>
    <x v="34"/>
    <n v="200801"/>
    <n v="200801"/>
    <m/>
    <n v="1"/>
    <n v="200801"/>
    <n v="99000"/>
  </r>
  <r>
    <x v="375"/>
    <x v="5"/>
    <m/>
    <x v="31"/>
    <x v="2"/>
    <x v="95"/>
    <n v="200801"/>
    <n v="200801"/>
    <m/>
    <n v="12"/>
    <n v="200801"/>
    <n v="268800"/>
  </r>
  <r>
    <x v="375"/>
    <x v="5"/>
    <m/>
    <x v="31"/>
    <x v="2"/>
    <x v="96"/>
    <n v="200801"/>
    <n v="200801"/>
    <m/>
    <n v="1"/>
    <n v="200801"/>
    <n v="39200"/>
  </r>
  <r>
    <x v="375"/>
    <x v="5"/>
    <m/>
    <x v="32"/>
    <x v="2"/>
    <x v="97"/>
    <n v="200801"/>
    <n v="200801"/>
    <m/>
    <n v="4"/>
    <n v="200801"/>
    <n v="148400"/>
  </r>
  <r>
    <x v="375"/>
    <x v="5"/>
    <m/>
    <x v="34"/>
    <x v="2"/>
    <x v="105"/>
    <n v="200801"/>
    <n v="200801"/>
    <m/>
    <n v="19"/>
    <n v="200801"/>
    <n v="704900"/>
  </r>
  <r>
    <x v="375"/>
    <x v="5"/>
    <m/>
    <x v="30"/>
    <x v="2"/>
    <x v="99"/>
    <n v="200801"/>
    <n v="200801"/>
    <m/>
    <n v="5"/>
    <n v="200801"/>
    <n v="112000"/>
  </r>
  <r>
    <x v="375"/>
    <x v="5"/>
    <m/>
    <x v="1"/>
    <x v="2"/>
    <x v="18"/>
    <n v="200801"/>
    <n v="200801"/>
    <m/>
    <n v="4"/>
    <n v="200801"/>
    <n v="80000"/>
  </r>
  <r>
    <x v="375"/>
    <x v="5"/>
    <m/>
    <x v="0"/>
    <x v="2"/>
    <x v="15"/>
    <n v="200801"/>
    <n v="200801"/>
    <m/>
    <n v="21"/>
    <n v="200801"/>
    <n v="420000"/>
  </r>
  <r>
    <x v="375"/>
    <x v="5"/>
    <m/>
    <x v="0"/>
    <x v="2"/>
    <x v="16"/>
    <n v="200801"/>
    <n v="200801"/>
    <m/>
    <n v="10"/>
    <n v="200801"/>
    <n v="350000"/>
  </r>
  <r>
    <x v="375"/>
    <x v="5"/>
    <m/>
    <x v="0"/>
    <x v="2"/>
    <x v="17"/>
    <n v="200801"/>
    <n v="200801"/>
    <m/>
    <n v="42"/>
    <n v="200801"/>
    <n v="1386000"/>
  </r>
  <r>
    <x v="375"/>
    <x v="5"/>
    <m/>
    <x v="0"/>
    <x v="2"/>
    <x v="19"/>
    <n v="200801"/>
    <n v="200801"/>
    <m/>
    <n v="19"/>
    <n v="200801"/>
    <n v="57000"/>
  </r>
  <r>
    <x v="375"/>
    <x v="5"/>
    <m/>
    <x v="5"/>
    <x v="2"/>
    <x v="28"/>
    <n v="200801"/>
    <n v="200801"/>
    <m/>
    <n v="17"/>
    <n v="200801"/>
    <n v="476000"/>
  </r>
  <r>
    <x v="375"/>
    <x v="5"/>
    <m/>
    <x v="5"/>
    <x v="2"/>
    <x v="69"/>
    <n v="200801"/>
    <n v="200801"/>
    <m/>
    <n v="2"/>
    <n v="200801"/>
    <n v="96000"/>
  </r>
  <r>
    <x v="375"/>
    <x v="5"/>
    <m/>
    <x v="22"/>
    <x v="2"/>
    <x v="29"/>
    <n v="200801"/>
    <n v="200801"/>
    <m/>
    <n v="3"/>
    <n v="200801"/>
    <n v="114000"/>
  </r>
  <r>
    <x v="375"/>
    <x v="5"/>
    <m/>
    <x v="19"/>
    <x v="2"/>
    <x v="22"/>
    <n v="200801"/>
    <n v="200801"/>
    <m/>
    <n v="3"/>
    <n v="200801"/>
    <n v="39000"/>
  </r>
  <r>
    <x v="375"/>
    <x v="5"/>
    <m/>
    <x v="19"/>
    <x v="2"/>
    <x v="23"/>
    <n v="200801"/>
    <n v="200801"/>
    <m/>
    <n v="1"/>
    <n v="200801"/>
    <n v="24000"/>
  </r>
  <r>
    <x v="375"/>
    <x v="5"/>
    <m/>
    <x v="0"/>
    <x v="9"/>
    <x v="15"/>
    <n v="200801"/>
    <n v="200801"/>
    <m/>
    <n v="2"/>
    <n v="200801"/>
    <n v="40000"/>
  </r>
  <r>
    <x v="376"/>
    <x v="6"/>
    <m/>
    <x v="0"/>
    <x v="7"/>
    <x v="15"/>
    <n v="200801"/>
    <n v="200801"/>
    <m/>
    <n v="15"/>
    <n v="200801"/>
    <n v="300000"/>
  </r>
  <r>
    <x v="376"/>
    <x v="6"/>
    <m/>
    <x v="6"/>
    <x v="2"/>
    <x v="37"/>
    <n v="200801"/>
    <n v="200801"/>
    <m/>
    <n v="1"/>
    <n v="200801"/>
    <n v="20000"/>
  </r>
  <r>
    <x v="376"/>
    <x v="6"/>
    <m/>
    <x v="25"/>
    <x v="2"/>
    <x v="34"/>
    <n v="200801"/>
    <n v="200801"/>
    <m/>
    <n v="1"/>
    <n v="200801"/>
    <n v="99000"/>
  </r>
  <r>
    <x v="376"/>
    <x v="6"/>
    <m/>
    <x v="31"/>
    <x v="2"/>
    <x v="95"/>
    <n v="200801"/>
    <n v="200801"/>
    <m/>
    <n v="12"/>
    <n v="200801"/>
    <n v="268800"/>
  </r>
  <r>
    <x v="376"/>
    <x v="6"/>
    <m/>
    <x v="31"/>
    <x v="2"/>
    <x v="96"/>
    <n v="200801"/>
    <n v="200801"/>
    <m/>
    <n v="3"/>
    <n v="200801"/>
    <n v="117600"/>
  </r>
  <r>
    <x v="376"/>
    <x v="6"/>
    <m/>
    <x v="32"/>
    <x v="2"/>
    <x v="97"/>
    <n v="200801"/>
    <n v="200801"/>
    <m/>
    <n v="18"/>
    <n v="200801"/>
    <n v="667800"/>
  </r>
  <r>
    <x v="376"/>
    <x v="6"/>
    <m/>
    <x v="34"/>
    <x v="2"/>
    <x v="105"/>
    <n v="200801"/>
    <n v="200801"/>
    <m/>
    <n v="35"/>
    <n v="200801"/>
    <n v="1298500"/>
  </r>
  <r>
    <x v="376"/>
    <x v="6"/>
    <m/>
    <x v="30"/>
    <x v="2"/>
    <x v="99"/>
    <n v="200801"/>
    <n v="200801"/>
    <m/>
    <n v="3"/>
    <n v="200801"/>
    <n v="67200"/>
  </r>
  <r>
    <x v="376"/>
    <x v="6"/>
    <m/>
    <x v="30"/>
    <x v="2"/>
    <x v="100"/>
    <n v="200801"/>
    <n v="200801"/>
    <m/>
    <n v="1"/>
    <n v="200801"/>
    <n v="39200"/>
  </r>
  <r>
    <x v="376"/>
    <x v="6"/>
    <m/>
    <x v="1"/>
    <x v="2"/>
    <x v="18"/>
    <n v="200801"/>
    <n v="200801"/>
    <m/>
    <n v="3"/>
    <n v="200801"/>
    <n v="60000"/>
  </r>
  <r>
    <x v="376"/>
    <x v="6"/>
    <m/>
    <x v="1"/>
    <x v="2"/>
    <x v="21"/>
    <n v="200801"/>
    <n v="200801"/>
    <m/>
    <n v="1"/>
    <n v="200801"/>
    <n v="35000"/>
  </r>
  <r>
    <x v="376"/>
    <x v="6"/>
    <m/>
    <x v="4"/>
    <x v="2"/>
    <x v="26"/>
    <n v="200801"/>
    <n v="200801"/>
    <m/>
    <n v="2"/>
    <n v="200801"/>
    <n v="8000"/>
  </r>
  <r>
    <x v="376"/>
    <x v="6"/>
    <m/>
    <x v="4"/>
    <x v="2"/>
    <x v="27"/>
    <n v="200801"/>
    <n v="200801"/>
    <m/>
    <n v="2"/>
    <n v="200801"/>
    <n v="40000"/>
  </r>
  <r>
    <x v="376"/>
    <x v="6"/>
    <m/>
    <x v="0"/>
    <x v="2"/>
    <x v="15"/>
    <n v="200801"/>
    <n v="200801"/>
    <m/>
    <n v="24"/>
    <n v="200801"/>
    <n v="480000"/>
  </r>
  <r>
    <x v="376"/>
    <x v="6"/>
    <m/>
    <x v="0"/>
    <x v="2"/>
    <x v="16"/>
    <n v="200801"/>
    <n v="200801"/>
    <m/>
    <n v="14"/>
    <n v="200801"/>
    <n v="490000"/>
  </r>
  <r>
    <x v="376"/>
    <x v="6"/>
    <m/>
    <x v="0"/>
    <x v="2"/>
    <x v="17"/>
    <n v="200801"/>
    <n v="200801"/>
    <m/>
    <n v="53"/>
    <n v="200801"/>
    <n v="1749000"/>
  </r>
  <r>
    <x v="376"/>
    <x v="6"/>
    <m/>
    <x v="0"/>
    <x v="2"/>
    <x v="19"/>
    <n v="200801"/>
    <n v="200801"/>
    <m/>
    <n v="34"/>
    <n v="200801"/>
    <n v="102000"/>
  </r>
  <r>
    <x v="376"/>
    <x v="6"/>
    <m/>
    <x v="5"/>
    <x v="2"/>
    <x v="28"/>
    <n v="200801"/>
    <n v="200801"/>
    <m/>
    <n v="21"/>
    <n v="200801"/>
    <n v="588000"/>
  </r>
  <r>
    <x v="376"/>
    <x v="6"/>
    <m/>
    <x v="5"/>
    <x v="2"/>
    <x v="69"/>
    <n v="200801"/>
    <n v="200801"/>
    <m/>
    <n v="9"/>
    <n v="200801"/>
    <n v="432000"/>
  </r>
  <r>
    <x v="376"/>
    <x v="6"/>
    <m/>
    <x v="22"/>
    <x v="2"/>
    <x v="29"/>
    <n v="200801"/>
    <n v="200801"/>
    <m/>
    <n v="3"/>
    <n v="200801"/>
    <n v="114000"/>
  </r>
  <r>
    <x v="376"/>
    <x v="6"/>
    <m/>
    <x v="19"/>
    <x v="2"/>
    <x v="22"/>
    <n v="200801"/>
    <n v="200801"/>
    <m/>
    <n v="7"/>
    <n v="200801"/>
    <n v="91000"/>
  </r>
  <r>
    <x v="376"/>
    <x v="6"/>
    <m/>
    <x v="19"/>
    <x v="2"/>
    <x v="23"/>
    <n v="200801"/>
    <n v="200801"/>
    <m/>
    <n v="1"/>
    <n v="200801"/>
    <n v="24000"/>
  </r>
  <r>
    <x v="376"/>
    <x v="6"/>
    <m/>
    <x v="19"/>
    <x v="2"/>
    <x v="24"/>
    <n v="200801"/>
    <n v="200801"/>
    <m/>
    <n v="1"/>
    <n v="200801"/>
    <n v="33000"/>
  </r>
  <r>
    <x v="376"/>
    <x v="6"/>
    <m/>
    <x v="33"/>
    <x v="2"/>
    <x v="92"/>
    <n v="200801"/>
    <n v="200801"/>
    <m/>
    <n v="1"/>
    <n v="200801"/>
    <n v="18200"/>
  </r>
  <r>
    <x v="376"/>
    <x v="6"/>
    <m/>
    <x v="0"/>
    <x v="9"/>
    <x v="15"/>
    <n v="200801"/>
    <n v="200801"/>
    <m/>
    <n v="4"/>
    <n v="200801"/>
    <n v="80000"/>
  </r>
  <r>
    <x v="376"/>
    <x v="6"/>
    <m/>
    <x v="5"/>
    <x v="9"/>
    <x v="28"/>
    <n v="200801"/>
    <n v="200801"/>
    <m/>
    <n v="1"/>
    <n v="200801"/>
    <n v="28000"/>
  </r>
  <r>
    <x v="376"/>
    <x v="6"/>
    <m/>
    <x v="0"/>
    <x v="6"/>
    <x v="15"/>
    <n v="200801"/>
    <n v="200801"/>
    <m/>
    <n v="370"/>
    <n v="200801"/>
    <n v="3355160"/>
  </r>
  <r>
    <x v="376"/>
    <x v="6"/>
    <m/>
    <x v="0"/>
    <x v="6"/>
    <x v="17"/>
    <n v="200801"/>
    <n v="200801"/>
    <m/>
    <n v="543"/>
    <n v="200801"/>
    <n v="8589174"/>
  </r>
  <r>
    <x v="376"/>
    <x v="6"/>
    <m/>
    <x v="4"/>
    <x v="6"/>
    <x v="26"/>
    <n v="200801"/>
    <n v="200801"/>
    <m/>
    <n v="715"/>
    <n v="200801"/>
    <n v="767195"/>
  </r>
  <r>
    <x v="376"/>
    <x v="6"/>
    <m/>
    <x v="26"/>
    <x v="6"/>
    <x v="35"/>
    <n v="200801"/>
    <n v="200801"/>
    <m/>
    <n v="51"/>
    <n v="200801"/>
    <n v="873681"/>
  </r>
  <r>
    <x v="376"/>
    <x v="6"/>
    <m/>
    <x v="22"/>
    <x v="6"/>
    <x v="29"/>
    <n v="200801"/>
    <n v="200801"/>
    <m/>
    <n v="54"/>
    <n v="200801"/>
    <n v="1063314"/>
  </r>
  <r>
    <x v="376"/>
    <x v="6"/>
    <m/>
    <x v="24"/>
    <x v="6"/>
    <x v="31"/>
    <n v="200801"/>
    <n v="200801"/>
    <m/>
    <n v="231"/>
    <n v="200801"/>
    <n v="3436587"/>
  </r>
  <r>
    <x v="376"/>
    <x v="6"/>
    <m/>
    <x v="23"/>
    <x v="6"/>
    <x v="30"/>
    <n v="200801"/>
    <n v="200801"/>
    <m/>
    <n v="9"/>
    <n v="200801"/>
    <n v="62676"/>
  </r>
  <r>
    <x v="376"/>
    <x v="6"/>
    <m/>
    <x v="19"/>
    <x v="6"/>
    <x v="22"/>
    <n v="200801"/>
    <n v="200801"/>
    <m/>
    <n v="79"/>
    <n v="200801"/>
    <n v="536489"/>
  </r>
  <r>
    <x v="376"/>
    <x v="6"/>
    <m/>
    <x v="6"/>
    <x v="6"/>
    <x v="37"/>
    <n v="200801"/>
    <n v="200801"/>
    <m/>
    <n v="31"/>
    <n v="200801"/>
    <n v="310000"/>
  </r>
  <r>
    <x v="376"/>
    <x v="6"/>
    <m/>
    <x v="28"/>
    <x v="6"/>
    <x v="39"/>
    <n v="200801"/>
    <n v="200801"/>
    <m/>
    <n v="11"/>
    <n v="200801"/>
    <n v="173998"/>
  </r>
  <r>
    <x v="376"/>
    <x v="6"/>
    <m/>
    <x v="4"/>
    <x v="6"/>
    <x v="66"/>
    <n v="200801"/>
    <n v="200801"/>
    <m/>
    <n v="81"/>
    <n v="200801"/>
    <n v="453357"/>
  </r>
  <r>
    <x v="376"/>
    <x v="6"/>
    <m/>
    <x v="33"/>
    <x v="6"/>
    <x v="106"/>
    <n v="200801"/>
    <n v="200801"/>
    <m/>
    <n v="15"/>
    <n v="200801"/>
    <n v="146250"/>
  </r>
  <r>
    <x v="376"/>
    <x v="6"/>
    <m/>
    <x v="31"/>
    <x v="6"/>
    <x v="103"/>
    <n v="200801"/>
    <n v="200801"/>
    <m/>
    <n v="125"/>
    <n v="200801"/>
    <n v="1400000"/>
  </r>
  <r>
    <x v="376"/>
    <x v="6"/>
    <m/>
    <x v="30"/>
    <x v="6"/>
    <x v="104"/>
    <n v="200801"/>
    <n v="200801"/>
    <m/>
    <n v="136"/>
    <n v="200801"/>
    <n v="1523200"/>
  </r>
  <r>
    <x v="376"/>
    <x v="6"/>
    <m/>
    <x v="5"/>
    <x v="6"/>
    <x v="28"/>
    <n v="200801"/>
    <n v="200801"/>
    <m/>
    <n v="2"/>
    <n v="200801"/>
    <n v="29200"/>
  </r>
  <r>
    <x v="377"/>
    <x v="3"/>
    <m/>
    <x v="0"/>
    <x v="1"/>
    <x v="15"/>
    <n v="200801"/>
    <n v="200801"/>
    <m/>
    <n v="10"/>
    <n v="200801"/>
    <n v="200000"/>
  </r>
  <r>
    <x v="377"/>
    <x v="3"/>
    <m/>
    <x v="0"/>
    <x v="1"/>
    <x v="16"/>
    <n v="200801"/>
    <n v="200801"/>
    <m/>
    <n v="37"/>
    <n v="200801"/>
    <n v="1295000"/>
  </r>
  <r>
    <x v="377"/>
    <x v="3"/>
    <m/>
    <x v="0"/>
    <x v="7"/>
    <x v="15"/>
    <n v="200801"/>
    <n v="200801"/>
    <m/>
    <n v="6"/>
    <n v="200801"/>
    <n v="120000"/>
  </r>
  <r>
    <x v="377"/>
    <x v="3"/>
    <m/>
    <x v="6"/>
    <x v="2"/>
    <x v="37"/>
    <n v="200801"/>
    <n v="200801"/>
    <m/>
    <n v="5"/>
    <n v="200801"/>
    <n v="100000"/>
  </r>
  <r>
    <x v="377"/>
    <x v="3"/>
    <m/>
    <x v="25"/>
    <x v="2"/>
    <x v="34"/>
    <n v="200801"/>
    <n v="200801"/>
    <m/>
    <n v="4"/>
    <n v="200801"/>
    <n v="396000"/>
  </r>
  <r>
    <x v="377"/>
    <x v="3"/>
    <m/>
    <x v="31"/>
    <x v="2"/>
    <x v="95"/>
    <n v="200801"/>
    <n v="200801"/>
    <m/>
    <n v="12"/>
    <n v="200801"/>
    <n v="268800"/>
  </r>
  <r>
    <x v="377"/>
    <x v="3"/>
    <m/>
    <x v="31"/>
    <x v="2"/>
    <x v="96"/>
    <n v="200801"/>
    <n v="200801"/>
    <m/>
    <n v="3"/>
    <n v="200801"/>
    <n v="117600"/>
  </r>
  <r>
    <x v="377"/>
    <x v="3"/>
    <m/>
    <x v="32"/>
    <x v="2"/>
    <x v="97"/>
    <n v="200801"/>
    <n v="200801"/>
    <m/>
    <n v="7"/>
    <n v="200801"/>
    <n v="259700"/>
  </r>
  <r>
    <x v="377"/>
    <x v="3"/>
    <m/>
    <x v="34"/>
    <x v="2"/>
    <x v="105"/>
    <n v="200801"/>
    <n v="200801"/>
    <m/>
    <n v="34"/>
    <n v="200801"/>
    <n v="1261400"/>
  </r>
  <r>
    <x v="377"/>
    <x v="3"/>
    <m/>
    <x v="30"/>
    <x v="2"/>
    <x v="99"/>
    <n v="200801"/>
    <n v="200801"/>
    <m/>
    <n v="10"/>
    <n v="200801"/>
    <n v="224000"/>
  </r>
  <r>
    <x v="377"/>
    <x v="3"/>
    <m/>
    <x v="30"/>
    <x v="2"/>
    <x v="100"/>
    <n v="200801"/>
    <n v="200801"/>
    <m/>
    <n v="1"/>
    <n v="200801"/>
    <n v="39200"/>
  </r>
  <r>
    <x v="377"/>
    <x v="3"/>
    <m/>
    <x v="1"/>
    <x v="2"/>
    <x v="18"/>
    <n v="200801"/>
    <n v="200801"/>
    <m/>
    <n v="7"/>
    <n v="200801"/>
    <n v="140000"/>
  </r>
  <r>
    <x v="377"/>
    <x v="3"/>
    <m/>
    <x v="4"/>
    <x v="2"/>
    <x v="27"/>
    <n v="200801"/>
    <n v="200801"/>
    <m/>
    <n v="6"/>
    <n v="200801"/>
    <n v="120000"/>
  </r>
  <r>
    <x v="377"/>
    <x v="3"/>
    <m/>
    <x v="0"/>
    <x v="2"/>
    <x v="15"/>
    <n v="200801"/>
    <n v="200801"/>
    <m/>
    <n v="26"/>
    <n v="200801"/>
    <n v="520000"/>
  </r>
  <r>
    <x v="377"/>
    <x v="3"/>
    <m/>
    <x v="0"/>
    <x v="2"/>
    <x v="16"/>
    <n v="200801"/>
    <n v="200801"/>
    <m/>
    <n v="15"/>
    <n v="200801"/>
    <n v="525000"/>
  </r>
  <r>
    <x v="377"/>
    <x v="3"/>
    <m/>
    <x v="0"/>
    <x v="2"/>
    <x v="17"/>
    <n v="200801"/>
    <n v="200801"/>
    <m/>
    <n v="70"/>
    <n v="200801"/>
    <n v="2310000"/>
  </r>
  <r>
    <x v="377"/>
    <x v="3"/>
    <m/>
    <x v="0"/>
    <x v="2"/>
    <x v="19"/>
    <n v="200801"/>
    <n v="200801"/>
    <m/>
    <n v="20"/>
    <n v="200801"/>
    <n v="60000"/>
  </r>
  <r>
    <x v="377"/>
    <x v="3"/>
    <m/>
    <x v="5"/>
    <x v="2"/>
    <x v="28"/>
    <n v="200801"/>
    <n v="200801"/>
    <m/>
    <n v="29"/>
    <n v="200801"/>
    <n v="812000"/>
  </r>
  <r>
    <x v="377"/>
    <x v="3"/>
    <m/>
    <x v="5"/>
    <x v="2"/>
    <x v="69"/>
    <n v="200801"/>
    <n v="200801"/>
    <m/>
    <n v="2"/>
    <n v="200801"/>
    <n v="96000"/>
  </r>
  <r>
    <x v="377"/>
    <x v="3"/>
    <m/>
    <x v="22"/>
    <x v="2"/>
    <x v="29"/>
    <n v="200801"/>
    <n v="200801"/>
    <m/>
    <n v="6"/>
    <n v="200801"/>
    <n v="228000"/>
  </r>
  <r>
    <x v="377"/>
    <x v="3"/>
    <m/>
    <x v="19"/>
    <x v="2"/>
    <x v="22"/>
    <n v="200801"/>
    <n v="200801"/>
    <m/>
    <n v="14"/>
    <n v="200801"/>
    <n v="182000"/>
  </r>
  <r>
    <x v="377"/>
    <x v="3"/>
    <m/>
    <x v="33"/>
    <x v="2"/>
    <x v="92"/>
    <n v="200801"/>
    <n v="200801"/>
    <m/>
    <n v="1"/>
    <n v="200801"/>
    <n v="18200"/>
  </r>
  <r>
    <x v="377"/>
    <x v="3"/>
    <m/>
    <x v="0"/>
    <x v="9"/>
    <x v="15"/>
    <n v="200801"/>
    <n v="200801"/>
    <m/>
    <n v="3"/>
    <n v="200801"/>
    <n v="60000"/>
  </r>
  <r>
    <x v="378"/>
    <x v="4"/>
    <m/>
    <x v="0"/>
    <x v="1"/>
    <x v="16"/>
    <n v="200801"/>
    <n v="200801"/>
    <m/>
    <n v="6"/>
    <n v="200801"/>
    <n v="210000"/>
  </r>
  <r>
    <x v="378"/>
    <x v="4"/>
    <m/>
    <x v="0"/>
    <x v="7"/>
    <x v="15"/>
    <n v="200801"/>
    <n v="200801"/>
    <m/>
    <n v="6"/>
    <n v="200801"/>
    <n v="120000"/>
  </r>
  <r>
    <x v="378"/>
    <x v="4"/>
    <m/>
    <x v="30"/>
    <x v="3"/>
    <x v="87"/>
    <n v="200801"/>
    <n v="200801"/>
    <m/>
    <n v="1"/>
    <n v="200801"/>
    <n v="0"/>
  </r>
  <r>
    <x v="378"/>
    <x v="4"/>
    <m/>
    <x v="31"/>
    <x v="3"/>
    <x v="88"/>
    <n v="200801"/>
    <n v="200801"/>
    <m/>
    <n v="1"/>
    <n v="200801"/>
    <n v="0"/>
  </r>
  <r>
    <x v="378"/>
    <x v="4"/>
    <m/>
    <x v="33"/>
    <x v="3"/>
    <x v="94"/>
    <n v="200801"/>
    <n v="200801"/>
    <m/>
    <n v="1"/>
    <n v="200801"/>
    <n v="0"/>
  </r>
  <r>
    <x v="378"/>
    <x v="4"/>
    <m/>
    <x v="0"/>
    <x v="3"/>
    <x v="15"/>
    <n v="200801"/>
    <n v="200801"/>
    <m/>
    <n v="1"/>
    <n v="200801"/>
    <n v="0"/>
  </r>
  <r>
    <x v="378"/>
    <x v="4"/>
    <m/>
    <x v="0"/>
    <x v="3"/>
    <x v="17"/>
    <n v="200801"/>
    <n v="200801"/>
    <m/>
    <n v="1"/>
    <n v="200801"/>
    <n v="0"/>
  </r>
  <r>
    <x v="378"/>
    <x v="4"/>
    <m/>
    <x v="18"/>
    <x v="3"/>
    <x v="19"/>
    <n v="200801"/>
    <n v="200801"/>
    <m/>
    <n v="1"/>
    <n v="200801"/>
    <n v="0"/>
  </r>
  <r>
    <x v="378"/>
    <x v="4"/>
    <m/>
    <x v="5"/>
    <x v="3"/>
    <x v="28"/>
    <n v="200801"/>
    <n v="200801"/>
    <m/>
    <n v="1"/>
    <n v="200801"/>
    <n v="0"/>
  </r>
  <r>
    <x v="378"/>
    <x v="4"/>
    <m/>
    <x v="4"/>
    <x v="3"/>
    <x v="27"/>
    <n v="200801"/>
    <n v="200801"/>
    <m/>
    <n v="1"/>
    <n v="200801"/>
    <n v="0"/>
  </r>
  <r>
    <x v="378"/>
    <x v="4"/>
    <m/>
    <x v="22"/>
    <x v="3"/>
    <x v="29"/>
    <n v="200801"/>
    <n v="200801"/>
    <m/>
    <n v="1"/>
    <n v="200801"/>
    <n v="0"/>
  </r>
  <r>
    <x v="378"/>
    <x v="4"/>
    <m/>
    <x v="19"/>
    <x v="3"/>
    <x v="22"/>
    <n v="200801"/>
    <n v="200801"/>
    <m/>
    <n v="1"/>
    <n v="200801"/>
    <n v="0"/>
  </r>
  <r>
    <x v="378"/>
    <x v="4"/>
    <m/>
    <x v="1"/>
    <x v="3"/>
    <x v="18"/>
    <n v="200801"/>
    <n v="200801"/>
    <m/>
    <n v="1"/>
    <n v="200801"/>
    <n v="0"/>
  </r>
  <r>
    <x v="378"/>
    <x v="4"/>
    <m/>
    <x v="6"/>
    <x v="2"/>
    <x v="37"/>
    <n v="200801"/>
    <n v="200801"/>
    <m/>
    <n v="4"/>
    <n v="200801"/>
    <n v="80000"/>
  </r>
  <r>
    <x v="378"/>
    <x v="4"/>
    <m/>
    <x v="25"/>
    <x v="2"/>
    <x v="34"/>
    <n v="200801"/>
    <n v="200801"/>
    <m/>
    <n v="2"/>
    <n v="200801"/>
    <n v="198000"/>
  </r>
  <r>
    <x v="378"/>
    <x v="4"/>
    <m/>
    <x v="31"/>
    <x v="2"/>
    <x v="95"/>
    <n v="200801"/>
    <n v="200801"/>
    <m/>
    <n v="3"/>
    <n v="200801"/>
    <n v="67200"/>
  </r>
  <r>
    <x v="378"/>
    <x v="4"/>
    <m/>
    <x v="31"/>
    <x v="2"/>
    <x v="96"/>
    <n v="200801"/>
    <n v="200801"/>
    <m/>
    <n v="2"/>
    <n v="200801"/>
    <n v="78400"/>
  </r>
  <r>
    <x v="378"/>
    <x v="4"/>
    <m/>
    <x v="32"/>
    <x v="2"/>
    <x v="97"/>
    <n v="200801"/>
    <n v="200801"/>
    <m/>
    <n v="7"/>
    <n v="200801"/>
    <n v="259700"/>
  </r>
  <r>
    <x v="378"/>
    <x v="4"/>
    <m/>
    <x v="34"/>
    <x v="2"/>
    <x v="105"/>
    <n v="200801"/>
    <n v="200801"/>
    <m/>
    <n v="38"/>
    <n v="200801"/>
    <n v="1409800"/>
  </r>
  <r>
    <x v="378"/>
    <x v="4"/>
    <m/>
    <x v="30"/>
    <x v="2"/>
    <x v="99"/>
    <n v="200801"/>
    <n v="200801"/>
    <m/>
    <n v="3"/>
    <n v="200801"/>
    <n v="67200"/>
  </r>
  <r>
    <x v="378"/>
    <x v="4"/>
    <m/>
    <x v="1"/>
    <x v="2"/>
    <x v="18"/>
    <n v="200801"/>
    <n v="200801"/>
    <m/>
    <n v="10"/>
    <n v="200801"/>
    <n v="200000"/>
  </r>
  <r>
    <x v="378"/>
    <x v="4"/>
    <m/>
    <x v="1"/>
    <x v="2"/>
    <x v="21"/>
    <n v="200801"/>
    <n v="200801"/>
    <m/>
    <n v="2"/>
    <n v="200801"/>
    <n v="70000"/>
  </r>
  <r>
    <x v="378"/>
    <x v="4"/>
    <m/>
    <x v="4"/>
    <x v="2"/>
    <x v="26"/>
    <n v="200801"/>
    <n v="200801"/>
    <m/>
    <n v="3"/>
    <n v="200801"/>
    <n v="12000"/>
  </r>
  <r>
    <x v="378"/>
    <x v="4"/>
    <m/>
    <x v="4"/>
    <x v="2"/>
    <x v="27"/>
    <n v="200801"/>
    <n v="200801"/>
    <m/>
    <n v="7"/>
    <n v="200801"/>
    <n v="140000"/>
  </r>
  <r>
    <x v="378"/>
    <x v="4"/>
    <m/>
    <x v="0"/>
    <x v="2"/>
    <x v="15"/>
    <n v="200801"/>
    <n v="200801"/>
    <m/>
    <n v="35"/>
    <n v="200801"/>
    <n v="700000"/>
  </r>
  <r>
    <x v="378"/>
    <x v="4"/>
    <m/>
    <x v="0"/>
    <x v="2"/>
    <x v="16"/>
    <n v="200801"/>
    <n v="200801"/>
    <m/>
    <n v="30"/>
    <n v="200801"/>
    <n v="1050000"/>
  </r>
  <r>
    <x v="378"/>
    <x v="4"/>
    <m/>
    <x v="0"/>
    <x v="2"/>
    <x v="17"/>
    <n v="200801"/>
    <n v="200801"/>
    <m/>
    <n v="65"/>
    <n v="200801"/>
    <n v="2145000"/>
  </r>
  <r>
    <x v="378"/>
    <x v="4"/>
    <m/>
    <x v="0"/>
    <x v="2"/>
    <x v="19"/>
    <n v="200801"/>
    <n v="200801"/>
    <m/>
    <n v="27"/>
    <n v="200801"/>
    <n v="81000"/>
  </r>
  <r>
    <x v="378"/>
    <x v="4"/>
    <m/>
    <x v="5"/>
    <x v="2"/>
    <x v="28"/>
    <n v="200801"/>
    <n v="200801"/>
    <m/>
    <n v="17"/>
    <n v="200801"/>
    <n v="476000"/>
  </r>
  <r>
    <x v="378"/>
    <x v="4"/>
    <m/>
    <x v="5"/>
    <x v="2"/>
    <x v="69"/>
    <n v="200801"/>
    <n v="200801"/>
    <m/>
    <n v="4"/>
    <n v="200801"/>
    <n v="192000"/>
  </r>
  <r>
    <x v="378"/>
    <x v="4"/>
    <m/>
    <x v="22"/>
    <x v="2"/>
    <x v="29"/>
    <n v="200801"/>
    <n v="200801"/>
    <m/>
    <n v="4"/>
    <n v="200801"/>
    <n v="152000"/>
  </r>
  <r>
    <x v="378"/>
    <x v="4"/>
    <m/>
    <x v="19"/>
    <x v="2"/>
    <x v="22"/>
    <n v="200801"/>
    <n v="200801"/>
    <m/>
    <n v="8"/>
    <n v="200801"/>
    <n v="104000"/>
  </r>
  <r>
    <x v="378"/>
    <x v="4"/>
    <m/>
    <x v="19"/>
    <x v="2"/>
    <x v="23"/>
    <n v="200801"/>
    <n v="200801"/>
    <m/>
    <n v="1"/>
    <n v="200801"/>
    <n v="24000"/>
  </r>
  <r>
    <x v="378"/>
    <x v="4"/>
    <m/>
    <x v="33"/>
    <x v="2"/>
    <x v="92"/>
    <n v="200801"/>
    <n v="200801"/>
    <m/>
    <n v="2"/>
    <n v="200801"/>
    <n v="36400"/>
  </r>
  <r>
    <x v="378"/>
    <x v="4"/>
    <m/>
    <x v="33"/>
    <x v="2"/>
    <x v="93"/>
    <n v="200801"/>
    <n v="200801"/>
    <m/>
    <n v="1"/>
    <n v="200801"/>
    <n v="33800"/>
  </r>
  <r>
    <x v="378"/>
    <x v="4"/>
    <m/>
    <x v="0"/>
    <x v="9"/>
    <x v="15"/>
    <n v="200801"/>
    <n v="200801"/>
    <m/>
    <n v="6"/>
    <n v="200801"/>
    <n v="120000"/>
  </r>
  <r>
    <x v="378"/>
    <x v="4"/>
    <m/>
    <x v="1"/>
    <x v="9"/>
    <x v="18"/>
    <n v="200801"/>
    <n v="200801"/>
    <m/>
    <n v="1"/>
    <n v="200801"/>
    <n v="20000"/>
  </r>
  <r>
    <x v="378"/>
    <x v="4"/>
    <m/>
    <x v="31"/>
    <x v="9"/>
    <x v="88"/>
    <n v="200801"/>
    <n v="200801"/>
    <m/>
    <n v="1"/>
    <n v="200801"/>
    <n v="22400"/>
  </r>
  <r>
    <x v="379"/>
    <x v="1"/>
    <m/>
    <x v="0"/>
    <x v="1"/>
    <x v="16"/>
    <n v="200801"/>
    <n v="200801"/>
    <m/>
    <n v="16"/>
    <n v="200801"/>
    <n v="560000"/>
  </r>
  <r>
    <x v="379"/>
    <x v="1"/>
    <m/>
    <x v="22"/>
    <x v="5"/>
    <x v="52"/>
    <n v="200801"/>
    <n v="200801"/>
    <m/>
    <n v="30"/>
    <n v="200801"/>
    <n v="513000"/>
  </r>
  <r>
    <x v="379"/>
    <x v="1"/>
    <m/>
    <x v="19"/>
    <x v="5"/>
    <x v="50"/>
    <n v="200801"/>
    <n v="200801"/>
    <m/>
    <n v="30"/>
    <n v="200801"/>
    <n v="216000"/>
  </r>
  <r>
    <x v="379"/>
    <x v="1"/>
    <m/>
    <x v="4"/>
    <x v="5"/>
    <x v="62"/>
    <n v="200801"/>
    <n v="200801"/>
    <m/>
    <n v="23"/>
    <n v="200801"/>
    <n v="414000"/>
  </r>
  <r>
    <x v="379"/>
    <x v="1"/>
    <m/>
    <x v="6"/>
    <x v="5"/>
    <x v="49"/>
    <n v="200801"/>
    <n v="200801"/>
    <m/>
    <n v="10"/>
    <n v="200801"/>
    <n v="112500"/>
  </r>
  <r>
    <x v="379"/>
    <x v="1"/>
    <m/>
    <x v="0"/>
    <x v="7"/>
    <x v="15"/>
    <n v="200801"/>
    <n v="200801"/>
    <m/>
    <n v="13"/>
    <n v="200801"/>
    <n v="260000"/>
  </r>
  <r>
    <x v="379"/>
    <x v="1"/>
    <m/>
    <x v="6"/>
    <x v="2"/>
    <x v="37"/>
    <n v="200801"/>
    <n v="200801"/>
    <m/>
    <n v="2"/>
    <n v="200801"/>
    <n v="40000"/>
  </r>
  <r>
    <x v="379"/>
    <x v="1"/>
    <m/>
    <x v="6"/>
    <x v="2"/>
    <x v="42"/>
    <n v="200801"/>
    <n v="200801"/>
    <m/>
    <n v="1"/>
    <n v="200801"/>
    <n v="35000"/>
  </r>
  <r>
    <x v="379"/>
    <x v="1"/>
    <m/>
    <x v="25"/>
    <x v="2"/>
    <x v="34"/>
    <n v="200801"/>
    <n v="200801"/>
    <m/>
    <n v="2"/>
    <n v="200801"/>
    <n v="198000"/>
  </r>
  <r>
    <x v="379"/>
    <x v="1"/>
    <m/>
    <x v="32"/>
    <x v="2"/>
    <x v="97"/>
    <n v="200801"/>
    <n v="200801"/>
    <m/>
    <n v="3"/>
    <n v="200801"/>
    <n v="111300"/>
  </r>
  <r>
    <x v="379"/>
    <x v="1"/>
    <m/>
    <x v="34"/>
    <x v="2"/>
    <x v="105"/>
    <n v="200801"/>
    <n v="200801"/>
    <m/>
    <n v="34"/>
    <n v="200801"/>
    <n v="1261400"/>
  </r>
  <r>
    <x v="379"/>
    <x v="1"/>
    <m/>
    <x v="30"/>
    <x v="2"/>
    <x v="99"/>
    <n v="200801"/>
    <n v="200801"/>
    <m/>
    <n v="6"/>
    <n v="200801"/>
    <n v="134400"/>
  </r>
  <r>
    <x v="379"/>
    <x v="1"/>
    <m/>
    <x v="30"/>
    <x v="2"/>
    <x v="100"/>
    <n v="200801"/>
    <n v="200801"/>
    <m/>
    <n v="1"/>
    <n v="200801"/>
    <n v="39200"/>
  </r>
  <r>
    <x v="379"/>
    <x v="1"/>
    <m/>
    <x v="1"/>
    <x v="2"/>
    <x v="18"/>
    <n v="200801"/>
    <n v="200801"/>
    <m/>
    <n v="16"/>
    <n v="200801"/>
    <n v="320000"/>
  </r>
  <r>
    <x v="379"/>
    <x v="1"/>
    <m/>
    <x v="1"/>
    <x v="2"/>
    <x v="21"/>
    <n v="200801"/>
    <n v="200801"/>
    <m/>
    <n v="6"/>
    <n v="200801"/>
    <n v="210000"/>
  </r>
  <r>
    <x v="379"/>
    <x v="1"/>
    <m/>
    <x v="4"/>
    <x v="2"/>
    <x v="26"/>
    <n v="200801"/>
    <n v="200801"/>
    <m/>
    <n v="5"/>
    <n v="200801"/>
    <n v="20000"/>
  </r>
  <r>
    <x v="379"/>
    <x v="1"/>
    <m/>
    <x v="4"/>
    <x v="2"/>
    <x v="27"/>
    <n v="200801"/>
    <n v="200801"/>
    <m/>
    <n v="5"/>
    <n v="200801"/>
    <n v="100000"/>
  </r>
  <r>
    <x v="379"/>
    <x v="1"/>
    <m/>
    <x v="0"/>
    <x v="2"/>
    <x v="15"/>
    <n v="200801"/>
    <n v="200801"/>
    <m/>
    <n v="31"/>
    <n v="200801"/>
    <n v="620000"/>
  </r>
  <r>
    <x v="379"/>
    <x v="1"/>
    <m/>
    <x v="0"/>
    <x v="2"/>
    <x v="16"/>
    <n v="200801"/>
    <n v="200801"/>
    <m/>
    <n v="33"/>
    <n v="200801"/>
    <n v="1155000"/>
  </r>
  <r>
    <x v="379"/>
    <x v="1"/>
    <m/>
    <x v="0"/>
    <x v="2"/>
    <x v="17"/>
    <n v="200801"/>
    <n v="200801"/>
    <m/>
    <n v="56"/>
    <n v="200801"/>
    <n v="1848000"/>
  </r>
  <r>
    <x v="379"/>
    <x v="1"/>
    <m/>
    <x v="0"/>
    <x v="2"/>
    <x v="19"/>
    <n v="200801"/>
    <n v="200801"/>
    <m/>
    <n v="45"/>
    <n v="200801"/>
    <n v="135000"/>
  </r>
  <r>
    <x v="379"/>
    <x v="1"/>
    <m/>
    <x v="5"/>
    <x v="2"/>
    <x v="28"/>
    <n v="200801"/>
    <n v="200801"/>
    <m/>
    <n v="27"/>
    <n v="200801"/>
    <n v="756000"/>
  </r>
  <r>
    <x v="379"/>
    <x v="1"/>
    <m/>
    <x v="5"/>
    <x v="2"/>
    <x v="69"/>
    <n v="200801"/>
    <n v="200801"/>
    <m/>
    <n v="1"/>
    <n v="200801"/>
    <n v="48000"/>
  </r>
  <r>
    <x v="379"/>
    <x v="1"/>
    <m/>
    <x v="22"/>
    <x v="2"/>
    <x v="29"/>
    <n v="200801"/>
    <n v="200801"/>
    <m/>
    <n v="6"/>
    <n v="200801"/>
    <n v="228000"/>
  </r>
  <r>
    <x v="379"/>
    <x v="1"/>
    <m/>
    <x v="19"/>
    <x v="2"/>
    <x v="22"/>
    <n v="200801"/>
    <n v="200801"/>
    <m/>
    <n v="7"/>
    <n v="200801"/>
    <n v="91000"/>
  </r>
  <r>
    <x v="379"/>
    <x v="1"/>
    <m/>
    <x v="19"/>
    <x v="2"/>
    <x v="24"/>
    <n v="200801"/>
    <n v="200801"/>
    <m/>
    <n v="2"/>
    <n v="200801"/>
    <n v="66000"/>
  </r>
  <r>
    <x v="379"/>
    <x v="1"/>
    <m/>
    <x v="33"/>
    <x v="2"/>
    <x v="92"/>
    <n v="200801"/>
    <n v="200801"/>
    <m/>
    <n v="1"/>
    <n v="200801"/>
    <n v="18200"/>
  </r>
  <r>
    <x v="379"/>
    <x v="1"/>
    <m/>
    <x v="33"/>
    <x v="2"/>
    <x v="93"/>
    <n v="200801"/>
    <n v="200801"/>
    <m/>
    <n v="1"/>
    <n v="200801"/>
    <n v="33800"/>
  </r>
  <r>
    <x v="379"/>
    <x v="1"/>
    <m/>
    <x v="0"/>
    <x v="9"/>
    <x v="15"/>
    <n v="200801"/>
    <n v="200801"/>
    <m/>
    <n v="2"/>
    <n v="200801"/>
    <n v="40000"/>
  </r>
  <r>
    <x v="380"/>
    <x v="0"/>
    <m/>
    <x v="0"/>
    <x v="7"/>
    <x v="15"/>
    <n v="200801"/>
    <n v="200801"/>
    <m/>
    <n v="6"/>
    <n v="200801"/>
    <n v="120000"/>
  </r>
  <r>
    <x v="380"/>
    <x v="0"/>
    <m/>
    <x v="0"/>
    <x v="1"/>
    <x v="15"/>
    <n v="200801"/>
    <n v="200801"/>
    <m/>
    <n v="3"/>
    <n v="200801"/>
    <n v="60000"/>
  </r>
  <r>
    <x v="380"/>
    <x v="0"/>
    <m/>
    <x v="0"/>
    <x v="1"/>
    <x v="16"/>
    <n v="200801"/>
    <n v="200801"/>
    <m/>
    <n v="11"/>
    <n v="200801"/>
    <n v="385000"/>
  </r>
  <r>
    <x v="380"/>
    <x v="0"/>
    <m/>
    <x v="6"/>
    <x v="2"/>
    <x v="37"/>
    <n v="200801"/>
    <n v="200801"/>
    <m/>
    <n v="3"/>
    <n v="200801"/>
    <n v="60000"/>
  </r>
  <r>
    <x v="380"/>
    <x v="0"/>
    <m/>
    <x v="6"/>
    <x v="2"/>
    <x v="42"/>
    <n v="200801"/>
    <n v="200801"/>
    <m/>
    <n v="2"/>
    <n v="200801"/>
    <n v="70000"/>
  </r>
  <r>
    <x v="380"/>
    <x v="0"/>
    <m/>
    <x v="25"/>
    <x v="2"/>
    <x v="34"/>
    <n v="200801"/>
    <n v="200801"/>
    <m/>
    <n v="4"/>
    <n v="200801"/>
    <n v="396000"/>
  </r>
  <r>
    <x v="380"/>
    <x v="0"/>
    <m/>
    <x v="34"/>
    <x v="2"/>
    <x v="105"/>
    <n v="200801"/>
    <n v="200801"/>
    <m/>
    <n v="35"/>
    <n v="200801"/>
    <n v="1298500"/>
  </r>
  <r>
    <x v="380"/>
    <x v="0"/>
    <m/>
    <x v="30"/>
    <x v="2"/>
    <x v="99"/>
    <n v="200801"/>
    <n v="200801"/>
    <m/>
    <n v="5"/>
    <n v="200801"/>
    <n v="112000"/>
  </r>
  <r>
    <x v="380"/>
    <x v="0"/>
    <m/>
    <x v="1"/>
    <x v="2"/>
    <x v="18"/>
    <n v="200801"/>
    <n v="200801"/>
    <m/>
    <n v="13"/>
    <n v="200801"/>
    <n v="260000"/>
  </r>
  <r>
    <x v="380"/>
    <x v="0"/>
    <m/>
    <x v="1"/>
    <x v="2"/>
    <x v="21"/>
    <n v="200801"/>
    <n v="200801"/>
    <m/>
    <n v="4"/>
    <n v="200801"/>
    <n v="140000"/>
  </r>
  <r>
    <x v="380"/>
    <x v="0"/>
    <m/>
    <x v="4"/>
    <x v="2"/>
    <x v="27"/>
    <n v="200801"/>
    <n v="200801"/>
    <m/>
    <n v="5"/>
    <n v="200801"/>
    <n v="100000"/>
  </r>
  <r>
    <x v="380"/>
    <x v="0"/>
    <m/>
    <x v="0"/>
    <x v="2"/>
    <x v="15"/>
    <n v="200801"/>
    <n v="200801"/>
    <m/>
    <n v="20"/>
    <n v="200801"/>
    <n v="400000"/>
  </r>
  <r>
    <x v="380"/>
    <x v="0"/>
    <m/>
    <x v="0"/>
    <x v="2"/>
    <x v="16"/>
    <n v="200801"/>
    <n v="200801"/>
    <m/>
    <n v="26"/>
    <n v="200801"/>
    <n v="910000"/>
  </r>
  <r>
    <x v="380"/>
    <x v="0"/>
    <m/>
    <x v="0"/>
    <x v="2"/>
    <x v="17"/>
    <n v="200801"/>
    <n v="200801"/>
    <m/>
    <n v="38"/>
    <n v="200801"/>
    <n v="1254000"/>
  </r>
  <r>
    <x v="380"/>
    <x v="0"/>
    <m/>
    <x v="0"/>
    <x v="2"/>
    <x v="19"/>
    <n v="200801"/>
    <n v="200801"/>
    <m/>
    <n v="14"/>
    <n v="200801"/>
    <n v="42000"/>
  </r>
  <r>
    <x v="380"/>
    <x v="0"/>
    <m/>
    <x v="5"/>
    <x v="2"/>
    <x v="28"/>
    <n v="200801"/>
    <n v="200801"/>
    <m/>
    <n v="11"/>
    <n v="200801"/>
    <n v="308000"/>
  </r>
  <r>
    <x v="380"/>
    <x v="0"/>
    <m/>
    <x v="5"/>
    <x v="2"/>
    <x v="69"/>
    <n v="200801"/>
    <n v="200801"/>
    <m/>
    <n v="7"/>
    <n v="200801"/>
    <n v="336000"/>
  </r>
  <r>
    <x v="380"/>
    <x v="0"/>
    <m/>
    <x v="22"/>
    <x v="2"/>
    <x v="29"/>
    <n v="200801"/>
    <n v="200801"/>
    <m/>
    <n v="2"/>
    <n v="200801"/>
    <n v="76000"/>
  </r>
  <r>
    <x v="380"/>
    <x v="0"/>
    <m/>
    <x v="19"/>
    <x v="2"/>
    <x v="22"/>
    <n v="200801"/>
    <n v="200801"/>
    <m/>
    <n v="4"/>
    <n v="200801"/>
    <n v="52000"/>
  </r>
  <r>
    <x v="380"/>
    <x v="0"/>
    <m/>
    <x v="19"/>
    <x v="2"/>
    <x v="23"/>
    <n v="200801"/>
    <n v="200801"/>
    <m/>
    <n v="2"/>
    <n v="200801"/>
    <n v="48000"/>
  </r>
  <r>
    <x v="380"/>
    <x v="0"/>
    <m/>
    <x v="33"/>
    <x v="2"/>
    <x v="92"/>
    <n v="200801"/>
    <n v="200801"/>
    <m/>
    <n v="1"/>
    <n v="200801"/>
    <n v="18200"/>
  </r>
  <r>
    <x v="380"/>
    <x v="0"/>
    <m/>
    <x v="0"/>
    <x v="9"/>
    <x v="15"/>
    <n v="200801"/>
    <n v="200801"/>
    <m/>
    <n v="4"/>
    <n v="200801"/>
    <n v="80000"/>
  </r>
  <r>
    <x v="381"/>
    <x v="2"/>
    <m/>
    <x v="0"/>
    <x v="7"/>
    <x v="15"/>
    <n v="200801"/>
    <n v="200801"/>
    <m/>
    <n v="5"/>
    <n v="200801"/>
    <n v="100000"/>
  </r>
  <r>
    <x v="381"/>
    <x v="2"/>
    <m/>
    <x v="32"/>
    <x v="2"/>
    <x v="97"/>
    <n v="200801"/>
    <n v="200801"/>
    <m/>
    <n v="1"/>
    <n v="200801"/>
    <n v="37100"/>
  </r>
  <r>
    <x v="381"/>
    <x v="2"/>
    <m/>
    <x v="34"/>
    <x v="2"/>
    <x v="105"/>
    <n v="200801"/>
    <n v="200801"/>
    <m/>
    <n v="25"/>
    <n v="200801"/>
    <n v="927500"/>
  </r>
  <r>
    <x v="381"/>
    <x v="2"/>
    <m/>
    <x v="30"/>
    <x v="2"/>
    <x v="99"/>
    <n v="200801"/>
    <n v="200801"/>
    <m/>
    <n v="3"/>
    <n v="200801"/>
    <n v="67200"/>
  </r>
  <r>
    <x v="381"/>
    <x v="2"/>
    <m/>
    <x v="1"/>
    <x v="2"/>
    <x v="18"/>
    <n v="200801"/>
    <n v="200801"/>
    <m/>
    <n v="7"/>
    <n v="200801"/>
    <n v="140000"/>
  </r>
  <r>
    <x v="381"/>
    <x v="2"/>
    <m/>
    <x v="1"/>
    <x v="2"/>
    <x v="21"/>
    <n v="200801"/>
    <n v="200801"/>
    <m/>
    <n v="3"/>
    <n v="200801"/>
    <n v="105000"/>
  </r>
  <r>
    <x v="381"/>
    <x v="2"/>
    <m/>
    <x v="4"/>
    <x v="2"/>
    <x v="27"/>
    <n v="200801"/>
    <n v="200801"/>
    <m/>
    <n v="5"/>
    <n v="200801"/>
    <n v="100000"/>
  </r>
  <r>
    <x v="381"/>
    <x v="2"/>
    <m/>
    <x v="0"/>
    <x v="2"/>
    <x v="15"/>
    <n v="200801"/>
    <n v="200801"/>
    <m/>
    <n v="14"/>
    <n v="200801"/>
    <n v="280000"/>
  </r>
  <r>
    <x v="381"/>
    <x v="2"/>
    <m/>
    <x v="0"/>
    <x v="2"/>
    <x v="16"/>
    <n v="200801"/>
    <n v="200801"/>
    <m/>
    <n v="17"/>
    <n v="200801"/>
    <n v="595000"/>
  </r>
  <r>
    <x v="381"/>
    <x v="2"/>
    <m/>
    <x v="0"/>
    <x v="2"/>
    <x v="17"/>
    <n v="200801"/>
    <n v="200801"/>
    <m/>
    <n v="49"/>
    <n v="200801"/>
    <n v="1617000"/>
  </r>
  <r>
    <x v="381"/>
    <x v="2"/>
    <m/>
    <x v="0"/>
    <x v="2"/>
    <x v="19"/>
    <n v="200801"/>
    <n v="200801"/>
    <m/>
    <n v="17"/>
    <n v="200801"/>
    <n v="51000"/>
  </r>
  <r>
    <x v="381"/>
    <x v="2"/>
    <m/>
    <x v="5"/>
    <x v="2"/>
    <x v="28"/>
    <n v="200801"/>
    <n v="200801"/>
    <m/>
    <n v="10"/>
    <n v="200801"/>
    <n v="280000"/>
  </r>
  <r>
    <x v="381"/>
    <x v="2"/>
    <m/>
    <x v="5"/>
    <x v="2"/>
    <x v="69"/>
    <n v="200801"/>
    <n v="200801"/>
    <m/>
    <n v="4"/>
    <n v="200801"/>
    <n v="192000"/>
  </r>
  <r>
    <x v="381"/>
    <x v="2"/>
    <m/>
    <x v="22"/>
    <x v="2"/>
    <x v="29"/>
    <n v="200801"/>
    <n v="200801"/>
    <m/>
    <n v="6"/>
    <n v="200801"/>
    <n v="228000"/>
  </r>
  <r>
    <x v="381"/>
    <x v="2"/>
    <m/>
    <x v="19"/>
    <x v="2"/>
    <x v="22"/>
    <n v="200801"/>
    <n v="200801"/>
    <m/>
    <n v="1"/>
    <n v="200801"/>
    <n v="13000"/>
  </r>
  <r>
    <x v="381"/>
    <x v="2"/>
    <m/>
    <x v="19"/>
    <x v="2"/>
    <x v="23"/>
    <n v="200801"/>
    <n v="200801"/>
    <m/>
    <n v="3"/>
    <n v="200801"/>
    <n v="72000"/>
  </r>
  <r>
    <x v="381"/>
    <x v="2"/>
    <m/>
    <x v="0"/>
    <x v="9"/>
    <x v="15"/>
    <n v="200801"/>
    <n v="200801"/>
    <m/>
    <n v="6"/>
    <n v="200801"/>
    <n v="120000"/>
  </r>
  <r>
    <x v="381"/>
    <x v="2"/>
    <m/>
    <x v="1"/>
    <x v="9"/>
    <x v="18"/>
    <n v="200801"/>
    <n v="200801"/>
    <m/>
    <n v="1"/>
    <n v="200801"/>
    <n v="20000"/>
  </r>
  <r>
    <x v="381"/>
    <x v="2"/>
    <m/>
    <x v="1"/>
    <x v="19"/>
    <x v="18"/>
    <n v="200801"/>
    <n v="200801"/>
    <m/>
    <n v="1"/>
    <n v="200801"/>
    <n v="25000"/>
  </r>
  <r>
    <x v="382"/>
    <x v="5"/>
    <m/>
    <x v="0"/>
    <x v="7"/>
    <x v="15"/>
    <n v="200801"/>
    <n v="200801"/>
    <m/>
    <n v="3"/>
    <n v="200801"/>
    <n v="60000"/>
  </r>
  <r>
    <x v="382"/>
    <x v="5"/>
    <m/>
    <x v="32"/>
    <x v="2"/>
    <x v="97"/>
    <n v="200801"/>
    <n v="200801"/>
    <m/>
    <n v="1"/>
    <n v="200801"/>
    <n v="37100"/>
  </r>
  <r>
    <x v="382"/>
    <x v="5"/>
    <m/>
    <x v="34"/>
    <x v="2"/>
    <x v="105"/>
    <n v="200801"/>
    <n v="200801"/>
    <m/>
    <n v="21"/>
    <n v="200801"/>
    <n v="779100"/>
  </r>
  <r>
    <x v="382"/>
    <x v="5"/>
    <m/>
    <x v="30"/>
    <x v="2"/>
    <x v="99"/>
    <n v="200801"/>
    <n v="200801"/>
    <m/>
    <n v="2"/>
    <n v="200801"/>
    <n v="44800"/>
  </r>
  <r>
    <x v="382"/>
    <x v="5"/>
    <m/>
    <x v="30"/>
    <x v="2"/>
    <x v="100"/>
    <n v="200801"/>
    <n v="200801"/>
    <m/>
    <n v="1"/>
    <n v="200801"/>
    <n v="39200"/>
  </r>
  <r>
    <x v="382"/>
    <x v="5"/>
    <m/>
    <x v="1"/>
    <x v="2"/>
    <x v="18"/>
    <n v="200801"/>
    <n v="200801"/>
    <m/>
    <n v="16"/>
    <n v="200801"/>
    <n v="320000"/>
  </r>
  <r>
    <x v="382"/>
    <x v="5"/>
    <m/>
    <x v="1"/>
    <x v="2"/>
    <x v="21"/>
    <n v="200801"/>
    <n v="200801"/>
    <m/>
    <n v="4"/>
    <n v="200801"/>
    <n v="140000"/>
  </r>
  <r>
    <x v="382"/>
    <x v="5"/>
    <m/>
    <x v="4"/>
    <x v="2"/>
    <x v="26"/>
    <n v="200801"/>
    <n v="200801"/>
    <m/>
    <n v="3"/>
    <n v="200801"/>
    <n v="12000"/>
  </r>
  <r>
    <x v="382"/>
    <x v="5"/>
    <m/>
    <x v="4"/>
    <x v="2"/>
    <x v="27"/>
    <n v="200801"/>
    <n v="200801"/>
    <m/>
    <n v="4"/>
    <n v="200801"/>
    <n v="80000"/>
  </r>
  <r>
    <x v="382"/>
    <x v="5"/>
    <m/>
    <x v="0"/>
    <x v="2"/>
    <x v="15"/>
    <n v="200801"/>
    <n v="200801"/>
    <m/>
    <n v="18"/>
    <n v="200801"/>
    <n v="360000"/>
  </r>
  <r>
    <x v="382"/>
    <x v="5"/>
    <m/>
    <x v="0"/>
    <x v="2"/>
    <x v="16"/>
    <n v="200801"/>
    <n v="200801"/>
    <m/>
    <n v="3"/>
    <n v="200801"/>
    <n v="105000"/>
  </r>
  <r>
    <x v="382"/>
    <x v="5"/>
    <m/>
    <x v="0"/>
    <x v="2"/>
    <x v="17"/>
    <n v="200801"/>
    <n v="200801"/>
    <m/>
    <n v="33"/>
    <n v="200801"/>
    <n v="1089000"/>
  </r>
  <r>
    <x v="382"/>
    <x v="5"/>
    <m/>
    <x v="0"/>
    <x v="2"/>
    <x v="19"/>
    <n v="200801"/>
    <n v="200801"/>
    <m/>
    <n v="11"/>
    <n v="200801"/>
    <n v="33000"/>
  </r>
  <r>
    <x v="382"/>
    <x v="5"/>
    <m/>
    <x v="5"/>
    <x v="2"/>
    <x v="28"/>
    <n v="200801"/>
    <n v="200801"/>
    <m/>
    <n v="14"/>
    <n v="200801"/>
    <n v="392000"/>
  </r>
  <r>
    <x v="382"/>
    <x v="5"/>
    <m/>
    <x v="5"/>
    <x v="2"/>
    <x v="69"/>
    <n v="200801"/>
    <n v="200801"/>
    <m/>
    <n v="1"/>
    <n v="200801"/>
    <n v="48000"/>
  </r>
  <r>
    <x v="382"/>
    <x v="5"/>
    <m/>
    <x v="22"/>
    <x v="2"/>
    <x v="29"/>
    <n v="200801"/>
    <n v="200801"/>
    <m/>
    <n v="3"/>
    <n v="200801"/>
    <n v="114000"/>
  </r>
  <r>
    <x v="382"/>
    <x v="5"/>
    <m/>
    <x v="19"/>
    <x v="2"/>
    <x v="22"/>
    <n v="200801"/>
    <n v="200801"/>
    <m/>
    <n v="7"/>
    <n v="200801"/>
    <n v="91000"/>
  </r>
  <r>
    <x v="382"/>
    <x v="5"/>
    <m/>
    <x v="19"/>
    <x v="2"/>
    <x v="23"/>
    <n v="200801"/>
    <n v="200801"/>
    <m/>
    <n v="4"/>
    <n v="200801"/>
    <n v="96000"/>
  </r>
  <r>
    <x v="382"/>
    <x v="5"/>
    <m/>
    <x v="33"/>
    <x v="2"/>
    <x v="92"/>
    <n v="200801"/>
    <n v="200801"/>
    <m/>
    <n v="1"/>
    <n v="200801"/>
    <n v="18200"/>
  </r>
  <r>
    <x v="382"/>
    <x v="5"/>
    <m/>
    <x v="0"/>
    <x v="9"/>
    <x v="15"/>
    <n v="200801"/>
    <n v="200801"/>
    <m/>
    <n v="6"/>
    <n v="200801"/>
    <n v="120000"/>
  </r>
  <r>
    <x v="383"/>
    <x v="6"/>
    <m/>
    <x v="0"/>
    <x v="7"/>
    <x v="15"/>
    <n v="200801"/>
    <n v="200801"/>
    <m/>
    <n v="4"/>
    <n v="200801"/>
    <n v="80000"/>
  </r>
  <r>
    <x v="383"/>
    <x v="6"/>
    <m/>
    <x v="6"/>
    <x v="2"/>
    <x v="37"/>
    <n v="200801"/>
    <n v="200801"/>
    <m/>
    <n v="2"/>
    <n v="200801"/>
    <n v="40000"/>
  </r>
  <r>
    <x v="383"/>
    <x v="6"/>
    <m/>
    <x v="25"/>
    <x v="2"/>
    <x v="34"/>
    <n v="200801"/>
    <n v="200801"/>
    <m/>
    <n v="5"/>
    <n v="200801"/>
    <n v="495000"/>
  </r>
  <r>
    <x v="383"/>
    <x v="6"/>
    <m/>
    <x v="32"/>
    <x v="2"/>
    <x v="97"/>
    <n v="200801"/>
    <n v="200801"/>
    <m/>
    <n v="4"/>
    <n v="200801"/>
    <n v="148400"/>
  </r>
  <r>
    <x v="383"/>
    <x v="6"/>
    <m/>
    <x v="34"/>
    <x v="2"/>
    <x v="105"/>
    <n v="200801"/>
    <n v="200801"/>
    <m/>
    <n v="26"/>
    <n v="200801"/>
    <n v="964600"/>
  </r>
  <r>
    <x v="383"/>
    <x v="6"/>
    <m/>
    <x v="30"/>
    <x v="2"/>
    <x v="99"/>
    <n v="200801"/>
    <n v="200801"/>
    <m/>
    <n v="4"/>
    <n v="200801"/>
    <n v="89600"/>
  </r>
  <r>
    <x v="383"/>
    <x v="6"/>
    <m/>
    <x v="1"/>
    <x v="2"/>
    <x v="18"/>
    <n v="200801"/>
    <n v="200801"/>
    <m/>
    <n v="29"/>
    <n v="200801"/>
    <n v="580000"/>
  </r>
  <r>
    <x v="383"/>
    <x v="6"/>
    <m/>
    <x v="1"/>
    <x v="2"/>
    <x v="21"/>
    <n v="200801"/>
    <n v="200801"/>
    <m/>
    <n v="3"/>
    <n v="200801"/>
    <n v="105000"/>
  </r>
  <r>
    <x v="383"/>
    <x v="6"/>
    <m/>
    <x v="4"/>
    <x v="2"/>
    <x v="26"/>
    <n v="200801"/>
    <n v="200801"/>
    <m/>
    <n v="2"/>
    <n v="200801"/>
    <n v="8000"/>
  </r>
  <r>
    <x v="383"/>
    <x v="6"/>
    <m/>
    <x v="4"/>
    <x v="2"/>
    <x v="27"/>
    <n v="200801"/>
    <n v="200801"/>
    <m/>
    <n v="3"/>
    <n v="200801"/>
    <n v="60000"/>
  </r>
  <r>
    <x v="383"/>
    <x v="6"/>
    <m/>
    <x v="0"/>
    <x v="2"/>
    <x v="15"/>
    <n v="200801"/>
    <n v="200801"/>
    <m/>
    <n v="37"/>
    <n v="200801"/>
    <n v="740000"/>
  </r>
  <r>
    <x v="383"/>
    <x v="6"/>
    <m/>
    <x v="0"/>
    <x v="2"/>
    <x v="16"/>
    <n v="200801"/>
    <n v="200801"/>
    <m/>
    <n v="17"/>
    <n v="200801"/>
    <n v="595000"/>
  </r>
  <r>
    <x v="383"/>
    <x v="6"/>
    <m/>
    <x v="0"/>
    <x v="2"/>
    <x v="17"/>
    <n v="200801"/>
    <n v="200801"/>
    <m/>
    <n v="46"/>
    <n v="200801"/>
    <n v="1518000"/>
  </r>
  <r>
    <x v="383"/>
    <x v="6"/>
    <m/>
    <x v="0"/>
    <x v="2"/>
    <x v="19"/>
    <n v="200801"/>
    <n v="200801"/>
    <m/>
    <n v="38"/>
    <n v="200801"/>
    <n v="114000"/>
  </r>
  <r>
    <x v="383"/>
    <x v="6"/>
    <m/>
    <x v="5"/>
    <x v="2"/>
    <x v="28"/>
    <n v="200801"/>
    <n v="200801"/>
    <m/>
    <n v="19"/>
    <n v="200801"/>
    <n v="532000"/>
  </r>
  <r>
    <x v="383"/>
    <x v="6"/>
    <m/>
    <x v="5"/>
    <x v="2"/>
    <x v="69"/>
    <n v="200801"/>
    <n v="200801"/>
    <m/>
    <n v="4"/>
    <n v="200801"/>
    <n v="192000"/>
  </r>
  <r>
    <x v="383"/>
    <x v="6"/>
    <m/>
    <x v="22"/>
    <x v="2"/>
    <x v="29"/>
    <n v="200801"/>
    <n v="200801"/>
    <m/>
    <n v="4"/>
    <n v="200801"/>
    <n v="152000"/>
  </r>
  <r>
    <x v="383"/>
    <x v="6"/>
    <m/>
    <x v="19"/>
    <x v="2"/>
    <x v="22"/>
    <n v="200801"/>
    <n v="200801"/>
    <m/>
    <n v="11"/>
    <n v="200801"/>
    <n v="143000"/>
  </r>
  <r>
    <x v="383"/>
    <x v="6"/>
    <m/>
    <x v="19"/>
    <x v="2"/>
    <x v="23"/>
    <n v="200801"/>
    <n v="200801"/>
    <m/>
    <n v="1"/>
    <n v="200801"/>
    <n v="24000"/>
  </r>
  <r>
    <x v="383"/>
    <x v="6"/>
    <m/>
    <x v="19"/>
    <x v="2"/>
    <x v="24"/>
    <n v="200801"/>
    <n v="200801"/>
    <m/>
    <n v="5"/>
    <n v="200801"/>
    <n v="165000"/>
  </r>
  <r>
    <x v="383"/>
    <x v="6"/>
    <m/>
    <x v="5"/>
    <x v="9"/>
    <x v="28"/>
    <n v="200801"/>
    <n v="200801"/>
    <m/>
    <n v="2"/>
    <n v="200801"/>
    <n v="56000"/>
  </r>
  <r>
    <x v="383"/>
    <x v="6"/>
    <m/>
    <x v="0"/>
    <x v="9"/>
    <x v="15"/>
    <n v="200801"/>
    <n v="200801"/>
    <m/>
    <n v="10"/>
    <n v="200801"/>
    <n v="200000"/>
  </r>
  <r>
    <x v="383"/>
    <x v="6"/>
    <m/>
    <x v="22"/>
    <x v="9"/>
    <x v="29"/>
    <n v="200801"/>
    <n v="200801"/>
    <m/>
    <n v="1"/>
    <n v="200801"/>
    <n v="38000"/>
  </r>
  <r>
    <x v="383"/>
    <x v="6"/>
    <m/>
    <x v="0"/>
    <x v="6"/>
    <x v="15"/>
    <n v="200801"/>
    <n v="200801"/>
    <m/>
    <n v="97"/>
    <n v="200801"/>
    <n v="879596"/>
  </r>
  <r>
    <x v="383"/>
    <x v="6"/>
    <m/>
    <x v="0"/>
    <x v="6"/>
    <x v="17"/>
    <n v="200801"/>
    <n v="200801"/>
    <m/>
    <n v="470"/>
    <n v="200801"/>
    <n v="7434460"/>
  </r>
  <r>
    <x v="383"/>
    <x v="6"/>
    <m/>
    <x v="4"/>
    <x v="6"/>
    <x v="26"/>
    <n v="200801"/>
    <n v="200801"/>
    <m/>
    <n v="592"/>
    <n v="200801"/>
    <n v="635216"/>
  </r>
  <r>
    <x v="383"/>
    <x v="6"/>
    <m/>
    <x v="26"/>
    <x v="6"/>
    <x v="35"/>
    <n v="200801"/>
    <n v="200801"/>
    <m/>
    <n v="36"/>
    <n v="200801"/>
    <n v="616716"/>
  </r>
  <r>
    <x v="383"/>
    <x v="6"/>
    <m/>
    <x v="22"/>
    <x v="6"/>
    <x v="29"/>
    <n v="200801"/>
    <n v="200801"/>
    <m/>
    <n v="39"/>
    <n v="200801"/>
    <n v="767949"/>
  </r>
  <r>
    <x v="383"/>
    <x v="6"/>
    <m/>
    <x v="24"/>
    <x v="6"/>
    <x v="31"/>
    <n v="200801"/>
    <n v="200801"/>
    <m/>
    <n v="120"/>
    <n v="200801"/>
    <n v="1785240"/>
  </r>
  <r>
    <x v="383"/>
    <x v="6"/>
    <m/>
    <x v="23"/>
    <x v="6"/>
    <x v="30"/>
    <n v="200801"/>
    <n v="200801"/>
    <m/>
    <n v="10"/>
    <n v="200801"/>
    <n v="69640"/>
  </r>
  <r>
    <x v="383"/>
    <x v="6"/>
    <m/>
    <x v="19"/>
    <x v="6"/>
    <x v="22"/>
    <n v="200801"/>
    <n v="200801"/>
    <m/>
    <n v="54"/>
    <n v="200801"/>
    <n v="366714"/>
  </r>
  <r>
    <x v="383"/>
    <x v="6"/>
    <m/>
    <x v="27"/>
    <x v="6"/>
    <x v="36"/>
    <n v="200801"/>
    <n v="200801"/>
    <m/>
    <n v="1"/>
    <n v="200801"/>
    <n v="9457"/>
  </r>
  <r>
    <x v="383"/>
    <x v="6"/>
    <m/>
    <x v="6"/>
    <x v="6"/>
    <x v="37"/>
    <n v="200801"/>
    <n v="200801"/>
    <m/>
    <n v="32"/>
    <n v="200801"/>
    <n v="320000"/>
  </r>
  <r>
    <x v="383"/>
    <x v="6"/>
    <m/>
    <x v="28"/>
    <x v="6"/>
    <x v="39"/>
    <n v="200801"/>
    <n v="200801"/>
    <m/>
    <n v="6"/>
    <n v="200801"/>
    <n v="94908"/>
  </r>
  <r>
    <x v="383"/>
    <x v="6"/>
    <m/>
    <x v="4"/>
    <x v="6"/>
    <x v="66"/>
    <n v="200801"/>
    <n v="200801"/>
    <m/>
    <n v="70"/>
    <n v="200801"/>
    <n v="391790"/>
  </r>
  <r>
    <x v="383"/>
    <x v="6"/>
    <m/>
    <x v="33"/>
    <x v="6"/>
    <x v="106"/>
    <n v="200801"/>
    <n v="200801"/>
    <m/>
    <n v="14"/>
    <n v="200801"/>
    <n v="136500"/>
  </r>
  <r>
    <x v="383"/>
    <x v="6"/>
    <m/>
    <x v="31"/>
    <x v="6"/>
    <x v="103"/>
    <n v="200801"/>
    <n v="200801"/>
    <m/>
    <n v="77"/>
    <n v="200801"/>
    <n v="862400"/>
  </r>
  <r>
    <x v="383"/>
    <x v="6"/>
    <m/>
    <x v="30"/>
    <x v="6"/>
    <x v="104"/>
    <n v="200801"/>
    <n v="200801"/>
    <m/>
    <n v="104"/>
    <n v="200801"/>
    <n v="1164800"/>
  </r>
  <r>
    <x v="383"/>
    <x v="6"/>
    <m/>
    <x v="5"/>
    <x v="6"/>
    <x v="28"/>
    <n v="200801"/>
    <n v="200801"/>
    <m/>
    <n v="5"/>
    <n v="200801"/>
    <n v="73000"/>
  </r>
  <r>
    <x v="384"/>
    <x v="3"/>
    <m/>
    <x v="0"/>
    <x v="1"/>
    <x v="16"/>
    <n v="200801"/>
    <n v="200801"/>
    <m/>
    <n v="3"/>
    <n v="200801"/>
    <n v="105000"/>
  </r>
  <r>
    <x v="384"/>
    <x v="3"/>
    <m/>
    <x v="0"/>
    <x v="7"/>
    <x v="15"/>
    <n v="200801"/>
    <n v="200801"/>
    <m/>
    <n v="6"/>
    <n v="200801"/>
    <n v="120000"/>
  </r>
  <r>
    <x v="384"/>
    <x v="3"/>
    <m/>
    <x v="33"/>
    <x v="3"/>
    <x v="94"/>
    <n v="200801"/>
    <n v="200801"/>
    <m/>
    <n v="35"/>
    <n v="200801"/>
    <n v="0"/>
  </r>
  <r>
    <x v="384"/>
    <x v="3"/>
    <m/>
    <x v="6"/>
    <x v="2"/>
    <x v="42"/>
    <n v="200801"/>
    <n v="200801"/>
    <m/>
    <n v="1"/>
    <n v="200801"/>
    <n v="35000"/>
  </r>
  <r>
    <x v="384"/>
    <x v="3"/>
    <m/>
    <x v="29"/>
    <x v="2"/>
    <x v="41"/>
    <n v="200801"/>
    <n v="200801"/>
    <m/>
    <n v="3"/>
    <n v="200801"/>
    <n v="135000"/>
  </r>
  <r>
    <x v="384"/>
    <x v="3"/>
    <m/>
    <x v="34"/>
    <x v="2"/>
    <x v="105"/>
    <n v="200801"/>
    <n v="200801"/>
    <m/>
    <n v="30"/>
    <n v="200801"/>
    <n v="1113000"/>
  </r>
  <r>
    <x v="384"/>
    <x v="3"/>
    <m/>
    <x v="30"/>
    <x v="2"/>
    <x v="99"/>
    <n v="200801"/>
    <n v="200801"/>
    <m/>
    <n v="4"/>
    <n v="200801"/>
    <n v="89600"/>
  </r>
  <r>
    <x v="384"/>
    <x v="3"/>
    <m/>
    <x v="30"/>
    <x v="2"/>
    <x v="100"/>
    <n v="200801"/>
    <n v="200801"/>
    <m/>
    <n v="1"/>
    <n v="200801"/>
    <n v="39200"/>
  </r>
  <r>
    <x v="384"/>
    <x v="3"/>
    <m/>
    <x v="1"/>
    <x v="2"/>
    <x v="18"/>
    <n v="200801"/>
    <n v="200801"/>
    <m/>
    <n v="46"/>
    <n v="200801"/>
    <n v="920000"/>
  </r>
  <r>
    <x v="384"/>
    <x v="3"/>
    <m/>
    <x v="1"/>
    <x v="2"/>
    <x v="21"/>
    <n v="200801"/>
    <n v="200801"/>
    <m/>
    <n v="23"/>
    <n v="200801"/>
    <n v="805000"/>
  </r>
  <r>
    <x v="384"/>
    <x v="3"/>
    <m/>
    <x v="4"/>
    <x v="2"/>
    <x v="26"/>
    <n v="200801"/>
    <n v="200801"/>
    <m/>
    <n v="2"/>
    <n v="200801"/>
    <n v="8000"/>
  </r>
  <r>
    <x v="384"/>
    <x v="3"/>
    <m/>
    <x v="4"/>
    <x v="2"/>
    <x v="27"/>
    <n v="200801"/>
    <n v="200801"/>
    <m/>
    <n v="3"/>
    <n v="200801"/>
    <n v="60000"/>
  </r>
  <r>
    <x v="384"/>
    <x v="3"/>
    <m/>
    <x v="0"/>
    <x v="2"/>
    <x v="15"/>
    <n v="200801"/>
    <n v="200801"/>
    <m/>
    <n v="42"/>
    <n v="200801"/>
    <n v="840000"/>
  </r>
  <r>
    <x v="384"/>
    <x v="3"/>
    <m/>
    <x v="0"/>
    <x v="2"/>
    <x v="16"/>
    <n v="200801"/>
    <n v="200801"/>
    <m/>
    <n v="58"/>
    <n v="200801"/>
    <n v="2030000"/>
  </r>
  <r>
    <x v="384"/>
    <x v="3"/>
    <m/>
    <x v="0"/>
    <x v="2"/>
    <x v="17"/>
    <n v="200801"/>
    <n v="200801"/>
    <m/>
    <n v="72"/>
    <n v="200801"/>
    <n v="2376000"/>
  </r>
  <r>
    <x v="384"/>
    <x v="3"/>
    <m/>
    <x v="0"/>
    <x v="2"/>
    <x v="19"/>
    <n v="200801"/>
    <n v="200801"/>
    <m/>
    <n v="28"/>
    <n v="200801"/>
    <n v="84000"/>
  </r>
  <r>
    <x v="384"/>
    <x v="3"/>
    <m/>
    <x v="5"/>
    <x v="2"/>
    <x v="28"/>
    <n v="200801"/>
    <n v="200801"/>
    <m/>
    <n v="20"/>
    <n v="200801"/>
    <n v="560000"/>
  </r>
  <r>
    <x v="384"/>
    <x v="3"/>
    <m/>
    <x v="5"/>
    <x v="2"/>
    <x v="69"/>
    <n v="200801"/>
    <n v="200801"/>
    <m/>
    <n v="5"/>
    <n v="200801"/>
    <n v="240000"/>
  </r>
  <r>
    <x v="384"/>
    <x v="3"/>
    <m/>
    <x v="22"/>
    <x v="2"/>
    <x v="29"/>
    <n v="200801"/>
    <n v="200801"/>
    <m/>
    <n v="10"/>
    <n v="200801"/>
    <n v="380000"/>
  </r>
  <r>
    <x v="384"/>
    <x v="3"/>
    <m/>
    <x v="19"/>
    <x v="2"/>
    <x v="22"/>
    <n v="200801"/>
    <n v="200801"/>
    <m/>
    <n v="8"/>
    <n v="200801"/>
    <n v="104000"/>
  </r>
  <r>
    <x v="384"/>
    <x v="3"/>
    <m/>
    <x v="19"/>
    <x v="2"/>
    <x v="23"/>
    <n v="200801"/>
    <n v="200801"/>
    <m/>
    <n v="2"/>
    <n v="200801"/>
    <n v="48000"/>
  </r>
  <r>
    <x v="384"/>
    <x v="3"/>
    <m/>
    <x v="19"/>
    <x v="2"/>
    <x v="24"/>
    <n v="200801"/>
    <n v="200801"/>
    <m/>
    <n v="1"/>
    <n v="200801"/>
    <n v="33000"/>
  </r>
  <r>
    <x v="384"/>
    <x v="3"/>
    <m/>
    <x v="33"/>
    <x v="2"/>
    <x v="92"/>
    <n v="200801"/>
    <n v="200801"/>
    <m/>
    <n v="3"/>
    <n v="200801"/>
    <n v="54600"/>
  </r>
  <r>
    <x v="384"/>
    <x v="3"/>
    <m/>
    <x v="5"/>
    <x v="9"/>
    <x v="28"/>
    <n v="200801"/>
    <n v="200801"/>
    <m/>
    <n v="1"/>
    <n v="200801"/>
    <n v="28000"/>
  </r>
  <r>
    <x v="384"/>
    <x v="3"/>
    <m/>
    <x v="0"/>
    <x v="9"/>
    <x v="15"/>
    <n v="200801"/>
    <n v="200801"/>
    <m/>
    <n v="5"/>
    <n v="200801"/>
    <n v="100000"/>
  </r>
  <r>
    <x v="384"/>
    <x v="3"/>
    <m/>
    <x v="1"/>
    <x v="9"/>
    <x v="18"/>
    <n v="200801"/>
    <n v="200801"/>
    <m/>
    <n v="1"/>
    <n v="200801"/>
    <n v="20000"/>
  </r>
  <r>
    <x v="385"/>
    <x v="4"/>
    <m/>
    <x v="0"/>
    <x v="1"/>
    <x v="15"/>
    <n v="200801"/>
    <n v="200801"/>
    <m/>
    <n v="8"/>
    <n v="200801"/>
    <n v="160000"/>
  </r>
  <r>
    <x v="385"/>
    <x v="4"/>
    <m/>
    <x v="0"/>
    <x v="1"/>
    <x v="16"/>
    <n v="200801"/>
    <n v="200801"/>
    <m/>
    <n v="28"/>
    <n v="200801"/>
    <n v="980000"/>
  </r>
  <r>
    <x v="385"/>
    <x v="4"/>
    <m/>
    <x v="19"/>
    <x v="5"/>
    <x v="50"/>
    <n v="200801"/>
    <n v="200801"/>
    <m/>
    <n v="4"/>
    <n v="200801"/>
    <n v="28800"/>
  </r>
  <r>
    <x v="385"/>
    <x v="4"/>
    <m/>
    <x v="6"/>
    <x v="5"/>
    <x v="49"/>
    <n v="200801"/>
    <n v="200801"/>
    <m/>
    <n v="1"/>
    <n v="200801"/>
    <n v="11250"/>
  </r>
  <r>
    <x v="385"/>
    <x v="4"/>
    <m/>
    <x v="0"/>
    <x v="7"/>
    <x v="15"/>
    <n v="200801"/>
    <n v="200801"/>
    <m/>
    <n v="4"/>
    <n v="200801"/>
    <n v="80000"/>
  </r>
  <r>
    <x v="385"/>
    <x v="4"/>
    <m/>
    <x v="6"/>
    <x v="2"/>
    <x v="37"/>
    <n v="200801"/>
    <n v="200801"/>
    <m/>
    <n v="4"/>
    <n v="200801"/>
    <n v="80000"/>
  </r>
  <r>
    <x v="385"/>
    <x v="4"/>
    <m/>
    <x v="6"/>
    <x v="2"/>
    <x v="42"/>
    <n v="200801"/>
    <n v="200801"/>
    <m/>
    <n v="1"/>
    <n v="200801"/>
    <n v="35000"/>
  </r>
  <r>
    <x v="385"/>
    <x v="4"/>
    <m/>
    <x v="25"/>
    <x v="2"/>
    <x v="34"/>
    <n v="200801"/>
    <n v="200801"/>
    <m/>
    <n v="5"/>
    <n v="200801"/>
    <n v="495000"/>
  </r>
  <r>
    <x v="385"/>
    <x v="4"/>
    <m/>
    <x v="34"/>
    <x v="2"/>
    <x v="105"/>
    <n v="200801"/>
    <n v="200801"/>
    <m/>
    <n v="31"/>
    <n v="200801"/>
    <n v="1150100"/>
  </r>
  <r>
    <x v="385"/>
    <x v="4"/>
    <m/>
    <x v="30"/>
    <x v="2"/>
    <x v="99"/>
    <n v="200801"/>
    <n v="200801"/>
    <m/>
    <n v="7"/>
    <n v="200801"/>
    <n v="156800"/>
  </r>
  <r>
    <x v="385"/>
    <x v="4"/>
    <m/>
    <x v="1"/>
    <x v="2"/>
    <x v="18"/>
    <n v="200801"/>
    <n v="200801"/>
    <m/>
    <n v="41"/>
    <n v="200801"/>
    <n v="820000"/>
  </r>
  <r>
    <x v="385"/>
    <x v="4"/>
    <m/>
    <x v="1"/>
    <x v="2"/>
    <x v="21"/>
    <n v="200801"/>
    <n v="200801"/>
    <m/>
    <n v="14"/>
    <n v="200801"/>
    <n v="490000"/>
  </r>
  <r>
    <x v="385"/>
    <x v="4"/>
    <m/>
    <x v="4"/>
    <x v="2"/>
    <x v="26"/>
    <n v="200801"/>
    <n v="200801"/>
    <m/>
    <n v="2"/>
    <n v="200801"/>
    <n v="8000"/>
  </r>
  <r>
    <x v="385"/>
    <x v="4"/>
    <m/>
    <x v="4"/>
    <x v="2"/>
    <x v="27"/>
    <n v="200801"/>
    <n v="200801"/>
    <m/>
    <n v="2"/>
    <n v="200801"/>
    <n v="40000"/>
  </r>
  <r>
    <x v="385"/>
    <x v="4"/>
    <m/>
    <x v="0"/>
    <x v="2"/>
    <x v="15"/>
    <n v="200801"/>
    <n v="200801"/>
    <m/>
    <n v="40"/>
    <n v="200801"/>
    <n v="800000"/>
  </r>
  <r>
    <x v="385"/>
    <x v="4"/>
    <m/>
    <x v="0"/>
    <x v="2"/>
    <x v="16"/>
    <n v="200801"/>
    <n v="200801"/>
    <m/>
    <n v="20"/>
    <n v="200801"/>
    <n v="700000"/>
  </r>
  <r>
    <x v="385"/>
    <x v="4"/>
    <m/>
    <x v="0"/>
    <x v="2"/>
    <x v="17"/>
    <n v="200801"/>
    <n v="200801"/>
    <m/>
    <n v="70"/>
    <n v="200801"/>
    <n v="2310000"/>
  </r>
  <r>
    <x v="385"/>
    <x v="4"/>
    <m/>
    <x v="0"/>
    <x v="2"/>
    <x v="19"/>
    <n v="200801"/>
    <n v="200801"/>
    <m/>
    <n v="40"/>
    <n v="200801"/>
    <n v="120000"/>
  </r>
  <r>
    <x v="385"/>
    <x v="4"/>
    <m/>
    <x v="5"/>
    <x v="2"/>
    <x v="28"/>
    <n v="200801"/>
    <n v="200801"/>
    <m/>
    <n v="19"/>
    <n v="200801"/>
    <n v="532000"/>
  </r>
  <r>
    <x v="385"/>
    <x v="4"/>
    <m/>
    <x v="5"/>
    <x v="2"/>
    <x v="69"/>
    <n v="200801"/>
    <n v="200801"/>
    <m/>
    <n v="4"/>
    <n v="200801"/>
    <n v="192000"/>
  </r>
  <r>
    <x v="385"/>
    <x v="4"/>
    <m/>
    <x v="22"/>
    <x v="2"/>
    <x v="29"/>
    <n v="200801"/>
    <n v="200801"/>
    <m/>
    <n v="7"/>
    <n v="200801"/>
    <n v="266000"/>
  </r>
  <r>
    <x v="385"/>
    <x v="4"/>
    <m/>
    <x v="19"/>
    <x v="2"/>
    <x v="22"/>
    <n v="200801"/>
    <n v="200801"/>
    <m/>
    <n v="13"/>
    <n v="200801"/>
    <n v="169000"/>
  </r>
  <r>
    <x v="385"/>
    <x v="4"/>
    <m/>
    <x v="19"/>
    <x v="2"/>
    <x v="23"/>
    <n v="200801"/>
    <n v="200801"/>
    <m/>
    <n v="1"/>
    <n v="200801"/>
    <n v="24000"/>
  </r>
  <r>
    <x v="385"/>
    <x v="4"/>
    <m/>
    <x v="19"/>
    <x v="2"/>
    <x v="24"/>
    <n v="200801"/>
    <n v="200801"/>
    <m/>
    <n v="1"/>
    <n v="200801"/>
    <n v="33000"/>
  </r>
  <r>
    <x v="385"/>
    <x v="4"/>
    <m/>
    <x v="33"/>
    <x v="2"/>
    <x v="92"/>
    <n v="200801"/>
    <n v="200801"/>
    <m/>
    <n v="1"/>
    <n v="200801"/>
    <n v="18200"/>
  </r>
  <r>
    <x v="385"/>
    <x v="4"/>
    <m/>
    <x v="0"/>
    <x v="9"/>
    <x v="15"/>
    <n v="200801"/>
    <n v="200801"/>
    <m/>
    <n v="4"/>
    <n v="200801"/>
    <n v="80000"/>
  </r>
  <r>
    <x v="385"/>
    <x v="4"/>
    <m/>
    <x v="1"/>
    <x v="9"/>
    <x v="18"/>
    <n v="200801"/>
    <n v="200801"/>
    <m/>
    <n v="1"/>
    <n v="200801"/>
    <n v="20000"/>
  </r>
  <r>
    <x v="386"/>
    <x v="1"/>
    <m/>
    <x v="0"/>
    <x v="1"/>
    <x v="15"/>
    <n v="200801"/>
    <n v="200801"/>
    <m/>
    <n v="4"/>
    <n v="200801"/>
    <n v="80000"/>
  </r>
  <r>
    <x v="386"/>
    <x v="1"/>
    <m/>
    <x v="0"/>
    <x v="1"/>
    <x v="16"/>
    <n v="200801"/>
    <n v="200801"/>
    <m/>
    <n v="10"/>
    <n v="200801"/>
    <n v="350000"/>
  </r>
  <r>
    <x v="386"/>
    <x v="1"/>
    <m/>
    <x v="0"/>
    <x v="7"/>
    <x v="15"/>
    <n v="200801"/>
    <n v="200801"/>
    <m/>
    <n v="3"/>
    <n v="200801"/>
    <n v="60000"/>
  </r>
  <r>
    <x v="386"/>
    <x v="1"/>
    <m/>
    <x v="33"/>
    <x v="3"/>
    <x v="94"/>
    <n v="200801"/>
    <n v="200801"/>
    <m/>
    <n v="1"/>
    <n v="200801"/>
    <n v="0"/>
  </r>
  <r>
    <x v="386"/>
    <x v="1"/>
    <m/>
    <x v="0"/>
    <x v="3"/>
    <x v="15"/>
    <n v="200801"/>
    <n v="200801"/>
    <m/>
    <n v="1"/>
    <n v="200801"/>
    <n v="0"/>
  </r>
  <r>
    <x v="386"/>
    <x v="1"/>
    <m/>
    <x v="18"/>
    <x v="3"/>
    <x v="19"/>
    <n v="200801"/>
    <n v="200801"/>
    <m/>
    <n v="1"/>
    <n v="200801"/>
    <n v="0"/>
  </r>
  <r>
    <x v="386"/>
    <x v="1"/>
    <m/>
    <x v="5"/>
    <x v="3"/>
    <x v="28"/>
    <n v="200801"/>
    <n v="200801"/>
    <m/>
    <n v="1"/>
    <n v="200801"/>
    <n v="0"/>
  </r>
  <r>
    <x v="386"/>
    <x v="1"/>
    <m/>
    <x v="4"/>
    <x v="3"/>
    <x v="27"/>
    <n v="200801"/>
    <n v="200801"/>
    <m/>
    <n v="1"/>
    <n v="200801"/>
    <n v="0"/>
  </r>
  <r>
    <x v="386"/>
    <x v="1"/>
    <m/>
    <x v="6"/>
    <x v="3"/>
    <x v="37"/>
    <n v="200801"/>
    <n v="200801"/>
    <m/>
    <n v="1"/>
    <n v="200801"/>
    <n v="0"/>
  </r>
  <r>
    <x v="386"/>
    <x v="1"/>
    <m/>
    <x v="22"/>
    <x v="3"/>
    <x v="29"/>
    <n v="200801"/>
    <n v="200801"/>
    <m/>
    <n v="1"/>
    <n v="200801"/>
    <n v="0"/>
  </r>
  <r>
    <x v="386"/>
    <x v="1"/>
    <m/>
    <x v="19"/>
    <x v="3"/>
    <x v="22"/>
    <n v="200801"/>
    <n v="200801"/>
    <m/>
    <n v="1"/>
    <n v="200801"/>
    <n v="0"/>
  </r>
  <r>
    <x v="386"/>
    <x v="1"/>
    <m/>
    <x v="1"/>
    <x v="3"/>
    <x v="18"/>
    <n v="200801"/>
    <n v="200801"/>
    <m/>
    <n v="1"/>
    <n v="200801"/>
    <n v="0"/>
  </r>
  <r>
    <x v="386"/>
    <x v="1"/>
    <m/>
    <x v="6"/>
    <x v="2"/>
    <x v="37"/>
    <n v="200801"/>
    <n v="200801"/>
    <m/>
    <n v="3"/>
    <n v="200801"/>
    <n v="60000"/>
  </r>
  <r>
    <x v="386"/>
    <x v="1"/>
    <m/>
    <x v="6"/>
    <x v="2"/>
    <x v="42"/>
    <n v="200801"/>
    <n v="200801"/>
    <m/>
    <n v="1"/>
    <n v="200801"/>
    <n v="35000"/>
  </r>
  <r>
    <x v="386"/>
    <x v="1"/>
    <m/>
    <x v="25"/>
    <x v="2"/>
    <x v="34"/>
    <n v="200801"/>
    <n v="200801"/>
    <m/>
    <n v="3"/>
    <n v="200801"/>
    <n v="297000"/>
  </r>
  <r>
    <x v="386"/>
    <x v="1"/>
    <m/>
    <x v="34"/>
    <x v="2"/>
    <x v="105"/>
    <n v="200801"/>
    <n v="200801"/>
    <m/>
    <n v="7"/>
    <n v="200801"/>
    <n v="259700"/>
  </r>
  <r>
    <x v="386"/>
    <x v="1"/>
    <m/>
    <x v="30"/>
    <x v="2"/>
    <x v="99"/>
    <n v="200801"/>
    <n v="200801"/>
    <m/>
    <n v="1"/>
    <n v="200801"/>
    <n v="22400"/>
  </r>
  <r>
    <x v="386"/>
    <x v="1"/>
    <m/>
    <x v="1"/>
    <x v="2"/>
    <x v="18"/>
    <n v="200801"/>
    <n v="200801"/>
    <m/>
    <n v="46"/>
    <n v="200801"/>
    <n v="920000"/>
  </r>
  <r>
    <x v="386"/>
    <x v="1"/>
    <m/>
    <x v="1"/>
    <x v="2"/>
    <x v="21"/>
    <n v="200801"/>
    <n v="200801"/>
    <m/>
    <n v="16"/>
    <n v="200801"/>
    <n v="560000"/>
  </r>
  <r>
    <x v="386"/>
    <x v="1"/>
    <m/>
    <x v="4"/>
    <x v="2"/>
    <x v="27"/>
    <n v="200801"/>
    <n v="200801"/>
    <m/>
    <n v="2"/>
    <n v="200801"/>
    <n v="40000"/>
  </r>
  <r>
    <x v="386"/>
    <x v="1"/>
    <m/>
    <x v="0"/>
    <x v="2"/>
    <x v="15"/>
    <n v="200801"/>
    <n v="200801"/>
    <m/>
    <n v="42"/>
    <n v="200801"/>
    <n v="840000"/>
  </r>
  <r>
    <x v="386"/>
    <x v="1"/>
    <m/>
    <x v="0"/>
    <x v="2"/>
    <x v="16"/>
    <n v="200801"/>
    <n v="200801"/>
    <m/>
    <n v="17"/>
    <n v="200801"/>
    <n v="595000"/>
  </r>
  <r>
    <x v="386"/>
    <x v="1"/>
    <m/>
    <x v="0"/>
    <x v="2"/>
    <x v="17"/>
    <n v="200801"/>
    <n v="200801"/>
    <m/>
    <n v="59"/>
    <n v="200801"/>
    <n v="1947000"/>
  </r>
  <r>
    <x v="386"/>
    <x v="1"/>
    <m/>
    <x v="0"/>
    <x v="2"/>
    <x v="19"/>
    <n v="200801"/>
    <n v="200801"/>
    <m/>
    <n v="24"/>
    <n v="200801"/>
    <n v="72000"/>
  </r>
  <r>
    <x v="386"/>
    <x v="1"/>
    <m/>
    <x v="5"/>
    <x v="2"/>
    <x v="28"/>
    <n v="200801"/>
    <n v="200801"/>
    <m/>
    <n v="11"/>
    <n v="200801"/>
    <n v="308000"/>
  </r>
  <r>
    <x v="386"/>
    <x v="1"/>
    <m/>
    <x v="5"/>
    <x v="2"/>
    <x v="69"/>
    <n v="200801"/>
    <n v="200801"/>
    <m/>
    <n v="1"/>
    <n v="200801"/>
    <n v="48000"/>
  </r>
  <r>
    <x v="386"/>
    <x v="1"/>
    <m/>
    <x v="22"/>
    <x v="2"/>
    <x v="29"/>
    <n v="200801"/>
    <n v="200801"/>
    <m/>
    <n v="5"/>
    <n v="200801"/>
    <n v="190000"/>
  </r>
  <r>
    <x v="386"/>
    <x v="1"/>
    <m/>
    <x v="19"/>
    <x v="2"/>
    <x v="22"/>
    <n v="200801"/>
    <n v="200801"/>
    <m/>
    <n v="6"/>
    <n v="200801"/>
    <n v="78000"/>
  </r>
  <r>
    <x v="386"/>
    <x v="1"/>
    <m/>
    <x v="19"/>
    <x v="2"/>
    <x v="23"/>
    <n v="200801"/>
    <n v="200801"/>
    <m/>
    <n v="2"/>
    <n v="200801"/>
    <n v="48000"/>
  </r>
  <r>
    <x v="386"/>
    <x v="1"/>
    <m/>
    <x v="19"/>
    <x v="2"/>
    <x v="24"/>
    <n v="200801"/>
    <n v="200801"/>
    <m/>
    <n v="1"/>
    <n v="200801"/>
    <n v="33000"/>
  </r>
  <r>
    <x v="386"/>
    <x v="1"/>
    <m/>
    <x v="33"/>
    <x v="2"/>
    <x v="92"/>
    <n v="200801"/>
    <n v="200801"/>
    <m/>
    <n v="2"/>
    <n v="200801"/>
    <n v="36400"/>
  </r>
  <r>
    <x v="387"/>
    <x v="0"/>
    <m/>
    <x v="0"/>
    <x v="1"/>
    <x v="16"/>
    <n v="200801"/>
    <n v="200801"/>
    <m/>
    <n v="7"/>
    <n v="200801"/>
    <n v="245000"/>
  </r>
  <r>
    <x v="387"/>
    <x v="0"/>
    <m/>
    <x v="0"/>
    <x v="7"/>
    <x v="15"/>
    <n v="200801"/>
    <n v="200801"/>
    <m/>
    <n v="1"/>
    <n v="200801"/>
    <n v="20000"/>
  </r>
  <r>
    <x v="387"/>
    <x v="0"/>
    <m/>
    <x v="0"/>
    <x v="5"/>
    <x v="51"/>
    <n v="200801"/>
    <n v="200801"/>
    <m/>
    <n v="20"/>
    <n v="200801"/>
    <n v="225000"/>
  </r>
  <r>
    <x v="387"/>
    <x v="0"/>
    <m/>
    <x v="5"/>
    <x v="5"/>
    <x v="53"/>
    <n v="200801"/>
    <n v="200801"/>
    <m/>
    <n v="20"/>
    <n v="200801"/>
    <n v="297000"/>
  </r>
  <r>
    <x v="387"/>
    <x v="0"/>
    <m/>
    <x v="4"/>
    <x v="5"/>
    <x v="62"/>
    <n v="200801"/>
    <n v="200801"/>
    <m/>
    <n v="8"/>
    <n v="200801"/>
    <n v="144000"/>
  </r>
  <r>
    <x v="387"/>
    <x v="0"/>
    <m/>
    <x v="6"/>
    <x v="5"/>
    <x v="49"/>
    <n v="200801"/>
    <n v="200801"/>
    <m/>
    <n v="10"/>
    <n v="200801"/>
    <n v="112500"/>
  </r>
  <r>
    <x v="387"/>
    <x v="0"/>
    <m/>
    <x v="19"/>
    <x v="5"/>
    <x v="50"/>
    <n v="200801"/>
    <n v="200801"/>
    <m/>
    <n v="20"/>
    <n v="200801"/>
    <n v="144000"/>
  </r>
  <r>
    <x v="387"/>
    <x v="0"/>
    <m/>
    <x v="6"/>
    <x v="2"/>
    <x v="37"/>
    <n v="200801"/>
    <n v="200801"/>
    <m/>
    <n v="5"/>
    <n v="200801"/>
    <n v="100000"/>
  </r>
  <r>
    <x v="387"/>
    <x v="0"/>
    <m/>
    <x v="6"/>
    <x v="2"/>
    <x v="42"/>
    <n v="200801"/>
    <n v="200801"/>
    <m/>
    <n v="1"/>
    <n v="200801"/>
    <n v="35000"/>
  </r>
  <r>
    <x v="387"/>
    <x v="0"/>
    <m/>
    <x v="1"/>
    <x v="2"/>
    <x v="18"/>
    <n v="200801"/>
    <n v="200801"/>
    <m/>
    <n v="27"/>
    <n v="200801"/>
    <n v="540000"/>
  </r>
  <r>
    <x v="387"/>
    <x v="0"/>
    <m/>
    <x v="1"/>
    <x v="2"/>
    <x v="21"/>
    <n v="200801"/>
    <n v="200801"/>
    <m/>
    <n v="4"/>
    <n v="200801"/>
    <n v="140000"/>
  </r>
  <r>
    <x v="387"/>
    <x v="0"/>
    <m/>
    <x v="4"/>
    <x v="2"/>
    <x v="26"/>
    <n v="200801"/>
    <n v="200801"/>
    <m/>
    <n v="9"/>
    <n v="200801"/>
    <n v="36000"/>
  </r>
  <r>
    <x v="387"/>
    <x v="0"/>
    <m/>
    <x v="4"/>
    <x v="2"/>
    <x v="27"/>
    <n v="200801"/>
    <n v="200801"/>
    <m/>
    <n v="2"/>
    <n v="200801"/>
    <n v="40000"/>
  </r>
  <r>
    <x v="387"/>
    <x v="0"/>
    <m/>
    <x v="0"/>
    <x v="2"/>
    <x v="15"/>
    <n v="200801"/>
    <n v="200801"/>
    <m/>
    <n v="37"/>
    <n v="200801"/>
    <n v="740000"/>
  </r>
  <r>
    <x v="387"/>
    <x v="0"/>
    <m/>
    <x v="0"/>
    <x v="2"/>
    <x v="16"/>
    <n v="200801"/>
    <n v="200801"/>
    <m/>
    <n v="11"/>
    <n v="200801"/>
    <n v="385000"/>
  </r>
  <r>
    <x v="387"/>
    <x v="0"/>
    <m/>
    <x v="0"/>
    <x v="2"/>
    <x v="17"/>
    <n v="200801"/>
    <n v="200801"/>
    <m/>
    <n v="56"/>
    <n v="200801"/>
    <n v="1848000"/>
  </r>
  <r>
    <x v="387"/>
    <x v="0"/>
    <m/>
    <x v="0"/>
    <x v="2"/>
    <x v="19"/>
    <n v="200801"/>
    <n v="200801"/>
    <m/>
    <n v="28"/>
    <n v="200801"/>
    <n v="84000"/>
  </r>
  <r>
    <x v="387"/>
    <x v="0"/>
    <m/>
    <x v="5"/>
    <x v="2"/>
    <x v="28"/>
    <n v="200801"/>
    <n v="200801"/>
    <m/>
    <n v="13"/>
    <n v="200801"/>
    <n v="364000"/>
  </r>
  <r>
    <x v="387"/>
    <x v="0"/>
    <m/>
    <x v="5"/>
    <x v="2"/>
    <x v="69"/>
    <n v="200801"/>
    <n v="200801"/>
    <m/>
    <n v="6"/>
    <n v="200801"/>
    <n v="288000"/>
  </r>
  <r>
    <x v="387"/>
    <x v="0"/>
    <m/>
    <x v="22"/>
    <x v="2"/>
    <x v="29"/>
    <n v="200801"/>
    <n v="200801"/>
    <m/>
    <n v="1"/>
    <n v="200801"/>
    <n v="38000"/>
  </r>
  <r>
    <x v="387"/>
    <x v="0"/>
    <m/>
    <x v="19"/>
    <x v="2"/>
    <x v="22"/>
    <n v="200801"/>
    <n v="200801"/>
    <m/>
    <n v="9"/>
    <n v="200801"/>
    <n v="117000"/>
  </r>
  <r>
    <x v="387"/>
    <x v="0"/>
    <m/>
    <x v="19"/>
    <x v="2"/>
    <x v="23"/>
    <n v="200801"/>
    <n v="200801"/>
    <m/>
    <n v="2"/>
    <n v="200801"/>
    <n v="48000"/>
  </r>
  <r>
    <x v="387"/>
    <x v="0"/>
    <m/>
    <x v="19"/>
    <x v="2"/>
    <x v="24"/>
    <n v="200801"/>
    <n v="200801"/>
    <m/>
    <n v="1"/>
    <n v="200801"/>
    <n v="33000"/>
  </r>
  <r>
    <x v="387"/>
    <x v="0"/>
    <m/>
    <x v="33"/>
    <x v="2"/>
    <x v="92"/>
    <n v="200801"/>
    <n v="200801"/>
    <m/>
    <n v="1"/>
    <n v="200801"/>
    <n v="18200"/>
  </r>
  <r>
    <x v="387"/>
    <x v="0"/>
    <m/>
    <x v="6"/>
    <x v="9"/>
    <x v="37"/>
    <n v="200801"/>
    <n v="200801"/>
    <m/>
    <n v="1"/>
    <n v="200801"/>
    <n v="20000"/>
  </r>
  <r>
    <x v="390"/>
    <x v="6"/>
    <m/>
    <x v="0"/>
    <x v="6"/>
    <x v="15"/>
    <n v="200801"/>
    <n v="200801"/>
    <m/>
    <n v="92"/>
    <n v="200801"/>
    <n v="834256"/>
  </r>
  <r>
    <x v="390"/>
    <x v="6"/>
    <m/>
    <x v="0"/>
    <x v="6"/>
    <x v="17"/>
    <n v="200801"/>
    <n v="200801"/>
    <m/>
    <n v="432"/>
    <n v="200801"/>
    <n v="6833376"/>
  </r>
  <r>
    <x v="390"/>
    <x v="6"/>
    <m/>
    <x v="4"/>
    <x v="6"/>
    <x v="26"/>
    <n v="200801"/>
    <n v="200801"/>
    <m/>
    <n v="459"/>
    <n v="200801"/>
    <n v="492507"/>
  </r>
  <r>
    <x v="390"/>
    <x v="6"/>
    <m/>
    <x v="26"/>
    <x v="6"/>
    <x v="35"/>
    <n v="200801"/>
    <n v="200801"/>
    <m/>
    <n v="33"/>
    <n v="200801"/>
    <n v="565323"/>
  </r>
  <r>
    <x v="390"/>
    <x v="6"/>
    <m/>
    <x v="22"/>
    <x v="6"/>
    <x v="29"/>
    <n v="200801"/>
    <n v="200801"/>
    <m/>
    <n v="28"/>
    <n v="200801"/>
    <n v="551348"/>
  </r>
  <r>
    <x v="390"/>
    <x v="6"/>
    <m/>
    <x v="24"/>
    <x v="6"/>
    <x v="31"/>
    <n v="200801"/>
    <n v="200801"/>
    <m/>
    <n v="92"/>
    <n v="200801"/>
    <n v="1368684"/>
  </r>
  <r>
    <x v="390"/>
    <x v="6"/>
    <m/>
    <x v="23"/>
    <x v="6"/>
    <x v="30"/>
    <n v="200801"/>
    <n v="200801"/>
    <m/>
    <n v="6"/>
    <n v="200801"/>
    <n v="41784"/>
  </r>
  <r>
    <x v="390"/>
    <x v="6"/>
    <m/>
    <x v="19"/>
    <x v="6"/>
    <x v="22"/>
    <n v="200801"/>
    <n v="200801"/>
    <m/>
    <n v="53"/>
    <n v="200801"/>
    <n v="359923"/>
  </r>
  <r>
    <x v="390"/>
    <x v="6"/>
    <m/>
    <x v="6"/>
    <x v="6"/>
    <x v="37"/>
    <n v="200801"/>
    <n v="200801"/>
    <m/>
    <n v="16"/>
    <n v="200801"/>
    <n v="160000"/>
  </r>
  <r>
    <x v="390"/>
    <x v="6"/>
    <m/>
    <x v="28"/>
    <x v="6"/>
    <x v="39"/>
    <n v="200801"/>
    <n v="200801"/>
    <m/>
    <n v="5"/>
    <n v="200801"/>
    <n v="79090"/>
  </r>
  <r>
    <x v="390"/>
    <x v="6"/>
    <m/>
    <x v="4"/>
    <x v="6"/>
    <x v="66"/>
    <n v="200801"/>
    <n v="200801"/>
    <m/>
    <n v="37"/>
    <n v="200801"/>
    <n v="207089"/>
  </r>
  <r>
    <x v="390"/>
    <x v="6"/>
    <m/>
    <x v="33"/>
    <x v="6"/>
    <x v="106"/>
    <n v="200801"/>
    <n v="200801"/>
    <m/>
    <n v="13"/>
    <n v="200801"/>
    <n v="126750"/>
  </r>
  <r>
    <x v="390"/>
    <x v="6"/>
    <m/>
    <x v="31"/>
    <x v="6"/>
    <x v="103"/>
    <n v="200801"/>
    <n v="200801"/>
    <m/>
    <n v="61"/>
    <n v="200801"/>
    <n v="683200"/>
  </r>
  <r>
    <x v="390"/>
    <x v="6"/>
    <m/>
    <x v="30"/>
    <x v="6"/>
    <x v="104"/>
    <n v="200801"/>
    <n v="200801"/>
    <m/>
    <n v="101"/>
    <n v="200801"/>
    <n v="1131200"/>
  </r>
  <r>
    <x v="390"/>
    <x v="6"/>
    <m/>
    <x v="5"/>
    <x v="6"/>
    <x v="28"/>
    <n v="200801"/>
    <n v="200801"/>
    <m/>
    <n v="13"/>
    <n v="200801"/>
    <n v="189800"/>
  </r>
  <r>
    <x v="388"/>
    <x v="2"/>
    <m/>
    <x v="0"/>
    <x v="1"/>
    <x v="15"/>
    <n v="200801"/>
    <n v="200801"/>
    <m/>
    <n v="1"/>
    <n v="200801"/>
    <n v="20000"/>
  </r>
  <r>
    <x v="388"/>
    <x v="2"/>
    <m/>
    <x v="0"/>
    <x v="1"/>
    <x v="16"/>
    <n v="200801"/>
    <n v="200801"/>
    <m/>
    <n v="3"/>
    <n v="200801"/>
    <n v="105000"/>
  </r>
  <r>
    <x v="388"/>
    <x v="2"/>
    <m/>
    <x v="0"/>
    <x v="7"/>
    <x v="15"/>
    <n v="200801"/>
    <n v="200801"/>
    <m/>
    <n v="1"/>
    <n v="200801"/>
    <n v="20000"/>
  </r>
  <r>
    <x v="388"/>
    <x v="2"/>
    <m/>
    <x v="6"/>
    <x v="2"/>
    <x v="37"/>
    <n v="200801"/>
    <n v="200801"/>
    <m/>
    <n v="2"/>
    <n v="200801"/>
    <n v="40000"/>
  </r>
  <r>
    <x v="388"/>
    <x v="2"/>
    <m/>
    <x v="6"/>
    <x v="2"/>
    <x v="42"/>
    <n v="200801"/>
    <n v="200801"/>
    <m/>
    <n v="1"/>
    <n v="200801"/>
    <n v="35000"/>
  </r>
  <r>
    <x v="388"/>
    <x v="2"/>
    <m/>
    <x v="25"/>
    <x v="2"/>
    <x v="34"/>
    <n v="200801"/>
    <n v="200801"/>
    <m/>
    <n v="1"/>
    <n v="200801"/>
    <n v="99000"/>
  </r>
  <r>
    <x v="388"/>
    <x v="2"/>
    <m/>
    <x v="31"/>
    <x v="2"/>
    <x v="95"/>
    <n v="200801"/>
    <n v="200801"/>
    <m/>
    <n v="11"/>
    <n v="200801"/>
    <n v="246400"/>
  </r>
  <r>
    <x v="388"/>
    <x v="2"/>
    <m/>
    <x v="31"/>
    <x v="2"/>
    <x v="96"/>
    <n v="200801"/>
    <n v="200801"/>
    <m/>
    <n v="8"/>
    <n v="200801"/>
    <n v="313600"/>
  </r>
  <r>
    <x v="388"/>
    <x v="2"/>
    <m/>
    <x v="32"/>
    <x v="2"/>
    <x v="97"/>
    <n v="200801"/>
    <n v="200801"/>
    <m/>
    <n v="5"/>
    <n v="200801"/>
    <n v="185500"/>
  </r>
  <r>
    <x v="388"/>
    <x v="2"/>
    <m/>
    <x v="1"/>
    <x v="2"/>
    <x v="18"/>
    <n v="200801"/>
    <n v="200801"/>
    <m/>
    <n v="12"/>
    <n v="200801"/>
    <n v="240000"/>
  </r>
  <r>
    <x v="388"/>
    <x v="2"/>
    <m/>
    <x v="1"/>
    <x v="2"/>
    <x v="21"/>
    <n v="200801"/>
    <n v="200801"/>
    <m/>
    <n v="3"/>
    <n v="200801"/>
    <n v="105000"/>
  </r>
  <r>
    <x v="388"/>
    <x v="2"/>
    <m/>
    <x v="4"/>
    <x v="2"/>
    <x v="27"/>
    <n v="200801"/>
    <n v="200801"/>
    <m/>
    <n v="3"/>
    <n v="200801"/>
    <n v="60000"/>
  </r>
  <r>
    <x v="388"/>
    <x v="2"/>
    <m/>
    <x v="0"/>
    <x v="2"/>
    <x v="15"/>
    <n v="200801"/>
    <n v="200801"/>
    <m/>
    <n v="20"/>
    <n v="200801"/>
    <n v="400000"/>
  </r>
  <r>
    <x v="388"/>
    <x v="2"/>
    <m/>
    <x v="0"/>
    <x v="2"/>
    <x v="16"/>
    <n v="200801"/>
    <n v="200801"/>
    <m/>
    <n v="31"/>
    <n v="200801"/>
    <n v="1085000"/>
  </r>
  <r>
    <x v="388"/>
    <x v="2"/>
    <m/>
    <x v="0"/>
    <x v="2"/>
    <x v="17"/>
    <n v="200801"/>
    <n v="200801"/>
    <m/>
    <n v="37"/>
    <n v="200801"/>
    <n v="1221000"/>
  </r>
  <r>
    <x v="388"/>
    <x v="2"/>
    <m/>
    <x v="0"/>
    <x v="2"/>
    <x v="19"/>
    <n v="200801"/>
    <n v="200801"/>
    <m/>
    <n v="12"/>
    <n v="200801"/>
    <n v="36000"/>
  </r>
  <r>
    <x v="388"/>
    <x v="2"/>
    <m/>
    <x v="5"/>
    <x v="2"/>
    <x v="28"/>
    <n v="200801"/>
    <n v="200801"/>
    <m/>
    <n v="6"/>
    <n v="200801"/>
    <n v="168000"/>
  </r>
  <r>
    <x v="388"/>
    <x v="2"/>
    <m/>
    <x v="5"/>
    <x v="2"/>
    <x v="69"/>
    <n v="200801"/>
    <n v="200801"/>
    <m/>
    <n v="3"/>
    <n v="200801"/>
    <n v="144000"/>
  </r>
  <r>
    <x v="388"/>
    <x v="2"/>
    <m/>
    <x v="22"/>
    <x v="2"/>
    <x v="29"/>
    <n v="200801"/>
    <n v="200801"/>
    <m/>
    <n v="5"/>
    <n v="200801"/>
    <n v="190000"/>
  </r>
  <r>
    <x v="388"/>
    <x v="2"/>
    <m/>
    <x v="19"/>
    <x v="2"/>
    <x v="22"/>
    <n v="200801"/>
    <n v="200801"/>
    <m/>
    <n v="3"/>
    <n v="200801"/>
    <n v="39000"/>
  </r>
  <r>
    <x v="388"/>
    <x v="2"/>
    <m/>
    <x v="1"/>
    <x v="9"/>
    <x v="18"/>
    <n v="200801"/>
    <n v="200801"/>
    <m/>
    <n v="1"/>
    <n v="200801"/>
    <n v="20000"/>
  </r>
  <r>
    <x v="389"/>
    <x v="5"/>
    <m/>
    <x v="0"/>
    <x v="7"/>
    <x v="15"/>
    <n v="200801"/>
    <n v="200801"/>
    <m/>
    <n v="6"/>
    <n v="200801"/>
    <n v="120000"/>
  </r>
  <r>
    <x v="389"/>
    <x v="5"/>
    <m/>
    <x v="6"/>
    <x v="2"/>
    <x v="37"/>
    <n v="200801"/>
    <n v="200801"/>
    <m/>
    <n v="1"/>
    <n v="200801"/>
    <n v="20000"/>
  </r>
  <r>
    <x v="389"/>
    <x v="5"/>
    <m/>
    <x v="25"/>
    <x v="2"/>
    <x v="34"/>
    <n v="200801"/>
    <n v="200801"/>
    <m/>
    <n v="3"/>
    <n v="200801"/>
    <n v="297000"/>
  </r>
  <r>
    <x v="389"/>
    <x v="5"/>
    <m/>
    <x v="31"/>
    <x v="2"/>
    <x v="95"/>
    <n v="200801"/>
    <n v="200801"/>
    <m/>
    <n v="26"/>
    <n v="200801"/>
    <n v="582400"/>
  </r>
  <r>
    <x v="389"/>
    <x v="5"/>
    <m/>
    <x v="31"/>
    <x v="2"/>
    <x v="96"/>
    <n v="200801"/>
    <n v="200801"/>
    <m/>
    <n v="18"/>
    <n v="200801"/>
    <n v="705600"/>
  </r>
  <r>
    <x v="389"/>
    <x v="5"/>
    <m/>
    <x v="32"/>
    <x v="2"/>
    <x v="97"/>
    <n v="200801"/>
    <n v="200801"/>
    <m/>
    <n v="13"/>
    <n v="200801"/>
    <n v="482300"/>
  </r>
  <r>
    <x v="389"/>
    <x v="5"/>
    <m/>
    <x v="1"/>
    <x v="2"/>
    <x v="18"/>
    <n v="200801"/>
    <n v="200801"/>
    <m/>
    <n v="12"/>
    <n v="200801"/>
    <n v="240000"/>
  </r>
  <r>
    <x v="389"/>
    <x v="5"/>
    <m/>
    <x v="1"/>
    <x v="2"/>
    <x v="21"/>
    <n v="200801"/>
    <n v="200801"/>
    <m/>
    <n v="5"/>
    <n v="200801"/>
    <n v="175000"/>
  </r>
  <r>
    <x v="389"/>
    <x v="5"/>
    <m/>
    <x v="4"/>
    <x v="2"/>
    <x v="26"/>
    <n v="200801"/>
    <n v="200801"/>
    <m/>
    <n v="5"/>
    <n v="200801"/>
    <n v="20000"/>
  </r>
  <r>
    <x v="389"/>
    <x v="5"/>
    <m/>
    <x v="4"/>
    <x v="2"/>
    <x v="27"/>
    <n v="200801"/>
    <n v="200801"/>
    <m/>
    <n v="6"/>
    <n v="200801"/>
    <n v="120000"/>
  </r>
  <r>
    <x v="389"/>
    <x v="5"/>
    <m/>
    <x v="0"/>
    <x v="2"/>
    <x v="15"/>
    <n v="200801"/>
    <n v="200801"/>
    <m/>
    <n v="13"/>
    <n v="200801"/>
    <n v="260000"/>
  </r>
  <r>
    <x v="389"/>
    <x v="5"/>
    <m/>
    <x v="0"/>
    <x v="2"/>
    <x v="16"/>
    <n v="200801"/>
    <n v="200801"/>
    <m/>
    <n v="7"/>
    <n v="200801"/>
    <n v="245000"/>
  </r>
  <r>
    <x v="389"/>
    <x v="5"/>
    <m/>
    <x v="0"/>
    <x v="2"/>
    <x v="17"/>
    <n v="200801"/>
    <n v="200801"/>
    <m/>
    <n v="41"/>
    <n v="200801"/>
    <n v="1353000"/>
  </r>
  <r>
    <x v="389"/>
    <x v="5"/>
    <m/>
    <x v="0"/>
    <x v="2"/>
    <x v="19"/>
    <n v="200801"/>
    <n v="200801"/>
    <m/>
    <n v="21"/>
    <n v="200801"/>
    <n v="63000"/>
  </r>
  <r>
    <x v="389"/>
    <x v="5"/>
    <m/>
    <x v="5"/>
    <x v="2"/>
    <x v="28"/>
    <n v="200801"/>
    <n v="200801"/>
    <m/>
    <n v="17"/>
    <n v="200801"/>
    <n v="476000"/>
  </r>
  <r>
    <x v="389"/>
    <x v="5"/>
    <m/>
    <x v="5"/>
    <x v="2"/>
    <x v="69"/>
    <n v="200801"/>
    <n v="200801"/>
    <m/>
    <n v="3"/>
    <n v="200801"/>
    <n v="144000"/>
  </r>
  <r>
    <x v="389"/>
    <x v="5"/>
    <m/>
    <x v="22"/>
    <x v="2"/>
    <x v="29"/>
    <n v="200801"/>
    <n v="200801"/>
    <m/>
    <n v="5"/>
    <n v="200801"/>
    <n v="190000"/>
  </r>
  <r>
    <x v="389"/>
    <x v="5"/>
    <m/>
    <x v="19"/>
    <x v="2"/>
    <x v="22"/>
    <n v="200801"/>
    <n v="200801"/>
    <m/>
    <n v="10"/>
    <n v="200801"/>
    <n v="130000"/>
  </r>
  <r>
    <x v="389"/>
    <x v="5"/>
    <m/>
    <x v="19"/>
    <x v="2"/>
    <x v="24"/>
    <n v="200801"/>
    <n v="200801"/>
    <m/>
    <n v="2"/>
    <n v="200801"/>
    <n v="66000"/>
  </r>
  <r>
    <x v="389"/>
    <x v="5"/>
    <m/>
    <x v="33"/>
    <x v="2"/>
    <x v="92"/>
    <n v="200801"/>
    <n v="200801"/>
    <m/>
    <n v="2"/>
    <n v="200801"/>
    <n v="36400"/>
  </r>
  <r>
    <x v="389"/>
    <x v="5"/>
    <m/>
    <x v="0"/>
    <x v="9"/>
    <x v="15"/>
    <n v="200801"/>
    <n v="200801"/>
    <m/>
    <n v="2"/>
    <n v="200801"/>
    <n v="40000"/>
  </r>
  <r>
    <x v="390"/>
    <x v="6"/>
    <m/>
    <x v="0"/>
    <x v="7"/>
    <x v="15"/>
    <n v="200801"/>
    <n v="200801"/>
    <m/>
    <n v="2"/>
    <n v="200801"/>
    <n v="40000"/>
  </r>
  <r>
    <x v="390"/>
    <x v="6"/>
    <m/>
    <x v="6"/>
    <x v="2"/>
    <x v="37"/>
    <n v="200801"/>
    <n v="200801"/>
    <m/>
    <n v="5"/>
    <n v="200801"/>
    <n v="100000"/>
  </r>
  <r>
    <x v="390"/>
    <x v="6"/>
    <m/>
    <x v="25"/>
    <x v="2"/>
    <x v="34"/>
    <n v="200801"/>
    <n v="200801"/>
    <m/>
    <n v="5"/>
    <n v="200801"/>
    <n v="495000"/>
  </r>
  <r>
    <x v="390"/>
    <x v="6"/>
    <m/>
    <x v="31"/>
    <x v="2"/>
    <x v="95"/>
    <n v="200801"/>
    <n v="200801"/>
    <m/>
    <n v="22"/>
    <n v="200801"/>
    <n v="492800"/>
  </r>
  <r>
    <x v="390"/>
    <x v="6"/>
    <m/>
    <x v="31"/>
    <x v="2"/>
    <x v="96"/>
    <n v="200801"/>
    <n v="200801"/>
    <m/>
    <n v="17"/>
    <n v="200801"/>
    <n v="666400"/>
  </r>
  <r>
    <x v="390"/>
    <x v="6"/>
    <m/>
    <x v="32"/>
    <x v="2"/>
    <x v="97"/>
    <n v="200801"/>
    <n v="200801"/>
    <m/>
    <n v="17"/>
    <n v="200801"/>
    <n v="630700"/>
  </r>
  <r>
    <x v="390"/>
    <x v="6"/>
    <m/>
    <x v="1"/>
    <x v="2"/>
    <x v="18"/>
    <n v="200801"/>
    <n v="200801"/>
    <m/>
    <n v="8"/>
    <n v="200801"/>
    <n v="160000"/>
  </r>
  <r>
    <x v="390"/>
    <x v="6"/>
    <m/>
    <x v="1"/>
    <x v="2"/>
    <x v="21"/>
    <n v="200801"/>
    <n v="200801"/>
    <m/>
    <n v="1"/>
    <n v="200801"/>
    <n v="35000"/>
  </r>
  <r>
    <x v="390"/>
    <x v="6"/>
    <m/>
    <x v="4"/>
    <x v="2"/>
    <x v="27"/>
    <n v="200801"/>
    <n v="200801"/>
    <m/>
    <n v="4"/>
    <n v="200801"/>
    <n v="80000"/>
  </r>
  <r>
    <x v="390"/>
    <x v="6"/>
    <m/>
    <x v="0"/>
    <x v="2"/>
    <x v="15"/>
    <n v="200801"/>
    <n v="200801"/>
    <m/>
    <n v="38"/>
    <n v="200801"/>
    <n v="760000"/>
  </r>
  <r>
    <x v="390"/>
    <x v="6"/>
    <m/>
    <x v="0"/>
    <x v="2"/>
    <x v="16"/>
    <n v="200801"/>
    <n v="200801"/>
    <m/>
    <n v="3"/>
    <n v="200801"/>
    <n v="105000"/>
  </r>
  <r>
    <x v="390"/>
    <x v="6"/>
    <m/>
    <x v="0"/>
    <x v="2"/>
    <x v="17"/>
    <n v="200801"/>
    <n v="200801"/>
    <m/>
    <n v="55"/>
    <n v="200801"/>
    <n v="1815000"/>
  </r>
  <r>
    <x v="390"/>
    <x v="6"/>
    <m/>
    <x v="0"/>
    <x v="2"/>
    <x v="19"/>
    <n v="200801"/>
    <n v="200801"/>
    <m/>
    <n v="27"/>
    <n v="200801"/>
    <n v="81000"/>
  </r>
  <r>
    <x v="390"/>
    <x v="6"/>
    <m/>
    <x v="5"/>
    <x v="2"/>
    <x v="28"/>
    <n v="200801"/>
    <n v="200801"/>
    <m/>
    <n v="13"/>
    <n v="200801"/>
    <n v="364000"/>
  </r>
  <r>
    <x v="390"/>
    <x v="6"/>
    <m/>
    <x v="5"/>
    <x v="2"/>
    <x v="69"/>
    <n v="200801"/>
    <n v="200801"/>
    <m/>
    <n v="3"/>
    <n v="200801"/>
    <n v="144000"/>
  </r>
  <r>
    <x v="390"/>
    <x v="6"/>
    <m/>
    <x v="22"/>
    <x v="2"/>
    <x v="29"/>
    <n v="200801"/>
    <n v="200801"/>
    <m/>
    <n v="11"/>
    <n v="200801"/>
    <n v="418000"/>
  </r>
  <r>
    <x v="390"/>
    <x v="6"/>
    <m/>
    <x v="19"/>
    <x v="2"/>
    <x v="22"/>
    <n v="200801"/>
    <n v="200801"/>
    <m/>
    <n v="9"/>
    <n v="200801"/>
    <n v="117000"/>
  </r>
  <r>
    <x v="390"/>
    <x v="6"/>
    <m/>
    <x v="19"/>
    <x v="2"/>
    <x v="23"/>
    <n v="200801"/>
    <n v="200801"/>
    <m/>
    <n v="5"/>
    <n v="200801"/>
    <n v="120000"/>
  </r>
  <r>
    <x v="390"/>
    <x v="6"/>
    <m/>
    <x v="19"/>
    <x v="2"/>
    <x v="24"/>
    <n v="200801"/>
    <n v="200801"/>
    <m/>
    <n v="2"/>
    <n v="200801"/>
    <n v="66000"/>
  </r>
  <r>
    <x v="390"/>
    <x v="6"/>
    <m/>
    <x v="33"/>
    <x v="2"/>
    <x v="92"/>
    <n v="200801"/>
    <n v="200801"/>
    <m/>
    <n v="1"/>
    <n v="200801"/>
    <n v="18200"/>
  </r>
  <r>
    <x v="390"/>
    <x v="6"/>
    <m/>
    <x v="33"/>
    <x v="2"/>
    <x v="93"/>
    <n v="200801"/>
    <n v="200801"/>
    <m/>
    <n v="2"/>
    <n v="200801"/>
    <n v="67600"/>
  </r>
  <r>
    <x v="390"/>
    <x v="6"/>
    <m/>
    <x v="5"/>
    <x v="9"/>
    <x v="28"/>
    <n v="200801"/>
    <n v="200801"/>
    <m/>
    <n v="1"/>
    <n v="200801"/>
    <n v="28000"/>
  </r>
  <r>
    <x v="390"/>
    <x v="6"/>
    <m/>
    <x v="0"/>
    <x v="9"/>
    <x v="15"/>
    <n v="200801"/>
    <n v="200801"/>
    <m/>
    <n v="1"/>
    <n v="200801"/>
    <n v="20000"/>
  </r>
  <r>
    <x v="390"/>
    <x v="6"/>
    <m/>
    <x v="19"/>
    <x v="9"/>
    <x v="22"/>
    <n v="200801"/>
    <n v="200801"/>
    <m/>
    <n v="1"/>
    <n v="200801"/>
    <n v="13000"/>
  </r>
  <r>
    <x v="391"/>
    <x v="3"/>
    <m/>
    <x v="0"/>
    <x v="1"/>
    <x v="15"/>
    <n v="200801"/>
    <n v="200801"/>
    <m/>
    <n v="2"/>
    <n v="200801"/>
    <n v="40000"/>
  </r>
  <r>
    <x v="391"/>
    <x v="3"/>
    <m/>
    <x v="0"/>
    <x v="1"/>
    <x v="16"/>
    <n v="200801"/>
    <n v="200801"/>
    <m/>
    <n v="19"/>
    <n v="200801"/>
    <n v="665000"/>
  </r>
  <r>
    <x v="391"/>
    <x v="3"/>
    <m/>
    <x v="0"/>
    <x v="7"/>
    <x v="15"/>
    <n v="200801"/>
    <n v="200801"/>
    <m/>
    <n v="3"/>
    <n v="200801"/>
    <n v="60000"/>
  </r>
  <r>
    <x v="391"/>
    <x v="3"/>
    <m/>
    <x v="31"/>
    <x v="3"/>
    <x v="88"/>
    <n v="200801"/>
    <n v="200801"/>
    <m/>
    <n v="45"/>
    <n v="200801"/>
    <n v="0"/>
  </r>
  <r>
    <x v="391"/>
    <x v="3"/>
    <m/>
    <x v="0"/>
    <x v="3"/>
    <x v="15"/>
    <n v="200801"/>
    <n v="200801"/>
    <m/>
    <n v="25"/>
    <n v="200801"/>
    <n v="0"/>
  </r>
  <r>
    <x v="391"/>
    <x v="3"/>
    <m/>
    <x v="5"/>
    <x v="3"/>
    <x v="28"/>
    <n v="200801"/>
    <n v="200801"/>
    <m/>
    <n v="25"/>
    <n v="200801"/>
    <n v="0"/>
  </r>
  <r>
    <x v="391"/>
    <x v="3"/>
    <m/>
    <x v="22"/>
    <x v="3"/>
    <x v="29"/>
    <n v="200801"/>
    <n v="200801"/>
    <m/>
    <n v="25"/>
    <n v="200801"/>
    <n v="0"/>
  </r>
  <r>
    <x v="391"/>
    <x v="3"/>
    <m/>
    <x v="6"/>
    <x v="2"/>
    <x v="37"/>
    <n v="200801"/>
    <n v="200801"/>
    <m/>
    <n v="6"/>
    <n v="200801"/>
    <n v="120000"/>
  </r>
  <r>
    <x v="391"/>
    <x v="3"/>
    <m/>
    <x v="25"/>
    <x v="2"/>
    <x v="34"/>
    <n v="200801"/>
    <n v="200801"/>
    <m/>
    <n v="4"/>
    <n v="200801"/>
    <n v="396000"/>
  </r>
  <r>
    <x v="391"/>
    <x v="3"/>
    <m/>
    <x v="31"/>
    <x v="2"/>
    <x v="95"/>
    <n v="200801"/>
    <n v="200801"/>
    <m/>
    <n v="45"/>
    <n v="200801"/>
    <n v="1008000"/>
  </r>
  <r>
    <x v="391"/>
    <x v="3"/>
    <m/>
    <x v="31"/>
    <x v="2"/>
    <x v="96"/>
    <n v="200801"/>
    <n v="200801"/>
    <m/>
    <n v="117"/>
    <n v="200801"/>
    <n v="4586400"/>
  </r>
  <r>
    <x v="391"/>
    <x v="3"/>
    <m/>
    <x v="32"/>
    <x v="2"/>
    <x v="97"/>
    <n v="200801"/>
    <n v="200801"/>
    <m/>
    <n v="53"/>
    <n v="200801"/>
    <n v="1966300"/>
  </r>
  <r>
    <x v="391"/>
    <x v="3"/>
    <m/>
    <x v="1"/>
    <x v="2"/>
    <x v="18"/>
    <n v="200801"/>
    <n v="200801"/>
    <m/>
    <n v="13"/>
    <n v="200801"/>
    <n v="260000"/>
  </r>
  <r>
    <x v="391"/>
    <x v="3"/>
    <m/>
    <x v="1"/>
    <x v="2"/>
    <x v="21"/>
    <n v="200801"/>
    <n v="200801"/>
    <m/>
    <n v="6"/>
    <n v="200801"/>
    <n v="210000"/>
  </r>
  <r>
    <x v="391"/>
    <x v="3"/>
    <m/>
    <x v="4"/>
    <x v="2"/>
    <x v="26"/>
    <n v="200801"/>
    <n v="200801"/>
    <m/>
    <n v="5"/>
    <n v="200801"/>
    <n v="20000"/>
  </r>
  <r>
    <x v="391"/>
    <x v="3"/>
    <m/>
    <x v="4"/>
    <x v="2"/>
    <x v="27"/>
    <n v="200801"/>
    <n v="200801"/>
    <m/>
    <n v="14"/>
    <n v="200801"/>
    <n v="280000"/>
  </r>
  <r>
    <x v="391"/>
    <x v="3"/>
    <m/>
    <x v="0"/>
    <x v="2"/>
    <x v="15"/>
    <n v="200801"/>
    <n v="200801"/>
    <m/>
    <n v="35"/>
    <n v="200801"/>
    <n v="700000"/>
  </r>
  <r>
    <x v="391"/>
    <x v="3"/>
    <m/>
    <x v="0"/>
    <x v="2"/>
    <x v="16"/>
    <n v="200801"/>
    <n v="200801"/>
    <m/>
    <n v="17"/>
    <n v="200801"/>
    <n v="595000"/>
  </r>
  <r>
    <x v="391"/>
    <x v="3"/>
    <m/>
    <x v="0"/>
    <x v="2"/>
    <x v="17"/>
    <n v="200801"/>
    <n v="200801"/>
    <m/>
    <n v="73"/>
    <n v="200801"/>
    <n v="2409000"/>
  </r>
  <r>
    <x v="391"/>
    <x v="3"/>
    <m/>
    <x v="0"/>
    <x v="2"/>
    <x v="19"/>
    <n v="200801"/>
    <n v="200801"/>
    <m/>
    <n v="47"/>
    <n v="200801"/>
    <n v="141000"/>
  </r>
  <r>
    <x v="391"/>
    <x v="3"/>
    <m/>
    <x v="5"/>
    <x v="2"/>
    <x v="28"/>
    <n v="200801"/>
    <n v="200801"/>
    <m/>
    <n v="18"/>
    <n v="200801"/>
    <n v="504000"/>
  </r>
  <r>
    <x v="391"/>
    <x v="3"/>
    <m/>
    <x v="5"/>
    <x v="2"/>
    <x v="69"/>
    <n v="200801"/>
    <n v="200801"/>
    <m/>
    <n v="13"/>
    <n v="200801"/>
    <n v="624000"/>
  </r>
  <r>
    <x v="391"/>
    <x v="3"/>
    <m/>
    <x v="22"/>
    <x v="2"/>
    <x v="29"/>
    <n v="200801"/>
    <n v="200801"/>
    <m/>
    <n v="8"/>
    <n v="200801"/>
    <n v="304000"/>
  </r>
  <r>
    <x v="391"/>
    <x v="3"/>
    <m/>
    <x v="19"/>
    <x v="2"/>
    <x v="22"/>
    <n v="200801"/>
    <n v="200801"/>
    <m/>
    <n v="16"/>
    <n v="200801"/>
    <n v="208000"/>
  </r>
  <r>
    <x v="391"/>
    <x v="3"/>
    <m/>
    <x v="19"/>
    <x v="2"/>
    <x v="23"/>
    <n v="200801"/>
    <n v="200801"/>
    <m/>
    <n v="6"/>
    <n v="200801"/>
    <n v="144000"/>
  </r>
  <r>
    <x v="391"/>
    <x v="3"/>
    <m/>
    <x v="19"/>
    <x v="2"/>
    <x v="24"/>
    <n v="200801"/>
    <n v="200801"/>
    <m/>
    <n v="3"/>
    <n v="200801"/>
    <n v="99000"/>
  </r>
  <r>
    <x v="391"/>
    <x v="3"/>
    <m/>
    <x v="33"/>
    <x v="2"/>
    <x v="92"/>
    <n v="200801"/>
    <n v="200801"/>
    <m/>
    <n v="2"/>
    <n v="200801"/>
    <n v="36400"/>
  </r>
  <r>
    <x v="391"/>
    <x v="3"/>
    <m/>
    <x v="5"/>
    <x v="9"/>
    <x v="28"/>
    <n v="200801"/>
    <n v="200801"/>
    <m/>
    <n v="1"/>
    <n v="200801"/>
    <n v="28000"/>
  </r>
  <r>
    <x v="391"/>
    <x v="3"/>
    <m/>
    <x v="0"/>
    <x v="9"/>
    <x v="15"/>
    <n v="200801"/>
    <n v="200801"/>
    <m/>
    <n v="6"/>
    <n v="200801"/>
    <n v="120000"/>
  </r>
  <r>
    <x v="392"/>
    <x v="4"/>
    <m/>
    <x v="0"/>
    <x v="1"/>
    <x v="15"/>
    <n v="200801"/>
    <n v="200801"/>
    <m/>
    <n v="1"/>
    <n v="200801"/>
    <n v="20000"/>
  </r>
  <r>
    <x v="392"/>
    <x v="4"/>
    <m/>
    <x v="0"/>
    <x v="1"/>
    <x v="16"/>
    <n v="200801"/>
    <n v="200801"/>
    <m/>
    <n v="9"/>
    <n v="200801"/>
    <n v="315000"/>
  </r>
  <r>
    <x v="392"/>
    <x v="4"/>
    <m/>
    <x v="0"/>
    <x v="5"/>
    <x v="51"/>
    <n v="200801"/>
    <n v="200801"/>
    <m/>
    <n v="20"/>
    <n v="200801"/>
    <n v="225000"/>
  </r>
  <r>
    <x v="392"/>
    <x v="4"/>
    <m/>
    <x v="5"/>
    <x v="5"/>
    <x v="53"/>
    <n v="200801"/>
    <n v="200801"/>
    <m/>
    <n v="20"/>
    <n v="200801"/>
    <n v="297000"/>
  </r>
  <r>
    <x v="392"/>
    <x v="4"/>
    <m/>
    <x v="1"/>
    <x v="5"/>
    <x v="63"/>
    <n v="200801"/>
    <n v="200801"/>
    <m/>
    <n v="10"/>
    <n v="200801"/>
    <n v="112500"/>
  </r>
  <r>
    <x v="392"/>
    <x v="4"/>
    <m/>
    <x v="4"/>
    <x v="5"/>
    <x v="62"/>
    <n v="200801"/>
    <n v="200801"/>
    <m/>
    <n v="5"/>
    <n v="200801"/>
    <n v="90000"/>
  </r>
  <r>
    <x v="392"/>
    <x v="4"/>
    <m/>
    <x v="0"/>
    <x v="7"/>
    <x v="15"/>
    <n v="200801"/>
    <n v="200801"/>
    <m/>
    <n v="3"/>
    <n v="200801"/>
    <n v="60000"/>
  </r>
  <r>
    <x v="392"/>
    <x v="4"/>
    <m/>
    <x v="6"/>
    <x v="2"/>
    <x v="37"/>
    <n v="200801"/>
    <n v="200801"/>
    <m/>
    <n v="2"/>
    <n v="200801"/>
    <n v="40000"/>
  </r>
  <r>
    <x v="392"/>
    <x v="4"/>
    <m/>
    <x v="6"/>
    <x v="2"/>
    <x v="42"/>
    <n v="200801"/>
    <n v="200801"/>
    <m/>
    <n v="2"/>
    <n v="200801"/>
    <n v="70000"/>
  </r>
  <r>
    <x v="392"/>
    <x v="4"/>
    <m/>
    <x v="25"/>
    <x v="2"/>
    <x v="34"/>
    <n v="200801"/>
    <n v="200801"/>
    <m/>
    <n v="2"/>
    <n v="200801"/>
    <n v="198000"/>
  </r>
  <r>
    <x v="392"/>
    <x v="4"/>
    <m/>
    <x v="31"/>
    <x v="2"/>
    <x v="95"/>
    <n v="200801"/>
    <n v="200801"/>
    <m/>
    <n v="26"/>
    <n v="200801"/>
    <n v="582400"/>
  </r>
  <r>
    <x v="392"/>
    <x v="4"/>
    <m/>
    <x v="31"/>
    <x v="2"/>
    <x v="96"/>
    <n v="200801"/>
    <n v="200801"/>
    <m/>
    <n v="31"/>
    <n v="200801"/>
    <n v="1215200"/>
  </r>
  <r>
    <x v="392"/>
    <x v="4"/>
    <m/>
    <x v="32"/>
    <x v="2"/>
    <x v="97"/>
    <n v="200801"/>
    <n v="200801"/>
    <m/>
    <n v="19"/>
    <n v="200801"/>
    <n v="704900"/>
  </r>
  <r>
    <x v="392"/>
    <x v="4"/>
    <m/>
    <x v="1"/>
    <x v="2"/>
    <x v="18"/>
    <n v="200801"/>
    <n v="200801"/>
    <m/>
    <n v="15"/>
    <n v="200801"/>
    <n v="300000"/>
  </r>
  <r>
    <x v="392"/>
    <x v="4"/>
    <m/>
    <x v="1"/>
    <x v="2"/>
    <x v="21"/>
    <n v="200801"/>
    <n v="200801"/>
    <m/>
    <n v="7"/>
    <n v="200801"/>
    <n v="245000"/>
  </r>
  <r>
    <x v="392"/>
    <x v="4"/>
    <m/>
    <x v="4"/>
    <x v="2"/>
    <x v="26"/>
    <n v="200801"/>
    <n v="200801"/>
    <m/>
    <n v="1"/>
    <n v="200801"/>
    <n v="4000"/>
  </r>
  <r>
    <x v="392"/>
    <x v="4"/>
    <m/>
    <x v="4"/>
    <x v="2"/>
    <x v="27"/>
    <n v="200801"/>
    <n v="200801"/>
    <m/>
    <n v="1"/>
    <n v="200801"/>
    <n v="20000"/>
  </r>
  <r>
    <x v="392"/>
    <x v="4"/>
    <m/>
    <x v="0"/>
    <x v="2"/>
    <x v="15"/>
    <n v="200801"/>
    <n v="200801"/>
    <m/>
    <n v="33"/>
    <n v="200801"/>
    <n v="660000"/>
  </r>
  <r>
    <x v="392"/>
    <x v="4"/>
    <m/>
    <x v="0"/>
    <x v="2"/>
    <x v="16"/>
    <n v="200801"/>
    <n v="200801"/>
    <m/>
    <n v="11"/>
    <n v="200801"/>
    <n v="385000"/>
  </r>
  <r>
    <x v="392"/>
    <x v="4"/>
    <m/>
    <x v="0"/>
    <x v="2"/>
    <x v="17"/>
    <n v="200801"/>
    <n v="200801"/>
    <m/>
    <n v="43"/>
    <n v="200801"/>
    <n v="1419000"/>
  </r>
  <r>
    <x v="392"/>
    <x v="4"/>
    <m/>
    <x v="0"/>
    <x v="2"/>
    <x v="19"/>
    <n v="200801"/>
    <n v="200801"/>
    <m/>
    <n v="33"/>
    <n v="200801"/>
    <n v="99000"/>
  </r>
  <r>
    <x v="392"/>
    <x v="4"/>
    <m/>
    <x v="5"/>
    <x v="2"/>
    <x v="28"/>
    <n v="200801"/>
    <n v="200801"/>
    <m/>
    <n v="14"/>
    <n v="200801"/>
    <n v="392000"/>
  </r>
  <r>
    <x v="392"/>
    <x v="4"/>
    <m/>
    <x v="5"/>
    <x v="2"/>
    <x v="69"/>
    <n v="200801"/>
    <n v="200801"/>
    <m/>
    <n v="4"/>
    <n v="200801"/>
    <n v="192000"/>
  </r>
  <r>
    <x v="392"/>
    <x v="4"/>
    <m/>
    <x v="22"/>
    <x v="2"/>
    <x v="29"/>
    <n v="200801"/>
    <n v="200801"/>
    <m/>
    <n v="7"/>
    <n v="200801"/>
    <n v="266000"/>
  </r>
  <r>
    <x v="392"/>
    <x v="4"/>
    <m/>
    <x v="19"/>
    <x v="2"/>
    <x v="22"/>
    <n v="200801"/>
    <n v="200801"/>
    <m/>
    <n v="8"/>
    <n v="200801"/>
    <n v="104000"/>
  </r>
  <r>
    <x v="392"/>
    <x v="4"/>
    <m/>
    <x v="19"/>
    <x v="2"/>
    <x v="23"/>
    <n v="200801"/>
    <n v="200801"/>
    <m/>
    <n v="1"/>
    <n v="200801"/>
    <n v="24000"/>
  </r>
  <r>
    <x v="392"/>
    <x v="4"/>
    <m/>
    <x v="33"/>
    <x v="2"/>
    <x v="92"/>
    <n v="200801"/>
    <n v="200801"/>
    <m/>
    <n v="1"/>
    <n v="200801"/>
    <n v="18200"/>
  </r>
  <r>
    <x v="392"/>
    <x v="4"/>
    <m/>
    <x v="0"/>
    <x v="9"/>
    <x v="15"/>
    <n v="200801"/>
    <n v="200801"/>
    <m/>
    <n v="2"/>
    <n v="200801"/>
    <n v="40000"/>
  </r>
  <r>
    <x v="393"/>
    <x v="1"/>
    <m/>
    <x v="0"/>
    <x v="1"/>
    <x v="16"/>
    <n v="200801"/>
    <n v="200801"/>
    <m/>
    <n v="7"/>
    <n v="200801"/>
    <n v="245000"/>
  </r>
  <r>
    <x v="393"/>
    <x v="1"/>
    <m/>
    <x v="0"/>
    <x v="7"/>
    <x v="15"/>
    <n v="200801"/>
    <n v="200801"/>
    <m/>
    <n v="3"/>
    <n v="200801"/>
    <n v="60000"/>
  </r>
  <r>
    <x v="393"/>
    <x v="1"/>
    <m/>
    <x v="30"/>
    <x v="3"/>
    <x v="87"/>
    <n v="200801"/>
    <n v="200801"/>
    <m/>
    <n v="8"/>
    <n v="200801"/>
    <n v="0"/>
  </r>
  <r>
    <x v="393"/>
    <x v="1"/>
    <m/>
    <x v="31"/>
    <x v="3"/>
    <x v="88"/>
    <n v="200801"/>
    <n v="200801"/>
    <m/>
    <n v="12"/>
    <n v="200801"/>
    <n v="0"/>
  </r>
  <r>
    <x v="393"/>
    <x v="1"/>
    <m/>
    <x v="33"/>
    <x v="3"/>
    <x v="94"/>
    <n v="200801"/>
    <n v="200801"/>
    <m/>
    <n v="7"/>
    <n v="200801"/>
    <n v="0"/>
  </r>
  <r>
    <x v="393"/>
    <x v="1"/>
    <m/>
    <x v="0"/>
    <x v="3"/>
    <x v="15"/>
    <n v="200801"/>
    <n v="200801"/>
    <m/>
    <n v="12"/>
    <n v="200801"/>
    <n v="0"/>
  </r>
  <r>
    <x v="393"/>
    <x v="1"/>
    <m/>
    <x v="18"/>
    <x v="3"/>
    <x v="19"/>
    <n v="200801"/>
    <n v="200801"/>
    <m/>
    <n v="7"/>
    <n v="200801"/>
    <n v="0"/>
  </r>
  <r>
    <x v="393"/>
    <x v="1"/>
    <m/>
    <x v="5"/>
    <x v="3"/>
    <x v="28"/>
    <n v="200801"/>
    <n v="200801"/>
    <m/>
    <n v="12"/>
    <n v="200801"/>
    <n v="0"/>
  </r>
  <r>
    <x v="393"/>
    <x v="1"/>
    <m/>
    <x v="4"/>
    <x v="3"/>
    <x v="27"/>
    <n v="200801"/>
    <n v="200801"/>
    <m/>
    <n v="12"/>
    <n v="200801"/>
    <n v="0"/>
  </r>
  <r>
    <x v="393"/>
    <x v="1"/>
    <m/>
    <x v="6"/>
    <x v="3"/>
    <x v="37"/>
    <n v="200801"/>
    <n v="200801"/>
    <m/>
    <n v="7"/>
    <n v="200801"/>
    <n v="0"/>
  </r>
  <r>
    <x v="393"/>
    <x v="1"/>
    <m/>
    <x v="22"/>
    <x v="3"/>
    <x v="29"/>
    <n v="200801"/>
    <n v="200801"/>
    <m/>
    <n v="7"/>
    <n v="200801"/>
    <n v="0"/>
  </r>
  <r>
    <x v="393"/>
    <x v="1"/>
    <m/>
    <x v="19"/>
    <x v="3"/>
    <x v="22"/>
    <n v="200801"/>
    <n v="200801"/>
    <m/>
    <n v="10"/>
    <n v="200801"/>
    <n v="0"/>
  </r>
  <r>
    <x v="393"/>
    <x v="1"/>
    <m/>
    <x v="1"/>
    <x v="3"/>
    <x v="18"/>
    <n v="200801"/>
    <n v="200801"/>
    <m/>
    <n v="12"/>
    <n v="200801"/>
    <n v="0"/>
  </r>
  <r>
    <x v="393"/>
    <x v="1"/>
    <m/>
    <x v="6"/>
    <x v="2"/>
    <x v="37"/>
    <n v="200801"/>
    <n v="200801"/>
    <m/>
    <n v="1"/>
    <n v="200801"/>
    <n v="20000"/>
  </r>
  <r>
    <x v="393"/>
    <x v="1"/>
    <m/>
    <x v="6"/>
    <x v="2"/>
    <x v="42"/>
    <n v="200801"/>
    <n v="200801"/>
    <m/>
    <n v="1"/>
    <n v="200801"/>
    <n v="35000"/>
  </r>
  <r>
    <x v="393"/>
    <x v="1"/>
    <m/>
    <x v="25"/>
    <x v="2"/>
    <x v="34"/>
    <n v="200801"/>
    <n v="200801"/>
    <m/>
    <n v="3"/>
    <n v="200801"/>
    <n v="297000"/>
  </r>
  <r>
    <x v="393"/>
    <x v="1"/>
    <m/>
    <x v="31"/>
    <x v="2"/>
    <x v="95"/>
    <n v="200801"/>
    <n v="200801"/>
    <m/>
    <n v="18"/>
    <n v="200801"/>
    <n v="403200"/>
  </r>
  <r>
    <x v="393"/>
    <x v="1"/>
    <m/>
    <x v="31"/>
    <x v="2"/>
    <x v="96"/>
    <n v="200801"/>
    <n v="200801"/>
    <m/>
    <n v="25"/>
    <n v="200801"/>
    <n v="980000"/>
  </r>
  <r>
    <x v="393"/>
    <x v="1"/>
    <m/>
    <x v="32"/>
    <x v="2"/>
    <x v="97"/>
    <n v="200801"/>
    <n v="200801"/>
    <m/>
    <n v="18"/>
    <n v="200801"/>
    <n v="667800"/>
  </r>
  <r>
    <x v="393"/>
    <x v="1"/>
    <m/>
    <x v="1"/>
    <x v="2"/>
    <x v="18"/>
    <n v="200801"/>
    <n v="200801"/>
    <m/>
    <n v="10"/>
    <n v="200801"/>
    <n v="200000"/>
  </r>
  <r>
    <x v="393"/>
    <x v="1"/>
    <m/>
    <x v="1"/>
    <x v="2"/>
    <x v="21"/>
    <n v="200801"/>
    <n v="200801"/>
    <m/>
    <n v="2"/>
    <n v="200801"/>
    <n v="70000"/>
  </r>
  <r>
    <x v="393"/>
    <x v="1"/>
    <m/>
    <x v="4"/>
    <x v="2"/>
    <x v="27"/>
    <n v="200801"/>
    <n v="200801"/>
    <m/>
    <n v="7"/>
    <n v="200801"/>
    <n v="140000"/>
  </r>
  <r>
    <x v="393"/>
    <x v="1"/>
    <m/>
    <x v="0"/>
    <x v="2"/>
    <x v="15"/>
    <n v="200801"/>
    <n v="200801"/>
    <m/>
    <n v="22"/>
    <n v="200801"/>
    <n v="440000"/>
  </r>
  <r>
    <x v="393"/>
    <x v="1"/>
    <m/>
    <x v="0"/>
    <x v="2"/>
    <x v="16"/>
    <n v="200801"/>
    <n v="200801"/>
    <m/>
    <n v="16"/>
    <n v="200801"/>
    <n v="560000"/>
  </r>
  <r>
    <x v="393"/>
    <x v="1"/>
    <m/>
    <x v="0"/>
    <x v="2"/>
    <x v="17"/>
    <n v="200801"/>
    <n v="200801"/>
    <m/>
    <n v="33"/>
    <n v="200801"/>
    <n v="1089000"/>
  </r>
  <r>
    <x v="393"/>
    <x v="1"/>
    <m/>
    <x v="0"/>
    <x v="2"/>
    <x v="19"/>
    <n v="200801"/>
    <n v="200801"/>
    <m/>
    <n v="11"/>
    <n v="200801"/>
    <n v="33000"/>
  </r>
  <r>
    <x v="393"/>
    <x v="1"/>
    <m/>
    <x v="5"/>
    <x v="2"/>
    <x v="28"/>
    <n v="200801"/>
    <n v="200801"/>
    <m/>
    <n v="10"/>
    <n v="200801"/>
    <n v="280000"/>
  </r>
  <r>
    <x v="393"/>
    <x v="1"/>
    <m/>
    <x v="5"/>
    <x v="2"/>
    <x v="69"/>
    <n v="200801"/>
    <n v="200801"/>
    <m/>
    <n v="4"/>
    <n v="200801"/>
    <n v="192000"/>
  </r>
  <r>
    <x v="393"/>
    <x v="1"/>
    <m/>
    <x v="22"/>
    <x v="2"/>
    <x v="29"/>
    <n v="200801"/>
    <n v="200801"/>
    <m/>
    <n v="2"/>
    <n v="200801"/>
    <n v="76000"/>
  </r>
  <r>
    <x v="393"/>
    <x v="1"/>
    <m/>
    <x v="19"/>
    <x v="2"/>
    <x v="22"/>
    <n v="200801"/>
    <n v="200801"/>
    <m/>
    <n v="8"/>
    <n v="200801"/>
    <n v="104000"/>
  </r>
  <r>
    <x v="393"/>
    <x v="1"/>
    <m/>
    <x v="33"/>
    <x v="2"/>
    <x v="92"/>
    <n v="200801"/>
    <n v="200801"/>
    <m/>
    <n v="2"/>
    <n v="200801"/>
    <n v="36400"/>
  </r>
  <r>
    <x v="393"/>
    <x v="1"/>
    <m/>
    <x v="0"/>
    <x v="9"/>
    <x v="15"/>
    <n v="200801"/>
    <n v="200801"/>
    <m/>
    <n v="5"/>
    <n v="200801"/>
    <n v="100000"/>
  </r>
  <r>
    <x v="394"/>
    <x v="0"/>
    <m/>
    <x v="0"/>
    <x v="1"/>
    <x v="16"/>
    <n v="200801"/>
    <n v="200801"/>
    <m/>
    <n v="4"/>
    <n v="200801"/>
    <n v="140000"/>
  </r>
  <r>
    <x v="394"/>
    <x v="0"/>
    <m/>
    <x v="31"/>
    <x v="5"/>
    <x v="88"/>
    <n v="200801"/>
    <n v="200801"/>
    <m/>
    <n v="20"/>
    <n v="200801"/>
    <n v="229100"/>
  </r>
  <r>
    <x v="394"/>
    <x v="0"/>
    <m/>
    <x v="0"/>
    <x v="7"/>
    <x v="15"/>
    <n v="200801"/>
    <n v="200801"/>
    <m/>
    <n v="3"/>
    <n v="200801"/>
    <n v="60000"/>
  </r>
  <r>
    <x v="394"/>
    <x v="0"/>
    <m/>
    <x v="30"/>
    <x v="3"/>
    <x v="87"/>
    <n v="200801"/>
    <n v="200801"/>
    <m/>
    <n v="3"/>
    <n v="200801"/>
    <n v="0"/>
  </r>
  <r>
    <x v="394"/>
    <x v="0"/>
    <m/>
    <x v="31"/>
    <x v="3"/>
    <x v="88"/>
    <n v="200801"/>
    <n v="200801"/>
    <m/>
    <n v="3"/>
    <n v="200801"/>
    <n v="0"/>
  </r>
  <r>
    <x v="394"/>
    <x v="0"/>
    <m/>
    <x v="33"/>
    <x v="3"/>
    <x v="94"/>
    <n v="200801"/>
    <n v="200801"/>
    <m/>
    <n v="3"/>
    <n v="200801"/>
    <n v="0"/>
  </r>
  <r>
    <x v="394"/>
    <x v="0"/>
    <m/>
    <x v="0"/>
    <x v="3"/>
    <x v="15"/>
    <n v="200801"/>
    <n v="200801"/>
    <m/>
    <n v="6"/>
    <n v="200801"/>
    <n v="0"/>
  </r>
  <r>
    <x v="394"/>
    <x v="0"/>
    <m/>
    <x v="18"/>
    <x v="3"/>
    <x v="19"/>
    <n v="200801"/>
    <n v="200801"/>
    <m/>
    <n v="3"/>
    <n v="200801"/>
    <n v="0"/>
  </r>
  <r>
    <x v="394"/>
    <x v="0"/>
    <m/>
    <x v="5"/>
    <x v="3"/>
    <x v="28"/>
    <n v="200801"/>
    <n v="200801"/>
    <m/>
    <n v="4"/>
    <n v="200801"/>
    <n v="0"/>
  </r>
  <r>
    <x v="394"/>
    <x v="0"/>
    <m/>
    <x v="4"/>
    <x v="3"/>
    <x v="27"/>
    <n v="200801"/>
    <n v="200801"/>
    <m/>
    <n v="3"/>
    <n v="200801"/>
    <n v="0"/>
  </r>
  <r>
    <x v="394"/>
    <x v="0"/>
    <m/>
    <x v="6"/>
    <x v="3"/>
    <x v="37"/>
    <n v="200801"/>
    <n v="200801"/>
    <m/>
    <n v="3"/>
    <n v="200801"/>
    <n v="0"/>
  </r>
  <r>
    <x v="394"/>
    <x v="0"/>
    <m/>
    <x v="22"/>
    <x v="3"/>
    <x v="29"/>
    <n v="200801"/>
    <n v="200801"/>
    <m/>
    <n v="4"/>
    <n v="200801"/>
    <n v="0"/>
  </r>
  <r>
    <x v="394"/>
    <x v="0"/>
    <m/>
    <x v="19"/>
    <x v="3"/>
    <x v="22"/>
    <n v="200801"/>
    <n v="200801"/>
    <m/>
    <n v="3"/>
    <n v="200801"/>
    <n v="0"/>
  </r>
  <r>
    <x v="394"/>
    <x v="0"/>
    <m/>
    <x v="1"/>
    <x v="3"/>
    <x v="18"/>
    <n v="200801"/>
    <n v="200801"/>
    <m/>
    <n v="3"/>
    <n v="200801"/>
    <n v="0"/>
  </r>
  <r>
    <x v="394"/>
    <x v="0"/>
    <m/>
    <x v="6"/>
    <x v="2"/>
    <x v="42"/>
    <n v="200801"/>
    <n v="200801"/>
    <m/>
    <n v="2"/>
    <n v="200801"/>
    <n v="70000"/>
  </r>
  <r>
    <x v="394"/>
    <x v="0"/>
    <m/>
    <x v="25"/>
    <x v="2"/>
    <x v="34"/>
    <n v="200801"/>
    <n v="200801"/>
    <m/>
    <n v="4"/>
    <n v="200801"/>
    <n v="396000"/>
  </r>
  <r>
    <x v="394"/>
    <x v="0"/>
    <m/>
    <x v="31"/>
    <x v="2"/>
    <x v="95"/>
    <n v="200801"/>
    <n v="200801"/>
    <m/>
    <n v="24"/>
    <n v="200801"/>
    <n v="537600"/>
  </r>
  <r>
    <x v="394"/>
    <x v="0"/>
    <m/>
    <x v="31"/>
    <x v="2"/>
    <x v="96"/>
    <n v="200801"/>
    <n v="200801"/>
    <m/>
    <n v="19"/>
    <n v="200801"/>
    <n v="744800"/>
  </r>
  <r>
    <x v="394"/>
    <x v="0"/>
    <m/>
    <x v="32"/>
    <x v="2"/>
    <x v="97"/>
    <n v="200801"/>
    <n v="200801"/>
    <m/>
    <n v="15"/>
    <n v="200801"/>
    <n v="556500"/>
  </r>
  <r>
    <x v="394"/>
    <x v="0"/>
    <m/>
    <x v="1"/>
    <x v="2"/>
    <x v="18"/>
    <n v="200801"/>
    <n v="200801"/>
    <m/>
    <n v="6"/>
    <n v="200801"/>
    <n v="120000"/>
  </r>
  <r>
    <x v="394"/>
    <x v="0"/>
    <m/>
    <x v="1"/>
    <x v="2"/>
    <x v="21"/>
    <n v="200801"/>
    <n v="200801"/>
    <m/>
    <n v="3"/>
    <n v="200801"/>
    <n v="105000"/>
  </r>
  <r>
    <x v="394"/>
    <x v="0"/>
    <m/>
    <x v="4"/>
    <x v="2"/>
    <x v="27"/>
    <n v="200801"/>
    <n v="200801"/>
    <m/>
    <n v="4"/>
    <n v="200801"/>
    <n v="80000"/>
  </r>
  <r>
    <x v="394"/>
    <x v="0"/>
    <m/>
    <x v="0"/>
    <x v="2"/>
    <x v="15"/>
    <n v="200801"/>
    <n v="200801"/>
    <m/>
    <n v="24"/>
    <n v="200801"/>
    <n v="480000"/>
  </r>
  <r>
    <x v="394"/>
    <x v="0"/>
    <m/>
    <x v="0"/>
    <x v="2"/>
    <x v="16"/>
    <n v="200801"/>
    <n v="200801"/>
    <m/>
    <n v="14"/>
    <n v="200801"/>
    <n v="490000"/>
  </r>
  <r>
    <x v="394"/>
    <x v="0"/>
    <m/>
    <x v="0"/>
    <x v="2"/>
    <x v="17"/>
    <n v="200801"/>
    <n v="200801"/>
    <m/>
    <n v="36"/>
    <n v="200801"/>
    <n v="1188000"/>
  </r>
  <r>
    <x v="394"/>
    <x v="0"/>
    <m/>
    <x v="0"/>
    <x v="2"/>
    <x v="19"/>
    <n v="200801"/>
    <n v="200801"/>
    <m/>
    <n v="20"/>
    <n v="200801"/>
    <n v="60000"/>
  </r>
  <r>
    <x v="394"/>
    <x v="0"/>
    <m/>
    <x v="5"/>
    <x v="2"/>
    <x v="28"/>
    <n v="200801"/>
    <n v="200801"/>
    <m/>
    <n v="13"/>
    <n v="200801"/>
    <n v="364000"/>
  </r>
  <r>
    <x v="394"/>
    <x v="0"/>
    <m/>
    <x v="5"/>
    <x v="2"/>
    <x v="69"/>
    <n v="200801"/>
    <n v="200801"/>
    <m/>
    <n v="3"/>
    <n v="200801"/>
    <n v="144000"/>
  </r>
  <r>
    <x v="394"/>
    <x v="0"/>
    <m/>
    <x v="19"/>
    <x v="2"/>
    <x v="22"/>
    <n v="200801"/>
    <n v="200801"/>
    <m/>
    <n v="5"/>
    <n v="200801"/>
    <n v="65000"/>
  </r>
  <r>
    <x v="394"/>
    <x v="0"/>
    <m/>
    <x v="19"/>
    <x v="2"/>
    <x v="23"/>
    <n v="200801"/>
    <n v="200801"/>
    <m/>
    <n v="1"/>
    <n v="200801"/>
    <n v="24000"/>
  </r>
  <r>
    <x v="394"/>
    <x v="0"/>
    <m/>
    <x v="19"/>
    <x v="2"/>
    <x v="24"/>
    <n v="200801"/>
    <n v="200801"/>
    <m/>
    <n v="1"/>
    <n v="200801"/>
    <n v="33000"/>
  </r>
  <r>
    <x v="394"/>
    <x v="0"/>
    <m/>
    <x v="33"/>
    <x v="2"/>
    <x v="92"/>
    <n v="200801"/>
    <n v="200801"/>
    <m/>
    <n v="2"/>
    <n v="200801"/>
    <n v="36400"/>
  </r>
  <r>
    <x v="394"/>
    <x v="0"/>
    <m/>
    <x v="33"/>
    <x v="2"/>
    <x v="93"/>
    <n v="200801"/>
    <n v="200801"/>
    <m/>
    <n v="1"/>
    <n v="200801"/>
    <n v="33800"/>
  </r>
  <r>
    <x v="394"/>
    <x v="0"/>
    <m/>
    <x v="0"/>
    <x v="9"/>
    <x v="15"/>
    <n v="200801"/>
    <n v="200801"/>
    <m/>
    <n v="4"/>
    <n v="200801"/>
    <n v="80000"/>
  </r>
  <r>
    <x v="395"/>
    <x v="2"/>
    <m/>
    <x v="0"/>
    <x v="1"/>
    <x v="16"/>
    <n v="200801"/>
    <n v="200801"/>
    <m/>
    <n v="2"/>
    <n v="200801"/>
    <n v="70000"/>
  </r>
  <r>
    <x v="395"/>
    <x v="2"/>
    <m/>
    <x v="0"/>
    <x v="7"/>
    <x v="15"/>
    <n v="200801"/>
    <n v="200801"/>
    <m/>
    <n v="1"/>
    <n v="200801"/>
    <n v="20000"/>
  </r>
  <r>
    <x v="395"/>
    <x v="2"/>
    <m/>
    <x v="30"/>
    <x v="3"/>
    <x v="87"/>
    <n v="200801"/>
    <n v="200801"/>
    <m/>
    <n v="1"/>
    <n v="200801"/>
    <n v="0"/>
  </r>
  <r>
    <x v="395"/>
    <x v="2"/>
    <m/>
    <x v="31"/>
    <x v="3"/>
    <x v="88"/>
    <n v="200801"/>
    <n v="200801"/>
    <m/>
    <n v="40"/>
    <n v="200801"/>
    <n v="0"/>
  </r>
  <r>
    <x v="395"/>
    <x v="2"/>
    <m/>
    <x v="35"/>
    <x v="3"/>
    <x v="107"/>
    <n v="200801"/>
    <n v="200801"/>
    <m/>
    <n v="1"/>
    <n v="200801"/>
    <n v="0"/>
  </r>
  <r>
    <x v="395"/>
    <x v="2"/>
    <m/>
    <x v="31"/>
    <x v="2"/>
    <x v="95"/>
    <n v="200801"/>
    <n v="200801"/>
    <m/>
    <n v="17"/>
    <n v="200801"/>
    <n v="380800"/>
  </r>
  <r>
    <x v="395"/>
    <x v="2"/>
    <m/>
    <x v="31"/>
    <x v="2"/>
    <x v="96"/>
    <n v="200801"/>
    <n v="200801"/>
    <m/>
    <n v="20"/>
    <n v="200801"/>
    <n v="784000"/>
  </r>
  <r>
    <x v="395"/>
    <x v="2"/>
    <m/>
    <x v="32"/>
    <x v="2"/>
    <x v="97"/>
    <n v="200801"/>
    <n v="200801"/>
    <m/>
    <n v="18"/>
    <n v="200801"/>
    <n v="667800"/>
  </r>
  <r>
    <x v="395"/>
    <x v="2"/>
    <m/>
    <x v="34"/>
    <x v="2"/>
    <x v="105"/>
    <n v="200801"/>
    <n v="200801"/>
    <m/>
    <n v="44"/>
    <n v="200801"/>
    <n v="1632400"/>
  </r>
  <r>
    <x v="395"/>
    <x v="2"/>
    <m/>
    <x v="30"/>
    <x v="2"/>
    <x v="99"/>
    <n v="200801"/>
    <n v="200801"/>
    <m/>
    <n v="7"/>
    <n v="200801"/>
    <n v="156800"/>
  </r>
  <r>
    <x v="395"/>
    <x v="2"/>
    <m/>
    <x v="30"/>
    <x v="2"/>
    <x v="100"/>
    <n v="200801"/>
    <n v="200801"/>
    <m/>
    <n v="1"/>
    <n v="200801"/>
    <n v="39200"/>
  </r>
  <r>
    <x v="395"/>
    <x v="2"/>
    <m/>
    <x v="1"/>
    <x v="2"/>
    <x v="18"/>
    <n v="200801"/>
    <n v="200801"/>
    <m/>
    <n v="6"/>
    <n v="200801"/>
    <n v="120000"/>
  </r>
  <r>
    <x v="395"/>
    <x v="2"/>
    <m/>
    <x v="1"/>
    <x v="2"/>
    <x v="21"/>
    <n v="200801"/>
    <n v="200801"/>
    <m/>
    <n v="1"/>
    <n v="200801"/>
    <n v="35000"/>
  </r>
  <r>
    <x v="395"/>
    <x v="2"/>
    <m/>
    <x v="4"/>
    <x v="2"/>
    <x v="26"/>
    <n v="200801"/>
    <n v="200801"/>
    <m/>
    <n v="4"/>
    <n v="200801"/>
    <n v="16000"/>
  </r>
  <r>
    <x v="395"/>
    <x v="2"/>
    <m/>
    <x v="4"/>
    <x v="2"/>
    <x v="27"/>
    <n v="200801"/>
    <n v="200801"/>
    <m/>
    <n v="1"/>
    <n v="200801"/>
    <n v="20000"/>
  </r>
  <r>
    <x v="395"/>
    <x v="2"/>
    <m/>
    <x v="0"/>
    <x v="2"/>
    <x v="15"/>
    <n v="200801"/>
    <n v="200801"/>
    <m/>
    <n v="23"/>
    <n v="200801"/>
    <n v="460000"/>
  </r>
  <r>
    <x v="395"/>
    <x v="2"/>
    <m/>
    <x v="0"/>
    <x v="2"/>
    <x v="16"/>
    <n v="200801"/>
    <n v="200801"/>
    <m/>
    <n v="23"/>
    <n v="200801"/>
    <n v="805000"/>
  </r>
  <r>
    <x v="395"/>
    <x v="2"/>
    <m/>
    <x v="0"/>
    <x v="2"/>
    <x v="17"/>
    <n v="200801"/>
    <n v="200801"/>
    <m/>
    <n v="26"/>
    <n v="200801"/>
    <n v="858000"/>
  </r>
  <r>
    <x v="395"/>
    <x v="2"/>
    <m/>
    <x v="0"/>
    <x v="2"/>
    <x v="19"/>
    <n v="200801"/>
    <n v="200801"/>
    <m/>
    <n v="26"/>
    <n v="200801"/>
    <n v="78000"/>
  </r>
  <r>
    <x v="395"/>
    <x v="2"/>
    <m/>
    <x v="5"/>
    <x v="2"/>
    <x v="28"/>
    <n v="200801"/>
    <n v="200801"/>
    <m/>
    <n v="16"/>
    <n v="200801"/>
    <n v="448000"/>
  </r>
  <r>
    <x v="395"/>
    <x v="2"/>
    <m/>
    <x v="22"/>
    <x v="2"/>
    <x v="29"/>
    <n v="200801"/>
    <n v="200801"/>
    <m/>
    <n v="8"/>
    <n v="200801"/>
    <n v="304000"/>
  </r>
  <r>
    <x v="395"/>
    <x v="2"/>
    <m/>
    <x v="19"/>
    <x v="2"/>
    <x v="22"/>
    <n v="200801"/>
    <n v="200801"/>
    <m/>
    <n v="6"/>
    <n v="200801"/>
    <n v="78000"/>
  </r>
  <r>
    <x v="395"/>
    <x v="2"/>
    <m/>
    <x v="19"/>
    <x v="2"/>
    <x v="23"/>
    <n v="200801"/>
    <n v="200801"/>
    <m/>
    <n v="1"/>
    <n v="200801"/>
    <n v="24000"/>
  </r>
  <r>
    <x v="396"/>
    <x v="5"/>
    <m/>
    <x v="0"/>
    <x v="7"/>
    <x v="15"/>
    <n v="200801"/>
    <n v="200801"/>
    <m/>
    <n v="5"/>
    <n v="200801"/>
    <n v="100000"/>
  </r>
  <r>
    <x v="396"/>
    <x v="5"/>
    <m/>
    <x v="6"/>
    <x v="2"/>
    <x v="37"/>
    <n v="200801"/>
    <n v="200801"/>
    <m/>
    <n v="4"/>
    <n v="200801"/>
    <n v="80000"/>
  </r>
  <r>
    <x v="396"/>
    <x v="5"/>
    <m/>
    <x v="6"/>
    <x v="2"/>
    <x v="42"/>
    <n v="200801"/>
    <n v="200801"/>
    <m/>
    <n v="1"/>
    <n v="200801"/>
    <n v="35000"/>
  </r>
  <r>
    <x v="396"/>
    <x v="5"/>
    <m/>
    <x v="25"/>
    <x v="2"/>
    <x v="34"/>
    <n v="200801"/>
    <n v="200801"/>
    <m/>
    <n v="2"/>
    <n v="200801"/>
    <n v="198000"/>
  </r>
  <r>
    <x v="396"/>
    <x v="5"/>
    <m/>
    <x v="31"/>
    <x v="2"/>
    <x v="95"/>
    <n v="200801"/>
    <n v="200801"/>
    <m/>
    <n v="21"/>
    <n v="200801"/>
    <n v="470400"/>
  </r>
  <r>
    <x v="396"/>
    <x v="5"/>
    <m/>
    <x v="31"/>
    <x v="2"/>
    <x v="96"/>
    <n v="200801"/>
    <n v="200801"/>
    <m/>
    <n v="17"/>
    <n v="200801"/>
    <n v="666400"/>
  </r>
  <r>
    <x v="396"/>
    <x v="5"/>
    <m/>
    <x v="32"/>
    <x v="2"/>
    <x v="97"/>
    <n v="200801"/>
    <n v="200801"/>
    <m/>
    <n v="14"/>
    <n v="200801"/>
    <n v="519400"/>
  </r>
  <r>
    <x v="396"/>
    <x v="5"/>
    <m/>
    <x v="34"/>
    <x v="2"/>
    <x v="105"/>
    <n v="200801"/>
    <n v="200801"/>
    <m/>
    <n v="53"/>
    <n v="200801"/>
    <n v="1966300"/>
  </r>
  <r>
    <x v="396"/>
    <x v="5"/>
    <m/>
    <x v="30"/>
    <x v="2"/>
    <x v="99"/>
    <n v="200801"/>
    <n v="200801"/>
    <m/>
    <n v="6"/>
    <n v="200801"/>
    <n v="134400"/>
  </r>
  <r>
    <x v="396"/>
    <x v="5"/>
    <m/>
    <x v="30"/>
    <x v="2"/>
    <x v="100"/>
    <n v="200801"/>
    <n v="200801"/>
    <m/>
    <n v="1"/>
    <n v="200801"/>
    <n v="39200"/>
  </r>
  <r>
    <x v="396"/>
    <x v="5"/>
    <m/>
    <x v="1"/>
    <x v="2"/>
    <x v="18"/>
    <n v="200801"/>
    <n v="200801"/>
    <m/>
    <n v="3"/>
    <n v="200801"/>
    <n v="60000"/>
  </r>
  <r>
    <x v="396"/>
    <x v="5"/>
    <m/>
    <x v="1"/>
    <x v="2"/>
    <x v="21"/>
    <n v="200801"/>
    <n v="200801"/>
    <m/>
    <n v="4"/>
    <n v="200801"/>
    <n v="140000"/>
  </r>
  <r>
    <x v="396"/>
    <x v="5"/>
    <m/>
    <x v="4"/>
    <x v="2"/>
    <x v="26"/>
    <n v="200801"/>
    <n v="200801"/>
    <m/>
    <n v="4"/>
    <n v="200801"/>
    <n v="16000"/>
  </r>
  <r>
    <x v="396"/>
    <x v="5"/>
    <m/>
    <x v="4"/>
    <x v="2"/>
    <x v="27"/>
    <n v="200801"/>
    <n v="200801"/>
    <m/>
    <n v="4"/>
    <n v="200801"/>
    <n v="80000"/>
  </r>
  <r>
    <x v="396"/>
    <x v="5"/>
    <m/>
    <x v="0"/>
    <x v="2"/>
    <x v="15"/>
    <n v="200801"/>
    <n v="200801"/>
    <m/>
    <n v="19"/>
    <n v="200801"/>
    <n v="380000"/>
  </r>
  <r>
    <x v="396"/>
    <x v="5"/>
    <m/>
    <x v="0"/>
    <x v="2"/>
    <x v="16"/>
    <n v="200801"/>
    <n v="200801"/>
    <m/>
    <n v="13"/>
    <n v="200801"/>
    <n v="455000"/>
  </r>
  <r>
    <x v="396"/>
    <x v="5"/>
    <m/>
    <x v="0"/>
    <x v="2"/>
    <x v="17"/>
    <n v="200801"/>
    <n v="200801"/>
    <m/>
    <n v="26"/>
    <n v="200801"/>
    <n v="858000"/>
  </r>
  <r>
    <x v="396"/>
    <x v="5"/>
    <m/>
    <x v="0"/>
    <x v="2"/>
    <x v="19"/>
    <n v="200801"/>
    <n v="200801"/>
    <m/>
    <n v="24"/>
    <n v="200801"/>
    <n v="72000"/>
  </r>
  <r>
    <x v="396"/>
    <x v="5"/>
    <m/>
    <x v="5"/>
    <x v="2"/>
    <x v="28"/>
    <n v="200801"/>
    <n v="200801"/>
    <m/>
    <n v="11"/>
    <n v="200801"/>
    <n v="308000"/>
  </r>
  <r>
    <x v="396"/>
    <x v="5"/>
    <m/>
    <x v="5"/>
    <x v="2"/>
    <x v="69"/>
    <n v="200801"/>
    <n v="200801"/>
    <m/>
    <n v="2"/>
    <n v="200801"/>
    <n v="96000"/>
  </r>
  <r>
    <x v="396"/>
    <x v="5"/>
    <m/>
    <x v="22"/>
    <x v="2"/>
    <x v="29"/>
    <n v="200801"/>
    <n v="200801"/>
    <m/>
    <n v="12"/>
    <n v="200801"/>
    <n v="456000"/>
  </r>
  <r>
    <x v="396"/>
    <x v="5"/>
    <m/>
    <x v="19"/>
    <x v="2"/>
    <x v="22"/>
    <n v="200801"/>
    <n v="200801"/>
    <m/>
    <n v="8"/>
    <n v="200801"/>
    <n v="104000"/>
  </r>
  <r>
    <x v="396"/>
    <x v="5"/>
    <m/>
    <x v="19"/>
    <x v="2"/>
    <x v="23"/>
    <n v="200801"/>
    <n v="200801"/>
    <m/>
    <n v="1"/>
    <n v="200801"/>
    <n v="24000"/>
  </r>
  <r>
    <x v="396"/>
    <x v="5"/>
    <m/>
    <x v="19"/>
    <x v="2"/>
    <x v="24"/>
    <n v="200801"/>
    <n v="200801"/>
    <m/>
    <n v="1"/>
    <n v="200801"/>
    <n v="33000"/>
  </r>
  <r>
    <x v="396"/>
    <x v="5"/>
    <m/>
    <x v="33"/>
    <x v="2"/>
    <x v="92"/>
    <n v="200801"/>
    <n v="200801"/>
    <m/>
    <n v="3"/>
    <n v="200801"/>
    <n v="54600"/>
  </r>
  <r>
    <x v="396"/>
    <x v="5"/>
    <m/>
    <x v="33"/>
    <x v="2"/>
    <x v="93"/>
    <n v="200801"/>
    <n v="200801"/>
    <m/>
    <n v="1"/>
    <n v="200801"/>
    <n v="33800"/>
  </r>
  <r>
    <x v="396"/>
    <x v="5"/>
    <m/>
    <x v="0"/>
    <x v="9"/>
    <x v="15"/>
    <n v="200801"/>
    <n v="200801"/>
    <m/>
    <n v="1"/>
    <n v="200801"/>
    <n v="20000"/>
  </r>
  <r>
    <x v="397"/>
    <x v="6"/>
    <m/>
    <x v="0"/>
    <x v="6"/>
    <x v="15"/>
    <n v="200801"/>
    <n v="200801"/>
    <m/>
    <n v="293"/>
    <n v="200801"/>
    <n v="2656924"/>
  </r>
  <r>
    <x v="397"/>
    <x v="6"/>
    <m/>
    <x v="0"/>
    <x v="6"/>
    <x v="17"/>
    <n v="200801"/>
    <n v="200801"/>
    <m/>
    <n v="260"/>
    <n v="200801"/>
    <n v="4112680"/>
  </r>
  <r>
    <x v="397"/>
    <x v="6"/>
    <m/>
    <x v="4"/>
    <x v="6"/>
    <x v="26"/>
    <n v="200801"/>
    <n v="200801"/>
    <m/>
    <n v="436"/>
    <n v="200801"/>
    <n v="467828"/>
  </r>
  <r>
    <x v="397"/>
    <x v="6"/>
    <m/>
    <x v="26"/>
    <x v="6"/>
    <x v="35"/>
    <n v="200801"/>
    <n v="200801"/>
    <m/>
    <n v="25"/>
    <n v="200801"/>
    <n v="428275"/>
  </r>
  <r>
    <x v="397"/>
    <x v="6"/>
    <m/>
    <x v="22"/>
    <x v="6"/>
    <x v="29"/>
    <n v="200801"/>
    <n v="200801"/>
    <m/>
    <n v="43"/>
    <n v="200801"/>
    <n v="846713"/>
  </r>
  <r>
    <x v="397"/>
    <x v="6"/>
    <m/>
    <x v="24"/>
    <x v="6"/>
    <x v="31"/>
    <n v="200801"/>
    <n v="200801"/>
    <m/>
    <n v="83"/>
    <n v="200801"/>
    <n v="1234791"/>
  </r>
  <r>
    <x v="397"/>
    <x v="6"/>
    <m/>
    <x v="23"/>
    <x v="6"/>
    <x v="30"/>
    <n v="200801"/>
    <n v="200801"/>
    <m/>
    <n v="5"/>
    <n v="200801"/>
    <n v="34820"/>
  </r>
  <r>
    <x v="397"/>
    <x v="6"/>
    <m/>
    <x v="19"/>
    <x v="6"/>
    <x v="22"/>
    <n v="200801"/>
    <n v="200801"/>
    <m/>
    <n v="45"/>
    <n v="200801"/>
    <n v="305595"/>
  </r>
  <r>
    <x v="397"/>
    <x v="6"/>
    <m/>
    <x v="27"/>
    <x v="6"/>
    <x v="36"/>
    <n v="200801"/>
    <n v="200801"/>
    <m/>
    <n v="1"/>
    <n v="200801"/>
    <n v="9457"/>
  </r>
  <r>
    <x v="397"/>
    <x v="6"/>
    <m/>
    <x v="6"/>
    <x v="6"/>
    <x v="37"/>
    <n v="200801"/>
    <n v="200801"/>
    <m/>
    <n v="11"/>
    <n v="200801"/>
    <n v="110000"/>
  </r>
  <r>
    <x v="397"/>
    <x v="6"/>
    <m/>
    <x v="28"/>
    <x v="6"/>
    <x v="39"/>
    <n v="200801"/>
    <n v="200801"/>
    <m/>
    <n v="1"/>
    <n v="200801"/>
    <n v="15818"/>
  </r>
  <r>
    <x v="397"/>
    <x v="6"/>
    <m/>
    <x v="4"/>
    <x v="6"/>
    <x v="66"/>
    <n v="200801"/>
    <n v="200801"/>
    <m/>
    <n v="268"/>
    <n v="200801"/>
    <n v="1499996"/>
  </r>
  <r>
    <x v="397"/>
    <x v="6"/>
    <m/>
    <x v="33"/>
    <x v="6"/>
    <x v="106"/>
    <n v="200801"/>
    <n v="200801"/>
    <m/>
    <n v="11"/>
    <n v="200801"/>
    <n v="107250"/>
  </r>
  <r>
    <x v="397"/>
    <x v="6"/>
    <m/>
    <x v="31"/>
    <x v="6"/>
    <x v="103"/>
    <n v="200801"/>
    <n v="200801"/>
    <m/>
    <n v="71"/>
    <n v="200801"/>
    <n v="795200"/>
  </r>
  <r>
    <x v="397"/>
    <x v="6"/>
    <m/>
    <x v="30"/>
    <x v="6"/>
    <x v="104"/>
    <n v="200801"/>
    <n v="200801"/>
    <m/>
    <n v="63"/>
    <n v="200801"/>
    <n v="705600"/>
  </r>
  <r>
    <x v="397"/>
    <x v="6"/>
    <m/>
    <x v="35"/>
    <x v="6"/>
    <x v="108"/>
    <n v="200801"/>
    <n v="200801"/>
    <m/>
    <n v="110"/>
    <n v="200801"/>
    <n v="118030"/>
  </r>
  <r>
    <x v="397"/>
    <x v="6"/>
    <m/>
    <x v="5"/>
    <x v="6"/>
    <x v="28"/>
    <n v="200801"/>
    <n v="200801"/>
    <m/>
    <n v="14"/>
    <n v="200801"/>
    <n v="204400"/>
  </r>
  <r>
    <x v="397"/>
    <x v="6"/>
    <m/>
    <x v="6"/>
    <x v="2"/>
    <x v="37"/>
    <n v="200801"/>
    <n v="200801"/>
    <m/>
    <n v="2"/>
    <n v="200801"/>
    <n v="40000"/>
  </r>
  <r>
    <x v="397"/>
    <x v="6"/>
    <m/>
    <x v="25"/>
    <x v="2"/>
    <x v="34"/>
    <n v="200801"/>
    <n v="200801"/>
    <m/>
    <n v="5"/>
    <n v="200801"/>
    <n v="495000"/>
  </r>
  <r>
    <x v="397"/>
    <x v="6"/>
    <m/>
    <x v="31"/>
    <x v="2"/>
    <x v="95"/>
    <n v="200801"/>
    <n v="200801"/>
    <m/>
    <n v="17"/>
    <n v="200801"/>
    <n v="380800"/>
  </r>
  <r>
    <x v="397"/>
    <x v="6"/>
    <m/>
    <x v="31"/>
    <x v="2"/>
    <x v="96"/>
    <n v="200801"/>
    <n v="200801"/>
    <m/>
    <n v="22"/>
    <n v="200801"/>
    <n v="862400"/>
  </r>
  <r>
    <x v="397"/>
    <x v="6"/>
    <m/>
    <x v="32"/>
    <x v="2"/>
    <x v="97"/>
    <n v="200801"/>
    <n v="200801"/>
    <m/>
    <n v="11"/>
    <n v="200801"/>
    <n v="408100"/>
  </r>
  <r>
    <x v="397"/>
    <x v="6"/>
    <m/>
    <x v="34"/>
    <x v="2"/>
    <x v="105"/>
    <n v="200801"/>
    <n v="200801"/>
    <m/>
    <n v="32"/>
    <n v="200801"/>
    <n v="1187200"/>
  </r>
  <r>
    <x v="397"/>
    <x v="6"/>
    <m/>
    <x v="30"/>
    <x v="2"/>
    <x v="99"/>
    <n v="200801"/>
    <n v="200801"/>
    <m/>
    <n v="8"/>
    <n v="200801"/>
    <n v="179200"/>
  </r>
  <r>
    <x v="397"/>
    <x v="6"/>
    <m/>
    <x v="30"/>
    <x v="2"/>
    <x v="100"/>
    <n v="200801"/>
    <n v="200801"/>
    <m/>
    <n v="3"/>
    <n v="200801"/>
    <n v="117600"/>
  </r>
  <r>
    <x v="397"/>
    <x v="6"/>
    <m/>
    <x v="1"/>
    <x v="2"/>
    <x v="18"/>
    <n v="200801"/>
    <n v="200801"/>
    <m/>
    <n v="6"/>
    <n v="200801"/>
    <n v="120000"/>
  </r>
  <r>
    <x v="397"/>
    <x v="6"/>
    <m/>
    <x v="1"/>
    <x v="2"/>
    <x v="21"/>
    <n v="200801"/>
    <n v="200801"/>
    <m/>
    <n v="4"/>
    <n v="200801"/>
    <n v="140000"/>
  </r>
  <r>
    <x v="397"/>
    <x v="6"/>
    <m/>
    <x v="4"/>
    <x v="2"/>
    <x v="26"/>
    <n v="200801"/>
    <n v="200801"/>
    <m/>
    <n v="2"/>
    <n v="200801"/>
    <n v="8000"/>
  </r>
  <r>
    <x v="397"/>
    <x v="6"/>
    <m/>
    <x v="4"/>
    <x v="2"/>
    <x v="27"/>
    <n v="200801"/>
    <n v="200801"/>
    <m/>
    <n v="6"/>
    <n v="200801"/>
    <n v="120000"/>
  </r>
  <r>
    <x v="397"/>
    <x v="6"/>
    <m/>
    <x v="0"/>
    <x v="2"/>
    <x v="15"/>
    <n v="200801"/>
    <n v="200801"/>
    <m/>
    <n v="29"/>
    <n v="200801"/>
    <n v="580000"/>
  </r>
  <r>
    <x v="397"/>
    <x v="6"/>
    <m/>
    <x v="0"/>
    <x v="2"/>
    <x v="16"/>
    <n v="200801"/>
    <n v="200801"/>
    <m/>
    <n v="30"/>
    <n v="200801"/>
    <n v="1050000"/>
  </r>
  <r>
    <x v="397"/>
    <x v="6"/>
    <m/>
    <x v="0"/>
    <x v="2"/>
    <x v="17"/>
    <n v="200801"/>
    <n v="200801"/>
    <m/>
    <n v="41"/>
    <n v="200801"/>
    <n v="1353000"/>
  </r>
  <r>
    <x v="397"/>
    <x v="6"/>
    <m/>
    <x v="0"/>
    <x v="2"/>
    <x v="19"/>
    <n v="200801"/>
    <n v="200801"/>
    <m/>
    <n v="33"/>
    <n v="200801"/>
    <n v="99000"/>
  </r>
  <r>
    <x v="397"/>
    <x v="6"/>
    <m/>
    <x v="5"/>
    <x v="2"/>
    <x v="28"/>
    <n v="200801"/>
    <n v="200801"/>
    <m/>
    <n v="23"/>
    <n v="200801"/>
    <n v="644000"/>
  </r>
  <r>
    <x v="397"/>
    <x v="6"/>
    <m/>
    <x v="5"/>
    <x v="2"/>
    <x v="69"/>
    <n v="200801"/>
    <n v="200801"/>
    <m/>
    <n v="7"/>
    <n v="200801"/>
    <n v="336000"/>
  </r>
  <r>
    <x v="397"/>
    <x v="6"/>
    <m/>
    <x v="22"/>
    <x v="2"/>
    <x v="29"/>
    <n v="200801"/>
    <n v="200801"/>
    <m/>
    <n v="5"/>
    <n v="200801"/>
    <n v="190000"/>
  </r>
  <r>
    <x v="397"/>
    <x v="6"/>
    <m/>
    <x v="19"/>
    <x v="2"/>
    <x v="22"/>
    <n v="200801"/>
    <n v="200801"/>
    <m/>
    <n v="12"/>
    <n v="200801"/>
    <n v="156000"/>
  </r>
  <r>
    <x v="397"/>
    <x v="6"/>
    <m/>
    <x v="19"/>
    <x v="2"/>
    <x v="23"/>
    <n v="200801"/>
    <n v="200801"/>
    <m/>
    <n v="3"/>
    <n v="200801"/>
    <n v="72000"/>
  </r>
  <r>
    <x v="397"/>
    <x v="6"/>
    <m/>
    <x v="33"/>
    <x v="2"/>
    <x v="92"/>
    <n v="200801"/>
    <n v="200801"/>
    <m/>
    <n v="3"/>
    <n v="200801"/>
    <n v="54600"/>
  </r>
  <r>
    <x v="397"/>
    <x v="6"/>
    <m/>
    <x v="0"/>
    <x v="9"/>
    <x v="15"/>
    <n v="200801"/>
    <n v="200801"/>
    <m/>
    <n v="2"/>
    <n v="200801"/>
    <n v="40000"/>
  </r>
  <r>
    <x v="398"/>
    <x v="3"/>
    <m/>
    <x v="0"/>
    <x v="1"/>
    <x v="15"/>
    <n v="200801"/>
    <n v="200801"/>
    <m/>
    <n v="4"/>
    <n v="200801"/>
    <n v="80000"/>
  </r>
  <r>
    <x v="398"/>
    <x v="3"/>
    <m/>
    <x v="0"/>
    <x v="1"/>
    <x v="16"/>
    <n v="200801"/>
    <n v="200801"/>
    <m/>
    <n v="20"/>
    <n v="200801"/>
    <n v="700000"/>
  </r>
  <r>
    <x v="398"/>
    <x v="3"/>
    <m/>
    <x v="0"/>
    <x v="7"/>
    <x v="15"/>
    <n v="200801"/>
    <n v="200801"/>
    <m/>
    <n v="5"/>
    <n v="200801"/>
    <n v="100000"/>
  </r>
  <r>
    <x v="398"/>
    <x v="3"/>
    <m/>
    <x v="30"/>
    <x v="3"/>
    <x v="87"/>
    <n v="200801"/>
    <n v="200801"/>
    <m/>
    <n v="1"/>
    <n v="200801"/>
    <n v="0"/>
  </r>
  <r>
    <x v="398"/>
    <x v="3"/>
    <m/>
    <x v="31"/>
    <x v="3"/>
    <x v="88"/>
    <n v="200801"/>
    <n v="200801"/>
    <m/>
    <n v="1"/>
    <n v="200801"/>
    <n v="0"/>
  </r>
  <r>
    <x v="398"/>
    <x v="3"/>
    <m/>
    <x v="33"/>
    <x v="3"/>
    <x v="94"/>
    <n v="200801"/>
    <n v="200801"/>
    <m/>
    <n v="1"/>
    <n v="200801"/>
    <n v="0"/>
  </r>
  <r>
    <x v="398"/>
    <x v="3"/>
    <m/>
    <x v="0"/>
    <x v="3"/>
    <x v="15"/>
    <n v="200801"/>
    <n v="200801"/>
    <m/>
    <n v="4"/>
    <n v="200801"/>
    <n v="0"/>
  </r>
  <r>
    <x v="398"/>
    <x v="3"/>
    <m/>
    <x v="0"/>
    <x v="3"/>
    <x v="17"/>
    <n v="200801"/>
    <n v="200801"/>
    <m/>
    <n v="3"/>
    <n v="200801"/>
    <n v="0"/>
  </r>
  <r>
    <x v="398"/>
    <x v="3"/>
    <m/>
    <x v="18"/>
    <x v="3"/>
    <x v="19"/>
    <n v="200801"/>
    <n v="200801"/>
    <m/>
    <n v="1"/>
    <n v="200801"/>
    <n v="0"/>
  </r>
  <r>
    <x v="398"/>
    <x v="3"/>
    <m/>
    <x v="5"/>
    <x v="3"/>
    <x v="28"/>
    <n v="200801"/>
    <n v="200801"/>
    <m/>
    <n v="1"/>
    <n v="200801"/>
    <n v="0"/>
  </r>
  <r>
    <x v="398"/>
    <x v="3"/>
    <m/>
    <x v="4"/>
    <x v="3"/>
    <x v="27"/>
    <n v="200801"/>
    <n v="200801"/>
    <m/>
    <n v="1"/>
    <n v="200801"/>
    <n v="0"/>
  </r>
  <r>
    <x v="398"/>
    <x v="3"/>
    <m/>
    <x v="19"/>
    <x v="3"/>
    <x v="22"/>
    <n v="200801"/>
    <n v="200801"/>
    <m/>
    <n v="1"/>
    <n v="200801"/>
    <n v="0"/>
  </r>
  <r>
    <x v="398"/>
    <x v="3"/>
    <m/>
    <x v="1"/>
    <x v="3"/>
    <x v="18"/>
    <n v="200801"/>
    <n v="200801"/>
    <m/>
    <n v="1"/>
    <n v="200801"/>
    <n v="0"/>
  </r>
  <r>
    <x v="398"/>
    <x v="3"/>
    <m/>
    <x v="6"/>
    <x v="2"/>
    <x v="37"/>
    <n v="200801"/>
    <n v="200801"/>
    <m/>
    <n v="2"/>
    <n v="200801"/>
    <n v="40000"/>
  </r>
  <r>
    <x v="398"/>
    <x v="3"/>
    <m/>
    <x v="25"/>
    <x v="2"/>
    <x v="34"/>
    <n v="200801"/>
    <n v="200801"/>
    <m/>
    <n v="3"/>
    <n v="200801"/>
    <n v="297000"/>
  </r>
  <r>
    <x v="398"/>
    <x v="3"/>
    <m/>
    <x v="31"/>
    <x v="2"/>
    <x v="95"/>
    <n v="200801"/>
    <n v="200801"/>
    <m/>
    <n v="32"/>
    <n v="200801"/>
    <n v="716800"/>
  </r>
  <r>
    <x v="398"/>
    <x v="3"/>
    <m/>
    <x v="31"/>
    <x v="2"/>
    <x v="96"/>
    <n v="200801"/>
    <n v="200801"/>
    <m/>
    <n v="29"/>
    <n v="200801"/>
    <n v="1136800"/>
  </r>
  <r>
    <x v="398"/>
    <x v="3"/>
    <m/>
    <x v="32"/>
    <x v="2"/>
    <x v="97"/>
    <n v="200801"/>
    <n v="200801"/>
    <m/>
    <n v="25"/>
    <n v="200801"/>
    <n v="927500"/>
  </r>
  <r>
    <x v="398"/>
    <x v="3"/>
    <m/>
    <x v="34"/>
    <x v="2"/>
    <x v="105"/>
    <n v="200801"/>
    <n v="200801"/>
    <m/>
    <n v="32"/>
    <n v="200801"/>
    <n v="1187200"/>
  </r>
  <r>
    <x v="398"/>
    <x v="3"/>
    <m/>
    <x v="30"/>
    <x v="2"/>
    <x v="99"/>
    <n v="200801"/>
    <n v="200801"/>
    <m/>
    <n v="10"/>
    <n v="200801"/>
    <n v="224000"/>
  </r>
  <r>
    <x v="398"/>
    <x v="3"/>
    <m/>
    <x v="30"/>
    <x v="2"/>
    <x v="100"/>
    <n v="200801"/>
    <n v="200801"/>
    <m/>
    <n v="1"/>
    <n v="200801"/>
    <n v="39200"/>
  </r>
  <r>
    <x v="398"/>
    <x v="3"/>
    <m/>
    <x v="1"/>
    <x v="2"/>
    <x v="18"/>
    <n v="200801"/>
    <n v="200801"/>
    <m/>
    <n v="7"/>
    <n v="200801"/>
    <n v="140000"/>
  </r>
  <r>
    <x v="398"/>
    <x v="3"/>
    <m/>
    <x v="1"/>
    <x v="2"/>
    <x v="21"/>
    <n v="200801"/>
    <n v="200801"/>
    <m/>
    <n v="2"/>
    <n v="200801"/>
    <n v="70000"/>
  </r>
  <r>
    <x v="398"/>
    <x v="3"/>
    <m/>
    <x v="4"/>
    <x v="2"/>
    <x v="26"/>
    <n v="200801"/>
    <n v="200801"/>
    <m/>
    <n v="1"/>
    <n v="200801"/>
    <n v="4000"/>
  </r>
  <r>
    <x v="398"/>
    <x v="3"/>
    <m/>
    <x v="4"/>
    <x v="2"/>
    <x v="27"/>
    <n v="200801"/>
    <n v="200801"/>
    <m/>
    <n v="2"/>
    <n v="200801"/>
    <n v="40000"/>
  </r>
  <r>
    <x v="398"/>
    <x v="3"/>
    <m/>
    <x v="0"/>
    <x v="2"/>
    <x v="15"/>
    <n v="200801"/>
    <n v="200801"/>
    <m/>
    <n v="40"/>
    <n v="200801"/>
    <n v="800000"/>
  </r>
  <r>
    <x v="398"/>
    <x v="3"/>
    <m/>
    <x v="0"/>
    <x v="2"/>
    <x v="16"/>
    <n v="200801"/>
    <n v="200801"/>
    <m/>
    <n v="37"/>
    <n v="200801"/>
    <n v="1295000"/>
  </r>
  <r>
    <x v="398"/>
    <x v="3"/>
    <m/>
    <x v="0"/>
    <x v="2"/>
    <x v="17"/>
    <n v="200801"/>
    <n v="200801"/>
    <m/>
    <n v="51"/>
    <n v="200801"/>
    <n v="1683000"/>
  </r>
  <r>
    <x v="398"/>
    <x v="3"/>
    <m/>
    <x v="0"/>
    <x v="2"/>
    <x v="19"/>
    <n v="200801"/>
    <n v="200801"/>
    <m/>
    <n v="28"/>
    <n v="200801"/>
    <n v="84000"/>
  </r>
  <r>
    <x v="398"/>
    <x v="3"/>
    <m/>
    <x v="5"/>
    <x v="2"/>
    <x v="28"/>
    <n v="200801"/>
    <n v="200801"/>
    <m/>
    <n v="22"/>
    <n v="200801"/>
    <n v="616000"/>
  </r>
  <r>
    <x v="398"/>
    <x v="3"/>
    <m/>
    <x v="5"/>
    <x v="2"/>
    <x v="69"/>
    <n v="200801"/>
    <n v="200801"/>
    <m/>
    <n v="9"/>
    <n v="200801"/>
    <n v="432000"/>
  </r>
  <r>
    <x v="398"/>
    <x v="3"/>
    <m/>
    <x v="22"/>
    <x v="2"/>
    <x v="29"/>
    <n v="200801"/>
    <n v="200801"/>
    <m/>
    <n v="11"/>
    <n v="200801"/>
    <n v="418000"/>
  </r>
  <r>
    <x v="398"/>
    <x v="3"/>
    <m/>
    <x v="19"/>
    <x v="2"/>
    <x v="22"/>
    <n v="200801"/>
    <n v="200801"/>
    <m/>
    <n v="11"/>
    <n v="200801"/>
    <n v="143000"/>
  </r>
  <r>
    <x v="398"/>
    <x v="3"/>
    <m/>
    <x v="19"/>
    <x v="2"/>
    <x v="23"/>
    <n v="200801"/>
    <n v="200801"/>
    <m/>
    <n v="3"/>
    <n v="200801"/>
    <n v="72000"/>
  </r>
  <r>
    <x v="398"/>
    <x v="3"/>
    <m/>
    <x v="19"/>
    <x v="2"/>
    <x v="24"/>
    <n v="200801"/>
    <n v="200801"/>
    <m/>
    <n v="2"/>
    <n v="200801"/>
    <n v="66000"/>
  </r>
  <r>
    <x v="398"/>
    <x v="3"/>
    <m/>
    <x v="33"/>
    <x v="2"/>
    <x v="92"/>
    <n v="200801"/>
    <n v="200801"/>
    <m/>
    <n v="1"/>
    <n v="200801"/>
    <n v="18200"/>
  </r>
  <r>
    <x v="398"/>
    <x v="3"/>
    <m/>
    <x v="33"/>
    <x v="2"/>
    <x v="93"/>
    <n v="200801"/>
    <n v="200801"/>
    <m/>
    <n v="1"/>
    <n v="200801"/>
    <n v="33800"/>
  </r>
  <r>
    <x v="398"/>
    <x v="3"/>
    <m/>
    <x v="0"/>
    <x v="9"/>
    <x v="15"/>
    <n v="200801"/>
    <n v="200801"/>
    <m/>
    <n v="7"/>
    <n v="200801"/>
    <n v="140000"/>
  </r>
  <r>
    <x v="398"/>
    <x v="3"/>
    <m/>
    <x v="31"/>
    <x v="9"/>
    <x v="88"/>
    <n v="200801"/>
    <n v="200801"/>
    <m/>
    <n v="1"/>
    <n v="200801"/>
    <n v="22400"/>
  </r>
  <r>
    <x v="399"/>
    <x v="4"/>
    <m/>
    <x v="0"/>
    <x v="1"/>
    <x v="16"/>
    <n v="200801"/>
    <n v="200801"/>
    <m/>
    <n v="6"/>
    <n v="200801"/>
    <n v="210000"/>
  </r>
  <r>
    <x v="399"/>
    <x v="4"/>
    <m/>
    <x v="0"/>
    <x v="7"/>
    <x v="15"/>
    <n v="200801"/>
    <n v="200801"/>
    <m/>
    <n v="5"/>
    <n v="200801"/>
    <n v="100000"/>
  </r>
  <r>
    <x v="399"/>
    <x v="4"/>
    <m/>
    <x v="30"/>
    <x v="3"/>
    <x v="87"/>
    <n v="200801"/>
    <n v="200801"/>
    <m/>
    <n v="30"/>
    <n v="200801"/>
    <n v="0"/>
  </r>
  <r>
    <x v="399"/>
    <x v="4"/>
    <m/>
    <x v="6"/>
    <x v="2"/>
    <x v="37"/>
    <n v="200801"/>
    <n v="200801"/>
    <m/>
    <n v="4"/>
    <n v="200801"/>
    <n v="80000"/>
  </r>
  <r>
    <x v="399"/>
    <x v="4"/>
    <m/>
    <x v="6"/>
    <x v="2"/>
    <x v="42"/>
    <n v="200801"/>
    <n v="200801"/>
    <m/>
    <n v="1"/>
    <n v="200801"/>
    <n v="35000"/>
  </r>
  <r>
    <x v="399"/>
    <x v="4"/>
    <m/>
    <x v="25"/>
    <x v="2"/>
    <x v="34"/>
    <n v="200801"/>
    <n v="200801"/>
    <m/>
    <n v="3"/>
    <n v="200801"/>
    <n v="297000"/>
  </r>
  <r>
    <x v="399"/>
    <x v="4"/>
    <m/>
    <x v="31"/>
    <x v="2"/>
    <x v="95"/>
    <n v="200801"/>
    <n v="200801"/>
    <m/>
    <n v="20"/>
    <n v="200801"/>
    <n v="448000"/>
  </r>
  <r>
    <x v="399"/>
    <x v="4"/>
    <m/>
    <x v="31"/>
    <x v="2"/>
    <x v="96"/>
    <n v="200801"/>
    <n v="200801"/>
    <m/>
    <n v="33"/>
    <n v="200801"/>
    <n v="1293600"/>
  </r>
  <r>
    <x v="399"/>
    <x v="4"/>
    <m/>
    <x v="32"/>
    <x v="2"/>
    <x v="97"/>
    <n v="200801"/>
    <n v="200801"/>
    <m/>
    <n v="15"/>
    <n v="200801"/>
    <n v="556500"/>
  </r>
  <r>
    <x v="399"/>
    <x v="4"/>
    <m/>
    <x v="34"/>
    <x v="2"/>
    <x v="105"/>
    <n v="200801"/>
    <n v="200801"/>
    <m/>
    <n v="26"/>
    <n v="200801"/>
    <n v="964600"/>
  </r>
  <r>
    <x v="399"/>
    <x v="4"/>
    <m/>
    <x v="30"/>
    <x v="2"/>
    <x v="99"/>
    <n v="200801"/>
    <n v="200801"/>
    <m/>
    <n v="12"/>
    <n v="200801"/>
    <n v="268800"/>
  </r>
  <r>
    <x v="399"/>
    <x v="4"/>
    <m/>
    <x v="1"/>
    <x v="2"/>
    <x v="21"/>
    <n v="200801"/>
    <n v="200801"/>
    <m/>
    <n v="1"/>
    <n v="200801"/>
    <n v="35000"/>
  </r>
  <r>
    <x v="399"/>
    <x v="4"/>
    <m/>
    <x v="4"/>
    <x v="2"/>
    <x v="26"/>
    <n v="200801"/>
    <n v="200801"/>
    <m/>
    <n v="6"/>
    <n v="200801"/>
    <n v="24000"/>
  </r>
  <r>
    <x v="399"/>
    <x v="4"/>
    <m/>
    <x v="4"/>
    <x v="2"/>
    <x v="27"/>
    <n v="200801"/>
    <n v="200801"/>
    <m/>
    <n v="1"/>
    <n v="200801"/>
    <n v="20000"/>
  </r>
  <r>
    <x v="399"/>
    <x v="4"/>
    <m/>
    <x v="0"/>
    <x v="2"/>
    <x v="15"/>
    <n v="200801"/>
    <n v="200801"/>
    <m/>
    <n v="33"/>
    <n v="200801"/>
    <n v="660000"/>
  </r>
  <r>
    <x v="399"/>
    <x v="4"/>
    <m/>
    <x v="0"/>
    <x v="2"/>
    <x v="16"/>
    <n v="200801"/>
    <n v="200801"/>
    <m/>
    <n v="26"/>
    <n v="200801"/>
    <n v="910000"/>
  </r>
  <r>
    <x v="399"/>
    <x v="4"/>
    <m/>
    <x v="0"/>
    <x v="2"/>
    <x v="17"/>
    <n v="200801"/>
    <n v="200801"/>
    <m/>
    <n v="50"/>
    <n v="200801"/>
    <n v="1650000"/>
  </r>
  <r>
    <x v="399"/>
    <x v="4"/>
    <m/>
    <x v="0"/>
    <x v="2"/>
    <x v="19"/>
    <n v="200801"/>
    <n v="200801"/>
    <m/>
    <n v="29"/>
    <n v="200801"/>
    <n v="87000"/>
  </r>
  <r>
    <x v="399"/>
    <x v="4"/>
    <m/>
    <x v="5"/>
    <x v="2"/>
    <x v="28"/>
    <n v="200801"/>
    <n v="200801"/>
    <m/>
    <n v="25"/>
    <n v="200801"/>
    <n v="700000"/>
  </r>
  <r>
    <x v="399"/>
    <x v="4"/>
    <m/>
    <x v="5"/>
    <x v="2"/>
    <x v="69"/>
    <n v="200801"/>
    <n v="200801"/>
    <m/>
    <n v="9"/>
    <n v="200801"/>
    <n v="432000"/>
  </r>
  <r>
    <x v="399"/>
    <x v="4"/>
    <m/>
    <x v="22"/>
    <x v="2"/>
    <x v="29"/>
    <n v="200801"/>
    <n v="200801"/>
    <m/>
    <n v="3"/>
    <n v="200801"/>
    <n v="114000"/>
  </r>
  <r>
    <x v="399"/>
    <x v="4"/>
    <m/>
    <x v="19"/>
    <x v="2"/>
    <x v="22"/>
    <n v="200801"/>
    <n v="200801"/>
    <m/>
    <n v="7"/>
    <n v="200801"/>
    <n v="91000"/>
  </r>
  <r>
    <x v="399"/>
    <x v="4"/>
    <m/>
    <x v="19"/>
    <x v="2"/>
    <x v="23"/>
    <n v="200801"/>
    <n v="200801"/>
    <m/>
    <n v="3"/>
    <n v="200801"/>
    <n v="72000"/>
  </r>
  <r>
    <x v="399"/>
    <x v="4"/>
    <m/>
    <x v="33"/>
    <x v="2"/>
    <x v="92"/>
    <n v="200801"/>
    <n v="200801"/>
    <m/>
    <n v="1"/>
    <n v="200801"/>
    <n v="18200"/>
  </r>
  <r>
    <x v="399"/>
    <x v="4"/>
    <m/>
    <x v="33"/>
    <x v="2"/>
    <x v="93"/>
    <n v="200801"/>
    <n v="200801"/>
    <m/>
    <n v="1"/>
    <n v="200801"/>
    <n v="33800"/>
  </r>
  <r>
    <x v="399"/>
    <x v="4"/>
    <m/>
    <x v="0"/>
    <x v="9"/>
    <x v="15"/>
    <n v="200801"/>
    <n v="200801"/>
    <m/>
    <n v="1"/>
    <n v="200801"/>
    <n v="20000"/>
  </r>
  <r>
    <x v="399"/>
    <x v="4"/>
    <m/>
    <x v="19"/>
    <x v="19"/>
    <x v="22"/>
    <n v="200801"/>
    <n v="200801"/>
    <m/>
    <n v="1"/>
    <n v="200801"/>
    <n v="16000"/>
  </r>
  <r>
    <x v="400"/>
    <x v="1"/>
    <m/>
    <x v="0"/>
    <x v="1"/>
    <x v="15"/>
    <n v="200801"/>
    <n v="200801"/>
    <m/>
    <n v="1"/>
    <n v="200801"/>
    <n v="20000"/>
  </r>
  <r>
    <x v="400"/>
    <x v="1"/>
    <m/>
    <x v="0"/>
    <x v="1"/>
    <x v="16"/>
    <n v="200801"/>
    <n v="200801"/>
    <m/>
    <n v="5"/>
    <n v="200801"/>
    <n v="175000"/>
  </r>
  <r>
    <x v="400"/>
    <x v="1"/>
    <m/>
    <x v="0"/>
    <x v="7"/>
    <x v="15"/>
    <n v="200801"/>
    <n v="200801"/>
    <m/>
    <n v="1"/>
    <n v="200801"/>
    <n v="20000"/>
  </r>
  <r>
    <x v="400"/>
    <x v="1"/>
    <m/>
    <x v="30"/>
    <x v="3"/>
    <x v="87"/>
    <n v="200801"/>
    <n v="200801"/>
    <m/>
    <n v="1"/>
    <n v="200801"/>
    <n v="0"/>
  </r>
  <r>
    <x v="400"/>
    <x v="1"/>
    <m/>
    <x v="31"/>
    <x v="3"/>
    <x v="88"/>
    <n v="200801"/>
    <n v="200801"/>
    <m/>
    <n v="1"/>
    <n v="200801"/>
    <n v="0"/>
  </r>
  <r>
    <x v="400"/>
    <x v="1"/>
    <m/>
    <x v="33"/>
    <x v="3"/>
    <x v="94"/>
    <n v="200801"/>
    <n v="200801"/>
    <m/>
    <n v="1"/>
    <n v="200801"/>
    <n v="0"/>
  </r>
  <r>
    <x v="400"/>
    <x v="1"/>
    <m/>
    <x v="0"/>
    <x v="3"/>
    <x v="15"/>
    <n v="200801"/>
    <n v="200801"/>
    <m/>
    <n v="11"/>
    <n v="200801"/>
    <n v="0"/>
  </r>
  <r>
    <x v="400"/>
    <x v="1"/>
    <m/>
    <x v="18"/>
    <x v="3"/>
    <x v="19"/>
    <n v="200801"/>
    <n v="200801"/>
    <m/>
    <n v="1"/>
    <n v="200801"/>
    <n v="0"/>
  </r>
  <r>
    <x v="400"/>
    <x v="1"/>
    <m/>
    <x v="5"/>
    <x v="3"/>
    <x v="28"/>
    <n v="200801"/>
    <n v="200801"/>
    <m/>
    <n v="1"/>
    <n v="200801"/>
    <n v="0"/>
  </r>
  <r>
    <x v="400"/>
    <x v="1"/>
    <m/>
    <x v="4"/>
    <x v="3"/>
    <x v="27"/>
    <n v="200801"/>
    <n v="200801"/>
    <m/>
    <n v="1"/>
    <n v="200801"/>
    <n v="0"/>
  </r>
  <r>
    <x v="400"/>
    <x v="1"/>
    <m/>
    <x v="6"/>
    <x v="3"/>
    <x v="37"/>
    <n v="200801"/>
    <n v="200801"/>
    <m/>
    <n v="1"/>
    <n v="200801"/>
    <n v="0"/>
  </r>
  <r>
    <x v="400"/>
    <x v="1"/>
    <m/>
    <x v="22"/>
    <x v="3"/>
    <x v="29"/>
    <n v="200801"/>
    <n v="200801"/>
    <m/>
    <n v="1"/>
    <n v="200801"/>
    <n v="0"/>
  </r>
  <r>
    <x v="400"/>
    <x v="1"/>
    <m/>
    <x v="19"/>
    <x v="3"/>
    <x v="22"/>
    <n v="200801"/>
    <n v="200801"/>
    <m/>
    <n v="1"/>
    <n v="200801"/>
    <n v="0"/>
  </r>
  <r>
    <x v="400"/>
    <x v="1"/>
    <m/>
    <x v="1"/>
    <x v="3"/>
    <x v="18"/>
    <n v="200801"/>
    <n v="200801"/>
    <m/>
    <n v="1"/>
    <n v="200801"/>
    <n v="0"/>
  </r>
  <r>
    <x v="400"/>
    <x v="1"/>
    <m/>
    <x v="6"/>
    <x v="2"/>
    <x v="37"/>
    <n v="200801"/>
    <n v="200801"/>
    <m/>
    <n v="2"/>
    <n v="200801"/>
    <n v="40000"/>
  </r>
  <r>
    <x v="400"/>
    <x v="1"/>
    <m/>
    <x v="25"/>
    <x v="2"/>
    <x v="34"/>
    <n v="200801"/>
    <n v="200801"/>
    <m/>
    <n v="1"/>
    <n v="200801"/>
    <n v="99000"/>
  </r>
  <r>
    <x v="400"/>
    <x v="1"/>
    <m/>
    <x v="31"/>
    <x v="2"/>
    <x v="95"/>
    <n v="200801"/>
    <n v="200801"/>
    <m/>
    <n v="24"/>
    <n v="200801"/>
    <n v="537600"/>
  </r>
  <r>
    <x v="400"/>
    <x v="1"/>
    <m/>
    <x v="31"/>
    <x v="2"/>
    <x v="96"/>
    <n v="200801"/>
    <n v="200801"/>
    <m/>
    <n v="33"/>
    <n v="200801"/>
    <n v="1293600"/>
  </r>
  <r>
    <x v="400"/>
    <x v="1"/>
    <m/>
    <x v="32"/>
    <x v="2"/>
    <x v="97"/>
    <n v="200801"/>
    <n v="200801"/>
    <m/>
    <n v="19"/>
    <n v="200801"/>
    <n v="704900"/>
  </r>
  <r>
    <x v="400"/>
    <x v="1"/>
    <m/>
    <x v="34"/>
    <x v="2"/>
    <x v="105"/>
    <n v="200801"/>
    <n v="200801"/>
    <m/>
    <n v="22"/>
    <n v="200801"/>
    <n v="816200"/>
  </r>
  <r>
    <x v="400"/>
    <x v="1"/>
    <m/>
    <x v="30"/>
    <x v="2"/>
    <x v="99"/>
    <n v="200801"/>
    <n v="200801"/>
    <m/>
    <n v="8"/>
    <n v="200801"/>
    <n v="179200"/>
  </r>
  <r>
    <x v="400"/>
    <x v="1"/>
    <m/>
    <x v="30"/>
    <x v="2"/>
    <x v="100"/>
    <n v="200801"/>
    <n v="200801"/>
    <m/>
    <n v="1"/>
    <n v="200801"/>
    <n v="39200"/>
  </r>
  <r>
    <x v="400"/>
    <x v="1"/>
    <m/>
    <x v="1"/>
    <x v="2"/>
    <x v="18"/>
    <n v="200801"/>
    <n v="200801"/>
    <m/>
    <n v="6"/>
    <n v="200801"/>
    <n v="120000"/>
  </r>
  <r>
    <x v="400"/>
    <x v="1"/>
    <m/>
    <x v="1"/>
    <x v="2"/>
    <x v="21"/>
    <n v="200801"/>
    <n v="200801"/>
    <m/>
    <n v="1"/>
    <n v="200801"/>
    <n v="35000"/>
  </r>
  <r>
    <x v="400"/>
    <x v="1"/>
    <m/>
    <x v="4"/>
    <x v="2"/>
    <x v="26"/>
    <n v="200801"/>
    <n v="200801"/>
    <m/>
    <n v="2"/>
    <n v="200801"/>
    <n v="8000"/>
  </r>
  <r>
    <x v="400"/>
    <x v="1"/>
    <m/>
    <x v="4"/>
    <x v="2"/>
    <x v="27"/>
    <n v="200801"/>
    <n v="200801"/>
    <m/>
    <n v="4"/>
    <n v="200801"/>
    <n v="80000"/>
  </r>
  <r>
    <x v="400"/>
    <x v="1"/>
    <m/>
    <x v="0"/>
    <x v="2"/>
    <x v="15"/>
    <n v="200801"/>
    <n v="200801"/>
    <m/>
    <n v="42"/>
    <n v="200801"/>
    <n v="840000"/>
  </r>
  <r>
    <x v="400"/>
    <x v="1"/>
    <m/>
    <x v="0"/>
    <x v="2"/>
    <x v="16"/>
    <n v="200801"/>
    <n v="200801"/>
    <m/>
    <n v="26"/>
    <n v="200801"/>
    <n v="910000"/>
  </r>
  <r>
    <x v="400"/>
    <x v="1"/>
    <m/>
    <x v="0"/>
    <x v="2"/>
    <x v="17"/>
    <n v="200801"/>
    <n v="200801"/>
    <m/>
    <n v="49"/>
    <n v="200801"/>
    <n v="1617000"/>
  </r>
  <r>
    <x v="400"/>
    <x v="1"/>
    <m/>
    <x v="0"/>
    <x v="2"/>
    <x v="19"/>
    <n v="200801"/>
    <n v="200801"/>
    <m/>
    <n v="42"/>
    <n v="200801"/>
    <n v="126000"/>
  </r>
  <r>
    <x v="400"/>
    <x v="1"/>
    <m/>
    <x v="5"/>
    <x v="2"/>
    <x v="28"/>
    <n v="200801"/>
    <n v="200801"/>
    <m/>
    <n v="18"/>
    <n v="200801"/>
    <n v="504000"/>
  </r>
  <r>
    <x v="400"/>
    <x v="1"/>
    <m/>
    <x v="5"/>
    <x v="2"/>
    <x v="69"/>
    <n v="200801"/>
    <n v="200801"/>
    <m/>
    <n v="7"/>
    <n v="200801"/>
    <n v="336000"/>
  </r>
  <r>
    <x v="400"/>
    <x v="1"/>
    <m/>
    <x v="22"/>
    <x v="2"/>
    <x v="29"/>
    <n v="200801"/>
    <n v="200801"/>
    <m/>
    <n v="12"/>
    <n v="200801"/>
    <n v="456000"/>
  </r>
  <r>
    <x v="400"/>
    <x v="1"/>
    <m/>
    <x v="19"/>
    <x v="2"/>
    <x v="22"/>
    <n v="200801"/>
    <n v="200801"/>
    <m/>
    <n v="19"/>
    <n v="200801"/>
    <n v="247000"/>
  </r>
  <r>
    <x v="400"/>
    <x v="1"/>
    <m/>
    <x v="19"/>
    <x v="2"/>
    <x v="23"/>
    <n v="200801"/>
    <n v="200801"/>
    <m/>
    <n v="1"/>
    <n v="200801"/>
    <n v="24000"/>
  </r>
  <r>
    <x v="400"/>
    <x v="1"/>
    <m/>
    <x v="19"/>
    <x v="2"/>
    <x v="24"/>
    <n v="200801"/>
    <n v="200801"/>
    <m/>
    <n v="1"/>
    <n v="200801"/>
    <n v="33000"/>
  </r>
  <r>
    <x v="400"/>
    <x v="1"/>
    <m/>
    <x v="33"/>
    <x v="2"/>
    <x v="92"/>
    <n v="200801"/>
    <n v="200801"/>
    <m/>
    <n v="3"/>
    <n v="200801"/>
    <n v="54600"/>
  </r>
  <r>
    <x v="400"/>
    <x v="1"/>
    <m/>
    <x v="33"/>
    <x v="2"/>
    <x v="93"/>
    <n v="200801"/>
    <n v="200801"/>
    <m/>
    <n v="1"/>
    <n v="200801"/>
    <n v="33800"/>
  </r>
  <r>
    <x v="400"/>
    <x v="1"/>
    <m/>
    <x v="5"/>
    <x v="9"/>
    <x v="28"/>
    <n v="200801"/>
    <n v="200801"/>
    <m/>
    <n v="1"/>
    <n v="200801"/>
    <n v="28000"/>
  </r>
  <r>
    <x v="400"/>
    <x v="1"/>
    <m/>
    <x v="0"/>
    <x v="9"/>
    <x v="15"/>
    <n v="200801"/>
    <n v="200801"/>
    <m/>
    <n v="4"/>
    <n v="200801"/>
    <n v="80000"/>
  </r>
  <r>
    <x v="400"/>
    <x v="1"/>
    <m/>
    <x v="19"/>
    <x v="9"/>
    <x v="22"/>
    <n v="200801"/>
    <n v="200801"/>
    <m/>
    <n v="1"/>
    <n v="200801"/>
    <n v="13000"/>
  </r>
  <r>
    <x v="401"/>
    <x v="0"/>
    <m/>
    <x v="0"/>
    <x v="1"/>
    <x v="15"/>
    <n v="200801"/>
    <n v="200801"/>
    <m/>
    <n v="3"/>
    <n v="200801"/>
    <n v="60000"/>
  </r>
  <r>
    <x v="401"/>
    <x v="0"/>
    <m/>
    <x v="0"/>
    <x v="1"/>
    <x v="16"/>
    <n v="200801"/>
    <n v="200801"/>
    <m/>
    <n v="10"/>
    <n v="200801"/>
    <n v="350000"/>
  </r>
  <r>
    <x v="401"/>
    <x v="0"/>
    <m/>
    <x v="31"/>
    <x v="3"/>
    <x v="88"/>
    <n v="200801"/>
    <n v="200801"/>
    <m/>
    <n v="40"/>
    <n v="200801"/>
    <n v="0"/>
  </r>
  <r>
    <x v="401"/>
    <x v="0"/>
    <m/>
    <x v="6"/>
    <x v="2"/>
    <x v="37"/>
    <n v="200801"/>
    <n v="200801"/>
    <m/>
    <n v="3"/>
    <n v="200801"/>
    <n v="60000"/>
  </r>
  <r>
    <x v="401"/>
    <x v="0"/>
    <m/>
    <x v="6"/>
    <x v="2"/>
    <x v="42"/>
    <n v="200801"/>
    <n v="200801"/>
    <m/>
    <n v="1"/>
    <n v="200801"/>
    <n v="35000"/>
  </r>
  <r>
    <x v="401"/>
    <x v="0"/>
    <m/>
    <x v="31"/>
    <x v="2"/>
    <x v="95"/>
    <n v="200801"/>
    <n v="200801"/>
    <m/>
    <n v="21"/>
    <n v="200801"/>
    <n v="470400"/>
  </r>
  <r>
    <x v="401"/>
    <x v="0"/>
    <m/>
    <x v="31"/>
    <x v="2"/>
    <x v="96"/>
    <n v="200801"/>
    <n v="200801"/>
    <m/>
    <n v="24"/>
    <n v="200801"/>
    <n v="940800"/>
  </r>
  <r>
    <x v="401"/>
    <x v="0"/>
    <m/>
    <x v="32"/>
    <x v="2"/>
    <x v="97"/>
    <n v="200801"/>
    <n v="200801"/>
    <m/>
    <n v="26"/>
    <n v="200801"/>
    <n v="964600"/>
  </r>
  <r>
    <x v="401"/>
    <x v="0"/>
    <m/>
    <x v="34"/>
    <x v="2"/>
    <x v="105"/>
    <n v="200801"/>
    <n v="200801"/>
    <m/>
    <n v="30"/>
    <n v="200801"/>
    <n v="1113000"/>
  </r>
  <r>
    <x v="401"/>
    <x v="0"/>
    <m/>
    <x v="30"/>
    <x v="2"/>
    <x v="99"/>
    <n v="200801"/>
    <n v="200801"/>
    <m/>
    <n v="6"/>
    <n v="200801"/>
    <n v="134400"/>
  </r>
  <r>
    <x v="401"/>
    <x v="0"/>
    <m/>
    <x v="30"/>
    <x v="2"/>
    <x v="100"/>
    <n v="200801"/>
    <n v="200801"/>
    <m/>
    <n v="1"/>
    <n v="200801"/>
    <n v="39200"/>
  </r>
  <r>
    <x v="401"/>
    <x v="0"/>
    <m/>
    <x v="1"/>
    <x v="2"/>
    <x v="18"/>
    <n v="200801"/>
    <n v="200801"/>
    <m/>
    <n v="7"/>
    <n v="200801"/>
    <n v="140000"/>
  </r>
  <r>
    <x v="401"/>
    <x v="0"/>
    <m/>
    <x v="4"/>
    <x v="2"/>
    <x v="26"/>
    <n v="200801"/>
    <n v="200801"/>
    <m/>
    <n v="2"/>
    <n v="200801"/>
    <n v="8000"/>
  </r>
  <r>
    <x v="401"/>
    <x v="0"/>
    <m/>
    <x v="4"/>
    <x v="2"/>
    <x v="27"/>
    <n v="200801"/>
    <n v="200801"/>
    <m/>
    <n v="6"/>
    <n v="200801"/>
    <n v="120000"/>
  </r>
  <r>
    <x v="401"/>
    <x v="0"/>
    <m/>
    <x v="0"/>
    <x v="2"/>
    <x v="15"/>
    <n v="200801"/>
    <n v="200801"/>
    <m/>
    <n v="27"/>
    <n v="200801"/>
    <n v="540000"/>
  </r>
  <r>
    <x v="401"/>
    <x v="0"/>
    <m/>
    <x v="0"/>
    <x v="2"/>
    <x v="16"/>
    <n v="200801"/>
    <n v="200801"/>
    <m/>
    <n v="21"/>
    <n v="200801"/>
    <n v="735000"/>
  </r>
  <r>
    <x v="401"/>
    <x v="0"/>
    <m/>
    <x v="0"/>
    <x v="2"/>
    <x v="17"/>
    <n v="200801"/>
    <n v="200801"/>
    <m/>
    <n v="38"/>
    <n v="200801"/>
    <n v="1254000"/>
  </r>
  <r>
    <x v="401"/>
    <x v="0"/>
    <m/>
    <x v="0"/>
    <x v="2"/>
    <x v="19"/>
    <n v="200801"/>
    <n v="200801"/>
    <m/>
    <n v="37"/>
    <n v="200801"/>
    <n v="111000"/>
  </r>
  <r>
    <x v="401"/>
    <x v="0"/>
    <m/>
    <x v="5"/>
    <x v="2"/>
    <x v="28"/>
    <n v="200801"/>
    <n v="200801"/>
    <m/>
    <n v="21"/>
    <n v="200801"/>
    <n v="588000"/>
  </r>
  <r>
    <x v="401"/>
    <x v="0"/>
    <m/>
    <x v="5"/>
    <x v="2"/>
    <x v="69"/>
    <n v="200801"/>
    <n v="200801"/>
    <m/>
    <n v="10"/>
    <n v="200801"/>
    <n v="480000"/>
  </r>
  <r>
    <x v="401"/>
    <x v="0"/>
    <m/>
    <x v="22"/>
    <x v="2"/>
    <x v="29"/>
    <n v="200801"/>
    <n v="200801"/>
    <m/>
    <n v="9"/>
    <n v="200801"/>
    <n v="342000"/>
  </r>
  <r>
    <x v="401"/>
    <x v="0"/>
    <m/>
    <x v="19"/>
    <x v="2"/>
    <x v="22"/>
    <n v="200801"/>
    <n v="200801"/>
    <m/>
    <n v="11"/>
    <n v="200801"/>
    <n v="143000"/>
  </r>
  <r>
    <x v="401"/>
    <x v="0"/>
    <m/>
    <x v="19"/>
    <x v="2"/>
    <x v="24"/>
    <n v="200801"/>
    <n v="200801"/>
    <m/>
    <n v="1"/>
    <n v="200801"/>
    <n v="33000"/>
  </r>
  <r>
    <x v="401"/>
    <x v="0"/>
    <m/>
    <x v="33"/>
    <x v="2"/>
    <x v="92"/>
    <n v="200801"/>
    <n v="200801"/>
    <m/>
    <n v="1"/>
    <n v="200801"/>
    <n v="18200"/>
  </r>
  <r>
    <x v="401"/>
    <x v="0"/>
    <m/>
    <x v="0"/>
    <x v="9"/>
    <x v="15"/>
    <n v="200801"/>
    <n v="200801"/>
    <m/>
    <n v="5"/>
    <n v="200801"/>
    <n v="100000"/>
  </r>
  <r>
    <x v="402"/>
    <x v="2"/>
    <m/>
    <x v="0"/>
    <x v="1"/>
    <x v="15"/>
    <n v="200801"/>
    <n v="200801"/>
    <m/>
    <n v="1"/>
    <n v="200801"/>
    <n v="20000"/>
  </r>
  <r>
    <x v="402"/>
    <x v="2"/>
    <m/>
    <x v="0"/>
    <x v="1"/>
    <x v="16"/>
    <n v="200801"/>
    <n v="200801"/>
    <m/>
    <n v="4"/>
    <n v="200801"/>
    <n v="140000"/>
  </r>
  <r>
    <x v="402"/>
    <x v="2"/>
    <m/>
    <x v="0"/>
    <x v="7"/>
    <x v="15"/>
    <n v="200801"/>
    <n v="200801"/>
    <m/>
    <n v="3"/>
    <n v="200801"/>
    <n v="60000"/>
  </r>
  <r>
    <x v="402"/>
    <x v="2"/>
    <m/>
    <x v="31"/>
    <x v="3"/>
    <x v="88"/>
    <n v="200801"/>
    <n v="200801"/>
    <m/>
    <n v="1"/>
    <n v="200801"/>
    <n v="0"/>
  </r>
  <r>
    <x v="402"/>
    <x v="2"/>
    <m/>
    <x v="35"/>
    <x v="3"/>
    <x v="107"/>
    <n v="200801"/>
    <n v="200801"/>
    <m/>
    <n v="1"/>
    <n v="200801"/>
    <n v="0"/>
  </r>
  <r>
    <x v="402"/>
    <x v="2"/>
    <m/>
    <x v="0"/>
    <x v="3"/>
    <x v="15"/>
    <n v="200801"/>
    <n v="200801"/>
    <m/>
    <n v="1"/>
    <n v="200801"/>
    <n v="0"/>
  </r>
  <r>
    <x v="402"/>
    <x v="2"/>
    <m/>
    <x v="36"/>
    <x v="3"/>
    <x v="109"/>
    <n v="200801"/>
    <n v="200801"/>
    <m/>
    <n v="1"/>
    <n v="200801"/>
    <n v="0"/>
  </r>
  <r>
    <x v="402"/>
    <x v="2"/>
    <m/>
    <x v="18"/>
    <x v="3"/>
    <x v="19"/>
    <n v="200801"/>
    <n v="200801"/>
    <m/>
    <n v="1"/>
    <n v="200801"/>
    <n v="0"/>
  </r>
  <r>
    <x v="402"/>
    <x v="2"/>
    <m/>
    <x v="6"/>
    <x v="2"/>
    <x v="42"/>
    <n v="200801"/>
    <n v="200801"/>
    <m/>
    <n v="2"/>
    <n v="200801"/>
    <n v="70000"/>
  </r>
  <r>
    <x v="402"/>
    <x v="2"/>
    <m/>
    <x v="31"/>
    <x v="2"/>
    <x v="95"/>
    <n v="200801"/>
    <n v="200801"/>
    <m/>
    <n v="13"/>
    <n v="200801"/>
    <n v="291200"/>
  </r>
  <r>
    <x v="402"/>
    <x v="2"/>
    <m/>
    <x v="31"/>
    <x v="2"/>
    <x v="96"/>
    <n v="200801"/>
    <n v="200801"/>
    <m/>
    <n v="30"/>
    <n v="200801"/>
    <n v="1176000"/>
  </r>
  <r>
    <x v="402"/>
    <x v="2"/>
    <m/>
    <x v="32"/>
    <x v="2"/>
    <x v="97"/>
    <n v="200801"/>
    <n v="200801"/>
    <m/>
    <n v="20"/>
    <n v="200801"/>
    <n v="742000"/>
  </r>
  <r>
    <x v="402"/>
    <x v="2"/>
    <m/>
    <x v="34"/>
    <x v="2"/>
    <x v="105"/>
    <n v="200801"/>
    <n v="200801"/>
    <m/>
    <n v="23"/>
    <n v="200801"/>
    <n v="853300"/>
  </r>
  <r>
    <x v="402"/>
    <x v="2"/>
    <m/>
    <x v="30"/>
    <x v="2"/>
    <x v="99"/>
    <n v="200801"/>
    <n v="200801"/>
    <m/>
    <n v="5"/>
    <n v="200801"/>
    <n v="112000"/>
  </r>
  <r>
    <x v="402"/>
    <x v="2"/>
    <m/>
    <x v="30"/>
    <x v="2"/>
    <x v="100"/>
    <n v="200801"/>
    <n v="200801"/>
    <m/>
    <n v="2"/>
    <n v="200801"/>
    <n v="78400"/>
  </r>
  <r>
    <x v="402"/>
    <x v="2"/>
    <m/>
    <x v="1"/>
    <x v="2"/>
    <x v="18"/>
    <n v="200801"/>
    <n v="200801"/>
    <m/>
    <n v="2"/>
    <n v="200801"/>
    <n v="40000"/>
  </r>
  <r>
    <x v="402"/>
    <x v="2"/>
    <m/>
    <x v="4"/>
    <x v="2"/>
    <x v="26"/>
    <n v="200801"/>
    <n v="200801"/>
    <m/>
    <n v="1"/>
    <n v="200801"/>
    <n v="4000"/>
  </r>
  <r>
    <x v="402"/>
    <x v="2"/>
    <m/>
    <x v="4"/>
    <x v="2"/>
    <x v="27"/>
    <n v="200801"/>
    <n v="200801"/>
    <m/>
    <n v="3"/>
    <n v="200801"/>
    <n v="60000"/>
  </r>
  <r>
    <x v="402"/>
    <x v="2"/>
    <m/>
    <x v="0"/>
    <x v="2"/>
    <x v="15"/>
    <n v="200801"/>
    <n v="200801"/>
    <m/>
    <n v="17"/>
    <n v="200801"/>
    <n v="340000"/>
  </r>
  <r>
    <x v="402"/>
    <x v="2"/>
    <m/>
    <x v="0"/>
    <x v="2"/>
    <x v="16"/>
    <n v="200801"/>
    <n v="200801"/>
    <m/>
    <n v="21"/>
    <n v="200801"/>
    <n v="735000"/>
  </r>
  <r>
    <x v="402"/>
    <x v="2"/>
    <m/>
    <x v="0"/>
    <x v="2"/>
    <x v="17"/>
    <n v="200801"/>
    <n v="200801"/>
    <m/>
    <n v="19"/>
    <n v="200801"/>
    <n v="627000"/>
  </r>
  <r>
    <x v="402"/>
    <x v="2"/>
    <m/>
    <x v="0"/>
    <x v="2"/>
    <x v="19"/>
    <n v="200801"/>
    <n v="200801"/>
    <m/>
    <n v="19"/>
    <n v="200801"/>
    <n v="57000"/>
  </r>
  <r>
    <x v="402"/>
    <x v="2"/>
    <m/>
    <x v="5"/>
    <x v="2"/>
    <x v="28"/>
    <n v="200801"/>
    <n v="200801"/>
    <m/>
    <n v="15"/>
    <n v="200801"/>
    <n v="420000"/>
  </r>
  <r>
    <x v="402"/>
    <x v="2"/>
    <m/>
    <x v="5"/>
    <x v="2"/>
    <x v="69"/>
    <n v="200801"/>
    <n v="200801"/>
    <m/>
    <n v="4"/>
    <n v="200801"/>
    <n v="192000"/>
  </r>
  <r>
    <x v="402"/>
    <x v="2"/>
    <m/>
    <x v="22"/>
    <x v="2"/>
    <x v="29"/>
    <n v="200801"/>
    <n v="200801"/>
    <m/>
    <n v="6"/>
    <n v="200801"/>
    <n v="228000"/>
  </r>
  <r>
    <x v="402"/>
    <x v="2"/>
    <m/>
    <x v="19"/>
    <x v="2"/>
    <x v="22"/>
    <n v="200801"/>
    <n v="200801"/>
    <m/>
    <n v="6"/>
    <n v="200801"/>
    <n v="78000"/>
  </r>
  <r>
    <x v="402"/>
    <x v="2"/>
    <m/>
    <x v="19"/>
    <x v="2"/>
    <x v="23"/>
    <n v="200801"/>
    <n v="200801"/>
    <m/>
    <n v="1"/>
    <n v="200801"/>
    <n v="24000"/>
  </r>
  <r>
    <x v="402"/>
    <x v="2"/>
    <m/>
    <x v="19"/>
    <x v="2"/>
    <x v="24"/>
    <n v="200801"/>
    <n v="200801"/>
    <m/>
    <n v="1"/>
    <n v="200801"/>
    <n v="33000"/>
  </r>
  <r>
    <x v="402"/>
    <x v="2"/>
    <m/>
    <x v="33"/>
    <x v="2"/>
    <x v="92"/>
    <n v="200801"/>
    <n v="200801"/>
    <m/>
    <n v="1"/>
    <n v="200801"/>
    <n v="18200"/>
  </r>
  <r>
    <x v="402"/>
    <x v="2"/>
    <m/>
    <x v="33"/>
    <x v="2"/>
    <x v="93"/>
    <n v="200801"/>
    <n v="200801"/>
    <m/>
    <n v="1"/>
    <n v="200801"/>
    <n v="33800"/>
  </r>
  <r>
    <x v="402"/>
    <x v="2"/>
    <m/>
    <x v="5"/>
    <x v="9"/>
    <x v="28"/>
    <n v="200801"/>
    <n v="200801"/>
    <m/>
    <n v="2"/>
    <n v="200801"/>
    <n v="56000"/>
  </r>
  <r>
    <x v="402"/>
    <x v="2"/>
    <m/>
    <x v="0"/>
    <x v="9"/>
    <x v="15"/>
    <n v="200801"/>
    <n v="200801"/>
    <m/>
    <n v="3"/>
    <n v="200801"/>
    <n v="60000"/>
  </r>
  <r>
    <x v="403"/>
    <x v="5"/>
    <m/>
    <x v="0"/>
    <x v="7"/>
    <x v="15"/>
    <n v="200801"/>
    <n v="200801"/>
    <m/>
    <n v="2"/>
    <n v="200801"/>
    <n v="40000"/>
  </r>
  <r>
    <x v="403"/>
    <x v="5"/>
    <m/>
    <x v="25"/>
    <x v="2"/>
    <x v="34"/>
    <n v="200801"/>
    <n v="200801"/>
    <m/>
    <n v="3"/>
    <n v="200801"/>
    <n v="297000"/>
  </r>
  <r>
    <x v="403"/>
    <x v="5"/>
    <m/>
    <x v="31"/>
    <x v="2"/>
    <x v="95"/>
    <n v="200801"/>
    <n v="200801"/>
    <m/>
    <n v="10"/>
    <n v="200801"/>
    <n v="224000"/>
  </r>
  <r>
    <x v="403"/>
    <x v="5"/>
    <m/>
    <x v="31"/>
    <x v="2"/>
    <x v="96"/>
    <n v="200801"/>
    <n v="200801"/>
    <m/>
    <n v="24"/>
    <n v="200801"/>
    <n v="940800"/>
  </r>
  <r>
    <x v="403"/>
    <x v="5"/>
    <m/>
    <x v="32"/>
    <x v="2"/>
    <x v="97"/>
    <n v="200801"/>
    <n v="200801"/>
    <m/>
    <n v="9"/>
    <n v="200801"/>
    <n v="333900"/>
  </r>
  <r>
    <x v="403"/>
    <x v="5"/>
    <m/>
    <x v="34"/>
    <x v="2"/>
    <x v="105"/>
    <n v="200801"/>
    <n v="200801"/>
    <m/>
    <n v="16"/>
    <n v="200801"/>
    <n v="593600"/>
  </r>
  <r>
    <x v="403"/>
    <x v="5"/>
    <m/>
    <x v="30"/>
    <x v="2"/>
    <x v="99"/>
    <n v="200801"/>
    <n v="200801"/>
    <m/>
    <n v="5"/>
    <n v="200801"/>
    <n v="112000"/>
  </r>
  <r>
    <x v="403"/>
    <x v="5"/>
    <m/>
    <x v="1"/>
    <x v="2"/>
    <x v="18"/>
    <n v="200801"/>
    <n v="200801"/>
    <m/>
    <n v="1"/>
    <n v="200801"/>
    <n v="20000"/>
  </r>
  <r>
    <x v="403"/>
    <x v="5"/>
    <m/>
    <x v="4"/>
    <x v="2"/>
    <x v="26"/>
    <n v="200801"/>
    <n v="200801"/>
    <m/>
    <n v="2"/>
    <n v="200801"/>
    <n v="8000"/>
  </r>
  <r>
    <x v="403"/>
    <x v="5"/>
    <m/>
    <x v="4"/>
    <x v="2"/>
    <x v="27"/>
    <n v="200801"/>
    <n v="200801"/>
    <m/>
    <n v="5"/>
    <n v="200801"/>
    <n v="100000"/>
  </r>
  <r>
    <x v="403"/>
    <x v="5"/>
    <m/>
    <x v="0"/>
    <x v="2"/>
    <x v="15"/>
    <n v="200801"/>
    <n v="200801"/>
    <m/>
    <n v="18"/>
    <n v="200801"/>
    <n v="360000"/>
  </r>
  <r>
    <x v="403"/>
    <x v="5"/>
    <m/>
    <x v="0"/>
    <x v="2"/>
    <x v="16"/>
    <n v="200801"/>
    <n v="200801"/>
    <m/>
    <n v="18"/>
    <n v="200801"/>
    <n v="630000"/>
  </r>
  <r>
    <x v="403"/>
    <x v="5"/>
    <m/>
    <x v="0"/>
    <x v="2"/>
    <x v="17"/>
    <n v="200801"/>
    <n v="200801"/>
    <m/>
    <n v="20"/>
    <n v="200801"/>
    <n v="660000"/>
  </r>
  <r>
    <x v="403"/>
    <x v="5"/>
    <m/>
    <x v="0"/>
    <x v="2"/>
    <x v="19"/>
    <n v="200801"/>
    <n v="200801"/>
    <m/>
    <n v="15"/>
    <n v="200801"/>
    <n v="45000"/>
  </r>
  <r>
    <x v="403"/>
    <x v="5"/>
    <m/>
    <x v="5"/>
    <x v="2"/>
    <x v="28"/>
    <n v="200801"/>
    <n v="200801"/>
    <m/>
    <n v="13"/>
    <n v="200801"/>
    <n v="364000"/>
  </r>
  <r>
    <x v="403"/>
    <x v="5"/>
    <m/>
    <x v="5"/>
    <x v="2"/>
    <x v="69"/>
    <n v="200801"/>
    <n v="200801"/>
    <m/>
    <n v="4"/>
    <n v="200801"/>
    <n v="192000"/>
  </r>
  <r>
    <x v="403"/>
    <x v="5"/>
    <m/>
    <x v="22"/>
    <x v="2"/>
    <x v="29"/>
    <n v="200801"/>
    <n v="200801"/>
    <m/>
    <n v="4"/>
    <n v="200801"/>
    <n v="152000"/>
  </r>
  <r>
    <x v="403"/>
    <x v="5"/>
    <m/>
    <x v="19"/>
    <x v="2"/>
    <x v="22"/>
    <n v="200801"/>
    <n v="200801"/>
    <m/>
    <n v="4"/>
    <n v="200801"/>
    <n v="52000"/>
  </r>
  <r>
    <x v="403"/>
    <x v="5"/>
    <m/>
    <x v="5"/>
    <x v="9"/>
    <x v="28"/>
    <n v="200801"/>
    <n v="200801"/>
    <m/>
    <n v="1"/>
    <n v="200801"/>
    <n v="28000"/>
  </r>
  <r>
    <x v="403"/>
    <x v="5"/>
    <m/>
    <x v="4"/>
    <x v="9"/>
    <x v="27"/>
    <n v="200801"/>
    <n v="200801"/>
    <m/>
    <n v="2"/>
    <n v="200801"/>
    <n v="40000"/>
  </r>
  <r>
    <x v="403"/>
    <x v="5"/>
    <m/>
    <x v="0"/>
    <x v="9"/>
    <x v="15"/>
    <n v="200801"/>
    <n v="200801"/>
    <m/>
    <n v="7"/>
    <n v="200801"/>
    <n v="140000"/>
  </r>
  <r>
    <x v="403"/>
    <x v="5"/>
    <m/>
    <x v="22"/>
    <x v="9"/>
    <x v="29"/>
    <n v="200801"/>
    <n v="200801"/>
    <m/>
    <n v="1"/>
    <n v="200801"/>
    <n v="38000"/>
  </r>
  <r>
    <x v="403"/>
    <x v="5"/>
    <m/>
    <x v="31"/>
    <x v="9"/>
    <x v="88"/>
    <n v="200801"/>
    <n v="200801"/>
    <m/>
    <n v="1"/>
    <n v="200801"/>
    <n v="22400"/>
  </r>
  <r>
    <x v="404"/>
    <x v="6"/>
    <m/>
    <x v="0"/>
    <x v="7"/>
    <x v="15"/>
    <n v="200801"/>
    <n v="200801"/>
    <m/>
    <n v="3"/>
    <n v="200801"/>
    <n v="60000"/>
  </r>
  <r>
    <x v="404"/>
    <x v="6"/>
    <m/>
    <x v="6"/>
    <x v="2"/>
    <x v="37"/>
    <n v="200801"/>
    <n v="200801"/>
    <m/>
    <n v="2"/>
    <n v="200801"/>
    <n v="40000"/>
  </r>
  <r>
    <x v="404"/>
    <x v="6"/>
    <m/>
    <x v="25"/>
    <x v="2"/>
    <x v="34"/>
    <n v="200801"/>
    <n v="200801"/>
    <m/>
    <n v="4"/>
    <n v="200801"/>
    <n v="396000"/>
  </r>
  <r>
    <x v="404"/>
    <x v="6"/>
    <m/>
    <x v="31"/>
    <x v="2"/>
    <x v="95"/>
    <n v="200801"/>
    <n v="200801"/>
    <m/>
    <n v="26"/>
    <n v="200801"/>
    <n v="582400"/>
  </r>
  <r>
    <x v="404"/>
    <x v="6"/>
    <m/>
    <x v="31"/>
    <x v="2"/>
    <x v="96"/>
    <n v="200801"/>
    <n v="200801"/>
    <m/>
    <n v="17"/>
    <n v="200801"/>
    <n v="666400"/>
  </r>
  <r>
    <x v="404"/>
    <x v="6"/>
    <m/>
    <x v="32"/>
    <x v="2"/>
    <x v="97"/>
    <n v="200801"/>
    <n v="200801"/>
    <m/>
    <n v="15"/>
    <n v="200801"/>
    <n v="556500"/>
  </r>
  <r>
    <x v="404"/>
    <x v="6"/>
    <m/>
    <x v="34"/>
    <x v="2"/>
    <x v="105"/>
    <n v="200801"/>
    <n v="200801"/>
    <m/>
    <n v="22"/>
    <n v="200801"/>
    <n v="816200"/>
  </r>
  <r>
    <x v="404"/>
    <x v="6"/>
    <m/>
    <x v="30"/>
    <x v="2"/>
    <x v="99"/>
    <n v="200801"/>
    <n v="200801"/>
    <m/>
    <n v="12"/>
    <n v="200801"/>
    <n v="268800"/>
  </r>
  <r>
    <x v="404"/>
    <x v="6"/>
    <m/>
    <x v="30"/>
    <x v="2"/>
    <x v="100"/>
    <n v="200801"/>
    <n v="200801"/>
    <m/>
    <n v="1"/>
    <n v="200801"/>
    <n v="39200"/>
  </r>
  <r>
    <x v="404"/>
    <x v="6"/>
    <m/>
    <x v="1"/>
    <x v="2"/>
    <x v="18"/>
    <n v="200801"/>
    <n v="200801"/>
    <m/>
    <n v="3"/>
    <n v="200801"/>
    <n v="60000"/>
  </r>
  <r>
    <x v="404"/>
    <x v="6"/>
    <m/>
    <x v="4"/>
    <x v="2"/>
    <x v="27"/>
    <n v="200801"/>
    <n v="200801"/>
    <m/>
    <n v="1"/>
    <n v="200801"/>
    <n v="20000"/>
  </r>
  <r>
    <x v="404"/>
    <x v="6"/>
    <m/>
    <x v="0"/>
    <x v="2"/>
    <x v="15"/>
    <n v="200801"/>
    <n v="200801"/>
    <m/>
    <n v="28"/>
    <n v="200801"/>
    <n v="560000"/>
  </r>
  <r>
    <x v="404"/>
    <x v="6"/>
    <m/>
    <x v="0"/>
    <x v="2"/>
    <x v="16"/>
    <n v="200801"/>
    <n v="200801"/>
    <m/>
    <n v="30"/>
    <n v="200801"/>
    <n v="1050000"/>
  </r>
  <r>
    <x v="404"/>
    <x v="6"/>
    <m/>
    <x v="0"/>
    <x v="2"/>
    <x v="17"/>
    <n v="200801"/>
    <n v="200801"/>
    <m/>
    <n v="31"/>
    <n v="200801"/>
    <n v="1023000"/>
  </r>
  <r>
    <x v="404"/>
    <x v="6"/>
    <m/>
    <x v="0"/>
    <x v="2"/>
    <x v="19"/>
    <n v="200801"/>
    <n v="200801"/>
    <m/>
    <n v="32"/>
    <n v="200801"/>
    <n v="96000"/>
  </r>
  <r>
    <x v="404"/>
    <x v="6"/>
    <m/>
    <x v="5"/>
    <x v="2"/>
    <x v="28"/>
    <n v="200801"/>
    <n v="200801"/>
    <m/>
    <n v="10"/>
    <n v="200801"/>
    <n v="280000"/>
  </r>
  <r>
    <x v="404"/>
    <x v="6"/>
    <m/>
    <x v="5"/>
    <x v="2"/>
    <x v="69"/>
    <n v="200801"/>
    <n v="200801"/>
    <m/>
    <n v="6"/>
    <n v="200801"/>
    <n v="288000"/>
  </r>
  <r>
    <x v="404"/>
    <x v="6"/>
    <m/>
    <x v="22"/>
    <x v="2"/>
    <x v="29"/>
    <n v="200801"/>
    <n v="200801"/>
    <m/>
    <n v="5"/>
    <n v="200801"/>
    <n v="190000"/>
  </r>
  <r>
    <x v="404"/>
    <x v="6"/>
    <m/>
    <x v="19"/>
    <x v="2"/>
    <x v="22"/>
    <n v="200801"/>
    <n v="200801"/>
    <m/>
    <n v="9"/>
    <n v="200801"/>
    <n v="117000"/>
  </r>
  <r>
    <x v="404"/>
    <x v="6"/>
    <m/>
    <x v="19"/>
    <x v="2"/>
    <x v="23"/>
    <n v="200801"/>
    <n v="200801"/>
    <m/>
    <n v="4"/>
    <n v="200801"/>
    <n v="96000"/>
  </r>
  <r>
    <x v="404"/>
    <x v="6"/>
    <m/>
    <x v="19"/>
    <x v="2"/>
    <x v="24"/>
    <n v="200801"/>
    <n v="200801"/>
    <m/>
    <n v="1"/>
    <n v="200801"/>
    <n v="33000"/>
  </r>
  <r>
    <x v="404"/>
    <x v="6"/>
    <m/>
    <x v="33"/>
    <x v="2"/>
    <x v="92"/>
    <n v="200801"/>
    <n v="200801"/>
    <m/>
    <n v="2"/>
    <n v="200801"/>
    <n v="36400"/>
  </r>
  <r>
    <x v="404"/>
    <x v="6"/>
    <m/>
    <x v="33"/>
    <x v="2"/>
    <x v="93"/>
    <n v="200801"/>
    <n v="200801"/>
    <m/>
    <n v="2"/>
    <n v="200801"/>
    <n v="67600"/>
  </r>
  <r>
    <x v="404"/>
    <x v="6"/>
    <m/>
    <x v="0"/>
    <x v="9"/>
    <x v="15"/>
    <n v="200801"/>
    <n v="200801"/>
    <m/>
    <n v="4"/>
    <n v="200801"/>
    <n v="80000"/>
  </r>
  <r>
    <x v="404"/>
    <x v="6"/>
    <m/>
    <x v="0"/>
    <x v="6"/>
    <x v="15"/>
    <n v="200801"/>
    <n v="200801"/>
    <m/>
    <n v="659"/>
    <n v="200801"/>
    <n v="5975812"/>
  </r>
  <r>
    <x v="404"/>
    <x v="6"/>
    <m/>
    <x v="0"/>
    <x v="6"/>
    <x v="17"/>
    <n v="200801"/>
    <n v="200801"/>
    <m/>
    <n v="14"/>
    <n v="200801"/>
    <n v="221452"/>
  </r>
  <r>
    <x v="404"/>
    <x v="6"/>
    <m/>
    <x v="4"/>
    <x v="6"/>
    <x v="26"/>
    <n v="200801"/>
    <n v="200801"/>
    <m/>
    <n v="359"/>
    <n v="200801"/>
    <n v="385207"/>
  </r>
  <r>
    <x v="404"/>
    <x v="6"/>
    <m/>
    <x v="26"/>
    <x v="6"/>
    <x v="35"/>
    <n v="200801"/>
    <n v="200801"/>
    <m/>
    <n v="26"/>
    <n v="200801"/>
    <n v="445406"/>
  </r>
  <r>
    <x v="404"/>
    <x v="6"/>
    <m/>
    <x v="22"/>
    <x v="6"/>
    <x v="29"/>
    <n v="200801"/>
    <n v="200801"/>
    <m/>
    <n v="43"/>
    <n v="200801"/>
    <n v="846713"/>
  </r>
  <r>
    <x v="404"/>
    <x v="6"/>
    <m/>
    <x v="24"/>
    <x v="6"/>
    <x v="31"/>
    <n v="200801"/>
    <n v="200801"/>
    <m/>
    <n v="81"/>
    <n v="200801"/>
    <n v="1205037"/>
  </r>
  <r>
    <x v="404"/>
    <x v="6"/>
    <m/>
    <x v="23"/>
    <x v="6"/>
    <x v="30"/>
    <n v="200801"/>
    <n v="200801"/>
    <m/>
    <n v="4"/>
    <n v="200801"/>
    <n v="27856"/>
  </r>
  <r>
    <x v="404"/>
    <x v="6"/>
    <m/>
    <x v="35"/>
    <x v="6"/>
    <x v="108"/>
    <n v="200801"/>
    <n v="200801"/>
    <m/>
    <n v="312"/>
    <n v="200801"/>
    <n v="334776"/>
  </r>
  <r>
    <x v="404"/>
    <x v="6"/>
    <m/>
    <x v="19"/>
    <x v="6"/>
    <x v="22"/>
    <n v="200801"/>
    <n v="200801"/>
    <m/>
    <n v="59"/>
    <n v="200801"/>
    <n v="400669"/>
  </r>
  <r>
    <x v="404"/>
    <x v="6"/>
    <m/>
    <x v="6"/>
    <x v="6"/>
    <x v="37"/>
    <n v="200801"/>
    <n v="200801"/>
    <m/>
    <n v="22"/>
    <n v="200801"/>
    <n v="220000"/>
  </r>
  <r>
    <x v="404"/>
    <x v="6"/>
    <m/>
    <x v="4"/>
    <x v="6"/>
    <x v="66"/>
    <n v="200801"/>
    <n v="200801"/>
    <m/>
    <n v="449"/>
    <n v="200801"/>
    <n v="2513053"/>
  </r>
  <r>
    <x v="404"/>
    <x v="6"/>
    <m/>
    <x v="33"/>
    <x v="6"/>
    <x v="106"/>
    <n v="200801"/>
    <n v="200801"/>
    <m/>
    <n v="11"/>
    <n v="200801"/>
    <n v="107250"/>
  </r>
  <r>
    <x v="404"/>
    <x v="6"/>
    <m/>
    <x v="31"/>
    <x v="6"/>
    <x v="103"/>
    <n v="200801"/>
    <n v="200801"/>
    <m/>
    <n v="66"/>
    <n v="200801"/>
    <n v="739200"/>
  </r>
  <r>
    <x v="404"/>
    <x v="6"/>
    <m/>
    <x v="30"/>
    <x v="6"/>
    <x v="104"/>
    <n v="200801"/>
    <n v="200801"/>
    <m/>
    <n v="83"/>
    <n v="200801"/>
    <n v="929600"/>
  </r>
  <r>
    <x v="404"/>
    <x v="6"/>
    <m/>
    <x v="5"/>
    <x v="6"/>
    <x v="28"/>
    <n v="200801"/>
    <n v="200801"/>
    <m/>
    <n v="32"/>
    <n v="200801"/>
    <n v="467200"/>
  </r>
  <r>
    <x v="405"/>
    <x v="3"/>
    <m/>
    <x v="0"/>
    <x v="1"/>
    <x v="15"/>
    <n v="200801"/>
    <n v="200801"/>
    <m/>
    <n v="4"/>
    <n v="200801"/>
    <n v="80000"/>
  </r>
  <r>
    <x v="405"/>
    <x v="3"/>
    <m/>
    <x v="0"/>
    <x v="1"/>
    <x v="16"/>
    <n v="200801"/>
    <n v="200801"/>
    <m/>
    <n v="15"/>
    <n v="200801"/>
    <n v="525000"/>
  </r>
  <r>
    <x v="405"/>
    <x v="3"/>
    <m/>
    <x v="0"/>
    <x v="7"/>
    <x v="15"/>
    <n v="200801"/>
    <n v="200801"/>
    <m/>
    <n v="6"/>
    <n v="200801"/>
    <n v="120000"/>
  </r>
  <r>
    <x v="405"/>
    <x v="3"/>
    <m/>
    <x v="6"/>
    <x v="2"/>
    <x v="37"/>
    <n v="200801"/>
    <n v="200801"/>
    <m/>
    <n v="3"/>
    <n v="200801"/>
    <n v="60000"/>
  </r>
  <r>
    <x v="405"/>
    <x v="3"/>
    <m/>
    <x v="6"/>
    <x v="2"/>
    <x v="42"/>
    <n v="200801"/>
    <n v="200801"/>
    <m/>
    <n v="1"/>
    <n v="200801"/>
    <n v="35000"/>
  </r>
  <r>
    <x v="405"/>
    <x v="3"/>
    <m/>
    <x v="25"/>
    <x v="2"/>
    <x v="34"/>
    <n v="200801"/>
    <n v="200801"/>
    <m/>
    <n v="1"/>
    <n v="200801"/>
    <n v="99000"/>
  </r>
  <r>
    <x v="405"/>
    <x v="3"/>
    <m/>
    <x v="31"/>
    <x v="2"/>
    <x v="95"/>
    <n v="200801"/>
    <n v="200801"/>
    <m/>
    <n v="17"/>
    <n v="200801"/>
    <n v="380800"/>
  </r>
  <r>
    <x v="405"/>
    <x v="3"/>
    <m/>
    <x v="31"/>
    <x v="2"/>
    <x v="96"/>
    <n v="200801"/>
    <n v="200801"/>
    <m/>
    <n v="48"/>
    <n v="200801"/>
    <n v="1881600"/>
  </r>
  <r>
    <x v="405"/>
    <x v="3"/>
    <m/>
    <x v="32"/>
    <x v="2"/>
    <x v="97"/>
    <n v="200801"/>
    <n v="200801"/>
    <m/>
    <n v="27"/>
    <n v="200801"/>
    <n v="1001700"/>
  </r>
  <r>
    <x v="405"/>
    <x v="3"/>
    <m/>
    <x v="34"/>
    <x v="2"/>
    <x v="105"/>
    <n v="200801"/>
    <n v="200801"/>
    <m/>
    <n v="23"/>
    <n v="200801"/>
    <n v="853300"/>
  </r>
  <r>
    <x v="405"/>
    <x v="3"/>
    <m/>
    <x v="30"/>
    <x v="2"/>
    <x v="99"/>
    <n v="200801"/>
    <n v="200801"/>
    <m/>
    <n v="7"/>
    <n v="200801"/>
    <n v="156800"/>
  </r>
  <r>
    <x v="405"/>
    <x v="3"/>
    <m/>
    <x v="1"/>
    <x v="2"/>
    <x v="18"/>
    <n v="200801"/>
    <n v="200801"/>
    <m/>
    <n v="1"/>
    <n v="200801"/>
    <n v="20000"/>
  </r>
  <r>
    <x v="405"/>
    <x v="3"/>
    <m/>
    <x v="1"/>
    <x v="2"/>
    <x v="21"/>
    <n v="200801"/>
    <n v="200801"/>
    <m/>
    <n v="1"/>
    <n v="200801"/>
    <n v="35000"/>
  </r>
  <r>
    <x v="405"/>
    <x v="3"/>
    <m/>
    <x v="0"/>
    <x v="2"/>
    <x v="15"/>
    <n v="200801"/>
    <n v="200801"/>
    <m/>
    <n v="35"/>
    <n v="200801"/>
    <n v="700000"/>
  </r>
  <r>
    <x v="405"/>
    <x v="3"/>
    <m/>
    <x v="0"/>
    <x v="2"/>
    <x v="16"/>
    <n v="200801"/>
    <n v="200801"/>
    <m/>
    <n v="26"/>
    <n v="200801"/>
    <n v="910000"/>
  </r>
  <r>
    <x v="405"/>
    <x v="3"/>
    <m/>
    <x v="0"/>
    <x v="2"/>
    <x v="17"/>
    <n v="200801"/>
    <n v="200801"/>
    <m/>
    <n v="36"/>
    <n v="200801"/>
    <n v="1188000"/>
  </r>
  <r>
    <x v="405"/>
    <x v="3"/>
    <m/>
    <x v="0"/>
    <x v="2"/>
    <x v="19"/>
    <n v="200801"/>
    <n v="200801"/>
    <m/>
    <n v="41"/>
    <n v="200801"/>
    <n v="123000"/>
  </r>
  <r>
    <x v="405"/>
    <x v="3"/>
    <m/>
    <x v="5"/>
    <x v="2"/>
    <x v="28"/>
    <n v="200801"/>
    <n v="200801"/>
    <m/>
    <n v="10"/>
    <n v="200801"/>
    <n v="280000"/>
  </r>
  <r>
    <x v="405"/>
    <x v="3"/>
    <m/>
    <x v="5"/>
    <x v="2"/>
    <x v="69"/>
    <n v="200801"/>
    <n v="200801"/>
    <m/>
    <n v="6"/>
    <n v="200801"/>
    <n v="288000"/>
  </r>
  <r>
    <x v="405"/>
    <x v="3"/>
    <m/>
    <x v="22"/>
    <x v="2"/>
    <x v="29"/>
    <n v="200801"/>
    <n v="200801"/>
    <m/>
    <n v="5"/>
    <n v="200801"/>
    <n v="190000"/>
  </r>
  <r>
    <x v="405"/>
    <x v="3"/>
    <m/>
    <x v="19"/>
    <x v="2"/>
    <x v="22"/>
    <n v="200801"/>
    <n v="200801"/>
    <m/>
    <n v="5"/>
    <n v="200801"/>
    <n v="65000"/>
  </r>
  <r>
    <x v="405"/>
    <x v="3"/>
    <m/>
    <x v="19"/>
    <x v="2"/>
    <x v="23"/>
    <n v="200801"/>
    <n v="200801"/>
    <m/>
    <n v="3"/>
    <n v="200801"/>
    <n v="72000"/>
  </r>
  <r>
    <x v="405"/>
    <x v="3"/>
    <m/>
    <x v="19"/>
    <x v="2"/>
    <x v="24"/>
    <n v="200801"/>
    <n v="200801"/>
    <m/>
    <n v="1"/>
    <n v="200801"/>
    <n v="33000"/>
  </r>
  <r>
    <x v="405"/>
    <x v="3"/>
    <m/>
    <x v="33"/>
    <x v="2"/>
    <x v="92"/>
    <n v="200801"/>
    <n v="200801"/>
    <m/>
    <n v="2"/>
    <n v="200801"/>
    <n v="36400"/>
  </r>
  <r>
    <x v="405"/>
    <x v="3"/>
    <m/>
    <x v="0"/>
    <x v="9"/>
    <x v="15"/>
    <n v="200801"/>
    <n v="200801"/>
    <m/>
    <n v="1"/>
    <n v="200801"/>
    <n v="20000"/>
  </r>
  <r>
    <x v="406"/>
    <x v="4"/>
    <m/>
    <x v="0"/>
    <x v="1"/>
    <x v="15"/>
    <n v="200801"/>
    <n v="200801"/>
    <m/>
    <n v="1"/>
    <n v="200801"/>
    <n v="20000"/>
  </r>
  <r>
    <x v="406"/>
    <x v="4"/>
    <m/>
    <x v="0"/>
    <x v="1"/>
    <x v="16"/>
    <n v="200801"/>
    <n v="200801"/>
    <m/>
    <n v="9"/>
    <n v="200801"/>
    <n v="315000"/>
  </r>
  <r>
    <x v="406"/>
    <x v="4"/>
    <m/>
    <x v="0"/>
    <x v="5"/>
    <x v="51"/>
    <n v="200801"/>
    <n v="200801"/>
    <m/>
    <n v="5"/>
    <n v="200801"/>
    <n v="56250"/>
  </r>
  <r>
    <x v="406"/>
    <x v="4"/>
    <m/>
    <x v="5"/>
    <x v="5"/>
    <x v="53"/>
    <n v="200801"/>
    <n v="200801"/>
    <m/>
    <n v="30"/>
    <n v="200801"/>
    <n v="445500"/>
  </r>
  <r>
    <x v="406"/>
    <x v="4"/>
    <m/>
    <x v="22"/>
    <x v="5"/>
    <x v="52"/>
    <n v="200801"/>
    <n v="200801"/>
    <m/>
    <n v="10"/>
    <n v="200801"/>
    <n v="171000"/>
  </r>
  <r>
    <x v="406"/>
    <x v="4"/>
    <m/>
    <x v="31"/>
    <x v="5"/>
    <x v="88"/>
    <n v="200801"/>
    <n v="200801"/>
    <m/>
    <n v="100"/>
    <n v="200801"/>
    <n v="1145500"/>
  </r>
  <r>
    <x v="406"/>
    <x v="4"/>
    <m/>
    <x v="0"/>
    <x v="5"/>
    <x v="78"/>
    <n v="200801"/>
    <n v="200801"/>
    <m/>
    <n v="100"/>
    <n v="200801"/>
    <n v="0"/>
  </r>
  <r>
    <x v="406"/>
    <x v="4"/>
    <m/>
    <x v="4"/>
    <x v="5"/>
    <x v="62"/>
    <n v="200801"/>
    <n v="200801"/>
    <m/>
    <n v="14"/>
    <n v="200801"/>
    <n v="252000"/>
  </r>
  <r>
    <x v="406"/>
    <x v="4"/>
    <m/>
    <x v="0"/>
    <x v="7"/>
    <x v="15"/>
    <n v="200801"/>
    <n v="200801"/>
    <m/>
    <n v="7"/>
    <n v="200801"/>
    <n v="140000"/>
  </r>
  <r>
    <x v="406"/>
    <x v="4"/>
    <m/>
    <x v="25"/>
    <x v="2"/>
    <x v="34"/>
    <n v="200801"/>
    <n v="200801"/>
    <m/>
    <n v="3"/>
    <n v="200801"/>
    <n v="297000"/>
  </r>
  <r>
    <x v="406"/>
    <x v="4"/>
    <m/>
    <x v="31"/>
    <x v="2"/>
    <x v="95"/>
    <n v="200801"/>
    <n v="200801"/>
    <m/>
    <n v="17"/>
    <n v="200801"/>
    <n v="380800"/>
  </r>
  <r>
    <x v="406"/>
    <x v="4"/>
    <m/>
    <x v="31"/>
    <x v="2"/>
    <x v="96"/>
    <n v="200801"/>
    <n v="200801"/>
    <m/>
    <n v="20"/>
    <n v="200801"/>
    <n v="784000"/>
  </r>
  <r>
    <x v="406"/>
    <x v="4"/>
    <m/>
    <x v="32"/>
    <x v="2"/>
    <x v="97"/>
    <n v="200801"/>
    <n v="200801"/>
    <m/>
    <n v="16"/>
    <n v="200801"/>
    <n v="593600"/>
  </r>
  <r>
    <x v="406"/>
    <x v="4"/>
    <m/>
    <x v="34"/>
    <x v="2"/>
    <x v="105"/>
    <n v="200801"/>
    <n v="200801"/>
    <m/>
    <n v="26"/>
    <n v="200801"/>
    <n v="964600"/>
  </r>
  <r>
    <x v="406"/>
    <x v="4"/>
    <m/>
    <x v="30"/>
    <x v="2"/>
    <x v="99"/>
    <n v="200801"/>
    <n v="200801"/>
    <m/>
    <n v="4"/>
    <n v="200801"/>
    <n v="89600"/>
  </r>
  <r>
    <x v="406"/>
    <x v="4"/>
    <m/>
    <x v="30"/>
    <x v="2"/>
    <x v="100"/>
    <n v="200801"/>
    <n v="200801"/>
    <m/>
    <n v="2"/>
    <n v="200801"/>
    <n v="78400"/>
  </r>
  <r>
    <x v="406"/>
    <x v="4"/>
    <m/>
    <x v="1"/>
    <x v="2"/>
    <x v="18"/>
    <n v="200801"/>
    <n v="200801"/>
    <m/>
    <n v="4"/>
    <n v="200801"/>
    <n v="80000"/>
  </r>
  <r>
    <x v="406"/>
    <x v="4"/>
    <m/>
    <x v="1"/>
    <x v="2"/>
    <x v="21"/>
    <n v="200801"/>
    <n v="200801"/>
    <m/>
    <n v="2"/>
    <n v="200801"/>
    <n v="70000"/>
  </r>
  <r>
    <x v="406"/>
    <x v="4"/>
    <m/>
    <x v="4"/>
    <x v="2"/>
    <x v="26"/>
    <n v="200801"/>
    <n v="200801"/>
    <m/>
    <n v="1"/>
    <n v="200801"/>
    <n v="4000"/>
  </r>
  <r>
    <x v="406"/>
    <x v="4"/>
    <m/>
    <x v="4"/>
    <x v="2"/>
    <x v="27"/>
    <n v="200801"/>
    <n v="200801"/>
    <m/>
    <n v="2"/>
    <n v="200801"/>
    <n v="40000"/>
  </r>
  <r>
    <x v="406"/>
    <x v="4"/>
    <m/>
    <x v="0"/>
    <x v="2"/>
    <x v="15"/>
    <n v="200801"/>
    <n v="200801"/>
    <m/>
    <n v="28"/>
    <n v="200801"/>
    <n v="560000"/>
  </r>
  <r>
    <x v="406"/>
    <x v="4"/>
    <m/>
    <x v="0"/>
    <x v="2"/>
    <x v="16"/>
    <n v="200801"/>
    <n v="200801"/>
    <m/>
    <n v="19"/>
    <n v="200801"/>
    <n v="665000"/>
  </r>
  <r>
    <x v="406"/>
    <x v="4"/>
    <m/>
    <x v="0"/>
    <x v="2"/>
    <x v="17"/>
    <n v="200801"/>
    <n v="200801"/>
    <m/>
    <n v="31"/>
    <n v="200801"/>
    <n v="1023000"/>
  </r>
  <r>
    <x v="406"/>
    <x v="4"/>
    <m/>
    <x v="0"/>
    <x v="2"/>
    <x v="19"/>
    <n v="200801"/>
    <n v="200801"/>
    <m/>
    <n v="25"/>
    <n v="200801"/>
    <n v="75000"/>
  </r>
  <r>
    <x v="406"/>
    <x v="4"/>
    <m/>
    <x v="5"/>
    <x v="2"/>
    <x v="28"/>
    <n v="200801"/>
    <n v="200801"/>
    <m/>
    <n v="16"/>
    <n v="200801"/>
    <n v="448000"/>
  </r>
  <r>
    <x v="406"/>
    <x v="4"/>
    <m/>
    <x v="5"/>
    <x v="2"/>
    <x v="69"/>
    <n v="200801"/>
    <n v="200801"/>
    <m/>
    <n v="9"/>
    <n v="200801"/>
    <n v="432000"/>
  </r>
  <r>
    <x v="406"/>
    <x v="4"/>
    <m/>
    <x v="22"/>
    <x v="2"/>
    <x v="29"/>
    <n v="200801"/>
    <n v="200801"/>
    <m/>
    <n v="9"/>
    <n v="200801"/>
    <n v="342000"/>
  </r>
  <r>
    <x v="406"/>
    <x v="4"/>
    <m/>
    <x v="19"/>
    <x v="2"/>
    <x v="22"/>
    <n v="200801"/>
    <n v="200801"/>
    <m/>
    <n v="11"/>
    <n v="200801"/>
    <n v="143000"/>
  </r>
  <r>
    <x v="406"/>
    <x v="4"/>
    <m/>
    <x v="33"/>
    <x v="2"/>
    <x v="92"/>
    <n v="200801"/>
    <n v="200801"/>
    <m/>
    <n v="2"/>
    <n v="200801"/>
    <n v="36400"/>
  </r>
  <r>
    <x v="406"/>
    <x v="4"/>
    <m/>
    <x v="0"/>
    <x v="9"/>
    <x v="15"/>
    <n v="200801"/>
    <n v="200801"/>
    <m/>
    <n v="6"/>
    <n v="200801"/>
    <n v="120000"/>
  </r>
  <r>
    <x v="407"/>
    <x v="1"/>
    <m/>
    <x v="0"/>
    <x v="1"/>
    <x v="16"/>
    <n v="200801"/>
    <n v="200801"/>
    <m/>
    <n v="6"/>
    <n v="200801"/>
    <n v="210000"/>
  </r>
  <r>
    <x v="407"/>
    <x v="1"/>
    <m/>
    <x v="30"/>
    <x v="5"/>
    <x v="87"/>
    <n v="200801"/>
    <n v="200801"/>
    <m/>
    <n v="3"/>
    <n v="200801"/>
    <n v="34365"/>
  </r>
  <r>
    <x v="407"/>
    <x v="1"/>
    <m/>
    <x v="31"/>
    <x v="5"/>
    <x v="88"/>
    <n v="200801"/>
    <n v="200801"/>
    <m/>
    <n v="6"/>
    <n v="200801"/>
    <n v="68730"/>
  </r>
  <r>
    <x v="407"/>
    <x v="1"/>
    <m/>
    <x v="0"/>
    <x v="5"/>
    <x v="51"/>
    <n v="200801"/>
    <n v="200801"/>
    <m/>
    <n v="9"/>
    <n v="200801"/>
    <n v="101250"/>
  </r>
  <r>
    <x v="407"/>
    <x v="1"/>
    <m/>
    <x v="5"/>
    <x v="5"/>
    <x v="53"/>
    <n v="200801"/>
    <n v="200801"/>
    <m/>
    <n v="3"/>
    <n v="200801"/>
    <n v="44550"/>
  </r>
  <r>
    <x v="407"/>
    <x v="1"/>
    <m/>
    <x v="22"/>
    <x v="5"/>
    <x v="52"/>
    <n v="200801"/>
    <n v="200801"/>
    <m/>
    <n v="3"/>
    <n v="200801"/>
    <n v="51300"/>
  </r>
  <r>
    <x v="407"/>
    <x v="1"/>
    <m/>
    <x v="1"/>
    <x v="5"/>
    <x v="63"/>
    <n v="200801"/>
    <n v="200801"/>
    <m/>
    <n v="3"/>
    <n v="200801"/>
    <n v="33750"/>
  </r>
  <r>
    <x v="407"/>
    <x v="1"/>
    <m/>
    <x v="19"/>
    <x v="5"/>
    <x v="50"/>
    <n v="200801"/>
    <n v="200801"/>
    <m/>
    <n v="3"/>
    <n v="200801"/>
    <n v="21600"/>
  </r>
  <r>
    <x v="407"/>
    <x v="1"/>
    <m/>
    <x v="4"/>
    <x v="5"/>
    <x v="62"/>
    <n v="200801"/>
    <n v="200801"/>
    <m/>
    <n v="7"/>
    <n v="200801"/>
    <n v="126000"/>
  </r>
  <r>
    <x v="407"/>
    <x v="1"/>
    <m/>
    <x v="6"/>
    <x v="5"/>
    <x v="49"/>
    <n v="200801"/>
    <n v="200801"/>
    <m/>
    <n v="3"/>
    <n v="200801"/>
    <n v="33750"/>
  </r>
  <r>
    <x v="407"/>
    <x v="1"/>
    <m/>
    <x v="0"/>
    <x v="7"/>
    <x v="15"/>
    <n v="200801"/>
    <n v="200801"/>
    <m/>
    <n v="4"/>
    <n v="200801"/>
    <n v="80000"/>
  </r>
  <r>
    <x v="407"/>
    <x v="1"/>
    <m/>
    <x v="31"/>
    <x v="3"/>
    <x v="88"/>
    <n v="200801"/>
    <n v="200801"/>
    <m/>
    <n v="129"/>
    <n v="200801"/>
    <n v="0"/>
  </r>
  <r>
    <x v="407"/>
    <x v="1"/>
    <m/>
    <x v="6"/>
    <x v="2"/>
    <x v="42"/>
    <n v="200801"/>
    <n v="200801"/>
    <m/>
    <n v="3"/>
    <n v="200801"/>
    <n v="105000"/>
  </r>
  <r>
    <x v="407"/>
    <x v="1"/>
    <m/>
    <x v="25"/>
    <x v="2"/>
    <x v="34"/>
    <n v="200801"/>
    <n v="200801"/>
    <m/>
    <n v="3"/>
    <n v="200801"/>
    <n v="297000"/>
  </r>
  <r>
    <x v="407"/>
    <x v="1"/>
    <m/>
    <x v="31"/>
    <x v="2"/>
    <x v="95"/>
    <n v="200801"/>
    <n v="200801"/>
    <m/>
    <n v="16"/>
    <n v="200801"/>
    <n v="358400"/>
  </r>
  <r>
    <x v="407"/>
    <x v="1"/>
    <m/>
    <x v="31"/>
    <x v="2"/>
    <x v="96"/>
    <n v="200801"/>
    <n v="200801"/>
    <m/>
    <n v="24"/>
    <n v="200801"/>
    <n v="940800"/>
  </r>
  <r>
    <x v="407"/>
    <x v="1"/>
    <m/>
    <x v="32"/>
    <x v="2"/>
    <x v="97"/>
    <n v="200801"/>
    <n v="200801"/>
    <m/>
    <n v="14"/>
    <n v="200801"/>
    <n v="519400"/>
  </r>
  <r>
    <x v="407"/>
    <x v="1"/>
    <m/>
    <x v="34"/>
    <x v="2"/>
    <x v="105"/>
    <n v="200801"/>
    <n v="200801"/>
    <m/>
    <n v="22"/>
    <n v="200801"/>
    <n v="816200"/>
  </r>
  <r>
    <x v="407"/>
    <x v="1"/>
    <m/>
    <x v="30"/>
    <x v="2"/>
    <x v="99"/>
    <n v="200801"/>
    <n v="200801"/>
    <m/>
    <n v="4"/>
    <n v="200801"/>
    <n v="89600"/>
  </r>
  <r>
    <x v="407"/>
    <x v="1"/>
    <m/>
    <x v="1"/>
    <x v="2"/>
    <x v="18"/>
    <n v="200801"/>
    <n v="200801"/>
    <m/>
    <n v="3"/>
    <n v="200801"/>
    <n v="60000"/>
  </r>
  <r>
    <x v="407"/>
    <x v="1"/>
    <m/>
    <x v="4"/>
    <x v="2"/>
    <x v="27"/>
    <n v="200801"/>
    <n v="200801"/>
    <m/>
    <n v="1"/>
    <n v="200801"/>
    <n v="20000"/>
  </r>
  <r>
    <x v="407"/>
    <x v="1"/>
    <m/>
    <x v="0"/>
    <x v="2"/>
    <x v="15"/>
    <n v="200801"/>
    <n v="200801"/>
    <m/>
    <n v="23"/>
    <n v="200801"/>
    <n v="460000"/>
  </r>
  <r>
    <x v="407"/>
    <x v="1"/>
    <m/>
    <x v="0"/>
    <x v="2"/>
    <x v="16"/>
    <n v="200801"/>
    <n v="200801"/>
    <m/>
    <n v="13"/>
    <n v="200801"/>
    <n v="455000"/>
  </r>
  <r>
    <x v="407"/>
    <x v="1"/>
    <m/>
    <x v="0"/>
    <x v="2"/>
    <x v="17"/>
    <n v="200801"/>
    <n v="200801"/>
    <m/>
    <n v="41"/>
    <n v="200801"/>
    <n v="1353000"/>
  </r>
  <r>
    <x v="407"/>
    <x v="1"/>
    <m/>
    <x v="0"/>
    <x v="2"/>
    <x v="19"/>
    <n v="200801"/>
    <n v="200801"/>
    <m/>
    <n v="19"/>
    <n v="200801"/>
    <n v="57000"/>
  </r>
  <r>
    <x v="407"/>
    <x v="1"/>
    <m/>
    <x v="5"/>
    <x v="2"/>
    <x v="28"/>
    <n v="200801"/>
    <n v="200801"/>
    <m/>
    <n v="12"/>
    <n v="200801"/>
    <n v="336000"/>
  </r>
  <r>
    <x v="407"/>
    <x v="1"/>
    <m/>
    <x v="5"/>
    <x v="2"/>
    <x v="69"/>
    <n v="200801"/>
    <n v="200801"/>
    <m/>
    <n v="6"/>
    <n v="200801"/>
    <n v="288000"/>
  </r>
  <r>
    <x v="407"/>
    <x v="1"/>
    <m/>
    <x v="22"/>
    <x v="2"/>
    <x v="29"/>
    <n v="200801"/>
    <n v="200801"/>
    <m/>
    <n v="2"/>
    <n v="200801"/>
    <n v="76000"/>
  </r>
  <r>
    <x v="407"/>
    <x v="1"/>
    <m/>
    <x v="19"/>
    <x v="2"/>
    <x v="22"/>
    <n v="200801"/>
    <n v="200801"/>
    <m/>
    <n v="7"/>
    <n v="200801"/>
    <n v="91000"/>
  </r>
  <r>
    <x v="407"/>
    <x v="1"/>
    <m/>
    <x v="19"/>
    <x v="2"/>
    <x v="23"/>
    <n v="200801"/>
    <n v="200801"/>
    <m/>
    <n v="3"/>
    <n v="200801"/>
    <n v="72000"/>
  </r>
  <r>
    <x v="407"/>
    <x v="1"/>
    <m/>
    <x v="19"/>
    <x v="2"/>
    <x v="24"/>
    <n v="200801"/>
    <n v="200801"/>
    <m/>
    <n v="1"/>
    <n v="200801"/>
    <n v="33000"/>
  </r>
  <r>
    <x v="407"/>
    <x v="1"/>
    <m/>
    <x v="33"/>
    <x v="2"/>
    <x v="92"/>
    <n v="200801"/>
    <n v="200801"/>
    <m/>
    <n v="2"/>
    <n v="200801"/>
    <n v="36400"/>
  </r>
  <r>
    <x v="407"/>
    <x v="1"/>
    <m/>
    <x v="31"/>
    <x v="9"/>
    <x v="88"/>
    <n v="200801"/>
    <n v="200801"/>
    <m/>
    <n v="1"/>
    <n v="200801"/>
    <n v="22400"/>
  </r>
  <r>
    <x v="407"/>
    <x v="1"/>
    <m/>
    <x v="0"/>
    <x v="9"/>
    <x v="15"/>
    <n v="200801"/>
    <n v="200801"/>
    <m/>
    <n v="3"/>
    <n v="200801"/>
    <n v="60000"/>
  </r>
  <r>
    <x v="408"/>
    <x v="0"/>
    <m/>
    <x v="0"/>
    <x v="1"/>
    <x v="16"/>
    <n v="200801"/>
    <n v="200801"/>
    <m/>
    <n v="3"/>
    <n v="200801"/>
    <n v="105000"/>
  </r>
  <r>
    <x v="408"/>
    <x v="0"/>
    <m/>
    <x v="0"/>
    <x v="5"/>
    <x v="51"/>
    <n v="200801"/>
    <n v="200801"/>
    <m/>
    <n v="50"/>
    <n v="200801"/>
    <n v="562500"/>
  </r>
  <r>
    <x v="408"/>
    <x v="0"/>
    <m/>
    <x v="5"/>
    <x v="5"/>
    <x v="53"/>
    <n v="200801"/>
    <n v="200801"/>
    <m/>
    <n v="32"/>
    <n v="200801"/>
    <n v="475200"/>
  </r>
  <r>
    <x v="408"/>
    <x v="0"/>
    <m/>
    <x v="22"/>
    <x v="5"/>
    <x v="52"/>
    <n v="200801"/>
    <n v="200801"/>
    <m/>
    <n v="20"/>
    <n v="200801"/>
    <n v="342000"/>
  </r>
  <r>
    <x v="408"/>
    <x v="0"/>
    <m/>
    <x v="31"/>
    <x v="5"/>
    <x v="88"/>
    <n v="200801"/>
    <n v="200801"/>
    <m/>
    <n v="30"/>
    <n v="200801"/>
    <n v="343650"/>
  </r>
  <r>
    <x v="408"/>
    <x v="0"/>
    <m/>
    <x v="1"/>
    <x v="5"/>
    <x v="63"/>
    <n v="200801"/>
    <n v="200801"/>
    <m/>
    <n v="17"/>
    <n v="200801"/>
    <n v="191250"/>
  </r>
  <r>
    <x v="408"/>
    <x v="0"/>
    <m/>
    <x v="19"/>
    <x v="5"/>
    <x v="50"/>
    <n v="200801"/>
    <n v="200801"/>
    <m/>
    <n v="22"/>
    <n v="200801"/>
    <n v="158400"/>
  </r>
  <r>
    <x v="408"/>
    <x v="0"/>
    <m/>
    <x v="4"/>
    <x v="5"/>
    <x v="62"/>
    <n v="200801"/>
    <n v="200801"/>
    <m/>
    <n v="18"/>
    <n v="200801"/>
    <n v="324000"/>
  </r>
  <r>
    <x v="408"/>
    <x v="0"/>
    <m/>
    <x v="6"/>
    <x v="5"/>
    <x v="49"/>
    <n v="200801"/>
    <n v="200801"/>
    <m/>
    <n v="2"/>
    <n v="200801"/>
    <n v="22500"/>
  </r>
  <r>
    <x v="408"/>
    <x v="0"/>
    <m/>
    <x v="30"/>
    <x v="5"/>
    <x v="87"/>
    <n v="200801"/>
    <n v="200801"/>
    <m/>
    <n v="30"/>
    <n v="200801"/>
    <n v="343650"/>
  </r>
  <r>
    <x v="408"/>
    <x v="0"/>
    <m/>
    <x v="0"/>
    <x v="7"/>
    <x v="15"/>
    <n v="200801"/>
    <n v="200801"/>
    <m/>
    <n v="1"/>
    <n v="200801"/>
    <n v="20000"/>
  </r>
  <r>
    <x v="408"/>
    <x v="0"/>
    <m/>
    <x v="36"/>
    <x v="3"/>
    <x v="109"/>
    <n v="200801"/>
    <n v="200801"/>
    <m/>
    <n v="1"/>
    <n v="200801"/>
    <n v="0"/>
  </r>
  <r>
    <x v="408"/>
    <x v="0"/>
    <m/>
    <x v="35"/>
    <x v="3"/>
    <x v="107"/>
    <n v="200801"/>
    <n v="200801"/>
    <m/>
    <n v="1"/>
    <n v="200801"/>
    <n v="0"/>
  </r>
  <r>
    <x v="408"/>
    <x v="0"/>
    <m/>
    <x v="33"/>
    <x v="3"/>
    <x v="94"/>
    <n v="200801"/>
    <n v="200801"/>
    <m/>
    <n v="15"/>
    <n v="200801"/>
    <n v="0"/>
  </r>
  <r>
    <x v="408"/>
    <x v="0"/>
    <m/>
    <x v="6"/>
    <x v="2"/>
    <x v="37"/>
    <n v="200801"/>
    <n v="200801"/>
    <m/>
    <n v="2"/>
    <n v="200801"/>
    <n v="40000"/>
  </r>
  <r>
    <x v="408"/>
    <x v="0"/>
    <m/>
    <x v="25"/>
    <x v="2"/>
    <x v="34"/>
    <n v="200801"/>
    <n v="200801"/>
    <m/>
    <n v="3"/>
    <n v="200801"/>
    <n v="297000"/>
  </r>
  <r>
    <x v="408"/>
    <x v="0"/>
    <m/>
    <x v="31"/>
    <x v="2"/>
    <x v="95"/>
    <n v="200801"/>
    <n v="200801"/>
    <m/>
    <n v="16"/>
    <n v="200801"/>
    <n v="358400"/>
  </r>
  <r>
    <x v="408"/>
    <x v="0"/>
    <m/>
    <x v="31"/>
    <x v="2"/>
    <x v="96"/>
    <n v="200801"/>
    <n v="200801"/>
    <m/>
    <n v="21"/>
    <n v="200801"/>
    <n v="823200"/>
  </r>
  <r>
    <x v="408"/>
    <x v="0"/>
    <m/>
    <x v="32"/>
    <x v="2"/>
    <x v="97"/>
    <n v="200801"/>
    <n v="200801"/>
    <m/>
    <n v="13"/>
    <n v="200801"/>
    <n v="482300"/>
  </r>
  <r>
    <x v="408"/>
    <x v="0"/>
    <m/>
    <x v="34"/>
    <x v="2"/>
    <x v="105"/>
    <n v="200801"/>
    <n v="200801"/>
    <m/>
    <n v="10"/>
    <n v="200801"/>
    <n v="371000"/>
  </r>
  <r>
    <x v="408"/>
    <x v="0"/>
    <m/>
    <x v="30"/>
    <x v="2"/>
    <x v="99"/>
    <n v="200801"/>
    <n v="200801"/>
    <m/>
    <n v="2"/>
    <n v="200801"/>
    <n v="44800"/>
  </r>
  <r>
    <x v="408"/>
    <x v="0"/>
    <m/>
    <x v="1"/>
    <x v="2"/>
    <x v="18"/>
    <n v="200801"/>
    <n v="200801"/>
    <m/>
    <n v="4"/>
    <n v="200801"/>
    <n v="80000"/>
  </r>
  <r>
    <x v="408"/>
    <x v="0"/>
    <m/>
    <x v="4"/>
    <x v="2"/>
    <x v="26"/>
    <n v="200801"/>
    <n v="200801"/>
    <m/>
    <n v="3"/>
    <n v="200801"/>
    <n v="12000"/>
  </r>
  <r>
    <x v="408"/>
    <x v="0"/>
    <m/>
    <x v="4"/>
    <x v="2"/>
    <x v="27"/>
    <n v="200801"/>
    <n v="200801"/>
    <m/>
    <n v="1"/>
    <n v="200801"/>
    <n v="20000"/>
  </r>
  <r>
    <x v="408"/>
    <x v="0"/>
    <m/>
    <x v="0"/>
    <x v="2"/>
    <x v="15"/>
    <n v="200801"/>
    <n v="200801"/>
    <m/>
    <n v="28"/>
    <n v="200801"/>
    <n v="560000"/>
  </r>
  <r>
    <x v="408"/>
    <x v="0"/>
    <m/>
    <x v="0"/>
    <x v="2"/>
    <x v="16"/>
    <n v="200801"/>
    <n v="200801"/>
    <m/>
    <n v="10"/>
    <n v="200801"/>
    <n v="350000"/>
  </r>
  <r>
    <x v="408"/>
    <x v="0"/>
    <m/>
    <x v="0"/>
    <x v="2"/>
    <x v="17"/>
    <n v="200801"/>
    <n v="200801"/>
    <m/>
    <n v="32"/>
    <n v="200801"/>
    <n v="1056000"/>
  </r>
  <r>
    <x v="408"/>
    <x v="0"/>
    <m/>
    <x v="0"/>
    <x v="2"/>
    <x v="19"/>
    <n v="200801"/>
    <n v="200801"/>
    <m/>
    <n v="25"/>
    <n v="200801"/>
    <n v="75000"/>
  </r>
  <r>
    <x v="408"/>
    <x v="0"/>
    <m/>
    <x v="5"/>
    <x v="2"/>
    <x v="28"/>
    <n v="200801"/>
    <n v="200801"/>
    <m/>
    <n v="10"/>
    <n v="200801"/>
    <n v="280000"/>
  </r>
  <r>
    <x v="408"/>
    <x v="0"/>
    <m/>
    <x v="5"/>
    <x v="2"/>
    <x v="69"/>
    <n v="200801"/>
    <n v="200801"/>
    <m/>
    <n v="5"/>
    <n v="200801"/>
    <n v="240000"/>
  </r>
  <r>
    <x v="408"/>
    <x v="0"/>
    <m/>
    <x v="22"/>
    <x v="2"/>
    <x v="29"/>
    <n v="200801"/>
    <n v="200801"/>
    <m/>
    <n v="2"/>
    <n v="200801"/>
    <n v="76000"/>
  </r>
  <r>
    <x v="408"/>
    <x v="0"/>
    <m/>
    <x v="19"/>
    <x v="2"/>
    <x v="22"/>
    <n v="200801"/>
    <n v="200801"/>
    <m/>
    <n v="5"/>
    <n v="200801"/>
    <n v="65000"/>
  </r>
  <r>
    <x v="408"/>
    <x v="0"/>
    <m/>
    <x v="19"/>
    <x v="2"/>
    <x v="23"/>
    <n v="200801"/>
    <n v="200801"/>
    <m/>
    <n v="1"/>
    <n v="200801"/>
    <n v="24000"/>
  </r>
  <r>
    <x v="408"/>
    <x v="0"/>
    <m/>
    <x v="33"/>
    <x v="2"/>
    <x v="92"/>
    <n v="200801"/>
    <n v="200801"/>
    <m/>
    <n v="1"/>
    <n v="200801"/>
    <n v="18200"/>
  </r>
  <r>
    <x v="408"/>
    <x v="0"/>
    <m/>
    <x v="0"/>
    <x v="9"/>
    <x v="15"/>
    <n v="200801"/>
    <n v="200801"/>
    <m/>
    <n v="2"/>
    <n v="200801"/>
    <n v="40000"/>
  </r>
  <r>
    <x v="409"/>
    <x v="2"/>
    <m/>
    <x v="0"/>
    <x v="1"/>
    <x v="16"/>
    <n v="200801"/>
    <n v="200801"/>
    <m/>
    <n v="3"/>
    <n v="200801"/>
    <n v="105000"/>
  </r>
  <r>
    <x v="409"/>
    <x v="2"/>
    <m/>
    <x v="18"/>
    <x v="3"/>
    <x v="19"/>
    <n v="200801"/>
    <n v="200801"/>
    <m/>
    <n v="5"/>
    <n v="200801"/>
    <n v="0"/>
  </r>
  <r>
    <x v="409"/>
    <x v="2"/>
    <m/>
    <x v="6"/>
    <x v="2"/>
    <x v="37"/>
    <n v="200801"/>
    <n v="200801"/>
    <m/>
    <n v="4"/>
    <n v="200801"/>
    <n v="80000"/>
  </r>
  <r>
    <x v="409"/>
    <x v="2"/>
    <m/>
    <x v="25"/>
    <x v="2"/>
    <x v="34"/>
    <n v="200801"/>
    <n v="200801"/>
    <m/>
    <n v="2"/>
    <n v="200801"/>
    <n v="198000"/>
  </r>
  <r>
    <x v="409"/>
    <x v="2"/>
    <m/>
    <x v="31"/>
    <x v="2"/>
    <x v="95"/>
    <n v="200801"/>
    <n v="200801"/>
    <m/>
    <n v="12"/>
    <n v="200801"/>
    <n v="268800"/>
  </r>
  <r>
    <x v="409"/>
    <x v="2"/>
    <m/>
    <x v="31"/>
    <x v="2"/>
    <x v="96"/>
    <n v="200801"/>
    <n v="200801"/>
    <m/>
    <n v="16"/>
    <n v="200801"/>
    <n v="627200"/>
  </r>
  <r>
    <x v="409"/>
    <x v="2"/>
    <m/>
    <x v="32"/>
    <x v="2"/>
    <x v="97"/>
    <n v="200801"/>
    <n v="200801"/>
    <m/>
    <n v="18"/>
    <n v="200801"/>
    <n v="667800"/>
  </r>
  <r>
    <x v="409"/>
    <x v="2"/>
    <m/>
    <x v="34"/>
    <x v="2"/>
    <x v="105"/>
    <n v="200801"/>
    <n v="200801"/>
    <m/>
    <n v="10"/>
    <n v="200801"/>
    <n v="371000"/>
  </r>
  <r>
    <x v="409"/>
    <x v="2"/>
    <m/>
    <x v="30"/>
    <x v="2"/>
    <x v="99"/>
    <n v="200801"/>
    <n v="200801"/>
    <m/>
    <n v="3"/>
    <n v="200801"/>
    <n v="67200"/>
  </r>
  <r>
    <x v="409"/>
    <x v="2"/>
    <m/>
    <x v="30"/>
    <x v="2"/>
    <x v="100"/>
    <n v="200801"/>
    <n v="200801"/>
    <m/>
    <n v="1"/>
    <n v="200801"/>
    <n v="39200"/>
  </r>
  <r>
    <x v="409"/>
    <x v="2"/>
    <m/>
    <x v="1"/>
    <x v="2"/>
    <x v="18"/>
    <n v="200801"/>
    <n v="200801"/>
    <m/>
    <n v="2"/>
    <n v="200801"/>
    <n v="40000"/>
  </r>
  <r>
    <x v="409"/>
    <x v="2"/>
    <m/>
    <x v="1"/>
    <x v="2"/>
    <x v="21"/>
    <n v="200801"/>
    <n v="200801"/>
    <m/>
    <n v="1"/>
    <n v="200801"/>
    <n v="35000"/>
  </r>
  <r>
    <x v="409"/>
    <x v="2"/>
    <m/>
    <x v="4"/>
    <x v="2"/>
    <x v="27"/>
    <n v="200801"/>
    <n v="200801"/>
    <m/>
    <n v="2"/>
    <n v="200801"/>
    <n v="40000"/>
  </r>
  <r>
    <x v="409"/>
    <x v="2"/>
    <m/>
    <x v="0"/>
    <x v="2"/>
    <x v="15"/>
    <n v="200801"/>
    <n v="200801"/>
    <m/>
    <n v="14"/>
    <n v="200801"/>
    <n v="280000"/>
  </r>
  <r>
    <x v="409"/>
    <x v="2"/>
    <m/>
    <x v="0"/>
    <x v="2"/>
    <x v="16"/>
    <n v="200801"/>
    <n v="200801"/>
    <m/>
    <n v="11"/>
    <n v="200801"/>
    <n v="385000"/>
  </r>
  <r>
    <x v="409"/>
    <x v="2"/>
    <m/>
    <x v="0"/>
    <x v="2"/>
    <x v="17"/>
    <n v="200801"/>
    <n v="200801"/>
    <m/>
    <n v="34"/>
    <n v="200801"/>
    <n v="1122000"/>
  </r>
  <r>
    <x v="409"/>
    <x v="2"/>
    <m/>
    <x v="0"/>
    <x v="2"/>
    <x v="19"/>
    <n v="200801"/>
    <n v="200801"/>
    <m/>
    <n v="10"/>
    <n v="200801"/>
    <n v="30000"/>
  </r>
  <r>
    <x v="409"/>
    <x v="2"/>
    <m/>
    <x v="5"/>
    <x v="2"/>
    <x v="28"/>
    <n v="200801"/>
    <n v="200801"/>
    <m/>
    <n v="11"/>
    <n v="200801"/>
    <n v="308000"/>
  </r>
  <r>
    <x v="409"/>
    <x v="2"/>
    <m/>
    <x v="5"/>
    <x v="2"/>
    <x v="69"/>
    <n v="200801"/>
    <n v="200801"/>
    <m/>
    <n v="4"/>
    <n v="200801"/>
    <n v="192000"/>
  </r>
  <r>
    <x v="409"/>
    <x v="2"/>
    <m/>
    <x v="22"/>
    <x v="2"/>
    <x v="29"/>
    <n v="200801"/>
    <n v="200801"/>
    <m/>
    <n v="3"/>
    <n v="200801"/>
    <n v="114000"/>
  </r>
  <r>
    <x v="409"/>
    <x v="2"/>
    <m/>
    <x v="19"/>
    <x v="2"/>
    <x v="22"/>
    <n v="200801"/>
    <n v="200801"/>
    <m/>
    <n v="9"/>
    <n v="200801"/>
    <n v="117000"/>
  </r>
  <r>
    <x v="409"/>
    <x v="2"/>
    <m/>
    <x v="19"/>
    <x v="2"/>
    <x v="23"/>
    <n v="200801"/>
    <n v="200801"/>
    <m/>
    <n v="1"/>
    <n v="200801"/>
    <n v="24000"/>
  </r>
  <r>
    <x v="409"/>
    <x v="2"/>
    <m/>
    <x v="0"/>
    <x v="9"/>
    <x v="15"/>
    <n v="200801"/>
    <n v="200801"/>
    <m/>
    <n v="3"/>
    <n v="200801"/>
    <n v="60000"/>
  </r>
  <r>
    <x v="410"/>
    <x v="5"/>
    <m/>
    <x v="0"/>
    <x v="7"/>
    <x v="15"/>
    <n v="200801"/>
    <n v="200801"/>
    <m/>
    <n v="2"/>
    <n v="200801"/>
    <n v="40000"/>
  </r>
  <r>
    <x v="410"/>
    <x v="5"/>
    <m/>
    <x v="6"/>
    <x v="2"/>
    <x v="37"/>
    <n v="200801"/>
    <n v="200801"/>
    <m/>
    <n v="2"/>
    <n v="200801"/>
    <n v="40000"/>
  </r>
  <r>
    <x v="410"/>
    <x v="5"/>
    <m/>
    <x v="25"/>
    <x v="2"/>
    <x v="34"/>
    <n v="200801"/>
    <n v="200801"/>
    <m/>
    <n v="1"/>
    <n v="200801"/>
    <n v="99000"/>
  </r>
  <r>
    <x v="410"/>
    <x v="5"/>
    <m/>
    <x v="31"/>
    <x v="2"/>
    <x v="95"/>
    <n v="200801"/>
    <n v="200801"/>
    <m/>
    <n v="15"/>
    <n v="200801"/>
    <n v="336000"/>
  </r>
  <r>
    <x v="410"/>
    <x v="5"/>
    <m/>
    <x v="31"/>
    <x v="2"/>
    <x v="96"/>
    <n v="200801"/>
    <n v="200801"/>
    <m/>
    <n v="21"/>
    <n v="200801"/>
    <n v="823200"/>
  </r>
  <r>
    <x v="410"/>
    <x v="5"/>
    <m/>
    <x v="32"/>
    <x v="2"/>
    <x v="97"/>
    <n v="200801"/>
    <n v="200801"/>
    <m/>
    <n v="15"/>
    <n v="200801"/>
    <n v="556500"/>
  </r>
  <r>
    <x v="410"/>
    <x v="5"/>
    <m/>
    <x v="34"/>
    <x v="2"/>
    <x v="105"/>
    <n v="200801"/>
    <n v="200801"/>
    <m/>
    <n v="12"/>
    <n v="200801"/>
    <n v="445200"/>
  </r>
  <r>
    <x v="410"/>
    <x v="5"/>
    <m/>
    <x v="30"/>
    <x v="2"/>
    <x v="99"/>
    <n v="200801"/>
    <n v="200801"/>
    <m/>
    <n v="3"/>
    <n v="200801"/>
    <n v="67200"/>
  </r>
  <r>
    <x v="410"/>
    <x v="5"/>
    <m/>
    <x v="30"/>
    <x v="2"/>
    <x v="100"/>
    <n v="200801"/>
    <n v="200801"/>
    <m/>
    <n v="2"/>
    <n v="200801"/>
    <n v="78400"/>
  </r>
  <r>
    <x v="410"/>
    <x v="5"/>
    <m/>
    <x v="1"/>
    <x v="2"/>
    <x v="18"/>
    <n v="200801"/>
    <n v="200801"/>
    <m/>
    <n v="1"/>
    <n v="200801"/>
    <n v="20000"/>
  </r>
  <r>
    <x v="410"/>
    <x v="5"/>
    <m/>
    <x v="4"/>
    <x v="2"/>
    <x v="26"/>
    <n v="200801"/>
    <n v="200801"/>
    <m/>
    <n v="3"/>
    <n v="200801"/>
    <n v="12000"/>
  </r>
  <r>
    <x v="410"/>
    <x v="5"/>
    <m/>
    <x v="4"/>
    <x v="2"/>
    <x v="27"/>
    <n v="200801"/>
    <n v="200801"/>
    <m/>
    <n v="2"/>
    <n v="200801"/>
    <n v="40000"/>
  </r>
  <r>
    <x v="410"/>
    <x v="5"/>
    <m/>
    <x v="0"/>
    <x v="2"/>
    <x v="15"/>
    <n v="200801"/>
    <n v="200801"/>
    <m/>
    <n v="17"/>
    <n v="200801"/>
    <n v="340000"/>
  </r>
  <r>
    <x v="410"/>
    <x v="5"/>
    <m/>
    <x v="0"/>
    <x v="2"/>
    <x v="16"/>
    <n v="200801"/>
    <n v="200801"/>
    <m/>
    <n v="15"/>
    <n v="200801"/>
    <n v="525000"/>
  </r>
  <r>
    <x v="410"/>
    <x v="5"/>
    <m/>
    <x v="0"/>
    <x v="2"/>
    <x v="17"/>
    <n v="200801"/>
    <n v="200801"/>
    <m/>
    <n v="29"/>
    <n v="200801"/>
    <n v="957000"/>
  </r>
  <r>
    <x v="410"/>
    <x v="5"/>
    <m/>
    <x v="0"/>
    <x v="2"/>
    <x v="19"/>
    <n v="200801"/>
    <n v="200801"/>
    <m/>
    <n v="24"/>
    <n v="200801"/>
    <n v="72000"/>
  </r>
  <r>
    <x v="410"/>
    <x v="5"/>
    <m/>
    <x v="5"/>
    <x v="2"/>
    <x v="28"/>
    <n v="200801"/>
    <n v="200801"/>
    <m/>
    <n v="8"/>
    <n v="200801"/>
    <n v="224000"/>
  </r>
  <r>
    <x v="410"/>
    <x v="5"/>
    <m/>
    <x v="5"/>
    <x v="2"/>
    <x v="69"/>
    <n v="200801"/>
    <n v="200801"/>
    <m/>
    <n v="3"/>
    <n v="200801"/>
    <n v="144000"/>
  </r>
  <r>
    <x v="410"/>
    <x v="5"/>
    <m/>
    <x v="22"/>
    <x v="2"/>
    <x v="29"/>
    <n v="200801"/>
    <n v="200801"/>
    <m/>
    <n v="4"/>
    <n v="200801"/>
    <n v="152000"/>
  </r>
  <r>
    <x v="410"/>
    <x v="5"/>
    <m/>
    <x v="19"/>
    <x v="2"/>
    <x v="22"/>
    <n v="200801"/>
    <n v="200801"/>
    <m/>
    <n v="6"/>
    <n v="200801"/>
    <n v="78000"/>
  </r>
  <r>
    <x v="410"/>
    <x v="5"/>
    <m/>
    <x v="19"/>
    <x v="2"/>
    <x v="23"/>
    <n v="200801"/>
    <n v="200801"/>
    <m/>
    <n v="1"/>
    <n v="200801"/>
    <n v="24000"/>
  </r>
  <r>
    <x v="410"/>
    <x v="5"/>
    <m/>
    <x v="33"/>
    <x v="2"/>
    <x v="92"/>
    <n v="200801"/>
    <n v="200801"/>
    <m/>
    <n v="2"/>
    <n v="200801"/>
    <n v="36400"/>
  </r>
  <r>
    <x v="410"/>
    <x v="5"/>
    <m/>
    <x v="33"/>
    <x v="2"/>
    <x v="93"/>
    <n v="200801"/>
    <n v="200801"/>
    <m/>
    <n v="1"/>
    <n v="200801"/>
    <n v="33800"/>
  </r>
  <r>
    <x v="410"/>
    <x v="5"/>
    <m/>
    <x v="0"/>
    <x v="9"/>
    <x v="15"/>
    <n v="200801"/>
    <n v="200801"/>
    <m/>
    <n v="6"/>
    <n v="200801"/>
    <n v="120000"/>
  </r>
  <r>
    <x v="411"/>
    <x v="6"/>
    <m/>
    <x v="0"/>
    <x v="7"/>
    <x v="15"/>
    <n v="200801"/>
    <n v="200801"/>
    <m/>
    <n v="2"/>
    <n v="200801"/>
    <n v="40000"/>
  </r>
  <r>
    <x v="411"/>
    <x v="6"/>
    <m/>
    <x v="6"/>
    <x v="2"/>
    <x v="37"/>
    <n v="200801"/>
    <n v="200801"/>
    <m/>
    <n v="1"/>
    <n v="200801"/>
    <n v="20000"/>
  </r>
  <r>
    <x v="411"/>
    <x v="6"/>
    <m/>
    <x v="31"/>
    <x v="2"/>
    <x v="95"/>
    <n v="200801"/>
    <n v="200801"/>
    <m/>
    <n v="20"/>
    <n v="200801"/>
    <n v="448000"/>
  </r>
  <r>
    <x v="411"/>
    <x v="6"/>
    <m/>
    <x v="31"/>
    <x v="2"/>
    <x v="96"/>
    <n v="200801"/>
    <n v="200801"/>
    <m/>
    <n v="19"/>
    <n v="200801"/>
    <n v="744800"/>
  </r>
  <r>
    <x v="411"/>
    <x v="6"/>
    <m/>
    <x v="32"/>
    <x v="2"/>
    <x v="97"/>
    <n v="200801"/>
    <n v="200801"/>
    <m/>
    <n v="19"/>
    <n v="200801"/>
    <n v="704900"/>
  </r>
  <r>
    <x v="411"/>
    <x v="6"/>
    <m/>
    <x v="34"/>
    <x v="2"/>
    <x v="105"/>
    <n v="200801"/>
    <n v="200801"/>
    <m/>
    <n v="19"/>
    <n v="200801"/>
    <n v="704900"/>
  </r>
  <r>
    <x v="411"/>
    <x v="6"/>
    <m/>
    <x v="30"/>
    <x v="2"/>
    <x v="99"/>
    <n v="200801"/>
    <n v="200801"/>
    <m/>
    <n v="5"/>
    <n v="200801"/>
    <n v="112000"/>
  </r>
  <r>
    <x v="411"/>
    <x v="6"/>
    <m/>
    <x v="1"/>
    <x v="2"/>
    <x v="18"/>
    <n v="200801"/>
    <n v="200801"/>
    <m/>
    <n v="3"/>
    <n v="200801"/>
    <n v="60000"/>
  </r>
  <r>
    <x v="411"/>
    <x v="6"/>
    <m/>
    <x v="4"/>
    <x v="2"/>
    <x v="26"/>
    <n v="200801"/>
    <n v="200801"/>
    <m/>
    <n v="3"/>
    <n v="200801"/>
    <n v="12000"/>
  </r>
  <r>
    <x v="411"/>
    <x v="6"/>
    <m/>
    <x v="4"/>
    <x v="2"/>
    <x v="27"/>
    <n v="200801"/>
    <n v="200801"/>
    <m/>
    <n v="9"/>
    <n v="200801"/>
    <n v="180000"/>
  </r>
  <r>
    <x v="411"/>
    <x v="6"/>
    <m/>
    <x v="0"/>
    <x v="2"/>
    <x v="15"/>
    <n v="200801"/>
    <n v="200801"/>
    <m/>
    <n v="20"/>
    <n v="200801"/>
    <n v="400000"/>
  </r>
  <r>
    <x v="411"/>
    <x v="6"/>
    <m/>
    <x v="0"/>
    <x v="2"/>
    <x v="16"/>
    <n v="200801"/>
    <n v="200801"/>
    <m/>
    <n v="12"/>
    <n v="200801"/>
    <n v="420000"/>
  </r>
  <r>
    <x v="411"/>
    <x v="6"/>
    <m/>
    <x v="0"/>
    <x v="2"/>
    <x v="17"/>
    <n v="200801"/>
    <n v="200801"/>
    <m/>
    <n v="39"/>
    <n v="200801"/>
    <n v="1287000"/>
  </r>
  <r>
    <x v="411"/>
    <x v="6"/>
    <m/>
    <x v="0"/>
    <x v="2"/>
    <x v="19"/>
    <n v="200801"/>
    <n v="200801"/>
    <m/>
    <n v="24"/>
    <n v="200801"/>
    <n v="72000"/>
  </r>
  <r>
    <x v="411"/>
    <x v="6"/>
    <m/>
    <x v="5"/>
    <x v="2"/>
    <x v="28"/>
    <n v="200801"/>
    <n v="200801"/>
    <m/>
    <n v="13"/>
    <n v="200801"/>
    <n v="364000"/>
  </r>
  <r>
    <x v="411"/>
    <x v="6"/>
    <m/>
    <x v="5"/>
    <x v="2"/>
    <x v="69"/>
    <n v="200801"/>
    <n v="200801"/>
    <m/>
    <n v="3"/>
    <n v="200801"/>
    <n v="144000"/>
  </r>
  <r>
    <x v="411"/>
    <x v="6"/>
    <m/>
    <x v="22"/>
    <x v="2"/>
    <x v="29"/>
    <n v="200801"/>
    <n v="200801"/>
    <m/>
    <n v="8"/>
    <n v="200801"/>
    <n v="304000"/>
  </r>
  <r>
    <x v="411"/>
    <x v="6"/>
    <m/>
    <x v="19"/>
    <x v="2"/>
    <x v="22"/>
    <n v="200801"/>
    <n v="200801"/>
    <m/>
    <n v="5"/>
    <n v="200801"/>
    <n v="65000"/>
  </r>
  <r>
    <x v="411"/>
    <x v="6"/>
    <m/>
    <x v="19"/>
    <x v="2"/>
    <x v="23"/>
    <n v="200801"/>
    <n v="200801"/>
    <m/>
    <n v="2"/>
    <n v="200801"/>
    <n v="48000"/>
  </r>
  <r>
    <x v="411"/>
    <x v="6"/>
    <m/>
    <x v="19"/>
    <x v="2"/>
    <x v="24"/>
    <n v="200801"/>
    <n v="200801"/>
    <m/>
    <n v="6"/>
    <n v="200801"/>
    <n v="198000"/>
  </r>
  <r>
    <x v="411"/>
    <x v="6"/>
    <m/>
    <x v="33"/>
    <x v="2"/>
    <x v="93"/>
    <n v="200801"/>
    <n v="200801"/>
    <m/>
    <n v="2"/>
    <n v="200801"/>
    <n v="67600"/>
  </r>
  <r>
    <x v="411"/>
    <x v="6"/>
    <m/>
    <x v="0"/>
    <x v="9"/>
    <x v="15"/>
    <n v="200801"/>
    <n v="200801"/>
    <m/>
    <n v="4"/>
    <n v="200801"/>
    <n v="80000"/>
  </r>
  <r>
    <x v="411"/>
    <x v="6"/>
    <m/>
    <x v="0"/>
    <x v="6"/>
    <x v="15"/>
    <n v="200801"/>
    <n v="200801"/>
    <m/>
    <n v="623"/>
    <n v="200801"/>
    <n v="5649364"/>
  </r>
  <r>
    <x v="411"/>
    <x v="6"/>
    <m/>
    <x v="0"/>
    <x v="6"/>
    <x v="17"/>
    <n v="200801"/>
    <n v="200801"/>
    <m/>
    <n v="11"/>
    <n v="200801"/>
    <n v="173998"/>
  </r>
  <r>
    <x v="411"/>
    <x v="6"/>
    <m/>
    <x v="4"/>
    <x v="6"/>
    <x v="26"/>
    <n v="200801"/>
    <n v="200801"/>
    <m/>
    <n v="353"/>
    <n v="200801"/>
    <n v="378769"/>
  </r>
  <r>
    <x v="411"/>
    <x v="6"/>
    <m/>
    <x v="26"/>
    <x v="6"/>
    <x v="35"/>
    <n v="200801"/>
    <n v="200801"/>
    <m/>
    <n v="17"/>
    <n v="200801"/>
    <n v="291227"/>
  </r>
  <r>
    <x v="411"/>
    <x v="6"/>
    <m/>
    <x v="22"/>
    <x v="6"/>
    <x v="29"/>
    <n v="200801"/>
    <n v="200801"/>
    <m/>
    <n v="39"/>
    <n v="200801"/>
    <n v="767949"/>
  </r>
  <r>
    <x v="411"/>
    <x v="6"/>
    <m/>
    <x v="24"/>
    <x v="6"/>
    <x v="31"/>
    <n v="200801"/>
    <n v="200801"/>
    <m/>
    <n v="47"/>
    <n v="200801"/>
    <n v="699219"/>
  </r>
  <r>
    <x v="411"/>
    <x v="6"/>
    <m/>
    <x v="23"/>
    <x v="6"/>
    <x v="30"/>
    <n v="200801"/>
    <n v="200801"/>
    <m/>
    <n v="2"/>
    <n v="200801"/>
    <n v="13928"/>
  </r>
  <r>
    <x v="411"/>
    <x v="6"/>
    <m/>
    <x v="19"/>
    <x v="6"/>
    <x v="22"/>
    <n v="200801"/>
    <n v="200801"/>
    <m/>
    <n v="45"/>
    <n v="200801"/>
    <n v="305595"/>
  </r>
  <r>
    <x v="411"/>
    <x v="6"/>
    <m/>
    <x v="6"/>
    <x v="6"/>
    <x v="37"/>
    <n v="200801"/>
    <n v="200801"/>
    <m/>
    <n v="18"/>
    <n v="200801"/>
    <n v="180000"/>
  </r>
  <r>
    <x v="411"/>
    <x v="6"/>
    <m/>
    <x v="4"/>
    <x v="6"/>
    <x v="66"/>
    <n v="200801"/>
    <n v="200801"/>
    <m/>
    <n v="453"/>
    <n v="200801"/>
    <n v="2535441"/>
  </r>
  <r>
    <x v="411"/>
    <x v="6"/>
    <m/>
    <x v="33"/>
    <x v="6"/>
    <x v="106"/>
    <n v="200801"/>
    <n v="200801"/>
    <m/>
    <n v="10"/>
    <n v="200801"/>
    <n v="97500"/>
  </r>
  <r>
    <x v="411"/>
    <x v="6"/>
    <m/>
    <x v="31"/>
    <x v="6"/>
    <x v="103"/>
    <n v="200801"/>
    <n v="200801"/>
    <m/>
    <n v="78"/>
    <n v="200801"/>
    <n v="873600"/>
  </r>
  <r>
    <x v="411"/>
    <x v="6"/>
    <m/>
    <x v="30"/>
    <x v="6"/>
    <x v="104"/>
    <n v="200801"/>
    <n v="200801"/>
    <m/>
    <n v="81"/>
    <n v="200801"/>
    <n v="907200"/>
  </r>
  <r>
    <x v="411"/>
    <x v="6"/>
    <m/>
    <x v="5"/>
    <x v="6"/>
    <x v="28"/>
    <n v="200801"/>
    <n v="200801"/>
    <m/>
    <n v="43"/>
    <n v="200801"/>
    <n v="627800"/>
  </r>
  <r>
    <x v="411"/>
    <x v="6"/>
    <m/>
    <x v="35"/>
    <x v="6"/>
    <x v="108"/>
    <n v="200801"/>
    <n v="200801"/>
    <m/>
    <n v="265"/>
    <n v="200801"/>
    <n v="284345"/>
  </r>
  <r>
    <x v="412"/>
    <x v="3"/>
    <m/>
    <x v="0"/>
    <x v="1"/>
    <x v="15"/>
    <n v="200801"/>
    <n v="200801"/>
    <m/>
    <n v="1"/>
    <n v="200801"/>
    <n v="20000"/>
  </r>
  <r>
    <x v="412"/>
    <x v="3"/>
    <m/>
    <x v="0"/>
    <x v="1"/>
    <x v="16"/>
    <n v="200801"/>
    <n v="200801"/>
    <m/>
    <n v="23"/>
    <n v="200801"/>
    <n v="805000"/>
  </r>
  <r>
    <x v="412"/>
    <x v="3"/>
    <m/>
    <x v="0"/>
    <x v="7"/>
    <x v="15"/>
    <n v="200801"/>
    <n v="200801"/>
    <m/>
    <n v="4"/>
    <n v="200801"/>
    <n v="80000"/>
  </r>
  <r>
    <x v="412"/>
    <x v="3"/>
    <m/>
    <x v="6"/>
    <x v="2"/>
    <x v="37"/>
    <n v="200801"/>
    <n v="200801"/>
    <m/>
    <n v="2"/>
    <n v="200801"/>
    <n v="40000"/>
  </r>
  <r>
    <x v="412"/>
    <x v="3"/>
    <m/>
    <x v="6"/>
    <x v="2"/>
    <x v="42"/>
    <n v="200801"/>
    <n v="200801"/>
    <m/>
    <n v="1"/>
    <n v="200801"/>
    <n v="35000"/>
  </r>
  <r>
    <x v="412"/>
    <x v="3"/>
    <m/>
    <x v="36"/>
    <x v="2"/>
    <x v="110"/>
    <n v="200801"/>
    <n v="200801"/>
    <m/>
    <n v="19"/>
    <n v="200801"/>
    <n v="532000"/>
  </r>
  <r>
    <x v="412"/>
    <x v="3"/>
    <m/>
    <x v="36"/>
    <x v="2"/>
    <x v="111"/>
    <n v="200801"/>
    <n v="200801"/>
    <m/>
    <n v="2"/>
    <n v="200801"/>
    <n v="98000"/>
  </r>
  <r>
    <x v="412"/>
    <x v="3"/>
    <m/>
    <x v="35"/>
    <x v="2"/>
    <x v="112"/>
    <n v="200801"/>
    <n v="200801"/>
    <m/>
    <n v="13"/>
    <n v="200801"/>
    <n v="26000"/>
  </r>
  <r>
    <x v="412"/>
    <x v="3"/>
    <m/>
    <x v="25"/>
    <x v="2"/>
    <x v="34"/>
    <n v="200801"/>
    <n v="200801"/>
    <m/>
    <n v="2"/>
    <n v="200801"/>
    <n v="198000"/>
  </r>
  <r>
    <x v="412"/>
    <x v="3"/>
    <m/>
    <x v="31"/>
    <x v="2"/>
    <x v="95"/>
    <n v="200801"/>
    <n v="200801"/>
    <m/>
    <n v="41"/>
    <n v="200801"/>
    <n v="918400"/>
  </r>
  <r>
    <x v="412"/>
    <x v="3"/>
    <m/>
    <x v="31"/>
    <x v="2"/>
    <x v="96"/>
    <n v="200801"/>
    <n v="200801"/>
    <m/>
    <n v="37"/>
    <n v="200801"/>
    <n v="1450400"/>
  </r>
  <r>
    <x v="412"/>
    <x v="3"/>
    <m/>
    <x v="32"/>
    <x v="2"/>
    <x v="97"/>
    <n v="200801"/>
    <n v="200801"/>
    <m/>
    <n v="18"/>
    <n v="200801"/>
    <n v="667800"/>
  </r>
  <r>
    <x v="412"/>
    <x v="3"/>
    <m/>
    <x v="34"/>
    <x v="2"/>
    <x v="105"/>
    <n v="200801"/>
    <n v="200801"/>
    <m/>
    <n v="33"/>
    <n v="200801"/>
    <n v="1224300"/>
  </r>
  <r>
    <x v="412"/>
    <x v="3"/>
    <m/>
    <x v="30"/>
    <x v="2"/>
    <x v="99"/>
    <n v="200801"/>
    <n v="200801"/>
    <m/>
    <n v="12"/>
    <n v="200801"/>
    <n v="268800"/>
  </r>
  <r>
    <x v="412"/>
    <x v="3"/>
    <m/>
    <x v="30"/>
    <x v="2"/>
    <x v="100"/>
    <n v="200801"/>
    <n v="200801"/>
    <m/>
    <n v="1"/>
    <n v="200801"/>
    <n v="39200"/>
  </r>
  <r>
    <x v="412"/>
    <x v="3"/>
    <m/>
    <x v="1"/>
    <x v="2"/>
    <x v="18"/>
    <n v="200801"/>
    <n v="200801"/>
    <m/>
    <n v="1"/>
    <n v="200801"/>
    <n v="20000"/>
  </r>
  <r>
    <x v="412"/>
    <x v="3"/>
    <m/>
    <x v="4"/>
    <x v="2"/>
    <x v="26"/>
    <n v="200801"/>
    <n v="200801"/>
    <m/>
    <n v="6"/>
    <n v="200801"/>
    <n v="24000"/>
  </r>
  <r>
    <x v="412"/>
    <x v="3"/>
    <m/>
    <x v="4"/>
    <x v="2"/>
    <x v="27"/>
    <n v="200801"/>
    <n v="200801"/>
    <m/>
    <n v="9"/>
    <n v="200801"/>
    <n v="180000"/>
  </r>
  <r>
    <x v="412"/>
    <x v="3"/>
    <m/>
    <x v="0"/>
    <x v="2"/>
    <x v="15"/>
    <n v="200801"/>
    <n v="200801"/>
    <m/>
    <n v="37"/>
    <n v="200801"/>
    <n v="740000"/>
  </r>
  <r>
    <x v="412"/>
    <x v="3"/>
    <m/>
    <x v="0"/>
    <x v="2"/>
    <x v="16"/>
    <n v="200801"/>
    <n v="200801"/>
    <m/>
    <n v="21"/>
    <n v="200801"/>
    <n v="735000"/>
  </r>
  <r>
    <x v="412"/>
    <x v="3"/>
    <m/>
    <x v="0"/>
    <x v="2"/>
    <x v="17"/>
    <n v="200801"/>
    <n v="200801"/>
    <m/>
    <n v="46"/>
    <n v="200801"/>
    <n v="1518000"/>
  </r>
  <r>
    <x v="412"/>
    <x v="3"/>
    <m/>
    <x v="0"/>
    <x v="2"/>
    <x v="19"/>
    <n v="200801"/>
    <n v="200801"/>
    <m/>
    <n v="34"/>
    <n v="200801"/>
    <n v="102000"/>
  </r>
  <r>
    <x v="412"/>
    <x v="3"/>
    <m/>
    <x v="5"/>
    <x v="2"/>
    <x v="28"/>
    <n v="200801"/>
    <n v="200801"/>
    <m/>
    <n v="22"/>
    <n v="200801"/>
    <n v="616000"/>
  </r>
  <r>
    <x v="412"/>
    <x v="3"/>
    <m/>
    <x v="5"/>
    <x v="2"/>
    <x v="69"/>
    <n v="200801"/>
    <n v="200801"/>
    <m/>
    <n v="8"/>
    <n v="200801"/>
    <n v="384000"/>
  </r>
  <r>
    <x v="412"/>
    <x v="3"/>
    <m/>
    <x v="22"/>
    <x v="2"/>
    <x v="29"/>
    <n v="200801"/>
    <n v="200801"/>
    <m/>
    <n v="10"/>
    <n v="200801"/>
    <n v="380000"/>
  </r>
  <r>
    <x v="412"/>
    <x v="3"/>
    <m/>
    <x v="19"/>
    <x v="2"/>
    <x v="22"/>
    <n v="200801"/>
    <n v="200801"/>
    <m/>
    <n v="9"/>
    <n v="200801"/>
    <n v="117000"/>
  </r>
  <r>
    <x v="412"/>
    <x v="3"/>
    <m/>
    <x v="19"/>
    <x v="2"/>
    <x v="23"/>
    <n v="200801"/>
    <n v="200801"/>
    <m/>
    <n v="5"/>
    <n v="200801"/>
    <n v="120000"/>
  </r>
  <r>
    <x v="412"/>
    <x v="3"/>
    <m/>
    <x v="19"/>
    <x v="2"/>
    <x v="24"/>
    <n v="200801"/>
    <n v="200801"/>
    <m/>
    <n v="2"/>
    <n v="200801"/>
    <n v="66000"/>
  </r>
  <r>
    <x v="412"/>
    <x v="3"/>
    <m/>
    <x v="33"/>
    <x v="2"/>
    <x v="92"/>
    <n v="200801"/>
    <n v="200801"/>
    <m/>
    <n v="3"/>
    <n v="200801"/>
    <n v="54600"/>
  </r>
  <r>
    <x v="412"/>
    <x v="3"/>
    <m/>
    <x v="33"/>
    <x v="2"/>
    <x v="93"/>
    <n v="200801"/>
    <n v="200801"/>
    <m/>
    <n v="1"/>
    <n v="200801"/>
    <n v="33800"/>
  </r>
  <r>
    <x v="412"/>
    <x v="3"/>
    <m/>
    <x v="0"/>
    <x v="19"/>
    <x v="15"/>
    <n v="200801"/>
    <n v="200801"/>
    <m/>
    <n v="1"/>
    <n v="200801"/>
    <n v="25000"/>
  </r>
  <r>
    <x v="412"/>
    <x v="3"/>
    <m/>
    <x v="19"/>
    <x v="19"/>
    <x v="22"/>
    <n v="200801"/>
    <n v="200801"/>
    <m/>
    <n v="1"/>
    <n v="200801"/>
    <n v="16000"/>
  </r>
  <r>
    <x v="412"/>
    <x v="3"/>
    <m/>
    <x v="0"/>
    <x v="9"/>
    <x v="15"/>
    <n v="200801"/>
    <n v="200801"/>
    <m/>
    <n v="1"/>
    <n v="200801"/>
    <n v="20000"/>
  </r>
  <r>
    <x v="412"/>
    <x v="3"/>
    <m/>
    <x v="31"/>
    <x v="9"/>
    <x v="88"/>
    <n v="200801"/>
    <n v="200801"/>
    <m/>
    <n v="1"/>
    <n v="200801"/>
    <n v="22400"/>
  </r>
  <r>
    <x v="413"/>
    <x v="4"/>
    <m/>
    <x v="0"/>
    <x v="1"/>
    <x v="16"/>
    <n v="200801"/>
    <n v="200801"/>
    <m/>
    <n v="4"/>
    <n v="200801"/>
    <n v="140000"/>
  </r>
  <r>
    <x v="413"/>
    <x v="4"/>
    <m/>
    <x v="0"/>
    <x v="5"/>
    <x v="51"/>
    <n v="200801"/>
    <n v="200801"/>
    <m/>
    <n v="1000"/>
    <n v="200801"/>
    <n v="11250000"/>
  </r>
  <r>
    <x v="413"/>
    <x v="4"/>
    <m/>
    <x v="0"/>
    <x v="5"/>
    <x v="51"/>
    <n v="200801"/>
    <n v="200801"/>
    <m/>
    <n v="30"/>
    <n v="200801"/>
    <n v="337500"/>
  </r>
  <r>
    <x v="413"/>
    <x v="4"/>
    <m/>
    <x v="36"/>
    <x v="5"/>
    <x v="109"/>
    <n v="200801"/>
    <n v="200801"/>
    <m/>
    <n v="30"/>
    <n v="200801"/>
    <n v="525000"/>
  </r>
  <r>
    <x v="413"/>
    <x v="4"/>
    <m/>
    <x v="0"/>
    <x v="7"/>
    <x v="15"/>
    <n v="200801"/>
    <n v="200801"/>
    <m/>
    <n v="1"/>
    <n v="200801"/>
    <n v="20000"/>
  </r>
  <r>
    <x v="413"/>
    <x v="4"/>
    <m/>
    <x v="30"/>
    <x v="3"/>
    <x v="87"/>
    <n v="200801"/>
    <n v="200801"/>
    <m/>
    <n v="1"/>
    <n v="200801"/>
    <n v="0"/>
  </r>
  <r>
    <x v="413"/>
    <x v="4"/>
    <m/>
    <x v="31"/>
    <x v="3"/>
    <x v="88"/>
    <n v="200801"/>
    <n v="200801"/>
    <m/>
    <n v="1"/>
    <n v="200801"/>
    <n v="0"/>
  </r>
  <r>
    <x v="413"/>
    <x v="4"/>
    <m/>
    <x v="36"/>
    <x v="3"/>
    <x v="109"/>
    <n v="200801"/>
    <n v="200801"/>
    <m/>
    <n v="18"/>
    <n v="200801"/>
    <n v="0"/>
  </r>
  <r>
    <x v="413"/>
    <x v="4"/>
    <m/>
    <x v="33"/>
    <x v="3"/>
    <x v="94"/>
    <n v="200801"/>
    <n v="200801"/>
    <m/>
    <n v="1"/>
    <n v="200801"/>
    <n v="0"/>
  </r>
  <r>
    <x v="413"/>
    <x v="4"/>
    <m/>
    <x v="0"/>
    <x v="3"/>
    <x v="15"/>
    <n v="200801"/>
    <n v="200801"/>
    <m/>
    <n v="18"/>
    <n v="200801"/>
    <n v="0"/>
  </r>
  <r>
    <x v="413"/>
    <x v="4"/>
    <m/>
    <x v="0"/>
    <x v="3"/>
    <x v="20"/>
    <n v="200801"/>
    <n v="200801"/>
    <m/>
    <n v="25"/>
    <n v="200801"/>
    <n v="0"/>
  </r>
  <r>
    <x v="413"/>
    <x v="4"/>
    <m/>
    <x v="18"/>
    <x v="3"/>
    <x v="19"/>
    <n v="200801"/>
    <n v="200801"/>
    <m/>
    <n v="18"/>
    <n v="200801"/>
    <n v="0"/>
  </r>
  <r>
    <x v="413"/>
    <x v="4"/>
    <m/>
    <x v="5"/>
    <x v="3"/>
    <x v="28"/>
    <n v="200801"/>
    <n v="200801"/>
    <m/>
    <n v="18"/>
    <n v="200801"/>
    <n v="0"/>
  </r>
  <r>
    <x v="413"/>
    <x v="4"/>
    <m/>
    <x v="4"/>
    <x v="3"/>
    <x v="27"/>
    <n v="200801"/>
    <n v="200801"/>
    <m/>
    <n v="1"/>
    <n v="200801"/>
    <n v="0"/>
  </r>
  <r>
    <x v="413"/>
    <x v="4"/>
    <m/>
    <x v="6"/>
    <x v="3"/>
    <x v="37"/>
    <n v="200801"/>
    <n v="200801"/>
    <m/>
    <n v="1"/>
    <n v="200801"/>
    <n v="0"/>
  </r>
  <r>
    <x v="413"/>
    <x v="4"/>
    <m/>
    <x v="19"/>
    <x v="3"/>
    <x v="22"/>
    <n v="200801"/>
    <n v="200801"/>
    <m/>
    <n v="1"/>
    <n v="200801"/>
    <n v="0"/>
  </r>
  <r>
    <x v="413"/>
    <x v="4"/>
    <m/>
    <x v="1"/>
    <x v="3"/>
    <x v="18"/>
    <n v="200801"/>
    <n v="200801"/>
    <m/>
    <n v="1"/>
    <n v="200801"/>
    <n v="0"/>
  </r>
  <r>
    <x v="413"/>
    <x v="4"/>
    <m/>
    <x v="6"/>
    <x v="2"/>
    <x v="37"/>
    <n v="200801"/>
    <n v="200801"/>
    <m/>
    <n v="1"/>
    <n v="200801"/>
    <n v="20000"/>
  </r>
  <r>
    <x v="413"/>
    <x v="4"/>
    <m/>
    <x v="6"/>
    <x v="2"/>
    <x v="42"/>
    <n v="200801"/>
    <n v="200801"/>
    <m/>
    <n v="1"/>
    <n v="200801"/>
    <n v="35000"/>
  </r>
  <r>
    <x v="413"/>
    <x v="4"/>
    <m/>
    <x v="36"/>
    <x v="2"/>
    <x v="110"/>
    <n v="200801"/>
    <n v="200801"/>
    <m/>
    <n v="5"/>
    <n v="200801"/>
    <n v="140000"/>
  </r>
  <r>
    <x v="413"/>
    <x v="4"/>
    <m/>
    <x v="36"/>
    <x v="2"/>
    <x v="111"/>
    <n v="200801"/>
    <n v="200801"/>
    <m/>
    <n v="1"/>
    <n v="200801"/>
    <n v="49000"/>
  </r>
  <r>
    <x v="413"/>
    <x v="4"/>
    <m/>
    <x v="35"/>
    <x v="2"/>
    <x v="112"/>
    <n v="200801"/>
    <n v="200801"/>
    <m/>
    <n v="4"/>
    <n v="200801"/>
    <n v="8000"/>
  </r>
  <r>
    <x v="413"/>
    <x v="4"/>
    <m/>
    <x v="25"/>
    <x v="2"/>
    <x v="34"/>
    <n v="200801"/>
    <n v="200801"/>
    <m/>
    <n v="3"/>
    <n v="200801"/>
    <n v="297000"/>
  </r>
  <r>
    <x v="413"/>
    <x v="4"/>
    <m/>
    <x v="31"/>
    <x v="2"/>
    <x v="95"/>
    <n v="200801"/>
    <n v="200801"/>
    <m/>
    <n v="41"/>
    <n v="200801"/>
    <n v="918400"/>
  </r>
  <r>
    <x v="413"/>
    <x v="4"/>
    <m/>
    <x v="31"/>
    <x v="2"/>
    <x v="96"/>
    <n v="200801"/>
    <n v="200801"/>
    <m/>
    <n v="37"/>
    <n v="200801"/>
    <n v="1450400"/>
  </r>
  <r>
    <x v="413"/>
    <x v="4"/>
    <m/>
    <x v="32"/>
    <x v="2"/>
    <x v="97"/>
    <n v="200801"/>
    <n v="200801"/>
    <m/>
    <n v="30"/>
    <n v="200801"/>
    <n v="1113000"/>
  </r>
  <r>
    <x v="413"/>
    <x v="4"/>
    <m/>
    <x v="34"/>
    <x v="2"/>
    <x v="105"/>
    <n v="200801"/>
    <n v="200801"/>
    <m/>
    <n v="28"/>
    <n v="200801"/>
    <n v="1038800"/>
  </r>
  <r>
    <x v="413"/>
    <x v="4"/>
    <m/>
    <x v="30"/>
    <x v="2"/>
    <x v="99"/>
    <n v="200801"/>
    <n v="200801"/>
    <m/>
    <n v="4"/>
    <n v="200801"/>
    <n v="89600"/>
  </r>
  <r>
    <x v="413"/>
    <x v="4"/>
    <m/>
    <x v="30"/>
    <x v="2"/>
    <x v="100"/>
    <n v="200801"/>
    <n v="200801"/>
    <m/>
    <n v="1"/>
    <n v="200801"/>
    <n v="39200"/>
  </r>
  <r>
    <x v="413"/>
    <x v="4"/>
    <m/>
    <x v="1"/>
    <x v="2"/>
    <x v="18"/>
    <n v="200801"/>
    <n v="200801"/>
    <m/>
    <n v="1"/>
    <n v="200801"/>
    <n v="20000"/>
  </r>
  <r>
    <x v="413"/>
    <x v="4"/>
    <m/>
    <x v="1"/>
    <x v="2"/>
    <x v="21"/>
    <n v="200801"/>
    <n v="200801"/>
    <m/>
    <n v="1"/>
    <n v="200801"/>
    <n v="35000"/>
  </r>
  <r>
    <x v="413"/>
    <x v="4"/>
    <m/>
    <x v="4"/>
    <x v="2"/>
    <x v="26"/>
    <n v="200801"/>
    <n v="200801"/>
    <m/>
    <n v="1"/>
    <n v="200801"/>
    <n v="4000"/>
  </r>
  <r>
    <x v="413"/>
    <x v="4"/>
    <m/>
    <x v="4"/>
    <x v="2"/>
    <x v="27"/>
    <n v="200801"/>
    <n v="200801"/>
    <m/>
    <n v="6"/>
    <n v="200801"/>
    <n v="120000"/>
  </r>
  <r>
    <x v="413"/>
    <x v="4"/>
    <m/>
    <x v="0"/>
    <x v="2"/>
    <x v="15"/>
    <n v="200801"/>
    <n v="200801"/>
    <m/>
    <n v="44"/>
    <n v="200801"/>
    <n v="880000"/>
  </r>
  <r>
    <x v="413"/>
    <x v="4"/>
    <m/>
    <x v="0"/>
    <x v="2"/>
    <x v="16"/>
    <n v="200801"/>
    <n v="200801"/>
    <m/>
    <n v="27"/>
    <n v="200801"/>
    <n v="945000"/>
  </r>
  <r>
    <x v="413"/>
    <x v="4"/>
    <m/>
    <x v="0"/>
    <x v="2"/>
    <x v="17"/>
    <n v="200801"/>
    <n v="200801"/>
    <m/>
    <n v="40"/>
    <n v="200801"/>
    <n v="1320000"/>
  </r>
  <r>
    <x v="413"/>
    <x v="4"/>
    <m/>
    <x v="0"/>
    <x v="2"/>
    <x v="19"/>
    <n v="200801"/>
    <n v="200801"/>
    <m/>
    <n v="38"/>
    <n v="200801"/>
    <n v="114000"/>
  </r>
  <r>
    <x v="413"/>
    <x v="4"/>
    <m/>
    <x v="5"/>
    <x v="2"/>
    <x v="28"/>
    <n v="200801"/>
    <n v="200801"/>
    <m/>
    <n v="16"/>
    <n v="200801"/>
    <n v="448000"/>
  </r>
  <r>
    <x v="413"/>
    <x v="4"/>
    <m/>
    <x v="5"/>
    <x v="2"/>
    <x v="69"/>
    <n v="200801"/>
    <n v="200801"/>
    <m/>
    <n v="2"/>
    <n v="200801"/>
    <n v="96000"/>
  </r>
  <r>
    <x v="413"/>
    <x v="4"/>
    <m/>
    <x v="22"/>
    <x v="2"/>
    <x v="29"/>
    <n v="200801"/>
    <n v="200801"/>
    <m/>
    <n v="8"/>
    <n v="200801"/>
    <n v="304000"/>
  </r>
  <r>
    <x v="413"/>
    <x v="4"/>
    <m/>
    <x v="19"/>
    <x v="2"/>
    <x v="22"/>
    <n v="200801"/>
    <n v="200801"/>
    <m/>
    <n v="10"/>
    <n v="200801"/>
    <n v="130000"/>
  </r>
  <r>
    <x v="413"/>
    <x v="4"/>
    <m/>
    <x v="19"/>
    <x v="2"/>
    <x v="23"/>
    <n v="200801"/>
    <n v="200801"/>
    <m/>
    <n v="2"/>
    <n v="200801"/>
    <n v="48000"/>
  </r>
  <r>
    <x v="413"/>
    <x v="4"/>
    <m/>
    <x v="19"/>
    <x v="2"/>
    <x v="24"/>
    <n v="200801"/>
    <n v="200801"/>
    <m/>
    <n v="1"/>
    <n v="200801"/>
    <n v="33000"/>
  </r>
  <r>
    <x v="413"/>
    <x v="4"/>
    <m/>
    <x v="33"/>
    <x v="2"/>
    <x v="92"/>
    <n v="200801"/>
    <n v="200801"/>
    <m/>
    <n v="2"/>
    <n v="200801"/>
    <n v="36400"/>
  </r>
  <r>
    <x v="413"/>
    <x v="4"/>
    <m/>
    <x v="0"/>
    <x v="9"/>
    <x v="15"/>
    <n v="200801"/>
    <n v="200801"/>
    <m/>
    <n v="6"/>
    <n v="200801"/>
    <n v="120000"/>
  </r>
  <r>
    <x v="414"/>
    <x v="1"/>
    <m/>
    <x v="0"/>
    <x v="1"/>
    <x v="16"/>
    <n v="200801"/>
    <n v="200801"/>
    <m/>
    <n v="3"/>
    <n v="200801"/>
    <n v="105000"/>
  </r>
  <r>
    <x v="414"/>
    <x v="1"/>
    <m/>
    <x v="36"/>
    <x v="5"/>
    <x v="109"/>
    <n v="200801"/>
    <n v="200801"/>
    <m/>
    <n v="3"/>
    <n v="200801"/>
    <n v="52500"/>
  </r>
  <r>
    <x v="414"/>
    <x v="1"/>
    <m/>
    <x v="4"/>
    <x v="5"/>
    <x v="62"/>
    <n v="200801"/>
    <n v="200801"/>
    <m/>
    <n v="3"/>
    <n v="200801"/>
    <n v="54000"/>
  </r>
  <r>
    <x v="414"/>
    <x v="1"/>
    <m/>
    <x v="0"/>
    <x v="7"/>
    <x v="15"/>
    <n v="200801"/>
    <n v="200801"/>
    <m/>
    <n v="1"/>
    <n v="200801"/>
    <n v="20000"/>
  </r>
  <r>
    <x v="414"/>
    <x v="1"/>
    <m/>
    <x v="0"/>
    <x v="3"/>
    <x v="15"/>
    <n v="200801"/>
    <n v="200801"/>
    <m/>
    <n v="3"/>
    <n v="200801"/>
    <n v="0"/>
  </r>
  <r>
    <x v="414"/>
    <x v="1"/>
    <m/>
    <x v="36"/>
    <x v="3"/>
    <x v="109"/>
    <n v="200801"/>
    <n v="200801"/>
    <m/>
    <n v="3"/>
    <n v="200801"/>
    <n v="0"/>
  </r>
  <r>
    <x v="414"/>
    <x v="1"/>
    <m/>
    <x v="18"/>
    <x v="3"/>
    <x v="19"/>
    <n v="200801"/>
    <n v="200801"/>
    <m/>
    <n v="3"/>
    <n v="200801"/>
    <n v="0"/>
  </r>
  <r>
    <x v="414"/>
    <x v="1"/>
    <m/>
    <x v="5"/>
    <x v="3"/>
    <x v="28"/>
    <n v="200801"/>
    <n v="200801"/>
    <m/>
    <n v="3"/>
    <n v="200801"/>
    <n v="0"/>
  </r>
  <r>
    <x v="414"/>
    <x v="1"/>
    <m/>
    <x v="6"/>
    <x v="2"/>
    <x v="37"/>
    <n v="200801"/>
    <n v="200801"/>
    <m/>
    <n v="4"/>
    <n v="200801"/>
    <n v="80000"/>
  </r>
  <r>
    <x v="414"/>
    <x v="1"/>
    <m/>
    <x v="36"/>
    <x v="2"/>
    <x v="110"/>
    <n v="200801"/>
    <n v="200801"/>
    <m/>
    <n v="2"/>
    <n v="200801"/>
    <n v="56000"/>
  </r>
  <r>
    <x v="414"/>
    <x v="1"/>
    <m/>
    <x v="35"/>
    <x v="2"/>
    <x v="112"/>
    <n v="200801"/>
    <n v="200801"/>
    <m/>
    <n v="16"/>
    <n v="200801"/>
    <n v="32000"/>
  </r>
  <r>
    <x v="414"/>
    <x v="1"/>
    <m/>
    <x v="25"/>
    <x v="2"/>
    <x v="34"/>
    <n v="200801"/>
    <n v="200801"/>
    <m/>
    <n v="7"/>
    <n v="200801"/>
    <n v="693000"/>
  </r>
  <r>
    <x v="414"/>
    <x v="1"/>
    <m/>
    <x v="31"/>
    <x v="2"/>
    <x v="95"/>
    <n v="200801"/>
    <n v="200801"/>
    <m/>
    <n v="89"/>
    <n v="200801"/>
    <n v="1993600"/>
  </r>
  <r>
    <x v="414"/>
    <x v="1"/>
    <m/>
    <x v="31"/>
    <x v="2"/>
    <x v="96"/>
    <n v="200801"/>
    <n v="200801"/>
    <m/>
    <n v="122"/>
    <n v="200801"/>
    <n v="4782400"/>
  </r>
  <r>
    <x v="414"/>
    <x v="1"/>
    <m/>
    <x v="32"/>
    <x v="2"/>
    <x v="97"/>
    <n v="200801"/>
    <n v="200801"/>
    <m/>
    <n v="79"/>
    <n v="200801"/>
    <n v="2930900"/>
  </r>
  <r>
    <x v="414"/>
    <x v="1"/>
    <m/>
    <x v="34"/>
    <x v="2"/>
    <x v="105"/>
    <n v="200801"/>
    <n v="200801"/>
    <m/>
    <n v="26"/>
    <n v="200801"/>
    <n v="964600"/>
  </r>
  <r>
    <x v="414"/>
    <x v="1"/>
    <m/>
    <x v="30"/>
    <x v="2"/>
    <x v="99"/>
    <n v="200801"/>
    <n v="200801"/>
    <m/>
    <n v="12"/>
    <n v="200801"/>
    <n v="268800"/>
  </r>
  <r>
    <x v="414"/>
    <x v="1"/>
    <m/>
    <x v="30"/>
    <x v="2"/>
    <x v="100"/>
    <n v="200801"/>
    <n v="200801"/>
    <m/>
    <n v="1"/>
    <n v="200801"/>
    <n v="39200"/>
  </r>
  <r>
    <x v="414"/>
    <x v="1"/>
    <m/>
    <x v="1"/>
    <x v="2"/>
    <x v="18"/>
    <n v="200801"/>
    <n v="200801"/>
    <m/>
    <n v="10"/>
    <n v="200801"/>
    <n v="200000"/>
  </r>
  <r>
    <x v="414"/>
    <x v="1"/>
    <m/>
    <x v="4"/>
    <x v="2"/>
    <x v="26"/>
    <n v="200801"/>
    <n v="200801"/>
    <m/>
    <n v="7"/>
    <n v="200801"/>
    <n v="28000"/>
  </r>
  <r>
    <x v="414"/>
    <x v="1"/>
    <m/>
    <x v="4"/>
    <x v="2"/>
    <x v="27"/>
    <n v="200801"/>
    <n v="200801"/>
    <m/>
    <n v="11"/>
    <n v="200801"/>
    <n v="220000"/>
  </r>
  <r>
    <x v="414"/>
    <x v="1"/>
    <m/>
    <x v="0"/>
    <x v="2"/>
    <x v="15"/>
    <n v="200801"/>
    <n v="200801"/>
    <m/>
    <n v="65"/>
    <n v="200801"/>
    <n v="1300000"/>
  </r>
  <r>
    <x v="414"/>
    <x v="1"/>
    <m/>
    <x v="0"/>
    <x v="2"/>
    <x v="16"/>
    <n v="200801"/>
    <n v="200801"/>
    <m/>
    <n v="37"/>
    <n v="200801"/>
    <n v="1295000"/>
  </r>
  <r>
    <x v="414"/>
    <x v="1"/>
    <m/>
    <x v="0"/>
    <x v="2"/>
    <x v="17"/>
    <n v="200801"/>
    <n v="200801"/>
    <m/>
    <n v="56"/>
    <n v="200801"/>
    <n v="1848000"/>
  </r>
  <r>
    <x v="414"/>
    <x v="1"/>
    <m/>
    <x v="0"/>
    <x v="2"/>
    <x v="19"/>
    <n v="200801"/>
    <n v="200801"/>
    <m/>
    <n v="73"/>
    <n v="200801"/>
    <n v="219000"/>
  </r>
  <r>
    <x v="414"/>
    <x v="1"/>
    <m/>
    <x v="5"/>
    <x v="2"/>
    <x v="28"/>
    <n v="200801"/>
    <n v="200801"/>
    <m/>
    <n v="32"/>
    <n v="200801"/>
    <n v="896000"/>
  </r>
  <r>
    <x v="414"/>
    <x v="1"/>
    <m/>
    <x v="5"/>
    <x v="2"/>
    <x v="69"/>
    <n v="200801"/>
    <n v="200801"/>
    <m/>
    <n v="6"/>
    <n v="200801"/>
    <n v="288000"/>
  </r>
  <r>
    <x v="414"/>
    <x v="1"/>
    <m/>
    <x v="22"/>
    <x v="2"/>
    <x v="29"/>
    <n v="200801"/>
    <n v="200801"/>
    <m/>
    <n v="5"/>
    <n v="200801"/>
    <n v="190000"/>
  </r>
  <r>
    <x v="414"/>
    <x v="1"/>
    <m/>
    <x v="19"/>
    <x v="2"/>
    <x v="22"/>
    <n v="200801"/>
    <n v="200801"/>
    <m/>
    <n v="11"/>
    <n v="200801"/>
    <n v="143000"/>
  </r>
  <r>
    <x v="414"/>
    <x v="1"/>
    <m/>
    <x v="19"/>
    <x v="2"/>
    <x v="23"/>
    <n v="200801"/>
    <n v="200801"/>
    <m/>
    <n v="2"/>
    <n v="200801"/>
    <n v="48000"/>
  </r>
  <r>
    <x v="414"/>
    <x v="1"/>
    <m/>
    <x v="19"/>
    <x v="2"/>
    <x v="24"/>
    <n v="200801"/>
    <n v="200801"/>
    <m/>
    <n v="4"/>
    <n v="200801"/>
    <n v="132000"/>
  </r>
  <r>
    <x v="414"/>
    <x v="1"/>
    <m/>
    <x v="33"/>
    <x v="2"/>
    <x v="92"/>
    <n v="200801"/>
    <n v="200801"/>
    <m/>
    <n v="1"/>
    <n v="200801"/>
    <n v="18200"/>
  </r>
  <r>
    <x v="414"/>
    <x v="1"/>
    <m/>
    <x v="0"/>
    <x v="9"/>
    <x v="15"/>
    <n v="200801"/>
    <n v="200801"/>
    <m/>
    <n v="3"/>
    <n v="200801"/>
    <n v="60000"/>
  </r>
  <r>
    <x v="414"/>
    <x v="1"/>
    <m/>
    <x v="6"/>
    <x v="9"/>
    <x v="37"/>
    <n v="200801"/>
    <n v="200801"/>
    <m/>
    <n v="2"/>
    <n v="200801"/>
    <n v="40000"/>
  </r>
  <r>
    <x v="415"/>
    <x v="0"/>
    <m/>
    <x v="0"/>
    <x v="1"/>
    <x v="16"/>
    <n v="200801"/>
    <n v="200801"/>
    <m/>
    <n v="5"/>
    <n v="200801"/>
    <n v="175000"/>
  </r>
  <r>
    <x v="415"/>
    <x v="0"/>
    <m/>
    <x v="0"/>
    <x v="5"/>
    <x v="51"/>
    <n v="200801"/>
    <n v="200801"/>
    <m/>
    <n v="30"/>
    <n v="200801"/>
    <n v="337500"/>
  </r>
  <r>
    <x v="415"/>
    <x v="0"/>
    <m/>
    <x v="5"/>
    <x v="5"/>
    <x v="53"/>
    <n v="200801"/>
    <n v="200801"/>
    <m/>
    <n v="20"/>
    <n v="200801"/>
    <n v="297000"/>
  </r>
  <r>
    <x v="415"/>
    <x v="0"/>
    <m/>
    <x v="4"/>
    <x v="5"/>
    <x v="62"/>
    <n v="200801"/>
    <n v="200801"/>
    <m/>
    <n v="3"/>
    <n v="200801"/>
    <n v="54000"/>
  </r>
  <r>
    <x v="415"/>
    <x v="0"/>
    <m/>
    <x v="0"/>
    <x v="7"/>
    <x v="15"/>
    <n v="200801"/>
    <n v="200801"/>
    <m/>
    <n v="3"/>
    <n v="200801"/>
    <n v="60000"/>
  </r>
  <r>
    <x v="415"/>
    <x v="0"/>
    <m/>
    <x v="0"/>
    <x v="3"/>
    <x v="15"/>
    <n v="200801"/>
    <n v="200801"/>
    <m/>
    <n v="1"/>
    <n v="200801"/>
    <n v="0"/>
  </r>
  <r>
    <x v="415"/>
    <x v="0"/>
    <m/>
    <x v="18"/>
    <x v="3"/>
    <x v="19"/>
    <n v="200801"/>
    <n v="200801"/>
    <m/>
    <n v="1"/>
    <n v="200801"/>
    <n v="0"/>
  </r>
  <r>
    <x v="415"/>
    <x v="0"/>
    <m/>
    <x v="5"/>
    <x v="3"/>
    <x v="28"/>
    <n v="200801"/>
    <n v="200801"/>
    <m/>
    <n v="1"/>
    <n v="200801"/>
    <n v="0"/>
  </r>
  <r>
    <x v="415"/>
    <x v="0"/>
    <m/>
    <x v="36"/>
    <x v="3"/>
    <x v="109"/>
    <n v="200801"/>
    <n v="200801"/>
    <m/>
    <n v="1"/>
    <n v="200801"/>
    <n v="0"/>
  </r>
  <r>
    <x v="415"/>
    <x v="0"/>
    <m/>
    <x v="6"/>
    <x v="2"/>
    <x v="37"/>
    <n v="200801"/>
    <n v="200801"/>
    <m/>
    <n v="2"/>
    <n v="200801"/>
    <n v="40000"/>
  </r>
  <r>
    <x v="415"/>
    <x v="0"/>
    <m/>
    <x v="36"/>
    <x v="2"/>
    <x v="110"/>
    <n v="200801"/>
    <n v="200801"/>
    <m/>
    <n v="4"/>
    <n v="200801"/>
    <n v="112000"/>
  </r>
  <r>
    <x v="415"/>
    <x v="0"/>
    <m/>
    <x v="35"/>
    <x v="2"/>
    <x v="112"/>
    <n v="200801"/>
    <n v="200801"/>
    <m/>
    <n v="1"/>
    <n v="200801"/>
    <n v="2000"/>
  </r>
  <r>
    <x v="415"/>
    <x v="0"/>
    <m/>
    <x v="25"/>
    <x v="2"/>
    <x v="34"/>
    <n v="200801"/>
    <n v="200801"/>
    <m/>
    <n v="3"/>
    <n v="200801"/>
    <n v="297000"/>
  </r>
  <r>
    <x v="415"/>
    <x v="0"/>
    <m/>
    <x v="31"/>
    <x v="2"/>
    <x v="95"/>
    <n v="200801"/>
    <n v="200801"/>
    <m/>
    <n v="91"/>
    <n v="200801"/>
    <n v="2038400"/>
  </r>
  <r>
    <x v="415"/>
    <x v="0"/>
    <m/>
    <x v="31"/>
    <x v="2"/>
    <x v="96"/>
    <n v="200801"/>
    <n v="200801"/>
    <m/>
    <n v="87"/>
    <n v="200801"/>
    <n v="3410400"/>
  </r>
  <r>
    <x v="415"/>
    <x v="0"/>
    <m/>
    <x v="32"/>
    <x v="2"/>
    <x v="97"/>
    <n v="200801"/>
    <n v="200801"/>
    <m/>
    <n v="72"/>
    <n v="200801"/>
    <n v="2671200"/>
  </r>
  <r>
    <x v="415"/>
    <x v="0"/>
    <m/>
    <x v="34"/>
    <x v="2"/>
    <x v="105"/>
    <n v="200801"/>
    <n v="200801"/>
    <m/>
    <n v="37"/>
    <n v="200801"/>
    <n v="1372700"/>
  </r>
  <r>
    <x v="415"/>
    <x v="0"/>
    <m/>
    <x v="30"/>
    <x v="2"/>
    <x v="99"/>
    <n v="200801"/>
    <n v="200801"/>
    <m/>
    <n v="8"/>
    <n v="200801"/>
    <n v="179200"/>
  </r>
  <r>
    <x v="415"/>
    <x v="0"/>
    <m/>
    <x v="1"/>
    <x v="2"/>
    <x v="18"/>
    <n v="200801"/>
    <n v="200801"/>
    <m/>
    <n v="4"/>
    <n v="200801"/>
    <n v="80000"/>
  </r>
  <r>
    <x v="415"/>
    <x v="0"/>
    <m/>
    <x v="1"/>
    <x v="2"/>
    <x v="21"/>
    <n v="200801"/>
    <n v="200801"/>
    <m/>
    <n v="1"/>
    <n v="200801"/>
    <n v="35000"/>
  </r>
  <r>
    <x v="415"/>
    <x v="0"/>
    <m/>
    <x v="4"/>
    <x v="2"/>
    <x v="26"/>
    <n v="200801"/>
    <n v="200801"/>
    <m/>
    <n v="10"/>
    <n v="200801"/>
    <n v="40000"/>
  </r>
  <r>
    <x v="415"/>
    <x v="0"/>
    <m/>
    <x v="4"/>
    <x v="2"/>
    <x v="27"/>
    <n v="200801"/>
    <n v="200801"/>
    <m/>
    <n v="8"/>
    <n v="200801"/>
    <n v="160000"/>
  </r>
  <r>
    <x v="415"/>
    <x v="0"/>
    <m/>
    <x v="0"/>
    <x v="2"/>
    <x v="15"/>
    <n v="200801"/>
    <n v="200801"/>
    <m/>
    <n v="87"/>
    <n v="200801"/>
    <n v="1740000"/>
  </r>
  <r>
    <x v="415"/>
    <x v="0"/>
    <m/>
    <x v="0"/>
    <x v="2"/>
    <x v="16"/>
    <n v="200801"/>
    <n v="200801"/>
    <m/>
    <n v="37"/>
    <n v="200801"/>
    <n v="1295000"/>
  </r>
  <r>
    <x v="415"/>
    <x v="0"/>
    <m/>
    <x v="0"/>
    <x v="2"/>
    <x v="17"/>
    <n v="200801"/>
    <n v="200801"/>
    <m/>
    <n v="47"/>
    <n v="200801"/>
    <n v="1551000"/>
  </r>
  <r>
    <x v="415"/>
    <x v="0"/>
    <m/>
    <x v="0"/>
    <x v="2"/>
    <x v="19"/>
    <n v="200801"/>
    <n v="200801"/>
    <m/>
    <n v="80"/>
    <n v="200801"/>
    <n v="240000"/>
  </r>
  <r>
    <x v="415"/>
    <x v="0"/>
    <m/>
    <x v="5"/>
    <x v="2"/>
    <x v="28"/>
    <n v="200801"/>
    <n v="200801"/>
    <m/>
    <n v="29"/>
    <n v="200801"/>
    <n v="812000"/>
  </r>
  <r>
    <x v="415"/>
    <x v="0"/>
    <m/>
    <x v="5"/>
    <x v="2"/>
    <x v="69"/>
    <n v="200801"/>
    <n v="200801"/>
    <m/>
    <n v="7"/>
    <n v="200801"/>
    <n v="336000"/>
  </r>
  <r>
    <x v="415"/>
    <x v="0"/>
    <m/>
    <x v="22"/>
    <x v="2"/>
    <x v="29"/>
    <n v="200801"/>
    <n v="200801"/>
    <m/>
    <n v="15"/>
    <n v="200801"/>
    <n v="570000"/>
  </r>
  <r>
    <x v="415"/>
    <x v="0"/>
    <m/>
    <x v="19"/>
    <x v="2"/>
    <x v="22"/>
    <n v="200801"/>
    <n v="200801"/>
    <m/>
    <n v="16"/>
    <n v="200801"/>
    <n v="208000"/>
  </r>
  <r>
    <x v="415"/>
    <x v="0"/>
    <m/>
    <x v="19"/>
    <x v="2"/>
    <x v="23"/>
    <n v="200801"/>
    <n v="200801"/>
    <m/>
    <n v="4"/>
    <n v="200801"/>
    <n v="96000"/>
  </r>
  <r>
    <x v="415"/>
    <x v="0"/>
    <m/>
    <x v="19"/>
    <x v="2"/>
    <x v="24"/>
    <n v="200801"/>
    <n v="200801"/>
    <m/>
    <n v="4"/>
    <n v="200801"/>
    <n v="132000"/>
  </r>
  <r>
    <x v="415"/>
    <x v="0"/>
    <m/>
    <x v="33"/>
    <x v="2"/>
    <x v="92"/>
    <n v="200801"/>
    <n v="200801"/>
    <m/>
    <n v="1"/>
    <n v="200801"/>
    <n v="18200"/>
  </r>
  <r>
    <x v="415"/>
    <x v="0"/>
    <m/>
    <x v="0"/>
    <x v="9"/>
    <x v="15"/>
    <n v="200801"/>
    <n v="200801"/>
    <m/>
    <n v="5"/>
    <n v="200801"/>
    <n v="100000"/>
  </r>
  <r>
    <x v="415"/>
    <x v="0"/>
    <m/>
    <x v="19"/>
    <x v="9"/>
    <x v="22"/>
    <n v="200801"/>
    <n v="200801"/>
    <m/>
    <n v="1"/>
    <n v="200801"/>
    <n v="13000"/>
  </r>
  <r>
    <x v="415"/>
    <x v="0"/>
    <m/>
    <x v="6"/>
    <x v="9"/>
    <x v="37"/>
    <n v="200801"/>
    <n v="200801"/>
    <m/>
    <n v="1"/>
    <n v="200801"/>
    <n v="20000"/>
  </r>
  <r>
    <x v="416"/>
    <x v="2"/>
    <m/>
    <x v="0"/>
    <x v="1"/>
    <x v="16"/>
    <n v="200801"/>
    <n v="200801"/>
    <m/>
    <n v="2"/>
    <n v="200801"/>
    <n v="70000"/>
  </r>
  <r>
    <x v="416"/>
    <x v="2"/>
    <m/>
    <x v="30"/>
    <x v="3"/>
    <x v="87"/>
    <n v="200801"/>
    <n v="200801"/>
    <m/>
    <n v="20"/>
    <n v="200801"/>
    <n v="0"/>
  </r>
  <r>
    <x v="416"/>
    <x v="2"/>
    <m/>
    <x v="0"/>
    <x v="3"/>
    <x v="15"/>
    <n v="200801"/>
    <n v="200801"/>
    <m/>
    <n v="20"/>
    <n v="200801"/>
    <n v="0"/>
  </r>
  <r>
    <x v="416"/>
    <x v="2"/>
    <m/>
    <x v="6"/>
    <x v="2"/>
    <x v="37"/>
    <n v="200801"/>
    <n v="200801"/>
    <m/>
    <n v="5"/>
    <n v="200801"/>
    <n v="100000"/>
  </r>
  <r>
    <x v="416"/>
    <x v="2"/>
    <m/>
    <x v="6"/>
    <x v="2"/>
    <x v="42"/>
    <n v="200801"/>
    <n v="200801"/>
    <m/>
    <n v="1"/>
    <n v="200801"/>
    <n v="35000"/>
  </r>
  <r>
    <x v="416"/>
    <x v="2"/>
    <m/>
    <x v="36"/>
    <x v="2"/>
    <x v="110"/>
    <n v="200801"/>
    <n v="200801"/>
    <m/>
    <n v="3"/>
    <n v="200801"/>
    <n v="84000"/>
  </r>
  <r>
    <x v="416"/>
    <x v="2"/>
    <m/>
    <x v="36"/>
    <x v="2"/>
    <x v="111"/>
    <n v="200801"/>
    <n v="200801"/>
    <m/>
    <n v="4"/>
    <n v="200801"/>
    <n v="196000"/>
  </r>
  <r>
    <x v="416"/>
    <x v="2"/>
    <m/>
    <x v="35"/>
    <x v="2"/>
    <x v="112"/>
    <n v="200801"/>
    <n v="200801"/>
    <m/>
    <n v="13"/>
    <n v="200801"/>
    <n v="26000"/>
  </r>
  <r>
    <x v="416"/>
    <x v="2"/>
    <m/>
    <x v="25"/>
    <x v="2"/>
    <x v="34"/>
    <n v="200801"/>
    <n v="200801"/>
    <m/>
    <n v="4"/>
    <n v="200801"/>
    <n v="396000"/>
  </r>
  <r>
    <x v="416"/>
    <x v="2"/>
    <m/>
    <x v="31"/>
    <x v="2"/>
    <x v="95"/>
    <n v="200801"/>
    <n v="200801"/>
    <m/>
    <n v="65"/>
    <n v="200801"/>
    <n v="1456000"/>
  </r>
  <r>
    <x v="416"/>
    <x v="2"/>
    <m/>
    <x v="31"/>
    <x v="2"/>
    <x v="96"/>
    <n v="200801"/>
    <n v="200801"/>
    <m/>
    <n v="73"/>
    <n v="200801"/>
    <n v="2861600"/>
  </r>
  <r>
    <x v="416"/>
    <x v="2"/>
    <m/>
    <x v="32"/>
    <x v="2"/>
    <x v="97"/>
    <n v="200801"/>
    <n v="200801"/>
    <m/>
    <n v="66"/>
    <n v="200801"/>
    <n v="2448600"/>
  </r>
  <r>
    <x v="416"/>
    <x v="2"/>
    <m/>
    <x v="34"/>
    <x v="2"/>
    <x v="105"/>
    <n v="200801"/>
    <n v="200801"/>
    <m/>
    <n v="33"/>
    <n v="200801"/>
    <n v="1224300"/>
  </r>
  <r>
    <x v="416"/>
    <x v="2"/>
    <m/>
    <x v="30"/>
    <x v="2"/>
    <x v="99"/>
    <n v="200801"/>
    <n v="200801"/>
    <m/>
    <n v="4"/>
    <n v="200801"/>
    <n v="89600"/>
  </r>
  <r>
    <x v="416"/>
    <x v="2"/>
    <m/>
    <x v="1"/>
    <x v="2"/>
    <x v="18"/>
    <n v="200801"/>
    <n v="200801"/>
    <m/>
    <n v="6"/>
    <n v="200801"/>
    <n v="120000"/>
  </r>
  <r>
    <x v="416"/>
    <x v="2"/>
    <m/>
    <x v="1"/>
    <x v="2"/>
    <x v="21"/>
    <n v="200801"/>
    <n v="200801"/>
    <m/>
    <n v="1"/>
    <n v="200801"/>
    <n v="35000"/>
  </r>
  <r>
    <x v="416"/>
    <x v="2"/>
    <m/>
    <x v="4"/>
    <x v="2"/>
    <x v="26"/>
    <n v="200801"/>
    <n v="200801"/>
    <m/>
    <n v="6"/>
    <n v="200801"/>
    <n v="24000"/>
  </r>
  <r>
    <x v="416"/>
    <x v="2"/>
    <m/>
    <x v="4"/>
    <x v="2"/>
    <x v="27"/>
    <n v="200801"/>
    <n v="200801"/>
    <m/>
    <n v="7"/>
    <n v="200801"/>
    <n v="140000"/>
  </r>
  <r>
    <x v="416"/>
    <x v="2"/>
    <m/>
    <x v="0"/>
    <x v="2"/>
    <x v="15"/>
    <n v="200801"/>
    <n v="200801"/>
    <m/>
    <n v="50"/>
    <n v="200801"/>
    <n v="1000000"/>
  </r>
  <r>
    <x v="416"/>
    <x v="2"/>
    <m/>
    <x v="0"/>
    <x v="2"/>
    <x v="16"/>
    <n v="200801"/>
    <n v="200801"/>
    <m/>
    <n v="32"/>
    <n v="200801"/>
    <n v="1120000"/>
  </r>
  <r>
    <x v="416"/>
    <x v="2"/>
    <m/>
    <x v="0"/>
    <x v="2"/>
    <x v="17"/>
    <n v="200801"/>
    <n v="200801"/>
    <m/>
    <n v="44"/>
    <n v="200801"/>
    <n v="1452000"/>
  </r>
  <r>
    <x v="416"/>
    <x v="2"/>
    <m/>
    <x v="0"/>
    <x v="2"/>
    <x v="19"/>
    <n v="200801"/>
    <n v="200801"/>
    <m/>
    <n v="46"/>
    <n v="200801"/>
    <n v="138000"/>
  </r>
  <r>
    <x v="416"/>
    <x v="2"/>
    <m/>
    <x v="5"/>
    <x v="2"/>
    <x v="28"/>
    <n v="200801"/>
    <n v="200801"/>
    <m/>
    <n v="21"/>
    <n v="200801"/>
    <n v="588000"/>
  </r>
  <r>
    <x v="416"/>
    <x v="2"/>
    <m/>
    <x v="5"/>
    <x v="2"/>
    <x v="69"/>
    <n v="200801"/>
    <n v="200801"/>
    <m/>
    <n v="9"/>
    <n v="200801"/>
    <n v="432000"/>
  </r>
  <r>
    <x v="416"/>
    <x v="2"/>
    <m/>
    <x v="22"/>
    <x v="2"/>
    <x v="29"/>
    <n v="200801"/>
    <n v="200801"/>
    <m/>
    <n v="12"/>
    <n v="200801"/>
    <n v="456000"/>
  </r>
  <r>
    <x v="416"/>
    <x v="2"/>
    <m/>
    <x v="19"/>
    <x v="2"/>
    <x v="22"/>
    <n v="200801"/>
    <n v="200801"/>
    <m/>
    <n v="13"/>
    <n v="200801"/>
    <n v="169000"/>
  </r>
  <r>
    <x v="416"/>
    <x v="2"/>
    <m/>
    <x v="19"/>
    <x v="2"/>
    <x v="23"/>
    <n v="200801"/>
    <n v="200801"/>
    <m/>
    <n v="2"/>
    <n v="200801"/>
    <n v="48000"/>
  </r>
  <r>
    <x v="416"/>
    <x v="2"/>
    <m/>
    <x v="19"/>
    <x v="2"/>
    <x v="24"/>
    <n v="200801"/>
    <n v="200801"/>
    <m/>
    <n v="2"/>
    <n v="200801"/>
    <n v="66000"/>
  </r>
  <r>
    <x v="416"/>
    <x v="2"/>
    <m/>
    <x v="33"/>
    <x v="2"/>
    <x v="92"/>
    <n v="200801"/>
    <n v="200801"/>
    <m/>
    <n v="3"/>
    <n v="200801"/>
    <n v="54600"/>
  </r>
  <r>
    <x v="416"/>
    <x v="2"/>
    <m/>
    <x v="0"/>
    <x v="9"/>
    <x v="15"/>
    <n v="200801"/>
    <n v="200801"/>
    <m/>
    <n v="4"/>
    <n v="200801"/>
    <n v="80000"/>
  </r>
  <r>
    <x v="416"/>
    <x v="2"/>
    <m/>
    <x v="30"/>
    <x v="9"/>
    <x v="104"/>
    <n v="200801"/>
    <n v="200801"/>
    <m/>
    <n v="1"/>
    <n v="200801"/>
    <n v="22400"/>
  </r>
  <r>
    <x v="416"/>
    <x v="2"/>
    <m/>
    <x v="0"/>
    <x v="19"/>
    <x v="15"/>
    <n v="200801"/>
    <n v="200801"/>
    <m/>
    <n v="1"/>
    <n v="200801"/>
    <n v="25000"/>
  </r>
  <r>
    <x v="417"/>
    <x v="5"/>
    <m/>
    <x v="0"/>
    <x v="7"/>
    <x v="15"/>
    <n v="200801"/>
    <n v="200801"/>
    <m/>
    <n v="4"/>
    <n v="200801"/>
    <n v="80000"/>
  </r>
  <r>
    <x v="417"/>
    <x v="5"/>
    <m/>
    <x v="6"/>
    <x v="2"/>
    <x v="37"/>
    <n v="200801"/>
    <n v="200801"/>
    <m/>
    <n v="3"/>
    <n v="200801"/>
    <n v="60000"/>
  </r>
  <r>
    <x v="417"/>
    <x v="5"/>
    <m/>
    <x v="36"/>
    <x v="2"/>
    <x v="110"/>
    <n v="200801"/>
    <n v="200801"/>
    <m/>
    <n v="4"/>
    <n v="200801"/>
    <n v="112000"/>
  </r>
  <r>
    <x v="417"/>
    <x v="5"/>
    <m/>
    <x v="35"/>
    <x v="2"/>
    <x v="112"/>
    <n v="200801"/>
    <n v="200801"/>
    <m/>
    <n v="6"/>
    <n v="200801"/>
    <n v="12000"/>
  </r>
  <r>
    <x v="417"/>
    <x v="5"/>
    <m/>
    <x v="25"/>
    <x v="2"/>
    <x v="34"/>
    <n v="200801"/>
    <n v="200801"/>
    <m/>
    <n v="2"/>
    <n v="200801"/>
    <n v="198000"/>
  </r>
  <r>
    <x v="417"/>
    <x v="5"/>
    <m/>
    <x v="31"/>
    <x v="2"/>
    <x v="95"/>
    <n v="200801"/>
    <n v="200801"/>
    <m/>
    <n v="38"/>
    <n v="200801"/>
    <n v="851200"/>
  </r>
  <r>
    <x v="417"/>
    <x v="5"/>
    <m/>
    <x v="31"/>
    <x v="2"/>
    <x v="96"/>
    <n v="200801"/>
    <n v="200801"/>
    <m/>
    <n v="49"/>
    <n v="200801"/>
    <n v="1920800"/>
  </r>
  <r>
    <x v="417"/>
    <x v="5"/>
    <m/>
    <x v="32"/>
    <x v="2"/>
    <x v="97"/>
    <n v="200801"/>
    <n v="200801"/>
    <m/>
    <n v="34"/>
    <n v="200801"/>
    <n v="1261400"/>
  </r>
  <r>
    <x v="417"/>
    <x v="5"/>
    <m/>
    <x v="34"/>
    <x v="2"/>
    <x v="105"/>
    <n v="200801"/>
    <n v="200801"/>
    <m/>
    <n v="16"/>
    <n v="200801"/>
    <n v="593600"/>
  </r>
  <r>
    <x v="417"/>
    <x v="5"/>
    <m/>
    <x v="30"/>
    <x v="2"/>
    <x v="99"/>
    <n v="200801"/>
    <n v="200801"/>
    <m/>
    <n v="6"/>
    <n v="200801"/>
    <n v="134400"/>
  </r>
  <r>
    <x v="417"/>
    <x v="5"/>
    <m/>
    <x v="1"/>
    <x v="2"/>
    <x v="18"/>
    <n v="200801"/>
    <n v="200801"/>
    <m/>
    <n v="3"/>
    <n v="200801"/>
    <n v="60000"/>
  </r>
  <r>
    <x v="417"/>
    <x v="5"/>
    <m/>
    <x v="1"/>
    <x v="2"/>
    <x v="21"/>
    <n v="200801"/>
    <n v="200801"/>
    <m/>
    <n v="1"/>
    <n v="200801"/>
    <n v="35000"/>
  </r>
  <r>
    <x v="417"/>
    <x v="5"/>
    <m/>
    <x v="4"/>
    <x v="2"/>
    <x v="26"/>
    <n v="200801"/>
    <n v="200801"/>
    <m/>
    <n v="6"/>
    <n v="200801"/>
    <n v="24000"/>
  </r>
  <r>
    <x v="417"/>
    <x v="5"/>
    <m/>
    <x v="4"/>
    <x v="2"/>
    <x v="27"/>
    <n v="200801"/>
    <n v="200801"/>
    <m/>
    <n v="5"/>
    <n v="200801"/>
    <n v="100000"/>
  </r>
  <r>
    <x v="417"/>
    <x v="5"/>
    <m/>
    <x v="0"/>
    <x v="2"/>
    <x v="15"/>
    <n v="200801"/>
    <n v="200801"/>
    <m/>
    <n v="23"/>
    <n v="200801"/>
    <n v="460000"/>
  </r>
  <r>
    <x v="417"/>
    <x v="5"/>
    <m/>
    <x v="0"/>
    <x v="2"/>
    <x v="16"/>
    <n v="200801"/>
    <n v="200801"/>
    <m/>
    <n v="8"/>
    <n v="200801"/>
    <n v="280000"/>
  </r>
  <r>
    <x v="417"/>
    <x v="5"/>
    <m/>
    <x v="0"/>
    <x v="2"/>
    <x v="17"/>
    <n v="200801"/>
    <n v="200801"/>
    <m/>
    <n v="30"/>
    <n v="200801"/>
    <n v="990000"/>
  </r>
  <r>
    <x v="417"/>
    <x v="5"/>
    <m/>
    <x v="0"/>
    <x v="2"/>
    <x v="19"/>
    <n v="200801"/>
    <n v="200801"/>
    <m/>
    <n v="22"/>
    <n v="200801"/>
    <n v="66000"/>
  </r>
  <r>
    <x v="417"/>
    <x v="5"/>
    <m/>
    <x v="5"/>
    <x v="2"/>
    <x v="28"/>
    <n v="200801"/>
    <n v="200801"/>
    <m/>
    <n v="11"/>
    <n v="200801"/>
    <n v="308000"/>
  </r>
  <r>
    <x v="417"/>
    <x v="5"/>
    <m/>
    <x v="5"/>
    <x v="2"/>
    <x v="69"/>
    <n v="200801"/>
    <n v="200801"/>
    <m/>
    <n v="4"/>
    <n v="200801"/>
    <n v="192000"/>
  </r>
  <r>
    <x v="417"/>
    <x v="5"/>
    <m/>
    <x v="22"/>
    <x v="2"/>
    <x v="29"/>
    <n v="200801"/>
    <n v="200801"/>
    <m/>
    <n v="3"/>
    <n v="200801"/>
    <n v="114000"/>
  </r>
  <r>
    <x v="417"/>
    <x v="5"/>
    <m/>
    <x v="19"/>
    <x v="2"/>
    <x v="22"/>
    <n v="200801"/>
    <n v="200801"/>
    <m/>
    <n v="8"/>
    <n v="200801"/>
    <n v="104000"/>
  </r>
  <r>
    <x v="417"/>
    <x v="5"/>
    <m/>
    <x v="19"/>
    <x v="2"/>
    <x v="23"/>
    <n v="200801"/>
    <n v="200801"/>
    <m/>
    <n v="2"/>
    <n v="200801"/>
    <n v="48000"/>
  </r>
  <r>
    <x v="417"/>
    <x v="5"/>
    <m/>
    <x v="19"/>
    <x v="2"/>
    <x v="24"/>
    <n v="200801"/>
    <n v="200801"/>
    <m/>
    <n v="1"/>
    <n v="200801"/>
    <n v="33000"/>
  </r>
  <r>
    <x v="417"/>
    <x v="5"/>
    <m/>
    <x v="33"/>
    <x v="2"/>
    <x v="92"/>
    <n v="200801"/>
    <n v="200801"/>
    <m/>
    <n v="2"/>
    <n v="200801"/>
    <n v="36400"/>
  </r>
  <r>
    <x v="417"/>
    <x v="5"/>
    <m/>
    <x v="33"/>
    <x v="2"/>
    <x v="93"/>
    <n v="200801"/>
    <n v="200801"/>
    <m/>
    <n v="1"/>
    <n v="200801"/>
    <n v="33800"/>
  </r>
  <r>
    <x v="417"/>
    <x v="5"/>
    <m/>
    <x v="0"/>
    <x v="9"/>
    <x v="15"/>
    <n v="200801"/>
    <n v="200801"/>
    <m/>
    <n v="5"/>
    <n v="200801"/>
    <n v="100000"/>
  </r>
  <r>
    <x v="418"/>
    <x v="6"/>
    <m/>
    <x v="0"/>
    <x v="7"/>
    <x v="15"/>
    <n v="200801"/>
    <n v="200801"/>
    <m/>
    <n v="9"/>
    <n v="200801"/>
    <n v="180000"/>
  </r>
  <r>
    <x v="418"/>
    <x v="6"/>
    <m/>
    <x v="6"/>
    <x v="2"/>
    <x v="37"/>
    <n v="200801"/>
    <n v="200801"/>
    <m/>
    <n v="7"/>
    <n v="200801"/>
    <n v="140000"/>
  </r>
  <r>
    <x v="418"/>
    <x v="6"/>
    <m/>
    <x v="6"/>
    <x v="2"/>
    <x v="42"/>
    <n v="200801"/>
    <n v="200801"/>
    <m/>
    <n v="1"/>
    <n v="200801"/>
    <n v="35000"/>
  </r>
  <r>
    <x v="418"/>
    <x v="6"/>
    <m/>
    <x v="36"/>
    <x v="2"/>
    <x v="110"/>
    <n v="200801"/>
    <n v="200801"/>
    <m/>
    <n v="2"/>
    <n v="200801"/>
    <n v="56000"/>
  </r>
  <r>
    <x v="418"/>
    <x v="6"/>
    <m/>
    <x v="36"/>
    <x v="2"/>
    <x v="111"/>
    <n v="200801"/>
    <n v="200801"/>
    <m/>
    <n v="1"/>
    <n v="200801"/>
    <n v="49000"/>
  </r>
  <r>
    <x v="418"/>
    <x v="6"/>
    <m/>
    <x v="25"/>
    <x v="2"/>
    <x v="34"/>
    <n v="200801"/>
    <n v="200801"/>
    <m/>
    <n v="7"/>
    <n v="200801"/>
    <n v="693000"/>
  </r>
  <r>
    <x v="418"/>
    <x v="6"/>
    <m/>
    <x v="31"/>
    <x v="2"/>
    <x v="95"/>
    <n v="200801"/>
    <n v="200801"/>
    <m/>
    <n v="82"/>
    <n v="200801"/>
    <n v="1836800"/>
  </r>
  <r>
    <x v="418"/>
    <x v="6"/>
    <m/>
    <x v="31"/>
    <x v="2"/>
    <x v="96"/>
    <n v="200801"/>
    <n v="200801"/>
    <m/>
    <n v="79"/>
    <n v="200801"/>
    <n v="3096800"/>
  </r>
  <r>
    <x v="418"/>
    <x v="6"/>
    <m/>
    <x v="32"/>
    <x v="2"/>
    <x v="97"/>
    <n v="200801"/>
    <n v="200801"/>
    <m/>
    <n v="58"/>
    <n v="200801"/>
    <n v="2151800"/>
  </r>
  <r>
    <x v="418"/>
    <x v="6"/>
    <m/>
    <x v="34"/>
    <x v="2"/>
    <x v="105"/>
    <n v="200801"/>
    <n v="200801"/>
    <m/>
    <n v="42"/>
    <n v="200801"/>
    <n v="1558200"/>
  </r>
  <r>
    <x v="418"/>
    <x v="6"/>
    <m/>
    <x v="30"/>
    <x v="2"/>
    <x v="99"/>
    <n v="200801"/>
    <n v="200801"/>
    <m/>
    <n v="14"/>
    <n v="200801"/>
    <n v="313600"/>
  </r>
  <r>
    <x v="418"/>
    <x v="6"/>
    <m/>
    <x v="30"/>
    <x v="2"/>
    <x v="100"/>
    <n v="200801"/>
    <n v="200801"/>
    <m/>
    <n v="1"/>
    <n v="200801"/>
    <n v="39200"/>
  </r>
  <r>
    <x v="418"/>
    <x v="6"/>
    <m/>
    <x v="1"/>
    <x v="2"/>
    <x v="18"/>
    <n v="200801"/>
    <n v="200801"/>
    <m/>
    <n v="5"/>
    <n v="200801"/>
    <n v="100000"/>
  </r>
  <r>
    <x v="418"/>
    <x v="6"/>
    <m/>
    <x v="4"/>
    <x v="2"/>
    <x v="26"/>
    <n v="200801"/>
    <n v="200801"/>
    <m/>
    <n v="14"/>
    <n v="200801"/>
    <n v="56000"/>
  </r>
  <r>
    <x v="418"/>
    <x v="6"/>
    <m/>
    <x v="4"/>
    <x v="2"/>
    <x v="27"/>
    <n v="200801"/>
    <n v="200801"/>
    <m/>
    <n v="5"/>
    <n v="200801"/>
    <n v="100000"/>
  </r>
  <r>
    <x v="418"/>
    <x v="6"/>
    <m/>
    <x v="0"/>
    <x v="2"/>
    <x v="15"/>
    <n v="200801"/>
    <n v="200801"/>
    <m/>
    <n v="78"/>
    <n v="200801"/>
    <n v="1560000"/>
  </r>
  <r>
    <x v="418"/>
    <x v="6"/>
    <m/>
    <x v="0"/>
    <x v="2"/>
    <x v="16"/>
    <n v="200801"/>
    <n v="200801"/>
    <m/>
    <n v="39"/>
    <n v="200801"/>
    <n v="1365000"/>
  </r>
  <r>
    <x v="418"/>
    <x v="6"/>
    <m/>
    <x v="0"/>
    <x v="2"/>
    <x v="17"/>
    <n v="200801"/>
    <n v="200801"/>
    <m/>
    <n v="52"/>
    <n v="200801"/>
    <n v="1716000"/>
  </r>
  <r>
    <x v="418"/>
    <x v="6"/>
    <m/>
    <x v="0"/>
    <x v="2"/>
    <x v="19"/>
    <n v="200801"/>
    <n v="200801"/>
    <m/>
    <n v="69"/>
    <n v="200801"/>
    <n v="207000"/>
  </r>
  <r>
    <x v="418"/>
    <x v="6"/>
    <m/>
    <x v="5"/>
    <x v="2"/>
    <x v="28"/>
    <n v="200801"/>
    <n v="200801"/>
    <m/>
    <n v="33"/>
    <n v="200801"/>
    <n v="924000"/>
  </r>
  <r>
    <x v="418"/>
    <x v="6"/>
    <m/>
    <x v="5"/>
    <x v="2"/>
    <x v="69"/>
    <n v="200801"/>
    <n v="200801"/>
    <m/>
    <n v="6"/>
    <n v="200801"/>
    <n v="288000"/>
  </r>
  <r>
    <x v="418"/>
    <x v="6"/>
    <m/>
    <x v="22"/>
    <x v="2"/>
    <x v="29"/>
    <n v="200801"/>
    <n v="200801"/>
    <m/>
    <n v="8"/>
    <n v="200801"/>
    <n v="304000"/>
  </r>
  <r>
    <x v="418"/>
    <x v="6"/>
    <m/>
    <x v="19"/>
    <x v="2"/>
    <x v="22"/>
    <n v="200801"/>
    <n v="200801"/>
    <m/>
    <n v="19"/>
    <n v="200801"/>
    <n v="247000"/>
  </r>
  <r>
    <x v="418"/>
    <x v="6"/>
    <m/>
    <x v="19"/>
    <x v="2"/>
    <x v="23"/>
    <n v="200801"/>
    <n v="200801"/>
    <m/>
    <n v="5"/>
    <n v="200801"/>
    <n v="120000"/>
  </r>
  <r>
    <x v="418"/>
    <x v="6"/>
    <m/>
    <x v="33"/>
    <x v="2"/>
    <x v="92"/>
    <n v="200801"/>
    <n v="200801"/>
    <m/>
    <n v="3"/>
    <n v="200801"/>
    <n v="54600"/>
  </r>
  <r>
    <x v="418"/>
    <x v="6"/>
    <m/>
    <x v="0"/>
    <x v="9"/>
    <x v="15"/>
    <n v="200801"/>
    <n v="200801"/>
    <m/>
    <n v="1"/>
    <n v="200801"/>
    <n v="20000"/>
  </r>
  <r>
    <x v="418"/>
    <x v="6"/>
    <m/>
    <x v="30"/>
    <x v="9"/>
    <x v="104"/>
    <n v="200801"/>
    <n v="200801"/>
    <m/>
    <n v="1"/>
    <n v="200801"/>
    <n v="22400"/>
  </r>
  <r>
    <x v="418"/>
    <x v="6"/>
    <m/>
    <x v="6"/>
    <x v="9"/>
    <x v="37"/>
    <n v="200801"/>
    <n v="200801"/>
    <m/>
    <n v="1"/>
    <n v="200801"/>
    <n v="20000"/>
  </r>
  <r>
    <x v="418"/>
    <x v="6"/>
    <m/>
    <x v="31"/>
    <x v="9"/>
    <x v="88"/>
    <n v="200801"/>
    <n v="200801"/>
    <m/>
    <n v="1"/>
    <n v="200801"/>
    <n v="22400"/>
  </r>
  <r>
    <x v="418"/>
    <x v="6"/>
    <m/>
    <x v="0"/>
    <x v="6"/>
    <x v="15"/>
    <n v="200801"/>
    <n v="200801"/>
    <m/>
    <n v="526"/>
    <n v="200801"/>
    <n v="4769768"/>
  </r>
  <r>
    <x v="418"/>
    <x v="6"/>
    <m/>
    <x v="0"/>
    <x v="6"/>
    <x v="17"/>
    <n v="200801"/>
    <n v="200801"/>
    <m/>
    <n v="8"/>
    <n v="200801"/>
    <n v="126544"/>
  </r>
  <r>
    <x v="418"/>
    <x v="6"/>
    <m/>
    <x v="4"/>
    <x v="6"/>
    <x v="26"/>
    <n v="200801"/>
    <n v="200801"/>
    <m/>
    <n v="348"/>
    <n v="200801"/>
    <n v="373404"/>
  </r>
  <r>
    <x v="418"/>
    <x v="6"/>
    <m/>
    <x v="26"/>
    <x v="6"/>
    <x v="35"/>
    <n v="200801"/>
    <n v="200801"/>
    <m/>
    <n v="19"/>
    <n v="200801"/>
    <n v="325489"/>
  </r>
  <r>
    <x v="418"/>
    <x v="6"/>
    <m/>
    <x v="22"/>
    <x v="6"/>
    <x v="29"/>
    <n v="200801"/>
    <n v="200801"/>
    <m/>
    <n v="56"/>
    <n v="200801"/>
    <n v="1102696"/>
  </r>
  <r>
    <x v="418"/>
    <x v="6"/>
    <m/>
    <x v="24"/>
    <x v="6"/>
    <x v="31"/>
    <n v="200801"/>
    <n v="200801"/>
    <m/>
    <n v="46"/>
    <n v="200801"/>
    <n v="684342"/>
  </r>
  <r>
    <x v="418"/>
    <x v="6"/>
    <m/>
    <x v="23"/>
    <x v="6"/>
    <x v="30"/>
    <n v="200801"/>
    <n v="200801"/>
    <m/>
    <n v="3"/>
    <n v="200801"/>
    <n v="20892"/>
  </r>
  <r>
    <x v="418"/>
    <x v="6"/>
    <m/>
    <x v="19"/>
    <x v="6"/>
    <x v="22"/>
    <n v="200801"/>
    <n v="200801"/>
    <m/>
    <n v="41"/>
    <n v="200801"/>
    <n v="278431"/>
  </r>
  <r>
    <x v="418"/>
    <x v="6"/>
    <m/>
    <x v="6"/>
    <x v="6"/>
    <x v="37"/>
    <n v="200801"/>
    <n v="200801"/>
    <m/>
    <n v="11"/>
    <n v="200801"/>
    <n v="110000"/>
  </r>
  <r>
    <x v="418"/>
    <x v="6"/>
    <m/>
    <x v="4"/>
    <x v="6"/>
    <x v="66"/>
    <n v="200801"/>
    <n v="200801"/>
    <m/>
    <n v="348"/>
    <n v="200801"/>
    <n v="1947756"/>
  </r>
  <r>
    <x v="418"/>
    <x v="6"/>
    <m/>
    <x v="33"/>
    <x v="6"/>
    <x v="106"/>
    <n v="200801"/>
    <n v="200801"/>
    <m/>
    <n v="12"/>
    <n v="200801"/>
    <n v="117000"/>
  </r>
  <r>
    <x v="418"/>
    <x v="6"/>
    <m/>
    <x v="31"/>
    <x v="6"/>
    <x v="103"/>
    <n v="200801"/>
    <n v="200801"/>
    <m/>
    <n v="91"/>
    <n v="200801"/>
    <n v="1019200"/>
  </r>
  <r>
    <x v="418"/>
    <x v="6"/>
    <m/>
    <x v="30"/>
    <x v="6"/>
    <x v="104"/>
    <n v="200801"/>
    <n v="200801"/>
    <m/>
    <n v="67"/>
    <n v="200801"/>
    <n v="750400"/>
  </r>
  <r>
    <x v="418"/>
    <x v="6"/>
    <m/>
    <x v="5"/>
    <x v="6"/>
    <x v="28"/>
    <n v="200801"/>
    <n v="200801"/>
    <m/>
    <n v="68"/>
    <n v="200801"/>
    <n v="992800"/>
  </r>
  <r>
    <x v="418"/>
    <x v="6"/>
    <m/>
    <x v="35"/>
    <x v="6"/>
    <x v="108"/>
    <n v="200801"/>
    <n v="200801"/>
    <m/>
    <n v="283"/>
    <n v="200801"/>
    <n v="303659"/>
  </r>
  <r>
    <x v="419"/>
    <x v="3"/>
    <m/>
    <x v="0"/>
    <x v="1"/>
    <x v="16"/>
    <n v="200801"/>
    <n v="200801"/>
    <m/>
    <n v="20"/>
    <n v="200801"/>
    <n v="700000"/>
  </r>
  <r>
    <x v="419"/>
    <x v="3"/>
    <m/>
    <x v="0"/>
    <x v="7"/>
    <x v="15"/>
    <n v="200801"/>
    <n v="200801"/>
    <m/>
    <n v="1"/>
    <n v="200801"/>
    <n v="20000"/>
  </r>
  <r>
    <x v="419"/>
    <x v="3"/>
    <m/>
    <x v="0"/>
    <x v="3"/>
    <x v="17"/>
    <n v="200801"/>
    <n v="200801"/>
    <m/>
    <n v="1"/>
    <n v="200801"/>
    <n v="0"/>
  </r>
  <r>
    <x v="419"/>
    <x v="3"/>
    <m/>
    <x v="18"/>
    <x v="3"/>
    <x v="19"/>
    <n v="200801"/>
    <n v="200801"/>
    <m/>
    <n v="5"/>
    <n v="200801"/>
    <n v="0"/>
  </r>
  <r>
    <x v="419"/>
    <x v="3"/>
    <m/>
    <x v="6"/>
    <x v="2"/>
    <x v="37"/>
    <n v="200801"/>
    <n v="200801"/>
    <m/>
    <n v="3"/>
    <n v="200801"/>
    <n v="60000"/>
  </r>
  <r>
    <x v="419"/>
    <x v="3"/>
    <m/>
    <x v="25"/>
    <x v="2"/>
    <x v="34"/>
    <n v="200801"/>
    <n v="200801"/>
    <m/>
    <n v="1"/>
    <n v="200801"/>
    <n v="99000"/>
  </r>
  <r>
    <x v="419"/>
    <x v="3"/>
    <m/>
    <x v="31"/>
    <x v="2"/>
    <x v="95"/>
    <n v="200801"/>
    <n v="200801"/>
    <m/>
    <n v="89"/>
    <n v="200801"/>
    <n v="1993600"/>
  </r>
  <r>
    <x v="419"/>
    <x v="3"/>
    <m/>
    <x v="31"/>
    <x v="2"/>
    <x v="96"/>
    <n v="200801"/>
    <n v="200801"/>
    <m/>
    <n v="106"/>
    <n v="200801"/>
    <n v="4155200"/>
  </r>
  <r>
    <x v="419"/>
    <x v="3"/>
    <m/>
    <x v="32"/>
    <x v="2"/>
    <x v="97"/>
    <n v="200801"/>
    <n v="200801"/>
    <m/>
    <n v="75"/>
    <n v="200801"/>
    <n v="2782500"/>
  </r>
  <r>
    <x v="419"/>
    <x v="3"/>
    <m/>
    <x v="34"/>
    <x v="2"/>
    <x v="105"/>
    <n v="200801"/>
    <n v="200801"/>
    <m/>
    <n v="34"/>
    <n v="200801"/>
    <n v="1261400"/>
  </r>
  <r>
    <x v="419"/>
    <x v="3"/>
    <m/>
    <x v="30"/>
    <x v="2"/>
    <x v="99"/>
    <n v="200801"/>
    <n v="200801"/>
    <m/>
    <n v="9"/>
    <n v="200801"/>
    <n v="201600"/>
  </r>
  <r>
    <x v="419"/>
    <x v="3"/>
    <m/>
    <x v="30"/>
    <x v="2"/>
    <x v="100"/>
    <n v="200801"/>
    <n v="200801"/>
    <m/>
    <n v="1"/>
    <n v="200801"/>
    <n v="39200"/>
  </r>
  <r>
    <x v="419"/>
    <x v="3"/>
    <m/>
    <x v="1"/>
    <x v="2"/>
    <x v="18"/>
    <n v="200801"/>
    <n v="200801"/>
    <m/>
    <n v="3"/>
    <n v="200801"/>
    <n v="60000"/>
  </r>
  <r>
    <x v="419"/>
    <x v="3"/>
    <m/>
    <x v="1"/>
    <x v="2"/>
    <x v="21"/>
    <n v="200801"/>
    <n v="200801"/>
    <m/>
    <n v="1"/>
    <n v="200801"/>
    <n v="35000"/>
  </r>
  <r>
    <x v="419"/>
    <x v="3"/>
    <m/>
    <x v="4"/>
    <x v="2"/>
    <x v="26"/>
    <n v="200801"/>
    <n v="200801"/>
    <m/>
    <n v="9"/>
    <n v="200801"/>
    <n v="36000"/>
  </r>
  <r>
    <x v="419"/>
    <x v="3"/>
    <m/>
    <x v="4"/>
    <x v="2"/>
    <x v="27"/>
    <n v="200801"/>
    <n v="200801"/>
    <m/>
    <n v="10"/>
    <n v="200801"/>
    <n v="200000"/>
  </r>
  <r>
    <x v="419"/>
    <x v="3"/>
    <m/>
    <x v="0"/>
    <x v="2"/>
    <x v="15"/>
    <n v="200801"/>
    <n v="200801"/>
    <m/>
    <n v="78"/>
    <n v="200801"/>
    <n v="1560000"/>
  </r>
  <r>
    <x v="419"/>
    <x v="3"/>
    <m/>
    <x v="0"/>
    <x v="2"/>
    <x v="16"/>
    <n v="200801"/>
    <n v="200801"/>
    <m/>
    <n v="36"/>
    <n v="200801"/>
    <n v="1260000"/>
  </r>
  <r>
    <x v="419"/>
    <x v="3"/>
    <m/>
    <x v="0"/>
    <x v="2"/>
    <x v="17"/>
    <n v="200801"/>
    <n v="200801"/>
    <m/>
    <n v="44"/>
    <n v="200801"/>
    <n v="1452000"/>
  </r>
  <r>
    <x v="419"/>
    <x v="3"/>
    <m/>
    <x v="0"/>
    <x v="2"/>
    <x v="19"/>
    <n v="200801"/>
    <n v="200801"/>
    <m/>
    <n v="58"/>
    <n v="200801"/>
    <n v="174000"/>
  </r>
  <r>
    <x v="419"/>
    <x v="3"/>
    <m/>
    <x v="5"/>
    <x v="2"/>
    <x v="28"/>
    <n v="200801"/>
    <n v="200801"/>
    <m/>
    <n v="21"/>
    <n v="200801"/>
    <n v="588000"/>
  </r>
  <r>
    <x v="419"/>
    <x v="3"/>
    <m/>
    <x v="5"/>
    <x v="2"/>
    <x v="69"/>
    <n v="200801"/>
    <n v="200801"/>
    <m/>
    <n v="8"/>
    <n v="200801"/>
    <n v="384000"/>
  </r>
  <r>
    <x v="419"/>
    <x v="3"/>
    <m/>
    <x v="22"/>
    <x v="2"/>
    <x v="29"/>
    <n v="200801"/>
    <n v="200801"/>
    <m/>
    <n v="11"/>
    <n v="200801"/>
    <n v="418000"/>
  </r>
  <r>
    <x v="419"/>
    <x v="3"/>
    <m/>
    <x v="19"/>
    <x v="2"/>
    <x v="22"/>
    <n v="200801"/>
    <n v="200801"/>
    <m/>
    <n v="12"/>
    <n v="200801"/>
    <n v="156000"/>
  </r>
  <r>
    <x v="419"/>
    <x v="3"/>
    <m/>
    <x v="19"/>
    <x v="2"/>
    <x v="23"/>
    <n v="200801"/>
    <n v="200801"/>
    <m/>
    <n v="2"/>
    <n v="200801"/>
    <n v="48000"/>
  </r>
  <r>
    <x v="419"/>
    <x v="3"/>
    <m/>
    <x v="19"/>
    <x v="2"/>
    <x v="24"/>
    <n v="200801"/>
    <n v="200801"/>
    <m/>
    <n v="1"/>
    <n v="200801"/>
    <n v="33000"/>
  </r>
  <r>
    <x v="419"/>
    <x v="3"/>
    <m/>
    <x v="33"/>
    <x v="2"/>
    <x v="92"/>
    <n v="200801"/>
    <n v="200801"/>
    <m/>
    <n v="7"/>
    <n v="200801"/>
    <n v="127400"/>
  </r>
  <r>
    <x v="419"/>
    <x v="3"/>
    <m/>
    <x v="33"/>
    <x v="2"/>
    <x v="93"/>
    <n v="200801"/>
    <n v="200801"/>
    <m/>
    <n v="1"/>
    <n v="200801"/>
    <n v="33800"/>
  </r>
  <r>
    <x v="419"/>
    <x v="3"/>
    <m/>
    <x v="0"/>
    <x v="9"/>
    <x v="15"/>
    <n v="200801"/>
    <n v="200801"/>
    <m/>
    <n v="5"/>
    <n v="200801"/>
    <n v="100000"/>
  </r>
  <r>
    <x v="419"/>
    <x v="3"/>
    <m/>
    <x v="6"/>
    <x v="9"/>
    <x v="37"/>
    <n v="200801"/>
    <n v="200801"/>
    <m/>
    <n v="1"/>
    <n v="200801"/>
    <n v="20000"/>
  </r>
  <r>
    <x v="420"/>
    <x v="4"/>
    <m/>
    <x v="0"/>
    <x v="1"/>
    <x v="15"/>
    <n v="200801"/>
    <n v="200801"/>
    <m/>
    <n v="1"/>
    <n v="200801"/>
    <n v="20000"/>
  </r>
  <r>
    <x v="420"/>
    <x v="4"/>
    <m/>
    <x v="0"/>
    <x v="1"/>
    <x v="16"/>
    <n v="200801"/>
    <n v="200801"/>
    <m/>
    <n v="3"/>
    <n v="200801"/>
    <n v="105000"/>
  </r>
  <r>
    <x v="420"/>
    <x v="4"/>
    <m/>
    <x v="0"/>
    <x v="7"/>
    <x v="15"/>
    <n v="200801"/>
    <n v="200801"/>
    <m/>
    <n v="4"/>
    <n v="200801"/>
    <n v="80000"/>
  </r>
  <r>
    <x v="420"/>
    <x v="4"/>
    <m/>
    <x v="30"/>
    <x v="3"/>
    <x v="87"/>
    <n v="200801"/>
    <n v="200801"/>
    <m/>
    <n v="2"/>
    <n v="200801"/>
    <n v="0"/>
  </r>
  <r>
    <x v="420"/>
    <x v="4"/>
    <m/>
    <x v="31"/>
    <x v="3"/>
    <x v="88"/>
    <n v="200801"/>
    <n v="200801"/>
    <m/>
    <n v="3"/>
    <n v="200801"/>
    <n v="0"/>
  </r>
  <r>
    <x v="420"/>
    <x v="4"/>
    <m/>
    <x v="33"/>
    <x v="3"/>
    <x v="94"/>
    <n v="200801"/>
    <n v="200801"/>
    <m/>
    <n v="2"/>
    <n v="200801"/>
    <n v="0"/>
  </r>
  <r>
    <x v="420"/>
    <x v="4"/>
    <m/>
    <x v="0"/>
    <x v="3"/>
    <x v="15"/>
    <n v="200801"/>
    <n v="200801"/>
    <m/>
    <n v="3"/>
    <n v="200801"/>
    <n v="0"/>
  </r>
  <r>
    <x v="420"/>
    <x v="4"/>
    <m/>
    <x v="5"/>
    <x v="3"/>
    <x v="28"/>
    <n v="200801"/>
    <n v="200801"/>
    <m/>
    <n v="2"/>
    <n v="200801"/>
    <n v="0"/>
  </r>
  <r>
    <x v="420"/>
    <x v="4"/>
    <m/>
    <x v="4"/>
    <x v="3"/>
    <x v="27"/>
    <n v="200801"/>
    <n v="200801"/>
    <m/>
    <n v="2"/>
    <n v="200801"/>
    <n v="0"/>
  </r>
  <r>
    <x v="420"/>
    <x v="4"/>
    <m/>
    <x v="6"/>
    <x v="3"/>
    <x v="37"/>
    <n v="200801"/>
    <n v="200801"/>
    <m/>
    <n v="2"/>
    <n v="200801"/>
    <n v="0"/>
  </r>
  <r>
    <x v="420"/>
    <x v="4"/>
    <m/>
    <x v="19"/>
    <x v="3"/>
    <x v="22"/>
    <n v="200801"/>
    <n v="200801"/>
    <m/>
    <n v="2"/>
    <n v="200801"/>
    <n v="0"/>
  </r>
  <r>
    <x v="420"/>
    <x v="4"/>
    <m/>
    <x v="1"/>
    <x v="3"/>
    <x v="18"/>
    <n v="200801"/>
    <n v="200801"/>
    <m/>
    <n v="2"/>
    <n v="200801"/>
    <n v="0"/>
  </r>
  <r>
    <x v="420"/>
    <x v="4"/>
    <m/>
    <x v="36"/>
    <x v="3"/>
    <x v="109"/>
    <n v="200801"/>
    <n v="200801"/>
    <m/>
    <n v="3"/>
    <n v="200801"/>
    <n v="0"/>
  </r>
  <r>
    <x v="420"/>
    <x v="4"/>
    <m/>
    <x v="6"/>
    <x v="2"/>
    <x v="37"/>
    <n v="200801"/>
    <n v="200801"/>
    <m/>
    <n v="10"/>
    <n v="200801"/>
    <n v="200000"/>
  </r>
  <r>
    <x v="420"/>
    <x v="4"/>
    <m/>
    <x v="25"/>
    <x v="2"/>
    <x v="34"/>
    <n v="200801"/>
    <n v="200801"/>
    <m/>
    <n v="6"/>
    <n v="200801"/>
    <n v="594000"/>
  </r>
  <r>
    <x v="420"/>
    <x v="4"/>
    <m/>
    <x v="31"/>
    <x v="2"/>
    <x v="95"/>
    <n v="200801"/>
    <n v="200801"/>
    <m/>
    <n v="65"/>
    <n v="200801"/>
    <n v="1456000"/>
  </r>
  <r>
    <x v="420"/>
    <x v="4"/>
    <m/>
    <x v="31"/>
    <x v="2"/>
    <x v="96"/>
    <n v="200801"/>
    <n v="200801"/>
    <m/>
    <n v="89"/>
    <n v="200801"/>
    <n v="3488800"/>
  </r>
  <r>
    <x v="420"/>
    <x v="4"/>
    <m/>
    <x v="32"/>
    <x v="2"/>
    <x v="97"/>
    <n v="200801"/>
    <n v="200801"/>
    <m/>
    <n v="49"/>
    <n v="200801"/>
    <n v="1817900"/>
  </r>
  <r>
    <x v="420"/>
    <x v="4"/>
    <m/>
    <x v="34"/>
    <x v="2"/>
    <x v="105"/>
    <n v="200801"/>
    <n v="200801"/>
    <m/>
    <n v="32"/>
    <n v="200801"/>
    <n v="1187200"/>
  </r>
  <r>
    <x v="420"/>
    <x v="4"/>
    <m/>
    <x v="30"/>
    <x v="2"/>
    <x v="99"/>
    <n v="200801"/>
    <n v="200801"/>
    <m/>
    <n v="7"/>
    <n v="200801"/>
    <n v="156800"/>
  </r>
  <r>
    <x v="420"/>
    <x v="4"/>
    <m/>
    <x v="1"/>
    <x v="2"/>
    <x v="18"/>
    <n v="200801"/>
    <n v="200801"/>
    <m/>
    <n v="1"/>
    <n v="200801"/>
    <n v="20000"/>
  </r>
  <r>
    <x v="420"/>
    <x v="4"/>
    <m/>
    <x v="4"/>
    <x v="2"/>
    <x v="26"/>
    <n v="200801"/>
    <n v="200801"/>
    <m/>
    <n v="10"/>
    <n v="200801"/>
    <n v="40000"/>
  </r>
  <r>
    <x v="420"/>
    <x v="4"/>
    <m/>
    <x v="4"/>
    <x v="2"/>
    <x v="27"/>
    <n v="200801"/>
    <n v="200801"/>
    <m/>
    <n v="10"/>
    <n v="200801"/>
    <n v="200000"/>
  </r>
  <r>
    <x v="420"/>
    <x v="4"/>
    <m/>
    <x v="0"/>
    <x v="2"/>
    <x v="15"/>
    <n v="200801"/>
    <n v="200801"/>
    <m/>
    <n v="68"/>
    <n v="200801"/>
    <n v="1360000"/>
  </r>
  <r>
    <x v="420"/>
    <x v="4"/>
    <m/>
    <x v="0"/>
    <x v="2"/>
    <x v="16"/>
    <n v="200801"/>
    <n v="200801"/>
    <m/>
    <n v="39"/>
    <n v="200801"/>
    <n v="1365000"/>
  </r>
  <r>
    <x v="420"/>
    <x v="4"/>
    <m/>
    <x v="0"/>
    <x v="2"/>
    <x v="17"/>
    <n v="200801"/>
    <n v="200801"/>
    <m/>
    <n v="27"/>
    <n v="200801"/>
    <n v="891000"/>
  </r>
  <r>
    <x v="420"/>
    <x v="4"/>
    <m/>
    <x v="0"/>
    <x v="2"/>
    <x v="19"/>
    <n v="200801"/>
    <n v="200801"/>
    <m/>
    <n v="61"/>
    <n v="200801"/>
    <n v="183000"/>
  </r>
  <r>
    <x v="420"/>
    <x v="4"/>
    <m/>
    <x v="5"/>
    <x v="2"/>
    <x v="28"/>
    <n v="200801"/>
    <n v="200801"/>
    <m/>
    <n v="25"/>
    <n v="200801"/>
    <n v="700000"/>
  </r>
  <r>
    <x v="420"/>
    <x v="4"/>
    <m/>
    <x v="5"/>
    <x v="2"/>
    <x v="69"/>
    <n v="200801"/>
    <n v="200801"/>
    <m/>
    <n v="9"/>
    <n v="200801"/>
    <n v="432000"/>
  </r>
  <r>
    <x v="420"/>
    <x v="4"/>
    <m/>
    <x v="22"/>
    <x v="2"/>
    <x v="29"/>
    <n v="200801"/>
    <n v="200801"/>
    <m/>
    <n v="8"/>
    <n v="200801"/>
    <n v="304000"/>
  </r>
  <r>
    <x v="420"/>
    <x v="4"/>
    <m/>
    <x v="19"/>
    <x v="2"/>
    <x v="22"/>
    <n v="200801"/>
    <n v="200801"/>
    <m/>
    <n v="16"/>
    <n v="200801"/>
    <n v="208000"/>
  </r>
  <r>
    <x v="420"/>
    <x v="4"/>
    <m/>
    <x v="19"/>
    <x v="2"/>
    <x v="23"/>
    <n v="200801"/>
    <n v="200801"/>
    <m/>
    <n v="6"/>
    <n v="200801"/>
    <n v="144000"/>
  </r>
  <r>
    <x v="420"/>
    <x v="4"/>
    <m/>
    <x v="19"/>
    <x v="2"/>
    <x v="24"/>
    <n v="200801"/>
    <n v="200801"/>
    <m/>
    <n v="1"/>
    <n v="200801"/>
    <n v="33000"/>
  </r>
  <r>
    <x v="420"/>
    <x v="4"/>
    <m/>
    <x v="33"/>
    <x v="2"/>
    <x v="92"/>
    <n v="200801"/>
    <n v="200801"/>
    <m/>
    <n v="3"/>
    <n v="200801"/>
    <n v="54600"/>
  </r>
  <r>
    <x v="420"/>
    <x v="4"/>
    <m/>
    <x v="0"/>
    <x v="9"/>
    <x v="15"/>
    <n v="200801"/>
    <n v="200801"/>
    <m/>
    <n v="1"/>
    <n v="200801"/>
    <n v="20000"/>
  </r>
  <r>
    <x v="420"/>
    <x v="4"/>
    <m/>
    <x v="22"/>
    <x v="9"/>
    <x v="29"/>
    <n v="200801"/>
    <n v="200801"/>
    <m/>
    <n v="1"/>
    <n v="200801"/>
    <n v="38000"/>
  </r>
  <r>
    <x v="421"/>
    <x v="1"/>
    <m/>
    <x v="0"/>
    <x v="1"/>
    <x v="15"/>
    <n v="200801"/>
    <n v="200801"/>
    <m/>
    <n v="2"/>
    <n v="200801"/>
    <n v="40000"/>
  </r>
  <r>
    <x v="421"/>
    <x v="1"/>
    <m/>
    <x v="0"/>
    <x v="1"/>
    <x v="16"/>
    <n v="200801"/>
    <n v="200801"/>
    <m/>
    <n v="10"/>
    <n v="200801"/>
    <n v="350000"/>
  </r>
  <r>
    <x v="421"/>
    <x v="1"/>
    <m/>
    <x v="0"/>
    <x v="7"/>
    <x v="15"/>
    <n v="200801"/>
    <n v="200801"/>
    <m/>
    <n v="3"/>
    <n v="200801"/>
    <n v="60000"/>
  </r>
  <r>
    <x v="421"/>
    <x v="1"/>
    <m/>
    <x v="6"/>
    <x v="2"/>
    <x v="37"/>
    <n v="200801"/>
    <n v="200801"/>
    <m/>
    <n v="2"/>
    <n v="200801"/>
    <n v="40000"/>
  </r>
  <r>
    <x v="421"/>
    <x v="1"/>
    <m/>
    <x v="36"/>
    <x v="2"/>
    <x v="113"/>
    <n v="200801"/>
    <n v="200801"/>
    <m/>
    <n v="1"/>
    <n v="200801"/>
    <n v="42000"/>
  </r>
  <r>
    <x v="421"/>
    <x v="1"/>
    <m/>
    <x v="25"/>
    <x v="2"/>
    <x v="34"/>
    <n v="200801"/>
    <n v="200801"/>
    <m/>
    <n v="5"/>
    <n v="200801"/>
    <n v="495000"/>
  </r>
  <r>
    <x v="421"/>
    <x v="1"/>
    <m/>
    <x v="31"/>
    <x v="2"/>
    <x v="95"/>
    <n v="200801"/>
    <n v="200801"/>
    <m/>
    <n v="68"/>
    <n v="200801"/>
    <n v="1523200"/>
  </r>
  <r>
    <x v="421"/>
    <x v="1"/>
    <m/>
    <x v="31"/>
    <x v="2"/>
    <x v="96"/>
    <n v="200801"/>
    <n v="200801"/>
    <m/>
    <n v="72"/>
    <n v="200801"/>
    <n v="2822400"/>
  </r>
  <r>
    <x v="421"/>
    <x v="1"/>
    <m/>
    <x v="32"/>
    <x v="2"/>
    <x v="97"/>
    <n v="200801"/>
    <n v="200801"/>
    <m/>
    <n v="56"/>
    <n v="200801"/>
    <n v="2077600"/>
  </r>
  <r>
    <x v="421"/>
    <x v="1"/>
    <m/>
    <x v="34"/>
    <x v="2"/>
    <x v="105"/>
    <n v="200801"/>
    <n v="200801"/>
    <m/>
    <n v="34"/>
    <n v="200801"/>
    <n v="1261400"/>
  </r>
  <r>
    <x v="421"/>
    <x v="1"/>
    <m/>
    <x v="30"/>
    <x v="2"/>
    <x v="99"/>
    <n v="200801"/>
    <n v="200801"/>
    <m/>
    <n v="9"/>
    <n v="200801"/>
    <n v="201600"/>
  </r>
  <r>
    <x v="421"/>
    <x v="1"/>
    <m/>
    <x v="30"/>
    <x v="2"/>
    <x v="100"/>
    <n v="200801"/>
    <n v="200801"/>
    <m/>
    <n v="4"/>
    <n v="200801"/>
    <n v="156800"/>
  </r>
  <r>
    <x v="421"/>
    <x v="1"/>
    <m/>
    <x v="1"/>
    <x v="2"/>
    <x v="18"/>
    <n v="200801"/>
    <n v="200801"/>
    <m/>
    <n v="4"/>
    <n v="200801"/>
    <n v="80000"/>
  </r>
  <r>
    <x v="421"/>
    <x v="1"/>
    <m/>
    <x v="1"/>
    <x v="2"/>
    <x v="21"/>
    <n v="200801"/>
    <n v="200801"/>
    <m/>
    <n v="1"/>
    <n v="200801"/>
    <n v="35000"/>
  </r>
  <r>
    <x v="421"/>
    <x v="1"/>
    <m/>
    <x v="4"/>
    <x v="2"/>
    <x v="26"/>
    <n v="200801"/>
    <n v="200801"/>
    <m/>
    <n v="4"/>
    <n v="200801"/>
    <n v="16000"/>
  </r>
  <r>
    <x v="421"/>
    <x v="1"/>
    <m/>
    <x v="4"/>
    <x v="2"/>
    <x v="27"/>
    <n v="200801"/>
    <n v="200801"/>
    <m/>
    <n v="7"/>
    <n v="200801"/>
    <n v="140000"/>
  </r>
  <r>
    <x v="421"/>
    <x v="1"/>
    <m/>
    <x v="0"/>
    <x v="2"/>
    <x v="15"/>
    <n v="200801"/>
    <n v="200801"/>
    <m/>
    <n v="54"/>
    <n v="200801"/>
    <n v="1080000"/>
  </r>
  <r>
    <x v="421"/>
    <x v="1"/>
    <m/>
    <x v="0"/>
    <x v="2"/>
    <x v="16"/>
    <n v="200801"/>
    <n v="200801"/>
    <m/>
    <n v="33"/>
    <n v="200801"/>
    <n v="1155000"/>
  </r>
  <r>
    <x v="421"/>
    <x v="1"/>
    <m/>
    <x v="0"/>
    <x v="2"/>
    <x v="17"/>
    <n v="200801"/>
    <n v="200801"/>
    <m/>
    <n v="37"/>
    <n v="200801"/>
    <n v="1221000"/>
  </r>
  <r>
    <x v="421"/>
    <x v="1"/>
    <m/>
    <x v="0"/>
    <x v="2"/>
    <x v="19"/>
    <n v="200801"/>
    <n v="200801"/>
    <m/>
    <n v="51"/>
    <n v="200801"/>
    <n v="153000"/>
  </r>
  <r>
    <x v="421"/>
    <x v="1"/>
    <m/>
    <x v="5"/>
    <x v="2"/>
    <x v="28"/>
    <n v="200801"/>
    <n v="200801"/>
    <m/>
    <n v="26"/>
    <n v="200801"/>
    <n v="728000"/>
  </r>
  <r>
    <x v="421"/>
    <x v="1"/>
    <m/>
    <x v="5"/>
    <x v="2"/>
    <x v="69"/>
    <n v="200801"/>
    <n v="200801"/>
    <m/>
    <n v="9"/>
    <n v="200801"/>
    <n v="432000"/>
  </r>
  <r>
    <x v="421"/>
    <x v="1"/>
    <m/>
    <x v="22"/>
    <x v="2"/>
    <x v="29"/>
    <n v="200801"/>
    <n v="200801"/>
    <m/>
    <n v="17"/>
    <n v="200801"/>
    <n v="646000"/>
  </r>
  <r>
    <x v="421"/>
    <x v="1"/>
    <m/>
    <x v="19"/>
    <x v="2"/>
    <x v="22"/>
    <n v="200801"/>
    <n v="200801"/>
    <m/>
    <n v="18"/>
    <n v="200801"/>
    <n v="234000"/>
  </r>
  <r>
    <x v="421"/>
    <x v="1"/>
    <m/>
    <x v="19"/>
    <x v="2"/>
    <x v="23"/>
    <n v="200801"/>
    <n v="200801"/>
    <m/>
    <n v="3"/>
    <n v="200801"/>
    <n v="72000"/>
  </r>
  <r>
    <x v="421"/>
    <x v="1"/>
    <m/>
    <x v="19"/>
    <x v="2"/>
    <x v="24"/>
    <n v="200801"/>
    <n v="200801"/>
    <m/>
    <n v="4"/>
    <n v="200801"/>
    <n v="132000"/>
  </r>
  <r>
    <x v="421"/>
    <x v="1"/>
    <m/>
    <x v="33"/>
    <x v="2"/>
    <x v="92"/>
    <n v="200801"/>
    <n v="200801"/>
    <m/>
    <n v="3"/>
    <n v="200801"/>
    <n v="54600"/>
  </r>
  <r>
    <x v="421"/>
    <x v="1"/>
    <m/>
    <x v="5"/>
    <x v="9"/>
    <x v="28"/>
    <n v="200801"/>
    <n v="200801"/>
    <m/>
    <n v="1"/>
    <n v="200801"/>
    <n v="28000"/>
  </r>
  <r>
    <x v="421"/>
    <x v="1"/>
    <m/>
    <x v="0"/>
    <x v="9"/>
    <x v="15"/>
    <n v="200801"/>
    <n v="200801"/>
    <m/>
    <n v="1"/>
    <n v="200801"/>
    <n v="20000"/>
  </r>
  <r>
    <x v="422"/>
    <x v="0"/>
    <m/>
    <x v="0"/>
    <x v="1"/>
    <x v="16"/>
    <n v="200801"/>
    <n v="200801"/>
    <m/>
    <n v="1"/>
    <n v="200801"/>
    <n v="35000"/>
  </r>
  <r>
    <x v="422"/>
    <x v="0"/>
    <m/>
    <x v="0"/>
    <x v="5"/>
    <x v="51"/>
    <n v="200801"/>
    <n v="200801"/>
    <m/>
    <n v="20"/>
    <n v="200801"/>
    <n v="225000"/>
  </r>
  <r>
    <x v="422"/>
    <x v="0"/>
    <m/>
    <x v="19"/>
    <x v="5"/>
    <x v="50"/>
    <n v="200801"/>
    <n v="200801"/>
    <m/>
    <n v="20"/>
    <n v="200801"/>
    <n v="144000"/>
  </r>
  <r>
    <x v="422"/>
    <x v="0"/>
    <m/>
    <x v="4"/>
    <x v="5"/>
    <x v="62"/>
    <n v="200801"/>
    <n v="200801"/>
    <m/>
    <n v="5"/>
    <n v="200801"/>
    <n v="90000"/>
  </r>
  <r>
    <x v="422"/>
    <x v="0"/>
    <m/>
    <x v="0"/>
    <x v="7"/>
    <x v="15"/>
    <n v="200801"/>
    <n v="200801"/>
    <m/>
    <n v="5"/>
    <n v="200801"/>
    <n v="100000"/>
  </r>
  <r>
    <x v="422"/>
    <x v="0"/>
    <m/>
    <x v="6"/>
    <x v="2"/>
    <x v="37"/>
    <n v="200801"/>
    <n v="200801"/>
    <m/>
    <n v="5"/>
    <n v="200801"/>
    <n v="100000"/>
  </r>
  <r>
    <x v="422"/>
    <x v="0"/>
    <m/>
    <x v="36"/>
    <x v="2"/>
    <x v="114"/>
    <n v="200801"/>
    <n v="200801"/>
    <m/>
    <n v="1"/>
    <n v="200801"/>
    <n v="49000"/>
  </r>
  <r>
    <x v="422"/>
    <x v="0"/>
    <m/>
    <x v="35"/>
    <x v="2"/>
    <x v="115"/>
    <n v="200801"/>
    <n v="200801"/>
    <m/>
    <n v="1"/>
    <n v="200801"/>
    <n v="4000"/>
  </r>
  <r>
    <x v="422"/>
    <x v="0"/>
    <m/>
    <x v="25"/>
    <x v="2"/>
    <x v="34"/>
    <n v="200801"/>
    <n v="200801"/>
    <m/>
    <n v="3"/>
    <n v="200801"/>
    <n v="297000"/>
  </r>
  <r>
    <x v="422"/>
    <x v="0"/>
    <m/>
    <x v="31"/>
    <x v="2"/>
    <x v="95"/>
    <n v="200801"/>
    <n v="200801"/>
    <m/>
    <n v="47"/>
    <n v="200801"/>
    <n v="1052800"/>
  </r>
  <r>
    <x v="422"/>
    <x v="0"/>
    <m/>
    <x v="31"/>
    <x v="2"/>
    <x v="96"/>
    <n v="200801"/>
    <n v="200801"/>
    <m/>
    <n v="41"/>
    <n v="200801"/>
    <n v="1607200"/>
  </r>
  <r>
    <x v="422"/>
    <x v="0"/>
    <m/>
    <x v="32"/>
    <x v="2"/>
    <x v="97"/>
    <n v="200801"/>
    <n v="200801"/>
    <m/>
    <n v="37"/>
    <n v="200801"/>
    <n v="1372700"/>
  </r>
  <r>
    <x v="422"/>
    <x v="0"/>
    <m/>
    <x v="34"/>
    <x v="2"/>
    <x v="105"/>
    <n v="200801"/>
    <n v="200801"/>
    <m/>
    <n v="31"/>
    <n v="200801"/>
    <n v="1150100"/>
  </r>
  <r>
    <x v="422"/>
    <x v="0"/>
    <m/>
    <x v="30"/>
    <x v="2"/>
    <x v="99"/>
    <n v="200801"/>
    <n v="200801"/>
    <m/>
    <n v="2"/>
    <n v="200801"/>
    <n v="44800"/>
  </r>
  <r>
    <x v="422"/>
    <x v="0"/>
    <m/>
    <x v="1"/>
    <x v="2"/>
    <x v="18"/>
    <n v="200801"/>
    <n v="200801"/>
    <m/>
    <n v="3"/>
    <n v="200801"/>
    <n v="60000"/>
  </r>
  <r>
    <x v="422"/>
    <x v="0"/>
    <m/>
    <x v="4"/>
    <x v="2"/>
    <x v="26"/>
    <n v="200801"/>
    <n v="200801"/>
    <m/>
    <n v="11"/>
    <n v="200801"/>
    <n v="44000"/>
  </r>
  <r>
    <x v="422"/>
    <x v="0"/>
    <m/>
    <x v="4"/>
    <x v="2"/>
    <x v="27"/>
    <n v="200801"/>
    <n v="200801"/>
    <m/>
    <n v="2"/>
    <n v="200801"/>
    <n v="40000"/>
  </r>
  <r>
    <x v="422"/>
    <x v="0"/>
    <m/>
    <x v="0"/>
    <x v="2"/>
    <x v="15"/>
    <n v="200801"/>
    <n v="200801"/>
    <m/>
    <n v="61"/>
    <n v="200801"/>
    <n v="1220000"/>
  </r>
  <r>
    <x v="422"/>
    <x v="0"/>
    <m/>
    <x v="0"/>
    <x v="2"/>
    <x v="16"/>
    <n v="200801"/>
    <n v="200801"/>
    <m/>
    <n v="20"/>
    <n v="200801"/>
    <n v="700000"/>
  </r>
  <r>
    <x v="422"/>
    <x v="0"/>
    <m/>
    <x v="0"/>
    <x v="2"/>
    <x v="17"/>
    <n v="200801"/>
    <n v="200801"/>
    <m/>
    <n v="41"/>
    <n v="200801"/>
    <n v="1353000"/>
  </r>
  <r>
    <x v="422"/>
    <x v="0"/>
    <m/>
    <x v="0"/>
    <x v="2"/>
    <x v="19"/>
    <n v="200801"/>
    <n v="200801"/>
    <m/>
    <n v="63"/>
    <n v="200801"/>
    <n v="189000"/>
  </r>
  <r>
    <x v="422"/>
    <x v="0"/>
    <m/>
    <x v="5"/>
    <x v="2"/>
    <x v="28"/>
    <n v="200801"/>
    <n v="200801"/>
    <m/>
    <n v="27"/>
    <n v="200801"/>
    <n v="756000"/>
  </r>
  <r>
    <x v="422"/>
    <x v="0"/>
    <m/>
    <x v="5"/>
    <x v="2"/>
    <x v="69"/>
    <n v="200801"/>
    <n v="200801"/>
    <m/>
    <n v="7"/>
    <n v="200801"/>
    <n v="336000"/>
  </r>
  <r>
    <x v="422"/>
    <x v="0"/>
    <m/>
    <x v="22"/>
    <x v="2"/>
    <x v="29"/>
    <n v="200801"/>
    <n v="200801"/>
    <m/>
    <n v="2"/>
    <n v="200801"/>
    <n v="76000"/>
  </r>
  <r>
    <x v="422"/>
    <x v="0"/>
    <m/>
    <x v="19"/>
    <x v="2"/>
    <x v="22"/>
    <n v="200801"/>
    <n v="200801"/>
    <m/>
    <n v="10"/>
    <n v="200801"/>
    <n v="130000"/>
  </r>
  <r>
    <x v="422"/>
    <x v="0"/>
    <m/>
    <x v="19"/>
    <x v="2"/>
    <x v="23"/>
    <n v="200801"/>
    <n v="200801"/>
    <m/>
    <n v="3"/>
    <n v="200801"/>
    <n v="72000"/>
  </r>
  <r>
    <x v="422"/>
    <x v="0"/>
    <m/>
    <x v="33"/>
    <x v="2"/>
    <x v="92"/>
    <n v="200801"/>
    <n v="200801"/>
    <m/>
    <n v="3"/>
    <n v="200801"/>
    <n v="54600"/>
  </r>
  <r>
    <x v="422"/>
    <x v="0"/>
    <m/>
    <x v="33"/>
    <x v="2"/>
    <x v="93"/>
    <n v="200801"/>
    <n v="200801"/>
    <m/>
    <n v="1"/>
    <n v="200801"/>
    <n v="33800"/>
  </r>
  <r>
    <x v="422"/>
    <x v="0"/>
    <m/>
    <x v="0"/>
    <x v="9"/>
    <x v="15"/>
    <n v="200801"/>
    <n v="200801"/>
    <m/>
    <n v="4"/>
    <n v="200801"/>
    <n v="80000"/>
  </r>
  <r>
    <x v="423"/>
    <x v="2"/>
    <m/>
    <x v="0"/>
    <x v="1"/>
    <x v="15"/>
    <n v="200801"/>
    <n v="200801"/>
    <m/>
    <n v="1"/>
    <n v="200801"/>
    <n v="20000"/>
  </r>
  <r>
    <x v="423"/>
    <x v="2"/>
    <m/>
    <x v="0"/>
    <x v="1"/>
    <x v="16"/>
    <n v="200801"/>
    <n v="200801"/>
    <m/>
    <n v="5"/>
    <n v="200801"/>
    <n v="175000"/>
  </r>
  <r>
    <x v="423"/>
    <x v="2"/>
    <m/>
    <x v="0"/>
    <x v="7"/>
    <x v="15"/>
    <n v="200801"/>
    <n v="200801"/>
    <m/>
    <n v="1"/>
    <n v="200801"/>
    <n v="20000"/>
  </r>
  <r>
    <x v="423"/>
    <x v="2"/>
    <m/>
    <x v="6"/>
    <x v="2"/>
    <x v="37"/>
    <n v="200801"/>
    <n v="200801"/>
    <m/>
    <n v="6"/>
    <n v="200801"/>
    <n v="120000"/>
  </r>
  <r>
    <x v="423"/>
    <x v="2"/>
    <m/>
    <x v="6"/>
    <x v="2"/>
    <x v="42"/>
    <n v="200801"/>
    <n v="200801"/>
    <m/>
    <n v="2"/>
    <n v="200801"/>
    <n v="70000"/>
  </r>
  <r>
    <x v="423"/>
    <x v="2"/>
    <m/>
    <x v="36"/>
    <x v="2"/>
    <x v="116"/>
    <n v="200801"/>
    <n v="200801"/>
    <m/>
    <n v="1"/>
    <n v="200801"/>
    <n v="28000"/>
  </r>
  <r>
    <x v="423"/>
    <x v="2"/>
    <m/>
    <x v="36"/>
    <x v="2"/>
    <x v="113"/>
    <n v="200801"/>
    <n v="200801"/>
    <m/>
    <n v="1"/>
    <n v="200801"/>
    <n v="42000"/>
  </r>
  <r>
    <x v="423"/>
    <x v="2"/>
    <m/>
    <x v="35"/>
    <x v="2"/>
    <x v="115"/>
    <n v="200801"/>
    <n v="200801"/>
    <m/>
    <n v="1"/>
    <n v="200801"/>
    <n v="4000"/>
  </r>
  <r>
    <x v="423"/>
    <x v="2"/>
    <m/>
    <x v="35"/>
    <x v="2"/>
    <x v="117"/>
    <n v="200801"/>
    <n v="200801"/>
    <m/>
    <n v="2"/>
    <n v="200801"/>
    <n v="40000"/>
  </r>
  <r>
    <x v="423"/>
    <x v="2"/>
    <m/>
    <x v="25"/>
    <x v="2"/>
    <x v="34"/>
    <n v="200801"/>
    <n v="200801"/>
    <m/>
    <n v="4"/>
    <n v="200801"/>
    <n v="396000"/>
  </r>
  <r>
    <x v="423"/>
    <x v="2"/>
    <m/>
    <x v="31"/>
    <x v="2"/>
    <x v="95"/>
    <n v="200801"/>
    <n v="200801"/>
    <m/>
    <n v="37"/>
    <n v="200801"/>
    <n v="828800"/>
  </r>
  <r>
    <x v="423"/>
    <x v="2"/>
    <m/>
    <x v="31"/>
    <x v="2"/>
    <x v="96"/>
    <n v="200801"/>
    <n v="200801"/>
    <m/>
    <n v="50"/>
    <n v="200801"/>
    <n v="1960000"/>
  </r>
  <r>
    <x v="423"/>
    <x v="2"/>
    <m/>
    <x v="32"/>
    <x v="2"/>
    <x v="97"/>
    <n v="200801"/>
    <n v="200801"/>
    <m/>
    <n v="26"/>
    <n v="200801"/>
    <n v="964600"/>
  </r>
  <r>
    <x v="423"/>
    <x v="2"/>
    <m/>
    <x v="34"/>
    <x v="2"/>
    <x v="105"/>
    <n v="200801"/>
    <n v="200801"/>
    <m/>
    <n v="13"/>
    <n v="200801"/>
    <n v="482300"/>
  </r>
  <r>
    <x v="423"/>
    <x v="2"/>
    <m/>
    <x v="30"/>
    <x v="2"/>
    <x v="99"/>
    <n v="200801"/>
    <n v="200801"/>
    <m/>
    <n v="5"/>
    <n v="200801"/>
    <n v="112000"/>
  </r>
  <r>
    <x v="423"/>
    <x v="2"/>
    <m/>
    <x v="30"/>
    <x v="2"/>
    <x v="100"/>
    <n v="200801"/>
    <n v="200801"/>
    <m/>
    <n v="1"/>
    <n v="200801"/>
    <n v="39200"/>
  </r>
  <r>
    <x v="423"/>
    <x v="2"/>
    <m/>
    <x v="1"/>
    <x v="2"/>
    <x v="18"/>
    <n v="200801"/>
    <n v="200801"/>
    <m/>
    <n v="1"/>
    <n v="200801"/>
    <n v="20000"/>
  </r>
  <r>
    <x v="423"/>
    <x v="2"/>
    <m/>
    <x v="4"/>
    <x v="2"/>
    <x v="26"/>
    <n v="200801"/>
    <n v="200801"/>
    <m/>
    <n v="2"/>
    <n v="200801"/>
    <n v="8000"/>
  </r>
  <r>
    <x v="423"/>
    <x v="2"/>
    <m/>
    <x v="4"/>
    <x v="2"/>
    <x v="27"/>
    <n v="200801"/>
    <n v="200801"/>
    <m/>
    <n v="7"/>
    <n v="200801"/>
    <n v="140000"/>
  </r>
  <r>
    <x v="423"/>
    <x v="2"/>
    <m/>
    <x v="0"/>
    <x v="2"/>
    <x v="15"/>
    <n v="200801"/>
    <n v="200801"/>
    <m/>
    <n v="37"/>
    <n v="200801"/>
    <n v="740000"/>
  </r>
  <r>
    <x v="423"/>
    <x v="2"/>
    <m/>
    <x v="0"/>
    <x v="2"/>
    <x v="16"/>
    <n v="200801"/>
    <n v="200801"/>
    <m/>
    <n v="21"/>
    <n v="200801"/>
    <n v="735000"/>
  </r>
  <r>
    <x v="423"/>
    <x v="2"/>
    <m/>
    <x v="0"/>
    <x v="2"/>
    <x v="17"/>
    <n v="200801"/>
    <n v="200801"/>
    <m/>
    <n v="31"/>
    <n v="200801"/>
    <n v="1023000"/>
  </r>
  <r>
    <x v="423"/>
    <x v="2"/>
    <m/>
    <x v="0"/>
    <x v="2"/>
    <x v="19"/>
    <n v="200801"/>
    <n v="200801"/>
    <m/>
    <n v="48"/>
    <n v="200801"/>
    <n v="144000"/>
  </r>
  <r>
    <x v="423"/>
    <x v="2"/>
    <m/>
    <x v="5"/>
    <x v="2"/>
    <x v="28"/>
    <n v="200801"/>
    <n v="200801"/>
    <m/>
    <n v="17"/>
    <n v="200801"/>
    <n v="476000"/>
  </r>
  <r>
    <x v="423"/>
    <x v="2"/>
    <m/>
    <x v="5"/>
    <x v="2"/>
    <x v="69"/>
    <n v="200801"/>
    <n v="200801"/>
    <m/>
    <n v="7"/>
    <n v="200801"/>
    <n v="336000"/>
  </r>
  <r>
    <x v="423"/>
    <x v="2"/>
    <m/>
    <x v="22"/>
    <x v="2"/>
    <x v="29"/>
    <n v="200801"/>
    <n v="200801"/>
    <m/>
    <n v="7"/>
    <n v="200801"/>
    <n v="266000"/>
  </r>
  <r>
    <x v="423"/>
    <x v="2"/>
    <m/>
    <x v="19"/>
    <x v="2"/>
    <x v="22"/>
    <n v="200801"/>
    <n v="200801"/>
    <m/>
    <n v="7"/>
    <n v="200801"/>
    <n v="91000"/>
  </r>
  <r>
    <x v="423"/>
    <x v="2"/>
    <m/>
    <x v="19"/>
    <x v="2"/>
    <x v="23"/>
    <n v="200801"/>
    <n v="200801"/>
    <m/>
    <n v="2"/>
    <n v="200801"/>
    <n v="48000"/>
  </r>
  <r>
    <x v="423"/>
    <x v="2"/>
    <m/>
    <x v="19"/>
    <x v="2"/>
    <x v="24"/>
    <n v="200801"/>
    <n v="200801"/>
    <m/>
    <n v="1"/>
    <n v="200801"/>
    <n v="33000"/>
  </r>
  <r>
    <x v="423"/>
    <x v="2"/>
    <m/>
    <x v="0"/>
    <x v="9"/>
    <x v="15"/>
    <n v="200801"/>
    <n v="200801"/>
    <m/>
    <n v="5"/>
    <n v="200801"/>
    <n v="100000"/>
  </r>
  <r>
    <x v="423"/>
    <x v="2"/>
    <m/>
    <x v="19"/>
    <x v="9"/>
    <x v="22"/>
    <n v="200801"/>
    <n v="200801"/>
    <m/>
    <n v="1"/>
    <n v="200801"/>
    <n v="13000"/>
  </r>
  <r>
    <x v="424"/>
    <x v="5"/>
    <m/>
    <x v="0"/>
    <x v="7"/>
    <x v="15"/>
    <n v="200801"/>
    <n v="200801"/>
    <m/>
    <n v="3"/>
    <n v="200801"/>
    <n v="60000"/>
  </r>
  <r>
    <x v="424"/>
    <x v="5"/>
    <m/>
    <x v="6"/>
    <x v="2"/>
    <x v="37"/>
    <n v="200801"/>
    <n v="200801"/>
    <m/>
    <n v="3"/>
    <n v="200801"/>
    <n v="60000"/>
  </r>
  <r>
    <x v="424"/>
    <x v="5"/>
    <m/>
    <x v="36"/>
    <x v="2"/>
    <x v="116"/>
    <n v="200801"/>
    <n v="200801"/>
    <m/>
    <n v="1"/>
    <n v="200801"/>
    <n v="28000"/>
  </r>
  <r>
    <x v="424"/>
    <x v="5"/>
    <m/>
    <x v="25"/>
    <x v="2"/>
    <x v="34"/>
    <n v="200801"/>
    <n v="200801"/>
    <m/>
    <n v="2"/>
    <n v="200801"/>
    <n v="198000"/>
  </r>
  <r>
    <x v="424"/>
    <x v="5"/>
    <m/>
    <x v="31"/>
    <x v="2"/>
    <x v="95"/>
    <n v="200801"/>
    <n v="200801"/>
    <m/>
    <n v="30"/>
    <n v="200801"/>
    <n v="672000"/>
  </r>
  <r>
    <x v="424"/>
    <x v="5"/>
    <m/>
    <x v="31"/>
    <x v="2"/>
    <x v="96"/>
    <n v="200801"/>
    <n v="200801"/>
    <m/>
    <n v="31"/>
    <n v="200801"/>
    <n v="1215200"/>
  </r>
  <r>
    <x v="424"/>
    <x v="5"/>
    <m/>
    <x v="32"/>
    <x v="2"/>
    <x v="97"/>
    <n v="200801"/>
    <n v="200801"/>
    <m/>
    <n v="18"/>
    <n v="200801"/>
    <n v="667800"/>
  </r>
  <r>
    <x v="424"/>
    <x v="5"/>
    <m/>
    <x v="34"/>
    <x v="2"/>
    <x v="105"/>
    <n v="200801"/>
    <n v="200801"/>
    <m/>
    <n v="19"/>
    <n v="200801"/>
    <n v="704900"/>
  </r>
  <r>
    <x v="424"/>
    <x v="5"/>
    <m/>
    <x v="30"/>
    <x v="2"/>
    <x v="99"/>
    <n v="200801"/>
    <n v="200801"/>
    <m/>
    <n v="4"/>
    <n v="200801"/>
    <n v="89600"/>
  </r>
  <r>
    <x v="424"/>
    <x v="5"/>
    <m/>
    <x v="1"/>
    <x v="2"/>
    <x v="18"/>
    <n v="200801"/>
    <n v="200801"/>
    <m/>
    <n v="2"/>
    <n v="200801"/>
    <n v="40000"/>
  </r>
  <r>
    <x v="424"/>
    <x v="5"/>
    <m/>
    <x v="4"/>
    <x v="2"/>
    <x v="26"/>
    <n v="200801"/>
    <n v="200801"/>
    <m/>
    <n v="5"/>
    <n v="200801"/>
    <n v="20000"/>
  </r>
  <r>
    <x v="424"/>
    <x v="5"/>
    <m/>
    <x v="4"/>
    <x v="2"/>
    <x v="27"/>
    <n v="200801"/>
    <n v="200801"/>
    <m/>
    <n v="4"/>
    <n v="200801"/>
    <n v="80000"/>
  </r>
  <r>
    <x v="424"/>
    <x v="5"/>
    <m/>
    <x v="0"/>
    <x v="2"/>
    <x v="15"/>
    <n v="200801"/>
    <n v="200801"/>
    <m/>
    <n v="28"/>
    <n v="200801"/>
    <n v="560000"/>
  </r>
  <r>
    <x v="424"/>
    <x v="5"/>
    <m/>
    <x v="0"/>
    <x v="2"/>
    <x v="16"/>
    <n v="200801"/>
    <n v="200801"/>
    <m/>
    <n v="11"/>
    <n v="200801"/>
    <n v="385000"/>
  </r>
  <r>
    <x v="424"/>
    <x v="5"/>
    <m/>
    <x v="0"/>
    <x v="2"/>
    <x v="17"/>
    <n v="200801"/>
    <n v="200801"/>
    <m/>
    <n v="20"/>
    <n v="200801"/>
    <n v="660000"/>
  </r>
  <r>
    <x v="424"/>
    <x v="5"/>
    <m/>
    <x v="0"/>
    <x v="2"/>
    <x v="19"/>
    <n v="200801"/>
    <n v="200801"/>
    <m/>
    <n v="29"/>
    <n v="200801"/>
    <n v="87000"/>
  </r>
  <r>
    <x v="424"/>
    <x v="5"/>
    <m/>
    <x v="5"/>
    <x v="2"/>
    <x v="28"/>
    <n v="200801"/>
    <n v="200801"/>
    <m/>
    <n v="17"/>
    <n v="200801"/>
    <n v="476000"/>
  </r>
  <r>
    <x v="424"/>
    <x v="5"/>
    <m/>
    <x v="5"/>
    <x v="2"/>
    <x v="69"/>
    <n v="200801"/>
    <n v="200801"/>
    <m/>
    <n v="3"/>
    <n v="200801"/>
    <n v="144000"/>
  </r>
  <r>
    <x v="424"/>
    <x v="5"/>
    <m/>
    <x v="22"/>
    <x v="2"/>
    <x v="29"/>
    <n v="200801"/>
    <n v="200801"/>
    <m/>
    <n v="1"/>
    <n v="200801"/>
    <n v="38000"/>
  </r>
  <r>
    <x v="424"/>
    <x v="5"/>
    <m/>
    <x v="19"/>
    <x v="2"/>
    <x v="22"/>
    <n v="200801"/>
    <n v="200801"/>
    <m/>
    <n v="3"/>
    <n v="200801"/>
    <n v="39000"/>
  </r>
  <r>
    <x v="424"/>
    <x v="5"/>
    <m/>
    <x v="19"/>
    <x v="2"/>
    <x v="23"/>
    <n v="200801"/>
    <n v="200801"/>
    <m/>
    <n v="2"/>
    <n v="200801"/>
    <n v="48000"/>
  </r>
  <r>
    <x v="424"/>
    <x v="5"/>
    <m/>
    <x v="0"/>
    <x v="9"/>
    <x v="15"/>
    <n v="200801"/>
    <n v="200801"/>
    <m/>
    <n v="4"/>
    <n v="200801"/>
    <n v="80000"/>
  </r>
  <r>
    <x v="425"/>
    <x v="6"/>
    <m/>
    <x v="0"/>
    <x v="7"/>
    <x v="15"/>
    <n v="200801"/>
    <n v="200801"/>
    <m/>
    <n v="2"/>
    <n v="200801"/>
    <n v="40000"/>
  </r>
  <r>
    <x v="425"/>
    <x v="6"/>
    <m/>
    <x v="6"/>
    <x v="2"/>
    <x v="37"/>
    <n v="200801"/>
    <n v="200801"/>
    <m/>
    <n v="4"/>
    <n v="200801"/>
    <n v="80000"/>
  </r>
  <r>
    <x v="425"/>
    <x v="6"/>
    <m/>
    <x v="6"/>
    <x v="2"/>
    <x v="42"/>
    <n v="200801"/>
    <n v="200801"/>
    <m/>
    <n v="2"/>
    <n v="200801"/>
    <n v="70000"/>
  </r>
  <r>
    <x v="425"/>
    <x v="6"/>
    <m/>
    <x v="35"/>
    <x v="2"/>
    <x v="115"/>
    <n v="200801"/>
    <n v="200801"/>
    <m/>
    <n v="1"/>
    <n v="200801"/>
    <n v="4000"/>
  </r>
  <r>
    <x v="425"/>
    <x v="6"/>
    <m/>
    <x v="35"/>
    <x v="2"/>
    <x v="117"/>
    <n v="200801"/>
    <n v="200801"/>
    <m/>
    <n v="3"/>
    <n v="200801"/>
    <n v="60000"/>
  </r>
  <r>
    <x v="425"/>
    <x v="6"/>
    <m/>
    <x v="36"/>
    <x v="2"/>
    <x v="116"/>
    <n v="200801"/>
    <n v="200801"/>
    <m/>
    <n v="3"/>
    <n v="200801"/>
    <n v="84000"/>
  </r>
  <r>
    <x v="425"/>
    <x v="6"/>
    <m/>
    <x v="31"/>
    <x v="2"/>
    <x v="95"/>
    <n v="200801"/>
    <n v="200801"/>
    <m/>
    <n v="39"/>
    <n v="200801"/>
    <n v="873600"/>
  </r>
  <r>
    <x v="425"/>
    <x v="6"/>
    <m/>
    <x v="31"/>
    <x v="2"/>
    <x v="96"/>
    <n v="200801"/>
    <n v="200801"/>
    <m/>
    <n v="39"/>
    <n v="200801"/>
    <n v="1528800"/>
  </r>
  <r>
    <x v="425"/>
    <x v="6"/>
    <m/>
    <x v="32"/>
    <x v="2"/>
    <x v="97"/>
    <n v="200801"/>
    <n v="200801"/>
    <m/>
    <n v="44"/>
    <n v="200801"/>
    <n v="1632400"/>
  </r>
  <r>
    <x v="425"/>
    <x v="6"/>
    <m/>
    <x v="34"/>
    <x v="2"/>
    <x v="105"/>
    <n v="200801"/>
    <n v="200801"/>
    <m/>
    <n v="37"/>
    <n v="200801"/>
    <n v="1372700"/>
  </r>
  <r>
    <x v="425"/>
    <x v="6"/>
    <m/>
    <x v="30"/>
    <x v="2"/>
    <x v="99"/>
    <n v="200801"/>
    <n v="200801"/>
    <m/>
    <n v="9"/>
    <n v="200801"/>
    <n v="201600"/>
  </r>
  <r>
    <x v="425"/>
    <x v="6"/>
    <m/>
    <x v="30"/>
    <x v="2"/>
    <x v="100"/>
    <n v="200801"/>
    <n v="200801"/>
    <m/>
    <n v="1"/>
    <n v="200801"/>
    <n v="39200"/>
  </r>
  <r>
    <x v="425"/>
    <x v="6"/>
    <m/>
    <x v="1"/>
    <x v="2"/>
    <x v="18"/>
    <n v="200801"/>
    <n v="200801"/>
    <m/>
    <n v="2"/>
    <n v="200801"/>
    <n v="40000"/>
  </r>
  <r>
    <x v="425"/>
    <x v="6"/>
    <m/>
    <x v="4"/>
    <x v="2"/>
    <x v="26"/>
    <n v="200801"/>
    <n v="200801"/>
    <m/>
    <n v="6"/>
    <n v="200801"/>
    <n v="24000"/>
  </r>
  <r>
    <x v="425"/>
    <x v="6"/>
    <m/>
    <x v="4"/>
    <x v="2"/>
    <x v="27"/>
    <n v="200801"/>
    <n v="200801"/>
    <m/>
    <n v="4"/>
    <n v="200801"/>
    <n v="80000"/>
  </r>
  <r>
    <x v="425"/>
    <x v="6"/>
    <m/>
    <x v="0"/>
    <x v="2"/>
    <x v="15"/>
    <n v="200801"/>
    <n v="200801"/>
    <m/>
    <n v="65"/>
    <n v="200801"/>
    <n v="1300000"/>
  </r>
  <r>
    <x v="425"/>
    <x v="6"/>
    <m/>
    <x v="0"/>
    <x v="2"/>
    <x v="16"/>
    <n v="200801"/>
    <n v="200801"/>
    <m/>
    <n v="28"/>
    <n v="200801"/>
    <n v="980000"/>
  </r>
  <r>
    <x v="425"/>
    <x v="6"/>
    <m/>
    <x v="0"/>
    <x v="2"/>
    <x v="17"/>
    <n v="200801"/>
    <n v="200801"/>
    <m/>
    <n v="46"/>
    <n v="200801"/>
    <n v="1518000"/>
  </r>
  <r>
    <x v="425"/>
    <x v="6"/>
    <m/>
    <x v="0"/>
    <x v="2"/>
    <x v="19"/>
    <n v="200801"/>
    <n v="200801"/>
    <m/>
    <n v="56"/>
    <n v="200801"/>
    <n v="168000"/>
  </r>
  <r>
    <x v="425"/>
    <x v="6"/>
    <m/>
    <x v="5"/>
    <x v="2"/>
    <x v="28"/>
    <n v="200801"/>
    <n v="200801"/>
    <m/>
    <n v="33"/>
    <n v="200801"/>
    <n v="924000"/>
  </r>
  <r>
    <x v="425"/>
    <x v="6"/>
    <m/>
    <x v="5"/>
    <x v="2"/>
    <x v="69"/>
    <n v="200801"/>
    <n v="200801"/>
    <m/>
    <n v="5"/>
    <n v="200801"/>
    <n v="240000"/>
  </r>
  <r>
    <x v="425"/>
    <x v="6"/>
    <m/>
    <x v="22"/>
    <x v="2"/>
    <x v="29"/>
    <n v="200801"/>
    <n v="200801"/>
    <m/>
    <n v="13"/>
    <n v="200801"/>
    <n v="494000"/>
  </r>
  <r>
    <x v="425"/>
    <x v="6"/>
    <m/>
    <x v="19"/>
    <x v="2"/>
    <x v="22"/>
    <n v="200801"/>
    <n v="200801"/>
    <m/>
    <n v="17"/>
    <n v="200801"/>
    <n v="221000"/>
  </r>
  <r>
    <x v="425"/>
    <x v="6"/>
    <m/>
    <x v="19"/>
    <x v="2"/>
    <x v="23"/>
    <n v="200801"/>
    <n v="200801"/>
    <m/>
    <n v="2"/>
    <n v="200801"/>
    <n v="48000"/>
  </r>
  <r>
    <x v="425"/>
    <x v="6"/>
    <m/>
    <x v="19"/>
    <x v="2"/>
    <x v="24"/>
    <n v="200801"/>
    <n v="200801"/>
    <m/>
    <n v="1"/>
    <n v="200801"/>
    <n v="33000"/>
  </r>
  <r>
    <x v="425"/>
    <x v="6"/>
    <m/>
    <x v="33"/>
    <x v="2"/>
    <x v="92"/>
    <n v="200801"/>
    <n v="200801"/>
    <m/>
    <n v="5"/>
    <n v="200801"/>
    <n v="91000"/>
  </r>
  <r>
    <x v="425"/>
    <x v="6"/>
    <m/>
    <x v="0"/>
    <x v="9"/>
    <x v="15"/>
    <n v="200801"/>
    <n v="200801"/>
    <m/>
    <n v="4"/>
    <n v="200801"/>
    <n v="80000"/>
  </r>
  <r>
    <x v="425"/>
    <x v="6"/>
    <m/>
    <x v="1"/>
    <x v="9"/>
    <x v="18"/>
    <n v="200801"/>
    <n v="200801"/>
    <m/>
    <n v="1"/>
    <n v="200801"/>
    <n v="20000"/>
  </r>
  <r>
    <x v="425"/>
    <x v="6"/>
    <m/>
    <x v="19"/>
    <x v="9"/>
    <x v="22"/>
    <n v="200801"/>
    <n v="200801"/>
    <m/>
    <n v="1"/>
    <n v="200801"/>
    <n v="13000"/>
  </r>
  <r>
    <x v="425"/>
    <x v="6"/>
    <m/>
    <x v="31"/>
    <x v="9"/>
    <x v="88"/>
    <n v="200801"/>
    <n v="200801"/>
    <m/>
    <n v="3"/>
    <n v="200801"/>
    <n v="67200"/>
  </r>
  <r>
    <x v="426"/>
    <x v="3"/>
    <m/>
    <x v="0"/>
    <x v="1"/>
    <x v="15"/>
    <n v="200801"/>
    <n v="200801"/>
    <m/>
    <n v="1"/>
    <n v="200801"/>
    <n v="20000"/>
  </r>
  <r>
    <x v="426"/>
    <x v="3"/>
    <m/>
    <x v="0"/>
    <x v="1"/>
    <x v="16"/>
    <n v="200801"/>
    <n v="200801"/>
    <m/>
    <n v="20"/>
    <n v="200801"/>
    <n v="700000"/>
  </r>
  <r>
    <x v="426"/>
    <x v="3"/>
    <m/>
    <x v="0"/>
    <x v="7"/>
    <x v="15"/>
    <n v="200801"/>
    <n v="200801"/>
    <m/>
    <n v="6"/>
    <n v="200801"/>
    <n v="120000"/>
  </r>
  <r>
    <x v="426"/>
    <x v="3"/>
    <m/>
    <x v="6"/>
    <x v="2"/>
    <x v="37"/>
    <n v="200801"/>
    <n v="200801"/>
    <m/>
    <n v="4"/>
    <n v="200801"/>
    <n v="80000"/>
  </r>
  <r>
    <x v="426"/>
    <x v="3"/>
    <m/>
    <x v="6"/>
    <x v="2"/>
    <x v="42"/>
    <n v="200801"/>
    <n v="200801"/>
    <m/>
    <n v="2"/>
    <n v="200801"/>
    <n v="70000"/>
  </r>
  <r>
    <x v="426"/>
    <x v="3"/>
    <m/>
    <x v="35"/>
    <x v="2"/>
    <x v="115"/>
    <n v="200801"/>
    <n v="200801"/>
    <m/>
    <n v="3"/>
    <n v="200801"/>
    <n v="12000"/>
  </r>
  <r>
    <x v="426"/>
    <x v="3"/>
    <m/>
    <x v="36"/>
    <x v="2"/>
    <x v="116"/>
    <n v="200801"/>
    <n v="200801"/>
    <m/>
    <n v="5"/>
    <n v="200801"/>
    <n v="140000"/>
  </r>
  <r>
    <x v="426"/>
    <x v="3"/>
    <m/>
    <x v="36"/>
    <x v="2"/>
    <x v="113"/>
    <n v="200801"/>
    <n v="200801"/>
    <m/>
    <n v="2"/>
    <n v="200801"/>
    <n v="84000"/>
  </r>
  <r>
    <x v="426"/>
    <x v="3"/>
    <m/>
    <x v="25"/>
    <x v="2"/>
    <x v="34"/>
    <n v="200801"/>
    <n v="200801"/>
    <m/>
    <n v="4"/>
    <n v="200801"/>
    <n v="396000"/>
  </r>
  <r>
    <x v="426"/>
    <x v="3"/>
    <m/>
    <x v="31"/>
    <x v="2"/>
    <x v="95"/>
    <n v="200801"/>
    <n v="200801"/>
    <m/>
    <n v="62"/>
    <n v="200801"/>
    <n v="1388800"/>
  </r>
  <r>
    <x v="426"/>
    <x v="3"/>
    <m/>
    <x v="31"/>
    <x v="2"/>
    <x v="96"/>
    <n v="200801"/>
    <n v="200801"/>
    <m/>
    <n v="81"/>
    <n v="200801"/>
    <n v="3175200"/>
  </r>
  <r>
    <x v="426"/>
    <x v="3"/>
    <m/>
    <x v="32"/>
    <x v="2"/>
    <x v="97"/>
    <n v="200801"/>
    <n v="200801"/>
    <m/>
    <n v="62"/>
    <n v="200801"/>
    <n v="2300200"/>
  </r>
  <r>
    <x v="426"/>
    <x v="3"/>
    <m/>
    <x v="34"/>
    <x v="2"/>
    <x v="105"/>
    <n v="200801"/>
    <n v="200801"/>
    <m/>
    <n v="36"/>
    <n v="200801"/>
    <n v="1335600"/>
  </r>
  <r>
    <x v="426"/>
    <x v="3"/>
    <m/>
    <x v="30"/>
    <x v="2"/>
    <x v="99"/>
    <n v="200801"/>
    <n v="200801"/>
    <m/>
    <n v="7"/>
    <n v="200801"/>
    <n v="156800"/>
  </r>
  <r>
    <x v="426"/>
    <x v="3"/>
    <m/>
    <x v="30"/>
    <x v="2"/>
    <x v="100"/>
    <n v="200801"/>
    <n v="200801"/>
    <m/>
    <n v="1"/>
    <n v="200801"/>
    <n v="39200"/>
  </r>
  <r>
    <x v="426"/>
    <x v="3"/>
    <m/>
    <x v="1"/>
    <x v="2"/>
    <x v="18"/>
    <n v="200801"/>
    <n v="200801"/>
    <m/>
    <n v="5"/>
    <n v="200801"/>
    <n v="100000"/>
  </r>
  <r>
    <x v="426"/>
    <x v="3"/>
    <m/>
    <x v="1"/>
    <x v="2"/>
    <x v="21"/>
    <n v="200801"/>
    <n v="200801"/>
    <m/>
    <n v="1"/>
    <n v="200801"/>
    <n v="35000"/>
  </r>
  <r>
    <x v="426"/>
    <x v="3"/>
    <m/>
    <x v="4"/>
    <x v="2"/>
    <x v="26"/>
    <n v="200801"/>
    <n v="200801"/>
    <m/>
    <n v="17"/>
    <n v="200801"/>
    <n v="68000"/>
  </r>
  <r>
    <x v="426"/>
    <x v="3"/>
    <m/>
    <x v="4"/>
    <x v="2"/>
    <x v="27"/>
    <n v="200801"/>
    <n v="200801"/>
    <m/>
    <n v="26"/>
    <n v="200801"/>
    <n v="520000"/>
  </r>
  <r>
    <x v="426"/>
    <x v="3"/>
    <m/>
    <x v="0"/>
    <x v="2"/>
    <x v="15"/>
    <n v="200801"/>
    <n v="200801"/>
    <m/>
    <n v="95"/>
    <n v="200801"/>
    <n v="1900000"/>
  </r>
  <r>
    <x v="426"/>
    <x v="3"/>
    <m/>
    <x v="0"/>
    <x v="2"/>
    <x v="16"/>
    <n v="200801"/>
    <n v="200801"/>
    <m/>
    <n v="41"/>
    <n v="200801"/>
    <n v="1435000"/>
  </r>
  <r>
    <x v="426"/>
    <x v="3"/>
    <m/>
    <x v="0"/>
    <x v="2"/>
    <x v="17"/>
    <n v="200801"/>
    <n v="200801"/>
    <m/>
    <n v="59"/>
    <n v="200801"/>
    <n v="1947000"/>
  </r>
  <r>
    <x v="426"/>
    <x v="3"/>
    <m/>
    <x v="0"/>
    <x v="2"/>
    <x v="19"/>
    <n v="200801"/>
    <n v="200801"/>
    <m/>
    <n v="87"/>
    <n v="200801"/>
    <n v="261000"/>
  </r>
  <r>
    <x v="426"/>
    <x v="3"/>
    <m/>
    <x v="5"/>
    <x v="2"/>
    <x v="28"/>
    <n v="200801"/>
    <n v="200801"/>
    <m/>
    <n v="44"/>
    <n v="200801"/>
    <n v="1232000"/>
  </r>
  <r>
    <x v="426"/>
    <x v="3"/>
    <m/>
    <x v="5"/>
    <x v="2"/>
    <x v="69"/>
    <n v="200801"/>
    <n v="200801"/>
    <m/>
    <n v="5"/>
    <n v="200801"/>
    <n v="240000"/>
  </r>
  <r>
    <x v="426"/>
    <x v="3"/>
    <m/>
    <x v="22"/>
    <x v="2"/>
    <x v="29"/>
    <n v="200801"/>
    <n v="200801"/>
    <m/>
    <n v="13"/>
    <n v="200801"/>
    <n v="494000"/>
  </r>
  <r>
    <x v="426"/>
    <x v="3"/>
    <m/>
    <x v="19"/>
    <x v="2"/>
    <x v="22"/>
    <n v="200801"/>
    <n v="200801"/>
    <m/>
    <n v="22"/>
    <n v="200801"/>
    <n v="286000"/>
  </r>
  <r>
    <x v="426"/>
    <x v="3"/>
    <m/>
    <x v="19"/>
    <x v="2"/>
    <x v="23"/>
    <n v="200801"/>
    <n v="200801"/>
    <m/>
    <n v="3"/>
    <n v="200801"/>
    <n v="72000"/>
  </r>
  <r>
    <x v="426"/>
    <x v="3"/>
    <m/>
    <x v="19"/>
    <x v="2"/>
    <x v="24"/>
    <n v="200801"/>
    <n v="200801"/>
    <m/>
    <n v="3"/>
    <n v="200801"/>
    <n v="99000"/>
  </r>
  <r>
    <x v="426"/>
    <x v="3"/>
    <m/>
    <x v="33"/>
    <x v="2"/>
    <x v="92"/>
    <n v="200801"/>
    <n v="200801"/>
    <m/>
    <n v="4"/>
    <n v="200801"/>
    <n v="72800"/>
  </r>
  <r>
    <x v="426"/>
    <x v="3"/>
    <m/>
    <x v="33"/>
    <x v="2"/>
    <x v="93"/>
    <n v="200801"/>
    <n v="200801"/>
    <m/>
    <n v="1"/>
    <n v="200801"/>
    <n v="33800"/>
  </r>
  <r>
    <x v="426"/>
    <x v="3"/>
    <m/>
    <x v="0"/>
    <x v="9"/>
    <x v="15"/>
    <n v="200801"/>
    <n v="200801"/>
    <m/>
    <n v="10"/>
    <n v="200801"/>
    <n v="200000"/>
  </r>
  <r>
    <x v="426"/>
    <x v="3"/>
    <m/>
    <x v="30"/>
    <x v="9"/>
    <x v="104"/>
    <n v="200801"/>
    <n v="200801"/>
    <m/>
    <n v="1"/>
    <n v="200801"/>
    <n v="22400"/>
  </r>
  <r>
    <x v="425"/>
    <x v="6"/>
    <m/>
    <x v="0"/>
    <x v="6"/>
    <x v="15"/>
    <n v="200801"/>
    <n v="200801"/>
    <m/>
    <n v="472"/>
    <n v="200801"/>
    <n v="4280096"/>
  </r>
  <r>
    <x v="425"/>
    <x v="6"/>
    <m/>
    <x v="0"/>
    <x v="6"/>
    <x v="17"/>
    <n v="200801"/>
    <n v="200801"/>
    <m/>
    <n v="22"/>
    <n v="200801"/>
    <n v="347996"/>
  </r>
  <r>
    <x v="425"/>
    <x v="6"/>
    <m/>
    <x v="4"/>
    <x v="6"/>
    <x v="26"/>
    <n v="200801"/>
    <n v="200801"/>
    <m/>
    <n v="485"/>
    <n v="200801"/>
    <n v="520405"/>
  </r>
  <r>
    <x v="425"/>
    <x v="6"/>
    <m/>
    <x v="26"/>
    <x v="6"/>
    <x v="35"/>
    <n v="200801"/>
    <n v="200801"/>
    <m/>
    <n v="14"/>
    <n v="200801"/>
    <n v="239834"/>
  </r>
  <r>
    <x v="425"/>
    <x v="6"/>
    <m/>
    <x v="22"/>
    <x v="6"/>
    <x v="29"/>
    <n v="200801"/>
    <n v="200801"/>
    <m/>
    <n v="60"/>
    <n v="200801"/>
    <n v="1181460"/>
  </r>
  <r>
    <x v="425"/>
    <x v="6"/>
    <m/>
    <x v="24"/>
    <x v="6"/>
    <x v="31"/>
    <n v="200801"/>
    <n v="200801"/>
    <m/>
    <n v="24"/>
    <n v="200801"/>
    <n v="357048"/>
  </r>
  <r>
    <x v="425"/>
    <x v="6"/>
    <m/>
    <x v="23"/>
    <x v="6"/>
    <x v="30"/>
    <n v="200801"/>
    <n v="200801"/>
    <m/>
    <n v="8"/>
    <n v="200801"/>
    <n v="55712"/>
  </r>
  <r>
    <x v="425"/>
    <x v="6"/>
    <m/>
    <x v="20"/>
    <x v="6"/>
    <x v="25"/>
    <n v="200801"/>
    <n v="200801"/>
    <m/>
    <n v="338"/>
    <n v="200801"/>
    <n v="3284008"/>
  </r>
  <r>
    <x v="425"/>
    <x v="6"/>
    <m/>
    <x v="19"/>
    <x v="6"/>
    <x v="22"/>
    <n v="200801"/>
    <n v="200801"/>
    <m/>
    <n v="72"/>
    <n v="200801"/>
    <n v="488952"/>
  </r>
  <r>
    <x v="425"/>
    <x v="6"/>
    <m/>
    <x v="6"/>
    <x v="6"/>
    <x v="37"/>
    <n v="200801"/>
    <n v="200801"/>
    <m/>
    <n v="17"/>
    <n v="200801"/>
    <n v="170000"/>
  </r>
  <r>
    <x v="425"/>
    <x v="6"/>
    <m/>
    <x v="28"/>
    <x v="6"/>
    <x v="39"/>
    <n v="200801"/>
    <n v="200801"/>
    <m/>
    <n v="2"/>
    <n v="200801"/>
    <n v="31636"/>
  </r>
  <r>
    <x v="425"/>
    <x v="6"/>
    <m/>
    <x v="4"/>
    <x v="6"/>
    <x v="66"/>
    <n v="200801"/>
    <n v="200801"/>
    <m/>
    <n v="292"/>
    <n v="200801"/>
    <n v="1634324"/>
  </r>
  <r>
    <x v="425"/>
    <x v="6"/>
    <m/>
    <x v="33"/>
    <x v="6"/>
    <x v="106"/>
    <n v="200801"/>
    <n v="200801"/>
    <m/>
    <n v="8"/>
    <n v="200801"/>
    <n v="78000"/>
  </r>
  <r>
    <x v="425"/>
    <x v="6"/>
    <m/>
    <x v="31"/>
    <x v="6"/>
    <x v="103"/>
    <n v="200801"/>
    <n v="200801"/>
    <m/>
    <n v="53"/>
    <n v="200801"/>
    <n v="593600"/>
  </r>
  <r>
    <x v="425"/>
    <x v="6"/>
    <m/>
    <x v="30"/>
    <x v="6"/>
    <x v="104"/>
    <n v="200801"/>
    <n v="200801"/>
    <m/>
    <n v="63"/>
    <n v="200801"/>
    <n v="705600"/>
  </r>
  <r>
    <x v="425"/>
    <x v="6"/>
    <m/>
    <x v="5"/>
    <x v="6"/>
    <x v="28"/>
    <n v="200801"/>
    <n v="200801"/>
    <m/>
    <n v="51"/>
    <n v="200801"/>
    <n v="744600"/>
  </r>
  <r>
    <x v="425"/>
    <x v="6"/>
    <m/>
    <x v="35"/>
    <x v="6"/>
    <x v="108"/>
    <n v="200801"/>
    <n v="200801"/>
    <m/>
    <n v="303"/>
    <n v="200801"/>
    <n v="325119"/>
  </r>
  <r>
    <x v="425"/>
    <x v="6"/>
    <m/>
    <x v="36"/>
    <x v="6"/>
    <x v="118"/>
    <n v="200801"/>
    <n v="200801"/>
    <m/>
    <n v="25"/>
    <n v="200801"/>
    <n v="350000"/>
  </r>
  <r>
    <x v="425"/>
    <x v="6"/>
    <m/>
    <x v="37"/>
    <x v="6"/>
    <x v="119"/>
    <n v="200801"/>
    <n v="200801"/>
    <m/>
    <n v="123"/>
    <n v="200801"/>
    <n v="2330850"/>
  </r>
  <r>
    <x v="425"/>
    <x v="6"/>
    <m/>
    <x v="38"/>
    <x v="6"/>
    <x v="120"/>
    <n v="200801"/>
    <n v="200801"/>
    <m/>
    <n v="154"/>
    <n v="200801"/>
    <n v="1681680"/>
  </r>
  <r>
    <x v="425"/>
    <x v="6"/>
    <m/>
    <x v="24"/>
    <x v="6"/>
    <x v="121"/>
    <n v="200801"/>
    <n v="200801"/>
    <m/>
    <n v="78"/>
    <n v="200801"/>
    <n v="1013688"/>
  </r>
  <r>
    <x v="427"/>
    <x v="4"/>
    <m/>
    <x v="0"/>
    <x v="1"/>
    <x v="15"/>
    <n v="200801"/>
    <n v="200801"/>
    <m/>
    <n v="1"/>
    <n v="200801"/>
    <n v="20000"/>
  </r>
  <r>
    <x v="427"/>
    <x v="4"/>
    <m/>
    <x v="0"/>
    <x v="1"/>
    <x v="16"/>
    <n v="200801"/>
    <n v="200801"/>
    <m/>
    <n v="3"/>
    <n v="200801"/>
    <n v="105000"/>
  </r>
  <r>
    <x v="427"/>
    <x v="4"/>
    <m/>
    <x v="0"/>
    <x v="7"/>
    <x v="15"/>
    <n v="200801"/>
    <n v="200801"/>
    <m/>
    <n v="2"/>
    <n v="200801"/>
    <n v="40000"/>
  </r>
  <r>
    <x v="427"/>
    <x v="4"/>
    <m/>
    <x v="31"/>
    <x v="3"/>
    <x v="88"/>
    <n v="200801"/>
    <n v="200801"/>
    <m/>
    <n v="1"/>
    <n v="200801"/>
    <n v="0"/>
  </r>
  <r>
    <x v="427"/>
    <x v="4"/>
    <m/>
    <x v="0"/>
    <x v="3"/>
    <x v="15"/>
    <n v="200801"/>
    <n v="200801"/>
    <m/>
    <n v="2"/>
    <n v="200801"/>
    <n v="0"/>
  </r>
  <r>
    <x v="427"/>
    <x v="4"/>
    <m/>
    <x v="18"/>
    <x v="3"/>
    <x v="19"/>
    <n v="200801"/>
    <n v="200801"/>
    <m/>
    <n v="4"/>
    <n v="200801"/>
    <n v="0"/>
  </r>
  <r>
    <x v="427"/>
    <x v="4"/>
    <m/>
    <x v="5"/>
    <x v="3"/>
    <x v="28"/>
    <n v="200801"/>
    <n v="200801"/>
    <m/>
    <n v="2"/>
    <n v="200801"/>
    <n v="0"/>
  </r>
  <r>
    <x v="427"/>
    <x v="4"/>
    <m/>
    <x v="4"/>
    <x v="3"/>
    <x v="26"/>
    <n v="200801"/>
    <n v="200801"/>
    <m/>
    <n v="5"/>
    <n v="200801"/>
    <n v="0"/>
  </r>
  <r>
    <x v="427"/>
    <x v="4"/>
    <m/>
    <x v="4"/>
    <x v="3"/>
    <x v="27"/>
    <n v="200801"/>
    <n v="200801"/>
    <m/>
    <n v="1"/>
    <n v="200801"/>
    <n v="0"/>
  </r>
  <r>
    <x v="427"/>
    <x v="4"/>
    <m/>
    <x v="36"/>
    <x v="3"/>
    <x v="109"/>
    <n v="200801"/>
    <n v="200801"/>
    <m/>
    <n v="2"/>
    <n v="200801"/>
    <n v="0"/>
  </r>
  <r>
    <x v="427"/>
    <x v="4"/>
    <m/>
    <x v="35"/>
    <x v="3"/>
    <x v="122"/>
    <n v="200801"/>
    <n v="200801"/>
    <m/>
    <n v="5"/>
    <n v="200801"/>
    <n v="0"/>
  </r>
  <r>
    <x v="427"/>
    <x v="4"/>
    <m/>
    <x v="35"/>
    <x v="3"/>
    <x v="107"/>
    <n v="200801"/>
    <n v="200801"/>
    <m/>
    <n v="1"/>
    <n v="200801"/>
    <n v="0"/>
  </r>
  <r>
    <x v="427"/>
    <x v="4"/>
    <m/>
    <x v="6"/>
    <x v="2"/>
    <x v="37"/>
    <n v="200801"/>
    <n v="200801"/>
    <m/>
    <n v="4"/>
    <n v="200801"/>
    <n v="80000"/>
  </r>
  <r>
    <x v="427"/>
    <x v="4"/>
    <m/>
    <x v="6"/>
    <x v="2"/>
    <x v="42"/>
    <n v="200801"/>
    <n v="200801"/>
    <m/>
    <n v="1"/>
    <n v="200801"/>
    <n v="35000"/>
  </r>
  <r>
    <x v="427"/>
    <x v="4"/>
    <m/>
    <x v="35"/>
    <x v="2"/>
    <x v="115"/>
    <n v="200801"/>
    <n v="200801"/>
    <m/>
    <n v="1"/>
    <n v="200801"/>
    <n v="4000"/>
  </r>
  <r>
    <x v="427"/>
    <x v="4"/>
    <m/>
    <x v="35"/>
    <x v="2"/>
    <x v="117"/>
    <n v="200801"/>
    <n v="200801"/>
    <m/>
    <n v="3"/>
    <n v="200801"/>
    <n v="60000"/>
  </r>
  <r>
    <x v="427"/>
    <x v="4"/>
    <m/>
    <x v="36"/>
    <x v="2"/>
    <x v="116"/>
    <n v="200801"/>
    <n v="200801"/>
    <m/>
    <n v="9"/>
    <n v="200801"/>
    <n v="252000"/>
  </r>
  <r>
    <x v="427"/>
    <x v="4"/>
    <m/>
    <x v="25"/>
    <x v="2"/>
    <x v="34"/>
    <n v="200801"/>
    <n v="200801"/>
    <m/>
    <n v="3"/>
    <n v="200801"/>
    <n v="297000"/>
  </r>
  <r>
    <x v="427"/>
    <x v="4"/>
    <m/>
    <x v="31"/>
    <x v="2"/>
    <x v="95"/>
    <n v="200801"/>
    <n v="200801"/>
    <m/>
    <n v="70"/>
    <n v="200801"/>
    <n v="1568000"/>
  </r>
  <r>
    <x v="427"/>
    <x v="4"/>
    <m/>
    <x v="31"/>
    <x v="2"/>
    <x v="96"/>
    <n v="200801"/>
    <n v="200801"/>
    <m/>
    <n v="68"/>
    <n v="200801"/>
    <n v="2665600"/>
  </r>
  <r>
    <x v="427"/>
    <x v="4"/>
    <m/>
    <x v="32"/>
    <x v="2"/>
    <x v="97"/>
    <n v="200801"/>
    <n v="200801"/>
    <m/>
    <n v="58"/>
    <n v="200801"/>
    <n v="2151800"/>
  </r>
  <r>
    <x v="427"/>
    <x v="4"/>
    <m/>
    <x v="34"/>
    <x v="2"/>
    <x v="105"/>
    <n v="200801"/>
    <n v="200801"/>
    <m/>
    <n v="48"/>
    <n v="200801"/>
    <n v="1780800"/>
  </r>
  <r>
    <x v="427"/>
    <x v="4"/>
    <m/>
    <x v="30"/>
    <x v="2"/>
    <x v="99"/>
    <n v="200801"/>
    <n v="200801"/>
    <m/>
    <n v="10"/>
    <n v="200801"/>
    <n v="224000"/>
  </r>
  <r>
    <x v="427"/>
    <x v="4"/>
    <m/>
    <x v="30"/>
    <x v="2"/>
    <x v="100"/>
    <n v="200801"/>
    <n v="200801"/>
    <m/>
    <n v="4"/>
    <n v="200801"/>
    <n v="156800"/>
  </r>
  <r>
    <x v="427"/>
    <x v="4"/>
    <m/>
    <x v="1"/>
    <x v="2"/>
    <x v="18"/>
    <n v="200801"/>
    <n v="200801"/>
    <m/>
    <n v="3"/>
    <n v="200801"/>
    <n v="60000"/>
  </r>
  <r>
    <x v="427"/>
    <x v="4"/>
    <m/>
    <x v="4"/>
    <x v="2"/>
    <x v="26"/>
    <n v="200801"/>
    <n v="200801"/>
    <m/>
    <n v="5"/>
    <n v="200801"/>
    <n v="20000"/>
  </r>
  <r>
    <x v="427"/>
    <x v="4"/>
    <m/>
    <x v="4"/>
    <x v="2"/>
    <x v="27"/>
    <n v="200801"/>
    <n v="200801"/>
    <m/>
    <n v="12"/>
    <n v="200801"/>
    <n v="240000"/>
  </r>
  <r>
    <x v="427"/>
    <x v="4"/>
    <m/>
    <x v="0"/>
    <x v="2"/>
    <x v="15"/>
    <n v="200801"/>
    <n v="200801"/>
    <m/>
    <n v="87"/>
    <n v="200801"/>
    <n v="1740000"/>
  </r>
  <r>
    <x v="427"/>
    <x v="4"/>
    <m/>
    <x v="0"/>
    <x v="2"/>
    <x v="16"/>
    <n v="200801"/>
    <n v="200801"/>
    <m/>
    <n v="33"/>
    <n v="200801"/>
    <n v="1155000"/>
  </r>
  <r>
    <x v="427"/>
    <x v="4"/>
    <m/>
    <x v="0"/>
    <x v="2"/>
    <x v="17"/>
    <n v="200801"/>
    <n v="200801"/>
    <m/>
    <n v="50"/>
    <n v="200801"/>
    <n v="1650000"/>
  </r>
  <r>
    <x v="427"/>
    <x v="4"/>
    <m/>
    <x v="0"/>
    <x v="2"/>
    <x v="19"/>
    <n v="200801"/>
    <n v="200801"/>
    <m/>
    <n v="90"/>
    <n v="200801"/>
    <n v="270000"/>
  </r>
  <r>
    <x v="427"/>
    <x v="4"/>
    <m/>
    <x v="5"/>
    <x v="2"/>
    <x v="28"/>
    <n v="200801"/>
    <n v="200801"/>
    <m/>
    <n v="34"/>
    <n v="200801"/>
    <n v="952000"/>
  </r>
  <r>
    <x v="427"/>
    <x v="4"/>
    <m/>
    <x v="5"/>
    <x v="2"/>
    <x v="69"/>
    <n v="200801"/>
    <n v="200801"/>
    <m/>
    <n v="11"/>
    <n v="200801"/>
    <n v="528000"/>
  </r>
  <r>
    <x v="427"/>
    <x v="4"/>
    <m/>
    <x v="22"/>
    <x v="2"/>
    <x v="29"/>
    <n v="200801"/>
    <n v="200801"/>
    <m/>
    <n v="15"/>
    <n v="200801"/>
    <n v="570000"/>
  </r>
  <r>
    <x v="427"/>
    <x v="4"/>
    <m/>
    <x v="19"/>
    <x v="2"/>
    <x v="22"/>
    <n v="200801"/>
    <n v="200801"/>
    <m/>
    <n v="19"/>
    <n v="200801"/>
    <n v="247000"/>
  </r>
  <r>
    <x v="427"/>
    <x v="4"/>
    <m/>
    <x v="19"/>
    <x v="2"/>
    <x v="23"/>
    <n v="200801"/>
    <n v="200801"/>
    <m/>
    <n v="4"/>
    <n v="200801"/>
    <n v="96000"/>
  </r>
  <r>
    <x v="427"/>
    <x v="4"/>
    <m/>
    <x v="19"/>
    <x v="2"/>
    <x v="24"/>
    <n v="200801"/>
    <n v="200801"/>
    <m/>
    <n v="2"/>
    <n v="200801"/>
    <n v="66000"/>
  </r>
  <r>
    <x v="427"/>
    <x v="4"/>
    <m/>
    <x v="33"/>
    <x v="2"/>
    <x v="92"/>
    <n v="200801"/>
    <n v="200801"/>
    <m/>
    <n v="5"/>
    <n v="200801"/>
    <n v="91000"/>
  </r>
  <r>
    <x v="427"/>
    <x v="4"/>
    <m/>
    <x v="5"/>
    <x v="9"/>
    <x v="28"/>
    <n v="200801"/>
    <n v="200801"/>
    <m/>
    <n v="1"/>
    <n v="200801"/>
    <n v="28000"/>
  </r>
  <r>
    <x v="427"/>
    <x v="4"/>
    <m/>
    <x v="0"/>
    <x v="9"/>
    <x v="15"/>
    <n v="200801"/>
    <n v="200801"/>
    <m/>
    <n v="11"/>
    <n v="200801"/>
    <n v="220000"/>
  </r>
  <r>
    <x v="427"/>
    <x v="4"/>
    <m/>
    <x v="22"/>
    <x v="9"/>
    <x v="29"/>
    <n v="200801"/>
    <n v="200801"/>
    <m/>
    <n v="1"/>
    <n v="200801"/>
    <n v="38000"/>
  </r>
  <r>
    <x v="427"/>
    <x v="4"/>
    <m/>
    <x v="19"/>
    <x v="9"/>
    <x v="22"/>
    <n v="200801"/>
    <n v="200801"/>
    <m/>
    <n v="1"/>
    <n v="200801"/>
    <n v="13000"/>
  </r>
  <r>
    <x v="428"/>
    <x v="1"/>
    <m/>
    <x v="0"/>
    <x v="1"/>
    <x v="123"/>
    <m/>
    <m/>
    <m/>
    <n v="9"/>
    <n v="201208"/>
    <n v="315000"/>
  </r>
  <r>
    <x v="428"/>
    <x v="1"/>
    <m/>
    <x v="0"/>
    <x v="1"/>
    <x v="124"/>
    <m/>
    <m/>
    <m/>
    <n v="1"/>
    <n v="201208"/>
    <n v="20000"/>
  </r>
  <r>
    <x v="428"/>
    <x v="1"/>
    <m/>
    <x v="35"/>
    <x v="5"/>
    <x v="107"/>
    <m/>
    <m/>
    <m/>
    <n v="6"/>
    <n v="201208"/>
    <n v="108000"/>
  </r>
  <r>
    <x v="428"/>
    <x v="1"/>
    <m/>
    <x v="18"/>
    <x v="3"/>
    <x v="125"/>
    <m/>
    <m/>
    <m/>
    <n v="1"/>
    <n v="201208"/>
    <n v="0"/>
  </r>
  <r>
    <x v="428"/>
    <x v="1"/>
    <m/>
    <x v="31"/>
    <x v="3"/>
    <x v="88"/>
    <m/>
    <m/>
    <m/>
    <n v="5"/>
    <n v="201208"/>
    <n v="0"/>
  </r>
  <r>
    <x v="428"/>
    <x v="1"/>
    <m/>
    <x v="6"/>
    <x v="2"/>
    <x v="126"/>
    <m/>
    <m/>
    <m/>
    <n v="2"/>
    <n v="201208"/>
    <n v="40000"/>
  </r>
  <r>
    <x v="428"/>
    <x v="1"/>
    <m/>
    <x v="6"/>
    <x v="2"/>
    <x v="127"/>
    <m/>
    <m/>
    <m/>
    <n v="1"/>
    <n v="201208"/>
    <n v="35000"/>
  </r>
  <r>
    <x v="428"/>
    <x v="1"/>
    <m/>
    <x v="34"/>
    <x v="2"/>
    <x v="128"/>
    <m/>
    <m/>
    <m/>
    <n v="38"/>
    <n v="201208"/>
    <n v="1409800"/>
  </r>
  <r>
    <x v="428"/>
    <x v="1"/>
    <m/>
    <x v="25"/>
    <x v="2"/>
    <x v="129"/>
    <m/>
    <m/>
    <m/>
    <n v="2"/>
    <n v="201208"/>
    <n v="198000"/>
  </r>
  <r>
    <x v="428"/>
    <x v="1"/>
    <m/>
    <x v="0"/>
    <x v="2"/>
    <x v="130"/>
    <m/>
    <m/>
    <m/>
    <n v="45"/>
    <n v="201208"/>
    <n v="1485000"/>
  </r>
  <r>
    <x v="428"/>
    <x v="1"/>
    <m/>
    <x v="0"/>
    <x v="2"/>
    <x v="131"/>
    <m/>
    <m/>
    <m/>
    <n v="3"/>
    <n v="201208"/>
    <n v="99000"/>
  </r>
  <r>
    <x v="428"/>
    <x v="1"/>
    <m/>
    <x v="30"/>
    <x v="2"/>
    <x v="132"/>
    <m/>
    <m/>
    <m/>
    <n v="7"/>
    <n v="201208"/>
    <n v="156800"/>
  </r>
  <r>
    <x v="428"/>
    <x v="1"/>
    <m/>
    <x v="30"/>
    <x v="2"/>
    <x v="133"/>
    <m/>
    <m/>
    <m/>
    <n v="1"/>
    <n v="201208"/>
    <n v="39200"/>
  </r>
  <r>
    <x v="428"/>
    <x v="1"/>
    <m/>
    <x v="34"/>
    <x v="2"/>
    <x v="134"/>
    <m/>
    <m/>
    <m/>
    <n v="1"/>
    <n v="201208"/>
    <n v="37100"/>
  </r>
  <r>
    <x v="428"/>
    <x v="1"/>
    <m/>
    <x v="1"/>
    <x v="2"/>
    <x v="135"/>
    <m/>
    <m/>
    <m/>
    <n v="3"/>
    <n v="201208"/>
    <n v="60000"/>
  </r>
  <r>
    <x v="428"/>
    <x v="1"/>
    <m/>
    <x v="36"/>
    <x v="2"/>
    <x v="136"/>
    <m/>
    <m/>
    <m/>
    <n v="5"/>
    <n v="201208"/>
    <n v="140000"/>
  </r>
  <r>
    <x v="428"/>
    <x v="1"/>
    <m/>
    <x v="36"/>
    <x v="2"/>
    <x v="137"/>
    <m/>
    <m/>
    <m/>
    <n v="2"/>
    <n v="201208"/>
    <n v="84000"/>
  </r>
  <r>
    <x v="428"/>
    <x v="1"/>
    <m/>
    <x v="0"/>
    <x v="2"/>
    <x v="138"/>
    <m/>
    <m/>
    <m/>
    <n v="70"/>
    <n v="201208"/>
    <n v="1400000"/>
  </r>
  <r>
    <x v="428"/>
    <x v="1"/>
    <m/>
    <x v="0"/>
    <x v="2"/>
    <x v="139"/>
    <m/>
    <m/>
    <m/>
    <n v="26"/>
    <n v="201208"/>
    <n v="910000"/>
  </r>
  <r>
    <x v="428"/>
    <x v="1"/>
    <m/>
    <x v="32"/>
    <x v="2"/>
    <x v="140"/>
    <m/>
    <m/>
    <m/>
    <n v="13"/>
    <n v="201208"/>
    <n v="482300"/>
  </r>
  <r>
    <x v="428"/>
    <x v="1"/>
    <m/>
    <x v="18"/>
    <x v="2"/>
    <x v="125"/>
    <m/>
    <m/>
    <m/>
    <n v="37"/>
    <n v="201208"/>
    <n v="111000"/>
  </r>
  <r>
    <x v="428"/>
    <x v="1"/>
    <m/>
    <x v="0"/>
    <x v="2"/>
    <x v="138"/>
    <m/>
    <m/>
    <m/>
    <n v="1"/>
    <n v="201208"/>
    <n v="20000"/>
  </r>
  <r>
    <x v="428"/>
    <x v="1"/>
    <m/>
    <x v="0"/>
    <x v="2"/>
    <x v="141"/>
    <m/>
    <m/>
    <m/>
    <n v="3"/>
    <n v="201208"/>
    <n v="99000"/>
  </r>
  <r>
    <x v="428"/>
    <x v="1"/>
    <m/>
    <x v="4"/>
    <x v="2"/>
    <x v="142"/>
    <m/>
    <m/>
    <m/>
    <n v="4"/>
    <n v="201208"/>
    <n v="16000"/>
  </r>
  <r>
    <x v="428"/>
    <x v="1"/>
    <m/>
    <x v="4"/>
    <x v="2"/>
    <x v="143"/>
    <m/>
    <m/>
    <m/>
    <n v="12"/>
    <n v="201208"/>
    <n v="240000"/>
  </r>
  <r>
    <x v="428"/>
    <x v="1"/>
    <m/>
    <x v="4"/>
    <x v="2"/>
    <x v="144"/>
    <m/>
    <m/>
    <m/>
    <n v="9"/>
    <n v="201208"/>
    <n v="36000"/>
  </r>
  <r>
    <x v="428"/>
    <x v="1"/>
    <m/>
    <x v="31"/>
    <x v="2"/>
    <x v="145"/>
    <m/>
    <m/>
    <m/>
    <n v="56"/>
    <n v="201208"/>
    <n v="1254400"/>
  </r>
  <r>
    <x v="428"/>
    <x v="1"/>
    <m/>
    <x v="31"/>
    <x v="2"/>
    <x v="146"/>
    <m/>
    <m/>
    <m/>
    <n v="77"/>
    <n v="201208"/>
    <n v="3018400"/>
  </r>
  <r>
    <x v="428"/>
    <x v="1"/>
    <m/>
    <x v="32"/>
    <x v="2"/>
    <x v="147"/>
    <m/>
    <m/>
    <m/>
    <n v="37"/>
    <n v="201208"/>
    <n v="1372700"/>
  </r>
  <r>
    <x v="428"/>
    <x v="1"/>
    <m/>
    <x v="31"/>
    <x v="2"/>
    <x v="145"/>
    <m/>
    <m/>
    <m/>
    <n v="1"/>
    <n v="201208"/>
    <n v="22400"/>
  </r>
  <r>
    <x v="428"/>
    <x v="1"/>
    <m/>
    <x v="31"/>
    <x v="2"/>
    <x v="146"/>
    <m/>
    <m/>
    <m/>
    <n v="1"/>
    <n v="201208"/>
    <n v="39200"/>
  </r>
  <r>
    <x v="428"/>
    <x v="1"/>
    <m/>
    <x v="0"/>
    <x v="2"/>
    <x v="148"/>
    <m/>
    <m/>
    <m/>
    <n v="4"/>
    <n v="201208"/>
    <n v="80000"/>
  </r>
  <r>
    <x v="428"/>
    <x v="1"/>
    <m/>
    <x v="0"/>
    <x v="2"/>
    <x v="149"/>
    <m/>
    <m/>
    <m/>
    <n v="1"/>
    <n v="201208"/>
    <n v="20000"/>
  </r>
  <r>
    <x v="428"/>
    <x v="1"/>
    <m/>
    <x v="22"/>
    <x v="2"/>
    <x v="150"/>
    <m/>
    <m/>
    <m/>
    <n v="7"/>
    <n v="201208"/>
    <n v="266000"/>
  </r>
  <r>
    <x v="428"/>
    <x v="1"/>
    <m/>
    <x v="22"/>
    <x v="2"/>
    <x v="150"/>
    <m/>
    <m/>
    <m/>
    <n v="2"/>
    <n v="201208"/>
    <n v="76000"/>
  </r>
  <r>
    <x v="428"/>
    <x v="1"/>
    <m/>
    <x v="5"/>
    <x v="2"/>
    <x v="151"/>
    <m/>
    <m/>
    <m/>
    <n v="33"/>
    <n v="201208"/>
    <n v="924000"/>
  </r>
  <r>
    <x v="428"/>
    <x v="1"/>
    <m/>
    <x v="5"/>
    <x v="2"/>
    <x v="152"/>
    <m/>
    <m/>
    <m/>
    <n v="11"/>
    <n v="201208"/>
    <n v="528000"/>
  </r>
  <r>
    <x v="428"/>
    <x v="1"/>
    <m/>
    <x v="5"/>
    <x v="2"/>
    <x v="153"/>
    <m/>
    <m/>
    <m/>
    <n v="2"/>
    <n v="201208"/>
    <n v="56000"/>
  </r>
  <r>
    <x v="428"/>
    <x v="1"/>
    <m/>
    <x v="5"/>
    <x v="2"/>
    <x v="154"/>
    <m/>
    <m/>
    <m/>
    <n v="1"/>
    <n v="201208"/>
    <n v="28000"/>
  </r>
  <r>
    <x v="428"/>
    <x v="1"/>
    <m/>
    <x v="33"/>
    <x v="2"/>
    <x v="155"/>
    <m/>
    <m/>
    <m/>
    <n v="1"/>
    <n v="201208"/>
    <n v="18200"/>
  </r>
  <r>
    <x v="428"/>
    <x v="1"/>
    <m/>
    <x v="33"/>
    <x v="2"/>
    <x v="156"/>
    <m/>
    <m/>
    <m/>
    <n v="3"/>
    <n v="201208"/>
    <n v="101400"/>
  </r>
  <r>
    <x v="428"/>
    <x v="1"/>
    <m/>
    <x v="19"/>
    <x v="2"/>
    <x v="157"/>
    <m/>
    <m/>
    <m/>
    <n v="22"/>
    <n v="201208"/>
    <n v="286000"/>
  </r>
  <r>
    <x v="428"/>
    <x v="1"/>
    <m/>
    <x v="19"/>
    <x v="2"/>
    <x v="158"/>
    <m/>
    <m/>
    <m/>
    <n v="7"/>
    <n v="201208"/>
    <n v="168000"/>
  </r>
  <r>
    <x v="428"/>
    <x v="1"/>
    <m/>
    <x v="19"/>
    <x v="2"/>
    <x v="159"/>
    <m/>
    <m/>
    <m/>
    <n v="2"/>
    <n v="201208"/>
    <n v="66000"/>
  </r>
  <r>
    <x v="428"/>
    <x v="1"/>
    <m/>
    <x v="35"/>
    <x v="2"/>
    <x v="160"/>
    <m/>
    <m/>
    <m/>
    <n v="1"/>
    <n v="201208"/>
    <n v="20000"/>
  </r>
  <r>
    <x v="428"/>
    <x v="1"/>
    <m/>
    <x v="18"/>
    <x v="2"/>
    <x v="161"/>
    <m/>
    <m/>
    <m/>
    <n v="23"/>
    <n v="201208"/>
    <n v="69000"/>
  </r>
  <r>
    <x v="428"/>
    <x v="1"/>
    <m/>
    <x v="18"/>
    <x v="2"/>
    <x v="161"/>
    <m/>
    <m/>
    <m/>
    <n v="1"/>
    <n v="201208"/>
    <n v="3000"/>
  </r>
  <r>
    <x v="428"/>
    <x v="1"/>
    <m/>
    <x v="0"/>
    <x v="9"/>
    <x v="162"/>
    <m/>
    <m/>
    <m/>
    <n v="7"/>
    <n v="201208"/>
    <n v="140000"/>
  </r>
  <r>
    <x v="429"/>
    <x v="0"/>
    <m/>
    <x v="0"/>
    <x v="1"/>
    <x v="123"/>
    <m/>
    <m/>
    <m/>
    <n v="6"/>
    <n v="201208"/>
    <n v="210000"/>
  </r>
  <r>
    <x v="429"/>
    <x v="0"/>
    <m/>
    <x v="0"/>
    <x v="1"/>
    <x v="124"/>
    <m/>
    <m/>
    <m/>
    <n v="2"/>
    <n v="201208"/>
    <n v="40000"/>
  </r>
  <r>
    <x v="429"/>
    <x v="0"/>
    <m/>
    <x v="0"/>
    <x v="7"/>
    <x v="163"/>
    <m/>
    <m/>
    <m/>
    <n v="1"/>
    <n v="201208"/>
    <n v="20000"/>
  </r>
  <r>
    <x v="429"/>
    <x v="0"/>
    <m/>
    <x v="0"/>
    <x v="3"/>
    <x v="164"/>
    <m/>
    <m/>
    <m/>
    <n v="1"/>
    <n v="201208"/>
    <n v="0"/>
  </r>
  <r>
    <x v="429"/>
    <x v="0"/>
    <m/>
    <x v="6"/>
    <x v="2"/>
    <x v="126"/>
    <m/>
    <m/>
    <m/>
    <n v="2"/>
    <n v="201208"/>
    <n v="40000"/>
  </r>
  <r>
    <x v="429"/>
    <x v="0"/>
    <m/>
    <x v="34"/>
    <x v="2"/>
    <x v="128"/>
    <m/>
    <m/>
    <m/>
    <n v="26"/>
    <n v="201208"/>
    <n v="964600"/>
  </r>
  <r>
    <x v="429"/>
    <x v="0"/>
    <m/>
    <x v="25"/>
    <x v="2"/>
    <x v="129"/>
    <m/>
    <m/>
    <m/>
    <n v="6"/>
    <n v="201208"/>
    <n v="594000"/>
  </r>
  <r>
    <x v="429"/>
    <x v="0"/>
    <m/>
    <x v="0"/>
    <x v="2"/>
    <x v="130"/>
    <m/>
    <m/>
    <m/>
    <n v="29"/>
    <n v="201208"/>
    <n v="957000"/>
  </r>
  <r>
    <x v="429"/>
    <x v="0"/>
    <m/>
    <x v="0"/>
    <x v="2"/>
    <x v="131"/>
    <m/>
    <m/>
    <m/>
    <n v="2"/>
    <n v="201208"/>
    <n v="66000"/>
  </r>
  <r>
    <x v="429"/>
    <x v="0"/>
    <m/>
    <x v="30"/>
    <x v="2"/>
    <x v="132"/>
    <m/>
    <m/>
    <m/>
    <n v="6"/>
    <n v="201208"/>
    <n v="134400"/>
  </r>
  <r>
    <x v="429"/>
    <x v="0"/>
    <m/>
    <x v="34"/>
    <x v="2"/>
    <x v="134"/>
    <m/>
    <m/>
    <m/>
    <n v="2"/>
    <n v="201208"/>
    <n v="74200"/>
  </r>
  <r>
    <x v="429"/>
    <x v="0"/>
    <m/>
    <x v="1"/>
    <x v="2"/>
    <x v="135"/>
    <m/>
    <m/>
    <m/>
    <n v="3"/>
    <n v="201208"/>
    <n v="60000"/>
  </r>
  <r>
    <x v="429"/>
    <x v="0"/>
    <m/>
    <x v="1"/>
    <x v="2"/>
    <x v="165"/>
    <m/>
    <m/>
    <m/>
    <n v="2"/>
    <n v="201208"/>
    <n v="70000"/>
  </r>
  <r>
    <x v="429"/>
    <x v="0"/>
    <m/>
    <x v="36"/>
    <x v="2"/>
    <x v="136"/>
    <m/>
    <m/>
    <m/>
    <n v="5"/>
    <n v="201208"/>
    <n v="140000"/>
  </r>
  <r>
    <x v="429"/>
    <x v="0"/>
    <m/>
    <x v="36"/>
    <x v="2"/>
    <x v="137"/>
    <m/>
    <m/>
    <m/>
    <n v="1"/>
    <n v="201208"/>
    <n v="42000"/>
  </r>
  <r>
    <x v="429"/>
    <x v="0"/>
    <m/>
    <x v="0"/>
    <x v="2"/>
    <x v="138"/>
    <m/>
    <m/>
    <m/>
    <n v="51"/>
    <n v="201208"/>
    <n v="1020000"/>
  </r>
  <r>
    <x v="429"/>
    <x v="0"/>
    <m/>
    <x v="0"/>
    <x v="2"/>
    <x v="139"/>
    <m/>
    <m/>
    <m/>
    <n v="24"/>
    <n v="201208"/>
    <n v="840000"/>
  </r>
  <r>
    <x v="429"/>
    <x v="0"/>
    <m/>
    <x v="32"/>
    <x v="2"/>
    <x v="140"/>
    <m/>
    <m/>
    <m/>
    <n v="7"/>
    <n v="201208"/>
    <n v="259700"/>
  </r>
  <r>
    <x v="429"/>
    <x v="0"/>
    <m/>
    <x v="18"/>
    <x v="2"/>
    <x v="125"/>
    <m/>
    <m/>
    <m/>
    <n v="27"/>
    <n v="201208"/>
    <n v="81000"/>
  </r>
  <r>
    <x v="429"/>
    <x v="0"/>
    <m/>
    <x v="0"/>
    <x v="2"/>
    <x v="141"/>
    <m/>
    <m/>
    <m/>
    <n v="1"/>
    <n v="201208"/>
    <n v="33000"/>
  </r>
  <r>
    <x v="429"/>
    <x v="0"/>
    <m/>
    <x v="4"/>
    <x v="2"/>
    <x v="142"/>
    <m/>
    <m/>
    <m/>
    <n v="2"/>
    <n v="201208"/>
    <n v="8000"/>
  </r>
  <r>
    <x v="429"/>
    <x v="0"/>
    <m/>
    <x v="4"/>
    <x v="2"/>
    <x v="143"/>
    <m/>
    <m/>
    <m/>
    <n v="10"/>
    <n v="201208"/>
    <n v="200000"/>
  </r>
  <r>
    <x v="429"/>
    <x v="0"/>
    <m/>
    <x v="4"/>
    <x v="2"/>
    <x v="144"/>
    <m/>
    <m/>
    <m/>
    <n v="4"/>
    <n v="201208"/>
    <n v="16000"/>
  </r>
  <r>
    <x v="429"/>
    <x v="0"/>
    <m/>
    <x v="31"/>
    <x v="2"/>
    <x v="145"/>
    <m/>
    <m/>
    <m/>
    <n v="44"/>
    <n v="201208"/>
    <n v="985600"/>
  </r>
  <r>
    <x v="429"/>
    <x v="0"/>
    <m/>
    <x v="31"/>
    <x v="2"/>
    <x v="146"/>
    <m/>
    <m/>
    <m/>
    <n v="77"/>
    <n v="201208"/>
    <n v="3018400"/>
  </r>
  <r>
    <x v="429"/>
    <x v="0"/>
    <m/>
    <x v="32"/>
    <x v="2"/>
    <x v="147"/>
    <m/>
    <m/>
    <m/>
    <n v="36"/>
    <n v="201208"/>
    <n v="1335600"/>
  </r>
  <r>
    <x v="429"/>
    <x v="0"/>
    <m/>
    <x v="31"/>
    <x v="2"/>
    <x v="146"/>
    <m/>
    <m/>
    <m/>
    <n v="2"/>
    <n v="201208"/>
    <n v="78400"/>
  </r>
  <r>
    <x v="429"/>
    <x v="0"/>
    <m/>
    <x v="0"/>
    <x v="2"/>
    <x v="149"/>
    <m/>
    <m/>
    <m/>
    <n v="2"/>
    <n v="201208"/>
    <n v="40000"/>
  </r>
  <r>
    <x v="429"/>
    <x v="0"/>
    <m/>
    <x v="18"/>
    <x v="2"/>
    <x v="166"/>
    <m/>
    <m/>
    <m/>
    <n v="1"/>
    <n v="201208"/>
    <n v="3000"/>
  </r>
  <r>
    <x v="429"/>
    <x v="0"/>
    <m/>
    <x v="22"/>
    <x v="2"/>
    <x v="150"/>
    <m/>
    <m/>
    <m/>
    <n v="5"/>
    <n v="201208"/>
    <n v="190000"/>
  </r>
  <r>
    <x v="429"/>
    <x v="0"/>
    <m/>
    <x v="22"/>
    <x v="2"/>
    <x v="150"/>
    <m/>
    <m/>
    <m/>
    <n v="1"/>
    <n v="201208"/>
    <n v="38000"/>
  </r>
  <r>
    <x v="429"/>
    <x v="0"/>
    <m/>
    <x v="5"/>
    <x v="2"/>
    <x v="151"/>
    <m/>
    <m/>
    <m/>
    <n v="18"/>
    <n v="201208"/>
    <n v="504000"/>
  </r>
  <r>
    <x v="429"/>
    <x v="0"/>
    <m/>
    <x v="5"/>
    <x v="2"/>
    <x v="152"/>
    <m/>
    <m/>
    <m/>
    <n v="8"/>
    <n v="201208"/>
    <n v="384000"/>
  </r>
  <r>
    <x v="429"/>
    <x v="0"/>
    <m/>
    <x v="5"/>
    <x v="2"/>
    <x v="153"/>
    <m/>
    <m/>
    <m/>
    <n v="3"/>
    <n v="201208"/>
    <n v="84000"/>
  </r>
  <r>
    <x v="429"/>
    <x v="0"/>
    <m/>
    <x v="33"/>
    <x v="2"/>
    <x v="155"/>
    <m/>
    <m/>
    <m/>
    <n v="2"/>
    <n v="201208"/>
    <n v="36400"/>
  </r>
  <r>
    <x v="429"/>
    <x v="0"/>
    <m/>
    <x v="33"/>
    <x v="2"/>
    <x v="156"/>
    <m/>
    <m/>
    <m/>
    <n v="2"/>
    <n v="201208"/>
    <n v="67600"/>
  </r>
  <r>
    <x v="429"/>
    <x v="0"/>
    <m/>
    <x v="19"/>
    <x v="2"/>
    <x v="157"/>
    <m/>
    <m/>
    <m/>
    <n v="11"/>
    <n v="201208"/>
    <n v="143000"/>
  </r>
  <r>
    <x v="429"/>
    <x v="0"/>
    <m/>
    <x v="19"/>
    <x v="2"/>
    <x v="158"/>
    <m/>
    <m/>
    <m/>
    <n v="1"/>
    <n v="201208"/>
    <n v="24000"/>
  </r>
  <r>
    <x v="429"/>
    <x v="0"/>
    <m/>
    <x v="19"/>
    <x v="2"/>
    <x v="159"/>
    <m/>
    <m/>
    <m/>
    <n v="1"/>
    <n v="201208"/>
    <n v="33000"/>
  </r>
  <r>
    <x v="429"/>
    <x v="0"/>
    <m/>
    <x v="35"/>
    <x v="2"/>
    <x v="160"/>
    <m/>
    <m/>
    <m/>
    <n v="5"/>
    <n v="201208"/>
    <n v="100000"/>
  </r>
  <r>
    <x v="429"/>
    <x v="0"/>
    <m/>
    <x v="18"/>
    <x v="2"/>
    <x v="161"/>
    <m/>
    <m/>
    <m/>
    <n v="16"/>
    <n v="201208"/>
    <n v="48000"/>
  </r>
  <r>
    <x v="429"/>
    <x v="0"/>
    <m/>
    <x v="18"/>
    <x v="2"/>
    <x v="161"/>
    <m/>
    <m/>
    <m/>
    <n v="5"/>
    <n v="201208"/>
    <n v="15000"/>
  </r>
  <r>
    <x v="429"/>
    <x v="0"/>
    <m/>
    <x v="31"/>
    <x v="9"/>
    <x v="167"/>
    <m/>
    <m/>
    <m/>
    <n v="1"/>
    <n v="201208"/>
    <n v="22400"/>
  </r>
  <r>
    <x v="429"/>
    <x v="0"/>
    <m/>
    <x v="0"/>
    <x v="9"/>
    <x v="162"/>
    <m/>
    <m/>
    <m/>
    <n v="7"/>
    <n v="201208"/>
    <n v="140000"/>
  </r>
  <r>
    <x v="430"/>
    <x v="2"/>
    <m/>
    <x v="0"/>
    <x v="1"/>
    <x v="123"/>
    <m/>
    <m/>
    <m/>
    <n v="3"/>
    <n v="201208"/>
    <n v="105000"/>
  </r>
  <r>
    <x v="430"/>
    <x v="2"/>
    <m/>
    <x v="0"/>
    <x v="7"/>
    <x v="163"/>
    <m/>
    <m/>
    <m/>
    <n v="1"/>
    <n v="201208"/>
    <n v="20000"/>
  </r>
  <r>
    <x v="430"/>
    <x v="2"/>
    <m/>
    <x v="0"/>
    <x v="3"/>
    <x v="164"/>
    <m/>
    <m/>
    <m/>
    <n v="3"/>
    <n v="201208"/>
    <n v="0"/>
  </r>
  <r>
    <x v="430"/>
    <x v="2"/>
    <m/>
    <x v="6"/>
    <x v="2"/>
    <x v="126"/>
    <m/>
    <m/>
    <m/>
    <n v="4"/>
    <n v="201208"/>
    <n v="80000"/>
  </r>
  <r>
    <x v="430"/>
    <x v="2"/>
    <m/>
    <x v="6"/>
    <x v="2"/>
    <x v="127"/>
    <m/>
    <m/>
    <m/>
    <n v="1"/>
    <n v="201208"/>
    <n v="35000"/>
  </r>
  <r>
    <x v="430"/>
    <x v="2"/>
    <m/>
    <x v="34"/>
    <x v="2"/>
    <x v="128"/>
    <m/>
    <m/>
    <m/>
    <n v="19"/>
    <n v="201208"/>
    <n v="704900"/>
  </r>
  <r>
    <x v="430"/>
    <x v="2"/>
    <m/>
    <x v="25"/>
    <x v="2"/>
    <x v="129"/>
    <m/>
    <m/>
    <m/>
    <n v="2"/>
    <n v="201208"/>
    <n v="198000"/>
  </r>
  <r>
    <x v="430"/>
    <x v="2"/>
    <m/>
    <x v="0"/>
    <x v="2"/>
    <x v="130"/>
    <m/>
    <m/>
    <m/>
    <n v="22"/>
    <n v="201208"/>
    <n v="726000"/>
  </r>
  <r>
    <x v="430"/>
    <x v="2"/>
    <m/>
    <x v="0"/>
    <x v="2"/>
    <x v="131"/>
    <m/>
    <m/>
    <m/>
    <n v="2"/>
    <n v="201208"/>
    <n v="66000"/>
  </r>
  <r>
    <x v="430"/>
    <x v="2"/>
    <m/>
    <x v="0"/>
    <x v="2"/>
    <x v="168"/>
    <m/>
    <m/>
    <m/>
    <n v="1"/>
    <n v="201208"/>
    <n v="20000"/>
  </r>
  <r>
    <x v="430"/>
    <x v="2"/>
    <m/>
    <x v="30"/>
    <x v="2"/>
    <x v="132"/>
    <m/>
    <m/>
    <m/>
    <n v="5"/>
    <n v="201208"/>
    <n v="112000"/>
  </r>
  <r>
    <x v="430"/>
    <x v="2"/>
    <m/>
    <x v="30"/>
    <x v="2"/>
    <x v="133"/>
    <m/>
    <m/>
    <m/>
    <n v="1"/>
    <n v="201208"/>
    <n v="39200"/>
  </r>
  <r>
    <x v="430"/>
    <x v="2"/>
    <m/>
    <x v="36"/>
    <x v="2"/>
    <x v="136"/>
    <m/>
    <m/>
    <m/>
    <n v="4"/>
    <n v="201208"/>
    <n v="112000"/>
  </r>
  <r>
    <x v="430"/>
    <x v="2"/>
    <m/>
    <x v="0"/>
    <x v="2"/>
    <x v="138"/>
    <m/>
    <m/>
    <m/>
    <n v="35"/>
    <n v="201208"/>
    <n v="700000"/>
  </r>
  <r>
    <x v="430"/>
    <x v="2"/>
    <m/>
    <x v="0"/>
    <x v="2"/>
    <x v="139"/>
    <m/>
    <m/>
    <m/>
    <n v="20"/>
    <n v="201208"/>
    <n v="700000"/>
  </r>
  <r>
    <x v="430"/>
    <x v="2"/>
    <m/>
    <x v="32"/>
    <x v="2"/>
    <x v="140"/>
    <m/>
    <m/>
    <m/>
    <n v="11"/>
    <n v="201208"/>
    <n v="408100"/>
  </r>
  <r>
    <x v="430"/>
    <x v="2"/>
    <m/>
    <x v="18"/>
    <x v="2"/>
    <x v="125"/>
    <m/>
    <m/>
    <m/>
    <n v="14"/>
    <n v="201208"/>
    <n v="42000"/>
  </r>
  <r>
    <x v="430"/>
    <x v="2"/>
    <m/>
    <x v="0"/>
    <x v="2"/>
    <x v="139"/>
    <m/>
    <m/>
    <m/>
    <n v="1"/>
    <n v="201208"/>
    <n v="35000"/>
  </r>
  <r>
    <x v="430"/>
    <x v="2"/>
    <m/>
    <x v="0"/>
    <x v="2"/>
    <x v="141"/>
    <m/>
    <m/>
    <m/>
    <n v="2"/>
    <n v="201208"/>
    <n v="66000"/>
  </r>
  <r>
    <x v="430"/>
    <x v="2"/>
    <m/>
    <x v="4"/>
    <x v="2"/>
    <x v="142"/>
    <m/>
    <m/>
    <m/>
    <n v="3"/>
    <n v="201208"/>
    <n v="12000"/>
  </r>
  <r>
    <x v="430"/>
    <x v="2"/>
    <m/>
    <x v="4"/>
    <x v="2"/>
    <x v="143"/>
    <m/>
    <m/>
    <m/>
    <n v="3"/>
    <n v="201208"/>
    <n v="60000"/>
  </r>
  <r>
    <x v="430"/>
    <x v="2"/>
    <m/>
    <x v="4"/>
    <x v="2"/>
    <x v="144"/>
    <m/>
    <m/>
    <m/>
    <n v="3"/>
    <n v="201208"/>
    <n v="12000"/>
  </r>
  <r>
    <x v="430"/>
    <x v="2"/>
    <m/>
    <x v="31"/>
    <x v="2"/>
    <x v="145"/>
    <m/>
    <m/>
    <m/>
    <n v="44"/>
    <n v="201208"/>
    <n v="985600"/>
  </r>
  <r>
    <x v="430"/>
    <x v="2"/>
    <m/>
    <x v="31"/>
    <x v="2"/>
    <x v="146"/>
    <m/>
    <m/>
    <m/>
    <n v="60"/>
    <n v="201208"/>
    <n v="2352000"/>
  </r>
  <r>
    <x v="430"/>
    <x v="2"/>
    <m/>
    <x v="32"/>
    <x v="2"/>
    <x v="147"/>
    <m/>
    <m/>
    <m/>
    <n v="21"/>
    <n v="201208"/>
    <n v="779100"/>
  </r>
  <r>
    <x v="430"/>
    <x v="2"/>
    <m/>
    <x v="31"/>
    <x v="2"/>
    <x v="146"/>
    <m/>
    <m/>
    <m/>
    <n v="1"/>
    <n v="201208"/>
    <n v="39200"/>
  </r>
  <r>
    <x v="430"/>
    <x v="2"/>
    <m/>
    <x v="32"/>
    <x v="2"/>
    <x v="147"/>
    <m/>
    <m/>
    <m/>
    <n v="1"/>
    <n v="201208"/>
    <n v="37100"/>
  </r>
  <r>
    <x v="430"/>
    <x v="2"/>
    <m/>
    <x v="22"/>
    <x v="2"/>
    <x v="150"/>
    <m/>
    <m/>
    <m/>
    <n v="3"/>
    <n v="201208"/>
    <n v="114000"/>
  </r>
  <r>
    <x v="430"/>
    <x v="2"/>
    <m/>
    <x v="22"/>
    <x v="2"/>
    <x v="150"/>
    <m/>
    <m/>
    <m/>
    <n v="2"/>
    <n v="201208"/>
    <n v="76000"/>
  </r>
  <r>
    <x v="430"/>
    <x v="2"/>
    <m/>
    <x v="5"/>
    <x v="2"/>
    <x v="151"/>
    <m/>
    <m/>
    <m/>
    <n v="17"/>
    <n v="201208"/>
    <n v="476000"/>
  </r>
  <r>
    <x v="430"/>
    <x v="2"/>
    <m/>
    <x v="5"/>
    <x v="2"/>
    <x v="152"/>
    <m/>
    <m/>
    <m/>
    <n v="10"/>
    <n v="201208"/>
    <n v="480000"/>
  </r>
  <r>
    <x v="430"/>
    <x v="2"/>
    <m/>
    <x v="5"/>
    <x v="2"/>
    <x v="153"/>
    <m/>
    <m/>
    <m/>
    <n v="1"/>
    <n v="201208"/>
    <n v="28000"/>
  </r>
  <r>
    <x v="430"/>
    <x v="2"/>
    <m/>
    <x v="33"/>
    <x v="2"/>
    <x v="155"/>
    <m/>
    <m/>
    <m/>
    <n v="3"/>
    <n v="201208"/>
    <n v="54600"/>
  </r>
  <r>
    <x v="430"/>
    <x v="2"/>
    <m/>
    <x v="19"/>
    <x v="2"/>
    <x v="157"/>
    <m/>
    <m/>
    <m/>
    <n v="9"/>
    <n v="201208"/>
    <n v="117000"/>
  </r>
  <r>
    <x v="430"/>
    <x v="2"/>
    <m/>
    <x v="19"/>
    <x v="2"/>
    <x v="158"/>
    <m/>
    <m/>
    <m/>
    <n v="3"/>
    <n v="201208"/>
    <n v="72000"/>
  </r>
  <r>
    <x v="430"/>
    <x v="2"/>
    <m/>
    <x v="19"/>
    <x v="2"/>
    <x v="159"/>
    <m/>
    <m/>
    <m/>
    <n v="3"/>
    <n v="201208"/>
    <n v="99000"/>
  </r>
  <r>
    <x v="430"/>
    <x v="2"/>
    <m/>
    <x v="35"/>
    <x v="2"/>
    <x v="160"/>
    <m/>
    <m/>
    <m/>
    <n v="2"/>
    <n v="201208"/>
    <n v="40000"/>
  </r>
  <r>
    <x v="430"/>
    <x v="2"/>
    <m/>
    <x v="18"/>
    <x v="2"/>
    <x v="161"/>
    <m/>
    <m/>
    <m/>
    <n v="27"/>
    <n v="201208"/>
    <n v="81000"/>
  </r>
  <r>
    <x v="430"/>
    <x v="2"/>
    <m/>
    <x v="18"/>
    <x v="2"/>
    <x v="161"/>
    <m/>
    <m/>
    <m/>
    <n v="1"/>
    <n v="201208"/>
    <n v="3000"/>
  </r>
  <r>
    <x v="430"/>
    <x v="2"/>
    <m/>
    <x v="0"/>
    <x v="9"/>
    <x v="162"/>
    <m/>
    <m/>
    <m/>
    <n v="1"/>
    <n v="201208"/>
    <n v="20000"/>
  </r>
  <r>
    <x v="431"/>
    <x v="5"/>
    <m/>
    <x v="0"/>
    <x v="7"/>
    <x v="163"/>
    <m/>
    <m/>
    <m/>
    <n v="2"/>
    <n v="201208"/>
    <n v="40000"/>
  </r>
  <r>
    <x v="431"/>
    <x v="5"/>
    <m/>
    <x v="6"/>
    <x v="2"/>
    <x v="126"/>
    <m/>
    <m/>
    <m/>
    <n v="2"/>
    <n v="201208"/>
    <n v="40000"/>
  </r>
  <r>
    <x v="431"/>
    <x v="5"/>
    <m/>
    <x v="6"/>
    <x v="2"/>
    <x v="127"/>
    <m/>
    <m/>
    <m/>
    <n v="1"/>
    <n v="201208"/>
    <n v="35000"/>
  </r>
  <r>
    <x v="431"/>
    <x v="5"/>
    <m/>
    <x v="34"/>
    <x v="2"/>
    <x v="128"/>
    <m/>
    <m/>
    <m/>
    <n v="16"/>
    <n v="201208"/>
    <n v="593600"/>
  </r>
  <r>
    <x v="431"/>
    <x v="5"/>
    <m/>
    <x v="25"/>
    <x v="2"/>
    <x v="129"/>
    <m/>
    <m/>
    <m/>
    <n v="2"/>
    <n v="201208"/>
    <n v="198000"/>
  </r>
  <r>
    <x v="431"/>
    <x v="5"/>
    <m/>
    <x v="0"/>
    <x v="2"/>
    <x v="130"/>
    <m/>
    <m/>
    <m/>
    <n v="13"/>
    <n v="201208"/>
    <n v="429000"/>
  </r>
  <r>
    <x v="431"/>
    <x v="5"/>
    <m/>
    <x v="0"/>
    <x v="2"/>
    <x v="131"/>
    <m/>
    <m/>
    <m/>
    <n v="2"/>
    <n v="201208"/>
    <n v="66000"/>
  </r>
  <r>
    <x v="431"/>
    <x v="5"/>
    <m/>
    <x v="30"/>
    <x v="2"/>
    <x v="132"/>
    <m/>
    <m/>
    <m/>
    <n v="6"/>
    <n v="201208"/>
    <n v="134400"/>
  </r>
  <r>
    <x v="431"/>
    <x v="5"/>
    <m/>
    <x v="30"/>
    <x v="2"/>
    <x v="133"/>
    <m/>
    <m/>
    <m/>
    <n v="1"/>
    <n v="201208"/>
    <n v="39200"/>
  </r>
  <r>
    <x v="431"/>
    <x v="5"/>
    <m/>
    <x v="1"/>
    <x v="2"/>
    <x v="135"/>
    <m/>
    <m/>
    <m/>
    <n v="3"/>
    <n v="201208"/>
    <n v="60000"/>
  </r>
  <r>
    <x v="431"/>
    <x v="5"/>
    <m/>
    <x v="1"/>
    <x v="2"/>
    <x v="165"/>
    <m/>
    <m/>
    <m/>
    <n v="2"/>
    <n v="201208"/>
    <n v="70000"/>
  </r>
  <r>
    <x v="431"/>
    <x v="5"/>
    <m/>
    <x v="36"/>
    <x v="2"/>
    <x v="136"/>
    <m/>
    <m/>
    <m/>
    <n v="2"/>
    <n v="201208"/>
    <n v="56000"/>
  </r>
  <r>
    <x v="431"/>
    <x v="5"/>
    <m/>
    <x v="36"/>
    <x v="2"/>
    <x v="137"/>
    <m/>
    <m/>
    <m/>
    <n v="3"/>
    <n v="201208"/>
    <n v="126000"/>
  </r>
  <r>
    <x v="431"/>
    <x v="5"/>
    <m/>
    <x v="0"/>
    <x v="2"/>
    <x v="138"/>
    <m/>
    <m/>
    <m/>
    <n v="35"/>
    <n v="201208"/>
    <n v="700000"/>
  </r>
  <r>
    <x v="431"/>
    <x v="5"/>
    <m/>
    <x v="0"/>
    <x v="2"/>
    <x v="139"/>
    <m/>
    <m/>
    <m/>
    <n v="13"/>
    <n v="201208"/>
    <n v="455000"/>
  </r>
  <r>
    <x v="431"/>
    <x v="5"/>
    <m/>
    <x v="32"/>
    <x v="2"/>
    <x v="140"/>
    <m/>
    <m/>
    <m/>
    <n v="7"/>
    <n v="201208"/>
    <n v="259700"/>
  </r>
  <r>
    <x v="431"/>
    <x v="5"/>
    <m/>
    <x v="18"/>
    <x v="2"/>
    <x v="125"/>
    <m/>
    <m/>
    <m/>
    <n v="16"/>
    <n v="201208"/>
    <n v="48000"/>
  </r>
  <r>
    <x v="431"/>
    <x v="5"/>
    <m/>
    <x v="0"/>
    <x v="2"/>
    <x v="138"/>
    <m/>
    <m/>
    <m/>
    <n v="1"/>
    <n v="201208"/>
    <n v="20000"/>
  </r>
  <r>
    <x v="431"/>
    <x v="5"/>
    <m/>
    <x v="32"/>
    <x v="2"/>
    <x v="140"/>
    <m/>
    <m/>
    <m/>
    <n v="1"/>
    <n v="201208"/>
    <n v="37100"/>
  </r>
  <r>
    <x v="431"/>
    <x v="5"/>
    <m/>
    <x v="4"/>
    <x v="2"/>
    <x v="142"/>
    <m/>
    <m/>
    <m/>
    <n v="2"/>
    <n v="201208"/>
    <n v="8000"/>
  </r>
  <r>
    <x v="431"/>
    <x v="5"/>
    <m/>
    <x v="4"/>
    <x v="2"/>
    <x v="143"/>
    <m/>
    <m/>
    <m/>
    <n v="4"/>
    <n v="201208"/>
    <n v="80000"/>
  </r>
  <r>
    <x v="431"/>
    <x v="5"/>
    <m/>
    <x v="31"/>
    <x v="2"/>
    <x v="145"/>
    <m/>
    <m/>
    <m/>
    <n v="39"/>
    <n v="201208"/>
    <n v="873600"/>
  </r>
  <r>
    <x v="431"/>
    <x v="5"/>
    <m/>
    <x v="31"/>
    <x v="2"/>
    <x v="146"/>
    <m/>
    <m/>
    <m/>
    <n v="39"/>
    <n v="201208"/>
    <n v="1528800"/>
  </r>
  <r>
    <x v="431"/>
    <x v="5"/>
    <m/>
    <x v="32"/>
    <x v="2"/>
    <x v="147"/>
    <m/>
    <m/>
    <m/>
    <n v="15"/>
    <n v="201208"/>
    <n v="556500"/>
  </r>
  <r>
    <x v="431"/>
    <x v="5"/>
    <m/>
    <x v="31"/>
    <x v="2"/>
    <x v="146"/>
    <m/>
    <m/>
    <m/>
    <n v="1"/>
    <n v="201208"/>
    <n v="39200"/>
  </r>
  <r>
    <x v="431"/>
    <x v="5"/>
    <m/>
    <x v="0"/>
    <x v="2"/>
    <x v="149"/>
    <m/>
    <m/>
    <m/>
    <n v="1"/>
    <n v="201208"/>
    <n v="20000"/>
  </r>
  <r>
    <x v="431"/>
    <x v="5"/>
    <m/>
    <x v="18"/>
    <x v="2"/>
    <x v="166"/>
    <m/>
    <m/>
    <m/>
    <n v="1"/>
    <n v="201208"/>
    <n v="3000"/>
  </r>
  <r>
    <x v="431"/>
    <x v="5"/>
    <m/>
    <x v="32"/>
    <x v="2"/>
    <x v="169"/>
    <m/>
    <m/>
    <m/>
    <n v="1"/>
    <n v="201208"/>
    <n v="37100"/>
  </r>
  <r>
    <x v="431"/>
    <x v="5"/>
    <m/>
    <x v="22"/>
    <x v="2"/>
    <x v="150"/>
    <m/>
    <m/>
    <m/>
    <n v="4"/>
    <n v="201208"/>
    <n v="152000"/>
  </r>
  <r>
    <x v="431"/>
    <x v="5"/>
    <m/>
    <x v="22"/>
    <x v="2"/>
    <x v="150"/>
    <m/>
    <m/>
    <m/>
    <n v="1"/>
    <n v="201208"/>
    <n v="38000"/>
  </r>
  <r>
    <x v="431"/>
    <x v="5"/>
    <m/>
    <x v="5"/>
    <x v="2"/>
    <x v="151"/>
    <m/>
    <m/>
    <m/>
    <n v="14"/>
    <n v="201208"/>
    <n v="392000"/>
  </r>
  <r>
    <x v="431"/>
    <x v="5"/>
    <m/>
    <x v="5"/>
    <x v="2"/>
    <x v="152"/>
    <m/>
    <m/>
    <m/>
    <n v="4"/>
    <n v="201208"/>
    <n v="192000"/>
  </r>
  <r>
    <x v="431"/>
    <x v="5"/>
    <m/>
    <x v="5"/>
    <x v="2"/>
    <x v="153"/>
    <m/>
    <m/>
    <m/>
    <n v="1"/>
    <n v="201208"/>
    <n v="28000"/>
  </r>
  <r>
    <x v="431"/>
    <x v="5"/>
    <m/>
    <x v="19"/>
    <x v="2"/>
    <x v="157"/>
    <m/>
    <m/>
    <m/>
    <n v="7"/>
    <n v="201208"/>
    <n v="91000"/>
  </r>
  <r>
    <x v="431"/>
    <x v="5"/>
    <m/>
    <x v="19"/>
    <x v="2"/>
    <x v="158"/>
    <m/>
    <m/>
    <m/>
    <n v="4"/>
    <n v="201208"/>
    <n v="96000"/>
  </r>
  <r>
    <x v="431"/>
    <x v="5"/>
    <m/>
    <x v="35"/>
    <x v="2"/>
    <x v="170"/>
    <m/>
    <m/>
    <m/>
    <n v="1"/>
    <n v="201208"/>
    <n v="4000"/>
  </r>
  <r>
    <x v="431"/>
    <x v="5"/>
    <m/>
    <x v="35"/>
    <x v="2"/>
    <x v="160"/>
    <m/>
    <m/>
    <m/>
    <n v="1"/>
    <n v="201208"/>
    <n v="20000"/>
  </r>
  <r>
    <x v="431"/>
    <x v="5"/>
    <m/>
    <x v="18"/>
    <x v="2"/>
    <x v="161"/>
    <m/>
    <m/>
    <m/>
    <n v="20"/>
    <n v="201208"/>
    <n v="60000"/>
  </r>
  <r>
    <x v="431"/>
    <x v="5"/>
    <m/>
    <x v="0"/>
    <x v="9"/>
    <x v="162"/>
    <m/>
    <m/>
    <m/>
    <n v="4"/>
    <n v="201208"/>
    <n v="80000"/>
  </r>
  <r>
    <x v="432"/>
    <x v="6"/>
    <m/>
    <x v="0"/>
    <x v="7"/>
    <x v="163"/>
    <m/>
    <m/>
    <m/>
    <n v="5"/>
    <n v="201208"/>
    <n v="100000"/>
  </r>
  <r>
    <x v="432"/>
    <x v="6"/>
    <m/>
    <x v="6"/>
    <x v="2"/>
    <x v="126"/>
    <m/>
    <m/>
    <m/>
    <n v="4"/>
    <n v="201208"/>
    <n v="80000"/>
  </r>
  <r>
    <x v="432"/>
    <x v="6"/>
    <m/>
    <x v="6"/>
    <x v="2"/>
    <x v="127"/>
    <m/>
    <m/>
    <m/>
    <n v="1"/>
    <n v="201208"/>
    <n v="35000"/>
  </r>
  <r>
    <x v="432"/>
    <x v="6"/>
    <m/>
    <x v="34"/>
    <x v="2"/>
    <x v="128"/>
    <m/>
    <m/>
    <m/>
    <n v="25"/>
    <n v="201208"/>
    <n v="927500"/>
  </r>
  <r>
    <x v="432"/>
    <x v="6"/>
    <m/>
    <x v="25"/>
    <x v="2"/>
    <x v="129"/>
    <m/>
    <m/>
    <m/>
    <n v="5"/>
    <n v="201208"/>
    <n v="495000"/>
  </r>
  <r>
    <x v="432"/>
    <x v="6"/>
    <m/>
    <x v="0"/>
    <x v="2"/>
    <x v="130"/>
    <m/>
    <m/>
    <m/>
    <n v="36"/>
    <n v="201208"/>
    <n v="1188000"/>
  </r>
  <r>
    <x v="432"/>
    <x v="6"/>
    <m/>
    <x v="0"/>
    <x v="2"/>
    <x v="131"/>
    <m/>
    <m/>
    <m/>
    <n v="1"/>
    <n v="201208"/>
    <n v="33000"/>
  </r>
  <r>
    <x v="432"/>
    <x v="6"/>
    <m/>
    <x v="30"/>
    <x v="2"/>
    <x v="132"/>
    <m/>
    <m/>
    <m/>
    <n v="6"/>
    <n v="201208"/>
    <n v="134400"/>
  </r>
  <r>
    <x v="432"/>
    <x v="6"/>
    <m/>
    <x v="34"/>
    <x v="2"/>
    <x v="134"/>
    <m/>
    <m/>
    <m/>
    <n v="2"/>
    <n v="201208"/>
    <n v="74200"/>
  </r>
  <r>
    <x v="432"/>
    <x v="6"/>
    <m/>
    <x v="1"/>
    <x v="2"/>
    <x v="135"/>
    <m/>
    <m/>
    <m/>
    <n v="5"/>
    <n v="201208"/>
    <n v="100000"/>
  </r>
  <r>
    <x v="432"/>
    <x v="6"/>
    <m/>
    <x v="1"/>
    <x v="2"/>
    <x v="165"/>
    <m/>
    <m/>
    <m/>
    <n v="2"/>
    <n v="201208"/>
    <n v="70000"/>
  </r>
  <r>
    <x v="432"/>
    <x v="6"/>
    <m/>
    <x v="36"/>
    <x v="2"/>
    <x v="136"/>
    <m/>
    <m/>
    <m/>
    <n v="5"/>
    <n v="201208"/>
    <n v="140000"/>
  </r>
  <r>
    <x v="432"/>
    <x v="6"/>
    <m/>
    <x v="36"/>
    <x v="2"/>
    <x v="137"/>
    <m/>
    <m/>
    <m/>
    <n v="1"/>
    <n v="201208"/>
    <n v="42000"/>
  </r>
  <r>
    <x v="432"/>
    <x v="6"/>
    <m/>
    <x v="0"/>
    <x v="2"/>
    <x v="138"/>
    <m/>
    <m/>
    <m/>
    <n v="50"/>
    <n v="201208"/>
    <n v="1000000"/>
  </r>
  <r>
    <x v="432"/>
    <x v="6"/>
    <m/>
    <x v="0"/>
    <x v="2"/>
    <x v="139"/>
    <m/>
    <m/>
    <m/>
    <n v="21"/>
    <n v="201208"/>
    <n v="735000"/>
  </r>
  <r>
    <x v="432"/>
    <x v="6"/>
    <m/>
    <x v="32"/>
    <x v="2"/>
    <x v="140"/>
    <m/>
    <m/>
    <m/>
    <n v="11"/>
    <n v="201208"/>
    <n v="408100"/>
  </r>
  <r>
    <x v="432"/>
    <x v="6"/>
    <m/>
    <x v="18"/>
    <x v="2"/>
    <x v="125"/>
    <m/>
    <m/>
    <m/>
    <n v="26"/>
    <n v="201208"/>
    <n v="78000"/>
  </r>
  <r>
    <x v="432"/>
    <x v="6"/>
    <m/>
    <x v="0"/>
    <x v="2"/>
    <x v="138"/>
    <m/>
    <m/>
    <m/>
    <n v="1"/>
    <n v="201208"/>
    <n v="20000"/>
  </r>
  <r>
    <x v="432"/>
    <x v="6"/>
    <m/>
    <x v="0"/>
    <x v="2"/>
    <x v="141"/>
    <m/>
    <m/>
    <m/>
    <n v="1"/>
    <n v="201208"/>
    <n v="33000"/>
  </r>
  <r>
    <x v="432"/>
    <x v="6"/>
    <m/>
    <x v="4"/>
    <x v="2"/>
    <x v="142"/>
    <m/>
    <m/>
    <m/>
    <n v="2"/>
    <n v="201208"/>
    <n v="8000"/>
  </r>
  <r>
    <x v="432"/>
    <x v="6"/>
    <m/>
    <x v="4"/>
    <x v="2"/>
    <x v="143"/>
    <m/>
    <m/>
    <m/>
    <n v="6"/>
    <n v="201208"/>
    <n v="120000"/>
  </r>
  <r>
    <x v="432"/>
    <x v="6"/>
    <m/>
    <x v="4"/>
    <x v="2"/>
    <x v="144"/>
    <m/>
    <m/>
    <m/>
    <n v="5"/>
    <n v="201208"/>
    <n v="20000"/>
  </r>
  <r>
    <x v="432"/>
    <x v="6"/>
    <m/>
    <x v="31"/>
    <x v="2"/>
    <x v="145"/>
    <m/>
    <m/>
    <m/>
    <n v="51"/>
    <n v="201208"/>
    <n v="1142400"/>
  </r>
  <r>
    <x v="432"/>
    <x v="6"/>
    <m/>
    <x v="31"/>
    <x v="2"/>
    <x v="146"/>
    <m/>
    <m/>
    <m/>
    <n v="44"/>
    <n v="201208"/>
    <n v="1724800"/>
  </r>
  <r>
    <x v="432"/>
    <x v="6"/>
    <m/>
    <x v="32"/>
    <x v="2"/>
    <x v="147"/>
    <m/>
    <m/>
    <m/>
    <n v="25"/>
    <n v="201208"/>
    <n v="927500"/>
  </r>
  <r>
    <x v="432"/>
    <x v="6"/>
    <m/>
    <x v="31"/>
    <x v="2"/>
    <x v="145"/>
    <m/>
    <m/>
    <m/>
    <n v="1"/>
    <n v="201208"/>
    <n v="22400"/>
  </r>
  <r>
    <x v="432"/>
    <x v="6"/>
    <m/>
    <x v="32"/>
    <x v="2"/>
    <x v="147"/>
    <m/>
    <m/>
    <m/>
    <n v="1"/>
    <n v="201208"/>
    <n v="37100"/>
  </r>
  <r>
    <x v="432"/>
    <x v="6"/>
    <m/>
    <x v="0"/>
    <x v="2"/>
    <x v="148"/>
    <m/>
    <m/>
    <m/>
    <n v="3"/>
    <n v="201208"/>
    <n v="60000"/>
  </r>
  <r>
    <x v="432"/>
    <x v="6"/>
    <m/>
    <x v="22"/>
    <x v="2"/>
    <x v="150"/>
    <m/>
    <m/>
    <m/>
    <n v="8"/>
    <n v="201208"/>
    <n v="304000"/>
  </r>
  <r>
    <x v="432"/>
    <x v="6"/>
    <m/>
    <x v="22"/>
    <x v="2"/>
    <x v="150"/>
    <m/>
    <m/>
    <m/>
    <n v="4"/>
    <n v="201208"/>
    <n v="152000"/>
  </r>
  <r>
    <x v="432"/>
    <x v="6"/>
    <m/>
    <x v="5"/>
    <x v="2"/>
    <x v="151"/>
    <m/>
    <m/>
    <m/>
    <n v="20"/>
    <n v="201208"/>
    <n v="560000"/>
  </r>
  <r>
    <x v="432"/>
    <x v="6"/>
    <m/>
    <x v="5"/>
    <x v="2"/>
    <x v="152"/>
    <m/>
    <m/>
    <m/>
    <n v="3"/>
    <n v="201208"/>
    <n v="144000"/>
  </r>
  <r>
    <x v="432"/>
    <x v="6"/>
    <m/>
    <x v="5"/>
    <x v="2"/>
    <x v="153"/>
    <m/>
    <m/>
    <m/>
    <n v="4"/>
    <n v="201208"/>
    <n v="112000"/>
  </r>
  <r>
    <x v="432"/>
    <x v="6"/>
    <m/>
    <x v="5"/>
    <x v="2"/>
    <x v="154"/>
    <m/>
    <m/>
    <m/>
    <n v="1"/>
    <n v="201208"/>
    <n v="28000"/>
  </r>
  <r>
    <x v="432"/>
    <x v="6"/>
    <m/>
    <x v="33"/>
    <x v="2"/>
    <x v="155"/>
    <m/>
    <m/>
    <m/>
    <n v="3"/>
    <n v="201208"/>
    <n v="54600"/>
  </r>
  <r>
    <x v="432"/>
    <x v="6"/>
    <m/>
    <x v="33"/>
    <x v="2"/>
    <x v="156"/>
    <m/>
    <m/>
    <m/>
    <n v="2"/>
    <n v="201208"/>
    <n v="67600"/>
  </r>
  <r>
    <x v="432"/>
    <x v="6"/>
    <m/>
    <x v="19"/>
    <x v="2"/>
    <x v="157"/>
    <m/>
    <m/>
    <m/>
    <n v="14"/>
    <n v="201208"/>
    <n v="182000"/>
  </r>
  <r>
    <x v="432"/>
    <x v="6"/>
    <m/>
    <x v="19"/>
    <x v="2"/>
    <x v="158"/>
    <m/>
    <m/>
    <m/>
    <n v="1"/>
    <n v="201208"/>
    <n v="24000"/>
  </r>
  <r>
    <x v="432"/>
    <x v="6"/>
    <m/>
    <x v="19"/>
    <x v="2"/>
    <x v="159"/>
    <m/>
    <m/>
    <m/>
    <n v="1"/>
    <n v="201208"/>
    <n v="33000"/>
  </r>
  <r>
    <x v="432"/>
    <x v="6"/>
    <m/>
    <x v="35"/>
    <x v="2"/>
    <x v="170"/>
    <m/>
    <m/>
    <m/>
    <n v="1"/>
    <n v="201208"/>
    <n v="4000"/>
  </r>
  <r>
    <x v="432"/>
    <x v="6"/>
    <m/>
    <x v="35"/>
    <x v="2"/>
    <x v="160"/>
    <m/>
    <m/>
    <m/>
    <n v="2"/>
    <n v="201208"/>
    <n v="40000"/>
  </r>
  <r>
    <x v="432"/>
    <x v="6"/>
    <m/>
    <x v="18"/>
    <x v="2"/>
    <x v="161"/>
    <m/>
    <m/>
    <m/>
    <n v="36"/>
    <n v="201208"/>
    <n v="108000"/>
  </r>
  <r>
    <x v="432"/>
    <x v="6"/>
    <m/>
    <x v="30"/>
    <x v="9"/>
    <x v="171"/>
    <m/>
    <m/>
    <m/>
    <n v="1"/>
    <n v="201208"/>
    <n v="22400"/>
  </r>
  <r>
    <x v="432"/>
    <x v="6"/>
    <m/>
    <x v="0"/>
    <x v="9"/>
    <x v="162"/>
    <m/>
    <m/>
    <m/>
    <n v="5"/>
    <n v="201208"/>
    <n v="100000"/>
  </r>
  <r>
    <x v="433"/>
    <x v="3"/>
    <m/>
    <x v="0"/>
    <x v="1"/>
    <x v="123"/>
    <m/>
    <m/>
    <m/>
    <n v="8"/>
    <n v="201208"/>
    <n v="280000"/>
  </r>
  <r>
    <x v="433"/>
    <x v="3"/>
    <m/>
    <x v="0"/>
    <x v="1"/>
    <x v="124"/>
    <m/>
    <m/>
    <m/>
    <n v="3"/>
    <n v="201208"/>
    <n v="60000"/>
  </r>
  <r>
    <x v="433"/>
    <x v="3"/>
    <m/>
    <x v="6"/>
    <x v="5"/>
    <x v="172"/>
    <m/>
    <m/>
    <m/>
    <n v="10"/>
    <n v="201208"/>
    <n v="200000"/>
  </r>
  <r>
    <x v="433"/>
    <x v="3"/>
    <m/>
    <x v="0"/>
    <x v="7"/>
    <x v="163"/>
    <m/>
    <m/>
    <m/>
    <n v="4"/>
    <n v="201208"/>
    <n v="80000"/>
  </r>
  <r>
    <x v="433"/>
    <x v="3"/>
    <m/>
    <x v="36"/>
    <x v="3"/>
    <x v="173"/>
    <m/>
    <m/>
    <m/>
    <n v="2"/>
    <n v="201208"/>
    <n v="0"/>
  </r>
  <r>
    <x v="433"/>
    <x v="3"/>
    <m/>
    <x v="0"/>
    <x v="3"/>
    <x v="164"/>
    <m/>
    <m/>
    <m/>
    <n v="10"/>
    <n v="201208"/>
    <n v="0"/>
  </r>
  <r>
    <x v="433"/>
    <x v="3"/>
    <m/>
    <x v="6"/>
    <x v="2"/>
    <x v="126"/>
    <m/>
    <m/>
    <m/>
    <n v="6"/>
    <n v="201208"/>
    <n v="120000"/>
  </r>
  <r>
    <x v="433"/>
    <x v="3"/>
    <m/>
    <x v="34"/>
    <x v="2"/>
    <x v="128"/>
    <m/>
    <m/>
    <m/>
    <n v="37"/>
    <n v="201208"/>
    <n v="1372700"/>
  </r>
  <r>
    <x v="433"/>
    <x v="3"/>
    <m/>
    <x v="25"/>
    <x v="2"/>
    <x v="129"/>
    <m/>
    <m/>
    <m/>
    <n v="7"/>
    <n v="201208"/>
    <n v="693000"/>
  </r>
  <r>
    <x v="433"/>
    <x v="3"/>
    <m/>
    <x v="0"/>
    <x v="2"/>
    <x v="130"/>
    <m/>
    <m/>
    <m/>
    <n v="68"/>
    <n v="201208"/>
    <n v="2244000"/>
  </r>
  <r>
    <x v="433"/>
    <x v="3"/>
    <m/>
    <x v="0"/>
    <x v="2"/>
    <x v="131"/>
    <m/>
    <m/>
    <m/>
    <n v="4"/>
    <n v="201208"/>
    <n v="132000"/>
  </r>
  <r>
    <x v="433"/>
    <x v="3"/>
    <m/>
    <x v="30"/>
    <x v="2"/>
    <x v="132"/>
    <m/>
    <m/>
    <m/>
    <n v="11"/>
    <n v="201208"/>
    <n v="246400"/>
  </r>
  <r>
    <x v="433"/>
    <x v="3"/>
    <m/>
    <x v="34"/>
    <x v="2"/>
    <x v="134"/>
    <m/>
    <m/>
    <m/>
    <n v="1"/>
    <n v="201208"/>
    <n v="37100"/>
  </r>
  <r>
    <x v="433"/>
    <x v="3"/>
    <m/>
    <x v="1"/>
    <x v="2"/>
    <x v="135"/>
    <m/>
    <m/>
    <m/>
    <n v="4"/>
    <n v="201208"/>
    <n v="80000"/>
  </r>
  <r>
    <x v="433"/>
    <x v="3"/>
    <m/>
    <x v="36"/>
    <x v="2"/>
    <x v="136"/>
    <m/>
    <m/>
    <m/>
    <n v="4"/>
    <n v="201208"/>
    <n v="112000"/>
  </r>
  <r>
    <x v="433"/>
    <x v="3"/>
    <m/>
    <x v="0"/>
    <x v="2"/>
    <x v="138"/>
    <m/>
    <m/>
    <m/>
    <n v="98"/>
    <n v="201208"/>
    <n v="1960000"/>
  </r>
  <r>
    <x v="433"/>
    <x v="3"/>
    <m/>
    <x v="0"/>
    <x v="2"/>
    <x v="139"/>
    <m/>
    <m/>
    <m/>
    <n v="51"/>
    <n v="201208"/>
    <n v="1785000"/>
  </r>
  <r>
    <x v="433"/>
    <x v="3"/>
    <m/>
    <x v="32"/>
    <x v="2"/>
    <x v="140"/>
    <m/>
    <m/>
    <m/>
    <n v="17"/>
    <n v="201208"/>
    <n v="630700"/>
  </r>
  <r>
    <x v="433"/>
    <x v="3"/>
    <m/>
    <x v="18"/>
    <x v="2"/>
    <x v="125"/>
    <m/>
    <m/>
    <m/>
    <n v="46"/>
    <n v="201208"/>
    <n v="138000"/>
  </r>
  <r>
    <x v="433"/>
    <x v="3"/>
    <m/>
    <x v="0"/>
    <x v="2"/>
    <x v="138"/>
    <m/>
    <m/>
    <m/>
    <n v="1"/>
    <n v="201208"/>
    <n v="20000"/>
  </r>
  <r>
    <x v="433"/>
    <x v="3"/>
    <m/>
    <x v="0"/>
    <x v="2"/>
    <x v="139"/>
    <m/>
    <m/>
    <m/>
    <n v="2"/>
    <n v="201208"/>
    <n v="70000"/>
  </r>
  <r>
    <x v="433"/>
    <x v="3"/>
    <m/>
    <x v="0"/>
    <x v="2"/>
    <x v="141"/>
    <m/>
    <m/>
    <m/>
    <n v="2"/>
    <n v="201208"/>
    <n v="66000"/>
  </r>
  <r>
    <x v="433"/>
    <x v="3"/>
    <m/>
    <x v="4"/>
    <x v="2"/>
    <x v="143"/>
    <m/>
    <m/>
    <m/>
    <n v="11"/>
    <n v="201208"/>
    <n v="220000"/>
  </r>
  <r>
    <x v="433"/>
    <x v="3"/>
    <m/>
    <x v="4"/>
    <x v="2"/>
    <x v="144"/>
    <m/>
    <m/>
    <m/>
    <n v="7"/>
    <n v="201208"/>
    <n v="28000"/>
  </r>
  <r>
    <x v="433"/>
    <x v="3"/>
    <m/>
    <x v="31"/>
    <x v="2"/>
    <x v="145"/>
    <m/>
    <m/>
    <m/>
    <n v="101"/>
    <n v="201208"/>
    <n v="2262400"/>
  </r>
  <r>
    <x v="433"/>
    <x v="3"/>
    <m/>
    <x v="31"/>
    <x v="2"/>
    <x v="146"/>
    <m/>
    <m/>
    <m/>
    <n v="104"/>
    <n v="201208"/>
    <n v="4076800"/>
  </r>
  <r>
    <x v="433"/>
    <x v="3"/>
    <m/>
    <x v="32"/>
    <x v="2"/>
    <x v="147"/>
    <m/>
    <m/>
    <m/>
    <n v="58"/>
    <n v="201208"/>
    <n v="2151800"/>
  </r>
  <r>
    <x v="433"/>
    <x v="3"/>
    <m/>
    <x v="31"/>
    <x v="2"/>
    <x v="145"/>
    <m/>
    <m/>
    <m/>
    <n v="2"/>
    <n v="201208"/>
    <n v="44800"/>
  </r>
  <r>
    <x v="433"/>
    <x v="3"/>
    <m/>
    <x v="31"/>
    <x v="2"/>
    <x v="146"/>
    <m/>
    <m/>
    <m/>
    <n v="4"/>
    <n v="201208"/>
    <n v="156800"/>
  </r>
  <r>
    <x v="433"/>
    <x v="3"/>
    <m/>
    <x v="0"/>
    <x v="2"/>
    <x v="149"/>
    <m/>
    <m/>
    <m/>
    <n v="4"/>
    <n v="201208"/>
    <n v="80000"/>
  </r>
  <r>
    <x v="433"/>
    <x v="3"/>
    <m/>
    <x v="0"/>
    <x v="2"/>
    <x v="174"/>
    <m/>
    <m/>
    <m/>
    <n v="1"/>
    <n v="201208"/>
    <n v="35000"/>
  </r>
  <r>
    <x v="433"/>
    <x v="3"/>
    <m/>
    <x v="18"/>
    <x v="2"/>
    <x v="166"/>
    <m/>
    <m/>
    <m/>
    <n v="3"/>
    <n v="201208"/>
    <n v="9000"/>
  </r>
  <r>
    <x v="433"/>
    <x v="3"/>
    <m/>
    <x v="31"/>
    <x v="2"/>
    <x v="175"/>
    <m/>
    <m/>
    <m/>
    <n v="1"/>
    <n v="201208"/>
    <n v="39200"/>
  </r>
  <r>
    <x v="433"/>
    <x v="3"/>
    <m/>
    <x v="22"/>
    <x v="2"/>
    <x v="150"/>
    <m/>
    <m/>
    <m/>
    <n v="9"/>
    <n v="201208"/>
    <n v="342000"/>
  </r>
  <r>
    <x v="433"/>
    <x v="3"/>
    <m/>
    <x v="22"/>
    <x v="2"/>
    <x v="150"/>
    <m/>
    <m/>
    <m/>
    <n v="1"/>
    <n v="201208"/>
    <n v="38000"/>
  </r>
  <r>
    <x v="433"/>
    <x v="3"/>
    <m/>
    <x v="5"/>
    <x v="2"/>
    <x v="151"/>
    <m/>
    <m/>
    <m/>
    <n v="42"/>
    <n v="201208"/>
    <n v="1176000"/>
  </r>
  <r>
    <x v="433"/>
    <x v="3"/>
    <m/>
    <x v="5"/>
    <x v="2"/>
    <x v="152"/>
    <m/>
    <m/>
    <m/>
    <n v="13"/>
    <n v="201208"/>
    <n v="624000"/>
  </r>
  <r>
    <x v="433"/>
    <x v="3"/>
    <m/>
    <x v="5"/>
    <x v="2"/>
    <x v="153"/>
    <m/>
    <m/>
    <m/>
    <n v="6"/>
    <n v="201208"/>
    <n v="168000"/>
  </r>
  <r>
    <x v="433"/>
    <x v="3"/>
    <m/>
    <x v="33"/>
    <x v="2"/>
    <x v="155"/>
    <m/>
    <m/>
    <m/>
    <n v="5"/>
    <n v="201208"/>
    <n v="91000"/>
  </r>
  <r>
    <x v="433"/>
    <x v="3"/>
    <m/>
    <x v="33"/>
    <x v="2"/>
    <x v="156"/>
    <m/>
    <m/>
    <m/>
    <n v="2"/>
    <n v="201208"/>
    <n v="67600"/>
  </r>
  <r>
    <x v="433"/>
    <x v="3"/>
    <m/>
    <x v="19"/>
    <x v="2"/>
    <x v="157"/>
    <m/>
    <m/>
    <m/>
    <n v="16"/>
    <n v="201208"/>
    <n v="208000"/>
  </r>
  <r>
    <x v="433"/>
    <x v="3"/>
    <m/>
    <x v="19"/>
    <x v="2"/>
    <x v="159"/>
    <m/>
    <m/>
    <m/>
    <n v="4"/>
    <n v="201208"/>
    <n v="132000"/>
  </r>
  <r>
    <x v="433"/>
    <x v="3"/>
    <m/>
    <x v="35"/>
    <x v="2"/>
    <x v="160"/>
    <m/>
    <m/>
    <m/>
    <n v="5"/>
    <n v="201208"/>
    <n v="100000"/>
  </r>
  <r>
    <x v="433"/>
    <x v="3"/>
    <m/>
    <x v="18"/>
    <x v="2"/>
    <x v="161"/>
    <m/>
    <m/>
    <m/>
    <n v="35"/>
    <n v="201208"/>
    <n v="105000"/>
  </r>
  <r>
    <x v="433"/>
    <x v="3"/>
    <m/>
    <x v="0"/>
    <x v="9"/>
    <x v="162"/>
    <m/>
    <m/>
    <m/>
    <n v="13"/>
    <n v="201208"/>
    <n v="260000"/>
  </r>
  <r>
    <x v="434"/>
    <x v="4"/>
    <m/>
    <x v="0"/>
    <x v="1"/>
    <x v="123"/>
    <m/>
    <m/>
    <m/>
    <n v="1"/>
    <n v="201208"/>
    <n v="35000"/>
  </r>
  <r>
    <x v="434"/>
    <x v="4"/>
    <m/>
    <x v="0"/>
    <x v="7"/>
    <x v="163"/>
    <m/>
    <m/>
    <m/>
    <n v="2"/>
    <n v="201208"/>
    <n v="40000"/>
  </r>
  <r>
    <x v="434"/>
    <x v="4"/>
    <m/>
    <x v="6"/>
    <x v="2"/>
    <x v="126"/>
    <m/>
    <m/>
    <m/>
    <n v="2"/>
    <n v="201208"/>
    <n v="40000"/>
  </r>
  <r>
    <x v="434"/>
    <x v="4"/>
    <m/>
    <x v="34"/>
    <x v="2"/>
    <x v="128"/>
    <m/>
    <m/>
    <m/>
    <n v="21"/>
    <n v="201208"/>
    <n v="779100"/>
  </r>
  <r>
    <x v="434"/>
    <x v="4"/>
    <m/>
    <x v="25"/>
    <x v="2"/>
    <x v="129"/>
    <m/>
    <m/>
    <m/>
    <n v="2"/>
    <n v="201208"/>
    <n v="198000"/>
  </r>
  <r>
    <x v="434"/>
    <x v="4"/>
    <m/>
    <x v="0"/>
    <x v="2"/>
    <x v="130"/>
    <m/>
    <m/>
    <m/>
    <n v="31"/>
    <n v="201208"/>
    <n v="1023000"/>
  </r>
  <r>
    <x v="434"/>
    <x v="4"/>
    <m/>
    <x v="0"/>
    <x v="2"/>
    <x v="131"/>
    <m/>
    <m/>
    <m/>
    <n v="2"/>
    <n v="201208"/>
    <n v="66000"/>
  </r>
  <r>
    <x v="434"/>
    <x v="4"/>
    <m/>
    <x v="30"/>
    <x v="2"/>
    <x v="132"/>
    <m/>
    <m/>
    <m/>
    <n v="2"/>
    <n v="201208"/>
    <n v="44800"/>
  </r>
  <r>
    <x v="434"/>
    <x v="4"/>
    <m/>
    <x v="30"/>
    <x v="2"/>
    <x v="133"/>
    <m/>
    <m/>
    <m/>
    <n v="1"/>
    <n v="201208"/>
    <n v="39200"/>
  </r>
  <r>
    <x v="434"/>
    <x v="4"/>
    <m/>
    <x v="1"/>
    <x v="2"/>
    <x v="135"/>
    <m/>
    <m/>
    <m/>
    <n v="1"/>
    <n v="201208"/>
    <n v="20000"/>
  </r>
  <r>
    <x v="434"/>
    <x v="4"/>
    <m/>
    <x v="1"/>
    <x v="2"/>
    <x v="165"/>
    <m/>
    <m/>
    <m/>
    <n v="1"/>
    <n v="201208"/>
    <n v="35000"/>
  </r>
  <r>
    <x v="434"/>
    <x v="4"/>
    <m/>
    <x v="36"/>
    <x v="2"/>
    <x v="136"/>
    <m/>
    <m/>
    <m/>
    <n v="2"/>
    <n v="201208"/>
    <n v="56000"/>
  </r>
  <r>
    <x v="434"/>
    <x v="4"/>
    <m/>
    <x v="36"/>
    <x v="2"/>
    <x v="176"/>
    <m/>
    <m/>
    <m/>
    <n v="1"/>
    <n v="201208"/>
    <n v="49000"/>
  </r>
  <r>
    <x v="434"/>
    <x v="4"/>
    <m/>
    <x v="0"/>
    <x v="2"/>
    <x v="138"/>
    <m/>
    <m/>
    <m/>
    <n v="44"/>
    <n v="201208"/>
    <n v="880000"/>
  </r>
  <r>
    <x v="434"/>
    <x v="4"/>
    <m/>
    <x v="0"/>
    <x v="2"/>
    <x v="139"/>
    <m/>
    <m/>
    <m/>
    <n v="27"/>
    <n v="201208"/>
    <n v="945000"/>
  </r>
  <r>
    <x v="434"/>
    <x v="4"/>
    <m/>
    <x v="32"/>
    <x v="2"/>
    <x v="140"/>
    <m/>
    <m/>
    <m/>
    <n v="7"/>
    <n v="201208"/>
    <n v="259700"/>
  </r>
  <r>
    <x v="434"/>
    <x v="4"/>
    <m/>
    <x v="18"/>
    <x v="2"/>
    <x v="125"/>
    <m/>
    <m/>
    <m/>
    <n v="25"/>
    <n v="201208"/>
    <n v="75000"/>
  </r>
  <r>
    <x v="434"/>
    <x v="4"/>
    <m/>
    <x v="0"/>
    <x v="2"/>
    <x v="139"/>
    <m/>
    <m/>
    <m/>
    <n v="1"/>
    <n v="201208"/>
    <n v="35000"/>
  </r>
  <r>
    <x v="434"/>
    <x v="4"/>
    <m/>
    <x v="0"/>
    <x v="2"/>
    <x v="141"/>
    <m/>
    <m/>
    <m/>
    <n v="1"/>
    <n v="201208"/>
    <n v="33000"/>
  </r>
  <r>
    <x v="434"/>
    <x v="4"/>
    <m/>
    <x v="4"/>
    <x v="2"/>
    <x v="142"/>
    <m/>
    <m/>
    <m/>
    <n v="3"/>
    <n v="201208"/>
    <n v="12000"/>
  </r>
  <r>
    <x v="434"/>
    <x v="4"/>
    <m/>
    <x v="4"/>
    <x v="2"/>
    <x v="143"/>
    <m/>
    <m/>
    <m/>
    <n v="6"/>
    <n v="201208"/>
    <n v="120000"/>
  </r>
  <r>
    <x v="434"/>
    <x v="4"/>
    <m/>
    <x v="31"/>
    <x v="2"/>
    <x v="145"/>
    <m/>
    <m/>
    <m/>
    <n v="47"/>
    <n v="201208"/>
    <n v="1052800"/>
  </r>
  <r>
    <x v="434"/>
    <x v="4"/>
    <m/>
    <x v="31"/>
    <x v="2"/>
    <x v="146"/>
    <m/>
    <m/>
    <m/>
    <n v="48"/>
    <n v="201208"/>
    <n v="1881600"/>
  </r>
  <r>
    <x v="434"/>
    <x v="4"/>
    <m/>
    <x v="32"/>
    <x v="2"/>
    <x v="147"/>
    <m/>
    <m/>
    <m/>
    <n v="30"/>
    <n v="201208"/>
    <n v="1113000"/>
  </r>
  <r>
    <x v="434"/>
    <x v="4"/>
    <m/>
    <x v="31"/>
    <x v="2"/>
    <x v="145"/>
    <m/>
    <m/>
    <m/>
    <n v="1"/>
    <n v="201208"/>
    <n v="22400"/>
  </r>
  <r>
    <x v="434"/>
    <x v="4"/>
    <m/>
    <x v="31"/>
    <x v="2"/>
    <x v="146"/>
    <m/>
    <m/>
    <m/>
    <n v="3"/>
    <n v="201208"/>
    <n v="117600"/>
  </r>
  <r>
    <x v="434"/>
    <x v="4"/>
    <m/>
    <x v="32"/>
    <x v="2"/>
    <x v="147"/>
    <m/>
    <m/>
    <m/>
    <n v="2"/>
    <n v="201208"/>
    <n v="74200"/>
  </r>
  <r>
    <x v="434"/>
    <x v="4"/>
    <m/>
    <x v="31"/>
    <x v="2"/>
    <x v="146"/>
    <m/>
    <m/>
    <m/>
    <n v="2"/>
    <n v="201208"/>
    <n v="78400"/>
  </r>
  <r>
    <x v="434"/>
    <x v="4"/>
    <m/>
    <x v="0"/>
    <x v="2"/>
    <x v="149"/>
    <m/>
    <m/>
    <m/>
    <n v="1"/>
    <n v="201208"/>
    <n v="20000"/>
  </r>
  <r>
    <x v="434"/>
    <x v="4"/>
    <m/>
    <x v="18"/>
    <x v="2"/>
    <x v="166"/>
    <m/>
    <m/>
    <m/>
    <n v="1"/>
    <n v="201208"/>
    <n v="3000"/>
  </r>
  <r>
    <x v="434"/>
    <x v="4"/>
    <m/>
    <x v="22"/>
    <x v="2"/>
    <x v="150"/>
    <m/>
    <m/>
    <m/>
    <n v="4"/>
    <n v="201208"/>
    <n v="152000"/>
  </r>
  <r>
    <x v="434"/>
    <x v="4"/>
    <m/>
    <x v="5"/>
    <x v="2"/>
    <x v="151"/>
    <m/>
    <m/>
    <m/>
    <n v="23"/>
    <n v="201208"/>
    <n v="644000"/>
  </r>
  <r>
    <x v="434"/>
    <x v="4"/>
    <m/>
    <x v="5"/>
    <x v="2"/>
    <x v="152"/>
    <m/>
    <m/>
    <m/>
    <n v="6"/>
    <n v="201208"/>
    <n v="288000"/>
  </r>
  <r>
    <x v="434"/>
    <x v="4"/>
    <m/>
    <x v="5"/>
    <x v="2"/>
    <x v="153"/>
    <m/>
    <m/>
    <m/>
    <n v="3"/>
    <n v="201208"/>
    <n v="84000"/>
  </r>
  <r>
    <x v="434"/>
    <x v="4"/>
    <m/>
    <x v="33"/>
    <x v="2"/>
    <x v="155"/>
    <m/>
    <m/>
    <m/>
    <n v="4"/>
    <n v="201208"/>
    <n v="72800"/>
  </r>
  <r>
    <x v="434"/>
    <x v="4"/>
    <m/>
    <x v="33"/>
    <x v="2"/>
    <x v="156"/>
    <m/>
    <m/>
    <m/>
    <n v="1"/>
    <n v="201208"/>
    <n v="33800"/>
  </r>
  <r>
    <x v="434"/>
    <x v="4"/>
    <m/>
    <x v="19"/>
    <x v="2"/>
    <x v="157"/>
    <m/>
    <m/>
    <m/>
    <n v="9"/>
    <n v="201208"/>
    <n v="117000"/>
  </r>
  <r>
    <x v="434"/>
    <x v="4"/>
    <m/>
    <x v="19"/>
    <x v="2"/>
    <x v="158"/>
    <m/>
    <m/>
    <m/>
    <n v="2"/>
    <n v="201208"/>
    <n v="48000"/>
  </r>
  <r>
    <x v="434"/>
    <x v="4"/>
    <m/>
    <x v="19"/>
    <x v="2"/>
    <x v="159"/>
    <m/>
    <m/>
    <m/>
    <n v="2"/>
    <n v="201208"/>
    <n v="66000"/>
  </r>
  <r>
    <x v="434"/>
    <x v="4"/>
    <m/>
    <x v="35"/>
    <x v="2"/>
    <x v="170"/>
    <m/>
    <m/>
    <m/>
    <n v="2"/>
    <n v="201208"/>
    <n v="8000"/>
  </r>
  <r>
    <x v="434"/>
    <x v="4"/>
    <m/>
    <x v="35"/>
    <x v="2"/>
    <x v="160"/>
    <m/>
    <m/>
    <m/>
    <n v="4"/>
    <n v="201208"/>
    <n v="80000"/>
  </r>
  <r>
    <x v="434"/>
    <x v="4"/>
    <m/>
    <x v="18"/>
    <x v="2"/>
    <x v="161"/>
    <m/>
    <m/>
    <m/>
    <n v="15"/>
    <n v="201208"/>
    <n v="45000"/>
  </r>
  <r>
    <x v="434"/>
    <x v="4"/>
    <m/>
    <x v="0"/>
    <x v="9"/>
    <x v="162"/>
    <m/>
    <m/>
    <m/>
    <n v="4"/>
    <n v="201208"/>
    <n v="80000"/>
  </r>
  <r>
    <x v="434"/>
    <x v="4"/>
    <m/>
    <x v="5"/>
    <x v="9"/>
    <x v="177"/>
    <m/>
    <m/>
    <m/>
    <n v="2"/>
    <n v="201208"/>
    <n v="56000"/>
  </r>
  <r>
    <x v="435"/>
    <x v="1"/>
    <m/>
    <x v="0"/>
    <x v="1"/>
    <x v="123"/>
    <m/>
    <m/>
    <m/>
    <n v="3"/>
    <n v="201208"/>
    <n v="105000"/>
  </r>
  <r>
    <x v="435"/>
    <x v="1"/>
    <m/>
    <x v="0"/>
    <x v="7"/>
    <x v="163"/>
    <m/>
    <m/>
    <m/>
    <n v="1"/>
    <n v="201208"/>
    <n v="20000"/>
  </r>
  <r>
    <x v="435"/>
    <x v="1"/>
    <m/>
    <x v="0"/>
    <x v="3"/>
    <x v="164"/>
    <m/>
    <m/>
    <m/>
    <n v="1"/>
    <n v="201208"/>
    <n v="0"/>
  </r>
  <r>
    <x v="435"/>
    <x v="1"/>
    <m/>
    <x v="6"/>
    <x v="2"/>
    <x v="126"/>
    <m/>
    <m/>
    <m/>
    <n v="2"/>
    <n v="201208"/>
    <n v="40000"/>
  </r>
  <r>
    <x v="435"/>
    <x v="1"/>
    <m/>
    <x v="6"/>
    <x v="2"/>
    <x v="127"/>
    <m/>
    <m/>
    <m/>
    <n v="1"/>
    <n v="201208"/>
    <n v="35000"/>
  </r>
  <r>
    <x v="435"/>
    <x v="1"/>
    <m/>
    <x v="34"/>
    <x v="2"/>
    <x v="128"/>
    <m/>
    <m/>
    <m/>
    <n v="24"/>
    <n v="201208"/>
    <n v="890400"/>
  </r>
  <r>
    <x v="435"/>
    <x v="1"/>
    <m/>
    <x v="25"/>
    <x v="2"/>
    <x v="129"/>
    <m/>
    <m/>
    <m/>
    <n v="1"/>
    <n v="201208"/>
    <n v="99000"/>
  </r>
  <r>
    <x v="435"/>
    <x v="1"/>
    <m/>
    <x v="0"/>
    <x v="2"/>
    <x v="130"/>
    <m/>
    <m/>
    <m/>
    <n v="22"/>
    <n v="201208"/>
    <n v="726000"/>
  </r>
  <r>
    <x v="435"/>
    <x v="1"/>
    <m/>
    <x v="0"/>
    <x v="2"/>
    <x v="131"/>
    <m/>
    <m/>
    <m/>
    <n v="2"/>
    <n v="201208"/>
    <n v="66000"/>
  </r>
  <r>
    <x v="435"/>
    <x v="1"/>
    <m/>
    <x v="0"/>
    <x v="2"/>
    <x v="168"/>
    <m/>
    <m/>
    <m/>
    <n v="1"/>
    <n v="201208"/>
    <n v="20000"/>
  </r>
  <r>
    <x v="435"/>
    <x v="1"/>
    <m/>
    <x v="30"/>
    <x v="2"/>
    <x v="132"/>
    <m/>
    <m/>
    <m/>
    <n v="2"/>
    <n v="201208"/>
    <n v="44800"/>
  </r>
  <r>
    <x v="435"/>
    <x v="1"/>
    <m/>
    <x v="30"/>
    <x v="2"/>
    <x v="133"/>
    <m/>
    <m/>
    <m/>
    <n v="3"/>
    <n v="201208"/>
    <n v="117600"/>
  </r>
  <r>
    <x v="435"/>
    <x v="1"/>
    <m/>
    <x v="34"/>
    <x v="2"/>
    <x v="134"/>
    <m/>
    <m/>
    <m/>
    <n v="1"/>
    <n v="201208"/>
    <n v="37100"/>
  </r>
  <r>
    <x v="435"/>
    <x v="1"/>
    <m/>
    <x v="1"/>
    <x v="2"/>
    <x v="135"/>
    <m/>
    <m/>
    <m/>
    <n v="1"/>
    <n v="201208"/>
    <n v="20000"/>
  </r>
  <r>
    <x v="435"/>
    <x v="1"/>
    <m/>
    <x v="1"/>
    <x v="2"/>
    <x v="165"/>
    <m/>
    <m/>
    <m/>
    <n v="1"/>
    <n v="201208"/>
    <n v="35000"/>
  </r>
  <r>
    <x v="435"/>
    <x v="1"/>
    <m/>
    <x v="36"/>
    <x v="2"/>
    <x v="136"/>
    <m/>
    <m/>
    <m/>
    <n v="1"/>
    <n v="201208"/>
    <n v="28000"/>
  </r>
  <r>
    <x v="435"/>
    <x v="1"/>
    <m/>
    <x v="36"/>
    <x v="2"/>
    <x v="176"/>
    <m/>
    <m/>
    <m/>
    <n v="2"/>
    <n v="201208"/>
    <n v="98000"/>
  </r>
  <r>
    <x v="435"/>
    <x v="1"/>
    <m/>
    <x v="36"/>
    <x v="2"/>
    <x v="137"/>
    <m/>
    <m/>
    <m/>
    <n v="1"/>
    <n v="201208"/>
    <n v="42000"/>
  </r>
  <r>
    <x v="435"/>
    <x v="1"/>
    <m/>
    <x v="0"/>
    <x v="2"/>
    <x v="138"/>
    <m/>
    <m/>
    <m/>
    <n v="39"/>
    <n v="201208"/>
    <n v="780000"/>
  </r>
  <r>
    <x v="435"/>
    <x v="1"/>
    <m/>
    <x v="0"/>
    <x v="2"/>
    <x v="139"/>
    <m/>
    <m/>
    <m/>
    <n v="22"/>
    <n v="201208"/>
    <n v="770000"/>
  </r>
  <r>
    <x v="435"/>
    <x v="1"/>
    <m/>
    <x v="32"/>
    <x v="2"/>
    <x v="140"/>
    <m/>
    <m/>
    <m/>
    <n v="3"/>
    <n v="201208"/>
    <n v="111300"/>
  </r>
  <r>
    <x v="435"/>
    <x v="1"/>
    <m/>
    <x v="18"/>
    <x v="2"/>
    <x v="125"/>
    <m/>
    <m/>
    <m/>
    <n v="22"/>
    <n v="201208"/>
    <n v="66000"/>
  </r>
  <r>
    <x v="435"/>
    <x v="1"/>
    <m/>
    <x v="4"/>
    <x v="2"/>
    <x v="142"/>
    <m/>
    <m/>
    <m/>
    <n v="2"/>
    <n v="201208"/>
    <n v="8000"/>
  </r>
  <r>
    <x v="435"/>
    <x v="1"/>
    <m/>
    <x v="4"/>
    <x v="2"/>
    <x v="143"/>
    <m/>
    <m/>
    <m/>
    <n v="4"/>
    <n v="201208"/>
    <n v="80000"/>
  </r>
  <r>
    <x v="435"/>
    <x v="1"/>
    <m/>
    <x v="31"/>
    <x v="2"/>
    <x v="145"/>
    <m/>
    <m/>
    <m/>
    <n v="23"/>
    <n v="201208"/>
    <n v="515200"/>
  </r>
  <r>
    <x v="435"/>
    <x v="1"/>
    <m/>
    <x v="31"/>
    <x v="2"/>
    <x v="146"/>
    <m/>
    <m/>
    <m/>
    <n v="37"/>
    <n v="201208"/>
    <n v="1450400"/>
  </r>
  <r>
    <x v="435"/>
    <x v="1"/>
    <m/>
    <x v="32"/>
    <x v="2"/>
    <x v="147"/>
    <m/>
    <m/>
    <m/>
    <n v="28"/>
    <n v="201208"/>
    <n v="1038800"/>
  </r>
  <r>
    <x v="435"/>
    <x v="1"/>
    <m/>
    <x v="31"/>
    <x v="2"/>
    <x v="145"/>
    <m/>
    <m/>
    <m/>
    <n v="1"/>
    <n v="201208"/>
    <n v="22400"/>
  </r>
  <r>
    <x v="435"/>
    <x v="1"/>
    <m/>
    <x v="31"/>
    <x v="2"/>
    <x v="146"/>
    <m/>
    <m/>
    <m/>
    <n v="4"/>
    <n v="201208"/>
    <n v="156800"/>
  </r>
  <r>
    <x v="435"/>
    <x v="1"/>
    <m/>
    <x v="32"/>
    <x v="2"/>
    <x v="147"/>
    <m/>
    <m/>
    <m/>
    <n v="2"/>
    <n v="201208"/>
    <n v="74200"/>
  </r>
  <r>
    <x v="435"/>
    <x v="1"/>
    <m/>
    <x v="22"/>
    <x v="2"/>
    <x v="150"/>
    <m/>
    <m/>
    <m/>
    <n v="2"/>
    <n v="201208"/>
    <n v="76000"/>
  </r>
  <r>
    <x v="435"/>
    <x v="1"/>
    <m/>
    <x v="5"/>
    <x v="2"/>
    <x v="151"/>
    <m/>
    <m/>
    <m/>
    <n v="17"/>
    <n v="201208"/>
    <n v="476000"/>
  </r>
  <r>
    <x v="435"/>
    <x v="1"/>
    <m/>
    <x v="5"/>
    <x v="2"/>
    <x v="152"/>
    <m/>
    <m/>
    <m/>
    <n v="10"/>
    <n v="201208"/>
    <n v="480000"/>
  </r>
  <r>
    <x v="435"/>
    <x v="1"/>
    <m/>
    <x v="5"/>
    <x v="2"/>
    <x v="153"/>
    <m/>
    <m/>
    <m/>
    <n v="2"/>
    <n v="201208"/>
    <n v="56000"/>
  </r>
  <r>
    <x v="435"/>
    <x v="1"/>
    <m/>
    <x v="33"/>
    <x v="2"/>
    <x v="155"/>
    <m/>
    <m/>
    <m/>
    <n v="5"/>
    <n v="201208"/>
    <n v="91000"/>
  </r>
  <r>
    <x v="435"/>
    <x v="1"/>
    <m/>
    <x v="19"/>
    <x v="2"/>
    <x v="157"/>
    <m/>
    <m/>
    <m/>
    <n v="10"/>
    <n v="201208"/>
    <n v="130000"/>
  </r>
  <r>
    <x v="435"/>
    <x v="1"/>
    <m/>
    <x v="19"/>
    <x v="2"/>
    <x v="158"/>
    <m/>
    <m/>
    <m/>
    <n v="1"/>
    <n v="201208"/>
    <n v="24000"/>
  </r>
  <r>
    <x v="435"/>
    <x v="1"/>
    <m/>
    <x v="35"/>
    <x v="2"/>
    <x v="170"/>
    <m/>
    <m/>
    <m/>
    <n v="1"/>
    <n v="201208"/>
    <n v="4000"/>
  </r>
  <r>
    <x v="435"/>
    <x v="1"/>
    <m/>
    <x v="18"/>
    <x v="2"/>
    <x v="161"/>
    <m/>
    <m/>
    <m/>
    <n v="20"/>
    <n v="201208"/>
    <n v="60000"/>
  </r>
  <r>
    <x v="435"/>
    <x v="1"/>
    <m/>
    <x v="0"/>
    <x v="9"/>
    <x v="162"/>
    <m/>
    <m/>
    <m/>
    <n v="1"/>
    <n v="201208"/>
    <n v="20000"/>
  </r>
  <r>
    <x v="435"/>
    <x v="1"/>
    <m/>
    <x v="0"/>
    <x v="2"/>
    <x v="178"/>
    <m/>
    <m/>
    <m/>
    <n v="1"/>
    <n v="201208"/>
    <n v="35000"/>
  </r>
  <r>
    <x v="435"/>
    <x v="1"/>
    <m/>
    <x v="0"/>
    <x v="2"/>
    <x v="179"/>
    <m/>
    <m/>
    <m/>
    <n v="1"/>
    <n v="201208"/>
    <n v="3000"/>
  </r>
  <r>
    <x v="436"/>
    <x v="0"/>
    <m/>
    <x v="0"/>
    <x v="1"/>
    <x v="123"/>
    <m/>
    <m/>
    <m/>
    <n v="1"/>
    <n v="201208"/>
    <n v="35000"/>
  </r>
  <r>
    <x v="436"/>
    <x v="0"/>
    <m/>
    <x v="0"/>
    <x v="7"/>
    <x v="163"/>
    <m/>
    <m/>
    <m/>
    <n v="3"/>
    <n v="201208"/>
    <n v="60000"/>
  </r>
  <r>
    <x v="436"/>
    <x v="0"/>
    <m/>
    <x v="0"/>
    <x v="3"/>
    <x v="164"/>
    <m/>
    <m/>
    <m/>
    <n v="3"/>
    <n v="201208"/>
    <n v="0"/>
  </r>
  <r>
    <x v="436"/>
    <x v="0"/>
    <m/>
    <x v="31"/>
    <x v="3"/>
    <x v="88"/>
    <m/>
    <m/>
    <m/>
    <n v="1"/>
    <n v="201208"/>
    <n v="0"/>
  </r>
  <r>
    <x v="436"/>
    <x v="0"/>
    <m/>
    <x v="6"/>
    <x v="2"/>
    <x v="126"/>
    <m/>
    <m/>
    <m/>
    <n v="1"/>
    <n v="201208"/>
    <n v="20000"/>
  </r>
  <r>
    <x v="436"/>
    <x v="0"/>
    <m/>
    <x v="34"/>
    <x v="2"/>
    <x v="128"/>
    <m/>
    <m/>
    <m/>
    <n v="21"/>
    <n v="201208"/>
    <n v="779100"/>
  </r>
  <r>
    <x v="436"/>
    <x v="0"/>
    <m/>
    <x v="25"/>
    <x v="2"/>
    <x v="129"/>
    <m/>
    <m/>
    <m/>
    <n v="2"/>
    <n v="201208"/>
    <n v="198000"/>
  </r>
  <r>
    <x v="436"/>
    <x v="0"/>
    <m/>
    <x v="0"/>
    <x v="2"/>
    <x v="130"/>
    <m/>
    <m/>
    <m/>
    <n v="39"/>
    <n v="201208"/>
    <n v="1287000"/>
  </r>
  <r>
    <x v="436"/>
    <x v="0"/>
    <m/>
    <x v="0"/>
    <x v="2"/>
    <x v="168"/>
    <m/>
    <m/>
    <m/>
    <n v="2"/>
    <n v="201208"/>
    <n v="40000"/>
  </r>
  <r>
    <x v="436"/>
    <x v="0"/>
    <m/>
    <x v="0"/>
    <x v="2"/>
    <x v="178"/>
    <m/>
    <m/>
    <m/>
    <n v="1"/>
    <n v="201208"/>
    <n v="35000"/>
  </r>
  <r>
    <x v="436"/>
    <x v="0"/>
    <m/>
    <x v="0"/>
    <x v="2"/>
    <x v="179"/>
    <m/>
    <m/>
    <m/>
    <n v="3"/>
    <n v="201208"/>
    <n v="9000"/>
  </r>
  <r>
    <x v="436"/>
    <x v="0"/>
    <m/>
    <x v="30"/>
    <x v="2"/>
    <x v="132"/>
    <m/>
    <m/>
    <m/>
    <n v="8"/>
    <n v="201208"/>
    <n v="179200"/>
  </r>
  <r>
    <x v="436"/>
    <x v="0"/>
    <m/>
    <x v="34"/>
    <x v="2"/>
    <x v="134"/>
    <m/>
    <m/>
    <m/>
    <n v="1"/>
    <n v="201208"/>
    <n v="37100"/>
  </r>
  <r>
    <x v="436"/>
    <x v="0"/>
    <m/>
    <x v="1"/>
    <x v="2"/>
    <x v="135"/>
    <m/>
    <m/>
    <m/>
    <n v="5"/>
    <n v="201208"/>
    <n v="100000"/>
  </r>
  <r>
    <x v="436"/>
    <x v="0"/>
    <m/>
    <x v="36"/>
    <x v="2"/>
    <x v="136"/>
    <m/>
    <m/>
    <m/>
    <n v="2"/>
    <n v="201208"/>
    <n v="56000"/>
  </r>
  <r>
    <x v="436"/>
    <x v="0"/>
    <m/>
    <x v="0"/>
    <x v="2"/>
    <x v="138"/>
    <m/>
    <m/>
    <m/>
    <n v="39"/>
    <n v="201208"/>
    <n v="780000"/>
  </r>
  <r>
    <x v="436"/>
    <x v="0"/>
    <m/>
    <x v="0"/>
    <x v="2"/>
    <x v="139"/>
    <m/>
    <m/>
    <m/>
    <n v="30"/>
    <n v="201208"/>
    <n v="1050000"/>
  </r>
  <r>
    <x v="436"/>
    <x v="0"/>
    <m/>
    <x v="32"/>
    <x v="2"/>
    <x v="140"/>
    <m/>
    <m/>
    <m/>
    <n v="9"/>
    <n v="201208"/>
    <n v="333900"/>
  </r>
  <r>
    <x v="436"/>
    <x v="0"/>
    <m/>
    <x v="18"/>
    <x v="2"/>
    <x v="125"/>
    <m/>
    <m/>
    <m/>
    <n v="25"/>
    <n v="201208"/>
    <n v="75000"/>
  </r>
  <r>
    <x v="436"/>
    <x v="0"/>
    <m/>
    <x v="0"/>
    <x v="2"/>
    <x v="139"/>
    <m/>
    <m/>
    <m/>
    <n v="1"/>
    <n v="201208"/>
    <n v="35000"/>
  </r>
  <r>
    <x v="436"/>
    <x v="0"/>
    <m/>
    <x v="0"/>
    <x v="2"/>
    <x v="141"/>
    <m/>
    <m/>
    <m/>
    <n v="2"/>
    <n v="201208"/>
    <n v="66000"/>
  </r>
  <r>
    <x v="436"/>
    <x v="0"/>
    <m/>
    <x v="4"/>
    <x v="2"/>
    <x v="142"/>
    <m/>
    <m/>
    <m/>
    <n v="2"/>
    <n v="201208"/>
    <n v="8000"/>
  </r>
  <r>
    <x v="436"/>
    <x v="0"/>
    <m/>
    <x v="4"/>
    <x v="2"/>
    <x v="143"/>
    <m/>
    <m/>
    <m/>
    <n v="5"/>
    <n v="201208"/>
    <n v="100000"/>
  </r>
  <r>
    <x v="436"/>
    <x v="0"/>
    <m/>
    <x v="4"/>
    <x v="2"/>
    <x v="144"/>
    <m/>
    <m/>
    <m/>
    <n v="1"/>
    <n v="201208"/>
    <n v="4000"/>
  </r>
  <r>
    <x v="436"/>
    <x v="0"/>
    <m/>
    <x v="31"/>
    <x v="2"/>
    <x v="145"/>
    <m/>
    <m/>
    <m/>
    <n v="43"/>
    <n v="201208"/>
    <n v="963200"/>
  </r>
  <r>
    <x v="436"/>
    <x v="0"/>
    <m/>
    <x v="31"/>
    <x v="2"/>
    <x v="146"/>
    <m/>
    <m/>
    <m/>
    <n v="39"/>
    <n v="201208"/>
    <n v="1528800"/>
  </r>
  <r>
    <x v="436"/>
    <x v="0"/>
    <m/>
    <x v="32"/>
    <x v="2"/>
    <x v="147"/>
    <m/>
    <m/>
    <m/>
    <n v="25"/>
    <n v="201208"/>
    <n v="927500"/>
  </r>
  <r>
    <x v="436"/>
    <x v="0"/>
    <m/>
    <x v="31"/>
    <x v="2"/>
    <x v="145"/>
    <m/>
    <m/>
    <m/>
    <n v="3"/>
    <n v="201208"/>
    <n v="67200"/>
  </r>
  <r>
    <x v="436"/>
    <x v="0"/>
    <m/>
    <x v="31"/>
    <x v="2"/>
    <x v="146"/>
    <m/>
    <m/>
    <m/>
    <n v="1"/>
    <n v="201208"/>
    <n v="39200"/>
  </r>
  <r>
    <x v="436"/>
    <x v="0"/>
    <m/>
    <x v="0"/>
    <x v="2"/>
    <x v="149"/>
    <m/>
    <m/>
    <m/>
    <n v="2"/>
    <n v="201208"/>
    <n v="40000"/>
  </r>
  <r>
    <x v="436"/>
    <x v="0"/>
    <m/>
    <x v="0"/>
    <x v="2"/>
    <x v="174"/>
    <m/>
    <m/>
    <m/>
    <n v="1"/>
    <n v="201208"/>
    <n v="35000"/>
  </r>
  <r>
    <x v="436"/>
    <x v="0"/>
    <m/>
    <x v="22"/>
    <x v="2"/>
    <x v="150"/>
    <m/>
    <m/>
    <m/>
    <n v="5"/>
    <n v="201208"/>
    <n v="190000"/>
  </r>
  <r>
    <x v="436"/>
    <x v="0"/>
    <m/>
    <x v="22"/>
    <x v="2"/>
    <x v="150"/>
    <m/>
    <m/>
    <m/>
    <n v="1"/>
    <n v="201208"/>
    <n v="38000"/>
  </r>
  <r>
    <x v="436"/>
    <x v="0"/>
    <m/>
    <x v="5"/>
    <x v="2"/>
    <x v="151"/>
    <m/>
    <m/>
    <m/>
    <n v="15"/>
    <n v="201208"/>
    <n v="420000"/>
  </r>
  <r>
    <x v="436"/>
    <x v="0"/>
    <m/>
    <x v="5"/>
    <x v="2"/>
    <x v="152"/>
    <m/>
    <m/>
    <m/>
    <n v="2"/>
    <n v="201208"/>
    <n v="96000"/>
  </r>
  <r>
    <x v="436"/>
    <x v="0"/>
    <m/>
    <x v="5"/>
    <x v="2"/>
    <x v="153"/>
    <m/>
    <m/>
    <m/>
    <n v="1"/>
    <n v="201208"/>
    <n v="28000"/>
  </r>
  <r>
    <x v="436"/>
    <x v="0"/>
    <m/>
    <x v="33"/>
    <x v="2"/>
    <x v="155"/>
    <m/>
    <m/>
    <m/>
    <n v="2"/>
    <n v="201208"/>
    <n v="36400"/>
  </r>
  <r>
    <x v="436"/>
    <x v="0"/>
    <m/>
    <x v="33"/>
    <x v="2"/>
    <x v="156"/>
    <m/>
    <m/>
    <m/>
    <n v="1"/>
    <n v="201208"/>
    <n v="33800"/>
  </r>
  <r>
    <x v="436"/>
    <x v="0"/>
    <m/>
    <x v="19"/>
    <x v="2"/>
    <x v="157"/>
    <m/>
    <m/>
    <m/>
    <n v="14"/>
    <n v="201208"/>
    <n v="182000"/>
  </r>
  <r>
    <x v="436"/>
    <x v="0"/>
    <m/>
    <x v="19"/>
    <x v="2"/>
    <x v="158"/>
    <m/>
    <m/>
    <m/>
    <n v="1"/>
    <n v="201208"/>
    <n v="24000"/>
  </r>
  <r>
    <x v="436"/>
    <x v="0"/>
    <m/>
    <x v="35"/>
    <x v="2"/>
    <x v="160"/>
    <m/>
    <m/>
    <m/>
    <n v="5"/>
    <n v="201208"/>
    <n v="100000"/>
  </r>
  <r>
    <x v="436"/>
    <x v="0"/>
    <m/>
    <x v="18"/>
    <x v="2"/>
    <x v="161"/>
    <m/>
    <m/>
    <m/>
    <n v="19"/>
    <n v="201208"/>
    <n v="57000"/>
  </r>
  <r>
    <x v="436"/>
    <x v="0"/>
    <m/>
    <x v="30"/>
    <x v="9"/>
    <x v="171"/>
    <m/>
    <m/>
    <m/>
    <n v="1"/>
    <n v="201208"/>
    <n v="22400"/>
  </r>
  <r>
    <x v="436"/>
    <x v="0"/>
    <m/>
    <x v="0"/>
    <x v="9"/>
    <x v="162"/>
    <m/>
    <m/>
    <m/>
    <n v="1"/>
    <n v="201208"/>
    <n v="20000"/>
  </r>
  <r>
    <x v="436"/>
    <x v="0"/>
    <m/>
    <x v="32"/>
    <x v="2"/>
    <x v="180"/>
    <m/>
    <m/>
    <m/>
    <n v="1"/>
    <n v="201208"/>
    <n v="37100"/>
  </r>
  <r>
    <x v="436"/>
    <x v="0"/>
    <m/>
    <x v="19"/>
    <x v="2"/>
    <x v="181"/>
    <m/>
    <m/>
    <m/>
    <n v="1"/>
    <n v="201208"/>
    <n v="13000"/>
  </r>
  <r>
    <x v="437"/>
    <x v="2"/>
    <m/>
    <x v="0"/>
    <x v="1"/>
    <x v="123"/>
    <m/>
    <m/>
    <m/>
    <n v="6"/>
    <n v="201208"/>
    <n v="210000"/>
  </r>
  <r>
    <x v="437"/>
    <x v="2"/>
    <m/>
    <x v="0"/>
    <x v="7"/>
    <x v="163"/>
    <m/>
    <m/>
    <m/>
    <n v="1"/>
    <n v="201208"/>
    <n v="20000"/>
  </r>
  <r>
    <x v="437"/>
    <x v="2"/>
    <m/>
    <x v="36"/>
    <x v="3"/>
    <x v="173"/>
    <m/>
    <m/>
    <m/>
    <n v="11"/>
    <n v="201208"/>
    <n v="0"/>
  </r>
  <r>
    <x v="437"/>
    <x v="2"/>
    <m/>
    <x v="31"/>
    <x v="3"/>
    <x v="88"/>
    <m/>
    <m/>
    <m/>
    <n v="2"/>
    <n v="201208"/>
    <n v="0"/>
  </r>
  <r>
    <x v="437"/>
    <x v="2"/>
    <m/>
    <x v="6"/>
    <x v="2"/>
    <x v="126"/>
    <m/>
    <m/>
    <m/>
    <n v="3"/>
    <n v="201208"/>
    <n v="60000"/>
  </r>
  <r>
    <x v="437"/>
    <x v="2"/>
    <m/>
    <x v="34"/>
    <x v="2"/>
    <x v="128"/>
    <m/>
    <m/>
    <m/>
    <n v="22"/>
    <n v="201208"/>
    <n v="816200"/>
  </r>
  <r>
    <x v="437"/>
    <x v="2"/>
    <m/>
    <x v="25"/>
    <x v="2"/>
    <x v="129"/>
    <m/>
    <m/>
    <m/>
    <n v="1"/>
    <n v="201208"/>
    <n v="99000"/>
  </r>
  <r>
    <x v="437"/>
    <x v="2"/>
    <m/>
    <x v="0"/>
    <x v="2"/>
    <x v="130"/>
    <m/>
    <m/>
    <m/>
    <n v="32"/>
    <n v="201208"/>
    <n v="1056000"/>
  </r>
  <r>
    <x v="437"/>
    <x v="2"/>
    <m/>
    <x v="0"/>
    <x v="2"/>
    <x v="131"/>
    <m/>
    <m/>
    <m/>
    <n v="1"/>
    <n v="201208"/>
    <n v="33000"/>
  </r>
  <r>
    <x v="437"/>
    <x v="2"/>
    <m/>
    <x v="0"/>
    <x v="2"/>
    <x v="131"/>
    <m/>
    <m/>
    <m/>
    <n v="1"/>
    <n v="201208"/>
    <n v="33000"/>
  </r>
  <r>
    <x v="437"/>
    <x v="2"/>
    <m/>
    <x v="0"/>
    <x v="2"/>
    <x v="168"/>
    <m/>
    <m/>
    <m/>
    <n v="2"/>
    <n v="201208"/>
    <n v="40000"/>
  </r>
  <r>
    <x v="437"/>
    <x v="2"/>
    <m/>
    <x v="0"/>
    <x v="2"/>
    <x v="178"/>
    <m/>
    <m/>
    <m/>
    <n v="3"/>
    <n v="201208"/>
    <n v="105000"/>
  </r>
  <r>
    <x v="437"/>
    <x v="2"/>
    <m/>
    <x v="32"/>
    <x v="2"/>
    <x v="180"/>
    <m/>
    <m/>
    <m/>
    <n v="1"/>
    <n v="201208"/>
    <n v="37100"/>
  </r>
  <r>
    <x v="437"/>
    <x v="2"/>
    <m/>
    <x v="0"/>
    <x v="2"/>
    <x v="179"/>
    <m/>
    <m/>
    <m/>
    <n v="1"/>
    <n v="201208"/>
    <n v="3000"/>
  </r>
  <r>
    <x v="437"/>
    <x v="2"/>
    <m/>
    <x v="30"/>
    <x v="2"/>
    <x v="132"/>
    <m/>
    <m/>
    <m/>
    <n v="2"/>
    <n v="201208"/>
    <n v="44800"/>
  </r>
  <r>
    <x v="437"/>
    <x v="2"/>
    <m/>
    <x v="34"/>
    <x v="2"/>
    <x v="134"/>
    <m/>
    <m/>
    <m/>
    <n v="1"/>
    <n v="201208"/>
    <n v="37100"/>
  </r>
  <r>
    <x v="437"/>
    <x v="2"/>
    <m/>
    <x v="1"/>
    <x v="2"/>
    <x v="135"/>
    <m/>
    <m/>
    <m/>
    <n v="3"/>
    <n v="201208"/>
    <n v="60000"/>
  </r>
  <r>
    <x v="437"/>
    <x v="2"/>
    <m/>
    <x v="1"/>
    <x v="2"/>
    <x v="165"/>
    <m/>
    <m/>
    <m/>
    <n v="1"/>
    <n v="201208"/>
    <n v="35000"/>
  </r>
  <r>
    <x v="437"/>
    <x v="2"/>
    <m/>
    <x v="36"/>
    <x v="2"/>
    <x v="136"/>
    <m/>
    <m/>
    <m/>
    <n v="1"/>
    <n v="201208"/>
    <n v="28000"/>
  </r>
  <r>
    <x v="437"/>
    <x v="2"/>
    <m/>
    <x v="36"/>
    <x v="2"/>
    <x v="176"/>
    <m/>
    <m/>
    <m/>
    <n v="1"/>
    <n v="201208"/>
    <n v="49000"/>
  </r>
  <r>
    <x v="437"/>
    <x v="2"/>
    <m/>
    <x v="0"/>
    <x v="2"/>
    <x v="138"/>
    <m/>
    <m/>
    <m/>
    <n v="20"/>
    <n v="201208"/>
    <n v="400000"/>
  </r>
  <r>
    <x v="437"/>
    <x v="2"/>
    <m/>
    <x v="0"/>
    <x v="2"/>
    <x v="139"/>
    <m/>
    <m/>
    <m/>
    <n v="25"/>
    <n v="201208"/>
    <n v="875000"/>
  </r>
  <r>
    <x v="437"/>
    <x v="2"/>
    <m/>
    <x v="32"/>
    <x v="2"/>
    <x v="140"/>
    <m/>
    <m/>
    <m/>
    <n v="13"/>
    <n v="201208"/>
    <n v="482300"/>
  </r>
  <r>
    <x v="437"/>
    <x v="2"/>
    <m/>
    <x v="18"/>
    <x v="2"/>
    <x v="125"/>
    <m/>
    <m/>
    <m/>
    <n v="20"/>
    <n v="201208"/>
    <n v="60000"/>
  </r>
  <r>
    <x v="437"/>
    <x v="2"/>
    <m/>
    <x v="4"/>
    <x v="2"/>
    <x v="142"/>
    <m/>
    <m/>
    <m/>
    <n v="1"/>
    <n v="201208"/>
    <n v="4000"/>
  </r>
  <r>
    <x v="437"/>
    <x v="2"/>
    <m/>
    <x v="4"/>
    <x v="2"/>
    <x v="143"/>
    <m/>
    <m/>
    <m/>
    <n v="1"/>
    <n v="201208"/>
    <n v="20000"/>
  </r>
  <r>
    <x v="437"/>
    <x v="2"/>
    <m/>
    <x v="4"/>
    <x v="2"/>
    <x v="144"/>
    <m/>
    <m/>
    <m/>
    <n v="2"/>
    <n v="201208"/>
    <n v="8000"/>
  </r>
  <r>
    <x v="437"/>
    <x v="2"/>
    <m/>
    <x v="31"/>
    <x v="2"/>
    <x v="145"/>
    <m/>
    <m/>
    <m/>
    <n v="16"/>
    <n v="201208"/>
    <n v="358400"/>
  </r>
  <r>
    <x v="437"/>
    <x v="2"/>
    <m/>
    <x v="31"/>
    <x v="2"/>
    <x v="146"/>
    <m/>
    <m/>
    <m/>
    <n v="27"/>
    <n v="201208"/>
    <n v="1058400"/>
  </r>
  <r>
    <x v="437"/>
    <x v="2"/>
    <m/>
    <x v="32"/>
    <x v="2"/>
    <x v="147"/>
    <m/>
    <m/>
    <m/>
    <n v="17"/>
    <n v="201208"/>
    <n v="630700"/>
  </r>
  <r>
    <x v="437"/>
    <x v="2"/>
    <m/>
    <x v="31"/>
    <x v="2"/>
    <x v="146"/>
    <m/>
    <m/>
    <m/>
    <n v="9"/>
    <n v="201208"/>
    <n v="352800"/>
  </r>
  <r>
    <x v="437"/>
    <x v="2"/>
    <m/>
    <x v="32"/>
    <x v="2"/>
    <x v="147"/>
    <m/>
    <m/>
    <m/>
    <n v="2"/>
    <n v="201208"/>
    <n v="74200"/>
  </r>
  <r>
    <x v="437"/>
    <x v="2"/>
    <m/>
    <x v="0"/>
    <x v="2"/>
    <x v="174"/>
    <m/>
    <m/>
    <m/>
    <n v="1"/>
    <n v="201208"/>
    <n v="35000"/>
  </r>
  <r>
    <x v="437"/>
    <x v="2"/>
    <m/>
    <x v="22"/>
    <x v="2"/>
    <x v="150"/>
    <m/>
    <m/>
    <m/>
    <n v="3"/>
    <n v="201208"/>
    <n v="114000"/>
  </r>
  <r>
    <x v="437"/>
    <x v="2"/>
    <m/>
    <x v="22"/>
    <x v="2"/>
    <x v="150"/>
    <m/>
    <m/>
    <m/>
    <n v="5"/>
    <n v="201208"/>
    <n v="190000"/>
  </r>
  <r>
    <x v="437"/>
    <x v="2"/>
    <m/>
    <x v="5"/>
    <x v="2"/>
    <x v="151"/>
    <m/>
    <m/>
    <m/>
    <n v="8"/>
    <n v="201208"/>
    <n v="224000"/>
  </r>
  <r>
    <x v="437"/>
    <x v="2"/>
    <m/>
    <x v="5"/>
    <x v="2"/>
    <x v="152"/>
    <m/>
    <m/>
    <m/>
    <n v="6"/>
    <n v="201208"/>
    <n v="288000"/>
  </r>
  <r>
    <x v="437"/>
    <x v="2"/>
    <m/>
    <x v="5"/>
    <x v="2"/>
    <x v="153"/>
    <m/>
    <m/>
    <m/>
    <n v="2"/>
    <n v="201208"/>
    <n v="56000"/>
  </r>
  <r>
    <x v="437"/>
    <x v="2"/>
    <m/>
    <x v="33"/>
    <x v="2"/>
    <x v="156"/>
    <m/>
    <m/>
    <m/>
    <n v="1"/>
    <n v="201208"/>
    <n v="33800"/>
  </r>
  <r>
    <x v="437"/>
    <x v="2"/>
    <m/>
    <x v="19"/>
    <x v="2"/>
    <x v="157"/>
    <m/>
    <m/>
    <m/>
    <n v="2"/>
    <n v="201208"/>
    <n v="26000"/>
  </r>
  <r>
    <x v="437"/>
    <x v="2"/>
    <m/>
    <x v="19"/>
    <x v="2"/>
    <x v="158"/>
    <m/>
    <m/>
    <m/>
    <n v="5"/>
    <n v="201208"/>
    <n v="120000"/>
  </r>
  <r>
    <x v="437"/>
    <x v="2"/>
    <m/>
    <x v="35"/>
    <x v="2"/>
    <x v="170"/>
    <m/>
    <m/>
    <m/>
    <n v="1"/>
    <n v="201208"/>
    <n v="4000"/>
  </r>
  <r>
    <x v="437"/>
    <x v="2"/>
    <m/>
    <x v="35"/>
    <x v="2"/>
    <x v="160"/>
    <m/>
    <m/>
    <m/>
    <n v="2"/>
    <n v="201208"/>
    <n v="40000"/>
  </r>
  <r>
    <x v="437"/>
    <x v="2"/>
    <m/>
    <x v="18"/>
    <x v="2"/>
    <x v="161"/>
    <m/>
    <m/>
    <m/>
    <n v="12"/>
    <n v="201208"/>
    <n v="36000"/>
  </r>
  <r>
    <x v="437"/>
    <x v="2"/>
    <m/>
    <x v="0"/>
    <x v="9"/>
    <x v="162"/>
    <m/>
    <m/>
    <m/>
    <n v="2"/>
    <n v="201208"/>
    <n v="40000"/>
  </r>
  <r>
    <x v="439"/>
    <x v="6"/>
    <m/>
    <x v="0"/>
    <x v="7"/>
    <x v="163"/>
    <m/>
    <m/>
    <m/>
    <n v="3"/>
    <n v="201208"/>
    <n v="60000"/>
  </r>
  <r>
    <x v="439"/>
    <x v="6"/>
    <m/>
    <x v="6"/>
    <x v="2"/>
    <x v="126"/>
    <m/>
    <m/>
    <m/>
    <n v="1"/>
    <n v="201208"/>
    <n v="20000"/>
  </r>
  <r>
    <x v="439"/>
    <x v="6"/>
    <m/>
    <x v="6"/>
    <x v="2"/>
    <x v="127"/>
    <m/>
    <m/>
    <m/>
    <n v="1"/>
    <n v="201208"/>
    <n v="35000"/>
  </r>
  <r>
    <x v="439"/>
    <x v="6"/>
    <m/>
    <x v="34"/>
    <x v="2"/>
    <x v="128"/>
    <m/>
    <m/>
    <m/>
    <n v="23"/>
    <n v="201208"/>
    <n v="853300"/>
  </r>
  <r>
    <x v="439"/>
    <x v="6"/>
    <m/>
    <x v="25"/>
    <x v="2"/>
    <x v="129"/>
    <m/>
    <m/>
    <m/>
    <n v="3"/>
    <n v="201208"/>
    <n v="297000"/>
  </r>
  <r>
    <x v="439"/>
    <x v="6"/>
    <m/>
    <x v="0"/>
    <x v="2"/>
    <x v="130"/>
    <m/>
    <m/>
    <m/>
    <n v="29"/>
    <n v="201208"/>
    <n v="957000"/>
  </r>
  <r>
    <x v="439"/>
    <x v="6"/>
    <m/>
    <x v="0"/>
    <x v="2"/>
    <x v="131"/>
    <m/>
    <m/>
    <m/>
    <n v="1"/>
    <n v="201208"/>
    <n v="33000"/>
  </r>
  <r>
    <x v="439"/>
    <x v="6"/>
    <m/>
    <x v="0"/>
    <x v="2"/>
    <x v="168"/>
    <m/>
    <m/>
    <m/>
    <n v="7"/>
    <n v="201208"/>
    <n v="140000"/>
  </r>
  <r>
    <x v="439"/>
    <x v="6"/>
    <m/>
    <x v="0"/>
    <x v="2"/>
    <x v="178"/>
    <m/>
    <m/>
    <m/>
    <n v="1"/>
    <n v="201208"/>
    <n v="35000"/>
  </r>
  <r>
    <x v="439"/>
    <x v="6"/>
    <m/>
    <x v="32"/>
    <x v="2"/>
    <x v="180"/>
    <m/>
    <m/>
    <m/>
    <n v="1"/>
    <n v="201208"/>
    <n v="37100"/>
  </r>
  <r>
    <x v="439"/>
    <x v="6"/>
    <m/>
    <x v="0"/>
    <x v="2"/>
    <x v="179"/>
    <m/>
    <m/>
    <m/>
    <n v="4"/>
    <n v="201208"/>
    <n v="12000"/>
  </r>
  <r>
    <x v="439"/>
    <x v="6"/>
    <m/>
    <x v="30"/>
    <x v="2"/>
    <x v="132"/>
    <m/>
    <m/>
    <m/>
    <n v="4"/>
    <n v="201208"/>
    <n v="89600"/>
  </r>
  <r>
    <x v="439"/>
    <x v="6"/>
    <m/>
    <x v="30"/>
    <x v="2"/>
    <x v="133"/>
    <m/>
    <m/>
    <m/>
    <n v="2"/>
    <n v="201208"/>
    <n v="78400"/>
  </r>
  <r>
    <x v="439"/>
    <x v="6"/>
    <m/>
    <x v="34"/>
    <x v="2"/>
    <x v="134"/>
    <m/>
    <m/>
    <m/>
    <n v="2"/>
    <n v="201208"/>
    <n v="74200"/>
  </r>
  <r>
    <x v="439"/>
    <x v="6"/>
    <m/>
    <x v="1"/>
    <x v="2"/>
    <x v="135"/>
    <m/>
    <m/>
    <m/>
    <n v="2"/>
    <n v="201208"/>
    <n v="40000"/>
  </r>
  <r>
    <x v="439"/>
    <x v="6"/>
    <m/>
    <x v="36"/>
    <x v="2"/>
    <x v="136"/>
    <m/>
    <m/>
    <m/>
    <n v="4"/>
    <n v="201208"/>
    <n v="112000"/>
  </r>
  <r>
    <x v="439"/>
    <x v="6"/>
    <m/>
    <x v="36"/>
    <x v="2"/>
    <x v="137"/>
    <m/>
    <m/>
    <m/>
    <n v="1"/>
    <n v="201208"/>
    <n v="42000"/>
  </r>
  <r>
    <x v="439"/>
    <x v="6"/>
    <m/>
    <x v="0"/>
    <x v="2"/>
    <x v="138"/>
    <m/>
    <m/>
    <m/>
    <n v="38"/>
    <n v="201208"/>
    <n v="760000"/>
  </r>
  <r>
    <x v="439"/>
    <x v="6"/>
    <m/>
    <x v="0"/>
    <x v="2"/>
    <x v="139"/>
    <m/>
    <m/>
    <m/>
    <n v="13"/>
    <n v="201208"/>
    <n v="455000"/>
  </r>
  <r>
    <x v="439"/>
    <x v="6"/>
    <m/>
    <x v="32"/>
    <x v="2"/>
    <x v="140"/>
    <m/>
    <m/>
    <m/>
    <n v="6"/>
    <n v="201208"/>
    <n v="222600"/>
  </r>
  <r>
    <x v="439"/>
    <x v="6"/>
    <m/>
    <x v="18"/>
    <x v="2"/>
    <x v="125"/>
    <m/>
    <m/>
    <m/>
    <n v="19"/>
    <n v="201208"/>
    <n v="57000"/>
  </r>
  <r>
    <x v="439"/>
    <x v="6"/>
    <m/>
    <x v="0"/>
    <x v="2"/>
    <x v="141"/>
    <m/>
    <m/>
    <m/>
    <n v="3"/>
    <n v="201208"/>
    <n v="99000"/>
  </r>
  <r>
    <x v="439"/>
    <x v="6"/>
    <m/>
    <x v="4"/>
    <x v="2"/>
    <x v="142"/>
    <m/>
    <m/>
    <m/>
    <n v="4"/>
    <n v="201208"/>
    <n v="16000"/>
  </r>
  <r>
    <x v="439"/>
    <x v="6"/>
    <m/>
    <x v="4"/>
    <x v="2"/>
    <x v="143"/>
    <m/>
    <m/>
    <m/>
    <n v="6"/>
    <n v="201208"/>
    <n v="120000"/>
  </r>
  <r>
    <x v="439"/>
    <x v="6"/>
    <m/>
    <x v="4"/>
    <x v="2"/>
    <x v="144"/>
    <m/>
    <m/>
    <m/>
    <n v="1"/>
    <n v="201208"/>
    <n v="4000"/>
  </r>
  <r>
    <x v="439"/>
    <x v="6"/>
    <m/>
    <x v="31"/>
    <x v="2"/>
    <x v="145"/>
    <m/>
    <m/>
    <m/>
    <n v="25"/>
    <n v="201208"/>
    <n v="560000"/>
  </r>
  <r>
    <x v="439"/>
    <x v="6"/>
    <m/>
    <x v="31"/>
    <x v="2"/>
    <x v="146"/>
    <m/>
    <m/>
    <m/>
    <n v="35"/>
    <n v="201208"/>
    <n v="1372000"/>
  </r>
  <r>
    <x v="439"/>
    <x v="6"/>
    <m/>
    <x v="32"/>
    <x v="2"/>
    <x v="147"/>
    <m/>
    <m/>
    <m/>
    <n v="9"/>
    <n v="201208"/>
    <n v="333900"/>
  </r>
  <r>
    <x v="439"/>
    <x v="6"/>
    <m/>
    <x v="31"/>
    <x v="2"/>
    <x v="145"/>
    <m/>
    <m/>
    <m/>
    <n v="2"/>
    <n v="201208"/>
    <n v="44800"/>
  </r>
  <r>
    <x v="439"/>
    <x v="6"/>
    <m/>
    <x v="31"/>
    <x v="2"/>
    <x v="146"/>
    <m/>
    <m/>
    <m/>
    <n v="3"/>
    <n v="201208"/>
    <n v="117600"/>
  </r>
  <r>
    <x v="439"/>
    <x v="6"/>
    <m/>
    <x v="32"/>
    <x v="2"/>
    <x v="147"/>
    <m/>
    <m/>
    <m/>
    <n v="2"/>
    <n v="201208"/>
    <n v="74200"/>
  </r>
  <r>
    <x v="439"/>
    <x v="6"/>
    <m/>
    <x v="0"/>
    <x v="2"/>
    <x v="148"/>
    <m/>
    <m/>
    <m/>
    <n v="1"/>
    <n v="201208"/>
    <n v="20000"/>
  </r>
  <r>
    <x v="439"/>
    <x v="6"/>
    <m/>
    <x v="0"/>
    <x v="2"/>
    <x v="149"/>
    <m/>
    <m/>
    <m/>
    <n v="3"/>
    <n v="201208"/>
    <n v="60000"/>
  </r>
  <r>
    <x v="439"/>
    <x v="6"/>
    <m/>
    <x v="18"/>
    <x v="2"/>
    <x v="166"/>
    <m/>
    <m/>
    <m/>
    <n v="1"/>
    <n v="201208"/>
    <n v="3000"/>
  </r>
  <r>
    <x v="439"/>
    <x v="6"/>
    <m/>
    <x v="22"/>
    <x v="2"/>
    <x v="150"/>
    <m/>
    <m/>
    <m/>
    <n v="4"/>
    <n v="201208"/>
    <n v="152000"/>
  </r>
  <r>
    <x v="439"/>
    <x v="6"/>
    <m/>
    <x v="22"/>
    <x v="2"/>
    <x v="150"/>
    <m/>
    <m/>
    <m/>
    <n v="2"/>
    <n v="201208"/>
    <n v="76000"/>
  </r>
  <r>
    <x v="439"/>
    <x v="6"/>
    <m/>
    <x v="5"/>
    <x v="2"/>
    <x v="151"/>
    <m/>
    <m/>
    <m/>
    <n v="9"/>
    <n v="201208"/>
    <n v="252000"/>
  </r>
  <r>
    <x v="439"/>
    <x v="6"/>
    <m/>
    <x v="5"/>
    <x v="2"/>
    <x v="152"/>
    <m/>
    <m/>
    <m/>
    <n v="4"/>
    <n v="201208"/>
    <n v="192000"/>
  </r>
  <r>
    <x v="439"/>
    <x v="6"/>
    <m/>
    <x v="5"/>
    <x v="2"/>
    <x v="153"/>
    <m/>
    <m/>
    <m/>
    <n v="5"/>
    <n v="201208"/>
    <n v="140000"/>
  </r>
  <r>
    <x v="439"/>
    <x v="6"/>
    <m/>
    <x v="33"/>
    <x v="2"/>
    <x v="156"/>
    <m/>
    <m/>
    <m/>
    <n v="1"/>
    <n v="201208"/>
    <n v="33800"/>
  </r>
  <r>
    <x v="439"/>
    <x v="6"/>
    <m/>
    <x v="19"/>
    <x v="2"/>
    <x v="157"/>
    <m/>
    <m/>
    <m/>
    <n v="12"/>
    <n v="201208"/>
    <n v="156000"/>
  </r>
  <r>
    <x v="439"/>
    <x v="6"/>
    <m/>
    <x v="19"/>
    <x v="2"/>
    <x v="158"/>
    <m/>
    <m/>
    <m/>
    <n v="4"/>
    <n v="201208"/>
    <n v="96000"/>
  </r>
  <r>
    <x v="439"/>
    <x v="6"/>
    <m/>
    <x v="19"/>
    <x v="2"/>
    <x v="159"/>
    <m/>
    <m/>
    <m/>
    <n v="3"/>
    <n v="201208"/>
    <n v="99000"/>
  </r>
  <r>
    <x v="439"/>
    <x v="6"/>
    <m/>
    <x v="19"/>
    <x v="2"/>
    <x v="181"/>
    <m/>
    <m/>
    <m/>
    <n v="2"/>
    <n v="201208"/>
    <n v="26000"/>
  </r>
  <r>
    <x v="439"/>
    <x v="6"/>
    <m/>
    <x v="35"/>
    <x v="2"/>
    <x v="170"/>
    <m/>
    <m/>
    <m/>
    <n v="2"/>
    <n v="201208"/>
    <n v="8000"/>
  </r>
  <r>
    <x v="439"/>
    <x v="6"/>
    <m/>
    <x v="18"/>
    <x v="2"/>
    <x v="161"/>
    <m/>
    <m/>
    <m/>
    <n v="8"/>
    <n v="201208"/>
    <n v="24000"/>
  </r>
  <r>
    <x v="439"/>
    <x v="6"/>
    <m/>
    <x v="18"/>
    <x v="2"/>
    <x v="161"/>
    <m/>
    <m/>
    <m/>
    <n v="1"/>
    <n v="201208"/>
    <n v="3000"/>
  </r>
  <r>
    <x v="438"/>
    <x v="5"/>
    <m/>
    <x v="0"/>
    <x v="7"/>
    <x v="163"/>
    <m/>
    <m/>
    <m/>
    <n v="2"/>
    <n v="201208"/>
    <n v="40000"/>
  </r>
  <r>
    <x v="438"/>
    <x v="5"/>
    <m/>
    <x v="6"/>
    <x v="2"/>
    <x v="126"/>
    <m/>
    <m/>
    <m/>
    <n v="2"/>
    <n v="201208"/>
    <n v="40000"/>
  </r>
  <r>
    <x v="438"/>
    <x v="5"/>
    <m/>
    <x v="34"/>
    <x v="2"/>
    <x v="128"/>
    <m/>
    <m/>
    <m/>
    <n v="13"/>
    <n v="201208"/>
    <n v="482300"/>
  </r>
  <r>
    <x v="438"/>
    <x v="5"/>
    <m/>
    <x v="25"/>
    <x v="2"/>
    <x v="129"/>
    <m/>
    <m/>
    <m/>
    <n v="1"/>
    <n v="201208"/>
    <n v="99000"/>
  </r>
  <r>
    <x v="438"/>
    <x v="5"/>
    <m/>
    <x v="0"/>
    <x v="2"/>
    <x v="130"/>
    <m/>
    <m/>
    <m/>
    <n v="18"/>
    <n v="201208"/>
    <n v="594000"/>
  </r>
  <r>
    <x v="438"/>
    <x v="5"/>
    <m/>
    <x v="0"/>
    <x v="2"/>
    <x v="131"/>
    <m/>
    <m/>
    <m/>
    <n v="3"/>
    <n v="201208"/>
    <n v="99000"/>
  </r>
  <r>
    <x v="438"/>
    <x v="5"/>
    <m/>
    <x v="0"/>
    <x v="2"/>
    <x v="168"/>
    <m/>
    <m/>
    <m/>
    <n v="1"/>
    <n v="201208"/>
    <n v="20000"/>
  </r>
  <r>
    <x v="438"/>
    <x v="5"/>
    <m/>
    <x v="0"/>
    <x v="2"/>
    <x v="178"/>
    <m/>
    <m/>
    <m/>
    <n v="1"/>
    <n v="201208"/>
    <n v="35000"/>
  </r>
  <r>
    <x v="438"/>
    <x v="5"/>
    <m/>
    <x v="0"/>
    <x v="2"/>
    <x v="179"/>
    <m/>
    <m/>
    <m/>
    <n v="1"/>
    <n v="201208"/>
    <n v="3000"/>
  </r>
  <r>
    <x v="438"/>
    <x v="5"/>
    <m/>
    <x v="30"/>
    <x v="2"/>
    <x v="132"/>
    <m/>
    <m/>
    <m/>
    <n v="4"/>
    <n v="201208"/>
    <n v="89600"/>
  </r>
  <r>
    <x v="438"/>
    <x v="5"/>
    <m/>
    <x v="1"/>
    <x v="2"/>
    <x v="135"/>
    <m/>
    <m/>
    <m/>
    <n v="2"/>
    <n v="201208"/>
    <n v="40000"/>
  </r>
  <r>
    <x v="438"/>
    <x v="5"/>
    <m/>
    <x v="36"/>
    <x v="2"/>
    <x v="136"/>
    <m/>
    <m/>
    <m/>
    <n v="5"/>
    <n v="201208"/>
    <n v="140000"/>
  </r>
  <r>
    <x v="438"/>
    <x v="5"/>
    <m/>
    <x v="36"/>
    <x v="2"/>
    <x v="137"/>
    <m/>
    <m/>
    <m/>
    <n v="2"/>
    <n v="201208"/>
    <n v="84000"/>
  </r>
  <r>
    <x v="438"/>
    <x v="5"/>
    <m/>
    <x v="0"/>
    <x v="2"/>
    <x v="138"/>
    <m/>
    <m/>
    <m/>
    <n v="31"/>
    <n v="201208"/>
    <n v="620000"/>
  </r>
  <r>
    <x v="438"/>
    <x v="5"/>
    <m/>
    <x v="0"/>
    <x v="2"/>
    <x v="139"/>
    <m/>
    <m/>
    <m/>
    <n v="17"/>
    <n v="201208"/>
    <n v="595000"/>
  </r>
  <r>
    <x v="438"/>
    <x v="5"/>
    <m/>
    <x v="32"/>
    <x v="2"/>
    <x v="140"/>
    <m/>
    <m/>
    <m/>
    <n v="10"/>
    <n v="201208"/>
    <n v="371000"/>
  </r>
  <r>
    <x v="438"/>
    <x v="5"/>
    <m/>
    <x v="18"/>
    <x v="2"/>
    <x v="125"/>
    <m/>
    <m/>
    <m/>
    <n v="16"/>
    <n v="201208"/>
    <n v="48000"/>
  </r>
  <r>
    <x v="438"/>
    <x v="5"/>
    <m/>
    <x v="0"/>
    <x v="2"/>
    <x v="138"/>
    <m/>
    <m/>
    <m/>
    <n v="1"/>
    <n v="201208"/>
    <n v="20000"/>
  </r>
  <r>
    <x v="438"/>
    <x v="5"/>
    <m/>
    <x v="4"/>
    <x v="2"/>
    <x v="142"/>
    <m/>
    <m/>
    <m/>
    <n v="1"/>
    <n v="201208"/>
    <n v="4000"/>
  </r>
  <r>
    <x v="438"/>
    <x v="5"/>
    <m/>
    <x v="31"/>
    <x v="2"/>
    <x v="145"/>
    <m/>
    <m/>
    <m/>
    <n v="17"/>
    <n v="201208"/>
    <n v="380800"/>
  </r>
  <r>
    <x v="438"/>
    <x v="5"/>
    <m/>
    <x v="31"/>
    <x v="2"/>
    <x v="146"/>
    <m/>
    <m/>
    <m/>
    <n v="19"/>
    <n v="201208"/>
    <n v="744800"/>
  </r>
  <r>
    <x v="438"/>
    <x v="5"/>
    <m/>
    <x v="32"/>
    <x v="2"/>
    <x v="147"/>
    <m/>
    <m/>
    <m/>
    <n v="16"/>
    <n v="201208"/>
    <n v="593600"/>
  </r>
  <r>
    <x v="438"/>
    <x v="5"/>
    <m/>
    <x v="31"/>
    <x v="2"/>
    <x v="145"/>
    <m/>
    <m/>
    <m/>
    <n v="2"/>
    <n v="201208"/>
    <n v="44800"/>
  </r>
  <r>
    <x v="438"/>
    <x v="5"/>
    <m/>
    <x v="31"/>
    <x v="2"/>
    <x v="146"/>
    <m/>
    <m/>
    <m/>
    <n v="5"/>
    <n v="201208"/>
    <n v="196000"/>
  </r>
  <r>
    <x v="438"/>
    <x v="5"/>
    <m/>
    <x v="32"/>
    <x v="2"/>
    <x v="147"/>
    <m/>
    <m/>
    <m/>
    <n v="3"/>
    <n v="201208"/>
    <n v="111300"/>
  </r>
  <r>
    <x v="438"/>
    <x v="5"/>
    <m/>
    <x v="0"/>
    <x v="2"/>
    <x v="148"/>
    <m/>
    <m/>
    <m/>
    <n v="1"/>
    <n v="201208"/>
    <n v="20000"/>
  </r>
  <r>
    <x v="438"/>
    <x v="5"/>
    <m/>
    <x v="22"/>
    <x v="2"/>
    <x v="150"/>
    <m/>
    <m/>
    <m/>
    <n v="4"/>
    <n v="201208"/>
    <n v="152000"/>
  </r>
  <r>
    <x v="438"/>
    <x v="5"/>
    <m/>
    <x v="22"/>
    <x v="2"/>
    <x v="150"/>
    <m/>
    <m/>
    <m/>
    <n v="4"/>
    <n v="201208"/>
    <n v="152000"/>
  </r>
  <r>
    <x v="438"/>
    <x v="5"/>
    <m/>
    <x v="5"/>
    <x v="2"/>
    <x v="151"/>
    <m/>
    <m/>
    <m/>
    <n v="10"/>
    <n v="201208"/>
    <n v="280000"/>
  </r>
  <r>
    <x v="438"/>
    <x v="5"/>
    <m/>
    <x v="5"/>
    <x v="2"/>
    <x v="152"/>
    <m/>
    <m/>
    <m/>
    <n v="5"/>
    <n v="201208"/>
    <n v="240000"/>
  </r>
  <r>
    <x v="438"/>
    <x v="5"/>
    <m/>
    <x v="5"/>
    <x v="2"/>
    <x v="153"/>
    <m/>
    <m/>
    <m/>
    <n v="3"/>
    <n v="201208"/>
    <n v="84000"/>
  </r>
  <r>
    <x v="438"/>
    <x v="5"/>
    <m/>
    <x v="33"/>
    <x v="2"/>
    <x v="156"/>
    <m/>
    <m/>
    <m/>
    <n v="1"/>
    <n v="201208"/>
    <n v="33800"/>
  </r>
  <r>
    <x v="438"/>
    <x v="5"/>
    <m/>
    <x v="19"/>
    <x v="2"/>
    <x v="157"/>
    <m/>
    <m/>
    <m/>
    <n v="10"/>
    <n v="201208"/>
    <n v="130000"/>
  </r>
  <r>
    <x v="438"/>
    <x v="5"/>
    <m/>
    <x v="19"/>
    <x v="2"/>
    <x v="158"/>
    <m/>
    <m/>
    <m/>
    <n v="3"/>
    <n v="201208"/>
    <n v="72000"/>
  </r>
  <r>
    <x v="438"/>
    <x v="5"/>
    <m/>
    <x v="35"/>
    <x v="2"/>
    <x v="160"/>
    <m/>
    <m/>
    <m/>
    <n v="1"/>
    <n v="201208"/>
    <n v="20000"/>
  </r>
  <r>
    <x v="438"/>
    <x v="5"/>
    <m/>
    <x v="18"/>
    <x v="2"/>
    <x v="161"/>
    <m/>
    <m/>
    <m/>
    <n v="8"/>
    <n v="201208"/>
    <n v="24000"/>
  </r>
  <r>
    <x v="438"/>
    <x v="5"/>
    <m/>
    <x v="18"/>
    <x v="2"/>
    <x v="161"/>
    <m/>
    <m/>
    <m/>
    <n v="1"/>
    <n v="201208"/>
    <n v="3000"/>
  </r>
  <r>
    <x v="438"/>
    <x v="5"/>
    <m/>
    <x v="19"/>
    <x v="6"/>
    <x v="181"/>
    <m/>
    <m/>
    <m/>
    <n v="0"/>
    <n v="201208"/>
    <n v="0"/>
  </r>
  <r>
    <x v="440"/>
    <x v="3"/>
    <m/>
    <x v="0"/>
    <x v="1"/>
    <x v="123"/>
    <m/>
    <m/>
    <m/>
    <n v="8"/>
    <n v="201208"/>
    <n v="280000"/>
  </r>
  <r>
    <x v="440"/>
    <x v="3"/>
    <m/>
    <x v="0"/>
    <x v="7"/>
    <x v="163"/>
    <m/>
    <m/>
    <m/>
    <n v="2"/>
    <n v="201208"/>
    <n v="40000"/>
  </r>
  <r>
    <x v="440"/>
    <x v="3"/>
    <m/>
    <x v="0"/>
    <x v="3"/>
    <x v="164"/>
    <m/>
    <m/>
    <m/>
    <n v="3"/>
    <n v="201208"/>
    <n v="0"/>
  </r>
  <r>
    <x v="440"/>
    <x v="3"/>
    <m/>
    <x v="5"/>
    <x v="3"/>
    <x v="182"/>
    <m/>
    <m/>
    <m/>
    <n v="5"/>
    <n v="201208"/>
    <n v="0"/>
  </r>
  <r>
    <x v="440"/>
    <x v="3"/>
    <m/>
    <x v="6"/>
    <x v="2"/>
    <x v="126"/>
    <m/>
    <m/>
    <m/>
    <n v="2"/>
    <n v="201208"/>
    <n v="40000"/>
  </r>
  <r>
    <x v="440"/>
    <x v="3"/>
    <m/>
    <x v="34"/>
    <x v="2"/>
    <x v="128"/>
    <m/>
    <m/>
    <m/>
    <n v="24"/>
    <n v="201208"/>
    <n v="890400"/>
  </r>
  <r>
    <x v="440"/>
    <x v="3"/>
    <m/>
    <x v="25"/>
    <x v="2"/>
    <x v="129"/>
    <m/>
    <m/>
    <m/>
    <n v="1"/>
    <n v="201208"/>
    <n v="99000"/>
  </r>
  <r>
    <x v="440"/>
    <x v="3"/>
    <m/>
    <x v="0"/>
    <x v="2"/>
    <x v="130"/>
    <m/>
    <m/>
    <m/>
    <n v="42"/>
    <n v="201208"/>
    <n v="1386000"/>
  </r>
  <r>
    <x v="440"/>
    <x v="3"/>
    <m/>
    <x v="0"/>
    <x v="2"/>
    <x v="131"/>
    <m/>
    <m/>
    <m/>
    <n v="4"/>
    <n v="201208"/>
    <n v="132000"/>
  </r>
  <r>
    <x v="440"/>
    <x v="3"/>
    <m/>
    <x v="0"/>
    <x v="2"/>
    <x v="168"/>
    <m/>
    <m/>
    <m/>
    <n v="2"/>
    <n v="201208"/>
    <n v="40000"/>
  </r>
  <r>
    <x v="440"/>
    <x v="3"/>
    <m/>
    <x v="0"/>
    <x v="2"/>
    <x v="178"/>
    <m/>
    <m/>
    <m/>
    <n v="1"/>
    <n v="201208"/>
    <n v="35000"/>
  </r>
  <r>
    <x v="440"/>
    <x v="3"/>
    <m/>
    <x v="32"/>
    <x v="2"/>
    <x v="180"/>
    <m/>
    <m/>
    <m/>
    <n v="1"/>
    <n v="201208"/>
    <n v="37100"/>
  </r>
  <r>
    <x v="440"/>
    <x v="3"/>
    <m/>
    <x v="0"/>
    <x v="2"/>
    <x v="179"/>
    <m/>
    <m/>
    <m/>
    <n v="2"/>
    <n v="201208"/>
    <n v="6000"/>
  </r>
  <r>
    <x v="440"/>
    <x v="3"/>
    <m/>
    <x v="30"/>
    <x v="2"/>
    <x v="132"/>
    <m/>
    <m/>
    <m/>
    <n v="8"/>
    <n v="201208"/>
    <n v="179200"/>
  </r>
  <r>
    <x v="440"/>
    <x v="3"/>
    <m/>
    <x v="30"/>
    <x v="2"/>
    <x v="133"/>
    <m/>
    <m/>
    <m/>
    <n v="2"/>
    <n v="201208"/>
    <n v="78400"/>
  </r>
  <r>
    <x v="440"/>
    <x v="3"/>
    <m/>
    <x v="34"/>
    <x v="2"/>
    <x v="134"/>
    <m/>
    <m/>
    <m/>
    <n v="2"/>
    <n v="201208"/>
    <n v="74200"/>
  </r>
  <r>
    <x v="440"/>
    <x v="3"/>
    <m/>
    <x v="1"/>
    <x v="2"/>
    <x v="135"/>
    <m/>
    <m/>
    <m/>
    <n v="1"/>
    <n v="201208"/>
    <n v="20000"/>
  </r>
  <r>
    <x v="440"/>
    <x v="3"/>
    <m/>
    <x v="1"/>
    <x v="2"/>
    <x v="183"/>
    <m/>
    <m/>
    <m/>
    <n v="1"/>
    <n v="201208"/>
    <n v="17500"/>
  </r>
  <r>
    <x v="440"/>
    <x v="3"/>
    <m/>
    <x v="36"/>
    <x v="2"/>
    <x v="136"/>
    <m/>
    <m/>
    <m/>
    <n v="4"/>
    <n v="201208"/>
    <n v="112000"/>
  </r>
  <r>
    <x v="440"/>
    <x v="3"/>
    <m/>
    <x v="36"/>
    <x v="2"/>
    <x v="176"/>
    <m/>
    <m/>
    <m/>
    <n v="1"/>
    <n v="201208"/>
    <n v="49000"/>
  </r>
  <r>
    <x v="440"/>
    <x v="3"/>
    <m/>
    <x v="36"/>
    <x v="2"/>
    <x v="137"/>
    <m/>
    <m/>
    <m/>
    <n v="1"/>
    <n v="201208"/>
    <n v="42000"/>
  </r>
  <r>
    <x v="440"/>
    <x v="3"/>
    <m/>
    <x v="0"/>
    <x v="2"/>
    <x v="138"/>
    <m/>
    <m/>
    <m/>
    <n v="36"/>
    <n v="201208"/>
    <n v="720000"/>
  </r>
  <r>
    <x v="440"/>
    <x v="3"/>
    <m/>
    <x v="0"/>
    <x v="2"/>
    <x v="139"/>
    <m/>
    <m/>
    <m/>
    <n v="25"/>
    <n v="201208"/>
    <n v="875000"/>
  </r>
  <r>
    <x v="440"/>
    <x v="3"/>
    <m/>
    <x v="32"/>
    <x v="2"/>
    <x v="140"/>
    <m/>
    <m/>
    <m/>
    <n v="4"/>
    <n v="201208"/>
    <n v="148400"/>
  </r>
  <r>
    <x v="440"/>
    <x v="3"/>
    <m/>
    <x v="18"/>
    <x v="2"/>
    <x v="125"/>
    <m/>
    <m/>
    <m/>
    <n v="24"/>
    <n v="201208"/>
    <n v="72000"/>
  </r>
  <r>
    <x v="440"/>
    <x v="3"/>
    <m/>
    <x v="0"/>
    <x v="2"/>
    <x v="139"/>
    <m/>
    <m/>
    <m/>
    <n v="1"/>
    <n v="201208"/>
    <n v="35000"/>
  </r>
  <r>
    <x v="440"/>
    <x v="3"/>
    <m/>
    <x v="0"/>
    <x v="2"/>
    <x v="141"/>
    <m/>
    <m/>
    <m/>
    <n v="4"/>
    <n v="201208"/>
    <n v="132000"/>
  </r>
  <r>
    <x v="440"/>
    <x v="3"/>
    <m/>
    <x v="4"/>
    <x v="2"/>
    <x v="142"/>
    <m/>
    <m/>
    <m/>
    <n v="4"/>
    <n v="201208"/>
    <n v="16000"/>
  </r>
  <r>
    <x v="440"/>
    <x v="3"/>
    <m/>
    <x v="4"/>
    <x v="2"/>
    <x v="143"/>
    <m/>
    <m/>
    <m/>
    <n v="6"/>
    <n v="201208"/>
    <n v="120000"/>
  </r>
  <r>
    <x v="440"/>
    <x v="3"/>
    <m/>
    <x v="4"/>
    <x v="2"/>
    <x v="144"/>
    <m/>
    <m/>
    <m/>
    <n v="7"/>
    <n v="201208"/>
    <n v="28000"/>
  </r>
  <r>
    <x v="440"/>
    <x v="3"/>
    <m/>
    <x v="31"/>
    <x v="2"/>
    <x v="145"/>
    <m/>
    <m/>
    <m/>
    <n v="30"/>
    <n v="201208"/>
    <n v="672000"/>
  </r>
  <r>
    <x v="440"/>
    <x v="3"/>
    <m/>
    <x v="31"/>
    <x v="2"/>
    <x v="146"/>
    <m/>
    <m/>
    <m/>
    <n v="22"/>
    <n v="201208"/>
    <n v="862400"/>
  </r>
  <r>
    <x v="440"/>
    <x v="3"/>
    <m/>
    <x v="32"/>
    <x v="2"/>
    <x v="147"/>
    <m/>
    <m/>
    <m/>
    <n v="16"/>
    <n v="201208"/>
    <n v="593600"/>
  </r>
  <r>
    <x v="440"/>
    <x v="3"/>
    <m/>
    <x v="31"/>
    <x v="2"/>
    <x v="145"/>
    <m/>
    <m/>
    <m/>
    <n v="1"/>
    <n v="201208"/>
    <n v="22400"/>
  </r>
  <r>
    <x v="440"/>
    <x v="3"/>
    <m/>
    <x v="31"/>
    <x v="2"/>
    <x v="146"/>
    <m/>
    <m/>
    <m/>
    <n v="4"/>
    <n v="201208"/>
    <n v="156800"/>
  </r>
  <r>
    <x v="440"/>
    <x v="3"/>
    <m/>
    <x v="32"/>
    <x v="2"/>
    <x v="147"/>
    <m/>
    <m/>
    <m/>
    <n v="2"/>
    <n v="201208"/>
    <n v="74200"/>
  </r>
  <r>
    <x v="440"/>
    <x v="3"/>
    <m/>
    <x v="22"/>
    <x v="2"/>
    <x v="150"/>
    <m/>
    <m/>
    <m/>
    <n v="6"/>
    <n v="201208"/>
    <n v="228000"/>
  </r>
  <r>
    <x v="440"/>
    <x v="3"/>
    <m/>
    <x v="22"/>
    <x v="2"/>
    <x v="150"/>
    <m/>
    <m/>
    <m/>
    <n v="2"/>
    <n v="201208"/>
    <n v="76000"/>
  </r>
  <r>
    <x v="440"/>
    <x v="3"/>
    <m/>
    <x v="5"/>
    <x v="2"/>
    <x v="151"/>
    <m/>
    <m/>
    <m/>
    <n v="23"/>
    <n v="201208"/>
    <n v="644000"/>
  </r>
  <r>
    <x v="440"/>
    <x v="3"/>
    <m/>
    <x v="5"/>
    <x v="2"/>
    <x v="152"/>
    <m/>
    <m/>
    <m/>
    <n v="4"/>
    <n v="201208"/>
    <n v="192000"/>
  </r>
  <r>
    <x v="440"/>
    <x v="3"/>
    <m/>
    <x v="5"/>
    <x v="2"/>
    <x v="153"/>
    <m/>
    <m/>
    <m/>
    <n v="1"/>
    <n v="201208"/>
    <n v="28000"/>
  </r>
  <r>
    <x v="440"/>
    <x v="3"/>
    <m/>
    <x v="33"/>
    <x v="2"/>
    <x v="155"/>
    <m/>
    <m/>
    <m/>
    <n v="3"/>
    <n v="201208"/>
    <n v="54600"/>
  </r>
  <r>
    <x v="440"/>
    <x v="3"/>
    <m/>
    <x v="33"/>
    <x v="2"/>
    <x v="156"/>
    <m/>
    <m/>
    <m/>
    <n v="1"/>
    <n v="201208"/>
    <n v="33800"/>
  </r>
  <r>
    <x v="440"/>
    <x v="3"/>
    <m/>
    <x v="19"/>
    <x v="2"/>
    <x v="157"/>
    <m/>
    <m/>
    <m/>
    <n v="11"/>
    <n v="201208"/>
    <n v="143000"/>
  </r>
  <r>
    <x v="440"/>
    <x v="3"/>
    <m/>
    <x v="19"/>
    <x v="2"/>
    <x v="158"/>
    <m/>
    <m/>
    <m/>
    <n v="7"/>
    <n v="201208"/>
    <n v="168000"/>
  </r>
  <r>
    <x v="440"/>
    <x v="3"/>
    <m/>
    <x v="35"/>
    <x v="2"/>
    <x v="170"/>
    <m/>
    <m/>
    <m/>
    <n v="3"/>
    <n v="201208"/>
    <n v="12000"/>
  </r>
  <r>
    <x v="440"/>
    <x v="3"/>
    <m/>
    <x v="35"/>
    <x v="2"/>
    <x v="160"/>
    <m/>
    <m/>
    <m/>
    <n v="3"/>
    <n v="201208"/>
    <n v="60000"/>
  </r>
  <r>
    <x v="440"/>
    <x v="3"/>
    <m/>
    <x v="18"/>
    <x v="2"/>
    <x v="161"/>
    <m/>
    <m/>
    <m/>
    <n v="34"/>
    <n v="201208"/>
    <n v="102000"/>
  </r>
  <r>
    <x v="440"/>
    <x v="3"/>
    <m/>
    <x v="0"/>
    <x v="9"/>
    <x v="162"/>
    <m/>
    <m/>
    <m/>
    <n v="2"/>
    <n v="201208"/>
    <n v="40000"/>
  </r>
  <r>
    <x v="441"/>
    <x v="4"/>
    <m/>
    <x v="0"/>
    <x v="7"/>
    <x v="163"/>
    <m/>
    <m/>
    <m/>
    <n v="5"/>
    <n v="201208"/>
    <n v="100000"/>
  </r>
  <r>
    <x v="441"/>
    <x v="4"/>
    <m/>
    <x v="0"/>
    <x v="3"/>
    <x v="164"/>
    <m/>
    <m/>
    <m/>
    <n v="2"/>
    <n v="201208"/>
    <n v="0"/>
  </r>
  <r>
    <x v="441"/>
    <x v="4"/>
    <m/>
    <x v="6"/>
    <x v="2"/>
    <x v="126"/>
    <m/>
    <m/>
    <m/>
    <n v="2"/>
    <n v="201208"/>
    <n v="40000"/>
  </r>
  <r>
    <x v="441"/>
    <x v="4"/>
    <m/>
    <x v="6"/>
    <x v="2"/>
    <x v="127"/>
    <m/>
    <m/>
    <m/>
    <n v="1"/>
    <n v="201208"/>
    <n v="35000"/>
  </r>
  <r>
    <x v="441"/>
    <x v="4"/>
    <m/>
    <x v="34"/>
    <x v="2"/>
    <x v="128"/>
    <m/>
    <m/>
    <m/>
    <n v="12"/>
    <n v="201208"/>
    <n v="445200"/>
  </r>
  <r>
    <x v="441"/>
    <x v="4"/>
    <m/>
    <x v="25"/>
    <x v="2"/>
    <x v="129"/>
    <m/>
    <m/>
    <m/>
    <n v="5"/>
    <n v="201208"/>
    <n v="495000"/>
  </r>
  <r>
    <x v="441"/>
    <x v="4"/>
    <m/>
    <x v="0"/>
    <x v="2"/>
    <x v="130"/>
    <m/>
    <m/>
    <m/>
    <n v="27"/>
    <n v="201208"/>
    <n v="891000"/>
  </r>
  <r>
    <x v="441"/>
    <x v="4"/>
    <m/>
    <x v="0"/>
    <x v="2"/>
    <x v="131"/>
    <m/>
    <m/>
    <m/>
    <n v="2"/>
    <n v="201208"/>
    <n v="66000"/>
  </r>
  <r>
    <x v="441"/>
    <x v="4"/>
    <m/>
    <x v="0"/>
    <x v="2"/>
    <x v="168"/>
    <m/>
    <m/>
    <m/>
    <n v="4"/>
    <n v="201208"/>
    <n v="80000"/>
  </r>
  <r>
    <x v="441"/>
    <x v="4"/>
    <m/>
    <x v="0"/>
    <x v="2"/>
    <x v="178"/>
    <m/>
    <m/>
    <m/>
    <n v="2"/>
    <n v="201208"/>
    <n v="70000"/>
  </r>
  <r>
    <x v="441"/>
    <x v="4"/>
    <m/>
    <x v="0"/>
    <x v="2"/>
    <x v="179"/>
    <m/>
    <m/>
    <m/>
    <n v="4"/>
    <n v="201208"/>
    <n v="12000"/>
  </r>
  <r>
    <x v="441"/>
    <x v="4"/>
    <m/>
    <x v="30"/>
    <x v="2"/>
    <x v="132"/>
    <m/>
    <m/>
    <m/>
    <n v="1"/>
    <n v="201208"/>
    <n v="22400"/>
  </r>
  <r>
    <x v="441"/>
    <x v="4"/>
    <m/>
    <x v="30"/>
    <x v="2"/>
    <x v="133"/>
    <m/>
    <m/>
    <m/>
    <n v="3"/>
    <n v="201208"/>
    <n v="117600"/>
  </r>
  <r>
    <x v="441"/>
    <x v="4"/>
    <m/>
    <x v="34"/>
    <x v="2"/>
    <x v="134"/>
    <m/>
    <m/>
    <m/>
    <n v="3"/>
    <n v="201208"/>
    <n v="111300"/>
  </r>
  <r>
    <x v="441"/>
    <x v="4"/>
    <m/>
    <x v="1"/>
    <x v="2"/>
    <x v="135"/>
    <m/>
    <m/>
    <m/>
    <n v="4"/>
    <n v="201208"/>
    <n v="80000"/>
  </r>
  <r>
    <x v="441"/>
    <x v="4"/>
    <m/>
    <x v="1"/>
    <x v="2"/>
    <x v="165"/>
    <m/>
    <m/>
    <m/>
    <n v="1"/>
    <n v="201208"/>
    <n v="35000"/>
  </r>
  <r>
    <x v="441"/>
    <x v="4"/>
    <m/>
    <x v="36"/>
    <x v="2"/>
    <x v="136"/>
    <m/>
    <m/>
    <m/>
    <n v="4"/>
    <n v="201208"/>
    <n v="112000"/>
  </r>
  <r>
    <x v="441"/>
    <x v="4"/>
    <m/>
    <x v="36"/>
    <x v="2"/>
    <x v="176"/>
    <m/>
    <m/>
    <m/>
    <n v="2"/>
    <n v="201208"/>
    <n v="98000"/>
  </r>
  <r>
    <x v="441"/>
    <x v="4"/>
    <m/>
    <x v="0"/>
    <x v="2"/>
    <x v="138"/>
    <m/>
    <m/>
    <m/>
    <n v="29"/>
    <n v="201208"/>
    <n v="580000"/>
  </r>
  <r>
    <x v="441"/>
    <x v="4"/>
    <m/>
    <x v="0"/>
    <x v="2"/>
    <x v="139"/>
    <m/>
    <m/>
    <m/>
    <n v="27"/>
    <n v="201208"/>
    <n v="945000"/>
  </r>
  <r>
    <x v="441"/>
    <x v="4"/>
    <m/>
    <x v="32"/>
    <x v="2"/>
    <x v="140"/>
    <m/>
    <m/>
    <m/>
    <n v="4"/>
    <n v="201208"/>
    <n v="148400"/>
  </r>
  <r>
    <x v="441"/>
    <x v="4"/>
    <m/>
    <x v="18"/>
    <x v="2"/>
    <x v="125"/>
    <m/>
    <m/>
    <m/>
    <n v="15"/>
    <n v="201208"/>
    <n v="45000"/>
  </r>
  <r>
    <x v="441"/>
    <x v="4"/>
    <m/>
    <x v="0"/>
    <x v="2"/>
    <x v="139"/>
    <m/>
    <m/>
    <m/>
    <n v="1"/>
    <n v="201208"/>
    <n v="35000"/>
  </r>
  <r>
    <x v="441"/>
    <x v="4"/>
    <m/>
    <x v="0"/>
    <x v="2"/>
    <x v="141"/>
    <m/>
    <m/>
    <m/>
    <n v="2"/>
    <n v="201208"/>
    <n v="66000"/>
  </r>
  <r>
    <x v="441"/>
    <x v="4"/>
    <m/>
    <x v="4"/>
    <x v="2"/>
    <x v="143"/>
    <m/>
    <m/>
    <m/>
    <n v="10"/>
    <n v="201208"/>
    <n v="200000"/>
  </r>
  <r>
    <x v="441"/>
    <x v="4"/>
    <m/>
    <x v="4"/>
    <x v="2"/>
    <x v="144"/>
    <m/>
    <m/>
    <m/>
    <n v="3"/>
    <n v="201208"/>
    <n v="12000"/>
  </r>
  <r>
    <x v="441"/>
    <x v="4"/>
    <m/>
    <x v="31"/>
    <x v="2"/>
    <x v="145"/>
    <m/>
    <m/>
    <m/>
    <n v="23"/>
    <n v="201208"/>
    <n v="515200"/>
  </r>
  <r>
    <x v="441"/>
    <x v="4"/>
    <m/>
    <x v="31"/>
    <x v="2"/>
    <x v="146"/>
    <m/>
    <m/>
    <m/>
    <n v="34"/>
    <n v="201208"/>
    <n v="1332800"/>
  </r>
  <r>
    <x v="441"/>
    <x v="4"/>
    <m/>
    <x v="32"/>
    <x v="2"/>
    <x v="147"/>
    <m/>
    <m/>
    <m/>
    <n v="27"/>
    <n v="201208"/>
    <n v="1001700"/>
  </r>
  <r>
    <x v="441"/>
    <x v="4"/>
    <m/>
    <x v="31"/>
    <x v="2"/>
    <x v="145"/>
    <m/>
    <m/>
    <m/>
    <n v="1"/>
    <n v="201208"/>
    <n v="22400"/>
  </r>
  <r>
    <x v="441"/>
    <x v="4"/>
    <m/>
    <x v="31"/>
    <x v="2"/>
    <x v="146"/>
    <m/>
    <m/>
    <m/>
    <n v="5"/>
    <n v="201208"/>
    <n v="196000"/>
  </r>
  <r>
    <x v="441"/>
    <x v="4"/>
    <m/>
    <x v="32"/>
    <x v="2"/>
    <x v="147"/>
    <m/>
    <m/>
    <m/>
    <n v="1"/>
    <n v="201208"/>
    <n v="37100"/>
  </r>
  <r>
    <x v="441"/>
    <x v="4"/>
    <m/>
    <x v="0"/>
    <x v="2"/>
    <x v="148"/>
    <m/>
    <m/>
    <m/>
    <n v="1"/>
    <n v="201208"/>
    <n v="20000"/>
  </r>
  <r>
    <x v="441"/>
    <x v="4"/>
    <m/>
    <x v="0"/>
    <x v="2"/>
    <x v="149"/>
    <m/>
    <m/>
    <m/>
    <n v="2"/>
    <n v="201208"/>
    <n v="40000"/>
  </r>
  <r>
    <x v="441"/>
    <x v="4"/>
    <m/>
    <x v="22"/>
    <x v="2"/>
    <x v="150"/>
    <m/>
    <m/>
    <m/>
    <n v="5"/>
    <n v="201208"/>
    <n v="190000"/>
  </r>
  <r>
    <x v="441"/>
    <x v="4"/>
    <m/>
    <x v="22"/>
    <x v="2"/>
    <x v="150"/>
    <m/>
    <m/>
    <m/>
    <n v="1"/>
    <n v="201208"/>
    <n v="38000"/>
  </r>
  <r>
    <x v="441"/>
    <x v="4"/>
    <m/>
    <x v="5"/>
    <x v="2"/>
    <x v="151"/>
    <m/>
    <m/>
    <m/>
    <n v="21"/>
    <n v="201208"/>
    <n v="588000"/>
  </r>
  <r>
    <x v="441"/>
    <x v="4"/>
    <m/>
    <x v="5"/>
    <x v="2"/>
    <x v="152"/>
    <m/>
    <m/>
    <m/>
    <n v="5"/>
    <n v="201208"/>
    <n v="240000"/>
  </r>
  <r>
    <x v="441"/>
    <x v="4"/>
    <m/>
    <x v="5"/>
    <x v="2"/>
    <x v="153"/>
    <m/>
    <m/>
    <m/>
    <n v="1"/>
    <n v="201208"/>
    <n v="28000"/>
  </r>
  <r>
    <x v="441"/>
    <x v="4"/>
    <m/>
    <x v="33"/>
    <x v="2"/>
    <x v="155"/>
    <m/>
    <m/>
    <m/>
    <n v="1"/>
    <n v="201208"/>
    <n v="18200"/>
  </r>
  <r>
    <x v="441"/>
    <x v="4"/>
    <m/>
    <x v="33"/>
    <x v="2"/>
    <x v="156"/>
    <m/>
    <m/>
    <m/>
    <n v="1"/>
    <n v="201208"/>
    <n v="33800"/>
  </r>
  <r>
    <x v="441"/>
    <x v="4"/>
    <m/>
    <x v="19"/>
    <x v="2"/>
    <x v="157"/>
    <m/>
    <m/>
    <m/>
    <n v="11"/>
    <n v="201208"/>
    <n v="143000"/>
  </r>
  <r>
    <x v="441"/>
    <x v="4"/>
    <m/>
    <x v="19"/>
    <x v="2"/>
    <x v="158"/>
    <m/>
    <m/>
    <m/>
    <n v="4"/>
    <n v="201208"/>
    <n v="96000"/>
  </r>
  <r>
    <x v="441"/>
    <x v="4"/>
    <m/>
    <x v="35"/>
    <x v="2"/>
    <x v="170"/>
    <m/>
    <m/>
    <m/>
    <n v="1"/>
    <n v="201208"/>
    <n v="4000"/>
  </r>
  <r>
    <x v="441"/>
    <x v="4"/>
    <m/>
    <x v="35"/>
    <x v="2"/>
    <x v="160"/>
    <m/>
    <m/>
    <m/>
    <n v="4"/>
    <n v="201208"/>
    <n v="80000"/>
  </r>
  <r>
    <x v="441"/>
    <x v="4"/>
    <m/>
    <x v="18"/>
    <x v="2"/>
    <x v="161"/>
    <m/>
    <m/>
    <m/>
    <n v="18"/>
    <n v="201208"/>
    <n v="54000"/>
  </r>
  <r>
    <x v="441"/>
    <x v="4"/>
    <m/>
    <x v="18"/>
    <x v="2"/>
    <x v="161"/>
    <m/>
    <m/>
    <m/>
    <n v="1"/>
    <n v="201208"/>
    <n v="3000"/>
  </r>
  <r>
    <x v="441"/>
    <x v="4"/>
    <m/>
    <x v="0"/>
    <x v="9"/>
    <x v="162"/>
    <m/>
    <m/>
    <m/>
    <n v="1"/>
    <n v="201208"/>
    <n v="20000"/>
  </r>
  <r>
    <x v="442"/>
    <x v="1"/>
    <m/>
    <x v="0"/>
    <x v="1"/>
    <x v="123"/>
    <m/>
    <m/>
    <m/>
    <n v="4"/>
    <n v="201208"/>
    <n v="140000"/>
  </r>
  <r>
    <x v="442"/>
    <x v="1"/>
    <m/>
    <x v="0"/>
    <x v="1"/>
    <x v="124"/>
    <m/>
    <m/>
    <m/>
    <n v="1"/>
    <n v="201208"/>
    <n v="20000"/>
  </r>
  <r>
    <x v="442"/>
    <x v="1"/>
    <m/>
    <x v="6"/>
    <x v="5"/>
    <x v="172"/>
    <m/>
    <m/>
    <m/>
    <n v="10"/>
    <n v="201208"/>
    <n v="200000"/>
  </r>
  <r>
    <x v="442"/>
    <x v="1"/>
    <m/>
    <x v="0"/>
    <x v="7"/>
    <x v="163"/>
    <m/>
    <m/>
    <m/>
    <n v="2"/>
    <n v="201208"/>
    <n v="40000"/>
  </r>
  <r>
    <x v="442"/>
    <x v="1"/>
    <m/>
    <x v="0"/>
    <x v="3"/>
    <x v="164"/>
    <m/>
    <m/>
    <m/>
    <n v="1"/>
    <n v="201208"/>
    <n v="0"/>
  </r>
  <r>
    <x v="442"/>
    <x v="1"/>
    <m/>
    <x v="31"/>
    <x v="3"/>
    <x v="88"/>
    <m/>
    <m/>
    <m/>
    <n v="2"/>
    <n v="201208"/>
    <n v="0"/>
  </r>
  <r>
    <x v="442"/>
    <x v="1"/>
    <m/>
    <x v="6"/>
    <x v="2"/>
    <x v="126"/>
    <m/>
    <m/>
    <m/>
    <n v="3"/>
    <n v="201208"/>
    <n v="60000"/>
  </r>
  <r>
    <x v="442"/>
    <x v="1"/>
    <m/>
    <x v="34"/>
    <x v="2"/>
    <x v="128"/>
    <m/>
    <m/>
    <m/>
    <n v="17"/>
    <n v="201208"/>
    <n v="630700"/>
  </r>
  <r>
    <x v="442"/>
    <x v="1"/>
    <m/>
    <x v="25"/>
    <x v="2"/>
    <x v="129"/>
    <m/>
    <m/>
    <m/>
    <n v="1"/>
    <n v="201208"/>
    <n v="99000"/>
  </r>
  <r>
    <x v="442"/>
    <x v="1"/>
    <m/>
    <x v="0"/>
    <x v="2"/>
    <x v="130"/>
    <m/>
    <m/>
    <m/>
    <n v="27"/>
    <n v="201208"/>
    <n v="891000"/>
  </r>
  <r>
    <x v="442"/>
    <x v="1"/>
    <m/>
    <x v="0"/>
    <x v="2"/>
    <x v="168"/>
    <m/>
    <m/>
    <m/>
    <n v="1"/>
    <n v="201208"/>
    <n v="20000"/>
  </r>
  <r>
    <x v="442"/>
    <x v="1"/>
    <m/>
    <x v="0"/>
    <x v="2"/>
    <x v="178"/>
    <m/>
    <m/>
    <m/>
    <n v="1"/>
    <n v="201208"/>
    <n v="35000"/>
  </r>
  <r>
    <x v="442"/>
    <x v="1"/>
    <m/>
    <x v="0"/>
    <x v="2"/>
    <x v="179"/>
    <m/>
    <m/>
    <m/>
    <n v="1"/>
    <n v="201208"/>
    <n v="3000"/>
  </r>
  <r>
    <x v="442"/>
    <x v="1"/>
    <m/>
    <x v="30"/>
    <x v="2"/>
    <x v="132"/>
    <m/>
    <m/>
    <m/>
    <n v="2"/>
    <n v="201208"/>
    <n v="44800"/>
  </r>
  <r>
    <x v="442"/>
    <x v="1"/>
    <m/>
    <x v="30"/>
    <x v="2"/>
    <x v="133"/>
    <m/>
    <m/>
    <m/>
    <n v="2"/>
    <n v="201208"/>
    <n v="78400"/>
  </r>
  <r>
    <x v="442"/>
    <x v="1"/>
    <m/>
    <x v="1"/>
    <x v="2"/>
    <x v="135"/>
    <m/>
    <m/>
    <m/>
    <n v="4"/>
    <n v="201208"/>
    <n v="80000"/>
  </r>
  <r>
    <x v="442"/>
    <x v="1"/>
    <m/>
    <x v="1"/>
    <x v="2"/>
    <x v="165"/>
    <m/>
    <m/>
    <m/>
    <n v="1"/>
    <n v="201208"/>
    <n v="35000"/>
  </r>
  <r>
    <x v="442"/>
    <x v="1"/>
    <m/>
    <x v="1"/>
    <x v="2"/>
    <x v="183"/>
    <m/>
    <m/>
    <m/>
    <n v="1"/>
    <n v="201208"/>
    <n v="17500"/>
  </r>
  <r>
    <x v="442"/>
    <x v="1"/>
    <m/>
    <x v="36"/>
    <x v="2"/>
    <x v="136"/>
    <m/>
    <m/>
    <m/>
    <n v="3"/>
    <n v="201208"/>
    <n v="84000"/>
  </r>
  <r>
    <x v="442"/>
    <x v="1"/>
    <m/>
    <x v="36"/>
    <x v="2"/>
    <x v="137"/>
    <m/>
    <m/>
    <m/>
    <n v="2"/>
    <n v="201208"/>
    <n v="84000"/>
  </r>
  <r>
    <x v="442"/>
    <x v="1"/>
    <m/>
    <x v="0"/>
    <x v="2"/>
    <x v="138"/>
    <m/>
    <m/>
    <m/>
    <n v="27"/>
    <n v="201208"/>
    <n v="540000"/>
  </r>
  <r>
    <x v="442"/>
    <x v="1"/>
    <m/>
    <x v="0"/>
    <x v="2"/>
    <x v="139"/>
    <m/>
    <m/>
    <m/>
    <n v="28"/>
    <n v="201208"/>
    <n v="980000"/>
  </r>
  <r>
    <x v="442"/>
    <x v="1"/>
    <m/>
    <x v="32"/>
    <x v="2"/>
    <x v="140"/>
    <m/>
    <m/>
    <m/>
    <n v="8"/>
    <n v="201208"/>
    <n v="296800"/>
  </r>
  <r>
    <x v="442"/>
    <x v="1"/>
    <m/>
    <x v="18"/>
    <x v="2"/>
    <x v="125"/>
    <m/>
    <m/>
    <m/>
    <n v="20"/>
    <n v="201208"/>
    <n v="60000"/>
  </r>
  <r>
    <x v="442"/>
    <x v="1"/>
    <m/>
    <x v="0"/>
    <x v="2"/>
    <x v="138"/>
    <m/>
    <m/>
    <m/>
    <n v="1"/>
    <n v="201208"/>
    <n v="20000"/>
  </r>
  <r>
    <x v="442"/>
    <x v="1"/>
    <m/>
    <x v="4"/>
    <x v="2"/>
    <x v="143"/>
    <m/>
    <m/>
    <m/>
    <n v="6"/>
    <n v="201208"/>
    <n v="120000"/>
  </r>
  <r>
    <x v="442"/>
    <x v="1"/>
    <m/>
    <x v="4"/>
    <x v="2"/>
    <x v="144"/>
    <m/>
    <m/>
    <m/>
    <n v="3"/>
    <n v="201208"/>
    <n v="12000"/>
  </r>
  <r>
    <x v="442"/>
    <x v="1"/>
    <m/>
    <x v="31"/>
    <x v="2"/>
    <x v="145"/>
    <m/>
    <m/>
    <m/>
    <n v="24"/>
    <n v="201208"/>
    <n v="537600"/>
  </r>
  <r>
    <x v="442"/>
    <x v="1"/>
    <m/>
    <x v="31"/>
    <x v="2"/>
    <x v="146"/>
    <m/>
    <m/>
    <m/>
    <n v="32"/>
    <n v="201208"/>
    <n v="1254400"/>
  </r>
  <r>
    <x v="442"/>
    <x v="1"/>
    <m/>
    <x v="32"/>
    <x v="2"/>
    <x v="147"/>
    <m/>
    <m/>
    <m/>
    <n v="16"/>
    <n v="201208"/>
    <n v="593600"/>
  </r>
  <r>
    <x v="442"/>
    <x v="1"/>
    <m/>
    <x v="31"/>
    <x v="2"/>
    <x v="146"/>
    <m/>
    <m/>
    <m/>
    <n v="3"/>
    <n v="201208"/>
    <n v="117600"/>
  </r>
  <r>
    <x v="442"/>
    <x v="1"/>
    <m/>
    <x v="32"/>
    <x v="2"/>
    <x v="147"/>
    <m/>
    <m/>
    <m/>
    <n v="2"/>
    <n v="201208"/>
    <n v="74200"/>
  </r>
  <r>
    <x v="442"/>
    <x v="1"/>
    <m/>
    <x v="0"/>
    <x v="2"/>
    <x v="149"/>
    <m/>
    <m/>
    <m/>
    <n v="1"/>
    <n v="201208"/>
    <n v="20000"/>
  </r>
  <r>
    <x v="442"/>
    <x v="1"/>
    <m/>
    <x v="31"/>
    <x v="2"/>
    <x v="184"/>
    <m/>
    <m/>
    <m/>
    <n v="1"/>
    <n v="201208"/>
    <n v="39200"/>
  </r>
  <r>
    <x v="442"/>
    <x v="1"/>
    <m/>
    <x v="32"/>
    <x v="2"/>
    <x v="185"/>
    <m/>
    <m/>
    <m/>
    <n v="1"/>
    <n v="201208"/>
    <n v="37100"/>
  </r>
  <r>
    <x v="442"/>
    <x v="1"/>
    <m/>
    <x v="31"/>
    <x v="2"/>
    <x v="186"/>
    <m/>
    <m/>
    <m/>
    <n v="9"/>
    <n v="201208"/>
    <n v="201600"/>
  </r>
  <r>
    <x v="442"/>
    <x v="1"/>
    <m/>
    <x v="31"/>
    <x v="2"/>
    <x v="187"/>
    <m/>
    <m/>
    <m/>
    <n v="10"/>
    <n v="201208"/>
    <n v="392000"/>
  </r>
  <r>
    <x v="442"/>
    <x v="1"/>
    <m/>
    <x v="32"/>
    <x v="2"/>
    <x v="188"/>
    <m/>
    <m/>
    <m/>
    <n v="3"/>
    <n v="201208"/>
    <n v="111300"/>
  </r>
  <r>
    <x v="442"/>
    <x v="1"/>
    <m/>
    <x v="22"/>
    <x v="2"/>
    <x v="150"/>
    <m/>
    <m/>
    <m/>
    <n v="4"/>
    <n v="201208"/>
    <n v="152000"/>
  </r>
  <r>
    <x v="442"/>
    <x v="1"/>
    <m/>
    <x v="5"/>
    <x v="2"/>
    <x v="151"/>
    <m/>
    <m/>
    <m/>
    <n v="14"/>
    <n v="201208"/>
    <n v="392000"/>
  </r>
  <r>
    <x v="442"/>
    <x v="1"/>
    <m/>
    <x v="5"/>
    <x v="2"/>
    <x v="152"/>
    <m/>
    <m/>
    <m/>
    <n v="3"/>
    <n v="201208"/>
    <n v="144000"/>
  </r>
  <r>
    <x v="442"/>
    <x v="1"/>
    <m/>
    <x v="5"/>
    <x v="2"/>
    <x v="153"/>
    <m/>
    <m/>
    <m/>
    <n v="1"/>
    <n v="201208"/>
    <n v="28000"/>
  </r>
  <r>
    <x v="442"/>
    <x v="1"/>
    <m/>
    <x v="33"/>
    <x v="2"/>
    <x v="155"/>
    <m/>
    <m/>
    <m/>
    <n v="1"/>
    <n v="201208"/>
    <n v="18200"/>
  </r>
  <r>
    <x v="442"/>
    <x v="1"/>
    <m/>
    <x v="33"/>
    <x v="2"/>
    <x v="156"/>
    <m/>
    <m/>
    <m/>
    <n v="1"/>
    <n v="201208"/>
    <n v="33800"/>
  </r>
  <r>
    <x v="442"/>
    <x v="1"/>
    <m/>
    <x v="19"/>
    <x v="2"/>
    <x v="157"/>
    <m/>
    <m/>
    <m/>
    <n v="7"/>
    <n v="201208"/>
    <n v="91000"/>
  </r>
  <r>
    <x v="442"/>
    <x v="1"/>
    <m/>
    <x v="19"/>
    <x v="2"/>
    <x v="158"/>
    <m/>
    <m/>
    <m/>
    <n v="3"/>
    <n v="201208"/>
    <n v="72000"/>
  </r>
  <r>
    <x v="442"/>
    <x v="1"/>
    <m/>
    <x v="19"/>
    <x v="2"/>
    <x v="159"/>
    <m/>
    <m/>
    <m/>
    <n v="1"/>
    <n v="201208"/>
    <n v="33000"/>
  </r>
  <r>
    <x v="442"/>
    <x v="1"/>
    <m/>
    <x v="19"/>
    <x v="2"/>
    <x v="181"/>
    <m/>
    <m/>
    <m/>
    <n v="1"/>
    <n v="201208"/>
    <n v="13000"/>
  </r>
  <r>
    <x v="442"/>
    <x v="1"/>
    <m/>
    <x v="35"/>
    <x v="2"/>
    <x v="160"/>
    <m/>
    <m/>
    <m/>
    <n v="6"/>
    <n v="201208"/>
    <n v="120000"/>
  </r>
  <r>
    <x v="442"/>
    <x v="1"/>
    <m/>
    <x v="18"/>
    <x v="2"/>
    <x v="161"/>
    <m/>
    <m/>
    <m/>
    <n v="18"/>
    <n v="201208"/>
    <n v="54000"/>
  </r>
  <r>
    <x v="442"/>
    <x v="1"/>
    <m/>
    <x v="18"/>
    <x v="2"/>
    <x v="161"/>
    <m/>
    <m/>
    <m/>
    <n v="1"/>
    <n v="201208"/>
    <n v="3000"/>
  </r>
  <r>
    <x v="443"/>
    <x v="0"/>
    <m/>
    <x v="0"/>
    <x v="1"/>
    <x v="123"/>
    <m/>
    <m/>
    <m/>
    <n v="1"/>
    <n v="201208"/>
    <n v="35000"/>
  </r>
  <r>
    <x v="443"/>
    <x v="0"/>
    <m/>
    <x v="0"/>
    <x v="1"/>
    <x v="124"/>
    <m/>
    <m/>
    <m/>
    <n v="1"/>
    <n v="201208"/>
    <n v="20000"/>
  </r>
  <r>
    <x v="443"/>
    <x v="0"/>
    <m/>
    <x v="0"/>
    <x v="7"/>
    <x v="163"/>
    <m/>
    <m/>
    <m/>
    <n v="3"/>
    <n v="201208"/>
    <n v="60000"/>
  </r>
  <r>
    <x v="443"/>
    <x v="0"/>
    <m/>
    <x v="0"/>
    <x v="3"/>
    <x v="164"/>
    <m/>
    <m/>
    <m/>
    <n v="31"/>
    <n v="201208"/>
    <n v="0"/>
  </r>
  <r>
    <x v="443"/>
    <x v="0"/>
    <m/>
    <x v="31"/>
    <x v="3"/>
    <x v="88"/>
    <m/>
    <m/>
    <m/>
    <n v="6"/>
    <n v="201208"/>
    <n v="0"/>
  </r>
  <r>
    <x v="443"/>
    <x v="0"/>
    <m/>
    <x v="6"/>
    <x v="2"/>
    <x v="126"/>
    <m/>
    <m/>
    <m/>
    <n v="1"/>
    <n v="201208"/>
    <n v="20000"/>
  </r>
  <r>
    <x v="443"/>
    <x v="0"/>
    <m/>
    <x v="6"/>
    <x v="2"/>
    <x v="127"/>
    <m/>
    <m/>
    <m/>
    <n v="1"/>
    <n v="201208"/>
    <n v="35000"/>
  </r>
  <r>
    <x v="443"/>
    <x v="0"/>
    <m/>
    <x v="34"/>
    <x v="2"/>
    <x v="128"/>
    <m/>
    <m/>
    <m/>
    <n v="19"/>
    <n v="201208"/>
    <n v="704900"/>
  </r>
  <r>
    <x v="443"/>
    <x v="0"/>
    <m/>
    <x v="25"/>
    <x v="2"/>
    <x v="129"/>
    <m/>
    <m/>
    <m/>
    <n v="1"/>
    <n v="201208"/>
    <n v="99000"/>
  </r>
  <r>
    <x v="443"/>
    <x v="0"/>
    <m/>
    <x v="0"/>
    <x v="2"/>
    <x v="130"/>
    <m/>
    <m/>
    <m/>
    <n v="25"/>
    <n v="201208"/>
    <n v="825000"/>
  </r>
  <r>
    <x v="443"/>
    <x v="0"/>
    <m/>
    <x v="0"/>
    <x v="2"/>
    <x v="131"/>
    <m/>
    <m/>
    <m/>
    <n v="2"/>
    <n v="201208"/>
    <n v="66000"/>
  </r>
  <r>
    <x v="443"/>
    <x v="0"/>
    <m/>
    <x v="30"/>
    <x v="2"/>
    <x v="132"/>
    <m/>
    <m/>
    <m/>
    <n v="7"/>
    <n v="201208"/>
    <n v="156800"/>
  </r>
  <r>
    <x v="443"/>
    <x v="0"/>
    <m/>
    <x v="1"/>
    <x v="2"/>
    <x v="135"/>
    <m/>
    <m/>
    <m/>
    <n v="2"/>
    <n v="201208"/>
    <n v="40000"/>
  </r>
  <r>
    <x v="443"/>
    <x v="0"/>
    <m/>
    <x v="36"/>
    <x v="2"/>
    <x v="136"/>
    <m/>
    <m/>
    <m/>
    <n v="2"/>
    <n v="201208"/>
    <n v="56000"/>
  </r>
  <r>
    <x v="443"/>
    <x v="0"/>
    <m/>
    <x v="36"/>
    <x v="2"/>
    <x v="137"/>
    <m/>
    <m/>
    <m/>
    <n v="1"/>
    <n v="201208"/>
    <n v="42000"/>
  </r>
  <r>
    <x v="443"/>
    <x v="0"/>
    <m/>
    <x v="0"/>
    <x v="2"/>
    <x v="138"/>
    <m/>
    <m/>
    <m/>
    <n v="24"/>
    <n v="201208"/>
    <n v="480000"/>
  </r>
  <r>
    <x v="443"/>
    <x v="0"/>
    <m/>
    <x v="0"/>
    <x v="2"/>
    <x v="139"/>
    <m/>
    <m/>
    <m/>
    <n v="28"/>
    <n v="201208"/>
    <n v="980000"/>
  </r>
  <r>
    <x v="443"/>
    <x v="0"/>
    <m/>
    <x v="32"/>
    <x v="2"/>
    <x v="140"/>
    <m/>
    <m/>
    <m/>
    <n v="6"/>
    <n v="201208"/>
    <n v="222600"/>
  </r>
  <r>
    <x v="443"/>
    <x v="0"/>
    <m/>
    <x v="18"/>
    <x v="2"/>
    <x v="125"/>
    <m/>
    <m/>
    <m/>
    <n v="20"/>
    <n v="201208"/>
    <n v="60000"/>
  </r>
  <r>
    <x v="443"/>
    <x v="0"/>
    <m/>
    <x v="0"/>
    <x v="2"/>
    <x v="138"/>
    <m/>
    <m/>
    <m/>
    <n v="1"/>
    <n v="201208"/>
    <n v="20000"/>
  </r>
  <r>
    <x v="443"/>
    <x v="0"/>
    <m/>
    <x v="0"/>
    <x v="2"/>
    <x v="141"/>
    <m/>
    <m/>
    <m/>
    <n v="2"/>
    <n v="201208"/>
    <n v="66000"/>
  </r>
  <r>
    <x v="443"/>
    <x v="0"/>
    <m/>
    <x v="4"/>
    <x v="2"/>
    <x v="143"/>
    <m/>
    <m/>
    <m/>
    <n v="5"/>
    <n v="201208"/>
    <n v="100000"/>
  </r>
  <r>
    <x v="443"/>
    <x v="0"/>
    <m/>
    <x v="4"/>
    <x v="2"/>
    <x v="144"/>
    <m/>
    <m/>
    <m/>
    <n v="7"/>
    <n v="201208"/>
    <n v="28000"/>
  </r>
  <r>
    <x v="443"/>
    <x v="0"/>
    <m/>
    <x v="31"/>
    <x v="2"/>
    <x v="145"/>
    <m/>
    <m/>
    <m/>
    <n v="28"/>
    <n v="201208"/>
    <n v="627200"/>
  </r>
  <r>
    <x v="443"/>
    <x v="0"/>
    <m/>
    <x v="31"/>
    <x v="2"/>
    <x v="146"/>
    <m/>
    <m/>
    <m/>
    <n v="35"/>
    <n v="201208"/>
    <n v="1372000"/>
  </r>
  <r>
    <x v="443"/>
    <x v="0"/>
    <m/>
    <x v="32"/>
    <x v="2"/>
    <x v="147"/>
    <m/>
    <m/>
    <m/>
    <n v="18"/>
    <n v="201208"/>
    <n v="667800"/>
  </r>
  <r>
    <x v="443"/>
    <x v="0"/>
    <m/>
    <x v="0"/>
    <x v="2"/>
    <x v="149"/>
    <m/>
    <m/>
    <m/>
    <n v="1"/>
    <n v="201208"/>
    <n v="20000"/>
  </r>
  <r>
    <x v="443"/>
    <x v="0"/>
    <m/>
    <x v="31"/>
    <x v="2"/>
    <x v="189"/>
    <m/>
    <m/>
    <m/>
    <n v="4"/>
    <n v="201208"/>
    <n v="89600"/>
  </r>
  <r>
    <x v="443"/>
    <x v="0"/>
    <m/>
    <x v="31"/>
    <x v="2"/>
    <x v="184"/>
    <m/>
    <m/>
    <m/>
    <n v="8"/>
    <n v="201208"/>
    <n v="313600"/>
  </r>
  <r>
    <x v="443"/>
    <x v="0"/>
    <m/>
    <x v="32"/>
    <x v="2"/>
    <x v="185"/>
    <m/>
    <m/>
    <m/>
    <n v="3"/>
    <n v="201208"/>
    <n v="111300"/>
  </r>
  <r>
    <x v="443"/>
    <x v="0"/>
    <m/>
    <x v="31"/>
    <x v="2"/>
    <x v="186"/>
    <m/>
    <m/>
    <m/>
    <n v="15"/>
    <n v="201208"/>
    <n v="336000"/>
  </r>
  <r>
    <x v="443"/>
    <x v="0"/>
    <m/>
    <x v="31"/>
    <x v="2"/>
    <x v="187"/>
    <m/>
    <m/>
    <m/>
    <n v="13"/>
    <n v="201208"/>
    <n v="509600"/>
  </r>
  <r>
    <x v="443"/>
    <x v="0"/>
    <m/>
    <x v="32"/>
    <x v="2"/>
    <x v="188"/>
    <m/>
    <m/>
    <m/>
    <n v="12"/>
    <n v="201208"/>
    <n v="445200"/>
  </r>
  <r>
    <x v="443"/>
    <x v="0"/>
    <m/>
    <x v="22"/>
    <x v="2"/>
    <x v="150"/>
    <m/>
    <m/>
    <m/>
    <n v="3"/>
    <n v="201208"/>
    <n v="114000"/>
  </r>
  <r>
    <x v="443"/>
    <x v="0"/>
    <m/>
    <x v="22"/>
    <x v="2"/>
    <x v="150"/>
    <m/>
    <m/>
    <m/>
    <n v="4"/>
    <n v="201208"/>
    <n v="152000"/>
  </r>
  <r>
    <x v="443"/>
    <x v="0"/>
    <m/>
    <x v="5"/>
    <x v="2"/>
    <x v="151"/>
    <m/>
    <m/>
    <m/>
    <n v="13"/>
    <n v="201208"/>
    <n v="364000"/>
  </r>
  <r>
    <x v="443"/>
    <x v="0"/>
    <m/>
    <x v="5"/>
    <x v="2"/>
    <x v="152"/>
    <m/>
    <m/>
    <m/>
    <n v="4"/>
    <n v="201208"/>
    <n v="192000"/>
  </r>
  <r>
    <x v="443"/>
    <x v="0"/>
    <m/>
    <x v="5"/>
    <x v="2"/>
    <x v="153"/>
    <m/>
    <m/>
    <m/>
    <n v="2"/>
    <n v="201208"/>
    <n v="56000"/>
  </r>
  <r>
    <x v="443"/>
    <x v="0"/>
    <m/>
    <x v="33"/>
    <x v="2"/>
    <x v="155"/>
    <m/>
    <m/>
    <m/>
    <n v="3"/>
    <n v="201208"/>
    <n v="54600"/>
  </r>
  <r>
    <x v="443"/>
    <x v="0"/>
    <m/>
    <x v="19"/>
    <x v="2"/>
    <x v="157"/>
    <m/>
    <m/>
    <m/>
    <n v="16"/>
    <n v="201208"/>
    <n v="208000"/>
  </r>
  <r>
    <x v="443"/>
    <x v="0"/>
    <m/>
    <x v="19"/>
    <x v="2"/>
    <x v="158"/>
    <m/>
    <m/>
    <m/>
    <n v="2"/>
    <n v="201208"/>
    <n v="48000"/>
  </r>
  <r>
    <x v="443"/>
    <x v="0"/>
    <m/>
    <x v="19"/>
    <x v="2"/>
    <x v="159"/>
    <m/>
    <m/>
    <m/>
    <n v="1"/>
    <n v="201208"/>
    <n v="33000"/>
  </r>
  <r>
    <x v="443"/>
    <x v="0"/>
    <m/>
    <x v="35"/>
    <x v="2"/>
    <x v="160"/>
    <m/>
    <m/>
    <m/>
    <n v="4"/>
    <n v="201208"/>
    <n v="80000"/>
  </r>
  <r>
    <x v="443"/>
    <x v="0"/>
    <m/>
    <x v="18"/>
    <x v="2"/>
    <x v="161"/>
    <m/>
    <m/>
    <m/>
    <n v="16"/>
    <n v="201208"/>
    <n v="48000"/>
  </r>
  <r>
    <x v="443"/>
    <x v="0"/>
    <m/>
    <x v="0"/>
    <x v="9"/>
    <x v="162"/>
    <m/>
    <m/>
    <m/>
    <n v="4"/>
    <n v="201208"/>
    <n v="80000"/>
  </r>
  <r>
    <x v="444"/>
    <x v="2"/>
    <m/>
    <x v="0"/>
    <x v="1"/>
    <x v="123"/>
    <m/>
    <m/>
    <m/>
    <n v="3"/>
    <n v="201208"/>
    <n v="105000"/>
  </r>
  <r>
    <x v="444"/>
    <x v="2"/>
    <m/>
    <x v="0"/>
    <x v="7"/>
    <x v="163"/>
    <m/>
    <m/>
    <m/>
    <n v="3"/>
    <n v="201208"/>
    <n v="60000"/>
  </r>
  <r>
    <x v="444"/>
    <x v="2"/>
    <m/>
    <x v="0"/>
    <x v="3"/>
    <x v="164"/>
    <m/>
    <m/>
    <m/>
    <n v="1"/>
    <n v="201208"/>
    <n v="0"/>
  </r>
  <r>
    <x v="444"/>
    <x v="2"/>
    <m/>
    <x v="34"/>
    <x v="2"/>
    <x v="128"/>
    <m/>
    <m/>
    <m/>
    <n v="19"/>
    <n v="201208"/>
    <n v="704900"/>
  </r>
  <r>
    <x v="444"/>
    <x v="2"/>
    <m/>
    <x v="25"/>
    <x v="2"/>
    <x v="129"/>
    <m/>
    <m/>
    <m/>
    <n v="1"/>
    <n v="201208"/>
    <n v="99000"/>
  </r>
  <r>
    <x v="444"/>
    <x v="2"/>
    <m/>
    <x v="0"/>
    <x v="2"/>
    <x v="130"/>
    <m/>
    <m/>
    <m/>
    <n v="21"/>
    <n v="201208"/>
    <n v="693000"/>
  </r>
  <r>
    <x v="444"/>
    <x v="2"/>
    <m/>
    <x v="0"/>
    <x v="2"/>
    <x v="131"/>
    <m/>
    <m/>
    <m/>
    <n v="2"/>
    <n v="201208"/>
    <n v="66000"/>
  </r>
  <r>
    <x v="444"/>
    <x v="2"/>
    <m/>
    <x v="0"/>
    <x v="2"/>
    <x v="168"/>
    <m/>
    <m/>
    <m/>
    <n v="1"/>
    <n v="201208"/>
    <n v="20000"/>
  </r>
  <r>
    <x v="444"/>
    <x v="2"/>
    <m/>
    <x v="30"/>
    <x v="2"/>
    <x v="132"/>
    <m/>
    <m/>
    <m/>
    <n v="4"/>
    <n v="201208"/>
    <n v="89600"/>
  </r>
  <r>
    <x v="444"/>
    <x v="2"/>
    <m/>
    <x v="30"/>
    <x v="2"/>
    <x v="133"/>
    <m/>
    <m/>
    <m/>
    <n v="1"/>
    <n v="201208"/>
    <n v="39200"/>
  </r>
  <r>
    <x v="444"/>
    <x v="2"/>
    <m/>
    <x v="34"/>
    <x v="2"/>
    <x v="134"/>
    <m/>
    <m/>
    <m/>
    <n v="1"/>
    <n v="201208"/>
    <n v="37100"/>
  </r>
  <r>
    <x v="444"/>
    <x v="2"/>
    <m/>
    <x v="1"/>
    <x v="2"/>
    <x v="135"/>
    <m/>
    <m/>
    <m/>
    <n v="6"/>
    <n v="201208"/>
    <n v="120000"/>
  </r>
  <r>
    <x v="444"/>
    <x v="2"/>
    <m/>
    <x v="1"/>
    <x v="2"/>
    <x v="165"/>
    <m/>
    <m/>
    <m/>
    <n v="1"/>
    <n v="201208"/>
    <n v="35000"/>
  </r>
  <r>
    <x v="444"/>
    <x v="2"/>
    <m/>
    <x v="36"/>
    <x v="2"/>
    <x v="136"/>
    <m/>
    <m/>
    <m/>
    <n v="3"/>
    <n v="201208"/>
    <n v="84000"/>
  </r>
  <r>
    <x v="444"/>
    <x v="2"/>
    <m/>
    <x v="0"/>
    <x v="2"/>
    <x v="138"/>
    <m/>
    <m/>
    <m/>
    <n v="31"/>
    <n v="201208"/>
    <n v="620000"/>
  </r>
  <r>
    <x v="444"/>
    <x v="2"/>
    <m/>
    <x v="0"/>
    <x v="2"/>
    <x v="139"/>
    <m/>
    <m/>
    <m/>
    <n v="24"/>
    <n v="201208"/>
    <n v="840000"/>
  </r>
  <r>
    <x v="444"/>
    <x v="2"/>
    <m/>
    <x v="32"/>
    <x v="2"/>
    <x v="140"/>
    <m/>
    <m/>
    <m/>
    <n v="8"/>
    <n v="201208"/>
    <n v="296800"/>
  </r>
  <r>
    <x v="444"/>
    <x v="2"/>
    <m/>
    <x v="18"/>
    <x v="2"/>
    <x v="125"/>
    <m/>
    <m/>
    <m/>
    <n v="13"/>
    <n v="201208"/>
    <n v="39000"/>
  </r>
  <r>
    <x v="444"/>
    <x v="2"/>
    <m/>
    <x v="0"/>
    <x v="2"/>
    <x v="138"/>
    <m/>
    <m/>
    <m/>
    <n v="1"/>
    <n v="201208"/>
    <n v="20000"/>
  </r>
  <r>
    <x v="444"/>
    <x v="2"/>
    <m/>
    <x v="0"/>
    <x v="2"/>
    <x v="141"/>
    <m/>
    <m/>
    <m/>
    <n v="2"/>
    <n v="201208"/>
    <n v="66000"/>
  </r>
  <r>
    <x v="444"/>
    <x v="2"/>
    <m/>
    <x v="4"/>
    <x v="2"/>
    <x v="142"/>
    <m/>
    <m/>
    <m/>
    <n v="1"/>
    <n v="201208"/>
    <n v="4000"/>
  </r>
  <r>
    <x v="444"/>
    <x v="2"/>
    <m/>
    <x v="4"/>
    <x v="2"/>
    <x v="143"/>
    <m/>
    <m/>
    <m/>
    <n v="8"/>
    <n v="201208"/>
    <n v="160000"/>
  </r>
  <r>
    <x v="444"/>
    <x v="2"/>
    <m/>
    <x v="4"/>
    <x v="2"/>
    <x v="144"/>
    <m/>
    <m/>
    <m/>
    <n v="1"/>
    <n v="201208"/>
    <n v="4000"/>
  </r>
  <r>
    <x v="444"/>
    <x v="2"/>
    <m/>
    <x v="31"/>
    <x v="2"/>
    <x v="145"/>
    <m/>
    <m/>
    <m/>
    <n v="23"/>
    <n v="201208"/>
    <n v="515200"/>
  </r>
  <r>
    <x v="444"/>
    <x v="2"/>
    <m/>
    <x v="31"/>
    <x v="2"/>
    <x v="146"/>
    <m/>
    <m/>
    <m/>
    <n v="25"/>
    <n v="201208"/>
    <n v="980000"/>
  </r>
  <r>
    <x v="444"/>
    <x v="2"/>
    <m/>
    <x v="32"/>
    <x v="2"/>
    <x v="147"/>
    <m/>
    <m/>
    <m/>
    <n v="33"/>
    <n v="201208"/>
    <n v="1224300"/>
  </r>
  <r>
    <x v="444"/>
    <x v="2"/>
    <m/>
    <x v="31"/>
    <x v="2"/>
    <x v="189"/>
    <m/>
    <m/>
    <m/>
    <n v="3"/>
    <n v="201208"/>
    <n v="67200"/>
  </r>
  <r>
    <x v="444"/>
    <x v="2"/>
    <m/>
    <x v="31"/>
    <x v="2"/>
    <x v="184"/>
    <m/>
    <m/>
    <m/>
    <n v="7"/>
    <n v="201208"/>
    <n v="274400"/>
  </r>
  <r>
    <x v="444"/>
    <x v="2"/>
    <m/>
    <x v="32"/>
    <x v="2"/>
    <x v="185"/>
    <m/>
    <m/>
    <m/>
    <n v="2"/>
    <n v="201208"/>
    <n v="74200"/>
  </r>
  <r>
    <x v="444"/>
    <x v="2"/>
    <m/>
    <x v="31"/>
    <x v="2"/>
    <x v="186"/>
    <m/>
    <m/>
    <m/>
    <n v="42"/>
    <n v="201208"/>
    <n v="940800"/>
  </r>
  <r>
    <x v="444"/>
    <x v="2"/>
    <m/>
    <x v="31"/>
    <x v="2"/>
    <x v="187"/>
    <m/>
    <m/>
    <m/>
    <n v="48"/>
    <n v="201208"/>
    <n v="1881600"/>
  </r>
  <r>
    <x v="444"/>
    <x v="2"/>
    <m/>
    <x v="32"/>
    <x v="2"/>
    <x v="188"/>
    <m/>
    <m/>
    <m/>
    <n v="21"/>
    <n v="201208"/>
    <n v="779100"/>
  </r>
  <r>
    <x v="444"/>
    <x v="2"/>
    <m/>
    <x v="22"/>
    <x v="2"/>
    <x v="150"/>
    <m/>
    <m/>
    <m/>
    <n v="5"/>
    <n v="201208"/>
    <n v="190000"/>
  </r>
  <r>
    <x v="444"/>
    <x v="2"/>
    <m/>
    <x v="22"/>
    <x v="2"/>
    <x v="150"/>
    <m/>
    <m/>
    <m/>
    <n v="1"/>
    <n v="201208"/>
    <n v="38000"/>
  </r>
  <r>
    <x v="444"/>
    <x v="2"/>
    <m/>
    <x v="5"/>
    <x v="2"/>
    <x v="151"/>
    <m/>
    <m/>
    <m/>
    <n v="19"/>
    <n v="201208"/>
    <n v="532000"/>
  </r>
  <r>
    <x v="444"/>
    <x v="2"/>
    <m/>
    <x v="5"/>
    <x v="2"/>
    <x v="152"/>
    <m/>
    <m/>
    <m/>
    <n v="6"/>
    <n v="201208"/>
    <n v="288000"/>
  </r>
  <r>
    <x v="444"/>
    <x v="2"/>
    <m/>
    <x v="5"/>
    <x v="2"/>
    <x v="153"/>
    <m/>
    <m/>
    <m/>
    <n v="1"/>
    <n v="201208"/>
    <n v="28000"/>
  </r>
  <r>
    <x v="444"/>
    <x v="2"/>
    <m/>
    <x v="33"/>
    <x v="2"/>
    <x v="155"/>
    <m/>
    <m/>
    <m/>
    <n v="3"/>
    <n v="201208"/>
    <n v="54600"/>
  </r>
  <r>
    <x v="444"/>
    <x v="2"/>
    <m/>
    <x v="19"/>
    <x v="2"/>
    <x v="157"/>
    <m/>
    <m/>
    <m/>
    <n v="6"/>
    <n v="201208"/>
    <n v="78000"/>
  </r>
  <r>
    <x v="444"/>
    <x v="2"/>
    <m/>
    <x v="19"/>
    <x v="2"/>
    <x v="158"/>
    <m/>
    <m/>
    <m/>
    <n v="2"/>
    <n v="201208"/>
    <n v="48000"/>
  </r>
  <r>
    <x v="444"/>
    <x v="2"/>
    <m/>
    <x v="19"/>
    <x v="2"/>
    <x v="159"/>
    <m/>
    <m/>
    <m/>
    <n v="2"/>
    <n v="201208"/>
    <n v="66000"/>
  </r>
  <r>
    <x v="444"/>
    <x v="2"/>
    <m/>
    <x v="35"/>
    <x v="2"/>
    <x v="160"/>
    <m/>
    <m/>
    <m/>
    <n v="1"/>
    <n v="201208"/>
    <n v="20000"/>
  </r>
  <r>
    <x v="444"/>
    <x v="2"/>
    <m/>
    <x v="18"/>
    <x v="2"/>
    <x v="161"/>
    <m/>
    <m/>
    <m/>
    <n v="13"/>
    <n v="201208"/>
    <n v="39000"/>
  </r>
  <r>
    <x v="444"/>
    <x v="2"/>
    <m/>
    <x v="0"/>
    <x v="9"/>
    <x v="162"/>
    <m/>
    <m/>
    <m/>
    <n v="1"/>
    <n v="201208"/>
    <n v="20000"/>
  </r>
  <r>
    <x v="445"/>
    <x v="5"/>
    <m/>
    <x v="0"/>
    <x v="7"/>
    <x v="163"/>
    <m/>
    <m/>
    <m/>
    <n v="2"/>
    <n v="201208"/>
    <n v="40000"/>
  </r>
  <r>
    <x v="445"/>
    <x v="5"/>
    <m/>
    <x v="6"/>
    <x v="2"/>
    <x v="126"/>
    <m/>
    <m/>
    <m/>
    <n v="1"/>
    <n v="201208"/>
    <n v="20000"/>
  </r>
  <r>
    <x v="445"/>
    <x v="5"/>
    <m/>
    <x v="6"/>
    <x v="2"/>
    <x v="127"/>
    <m/>
    <m/>
    <m/>
    <n v="2"/>
    <n v="201208"/>
    <n v="70000"/>
  </r>
  <r>
    <x v="445"/>
    <x v="5"/>
    <m/>
    <x v="34"/>
    <x v="2"/>
    <x v="128"/>
    <m/>
    <m/>
    <m/>
    <n v="15"/>
    <n v="201208"/>
    <n v="556500"/>
  </r>
  <r>
    <x v="445"/>
    <x v="5"/>
    <m/>
    <x v="0"/>
    <x v="2"/>
    <x v="130"/>
    <m/>
    <m/>
    <m/>
    <n v="17"/>
    <n v="201208"/>
    <n v="561000"/>
  </r>
  <r>
    <x v="445"/>
    <x v="5"/>
    <m/>
    <x v="0"/>
    <x v="2"/>
    <x v="131"/>
    <m/>
    <m/>
    <m/>
    <n v="3"/>
    <n v="201208"/>
    <n v="99000"/>
  </r>
  <r>
    <x v="445"/>
    <x v="5"/>
    <m/>
    <x v="30"/>
    <x v="2"/>
    <x v="132"/>
    <m/>
    <m/>
    <m/>
    <n v="2"/>
    <n v="201208"/>
    <n v="44800"/>
  </r>
  <r>
    <x v="445"/>
    <x v="5"/>
    <m/>
    <x v="30"/>
    <x v="2"/>
    <x v="133"/>
    <m/>
    <m/>
    <m/>
    <n v="2"/>
    <n v="201208"/>
    <n v="78400"/>
  </r>
  <r>
    <x v="445"/>
    <x v="5"/>
    <m/>
    <x v="1"/>
    <x v="2"/>
    <x v="165"/>
    <m/>
    <m/>
    <m/>
    <n v="2"/>
    <n v="201208"/>
    <n v="70000"/>
  </r>
  <r>
    <x v="445"/>
    <x v="5"/>
    <m/>
    <x v="36"/>
    <x v="2"/>
    <x v="136"/>
    <m/>
    <m/>
    <m/>
    <n v="3"/>
    <n v="201208"/>
    <n v="84000"/>
  </r>
  <r>
    <x v="445"/>
    <x v="5"/>
    <m/>
    <x v="36"/>
    <x v="2"/>
    <x v="176"/>
    <m/>
    <m/>
    <m/>
    <n v="1"/>
    <n v="201208"/>
    <n v="49000"/>
  </r>
  <r>
    <x v="445"/>
    <x v="5"/>
    <m/>
    <x v="0"/>
    <x v="2"/>
    <x v="138"/>
    <m/>
    <m/>
    <m/>
    <n v="26"/>
    <n v="201208"/>
    <n v="520000"/>
  </r>
  <r>
    <x v="445"/>
    <x v="5"/>
    <m/>
    <x v="0"/>
    <x v="2"/>
    <x v="139"/>
    <m/>
    <m/>
    <m/>
    <n v="21"/>
    <n v="201208"/>
    <n v="735000"/>
  </r>
  <r>
    <x v="445"/>
    <x v="5"/>
    <m/>
    <x v="32"/>
    <x v="2"/>
    <x v="140"/>
    <m/>
    <m/>
    <m/>
    <n v="6"/>
    <n v="201208"/>
    <n v="222600"/>
  </r>
  <r>
    <x v="445"/>
    <x v="5"/>
    <m/>
    <x v="18"/>
    <x v="2"/>
    <x v="125"/>
    <m/>
    <m/>
    <m/>
    <n v="15"/>
    <n v="201208"/>
    <n v="45000"/>
  </r>
  <r>
    <x v="445"/>
    <x v="5"/>
    <m/>
    <x v="0"/>
    <x v="2"/>
    <x v="139"/>
    <m/>
    <m/>
    <m/>
    <n v="1"/>
    <n v="201208"/>
    <n v="35000"/>
  </r>
  <r>
    <x v="445"/>
    <x v="5"/>
    <m/>
    <x v="0"/>
    <x v="2"/>
    <x v="141"/>
    <m/>
    <m/>
    <m/>
    <n v="1"/>
    <n v="201208"/>
    <n v="33000"/>
  </r>
  <r>
    <x v="445"/>
    <x v="5"/>
    <m/>
    <x v="4"/>
    <x v="2"/>
    <x v="143"/>
    <m/>
    <m/>
    <m/>
    <n v="4"/>
    <n v="201208"/>
    <n v="80000"/>
  </r>
  <r>
    <x v="445"/>
    <x v="5"/>
    <m/>
    <x v="4"/>
    <x v="2"/>
    <x v="144"/>
    <m/>
    <m/>
    <m/>
    <n v="1"/>
    <n v="201208"/>
    <n v="4000"/>
  </r>
  <r>
    <x v="445"/>
    <x v="5"/>
    <m/>
    <x v="31"/>
    <x v="2"/>
    <x v="145"/>
    <m/>
    <m/>
    <m/>
    <n v="10"/>
    <n v="201208"/>
    <n v="224000"/>
  </r>
  <r>
    <x v="445"/>
    <x v="5"/>
    <m/>
    <x v="31"/>
    <x v="2"/>
    <x v="146"/>
    <m/>
    <m/>
    <m/>
    <n v="12"/>
    <n v="201208"/>
    <n v="470400"/>
  </r>
  <r>
    <x v="445"/>
    <x v="5"/>
    <m/>
    <x v="32"/>
    <x v="2"/>
    <x v="147"/>
    <m/>
    <m/>
    <m/>
    <n v="9"/>
    <n v="201208"/>
    <n v="333900"/>
  </r>
  <r>
    <x v="445"/>
    <x v="5"/>
    <m/>
    <x v="0"/>
    <x v="2"/>
    <x v="149"/>
    <m/>
    <m/>
    <m/>
    <n v="2"/>
    <n v="201208"/>
    <n v="40000"/>
  </r>
  <r>
    <x v="445"/>
    <x v="5"/>
    <m/>
    <x v="18"/>
    <x v="2"/>
    <x v="166"/>
    <m/>
    <m/>
    <m/>
    <n v="1"/>
    <n v="201208"/>
    <n v="3000"/>
  </r>
  <r>
    <x v="445"/>
    <x v="5"/>
    <m/>
    <x v="31"/>
    <x v="2"/>
    <x v="189"/>
    <m/>
    <m/>
    <m/>
    <n v="3"/>
    <n v="201208"/>
    <n v="67200"/>
  </r>
  <r>
    <x v="445"/>
    <x v="5"/>
    <m/>
    <x v="31"/>
    <x v="2"/>
    <x v="184"/>
    <m/>
    <m/>
    <m/>
    <n v="2"/>
    <n v="201208"/>
    <n v="78400"/>
  </r>
  <r>
    <x v="445"/>
    <x v="5"/>
    <m/>
    <x v="32"/>
    <x v="2"/>
    <x v="185"/>
    <m/>
    <m/>
    <m/>
    <n v="1"/>
    <n v="201208"/>
    <n v="37100"/>
  </r>
  <r>
    <x v="445"/>
    <x v="5"/>
    <m/>
    <x v="31"/>
    <x v="2"/>
    <x v="186"/>
    <m/>
    <m/>
    <m/>
    <n v="7"/>
    <n v="201208"/>
    <n v="156800"/>
  </r>
  <r>
    <x v="445"/>
    <x v="5"/>
    <m/>
    <x v="31"/>
    <x v="2"/>
    <x v="187"/>
    <m/>
    <m/>
    <m/>
    <n v="5"/>
    <n v="201208"/>
    <n v="196000"/>
  </r>
  <r>
    <x v="445"/>
    <x v="5"/>
    <m/>
    <x v="32"/>
    <x v="2"/>
    <x v="188"/>
    <m/>
    <m/>
    <m/>
    <n v="4"/>
    <n v="201208"/>
    <n v="148400"/>
  </r>
  <r>
    <x v="445"/>
    <x v="5"/>
    <m/>
    <x v="22"/>
    <x v="2"/>
    <x v="150"/>
    <m/>
    <m/>
    <m/>
    <n v="1"/>
    <n v="201208"/>
    <n v="38000"/>
  </r>
  <r>
    <x v="445"/>
    <x v="5"/>
    <m/>
    <x v="5"/>
    <x v="2"/>
    <x v="151"/>
    <m/>
    <m/>
    <m/>
    <n v="10"/>
    <n v="201208"/>
    <n v="280000"/>
  </r>
  <r>
    <x v="445"/>
    <x v="5"/>
    <m/>
    <x v="5"/>
    <x v="2"/>
    <x v="152"/>
    <m/>
    <m/>
    <m/>
    <n v="1"/>
    <n v="201208"/>
    <n v="48000"/>
  </r>
  <r>
    <x v="445"/>
    <x v="5"/>
    <m/>
    <x v="5"/>
    <x v="2"/>
    <x v="153"/>
    <m/>
    <m/>
    <m/>
    <n v="1"/>
    <n v="201208"/>
    <n v="28000"/>
  </r>
  <r>
    <x v="445"/>
    <x v="5"/>
    <m/>
    <x v="19"/>
    <x v="2"/>
    <x v="157"/>
    <m/>
    <m/>
    <m/>
    <n v="2"/>
    <n v="201208"/>
    <n v="26000"/>
  </r>
  <r>
    <x v="445"/>
    <x v="5"/>
    <m/>
    <x v="19"/>
    <x v="2"/>
    <x v="158"/>
    <m/>
    <m/>
    <m/>
    <n v="2"/>
    <n v="201208"/>
    <n v="48000"/>
  </r>
  <r>
    <x v="445"/>
    <x v="5"/>
    <m/>
    <x v="19"/>
    <x v="2"/>
    <x v="159"/>
    <m/>
    <m/>
    <m/>
    <n v="2"/>
    <n v="201208"/>
    <n v="66000"/>
  </r>
  <r>
    <x v="445"/>
    <x v="5"/>
    <m/>
    <x v="35"/>
    <x v="2"/>
    <x v="160"/>
    <m/>
    <m/>
    <m/>
    <n v="3"/>
    <n v="201208"/>
    <n v="60000"/>
  </r>
  <r>
    <x v="445"/>
    <x v="5"/>
    <m/>
    <x v="18"/>
    <x v="2"/>
    <x v="161"/>
    <m/>
    <m/>
    <m/>
    <n v="19"/>
    <n v="201208"/>
    <n v="57000"/>
  </r>
  <r>
    <x v="446"/>
    <x v="6"/>
    <m/>
    <x v="0"/>
    <x v="7"/>
    <x v="163"/>
    <m/>
    <m/>
    <m/>
    <n v="4"/>
    <n v="201208"/>
    <n v="80000"/>
  </r>
  <r>
    <x v="446"/>
    <x v="6"/>
    <m/>
    <x v="6"/>
    <x v="2"/>
    <x v="127"/>
    <m/>
    <m/>
    <m/>
    <n v="1"/>
    <n v="201208"/>
    <n v="35000"/>
  </r>
  <r>
    <x v="446"/>
    <x v="6"/>
    <m/>
    <x v="34"/>
    <x v="2"/>
    <x v="128"/>
    <m/>
    <m/>
    <m/>
    <n v="26"/>
    <n v="201208"/>
    <n v="964600"/>
  </r>
  <r>
    <x v="446"/>
    <x v="6"/>
    <m/>
    <x v="25"/>
    <x v="2"/>
    <x v="129"/>
    <m/>
    <m/>
    <m/>
    <n v="1"/>
    <n v="201208"/>
    <n v="99000"/>
  </r>
  <r>
    <x v="446"/>
    <x v="6"/>
    <m/>
    <x v="0"/>
    <x v="2"/>
    <x v="130"/>
    <m/>
    <m/>
    <m/>
    <n v="29"/>
    <n v="201208"/>
    <n v="957000"/>
  </r>
  <r>
    <x v="446"/>
    <x v="6"/>
    <m/>
    <x v="0"/>
    <x v="2"/>
    <x v="131"/>
    <m/>
    <m/>
    <m/>
    <n v="2"/>
    <n v="201208"/>
    <n v="66000"/>
  </r>
  <r>
    <x v="446"/>
    <x v="6"/>
    <m/>
    <x v="30"/>
    <x v="2"/>
    <x v="132"/>
    <m/>
    <m/>
    <m/>
    <n v="4"/>
    <n v="201208"/>
    <n v="89600"/>
  </r>
  <r>
    <x v="446"/>
    <x v="6"/>
    <m/>
    <x v="30"/>
    <x v="2"/>
    <x v="133"/>
    <m/>
    <m/>
    <m/>
    <n v="2"/>
    <n v="201208"/>
    <n v="78400"/>
  </r>
  <r>
    <x v="446"/>
    <x v="6"/>
    <m/>
    <x v="1"/>
    <x v="2"/>
    <x v="135"/>
    <m/>
    <m/>
    <m/>
    <n v="1"/>
    <n v="201208"/>
    <n v="20000"/>
  </r>
  <r>
    <x v="446"/>
    <x v="6"/>
    <m/>
    <x v="1"/>
    <x v="2"/>
    <x v="165"/>
    <m/>
    <m/>
    <m/>
    <n v="1"/>
    <n v="201208"/>
    <n v="35000"/>
  </r>
  <r>
    <x v="446"/>
    <x v="6"/>
    <m/>
    <x v="36"/>
    <x v="2"/>
    <x v="136"/>
    <m/>
    <m/>
    <m/>
    <n v="4"/>
    <n v="201208"/>
    <n v="112000"/>
  </r>
  <r>
    <x v="446"/>
    <x v="6"/>
    <m/>
    <x v="36"/>
    <x v="2"/>
    <x v="176"/>
    <m/>
    <m/>
    <m/>
    <n v="2"/>
    <n v="201208"/>
    <n v="98000"/>
  </r>
  <r>
    <x v="446"/>
    <x v="6"/>
    <m/>
    <x v="0"/>
    <x v="2"/>
    <x v="138"/>
    <m/>
    <m/>
    <m/>
    <n v="39"/>
    <n v="201208"/>
    <n v="780000"/>
  </r>
  <r>
    <x v="446"/>
    <x v="6"/>
    <m/>
    <x v="0"/>
    <x v="2"/>
    <x v="139"/>
    <m/>
    <m/>
    <m/>
    <n v="22"/>
    <n v="201208"/>
    <n v="770000"/>
  </r>
  <r>
    <x v="446"/>
    <x v="6"/>
    <m/>
    <x v="32"/>
    <x v="2"/>
    <x v="140"/>
    <m/>
    <m/>
    <m/>
    <n v="9"/>
    <n v="201208"/>
    <n v="333900"/>
  </r>
  <r>
    <x v="446"/>
    <x v="6"/>
    <m/>
    <x v="18"/>
    <x v="2"/>
    <x v="125"/>
    <m/>
    <m/>
    <m/>
    <n v="21"/>
    <n v="201208"/>
    <n v="63000"/>
  </r>
  <r>
    <x v="446"/>
    <x v="6"/>
    <m/>
    <x v="0"/>
    <x v="2"/>
    <x v="138"/>
    <m/>
    <m/>
    <m/>
    <n v="1"/>
    <n v="201208"/>
    <n v="20000"/>
  </r>
  <r>
    <x v="446"/>
    <x v="6"/>
    <m/>
    <x v="0"/>
    <x v="2"/>
    <x v="141"/>
    <m/>
    <m/>
    <m/>
    <n v="2"/>
    <n v="201208"/>
    <n v="66000"/>
  </r>
  <r>
    <x v="446"/>
    <x v="6"/>
    <m/>
    <x v="4"/>
    <x v="2"/>
    <x v="143"/>
    <m/>
    <m/>
    <m/>
    <n v="6"/>
    <n v="201208"/>
    <n v="120000"/>
  </r>
  <r>
    <x v="446"/>
    <x v="6"/>
    <m/>
    <x v="4"/>
    <x v="2"/>
    <x v="144"/>
    <m/>
    <m/>
    <m/>
    <n v="3"/>
    <n v="201208"/>
    <n v="12000"/>
  </r>
  <r>
    <x v="446"/>
    <x v="6"/>
    <m/>
    <x v="31"/>
    <x v="2"/>
    <x v="145"/>
    <m/>
    <m/>
    <m/>
    <n v="12"/>
    <n v="201208"/>
    <n v="268800"/>
  </r>
  <r>
    <x v="446"/>
    <x v="6"/>
    <m/>
    <x v="31"/>
    <x v="2"/>
    <x v="146"/>
    <m/>
    <m/>
    <m/>
    <n v="23"/>
    <n v="201208"/>
    <n v="901600"/>
  </r>
  <r>
    <x v="446"/>
    <x v="6"/>
    <m/>
    <x v="32"/>
    <x v="2"/>
    <x v="147"/>
    <m/>
    <m/>
    <m/>
    <n v="16"/>
    <n v="201208"/>
    <n v="593600"/>
  </r>
  <r>
    <x v="446"/>
    <x v="6"/>
    <m/>
    <x v="0"/>
    <x v="2"/>
    <x v="148"/>
    <m/>
    <m/>
    <m/>
    <n v="1"/>
    <n v="201208"/>
    <n v="20000"/>
  </r>
  <r>
    <x v="446"/>
    <x v="6"/>
    <m/>
    <x v="0"/>
    <x v="2"/>
    <x v="149"/>
    <m/>
    <m/>
    <m/>
    <n v="1"/>
    <n v="201208"/>
    <n v="20000"/>
  </r>
  <r>
    <x v="446"/>
    <x v="6"/>
    <m/>
    <x v="0"/>
    <x v="2"/>
    <x v="174"/>
    <m/>
    <m/>
    <m/>
    <n v="1"/>
    <n v="201208"/>
    <n v="35000"/>
  </r>
  <r>
    <x v="446"/>
    <x v="6"/>
    <m/>
    <x v="18"/>
    <x v="2"/>
    <x v="166"/>
    <m/>
    <m/>
    <m/>
    <n v="1"/>
    <n v="201208"/>
    <n v="3000"/>
  </r>
  <r>
    <x v="446"/>
    <x v="6"/>
    <m/>
    <x v="31"/>
    <x v="2"/>
    <x v="189"/>
    <m/>
    <m/>
    <m/>
    <n v="3"/>
    <n v="201208"/>
    <n v="67200"/>
  </r>
  <r>
    <x v="446"/>
    <x v="6"/>
    <m/>
    <x v="31"/>
    <x v="2"/>
    <x v="184"/>
    <m/>
    <m/>
    <m/>
    <n v="11"/>
    <n v="201208"/>
    <n v="431200"/>
  </r>
  <r>
    <x v="446"/>
    <x v="6"/>
    <m/>
    <x v="32"/>
    <x v="2"/>
    <x v="185"/>
    <m/>
    <m/>
    <m/>
    <n v="3"/>
    <n v="201208"/>
    <n v="111300"/>
  </r>
  <r>
    <x v="446"/>
    <x v="6"/>
    <m/>
    <x v="31"/>
    <x v="2"/>
    <x v="186"/>
    <m/>
    <m/>
    <m/>
    <n v="6"/>
    <n v="201208"/>
    <n v="134400"/>
  </r>
  <r>
    <x v="446"/>
    <x v="6"/>
    <m/>
    <x v="31"/>
    <x v="2"/>
    <x v="187"/>
    <m/>
    <m/>
    <m/>
    <n v="4"/>
    <n v="201208"/>
    <n v="156800"/>
  </r>
  <r>
    <x v="446"/>
    <x v="6"/>
    <m/>
    <x v="32"/>
    <x v="2"/>
    <x v="188"/>
    <m/>
    <m/>
    <m/>
    <n v="10"/>
    <n v="201208"/>
    <n v="371000"/>
  </r>
  <r>
    <x v="446"/>
    <x v="6"/>
    <m/>
    <x v="22"/>
    <x v="2"/>
    <x v="150"/>
    <m/>
    <m/>
    <m/>
    <n v="10"/>
    <n v="201208"/>
    <n v="380000"/>
  </r>
  <r>
    <x v="446"/>
    <x v="6"/>
    <m/>
    <x v="22"/>
    <x v="2"/>
    <x v="150"/>
    <m/>
    <m/>
    <m/>
    <n v="1"/>
    <n v="201208"/>
    <n v="38000"/>
  </r>
  <r>
    <x v="446"/>
    <x v="6"/>
    <m/>
    <x v="5"/>
    <x v="2"/>
    <x v="151"/>
    <m/>
    <m/>
    <m/>
    <n v="17"/>
    <n v="201208"/>
    <n v="476000"/>
  </r>
  <r>
    <x v="446"/>
    <x v="6"/>
    <m/>
    <x v="5"/>
    <x v="2"/>
    <x v="152"/>
    <m/>
    <m/>
    <m/>
    <n v="3"/>
    <n v="201208"/>
    <n v="144000"/>
  </r>
  <r>
    <x v="446"/>
    <x v="6"/>
    <m/>
    <x v="5"/>
    <x v="2"/>
    <x v="153"/>
    <m/>
    <m/>
    <m/>
    <n v="3"/>
    <n v="201208"/>
    <n v="84000"/>
  </r>
  <r>
    <x v="446"/>
    <x v="6"/>
    <m/>
    <x v="33"/>
    <x v="2"/>
    <x v="155"/>
    <m/>
    <m/>
    <m/>
    <n v="2"/>
    <n v="201208"/>
    <n v="36400"/>
  </r>
  <r>
    <x v="446"/>
    <x v="6"/>
    <m/>
    <x v="19"/>
    <x v="2"/>
    <x v="157"/>
    <m/>
    <m/>
    <m/>
    <n v="6"/>
    <n v="201208"/>
    <n v="78000"/>
  </r>
  <r>
    <x v="446"/>
    <x v="6"/>
    <m/>
    <x v="19"/>
    <x v="2"/>
    <x v="158"/>
    <m/>
    <m/>
    <m/>
    <n v="4"/>
    <n v="201208"/>
    <n v="96000"/>
  </r>
  <r>
    <x v="446"/>
    <x v="6"/>
    <m/>
    <x v="35"/>
    <x v="2"/>
    <x v="170"/>
    <m/>
    <m/>
    <m/>
    <n v="2"/>
    <n v="201208"/>
    <n v="8000"/>
  </r>
  <r>
    <x v="446"/>
    <x v="6"/>
    <m/>
    <x v="35"/>
    <x v="2"/>
    <x v="160"/>
    <m/>
    <m/>
    <m/>
    <n v="1"/>
    <n v="201208"/>
    <n v="20000"/>
  </r>
  <r>
    <x v="446"/>
    <x v="6"/>
    <m/>
    <x v="18"/>
    <x v="2"/>
    <x v="161"/>
    <m/>
    <m/>
    <m/>
    <n v="8"/>
    <n v="201208"/>
    <n v="24000"/>
  </r>
  <r>
    <x v="447"/>
    <x v="3"/>
    <m/>
    <x v="0"/>
    <x v="1"/>
    <x v="123"/>
    <m/>
    <m/>
    <m/>
    <n v="6"/>
    <n v="201208"/>
    <n v="210000"/>
  </r>
  <r>
    <x v="447"/>
    <x v="3"/>
    <m/>
    <x v="0"/>
    <x v="1"/>
    <x v="124"/>
    <m/>
    <m/>
    <m/>
    <n v="3"/>
    <n v="201208"/>
    <n v="60000"/>
  </r>
  <r>
    <x v="447"/>
    <x v="3"/>
    <m/>
    <x v="0"/>
    <x v="3"/>
    <x v="164"/>
    <m/>
    <m/>
    <m/>
    <n v="3"/>
    <n v="201208"/>
    <n v="0"/>
  </r>
  <r>
    <x v="447"/>
    <x v="3"/>
    <m/>
    <x v="0"/>
    <x v="3"/>
    <x v="190"/>
    <m/>
    <m/>
    <m/>
    <n v="1"/>
    <n v="201208"/>
    <n v="0"/>
  </r>
  <r>
    <x v="447"/>
    <x v="3"/>
    <m/>
    <x v="0"/>
    <x v="5"/>
    <x v="164"/>
    <m/>
    <m/>
    <m/>
    <n v="10"/>
    <n v="201208"/>
    <n v="102270"/>
  </r>
  <r>
    <x v="447"/>
    <x v="3"/>
    <m/>
    <x v="0"/>
    <x v="7"/>
    <x v="163"/>
    <m/>
    <m/>
    <m/>
    <n v="8"/>
    <n v="201208"/>
    <n v="160000"/>
  </r>
  <r>
    <x v="447"/>
    <x v="3"/>
    <m/>
    <x v="6"/>
    <x v="2"/>
    <x v="126"/>
    <m/>
    <m/>
    <m/>
    <n v="3"/>
    <n v="201208"/>
    <n v="60000"/>
  </r>
  <r>
    <x v="447"/>
    <x v="3"/>
    <m/>
    <x v="6"/>
    <x v="2"/>
    <x v="127"/>
    <m/>
    <m/>
    <m/>
    <n v="2"/>
    <n v="201208"/>
    <n v="70000"/>
  </r>
  <r>
    <x v="447"/>
    <x v="3"/>
    <m/>
    <x v="34"/>
    <x v="2"/>
    <x v="128"/>
    <m/>
    <m/>
    <m/>
    <n v="30"/>
    <n v="201208"/>
    <n v="1113000"/>
  </r>
  <r>
    <x v="447"/>
    <x v="3"/>
    <m/>
    <x v="0"/>
    <x v="2"/>
    <x v="130"/>
    <m/>
    <m/>
    <m/>
    <n v="39"/>
    <n v="201208"/>
    <n v="1287000"/>
  </r>
  <r>
    <x v="447"/>
    <x v="3"/>
    <m/>
    <x v="0"/>
    <x v="2"/>
    <x v="131"/>
    <m/>
    <m/>
    <m/>
    <n v="1"/>
    <n v="201208"/>
    <n v="33000"/>
  </r>
  <r>
    <x v="447"/>
    <x v="3"/>
    <m/>
    <x v="30"/>
    <x v="2"/>
    <x v="132"/>
    <m/>
    <m/>
    <m/>
    <n v="7"/>
    <n v="201208"/>
    <n v="156800"/>
  </r>
  <r>
    <x v="447"/>
    <x v="3"/>
    <m/>
    <x v="34"/>
    <x v="2"/>
    <x v="134"/>
    <m/>
    <m/>
    <m/>
    <n v="2"/>
    <n v="201208"/>
    <n v="74200"/>
  </r>
  <r>
    <x v="447"/>
    <x v="3"/>
    <m/>
    <x v="1"/>
    <x v="2"/>
    <x v="135"/>
    <m/>
    <m/>
    <m/>
    <n v="3"/>
    <n v="201208"/>
    <n v="60000"/>
  </r>
  <r>
    <x v="447"/>
    <x v="3"/>
    <m/>
    <x v="1"/>
    <x v="2"/>
    <x v="165"/>
    <m/>
    <m/>
    <m/>
    <n v="1"/>
    <n v="201208"/>
    <n v="35000"/>
  </r>
  <r>
    <x v="447"/>
    <x v="3"/>
    <m/>
    <x v="36"/>
    <x v="2"/>
    <x v="136"/>
    <m/>
    <m/>
    <m/>
    <n v="4"/>
    <n v="201208"/>
    <n v="112000"/>
  </r>
  <r>
    <x v="447"/>
    <x v="3"/>
    <m/>
    <x v="36"/>
    <x v="2"/>
    <x v="137"/>
    <m/>
    <m/>
    <m/>
    <n v="1"/>
    <n v="201208"/>
    <n v="42000"/>
  </r>
  <r>
    <x v="447"/>
    <x v="3"/>
    <m/>
    <x v="0"/>
    <x v="2"/>
    <x v="138"/>
    <m/>
    <m/>
    <m/>
    <n v="51"/>
    <n v="201208"/>
    <n v="1020000"/>
  </r>
  <r>
    <x v="447"/>
    <x v="3"/>
    <m/>
    <x v="0"/>
    <x v="2"/>
    <x v="139"/>
    <m/>
    <m/>
    <m/>
    <n v="29"/>
    <n v="201208"/>
    <n v="1015000"/>
  </r>
  <r>
    <x v="447"/>
    <x v="3"/>
    <m/>
    <x v="32"/>
    <x v="2"/>
    <x v="140"/>
    <m/>
    <m/>
    <m/>
    <n v="13"/>
    <n v="201208"/>
    <n v="482300"/>
  </r>
  <r>
    <x v="447"/>
    <x v="3"/>
    <m/>
    <x v="18"/>
    <x v="2"/>
    <x v="125"/>
    <m/>
    <m/>
    <m/>
    <n v="25"/>
    <n v="201208"/>
    <n v="75000"/>
  </r>
  <r>
    <x v="447"/>
    <x v="3"/>
    <m/>
    <x v="4"/>
    <x v="2"/>
    <x v="143"/>
    <m/>
    <m/>
    <m/>
    <n v="11"/>
    <n v="201208"/>
    <n v="220000"/>
  </r>
  <r>
    <x v="447"/>
    <x v="3"/>
    <m/>
    <x v="31"/>
    <x v="2"/>
    <x v="145"/>
    <m/>
    <m/>
    <m/>
    <n v="24"/>
    <n v="201208"/>
    <n v="537600"/>
  </r>
  <r>
    <x v="447"/>
    <x v="3"/>
    <m/>
    <x v="31"/>
    <x v="2"/>
    <x v="146"/>
    <m/>
    <m/>
    <m/>
    <n v="35"/>
    <n v="201208"/>
    <n v="1372000"/>
  </r>
  <r>
    <x v="447"/>
    <x v="3"/>
    <m/>
    <x v="32"/>
    <x v="2"/>
    <x v="147"/>
    <m/>
    <m/>
    <m/>
    <n v="19"/>
    <n v="201208"/>
    <n v="704900"/>
  </r>
  <r>
    <x v="447"/>
    <x v="3"/>
    <m/>
    <x v="0"/>
    <x v="2"/>
    <x v="149"/>
    <m/>
    <m/>
    <m/>
    <n v="1"/>
    <n v="201208"/>
    <n v="20000"/>
  </r>
  <r>
    <x v="447"/>
    <x v="3"/>
    <m/>
    <x v="31"/>
    <x v="2"/>
    <x v="189"/>
    <m/>
    <m/>
    <m/>
    <n v="8"/>
    <n v="201208"/>
    <n v="179200"/>
  </r>
  <r>
    <x v="447"/>
    <x v="3"/>
    <m/>
    <x v="31"/>
    <x v="2"/>
    <x v="184"/>
    <m/>
    <m/>
    <m/>
    <n v="16"/>
    <n v="201208"/>
    <n v="627200"/>
  </r>
  <r>
    <x v="447"/>
    <x v="3"/>
    <m/>
    <x v="32"/>
    <x v="2"/>
    <x v="185"/>
    <m/>
    <m/>
    <m/>
    <n v="6"/>
    <n v="201208"/>
    <n v="222600"/>
  </r>
  <r>
    <x v="447"/>
    <x v="3"/>
    <m/>
    <x v="31"/>
    <x v="2"/>
    <x v="186"/>
    <m/>
    <m/>
    <m/>
    <n v="18"/>
    <n v="201208"/>
    <n v="403200"/>
  </r>
  <r>
    <x v="447"/>
    <x v="3"/>
    <m/>
    <x v="31"/>
    <x v="2"/>
    <x v="187"/>
    <m/>
    <m/>
    <m/>
    <n v="21"/>
    <n v="201208"/>
    <n v="823200"/>
  </r>
  <r>
    <x v="447"/>
    <x v="3"/>
    <m/>
    <x v="32"/>
    <x v="2"/>
    <x v="188"/>
    <m/>
    <m/>
    <m/>
    <n v="11"/>
    <n v="201208"/>
    <n v="408100"/>
  </r>
  <r>
    <x v="447"/>
    <x v="3"/>
    <m/>
    <x v="22"/>
    <x v="2"/>
    <x v="150"/>
    <m/>
    <m/>
    <m/>
    <n v="7"/>
    <n v="201208"/>
    <n v="266000"/>
  </r>
  <r>
    <x v="447"/>
    <x v="3"/>
    <m/>
    <x v="22"/>
    <x v="2"/>
    <x v="150"/>
    <m/>
    <m/>
    <m/>
    <n v="3"/>
    <n v="201208"/>
    <n v="114000"/>
  </r>
  <r>
    <x v="447"/>
    <x v="3"/>
    <m/>
    <x v="5"/>
    <x v="2"/>
    <x v="151"/>
    <m/>
    <m/>
    <m/>
    <n v="24"/>
    <n v="201208"/>
    <n v="672000"/>
  </r>
  <r>
    <x v="447"/>
    <x v="3"/>
    <m/>
    <x v="5"/>
    <x v="2"/>
    <x v="152"/>
    <m/>
    <m/>
    <m/>
    <n v="7"/>
    <n v="201208"/>
    <n v="336000"/>
  </r>
  <r>
    <x v="447"/>
    <x v="3"/>
    <m/>
    <x v="5"/>
    <x v="2"/>
    <x v="153"/>
    <m/>
    <m/>
    <m/>
    <n v="3"/>
    <n v="201208"/>
    <n v="84000"/>
  </r>
  <r>
    <x v="447"/>
    <x v="3"/>
    <m/>
    <x v="5"/>
    <x v="2"/>
    <x v="154"/>
    <m/>
    <m/>
    <m/>
    <n v="1"/>
    <n v="201208"/>
    <n v="28000"/>
  </r>
  <r>
    <x v="447"/>
    <x v="3"/>
    <m/>
    <x v="33"/>
    <x v="2"/>
    <x v="155"/>
    <m/>
    <m/>
    <m/>
    <n v="6"/>
    <n v="201208"/>
    <n v="109200"/>
  </r>
  <r>
    <x v="447"/>
    <x v="3"/>
    <m/>
    <x v="33"/>
    <x v="2"/>
    <x v="156"/>
    <m/>
    <m/>
    <m/>
    <n v="2"/>
    <n v="201208"/>
    <n v="67600"/>
  </r>
  <r>
    <x v="447"/>
    <x v="3"/>
    <m/>
    <x v="19"/>
    <x v="2"/>
    <x v="157"/>
    <m/>
    <m/>
    <m/>
    <n v="15"/>
    <n v="201208"/>
    <n v="195000"/>
  </r>
  <r>
    <x v="447"/>
    <x v="3"/>
    <m/>
    <x v="19"/>
    <x v="2"/>
    <x v="158"/>
    <m/>
    <m/>
    <m/>
    <n v="2"/>
    <n v="201208"/>
    <n v="48000"/>
  </r>
  <r>
    <x v="447"/>
    <x v="3"/>
    <m/>
    <x v="19"/>
    <x v="2"/>
    <x v="159"/>
    <m/>
    <m/>
    <m/>
    <n v="1"/>
    <n v="201208"/>
    <n v="33000"/>
  </r>
  <r>
    <x v="447"/>
    <x v="3"/>
    <m/>
    <x v="19"/>
    <x v="2"/>
    <x v="181"/>
    <m/>
    <m/>
    <m/>
    <n v="2"/>
    <n v="201208"/>
    <n v="26000"/>
  </r>
  <r>
    <x v="447"/>
    <x v="3"/>
    <m/>
    <x v="35"/>
    <x v="2"/>
    <x v="170"/>
    <m/>
    <m/>
    <m/>
    <n v="2"/>
    <n v="201208"/>
    <n v="8000"/>
  </r>
  <r>
    <x v="447"/>
    <x v="3"/>
    <m/>
    <x v="35"/>
    <x v="2"/>
    <x v="160"/>
    <m/>
    <m/>
    <m/>
    <n v="6"/>
    <n v="201208"/>
    <n v="120000"/>
  </r>
  <r>
    <x v="447"/>
    <x v="3"/>
    <m/>
    <x v="18"/>
    <x v="2"/>
    <x v="161"/>
    <m/>
    <m/>
    <m/>
    <n v="22"/>
    <n v="201208"/>
    <n v="66000"/>
  </r>
  <r>
    <x v="447"/>
    <x v="3"/>
    <m/>
    <x v="18"/>
    <x v="2"/>
    <x v="161"/>
    <m/>
    <m/>
    <m/>
    <n v="2"/>
    <n v="201208"/>
    <n v="6000"/>
  </r>
  <r>
    <x v="448"/>
    <x v="4"/>
    <m/>
    <x v="0"/>
    <x v="1"/>
    <x v="123"/>
    <m/>
    <m/>
    <m/>
    <n v="2"/>
    <n v="201208"/>
    <n v="70000"/>
  </r>
  <r>
    <x v="448"/>
    <x v="4"/>
    <m/>
    <x v="0"/>
    <x v="1"/>
    <x v="124"/>
    <m/>
    <m/>
    <m/>
    <n v="1"/>
    <n v="201208"/>
    <n v="20000"/>
  </r>
  <r>
    <x v="448"/>
    <x v="4"/>
    <m/>
    <x v="4"/>
    <x v="5"/>
    <x v="191"/>
    <m/>
    <m/>
    <m/>
    <n v="5"/>
    <n v="201208"/>
    <n v="81820"/>
  </r>
  <r>
    <x v="448"/>
    <x v="4"/>
    <m/>
    <x v="0"/>
    <x v="7"/>
    <x v="163"/>
    <m/>
    <m/>
    <m/>
    <n v="4"/>
    <n v="201208"/>
    <n v="80000"/>
  </r>
  <r>
    <x v="448"/>
    <x v="4"/>
    <m/>
    <x v="0"/>
    <x v="3"/>
    <x v="164"/>
    <m/>
    <m/>
    <m/>
    <n v="9"/>
    <n v="201208"/>
    <n v="0"/>
  </r>
  <r>
    <x v="448"/>
    <x v="4"/>
    <m/>
    <x v="31"/>
    <x v="3"/>
    <x v="88"/>
    <m/>
    <m/>
    <m/>
    <n v="7"/>
    <n v="201208"/>
    <n v="0"/>
  </r>
  <r>
    <x v="448"/>
    <x v="4"/>
    <m/>
    <x v="6"/>
    <x v="2"/>
    <x v="126"/>
    <m/>
    <m/>
    <m/>
    <n v="2"/>
    <n v="201208"/>
    <n v="40000"/>
  </r>
  <r>
    <x v="448"/>
    <x v="4"/>
    <m/>
    <x v="34"/>
    <x v="2"/>
    <x v="128"/>
    <m/>
    <m/>
    <m/>
    <n v="31"/>
    <n v="201208"/>
    <n v="1150100"/>
  </r>
  <r>
    <x v="448"/>
    <x v="4"/>
    <m/>
    <x v="25"/>
    <x v="2"/>
    <x v="129"/>
    <m/>
    <m/>
    <m/>
    <n v="1"/>
    <n v="201208"/>
    <n v="99000"/>
  </r>
  <r>
    <x v="448"/>
    <x v="4"/>
    <m/>
    <x v="0"/>
    <x v="2"/>
    <x v="130"/>
    <m/>
    <m/>
    <m/>
    <n v="47"/>
    <n v="201208"/>
    <n v="1551000"/>
  </r>
  <r>
    <x v="448"/>
    <x v="4"/>
    <m/>
    <x v="0"/>
    <x v="2"/>
    <x v="131"/>
    <m/>
    <m/>
    <m/>
    <n v="7"/>
    <n v="201208"/>
    <n v="231000"/>
  </r>
  <r>
    <x v="448"/>
    <x v="4"/>
    <m/>
    <x v="30"/>
    <x v="2"/>
    <x v="132"/>
    <m/>
    <m/>
    <m/>
    <n v="16"/>
    <n v="201208"/>
    <n v="358400"/>
  </r>
  <r>
    <x v="448"/>
    <x v="4"/>
    <m/>
    <x v="30"/>
    <x v="2"/>
    <x v="133"/>
    <m/>
    <m/>
    <m/>
    <n v="2"/>
    <n v="201208"/>
    <n v="78400"/>
  </r>
  <r>
    <x v="448"/>
    <x v="4"/>
    <m/>
    <x v="34"/>
    <x v="2"/>
    <x v="134"/>
    <m/>
    <m/>
    <m/>
    <n v="2"/>
    <n v="201208"/>
    <n v="74200"/>
  </r>
  <r>
    <x v="448"/>
    <x v="4"/>
    <m/>
    <x v="1"/>
    <x v="2"/>
    <x v="135"/>
    <m/>
    <m/>
    <m/>
    <n v="3"/>
    <n v="201208"/>
    <n v="60000"/>
  </r>
  <r>
    <x v="448"/>
    <x v="4"/>
    <m/>
    <x v="36"/>
    <x v="2"/>
    <x v="136"/>
    <m/>
    <m/>
    <m/>
    <n v="3"/>
    <n v="201208"/>
    <n v="84000"/>
  </r>
  <r>
    <x v="448"/>
    <x v="4"/>
    <m/>
    <x v="36"/>
    <x v="2"/>
    <x v="176"/>
    <m/>
    <m/>
    <m/>
    <n v="1"/>
    <n v="201208"/>
    <n v="49000"/>
  </r>
  <r>
    <x v="448"/>
    <x v="4"/>
    <m/>
    <x v="0"/>
    <x v="2"/>
    <x v="138"/>
    <m/>
    <m/>
    <m/>
    <n v="46"/>
    <n v="201208"/>
    <n v="920000"/>
  </r>
  <r>
    <x v="448"/>
    <x v="4"/>
    <m/>
    <x v="0"/>
    <x v="2"/>
    <x v="139"/>
    <m/>
    <m/>
    <m/>
    <n v="26"/>
    <n v="201208"/>
    <n v="910000"/>
  </r>
  <r>
    <x v="448"/>
    <x v="4"/>
    <m/>
    <x v="32"/>
    <x v="2"/>
    <x v="140"/>
    <m/>
    <m/>
    <m/>
    <n v="9"/>
    <n v="201208"/>
    <n v="333900"/>
  </r>
  <r>
    <x v="448"/>
    <x v="4"/>
    <m/>
    <x v="18"/>
    <x v="2"/>
    <x v="125"/>
    <m/>
    <m/>
    <m/>
    <n v="23"/>
    <n v="201208"/>
    <n v="69000"/>
  </r>
  <r>
    <x v="448"/>
    <x v="4"/>
    <m/>
    <x v="0"/>
    <x v="2"/>
    <x v="138"/>
    <m/>
    <m/>
    <m/>
    <n v="1"/>
    <n v="201208"/>
    <n v="20000"/>
  </r>
  <r>
    <x v="448"/>
    <x v="4"/>
    <m/>
    <x v="4"/>
    <x v="2"/>
    <x v="142"/>
    <m/>
    <m/>
    <m/>
    <n v="1"/>
    <n v="201208"/>
    <n v="4000"/>
  </r>
  <r>
    <x v="448"/>
    <x v="4"/>
    <m/>
    <x v="4"/>
    <x v="2"/>
    <x v="143"/>
    <m/>
    <m/>
    <m/>
    <n v="2"/>
    <n v="201208"/>
    <n v="40000"/>
  </r>
  <r>
    <x v="448"/>
    <x v="4"/>
    <m/>
    <x v="4"/>
    <x v="2"/>
    <x v="144"/>
    <m/>
    <m/>
    <m/>
    <n v="7"/>
    <n v="201208"/>
    <n v="28000"/>
  </r>
  <r>
    <x v="448"/>
    <x v="4"/>
    <m/>
    <x v="31"/>
    <x v="2"/>
    <x v="145"/>
    <m/>
    <m/>
    <m/>
    <n v="47"/>
    <n v="201208"/>
    <n v="1052800"/>
  </r>
  <r>
    <x v="448"/>
    <x v="4"/>
    <m/>
    <x v="31"/>
    <x v="2"/>
    <x v="146"/>
    <m/>
    <m/>
    <m/>
    <n v="61"/>
    <n v="201208"/>
    <n v="2391200"/>
  </r>
  <r>
    <x v="448"/>
    <x v="4"/>
    <m/>
    <x v="32"/>
    <x v="2"/>
    <x v="147"/>
    <m/>
    <m/>
    <m/>
    <n v="32"/>
    <n v="201208"/>
    <n v="1187200"/>
  </r>
  <r>
    <x v="448"/>
    <x v="4"/>
    <m/>
    <x v="0"/>
    <x v="2"/>
    <x v="148"/>
    <m/>
    <m/>
    <m/>
    <n v="1"/>
    <n v="201208"/>
    <n v="20000"/>
  </r>
  <r>
    <x v="448"/>
    <x v="4"/>
    <m/>
    <x v="0"/>
    <x v="2"/>
    <x v="174"/>
    <m/>
    <m/>
    <m/>
    <n v="1"/>
    <n v="201208"/>
    <n v="35000"/>
  </r>
  <r>
    <x v="448"/>
    <x v="4"/>
    <m/>
    <x v="31"/>
    <x v="2"/>
    <x v="189"/>
    <m/>
    <m/>
    <m/>
    <n v="12"/>
    <n v="201208"/>
    <n v="268800"/>
  </r>
  <r>
    <x v="448"/>
    <x v="4"/>
    <m/>
    <x v="31"/>
    <x v="2"/>
    <x v="184"/>
    <m/>
    <m/>
    <m/>
    <n v="21"/>
    <n v="201208"/>
    <n v="823200"/>
  </r>
  <r>
    <x v="448"/>
    <x v="4"/>
    <m/>
    <x v="32"/>
    <x v="2"/>
    <x v="185"/>
    <m/>
    <m/>
    <m/>
    <n v="6"/>
    <n v="201208"/>
    <n v="222600"/>
  </r>
  <r>
    <x v="448"/>
    <x v="4"/>
    <m/>
    <x v="31"/>
    <x v="2"/>
    <x v="186"/>
    <m/>
    <m/>
    <m/>
    <n v="76"/>
    <n v="201208"/>
    <n v="1702400"/>
  </r>
  <r>
    <x v="448"/>
    <x v="4"/>
    <m/>
    <x v="31"/>
    <x v="2"/>
    <x v="187"/>
    <m/>
    <m/>
    <m/>
    <n v="59"/>
    <n v="201208"/>
    <n v="2312800"/>
  </r>
  <r>
    <x v="448"/>
    <x v="4"/>
    <m/>
    <x v="32"/>
    <x v="2"/>
    <x v="188"/>
    <m/>
    <m/>
    <m/>
    <n v="58"/>
    <n v="201208"/>
    <n v="2151800"/>
  </r>
  <r>
    <x v="448"/>
    <x v="4"/>
    <m/>
    <x v="22"/>
    <x v="2"/>
    <x v="150"/>
    <m/>
    <m/>
    <m/>
    <n v="8"/>
    <n v="201208"/>
    <n v="304000"/>
  </r>
  <r>
    <x v="448"/>
    <x v="4"/>
    <m/>
    <x v="5"/>
    <x v="2"/>
    <x v="151"/>
    <m/>
    <m/>
    <m/>
    <n v="21"/>
    <n v="201208"/>
    <n v="588000"/>
  </r>
  <r>
    <x v="448"/>
    <x v="4"/>
    <m/>
    <x v="5"/>
    <x v="2"/>
    <x v="152"/>
    <m/>
    <m/>
    <m/>
    <n v="5"/>
    <n v="201208"/>
    <n v="240000"/>
  </r>
  <r>
    <x v="448"/>
    <x v="4"/>
    <m/>
    <x v="5"/>
    <x v="2"/>
    <x v="153"/>
    <m/>
    <m/>
    <m/>
    <n v="7"/>
    <n v="201208"/>
    <n v="196000"/>
  </r>
  <r>
    <x v="448"/>
    <x v="4"/>
    <m/>
    <x v="33"/>
    <x v="2"/>
    <x v="155"/>
    <m/>
    <m/>
    <m/>
    <n v="4"/>
    <n v="201208"/>
    <n v="72800"/>
  </r>
  <r>
    <x v="448"/>
    <x v="4"/>
    <m/>
    <x v="19"/>
    <x v="2"/>
    <x v="157"/>
    <m/>
    <m/>
    <m/>
    <n v="22"/>
    <n v="201208"/>
    <n v="286000"/>
  </r>
  <r>
    <x v="448"/>
    <x v="4"/>
    <m/>
    <x v="19"/>
    <x v="2"/>
    <x v="158"/>
    <m/>
    <m/>
    <m/>
    <n v="9"/>
    <n v="201208"/>
    <n v="216000"/>
  </r>
  <r>
    <x v="448"/>
    <x v="4"/>
    <m/>
    <x v="19"/>
    <x v="2"/>
    <x v="159"/>
    <m/>
    <m/>
    <m/>
    <n v="2"/>
    <n v="201208"/>
    <n v="66000"/>
  </r>
  <r>
    <x v="448"/>
    <x v="4"/>
    <m/>
    <x v="35"/>
    <x v="2"/>
    <x v="160"/>
    <m/>
    <m/>
    <m/>
    <n v="3"/>
    <n v="201208"/>
    <n v="60000"/>
  </r>
  <r>
    <x v="448"/>
    <x v="4"/>
    <m/>
    <x v="18"/>
    <x v="2"/>
    <x v="161"/>
    <m/>
    <m/>
    <m/>
    <n v="33"/>
    <n v="201208"/>
    <n v="99000"/>
  </r>
  <r>
    <x v="448"/>
    <x v="4"/>
    <m/>
    <x v="18"/>
    <x v="2"/>
    <x v="161"/>
    <m/>
    <m/>
    <m/>
    <n v="1"/>
    <n v="201208"/>
    <n v="3000"/>
  </r>
  <r>
    <x v="449"/>
    <x v="1"/>
    <m/>
    <x v="0"/>
    <x v="1"/>
    <x v="123"/>
    <m/>
    <m/>
    <m/>
    <n v="3"/>
    <n v="201208"/>
    <n v="105000"/>
  </r>
  <r>
    <x v="449"/>
    <x v="1"/>
    <m/>
    <x v="0"/>
    <x v="7"/>
    <x v="163"/>
    <m/>
    <m/>
    <m/>
    <n v="3"/>
    <n v="201208"/>
    <n v="60000"/>
  </r>
  <r>
    <x v="449"/>
    <x v="1"/>
    <m/>
    <x v="0"/>
    <x v="3"/>
    <x v="164"/>
    <m/>
    <m/>
    <m/>
    <n v="5"/>
    <n v="201208"/>
    <n v="0"/>
  </r>
  <r>
    <x v="449"/>
    <x v="1"/>
    <m/>
    <x v="6"/>
    <x v="2"/>
    <x v="126"/>
    <m/>
    <m/>
    <m/>
    <n v="3"/>
    <n v="201208"/>
    <n v="60000"/>
  </r>
  <r>
    <x v="449"/>
    <x v="1"/>
    <m/>
    <x v="6"/>
    <x v="2"/>
    <x v="127"/>
    <m/>
    <m/>
    <m/>
    <n v="1"/>
    <n v="201208"/>
    <n v="35000"/>
  </r>
  <r>
    <x v="449"/>
    <x v="1"/>
    <m/>
    <x v="34"/>
    <x v="2"/>
    <x v="128"/>
    <m/>
    <m/>
    <m/>
    <n v="30"/>
    <n v="201208"/>
    <n v="1113000"/>
  </r>
  <r>
    <x v="449"/>
    <x v="1"/>
    <m/>
    <x v="25"/>
    <x v="2"/>
    <x v="129"/>
    <m/>
    <m/>
    <m/>
    <n v="3"/>
    <n v="201208"/>
    <n v="297000"/>
  </r>
  <r>
    <x v="449"/>
    <x v="1"/>
    <m/>
    <x v="0"/>
    <x v="2"/>
    <x v="130"/>
    <m/>
    <m/>
    <m/>
    <n v="33"/>
    <n v="201208"/>
    <n v="1089000"/>
  </r>
  <r>
    <x v="449"/>
    <x v="1"/>
    <m/>
    <x v="0"/>
    <x v="2"/>
    <x v="131"/>
    <m/>
    <m/>
    <m/>
    <n v="4"/>
    <n v="201208"/>
    <n v="132000"/>
  </r>
  <r>
    <x v="449"/>
    <x v="1"/>
    <m/>
    <x v="0"/>
    <x v="2"/>
    <x v="168"/>
    <m/>
    <m/>
    <m/>
    <n v="1"/>
    <n v="201208"/>
    <n v="20000"/>
  </r>
  <r>
    <x v="449"/>
    <x v="1"/>
    <m/>
    <x v="32"/>
    <x v="2"/>
    <x v="180"/>
    <m/>
    <m/>
    <m/>
    <n v="1"/>
    <n v="201208"/>
    <n v="37100"/>
  </r>
  <r>
    <x v="449"/>
    <x v="1"/>
    <m/>
    <x v="0"/>
    <x v="2"/>
    <x v="179"/>
    <m/>
    <m/>
    <m/>
    <n v="2"/>
    <n v="201208"/>
    <n v="6000"/>
  </r>
  <r>
    <x v="449"/>
    <x v="1"/>
    <m/>
    <x v="0"/>
    <x v="2"/>
    <x v="178"/>
    <m/>
    <m/>
    <m/>
    <n v="1"/>
    <n v="201208"/>
    <n v="35000"/>
  </r>
  <r>
    <x v="449"/>
    <x v="1"/>
    <m/>
    <x v="30"/>
    <x v="2"/>
    <x v="132"/>
    <m/>
    <m/>
    <m/>
    <n v="10"/>
    <n v="201208"/>
    <n v="224000"/>
  </r>
  <r>
    <x v="449"/>
    <x v="1"/>
    <m/>
    <x v="30"/>
    <x v="2"/>
    <x v="133"/>
    <m/>
    <m/>
    <m/>
    <n v="4"/>
    <n v="201208"/>
    <n v="156800"/>
  </r>
  <r>
    <x v="449"/>
    <x v="1"/>
    <m/>
    <x v="34"/>
    <x v="2"/>
    <x v="134"/>
    <m/>
    <m/>
    <m/>
    <n v="2"/>
    <n v="201208"/>
    <n v="74200"/>
  </r>
  <r>
    <x v="449"/>
    <x v="1"/>
    <m/>
    <x v="1"/>
    <x v="2"/>
    <x v="135"/>
    <m/>
    <m/>
    <m/>
    <n v="2"/>
    <n v="201208"/>
    <n v="40000"/>
  </r>
  <r>
    <x v="449"/>
    <x v="1"/>
    <m/>
    <x v="36"/>
    <x v="2"/>
    <x v="136"/>
    <m/>
    <m/>
    <m/>
    <n v="3"/>
    <n v="201208"/>
    <n v="84000"/>
  </r>
  <r>
    <x v="449"/>
    <x v="1"/>
    <m/>
    <x v="36"/>
    <x v="2"/>
    <x v="176"/>
    <m/>
    <m/>
    <m/>
    <n v="1"/>
    <n v="201208"/>
    <n v="49000"/>
  </r>
  <r>
    <x v="449"/>
    <x v="1"/>
    <m/>
    <x v="0"/>
    <x v="2"/>
    <x v="138"/>
    <m/>
    <m/>
    <m/>
    <n v="45"/>
    <n v="201208"/>
    <n v="900000"/>
  </r>
  <r>
    <x v="449"/>
    <x v="1"/>
    <m/>
    <x v="0"/>
    <x v="2"/>
    <x v="139"/>
    <m/>
    <m/>
    <m/>
    <n v="22"/>
    <n v="201208"/>
    <n v="770000"/>
  </r>
  <r>
    <x v="449"/>
    <x v="1"/>
    <m/>
    <x v="32"/>
    <x v="2"/>
    <x v="140"/>
    <m/>
    <m/>
    <m/>
    <n v="18"/>
    <n v="201208"/>
    <n v="667800"/>
  </r>
  <r>
    <x v="449"/>
    <x v="1"/>
    <m/>
    <x v="18"/>
    <x v="2"/>
    <x v="125"/>
    <m/>
    <m/>
    <m/>
    <n v="29"/>
    <n v="201208"/>
    <n v="87000"/>
  </r>
  <r>
    <x v="449"/>
    <x v="1"/>
    <m/>
    <x v="0"/>
    <x v="2"/>
    <x v="141"/>
    <m/>
    <m/>
    <m/>
    <n v="3"/>
    <n v="201208"/>
    <n v="99000"/>
  </r>
  <r>
    <x v="449"/>
    <x v="1"/>
    <m/>
    <x v="4"/>
    <x v="2"/>
    <x v="143"/>
    <m/>
    <m/>
    <m/>
    <n v="6"/>
    <n v="201208"/>
    <n v="120000"/>
  </r>
  <r>
    <x v="449"/>
    <x v="1"/>
    <m/>
    <x v="4"/>
    <x v="2"/>
    <x v="144"/>
    <m/>
    <m/>
    <m/>
    <n v="5"/>
    <n v="201208"/>
    <n v="20000"/>
  </r>
  <r>
    <x v="449"/>
    <x v="1"/>
    <m/>
    <x v="31"/>
    <x v="2"/>
    <x v="145"/>
    <m/>
    <m/>
    <m/>
    <n v="63"/>
    <n v="201208"/>
    <n v="1411200"/>
  </r>
  <r>
    <x v="449"/>
    <x v="1"/>
    <m/>
    <x v="31"/>
    <x v="2"/>
    <x v="146"/>
    <m/>
    <m/>
    <m/>
    <n v="113"/>
    <n v="201208"/>
    <n v="4429600"/>
  </r>
  <r>
    <x v="449"/>
    <x v="1"/>
    <m/>
    <x v="32"/>
    <x v="2"/>
    <x v="147"/>
    <m/>
    <m/>
    <m/>
    <n v="46"/>
    <n v="201208"/>
    <n v="1706600"/>
  </r>
  <r>
    <x v="449"/>
    <x v="1"/>
    <m/>
    <x v="0"/>
    <x v="2"/>
    <x v="148"/>
    <m/>
    <m/>
    <m/>
    <n v="2"/>
    <n v="201208"/>
    <n v="40000"/>
  </r>
  <r>
    <x v="449"/>
    <x v="1"/>
    <m/>
    <x v="31"/>
    <x v="2"/>
    <x v="189"/>
    <m/>
    <m/>
    <m/>
    <n v="9"/>
    <n v="201208"/>
    <n v="201600"/>
  </r>
  <r>
    <x v="449"/>
    <x v="1"/>
    <m/>
    <x v="31"/>
    <x v="2"/>
    <x v="184"/>
    <m/>
    <m/>
    <m/>
    <n v="11"/>
    <n v="201208"/>
    <n v="431200"/>
  </r>
  <r>
    <x v="449"/>
    <x v="1"/>
    <m/>
    <x v="32"/>
    <x v="2"/>
    <x v="185"/>
    <m/>
    <m/>
    <m/>
    <n v="3"/>
    <n v="201208"/>
    <n v="111300"/>
  </r>
  <r>
    <x v="449"/>
    <x v="1"/>
    <m/>
    <x v="31"/>
    <x v="2"/>
    <x v="186"/>
    <m/>
    <m/>
    <m/>
    <n v="208"/>
    <n v="201208"/>
    <n v="4659200"/>
  </r>
  <r>
    <x v="449"/>
    <x v="1"/>
    <m/>
    <x v="31"/>
    <x v="2"/>
    <x v="187"/>
    <m/>
    <m/>
    <m/>
    <n v="224"/>
    <n v="201208"/>
    <n v="8780800"/>
  </r>
  <r>
    <x v="449"/>
    <x v="1"/>
    <m/>
    <x v="32"/>
    <x v="2"/>
    <x v="188"/>
    <m/>
    <m/>
    <m/>
    <n v="125"/>
    <n v="201208"/>
    <n v="4637500"/>
  </r>
  <r>
    <x v="449"/>
    <x v="1"/>
    <m/>
    <x v="22"/>
    <x v="2"/>
    <x v="150"/>
    <m/>
    <m/>
    <m/>
    <n v="12"/>
    <n v="201208"/>
    <n v="456000"/>
  </r>
  <r>
    <x v="449"/>
    <x v="1"/>
    <m/>
    <x v="22"/>
    <x v="2"/>
    <x v="150"/>
    <m/>
    <m/>
    <m/>
    <n v="2"/>
    <n v="201208"/>
    <n v="76000"/>
  </r>
  <r>
    <x v="449"/>
    <x v="1"/>
    <m/>
    <x v="5"/>
    <x v="2"/>
    <x v="151"/>
    <m/>
    <m/>
    <m/>
    <n v="19"/>
    <n v="201208"/>
    <n v="532000"/>
  </r>
  <r>
    <x v="449"/>
    <x v="1"/>
    <m/>
    <x v="5"/>
    <x v="2"/>
    <x v="152"/>
    <m/>
    <m/>
    <m/>
    <n v="6"/>
    <n v="201208"/>
    <n v="288000"/>
  </r>
  <r>
    <x v="449"/>
    <x v="1"/>
    <m/>
    <x v="5"/>
    <x v="2"/>
    <x v="153"/>
    <m/>
    <m/>
    <m/>
    <n v="4"/>
    <n v="201208"/>
    <n v="112000"/>
  </r>
  <r>
    <x v="449"/>
    <x v="1"/>
    <m/>
    <x v="33"/>
    <x v="2"/>
    <x v="155"/>
    <m/>
    <m/>
    <m/>
    <n v="7"/>
    <n v="201208"/>
    <n v="127400"/>
  </r>
  <r>
    <x v="449"/>
    <x v="1"/>
    <m/>
    <x v="19"/>
    <x v="2"/>
    <x v="157"/>
    <m/>
    <m/>
    <m/>
    <n v="28"/>
    <n v="201208"/>
    <n v="364000"/>
  </r>
  <r>
    <x v="449"/>
    <x v="1"/>
    <m/>
    <x v="19"/>
    <x v="2"/>
    <x v="158"/>
    <m/>
    <m/>
    <m/>
    <n v="6"/>
    <n v="201208"/>
    <n v="144000"/>
  </r>
  <r>
    <x v="449"/>
    <x v="1"/>
    <m/>
    <x v="19"/>
    <x v="2"/>
    <x v="159"/>
    <m/>
    <m/>
    <m/>
    <n v="1"/>
    <n v="201208"/>
    <n v="33000"/>
  </r>
  <r>
    <x v="449"/>
    <x v="1"/>
    <m/>
    <x v="35"/>
    <x v="2"/>
    <x v="160"/>
    <m/>
    <m/>
    <m/>
    <n v="5"/>
    <n v="201208"/>
    <n v="100000"/>
  </r>
  <r>
    <x v="449"/>
    <x v="1"/>
    <m/>
    <x v="18"/>
    <x v="2"/>
    <x v="161"/>
    <m/>
    <m/>
    <m/>
    <n v="23"/>
    <n v="201208"/>
    <n v="69000"/>
  </r>
  <r>
    <x v="449"/>
    <x v="1"/>
    <m/>
    <x v="18"/>
    <x v="2"/>
    <x v="161"/>
    <m/>
    <m/>
    <m/>
    <n v="9"/>
    <n v="201208"/>
    <n v="27000"/>
  </r>
  <r>
    <x v="450"/>
    <x v="0"/>
    <m/>
    <x v="0"/>
    <x v="1"/>
    <x v="123"/>
    <m/>
    <m/>
    <m/>
    <n v="1"/>
    <n v="201208"/>
    <n v="35000"/>
  </r>
  <r>
    <x v="450"/>
    <x v="0"/>
    <m/>
    <x v="0"/>
    <x v="7"/>
    <x v="163"/>
    <m/>
    <m/>
    <m/>
    <n v="1"/>
    <n v="201208"/>
    <n v="20000"/>
  </r>
  <r>
    <x v="450"/>
    <x v="0"/>
    <m/>
    <x v="6"/>
    <x v="2"/>
    <x v="126"/>
    <m/>
    <m/>
    <m/>
    <n v="5"/>
    <n v="201208"/>
    <n v="100000"/>
  </r>
  <r>
    <x v="450"/>
    <x v="0"/>
    <m/>
    <x v="6"/>
    <x v="2"/>
    <x v="127"/>
    <m/>
    <m/>
    <m/>
    <n v="1"/>
    <n v="201208"/>
    <n v="35000"/>
  </r>
  <r>
    <x v="450"/>
    <x v="0"/>
    <m/>
    <x v="34"/>
    <x v="2"/>
    <x v="128"/>
    <m/>
    <m/>
    <m/>
    <n v="48"/>
    <n v="201208"/>
    <n v="1780800"/>
  </r>
  <r>
    <x v="450"/>
    <x v="0"/>
    <m/>
    <x v="25"/>
    <x v="2"/>
    <x v="129"/>
    <m/>
    <m/>
    <m/>
    <n v="3"/>
    <n v="201208"/>
    <n v="297000"/>
  </r>
  <r>
    <x v="450"/>
    <x v="0"/>
    <m/>
    <x v="0"/>
    <x v="2"/>
    <x v="130"/>
    <m/>
    <m/>
    <m/>
    <n v="26"/>
    <n v="201208"/>
    <n v="858000"/>
  </r>
  <r>
    <x v="450"/>
    <x v="0"/>
    <m/>
    <x v="0"/>
    <x v="2"/>
    <x v="131"/>
    <m/>
    <m/>
    <m/>
    <n v="3"/>
    <n v="201208"/>
    <n v="99000"/>
  </r>
  <r>
    <x v="450"/>
    <x v="0"/>
    <m/>
    <x v="0"/>
    <x v="2"/>
    <x v="168"/>
    <m/>
    <m/>
    <m/>
    <n v="2"/>
    <n v="201208"/>
    <n v="40000"/>
  </r>
  <r>
    <x v="450"/>
    <x v="0"/>
    <m/>
    <x v="0"/>
    <x v="2"/>
    <x v="178"/>
    <m/>
    <m/>
    <m/>
    <n v="1"/>
    <n v="201208"/>
    <n v="35000"/>
  </r>
  <r>
    <x v="450"/>
    <x v="0"/>
    <m/>
    <x v="31"/>
    <x v="2"/>
    <x v="192"/>
    <m/>
    <m/>
    <m/>
    <n v="1"/>
    <n v="201208"/>
    <n v="39200"/>
  </r>
  <r>
    <x v="450"/>
    <x v="0"/>
    <m/>
    <x v="30"/>
    <x v="2"/>
    <x v="132"/>
    <m/>
    <m/>
    <m/>
    <n v="6"/>
    <n v="201208"/>
    <n v="134400"/>
  </r>
  <r>
    <x v="450"/>
    <x v="0"/>
    <m/>
    <x v="30"/>
    <x v="2"/>
    <x v="133"/>
    <m/>
    <m/>
    <m/>
    <n v="2"/>
    <n v="201208"/>
    <n v="78400"/>
  </r>
  <r>
    <x v="450"/>
    <x v="0"/>
    <m/>
    <x v="34"/>
    <x v="2"/>
    <x v="134"/>
    <m/>
    <m/>
    <m/>
    <n v="3"/>
    <n v="201208"/>
    <n v="111300"/>
  </r>
  <r>
    <x v="450"/>
    <x v="0"/>
    <m/>
    <x v="1"/>
    <x v="2"/>
    <x v="135"/>
    <m/>
    <m/>
    <m/>
    <n v="2"/>
    <n v="201208"/>
    <n v="40000"/>
  </r>
  <r>
    <x v="450"/>
    <x v="0"/>
    <m/>
    <x v="1"/>
    <x v="2"/>
    <x v="165"/>
    <m/>
    <m/>
    <m/>
    <n v="1"/>
    <n v="201208"/>
    <n v="35000"/>
  </r>
  <r>
    <x v="450"/>
    <x v="0"/>
    <m/>
    <x v="36"/>
    <x v="2"/>
    <x v="136"/>
    <m/>
    <m/>
    <m/>
    <n v="5"/>
    <n v="201208"/>
    <n v="140000"/>
  </r>
  <r>
    <x v="450"/>
    <x v="0"/>
    <m/>
    <x v="36"/>
    <x v="2"/>
    <x v="137"/>
    <m/>
    <m/>
    <m/>
    <n v="1"/>
    <n v="201208"/>
    <n v="42000"/>
  </r>
  <r>
    <x v="450"/>
    <x v="0"/>
    <m/>
    <x v="0"/>
    <x v="2"/>
    <x v="138"/>
    <m/>
    <m/>
    <m/>
    <n v="53"/>
    <n v="201208"/>
    <n v="1060000"/>
  </r>
  <r>
    <x v="450"/>
    <x v="0"/>
    <m/>
    <x v="0"/>
    <x v="2"/>
    <x v="139"/>
    <m/>
    <m/>
    <m/>
    <n v="39"/>
    <n v="201208"/>
    <n v="1365000"/>
  </r>
  <r>
    <x v="450"/>
    <x v="0"/>
    <m/>
    <x v="32"/>
    <x v="2"/>
    <x v="140"/>
    <m/>
    <m/>
    <m/>
    <n v="38"/>
    <n v="201208"/>
    <n v="1409800"/>
  </r>
  <r>
    <x v="450"/>
    <x v="0"/>
    <m/>
    <x v="18"/>
    <x v="2"/>
    <x v="125"/>
    <m/>
    <m/>
    <m/>
    <n v="43"/>
    <n v="201208"/>
    <n v="129000"/>
  </r>
  <r>
    <x v="450"/>
    <x v="0"/>
    <m/>
    <x v="0"/>
    <x v="2"/>
    <x v="138"/>
    <m/>
    <m/>
    <m/>
    <n v="1"/>
    <n v="201208"/>
    <n v="20000"/>
  </r>
  <r>
    <x v="450"/>
    <x v="0"/>
    <m/>
    <x v="4"/>
    <x v="2"/>
    <x v="142"/>
    <m/>
    <m/>
    <m/>
    <n v="3"/>
    <n v="201208"/>
    <n v="12000"/>
  </r>
  <r>
    <x v="450"/>
    <x v="0"/>
    <m/>
    <x v="4"/>
    <x v="2"/>
    <x v="143"/>
    <m/>
    <m/>
    <m/>
    <n v="8"/>
    <n v="201208"/>
    <n v="160000"/>
  </r>
  <r>
    <x v="450"/>
    <x v="0"/>
    <m/>
    <x v="4"/>
    <x v="2"/>
    <x v="144"/>
    <m/>
    <m/>
    <m/>
    <n v="5"/>
    <n v="201208"/>
    <n v="20000"/>
  </r>
  <r>
    <x v="450"/>
    <x v="0"/>
    <m/>
    <x v="31"/>
    <x v="2"/>
    <x v="145"/>
    <m/>
    <m/>
    <m/>
    <n v="81"/>
    <n v="201208"/>
    <n v="1814400"/>
  </r>
  <r>
    <x v="450"/>
    <x v="0"/>
    <m/>
    <x v="31"/>
    <x v="2"/>
    <x v="146"/>
    <m/>
    <m/>
    <m/>
    <n v="86"/>
    <n v="201208"/>
    <n v="3371200"/>
  </r>
  <r>
    <x v="450"/>
    <x v="0"/>
    <m/>
    <x v="32"/>
    <x v="2"/>
    <x v="147"/>
    <m/>
    <m/>
    <m/>
    <n v="68"/>
    <n v="201208"/>
    <n v="2522800"/>
  </r>
  <r>
    <x v="450"/>
    <x v="0"/>
    <m/>
    <x v="0"/>
    <x v="2"/>
    <x v="149"/>
    <m/>
    <m/>
    <m/>
    <n v="3"/>
    <n v="201208"/>
    <n v="60000"/>
  </r>
  <r>
    <x v="450"/>
    <x v="0"/>
    <m/>
    <x v="0"/>
    <x v="2"/>
    <x v="174"/>
    <m/>
    <m/>
    <m/>
    <n v="1"/>
    <n v="201208"/>
    <n v="35000"/>
  </r>
  <r>
    <x v="450"/>
    <x v="0"/>
    <m/>
    <x v="18"/>
    <x v="2"/>
    <x v="166"/>
    <m/>
    <m/>
    <m/>
    <n v="1"/>
    <n v="201208"/>
    <n v="3000"/>
  </r>
  <r>
    <x v="450"/>
    <x v="0"/>
    <m/>
    <x v="31"/>
    <x v="2"/>
    <x v="189"/>
    <m/>
    <m/>
    <m/>
    <n v="42"/>
    <n v="201208"/>
    <n v="940800"/>
  </r>
  <r>
    <x v="450"/>
    <x v="0"/>
    <m/>
    <x v="31"/>
    <x v="2"/>
    <x v="184"/>
    <m/>
    <m/>
    <m/>
    <n v="50"/>
    <n v="201208"/>
    <n v="1960000"/>
  </r>
  <r>
    <x v="450"/>
    <x v="0"/>
    <m/>
    <x v="32"/>
    <x v="2"/>
    <x v="185"/>
    <m/>
    <m/>
    <m/>
    <n v="24"/>
    <n v="201208"/>
    <n v="890400"/>
  </r>
  <r>
    <x v="450"/>
    <x v="0"/>
    <m/>
    <x v="31"/>
    <x v="2"/>
    <x v="186"/>
    <m/>
    <m/>
    <m/>
    <n v="142"/>
    <n v="201208"/>
    <n v="3180800"/>
  </r>
  <r>
    <x v="450"/>
    <x v="0"/>
    <m/>
    <x v="31"/>
    <x v="2"/>
    <x v="187"/>
    <m/>
    <m/>
    <m/>
    <n v="149"/>
    <n v="201208"/>
    <n v="5840800"/>
  </r>
  <r>
    <x v="450"/>
    <x v="0"/>
    <m/>
    <x v="32"/>
    <x v="2"/>
    <x v="188"/>
    <m/>
    <m/>
    <m/>
    <n v="78"/>
    <n v="201208"/>
    <n v="2893800"/>
  </r>
  <r>
    <x v="450"/>
    <x v="0"/>
    <m/>
    <x v="22"/>
    <x v="2"/>
    <x v="150"/>
    <m/>
    <m/>
    <m/>
    <n v="11"/>
    <n v="201208"/>
    <n v="418000"/>
  </r>
  <r>
    <x v="450"/>
    <x v="0"/>
    <m/>
    <x v="22"/>
    <x v="2"/>
    <x v="150"/>
    <m/>
    <m/>
    <m/>
    <n v="5"/>
    <n v="201208"/>
    <n v="190000"/>
  </r>
  <r>
    <x v="450"/>
    <x v="0"/>
    <m/>
    <x v="5"/>
    <x v="2"/>
    <x v="151"/>
    <m/>
    <m/>
    <m/>
    <n v="20"/>
    <n v="201208"/>
    <n v="560000"/>
  </r>
  <r>
    <x v="450"/>
    <x v="0"/>
    <m/>
    <x v="5"/>
    <x v="2"/>
    <x v="152"/>
    <m/>
    <m/>
    <m/>
    <n v="4"/>
    <n v="201208"/>
    <n v="192000"/>
  </r>
  <r>
    <x v="450"/>
    <x v="0"/>
    <m/>
    <x v="5"/>
    <x v="2"/>
    <x v="153"/>
    <m/>
    <m/>
    <m/>
    <n v="2"/>
    <n v="201208"/>
    <n v="56000"/>
  </r>
  <r>
    <x v="450"/>
    <x v="0"/>
    <m/>
    <x v="33"/>
    <x v="2"/>
    <x v="155"/>
    <m/>
    <m/>
    <m/>
    <n v="5"/>
    <n v="201208"/>
    <n v="91000"/>
  </r>
  <r>
    <x v="450"/>
    <x v="0"/>
    <m/>
    <x v="33"/>
    <x v="2"/>
    <x v="156"/>
    <m/>
    <m/>
    <m/>
    <n v="2"/>
    <n v="201208"/>
    <n v="67600"/>
  </r>
  <r>
    <x v="450"/>
    <x v="0"/>
    <m/>
    <x v="19"/>
    <x v="2"/>
    <x v="157"/>
    <m/>
    <m/>
    <m/>
    <n v="18"/>
    <n v="201208"/>
    <n v="234000"/>
  </r>
  <r>
    <x v="450"/>
    <x v="0"/>
    <m/>
    <x v="19"/>
    <x v="2"/>
    <x v="158"/>
    <m/>
    <m/>
    <m/>
    <n v="5"/>
    <n v="201208"/>
    <n v="120000"/>
  </r>
  <r>
    <x v="450"/>
    <x v="0"/>
    <m/>
    <x v="19"/>
    <x v="2"/>
    <x v="159"/>
    <m/>
    <m/>
    <m/>
    <n v="2"/>
    <n v="201208"/>
    <n v="66000"/>
  </r>
  <r>
    <x v="450"/>
    <x v="0"/>
    <m/>
    <x v="19"/>
    <x v="2"/>
    <x v="181"/>
    <m/>
    <m/>
    <m/>
    <n v="1"/>
    <n v="201208"/>
    <n v="13000"/>
  </r>
  <r>
    <x v="450"/>
    <x v="0"/>
    <m/>
    <x v="35"/>
    <x v="2"/>
    <x v="170"/>
    <m/>
    <m/>
    <m/>
    <n v="2"/>
    <n v="201208"/>
    <n v="8000"/>
  </r>
  <r>
    <x v="450"/>
    <x v="0"/>
    <m/>
    <x v="35"/>
    <x v="2"/>
    <x v="160"/>
    <m/>
    <m/>
    <m/>
    <n v="4"/>
    <n v="201208"/>
    <n v="80000"/>
  </r>
  <r>
    <x v="450"/>
    <x v="0"/>
    <m/>
    <x v="18"/>
    <x v="2"/>
    <x v="161"/>
    <m/>
    <m/>
    <m/>
    <n v="25"/>
    <n v="201208"/>
    <n v="75000"/>
  </r>
  <r>
    <x v="450"/>
    <x v="0"/>
    <m/>
    <x v="18"/>
    <x v="2"/>
    <x v="161"/>
    <m/>
    <m/>
    <m/>
    <n v="2"/>
    <n v="201208"/>
    <n v="6000"/>
  </r>
  <r>
    <x v="451"/>
    <x v="2"/>
    <m/>
    <x v="0"/>
    <x v="7"/>
    <x v="163"/>
    <m/>
    <m/>
    <m/>
    <n v="1"/>
    <n v="201208"/>
    <n v="20000"/>
  </r>
  <r>
    <x v="451"/>
    <x v="2"/>
    <m/>
    <x v="6"/>
    <x v="2"/>
    <x v="126"/>
    <m/>
    <m/>
    <m/>
    <n v="5"/>
    <n v="201208"/>
    <n v="100000"/>
  </r>
  <r>
    <x v="451"/>
    <x v="2"/>
    <m/>
    <x v="34"/>
    <x v="2"/>
    <x v="128"/>
    <m/>
    <m/>
    <m/>
    <n v="61"/>
    <n v="201208"/>
    <n v="2263100"/>
  </r>
  <r>
    <x v="451"/>
    <x v="2"/>
    <m/>
    <x v="25"/>
    <x v="2"/>
    <x v="129"/>
    <m/>
    <m/>
    <m/>
    <n v="4"/>
    <n v="201208"/>
    <n v="396000"/>
  </r>
  <r>
    <x v="451"/>
    <x v="2"/>
    <m/>
    <x v="0"/>
    <x v="2"/>
    <x v="130"/>
    <m/>
    <m/>
    <m/>
    <n v="29"/>
    <n v="201208"/>
    <n v="957000"/>
  </r>
  <r>
    <x v="451"/>
    <x v="2"/>
    <m/>
    <x v="0"/>
    <x v="2"/>
    <x v="168"/>
    <m/>
    <m/>
    <m/>
    <n v="2"/>
    <n v="201208"/>
    <n v="40000"/>
  </r>
  <r>
    <x v="451"/>
    <x v="2"/>
    <m/>
    <x v="0"/>
    <x v="2"/>
    <x v="178"/>
    <m/>
    <m/>
    <m/>
    <n v="1"/>
    <n v="201208"/>
    <n v="35000"/>
  </r>
  <r>
    <x v="451"/>
    <x v="2"/>
    <m/>
    <x v="0"/>
    <x v="2"/>
    <x v="179"/>
    <m/>
    <m/>
    <m/>
    <n v="2"/>
    <n v="201208"/>
    <n v="6000"/>
  </r>
  <r>
    <x v="451"/>
    <x v="2"/>
    <m/>
    <x v="30"/>
    <x v="2"/>
    <x v="132"/>
    <m/>
    <m/>
    <m/>
    <n v="14"/>
    <n v="201208"/>
    <n v="313600"/>
  </r>
  <r>
    <x v="451"/>
    <x v="2"/>
    <m/>
    <x v="30"/>
    <x v="2"/>
    <x v="133"/>
    <m/>
    <m/>
    <m/>
    <n v="3"/>
    <n v="201208"/>
    <n v="117600"/>
  </r>
  <r>
    <x v="451"/>
    <x v="2"/>
    <m/>
    <x v="34"/>
    <x v="2"/>
    <x v="134"/>
    <m/>
    <m/>
    <m/>
    <n v="3"/>
    <n v="201208"/>
    <n v="111300"/>
  </r>
  <r>
    <x v="451"/>
    <x v="2"/>
    <m/>
    <x v="1"/>
    <x v="2"/>
    <x v="135"/>
    <m/>
    <m/>
    <m/>
    <n v="4"/>
    <n v="201208"/>
    <n v="80000"/>
  </r>
  <r>
    <x v="451"/>
    <x v="2"/>
    <m/>
    <x v="1"/>
    <x v="2"/>
    <x v="165"/>
    <m/>
    <m/>
    <m/>
    <n v="2"/>
    <n v="201208"/>
    <n v="70000"/>
  </r>
  <r>
    <x v="451"/>
    <x v="2"/>
    <m/>
    <x v="36"/>
    <x v="2"/>
    <x v="136"/>
    <m/>
    <m/>
    <m/>
    <n v="3"/>
    <n v="201208"/>
    <n v="84000"/>
  </r>
  <r>
    <x v="451"/>
    <x v="2"/>
    <m/>
    <x v="0"/>
    <x v="2"/>
    <x v="138"/>
    <m/>
    <m/>
    <m/>
    <n v="104"/>
    <n v="201208"/>
    <n v="2080000"/>
  </r>
  <r>
    <x v="451"/>
    <x v="2"/>
    <m/>
    <x v="0"/>
    <x v="2"/>
    <x v="139"/>
    <m/>
    <m/>
    <m/>
    <n v="67"/>
    <n v="201208"/>
    <n v="2345000"/>
  </r>
  <r>
    <x v="451"/>
    <x v="2"/>
    <m/>
    <x v="32"/>
    <x v="2"/>
    <x v="140"/>
    <m/>
    <m/>
    <m/>
    <n v="76"/>
    <n v="201208"/>
    <n v="2819600"/>
  </r>
  <r>
    <x v="451"/>
    <x v="2"/>
    <m/>
    <x v="18"/>
    <x v="2"/>
    <x v="125"/>
    <m/>
    <m/>
    <m/>
    <n v="92"/>
    <n v="201208"/>
    <n v="276000"/>
  </r>
  <r>
    <x v="451"/>
    <x v="2"/>
    <m/>
    <x v="0"/>
    <x v="2"/>
    <x v="141"/>
    <m/>
    <m/>
    <m/>
    <n v="1"/>
    <n v="201208"/>
    <n v="33000"/>
  </r>
  <r>
    <x v="451"/>
    <x v="2"/>
    <m/>
    <x v="4"/>
    <x v="2"/>
    <x v="142"/>
    <m/>
    <m/>
    <m/>
    <n v="2"/>
    <n v="201208"/>
    <n v="8000"/>
  </r>
  <r>
    <x v="451"/>
    <x v="2"/>
    <m/>
    <x v="4"/>
    <x v="2"/>
    <x v="143"/>
    <m/>
    <m/>
    <m/>
    <n v="12"/>
    <n v="201208"/>
    <n v="240000"/>
  </r>
  <r>
    <x v="451"/>
    <x v="2"/>
    <m/>
    <x v="4"/>
    <x v="2"/>
    <x v="144"/>
    <m/>
    <m/>
    <m/>
    <n v="1"/>
    <n v="201208"/>
    <n v="4000"/>
  </r>
  <r>
    <x v="451"/>
    <x v="2"/>
    <m/>
    <x v="31"/>
    <x v="2"/>
    <x v="145"/>
    <m/>
    <m/>
    <m/>
    <n v="56"/>
    <n v="201208"/>
    <n v="1254400"/>
  </r>
  <r>
    <x v="451"/>
    <x v="2"/>
    <m/>
    <x v="31"/>
    <x v="2"/>
    <x v="146"/>
    <m/>
    <m/>
    <m/>
    <n v="98"/>
    <n v="201208"/>
    <n v="3841600"/>
  </r>
  <r>
    <x v="451"/>
    <x v="2"/>
    <m/>
    <x v="32"/>
    <x v="2"/>
    <x v="147"/>
    <m/>
    <m/>
    <m/>
    <n v="66"/>
    <n v="201208"/>
    <n v="2448600"/>
  </r>
  <r>
    <x v="451"/>
    <x v="2"/>
    <m/>
    <x v="0"/>
    <x v="2"/>
    <x v="148"/>
    <m/>
    <m/>
    <m/>
    <n v="2"/>
    <n v="201208"/>
    <n v="40000"/>
  </r>
  <r>
    <x v="451"/>
    <x v="2"/>
    <m/>
    <x v="32"/>
    <x v="2"/>
    <x v="169"/>
    <m/>
    <m/>
    <m/>
    <n v="1"/>
    <n v="201208"/>
    <n v="37100"/>
  </r>
  <r>
    <x v="451"/>
    <x v="2"/>
    <m/>
    <x v="31"/>
    <x v="2"/>
    <x v="189"/>
    <m/>
    <m/>
    <m/>
    <n v="17"/>
    <n v="201208"/>
    <n v="380800"/>
  </r>
  <r>
    <x v="451"/>
    <x v="2"/>
    <m/>
    <x v="31"/>
    <x v="2"/>
    <x v="184"/>
    <m/>
    <m/>
    <m/>
    <n v="29"/>
    <n v="201208"/>
    <n v="1136800"/>
  </r>
  <r>
    <x v="451"/>
    <x v="2"/>
    <m/>
    <x v="32"/>
    <x v="2"/>
    <x v="185"/>
    <m/>
    <m/>
    <m/>
    <n v="19"/>
    <n v="201208"/>
    <n v="704900"/>
  </r>
  <r>
    <x v="451"/>
    <x v="2"/>
    <m/>
    <x v="31"/>
    <x v="2"/>
    <x v="186"/>
    <m/>
    <m/>
    <m/>
    <n v="146"/>
    <n v="201208"/>
    <n v="3270400"/>
  </r>
  <r>
    <x v="451"/>
    <x v="2"/>
    <m/>
    <x v="31"/>
    <x v="2"/>
    <x v="187"/>
    <m/>
    <m/>
    <m/>
    <n v="146"/>
    <n v="201208"/>
    <n v="5723200"/>
  </r>
  <r>
    <x v="451"/>
    <x v="2"/>
    <m/>
    <x v="32"/>
    <x v="2"/>
    <x v="188"/>
    <m/>
    <m/>
    <m/>
    <n v="99"/>
    <n v="201208"/>
    <n v="3672900"/>
  </r>
  <r>
    <x v="451"/>
    <x v="2"/>
    <m/>
    <x v="22"/>
    <x v="2"/>
    <x v="150"/>
    <m/>
    <m/>
    <m/>
    <n v="10"/>
    <n v="201208"/>
    <n v="380000"/>
  </r>
  <r>
    <x v="451"/>
    <x v="2"/>
    <m/>
    <x v="22"/>
    <x v="2"/>
    <x v="150"/>
    <m/>
    <m/>
    <m/>
    <n v="6"/>
    <n v="201208"/>
    <n v="228000"/>
  </r>
  <r>
    <x v="451"/>
    <x v="2"/>
    <m/>
    <x v="5"/>
    <x v="2"/>
    <x v="151"/>
    <m/>
    <m/>
    <m/>
    <n v="16"/>
    <n v="201208"/>
    <n v="448000"/>
  </r>
  <r>
    <x v="451"/>
    <x v="2"/>
    <m/>
    <x v="5"/>
    <x v="2"/>
    <x v="152"/>
    <m/>
    <m/>
    <m/>
    <n v="7"/>
    <n v="201208"/>
    <n v="336000"/>
  </r>
  <r>
    <x v="451"/>
    <x v="2"/>
    <m/>
    <x v="5"/>
    <x v="2"/>
    <x v="153"/>
    <m/>
    <m/>
    <m/>
    <n v="9"/>
    <n v="201208"/>
    <n v="252000"/>
  </r>
  <r>
    <x v="451"/>
    <x v="2"/>
    <m/>
    <x v="33"/>
    <x v="2"/>
    <x v="155"/>
    <m/>
    <m/>
    <m/>
    <n v="7"/>
    <n v="201208"/>
    <n v="127400"/>
  </r>
  <r>
    <x v="451"/>
    <x v="2"/>
    <m/>
    <x v="33"/>
    <x v="2"/>
    <x v="156"/>
    <m/>
    <m/>
    <m/>
    <n v="2"/>
    <n v="201208"/>
    <n v="67600"/>
  </r>
  <r>
    <x v="451"/>
    <x v="2"/>
    <m/>
    <x v="19"/>
    <x v="2"/>
    <x v="157"/>
    <m/>
    <m/>
    <m/>
    <n v="26"/>
    <n v="201208"/>
    <n v="338000"/>
  </r>
  <r>
    <x v="451"/>
    <x v="2"/>
    <m/>
    <x v="19"/>
    <x v="2"/>
    <x v="158"/>
    <m/>
    <m/>
    <m/>
    <n v="6"/>
    <n v="201208"/>
    <n v="144000"/>
  </r>
  <r>
    <x v="451"/>
    <x v="2"/>
    <m/>
    <x v="19"/>
    <x v="2"/>
    <x v="159"/>
    <m/>
    <m/>
    <m/>
    <n v="5"/>
    <n v="201208"/>
    <n v="165000"/>
  </r>
  <r>
    <x v="451"/>
    <x v="2"/>
    <m/>
    <x v="35"/>
    <x v="2"/>
    <x v="160"/>
    <m/>
    <m/>
    <m/>
    <n v="8"/>
    <n v="201208"/>
    <n v="160000"/>
  </r>
  <r>
    <x v="451"/>
    <x v="2"/>
    <m/>
    <x v="18"/>
    <x v="2"/>
    <x v="161"/>
    <m/>
    <m/>
    <m/>
    <n v="36"/>
    <n v="201208"/>
    <n v="108000"/>
  </r>
  <r>
    <x v="451"/>
    <x v="2"/>
    <m/>
    <x v="18"/>
    <x v="2"/>
    <x v="161"/>
    <m/>
    <m/>
    <m/>
    <n v="1"/>
    <n v="201208"/>
    <n v="3000"/>
  </r>
  <r>
    <x v="452"/>
    <x v="5"/>
    <m/>
    <x v="0"/>
    <x v="7"/>
    <x v="163"/>
    <m/>
    <m/>
    <m/>
    <n v="5"/>
    <n v="201208"/>
    <n v="100000"/>
  </r>
  <r>
    <x v="452"/>
    <x v="5"/>
    <m/>
    <x v="6"/>
    <x v="2"/>
    <x v="126"/>
    <m/>
    <m/>
    <m/>
    <n v="4"/>
    <n v="201208"/>
    <n v="80000"/>
  </r>
  <r>
    <x v="452"/>
    <x v="5"/>
    <m/>
    <x v="6"/>
    <x v="2"/>
    <x v="127"/>
    <m/>
    <m/>
    <m/>
    <n v="2"/>
    <n v="201208"/>
    <n v="70000"/>
  </r>
  <r>
    <x v="452"/>
    <x v="5"/>
    <m/>
    <x v="34"/>
    <x v="2"/>
    <x v="128"/>
    <m/>
    <m/>
    <m/>
    <n v="31"/>
    <n v="201208"/>
    <n v="1150100"/>
  </r>
  <r>
    <x v="452"/>
    <x v="5"/>
    <m/>
    <x v="25"/>
    <x v="2"/>
    <x v="129"/>
    <m/>
    <m/>
    <m/>
    <n v="4"/>
    <n v="201208"/>
    <n v="396000"/>
  </r>
  <r>
    <x v="452"/>
    <x v="5"/>
    <m/>
    <x v="0"/>
    <x v="2"/>
    <x v="130"/>
    <m/>
    <m/>
    <m/>
    <n v="25"/>
    <n v="201208"/>
    <n v="825000"/>
  </r>
  <r>
    <x v="452"/>
    <x v="5"/>
    <m/>
    <x v="0"/>
    <x v="2"/>
    <x v="131"/>
    <m/>
    <m/>
    <m/>
    <n v="2"/>
    <n v="201208"/>
    <n v="66000"/>
  </r>
  <r>
    <x v="452"/>
    <x v="5"/>
    <m/>
    <x v="0"/>
    <x v="2"/>
    <x v="168"/>
    <m/>
    <m/>
    <m/>
    <n v="1"/>
    <n v="201208"/>
    <n v="20000"/>
  </r>
  <r>
    <x v="452"/>
    <x v="5"/>
    <m/>
    <x v="32"/>
    <x v="2"/>
    <x v="180"/>
    <m/>
    <m/>
    <m/>
    <n v="1"/>
    <n v="201208"/>
    <n v="37100"/>
  </r>
  <r>
    <x v="452"/>
    <x v="5"/>
    <m/>
    <x v="0"/>
    <x v="2"/>
    <x v="179"/>
    <m/>
    <m/>
    <m/>
    <n v="1"/>
    <n v="201208"/>
    <n v="3000"/>
  </r>
  <r>
    <x v="452"/>
    <x v="5"/>
    <m/>
    <x v="30"/>
    <x v="2"/>
    <x v="132"/>
    <m/>
    <m/>
    <m/>
    <n v="8"/>
    <n v="201208"/>
    <n v="179200"/>
  </r>
  <r>
    <x v="452"/>
    <x v="5"/>
    <m/>
    <x v="30"/>
    <x v="2"/>
    <x v="133"/>
    <m/>
    <m/>
    <m/>
    <n v="1"/>
    <n v="201208"/>
    <n v="39200"/>
  </r>
  <r>
    <x v="452"/>
    <x v="5"/>
    <m/>
    <x v="34"/>
    <x v="2"/>
    <x v="134"/>
    <m/>
    <m/>
    <m/>
    <n v="4"/>
    <n v="201208"/>
    <n v="148400"/>
  </r>
  <r>
    <x v="452"/>
    <x v="5"/>
    <m/>
    <x v="1"/>
    <x v="2"/>
    <x v="135"/>
    <m/>
    <m/>
    <m/>
    <n v="3"/>
    <n v="201208"/>
    <n v="60000"/>
  </r>
  <r>
    <x v="452"/>
    <x v="5"/>
    <m/>
    <x v="1"/>
    <x v="2"/>
    <x v="165"/>
    <m/>
    <m/>
    <m/>
    <n v="1"/>
    <n v="201208"/>
    <n v="35000"/>
  </r>
  <r>
    <x v="452"/>
    <x v="5"/>
    <m/>
    <x v="36"/>
    <x v="2"/>
    <x v="136"/>
    <m/>
    <m/>
    <m/>
    <n v="2"/>
    <n v="201208"/>
    <n v="56000"/>
  </r>
  <r>
    <x v="452"/>
    <x v="5"/>
    <m/>
    <x v="0"/>
    <x v="2"/>
    <x v="138"/>
    <m/>
    <m/>
    <m/>
    <n v="64"/>
    <n v="201208"/>
    <n v="1280000"/>
  </r>
  <r>
    <x v="452"/>
    <x v="5"/>
    <m/>
    <x v="0"/>
    <x v="2"/>
    <x v="139"/>
    <m/>
    <m/>
    <m/>
    <n v="36"/>
    <n v="201208"/>
    <n v="1260000"/>
  </r>
  <r>
    <x v="452"/>
    <x v="5"/>
    <m/>
    <x v="32"/>
    <x v="2"/>
    <x v="140"/>
    <m/>
    <m/>
    <m/>
    <n v="35"/>
    <n v="201208"/>
    <n v="1298500"/>
  </r>
  <r>
    <x v="452"/>
    <x v="5"/>
    <m/>
    <x v="18"/>
    <x v="2"/>
    <x v="125"/>
    <m/>
    <m/>
    <m/>
    <n v="59"/>
    <n v="201208"/>
    <n v="177000"/>
  </r>
  <r>
    <x v="452"/>
    <x v="5"/>
    <m/>
    <x v="0"/>
    <x v="2"/>
    <x v="138"/>
    <m/>
    <m/>
    <m/>
    <n v="1"/>
    <n v="201208"/>
    <n v="20000"/>
  </r>
  <r>
    <x v="452"/>
    <x v="5"/>
    <m/>
    <x v="0"/>
    <x v="2"/>
    <x v="141"/>
    <m/>
    <m/>
    <m/>
    <n v="1"/>
    <n v="201208"/>
    <n v="33000"/>
  </r>
  <r>
    <x v="452"/>
    <x v="5"/>
    <m/>
    <x v="4"/>
    <x v="2"/>
    <x v="143"/>
    <m/>
    <m/>
    <m/>
    <n v="6"/>
    <n v="201208"/>
    <n v="120000"/>
  </r>
  <r>
    <x v="452"/>
    <x v="5"/>
    <m/>
    <x v="4"/>
    <x v="2"/>
    <x v="144"/>
    <m/>
    <m/>
    <m/>
    <n v="1"/>
    <n v="201208"/>
    <n v="4000"/>
  </r>
  <r>
    <x v="452"/>
    <x v="5"/>
    <m/>
    <x v="31"/>
    <x v="2"/>
    <x v="145"/>
    <m/>
    <m/>
    <m/>
    <n v="59"/>
    <n v="201208"/>
    <n v="1321600"/>
  </r>
  <r>
    <x v="452"/>
    <x v="5"/>
    <m/>
    <x v="31"/>
    <x v="2"/>
    <x v="146"/>
    <m/>
    <m/>
    <m/>
    <n v="74"/>
    <n v="201208"/>
    <n v="2900800"/>
  </r>
  <r>
    <x v="452"/>
    <x v="5"/>
    <m/>
    <x v="32"/>
    <x v="2"/>
    <x v="147"/>
    <m/>
    <m/>
    <m/>
    <n v="62"/>
    <n v="201208"/>
    <n v="2300200"/>
  </r>
  <r>
    <x v="452"/>
    <x v="5"/>
    <m/>
    <x v="0"/>
    <x v="2"/>
    <x v="149"/>
    <m/>
    <m/>
    <m/>
    <n v="1"/>
    <n v="201208"/>
    <n v="20000"/>
  </r>
  <r>
    <x v="452"/>
    <x v="5"/>
    <m/>
    <x v="31"/>
    <x v="2"/>
    <x v="189"/>
    <m/>
    <m/>
    <m/>
    <n v="18"/>
    <n v="201208"/>
    <n v="403200"/>
  </r>
  <r>
    <x v="452"/>
    <x v="5"/>
    <m/>
    <x v="31"/>
    <x v="2"/>
    <x v="184"/>
    <m/>
    <m/>
    <m/>
    <n v="24"/>
    <n v="201208"/>
    <n v="940800"/>
  </r>
  <r>
    <x v="452"/>
    <x v="5"/>
    <m/>
    <x v="32"/>
    <x v="2"/>
    <x v="185"/>
    <m/>
    <m/>
    <m/>
    <n v="12"/>
    <n v="201208"/>
    <n v="445200"/>
  </r>
  <r>
    <x v="452"/>
    <x v="5"/>
    <m/>
    <x v="31"/>
    <x v="2"/>
    <x v="186"/>
    <m/>
    <m/>
    <m/>
    <n v="104"/>
    <n v="201208"/>
    <n v="2329600"/>
  </r>
  <r>
    <x v="452"/>
    <x v="5"/>
    <m/>
    <x v="31"/>
    <x v="2"/>
    <x v="187"/>
    <m/>
    <m/>
    <m/>
    <n v="105"/>
    <n v="201208"/>
    <n v="4116000"/>
  </r>
  <r>
    <x v="452"/>
    <x v="5"/>
    <m/>
    <x v="32"/>
    <x v="2"/>
    <x v="188"/>
    <m/>
    <m/>
    <m/>
    <n v="57"/>
    <n v="201208"/>
    <n v="2114700"/>
  </r>
  <r>
    <x v="452"/>
    <x v="5"/>
    <m/>
    <x v="22"/>
    <x v="2"/>
    <x v="150"/>
    <m/>
    <m/>
    <m/>
    <n v="8"/>
    <n v="201208"/>
    <n v="304000"/>
  </r>
  <r>
    <x v="452"/>
    <x v="5"/>
    <m/>
    <x v="22"/>
    <x v="2"/>
    <x v="150"/>
    <m/>
    <m/>
    <m/>
    <n v="6"/>
    <n v="201208"/>
    <n v="228000"/>
  </r>
  <r>
    <x v="452"/>
    <x v="5"/>
    <m/>
    <x v="5"/>
    <x v="2"/>
    <x v="151"/>
    <m/>
    <m/>
    <m/>
    <n v="19"/>
    <n v="201208"/>
    <n v="532000"/>
  </r>
  <r>
    <x v="452"/>
    <x v="5"/>
    <m/>
    <x v="5"/>
    <x v="2"/>
    <x v="152"/>
    <m/>
    <m/>
    <m/>
    <n v="6"/>
    <n v="201208"/>
    <n v="288000"/>
  </r>
  <r>
    <x v="452"/>
    <x v="5"/>
    <m/>
    <x v="5"/>
    <x v="2"/>
    <x v="153"/>
    <m/>
    <m/>
    <m/>
    <n v="6"/>
    <n v="201208"/>
    <n v="168000"/>
  </r>
  <r>
    <x v="452"/>
    <x v="5"/>
    <m/>
    <x v="33"/>
    <x v="2"/>
    <x v="155"/>
    <m/>
    <m/>
    <m/>
    <n v="1"/>
    <n v="201208"/>
    <n v="18200"/>
  </r>
  <r>
    <x v="452"/>
    <x v="5"/>
    <m/>
    <x v="33"/>
    <x v="2"/>
    <x v="156"/>
    <m/>
    <m/>
    <m/>
    <n v="1"/>
    <n v="201208"/>
    <n v="33800"/>
  </r>
  <r>
    <x v="452"/>
    <x v="5"/>
    <m/>
    <x v="19"/>
    <x v="2"/>
    <x v="157"/>
    <m/>
    <m/>
    <m/>
    <n v="23"/>
    <n v="201208"/>
    <n v="299000"/>
  </r>
  <r>
    <x v="452"/>
    <x v="5"/>
    <m/>
    <x v="19"/>
    <x v="2"/>
    <x v="158"/>
    <m/>
    <m/>
    <m/>
    <n v="2"/>
    <n v="201208"/>
    <n v="48000"/>
  </r>
  <r>
    <x v="452"/>
    <x v="5"/>
    <m/>
    <x v="19"/>
    <x v="2"/>
    <x v="159"/>
    <m/>
    <m/>
    <m/>
    <n v="3"/>
    <n v="201208"/>
    <n v="99000"/>
  </r>
  <r>
    <x v="452"/>
    <x v="5"/>
    <m/>
    <x v="19"/>
    <x v="2"/>
    <x v="181"/>
    <m/>
    <m/>
    <m/>
    <n v="1"/>
    <n v="201208"/>
    <n v="13000"/>
  </r>
  <r>
    <x v="452"/>
    <x v="5"/>
    <m/>
    <x v="35"/>
    <x v="2"/>
    <x v="160"/>
    <m/>
    <m/>
    <m/>
    <n v="1"/>
    <n v="201208"/>
    <n v="20000"/>
  </r>
  <r>
    <x v="452"/>
    <x v="5"/>
    <m/>
    <x v="18"/>
    <x v="2"/>
    <x v="161"/>
    <m/>
    <m/>
    <m/>
    <n v="13"/>
    <n v="201208"/>
    <n v="39000"/>
  </r>
  <r>
    <x v="453"/>
    <x v="6"/>
    <m/>
    <x v="0"/>
    <x v="7"/>
    <x v="163"/>
    <m/>
    <m/>
    <m/>
    <n v="2"/>
    <n v="201208"/>
    <n v="40000"/>
  </r>
  <r>
    <x v="453"/>
    <x v="6"/>
    <m/>
    <x v="6"/>
    <x v="2"/>
    <x v="126"/>
    <m/>
    <m/>
    <m/>
    <n v="1"/>
    <n v="201208"/>
    <n v="20000"/>
  </r>
  <r>
    <x v="453"/>
    <x v="6"/>
    <m/>
    <x v="6"/>
    <x v="2"/>
    <x v="127"/>
    <m/>
    <m/>
    <m/>
    <n v="1"/>
    <n v="201208"/>
    <n v="35000"/>
  </r>
  <r>
    <x v="453"/>
    <x v="6"/>
    <m/>
    <x v="34"/>
    <x v="2"/>
    <x v="128"/>
    <m/>
    <m/>
    <m/>
    <n v="39"/>
    <n v="201208"/>
    <n v="1446900"/>
  </r>
  <r>
    <x v="453"/>
    <x v="6"/>
    <m/>
    <x v="25"/>
    <x v="2"/>
    <x v="129"/>
    <m/>
    <m/>
    <m/>
    <n v="5"/>
    <n v="201208"/>
    <n v="495000"/>
  </r>
  <r>
    <x v="453"/>
    <x v="6"/>
    <m/>
    <x v="0"/>
    <x v="2"/>
    <x v="130"/>
    <m/>
    <m/>
    <m/>
    <n v="32"/>
    <n v="201208"/>
    <n v="1056000"/>
  </r>
  <r>
    <x v="453"/>
    <x v="6"/>
    <m/>
    <x v="0"/>
    <x v="2"/>
    <x v="131"/>
    <m/>
    <m/>
    <m/>
    <n v="1"/>
    <n v="201208"/>
    <n v="33000"/>
  </r>
  <r>
    <x v="453"/>
    <x v="6"/>
    <m/>
    <x v="0"/>
    <x v="2"/>
    <x v="168"/>
    <m/>
    <m/>
    <m/>
    <n v="1"/>
    <n v="201208"/>
    <n v="20000"/>
  </r>
  <r>
    <x v="453"/>
    <x v="6"/>
    <m/>
    <x v="30"/>
    <x v="2"/>
    <x v="132"/>
    <m/>
    <m/>
    <m/>
    <n v="16"/>
    <n v="201208"/>
    <n v="358400"/>
  </r>
  <r>
    <x v="453"/>
    <x v="6"/>
    <m/>
    <x v="30"/>
    <x v="2"/>
    <x v="133"/>
    <m/>
    <m/>
    <m/>
    <n v="3"/>
    <n v="201208"/>
    <n v="117600"/>
  </r>
  <r>
    <x v="453"/>
    <x v="6"/>
    <m/>
    <x v="34"/>
    <x v="2"/>
    <x v="134"/>
    <m/>
    <m/>
    <m/>
    <n v="2"/>
    <n v="201208"/>
    <n v="74200"/>
  </r>
  <r>
    <x v="453"/>
    <x v="6"/>
    <m/>
    <x v="1"/>
    <x v="2"/>
    <x v="135"/>
    <m/>
    <m/>
    <m/>
    <n v="2"/>
    <n v="201208"/>
    <n v="40000"/>
  </r>
  <r>
    <x v="453"/>
    <x v="6"/>
    <m/>
    <x v="1"/>
    <x v="2"/>
    <x v="165"/>
    <m/>
    <m/>
    <m/>
    <n v="1"/>
    <n v="201208"/>
    <n v="35000"/>
  </r>
  <r>
    <x v="453"/>
    <x v="6"/>
    <m/>
    <x v="36"/>
    <x v="2"/>
    <x v="136"/>
    <m/>
    <m/>
    <m/>
    <n v="4"/>
    <n v="201208"/>
    <n v="112000"/>
  </r>
  <r>
    <x v="453"/>
    <x v="6"/>
    <m/>
    <x v="36"/>
    <x v="2"/>
    <x v="176"/>
    <m/>
    <m/>
    <m/>
    <n v="1"/>
    <n v="201208"/>
    <n v="49000"/>
  </r>
  <r>
    <x v="453"/>
    <x v="6"/>
    <m/>
    <x v="36"/>
    <x v="2"/>
    <x v="137"/>
    <m/>
    <m/>
    <m/>
    <n v="1"/>
    <n v="201208"/>
    <n v="42000"/>
  </r>
  <r>
    <x v="453"/>
    <x v="6"/>
    <m/>
    <x v="0"/>
    <x v="2"/>
    <x v="138"/>
    <m/>
    <m/>
    <m/>
    <n v="70"/>
    <n v="201208"/>
    <n v="1400000"/>
  </r>
  <r>
    <x v="453"/>
    <x v="6"/>
    <m/>
    <x v="0"/>
    <x v="2"/>
    <x v="139"/>
    <m/>
    <m/>
    <m/>
    <n v="38"/>
    <n v="201208"/>
    <n v="1330000"/>
  </r>
  <r>
    <x v="453"/>
    <x v="6"/>
    <m/>
    <x v="32"/>
    <x v="2"/>
    <x v="140"/>
    <m/>
    <m/>
    <m/>
    <n v="31"/>
    <n v="201208"/>
    <n v="1150100"/>
  </r>
  <r>
    <x v="453"/>
    <x v="6"/>
    <m/>
    <x v="18"/>
    <x v="2"/>
    <x v="125"/>
    <m/>
    <m/>
    <m/>
    <n v="41"/>
    <n v="201208"/>
    <n v="123000"/>
  </r>
  <r>
    <x v="453"/>
    <x v="6"/>
    <m/>
    <x v="0"/>
    <x v="2"/>
    <x v="139"/>
    <m/>
    <m/>
    <m/>
    <n v="1"/>
    <n v="201208"/>
    <n v="35000"/>
  </r>
  <r>
    <x v="453"/>
    <x v="6"/>
    <m/>
    <x v="4"/>
    <x v="2"/>
    <x v="142"/>
    <m/>
    <m/>
    <m/>
    <n v="1"/>
    <n v="201208"/>
    <n v="4000"/>
  </r>
  <r>
    <x v="453"/>
    <x v="6"/>
    <m/>
    <x v="4"/>
    <x v="2"/>
    <x v="143"/>
    <m/>
    <m/>
    <m/>
    <n v="4"/>
    <n v="201208"/>
    <n v="80000"/>
  </r>
  <r>
    <x v="453"/>
    <x v="6"/>
    <m/>
    <x v="4"/>
    <x v="2"/>
    <x v="144"/>
    <m/>
    <m/>
    <m/>
    <n v="5"/>
    <n v="201208"/>
    <n v="20000"/>
  </r>
  <r>
    <x v="453"/>
    <x v="6"/>
    <m/>
    <x v="31"/>
    <x v="2"/>
    <x v="145"/>
    <m/>
    <m/>
    <m/>
    <n v="62"/>
    <n v="201208"/>
    <n v="1388800"/>
  </r>
  <r>
    <x v="453"/>
    <x v="6"/>
    <m/>
    <x v="31"/>
    <x v="2"/>
    <x v="146"/>
    <m/>
    <m/>
    <m/>
    <n v="88"/>
    <n v="201208"/>
    <n v="3449600"/>
  </r>
  <r>
    <x v="453"/>
    <x v="6"/>
    <m/>
    <x v="32"/>
    <x v="2"/>
    <x v="147"/>
    <m/>
    <m/>
    <m/>
    <n v="57"/>
    <n v="201208"/>
    <n v="2114700"/>
  </r>
  <r>
    <x v="453"/>
    <x v="6"/>
    <m/>
    <x v="0"/>
    <x v="2"/>
    <x v="148"/>
    <m/>
    <m/>
    <m/>
    <n v="1"/>
    <n v="201208"/>
    <n v="20000"/>
  </r>
  <r>
    <x v="453"/>
    <x v="6"/>
    <m/>
    <x v="31"/>
    <x v="2"/>
    <x v="189"/>
    <m/>
    <m/>
    <m/>
    <n v="19"/>
    <n v="201208"/>
    <n v="425600"/>
  </r>
  <r>
    <x v="453"/>
    <x v="6"/>
    <m/>
    <x v="31"/>
    <x v="2"/>
    <x v="184"/>
    <m/>
    <m/>
    <m/>
    <n v="32"/>
    <n v="201208"/>
    <n v="1254400"/>
  </r>
  <r>
    <x v="453"/>
    <x v="6"/>
    <m/>
    <x v="32"/>
    <x v="2"/>
    <x v="185"/>
    <m/>
    <m/>
    <m/>
    <n v="19"/>
    <n v="201208"/>
    <n v="704900"/>
  </r>
  <r>
    <x v="453"/>
    <x v="6"/>
    <m/>
    <x v="31"/>
    <x v="2"/>
    <x v="186"/>
    <m/>
    <m/>
    <m/>
    <n v="103"/>
    <n v="201208"/>
    <n v="2307200"/>
  </r>
  <r>
    <x v="453"/>
    <x v="6"/>
    <m/>
    <x v="31"/>
    <x v="2"/>
    <x v="187"/>
    <m/>
    <m/>
    <m/>
    <n v="101"/>
    <n v="201208"/>
    <n v="3959200"/>
  </r>
  <r>
    <x v="453"/>
    <x v="6"/>
    <m/>
    <x v="32"/>
    <x v="2"/>
    <x v="188"/>
    <m/>
    <m/>
    <m/>
    <n v="61"/>
    <n v="201208"/>
    <n v="2263100"/>
  </r>
  <r>
    <x v="453"/>
    <x v="6"/>
    <m/>
    <x v="22"/>
    <x v="2"/>
    <x v="150"/>
    <m/>
    <m/>
    <m/>
    <n v="5"/>
    <n v="201208"/>
    <n v="190000"/>
  </r>
  <r>
    <x v="453"/>
    <x v="6"/>
    <m/>
    <x v="22"/>
    <x v="2"/>
    <x v="150"/>
    <m/>
    <m/>
    <m/>
    <n v="8"/>
    <n v="201208"/>
    <n v="304000"/>
  </r>
  <r>
    <x v="453"/>
    <x v="6"/>
    <m/>
    <x v="5"/>
    <x v="2"/>
    <x v="151"/>
    <m/>
    <m/>
    <m/>
    <n v="19"/>
    <n v="201208"/>
    <n v="532000"/>
  </r>
  <r>
    <x v="453"/>
    <x v="6"/>
    <m/>
    <x v="5"/>
    <x v="2"/>
    <x v="152"/>
    <m/>
    <m/>
    <m/>
    <n v="8"/>
    <n v="201208"/>
    <n v="384000"/>
  </r>
  <r>
    <x v="453"/>
    <x v="6"/>
    <m/>
    <x v="5"/>
    <x v="2"/>
    <x v="153"/>
    <m/>
    <m/>
    <m/>
    <n v="11"/>
    <n v="201208"/>
    <n v="308000"/>
  </r>
  <r>
    <x v="453"/>
    <x v="6"/>
    <m/>
    <x v="33"/>
    <x v="2"/>
    <x v="155"/>
    <m/>
    <m/>
    <m/>
    <n v="9"/>
    <n v="201208"/>
    <n v="163800"/>
  </r>
  <r>
    <x v="453"/>
    <x v="6"/>
    <m/>
    <x v="33"/>
    <x v="2"/>
    <x v="156"/>
    <m/>
    <m/>
    <m/>
    <n v="1"/>
    <n v="201208"/>
    <n v="33800"/>
  </r>
  <r>
    <x v="453"/>
    <x v="6"/>
    <m/>
    <x v="19"/>
    <x v="2"/>
    <x v="157"/>
    <m/>
    <m/>
    <m/>
    <n v="23"/>
    <n v="201208"/>
    <n v="299000"/>
  </r>
  <r>
    <x v="453"/>
    <x v="6"/>
    <m/>
    <x v="19"/>
    <x v="2"/>
    <x v="158"/>
    <m/>
    <m/>
    <m/>
    <n v="3"/>
    <n v="201208"/>
    <n v="72000"/>
  </r>
  <r>
    <x v="453"/>
    <x v="6"/>
    <m/>
    <x v="19"/>
    <x v="2"/>
    <x v="159"/>
    <m/>
    <m/>
    <m/>
    <n v="2"/>
    <n v="201208"/>
    <n v="66000"/>
  </r>
  <r>
    <x v="453"/>
    <x v="6"/>
    <m/>
    <x v="19"/>
    <x v="2"/>
    <x v="181"/>
    <m/>
    <m/>
    <m/>
    <n v="1"/>
    <n v="201208"/>
    <n v="13000"/>
  </r>
  <r>
    <x v="453"/>
    <x v="6"/>
    <m/>
    <x v="35"/>
    <x v="2"/>
    <x v="170"/>
    <m/>
    <m/>
    <m/>
    <n v="1"/>
    <n v="201208"/>
    <n v="4000"/>
  </r>
  <r>
    <x v="453"/>
    <x v="6"/>
    <m/>
    <x v="35"/>
    <x v="2"/>
    <x v="160"/>
    <m/>
    <m/>
    <m/>
    <n v="3"/>
    <n v="201208"/>
    <n v="60000"/>
  </r>
  <r>
    <x v="453"/>
    <x v="6"/>
    <m/>
    <x v="18"/>
    <x v="2"/>
    <x v="161"/>
    <m/>
    <m/>
    <m/>
    <n v="28"/>
    <n v="201208"/>
    <n v="84000"/>
  </r>
  <r>
    <x v="453"/>
    <x v="6"/>
    <m/>
    <x v="18"/>
    <x v="2"/>
    <x v="161"/>
    <m/>
    <m/>
    <m/>
    <n v="2"/>
    <n v="201208"/>
    <n v="6000"/>
  </r>
  <r>
    <x v="454"/>
    <x v="3"/>
    <m/>
    <x v="0"/>
    <x v="1"/>
    <x v="123"/>
    <m/>
    <m/>
    <m/>
    <n v="7"/>
    <n v="201208"/>
    <n v="245000"/>
  </r>
  <r>
    <x v="454"/>
    <x v="3"/>
    <m/>
    <x v="0"/>
    <x v="1"/>
    <x v="124"/>
    <m/>
    <m/>
    <m/>
    <n v="1"/>
    <n v="201208"/>
    <n v="20000"/>
  </r>
  <r>
    <x v="454"/>
    <x v="3"/>
    <m/>
    <x v="4"/>
    <x v="5"/>
    <x v="191"/>
    <m/>
    <m/>
    <m/>
    <n v="3"/>
    <n v="201208"/>
    <n v="49092"/>
  </r>
  <r>
    <x v="454"/>
    <x v="3"/>
    <m/>
    <x v="0"/>
    <x v="7"/>
    <x v="163"/>
    <m/>
    <m/>
    <m/>
    <n v="6"/>
    <n v="201208"/>
    <n v="120000"/>
  </r>
  <r>
    <x v="454"/>
    <x v="3"/>
    <m/>
    <x v="0"/>
    <x v="3"/>
    <x v="164"/>
    <m/>
    <m/>
    <m/>
    <n v="6"/>
    <n v="201208"/>
    <n v="0"/>
  </r>
  <r>
    <x v="454"/>
    <x v="3"/>
    <m/>
    <x v="6"/>
    <x v="2"/>
    <x v="126"/>
    <m/>
    <m/>
    <m/>
    <n v="3"/>
    <n v="201208"/>
    <n v="60000"/>
  </r>
  <r>
    <x v="454"/>
    <x v="3"/>
    <m/>
    <x v="6"/>
    <x v="2"/>
    <x v="127"/>
    <m/>
    <m/>
    <m/>
    <n v="2"/>
    <n v="201208"/>
    <n v="70000"/>
  </r>
  <r>
    <x v="454"/>
    <x v="3"/>
    <m/>
    <x v="34"/>
    <x v="2"/>
    <x v="128"/>
    <m/>
    <m/>
    <m/>
    <n v="52"/>
    <n v="201208"/>
    <n v="1929200"/>
  </r>
  <r>
    <x v="454"/>
    <x v="3"/>
    <m/>
    <x v="25"/>
    <x v="2"/>
    <x v="129"/>
    <m/>
    <m/>
    <m/>
    <n v="1"/>
    <n v="201208"/>
    <n v="99000"/>
  </r>
  <r>
    <x v="454"/>
    <x v="3"/>
    <m/>
    <x v="0"/>
    <x v="2"/>
    <x v="130"/>
    <m/>
    <m/>
    <m/>
    <n v="59"/>
    <n v="201208"/>
    <n v="1947000"/>
  </r>
  <r>
    <x v="454"/>
    <x v="3"/>
    <m/>
    <x v="0"/>
    <x v="2"/>
    <x v="131"/>
    <m/>
    <m/>
    <m/>
    <n v="3"/>
    <n v="201208"/>
    <n v="99000"/>
  </r>
  <r>
    <x v="454"/>
    <x v="3"/>
    <m/>
    <x v="0"/>
    <x v="2"/>
    <x v="168"/>
    <m/>
    <m/>
    <m/>
    <n v="1"/>
    <n v="201208"/>
    <n v="20000"/>
  </r>
  <r>
    <x v="454"/>
    <x v="3"/>
    <m/>
    <x v="0"/>
    <x v="2"/>
    <x v="178"/>
    <m/>
    <m/>
    <m/>
    <n v="2"/>
    <n v="201208"/>
    <n v="70000"/>
  </r>
  <r>
    <x v="454"/>
    <x v="3"/>
    <m/>
    <x v="32"/>
    <x v="2"/>
    <x v="180"/>
    <m/>
    <m/>
    <m/>
    <n v="1"/>
    <n v="201208"/>
    <n v="37100"/>
  </r>
  <r>
    <x v="454"/>
    <x v="3"/>
    <m/>
    <x v="0"/>
    <x v="2"/>
    <x v="179"/>
    <m/>
    <m/>
    <m/>
    <n v="2"/>
    <n v="201208"/>
    <n v="6000"/>
  </r>
  <r>
    <x v="454"/>
    <x v="3"/>
    <m/>
    <x v="30"/>
    <x v="2"/>
    <x v="132"/>
    <m/>
    <m/>
    <m/>
    <n v="19"/>
    <n v="201208"/>
    <n v="425600"/>
  </r>
  <r>
    <x v="454"/>
    <x v="3"/>
    <m/>
    <x v="30"/>
    <x v="2"/>
    <x v="133"/>
    <m/>
    <m/>
    <m/>
    <n v="2"/>
    <n v="201208"/>
    <n v="78400"/>
  </r>
  <r>
    <x v="454"/>
    <x v="3"/>
    <m/>
    <x v="34"/>
    <x v="2"/>
    <x v="134"/>
    <m/>
    <m/>
    <m/>
    <n v="3"/>
    <n v="201208"/>
    <n v="111300"/>
  </r>
  <r>
    <x v="454"/>
    <x v="3"/>
    <m/>
    <x v="1"/>
    <x v="2"/>
    <x v="135"/>
    <m/>
    <m/>
    <m/>
    <n v="3"/>
    <n v="201208"/>
    <n v="60000"/>
  </r>
  <r>
    <x v="454"/>
    <x v="3"/>
    <m/>
    <x v="1"/>
    <x v="2"/>
    <x v="165"/>
    <m/>
    <m/>
    <m/>
    <n v="2"/>
    <n v="201208"/>
    <n v="70000"/>
  </r>
  <r>
    <x v="454"/>
    <x v="3"/>
    <m/>
    <x v="36"/>
    <x v="2"/>
    <x v="136"/>
    <m/>
    <m/>
    <m/>
    <n v="5"/>
    <n v="201208"/>
    <n v="140000"/>
  </r>
  <r>
    <x v="454"/>
    <x v="3"/>
    <m/>
    <x v="36"/>
    <x v="2"/>
    <x v="176"/>
    <m/>
    <m/>
    <m/>
    <n v="1"/>
    <n v="201208"/>
    <n v="49000"/>
  </r>
  <r>
    <x v="454"/>
    <x v="3"/>
    <m/>
    <x v="0"/>
    <x v="2"/>
    <x v="138"/>
    <m/>
    <m/>
    <m/>
    <n v="82"/>
    <n v="201208"/>
    <n v="1640000"/>
  </r>
  <r>
    <x v="454"/>
    <x v="3"/>
    <m/>
    <x v="0"/>
    <x v="2"/>
    <x v="139"/>
    <m/>
    <m/>
    <m/>
    <n v="34"/>
    <n v="201208"/>
    <n v="1190000"/>
  </r>
  <r>
    <x v="454"/>
    <x v="3"/>
    <m/>
    <x v="32"/>
    <x v="2"/>
    <x v="140"/>
    <m/>
    <m/>
    <m/>
    <n v="31"/>
    <n v="201208"/>
    <n v="1150100"/>
  </r>
  <r>
    <x v="454"/>
    <x v="3"/>
    <m/>
    <x v="18"/>
    <x v="2"/>
    <x v="125"/>
    <m/>
    <m/>
    <m/>
    <n v="47"/>
    <n v="201208"/>
    <n v="141000"/>
  </r>
  <r>
    <x v="454"/>
    <x v="3"/>
    <m/>
    <x v="0"/>
    <x v="2"/>
    <x v="141"/>
    <m/>
    <m/>
    <m/>
    <n v="1"/>
    <n v="201208"/>
    <n v="33000"/>
  </r>
  <r>
    <x v="454"/>
    <x v="3"/>
    <m/>
    <x v="4"/>
    <x v="2"/>
    <x v="142"/>
    <m/>
    <m/>
    <m/>
    <n v="12"/>
    <n v="201208"/>
    <n v="48000"/>
  </r>
  <r>
    <x v="454"/>
    <x v="3"/>
    <m/>
    <x v="4"/>
    <x v="2"/>
    <x v="143"/>
    <m/>
    <m/>
    <m/>
    <n v="8"/>
    <n v="201208"/>
    <n v="160000"/>
  </r>
  <r>
    <x v="454"/>
    <x v="3"/>
    <m/>
    <x v="31"/>
    <x v="2"/>
    <x v="145"/>
    <m/>
    <m/>
    <m/>
    <n v="75"/>
    <n v="201208"/>
    <n v="1680000"/>
  </r>
  <r>
    <x v="454"/>
    <x v="3"/>
    <m/>
    <x v="31"/>
    <x v="2"/>
    <x v="146"/>
    <m/>
    <m/>
    <m/>
    <n v="86"/>
    <n v="201208"/>
    <n v="3371200"/>
  </r>
  <r>
    <x v="454"/>
    <x v="3"/>
    <m/>
    <x v="32"/>
    <x v="2"/>
    <x v="147"/>
    <m/>
    <m/>
    <m/>
    <n v="64"/>
    <n v="201208"/>
    <n v="2374400"/>
  </r>
  <r>
    <x v="454"/>
    <x v="3"/>
    <m/>
    <x v="0"/>
    <x v="2"/>
    <x v="148"/>
    <m/>
    <m/>
    <m/>
    <n v="1"/>
    <n v="201208"/>
    <n v="20000"/>
  </r>
  <r>
    <x v="454"/>
    <x v="3"/>
    <m/>
    <x v="0"/>
    <x v="2"/>
    <x v="149"/>
    <m/>
    <m/>
    <m/>
    <n v="2"/>
    <n v="201208"/>
    <n v="40000"/>
  </r>
  <r>
    <x v="454"/>
    <x v="3"/>
    <m/>
    <x v="31"/>
    <x v="2"/>
    <x v="189"/>
    <m/>
    <m/>
    <m/>
    <n v="16"/>
    <n v="201208"/>
    <n v="358400"/>
  </r>
  <r>
    <x v="454"/>
    <x v="3"/>
    <m/>
    <x v="31"/>
    <x v="2"/>
    <x v="184"/>
    <m/>
    <m/>
    <m/>
    <n v="22"/>
    <n v="201208"/>
    <n v="862400"/>
  </r>
  <r>
    <x v="454"/>
    <x v="3"/>
    <m/>
    <x v="32"/>
    <x v="2"/>
    <x v="185"/>
    <m/>
    <m/>
    <m/>
    <n v="3"/>
    <n v="201208"/>
    <n v="111300"/>
  </r>
  <r>
    <x v="454"/>
    <x v="3"/>
    <m/>
    <x v="31"/>
    <x v="2"/>
    <x v="186"/>
    <m/>
    <m/>
    <m/>
    <n v="116"/>
    <n v="201208"/>
    <n v="2598400"/>
  </r>
  <r>
    <x v="454"/>
    <x v="3"/>
    <m/>
    <x v="31"/>
    <x v="2"/>
    <x v="187"/>
    <m/>
    <m/>
    <m/>
    <n v="134"/>
    <n v="201208"/>
    <n v="5252800"/>
  </r>
  <r>
    <x v="454"/>
    <x v="3"/>
    <m/>
    <x v="32"/>
    <x v="2"/>
    <x v="188"/>
    <m/>
    <m/>
    <m/>
    <n v="71"/>
    <n v="201208"/>
    <n v="2634100"/>
  </r>
  <r>
    <x v="454"/>
    <x v="3"/>
    <m/>
    <x v="22"/>
    <x v="2"/>
    <x v="150"/>
    <m/>
    <m/>
    <m/>
    <n v="8"/>
    <n v="201208"/>
    <n v="304000"/>
  </r>
  <r>
    <x v="454"/>
    <x v="3"/>
    <m/>
    <x v="22"/>
    <x v="2"/>
    <x v="150"/>
    <m/>
    <m/>
    <m/>
    <n v="7"/>
    <n v="201208"/>
    <n v="266000"/>
  </r>
  <r>
    <x v="454"/>
    <x v="3"/>
    <m/>
    <x v="5"/>
    <x v="2"/>
    <x v="151"/>
    <m/>
    <m/>
    <m/>
    <n v="35"/>
    <n v="201208"/>
    <n v="980000"/>
  </r>
  <r>
    <x v="454"/>
    <x v="3"/>
    <m/>
    <x v="5"/>
    <x v="2"/>
    <x v="152"/>
    <m/>
    <m/>
    <m/>
    <n v="6"/>
    <n v="201208"/>
    <n v="288000"/>
  </r>
  <r>
    <x v="454"/>
    <x v="3"/>
    <m/>
    <x v="5"/>
    <x v="2"/>
    <x v="153"/>
    <m/>
    <m/>
    <m/>
    <n v="6"/>
    <n v="201208"/>
    <n v="168000"/>
  </r>
  <r>
    <x v="454"/>
    <x v="3"/>
    <m/>
    <x v="33"/>
    <x v="2"/>
    <x v="155"/>
    <m/>
    <m/>
    <m/>
    <n v="4"/>
    <n v="201208"/>
    <n v="72800"/>
  </r>
  <r>
    <x v="454"/>
    <x v="3"/>
    <m/>
    <x v="33"/>
    <x v="2"/>
    <x v="156"/>
    <m/>
    <m/>
    <m/>
    <n v="1"/>
    <n v="201208"/>
    <n v="33800"/>
  </r>
  <r>
    <x v="454"/>
    <x v="3"/>
    <m/>
    <x v="19"/>
    <x v="2"/>
    <x v="157"/>
    <m/>
    <m/>
    <m/>
    <n v="32"/>
    <n v="201208"/>
    <n v="416000"/>
  </r>
  <r>
    <x v="454"/>
    <x v="3"/>
    <m/>
    <x v="19"/>
    <x v="2"/>
    <x v="158"/>
    <m/>
    <m/>
    <m/>
    <n v="1"/>
    <n v="201208"/>
    <n v="24000"/>
  </r>
  <r>
    <x v="454"/>
    <x v="3"/>
    <m/>
    <x v="19"/>
    <x v="2"/>
    <x v="159"/>
    <m/>
    <m/>
    <m/>
    <n v="1"/>
    <n v="201208"/>
    <n v="33000"/>
  </r>
  <r>
    <x v="454"/>
    <x v="3"/>
    <m/>
    <x v="35"/>
    <x v="2"/>
    <x v="170"/>
    <m/>
    <m/>
    <m/>
    <n v="5"/>
    <n v="201208"/>
    <n v="20000"/>
  </r>
  <r>
    <x v="454"/>
    <x v="3"/>
    <m/>
    <x v="35"/>
    <x v="2"/>
    <x v="160"/>
    <m/>
    <m/>
    <m/>
    <n v="3"/>
    <n v="201208"/>
    <n v="60000"/>
  </r>
  <r>
    <x v="454"/>
    <x v="3"/>
    <m/>
    <x v="18"/>
    <x v="2"/>
    <x v="161"/>
    <m/>
    <m/>
    <m/>
    <n v="31"/>
    <n v="201208"/>
    <n v="93000"/>
  </r>
  <r>
    <x v="454"/>
    <x v="3"/>
    <m/>
    <x v="18"/>
    <x v="2"/>
    <x v="161"/>
    <m/>
    <m/>
    <m/>
    <n v="4"/>
    <n v="201208"/>
    <n v="12000"/>
  </r>
  <r>
    <x v="455"/>
    <x v="4"/>
    <m/>
    <x v="0"/>
    <x v="1"/>
    <x v="123"/>
    <m/>
    <m/>
    <m/>
    <n v="1"/>
    <n v="201208"/>
    <n v="35000"/>
  </r>
  <r>
    <x v="455"/>
    <x v="4"/>
    <m/>
    <x v="4"/>
    <x v="5"/>
    <x v="191"/>
    <m/>
    <m/>
    <m/>
    <n v="3"/>
    <n v="201208"/>
    <n v="49092"/>
  </r>
  <r>
    <x v="455"/>
    <x v="4"/>
    <m/>
    <x v="0"/>
    <x v="7"/>
    <x v="163"/>
    <m/>
    <m/>
    <m/>
    <n v="2"/>
    <n v="201208"/>
    <n v="40000"/>
  </r>
  <r>
    <x v="455"/>
    <x v="4"/>
    <m/>
    <x v="6"/>
    <x v="3"/>
    <x v="172"/>
    <m/>
    <m/>
    <m/>
    <n v="3"/>
    <n v="201208"/>
    <n v="0"/>
  </r>
  <r>
    <x v="455"/>
    <x v="4"/>
    <m/>
    <x v="0"/>
    <x v="3"/>
    <x v="164"/>
    <m/>
    <m/>
    <m/>
    <n v="4"/>
    <n v="201208"/>
    <n v="0"/>
  </r>
  <r>
    <x v="455"/>
    <x v="4"/>
    <m/>
    <x v="6"/>
    <x v="2"/>
    <x v="126"/>
    <m/>
    <m/>
    <m/>
    <n v="2"/>
    <n v="201208"/>
    <n v="40000"/>
  </r>
  <r>
    <x v="455"/>
    <x v="4"/>
    <m/>
    <x v="34"/>
    <x v="2"/>
    <x v="128"/>
    <m/>
    <m/>
    <m/>
    <n v="45"/>
    <n v="201208"/>
    <n v="1669500"/>
  </r>
  <r>
    <x v="455"/>
    <x v="4"/>
    <m/>
    <x v="25"/>
    <x v="2"/>
    <x v="129"/>
    <m/>
    <m/>
    <m/>
    <n v="3"/>
    <n v="201208"/>
    <n v="297000"/>
  </r>
  <r>
    <x v="455"/>
    <x v="4"/>
    <m/>
    <x v="0"/>
    <x v="2"/>
    <x v="130"/>
    <m/>
    <m/>
    <m/>
    <n v="39"/>
    <n v="201208"/>
    <n v="1287000"/>
  </r>
  <r>
    <x v="455"/>
    <x v="4"/>
    <m/>
    <x v="0"/>
    <x v="2"/>
    <x v="131"/>
    <m/>
    <m/>
    <m/>
    <n v="2"/>
    <n v="201208"/>
    <n v="66000"/>
  </r>
  <r>
    <x v="455"/>
    <x v="4"/>
    <m/>
    <x v="0"/>
    <x v="2"/>
    <x v="168"/>
    <m/>
    <m/>
    <m/>
    <n v="2"/>
    <n v="201208"/>
    <n v="40000"/>
  </r>
  <r>
    <x v="455"/>
    <x v="4"/>
    <m/>
    <x v="0"/>
    <x v="2"/>
    <x v="178"/>
    <m/>
    <m/>
    <m/>
    <n v="5"/>
    <n v="201208"/>
    <n v="175000"/>
  </r>
  <r>
    <x v="455"/>
    <x v="4"/>
    <m/>
    <x v="32"/>
    <x v="2"/>
    <x v="180"/>
    <m/>
    <m/>
    <m/>
    <n v="1"/>
    <n v="201208"/>
    <n v="37100"/>
  </r>
  <r>
    <x v="455"/>
    <x v="4"/>
    <m/>
    <x v="0"/>
    <x v="2"/>
    <x v="179"/>
    <m/>
    <m/>
    <m/>
    <n v="8"/>
    <n v="201208"/>
    <n v="24000"/>
  </r>
  <r>
    <x v="455"/>
    <x v="4"/>
    <m/>
    <x v="30"/>
    <x v="2"/>
    <x v="132"/>
    <m/>
    <m/>
    <m/>
    <n v="15"/>
    <n v="201208"/>
    <n v="336000"/>
  </r>
  <r>
    <x v="455"/>
    <x v="4"/>
    <m/>
    <x v="30"/>
    <x v="2"/>
    <x v="133"/>
    <m/>
    <m/>
    <m/>
    <n v="1"/>
    <n v="201208"/>
    <n v="39200"/>
  </r>
  <r>
    <x v="455"/>
    <x v="4"/>
    <m/>
    <x v="34"/>
    <x v="2"/>
    <x v="134"/>
    <m/>
    <m/>
    <m/>
    <n v="1"/>
    <n v="201208"/>
    <n v="37100"/>
  </r>
  <r>
    <x v="455"/>
    <x v="4"/>
    <m/>
    <x v="1"/>
    <x v="2"/>
    <x v="135"/>
    <m/>
    <m/>
    <m/>
    <n v="4"/>
    <n v="201208"/>
    <n v="80000"/>
  </r>
  <r>
    <x v="455"/>
    <x v="4"/>
    <m/>
    <x v="36"/>
    <x v="2"/>
    <x v="136"/>
    <m/>
    <m/>
    <m/>
    <n v="5"/>
    <n v="201208"/>
    <n v="140000"/>
  </r>
  <r>
    <x v="455"/>
    <x v="4"/>
    <m/>
    <x v="36"/>
    <x v="2"/>
    <x v="176"/>
    <m/>
    <m/>
    <m/>
    <n v="1"/>
    <n v="201208"/>
    <n v="49000"/>
  </r>
  <r>
    <x v="455"/>
    <x v="4"/>
    <m/>
    <x v="36"/>
    <x v="2"/>
    <x v="137"/>
    <m/>
    <m/>
    <m/>
    <n v="2"/>
    <n v="201208"/>
    <n v="84000"/>
  </r>
  <r>
    <x v="455"/>
    <x v="4"/>
    <m/>
    <x v="0"/>
    <x v="2"/>
    <x v="138"/>
    <m/>
    <m/>
    <m/>
    <n v="67"/>
    <n v="201208"/>
    <n v="1340000"/>
  </r>
  <r>
    <x v="455"/>
    <x v="4"/>
    <m/>
    <x v="0"/>
    <x v="2"/>
    <x v="139"/>
    <m/>
    <m/>
    <m/>
    <n v="23"/>
    <n v="201208"/>
    <n v="805000"/>
  </r>
  <r>
    <x v="455"/>
    <x v="4"/>
    <m/>
    <x v="32"/>
    <x v="2"/>
    <x v="140"/>
    <m/>
    <m/>
    <m/>
    <n v="29"/>
    <n v="201208"/>
    <n v="1075900"/>
  </r>
  <r>
    <x v="455"/>
    <x v="4"/>
    <m/>
    <x v="18"/>
    <x v="2"/>
    <x v="125"/>
    <m/>
    <m/>
    <m/>
    <n v="40"/>
    <n v="201208"/>
    <n v="120000"/>
  </r>
  <r>
    <x v="455"/>
    <x v="4"/>
    <m/>
    <x v="0"/>
    <x v="2"/>
    <x v="138"/>
    <m/>
    <m/>
    <m/>
    <n v="1"/>
    <n v="201208"/>
    <n v="20000"/>
  </r>
  <r>
    <x v="455"/>
    <x v="4"/>
    <m/>
    <x v="0"/>
    <x v="2"/>
    <x v="141"/>
    <m/>
    <m/>
    <m/>
    <n v="1"/>
    <n v="201208"/>
    <n v="33000"/>
  </r>
  <r>
    <x v="455"/>
    <x v="4"/>
    <m/>
    <x v="4"/>
    <x v="2"/>
    <x v="143"/>
    <m/>
    <m/>
    <m/>
    <n v="12"/>
    <n v="201208"/>
    <n v="240000"/>
  </r>
  <r>
    <x v="455"/>
    <x v="4"/>
    <m/>
    <x v="4"/>
    <x v="2"/>
    <x v="144"/>
    <m/>
    <m/>
    <m/>
    <n v="1"/>
    <n v="201208"/>
    <n v="4000"/>
  </r>
  <r>
    <x v="455"/>
    <x v="4"/>
    <m/>
    <x v="31"/>
    <x v="2"/>
    <x v="145"/>
    <m/>
    <m/>
    <m/>
    <n v="76"/>
    <n v="201208"/>
    <n v="1702400"/>
  </r>
  <r>
    <x v="455"/>
    <x v="4"/>
    <m/>
    <x v="31"/>
    <x v="2"/>
    <x v="146"/>
    <m/>
    <m/>
    <m/>
    <n v="107"/>
    <n v="201208"/>
    <n v="4194400"/>
  </r>
  <r>
    <x v="455"/>
    <x v="4"/>
    <m/>
    <x v="32"/>
    <x v="2"/>
    <x v="147"/>
    <m/>
    <m/>
    <m/>
    <n v="72"/>
    <n v="201208"/>
    <n v="2671200"/>
  </r>
  <r>
    <x v="455"/>
    <x v="4"/>
    <m/>
    <x v="31"/>
    <x v="2"/>
    <x v="189"/>
    <m/>
    <m/>
    <m/>
    <n v="9"/>
    <n v="201208"/>
    <n v="201600"/>
  </r>
  <r>
    <x v="455"/>
    <x v="4"/>
    <m/>
    <x v="31"/>
    <x v="2"/>
    <x v="184"/>
    <m/>
    <m/>
    <m/>
    <n v="21"/>
    <n v="201208"/>
    <n v="823200"/>
  </r>
  <r>
    <x v="455"/>
    <x v="4"/>
    <m/>
    <x v="32"/>
    <x v="2"/>
    <x v="185"/>
    <m/>
    <m/>
    <m/>
    <n v="12"/>
    <n v="201208"/>
    <n v="445200"/>
  </r>
  <r>
    <x v="455"/>
    <x v="4"/>
    <m/>
    <x v="31"/>
    <x v="2"/>
    <x v="186"/>
    <m/>
    <m/>
    <m/>
    <n v="120"/>
    <n v="201208"/>
    <n v="2688000"/>
  </r>
  <r>
    <x v="455"/>
    <x v="4"/>
    <m/>
    <x v="31"/>
    <x v="2"/>
    <x v="187"/>
    <m/>
    <m/>
    <m/>
    <n v="132"/>
    <n v="201208"/>
    <n v="5174400"/>
  </r>
  <r>
    <x v="455"/>
    <x v="4"/>
    <m/>
    <x v="32"/>
    <x v="2"/>
    <x v="188"/>
    <m/>
    <m/>
    <m/>
    <n v="71"/>
    <n v="201208"/>
    <n v="2634100"/>
  </r>
  <r>
    <x v="455"/>
    <x v="4"/>
    <m/>
    <x v="22"/>
    <x v="2"/>
    <x v="150"/>
    <m/>
    <m/>
    <m/>
    <n v="12"/>
    <n v="201208"/>
    <n v="456000"/>
  </r>
  <r>
    <x v="455"/>
    <x v="4"/>
    <m/>
    <x v="22"/>
    <x v="2"/>
    <x v="150"/>
    <m/>
    <m/>
    <m/>
    <n v="4"/>
    <n v="201208"/>
    <n v="152000"/>
  </r>
  <r>
    <x v="455"/>
    <x v="4"/>
    <m/>
    <x v="5"/>
    <x v="2"/>
    <x v="151"/>
    <m/>
    <m/>
    <m/>
    <n v="33"/>
    <n v="201208"/>
    <n v="924000"/>
  </r>
  <r>
    <x v="455"/>
    <x v="4"/>
    <m/>
    <x v="5"/>
    <x v="2"/>
    <x v="152"/>
    <m/>
    <m/>
    <m/>
    <n v="10"/>
    <n v="201208"/>
    <n v="480000"/>
  </r>
  <r>
    <x v="455"/>
    <x v="4"/>
    <m/>
    <x v="5"/>
    <x v="2"/>
    <x v="153"/>
    <m/>
    <m/>
    <m/>
    <n v="4"/>
    <n v="201208"/>
    <n v="112000"/>
  </r>
  <r>
    <x v="455"/>
    <x v="4"/>
    <m/>
    <x v="5"/>
    <x v="2"/>
    <x v="182"/>
    <m/>
    <m/>
    <m/>
    <n v="2"/>
    <n v="201208"/>
    <n v="56000"/>
  </r>
  <r>
    <x v="455"/>
    <x v="4"/>
    <m/>
    <x v="33"/>
    <x v="2"/>
    <x v="155"/>
    <m/>
    <m/>
    <m/>
    <n v="5"/>
    <n v="201208"/>
    <n v="91000"/>
  </r>
  <r>
    <x v="455"/>
    <x v="4"/>
    <m/>
    <x v="33"/>
    <x v="2"/>
    <x v="156"/>
    <m/>
    <m/>
    <m/>
    <n v="2"/>
    <n v="201208"/>
    <n v="67600"/>
  </r>
  <r>
    <x v="455"/>
    <x v="4"/>
    <m/>
    <x v="19"/>
    <x v="2"/>
    <x v="157"/>
    <m/>
    <m/>
    <m/>
    <n v="18"/>
    <n v="201208"/>
    <n v="234000"/>
  </r>
  <r>
    <x v="455"/>
    <x v="4"/>
    <m/>
    <x v="19"/>
    <x v="2"/>
    <x v="158"/>
    <m/>
    <m/>
    <m/>
    <n v="6"/>
    <n v="201208"/>
    <n v="144000"/>
  </r>
  <r>
    <x v="455"/>
    <x v="4"/>
    <m/>
    <x v="19"/>
    <x v="2"/>
    <x v="159"/>
    <m/>
    <m/>
    <m/>
    <n v="3"/>
    <n v="201208"/>
    <n v="99000"/>
  </r>
  <r>
    <x v="455"/>
    <x v="4"/>
    <m/>
    <x v="35"/>
    <x v="2"/>
    <x v="160"/>
    <m/>
    <m/>
    <m/>
    <n v="4"/>
    <n v="201208"/>
    <n v="80000"/>
  </r>
  <r>
    <x v="455"/>
    <x v="4"/>
    <m/>
    <x v="18"/>
    <x v="2"/>
    <x v="161"/>
    <m/>
    <m/>
    <m/>
    <n v="36"/>
    <n v="201208"/>
    <n v="108000"/>
  </r>
  <r>
    <x v="455"/>
    <x v="4"/>
    <m/>
    <x v="18"/>
    <x v="2"/>
    <x v="161"/>
    <m/>
    <m/>
    <m/>
    <n v="2"/>
    <n v="201208"/>
    <n v="6000"/>
  </r>
  <r>
    <x v="456"/>
    <x v="1"/>
    <m/>
    <x v="0"/>
    <x v="7"/>
    <x v="163"/>
    <m/>
    <m/>
    <m/>
    <n v="3"/>
    <n v="201208"/>
    <n v="60000"/>
  </r>
  <r>
    <x v="456"/>
    <x v="1"/>
    <m/>
    <x v="6"/>
    <x v="3"/>
    <x v="172"/>
    <m/>
    <m/>
    <m/>
    <n v="2"/>
    <n v="201208"/>
    <n v="0"/>
  </r>
  <r>
    <x v="456"/>
    <x v="1"/>
    <m/>
    <x v="0"/>
    <x v="3"/>
    <x v="164"/>
    <m/>
    <m/>
    <m/>
    <n v="6"/>
    <n v="201208"/>
    <n v="0"/>
  </r>
  <r>
    <x v="456"/>
    <x v="1"/>
    <m/>
    <x v="31"/>
    <x v="3"/>
    <x v="88"/>
    <m/>
    <m/>
    <m/>
    <n v="2"/>
    <n v="201208"/>
    <n v="0"/>
  </r>
  <r>
    <x v="456"/>
    <x v="1"/>
    <m/>
    <x v="6"/>
    <x v="2"/>
    <x v="126"/>
    <m/>
    <m/>
    <m/>
    <n v="3"/>
    <n v="201208"/>
    <n v="60000"/>
  </r>
  <r>
    <x v="456"/>
    <x v="1"/>
    <m/>
    <x v="34"/>
    <x v="2"/>
    <x v="128"/>
    <m/>
    <m/>
    <m/>
    <n v="47"/>
    <n v="201208"/>
    <n v="1743700"/>
  </r>
  <r>
    <x v="456"/>
    <x v="1"/>
    <m/>
    <x v="25"/>
    <x v="2"/>
    <x v="129"/>
    <m/>
    <m/>
    <m/>
    <n v="4"/>
    <n v="201208"/>
    <n v="396000"/>
  </r>
  <r>
    <x v="456"/>
    <x v="1"/>
    <m/>
    <x v="0"/>
    <x v="2"/>
    <x v="130"/>
    <m/>
    <m/>
    <m/>
    <n v="25"/>
    <n v="201208"/>
    <n v="825000"/>
  </r>
  <r>
    <x v="456"/>
    <x v="1"/>
    <m/>
    <x v="0"/>
    <x v="2"/>
    <x v="131"/>
    <m/>
    <m/>
    <m/>
    <n v="3"/>
    <n v="201208"/>
    <n v="99000"/>
  </r>
  <r>
    <x v="456"/>
    <x v="1"/>
    <m/>
    <x v="0"/>
    <x v="2"/>
    <x v="168"/>
    <m/>
    <m/>
    <m/>
    <n v="4"/>
    <n v="201208"/>
    <n v="80000"/>
  </r>
  <r>
    <x v="456"/>
    <x v="1"/>
    <m/>
    <x v="0"/>
    <x v="2"/>
    <x v="178"/>
    <m/>
    <m/>
    <m/>
    <n v="1"/>
    <n v="201208"/>
    <n v="35000"/>
  </r>
  <r>
    <x v="456"/>
    <x v="1"/>
    <m/>
    <x v="0"/>
    <x v="2"/>
    <x v="179"/>
    <m/>
    <m/>
    <m/>
    <n v="1"/>
    <n v="201208"/>
    <n v="3000"/>
  </r>
  <r>
    <x v="456"/>
    <x v="1"/>
    <m/>
    <x v="30"/>
    <x v="2"/>
    <x v="132"/>
    <m/>
    <m/>
    <m/>
    <n v="10"/>
    <n v="201208"/>
    <n v="224000"/>
  </r>
  <r>
    <x v="456"/>
    <x v="1"/>
    <m/>
    <x v="30"/>
    <x v="2"/>
    <x v="133"/>
    <m/>
    <m/>
    <m/>
    <n v="2"/>
    <n v="201208"/>
    <n v="78400"/>
  </r>
  <r>
    <x v="456"/>
    <x v="1"/>
    <m/>
    <x v="34"/>
    <x v="2"/>
    <x v="134"/>
    <m/>
    <m/>
    <m/>
    <n v="3"/>
    <n v="201208"/>
    <n v="111300"/>
  </r>
  <r>
    <x v="456"/>
    <x v="1"/>
    <m/>
    <x v="1"/>
    <x v="2"/>
    <x v="135"/>
    <m/>
    <m/>
    <m/>
    <n v="4"/>
    <n v="201208"/>
    <n v="80000"/>
  </r>
  <r>
    <x v="456"/>
    <x v="1"/>
    <m/>
    <x v="1"/>
    <x v="2"/>
    <x v="165"/>
    <m/>
    <m/>
    <m/>
    <n v="2"/>
    <n v="201208"/>
    <n v="70000"/>
  </r>
  <r>
    <x v="456"/>
    <x v="1"/>
    <m/>
    <x v="36"/>
    <x v="2"/>
    <x v="136"/>
    <m/>
    <m/>
    <m/>
    <n v="1"/>
    <n v="201208"/>
    <n v="28000"/>
  </r>
  <r>
    <x v="456"/>
    <x v="1"/>
    <m/>
    <x v="36"/>
    <x v="2"/>
    <x v="137"/>
    <m/>
    <m/>
    <m/>
    <n v="1"/>
    <n v="201208"/>
    <n v="42000"/>
  </r>
  <r>
    <x v="456"/>
    <x v="1"/>
    <m/>
    <x v="0"/>
    <x v="2"/>
    <x v="138"/>
    <m/>
    <m/>
    <m/>
    <n v="51"/>
    <n v="201208"/>
    <n v="1020000"/>
  </r>
  <r>
    <x v="456"/>
    <x v="1"/>
    <m/>
    <x v="0"/>
    <x v="2"/>
    <x v="139"/>
    <m/>
    <m/>
    <m/>
    <n v="19"/>
    <n v="201208"/>
    <n v="665000"/>
  </r>
  <r>
    <x v="456"/>
    <x v="1"/>
    <m/>
    <x v="32"/>
    <x v="2"/>
    <x v="140"/>
    <m/>
    <m/>
    <m/>
    <n v="22"/>
    <n v="201208"/>
    <n v="816200"/>
  </r>
  <r>
    <x v="456"/>
    <x v="1"/>
    <m/>
    <x v="18"/>
    <x v="2"/>
    <x v="125"/>
    <m/>
    <m/>
    <m/>
    <n v="23"/>
    <n v="201208"/>
    <n v="69000"/>
  </r>
  <r>
    <x v="456"/>
    <x v="1"/>
    <m/>
    <x v="0"/>
    <x v="2"/>
    <x v="141"/>
    <m/>
    <m/>
    <m/>
    <n v="1"/>
    <n v="201208"/>
    <n v="33000"/>
  </r>
  <r>
    <x v="456"/>
    <x v="1"/>
    <m/>
    <x v="4"/>
    <x v="2"/>
    <x v="142"/>
    <m/>
    <m/>
    <m/>
    <n v="1"/>
    <n v="201208"/>
    <n v="4000"/>
  </r>
  <r>
    <x v="456"/>
    <x v="1"/>
    <m/>
    <x v="4"/>
    <x v="2"/>
    <x v="143"/>
    <m/>
    <m/>
    <m/>
    <n v="7"/>
    <n v="201208"/>
    <n v="140000"/>
  </r>
  <r>
    <x v="456"/>
    <x v="1"/>
    <m/>
    <x v="31"/>
    <x v="2"/>
    <x v="145"/>
    <m/>
    <m/>
    <m/>
    <n v="73"/>
    <n v="201208"/>
    <n v="1635200"/>
  </r>
  <r>
    <x v="456"/>
    <x v="1"/>
    <m/>
    <x v="31"/>
    <x v="2"/>
    <x v="146"/>
    <m/>
    <m/>
    <m/>
    <n v="98"/>
    <n v="201208"/>
    <n v="3841600"/>
  </r>
  <r>
    <x v="456"/>
    <x v="1"/>
    <m/>
    <x v="32"/>
    <x v="2"/>
    <x v="147"/>
    <m/>
    <m/>
    <m/>
    <n v="53"/>
    <n v="201208"/>
    <n v="1966300"/>
  </r>
  <r>
    <x v="456"/>
    <x v="1"/>
    <m/>
    <x v="0"/>
    <x v="2"/>
    <x v="149"/>
    <m/>
    <m/>
    <m/>
    <n v="1"/>
    <n v="201208"/>
    <n v="20000"/>
  </r>
  <r>
    <x v="456"/>
    <x v="1"/>
    <m/>
    <x v="18"/>
    <x v="2"/>
    <x v="166"/>
    <m/>
    <m/>
    <m/>
    <n v="1"/>
    <n v="201208"/>
    <n v="3000"/>
  </r>
  <r>
    <x v="456"/>
    <x v="1"/>
    <m/>
    <x v="31"/>
    <x v="2"/>
    <x v="189"/>
    <m/>
    <m/>
    <m/>
    <n v="6"/>
    <n v="201208"/>
    <n v="134400"/>
  </r>
  <r>
    <x v="456"/>
    <x v="1"/>
    <m/>
    <x v="31"/>
    <x v="2"/>
    <x v="184"/>
    <m/>
    <m/>
    <m/>
    <n v="12"/>
    <n v="201208"/>
    <n v="470400"/>
  </r>
  <r>
    <x v="456"/>
    <x v="1"/>
    <m/>
    <x v="32"/>
    <x v="2"/>
    <x v="185"/>
    <m/>
    <m/>
    <m/>
    <n v="4"/>
    <n v="201208"/>
    <n v="148400"/>
  </r>
  <r>
    <x v="456"/>
    <x v="1"/>
    <m/>
    <x v="31"/>
    <x v="2"/>
    <x v="186"/>
    <m/>
    <m/>
    <m/>
    <n v="95"/>
    <n v="201208"/>
    <n v="2128000"/>
  </r>
  <r>
    <x v="456"/>
    <x v="1"/>
    <m/>
    <x v="31"/>
    <x v="2"/>
    <x v="187"/>
    <m/>
    <m/>
    <m/>
    <n v="97"/>
    <n v="201208"/>
    <n v="3802400"/>
  </r>
  <r>
    <x v="456"/>
    <x v="1"/>
    <m/>
    <x v="32"/>
    <x v="2"/>
    <x v="188"/>
    <m/>
    <m/>
    <m/>
    <n v="48"/>
    <n v="201208"/>
    <n v="1780800"/>
  </r>
  <r>
    <x v="456"/>
    <x v="1"/>
    <m/>
    <x v="22"/>
    <x v="2"/>
    <x v="150"/>
    <m/>
    <m/>
    <m/>
    <n v="8"/>
    <n v="201208"/>
    <n v="304000"/>
  </r>
  <r>
    <x v="456"/>
    <x v="1"/>
    <m/>
    <x v="22"/>
    <x v="2"/>
    <x v="150"/>
    <m/>
    <m/>
    <m/>
    <n v="5"/>
    <n v="201208"/>
    <n v="190000"/>
  </r>
  <r>
    <x v="456"/>
    <x v="1"/>
    <m/>
    <x v="5"/>
    <x v="2"/>
    <x v="151"/>
    <m/>
    <m/>
    <m/>
    <n v="23"/>
    <n v="201208"/>
    <n v="644000"/>
  </r>
  <r>
    <x v="456"/>
    <x v="1"/>
    <m/>
    <x v="5"/>
    <x v="2"/>
    <x v="152"/>
    <m/>
    <m/>
    <m/>
    <n v="4"/>
    <n v="201208"/>
    <n v="192000"/>
  </r>
  <r>
    <x v="456"/>
    <x v="1"/>
    <m/>
    <x v="5"/>
    <x v="2"/>
    <x v="153"/>
    <m/>
    <m/>
    <m/>
    <n v="9"/>
    <n v="201208"/>
    <n v="252000"/>
  </r>
  <r>
    <x v="456"/>
    <x v="1"/>
    <m/>
    <x v="33"/>
    <x v="2"/>
    <x v="155"/>
    <m/>
    <m/>
    <m/>
    <n v="5"/>
    <n v="201208"/>
    <n v="91000"/>
  </r>
  <r>
    <x v="456"/>
    <x v="1"/>
    <m/>
    <x v="33"/>
    <x v="2"/>
    <x v="156"/>
    <m/>
    <m/>
    <m/>
    <n v="2"/>
    <n v="201208"/>
    <n v="67600"/>
  </r>
  <r>
    <x v="456"/>
    <x v="1"/>
    <m/>
    <x v="19"/>
    <x v="2"/>
    <x v="157"/>
    <m/>
    <m/>
    <m/>
    <n v="22"/>
    <n v="201208"/>
    <n v="286000"/>
  </r>
  <r>
    <x v="456"/>
    <x v="1"/>
    <m/>
    <x v="19"/>
    <x v="2"/>
    <x v="158"/>
    <m/>
    <m/>
    <m/>
    <n v="7"/>
    <n v="201208"/>
    <n v="168000"/>
  </r>
  <r>
    <x v="456"/>
    <x v="1"/>
    <m/>
    <x v="35"/>
    <x v="2"/>
    <x v="170"/>
    <m/>
    <m/>
    <m/>
    <n v="1"/>
    <n v="201208"/>
    <n v="4000"/>
  </r>
  <r>
    <x v="456"/>
    <x v="1"/>
    <m/>
    <x v="35"/>
    <x v="2"/>
    <x v="160"/>
    <m/>
    <m/>
    <m/>
    <n v="4"/>
    <n v="201208"/>
    <n v="80000"/>
  </r>
  <r>
    <x v="456"/>
    <x v="1"/>
    <m/>
    <x v="18"/>
    <x v="2"/>
    <x v="161"/>
    <m/>
    <m/>
    <m/>
    <n v="49"/>
    <n v="201208"/>
    <n v="147000"/>
  </r>
  <r>
    <x v="457"/>
    <x v="0"/>
    <m/>
    <x v="0"/>
    <x v="1"/>
    <x v="123"/>
    <m/>
    <m/>
    <m/>
    <n v="2"/>
    <n v="201208"/>
    <n v="70000"/>
  </r>
  <r>
    <x v="457"/>
    <x v="0"/>
    <m/>
    <x v="6"/>
    <x v="3"/>
    <x v="172"/>
    <m/>
    <m/>
    <m/>
    <n v="3"/>
    <n v="201208"/>
    <n v="0"/>
  </r>
  <r>
    <x v="457"/>
    <x v="0"/>
    <m/>
    <x v="0"/>
    <x v="3"/>
    <x v="164"/>
    <m/>
    <m/>
    <m/>
    <n v="1"/>
    <n v="201208"/>
    <n v="0"/>
  </r>
  <r>
    <x v="457"/>
    <x v="0"/>
    <m/>
    <x v="31"/>
    <x v="3"/>
    <x v="88"/>
    <m/>
    <m/>
    <m/>
    <n v="2"/>
    <n v="201208"/>
    <n v="0"/>
  </r>
  <r>
    <x v="457"/>
    <x v="0"/>
    <m/>
    <x v="6"/>
    <x v="2"/>
    <x v="126"/>
    <m/>
    <m/>
    <m/>
    <n v="1"/>
    <n v="201208"/>
    <n v="20000"/>
  </r>
  <r>
    <x v="457"/>
    <x v="0"/>
    <m/>
    <x v="6"/>
    <x v="2"/>
    <x v="127"/>
    <m/>
    <m/>
    <m/>
    <n v="1"/>
    <n v="201208"/>
    <n v="35000"/>
  </r>
  <r>
    <x v="457"/>
    <x v="0"/>
    <m/>
    <x v="34"/>
    <x v="2"/>
    <x v="128"/>
    <m/>
    <m/>
    <m/>
    <n v="22"/>
    <n v="201208"/>
    <n v="816200"/>
  </r>
  <r>
    <x v="457"/>
    <x v="0"/>
    <m/>
    <x v="25"/>
    <x v="2"/>
    <x v="129"/>
    <m/>
    <m/>
    <m/>
    <n v="2"/>
    <n v="201208"/>
    <n v="198000"/>
  </r>
  <r>
    <x v="457"/>
    <x v="0"/>
    <m/>
    <x v="0"/>
    <x v="2"/>
    <x v="130"/>
    <m/>
    <m/>
    <m/>
    <n v="13"/>
    <n v="201208"/>
    <n v="429000"/>
  </r>
  <r>
    <x v="457"/>
    <x v="0"/>
    <m/>
    <x v="0"/>
    <x v="2"/>
    <x v="131"/>
    <m/>
    <m/>
    <m/>
    <n v="3"/>
    <n v="201208"/>
    <n v="99000"/>
  </r>
  <r>
    <x v="457"/>
    <x v="0"/>
    <m/>
    <x v="0"/>
    <x v="2"/>
    <x v="168"/>
    <m/>
    <m/>
    <m/>
    <n v="1"/>
    <n v="201208"/>
    <n v="20000"/>
  </r>
  <r>
    <x v="457"/>
    <x v="0"/>
    <m/>
    <x v="32"/>
    <x v="2"/>
    <x v="180"/>
    <m/>
    <m/>
    <m/>
    <n v="1"/>
    <n v="201208"/>
    <n v="37100"/>
  </r>
  <r>
    <x v="457"/>
    <x v="0"/>
    <m/>
    <x v="0"/>
    <x v="2"/>
    <x v="179"/>
    <m/>
    <m/>
    <m/>
    <n v="1"/>
    <n v="201208"/>
    <n v="3000"/>
  </r>
  <r>
    <x v="457"/>
    <x v="0"/>
    <m/>
    <x v="30"/>
    <x v="2"/>
    <x v="132"/>
    <m/>
    <m/>
    <m/>
    <n v="7"/>
    <n v="201208"/>
    <n v="156800"/>
  </r>
  <r>
    <x v="457"/>
    <x v="0"/>
    <m/>
    <x v="30"/>
    <x v="2"/>
    <x v="133"/>
    <m/>
    <m/>
    <m/>
    <n v="1"/>
    <n v="201208"/>
    <n v="39200"/>
  </r>
  <r>
    <x v="457"/>
    <x v="0"/>
    <m/>
    <x v="34"/>
    <x v="2"/>
    <x v="134"/>
    <m/>
    <m/>
    <m/>
    <n v="1"/>
    <n v="201208"/>
    <n v="37100"/>
  </r>
  <r>
    <x v="457"/>
    <x v="0"/>
    <m/>
    <x v="1"/>
    <x v="2"/>
    <x v="135"/>
    <m/>
    <m/>
    <m/>
    <n v="3"/>
    <n v="201208"/>
    <n v="60000"/>
  </r>
  <r>
    <x v="457"/>
    <x v="0"/>
    <m/>
    <x v="36"/>
    <x v="2"/>
    <x v="136"/>
    <m/>
    <m/>
    <m/>
    <n v="1"/>
    <n v="201208"/>
    <n v="28000"/>
  </r>
  <r>
    <x v="457"/>
    <x v="0"/>
    <m/>
    <x v="0"/>
    <x v="2"/>
    <x v="138"/>
    <m/>
    <m/>
    <m/>
    <n v="30"/>
    <n v="201208"/>
    <n v="600000"/>
  </r>
  <r>
    <x v="457"/>
    <x v="0"/>
    <m/>
    <x v="0"/>
    <x v="2"/>
    <x v="139"/>
    <m/>
    <m/>
    <m/>
    <n v="10"/>
    <n v="201208"/>
    <n v="350000"/>
  </r>
  <r>
    <x v="457"/>
    <x v="0"/>
    <m/>
    <x v="32"/>
    <x v="2"/>
    <x v="140"/>
    <m/>
    <m/>
    <m/>
    <n v="9"/>
    <n v="201208"/>
    <n v="333900"/>
  </r>
  <r>
    <x v="457"/>
    <x v="0"/>
    <m/>
    <x v="18"/>
    <x v="2"/>
    <x v="125"/>
    <m/>
    <m/>
    <m/>
    <n v="17"/>
    <n v="201208"/>
    <n v="51000"/>
  </r>
  <r>
    <x v="457"/>
    <x v="0"/>
    <m/>
    <x v="0"/>
    <x v="2"/>
    <x v="141"/>
    <m/>
    <m/>
    <m/>
    <n v="1"/>
    <n v="201208"/>
    <n v="33000"/>
  </r>
  <r>
    <x v="457"/>
    <x v="0"/>
    <m/>
    <x v="4"/>
    <x v="2"/>
    <x v="143"/>
    <m/>
    <m/>
    <m/>
    <n v="1"/>
    <n v="201208"/>
    <n v="20000"/>
  </r>
  <r>
    <x v="457"/>
    <x v="0"/>
    <m/>
    <x v="31"/>
    <x v="2"/>
    <x v="145"/>
    <m/>
    <m/>
    <m/>
    <n v="34"/>
    <n v="201208"/>
    <n v="761600"/>
  </r>
  <r>
    <x v="457"/>
    <x v="0"/>
    <m/>
    <x v="31"/>
    <x v="2"/>
    <x v="146"/>
    <m/>
    <m/>
    <m/>
    <n v="33"/>
    <n v="201208"/>
    <n v="1293600"/>
  </r>
  <r>
    <x v="457"/>
    <x v="0"/>
    <m/>
    <x v="32"/>
    <x v="2"/>
    <x v="147"/>
    <m/>
    <m/>
    <m/>
    <n v="29"/>
    <n v="201208"/>
    <n v="1075900"/>
  </r>
  <r>
    <x v="457"/>
    <x v="0"/>
    <m/>
    <x v="0"/>
    <x v="2"/>
    <x v="148"/>
    <m/>
    <m/>
    <m/>
    <n v="2"/>
    <n v="201208"/>
    <n v="40000"/>
  </r>
  <r>
    <x v="457"/>
    <x v="0"/>
    <m/>
    <x v="31"/>
    <x v="2"/>
    <x v="189"/>
    <m/>
    <m/>
    <m/>
    <n v="14"/>
    <n v="201208"/>
    <n v="313600"/>
  </r>
  <r>
    <x v="457"/>
    <x v="0"/>
    <m/>
    <x v="31"/>
    <x v="2"/>
    <x v="184"/>
    <m/>
    <m/>
    <m/>
    <n v="29"/>
    <n v="201208"/>
    <n v="1136800"/>
  </r>
  <r>
    <x v="457"/>
    <x v="0"/>
    <m/>
    <x v="32"/>
    <x v="2"/>
    <x v="185"/>
    <m/>
    <m/>
    <m/>
    <n v="17"/>
    <n v="201208"/>
    <n v="630700"/>
  </r>
  <r>
    <x v="457"/>
    <x v="0"/>
    <m/>
    <x v="31"/>
    <x v="2"/>
    <x v="186"/>
    <m/>
    <m/>
    <m/>
    <n v="70"/>
    <n v="201208"/>
    <n v="1568000"/>
  </r>
  <r>
    <x v="457"/>
    <x v="0"/>
    <m/>
    <x v="31"/>
    <x v="2"/>
    <x v="187"/>
    <m/>
    <m/>
    <m/>
    <n v="66"/>
    <n v="201208"/>
    <n v="2587200"/>
  </r>
  <r>
    <x v="457"/>
    <x v="0"/>
    <m/>
    <x v="32"/>
    <x v="2"/>
    <x v="188"/>
    <m/>
    <m/>
    <m/>
    <n v="23"/>
    <n v="201208"/>
    <n v="853300"/>
  </r>
  <r>
    <x v="457"/>
    <x v="0"/>
    <m/>
    <x v="22"/>
    <x v="2"/>
    <x v="150"/>
    <m/>
    <m/>
    <m/>
    <n v="3"/>
    <n v="201208"/>
    <n v="114000"/>
  </r>
  <r>
    <x v="457"/>
    <x v="0"/>
    <m/>
    <x v="22"/>
    <x v="2"/>
    <x v="150"/>
    <m/>
    <m/>
    <m/>
    <n v="1"/>
    <n v="201208"/>
    <n v="38000"/>
  </r>
  <r>
    <x v="457"/>
    <x v="0"/>
    <m/>
    <x v="5"/>
    <x v="2"/>
    <x v="151"/>
    <m/>
    <m/>
    <m/>
    <n v="11"/>
    <n v="201208"/>
    <n v="308000"/>
  </r>
  <r>
    <x v="457"/>
    <x v="0"/>
    <m/>
    <x v="5"/>
    <x v="2"/>
    <x v="152"/>
    <m/>
    <m/>
    <m/>
    <n v="5"/>
    <n v="201208"/>
    <n v="240000"/>
  </r>
  <r>
    <x v="457"/>
    <x v="0"/>
    <m/>
    <x v="5"/>
    <x v="2"/>
    <x v="153"/>
    <m/>
    <m/>
    <m/>
    <n v="4"/>
    <n v="201208"/>
    <n v="112000"/>
  </r>
  <r>
    <x v="457"/>
    <x v="0"/>
    <m/>
    <x v="33"/>
    <x v="2"/>
    <x v="155"/>
    <m/>
    <m/>
    <m/>
    <n v="1"/>
    <n v="201208"/>
    <n v="18200"/>
  </r>
  <r>
    <x v="457"/>
    <x v="0"/>
    <m/>
    <x v="33"/>
    <x v="2"/>
    <x v="156"/>
    <m/>
    <m/>
    <m/>
    <n v="2"/>
    <n v="201208"/>
    <n v="67600"/>
  </r>
  <r>
    <x v="457"/>
    <x v="0"/>
    <m/>
    <x v="19"/>
    <x v="2"/>
    <x v="157"/>
    <m/>
    <m/>
    <m/>
    <n v="12"/>
    <n v="201208"/>
    <n v="156000"/>
  </r>
  <r>
    <x v="457"/>
    <x v="0"/>
    <m/>
    <x v="19"/>
    <x v="2"/>
    <x v="158"/>
    <m/>
    <m/>
    <m/>
    <n v="3"/>
    <n v="201208"/>
    <n v="72000"/>
  </r>
  <r>
    <x v="457"/>
    <x v="0"/>
    <m/>
    <x v="19"/>
    <x v="2"/>
    <x v="159"/>
    <m/>
    <m/>
    <m/>
    <n v="1"/>
    <n v="201208"/>
    <n v="33000"/>
  </r>
  <r>
    <x v="457"/>
    <x v="0"/>
    <m/>
    <x v="35"/>
    <x v="2"/>
    <x v="160"/>
    <m/>
    <m/>
    <m/>
    <n v="1"/>
    <n v="201208"/>
    <n v="20000"/>
  </r>
  <r>
    <x v="457"/>
    <x v="0"/>
    <m/>
    <x v="18"/>
    <x v="2"/>
    <x v="161"/>
    <m/>
    <m/>
    <m/>
    <n v="18"/>
    <n v="201208"/>
    <n v="54000"/>
  </r>
  <r>
    <x v="458"/>
    <x v="2"/>
    <m/>
    <x v="0"/>
    <x v="7"/>
    <x v="193"/>
    <m/>
    <m/>
    <m/>
    <n v="1"/>
    <n v="201208"/>
    <n v="18000"/>
  </r>
  <r>
    <x v="458"/>
    <x v="2"/>
    <m/>
    <x v="34"/>
    <x v="2"/>
    <x v="128"/>
    <m/>
    <m/>
    <m/>
    <n v="33"/>
    <n v="201208"/>
    <n v="1224300"/>
  </r>
  <r>
    <x v="458"/>
    <x v="2"/>
    <m/>
    <x v="25"/>
    <x v="2"/>
    <x v="129"/>
    <m/>
    <m/>
    <m/>
    <n v="1"/>
    <n v="201208"/>
    <n v="99000"/>
  </r>
  <r>
    <x v="458"/>
    <x v="2"/>
    <m/>
    <x v="0"/>
    <x v="2"/>
    <x v="130"/>
    <m/>
    <m/>
    <m/>
    <n v="20"/>
    <n v="201208"/>
    <n v="660000"/>
  </r>
  <r>
    <x v="458"/>
    <x v="2"/>
    <m/>
    <x v="0"/>
    <x v="2"/>
    <x v="131"/>
    <m/>
    <m/>
    <m/>
    <n v="3"/>
    <n v="201208"/>
    <n v="99000"/>
  </r>
  <r>
    <x v="458"/>
    <x v="2"/>
    <m/>
    <x v="0"/>
    <x v="2"/>
    <x v="178"/>
    <m/>
    <m/>
    <m/>
    <n v="1"/>
    <n v="201208"/>
    <n v="35000"/>
  </r>
  <r>
    <x v="458"/>
    <x v="2"/>
    <m/>
    <x v="30"/>
    <x v="2"/>
    <x v="132"/>
    <m/>
    <m/>
    <m/>
    <n v="15"/>
    <n v="201208"/>
    <n v="336000"/>
  </r>
  <r>
    <x v="458"/>
    <x v="2"/>
    <m/>
    <x v="30"/>
    <x v="2"/>
    <x v="133"/>
    <m/>
    <m/>
    <m/>
    <n v="2"/>
    <n v="201208"/>
    <n v="78400"/>
  </r>
  <r>
    <x v="458"/>
    <x v="2"/>
    <m/>
    <x v="34"/>
    <x v="2"/>
    <x v="134"/>
    <m/>
    <m/>
    <m/>
    <n v="4"/>
    <n v="201208"/>
    <n v="148400"/>
  </r>
  <r>
    <x v="458"/>
    <x v="2"/>
    <m/>
    <x v="1"/>
    <x v="2"/>
    <x v="135"/>
    <m/>
    <m/>
    <m/>
    <n v="2"/>
    <n v="201208"/>
    <n v="40000"/>
  </r>
  <r>
    <x v="458"/>
    <x v="2"/>
    <m/>
    <x v="1"/>
    <x v="2"/>
    <x v="165"/>
    <m/>
    <m/>
    <m/>
    <n v="2"/>
    <n v="201208"/>
    <n v="70000"/>
  </r>
  <r>
    <x v="458"/>
    <x v="2"/>
    <m/>
    <x v="36"/>
    <x v="2"/>
    <x v="136"/>
    <m/>
    <m/>
    <m/>
    <n v="5"/>
    <n v="201208"/>
    <n v="140000"/>
  </r>
  <r>
    <x v="458"/>
    <x v="2"/>
    <m/>
    <x v="0"/>
    <x v="2"/>
    <x v="138"/>
    <m/>
    <m/>
    <m/>
    <n v="49"/>
    <n v="201208"/>
    <n v="980000"/>
  </r>
  <r>
    <x v="458"/>
    <x v="2"/>
    <m/>
    <x v="0"/>
    <x v="2"/>
    <x v="139"/>
    <m/>
    <m/>
    <m/>
    <n v="17"/>
    <n v="201208"/>
    <n v="595000"/>
  </r>
  <r>
    <x v="458"/>
    <x v="2"/>
    <m/>
    <x v="32"/>
    <x v="2"/>
    <x v="140"/>
    <m/>
    <m/>
    <m/>
    <n v="15"/>
    <n v="201208"/>
    <n v="556500"/>
  </r>
  <r>
    <x v="458"/>
    <x v="2"/>
    <m/>
    <x v="18"/>
    <x v="2"/>
    <x v="125"/>
    <m/>
    <m/>
    <m/>
    <n v="24"/>
    <n v="201208"/>
    <n v="72000"/>
  </r>
  <r>
    <x v="458"/>
    <x v="2"/>
    <m/>
    <x v="0"/>
    <x v="2"/>
    <x v="141"/>
    <m/>
    <m/>
    <m/>
    <n v="1"/>
    <n v="201208"/>
    <n v="33000"/>
  </r>
  <r>
    <x v="458"/>
    <x v="2"/>
    <m/>
    <x v="4"/>
    <x v="2"/>
    <x v="142"/>
    <m/>
    <m/>
    <m/>
    <n v="2"/>
    <n v="201208"/>
    <n v="8000"/>
  </r>
  <r>
    <x v="458"/>
    <x v="2"/>
    <m/>
    <x v="4"/>
    <x v="2"/>
    <x v="143"/>
    <m/>
    <m/>
    <m/>
    <n v="7"/>
    <n v="201208"/>
    <n v="140000"/>
  </r>
  <r>
    <x v="458"/>
    <x v="2"/>
    <m/>
    <x v="31"/>
    <x v="2"/>
    <x v="145"/>
    <m/>
    <m/>
    <m/>
    <n v="53"/>
    <n v="201208"/>
    <n v="1187200"/>
  </r>
  <r>
    <x v="458"/>
    <x v="2"/>
    <m/>
    <x v="31"/>
    <x v="2"/>
    <x v="146"/>
    <m/>
    <m/>
    <m/>
    <n v="70"/>
    <n v="201208"/>
    <n v="2744000"/>
  </r>
  <r>
    <x v="458"/>
    <x v="2"/>
    <m/>
    <x v="32"/>
    <x v="2"/>
    <x v="147"/>
    <m/>
    <m/>
    <m/>
    <n v="47"/>
    <n v="201208"/>
    <n v="1743700"/>
  </r>
  <r>
    <x v="458"/>
    <x v="2"/>
    <m/>
    <x v="0"/>
    <x v="2"/>
    <x v="149"/>
    <m/>
    <m/>
    <m/>
    <n v="1"/>
    <n v="201208"/>
    <n v="20000"/>
  </r>
  <r>
    <x v="458"/>
    <x v="2"/>
    <m/>
    <x v="31"/>
    <x v="2"/>
    <x v="189"/>
    <m/>
    <m/>
    <m/>
    <n v="9"/>
    <n v="201208"/>
    <n v="201600"/>
  </r>
  <r>
    <x v="458"/>
    <x v="2"/>
    <m/>
    <x v="31"/>
    <x v="2"/>
    <x v="184"/>
    <m/>
    <m/>
    <m/>
    <n v="11"/>
    <n v="201208"/>
    <n v="431200"/>
  </r>
  <r>
    <x v="458"/>
    <x v="2"/>
    <m/>
    <x v="32"/>
    <x v="2"/>
    <x v="185"/>
    <m/>
    <m/>
    <m/>
    <n v="4"/>
    <n v="201208"/>
    <n v="148400"/>
  </r>
  <r>
    <x v="458"/>
    <x v="2"/>
    <m/>
    <x v="31"/>
    <x v="2"/>
    <x v="186"/>
    <m/>
    <m/>
    <m/>
    <n v="162"/>
    <n v="201208"/>
    <n v="3628800"/>
  </r>
  <r>
    <x v="458"/>
    <x v="2"/>
    <m/>
    <x v="31"/>
    <x v="2"/>
    <x v="187"/>
    <m/>
    <m/>
    <m/>
    <n v="142"/>
    <n v="201208"/>
    <n v="5566400"/>
  </r>
  <r>
    <x v="458"/>
    <x v="2"/>
    <m/>
    <x v="32"/>
    <x v="2"/>
    <x v="188"/>
    <m/>
    <m/>
    <m/>
    <n v="77"/>
    <n v="201208"/>
    <n v="2856700"/>
  </r>
  <r>
    <x v="458"/>
    <x v="2"/>
    <m/>
    <x v="22"/>
    <x v="2"/>
    <x v="150"/>
    <m/>
    <m/>
    <m/>
    <n v="5"/>
    <n v="201208"/>
    <n v="190000"/>
  </r>
  <r>
    <x v="458"/>
    <x v="2"/>
    <m/>
    <x v="22"/>
    <x v="2"/>
    <x v="150"/>
    <m/>
    <m/>
    <m/>
    <n v="2"/>
    <n v="201208"/>
    <n v="76000"/>
  </r>
  <r>
    <x v="458"/>
    <x v="2"/>
    <m/>
    <x v="5"/>
    <x v="2"/>
    <x v="151"/>
    <m/>
    <m/>
    <m/>
    <n v="20"/>
    <n v="201208"/>
    <n v="560000"/>
  </r>
  <r>
    <x v="458"/>
    <x v="2"/>
    <m/>
    <x v="5"/>
    <x v="2"/>
    <x v="152"/>
    <m/>
    <m/>
    <m/>
    <n v="10"/>
    <n v="201208"/>
    <n v="480000"/>
  </r>
  <r>
    <x v="458"/>
    <x v="2"/>
    <m/>
    <x v="5"/>
    <x v="2"/>
    <x v="153"/>
    <m/>
    <m/>
    <m/>
    <n v="4"/>
    <n v="201208"/>
    <n v="112000"/>
  </r>
  <r>
    <x v="458"/>
    <x v="2"/>
    <m/>
    <x v="33"/>
    <x v="2"/>
    <x v="155"/>
    <m/>
    <m/>
    <m/>
    <n v="4"/>
    <n v="201208"/>
    <n v="72800"/>
  </r>
  <r>
    <x v="458"/>
    <x v="2"/>
    <m/>
    <x v="33"/>
    <x v="2"/>
    <x v="156"/>
    <m/>
    <m/>
    <m/>
    <n v="3"/>
    <n v="201208"/>
    <n v="101400"/>
  </r>
  <r>
    <x v="458"/>
    <x v="2"/>
    <m/>
    <x v="19"/>
    <x v="2"/>
    <x v="157"/>
    <m/>
    <m/>
    <m/>
    <n v="15"/>
    <n v="201208"/>
    <n v="195000"/>
  </r>
  <r>
    <x v="458"/>
    <x v="2"/>
    <m/>
    <x v="19"/>
    <x v="2"/>
    <x v="158"/>
    <m/>
    <m/>
    <m/>
    <n v="5"/>
    <n v="201208"/>
    <n v="120000"/>
  </r>
  <r>
    <x v="458"/>
    <x v="2"/>
    <m/>
    <x v="19"/>
    <x v="2"/>
    <x v="159"/>
    <m/>
    <m/>
    <m/>
    <n v="3"/>
    <n v="201208"/>
    <n v="99000"/>
  </r>
  <r>
    <x v="458"/>
    <x v="2"/>
    <m/>
    <x v="35"/>
    <x v="2"/>
    <x v="170"/>
    <m/>
    <m/>
    <m/>
    <n v="3"/>
    <n v="201208"/>
    <n v="12000"/>
  </r>
  <r>
    <x v="458"/>
    <x v="2"/>
    <m/>
    <x v="35"/>
    <x v="2"/>
    <x v="160"/>
    <m/>
    <m/>
    <m/>
    <n v="4"/>
    <n v="201208"/>
    <n v="80000"/>
  </r>
  <r>
    <x v="458"/>
    <x v="2"/>
    <m/>
    <x v="18"/>
    <x v="2"/>
    <x v="161"/>
    <m/>
    <m/>
    <m/>
    <n v="20"/>
    <n v="201208"/>
    <n v="60000"/>
  </r>
  <r>
    <x v="459"/>
    <x v="5"/>
    <m/>
    <x v="0"/>
    <x v="7"/>
    <x v="193"/>
    <m/>
    <m/>
    <m/>
    <n v="3"/>
    <n v="201208"/>
    <n v="54000"/>
  </r>
  <r>
    <x v="459"/>
    <x v="5"/>
    <m/>
    <x v="6"/>
    <x v="2"/>
    <x v="126"/>
    <m/>
    <m/>
    <m/>
    <n v="7"/>
    <n v="201208"/>
    <n v="140000"/>
  </r>
  <r>
    <x v="459"/>
    <x v="5"/>
    <m/>
    <x v="34"/>
    <x v="2"/>
    <x v="128"/>
    <m/>
    <m/>
    <m/>
    <n v="28"/>
    <n v="201208"/>
    <n v="1038800"/>
  </r>
  <r>
    <x v="459"/>
    <x v="5"/>
    <m/>
    <x v="25"/>
    <x v="2"/>
    <x v="129"/>
    <m/>
    <m/>
    <m/>
    <n v="2"/>
    <n v="201208"/>
    <n v="198000"/>
  </r>
  <r>
    <x v="459"/>
    <x v="5"/>
    <m/>
    <x v="0"/>
    <x v="2"/>
    <x v="130"/>
    <m/>
    <m/>
    <m/>
    <n v="27"/>
    <n v="201208"/>
    <n v="891000"/>
  </r>
  <r>
    <x v="459"/>
    <x v="5"/>
    <m/>
    <x v="0"/>
    <x v="2"/>
    <x v="131"/>
    <m/>
    <m/>
    <m/>
    <n v="3"/>
    <n v="201208"/>
    <n v="99000"/>
  </r>
  <r>
    <x v="459"/>
    <x v="5"/>
    <m/>
    <x v="0"/>
    <x v="2"/>
    <x v="178"/>
    <m/>
    <m/>
    <m/>
    <n v="1"/>
    <n v="201208"/>
    <n v="35000"/>
  </r>
  <r>
    <x v="459"/>
    <x v="5"/>
    <m/>
    <x v="0"/>
    <x v="2"/>
    <x v="179"/>
    <m/>
    <m/>
    <m/>
    <n v="1"/>
    <n v="201208"/>
    <n v="3000"/>
  </r>
  <r>
    <x v="459"/>
    <x v="5"/>
    <m/>
    <x v="30"/>
    <x v="2"/>
    <x v="132"/>
    <m/>
    <m/>
    <m/>
    <n v="14"/>
    <n v="201208"/>
    <n v="313600"/>
  </r>
  <r>
    <x v="459"/>
    <x v="5"/>
    <m/>
    <x v="30"/>
    <x v="2"/>
    <x v="133"/>
    <m/>
    <m/>
    <m/>
    <n v="3"/>
    <n v="201208"/>
    <n v="117600"/>
  </r>
  <r>
    <x v="459"/>
    <x v="5"/>
    <m/>
    <x v="34"/>
    <x v="2"/>
    <x v="134"/>
    <m/>
    <m/>
    <m/>
    <n v="2"/>
    <n v="201208"/>
    <n v="74200"/>
  </r>
  <r>
    <x v="459"/>
    <x v="5"/>
    <m/>
    <x v="1"/>
    <x v="2"/>
    <x v="135"/>
    <m/>
    <m/>
    <m/>
    <n v="3"/>
    <n v="201208"/>
    <n v="60000"/>
  </r>
  <r>
    <x v="459"/>
    <x v="5"/>
    <m/>
    <x v="36"/>
    <x v="2"/>
    <x v="136"/>
    <m/>
    <m/>
    <m/>
    <n v="3"/>
    <n v="201208"/>
    <n v="84000"/>
  </r>
  <r>
    <x v="459"/>
    <x v="5"/>
    <m/>
    <x v="36"/>
    <x v="2"/>
    <x v="137"/>
    <m/>
    <m/>
    <m/>
    <n v="3"/>
    <n v="201208"/>
    <n v="126000"/>
  </r>
  <r>
    <x v="459"/>
    <x v="5"/>
    <m/>
    <x v="0"/>
    <x v="2"/>
    <x v="138"/>
    <m/>
    <m/>
    <m/>
    <n v="41"/>
    <n v="201208"/>
    <n v="820000"/>
  </r>
  <r>
    <x v="459"/>
    <x v="5"/>
    <m/>
    <x v="0"/>
    <x v="2"/>
    <x v="139"/>
    <m/>
    <m/>
    <m/>
    <n v="20"/>
    <n v="201208"/>
    <n v="700000"/>
  </r>
  <r>
    <x v="459"/>
    <x v="5"/>
    <m/>
    <x v="32"/>
    <x v="2"/>
    <x v="140"/>
    <m/>
    <m/>
    <m/>
    <n v="18"/>
    <n v="201208"/>
    <n v="667800"/>
  </r>
  <r>
    <x v="459"/>
    <x v="5"/>
    <m/>
    <x v="18"/>
    <x v="2"/>
    <x v="125"/>
    <m/>
    <m/>
    <m/>
    <n v="27"/>
    <n v="201208"/>
    <n v="81000"/>
  </r>
  <r>
    <x v="459"/>
    <x v="5"/>
    <m/>
    <x v="0"/>
    <x v="2"/>
    <x v="141"/>
    <m/>
    <m/>
    <m/>
    <n v="2"/>
    <n v="201208"/>
    <n v="66000"/>
  </r>
  <r>
    <x v="459"/>
    <x v="5"/>
    <m/>
    <x v="4"/>
    <x v="2"/>
    <x v="143"/>
    <m/>
    <m/>
    <m/>
    <n v="5"/>
    <n v="201208"/>
    <n v="100000"/>
  </r>
  <r>
    <x v="459"/>
    <x v="5"/>
    <m/>
    <x v="4"/>
    <x v="2"/>
    <x v="144"/>
    <m/>
    <m/>
    <m/>
    <n v="2"/>
    <n v="201208"/>
    <n v="8000"/>
  </r>
  <r>
    <x v="459"/>
    <x v="5"/>
    <m/>
    <x v="31"/>
    <x v="2"/>
    <x v="145"/>
    <m/>
    <m/>
    <m/>
    <n v="49"/>
    <n v="201208"/>
    <n v="1097600"/>
  </r>
  <r>
    <x v="459"/>
    <x v="5"/>
    <m/>
    <x v="31"/>
    <x v="2"/>
    <x v="146"/>
    <m/>
    <m/>
    <m/>
    <n v="66"/>
    <n v="201208"/>
    <n v="2587200"/>
  </r>
  <r>
    <x v="459"/>
    <x v="5"/>
    <m/>
    <x v="32"/>
    <x v="2"/>
    <x v="147"/>
    <m/>
    <m/>
    <m/>
    <n v="47"/>
    <n v="201208"/>
    <n v="1743700"/>
  </r>
  <r>
    <x v="459"/>
    <x v="5"/>
    <m/>
    <x v="0"/>
    <x v="2"/>
    <x v="148"/>
    <m/>
    <m/>
    <m/>
    <n v="1"/>
    <n v="201208"/>
    <n v="20000"/>
  </r>
  <r>
    <x v="459"/>
    <x v="5"/>
    <m/>
    <x v="0"/>
    <x v="2"/>
    <x v="149"/>
    <m/>
    <m/>
    <m/>
    <n v="3"/>
    <n v="201208"/>
    <n v="60000"/>
  </r>
  <r>
    <x v="459"/>
    <x v="5"/>
    <m/>
    <x v="18"/>
    <x v="2"/>
    <x v="166"/>
    <m/>
    <m/>
    <m/>
    <n v="1"/>
    <n v="201208"/>
    <n v="3000"/>
  </r>
  <r>
    <x v="459"/>
    <x v="5"/>
    <m/>
    <x v="31"/>
    <x v="2"/>
    <x v="189"/>
    <m/>
    <m/>
    <m/>
    <n v="1"/>
    <n v="201208"/>
    <n v="22400"/>
  </r>
  <r>
    <x v="459"/>
    <x v="5"/>
    <m/>
    <x v="31"/>
    <x v="2"/>
    <x v="184"/>
    <m/>
    <m/>
    <m/>
    <n v="13"/>
    <n v="201208"/>
    <n v="509600"/>
  </r>
  <r>
    <x v="459"/>
    <x v="5"/>
    <m/>
    <x v="32"/>
    <x v="2"/>
    <x v="185"/>
    <m/>
    <m/>
    <m/>
    <n v="1"/>
    <n v="201208"/>
    <n v="37100"/>
  </r>
  <r>
    <x v="459"/>
    <x v="5"/>
    <m/>
    <x v="31"/>
    <x v="2"/>
    <x v="186"/>
    <m/>
    <m/>
    <m/>
    <n v="108"/>
    <n v="201208"/>
    <n v="2419200"/>
  </r>
  <r>
    <x v="459"/>
    <x v="5"/>
    <m/>
    <x v="31"/>
    <x v="2"/>
    <x v="187"/>
    <m/>
    <m/>
    <m/>
    <n v="115"/>
    <n v="201208"/>
    <n v="4508000"/>
  </r>
  <r>
    <x v="459"/>
    <x v="5"/>
    <m/>
    <x v="32"/>
    <x v="2"/>
    <x v="188"/>
    <m/>
    <m/>
    <m/>
    <n v="66"/>
    <n v="201208"/>
    <n v="2448600"/>
  </r>
  <r>
    <x v="459"/>
    <x v="5"/>
    <m/>
    <x v="22"/>
    <x v="2"/>
    <x v="150"/>
    <m/>
    <m/>
    <m/>
    <n v="8"/>
    <n v="201208"/>
    <n v="304000"/>
  </r>
  <r>
    <x v="459"/>
    <x v="5"/>
    <m/>
    <x v="22"/>
    <x v="2"/>
    <x v="150"/>
    <m/>
    <m/>
    <m/>
    <n v="5"/>
    <n v="201208"/>
    <n v="190000"/>
  </r>
  <r>
    <x v="459"/>
    <x v="5"/>
    <m/>
    <x v="5"/>
    <x v="2"/>
    <x v="151"/>
    <m/>
    <m/>
    <m/>
    <n v="27"/>
    <n v="201208"/>
    <n v="756000"/>
  </r>
  <r>
    <x v="459"/>
    <x v="5"/>
    <m/>
    <x v="5"/>
    <x v="2"/>
    <x v="152"/>
    <m/>
    <m/>
    <m/>
    <n v="4"/>
    <n v="201208"/>
    <n v="192000"/>
  </r>
  <r>
    <x v="459"/>
    <x v="5"/>
    <m/>
    <x v="5"/>
    <x v="2"/>
    <x v="153"/>
    <m/>
    <m/>
    <m/>
    <n v="2"/>
    <n v="201208"/>
    <n v="56000"/>
  </r>
  <r>
    <x v="459"/>
    <x v="5"/>
    <m/>
    <x v="33"/>
    <x v="2"/>
    <x v="155"/>
    <m/>
    <m/>
    <m/>
    <n v="3"/>
    <n v="201208"/>
    <n v="54600"/>
  </r>
  <r>
    <x v="459"/>
    <x v="5"/>
    <m/>
    <x v="19"/>
    <x v="2"/>
    <x v="157"/>
    <m/>
    <m/>
    <m/>
    <n v="24"/>
    <n v="201208"/>
    <n v="312000"/>
  </r>
  <r>
    <x v="459"/>
    <x v="5"/>
    <m/>
    <x v="19"/>
    <x v="2"/>
    <x v="158"/>
    <m/>
    <m/>
    <m/>
    <n v="5"/>
    <n v="201208"/>
    <n v="120000"/>
  </r>
  <r>
    <x v="459"/>
    <x v="5"/>
    <m/>
    <x v="19"/>
    <x v="2"/>
    <x v="159"/>
    <m/>
    <m/>
    <m/>
    <n v="2"/>
    <n v="201208"/>
    <n v="66000"/>
  </r>
  <r>
    <x v="459"/>
    <x v="5"/>
    <m/>
    <x v="35"/>
    <x v="2"/>
    <x v="160"/>
    <m/>
    <m/>
    <m/>
    <n v="3"/>
    <n v="201208"/>
    <n v="60000"/>
  </r>
  <r>
    <x v="459"/>
    <x v="5"/>
    <m/>
    <x v="18"/>
    <x v="2"/>
    <x v="161"/>
    <m/>
    <m/>
    <m/>
    <n v="21"/>
    <n v="201208"/>
    <n v="63000"/>
  </r>
  <r>
    <x v="459"/>
    <x v="5"/>
    <m/>
    <x v="18"/>
    <x v="2"/>
    <x v="161"/>
    <m/>
    <m/>
    <m/>
    <n v="2"/>
    <n v="201208"/>
    <n v="6000"/>
  </r>
  <r>
    <x v="460"/>
    <x v="6"/>
    <m/>
    <x v="0"/>
    <x v="7"/>
    <x v="193"/>
    <m/>
    <m/>
    <m/>
    <n v="4"/>
    <n v="201208"/>
    <n v="72000"/>
  </r>
  <r>
    <x v="460"/>
    <x v="6"/>
    <m/>
    <x v="6"/>
    <x v="2"/>
    <x v="126"/>
    <m/>
    <m/>
    <m/>
    <n v="3"/>
    <n v="201208"/>
    <n v="60000"/>
  </r>
  <r>
    <x v="460"/>
    <x v="6"/>
    <m/>
    <x v="6"/>
    <x v="2"/>
    <x v="127"/>
    <m/>
    <m/>
    <m/>
    <n v="3"/>
    <n v="201208"/>
    <n v="105000"/>
  </r>
  <r>
    <x v="460"/>
    <x v="6"/>
    <m/>
    <x v="34"/>
    <x v="2"/>
    <x v="128"/>
    <m/>
    <m/>
    <m/>
    <n v="47"/>
    <n v="201208"/>
    <n v="1743700"/>
  </r>
  <r>
    <x v="460"/>
    <x v="6"/>
    <m/>
    <x v="0"/>
    <x v="2"/>
    <x v="130"/>
    <m/>
    <m/>
    <m/>
    <n v="32"/>
    <n v="201208"/>
    <n v="1056000"/>
  </r>
  <r>
    <x v="460"/>
    <x v="6"/>
    <m/>
    <x v="0"/>
    <x v="2"/>
    <x v="131"/>
    <m/>
    <m/>
    <m/>
    <n v="1"/>
    <n v="201208"/>
    <n v="33000"/>
  </r>
  <r>
    <x v="460"/>
    <x v="6"/>
    <m/>
    <x v="0"/>
    <x v="2"/>
    <x v="168"/>
    <m/>
    <m/>
    <m/>
    <n v="1"/>
    <n v="201208"/>
    <n v="20000"/>
  </r>
  <r>
    <x v="460"/>
    <x v="6"/>
    <m/>
    <x v="32"/>
    <x v="2"/>
    <x v="180"/>
    <m/>
    <m/>
    <m/>
    <n v="1"/>
    <n v="201208"/>
    <n v="37100"/>
  </r>
  <r>
    <x v="460"/>
    <x v="6"/>
    <m/>
    <x v="0"/>
    <x v="2"/>
    <x v="179"/>
    <m/>
    <m/>
    <m/>
    <n v="1"/>
    <n v="201208"/>
    <n v="3000"/>
  </r>
  <r>
    <x v="460"/>
    <x v="6"/>
    <m/>
    <x v="30"/>
    <x v="2"/>
    <x v="132"/>
    <m/>
    <m/>
    <m/>
    <n v="14"/>
    <n v="201208"/>
    <n v="313600"/>
  </r>
  <r>
    <x v="460"/>
    <x v="6"/>
    <m/>
    <x v="30"/>
    <x v="2"/>
    <x v="133"/>
    <m/>
    <m/>
    <m/>
    <n v="5"/>
    <n v="201208"/>
    <n v="196000"/>
  </r>
  <r>
    <x v="460"/>
    <x v="6"/>
    <m/>
    <x v="34"/>
    <x v="2"/>
    <x v="134"/>
    <m/>
    <m/>
    <m/>
    <n v="3"/>
    <n v="201208"/>
    <n v="111300"/>
  </r>
  <r>
    <x v="460"/>
    <x v="6"/>
    <m/>
    <x v="1"/>
    <x v="2"/>
    <x v="135"/>
    <m/>
    <m/>
    <m/>
    <n v="3"/>
    <n v="201208"/>
    <n v="60000"/>
  </r>
  <r>
    <x v="460"/>
    <x v="6"/>
    <m/>
    <x v="1"/>
    <x v="2"/>
    <x v="165"/>
    <m/>
    <m/>
    <m/>
    <n v="1"/>
    <n v="201208"/>
    <n v="35000"/>
  </r>
  <r>
    <x v="460"/>
    <x v="6"/>
    <m/>
    <x v="36"/>
    <x v="2"/>
    <x v="136"/>
    <m/>
    <m/>
    <m/>
    <n v="9"/>
    <n v="201208"/>
    <n v="252000"/>
  </r>
  <r>
    <x v="460"/>
    <x v="6"/>
    <m/>
    <x v="0"/>
    <x v="2"/>
    <x v="138"/>
    <m/>
    <m/>
    <m/>
    <n v="53"/>
    <n v="201208"/>
    <n v="1060000"/>
  </r>
  <r>
    <x v="460"/>
    <x v="6"/>
    <m/>
    <x v="0"/>
    <x v="2"/>
    <x v="139"/>
    <m/>
    <m/>
    <m/>
    <n v="30"/>
    <n v="201208"/>
    <n v="1050000"/>
  </r>
  <r>
    <x v="460"/>
    <x v="6"/>
    <m/>
    <x v="32"/>
    <x v="2"/>
    <x v="140"/>
    <m/>
    <m/>
    <m/>
    <n v="23"/>
    <n v="201208"/>
    <n v="853300"/>
  </r>
  <r>
    <x v="460"/>
    <x v="6"/>
    <m/>
    <x v="18"/>
    <x v="2"/>
    <x v="125"/>
    <m/>
    <m/>
    <m/>
    <n v="28"/>
    <n v="201208"/>
    <n v="84000"/>
  </r>
  <r>
    <x v="460"/>
    <x v="6"/>
    <m/>
    <x v="0"/>
    <x v="2"/>
    <x v="138"/>
    <m/>
    <m/>
    <m/>
    <n v="1"/>
    <n v="201208"/>
    <n v="20000"/>
  </r>
  <r>
    <x v="460"/>
    <x v="6"/>
    <m/>
    <x v="0"/>
    <x v="2"/>
    <x v="141"/>
    <m/>
    <m/>
    <m/>
    <n v="1"/>
    <n v="201208"/>
    <n v="33000"/>
  </r>
  <r>
    <x v="460"/>
    <x v="6"/>
    <m/>
    <x v="4"/>
    <x v="2"/>
    <x v="142"/>
    <m/>
    <m/>
    <m/>
    <n v="3"/>
    <n v="201208"/>
    <n v="12000"/>
  </r>
  <r>
    <x v="460"/>
    <x v="6"/>
    <m/>
    <x v="4"/>
    <x v="2"/>
    <x v="143"/>
    <m/>
    <m/>
    <m/>
    <n v="4"/>
    <n v="201208"/>
    <n v="80000"/>
  </r>
  <r>
    <x v="460"/>
    <x v="6"/>
    <m/>
    <x v="4"/>
    <x v="2"/>
    <x v="144"/>
    <m/>
    <m/>
    <m/>
    <n v="4"/>
    <n v="201208"/>
    <n v="16000"/>
  </r>
  <r>
    <x v="460"/>
    <x v="6"/>
    <m/>
    <x v="31"/>
    <x v="2"/>
    <x v="145"/>
    <m/>
    <m/>
    <m/>
    <n v="62"/>
    <n v="201208"/>
    <n v="1388800"/>
  </r>
  <r>
    <x v="460"/>
    <x v="6"/>
    <m/>
    <x v="31"/>
    <x v="2"/>
    <x v="146"/>
    <m/>
    <m/>
    <m/>
    <n v="78"/>
    <n v="201208"/>
    <n v="3057600"/>
  </r>
  <r>
    <x v="460"/>
    <x v="6"/>
    <m/>
    <x v="32"/>
    <x v="2"/>
    <x v="147"/>
    <m/>
    <m/>
    <m/>
    <n v="40"/>
    <n v="201208"/>
    <n v="1484000"/>
  </r>
  <r>
    <x v="460"/>
    <x v="6"/>
    <m/>
    <x v="0"/>
    <x v="2"/>
    <x v="149"/>
    <m/>
    <m/>
    <m/>
    <n v="1"/>
    <n v="201208"/>
    <n v="20000"/>
  </r>
  <r>
    <x v="460"/>
    <x v="6"/>
    <m/>
    <x v="31"/>
    <x v="2"/>
    <x v="189"/>
    <m/>
    <m/>
    <m/>
    <n v="10"/>
    <n v="201208"/>
    <n v="224000"/>
  </r>
  <r>
    <x v="460"/>
    <x v="6"/>
    <m/>
    <x v="31"/>
    <x v="2"/>
    <x v="184"/>
    <m/>
    <m/>
    <m/>
    <n v="21"/>
    <n v="201208"/>
    <n v="823200"/>
  </r>
  <r>
    <x v="460"/>
    <x v="6"/>
    <m/>
    <x v="32"/>
    <x v="2"/>
    <x v="185"/>
    <m/>
    <m/>
    <m/>
    <n v="8"/>
    <n v="201208"/>
    <n v="296800"/>
  </r>
  <r>
    <x v="460"/>
    <x v="6"/>
    <m/>
    <x v="31"/>
    <x v="2"/>
    <x v="186"/>
    <m/>
    <m/>
    <m/>
    <n v="158"/>
    <n v="201208"/>
    <n v="3539200"/>
  </r>
  <r>
    <x v="460"/>
    <x v="6"/>
    <m/>
    <x v="31"/>
    <x v="2"/>
    <x v="187"/>
    <m/>
    <m/>
    <m/>
    <n v="155"/>
    <n v="201208"/>
    <n v="6076000"/>
  </r>
  <r>
    <x v="460"/>
    <x v="6"/>
    <m/>
    <x v="32"/>
    <x v="2"/>
    <x v="188"/>
    <m/>
    <m/>
    <m/>
    <n v="69"/>
    <n v="201208"/>
    <n v="2559900"/>
  </r>
  <r>
    <x v="460"/>
    <x v="6"/>
    <m/>
    <x v="22"/>
    <x v="2"/>
    <x v="150"/>
    <m/>
    <m/>
    <m/>
    <n v="11"/>
    <n v="201208"/>
    <n v="418000"/>
  </r>
  <r>
    <x v="460"/>
    <x v="6"/>
    <m/>
    <x v="22"/>
    <x v="2"/>
    <x v="150"/>
    <m/>
    <m/>
    <m/>
    <n v="2"/>
    <n v="201208"/>
    <n v="76000"/>
  </r>
  <r>
    <x v="460"/>
    <x v="6"/>
    <m/>
    <x v="5"/>
    <x v="2"/>
    <x v="151"/>
    <m/>
    <m/>
    <m/>
    <n v="24"/>
    <n v="201208"/>
    <n v="672000"/>
  </r>
  <r>
    <x v="460"/>
    <x v="6"/>
    <m/>
    <x v="5"/>
    <x v="2"/>
    <x v="152"/>
    <m/>
    <m/>
    <m/>
    <n v="6"/>
    <n v="201208"/>
    <n v="288000"/>
  </r>
  <r>
    <x v="460"/>
    <x v="6"/>
    <m/>
    <x v="5"/>
    <x v="2"/>
    <x v="153"/>
    <m/>
    <m/>
    <m/>
    <n v="4"/>
    <n v="201208"/>
    <n v="112000"/>
  </r>
  <r>
    <x v="460"/>
    <x v="6"/>
    <m/>
    <x v="33"/>
    <x v="2"/>
    <x v="155"/>
    <m/>
    <m/>
    <m/>
    <n v="5"/>
    <n v="201208"/>
    <n v="91000"/>
  </r>
  <r>
    <x v="460"/>
    <x v="6"/>
    <m/>
    <x v="33"/>
    <x v="2"/>
    <x v="156"/>
    <m/>
    <m/>
    <m/>
    <n v="3"/>
    <n v="201208"/>
    <n v="101400"/>
  </r>
  <r>
    <x v="460"/>
    <x v="6"/>
    <m/>
    <x v="19"/>
    <x v="2"/>
    <x v="157"/>
    <m/>
    <m/>
    <m/>
    <n v="24"/>
    <n v="201208"/>
    <n v="312000"/>
  </r>
  <r>
    <x v="460"/>
    <x v="6"/>
    <m/>
    <x v="19"/>
    <x v="2"/>
    <x v="158"/>
    <m/>
    <m/>
    <m/>
    <n v="4"/>
    <n v="201208"/>
    <n v="96000"/>
  </r>
  <r>
    <x v="460"/>
    <x v="6"/>
    <m/>
    <x v="19"/>
    <x v="2"/>
    <x v="159"/>
    <m/>
    <m/>
    <m/>
    <n v="3"/>
    <n v="201208"/>
    <n v="99000"/>
  </r>
  <r>
    <x v="460"/>
    <x v="6"/>
    <m/>
    <x v="35"/>
    <x v="2"/>
    <x v="160"/>
    <m/>
    <m/>
    <m/>
    <n v="1"/>
    <n v="201208"/>
    <n v="20000"/>
  </r>
  <r>
    <x v="460"/>
    <x v="6"/>
    <m/>
    <x v="18"/>
    <x v="2"/>
    <x v="161"/>
    <m/>
    <m/>
    <m/>
    <n v="30"/>
    <n v="201208"/>
    <n v="90000"/>
  </r>
  <r>
    <x v="461"/>
    <x v="3"/>
    <m/>
    <x v="0"/>
    <x v="1"/>
    <x v="123"/>
    <m/>
    <m/>
    <m/>
    <n v="6"/>
    <n v="201208"/>
    <n v="210000"/>
  </r>
  <r>
    <x v="461"/>
    <x v="3"/>
    <m/>
    <x v="0"/>
    <x v="1"/>
    <x v="124"/>
    <m/>
    <m/>
    <m/>
    <n v="2"/>
    <n v="201208"/>
    <n v="40000"/>
  </r>
  <r>
    <x v="461"/>
    <x v="3"/>
    <m/>
    <x v="0"/>
    <x v="7"/>
    <x v="163"/>
    <m/>
    <m/>
    <m/>
    <n v="1"/>
    <n v="201208"/>
    <n v="20000"/>
  </r>
  <r>
    <x v="461"/>
    <x v="3"/>
    <m/>
    <x v="6"/>
    <x v="2"/>
    <x v="126"/>
    <m/>
    <m/>
    <m/>
    <n v="3"/>
    <n v="201208"/>
    <n v="60000"/>
  </r>
  <r>
    <x v="461"/>
    <x v="3"/>
    <m/>
    <x v="6"/>
    <x v="2"/>
    <x v="127"/>
    <m/>
    <m/>
    <m/>
    <n v="2"/>
    <n v="201208"/>
    <n v="70000"/>
  </r>
  <r>
    <x v="461"/>
    <x v="3"/>
    <m/>
    <x v="34"/>
    <x v="2"/>
    <x v="128"/>
    <m/>
    <m/>
    <m/>
    <n v="45"/>
    <n v="201208"/>
    <n v="1669500"/>
  </r>
  <r>
    <x v="461"/>
    <x v="3"/>
    <m/>
    <x v="25"/>
    <x v="2"/>
    <x v="129"/>
    <m/>
    <m/>
    <m/>
    <n v="4"/>
    <n v="201208"/>
    <n v="396000"/>
  </r>
  <r>
    <x v="461"/>
    <x v="3"/>
    <m/>
    <x v="0"/>
    <x v="2"/>
    <x v="130"/>
    <m/>
    <m/>
    <m/>
    <n v="51"/>
    <n v="201208"/>
    <n v="1683000"/>
  </r>
  <r>
    <x v="461"/>
    <x v="3"/>
    <m/>
    <x v="0"/>
    <x v="2"/>
    <x v="131"/>
    <m/>
    <m/>
    <m/>
    <n v="7"/>
    <n v="201208"/>
    <n v="231000"/>
  </r>
  <r>
    <x v="461"/>
    <x v="3"/>
    <m/>
    <x v="0"/>
    <x v="2"/>
    <x v="168"/>
    <m/>
    <m/>
    <m/>
    <n v="1"/>
    <n v="201208"/>
    <n v="20000"/>
  </r>
  <r>
    <x v="461"/>
    <x v="3"/>
    <m/>
    <x v="30"/>
    <x v="2"/>
    <x v="132"/>
    <m/>
    <m/>
    <m/>
    <n v="13"/>
    <n v="201208"/>
    <n v="291200"/>
  </r>
  <r>
    <x v="461"/>
    <x v="3"/>
    <m/>
    <x v="30"/>
    <x v="2"/>
    <x v="133"/>
    <m/>
    <m/>
    <m/>
    <n v="4"/>
    <n v="201208"/>
    <n v="156800"/>
  </r>
  <r>
    <x v="461"/>
    <x v="3"/>
    <m/>
    <x v="34"/>
    <x v="2"/>
    <x v="134"/>
    <m/>
    <m/>
    <m/>
    <n v="1"/>
    <n v="201208"/>
    <n v="37100"/>
  </r>
  <r>
    <x v="461"/>
    <x v="3"/>
    <m/>
    <x v="1"/>
    <x v="2"/>
    <x v="135"/>
    <m/>
    <m/>
    <m/>
    <n v="3"/>
    <n v="201208"/>
    <n v="60000"/>
  </r>
  <r>
    <x v="461"/>
    <x v="3"/>
    <m/>
    <x v="1"/>
    <x v="2"/>
    <x v="165"/>
    <m/>
    <m/>
    <m/>
    <n v="1"/>
    <n v="201208"/>
    <n v="35000"/>
  </r>
  <r>
    <x v="461"/>
    <x v="3"/>
    <m/>
    <x v="36"/>
    <x v="2"/>
    <x v="136"/>
    <m/>
    <m/>
    <m/>
    <n v="7"/>
    <n v="201208"/>
    <n v="196000"/>
  </r>
  <r>
    <x v="461"/>
    <x v="3"/>
    <m/>
    <x v="36"/>
    <x v="2"/>
    <x v="176"/>
    <m/>
    <m/>
    <m/>
    <n v="1"/>
    <n v="201208"/>
    <n v="49000"/>
  </r>
  <r>
    <x v="461"/>
    <x v="3"/>
    <m/>
    <x v="0"/>
    <x v="2"/>
    <x v="138"/>
    <m/>
    <m/>
    <m/>
    <n v="12"/>
    <n v="201208"/>
    <n v="240000"/>
  </r>
  <r>
    <x v="461"/>
    <x v="3"/>
    <m/>
    <x v="0"/>
    <x v="2"/>
    <x v="139"/>
    <m/>
    <m/>
    <m/>
    <n v="18"/>
    <n v="201208"/>
    <n v="630000"/>
  </r>
  <r>
    <x v="461"/>
    <x v="3"/>
    <m/>
    <x v="32"/>
    <x v="2"/>
    <x v="140"/>
    <m/>
    <m/>
    <m/>
    <n v="10"/>
    <n v="201208"/>
    <n v="371000"/>
  </r>
  <r>
    <x v="461"/>
    <x v="3"/>
    <m/>
    <x v="18"/>
    <x v="2"/>
    <x v="125"/>
    <m/>
    <m/>
    <m/>
    <n v="14"/>
    <n v="201208"/>
    <n v="42000"/>
  </r>
  <r>
    <x v="461"/>
    <x v="3"/>
    <m/>
    <x v="0"/>
    <x v="2"/>
    <x v="194"/>
    <m/>
    <m/>
    <m/>
    <n v="28"/>
    <n v="201208"/>
    <n v="560000"/>
  </r>
  <r>
    <x v="461"/>
    <x v="3"/>
    <m/>
    <x v="0"/>
    <x v="2"/>
    <x v="195"/>
    <m/>
    <m/>
    <m/>
    <n v="20"/>
    <n v="201208"/>
    <n v="700000"/>
  </r>
  <r>
    <x v="461"/>
    <x v="3"/>
    <m/>
    <x v="32"/>
    <x v="2"/>
    <x v="196"/>
    <m/>
    <m/>
    <m/>
    <n v="10"/>
    <n v="201208"/>
    <n v="371000"/>
  </r>
  <r>
    <x v="461"/>
    <x v="3"/>
    <m/>
    <x v="0"/>
    <x v="2"/>
    <x v="197"/>
    <m/>
    <m/>
    <m/>
    <n v="13"/>
    <n v="201208"/>
    <n v="39000"/>
  </r>
  <r>
    <x v="461"/>
    <x v="3"/>
    <m/>
    <x v="4"/>
    <x v="2"/>
    <x v="143"/>
    <m/>
    <m/>
    <m/>
    <n v="7"/>
    <n v="201208"/>
    <n v="140000"/>
  </r>
  <r>
    <x v="461"/>
    <x v="3"/>
    <m/>
    <x v="31"/>
    <x v="2"/>
    <x v="145"/>
    <m/>
    <m/>
    <m/>
    <n v="23"/>
    <n v="201208"/>
    <n v="515200"/>
  </r>
  <r>
    <x v="461"/>
    <x v="3"/>
    <m/>
    <x v="31"/>
    <x v="2"/>
    <x v="146"/>
    <m/>
    <m/>
    <m/>
    <n v="38"/>
    <n v="201208"/>
    <n v="1489600"/>
  </r>
  <r>
    <x v="461"/>
    <x v="3"/>
    <m/>
    <x v="32"/>
    <x v="2"/>
    <x v="147"/>
    <m/>
    <m/>
    <m/>
    <n v="17"/>
    <n v="201208"/>
    <n v="630700"/>
  </r>
  <r>
    <x v="461"/>
    <x v="3"/>
    <m/>
    <x v="31"/>
    <x v="2"/>
    <x v="198"/>
    <m/>
    <m/>
    <m/>
    <n v="34"/>
    <n v="201208"/>
    <n v="761600"/>
  </r>
  <r>
    <x v="461"/>
    <x v="3"/>
    <m/>
    <x v="31"/>
    <x v="2"/>
    <x v="199"/>
    <m/>
    <m/>
    <m/>
    <n v="50"/>
    <n v="201208"/>
    <n v="1960000"/>
  </r>
  <r>
    <x v="461"/>
    <x v="3"/>
    <m/>
    <x v="32"/>
    <x v="2"/>
    <x v="200"/>
    <m/>
    <m/>
    <m/>
    <n v="22"/>
    <n v="201208"/>
    <n v="816200"/>
  </r>
  <r>
    <x v="461"/>
    <x v="3"/>
    <m/>
    <x v="0"/>
    <x v="2"/>
    <x v="148"/>
    <m/>
    <m/>
    <m/>
    <n v="1"/>
    <n v="201208"/>
    <n v="20000"/>
  </r>
  <r>
    <x v="461"/>
    <x v="3"/>
    <m/>
    <x v="0"/>
    <x v="2"/>
    <x v="149"/>
    <m/>
    <m/>
    <m/>
    <n v="1"/>
    <n v="201208"/>
    <n v="20000"/>
  </r>
  <r>
    <x v="461"/>
    <x v="3"/>
    <m/>
    <x v="32"/>
    <x v="2"/>
    <x v="169"/>
    <m/>
    <m/>
    <m/>
    <n v="1"/>
    <n v="201208"/>
    <n v="37100"/>
  </r>
  <r>
    <x v="461"/>
    <x v="3"/>
    <m/>
    <x v="31"/>
    <x v="2"/>
    <x v="189"/>
    <m/>
    <m/>
    <m/>
    <n v="10"/>
    <n v="201208"/>
    <n v="224000"/>
  </r>
  <r>
    <x v="461"/>
    <x v="3"/>
    <m/>
    <x v="31"/>
    <x v="2"/>
    <x v="184"/>
    <m/>
    <m/>
    <m/>
    <n v="8"/>
    <n v="201208"/>
    <n v="313600"/>
  </r>
  <r>
    <x v="461"/>
    <x v="3"/>
    <m/>
    <x v="32"/>
    <x v="2"/>
    <x v="185"/>
    <m/>
    <m/>
    <m/>
    <n v="1"/>
    <n v="201208"/>
    <n v="37100"/>
  </r>
  <r>
    <x v="461"/>
    <x v="3"/>
    <m/>
    <x v="31"/>
    <x v="2"/>
    <x v="201"/>
    <m/>
    <m/>
    <m/>
    <n v="5"/>
    <n v="201208"/>
    <n v="112000"/>
  </r>
  <r>
    <x v="461"/>
    <x v="3"/>
    <m/>
    <x v="31"/>
    <x v="2"/>
    <x v="202"/>
    <m/>
    <m/>
    <m/>
    <n v="6"/>
    <n v="201208"/>
    <n v="235200"/>
  </r>
  <r>
    <x v="461"/>
    <x v="3"/>
    <m/>
    <x v="32"/>
    <x v="2"/>
    <x v="203"/>
    <m/>
    <m/>
    <m/>
    <n v="2"/>
    <n v="201208"/>
    <n v="74200"/>
  </r>
  <r>
    <x v="461"/>
    <x v="3"/>
    <m/>
    <x v="31"/>
    <x v="2"/>
    <x v="186"/>
    <m/>
    <m/>
    <m/>
    <n v="55"/>
    <n v="201208"/>
    <n v="1232000"/>
  </r>
  <r>
    <x v="461"/>
    <x v="3"/>
    <m/>
    <x v="31"/>
    <x v="2"/>
    <x v="187"/>
    <m/>
    <m/>
    <m/>
    <n v="54"/>
    <n v="201208"/>
    <n v="2116800"/>
  </r>
  <r>
    <x v="461"/>
    <x v="3"/>
    <m/>
    <x v="32"/>
    <x v="2"/>
    <x v="188"/>
    <m/>
    <m/>
    <m/>
    <n v="26"/>
    <n v="201208"/>
    <n v="964600"/>
  </r>
  <r>
    <x v="461"/>
    <x v="3"/>
    <m/>
    <x v="31"/>
    <x v="2"/>
    <x v="204"/>
    <m/>
    <m/>
    <m/>
    <n v="37"/>
    <n v="201208"/>
    <n v="828800"/>
  </r>
  <r>
    <x v="461"/>
    <x v="3"/>
    <m/>
    <x v="31"/>
    <x v="2"/>
    <x v="205"/>
    <m/>
    <m/>
    <m/>
    <n v="33"/>
    <n v="201208"/>
    <n v="1293600"/>
  </r>
  <r>
    <x v="461"/>
    <x v="3"/>
    <m/>
    <x v="32"/>
    <x v="2"/>
    <x v="206"/>
    <m/>
    <m/>
    <m/>
    <n v="24"/>
    <n v="201208"/>
    <n v="890400"/>
  </r>
  <r>
    <x v="461"/>
    <x v="3"/>
    <m/>
    <x v="22"/>
    <x v="2"/>
    <x v="150"/>
    <m/>
    <m/>
    <m/>
    <n v="9"/>
    <n v="201208"/>
    <n v="342000"/>
  </r>
  <r>
    <x v="461"/>
    <x v="3"/>
    <m/>
    <x v="22"/>
    <x v="2"/>
    <x v="150"/>
    <m/>
    <m/>
    <m/>
    <n v="2"/>
    <n v="201208"/>
    <n v="76000"/>
  </r>
  <r>
    <x v="461"/>
    <x v="3"/>
    <m/>
    <x v="5"/>
    <x v="2"/>
    <x v="151"/>
    <m/>
    <m/>
    <m/>
    <n v="34"/>
    <n v="201208"/>
    <n v="952000"/>
  </r>
  <r>
    <x v="461"/>
    <x v="3"/>
    <m/>
    <x v="5"/>
    <x v="2"/>
    <x v="152"/>
    <m/>
    <m/>
    <m/>
    <n v="12"/>
    <n v="201208"/>
    <n v="576000"/>
  </r>
  <r>
    <x v="461"/>
    <x v="3"/>
    <m/>
    <x v="5"/>
    <x v="2"/>
    <x v="153"/>
    <m/>
    <m/>
    <m/>
    <n v="8"/>
    <n v="201208"/>
    <n v="224000"/>
  </r>
  <r>
    <x v="461"/>
    <x v="3"/>
    <m/>
    <x v="33"/>
    <x v="2"/>
    <x v="155"/>
    <m/>
    <m/>
    <m/>
    <n v="5"/>
    <n v="201208"/>
    <n v="91000"/>
  </r>
  <r>
    <x v="461"/>
    <x v="3"/>
    <m/>
    <x v="33"/>
    <x v="2"/>
    <x v="156"/>
    <m/>
    <m/>
    <m/>
    <n v="2"/>
    <n v="201208"/>
    <n v="67600"/>
  </r>
  <r>
    <x v="461"/>
    <x v="3"/>
    <m/>
    <x v="19"/>
    <x v="2"/>
    <x v="157"/>
    <m/>
    <m/>
    <m/>
    <n v="29"/>
    <n v="201208"/>
    <n v="377000"/>
  </r>
  <r>
    <x v="461"/>
    <x v="3"/>
    <m/>
    <x v="19"/>
    <x v="2"/>
    <x v="158"/>
    <m/>
    <m/>
    <m/>
    <n v="4"/>
    <n v="201208"/>
    <n v="96000"/>
  </r>
  <r>
    <x v="461"/>
    <x v="3"/>
    <m/>
    <x v="19"/>
    <x v="2"/>
    <x v="159"/>
    <m/>
    <m/>
    <m/>
    <n v="1"/>
    <n v="201208"/>
    <n v="33000"/>
  </r>
  <r>
    <x v="461"/>
    <x v="3"/>
    <m/>
    <x v="19"/>
    <x v="2"/>
    <x v="181"/>
    <m/>
    <m/>
    <m/>
    <n v="2"/>
    <n v="201208"/>
    <n v="26000"/>
  </r>
  <r>
    <x v="461"/>
    <x v="3"/>
    <m/>
    <x v="35"/>
    <x v="2"/>
    <x v="170"/>
    <m/>
    <m/>
    <m/>
    <n v="3"/>
    <n v="201208"/>
    <n v="12000"/>
  </r>
  <r>
    <x v="461"/>
    <x v="3"/>
    <m/>
    <x v="35"/>
    <x v="2"/>
    <x v="160"/>
    <m/>
    <m/>
    <m/>
    <n v="3"/>
    <n v="201208"/>
    <n v="60000"/>
  </r>
  <r>
    <x v="461"/>
    <x v="3"/>
    <m/>
    <x v="4"/>
    <x v="2"/>
    <x v="207"/>
    <m/>
    <m/>
    <m/>
    <n v="1"/>
    <n v="201208"/>
    <n v="4000"/>
  </r>
  <r>
    <x v="461"/>
    <x v="3"/>
    <m/>
    <x v="4"/>
    <x v="2"/>
    <x v="208"/>
    <m/>
    <m/>
    <m/>
    <n v="1"/>
    <n v="201208"/>
    <n v="20000"/>
  </r>
  <r>
    <x v="461"/>
    <x v="3"/>
    <m/>
    <x v="18"/>
    <x v="2"/>
    <x v="161"/>
    <m/>
    <m/>
    <m/>
    <n v="40"/>
    <n v="201208"/>
    <n v="120000"/>
  </r>
  <r>
    <x v="461"/>
    <x v="3"/>
    <m/>
    <x v="18"/>
    <x v="2"/>
    <x v="161"/>
    <m/>
    <m/>
    <m/>
    <n v="2"/>
    <n v="201208"/>
    <n v="6000"/>
  </r>
  <r>
    <x v="462"/>
    <x v="4"/>
    <m/>
    <x v="0"/>
    <x v="1"/>
    <x v="123"/>
    <m/>
    <m/>
    <m/>
    <n v="3"/>
    <n v="201208"/>
    <n v="105000"/>
  </r>
  <r>
    <x v="462"/>
    <x v="4"/>
    <m/>
    <x v="0"/>
    <x v="1"/>
    <x v="124"/>
    <m/>
    <m/>
    <m/>
    <n v="3"/>
    <n v="201208"/>
    <n v="60000"/>
  </r>
  <r>
    <x v="462"/>
    <x v="4"/>
    <m/>
    <x v="0"/>
    <x v="5"/>
    <x v="164"/>
    <m/>
    <m/>
    <m/>
    <n v="60"/>
    <n v="201208"/>
    <n v="613620"/>
  </r>
  <r>
    <x v="462"/>
    <x v="4"/>
    <m/>
    <x v="0"/>
    <x v="7"/>
    <x v="163"/>
    <m/>
    <m/>
    <m/>
    <n v="2"/>
    <n v="201208"/>
    <n v="40000"/>
  </r>
  <r>
    <x v="462"/>
    <x v="4"/>
    <m/>
    <x v="0"/>
    <x v="3"/>
    <x v="164"/>
    <m/>
    <m/>
    <m/>
    <n v="3"/>
    <n v="201208"/>
    <n v="0"/>
  </r>
  <r>
    <x v="462"/>
    <x v="4"/>
    <m/>
    <x v="6"/>
    <x v="2"/>
    <x v="126"/>
    <m/>
    <m/>
    <m/>
    <n v="2"/>
    <n v="201208"/>
    <n v="40000"/>
  </r>
  <r>
    <x v="462"/>
    <x v="4"/>
    <m/>
    <x v="6"/>
    <x v="2"/>
    <x v="127"/>
    <m/>
    <m/>
    <m/>
    <n v="2"/>
    <n v="201208"/>
    <n v="70000"/>
  </r>
  <r>
    <x v="462"/>
    <x v="4"/>
    <m/>
    <x v="34"/>
    <x v="2"/>
    <x v="128"/>
    <m/>
    <m/>
    <m/>
    <n v="37"/>
    <n v="201208"/>
    <n v="1372700"/>
  </r>
  <r>
    <x v="462"/>
    <x v="4"/>
    <m/>
    <x v="25"/>
    <x v="2"/>
    <x v="129"/>
    <m/>
    <m/>
    <m/>
    <n v="4"/>
    <n v="201208"/>
    <n v="396000"/>
  </r>
  <r>
    <x v="462"/>
    <x v="4"/>
    <m/>
    <x v="0"/>
    <x v="2"/>
    <x v="130"/>
    <m/>
    <m/>
    <m/>
    <n v="24"/>
    <n v="201208"/>
    <n v="792000"/>
  </r>
  <r>
    <x v="462"/>
    <x v="4"/>
    <m/>
    <x v="0"/>
    <x v="2"/>
    <x v="131"/>
    <m/>
    <m/>
    <m/>
    <n v="4"/>
    <n v="201208"/>
    <n v="132000"/>
  </r>
  <r>
    <x v="462"/>
    <x v="4"/>
    <m/>
    <x v="30"/>
    <x v="2"/>
    <x v="132"/>
    <m/>
    <m/>
    <m/>
    <n v="9"/>
    <n v="201208"/>
    <n v="201600"/>
  </r>
  <r>
    <x v="462"/>
    <x v="4"/>
    <m/>
    <x v="30"/>
    <x v="2"/>
    <x v="133"/>
    <m/>
    <m/>
    <m/>
    <n v="4"/>
    <n v="201208"/>
    <n v="156800"/>
  </r>
  <r>
    <x v="462"/>
    <x v="4"/>
    <m/>
    <x v="34"/>
    <x v="2"/>
    <x v="134"/>
    <m/>
    <m/>
    <m/>
    <n v="2"/>
    <n v="201208"/>
    <n v="74200"/>
  </r>
  <r>
    <x v="462"/>
    <x v="4"/>
    <m/>
    <x v="1"/>
    <x v="2"/>
    <x v="135"/>
    <m/>
    <m/>
    <m/>
    <n v="4"/>
    <n v="201208"/>
    <n v="80000"/>
  </r>
  <r>
    <x v="462"/>
    <x v="4"/>
    <m/>
    <x v="1"/>
    <x v="2"/>
    <x v="165"/>
    <m/>
    <m/>
    <m/>
    <n v="2"/>
    <n v="201208"/>
    <n v="70000"/>
  </r>
  <r>
    <x v="462"/>
    <x v="4"/>
    <m/>
    <x v="36"/>
    <x v="2"/>
    <x v="136"/>
    <m/>
    <m/>
    <m/>
    <n v="5"/>
    <n v="201208"/>
    <n v="140000"/>
  </r>
  <r>
    <x v="462"/>
    <x v="4"/>
    <m/>
    <x v="36"/>
    <x v="2"/>
    <x v="137"/>
    <m/>
    <m/>
    <m/>
    <n v="3"/>
    <n v="201208"/>
    <n v="126000"/>
  </r>
  <r>
    <x v="462"/>
    <x v="4"/>
    <m/>
    <x v="0"/>
    <x v="2"/>
    <x v="138"/>
    <m/>
    <m/>
    <m/>
    <n v="1"/>
    <n v="201208"/>
    <n v="20000"/>
  </r>
  <r>
    <x v="462"/>
    <x v="4"/>
    <m/>
    <x v="0"/>
    <x v="2"/>
    <x v="139"/>
    <m/>
    <m/>
    <m/>
    <n v="1"/>
    <n v="201208"/>
    <n v="35000"/>
  </r>
  <r>
    <x v="462"/>
    <x v="4"/>
    <m/>
    <x v="32"/>
    <x v="2"/>
    <x v="140"/>
    <m/>
    <m/>
    <m/>
    <n v="1"/>
    <n v="201208"/>
    <n v="37100"/>
  </r>
  <r>
    <x v="462"/>
    <x v="4"/>
    <m/>
    <x v="18"/>
    <x v="2"/>
    <x v="125"/>
    <m/>
    <m/>
    <m/>
    <n v="1"/>
    <n v="201208"/>
    <n v="3000"/>
  </r>
  <r>
    <x v="462"/>
    <x v="4"/>
    <m/>
    <x v="0"/>
    <x v="2"/>
    <x v="138"/>
    <m/>
    <m/>
    <m/>
    <n v="1"/>
    <n v="201208"/>
    <n v="20000"/>
  </r>
  <r>
    <x v="462"/>
    <x v="4"/>
    <m/>
    <x v="0"/>
    <x v="2"/>
    <x v="139"/>
    <m/>
    <m/>
    <m/>
    <n v="1"/>
    <n v="201208"/>
    <n v="35000"/>
  </r>
  <r>
    <x v="462"/>
    <x v="4"/>
    <m/>
    <x v="0"/>
    <x v="2"/>
    <x v="194"/>
    <m/>
    <m/>
    <m/>
    <n v="63"/>
    <n v="201208"/>
    <n v="1260000"/>
  </r>
  <r>
    <x v="462"/>
    <x v="4"/>
    <m/>
    <x v="0"/>
    <x v="2"/>
    <x v="195"/>
    <m/>
    <m/>
    <m/>
    <n v="46"/>
    <n v="201208"/>
    <n v="1610000"/>
  </r>
  <r>
    <x v="462"/>
    <x v="4"/>
    <m/>
    <x v="32"/>
    <x v="2"/>
    <x v="196"/>
    <m/>
    <m/>
    <m/>
    <n v="32"/>
    <n v="201208"/>
    <n v="1187200"/>
  </r>
  <r>
    <x v="462"/>
    <x v="4"/>
    <m/>
    <x v="0"/>
    <x v="2"/>
    <x v="197"/>
    <m/>
    <m/>
    <m/>
    <n v="49"/>
    <n v="201208"/>
    <n v="147000"/>
  </r>
  <r>
    <x v="462"/>
    <x v="4"/>
    <m/>
    <x v="4"/>
    <x v="2"/>
    <x v="143"/>
    <m/>
    <m/>
    <m/>
    <n v="4"/>
    <n v="201208"/>
    <n v="80000"/>
  </r>
  <r>
    <x v="462"/>
    <x v="4"/>
    <m/>
    <x v="4"/>
    <x v="2"/>
    <x v="144"/>
    <m/>
    <m/>
    <m/>
    <n v="6"/>
    <n v="201208"/>
    <n v="24000"/>
  </r>
  <r>
    <x v="462"/>
    <x v="4"/>
    <m/>
    <x v="31"/>
    <x v="2"/>
    <x v="146"/>
    <m/>
    <m/>
    <m/>
    <n v="1"/>
    <n v="201208"/>
    <n v="39200"/>
  </r>
  <r>
    <x v="462"/>
    <x v="4"/>
    <m/>
    <x v="31"/>
    <x v="2"/>
    <x v="198"/>
    <m/>
    <m/>
    <m/>
    <n v="35"/>
    <n v="201208"/>
    <n v="784000"/>
  </r>
  <r>
    <x v="462"/>
    <x v="4"/>
    <m/>
    <x v="31"/>
    <x v="2"/>
    <x v="199"/>
    <m/>
    <m/>
    <m/>
    <n v="55"/>
    <n v="201208"/>
    <n v="2156000"/>
  </r>
  <r>
    <x v="462"/>
    <x v="4"/>
    <m/>
    <x v="32"/>
    <x v="2"/>
    <x v="200"/>
    <m/>
    <m/>
    <m/>
    <n v="28"/>
    <n v="201208"/>
    <n v="1038800"/>
  </r>
  <r>
    <x v="462"/>
    <x v="4"/>
    <m/>
    <x v="0"/>
    <x v="2"/>
    <x v="148"/>
    <m/>
    <m/>
    <m/>
    <n v="1"/>
    <n v="201208"/>
    <n v="20000"/>
  </r>
  <r>
    <x v="462"/>
    <x v="4"/>
    <m/>
    <x v="0"/>
    <x v="2"/>
    <x v="149"/>
    <m/>
    <m/>
    <m/>
    <n v="1"/>
    <n v="201208"/>
    <n v="20000"/>
  </r>
  <r>
    <x v="462"/>
    <x v="4"/>
    <m/>
    <x v="0"/>
    <x v="2"/>
    <x v="174"/>
    <m/>
    <m/>
    <m/>
    <n v="2"/>
    <n v="201208"/>
    <n v="70000"/>
  </r>
  <r>
    <x v="462"/>
    <x v="4"/>
    <m/>
    <x v="31"/>
    <x v="2"/>
    <x v="201"/>
    <m/>
    <m/>
    <m/>
    <n v="13"/>
    <n v="201208"/>
    <n v="291200"/>
  </r>
  <r>
    <x v="462"/>
    <x v="4"/>
    <m/>
    <x v="31"/>
    <x v="2"/>
    <x v="202"/>
    <m/>
    <m/>
    <m/>
    <n v="1"/>
    <n v="201208"/>
    <n v="39200"/>
  </r>
  <r>
    <x v="462"/>
    <x v="4"/>
    <m/>
    <x v="32"/>
    <x v="2"/>
    <x v="203"/>
    <m/>
    <m/>
    <m/>
    <n v="5"/>
    <n v="201208"/>
    <n v="185500"/>
  </r>
  <r>
    <x v="462"/>
    <x v="4"/>
    <m/>
    <x v="31"/>
    <x v="2"/>
    <x v="186"/>
    <m/>
    <m/>
    <m/>
    <n v="2"/>
    <n v="201208"/>
    <n v="44800"/>
  </r>
  <r>
    <x v="462"/>
    <x v="4"/>
    <m/>
    <x v="31"/>
    <x v="2"/>
    <x v="187"/>
    <m/>
    <m/>
    <m/>
    <n v="1"/>
    <n v="201208"/>
    <n v="39200"/>
  </r>
  <r>
    <x v="462"/>
    <x v="4"/>
    <m/>
    <x v="32"/>
    <x v="2"/>
    <x v="188"/>
    <m/>
    <m/>
    <m/>
    <n v="1"/>
    <n v="201208"/>
    <n v="37100"/>
  </r>
  <r>
    <x v="462"/>
    <x v="4"/>
    <m/>
    <x v="31"/>
    <x v="2"/>
    <x v="204"/>
    <m/>
    <m/>
    <m/>
    <n v="33"/>
    <n v="201208"/>
    <n v="739200"/>
  </r>
  <r>
    <x v="462"/>
    <x v="4"/>
    <m/>
    <x v="31"/>
    <x v="2"/>
    <x v="205"/>
    <m/>
    <m/>
    <m/>
    <n v="21"/>
    <n v="201208"/>
    <n v="823200"/>
  </r>
  <r>
    <x v="462"/>
    <x v="4"/>
    <m/>
    <x v="32"/>
    <x v="2"/>
    <x v="206"/>
    <m/>
    <m/>
    <m/>
    <n v="27"/>
    <n v="201208"/>
    <n v="1001700"/>
  </r>
  <r>
    <x v="462"/>
    <x v="4"/>
    <m/>
    <x v="22"/>
    <x v="2"/>
    <x v="150"/>
    <m/>
    <m/>
    <m/>
    <n v="10"/>
    <n v="201208"/>
    <n v="380000"/>
  </r>
  <r>
    <x v="462"/>
    <x v="4"/>
    <m/>
    <x v="22"/>
    <x v="2"/>
    <x v="150"/>
    <m/>
    <m/>
    <m/>
    <n v="2"/>
    <n v="201208"/>
    <n v="76000"/>
  </r>
  <r>
    <x v="462"/>
    <x v="4"/>
    <m/>
    <x v="5"/>
    <x v="2"/>
    <x v="151"/>
    <m/>
    <m/>
    <m/>
    <n v="14"/>
    <n v="201208"/>
    <n v="392000"/>
  </r>
  <r>
    <x v="462"/>
    <x v="4"/>
    <m/>
    <x v="5"/>
    <x v="2"/>
    <x v="152"/>
    <m/>
    <m/>
    <m/>
    <n v="8"/>
    <n v="201208"/>
    <n v="384000"/>
  </r>
  <r>
    <x v="462"/>
    <x v="4"/>
    <m/>
    <x v="5"/>
    <x v="2"/>
    <x v="153"/>
    <m/>
    <m/>
    <m/>
    <n v="3"/>
    <n v="201208"/>
    <n v="84000"/>
  </r>
  <r>
    <x v="462"/>
    <x v="4"/>
    <m/>
    <x v="5"/>
    <x v="2"/>
    <x v="209"/>
    <m/>
    <m/>
    <m/>
    <n v="1"/>
    <n v="201208"/>
    <n v="48000"/>
  </r>
  <r>
    <x v="462"/>
    <x v="4"/>
    <m/>
    <x v="33"/>
    <x v="2"/>
    <x v="155"/>
    <m/>
    <m/>
    <m/>
    <n v="3"/>
    <n v="201208"/>
    <n v="54600"/>
  </r>
  <r>
    <x v="462"/>
    <x v="4"/>
    <m/>
    <x v="33"/>
    <x v="2"/>
    <x v="156"/>
    <m/>
    <m/>
    <m/>
    <n v="3"/>
    <n v="201208"/>
    <n v="101400"/>
  </r>
  <r>
    <x v="462"/>
    <x v="4"/>
    <m/>
    <x v="19"/>
    <x v="2"/>
    <x v="157"/>
    <m/>
    <m/>
    <m/>
    <n v="17"/>
    <n v="201208"/>
    <n v="221000"/>
  </r>
  <r>
    <x v="462"/>
    <x v="4"/>
    <m/>
    <x v="19"/>
    <x v="2"/>
    <x v="158"/>
    <m/>
    <m/>
    <m/>
    <n v="4"/>
    <n v="201208"/>
    <n v="96000"/>
  </r>
  <r>
    <x v="462"/>
    <x v="4"/>
    <m/>
    <x v="19"/>
    <x v="2"/>
    <x v="159"/>
    <m/>
    <m/>
    <m/>
    <n v="5"/>
    <n v="201208"/>
    <n v="165000"/>
  </r>
  <r>
    <x v="462"/>
    <x v="4"/>
    <m/>
    <x v="35"/>
    <x v="2"/>
    <x v="170"/>
    <m/>
    <m/>
    <m/>
    <n v="1"/>
    <n v="201208"/>
    <n v="4000"/>
  </r>
  <r>
    <x v="462"/>
    <x v="4"/>
    <m/>
    <x v="35"/>
    <x v="2"/>
    <x v="160"/>
    <m/>
    <m/>
    <m/>
    <n v="6"/>
    <n v="201208"/>
    <n v="120000"/>
  </r>
  <r>
    <x v="462"/>
    <x v="4"/>
    <m/>
    <x v="4"/>
    <x v="2"/>
    <x v="208"/>
    <m/>
    <m/>
    <m/>
    <n v="1"/>
    <n v="201208"/>
    <n v="20000"/>
  </r>
  <r>
    <x v="462"/>
    <x v="4"/>
    <m/>
    <x v="18"/>
    <x v="2"/>
    <x v="161"/>
    <m/>
    <m/>
    <m/>
    <n v="30"/>
    <n v="201208"/>
    <n v="90000"/>
  </r>
  <r>
    <x v="462"/>
    <x v="4"/>
    <m/>
    <x v="31"/>
    <x v="9"/>
    <x v="210"/>
    <m/>
    <m/>
    <m/>
    <n v="1"/>
    <n v="201208"/>
    <n v="22400"/>
  </r>
  <r>
    <x v="463"/>
    <x v="1"/>
    <m/>
    <x v="0"/>
    <x v="1"/>
    <x v="123"/>
    <m/>
    <m/>
    <m/>
    <n v="6"/>
    <n v="201208"/>
    <n v="210000"/>
  </r>
  <r>
    <x v="463"/>
    <x v="1"/>
    <m/>
    <x v="0"/>
    <x v="1"/>
    <x v="124"/>
    <m/>
    <m/>
    <m/>
    <n v="2"/>
    <n v="201208"/>
    <n v="40000"/>
  </r>
  <r>
    <x v="463"/>
    <x v="1"/>
    <m/>
    <x v="0"/>
    <x v="7"/>
    <x v="163"/>
    <m/>
    <m/>
    <m/>
    <n v="3"/>
    <n v="201208"/>
    <n v="60000"/>
  </r>
  <r>
    <x v="463"/>
    <x v="1"/>
    <m/>
    <x v="6"/>
    <x v="2"/>
    <x v="126"/>
    <m/>
    <m/>
    <m/>
    <n v="3"/>
    <n v="201208"/>
    <n v="60000"/>
  </r>
  <r>
    <x v="463"/>
    <x v="1"/>
    <m/>
    <x v="34"/>
    <x v="2"/>
    <x v="128"/>
    <m/>
    <m/>
    <m/>
    <n v="44"/>
    <n v="201208"/>
    <n v="1632400"/>
  </r>
  <r>
    <x v="463"/>
    <x v="1"/>
    <m/>
    <x v="25"/>
    <x v="2"/>
    <x v="129"/>
    <m/>
    <m/>
    <m/>
    <n v="2"/>
    <n v="201208"/>
    <n v="198000"/>
  </r>
  <r>
    <x v="463"/>
    <x v="1"/>
    <m/>
    <x v="0"/>
    <x v="2"/>
    <x v="130"/>
    <m/>
    <m/>
    <m/>
    <n v="27"/>
    <n v="201208"/>
    <n v="891000"/>
  </r>
  <r>
    <x v="463"/>
    <x v="1"/>
    <m/>
    <x v="0"/>
    <x v="2"/>
    <x v="131"/>
    <m/>
    <m/>
    <m/>
    <n v="4"/>
    <n v="201208"/>
    <n v="132000"/>
  </r>
  <r>
    <x v="463"/>
    <x v="1"/>
    <m/>
    <x v="30"/>
    <x v="2"/>
    <x v="132"/>
    <m/>
    <m/>
    <m/>
    <n v="12"/>
    <n v="201208"/>
    <n v="268800"/>
  </r>
  <r>
    <x v="463"/>
    <x v="1"/>
    <m/>
    <x v="34"/>
    <x v="2"/>
    <x v="134"/>
    <m/>
    <m/>
    <m/>
    <n v="5"/>
    <n v="201208"/>
    <n v="185500"/>
  </r>
  <r>
    <x v="463"/>
    <x v="1"/>
    <m/>
    <x v="1"/>
    <x v="2"/>
    <x v="135"/>
    <m/>
    <m/>
    <m/>
    <n v="2"/>
    <n v="201208"/>
    <n v="40000"/>
  </r>
  <r>
    <x v="463"/>
    <x v="1"/>
    <m/>
    <x v="36"/>
    <x v="2"/>
    <x v="136"/>
    <m/>
    <m/>
    <m/>
    <n v="6"/>
    <n v="201208"/>
    <n v="168000"/>
  </r>
  <r>
    <x v="463"/>
    <x v="1"/>
    <m/>
    <x v="36"/>
    <x v="2"/>
    <x v="176"/>
    <m/>
    <m/>
    <m/>
    <n v="1"/>
    <n v="201208"/>
    <n v="49000"/>
  </r>
  <r>
    <x v="463"/>
    <x v="1"/>
    <m/>
    <x v="0"/>
    <x v="2"/>
    <x v="138"/>
    <m/>
    <m/>
    <m/>
    <n v="1"/>
    <n v="201208"/>
    <n v="20000"/>
  </r>
  <r>
    <x v="463"/>
    <x v="1"/>
    <m/>
    <x v="18"/>
    <x v="2"/>
    <x v="125"/>
    <m/>
    <m/>
    <m/>
    <n v="1"/>
    <n v="201208"/>
    <n v="3000"/>
  </r>
  <r>
    <x v="463"/>
    <x v="1"/>
    <m/>
    <x v="0"/>
    <x v="2"/>
    <x v="194"/>
    <m/>
    <m/>
    <m/>
    <n v="85"/>
    <n v="201208"/>
    <n v="1700000"/>
  </r>
  <r>
    <x v="463"/>
    <x v="1"/>
    <m/>
    <x v="0"/>
    <x v="2"/>
    <x v="195"/>
    <m/>
    <m/>
    <m/>
    <n v="57"/>
    <n v="201208"/>
    <n v="1995000"/>
  </r>
  <r>
    <x v="463"/>
    <x v="1"/>
    <m/>
    <x v="32"/>
    <x v="2"/>
    <x v="196"/>
    <m/>
    <m/>
    <m/>
    <n v="28"/>
    <n v="201208"/>
    <n v="1038800"/>
  </r>
  <r>
    <x v="463"/>
    <x v="1"/>
    <m/>
    <x v="0"/>
    <x v="2"/>
    <x v="197"/>
    <m/>
    <m/>
    <m/>
    <n v="66"/>
    <n v="201208"/>
    <n v="198000"/>
  </r>
  <r>
    <x v="463"/>
    <x v="1"/>
    <m/>
    <x v="4"/>
    <x v="2"/>
    <x v="143"/>
    <m/>
    <m/>
    <m/>
    <n v="7"/>
    <n v="201208"/>
    <n v="140000"/>
  </r>
  <r>
    <x v="463"/>
    <x v="1"/>
    <m/>
    <x v="4"/>
    <x v="2"/>
    <x v="144"/>
    <m/>
    <m/>
    <m/>
    <n v="3"/>
    <n v="201208"/>
    <n v="12000"/>
  </r>
  <r>
    <x v="463"/>
    <x v="1"/>
    <m/>
    <x v="31"/>
    <x v="2"/>
    <x v="145"/>
    <m/>
    <m/>
    <m/>
    <n v="1"/>
    <n v="201208"/>
    <n v="22400"/>
  </r>
  <r>
    <x v="463"/>
    <x v="1"/>
    <m/>
    <x v="31"/>
    <x v="2"/>
    <x v="198"/>
    <m/>
    <m/>
    <m/>
    <n v="37"/>
    <n v="201208"/>
    <n v="828800"/>
  </r>
  <r>
    <x v="463"/>
    <x v="1"/>
    <m/>
    <x v="31"/>
    <x v="2"/>
    <x v="199"/>
    <m/>
    <m/>
    <m/>
    <n v="70"/>
    <n v="201208"/>
    <n v="2744000"/>
  </r>
  <r>
    <x v="463"/>
    <x v="1"/>
    <m/>
    <x v="32"/>
    <x v="2"/>
    <x v="200"/>
    <m/>
    <m/>
    <m/>
    <n v="48"/>
    <n v="201208"/>
    <n v="1780800"/>
  </r>
  <r>
    <x v="463"/>
    <x v="1"/>
    <m/>
    <x v="0"/>
    <x v="2"/>
    <x v="148"/>
    <m/>
    <m/>
    <m/>
    <n v="1"/>
    <n v="201208"/>
    <n v="20000"/>
  </r>
  <r>
    <x v="463"/>
    <x v="1"/>
    <m/>
    <x v="0"/>
    <x v="2"/>
    <x v="149"/>
    <m/>
    <m/>
    <m/>
    <n v="1"/>
    <n v="201208"/>
    <n v="20000"/>
  </r>
  <r>
    <x v="463"/>
    <x v="1"/>
    <m/>
    <x v="31"/>
    <x v="2"/>
    <x v="201"/>
    <m/>
    <m/>
    <m/>
    <n v="11"/>
    <n v="201208"/>
    <n v="246400"/>
  </r>
  <r>
    <x v="463"/>
    <x v="1"/>
    <m/>
    <x v="31"/>
    <x v="2"/>
    <x v="202"/>
    <m/>
    <m/>
    <m/>
    <n v="9"/>
    <n v="201208"/>
    <n v="352800"/>
  </r>
  <r>
    <x v="463"/>
    <x v="1"/>
    <m/>
    <x v="32"/>
    <x v="2"/>
    <x v="203"/>
    <m/>
    <m/>
    <m/>
    <n v="4"/>
    <n v="201208"/>
    <n v="148400"/>
  </r>
  <r>
    <x v="463"/>
    <x v="1"/>
    <m/>
    <x v="31"/>
    <x v="2"/>
    <x v="186"/>
    <m/>
    <m/>
    <m/>
    <n v="1"/>
    <n v="201208"/>
    <n v="22400"/>
  </r>
  <r>
    <x v="463"/>
    <x v="1"/>
    <m/>
    <x v="31"/>
    <x v="2"/>
    <x v="187"/>
    <m/>
    <m/>
    <m/>
    <n v="1"/>
    <n v="201208"/>
    <n v="39200"/>
  </r>
  <r>
    <x v="463"/>
    <x v="1"/>
    <m/>
    <x v="31"/>
    <x v="2"/>
    <x v="204"/>
    <m/>
    <m/>
    <m/>
    <n v="17"/>
    <n v="201208"/>
    <n v="380800"/>
  </r>
  <r>
    <x v="463"/>
    <x v="1"/>
    <m/>
    <x v="31"/>
    <x v="2"/>
    <x v="205"/>
    <m/>
    <m/>
    <m/>
    <n v="22"/>
    <n v="201208"/>
    <n v="862400"/>
  </r>
  <r>
    <x v="463"/>
    <x v="1"/>
    <m/>
    <x v="32"/>
    <x v="2"/>
    <x v="206"/>
    <m/>
    <m/>
    <m/>
    <n v="9"/>
    <n v="201208"/>
    <n v="333900"/>
  </r>
  <r>
    <x v="463"/>
    <x v="1"/>
    <m/>
    <x v="22"/>
    <x v="2"/>
    <x v="150"/>
    <m/>
    <m/>
    <m/>
    <n v="13"/>
    <n v="201208"/>
    <n v="494000"/>
  </r>
  <r>
    <x v="463"/>
    <x v="1"/>
    <m/>
    <x v="22"/>
    <x v="2"/>
    <x v="150"/>
    <m/>
    <m/>
    <m/>
    <n v="5"/>
    <n v="201208"/>
    <n v="190000"/>
  </r>
  <r>
    <x v="463"/>
    <x v="1"/>
    <m/>
    <x v="5"/>
    <x v="2"/>
    <x v="151"/>
    <m/>
    <m/>
    <m/>
    <n v="12"/>
    <n v="201208"/>
    <n v="336000"/>
  </r>
  <r>
    <x v="463"/>
    <x v="1"/>
    <m/>
    <x v="5"/>
    <x v="2"/>
    <x v="152"/>
    <m/>
    <m/>
    <m/>
    <n v="4"/>
    <n v="201208"/>
    <n v="192000"/>
  </r>
  <r>
    <x v="463"/>
    <x v="1"/>
    <m/>
    <x v="5"/>
    <x v="2"/>
    <x v="153"/>
    <m/>
    <m/>
    <m/>
    <n v="4"/>
    <n v="201208"/>
    <n v="112000"/>
  </r>
  <r>
    <x v="463"/>
    <x v="1"/>
    <m/>
    <x v="33"/>
    <x v="2"/>
    <x v="155"/>
    <m/>
    <m/>
    <m/>
    <n v="4"/>
    <n v="201208"/>
    <n v="72800"/>
  </r>
  <r>
    <x v="463"/>
    <x v="1"/>
    <m/>
    <x v="19"/>
    <x v="2"/>
    <x v="157"/>
    <m/>
    <m/>
    <m/>
    <n v="12"/>
    <n v="201208"/>
    <n v="156000"/>
  </r>
  <r>
    <x v="463"/>
    <x v="1"/>
    <m/>
    <x v="19"/>
    <x v="2"/>
    <x v="158"/>
    <m/>
    <m/>
    <m/>
    <n v="2"/>
    <n v="201208"/>
    <n v="48000"/>
  </r>
  <r>
    <x v="463"/>
    <x v="1"/>
    <m/>
    <x v="19"/>
    <x v="2"/>
    <x v="159"/>
    <m/>
    <m/>
    <m/>
    <n v="4"/>
    <n v="201208"/>
    <n v="132000"/>
  </r>
  <r>
    <x v="463"/>
    <x v="1"/>
    <m/>
    <x v="4"/>
    <x v="2"/>
    <x v="208"/>
    <m/>
    <m/>
    <m/>
    <n v="5"/>
    <n v="201208"/>
    <n v="100000"/>
  </r>
  <r>
    <x v="463"/>
    <x v="1"/>
    <m/>
    <x v="18"/>
    <x v="2"/>
    <x v="161"/>
    <m/>
    <m/>
    <m/>
    <n v="26"/>
    <n v="201208"/>
    <n v="78000"/>
  </r>
  <r>
    <x v="463"/>
    <x v="1"/>
    <m/>
    <x v="18"/>
    <x v="2"/>
    <x v="161"/>
    <m/>
    <m/>
    <m/>
    <n v="1"/>
    <n v="201208"/>
    <n v="3000"/>
  </r>
  <r>
    <x v="464"/>
    <x v="0"/>
    <m/>
    <x v="0"/>
    <x v="1"/>
    <x v="123"/>
    <m/>
    <m/>
    <m/>
    <n v="3"/>
    <n v="201208"/>
    <n v="105000"/>
  </r>
  <r>
    <x v="464"/>
    <x v="0"/>
    <m/>
    <x v="4"/>
    <x v="5"/>
    <x v="191"/>
    <m/>
    <m/>
    <m/>
    <n v="2"/>
    <n v="201208"/>
    <n v="32728"/>
  </r>
  <r>
    <x v="464"/>
    <x v="0"/>
    <m/>
    <x v="5"/>
    <x v="5"/>
    <x v="182"/>
    <m/>
    <m/>
    <m/>
    <n v="3"/>
    <n v="201208"/>
    <n v="84000"/>
  </r>
  <r>
    <x v="464"/>
    <x v="0"/>
    <m/>
    <x v="0"/>
    <x v="7"/>
    <x v="163"/>
    <m/>
    <m/>
    <m/>
    <n v="1"/>
    <n v="201208"/>
    <n v="20000"/>
  </r>
  <r>
    <x v="464"/>
    <x v="0"/>
    <m/>
    <x v="0"/>
    <x v="3"/>
    <x v="164"/>
    <m/>
    <m/>
    <m/>
    <n v="2"/>
    <n v="201208"/>
    <n v="0"/>
  </r>
  <r>
    <x v="464"/>
    <x v="0"/>
    <m/>
    <x v="6"/>
    <x v="2"/>
    <x v="126"/>
    <m/>
    <m/>
    <m/>
    <n v="3"/>
    <n v="201208"/>
    <n v="60000"/>
  </r>
  <r>
    <x v="464"/>
    <x v="0"/>
    <m/>
    <x v="6"/>
    <x v="2"/>
    <x v="127"/>
    <m/>
    <m/>
    <m/>
    <n v="1"/>
    <n v="201208"/>
    <n v="35000"/>
  </r>
  <r>
    <x v="464"/>
    <x v="0"/>
    <m/>
    <x v="34"/>
    <x v="2"/>
    <x v="128"/>
    <m/>
    <m/>
    <m/>
    <n v="41"/>
    <n v="201208"/>
    <n v="1521100"/>
  </r>
  <r>
    <x v="464"/>
    <x v="0"/>
    <m/>
    <x v="25"/>
    <x v="2"/>
    <x v="129"/>
    <m/>
    <m/>
    <m/>
    <n v="6"/>
    <n v="201208"/>
    <n v="594000"/>
  </r>
  <r>
    <x v="464"/>
    <x v="0"/>
    <m/>
    <x v="0"/>
    <x v="2"/>
    <x v="130"/>
    <m/>
    <m/>
    <m/>
    <n v="37"/>
    <n v="201208"/>
    <n v="1221000"/>
  </r>
  <r>
    <x v="464"/>
    <x v="0"/>
    <m/>
    <x v="0"/>
    <x v="2"/>
    <x v="131"/>
    <m/>
    <m/>
    <m/>
    <n v="1"/>
    <n v="201208"/>
    <n v="33000"/>
  </r>
  <r>
    <x v="464"/>
    <x v="0"/>
    <m/>
    <x v="30"/>
    <x v="2"/>
    <x v="132"/>
    <m/>
    <m/>
    <m/>
    <n v="10"/>
    <n v="201208"/>
    <n v="224000"/>
  </r>
  <r>
    <x v="464"/>
    <x v="0"/>
    <m/>
    <x v="30"/>
    <x v="2"/>
    <x v="133"/>
    <m/>
    <m/>
    <m/>
    <n v="3"/>
    <n v="201208"/>
    <n v="117600"/>
  </r>
  <r>
    <x v="464"/>
    <x v="0"/>
    <m/>
    <x v="34"/>
    <x v="2"/>
    <x v="134"/>
    <m/>
    <m/>
    <m/>
    <n v="3"/>
    <n v="201208"/>
    <n v="111300"/>
  </r>
  <r>
    <x v="464"/>
    <x v="0"/>
    <m/>
    <x v="1"/>
    <x v="2"/>
    <x v="135"/>
    <m/>
    <m/>
    <m/>
    <n v="3"/>
    <n v="201208"/>
    <n v="60000"/>
  </r>
  <r>
    <x v="464"/>
    <x v="0"/>
    <m/>
    <x v="1"/>
    <x v="2"/>
    <x v="165"/>
    <m/>
    <m/>
    <m/>
    <n v="2"/>
    <n v="201208"/>
    <n v="70000"/>
  </r>
  <r>
    <x v="464"/>
    <x v="0"/>
    <m/>
    <x v="36"/>
    <x v="2"/>
    <x v="136"/>
    <m/>
    <m/>
    <m/>
    <n v="3"/>
    <n v="201208"/>
    <n v="84000"/>
  </r>
  <r>
    <x v="464"/>
    <x v="0"/>
    <m/>
    <x v="36"/>
    <x v="2"/>
    <x v="176"/>
    <m/>
    <m/>
    <m/>
    <n v="2"/>
    <n v="201208"/>
    <n v="98000"/>
  </r>
  <r>
    <x v="464"/>
    <x v="0"/>
    <m/>
    <x v="36"/>
    <x v="2"/>
    <x v="137"/>
    <m/>
    <m/>
    <m/>
    <n v="1"/>
    <n v="201208"/>
    <n v="42000"/>
  </r>
  <r>
    <x v="464"/>
    <x v="0"/>
    <m/>
    <x v="0"/>
    <x v="2"/>
    <x v="194"/>
    <m/>
    <m/>
    <m/>
    <n v="63"/>
    <n v="201208"/>
    <n v="1260000"/>
  </r>
  <r>
    <x v="464"/>
    <x v="0"/>
    <m/>
    <x v="0"/>
    <x v="2"/>
    <x v="195"/>
    <m/>
    <m/>
    <m/>
    <n v="51"/>
    <n v="201208"/>
    <n v="1785000"/>
  </r>
  <r>
    <x v="464"/>
    <x v="0"/>
    <m/>
    <x v="32"/>
    <x v="2"/>
    <x v="196"/>
    <m/>
    <m/>
    <m/>
    <n v="39"/>
    <n v="201208"/>
    <n v="1446900"/>
  </r>
  <r>
    <x v="464"/>
    <x v="0"/>
    <m/>
    <x v="0"/>
    <x v="2"/>
    <x v="197"/>
    <m/>
    <m/>
    <m/>
    <n v="56"/>
    <n v="201208"/>
    <n v="168000"/>
  </r>
  <r>
    <x v="464"/>
    <x v="0"/>
    <m/>
    <x v="4"/>
    <x v="2"/>
    <x v="143"/>
    <m/>
    <m/>
    <m/>
    <n v="6"/>
    <n v="201208"/>
    <n v="120000"/>
  </r>
  <r>
    <x v="464"/>
    <x v="0"/>
    <m/>
    <x v="4"/>
    <x v="2"/>
    <x v="144"/>
    <m/>
    <m/>
    <m/>
    <n v="5"/>
    <n v="201208"/>
    <n v="20000"/>
  </r>
  <r>
    <x v="464"/>
    <x v="0"/>
    <m/>
    <x v="31"/>
    <x v="2"/>
    <x v="198"/>
    <m/>
    <m/>
    <m/>
    <n v="37"/>
    <n v="201208"/>
    <n v="828800"/>
  </r>
  <r>
    <x v="464"/>
    <x v="0"/>
    <m/>
    <x v="31"/>
    <x v="2"/>
    <x v="199"/>
    <m/>
    <m/>
    <m/>
    <n v="61"/>
    <n v="201208"/>
    <n v="2391200"/>
  </r>
  <r>
    <x v="464"/>
    <x v="0"/>
    <m/>
    <x v="32"/>
    <x v="2"/>
    <x v="200"/>
    <m/>
    <m/>
    <m/>
    <n v="34"/>
    <n v="201208"/>
    <n v="1261400"/>
  </r>
  <r>
    <x v="464"/>
    <x v="0"/>
    <m/>
    <x v="0"/>
    <x v="2"/>
    <x v="148"/>
    <m/>
    <m/>
    <m/>
    <n v="1"/>
    <n v="201208"/>
    <n v="20000"/>
  </r>
  <r>
    <x v="464"/>
    <x v="0"/>
    <m/>
    <x v="31"/>
    <x v="2"/>
    <x v="201"/>
    <m/>
    <m/>
    <m/>
    <n v="8"/>
    <n v="201208"/>
    <n v="179200"/>
  </r>
  <r>
    <x v="464"/>
    <x v="0"/>
    <m/>
    <x v="31"/>
    <x v="2"/>
    <x v="202"/>
    <m/>
    <m/>
    <m/>
    <n v="6"/>
    <n v="201208"/>
    <n v="235200"/>
  </r>
  <r>
    <x v="464"/>
    <x v="0"/>
    <m/>
    <x v="32"/>
    <x v="2"/>
    <x v="203"/>
    <m/>
    <m/>
    <m/>
    <n v="2"/>
    <n v="201208"/>
    <n v="74200"/>
  </r>
  <r>
    <x v="464"/>
    <x v="0"/>
    <m/>
    <x v="31"/>
    <x v="2"/>
    <x v="204"/>
    <m/>
    <m/>
    <m/>
    <n v="48"/>
    <n v="201208"/>
    <n v="1075200"/>
  </r>
  <r>
    <x v="464"/>
    <x v="0"/>
    <m/>
    <x v="31"/>
    <x v="2"/>
    <x v="205"/>
    <m/>
    <m/>
    <m/>
    <n v="37"/>
    <n v="201208"/>
    <n v="1450400"/>
  </r>
  <r>
    <x v="464"/>
    <x v="0"/>
    <m/>
    <x v="32"/>
    <x v="2"/>
    <x v="206"/>
    <m/>
    <m/>
    <m/>
    <n v="22"/>
    <n v="201208"/>
    <n v="816200"/>
  </r>
  <r>
    <x v="464"/>
    <x v="0"/>
    <m/>
    <x v="22"/>
    <x v="2"/>
    <x v="150"/>
    <m/>
    <m/>
    <m/>
    <n v="7"/>
    <n v="201208"/>
    <n v="266000"/>
  </r>
  <r>
    <x v="464"/>
    <x v="0"/>
    <m/>
    <x v="22"/>
    <x v="2"/>
    <x v="150"/>
    <m/>
    <m/>
    <m/>
    <n v="5"/>
    <n v="201208"/>
    <n v="190000"/>
  </r>
  <r>
    <x v="464"/>
    <x v="0"/>
    <m/>
    <x v="5"/>
    <x v="2"/>
    <x v="151"/>
    <m/>
    <m/>
    <m/>
    <n v="12"/>
    <n v="201208"/>
    <n v="336000"/>
  </r>
  <r>
    <x v="464"/>
    <x v="0"/>
    <m/>
    <x v="5"/>
    <x v="2"/>
    <x v="152"/>
    <m/>
    <m/>
    <m/>
    <n v="7"/>
    <n v="201208"/>
    <n v="336000"/>
  </r>
  <r>
    <x v="464"/>
    <x v="0"/>
    <m/>
    <x v="5"/>
    <x v="2"/>
    <x v="153"/>
    <m/>
    <m/>
    <m/>
    <n v="7"/>
    <n v="201208"/>
    <n v="196000"/>
  </r>
  <r>
    <x v="464"/>
    <x v="0"/>
    <m/>
    <x v="33"/>
    <x v="2"/>
    <x v="155"/>
    <m/>
    <m/>
    <m/>
    <n v="3"/>
    <n v="201208"/>
    <n v="54600"/>
  </r>
  <r>
    <x v="464"/>
    <x v="0"/>
    <m/>
    <x v="33"/>
    <x v="2"/>
    <x v="156"/>
    <m/>
    <m/>
    <m/>
    <n v="2"/>
    <n v="201208"/>
    <n v="67600"/>
  </r>
  <r>
    <x v="464"/>
    <x v="0"/>
    <m/>
    <x v="19"/>
    <x v="2"/>
    <x v="157"/>
    <m/>
    <m/>
    <m/>
    <n v="14"/>
    <n v="201208"/>
    <n v="182000"/>
  </r>
  <r>
    <x v="464"/>
    <x v="0"/>
    <m/>
    <x v="19"/>
    <x v="2"/>
    <x v="158"/>
    <m/>
    <m/>
    <m/>
    <n v="7"/>
    <n v="201208"/>
    <n v="168000"/>
  </r>
  <r>
    <x v="464"/>
    <x v="0"/>
    <m/>
    <x v="19"/>
    <x v="2"/>
    <x v="159"/>
    <m/>
    <m/>
    <m/>
    <n v="2"/>
    <n v="201208"/>
    <n v="66000"/>
  </r>
  <r>
    <x v="464"/>
    <x v="0"/>
    <m/>
    <x v="35"/>
    <x v="2"/>
    <x v="160"/>
    <m/>
    <m/>
    <m/>
    <n v="2"/>
    <n v="201208"/>
    <n v="40000"/>
  </r>
  <r>
    <x v="464"/>
    <x v="0"/>
    <m/>
    <x v="4"/>
    <x v="2"/>
    <x v="207"/>
    <m/>
    <m/>
    <m/>
    <n v="1"/>
    <n v="201208"/>
    <n v="4000"/>
  </r>
  <r>
    <x v="464"/>
    <x v="0"/>
    <m/>
    <x v="4"/>
    <x v="2"/>
    <x v="208"/>
    <m/>
    <m/>
    <m/>
    <n v="2"/>
    <n v="201208"/>
    <n v="40000"/>
  </r>
  <r>
    <x v="464"/>
    <x v="0"/>
    <m/>
    <x v="18"/>
    <x v="2"/>
    <x v="161"/>
    <m/>
    <m/>
    <m/>
    <n v="20"/>
    <n v="201208"/>
    <n v="60000"/>
  </r>
  <r>
    <x v="464"/>
    <x v="0"/>
    <m/>
    <x v="18"/>
    <x v="2"/>
    <x v="161"/>
    <m/>
    <m/>
    <m/>
    <n v="12"/>
    <n v="201208"/>
    <n v="36000"/>
  </r>
  <r>
    <x v="465"/>
    <x v="2"/>
    <m/>
    <x v="0"/>
    <x v="1"/>
    <x v="123"/>
    <m/>
    <m/>
    <m/>
    <n v="1"/>
    <n v="201208"/>
    <n v="35000"/>
  </r>
  <r>
    <x v="465"/>
    <x v="2"/>
    <m/>
    <x v="0"/>
    <x v="1"/>
    <x v="124"/>
    <m/>
    <m/>
    <m/>
    <n v="1"/>
    <n v="201208"/>
    <n v="20000"/>
  </r>
  <r>
    <x v="465"/>
    <x v="2"/>
    <m/>
    <x v="0"/>
    <x v="7"/>
    <x v="163"/>
    <m/>
    <m/>
    <m/>
    <n v="4"/>
    <n v="201208"/>
    <n v="80000"/>
  </r>
  <r>
    <x v="465"/>
    <x v="2"/>
    <m/>
    <x v="0"/>
    <x v="3"/>
    <x v="164"/>
    <m/>
    <m/>
    <m/>
    <n v="2"/>
    <n v="201208"/>
    <n v="0"/>
  </r>
  <r>
    <x v="465"/>
    <x v="2"/>
    <m/>
    <x v="6"/>
    <x v="2"/>
    <x v="126"/>
    <m/>
    <m/>
    <m/>
    <n v="3"/>
    <n v="201208"/>
    <n v="60000"/>
  </r>
  <r>
    <x v="465"/>
    <x v="2"/>
    <m/>
    <x v="34"/>
    <x v="2"/>
    <x v="128"/>
    <m/>
    <m/>
    <m/>
    <n v="34"/>
    <n v="201208"/>
    <n v="1261400"/>
  </r>
  <r>
    <x v="465"/>
    <x v="2"/>
    <m/>
    <x v="25"/>
    <x v="2"/>
    <x v="129"/>
    <m/>
    <m/>
    <m/>
    <n v="5"/>
    <n v="201208"/>
    <n v="495000"/>
  </r>
  <r>
    <x v="465"/>
    <x v="2"/>
    <m/>
    <x v="0"/>
    <x v="2"/>
    <x v="130"/>
    <m/>
    <m/>
    <m/>
    <n v="30"/>
    <n v="201208"/>
    <n v="990000"/>
  </r>
  <r>
    <x v="465"/>
    <x v="2"/>
    <m/>
    <x v="30"/>
    <x v="2"/>
    <x v="132"/>
    <m/>
    <m/>
    <m/>
    <n v="13"/>
    <n v="201208"/>
    <n v="291200"/>
  </r>
  <r>
    <x v="465"/>
    <x v="2"/>
    <m/>
    <x v="30"/>
    <x v="2"/>
    <x v="133"/>
    <m/>
    <m/>
    <m/>
    <n v="1"/>
    <n v="201208"/>
    <n v="39200"/>
  </r>
  <r>
    <x v="465"/>
    <x v="2"/>
    <m/>
    <x v="34"/>
    <x v="2"/>
    <x v="134"/>
    <m/>
    <m/>
    <m/>
    <n v="1"/>
    <n v="201208"/>
    <n v="37100"/>
  </r>
  <r>
    <x v="465"/>
    <x v="2"/>
    <m/>
    <x v="1"/>
    <x v="2"/>
    <x v="135"/>
    <m/>
    <m/>
    <m/>
    <n v="2"/>
    <n v="201208"/>
    <n v="40000"/>
  </r>
  <r>
    <x v="465"/>
    <x v="2"/>
    <m/>
    <x v="36"/>
    <x v="2"/>
    <x v="136"/>
    <m/>
    <m/>
    <m/>
    <n v="2"/>
    <n v="201208"/>
    <n v="56000"/>
  </r>
  <r>
    <x v="465"/>
    <x v="2"/>
    <m/>
    <x v="36"/>
    <x v="2"/>
    <x v="137"/>
    <m/>
    <m/>
    <m/>
    <n v="1"/>
    <n v="201208"/>
    <n v="42000"/>
  </r>
  <r>
    <x v="465"/>
    <x v="2"/>
    <m/>
    <x v="0"/>
    <x v="2"/>
    <x v="138"/>
    <m/>
    <m/>
    <m/>
    <n v="1"/>
    <n v="201208"/>
    <n v="20000"/>
  </r>
  <r>
    <x v="465"/>
    <x v="2"/>
    <m/>
    <x v="0"/>
    <x v="2"/>
    <x v="211"/>
    <m/>
    <m/>
    <m/>
    <n v="35"/>
    <n v="201208"/>
    <n v="700000"/>
  </r>
  <r>
    <x v="465"/>
    <x v="2"/>
    <m/>
    <x v="0"/>
    <x v="2"/>
    <x v="194"/>
    <m/>
    <m/>
    <m/>
    <n v="22"/>
    <n v="201208"/>
    <n v="440000"/>
  </r>
  <r>
    <x v="465"/>
    <x v="2"/>
    <m/>
    <x v="0"/>
    <x v="2"/>
    <x v="212"/>
    <m/>
    <m/>
    <m/>
    <n v="21"/>
    <n v="201208"/>
    <n v="735000"/>
  </r>
  <r>
    <x v="465"/>
    <x v="2"/>
    <m/>
    <x v="0"/>
    <x v="2"/>
    <x v="195"/>
    <m/>
    <m/>
    <m/>
    <n v="10"/>
    <n v="201208"/>
    <n v="350000"/>
  </r>
  <r>
    <x v="465"/>
    <x v="2"/>
    <m/>
    <x v="32"/>
    <x v="2"/>
    <x v="213"/>
    <m/>
    <m/>
    <m/>
    <n v="30"/>
    <n v="201208"/>
    <n v="1113000"/>
  </r>
  <r>
    <x v="465"/>
    <x v="2"/>
    <m/>
    <x v="32"/>
    <x v="2"/>
    <x v="196"/>
    <m/>
    <m/>
    <m/>
    <n v="12"/>
    <n v="201208"/>
    <n v="445200"/>
  </r>
  <r>
    <x v="465"/>
    <x v="2"/>
    <m/>
    <x v="0"/>
    <x v="2"/>
    <x v="197"/>
    <m/>
    <m/>
    <m/>
    <n v="53"/>
    <n v="201208"/>
    <n v="159000"/>
  </r>
  <r>
    <x v="465"/>
    <x v="2"/>
    <m/>
    <x v="4"/>
    <x v="2"/>
    <x v="142"/>
    <m/>
    <m/>
    <m/>
    <n v="1"/>
    <n v="201208"/>
    <n v="4000"/>
  </r>
  <r>
    <x v="465"/>
    <x v="2"/>
    <m/>
    <x v="4"/>
    <x v="2"/>
    <x v="143"/>
    <m/>
    <m/>
    <m/>
    <n v="7"/>
    <n v="201208"/>
    <n v="140000"/>
  </r>
  <r>
    <x v="465"/>
    <x v="2"/>
    <m/>
    <x v="4"/>
    <x v="2"/>
    <x v="144"/>
    <m/>
    <m/>
    <m/>
    <n v="2"/>
    <n v="201208"/>
    <n v="8000"/>
  </r>
  <r>
    <x v="465"/>
    <x v="2"/>
    <m/>
    <x v="31"/>
    <x v="2"/>
    <x v="198"/>
    <m/>
    <m/>
    <m/>
    <n v="39"/>
    <n v="201208"/>
    <n v="873600"/>
  </r>
  <r>
    <x v="465"/>
    <x v="2"/>
    <m/>
    <x v="31"/>
    <x v="2"/>
    <x v="199"/>
    <m/>
    <m/>
    <m/>
    <n v="51"/>
    <n v="201208"/>
    <n v="1999200"/>
  </r>
  <r>
    <x v="465"/>
    <x v="2"/>
    <m/>
    <x v="31"/>
    <x v="2"/>
    <x v="214"/>
    <m/>
    <m/>
    <m/>
    <n v="3"/>
    <n v="201208"/>
    <n v="163800"/>
  </r>
  <r>
    <x v="465"/>
    <x v="2"/>
    <m/>
    <x v="32"/>
    <x v="2"/>
    <x v="200"/>
    <m/>
    <m/>
    <m/>
    <n v="17"/>
    <n v="201208"/>
    <n v="630700"/>
  </r>
  <r>
    <x v="465"/>
    <x v="2"/>
    <m/>
    <x v="32"/>
    <x v="2"/>
    <x v="200"/>
    <m/>
    <m/>
    <m/>
    <n v="6"/>
    <n v="201208"/>
    <n v="222600"/>
  </r>
  <r>
    <x v="465"/>
    <x v="2"/>
    <m/>
    <x v="0"/>
    <x v="2"/>
    <x v="148"/>
    <m/>
    <m/>
    <m/>
    <n v="1"/>
    <n v="201208"/>
    <n v="20000"/>
  </r>
  <r>
    <x v="465"/>
    <x v="2"/>
    <m/>
    <x v="31"/>
    <x v="2"/>
    <x v="201"/>
    <m/>
    <m/>
    <m/>
    <n v="5"/>
    <n v="201208"/>
    <n v="112000"/>
  </r>
  <r>
    <x v="465"/>
    <x v="2"/>
    <m/>
    <x v="31"/>
    <x v="2"/>
    <x v="202"/>
    <m/>
    <m/>
    <m/>
    <n v="9"/>
    <n v="201208"/>
    <n v="352800"/>
  </r>
  <r>
    <x v="465"/>
    <x v="2"/>
    <m/>
    <x v="31"/>
    <x v="2"/>
    <x v="215"/>
    <m/>
    <m/>
    <m/>
    <n v="1"/>
    <n v="201208"/>
    <n v="54600"/>
  </r>
  <r>
    <x v="465"/>
    <x v="2"/>
    <m/>
    <x v="32"/>
    <x v="2"/>
    <x v="203"/>
    <m/>
    <m/>
    <m/>
    <n v="3"/>
    <n v="201208"/>
    <n v="111300"/>
  </r>
  <r>
    <x v="465"/>
    <x v="2"/>
    <m/>
    <x v="31"/>
    <x v="2"/>
    <x v="204"/>
    <m/>
    <m/>
    <m/>
    <n v="44"/>
    <n v="201208"/>
    <n v="985600"/>
  </r>
  <r>
    <x v="465"/>
    <x v="2"/>
    <m/>
    <x v="31"/>
    <x v="2"/>
    <x v="205"/>
    <m/>
    <m/>
    <m/>
    <n v="59"/>
    <n v="201208"/>
    <n v="2312800"/>
  </r>
  <r>
    <x v="465"/>
    <x v="2"/>
    <m/>
    <x v="31"/>
    <x v="2"/>
    <x v="216"/>
    <m/>
    <m/>
    <m/>
    <n v="4"/>
    <n v="201208"/>
    <n v="218400"/>
  </r>
  <r>
    <x v="465"/>
    <x v="2"/>
    <m/>
    <x v="32"/>
    <x v="2"/>
    <x v="206"/>
    <m/>
    <m/>
    <m/>
    <n v="21"/>
    <n v="201208"/>
    <n v="779100"/>
  </r>
  <r>
    <x v="465"/>
    <x v="2"/>
    <m/>
    <x v="32"/>
    <x v="2"/>
    <x v="206"/>
    <m/>
    <m/>
    <m/>
    <n v="4"/>
    <n v="201208"/>
    <n v="148400"/>
  </r>
  <r>
    <x v="465"/>
    <x v="2"/>
    <m/>
    <x v="22"/>
    <x v="2"/>
    <x v="150"/>
    <m/>
    <m/>
    <m/>
    <n v="9"/>
    <n v="201208"/>
    <n v="342000"/>
  </r>
  <r>
    <x v="465"/>
    <x v="2"/>
    <m/>
    <x v="22"/>
    <x v="2"/>
    <x v="150"/>
    <m/>
    <m/>
    <m/>
    <n v="1"/>
    <n v="201208"/>
    <n v="38000"/>
  </r>
  <r>
    <x v="465"/>
    <x v="2"/>
    <m/>
    <x v="5"/>
    <x v="2"/>
    <x v="151"/>
    <m/>
    <m/>
    <m/>
    <n v="18"/>
    <n v="201208"/>
    <n v="504000"/>
  </r>
  <r>
    <x v="465"/>
    <x v="2"/>
    <m/>
    <x v="5"/>
    <x v="2"/>
    <x v="152"/>
    <m/>
    <m/>
    <m/>
    <n v="2"/>
    <n v="201208"/>
    <n v="96000"/>
  </r>
  <r>
    <x v="465"/>
    <x v="2"/>
    <m/>
    <x v="5"/>
    <x v="2"/>
    <x v="153"/>
    <m/>
    <m/>
    <m/>
    <n v="1"/>
    <n v="201208"/>
    <n v="28000"/>
  </r>
  <r>
    <x v="465"/>
    <x v="2"/>
    <m/>
    <x v="33"/>
    <x v="2"/>
    <x v="155"/>
    <m/>
    <m/>
    <m/>
    <n v="7"/>
    <n v="201208"/>
    <n v="127400"/>
  </r>
  <r>
    <x v="465"/>
    <x v="2"/>
    <m/>
    <x v="33"/>
    <x v="2"/>
    <x v="156"/>
    <m/>
    <m/>
    <m/>
    <n v="1"/>
    <n v="201208"/>
    <n v="33800"/>
  </r>
  <r>
    <x v="465"/>
    <x v="2"/>
    <m/>
    <x v="19"/>
    <x v="2"/>
    <x v="157"/>
    <m/>
    <m/>
    <m/>
    <n v="28"/>
    <n v="201208"/>
    <n v="364000"/>
  </r>
  <r>
    <x v="465"/>
    <x v="2"/>
    <m/>
    <x v="19"/>
    <x v="2"/>
    <x v="158"/>
    <m/>
    <m/>
    <m/>
    <n v="1"/>
    <n v="201208"/>
    <n v="24000"/>
  </r>
  <r>
    <x v="465"/>
    <x v="2"/>
    <m/>
    <x v="19"/>
    <x v="2"/>
    <x v="159"/>
    <m/>
    <m/>
    <m/>
    <n v="3"/>
    <n v="201208"/>
    <n v="99000"/>
  </r>
  <r>
    <x v="465"/>
    <x v="2"/>
    <m/>
    <x v="35"/>
    <x v="2"/>
    <x v="160"/>
    <m/>
    <m/>
    <m/>
    <n v="1"/>
    <n v="201208"/>
    <n v="20000"/>
  </r>
  <r>
    <x v="465"/>
    <x v="2"/>
    <m/>
    <x v="4"/>
    <x v="2"/>
    <x v="207"/>
    <m/>
    <m/>
    <m/>
    <n v="1"/>
    <n v="201208"/>
    <n v="4000"/>
  </r>
  <r>
    <x v="465"/>
    <x v="2"/>
    <m/>
    <x v="4"/>
    <x v="2"/>
    <x v="208"/>
    <m/>
    <m/>
    <m/>
    <n v="2"/>
    <n v="201208"/>
    <n v="40000"/>
  </r>
  <r>
    <x v="465"/>
    <x v="2"/>
    <m/>
    <x v="18"/>
    <x v="2"/>
    <x v="161"/>
    <m/>
    <m/>
    <m/>
    <n v="26"/>
    <n v="201208"/>
    <n v="78000"/>
  </r>
  <r>
    <x v="466"/>
    <x v="5"/>
    <m/>
    <x v="0"/>
    <x v="7"/>
    <x v="163"/>
    <m/>
    <m/>
    <m/>
    <n v="4"/>
    <n v="201208"/>
    <n v="80000"/>
  </r>
  <r>
    <x v="466"/>
    <x v="5"/>
    <m/>
    <x v="6"/>
    <x v="2"/>
    <x v="126"/>
    <m/>
    <m/>
    <m/>
    <n v="5"/>
    <n v="201208"/>
    <n v="100000"/>
  </r>
  <r>
    <x v="466"/>
    <x v="5"/>
    <m/>
    <x v="6"/>
    <x v="2"/>
    <x v="127"/>
    <m/>
    <m/>
    <m/>
    <n v="2"/>
    <n v="201208"/>
    <n v="70000"/>
  </r>
  <r>
    <x v="466"/>
    <x v="5"/>
    <m/>
    <x v="34"/>
    <x v="2"/>
    <x v="128"/>
    <m/>
    <m/>
    <m/>
    <n v="37"/>
    <n v="201208"/>
    <n v="1372700"/>
  </r>
  <r>
    <x v="466"/>
    <x v="5"/>
    <m/>
    <x v="25"/>
    <x v="2"/>
    <x v="129"/>
    <m/>
    <m/>
    <m/>
    <n v="2"/>
    <n v="201208"/>
    <n v="198000"/>
  </r>
  <r>
    <x v="466"/>
    <x v="5"/>
    <m/>
    <x v="0"/>
    <x v="2"/>
    <x v="130"/>
    <m/>
    <m/>
    <m/>
    <n v="29"/>
    <n v="201208"/>
    <n v="957000"/>
  </r>
  <r>
    <x v="466"/>
    <x v="5"/>
    <m/>
    <x v="0"/>
    <x v="2"/>
    <x v="131"/>
    <m/>
    <m/>
    <m/>
    <n v="1"/>
    <n v="201208"/>
    <n v="33000"/>
  </r>
  <r>
    <x v="466"/>
    <x v="5"/>
    <m/>
    <x v="0"/>
    <x v="2"/>
    <x v="168"/>
    <m/>
    <m/>
    <m/>
    <n v="3"/>
    <n v="201208"/>
    <n v="60000"/>
  </r>
  <r>
    <x v="466"/>
    <x v="5"/>
    <m/>
    <x v="0"/>
    <x v="2"/>
    <x v="178"/>
    <m/>
    <m/>
    <m/>
    <n v="1"/>
    <n v="201208"/>
    <n v="35000"/>
  </r>
  <r>
    <x v="466"/>
    <x v="5"/>
    <m/>
    <x v="0"/>
    <x v="2"/>
    <x v="179"/>
    <m/>
    <m/>
    <m/>
    <n v="2"/>
    <n v="201208"/>
    <n v="6000"/>
  </r>
  <r>
    <x v="466"/>
    <x v="5"/>
    <m/>
    <x v="30"/>
    <x v="2"/>
    <x v="132"/>
    <m/>
    <m/>
    <m/>
    <n v="9"/>
    <n v="201208"/>
    <n v="201600"/>
  </r>
  <r>
    <x v="466"/>
    <x v="5"/>
    <m/>
    <x v="30"/>
    <x v="2"/>
    <x v="133"/>
    <m/>
    <m/>
    <m/>
    <n v="1"/>
    <n v="201208"/>
    <n v="39200"/>
  </r>
  <r>
    <x v="466"/>
    <x v="5"/>
    <m/>
    <x v="34"/>
    <x v="2"/>
    <x v="134"/>
    <m/>
    <m/>
    <m/>
    <n v="2"/>
    <n v="201208"/>
    <n v="74200"/>
  </r>
  <r>
    <x v="466"/>
    <x v="5"/>
    <m/>
    <x v="1"/>
    <x v="2"/>
    <x v="135"/>
    <m/>
    <m/>
    <m/>
    <n v="5"/>
    <n v="201208"/>
    <n v="100000"/>
  </r>
  <r>
    <x v="466"/>
    <x v="5"/>
    <m/>
    <x v="1"/>
    <x v="2"/>
    <x v="165"/>
    <m/>
    <m/>
    <m/>
    <n v="1"/>
    <n v="201208"/>
    <n v="35000"/>
  </r>
  <r>
    <x v="466"/>
    <x v="5"/>
    <m/>
    <x v="36"/>
    <x v="2"/>
    <x v="136"/>
    <m/>
    <m/>
    <m/>
    <n v="3"/>
    <n v="201208"/>
    <n v="84000"/>
  </r>
  <r>
    <x v="466"/>
    <x v="5"/>
    <m/>
    <x v="36"/>
    <x v="2"/>
    <x v="176"/>
    <m/>
    <m/>
    <m/>
    <n v="1"/>
    <n v="201208"/>
    <n v="49000"/>
  </r>
  <r>
    <x v="466"/>
    <x v="5"/>
    <m/>
    <x v="36"/>
    <x v="2"/>
    <x v="137"/>
    <m/>
    <m/>
    <m/>
    <n v="1"/>
    <n v="201208"/>
    <n v="42000"/>
  </r>
  <r>
    <x v="466"/>
    <x v="5"/>
    <m/>
    <x v="0"/>
    <x v="2"/>
    <x v="138"/>
    <m/>
    <m/>
    <m/>
    <n v="2"/>
    <n v="201208"/>
    <n v="40000"/>
  </r>
  <r>
    <x v="466"/>
    <x v="5"/>
    <m/>
    <x v="32"/>
    <x v="2"/>
    <x v="140"/>
    <m/>
    <m/>
    <m/>
    <n v="1"/>
    <n v="201208"/>
    <n v="37100"/>
  </r>
  <r>
    <x v="466"/>
    <x v="5"/>
    <m/>
    <x v="0"/>
    <x v="2"/>
    <x v="211"/>
    <m/>
    <m/>
    <m/>
    <n v="65"/>
    <n v="201208"/>
    <n v="1300000"/>
  </r>
  <r>
    <x v="466"/>
    <x v="5"/>
    <m/>
    <x v="0"/>
    <x v="2"/>
    <x v="212"/>
    <m/>
    <m/>
    <m/>
    <n v="46"/>
    <n v="201208"/>
    <n v="1610000"/>
  </r>
  <r>
    <x v="466"/>
    <x v="5"/>
    <m/>
    <x v="32"/>
    <x v="2"/>
    <x v="213"/>
    <m/>
    <m/>
    <m/>
    <n v="31"/>
    <n v="201208"/>
    <n v="1150100"/>
  </r>
  <r>
    <x v="466"/>
    <x v="5"/>
    <m/>
    <x v="32"/>
    <x v="2"/>
    <x v="196"/>
    <m/>
    <m/>
    <m/>
    <n v="1"/>
    <n v="201208"/>
    <n v="37100"/>
  </r>
  <r>
    <x v="466"/>
    <x v="5"/>
    <m/>
    <x v="0"/>
    <x v="2"/>
    <x v="197"/>
    <m/>
    <m/>
    <m/>
    <n v="55"/>
    <n v="201208"/>
    <n v="165000"/>
  </r>
  <r>
    <x v="466"/>
    <x v="5"/>
    <m/>
    <x v="4"/>
    <x v="2"/>
    <x v="142"/>
    <m/>
    <m/>
    <m/>
    <n v="1"/>
    <n v="201208"/>
    <n v="4000"/>
  </r>
  <r>
    <x v="466"/>
    <x v="5"/>
    <m/>
    <x v="4"/>
    <x v="2"/>
    <x v="143"/>
    <m/>
    <m/>
    <m/>
    <n v="6"/>
    <n v="201208"/>
    <n v="120000"/>
  </r>
  <r>
    <x v="466"/>
    <x v="5"/>
    <m/>
    <x v="4"/>
    <x v="2"/>
    <x v="144"/>
    <m/>
    <m/>
    <m/>
    <n v="3"/>
    <n v="201208"/>
    <n v="12000"/>
  </r>
  <r>
    <x v="466"/>
    <x v="5"/>
    <m/>
    <x v="31"/>
    <x v="2"/>
    <x v="198"/>
    <m/>
    <m/>
    <m/>
    <n v="40"/>
    <n v="201208"/>
    <n v="896000"/>
  </r>
  <r>
    <x v="466"/>
    <x v="5"/>
    <m/>
    <x v="31"/>
    <x v="2"/>
    <x v="199"/>
    <m/>
    <m/>
    <m/>
    <n v="45"/>
    <n v="201208"/>
    <n v="1764000"/>
  </r>
  <r>
    <x v="466"/>
    <x v="5"/>
    <m/>
    <x v="31"/>
    <x v="2"/>
    <x v="214"/>
    <m/>
    <m/>
    <m/>
    <n v="14"/>
    <n v="201208"/>
    <n v="764400"/>
  </r>
  <r>
    <x v="466"/>
    <x v="5"/>
    <m/>
    <x v="32"/>
    <x v="2"/>
    <x v="200"/>
    <m/>
    <m/>
    <m/>
    <n v="11"/>
    <n v="201208"/>
    <n v="408100"/>
  </r>
  <r>
    <x v="466"/>
    <x v="5"/>
    <m/>
    <x v="0"/>
    <x v="2"/>
    <x v="148"/>
    <m/>
    <m/>
    <m/>
    <n v="1"/>
    <n v="201208"/>
    <n v="20000"/>
  </r>
  <r>
    <x v="466"/>
    <x v="5"/>
    <m/>
    <x v="31"/>
    <x v="2"/>
    <x v="201"/>
    <m/>
    <m/>
    <m/>
    <n v="12"/>
    <n v="201208"/>
    <n v="268800"/>
  </r>
  <r>
    <x v="466"/>
    <x v="5"/>
    <m/>
    <x v="31"/>
    <x v="2"/>
    <x v="202"/>
    <m/>
    <m/>
    <m/>
    <n v="7"/>
    <n v="201208"/>
    <n v="274400"/>
  </r>
  <r>
    <x v="466"/>
    <x v="5"/>
    <m/>
    <x v="31"/>
    <x v="2"/>
    <x v="215"/>
    <m/>
    <m/>
    <m/>
    <n v="3"/>
    <n v="201208"/>
    <n v="163800"/>
  </r>
  <r>
    <x v="466"/>
    <x v="5"/>
    <m/>
    <x v="32"/>
    <x v="2"/>
    <x v="203"/>
    <m/>
    <m/>
    <m/>
    <n v="1"/>
    <n v="201208"/>
    <n v="37100"/>
  </r>
  <r>
    <x v="466"/>
    <x v="5"/>
    <m/>
    <x v="31"/>
    <x v="2"/>
    <x v="204"/>
    <m/>
    <m/>
    <m/>
    <n v="32"/>
    <n v="201208"/>
    <n v="716800"/>
  </r>
  <r>
    <x v="466"/>
    <x v="5"/>
    <m/>
    <x v="31"/>
    <x v="2"/>
    <x v="205"/>
    <m/>
    <m/>
    <m/>
    <n v="42"/>
    <n v="201208"/>
    <n v="1646400"/>
  </r>
  <r>
    <x v="466"/>
    <x v="5"/>
    <m/>
    <x v="31"/>
    <x v="2"/>
    <x v="216"/>
    <m/>
    <m/>
    <m/>
    <n v="8"/>
    <n v="201208"/>
    <n v="436800"/>
  </r>
  <r>
    <x v="466"/>
    <x v="5"/>
    <m/>
    <x v="32"/>
    <x v="2"/>
    <x v="206"/>
    <m/>
    <m/>
    <m/>
    <n v="1"/>
    <n v="201208"/>
    <n v="37100"/>
  </r>
  <r>
    <x v="466"/>
    <x v="5"/>
    <m/>
    <x v="32"/>
    <x v="2"/>
    <x v="206"/>
    <m/>
    <m/>
    <m/>
    <n v="21"/>
    <n v="201208"/>
    <n v="779100"/>
  </r>
  <r>
    <x v="466"/>
    <x v="5"/>
    <m/>
    <x v="22"/>
    <x v="2"/>
    <x v="150"/>
    <m/>
    <m/>
    <m/>
    <n v="3"/>
    <n v="201208"/>
    <n v="114000"/>
  </r>
  <r>
    <x v="466"/>
    <x v="5"/>
    <m/>
    <x v="22"/>
    <x v="2"/>
    <x v="150"/>
    <m/>
    <m/>
    <m/>
    <n v="5"/>
    <n v="201208"/>
    <n v="190000"/>
  </r>
  <r>
    <x v="466"/>
    <x v="5"/>
    <m/>
    <x v="5"/>
    <x v="2"/>
    <x v="151"/>
    <m/>
    <m/>
    <m/>
    <n v="14"/>
    <n v="201208"/>
    <n v="392000"/>
  </r>
  <r>
    <x v="466"/>
    <x v="5"/>
    <m/>
    <x v="5"/>
    <x v="2"/>
    <x v="152"/>
    <m/>
    <m/>
    <m/>
    <n v="6"/>
    <n v="201208"/>
    <n v="288000"/>
  </r>
  <r>
    <x v="466"/>
    <x v="5"/>
    <m/>
    <x v="5"/>
    <x v="2"/>
    <x v="153"/>
    <m/>
    <m/>
    <m/>
    <n v="8"/>
    <n v="201208"/>
    <n v="224000"/>
  </r>
  <r>
    <x v="466"/>
    <x v="5"/>
    <m/>
    <x v="33"/>
    <x v="2"/>
    <x v="156"/>
    <m/>
    <m/>
    <m/>
    <n v="3"/>
    <n v="201208"/>
    <n v="101400"/>
  </r>
  <r>
    <x v="466"/>
    <x v="5"/>
    <m/>
    <x v="19"/>
    <x v="2"/>
    <x v="157"/>
    <m/>
    <m/>
    <m/>
    <n v="15"/>
    <n v="201208"/>
    <n v="195000"/>
  </r>
  <r>
    <x v="466"/>
    <x v="5"/>
    <m/>
    <x v="19"/>
    <x v="2"/>
    <x v="158"/>
    <m/>
    <m/>
    <m/>
    <n v="6"/>
    <n v="201208"/>
    <n v="144000"/>
  </r>
  <r>
    <x v="466"/>
    <x v="5"/>
    <m/>
    <x v="19"/>
    <x v="2"/>
    <x v="159"/>
    <m/>
    <m/>
    <m/>
    <n v="1"/>
    <n v="201208"/>
    <n v="33000"/>
  </r>
  <r>
    <x v="466"/>
    <x v="5"/>
    <m/>
    <x v="19"/>
    <x v="2"/>
    <x v="181"/>
    <m/>
    <m/>
    <m/>
    <n v="1"/>
    <n v="201208"/>
    <n v="13000"/>
  </r>
  <r>
    <x v="466"/>
    <x v="5"/>
    <m/>
    <x v="35"/>
    <x v="2"/>
    <x v="170"/>
    <m/>
    <m/>
    <m/>
    <n v="1"/>
    <n v="201208"/>
    <n v="4000"/>
  </r>
  <r>
    <x v="466"/>
    <x v="5"/>
    <m/>
    <x v="35"/>
    <x v="2"/>
    <x v="160"/>
    <m/>
    <m/>
    <m/>
    <n v="4"/>
    <n v="201208"/>
    <n v="80000"/>
  </r>
  <r>
    <x v="466"/>
    <x v="5"/>
    <m/>
    <x v="4"/>
    <x v="2"/>
    <x v="208"/>
    <m/>
    <m/>
    <m/>
    <n v="1"/>
    <n v="201208"/>
    <n v="20000"/>
  </r>
  <r>
    <x v="466"/>
    <x v="5"/>
    <m/>
    <x v="18"/>
    <x v="2"/>
    <x v="161"/>
    <m/>
    <m/>
    <m/>
    <n v="29"/>
    <n v="201208"/>
    <n v="87000"/>
  </r>
  <r>
    <x v="466"/>
    <x v="5"/>
    <m/>
    <x v="18"/>
    <x v="2"/>
    <x v="161"/>
    <m/>
    <m/>
    <m/>
    <n v="2"/>
    <n v="201208"/>
    <n v="6000"/>
  </r>
  <r>
    <x v="467"/>
    <x v="6"/>
    <m/>
    <x v="0"/>
    <x v="7"/>
    <x v="163"/>
    <m/>
    <m/>
    <m/>
    <n v="3"/>
    <n v="201208"/>
    <n v="60000"/>
  </r>
  <r>
    <x v="467"/>
    <x v="6"/>
    <m/>
    <x v="6"/>
    <x v="2"/>
    <x v="126"/>
    <m/>
    <m/>
    <m/>
    <n v="1"/>
    <n v="201208"/>
    <n v="20000"/>
  </r>
  <r>
    <x v="467"/>
    <x v="6"/>
    <m/>
    <x v="34"/>
    <x v="2"/>
    <x v="128"/>
    <m/>
    <m/>
    <m/>
    <n v="44"/>
    <n v="201208"/>
    <n v="1632400"/>
  </r>
  <r>
    <x v="467"/>
    <x v="6"/>
    <m/>
    <x v="25"/>
    <x v="2"/>
    <x v="129"/>
    <m/>
    <m/>
    <m/>
    <n v="2"/>
    <n v="201208"/>
    <n v="198000"/>
  </r>
  <r>
    <x v="467"/>
    <x v="6"/>
    <m/>
    <x v="0"/>
    <x v="2"/>
    <x v="130"/>
    <m/>
    <m/>
    <m/>
    <n v="35"/>
    <n v="201208"/>
    <n v="1155000"/>
  </r>
  <r>
    <x v="467"/>
    <x v="6"/>
    <m/>
    <x v="0"/>
    <x v="2"/>
    <x v="168"/>
    <m/>
    <m/>
    <m/>
    <n v="3"/>
    <n v="201208"/>
    <n v="60000"/>
  </r>
  <r>
    <x v="467"/>
    <x v="6"/>
    <m/>
    <x v="0"/>
    <x v="2"/>
    <x v="178"/>
    <m/>
    <m/>
    <m/>
    <n v="1"/>
    <n v="201208"/>
    <n v="35000"/>
  </r>
  <r>
    <x v="467"/>
    <x v="6"/>
    <m/>
    <x v="30"/>
    <x v="2"/>
    <x v="132"/>
    <m/>
    <m/>
    <m/>
    <n v="19"/>
    <n v="201208"/>
    <n v="425600"/>
  </r>
  <r>
    <x v="467"/>
    <x v="6"/>
    <m/>
    <x v="30"/>
    <x v="2"/>
    <x v="133"/>
    <m/>
    <m/>
    <m/>
    <n v="2"/>
    <n v="201208"/>
    <n v="78400"/>
  </r>
  <r>
    <x v="467"/>
    <x v="6"/>
    <m/>
    <x v="34"/>
    <x v="2"/>
    <x v="134"/>
    <m/>
    <m/>
    <m/>
    <n v="1"/>
    <n v="201208"/>
    <n v="37100"/>
  </r>
  <r>
    <x v="467"/>
    <x v="6"/>
    <m/>
    <x v="1"/>
    <x v="2"/>
    <x v="135"/>
    <m/>
    <m/>
    <m/>
    <n v="3"/>
    <n v="201208"/>
    <n v="60000"/>
  </r>
  <r>
    <x v="467"/>
    <x v="6"/>
    <m/>
    <x v="36"/>
    <x v="2"/>
    <x v="136"/>
    <m/>
    <m/>
    <m/>
    <n v="8"/>
    <n v="201208"/>
    <n v="224000"/>
  </r>
  <r>
    <x v="467"/>
    <x v="6"/>
    <m/>
    <x v="36"/>
    <x v="2"/>
    <x v="176"/>
    <m/>
    <m/>
    <m/>
    <n v="1"/>
    <n v="201208"/>
    <n v="49000"/>
  </r>
  <r>
    <x v="467"/>
    <x v="6"/>
    <m/>
    <x v="0"/>
    <x v="2"/>
    <x v="139"/>
    <m/>
    <m/>
    <m/>
    <n v="1"/>
    <n v="201208"/>
    <n v="35000"/>
  </r>
  <r>
    <x v="467"/>
    <x v="6"/>
    <m/>
    <x v="0"/>
    <x v="2"/>
    <x v="141"/>
    <m/>
    <m/>
    <m/>
    <n v="1"/>
    <n v="201208"/>
    <n v="33000"/>
  </r>
  <r>
    <x v="467"/>
    <x v="6"/>
    <m/>
    <x v="0"/>
    <x v="2"/>
    <x v="211"/>
    <m/>
    <m/>
    <m/>
    <n v="71"/>
    <n v="201208"/>
    <n v="1420000"/>
  </r>
  <r>
    <x v="467"/>
    <x v="6"/>
    <m/>
    <x v="0"/>
    <x v="2"/>
    <x v="212"/>
    <m/>
    <m/>
    <m/>
    <n v="55"/>
    <n v="201208"/>
    <n v="1925000"/>
  </r>
  <r>
    <x v="467"/>
    <x v="6"/>
    <m/>
    <x v="0"/>
    <x v="2"/>
    <x v="195"/>
    <m/>
    <m/>
    <m/>
    <n v="1"/>
    <n v="201208"/>
    <n v="35000"/>
  </r>
  <r>
    <x v="467"/>
    <x v="6"/>
    <m/>
    <x v="32"/>
    <x v="2"/>
    <x v="213"/>
    <m/>
    <m/>
    <m/>
    <n v="58"/>
    <n v="201208"/>
    <n v="2151800"/>
  </r>
  <r>
    <x v="467"/>
    <x v="6"/>
    <m/>
    <x v="0"/>
    <x v="2"/>
    <x v="197"/>
    <m/>
    <m/>
    <m/>
    <n v="49"/>
    <n v="201208"/>
    <n v="147000"/>
  </r>
  <r>
    <x v="467"/>
    <x v="6"/>
    <m/>
    <x v="4"/>
    <x v="2"/>
    <x v="143"/>
    <m/>
    <m/>
    <m/>
    <n v="6"/>
    <n v="201208"/>
    <n v="120000"/>
  </r>
  <r>
    <x v="467"/>
    <x v="6"/>
    <m/>
    <x v="4"/>
    <x v="2"/>
    <x v="144"/>
    <m/>
    <m/>
    <m/>
    <n v="5"/>
    <n v="201208"/>
    <n v="20000"/>
  </r>
  <r>
    <x v="467"/>
    <x v="6"/>
    <m/>
    <x v="31"/>
    <x v="2"/>
    <x v="198"/>
    <m/>
    <m/>
    <m/>
    <n v="59"/>
    <n v="201208"/>
    <n v="1321600"/>
  </r>
  <r>
    <x v="467"/>
    <x v="6"/>
    <m/>
    <x v="31"/>
    <x v="2"/>
    <x v="199"/>
    <m/>
    <m/>
    <m/>
    <n v="74"/>
    <n v="201208"/>
    <n v="2900800"/>
  </r>
  <r>
    <x v="467"/>
    <x v="6"/>
    <m/>
    <x v="31"/>
    <x v="2"/>
    <x v="214"/>
    <m/>
    <m/>
    <m/>
    <n v="6"/>
    <n v="201208"/>
    <n v="327600"/>
  </r>
  <r>
    <x v="467"/>
    <x v="6"/>
    <m/>
    <x v="32"/>
    <x v="2"/>
    <x v="200"/>
    <m/>
    <m/>
    <m/>
    <n v="1"/>
    <n v="201208"/>
    <n v="37100"/>
  </r>
  <r>
    <x v="467"/>
    <x v="6"/>
    <m/>
    <x v="32"/>
    <x v="2"/>
    <x v="200"/>
    <m/>
    <m/>
    <m/>
    <n v="18"/>
    <n v="201208"/>
    <n v="667800"/>
  </r>
  <r>
    <x v="467"/>
    <x v="6"/>
    <m/>
    <x v="0"/>
    <x v="2"/>
    <x v="148"/>
    <m/>
    <m/>
    <m/>
    <n v="2"/>
    <n v="201208"/>
    <n v="40000"/>
  </r>
  <r>
    <x v="467"/>
    <x v="6"/>
    <m/>
    <x v="31"/>
    <x v="2"/>
    <x v="201"/>
    <m/>
    <m/>
    <m/>
    <n v="9"/>
    <n v="201208"/>
    <n v="201600"/>
  </r>
  <r>
    <x v="467"/>
    <x v="6"/>
    <m/>
    <x v="31"/>
    <x v="2"/>
    <x v="202"/>
    <m/>
    <m/>
    <m/>
    <n v="10"/>
    <n v="201208"/>
    <n v="392000"/>
  </r>
  <r>
    <x v="467"/>
    <x v="6"/>
    <m/>
    <x v="32"/>
    <x v="2"/>
    <x v="203"/>
    <m/>
    <m/>
    <m/>
    <n v="1"/>
    <n v="201208"/>
    <n v="37100"/>
  </r>
  <r>
    <x v="467"/>
    <x v="6"/>
    <m/>
    <x v="31"/>
    <x v="2"/>
    <x v="204"/>
    <m/>
    <m/>
    <m/>
    <n v="51"/>
    <n v="201208"/>
    <n v="1142400"/>
  </r>
  <r>
    <x v="467"/>
    <x v="6"/>
    <m/>
    <x v="31"/>
    <x v="2"/>
    <x v="205"/>
    <m/>
    <m/>
    <m/>
    <n v="75"/>
    <n v="201208"/>
    <n v="2940000"/>
  </r>
  <r>
    <x v="467"/>
    <x v="6"/>
    <m/>
    <x v="31"/>
    <x v="2"/>
    <x v="216"/>
    <m/>
    <m/>
    <m/>
    <n v="12"/>
    <n v="201208"/>
    <n v="655200"/>
  </r>
  <r>
    <x v="467"/>
    <x v="6"/>
    <m/>
    <x v="32"/>
    <x v="2"/>
    <x v="206"/>
    <m/>
    <m/>
    <m/>
    <n v="22"/>
    <n v="201208"/>
    <n v="816200"/>
  </r>
  <r>
    <x v="467"/>
    <x v="6"/>
    <m/>
    <x v="22"/>
    <x v="2"/>
    <x v="150"/>
    <m/>
    <m/>
    <m/>
    <n v="11"/>
    <n v="201208"/>
    <n v="418000"/>
  </r>
  <r>
    <x v="467"/>
    <x v="6"/>
    <m/>
    <x v="22"/>
    <x v="2"/>
    <x v="150"/>
    <m/>
    <m/>
    <m/>
    <n v="4"/>
    <n v="201208"/>
    <n v="152000"/>
  </r>
  <r>
    <x v="467"/>
    <x v="6"/>
    <m/>
    <x v="5"/>
    <x v="2"/>
    <x v="151"/>
    <m/>
    <m/>
    <m/>
    <n v="29"/>
    <n v="201208"/>
    <n v="812000"/>
  </r>
  <r>
    <x v="467"/>
    <x v="6"/>
    <m/>
    <x v="5"/>
    <x v="2"/>
    <x v="152"/>
    <m/>
    <m/>
    <m/>
    <n v="6"/>
    <n v="201208"/>
    <n v="288000"/>
  </r>
  <r>
    <x v="467"/>
    <x v="6"/>
    <m/>
    <x v="5"/>
    <x v="2"/>
    <x v="153"/>
    <m/>
    <m/>
    <m/>
    <n v="7"/>
    <n v="201208"/>
    <n v="196000"/>
  </r>
  <r>
    <x v="467"/>
    <x v="6"/>
    <m/>
    <x v="33"/>
    <x v="2"/>
    <x v="155"/>
    <m/>
    <m/>
    <m/>
    <n v="5"/>
    <n v="201208"/>
    <n v="91000"/>
  </r>
  <r>
    <x v="467"/>
    <x v="6"/>
    <m/>
    <x v="33"/>
    <x v="2"/>
    <x v="156"/>
    <m/>
    <m/>
    <m/>
    <n v="1"/>
    <n v="201208"/>
    <n v="33800"/>
  </r>
  <r>
    <x v="467"/>
    <x v="6"/>
    <m/>
    <x v="19"/>
    <x v="2"/>
    <x v="157"/>
    <m/>
    <m/>
    <m/>
    <n v="30"/>
    <n v="201208"/>
    <n v="390000"/>
  </r>
  <r>
    <x v="467"/>
    <x v="6"/>
    <m/>
    <x v="19"/>
    <x v="2"/>
    <x v="158"/>
    <m/>
    <m/>
    <m/>
    <n v="7"/>
    <n v="201208"/>
    <n v="168000"/>
  </r>
  <r>
    <x v="467"/>
    <x v="6"/>
    <m/>
    <x v="19"/>
    <x v="2"/>
    <x v="159"/>
    <m/>
    <m/>
    <m/>
    <n v="2"/>
    <n v="201208"/>
    <n v="66000"/>
  </r>
  <r>
    <x v="467"/>
    <x v="6"/>
    <m/>
    <x v="35"/>
    <x v="2"/>
    <x v="170"/>
    <m/>
    <m/>
    <m/>
    <n v="1"/>
    <n v="201208"/>
    <n v="4000"/>
  </r>
  <r>
    <x v="467"/>
    <x v="6"/>
    <m/>
    <x v="35"/>
    <x v="2"/>
    <x v="160"/>
    <m/>
    <m/>
    <m/>
    <n v="6"/>
    <n v="201208"/>
    <n v="120000"/>
  </r>
  <r>
    <x v="467"/>
    <x v="6"/>
    <m/>
    <x v="4"/>
    <x v="2"/>
    <x v="208"/>
    <m/>
    <m/>
    <m/>
    <n v="4"/>
    <n v="201208"/>
    <n v="80000"/>
  </r>
  <r>
    <x v="467"/>
    <x v="6"/>
    <m/>
    <x v="18"/>
    <x v="2"/>
    <x v="161"/>
    <m/>
    <m/>
    <m/>
    <n v="23"/>
    <n v="201208"/>
    <n v="69000"/>
  </r>
  <r>
    <x v="467"/>
    <x v="6"/>
    <m/>
    <x v="18"/>
    <x v="2"/>
    <x v="161"/>
    <m/>
    <m/>
    <m/>
    <n v="2"/>
    <n v="201208"/>
    <n v="6000"/>
  </r>
  <r>
    <x v="468"/>
    <x v="3"/>
    <m/>
    <x v="0"/>
    <x v="1"/>
    <x v="123"/>
    <m/>
    <m/>
    <m/>
    <n v="5"/>
    <n v="201208"/>
    <n v="175000"/>
  </r>
  <r>
    <x v="468"/>
    <x v="3"/>
    <m/>
    <x v="0"/>
    <x v="7"/>
    <x v="163"/>
    <m/>
    <m/>
    <m/>
    <n v="2"/>
    <n v="201208"/>
    <n v="40000"/>
  </r>
  <r>
    <x v="468"/>
    <x v="3"/>
    <m/>
    <x v="19"/>
    <x v="3"/>
    <x v="217"/>
    <m/>
    <m/>
    <m/>
    <n v="2"/>
    <n v="201208"/>
    <n v="40000"/>
  </r>
  <r>
    <x v="468"/>
    <x v="3"/>
    <m/>
    <x v="6"/>
    <x v="2"/>
    <x v="126"/>
    <m/>
    <m/>
    <m/>
    <n v="2"/>
    <n v="201208"/>
    <n v="40000"/>
  </r>
  <r>
    <x v="468"/>
    <x v="3"/>
    <m/>
    <x v="6"/>
    <x v="2"/>
    <x v="127"/>
    <m/>
    <m/>
    <m/>
    <n v="4"/>
    <n v="201208"/>
    <n v="140000"/>
  </r>
  <r>
    <x v="468"/>
    <x v="3"/>
    <m/>
    <x v="34"/>
    <x v="2"/>
    <x v="128"/>
    <m/>
    <m/>
    <m/>
    <n v="69"/>
    <n v="201208"/>
    <n v="2559900"/>
  </r>
  <r>
    <x v="468"/>
    <x v="3"/>
    <m/>
    <x v="25"/>
    <x v="2"/>
    <x v="129"/>
    <m/>
    <m/>
    <m/>
    <n v="3"/>
    <n v="201208"/>
    <n v="297000"/>
  </r>
  <r>
    <x v="468"/>
    <x v="3"/>
    <m/>
    <x v="0"/>
    <x v="2"/>
    <x v="130"/>
    <m/>
    <m/>
    <m/>
    <n v="39"/>
    <n v="201208"/>
    <n v="1287000"/>
  </r>
  <r>
    <x v="468"/>
    <x v="3"/>
    <m/>
    <x v="30"/>
    <x v="2"/>
    <x v="132"/>
    <m/>
    <m/>
    <m/>
    <n v="13"/>
    <n v="201208"/>
    <n v="291200"/>
  </r>
  <r>
    <x v="468"/>
    <x v="3"/>
    <m/>
    <x v="30"/>
    <x v="2"/>
    <x v="133"/>
    <m/>
    <m/>
    <m/>
    <n v="6"/>
    <n v="201208"/>
    <n v="235200"/>
  </r>
  <r>
    <x v="468"/>
    <x v="3"/>
    <m/>
    <x v="34"/>
    <x v="2"/>
    <x v="134"/>
    <m/>
    <m/>
    <m/>
    <n v="5"/>
    <n v="201208"/>
    <n v="185500"/>
  </r>
  <r>
    <x v="468"/>
    <x v="3"/>
    <m/>
    <x v="1"/>
    <x v="2"/>
    <x v="135"/>
    <m/>
    <m/>
    <m/>
    <n v="4"/>
    <n v="201208"/>
    <n v="80000"/>
  </r>
  <r>
    <x v="468"/>
    <x v="3"/>
    <m/>
    <x v="36"/>
    <x v="2"/>
    <x v="136"/>
    <m/>
    <m/>
    <m/>
    <n v="4"/>
    <n v="201208"/>
    <n v="112000"/>
  </r>
  <r>
    <x v="468"/>
    <x v="3"/>
    <m/>
    <x v="36"/>
    <x v="2"/>
    <x v="176"/>
    <m/>
    <m/>
    <m/>
    <n v="2"/>
    <n v="201208"/>
    <n v="98000"/>
  </r>
  <r>
    <x v="468"/>
    <x v="3"/>
    <m/>
    <x v="0"/>
    <x v="2"/>
    <x v="211"/>
    <m/>
    <m/>
    <m/>
    <n v="68"/>
    <n v="201208"/>
    <n v="1360000"/>
  </r>
  <r>
    <x v="468"/>
    <x v="3"/>
    <m/>
    <x v="0"/>
    <x v="2"/>
    <x v="212"/>
    <m/>
    <m/>
    <m/>
    <n v="49"/>
    <n v="201208"/>
    <n v="1715000"/>
  </r>
  <r>
    <x v="468"/>
    <x v="3"/>
    <m/>
    <x v="32"/>
    <x v="2"/>
    <x v="213"/>
    <m/>
    <m/>
    <m/>
    <n v="69"/>
    <n v="201208"/>
    <n v="2559900"/>
  </r>
  <r>
    <x v="468"/>
    <x v="3"/>
    <m/>
    <x v="0"/>
    <x v="2"/>
    <x v="197"/>
    <m/>
    <m/>
    <m/>
    <n v="53"/>
    <n v="201208"/>
    <n v="159000"/>
  </r>
  <r>
    <x v="468"/>
    <x v="3"/>
    <m/>
    <x v="4"/>
    <x v="2"/>
    <x v="142"/>
    <m/>
    <m/>
    <m/>
    <n v="1"/>
    <n v="201208"/>
    <n v="4000"/>
  </r>
  <r>
    <x v="468"/>
    <x v="3"/>
    <m/>
    <x v="4"/>
    <x v="2"/>
    <x v="143"/>
    <m/>
    <m/>
    <m/>
    <n v="8"/>
    <n v="201208"/>
    <n v="160000"/>
  </r>
  <r>
    <x v="468"/>
    <x v="3"/>
    <m/>
    <x v="4"/>
    <x v="2"/>
    <x v="144"/>
    <m/>
    <m/>
    <m/>
    <n v="4"/>
    <n v="201208"/>
    <n v="16000"/>
  </r>
  <r>
    <x v="468"/>
    <x v="3"/>
    <m/>
    <x v="31"/>
    <x v="2"/>
    <x v="198"/>
    <m/>
    <m/>
    <m/>
    <n v="74"/>
    <n v="201208"/>
    <n v="1657600"/>
  </r>
  <r>
    <x v="468"/>
    <x v="3"/>
    <m/>
    <x v="31"/>
    <x v="2"/>
    <x v="199"/>
    <m/>
    <m/>
    <m/>
    <n v="105"/>
    <n v="201208"/>
    <n v="4116000"/>
  </r>
  <r>
    <x v="468"/>
    <x v="3"/>
    <m/>
    <x v="31"/>
    <x v="2"/>
    <x v="214"/>
    <m/>
    <m/>
    <m/>
    <n v="21"/>
    <n v="201208"/>
    <n v="1146600"/>
  </r>
  <r>
    <x v="468"/>
    <x v="3"/>
    <m/>
    <x v="32"/>
    <x v="2"/>
    <x v="200"/>
    <m/>
    <m/>
    <m/>
    <n v="1"/>
    <n v="201208"/>
    <n v="37100"/>
  </r>
  <r>
    <x v="468"/>
    <x v="3"/>
    <m/>
    <x v="32"/>
    <x v="2"/>
    <x v="200"/>
    <m/>
    <m/>
    <m/>
    <n v="34"/>
    <n v="201208"/>
    <n v="1261400"/>
  </r>
  <r>
    <x v="468"/>
    <x v="3"/>
    <m/>
    <x v="31"/>
    <x v="2"/>
    <x v="201"/>
    <m/>
    <m/>
    <m/>
    <n v="7"/>
    <n v="201208"/>
    <n v="156800"/>
  </r>
  <r>
    <x v="468"/>
    <x v="3"/>
    <m/>
    <x v="31"/>
    <x v="2"/>
    <x v="202"/>
    <m/>
    <m/>
    <m/>
    <n v="9"/>
    <n v="201208"/>
    <n v="352800"/>
  </r>
  <r>
    <x v="468"/>
    <x v="3"/>
    <m/>
    <x v="31"/>
    <x v="2"/>
    <x v="215"/>
    <m/>
    <m/>
    <m/>
    <n v="3"/>
    <n v="201208"/>
    <n v="163800"/>
  </r>
  <r>
    <x v="468"/>
    <x v="3"/>
    <m/>
    <x v="31"/>
    <x v="2"/>
    <x v="204"/>
    <m/>
    <m/>
    <m/>
    <n v="89"/>
    <n v="201208"/>
    <n v="1993600"/>
  </r>
  <r>
    <x v="468"/>
    <x v="3"/>
    <m/>
    <x v="31"/>
    <x v="2"/>
    <x v="205"/>
    <m/>
    <m/>
    <m/>
    <n v="117"/>
    <n v="201208"/>
    <n v="4586400"/>
  </r>
  <r>
    <x v="468"/>
    <x v="3"/>
    <m/>
    <x v="31"/>
    <x v="2"/>
    <x v="216"/>
    <m/>
    <m/>
    <m/>
    <n v="18"/>
    <n v="201208"/>
    <n v="982800"/>
  </r>
  <r>
    <x v="468"/>
    <x v="3"/>
    <m/>
    <x v="32"/>
    <x v="2"/>
    <x v="206"/>
    <m/>
    <m/>
    <m/>
    <n v="29"/>
    <n v="201208"/>
    <n v="1075900"/>
  </r>
  <r>
    <x v="468"/>
    <x v="3"/>
    <m/>
    <x v="22"/>
    <x v="2"/>
    <x v="150"/>
    <m/>
    <m/>
    <m/>
    <n v="13"/>
    <n v="201208"/>
    <n v="494000"/>
  </r>
  <r>
    <x v="468"/>
    <x v="3"/>
    <m/>
    <x v="22"/>
    <x v="2"/>
    <x v="150"/>
    <m/>
    <m/>
    <m/>
    <n v="9"/>
    <n v="201208"/>
    <n v="342000"/>
  </r>
  <r>
    <x v="468"/>
    <x v="3"/>
    <m/>
    <x v="5"/>
    <x v="2"/>
    <x v="151"/>
    <m/>
    <m/>
    <m/>
    <n v="19"/>
    <n v="201208"/>
    <n v="532000"/>
  </r>
  <r>
    <x v="468"/>
    <x v="3"/>
    <m/>
    <x v="5"/>
    <x v="2"/>
    <x v="152"/>
    <m/>
    <m/>
    <m/>
    <n v="6"/>
    <n v="201208"/>
    <n v="288000"/>
  </r>
  <r>
    <x v="468"/>
    <x v="3"/>
    <m/>
    <x v="5"/>
    <x v="2"/>
    <x v="153"/>
    <m/>
    <m/>
    <m/>
    <n v="6"/>
    <n v="201208"/>
    <n v="168000"/>
  </r>
  <r>
    <x v="468"/>
    <x v="3"/>
    <m/>
    <x v="5"/>
    <x v="2"/>
    <x v="154"/>
    <m/>
    <m/>
    <m/>
    <n v="1"/>
    <n v="201208"/>
    <n v="28000"/>
  </r>
  <r>
    <x v="468"/>
    <x v="3"/>
    <m/>
    <x v="33"/>
    <x v="2"/>
    <x v="155"/>
    <m/>
    <m/>
    <m/>
    <n v="5"/>
    <n v="201208"/>
    <n v="91000"/>
  </r>
  <r>
    <x v="468"/>
    <x v="3"/>
    <m/>
    <x v="33"/>
    <x v="2"/>
    <x v="156"/>
    <m/>
    <m/>
    <m/>
    <n v="3"/>
    <n v="201208"/>
    <n v="101400"/>
  </r>
  <r>
    <x v="468"/>
    <x v="3"/>
    <m/>
    <x v="19"/>
    <x v="2"/>
    <x v="157"/>
    <m/>
    <m/>
    <m/>
    <n v="29"/>
    <n v="201208"/>
    <n v="377000"/>
  </r>
  <r>
    <x v="468"/>
    <x v="3"/>
    <m/>
    <x v="19"/>
    <x v="2"/>
    <x v="158"/>
    <m/>
    <m/>
    <m/>
    <n v="7"/>
    <n v="201208"/>
    <n v="168000"/>
  </r>
  <r>
    <x v="468"/>
    <x v="3"/>
    <m/>
    <x v="19"/>
    <x v="2"/>
    <x v="159"/>
    <m/>
    <m/>
    <m/>
    <n v="4"/>
    <n v="201208"/>
    <n v="132000"/>
  </r>
  <r>
    <x v="468"/>
    <x v="3"/>
    <m/>
    <x v="19"/>
    <x v="2"/>
    <x v="181"/>
    <m/>
    <m/>
    <m/>
    <n v="1"/>
    <n v="201208"/>
    <n v="13000"/>
  </r>
  <r>
    <x v="468"/>
    <x v="3"/>
    <m/>
    <x v="35"/>
    <x v="2"/>
    <x v="170"/>
    <m/>
    <m/>
    <m/>
    <n v="1"/>
    <n v="201208"/>
    <n v="4000"/>
  </r>
  <r>
    <x v="468"/>
    <x v="3"/>
    <m/>
    <x v="4"/>
    <x v="2"/>
    <x v="208"/>
    <m/>
    <m/>
    <m/>
    <n v="3"/>
    <n v="201208"/>
    <n v="60000"/>
  </r>
  <r>
    <x v="468"/>
    <x v="3"/>
    <m/>
    <x v="18"/>
    <x v="2"/>
    <x v="161"/>
    <m/>
    <m/>
    <m/>
    <n v="24"/>
    <n v="201208"/>
    <n v="72000"/>
  </r>
  <r>
    <x v="468"/>
    <x v="3"/>
    <m/>
    <x v="18"/>
    <x v="2"/>
    <x v="161"/>
    <m/>
    <m/>
    <m/>
    <n v="1"/>
    <n v="201208"/>
    <n v="3000"/>
  </r>
  <r>
    <x v="469"/>
    <x v="4"/>
    <m/>
    <x v="6"/>
    <x v="2"/>
    <x v="126"/>
    <m/>
    <m/>
    <m/>
    <n v="3"/>
    <n v="201208"/>
    <n v="60000"/>
  </r>
  <r>
    <x v="469"/>
    <x v="4"/>
    <m/>
    <x v="6"/>
    <x v="2"/>
    <x v="127"/>
    <m/>
    <m/>
    <m/>
    <n v="1"/>
    <n v="201208"/>
    <n v="35000"/>
  </r>
  <r>
    <x v="469"/>
    <x v="4"/>
    <m/>
    <x v="34"/>
    <x v="2"/>
    <x v="128"/>
    <m/>
    <m/>
    <m/>
    <n v="66"/>
    <n v="201208"/>
    <n v="2448600"/>
  </r>
  <r>
    <x v="469"/>
    <x v="4"/>
    <m/>
    <x v="25"/>
    <x v="2"/>
    <x v="129"/>
    <m/>
    <m/>
    <m/>
    <n v="3"/>
    <n v="201208"/>
    <n v="297000"/>
  </r>
  <r>
    <x v="469"/>
    <x v="4"/>
    <m/>
    <x v="0"/>
    <x v="2"/>
    <x v="130"/>
    <m/>
    <m/>
    <m/>
    <n v="46"/>
    <n v="201208"/>
    <n v="1518000"/>
  </r>
  <r>
    <x v="469"/>
    <x v="4"/>
    <m/>
    <x v="0"/>
    <x v="2"/>
    <x v="131"/>
    <m/>
    <m/>
    <m/>
    <n v="1"/>
    <n v="201208"/>
    <n v="33000"/>
  </r>
  <r>
    <x v="469"/>
    <x v="4"/>
    <m/>
    <x v="0"/>
    <x v="2"/>
    <x v="168"/>
    <m/>
    <m/>
    <m/>
    <n v="1"/>
    <n v="201208"/>
    <n v="20000"/>
  </r>
  <r>
    <x v="469"/>
    <x v="4"/>
    <m/>
    <x v="30"/>
    <x v="2"/>
    <x v="132"/>
    <m/>
    <m/>
    <m/>
    <n v="18"/>
    <n v="201208"/>
    <n v="403200"/>
  </r>
  <r>
    <x v="469"/>
    <x v="4"/>
    <m/>
    <x v="30"/>
    <x v="2"/>
    <x v="133"/>
    <m/>
    <m/>
    <m/>
    <n v="3"/>
    <n v="201208"/>
    <n v="117600"/>
  </r>
  <r>
    <x v="469"/>
    <x v="4"/>
    <m/>
    <x v="34"/>
    <x v="2"/>
    <x v="134"/>
    <m/>
    <m/>
    <m/>
    <n v="2"/>
    <n v="201208"/>
    <n v="74200"/>
  </r>
  <r>
    <x v="469"/>
    <x v="4"/>
    <m/>
    <x v="1"/>
    <x v="2"/>
    <x v="135"/>
    <m/>
    <m/>
    <m/>
    <n v="2"/>
    <n v="201208"/>
    <n v="40000"/>
  </r>
  <r>
    <x v="469"/>
    <x v="4"/>
    <m/>
    <x v="1"/>
    <x v="2"/>
    <x v="165"/>
    <m/>
    <m/>
    <m/>
    <n v="1"/>
    <n v="201208"/>
    <n v="35000"/>
  </r>
  <r>
    <x v="469"/>
    <x v="4"/>
    <m/>
    <x v="36"/>
    <x v="2"/>
    <x v="136"/>
    <m/>
    <m/>
    <m/>
    <n v="2"/>
    <n v="201208"/>
    <n v="56000"/>
  </r>
  <r>
    <x v="469"/>
    <x v="4"/>
    <m/>
    <x v="36"/>
    <x v="2"/>
    <x v="176"/>
    <m/>
    <m/>
    <m/>
    <n v="1"/>
    <n v="201208"/>
    <n v="49000"/>
  </r>
  <r>
    <x v="469"/>
    <x v="4"/>
    <m/>
    <x v="0"/>
    <x v="2"/>
    <x v="218"/>
    <m/>
    <m/>
    <m/>
    <n v="16"/>
    <n v="201208"/>
    <n v="320000"/>
  </r>
  <r>
    <x v="469"/>
    <x v="4"/>
    <m/>
    <x v="0"/>
    <x v="2"/>
    <x v="219"/>
    <m/>
    <m/>
    <m/>
    <n v="17"/>
    <n v="201208"/>
    <n v="595000"/>
  </r>
  <r>
    <x v="469"/>
    <x v="4"/>
    <m/>
    <x v="32"/>
    <x v="2"/>
    <x v="220"/>
    <m/>
    <m/>
    <m/>
    <n v="19"/>
    <n v="201208"/>
    <n v="704900"/>
  </r>
  <r>
    <x v="469"/>
    <x v="4"/>
    <m/>
    <x v="18"/>
    <x v="2"/>
    <x v="125"/>
    <m/>
    <m/>
    <m/>
    <n v="9"/>
    <n v="201208"/>
    <n v="27000"/>
  </r>
  <r>
    <x v="469"/>
    <x v="4"/>
    <m/>
    <x v="0"/>
    <x v="2"/>
    <x v="138"/>
    <m/>
    <m/>
    <m/>
    <n v="2"/>
    <n v="201208"/>
    <n v="40000"/>
  </r>
  <r>
    <x v="469"/>
    <x v="4"/>
    <m/>
    <x v="0"/>
    <x v="2"/>
    <x v="141"/>
    <m/>
    <m/>
    <m/>
    <n v="1"/>
    <n v="201208"/>
    <n v="33000"/>
  </r>
  <r>
    <x v="469"/>
    <x v="4"/>
    <m/>
    <x v="0"/>
    <x v="2"/>
    <x v="211"/>
    <m/>
    <m/>
    <m/>
    <n v="78"/>
    <n v="201208"/>
    <n v="1560000"/>
  </r>
  <r>
    <x v="469"/>
    <x v="4"/>
    <m/>
    <x v="0"/>
    <x v="2"/>
    <x v="212"/>
    <m/>
    <m/>
    <m/>
    <n v="57"/>
    <n v="201208"/>
    <n v="1995000"/>
  </r>
  <r>
    <x v="469"/>
    <x v="4"/>
    <m/>
    <x v="32"/>
    <x v="2"/>
    <x v="213"/>
    <m/>
    <m/>
    <m/>
    <n v="48"/>
    <n v="201208"/>
    <n v="1780800"/>
  </r>
  <r>
    <x v="469"/>
    <x v="4"/>
    <m/>
    <x v="0"/>
    <x v="2"/>
    <x v="197"/>
    <m/>
    <m/>
    <m/>
    <n v="64"/>
    <n v="201208"/>
    <n v="192000"/>
  </r>
  <r>
    <x v="469"/>
    <x v="4"/>
    <m/>
    <x v="4"/>
    <x v="2"/>
    <x v="142"/>
    <m/>
    <m/>
    <m/>
    <n v="2"/>
    <n v="201208"/>
    <n v="8000"/>
  </r>
  <r>
    <x v="469"/>
    <x v="4"/>
    <m/>
    <x v="4"/>
    <x v="2"/>
    <x v="143"/>
    <m/>
    <m/>
    <m/>
    <n v="4"/>
    <n v="201208"/>
    <n v="80000"/>
  </r>
  <r>
    <x v="469"/>
    <x v="4"/>
    <m/>
    <x v="4"/>
    <x v="2"/>
    <x v="144"/>
    <m/>
    <m/>
    <m/>
    <n v="2"/>
    <n v="201208"/>
    <n v="8000"/>
  </r>
  <r>
    <x v="469"/>
    <x v="4"/>
    <m/>
    <x v="31"/>
    <x v="2"/>
    <x v="145"/>
    <m/>
    <m/>
    <m/>
    <n v="31"/>
    <n v="201208"/>
    <n v="694400"/>
  </r>
  <r>
    <x v="469"/>
    <x v="4"/>
    <m/>
    <x v="31"/>
    <x v="2"/>
    <x v="146"/>
    <m/>
    <m/>
    <m/>
    <n v="32"/>
    <n v="201208"/>
    <n v="1254400"/>
  </r>
  <r>
    <x v="469"/>
    <x v="4"/>
    <m/>
    <x v="31"/>
    <x v="2"/>
    <x v="221"/>
    <m/>
    <m/>
    <m/>
    <n v="4"/>
    <n v="201208"/>
    <n v="218400"/>
  </r>
  <r>
    <x v="469"/>
    <x v="4"/>
    <m/>
    <x v="32"/>
    <x v="2"/>
    <x v="147"/>
    <m/>
    <m/>
    <m/>
    <n v="6"/>
    <n v="201208"/>
    <n v="222600"/>
  </r>
  <r>
    <x v="469"/>
    <x v="4"/>
    <m/>
    <x v="31"/>
    <x v="2"/>
    <x v="198"/>
    <m/>
    <m/>
    <m/>
    <n v="39"/>
    <n v="201208"/>
    <n v="873600"/>
  </r>
  <r>
    <x v="469"/>
    <x v="4"/>
    <m/>
    <x v="31"/>
    <x v="2"/>
    <x v="199"/>
    <m/>
    <m/>
    <m/>
    <n v="74"/>
    <n v="201208"/>
    <n v="2900800"/>
  </r>
  <r>
    <x v="469"/>
    <x v="4"/>
    <m/>
    <x v="31"/>
    <x v="2"/>
    <x v="214"/>
    <m/>
    <m/>
    <m/>
    <n v="15"/>
    <n v="201208"/>
    <n v="819000"/>
  </r>
  <r>
    <x v="469"/>
    <x v="4"/>
    <m/>
    <x v="32"/>
    <x v="2"/>
    <x v="200"/>
    <m/>
    <m/>
    <m/>
    <n v="14"/>
    <n v="201208"/>
    <n v="519400"/>
  </r>
  <r>
    <x v="469"/>
    <x v="4"/>
    <m/>
    <x v="0"/>
    <x v="2"/>
    <x v="148"/>
    <m/>
    <m/>
    <m/>
    <n v="2"/>
    <n v="201208"/>
    <n v="40000"/>
  </r>
  <r>
    <x v="469"/>
    <x v="4"/>
    <m/>
    <x v="31"/>
    <x v="2"/>
    <x v="189"/>
    <m/>
    <m/>
    <m/>
    <n v="5"/>
    <n v="201208"/>
    <n v="112000"/>
  </r>
  <r>
    <x v="469"/>
    <x v="4"/>
    <m/>
    <x v="31"/>
    <x v="2"/>
    <x v="184"/>
    <m/>
    <m/>
    <m/>
    <n v="3"/>
    <n v="201208"/>
    <n v="117600"/>
  </r>
  <r>
    <x v="469"/>
    <x v="4"/>
    <m/>
    <x v="31"/>
    <x v="2"/>
    <x v="201"/>
    <m/>
    <m/>
    <m/>
    <n v="7"/>
    <n v="201208"/>
    <n v="156800"/>
  </r>
  <r>
    <x v="469"/>
    <x v="4"/>
    <m/>
    <x v="31"/>
    <x v="2"/>
    <x v="202"/>
    <m/>
    <m/>
    <m/>
    <n v="9"/>
    <n v="201208"/>
    <n v="352800"/>
  </r>
  <r>
    <x v="469"/>
    <x v="4"/>
    <m/>
    <x v="31"/>
    <x v="2"/>
    <x v="215"/>
    <m/>
    <m/>
    <m/>
    <n v="2"/>
    <n v="201208"/>
    <n v="109200"/>
  </r>
  <r>
    <x v="469"/>
    <x v="4"/>
    <m/>
    <x v="32"/>
    <x v="2"/>
    <x v="203"/>
    <m/>
    <m/>
    <m/>
    <n v="4"/>
    <n v="201208"/>
    <n v="148400"/>
  </r>
  <r>
    <x v="469"/>
    <x v="4"/>
    <m/>
    <x v="31"/>
    <x v="2"/>
    <x v="186"/>
    <m/>
    <m/>
    <m/>
    <n v="35"/>
    <n v="201208"/>
    <n v="784000"/>
  </r>
  <r>
    <x v="469"/>
    <x v="4"/>
    <m/>
    <x v="31"/>
    <x v="2"/>
    <x v="187"/>
    <m/>
    <m/>
    <m/>
    <n v="22"/>
    <n v="201208"/>
    <n v="862400"/>
  </r>
  <r>
    <x v="469"/>
    <x v="4"/>
    <m/>
    <x v="31"/>
    <x v="2"/>
    <x v="222"/>
    <m/>
    <m/>
    <m/>
    <n v="2"/>
    <n v="201208"/>
    <n v="109200"/>
  </r>
  <r>
    <x v="469"/>
    <x v="4"/>
    <m/>
    <x v="32"/>
    <x v="2"/>
    <x v="188"/>
    <m/>
    <m/>
    <m/>
    <n v="8"/>
    <n v="201208"/>
    <n v="296800"/>
  </r>
  <r>
    <x v="469"/>
    <x v="4"/>
    <m/>
    <x v="31"/>
    <x v="2"/>
    <x v="204"/>
    <m/>
    <m/>
    <m/>
    <n v="48"/>
    <n v="201208"/>
    <n v="1075200"/>
  </r>
  <r>
    <x v="469"/>
    <x v="4"/>
    <m/>
    <x v="31"/>
    <x v="2"/>
    <x v="205"/>
    <m/>
    <m/>
    <m/>
    <n v="60"/>
    <n v="201208"/>
    <n v="2352000"/>
  </r>
  <r>
    <x v="469"/>
    <x v="4"/>
    <m/>
    <x v="31"/>
    <x v="2"/>
    <x v="216"/>
    <m/>
    <m/>
    <m/>
    <n v="5"/>
    <n v="201208"/>
    <n v="273000"/>
  </r>
  <r>
    <x v="469"/>
    <x v="4"/>
    <m/>
    <x v="32"/>
    <x v="2"/>
    <x v="206"/>
    <m/>
    <m/>
    <m/>
    <n v="24"/>
    <n v="201208"/>
    <n v="890400"/>
  </r>
  <r>
    <x v="469"/>
    <x v="4"/>
    <m/>
    <x v="22"/>
    <x v="2"/>
    <x v="150"/>
    <m/>
    <m/>
    <m/>
    <n v="9"/>
    <n v="201208"/>
    <n v="342000"/>
  </r>
  <r>
    <x v="469"/>
    <x v="4"/>
    <m/>
    <x v="22"/>
    <x v="2"/>
    <x v="150"/>
    <m/>
    <m/>
    <m/>
    <n v="7"/>
    <n v="201208"/>
    <n v="266000"/>
  </r>
  <r>
    <x v="469"/>
    <x v="4"/>
    <m/>
    <x v="5"/>
    <x v="2"/>
    <x v="151"/>
    <m/>
    <m/>
    <m/>
    <n v="22"/>
    <n v="201208"/>
    <n v="616000"/>
  </r>
  <r>
    <x v="469"/>
    <x v="4"/>
    <m/>
    <x v="5"/>
    <x v="2"/>
    <x v="152"/>
    <m/>
    <m/>
    <m/>
    <n v="7"/>
    <n v="201208"/>
    <n v="336000"/>
  </r>
  <r>
    <x v="469"/>
    <x v="4"/>
    <m/>
    <x v="5"/>
    <x v="2"/>
    <x v="153"/>
    <m/>
    <m/>
    <m/>
    <n v="13"/>
    <n v="201208"/>
    <n v="364000"/>
  </r>
  <r>
    <x v="469"/>
    <x v="4"/>
    <m/>
    <x v="5"/>
    <x v="2"/>
    <x v="209"/>
    <m/>
    <m/>
    <m/>
    <n v="1"/>
    <n v="201208"/>
    <n v="48000"/>
  </r>
  <r>
    <x v="469"/>
    <x v="4"/>
    <m/>
    <x v="33"/>
    <x v="2"/>
    <x v="155"/>
    <m/>
    <m/>
    <m/>
    <n v="9"/>
    <n v="201208"/>
    <n v="163800"/>
  </r>
  <r>
    <x v="469"/>
    <x v="4"/>
    <m/>
    <x v="33"/>
    <x v="2"/>
    <x v="156"/>
    <m/>
    <m/>
    <m/>
    <n v="3"/>
    <n v="201208"/>
    <n v="101400"/>
  </r>
  <r>
    <x v="469"/>
    <x v="4"/>
    <m/>
    <x v="19"/>
    <x v="2"/>
    <x v="157"/>
    <m/>
    <m/>
    <m/>
    <n v="31"/>
    <n v="201208"/>
    <n v="403000"/>
  </r>
  <r>
    <x v="469"/>
    <x v="4"/>
    <m/>
    <x v="19"/>
    <x v="2"/>
    <x v="158"/>
    <m/>
    <m/>
    <m/>
    <n v="6"/>
    <n v="201208"/>
    <n v="144000"/>
  </r>
  <r>
    <x v="469"/>
    <x v="4"/>
    <m/>
    <x v="19"/>
    <x v="2"/>
    <x v="159"/>
    <m/>
    <m/>
    <m/>
    <n v="2"/>
    <n v="201208"/>
    <n v="66000"/>
  </r>
  <r>
    <x v="469"/>
    <x v="4"/>
    <m/>
    <x v="19"/>
    <x v="2"/>
    <x v="181"/>
    <m/>
    <m/>
    <m/>
    <n v="2"/>
    <n v="201208"/>
    <n v="26000"/>
  </r>
  <r>
    <x v="469"/>
    <x v="4"/>
    <m/>
    <x v="35"/>
    <x v="2"/>
    <x v="170"/>
    <m/>
    <m/>
    <m/>
    <n v="1"/>
    <n v="201208"/>
    <n v="4000"/>
  </r>
  <r>
    <x v="469"/>
    <x v="4"/>
    <m/>
    <x v="35"/>
    <x v="2"/>
    <x v="160"/>
    <m/>
    <m/>
    <m/>
    <n v="3"/>
    <n v="201208"/>
    <n v="60000"/>
  </r>
  <r>
    <x v="469"/>
    <x v="4"/>
    <m/>
    <x v="4"/>
    <x v="2"/>
    <x v="208"/>
    <m/>
    <m/>
    <m/>
    <n v="2"/>
    <n v="201208"/>
    <n v="40000"/>
  </r>
  <r>
    <x v="469"/>
    <x v="4"/>
    <m/>
    <x v="18"/>
    <x v="2"/>
    <x v="161"/>
    <m/>
    <m/>
    <m/>
    <n v="41"/>
    <n v="201208"/>
    <n v="123000"/>
  </r>
  <r>
    <x v="470"/>
    <x v="1"/>
    <m/>
    <x v="0"/>
    <x v="1"/>
    <x v="123"/>
    <m/>
    <m/>
    <m/>
    <n v="3"/>
    <n v="201208"/>
    <n v="105000"/>
  </r>
  <r>
    <x v="470"/>
    <x v="1"/>
    <m/>
    <x v="0"/>
    <x v="7"/>
    <x v="163"/>
    <m/>
    <m/>
    <m/>
    <n v="3"/>
    <n v="201208"/>
    <n v="60000"/>
  </r>
  <r>
    <x v="470"/>
    <x v="1"/>
    <m/>
    <x v="6"/>
    <x v="2"/>
    <x v="126"/>
    <m/>
    <m/>
    <m/>
    <n v="3"/>
    <n v="201208"/>
    <n v="60000"/>
  </r>
  <r>
    <x v="470"/>
    <x v="1"/>
    <m/>
    <x v="34"/>
    <x v="2"/>
    <x v="128"/>
    <m/>
    <m/>
    <m/>
    <n v="60"/>
    <n v="201208"/>
    <n v="2226000"/>
  </r>
  <r>
    <x v="470"/>
    <x v="1"/>
    <m/>
    <x v="25"/>
    <x v="2"/>
    <x v="129"/>
    <m/>
    <m/>
    <m/>
    <n v="3"/>
    <n v="201208"/>
    <n v="297000"/>
  </r>
  <r>
    <x v="470"/>
    <x v="1"/>
    <m/>
    <x v="0"/>
    <x v="2"/>
    <x v="130"/>
    <m/>
    <m/>
    <m/>
    <n v="47"/>
    <n v="201208"/>
    <n v="1551000"/>
  </r>
  <r>
    <x v="470"/>
    <x v="1"/>
    <m/>
    <x v="0"/>
    <x v="2"/>
    <x v="168"/>
    <m/>
    <m/>
    <m/>
    <n v="2"/>
    <n v="201208"/>
    <n v="40000"/>
  </r>
  <r>
    <x v="470"/>
    <x v="1"/>
    <m/>
    <x v="30"/>
    <x v="2"/>
    <x v="132"/>
    <m/>
    <m/>
    <m/>
    <n v="20"/>
    <n v="201208"/>
    <n v="448000"/>
  </r>
  <r>
    <x v="470"/>
    <x v="1"/>
    <m/>
    <x v="30"/>
    <x v="2"/>
    <x v="133"/>
    <m/>
    <m/>
    <m/>
    <n v="1"/>
    <n v="201208"/>
    <n v="39200"/>
  </r>
  <r>
    <x v="470"/>
    <x v="1"/>
    <m/>
    <x v="1"/>
    <x v="2"/>
    <x v="135"/>
    <m/>
    <m/>
    <m/>
    <n v="6"/>
    <n v="201208"/>
    <n v="120000"/>
  </r>
  <r>
    <x v="470"/>
    <x v="1"/>
    <m/>
    <x v="36"/>
    <x v="2"/>
    <x v="136"/>
    <m/>
    <m/>
    <m/>
    <n v="2"/>
    <n v="201208"/>
    <n v="56000"/>
  </r>
  <r>
    <x v="470"/>
    <x v="1"/>
    <m/>
    <x v="36"/>
    <x v="2"/>
    <x v="176"/>
    <m/>
    <m/>
    <m/>
    <n v="1"/>
    <n v="201208"/>
    <n v="49000"/>
  </r>
  <r>
    <x v="470"/>
    <x v="1"/>
    <m/>
    <x v="36"/>
    <x v="2"/>
    <x v="137"/>
    <m/>
    <m/>
    <m/>
    <n v="1"/>
    <n v="201208"/>
    <n v="42000"/>
  </r>
  <r>
    <x v="470"/>
    <x v="1"/>
    <m/>
    <x v="0"/>
    <x v="2"/>
    <x v="218"/>
    <m/>
    <m/>
    <m/>
    <n v="78"/>
    <n v="201208"/>
    <n v="1560000"/>
  </r>
  <r>
    <x v="470"/>
    <x v="1"/>
    <m/>
    <x v="0"/>
    <x v="2"/>
    <x v="219"/>
    <m/>
    <m/>
    <m/>
    <n v="57"/>
    <n v="201208"/>
    <n v="1995000"/>
  </r>
  <r>
    <x v="470"/>
    <x v="1"/>
    <m/>
    <x v="32"/>
    <x v="2"/>
    <x v="220"/>
    <m/>
    <m/>
    <m/>
    <n v="52"/>
    <n v="201208"/>
    <n v="1929200"/>
  </r>
  <r>
    <x v="470"/>
    <x v="1"/>
    <m/>
    <x v="18"/>
    <x v="2"/>
    <x v="125"/>
    <m/>
    <m/>
    <m/>
    <n v="63"/>
    <n v="201208"/>
    <n v="189000"/>
  </r>
  <r>
    <x v="470"/>
    <x v="1"/>
    <m/>
    <x v="0"/>
    <x v="2"/>
    <x v="138"/>
    <m/>
    <m/>
    <m/>
    <n v="2"/>
    <n v="201208"/>
    <n v="40000"/>
  </r>
  <r>
    <x v="470"/>
    <x v="1"/>
    <m/>
    <x v="0"/>
    <x v="2"/>
    <x v="211"/>
    <m/>
    <m/>
    <m/>
    <n v="1"/>
    <n v="201208"/>
    <n v="20000"/>
  </r>
  <r>
    <x v="470"/>
    <x v="1"/>
    <m/>
    <x v="0"/>
    <x v="2"/>
    <x v="197"/>
    <m/>
    <m/>
    <m/>
    <n v="1"/>
    <n v="201208"/>
    <n v="3000"/>
  </r>
  <r>
    <x v="470"/>
    <x v="1"/>
    <m/>
    <x v="4"/>
    <x v="2"/>
    <x v="143"/>
    <m/>
    <m/>
    <m/>
    <n v="6"/>
    <n v="201208"/>
    <n v="120000"/>
  </r>
  <r>
    <x v="470"/>
    <x v="1"/>
    <m/>
    <x v="4"/>
    <x v="2"/>
    <x v="144"/>
    <m/>
    <m/>
    <m/>
    <n v="10"/>
    <n v="201208"/>
    <n v="40000"/>
  </r>
  <r>
    <x v="470"/>
    <x v="1"/>
    <m/>
    <x v="31"/>
    <x v="2"/>
    <x v="145"/>
    <m/>
    <m/>
    <m/>
    <n v="80"/>
    <n v="201208"/>
    <n v="1792000"/>
  </r>
  <r>
    <x v="470"/>
    <x v="1"/>
    <m/>
    <x v="31"/>
    <x v="2"/>
    <x v="146"/>
    <m/>
    <m/>
    <m/>
    <n v="99"/>
    <n v="201208"/>
    <n v="3880800"/>
  </r>
  <r>
    <x v="470"/>
    <x v="1"/>
    <m/>
    <x v="31"/>
    <x v="2"/>
    <x v="221"/>
    <m/>
    <m/>
    <m/>
    <n v="18"/>
    <n v="201208"/>
    <n v="982800"/>
  </r>
  <r>
    <x v="470"/>
    <x v="1"/>
    <m/>
    <x v="32"/>
    <x v="2"/>
    <x v="147"/>
    <m/>
    <m/>
    <m/>
    <n v="23"/>
    <n v="201208"/>
    <n v="853300"/>
  </r>
  <r>
    <x v="470"/>
    <x v="1"/>
    <m/>
    <x v="31"/>
    <x v="2"/>
    <x v="198"/>
    <m/>
    <m/>
    <m/>
    <n v="1"/>
    <n v="201208"/>
    <n v="22400"/>
  </r>
  <r>
    <x v="470"/>
    <x v="1"/>
    <m/>
    <x v="31"/>
    <x v="2"/>
    <x v="199"/>
    <m/>
    <m/>
    <m/>
    <n v="2"/>
    <n v="201208"/>
    <n v="78400"/>
  </r>
  <r>
    <x v="470"/>
    <x v="1"/>
    <m/>
    <x v="32"/>
    <x v="2"/>
    <x v="200"/>
    <m/>
    <m/>
    <m/>
    <n v="1"/>
    <n v="201208"/>
    <n v="37100"/>
  </r>
  <r>
    <x v="470"/>
    <x v="1"/>
    <m/>
    <x v="0"/>
    <x v="2"/>
    <x v="148"/>
    <m/>
    <m/>
    <m/>
    <n v="1"/>
    <n v="201208"/>
    <n v="20000"/>
  </r>
  <r>
    <x v="470"/>
    <x v="1"/>
    <m/>
    <x v="31"/>
    <x v="2"/>
    <x v="189"/>
    <m/>
    <m/>
    <m/>
    <n v="5"/>
    <n v="201208"/>
    <n v="112000"/>
  </r>
  <r>
    <x v="470"/>
    <x v="1"/>
    <m/>
    <x v="31"/>
    <x v="2"/>
    <x v="184"/>
    <m/>
    <m/>
    <m/>
    <n v="14"/>
    <n v="201208"/>
    <n v="548800"/>
  </r>
  <r>
    <x v="470"/>
    <x v="1"/>
    <m/>
    <x v="31"/>
    <x v="2"/>
    <x v="223"/>
    <m/>
    <m/>
    <m/>
    <n v="5"/>
    <n v="201208"/>
    <n v="273000"/>
  </r>
  <r>
    <x v="470"/>
    <x v="1"/>
    <m/>
    <x v="32"/>
    <x v="2"/>
    <x v="185"/>
    <m/>
    <m/>
    <m/>
    <n v="1"/>
    <n v="201208"/>
    <n v="37100"/>
  </r>
  <r>
    <x v="470"/>
    <x v="1"/>
    <m/>
    <x v="31"/>
    <x v="2"/>
    <x v="186"/>
    <m/>
    <m/>
    <m/>
    <n v="86"/>
    <n v="201208"/>
    <n v="1926400"/>
  </r>
  <r>
    <x v="470"/>
    <x v="1"/>
    <m/>
    <x v="31"/>
    <x v="2"/>
    <x v="187"/>
    <m/>
    <m/>
    <m/>
    <n v="81"/>
    <n v="201208"/>
    <n v="3175200"/>
  </r>
  <r>
    <x v="470"/>
    <x v="1"/>
    <m/>
    <x v="31"/>
    <x v="2"/>
    <x v="222"/>
    <m/>
    <m/>
    <m/>
    <n v="6"/>
    <n v="201208"/>
    <n v="327600"/>
  </r>
  <r>
    <x v="470"/>
    <x v="1"/>
    <m/>
    <x v="32"/>
    <x v="2"/>
    <x v="188"/>
    <m/>
    <m/>
    <m/>
    <n v="17"/>
    <n v="201208"/>
    <n v="630700"/>
  </r>
  <r>
    <x v="470"/>
    <x v="1"/>
    <m/>
    <x v="22"/>
    <x v="2"/>
    <x v="150"/>
    <m/>
    <m/>
    <m/>
    <n v="8"/>
    <n v="201208"/>
    <n v="304000"/>
  </r>
  <r>
    <x v="470"/>
    <x v="1"/>
    <m/>
    <x v="22"/>
    <x v="2"/>
    <x v="150"/>
    <m/>
    <m/>
    <m/>
    <n v="8"/>
    <n v="201208"/>
    <n v="304000"/>
  </r>
  <r>
    <x v="470"/>
    <x v="1"/>
    <m/>
    <x v="5"/>
    <x v="2"/>
    <x v="151"/>
    <m/>
    <m/>
    <m/>
    <n v="22"/>
    <n v="201208"/>
    <n v="616000"/>
  </r>
  <r>
    <x v="470"/>
    <x v="1"/>
    <m/>
    <x v="5"/>
    <x v="2"/>
    <x v="152"/>
    <m/>
    <m/>
    <m/>
    <n v="10"/>
    <n v="201208"/>
    <n v="480000"/>
  </r>
  <r>
    <x v="470"/>
    <x v="1"/>
    <m/>
    <x v="5"/>
    <x v="2"/>
    <x v="153"/>
    <m/>
    <m/>
    <m/>
    <n v="5"/>
    <n v="201208"/>
    <n v="140000"/>
  </r>
  <r>
    <x v="470"/>
    <x v="1"/>
    <m/>
    <x v="33"/>
    <x v="2"/>
    <x v="155"/>
    <m/>
    <m/>
    <m/>
    <n v="4"/>
    <n v="201208"/>
    <n v="72800"/>
  </r>
  <r>
    <x v="470"/>
    <x v="1"/>
    <m/>
    <x v="33"/>
    <x v="2"/>
    <x v="156"/>
    <m/>
    <m/>
    <m/>
    <n v="4"/>
    <n v="201208"/>
    <n v="135200"/>
  </r>
  <r>
    <x v="470"/>
    <x v="1"/>
    <m/>
    <x v="19"/>
    <x v="2"/>
    <x v="157"/>
    <m/>
    <m/>
    <m/>
    <n v="27"/>
    <n v="201208"/>
    <n v="351000"/>
  </r>
  <r>
    <x v="470"/>
    <x v="1"/>
    <m/>
    <x v="19"/>
    <x v="2"/>
    <x v="158"/>
    <m/>
    <m/>
    <m/>
    <n v="6"/>
    <n v="201208"/>
    <n v="144000"/>
  </r>
  <r>
    <x v="470"/>
    <x v="1"/>
    <m/>
    <x v="19"/>
    <x v="2"/>
    <x v="159"/>
    <m/>
    <m/>
    <m/>
    <n v="3"/>
    <n v="201208"/>
    <n v="99000"/>
  </r>
  <r>
    <x v="470"/>
    <x v="1"/>
    <m/>
    <x v="35"/>
    <x v="2"/>
    <x v="170"/>
    <m/>
    <m/>
    <m/>
    <n v="1"/>
    <n v="201208"/>
    <n v="4000"/>
  </r>
  <r>
    <x v="470"/>
    <x v="1"/>
    <m/>
    <x v="35"/>
    <x v="2"/>
    <x v="160"/>
    <m/>
    <m/>
    <m/>
    <n v="2"/>
    <n v="201208"/>
    <n v="40000"/>
  </r>
  <r>
    <x v="470"/>
    <x v="1"/>
    <m/>
    <x v="4"/>
    <x v="2"/>
    <x v="208"/>
    <m/>
    <m/>
    <m/>
    <n v="8"/>
    <n v="201208"/>
    <n v="160000"/>
  </r>
  <r>
    <x v="470"/>
    <x v="1"/>
    <m/>
    <x v="18"/>
    <x v="2"/>
    <x v="161"/>
    <m/>
    <m/>
    <m/>
    <n v="46"/>
    <n v="201208"/>
    <n v="138000"/>
  </r>
  <r>
    <x v="470"/>
    <x v="1"/>
    <m/>
    <x v="18"/>
    <x v="2"/>
    <x v="161"/>
    <m/>
    <m/>
    <m/>
    <n v="1"/>
    <n v="201208"/>
    <n v="3000"/>
  </r>
  <r>
    <x v="471"/>
    <x v="0"/>
    <m/>
    <x v="0"/>
    <x v="1"/>
    <x v="124"/>
    <m/>
    <m/>
    <m/>
    <n v="1"/>
    <n v="201208"/>
    <n v="20000"/>
  </r>
  <r>
    <x v="471"/>
    <x v="0"/>
    <m/>
    <x v="0"/>
    <x v="3"/>
    <x v="164"/>
    <m/>
    <m/>
    <m/>
    <n v="6"/>
    <n v="201208"/>
    <n v="0"/>
  </r>
  <r>
    <x v="471"/>
    <x v="0"/>
    <m/>
    <x v="6"/>
    <x v="2"/>
    <x v="126"/>
    <m/>
    <m/>
    <m/>
    <n v="2"/>
    <n v="201208"/>
    <n v="40000"/>
  </r>
  <r>
    <x v="471"/>
    <x v="0"/>
    <m/>
    <x v="34"/>
    <x v="2"/>
    <x v="128"/>
    <m/>
    <m/>
    <m/>
    <n v="72"/>
    <n v="201208"/>
    <n v="2671200"/>
  </r>
  <r>
    <x v="471"/>
    <x v="0"/>
    <m/>
    <x v="25"/>
    <x v="2"/>
    <x v="129"/>
    <m/>
    <m/>
    <m/>
    <n v="2"/>
    <n v="201208"/>
    <n v="198000"/>
  </r>
  <r>
    <x v="471"/>
    <x v="0"/>
    <m/>
    <x v="0"/>
    <x v="2"/>
    <x v="130"/>
    <m/>
    <m/>
    <m/>
    <n v="28"/>
    <n v="201208"/>
    <n v="924000"/>
  </r>
  <r>
    <x v="471"/>
    <x v="0"/>
    <m/>
    <x v="0"/>
    <x v="2"/>
    <x v="224"/>
    <m/>
    <m/>
    <m/>
    <n v="10"/>
    <n v="201208"/>
    <n v="330000"/>
  </r>
  <r>
    <x v="471"/>
    <x v="0"/>
    <m/>
    <x v="0"/>
    <x v="2"/>
    <x v="225"/>
    <m/>
    <m/>
    <m/>
    <n v="1"/>
    <n v="201208"/>
    <n v="38000"/>
  </r>
  <r>
    <x v="471"/>
    <x v="0"/>
    <m/>
    <x v="0"/>
    <x v="2"/>
    <x v="178"/>
    <m/>
    <m/>
    <m/>
    <n v="2"/>
    <n v="201208"/>
    <n v="70000"/>
  </r>
  <r>
    <x v="471"/>
    <x v="0"/>
    <m/>
    <x v="0"/>
    <x v="2"/>
    <x v="179"/>
    <m/>
    <m/>
    <m/>
    <n v="1"/>
    <n v="201208"/>
    <n v="3000"/>
  </r>
  <r>
    <x v="471"/>
    <x v="0"/>
    <m/>
    <x v="30"/>
    <x v="2"/>
    <x v="132"/>
    <m/>
    <m/>
    <m/>
    <n v="12"/>
    <n v="201208"/>
    <n v="268800"/>
  </r>
  <r>
    <x v="471"/>
    <x v="0"/>
    <m/>
    <x v="30"/>
    <x v="2"/>
    <x v="133"/>
    <m/>
    <m/>
    <m/>
    <n v="5"/>
    <n v="201208"/>
    <n v="196000"/>
  </r>
  <r>
    <x v="471"/>
    <x v="0"/>
    <m/>
    <x v="34"/>
    <x v="2"/>
    <x v="134"/>
    <m/>
    <m/>
    <m/>
    <n v="4"/>
    <n v="201208"/>
    <n v="148400"/>
  </r>
  <r>
    <x v="471"/>
    <x v="0"/>
    <m/>
    <x v="1"/>
    <x v="2"/>
    <x v="135"/>
    <m/>
    <m/>
    <m/>
    <n v="4"/>
    <n v="201208"/>
    <n v="80000"/>
  </r>
  <r>
    <x v="471"/>
    <x v="0"/>
    <m/>
    <x v="36"/>
    <x v="2"/>
    <x v="136"/>
    <m/>
    <m/>
    <m/>
    <n v="1"/>
    <n v="201208"/>
    <n v="28000"/>
  </r>
  <r>
    <x v="471"/>
    <x v="0"/>
    <m/>
    <x v="36"/>
    <x v="2"/>
    <x v="176"/>
    <m/>
    <m/>
    <m/>
    <n v="2"/>
    <n v="201208"/>
    <n v="98000"/>
  </r>
  <r>
    <x v="471"/>
    <x v="0"/>
    <m/>
    <x v="0"/>
    <x v="2"/>
    <x v="218"/>
    <m/>
    <m/>
    <m/>
    <n v="74"/>
    <n v="201208"/>
    <n v="1480000"/>
  </r>
  <r>
    <x v="471"/>
    <x v="0"/>
    <m/>
    <x v="0"/>
    <x v="2"/>
    <x v="219"/>
    <m/>
    <m/>
    <m/>
    <n v="58"/>
    <n v="201208"/>
    <n v="2030000"/>
  </r>
  <r>
    <x v="471"/>
    <x v="0"/>
    <m/>
    <x v="32"/>
    <x v="2"/>
    <x v="220"/>
    <m/>
    <m/>
    <m/>
    <n v="39"/>
    <n v="201208"/>
    <n v="1446900"/>
  </r>
  <r>
    <x v="471"/>
    <x v="0"/>
    <m/>
    <x v="18"/>
    <x v="2"/>
    <x v="125"/>
    <m/>
    <m/>
    <m/>
    <n v="60"/>
    <n v="201208"/>
    <n v="180000"/>
  </r>
  <r>
    <x v="471"/>
    <x v="0"/>
    <m/>
    <x v="0"/>
    <x v="2"/>
    <x v="141"/>
    <m/>
    <m/>
    <m/>
    <n v="2"/>
    <n v="201208"/>
    <n v="66000"/>
  </r>
  <r>
    <x v="471"/>
    <x v="0"/>
    <m/>
    <x v="4"/>
    <x v="2"/>
    <x v="143"/>
    <m/>
    <m/>
    <m/>
    <n v="4"/>
    <n v="201208"/>
    <n v="80000"/>
  </r>
  <r>
    <x v="471"/>
    <x v="0"/>
    <m/>
    <x v="4"/>
    <x v="2"/>
    <x v="144"/>
    <m/>
    <m/>
    <m/>
    <n v="1"/>
    <n v="201208"/>
    <n v="4000"/>
  </r>
  <r>
    <x v="471"/>
    <x v="0"/>
    <m/>
    <x v="31"/>
    <x v="2"/>
    <x v="145"/>
    <m/>
    <m/>
    <m/>
    <n v="70"/>
    <n v="201208"/>
    <n v="1568000"/>
  </r>
  <r>
    <x v="471"/>
    <x v="0"/>
    <m/>
    <x v="31"/>
    <x v="2"/>
    <x v="146"/>
    <m/>
    <m/>
    <m/>
    <n v="87"/>
    <n v="201208"/>
    <n v="3410400"/>
  </r>
  <r>
    <x v="471"/>
    <x v="0"/>
    <m/>
    <x v="31"/>
    <x v="2"/>
    <x v="221"/>
    <m/>
    <m/>
    <m/>
    <n v="18"/>
    <n v="201208"/>
    <n v="982800"/>
  </r>
  <r>
    <x v="471"/>
    <x v="0"/>
    <m/>
    <x v="32"/>
    <x v="2"/>
    <x v="147"/>
    <m/>
    <m/>
    <m/>
    <n v="25"/>
    <n v="201208"/>
    <n v="927500"/>
  </r>
  <r>
    <x v="471"/>
    <x v="0"/>
    <m/>
    <x v="31"/>
    <x v="2"/>
    <x v="198"/>
    <m/>
    <m/>
    <m/>
    <n v="1"/>
    <n v="201208"/>
    <n v="22400"/>
  </r>
  <r>
    <x v="471"/>
    <x v="0"/>
    <m/>
    <x v="31"/>
    <x v="2"/>
    <x v="189"/>
    <m/>
    <m/>
    <m/>
    <n v="7"/>
    <n v="201208"/>
    <n v="156800"/>
  </r>
  <r>
    <x v="471"/>
    <x v="0"/>
    <m/>
    <x v="31"/>
    <x v="2"/>
    <x v="184"/>
    <m/>
    <m/>
    <m/>
    <n v="11"/>
    <n v="201208"/>
    <n v="431200"/>
  </r>
  <r>
    <x v="471"/>
    <x v="0"/>
    <m/>
    <x v="31"/>
    <x v="2"/>
    <x v="223"/>
    <m/>
    <m/>
    <m/>
    <n v="3"/>
    <n v="201208"/>
    <n v="163800"/>
  </r>
  <r>
    <x v="471"/>
    <x v="0"/>
    <m/>
    <x v="32"/>
    <x v="2"/>
    <x v="185"/>
    <m/>
    <m/>
    <m/>
    <n v="2"/>
    <n v="201208"/>
    <n v="74200"/>
  </r>
  <r>
    <x v="471"/>
    <x v="0"/>
    <m/>
    <x v="31"/>
    <x v="2"/>
    <x v="186"/>
    <m/>
    <m/>
    <m/>
    <n v="70"/>
    <n v="201208"/>
    <n v="1568000"/>
  </r>
  <r>
    <x v="471"/>
    <x v="0"/>
    <m/>
    <x v="31"/>
    <x v="2"/>
    <x v="187"/>
    <m/>
    <m/>
    <m/>
    <n v="77"/>
    <n v="201208"/>
    <n v="3018400"/>
  </r>
  <r>
    <x v="471"/>
    <x v="0"/>
    <m/>
    <x v="31"/>
    <x v="2"/>
    <x v="222"/>
    <m/>
    <m/>
    <m/>
    <n v="8"/>
    <n v="201208"/>
    <n v="436800"/>
  </r>
  <r>
    <x v="471"/>
    <x v="0"/>
    <m/>
    <x v="32"/>
    <x v="2"/>
    <x v="188"/>
    <m/>
    <m/>
    <m/>
    <n v="21"/>
    <n v="201208"/>
    <n v="779100"/>
  </r>
  <r>
    <x v="471"/>
    <x v="0"/>
    <m/>
    <x v="31"/>
    <x v="2"/>
    <x v="204"/>
    <m/>
    <m/>
    <m/>
    <n v="1"/>
    <n v="201208"/>
    <n v="22400"/>
  </r>
  <r>
    <x v="471"/>
    <x v="0"/>
    <m/>
    <x v="31"/>
    <x v="2"/>
    <x v="216"/>
    <m/>
    <m/>
    <m/>
    <n v="1"/>
    <n v="201208"/>
    <n v="54600"/>
  </r>
  <r>
    <x v="471"/>
    <x v="0"/>
    <m/>
    <x v="22"/>
    <x v="2"/>
    <x v="150"/>
    <m/>
    <m/>
    <m/>
    <n v="9"/>
    <n v="201208"/>
    <n v="342000"/>
  </r>
  <r>
    <x v="471"/>
    <x v="0"/>
    <m/>
    <x v="22"/>
    <x v="2"/>
    <x v="150"/>
    <m/>
    <m/>
    <m/>
    <n v="8"/>
    <n v="201208"/>
    <n v="304000"/>
  </r>
  <r>
    <x v="471"/>
    <x v="0"/>
    <m/>
    <x v="5"/>
    <x v="2"/>
    <x v="151"/>
    <m/>
    <m/>
    <m/>
    <n v="21"/>
    <n v="201208"/>
    <n v="588000"/>
  </r>
  <r>
    <x v="471"/>
    <x v="0"/>
    <m/>
    <x v="5"/>
    <x v="2"/>
    <x v="152"/>
    <m/>
    <m/>
    <m/>
    <n v="10"/>
    <n v="201208"/>
    <n v="480000"/>
  </r>
  <r>
    <x v="471"/>
    <x v="0"/>
    <m/>
    <x v="5"/>
    <x v="2"/>
    <x v="153"/>
    <m/>
    <m/>
    <m/>
    <n v="6"/>
    <n v="201208"/>
    <n v="168000"/>
  </r>
  <r>
    <x v="471"/>
    <x v="0"/>
    <m/>
    <x v="5"/>
    <x v="2"/>
    <x v="209"/>
    <m/>
    <m/>
    <m/>
    <n v="1"/>
    <n v="201208"/>
    <n v="48000"/>
  </r>
  <r>
    <x v="471"/>
    <x v="0"/>
    <m/>
    <x v="33"/>
    <x v="2"/>
    <x v="155"/>
    <m/>
    <m/>
    <m/>
    <n v="2"/>
    <n v="201208"/>
    <n v="36400"/>
  </r>
  <r>
    <x v="471"/>
    <x v="0"/>
    <m/>
    <x v="19"/>
    <x v="2"/>
    <x v="157"/>
    <m/>
    <m/>
    <m/>
    <n v="28"/>
    <n v="201208"/>
    <n v="364000"/>
  </r>
  <r>
    <x v="471"/>
    <x v="0"/>
    <m/>
    <x v="19"/>
    <x v="2"/>
    <x v="158"/>
    <m/>
    <m/>
    <m/>
    <n v="5"/>
    <n v="201208"/>
    <n v="120000"/>
  </r>
  <r>
    <x v="471"/>
    <x v="0"/>
    <m/>
    <x v="19"/>
    <x v="2"/>
    <x v="159"/>
    <m/>
    <m/>
    <m/>
    <n v="5"/>
    <n v="201208"/>
    <n v="165000"/>
  </r>
  <r>
    <x v="471"/>
    <x v="0"/>
    <m/>
    <x v="19"/>
    <x v="2"/>
    <x v="181"/>
    <m/>
    <m/>
    <m/>
    <n v="3"/>
    <n v="201208"/>
    <n v="39000"/>
  </r>
  <r>
    <x v="471"/>
    <x v="0"/>
    <m/>
    <x v="35"/>
    <x v="2"/>
    <x v="160"/>
    <m/>
    <m/>
    <m/>
    <n v="2"/>
    <n v="201208"/>
    <n v="40000"/>
  </r>
  <r>
    <x v="471"/>
    <x v="0"/>
    <m/>
    <x v="4"/>
    <x v="2"/>
    <x v="207"/>
    <m/>
    <m/>
    <m/>
    <n v="1"/>
    <n v="201208"/>
    <n v="4000"/>
  </r>
  <r>
    <x v="471"/>
    <x v="0"/>
    <m/>
    <x v="4"/>
    <x v="2"/>
    <x v="208"/>
    <m/>
    <m/>
    <m/>
    <n v="3"/>
    <n v="201208"/>
    <n v="60000"/>
  </r>
  <r>
    <x v="471"/>
    <x v="0"/>
    <m/>
    <x v="18"/>
    <x v="2"/>
    <x v="161"/>
    <m/>
    <m/>
    <m/>
    <n v="18"/>
    <n v="201208"/>
    <n v="54000"/>
  </r>
  <r>
    <x v="471"/>
    <x v="0"/>
    <m/>
    <x v="18"/>
    <x v="2"/>
    <x v="161"/>
    <m/>
    <m/>
    <m/>
    <n v="4"/>
    <n v="201208"/>
    <n v="12000"/>
  </r>
  <r>
    <x v="471"/>
    <x v="0"/>
    <m/>
    <x v="31"/>
    <x v="9"/>
    <x v="167"/>
    <m/>
    <m/>
    <m/>
    <n v="1"/>
    <n v="201208"/>
    <n v="22400"/>
  </r>
  <r>
    <x v="471"/>
    <x v="0"/>
    <m/>
    <x v="39"/>
    <x v="9"/>
    <x v="226"/>
    <m/>
    <m/>
    <m/>
    <n v="1"/>
    <n v="201208"/>
    <n v="38000"/>
  </r>
  <r>
    <x v="472"/>
    <x v="2"/>
    <m/>
    <x v="0"/>
    <x v="1"/>
    <x v="123"/>
    <m/>
    <m/>
    <m/>
    <n v="2"/>
    <n v="201208"/>
    <n v="70000"/>
  </r>
  <r>
    <x v="472"/>
    <x v="2"/>
    <m/>
    <x v="0"/>
    <x v="7"/>
    <x v="163"/>
    <m/>
    <m/>
    <m/>
    <n v="1"/>
    <n v="201208"/>
    <n v="20000"/>
  </r>
  <r>
    <x v="472"/>
    <x v="2"/>
    <m/>
    <x v="6"/>
    <x v="2"/>
    <x v="126"/>
    <m/>
    <m/>
    <m/>
    <n v="1"/>
    <n v="201208"/>
    <n v="20000"/>
  </r>
  <r>
    <x v="472"/>
    <x v="2"/>
    <m/>
    <x v="6"/>
    <x v="2"/>
    <x v="127"/>
    <m/>
    <m/>
    <m/>
    <n v="2"/>
    <n v="201208"/>
    <n v="70000"/>
  </r>
  <r>
    <x v="472"/>
    <x v="2"/>
    <m/>
    <x v="31"/>
    <x v="2"/>
    <x v="227"/>
    <m/>
    <m/>
    <m/>
    <n v="22"/>
    <n v="201208"/>
    <n v="492800"/>
  </r>
  <r>
    <x v="472"/>
    <x v="2"/>
    <m/>
    <x v="31"/>
    <x v="2"/>
    <x v="228"/>
    <m/>
    <m/>
    <m/>
    <n v="11"/>
    <n v="201208"/>
    <n v="431200"/>
  </r>
  <r>
    <x v="472"/>
    <x v="2"/>
    <m/>
    <x v="31"/>
    <x v="2"/>
    <x v="229"/>
    <m/>
    <m/>
    <m/>
    <n v="10"/>
    <n v="201208"/>
    <n v="546000"/>
  </r>
  <r>
    <x v="472"/>
    <x v="2"/>
    <m/>
    <x v="32"/>
    <x v="2"/>
    <x v="230"/>
    <m/>
    <m/>
    <m/>
    <n v="7"/>
    <n v="201208"/>
    <n v="259700"/>
  </r>
  <r>
    <x v="472"/>
    <x v="2"/>
    <m/>
    <x v="31"/>
    <x v="2"/>
    <x v="231"/>
    <m/>
    <m/>
    <m/>
    <n v="1"/>
    <n v="201208"/>
    <n v="22400"/>
  </r>
  <r>
    <x v="472"/>
    <x v="2"/>
    <m/>
    <x v="31"/>
    <x v="2"/>
    <x v="232"/>
    <m/>
    <m/>
    <m/>
    <n v="2"/>
    <n v="201208"/>
    <n v="78400"/>
  </r>
  <r>
    <x v="472"/>
    <x v="2"/>
    <m/>
    <x v="31"/>
    <x v="2"/>
    <x v="233"/>
    <m/>
    <m/>
    <m/>
    <n v="1"/>
    <n v="201208"/>
    <n v="54600"/>
  </r>
  <r>
    <x v="472"/>
    <x v="2"/>
    <m/>
    <x v="32"/>
    <x v="2"/>
    <x v="234"/>
    <m/>
    <m/>
    <m/>
    <n v="1"/>
    <n v="201208"/>
    <n v="37100"/>
  </r>
  <r>
    <x v="472"/>
    <x v="2"/>
    <m/>
    <x v="31"/>
    <x v="2"/>
    <x v="235"/>
    <m/>
    <m/>
    <m/>
    <n v="9"/>
    <n v="201208"/>
    <n v="201600"/>
  </r>
  <r>
    <x v="472"/>
    <x v="2"/>
    <m/>
    <x v="31"/>
    <x v="2"/>
    <x v="236"/>
    <m/>
    <m/>
    <m/>
    <n v="14"/>
    <n v="201208"/>
    <n v="548800"/>
  </r>
  <r>
    <x v="472"/>
    <x v="2"/>
    <m/>
    <x v="31"/>
    <x v="2"/>
    <x v="237"/>
    <m/>
    <m/>
    <m/>
    <n v="7"/>
    <n v="201208"/>
    <n v="382200"/>
  </r>
  <r>
    <x v="472"/>
    <x v="2"/>
    <m/>
    <x v="32"/>
    <x v="2"/>
    <x v="238"/>
    <m/>
    <m/>
    <m/>
    <n v="6"/>
    <n v="201208"/>
    <n v="222600"/>
  </r>
  <r>
    <x v="472"/>
    <x v="2"/>
    <m/>
    <x v="34"/>
    <x v="2"/>
    <x v="128"/>
    <m/>
    <m/>
    <m/>
    <n v="52"/>
    <n v="201208"/>
    <n v="1929200"/>
  </r>
  <r>
    <x v="472"/>
    <x v="2"/>
    <m/>
    <x v="25"/>
    <x v="2"/>
    <x v="129"/>
    <m/>
    <m/>
    <m/>
    <n v="3"/>
    <n v="201208"/>
    <n v="297000"/>
  </r>
  <r>
    <x v="472"/>
    <x v="2"/>
    <m/>
    <x v="0"/>
    <x v="2"/>
    <x v="224"/>
    <m/>
    <m/>
    <m/>
    <n v="37"/>
    <n v="201208"/>
    <n v="1221000"/>
  </r>
  <r>
    <x v="472"/>
    <x v="2"/>
    <m/>
    <x v="0"/>
    <x v="2"/>
    <x v="225"/>
    <m/>
    <m/>
    <m/>
    <n v="12"/>
    <n v="201208"/>
    <n v="456000"/>
  </r>
  <r>
    <x v="472"/>
    <x v="2"/>
    <m/>
    <x v="0"/>
    <x v="2"/>
    <x v="168"/>
    <m/>
    <m/>
    <m/>
    <n v="1"/>
    <n v="201208"/>
    <n v="20000"/>
  </r>
  <r>
    <x v="472"/>
    <x v="2"/>
    <m/>
    <x v="0"/>
    <x v="2"/>
    <x v="179"/>
    <m/>
    <m/>
    <m/>
    <n v="2"/>
    <n v="201208"/>
    <n v="6000"/>
  </r>
  <r>
    <x v="472"/>
    <x v="2"/>
    <m/>
    <x v="30"/>
    <x v="2"/>
    <x v="132"/>
    <m/>
    <m/>
    <m/>
    <n v="13"/>
    <n v="201208"/>
    <n v="291200"/>
  </r>
  <r>
    <x v="472"/>
    <x v="2"/>
    <m/>
    <x v="30"/>
    <x v="2"/>
    <x v="133"/>
    <m/>
    <m/>
    <m/>
    <n v="7"/>
    <n v="201208"/>
    <n v="274400"/>
  </r>
  <r>
    <x v="472"/>
    <x v="2"/>
    <m/>
    <x v="34"/>
    <x v="2"/>
    <x v="134"/>
    <m/>
    <m/>
    <m/>
    <n v="2"/>
    <n v="201208"/>
    <n v="74200"/>
  </r>
  <r>
    <x v="472"/>
    <x v="2"/>
    <m/>
    <x v="1"/>
    <x v="2"/>
    <x v="135"/>
    <m/>
    <m/>
    <m/>
    <n v="3"/>
    <n v="201208"/>
    <n v="60000"/>
  </r>
  <r>
    <x v="472"/>
    <x v="2"/>
    <m/>
    <x v="1"/>
    <x v="2"/>
    <x v="165"/>
    <m/>
    <m/>
    <m/>
    <n v="1"/>
    <n v="201208"/>
    <n v="35000"/>
  </r>
  <r>
    <x v="472"/>
    <x v="2"/>
    <m/>
    <x v="36"/>
    <x v="2"/>
    <x v="136"/>
    <m/>
    <m/>
    <m/>
    <n v="5"/>
    <n v="201208"/>
    <n v="140000"/>
  </r>
  <r>
    <x v="472"/>
    <x v="2"/>
    <m/>
    <x v="36"/>
    <x v="2"/>
    <x v="176"/>
    <m/>
    <m/>
    <m/>
    <n v="1"/>
    <n v="201208"/>
    <n v="49000"/>
  </r>
  <r>
    <x v="472"/>
    <x v="2"/>
    <m/>
    <x v="0"/>
    <x v="2"/>
    <x v="218"/>
    <m/>
    <m/>
    <m/>
    <n v="68"/>
    <n v="201208"/>
    <n v="1360000"/>
  </r>
  <r>
    <x v="472"/>
    <x v="2"/>
    <m/>
    <x v="0"/>
    <x v="2"/>
    <x v="239"/>
    <m/>
    <m/>
    <m/>
    <n v="11"/>
    <n v="201208"/>
    <n v="220000"/>
  </r>
  <r>
    <x v="472"/>
    <x v="2"/>
    <m/>
    <x v="0"/>
    <x v="2"/>
    <x v="240"/>
    <m/>
    <m/>
    <m/>
    <n v="15"/>
    <n v="201208"/>
    <n v="525000"/>
  </r>
  <r>
    <x v="472"/>
    <x v="2"/>
    <m/>
    <x v="0"/>
    <x v="2"/>
    <x v="219"/>
    <m/>
    <m/>
    <m/>
    <n v="31"/>
    <n v="201208"/>
    <n v="1085000"/>
  </r>
  <r>
    <x v="472"/>
    <x v="2"/>
    <m/>
    <x v="32"/>
    <x v="2"/>
    <x v="220"/>
    <m/>
    <m/>
    <m/>
    <n v="41"/>
    <n v="201208"/>
    <n v="1521100"/>
  </r>
  <r>
    <x v="472"/>
    <x v="2"/>
    <m/>
    <x v="18"/>
    <x v="2"/>
    <x v="125"/>
    <m/>
    <m/>
    <m/>
    <n v="63"/>
    <n v="201208"/>
    <n v="189000"/>
  </r>
  <r>
    <x v="472"/>
    <x v="2"/>
    <m/>
    <x v="0"/>
    <x v="2"/>
    <x v="138"/>
    <m/>
    <m/>
    <m/>
    <n v="1"/>
    <n v="201208"/>
    <n v="20000"/>
  </r>
  <r>
    <x v="472"/>
    <x v="2"/>
    <m/>
    <x v="0"/>
    <x v="2"/>
    <x v="141"/>
    <m/>
    <m/>
    <m/>
    <n v="2"/>
    <n v="201208"/>
    <n v="66000"/>
  </r>
  <r>
    <x v="472"/>
    <x v="2"/>
    <m/>
    <x v="32"/>
    <x v="2"/>
    <x v="213"/>
    <m/>
    <m/>
    <m/>
    <n v="2"/>
    <n v="201208"/>
    <n v="74200"/>
  </r>
  <r>
    <x v="472"/>
    <x v="2"/>
    <m/>
    <x v="0"/>
    <x v="2"/>
    <x v="197"/>
    <m/>
    <m/>
    <m/>
    <n v="1"/>
    <n v="201208"/>
    <n v="3000"/>
  </r>
  <r>
    <x v="472"/>
    <x v="2"/>
    <m/>
    <x v="4"/>
    <x v="2"/>
    <x v="142"/>
    <m/>
    <m/>
    <m/>
    <n v="1"/>
    <n v="201208"/>
    <n v="4000"/>
  </r>
  <r>
    <x v="472"/>
    <x v="2"/>
    <m/>
    <x v="4"/>
    <x v="2"/>
    <x v="143"/>
    <m/>
    <m/>
    <m/>
    <n v="4"/>
    <n v="201208"/>
    <n v="80000"/>
  </r>
  <r>
    <x v="472"/>
    <x v="2"/>
    <m/>
    <x v="4"/>
    <x v="2"/>
    <x v="144"/>
    <m/>
    <m/>
    <m/>
    <n v="8"/>
    <n v="201208"/>
    <n v="32000"/>
  </r>
  <r>
    <x v="472"/>
    <x v="2"/>
    <m/>
    <x v="31"/>
    <x v="2"/>
    <x v="145"/>
    <m/>
    <m/>
    <m/>
    <n v="36"/>
    <n v="201208"/>
    <n v="806400"/>
  </r>
  <r>
    <x v="472"/>
    <x v="2"/>
    <m/>
    <x v="31"/>
    <x v="2"/>
    <x v="146"/>
    <m/>
    <m/>
    <m/>
    <n v="34"/>
    <n v="201208"/>
    <n v="1332800"/>
  </r>
  <r>
    <x v="472"/>
    <x v="2"/>
    <m/>
    <x v="31"/>
    <x v="2"/>
    <x v="221"/>
    <m/>
    <m/>
    <m/>
    <n v="5"/>
    <n v="201208"/>
    <n v="273000"/>
  </r>
  <r>
    <x v="472"/>
    <x v="2"/>
    <m/>
    <x v="32"/>
    <x v="2"/>
    <x v="147"/>
    <m/>
    <m/>
    <m/>
    <n v="15"/>
    <n v="201208"/>
    <n v="556500"/>
  </r>
  <r>
    <x v="472"/>
    <x v="2"/>
    <m/>
    <x v="31"/>
    <x v="2"/>
    <x v="198"/>
    <m/>
    <m/>
    <m/>
    <n v="1"/>
    <n v="201208"/>
    <n v="22400"/>
  </r>
  <r>
    <x v="472"/>
    <x v="2"/>
    <m/>
    <x v="0"/>
    <x v="2"/>
    <x v="148"/>
    <m/>
    <m/>
    <m/>
    <n v="2"/>
    <n v="201208"/>
    <n v="40000"/>
  </r>
  <r>
    <x v="472"/>
    <x v="2"/>
    <m/>
    <x v="31"/>
    <x v="2"/>
    <x v="189"/>
    <m/>
    <m/>
    <m/>
    <n v="3"/>
    <n v="201208"/>
    <n v="67200"/>
  </r>
  <r>
    <x v="472"/>
    <x v="2"/>
    <m/>
    <x v="31"/>
    <x v="2"/>
    <x v="184"/>
    <m/>
    <m/>
    <m/>
    <n v="4"/>
    <n v="201208"/>
    <n v="156800"/>
  </r>
  <r>
    <x v="472"/>
    <x v="2"/>
    <m/>
    <x v="31"/>
    <x v="2"/>
    <x v="186"/>
    <m/>
    <m/>
    <m/>
    <n v="35"/>
    <n v="201208"/>
    <n v="784000"/>
  </r>
  <r>
    <x v="472"/>
    <x v="2"/>
    <m/>
    <x v="31"/>
    <x v="2"/>
    <x v="187"/>
    <m/>
    <m/>
    <m/>
    <n v="27"/>
    <n v="201208"/>
    <n v="1058400"/>
  </r>
  <r>
    <x v="472"/>
    <x v="2"/>
    <m/>
    <x v="31"/>
    <x v="2"/>
    <x v="222"/>
    <m/>
    <m/>
    <m/>
    <n v="4"/>
    <n v="201208"/>
    <n v="218400"/>
  </r>
  <r>
    <x v="472"/>
    <x v="2"/>
    <m/>
    <x v="32"/>
    <x v="2"/>
    <x v="188"/>
    <m/>
    <m/>
    <m/>
    <n v="13"/>
    <n v="201208"/>
    <n v="482300"/>
  </r>
  <r>
    <x v="472"/>
    <x v="2"/>
    <m/>
    <x v="22"/>
    <x v="2"/>
    <x v="150"/>
    <m/>
    <m/>
    <m/>
    <n v="9"/>
    <n v="201208"/>
    <n v="342000"/>
  </r>
  <r>
    <x v="472"/>
    <x v="2"/>
    <m/>
    <x v="22"/>
    <x v="2"/>
    <x v="150"/>
    <m/>
    <m/>
    <m/>
    <n v="7"/>
    <n v="201208"/>
    <n v="266000"/>
  </r>
  <r>
    <x v="472"/>
    <x v="2"/>
    <m/>
    <x v="5"/>
    <x v="2"/>
    <x v="151"/>
    <m/>
    <m/>
    <m/>
    <n v="24"/>
    <n v="201208"/>
    <n v="672000"/>
  </r>
  <r>
    <x v="472"/>
    <x v="2"/>
    <m/>
    <x v="5"/>
    <x v="2"/>
    <x v="152"/>
    <m/>
    <m/>
    <m/>
    <n v="5"/>
    <n v="201208"/>
    <n v="240000"/>
  </r>
  <r>
    <x v="472"/>
    <x v="2"/>
    <m/>
    <x v="5"/>
    <x v="2"/>
    <x v="153"/>
    <m/>
    <m/>
    <m/>
    <n v="13"/>
    <n v="201208"/>
    <n v="364000"/>
  </r>
  <r>
    <x v="472"/>
    <x v="2"/>
    <m/>
    <x v="33"/>
    <x v="2"/>
    <x v="155"/>
    <m/>
    <m/>
    <m/>
    <n v="2"/>
    <n v="201208"/>
    <n v="36400"/>
  </r>
  <r>
    <x v="472"/>
    <x v="2"/>
    <m/>
    <x v="33"/>
    <x v="2"/>
    <x v="156"/>
    <m/>
    <m/>
    <m/>
    <n v="2"/>
    <n v="201208"/>
    <n v="67600"/>
  </r>
  <r>
    <x v="472"/>
    <x v="2"/>
    <m/>
    <x v="19"/>
    <x v="2"/>
    <x v="157"/>
    <m/>
    <m/>
    <m/>
    <n v="19"/>
    <n v="201208"/>
    <n v="247000"/>
  </r>
  <r>
    <x v="472"/>
    <x v="2"/>
    <m/>
    <x v="19"/>
    <x v="2"/>
    <x v="158"/>
    <m/>
    <m/>
    <m/>
    <n v="7"/>
    <n v="201208"/>
    <n v="168000"/>
  </r>
  <r>
    <x v="472"/>
    <x v="2"/>
    <m/>
    <x v="19"/>
    <x v="2"/>
    <x v="159"/>
    <m/>
    <m/>
    <m/>
    <n v="3"/>
    <n v="201208"/>
    <n v="99000"/>
  </r>
  <r>
    <x v="472"/>
    <x v="2"/>
    <m/>
    <x v="19"/>
    <x v="2"/>
    <x v="181"/>
    <m/>
    <m/>
    <m/>
    <n v="1"/>
    <n v="201208"/>
    <n v="13000"/>
  </r>
  <r>
    <x v="472"/>
    <x v="2"/>
    <m/>
    <x v="35"/>
    <x v="2"/>
    <x v="170"/>
    <m/>
    <m/>
    <m/>
    <n v="1"/>
    <n v="201208"/>
    <n v="4000"/>
  </r>
  <r>
    <x v="472"/>
    <x v="2"/>
    <m/>
    <x v="35"/>
    <x v="2"/>
    <x v="160"/>
    <m/>
    <m/>
    <m/>
    <n v="4"/>
    <n v="201208"/>
    <n v="80000"/>
  </r>
  <r>
    <x v="472"/>
    <x v="2"/>
    <m/>
    <x v="4"/>
    <x v="2"/>
    <x v="241"/>
    <m/>
    <m/>
    <m/>
    <n v="1"/>
    <n v="201208"/>
    <n v="20000"/>
  </r>
  <r>
    <x v="472"/>
    <x v="2"/>
    <m/>
    <x v="4"/>
    <x v="2"/>
    <x v="208"/>
    <m/>
    <m/>
    <m/>
    <n v="1"/>
    <n v="201208"/>
    <n v="20000"/>
  </r>
  <r>
    <x v="472"/>
    <x v="2"/>
    <m/>
    <x v="18"/>
    <x v="2"/>
    <x v="161"/>
    <m/>
    <m/>
    <m/>
    <n v="16"/>
    <n v="201208"/>
    <n v="48000"/>
  </r>
  <r>
    <x v="472"/>
    <x v="2"/>
    <m/>
    <x v="18"/>
    <x v="2"/>
    <x v="161"/>
    <m/>
    <m/>
    <m/>
    <n v="1"/>
    <n v="201208"/>
    <n v="3000"/>
  </r>
  <r>
    <x v="473"/>
    <x v="5"/>
    <m/>
    <x v="0"/>
    <x v="7"/>
    <x v="163"/>
    <m/>
    <m/>
    <m/>
    <n v="3"/>
    <n v="201208"/>
    <n v="60000"/>
  </r>
  <r>
    <x v="473"/>
    <x v="5"/>
    <m/>
    <x v="6"/>
    <x v="2"/>
    <x v="126"/>
    <m/>
    <m/>
    <m/>
    <n v="1"/>
    <n v="201208"/>
    <n v="20000"/>
  </r>
  <r>
    <x v="473"/>
    <x v="5"/>
    <m/>
    <x v="6"/>
    <x v="2"/>
    <x v="127"/>
    <m/>
    <m/>
    <m/>
    <n v="2"/>
    <n v="201208"/>
    <n v="70000"/>
  </r>
  <r>
    <x v="473"/>
    <x v="5"/>
    <m/>
    <x v="31"/>
    <x v="2"/>
    <x v="227"/>
    <m/>
    <m/>
    <m/>
    <n v="31"/>
    <n v="201208"/>
    <n v="694400"/>
  </r>
  <r>
    <x v="473"/>
    <x v="5"/>
    <m/>
    <x v="31"/>
    <x v="2"/>
    <x v="228"/>
    <m/>
    <m/>
    <m/>
    <n v="35"/>
    <n v="201208"/>
    <n v="1372000"/>
  </r>
  <r>
    <x v="473"/>
    <x v="5"/>
    <m/>
    <x v="31"/>
    <x v="2"/>
    <x v="229"/>
    <m/>
    <m/>
    <m/>
    <n v="28"/>
    <n v="201208"/>
    <n v="1528800"/>
  </r>
  <r>
    <x v="473"/>
    <x v="5"/>
    <m/>
    <x v="32"/>
    <x v="2"/>
    <x v="230"/>
    <m/>
    <m/>
    <m/>
    <n v="10"/>
    <n v="201208"/>
    <n v="371000"/>
  </r>
  <r>
    <x v="473"/>
    <x v="5"/>
    <m/>
    <x v="31"/>
    <x v="2"/>
    <x v="231"/>
    <m/>
    <m/>
    <m/>
    <n v="6"/>
    <n v="201208"/>
    <n v="134400"/>
  </r>
  <r>
    <x v="473"/>
    <x v="5"/>
    <m/>
    <x v="31"/>
    <x v="2"/>
    <x v="232"/>
    <m/>
    <m/>
    <m/>
    <n v="4"/>
    <n v="201208"/>
    <n v="156800"/>
  </r>
  <r>
    <x v="473"/>
    <x v="5"/>
    <m/>
    <x v="31"/>
    <x v="2"/>
    <x v="233"/>
    <m/>
    <m/>
    <m/>
    <n v="3"/>
    <n v="201208"/>
    <n v="163800"/>
  </r>
  <r>
    <x v="473"/>
    <x v="5"/>
    <m/>
    <x v="32"/>
    <x v="2"/>
    <x v="234"/>
    <m/>
    <m/>
    <m/>
    <n v="2"/>
    <n v="201208"/>
    <n v="74200"/>
  </r>
  <r>
    <x v="473"/>
    <x v="5"/>
    <m/>
    <x v="31"/>
    <x v="2"/>
    <x v="235"/>
    <m/>
    <m/>
    <m/>
    <n v="37"/>
    <n v="201208"/>
    <n v="828800"/>
  </r>
  <r>
    <x v="473"/>
    <x v="5"/>
    <m/>
    <x v="31"/>
    <x v="2"/>
    <x v="236"/>
    <m/>
    <m/>
    <m/>
    <n v="25"/>
    <n v="201208"/>
    <n v="980000"/>
  </r>
  <r>
    <x v="473"/>
    <x v="5"/>
    <m/>
    <x v="31"/>
    <x v="2"/>
    <x v="237"/>
    <m/>
    <m/>
    <m/>
    <n v="21"/>
    <n v="201208"/>
    <n v="1146600"/>
  </r>
  <r>
    <x v="473"/>
    <x v="5"/>
    <m/>
    <x v="32"/>
    <x v="2"/>
    <x v="238"/>
    <m/>
    <m/>
    <m/>
    <n v="10"/>
    <n v="201208"/>
    <n v="371000"/>
  </r>
  <r>
    <x v="473"/>
    <x v="5"/>
    <m/>
    <x v="34"/>
    <x v="2"/>
    <x v="128"/>
    <m/>
    <m/>
    <m/>
    <n v="35"/>
    <n v="201208"/>
    <n v="1298500"/>
  </r>
  <r>
    <x v="473"/>
    <x v="5"/>
    <m/>
    <x v="25"/>
    <x v="2"/>
    <x v="129"/>
    <m/>
    <m/>
    <m/>
    <n v="3"/>
    <n v="201208"/>
    <n v="297000"/>
  </r>
  <r>
    <x v="473"/>
    <x v="5"/>
    <m/>
    <x v="0"/>
    <x v="2"/>
    <x v="224"/>
    <m/>
    <m/>
    <m/>
    <n v="21"/>
    <n v="201208"/>
    <n v="693000"/>
  </r>
  <r>
    <x v="473"/>
    <x v="5"/>
    <m/>
    <x v="0"/>
    <x v="2"/>
    <x v="225"/>
    <m/>
    <m/>
    <m/>
    <n v="6"/>
    <n v="201208"/>
    <n v="228000"/>
  </r>
  <r>
    <x v="473"/>
    <x v="5"/>
    <m/>
    <x v="0"/>
    <x v="2"/>
    <x v="178"/>
    <m/>
    <m/>
    <m/>
    <n v="1"/>
    <n v="201208"/>
    <n v="35000"/>
  </r>
  <r>
    <x v="473"/>
    <x v="5"/>
    <m/>
    <x v="30"/>
    <x v="2"/>
    <x v="132"/>
    <m/>
    <m/>
    <m/>
    <n v="11"/>
    <n v="201208"/>
    <n v="246400"/>
  </r>
  <r>
    <x v="473"/>
    <x v="5"/>
    <m/>
    <x v="34"/>
    <x v="2"/>
    <x v="134"/>
    <m/>
    <m/>
    <m/>
    <n v="3"/>
    <n v="201208"/>
    <n v="111300"/>
  </r>
  <r>
    <x v="473"/>
    <x v="5"/>
    <m/>
    <x v="1"/>
    <x v="2"/>
    <x v="135"/>
    <m/>
    <m/>
    <m/>
    <n v="2"/>
    <n v="201208"/>
    <n v="40000"/>
  </r>
  <r>
    <x v="473"/>
    <x v="5"/>
    <m/>
    <x v="1"/>
    <x v="2"/>
    <x v="165"/>
    <m/>
    <m/>
    <m/>
    <n v="1"/>
    <n v="201208"/>
    <n v="35000"/>
  </r>
  <r>
    <x v="473"/>
    <x v="5"/>
    <m/>
    <x v="36"/>
    <x v="2"/>
    <x v="136"/>
    <m/>
    <m/>
    <m/>
    <n v="2"/>
    <n v="201208"/>
    <n v="56000"/>
  </r>
  <r>
    <x v="473"/>
    <x v="5"/>
    <m/>
    <x v="0"/>
    <x v="2"/>
    <x v="218"/>
    <m/>
    <m/>
    <m/>
    <n v="48"/>
    <n v="201208"/>
    <n v="960000"/>
  </r>
  <r>
    <x v="473"/>
    <x v="5"/>
    <m/>
    <x v="0"/>
    <x v="2"/>
    <x v="239"/>
    <m/>
    <m/>
    <m/>
    <n v="18"/>
    <n v="201208"/>
    <n v="360000"/>
  </r>
  <r>
    <x v="473"/>
    <x v="5"/>
    <m/>
    <x v="0"/>
    <x v="2"/>
    <x v="240"/>
    <m/>
    <m/>
    <m/>
    <n v="25"/>
    <n v="201208"/>
    <n v="875000"/>
  </r>
  <r>
    <x v="473"/>
    <x v="5"/>
    <m/>
    <x v="32"/>
    <x v="2"/>
    <x v="220"/>
    <m/>
    <m/>
    <m/>
    <n v="12"/>
    <n v="201208"/>
    <n v="445200"/>
  </r>
  <r>
    <x v="473"/>
    <x v="5"/>
    <m/>
    <x v="18"/>
    <x v="2"/>
    <x v="125"/>
    <m/>
    <m/>
    <m/>
    <n v="20"/>
    <n v="201208"/>
    <n v="60000"/>
  </r>
  <r>
    <x v="473"/>
    <x v="5"/>
    <m/>
    <x v="0"/>
    <x v="2"/>
    <x v="139"/>
    <m/>
    <m/>
    <m/>
    <n v="1"/>
    <n v="201208"/>
    <n v="35000"/>
  </r>
  <r>
    <x v="473"/>
    <x v="5"/>
    <m/>
    <x v="4"/>
    <x v="2"/>
    <x v="143"/>
    <m/>
    <m/>
    <m/>
    <n v="6"/>
    <n v="201208"/>
    <n v="120000"/>
  </r>
  <r>
    <x v="473"/>
    <x v="5"/>
    <m/>
    <x v="4"/>
    <x v="2"/>
    <x v="144"/>
    <m/>
    <m/>
    <m/>
    <n v="12"/>
    <n v="201208"/>
    <n v="48000"/>
  </r>
  <r>
    <x v="473"/>
    <x v="5"/>
    <m/>
    <x v="31"/>
    <x v="2"/>
    <x v="145"/>
    <m/>
    <m/>
    <m/>
    <n v="3"/>
    <n v="201208"/>
    <n v="67200"/>
  </r>
  <r>
    <x v="473"/>
    <x v="5"/>
    <m/>
    <x v="22"/>
    <x v="2"/>
    <x v="150"/>
    <m/>
    <m/>
    <m/>
    <n v="9"/>
    <n v="201208"/>
    <n v="342000"/>
  </r>
  <r>
    <x v="473"/>
    <x v="5"/>
    <m/>
    <x v="22"/>
    <x v="2"/>
    <x v="150"/>
    <m/>
    <m/>
    <m/>
    <n v="4"/>
    <n v="201208"/>
    <n v="152000"/>
  </r>
  <r>
    <x v="473"/>
    <x v="5"/>
    <m/>
    <x v="5"/>
    <x v="2"/>
    <x v="151"/>
    <m/>
    <m/>
    <m/>
    <n v="19"/>
    <n v="201208"/>
    <n v="532000"/>
  </r>
  <r>
    <x v="473"/>
    <x v="5"/>
    <m/>
    <x v="5"/>
    <x v="2"/>
    <x v="152"/>
    <m/>
    <m/>
    <m/>
    <n v="2"/>
    <n v="201208"/>
    <n v="96000"/>
  </r>
  <r>
    <x v="473"/>
    <x v="5"/>
    <m/>
    <x v="5"/>
    <x v="2"/>
    <x v="153"/>
    <m/>
    <m/>
    <m/>
    <n v="2"/>
    <n v="201208"/>
    <n v="56000"/>
  </r>
  <r>
    <x v="473"/>
    <x v="5"/>
    <m/>
    <x v="33"/>
    <x v="2"/>
    <x v="155"/>
    <m/>
    <m/>
    <m/>
    <n v="3"/>
    <n v="201208"/>
    <n v="54600"/>
  </r>
  <r>
    <x v="473"/>
    <x v="5"/>
    <m/>
    <x v="33"/>
    <x v="2"/>
    <x v="156"/>
    <m/>
    <m/>
    <m/>
    <n v="1"/>
    <n v="201208"/>
    <n v="33800"/>
  </r>
  <r>
    <x v="473"/>
    <x v="5"/>
    <m/>
    <x v="19"/>
    <x v="2"/>
    <x v="157"/>
    <m/>
    <m/>
    <m/>
    <n v="16"/>
    <n v="201208"/>
    <n v="208000"/>
  </r>
  <r>
    <x v="473"/>
    <x v="5"/>
    <m/>
    <x v="19"/>
    <x v="2"/>
    <x v="158"/>
    <m/>
    <m/>
    <m/>
    <n v="3"/>
    <n v="201208"/>
    <n v="72000"/>
  </r>
  <r>
    <x v="473"/>
    <x v="5"/>
    <m/>
    <x v="19"/>
    <x v="2"/>
    <x v="159"/>
    <m/>
    <m/>
    <m/>
    <n v="2"/>
    <n v="201208"/>
    <n v="66000"/>
  </r>
  <r>
    <x v="473"/>
    <x v="5"/>
    <m/>
    <x v="4"/>
    <x v="2"/>
    <x v="242"/>
    <m/>
    <m/>
    <m/>
    <n v="1"/>
    <n v="201208"/>
    <n v="20000"/>
  </r>
  <r>
    <x v="473"/>
    <x v="5"/>
    <m/>
    <x v="4"/>
    <x v="2"/>
    <x v="241"/>
    <m/>
    <m/>
    <m/>
    <n v="1"/>
    <n v="201208"/>
    <n v="20000"/>
  </r>
  <r>
    <x v="473"/>
    <x v="5"/>
    <m/>
    <x v="18"/>
    <x v="2"/>
    <x v="161"/>
    <m/>
    <m/>
    <m/>
    <n v="21"/>
    <n v="201208"/>
    <n v="63000"/>
  </r>
  <r>
    <x v="473"/>
    <x v="5"/>
    <m/>
    <x v="18"/>
    <x v="2"/>
    <x v="161"/>
    <m/>
    <m/>
    <m/>
    <n v="2"/>
    <n v="201208"/>
    <n v="6000"/>
  </r>
  <r>
    <x v="474"/>
    <x v="6"/>
    <m/>
    <x v="0"/>
    <x v="7"/>
    <x v="163"/>
    <m/>
    <m/>
    <m/>
    <n v="2"/>
    <n v="201208"/>
    <n v="40000"/>
  </r>
  <r>
    <x v="474"/>
    <x v="6"/>
    <m/>
    <x v="6"/>
    <x v="2"/>
    <x v="126"/>
    <m/>
    <m/>
    <m/>
    <n v="2"/>
    <n v="201208"/>
    <n v="40000"/>
  </r>
  <r>
    <x v="474"/>
    <x v="6"/>
    <m/>
    <x v="6"/>
    <x v="2"/>
    <x v="127"/>
    <m/>
    <m/>
    <m/>
    <n v="1"/>
    <n v="201208"/>
    <n v="35000"/>
  </r>
  <r>
    <x v="474"/>
    <x v="6"/>
    <m/>
    <x v="31"/>
    <x v="2"/>
    <x v="227"/>
    <m/>
    <m/>
    <m/>
    <n v="37"/>
    <n v="201208"/>
    <n v="828800"/>
  </r>
  <r>
    <x v="474"/>
    <x v="6"/>
    <m/>
    <x v="31"/>
    <x v="2"/>
    <x v="228"/>
    <m/>
    <m/>
    <m/>
    <n v="38"/>
    <n v="201208"/>
    <n v="1489600"/>
  </r>
  <r>
    <x v="474"/>
    <x v="6"/>
    <m/>
    <x v="31"/>
    <x v="2"/>
    <x v="229"/>
    <m/>
    <m/>
    <m/>
    <n v="31"/>
    <n v="201208"/>
    <n v="1692600"/>
  </r>
  <r>
    <x v="474"/>
    <x v="6"/>
    <m/>
    <x v="32"/>
    <x v="2"/>
    <x v="230"/>
    <m/>
    <m/>
    <m/>
    <n v="16"/>
    <n v="201208"/>
    <n v="593600"/>
  </r>
  <r>
    <x v="474"/>
    <x v="6"/>
    <m/>
    <x v="31"/>
    <x v="2"/>
    <x v="231"/>
    <m/>
    <m/>
    <m/>
    <n v="6"/>
    <n v="201208"/>
    <n v="134400"/>
  </r>
  <r>
    <x v="474"/>
    <x v="6"/>
    <m/>
    <x v="31"/>
    <x v="2"/>
    <x v="232"/>
    <m/>
    <m/>
    <m/>
    <n v="7"/>
    <n v="201208"/>
    <n v="274400"/>
  </r>
  <r>
    <x v="474"/>
    <x v="6"/>
    <m/>
    <x v="31"/>
    <x v="2"/>
    <x v="233"/>
    <m/>
    <m/>
    <m/>
    <n v="4"/>
    <n v="201208"/>
    <n v="218400"/>
  </r>
  <r>
    <x v="474"/>
    <x v="6"/>
    <m/>
    <x v="32"/>
    <x v="2"/>
    <x v="234"/>
    <m/>
    <m/>
    <m/>
    <n v="3"/>
    <n v="201208"/>
    <n v="111300"/>
  </r>
  <r>
    <x v="474"/>
    <x v="6"/>
    <m/>
    <x v="31"/>
    <x v="2"/>
    <x v="235"/>
    <m/>
    <m/>
    <m/>
    <n v="36"/>
    <n v="201208"/>
    <n v="806400"/>
  </r>
  <r>
    <x v="474"/>
    <x v="6"/>
    <m/>
    <x v="31"/>
    <x v="2"/>
    <x v="236"/>
    <m/>
    <m/>
    <m/>
    <n v="26"/>
    <n v="201208"/>
    <n v="1019200"/>
  </r>
  <r>
    <x v="474"/>
    <x v="6"/>
    <m/>
    <x v="31"/>
    <x v="2"/>
    <x v="237"/>
    <m/>
    <m/>
    <m/>
    <n v="23"/>
    <n v="201208"/>
    <n v="1255800"/>
  </r>
  <r>
    <x v="474"/>
    <x v="6"/>
    <m/>
    <x v="32"/>
    <x v="2"/>
    <x v="238"/>
    <m/>
    <m/>
    <m/>
    <n v="11"/>
    <n v="201208"/>
    <n v="408100"/>
  </r>
  <r>
    <x v="474"/>
    <x v="6"/>
    <m/>
    <x v="34"/>
    <x v="2"/>
    <x v="128"/>
    <m/>
    <m/>
    <m/>
    <n v="45"/>
    <n v="201208"/>
    <n v="1669500"/>
  </r>
  <r>
    <x v="474"/>
    <x v="6"/>
    <m/>
    <x v="25"/>
    <x v="2"/>
    <x v="129"/>
    <m/>
    <m/>
    <m/>
    <n v="4"/>
    <n v="201208"/>
    <n v="396000"/>
  </r>
  <r>
    <x v="474"/>
    <x v="6"/>
    <m/>
    <x v="0"/>
    <x v="2"/>
    <x v="224"/>
    <m/>
    <m/>
    <m/>
    <n v="42"/>
    <n v="201208"/>
    <n v="1386000"/>
  </r>
  <r>
    <x v="474"/>
    <x v="6"/>
    <m/>
    <x v="0"/>
    <x v="2"/>
    <x v="225"/>
    <m/>
    <m/>
    <m/>
    <n v="10"/>
    <n v="201208"/>
    <n v="380000"/>
  </r>
  <r>
    <x v="474"/>
    <x v="6"/>
    <m/>
    <x v="0"/>
    <x v="2"/>
    <x v="168"/>
    <m/>
    <m/>
    <m/>
    <n v="1"/>
    <n v="201208"/>
    <n v="20000"/>
  </r>
  <r>
    <x v="474"/>
    <x v="6"/>
    <m/>
    <x v="0"/>
    <x v="2"/>
    <x v="179"/>
    <m/>
    <m/>
    <m/>
    <n v="1"/>
    <n v="201208"/>
    <n v="3000"/>
  </r>
  <r>
    <x v="474"/>
    <x v="6"/>
    <m/>
    <x v="30"/>
    <x v="2"/>
    <x v="132"/>
    <m/>
    <m/>
    <m/>
    <n v="10"/>
    <n v="201208"/>
    <n v="224000"/>
  </r>
  <r>
    <x v="474"/>
    <x v="6"/>
    <m/>
    <x v="30"/>
    <x v="2"/>
    <x v="133"/>
    <m/>
    <m/>
    <m/>
    <n v="4"/>
    <n v="201208"/>
    <n v="156800"/>
  </r>
  <r>
    <x v="474"/>
    <x v="6"/>
    <m/>
    <x v="34"/>
    <x v="2"/>
    <x v="134"/>
    <m/>
    <m/>
    <m/>
    <n v="1"/>
    <n v="201208"/>
    <n v="37100"/>
  </r>
  <r>
    <x v="474"/>
    <x v="6"/>
    <m/>
    <x v="1"/>
    <x v="2"/>
    <x v="135"/>
    <m/>
    <m/>
    <m/>
    <n v="6"/>
    <n v="201208"/>
    <n v="120000"/>
  </r>
  <r>
    <x v="474"/>
    <x v="6"/>
    <m/>
    <x v="36"/>
    <x v="2"/>
    <x v="136"/>
    <m/>
    <m/>
    <m/>
    <n v="5"/>
    <n v="201208"/>
    <n v="140000"/>
  </r>
  <r>
    <x v="474"/>
    <x v="6"/>
    <m/>
    <x v="0"/>
    <x v="2"/>
    <x v="218"/>
    <m/>
    <m/>
    <m/>
    <n v="65"/>
    <n v="201208"/>
    <n v="1300000"/>
  </r>
  <r>
    <x v="474"/>
    <x v="6"/>
    <m/>
    <x v="0"/>
    <x v="2"/>
    <x v="239"/>
    <m/>
    <m/>
    <m/>
    <n v="20"/>
    <n v="201208"/>
    <n v="400000"/>
  </r>
  <r>
    <x v="474"/>
    <x v="6"/>
    <m/>
    <x v="0"/>
    <x v="2"/>
    <x v="240"/>
    <m/>
    <m/>
    <m/>
    <n v="32"/>
    <n v="201208"/>
    <n v="1120000"/>
  </r>
  <r>
    <x v="474"/>
    <x v="6"/>
    <m/>
    <x v="32"/>
    <x v="2"/>
    <x v="220"/>
    <m/>
    <m/>
    <m/>
    <n v="30"/>
    <n v="201208"/>
    <n v="1113000"/>
  </r>
  <r>
    <x v="474"/>
    <x v="6"/>
    <m/>
    <x v="18"/>
    <x v="2"/>
    <x v="125"/>
    <m/>
    <m/>
    <m/>
    <n v="52"/>
    <n v="201208"/>
    <n v="156000"/>
  </r>
  <r>
    <x v="474"/>
    <x v="6"/>
    <m/>
    <x v="4"/>
    <x v="2"/>
    <x v="142"/>
    <m/>
    <m/>
    <m/>
    <n v="2"/>
    <n v="201208"/>
    <n v="8000"/>
  </r>
  <r>
    <x v="474"/>
    <x v="6"/>
    <m/>
    <x v="4"/>
    <x v="2"/>
    <x v="143"/>
    <m/>
    <m/>
    <m/>
    <n v="5"/>
    <n v="201208"/>
    <n v="100000"/>
  </r>
  <r>
    <x v="474"/>
    <x v="6"/>
    <m/>
    <x v="4"/>
    <x v="2"/>
    <x v="144"/>
    <m/>
    <m/>
    <m/>
    <n v="5"/>
    <n v="201208"/>
    <n v="20000"/>
  </r>
  <r>
    <x v="474"/>
    <x v="6"/>
    <m/>
    <x v="31"/>
    <x v="2"/>
    <x v="146"/>
    <m/>
    <m/>
    <m/>
    <n v="1"/>
    <n v="201208"/>
    <n v="39200"/>
  </r>
  <r>
    <x v="474"/>
    <x v="6"/>
    <m/>
    <x v="22"/>
    <x v="2"/>
    <x v="150"/>
    <m/>
    <m/>
    <m/>
    <n v="9"/>
    <n v="201208"/>
    <n v="342000"/>
  </r>
  <r>
    <x v="474"/>
    <x v="6"/>
    <m/>
    <x v="22"/>
    <x v="2"/>
    <x v="150"/>
    <m/>
    <m/>
    <m/>
    <n v="4"/>
    <n v="201208"/>
    <n v="152000"/>
  </r>
  <r>
    <x v="474"/>
    <x v="6"/>
    <m/>
    <x v="5"/>
    <x v="2"/>
    <x v="151"/>
    <m/>
    <m/>
    <m/>
    <n v="21"/>
    <n v="201208"/>
    <n v="588000"/>
  </r>
  <r>
    <x v="474"/>
    <x v="6"/>
    <m/>
    <x v="5"/>
    <x v="2"/>
    <x v="152"/>
    <m/>
    <m/>
    <m/>
    <n v="13"/>
    <n v="201208"/>
    <n v="624000"/>
  </r>
  <r>
    <x v="474"/>
    <x v="6"/>
    <m/>
    <x v="5"/>
    <x v="2"/>
    <x v="153"/>
    <m/>
    <m/>
    <m/>
    <n v="6"/>
    <n v="201208"/>
    <n v="168000"/>
  </r>
  <r>
    <x v="474"/>
    <x v="6"/>
    <m/>
    <x v="33"/>
    <x v="2"/>
    <x v="155"/>
    <m/>
    <m/>
    <m/>
    <n v="2"/>
    <n v="201208"/>
    <n v="36400"/>
  </r>
  <r>
    <x v="474"/>
    <x v="6"/>
    <m/>
    <x v="33"/>
    <x v="2"/>
    <x v="156"/>
    <m/>
    <m/>
    <m/>
    <n v="2"/>
    <n v="201208"/>
    <n v="67600"/>
  </r>
  <r>
    <x v="474"/>
    <x v="6"/>
    <m/>
    <x v="19"/>
    <x v="2"/>
    <x v="157"/>
    <m/>
    <m/>
    <m/>
    <n v="18"/>
    <n v="201208"/>
    <n v="234000"/>
  </r>
  <r>
    <x v="474"/>
    <x v="6"/>
    <m/>
    <x v="19"/>
    <x v="2"/>
    <x v="158"/>
    <m/>
    <m/>
    <m/>
    <n v="7"/>
    <n v="201208"/>
    <n v="168000"/>
  </r>
  <r>
    <x v="474"/>
    <x v="6"/>
    <m/>
    <x v="19"/>
    <x v="2"/>
    <x v="159"/>
    <m/>
    <m/>
    <m/>
    <n v="2"/>
    <n v="201208"/>
    <n v="66000"/>
  </r>
  <r>
    <x v="474"/>
    <x v="6"/>
    <m/>
    <x v="35"/>
    <x v="2"/>
    <x v="170"/>
    <m/>
    <m/>
    <m/>
    <n v="2"/>
    <n v="201208"/>
    <n v="8000"/>
  </r>
  <r>
    <x v="474"/>
    <x v="6"/>
    <m/>
    <x v="4"/>
    <x v="2"/>
    <x v="242"/>
    <m/>
    <m/>
    <m/>
    <n v="1"/>
    <n v="201208"/>
    <n v="20000"/>
  </r>
  <r>
    <x v="474"/>
    <x v="6"/>
    <m/>
    <x v="4"/>
    <x v="2"/>
    <x v="241"/>
    <m/>
    <m/>
    <m/>
    <n v="4"/>
    <n v="201208"/>
    <n v="80000"/>
  </r>
  <r>
    <x v="474"/>
    <x v="6"/>
    <m/>
    <x v="18"/>
    <x v="2"/>
    <x v="161"/>
    <m/>
    <m/>
    <m/>
    <n v="15"/>
    <n v="201208"/>
    <n v="45000"/>
  </r>
  <r>
    <x v="475"/>
    <x v="3"/>
    <m/>
    <x v="0"/>
    <x v="1"/>
    <x v="123"/>
    <m/>
    <m/>
    <m/>
    <n v="3"/>
    <n v="201208"/>
    <n v="105000"/>
  </r>
  <r>
    <x v="475"/>
    <x v="3"/>
    <m/>
    <x v="0"/>
    <x v="1"/>
    <x v="124"/>
    <m/>
    <m/>
    <m/>
    <n v="2"/>
    <n v="201208"/>
    <n v="40000"/>
  </r>
  <r>
    <x v="475"/>
    <x v="3"/>
    <m/>
    <x v="0"/>
    <x v="7"/>
    <x v="163"/>
    <m/>
    <m/>
    <m/>
    <n v="2"/>
    <n v="201208"/>
    <n v="40000"/>
  </r>
  <r>
    <x v="475"/>
    <x v="3"/>
    <m/>
    <x v="31"/>
    <x v="3"/>
    <x v="88"/>
    <m/>
    <m/>
    <m/>
    <n v="1"/>
    <n v="201208"/>
    <n v="0"/>
  </r>
  <r>
    <x v="475"/>
    <x v="3"/>
    <m/>
    <x v="6"/>
    <x v="2"/>
    <x v="126"/>
    <m/>
    <m/>
    <m/>
    <n v="3"/>
    <n v="201208"/>
    <n v="60000"/>
  </r>
  <r>
    <x v="475"/>
    <x v="3"/>
    <m/>
    <x v="6"/>
    <x v="2"/>
    <x v="127"/>
    <m/>
    <m/>
    <m/>
    <n v="1"/>
    <n v="201208"/>
    <n v="35000"/>
  </r>
  <r>
    <x v="475"/>
    <x v="3"/>
    <m/>
    <x v="31"/>
    <x v="2"/>
    <x v="227"/>
    <m/>
    <m/>
    <m/>
    <n v="39"/>
    <n v="201208"/>
    <n v="873600"/>
  </r>
  <r>
    <x v="475"/>
    <x v="3"/>
    <m/>
    <x v="31"/>
    <x v="2"/>
    <x v="228"/>
    <m/>
    <m/>
    <m/>
    <n v="27"/>
    <n v="201208"/>
    <n v="1058400"/>
  </r>
  <r>
    <x v="475"/>
    <x v="3"/>
    <m/>
    <x v="31"/>
    <x v="2"/>
    <x v="229"/>
    <m/>
    <m/>
    <m/>
    <n v="24"/>
    <n v="201208"/>
    <n v="1310400"/>
  </r>
  <r>
    <x v="475"/>
    <x v="3"/>
    <m/>
    <x v="32"/>
    <x v="2"/>
    <x v="230"/>
    <m/>
    <m/>
    <m/>
    <n v="10"/>
    <n v="201208"/>
    <n v="371000"/>
  </r>
  <r>
    <x v="475"/>
    <x v="3"/>
    <m/>
    <x v="31"/>
    <x v="2"/>
    <x v="231"/>
    <m/>
    <m/>
    <m/>
    <n v="6"/>
    <n v="201208"/>
    <n v="134400"/>
  </r>
  <r>
    <x v="475"/>
    <x v="3"/>
    <m/>
    <x v="31"/>
    <x v="2"/>
    <x v="232"/>
    <m/>
    <m/>
    <m/>
    <n v="4"/>
    <n v="201208"/>
    <n v="156800"/>
  </r>
  <r>
    <x v="475"/>
    <x v="3"/>
    <m/>
    <x v="31"/>
    <x v="2"/>
    <x v="233"/>
    <m/>
    <m/>
    <m/>
    <n v="7"/>
    <n v="201208"/>
    <n v="382200"/>
  </r>
  <r>
    <x v="475"/>
    <x v="3"/>
    <m/>
    <x v="32"/>
    <x v="2"/>
    <x v="234"/>
    <m/>
    <m/>
    <m/>
    <n v="1"/>
    <n v="201208"/>
    <n v="37100"/>
  </r>
  <r>
    <x v="475"/>
    <x v="3"/>
    <m/>
    <x v="31"/>
    <x v="2"/>
    <x v="235"/>
    <m/>
    <m/>
    <m/>
    <n v="21"/>
    <n v="201208"/>
    <n v="470400"/>
  </r>
  <r>
    <x v="475"/>
    <x v="3"/>
    <m/>
    <x v="31"/>
    <x v="2"/>
    <x v="236"/>
    <m/>
    <m/>
    <m/>
    <n v="17"/>
    <n v="201208"/>
    <n v="666400"/>
  </r>
  <r>
    <x v="475"/>
    <x v="3"/>
    <m/>
    <x v="31"/>
    <x v="2"/>
    <x v="237"/>
    <m/>
    <m/>
    <m/>
    <n v="8"/>
    <n v="201208"/>
    <n v="436800"/>
  </r>
  <r>
    <x v="475"/>
    <x v="3"/>
    <m/>
    <x v="32"/>
    <x v="2"/>
    <x v="238"/>
    <m/>
    <m/>
    <m/>
    <n v="9"/>
    <n v="201208"/>
    <n v="333900"/>
  </r>
  <r>
    <x v="475"/>
    <x v="3"/>
    <m/>
    <x v="34"/>
    <x v="2"/>
    <x v="128"/>
    <m/>
    <m/>
    <m/>
    <n v="57"/>
    <n v="201208"/>
    <n v="2114700"/>
  </r>
  <r>
    <x v="475"/>
    <x v="3"/>
    <m/>
    <x v="25"/>
    <x v="2"/>
    <x v="129"/>
    <m/>
    <m/>
    <m/>
    <n v="6"/>
    <n v="201208"/>
    <n v="594000"/>
  </r>
  <r>
    <x v="475"/>
    <x v="3"/>
    <m/>
    <x v="0"/>
    <x v="2"/>
    <x v="224"/>
    <m/>
    <m/>
    <m/>
    <n v="45"/>
    <n v="201208"/>
    <n v="1485000"/>
  </r>
  <r>
    <x v="475"/>
    <x v="3"/>
    <m/>
    <x v="0"/>
    <x v="2"/>
    <x v="225"/>
    <m/>
    <m/>
    <m/>
    <n v="18"/>
    <n v="201208"/>
    <n v="684000"/>
  </r>
  <r>
    <x v="475"/>
    <x v="3"/>
    <m/>
    <x v="0"/>
    <x v="2"/>
    <x v="131"/>
    <m/>
    <m/>
    <m/>
    <n v="2"/>
    <n v="201208"/>
    <n v="66000"/>
  </r>
  <r>
    <x v="475"/>
    <x v="3"/>
    <m/>
    <x v="30"/>
    <x v="2"/>
    <x v="132"/>
    <m/>
    <m/>
    <m/>
    <n v="13"/>
    <n v="201208"/>
    <n v="291200"/>
  </r>
  <r>
    <x v="475"/>
    <x v="3"/>
    <m/>
    <x v="30"/>
    <x v="2"/>
    <x v="133"/>
    <m/>
    <m/>
    <m/>
    <n v="2"/>
    <n v="201208"/>
    <n v="78400"/>
  </r>
  <r>
    <x v="475"/>
    <x v="3"/>
    <m/>
    <x v="34"/>
    <x v="2"/>
    <x v="134"/>
    <m/>
    <m/>
    <m/>
    <n v="2"/>
    <n v="201208"/>
    <n v="74200"/>
  </r>
  <r>
    <x v="475"/>
    <x v="3"/>
    <m/>
    <x v="1"/>
    <x v="2"/>
    <x v="135"/>
    <m/>
    <m/>
    <m/>
    <n v="2"/>
    <n v="201208"/>
    <n v="40000"/>
  </r>
  <r>
    <x v="475"/>
    <x v="3"/>
    <m/>
    <x v="36"/>
    <x v="2"/>
    <x v="136"/>
    <m/>
    <m/>
    <m/>
    <n v="4"/>
    <n v="201208"/>
    <n v="112000"/>
  </r>
  <r>
    <x v="475"/>
    <x v="3"/>
    <m/>
    <x v="0"/>
    <x v="2"/>
    <x v="218"/>
    <m/>
    <m/>
    <m/>
    <n v="73"/>
    <n v="201208"/>
    <n v="1460000"/>
  </r>
  <r>
    <x v="475"/>
    <x v="3"/>
    <m/>
    <x v="0"/>
    <x v="2"/>
    <x v="239"/>
    <m/>
    <m/>
    <m/>
    <n v="36"/>
    <n v="201208"/>
    <n v="720000"/>
  </r>
  <r>
    <x v="475"/>
    <x v="3"/>
    <m/>
    <x v="0"/>
    <x v="2"/>
    <x v="240"/>
    <m/>
    <m/>
    <m/>
    <n v="48"/>
    <n v="201208"/>
    <n v="1680000"/>
  </r>
  <r>
    <x v="475"/>
    <x v="3"/>
    <m/>
    <x v="0"/>
    <x v="2"/>
    <x v="219"/>
    <m/>
    <m/>
    <m/>
    <n v="1"/>
    <n v="201208"/>
    <n v="35000"/>
  </r>
  <r>
    <x v="475"/>
    <x v="3"/>
    <m/>
    <x v="32"/>
    <x v="2"/>
    <x v="220"/>
    <m/>
    <m/>
    <m/>
    <n v="47"/>
    <n v="201208"/>
    <n v="1743700"/>
  </r>
  <r>
    <x v="475"/>
    <x v="3"/>
    <m/>
    <x v="18"/>
    <x v="2"/>
    <x v="125"/>
    <m/>
    <m/>
    <m/>
    <n v="54"/>
    <n v="201208"/>
    <n v="162000"/>
  </r>
  <r>
    <x v="475"/>
    <x v="3"/>
    <m/>
    <x v="0"/>
    <x v="2"/>
    <x v="138"/>
    <m/>
    <m/>
    <m/>
    <n v="1"/>
    <n v="201208"/>
    <n v="20000"/>
  </r>
  <r>
    <x v="475"/>
    <x v="3"/>
    <m/>
    <x v="4"/>
    <x v="2"/>
    <x v="143"/>
    <m/>
    <m/>
    <m/>
    <n v="12"/>
    <n v="201208"/>
    <n v="240000"/>
  </r>
  <r>
    <x v="475"/>
    <x v="3"/>
    <m/>
    <x v="31"/>
    <x v="2"/>
    <x v="145"/>
    <m/>
    <m/>
    <m/>
    <n v="1"/>
    <n v="201208"/>
    <n v="22400"/>
  </r>
  <r>
    <x v="475"/>
    <x v="3"/>
    <m/>
    <x v="0"/>
    <x v="2"/>
    <x v="148"/>
    <m/>
    <m/>
    <m/>
    <n v="1"/>
    <n v="201208"/>
    <n v="20000"/>
  </r>
  <r>
    <x v="475"/>
    <x v="3"/>
    <m/>
    <x v="22"/>
    <x v="2"/>
    <x v="150"/>
    <m/>
    <m/>
    <m/>
    <n v="10"/>
    <n v="201208"/>
    <n v="380000"/>
  </r>
  <r>
    <x v="475"/>
    <x v="3"/>
    <m/>
    <x v="22"/>
    <x v="2"/>
    <x v="150"/>
    <m/>
    <m/>
    <m/>
    <n v="5"/>
    <n v="201208"/>
    <n v="190000"/>
  </r>
  <r>
    <x v="475"/>
    <x v="3"/>
    <m/>
    <x v="5"/>
    <x v="2"/>
    <x v="151"/>
    <m/>
    <m/>
    <m/>
    <n v="17"/>
    <n v="201208"/>
    <n v="476000"/>
  </r>
  <r>
    <x v="475"/>
    <x v="3"/>
    <m/>
    <x v="5"/>
    <x v="2"/>
    <x v="152"/>
    <m/>
    <m/>
    <m/>
    <n v="4"/>
    <n v="201208"/>
    <n v="192000"/>
  </r>
  <r>
    <x v="475"/>
    <x v="3"/>
    <m/>
    <x v="5"/>
    <x v="2"/>
    <x v="153"/>
    <m/>
    <m/>
    <m/>
    <n v="13"/>
    <n v="201208"/>
    <n v="364000"/>
  </r>
  <r>
    <x v="475"/>
    <x v="3"/>
    <m/>
    <x v="33"/>
    <x v="2"/>
    <x v="155"/>
    <m/>
    <m/>
    <m/>
    <n v="3"/>
    <n v="201208"/>
    <n v="54600"/>
  </r>
  <r>
    <x v="475"/>
    <x v="3"/>
    <m/>
    <x v="33"/>
    <x v="2"/>
    <x v="156"/>
    <m/>
    <m/>
    <m/>
    <n v="1"/>
    <n v="201208"/>
    <n v="33800"/>
  </r>
  <r>
    <x v="475"/>
    <x v="3"/>
    <m/>
    <x v="19"/>
    <x v="2"/>
    <x v="157"/>
    <m/>
    <m/>
    <m/>
    <n v="24"/>
    <n v="201208"/>
    <n v="312000"/>
  </r>
  <r>
    <x v="475"/>
    <x v="3"/>
    <m/>
    <x v="19"/>
    <x v="2"/>
    <x v="158"/>
    <m/>
    <m/>
    <m/>
    <n v="5"/>
    <n v="201208"/>
    <n v="120000"/>
  </r>
  <r>
    <x v="475"/>
    <x v="3"/>
    <m/>
    <x v="19"/>
    <x v="2"/>
    <x v="159"/>
    <m/>
    <m/>
    <m/>
    <n v="4"/>
    <n v="201208"/>
    <n v="132000"/>
  </r>
  <r>
    <x v="475"/>
    <x v="3"/>
    <m/>
    <x v="35"/>
    <x v="2"/>
    <x v="160"/>
    <m/>
    <m/>
    <m/>
    <n v="3"/>
    <n v="201208"/>
    <n v="60000"/>
  </r>
  <r>
    <x v="475"/>
    <x v="3"/>
    <m/>
    <x v="4"/>
    <x v="2"/>
    <x v="243"/>
    <m/>
    <m/>
    <m/>
    <n v="2"/>
    <n v="201208"/>
    <n v="8000"/>
  </r>
  <r>
    <x v="475"/>
    <x v="3"/>
    <m/>
    <x v="4"/>
    <x v="2"/>
    <x v="242"/>
    <m/>
    <m/>
    <m/>
    <n v="2"/>
    <n v="201208"/>
    <n v="40000"/>
  </r>
  <r>
    <x v="475"/>
    <x v="3"/>
    <m/>
    <x v="4"/>
    <x v="2"/>
    <x v="207"/>
    <m/>
    <m/>
    <m/>
    <n v="2"/>
    <n v="201208"/>
    <n v="8000"/>
  </r>
  <r>
    <x v="475"/>
    <x v="3"/>
    <m/>
    <x v="4"/>
    <x v="2"/>
    <x v="241"/>
    <m/>
    <m/>
    <m/>
    <n v="4"/>
    <n v="201208"/>
    <n v="80000"/>
  </r>
  <r>
    <x v="475"/>
    <x v="3"/>
    <m/>
    <x v="18"/>
    <x v="2"/>
    <x v="161"/>
    <m/>
    <m/>
    <m/>
    <n v="22"/>
    <n v="201208"/>
    <n v="66000"/>
  </r>
  <r>
    <x v="475"/>
    <x v="3"/>
    <m/>
    <x v="33"/>
    <x v="9"/>
    <x v="244"/>
    <m/>
    <m/>
    <m/>
    <n v="1"/>
    <n v="201208"/>
    <n v="18200"/>
  </r>
  <r>
    <x v="476"/>
    <x v="4"/>
    <m/>
    <x v="0"/>
    <x v="1"/>
    <x v="123"/>
    <m/>
    <m/>
    <m/>
    <n v="2"/>
    <n v="201208"/>
    <n v="70000"/>
  </r>
  <r>
    <x v="476"/>
    <x v="4"/>
    <m/>
    <x v="0"/>
    <x v="7"/>
    <x v="163"/>
    <m/>
    <m/>
    <m/>
    <n v="4"/>
    <n v="201208"/>
    <n v="80000"/>
  </r>
  <r>
    <x v="476"/>
    <x v="4"/>
    <m/>
    <x v="0"/>
    <x v="3"/>
    <x v="164"/>
    <m/>
    <m/>
    <m/>
    <n v="4"/>
    <n v="201208"/>
    <n v="0"/>
  </r>
  <r>
    <x v="476"/>
    <x v="4"/>
    <m/>
    <x v="6"/>
    <x v="2"/>
    <x v="126"/>
    <m/>
    <m/>
    <m/>
    <n v="4"/>
    <n v="201208"/>
    <n v="80000"/>
  </r>
  <r>
    <x v="476"/>
    <x v="4"/>
    <m/>
    <x v="6"/>
    <x v="2"/>
    <x v="127"/>
    <m/>
    <m/>
    <m/>
    <n v="1"/>
    <n v="201208"/>
    <n v="35000"/>
  </r>
  <r>
    <x v="476"/>
    <x v="4"/>
    <m/>
    <x v="31"/>
    <x v="2"/>
    <x v="227"/>
    <m/>
    <m/>
    <m/>
    <n v="30"/>
    <n v="201208"/>
    <n v="672000"/>
  </r>
  <r>
    <x v="476"/>
    <x v="4"/>
    <m/>
    <x v="31"/>
    <x v="2"/>
    <x v="228"/>
    <m/>
    <m/>
    <m/>
    <n v="26"/>
    <n v="201208"/>
    <n v="1019200"/>
  </r>
  <r>
    <x v="476"/>
    <x v="4"/>
    <m/>
    <x v="31"/>
    <x v="2"/>
    <x v="229"/>
    <m/>
    <m/>
    <m/>
    <n v="26"/>
    <n v="201208"/>
    <n v="1419600"/>
  </r>
  <r>
    <x v="476"/>
    <x v="4"/>
    <m/>
    <x v="32"/>
    <x v="2"/>
    <x v="230"/>
    <m/>
    <m/>
    <m/>
    <n v="8"/>
    <n v="201208"/>
    <n v="296800"/>
  </r>
  <r>
    <x v="476"/>
    <x v="4"/>
    <m/>
    <x v="31"/>
    <x v="2"/>
    <x v="231"/>
    <m/>
    <m/>
    <m/>
    <n v="4"/>
    <n v="201208"/>
    <n v="89600"/>
  </r>
  <r>
    <x v="476"/>
    <x v="4"/>
    <m/>
    <x v="31"/>
    <x v="2"/>
    <x v="232"/>
    <m/>
    <m/>
    <m/>
    <n v="1"/>
    <n v="201208"/>
    <n v="39200"/>
  </r>
  <r>
    <x v="476"/>
    <x v="4"/>
    <m/>
    <x v="31"/>
    <x v="2"/>
    <x v="233"/>
    <m/>
    <m/>
    <m/>
    <n v="5"/>
    <n v="201208"/>
    <n v="273000"/>
  </r>
  <r>
    <x v="476"/>
    <x v="4"/>
    <m/>
    <x v="31"/>
    <x v="2"/>
    <x v="235"/>
    <m/>
    <m/>
    <m/>
    <n v="15"/>
    <n v="201208"/>
    <n v="336000"/>
  </r>
  <r>
    <x v="476"/>
    <x v="4"/>
    <m/>
    <x v="31"/>
    <x v="2"/>
    <x v="236"/>
    <m/>
    <m/>
    <m/>
    <n v="18"/>
    <n v="201208"/>
    <n v="705600"/>
  </r>
  <r>
    <x v="476"/>
    <x v="4"/>
    <m/>
    <x v="31"/>
    <x v="2"/>
    <x v="237"/>
    <m/>
    <m/>
    <m/>
    <n v="10"/>
    <n v="201208"/>
    <n v="546000"/>
  </r>
  <r>
    <x v="476"/>
    <x v="4"/>
    <m/>
    <x v="32"/>
    <x v="2"/>
    <x v="238"/>
    <m/>
    <m/>
    <m/>
    <n v="4"/>
    <n v="201208"/>
    <n v="148400"/>
  </r>
  <r>
    <x v="476"/>
    <x v="4"/>
    <m/>
    <x v="34"/>
    <x v="2"/>
    <x v="128"/>
    <m/>
    <m/>
    <m/>
    <n v="40"/>
    <n v="201208"/>
    <n v="1484000"/>
  </r>
  <r>
    <x v="476"/>
    <x v="4"/>
    <m/>
    <x v="25"/>
    <x v="2"/>
    <x v="129"/>
    <m/>
    <m/>
    <m/>
    <n v="3"/>
    <n v="201208"/>
    <n v="297000"/>
  </r>
  <r>
    <x v="476"/>
    <x v="4"/>
    <m/>
    <x v="0"/>
    <x v="2"/>
    <x v="224"/>
    <m/>
    <m/>
    <m/>
    <n v="42"/>
    <n v="201208"/>
    <n v="1386000"/>
  </r>
  <r>
    <x v="476"/>
    <x v="4"/>
    <m/>
    <x v="0"/>
    <x v="2"/>
    <x v="225"/>
    <m/>
    <m/>
    <m/>
    <n v="12"/>
    <n v="201208"/>
    <n v="456000"/>
  </r>
  <r>
    <x v="476"/>
    <x v="4"/>
    <m/>
    <x v="0"/>
    <x v="2"/>
    <x v="131"/>
    <m/>
    <m/>
    <m/>
    <n v="1"/>
    <n v="201208"/>
    <n v="33000"/>
  </r>
  <r>
    <x v="476"/>
    <x v="4"/>
    <m/>
    <x v="0"/>
    <x v="2"/>
    <x v="168"/>
    <m/>
    <m/>
    <m/>
    <n v="1"/>
    <n v="201208"/>
    <n v="20000"/>
  </r>
  <r>
    <x v="476"/>
    <x v="4"/>
    <m/>
    <x v="0"/>
    <x v="2"/>
    <x v="178"/>
    <m/>
    <m/>
    <m/>
    <n v="1"/>
    <n v="201208"/>
    <n v="35000"/>
  </r>
  <r>
    <x v="476"/>
    <x v="4"/>
    <m/>
    <x v="0"/>
    <x v="2"/>
    <x v="179"/>
    <m/>
    <m/>
    <m/>
    <n v="1"/>
    <n v="201208"/>
    <n v="3000"/>
  </r>
  <r>
    <x v="476"/>
    <x v="4"/>
    <m/>
    <x v="30"/>
    <x v="2"/>
    <x v="132"/>
    <m/>
    <m/>
    <m/>
    <n v="7"/>
    <n v="201208"/>
    <n v="156800"/>
  </r>
  <r>
    <x v="476"/>
    <x v="4"/>
    <m/>
    <x v="30"/>
    <x v="2"/>
    <x v="133"/>
    <m/>
    <m/>
    <m/>
    <n v="3"/>
    <n v="201208"/>
    <n v="117600"/>
  </r>
  <r>
    <x v="476"/>
    <x v="4"/>
    <m/>
    <x v="34"/>
    <x v="2"/>
    <x v="134"/>
    <m/>
    <m/>
    <m/>
    <n v="3"/>
    <n v="201208"/>
    <n v="111300"/>
  </r>
  <r>
    <x v="476"/>
    <x v="4"/>
    <m/>
    <x v="1"/>
    <x v="2"/>
    <x v="135"/>
    <m/>
    <m/>
    <m/>
    <n v="5"/>
    <n v="201208"/>
    <n v="100000"/>
  </r>
  <r>
    <x v="476"/>
    <x v="4"/>
    <m/>
    <x v="1"/>
    <x v="2"/>
    <x v="165"/>
    <m/>
    <m/>
    <m/>
    <n v="1"/>
    <n v="201208"/>
    <n v="35000"/>
  </r>
  <r>
    <x v="476"/>
    <x v="4"/>
    <m/>
    <x v="36"/>
    <x v="2"/>
    <x v="136"/>
    <m/>
    <m/>
    <m/>
    <n v="2"/>
    <n v="201208"/>
    <n v="56000"/>
  </r>
  <r>
    <x v="476"/>
    <x v="4"/>
    <m/>
    <x v="36"/>
    <x v="2"/>
    <x v="176"/>
    <m/>
    <m/>
    <m/>
    <n v="2"/>
    <n v="201208"/>
    <n v="98000"/>
  </r>
  <r>
    <x v="476"/>
    <x v="4"/>
    <m/>
    <x v="36"/>
    <x v="2"/>
    <x v="137"/>
    <m/>
    <m/>
    <m/>
    <n v="2"/>
    <n v="201208"/>
    <n v="84000"/>
  </r>
  <r>
    <x v="476"/>
    <x v="4"/>
    <m/>
    <x v="0"/>
    <x v="2"/>
    <x v="218"/>
    <m/>
    <m/>
    <m/>
    <n v="62"/>
    <n v="201208"/>
    <n v="1240000"/>
  </r>
  <r>
    <x v="476"/>
    <x v="4"/>
    <m/>
    <x v="0"/>
    <x v="2"/>
    <x v="239"/>
    <m/>
    <m/>
    <m/>
    <n v="9"/>
    <n v="201208"/>
    <n v="180000"/>
  </r>
  <r>
    <x v="476"/>
    <x v="4"/>
    <m/>
    <x v="0"/>
    <x v="2"/>
    <x v="240"/>
    <m/>
    <m/>
    <m/>
    <n v="32"/>
    <n v="201208"/>
    <n v="1120000"/>
  </r>
  <r>
    <x v="476"/>
    <x v="4"/>
    <m/>
    <x v="32"/>
    <x v="2"/>
    <x v="220"/>
    <m/>
    <m/>
    <m/>
    <n v="18"/>
    <n v="201208"/>
    <n v="667800"/>
  </r>
  <r>
    <x v="476"/>
    <x v="4"/>
    <m/>
    <x v="18"/>
    <x v="2"/>
    <x v="125"/>
    <m/>
    <m/>
    <m/>
    <n v="32"/>
    <n v="201208"/>
    <n v="96000"/>
  </r>
  <r>
    <x v="476"/>
    <x v="4"/>
    <m/>
    <x v="4"/>
    <x v="2"/>
    <x v="143"/>
    <m/>
    <m/>
    <m/>
    <n v="1"/>
    <n v="201208"/>
    <n v="20000"/>
  </r>
  <r>
    <x v="476"/>
    <x v="4"/>
    <m/>
    <x v="4"/>
    <x v="2"/>
    <x v="144"/>
    <m/>
    <m/>
    <m/>
    <n v="3"/>
    <n v="201208"/>
    <n v="12000"/>
  </r>
  <r>
    <x v="476"/>
    <x v="4"/>
    <m/>
    <x v="22"/>
    <x v="2"/>
    <x v="150"/>
    <m/>
    <m/>
    <m/>
    <n v="8"/>
    <n v="201208"/>
    <n v="304000"/>
  </r>
  <r>
    <x v="476"/>
    <x v="4"/>
    <m/>
    <x v="22"/>
    <x v="2"/>
    <x v="150"/>
    <m/>
    <m/>
    <m/>
    <n v="3"/>
    <n v="201208"/>
    <n v="114000"/>
  </r>
  <r>
    <x v="476"/>
    <x v="4"/>
    <m/>
    <x v="5"/>
    <x v="2"/>
    <x v="151"/>
    <m/>
    <m/>
    <m/>
    <n v="12"/>
    <n v="201208"/>
    <n v="336000"/>
  </r>
  <r>
    <x v="476"/>
    <x v="4"/>
    <m/>
    <x v="5"/>
    <x v="2"/>
    <x v="152"/>
    <m/>
    <m/>
    <m/>
    <n v="7"/>
    <n v="201208"/>
    <n v="336000"/>
  </r>
  <r>
    <x v="476"/>
    <x v="4"/>
    <m/>
    <x v="5"/>
    <x v="2"/>
    <x v="153"/>
    <m/>
    <m/>
    <m/>
    <n v="3"/>
    <n v="201208"/>
    <n v="84000"/>
  </r>
  <r>
    <x v="476"/>
    <x v="4"/>
    <m/>
    <x v="33"/>
    <x v="2"/>
    <x v="155"/>
    <m/>
    <m/>
    <m/>
    <n v="3"/>
    <n v="201208"/>
    <n v="54600"/>
  </r>
  <r>
    <x v="476"/>
    <x v="4"/>
    <m/>
    <x v="33"/>
    <x v="2"/>
    <x v="156"/>
    <m/>
    <m/>
    <m/>
    <n v="2"/>
    <n v="201208"/>
    <n v="67600"/>
  </r>
  <r>
    <x v="476"/>
    <x v="4"/>
    <m/>
    <x v="19"/>
    <x v="2"/>
    <x v="157"/>
    <m/>
    <m/>
    <m/>
    <n v="20"/>
    <n v="201208"/>
    <n v="260000"/>
  </r>
  <r>
    <x v="476"/>
    <x v="4"/>
    <m/>
    <x v="19"/>
    <x v="2"/>
    <x v="158"/>
    <m/>
    <m/>
    <m/>
    <n v="5"/>
    <n v="201208"/>
    <n v="120000"/>
  </r>
  <r>
    <x v="476"/>
    <x v="4"/>
    <m/>
    <x v="19"/>
    <x v="2"/>
    <x v="159"/>
    <m/>
    <m/>
    <m/>
    <n v="3"/>
    <n v="201208"/>
    <n v="99000"/>
  </r>
  <r>
    <x v="476"/>
    <x v="4"/>
    <m/>
    <x v="35"/>
    <x v="2"/>
    <x v="160"/>
    <m/>
    <m/>
    <m/>
    <n v="2"/>
    <n v="201208"/>
    <n v="40000"/>
  </r>
  <r>
    <x v="476"/>
    <x v="4"/>
    <m/>
    <x v="4"/>
    <x v="2"/>
    <x v="242"/>
    <m/>
    <m/>
    <m/>
    <n v="2"/>
    <n v="201208"/>
    <n v="40000"/>
  </r>
  <r>
    <x v="476"/>
    <x v="4"/>
    <m/>
    <x v="18"/>
    <x v="2"/>
    <x v="161"/>
    <m/>
    <m/>
    <m/>
    <n v="9"/>
    <n v="201208"/>
    <n v="27000"/>
  </r>
  <r>
    <x v="477"/>
    <x v="1"/>
    <m/>
    <x v="0"/>
    <x v="1"/>
    <x v="124"/>
    <m/>
    <m/>
    <m/>
    <n v="2"/>
    <n v="201208"/>
    <n v="40000"/>
  </r>
  <r>
    <x v="477"/>
    <x v="1"/>
    <m/>
    <x v="6"/>
    <x v="5"/>
    <x v="172"/>
    <m/>
    <m/>
    <m/>
    <n v="20"/>
    <n v="201208"/>
    <n v="400000"/>
  </r>
  <r>
    <x v="477"/>
    <x v="1"/>
    <m/>
    <x v="0"/>
    <x v="7"/>
    <x v="163"/>
    <m/>
    <m/>
    <m/>
    <n v="6"/>
    <n v="201208"/>
    <n v="120000"/>
  </r>
  <r>
    <x v="477"/>
    <x v="1"/>
    <m/>
    <x v="31"/>
    <x v="3"/>
    <x v="245"/>
    <m/>
    <m/>
    <m/>
    <n v="900"/>
    <n v="201208"/>
    <n v="0"/>
  </r>
  <r>
    <x v="477"/>
    <x v="1"/>
    <m/>
    <x v="6"/>
    <x v="2"/>
    <x v="126"/>
    <m/>
    <m/>
    <m/>
    <n v="2"/>
    <n v="201208"/>
    <n v="40000"/>
  </r>
  <r>
    <x v="477"/>
    <x v="1"/>
    <m/>
    <x v="6"/>
    <x v="2"/>
    <x v="127"/>
    <m/>
    <m/>
    <m/>
    <n v="2"/>
    <n v="201208"/>
    <n v="70000"/>
  </r>
  <r>
    <x v="477"/>
    <x v="1"/>
    <m/>
    <x v="31"/>
    <x v="2"/>
    <x v="227"/>
    <m/>
    <m/>
    <m/>
    <n v="39"/>
    <n v="201208"/>
    <n v="873600"/>
  </r>
  <r>
    <x v="477"/>
    <x v="1"/>
    <m/>
    <x v="31"/>
    <x v="2"/>
    <x v="228"/>
    <m/>
    <m/>
    <m/>
    <n v="23"/>
    <n v="201208"/>
    <n v="901600"/>
  </r>
  <r>
    <x v="477"/>
    <x v="1"/>
    <m/>
    <x v="31"/>
    <x v="2"/>
    <x v="229"/>
    <m/>
    <m/>
    <m/>
    <n v="28"/>
    <n v="201208"/>
    <n v="1528800"/>
  </r>
  <r>
    <x v="477"/>
    <x v="1"/>
    <m/>
    <x v="32"/>
    <x v="2"/>
    <x v="230"/>
    <m/>
    <m/>
    <m/>
    <n v="8"/>
    <n v="201208"/>
    <n v="296800"/>
  </r>
  <r>
    <x v="477"/>
    <x v="1"/>
    <m/>
    <x v="31"/>
    <x v="2"/>
    <x v="231"/>
    <m/>
    <m/>
    <m/>
    <n v="1"/>
    <n v="201208"/>
    <n v="22400"/>
  </r>
  <r>
    <x v="477"/>
    <x v="1"/>
    <m/>
    <x v="31"/>
    <x v="2"/>
    <x v="232"/>
    <m/>
    <m/>
    <m/>
    <n v="4"/>
    <n v="201208"/>
    <n v="156800"/>
  </r>
  <r>
    <x v="477"/>
    <x v="1"/>
    <m/>
    <x v="31"/>
    <x v="2"/>
    <x v="233"/>
    <m/>
    <m/>
    <m/>
    <n v="5"/>
    <n v="201208"/>
    <n v="273000"/>
  </r>
  <r>
    <x v="477"/>
    <x v="1"/>
    <m/>
    <x v="32"/>
    <x v="2"/>
    <x v="234"/>
    <m/>
    <m/>
    <m/>
    <n v="1"/>
    <n v="201208"/>
    <n v="37100"/>
  </r>
  <r>
    <x v="477"/>
    <x v="1"/>
    <m/>
    <x v="31"/>
    <x v="2"/>
    <x v="235"/>
    <m/>
    <m/>
    <m/>
    <n v="15"/>
    <n v="201208"/>
    <n v="336000"/>
  </r>
  <r>
    <x v="477"/>
    <x v="1"/>
    <m/>
    <x v="31"/>
    <x v="2"/>
    <x v="236"/>
    <m/>
    <m/>
    <m/>
    <n v="15"/>
    <n v="201208"/>
    <n v="588000"/>
  </r>
  <r>
    <x v="477"/>
    <x v="1"/>
    <m/>
    <x v="31"/>
    <x v="2"/>
    <x v="237"/>
    <m/>
    <m/>
    <m/>
    <n v="8"/>
    <n v="201208"/>
    <n v="436800"/>
  </r>
  <r>
    <x v="477"/>
    <x v="1"/>
    <m/>
    <x v="32"/>
    <x v="2"/>
    <x v="238"/>
    <m/>
    <m/>
    <m/>
    <n v="5"/>
    <n v="201208"/>
    <n v="185500"/>
  </r>
  <r>
    <x v="477"/>
    <x v="1"/>
    <m/>
    <x v="34"/>
    <x v="2"/>
    <x v="128"/>
    <m/>
    <m/>
    <m/>
    <n v="60"/>
    <n v="201208"/>
    <n v="2226000"/>
  </r>
  <r>
    <x v="477"/>
    <x v="1"/>
    <m/>
    <x v="25"/>
    <x v="2"/>
    <x v="129"/>
    <m/>
    <m/>
    <m/>
    <n v="2"/>
    <n v="201208"/>
    <n v="198000"/>
  </r>
  <r>
    <x v="477"/>
    <x v="1"/>
    <m/>
    <x v="5"/>
    <x v="2"/>
    <x v="246"/>
    <m/>
    <m/>
    <m/>
    <n v="55"/>
    <n v="201208"/>
    <n v="1540000"/>
  </r>
  <r>
    <x v="477"/>
    <x v="1"/>
    <m/>
    <x v="5"/>
    <x v="2"/>
    <x v="247"/>
    <m/>
    <m/>
    <m/>
    <n v="81"/>
    <n v="201208"/>
    <n v="2268000"/>
  </r>
  <r>
    <x v="477"/>
    <x v="1"/>
    <m/>
    <x v="0"/>
    <x v="2"/>
    <x v="224"/>
    <m/>
    <m/>
    <m/>
    <n v="64"/>
    <n v="201208"/>
    <n v="2112000"/>
  </r>
  <r>
    <x v="477"/>
    <x v="1"/>
    <m/>
    <x v="0"/>
    <x v="2"/>
    <x v="225"/>
    <m/>
    <m/>
    <m/>
    <n v="25"/>
    <n v="201208"/>
    <n v="950000"/>
  </r>
  <r>
    <x v="477"/>
    <x v="1"/>
    <m/>
    <x v="0"/>
    <x v="2"/>
    <x v="168"/>
    <m/>
    <m/>
    <m/>
    <n v="2"/>
    <n v="201208"/>
    <n v="40000"/>
  </r>
  <r>
    <x v="477"/>
    <x v="1"/>
    <m/>
    <x v="0"/>
    <x v="2"/>
    <x v="179"/>
    <m/>
    <m/>
    <m/>
    <n v="1"/>
    <n v="201208"/>
    <n v="3000"/>
  </r>
  <r>
    <x v="477"/>
    <x v="1"/>
    <m/>
    <x v="30"/>
    <x v="2"/>
    <x v="132"/>
    <m/>
    <m/>
    <m/>
    <n v="13"/>
    <n v="201208"/>
    <n v="291200"/>
  </r>
  <r>
    <x v="477"/>
    <x v="1"/>
    <m/>
    <x v="30"/>
    <x v="2"/>
    <x v="133"/>
    <m/>
    <m/>
    <m/>
    <n v="2"/>
    <n v="201208"/>
    <n v="78400"/>
  </r>
  <r>
    <x v="477"/>
    <x v="1"/>
    <m/>
    <x v="34"/>
    <x v="2"/>
    <x v="134"/>
    <m/>
    <m/>
    <m/>
    <n v="6"/>
    <n v="201208"/>
    <n v="222600"/>
  </r>
  <r>
    <x v="477"/>
    <x v="1"/>
    <m/>
    <x v="1"/>
    <x v="2"/>
    <x v="135"/>
    <m/>
    <m/>
    <m/>
    <n v="5"/>
    <n v="201208"/>
    <n v="100000"/>
  </r>
  <r>
    <x v="477"/>
    <x v="1"/>
    <m/>
    <x v="36"/>
    <x v="2"/>
    <x v="136"/>
    <m/>
    <m/>
    <m/>
    <n v="10"/>
    <n v="201208"/>
    <n v="280000"/>
  </r>
  <r>
    <x v="477"/>
    <x v="1"/>
    <m/>
    <x v="36"/>
    <x v="2"/>
    <x v="137"/>
    <m/>
    <m/>
    <m/>
    <n v="2"/>
    <n v="201208"/>
    <n v="84000"/>
  </r>
  <r>
    <x v="477"/>
    <x v="1"/>
    <m/>
    <x v="0"/>
    <x v="2"/>
    <x v="218"/>
    <m/>
    <m/>
    <m/>
    <n v="71"/>
    <n v="201208"/>
    <n v="1420000"/>
  </r>
  <r>
    <x v="477"/>
    <x v="1"/>
    <m/>
    <x v="0"/>
    <x v="2"/>
    <x v="240"/>
    <m/>
    <m/>
    <m/>
    <n v="61"/>
    <n v="201208"/>
    <n v="2135000"/>
  </r>
  <r>
    <x v="477"/>
    <x v="1"/>
    <m/>
    <x v="32"/>
    <x v="2"/>
    <x v="220"/>
    <m/>
    <m/>
    <m/>
    <n v="29"/>
    <n v="201208"/>
    <n v="1075900"/>
  </r>
  <r>
    <x v="477"/>
    <x v="1"/>
    <m/>
    <x v="18"/>
    <x v="2"/>
    <x v="125"/>
    <m/>
    <m/>
    <m/>
    <n v="55"/>
    <n v="201208"/>
    <n v="165000"/>
  </r>
  <r>
    <x v="477"/>
    <x v="1"/>
    <m/>
    <x v="0"/>
    <x v="2"/>
    <x v="141"/>
    <m/>
    <m/>
    <m/>
    <n v="3"/>
    <n v="201208"/>
    <n v="99000"/>
  </r>
  <r>
    <x v="477"/>
    <x v="1"/>
    <m/>
    <x v="4"/>
    <x v="2"/>
    <x v="142"/>
    <m/>
    <m/>
    <m/>
    <n v="1"/>
    <n v="201208"/>
    <n v="4000"/>
  </r>
  <r>
    <x v="477"/>
    <x v="1"/>
    <m/>
    <x v="4"/>
    <x v="2"/>
    <x v="143"/>
    <m/>
    <m/>
    <m/>
    <n v="19"/>
    <n v="201208"/>
    <n v="380000"/>
  </r>
  <r>
    <x v="477"/>
    <x v="1"/>
    <m/>
    <x v="0"/>
    <x v="2"/>
    <x v="164"/>
    <m/>
    <m/>
    <m/>
    <n v="1"/>
    <n v="201208"/>
    <n v="20000"/>
  </r>
  <r>
    <x v="477"/>
    <x v="1"/>
    <m/>
    <x v="22"/>
    <x v="2"/>
    <x v="150"/>
    <m/>
    <m/>
    <m/>
    <n v="15"/>
    <n v="201208"/>
    <n v="570000"/>
  </r>
  <r>
    <x v="477"/>
    <x v="1"/>
    <m/>
    <x v="22"/>
    <x v="2"/>
    <x v="150"/>
    <m/>
    <m/>
    <m/>
    <n v="8"/>
    <n v="201208"/>
    <n v="304000"/>
  </r>
  <r>
    <x v="477"/>
    <x v="1"/>
    <m/>
    <x v="5"/>
    <x v="2"/>
    <x v="151"/>
    <m/>
    <m/>
    <m/>
    <n v="28"/>
    <n v="201208"/>
    <n v="784000"/>
  </r>
  <r>
    <x v="477"/>
    <x v="1"/>
    <m/>
    <x v="5"/>
    <x v="2"/>
    <x v="152"/>
    <m/>
    <m/>
    <m/>
    <n v="16"/>
    <n v="201208"/>
    <n v="768000"/>
  </r>
  <r>
    <x v="477"/>
    <x v="1"/>
    <m/>
    <x v="5"/>
    <x v="2"/>
    <x v="153"/>
    <m/>
    <m/>
    <m/>
    <n v="8"/>
    <n v="201208"/>
    <n v="224000"/>
  </r>
  <r>
    <x v="477"/>
    <x v="1"/>
    <m/>
    <x v="33"/>
    <x v="2"/>
    <x v="155"/>
    <m/>
    <m/>
    <m/>
    <n v="6"/>
    <n v="201208"/>
    <n v="109200"/>
  </r>
  <r>
    <x v="477"/>
    <x v="1"/>
    <m/>
    <x v="19"/>
    <x v="2"/>
    <x v="157"/>
    <m/>
    <m/>
    <m/>
    <n v="26"/>
    <n v="201208"/>
    <n v="338000"/>
  </r>
  <r>
    <x v="477"/>
    <x v="1"/>
    <m/>
    <x v="19"/>
    <x v="2"/>
    <x v="158"/>
    <m/>
    <m/>
    <m/>
    <n v="6"/>
    <n v="201208"/>
    <n v="144000"/>
  </r>
  <r>
    <x v="477"/>
    <x v="1"/>
    <m/>
    <x v="19"/>
    <x v="2"/>
    <x v="159"/>
    <m/>
    <m/>
    <m/>
    <n v="5"/>
    <n v="201208"/>
    <n v="165000"/>
  </r>
  <r>
    <x v="477"/>
    <x v="1"/>
    <m/>
    <x v="35"/>
    <x v="2"/>
    <x v="170"/>
    <m/>
    <m/>
    <m/>
    <n v="3"/>
    <n v="201208"/>
    <n v="12000"/>
  </r>
  <r>
    <x v="477"/>
    <x v="1"/>
    <m/>
    <x v="35"/>
    <x v="2"/>
    <x v="160"/>
    <m/>
    <m/>
    <m/>
    <n v="2"/>
    <n v="201208"/>
    <n v="40000"/>
  </r>
  <r>
    <x v="477"/>
    <x v="1"/>
    <m/>
    <x v="4"/>
    <x v="2"/>
    <x v="243"/>
    <m/>
    <m/>
    <m/>
    <n v="4"/>
    <n v="201208"/>
    <n v="16000"/>
  </r>
  <r>
    <x v="477"/>
    <x v="1"/>
    <m/>
    <x v="4"/>
    <x v="2"/>
    <x v="242"/>
    <m/>
    <m/>
    <m/>
    <n v="1"/>
    <n v="201208"/>
    <n v="20000"/>
  </r>
  <r>
    <x v="477"/>
    <x v="1"/>
    <m/>
    <x v="4"/>
    <x v="2"/>
    <x v="207"/>
    <m/>
    <m/>
    <m/>
    <n v="6"/>
    <n v="201208"/>
    <n v="24000"/>
  </r>
  <r>
    <x v="477"/>
    <x v="1"/>
    <m/>
    <x v="4"/>
    <x v="2"/>
    <x v="241"/>
    <m/>
    <m/>
    <m/>
    <n v="4"/>
    <n v="201208"/>
    <n v="80000"/>
  </r>
  <r>
    <x v="477"/>
    <x v="1"/>
    <m/>
    <x v="18"/>
    <x v="2"/>
    <x v="161"/>
    <m/>
    <m/>
    <m/>
    <n v="34"/>
    <n v="201208"/>
    <n v="102000"/>
  </r>
  <r>
    <x v="477"/>
    <x v="1"/>
    <m/>
    <x v="18"/>
    <x v="2"/>
    <x v="161"/>
    <m/>
    <m/>
    <m/>
    <n v="6"/>
    <n v="201208"/>
    <n v="18000"/>
  </r>
  <r>
    <x v="478"/>
    <x v="0"/>
    <m/>
    <x v="0"/>
    <x v="7"/>
    <x v="163"/>
    <m/>
    <m/>
    <m/>
    <n v="3"/>
    <n v="201208"/>
    <n v="60000"/>
  </r>
  <r>
    <x v="478"/>
    <x v="0"/>
    <m/>
    <x v="6"/>
    <x v="2"/>
    <x v="126"/>
    <m/>
    <m/>
    <m/>
    <n v="7"/>
    <n v="201208"/>
    <n v="140000"/>
  </r>
  <r>
    <x v="478"/>
    <x v="0"/>
    <m/>
    <x v="31"/>
    <x v="2"/>
    <x v="227"/>
    <m/>
    <m/>
    <m/>
    <n v="28"/>
    <n v="201208"/>
    <n v="627200"/>
  </r>
  <r>
    <x v="478"/>
    <x v="0"/>
    <m/>
    <x v="31"/>
    <x v="2"/>
    <x v="228"/>
    <m/>
    <m/>
    <m/>
    <n v="32"/>
    <n v="201208"/>
    <n v="1254400"/>
  </r>
  <r>
    <x v="478"/>
    <x v="0"/>
    <m/>
    <x v="31"/>
    <x v="2"/>
    <x v="229"/>
    <m/>
    <m/>
    <m/>
    <n v="27"/>
    <n v="201208"/>
    <n v="1474200"/>
  </r>
  <r>
    <x v="478"/>
    <x v="0"/>
    <m/>
    <x v="32"/>
    <x v="2"/>
    <x v="230"/>
    <m/>
    <m/>
    <m/>
    <n v="13"/>
    <n v="201208"/>
    <n v="482300"/>
  </r>
  <r>
    <x v="478"/>
    <x v="0"/>
    <m/>
    <x v="31"/>
    <x v="2"/>
    <x v="231"/>
    <m/>
    <m/>
    <m/>
    <n v="3"/>
    <n v="201208"/>
    <n v="67200"/>
  </r>
  <r>
    <x v="478"/>
    <x v="0"/>
    <m/>
    <x v="31"/>
    <x v="2"/>
    <x v="232"/>
    <m/>
    <m/>
    <m/>
    <n v="6"/>
    <n v="201208"/>
    <n v="235200"/>
  </r>
  <r>
    <x v="478"/>
    <x v="0"/>
    <m/>
    <x v="31"/>
    <x v="2"/>
    <x v="233"/>
    <m/>
    <m/>
    <m/>
    <n v="1"/>
    <n v="201208"/>
    <n v="54600"/>
  </r>
  <r>
    <x v="478"/>
    <x v="0"/>
    <m/>
    <x v="31"/>
    <x v="2"/>
    <x v="235"/>
    <m/>
    <m/>
    <m/>
    <n v="13"/>
    <n v="201208"/>
    <n v="291200"/>
  </r>
  <r>
    <x v="478"/>
    <x v="0"/>
    <m/>
    <x v="31"/>
    <x v="2"/>
    <x v="236"/>
    <m/>
    <m/>
    <m/>
    <n v="9"/>
    <n v="201208"/>
    <n v="352800"/>
  </r>
  <r>
    <x v="478"/>
    <x v="0"/>
    <m/>
    <x v="31"/>
    <x v="2"/>
    <x v="237"/>
    <m/>
    <m/>
    <m/>
    <n v="9"/>
    <n v="201208"/>
    <n v="491400"/>
  </r>
  <r>
    <x v="478"/>
    <x v="0"/>
    <m/>
    <x v="32"/>
    <x v="2"/>
    <x v="238"/>
    <m/>
    <m/>
    <m/>
    <n v="8"/>
    <n v="201208"/>
    <n v="296800"/>
  </r>
  <r>
    <x v="478"/>
    <x v="0"/>
    <m/>
    <x v="34"/>
    <x v="2"/>
    <x v="128"/>
    <m/>
    <m/>
    <m/>
    <n v="53"/>
    <n v="201208"/>
    <n v="1966300"/>
  </r>
  <r>
    <x v="478"/>
    <x v="0"/>
    <m/>
    <x v="25"/>
    <x v="2"/>
    <x v="129"/>
    <m/>
    <m/>
    <m/>
    <n v="6"/>
    <n v="201208"/>
    <n v="594000"/>
  </r>
  <r>
    <x v="478"/>
    <x v="0"/>
    <m/>
    <x v="5"/>
    <x v="2"/>
    <x v="246"/>
    <m/>
    <m/>
    <m/>
    <n v="12"/>
    <n v="201208"/>
    <n v="336000"/>
  </r>
  <r>
    <x v="478"/>
    <x v="0"/>
    <m/>
    <x v="5"/>
    <x v="2"/>
    <x v="247"/>
    <m/>
    <m/>
    <m/>
    <n v="19"/>
    <n v="201208"/>
    <n v="532000"/>
  </r>
  <r>
    <x v="478"/>
    <x v="0"/>
    <m/>
    <x v="0"/>
    <x v="2"/>
    <x v="224"/>
    <m/>
    <m/>
    <m/>
    <n v="30"/>
    <n v="201208"/>
    <n v="990000"/>
  </r>
  <r>
    <x v="478"/>
    <x v="0"/>
    <m/>
    <x v="0"/>
    <x v="2"/>
    <x v="225"/>
    <m/>
    <m/>
    <m/>
    <n v="10"/>
    <n v="201208"/>
    <n v="380000"/>
  </r>
  <r>
    <x v="478"/>
    <x v="0"/>
    <m/>
    <x v="0"/>
    <x v="2"/>
    <x v="178"/>
    <m/>
    <m/>
    <m/>
    <n v="1"/>
    <n v="201208"/>
    <n v="35000"/>
  </r>
  <r>
    <x v="478"/>
    <x v="0"/>
    <m/>
    <x v="30"/>
    <x v="2"/>
    <x v="132"/>
    <m/>
    <m/>
    <m/>
    <n v="14"/>
    <n v="201208"/>
    <n v="313600"/>
  </r>
  <r>
    <x v="478"/>
    <x v="0"/>
    <m/>
    <x v="34"/>
    <x v="2"/>
    <x v="134"/>
    <m/>
    <m/>
    <m/>
    <n v="2"/>
    <n v="201208"/>
    <n v="74200"/>
  </r>
  <r>
    <x v="478"/>
    <x v="0"/>
    <m/>
    <x v="1"/>
    <x v="2"/>
    <x v="135"/>
    <m/>
    <m/>
    <m/>
    <n v="1"/>
    <n v="201208"/>
    <n v="20000"/>
  </r>
  <r>
    <x v="478"/>
    <x v="0"/>
    <m/>
    <x v="1"/>
    <x v="2"/>
    <x v="165"/>
    <m/>
    <m/>
    <m/>
    <n v="1"/>
    <n v="201208"/>
    <n v="35000"/>
  </r>
  <r>
    <x v="478"/>
    <x v="0"/>
    <m/>
    <x v="36"/>
    <x v="2"/>
    <x v="136"/>
    <m/>
    <m/>
    <m/>
    <n v="6"/>
    <n v="201208"/>
    <n v="168000"/>
  </r>
  <r>
    <x v="478"/>
    <x v="0"/>
    <m/>
    <x v="36"/>
    <x v="2"/>
    <x v="176"/>
    <m/>
    <m/>
    <m/>
    <n v="2"/>
    <n v="201208"/>
    <n v="98000"/>
  </r>
  <r>
    <x v="478"/>
    <x v="0"/>
    <m/>
    <x v="0"/>
    <x v="2"/>
    <x v="218"/>
    <m/>
    <m/>
    <m/>
    <n v="71"/>
    <n v="201208"/>
    <n v="1420000"/>
  </r>
  <r>
    <x v="478"/>
    <x v="0"/>
    <m/>
    <x v="0"/>
    <x v="2"/>
    <x v="240"/>
    <m/>
    <m/>
    <m/>
    <n v="46"/>
    <n v="201208"/>
    <n v="1610000"/>
  </r>
  <r>
    <x v="478"/>
    <x v="0"/>
    <m/>
    <x v="0"/>
    <x v="2"/>
    <x v="219"/>
    <m/>
    <m/>
    <m/>
    <n v="1"/>
    <n v="201208"/>
    <n v="35000"/>
  </r>
  <r>
    <x v="478"/>
    <x v="0"/>
    <m/>
    <x v="32"/>
    <x v="2"/>
    <x v="220"/>
    <m/>
    <m/>
    <m/>
    <n v="21"/>
    <n v="201208"/>
    <n v="779100"/>
  </r>
  <r>
    <x v="478"/>
    <x v="0"/>
    <m/>
    <x v="18"/>
    <x v="2"/>
    <x v="125"/>
    <m/>
    <m/>
    <m/>
    <n v="49"/>
    <n v="201208"/>
    <n v="147000"/>
  </r>
  <r>
    <x v="478"/>
    <x v="0"/>
    <m/>
    <x v="4"/>
    <x v="2"/>
    <x v="142"/>
    <m/>
    <m/>
    <m/>
    <n v="4"/>
    <n v="201208"/>
    <n v="16000"/>
  </r>
  <r>
    <x v="478"/>
    <x v="0"/>
    <m/>
    <x v="4"/>
    <x v="2"/>
    <x v="143"/>
    <m/>
    <m/>
    <m/>
    <n v="4"/>
    <n v="201208"/>
    <n v="80000"/>
  </r>
  <r>
    <x v="478"/>
    <x v="0"/>
    <m/>
    <x v="4"/>
    <x v="2"/>
    <x v="144"/>
    <m/>
    <m/>
    <m/>
    <n v="8"/>
    <n v="201208"/>
    <n v="32000"/>
  </r>
  <r>
    <x v="478"/>
    <x v="0"/>
    <m/>
    <x v="0"/>
    <x v="2"/>
    <x v="148"/>
    <m/>
    <m/>
    <m/>
    <n v="1"/>
    <n v="201208"/>
    <n v="20000"/>
  </r>
  <r>
    <x v="478"/>
    <x v="0"/>
    <m/>
    <x v="22"/>
    <x v="2"/>
    <x v="150"/>
    <m/>
    <m/>
    <m/>
    <n v="5"/>
    <n v="201208"/>
    <n v="190000"/>
  </r>
  <r>
    <x v="478"/>
    <x v="0"/>
    <m/>
    <x v="22"/>
    <x v="2"/>
    <x v="150"/>
    <m/>
    <m/>
    <m/>
    <n v="4"/>
    <n v="201208"/>
    <n v="152000"/>
  </r>
  <r>
    <x v="478"/>
    <x v="0"/>
    <m/>
    <x v="5"/>
    <x v="2"/>
    <x v="151"/>
    <m/>
    <m/>
    <m/>
    <n v="19"/>
    <n v="201208"/>
    <n v="532000"/>
  </r>
  <r>
    <x v="478"/>
    <x v="0"/>
    <m/>
    <x v="5"/>
    <x v="2"/>
    <x v="152"/>
    <m/>
    <m/>
    <m/>
    <n v="4"/>
    <n v="201208"/>
    <n v="192000"/>
  </r>
  <r>
    <x v="478"/>
    <x v="0"/>
    <m/>
    <x v="5"/>
    <x v="2"/>
    <x v="153"/>
    <m/>
    <m/>
    <m/>
    <n v="3"/>
    <n v="201208"/>
    <n v="84000"/>
  </r>
  <r>
    <x v="478"/>
    <x v="0"/>
    <m/>
    <x v="33"/>
    <x v="2"/>
    <x v="155"/>
    <m/>
    <m/>
    <m/>
    <n v="3"/>
    <n v="201208"/>
    <n v="54600"/>
  </r>
  <r>
    <x v="478"/>
    <x v="0"/>
    <m/>
    <x v="19"/>
    <x v="2"/>
    <x v="157"/>
    <m/>
    <m/>
    <m/>
    <n v="16"/>
    <n v="201208"/>
    <n v="208000"/>
  </r>
  <r>
    <x v="478"/>
    <x v="0"/>
    <m/>
    <x v="19"/>
    <x v="2"/>
    <x v="158"/>
    <m/>
    <m/>
    <m/>
    <n v="9"/>
    <n v="201208"/>
    <n v="216000"/>
  </r>
  <r>
    <x v="478"/>
    <x v="0"/>
    <m/>
    <x v="19"/>
    <x v="2"/>
    <x v="159"/>
    <m/>
    <m/>
    <m/>
    <n v="2"/>
    <n v="201208"/>
    <n v="66000"/>
  </r>
  <r>
    <x v="478"/>
    <x v="0"/>
    <m/>
    <x v="35"/>
    <x v="2"/>
    <x v="170"/>
    <m/>
    <m/>
    <m/>
    <n v="2"/>
    <n v="201208"/>
    <n v="8000"/>
  </r>
  <r>
    <x v="478"/>
    <x v="0"/>
    <m/>
    <x v="35"/>
    <x v="2"/>
    <x v="160"/>
    <m/>
    <m/>
    <m/>
    <n v="3"/>
    <n v="201208"/>
    <n v="60000"/>
  </r>
  <r>
    <x v="478"/>
    <x v="0"/>
    <m/>
    <x v="4"/>
    <x v="2"/>
    <x v="242"/>
    <m/>
    <m/>
    <m/>
    <n v="1"/>
    <n v="201208"/>
    <n v="20000"/>
  </r>
  <r>
    <x v="478"/>
    <x v="0"/>
    <m/>
    <x v="4"/>
    <x v="2"/>
    <x v="207"/>
    <m/>
    <m/>
    <m/>
    <n v="4"/>
    <n v="201208"/>
    <n v="16000"/>
  </r>
  <r>
    <x v="478"/>
    <x v="0"/>
    <m/>
    <x v="4"/>
    <x v="2"/>
    <x v="241"/>
    <m/>
    <m/>
    <m/>
    <n v="2"/>
    <n v="201208"/>
    <n v="40000"/>
  </r>
  <r>
    <x v="478"/>
    <x v="0"/>
    <m/>
    <x v="18"/>
    <x v="2"/>
    <x v="161"/>
    <m/>
    <m/>
    <m/>
    <n v="21"/>
    <n v="201208"/>
    <n v="63000"/>
  </r>
  <r>
    <x v="478"/>
    <x v="0"/>
    <m/>
    <x v="18"/>
    <x v="2"/>
    <x v="161"/>
    <m/>
    <m/>
    <m/>
    <n v="4"/>
    <n v="201208"/>
    <n v="12000"/>
  </r>
  <r>
    <x v="478"/>
    <x v="0"/>
    <m/>
    <x v="6"/>
    <x v="9"/>
    <x v="248"/>
    <m/>
    <m/>
    <m/>
    <n v="1"/>
    <n v="201208"/>
    <n v="20000"/>
  </r>
  <r>
    <x v="479"/>
    <x v="2"/>
    <m/>
    <x v="0"/>
    <x v="1"/>
    <x v="123"/>
    <m/>
    <m/>
    <m/>
    <n v="1"/>
    <n v="201208"/>
    <n v="35000"/>
  </r>
  <r>
    <x v="479"/>
    <x v="2"/>
    <m/>
    <x v="0"/>
    <x v="1"/>
    <x v="124"/>
    <m/>
    <m/>
    <m/>
    <n v="1"/>
    <n v="201208"/>
    <n v="20000"/>
  </r>
  <r>
    <x v="479"/>
    <x v="2"/>
    <m/>
    <x v="0"/>
    <x v="7"/>
    <x v="163"/>
    <m/>
    <m/>
    <m/>
    <n v="1"/>
    <n v="201208"/>
    <n v="20000"/>
  </r>
  <r>
    <x v="479"/>
    <x v="2"/>
    <m/>
    <x v="6"/>
    <x v="2"/>
    <x v="126"/>
    <m/>
    <m/>
    <m/>
    <n v="1"/>
    <n v="201208"/>
    <n v="20000"/>
  </r>
  <r>
    <x v="479"/>
    <x v="2"/>
    <m/>
    <x v="6"/>
    <x v="2"/>
    <x v="127"/>
    <m/>
    <m/>
    <m/>
    <n v="1"/>
    <n v="201208"/>
    <n v="35000"/>
  </r>
  <r>
    <x v="479"/>
    <x v="2"/>
    <m/>
    <x v="31"/>
    <x v="2"/>
    <x v="227"/>
    <m/>
    <m/>
    <m/>
    <n v="34"/>
    <n v="201208"/>
    <n v="761600"/>
  </r>
  <r>
    <x v="479"/>
    <x v="2"/>
    <m/>
    <x v="31"/>
    <x v="2"/>
    <x v="228"/>
    <m/>
    <m/>
    <m/>
    <n v="31"/>
    <n v="201208"/>
    <n v="1215200"/>
  </r>
  <r>
    <x v="479"/>
    <x v="2"/>
    <m/>
    <x v="31"/>
    <x v="2"/>
    <x v="229"/>
    <m/>
    <m/>
    <m/>
    <n v="28"/>
    <n v="201208"/>
    <n v="1528800"/>
  </r>
  <r>
    <x v="479"/>
    <x v="2"/>
    <m/>
    <x v="32"/>
    <x v="2"/>
    <x v="230"/>
    <m/>
    <m/>
    <m/>
    <n v="15"/>
    <n v="201208"/>
    <n v="556500"/>
  </r>
  <r>
    <x v="479"/>
    <x v="2"/>
    <m/>
    <x v="31"/>
    <x v="2"/>
    <x v="231"/>
    <m/>
    <m/>
    <m/>
    <n v="1"/>
    <n v="201208"/>
    <n v="22400"/>
  </r>
  <r>
    <x v="479"/>
    <x v="2"/>
    <m/>
    <x v="31"/>
    <x v="2"/>
    <x v="232"/>
    <m/>
    <m/>
    <m/>
    <n v="1"/>
    <n v="201208"/>
    <n v="39200"/>
  </r>
  <r>
    <x v="479"/>
    <x v="2"/>
    <m/>
    <x v="31"/>
    <x v="2"/>
    <x v="233"/>
    <m/>
    <m/>
    <m/>
    <n v="2"/>
    <n v="201208"/>
    <n v="109200"/>
  </r>
  <r>
    <x v="479"/>
    <x v="2"/>
    <m/>
    <x v="32"/>
    <x v="2"/>
    <x v="234"/>
    <m/>
    <m/>
    <m/>
    <n v="1"/>
    <n v="201208"/>
    <n v="37100"/>
  </r>
  <r>
    <x v="479"/>
    <x v="2"/>
    <m/>
    <x v="31"/>
    <x v="2"/>
    <x v="235"/>
    <m/>
    <m/>
    <m/>
    <n v="12"/>
    <n v="201208"/>
    <n v="268800"/>
  </r>
  <r>
    <x v="479"/>
    <x v="2"/>
    <m/>
    <x v="31"/>
    <x v="2"/>
    <x v="236"/>
    <m/>
    <m/>
    <m/>
    <n v="7"/>
    <n v="201208"/>
    <n v="274400"/>
  </r>
  <r>
    <x v="479"/>
    <x v="2"/>
    <m/>
    <x v="31"/>
    <x v="2"/>
    <x v="237"/>
    <m/>
    <m/>
    <m/>
    <n v="5"/>
    <n v="201208"/>
    <n v="273000"/>
  </r>
  <r>
    <x v="479"/>
    <x v="2"/>
    <m/>
    <x v="32"/>
    <x v="2"/>
    <x v="238"/>
    <m/>
    <m/>
    <m/>
    <n v="4"/>
    <n v="201208"/>
    <n v="148400"/>
  </r>
  <r>
    <x v="479"/>
    <x v="2"/>
    <m/>
    <x v="34"/>
    <x v="2"/>
    <x v="128"/>
    <m/>
    <m/>
    <m/>
    <n v="38"/>
    <n v="201208"/>
    <n v="1409800"/>
  </r>
  <r>
    <x v="479"/>
    <x v="2"/>
    <m/>
    <x v="25"/>
    <x v="2"/>
    <x v="129"/>
    <m/>
    <m/>
    <m/>
    <n v="2"/>
    <n v="201208"/>
    <n v="198000"/>
  </r>
  <r>
    <x v="479"/>
    <x v="2"/>
    <m/>
    <x v="5"/>
    <x v="2"/>
    <x v="246"/>
    <m/>
    <m/>
    <m/>
    <n v="13"/>
    <n v="201208"/>
    <n v="364000"/>
  </r>
  <r>
    <x v="479"/>
    <x v="2"/>
    <m/>
    <x v="5"/>
    <x v="2"/>
    <x v="247"/>
    <m/>
    <m/>
    <m/>
    <n v="5"/>
    <n v="201208"/>
    <n v="140000"/>
  </r>
  <r>
    <x v="479"/>
    <x v="2"/>
    <m/>
    <x v="0"/>
    <x v="2"/>
    <x v="224"/>
    <m/>
    <m/>
    <m/>
    <n v="24"/>
    <n v="201208"/>
    <n v="792000"/>
  </r>
  <r>
    <x v="479"/>
    <x v="2"/>
    <m/>
    <x v="0"/>
    <x v="2"/>
    <x v="225"/>
    <m/>
    <m/>
    <m/>
    <n v="12"/>
    <n v="201208"/>
    <n v="456000"/>
  </r>
  <r>
    <x v="479"/>
    <x v="2"/>
    <m/>
    <x v="30"/>
    <x v="2"/>
    <x v="132"/>
    <m/>
    <m/>
    <m/>
    <n v="10"/>
    <n v="201208"/>
    <n v="224000"/>
  </r>
  <r>
    <x v="479"/>
    <x v="2"/>
    <m/>
    <x v="30"/>
    <x v="2"/>
    <x v="133"/>
    <m/>
    <m/>
    <m/>
    <n v="1"/>
    <n v="201208"/>
    <n v="39200"/>
  </r>
  <r>
    <x v="479"/>
    <x v="2"/>
    <m/>
    <x v="34"/>
    <x v="2"/>
    <x v="134"/>
    <m/>
    <m/>
    <m/>
    <n v="1"/>
    <n v="201208"/>
    <n v="37100"/>
  </r>
  <r>
    <x v="479"/>
    <x v="2"/>
    <m/>
    <x v="1"/>
    <x v="2"/>
    <x v="135"/>
    <m/>
    <m/>
    <m/>
    <n v="4"/>
    <n v="201208"/>
    <n v="80000"/>
  </r>
  <r>
    <x v="479"/>
    <x v="2"/>
    <m/>
    <x v="36"/>
    <x v="2"/>
    <x v="136"/>
    <m/>
    <m/>
    <m/>
    <n v="3"/>
    <n v="201208"/>
    <n v="84000"/>
  </r>
  <r>
    <x v="479"/>
    <x v="2"/>
    <m/>
    <x v="36"/>
    <x v="2"/>
    <x v="137"/>
    <m/>
    <m/>
    <m/>
    <n v="2"/>
    <n v="201208"/>
    <n v="84000"/>
  </r>
  <r>
    <x v="479"/>
    <x v="2"/>
    <m/>
    <x v="0"/>
    <x v="2"/>
    <x v="218"/>
    <m/>
    <m/>
    <m/>
    <n v="39"/>
    <n v="201208"/>
    <n v="780000"/>
  </r>
  <r>
    <x v="479"/>
    <x v="2"/>
    <m/>
    <x v="0"/>
    <x v="2"/>
    <x v="240"/>
    <m/>
    <m/>
    <m/>
    <n v="42"/>
    <n v="201208"/>
    <n v="1470000"/>
  </r>
  <r>
    <x v="479"/>
    <x v="2"/>
    <m/>
    <x v="32"/>
    <x v="2"/>
    <x v="220"/>
    <m/>
    <m/>
    <m/>
    <n v="14"/>
    <n v="201208"/>
    <n v="519400"/>
  </r>
  <r>
    <x v="479"/>
    <x v="2"/>
    <m/>
    <x v="18"/>
    <x v="2"/>
    <x v="125"/>
    <m/>
    <m/>
    <m/>
    <n v="32"/>
    <n v="201208"/>
    <n v="96000"/>
  </r>
  <r>
    <x v="479"/>
    <x v="2"/>
    <m/>
    <x v="0"/>
    <x v="2"/>
    <x v="141"/>
    <m/>
    <m/>
    <m/>
    <n v="1"/>
    <n v="201208"/>
    <n v="33000"/>
  </r>
  <r>
    <x v="479"/>
    <x v="2"/>
    <m/>
    <x v="4"/>
    <x v="2"/>
    <x v="142"/>
    <m/>
    <m/>
    <m/>
    <n v="3"/>
    <n v="201208"/>
    <n v="12000"/>
  </r>
  <r>
    <x v="479"/>
    <x v="2"/>
    <m/>
    <x v="4"/>
    <x v="2"/>
    <x v="143"/>
    <m/>
    <m/>
    <m/>
    <n v="14"/>
    <n v="201208"/>
    <n v="280000"/>
  </r>
  <r>
    <x v="479"/>
    <x v="2"/>
    <m/>
    <x v="0"/>
    <x v="2"/>
    <x v="148"/>
    <m/>
    <m/>
    <m/>
    <n v="1"/>
    <n v="201208"/>
    <n v="20000"/>
  </r>
  <r>
    <x v="479"/>
    <x v="2"/>
    <m/>
    <x v="22"/>
    <x v="2"/>
    <x v="150"/>
    <m/>
    <m/>
    <m/>
    <n v="6"/>
    <n v="201208"/>
    <n v="228000"/>
  </r>
  <r>
    <x v="479"/>
    <x v="2"/>
    <m/>
    <x v="22"/>
    <x v="2"/>
    <x v="150"/>
    <m/>
    <m/>
    <m/>
    <n v="1"/>
    <n v="201208"/>
    <n v="38000"/>
  </r>
  <r>
    <x v="479"/>
    <x v="2"/>
    <m/>
    <x v="5"/>
    <x v="2"/>
    <x v="151"/>
    <m/>
    <m/>
    <m/>
    <n v="29"/>
    <n v="201208"/>
    <n v="812000"/>
  </r>
  <r>
    <x v="479"/>
    <x v="2"/>
    <m/>
    <x v="5"/>
    <x v="2"/>
    <x v="152"/>
    <m/>
    <m/>
    <m/>
    <n v="5"/>
    <n v="201208"/>
    <n v="240000"/>
  </r>
  <r>
    <x v="479"/>
    <x v="2"/>
    <m/>
    <x v="5"/>
    <x v="2"/>
    <x v="153"/>
    <m/>
    <m/>
    <m/>
    <n v="4"/>
    <n v="201208"/>
    <n v="112000"/>
  </r>
  <r>
    <x v="479"/>
    <x v="2"/>
    <m/>
    <x v="33"/>
    <x v="2"/>
    <x v="155"/>
    <m/>
    <m/>
    <m/>
    <n v="4"/>
    <n v="201208"/>
    <n v="72800"/>
  </r>
  <r>
    <x v="479"/>
    <x v="2"/>
    <m/>
    <x v="19"/>
    <x v="2"/>
    <x v="157"/>
    <m/>
    <m/>
    <m/>
    <n v="20"/>
    <n v="201208"/>
    <n v="260000"/>
  </r>
  <r>
    <x v="479"/>
    <x v="2"/>
    <m/>
    <x v="19"/>
    <x v="2"/>
    <x v="158"/>
    <m/>
    <m/>
    <m/>
    <n v="4"/>
    <n v="201208"/>
    <n v="96000"/>
  </r>
  <r>
    <x v="479"/>
    <x v="2"/>
    <m/>
    <x v="19"/>
    <x v="2"/>
    <x v="159"/>
    <m/>
    <m/>
    <m/>
    <n v="2"/>
    <n v="201208"/>
    <n v="66000"/>
  </r>
  <r>
    <x v="479"/>
    <x v="2"/>
    <m/>
    <x v="19"/>
    <x v="2"/>
    <x v="181"/>
    <m/>
    <m/>
    <m/>
    <n v="1"/>
    <n v="201208"/>
    <n v="13000"/>
  </r>
  <r>
    <x v="479"/>
    <x v="2"/>
    <m/>
    <x v="35"/>
    <x v="2"/>
    <x v="160"/>
    <m/>
    <m/>
    <m/>
    <n v="4"/>
    <n v="201208"/>
    <n v="80000"/>
  </r>
  <r>
    <x v="479"/>
    <x v="2"/>
    <m/>
    <x v="4"/>
    <x v="2"/>
    <x v="241"/>
    <m/>
    <m/>
    <m/>
    <n v="3"/>
    <n v="201208"/>
    <n v="60000"/>
  </r>
  <r>
    <x v="479"/>
    <x v="2"/>
    <m/>
    <x v="18"/>
    <x v="2"/>
    <x v="161"/>
    <m/>
    <m/>
    <m/>
    <n v="17"/>
    <n v="201208"/>
    <n v="51000"/>
  </r>
  <r>
    <x v="479"/>
    <x v="2"/>
    <m/>
    <x v="18"/>
    <x v="2"/>
    <x v="161"/>
    <m/>
    <m/>
    <m/>
    <n v="2"/>
    <n v="201208"/>
    <n v="6000"/>
  </r>
  <r>
    <x v="480"/>
    <x v="5"/>
    <m/>
    <x v="0"/>
    <x v="7"/>
    <x v="163"/>
    <m/>
    <m/>
    <m/>
    <n v="4"/>
    <n v="201208"/>
    <n v="80000"/>
  </r>
  <r>
    <x v="480"/>
    <x v="5"/>
    <m/>
    <x v="31"/>
    <x v="2"/>
    <x v="227"/>
    <m/>
    <m/>
    <m/>
    <n v="32"/>
    <n v="201208"/>
    <n v="716800"/>
  </r>
  <r>
    <x v="480"/>
    <x v="5"/>
    <m/>
    <x v="31"/>
    <x v="2"/>
    <x v="228"/>
    <m/>
    <m/>
    <m/>
    <n v="25"/>
    <n v="201208"/>
    <n v="980000"/>
  </r>
  <r>
    <x v="480"/>
    <x v="5"/>
    <m/>
    <x v="31"/>
    <x v="2"/>
    <x v="229"/>
    <m/>
    <m/>
    <m/>
    <n v="26"/>
    <n v="201208"/>
    <n v="1419600"/>
  </r>
  <r>
    <x v="480"/>
    <x v="5"/>
    <m/>
    <x v="32"/>
    <x v="2"/>
    <x v="230"/>
    <m/>
    <m/>
    <m/>
    <n v="8"/>
    <n v="201208"/>
    <n v="296800"/>
  </r>
  <r>
    <x v="480"/>
    <x v="5"/>
    <m/>
    <x v="31"/>
    <x v="2"/>
    <x v="232"/>
    <m/>
    <m/>
    <m/>
    <n v="2"/>
    <n v="201208"/>
    <n v="78400"/>
  </r>
  <r>
    <x v="480"/>
    <x v="5"/>
    <m/>
    <x v="31"/>
    <x v="2"/>
    <x v="233"/>
    <m/>
    <m/>
    <m/>
    <n v="3"/>
    <n v="201208"/>
    <n v="163800"/>
  </r>
  <r>
    <x v="480"/>
    <x v="5"/>
    <m/>
    <x v="32"/>
    <x v="2"/>
    <x v="234"/>
    <m/>
    <m/>
    <m/>
    <n v="1"/>
    <n v="201208"/>
    <n v="37100"/>
  </r>
  <r>
    <x v="480"/>
    <x v="5"/>
    <m/>
    <x v="31"/>
    <x v="2"/>
    <x v="235"/>
    <m/>
    <m/>
    <m/>
    <n v="15"/>
    <n v="201208"/>
    <n v="336000"/>
  </r>
  <r>
    <x v="480"/>
    <x v="5"/>
    <m/>
    <x v="31"/>
    <x v="2"/>
    <x v="236"/>
    <m/>
    <m/>
    <m/>
    <n v="16"/>
    <n v="201208"/>
    <n v="627200"/>
  </r>
  <r>
    <x v="480"/>
    <x v="5"/>
    <m/>
    <x v="31"/>
    <x v="2"/>
    <x v="237"/>
    <m/>
    <m/>
    <m/>
    <n v="12"/>
    <n v="201208"/>
    <n v="655200"/>
  </r>
  <r>
    <x v="480"/>
    <x v="5"/>
    <m/>
    <x v="32"/>
    <x v="2"/>
    <x v="238"/>
    <m/>
    <m/>
    <m/>
    <n v="9"/>
    <n v="201208"/>
    <n v="333900"/>
  </r>
  <r>
    <x v="480"/>
    <x v="5"/>
    <m/>
    <x v="34"/>
    <x v="2"/>
    <x v="128"/>
    <m/>
    <m/>
    <m/>
    <n v="23"/>
    <n v="201208"/>
    <n v="853300"/>
  </r>
  <r>
    <x v="480"/>
    <x v="5"/>
    <m/>
    <x v="25"/>
    <x v="2"/>
    <x v="129"/>
    <m/>
    <m/>
    <m/>
    <n v="5"/>
    <n v="201208"/>
    <n v="495000"/>
  </r>
  <r>
    <x v="480"/>
    <x v="5"/>
    <m/>
    <x v="5"/>
    <x v="2"/>
    <x v="246"/>
    <m/>
    <m/>
    <m/>
    <n v="4"/>
    <n v="201208"/>
    <n v="112000"/>
  </r>
  <r>
    <x v="480"/>
    <x v="5"/>
    <m/>
    <x v="5"/>
    <x v="2"/>
    <x v="247"/>
    <m/>
    <m/>
    <m/>
    <n v="3"/>
    <n v="201208"/>
    <n v="84000"/>
  </r>
  <r>
    <x v="480"/>
    <x v="5"/>
    <m/>
    <x v="0"/>
    <x v="2"/>
    <x v="224"/>
    <m/>
    <m/>
    <m/>
    <n v="20"/>
    <n v="201208"/>
    <n v="660000"/>
  </r>
  <r>
    <x v="480"/>
    <x v="5"/>
    <m/>
    <x v="0"/>
    <x v="2"/>
    <x v="225"/>
    <m/>
    <m/>
    <m/>
    <n v="7"/>
    <n v="201208"/>
    <n v="266000"/>
  </r>
  <r>
    <x v="480"/>
    <x v="5"/>
    <m/>
    <x v="30"/>
    <x v="2"/>
    <x v="132"/>
    <m/>
    <m/>
    <m/>
    <n v="6"/>
    <n v="201208"/>
    <n v="134400"/>
  </r>
  <r>
    <x v="480"/>
    <x v="5"/>
    <m/>
    <x v="30"/>
    <x v="2"/>
    <x v="133"/>
    <m/>
    <m/>
    <m/>
    <n v="3"/>
    <n v="201208"/>
    <n v="117600"/>
  </r>
  <r>
    <x v="480"/>
    <x v="5"/>
    <m/>
    <x v="1"/>
    <x v="2"/>
    <x v="135"/>
    <m/>
    <m/>
    <m/>
    <n v="1"/>
    <n v="201208"/>
    <n v="20000"/>
  </r>
  <r>
    <x v="480"/>
    <x v="5"/>
    <m/>
    <x v="1"/>
    <x v="2"/>
    <x v="165"/>
    <m/>
    <m/>
    <m/>
    <n v="1"/>
    <n v="201208"/>
    <n v="35000"/>
  </r>
  <r>
    <x v="480"/>
    <x v="5"/>
    <m/>
    <x v="1"/>
    <x v="2"/>
    <x v="183"/>
    <m/>
    <m/>
    <m/>
    <n v="1"/>
    <n v="201208"/>
    <n v="17500"/>
  </r>
  <r>
    <x v="480"/>
    <x v="5"/>
    <m/>
    <x v="36"/>
    <x v="2"/>
    <x v="136"/>
    <m/>
    <m/>
    <m/>
    <n v="2"/>
    <n v="201208"/>
    <n v="56000"/>
  </r>
  <r>
    <x v="480"/>
    <x v="5"/>
    <m/>
    <x v="0"/>
    <x v="2"/>
    <x v="218"/>
    <m/>
    <m/>
    <m/>
    <n v="40"/>
    <n v="201208"/>
    <n v="800000"/>
  </r>
  <r>
    <x v="480"/>
    <x v="5"/>
    <m/>
    <x v="0"/>
    <x v="2"/>
    <x v="240"/>
    <m/>
    <m/>
    <m/>
    <n v="36"/>
    <n v="201208"/>
    <n v="1260000"/>
  </r>
  <r>
    <x v="480"/>
    <x v="5"/>
    <m/>
    <x v="32"/>
    <x v="2"/>
    <x v="220"/>
    <m/>
    <m/>
    <m/>
    <n v="11"/>
    <n v="201208"/>
    <n v="408100"/>
  </r>
  <r>
    <x v="480"/>
    <x v="5"/>
    <m/>
    <x v="18"/>
    <x v="2"/>
    <x v="125"/>
    <m/>
    <m/>
    <m/>
    <n v="22"/>
    <n v="201208"/>
    <n v="66000"/>
  </r>
  <r>
    <x v="480"/>
    <x v="5"/>
    <m/>
    <x v="0"/>
    <x v="2"/>
    <x v="138"/>
    <m/>
    <m/>
    <m/>
    <n v="1"/>
    <n v="201208"/>
    <n v="20000"/>
  </r>
  <r>
    <x v="480"/>
    <x v="5"/>
    <m/>
    <x v="4"/>
    <x v="2"/>
    <x v="142"/>
    <m/>
    <m/>
    <m/>
    <n v="2"/>
    <n v="201208"/>
    <n v="8000"/>
  </r>
  <r>
    <x v="480"/>
    <x v="5"/>
    <m/>
    <x v="4"/>
    <x v="2"/>
    <x v="143"/>
    <m/>
    <m/>
    <m/>
    <n v="6"/>
    <n v="201208"/>
    <n v="120000"/>
  </r>
  <r>
    <x v="480"/>
    <x v="5"/>
    <m/>
    <x v="4"/>
    <x v="2"/>
    <x v="144"/>
    <m/>
    <m/>
    <m/>
    <n v="2"/>
    <n v="201208"/>
    <n v="8000"/>
  </r>
  <r>
    <x v="480"/>
    <x v="5"/>
    <m/>
    <x v="22"/>
    <x v="2"/>
    <x v="150"/>
    <m/>
    <m/>
    <m/>
    <n v="5"/>
    <n v="201208"/>
    <n v="190000"/>
  </r>
  <r>
    <x v="480"/>
    <x v="5"/>
    <m/>
    <x v="22"/>
    <x v="2"/>
    <x v="150"/>
    <m/>
    <m/>
    <m/>
    <n v="8"/>
    <n v="201208"/>
    <n v="304000"/>
  </r>
  <r>
    <x v="480"/>
    <x v="5"/>
    <m/>
    <x v="5"/>
    <x v="2"/>
    <x v="151"/>
    <m/>
    <m/>
    <m/>
    <n v="12"/>
    <n v="201208"/>
    <n v="336000"/>
  </r>
  <r>
    <x v="480"/>
    <x v="5"/>
    <m/>
    <x v="5"/>
    <x v="2"/>
    <x v="152"/>
    <m/>
    <m/>
    <m/>
    <n v="4"/>
    <n v="201208"/>
    <n v="192000"/>
  </r>
  <r>
    <x v="480"/>
    <x v="5"/>
    <m/>
    <x v="5"/>
    <x v="2"/>
    <x v="153"/>
    <m/>
    <m/>
    <m/>
    <n v="7"/>
    <n v="201208"/>
    <n v="196000"/>
  </r>
  <r>
    <x v="480"/>
    <x v="5"/>
    <m/>
    <x v="33"/>
    <x v="2"/>
    <x v="156"/>
    <m/>
    <m/>
    <m/>
    <n v="3"/>
    <n v="201208"/>
    <n v="101400"/>
  </r>
  <r>
    <x v="480"/>
    <x v="5"/>
    <m/>
    <x v="19"/>
    <x v="2"/>
    <x v="157"/>
    <m/>
    <m/>
    <m/>
    <n v="12"/>
    <n v="201208"/>
    <n v="156000"/>
  </r>
  <r>
    <x v="480"/>
    <x v="5"/>
    <m/>
    <x v="19"/>
    <x v="2"/>
    <x v="158"/>
    <m/>
    <m/>
    <m/>
    <n v="1"/>
    <n v="201208"/>
    <n v="24000"/>
  </r>
  <r>
    <x v="480"/>
    <x v="5"/>
    <m/>
    <x v="19"/>
    <x v="2"/>
    <x v="159"/>
    <m/>
    <m/>
    <m/>
    <n v="2"/>
    <n v="201208"/>
    <n v="66000"/>
  </r>
  <r>
    <x v="480"/>
    <x v="5"/>
    <m/>
    <x v="35"/>
    <x v="2"/>
    <x v="160"/>
    <m/>
    <m/>
    <m/>
    <n v="3"/>
    <n v="201208"/>
    <n v="60000"/>
  </r>
  <r>
    <x v="480"/>
    <x v="5"/>
    <m/>
    <x v="18"/>
    <x v="2"/>
    <x v="161"/>
    <m/>
    <m/>
    <m/>
    <n v="4"/>
    <n v="201208"/>
    <n v="12000"/>
  </r>
  <r>
    <x v="481"/>
    <x v="6"/>
    <m/>
    <x v="0"/>
    <x v="7"/>
    <x v="163"/>
    <m/>
    <m/>
    <m/>
    <n v="4"/>
    <n v="201208"/>
    <n v="80000"/>
  </r>
  <r>
    <x v="481"/>
    <x v="6"/>
    <m/>
    <x v="6"/>
    <x v="2"/>
    <x v="126"/>
    <m/>
    <m/>
    <m/>
    <n v="3"/>
    <n v="201208"/>
    <n v="60000"/>
  </r>
  <r>
    <x v="481"/>
    <x v="6"/>
    <m/>
    <x v="31"/>
    <x v="2"/>
    <x v="227"/>
    <m/>
    <m/>
    <m/>
    <n v="34"/>
    <n v="201208"/>
    <n v="761600"/>
  </r>
  <r>
    <x v="481"/>
    <x v="6"/>
    <m/>
    <x v="31"/>
    <x v="2"/>
    <x v="228"/>
    <m/>
    <m/>
    <m/>
    <n v="33"/>
    <n v="201208"/>
    <n v="1293600"/>
  </r>
  <r>
    <x v="481"/>
    <x v="6"/>
    <m/>
    <x v="31"/>
    <x v="2"/>
    <x v="229"/>
    <m/>
    <m/>
    <m/>
    <n v="33"/>
    <n v="201208"/>
    <n v="1801800"/>
  </r>
  <r>
    <x v="481"/>
    <x v="6"/>
    <m/>
    <x v="32"/>
    <x v="2"/>
    <x v="230"/>
    <m/>
    <m/>
    <m/>
    <n v="5"/>
    <n v="201208"/>
    <n v="185500"/>
  </r>
  <r>
    <x v="481"/>
    <x v="6"/>
    <m/>
    <x v="31"/>
    <x v="2"/>
    <x v="231"/>
    <m/>
    <m/>
    <m/>
    <n v="5"/>
    <n v="201208"/>
    <n v="112000"/>
  </r>
  <r>
    <x v="481"/>
    <x v="6"/>
    <m/>
    <x v="31"/>
    <x v="2"/>
    <x v="232"/>
    <m/>
    <m/>
    <m/>
    <n v="1"/>
    <n v="201208"/>
    <n v="39200"/>
  </r>
  <r>
    <x v="481"/>
    <x v="6"/>
    <m/>
    <x v="32"/>
    <x v="2"/>
    <x v="234"/>
    <m/>
    <m/>
    <m/>
    <n v="1"/>
    <n v="201208"/>
    <n v="37100"/>
  </r>
  <r>
    <x v="481"/>
    <x v="6"/>
    <m/>
    <x v="31"/>
    <x v="2"/>
    <x v="235"/>
    <m/>
    <m/>
    <m/>
    <n v="21"/>
    <n v="201208"/>
    <n v="470400"/>
  </r>
  <r>
    <x v="481"/>
    <x v="6"/>
    <m/>
    <x v="31"/>
    <x v="2"/>
    <x v="236"/>
    <m/>
    <m/>
    <m/>
    <n v="17"/>
    <n v="201208"/>
    <n v="666400"/>
  </r>
  <r>
    <x v="481"/>
    <x v="6"/>
    <m/>
    <x v="31"/>
    <x v="2"/>
    <x v="237"/>
    <m/>
    <m/>
    <m/>
    <n v="28"/>
    <n v="201208"/>
    <n v="1528800"/>
  </r>
  <r>
    <x v="481"/>
    <x v="6"/>
    <m/>
    <x v="32"/>
    <x v="2"/>
    <x v="238"/>
    <m/>
    <m/>
    <m/>
    <n v="7"/>
    <n v="201208"/>
    <n v="259700"/>
  </r>
  <r>
    <x v="481"/>
    <x v="6"/>
    <m/>
    <x v="34"/>
    <x v="2"/>
    <x v="128"/>
    <m/>
    <m/>
    <m/>
    <n v="55"/>
    <n v="201208"/>
    <n v="2040500"/>
  </r>
  <r>
    <x v="481"/>
    <x v="6"/>
    <m/>
    <x v="25"/>
    <x v="2"/>
    <x v="129"/>
    <m/>
    <m/>
    <m/>
    <n v="1"/>
    <n v="201208"/>
    <n v="99000"/>
  </r>
  <r>
    <x v="481"/>
    <x v="6"/>
    <m/>
    <x v="5"/>
    <x v="2"/>
    <x v="246"/>
    <m/>
    <m/>
    <m/>
    <n v="48"/>
    <n v="201208"/>
    <n v="1344000"/>
  </r>
  <r>
    <x v="481"/>
    <x v="6"/>
    <m/>
    <x v="5"/>
    <x v="2"/>
    <x v="247"/>
    <m/>
    <m/>
    <m/>
    <n v="62"/>
    <n v="201208"/>
    <n v="1736000"/>
  </r>
  <r>
    <x v="481"/>
    <x v="6"/>
    <m/>
    <x v="0"/>
    <x v="2"/>
    <x v="224"/>
    <m/>
    <m/>
    <m/>
    <n v="42"/>
    <n v="201208"/>
    <n v="1386000"/>
  </r>
  <r>
    <x v="481"/>
    <x v="6"/>
    <m/>
    <x v="0"/>
    <x v="2"/>
    <x v="225"/>
    <m/>
    <m/>
    <m/>
    <n v="10"/>
    <n v="201208"/>
    <n v="380000"/>
  </r>
  <r>
    <x v="481"/>
    <x v="6"/>
    <m/>
    <x v="30"/>
    <x v="2"/>
    <x v="132"/>
    <m/>
    <m/>
    <m/>
    <n v="17"/>
    <n v="201208"/>
    <n v="380800"/>
  </r>
  <r>
    <x v="481"/>
    <x v="6"/>
    <m/>
    <x v="30"/>
    <x v="2"/>
    <x v="133"/>
    <m/>
    <m/>
    <m/>
    <n v="3"/>
    <n v="201208"/>
    <n v="117600"/>
  </r>
  <r>
    <x v="481"/>
    <x v="6"/>
    <m/>
    <x v="34"/>
    <x v="2"/>
    <x v="134"/>
    <m/>
    <m/>
    <m/>
    <n v="7"/>
    <n v="201208"/>
    <n v="259700"/>
  </r>
  <r>
    <x v="481"/>
    <x v="6"/>
    <m/>
    <x v="1"/>
    <x v="2"/>
    <x v="135"/>
    <m/>
    <m/>
    <m/>
    <n v="4"/>
    <n v="201208"/>
    <n v="80000"/>
  </r>
  <r>
    <x v="481"/>
    <x v="6"/>
    <m/>
    <x v="36"/>
    <x v="2"/>
    <x v="136"/>
    <m/>
    <m/>
    <m/>
    <n v="4"/>
    <n v="201208"/>
    <n v="112000"/>
  </r>
  <r>
    <x v="481"/>
    <x v="6"/>
    <m/>
    <x v="36"/>
    <x v="2"/>
    <x v="137"/>
    <m/>
    <m/>
    <m/>
    <n v="2"/>
    <n v="201208"/>
    <n v="84000"/>
  </r>
  <r>
    <x v="481"/>
    <x v="6"/>
    <m/>
    <x v="0"/>
    <x v="2"/>
    <x v="218"/>
    <m/>
    <m/>
    <m/>
    <n v="67"/>
    <n v="201208"/>
    <n v="1340000"/>
  </r>
  <r>
    <x v="481"/>
    <x v="6"/>
    <m/>
    <x v="0"/>
    <x v="2"/>
    <x v="240"/>
    <m/>
    <m/>
    <m/>
    <n v="45"/>
    <n v="201208"/>
    <n v="1575000"/>
  </r>
  <r>
    <x v="481"/>
    <x v="6"/>
    <m/>
    <x v="32"/>
    <x v="2"/>
    <x v="220"/>
    <m/>
    <m/>
    <m/>
    <n v="23"/>
    <n v="201208"/>
    <n v="853300"/>
  </r>
  <r>
    <x v="481"/>
    <x v="6"/>
    <m/>
    <x v="18"/>
    <x v="2"/>
    <x v="125"/>
    <m/>
    <m/>
    <m/>
    <n v="26"/>
    <n v="201208"/>
    <n v="78000"/>
  </r>
  <r>
    <x v="481"/>
    <x v="6"/>
    <m/>
    <x v="0"/>
    <x v="2"/>
    <x v="141"/>
    <m/>
    <m/>
    <m/>
    <n v="1"/>
    <n v="201208"/>
    <n v="33000"/>
  </r>
  <r>
    <x v="481"/>
    <x v="6"/>
    <m/>
    <x v="4"/>
    <x v="2"/>
    <x v="142"/>
    <m/>
    <m/>
    <m/>
    <n v="2"/>
    <n v="201208"/>
    <n v="8000"/>
  </r>
  <r>
    <x v="481"/>
    <x v="6"/>
    <m/>
    <x v="4"/>
    <x v="2"/>
    <x v="143"/>
    <m/>
    <m/>
    <m/>
    <n v="10"/>
    <n v="201208"/>
    <n v="200000"/>
  </r>
  <r>
    <x v="481"/>
    <x v="6"/>
    <m/>
    <x v="4"/>
    <x v="2"/>
    <x v="144"/>
    <m/>
    <m/>
    <m/>
    <n v="1"/>
    <n v="201208"/>
    <n v="4000"/>
  </r>
  <r>
    <x v="481"/>
    <x v="6"/>
    <m/>
    <x v="0"/>
    <x v="2"/>
    <x v="148"/>
    <m/>
    <m/>
    <m/>
    <n v="1"/>
    <n v="201208"/>
    <n v="20000"/>
  </r>
  <r>
    <x v="481"/>
    <x v="6"/>
    <m/>
    <x v="22"/>
    <x v="2"/>
    <x v="150"/>
    <m/>
    <m/>
    <m/>
    <n v="9"/>
    <n v="201208"/>
    <n v="342000"/>
  </r>
  <r>
    <x v="481"/>
    <x v="6"/>
    <m/>
    <x v="22"/>
    <x v="2"/>
    <x v="150"/>
    <m/>
    <m/>
    <m/>
    <n v="3"/>
    <n v="201208"/>
    <n v="114000"/>
  </r>
  <r>
    <x v="481"/>
    <x v="6"/>
    <m/>
    <x v="5"/>
    <x v="2"/>
    <x v="151"/>
    <m/>
    <m/>
    <m/>
    <n v="35"/>
    <n v="201208"/>
    <n v="980000"/>
  </r>
  <r>
    <x v="481"/>
    <x v="6"/>
    <m/>
    <x v="5"/>
    <x v="2"/>
    <x v="152"/>
    <m/>
    <m/>
    <m/>
    <n v="9"/>
    <n v="201208"/>
    <n v="432000"/>
  </r>
  <r>
    <x v="481"/>
    <x v="6"/>
    <m/>
    <x v="5"/>
    <x v="2"/>
    <x v="153"/>
    <m/>
    <m/>
    <m/>
    <n v="2"/>
    <n v="201208"/>
    <n v="56000"/>
  </r>
  <r>
    <x v="481"/>
    <x v="6"/>
    <m/>
    <x v="33"/>
    <x v="2"/>
    <x v="155"/>
    <m/>
    <m/>
    <m/>
    <n v="5"/>
    <n v="201208"/>
    <n v="91000"/>
  </r>
  <r>
    <x v="481"/>
    <x v="6"/>
    <m/>
    <x v="33"/>
    <x v="2"/>
    <x v="156"/>
    <m/>
    <m/>
    <m/>
    <n v="3"/>
    <n v="201208"/>
    <n v="101400"/>
  </r>
  <r>
    <x v="481"/>
    <x v="6"/>
    <m/>
    <x v="19"/>
    <x v="2"/>
    <x v="157"/>
    <m/>
    <m/>
    <m/>
    <n v="23"/>
    <n v="201208"/>
    <n v="299000"/>
  </r>
  <r>
    <x v="481"/>
    <x v="6"/>
    <m/>
    <x v="19"/>
    <x v="2"/>
    <x v="158"/>
    <m/>
    <m/>
    <m/>
    <n v="5"/>
    <n v="201208"/>
    <n v="120000"/>
  </r>
  <r>
    <x v="481"/>
    <x v="6"/>
    <m/>
    <x v="19"/>
    <x v="2"/>
    <x v="159"/>
    <m/>
    <m/>
    <m/>
    <n v="2"/>
    <n v="201208"/>
    <n v="66000"/>
  </r>
  <r>
    <x v="481"/>
    <x v="6"/>
    <m/>
    <x v="19"/>
    <x v="2"/>
    <x v="181"/>
    <m/>
    <m/>
    <m/>
    <n v="2"/>
    <n v="201208"/>
    <n v="26000"/>
  </r>
  <r>
    <x v="481"/>
    <x v="6"/>
    <m/>
    <x v="35"/>
    <x v="2"/>
    <x v="170"/>
    <m/>
    <m/>
    <m/>
    <n v="1"/>
    <n v="201208"/>
    <n v="4000"/>
  </r>
  <r>
    <x v="481"/>
    <x v="6"/>
    <m/>
    <x v="35"/>
    <x v="2"/>
    <x v="160"/>
    <m/>
    <m/>
    <m/>
    <n v="1"/>
    <n v="201208"/>
    <n v="20000"/>
  </r>
  <r>
    <x v="481"/>
    <x v="6"/>
    <m/>
    <x v="4"/>
    <x v="2"/>
    <x v="243"/>
    <m/>
    <m/>
    <m/>
    <n v="4"/>
    <n v="201208"/>
    <n v="16000"/>
  </r>
  <r>
    <x v="481"/>
    <x v="6"/>
    <m/>
    <x v="4"/>
    <x v="2"/>
    <x v="241"/>
    <m/>
    <m/>
    <m/>
    <n v="7"/>
    <n v="201208"/>
    <n v="140000"/>
  </r>
  <r>
    <x v="481"/>
    <x v="6"/>
    <m/>
    <x v="18"/>
    <x v="2"/>
    <x v="161"/>
    <m/>
    <m/>
    <m/>
    <n v="28"/>
    <n v="201208"/>
    <n v="84000"/>
  </r>
  <r>
    <x v="481"/>
    <x v="6"/>
    <m/>
    <x v="18"/>
    <x v="2"/>
    <x v="161"/>
    <m/>
    <m/>
    <m/>
    <n v="2"/>
    <n v="201208"/>
    <n v="6000"/>
  </r>
  <r>
    <x v="482"/>
    <x v="3"/>
    <m/>
    <x v="0"/>
    <x v="1"/>
    <x v="123"/>
    <m/>
    <m/>
    <m/>
    <n v="2"/>
    <n v="201208"/>
    <n v="70000"/>
  </r>
  <r>
    <x v="482"/>
    <x v="3"/>
    <m/>
    <x v="0"/>
    <x v="7"/>
    <x v="163"/>
    <m/>
    <m/>
    <m/>
    <n v="9"/>
    <n v="201208"/>
    <n v="180000"/>
  </r>
  <r>
    <x v="482"/>
    <x v="3"/>
    <m/>
    <x v="18"/>
    <x v="3"/>
    <x v="19"/>
    <m/>
    <m/>
    <m/>
    <n v="250"/>
    <n v="201208"/>
    <n v="0"/>
  </r>
  <r>
    <x v="482"/>
    <x v="3"/>
    <m/>
    <x v="36"/>
    <x v="3"/>
    <x v="173"/>
    <m/>
    <m/>
    <m/>
    <n v="1"/>
    <n v="201208"/>
    <n v="0"/>
  </r>
  <r>
    <x v="482"/>
    <x v="3"/>
    <m/>
    <x v="6"/>
    <x v="2"/>
    <x v="126"/>
    <m/>
    <m/>
    <m/>
    <n v="3"/>
    <n v="201208"/>
    <n v="60000"/>
  </r>
  <r>
    <x v="482"/>
    <x v="3"/>
    <m/>
    <x v="31"/>
    <x v="2"/>
    <x v="227"/>
    <m/>
    <m/>
    <m/>
    <n v="50"/>
    <n v="201208"/>
    <n v="1120000"/>
  </r>
  <r>
    <x v="482"/>
    <x v="3"/>
    <m/>
    <x v="31"/>
    <x v="2"/>
    <x v="228"/>
    <m/>
    <m/>
    <m/>
    <n v="32"/>
    <n v="201208"/>
    <n v="1254400"/>
  </r>
  <r>
    <x v="482"/>
    <x v="3"/>
    <m/>
    <x v="31"/>
    <x v="2"/>
    <x v="229"/>
    <m/>
    <m/>
    <m/>
    <n v="35"/>
    <n v="201208"/>
    <n v="1911000"/>
  </r>
  <r>
    <x v="482"/>
    <x v="3"/>
    <m/>
    <x v="32"/>
    <x v="2"/>
    <x v="230"/>
    <m/>
    <m/>
    <m/>
    <n v="17"/>
    <n v="201208"/>
    <n v="630700"/>
  </r>
  <r>
    <x v="482"/>
    <x v="3"/>
    <m/>
    <x v="31"/>
    <x v="2"/>
    <x v="232"/>
    <m/>
    <m/>
    <m/>
    <n v="1"/>
    <n v="201208"/>
    <n v="39200"/>
  </r>
  <r>
    <x v="482"/>
    <x v="3"/>
    <m/>
    <x v="32"/>
    <x v="2"/>
    <x v="234"/>
    <m/>
    <m/>
    <m/>
    <n v="1"/>
    <n v="201208"/>
    <n v="37100"/>
  </r>
  <r>
    <x v="482"/>
    <x v="3"/>
    <m/>
    <x v="31"/>
    <x v="2"/>
    <x v="235"/>
    <m/>
    <m/>
    <m/>
    <n v="38"/>
    <n v="201208"/>
    <n v="851200"/>
  </r>
  <r>
    <x v="482"/>
    <x v="3"/>
    <m/>
    <x v="31"/>
    <x v="2"/>
    <x v="236"/>
    <m/>
    <m/>
    <m/>
    <n v="39"/>
    <n v="201208"/>
    <n v="1528800"/>
  </r>
  <r>
    <x v="482"/>
    <x v="3"/>
    <m/>
    <x v="31"/>
    <x v="2"/>
    <x v="237"/>
    <m/>
    <m/>
    <m/>
    <n v="20"/>
    <n v="201208"/>
    <n v="1092000"/>
  </r>
  <r>
    <x v="482"/>
    <x v="3"/>
    <m/>
    <x v="32"/>
    <x v="2"/>
    <x v="238"/>
    <m/>
    <m/>
    <m/>
    <n v="15"/>
    <n v="201208"/>
    <n v="556500"/>
  </r>
  <r>
    <x v="482"/>
    <x v="3"/>
    <m/>
    <x v="34"/>
    <x v="2"/>
    <x v="128"/>
    <m/>
    <m/>
    <m/>
    <n v="48"/>
    <n v="201208"/>
    <n v="1780800"/>
  </r>
  <r>
    <x v="482"/>
    <x v="3"/>
    <m/>
    <x v="25"/>
    <x v="2"/>
    <x v="129"/>
    <m/>
    <m/>
    <m/>
    <n v="6"/>
    <n v="201208"/>
    <n v="594000"/>
  </r>
  <r>
    <x v="482"/>
    <x v="3"/>
    <m/>
    <x v="5"/>
    <x v="2"/>
    <x v="246"/>
    <m/>
    <m/>
    <m/>
    <n v="7"/>
    <n v="201208"/>
    <n v="196000"/>
  </r>
  <r>
    <x v="482"/>
    <x v="3"/>
    <m/>
    <x v="5"/>
    <x v="2"/>
    <x v="247"/>
    <m/>
    <m/>
    <m/>
    <n v="11"/>
    <n v="201208"/>
    <n v="308000"/>
  </r>
  <r>
    <x v="482"/>
    <x v="3"/>
    <m/>
    <x v="0"/>
    <x v="2"/>
    <x v="224"/>
    <m/>
    <m/>
    <m/>
    <n v="47"/>
    <n v="201208"/>
    <n v="1551000"/>
  </r>
  <r>
    <x v="482"/>
    <x v="3"/>
    <m/>
    <x v="0"/>
    <x v="2"/>
    <x v="225"/>
    <m/>
    <m/>
    <m/>
    <n v="15"/>
    <n v="201208"/>
    <n v="570000"/>
  </r>
  <r>
    <x v="482"/>
    <x v="3"/>
    <m/>
    <x v="0"/>
    <x v="2"/>
    <x v="131"/>
    <m/>
    <m/>
    <m/>
    <n v="1"/>
    <n v="201208"/>
    <n v="33000"/>
  </r>
  <r>
    <x v="482"/>
    <x v="3"/>
    <m/>
    <x v="30"/>
    <x v="2"/>
    <x v="132"/>
    <m/>
    <m/>
    <m/>
    <n v="13"/>
    <n v="201208"/>
    <n v="291200"/>
  </r>
  <r>
    <x v="482"/>
    <x v="3"/>
    <m/>
    <x v="30"/>
    <x v="2"/>
    <x v="133"/>
    <m/>
    <m/>
    <m/>
    <n v="3"/>
    <n v="201208"/>
    <n v="117600"/>
  </r>
  <r>
    <x v="482"/>
    <x v="3"/>
    <m/>
    <x v="34"/>
    <x v="2"/>
    <x v="134"/>
    <m/>
    <m/>
    <m/>
    <n v="1"/>
    <n v="201208"/>
    <n v="37100"/>
  </r>
  <r>
    <x v="482"/>
    <x v="3"/>
    <m/>
    <x v="1"/>
    <x v="2"/>
    <x v="135"/>
    <m/>
    <m/>
    <m/>
    <n v="1"/>
    <n v="201208"/>
    <n v="20000"/>
  </r>
  <r>
    <x v="482"/>
    <x v="3"/>
    <m/>
    <x v="1"/>
    <x v="2"/>
    <x v="165"/>
    <m/>
    <m/>
    <m/>
    <n v="1"/>
    <n v="201208"/>
    <n v="35000"/>
  </r>
  <r>
    <x v="482"/>
    <x v="3"/>
    <m/>
    <x v="36"/>
    <x v="2"/>
    <x v="136"/>
    <m/>
    <m/>
    <m/>
    <n v="4"/>
    <n v="201208"/>
    <n v="112000"/>
  </r>
  <r>
    <x v="482"/>
    <x v="3"/>
    <m/>
    <x v="36"/>
    <x v="2"/>
    <x v="176"/>
    <m/>
    <m/>
    <m/>
    <n v="2"/>
    <n v="201208"/>
    <n v="98000"/>
  </r>
  <r>
    <x v="482"/>
    <x v="3"/>
    <m/>
    <x v="36"/>
    <x v="2"/>
    <x v="137"/>
    <m/>
    <m/>
    <m/>
    <n v="2"/>
    <n v="201208"/>
    <n v="84000"/>
  </r>
  <r>
    <x v="482"/>
    <x v="3"/>
    <m/>
    <x v="0"/>
    <x v="2"/>
    <x v="218"/>
    <m/>
    <m/>
    <m/>
    <n v="76"/>
    <n v="201208"/>
    <n v="1520000"/>
  </r>
  <r>
    <x v="482"/>
    <x v="3"/>
    <m/>
    <x v="0"/>
    <x v="2"/>
    <x v="240"/>
    <m/>
    <m/>
    <m/>
    <n v="55"/>
    <n v="201208"/>
    <n v="1925000"/>
  </r>
  <r>
    <x v="482"/>
    <x v="3"/>
    <m/>
    <x v="32"/>
    <x v="2"/>
    <x v="220"/>
    <m/>
    <m/>
    <m/>
    <n v="29"/>
    <n v="201208"/>
    <n v="1075900"/>
  </r>
  <r>
    <x v="482"/>
    <x v="3"/>
    <m/>
    <x v="18"/>
    <x v="2"/>
    <x v="125"/>
    <m/>
    <m/>
    <m/>
    <n v="54"/>
    <n v="201208"/>
    <n v="162000"/>
  </r>
  <r>
    <x v="482"/>
    <x v="3"/>
    <m/>
    <x v="4"/>
    <x v="2"/>
    <x v="142"/>
    <m/>
    <m/>
    <m/>
    <n v="4"/>
    <n v="201208"/>
    <n v="16000"/>
  </r>
  <r>
    <x v="482"/>
    <x v="3"/>
    <m/>
    <x v="4"/>
    <x v="2"/>
    <x v="143"/>
    <m/>
    <m/>
    <m/>
    <n v="6"/>
    <n v="201208"/>
    <n v="120000"/>
  </r>
  <r>
    <x v="482"/>
    <x v="3"/>
    <m/>
    <x v="4"/>
    <x v="2"/>
    <x v="144"/>
    <m/>
    <m/>
    <m/>
    <n v="22"/>
    <n v="201208"/>
    <n v="88000"/>
  </r>
  <r>
    <x v="482"/>
    <x v="3"/>
    <m/>
    <x v="0"/>
    <x v="2"/>
    <x v="148"/>
    <m/>
    <m/>
    <m/>
    <n v="1"/>
    <n v="201208"/>
    <n v="20000"/>
  </r>
  <r>
    <x v="482"/>
    <x v="3"/>
    <m/>
    <x v="22"/>
    <x v="2"/>
    <x v="150"/>
    <m/>
    <m/>
    <m/>
    <n v="11"/>
    <n v="201208"/>
    <n v="418000"/>
  </r>
  <r>
    <x v="482"/>
    <x v="3"/>
    <m/>
    <x v="22"/>
    <x v="2"/>
    <x v="150"/>
    <m/>
    <m/>
    <m/>
    <n v="4"/>
    <n v="201208"/>
    <n v="152000"/>
  </r>
  <r>
    <x v="482"/>
    <x v="3"/>
    <m/>
    <x v="5"/>
    <x v="2"/>
    <x v="151"/>
    <m/>
    <m/>
    <m/>
    <n v="27"/>
    <n v="201208"/>
    <n v="756000"/>
  </r>
  <r>
    <x v="482"/>
    <x v="3"/>
    <m/>
    <x v="5"/>
    <x v="2"/>
    <x v="152"/>
    <m/>
    <m/>
    <m/>
    <n v="8"/>
    <n v="201208"/>
    <n v="384000"/>
  </r>
  <r>
    <x v="482"/>
    <x v="3"/>
    <m/>
    <x v="5"/>
    <x v="2"/>
    <x v="153"/>
    <m/>
    <m/>
    <m/>
    <n v="10"/>
    <n v="201208"/>
    <n v="280000"/>
  </r>
  <r>
    <x v="482"/>
    <x v="3"/>
    <m/>
    <x v="33"/>
    <x v="2"/>
    <x v="155"/>
    <m/>
    <m/>
    <m/>
    <n v="1"/>
    <n v="201208"/>
    <n v="18200"/>
  </r>
  <r>
    <x v="482"/>
    <x v="3"/>
    <m/>
    <x v="19"/>
    <x v="2"/>
    <x v="157"/>
    <m/>
    <m/>
    <m/>
    <n v="21"/>
    <n v="201208"/>
    <n v="273000"/>
  </r>
  <r>
    <x v="482"/>
    <x v="3"/>
    <m/>
    <x v="19"/>
    <x v="2"/>
    <x v="158"/>
    <m/>
    <m/>
    <m/>
    <n v="5"/>
    <n v="201208"/>
    <n v="120000"/>
  </r>
  <r>
    <x v="482"/>
    <x v="3"/>
    <m/>
    <x v="19"/>
    <x v="2"/>
    <x v="159"/>
    <m/>
    <m/>
    <m/>
    <n v="7"/>
    <n v="201208"/>
    <n v="231000"/>
  </r>
  <r>
    <x v="482"/>
    <x v="3"/>
    <m/>
    <x v="19"/>
    <x v="2"/>
    <x v="181"/>
    <m/>
    <m/>
    <m/>
    <n v="1"/>
    <n v="201208"/>
    <n v="13000"/>
  </r>
  <r>
    <x v="482"/>
    <x v="3"/>
    <m/>
    <x v="35"/>
    <x v="2"/>
    <x v="160"/>
    <m/>
    <m/>
    <m/>
    <n v="1"/>
    <n v="201208"/>
    <n v="20000"/>
  </r>
  <r>
    <x v="482"/>
    <x v="3"/>
    <m/>
    <x v="4"/>
    <x v="2"/>
    <x v="242"/>
    <m/>
    <m/>
    <m/>
    <n v="2"/>
    <n v="201208"/>
    <n v="40000"/>
  </r>
  <r>
    <x v="482"/>
    <x v="3"/>
    <m/>
    <x v="4"/>
    <x v="2"/>
    <x v="241"/>
    <m/>
    <m/>
    <m/>
    <n v="4"/>
    <n v="201208"/>
    <n v="80000"/>
  </r>
  <r>
    <x v="482"/>
    <x v="3"/>
    <m/>
    <x v="18"/>
    <x v="2"/>
    <x v="161"/>
    <m/>
    <m/>
    <m/>
    <n v="18"/>
    <n v="201208"/>
    <n v="54000"/>
  </r>
  <r>
    <x v="482"/>
    <x v="3"/>
    <m/>
    <x v="18"/>
    <x v="2"/>
    <x v="161"/>
    <m/>
    <m/>
    <m/>
    <n v="1"/>
    <n v="201208"/>
    <n v="3000"/>
  </r>
  <r>
    <x v="483"/>
    <x v="4"/>
    <m/>
    <x v="0"/>
    <x v="1"/>
    <x v="123"/>
    <m/>
    <m/>
    <m/>
    <n v="2"/>
    <n v="201208"/>
    <n v="70000"/>
  </r>
  <r>
    <x v="483"/>
    <x v="4"/>
    <m/>
    <x v="0"/>
    <x v="1"/>
    <x v="124"/>
    <m/>
    <m/>
    <m/>
    <n v="1"/>
    <n v="201208"/>
    <n v="20000"/>
  </r>
  <r>
    <x v="483"/>
    <x v="4"/>
    <m/>
    <x v="0"/>
    <x v="7"/>
    <x v="163"/>
    <m/>
    <m/>
    <m/>
    <n v="3"/>
    <n v="201208"/>
    <n v="60000"/>
  </r>
  <r>
    <x v="483"/>
    <x v="4"/>
    <m/>
    <x v="0"/>
    <x v="3"/>
    <x v="164"/>
    <m/>
    <m/>
    <m/>
    <n v="1"/>
    <n v="201208"/>
    <n v="0"/>
  </r>
  <r>
    <x v="483"/>
    <x v="4"/>
    <m/>
    <x v="6"/>
    <x v="2"/>
    <x v="126"/>
    <m/>
    <m/>
    <m/>
    <n v="5"/>
    <n v="201208"/>
    <n v="100000"/>
  </r>
  <r>
    <x v="483"/>
    <x v="4"/>
    <m/>
    <x v="6"/>
    <x v="2"/>
    <x v="127"/>
    <m/>
    <m/>
    <m/>
    <n v="2"/>
    <n v="201208"/>
    <n v="70000"/>
  </r>
  <r>
    <x v="483"/>
    <x v="4"/>
    <m/>
    <x v="31"/>
    <x v="2"/>
    <x v="227"/>
    <m/>
    <m/>
    <m/>
    <n v="54"/>
    <n v="201208"/>
    <n v="1209600"/>
  </r>
  <r>
    <x v="483"/>
    <x v="4"/>
    <m/>
    <x v="31"/>
    <x v="2"/>
    <x v="228"/>
    <m/>
    <m/>
    <m/>
    <n v="38"/>
    <n v="201208"/>
    <n v="1489600"/>
  </r>
  <r>
    <x v="483"/>
    <x v="4"/>
    <m/>
    <x v="31"/>
    <x v="2"/>
    <x v="229"/>
    <m/>
    <m/>
    <m/>
    <n v="35"/>
    <n v="201208"/>
    <n v="1911000"/>
  </r>
  <r>
    <x v="483"/>
    <x v="4"/>
    <m/>
    <x v="32"/>
    <x v="2"/>
    <x v="230"/>
    <m/>
    <m/>
    <m/>
    <n v="30"/>
    <n v="201208"/>
    <n v="1113000"/>
  </r>
  <r>
    <x v="483"/>
    <x v="4"/>
    <m/>
    <x v="31"/>
    <x v="2"/>
    <x v="231"/>
    <m/>
    <m/>
    <m/>
    <n v="1"/>
    <n v="201208"/>
    <n v="22400"/>
  </r>
  <r>
    <x v="483"/>
    <x v="4"/>
    <m/>
    <x v="31"/>
    <x v="2"/>
    <x v="232"/>
    <m/>
    <m/>
    <m/>
    <n v="1"/>
    <n v="201208"/>
    <n v="39200"/>
  </r>
  <r>
    <x v="483"/>
    <x v="4"/>
    <m/>
    <x v="31"/>
    <x v="2"/>
    <x v="235"/>
    <m/>
    <m/>
    <m/>
    <n v="49"/>
    <n v="201208"/>
    <n v="1097600"/>
  </r>
  <r>
    <x v="483"/>
    <x v="4"/>
    <m/>
    <x v="31"/>
    <x v="2"/>
    <x v="236"/>
    <m/>
    <m/>
    <m/>
    <n v="48"/>
    <n v="201208"/>
    <n v="1881600"/>
  </r>
  <r>
    <x v="483"/>
    <x v="4"/>
    <m/>
    <x v="31"/>
    <x v="2"/>
    <x v="237"/>
    <m/>
    <m/>
    <m/>
    <n v="32"/>
    <n v="201208"/>
    <n v="1747200"/>
  </r>
  <r>
    <x v="483"/>
    <x v="4"/>
    <m/>
    <x v="32"/>
    <x v="2"/>
    <x v="238"/>
    <m/>
    <m/>
    <m/>
    <n v="8"/>
    <n v="201208"/>
    <n v="296800"/>
  </r>
  <r>
    <x v="483"/>
    <x v="4"/>
    <m/>
    <x v="34"/>
    <x v="2"/>
    <x v="128"/>
    <m/>
    <m/>
    <m/>
    <n v="38"/>
    <n v="201208"/>
    <n v="1409800"/>
  </r>
  <r>
    <x v="483"/>
    <x v="4"/>
    <m/>
    <x v="25"/>
    <x v="2"/>
    <x v="129"/>
    <m/>
    <m/>
    <m/>
    <n v="4"/>
    <n v="201208"/>
    <n v="396000"/>
  </r>
  <r>
    <x v="483"/>
    <x v="4"/>
    <m/>
    <x v="5"/>
    <x v="2"/>
    <x v="247"/>
    <m/>
    <m/>
    <m/>
    <n v="1"/>
    <n v="201208"/>
    <n v="28000"/>
  </r>
  <r>
    <x v="483"/>
    <x v="4"/>
    <m/>
    <x v="0"/>
    <x v="2"/>
    <x v="224"/>
    <m/>
    <m/>
    <m/>
    <n v="27"/>
    <n v="201208"/>
    <n v="891000"/>
  </r>
  <r>
    <x v="483"/>
    <x v="4"/>
    <m/>
    <x v="0"/>
    <x v="2"/>
    <x v="225"/>
    <m/>
    <m/>
    <m/>
    <n v="7"/>
    <n v="201208"/>
    <n v="266000"/>
  </r>
  <r>
    <x v="483"/>
    <x v="4"/>
    <m/>
    <x v="0"/>
    <x v="2"/>
    <x v="168"/>
    <m/>
    <m/>
    <m/>
    <n v="1"/>
    <n v="201208"/>
    <n v="20000"/>
  </r>
  <r>
    <x v="483"/>
    <x v="4"/>
    <m/>
    <x v="30"/>
    <x v="2"/>
    <x v="132"/>
    <m/>
    <m/>
    <m/>
    <n v="17"/>
    <n v="201208"/>
    <n v="380800"/>
  </r>
  <r>
    <x v="483"/>
    <x v="4"/>
    <m/>
    <x v="30"/>
    <x v="2"/>
    <x v="133"/>
    <m/>
    <m/>
    <m/>
    <n v="3"/>
    <n v="201208"/>
    <n v="117600"/>
  </r>
  <r>
    <x v="483"/>
    <x v="4"/>
    <m/>
    <x v="34"/>
    <x v="2"/>
    <x v="134"/>
    <m/>
    <m/>
    <m/>
    <n v="3"/>
    <n v="201208"/>
    <n v="111300"/>
  </r>
  <r>
    <x v="483"/>
    <x v="4"/>
    <m/>
    <x v="1"/>
    <x v="2"/>
    <x v="135"/>
    <m/>
    <m/>
    <m/>
    <n v="1"/>
    <n v="201208"/>
    <n v="20000"/>
  </r>
  <r>
    <x v="483"/>
    <x v="4"/>
    <m/>
    <x v="1"/>
    <x v="2"/>
    <x v="165"/>
    <m/>
    <m/>
    <m/>
    <n v="2"/>
    <n v="201208"/>
    <n v="70000"/>
  </r>
  <r>
    <x v="483"/>
    <x v="4"/>
    <m/>
    <x v="36"/>
    <x v="2"/>
    <x v="136"/>
    <m/>
    <m/>
    <m/>
    <n v="8"/>
    <n v="201208"/>
    <n v="224000"/>
  </r>
  <r>
    <x v="483"/>
    <x v="4"/>
    <m/>
    <x v="36"/>
    <x v="2"/>
    <x v="137"/>
    <m/>
    <m/>
    <m/>
    <n v="2"/>
    <n v="201208"/>
    <n v="84000"/>
  </r>
  <r>
    <x v="483"/>
    <x v="4"/>
    <m/>
    <x v="0"/>
    <x v="2"/>
    <x v="218"/>
    <m/>
    <m/>
    <m/>
    <n v="78"/>
    <n v="201208"/>
    <n v="1560000"/>
  </r>
  <r>
    <x v="483"/>
    <x v="4"/>
    <m/>
    <x v="0"/>
    <x v="2"/>
    <x v="240"/>
    <m/>
    <m/>
    <m/>
    <n v="67"/>
    <n v="201208"/>
    <n v="2345000"/>
  </r>
  <r>
    <x v="483"/>
    <x v="4"/>
    <m/>
    <x v="32"/>
    <x v="2"/>
    <x v="220"/>
    <m/>
    <m/>
    <m/>
    <n v="27"/>
    <n v="201208"/>
    <n v="1001700"/>
  </r>
  <r>
    <x v="483"/>
    <x v="4"/>
    <m/>
    <x v="18"/>
    <x v="2"/>
    <x v="125"/>
    <m/>
    <m/>
    <m/>
    <n v="54"/>
    <n v="201208"/>
    <n v="162000"/>
  </r>
  <r>
    <x v="483"/>
    <x v="4"/>
    <m/>
    <x v="0"/>
    <x v="2"/>
    <x v="141"/>
    <m/>
    <m/>
    <m/>
    <n v="1"/>
    <n v="201208"/>
    <n v="33000"/>
  </r>
  <r>
    <x v="483"/>
    <x v="4"/>
    <m/>
    <x v="4"/>
    <x v="2"/>
    <x v="142"/>
    <m/>
    <m/>
    <m/>
    <n v="2"/>
    <n v="201208"/>
    <n v="8000"/>
  </r>
  <r>
    <x v="483"/>
    <x v="4"/>
    <m/>
    <x v="4"/>
    <x v="2"/>
    <x v="143"/>
    <m/>
    <m/>
    <m/>
    <n v="9"/>
    <n v="201208"/>
    <n v="180000"/>
  </r>
  <r>
    <x v="483"/>
    <x v="4"/>
    <m/>
    <x v="4"/>
    <x v="2"/>
    <x v="144"/>
    <m/>
    <m/>
    <m/>
    <n v="5"/>
    <n v="201208"/>
    <n v="20000"/>
  </r>
  <r>
    <x v="483"/>
    <x v="4"/>
    <m/>
    <x v="0"/>
    <x v="2"/>
    <x v="148"/>
    <m/>
    <m/>
    <m/>
    <n v="2"/>
    <n v="201208"/>
    <n v="40000"/>
  </r>
  <r>
    <x v="483"/>
    <x v="4"/>
    <m/>
    <x v="22"/>
    <x v="2"/>
    <x v="150"/>
    <m/>
    <m/>
    <m/>
    <n v="12"/>
    <n v="201208"/>
    <n v="456000"/>
  </r>
  <r>
    <x v="483"/>
    <x v="4"/>
    <m/>
    <x v="22"/>
    <x v="2"/>
    <x v="150"/>
    <m/>
    <m/>
    <m/>
    <n v="4"/>
    <n v="201208"/>
    <n v="152000"/>
  </r>
  <r>
    <x v="483"/>
    <x v="4"/>
    <m/>
    <x v="5"/>
    <x v="2"/>
    <x v="151"/>
    <m/>
    <m/>
    <m/>
    <n v="21"/>
    <n v="201208"/>
    <n v="588000"/>
  </r>
  <r>
    <x v="483"/>
    <x v="4"/>
    <m/>
    <x v="5"/>
    <x v="2"/>
    <x v="152"/>
    <m/>
    <m/>
    <m/>
    <n v="11"/>
    <n v="201208"/>
    <n v="528000"/>
  </r>
  <r>
    <x v="483"/>
    <x v="4"/>
    <m/>
    <x v="5"/>
    <x v="2"/>
    <x v="153"/>
    <m/>
    <m/>
    <m/>
    <n v="4"/>
    <n v="201208"/>
    <n v="112000"/>
  </r>
  <r>
    <x v="483"/>
    <x v="4"/>
    <m/>
    <x v="33"/>
    <x v="2"/>
    <x v="155"/>
    <m/>
    <m/>
    <m/>
    <n v="7"/>
    <n v="201208"/>
    <n v="127400"/>
  </r>
  <r>
    <x v="483"/>
    <x v="4"/>
    <m/>
    <x v="33"/>
    <x v="2"/>
    <x v="156"/>
    <m/>
    <m/>
    <m/>
    <n v="3"/>
    <n v="201208"/>
    <n v="101400"/>
  </r>
  <r>
    <x v="483"/>
    <x v="4"/>
    <m/>
    <x v="19"/>
    <x v="2"/>
    <x v="157"/>
    <m/>
    <m/>
    <m/>
    <n v="24"/>
    <n v="201208"/>
    <n v="312000"/>
  </r>
  <r>
    <x v="483"/>
    <x v="4"/>
    <m/>
    <x v="19"/>
    <x v="2"/>
    <x v="158"/>
    <m/>
    <m/>
    <m/>
    <n v="6"/>
    <n v="201208"/>
    <n v="144000"/>
  </r>
  <r>
    <x v="483"/>
    <x v="4"/>
    <m/>
    <x v="19"/>
    <x v="2"/>
    <x v="159"/>
    <m/>
    <m/>
    <m/>
    <n v="4"/>
    <n v="201208"/>
    <n v="132000"/>
  </r>
  <r>
    <x v="483"/>
    <x v="4"/>
    <m/>
    <x v="35"/>
    <x v="2"/>
    <x v="160"/>
    <m/>
    <m/>
    <m/>
    <n v="2"/>
    <n v="201208"/>
    <n v="40000"/>
  </r>
  <r>
    <x v="483"/>
    <x v="4"/>
    <m/>
    <x v="4"/>
    <x v="2"/>
    <x v="242"/>
    <m/>
    <m/>
    <m/>
    <n v="1"/>
    <n v="201208"/>
    <n v="20000"/>
  </r>
  <r>
    <x v="483"/>
    <x v="4"/>
    <m/>
    <x v="4"/>
    <x v="2"/>
    <x v="207"/>
    <m/>
    <m/>
    <m/>
    <n v="2"/>
    <n v="201208"/>
    <n v="8000"/>
  </r>
  <r>
    <x v="483"/>
    <x v="4"/>
    <m/>
    <x v="4"/>
    <x v="2"/>
    <x v="241"/>
    <m/>
    <m/>
    <m/>
    <n v="10"/>
    <n v="201208"/>
    <n v="200000"/>
  </r>
  <r>
    <x v="483"/>
    <x v="4"/>
    <m/>
    <x v="18"/>
    <x v="2"/>
    <x v="161"/>
    <m/>
    <m/>
    <m/>
    <n v="24"/>
    <n v="201208"/>
    <n v="72000"/>
  </r>
  <r>
    <x v="484"/>
    <x v="1"/>
    <m/>
    <x v="0"/>
    <x v="1"/>
    <x v="123"/>
    <m/>
    <m/>
    <m/>
    <n v="1"/>
    <n v="201208"/>
    <n v="35000"/>
  </r>
  <r>
    <x v="484"/>
    <x v="1"/>
    <m/>
    <x v="0"/>
    <x v="1"/>
    <x v="124"/>
    <m/>
    <m/>
    <m/>
    <n v="2"/>
    <n v="201208"/>
    <n v="40000"/>
  </r>
  <r>
    <x v="484"/>
    <x v="1"/>
    <m/>
    <x v="0"/>
    <x v="7"/>
    <x v="163"/>
    <m/>
    <m/>
    <m/>
    <n v="2"/>
    <n v="201208"/>
    <n v="40000"/>
  </r>
  <r>
    <x v="484"/>
    <x v="1"/>
    <m/>
    <x v="0"/>
    <x v="3"/>
    <x v="164"/>
    <m/>
    <m/>
    <m/>
    <n v="162"/>
    <n v="201208"/>
    <n v="0"/>
  </r>
  <r>
    <x v="484"/>
    <x v="1"/>
    <m/>
    <x v="31"/>
    <x v="3"/>
    <x v="88"/>
    <m/>
    <m/>
    <m/>
    <n v="40"/>
    <n v="201208"/>
    <n v="0"/>
  </r>
  <r>
    <x v="484"/>
    <x v="1"/>
    <m/>
    <x v="6"/>
    <x v="2"/>
    <x v="126"/>
    <m/>
    <m/>
    <m/>
    <n v="5"/>
    <n v="201208"/>
    <n v="100000"/>
  </r>
  <r>
    <x v="484"/>
    <x v="1"/>
    <m/>
    <x v="6"/>
    <x v="2"/>
    <x v="127"/>
    <m/>
    <m/>
    <m/>
    <n v="3"/>
    <n v="201208"/>
    <n v="105000"/>
  </r>
  <r>
    <x v="484"/>
    <x v="1"/>
    <m/>
    <x v="31"/>
    <x v="2"/>
    <x v="227"/>
    <m/>
    <m/>
    <m/>
    <n v="32"/>
    <n v="201208"/>
    <n v="716800"/>
  </r>
  <r>
    <x v="484"/>
    <x v="1"/>
    <m/>
    <x v="31"/>
    <x v="2"/>
    <x v="228"/>
    <m/>
    <m/>
    <m/>
    <n v="33"/>
    <n v="201208"/>
    <n v="1293600"/>
  </r>
  <r>
    <x v="484"/>
    <x v="1"/>
    <m/>
    <x v="31"/>
    <x v="2"/>
    <x v="229"/>
    <m/>
    <m/>
    <m/>
    <n v="15"/>
    <n v="201208"/>
    <n v="819000"/>
  </r>
  <r>
    <x v="484"/>
    <x v="1"/>
    <m/>
    <x v="32"/>
    <x v="2"/>
    <x v="230"/>
    <m/>
    <m/>
    <m/>
    <n v="12"/>
    <n v="201208"/>
    <n v="445200"/>
  </r>
  <r>
    <x v="484"/>
    <x v="1"/>
    <m/>
    <x v="31"/>
    <x v="2"/>
    <x v="233"/>
    <m/>
    <m/>
    <m/>
    <n v="1"/>
    <n v="201208"/>
    <n v="54600"/>
  </r>
  <r>
    <x v="484"/>
    <x v="1"/>
    <m/>
    <x v="31"/>
    <x v="2"/>
    <x v="235"/>
    <m/>
    <m/>
    <m/>
    <n v="51"/>
    <n v="201208"/>
    <n v="1142400"/>
  </r>
  <r>
    <x v="484"/>
    <x v="1"/>
    <m/>
    <x v="31"/>
    <x v="2"/>
    <x v="236"/>
    <m/>
    <m/>
    <m/>
    <n v="28"/>
    <n v="201208"/>
    <n v="1097600"/>
  </r>
  <r>
    <x v="484"/>
    <x v="1"/>
    <m/>
    <x v="31"/>
    <x v="2"/>
    <x v="237"/>
    <m/>
    <m/>
    <m/>
    <n v="18"/>
    <n v="201208"/>
    <n v="982800"/>
  </r>
  <r>
    <x v="484"/>
    <x v="1"/>
    <m/>
    <x v="32"/>
    <x v="2"/>
    <x v="238"/>
    <m/>
    <m/>
    <m/>
    <n v="8"/>
    <n v="201208"/>
    <n v="296800"/>
  </r>
  <r>
    <x v="484"/>
    <x v="1"/>
    <m/>
    <x v="34"/>
    <x v="2"/>
    <x v="128"/>
    <m/>
    <m/>
    <m/>
    <n v="64"/>
    <n v="201208"/>
    <n v="2374400"/>
  </r>
  <r>
    <x v="484"/>
    <x v="1"/>
    <m/>
    <x v="25"/>
    <x v="2"/>
    <x v="129"/>
    <m/>
    <m/>
    <m/>
    <n v="3"/>
    <n v="201208"/>
    <n v="297000"/>
  </r>
  <r>
    <x v="484"/>
    <x v="1"/>
    <m/>
    <x v="0"/>
    <x v="2"/>
    <x v="224"/>
    <m/>
    <m/>
    <m/>
    <n v="36"/>
    <n v="201208"/>
    <n v="1188000"/>
  </r>
  <r>
    <x v="484"/>
    <x v="1"/>
    <m/>
    <x v="0"/>
    <x v="2"/>
    <x v="225"/>
    <m/>
    <m/>
    <m/>
    <n v="17"/>
    <n v="201208"/>
    <n v="646000"/>
  </r>
  <r>
    <x v="484"/>
    <x v="1"/>
    <m/>
    <x v="30"/>
    <x v="2"/>
    <x v="132"/>
    <m/>
    <m/>
    <m/>
    <n v="13"/>
    <n v="201208"/>
    <n v="291200"/>
  </r>
  <r>
    <x v="484"/>
    <x v="1"/>
    <m/>
    <x v="34"/>
    <x v="2"/>
    <x v="134"/>
    <m/>
    <m/>
    <m/>
    <n v="1"/>
    <n v="201208"/>
    <n v="37100"/>
  </r>
  <r>
    <x v="484"/>
    <x v="1"/>
    <m/>
    <x v="1"/>
    <x v="2"/>
    <x v="165"/>
    <m/>
    <m/>
    <m/>
    <n v="2"/>
    <n v="201208"/>
    <n v="70000"/>
  </r>
  <r>
    <x v="484"/>
    <x v="1"/>
    <m/>
    <x v="36"/>
    <x v="2"/>
    <x v="136"/>
    <m/>
    <m/>
    <m/>
    <n v="8"/>
    <n v="201208"/>
    <n v="224000"/>
  </r>
  <r>
    <x v="484"/>
    <x v="1"/>
    <m/>
    <x v="0"/>
    <x v="2"/>
    <x v="218"/>
    <m/>
    <m/>
    <m/>
    <n v="117"/>
    <n v="201208"/>
    <n v="2340000"/>
  </r>
  <r>
    <x v="484"/>
    <x v="1"/>
    <m/>
    <x v="0"/>
    <x v="2"/>
    <x v="240"/>
    <m/>
    <m/>
    <m/>
    <n v="60"/>
    <n v="201208"/>
    <n v="2100000"/>
  </r>
  <r>
    <x v="484"/>
    <x v="1"/>
    <m/>
    <x v="32"/>
    <x v="2"/>
    <x v="220"/>
    <m/>
    <m/>
    <m/>
    <n v="41"/>
    <n v="201208"/>
    <n v="1521100"/>
  </r>
  <r>
    <x v="484"/>
    <x v="1"/>
    <m/>
    <x v="18"/>
    <x v="2"/>
    <x v="125"/>
    <m/>
    <m/>
    <m/>
    <n v="67"/>
    <n v="201208"/>
    <n v="201000"/>
  </r>
  <r>
    <x v="484"/>
    <x v="1"/>
    <m/>
    <x v="0"/>
    <x v="2"/>
    <x v="138"/>
    <m/>
    <m/>
    <m/>
    <n v="1"/>
    <n v="201208"/>
    <n v="20000"/>
  </r>
  <r>
    <x v="484"/>
    <x v="1"/>
    <m/>
    <x v="0"/>
    <x v="2"/>
    <x v="139"/>
    <m/>
    <m/>
    <m/>
    <n v="1"/>
    <n v="201208"/>
    <n v="35000"/>
  </r>
  <r>
    <x v="484"/>
    <x v="1"/>
    <m/>
    <x v="0"/>
    <x v="2"/>
    <x v="141"/>
    <m/>
    <m/>
    <m/>
    <n v="1"/>
    <n v="201208"/>
    <n v="33000"/>
  </r>
  <r>
    <x v="484"/>
    <x v="1"/>
    <m/>
    <x v="4"/>
    <x v="2"/>
    <x v="142"/>
    <m/>
    <m/>
    <m/>
    <n v="2"/>
    <n v="201208"/>
    <n v="8000"/>
  </r>
  <r>
    <x v="484"/>
    <x v="1"/>
    <m/>
    <x v="4"/>
    <x v="2"/>
    <x v="143"/>
    <m/>
    <m/>
    <m/>
    <n v="7"/>
    <n v="201208"/>
    <n v="140000"/>
  </r>
  <r>
    <x v="484"/>
    <x v="1"/>
    <m/>
    <x v="4"/>
    <x v="2"/>
    <x v="144"/>
    <m/>
    <m/>
    <m/>
    <n v="18"/>
    <n v="201208"/>
    <n v="72000"/>
  </r>
  <r>
    <x v="484"/>
    <x v="1"/>
    <m/>
    <x v="31"/>
    <x v="2"/>
    <x v="145"/>
    <m/>
    <m/>
    <m/>
    <n v="23"/>
    <n v="201208"/>
    <n v="515200"/>
  </r>
  <r>
    <x v="484"/>
    <x v="1"/>
    <m/>
    <x v="31"/>
    <x v="2"/>
    <x v="146"/>
    <m/>
    <m/>
    <m/>
    <n v="20"/>
    <n v="201208"/>
    <n v="784000"/>
  </r>
  <r>
    <x v="484"/>
    <x v="1"/>
    <m/>
    <x v="31"/>
    <x v="2"/>
    <x v="249"/>
    <m/>
    <m/>
    <m/>
    <n v="9"/>
    <n v="201208"/>
    <n v="491400"/>
  </r>
  <r>
    <x v="484"/>
    <x v="1"/>
    <m/>
    <x v="32"/>
    <x v="2"/>
    <x v="147"/>
    <m/>
    <m/>
    <m/>
    <n v="3"/>
    <n v="201208"/>
    <n v="111300"/>
  </r>
  <r>
    <x v="484"/>
    <x v="1"/>
    <m/>
    <x v="0"/>
    <x v="2"/>
    <x v="148"/>
    <m/>
    <m/>
    <m/>
    <n v="1"/>
    <n v="201208"/>
    <n v="20000"/>
  </r>
  <r>
    <x v="484"/>
    <x v="1"/>
    <m/>
    <x v="0"/>
    <x v="2"/>
    <x v="250"/>
    <m/>
    <m/>
    <m/>
    <n v="4"/>
    <n v="201208"/>
    <n v="80000"/>
  </r>
  <r>
    <x v="484"/>
    <x v="1"/>
    <m/>
    <x v="0"/>
    <x v="2"/>
    <x v="251"/>
    <m/>
    <m/>
    <m/>
    <n v="2"/>
    <n v="201208"/>
    <n v="70000"/>
  </r>
  <r>
    <x v="484"/>
    <x v="1"/>
    <m/>
    <x v="18"/>
    <x v="2"/>
    <x v="252"/>
    <m/>
    <m/>
    <m/>
    <n v="3"/>
    <n v="201208"/>
    <n v="9000"/>
  </r>
  <r>
    <x v="484"/>
    <x v="1"/>
    <m/>
    <x v="31"/>
    <x v="2"/>
    <x v="186"/>
    <m/>
    <m/>
    <m/>
    <n v="12"/>
    <n v="201208"/>
    <n v="268800"/>
  </r>
  <r>
    <x v="484"/>
    <x v="1"/>
    <m/>
    <x v="31"/>
    <x v="2"/>
    <x v="187"/>
    <m/>
    <m/>
    <m/>
    <n v="13"/>
    <n v="201208"/>
    <n v="509600"/>
  </r>
  <r>
    <x v="484"/>
    <x v="1"/>
    <m/>
    <x v="32"/>
    <x v="2"/>
    <x v="188"/>
    <m/>
    <m/>
    <m/>
    <n v="3"/>
    <n v="201208"/>
    <n v="111300"/>
  </r>
  <r>
    <x v="484"/>
    <x v="1"/>
    <m/>
    <x v="22"/>
    <x v="2"/>
    <x v="150"/>
    <m/>
    <m/>
    <m/>
    <n v="5"/>
    <n v="201208"/>
    <n v="190000"/>
  </r>
  <r>
    <x v="484"/>
    <x v="1"/>
    <m/>
    <x v="22"/>
    <x v="2"/>
    <x v="150"/>
    <m/>
    <m/>
    <m/>
    <n v="10"/>
    <n v="201208"/>
    <n v="380000"/>
  </r>
  <r>
    <x v="484"/>
    <x v="1"/>
    <m/>
    <x v="5"/>
    <x v="2"/>
    <x v="151"/>
    <m/>
    <m/>
    <m/>
    <n v="25"/>
    <n v="201208"/>
    <n v="700000"/>
  </r>
  <r>
    <x v="484"/>
    <x v="1"/>
    <m/>
    <x v="5"/>
    <x v="2"/>
    <x v="152"/>
    <m/>
    <m/>
    <m/>
    <n v="9"/>
    <n v="201208"/>
    <n v="432000"/>
  </r>
  <r>
    <x v="484"/>
    <x v="1"/>
    <m/>
    <x v="5"/>
    <x v="2"/>
    <x v="153"/>
    <m/>
    <m/>
    <m/>
    <n v="14"/>
    <n v="201208"/>
    <n v="392000"/>
  </r>
  <r>
    <x v="484"/>
    <x v="1"/>
    <m/>
    <x v="33"/>
    <x v="2"/>
    <x v="155"/>
    <m/>
    <m/>
    <m/>
    <n v="2"/>
    <n v="201208"/>
    <n v="36400"/>
  </r>
  <r>
    <x v="484"/>
    <x v="1"/>
    <m/>
    <x v="33"/>
    <x v="2"/>
    <x v="156"/>
    <m/>
    <m/>
    <m/>
    <n v="3"/>
    <n v="201208"/>
    <n v="101400"/>
  </r>
  <r>
    <x v="484"/>
    <x v="1"/>
    <m/>
    <x v="19"/>
    <x v="2"/>
    <x v="157"/>
    <m/>
    <m/>
    <m/>
    <n v="19"/>
    <n v="201208"/>
    <n v="247000"/>
  </r>
  <r>
    <x v="484"/>
    <x v="1"/>
    <m/>
    <x v="19"/>
    <x v="2"/>
    <x v="158"/>
    <m/>
    <m/>
    <m/>
    <n v="5"/>
    <n v="201208"/>
    <n v="120000"/>
  </r>
  <r>
    <x v="484"/>
    <x v="1"/>
    <m/>
    <x v="35"/>
    <x v="2"/>
    <x v="170"/>
    <m/>
    <m/>
    <m/>
    <n v="1"/>
    <n v="201208"/>
    <n v="4000"/>
  </r>
  <r>
    <x v="484"/>
    <x v="1"/>
    <m/>
    <x v="4"/>
    <x v="2"/>
    <x v="243"/>
    <m/>
    <m/>
    <m/>
    <n v="2"/>
    <n v="201208"/>
    <n v="8000"/>
  </r>
  <r>
    <x v="484"/>
    <x v="1"/>
    <m/>
    <x v="4"/>
    <x v="2"/>
    <x v="242"/>
    <m/>
    <m/>
    <m/>
    <n v="2"/>
    <n v="201208"/>
    <n v="40000"/>
  </r>
  <r>
    <x v="484"/>
    <x v="1"/>
    <m/>
    <x v="4"/>
    <x v="2"/>
    <x v="207"/>
    <m/>
    <m/>
    <m/>
    <n v="2"/>
    <n v="201208"/>
    <n v="8000"/>
  </r>
  <r>
    <x v="484"/>
    <x v="1"/>
    <m/>
    <x v="18"/>
    <x v="2"/>
    <x v="161"/>
    <m/>
    <m/>
    <m/>
    <n v="16"/>
    <n v="201208"/>
    <n v="48000"/>
  </r>
  <r>
    <x v="484"/>
    <x v="1"/>
    <m/>
    <x v="18"/>
    <x v="2"/>
    <x v="161"/>
    <m/>
    <m/>
    <m/>
    <n v="1"/>
    <n v="201208"/>
    <n v="3000"/>
  </r>
  <r>
    <x v="485"/>
    <x v="0"/>
    <m/>
    <x v="0"/>
    <x v="1"/>
    <x v="123"/>
    <m/>
    <m/>
    <m/>
    <n v="1"/>
    <n v="201208"/>
    <n v="35000"/>
  </r>
  <r>
    <x v="485"/>
    <x v="0"/>
    <m/>
    <x v="6"/>
    <x v="2"/>
    <x v="126"/>
    <m/>
    <m/>
    <m/>
    <n v="4"/>
    <n v="201208"/>
    <n v="80000"/>
  </r>
  <r>
    <x v="485"/>
    <x v="0"/>
    <m/>
    <x v="6"/>
    <x v="2"/>
    <x v="127"/>
    <m/>
    <m/>
    <m/>
    <n v="1"/>
    <n v="201208"/>
    <n v="35000"/>
  </r>
  <r>
    <x v="485"/>
    <x v="0"/>
    <m/>
    <x v="32"/>
    <x v="2"/>
    <x v="230"/>
    <m/>
    <m/>
    <m/>
    <n v="1"/>
    <n v="201208"/>
    <n v="37100"/>
  </r>
  <r>
    <x v="485"/>
    <x v="0"/>
    <m/>
    <x v="31"/>
    <x v="2"/>
    <x v="235"/>
    <m/>
    <m/>
    <m/>
    <n v="1"/>
    <n v="201208"/>
    <n v="22400"/>
  </r>
  <r>
    <x v="485"/>
    <x v="0"/>
    <m/>
    <x v="31"/>
    <x v="2"/>
    <x v="237"/>
    <m/>
    <m/>
    <m/>
    <n v="1"/>
    <n v="201208"/>
    <n v="54600"/>
  </r>
  <r>
    <x v="485"/>
    <x v="0"/>
    <m/>
    <x v="34"/>
    <x v="2"/>
    <x v="128"/>
    <m/>
    <m/>
    <m/>
    <n v="59"/>
    <n v="201208"/>
    <n v="2188900"/>
  </r>
  <r>
    <x v="485"/>
    <x v="0"/>
    <m/>
    <x v="25"/>
    <x v="2"/>
    <x v="129"/>
    <m/>
    <m/>
    <m/>
    <n v="5"/>
    <n v="201208"/>
    <n v="495000"/>
  </r>
  <r>
    <x v="485"/>
    <x v="0"/>
    <m/>
    <x v="5"/>
    <x v="2"/>
    <x v="246"/>
    <m/>
    <m/>
    <m/>
    <n v="1"/>
    <n v="201208"/>
    <n v="28000"/>
  </r>
  <r>
    <x v="485"/>
    <x v="0"/>
    <m/>
    <x v="0"/>
    <x v="2"/>
    <x v="224"/>
    <m/>
    <m/>
    <m/>
    <n v="40"/>
    <n v="201208"/>
    <n v="1320000"/>
  </r>
  <r>
    <x v="485"/>
    <x v="0"/>
    <m/>
    <x v="0"/>
    <x v="2"/>
    <x v="225"/>
    <m/>
    <m/>
    <m/>
    <n v="9"/>
    <n v="201208"/>
    <n v="342000"/>
  </r>
  <r>
    <x v="485"/>
    <x v="0"/>
    <m/>
    <x v="30"/>
    <x v="2"/>
    <x v="132"/>
    <m/>
    <m/>
    <m/>
    <n v="10"/>
    <n v="201208"/>
    <n v="224000"/>
  </r>
  <r>
    <x v="485"/>
    <x v="0"/>
    <m/>
    <x v="30"/>
    <x v="2"/>
    <x v="133"/>
    <m/>
    <m/>
    <m/>
    <n v="2"/>
    <n v="201208"/>
    <n v="78400"/>
  </r>
  <r>
    <x v="485"/>
    <x v="0"/>
    <m/>
    <x v="34"/>
    <x v="2"/>
    <x v="134"/>
    <m/>
    <m/>
    <m/>
    <n v="3"/>
    <n v="201208"/>
    <n v="111300"/>
  </r>
  <r>
    <x v="485"/>
    <x v="0"/>
    <m/>
    <x v="1"/>
    <x v="2"/>
    <x v="135"/>
    <m/>
    <m/>
    <m/>
    <n v="3"/>
    <n v="201208"/>
    <n v="60000"/>
  </r>
  <r>
    <x v="485"/>
    <x v="0"/>
    <m/>
    <x v="36"/>
    <x v="2"/>
    <x v="136"/>
    <m/>
    <m/>
    <m/>
    <n v="4"/>
    <n v="201208"/>
    <n v="112000"/>
  </r>
  <r>
    <x v="485"/>
    <x v="0"/>
    <m/>
    <x v="36"/>
    <x v="2"/>
    <x v="176"/>
    <m/>
    <m/>
    <m/>
    <n v="2"/>
    <n v="201208"/>
    <n v="98000"/>
  </r>
  <r>
    <x v="485"/>
    <x v="0"/>
    <m/>
    <x v="36"/>
    <x v="2"/>
    <x v="137"/>
    <m/>
    <m/>
    <m/>
    <n v="2"/>
    <n v="201208"/>
    <n v="84000"/>
  </r>
  <r>
    <x v="485"/>
    <x v="0"/>
    <m/>
    <x v="0"/>
    <x v="2"/>
    <x v="218"/>
    <m/>
    <m/>
    <m/>
    <n v="112"/>
    <n v="201208"/>
    <n v="2240000"/>
  </r>
  <r>
    <x v="485"/>
    <x v="0"/>
    <m/>
    <x v="0"/>
    <x v="2"/>
    <x v="240"/>
    <m/>
    <m/>
    <m/>
    <n v="91"/>
    <n v="201208"/>
    <n v="3185000"/>
  </r>
  <r>
    <x v="485"/>
    <x v="0"/>
    <m/>
    <x v="32"/>
    <x v="2"/>
    <x v="220"/>
    <m/>
    <m/>
    <m/>
    <n v="46"/>
    <n v="201208"/>
    <n v="1706600"/>
  </r>
  <r>
    <x v="485"/>
    <x v="0"/>
    <m/>
    <x v="18"/>
    <x v="2"/>
    <x v="125"/>
    <m/>
    <m/>
    <m/>
    <n v="86"/>
    <n v="201208"/>
    <n v="258000"/>
  </r>
  <r>
    <x v="485"/>
    <x v="0"/>
    <m/>
    <x v="0"/>
    <x v="2"/>
    <x v="139"/>
    <m/>
    <m/>
    <m/>
    <n v="1"/>
    <n v="201208"/>
    <n v="35000"/>
  </r>
  <r>
    <x v="485"/>
    <x v="0"/>
    <m/>
    <x v="0"/>
    <x v="2"/>
    <x v="141"/>
    <m/>
    <m/>
    <m/>
    <n v="1"/>
    <n v="201208"/>
    <n v="33000"/>
  </r>
  <r>
    <x v="485"/>
    <x v="0"/>
    <m/>
    <x v="4"/>
    <x v="2"/>
    <x v="142"/>
    <m/>
    <m/>
    <m/>
    <n v="5"/>
    <n v="201208"/>
    <n v="20000"/>
  </r>
  <r>
    <x v="485"/>
    <x v="0"/>
    <m/>
    <x v="4"/>
    <x v="2"/>
    <x v="143"/>
    <m/>
    <m/>
    <m/>
    <n v="8"/>
    <n v="201208"/>
    <n v="160000"/>
  </r>
  <r>
    <x v="485"/>
    <x v="0"/>
    <m/>
    <x v="4"/>
    <x v="2"/>
    <x v="144"/>
    <m/>
    <m/>
    <m/>
    <n v="7"/>
    <n v="201208"/>
    <n v="28000"/>
  </r>
  <r>
    <x v="485"/>
    <x v="0"/>
    <m/>
    <x v="31"/>
    <x v="2"/>
    <x v="145"/>
    <m/>
    <m/>
    <m/>
    <n v="43"/>
    <n v="201208"/>
    <n v="963200"/>
  </r>
  <r>
    <x v="485"/>
    <x v="0"/>
    <m/>
    <x v="31"/>
    <x v="2"/>
    <x v="146"/>
    <m/>
    <m/>
    <m/>
    <n v="40"/>
    <n v="201208"/>
    <n v="1568000"/>
  </r>
  <r>
    <x v="485"/>
    <x v="0"/>
    <m/>
    <x v="31"/>
    <x v="2"/>
    <x v="249"/>
    <m/>
    <m/>
    <m/>
    <n v="37"/>
    <n v="201208"/>
    <n v="2020200"/>
  </r>
  <r>
    <x v="485"/>
    <x v="0"/>
    <m/>
    <x v="32"/>
    <x v="2"/>
    <x v="147"/>
    <m/>
    <m/>
    <m/>
    <n v="11"/>
    <n v="201208"/>
    <n v="408100"/>
  </r>
  <r>
    <x v="485"/>
    <x v="0"/>
    <m/>
    <x v="0"/>
    <x v="2"/>
    <x v="148"/>
    <m/>
    <m/>
    <m/>
    <n v="1"/>
    <n v="201208"/>
    <n v="20000"/>
  </r>
  <r>
    <x v="485"/>
    <x v="0"/>
    <m/>
    <x v="31"/>
    <x v="2"/>
    <x v="189"/>
    <m/>
    <m/>
    <m/>
    <n v="1"/>
    <n v="201208"/>
    <n v="22400"/>
  </r>
  <r>
    <x v="485"/>
    <x v="0"/>
    <m/>
    <x v="31"/>
    <x v="2"/>
    <x v="253"/>
    <m/>
    <m/>
    <m/>
    <n v="1"/>
    <n v="201208"/>
    <n v="54600"/>
  </r>
  <r>
    <x v="485"/>
    <x v="0"/>
    <m/>
    <x v="0"/>
    <x v="2"/>
    <x v="250"/>
    <m/>
    <m/>
    <m/>
    <n v="7"/>
    <n v="201208"/>
    <n v="140000"/>
  </r>
  <r>
    <x v="485"/>
    <x v="0"/>
    <m/>
    <x v="0"/>
    <x v="2"/>
    <x v="251"/>
    <m/>
    <m/>
    <m/>
    <n v="3"/>
    <n v="201208"/>
    <n v="105000"/>
  </r>
  <r>
    <x v="485"/>
    <x v="0"/>
    <m/>
    <x v="32"/>
    <x v="2"/>
    <x v="254"/>
    <m/>
    <m/>
    <m/>
    <n v="2"/>
    <n v="201208"/>
    <n v="74200"/>
  </r>
  <r>
    <x v="485"/>
    <x v="0"/>
    <m/>
    <x v="18"/>
    <x v="2"/>
    <x v="252"/>
    <m/>
    <m/>
    <m/>
    <n v="4"/>
    <n v="201208"/>
    <n v="12000"/>
  </r>
  <r>
    <x v="485"/>
    <x v="0"/>
    <m/>
    <x v="31"/>
    <x v="2"/>
    <x v="186"/>
    <m/>
    <m/>
    <m/>
    <n v="46"/>
    <n v="201208"/>
    <n v="1030400"/>
  </r>
  <r>
    <x v="485"/>
    <x v="0"/>
    <m/>
    <x v="31"/>
    <x v="2"/>
    <x v="187"/>
    <m/>
    <m/>
    <m/>
    <n v="35"/>
    <n v="201208"/>
    <n v="1372000"/>
  </r>
  <r>
    <x v="485"/>
    <x v="0"/>
    <m/>
    <x v="31"/>
    <x v="2"/>
    <x v="255"/>
    <m/>
    <m/>
    <m/>
    <n v="27"/>
    <n v="201208"/>
    <n v="1474200"/>
  </r>
  <r>
    <x v="485"/>
    <x v="0"/>
    <m/>
    <x v="32"/>
    <x v="2"/>
    <x v="188"/>
    <m/>
    <m/>
    <m/>
    <n v="14"/>
    <n v="201208"/>
    <n v="519400"/>
  </r>
  <r>
    <x v="485"/>
    <x v="0"/>
    <m/>
    <x v="22"/>
    <x v="2"/>
    <x v="150"/>
    <m/>
    <m/>
    <m/>
    <n v="8"/>
    <n v="201208"/>
    <n v="304000"/>
  </r>
  <r>
    <x v="485"/>
    <x v="0"/>
    <m/>
    <x v="22"/>
    <x v="2"/>
    <x v="150"/>
    <m/>
    <m/>
    <m/>
    <n v="11"/>
    <n v="201208"/>
    <n v="418000"/>
  </r>
  <r>
    <x v="485"/>
    <x v="0"/>
    <m/>
    <x v="5"/>
    <x v="2"/>
    <x v="151"/>
    <m/>
    <m/>
    <m/>
    <n v="23"/>
    <n v="201208"/>
    <n v="644000"/>
  </r>
  <r>
    <x v="485"/>
    <x v="0"/>
    <m/>
    <x v="5"/>
    <x v="2"/>
    <x v="152"/>
    <m/>
    <m/>
    <m/>
    <n v="7"/>
    <n v="201208"/>
    <n v="336000"/>
  </r>
  <r>
    <x v="485"/>
    <x v="0"/>
    <m/>
    <x v="5"/>
    <x v="2"/>
    <x v="153"/>
    <m/>
    <m/>
    <m/>
    <n v="11"/>
    <n v="201208"/>
    <n v="308000"/>
  </r>
  <r>
    <x v="485"/>
    <x v="0"/>
    <m/>
    <x v="33"/>
    <x v="2"/>
    <x v="155"/>
    <m/>
    <m/>
    <m/>
    <n v="5"/>
    <n v="201208"/>
    <n v="91000"/>
  </r>
  <r>
    <x v="485"/>
    <x v="0"/>
    <m/>
    <x v="33"/>
    <x v="2"/>
    <x v="156"/>
    <m/>
    <m/>
    <m/>
    <n v="1"/>
    <n v="201208"/>
    <n v="33800"/>
  </r>
  <r>
    <x v="485"/>
    <x v="0"/>
    <m/>
    <x v="19"/>
    <x v="2"/>
    <x v="157"/>
    <m/>
    <m/>
    <m/>
    <n v="31"/>
    <n v="201208"/>
    <n v="403000"/>
  </r>
  <r>
    <x v="485"/>
    <x v="0"/>
    <m/>
    <x v="19"/>
    <x v="2"/>
    <x v="158"/>
    <m/>
    <m/>
    <m/>
    <n v="8"/>
    <n v="201208"/>
    <n v="192000"/>
  </r>
  <r>
    <x v="485"/>
    <x v="0"/>
    <m/>
    <x v="19"/>
    <x v="2"/>
    <x v="159"/>
    <m/>
    <m/>
    <m/>
    <n v="3"/>
    <n v="201208"/>
    <n v="99000"/>
  </r>
  <r>
    <x v="485"/>
    <x v="0"/>
    <m/>
    <x v="19"/>
    <x v="2"/>
    <x v="181"/>
    <m/>
    <m/>
    <m/>
    <n v="1"/>
    <n v="201208"/>
    <n v="13000"/>
  </r>
  <r>
    <x v="485"/>
    <x v="0"/>
    <m/>
    <x v="35"/>
    <x v="2"/>
    <x v="160"/>
    <m/>
    <m/>
    <m/>
    <n v="1"/>
    <n v="201208"/>
    <n v="20000"/>
  </r>
  <r>
    <x v="485"/>
    <x v="0"/>
    <m/>
    <x v="4"/>
    <x v="2"/>
    <x v="241"/>
    <m/>
    <m/>
    <m/>
    <n v="3"/>
    <n v="201208"/>
    <n v="60000"/>
  </r>
  <r>
    <x v="485"/>
    <x v="0"/>
    <m/>
    <x v="18"/>
    <x v="2"/>
    <x v="161"/>
    <m/>
    <m/>
    <m/>
    <n v="32"/>
    <n v="201208"/>
    <n v="96000"/>
  </r>
  <r>
    <x v="485"/>
    <x v="0"/>
    <m/>
    <x v="18"/>
    <x v="2"/>
    <x v="161"/>
    <m/>
    <m/>
    <m/>
    <n v="1"/>
    <n v="201208"/>
    <n v="3000"/>
  </r>
  <r>
    <x v="486"/>
    <x v="2"/>
    <m/>
    <x v="0"/>
    <x v="7"/>
    <x v="163"/>
    <m/>
    <m/>
    <m/>
    <n v="6"/>
    <n v="201208"/>
    <n v="120000"/>
  </r>
  <r>
    <x v="486"/>
    <x v="2"/>
    <m/>
    <x v="6"/>
    <x v="2"/>
    <x v="126"/>
    <m/>
    <m/>
    <m/>
    <n v="3"/>
    <n v="201208"/>
    <n v="60000"/>
  </r>
  <r>
    <x v="486"/>
    <x v="2"/>
    <m/>
    <x v="32"/>
    <x v="2"/>
    <x v="230"/>
    <m/>
    <m/>
    <m/>
    <n v="1"/>
    <n v="201208"/>
    <n v="37100"/>
  </r>
  <r>
    <x v="486"/>
    <x v="2"/>
    <m/>
    <x v="34"/>
    <x v="2"/>
    <x v="128"/>
    <m/>
    <m/>
    <m/>
    <n v="57"/>
    <n v="201208"/>
    <n v="2114700"/>
  </r>
  <r>
    <x v="486"/>
    <x v="2"/>
    <m/>
    <x v="25"/>
    <x v="2"/>
    <x v="129"/>
    <m/>
    <m/>
    <m/>
    <n v="5"/>
    <n v="201208"/>
    <n v="495000"/>
  </r>
  <r>
    <x v="486"/>
    <x v="2"/>
    <m/>
    <x v="0"/>
    <x v="2"/>
    <x v="224"/>
    <m/>
    <m/>
    <m/>
    <n v="47"/>
    <n v="201208"/>
    <n v="1551000"/>
  </r>
  <r>
    <x v="486"/>
    <x v="2"/>
    <m/>
    <x v="0"/>
    <x v="2"/>
    <x v="225"/>
    <m/>
    <m/>
    <m/>
    <n v="15"/>
    <n v="201208"/>
    <n v="570000"/>
  </r>
  <r>
    <x v="486"/>
    <x v="2"/>
    <m/>
    <x v="30"/>
    <x v="2"/>
    <x v="132"/>
    <m/>
    <m/>
    <m/>
    <n v="10"/>
    <n v="201208"/>
    <n v="224000"/>
  </r>
  <r>
    <x v="486"/>
    <x v="2"/>
    <m/>
    <x v="30"/>
    <x v="2"/>
    <x v="133"/>
    <m/>
    <m/>
    <m/>
    <n v="3"/>
    <n v="201208"/>
    <n v="117600"/>
  </r>
  <r>
    <x v="486"/>
    <x v="2"/>
    <m/>
    <x v="34"/>
    <x v="2"/>
    <x v="134"/>
    <m/>
    <m/>
    <m/>
    <n v="3"/>
    <n v="201208"/>
    <n v="111300"/>
  </r>
  <r>
    <x v="486"/>
    <x v="2"/>
    <m/>
    <x v="1"/>
    <x v="2"/>
    <x v="135"/>
    <m/>
    <m/>
    <m/>
    <n v="5"/>
    <n v="201208"/>
    <n v="100000"/>
  </r>
  <r>
    <x v="486"/>
    <x v="2"/>
    <m/>
    <x v="1"/>
    <x v="2"/>
    <x v="165"/>
    <m/>
    <m/>
    <m/>
    <n v="1"/>
    <n v="201208"/>
    <n v="35000"/>
  </r>
  <r>
    <x v="486"/>
    <x v="2"/>
    <m/>
    <x v="1"/>
    <x v="2"/>
    <x v="183"/>
    <m/>
    <m/>
    <m/>
    <n v="1"/>
    <n v="201208"/>
    <n v="17500"/>
  </r>
  <r>
    <x v="486"/>
    <x v="2"/>
    <m/>
    <x v="36"/>
    <x v="2"/>
    <x v="136"/>
    <m/>
    <m/>
    <m/>
    <n v="10"/>
    <n v="201208"/>
    <n v="280000"/>
  </r>
  <r>
    <x v="486"/>
    <x v="2"/>
    <m/>
    <x v="36"/>
    <x v="2"/>
    <x v="137"/>
    <m/>
    <m/>
    <m/>
    <n v="3"/>
    <n v="201208"/>
    <n v="126000"/>
  </r>
  <r>
    <x v="486"/>
    <x v="2"/>
    <m/>
    <x v="0"/>
    <x v="2"/>
    <x v="218"/>
    <m/>
    <m/>
    <m/>
    <n v="127"/>
    <n v="201208"/>
    <n v="2540000"/>
  </r>
  <r>
    <x v="486"/>
    <x v="2"/>
    <m/>
    <x v="0"/>
    <x v="2"/>
    <x v="240"/>
    <m/>
    <m/>
    <m/>
    <n v="73"/>
    <n v="201208"/>
    <n v="2555000"/>
  </r>
  <r>
    <x v="486"/>
    <x v="2"/>
    <m/>
    <x v="32"/>
    <x v="2"/>
    <x v="220"/>
    <m/>
    <m/>
    <m/>
    <n v="33"/>
    <n v="201208"/>
    <n v="1224300"/>
  </r>
  <r>
    <x v="486"/>
    <x v="2"/>
    <m/>
    <x v="18"/>
    <x v="2"/>
    <x v="125"/>
    <m/>
    <m/>
    <m/>
    <n v="82"/>
    <n v="201208"/>
    <n v="246000"/>
  </r>
  <r>
    <x v="486"/>
    <x v="2"/>
    <m/>
    <x v="0"/>
    <x v="2"/>
    <x v="138"/>
    <m/>
    <m/>
    <m/>
    <n v="1"/>
    <n v="201208"/>
    <n v="20000"/>
  </r>
  <r>
    <x v="486"/>
    <x v="2"/>
    <m/>
    <x v="4"/>
    <x v="2"/>
    <x v="142"/>
    <m/>
    <m/>
    <m/>
    <n v="3"/>
    <n v="201208"/>
    <n v="12000"/>
  </r>
  <r>
    <x v="486"/>
    <x v="2"/>
    <m/>
    <x v="4"/>
    <x v="2"/>
    <x v="143"/>
    <m/>
    <m/>
    <m/>
    <n v="16"/>
    <n v="201208"/>
    <n v="320000"/>
  </r>
  <r>
    <x v="486"/>
    <x v="2"/>
    <m/>
    <x v="31"/>
    <x v="2"/>
    <x v="145"/>
    <m/>
    <m/>
    <m/>
    <n v="43"/>
    <n v="201208"/>
    <n v="963200"/>
  </r>
  <r>
    <x v="486"/>
    <x v="2"/>
    <m/>
    <x v="31"/>
    <x v="2"/>
    <x v="146"/>
    <m/>
    <m/>
    <m/>
    <n v="39"/>
    <n v="201208"/>
    <n v="1528800"/>
  </r>
  <r>
    <x v="486"/>
    <x v="2"/>
    <m/>
    <x v="31"/>
    <x v="2"/>
    <x v="249"/>
    <m/>
    <m/>
    <m/>
    <n v="23"/>
    <n v="201208"/>
    <n v="1255800"/>
  </r>
  <r>
    <x v="486"/>
    <x v="2"/>
    <m/>
    <x v="32"/>
    <x v="2"/>
    <x v="147"/>
    <m/>
    <m/>
    <m/>
    <n v="19"/>
    <n v="201208"/>
    <n v="704900"/>
  </r>
  <r>
    <x v="486"/>
    <x v="2"/>
    <m/>
    <x v="31"/>
    <x v="2"/>
    <x v="184"/>
    <m/>
    <m/>
    <m/>
    <n v="1"/>
    <n v="201208"/>
    <n v="39200"/>
  </r>
  <r>
    <x v="486"/>
    <x v="2"/>
    <m/>
    <x v="31"/>
    <x v="2"/>
    <x v="253"/>
    <m/>
    <m/>
    <m/>
    <n v="1"/>
    <n v="201208"/>
    <n v="54600"/>
  </r>
  <r>
    <x v="486"/>
    <x v="2"/>
    <m/>
    <x v="0"/>
    <x v="2"/>
    <x v="250"/>
    <m/>
    <m/>
    <m/>
    <n v="3"/>
    <n v="201208"/>
    <n v="60000"/>
  </r>
  <r>
    <x v="486"/>
    <x v="2"/>
    <m/>
    <x v="0"/>
    <x v="2"/>
    <x v="251"/>
    <m/>
    <m/>
    <m/>
    <n v="8"/>
    <n v="201208"/>
    <n v="280000"/>
  </r>
  <r>
    <x v="486"/>
    <x v="2"/>
    <m/>
    <x v="32"/>
    <x v="2"/>
    <x v="254"/>
    <m/>
    <m/>
    <m/>
    <n v="1"/>
    <n v="201208"/>
    <n v="37100"/>
  </r>
  <r>
    <x v="486"/>
    <x v="2"/>
    <m/>
    <x v="18"/>
    <x v="2"/>
    <x v="252"/>
    <m/>
    <m/>
    <m/>
    <n v="3"/>
    <n v="201208"/>
    <n v="9000"/>
  </r>
  <r>
    <x v="486"/>
    <x v="2"/>
    <m/>
    <x v="31"/>
    <x v="2"/>
    <x v="186"/>
    <m/>
    <m/>
    <m/>
    <n v="38"/>
    <n v="201208"/>
    <n v="851200"/>
  </r>
  <r>
    <x v="486"/>
    <x v="2"/>
    <m/>
    <x v="31"/>
    <x v="2"/>
    <x v="187"/>
    <m/>
    <m/>
    <m/>
    <n v="22"/>
    <n v="201208"/>
    <n v="862400"/>
  </r>
  <r>
    <x v="486"/>
    <x v="2"/>
    <m/>
    <x v="31"/>
    <x v="2"/>
    <x v="255"/>
    <m/>
    <m/>
    <m/>
    <n v="9"/>
    <n v="201208"/>
    <n v="491400"/>
  </r>
  <r>
    <x v="486"/>
    <x v="2"/>
    <m/>
    <x v="32"/>
    <x v="2"/>
    <x v="188"/>
    <m/>
    <m/>
    <m/>
    <n v="7"/>
    <n v="201208"/>
    <n v="259700"/>
  </r>
  <r>
    <x v="486"/>
    <x v="2"/>
    <m/>
    <x v="22"/>
    <x v="2"/>
    <x v="150"/>
    <m/>
    <m/>
    <m/>
    <n v="11"/>
    <n v="201208"/>
    <n v="418000"/>
  </r>
  <r>
    <x v="486"/>
    <x v="2"/>
    <m/>
    <x v="22"/>
    <x v="2"/>
    <x v="150"/>
    <m/>
    <m/>
    <m/>
    <n v="9"/>
    <n v="201208"/>
    <n v="342000"/>
  </r>
  <r>
    <x v="486"/>
    <x v="2"/>
    <m/>
    <x v="5"/>
    <x v="2"/>
    <x v="151"/>
    <m/>
    <m/>
    <m/>
    <n v="22"/>
    <n v="201208"/>
    <n v="616000"/>
  </r>
  <r>
    <x v="486"/>
    <x v="2"/>
    <m/>
    <x v="5"/>
    <x v="2"/>
    <x v="152"/>
    <m/>
    <m/>
    <m/>
    <n v="10"/>
    <n v="201208"/>
    <n v="480000"/>
  </r>
  <r>
    <x v="486"/>
    <x v="2"/>
    <m/>
    <x v="5"/>
    <x v="2"/>
    <x v="153"/>
    <m/>
    <m/>
    <m/>
    <n v="9"/>
    <n v="201208"/>
    <n v="252000"/>
  </r>
  <r>
    <x v="486"/>
    <x v="2"/>
    <m/>
    <x v="33"/>
    <x v="2"/>
    <x v="155"/>
    <m/>
    <m/>
    <m/>
    <n v="4"/>
    <n v="201208"/>
    <n v="72800"/>
  </r>
  <r>
    <x v="486"/>
    <x v="2"/>
    <m/>
    <x v="19"/>
    <x v="2"/>
    <x v="157"/>
    <m/>
    <m/>
    <m/>
    <n v="31"/>
    <n v="201208"/>
    <n v="403000"/>
  </r>
  <r>
    <x v="486"/>
    <x v="2"/>
    <m/>
    <x v="19"/>
    <x v="2"/>
    <x v="158"/>
    <m/>
    <m/>
    <m/>
    <n v="4"/>
    <n v="201208"/>
    <n v="96000"/>
  </r>
  <r>
    <x v="486"/>
    <x v="2"/>
    <m/>
    <x v="19"/>
    <x v="2"/>
    <x v="159"/>
    <m/>
    <m/>
    <m/>
    <n v="3"/>
    <n v="201208"/>
    <n v="99000"/>
  </r>
  <r>
    <x v="486"/>
    <x v="2"/>
    <m/>
    <x v="19"/>
    <x v="2"/>
    <x v="181"/>
    <m/>
    <m/>
    <m/>
    <n v="2"/>
    <n v="201208"/>
    <n v="26000"/>
  </r>
  <r>
    <x v="486"/>
    <x v="2"/>
    <m/>
    <x v="35"/>
    <x v="2"/>
    <x v="160"/>
    <m/>
    <m/>
    <m/>
    <n v="3"/>
    <n v="201208"/>
    <n v="60000"/>
  </r>
  <r>
    <x v="486"/>
    <x v="2"/>
    <m/>
    <x v="4"/>
    <x v="2"/>
    <x v="241"/>
    <m/>
    <m/>
    <m/>
    <n v="3"/>
    <n v="201208"/>
    <n v="60000"/>
  </r>
  <r>
    <x v="486"/>
    <x v="2"/>
    <m/>
    <x v="18"/>
    <x v="2"/>
    <x v="161"/>
    <m/>
    <m/>
    <m/>
    <n v="26"/>
    <n v="201208"/>
    <n v="78000"/>
  </r>
  <r>
    <x v="486"/>
    <x v="2"/>
    <m/>
    <x v="18"/>
    <x v="2"/>
    <x v="161"/>
    <m/>
    <m/>
    <m/>
    <n v="3"/>
    <n v="201208"/>
    <n v="9000"/>
  </r>
  <r>
    <x v="487"/>
    <x v="5"/>
    <m/>
    <x v="0"/>
    <x v="7"/>
    <x v="163"/>
    <m/>
    <m/>
    <m/>
    <n v="3"/>
    <n v="201208"/>
    <n v="60000"/>
  </r>
  <r>
    <x v="487"/>
    <x v="5"/>
    <m/>
    <x v="6"/>
    <x v="2"/>
    <x v="126"/>
    <m/>
    <m/>
    <m/>
    <n v="2"/>
    <n v="201208"/>
    <n v="40000"/>
  </r>
  <r>
    <x v="487"/>
    <x v="5"/>
    <m/>
    <x v="6"/>
    <x v="2"/>
    <x v="127"/>
    <m/>
    <m/>
    <m/>
    <n v="1"/>
    <n v="201208"/>
    <n v="35000"/>
  </r>
  <r>
    <x v="487"/>
    <x v="5"/>
    <m/>
    <x v="34"/>
    <x v="2"/>
    <x v="128"/>
    <m/>
    <m/>
    <m/>
    <n v="74"/>
    <n v="201208"/>
    <n v="2745400"/>
  </r>
  <r>
    <x v="487"/>
    <x v="5"/>
    <m/>
    <x v="25"/>
    <x v="2"/>
    <x v="129"/>
    <m/>
    <m/>
    <m/>
    <n v="4"/>
    <n v="201208"/>
    <n v="396000"/>
  </r>
  <r>
    <x v="487"/>
    <x v="5"/>
    <m/>
    <x v="0"/>
    <x v="2"/>
    <x v="224"/>
    <m/>
    <m/>
    <m/>
    <n v="39"/>
    <n v="201208"/>
    <n v="1287000"/>
  </r>
  <r>
    <x v="487"/>
    <x v="5"/>
    <m/>
    <x v="0"/>
    <x v="2"/>
    <x v="225"/>
    <m/>
    <m/>
    <m/>
    <n v="18"/>
    <n v="201208"/>
    <n v="684000"/>
  </r>
  <r>
    <x v="487"/>
    <x v="5"/>
    <m/>
    <x v="30"/>
    <x v="2"/>
    <x v="132"/>
    <m/>
    <m/>
    <m/>
    <n v="17"/>
    <n v="201208"/>
    <n v="380800"/>
  </r>
  <r>
    <x v="487"/>
    <x v="5"/>
    <m/>
    <x v="30"/>
    <x v="2"/>
    <x v="133"/>
    <m/>
    <m/>
    <m/>
    <n v="3"/>
    <n v="201208"/>
    <n v="117600"/>
  </r>
  <r>
    <x v="487"/>
    <x v="5"/>
    <m/>
    <x v="34"/>
    <x v="2"/>
    <x v="134"/>
    <m/>
    <m/>
    <m/>
    <n v="5"/>
    <n v="201208"/>
    <n v="185500"/>
  </r>
  <r>
    <x v="487"/>
    <x v="5"/>
    <m/>
    <x v="1"/>
    <x v="2"/>
    <x v="135"/>
    <m/>
    <m/>
    <m/>
    <n v="3"/>
    <n v="201208"/>
    <n v="60000"/>
  </r>
  <r>
    <x v="487"/>
    <x v="5"/>
    <m/>
    <x v="36"/>
    <x v="2"/>
    <x v="136"/>
    <m/>
    <m/>
    <m/>
    <n v="6"/>
    <n v="201208"/>
    <n v="168000"/>
  </r>
  <r>
    <x v="487"/>
    <x v="5"/>
    <m/>
    <x v="36"/>
    <x v="2"/>
    <x v="137"/>
    <m/>
    <m/>
    <m/>
    <n v="2"/>
    <n v="201208"/>
    <n v="84000"/>
  </r>
  <r>
    <x v="487"/>
    <x v="5"/>
    <m/>
    <x v="0"/>
    <x v="2"/>
    <x v="218"/>
    <m/>
    <m/>
    <m/>
    <n v="143"/>
    <n v="201208"/>
    <n v="2860000"/>
  </r>
  <r>
    <x v="487"/>
    <x v="5"/>
    <m/>
    <x v="0"/>
    <x v="2"/>
    <x v="240"/>
    <m/>
    <m/>
    <m/>
    <n v="92"/>
    <n v="201208"/>
    <n v="3220000"/>
  </r>
  <r>
    <x v="487"/>
    <x v="5"/>
    <m/>
    <x v="32"/>
    <x v="2"/>
    <x v="220"/>
    <m/>
    <m/>
    <m/>
    <n v="42"/>
    <n v="201208"/>
    <n v="1558200"/>
  </r>
  <r>
    <x v="487"/>
    <x v="5"/>
    <m/>
    <x v="18"/>
    <x v="2"/>
    <x v="125"/>
    <m/>
    <m/>
    <m/>
    <n v="101"/>
    <n v="201208"/>
    <n v="303000"/>
  </r>
  <r>
    <x v="487"/>
    <x v="5"/>
    <m/>
    <x v="4"/>
    <x v="2"/>
    <x v="142"/>
    <m/>
    <m/>
    <m/>
    <n v="1"/>
    <n v="201208"/>
    <n v="4000"/>
  </r>
  <r>
    <x v="487"/>
    <x v="5"/>
    <m/>
    <x v="4"/>
    <x v="2"/>
    <x v="143"/>
    <m/>
    <m/>
    <m/>
    <n v="5"/>
    <n v="201208"/>
    <n v="100000"/>
  </r>
  <r>
    <x v="487"/>
    <x v="5"/>
    <m/>
    <x v="4"/>
    <x v="2"/>
    <x v="144"/>
    <m/>
    <m/>
    <m/>
    <n v="6"/>
    <n v="201208"/>
    <n v="24000"/>
  </r>
  <r>
    <x v="487"/>
    <x v="5"/>
    <m/>
    <x v="31"/>
    <x v="2"/>
    <x v="145"/>
    <m/>
    <m/>
    <m/>
    <n v="49"/>
    <n v="201208"/>
    <n v="1097600"/>
  </r>
  <r>
    <x v="487"/>
    <x v="5"/>
    <m/>
    <x v="31"/>
    <x v="2"/>
    <x v="146"/>
    <m/>
    <m/>
    <m/>
    <n v="35"/>
    <n v="201208"/>
    <n v="1372000"/>
  </r>
  <r>
    <x v="487"/>
    <x v="5"/>
    <m/>
    <x v="31"/>
    <x v="2"/>
    <x v="249"/>
    <m/>
    <m/>
    <m/>
    <n v="26"/>
    <n v="201208"/>
    <n v="1419600"/>
  </r>
  <r>
    <x v="487"/>
    <x v="5"/>
    <m/>
    <x v="32"/>
    <x v="2"/>
    <x v="147"/>
    <m/>
    <m/>
    <m/>
    <n v="10"/>
    <n v="201208"/>
    <n v="371000"/>
  </r>
  <r>
    <x v="487"/>
    <x v="5"/>
    <m/>
    <x v="0"/>
    <x v="2"/>
    <x v="148"/>
    <m/>
    <m/>
    <m/>
    <n v="3"/>
    <n v="201208"/>
    <n v="60000"/>
  </r>
  <r>
    <x v="487"/>
    <x v="5"/>
    <m/>
    <x v="0"/>
    <x v="2"/>
    <x v="250"/>
    <m/>
    <m/>
    <m/>
    <n v="3"/>
    <n v="201208"/>
    <n v="60000"/>
  </r>
  <r>
    <x v="487"/>
    <x v="5"/>
    <m/>
    <x v="0"/>
    <x v="2"/>
    <x v="251"/>
    <m/>
    <m/>
    <m/>
    <n v="6"/>
    <n v="201208"/>
    <n v="210000"/>
  </r>
  <r>
    <x v="487"/>
    <x v="5"/>
    <m/>
    <x v="32"/>
    <x v="2"/>
    <x v="254"/>
    <m/>
    <m/>
    <m/>
    <n v="3"/>
    <n v="201208"/>
    <n v="111300"/>
  </r>
  <r>
    <x v="487"/>
    <x v="5"/>
    <m/>
    <x v="18"/>
    <x v="2"/>
    <x v="252"/>
    <m/>
    <m/>
    <m/>
    <n v="5"/>
    <n v="201208"/>
    <n v="15000"/>
  </r>
  <r>
    <x v="487"/>
    <x v="5"/>
    <m/>
    <x v="31"/>
    <x v="2"/>
    <x v="186"/>
    <m/>
    <m/>
    <m/>
    <n v="46"/>
    <n v="201208"/>
    <n v="1030400"/>
  </r>
  <r>
    <x v="487"/>
    <x v="5"/>
    <m/>
    <x v="31"/>
    <x v="2"/>
    <x v="187"/>
    <m/>
    <m/>
    <m/>
    <n v="39"/>
    <n v="201208"/>
    <n v="1528800"/>
  </r>
  <r>
    <x v="487"/>
    <x v="5"/>
    <m/>
    <x v="31"/>
    <x v="2"/>
    <x v="255"/>
    <m/>
    <m/>
    <m/>
    <n v="24"/>
    <n v="201208"/>
    <n v="1310400"/>
  </r>
  <r>
    <x v="487"/>
    <x v="5"/>
    <m/>
    <x v="32"/>
    <x v="2"/>
    <x v="188"/>
    <m/>
    <m/>
    <m/>
    <n v="15"/>
    <n v="201208"/>
    <n v="556500"/>
  </r>
  <r>
    <x v="487"/>
    <x v="5"/>
    <m/>
    <x v="22"/>
    <x v="2"/>
    <x v="150"/>
    <m/>
    <m/>
    <m/>
    <n v="9"/>
    <n v="201208"/>
    <n v="342000"/>
  </r>
  <r>
    <x v="487"/>
    <x v="5"/>
    <m/>
    <x v="22"/>
    <x v="2"/>
    <x v="150"/>
    <m/>
    <m/>
    <m/>
    <n v="21"/>
    <n v="201208"/>
    <n v="798000"/>
  </r>
  <r>
    <x v="487"/>
    <x v="5"/>
    <m/>
    <x v="5"/>
    <x v="2"/>
    <x v="151"/>
    <m/>
    <m/>
    <m/>
    <n v="24"/>
    <n v="201208"/>
    <n v="672000"/>
  </r>
  <r>
    <x v="487"/>
    <x v="5"/>
    <m/>
    <x v="5"/>
    <x v="2"/>
    <x v="152"/>
    <m/>
    <m/>
    <m/>
    <n v="9"/>
    <n v="201208"/>
    <n v="432000"/>
  </r>
  <r>
    <x v="487"/>
    <x v="5"/>
    <m/>
    <x v="5"/>
    <x v="2"/>
    <x v="153"/>
    <m/>
    <m/>
    <m/>
    <n v="14"/>
    <n v="201208"/>
    <n v="392000"/>
  </r>
  <r>
    <x v="487"/>
    <x v="5"/>
    <m/>
    <x v="33"/>
    <x v="2"/>
    <x v="155"/>
    <m/>
    <m/>
    <m/>
    <n v="3"/>
    <n v="201208"/>
    <n v="54600"/>
  </r>
  <r>
    <x v="487"/>
    <x v="5"/>
    <m/>
    <x v="33"/>
    <x v="2"/>
    <x v="156"/>
    <m/>
    <m/>
    <m/>
    <n v="2"/>
    <n v="201208"/>
    <n v="67600"/>
  </r>
  <r>
    <x v="487"/>
    <x v="5"/>
    <m/>
    <x v="19"/>
    <x v="2"/>
    <x v="157"/>
    <m/>
    <m/>
    <m/>
    <n v="33"/>
    <n v="201208"/>
    <n v="429000"/>
  </r>
  <r>
    <x v="487"/>
    <x v="5"/>
    <m/>
    <x v="19"/>
    <x v="2"/>
    <x v="158"/>
    <m/>
    <m/>
    <m/>
    <n v="6"/>
    <n v="201208"/>
    <n v="144000"/>
  </r>
  <r>
    <x v="487"/>
    <x v="5"/>
    <m/>
    <x v="19"/>
    <x v="2"/>
    <x v="159"/>
    <m/>
    <m/>
    <m/>
    <n v="3"/>
    <n v="201208"/>
    <n v="99000"/>
  </r>
  <r>
    <x v="487"/>
    <x v="5"/>
    <m/>
    <x v="19"/>
    <x v="2"/>
    <x v="181"/>
    <m/>
    <m/>
    <m/>
    <n v="1"/>
    <n v="201208"/>
    <n v="13000"/>
  </r>
  <r>
    <x v="487"/>
    <x v="5"/>
    <m/>
    <x v="4"/>
    <x v="2"/>
    <x v="207"/>
    <m/>
    <m/>
    <m/>
    <n v="1"/>
    <n v="201208"/>
    <n v="4000"/>
  </r>
  <r>
    <x v="487"/>
    <x v="5"/>
    <m/>
    <x v="4"/>
    <x v="2"/>
    <x v="241"/>
    <m/>
    <m/>
    <m/>
    <n v="1"/>
    <n v="201208"/>
    <n v="20000"/>
  </r>
  <r>
    <x v="487"/>
    <x v="5"/>
    <m/>
    <x v="18"/>
    <x v="2"/>
    <x v="161"/>
    <m/>
    <m/>
    <m/>
    <n v="17"/>
    <n v="201208"/>
    <n v="51000"/>
  </r>
  <r>
    <x v="487"/>
    <x v="5"/>
    <m/>
    <x v="18"/>
    <x v="2"/>
    <x v="161"/>
    <m/>
    <m/>
    <m/>
    <n v="1"/>
    <n v="201208"/>
    <n v="3000"/>
  </r>
  <r>
    <x v="488"/>
    <x v="6"/>
    <m/>
    <x v="0"/>
    <x v="7"/>
    <x v="163"/>
    <m/>
    <m/>
    <m/>
    <n v="4"/>
    <n v="201208"/>
    <n v="80000"/>
  </r>
  <r>
    <x v="488"/>
    <x v="6"/>
    <m/>
    <x v="6"/>
    <x v="2"/>
    <x v="126"/>
    <m/>
    <m/>
    <m/>
    <n v="6"/>
    <n v="201208"/>
    <n v="120000"/>
  </r>
  <r>
    <x v="488"/>
    <x v="6"/>
    <m/>
    <x v="34"/>
    <x v="2"/>
    <x v="128"/>
    <m/>
    <m/>
    <m/>
    <n v="82"/>
    <n v="201208"/>
    <n v="3042200"/>
  </r>
  <r>
    <x v="488"/>
    <x v="6"/>
    <m/>
    <x v="25"/>
    <x v="2"/>
    <x v="129"/>
    <m/>
    <m/>
    <m/>
    <n v="6"/>
    <n v="201208"/>
    <n v="594000"/>
  </r>
  <r>
    <x v="488"/>
    <x v="6"/>
    <m/>
    <x v="0"/>
    <x v="2"/>
    <x v="224"/>
    <m/>
    <m/>
    <m/>
    <n v="41"/>
    <n v="201208"/>
    <n v="1353000"/>
  </r>
  <r>
    <x v="488"/>
    <x v="6"/>
    <m/>
    <x v="0"/>
    <x v="2"/>
    <x v="225"/>
    <m/>
    <m/>
    <m/>
    <n v="6"/>
    <n v="201208"/>
    <n v="228000"/>
  </r>
  <r>
    <x v="488"/>
    <x v="6"/>
    <m/>
    <x v="30"/>
    <x v="2"/>
    <x v="132"/>
    <m/>
    <m/>
    <m/>
    <n v="12"/>
    <n v="201208"/>
    <n v="268800"/>
  </r>
  <r>
    <x v="488"/>
    <x v="6"/>
    <m/>
    <x v="30"/>
    <x v="2"/>
    <x v="133"/>
    <m/>
    <m/>
    <m/>
    <n v="1"/>
    <n v="201208"/>
    <n v="39200"/>
  </r>
  <r>
    <x v="488"/>
    <x v="6"/>
    <m/>
    <x v="34"/>
    <x v="2"/>
    <x v="134"/>
    <m/>
    <m/>
    <m/>
    <n v="2"/>
    <n v="201208"/>
    <n v="74200"/>
  </r>
  <r>
    <x v="488"/>
    <x v="6"/>
    <m/>
    <x v="1"/>
    <x v="2"/>
    <x v="135"/>
    <m/>
    <m/>
    <m/>
    <n v="33"/>
    <n v="201208"/>
    <n v="660000"/>
  </r>
  <r>
    <x v="488"/>
    <x v="6"/>
    <m/>
    <x v="1"/>
    <x v="2"/>
    <x v="165"/>
    <m/>
    <m/>
    <m/>
    <n v="32"/>
    <n v="201208"/>
    <n v="1120000"/>
  </r>
  <r>
    <x v="488"/>
    <x v="6"/>
    <m/>
    <x v="1"/>
    <x v="2"/>
    <x v="183"/>
    <m/>
    <m/>
    <m/>
    <n v="3"/>
    <n v="201208"/>
    <n v="52500"/>
  </r>
  <r>
    <x v="488"/>
    <x v="6"/>
    <m/>
    <x v="36"/>
    <x v="2"/>
    <x v="136"/>
    <m/>
    <m/>
    <m/>
    <n v="3"/>
    <n v="201208"/>
    <n v="84000"/>
  </r>
  <r>
    <x v="488"/>
    <x v="6"/>
    <m/>
    <x v="0"/>
    <x v="2"/>
    <x v="218"/>
    <m/>
    <m/>
    <m/>
    <n v="113"/>
    <n v="201208"/>
    <n v="2260000"/>
  </r>
  <r>
    <x v="488"/>
    <x v="6"/>
    <m/>
    <x v="0"/>
    <x v="2"/>
    <x v="240"/>
    <m/>
    <m/>
    <m/>
    <n v="74"/>
    <n v="201208"/>
    <n v="2590000"/>
  </r>
  <r>
    <x v="488"/>
    <x v="6"/>
    <m/>
    <x v="32"/>
    <x v="2"/>
    <x v="220"/>
    <m/>
    <m/>
    <m/>
    <n v="28"/>
    <n v="201208"/>
    <n v="1038800"/>
  </r>
  <r>
    <x v="488"/>
    <x v="6"/>
    <m/>
    <x v="18"/>
    <x v="2"/>
    <x v="125"/>
    <m/>
    <m/>
    <m/>
    <n v="60"/>
    <n v="201208"/>
    <n v="180000"/>
  </r>
  <r>
    <x v="488"/>
    <x v="6"/>
    <m/>
    <x v="0"/>
    <x v="2"/>
    <x v="139"/>
    <m/>
    <m/>
    <m/>
    <n v="1"/>
    <n v="201208"/>
    <n v="35000"/>
  </r>
  <r>
    <x v="488"/>
    <x v="6"/>
    <m/>
    <x v="4"/>
    <x v="2"/>
    <x v="142"/>
    <m/>
    <m/>
    <m/>
    <n v="2"/>
    <n v="201208"/>
    <n v="8000"/>
  </r>
  <r>
    <x v="488"/>
    <x v="6"/>
    <m/>
    <x v="4"/>
    <x v="2"/>
    <x v="143"/>
    <m/>
    <m/>
    <m/>
    <n v="7"/>
    <n v="201208"/>
    <n v="140000"/>
  </r>
  <r>
    <x v="488"/>
    <x v="6"/>
    <m/>
    <x v="4"/>
    <x v="2"/>
    <x v="144"/>
    <m/>
    <m/>
    <m/>
    <n v="2"/>
    <n v="201208"/>
    <n v="8000"/>
  </r>
  <r>
    <x v="488"/>
    <x v="6"/>
    <m/>
    <x v="31"/>
    <x v="2"/>
    <x v="145"/>
    <m/>
    <m/>
    <m/>
    <n v="45"/>
    <n v="201208"/>
    <n v="1008000"/>
  </r>
  <r>
    <x v="488"/>
    <x v="6"/>
    <m/>
    <x v="31"/>
    <x v="2"/>
    <x v="146"/>
    <m/>
    <m/>
    <m/>
    <n v="40"/>
    <n v="201208"/>
    <n v="1568000"/>
  </r>
  <r>
    <x v="488"/>
    <x v="6"/>
    <m/>
    <x v="31"/>
    <x v="2"/>
    <x v="249"/>
    <m/>
    <m/>
    <m/>
    <n v="34"/>
    <n v="201208"/>
    <n v="1856400"/>
  </r>
  <r>
    <x v="488"/>
    <x v="6"/>
    <m/>
    <x v="32"/>
    <x v="2"/>
    <x v="147"/>
    <m/>
    <m/>
    <m/>
    <n v="16"/>
    <n v="201208"/>
    <n v="593600"/>
  </r>
  <r>
    <x v="488"/>
    <x v="6"/>
    <m/>
    <x v="0"/>
    <x v="2"/>
    <x v="148"/>
    <m/>
    <m/>
    <m/>
    <n v="2"/>
    <n v="201208"/>
    <n v="40000"/>
  </r>
  <r>
    <x v="488"/>
    <x v="6"/>
    <m/>
    <x v="31"/>
    <x v="2"/>
    <x v="189"/>
    <m/>
    <m/>
    <m/>
    <n v="1"/>
    <n v="201208"/>
    <n v="22400"/>
  </r>
  <r>
    <x v="488"/>
    <x v="6"/>
    <m/>
    <x v="31"/>
    <x v="2"/>
    <x v="184"/>
    <m/>
    <m/>
    <m/>
    <n v="1"/>
    <n v="201208"/>
    <n v="39200"/>
  </r>
  <r>
    <x v="488"/>
    <x v="6"/>
    <m/>
    <x v="0"/>
    <x v="2"/>
    <x v="250"/>
    <m/>
    <m/>
    <m/>
    <n v="3"/>
    <n v="201208"/>
    <n v="60000"/>
  </r>
  <r>
    <x v="488"/>
    <x v="6"/>
    <m/>
    <x v="0"/>
    <x v="2"/>
    <x v="251"/>
    <m/>
    <m/>
    <m/>
    <n v="5"/>
    <n v="201208"/>
    <n v="175000"/>
  </r>
  <r>
    <x v="488"/>
    <x v="6"/>
    <m/>
    <x v="32"/>
    <x v="2"/>
    <x v="254"/>
    <m/>
    <m/>
    <m/>
    <n v="1"/>
    <n v="201208"/>
    <n v="37100"/>
  </r>
  <r>
    <x v="488"/>
    <x v="6"/>
    <m/>
    <x v="18"/>
    <x v="2"/>
    <x v="252"/>
    <m/>
    <m/>
    <m/>
    <n v="3"/>
    <n v="201208"/>
    <n v="9000"/>
  </r>
  <r>
    <x v="488"/>
    <x v="6"/>
    <m/>
    <x v="31"/>
    <x v="2"/>
    <x v="186"/>
    <m/>
    <m/>
    <m/>
    <n v="38"/>
    <n v="201208"/>
    <n v="851200"/>
  </r>
  <r>
    <x v="488"/>
    <x v="6"/>
    <m/>
    <x v="31"/>
    <x v="2"/>
    <x v="187"/>
    <m/>
    <m/>
    <m/>
    <n v="35"/>
    <n v="201208"/>
    <n v="1372000"/>
  </r>
  <r>
    <x v="488"/>
    <x v="6"/>
    <m/>
    <x v="31"/>
    <x v="2"/>
    <x v="255"/>
    <m/>
    <m/>
    <m/>
    <n v="14"/>
    <n v="201208"/>
    <n v="764400"/>
  </r>
  <r>
    <x v="488"/>
    <x v="6"/>
    <m/>
    <x v="32"/>
    <x v="2"/>
    <x v="188"/>
    <m/>
    <m/>
    <m/>
    <n v="9"/>
    <n v="201208"/>
    <n v="333900"/>
  </r>
  <r>
    <x v="488"/>
    <x v="6"/>
    <m/>
    <x v="22"/>
    <x v="2"/>
    <x v="150"/>
    <m/>
    <m/>
    <m/>
    <n v="7"/>
    <n v="201208"/>
    <n v="266000"/>
  </r>
  <r>
    <x v="488"/>
    <x v="6"/>
    <m/>
    <x v="22"/>
    <x v="2"/>
    <x v="150"/>
    <m/>
    <m/>
    <m/>
    <n v="8"/>
    <n v="201208"/>
    <n v="304000"/>
  </r>
  <r>
    <x v="488"/>
    <x v="6"/>
    <m/>
    <x v="5"/>
    <x v="2"/>
    <x v="151"/>
    <m/>
    <m/>
    <m/>
    <n v="25"/>
    <n v="201208"/>
    <n v="700000"/>
  </r>
  <r>
    <x v="488"/>
    <x v="6"/>
    <m/>
    <x v="5"/>
    <x v="2"/>
    <x v="152"/>
    <m/>
    <m/>
    <m/>
    <n v="6"/>
    <n v="201208"/>
    <n v="288000"/>
  </r>
  <r>
    <x v="488"/>
    <x v="6"/>
    <m/>
    <x v="5"/>
    <x v="2"/>
    <x v="153"/>
    <m/>
    <m/>
    <m/>
    <n v="11"/>
    <n v="201208"/>
    <n v="308000"/>
  </r>
  <r>
    <x v="488"/>
    <x v="6"/>
    <m/>
    <x v="33"/>
    <x v="2"/>
    <x v="155"/>
    <m/>
    <m/>
    <m/>
    <n v="2"/>
    <n v="201208"/>
    <n v="36400"/>
  </r>
  <r>
    <x v="488"/>
    <x v="6"/>
    <m/>
    <x v="19"/>
    <x v="2"/>
    <x v="157"/>
    <m/>
    <m/>
    <m/>
    <n v="28"/>
    <n v="201208"/>
    <n v="364000"/>
  </r>
  <r>
    <x v="488"/>
    <x v="6"/>
    <m/>
    <x v="19"/>
    <x v="2"/>
    <x v="158"/>
    <m/>
    <m/>
    <m/>
    <n v="3"/>
    <n v="201208"/>
    <n v="72000"/>
  </r>
  <r>
    <x v="488"/>
    <x v="6"/>
    <m/>
    <x v="19"/>
    <x v="2"/>
    <x v="159"/>
    <m/>
    <m/>
    <m/>
    <n v="1"/>
    <n v="201208"/>
    <n v="33000"/>
  </r>
  <r>
    <x v="488"/>
    <x v="6"/>
    <m/>
    <x v="19"/>
    <x v="2"/>
    <x v="181"/>
    <m/>
    <m/>
    <m/>
    <n v="2"/>
    <n v="201208"/>
    <n v="26000"/>
  </r>
  <r>
    <x v="488"/>
    <x v="6"/>
    <m/>
    <x v="35"/>
    <x v="2"/>
    <x v="170"/>
    <m/>
    <m/>
    <m/>
    <n v="4"/>
    <n v="201208"/>
    <n v="16000"/>
  </r>
  <r>
    <x v="488"/>
    <x v="6"/>
    <m/>
    <x v="35"/>
    <x v="2"/>
    <x v="160"/>
    <m/>
    <m/>
    <m/>
    <n v="2"/>
    <n v="201208"/>
    <n v="40000"/>
  </r>
  <r>
    <x v="488"/>
    <x v="6"/>
    <m/>
    <x v="4"/>
    <x v="2"/>
    <x v="243"/>
    <m/>
    <m/>
    <m/>
    <n v="1"/>
    <n v="201208"/>
    <n v="4000"/>
  </r>
  <r>
    <x v="488"/>
    <x v="6"/>
    <m/>
    <x v="4"/>
    <x v="2"/>
    <x v="207"/>
    <m/>
    <m/>
    <m/>
    <n v="1"/>
    <n v="201208"/>
    <n v="4000"/>
  </r>
  <r>
    <x v="488"/>
    <x v="6"/>
    <m/>
    <x v="4"/>
    <x v="2"/>
    <x v="241"/>
    <m/>
    <m/>
    <m/>
    <n v="2"/>
    <n v="201208"/>
    <n v="40000"/>
  </r>
  <r>
    <x v="488"/>
    <x v="6"/>
    <m/>
    <x v="18"/>
    <x v="2"/>
    <x v="161"/>
    <m/>
    <m/>
    <m/>
    <n v="14"/>
    <n v="201208"/>
    <n v="42000"/>
  </r>
  <r>
    <x v="488"/>
    <x v="6"/>
    <m/>
    <x v="18"/>
    <x v="2"/>
    <x v="161"/>
    <m/>
    <m/>
    <m/>
    <n v="1"/>
    <n v="201208"/>
    <n v="3000"/>
  </r>
  <r>
    <x v="489"/>
    <x v="3"/>
    <m/>
    <x v="0"/>
    <x v="1"/>
    <x v="123"/>
    <m/>
    <m/>
    <m/>
    <n v="12"/>
    <n v="201208"/>
    <n v="420000"/>
  </r>
  <r>
    <x v="489"/>
    <x v="3"/>
    <m/>
    <x v="0"/>
    <x v="1"/>
    <x v="124"/>
    <m/>
    <m/>
    <m/>
    <n v="4"/>
    <n v="201208"/>
    <n v="80000"/>
  </r>
  <r>
    <x v="489"/>
    <x v="3"/>
    <m/>
    <x v="0"/>
    <x v="7"/>
    <x v="163"/>
    <m/>
    <m/>
    <m/>
    <n v="3"/>
    <n v="201208"/>
    <n v="60000"/>
  </r>
  <r>
    <x v="489"/>
    <x v="3"/>
    <m/>
    <x v="0"/>
    <x v="3"/>
    <x v="164"/>
    <m/>
    <m/>
    <m/>
    <n v="2"/>
    <n v="201208"/>
    <n v="0"/>
  </r>
  <r>
    <x v="489"/>
    <x v="3"/>
    <m/>
    <x v="0"/>
    <x v="3"/>
    <x v="256"/>
    <m/>
    <m/>
    <m/>
    <n v="2"/>
    <n v="201208"/>
    <n v="0"/>
  </r>
  <r>
    <x v="489"/>
    <x v="3"/>
    <m/>
    <x v="31"/>
    <x v="3"/>
    <x v="88"/>
    <m/>
    <m/>
    <m/>
    <n v="1"/>
    <n v="201208"/>
    <n v="0"/>
  </r>
  <r>
    <x v="489"/>
    <x v="3"/>
    <m/>
    <x v="6"/>
    <x v="2"/>
    <x v="126"/>
    <m/>
    <m/>
    <m/>
    <n v="8"/>
    <n v="201208"/>
    <n v="160000"/>
  </r>
  <r>
    <x v="489"/>
    <x v="3"/>
    <m/>
    <x v="6"/>
    <x v="2"/>
    <x v="127"/>
    <m/>
    <m/>
    <m/>
    <n v="2"/>
    <n v="201208"/>
    <n v="70000"/>
  </r>
  <r>
    <x v="489"/>
    <x v="3"/>
    <m/>
    <x v="34"/>
    <x v="2"/>
    <x v="128"/>
    <m/>
    <m/>
    <m/>
    <n v="102"/>
    <n v="201208"/>
    <n v="3784200"/>
  </r>
  <r>
    <x v="489"/>
    <x v="3"/>
    <m/>
    <x v="25"/>
    <x v="2"/>
    <x v="129"/>
    <m/>
    <m/>
    <m/>
    <n v="5"/>
    <n v="201208"/>
    <n v="495000"/>
  </r>
  <r>
    <x v="489"/>
    <x v="3"/>
    <m/>
    <x v="0"/>
    <x v="2"/>
    <x v="224"/>
    <m/>
    <m/>
    <m/>
    <n v="70"/>
    <n v="201208"/>
    <n v="2310000"/>
  </r>
  <r>
    <x v="489"/>
    <x v="3"/>
    <m/>
    <x v="0"/>
    <x v="2"/>
    <x v="225"/>
    <m/>
    <m/>
    <m/>
    <n v="15"/>
    <n v="201208"/>
    <n v="570000"/>
  </r>
  <r>
    <x v="489"/>
    <x v="3"/>
    <m/>
    <x v="0"/>
    <x v="2"/>
    <x v="131"/>
    <m/>
    <m/>
    <m/>
    <n v="2"/>
    <n v="201208"/>
    <n v="66000"/>
  </r>
  <r>
    <x v="489"/>
    <x v="3"/>
    <m/>
    <x v="30"/>
    <x v="2"/>
    <x v="132"/>
    <m/>
    <m/>
    <m/>
    <n v="18"/>
    <n v="201208"/>
    <n v="403200"/>
  </r>
  <r>
    <x v="489"/>
    <x v="3"/>
    <m/>
    <x v="30"/>
    <x v="2"/>
    <x v="133"/>
    <m/>
    <m/>
    <m/>
    <n v="6"/>
    <n v="201208"/>
    <n v="235200"/>
  </r>
  <r>
    <x v="489"/>
    <x v="3"/>
    <m/>
    <x v="34"/>
    <x v="2"/>
    <x v="134"/>
    <m/>
    <m/>
    <m/>
    <n v="4"/>
    <n v="201208"/>
    <n v="148400"/>
  </r>
  <r>
    <x v="489"/>
    <x v="3"/>
    <m/>
    <x v="1"/>
    <x v="2"/>
    <x v="135"/>
    <m/>
    <m/>
    <m/>
    <n v="49"/>
    <n v="201208"/>
    <n v="980000"/>
  </r>
  <r>
    <x v="489"/>
    <x v="3"/>
    <m/>
    <x v="1"/>
    <x v="2"/>
    <x v="165"/>
    <m/>
    <m/>
    <m/>
    <n v="52"/>
    <n v="201208"/>
    <n v="1820000"/>
  </r>
  <r>
    <x v="489"/>
    <x v="3"/>
    <m/>
    <x v="1"/>
    <x v="2"/>
    <x v="183"/>
    <m/>
    <m/>
    <m/>
    <n v="1"/>
    <n v="201208"/>
    <n v="17500"/>
  </r>
  <r>
    <x v="489"/>
    <x v="3"/>
    <m/>
    <x v="36"/>
    <x v="2"/>
    <x v="136"/>
    <m/>
    <m/>
    <m/>
    <n v="13"/>
    <n v="201208"/>
    <n v="364000"/>
  </r>
  <r>
    <x v="489"/>
    <x v="3"/>
    <m/>
    <x v="36"/>
    <x v="2"/>
    <x v="176"/>
    <m/>
    <m/>
    <m/>
    <n v="1"/>
    <n v="201208"/>
    <n v="49000"/>
  </r>
  <r>
    <x v="489"/>
    <x v="3"/>
    <m/>
    <x v="36"/>
    <x v="2"/>
    <x v="137"/>
    <m/>
    <m/>
    <m/>
    <n v="1"/>
    <n v="201208"/>
    <n v="42000"/>
  </r>
  <r>
    <x v="489"/>
    <x v="3"/>
    <m/>
    <x v="0"/>
    <x v="2"/>
    <x v="218"/>
    <m/>
    <m/>
    <m/>
    <n v="121"/>
    <n v="201208"/>
    <n v="2420000"/>
  </r>
  <r>
    <x v="489"/>
    <x v="3"/>
    <m/>
    <x v="0"/>
    <x v="2"/>
    <x v="240"/>
    <m/>
    <m/>
    <m/>
    <n v="101"/>
    <n v="201208"/>
    <n v="3535000"/>
  </r>
  <r>
    <x v="489"/>
    <x v="3"/>
    <m/>
    <x v="32"/>
    <x v="2"/>
    <x v="220"/>
    <m/>
    <m/>
    <m/>
    <n v="47"/>
    <n v="201208"/>
    <n v="1743700"/>
  </r>
  <r>
    <x v="489"/>
    <x v="3"/>
    <m/>
    <x v="18"/>
    <x v="2"/>
    <x v="125"/>
    <m/>
    <m/>
    <m/>
    <n v="83"/>
    <n v="201208"/>
    <n v="249000"/>
  </r>
  <r>
    <x v="489"/>
    <x v="3"/>
    <m/>
    <x v="0"/>
    <x v="2"/>
    <x v="138"/>
    <m/>
    <m/>
    <m/>
    <n v="2"/>
    <n v="201208"/>
    <n v="40000"/>
  </r>
  <r>
    <x v="489"/>
    <x v="3"/>
    <m/>
    <x v="4"/>
    <x v="2"/>
    <x v="142"/>
    <m/>
    <m/>
    <m/>
    <n v="2"/>
    <n v="201208"/>
    <n v="8000"/>
  </r>
  <r>
    <x v="489"/>
    <x v="3"/>
    <m/>
    <x v="4"/>
    <x v="2"/>
    <x v="143"/>
    <m/>
    <m/>
    <m/>
    <n v="18"/>
    <n v="201208"/>
    <n v="360000"/>
  </r>
  <r>
    <x v="489"/>
    <x v="3"/>
    <m/>
    <x v="4"/>
    <x v="2"/>
    <x v="144"/>
    <m/>
    <m/>
    <m/>
    <n v="8"/>
    <n v="201208"/>
    <n v="32000"/>
  </r>
  <r>
    <x v="489"/>
    <x v="3"/>
    <m/>
    <x v="31"/>
    <x v="2"/>
    <x v="145"/>
    <m/>
    <m/>
    <m/>
    <n v="72"/>
    <n v="201208"/>
    <n v="1612800"/>
  </r>
  <r>
    <x v="489"/>
    <x v="3"/>
    <m/>
    <x v="31"/>
    <x v="2"/>
    <x v="146"/>
    <m/>
    <m/>
    <m/>
    <n v="78"/>
    <n v="201208"/>
    <n v="3057600"/>
  </r>
  <r>
    <x v="489"/>
    <x v="3"/>
    <m/>
    <x v="31"/>
    <x v="2"/>
    <x v="249"/>
    <m/>
    <m/>
    <m/>
    <n v="44"/>
    <n v="201208"/>
    <n v="2402400"/>
  </r>
  <r>
    <x v="489"/>
    <x v="3"/>
    <m/>
    <x v="32"/>
    <x v="2"/>
    <x v="147"/>
    <m/>
    <m/>
    <m/>
    <n v="23"/>
    <n v="201208"/>
    <n v="853300"/>
  </r>
  <r>
    <x v="489"/>
    <x v="3"/>
    <m/>
    <x v="0"/>
    <x v="2"/>
    <x v="148"/>
    <m/>
    <m/>
    <m/>
    <n v="6"/>
    <n v="201208"/>
    <n v="120000"/>
  </r>
  <r>
    <x v="489"/>
    <x v="3"/>
    <m/>
    <x v="31"/>
    <x v="2"/>
    <x v="189"/>
    <m/>
    <m/>
    <m/>
    <n v="1"/>
    <n v="201208"/>
    <n v="22400"/>
  </r>
  <r>
    <x v="489"/>
    <x v="3"/>
    <m/>
    <x v="31"/>
    <x v="2"/>
    <x v="184"/>
    <m/>
    <m/>
    <m/>
    <n v="1"/>
    <n v="201208"/>
    <n v="39200"/>
  </r>
  <r>
    <x v="489"/>
    <x v="3"/>
    <m/>
    <x v="31"/>
    <x v="2"/>
    <x v="253"/>
    <m/>
    <m/>
    <m/>
    <n v="1"/>
    <n v="201208"/>
    <n v="54600"/>
  </r>
  <r>
    <x v="489"/>
    <x v="3"/>
    <m/>
    <x v="0"/>
    <x v="2"/>
    <x v="250"/>
    <m/>
    <m/>
    <m/>
    <n v="3"/>
    <n v="201208"/>
    <n v="60000"/>
  </r>
  <r>
    <x v="489"/>
    <x v="3"/>
    <m/>
    <x v="0"/>
    <x v="2"/>
    <x v="251"/>
    <m/>
    <m/>
    <m/>
    <n v="1"/>
    <n v="201208"/>
    <n v="35000"/>
  </r>
  <r>
    <x v="489"/>
    <x v="3"/>
    <m/>
    <x v="31"/>
    <x v="2"/>
    <x v="186"/>
    <m/>
    <m/>
    <m/>
    <n v="41"/>
    <n v="201208"/>
    <n v="918400"/>
  </r>
  <r>
    <x v="489"/>
    <x v="3"/>
    <m/>
    <x v="31"/>
    <x v="2"/>
    <x v="187"/>
    <m/>
    <m/>
    <m/>
    <n v="53"/>
    <n v="201208"/>
    <n v="2077600"/>
  </r>
  <r>
    <x v="489"/>
    <x v="3"/>
    <m/>
    <x v="31"/>
    <x v="2"/>
    <x v="255"/>
    <m/>
    <m/>
    <m/>
    <n v="27"/>
    <n v="201208"/>
    <n v="1474200"/>
  </r>
  <r>
    <x v="489"/>
    <x v="3"/>
    <m/>
    <x v="32"/>
    <x v="2"/>
    <x v="188"/>
    <m/>
    <m/>
    <m/>
    <n v="16"/>
    <n v="201208"/>
    <n v="593600"/>
  </r>
  <r>
    <x v="489"/>
    <x v="3"/>
    <m/>
    <x v="22"/>
    <x v="2"/>
    <x v="150"/>
    <m/>
    <m/>
    <m/>
    <n v="10"/>
    <n v="201208"/>
    <n v="380000"/>
  </r>
  <r>
    <x v="489"/>
    <x v="3"/>
    <m/>
    <x v="22"/>
    <x v="2"/>
    <x v="150"/>
    <m/>
    <m/>
    <m/>
    <n v="12"/>
    <n v="201208"/>
    <n v="456000"/>
  </r>
  <r>
    <x v="489"/>
    <x v="3"/>
    <m/>
    <x v="5"/>
    <x v="2"/>
    <x v="151"/>
    <m/>
    <m/>
    <m/>
    <n v="42"/>
    <n v="201208"/>
    <n v="1176000"/>
  </r>
  <r>
    <x v="489"/>
    <x v="3"/>
    <m/>
    <x v="5"/>
    <x v="2"/>
    <x v="152"/>
    <m/>
    <m/>
    <m/>
    <n v="11"/>
    <n v="201208"/>
    <n v="528000"/>
  </r>
  <r>
    <x v="489"/>
    <x v="3"/>
    <m/>
    <x v="5"/>
    <x v="2"/>
    <x v="153"/>
    <m/>
    <m/>
    <m/>
    <n v="10"/>
    <n v="201208"/>
    <n v="280000"/>
  </r>
  <r>
    <x v="489"/>
    <x v="3"/>
    <m/>
    <x v="33"/>
    <x v="2"/>
    <x v="155"/>
    <m/>
    <m/>
    <m/>
    <n v="6"/>
    <n v="201208"/>
    <n v="109200"/>
  </r>
  <r>
    <x v="489"/>
    <x v="3"/>
    <m/>
    <x v="33"/>
    <x v="2"/>
    <x v="156"/>
    <m/>
    <m/>
    <m/>
    <n v="3"/>
    <n v="201208"/>
    <n v="101400"/>
  </r>
  <r>
    <x v="489"/>
    <x v="3"/>
    <m/>
    <x v="19"/>
    <x v="2"/>
    <x v="157"/>
    <m/>
    <m/>
    <m/>
    <n v="26"/>
    <n v="201208"/>
    <n v="338000"/>
  </r>
  <r>
    <x v="489"/>
    <x v="3"/>
    <m/>
    <x v="19"/>
    <x v="2"/>
    <x v="158"/>
    <m/>
    <m/>
    <m/>
    <n v="9"/>
    <n v="201208"/>
    <n v="216000"/>
  </r>
  <r>
    <x v="489"/>
    <x v="3"/>
    <m/>
    <x v="19"/>
    <x v="2"/>
    <x v="159"/>
    <m/>
    <m/>
    <m/>
    <n v="8"/>
    <n v="201208"/>
    <n v="264000"/>
  </r>
  <r>
    <x v="489"/>
    <x v="3"/>
    <m/>
    <x v="19"/>
    <x v="2"/>
    <x v="181"/>
    <m/>
    <m/>
    <m/>
    <n v="2"/>
    <n v="201208"/>
    <n v="26000"/>
  </r>
  <r>
    <x v="489"/>
    <x v="3"/>
    <m/>
    <x v="35"/>
    <x v="2"/>
    <x v="170"/>
    <m/>
    <m/>
    <m/>
    <n v="2"/>
    <n v="201208"/>
    <n v="8000"/>
  </r>
  <r>
    <x v="489"/>
    <x v="3"/>
    <m/>
    <x v="35"/>
    <x v="2"/>
    <x v="160"/>
    <m/>
    <m/>
    <m/>
    <n v="4"/>
    <n v="201208"/>
    <n v="80000"/>
  </r>
  <r>
    <x v="489"/>
    <x v="3"/>
    <m/>
    <x v="4"/>
    <x v="2"/>
    <x v="242"/>
    <m/>
    <m/>
    <m/>
    <n v="4"/>
    <n v="201208"/>
    <n v="80000"/>
  </r>
  <r>
    <x v="489"/>
    <x v="3"/>
    <m/>
    <x v="4"/>
    <x v="2"/>
    <x v="207"/>
    <m/>
    <m/>
    <m/>
    <n v="1"/>
    <n v="201208"/>
    <n v="4000"/>
  </r>
  <r>
    <x v="489"/>
    <x v="3"/>
    <m/>
    <x v="4"/>
    <x v="2"/>
    <x v="241"/>
    <m/>
    <m/>
    <m/>
    <n v="4"/>
    <n v="201208"/>
    <n v="80000"/>
  </r>
  <r>
    <x v="489"/>
    <x v="3"/>
    <m/>
    <x v="18"/>
    <x v="2"/>
    <x v="161"/>
    <m/>
    <m/>
    <m/>
    <n v="47"/>
    <n v="201208"/>
    <n v="141000"/>
  </r>
  <r>
    <x v="489"/>
    <x v="3"/>
    <m/>
    <x v="18"/>
    <x v="2"/>
    <x v="161"/>
    <m/>
    <m/>
    <m/>
    <n v="6"/>
    <n v="201208"/>
    <n v="18000"/>
  </r>
  <r>
    <x v="489"/>
    <x v="3"/>
    <m/>
    <x v="4"/>
    <x v="9"/>
    <x v="257"/>
    <m/>
    <m/>
    <m/>
    <n v="2"/>
    <n v="201208"/>
    <n v="8000"/>
  </r>
  <r>
    <x v="489"/>
    <x v="3"/>
    <m/>
    <x v="31"/>
    <x v="9"/>
    <x v="167"/>
    <m/>
    <m/>
    <m/>
    <n v="1"/>
    <n v="201208"/>
    <n v="22400"/>
  </r>
  <r>
    <x v="490"/>
    <x v="4"/>
    <m/>
    <x v="0"/>
    <x v="1"/>
    <x v="123"/>
    <m/>
    <m/>
    <m/>
    <n v="3"/>
    <n v="201208"/>
    <n v="105000"/>
  </r>
  <r>
    <x v="490"/>
    <x v="4"/>
    <m/>
    <x v="0"/>
    <x v="1"/>
    <x v="124"/>
    <m/>
    <m/>
    <m/>
    <n v="1"/>
    <n v="201208"/>
    <n v="20000"/>
  </r>
  <r>
    <x v="490"/>
    <x v="4"/>
    <m/>
    <x v="0"/>
    <x v="7"/>
    <x v="163"/>
    <m/>
    <m/>
    <m/>
    <n v="1"/>
    <n v="201208"/>
    <n v="20000"/>
  </r>
  <r>
    <x v="490"/>
    <x v="4"/>
    <m/>
    <x v="0"/>
    <x v="3"/>
    <x v="256"/>
    <m/>
    <m/>
    <m/>
    <n v="2"/>
    <n v="201208"/>
    <n v="0"/>
  </r>
  <r>
    <x v="490"/>
    <x v="4"/>
    <m/>
    <x v="6"/>
    <x v="2"/>
    <x v="126"/>
    <m/>
    <m/>
    <m/>
    <n v="5"/>
    <n v="201208"/>
    <n v="100000"/>
  </r>
  <r>
    <x v="490"/>
    <x v="4"/>
    <m/>
    <x v="34"/>
    <x v="2"/>
    <x v="128"/>
    <m/>
    <m/>
    <m/>
    <n v="60"/>
    <n v="201208"/>
    <n v="2226000"/>
  </r>
  <r>
    <x v="490"/>
    <x v="4"/>
    <m/>
    <x v="25"/>
    <x v="2"/>
    <x v="129"/>
    <m/>
    <m/>
    <m/>
    <n v="1"/>
    <n v="201208"/>
    <n v="99000"/>
  </r>
  <r>
    <x v="490"/>
    <x v="4"/>
    <m/>
    <x v="0"/>
    <x v="2"/>
    <x v="224"/>
    <m/>
    <m/>
    <m/>
    <n v="36"/>
    <n v="201208"/>
    <n v="1188000"/>
  </r>
  <r>
    <x v="490"/>
    <x v="4"/>
    <m/>
    <x v="0"/>
    <x v="2"/>
    <x v="225"/>
    <m/>
    <m/>
    <m/>
    <n v="10"/>
    <n v="201208"/>
    <n v="380000"/>
  </r>
  <r>
    <x v="490"/>
    <x v="4"/>
    <m/>
    <x v="30"/>
    <x v="2"/>
    <x v="132"/>
    <m/>
    <m/>
    <m/>
    <n v="11"/>
    <n v="201208"/>
    <n v="246400"/>
  </r>
  <r>
    <x v="490"/>
    <x v="4"/>
    <m/>
    <x v="30"/>
    <x v="2"/>
    <x v="133"/>
    <m/>
    <m/>
    <m/>
    <n v="2"/>
    <n v="201208"/>
    <n v="78400"/>
  </r>
  <r>
    <x v="490"/>
    <x v="4"/>
    <m/>
    <x v="34"/>
    <x v="2"/>
    <x v="134"/>
    <m/>
    <m/>
    <m/>
    <n v="3"/>
    <n v="201208"/>
    <n v="111300"/>
  </r>
  <r>
    <x v="490"/>
    <x v="4"/>
    <m/>
    <x v="1"/>
    <x v="2"/>
    <x v="135"/>
    <m/>
    <m/>
    <m/>
    <n v="25"/>
    <n v="201208"/>
    <n v="500000"/>
  </r>
  <r>
    <x v="490"/>
    <x v="4"/>
    <m/>
    <x v="1"/>
    <x v="2"/>
    <x v="165"/>
    <m/>
    <m/>
    <m/>
    <n v="17"/>
    <n v="201208"/>
    <n v="595000"/>
  </r>
  <r>
    <x v="490"/>
    <x v="4"/>
    <m/>
    <x v="36"/>
    <x v="2"/>
    <x v="136"/>
    <m/>
    <m/>
    <m/>
    <n v="8"/>
    <n v="201208"/>
    <n v="224000"/>
  </r>
  <r>
    <x v="490"/>
    <x v="4"/>
    <m/>
    <x v="36"/>
    <x v="2"/>
    <x v="176"/>
    <m/>
    <m/>
    <m/>
    <n v="2"/>
    <n v="201208"/>
    <n v="98000"/>
  </r>
  <r>
    <x v="490"/>
    <x v="4"/>
    <m/>
    <x v="0"/>
    <x v="2"/>
    <x v="218"/>
    <m/>
    <m/>
    <m/>
    <n v="50"/>
    <n v="201208"/>
    <n v="1000000"/>
  </r>
  <r>
    <x v="490"/>
    <x v="4"/>
    <m/>
    <x v="0"/>
    <x v="2"/>
    <x v="240"/>
    <m/>
    <m/>
    <m/>
    <n v="46"/>
    <n v="201208"/>
    <n v="1610000"/>
  </r>
  <r>
    <x v="490"/>
    <x v="4"/>
    <m/>
    <x v="32"/>
    <x v="2"/>
    <x v="220"/>
    <m/>
    <m/>
    <m/>
    <n v="16"/>
    <n v="201208"/>
    <n v="593600"/>
  </r>
  <r>
    <x v="490"/>
    <x v="4"/>
    <m/>
    <x v="18"/>
    <x v="2"/>
    <x v="125"/>
    <m/>
    <m/>
    <m/>
    <n v="45"/>
    <n v="201208"/>
    <n v="135000"/>
  </r>
  <r>
    <x v="490"/>
    <x v="4"/>
    <m/>
    <x v="0"/>
    <x v="2"/>
    <x v="138"/>
    <m/>
    <m/>
    <m/>
    <n v="1"/>
    <n v="201208"/>
    <n v="20000"/>
  </r>
  <r>
    <x v="490"/>
    <x v="4"/>
    <m/>
    <x v="0"/>
    <x v="2"/>
    <x v="139"/>
    <m/>
    <m/>
    <m/>
    <n v="1"/>
    <n v="201208"/>
    <n v="35000"/>
  </r>
  <r>
    <x v="490"/>
    <x v="4"/>
    <m/>
    <x v="0"/>
    <x v="2"/>
    <x v="141"/>
    <m/>
    <m/>
    <m/>
    <n v="1"/>
    <n v="201208"/>
    <n v="33000"/>
  </r>
  <r>
    <x v="490"/>
    <x v="4"/>
    <m/>
    <x v="4"/>
    <x v="2"/>
    <x v="143"/>
    <m/>
    <m/>
    <m/>
    <n v="9"/>
    <n v="201208"/>
    <n v="180000"/>
  </r>
  <r>
    <x v="490"/>
    <x v="4"/>
    <m/>
    <x v="4"/>
    <x v="2"/>
    <x v="144"/>
    <m/>
    <m/>
    <m/>
    <n v="3"/>
    <n v="201208"/>
    <n v="12000"/>
  </r>
  <r>
    <x v="490"/>
    <x v="4"/>
    <m/>
    <x v="0"/>
    <x v="2"/>
    <x v="258"/>
    <m/>
    <m/>
    <m/>
    <n v="31"/>
    <n v="201208"/>
    <n v="620000"/>
  </r>
  <r>
    <x v="490"/>
    <x v="4"/>
    <m/>
    <x v="0"/>
    <x v="2"/>
    <x v="259"/>
    <m/>
    <m/>
    <m/>
    <n v="40"/>
    <n v="201208"/>
    <n v="1400000"/>
  </r>
  <r>
    <x v="490"/>
    <x v="4"/>
    <m/>
    <x v="32"/>
    <x v="2"/>
    <x v="260"/>
    <m/>
    <m/>
    <m/>
    <n v="17"/>
    <n v="201208"/>
    <n v="630700"/>
  </r>
  <r>
    <x v="490"/>
    <x v="4"/>
    <m/>
    <x v="18"/>
    <x v="2"/>
    <x v="261"/>
    <m/>
    <m/>
    <m/>
    <n v="22"/>
    <n v="201208"/>
    <n v="66000"/>
  </r>
  <r>
    <x v="490"/>
    <x v="4"/>
    <m/>
    <x v="31"/>
    <x v="2"/>
    <x v="145"/>
    <m/>
    <m/>
    <m/>
    <n v="49"/>
    <n v="201208"/>
    <n v="1097600"/>
  </r>
  <r>
    <x v="490"/>
    <x v="4"/>
    <m/>
    <x v="31"/>
    <x v="2"/>
    <x v="146"/>
    <m/>
    <m/>
    <m/>
    <n v="49"/>
    <n v="201208"/>
    <n v="1920800"/>
  </r>
  <r>
    <x v="490"/>
    <x v="4"/>
    <m/>
    <x v="31"/>
    <x v="2"/>
    <x v="249"/>
    <m/>
    <m/>
    <m/>
    <n v="35"/>
    <n v="201208"/>
    <n v="1911000"/>
  </r>
  <r>
    <x v="490"/>
    <x v="4"/>
    <m/>
    <x v="32"/>
    <x v="2"/>
    <x v="147"/>
    <m/>
    <m/>
    <m/>
    <n v="18"/>
    <n v="201208"/>
    <n v="667800"/>
  </r>
  <r>
    <x v="490"/>
    <x v="4"/>
    <m/>
    <x v="0"/>
    <x v="2"/>
    <x v="148"/>
    <m/>
    <m/>
    <m/>
    <n v="2"/>
    <n v="201208"/>
    <n v="40000"/>
  </r>
  <r>
    <x v="490"/>
    <x v="4"/>
    <m/>
    <x v="31"/>
    <x v="2"/>
    <x v="189"/>
    <m/>
    <m/>
    <m/>
    <n v="1"/>
    <n v="201208"/>
    <n v="22400"/>
  </r>
  <r>
    <x v="490"/>
    <x v="4"/>
    <m/>
    <x v="31"/>
    <x v="2"/>
    <x v="184"/>
    <m/>
    <m/>
    <m/>
    <n v="1"/>
    <n v="201208"/>
    <n v="39200"/>
  </r>
  <r>
    <x v="490"/>
    <x v="4"/>
    <m/>
    <x v="31"/>
    <x v="2"/>
    <x v="186"/>
    <m/>
    <m/>
    <m/>
    <n v="34"/>
    <n v="201208"/>
    <n v="761600"/>
  </r>
  <r>
    <x v="490"/>
    <x v="4"/>
    <m/>
    <x v="31"/>
    <x v="2"/>
    <x v="187"/>
    <m/>
    <m/>
    <m/>
    <n v="32"/>
    <n v="201208"/>
    <n v="1254400"/>
  </r>
  <r>
    <x v="490"/>
    <x v="4"/>
    <m/>
    <x v="31"/>
    <x v="2"/>
    <x v="255"/>
    <m/>
    <m/>
    <m/>
    <n v="19"/>
    <n v="201208"/>
    <n v="1037400"/>
  </r>
  <r>
    <x v="490"/>
    <x v="4"/>
    <m/>
    <x v="32"/>
    <x v="2"/>
    <x v="188"/>
    <m/>
    <m/>
    <m/>
    <n v="12"/>
    <n v="201208"/>
    <n v="445200"/>
  </r>
  <r>
    <x v="490"/>
    <x v="4"/>
    <m/>
    <x v="22"/>
    <x v="2"/>
    <x v="150"/>
    <m/>
    <m/>
    <m/>
    <n v="14"/>
    <n v="201208"/>
    <n v="532000"/>
  </r>
  <r>
    <x v="490"/>
    <x v="4"/>
    <m/>
    <x v="22"/>
    <x v="2"/>
    <x v="150"/>
    <m/>
    <m/>
    <m/>
    <n v="6"/>
    <n v="201208"/>
    <n v="228000"/>
  </r>
  <r>
    <x v="490"/>
    <x v="4"/>
    <m/>
    <x v="5"/>
    <x v="2"/>
    <x v="151"/>
    <m/>
    <m/>
    <m/>
    <n v="27"/>
    <n v="201208"/>
    <n v="756000"/>
  </r>
  <r>
    <x v="490"/>
    <x v="4"/>
    <m/>
    <x v="5"/>
    <x v="2"/>
    <x v="152"/>
    <m/>
    <m/>
    <m/>
    <n v="5"/>
    <n v="201208"/>
    <n v="240000"/>
  </r>
  <r>
    <x v="490"/>
    <x v="4"/>
    <m/>
    <x v="5"/>
    <x v="2"/>
    <x v="153"/>
    <m/>
    <m/>
    <m/>
    <n v="6"/>
    <n v="201208"/>
    <n v="168000"/>
  </r>
  <r>
    <x v="490"/>
    <x v="4"/>
    <m/>
    <x v="33"/>
    <x v="2"/>
    <x v="155"/>
    <m/>
    <m/>
    <m/>
    <n v="4"/>
    <n v="201208"/>
    <n v="72800"/>
  </r>
  <r>
    <x v="490"/>
    <x v="4"/>
    <m/>
    <x v="33"/>
    <x v="2"/>
    <x v="156"/>
    <m/>
    <m/>
    <m/>
    <n v="1"/>
    <n v="201208"/>
    <n v="33800"/>
  </r>
  <r>
    <x v="490"/>
    <x v="4"/>
    <m/>
    <x v="19"/>
    <x v="2"/>
    <x v="157"/>
    <m/>
    <m/>
    <m/>
    <n v="23"/>
    <n v="201208"/>
    <n v="299000"/>
  </r>
  <r>
    <x v="490"/>
    <x v="4"/>
    <m/>
    <x v="19"/>
    <x v="2"/>
    <x v="158"/>
    <m/>
    <m/>
    <m/>
    <n v="8"/>
    <n v="201208"/>
    <n v="192000"/>
  </r>
  <r>
    <x v="490"/>
    <x v="4"/>
    <m/>
    <x v="19"/>
    <x v="2"/>
    <x v="159"/>
    <m/>
    <m/>
    <m/>
    <n v="5"/>
    <n v="201208"/>
    <n v="165000"/>
  </r>
  <r>
    <x v="490"/>
    <x v="4"/>
    <m/>
    <x v="19"/>
    <x v="2"/>
    <x v="181"/>
    <m/>
    <m/>
    <m/>
    <n v="2"/>
    <n v="201208"/>
    <n v="26000"/>
  </r>
  <r>
    <x v="490"/>
    <x v="4"/>
    <m/>
    <x v="35"/>
    <x v="2"/>
    <x v="170"/>
    <m/>
    <m/>
    <m/>
    <n v="1"/>
    <n v="201208"/>
    <n v="4000"/>
  </r>
  <r>
    <x v="490"/>
    <x v="4"/>
    <m/>
    <x v="35"/>
    <x v="2"/>
    <x v="160"/>
    <m/>
    <m/>
    <m/>
    <n v="1"/>
    <n v="201208"/>
    <n v="20000"/>
  </r>
  <r>
    <x v="490"/>
    <x v="4"/>
    <m/>
    <x v="4"/>
    <x v="2"/>
    <x v="243"/>
    <m/>
    <m/>
    <m/>
    <n v="2"/>
    <n v="201208"/>
    <n v="8000"/>
  </r>
  <r>
    <x v="490"/>
    <x v="4"/>
    <m/>
    <x v="4"/>
    <x v="2"/>
    <x v="242"/>
    <m/>
    <m/>
    <m/>
    <n v="1"/>
    <n v="201208"/>
    <n v="20000"/>
  </r>
  <r>
    <x v="490"/>
    <x v="4"/>
    <m/>
    <x v="4"/>
    <x v="2"/>
    <x v="207"/>
    <m/>
    <m/>
    <m/>
    <n v="4"/>
    <n v="201208"/>
    <n v="16000"/>
  </r>
  <r>
    <x v="490"/>
    <x v="4"/>
    <m/>
    <x v="4"/>
    <x v="2"/>
    <x v="241"/>
    <m/>
    <m/>
    <m/>
    <n v="3"/>
    <n v="201208"/>
    <n v="60000"/>
  </r>
  <r>
    <x v="490"/>
    <x v="4"/>
    <m/>
    <x v="18"/>
    <x v="2"/>
    <x v="161"/>
    <m/>
    <m/>
    <m/>
    <n v="26"/>
    <n v="201208"/>
    <n v="78000"/>
  </r>
  <r>
    <x v="490"/>
    <x v="4"/>
    <m/>
    <x v="1"/>
    <x v="9"/>
    <x v="262"/>
    <m/>
    <m/>
    <m/>
    <n v="1"/>
    <n v="201208"/>
    <n v="20000"/>
  </r>
  <r>
    <x v="490"/>
    <x v="4"/>
    <m/>
    <x v="31"/>
    <x v="9"/>
    <x v="167"/>
    <m/>
    <m/>
    <m/>
    <n v="1"/>
    <n v="201208"/>
    <n v="22400"/>
  </r>
  <r>
    <x v="491"/>
    <x v="1"/>
    <m/>
    <x v="0"/>
    <x v="1"/>
    <x v="123"/>
    <m/>
    <m/>
    <m/>
    <n v="5"/>
    <n v="201208"/>
    <n v="175000"/>
  </r>
  <r>
    <x v="491"/>
    <x v="1"/>
    <m/>
    <x v="0"/>
    <x v="7"/>
    <x v="163"/>
    <m/>
    <m/>
    <m/>
    <n v="1"/>
    <n v="201208"/>
    <n v="20000"/>
  </r>
  <r>
    <x v="491"/>
    <x v="1"/>
    <m/>
    <x v="0"/>
    <x v="3"/>
    <x v="256"/>
    <m/>
    <m/>
    <m/>
    <n v="3"/>
    <n v="201208"/>
    <n v="0"/>
  </r>
  <r>
    <x v="491"/>
    <x v="1"/>
    <m/>
    <x v="6"/>
    <x v="2"/>
    <x v="126"/>
    <m/>
    <m/>
    <m/>
    <n v="2"/>
    <n v="201208"/>
    <n v="40000"/>
  </r>
  <r>
    <x v="491"/>
    <x v="1"/>
    <m/>
    <x v="6"/>
    <x v="2"/>
    <x v="127"/>
    <m/>
    <m/>
    <m/>
    <n v="1"/>
    <n v="201208"/>
    <n v="35000"/>
  </r>
  <r>
    <x v="491"/>
    <x v="1"/>
    <m/>
    <x v="34"/>
    <x v="2"/>
    <x v="128"/>
    <m/>
    <m/>
    <m/>
    <n v="62"/>
    <n v="201208"/>
    <n v="2300200"/>
  </r>
  <r>
    <x v="491"/>
    <x v="1"/>
    <m/>
    <x v="25"/>
    <x v="2"/>
    <x v="129"/>
    <m/>
    <m/>
    <m/>
    <n v="1"/>
    <n v="201208"/>
    <n v="99000"/>
  </r>
  <r>
    <x v="491"/>
    <x v="1"/>
    <m/>
    <x v="0"/>
    <x v="2"/>
    <x v="224"/>
    <m/>
    <m/>
    <m/>
    <n v="30"/>
    <n v="201208"/>
    <n v="990000"/>
  </r>
  <r>
    <x v="491"/>
    <x v="1"/>
    <m/>
    <x v="0"/>
    <x v="2"/>
    <x v="225"/>
    <m/>
    <m/>
    <m/>
    <n v="4"/>
    <n v="201208"/>
    <n v="152000"/>
  </r>
  <r>
    <x v="491"/>
    <x v="1"/>
    <m/>
    <x v="0"/>
    <x v="2"/>
    <x v="131"/>
    <m/>
    <m/>
    <m/>
    <n v="1"/>
    <n v="201208"/>
    <n v="33000"/>
  </r>
  <r>
    <x v="491"/>
    <x v="1"/>
    <m/>
    <x v="30"/>
    <x v="2"/>
    <x v="132"/>
    <m/>
    <m/>
    <m/>
    <n v="9"/>
    <n v="201208"/>
    <n v="201600"/>
  </r>
  <r>
    <x v="491"/>
    <x v="1"/>
    <m/>
    <x v="30"/>
    <x v="2"/>
    <x v="133"/>
    <m/>
    <m/>
    <m/>
    <n v="4"/>
    <n v="201208"/>
    <n v="156800"/>
  </r>
  <r>
    <x v="491"/>
    <x v="1"/>
    <m/>
    <x v="34"/>
    <x v="2"/>
    <x v="134"/>
    <m/>
    <m/>
    <m/>
    <n v="3"/>
    <n v="201208"/>
    <n v="111300"/>
  </r>
  <r>
    <x v="491"/>
    <x v="1"/>
    <m/>
    <x v="1"/>
    <x v="2"/>
    <x v="135"/>
    <m/>
    <m/>
    <m/>
    <n v="9"/>
    <n v="201208"/>
    <n v="180000"/>
  </r>
  <r>
    <x v="491"/>
    <x v="1"/>
    <m/>
    <x v="1"/>
    <x v="2"/>
    <x v="165"/>
    <m/>
    <m/>
    <m/>
    <n v="12"/>
    <n v="201208"/>
    <n v="420000"/>
  </r>
  <r>
    <x v="491"/>
    <x v="1"/>
    <m/>
    <x v="36"/>
    <x v="2"/>
    <x v="136"/>
    <m/>
    <m/>
    <m/>
    <n v="5"/>
    <n v="201208"/>
    <n v="140000"/>
  </r>
  <r>
    <x v="491"/>
    <x v="1"/>
    <m/>
    <x v="36"/>
    <x v="2"/>
    <x v="137"/>
    <m/>
    <m/>
    <m/>
    <n v="1"/>
    <n v="201208"/>
    <n v="42000"/>
  </r>
  <r>
    <x v="491"/>
    <x v="1"/>
    <m/>
    <x v="0"/>
    <x v="2"/>
    <x v="240"/>
    <m/>
    <m/>
    <m/>
    <n v="3"/>
    <n v="201208"/>
    <n v="105000"/>
  </r>
  <r>
    <x v="491"/>
    <x v="1"/>
    <m/>
    <x v="18"/>
    <x v="2"/>
    <x v="125"/>
    <m/>
    <m/>
    <m/>
    <n v="2"/>
    <n v="201208"/>
    <n v="6000"/>
  </r>
  <r>
    <x v="491"/>
    <x v="1"/>
    <m/>
    <x v="0"/>
    <x v="2"/>
    <x v="138"/>
    <m/>
    <m/>
    <m/>
    <n v="1"/>
    <n v="201208"/>
    <n v="20000"/>
  </r>
  <r>
    <x v="491"/>
    <x v="1"/>
    <m/>
    <x v="0"/>
    <x v="2"/>
    <x v="141"/>
    <m/>
    <m/>
    <m/>
    <n v="2"/>
    <n v="201208"/>
    <n v="66000"/>
  </r>
  <r>
    <x v="491"/>
    <x v="1"/>
    <m/>
    <x v="4"/>
    <x v="2"/>
    <x v="142"/>
    <m/>
    <m/>
    <m/>
    <n v="1"/>
    <n v="201208"/>
    <n v="4000"/>
  </r>
  <r>
    <x v="491"/>
    <x v="1"/>
    <m/>
    <x v="4"/>
    <x v="2"/>
    <x v="143"/>
    <m/>
    <m/>
    <m/>
    <n v="10"/>
    <n v="201208"/>
    <n v="200000"/>
  </r>
  <r>
    <x v="491"/>
    <x v="1"/>
    <m/>
    <x v="0"/>
    <x v="2"/>
    <x v="258"/>
    <m/>
    <m/>
    <m/>
    <n v="55"/>
    <n v="201208"/>
    <n v="1100000"/>
  </r>
  <r>
    <x v="491"/>
    <x v="1"/>
    <m/>
    <x v="0"/>
    <x v="2"/>
    <x v="259"/>
    <m/>
    <m/>
    <m/>
    <n v="83"/>
    <n v="201208"/>
    <n v="2905000"/>
  </r>
  <r>
    <x v="491"/>
    <x v="1"/>
    <m/>
    <x v="32"/>
    <x v="2"/>
    <x v="260"/>
    <m/>
    <m/>
    <m/>
    <n v="34"/>
    <n v="201208"/>
    <n v="1261400"/>
  </r>
  <r>
    <x v="491"/>
    <x v="1"/>
    <m/>
    <x v="18"/>
    <x v="2"/>
    <x v="261"/>
    <m/>
    <m/>
    <m/>
    <n v="44"/>
    <n v="201208"/>
    <n v="132000"/>
  </r>
  <r>
    <x v="491"/>
    <x v="1"/>
    <m/>
    <x v="31"/>
    <x v="2"/>
    <x v="145"/>
    <m/>
    <m/>
    <m/>
    <n v="53"/>
    <n v="201208"/>
    <n v="1187200"/>
  </r>
  <r>
    <x v="491"/>
    <x v="1"/>
    <m/>
    <x v="31"/>
    <x v="2"/>
    <x v="146"/>
    <m/>
    <m/>
    <m/>
    <n v="46"/>
    <n v="201208"/>
    <n v="1803200"/>
  </r>
  <r>
    <x v="491"/>
    <x v="1"/>
    <m/>
    <x v="31"/>
    <x v="2"/>
    <x v="249"/>
    <m/>
    <m/>
    <m/>
    <n v="29"/>
    <n v="201208"/>
    <n v="1583400"/>
  </r>
  <r>
    <x v="491"/>
    <x v="1"/>
    <m/>
    <x v="32"/>
    <x v="2"/>
    <x v="147"/>
    <m/>
    <m/>
    <m/>
    <n v="15"/>
    <n v="201208"/>
    <n v="556500"/>
  </r>
  <r>
    <x v="491"/>
    <x v="1"/>
    <m/>
    <x v="32"/>
    <x v="2"/>
    <x v="254"/>
    <m/>
    <m/>
    <m/>
    <n v="1"/>
    <n v="201208"/>
    <n v="37100"/>
  </r>
  <r>
    <x v="491"/>
    <x v="1"/>
    <m/>
    <x v="18"/>
    <x v="2"/>
    <x v="252"/>
    <m/>
    <m/>
    <m/>
    <n v="1"/>
    <n v="201208"/>
    <n v="3000"/>
  </r>
  <r>
    <x v="491"/>
    <x v="1"/>
    <m/>
    <x v="31"/>
    <x v="2"/>
    <x v="186"/>
    <m/>
    <m/>
    <m/>
    <n v="27"/>
    <n v="201208"/>
    <n v="604800"/>
  </r>
  <r>
    <x v="491"/>
    <x v="1"/>
    <m/>
    <x v="31"/>
    <x v="2"/>
    <x v="187"/>
    <m/>
    <m/>
    <m/>
    <n v="32"/>
    <n v="201208"/>
    <n v="1254400"/>
  </r>
  <r>
    <x v="491"/>
    <x v="1"/>
    <m/>
    <x v="31"/>
    <x v="2"/>
    <x v="255"/>
    <m/>
    <m/>
    <m/>
    <n v="10"/>
    <n v="201208"/>
    <n v="546000"/>
  </r>
  <r>
    <x v="491"/>
    <x v="1"/>
    <m/>
    <x v="32"/>
    <x v="2"/>
    <x v="188"/>
    <m/>
    <m/>
    <m/>
    <n v="3"/>
    <n v="201208"/>
    <n v="111300"/>
  </r>
  <r>
    <x v="491"/>
    <x v="1"/>
    <m/>
    <x v="22"/>
    <x v="2"/>
    <x v="150"/>
    <m/>
    <m/>
    <m/>
    <n v="6"/>
    <n v="201208"/>
    <n v="228000"/>
  </r>
  <r>
    <x v="491"/>
    <x v="1"/>
    <m/>
    <x v="22"/>
    <x v="2"/>
    <x v="150"/>
    <m/>
    <m/>
    <m/>
    <n v="6"/>
    <n v="201208"/>
    <n v="228000"/>
  </r>
  <r>
    <x v="491"/>
    <x v="1"/>
    <m/>
    <x v="5"/>
    <x v="2"/>
    <x v="151"/>
    <m/>
    <m/>
    <m/>
    <n v="23"/>
    <n v="201208"/>
    <n v="644000"/>
  </r>
  <r>
    <x v="491"/>
    <x v="1"/>
    <m/>
    <x v="5"/>
    <x v="2"/>
    <x v="152"/>
    <m/>
    <m/>
    <m/>
    <n v="6"/>
    <n v="201208"/>
    <n v="288000"/>
  </r>
  <r>
    <x v="491"/>
    <x v="1"/>
    <m/>
    <x v="5"/>
    <x v="2"/>
    <x v="153"/>
    <m/>
    <m/>
    <m/>
    <n v="6"/>
    <n v="201208"/>
    <n v="168000"/>
  </r>
  <r>
    <x v="491"/>
    <x v="1"/>
    <m/>
    <x v="33"/>
    <x v="2"/>
    <x v="155"/>
    <m/>
    <m/>
    <m/>
    <n v="2"/>
    <n v="201208"/>
    <n v="36400"/>
  </r>
  <r>
    <x v="491"/>
    <x v="1"/>
    <m/>
    <x v="19"/>
    <x v="2"/>
    <x v="157"/>
    <m/>
    <m/>
    <m/>
    <n v="19"/>
    <n v="201208"/>
    <n v="247000"/>
  </r>
  <r>
    <x v="491"/>
    <x v="1"/>
    <m/>
    <x v="19"/>
    <x v="2"/>
    <x v="158"/>
    <m/>
    <m/>
    <m/>
    <n v="6"/>
    <n v="201208"/>
    <n v="144000"/>
  </r>
  <r>
    <x v="491"/>
    <x v="1"/>
    <m/>
    <x v="19"/>
    <x v="2"/>
    <x v="159"/>
    <m/>
    <m/>
    <m/>
    <n v="4"/>
    <n v="201208"/>
    <n v="132000"/>
  </r>
  <r>
    <x v="491"/>
    <x v="1"/>
    <m/>
    <x v="19"/>
    <x v="2"/>
    <x v="181"/>
    <m/>
    <m/>
    <m/>
    <n v="1"/>
    <n v="201208"/>
    <n v="13000"/>
  </r>
  <r>
    <x v="491"/>
    <x v="1"/>
    <m/>
    <x v="35"/>
    <x v="2"/>
    <x v="170"/>
    <m/>
    <m/>
    <m/>
    <n v="1"/>
    <n v="201208"/>
    <n v="4000"/>
  </r>
  <r>
    <x v="491"/>
    <x v="1"/>
    <m/>
    <x v="35"/>
    <x v="2"/>
    <x v="160"/>
    <m/>
    <m/>
    <m/>
    <n v="1"/>
    <n v="201208"/>
    <n v="20000"/>
  </r>
  <r>
    <x v="491"/>
    <x v="1"/>
    <m/>
    <x v="4"/>
    <x v="2"/>
    <x v="241"/>
    <m/>
    <m/>
    <m/>
    <n v="1"/>
    <n v="201208"/>
    <n v="20000"/>
  </r>
  <r>
    <x v="491"/>
    <x v="1"/>
    <m/>
    <x v="18"/>
    <x v="2"/>
    <x v="161"/>
    <m/>
    <m/>
    <m/>
    <n v="22"/>
    <n v="201208"/>
    <n v="66000"/>
  </r>
  <r>
    <x v="491"/>
    <x v="1"/>
    <m/>
    <x v="18"/>
    <x v="2"/>
    <x v="161"/>
    <m/>
    <m/>
    <m/>
    <n v="3"/>
    <n v="201208"/>
    <n v="9000"/>
  </r>
  <r>
    <x v="491"/>
    <x v="1"/>
    <m/>
    <x v="1"/>
    <x v="9"/>
    <x v="262"/>
    <m/>
    <m/>
    <m/>
    <n v="1"/>
    <n v="201208"/>
    <n v="20000"/>
  </r>
  <r>
    <x v="491"/>
    <x v="1"/>
    <m/>
    <x v="19"/>
    <x v="9"/>
    <x v="263"/>
    <m/>
    <m/>
    <m/>
    <n v="2"/>
    <n v="201208"/>
    <n v="26000"/>
  </r>
  <r>
    <x v="492"/>
    <x v="0"/>
    <m/>
    <x v="0"/>
    <x v="1"/>
    <x v="123"/>
    <m/>
    <m/>
    <m/>
    <n v="8"/>
    <n v="201208"/>
    <n v="280000"/>
  </r>
  <r>
    <x v="492"/>
    <x v="0"/>
    <m/>
    <x v="30"/>
    <x v="5"/>
    <x v="264"/>
    <m/>
    <m/>
    <m/>
    <n v="40"/>
    <n v="201208"/>
    <n v="458200"/>
  </r>
  <r>
    <x v="492"/>
    <x v="0"/>
    <m/>
    <x v="0"/>
    <x v="7"/>
    <x v="163"/>
    <m/>
    <m/>
    <m/>
    <n v="3"/>
    <n v="201208"/>
    <n v="60000"/>
  </r>
  <r>
    <x v="492"/>
    <x v="0"/>
    <m/>
    <x v="0"/>
    <x v="3"/>
    <x v="164"/>
    <m/>
    <m/>
    <m/>
    <n v="10"/>
    <n v="201208"/>
    <n v="0"/>
  </r>
  <r>
    <x v="492"/>
    <x v="0"/>
    <m/>
    <x v="6"/>
    <x v="2"/>
    <x v="126"/>
    <m/>
    <m/>
    <m/>
    <n v="3"/>
    <n v="201208"/>
    <n v="60000"/>
  </r>
  <r>
    <x v="492"/>
    <x v="0"/>
    <m/>
    <x v="34"/>
    <x v="2"/>
    <x v="128"/>
    <m/>
    <m/>
    <m/>
    <n v="54"/>
    <n v="201208"/>
    <n v="2003400"/>
  </r>
  <r>
    <x v="492"/>
    <x v="0"/>
    <m/>
    <x v="25"/>
    <x v="2"/>
    <x v="129"/>
    <m/>
    <m/>
    <m/>
    <n v="1"/>
    <n v="201208"/>
    <n v="99000"/>
  </r>
  <r>
    <x v="492"/>
    <x v="0"/>
    <m/>
    <x v="0"/>
    <x v="2"/>
    <x v="224"/>
    <m/>
    <m/>
    <m/>
    <n v="34"/>
    <n v="201208"/>
    <n v="1122000"/>
  </r>
  <r>
    <x v="492"/>
    <x v="0"/>
    <m/>
    <x v="0"/>
    <x v="2"/>
    <x v="225"/>
    <m/>
    <m/>
    <m/>
    <n v="9"/>
    <n v="201208"/>
    <n v="342000"/>
  </r>
  <r>
    <x v="492"/>
    <x v="0"/>
    <m/>
    <x v="30"/>
    <x v="2"/>
    <x v="132"/>
    <m/>
    <m/>
    <m/>
    <n v="14"/>
    <n v="201208"/>
    <n v="313600"/>
  </r>
  <r>
    <x v="492"/>
    <x v="0"/>
    <m/>
    <x v="30"/>
    <x v="2"/>
    <x v="133"/>
    <m/>
    <m/>
    <m/>
    <n v="3"/>
    <n v="201208"/>
    <n v="117600"/>
  </r>
  <r>
    <x v="492"/>
    <x v="0"/>
    <m/>
    <x v="34"/>
    <x v="2"/>
    <x v="134"/>
    <m/>
    <m/>
    <m/>
    <n v="1"/>
    <n v="201208"/>
    <n v="37100"/>
  </r>
  <r>
    <x v="492"/>
    <x v="0"/>
    <m/>
    <x v="1"/>
    <x v="2"/>
    <x v="135"/>
    <m/>
    <m/>
    <m/>
    <n v="15"/>
    <n v="201208"/>
    <n v="300000"/>
  </r>
  <r>
    <x v="492"/>
    <x v="0"/>
    <m/>
    <x v="1"/>
    <x v="2"/>
    <x v="165"/>
    <m/>
    <m/>
    <m/>
    <n v="12"/>
    <n v="201208"/>
    <n v="420000"/>
  </r>
  <r>
    <x v="492"/>
    <x v="0"/>
    <m/>
    <x v="1"/>
    <x v="2"/>
    <x v="183"/>
    <m/>
    <m/>
    <m/>
    <n v="1"/>
    <n v="201208"/>
    <n v="17500"/>
  </r>
  <r>
    <x v="492"/>
    <x v="0"/>
    <m/>
    <x v="36"/>
    <x v="2"/>
    <x v="136"/>
    <m/>
    <m/>
    <m/>
    <n v="7"/>
    <n v="201208"/>
    <n v="196000"/>
  </r>
  <r>
    <x v="492"/>
    <x v="0"/>
    <m/>
    <x v="0"/>
    <x v="2"/>
    <x v="218"/>
    <m/>
    <m/>
    <m/>
    <n v="2"/>
    <n v="201208"/>
    <n v="40000"/>
  </r>
  <r>
    <x v="492"/>
    <x v="0"/>
    <m/>
    <x v="18"/>
    <x v="2"/>
    <x v="125"/>
    <m/>
    <m/>
    <m/>
    <n v="1"/>
    <n v="201208"/>
    <n v="3000"/>
  </r>
  <r>
    <x v="492"/>
    <x v="0"/>
    <m/>
    <x v="0"/>
    <x v="2"/>
    <x v="141"/>
    <m/>
    <m/>
    <m/>
    <n v="1"/>
    <n v="201208"/>
    <n v="33000"/>
  </r>
  <r>
    <x v="492"/>
    <x v="0"/>
    <m/>
    <x v="4"/>
    <x v="2"/>
    <x v="142"/>
    <m/>
    <m/>
    <m/>
    <n v="3"/>
    <n v="201208"/>
    <n v="12000"/>
  </r>
  <r>
    <x v="492"/>
    <x v="0"/>
    <m/>
    <x v="4"/>
    <x v="2"/>
    <x v="143"/>
    <m/>
    <m/>
    <m/>
    <n v="5"/>
    <n v="201208"/>
    <n v="100000"/>
  </r>
  <r>
    <x v="492"/>
    <x v="0"/>
    <m/>
    <x v="4"/>
    <x v="2"/>
    <x v="144"/>
    <m/>
    <m/>
    <m/>
    <n v="6"/>
    <n v="201208"/>
    <n v="24000"/>
  </r>
  <r>
    <x v="492"/>
    <x v="0"/>
    <m/>
    <x v="0"/>
    <x v="2"/>
    <x v="258"/>
    <m/>
    <m/>
    <m/>
    <n v="47"/>
    <n v="201208"/>
    <n v="940000"/>
  </r>
  <r>
    <x v="492"/>
    <x v="0"/>
    <m/>
    <x v="0"/>
    <x v="2"/>
    <x v="259"/>
    <m/>
    <m/>
    <m/>
    <n v="54"/>
    <n v="201208"/>
    <n v="1890000"/>
  </r>
  <r>
    <x v="492"/>
    <x v="0"/>
    <m/>
    <x v="32"/>
    <x v="2"/>
    <x v="260"/>
    <m/>
    <m/>
    <m/>
    <n v="24"/>
    <n v="201208"/>
    <n v="890400"/>
  </r>
  <r>
    <x v="492"/>
    <x v="0"/>
    <m/>
    <x v="18"/>
    <x v="2"/>
    <x v="261"/>
    <m/>
    <m/>
    <m/>
    <n v="30"/>
    <n v="201208"/>
    <n v="90000"/>
  </r>
  <r>
    <x v="492"/>
    <x v="0"/>
    <m/>
    <x v="31"/>
    <x v="2"/>
    <x v="145"/>
    <m/>
    <m/>
    <m/>
    <n v="51"/>
    <n v="201208"/>
    <n v="1142400"/>
  </r>
  <r>
    <x v="492"/>
    <x v="0"/>
    <m/>
    <x v="31"/>
    <x v="2"/>
    <x v="146"/>
    <m/>
    <m/>
    <m/>
    <n v="52"/>
    <n v="201208"/>
    <n v="2038400"/>
  </r>
  <r>
    <x v="492"/>
    <x v="0"/>
    <m/>
    <x v="31"/>
    <x v="2"/>
    <x v="249"/>
    <m/>
    <m/>
    <m/>
    <n v="38"/>
    <n v="201208"/>
    <n v="2074800"/>
  </r>
  <r>
    <x v="492"/>
    <x v="0"/>
    <m/>
    <x v="32"/>
    <x v="2"/>
    <x v="147"/>
    <m/>
    <m/>
    <m/>
    <n v="13"/>
    <n v="201208"/>
    <n v="482300"/>
  </r>
  <r>
    <x v="492"/>
    <x v="0"/>
    <m/>
    <x v="31"/>
    <x v="2"/>
    <x v="184"/>
    <m/>
    <m/>
    <m/>
    <n v="1"/>
    <n v="201208"/>
    <n v="39200"/>
  </r>
  <r>
    <x v="492"/>
    <x v="0"/>
    <m/>
    <x v="31"/>
    <x v="2"/>
    <x v="186"/>
    <m/>
    <m/>
    <m/>
    <n v="43"/>
    <n v="201208"/>
    <n v="963200"/>
  </r>
  <r>
    <x v="492"/>
    <x v="0"/>
    <m/>
    <x v="31"/>
    <x v="2"/>
    <x v="187"/>
    <m/>
    <m/>
    <m/>
    <n v="37"/>
    <n v="201208"/>
    <n v="1450400"/>
  </r>
  <r>
    <x v="492"/>
    <x v="0"/>
    <m/>
    <x v="31"/>
    <x v="2"/>
    <x v="255"/>
    <m/>
    <m/>
    <m/>
    <n v="25"/>
    <n v="201208"/>
    <n v="1365000"/>
  </r>
  <r>
    <x v="492"/>
    <x v="0"/>
    <m/>
    <x v="32"/>
    <x v="2"/>
    <x v="188"/>
    <m/>
    <m/>
    <m/>
    <n v="19"/>
    <n v="201208"/>
    <n v="704900"/>
  </r>
  <r>
    <x v="492"/>
    <x v="0"/>
    <m/>
    <x v="22"/>
    <x v="2"/>
    <x v="150"/>
    <m/>
    <m/>
    <m/>
    <n v="6"/>
    <n v="201208"/>
    <n v="228000"/>
  </r>
  <r>
    <x v="492"/>
    <x v="0"/>
    <m/>
    <x v="22"/>
    <x v="2"/>
    <x v="150"/>
    <m/>
    <m/>
    <m/>
    <n v="3"/>
    <n v="201208"/>
    <n v="114000"/>
  </r>
  <r>
    <x v="492"/>
    <x v="0"/>
    <m/>
    <x v="5"/>
    <x v="2"/>
    <x v="151"/>
    <m/>
    <m/>
    <m/>
    <n v="11"/>
    <n v="201208"/>
    <n v="308000"/>
  </r>
  <r>
    <x v="492"/>
    <x v="0"/>
    <m/>
    <x v="5"/>
    <x v="2"/>
    <x v="152"/>
    <m/>
    <m/>
    <m/>
    <n v="8"/>
    <n v="201208"/>
    <n v="384000"/>
  </r>
  <r>
    <x v="492"/>
    <x v="0"/>
    <m/>
    <x v="5"/>
    <x v="2"/>
    <x v="153"/>
    <m/>
    <m/>
    <m/>
    <n v="6"/>
    <n v="201208"/>
    <n v="168000"/>
  </r>
  <r>
    <x v="492"/>
    <x v="0"/>
    <m/>
    <x v="33"/>
    <x v="2"/>
    <x v="155"/>
    <m/>
    <m/>
    <m/>
    <n v="2"/>
    <n v="201208"/>
    <n v="36400"/>
  </r>
  <r>
    <x v="492"/>
    <x v="0"/>
    <m/>
    <x v="33"/>
    <x v="2"/>
    <x v="156"/>
    <m/>
    <m/>
    <m/>
    <n v="1"/>
    <n v="201208"/>
    <n v="33800"/>
  </r>
  <r>
    <x v="492"/>
    <x v="0"/>
    <m/>
    <x v="19"/>
    <x v="2"/>
    <x v="157"/>
    <m/>
    <m/>
    <m/>
    <n v="18"/>
    <n v="201208"/>
    <n v="234000"/>
  </r>
  <r>
    <x v="492"/>
    <x v="0"/>
    <m/>
    <x v="19"/>
    <x v="2"/>
    <x v="158"/>
    <m/>
    <m/>
    <m/>
    <n v="4"/>
    <n v="201208"/>
    <n v="96000"/>
  </r>
  <r>
    <x v="492"/>
    <x v="0"/>
    <m/>
    <x v="19"/>
    <x v="2"/>
    <x v="159"/>
    <m/>
    <m/>
    <m/>
    <n v="5"/>
    <n v="201208"/>
    <n v="165000"/>
  </r>
  <r>
    <x v="492"/>
    <x v="0"/>
    <m/>
    <x v="35"/>
    <x v="2"/>
    <x v="170"/>
    <m/>
    <m/>
    <m/>
    <n v="3"/>
    <n v="201208"/>
    <n v="12000"/>
  </r>
  <r>
    <x v="492"/>
    <x v="0"/>
    <m/>
    <x v="35"/>
    <x v="2"/>
    <x v="160"/>
    <m/>
    <m/>
    <m/>
    <n v="2"/>
    <n v="201208"/>
    <n v="40000"/>
  </r>
  <r>
    <x v="492"/>
    <x v="0"/>
    <m/>
    <x v="4"/>
    <x v="2"/>
    <x v="207"/>
    <m/>
    <m/>
    <m/>
    <n v="2"/>
    <n v="201208"/>
    <n v="8000"/>
  </r>
  <r>
    <x v="492"/>
    <x v="0"/>
    <m/>
    <x v="4"/>
    <x v="2"/>
    <x v="241"/>
    <m/>
    <m/>
    <m/>
    <n v="1"/>
    <n v="201208"/>
    <n v="20000"/>
  </r>
  <r>
    <x v="492"/>
    <x v="0"/>
    <m/>
    <x v="18"/>
    <x v="2"/>
    <x v="161"/>
    <m/>
    <m/>
    <m/>
    <n v="20"/>
    <n v="201208"/>
    <n v="60000"/>
  </r>
  <r>
    <x v="492"/>
    <x v="0"/>
    <m/>
    <x v="18"/>
    <x v="2"/>
    <x v="161"/>
    <m/>
    <m/>
    <m/>
    <n v="2"/>
    <n v="201208"/>
    <n v="6000"/>
  </r>
  <r>
    <x v="492"/>
    <x v="0"/>
    <m/>
    <x v="30"/>
    <x v="9"/>
    <x v="171"/>
    <m/>
    <m/>
    <m/>
    <n v="1"/>
    <n v="201208"/>
    <n v="22400"/>
  </r>
  <r>
    <x v="492"/>
    <x v="0"/>
    <m/>
    <x v="31"/>
    <x v="9"/>
    <x v="167"/>
    <m/>
    <m/>
    <m/>
    <n v="1"/>
    <n v="201208"/>
    <n v="22400"/>
  </r>
  <r>
    <x v="493"/>
    <x v="2"/>
    <m/>
    <x v="0"/>
    <x v="1"/>
    <x v="123"/>
    <m/>
    <m/>
    <m/>
    <n v="7"/>
    <n v="201208"/>
    <n v="245000"/>
  </r>
  <r>
    <x v="493"/>
    <x v="2"/>
    <m/>
    <x v="6"/>
    <x v="2"/>
    <x v="126"/>
    <m/>
    <m/>
    <m/>
    <n v="6"/>
    <n v="201208"/>
    <n v="120000"/>
  </r>
  <r>
    <x v="493"/>
    <x v="2"/>
    <m/>
    <x v="34"/>
    <x v="2"/>
    <x v="128"/>
    <m/>
    <m/>
    <m/>
    <n v="41"/>
    <n v="201208"/>
    <n v="1521100"/>
  </r>
  <r>
    <x v="493"/>
    <x v="2"/>
    <m/>
    <x v="0"/>
    <x v="2"/>
    <x v="224"/>
    <m/>
    <m/>
    <m/>
    <n v="28"/>
    <n v="201208"/>
    <n v="924000"/>
  </r>
  <r>
    <x v="493"/>
    <x v="2"/>
    <m/>
    <x v="0"/>
    <x v="2"/>
    <x v="225"/>
    <m/>
    <m/>
    <m/>
    <n v="6"/>
    <n v="201208"/>
    <n v="228000"/>
  </r>
  <r>
    <x v="493"/>
    <x v="2"/>
    <m/>
    <x v="30"/>
    <x v="2"/>
    <x v="132"/>
    <m/>
    <m/>
    <m/>
    <n v="12"/>
    <n v="201208"/>
    <n v="268800"/>
  </r>
  <r>
    <x v="493"/>
    <x v="2"/>
    <m/>
    <x v="30"/>
    <x v="2"/>
    <x v="133"/>
    <m/>
    <m/>
    <m/>
    <n v="3"/>
    <n v="201208"/>
    <n v="117600"/>
  </r>
  <r>
    <x v="493"/>
    <x v="2"/>
    <m/>
    <x v="1"/>
    <x v="2"/>
    <x v="135"/>
    <m/>
    <m/>
    <m/>
    <n v="12"/>
    <n v="201208"/>
    <n v="240000"/>
  </r>
  <r>
    <x v="493"/>
    <x v="2"/>
    <m/>
    <x v="1"/>
    <x v="2"/>
    <x v="165"/>
    <m/>
    <m/>
    <m/>
    <n v="10"/>
    <n v="201208"/>
    <n v="350000"/>
  </r>
  <r>
    <x v="493"/>
    <x v="2"/>
    <m/>
    <x v="36"/>
    <x v="2"/>
    <x v="136"/>
    <m/>
    <m/>
    <m/>
    <n v="7"/>
    <n v="201208"/>
    <n v="196000"/>
  </r>
  <r>
    <x v="493"/>
    <x v="2"/>
    <m/>
    <x v="0"/>
    <x v="2"/>
    <x v="218"/>
    <m/>
    <m/>
    <m/>
    <n v="1"/>
    <n v="201208"/>
    <n v="20000"/>
  </r>
  <r>
    <x v="493"/>
    <x v="2"/>
    <m/>
    <x v="4"/>
    <x v="2"/>
    <x v="142"/>
    <m/>
    <m/>
    <m/>
    <n v="3"/>
    <n v="201208"/>
    <n v="12000"/>
  </r>
  <r>
    <x v="493"/>
    <x v="2"/>
    <m/>
    <x v="4"/>
    <x v="2"/>
    <x v="143"/>
    <m/>
    <m/>
    <m/>
    <n v="7"/>
    <n v="201208"/>
    <n v="140000"/>
  </r>
  <r>
    <x v="493"/>
    <x v="2"/>
    <m/>
    <x v="4"/>
    <x v="2"/>
    <x v="144"/>
    <m/>
    <m/>
    <m/>
    <n v="4"/>
    <n v="201208"/>
    <n v="16000"/>
  </r>
  <r>
    <x v="493"/>
    <x v="2"/>
    <m/>
    <x v="0"/>
    <x v="2"/>
    <x v="258"/>
    <m/>
    <m/>
    <m/>
    <n v="35"/>
    <n v="201208"/>
    <n v="700000"/>
  </r>
  <r>
    <x v="493"/>
    <x v="2"/>
    <m/>
    <x v="0"/>
    <x v="2"/>
    <x v="259"/>
    <m/>
    <m/>
    <m/>
    <n v="20"/>
    <n v="201208"/>
    <n v="700000"/>
  </r>
  <r>
    <x v="493"/>
    <x v="2"/>
    <m/>
    <x v="32"/>
    <x v="2"/>
    <x v="260"/>
    <m/>
    <m/>
    <m/>
    <n v="20"/>
    <n v="201208"/>
    <n v="742000"/>
  </r>
  <r>
    <x v="493"/>
    <x v="2"/>
    <m/>
    <x v="18"/>
    <x v="2"/>
    <x v="261"/>
    <m/>
    <m/>
    <m/>
    <n v="18"/>
    <n v="201208"/>
    <n v="54000"/>
  </r>
  <r>
    <x v="493"/>
    <x v="2"/>
    <m/>
    <x v="31"/>
    <x v="2"/>
    <x v="145"/>
    <m/>
    <m/>
    <m/>
    <n v="37"/>
    <n v="201208"/>
    <n v="828800"/>
  </r>
  <r>
    <x v="493"/>
    <x v="2"/>
    <m/>
    <x v="31"/>
    <x v="2"/>
    <x v="146"/>
    <m/>
    <m/>
    <m/>
    <n v="28"/>
    <n v="201208"/>
    <n v="1097600"/>
  </r>
  <r>
    <x v="493"/>
    <x v="2"/>
    <m/>
    <x v="31"/>
    <x v="2"/>
    <x v="249"/>
    <m/>
    <m/>
    <m/>
    <n v="28"/>
    <n v="201208"/>
    <n v="1528800"/>
  </r>
  <r>
    <x v="493"/>
    <x v="2"/>
    <m/>
    <x v="32"/>
    <x v="2"/>
    <x v="147"/>
    <m/>
    <m/>
    <m/>
    <n v="12"/>
    <n v="201208"/>
    <n v="445200"/>
  </r>
  <r>
    <x v="493"/>
    <x v="2"/>
    <m/>
    <x v="0"/>
    <x v="2"/>
    <x v="148"/>
    <m/>
    <m/>
    <m/>
    <n v="1"/>
    <n v="201208"/>
    <n v="20000"/>
  </r>
  <r>
    <x v="493"/>
    <x v="2"/>
    <m/>
    <x v="31"/>
    <x v="2"/>
    <x v="189"/>
    <m/>
    <m/>
    <m/>
    <n v="1"/>
    <n v="201208"/>
    <n v="22400"/>
  </r>
  <r>
    <x v="493"/>
    <x v="2"/>
    <m/>
    <x v="31"/>
    <x v="2"/>
    <x v="186"/>
    <m/>
    <m/>
    <m/>
    <n v="23"/>
    <n v="201208"/>
    <n v="515200"/>
  </r>
  <r>
    <x v="493"/>
    <x v="2"/>
    <m/>
    <x v="31"/>
    <x v="2"/>
    <x v="187"/>
    <m/>
    <m/>
    <m/>
    <n v="25"/>
    <n v="201208"/>
    <n v="980000"/>
  </r>
  <r>
    <x v="493"/>
    <x v="2"/>
    <m/>
    <x v="31"/>
    <x v="2"/>
    <x v="255"/>
    <m/>
    <m/>
    <m/>
    <n v="18"/>
    <n v="201208"/>
    <n v="982800"/>
  </r>
  <r>
    <x v="493"/>
    <x v="2"/>
    <m/>
    <x v="32"/>
    <x v="2"/>
    <x v="188"/>
    <m/>
    <m/>
    <m/>
    <n v="15"/>
    <n v="201208"/>
    <n v="556500"/>
  </r>
  <r>
    <x v="493"/>
    <x v="2"/>
    <m/>
    <x v="22"/>
    <x v="2"/>
    <x v="150"/>
    <m/>
    <m/>
    <m/>
    <n v="9"/>
    <n v="201208"/>
    <n v="342000"/>
  </r>
  <r>
    <x v="493"/>
    <x v="2"/>
    <m/>
    <x v="22"/>
    <x v="2"/>
    <x v="150"/>
    <m/>
    <m/>
    <m/>
    <n v="5"/>
    <n v="201208"/>
    <n v="190000"/>
  </r>
  <r>
    <x v="493"/>
    <x v="2"/>
    <m/>
    <x v="5"/>
    <x v="2"/>
    <x v="151"/>
    <m/>
    <m/>
    <m/>
    <n v="22"/>
    <n v="201208"/>
    <n v="616000"/>
  </r>
  <r>
    <x v="493"/>
    <x v="2"/>
    <m/>
    <x v="5"/>
    <x v="2"/>
    <x v="152"/>
    <m/>
    <m/>
    <m/>
    <n v="4"/>
    <n v="201208"/>
    <n v="192000"/>
  </r>
  <r>
    <x v="493"/>
    <x v="2"/>
    <m/>
    <x v="5"/>
    <x v="2"/>
    <x v="153"/>
    <m/>
    <m/>
    <m/>
    <n v="3"/>
    <n v="201208"/>
    <n v="84000"/>
  </r>
  <r>
    <x v="493"/>
    <x v="2"/>
    <m/>
    <x v="33"/>
    <x v="2"/>
    <x v="155"/>
    <m/>
    <m/>
    <m/>
    <n v="3"/>
    <n v="201208"/>
    <n v="54600"/>
  </r>
  <r>
    <x v="493"/>
    <x v="2"/>
    <m/>
    <x v="19"/>
    <x v="2"/>
    <x v="157"/>
    <m/>
    <m/>
    <m/>
    <n v="18"/>
    <n v="201208"/>
    <n v="234000"/>
  </r>
  <r>
    <x v="493"/>
    <x v="2"/>
    <m/>
    <x v="19"/>
    <x v="2"/>
    <x v="158"/>
    <m/>
    <m/>
    <m/>
    <n v="4"/>
    <n v="201208"/>
    <n v="96000"/>
  </r>
  <r>
    <x v="493"/>
    <x v="2"/>
    <m/>
    <x v="19"/>
    <x v="2"/>
    <x v="159"/>
    <m/>
    <m/>
    <m/>
    <n v="1"/>
    <n v="201208"/>
    <n v="33000"/>
  </r>
  <r>
    <x v="493"/>
    <x v="2"/>
    <m/>
    <x v="19"/>
    <x v="2"/>
    <x v="181"/>
    <m/>
    <m/>
    <m/>
    <n v="2"/>
    <n v="201208"/>
    <n v="26000"/>
  </r>
  <r>
    <x v="493"/>
    <x v="2"/>
    <m/>
    <x v="35"/>
    <x v="2"/>
    <x v="170"/>
    <m/>
    <m/>
    <m/>
    <n v="4"/>
    <n v="201208"/>
    <n v="16000"/>
  </r>
  <r>
    <x v="493"/>
    <x v="2"/>
    <m/>
    <x v="35"/>
    <x v="2"/>
    <x v="160"/>
    <m/>
    <m/>
    <m/>
    <n v="4"/>
    <n v="201208"/>
    <n v="80000"/>
  </r>
  <r>
    <x v="493"/>
    <x v="2"/>
    <m/>
    <x v="4"/>
    <x v="2"/>
    <x v="243"/>
    <m/>
    <m/>
    <m/>
    <n v="4"/>
    <n v="201208"/>
    <n v="16000"/>
  </r>
  <r>
    <x v="493"/>
    <x v="2"/>
    <m/>
    <x v="4"/>
    <x v="2"/>
    <x v="207"/>
    <m/>
    <m/>
    <m/>
    <n v="2"/>
    <n v="201208"/>
    <n v="8000"/>
  </r>
  <r>
    <x v="493"/>
    <x v="2"/>
    <m/>
    <x v="4"/>
    <x v="2"/>
    <x v="241"/>
    <m/>
    <m/>
    <m/>
    <n v="2"/>
    <n v="201208"/>
    <n v="40000"/>
  </r>
  <r>
    <x v="493"/>
    <x v="2"/>
    <m/>
    <x v="18"/>
    <x v="2"/>
    <x v="161"/>
    <m/>
    <m/>
    <m/>
    <n v="12"/>
    <n v="201208"/>
    <n v="36000"/>
  </r>
  <r>
    <x v="494"/>
    <x v="5"/>
    <m/>
    <x v="0"/>
    <x v="7"/>
    <x v="163"/>
    <m/>
    <m/>
    <m/>
    <n v="4"/>
    <n v="201208"/>
    <n v="80000"/>
  </r>
  <r>
    <x v="494"/>
    <x v="5"/>
    <m/>
    <x v="6"/>
    <x v="2"/>
    <x v="126"/>
    <m/>
    <m/>
    <m/>
    <n v="1"/>
    <n v="201208"/>
    <n v="20000"/>
  </r>
  <r>
    <x v="494"/>
    <x v="5"/>
    <m/>
    <x v="6"/>
    <x v="2"/>
    <x v="127"/>
    <m/>
    <m/>
    <m/>
    <n v="1"/>
    <n v="201208"/>
    <n v="35000"/>
  </r>
  <r>
    <x v="494"/>
    <x v="5"/>
    <m/>
    <x v="34"/>
    <x v="2"/>
    <x v="128"/>
    <m/>
    <m/>
    <m/>
    <n v="33"/>
    <n v="201208"/>
    <n v="1224300"/>
  </r>
  <r>
    <x v="494"/>
    <x v="5"/>
    <m/>
    <x v="0"/>
    <x v="2"/>
    <x v="224"/>
    <m/>
    <m/>
    <m/>
    <n v="21"/>
    <n v="201208"/>
    <n v="693000"/>
  </r>
  <r>
    <x v="494"/>
    <x v="5"/>
    <m/>
    <x v="0"/>
    <x v="2"/>
    <x v="225"/>
    <m/>
    <m/>
    <m/>
    <n v="8"/>
    <n v="201208"/>
    <n v="304000"/>
  </r>
  <r>
    <x v="494"/>
    <x v="5"/>
    <m/>
    <x v="30"/>
    <x v="2"/>
    <x v="132"/>
    <m/>
    <m/>
    <m/>
    <n v="7"/>
    <n v="201208"/>
    <n v="156800"/>
  </r>
  <r>
    <x v="494"/>
    <x v="5"/>
    <m/>
    <x v="30"/>
    <x v="2"/>
    <x v="133"/>
    <m/>
    <m/>
    <m/>
    <n v="1"/>
    <n v="201208"/>
    <n v="39200"/>
  </r>
  <r>
    <x v="494"/>
    <x v="5"/>
    <m/>
    <x v="34"/>
    <x v="2"/>
    <x v="134"/>
    <m/>
    <m/>
    <m/>
    <n v="1"/>
    <n v="201208"/>
    <n v="37100"/>
  </r>
  <r>
    <x v="494"/>
    <x v="5"/>
    <m/>
    <x v="1"/>
    <x v="2"/>
    <x v="135"/>
    <m/>
    <m/>
    <m/>
    <n v="8"/>
    <n v="201208"/>
    <n v="160000"/>
  </r>
  <r>
    <x v="494"/>
    <x v="5"/>
    <m/>
    <x v="1"/>
    <x v="2"/>
    <x v="165"/>
    <m/>
    <m/>
    <m/>
    <n v="5"/>
    <n v="201208"/>
    <n v="175000"/>
  </r>
  <r>
    <x v="494"/>
    <x v="5"/>
    <m/>
    <x v="36"/>
    <x v="2"/>
    <x v="136"/>
    <m/>
    <m/>
    <m/>
    <n v="3"/>
    <n v="201208"/>
    <n v="84000"/>
  </r>
  <r>
    <x v="494"/>
    <x v="5"/>
    <m/>
    <x v="0"/>
    <x v="2"/>
    <x v="139"/>
    <m/>
    <m/>
    <m/>
    <n v="1"/>
    <n v="201208"/>
    <n v="35000"/>
  </r>
  <r>
    <x v="494"/>
    <x v="5"/>
    <m/>
    <x v="4"/>
    <x v="2"/>
    <x v="143"/>
    <m/>
    <m/>
    <m/>
    <n v="4"/>
    <n v="201208"/>
    <n v="80000"/>
  </r>
  <r>
    <x v="494"/>
    <x v="5"/>
    <m/>
    <x v="0"/>
    <x v="2"/>
    <x v="258"/>
    <m/>
    <m/>
    <m/>
    <n v="23"/>
    <n v="201208"/>
    <n v="460000"/>
  </r>
  <r>
    <x v="494"/>
    <x v="5"/>
    <m/>
    <x v="0"/>
    <x v="2"/>
    <x v="259"/>
    <m/>
    <m/>
    <m/>
    <n v="14"/>
    <n v="201208"/>
    <n v="490000"/>
  </r>
  <r>
    <x v="494"/>
    <x v="5"/>
    <m/>
    <x v="32"/>
    <x v="2"/>
    <x v="260"/>
    <m/>
    <m/>
    <m/>
    <n v="11"/>
    <n v="201208"/>
    <n v="408100"/>
  </r>
  <r>
    <x v="494"/>
    <x v="5"/>
    <m/>
    <x v="18"/>
    <x v="2"/>
    <x v="261"/>
    <m/>
    <m/>
    <m/>
    <n v="10"/>
    <n v="201208"/>
    <n v="30000"/>
  </r>
  <r>
    <x v="494"/>
    <x v="5"/>
    <m/>
    <x v="31"/>
    <x v="2"/>
    <x v="145"/>
    <m/>
    <m/>
    <m/>
    <n v="24"/>
    <n v="201208"/>
    <n v="537600"/>
  </r>
  <r>
    <x v="494"/>
    <x v="5"/>
    <m/>
    <x v="31"/>
    <x v="2"/>
    <x v="146"/>
    <m/>
    <m/>
    <m/>
    <n v="25"/>
    <n v="201208"/>
    <n v="980000"/>
  </r>
  <r>
    <x v="494"/>
    <x v="5"/>
    <m/>
    <x v="31"/>
    <x v="2"/>
    <x v="249"/>
    <m/>
    <m/>
    <m/>
    <n v="27"/>
    <n v="201208"/>
    <n v="1474200"/>
  </r>
  <r>
    <x v="494"/>
    <x v="5"/>
    <m/>
    <x v="32"/>
    <x v="2"/>
    <x v="147"/>
    <m/>
    <m/>
    <m/>
    <n v="15"/>
    <n v="201208"/>
    <n v="556500"/>
  </r>
  <r>
    <x v="494"/>
    <x v="5"/>
    <m/>
    <x v="0"/>
    <x v="2"/>
    <x v="148"/>
    <m/>
    <m/>
    <m/>
    <n v="2"/>
    <n v="201208"/>
    <n v="40000"/>
  </r>
  <r>
    <x v="494"/>
    <x v="5"/>
    <m/>
    <x v="31"/>
    <x v="2"/>
    <x v="186"/>
    <m/>
    <m/>
    <m/>
    <n v="17"/>
    <n v="201208"/>
    <n v="380800"/>
  </r>
  <r>
    <x v="494"/>
    <x v="5"/>
    <m/>
    <x v="31"/>
    <x v="2"/>
    <x v="187"/>
    <m/>
    <m/>
    <m/>
    <n v="23"/>
    <n v="201208"/>
    <n v="901600"/>
  </r>
  <r>
    <x v="494"/>
    <x v="5"/>
    <m/>
    <x v="31"/>
    <x v="2"/>
    <x v="255"/>
    <m/>
    <m/>
    <m/>
    <n v="15"/>
    <n v="201208"/>
    <n v="819000"/>
  </r>
  <r>
    <x v="494"/>
    <x v="5"/>
    <m/>
    <x v="32"/>
    <x v="2"/>
    <x v="188"/>
    <m/>
    <m/>
    <m/>
    <n v="8"/>
    <n v="201208"/>
    <n v="296800"/>
  </r>
  <r>
    <x v="494"/>
    <x v="5"/>
    <m/>
    <x v="22"/>
    <x v="2"/>
    <x v="150"/>
    <m/>
    <m/>
    <m/>
    <n v="2"/>
    <n v="201208"/>
    <n v="76000"/>
  </r>
  <r>
    <x v="494"/>
    <x v="5"/>
    <m/>
    <x v="22"/>
    <x v="2"/>
    <x v="150"/>
    <m/>
    <m/>
    <m/>
    <n v="1"/>
    <n v="201208"/>
    <n v="38000"/>
  </r>
  <r>
    <x v="494"/>
    <x v="5"/>
    <m/>
    <x v="5"/>
    <x v="2"/>
    <x v="151"/>
    <m/>
    <m/>
    <m/>
    <n v="16"/>
    <n v="201208"/>
    <n v="448000"/>
  </r>
  <r>
    <x v="494"/>
    <x v="5"/>
    <m/>
    <x v="5"/>
    <x v="2"/>
    <x v="152"/>
    <m/>
    <m/>
    <m/>
    <n v="6"/>
    <n v="201208"/>
    <n v="288000"/>
  </r>
  <r>
    <x v="494"/>
    <x v="5"/>
    <m/>
    <x v="5"/>
    <x v="2"/>
    <x v="153"/>
    <m/>
    <m/>
    <m/>
    <n v="1"/>
    <n v="201208"/>
    <n v="28000"/>
  </r>
  <r>
    <x v="494"/>
    <x v="5"/>
    <m/>
    <x v="33"/>
    <x v="2"/>
    <x v="155"/>
    <m/>
    <m/>
    <m/>
    <n v="5"/>
    <n v="201208"/>
    <n v="91000"/>
  </r>
  <r>
    <x v="494"/>
    <x v="5"/>
    <m/>
    <x v="19"/>
    <x v="2"/>
    <x v="157"/>
    <m/>
    <m/>
    <m/>
    <n v="14"/>
    <n v="201208"/>
    <n v="182000"/>
  </r>
  <r>
    <x v="494"/>
    <x v="5"/>
    <m/>
    <x v="19"/>
    <x v="2"/>
    <x v="158"/>
    <m/>
    <m/>
    <m/>
    <n v="2"/>
    <n v="201208"/>
    <n v="48000"/>
  </r>
  <r>
    <x v="494"/>
    <x v="5"/>
    <m/>
    <x v="19"/>
    <x v="2"/>
    <x v="159"/>
    <m/>
    <m/>
    <m/>
    <n v="2"/>
    <n v="201208"/>
    <n v="66000"/>
  </r>
  <r>
    <x v="494"/>
    <x v="5"/>
    <m/>
    <x v="35"/>
    <x v="2"/>
    <x v="160"/>
    <m/>
    <m/>
    <m/>
    <n v="1"/>
    <n v="201208"/>
    <n v="20000"/>
  </r>
  <r>
    <x v="494"/>
    <x v="5"/>
    <m/>
    <x v="4"/>
    <x v="2"/>
    <x v="242"/>
    <m/>
    <m/>
    <m/>
    <n v="1"/>
    <n v="201208"/>
    <n v="20000"/>
  </r>
  <r>
    <x v="494"/>
    <x v="5"/>
    <m/>
    <x v="4"/>
    <x v="2"/>
    <x v="241"/>
    <m/>
    <m/>
    <m/>
    <n v="2"/>
    <n v="201208"/>
    <n v="40000"/>
  </r>
  <r>
    <x v="494"/>
    <x v="5"/>
    <m/>
    <x v="18"/>
    <x v="2"/>
    <x v="161"/>
    <m/>
    <m/>
    <m/>
    <n v="16"/>
    <n v="201208"/>
    <n v="48000"/>
  </r>
  <r>
    <x v="494"/>
    <x v="5"/>
    <m/>
    <x v="18"/>
    <x v="2"/>
    <x v="161"/>
    <m/>
    <m/>
    <m/>
    <n v="1"/>
    <n v="201208"/>
    <n v="3000"/>
  </r>
  <r>
    <x v="495"/>
    <x v="6"/>
    <m/>
    <x v="0"/>
    <x v="7"/>
    <x v="163"/>
    <m/>
    <m/>
    <m/>
    <n v="1"/>
    <n v="201208"/>
    <n v="20000"/>
  </r>
  <r>
    <x v="495"/>
    <x v="6"/>
    <m/>
    <x v="6"/>
    <x v="2"/>
    <x v="126"/>
    <m/>
    <m/>
    <m/>
    <n v="1"/>
    <n v="201208"/>
    <n v="20000"/>
  </r>
  <r>
    <x v="495"/>
    <x v="6"/>
    <m/>
    <x v="6"/>
    <x v="2"/>
    <x v="127"/>
    <m/>
    <m/>
    <m/>
    <n v="2"/>
    <n v="201208"/>
    <n v="70000"/>
  </r>
  <r>
    <x v="495"/>
    <x v="6"/>
    <m/>
    <x v="34"/>
    <x v="2"/>
    <x v="128"/>
    <m/>
    <m/>
    <m/>
    <n v="40"/>
    <n v="201208"/>
    <n v="1484000"/>
  </r>
  <r>
    <x v="495"/>
    <x v="6"/>
    <m/>
    <x v="25"/>
    <x v="2"/>
    <x v="129"/>
    <m/>
    <m/>
    <m/>
    <n v="2"/>
    <n v="201208"/>
    <n v="198000"/>
  </r>
  <r>
    <x v="495"/>
    <x v="6"/>
    <m/>
    <x v="0"/>
    <x v="2"/>
    <x v="224"/>
    <m/>
    <m/>
    <m/>
    <n v="21"/>
    <n v="201208"/>
    <n v="693000"/>
  </r>
  <r>
    <x v="495"/>
    <x v="6"/>
    <m/>
    <x v="0"/>
    <x v="2"/>
    <x v="225"/>
    <m/>
    <m/>
    <m/>
    <n v="8"/>
    <n v="201208"/>
    <n v="304000"/>
  </r>
  <r>
    <x v="495"/>
    <x v="6"/>
    <m/>
    <x v="30"/>
    <x v="2"/>
    <x v="132"/>
    <m/>
    <m/>
    <m/>
    <n v="6"/>
    <n v="201208"/>
    <n v="134400"/>
  </r>
  <r>
    <x v="495"/>
    <x v="6"/>
    <m/>
    <x v="30"/>
    <x v="2"/>
    <x v="133"/>
    <m/>
    <m/>
    <m/>
    <n v="3"/>
    <n v="201208"/>
    <n v="117600"/>
  </r>
  <r>
    <x v="495"/>
    <x v="6"/>
    <m/>
    <x v="34"/>
    <x v="2"/>
    <x v="134"/>
    <m/>
    <m/>
    <m/>
    <n v="1"/>
    <n v="201208"/>
    <n v="37100"/>
  </r>
  <r>
    <x v="495"/>
    <x v="6"/>
    <m/>
    <x v="1"/>
    <x v="2"/>
    <x v="135"/>
    <m/>
    <m/>
    <m/>
    <n v="5"/>
    <n v="201208"/>
    <n v="100000"/>
  </r>
  <r>
    <x v="495"/>
    <x v="6"/>
    <m/>
    <x v="1"/>
    <x v="2"/>
    <x v="165"/>
    <m/>
    <m/>
    <m/>
    <n v="7"/>
    <n v="201208"/>
    <n v="245000"/>
  </r>
  <r>
    <x v="495"/>
    <x v="6"/>
    <m/>
    <x v="36"/>
    <x v="2"/>
    <x v="136"/>
    <m/>
    <m/>
    <m/>
    <n v="1"/>
    <n v="201208"/>
    <n v="28000"/>
  </r>
  <r>
    <x v="495"/>
    <x v="6"/>
    <m/>
    <x v="36"/>
    <x v="2"/>
    <x v="176"/>
    <m/>
    <m/>
    <m/>
    <n v="1"/>
    <n v="201208"/>
    <n v="49000"/>
  </r>
  <r>
    <x v="495"/>
    <x v="6"/>
    <m/>
    <x v="4"/>
    <x v="2"/>
    <x v="142"/>
    <m/>
    <m/>
    <m/>
    <n v="2"/>
    <n v="201208"/>
    <n v="8000"/>
  </r>
  <r>
    <x v="495"/>
    <x v="6"/>
    <m/>
    <x v="4"/>
    <x v="2"/>
    <x v="143"/>
    <m/>
    <m/>
    <m/>
    <n v="4"/>
    <n v="201208"/>
    <n v="80000"/>
  </r>
  <r>
    <x v="495"/>
    <x v="6"/>
    <m/>
    <x v="0"/>
    <x v="2"/>
    <x v="258"/>
    <m/>
    <m/>
    <m/>
    <n v="23"/>
    <n v="201208"/>
    <n v="460000"/>
  </r>
  <r>
    <x v="495"/>
    <x v="6"/>
    <m/>
    <x v="0"/>
    <x v="2"/>
    <x v="259"/>
    <m/>
    <m/>
    <m/>
    <n v="45"/>
    <n v="201208"/>
    <n v="1575000"/>
  </r>
  <r>
    <x v="495"/>
    <x v="6"/>
    <m/>
    <x v="32"/>
    <x v="2"/>
    <x v="260"/>
    <m/>
    <m/>
    <m/>
    <n v="24"/>
    <n v="201208"/>
    <n v="890400"/>
  </r>
  <r>
    <x v="495"/>
    <x v="6"/>
    <m/>
    <x v="18"/>
    <x v="2"/>
    <x v="261"/>
    <m/>
    <m/>
    <m/>
    <n v="26"/>
    <n v="201208"/>
    <n v="78000"/>
  </r>
  <r>
    <x v="495"/>
    <x v="6"/>
    <m/>
    <x v="31"/>
    <x v="2"/>
    <x v="145"/>
    <m/>
    <m/>
    <m/>
    <n v="25"/>
    <n v="201208"/>
    <n v="560000"/>
  </r>
  <r>
    <x v="495"/>
    <x v="6"/>
    <m/>
    <x v="31"/>
    <x v="2"/>
    <x v="146"/>
    <m/>
    <m/>
    <m/>
    <n v="23"/>
    <n v="201208"/>
    <n v="901600"/>
  </r>
  <r>
    <x v="495"/>
    <x v="6"/>
    <m/>
    <x v="31"/>
    <x v="2"/>
    <x v="249"/>
    <m/>
    <m/>
    <m/>
    <n v="25"/>
    <n v="201208"/>
    <n v="1365000"/>
  </r>
  <r>
    <x v="495"/>
    <x v="6"/>
    <m/>
    <x v="32"/>
    <x v="2"/>
    <x v="147"/>
    <m/>
    <m/>
    <m/>
    <n v="11"/>
    <n v="201208"/>
    <n v="408100"/>
  </r>
  <r>
    <x v="495"/>
    <x v="6"/>
    <m/>
    <x v="0"/>
    <x v="2"/>
    <x v="148"/>
    <m/>
    <m/>
    <m/>
    <n v="2"/>
    <n v="201208"/>
    <n v="40000"/>
  </r>
  <r>
    <x v="495"/>
    <x v="6"/>
    <m/>
    <x v="31"/>
    <x v="2"/>
    <x v="186"/>
    <m/>
    <m/>
    <m/>
    <n v="16"/>
    <n v="201208"/>
    <n v="358400"/>
  </r>
  <r>
    <x v="495"/>
    <x v="6"/>
    <m/>
    <x v="31"/>
    <x v="2"/>
    <x v="187"/>
    <m/>
    <m/>
    <m/>
    <n v="25"/>
    <n v="201208"/>
    <n v="980000"/>
  </r>
  <r>
    <x v="495"/>
    <x v="6"/>
    <m/>
    <x v="31"/>
    <x v="2"/>
    <x v="255"/>
    <m/>
    <m/>
    <m/>
    <n v="18"/>
    <n v="201208"/>
    <n v="982800"/>
  </r>
  <r>
    <x v="495"/>
    <x v="6"/>
    <m/>
    <x v="32"/>
    <x v="2"/>
    <x v="188"/>
    <m/>
    <m/>
    <m/>
    <n v="9"/>
    <n v="201208"/>
    <n v="333900"/>
  </r>
  <r>
    <x v="495"/>
    <x v="6"/>
    <m/>
    <x v="22"/>
    <x v="2"/>
    <x v="150"/>
    <m/>
    <m/>
    <m/>
    <n v="6"/>
    <n v="201208"/>
    <n v="228000"/>
  </r>
  <r>
    <x v="495"/>
    <x v="6"/>
    <m/>
    <x v="22"/>
    <x v="2"/>
    <x v="150"/>
    <m/>
    <m/>
    <m/>
    <n v="4"/>
    <n v="201208"/>
    <n v="152000"/>
  </r>
  <r>
    <x v="495"/>
    <x v="6"/>
    <m/>
    <x v="5"/>
    <x v="2"/>
    <x v="151"/>
    <m/>
    <m/>
    <m/>
    <n v="16"/>
    <n v="201208"/>
    <n v="448000"/>
  </r>
  <r>
    <x v="495"/>
    <x v="6"/>
    <m/>
    <x v="5"/>
    <x v="2"/>
    <x v="152"/>
    <m/>
    <m/>
    <m/>
    <n v="8"/>
    <n v="201208"/>
    <n v="384000"/>
  </r>
  <r>
    <x v="495"/>
    <x v="6"/>
    <m/>
    <x v="5"/>
    <x v="2"/>
    <x v="153"/>
    <m/>
    <m/>
    <m/>
    <n v="6"/>
    <n v="201208"/>
    <n v="168000"/>
  </r>
  <r>
    <x v="495"/>
    <x v="6"/>
    <m/>
    <x v="33"/>
    <x v="2"/>
    <x v="155"/>
    <m/>
    <m/>
    <m/>
    <n v="1"/>
    <n v="201208"/>
    <n v="18200"/>
  </r>
  <r>
    <x v="495"/>
    <x v="6"/>
    <m/>
    <x v="33"/>
    <x v="2"/>
    <x v="156"/>
    <m/>
    <m/>
    <m/>
    <n v="1"/>
    <n v="201208"/>
    <n v="33800"/>
  </r>
  <r>
    <x v="495"/>
    <x v="6"/>
    <m/>
    <x v="19"/>
    <x v="2"/>
    <x v="157"/>
    <m/>
    <m/>
    <m/>
    <n v="10"/>
    <n v="201208"/>
    <n v="130000"/>
  </r>
  <r>
    <x v="495"/>
    <x v="6"/>
    <m/>
    <x v="19"/>
    <x v="2"/>
    <x v="158"/>
    <m/>
    <m/>
    <m/>
    <n v="2"/>
    <n v="201208"/>
    <n v="48000"/>
  </r>
  <r>
    <x v="495"/>
    <x v="6"/>
    <m/>
    <x v="19"/>
    <x v="2"/>
    <x v="159"/>
    <m/>
    <m/>
    <m/>
    <n v="3"/>
    <n v="201208"/>
    <n v="99000"/>
  </r>
  <r>
    <x v="495"/>
    <x v="6"/>
    <m/>
    <x v="35"/>
    <x v="2"/>
    <x v="170"/>
    <m/>
    <m/>
    <m/>
    <n v="1"/>
    <n v="201208"/>
    <n v="4000"/>
  </r>
  <r>
    <x v="495"/>
    <x v="6"/>
    <m/>
    <x v="35"/>
    <x v="2"/>
    <x v="160"/>
    <m/>
    <m/>
    <m/>
    <n v="4"/>
    <n v="201208"/>
    <n v="80000"/>
  </r>
  <r>
    <x v="495"/>
    <x v="6"/>
    <m/>
    <x v="4"/>
    <x v="2"/>
    <x v="241"/>
    <m/>
    <m/>
    <m/>
    <n v="1"/>
    <n v="201208"/>
    <n v="20000"/>
  </r>
  <r>
    <x v="495"/>
    <x v="6"/>
    <m/>
    <x v="18"/>
    <x v="2"/>
    <x v="161"/>
    <m/>
    <m/>
    <m/>
    <n v="19"/>
    <n v="201208"/>
    <n v="57000"/>
  </r>
  <r>
    <x v="497"/>
    <x v="7"/>
    <m/>
    <x v="10"/>
    <x v="0"/>
    <x v="0"/>
    <m/>
    <m/>
    <m/>
    <m/>
    <m/>
    <m/>
  </r>
  <r>
    <x v="496"/>
    <x v="3"/>
    <m/>
    <x v="0"/>
    <x v="1"/>
    <x v="123"/>
    <m/>
    <m/>
    <m/>
    <n v="27"/>
    <n v="201208"/>
    <n v="945000"/>
  </r>
  <r>
    <x v="496"/>
    <x v="3"/>
    <m/>
    <x v="0"/>
    <x v="1"/>
    <x v="124"/>
    <m/>
    <m/>
    <m/>
    <n v="1"/>
    <n v="201208"/>
    <n v="20000"/>
  </r>
  <r>
    <x v="496"/>
    <x v="3"/>
    <m/>
    <x v="0"/>
    <x v="7"/>
    <x v="163"/>
    <m/>
    <m/>
    <m/>
    <n v="6"/>
    <n v="201208"/>
    <n v="120000"/>
  </r>
  <r>
    <x v="496"/>
    <x v="3"/>
    <m/>
    <x v="6"/>
    <x v="2"/>
    <x v="126"/>
    <m/>
    <m/>
    <m/>
    <n v="4"/>
    <n v="201208"/>
    <n v="80000"/>
  </r>
  <r>
    <x v="496"/>
    <x v="3"/>
    <m/>
    <x v="6"/>
    <x v="2"/>
    <x v="127"/>
    <m/>
    <m/>
    <m/>
    <n v="2"/>
    <n v="201208"/>
    <n v="70000"/>
  </r>
  <r>
    <x v="496"/>
    <x v="3"/>
    <m/>
    <x v="34"/>
    <x v="2"/>
    <x v="128"/>
    <m/>
    <m/>
    <m/>
    <n v="37"/>
    <n v="201208"/>
    <n v="1372700"/>
  </r>
  <r>
    <x v="496"/>
    <x v="3"/>
    <m/>
    <x v="25"/>
    <x v="2"/>
    <x v="129"/>
    <m/>
    <m/>
    <m/>
    <n v="1"/>
    <n v="201208"/>
    <n v="99000"/>
  </r>
  <r>
    <x v="496"/>
    <x v="3"/>
    <m/>
    <x v="0"/>
    <x v="2"/>
    <x v="224"/>
    <m/>
    <m/>
    <m/>
    <n v="6"/>
    <n v="201208"/>
    <n v="198000"/>
  </r>
  <r>
    <x v="496"/>
    <x v="3"/>
    <m/>
    <x v="0"/>
    <x v="2"/>
    <x v="225"/>
    <m/>
    <m/>
    <m/>
    <n v="6"/>
    <n v="201208"/>
    <n v="228000"/>
  </r>
  <r>
    <x v="496"/>
    <x v="3"/>
    <m/>
    <x v="0"/>
    <x v="2"/>
    <x v="265"/>
    <m/>
    <m/>
    <m/>
    <n v="12"/>
    <n v="201208"/>
    <n v="396000"/>
  </r>
  <r>
    <x v="496"/>
    <x v="3"/>
    <m/>
    <x v="0"/>
    <x v="2"/>
    <x v="266"/>
    <m/>
    <m/>
    <m/>
    <n v="6"/>
    <n v="201208"/>
    <n v="198000"/>
  </r>
  <r>
    <x v="496"/>
    <x v="3"/>
    <m/>
    <x v="30"/>
    <x v="2"/>
    <x v="132"/>
    <m/>
    <m/>
    <m/>
    <n v="7"/>
    <n v="201208"/>
    <n v="156800"/>
  </r>
  <r>
    <x v="496"/>
    <x v="3"/>
    <m/>
    <x v="30"/>
    <x v="2"/>
    <x v="133"/>
    <m/>
    <m/>
    <m/>
    <n v="5"/>
    <n v="201208"/>
    <n v="196000"/>
  </r>
  <r>
    <x v="496"/>
    <x v="3"/>
    <m/>
    <x v="1"/>
    <x v="2"/>
    <x v="135"/>
    <m/>
    <m/>
    <m/>
    <n v="13"/>
    <n v="201208"/>
    <n v="260000"/>
  </r>
  <r>
    <x v="496"/>
    <x v="3"/>
    <m/>
    <x v="1"/>
    <x v="2"/>
    <x v="165"/>
    <m/>
    <m/>
    <m/>
    <n v="8"/>
    <n v="201208"/>
    <n v="280000"/>
  </r>
  <r>
    <x v="496"/>
    <x v="3"/>
    <m/>
    <x v="36"/>
    <x v="2"/>
    <x v="136"/>
    <m/>
    <m/>
    <m/>
    <n v="7"/>
    <n v="201208"/>
    <n v="196000"/>
  </r>
  <r>
    <x v="496"/>
    <x v="3"/>
    <m/>
    <x v="36"/>
    <x v="2"/>
    <x v="137"/>
    <m/>
    <m/>
    <m/>
    <n v="2"/>
    <n v="201208"/>
    <n v="84000"/>
  </r>
  <r>
    <x v="496"/>
    <x v="3"/>
    <m/>
    <x v="4"/>
    <x v="2"/>
    <x v="142"/>
    <m/>
    <m/>
    <m/>
    <n v="2"/>
    <n v="201208"/>
    <n v="8000"/>
  </r>
  <r>
    <x v="496"/>
    <x v="3"/>
    <m/>
    <x v="4"/>
    <x v="2"/>
    <x v="143"/>
    <m/>
    <m/>
    <m/>
    <n v="1"/>
    <n v="201208"/>
    <n v="20000"/>
  </r>
  <r>
    <x v="496"/>
    <x v="3"/>
    <m/>
    <x v="4"/>
    <x v="2"/>
    <x v="144"/>
    <m/>
    <m/>
    <m/>
    <n v="10"/>
    <n v="201208"/>
    <n v="40000"/>
  </r>
  <r>
    <x v="496"/>
    <x v="3"/>
    <m/>
    <x v="0"/>
    <x v="2"/>
    <x v="258"/>
    <m/>
    <m/>
    <m/>
    <n v="34"/>
    <n v="201208"/>
    <n v="680000"/>
  </r>
  <r>
    <x v="496"/>
    <x v="3"/>
    <m/>
    <x v="0"/>
    <x v="2"/>
    <x v="259"/>
    <m/>
    <m/>
    <m/>
    <n v="19"/>
    <n v="201208"/>
    <n v="665000"/>
  </r>
  <r>
    <x v="496"/>
    <x v="3"/>
    <m/>
    <x v="32"/>
    <x v="2"/>
    <x v="260"/>
    <m/>
    <m/>
    <m/>
    <n v="18"/>
    <n v="201208"/>
    <n v="667800"/>
  </r>
  <r>
    <x v="496"/>
    <x v="3"/>
    <m/>
    <x v="18"/>
    <x v="2"/>
    <x v="261"/>
    <m/>
    <m/>
    <m/>
    <n v="19"/>
    <n v="201208"/>
    <n v="57000"/>
  </r>
  <r>
    <x v="496"/>
    <x v="3"/>
    <m/>
    <x v="31"/>
    <x v="2"/>
    <x v="145"/>
    <m/>
    <m/>
    <m/>
    <n v="30"/>
    <n v="201208"/>
    <n v="672000"/>
  </r>
  <r>
    <x v="496"/>
    <x v="3"/>
    <m/>
    <x v="31"/>
    <x v="2"/>
    <x v="146"/>
    <m/>
    <m/>
    <m/>
    <n v="41"/>
    <n v="201208"/>
    <n v="1607200"/>
  </r>
  <r>
    <x v="496"/>
    <x v="3"/>
    <m/>
    <x v="31"/>
    <x v="2"/>
    <x v="249"/>
    <m/>
    <m/>
    <m/>
    <n v="21"/>
    <n v="201208"/>
    <n v="1146600"/>
  </r>
  <r>
    <x v="496"/>
    <x v="3"/>
    <m/>
    <x v="32"/>
    <x v="2"/>
    <x v="147"/>
    <m/>
    <m/>
    <m/>
    <n v="4"/>
    <n v="201208"/>
    <n v="148400"/>
  </r>
  <r>
    <x v="496"/>
    <x v="3"/>
    <m/>
    <x v="0"/>
    <x v="2"/>
    <x v="148"/>
    <m/>
    <m/>
    <m/>
    <n v="1"/>
    <n v="201208"/>
    <n v="20000"/>
  </r>
  <r>
    <x v="496"/>
    <x v="3"/>
    <m/>
    <x v="31"/>
    <x v="2"/>
    <x v="184"/>
    <m/>
    <m/>
    <m/>
    <n v="1"/>
    <n v="201208"/>
    <n v="39200"/>
  </r>
  <r>
    <x v="496"/>
    <x v="3"/>
    <m/>
    <x v="31"/>
    <x v="2"/>
    <x v="186"/>
    <m/>
    <m/>
    <m/>
    <n v="26"/>
    <n v="201208"/>
    <n v="582400"/>
  </r>
  <r>
    <x v="496"/>
    <x v="3"/>
    <m/>
    <x v="31"/>
    <x v="2"/>
    <x v="187"/>
    <m/>
    <m/>
    <m/>
    <n v="24"/>
    <n v="201208"/>
    <n v="940800"/>
  </r>
  <r>
    <x v="496"/>
    <x v="3"/>
    <m/>
    <x v="31"/>
    <x v="2"/>
    <x v="255"/>
    <m/>
    <m/>
    <m/>
    <n v="16"/>
    <n v="201208"/>
    <n v="873600"/>
  </r>
  <r>
    <x v="496"/>
    <x v="3"/>
    <m/>
    <x v="32"/>
    <x v="2"/>
    <x v="188"/>
    <m/>
    <m/>
    <m/>
    <n v="7"/>
    <n v="201208"/>
    <n v="259700"/>
  </r>
  <r>
    <x v="496"/>
    <x v="3"/>
    <m/>
    <x v="22"/>
    <x v="2"/>
    <x v="150"/>
    <m/>
    <m/>
    <m/>
    <n v="10"/>
    <n v="201208"/>
    <n v="380000"/>
  </r>
  <r>
    <x v="496"/>
    <x v="3"/>
    <m/>
    <x v="22"/>
    <x v="2"/>
    <x v="150"/>
    <m/>
    <m/>
    <m/>
    <n v="7"/>
    <n v="201208"/>
    <n v="266000"/>
  </r>
  <r>
    <x v="496"/>
    <x v="3"/>
    <m/>
    <x v="5"/>
    <x v="2"/>
    <x v="151"/>
    <m/>
    <m/>
    <m/>
    <n v="13"/>
    <n v="201208"/>
    <n v="364000"/>
  </r>
  <r>
    <x v="496"/>
    <x v="3"/>
    <m/>
    <x v="5"/>
    <x v="2"/>
    <x v="152"/>
    <m/>
    <m/>
    <m/>
    <n v="15"/>
    <n v="201208"/>
    <n v="720000"/>
  </r>
  <r>
    <x v="496"/>
    <x v="3"/>
    <m/>
    <x v="5"/>
    <x v="2"/>
    <x v="153"/>
    <m/>
    <m/>
    <m/>
    <n v="4"/>
    <n v="201208"/>
    <n v="112000"/>
  </r>
  <r>
    <x v="496"/>
    <x v="3"/>
    <m/>
    <x v="33"/>
    <x v="2"/>
    <x v="155"/>
    <m/>
    <m/>
    <m/>
    <n v="5"/>
    <n v="201208"/>
    <n v="91000"/>
  </r>
  <r>
    <x v="496"/>
    <x v="3"/>
    <m/>
    <x v="19"/>
    <x v="2"/>
    <x v="157"/>
    <m/>
    <m/>
    <m/>
    <n v="10"/>
    <n v="201208"/>
    <n v="130000"/>
  </r>
  <r>
    <x v="496"/>
    <x v="3"/>
    <m/>
    <x v="19"/>
    <x v="2"/>
    <x v="158"/>
    <m/>
    <m/>
    <m/>
    <n v="5"/>
    <n v="201208"/>
    <n v="120000"/>
  </r>
  <r>
    <x v="496"/>
    <x v="3"/>
    <m/>
    <x v="19"/>
    <x v="2"/>
    <x v="159"/>
    <m/>
    <m/>
    <m/>
    <n v="3"/>
    <n v="201208"/>
    <n v="99000"/>
  </r>
  <r>
    <x v="496"/>
    <x v="3"/>
    <m/>
    <x v="35"/>
    <x v="2"/>
    <x v="170"/>
    <m/>
    <m/>
    <m/>
    <n v="1"/>
    <n v="201208"/>
    <n v="4000"/>
  </r>
  <r>
    <x v="496"/>
    <x v="3"/>
    <m/>
    <x v="35"/>
    <x v="2"/>
    <x v="160"/>
    <m/>
    <m/>
    <m/>
    <n v="3"/>
    <n v="201208"/>
    <n v="60000"/>
  </r>
  <r>
    <x v="496"/>
    <x v="3"/>
    <m/>
    <x v="4"/>
    <x v="2"/>
    <x v="242"/>
    <m/>
    <m/>
    <m/>
    <n v="1"/>
    <n v="201208"/>
    <n v="20000"/>
  </r>
  <r>
    <x v="496"/>
    <x v="3"/>
    <m/>
    <x v="4"/>
    <x v="2"/>
    <x v="207"/>
    <m/>
    <m/>
    <m/>
    <n v="3"/>
    <n v="201208"/>
    <n v="12000"/>
  </r>
  <r>
    <x v="496"/>
    <x v="3"/>
    <m/>
    <x v="4"/>
    <x v="2"/>
    <x v="241"/>
    <m/>
    <m/>
    <m/>
    <n v="1"/>
    <n v="201208"/>
    <n v="20000"/>
  </r>
  <r>
    <x v="496"/>
    <x v="3"/>
    <m/>
    <x v="18"/>
    <x v="2"/>
    <x v="161"/>
    <m/>
    <m/>
    <m/>
    <n v="11"/>
    <n v="201208"/>
    <n v="33000"/>
  </r>
  <r>
    <x v="496"/>
    <x v="3"/>
    <m/>
    <x v="18"/>
    <x v="2"/>
    <x v="161"/>
    <m/>
    <m/>
    <m/>
    <n v="3"/>
    <n v="201208"/>
    <n v="9000"/>
  </r>
  <r>
    <x v="497"/>
    <x v="7"/>
    <m/>
    <x v="10"/>
    <x v="0"/>
    <x v="0"/>
    <m/>
    <m/>
    <m/>
    <m/>
    <m/>
    <m/>
  </r>
</pivotCacheRecords>
</file>

<file path=xl/pivotCache/pivotCacheRecords2.xml><?xml version="1.0" encoding="utf-8"?>
<pivotCacheRecords xmlns="http://schemas.openxmlformats.org/spreadsheetml/2006/main" count="14997">
  <r>
    <x v="0"/>
    <x v="0"/>
    <s v="카카오광고"/>
    <x v="0"/>
    <x v="0"/>
    <x v="0"/>
    <m/>
    <m/>
    <n v="52249.99999999999"/>
    <m/>
    <m/>
    <m/>
  </r>
  <r>
    <x v="1"/>
    <x v="1"/>
    <s v="카카오광고"/>
    <x v="0"/>
    <x v="0"/>
    <x v="0"/>
    <m/>
    <m/>
    <n v="127120"/>
    <m/>
    <m/>
    <m/>
  </r>
  <r>
    <x v="2"/>
    <x v="0"/>
    <s v="카카오광고"/>
    <x v="0"/>
    <x v="0"/>
    <x v="0"/>
    <m/>
    <m/>
    <n v="101030"/>
    <m/>
    <m/>
    <m/>
  </r>
  <r>
    <x v="3"/>
    <x v="2"/>
    <s v="카카오광고"/>
    <x v="0"/>
    <x v="0"/>
    <x v="0"/>
    <m/>
    <m/>
    <n v="114860"/>
    <m/>
    <m/>
    <m/>
  </r>
  <r>
    <x v="4"/>
    <x v="3"/>
    <s v="네이버 쇼핑검색"/>
    <x v="0"/>
    <x v="0"/>
    <x v="0"/>
    <m/>
    <m/>
    <n v="749.9999999999999"/>
    <m/>
    <m/>
    <m/>
  </r>
  <r>
    <x v="5"/>
    <x v="4"/>
    <s v="네이버 쇼핑검색"/>
    <x v="0"/>
    <x v="0"/>
    <x v="0"/>
    <m/>
    <m/>
    <n v="499.9999999999999"/>
    <m/>
    <m/>
    <m/>
  </r>
  <r>
    <x v="6"/>
    <x v="1"/>
    <s v="네이버 쇼핑검색"/>
    <x v="0"/>
    <x v="0"/>
    <x v="0"/>
    <m/>
    <m/>
    <n v="2560"/>
    <m/>
    <m/>
    <m/>
  </r>
  <r>
    <x v="7"/>
    <x v="2"/>
    <s v="네이버 쇼핑검색"/>
    <x v="0"/>
    <x v="0"/>
    <x v="0"/>
    <m/>
    <m/>
    <n v="4650"/>
    <m/>
    <m/>
    <m/>
  </r>
  <r>
    <x v="8"/>
    <x v="5"/>
    <s v="네이버 쇼핑검색"/>
    <x v="0"/>
    <x v="0"/>
    <x v="0"/>
    <m/>
    <m/>
    <n v="4350"/>
    <m/>
    <m/>
    <m/>
  </r>
  <r>
    <x v="9"/>
    <x v="6"/>
    <s v="네이버 쇼핑검색"/>
    <x v="0"/>
    <x v="0"/>
    <x v="0"/>
    <m/>
    <m/>
    <n v="5400"/>
    <m/>
    <m/>
    <m/>
  </r>
  <r>
    <x v="10"/>
    <x v="3"/>
    <s v="네이버 쇼핑검색"/>
    <x v="0"/>
    <x v="0"/>
    <x v="0"/>
    <m/>
    <m/>
    <n v="4980"/>
    <m/>
    <m/>
    <m/>
  </r>
  <r>
    <x v="11"/>
    <x v="4"/>
    <s v="네이버 쇼핑검색"/>
    <x v="0"/>
    <x v="0"/>
    <x v="0"/>
    <m/>
    <m/>
    <n v="3910"/>
    <m/>
    <m/>
    <m/>
  </r>
  <r>
    <x v="12"/>
    <x v="1"/>
    <s v="네이버 쇼핑검색"/>
    <x v="0"/>
    <x v="0"/>
    <x v="0"/>
    <m/>
    <m/>
    <n v="3060"/>
    <m/>
    <m/>
    <m/>
  </r>
  <r>
    <x v="13"/>
    <x v="0"/>
    <s v="네이버 쇼핑검색"/>
    <x v="0"/>
    <x v="0"/>
    <x v="0"/>
    <m/>
    <m/>
    <n v="3400"/>
    <m/>
    <m/>
    <m/>
  </r>
  <r>
    <x v="14"/>
    <x v="2"/>
    <s v="네이버 쇼핑검색"/>
    <x v="0"/>
    <x v="0"/>
    <x v="0"/>
    <m/>
    <m/>
    <n v="5300"/>
    <m/>
    <m/>
    <m/>
  </r>
  <r>
    <x v="15"/>
    <x v="5"/>
    <s v="네이버 쇼핑검색"/>
    <x v="0"/>
    <x v="0"/>
    <x v="0"/>
    <m/>
    <m/>
    <n v="5280"/>
    <m/>
    <m/>
    <m/>
  </r>
  <r>
    <x v="16"/>
    <x v="6"/>
    <s v="네이버 쇼핑검색"/>
    <x v="0"/>
    <x v="0"/>
    <x v="0"/>
    <m/>
    <m/>
    <n v="6079.999999999999"/>
    <m/>
    <m/>
    <m/>
  </r>
  <r>
    <x v="17"/>
    <x v="3"/>
    <s v="네이버 쇼핑검색"/>
    <x v="0"/>
    <x v="0"/>
    <x v="0"/>
    <m/>
    <m/>
    <n v="3680"/>
    <m/>
    <m/>
    <m/>
  </r>
  <r>
    <x v="18"/>
    <x v="4"/>
    <s v="네이버 쇼핑검색"/>
    <x v="0"/>
    <x v="0"/>
    <x v="0"/>
    <m/>
    <m/>
    <n v="4090"/>
    <m/>
    <m/>
    <m/>
  </r>
  <r>
    <x v="19"/>
    <x v="1"/>
    <s v="네이버 쇼핑검색"/>
    <x v="0"/>
    <x v="0"/>
    <x v="0"/>
    <m/>
    <m/>
    <n v="4240"/>
    <m/>
    <m/>
    <m/>
  </r>
  <r>
    <x v="0"/>
    <x v="0"/>
    <s v="네이버 쇼핑검색"/>
    <x v="0"/>
    <x v="0"/>
    <x v="0"/>
    <m/>
    <m/>
    <n v="3320"/>
    <m/>
    <m/>
    <m/>
  </r>
  <r>
    <x v="20"/>
    <x v="2"/>
    <s v="네이버 쇼핑검색"/>
    <x v="0"/>
    <x v="0"/>
    <x v="0"/>
    <m/>
    <m/>
    <n v="4750"/>
    <m/>
    <m/>
    <m/>
  </r>
  <r>
    <x v="21"/>
    <x v="5"/>
    <s v="네이버 쇼핑검색"/>
    <x v="0"/>
    <x v="0"/>
    <x v="0"/>
    <m/>
    <m/>
    <n v="3810"/>
    <m/>
    <m/>
    <m/>
  </r>
  <r>
    <x v="22"/>
    <x v="6"/>
    <s v="네이버 쇼핑검색"/>
    <x v="0"/>
    <x v="0"/>
    <x v="0"/>
    <m/>
    <m/>
    <n v="4080"/>
    <m/>
    <m/>
    <m/>
  </r>
  <r>
    <x v="23"/>
    <x v="3"/>
    <s v="네이버 쇼핑검색"/>
    <x v="0"/>
    <x v="0"/>
    <x v="0"/>
    <m/>
    <m/>
    <n v="3600"/>
    <m/>
    <m/>
    <m/>
  </r>
  <r>
    <x v="24"/>
    <x v="4"/>
    <s v="네이버 쇼핑검색"/>
    <x v="0"/>
    <x v="0"/>
    <x v="0"/>
    <m/>
    <m/>
    <n v="2300"/>
    <m/>
    <m/>
    <m/>
  </r>
  <r>
    <x v="1"/>
    <x v="1"/>
    <s v="네이버 쇼핑검색"/>
    <x v="0"/>
    <x v="0"/>
    <x v="0"/>
    <m/>
    <m/>
    <n v="2660"/>
    <m/>
    <m/>
    <m/>
  </r>
  <r>
    <x v="2"/>
    <x v="0"/>
    <s v="네이버 쇼핑검색"/>
    <x v="0"/>
    <x v="0"/>
    <x v="0"/>
    <m/>
    <m/>
    <n v="2100"/>
    <m/>
    <m/>
    <m/>
  </r>
  <r>
    <x v="7"/>
    <x v="2"/>
    <s v="네이버 브랜드검색"/>
    <x v="0"/>
    <x v="0"/>
    <x v="0"/>
    <m/>
    <m/>
    <n v="20000"/>
    <m/>
    <m/>
    <m/>
  </r>
  <r>
    <x v="8"/>
    <x v="5"/>
    <s v="네이버 브랜드검색"/>
    <x v="0"/>
    <x v="0"/>
    <x v="0"/>
    <m/>
    <m/>
    <n v="20000"/>
    <m/>
    <m/>
    <m/>
  </r>
  <r>
    <x v="9"/>
    <x v="6"/>
    <s v="네이버 브랜드검색"/>
    <x v="0"/>
    <x v="0"/>
    <x v="0"/>
    <m/>
    <m/>
    <n v="20000"/>
    <m/>
    <m/>
    <m/>
  </r>
  <r>
    <x v="10"/>
    <x v="3"/>
    <s v="네이버 브랜드검색"/>
    <x v="0"/>
    <x v="0"/>
    <x v="0"/>
    <m/>
    <m/>
    <n v="20000"/>
    <m/>
    <m/>
    <m/>
  </r>
  <r>
    <x v="11"/>
    <x v="4"/>
    <s v="네이버 브랜드검색"/>
    <x v="0"/>
    <x v="0"/>
    <x v="0"/>
    <m/>
    <m/>
    <n v="20000"/>
    <m/>
    <m/>
    <m/>
  </r>
  <r>
    <x v="12"/>
    <x v="1"/>
    <s v="네이버 브랜드검색"/>
    <x v="0"/>
    <x v="0"/>
    <x v="0"/>
    <m/>
    <m/>
    <n v="20000"/>
    <m/>
    <m/>
    <m/>
  </r>
  <r>
    <x v="13"/>
    <x v="0"/>
    <s v="네이버 브랜드검색"/>
    <x v="0"/>
    <x v="0"/>
    <x v="0"/>
    <m/>
    <m/>
    <n v="20000"/>
    <m/>
    <m/>
    <m/>
  </r>
  <r>
    <x v="14"/>
    <x v="2"/>
    <s v="네이버 브랜드검색"/>
    <x v="0"/>
    <x v="0"/>
    <x v="0"/>
    <m/>
    <m/>
    <n v="20000"/>
    <m/>
    <m/>
    <m/>
  </r>
  <r>
    <x v="15"/>
    <x v="5"/>
    <s v="네이버 브랜드검색"/>
    <x v="0"/>
    <x v="0"/>
    <x v="0"/>
    <m/>
    <m/>
    <n v="20000"/>
    <m/>
    <m/>
    <m/>
  </r>
  <r>
    <x v="16"/>
    <x v="6"/>
    <s v="네이버 브랜드검색"/>
    <x v="0"/>
    <x v="0"/>
    <x v="0"/>
    <m/>
    <m/>
    <n v="20000"/>
    <m/>
    <m/>
    <m/>
  </r>
  <r>
    <x v="17"/>
    <x v="3"/>
    <s v="네이버 브랜드검색"/>
    <x v="0"/>
    <x v="0"/>
    <x v="0"/>
    <m/>
    <m/>
    <n v="20000"/>
    <m/>
    <m/>
    <m/>
  </r>
  <r>
    <x v="18"/>
    <x v="4"/>
    <s v="네이버 브랜드검색"/>
    <x v="0"/>
    <x v="0"/>
    <x v="0"/>
    <m/>
    <m/>
    <n v="20000"/>
    <m/>
    <m/>
    <m/>
  </r>
  <r>
    <x v="19"/>
    <x v="1"/>
    <s v="네이버 브랜드검색"/>
    <x v="0"/>
    <x v="0"/>
    <x v="0"/>
    <m/>
    <m/>
    <n v="20000"/>
    <m/>
    <m/>
    <m/>
  </r>
  <r>
    <x v="0"/>
    <x v="0"/>
    <s v="네이버 브랜드검색"/>
    <x v="0"/>
    <x v="0"/>
    <x v="0"/>
    <m/>
    <m/>
    <n v="20000"/>
    <m/>
    <m/>
    <m/>
  </r>
  <r>
    <x v="20"/>
    <x v="2"/>
    <s v="네이버 브랜드검색"/>
    <x v="0"/>
    <x v="0"/>
    <x v="0"/>
    <m/>
    <m/>
    <n v="20000"/>
    <m/>
    <m/>
    <m/>
  </r>
  <r>
    <x v="21"/>
    <x v="5"/>
    <s v="네이버 브랜드검색"/>
    <x v="0"/>
    <x v="0"/>
    <x v="0"/>
    <m/>
    <m/>
    <n v="20000"/>
    <m/>
    <m/>
    <m/>
  </r>
  <r>
    <x v="22"/>
    <x v="6"/>
    <s v="네이버 브랜드검색"/>
    <x v="0"/>
    <x v="0"/>
    <x v="0"/>
    <m/>
    <m/>
    <n v="20000"/>
    <m/>
    <m/>
    <m/>
  </r>
  <r>
    <x v="23"/>
    <x v="3"/>
    <s v="네이버 브랜드검색"/>
    <x v="0"/>
    <x v="0"/>
    <x v="0"/>
    <m/>
    <m/>
    <n v="20000"/>
    <m/>
    <m/>
    <m/>
  </r>
  <r>
    <x v="24"/>
    <x v="4"/>
    <s v="네이버 브랜드검색"/>
    <x v="0"/>
    <x v="0"/>
    <x v="0"/>
    <m/>
    <m/>
    <n v="20000"/>
    <m/>
    <m/>
    <m/>
  </r>
  <r>
    <x v="1"/>
    <x v="1"/>
    <s v="네이버 브랜드검색"/>
    <x v="0"/>
    <x v="0"/>
    <x v="0"/>
    <m/>
    <m/>
    <n v="20000"/>
    <m/>
    <m/>
    <m/>
  </r>
  <r>
    <x v="2"/>
    <x v="0"/>
    <s v="네이버 브랜드검색"/>
    <x v="0"/>
    <x v="0"/>
    <x v="0"/>
    <m/>
    <m/>
    <n v="20000"/>
    <m/>
    <m/>
    <m/>
  </r>
  <r>
    <x v="20"/>
    <x v="2"/>
    <s v="인스타그램(랄라블라)"/>
    <x v="0"/>
    <x v="0"/>
    <x v="0"/>
    <m/>
    <m/>
    <n v="55923"/>
    <m/>
    <m/>
    <m/>
  </r>
  <r>
    <x v="21"/>
    <x v="5"/>
    <s v="인스타그램(랄라블라)"/>
    <x v="0"/>
    <x v="0"/>
    <x v="0"/>
    <m/>
    <m/>
    <n v="57647"/>
    <m/>
    <m/>
    <m/>
  </r>
  <r>
    <x v="22"/>
    <x v="6"/>
    <s v="인스타그램(랄라블라)"/>
    <x v="0"/>
    <x v="0"/>
    <x v="0"/>
    <m/>
    <m/>
    <n v="50514"/>
    <m/>
    <m/>
    <m/>
  </r>
  <r>
    <x v="23"/>
    <x v="3"/>
    <s v="인스타그램(랄라블라)"/>
    <x v="0"/>
    <x v="0"/>
    <x v="0"/>
    <m/>
    <m/>
    <n v="46315"/>
    <m/>
    <m/>
    <m/>
  </r>
  <r>
    <x v="24"/>
    <x v="4"/>
    <s v="인스타그램(랄라블라)"/>
    <x v="0"/>
    <x v="0"/>
    <x v="0"/>
    <m/>
    <m/>
    <n v="46910"/>
    <m/>
    <m/>
    <m/>
  </r>
  <r>
    <x v="1"/>
    <x v="1"/>
    <s v="인스타그램(랄라블라)"/>
    <x v="0"/>
    <x v="0"/>
    <x v="0"/>
    <m/>
    <m/>
    <n v="49688"/>
    <m/>
    <m/>
    <m/>
  </r>
  <r>
    <x v="2"/>
    <x v="0"/>
    <s v="인스타그램(랄라블라)"/>
    <x v="0"/>
    <x v="0"/>
    <x v="0"/>
    <m/>
    <m/>
    <n v="52405"/>
    <m/>
    <m/>
    <m/>
  </r>
  <r>
    <x v="25"/>
    <x v="4"/>
    <s v="인스타그램(전환)"/>
    <x v="0"/>
    <x v="0"/>
    <x v="0"/>
    <m/>
    <m/>
    <n v="962876"/>
    <m/>
    <m/>
    <m/>
  </r>
  <r>
    <x v="26"/>
    <x v="1"/>
    <s v="인스타그램(전환)"/>
    <x v="0"/>
    <x v="0"/>
    <x v="0"/>
    <m/>
    <m/>
    <n v="952678"/>
    <m/>
    <m/>
    <m/>
  </r>
  <r>
    <x v="27"/>
    <x v="0"/>
    <s v="인스타그램(전환)"/>
    <x v="0"/>
    <x v="0"/>
    <x v="0"/>
    <m/>
    <m/>
    <n v="848492"/>
    <m/>
    <m/>
    <m/>
  </r>
  <r>
    <x v="28"/>
    <x v="2"/>
    <s v="인스타그램(전환)"/>
    <x v="0"/>
    <x v="0"/>
    <x v="0"/>
    <m/>
    <m/>
    <n v="658633"/>
    <m/>
    <m/>
    <m/>
  </r>
  <r>
    <x v="29"/>
    <x v="5"/>
    <s v="인스타그램(전환)"/>
    <x v="0"/>
    <x v="0"/>
    <x v="0"/>
    <m/>
    <m/>
    <n v="715729"/>
    <m/>
    <m/>
    <m/>
  </r>
  <r>
    <x v="30"/>
    <x v="6"/>
    <s v="인스타그램(전환)"/>
    <x v="0"/>
    <x v="0"/>
    <x v="0"/>
    <m/>
    <m/>
    <n v="701516"/>
    <m/>
    <m/>
    <m/>
  </r>
  <r>
    <x v="4"/>
    <x v="3"/>
    <s v="인스타그램(전환)"/>
    <x v="0"/>
    <x v="0"/>
    <x v="0"/>
    <m/>
    <m/>
    <n v="679664"/>
    <m/>
    <m/>
    <m/>
  </r>
  <r>
    <x v="5"/>
    <x v="4"/>
    <s v="인스타그램(전환)"/>
    <x v="0"/>
    <x v="0"/>
    <x v="0"/>
    <m/>
    <m/>
    <n v="680421"/>
    <m/>
    <m/>
    <m/>
  </r>
  <r>
    <x v="6"/>
    <x v="1"/>
    <s v="인스타그램(전환)"/>
    <x v="0"/>
    <x v="0"/>
    <x v="0"/>
    <m/>
    <m/>
    <n v="711011"/>
    <m/>
    <m/>
    <m/>
  </r>
  <r>
    <x v="31"/>
    <x v="0"/>
    <s v="인스타그램(전환)"/>
    <x v="0"/>
    <x v="0"/>
    <x v="0"/>
    <m/>
    <m/>
    <n v="801407"/>
    <m/>
    <m/>
    <m/>
  </r>
  <r>
    <x v="7"/>
    <x v="2"/>
    <s v="인스타그램(전환)"/>
    <x v="0"/>
    <x v="0"/>
    <x v="0"/>
    <m/>
    <m/>
    <n v="839323"/>
    <m/>
    <m/>
    <m/>
  </r>
  <r>
    <x v="8"/>
    <x v="5"/>
    <s v="인스타그램(전환)"/>
    <x v="0"/>
    <x v="0"/>
    <x v="0"/>
    <m/>
    <m/>
    <n v="888039"/>
    <m/>
    <m/>
    <m/>
  </r>
  <r>
    <x v="9"/>
    <x v="6"/>
    <s v="인스타그램(전환)"/>
    <x v="0"/>
    <x v="0"/>
    <x v="0"/>
    <m/>
    <m/>
    <n v="991477"/>
    <m/>
    <m/>
    <m/>
  </r>
  <r>
    <x v="10"/>
    <x v="3"/>
    <s v="인스타그램(전환)"/>
    <x v="0"/>
    <x v="0"/>
    <x v="0"/>
    <m/>
    <m/>
    <n v="1448244"/>
    <m/>
    <m/>
    <m/>
  </r>
  <r>
    <x v="11"/>
    <x v="4"/>
    <s v="인스타그램(전환)"/>
    <x v="0"/>
    <x v="0"/>
    <x v="0"/>
    <m/>
    <m/>
    <n v="1095944"/>
    <m/>
    <m/>
    <m/>
  </r>
  <r>
    <x v="12"/>
    <x v="1"/>
    <s v="인스타그램(전환)"/>
    <x v="0"/>
    <x v="0"/>
    <x v="0"/>
    <m/>
    <m/>
    <n v="1062483"/>
    <m/>
    <m/>
    <m/>
  </r>
  <r>
    <x v="13"/>
    <x v="0"/>
    <s v="인스타그램(전환)"/>
    <x v="0"/>
    <x v="0"/>
    <x v="0"/>
    <m/>
    <m/>
    <n v="1231696"/>
    <m/>
    <m/>
    <m/>
  </r>
  <r>
    <x v="14"/>
    <x v="2"/>
    <s v="인스타그램(전환)"/>
    <x v="0"/>
    <x v="0"/>
    <x v="0"/>
    <m/>
    <m/>
    <n v="1242437"/>
    <m/>
    <m/>
    <m/>
  </r>
  <r>
    <x v="15"/>
    <x v="5"/>
    <s v="인스타그램(전환)"/>
    <x v="0"/>
    <x v="0"/>
    <x v="0"/>
    <m/>
    <m/>
    <n v="1327349"/>
    <m/>
    <m/>
    <m/>
  </r>
  <r>
    <x v="16"/>
    <x v="6"/>
    <s v="인스타그램(전환)"/>
    <x v="0"/>
    <x v="0"/>
    <x v="0"/>
    <m/>
    <m/>
    <n v="1302895"/>
    <m/>
    <m/>
    <m/>
  </r>
  <r>
    <x v="17"/>
    <x v="3"/>
    <s v="인스타그램(전환)"/>
    <x v="0"/>
    <x v="0"/>
    <x v="0"/>
    <m/>
    <m/>
    <n v="1256239"/>
    <m/>
    <m/>
    <m/>
  </r>
  <r>
    <x v="18"/>
    <x v="4"/>
    <s v="인스타그램(전환)"/>
    <x v="0"/>
    <x v="0"/>
    <x v="0"/>
    <m/>
    <m/>
    <n v="972541"/>
    <m/>
    <m/>
    <m/>
  </r>
  <r>
    <x v="19"/>
    <x v="1"/>
    <s v="인스타그램(전환)"/>
    <x v="0"/>
    <x v="0"/>
    <x v="0"/>
    <m/>
    <m/>
    <n v="950442"/>
    <m/>
    <m/>
    <m/>
  </r>
  <r>
    <x v="0"/>
    <x v="0"/>
    <s v="인스타그램(전환)"/>
    <x v="0"/>
    <x v="0"/>
    <x v="0"/>
    <m/>
    <m/>
    <n v="959391"/>
    <m/>
    <m/>
    <m/>
  </r>
  <r>
    <x v="20"/>
    <x v="2"/>
    <s v="인스타그램(전환)"/>
    <x v="0"/>
    <x v="0"/>
    <x v="0"/>
    <m/>
    <m/>
    <n v="973744"/>
    <m/>
    <m/>
    <m/>
  </r>
  <r>
    <x v="21"/>
    <x v="5"/>
    <s v="인스타그램(전환)"/>
    <x v="0"/>
    <x v="0"/>
    <x v="0"/>
    <m/>
    <m/>
    <n v="1033779"/>
    <m/>
    <m/>
    <m/>
  </r>
  <r>
    <x v="22"/>
    <x v="6"/>
    <s v="인스타그램(전환)"/>
    <x v="0"/>
    <x v="0"/>
    <x v="0"/>
    <m/>
    <m/>
    <n v="1006539"/>
    <m/>
    <m/>
    <m/>
  </r>
  <r>
    <x v="23"/>
    <x v="3"/>
    <s v="인스타그램(전환)"/>
    <x v="0"/>
    <x v="0"/>
    <x v="0"/>
    <m/>
    <m/>
    <n v="965223"/>
    <m/>
    <m/>
    <m/>
  </r>
  <r>
    <x v="24"/>
    <x v="4"/>
    <s v="인스타그램(전환)"/>
    <x v="0"/>
    <x v="0"/>
    <x v="0"/>
    <m/>
    <m/>
    <n v="874147"/>
    <m/>
    <m/>
    <m/>
  </r>
  <r>
    <x v="1"/>
    <x v="1"/>
    <s v="인스타그램(전환)"/>
    <x v="0"/>
    <x v="0"/>
    <x v="0"/>
    <m/>
    <m/>
    <n v="779088"/>
    <m/>
    <m/>
    <m/>
  </r>
  <r>
    <x v="2"/>
    <x v="0"/>
    <s v="인스타그램(전환)"/>
    <x v="0"/>
    <x v="0"/>
    <x v="0"/>
    <m/>
    <m/>
    <n v="768209"/>
    <m/>
    <m/>
    <m/>
  </r>
  <r>
    <x v="10"/>
    <x v="3"/>
    <s v="인스타그램(전환)"/>
    <x v="0"/>
    <x v="0"/>
    <x v="0"/>
    <m/>
    <m/>
    <n v="54560"/>
    <m/>
    <m/>
    <m/>
  </r>
  <r>
    <x v="11"/>
    <x v="4"/>
    <s v="인스타그램(전환)"/>
    <x v="0"/>
    <x v="0"/>
    <x v="0"/>
    <m/>
    <m/>
    <n v="98976"/>
    <m/>
    <m/>
    <m/>
  </r>
  <r>
    <x v="12"/>
    <x v="1"/>
    <s v="인스타그램(전환)"/>
    <x v="0"/>
    <x v="0"/>
    <x v="0"/>
    <m/>
    <m/>
    <n v="95090"/>
    <m/>
    <m/>
    <m/>
  </r>
  <r>
    <x v="13"/>
    <x v="0"/>
    <s v="인스타그램(전환)"/>
    <x v="0"/>
    <x v="0"/>
    <x v="0"/>
    <m/>
    <m/>
    <n v="42439"/>
    <m/>
    <m/>
    <m/>
  </r>
  <r>
    <x v="19"/>
    <x v="1"/>
    <s v="인스타그램(전환)"/>
    <x v="0"/>
    <x v="0"/>
    <x v="0"/>
    <m/>
    <m/>
    <n v="94502"/>
    <m/>
    <m/>
    <m/>
  </r>
  <r>
    <x v="0"/>
    <x v="0"/>
    <s v="인스타그램(전환)"/>
    <x v="0"/>
    <x v="0"/>
    <x v="0"/>
    <m/>
    <m/>
    <n v="113465"/>
    <m/>
    <m/>
    <m/>
  </r>
  <r>
    <x v="20"/>
    <x v="2"/>
    <s v="인스타그램(전환)"/>
    <x v="0"/>
    <x v="0"/>
    <x v="0"/>
    <m/>
    <m/>
    <n v="76761"/>
    <m/>
    <m/>
    <m/>
  </r>
  <r>
    <x v="1"/>
    <x v="1"/>
    <s v="페이스북(전환)"/>
    <x v="0"/>
    <x v="0"/>
    <x v="0"/>
    <m/>
    <m/>
    <n v="93017"/>
    <m/>
    <m/>
    <m/>
  </r>
  <r>
    <x v="2"/>
    <x v="0"/>
    <s v="페이스북(전환)"/>
    <x v="0"/>
    <x v="0"/>
    <x v="0"/>
    <m/>
    <m/>
    <n v="191158"/>
    <m/>
    <m/>
    <m/>
  </r>
  <r>
    <x v="25"/>
    <x v="4"/>
    <s v="인스타그램(블로그)"/>
    <x v="0"/>
    <x v="0"/>
    <x v="0"/>
    <m/>
    <m/>
    <n v="49774"/>
    <m/>
    <m/>
    <m/>
  </r>
  <r>
    <x v="26"/>
    <x v="1"/>
    <s v="인스타그램(블로그)"/>
    <x v="0"/>
    <x v="0"/>
    <x v="0"/>
    <m/>
    <m/>
    <n v="50726"/>
    <m/>
    <m/>
    <m/>
  </r>
  <r>
    <x v="27"/>
    <x v="0"/>
    <s v="인스타그램(블로그)"/>
    <x v="0"/>
    <x v="0"/>
    <x v="0"/>
    <m/>
    <m/>
    <n v="50497"/>
    <m/>
    <m/>
    <m/>
  </r>
  <r>
    <x v="28"/>
    <x v="2"/>
    <s v="인스타그램(블로그)"/>
    <x v="0"/>
    <x v="0"/>
    <x v="0"/>
    <m/>
    <m/>
    <n v="49298"/>
    <m/>
    <m/>
    <m/>
  </r>
  <r>
    <x v="29"/>
    <x v="5"/>
    <s v="인스타그램(블로그)"/>
    <x v="0"/>
    <x v="0"/>
    <x v="0"/>
    <m/>
    <m/>
    <n v="51462"/>
    <m/>
    <m/>
    <m/>
  </r>
  <r>
    <x v="30"/>
    <x v="6"/>
    <s v="인스타그램(블로그)"/>
    <x v="0"/>
    <x v="0"/>
    <x v="0"/>
    <m/>
    <m/>
    <n v="50117"/>
    <m/>
    <m/>
    <m/>
  </r>
  <r>
    <x v="4"/>
    <x v="3"/>
    <s v="인스타그램(블로그)"/>
    <x v="0"/>
    <x v="0"/>
    <x v="0"/>
    <m/>
    <m/>
    <n v="48825"/>
    <m/>
    <m/>
    <m/>
  </r>
  <r>
    <x v="5"/>
    <x v="4"/>
    <s v="인스타그램(블로그)"/>
    <x v="0"/>
    <x v="0"/>
    <x v="0"/>
    <m/>
    <m/>
    <n v="48567"/>
    <m/>
    <m/>
    <m/>
  </r>
  <r>
    <x v="6"/>
    <x v="1"/>
    <s v="인스타그램(블로그)"/>
    <x v="0"/>
    <x v="0"/>
    <x v="0"/>
    <m/>
    <m/>
    <n v="50934"/>
    <m/>
    <m/>
    <m/>
  </r>
  <r>
    <x v="31"/>
    <x v="0"/>
    <s v="인스타그램(블로그)"/>
    <x v="0"/>
    <x v="0"/>
    <x v="0"/>
    <m/>
    <m/>
    <n v="48326"/>
    <m/>
    <m/>
    <m/>
  </r>
  <r>
    <x v="7"/>
    <x v="2"/>
    <s v="인스타그램(블로그)"/>
    <x v="0"/>
    <x v="0"/>
    <x v="0"/>
    <m/>
    <m/>
    <n v="50887"/>
    <m/>
    <m/>
    <m/>
  </r>
  <r>
    <x v="8"/>
    <x v="5"/>
    <s v="인스타그램(블로그)"/>
    <x v="0"/>
    <x v="0"/>
    <x v="0"/>
    <m/>
    <m/>
    <n v="52340"/>
    <m/>
    <m/>
    <m/>
  </r>
  <r>
    <x v="9"/>
    <x v="6"/>
    <s v="인스타그램(블로그)"/>
    <x v="0"/>
    <x v="0"/>
    <x v="0"/>
    <m/>
    <m/>
    <n v="50374"/>
    <m/>
    <m/>
    <m/>
  </r>
  <r>
    <x v="10"/>
    <x v="3"/>
    <s v="인스타그램(블로그)"/>
    <x v="0"/>
    <x v="0"/>
    <x v="0"/>
    <m/>
    <m/>
    <n v="48341"/>
    <m/>
    <m/>
    <m/>
  </r>
  <r>
    <x v="11"/>
    <x v="4"/>
    <s v="인스타그램(블로그)"/>
    <x v="0"/>
    <x v="0"/>
    <x v="0"/>
    <m/>
    <m/>
    <n v="50532"/>
    <m/>
    <m/>
    <m/>
  </r>
  <r>
    <x v="12"/>
    <x v="1"/>
    <s v="인스타그램(블로그)"/>
    <x v="0"/>
    <x v="0"/>
    <x v="0"/>
    <m/>
    <m/>
    <n v="49563"/>
    <m/>
    <m/>
    <m/>
  </r>
  <r>
    <x v="13"/>
    <x v="0"/>
    <s v="인스타그램(블로그)"/>
    <x v="0"/>
    <x v="0"/>
    <x v="0"/>
    <m/>
    <m/>
    <n v="48582"/>
    <m/>
    <m/>
    <m/>
  </r>
  <r>
    <x v="14"/>
    <x v="2"/>
    <s v="인스타그램(블로그)"/>
    <x v="0"/>
    <x v="0"/>
    <x v="0"/>
    <m/>
    <m/>
    <n v="49537"/>
    <m/>
    <m/>
    <m/>
  </r>
  <r>
    <x v="15"/>
    <x v="5"/>
    <s v="인스타그램(블로그)"/>
    <x v="0"/>
    <x v="0"/>
    <x v="0"/>
    <m/>
    <m/>
    <n v="53066"/>
    <m/>
    <m/>
    <m/>
  </r>
  <r>
    <x v="16"/>
    <x v="6"/>
    <s v="인스타그램(블로그)"/>
    <x v="0"/>
    <x v="0"/>
    <x v="0"/>
    <m/>
    <m/>
    <n v="50474"/>
    <m/>
    <m/>
    <m/>
  </r>
  <r>
    <x v="17"/>
    <x v="3"/>
    <s v="인스타그램(블로그)"/>
    <x v="0"/>
    <x v="0"/>
    <x v="0"/>
    <m/>
    <m/>
    <n v="48652"/>
    <m/>
    <m/>
    <m/>
  </r>
  <r>
    <x v="18"/>
    <x v="4"/>
    <s v="인스타그램(블로그)"/>
    <x v="0"/>
    <x v="0"/>
    <x v="0"/>
    <m/>
    <m/>
    <n v="50035"/>
    <m/>
    <m/>
    <m/>
  </r>
  <r>
    <x v="19"/>
    <x v="1"/>
    <s v="인스타그램(블로그)"/>
    <x v="0"/>
    <x v="0"/>
    <x v="0"/>
    <m/>
    <m/>
    <n v="48896"/>
    <m/>
    <m/>
    <m/>
  </r>
  <r>
    <x v="0"/>
    <x v="0"/>
    <s v="인스타그램(블로그)"/>
    <x v="0"/>
    <x v="0"/>
    <x v="0"/>
    <m/>
    <m/>
    <n v="50890"/>
    <m/>
    <m/>
    <m/>
  </r>
  <r>
    <x v="20"/>
    <x v="2"/>
    <s v="인스타그램(블로그)"/>
    <x v="0"/>
    <x v="0"/>
    <x v="0"/>
    <m/>
    <m/>
    <n v="48343"/>
    <m/>
    <m/>
    <m/>
  </r>
  <r>
    <x v="21"/>
    <x v="5"/>
    <s v="인스타그램(블로그)"/>
    <x v="0"/>
    <x v="0"/>
    <x v="0"/>
    <m/>
    <m/>
    <n v="52710"/>
    <m/>
    <m/>
    <m/>
  </r>
  <r>
    <x v="22"/>
    <x v="6"/>
    <s v="인스타그램(블로그)"/>
    <x v="0"/>
    <x v="0"/>
    <x v="0"/>
    <m/>
    <m/>
    <n v="50207"/>
    <m/>
    <m/>
    <m/>
  </r>
  <r>
    <x v="23"/>
    <x v="3"/>
    <s v="인스타그램(블로그)"/>
    <x v="0"/>
    <x v="0"/>
    <x v="0"/>
    <m/>
    <m/>
    <n v="49578"/>
    <m/>
    <m/>
    <m/>
  </r>
  <r>
    <x v="24"/>
    <x v="4"/>
    <s v="인스타그램(블로그)"/>
    <x v="0"/>
    <x v="0"/>
    <x v="0"/>
    <m/>
    <m/>
    <n v="48347"/>
    <m/>
    <m/>
    <m/>
  </r>
  <r>
    <x v="1"/>
    <x v="1"/>
    <s v="인스타그램(블로그)"/>
    <x v="0"/>
    <x v="0"/>
    <x v="0"/>
    <m/>
    <m/>
    <n v="49943"/>
    <m/>
    <m/>
    <m/>
  </r>
  <r>
    <x v="2"/>
    <x v="0"/>
    <s v="인스타그램(블로그)"/>
    <x v="0"/>
    <x v="0"/>
    <x v="0"/>
    <m/>
    <m/>
    <n v="50434"/>
    <m/>
    <m/>
    <m/>
  </r>
  <r>
    <x v="3"/>
    <x v="2"/>
    <s v="인스타그램(전환)"/>
    <x v="0"/>
    <x v="0"/>
    <x v="0"/>
    <m/>
    <m/>
    <n v="802115"/>
    <m/>
    <m/>
    <m/>
  </r>
  <r>
    <x v="32"/>
    <x v="5"/>
    <s v="인스타그램(전환)"/>
    <x v="0"/>
    <x v="0"/>
    <x v="0"/>
    <m/>
    <m/>
    <n v="667446"/>
    <m/>
    <m/>
    <m/>
  </r>
  <r>
    <x v="33"/>
    <x v="6"/>
    <s v="인스타그램(전환)"/>
    <x v="0"/>
    <x v="0"/>
    <x v="0"/>
    <m/>
    <m/>
    <n v="601447"/>
    <m/>
    <m/>
    <m/>
  </r>
  <r>
    <x v="34"/>
    <x v="3"/>
    <s v="인스타그램(전환)"/>
    <x v="0"/>
    <x v="0"/>
    <x v="0"/>
    <m/>
    <m/>
    <n v="693226"/>
    <m/>
    <m/>
    <m/>
  </r>
  <r>
    <x v="35"/>
    <x v="4"/>
    <s v="인스타그램(전환)"/>
    <x v="0"/>
    <x v="0"/>
    <x v="0"/>
    <m/>
    <m/>
    <n v="621868"/>
    <m/>
    <m/>
    <m/>
  </r>
  <r>
    <x v="36"/>
    <x v="1"/>
    <s v="인스타그램(전환)"/>
    <x v="0"/>
    <x v="0"/>
    <x v="0"/>
    <m/>
    <m/>
    <n v="569821"/>
    <m/>
    <m/>
    <m/>
  </r>
  <r>
    <x v="37"/>
    <x v="0"/>
    <s v="인스타그램(전환)"/>
    <x v="0"/>
    <x v="0"/>
    <x v="0"/>
    <m/>
    <m/>
    <n v="578903"/>
    <m/>
    <m/>
    <m/>
  </r>
  <r>
    <x v="38"/>
    <x v="2"/>
    <s v="인스타그램(전환)"/>
    <x v="0"/>
    <x v="0"/>
    <x v="0"/>
    <m/>
    <m/>
    <n v="577486"/>
    <m/>
    <m/>
    <m/>
  </r>
  <r>
    <x v="39"/>
    <x v="5"/>
    <s v="인스타그램(전환)"/>
    <x v="0"/>
    <x v="0"/>
    <x v="0"/>
    <m/>
    <m/>
    <n v="621286"/>
    <m/>
    <m/>
    <m/>
  </r>
  <r>
    <x v="40"/>
    <x v="6"/>
    <s v="인스타그램(전환)"/>
    <x v="0"/>
    <x v="0"/>
    <x v="0"/>
    <m/>
    <m/>
    <n v="601372"/>
    <m/>
    <m/>
    <m/>
  </r>
  <r>
    <x v="41"/>
    <x v="3"/>
    <s v="인스타그램(전환)"/>
    <x v="0"/>
    <x v="0"/>
    <x v="0"/>
    <m/>
    <m/>
    <n v="577770"/>
    <m/>
    <m/>
    <m/>
  </r>
  <r>
    <x v="42"/>
    <x v="4"/>
    <s v="인스타그램(전환)"/>
    <x v="0"/>
    <x v="0"/>
    <x v="0"/>
    <m/>
    <m/>
    <n v="595670"/>
    <m/>
    <m/>
    <m/>
  </r>
  <r>
    <x v="43"/>
    <x v="1"/>
    <s v="인스타그램(전환)"/>
    <x v="0"/>
    <x v="0"/>
    <x v="0"/>
    <m/>
    <m/>
    <n v="608592"/>
    <m/>
    <m/>
    <m/>
  </r>
  <r>
    <x v="44"/>
    <x v="0"/>
    <s v="인스타그램(전환)"/>
    <x v="0"/>
    <x v="0"/>
    <x v="0"/>
    <m/>
    <m/>
    <n v="587517"/>
    <m/>
    <m/>
    <m/>
  </r>
  <r>
    <x v="45"/>
    <x v="2"/>
    <s v="인스타그램(전환)"/>
    <x v="0"/>
    <x v="0"/>
    <x v="0"/>
    <m/>
    <m/>
    <n v="616005"/>
    <m/>
    <m/>
    <m/>
  </r>
  <r>
    <x v="46"/>
    <x v="5"/>
    <s v="인스타그램(전환)"/>
    <x v="0"/>
    <x v="0"/>
    <x v="0"/>
    <m/>
    <m/>
    <n v="455656"/>
    <m/>
    <m/>
    <m/>
  </r>
  <r>
    <x v="47"/>
    <x v="6"/>
    <s v="인스타그램(전환)"/>
    <x v="0"/>
    <x v="0"/>
    <x v="0"/>
    <m/>
    <m/>
    <n v="501264"/>
    <m/>
    <m/>
    <m/>
  </r>
  <r>
    <x v="48"/>
    <x v="3"/>
    <s v="인스타그램(전환)"/>
    <x v="0"/>
    <x v="0"/>
    <x v="0"/>
    <m/>
    <m/>
    <n v="499673"/>
    <m/>
    <m/>
    <m/>
  </r>
  <r>
    <x v="49"/>
    <x v="4"/>
    <s v="인스타그램(전환)"/>
    <x v="0"/>
    <x v="0"/>
    <x v="0"/>
    <m/>
    <m/>
    <n v="482970"/>
    <m/>
    <m/>
    <m/>
  </r>
  <r>
    <x v="50"/>
    <x v="1"/>
    <s v="인스타그램(전환)"/>
    <x v="0"/>
    <x v="0"/>
    <x v="0"/>
    <m/>
    <m/>
    <n v="490600"/>
    <m/>
    <m/>
    <m/>
  </r>
  <r>
    <x v="51"/>
    <x v="0"/>
    <s v="인스타그램(전환)"/>
    <x v="0"/>
    <x v="0"/>
    <x v="0"/>
    <m/>
    <m/>
    <n v="498482"/>
    <m/>
    <m/>
    <m/>
  </r>
  <r>
    <x v="52"/>
    <x v="2"/>
    <s v="인스타그램(전환)"/>
    <x v="0"/>
    <x v="0"/>
    <x v="0"/>
    <m/>
    <m/>
    <n v="497099"/>
    <m/>
    <m/>
    <m/>
  </r>
  <r>
    <x v="53"/>
    <x v="5"/>
    <s v="인스타그램(전환)"/>
    <x v="0"/>
    <x v="0"/>
    <x v="0"/>
    <m/>
    <m/>
    <n v="529912"/>
    <m/>
    <m/>
    <m/>
  </r>
  <r>
    <x v="54"/>
    <x v="6"/>
    <s v="인스타그램(전환)"/>
    <x v="0"/>
    <x v="0"/>
    <x v="0"/>
    <m/>
    <m/>
    <n v="501169"/>
    <m/>
    <m/>
    <m/>
  </r>
  <r>
    <x v="55"/>
    <x v="3"/>
    <s v="인스타그램(전환)"/>
    <x v="0"/>
    <x v="0"/>
    <x v="0"/>
    <m/>
    <m/>
    <n v="480687"/>
    <m/>
    <m/>
    <m/>
  </r>
  <r>
    <x v="56"/>
    <x v="4"/>
    <s v="인스타그램(전환)"/>
    <x v="0"/>
    <x v="0"/>
    <x v="0"/>
    <m/>
    <m/>
    <n v="498963"/>
    <m/>
    <m/>
    <m/>
  </r>
  <r>
    <x v="57"/>
    <x v="1"/>
    <s v="인스타그램(전환)"/>
    <x v="0"/>
    <x v="0"/>
    <x v="0"/>
    <m/>
    <m/>
    <n v="490233"/>
    <m/>
    <m/>
    <m/>
  </r>
  <r>
    <x v="58"/>
    <x v="0"/>
    <s v="인스타그램(전환)"/>
    <x v="0"/>
    <x v="0"/>
    <x v="0"/>
    <m/>
    <m/>
    <n v="488641"/>
    <m/>
    <m/>
    <m/>
  </r>
  <r>
    <x v="59"/>
    <x v="2"/>
    <s v="인스타그램(전환)"/>
    <x v="0"/>
    <x v="0"/>
    <x v="0"/>
    <m/>
    <m/>
    <n v="511305"/>
    <m/>
    <m/>
    <m/>
  </r>
  <r>
    <x v="60"/>
    <x v="5"/>
    <s v="인스타그램(전환)"/>
    <x v="0"/>
    <x v="0"/>
    <x v="0"/>
    <m/>
    <m/>
    <n v="529002"/>
    <m/>
    <m/>
    <m/>
  </r>
  <r>
    <x v="3"/>
    <x v="2"/>
    <s v="인스타그램(랄라블라)"/>
    <x v="0"/>
    <x v="0"/>
    <x v="0"/>
    <m/>
    <m/>
    <n v="52275"/>
    <m/>
    <m/>
    <m/>
  </r>
  <r>
    <x v="32"/>
    <x v="5"/>
    <s v="인스타그램(랄라블라)"/>
    <x v="0"/>
    <x v="0"/>
    <x v="0"/>
    <m/>
    <m/>
    <n v="51893"/>
    <m/>
    <m/>
    <m/>
  </r>
  <r>
    <x v="33"/>
    <x v="6"/>
    <s v="인스타그램(랄라블라)"/>
    <x v="0"/>
    <x v="0"/>
    <x v="0"/>
    <m/>
    <m/>
    <n v="50491"/>
    <m/>
    <m/>
    <m/>
  </r>
  <r>
    <x v="34"/>
    <x v="3"/>
    <s v="인스타그램(랄라블라)"/>
    <x v="0"/>
    <x v="0"/>
    <x v="0"/>
    <m/>
    <m/>
    <n v="12046"/>
    <m/>
    <m/>
    <m/>
  </r>
  <r>
    <x v="35"/>
    <x v="4"/>
    <s v="인스타그램(랄라블라)"/>
    <x v="0"/>
    <x v="0"/>
    <x v="0"/>
    <m/>
    <m/>
    <n v="54874"/>
    <m/>
    <m/>
    <m/>
  </r>
  <r>
    <x v="36"/>
    <x v="1"/>
    <s v="인스타그램(랄라블라)"/>
    <x v="0"/>
    <x v="0"/>
    <x v="0"/>
    <m/>
    <m/>
    <n v="57633"/>
    <m/>
    <m/>
    <m/>
  </r>
  <r>
    <x v="37"/>
    <x v="0"/>
    <s v="인스타그램(랄라블라)"/>
    <x v="0"/>
    <x v="0"/>
    <x v="0"/>
    <m/>
    <m/>
    <n v="57304"/>
    <m/>
    <m/>
    <m/>
  </r>
  <r>
    <x v="38"/>
    <x v="2"/>
    <s v="인스타그램(랄라블라)"/>
    <x v="0"/>
    <x v="0"/>
    <x v="0"/>
    <m/>
    <m/>
    <n v="57666"/>
    <m/>
    <m/>
    <m/>
  </r>
  <r>
    <x v="39"/>
    <x v="5"/>
    <s v="인스타그램(랄라블라)"/>
    <x v="0"/>
    <x v="0"/>
    <x v="0"/>
    <m/>
    <m/>
    <n v="57655"/>
    <m/>
    <m/>
    <m/>
  </r>
  <r>
    <x v="40"/>
    <x v="6"/>
    <s v="인스타그램(랄라블라)"/>
    <x v="0"/>
    <x v="0"/>
    <x v="0"/>
    <m/>
    <m/>
    <n v="50134"/>
    <m/>
    <m/>
    <m/>
  </r>
  <r>
    <x v="41"/>
    <x v="3"/>
    <s v="인스타그램(랄라블라)"/>
    <x v="0"/>
    <x v="0"/>
    <x v="0"/>
    <m/>
    <m/>
    <n v="34293"/>
    <m/>
    <m/>
    <m/>
  </r>
  <r>
    <x v="42"/>
    <x v="4"/>
    <s v="인스타그램(랄라블라)"/>
    <x v="0"/>
    <x v="0"/>
    <x v="0"/>
    <m/>
    <m/>
    <n v="24871"/>
    <m/>
    <m/>
    <m/>
  </r>
  <r>
    <x v="43"/>
    <x v="1"/>
    <s v="인스타그램(랄라블라)"/>
    <x v="0"/>
    <x v="0"/>
    <x v="0"/>
    <m/>
    <m/>
    <n v="23891"/>
    <m/>
    <m/>
    <m/>
  </r>
  <r>
    <x v="44"/>
    <x v="0"/>
    <s v="인스타그램(랄라블라)"/>
    <x v="0"/>
    <x v="0"/>
    <x v="0"/>
    <m/>
    <m/>
    <n v="24721"/>
    <m/>
    <m/>
    <m/>
  </r>
  <r>
    <x v="45"/>
    <x v="2"/>
    <s v="인스타그램(랄라블라)"/>
    <x v="0"/>
    <x v="0"/>
    <x v="0"/>
    <m/>
    <m/>
    <n v="25411"/>
    <m/>
    <m/>
    <m/>
  </r>
  <r>
    <x v="46"/>
    <x v="5"/>
    <s v="인스타그램(랄라블라)"/>
    <x v="0"/>
    <x v="0"/>
    <x v="0"/>
    <m/>
    <m/>
    <n v="25174"/>
    <m/>
    <m/>
    <m/>
  </r>
  <r>
    <x v="47"/>
    <x v="6"/>
    <s v="인스타그램(랄라블라)"/>
    <x v="0"/>
    <x v="0"/>
    <x v="0"/>
    <m/>
    <m/>
    <n v="25041"/>
    <m/>
    <m/>
    <m/>
  </r>
  <r>
    <x v="48"/>
    <x v="3"/>
    <s v="인스타그램(랄라블라)"/>
    <x v="0"/>
    <x v="0"/>
    <x v="0"/>
    <m/>
    <m/>
    <n v="24011"/>
    <m/>
    <m/>
    <m/>
  </r>
  <r>
    <x v="49"/>
    <x v="4"/>
    <s v="인스타그램(랄라블라)"/>
    <x v="0"/>
    <x v="0"/>
    <x v="0"/>
    <m/>
    <m/>
    <n v="25223"/>
    <m/>
    <m/>
    <m/>
  </r>
  <r>
    <x v="50"/>
    <x v="1"/>
    <s v="인스타그램(랄라블라)"/>
    <x v="0"/>
    <x v="0"/>
    <x v="0"/>
    <m/>
    <m/>
    <n v="24434"/>
    <m/>
    <m/>
    <m/>
  </r>
  <r>
    <x v="51"/>
    <x v="0"/>
    <s v="인스타그램(랄라블라)"/>
    <x v="0"/>
    <x v="0"/>
    <x v="0"/>
    <m/>
    <m/>
    <n v="25463"/>
    <m/>
    <m/>
    <m/>
  </r>
  <r>
    <x v="52"/>
    <x v="2"/>
    <s v="인스타그램(랄라블라)"/>
    <x v="0"/>
    <x v="0"/>
    <x v="0"/>
    <m/>
    <m/>
    <n v="25474"/>
    <m/>
    <m/>
    <m/>
  </r>
  <r>
    <x v="53"/>
    <x v="5"/>
    <s v="인스타그램(랄라블라)"/>
    <x v="0"/>
    <x v="0"/>
    <x v="0"/>
    <m/>
    <m/>
    <n v="25354"/>
    <m/>
    <m/>
    <m/>
  </r>
  <r>
    <x v="54"/>
    <x v="6"/>
    <s v="인스타그램(랄라블라)"/>
    <x v="0"/>
    <x v="0"/>
    <x v="0"/>
    <m/>
    <m/>
    <n v="25051"/>
    <m/>
    <m/>
    <m/>
  </r>
  <r>
    <x v="55"/>
    <x v="3"/>
    <s v="인스타그램(랄라블라)"/>
    <x v="0"/>
    <x v="0"/>
    <x v="0"/>
    <m/>
    <m/>
    <n v="24121"/>
    <m/>
    <m/>
    <m/>
  </r>
  <r>
    <x v="56"/>
    <x v="4"/>
    <s v="인스타그램(랄라블라)"/>
    <x v="0"/>
    <x v="0"/>
    <x v="0"/>
    <m/>
    <m/>
    <n v="25156"/>
    <m/>
    <m/>
    <m/>
  </r>
  <r>
    <x v="57"/>
    <x v="1"/>
    <s v="인스타그램(랄라블라)"/>
    <x v="0"/>
    <x v="0"/>
    <x v="0"/>
    <m/>
    <m/>
    <n v="25190"/>
    <m/>
    <m/>
    <m/>
  </r>
  <r>
    <x v="58"/>
    <x v="0"/>
    <s v="인스타그램(랄라블라)"/>
    <x v="0"/>
    <x v="0"/>
    <x v="0"/>
    <m/>
    <m/>
    <n v="24853"/>
    <m/>
    <m/>
    <m/>
  </r>
  <r>
    <x v="59"/>
    <x v="2"/>
    <s v="인스타그램(랄라블라)"/>
    <x v="0"/>
    <x v="0"/>
    <x v="0"/>
    <m/>
    <m/>
    <n v="25392"/>
    <m/>
    <m/>
    <m/>
  </r>
  <r>
    <x v="60"/>
    <x v="5"/>
    <s v="인스타그램(랄라블라)"/>
    <x v="0"/>
    <x v="0"/>
    <x v="0"/>
    <m/>
    <m/>
    <n v="25237"/>
    <m/>
    <m/>
    <m/>
  </r>
  <r>
    <x v="3"/>
    <x v="2"/>
    <s v="페이스북(전환)"/>
    <x v="0"/>
    <x v="0"/>
    <x v="0"/>
    <m/>
    <m/>
    <n v="195181"/>
    <m/>
    <m/>
    <m/>
  </r>
  <r>
    <x v="32"/>
    <x v="5"/>
    <s v="페이스북(전환)"/>
    <x v="0"/>
    <x v="0"/>
    <x v="0"/>
    <m/>
    <m/>
    <n v="122294"/>
    <m/>
    <m/>
    <m/>
  </r>
  <r>
    <x v="3"/>
    <x v="2"/>
    <s v="인스타그램(블로그)"/>
    <x v="0"/>
    <x v="0"/>
    <x v="0"/>
    <m/>
    <m/>
    <n v="50491"/>
    <m/>
    <m/>
    <m/>
  </r>
  <r>
    <x v="32"/>
    <x v="5"/>
    <s v="인스타그램(블로그)"/>
    <x v="0"/>
    <x v="0"/>
    <x v="0"/>
    <m/>
    <m/>
    <n v="51000"/>
    <m/>
    <m/>
    <m/>
  </r>
  <r>
    <x v="33"/>
    <x v="6"/>
    <s v="인스타그램(블로그)"/>
    <x v="0"/>
    <x v="0"/>
    <x v="0"/>
    <m/>
    <m/>
    <n v="50259"/>
    <m/>
    <m/>
    <m/>
  </r>
  <r>
    <x v="34"/>
    <x v="3"/>
    <s v="인스타그램(블로그)"/>
    <x v="0"/>
    <x v="0"/>
    <x v="0"/>
    <m/>
    <m/>
    <n v="48151"/>
    <m/>
    <m/>
    <m/>
  </r>
  <r>
    <x v="35"/>
    <x v="4"/>
    <s v="인스타그램(블로그)"/>
    <x v="0"/>
    <x v="0"/>
    <x v="0"/>
    <m/>
    <m/>
    <n v="50427"/>
    <m/>
    <m/>
    <m/>
  </r>
  <r>
    <x v="36"/>
    <x v="1"/>
    <s v="인스타그램(블로그)"/>
    <x v="0"/>
    <x v="0"/>
    <x v="0"/>
    <m/>
    <m/>
    <n v="49368"/>
    <m/>
    <m/>
    <m/>
  </r>
  <r>
    <x v="37"/>
    <x v="0"/>
    <s v="인스타그램(블로그)"/>
    <x v="0"/>
    <x v="0"/>
    <x v="0"/>
    <m/>
    <m/>
    <n v="50701"/>
    <m/>
    <m/>
    <m/>
  </r>
  <r>
    <x v="38"/>
    <x v="2"/>
    <s v="인스타그램(블로그)"/>
    <x v="0"/>
    <x v="0"/>
    <x v="0"/>
    <m/>
    <m/>
    <n v="48869"/>
    <m/>
    <m/>
    <m/>
  </r>
  <r>
    <x v="39"/>
    <x v="5"/>
    <s v="인스타그램(블로그)"/>
    <x v="0"/>
    <x v="0"/>
    <x v="0"/>
    <m/>
    <m/>
    <n v="52197"/>
    <m/>
    <m/>
    <m/>
  </r>
  <r>
    <x v="40"/>
    <x v="6"/>
    <s v="인스타그램(블로그)"/>
    <x v="0"/>
    <x v="0"/>
    <x v="0"/>
    <m/>
    <m/>
    <n v="50252"/>
    <m/>
    <m/>
    <m/>
  </r>
  <r>
    <x v="41"/>
    <x v="3"/>
    <s v="인스타그램(블로그)"/>
    <x v="0"/>
    <x v="0"/>
    <x v="0"/>
    <m/>
    <m/>
    <n v="48298"/>
    <m/>
    <m/>
    <m/>
  </r>
  <r>
    <x v="42"/>
    <x v="4"/>
    <s v="인스타그램(블로그)"/>
    <x v="0"/>
    <x v="0"/>
    <x v="0"/>
    <m/>
    <m/>
    <n v="50619"/>
    <m/>
    <m/>
    <m/>
  </r>
  <r>
    <x v="43"/>
    <x v="1"/>
    <s v="인스타그램(블로그)"/>
    <x v="0"/>
    <x v="0"/>
    <x v="0"/>
    <m/>
    <m/>
    <n v="50372"/>
    <m/>
    <m/>
    <m/>
  </r>
  <r>
    <x v="44"/>
    <x v="0"/>
    <s v="인스타그램(블로그)"/>
    <x v="0"/>
    <x v="0"/>
    <x v="0"/>
    <m/>
    <m/>
    <n v="49210"/>
    <m/>
    <m/>
    <m/>
  </r>
  <r>
    <x v="45"/>
    <x v="2"/>
    <s v="인스타그램(블로그)"/>
    <x v="0"/>
    <x v="0"/>
    <x v="0"/>
    <m/>
    <m/>
    <n v="50263"/>
    <m/>
    <m/>
    <m/>
  </r>
  <r>
    <x v="46"/>
    <x v="5"/>
    <s v="인스타그램(블로그)"/>
    <x v="0"/>
    <x v="0"/>
    <x v="0"/>
    <m/>
    <m/>
    <n v="50957"/>
    <m/>
    <m/>
    <m/>
  </r>
  <r>
    <x v="47"/>
    <x v="6"/>
    <s v="인스타그램(블로그)"/>
    <x v="0"/>
    <x v="0"/>
    <x v="0"/>
    <m/>
    <m/>
    <n v="50130"/>
    <m/>
    <m/>
    <m/>
  </r>
  <r>
    <x v="48"/>
    <x v="3"/>
    <s v="인스타그램(블로그)"/>
    <x v="0"/>
    <x v="0"/>
    <x v="0"/>
    <m/>
    <m/>
    <n v="48778"/>
    <m/>
    <m/>
    <m/>
  </r>
  <r>
    <x v="49"/>
    <x v="4"/>
    <s v="인스타그램(블로그)"/>
    <x v="0"/>
    <x v="0"/>
    <x v="0"/>
    <m/>
    <m/>
    <n v="48602"/>
    <m/>
    <m/>
    <m/>
  </r>
  <r>
    <x v="50"/>
    <x v="1"/>
    <s v="인스타그램(블로그)"/>
    <x v="0"/>
    <x v="0"/>
    <x v="0"/>
    <m/>
    <m/>
    <n v="49190"/>
    <m/>
    <m/>
    <m/>
  </r>
  <r>
    <x v="51"/>
    <x v="0"/>
    <s v="인스타그램(블로그)"/>
    <x v="0"/>
    <x v="0"/>
    <x v="0"/>
    <m/>
    <m/>
    <n v="50596"/>
    <m/>
    <m/>
    <m/>
  </r>
  <r>
    <x v="52"/>
    <x v="2"/>
    <s v="인스타그램(블로그)"/>
    <x v="0"/>
    <x v="0"/>
    <x v="0"/>
    <m/>
    <m/>
    <n v="50082"/>
    <m/>
    <m/>
    <m/>
  </r>
  <r>
    <x v="53"/>
    <x v="5"/>
    <s v="인스타그램(블로그)"/>
    <x v="0"/>
    <x v="0"/>
    <x v="0"/>
    <m/>
    <m/>
    <n v="52622"/>
    <m/>
    <m/>
    <m/>
  </r>
  <r>
    <x v="54"/>
    <x v="6"/>
    <s v="인스타그램(블로그)"/>
    <x v="0"/>
    <x v="0"/>
    <x v="0"/>
    <m/>
    <m/>
    <n v="50158"/>
    <m/>
    <m/>
    <m/>
  </r>
  <r>
    <x v="55"/>
    <x v="3"/>
    <s v="인스타그램(블로그)"/>
    <x v="0"/>
    <x v="0"/>
    <x v="0"/>
    <m/>
    <m/>
    <n v="48491"/>
    <m/>
    <m/>
    <m/>
  </r>
  <r>
    <x v="56"/>
    <x v="4"/>
    <s v="인스타그램(블로그)"/>
    <x v="0"/>
    <x v="0"/>
    <x v="0"/>
    <m/>
    <m/>
    <n v="49023"/>
    <m/>
    <m/>
    <m/>
  </r>
  <r>
    <x v="57"/>
    <x v="1"/>
    <s v="인스타그램(블로그)"/>
    <x v="0"/>
    <x v="0"/>
    <x v="0"/>
    <m/>
    <m/>
    <n v="49431"/>
    <m/>
    <m/>
    <m/>
  </r>
  <r>
    <x v="58"/>
    <x v="0"/>
    <s v="인스타그램(블로그)"/>
    <x v="0"/>
    <x v="0"/>
    <x v="0"/>
    <m/>
    <m/>
    <n v="48688"/>
    <m/>
    <m/>
    <m/>
  </r>
  <r>
    <x v="59"/>
    <x v="2"/>
    <s v="인스타그램(블로그)"/>
    <x v="0"/>
    <x v="0"/>
    <x v="0"/>
    <m/>
    <m/>
    <n v="51824"/>
    <m/>
    <m/>
    <m/>
  </r>
  <r>
    <x v="60"/>
    <x v="5"/>
    <s v="인스타그램(블로그)"/>
    <x v="0"/>
    <x v="0"/>
    <x v="0"/>
    <m/>
    <m/>
    <n v="52385"/>
    <m/>
    <m/>
    <m/>
  </r>
  <r>
    <x v="3"/>
    <x v="2"/>
    <s v="네이버 쇼핑검색"/>
    <x v="0"/>
    <x v="0"/>
    <x v="0"/>
    <m/>
    <m/>
    <n v="3900"/>
    <m/>
    <m/>
    <m/>
  </r>
  <r>
    <x v="32"/>
    <x v="5"/>
    <s v="네이버 쇼핑검색"/>
    <x v="0"/>
    <x v="0"/>
    <x v="0"/>
    <m/>
    <m/>
    <n v="3110"/>
    <m/>
    <m/>
    <m/>
  </r>
  <r>
    <x v="33"/>
    <x v="6"/>
    <s v="네이버 쇼핑검색"/>
    <x v="0"/>
    <x v="0"/>
    <x v="0"/>
    <m/>
    <m/>
    <n v="4670"/>
    <m/>
    <m/>
    <m/>
  </r>
  <r>
    <x v="34"/>
    <x v="3"/>
    <s v="네이버 쇼핑검색"/>
    <x v="0"/>
    <x v="0"/>
    <x v="0"/>
    <m/>
    <m/>
    <n v="2640"/>
    <m/>
    <m/>
    <m/>
  </r>
  <r>
    <x v="35"/>
    <x v="4"/>
    <s v="네이버 쇼핑검색"/>
    <x v="0"/>
    <x v="0"/>
    <x v="0"/>
    <m/>
    <m/>
    <n v="3990"/>
    <m/>
    <m/>
    <m/>
  </r>
  <r>
    <x v="36"/>
    <x v="1"/>
    <s v="네이버 쇼핑검색"/>
    <x v="0"/>
    <x v="0"/>
    <x v="0"/>
    <m/>
    <m/>
    <n v="4940"/>
    <m/>
    <m/>
    <m/>
  </r>
  <r>
    <x v="37"/>
    <x v="0"/>
    <s v="네이버 쇼핑검색"/>
    <x v="0"/>
    <x v="0"/>
    <x v="0"/>
    <m/>
    <m/>
    <n v="3990"/>
    <m/>
    <m/>
    <m/>
  </r>
  <r>
    <x v="38"/>
    <x v="2"/>
    <s v="네이버 쇼핑검색"/>
    <x v="0"/>
    <x v="0"/>
    <x v="0"/>
    <m/>
    <m/>
    <n v="4550"/>
    <m/>
    <m/>
    <m/>
  </r>
  <r>
    <x v="39"/>
    <x v="5"/>
    <s v="네이버 쇼핑검색"/>
    <x v="0"/>
    <x v="0"/>
    <x v="0"/>
    <m/>
    <m/>
    <n v="4020"/>
    <m/>
    <m/>
    <m/>
  </r>
  <r>
    <x v="40"/>
    <x v="6"/>
    <s v="네이버 쇼핑검색"/>
    <x v="0"/>
    <x v="0"/>
    <x v="0"/>
    <m/>
    <m/>
    <n v="4750"/>
    <m/>
    <m/>
    <m/>
  </r>
  <r>
    <x v="41"/>
    <x v="3"/>
    <s v="네이버 쇼핑검색"/>
    <x v="0"/>
    <x v="0"/>
    <x v="0"/>
    <m/>
    <m/>
    <n v="4560"/>
    <m/>
    <m/>
    <m/>
  </r>
  <r>
    <x v="42"/>
    <x v="4"/>
    <s v="네이버 쇼핑검색"/>
    <x v="0"/>
    <x v="0"/>
    <x v="0"/>
    <m/>
    <m/>
    <n v="12350"/>
    <m/>
    <m/>
    <m/>
  </r>
  <r>
    <x v="43"/>
    <x v="1"/>
    <s v="네이버 쇼핑검색"/>
    <x v="0"/>
    <x v="0"/>
    <x v="0"/>
    <m/>
    <m/>
    <n v="6509.999999999999"/>
    <m/>
    <m/>
    <m/>
  </r>
  <r>
    <x v="44"/>
    <x v="0"/>
    <s v="네이버 쇼핑검색"/>
    <x v="0"/>
    <x v="0"/>
    <x v="0"/>
    <m/>
    <m/>
    <n v="4990"/>
    <m/>
    <m/>
    <m/>
  </r>
  <r>
    <x v="45"/>
    <x v="2"/>
    <s v="네이버 쇼핑검색"/>
    <x v="0"/>
    <x v="0"/>
    <x v="0"/>
    <m/>
    <m/>
    <n v="5400"/>
    <m/>
    <m/>
    <m/>
  </r>
  <r>
    <x v="46"/>
    <x v="5"/>
    <s v="네이버 쇼핑검색"/>
    <x v="0"/>
    <x v="0"/>
    <x v="0"/>
    <m/>
    <m/>
    <n v="4600"/>
    <m/>
    <m/>
    <m/>
  </r>
  <r>
    <x v="47"/>
    <x v="6"/>
    <s v="네이버 쇼핑검색"/>
    <x v="0"/>
    <x v="0"/>
    <x v="0"/>
    <m/>
    <m/>
    <n v="6199.999999999999"/>
    <m/>
    <m/>
    <m/>
  </r>
  <r>
    <x v="48"/>
    <x v="3"/>
    <s v="네이버 쇼핑검색"/>
    <x v="0"/>
    <x v="0"/>
    <x v="0"/>
    <m/>
    <m/>
    <n v="3980"/>
    <m/>
    <m/>
    <m/>
  </r>
  <r>
    <x v="49"/>
    <x v="4"/>
    <s v="네이버 쇼핑검색"/>
    <x v="0"/>
    <x v="0"/>
    <x v="0"/>
    <m/>
    <m/>
    <n v="8800"/>
    <m/>
    <m/>
    <m/>
  </r>
  <r>
    <x v="50"/>
    <x v="1"/>
    <s v="네이버 쇼핑검색"/>
    <x v="0"/>
    <x v="0"/>
    <x v="0"/>
    <m/>
    <m/>
    <n v="5799.999999999999"/>
    <m/>
    <m/>
    <m/>
  </r>
  <r>
    <x v="51"/>
    <x v="0"/>
    <s v="네이버 쇼핑검색"/>
    <x v="0"/>
    <x v="0"/>
    <x v="0"/>
    <m/>
    <m/>
    <n v="5590"/>
    <m/>
    <m/>
    <m/>
  </r>
  <r>
    <x v="52"/>
    <x v="2"/>
    <s v="네이버 쇼핑검색"/>
    <x v="0"/>
    <x v="0"/>
    <x v="0"/>
    <m/>
    <m/>
    <n v="5350"/>
    <m/>
    <m/>
    <m/>
  </r>
  <r>
    <x v="53"/>
    <x v="5"/>
    <s v="네이버 쇼핑검색"/>
    <x v="0"/>
    <x v="0"/>
    <x v="0"/>
    <m/>
    <m/>
    <n v="5200"/>
    <m/>
    <m/>
    <m/>
  </r>
  <r>
    <x v="54"/>
    <x v="6"/>
    <s v="네이버 쇼핑검색"/>
    <x v="0"/>
    <x v="0"/>
    <x v="0"/>
    <m/>
    <m/>
    <n v="6799.999999999999"/>
    <m/>
    <m/>
    <m/>
  </r>
  <r>
    <x v="55"/>
    <x v="3"/>
    <s v="네이버 쇼핑검색"/>
    <x v="0"/>
    <x v="0"/>
    <x v="0"/>
    <m/>
    <m/>
    <n v="6199.999999999999"/>
    <m/>
    <m/>
    <m/>
  </r>
  <r>
    <x v="56"/>
    <x v="4"/>
    <s v="네이버 쇼핑검색"/>
    <x v="0"/>
    <x v="0"/>
    <x v="0"/>
    <m/>
    <m/>
    <n v="5350"/>
    <m/>
    <m/>
    <m/>
  </r>
  <r>
    <x v="57"/>
    <x v="1"/>
    <s v="네이버 쇼핑검색"/>
    <x v="0"/>
    <x v="0"/>
    <x v="0"/>
    <m/>
    <m/>
    <n v="3600"/>
    <m/>
    <m/>
    <m/>
  </r>
  <r>
    <x v="58"/>
    <x v="0"/>
    <s v="네이버 쇼핑검색"/>
    <x v="0"/>
    <x v="0"/>
    <x v="0"/>
    <m/>
    <m/>
    <n v="3390"/>
    <m/>
    <m/>
    <m/>
  </r>
  <r>
    <x v="59"/>
    <x v="2"/>
    <s v="네이버 쇼핑검색"/>
    <x v="0"/>
    <x v="0"/>
    <x v="0"/>
    <m/>
    <m/>
    <n v="4550"/>
    <m/>
    <m/>
    <m/>
  </r>
  <r>
    <x v="60"/>
    <x v="5"/>
    <s v="네이버 쇼핑검색"/>
    <x v="0"/>
    <x v="0"/>
    <x v="0"/>
    <m/>
    <m/>
    <n v="3600"/>
    <m/>
    <m/>
    <m/>
  </r>
  <r>
    <x v="3"/>
    <x v="2"/>
    <s v="네이버 브랜드검색"/>
    <x v="0"/>
    <x v="0"/>
    <x v="0"/>
    <m/>
    <m/>
    <n v="20000"/>
    <m/>
    <m/>
    <m/>
  </r>
  <r>
    <x v="32"/>
    <x v="5"/>
    <s v="네이버 브랜드검색"/>
    <x v="0"/>
    <x v="0"/>
    <x v="0"/>
    <m/>
    <m/>
    <n v="20000"/>
    <m/>
    <m/>
    <m/>
  </r>
  <r>
    <x v="33"/>
    <x v="6"/>
    <s v="네이버 브랜드검색"/>
    <x v="0"/>
    <x v="0"/>
    <x v="0"/>
    <m/>
    <m/>
    <n v="20000"/>
    <m/>
    <m/>
    <m/>
  </r>
  <r>
    <x v="34"/>
    <x v="3"/>
    <s v="네이버 브랜드검색"/>
    <x v="0"/>
    <x v="0"/>
    <x v="0"/>
    <m/>
    <m/>
    <n v="20000"/>
    <m/>
    <m/>
    <m/>
  </r>
  <r>
    <x v="35"/>
    <x v="4"/>
    <s v="네이버 브랜드검색"/>
    <x v="0"/>
    <x v="0"/>
    <x v="0"/>
    <m/>
    <m/>
    <n v="20000"/>
    <m/>
    <m/>
    <m/>
  </r>
  <r>
    <x v="36"/>
    <x v="1"/>
    <s v="네이버 브랜드검색"/>
    <x v="0"/>
    <x v="0"/>
    <x v="0"/>
    <m/>
    <m/>
    <n v="20000"/>
    <m/>
    <m/>
    <m/>
  </r>
  <r>
    <x v="37"/>
    <x v="0"/>
    <s v="네이버 브랜드검색"/>
    <x v="0"/>
    <x v="0"/>
    <x v="0"/>
    <m/>
    <m/>
    <n v="20000"/>
    <m/>
    <m/>
    <m/>
  </r>
  <r>
    <x v="38"/>
    <x v="2"/>
    <s v="네이버 브랜드검색"/>
    <x v="0"/>
    <x v="0"/>
    <x v="0"/>
    <m/>
    <m/>
    <n v="20000"/>
    <m/>
    <m/>
    <m/>
  </r>
  <r>
    <x v="39"/>
    <x v="5"/>
    <s v="네이버 브랜드검색"/>
    <x v="0"/>
    <x v="0"/>
    <x v="0"/>
    <m/>
    <m/>
    <n v="20000"/>
    <m/>
    <m/>
    <m/>
  </r>
  <r>
    <x v="40"/>
    <x v="6"/>
    <s v="네이버 브랜드검색"/>
    <x v="0"/>
    <x v="0"/>
    <x v="0"/>
    <m/>
    <m/>
    <n v="20000"/>
    <m/>
    <m/>
    <m/>
  </r>
  <r>
    <x v="41"/>
    <x v="3"/>
    <s v="네이버 브랜드검색"/>
    <x v="0"/>
    <x v="0"/>
    <x v="0"/>
    <m/>
    <m/>
    <n v="20000"/>
    <m/>
    <m/>
    <m/>
  </r>
  <r>
    <x v="42"/>
    <x v="4"/>
    <s v="네이버 브랜드검색"/>
    <x v="0"/>
    <x v="0"/>
    <x v="0"/>
    <m/>
    <m/>
    <n v="20000"/>
    <m/>
    <m/>
    <m/>
  </r>
  <r>
    <x v="43"/>
    <x v="1"/>
    <s v="네이버 브랜드검색"/>
    <x v="0"/>
    <x v="0"/>
    <x v="0"/>
    <m/>
    <m/>
    <n v="20000"/>
    <m/>
    <m/>
    <m/>
  </r>
  <r>
    <x v="44"/>
    <x v="0"/>
    <s v="네이버 브랜드검색"/>
    <x v="0"/>
    <x v="0"/>
    <x v="0"/>
    <m/>
    <m/>
    <n v="20000"/>
    <m/>
    <m/>
    <m/>
  </r>
  <r>
    <x v="45"/>
    <x v="2"/>
    <s v="네이버 브랜드검색"/>
    <x v="0"/>
    <x v="0"/>
    <x v="0"/>
    <m/>
    <m/>
    <n v="20000"/>
    <m/>
    <m/>
    <m/>
  </r>
  <r>
    <x v="46"/>
    <x v="5"/>
    <s v="네이버 브랜드검색"/>
    <x v="0"/>
    <x v="0"/>
    <x v="0"/>
    <m/>
    <m/>
    <n v="20000"/>
    <m/>
    <m/>
    <m/>
  </r>
  <r>
    <x v="47"/>
    <x v="6"/>
    <s v="네이버 브랜드검색"/>
    <x v="0"/>
    <x v="0"/>
    <x v="0"/>
    <m/>
    <m/>
    <n v="20000"/>
    <m/>
    <m/>
    <m/>
  </r>
  <r>
    <x v="48"/>
    <x v="3"/>
    <s v="네이버 브랜드검색"/>
    <x v="0"/>
    <x v="0"/>
    <x v="0"/>
    <m/>
    <m/>
    <n v="20000"/>
    <m/>
    <m/>
    <m/>
  </r>
  <r>
    <x v="49"/>
    <x v="4"/>
    <s v="네이버 브랜드검색"/>
    <x v="0"/>
    <x v="0"/>
    <x v="0"/>
    <m/>
    <m/>
    <n v="20000"/>
    <m/>
    <m/>
    <m/>
  </r>
  <r>
    <x v="50"/>
    <x v="1"/>
    <s v="네이버 브랜드검색"/>
    <x v="0"/>
    <x v="0"/>
    <x v="0"/>
    <m/>
    <m/>
    <n v="20000"/>
    <m/>
    <m/>
    <m/>
  </r>
  <r>
    <x v="51"/>
    <x v="0"/>
    <s v="네이버 브랜드검색"/>
    <x v="0"/>
    <x v="0"/>
    <x v="0"/>
    <m/>
    <m/>
    <n v="20000"/>
    <m/>
    <m/>
    <m/>
  </r>
  <r>
    <x v="52"/>
    <x v="2"/>
    <s v="네이버 브랜드검색"/>
    <x v="0"/>
    <x v="0"/>
    <x v="0"/>
    <m/>
    <m/>
    <n v="20000"/>
    <m/>
    <m/>
    <m/>
  </r>
  <r>
    <x v="53"/>
    <x v="5"/>
    <s v="네이버 브랜드검색"/>
    <x v="0"/>
    <x v="0"/>
    <x v="0"/>
    <m/>
    <m/>
    <n v="20000"/>
    <m/>
    <m/>
    <m/>
  </r>
  <r>
    <x v="54"/>
    <x v="6"/>
    <s v="네이버 브랜드검색"/>
    <x v="0"/>
    <x v="0"/>
    <x v="0"/>
    <m/>
    <m/>
    <n v="20000"/>
    <m/>
    <m/>
    <m/>
  </r>
  <r>
    <x v="55"/>
    <x v="3"/>
    <s v="네이버 브랜드검색"/>
    <x v="0"/>
    <x v="0"/>
    <x v="0"/>
    <m/>
    <m/>
    <n v="20000"/>
    <m/>
    <m/>
    <m/>
  </r>
  <r>
    <x v="56"/>
    <x v="4"/>
    <s v="네이버 브랜드검색"/>
    <x v="0"/>
    <x v="0"/>
    <x v="0"/>
    <m/>
    <m/>
    <n v="20000"/>
    <m/>
    <m/>
    <m/>
  </r>
  <r>
    <x v="57"/>
    <x v="1"/>
    <s v="네이버 브랜드검색"/>
    <x v="0"/>
    <x v="0"/>
    <x v="0"/>
    <m/>
    <m/>
    <n v="20000"/>
    <m/>
    <m/>
    <m/>
  </r>
  <r>
    <x v="58"/>
    <x v="0"/>
    <s v="네이버 브랜드검색"/>
    <x v="0"/>
    <x v="0"/>
    <x v="0"/>
    <m/>
    <m/>
    <n v="20000"/>
    <m/>
    <m/>
    <m/>
  </r>
  <r>
    <x v="59"/>
    <x v="2"/>
    <s v="네이버 브랜드검색"/>
    <x v="0"/>
    <x v="0"/>
    <x v="0"/>
    <m/>
    <m/>
    <n v="20000"/>
    <m/>
    <m/>
    <m/>
  </r>
  <r>
    <x v="60"/>
    <x v="5"/>
    <s v="네이버 브랜드검색"/>
    <x v="0"/>
    <x v="0"/>
    <x v="0"/>
    <m/>
    <m/>
    <n v="20000"/>
    <m/>
    <m/>
    <m/>
  </r>
  <r>
    <x v="44"/>
    <x v="0"/>
    <s v="네이버 무상캐시"/>
    <x v="0"/>
    <x v="0"/>
    <x v="0"/>
    <m/>
    <m/>
    <n v="-2400"/>
    <m/>
    <m/>
    <m/>
  </r>
  <r>
    <x v="45"/>
    <x v="2"/>
    <s v="네이버 무상캐시"/>
    <x v="0"/>
    <x v="0"/>
    <x v="0"/>
    <m/>
    <m/>
    <n v="-4260"/>
    <m/>
    <m/>
    <m/>
  </r>
  <r>
    <x v="31"/>
    <x v="0"/>
    <s v="유튜브(지안씨_일반)"/>
    <x v="0"/>
    <x v="0"/>
    <x v="0"/>
    <m/>
    <m/>
    <n v="2500000"/>
    <m/>
    <m/>
    <m/>
  </r>
  <r>
    <x v="8"/>
    <x v="5"/>
    <s v="네이버(어성초토너)"/>
    <x v="0"/>
    <x v="0"/>
    <x v="0"/>
    <m/>
    <m/>
    <n v="1000000"/>
    <m/>
    <m/>
    <m/>
  </r>
  <r>
    <x v="35"/>
    <x v="4"/>
    <s v="유튜브(챙잇_브랜디드)"/>
    <x v="0"/>
    <x v="0"/>
    <x v="0"/>
    <m/>
    <m/>
    <n v="6000000"/>
    <m/>
    <m/>
    <m/>
  </r>
  <r>
    <x v="37"/>
    <x v="0"/>
    <s v="유튜브(단미_반기획)"/>
    <x v="0"/>
    <x v="0"/>
    <x v="0"/>
    <m/>
    <m/>
    <n v="4500000"/>
    <m/>
    <m/>
    <m/>
  </r>
  <r>
    <x v="41"/>
    <x v="3"/>
    <s v="커뮤니티(쭉빵카페)"/>
    <x v="0"/>
    <x v="0"/>
    <x v="0"/>
    <m/>
    <m/>
    <n v="1500000"/>
    <m/>
    <m/>
    <m/>
  </r>
  <r>
    <x v="61"/>
    <x v="6"/>
    <s v="인스타그램(랄라블라)"/>
    <x v="0"/>
    <x v="0"/>
    <x v="0"/>
    <m/>
    <m/>
    <n v="25050"/>
    <m/>
    <m/>
    <m/>
  </r>
  <r>
    <x v="61"/>
    <x v="6"/>
    <s v="인스타그램(블로그)"/>
    <x v="0"/>
    <x v="0"/>
    <x v="0"/>
    <m/>
    <m/>
    <n v="50064"/>
    <m/>
    <m/>
    <m/>
  </r>
  <r>
    <x v="61"/>
    <x v="6"/>
    <s v="인스타그램(전환)"/>
    <x v="0"/>
    <x v="0"/>
    <x v="0"/>
    <m/>
    <m/>
    <n v="501023"/>
    <m/>
    <m/>
    <m/>
  </r>
  <r>
    <x v="61"/>
    <x v="6"/>
    <s v="네이버 브랜드검색"/>
    <x v="0"/>
    <x v="0"/>
    <x v="0"/>
    <m/>
    <m/>
    <n v="20000"/>
    <m/>
    <m/>
    <m/>
  </r>
  <r>
    <x v="61"/>
    <x v="6"/>
    <s v="네이버 쇼핑검색"/>
    <x v="0"/>
    <x v="0"/>
    <x v="0"/>
    <m/>
    <m/>
    <n v="6599.999999999999"/>
    <m/>
    <m/>
    <m/>
  </r>
  <r>
    <x v="62"/>
    <x v="3"/>
    <s v="인스타그램(랄라블라)"/>
    <x v="0"/>
    <x v="0"/>
    <x v="0"/>
    <m/>
    <m/>
    <n v="23962"/>
    <m/>
    <m/>
    <m/>
  </r>
  <r>
    <x v="62"/>
    <x v="3"/>
    <s v="인스타그램(블로그)"/>
    <x v="0"/>
    <x v="0"/>
    <x v="0"/>
    <m/>
    <m/>
    <n v="48392"/>
    <m/>
    <m/>
    <m/>
  </r>
  <r>
    <x v="62"/>
    <x v="3"/>
    <s v="인스타그램(전환)"/>
    <x v="0"/>
    <x v="0"/>
    <x v="0"/>
    <m/>
    <m/>
    <n v="483331"/>
    <m/>
    <m/>
    <m/>
  </r>
  <r>
    <x v="62"/>
    <x v="3"/>
    <s v="네이버 브랜드검색"/>
    <x v="0"/>
    <x v="0"/>
    <x v="0"/>
    <m/>
    <m/>
    <n v="20000"/>
    <m/>
    <m/>
    <m/>
  </r>
  <r>
    <x v="62"/>
    <x v="3"/>
    <s v="네이버 쇼핑검색"/>
    <x v="0"/>
    <x v="0"/>
    <x v="0"/>
    <m/>
    <m/>
    <n v="4360"/>
    <m/>
    <m/>
    <m/>
  </r>
  <r>
    <x v="63"/>
    <x v="4"/>
    <s v="인스타그램(랄라블라)"/>
    <x v="0"/>
    <x v="0"/>
    <x v="0"/>
    <m/>
    <m/>
    <n v="25278"/>
    <m/>
    <m/>
    <m/>
  </r>
  <r>
    <x v="63"/>
    <x v="4"/>
    <s v="인스타그램(블로그)"/>
    <x v="0"/>
    <x v="0"/>
    <x v="0"/>
    <m/>
    <m/>
    <n v="50330"/>
    <m/>
    <m/>
    <m/>
  </r>
  <r>
    <x v="63"/>
    <x v="4"/>
    <s v="인스타그램(전환)"/>
    <x v="0"/>
    <x v="0"/>
    <x v="0"/>
    <m/>
    <m/>
    <n v="499445"/>
    <m/>
    <m/>
    <m/>
  </r>
  <r>
    <x v="63"/>
    <x v="4"/>
    <s v="네이버 브랜드검색"/>
    <x v="0"/>
    <x v="0"/>
    <x v="0"/>
    <m/>
    <m/>
    <n v="20000"/>
    <m/>
    <m/>
    <m/>
  </r>
  <r>
    <x v="63"/>
    <x v="4"/>
    <s v="네이버 쇼핑검색"/>
    <x v="0"/>
    <x v="0"/>
    <x v="0"/>
    <m/>
    <m/>
    <n v="216363.6363636364"/>
    <m/>
    <m/>
    <m/>
  </r>
  <r>
    <x v="64"/>
    <x v="1"/>
    <s v="인스타그램(랄라블라)"/>
    <x v="0"/>
    <x v="0"/>
    <x v="0"/>
    <m/>
    <m/>
    <n v="25144"/>
    <m/>
    <m/>
    <m/>
  </r>
  <r>
    <x v="64"/>
    <x v="1"/>
    <s v="인스타그램(블로그)"/>
    <x v="0"/>
    <x v="0"/>
    <x v="0"/>
    <m/>
    <m/>
    <n v="48615"/>
    <m/>
    <m/>
    <m/>
  </r>
  <r>
    <x v="64"/>
    <x v="1"/>
    <s v="인스타그램(전환)"/>
    <x v="0"/>
    <x v="0"/>
    <x v="0"/>
    <m/>
    <m/>
    <n v="484160"/>
    <m/>
    <m/>
    <m/>
  </r>
  <r>
    <x v="64"/>
    <x v="1"/>
    <s v="네이버 브랜드검색"/>
    <x v="0"/>
    <x v="0"/>
    <x v="0"/>
    <m/>
    <m/>
    <n v="20000"/>
    <m/>
    <m/>
    <m/>
  </r>
  <r>
    <x v="64"/>
    <x v="1"/>
    <s v="네이버 쇼핑검색"/>
    <x v="0"/>
    <x v="0"/>
    <x v="0"/>
    <m/>
    <m/>
    <n v="5600"/>
    <m/>
    <m/>
    <m/>
  </r>
  <r>
    <x v="65"/>
    <x v="0"/>
    <s v="인스타그램(랄라블라)"/>
    <x v="0"/>
    <x v="0"/>
    <x v="0"/>
    <m/>
    <m/>
    <n v="24640"/>
    <m/>
    <m/>
    <m/>
  </r>
  <r>
    <x v="65"/>
    <x v="0"/>
    <s v="인스타그램(블로그)"/>
    <x v="0"/>
    <x v="0"/>
    <x v="0"/>
    <m/>
    <m/>
    <n v="50478"/>
    <m/>
    <m/>
    <m/>
  </r>
  <r>
    <x v="65"/>
    <x v="0"/>
    <s v="인스타그램(전환)"/>
    <x v="0"/>
    <x v="0"/>
    <x v="0"/>
    <m/>
    <m/>
    <n v="497363"/>
    <m/>
    <m/>
    <m/>
  </r>
  <r>
    <x v="65"/>
    <x v="0"/>
    <s v="네이버 브랜드검색"/>
    <x v="0"/>
    <x v="0"/>
    <x v="0"/>
    <m/>
    <m/>
    <n v="20000"/>
    <m/>
    <m/>
    <m/>
  </r>
  <r>
    <x v="65"/>
    <x v="0"/>
    <s v="네이버 쇼핑검색"/>
    <x v="0"/>
    <x v="0"/>
    <x v="0"/>
    <m/>
    <m/>
    <n v="4980"/>
    <m/>
    <m/>
    <m/>
  </r>
  <r>
    <x v="66"/>
    <x v="2"/>
    <s v="인스타그램(랄라블라)"/>
    <x v="0"/>
    <x v="0"/>
    <x v="0"/>
    <m/>
    <m/>
    <n v="25591"/>
    <m/>
    <m/>
    <m/>
  </r>
  <r>
    <x v="66"/>
    <x v="2"/>
    <s v="인스타그램(블로그)"/>
    <x v="0"/>
    <x v="0"/>
    <x v="0"/>
    <m/>
    <m/>
    <n v="49603"/>
    <m/>
    <m/>
    <m/>
  </r>
  <r>
    <x v="66"/>
    <x v="2"/>
    <s v="인스타그램(전환)"/>
    <x v="0"/>
    <x v="0"/>
    <x v="0"/>
    <m/>
    <m/>
    <n v="498941"/>
    <m/>
    <m/>
    <m/>
  </r>
  <r>
    <x v="66"/>
    <x v="2"/>
    <s v="네이버 브랜드검색"/>
    <x v="0"/>
    <x v="0"/>
    <x v="0"/>
    <m/>
    <m/>
    <n v="20000"/>
    <m/>
    <m/>
    <m/>
  </r>
  <r>
    <x v="66"/>
    <x v="2"/>
    <s v="네이버 쇼핑검색"/>
    <x v="0"/>
    <x v="0"/>
    <x v="0"/>
    <m/>
    <m/>
    <n v="5200"/>
    <m/>
    <m/>
    <m/>
  </r>
  <r>
    <x v="67"/>
    <x v="5"/>
    <s v="인스타그램(랄라블라)"/>
    <x v="0"/>
    <x v="0"/>
    <x v="0"/>
    <m/>
    <m/>
    <n v="25335"/>
    <m/>
    <m/>
    <m/>
  </r>
  <r>
    <x v="67"/>
    <x v="5"/>
    <s v="인스타그램(블로그)"/>
    <x v="0"/>
    <x v="0"/>
    <x v="0"/>
    <m/>
    <m/>
    <n v="52518"/>
    <m/>
    <m/>
    <m/>
  </r>
  <r>
    <x v="67"/>
    <x v="5"/>
    <s v="인스타그램(전환)"/>
    <x v="0"/>
    <x v="0"/>
    <x v="0"/>
    <m/>
    <m/>
    <n v="535722"/>
    <m/>
    <m/>
    <m/>
  </r>
  <r>
    <x v="67"/>
    <x v="5"/>
    <s v="네이버 브랜드검색"/>
    <x v="0"/>
    <x v="0"/>
    <x v="0"/>
    <m/>
    <m/>
    <n v="20000"/>
    <m/>
    <m/>
    <m/>
  </r>
  <r>
    <x v="67"/>
    <x v="5"/>
    <s v="네이버 쇼핑검색"/>
    <x v="0"/>
    <x v="0"/>
    <x v="0"/>
    <m/>
    <m/>
    <n v="4200"/>
    <m/>
    <m/>
    <m/>
  </r>
  <r>
    <x v="68"/>
    <x v="6"/>
    <s v="인스타그램(랄라블라)"/>
    <x v="0"/>
    <x v="0"/>
    <x v="0"/>
    <m/>
    <m/>
    <n v="25053"/>
    <m/>
    <m/>
    <m/>
  </r>
  <r>
    <x v="68"/>
    <x v="6"/>
    <s v="인스타그램(블로그)"/>
    <x v="0"/>
    <x v="0"/>
    <x v="0"/>
    <m/>
    <m/>
    <n v="50474"/>
    <m/>
    <m/>
    <m/>
  </r>
  <r>
    <x v="68"/>
    <x v="6"/>
    <s v="인스타그램(전환)"/>
    <x v="0"/>
    <x v="0"/>
    <x v="0"/>
    <m/>
    <m/>
    <n v="501350"/>
    <m/>
    <m/>
    <m/>
  </r>
  <r>
    <x v="68"/>
    <x v="6"/>
    <s v="네이버 브랜드검색"/>
    <x v="0"/>
    <x v="0"/>
    <x v="0"/>
    <m/>
    <m/>
    <n v="20000"/>
    <m/>
    <m/>
    <m/>
  </r>
  <r>
    <x v="68"/>
    <x v="6"/>
    <s v="네이버 쇼핑검색"/>
    <x v="0"/>
    <x v="0"/>
    <x v="0"/>
    <m/>
    <m/>
    <n v="5799.999999999999"/>
    <m/>
    <m/>
    <m/>
  </r>
  <r>
    <x v="69"/>
    <x v="3"/>
    <s v="인스타그램(랄라블라)"/>
    <x v="0"/>
    <x v="0"/>
    <x v="0"/>
    <m/>
    <m/>
    <n v="24046"/>
    <m/>
    <m/>
    <m/>
  </r>
  <r>
    <x v="69"/>
    <x v="3"/>
    <s v="인스타그램(블로그)"/>
    <x v="0"/>
    <x v="0"/>
    <x v="0"/>
    <m/>
    <m/>
    <n v="49038"/>
    <m/>
    <m/>
    <m/>
  </r>
  <r>
    <x v="69"/>
    <x v="3"/>
    <s v="인스타그램(전환)"/>
    <x v="0"/>
    <x v="0"/>
    <x v="0"/>
    <m/>
    <m/>
    <n v="488953"/>
    <m/>
    <m/>
    <m/>
  </r>
  <r>
    <x v="69"/>
    <x v="3"/>
    <s v="네이버 브랜드검색"/>
    <x v="0"/>
    <x v="0"/>
    <x v="0"/>
    <m/>
    <m/>
    <n v="20000"/>
    <m/>
    <m/>
    <m/>
  </r>
  <r>
    <x v="69"/>
    <x v="3"/>
    <s v="네이버 쇼핑검색"/>
    <x v="0"/>
    <x v="0"/>
    <x v="0"/>
    <m/>
    <m/>
    <n v="5000"/>
    <m/>
    <m/>
    <m/>
  </r>
  <r>
    <x v="70"/>
    <x v="4"/>
    <s v="인스타그램(랄라블라)"/>
    <x v="0"/>
    <x v="0"/>
    <x v="0"/>
    <m/>
    <m/>
    <n v="25294"/>
    <m/>
    <m/>
    <m/>
  </r>
  <r>
    <x v="70"/>
    <x v="4"/>
    <s v="인스타그램(블로그)"/>
    <x v="0"/>
    <x v="0"/>
    <x v="0"/>
    <m/>
    <m/>
    <n v="48642"/>
    <m/>
    <m/>
    <m/>
  </r>
  <r>
    <x v="70"/>
    <x v="4"/>
    <s v="인스타그램(전환)"/>
    <x v="0"/>
    <x v="0"/>
    <x v="0"/>
    <m/>
    <m/>
    <n v="492391"/>
    <m/>
    <m/>
    <m/>
  </r>
  <r>
    <x v="70"/>
    <x v="4"/>
    <s v="네이버 브랜드검색"/>
    <x v="0"/>
    <x v="0"/>
    <x v="0"/>
    <m/>
    <m/>
    <n v="20000"/>
    <m/>
    <m/>
    <m/>
  </r>
  <r>
    <x v="70"/>
    <x v="4"/>
    <s v="네이버 쇼핑검색"/>
    <x v="0"/>
    <x v="0"/>
    <x v="0"/>
    <m/>
    <m/>
    <n v="7199.999999999999"/>
    <m/>
    <m/>
    <m/>
  </r>
  <r>
    <x v="71"/>
    <x v="1"/>
    <s v="인스타그램(랄라블라)"/>
    <x v="0"/>
    <x v="0"/>
    <x v="0"/>
    <m/>
    <m/>
    <n v="25143"/>
    <m/>
    <m/>
    <m/>
  </r>
  <r>
    <x v="71"/>
    <x v="1"/>
    <s v="인스타그램(블로그)"/>
    <x v="0"/>
    <x v="0"/>
    <x v="0"/>
    <m/>
    <m/>
    <n v="50353"/>
    <m/>
    <m/>
    <m/>
  </r>
  <r>
    <x v="71"/>
    <x v="1"/>
    <s v="인스타그램(전환)"/>
    <x v="0"/>
    <x v="0"/>
    <x v="0"/>
    <m/>
    <m/>
    <n v="501665"/>
    <m/>
    <m/>
    <m/>
  </r>
  <r>
    <x v="71"/>
    <x v="1"/>
    <s v="네이버 브랜드검색"/>
    <x v="0"/>
    <x v="0"/>
    <x v="0"/>
    <m/>
    <m/>
    <n v="20000"/>
    <m/>
    <m/>
    <m/>
  </r>
  <r>
    <x v="71"/>
    <x v="1"/>
    <s v="네이버 쇼핑검색"/>
    <x v="0"/>
    <x v="0"/>
    <x v="0"/>
    <m/>
    <m/>
    <n v="5200"/>
    <m/>
    <m/>
    <m/>
  </r>
  <r>
    <x v="72"/>
    <x v="0"/>
    <s v="인스타그램(랄라블라)"/>
    <x v="0"/>
    <x v="0"/>
    <x v="0"/>
    <m/>
    <m/>
    <n v="24502"/>
    <m/>
    <m/>
    <m/>
  </r>
  <r>
    <x v="72"/>
    <x v="0"/>
    <s v="인스타그램(블로그)"/>
    <x v="0"/>
    <x v="0"/>
    <x v="0"/>
    <m/>
    <m/>
    <n v="49344"/>
    <m/>
    <m/>
    <m/>
  </r>
  <r>
    <x v="72"/>
    <x v="0"/>
    <s v="인스타그램(전환)"/>
    <x v="0"/>
    <x v="0"/>
    <x v="0"/>
    <m/>
    <m/>
    <n v="535379"/>
    <m/>
    <m/>
    <m/>
  </r>
  <r>
    <x v="72"/>
    <x v="0"/>
    <s v="네이버 브랜드검색"/>
    <x v="0"/>
    <x v="0"/>
    <x v="0"/>
    <m/>
    <m/>
    <n v="20000"/>
    <m/>
    <m/>
    <m/>
  </r>
  <r>
    <x v="72"/>
    <x v="0"/>
    <s v="네이버 쇼핑검색"/>
    <x v="0"/>
    <x v="0"/>
    <x v="0"/>
    <m/>
    <m/>
    <n v="4600"/>
    <m/>
    <m/>
    <m/>
  </r>
  <r>
    <x v="73"/>
    <x v="2"/>
    <s v="인스타그램(랄라블라)"/>
    <x v="0"/>
    <x v="0"/>
    <x v="0"/>
    <m/>
    <m/>
    <n v="25527"/>
    <m/>
    <m/>
    <m/>
  </r>
  <r>
    <x v="73"/>
    <x v="2"/>
    <s v="인스타그램(블로그)"/>
    <x v="0"/>
    <x v="0"/>
    <x v="0"/>
    <m/>
    <m/>
    <n v="49212"/>
    <m/>
    <m/>
    <m/>
  </r>
  <r>
    <x v="73"/>
    <x v="2"/>
    <s v="인스타그램(전환)"/>
    <x v="0"/>
    <x v="0"/>
    <x v="0"/>
    <m/>
    <m/>
    <n v="660359"/>
    <m/>
    <m/>
    <m/>
  </r>
  <r>
    <x v="73"/>
    <x v="2"/>
    <s v="네이버 브랜드검색"/>
    <x v="0"/>
    <x v="0"/>
    <x v="0"/>
    <m/>
    <m/>
    <n v="20000"/>
    <m/>
    <m/>
    <m/>
  </r>
  <r>
    <x v="73"/>
    <x v="2"/>
    <s v="네이버 쇼핑검색"/>
    <x v="0"/>
    <x v="0"/>
    <x v="0"/>
    <m/>
    <m/>
    <n v="5170"/>
    <m/>
    <m/>
    <m/>
  </r>
  <r>
    <x v="74"/>
    <x v="5"/>
    <s v="인스타그램(랄라블라)"/>
    <x v="0"/>
    <x v="0"/>
    <x v="0"/>
    <m/>
    <m/>
    <n v="25435"/>
    <m/>
    <m/>
    <m/>
  </r>
  <r>
    <x v="74"/>
    <x v="5"/>
    <s v="인스타그램(블로그)"/>
    <x v="0"/>
    <x v="0"/>
    <x v="0"/>
    <m/>
    <m/>
    <n v="52937"/>
    <m/>
    <m/>
    <m/>
  </r>
  <r>
    <x v="74"/>
    <x v="5"/>
    <s v="인스타그램(전환)"/>
    <x v="0"/>
    <x v="0"/>
    <x v="0"/>
    <m/>
    <m/>
    <n v="505800"/>
    <m/>
    <m/>
    <m/>
  </r>
  <r>
    <x v="74"/>
    <x v="5"/>
    <s v="네이버 브랜드검색"/>
    <x v="0"/>
    <x v="0"/>
    <x v="0"/>
    <m/>
    <m/>
    <n v="20000"/>
    <m/>
    <m/>
    <m/>
  </r>
  <r>
    <x v="74"/>
    <x v="5"/>
    <s v="네이버 쇼핑검색"/>
    <x v="0"/>
    <x v="0"/>
    <x v="0"/>
    <m/>
    <m/>
    <n v="31090"/>
    <m/>
    <m/>
    <m/>
  </r>
  <r>
    <x v="75"/>
    <x v="6"/>
    <s v="인스타그램(랄라블라)"/>
    <x v="0"/>
    <x v="0"/>
    <x v="0"/>
    <m/>
    <m/>
    <n v="25029"/>
    <m/>
    <m/>
    <m/>
  </r>
  <r>
    <x v="75"/>
    <x v="6"/>
    <s v="인스타그램(블로그)"/>
    <x v="0"/>
    <x v="0"/>
    <x v="0"/>
    <m/>
    <m/>
    <n v="50268"/>
    <m/>
    <m/>
    <m/>
  </r>
  <r>
    <x v="75"/>
    <x v="6"/>
    <s v="인스타그램(전환)"/>
    <x v="0"/>
    <x v="0"/>
    <x v="0"/>
    <m/>
    <m/>
    <n v="501303"/>
    <m/>
    <m/>
    <m/>
  </r>
  <r>
    <x v="75"/>
    <x v="6"/>
    <s v="네이버 브랜드검색"/>
    <x v="0"/>
    <x v="0"/>
    <x v="0"/>
    <m/>
    <m/>
    <n v="20000"/>
    <m/>
    <m/>
    <m/>
  </r>
  <r>
    <x v="75"/>
    <x v="6"/>
    <s v="네이버 쇼핑검색"/>
    <x v="0"/>
    <x v="0"/>
    <x v="0"/>
    <m/>
    <m/>
    <n v="66390"/>
    <m/>
    <m/>
    <m/>
  </r>
  <r>
    <x v="76"/>
    <x v="3"/>
    <s v="인스타그램(랄라블라)"/>
    <x v="0"/>
    <x v="0"/>
    <x v="0"/>
    <m/>
    <m/>
    <n v="24111"/>
    <m/>
    <m/>
    <m/>
  </r>
  <r>
    <x v="76"/>
    <x v="3"/>
    <s v="인스타그램(블로그)"/>
    <x v="0"/>
    <x v="0"/>
    <x v="0"/>
    <m/>
    <m/>
    <n v="48303"/>
    <m/>
    <m/>
    <m/>
  </r>
  <r>
    <x v="76"/>
    <x v="3"/>
    <s v="인스타그램(전환)"/>
    <x v="0"/>
    <x v="0"/>
    <x v="0"/>
    <m/>
    <m/>
    <n v="483008"/>
    <m/>
    <m/>
    <m/>
  </r>
  <r>
    <x v="76"/>
    <x v="3"/>
    <s v="네이버 브랜드검색"/>
    <x v="0"/>
    <x v="0"/>
    <x v="0"/>
    <m/>
    <m/>
    <n v="20000"/>
    <m/>
    <m/>
    <m/>
  </r>
  <r>
    <x v="76"/>
    <x v="3"/>
    <s v="네이버 쇼핑검색"/>
    <x v="0"/>
    <x v="0"/>
    <x v="0"/>
    <m/>
    <m/>
    <n v="13520"/>
    <m/>
    <m/>
    <m/>
  </r>
  <r>
    <x v="77"/>
    <x v="4"/>
    <s v="인스타그램(랄라블라)"/>
    <x v="0"/>
    <x v="0"/>
    <x v="0"/>
    <m/>
    <m/>
    <n v="24294"/>
    <m/>
    <m/>
    <m/>
  </r>
  <r>
    <x v="77"/>
    <x v="4"/>
    <s v="인스타그램(블로그)"/>
    <x v="0"/>
    <x v="0"/>
    <x v="0"/>
    <m/>
    <m/>
    <n v="49118"/>
    <m/>
    <m/>
    <m/>
  </r>
  <r>
    <x v="77"/>
    <x v="4"/>
    <s v="인스타그램(전환)"/>
    <x v="0"/>
    <x v="0"/>
    <x v="0"/>
    <m/>
    <m/>
    <n v="496204"/>
    <m/>
    <m/>
    <m/>
  </r>
  <r>
    <x v="77"/>
    <x v="4"/>
    <s v="네이버 브랜드검색"/>
    <x v="0"/>
    <x v="0"/>
    <x v="0"/>
    <m/>
    <m/>
    <n v="20000"/>
    <m/>
    <m/>
    <m/>
  </r>
  <r>
    <x v="77"/>
    <x v="4"/>
    <s v="네이버 쇼핑검색"/>
    <x v="0"/>
    <x v="0"/>
    <x v="0"/>
    <m/>
    <m/>
    <n v="8200"/>
    <m/>
    <m/>
    <m/>
  </r>
  <r>
    <x v="78"/>
    <x v="1"/>
    <s v="인스타그램(랄라블라)"/>
    <x v="0"/>
    <x v="0"/>
    <x v="0"/>
    <m/>
    <m/>
    <n v="24611"/>
    <m/>
    <m/>
    <m/>
  </r>
  <r>
    <x v="78"/>
    <x v="1"/>
    <s v="인스타그램(블로그)"/>
    <x v="0"/>
    <x v="0"/>
    <x v="0"/>
    <m/>
    <m/>
    <n v="48682"/>
    <m/>
    <m/>
    <m/>
  </r>
  <r>
    <x v="78"/>
    <x v="1"/>
    <s v="인스타그램(전환)"/>
    <x v="0"/>
    <x v="0"/>
    <x v="0"/>
    <m/>
    <m/>
    <n v="493802"/>
    <m/>
    <m/>
    <m/>
  </r>
  <r>
    <x v="78"/>
    <x v="1"/>
    <s v="네이버 브랜드검색"/>
    <x v="0"/>
    <x v="0"/>
    <x v="0"/>
    <m/>
    <m/>
    <n v="20000"/>
    <m/>
    <m/>
    <m/>
  </r>
  <r>
    <x v="78"/>
    <x v="1"/>
    <s v="네이버 쇼핑검색"/>
    <x v="0"/>
    <x v="0"/>
    <x v="0"/>
    <m/>
    <m/>
    <n v="9600"/>
    <m/>
    <m/>
    <m/>
  </r>
  <r>
    <x v="78"/>
    <x v="1"/>
    <s v="속닥"/>
    <x v="0"/>
    <x v="0"/>
    <x v="0"/>
    <m/>
    <m/>
    <n v="1500000"/>
    <m/>
    <m/>
    <m/>
  </r>
  <r>
    <x v="79"/>
    <x v="0"/>
    <s v="인스타그램(랄라블라)"/>
    <x v="0"/>
    <x v="0"/>
    <x v="0"/>
    <m/>
    <m/>
    <n v="24707"/>
    <m/>
    <m/>
    <m/>
  </r>
  <r>
    <x v="79"/>
    <x v="0"/>
    <s v="인스타그램(블로그)"/>
    <x v="0"/>
    <x v="0"/>
    <x v="0"/>
    <m/>
    <m/>
    <n v="50103"/>
    <m/>
    <m/>
    <m/>
  </r>
  <r>
    <x v="79"/>
    <x v="0"/>
    <s v="인스타그램(전환)"/>
    <x v="0"/>
    <x v="0"/>
    <x v="0"/>
    <m/>
    <m/>
    <n v="495558"/>
    <m/>
    <m/>
    <m/>
  </r>
  <r>
    <x v="79"/>
    <x v="0"/>
    <s v="네이버 브랜드검색"/>
    <x v="0"/>
    <x v="0"/>
    <x v="0"/>
    <m/>
    <m/>
    <n v="20000"/>
    <m/>
    <m/>
    <m/>
  </r>
  <r>
    <x v="79"/>
    <x v="0"/>
    <s v="네이버 쇼핑검색"/>
    <x v="0"/>
    <x v="0"/>
    <x v="0"/>
    <m/>
    <m/>
    <n v="12600"/>
    <m/>
    <m/>
    <m/>
  </r>
  <r>
    <x v="80"/>
    <x v="2"/>
    <s v="인스타그램(랄라블라)"/>
    <x v="0"/>
    <x v="0"/>
    <x v="0"/>
    <m/>
    <m/>
    <n v="26167"/>
    <m/>
    <m/>
    <m/>
  </r>
  <r>
    <x v="80"/>
    <x v="2"/>
    <s v="인스타그램(블로그)"/>
    <x v="0"/>
    <x v="0"/>
    <x v="0"/>
    <m/>
    <m/>
    <n v="49883"/>
    <m/>
    <m/>
    <m/>
  </r>
  <r>
    <x v="80"/>
    <x v="2"/>
    <s v="인스타그램(전환)"/>
    <x v="0"/>
    <x v="0"/>
    <x v="0"/>
    <m/>
    <m/>
    <n v="495653"/>
    <m/>
    <m/>
    <m/>
  </r>
  <r>
    <x v="80"/>
    <x v="2"/>
    <s v="네이버 브랜드검색"/>
    <x v="0"/>
    <x v="0"/>
    <x v="0"/>
    <m/>
    <m/>
    <n v="20000"/>
    <m/>
    <m/>
    <m/>
  </r>
  <r>
    <x v="80"/>
    <x v="2"/>
    <s v="네이버 쇼핑검색"/>
    <x v="0"/>
    <x v="0"/>
    <x v="0"/>
    <m/>
    <m/>
    <n v="7799.999999999999"/>
    <m/>
    <m/>
    <m/>
  </r>
  <r>
    <x v="80"/>
    <x v="2"/>
    <s v="카카오톡 메시지"/>
    <x v="1"/>
    <x v="0"/>
    <x v="0"/>
    <m/>
    <m/>
    <n v="15495"/>
    <m/>
    <m/>
    <m/>
  </r>
  <r>
    <x v="80"/>
    <x v="2"/>
    <s v="카카오톡 메시지"/>
    <x v="1"/>
    <x v="0"/>
    <x v="1"/>
    <m/>
    <m/>
    <n v="20"/>
    <m/>
    <m/>
    <m/>
  </r>
  <r>
    <x v="78"/>
    <x v="1"/>
    <s v="SMS"/>
    <x v="2"/>
    <x v="0"/>
    <x v="1"/>
    <m/>
    <m/>
    <n v="3900"/>
    <m/>
    <m/>
    <m/>
  </r>
  <r>
    <x v="78"/>
    <x v="1"/>
    <s v="SMS"/>
    <x v="2"/>
    <x v="0"/>
    <x v="0"/>
    <m/>
    <m/>
    <n v="1000"/>
    <m/>
    <m/>
    <m/>
  </r>
  <r>
    <x v="79"/>
    <x v="0"/>
    <s v="SMS"/>
    <x v="2"/>
    <x v="0"/>
    <x v="0"/>
    <m/>
    <m/>
    <n v="3500"/>
    <m/>
    <m/>
    <m/>
  </r>
  <r>
    <x v="79"/>
    <x v="0"/>
    <s v="SMS"/>
    <x v="1"/>
    <x v="0"/>
    <x v="1"/>
    <m/>
    <m/>
    <n v="400"/>
    <m/>
    <m/>
    <m/>
  </r>
  <r>
    <x v="79"/>
    <x v="0"/>
    <s v="SMS"/>
    <x v="1"/>
    <x v="0"/>
    <x v="2"/>
    <m/>
    <m/>
    <n v="120"/>
    <m/>
    <m/>
    <m/>
  </r>
  <r>
    <x v="80"/>
    <x v="2"/>
    <s v="SMS"/>
    <x v="1"/>
    <x v="0"/>
    <x v="0"/>
    <m/>
    <m/>
    <n v="16900"/>
    <m/>
    <m/>
    <m/>
  </r>
  <r>
    <x v="80"/>
    <x v="2"/>
    <s v="SMS"/>
    <x v="1"/>
    <x v="0"/>
    <x v="1"/>
    <m/>
    <m/>
    <n v="100"/>
    <m/>
    <m/>
    <m/>
  </r>
  <r>
    <x v="81"/>
    <x v="5"/>
    <s v="인스타그램(랄라블라)"/>
    <x v="0"/>
    <x v="0"/>
    <x v="0"/>
    <m/>
    <m/>
    <n v="26081"/>
    <m/>
    <m/>
    <m/>
  </r>
  <r>
    <x v="81"/>
    <x v="5"/>
    <s v="인스타그램(블로그)"/>
    <x v="0"/>
    <x v="0"/>
    <x v="0"/>
    <m/>
    <m/>
    <n v="53643"/>
    <m/>
    <m/>
    <m/>
  </r>
  <r>
    <x v="81"/>
    <x v="5"/>
    <s v="인스타그램(전환)"/>
    <x v="0"/>
    <x v="0"/>
    <x v="0"/>
    <m/>
    <m/>
    <n v="534472"/>
    <m/>
    <m/>
    <m/>
  </r>
  <r>
    <x v="81"/>
    <x v="5"/>
    <s v="네이버 브랜드검색"/>
    <x v="0"/>
    <x v="0"/>
    <x v="0"/>
    <m/>
    <m/>
    <n v="20000"/>
    <m/>
    <m/>
    <m/>
  </r>
  <r>
    <x v="81"/>
    <x v="5"/>
    <s v="네이버 쇼핑검색"/>
    <x v="0"/>
    <x v="0"/>
    <x v="0"/>
    <m/>
    <m/>
    <n v="6399.999999999999"/>
    <m/>
    <m/>
    <m/>
  </r>
  <r>
    <x v="82"/>
    <x v="6"/>
    <s v="인스타그램(랄라블라)"/>
    <x v="0"/>
    <x v="0"/>
    <x v="0"/>
    <m/>
    <m/>
    <n v="25023"/>
    <m/>
    <m/>
    <m/>
  </r>
  <r>
    <x v="82"/>
    <x v="6"/>
    <s v="인스타그램(블로그)"/>
    <x v="0"/>
    <x v="0"/>
    <x v="0"/>
    <m/>
    <m/>
    <n v="50131"/>
    <m/>
    <m/>
    <m/>
  </r>
  <r>
    <x v="82"/>
    <x v="6"/>
    <s v="인스타그램(전환)"/>
    <x v="0"/>
    <x v="0"/>
    <x v="0"/>
    <m/>
    <m/>
    <n v="500422"/>
    <m/>
    <m/>
    <m/>
  </r>
  <r>
    <x v="82"/>
    <x v="6"/>
    <s v="네이버 브랜드검색"/>
    <x v="0"/>
    <x v="0"/>
    <x v="0"/>
    <m/>
    <m/>
    <n v="20000"/>
    <m/>
    <m/>
    <m/>
  </r>
  <r>
    <x v="82"/>
    <x v="6"/>
    <s v="네이버 쇼핑검색"/>
    <x v="0"/>
    <x v="0"/>
    <x v="0"/>
    <m/>
    <m/>
    <n v="7399.999999999999"/>
    <m/>
    <m/>
    <m/>
  </r>
  <r>
    <x v="83"/>
    <x v="3"/>
    <s v="인스타그램(랄라블라)"/>
    <x v="0"/>
    <x v="0"/>
    <x v="0"/>
    <m/>
    <m/>
    <n v="24146"/>
    <m/>
    <m/>
    <m/>
  </r>
  <r>
    <x v="83"/>
    <x v="3"/>
    <s v="인스타그램(블로그)"/>
    <x v="0"/>
    <x v="0"/>
    <x v="0"/>
    <m/>
    <m/>
    <n v="48348"/>
    <m/>
    <m/>
    <m/>
  </r>
  <r>
    <x v="83"/>
    <x v="3"/>
    <s v="인스타그램(전환)"/>
    <x v="0"/>
    <x v="0"/>
    <x v="0"/>
    <m/>
    <m/>
    <n v="482007"/>
    <m/>
    <m/>
    <m/>
  </r>
  <r>
    <x v="83"/>
    <x v="3"/>
    <s v="네이버 브랜드검색"/>
    <x v="0"/>
    <x v="0"/>
    <x v="0"/>
    <m/>
    <m/>
    <n v="20000"/>
    <m/>
    <m/>
    <m/>
  </r>
  <r>
    <x v="83"/>
    <x v="3"/>
    <s v="네이버 쇼핑검색"/>
    <x v="0"/>
    <x v="0"/>
    <x v="0"/>
    <m/>
    <m/>
    <n v="5000"/>
    <m/>
    <m/>
    <m/>
  </r>
  <r>
    <x v="83"/>
    <x v="3"/>
    <s v="카카오톡 메시지"/>
    <x v="1"/>
    <x v="0"/>
    <x v="3"/>
    <m/>
    <m/>
    <n v="600"/>
    <m/>
    <m/>
    <m/>
  </r>
  <r>
    <x v="83"/>
    <x v="3"/>
    <s v="카카오톡 메시지"/>
    <x v="1"/>
    <x v="0"/>
    <x v="4"/>
    <m/>
    <m/>
    <n v="1820"/>
    <m/>
    <m/>
    <m/>
  </r>
  <r>
    <x v="83"/>
    <x v="3"/>
    <s v="SMS"/>
    <x v="1"/>
    <x v="0"/>
    <x v="1"/>
    <m/>
    <m/>
    <n v="30"/>
    <m/>
    <m/>
    <m/>
  </r>
  <r>
    <x v="83"/>
    <x v="3"/>
    <s v="SMS"/>
    <x v="1"/>
    <x v="0"/>
    <x v="1"/>
    <m/>
    <m/>
    <n v="70"/>
    <m/>
    <m/>
    <m/>
  </r>
  <r>
    <x v="83"/>
    <x v="3"/>
    <s v="SMS"/>
    <x v="1"/>
    <x v="0"/>
    <x v="3"/>
    <m/>
    <m/>
    <n v="1680"/>
    <m/>
    <m/>
    <m/>
  </r>
  <r>
    <x v="83"/>
    <x v="3"/>
    <s v="SMS"/>
    <x v="1"/>
    <x v="0"/>
    <x v="4"/>
    <m/>
    <m/>
    <n v="300"/>
    <m/>
    <m/>
    <m/>
  </r>
  <r>
    <x v="83"/>
    <x v="3"/>
    <s v="SMS"/>
    <x v="0"/>
    <x v="0"/>
    <x v="5"/>
    <m/>
    <m/>
    <n v="350"/>
    <m/>
    <m/>
    <m/>
  </r>
  <r>
    <x v="84"/>
    <x v="4"/>
    <s v="인스타그램(랄라블라)"/>
    <x v="0"/>
    <x v="0"/>
    <x v="0"/>
    <m/>
    <m/>
    <n v="25209"/>
    <m/>
    <m/>
    <m/>
  </r>
  <r>
    <x v="84"/>
    <x v="4"/>
    <s v="인스타그램(블로그)"/>
    <x v="0"/>
    <x v="0"/>
    <x v="0"/>
    <m/>
    <m/>
    <n v="48581"/>
    <m/>
    <m/>
    <m/>
  </r>
  <r>
    <x v="84"/>
    <x v="4"/>
    <s v="인스타그램(전환)"/>
    <x v="0"/>
    <x v="0"/>
    <x v="0"/>
    <m/>
    <m/>
    <n v="487985"/>
    <m/>
    <m/>
    <m/>
  </r>
  <r>
    <x v="84"/>
    <x v="4"/>
    <s v="네이버 브랜드검색"/>
    <x v="0"/>
    <x v="0"/>
    <x v="0"/>
    <m/>
    <m/>
    <n v="20000"/>
    <m/>
    <m/>
    <m/>
  </r>
  <r>
    <x v="84"/>
    <x v="4"/>
    <s v="네이버 쇼핑검색"/>
    <x v="0"/>
    <x v="0"/>
    <x v="0"/>
    <m/>
    <m/>
    <n v="5400"/>
    <m/>
    <m/>
    <m/>
  </r>
  <r>
    <x v="84"/>
    <x v="4"/>
    <s v="카카오톡 메시지"/>
    <x v="2"/>
    <x v="0"/>
    <x v="6"/>
    <m/>
    <m/>
    <n v="60"/>
    <m/>
    <m/>
    <m/>
  </r>
  <r>
    <x v="84"/>
    <x v="4"/>
    <s v="SMS"/>
    <x v="2"/>
    <x v="0"/>
    <x v="1"/>
    <m/>
    <m/>
    <n v="30"/>
    <m/>
    <m/>
    <m/>
  </r>
  <r>
    <x v="84"/>
    <x v="4"/>
    <s v="SMS"/>
    <x v="2"/>
    <x v="0"/>
    <x v="6"/>
    <m/>
    <m/>
    <n v="390"/>
    <m/>
    <m/>
    <m/>
  </r>
  <r>
    <x v="84"/>
    <x v="4"/>
    <s v="SMS"/>
    <x v="1"/>
    <x v="0"/>
    <x v="7"/>
    <m/>
    <m/>
    <n v="1680"/>
    <m/>
    <m/>
    <m/>
  </r>
  <r>
    <x v="84"/>
    <x v="4"/>
    <s v="홈페이지 스킨 구매"/>
    <x v="3"/>
    <x v="0"/>
    <x v="0"/>
    <m/>
    <m/>
    <n v="227272.7272727273"/>
    <m/>
    <m/>
    <m/>
  </r>
  <r>
    <x v="85"/>
    <x v="1"/>
    <s v="인스타그램(랄라블라)"/>
    <x v="0"/>
    <x v="0"/>
    <x v="0"/>
    <m/>
    <m/>
    <n v="25202"/>
    <m/>
    <m/>
    <m/>
  </r>
  <r>
    <x v="85"/>
    <x v="1"/>
    <s v="인스타그램(블로그)"/>
    <x v="0"/>
    <x v="0"/>
    <x v="0"/>
    <m/>
    <m/>
    <n v="50805"/>
    <m/>
    <m/>
    <m/>
  </r>
  <r>
    <x v="85"/>
    <x v="1"/>
    <s v="인스타그램(전환)"/>
    <x v="0"/>
    <x v="0"/>
    <x v="0"/>
    <m/>
    <m/>
    <n v="509049"/>
    <m/>
    <m/>
    <m/>
  </r>
  <r>
    <x v="85"/>
    <x v="1"/>
    <s v="네이버 브랜드검색"/>
    <x v="0"/>
    <x v="0"/>
    <x v="0"/>
    <m/>
    <m/>
    <n v="20000"/>
    <m/>
    <m/>
    <m/>
  </r>
  <r>
    <x v="85"/>
    <x v="1"/>
    <s v="네이버 쇼핑검색"/>
    <x v="0"/>
    <x v="0"/>
    <x v="0"/>
    <m/>
    <m/>
    <n v="5799.999999999999"/>
    <m/>
    <m/>
    <m/>
  </r>
  <r>
    <x v="86"/>
    <x v="0"/>
    <s v="인스타그램(랄라블라)"/>
    <x v="0"/>
    <x v="0"/>
    <x v="0"/>
    <m/>
    <m/>
    <n v="24384"/>
    <m/>
    <m/>
    <m/>
  </r>
  <r>
    <x v="86"/>
    <x v="0"/>
    <s v="인스타그램(블로그)"/>
    <x v="0"/>
    <x v="0"/>
    <x v="0"/>
    <m/>
    <m/>
    <n v="49397"/>
    <m/>
    <m/>
    <m/>
  </r>
  <r>
    <x v="86"/>
    <x v="0"/>
    <s v="인스타그램(전환)"/>
    <x v="0"/>
    <x v="0"/>
    <x v="0"/>
    <m/>
    <m/>
    <n v="506898"/>
    <m/>
    <m/>
    <m/>
  </r>
  <r>
    <x v="86"/>
    <x v="0"/>
    <s v="네이버 브랜드검색"/>
    <x v="0"/>
    <x v="0"/>
    <x v="0"/>
    <m/>
    <m/>
    <n v="20000"/>
    <m/>
    <m/>
    <m/>
  </r>
  <r>
    <x v="86"/>
    <x v="0"/>
    <s v="네이버 쇼핑검색"/>
    <x v="0"/>
    <x v="0"/>
    <x v="0"/>
    <m/>
    <m/>
    <n v="8800"/>
    <m/>
    <m/>
    <m/>
  </r>
  <r>
    <x v="86"/>
    <x v="0"/>
    <s v="카카오톡 메시지"/>
    <x v="1"/>
    <x v="0"/>
    <x v="8"/>
    <m/>
    <m/>
    <n v="660"/>
    <m/>
    <m/>
    <m/>
  </r>
  <r>
    <x v="86"/>
    <x v="0"/>
    <s v="SMS"/>
    <x v="1"/>
    <x v="0"/>
    <x v="1"/>
    <m/>
    <m/>
    <n v="100"/>
    <m/>
    <m/>
    <m/>
  </r>
  <r>
    <x v="86"/>
    <x v="0"/>
    <s v="SMS"/>
    <x v="1"/>
    <x v="0"/>
    <x v="8"/>
    <m/>
    <m/>
    <n v="1470"/>
    <m/>
    <m/>
    <m/>
  </r>
  <r>
    <x v="87"/>
    <x v="2"/>
    <s v="인스타그램(랄라블라)"/>
    <x v="0"/>
    <x v="0"/>
    <x v="0"/>
    <m/>
    <m/>
    <n v="24523"/>
    <m/>
    <m/>
    <m/>
  </r>
  <r>
    <x v="87"/>
    <x v="2"/>
    <s v="인스타그램(블로그)"/>
    <x v="0"/>
    <x v="0"/>
    <x v="0"/>
    <m/>
    <m/>
    <n v="49321"/>
    <m/>
    <m/>
    <m/>
  </r>
  <r>
    <x v="87"/>
    <x v="2"/>
    <s v="인스타그램(전환)"/>
    <x v="0"/>
    <x v="0"/>
    <x v="0"/>
    <m/>
    <m/>
    <n v="490909"/>
    <m/>
    <m/>
    <m/>
  </r>
  <r>
    <x v="87"/>
    <x v="2"/>
    <s v="네이버 브랜드검색"/>
    <x v="0"/>
    <x v="0"/>
    <x v="0"/>
    <m/>
    <m/>
    <n v="20000"/>
    <m/>
    <m/>
    <m/>
  </r>
  <r>
    <x v="87"/>
    <x v="2"/>
    <s v="네이버 쇼핑검색"/>
    <x v="0"/>
    <x v="0"/>
    <x v="0"/>
    <m/>
    <m/>
    <n v="10400"/>
    <m/>
    <m/>
    <m/>
  </r>
  <r>
    <x v="87"/>
    <x v="2"/>
    <s v="카카오톡 메시지"/>
    <x v="2"/>
    <x v="0"/>
    <x v="9"/>
    <m/>
    <m/>
    <n v="40"/>
    <m/>
    <m/>
    <m/>
  </r>
  <r>
    <x v="87"/>
    <x v="2"/>
    <s v="SMS"/>
    <x v="2"/>
    <x v="0"/>
    <x v="1"/>
    <m/>
    <m/>
    <n v="70"/>
    <m/>
    <m/>
    <m/>
  </r>
  <r>
    <x v="87"/>
    <x v="2"/>
    <s v="SMS"/>
    <x v="2"/>
    <x v="0"/>
    <x v="9"/>
    <m/>
    <m/>
    <n v="420"/>
    <m/>
    <m/>
    <m/>
  </r>
  <r>
    <x v="87"/>
    <x v="2"/>
    <s v="제품 촬영"/>
    <x v="1"/>
    <x v="0"/>
    <x v="0"/>
    <m/>
    <m/>
    <n v="2550000"/>
    <m/>
    <m/>
    <m/>
  </r>
  <r>
    <x v="88"/>
    <x v="5"/>
    <s v="인스타그램(랄라블라)"/>
    <x v="0"/>
    <x v="0"/>
    <x v="0"/>
    <m/>
    <m/>
    <n v="26513"/>
    <m/>
    <m/>
    <m/>
  </r>
  <r>
    <x v="88"/>
    <x v="5"/>
    <s v="인스타그램(블로그)"/>
    <x v="0"/>
    <x v="0"/>
    <x v="0"/>
    <m/>
    <m/>
    <n v="53417"/>
    <m/>
    <m/>
    <m/>
  </r>
  <r>
    <x v="88"/>
    <x v="5"/>
    <s v="인스타그램(전환)"/>
    <x v="0"/>
    <x v="0"/>
    <x v="0"/>
    <m/>
    <m/>
    <n v="522730"/>
    <m/>
    <m/>
    <m/>
  </r>
  <r>
    <x v="88"/>
    <x v="5"/>
    <s v="네이버 브랜드검색"/>
    <x v="0"/>
    <x v="0"/>
    <x v="0"/>
    <m/>
    <m/>
    <n v="20000"/>
    <m/>
    <m/>
    <m/>
  </r>
  <r>
    <x v="88"/>
    <x v="5"/>
    <s v="네이버 쇼핑검색"/>
    <x v="0"/>
    <x v="0"/>
    <x v="0"/>
    <m/>
    <m/>
    <n v="7999.999999999999"/>
    <m/>
    <m/>
    <m/>
  </r>
  <r>
    <x v="89"/>
    <x v="6"/>
    <s v="인스타그램(랄라블라)"/>
    <x v="0"/>
    <x v="0"/>
    <x v="0"/>
    <m/>
    <m/>
    <n v="25038"/>
    <m/>
    <m/>
    <m/>
  </r>
  <r>
    <x v="89"/>
    <x v="6"/>
    <s v="인스타그램(블로그)"/>
    <x v="0"/>
    <x v="0"/>
    <x v="0"/>
    <m/>
    <m/>
    <n v="50087"/>
    <m/>
    <m/>
    <m/>
  </r>
  <r>
    <x v="89"/>
    <x v="6"/>
    <s v="인스타그램(전환)"/>
    <x v="0"/>
    <x v="0"/>
    <x v="0"/>
    <m/>
    <m/>
    <n v="500903"/>
    <m/>
    <m/>
    <m/>
  </r>
  <r>
    <x v="89"/>
    <x v="6"/>
    <s v="네이버 브랜드검색"/>
    <x v="0"/>
    <x v="0"/>
    <x v="0"/>
    <m/>
    <m/>
    <n v="20000"/>
    <m/>
    <m/>
    <m/>
  </r>
  <r>
    <x v="89"/>
    <x v="6"/>
    <s v="네이버 쇼핑검색"/>
    <x v="0"/>
    <x v="0"/>
    <x v="0"/>
    <m/>
    <m/>
    <n v="8600"/>
    <m/>
    <m/>
    <m/>
  </r>
  <r>
    <x v="90"/>
    <x v="3"/>
    <s v="인스타그램(랄라블라)"/>
    <x v="0"/>
    <x v="0"/>
    <x v="0"/>
    <m/>
    <m/>
    <n v="25008"/>
    <m/>
    <m/>
    <m/>
  </r>
  <r>
    <x v="90"/>
    <x v="3"/>
    <s v="인스타그램(블로그)"/>
    <x v="0"/>
    <x v="0"/>
    <x v="0"/>
    <m/>
    <m/>
    <n v="48434"/>
    <m/>
    <m/>
    <m/>
  </r>
  <r>
    <x v="90"/>
    <x v="3"/>
    <s v="인스타그램(전환)"/>
    <x v="0"/>
    <x v="0"/>
    <x v="0"/>
    <m/>
    <m/>
    <n v="491635"/>
    <m/>
    <m/>
    <m/>
  </r>
  <r>
    <x v="90"/>
    <x v="3"/>
    <s v="네이버 브랜드검색"/>
    <x v="0"/>
    <x v="0"/>
    <x v="0"/>
    <m/>
    <m/>
    <n v="20000"/>
    <m/>
    <m/>
    <m/>
  </r>
  <r>
    <x v="90"/>
    <x v="3"/>
    <s v="네이버 쇼핑검색"/>
    <x v="0"/>
    <x v="0"/>
    <x v="0"/>
    <m/>
    <m/>
    <n v="7799.999999999999"/>
    <m/>
    <m/>
    <m/>
  </r>
  <r>
    <x v="91"/>
    <x v="4"/>
    <s v="인스타그램(랄라블라)"/>
    <x v="0"/>
    <x v="0"/>
    <x v="0"/>
    <m/>
    <m/>
    <n v="25025"/>
    <m/>
    <m/>
    <m/>
  </r>
  <r>
    <x v="91"/>
    <x v="4"/>
    <s v="인스타그램(블로그)"/>
    <x v="0"/>
    <x v="0"/>
    <x v="0"/>
    <m/>
    <m/>
    <n v="48488"/>
    <m/>
    <m/>
    <m/>
  </r>
  <r>
    <x v="91"/>
    <x v="4"/>
    <s v="인스타그램(전환)"/>
    <x v="0"/>
    <x v="0"/>
    <x v="0"/>
    <m/>
    <m/>
    <n v="482471"/>
    <m/>
    <m/>
    <m/>
  </r>
  <r>
    <x v="91"/>
    <x v="4"/>
    <s v="네이버 브랜드검색"/>
    <x v="0"/>
    <x v="0"/>
    <x v="0"/>
    <m/>
    <m/>
    <n v="20000"/>
    <m/>
    <m/>
    <m/>
  </r>
  <r>
    <x v="91"/>
    <x v="4"/>
    <s v="네이버 쇼핑검색"/>
    <x v="0"/>
    <x v="0"/>
    <x v="0"/>
    <m/>
    <m/>
    <n v="4520"/>
    <m/>
    <m/>
    <m/>
  </r>
  <r>
    <x v="92"/>
    <x v="1"/>
    <s v="인스타그램(랄라블라)"/>
    <x v="0"/>
    <x v="0"/>
    <x v="0"/>
    <m/>
    <m/>
    <n v="24210"/>
    <m/>
    <m/>
    <m/>
  </r>
  <r>
    <x v="92"/>
    <x v="1"/>
    <s v="인스타그램(블로그)"/>
    <x v="0"/>
    <x v="0"/>
    <x v="0"/>
    <m/>
    <m/>
    <n v="50968"/>
    <m/>
    <m/>
    <m/>
  </r>
  <r>
    <x v="92"/>
    <x v="1"/>
    <s v="인스타그램(전환)"/>
    <x v="0"/>
    <x v="0"/>
    <x v="0"/>
    <m/>
    <m/>
    <n v="507324"/>
    <m/>
    <m/>
    <m/>
  </r>
  <r>
    <x v="92"/>
    <x v="1"/>
    <s v="네이버 브랜드검색"/>
    <x v="0"/>
    <x v="0"/>
    <x v="0"/>
    <m/>
    <m/>
    <n v="20000"/>
    <m/>
    <m/>
    <m/>
  </r>
  <r>
    <x v="92"/>
    <x v="1"/>
    <s v="네이버 쇼핑검색"/>
    <x v="0"/>
    <x v="0"/>
    <x v="0"/>
    <m/>
    <m/>
    <n v="5999.999999999999"/>
    <m/>
    <m/>
    <m/>
  </r>
  <r>
    <x v="93"/>
    <x v="0"/>
    <s v="인스타그램(랄라블라)"/>
    <x v="0"/>
    <x v="0"/>
    <x v="0"/>
    <m/>
    <m/>
    <n v="25247"/>
    <m/>
    <m/>
    <m/>
  </r>
  <r>
    <x v="93"/>
    <x v="0"/>
    <s v="인스타그램(블로그)"/>
    <x v="0"/>
    <x v="0"/>
    <x v="0"/>
    <m/>
    <m/>
    <n v="49752"/>
    <m/>
    <m/>
    <m/>
  </r>
  <r>
    <x v="93"/>
    <x v="0"/>
    <s v="인스타그램(전환)"/>
    <x v="0"/>
    <x v="0"/>
    <x v="0"/>
    <m/>
    <m/>
    <n v="506596"/>
    <m/>
    <m/>
    <m/>
  </r>
  <r>
    <x v="93"/>
    <x v="0"/>
    <s v="네이버 브랜드검색"/>
    <x v="0"/>
    <x v="0"/>
    <x v="0"/>
    <m/>
    <m/>
    <n v="20000"/>
    <m/>
    <m/>
    <m/>
  </r>
  <r>
    <x v="93"/>
    <x v="0"/>
    <s v="네이버 쇼핑검색"/>
    <x v="0"/>
    <x v="0"/>
    <x v="0"/>
    <m/>
    <m/>
    <n v="6999.999999999999"/>
    <m/>
    <m/>
    <m/>
  </r>
  <r>
    <x v="93"/>
    <x v="0"/>
    <s v="SMS"/>
    <x v="1"/>
    <x v="0"/>
    <x v="10"/>
    <m/>
    <m/>
    <n v="140"/>
    <m/>
    <m/>
    <m/>
  </r>
  <r>
    <x v="93"/>
    <x v="0"/>
    <s v="SMS"/>
    <x v="1"/>
    <x v="0"/>
    <x v="9"/>
    <m/>
    <m/>
    <n v="980"/>
    <m/>
    <m/>
    <m/>
  </r>
  <r>
    <x v="93"/>
    <x v="0"/>
    <s v="카카오톡 메시지"/>
    <x v="1"/>
    <x v="0"/>
    <x v="9"/>
    <m/>
    <m/>
    <n v="440"/>
    <m/>
    <m/>
    <m/>
  </r>
  <r>
    <x v="94"/>
    <x v="2"/>
    <s v="인스타그램(랄라블라)"/>
    <x v="0"/>
    <x v="0"/>
    <x v="0"/>
    <m/>
    <m/>
    <n v="25155"/>
    <m/>
    <m/>
    <m/>
  </r>
  <r>
    <x v="94"/>
    <x v="2"/>
    <s v="인스타그램(블로그)"/>
    <x v="0"/>
    <x v="0"/>
    <x v="0"/>
    <m/>
    <m/>
    <n v="49100"/>
    <m/>
    <m/>
    <m/>
  </r>
  <r>
    <x v="94"/>
    <x v="2"/>
    <s v="인스타그램(전환)"/>
    <x v="0"/>
    <x v="0"/>
    <x v="0"/>
    <m/>
    <m/>
    <n v="486203"/>
    <m/>
    <m/>
    <m/>
  </r>
  <r>
    <x v="94"/>
    <x v="2"/>
    <s v="네이버 브랜드검색"/>
    <x v="0"/>
    <x v="0"/>
    <x v="0"/>
    <m/>
    <m/>
    <n v="20000"/>
    <m/>
    <m/>
    <m/>
  </r>
  <r>
    <x v="94"/>
    <x v="2"/>
    <s v="네이버 쇼핑검색"/>
    <x v="0"/>
    <x v="0"/>
    <x v="0"/>
    <m/>
    <m/>
    <n v="10200"/>
    <m/>
    <m/>
    <m/>
  </r>
  <r>
    <x v="94"/>
    <x v="2"/>
    <s v="기획사이다"/>
    <x v="0"/>
    <x v="0"/>
    <x v="0"/>
    <m/>
    <m/>
    <n v="5020909.090909091"/>
    <m/>
    <m/>
    <m/>
  </r>
  <r>
    <x v="95"/>
    <x v="5"/>
    <s v="인스타그램(랄라블라)"/>
    <x v="0"/>
    <x v="0"/>
    <x v="0"/>
    <m/>
    <m/>
    <n v="25317"/>
    <m/>
    <m/>
    <m/>
  </r>
  <r>
    <x v="95"/>
    <x v="5"/>
    <s v="인스타그램(블로그)"/>
    <x v="0"/>
    <x v="0"/>
    <x v="0"/>
    <m/>
    <m/>
    <n v="53171"/>
    <m/>
    <m/>
    <m/>
  </r>
  <r>
    <x v="95"/>
    <x v="5"/>
    <s v="인스타그램(전환)"/>
    <x v="0"/>
    <x v="0"/>
    <x v="0"/>
    <m/>
    <m/>
    <n v="524868"/>
    <m/>
    <m/>
    <m/>
  </r>
  <r>
    <x v="95"/>
    <x v="5"/>
    <s v="네이버 브랜드검색"/>
    <x v="0"/>
    <x v="0"/>
    <x v="0"/>
    <m/>
    <m/>
    <n v="20000"/>
    <m/>
    <m/>
    <m/>
  </r>
  <r>
    <x v="95"/>
    <x v="5"/>
    <s v="네이버 쇼핑검색"/>
    <x v="0"/>
    <x v="0"/>
    <x v="0"/>
    <m/>
    <m/>
    <n v="8159.999999999999"/>
    <m/>
    <m/>
    <m/>
  </r>
  <r>
    <x v="96"/>
    <x v="6"/>
    <s v="인스타그램(랄라블라)"/>
    <x v="0"/>
    <x v="0"/>
    <x v="0"/>
    <m/>
    <m/>
    <n v="25019"/>
    <m/>
    <m/>
    <m/>
  </r>
  <r>
    <x v="96"/>
    <x v="6"/>
    <s v="인스타그램(블로그)"/>
    <x v="0"/>
    <x v="0"/>
    <x v="0"/>
    <m/>
    <m/>
    <n v="50056"/>
    <m/>
    <m/>
    <m/>
  </r>
  <r>
    <x v="96"/>
    <x v="6"/>
    <s v="인스타그램(전환)"/>
    <x v="0"/>
    <x v="0"/>
    <x v="0"/>
    <m/>
    <m/>
    <n v="500863"/>
    <m/>
    <m/>
    <m/>
  </r>
  <r>
    <x v="96"/>
    <x v="6"/>
    <s v="네이버 브랜드검색"/>
    <x v="0"/>
    <x v="0"/>
    <x v="0"/>
    <m/>
    <m/>
    <n v="20000"/>
    <m/>
    <m/>
    <m/>
  </r>
  <r>
    <x v="96"/>
    <x v="6"/>
    <s v="네이버 쇼핑검색"/>
    <x v="0"/>
    <x v="0"/>
    <x v="0"/>
    <m/>
    <m/>
    <n v="8200"/>
    <m/>
    <m/>
    <m/>
  </r>
  <r>
    <x v="96"/>
    <x v="6"/>
    <s v="SMS"/>
    <x v="1"/>
    <x v="0"/>
    <x v="11"/>
    <m/>
    <m/>
    <n v="270"/>
    <m/>
    <m/>
    <m/>
  </r>
  <r>
    <x v="96"/>
    <x v="6"/>
    <s v="카카오톡 메시지"/>
    <x v="1"/>
    <x v="0"/>
    <x v="11"/>
    <m/>
    <m/>
    <n v="300"/>
    <m/>
    <m/>
    <m/>
  </r>
  <r>
    <x v="97"/>
    <x v="3"/>
    <s v="인스타그램(랄라블라)"/>
    <x v="0"/>
    <x v="0"/>
    <x v="0"/>
    <m/>
    <m/>
    <n v="24361"/>
    <m/>
    <m/>
    <m/>
  </r>
  <r>
    <x v="97"/>
    <x v="3"/>
    <s v="인스타그램(블로그)"/>
    <x v="0"/>
    <x v="0"/>
    <x v="0"/>
    <m/>
    <m/>
    <n v="48648"/>
    <m/>
    <m/>
    <m/>
  </r>
  <r>
    <x v="97"/>
    <x v="3"/>
    <s v="인스타그램(전환)"/>
    <x v="0"/>
    <x v="0"/>
    <x v="0"/>
    <m/>
    <m/>
    <n v="489928"/>
    <m/>
    <m/>
    <m/>
  </r>
  <r>
    <x v="97"/>
    <x v="3"/>
    <s v="네이버 브랜드검색"/>
    <x v="0"/>
    <x v="0"/>
    <x v="0"/>
    <m/>
    <m/>
    <n v="20000"/>
    <m/>
    <m/>
    <m/>
  </r>
  <r>
    <x v="97"/>
    <x v="3"/>
    <s v="네이버 쇼핑검색"/>
    <x v="0"/>
    <x v="0"/>
    <x v="0"/>
    <m/>
    <m/>
    <n v="8600"/>
    <m/>
    <m/>
    <m/>
  </r>
  <r>
    <x v="97"/>
    <x v="3"/>
    <s v="SMS"/>
    <x v="0"/>
    <x v="0"/>
    <x v="5"/>
    <m/>
    <m/>
    <n v="420"/>
    <m/>
    <m/>
    <m/>
  </r>
  <r>
    <x v="97"/>
    <x v="3"/>
    <s v="자사몰 스킨 교체"/>
    <x v="3"/>
    <x v="0"/>
    <x v="0"/>
    <m/>
    <m/>
    <n v="227272.7272727273"/>
    <m/>
    <m/>
    <m/>
  </r>
  <r>
    <x v="98"/>
    <x v="4"/>
    <s v="인스타그램(랄라블라)"/>
    <x v="0"/>
    <x v="0"/>
    <x v="0"/>
    <m/>
    <m/>
    <n v="25136"/>
    <m/>
    <m/>
    <m/>
  </r>
  <r>
    <x v="98"/>
    <x v="4"/>
    <s v="인스타그램(블로그)"/>
    <x v="0"/>
    <x v="0"/>
    <x v="0"/>
    <m/>
    <m/>
    <n v="50327"/>
    <m/>
    <m/>
    <m/>
  </r>
  <r>
    <x v="98"/>
    <x v="4"/>
    <s v="인스타그램(전환)"/>
    <x v="0"/>
    <x v="0"/>
    <x v="0"/>
    <m/>
    <m/>
    <n v="489707"/>
    <m/>
    <m/>
    <m/>
  </r>
  <r>
    <x v="98"/>
    <x v="4"/>
    <s v="네이버 브랜드검색"/>
    <x v="0"/>
    <x v="0"/>
    <x v="0"/>
    <m/>
    <m/>
    <n v="20000"/>
    <m/>
    <m/>
    <m/>
  </r>
  <r>
    <x v="98"/>
    <x v="4"/>
    <s v="네이버 쇼핑검색"/>
    <x v="0"/>
    <x v="0"/>
    <x v="0"/>
    <m/>
    <m/>
    <n v="7499.999999999999"/>
    <m/>
    <m/>
    <m/>
  </r>
  <r>
    <x v="99"/>
    <x v="1"/>
    <s v="인스타그램(랄라블라)"/>
    <x v="0"/>
    <x v="0"/>
    <x v="0"/>
    <m/>
    <m/>
    <n v="24838"/>
    <m/>
    <m/>
    <m/>
  </r>
  <r>
    <x v="99"/>
    <x v="1"/>
    <s v="인스타그램(블로그)"/>
    <x v="0"/>
    <x v="0"/>
    <x v="0"/>
    <m/>
    <m/>
    <n v="48829"/>
    <m/>
    <m/>
    <m/>
  </r>
  <r>
    <x v="99"/>
    <x v="1"/>
    <s v="인스타그램(전환)"/>
    <x v="0"/>
    <x v="0"/>
    <x v="0"/>
    <m/>
    <m/>
    <n v="495239"/>
    <m/>
    <m/>
    <m/>
  </r>
  <r>
    <x v="99"/>
    <x v="1"/>
    <s v="네이버 브랜드검색"/>
    <x v="0"/>
    <x v="0"/>
    <x v="0"/>
    <m/>
    <m/>
    <n v="20000"/>
    <m/>
    <m/>
    <m/>
  </r>
  <r>
    <x v="99"/>
    <x v="1"/>
    <s v="네이버 쇼핑검색"/>
    <x v="0"/>
    <x v="0"/>
    <x v="0"/>
    <m/>
    <m/>
    <n v="8800"/>
    <m/>
    <m/>
    <m/>
  </r>
  <r>
    <x v="100"/>
    <x v="0"/>
    <s v="인스타그램(랄라블라)"/>
    <x v="0"/>
    <x v="0"/>
    <x v="0"/>
    <m/>
    <m/>
    <n v="25030"/>
    <m/>
    <m/>
    <m/>
  </r>
  <r>
    <x v="100"/>
    <x v="0"/>
    <s v="인스타그램(블로그)"/>
    <x v="0"/>
    <x v="0"/>
    <x v="0"/>
    <m/>
    <m/>
    <n v="49879"/>
    <m/>
    <m/>
    <m/>
  </r>
  <r>
    <x v="100"/>
    <x v="0"/>
    <s v="인스타그램(전환)"/>
    <x v="0"/>
    <x v="0"/>
    <x v="0"/>
    <m/>
    <m/>
    <n v="491968"/>
    <m/>
    <m/>
    <m/>
  </r>
  <r>
    <x v="100"/>
    <x v="0"/>
    <s v="네이버 쇼핑검색"/>
    <x v="0"/>
    <x v="0"/>
    <x v="0"/>
    <m/>
    <m/>
    <n v="26000"/>
    <m/>
    <m/>
    <m/>
  </r>
  <r>
    <x v="101"/>
    <x v="2"/>
    <s v="인스타그램(랄라블라)"/>
    <x v="0"/>
    <x v="0"/>
    <x v="0"/>
    <m/>
    <m/>
    <n v="25323"/>
    <m/>
    <m/>
    <m/>
  </r>
  <r>
    <x v="101"/>
    <x v="2"/>
    <s v="인스타그램(블로그)"/>
    <x v="0"/>
    <x v="0"/>
    <x v="0"/>
    <m/>
    <m/>
    <n v="49081"/>
    <m/>
    <m/>
    <m/>
  </r>
  <r>
    <x v="101"/>
    <x v="2"/>
    <s v="인스타그램(전환)"/>
    <x v="0"/>
    <x v="0"/>
    <x v="0"/>
    <m/>
    <m/>
    <n v="496107"/>
    <m/>
    <m/>
    <m/>
  </r>
  <r>
    <x v="101"/>
    <x v="2"/>
    <s v="네이버 브랜드검색"/>
    <x v="0"/>
    <x v="0"/>
    <x v="0"/>
    <m/>
    <m/>
    <n v="40000"/>
    <m/>
    <m/>
    <m/>
  </r>
  <r>
    <x v="101"/>
    <x v="2"/>
    <s v="네이버 쇼핑검색"/>
    <x v="0"/>
    <x v="0"/>
    <x v="0"/>
    <m/>
    <m/>
    <n v="16200"/>
    <m/>
    <m/>
    <m/>
  </r>
  <r>
    <x v="101"/>
    <x v="2"/>
    <s v="SMS"/>
    <x v="0"/>
    <x v="0"/>
    <x v="12"/>
    <m/>
    <m/>
    <n v="70"/>
    <m/>
    <m/>
    <m/>
  </r>
  <r>
    <x v="101"/>
    <x v="2"/>
    <s v="SMS"/>
    <x v="0"/>
    <x v="0"/>
    <x v="13"/>
    <m/>
    <m/>
    <n v="1960"/>
    <m/>
    <m/>
    <m/>
  </r>
  <r>
    <x v="101"/>
    <x v="2"/>
    <s v="카카오톡 메시지"/>
    <x v="0"/>
    <x v="0"/>
    <x v="13"/>
    <m/>
    <m/>
    <n v="560"/>
    <m/>
    <m/>
    <m/>
  </r>
  <r>
    <x v="102"/>
    <x v="5"/>
    <s v="인스타그램(랄라블라)"/>
    <x v="0"/>
    <x v="0"/>
    <x v="0"/>
    <m/>
    <m/>
    <n v="25293"/>
    <m/>
    <m/>
    <m/>
  </r>
  <r>
    <x v="102"/>
    <x v="5"/>
    <s v="인스타그램(블로그)"/>
    <x v="0"/>
    <x v="0"/>
    <x v="0"/>
    <m/>
    <m/>
    <n v="53180"/>
    <m/>
    <m/>
    <m/>
  </r>
  <r>
    <x v="102"/>
    <x v="5"/>
    <s v="인스타그램(전환)"/>
    <x v="0"/>
    <x v="0"/>
    <x v="0"/>
    <m/>
    <m/>
    <n v="536188"/>
    <m/>
    <m/>
    <m/>
  </r>
  <r>
    <x v="102"/>
    <x v="5"/>
    <s v="네이버 브랜드검색"/>
    <x v="0"/>
    <x v="0"/>
    <x v="0"/>
    <m/>
    <m/>
    <n v="40000"/>
    <m/>
    <m/>
    <m/>
  </r>
  <r>
    <x v="102"/>
    <x v="5"/>
    <s v="네이버 쇼핑검색"/>
    <x v="0"/>
    <x v="0"/>
    <x v="0"/>
    <m/>
    <m/>
    <n v="14790"/>
    <m/>
    <m/>
    <m/>
  </r>
  <r>
    <x v="103"/>
    <x v="6"/>
    <s v="인스타그램(랄라블라)"/>
    <x v="0"/>
    <x v="0"/>
    <x v="0"/>
    <m/>
    <m/>
    <n v="25102"/>
    <m/>
    <m/>
    <m/>
  </r>
  <r>
    <x v="103"/>
    <x v="6"/>
    <s v="인스타그램(블로그)"/>
    <x v="0"/>
    <x v="0"/>
    <x v="0"/>
    <m/>
    <m/>
    <n v="50229"/>
    <m/>
    <m/>
    <m/>
  </r>
  <r>
    <x v="103"/>
    <x v="6"/>
    <s v="인스타그램(전환)"/>
    <x v="0"/>
    <x v="0"/>
    <x v="0"/>
    <m/>
    <m/>
    <n v="502252"/>
    <m/>
    <m/>
    <m/>
  </r>
  <r>
    <x v="103"/>
    <x v="6"/>
    <s v="네이버 브랜드검색"/>
    <x v="0"/>
    <x v="0"/>
    <x v="0"/>
    <m/>
    <m/>
    <n v="40000"/>
    <m/>
    <m/>
    <m/>
  </r>
  <r>
    <x v="103"/>
    <x v="6"/>
    <s v="네이버 쇼핑검색"/>
    <x v="0"/>
    <x v="0"/>
    <x v="0"/>
    <m/>
    <m/>
    <n v="33000"/>
    <m/>
    <m/>
    <m/>
  </r>
  <r>
    <x v="104"/>
    <x v="3"/>
    <s v="인스타그램(랄라블라)"/>
    <x v="0"/>
    <x v="0"/>
    <x v="0"/>
    <m/>
    <m/>
    <n v="24749"/>
    <m/>
    <m/>
    <m/>
  </r>
  <r>
    <x v="104"/>
    <x v="3"/>
    <s v="인스타그램(블로그)"/>
    <x v="0"/>
    <x v="0"/>
    <x v="0"/>
    <m/>
    <m/>
    <n v="48691"/>
    <m/>
    <m/>
    <m/>
  </r>
  <r>
    <x v="104"/>
    <x v="3"/>
    <s v="인스타그램(전환)"/>
    <x v="0"/>
    <x v="0"/>
    <x v="0"/>
    <m/>
    <m/>
    <n v="481370"/>
    <m/>
    <m/>
    <m/>
  </r>
  <r>
    <x v="104"/>
    <x v="3"/>
    <s v="네이버 브랜드검색"/>
    <x v="0"/>
    <x v="0"/>
    <x v="0"/>
    <m/>
    <m/>
    <n v="40000"/>
    <m/>
    <m/>
    <m/>
  </r>
  <r>
    <x v="104"/>
    <x v="3"/>
    <s v="네이버 쇼핑검색"/>
    <x v="0"/>
    <x v="0"/>
    <x v="0"/>
    <m/>
    <m/>
    <n v="81800"/>
    <m/>
    <m/>
    <m/>
  </r>
  <r>
    <x v="104"/>
    <x v="3"/>
    <s v="SMS"/>
    <x v="0"/>
    <x v="0"/>
    <x v="12"/>
    <m/>
    <m/>
    <n v="70"/>
    <m/>
    <m/>
    <m/>
  </r>
  <r>
    <x v="104"/>
    <x v="3"/>
    <s v="SMS"/>
    <x v="0"/>
    <x v="0"/>
    <x v="13"/>
    <m/>
    <m/>
    <n v="17010"/>
    <m/>
    <m/>
    <m/>
  </r>
  <r>
    <x v="105"/>
    <x v="4"/>
    <s v="인스타그램(랄라블라)"/>
    <x v="0"/>
    <x v="0"/>
    <x v="0"/>
    <m/>
    <m/>
    <n v="24810"/>
    <m/>
    <m/>
    <m/>
  </r>
  <r>
    <x v="105"/>
    <x v="4"/>
    <s v="인스타그램(블로그)"/>
    <x v="0"/>
    <x v="0"/>
    <x v="0"/>
    <m/>
    <m/>
    <n v="49247"/>
    <m/>
    <m/>
    <m/>
  </r>
  <r>
    <x v="105"/>
    <x v="4"/>
    <s v="인스타그램(전환)"/>
    <x v="0"/>
    <x v="0"/>
    <x v="0"/>
    <m/>
    <m/>
    <n v="604360"/>
    <m/>
    <m/>
    <m/>
  </r>
  <r>
    <x v="105"/>
    <x v="4"/>
    <s v="네이버 브랜드검색"/>
    <x v="0"/>
    <x v="0"/>
    <x v="0"/>
    <m/>
    <m/>
    <n v="40000"/>
    <m/>
    <m/>
    <m/>
  </r>
  <r>
    <x v="105"/>
    <x v="4"/>
    <s v="네이버 쇼핑검색"/>
    <x v="0"/>
    <x v="0"/>
    <x v="0"/>
    <m/>
    <m/>
    <n v="30800"/>
    <m/>
    <m/>
    <m/>
  </r>
  <r>
    <x v="105"/>
    <x v="4"/>
    <s v="SMS"/>
    <x v="0"/>
    <x v="0"/>
    <x v="13"/>
    <m/>
    <m/>
    <n v="23240"/>
    <m/>
    <m/>
    <m/>
  </r>
  <r>
    <x v="105"/>
    <x v="4"/>
    <s v="SMS"/>
    <x v="0"/>
    <x v="0"/>
    <x v="5"/>
    <m/>
    <m/>
    <n v="770"/>
    <m/>
    <m/>
    <m/>
  </r>
  <r>
    <x v="106"/>
    <x v="1"/>
    <s v="인스타그램(랄라블라)"/>
    <x v="0"/>
    <x v="0"/>
    <x v="0"/>
    <m/>
    <m/>
    <n v="24404"/>
    <m/>
    <m/>
    <m/>
  </r>
  <r>
    <x v="106"/>
    <x v="1"/>
    <s v="인스타그램(블로그)"/>
    <x v="0"/>
    <x v="0"/>
    <x v="0"/>
    <m/>
    <m/>
    <n v="50234"/>
    <m/>
    <m/>
    <m/>
  </r>
  <r>
    <x v="106"/>
    <x v="1"/>
    <s v="인스타그램(전환)"/>
    <x v="0"/>
    <x v="0"/>
    <x v="0"/>
    <m/>
    <m/>
    <n v="684990"/>
    <m/>
    <m/>
    <m/>
  </r>
  <r>
    <x v="106"/>
    <x v="1"/>
    <s v="네이버 브랜드검색"/>
    <x v="0"/>
    <x v="0"/>
    <x v="0"/>
    <m/>
    <m/>
    <n v="40000"/>
    <m/>
    <m/>
    <m/>
  </r>
  <r>
    <x v="106"/>
    <x v="1"/>
    <s v="네이버 쇼핑검색"/>
    <x v="0"/>
    <x v="0"/>
    <x v="0"/>
    <m/>
    <m/>
    <n v="17400"/>
    <m/>
    <m/>
    <m/>
  </r>
  <r>
    <x v="107"/>
    <x v="0"/>
    <s v="인스타그램(랄라블라)"/>
    <x v="0"/>
    <x v="0"/>
    <x v="0"/>
    <m/>
    <m/>
    <n v="25351"/>
    <m/>
    <m/>
    <m/>
  </r>
  <r>
    <x v="107"/>
    <x v="0"/>
    <s v="인스타그램(블로그)"/>
    <x v="0"/>
    <x v="0"/>
    <x v="0"/>
    <m/>
    <m/>
    <n v="49365"/>
    <m/>
    <m/>
    <m/>
  </r>
  <r>
    <x v="107"/>
    <x v="0"/>
    <s v="인스타그램(전환)"/>
    <x v="0"/>
    <x v="0"/>
    <x v="0"/>
    <m/>
    <m/>
    <n v="553775"/>
    <m/>
    <m/>
    <m/>
  </r>
  <r>
    <x v="107"/>
    <x v="0"/>
    <s v="네이버 브랜드검색"/>
    <x v="0"/>
    <x v="0"/>
    <x v="0"/>
    <m/>
    <m/>
    <n v="40000"/>
    <m/>
    <m/>
    <m/>
  </r>
  <r>
    <x v="107"/>
    <x v="0"/>
    <s v="네이버 쇼핑검색"/>
    <x v="0"/>
    <x v="0"/>
    <x v="0"/>
    <m/>
    <m/>
    <n v="13200"/>
    <m/>
    <m/>
    <m/>
  </r>
  <r>
    <x v="108"/>
    <x v="2"/>
    <s v="인스타그램(랄라블라)"/>
    <x v="0"/>
    <x v="0"/>
    <x v="0"/>
    <m/>
    <m/>
    <n v="25200"/>
    <m/>
    <m/>
    <m/>
  </r>
  <r>
    <x v="108"/>
    <x v="2"/>
    <s v="인스타그램(블로그)"/>
    <x v="0"/>
    <x v="0"/>
    <x v="0"/>
    <m/>
    <m/>
    <n v="49280"/>
    <m/>
    <m/>
    <m/>
  </r>
  <r>
    <x v="108"/>
    <x v="2"/>
    <s v="인스타그램(전환)"/>
    <x v="0"/>
    <x v="0"/>
    <x v="0"/>
    <m/>
    <m/>
    <n v="465220"/>
    <m/>
    <m/>
    <m/>
  </r>
  <r>
    <x v="108"/>
    <x v="2"/>
    <s v="네이버 브랜드검색"/>
    <x v="0"/>
    <x v="0"/>
    <x v="0"/>
    <m/>
    <m/>
    <n v="40000"/>
    <m/>
    <m/>
    <m/>
  </r>
  <r>
    <x v="108"/>
    <x v="2"/>
    <s v="네이버 쇼핑검색"/>
    <x v="0"/>
    <x v="0"/>
    <x v="0"/>
    <m/>
    <m/>
    <n v="14200"/>
    <m/>
    <m/>
    <m/>
  </r>
  <r>
    <x v="109"/>
    <x v="5"/>
    <s v="인스타그램(랄라블라)"/>
    <x v="0"/>
    <x v="0"/>
    <x v="0"/>
    <m/>
    <m/>
    <n v="25384"/>
    <m/>
    <m/>
    <m/>
  </r>
  <r>
    <x v="109"/>
    <x v="5"/>
    <s v="인스타그램(블로그)"/>
    <x v="0"/>
    <x v="0"/>
    <x v="0"/>
    <m/>
    <m/>
    <n v="52954"/>
    <m/>
    <m/>
    <m/>
  </r>
  <r>
    <x v="109"/>
    <x v="5"/>
    <s v="인스타그램(전환)"/>
    <x v="0"/>
    <x v="0"/>
    <x v="0"/>
    <m/>
    <m/>
    <n v="498379"/>
    <m/>
    <m/>
    <m/>
  </r>
  <r>
    <x v="109"/>
    <x v="5"/>
    <s v="네이버 브랜드검색"/>
    <x v="0"/>
    <x v="0"/>
    <x v="0"/>
    <m/>
    <m/>
    <n v="40000"/>
    <m/>
    <m/>
    <m/>
  </r>
  <r>
    <x v="109"/>
    <x v="5"/>
    <s v="네이버 쇼핑검색"/>
    <x v="0"/>
    <x v="0"/>
    <x v="0"/>
    <m/>
    <m/>
    <n v="9000"/>
    <m/>
    <m/>
    <m/>
  </r>
  <r>
    <x v="110"/>
    <x v="6"/>
    <s v="인스타그램(랄라블라)"/>
    <x v="0"/>
    <x v="0"/>
    <x v="0"/>
    <m/>
    <m/>
    <n v="25032"/>
    <m/>
    <m/>
    <m/>
  </r>
  <r>
    <x v="110"/>
    <x v="6"/>
    <s v="인스타그램(블로그)"/>
    <x v="0"/>
    <x v="0"/>
    <x v="0"/>
    <m/>
    <m/>
    <n v="50287"/>
    <m/>
    <m/>
    <m/>
  </r>
  <r>
    <x v="110"/>
    <x v="6"/>
    <s v="인스타그램(전환)"/>
    <x v="0"/>
    <x v="0"/>
    <x v="0"/>
    <m/>
    <m/>
    <n v="501252"/>
    <m/>
    <m/>
    <m/>
  </r>
  <r>
    <x v="110"/>
    <x v="6"/>
    <s v="네이버 브랜드검색"/>
    <x v="0"/>
    <x v="0"/>
    <x v="0"/>
    <m/>
    <m/>
    <n v="40000"/>
    <m/>
    <m/>
    <m/>
  </r>
  <r>
    <x v="110"/>
    <x v="6"/>
    <s v="네이버 쇼핑검색"/>
    <x v="0"/>
    <x v="0"/>
    <x v="0"/>
    <m/>
    <m/>
    <n v="8800"/>
    <m/>
    <m/>
    <m/>
  </r>
  <r>
    <x v="111"/>
    <x v="3"/>
    <s v="인스타그램(랄라블라)"/>
    <x v="0"/>
    <x v="0"/>
    <x v="0"/>
    <m/>
    <m/>
    <n v="24943"/>
    <m/>
    <m/>
    <m/>
  </r>
  <r>
    <x v="111"/>
    <x v="3"/>
    <s v="인스타그램(블로그)"/>
    <x v="0"/>
    <x v="0"/>
    <x v="0"/>
    <m/>
    <m/>
    <n v="48673"/>
    <m/>
    <m/>
    <m/>
  </r>
  <r>
    <x v="111"/>
    <x v="3"/>
    <s v="인스타그램(전환)"/>
    <x v="0"/>
    <x v="0"/>
    <x v="0"/>
    <m/>
    <m/>
    <n v="480127"/>
    <m/>
    <m/>
    <m/>
  </r>
  <r>
    <x v="111"/>
    <x v="3"/>
    <s v="네이버 브랜드검색"/>
    <x v="0"/>
    <x v="0"/>
    <x v="0"/>
    <m/>
    <m/>
    <n v="40000"/>
    <m/>
    <m/>
    <m/>
  </r>
  <r>
    <x v="111"/>
    <x v="3"/>
    <s v="네이버 쇼핑검색"/>
    <x v="0"/>
    <x v="0"/>
    <x v="0"/>
    <m/>
    <m/>
    <n v="7569.999999999999"/>
    <m/>
    <m/>
    <m/>
  </r>
  <r>
    <x v="112"/>
    <x v="4"/>
    <s v="인스타그램(랄라블라)"/>
    <x v="0"/>
    <x v="0"/>
    <x v="0"/>
    <m/>
    <m/>
    <n v="25062"/>
    <m/>
    <m/>
    <m/>
  </r>
  <r>
    <x v="112"/>
    <x v="4"/>
    <s v="인스타그램(블로그)"/>
    <x v="0"/>
    <x v="0"/>
    <x v="0"/>
    <m/>
    <m/>
    <n v="48795"/>
    <m/>
    <m/>
    <m/>
  </r>
  <r>
    <x v="112"/>
    <x v="4"/>
    <s v="인스타그램(전환)"/>
    <x v="0"/>
    <x v="0"/>
    <x v="0"/>
    <m/>
    <m/>
    <n v="499793"/>
    <m/>
    <m/>
    <m/>
  </r>
  <r>
    <x v="112"/>
    <x v="4"/>
    <s v="네이버 브랜드검색"/>
    <x v="0"/>
    <x v="0"/>
    <x v="0"/>
    <m/>
    <m/>
    <n v="40000"/>
    <m/>
    <m/>
    <m/>
  </r>
  <r>
    <x v="112"/>
    <x v="4"/>
    <s v="네이버 쇼핑검색"/>
    <x v="0"/>
    <x v="0"/>
    <x v="0"/>
    <m/>
    <m/>
    <n v="2540"/>
    <m/>
    <m/>
    <m/>
  </r>
  <r>
    <x v="112"/>
    <x v="4"/>
    <s v="SMS"/>
    <x v="0"/>
    <x v="0"/>
    <x v="5"/>
    <m/>
    <m/>
    <n v="490"/>
    <m/>
    <m/>
    <m/>
  </r>
  <r>
    <x v="113"/>
    <x v="1"/>
    <s v="인스타그램(랄라블라)"/>
    <x v="0"/>
    <x v="0"/>
    <x v="0"/>
    <m/>
    <m/>
    <n v="24888"/>
    <m/>
    <m/>
    <m/>
  </r>
  <r>
    <x v="113"/>
    <x v="1"/>
    <s v="인스타그램(블로그)"/>
    <x v="0"/>
    <x v="0"/>
    <x v="0"/>
    <m/>
    <m/>
    <n v="48827"/>
    <m/>
    <m/>
    <m/>
  </r>
  <r>
    <x v="113"/>
    <x v="1"/>
    <s v="인스타그램(전환)"/>
    <x v="0"/>
    <x v="0"/>
    <x v="0"/>
    <m/>
    <m/>
    <n v="490496"/>
    <m/>
    <m/>
    <m/>
  </r>
  <r>
    <x v="113"/>
    <x v="1"/>
    <s v="네이버 브랜드검색"/>
    <x v="0"/>
    <x v="0"/>
    <x v="0"/>
    <m/>
    <m/>
    <n v="40000"/>
    <m/>
    <m/>
    <m/>
  </r>
  <r>
    <x v="113"/>
    <x v="1"/>
    <s v="네이버 쇼핑검색"/>
    <x v="0"/>
    <x v="0"/>
    <x v="0"/>
    <m/>
    <m/>
    <n v="1660"/>
    <m/>
    <m/>
    <m/>
  </r>
  <r>
    <x v="114"/>
    <x v="0"/>
    <s v="인스타그램(랄라블라)"/>
    <x v="0"/>
    <x v="0"/>
    <x v="0"/>
    <m/>
    <m/>
    <n v="25051"/>
    <m/>
    <m/>
    <m/>
  </r>
  <r>
    <x v="114"/>
    <x v="0"/>
    <s v="인스타그램(블로그)"/>
    <x v="0"/>
    <x v="0"/>
    <x v="0"/>
    <m/>
    <m/>
    <n v="50576"/>
    <m/>
    <m/>
    <m/>
  </r>
  <r>
    <x v="114"/>
    <x v="0"/>
    <s v="인스타그램(전환)"/>
    <x v="0"/>
    <x v="0"/>
    <x v="0"/>
    <m/>
    <m/>
    <n v="494002"/>
    <m/>
    <m/>
    <m/>
  </r>
  <r>
    <x v="114"/>
    <x v="0"/>
    <s v="네이버 브랜드검색"/>
    <x v="0"/>
    <x v="0"/>
    <x v="0"/>
    <m/>
    <m/>
    <n v="40000"/>
    <m/>
    <m/>
    <m/>
  </r>
  <r>
    <x v="114"/>
    <x v="0"/>
    <s v="네이버 쇼핑검색"/>
    <x v="0"/>
    <x v="0"/>
    <x v="0"/>
    <m/>
    <m/>
    <n v="1210"/>
    <m/>
    <m/>
    <m/>
  </r>
  <r>
    <x v="115"/>
    <x v="2"/>
    <s v="인스타그램(랄라블라)"/>
    <x v="0"/>
    <x v="0"/>
    <x v="0"/>
    <m/>
    <m/>
    <n v="24730"/>
    <m/>
    <m/>
    <m/>
  </r>
  <r>
    <x v="115"/>
    <x v="2"/>
    <s v="인스타그램(블로그)"/>
    <x v="0"/>
    <x v="0"/>
    <x v="0"/>
    <m/>
    <m/>
    <n v="51482"/>
    <m/>
    <m/>
    <m/>
  </r>
  <r>
    <x v="115"/>
    <x v="2"/>
    <s v="인스타그램(전환)"/>
    <x v="0"/>
    <x v="0"/>
    <x v="0"/>
    <m/>
    <m/>
    <n v="517886"/>
    <m/>
    <m/>
    <m/>
  </r>
  <r>
    <x v="115"/>
    <x v="2"/>
    <s v="네이버 브랜드검색"/>
    <x v="0"/>
    <x v="0"/>
    <x v="0"/>
    <m/>
    <m/>
    <n v="40000"/>
    <m/>
    <m/>
    <m/>
  </r>
  <r>
    <x v="115"/>
    <x v="2"/>
    <s v="네이버 쇼핑검색"/>
    <x v="0"/>
    <x v="0"/>
    <x v="0"/>
    <m/>
    <m/>
    <n v="3160"/>
    <m/>
    <m/>
    <m/>
  </r>
  <r>
    <x v="116"/>
    <x v="5"/>
    <s v="인스타그램(랄라블라)"/>
    <x v="0"/>
    <x v="0"/>
    <x v="0"/>
    <m/>
    <m/>
    <n v="25293"/>
    <m/>
    <m/>
    <m/>
  </r>
  <r>
    <x v="116"/>
    <x v="5"/>
    <s v="인스타그램(블로그)"/>
    <x v="0"/>
    <x v="0"/>
    <x v="0"/>
    <m/>
    <m/>
    <n v="51360"/>
    <m/>
    <m/>
    <m/>
  </r>
  <r>
    <x v="116"/>
    <x v="5"/>
    <s v="인스타그램(전환)"/>
    <x v="0"/>
    <x v="0"/>
    <x v="0"/>
    <m/>
    <m/>
    <n v="516444"/>
    <m/>
    <m/>
    <m/>
  </r>
  <r>
    <x v="116"/>
    <x v="5"/>
    <s v="네이버 브랜드검색"/>
    <x v="0"/>
    <x v="0"/>
    <x v="0"/>
    <m/>
    <m/>
    <n v="40000"/>
    <m/>
    <m/>
    <m/>
  </r>
  <r>
    <x v="116"/>
    <x v="5"/>
    <s v="네이버 쇼핑검색"/>
    <x v="0"/>
    <x v="0"/>
    <x v="0"/>
    <m/>
    <m/>
    <n v="3720"/>
    <m/>
    <m/>
    <m/>
  </r>
  <r>
    <x v="117"/>
    <x v="6"/>
    <s v="인스타그램(랄라블라)"/>
    <x v="0"/>
    <x v="0"/>
    <x v="0"/>
    <m/>
    <m/>
    <n v="25052"/>
    <m/>
    <m/>
    <m/>
  </r>
  <r>
    <x v="117"/>
    <x v="6"/>
    <s v="인스타그램(블로그)"/>
    <x v="0"/>
    <x v="0"/>
    <x v="0"/>
    <m/>
    <m/>
    <n v="50159"/>
    <m/>
    <m/>
    <m/>
  </r>
  <r>
    <x v="117"/>
    <x v="6"/>
    <s v="인스타그램(전환)"/>
    <x v="0"/>
    <x v="0"/>
    <x v="0"/>
    <m/>
    <m/>
    <n v="593910"/>
    <m/>
    <m/>
    <m/>
  </r>
  <r>
    <x v="117"/>
    <x v="6"/>
    <s v="네이버 브랜드검색"/>
    <x v="0"/>
    <x v="0"/>
    <x v="0"/>
    <m/>
    <m/>
    <n v="40000"/>
    <m/>
    <m/>
    <m/>
  </r>
  <r>
    <x v="117"/>
    <x v="6"/>
    <s v="네이버 쇼핑검색"/>
    <x v="0"/>
    <x v="0"/>
    <x v="0"/>
    <m/>
    <m/>
    <n v="3860"/>
    <m/>
    <m/>
    <m/>
  </r>
  <r>
    <x v="118"/>
    <x v="3"/>
    <s v="인스타그램(랄라블라)"/>
    <x v="0"/>
    <x v="0"/>
    <x v="0"/>
    <m/>
    <m/>
    <n v="25045"/>
    <m/>
    <m/>
    <m/>
  </r>
  <r>
    <x v="118"/>
    <x v="3"/>
    <s v="인스타그램(블로그)"/>
    <x v="0"/>
    <x v="0"/>
    <x v="0"/>
    <m/>
    <m/>
    <n v="50158"/>
    <m/>
    <m/>
    <m/>
  </r>
  <r>
    <x v="118"/>
    <x v="3"/>
    <s v="인스타그램(전환)"/>
    <x v="0"/>
    <x v="0"/>
    <x v="0"/>
    <m/>
    <m/>
    <n v="600972"/>
    <m/>
    <m/>
    <m/>
  </r>
  <r>
    <x v="118"/>
    <x v="3"/>
    <s v="네이버 브랜드검색"/>
    <x v="0"/>
    <x v="0"/>
    <x v="0"/>
    <m/>
    <m/>
    <n v="40000"/>
    <m/>
    <m/>
    <m/>
  </r>
  <r>
    <x v="118"/>
    <x v="3"/>
    <s v="네이버 쇼핑검색"/>
    <x v="0"/>
    <x v="0"/>
    <x v="0"/>
    <m/>
    <m/>
    <n v="5170"/>
    <m/>
    <m/>
    <m/>
  </r>
  <r>
    <x v="119"/>
    <x v="4"/>
    <s v="인스타그램(랄라블라)"/>
    <x v="0"/>
    <x v="0"/>
    <x v="0"/>
    <m/>
    <m/>
    <n v="24487"/>
    <m/>
    <m/>
    <m/>
  </r>
  <r>
    <x v="119"/>
    <x v="4"/>
    <s v="인스타그램(블로그)"/>
    <x v="0"/>
    <x v="0"/>
    <x v="0"/>
    <m/>
    <m/>
    <n v="48587"/>
    <m/>
    <m/>
    <m/>
  </r>
  <r>
    <x v="119"/>
    <x v="4"/>
    <s v="인스타그램(전환)"/>
    <x v="0"/>
    <x v="0"/>
    <x v="0"/>
    <m/>
    <m/>
    <n v="686218"/>
    <m/>
    <m/>
    <m/>
  </r>
  <r>
    <x v="119"/>
    <x v="4"/>
    <s v="네이버 브랜드검색"/>
    <x v="0"/>
    <x v="0"/>
    <x v="0"/>
    <m/>
    <m/>
    <n v="40000"/>
    <m/>
    <m/>
    <m/>
  </r>
  <r>
    <x v="119"/>
    <x v="4"/>
    <s v="네이버 쇼핑검색"/>
    <x v="0"/>
    <x v="0"/>
    <x v="0"/>
    <m/>
    <m/>
    <n v="5709.999999999999"/>
    <m/>
    <m/>
    <m/>
  </r>
  <r>
    <x v="119"/>
    <x v="4"/>
    <s v="SMS"/>
    <x v="0"/>
    <x v="0"/>
    <x v="5"/>
    <m/>
    <m/>
    <n v="280"/>
    <m/>
    <m/>
    <m/>
  </r>
  <r>
    <x v="120"/>
    <x v="1"/>
    <s v="인스타그램(랄라블라)"/>
    <x v="0"/>
    <x v="0"/>
    <x v="0"/>
    <m/>
    <m/>
    <n v="25154"/>
    <m/>
    <m/>
    <m/>
  </r>
  <r>
    <x v="120"/>
    <x v="1"/>
    <s v="인스타그램(블로그)"/>
    <x v="0"/>
    <x v="0"/>
    <x v="0"/>
    <m/>
    <m/>
    <n v="49075"/>
    <m/>
    <m/>
    <m/>
  </r>
  <r>
    <x v="120"/>
    <x v="1"/>
    <s v="인스타그램(전환)"/>
    <x v="0"/>
    <x v="0"/>
    <x v="0"/>
    <m/>
    <m/>
    <n v="886929"/>
    <m/>
    <m/>
    <m/>
  </r>
  <r>
    <x v="120"/>
    <x v="1"/>
    <s v="네이버 브랜드검색"/>
    <x v="0"/>
    <x v="0"/>
    <x v="0"/>
    <m/>
    <m/>
    <n v="40000"/>
    <m/>
    <m/>
    <m/>
  </r>
  <r>
    <x v="120"/>
    <x v="1"/>
    <s v="네이버 쇼핑검색"/>
    <x v="0"/>
    <x v="0"/>
    <x v="0"/>
    <m/>
    <m/>
    <n v="9760"/>
    <m/>
    <m/>
    <m/>
  </r>
  <r>
    <x v="121"/>
    <x v="0"/>
    <s v="인스타그램(랄라블라)"/>
    <x v="0"/>
    <x v="0"/>
    <x v="0"/>
    <m/>
    <m/>
    <n v="25112"/>
    <m/>
    <m/>
    <m/>
  </r>
  <r>
    <x v="121"/>
    <x v="0"/>
    <s v="인스타그램(블로그)"/>
    <x v="0"/>
    <x v="0"/>
    <x v="0"/>
    <m/>
    <m/>
    <n v="50557"/>
    <m/>
    <m/>
    <m/>
  </r>
  <r>
    <x v="121"/>
    <x v="0"/>
    <s v="인스타그램(전환)"/>
    <x v="0"/>
    <x v="0"/>
    <x v="0"/>
    <m/>
    <m/>
    <n v="877355"/>
    <m/>
    <m/>
    <m/>
  </r>
  <r>
    <x v="121"/>
    <x v="0"/>
    <s v="인스타그램(소재 테스트)"/>
    <x v="1"/>
    <x v="0"/>
    <x v="14"/>
    <m/>
    <m/>
    <n v="20906"/>
    <m/>
    <m/>
    <m/>
  </r>
  <r>
    <x v="121"/>
    <x v="0"/>
    <s v="네이버 브랜드검색"/>
    <x v="0"/>
    <x v="0"/>
    <x v="0"/>
    <m/>
    <m/>
    <n v="40000"/>
    <m/>
    <m/>
    <m/>
  </r>
  <r>
    <x v="121"/>
    <x v="0"/>
    <s v="네이버 쇼핑검색"/>
    <x v="0"/>
    <x v="0"/>
    <x v="0"/>
    <m/>
    <m/>
    <n v="8860"/>
    <m/>
    <m/>
    <m/>
  </r>
  <r>
    <x v="122"/>
    <x v="2"/>
    <s v="인스타그램(랄라블라)"/>
    <x v="0"/>
    <x v="0"/>
    <x v="0"/>
    <m/>
    <m/>
    <n v="24943"/>
    <m/>
    <m/>
    <m/>
  </r>
  <r>
    <x v="122"/>
    <x v="2"/>
    <s v="인스타그램(블로그)"/>
    <x v="0"/>
    <x v="0"/>
    <x v="0"/>
    <m/>
    <m/>
    <n v="49605"/>
    <m/>
    <m/>
    <m/>
  </r>
  <r>
    <x v="122"/>
    <x v="2"/>
    <s v="인스타그램(전환)"/>
    <x v="0"/>
    <x v="0"/>
    <x v="0"/>
    <m/>
    <m/>
    <n v="884997"/>
    <m/>
    <m/>
    <m/>
  </r>
  <r>
    <x v="122"/>
    <x v="2"/>
    <s v="인스타그램(소재 테스트)"/>
    <x v="1"/>
    <x v="0"/>
    <x v="14"/>
    <m/>
    <m/>
    <n v="22089"/>
    <m/>
    <m/>
    <m/>
  </r>
  <r>
    <x v="122"/>
    <x v="2"/>
    <s v="네이버 브랜드검색"/>
    <x v="0"/>
    <x v="0"/>
    <x v="0"/>
    <m/>
    <m/>
    <n v="40000"/>
    <m/>
    <m/>
    <m/>
  </r>
  <r>
    <x v="122"/>
    <x v="2"/>
    <s v="네이버 쇼핑검색"/>
    <x v="0"/>
    <x v="0"/>
    <x v="0"/>
    <m/>
    <m/>
    <n v="5110"/>
    <m/>
    <m/>
    <m/>
  </r>
  <r>
    <x v="123"/>
    <x v="5"/>
    <s v="인스타그램(랄라블라)"/>
    <x v="0"/>
    <x v="0"/>
    <x v="0"/>
    <m/>
    <m/>
    <n v="25207"/>
    <m/>
    <m/>
    <m/>
  </r>
  <r>
    <x v="123"/>
    <x v="5"/>
    <s v="인스타그램(블로그)"/>
    <x v="0"/>
    <x v="0"/>
    <x v="0"/>
    <m/>
    <m/>
    <n v="51859"/>
    <m/>
    <m/>
    <m/>
  </r>
  <r>
    <x v="123"/>
    <x v="5"/>
    <s v="인스타그램(전환)"/>
    <x v="0"/>
    <x v="0"/>
    <x v="0"/>
    <m/>
    <m/>
    <n v="943975"/>
    <m/>
    <m/>
    <m/>
  </r>
  <r>
    <x v="123"/>
    <x v="5"/>
    <s v="네이버 브랜드검색"/>
    <x v="0"/>
    <x v="0"/>
    <x v="0"/>
    <m/>
    <m/>
    <n v="40000"/>
    <m/>
    <m/>
    <m/>
  </r>
  <r>
    <x v="123"/>
    <x v="5"/>
    <s v="네이버 쇼핑검색"/>
    <x v="0"/>
    <x v="0"/>
    <x v="0"/>
    <m/>
    <m/>
    <n v="4580"/>
    <m/>
    <m/>
    <m/>
  </r>
  <r>
    <x v="124"/>
    <x v="6"/>
    <s v="인스타그램(랄라블라)"/>
    <x v="0"/>
    <x v="0"/>
    <x v="0"/>
    <m/>
    <m/>
    <n v="25051"/>
    <m/>
    <m/>
    <m/>
  </r>
  <r>
    <x v="124"/>
    <x v="6"/>
    <s v="인스타그램(블로그)"/>
    <x v="0"/>
    <x v="0"/>
    <x v="0"/>
    <m/>
    <m/>
    <n v="50262"/>
    <m/>
    <m/>
    <m/>
  </r>
  <r>
    <x v="124"/>
    <x v="6"/>
    <s v="인스타그램(전환)"/>
    <x v="0"/>
    <x v="0"/>
    <x v="0"/>
    <m/>
    <m/>
    <n v="940952"/>
    <m/>
    <m/>
    <m/>
  </r>
  <r>
    <x v="124"/>
    <x v="6"/>
    <s v="네이버 브랜드검색"/>
    <x v="0"/>
    <x v="0"/>
    <x v="0"/>
    <m/>
    <m/>
    <n v="40000"/>
    <m/>
    <m/>
    <m/>
  </r>
  <r>
    <x v="124"/>
    <x v="6"/>
    <s v="네이버 쇼핑검색"/>
    <x v="0"/>
    <x v="0"/>
    <x v="0"/>
    <m/>
    <m/>
    <n v="5390"/>
    <m/>
    <m/>
    <m/>
  </r>
  <r>
    <x v="125"/>
    <x v="3"/>
    <s v="인스타그램(랄라블라)"/>
    <x v="0"/>
    <x v="0"/>
    <x v="0"/>
    <m/>
    <m/>
    <n v="24985"/>
    <m/>
    <m/>
    <m/>
  </r>
  <r>
    <x v="125"/>
    <x v="3"/>
    <s v="인스타그램(블로그)"/>
    <x v="0"/>
    <x v="0"/>
    <x v="0"/>
    <m/>
    <m/>
    <n v="48641"/>
    <m/>
    <m/>
    <m/>
  </r>
  <r>
    <x v="125"/>
    <x v="3"/>
    <s v="인스타그램(전환)"/>
    <x v="0"/>
    <x v="0"/>
    <x v="0"/>
    <m/>
    <m/>
    <n v="967479"/>
    <m/>
    <m/>
    <m/>
  </r>
  <r>
    <x v="125"/>
    <x v="3"/>
    <s v="네이버 브랜드검색"/>
    <x v="0"/>
    <x v="0"/>
    <x v="0"/>
    <m/>
    <m/>
    <n v="40000"/>
    <m/>
    <m/>
    <m/>
  </r>
  <r>
    <x v="125"/>
    <x v="3"/>
    <s v="네이버 쇼핑검색"/>
    <x v="0"/>
    <x v="0"/>
    <x v="0"/>
    <m/>
    <m/>
    <n v="3770"/>
    <m/>
    <m/>
    <m/>
  </r>
  <r>
    <x v="126"/>
    <x v="4"/>
    <s v="인스타그램(랄라블라)"/>
    <x v="0"/>
    <x v="0"/>
    <x v="0"/>
    <m/>
    <m/>
    <n v="24994"/>
    <m/>
    <m/>
    <m/>
  </r>
  <r>
    <x v="126"/>
    <x v="4"/>
    <s v="인스타그램(블로그)"/>
    <x v="0"/>
    <x v="0"/>
    <x v="0"/>
    <m/>
    <m/>
    <n v="49541"/>
    <m/>
    <m/>
    <m/>
  </r>
  <r>
    <x v="126"/>
    <x v="4"/>
    <s v="인스타그램(전환)"/>
    <x v="0"/>
    <x v="0"/>
    <x v="0"/>
    <m/>
    <m/>
    <n v="778733"/>
    <m/>
    <m/>
    <m/>
  </r>
  <r>
    <x v="126"/>
    <x v="4"/>
    <s v="네이버 브랜드검색"/>
    <x v="0"/>
    <x v="0"/>
    <x v="0"/>
    <m/>
    <m/>
    <n v="40000"/>
    <m/>
    <m/>
    <m/>
  </r>
  <r>
    <x v="126"/>
    <x v="4"/>
    <s v="네이버 쇼핑검색"/>
    <x v="0"/>
    <x v="0"/>
    <x v="0"/>
    <m/>
    <m/>
    <n v="2760"/>
    <m/>
    <m/>
    <m/>
  </r>
  <r>
    <x v="127"/>
    <x v="1"/>
    <s v="인스타그램(랄라블라)"/>
    <x v="0"/>
    <x v="0"/>
    <x v="0"/>
    <m/>
    <m/>
    <n v="24996"/>
    <m/>
    <m/>
    <m/>
  </r>
  <r>
    <x v="127"/>
    <x v="1"/>
    <s v="인스타그램(블로그)"/>
    <x v="0"/>
    <x v="0"/>
    <x v="0"/>
    <m/>
    <m/>
    <n v="49920"/>
    <m/>
    <m/>
    <m/>
  </r>
  <r>
    <x v="127"/>
    <x v="1"/>
    <s v="인스타그램(전환)"/>
    <x v="0"/>
    <x v="0"/>
    <x v="0"/>
    <m/>
    <m/>
    <n v="783943"/>
    <m/>
    <m/>
    <m/>
  </r>
  <r>
    <x v="127"/>
    <x v="1"/>
    <s v="네이버 브랜드검색"/>
    <x v="0"/>
    <x v="0"/>
    <x v="0"/>
    <m/>
    <m/>
    <n v="40000"/>
    <m/>
    <m/>
    <m/>
  </r>
  <r>
    <x v="127"/>
    <x v="1"/>
    <s v="네이버 쇼핑검색"/>
    <x v="0"/>
    <x v="0"/>
    <x v="0"/>
    <m/>
    <m/>
    <n v="2300"/>
    <m/>
    <m/>
    <m/>
  </r>
  <r>
    <x v="128"/>
    <x v="0"/>
    <s v="인스타그램(랄라블라)"/>
    <x v="0"/>
    <x v="0"/>
    <x v="0"/>
    <m/>
    <m/>
    <n v="23266"/>
    <m/>
    <m/>
    <m/>
  </r>
  <r>
    <x v="128"/>
    <x v="0"/>
    <s v="인스타그램(블로그)"/>
    <x v="0"/>
    <x v="0"/>
    <x v="0"/>
    <m/>
    <m/>
    <n v="49386"/>
    <m/>
    <m/>
    <m/>
  </r>
  <r>
    <x v="128"/>
    <x v="0"/>
    <s v="인스타그램(전환)"/>
    <x v="0"/>
    <x v="0"/>
    <x v="0"/>
    <m/>
    <m/>
    <n v="783018"/>
    <m/>
    <m/>
    <m/>
  </r>
  <r>
    <x v="128"/>
    <x v="0"/>
    <s v="네이버 브랜드검색"/>
    <x v="0"/>
    <x v="0"/>
    <x v="0"/>
    <m/>
    <m/>
    <n v="40000"/>
    <m/>
    <m/>
    <m/>
  </r>
  <r>
    <x v="128"/>
    <x v="0"/>
    <s v="네이버 쇼핑검색"/>
    <x v="0"/>
    <x v="0"/>
    <x v="0"/>
    <m/>
    <m/>
    <n v="1420"/>
    <m/>
    <m/>
    <m/>
  </r>
  <r>
    <x v="129"/>
    <x v="2"/>
    <s v="인스타그램(랄라블라)"/>
    <x v="0"/>
    <x v="0"/>
    <x v="0"/>
    <m/>
    <m/>
    <n v="25901"/>
    <m/>
    <m/>
    <m/>
  </r>
  <r>
    <x v="129"/>
    <x v="2"/>
    <s v="인스타그램(블로그)"/>
    <x v="0"/>
    <x v="0"/>
    <x v="0"/>
    <m/>
    <m/>
    <n v="49270"/>
    <m/>
    <m/>
    <m/>
  </r>
  <r>
    <x v="129"/>
    <x v="2"/>
    <s v="인스타그램(전환)"/>
    <x v="1"/>
    <x v="0"/>
    <x v="0"/>
    <m/>
    <m/>
    <n v="67166"/>
    <m/>
    <m/>
    <m/>
  </r>
  <r>
    <x v="129"/>
    <x v="2"/>
    <s v="인스타그램(리타게팅 전환)"/>
    <x v="1"/>
    <x v="0"/>
    <x v="0"/>
    <m/>
    <m/>
    <n v="32275"/>
    <m/>
    <m/>
    <m/>
  </r>
  <r>
    <x v="129"/>
    <x v="2"/>
    <s v="인스타그램(전환)"/>
    <x v="0"/>
    <x v="0"/>
    <x v="0"/>
    <m/>
    <m/>
    <n v="810349"/>
    <m/>
    <m/>
    <m/>
  </r>
  <r>
    <x v="129"/>
    <x v="2"/>
    <s v="네이버 브랜드검색"/>
    <x v="0"/>
    <x v="0"/>
    <x v="0"/>
    <m/>
    <m/>
    <n v="40000"/>
    <m/>
    <m/>
    <m/>
  </r>
  <r>
    <x v="129"/>
    <x v="2"/>
    <s v="네이버 쇼핑검색"/>
    <x v="0"/>
    <x v="0"/>
    <x v="0"/>
    <m/>
    <m/>
    <n v="2900"/>
    <m/>
    <m/>
    <m/>
  </r>
  <r>
    <x v="130"/>
    <x v="5"/>
    <s v="인스타그램(랄라블라)"/>
    <x v="0"/>
    <x v="0"/>
    <x v="0"/>
    <m/>
    <m/>
    <n v="25807"/>
    <m/>
    <m/>
    <m/>
  </r>
  <r>
    <x v="130"/>
    <x v="5"/>
    <s v="인스타그램(블로그)"/>
    <x v="0"/>
    <x v="0"/>
    <x v="0"/>
    <m/>
    <m/>
    <n v="52980"/>
    <m/>
    <m/>
    <m/>
  </r>
  <r>
    <x v="130"/>
    <x v="5"/>
    <s v="인스타그램(전환)"/>
    <x v="0"/>
    <x v="0"/>
    <x v="0"/>
    <m/>
    <m/>
    <n v="834251"/>
    <m/>
    <m/>
    <m/>
  </r>
  <r>
    <x v="130"/>
    <x v="5"/>
    <s v="네이버 브랜드검색"/>
    <x v="0"/>
    <x v="0"/>
    <x v="0"/>
    <m/>
    <m/>
    <n v="40000"/>
    <m/>
    <m/>
    <m/>
  </r>
  <r>
    <x v="130"/>
    <x v="5"/>
    <s v="네이버 쇼핑검색"/>
    <x v="0"/>
    <x v="0"/>
    <x v="0"/>
    <m/>
    <m/>
    <n v="3510"/>
    <m/>
    <m/>
    <m/>
  </r>
  <r>
    <x v="131"/>
    <x v="6"/>
    <s v="인스타그램(랄라블라)"/>
    <x v="0"/>
    <x v="0"/>
    <x v="0"/>
    <m/>
    <m/>
    <n v="25052"/>
    <m/>
    <m/>
    <m/>
  </r>
  <r>
    <x v="131"/>
    <x v="6"/>
    <s v="인스타그램(블로그)"/>
    <x v="0"/>
    <x v="0"/>
    <x v="0"/>
    <m/>
    <m/>
    <n v="50187"/>
    <m/>
    <m/>
    <m/>
  </r>
  <r>
    <x v="131"/>
    <x v="6"/>
    <s v="인스타그램(전환)"/>
    <x v="0"/>
    <x v="0"/>
    <x v="0"/>
    <m/>
    <m/>
    <n v="948018"/>
    <m/>
    <m/>
    <m/>
  </r>
  <r>
    <x v="131"/>
    <x v="6"/>
    <s v="네이버 브랜드검색"/>
    <x v="0"/>
    <x v="0"/>
    <x v="0"/>
    <m/>
    <m/>
    <n v="40000"/>
    <m/>
    <m/>
    <m/>
  </r>
  <r>
    <x v="131"/>
    <x v="6"/>
    <s v="네이버 쇼핑검색"/>
    <x v="0"/>
    <x v="0"/>
    <x v="0"/>
    <m/>
    <m/>
    <n v="1890"/>
    <m/>
    <m/>
    <m/>
  </r>
  <r>
    <x v="132"/>
    <x v="3"/>
    <s v="인스타그램(랄라블라)"/>
    <x v="0"/>
    <x v="0"/>
    <x v="0"/>
    <m/>
    <m/>
    <n v="25007"/>
    <m/>
    <m/>
    <m/>
  </r>
  <r>
    <x v="132"/>
    <x v="3"/>
    <s v="인스타그램(블로그)"/>
    <x v="0"/>
    <x v="0"/>
    <x v="0"/>
    <m/>
    <m/>
    <n v="48782"/>
    <m/>
    <m/>
    <m/>
  </r>
  <r>
    <x v="132"/>
    <x v="3"/>
    <s v="인스타그램(전환)"/>
    <x v="1"/>
    <x v="0"/>
    <x v="0"/>
    <m/>
    <m/>
    <n v="113411"/>
    <m/>
    <m/>
    <m/>
  </r>
  <r>
    <x v="132"/>
    <x v="3"/>
    <s v="인스타그램(리타게팅 전환)"/>
    <x v="1"/>
    <x v="0"/>
    <x v="0"/>
    <m/>
    <m/>
    <n v="57142"/>
    <m/>
    <m/>
    <m/>
  </r>
  <r>
    <x v="132"/>
    <x v="3"/>
    <s v="인스타그램(전환)"/>
    <x v="0"/>
    <x v="0"/>
    <x v="0"/>
    <m/>
    <m/>
    <n v="861713"/>
    <m/>
    <m/>
    <m/>
  </r>
  <r>
    <x v="132"/>
    <x v="3"/>
    <s v="네이버 브랜드검색"/>
    <x v="0"/>
    <x v="0"/>
    <x v="0"/>
    <m/>
    <m/>
    <n v="40000"/>
    <m/>
    <m/>
    <m/>
  </r>
  <r>
    <x v="132"/>
    <x v="3"/>
    <s v="네이버 쇼핑검색"/>
    <x v="0"/>
    <x v="0"/>
    <x v="0"/>
    <m/>
    <m/>
    <n v="5060"/>
    <m/>
    <m/>
    <m/>
  </r>
  <r>
    <x v="133"/>
    <x v="4"/>
    <s v="인스타그램(랄라블라)"/>
    <x v="0"/>
    <x v="0"/>
    <x v="0"/>
    <m/>
    <m/>
    <n v="25031"/>
    <m/>
    <m/>
    <m/>
  </r>
  <r>
    <x v="133"/>
    <x v="4"/>
    <s v="인스타그램(블로그)"/>
    <x v="0"/>
    <x v="0"/>
    <x v="0"/>
    <m/>
    <m/>
    <n v="50367"/>
    <m/>
    <m/>
    <m/>
  </r>
  <r>
    <x v="133"/>
    <x v="4"/>
    <s v="인스타그램(전환)"/>
    <x v="1"/>
    <x v="0"/>
    <x v="0"/>
    <m/>
    <m/>
    <n v="115027"/>
    <m/>
    <m/>
    <m/>
  </r>
  <r>
    <x v="133"/>
    <x v="4"/>
    <s v="인스타그램(리타게팅 전환)"/>
    <x v="1"/>
    <x v="0"/>
    <x v="0"/>
    <m/>
    <m/>
    <n v="79711"/>
    <m/>
    <m/>
    <m/>
  </r>
  <r>
    <x v="133"/>
    <x v="4"/>
    <s v="인스타그램(전환)"/>
    <x v="0"/>
    <x v="0"/>
    <x v="0"/>
    <m/>
    <m/>
    <n v="1046622"/>
    <m/>
    <m/>
    <m/>
  </r>
  <r>
    <x v="133"/>
    <x v="4"/>
    <s v="네이버 브랜드검색"/>
    <x v="0"/>
    <x v="0"/>
    <x v="0"/>
    <m/>
    <m/>
    <n v="40000"/>
    <m/>
    <m/>
    <m/>
  </r>
  <r>
    <x v="133"/>
    <x v="4"/>
    <s v="네이버 쇼핑검색"/>
    <x v="0"/>
    <x v="0"/>
    <x v="0"/>
    <m/>
    <m/>
    <n v="7399.999999999999"/>
    <m/>
    <m/>
    <m/>
  </r>
  <r>
    <x v="134"/>
    <x v="1"/>
    <s v="인스타그램(랄라블라)"/>
    <x v="0"/>
    <x v="0"/>
    <x v="0"/>
    <m/>
    <m/>
    <n v="24956"/>
    <m/>
    <m/>
    <m/>
  </r>
  <r>
    <x v="134"/>
    <x v="1"/>
    <s v="인스타그램(블로그)"/>
    <x v="0"/>
    <x v="0"/>
    <x v="0"/>
    <m/>
    <m/>
    <n v="49536"/>
    <m/>
    <m/>
    <m/>
  </r>
  <r>
    <x v="134"/>
    <x v="1"/>
    <s v="인스타그램(전환)"/>
    <x v="1"/>
    <x v="0"/>
    <x v="0"/>
    <m/>
    <m/>
    <n v="128474"/>
    <m/>
    <m/>
    <m/>
  </r>
  <r>
    <x v="134"/>
    <x v="1"/>
    <s v="인스타그램(리타게팅 전환)"/>
    <x v="1"/>
    <x v="0"/>
    <x v="0"/>
    <m/>
    <m/>
    <n v="95244"/>
    <m/>
    <m/>
    <m/>
  </r>
  <r>
    <x v="134"/>
    <x v="1"/>
    <s v="인스타그램(전환)"/>
    <x v="0"/>
    <x v="0"/>
    <x v="0"/>
    <m/>
    <m/>
    <n v="1273431"/>
    <m/>
    <m/>
    <m/>
  </r>
  <r>
    <x v="134"/>
    <x v="1"/>
    <s v="네이버 브랜드검색"/>
    <x v="0"/>
    <x v="0"/>
    <x v="0"/>
    <m/>
    <m/>
    <n v="40000"/>
    <m/>
    <m/>
    <m/>
  </r>
  <r>
    <x v="134"/>
    <x v="1"/>
    <s v="네이버 쇼핑검색"/>
    <x v="0"/>
    <x v="0"/>
    <x v="0"/>
    <m/>
    <m/>
    <n v="6149.999999999999"/>
    <m/>
    <m/>
    <m/>
  </r>
  <r>
    <x v="135"/>
    <x v="0"/>
    <s v="인스타그램(랄라블라)"/>
    <x v="0"/>
    <x v="0"/>
    <x v="0"/>
    <m/>
    <m/>
    <n v="24314"/>
    <m/>
    <m/>
    <m/>
  </r>
  <r>
    <x v="135"/>
    <x v="0"/>
    <s v="인스타그램(블로그)"/>
    <x v="0"/>
    <x v="0"/>
    <x v="0"/>
    <m/>
    <m/>
    <n v="48891"/>
    <m/>
    <m/>
    <m/>
  </r>
  <r>
    <x v="135"/>
    <x v="0"/>
    <s v="인스타그램(전환)"/>
    <x v="1"/>
    <x v="0"/>
    <x v="0"/>
    <m/>
    <m/>
    <n v="141392"/>
    <m/>
    <m/>
    <m/>
  </r>
  <r>
    <x v="135"/>
    <x v="0"/>
    <s v="인스타그램(리타게팅 전환)"/>
    <x v="1"/>
    <x v="0"/>
    <x v="0"/>
    <m/>
    <m/>
    <n v="96100"/>
    <m/>
    <m/>
    <m/>
  </r>
  <r>
    <x v="135"/>
    <x v="0"/>
    <s v="인스타그램(전환)"/>
    <x v="0"/>
    <x v="0"/>
    <x v="0"/>
    <m/>
    <m/>
    <n v="977869"/>
    <m/>
    <m/>
    <m/>
  </r>
  <r>
    <x v="135"/>
    <x v="0"/>
    <s v="네이버 브랜드검색"/>
    <x v="0"/>
    <x v="0"/>
    <x v="0"/>
    <m/>
    <m/>
    <n v="40000"/>
    <m/>
    <m/>
    <m/>
  </r>
  <r>
    <x v="135"/>
    <x v="0"/>
    <s v="네이버 쇼핑검색"/>
    <x v="0"/>
    <x v="0"/>
    <x v="0"/>
    <m/>
    <m/>
    <n v="7049.999999999999"/>
    <m/>
    <m/>
    <m/>
  </r>
  <r>
    <x v="136"/>
    <x v="2"/>
    <s v="인스타그램(랄라블라)"/>
    <x v="0"/>
    <x v="0"/>
    <x v="0"/>
    <m/>
    <m/>
    <n v="25092"/>
    <m/>
    <m/>
    <m/>
  </r>
  <r>
    <x v="136"/>
    <x v="2"/>
    <s v="인스타그램(블로그)"/>
    <x v="0"/>
    <x v="0"/>
    <x v="0"/>
    <m/>
    <m/>
    <n v="49140"/>
    <m/>
    <m/>
    <m/>
  </r>
  <r>
    <x v="136"/>
    <x v="2"/>
    <s v="인스타그램(전환)"/>
    <x v="1"/>
    <x v="0"/>
    <x v="0"/>
    <m/>
    <m/>
    <n v="141363"/>
    <m/>
    <m/>
    <m/>
  </r>
  <r>
    <x v="136"/>
    <x v="2"/>
    <s v="인스타그램(리타게팅 전환)"/>
    <x v="1"/>
    <x v="0"/>
    <x v="0"/>
    <m/>
    <m/>
    <n v="97370"/>
    <m/>
    <m/>
    <m/>
  </r>
  <r>
    <x v="136"/>
    <x v="2"/>
    <s v="인스타그램(전환)"/>
    <x v="0"/>
    <x v="0"/>
    <x v="0"/>
    <m/>
    <m/>
    <n v="915783"/>
    <m/>
    <m/>
    <m/>
  </r>
  <r>
    <x v="136"/>
    <x v="2"/>
    <s v="네이버 브랜드검색"/>
    <x v="0"/>
    <x v="0"/>
    <x v="0"/>
    <m/>
    <m/>
    <n v="40000"/>
    <m/>
    <m/>
    <m/>
  </r>
  <r>
    <x v="136"/>
    <x v="2"/>
    <s v="네이버 쇼핑검색"/>
    <x v="0"/>
    <x v="0"/>
    <x v="0"/>
    <m/>
    <m/>
    <n v="4470"/>
    <m/>
    <m/>
    <m/>
  </r>
  <r>
    <x v="137"/>
    <x v="5"/>
    <s v="인스타그램(랄라블라)"/>
    <x v="0"/>
    <x v="0"/>
    <x v="0"/>
    <m/>
    <m/>
    <n v="25548"/>
    <m/>
    <m/>
    <m/>
  </r>
  <r>
    <x v="137"/>
    <x v="5"/>
    <s v="인스타그램(블로그)"/>
    <x v="0"/>
    <x v="0"/>
    <x v="0"/>
    <m/>
    <m/>
    <n v="53097"/>
    <m/>
    <m/>
    <m/>
  </r>
  <r>
    <x v="137"/>
    <x v="5"/>
    <s v="인스타그램(전환)"/>
    <x v="1"/>
    <x v="0"/>
    <x v="0"/>
    <m/>
    <m/>
    <n v="154516"/>
    <m/>
    <m/>
    <m/>
  </r>
  <r>
    <x v="137"/>
    <x v="5"/>
    <s v="인스타그램(리타게팅 전환)"/>
    <x v="1"/>
    <x v="0"/>
    <x v="0"/>
    <m/>
    <m/>
    <n v="104333"/>
    <m/>
    <m/>
    <m/>
  </r>
  <r>
    <x v="137"/>
    <x v="5"/>
    <s v="인스타그램(전환)"/>
    <x v="0"/>
    <x v="0"/>
    <x v="0"/>
    <m/>
    <m/>
    <n v="860913"/>
    <m/>
    <m/>
    <m/>
  </r>
  <r>
    <x v="137"/>
    <x v="5"/>
    <s v="네이버 브랜드검색"/>
    <x v="0"/>
    <x v="0"/>
    <x v="0"/>
    <m/>
    <m/>
    <n v="40000"/>
    <m/>
    <m/>
    <m/>
  </r>
  <r>
    <x v="137"/>
    <x v="5"/>
    <s v="네이버 쇼핑검색"/>
    <x v="0"/>
    <x v="0"/>
    <x v="0"/>
    <m/>
    <m/>
    <n v="4030"/>
    <m/>
    <m/>
    <m/>
  </r>
  <r>
    <x v="138"/>
    <x v="6"/>
    <s v="인스타그램(랄라블라)"/>
    <x v="0"/>
    <x v="0"/>
    <x v="0"/>
    <m/>
    <m/>
    <n v="25036"/>
    <m/>
    <m/>
    <m/>
  </r>
  <r>
    <x v="138"/>
    <x v="6"/>
    <s v="인스타그램(블로그)"/>
    <x v="0"/>
    <x v="0"/>
    <x v="0"/>
    <m/>
    <m/>
    <n v="50151"/>
    <m/>
    <m/>
    <m/>
  </r>
  <r>
    <x v="138"/>
    <x v="6"/>
    <s v="인스타그램(전환)"/>
    <x v="1"/>
    <x v="0"/>
    <x v="0"/>
    <m/>
    <m/>
    <n v="150810"/>
    <m/>
    <m/>
    <m/>
  </r>
  <r>
    <x v="138"/>
    <x v="6"/>
    <s v="인스타그램(리타게팅 전환)"/>
    <x v="1"/>
    <x v="0"/>
    <x v="0"/>
    <m/>
    <m/>
    <n v="100567"/>
    <m/>
    <m/>
    <m/>
  </r>
  <r>
    <x v="138"/>
    <x v="6"/>
    <s v="인스타그램(전환)"/>
    <x v="0"/>
    <x v="0"/>
    <x v="0"/>
    <m/>
    <m/>
    <n v="801780"/>
    <m/>
    <m/>
    <m/>
  </r>
  <r>
    <x v="138"/>
    <x v="6"/>
    <s v="네이버 브랜드검색"/>
    <x v="0"/>
    <x v="0"/>
    <x v="0"/>
    <m/>
    <m/>
    <n v="40000"/>
    <m/>
    <m/>
    <m/>
  </r>
  <r>
    <x v="138"/>
    <x v="6"/>
    <s v="네이버 쇼핑검색"/>
    <x v="0"/>
    <x v="0"/>
    <x v="0"/>
    <m/>
    <m/>
    <n v="3150"/>
    <m/>
    <m/>
    <m/>
  </r>
  <r>
    <x v="139"/>
    <x v="3"/>
    <s v="인스타그램(랄라블라)"/>
    <x v="0"/>
    <x v="0"/>
    <x v="0"/>
    <m/>
    <m/>
    <n v="25062"/>
    <m/>
    <m/>
    <m/>
  </r>
  <r>
    <x v="139"/>
    <x v="3"/>
    <s v="인스타그램(블로그)"/>
    <x v="0"/>
    <x v="0"/>
    <x v="0"/>
    <m/>
    <m/>
    <n v="48554"/>
    <m/>
    <m/>
    <m/>
  </r>
  <r>
    <x v="139"/>
    <x v="3"/>
    <s v="인스타그램(전환)"/>
    <x v="1"/>
    <x v="0"/>
    <x v="0"/>
    <m/>
    <m/>
    <n v="145221"/>
    <m/>
    <m/>
    <m/>
  </r>
  <r>
    <x v="139"/>
    <x v="3"/>
    <s v="인스타그램(리타게팅 전환)"/>
    <x v="1"/>
    <x v="0"/>
    <x v="0"/>
    <m/>
    <m/>
    <n v="97916"/>
    <m/>
    <m/>
    <m/>
  </r>
  <r>
    <x v="139"/>
    <x v="3"/>
    <s v="인스타그램(전환)"/>
    <x v="0"/>
    <x v="0"/>
    <x v="0"/>
    <m/>
    <m/>
    <n v="785804"/>
    <m/>
    <m/>
    <m/>
  </r>
  <r>
    <x v="139"/>
    <x v="3"/>
    <s v="네이버 브랜드검색"/>
    <x v="0"/>
    <x v="0"/>
    <x v="0"/>
    <m/>
    <m/>
    <n v="40000"/>
    <m/>
    <m/>
    <m/>
  </r>
  <r>
    <x v="139"/>
    <x v="3"/>
    <s v="네이버 쇼핑검색"/>
    <x v="0"/>
    <x v="0"/>
    <x v="0"/>
    <m/>
    <m/>
    <n v="2980"/>
    <m/>
    <m/>
    <m/>
  </r>
  <r>
    <x v="140"/>
    <x v="4"/>
    <s v="인스타그램(랄라블라)"/>
    <x v="0"/>
    <x v="0"/>
    <x v="0"/>
    <m/>
    <m/>
    <n v="24148"/>
    <m/>
    <m/>
    <m/>
  </r>
  <r>
    <x v="140"/>
    <x v="4"/>
    <s v="인스타그램(블로그)"/>
    <x v="0"/>
    <x v="0"/>
    <x v="0"/>
    <m/>
    <m/>
    <n v="49801"/>
    <m/>
    <m/>
    <m/>
  </r>
  <r>
    <x v="140"/>
    <x v="4"/>
    <s v="인스타그램(전환)"/>
    <x v="1"/>
    <x v="0"/>
    <x v="0"/>
    <m/>
    <m/>
    <n v="148874"/>
    <m/>
    <m/>
    <m/>
  </r>
  <r>
    <x v="140"/>
    <x v="4"/>
    <s v="인스타그램(리타게팅 전환)"/>
    <x v="1"/>
    <x v="0"/>
    <x v="0"/>
    <m/>
    <m/>
    <n v="99182"/>
    <m/>
    <m/>
    <m/>
  </r>
  <r>
    <x v="140"/>
    <x v="4"/>
    <s v="인스타그램(전환)"/>
    <x v="0"/>
    <x v="0"/>
    <x v="0"/>
    <m/>
    <m/>
    <n v="816053"/>
    <m/>
    <m/>
    <m/>
  </r>
  <r>
    <x v="140"/>
    <x v="4"/>
    <s v="네이버 브랜드검색"/>
    <x v="0"/>
    <x v="0"/>
    <x v="0"/>
    <m/>
    <m/>
    <n v="40000"/>
    <m/>
    <m/>
    <m/>
  </r>
  <r>
    <x v="140"/>
    <x v="4"/>
    <s v="네이버 쇼핑검색"/>
    <x v="0"/>
    <x v="0"/>
    <x v="0"/>
    <m/>
    <m/>
    <n v="11840"/>
    <m/>
    <m/>
    <m/>
  </r>
  <r>
    <x v="141"/>
    <x v="1"/>
    <s v="인스타그램(랄라블라)"/>
    <x v="0"/>
    <x v="0"/>
    <x v="0"/>
    <m/>
    <m/>
    <n v="24705"/>
    <m/>
    <m/>
    <m/>
  </r>
  <r>
    <x v="141"/>
    <x v="1"/>
    <s v="인스타그램(블로그)"/>
    <x v="0"/>
    <x v="0"/>
    <x v="0"/>
    <m/>
    <m/>
    <n v="49139"/>
    <m/>
    <m/>
    <m/>
  </r>
  <r>
    <x v="141"/>
    <x v="1"/>
    <s v="인스타그램(전환)"/>
    <x v="1"/>
    <x v="0"/>
    <x v="0"/>
    <m/>
    <m/>
    <n v="147403"/>
    <m/>
    <m/>
    <m/>
  </r>
  <r>
    <x v="141"/>
    <x v="1"/>
    <s v="인스타그램(리타게팅 전환)"/>
    <x v="1"/>
    <x v="0"/>
    <x v="0"/>
    <m/>
    <m/>
    <n v="98531"/>
    <m/>
    <m/>
    <m/>
  </r>
  <r>
    <x v="141"/>
    <x v="1"/>
    <s v="인스타그램(전환)"/>
    <x v="0"/>
    <x v="0"/>
    <x v="0"/>
    <m/>
    <m/>
    <n v="955570"/>
    <m/>
    <m/>
    <m/>
  </r>
  <r>
    <x v="141"/>
    <x v="1"/>
    <s v="네이버 브랜드검색"/>
    <x v="0"/>
    <x v="0"/>
    <x v="0"/>
    <m/>
    <m/>
    <n v="40000"/>
    <m/>
    <m/>
    <m/>
  </r>
  <r>
    <x v="141"/>
    <x v="1"/>
    <s v="네이버 쇼핑검색"/>
    <x v="0"/>
    <x v="0"/>
    <x v="0"/>
    <m/>
    <m/>
    <n v="12530"/>
    <m/>
    <m/>
    <m/>
  </r>
  <r>
    <x v="142"/>
    <x v="0"/>
    <s v="인스타그램(랄라블라)"/>
    <x v="0"/>
    <x v="0"/>
    <x v="0"/>
    <m/>
    <m/>
    <n v="25396"/>
    <m/>
    <m/>
    <m/>
  </r>
  <r>
    <x v="142"/>
    <x v="0"/>
    <s v="인스타그램(블로그)"/>
    <x v="0"/>
    <x v="0"/>
    <x v="0"/>
    <m/>
    <m/>
    <n v="49969"/>
    <m/>
    <m/>
    <m/>
  </r>
  <r>
    <x v="142"/>
    <x v="0"/>
    <s v="인스타그램(전환)"/>
    <x v="1"/>
    <x v="0"/>
    <x v="0"/>
    <m/>
    <m/>
    <n v="152714"/>
    <m/>
    <m/>
    <m/>
  </r>
  <r>
    <x v="142"/>
    <x v="0"/>
    <s v="인스타그램(리타게팅 전환)"/>
    <x v="1"/>
    <x v="0"/>
    <x v="0"/>
    <m/>
    <m/>
    <n v="100943"/>
    <m/>
    <m/>
    <m/>
  </r>
  <r>
    <x v="142"/>
    <x v="0"/>
    <s v="페이스북(전환)"/>
    <x v="0"/>
    <x v="0"/>
    <x v="0"/>
    <m/>
    <m/>
    <n v="117740"/>
    <m/>
    <m/>
    <m/>
  </r>
  <r>
    <x v="142"/>
    <x v="0"/>
    <s v="인스타그램(전환)"/>
    <x v="0"/>
    <x v="0"/>
    <x v="0"/>
    <m/>
    <m/>
    <n v="986135"/>
    <m/>
    <m/>
    <m/>
  </r>
  <r>
    <x v="142"/>
    <x v="0"/>
    <s v="네이버 브랜드검색"/>
    <x v="0"/>
    <x v="0"/>
    <x v="0"/>
    <m/>
    <m/>
    <n v="40000"/>
    <m/>
    <m/>
    <m/>
  </r>
  <r>
    <x v="142"/>
    <x v="0"/>
    <s v="네이버 쇼핑검색"/>
    <x v="0"/>
    <x v="0"/>
    <x v="0"/>
    <m/>
    <m/>
    <n v="8520"/>
    <m/>
    <m/>
    <m/>
  </r>
  <r>
    <x v="143"/>
    <x v="2"/>
    <s v="인스타그램(랄라블라)"/>
    <x v="0"/>
    <x v="0"/>
    <x v="0"/>
    <m/>
    <m/>
    <n v="23660"/>
    <m/>
    <m/>
    <m/>
  </r>
  <r>
    <x v="143"/>
    <x v="2"/>
    <s v="인스타그램(블로그)"/>
    <x v="0"/>
    <x v="0"/>
    <x v="0"/>
    <m/>
    <m/>
    <n v="49631"/>
    <m/>
    <m/>
    <m/>
  </r>
  <r>
    <x v="143"/>
    <x v="2"/>
    <s v="인스타그램(전환)"/>
    <x v="1"/>
    <x v="0"/>
    <x v="0"/>
    <m/>
    <m/>
    <n v="148239"/>
    <m/>
    <m/>
    <m/>
  </r>
  <r>
    <x v="143"/>
    <x v="2"/>
    <s v="인스타그램(리타게팅 전환)"/>
    <x v="1"/>
    <x v="0"/>
    <x v="0"/>
    <m/>
    <m/>
    <n v="99950"/>
    <m/>
    <m/>
    <m/>
  </r>
  <r>
    <x v="143"/>
    <x v="2"/>
    <s v="페이스북(전환)"/>
    <x v="0"/>
    <x v="0"/>
    <x v="0"/>
    <m/>
    <m/>
    <n v="116341"/>
    <m/>
    <m/>
    <m/>
  </r>
  <r>
    <x v="143"/>
    <x v="2"/>
    <s v="인스타그램(전환)"/>
    <x v="0"/>
    <x v="0"/>
    <x v="0"/>
    <m/>
    <m/>
    <n v="977618"/>
    <m/>
    <m/>
    <m/>
  </r>
  <r>
    <x v="143"/>
    <x v="2"/>
    <s v="네이버 브랜드검색"/>
    <x v="0"/>
    <x v="0"/>
    <x v="0"/>
    <m/>
    <m/>
    <n v="40000"/>
    <m/>
    <m/>
    <m/>
  </r>
  <r>
    <x v="143"/>
    <x v="2"/>
    <s v="네이버 쇼핑검색"/>
    <x v="0"/>
    <x v="0"/>
    <x v="0"/>
    <m/>
    <m/>
    <n v="4580"/>
    <m/>
    <m/>
    <m/>
  </r>
  <r>
    <x v="144"/>
    <x v="5"/>
    <s v="인스타그램(랄라블라)"/>
    <x v="0"/>
    <x v="0"/>
    <x v="0"/>
    <m/>
    <m/>
    <n v="26992"/>
    <m/>
    <m/>
    <m/>
  </r>
  <r>
    <x v="144"/>
    <x v="5"/>
    <s v="인스타그램(블로그)"/>
    <x v="0"/>
    <x v="0"/>
    <x v="0"/>
    <m/>
    <m/>
    <n v="52753"/>
    <m/>
    <m/>
    <m/>
  </r>
  <r>
    <x v="144"/>
    <x v="5"/>
    <s v="인스타그램(전환)"/>
    <x v="1"/>
    <x v="0"/>
    <x v="0"/>
    <m/>
    <m/>
    <n v="156739"/>
    <m/>
    <m/>
    <m/>
  </r>
  <r>
    <x v="144"/>
    <x v="5"/>
    <s v="인스타그램(리타게팅 전환)"/>
    <x v="1"/>
    <x v="0"/>
    <x v="0"/>
    <m/>
    <m/>
    <n v="102911"/>
    <m/>
    <m/>
    <m/>
  </r>
  <r>
    <x v="144"/>
    <x v="5"/>
    <s v="페이스북(전환)"/>
    <x v="0"/>
    <x v="0"/>
    <x v="0"/>
    <m/>
    <m/>
    <n v="116977"/>
    <m/>
    <m/>
    <m/>
  </r>
  <r>
    <x v="144"/>
    <x v="5"/>
    <s v="인스타그램(전환)"/>
    <x v="0"/>
    <x v="0"/>
    <x v="0"/>
    <m/>
    <m/>
    <n v="1038014"/>
    <m/>
    <m/>
    <m/>
  </r>
  <r>
    <x v="144"/>
    <x v="5"/>
    <s v="네이버 브랜드검색"/>
    <x v="0"/>
    <x v="0"/>
    <x v="0"/>
    <m/>
    <m/>
    <n v="40000"/>
    <m/>
    <m/>
    <m/>
  </r>
  <r>
    <x v="144"/>
    <x v="5"/>
    <s v="네이버 쇼핑검색"/>
    <x v="0"/>
    <x v="0"/>
    <x v="0"/>
    <m/>
    <m/>
    <n v="4530"/>
    <m/>
    <m/>
    <m/>
  </r>
  <r>
    <x v="145"/>
    <x v="6"/>
    <s v="인스타그램(랄라블라)"/>
    <x v="0"/>
    <x v="0"/>
    <x v="0"/>
    <m/>
    <m/>
    <n v="25049"/>
    <m/>
    <m/>
    <m/>
  </r>
  <r>
    <x v="145"/>
    <x v="6"/>
    <s v="인스타그램(블로그)"/>
    <x v="0"/>
    <x v="0"/>
    <x v="0"/>
    <m/>
    <m/>
    <n v="50231"/>
    <m/>
    <m/>
    <m/>
  </r>
  <r>
    <x v="145"/>
    <x v="6"/>
    <s v="인스타그램(전환)"/>
    <x v="1"/>
    <x v="0"/>
    <x v="0"/>
    <m/>
    <m/>
    <n v="150432"/>
    <m/>
    <m/>
    <m/>
  </r>
  <r>
    <x v="145"/>
    <x v="6"/>
    <s v="인스타그램(리타게팅 전환)"/>
    <x v="1"/>
    <x v="0"/>
    <x v="0"/>
    <m/>
    <m/>
    <n v="100276"/>
    <m/>
    <m/>
    <m/>
  </r>
  <r>
    <x v="145"/>
    <x v="6"/>
    <s v="페이스북(전환)"/>
    <x v="0"/>
    <x v="0"/>
    <x v="0"/>
    <m/>
    <m/>
    <n v="102044"/>
    <m/>
    <m/>
    <m/>
  </r>
  <r>
    <x v="145"/>
    <x v="6"/>
    <s v="인스타그램(전환)"/>
    <x v="0"/>
    <x v="0"/>
    <x v="0"/>
    <m/>
    <m/>
    <n v="1156344"/>
    <m/>
    <m/>
    <m/>
  </r>
  <r>
    <x v="145"/>
    <x v="6"/>
    <s v="네이버 브랜드검색"/>
    <x v="0"/>
    <x v="0"/>
    <x v="0"/>
    <m/>
    <m/>
    <n v="40000"/>
    <m/>
    <m/>
    <m/>
  </r>
  <r>
    <x v="145"/>
    <x v="6"/>
    <s v="네이버 쇼핑검색"/>
    <x v="0"/>
    <x v="0"/>
    <x v="0"/>
    <m/>
    <m/>
    <n v="8410"/>
    <m/>
    <m/>
    <m/>
  </r>
  <r>
    <x v="146"/>
    <x v="3"/>
    <s v="인스타그램(랄라블라)"/>
    <x v="0"/>
    <x v="0"/>
    <x v="0"/>
    <m/>
    <m/>
    <n v="25019"/>
    <m/>
    <m/>
    <m/>
  </r>
  <r>
    <x v="146"/>
    <x v="3"/>
    <s v="인스타그램(블로그)"/>
    <x v="0"/>
    <x v="0"/>
    <x v="0"/>
    <m/>
    <m/>
    <n v="49616"/>
    <m/>
    <m/>
    <m/>
  </r>
  <r>
    <x v="146"/>
    <x v="3"/>
    <s v="인스타그램(전환)"/>
    <x v="1"/>
    <x v="0"/>
    <x v="0"/>
    <m/>
    <m/>
    <n v="145106"/>
    <m/>
    <m/>
    <m/>
  </r>
  <r>
    <x v="146"/>
    <x v="3"/>
    <s v="인스타그램(리타게팅 전환)"/>
    <x v="1"/>
    <x v="0"/>
    <x v="0"/>
    <m/>
    <m/>
    <n v="96801"/>
    <m/>
    <m/>
    <m/>
  </r>
  <r>
    <x v="146"/>
    <x v="3"/>
    <s v="페이스북(전환)"/>
    <x v="0"/>
    <x v="0"/>
    <x v="0"/>
    <m/>
    <m/>
    <n v="97792"/>
    <m/>
    <m/>
    <m/>
  </r>
  <r>
    <x v="146"/>
    <x v="3"/>
    <s v="인스타그램(전환)"/>
    <x v="0"/>
    <x v="0"/>
    <x v="0"/>
    <m/>
    <m/>
    <n v="1577445"/>
    <m/>
    <m/>
    <m/>
  </r>
  <r>
    <x v="146"/>
    <x v="3"/>
    <s v="네이버 브랜드검색"/>
    <x v="0"/>
    <x v="0"/>
    <x v="0"/>
    <m/>
    <m/>
    <n v="40000"/>
    <m/>
    <m/>
    <m/>
  </r>
  <r>
    <x v="146"/>
    <x v="3"/>
    <s v="네이버 쇼핑검색"/>
    <x v="0"/>
    <x v="0"/>
    <x v="0"/>
    <m/>
    <m/>
    <n v="9170"/>
    <m/>
    <m/>
    <m/>
  </r>
  <r>
    <x v="147"/>
    <x v="4"/>
    <s v="인스타그램(랄라블라)"/>
    <x v="0"/>
    <x v="0"/>
    <x v="0"/>
    <m/>
    <m/>
    <n v="21776"/>
    <m/>
    <m/>
    <m/>
  </r>
  <r>
    <x v="147"/>
    <x v="4"/>
    <s v="인스타그램(블로그)"/>
    <x v="0"/>
    <x v="0"/>
    <x v="0"/>
    <m/>
    <m/>
    <n v="50163"/>
    <m/>
    <m/>
    <m/>
  </r>
  <r>
    <x v="147"/>
    <x v="4"/>
    <s v="인스타그램(전환)"/>
    <x v="1"/>
    <x v="0"/>
    <x v="0"/>
    <m/>
    <m/>
    <n v="151239"/>
    <m/>
    <m/>
    <m/>
  </r>
  <r>
    <x v="147"/>
    <x v="4"/>
    <s v="인스타그램(리타게팅 전환)"/>
    <x v="1"/>
    <x v="0"/>
    <x v="0"/>
    <m/>
    <m/>
    <n v="100980"/>
    <m/>
    <m/>
    <m/>
  </r>
  <r>
    <x v="147"/>
    <x v="4"/>
    <s v="페이스북(전환)"/>
    <x v="0"/>
    <x v="0"/>
    <x v="0"/>
    <m/>
    <m/>
    <n v="46828"/>
    <m/>
    <m/>
    <m/>
  </r>
  <r>
    <x v="147"/>
    <x v="4"/>
    <s v="인스타그램(전환)"/>
    <x v="0"/>
    <x v="0"/>
    <x v="0"/>
    <m/>
    <m/>
    <n v="1981573"/>
    <m/>
    <m/>
    <m/>
  </r>
  <r>
    <x v="147"/>
    <x v="4"/>
    <s v="네이버 브랜드검색"/>
    <x v="0"/>
    <x v="0"/>
    <x v="0"/>
    <m/>
    <m/>
    <n v="40000"/>
    <m/>
    <m/>
    <m/>
  </r>
  <r>
    <x v="147"/>
    <x v="4"/>
    <s v="네이버 쇼핑검색"/>
    <x v="0"/>
    <x v="0"/>
    <x v="0"/>
    <m/>
    <m/>
    <n v="11300"/>
    <m/>
    <m/>
    <m/>
  </r>
  <r>
    <x v="148"/>
    <x v="1"/>
    <s v="인스타그램(랄라블라)"/>
    <x v="0"/>
    <x v="0"/>
    <x v="0"/>
    <m/>
    <m/>
    <n v="24653"/>
    <m/>
    <m/>
    <m/>
  </r>
  <r>
    <x v="148"/>
    <x v="1"/>
    <s v="인스타그램(블로그)"/>
    <x v="0"/>
    <x v="0"/>
    <x v="0"/>
    <m/>
    <m/>
    <n v="49299"/>
    <m/>
    <m/>
    <m/>
  </r>
  <r>
    <x v="148"/>
    <x v="1"/>
    <s v="인스타그램(전환)"/>
    <x v="1"/>
    <x v="0"/>
    <x v="0"/>
    <m/>
    <m/>
    <n v="150159"/>
    <m/>
    <m/>
    <m/>
  </r>
  <r>
    <x v="148"/>
    <x v="1"/>
    <s v="인스타그램(리타게팅 전환)"/>
    <x v="1"/>
    <x v="0"/>
    <x v="0"/>
    <m/>
    <m/>
    <n v="100641"/>
    <m/>
    <m/>
    <m/>
  </r>
  <r>
    <x v="148"/>
    <x v="1"/>
    <s v="인스타그램(리타게팅 전환)"/>
    <x v="0"/>
    <x v="0"/>
    <x v="0"/>
    <m/>
    <m/>
    <n v="111254"/>
    <m/>
    <m/>
    <m/>
  </r>
  <r>
    <x v="148"/>
    <x v="1"/>
    <s v="페이스북(전환)"/>
    <x v="0"/>
    <x v="0"/>
    <x v="0"/>
    <m/>
    <m/>
    <n v="113862"/>
    <m/>
    <m/>
    <m/>
  </r>
  <r>
    <x v="148"/>
    <x v="1"/>
    <s v="인스타그램(전환)"/>
    <x v="0"/>
    <x v="0"/>
    <x v="0"/>
    <m/>
    <m/>
    <n v="1508890"/>
    <m/>
    <m/>
    <m/>
  </r>
  <r>
    <x v="148"/>
    <x v="1"/>
    <s v="네이버 브랜드검색"/>
    <x v="0"/>
    <x v="0"/>
    <x v="0"/>
    <m/>
    <m/>
    <n v="40000"/>
    <m/>
    <m/>
    <m/>
  </r>
  <r>
    <x v="148"/>
    <x v="1"/>
    <s v="네이버 쇼핑검색"/>
    <x v="0"/>
    <x v="0"/>
    <x v="0"/>
    <m/>
    <m/>
    <n v="10180"/>
    <m/>
    <m/>
    <m/>
  </r>
  <r>
    <x v="149"/>
    <x v="0"/>
    <s v="인스타그램(랄라블라)"/>
    <x v="0"/>
    <x v="0"/>
    <x v="0"/>
    <m/>
    <m/>
    <n v="23750"/>
    <m/>
    <m/>
    <m/>
  </r>
  <r>
    <x v="149"/>
    <x v="0"/>
    <s v="인스타그램(블로그)"/>
    <x v="0"/>
    <x v="0"/>
    <x v="0"/>
    <m/>
    <m/>
    <n v="50451"/>
    <m/>
    <m/>
    <m/>
  </r>
  <r>
    <x v="149"/>
    <x v="0"/>
    <s v="인스타그램(리타게팅 전환)"/>
    <x v="0"/>
    <x v="0"/>
    <x v="0"/>
    <m/>
    <m/>
    <n v="182686"/>
    <m/>
    <m/>
    <m/>
  </r>
  <r>
    <x v="149"/>
    <x v="0"/>
    <s v="인스타그램(전환)"/>
    <x v="1"/>
    <x v="0"/>
    <x v="0"/>
    <m/>
    <m/>
    <n v="151008"/>
    <m/>
    <m/>
    <m/>
  </r>
  <r>
    <x v="149"/>
    <x v="0"/>
    <s v="인스타그램(리타게팅 전환)"/>
    <x v="1"/>
    <x v="0"/>
    <x v="0"/>
    <m/>
    <m/>
    <n v="98364"/>
    <m/>
    <m/>
    <m/>
  </r>
  <r>
    <x v="149"/>
    <x v="0"/>
    <s v="페이스북(전환)"/>
    <x v="0"/>
    <x v="0"/>
    <x v="0"/>
    <m/>
    <m/>
    <n v="114945"/>
    <m/>
    <m/>
    <m/>
  </r>
  <r>
    <x v="149"/>
    <x v="0"/>
    <s v="인스타그램(전환)"/>
    <x v="0"/>
    <x v="0"/>
    <x v="0"/>
    <m/>
    <m/>
    <n v="1429646"/>
    <m/>
    <m/>
    <m/>
  </r>
  <r>
    <x v="149"/>
    <x v="0"/>
    <s v="일본 인스타그램(1324참여)"/>
    <x v="0"/>
    <x v="0"/>
    <x v="0"/>
    <m/>
    <m/>
    <n v="30625"/>
    <m/>
    <m/>
    <m/>
  </r>
  <r>
    <x v="149"/>
    <x v="0"/>
    <s v="일본 인스타그램(2540참여)"/>
    <x v="0"/>
    <x v="0"/>
    <x v="0"/>
    <m/>
    <m/>
    <n v="30561"/>
    <m/>
    <m/>
    <m/>
  </r>
  <r>
    <x v="149"/>
    <x v="0"/>
    <s v="네이버 브랜드검색"/>
    <x v="0"/>
    <x v="0"/>
    <x v="0"/>
    <m/>
    <m/>
    <n v="40000"/>
    <m/>
    <m/>
    <m/>
  </r>
  <r>
    <x v="149"/>
    <x v="0"/>
    <s v="네이버 쇼핑검색"/>
    <x v="0"/>
    <x v="0"/>
    <x v="0"/>
    <m/>
    <m/>
    <n v="5060"/>
    <m/>
    <m/>
    <m/>
  </r>
  <r>
    <x v="150"/>
    <x v="2"/>
    <s v="인스타그램(랄라블라)"/>
    <x v="0"/>
    <x v="0"/>
    <x v="0"/>
    <m/>
    <m/>
    <n v="24049"/>
    <m/>
    <m/>
    <m/>
  </r>
  <r>
    <x v="150"/>
    <x v="2"/>
    <s v="인스타그램(블로그)"/>
    <x v="0"/>
    <x v="0"/>
    <x v="0"/>
    <m/>
    <m/>
    <n v="49602"/>
    <m/>
    <m/>
    <m/>
  </r>
  <r>
    <x v="150"/>
    <x v="2"/>
    <s v="인스타그램(리타게팅 전환)"/>
    <x v="0"/>
    <x v="0"/>
    <x v="0"/>
    <m/>
    <m/>
    <n v="232179"/>
    <m/>
    <m/>
    <m/>
  </r>
  <r>
    <x v="150"/>
    <x v="2"/>
    <s v="인스타그램(전환)"/>
    <x v="1"/>
    <x v="0"/>
    <x v="0"/>
    <m/>
    <m/>
    <n v="146465"/>
    <m/>
    <m/>
    <m/>
  </r>
  <r>
    <x v="150"/>
    <x v="2"/>
    <s v="인스타그램(리타게팅 전환)"/>
    <x v="1"/>
    <x v="0"/>
    <x v="0"/>
    <m/>
    <m/>
    <n v="97845"/>
    <m/>
    <m/>
    <m/>
  </r>
  <r>
    <x v="150"/>
    <x v="2"/>
    <s v="페이스북(전환)"/>
    <x v="0"/>
    <x v="0"/>
    <x v="0"/>
    <m/>
    <m/>
    <n v="113615"/>
    <m/>
    <m/>
    <m/>
  </r>
  <r>
    <x v="150"/>
    <x v="2"/>
    <s v="인스타그램(전환)"/>
    <x v="0"/>
    <x v="0"/>
    <x v="0"/>
    <m/>
    <m/>
    <n v="1415107"/>
    <m/>
    <m/>
    <m/>
  </r>
  <r>
    <x v="150"/>
    <x v="2"/>
    <s v="일본 인스타그램(1324참여)"/>
    <x v="0"/>
    <x v="0"/>
    <x v="0"/>
    <m/>
    <m/>
    <n v="7192"/>
    <m/>
    <m/>
    <m/>
  </r>
  <r>
    <x v="150"/>
    <x v="2"/>
    <s v="일본 인스타그램(2540참여)"/>
    <x v="0"/>
    <x v="0"/>
    <x v="0"/>
    <m/>
    <m/>
    <n v="9003"/>
    <m/>
    <m/>
    <m/>
  </r>
  <r>
    <x v="150"/>
    <x v="2"/>
    <s v="네이버 브랜드검색"/>
    <x v="0"/>
    <x v="0"/>
    <x v="0"/>
    <m/>
    <m/>
    <n v="40000"/>
    <m/>
    <m/>
    <m/>
  </r>
  <r>
    <x v="150"/>
    <x v="2"/>
    <s v="네이버 쇼핑검색"/>
    <x v="0"/>
    <x v="0"/>
    <x v="0"/>
    <m/>
    <m/>
    <n v="4630"/>
    <m/>
    <m/>
    <m/>
  </r>
  <r>
    <x v="151"/>
    <x v="5"/>
    <s v="인스타그램(랄라블라)"/>
    <x v="0"/>
    <x v="0"/>
    <x v="0"/>
    <m/>
    <m/>
    <n v="26181"/>
    <m/>
    <m/>
    <m/>
  </r>
  <r>
    <x v="151"/>
    <x v="5"/>
    <s v="인스타그램(블로그)"/>
    <x v="0"/>
    <x v="0"/>
    <x v="0"/>
    <m/>
    <m/>
    <n v="50630"/>
    <m/>
    <m/>
    <m/>
  </r>
  <r>
    <x v="151"/>
    <x v="5"/>
    <s v="인스타그램(리타게팅 전환)"/>
    <x v="0"/>
    <x v="0"/>
    <x v="0"/>
    <m/>
    <m/>
    <n v="249525"/>
    <m/>
    <m/>
    <m/>
  </r>
  <r>
    <x v="151"/>
    <x v="5"/>
    <s v="인스타그램(전환)"/>
    <x v="1"/>
    <x v="0"/>
    <x v="0"/>
    <m/>
    <m/>
    <n v="83388"/>
    <m/>
    <m/>
    <m/>
  </r>
  <r>
    <x v="151"/>
    <x v="5"/>
    <s v="인스타그램(리타게팅 전환)"/>
    <x v="1"/>
    <x v="0"/>
    <x v="0"/>
    <m/>
    <m/>
    <n v="68204"/>
    <m/>
    <m/>
    <m/>
  </r>
  <r>
    <x v="151"/>
    <x v="5"/>
    <s v="페이스북(전환)"/>
    <x v="0"/>
    <x v="0"/>
    <x v="0"/>
    <m/>
    <m/>
    <n v="42732"/>
    <m/>
    <m/>
    <m/>
  </r>
  <r>
    <x v="151"/>
    <x v="5"/>
    <s v="인스타그램(전환)"/>
    <x v="0"/>
    <x v="0"/>
    <x v="0"/>
    <m/>
    <m/>
    <n v="1239708"/>
    <m/>
    <m/>
    <m/>
  </r>
  <r>
    <x v="151"/>
    <x v="5"/>
    <s v="네이버 브랜드검색"/>
    <x v="0"/>
    <x v="0"/>
    <x v="0"/>
    <m/>
    <m/>
    <n v="40000"/>
    <m/>
    <m/>
    <m/>
  </r>
  <r>
    <x v="151"/>
    <x v="5"/>
    <s v="네이버 쇼핑검색"/>
    <x v="0"/>
    <x v="0"/>
    <x v="0"/>
    <m/>
    <m/>
    <n v="3630"/>
    <m/>
    <m/>
    <m/>
  </r>
  <r>
    <x v="152"/>
    <x v="6"/>
    <s v="인스타그램(랄라블라)"/>
    <x v="0"/>
    <x v="0"/>
    <x v="0"/>
    <m/>
    <m/>
    <n v="24896"/>
    <m/>
    <m/>
    <m/>
  </r>
  <r>
    <x v="152"/>
    <x v="6"/>
    <s v="인스타그램(블로그)"/>
    <x v="0"/>
    <x v="0"/>
    <x v="0"/>
    <m/>
    <m/>
    <n v="50142"/>
    <m/>
    <m/>
    <m/>
  </r>
  <r>
    <x v="152"/>
    <x v="6"/>
    <s v="인스타그램(리타게팅 전환)"/>
    <x v="0"/>
    <x v="0"/>
    <x v="0"/>
    <m/>
    <m/>
    <n v="250875"/>
    <m/>
    <m/>
    <m/>
  </r>
  <r>
    <x v="152"/>
    <x v="6"/>
    <s v="인스타그램(전환)"/>
    <x v="0"/>
    <x v="0"/>
    <x v="0"/>
    <m/>
    <m/>
    <n v="1202324"/>
    <m/>
    <m/>
    <m/>
  </r>
  <r>
    <x v="152"/>
    <x v="6"/>
    <s v="네이버 브랜드검색"/>
    <x v="0"/>
    <x v="0"/>
    <x v="0"/>
    <m/>
    <m/>
    <n v="40000"/>
    <m/>
    <m/>
    <m/>
  </r>
  <r>
    <x v="152"/>
    <x v="6"/>
    <s v="네이버 쇼핑검색"/>
    <x v="0"/>
    <x v="0"/>
    <x v="0"/>
    <m/>
    <m/>
    <n v="3790"/>
    <m/>
    <m/>
    <m/>
  </r>
  <r>
    <x v="153"/>
    <x v="3"/>
    <s v="인스타그램(랄라블라)"/>
    <x v="0"/>
    <x v="0"/>
    <x v="0"/>
    <m/>
    <m/>
    <n v="23767"/>
    <m/>
    <m/>
    <m/>
  </r>
  <r>
    <x v="153"/>
    <x v="3"/>
    <s v="인스타그램(블로그)"/>
    <x v="0"/>
    <x v="0"/>
    <x v="0"/>
    <m/>
    <m/>
    <n v="48538"/>
    <m/>
    <m/>
    <m/>
  </r>
  <r>
    <x v="153"/>
    <x v="3"/>
    <s v="인스타그램(리타게팅 전환)"/>
    <x v="0"/>
    <x v="0"/>
    <x v="0"/>
    <m/>
    <m/>
    <n v="243451"/>
    <m/>
    <m/>
    <m/>
  </r>
  <r>
    <x v="153"/>
    <x v="3"/>
    <s v="인스타그램(전환)"/>
    <x v="0"/>
    <x v="0"/>
    <x v="0"/>
    <m/>
    <m/>
    <n v="1168022"/>
    <m/>
    <m/>
    <m/>
  </r>
  <r>
    <x v="153"/>
    <x v="3"/>
    <s v="네이버 브랜드검색"/>
    <x v="0"/>
    <x v="0"/>
    <x v="0"/>
    <m/>
    <m/>
    <n v="40000"/>
    <m/>
    <m/>
    <m/>
  </r>
  <r>
    <x v="153"/>
    <x v="3"/>
    <s v="네이버 쇼핑검색"/>
    <x v="0"/>
    <x v="0"/>
    <x v="0"/>
    <m/>
    <m/>
    <n v="2970"/>
    <m/>
    <m/>
    <m/>
  </r>
  <r>
    <x v="154"/>
    <x v="4"/>
    <s v="인스타그램(랄라블라)"/>
    <x v="0"/>
    <x v="0"/>
    <x v="0"/>
    <m/>
    <m/>
    <n v="23871"/>
    <m/>
    <m/>
    <m/>
  </r>
  <r>
    <x v="154"/>
    <x v="4"/>
    <s v="인스타그램(블로그)"/>
    <x v="0"/>
    <x v="0"/>
    <x v="0"/>
    <m/>
    <m/>
    <n v="50217"/>
    <m/>
    <m/>
    <m/>
  </r>
  <r>
    <x v="154"/>
    <x v="4"/>
    <s v="인스타그램(리타게팅 전환)"/>
    <x v="0"/>
    <x v="0"/>
    <x v="0"/>
    <m/>
    <m/>
    <n v="251796"/>
    <m/>
    <m/>
    <m/>
  </r>
  <r>
    <x v="154"/>
    <x v="4"/>
    <s v="인스타그램(전환)"/>
    <x v="1"/>
    <x v="0"/>
    <x v="0"/>
    <m/>
    <m/>
    <n v="90511"/>
    <m/>
    <m/>
    <m/>
  </r>
  <r>
    <x v="154"/>
    <x v="4"/>
    <s v="인스타그램(전환)"/>
    <x v="0"/>
    <x v="0"/>
    <x v="0"/>
    <m/>
    <m/>
    <n v="1165707"/>
    <m/>
    <m/>
    <m/>
  </r>
  <r>
    <x v="154"/>
    <x v="4"/>
    <s v="네이버 브랜드검색"/>
    <x v="0"/>
    <x v="0"/>
    <x v="0"/>
    <m/>
    <m/>
    <n v="40000"/>
    <m/>
    <m/>
    <m/>
  </r>
  <r>
    <x v="154"/>
    <x v="4"/>
    <s v="네이버 쇼핑검색"/>
    <x v="0"/>
    <x v="0"/>
    <x v="0"/>
    <m/>
    <m/>
    <n v="3800"/>
    <m/>
    <m/>
    <m/>
  </r>
  <r>
    <x v="155"/>
    <x v="1"/>
    <s v="인스타그램(랄라블라)"/>
    <x v="0"/>
    <x v="0"/>
    <x v="0"/>
    <m/>
    <m/>
    <n v="25685"/>
    <m/>
    <m/>
    <m/>
  </r>
  <r>
    <x v="155"/>
    <x v="1"/>
    <s v="인스타그램(블로그)"/>
    <x v="0"/>
    <x v="0"/>
    <x v="0"/>
    <m/>
    <m/>
    <n v="48430"/>
    <m/>
    <m/>
    <m/>
  </r>
  <r>
    <x v="155"/>
    <x v="1"/>
    <s v="인스타그램(리타게팅 전환)"/>
    <x v="0"/>
    <x v="0"/>
    <x v="0"/>
    <m/>
    <m/>
    <n v="244644"/>
    <m/>
    <m/>
    <m/>
  </r>
  <r>
    <x v="155"/>
    <x v="1"/>
    <s v="인스타그램(전환)"/>
    <x v="1"/>
    <x v="0"/>
    <x v="0"/>
    <m/>
    <m/>
    <n v="91027"/>
    <m/>
    <m/>
    <m/>
  </r>
  <r>
    <x v="155"/>
    <x v="1"/>
    <s v="인스타그램(리타게팅 전환)"/>
    <x v="1"/>
    <x v="0"/>
    <x v="0"/>
    <m/>
    <m/>
    <n v="113126"/>
    <m/>
    <m/>
    <m/>
  </r>
  <r>
    <x v="155"/>
    <x v="1"/>
    <s v="인스타그램(전환)"/>
    <x v="0"/>
    <x v="0"/>
    <x v="0"/>
    <m/>
    <m/>
    <n v="847988"/>
    <m/>
    <m/>
    <m/>
  </r>
  <r>
    <x v="155"/>
    <x v="1"/>
    <s v="네이버 브랜드검색"/>
    <x v="0"/>
    <x v="0"/>
    <x v="0"/>
    <m/>
    <m/>
    <n v="40000"/>
    <m/>
    <m/>
    <m/>
  </r>
  <r>
    <x v="155"/>
    <x v="1"/>
    <s v="네이버 쇼핑검색"/>
    <x v="0"/>
    <x v="0"/>
    <x v="0"/>
    <m/>
    <m/>
    <n v="6549.999999999999"/>
    <m/>
    <m/>
    <m/>
  </r>
  <r>
    <x v="156"/>
    <x v="0"/>
    <s v="인스타그램(랄라블라)"/>
    <x v="0"/>
    <x v="0"/>
    <x v="0"/>
    <m/>
    <m/>
    <n v="24511"/>
    <m/>
    <m/>
    <m/>
  </r>
  <r>
    <x v="156"/>
    <x v="0"/>
    <s v="인스타그램(블로그)"/>
    <x v="0"/>
    <x v="0"/>
    <x v="0"/>
    <m/>
    <m/>
    <n v="49318"/>
    <m/>
    <m/>
    <m/>
  </r>
  <r>
    <x v="156"/>
    <x v="0"/>
    <s v="인스타그램(리타게팅 전환)"/>
    <x v="0"/>
    <x v="0"/>
    <x v="0"/>
    <m/>
    <m/>
    <n v="247808"/>
    <m/>
    <m/>
    <m/>
  </r>
  <r>
    <x v="156"/>
    <x v="0"/>
    <s v="인스타그램(전환)"/>
    <x v="1"/>
    <x v="0"/>
    <x v="0"/>
    <m/>
    <m/>
    <n v="91488"/>
    <m/>
    <m/>
    <m/>
  </r>
  <r>
    <x v="156"/>
    <x v="0"/>
    <s v="인스타그램(리타게팅 전환)"/>
    <x v="1"/>
    <x v="0"/>
    <x v="0"/>
    <m/>
    <m/>
    <n v="113952"/>
    <m/>
    <m/>
    <m/>
  </r>
  <r>
    <x v="156"/>
    <x v="0"/>
    <s v="인스타그램(전환)"/>
    <x v="0"/>
    <x v="0"/>
    <x v="0"/>
    <m/>
    <m/>
    <n v="751846"/>
    <m/>
    <m/>
    <m/>
  </r>
  <r>
    <x v="156"/>
    <x v="0"/>
    <s v="네이버 브랜드검색"/>
    <x v="0"/>
    <x v="0"/>
    <x v="0"/>
    <m/>
    <m/>
    <n v="40000"/>
    <m/>
    <m/>
    <m/>
  </r>
  <r>
    <x v="156"/>
    <x v="0"/>
    <s v="네이버 쇼핑검색"/>
    <x v="0"/>
    <x v="0"/>
    <x v="0"/>
    <m/>
    <m/>
    <n v="5300"/>
    <m/>
    <m/>
    <m/>
  </r>
  <r>
    <x v="157"/>
    <x v="2"/>
    <s v="인스타그램(랄라블라)"/>
    <x v="0"/>
    <x v="0"/>
    <x v="0"/>
    <m/>
    <m/>
    <n v="26202"/>
    <m/>
    <m/>
    <m/>
  </r>
  <r>
    <x v="157"/>
    <x v="2"/>
    <s v="인스타그램(블로그)"/>
    <x v="0"/>
    <x v="0"/>
    <x v="0"/>
    <m/>
    <m/>
    <n v="50108"/>
    <m/>
    <m/>
    <m/>
  </r>
  <r>
    <x v="157"/>
    <x v="2"/>
    <s v="인스타그램(리타게팅 전환)"/>
    <x v="0"/>
    <x v="0"/>
    <x v="0"/>
    <m/>
    <m/>
    <n v="167196"/>
    <m/>
    <m/>
    <m/>
  </r>
  <r>
    <x v="157"/>
    <x v="2"/>
    <s v="인스타그램(전환)"/>
    <x v="1"/>
    <x v="0"/>
    <x v="0"/>
    <m/>
    <m/>
    <n v="91068"/>
    <m/>
    <m/>
    <m/>
  </r>
  <r>
    <x v="157"/>
    <x v="2"/>
    <s v="인스타그램(리타게팅 전환)"/>
    <x v="1"/>
    <x v="0"/>
    <x v="0"/>
    <m/>
    <m/>
    <n v="114351"/>
    <m/>
    <m/>
    <m/>
  </r>
  <r>
    <x v="157"/>
    <x v="2"/>
    <s v="인스타그램(전환)"/>
    <x v="0"/>
    <x v="0"/>
    <x v="0"/>
    <m/>
    <m/>
    <n v="762515"/>
    <m/>
    <m/>
    <m/>
  </r>
  <r>
    <x v="157"/>
    <x v="2"/>
    <s v="네이버 브랜드검색"/>
    <x v="0"/>
    <x v="0"/>
    <x v="0"/>
    <m/>
    <m/>
    <n v="40000"/>
    <m/>
    <m/>
    <m/>
  </r>
  <r>
    <x v="157"/>
    <x v="2"/>
    <s v="네이버 쇼핑검색"/>
    <x v="0"/>
    <x v="0"/>
    <x v="0"/>
    <m/>
    <m/>
    <n v="4390"/>
    <m/>
    <m/>
    <m/>
  </r>
  <r>
    <x v="158"/>
    <x v="5"/>
    <s v="인스타그램(랄라블라)"/>
    <x v="0"/>
    <x v="0"/>
    <x v="0"/>
    <m/>
    <m/>
    <n v="26068"/>
    <m/>
    <m/>
    <m/>
  </r>
  <r>
    <x v="158"/>
    <x v="5"/>
    <s v="인스타그램(블로그)"/>
    <x v="0"/>
    <x v="0"/>
    <x v="0"/>
    <m/>
    <m/>
    <n v="53236"/>
    <m/>
    <m/>
    <m/>
  </r>
  <r>
    <x v="158"/>
    <x v="5"/>
    <s v="인스타그램(리타게팅 전환)"/>
    <x v="0"/>
    <x v="0"/>
    <x v="0"/>
    <m/>
    <m/>
    <n v="94855"/>
    <m/>
    <m/>
    <m/>
  </r>
  <r>
    <x v="158"/>
    <x v="5"/>
    <s v="인스타그램(전환)"/>
    <x v="1"/>
    <x v="0"/>
    <x v="0"/>
    <m/>
    <m/>
    <n v="92091"/>
    <m/>
    <m/>
    <m/>
  </r>
  <r>
    <x v="158"/>
    <x v="5"/>
    <s v="인스타그램(리타게팅 전환)"/>
    <x v="1"/>
    <x v="0"/>
    <x v="0"/>
    <m/>
    <m/>
    <n v="115321"/>
    <m/>
    <m/>
    <m/>
  </r>
  <r>
    <x v="158"/>
    <x v="5"/>
    <s v="인스타그램(전환)"/>
    <x v="0"/>
    <x v="0"/>
    <x v="0"/>
    <m/>
    <m/>
    <n v="818350"/>
    <m/>
    <m/>
    <m/>
  </r>
  <r>
    <x v="158"/>
    <x v="5"/>
    <s v="네이버 브랜드검색"/>
    <x v="0"/>
    <x v="0"/>
    <x v="0"/>
    <m/>
    <m/>
    <n v="40000"/>
    <m/>
    <m/>
    <m/>
  </r>
  <r>
    <x v="158"/>
    <x v="5"/>
    <s v="네이버 쇼핑검색"/>
    <x v="0"/>
    <x v="0"/>
    <x v="0"/>
    <m/>
    <m/>
    <n v="6169.999999999999"/>
    <m/>
    <m/>
    <m/>
  </r>
  <r>
    <x v="159"/>
    <x v="6"/>
    <s v="인스타그램(랄라블라)"/>
    <x v="0"/>
    <x v="0"/>
    <x v="0"/>
    <m/>
    <m/>
    <n v="23918"/>
    <m/>
    <m/>
    <m/>
  </r>
  <r>
    <x v="159"/>
    <x v="6"/>
    <s v="인스타그램(블로그)"/>
    <x v="0"/>
    <x v="0"/>
    <x v="0"/>
    <m/>
    <m/>
    <n v="50203"/>
    <m/>
    <m/>
    <m/>
  </r>
  <r>
    <x v="159"/>
    <x v="6"/>
    <s v="인스타그램(리타게팅 전환)"/>
    <x v="0"/>
    <x v="0"/>
    <x v="0"/>
    <m/>
    <m/>
    <n v="100479"/>
    <m/>
    <m/>
    <m/>
  </r>
  <r>
    <x v="159"/>
    <x v="6"/>
    <s v="인스타그램(전환)"/>
    <x v="1"/>
    <x v="0"/>
    <x v="0"/>
    <m/>
    <m/>
    <n v="80228"/>
    <m/>
    <m/>
    <m/>
  </r>
  <r>
    <x v="159"/>
    <x v="6"/>
    <s v="인스타그램(리타게팅 전환)"/>
    <x v="1"/>
    <x v="0"/>
    <x v="0"/>
    <m/>
    <m/>
    <n v="100457"/>
    <m/>
    <m/>
    <m/>
  </r>
  <r>
    <x v="159"/>
    <x v="6"/>
    <s v="인스타그램(전환)"/>
    <x v="0"/>
    <x v="0"/>
    <x v="0"/>
    <m/>
    <m/>
    <n v="801211"/>
    <m/>
    <m/>
    <m/>
  </r>
  <r>
    <x v="159"/>
    <x v="6"/>
    <s v="네이버 브랜드검색"/>
    <x v="0"/>
    <x v="0"/>
    <x v="0"/>
    <m/>
    <m/>
    <n v="40000"/>
    <m/>
    <m/>
    <m/>
  </r>
  <r>
    <x v="159"/>
    <x v="6"/>
    <s v="네이버 쇼핑검색"/>
    <x v="0"/>
    <x v="0"/>
    <x v="0"/>
    <m/>
    <m/>
    <n v="4060"/>
    <m/>
    <m/>
    <m/>
  </r>
  <r>
    <x v="160"/>
    <x v="3"/>
    <s v="인스타그램(랄라블라)"/>
    <x v="0"/>
    <x v="0"/>
    <x v="0"/>
    <m/>
    <m/>
    <n v="23906"/>
    <m/>
    <m/>
    <m/>
  </r>
  <r>
    <x v="160"/>
    <x v="3"/>
    <s v="인스타그램(블로그)"/>
    <x v="0"/>
    <x v="0"/>
    <x v="0"/>
    <m/>
    <m/>
    <n v="48783"/>
    <m/>
    <m/>
    <m/>
  </r>
  <r>
    <x v="160"/>
    <x v="3"/>
    <s v="인스타그램(리타게팅 전환)"/>
    <x v="0"/>
    <x v="0"/>
    <x v="0"/>
    <m/>
    <m/>
    <n v="98877"/>
    <m/>
    <m/>
    <m/>
  </r>
  <r>
    <x v="160"/>
    <x v="3"/>
    <s v="인스타그램(전환)"/>
    <x v="1"/>
    <x v="0"/>
    <x v="0"/>
    <m/>
    <m/>
    <n v="45752"/>
    <m/>
    <m/>
    <m/>
  </r>
  <r>
    <x v="160"/>
    <x v="3"/>
    <s v="인스타그램(리타게팅 전환)"/>
    <x v="1"/>
    <x v="0"/>
    <x v="0"/>
    <m/>
    <m/>
    <n v="60474"/>
    <m/>
    <m/>
    <m/>
  </r>
  <r>
    <x v="160"/>
    <x v="3"/>
    <s v="인스타그램(전환)"/>
    <x v="0"/>
    <x v="0"/>
    <x v="0"/>
    <m/>
    <m/>
    <n v="776856"/>
    <m/>
    <m/>
    <m/>
  </r>
  <r>
    <x v="160"/>
    <x v="3"/>
    <s v="네이버 브랜드검색"/>
    <x v="0"/>
    <x v="0"/>
    <x v="0"/>
    <m/>
    <m/>
    <n v="40000"/>
    <m/>
    <m/>
    <m/>
  </r>
  <r>
    <x v="160"/>
    <x v="3"/>
    <s v="네이버 쇼핑검색"/>
    <x v="0"/>
    <x v="0"/>
    <x v="0"/>
    <m/>
    <m/>
    <n v="6669.999999999999"/>
    <m/>
    <m/>
    <m/>
  </r>
  <r>
    <x v="161"/>
    <x v="4"/>
    <s v="인스타그램(랄라블라)"/>
    <x v="0"/>
    <x v="0"/>
    <x v="0"/>
    <m/>
    <m/>
    <n v="24385"/>
    <m/>
    <m/>
    <m/>
  </r>
  <r>
    <x v="161"/>
    <x v="4"/>
    <s v="인스타그램(블로그)"/>
    <x v="0"/>
    <x v="0"/>
    <x v="0"/>
    <m/>
    <m/>
    <n v="49892"/>
    <m/>
    <m/>
    <m/>
  </r>
  <r>
    <x v="161"/>
    <x v="4"/>
    <s v="인스타그램(리타게팅 전환)"/>
    <x v="0"/>
    <x v="0"/>
    <x v="0"/>
    <m/>
    <m/>
    <n v="100905"/>
    <m/>
    <m/>
    <m/>
  </r>
  <r>
    <x v="161"/>
    <x v="4"/>
    <s v="인스타그램(전환)"/>
    <x v="0"/>
    <x v="0"/>
    <x v="0"/>
    <m/>
    <m/>
    <n v="800054"/>
    <m/>
    <m/>
    <m/>
  </r>
  <r>
    <x v="161"/>
    <x v="4"/>
    <s v="네이버 브랜드검색"/>
    <x v="0"/>
    <x v="0"/>
    <x v="0"/>
    <m/>
    <m/>
    <n v="40000"/>
    <m/>
    <m/>
    <m/>
  </r>
  <r>
    <x v="161"/>
    <x v="4"/>
    <s v="네이버 쇼핑검색"/>
    <x v="0"/>
    <x v="0"/>
    <x v="0"/>
    <m/>
    <m/>
    <n v="57869.99999999999"/>
    <m/>
    <m/>
    <m/>
  </r>
  <r>
    <x v="161"/>
    <x v="4"/>
    <s v="유튜브(최모나)"/>
    <x v="0"/>
    <x v="0"/>
    <x v="0"/>
    <m/>
    <m/>
    <n v="818181.8181818181"/>
    <m/>
    <m/>
    <m/>
  </r>
  <r>
    <x v="162"/>
    <x v="1"/>
    <s v="인스타그램(랄라블라)"/>
    <x v="0"/>
    <x v="0"/>
    <x v="0"/>
    <m/>
    <m/>
    <n v="24884"/>
    <m/>
    <m/>
    <m/>
  </r>
  <r>
    <x v="162"/>
    <x v="1"/>
    <s v="인스타그램(블로그)"/>
    <x v="0"/>
    <x v="0"/>
    <x v="0"/>
    <m/>
    <m/>
    <n v="48955"/>
    <m/>
    <m/>
    <m/>
  </r>
  <r>
    <x v="162"/>
    <x v="1"/>
    <s v="인스타그램(리타게팅 전환)"/>
    <x v="0"/>
    <x v="0"/>
    <x v="0"/>
    <m/>
    <m/>
    <n v="96615"/>
    <m/>
    <m/>
    <m/>
  </r>
  <r>
    <x v="162"/>
    <x v="1"/>
    <s v="인스타그램(전환)"/>
    <x v="0"/>
    <x v="0"/>
    <x v="0"/>
    <m/>
    <m/>
    <n v="787574"/>
    <m/>
    <m/>
    <m/>
  </r>
  <r>
    <x v="162"/>
    <x v="1"/>
    <s v="네이버 브랜드검색"/>
    <x v="0"/>
    <x v="0"/>
    <x v="0"/>
    <m/>
    <m/>
    <n v="40000"/>
    <m/>
    <m/>
    <m/>
  </r>
  <r>
    <x v="162"/>
    <x v="1"/>
    <s v="네이버 쇼핑검색"/>
    <x v="0"/>
    <x v="0"/>
    <x v="0"/>
    <m/>
    <m/>
    <n v="67250"/>
    <m/>
    <m/>
    <m/>
  </r>
  <r>
    <x v="151"/>
    <x v="5"/>
    <s v="기획사이다"/>
    <x v="0"/>
    <x v="0"/>
    <x v="0"/>
    <m/>
    <m/>
    <n v="6015909"/>
    <m/>
    <m/>
    <m/>
  </r>
  <r>
    <x v="151"/>
    <x v="5"/>
    <s v="기획사이다"/>
    <x v="0"/>
    <x v="0"/>
    <x v="0"/>
    <m/>
    <m/>
    <n v="2400000"/>
    <m/>
    <m/>
    <m/>
  </r>
  <r>
    <x v="156"/>
    <x v="0"/>
    <s v="트위터(일본)"/>
    <x v="0"/>
    <x v="0"/>
    <x v="0"/>
    <m/>
    <m/>
    <n v="29801"/>
    <m/>
    <m/>
    <m/>
  </r>
  <r>
    <x v="146"/>
    <x v="3"/>
    <s v="트위터(일본)"/>
    <x v="0"/>
    <x v="0"/>
    <x v="0"/>
    <m/>
    <m/>
    <n v="39251"/>
    <m/>
    <m/>
    <m/>
  </r>
  <r>
    <x v="148"/>
    <x v="1"/>
    <s v="트위터(일본)"/>
    <x v="0"/>
    <x v="0"/>
    <x v="0"/>
    <m/>
    <m/>
    <n v="50000"/>
    <m/>
    <m/>
    <m/>
  </r>
  <r>
    <x v="149"/>
    <x v="0"/>
    <s v="트위터(일본)"/>
    <x v="0"/>
    <x v="0"/>
    <x v="0"/>
    <m/>
    <m/>
    <n v="50000"/>
    <m/>
    <m/>
    <m/>
  </r>
  <r>
    <x v="150"/>
    <x v="2"/>
    <s v="트위터(일본)"/>
    <x v="0"/>
    <x v="0"/>
    <x v="0"/>
    <m/>
    <m/>
    <n v="35283"/>
    <m/>
    <m/>
    <m/>
  </r>
  <r>
    <x v="163"/>
    <x v="0"/>
    <s v="인스타그램(랄라블라)"/>
    <x v="0"/>
    <x v="0"/>
    <x v="0"/>
    <m/>
    <m/>
    <n v="18412"/>
    <m/>
    <m/>
    <m/>
  </r>
  <r>
    <x v="163"/>
    <x v="0"/>
    <s v="인스타그램(블로그)"/>
    <x v="0"/>
    <x v="0"/>
    <x v="0"/>
    <m/>
    <m/>
    <n v="36663"/>
    <m/>
    <m/>
    <m/>
  </r>
  <r>
    <x v="163"/>
    <x v="0"/>
    <s v="인스타그램(리타게팅 전환)"/>
    <x v="0"/>
    <x v="0"/>
    <x v="0"/>
    <m/>
    <m/>
    <n v="73400"/>
    <m/>
    <m/>
    <m/>
  </r>
  <r>
    <x v="163"/>
    <x v="0"/>
    <s v="인스타그램(전환)"/>
    <x v="0"/>
    <x v="0"/>
    <x v="0"/>
    <m/>
    <m/>
    <n v="646600"/>
    <m/>
    <m/>
    <m/>
  </r>
  <r>
    <x v="163"/>
    <x v="0"/>
    <s v="페북/인스타(전환)"/>
    <x v="0"/>
    <x v="0"/>
    <x v="0"/>
    <m/>
    <m/>
    <n v="107518"/>
    <m/>
    <m/>
    <m/>
  </r>
  <r>
    <x v="163"/>
    <x v="0"/>
    <s v="네이버 브랜드검색"/>
    <x v="0"/>
    <x v="0"/>
    <x v="0"/>
    <m/>
    <m/>
    <n v="40000"/>
    <m/>
    <m/>
    <m/>
  </r>
  <r>
    <x v="163"/>
    <x v="0"/>
    <s v="네이버 쇼핑검색"/>
    <x v="0"/>
    <x v="0"/>
    <x v="0"/>
    <m/>
    <m/>
    <n v="43180"/>
    <m/>
    <m/>
    <m/>
  </r>
  <r>
    <x v="164"/>
    <x v="2"/>
    <s v="인스타그램(전환)"/>
    <x v="0"/>
    <x v="0"/>
    <x v="0"/>
    <m/>
    <m/>
    <n v="285531"/>
    <m/>
    <m/>
    <m/>
  </r>
  <r>
    <x v="164"/>
    <x v="2"/>
    <s v="페북/인스타(전환)"/>
    <x v="0"/>
    <x v="0"/>
    <x v="0"/>
    <m/>
    <m/>
    <n v="108058"/>
    <m/>
    <m/>
    <m/>
  </r>
  <r>
    <x v="164"/>
    <x v="2"/>
    <s v="네이버 브랜드검색"/>
    <x v="0"/>
    <x v="0"/>
    <x v="0"/>
    <m/>
    <m/>
    <n v="40000"/>
    <m/>
    <m/>
    <m/>
  </r>
  <r>
    <x v="164"/>
    <x v="2"/>
    <s v="네이버 쇼핑검색"/>
    <x v="0"/>
    <x v="0"/>
    <x v="0"/>
    <m/>
    <m/>
    <n v="29000"/>
    <m/>
    <m/>
    <m/>
  </r>
  <r>
    <x v="165"/>
    <x v="5"/>
    <s v="인스타그램(전환)"/>
    <x v="0"/>
    <x v="0"/>
    <x v="0"/>
    <m/>
    <m/>
    <n v="308193"/>
    <m/>
    <m/>
    <m/>
  </r>
  <r>
    <x v="165"/>
    <x v="5"/>
    <s v="페북/인스타(전환)"/>
    <x v="0"/>
    <x v="0"/>
    <x v="0"/>
    <m/>
    <m/>
    <n v="112509"/>
    <m/>
    <m/>
    <m/>
  </r>
  <r>
    <x v="165"/>
    <x v="5"/>
    <s v="네이버 브랜드검색"/>
    <x v="0"/>
    <x v="0"/>
    <x v="0"/>
    <m/>
    <m/>
    <n v="40000"/>
    <m/>
    <m/>
    <m/>
  </r>
  <r>
    <x v="165"/>
    <x v="5"/>
    <s v="네이버 쇼핑검색"/>
    <x v="0"/>
    <x v="0"/>
    <x v="0"/>
    <m/>
    <m/>
    <n v="31590"/>
    <m/>
    <m/>
    <m/>
  </r>
  <r>
    <x v="166"/>
    <x v="6"/>
    <s v="인스타그램(전환)"/>
    <x v="0"/>
    <x v="0"/>
    <x v="0"/>
    <m/>
    <m/>
    <n v="300794"/>
    <m/>
    <m/>
    <m/>
  </r>
  <r>
    <x v="166"/>
    <x v="6"/>
    <s v="페북/인스타(전환)"/>
    <x v="0"/>
    <x v="0"/>
    <x v="0"/>
    <m/>
    <m/>
    <n v="100404"/>
    <m/>
    <m/>
    <m/>
  </r>
  <r>
    <x v="166"/>
    <x v="6"/>
    <s v="네이버 브랜드검색"/>
    <x v="0"/>
    <x v="0"/>
    <x v="0"/>
    <m/>
    <m/>
    <n v="40000"/>
    <m/>
    <m/>
    <m/>
  </r>
  <r>
    <x v="166"/>
    <x v="6"/>
    <s v="네이버 쇼핑검색"/>
    <x v="0"/>
    <x v="0"/>
    <x v="0"/>
    <m/>
    <m/>
    <n v="32670"/>
    <m/>
    <m/>
    <m/>
  </r>
  <r>
    <x v="167"/>
    <x v="3"/>
    <s v="인스타그램(전환)"/>
    <x v="0"/>
    <x v="0"/>
    <x v="0"/>
    <m/>
    <m/>
    <n v="291717"/>
    <m/>
    <m/>
    <m/>
  </r>
  <r>
    <x v="167"/>
    <x v="3"/>
    <s v="페북/인스타(전환)"/>
    <x v="0"/>
    <x v="0"/>
    <x v="0"/>
    <m/>
    <m/>
    <n v="96289"/>
    <m/>
    <m/>
    <m/>
  </r>
  <r>
    <x v="167"/>
    <x v="3"/>
    <s v="네이버 브랜드검색"/>
    <x v="0"/>
    <x v="0"/>
    <x v="0"/>
    <m/>
    <m/>
    <n v="40000"/>
    <m/>
    <m/>
    <m/>
  </r>
  <r>
    <x v="167"/>
    <x v="3"/>
    <s v="네이버 쇼핑검색"/>
    <x v="0"/>
    <x v="0"/>
    <x v="0"/>
    <m/>
    <m/>
    <n v="32680"/>
    <m/>
    <m/>
    <m/>
  </r>
  <r>
    <x v="168"/>
    <x v="4"/>
    <s v="인스타그램(전환)"/>
    <x v="0"/>
    <x v="0"/>
    <x v="0"/>
    <m/>
    <m/>
    <n v="297007"/>
    <m/>
    <m/>
    <m/>
  </r>
  <r>
    <x v="168"/>
    <x v="4"/>
    <s v="페북/인스타(전환)"/>
    <x v="0"/>
    <x v="0"/>
    <x v="0"/>
    <m/>
    <m/>
    <n v="100970"/>
    <m/>
    <m/>
    <m/>
  </r>
  <r>
    <x v="168"/>
    <x v="4"/>
    <s v="네이버 브랜드검색"/>
    <x v="0"/>
    <x v="0"/>
    <x v="0"/>
    <m/>
    <m/>
    <n v="40000"/>
    <m/>
    <m/>
    <m/>
  </r>
  <r>
    <x v="168"/>
    <x v="4"/>
    <s v="네이버 쇼핑검색"/>
    <x v="0"/>
    <x v="0"/>
    <x v="0"/>
    <m/>
    <m/>
    <n v="35400"/>
    <m/>
    <m/>
    <m/>
  </r>
  <r>
    <x v="169"/>
    <x v="1"/>
    <s v="인스타그램(리타게팅 전환)"/>
    <x v="0"/>
    <x v="0"/>
    <x v="0"/>
    <m/>
    <m/>
    <n v="114819"/>
    <m/>
    <m/>
    <m/>
  </r>
  <r>
    <x v="169"/>
    <x v="1"/>
    <s v="인스타그램(전환)"/>
    <x v="0"/>
    <x v="0"/>
    <x v="0"/>
    <m/>
    <m/>
    <n v="582410"/>
    <m/>
    <m/>
    <m/>
  </r>
  <r>
    <x v="169"/>
    <x v="1"/>
    <s v="페북/인스타(전환)"/>
    <x v="0"/>
    <x v="0"/>
    <x v="0"/>
    <m/>
    <m/>
    <n v="527873"/>
    <m/>
    <m/>
    <m/>
  </r>
  <r>
    <x v="169"/>
    <x v="1"/>
    <s v="네이버 브랜드검색"/>
    <x v="0"/>
    <x v="0"/>
    <x v="0"/>
    <m/>
    <m/>
    <n v="40000"/>
    <m/>
    <m/>
    <m/>
  </r>
  <r>
    <x v="169"/>
    <x v="1"/>
    <s v="네이버 쇼핑검색"/>
    <x v="0"/>
    <x v="0"/>
    <x v="0"/>
    <m/>
    <m/>
    <n v="33440"/>
    <m/>
    <m/>
    <m/>
  </r>
  <r>
    <x v="170"/>
    <x v="0"/>
    <s v="인스타그램(리타게팅 전환)"/>
    <x v="0"/>
    <x v="0"/>
    <x v="0"/>
    <m/>
    <m/>
    <n v="115219"/>
    <m/>
    <m/>
    <m/>
  </r>
  <r>
    <x v="170"/>
    <x v="0"/>
    <s v="인스타그램(전환)"/>
    <x v="0"/>
    <x v="0"/>
    <x v="0"/>
    <m/>
    <m/>
    <n v="973333"/>
    <m/>
    <m/>
    <m/>
  </r>
  <r>
    <x v="170"/>
    <x v="0"/>
    <s v="페북/인스타(전환)"/>
    <x v="0"/>
    <x v="0"/>
    <x v="0"/>
    <m/>
    <m/>
    <n v="966267"/>
    <m/>
    <m/>
    <m/>
  </r>
  <r>
    <x v="170"/>
    <x v="0"/>
    <s v="네이버 브랜드검색"/>
    <x v="0"/>
    <x v="0"/>
    <x v="0"/>
    <m/>
    <m/>
    <n v="40000"/>
    <m/>
    <m/>
    <m/>
  </r>
  <r>
    <x v="170"/>
    <x v="0"/>
    <s v="네이버 쇼핑검색"/>
    <x v="0"/>
    <x v="0"/>
    <x v="0"/>
    <m/>
    <m/>
    <n v="32450"/>
    <m/>
    <m/>
    <m/>
  </r>
  <r>
    <x v="171"/>
    <x v="2"/>
    <s v="인스타그램(랄라블라)"/>
    <x v="0"/>
    <x v="0"/>
    <x v="0"/>
    <m/>
    <m/>
    <n v="38071"/>
    <m/>
    <m/>
    <m/>
  </r>
  <r>
    <x v="171"/>
    <x v="2"/>
    <s v="인스타그램(리타게팅 전환)"/>
    <x v="0"/>
    <x v="0"/>
    <x v="0"/>
    <m/>
    <m/>
    <n v="113974"/>
    <m/>
    <m/>
    <m/>
  </r>
  <r>
    <x v="171"/>
    <x v="2"/>
    <s v="인스타그램(전환)"/>
    <x v="0"/>
    <x v="0"/>
    <x v="0"/>
    <m/>
    <m/>
    <n v="954284"/>
    <m/>
    <m/>
    <m/>
  </r>
  <r>
    <x v="171"/>
    <x v="2"/>
    <s v="페북/인스타(전환)"/>
    <x v="0"/>
    <x v="0"/>
    <x v="0"/>
    <m/>
    <m/>
    <n v="964493"/>
    <m/>
    <m/>
    <m/>
  </r>
  <r>
    <x v="171"/>
    <x v="2"/>
    <s v="네이버 브랜드검색"/>
    <x v="0"/>
    <x v="0"/>
    <x v="0"/>
    <m/>
    <m/>
    <n v="40000"/>
    <m/>
    <m/>
    <m/>
  </r>
  <r>
    <x v="171"/>
    <x v="2"/>
    <s v="네이버 쇼핑검색"/>
    <x v="0"/>
    <x v="0"/>
    <x v="0"/>
    <m/>
    <m/>
    <n v="32440"/>
    <m/>
    <m/>
    <m/>
  </r>
  <r>
    <x v="172"/>
    <x v="5"/>
    <s v="인스타그램(랄라블라)"/>
    <x v="0"/>
    <x v="0"/>
    <x v="0"/>
    <m/>
    <m/>
    <n v="65806"/>
    <m/>
    <m/>
    <m/>
  </r>
  <r>
    <x v="172"/>
    <x v="5"/>
    <s v="인스타그램(리타게팅 전환)"/>
    <x v="0"/>
    <x v="0"/>
    <x v="0"/>
    <m/>
    <m/>
    <n v="115051"/>
    <m/>
    <m/>
    <m/>
  </r>
  <r>
    <x v="172"/>
    <x v="5"/>
    <s v="인스타그램(전환)"/>
    <x v="0"/>
    <x v="0"/>
    <x v="0"/>
    <m/>
    <m/>
    <n v="1029711"/>
    <m/>
    <m/>
    <m/>
  </r>
  <r>
    <x v="172"/>
    <x v="5"/>
    <s v="페북/인스타(전환)"/>
    <x v="0"/>
    <x v="0"/>
    <x v="0"/>
    <m/>
    <m/>
    <n v="1025853"/>
    <m/>
    <m/>
    <m/>
  </r>
  <r>
    <x v="172"/>
    <x v="5"/>
    <s v="네이버 브랜드검색"/>
    <x v="0"/>
    <x v="0"/>
    <x v="0"/>
    <m/>
    <m/>
    <n v="40000"/>
    <m/>
    <m/>
    <m/>
  </r>
  <r>
    <x v="172"/>
    <x v="5"/>
    <s v="네이버 쇼핑검색"/>
    <x v="0"/>
    <x v="0"/>
    <x v="0"/>
    <m/>
    <m/>
    <n v="26390"/>
    <m/>
    <m/>
    <m/>
  </r>
  <r>
    <x v="173"/>
    <x v="6"/>
    <s v="인스타그램(랄라블라)"/>
    <x v="0"/>
    <x v="0"/>
    <x v="0"/>
    <m/>
    <m/>
    <n v="65659"/>
    <m/>
    <m/>
    <m/>
  </r>
  <r>
    <x v="173"/>
    <x v="6"/>
    <s v="인스타그램(리타게팅 전환)"/>
    <x v="0"/>
    <x v="0"/>
    <x v="0"/>
    <m/>
    <m/>
    <n v="100503"/>
    <m/>
    <m/>
    <m/>
  </r>
  <r>
    <x v="173"/>
    <x v="6"/>
    <s v="인스타그램(전환)"/>
    <x v="0"/>
    <x v="0"/>
    <x v="0"/>
    <m/>
    <m/>
    <n v="778502"/>
    <m/>
    <m/>
    <m/>
  </r>
  <r>
    <x v="173"/>
    <x v="6"/>
    <s v="페북/인스타(전환)"/>
    <x v="0"/>
    <x v="0"/>
    <x v="0"/>
    <m/>
    <m/>
    <n v="768475"/>
    <m/>
    <m/>
    <m/>
  </r>
  <r>
    <x v="173"/>
    <x v="6"/>
    <s v="네이버 브랜드검색"/>
    <x v="0"/>
    <x v="0"/>
    <x v="0"/>
    <m/>
    <m/>
    <n v="40000"/>
    <m/>
    <m/>
    <m/>
  </r>
  <r>
    <x v="173"/>
    <x v="6"/>
    <s v="네이버 쇼핑검색"/>
    <x v="0"/>
    <x v="0"/>
    <x v="0"/>
    <m/>
    <m/>
    <n v="34000"/>
    <m/>
    <m/>
    <m/>
  </r>
  <r>
    <x v="174"/>
    <x v="3"/>
    <s v="인스타그램(랄라블라)"/>
    <x v="0"/>
    <x v="0"/>
    <x v="0"/>
    <m/>
    <m/>
    <n v="66343"/>
    <m/>
    <m/>
    <m/>
  </r>
  <r>
    <x v="174"/>
    <x v="3"/>
    <s v="인스타그램(리타게팅 전환)"/>
    <x v="0"/>
    <x v="0"/>
    <x v="0"/>
    <m/>
    <m/>
    <n v="98342"/>
    <m/>
    <m/>
    <m/>
  </r>
  <r>
    <x v="174"/>
    <x v="3"/>
    <s v="인스타그램(전환)"/>
    <x v="0"/>
    <x v="0"/>
    <x v="0"/>
    <m/>
    <m/>
    <n v="669307"/>
    <m/>
    <m/>
    <m/>
  </r>
  <r>
    <x v="174"/>
    <x v="3"/>
    <s v="페북/인스타(전환)"/>
    <x v="0"/>
    <x v="0"/>
    <x v="0"/>
    <m/>
    <m/>
    <n v="792950"/>
    <m/>
    <m/>
    <m/>
  </r>
  <r>
    <x v="174"/>
    <x v="3"/>
    <s v="인스타그램(일본1324)"/>
    <x v="0"/>
    <x v="0"/>
    <x v="0"/>
    <m/>
    <m/>
    <n v="34222"/>
    <m/>
    <m/>
    <m/>
  </r>
  <r>
    <x v="174"/>
    <x v="3"/>
    <s v="인스타그램(일본2540)"/>
    <x v="0"/>
    <x v="0"/>
    <x v="0"/>
    <m/>
    <m/>
    <n v="33859"/>
    <m/>
    <m/>
    <m/>
  </r>
  <r>
    <x v="174"/>
    <x v="3"/>
    <s v="네이버 GFA"/>
    <x v="0"/>
    <x v="0"/>
    <x v="0"/>
    <m/>
    <m/>
    <n v="2911.818181818182"/>
    <m/>
    <m/>
    <m/>
  </r>
  <r>
    <x v="174"/>
    <x v="3"/>
    <s v="네이버 브랜드검색"/>
    <x v="0"/>
    <x v="0"/>
    <x v="0"/>
    <m/>
    <m/>
    <n v="40000"/>
    <m/>
    <m/>
    <m/>
  </r>
  <r>
    <x v="174"/>
    <x v="3"/>
    <s v="네이버 쇼핑검색"/>
    <x v="0"/>
    <x v="0"/>
    <x v="0"/>
    <m/>
    <m/>
    <n v="23000"/>
    <m/>
    <m/>
    <m/>
  </r>
  <r>
    <x v="174"/>
    <x v="3"/>
    <s v="카카오톡 메시지"/>
    <x v="4"/>
    <x v="0"/>
    <x v="0"/>
    <m/>
    <m/>
    <n v="103754.5454545454"/>
    <m/>
    <m/>
    <m/>
  </r>
  <r>
    <x v="175"/>
    <x v="4"/>
    <s v="인스타그램(랄라블라)"/>
    <x v="0"/>
    <x v="0"/>
    <x v="0"/>
    <m/>
    <m/>
    <n v="71691"/>
    <m/>
    <m/>
    <m/>
  </r>
  <r>
    <x v="175"/>
    <x v="4"/>
    <s v="인스타그램(리타게팅 전환)"/>
    <x v="0"/>
    <x v="0"/>
    <x v="0"/>
    <m/>
    <m/>
    <n v="100761"/>
    <m/>
    <m/>
    <m/>
  </r>
  <r>
    <x v="175"/>
    <x v="4"/>
    <s v="인스타그램(전환)"/>
    <x v="0"/>
    <x v="0"/>
    <x v="0"/>
    <m/>
    <m/>
    <n v="697451"/>
    <m/>
    <m/>
    <m/>
  </r>
  <r>
    <x v="175"/>
    <x v="4"/>
    <s v="페북/인스타(전환)"/>
    <x v="0"/>
    <x v="0"/>
    <x v="0"/>
    <m/>
    <m/>
    <n v="469859"/>
    <m/>
    <m/>
    <m/>
  </r>
  <r>
    <x v="175"/>
    <x v="4"/>
    <s v="인스타그램(일본1324)"/>
    <x v="0"/>
    <x v="0"/>
    <x v="0"/>
    <m/>
    <m/>
    <n v="34356"/>
    <m/>
    <m/>
    <m/>
  </r>
  <r>
    <x v="175"/>
    <x v="4"/>
    <s v="인스타그램(일본2540)"/>
    <x v="0"/>
    <x v="0"/>
    <x v="0"/>
    <m/>
    <m/>
    <n v="34277"/>
    <m/>
    <m/>
    <m/>
  </r>
  <r>
    <x v="175"/>
    <x v="4"/>
    <s v="네이버 GFA"/>
    <x v="0"/>
    <x v="0"/>
    <x v="0"/>
    <m/>
    <m/>
    <n v="280418.1818181818"/>
    <m/>
    <m/>
    <m/>
  </r>
  <r>
    <x v="175"/>
    <x v="4"/>
    <s v="네이버 브랜드검색"/>
    <x v="0"/>
    <x v="0"/>
    <x v="0"/>
    <m/>
    <m/>
    <n v="40000"/>
    <m/>
    <m/>
    <m/>
  </r>
  <r>
    <x v="175"/>
    <x v="4"/>
    <s v="네이버 쇼핑검색"/>
    <x v="0"/>
    <x v="0"/>
    <x v="0"/>
    <m/>
    <m/>
    <n v="42060"/>
    <m/>
    <m/>
    <m/>
  </r>
  <r>
    <x v="176"/>
    <x v="1"/>
    <s v="인스타그램(랄라블라)"/>
    <x v="0"/>
    <x v="0"/>
    <x v="0"/>
    <m/>
    <m/>
    <n v="70343"/>
    <m/>
    <m/>
    <m/>
  </r>
  <r>
    <x v="176"/>
    <x v="1"/>
    <s v="인스타그램(리타게팅 전환)"/>
    <x v="0"/>
    <x v="0"/>
    <x v="0"/>
    <m/>
    <m/>
    <n v="100507"/>
    <m/>
    <m/>
    <m/>
  </r>
  <r>
    <x v="176"/>
    <x v="1"/>
    <s v="인스타그램(전환)"/>
    <x v="0"/>
    <x v="0"/>
    <x v="0"/>
    <m/>
    <m/>
    <n v="563049"/>
    <m/>
    <m/>
    <m/>
  </r>
  <r>
    <x v="176"/>
    <x v="1"/>
    <s v="페북/인스타(전환)"/>
    <x v="0"/>
    <x v="0"/>
    <x v="0"/>
    <m/>
    <m/>
    <n v="370029"/>
    <m/>
    <m/>
    <m/>
  </r>
  <r>
    <x v="176"/>
    <x v="1"/>
    <s v="인스타그램(일본1324)"/>
    <x v="0"/>
    <x v="0"/>
    <x v="0"/>
    <m/>
    <m/>
    <n v="34406"/>
    <m/>
    <m/>
    <m/>
  </r>
  <r>
    <x v="176"/>
    <x v="1"/>
    <s v="인스타그램(일본2540)"/>
    <x v="0"/>
    <x v="0"/>
    <x v="0"/>
    <m/>
    <m/>
    <n v="34369"/>
    <m/>
    <m/>
    <m/>
  </r>
  <r>
    <x v="176"/>
    <x v="1"/>
    <s v="네이버 GFA"/>
    <x v="0"/>
    <x v="0"/>
    <x v="0"/>
    <m/>
    <m/>
    <n v="163685.4545454545"/>
    <m/>
    <m/>
    <m/>
  </r>
  <r>
    <x v="176"/>
    <x v="1"/>
    <s v="네이버 브랜드검색"/>
    <x v="0"/>
    <x v="0"/>
    <x v="0"/>
    <m/>
    <m/>
    <n v="40000"/>
    <m/>
    <m/>
    <m/>
  </r>
  <r>
    <x v="176"/>
    <x v="1"/>
    <s v="네이버 쇼핑검색"/>
    <x v="0"/>
    <x v="0"/>
    <x v="0"/>
    <m/>
    <m/>
    <n v="136420"/>
    <m/>
    <m/>
    <m/>
  </r>
  <r>
    <x v="177"/>
    <x v="0"/>
    <s v="인스타그램(랄라블라)"/>
    <x v="0"/>
    <x v="0"/>
    <x v="0"/>
    <m/>
    <m/>
    <n v="69934"/>
    <m/>
    <m/>
    <m/>
  </r>
  <r>
    <x v="177"/>
    <x v="0"/>
    <s v="인스타그램(리타게팅 전환)"/>
    <x v="0"/>
    <x v="0"/>
    <x v="0"/>
    <m/>
    <m/>
    <n v="97751"/>
    <m/>
    <m/>
    <m/>
  </r>
  <r>
    <x v="177"/>
    <x v="0"/>
    <s v="인스타그램(전환)"/>
    <x v="0"/>
    <x v="0"/>
    <x v="0"/>
    <m/>
    <m/>
    <n v="631359"/>
    <m/>
    <m/>
    <m/>
  </r>
  <r>
    <x v="177"/>
    <x v="0"/>
    <s v="페북/인스타(전환)"/>
    <x v="0"/>
    <x v="0"/>
    <x v="0"/>
    <m/>
    <m/>
    <n v="629539"/>
    <m/>
    <m/>
    <m/>
  </r>
  <r>
    <x v="177"/>
    <x v="0"/>
    <s v="인스타그램(일본1324)"/>
    <x v="0"/>
    <x v="0"/>
    <x v="0"/>
    <m/>
    <m/>
    <n v="34527"/>
    <m/>
    <m/>
    <m/>
  </r>
  <r>
    <x v="177"/>
    <x v="0"/>
    <s v="인스타그램(일본2540)"/>
    <x v="0"/>
    <x v="0"/>
    <x v="0"/>
    <m/>
    <m/>
    <n v="34274"/>
    <m/>
    <m/>
    <m/>
  </r>
  <r>
    <x v="177"/>
    <x v="0"/>
    <s v="네이버 GFA"/>
    <x v="0"/>
    <x v="0"/>
    <x v="0"/>
    <m/>
    <m/>
    <n v="62130.90909090909"/>
    <m/>
    <m/>
    <m/>
  </r>
  <r>
    <x v="177"/>
    <x v="0"/>
    <s v="네이버 브랜드검색"/>
    <x v="0"/>
    <x v="0"/>
    <x v="0"/>
    <m/>
    <m/>
    <n v="40000"/>
    <m/>
    <m/>
    <m/>
  </r>
  <r>
    <x v="177"/>
    <x v="0"/>
    <s v="네이버 쇼핑검색"/>
    <x v="0"/>
    <x v="0"/>
    <x v="0"/>
    <m/>
    <m/>
    <n v="94759.99999999999"/>
    <m/>
    <m/>
    <m/>
  </r>
  <r>
    <x v="178"/>
    <x v="2"/>
    <s v="인스타그램(랄라블라)"/>
    <x v="0"/>
    <x v="0"/>
    <x v="0"/>
    <m/>
    <m/>
    <n v="44144"/>
    <m/>
    <m/>
    <m/>
  </r>
  <r>
    <x v="178"/>
    <x v="2"/>
    <s v="인스타그램(리타게팅 전환)"/>
    <x v="0"/>
    <x v="0"/>
    <x v="0"/>
    <m/>
    <m/>
    <n v="97086"/>
    <m/>
    <m/>
    <m/>
  </r>
  <r>
    <x v="178"/>
    <x v="2"/>
    <s v="인스타그램(전환)"/>
    <x v="0"/>
    <x v="0"/>
    <x v="0"/>
    <m/>
    <m/>
    <n v="517350"/>
    <m/>
    <m/>
    <m/>
  </r>
  <r>
    <x v="178"/>
    <x v="2"/>
    <s v="페북/인스타(전환)"/>
    <x v="0"/>
    <x v="0"/>
    <x v="0"/>
    <m/>
    <m/>
    <n v="519416"/>
    <m/>
    <m/>
    <m/>
  </r>
  <r>
    <x v="178"/>
    <x v="2"/>
    <s v="인스타그램(일본1324)"/>
    <x v="0"/>
    <x v="0"/>
    <x v="0"/>
    <m/>
    <m/>
    <n v="46395"/>
    <m/>
    <m/>
    <m/>
  </r>
  <r>
    <x v="178"/>
    <x v="2"/>
    <s v="인스타그램(일본2540)"/>
    <x v="0"/>
    <x v="0"/>
    <x v="0"/>
    <m/>
    <m/>
    <n v="12525"/>
    <m/>
    <m/>
    <m/>
  </r>
  <r>
    <x v="178"/>
    <x v="2"/>
    <s v="네이버 브랜드검색"/>
    <x v="0"/>
    <x v="0"/>
    <x v="0"/>
    <m/>
    <m/>
    <n v="40000"/>
    <m/>
    <m/>
    <m/>
  </r>
  <r>
    <x v="178"/>
    <x v="2"/>
    <s v="네이버 쇼핑검색"/>
    <x v="0"/>
    <x v="0"/>
    <x v="0"/>
    <m/>
    <m/>
    <n v="51979.99999999999"/>
    <m/>
    <m/>
    <m/>
  </r>
  <r>
    <x v="179"/>
    <x v="5"/>
    <s v="인스타그램(랄라블라)"/>
    <x v="0"/>
    <x v="0"/>
    <x v="0"/>
    <m/>
    <m/>
    <n v="28199"/>
    <m/>
    <m/>
    <m/>
  </r>
  <r>
    <x v="179"/>
    <x v="5"/>
    <s v="인스타그램(리타게팅 전환)"/>
    <x v="0"/>
    <x v="0"/>
    <x v="0"/>
    <m/>
    <m/>
    <n v="105050"/>
    <m/>
    <m/>
    <m/>
  </r>
  <r>
    <x v="179"/>
    <x v="5"/>
    <s v="인스타그램(전환)"/>
    <x v="0"/>
    <x v="0"/>
    <x v="0"/>
    <m/>
    <m/>
    <n v="459420"/>
    <m/>
    <m/>
    <m/>
  </r>
  <r>
    <x v="179"/>
    <x v="5"/>
    <s v="페북/인스타(전환)"/>
    <x v="0"/>
    <x v="0"/>
    <x v="0"/>
    <m/>
    <m/>
    <n v="457215"/>
    <m/>
    <m/>
    <m/>
  </r>
  <r>
    <x v="179"/>
    <x v="5"/>
    <s v="인스타그램(일본1324)"/>
    <x v="0"/>
    <x v="0"/>
    <x v="0"/>
    <m/>
    <m/>
    <n v="55334"/>
    <m/>
    <m/>
    <m/>
  </r>
  <r>
    <x v="179"/>
    <x v="5"/>
    <s v="네이버 브랜드검색"/>
    <x v="0"/>
    <x v="0"/>
    <x v="0"/>
    <m/>
    <m/>
    <n v="40000"/>
    <m/>
    <m/>
    <m/>
  </r>
  <r>
    <x v="179"/>
    <x v="5"/>
    <s v="네이버 쇼핑검색"/>
    <x v="0"/>
    <x v="0"/>
    <x v="0"/>
    <m/>
    <m/>
    <n v="45010"/>
    <m/>
    <m/>
    <m/>
  </r>
  <r>
    <x v="180"/>
    <x v="6"/>
    <s v="인스타그램(랄라블라)"/>
    <x v="0"/>
    <x v="0"/>
    <x v="0"/>
    <m/>
    <m/>
    <n v="30021"/>
    <m/>
    <m/>
    <m/>
  </r>
  <r>
    <x v="180"/>
    <x v="6"/>
    <s v="인스타그램(리타게팅 전환)"/>
    <x v="0"/>
    <x v="0"/>
    <x v="0"/>
    <m/>
    <m/>
    <n v="100381"/>
    <m/>
    <m/>
    <m/>
  </r>
  <r>
    <x v="180"/>
    <x v="6"/>
    <s v="인스타그램(전환)"/>
    <x v="0"/>
    <x v="0"/>
    <x v="0"/>
    <m/>
    <m/>
    <n v="500593"/>
    <m/>
    <m/>
    <m/>
  </r>
  <r>
    <x v="180"/>
    <x v="6"/>
    <s v="페북/인스타(전환)"/>
    <x v="0"/>
    <x v="0"/>
    <x v="0"/>
    <m/>
    <m/>
    <n v="497457"/>
    <m/>
    <m/>
    <m/>
  </r>
  <r>
    <x v="180"/>
    <x v="6"/>
    <s v="인스타그램(일본1324)"/>
    <x v="0"/>
    <x v="0"/>
    <x v="0"/>
    <m/>
    <m/>
    <n v="60104"/>
    <m/>
    <m/>
    <m/>
  </r>
  <r>
    <x v="180"/>
    <x v="6"/>
    <s v="네이버 브랜드검색"/>
    <x v="0"/>
    <x v="0"/>
    <x v="0"/>
    <m/>
    <m/>
    <n v="40000"/>
    <m/>
    <m/>
    <m/>
  </r>
  <r>
    <x v="180"/>
    <x v="6"/>
    <s v="네이버 쇼핑검색"/>
    <x v="0"/>
    <x v="0"/>
    <x v="0"/>
    <m/>
    <m/>
    <n v="60699.99999999999"/>
    <m/>
    <m/>
    <m/>
  </r>
  <r>
    <x v="181"/>
    <x v="3"/>
    <s v="인스타그램(랄라블라)"/>
    <x v="0"/>
    <x v="0"/>
    <x v="0"/>
    <m/>
    <m/>
    <n v="30063"/>
    <m/>
    <m/>
    <m/>
  </r>
  <r>
    <x v="181"/>
    <x v="3"/>
    <s v="인스타그램(리타게팅 전환)"/>
    <x v="0"/>
    <x v="0"/>
    <x v="0"/>
    <m/>
    <m/>
    <n v="98277"/>
    <m/>
    <m/>
    <m/>
  </r>
  <r>
    <x v="181"/>
    <x v="3"/>
    <s v="인스타그램(전환)"/>
    <x v="0"/>
    <x v="0"/>
    <x v="0"/>
    <m/>
    <m/>
    <n v="483368"/>
    <m/>
    <m/>
    <m/>
  </r>
  <r>
    <x v="181"/>
    <x v="3"/>
    <s v="인스타VC(전환)"/>
    <x v="0"/>
    <x v="0"/>
    <x v="0"/>
    <m/>
    <m/>
    <n v="148860"/>
    <m/>
    <m/>
    <m/>
  </r>
  <r>
    <x v="181"/>
    <x v="3"/>
    <s v="페북/인스타(전환)"/>
    <x v="0"/>
    <x v="0"/>
    <x v="0"/>
    <m/>
    <m/>
    <n v="396871"/>
    <m/>
    <m/>
    <m/>
  </r>
  <r>
    <x v="181"/>
    <x v="3"/>
    <s v="인스타그램(일본1324)"/>
    <x v="0"/>
    <x v="0"/>
    <x v="0"/>
    <m/>
    <m/>
    <n v="60007"/>
    <m/>
    <m/>
    <m/>
  </r>
  <r>
    <x v="181"/>
    <x v="3"/>
    <s v="네이버 GFA"/>
    <x v="0"/>
    <x v="0"/>
    <x v="0"/>
    <m/>
    <m/>
    <n v="265129.0909090909"/>
    <m/>
    <m/>
    <m/>
  </r>
  <r>
    <x v="181"/>
    <x v="3"/>
    <s v="카카오광고"/>
    <x v="0"/>
    <x v="0"/>
    <x v="0"/>
    <m/>
    <m/>
    <n v="2300"/>
    <m/>
    <m/>
    <m/>
  </r>
  <r>
    <x v="181"/>
    <x v="3"/>
    <s v="네이버 브랜드검색"/>
    <x v="0"/>
    <x v="0"/>
    <x v="0"/>
    <m/>
    <m/>
    <n v="40000"/>
    <m/>
    <m/>
    <m/>
  </r>
  <r>
    <x v="181"/>
    <x v="3"/>
    <s v="네이버 쇼핑검색"/>
    <x v="0"/>
    <x v="0"/>
    <x v="0"/>
    <m/>
    <m/>
    <n v="82950"/>
    <m/>
    <m/>
    <m/>
  </r>
  <r>
    <x v="182"/>
    <x v="4"/>
    <s v="인스타그램(랄라블라)"/>
    <x v="0"/>
    <x v="0"/>
    <x v="0"/>
    <m/>
    <m/>
    <n v="30031"/>
    <m/>
    <m/>
    <m/>
  </r>
  <r>
    <x v="182"/>
    <x v="4"/>
    <s v="인스타그램(리타게팅 전환)"/>
    <x v="0"/>
    <x v="0"/>
    <x v="0"/>
    <m/>
    <m/>
    <n v="99718"/>
    <m/>
    <m/>
    <m/>
  </r>
  <r>
    <x v="182"/>
    <x v="4"/>
    <s v="인스타그램(전환)"/>
    <x v="0"/>
    <x v="0"/>
    <x v="0"/>
    <m/>
    <m/>
    <n v="582204"/>
    <m/>
    <m/>
    <m/>
  </r>
  <r>
    <x v="182"/>
    <x v="4"/>
    <s v="인스타VC(전환)"/>
    <x v="0"/>
    <x v="0"/>
    <x v="0"/>
    <m/>
    <m/>
    <n v="259105"/>
    <m/>
    <m/>
    <m/>
  </r>
  <r>
    <x v="182"/>
    <x v="4"/>
    <s v="페북/인스타(전환)"/>
    <x v="0"/>
    <x v="0"/>
    <x v="0"/>
    <m/>
    <m/>
    <n v="345807"/>
    <m/>
    <m/>
    <m/>
  </r>
  <r>
    <x v="182"/>
    <x v="4"/>
    <s v="인스타그램(일본1324)"/>
    <x v="0"/>
    <x v="0"/>
    <x v="0"/>
    <m/>
    <m/>
    <n v="60032"/>
    <m/>
    <m/>
    <m/>
  </r>
  <r>
    <x v="182"/>
    <x v="4"/>
    <s v="네이버 GFA"/>
    <x v="0"/>
    <x v="0"/>
    <x v="0"/>
    <m/>
    <m/>
    <n v="263225.4545454545"/>
    <m/>
    <m/>
    <m/>
  </r>
  <r>
    <x v="182"/>
    <x v="4"/>
    <s v="카카오광고"/>
    <x v="0"/>
    <x v="0"/>
    <x v="0"/>
    <m/>
    <m/>
    <n v="7229.999999999999"/>
    <m/>
    <m/>
    <m/>
  </r>
  <r>
    <x v="182"/>
    <x v="4"/>
    <s v="네이버 브랜드검색"/>
    <x v="0"/>
    <x v="0"/>
    <x v="0"/>
    <m/>
    <m/>
    <n v="40000"/>
    <m/>
    <m/>
    <m/>
  </r>
  <r>
    <x v="182"/>
    <x v="4"/>
    <s v="네이버 쇼핑검색"/>
    <x v="0"/>
    <x v="0"/>
    <x v="0"/>
    <m/>
    <m/>
    <n v="82970"/>
    <m/>
    <m/>
    <m/>
  </r>
  <r>
    <x v="183"/>
    <x v="1"/>
    <s v="인스타그램(랄라블라)"/>
    <x v="0"/>
    <x v="0"/>
    <x v="0"/>
    <m/>
    <m/>
    <n v="29052"/>
    <m/>
    <m/>
    <m/>
  </r>
  <r>
    <x v="183"/>
    <x v="1"/>
    <s v="인스타그램(리타게팅 전환)"/>
    <x v="0"/>
    <x v="0"/>
    <x v="0"/>
    <m/>
    <m/>
    <n v="100123"/>
    <m/>
    <m/>
    <m/>
  </r>
  <r>
    <x v="183"/>
    <x v="1"/>
    <s v="인스타그램(전환)"/>
    <x v="0"/>
    <x v="0"/>
    <x v="0"/>
    <m/>
    <m/>
    <n v="597557"/>
    <m/>
    <m/>
    <m/>
  </r>
  <r>
    <x v="183"/>
    <x v="1"/>
    <s v="인스타VC(전환)"/>
    <x v="0"/>
    <x v="0"/>
    <x v="0"/>
    <m/>
    <m/>
    <n v="194338"/>
    <m/>
    <m/>
    <m/>
  </r>
  <r>
    <x v="183"/>
    <x v="1"/>
    <s v="페북/인스타(전환)"/>
    <x v="0"/>
    <x v="0"/>
    <x v="0"/>
    <m/>
    <m/>
    <n v="338278"/>
    <m/>
    <m/>
    <m/>
  </r>
  <r>
    <x v="183"/>
    <x v="1"/>
    <s v="인스타그램(일본1324)"/>
    <x v="0"/>
    <x v="0"/>
    <x v="0"/>
    <m/>
    <m/>
    <n v="59965"/>
    <m/>
    <m/>
    <m/>
  </r>
  <r>
    <x v="183"/>
    <x v="1"/>
    <s v="네이버 GFA"/>
    <x v="0"/>
    <x v="0"/>
    <x v="0"/>
    <m/>
    <m/>
    <n v="374032.7272727272"/>
    <m/>
    <m/>
    <m/>
  </r>
  <r>
    <x v="183"/>
    <x v="1"/>
    <s v="카카오광고"/>
    <x v="0"/>
    <x v="0"/>
    <x v="0"/>
    <m/>
    <m/>
    <n v="5639.999999999999"/>
    <m/>
    <m/>
    <m/>
  </r>
  <r>
    <x v="183"/>
    <x v="1"/>
    <s v="네이버 브랜드검색"/>
    <x v="0"/>
    <x v="0"/>
    <x v="0"/>
    <m/>
    <m/>
    <n v="40000"/>
    <m/>
    <m/>
    <m/>
  </r>
  <r>
    <x v="183"/>
    <x v="1"/>
    <s v="네이버 쇼핑검색"/>
    <x v="0"/>
    <x v="0"/>
    <x v="0"/>
    <m/>
    <m/>
    <n v="87780"/>
    <m/>
    <m/>
    <m/>
  </r>
  <r>
    <x v="184"/>
    <x v="0"/>
    <s v="인스타그램(랄라블라)"/>
    <x v="0"/>
    <x v="0"/>
    <x v="0"/>
    <m/>
    <m/>
    <n v="29604"/>
    <m/>
    <m/>
    <m/>
  </r>
  <r>
    <x v="184"/>
    <x v="0"/>
    <s v="인스타그램(리타게팅 전환)"/>
    <x v="0"/>
    <x v="0"/>
    <x v="0"/>
    <m/>
    <m/>
    <n v="100834"/>
    <m/>
    <m/>
    <m/>
  </r>
  <r>
    <x v="184"/>
    <x v="0"/>
    <s v="인스타그램(전환)"/>
    <x v="0"/>
    <x v="0"/>
    <x v="0"/>
    <m/>
    <m/>
    <n v="600724"/>
    <m/>
    <m/>
    <m/>
  </r>
  <r>
    <x v="184"/>
    <x v="0"/>
    <s v="인스타VC(전환)"/>
    <x v="0"/>
    <x v="0"/>
    <x v="0"/>
    <m/>
    <m/>
    <n v="196303"/>
    <m/>
    <m/>
    <m/>
  </r>
  <r>
    <x v="184"/>
    <x v="0"/>
    <s v="페북/인스타(전환)"/>
    <x v="0"/>
    <x v="0"/>
    <x v="0"/>
    <m/>
    <m/>
    <n v="352025"/>
    <m/>
    <m/>
    <m/>
  </r>
  <r>
    <x v="184"/>
    <x v="0"/>
    <s v="인스타그램(일본1324)"/>
    <x v="0"/>
    <x v="0"/>
    <x v="0"/>
    <m/>
    <m/>
    <n v="60061"/>
    <m/>
    <m/>
    <m/>
  </r>
  <r>
    <x v="184"/>
    <x v="0"/>
    <s v="네이버 GFA"/>
    <x v="0"/>
    <x v="0"/>
    <x v="0"/>
    <m/>
    <m/>
    <n v="358552.7272727272"/>
    <m/>
    <m/>
    <m/>
  </r>
  <r>
    <x v="184"/>
    <x v="0"/>
    <s v="카카오광고"/>
    <x v="0"/>
    <x v="0"/>
    <x v="0"/>
    <m/>
    <m/>
    <n v="14580"/>
    <m/>
    <m/>
    <m/>
  </r>
  <r>
    <x v="184"/>
    <x v="0"/>
    <s v="네이버 브랜드검색"/>
    <x v="0"/>
    <x v="0"/>
    <x v="0"/>
    <m/>
    <m/>
    <n v="40000"/>
    <m/>
    <m/>
    <m/>
  </r>
  <r>
    <x v="184"/>
    <x v="0"/>
    <s v="네이버 쇼핑검색"/>
    <x v="0"/>
    <x v="0"/>
    <x v="0"/>
    <m/>
    <m/>
    <n v="81810"/>
    <m/>
    <m/>
    <m/>
  </r>
  <r>
    <x v="185"/>
    <x v="2"/>
    <s v="인스타그램(랄라블라)"/>
    <x v="0"/>
    <x v="0"/>
    <x v="0"/>
    <m/>
    <m/>
    <n v="29860"/>
    <m/>
    <m/>
    <m/>
  </r>
  <r>
    <x v="185"/>
    <x v="2"/>
    <s v="인스타그램(리타게팅 전환)"/>
    <x v="0"/>
    <x v="0"/>
    <x v="0"/>
    <m/>
    <m/>
    <n v="96590"/>
    <m/>
    <m/>
    <m/>
  </r>
  <r>
    <x v="185"/>
    <x v="2"/>
    <s v="인스타그램(전환)"/>
    <x v="0"/>
    <x v="0"/>
    <x v="0"/>
    <m/>
    <m/>
    <n v="576471"/>
    <m/>
    <m/>
    <m/>
  </r>
  <r>
    <x v="185"/>
    <x v="2"/>
    <s v="인스타VC(전환)"/>
    <x v="0"/>
    <x v="0"/>
    <x v="0"/>
    <m/>
    <m/>
    <n v="189805"/>
    <m/>
    <m/>
    <m/>
  </r>
  <r>
    <x v="185"/>
    <x v="2"/>
    <s v="페북/인스타(전환)"/>
    <x v="0"/>
    <x v="0"/>
    <x v="0"/>
    <m/>
    <m/>
    <n v="337759"/>
    <m/>
    <m/>
    <m/>
  </r>
  <r>
    <x v="185"/>
    <x v="2"/>
    <s v="인스타그램(일본1324)"/>
    <x v="0"/>
    <x v="0"/>
    <x v="0"/>
    <m/>
    <m/>
    <n v="60060"/>
    <m/>
    <m/>
    <m/>
  </r>
  <r>
    <x v="185"/>
    <x v="2"/>
    <s v="네이버 GFA"/>
    <x v="0"/>
    <x v="0"/>
    <x v="0"/>
    <m/>
    <m/>
    <n v="251520"/>
    <m/>
    <m/>
    <m/>
  </r>
  <r>
    <x v="185"/>
    <x v="2"/>
    <s v="카카오광고"/>
    <x v="0"/>
    <x v="0"/>
    <x v="0"/>
    <m/>
    <m/>
    <n v="8079.999999999999"/>
    <m/>
    <m/>
    <m/>
  </r>
  <r>
    <x v="185"/>
    <x v="2"/>
    <s v="네이버 브랜드검색"/>
    <x v="0"/>
    <x v="0"/>
    <x v="0"/>
    <m/>
    <m/>
    <n v="40000"/>
    <m/>
    <m/>
    <m/>
  </r>
  <r>
    <x v="185"/>
    <x v="2"/>
    <s v="네이버 쇼핑검색"/>
    <x v="0"/>
    <x v="0"/>
    <x v="0"/>
    <m/>
    <m/>
    <n v="64399.99999999999"/>
    <m/>
    <m/>
    <m/>
  </r>
  <r>
    <x v="186"/>
    <x v="5"/>
    <s v="인스타그램(랄라블라)"/>
    <x v="0"/>
    <x v="0"/>
    <x v="0"/>
    <m/>
    <m/>
    <n v="31369"/>
    <m/>
    <m/>
    <m/>
  </r>
  <r>
    <x v="186"/>
    <x v="5"/>
    <s v="인스타그램(리타게팅 전환)"/>
    <x v="0"/>
    <x v="0"/>
    <x v="0"/>
    <m/>
    <m/>
    <n v="104077"/>
    <m/>
    <m/>
    <m/>
  </r>
  <r>
    <x v="186"/>
    <x v="5"/>
    <s v="인스타그램(전환)"/>
    <x v="0"/>
    <x v="0"/>
    <x v="0"/>
    <m/>
    <m/>
    <n v="622164"/>
    <m/>
    <m/>
    <m/>
  </r>
  <r>
    <x v="186"/>
    <x v="5"/>
    <s v="인스타VC(전환)"/>
    <x v="0"/>
    <x v="0"/>
    <x v="0"/>
    <m/>
    <m/>
    <n v="201971"/>
    <m/>
    <m/>
    <m/>
  </r>
  <r>
    <x v="186"/>
    <x v="5"/>
    <s v="페북/인스타(전환)"/>
    <x v="0"/>
    <x v="0"/>
    <x v="0"/>
    <m/>
    <m/>
    <n v="362776"/>
    <m/>
    <m/>
    <m/>
  </r>
  <r>
    <x v="186"/>
    <x v="5"/>
    <s v="인스타그램(일본1324)"/>
    <x v="0"/>
    <x v="0"/>
    <x v="0"/>
    <m/>
    <m/>
    <n v="59754"/>
    <m/>
    <m/>
    <m/>
  </r>
  <r>
    <x v="186"/>
    <x v="5"/>
    <s v="카카오광고"/>
    <x v="0"/>
    <x v="0"/>
    <x v="0"/>
    <m/>
    <m/>
    <n v="10090"/>
    <m/>
    <m/>
    <m/>
  </r>
  <r>
    <x v="186"/>
    <x v="5"/>
    <s v="네이버 브랜드검색"/>
    <x v="0"/>
    <x v="0"/>
    <x v="0"/>
    <m/>
    <m/>
    <n v="40000"/>
    <m/>
    <m/>
    <m/>
  </r>
  <r>
    <x v="186"/>
    <x v="5"/>
    <s v="네이버 쇼핑검색"/>
    <x v="0"/>
    <x v="0"/>
    <x v="0"/>
    <m/>
    <m/>
    <n v="59969.99999999999"/>
    <m/>
    <m/>
    <m/>
  </r>
  <r>
    <x v="187"/>
    <x v="6"/>
    <s v="인스타그램(랄라블라)"/>
    <x v="0"/>
    <x v="0"/>
    <x v="0"/>
    <m/>
    <m/>
    <n v="30061"/>
    <m/>
    <m/>
    <m/>
  </r>
  <r>
    <x v="187"/>
    <x v="6"/>
    <s v="인스타그램(리타게팅 전환)"/>
    <x v="0"/>
    <x v="0"/>
    <x v="0"/>
    <m/>
    <m/>
    <n v="100532"/>
    <m/>
    <m/>
    <m/>
  </r>
  <r>
    <x v="187"/>
    <x v="6"/>
    <s v="인스타그램(전환)"/>
    <x v="0"/>
    <x v="0"/>
    <x v="0"/>
    <m/>
    <m/>
    <n v="600782"/>
    <m/>
    <m/>
    <m/>
  </r>
  <r>
    <x v="187"/>
    <x v="6"/>
    <s v="인스타VC(전환)"/>
    <x v="0"/>
    <x v="0"/>
    <x v="0"/>
    <m/>
    <m/>
    <n v="200202"/>
    <m/>
    <m/>
    <m/>
  </r>
  <r>
    <x v="187"/>
    <x v="6"/>
    <s v="페북/인스타(전환)"/>
    <x v="0"/>
    <x v="0"/>
    <x v="0"/>
    <m/>
    <m/>
    <n v="351072"/>
    <m/>
    <m/>
    <m/>
  </r>
  <r>
    <x v="187"/>
    <x v="6"/>
    <s v="인스타그램(일본1324)"/>
    <x v="0"/>
    <x v="0"/>
    <x v="0"/>
    <m/>
    <m/>
    <n v="60104"/>
    <m/>
    <m/>
    <m/>
  </r>
  <r>
    <x v="187"/>
    <x v="6"/>
    <s v="카카오광고"/>
    <x v="0"/>
    <x v="0"/>
    <x v="0"/>
    <m/>
    <m/>
    <n v="10840"/>
    <m/>
    <m/>
    <m/>
  </r>
  <r>
    <x v="187"/>
    <x v="6"/>
    <s v="네이버 브랜드검색"/>
    <x v="0"/>
    <x v="0"/>
    <x v="0"/>
    <m/>
    <m/>
    <n v="40000"/>
    <m/>
    <m/>
    <m/>
  </r>
  <r>
    <x v="187"/>
    <x v="6"/>
    <s v="네이버 쇼핑검색"/>
    <x v="0"/>
    <x v="0"/>
    <x v="0"/>
    <m/>
    <m/>
    <n v="61979.99999999999"/>
    <m/>
    <m/>
    <m/>
  </r>
  <r>
    <x v="182"/>
    <x v="4"/>
    <s v="기획사이다"/>
    <x v="0"/>
    <x v="0"/>
    <x v="0"/>
    <m/>
    <m/>
    <n v="9018181.818181818"/>
    <m/>
    <m/>
    <m/>
  </r>
  <r>
    <x v="182"/>
    <x v="4"/>
    <s v="기획사이다"/>
    <x v="4"/>
    <x v="0"/>
    <x v="0"/>
    <m/>
    <m/>
    <n v="3520909.090909091"/>
    <m/>
    <m/>
    <m/>
  </r>
  <r>
    <x v="188"/>
    <x v="3"/>
    <s v="인스타그램(랄라블라)"/>
    <x v="0"/>
    <x v="0"/>
    <x v="0"/>
    <m/>
    <m/>
    <n v="29524"/>
    <m/>
    <m/>
    <m/>
  </r>
  <r>
    <x v="189"/>
    <x v="4"/>
    <s v="인스타그램(랄라블라)"/>
    <x v="0"/>
    <x v="0"/>
    <x v="0"/>
    <m/>
    <m/>
    <n v="29965"/>
    <m/>
    <m/>
    <m/>
  </r>
  <r>
    <x v="190"/>
    <x v="1"/>
    <s v="인스타그램(랄라블라)"/>
    <x v="0"/>
    <x v="0"/>
    <x v="0"/>
    <m/>
    <m/>
    <n v="29619"/>
    <m/>
    <m/>
    <m/>
  </r>
  <r>
    <x v="191"/>
    <x v="0"/>
    <s v="인스타그램(랄라블라)"/>
    <x v="0"/>
    <x v="0"/>
    <x v="0"/>
    <m/>
    <m/>
    <n v="30325"/>
    <m/>
    <m/>
    <m/>
  </r>
  <r>
    <x v="192"/>
    <x v="2"/>
    <s v="인스타그램(랄라블라)"/>
    <x v="0"/>
    <x v="0"/>
    <x v="0"/>
    <m/>
    <m/>
    <n v="30300"/>
    <m/>
    <m/>
    <m/>
  </r>
  <r>
    <x v="193"/>
    <x v="5"/>
    <s v="인스타그램(랄라블라)"/>
    <x v="0"/>
    <x v="0"/>
    <x v="0"/>
    <m/>
    <m/>
    <n v="30205"/>
    <m/>
    <m/>
    <m/>
  </r>
  <r>
    <x v="194"/>
    <x v="6"/>
    <s v="인스타그램(랄라블라)"/>
    <x v="0"/>
    <x v="0"/>
    <x v="0"/>
    <m/>
    <m/>
    <n v="29599"/>
    <m/>
    <m/>
    <m/>
  </r>
  <r>
    <x v="195"/>
    <x v="3"/>
    <s v="인스타그램(랄라블라)"/>
    <x v="0"/>
    <x v="0"/>
    <x v="0"/>
    <m/>
    <m/>
    <n v="29272"/>
    <m/>
    <m/>
    <m/>
  </r>
  <r>
    <x v="196"/>
    <x v="4"/>
    <s v="인스타그램(랄라블라)"/>
    <x v="0"/>
    <x v="0"/>
    <x v="0"/>
    <m/>
    <m/>
    <n v="30293"/>
    <m/>
    <m/>
    <m/>
  </r>
  <r>
    <x v="197"/>
    <x v="1"/>
    <s v="인스타그램(랄라블라)"/>
    <x v="0"/>
    <x v="0"/>
    <x v="0"/>
    <m/>
    <m/>
    <n v="30249"/>
    <m/>
    <m/>
    <m/>
  </r>
  <r>
    <x v="198"/>
    <x v="0"/>
    <s v="인스타그램(랄라블라)"/>
    <x v="0"/>
    <x v="0"/>
    <x v="0"/>
    <m/>
    <m/>
    <n v="29359"/>
    <m/>
    <m/>
    <m/>
  </r>
  <r>
    <x v="199"/>
    <x v="2"/>
    <s v="인스타그램(랄라블라)"/>
    <x v="0"/>
    <x v="0"/>
    <x v="0"/>
    <m/>
    <m/>
    <n v="30627"/>
    <m/>
    <m/>
    <m/>
  </r>
  <r>
    <x v="200"/>
    <x v="5"/>
    <s v="인스타그램(랄라블라)"/>
    <x v="0"/>
    <x v="0"/>
    <x v="0"/>
    <m/>
    <m/>
    <n v="30601"/>
    <m/>
    <m/>
    <m/>
  </r>
  <r>
    <x v="201"/>
    <x v="6"/>
    <s v="인스타그램(랄라블라)"/>
    <x v="0"/>
    <x v="0"/>
    <x v="0"/>
    <m/>
    <m/>
    <n v="30049"/>
    <m/>
    <m/>
    <m/>
  </r>
  <r>
    <x v="202"/>
    <x v="3"/>
    <s v="인스타그램(랄라블라)"/>
    <x v="0"/>
    <x v="0"/>
    <x v="0"/>
    <m/>
    <m/>
    <n v="30010"/>
    <m/>
    <m/>
    <m/>
  </r>
  <r>
    <x v="203"/>
    <x v="4"/>
    <s v="인스타그램(랄라블라)"/>
    <x v="0"/>
    <x v="0"/>
    <x v="0"/>
    <m/>
    <m/>
    <n v="30006"/>
    <m/>
    <m/>
    <m/>
  </r>
  <r>
    <x v="204"/>
    <x v="1"/>
    <s v="인스타그램(랄라블라)"/>
    <x v="0"/>
    <x v="0"/>
    <x v="0"/>
    <m/>
    <m/>
    <n v="30070"/>
    <m/>
    <m/>
    <m/>
  </r>
  <r>
    <x v="205"/>
    <x v="0"/>
    <s v="인스타그램(랄라블라)"/>
    <x v="0"/>
    <x v="0"/>
    <x v="0"/>
    <m/>
    <m/>
    <n v="29986"/>
    <m/>
    <m/>
    <m/>
  </r>
  <r>
    <x v="206"/>
    <x v="2"/>
    <s v="인스타그램(랄라블라)"/>
    <x v="0"/>
    <x v="0"/>
    <x v="0"/>
    <m/>
    <m/>
    <n v="29823"/>
    <m/>
    <m/>
    <m/>
  </r>
  <r>
    <x v="207"/>
    <x v="5"/>
    <s v="인스타그램(랄라블라)"/>
    <x v="0"/>
    <x v="0"/>
    <x v="0"/>
    <m/>
    <m/>
    <n v="30056"/>
    <m/>
    <m/>
    <m/>
  </r>
  <r>
    <x v="208"/>
    <x v="6"/>
    <s v="인스타그램(랄라블라)"/>
    <x v="0"/>
    <x v="0"/>
    <x v="0"/>
    <m/>
    <m/>
    <n v="30131"/>
    <m/>
    <m/>
    <m/>
  </r>
  <r>
    <x v="209"/>
    <x v="3"/>
    <s v="인스타그램(랄라블라)"/>
    <x v="0"/>
    <x v="0"/>
    <x v="0"/>
    <m/>
    <m/>
    <n v="29568"/>
    <m/>
    <m/>
    <m/>
  </r>
  <r>
    <x v="210"/>
    <x v="4"/>
    <s v="인스타그램(랄라블라)"/>
    <x v="0"/>
    <x v="0"/>
    <x v="0"/>
    <m/>
    <m/>
    <n v="29454"/>
    <m/>
    <m/>
    <m/>
  </r>
  <r>
    <x v="211"/>
    <x v="1"/>
    <s v="인스타그램(랄라블라)"/>
    <x v="0"/>
    <x v="0"/>
    <x v="0"/>
    <m/>
    <m/>
    <n v="30326"/>
    <m/>
    <m/>
    <m/>
  </r>
  <r>
    <x v="212"/>
    <x v="0"/>
    <s v="인스타그램(랄라블라)"/>
    <x v="0"/>
    <x v="0"/>
    <x v="0"/>
    <m/>
    <m/>
    <n v="30189"/>
    <m/>
    <m/>
    <m/>
  </r>
  <r>
    <x v="188"/>
    <x v="3"/>
    <s v="인스타그램(일본1324)"/>
    <x v="0"/>
    <x v="0"/>
    <x v="0"/>
    <m/>
    <m/>
    <n v="60091"/>
    <m/>
    <m/>
    <m/>
  </r>
  <r>
    <x v="189"/>
    <x v="4"/>
    <s v="인스타그램(일본1324)"/>
    <x v="0"/>
    <x v="0"/>
    <x v="0"/>
    <m/>
    <m/>
    <n v="27136"/>
    <m/>
    <m/>
    <m/>
  </r>
  <r>
    <x v="191"/>
    <x v="0"/>
    <s v="인스타그램(일본1324)"/>
    <x v="0"/>
    <x v="0"/>
    <x v="0"/>
    <m/>
    <m/>
    <n v="68319"/>
    <m/>
    <m/>
    <m/>
  </r>
  <r>
    <x v="192"/>
    <x v="2"/>
    <s v="인스타그램(일본1324)"/>
    <x v="0"/>
    <x v="0"/>
    <x v="0"/>
    <m/>
    <m/>
    <n v="69126"/>
    <m/>
    <m/>
    <m/>
  </r>
  <r>
    <x v="193"/>
    <x v="5"/>
    <s v="인스타그램(일본1324)"/>
    <x v="0"/>
    <x v="0"/>
    <x v="0"/>
    <m/>
    <m/>
    <n v="69113"/>
    <m/>
    <m/>
    <m/>
  </r>
  <r>
    <x v="194"/>
    <x v="6"/>
    <s v="인스타그램(일본1324)"/>
    <x v="0"/>
    <x v="0"/>
    <x v="0"/>
    <m/>
    <m/>
    <n v="59824"/>
    <m/>
    <m/>
    <m/>
  </r>
  <r>
    <x v="195"/>
    <x v="3"/>
    <s v="인스타그램(일본1324)"/>
    <x v="0"/>
    <x v="0"/>
    <x v="0"/>
    <m/>
    <m/>
    <n v="60087"/>
    <m/>
    <m/>
    <m/>
  </r>
  <r>
    <x v="196"/>
    <x v="4"/>
    <s v="인스타그램(일본1324)"/>
    <x v="0"/>
    <x v="0"/>
    <x v="0"/>
    <m/>
    <m/>
    <n v="60098"/>
    <m/>
    <m/>
    <m/>
  </r>
  <r>
    <x v="197"/>
    <x v="1"/>
    <s v="인스타그램(일본1324)"/>
    <x v="0"/>
    <x v="0"/>
    <x v="0"/>
    <m/>
    <m/>
    <n v="60118"/>
    <m/>
    <m/>
    <m/>
  </r>
  <r>
    <x v="198"/>
    <x v="0"/>
    <s v="인스타그램(일본1324)"/>
    <x v="0"/>
    <x v="0"/>
    <x v="0"/>
    <m/>
    <m/>
    <n v="60030"/>
    <m/>
    <m/>
    <m/>
  </r>
  <r>
    <x v="199"/>
    <x v="2"/>
    <s v="인스타그램(일본1324)"/>
    <x v="0"/>
    <x v="0"/>
    <x v="0"/>
    <m/>
    <m/>
    <n v="105463"/>
    <m/>
    <m/>
    <m/>
  </r>
  <r>
    <x v="200"/>
    <x v="5"/>
    <s v="인스타그램(일본1324)"/>
    <x v="0"/>
    <x v="0"/>
    <x v="0"/>
    <m/>
    <m/>
    <n v="139054"/>
    <m/>
    <m/>
    <m/>
  </r>
  <r>
    <x v="201"/>
    <x v="6"/>
    <s v="인스타그램(일본1324)"/>
    <x v="0"/>
    <x v="0"/>
    <x v="0"/>
    <m/>
    <m/>
    <n v="150143"/>
    <m/>
    <m/>
    <m/>
  </r>
  <r>
    <x v="202"/>
    <x v="3"/>
    <s v="인스타그램(일본1324)"/>
    <x v="0"/>
    <x v="0"/>
    <x v="0"/>
    <m/>
    <m/>
    <n v="150138"/>
    <m/>
    <m/>
    <m/>
  </r>
  <r>
    <x v="203"/>
    <x v="4"/>
    <s v="인스타그램(일본1324)"/>
    <x v="0"/>
    <x v="0"/>
    <x v="0"/>
    <m/>
    <m/>
    <n v="149667"/>
    <m/>
    <m/>
    <m/>
  </r>
  <r>
    <x v="204"/>
    <x v="1"/>
    <s v="인스타그램(일본1324)"/>
    <x v="0"/>
    <x v="0"/>
    <x v="0"/>
    <m/>
    <m/>
    <n v="148373"/>
    <m/>
    <m/>
    <m/>
  </r>
  <r>
    <x v="205"/>
    <x v="0"/>
    <s v="인스타그램(일본1324)"/>
    <x v="0"/>
    <x v="0"/>
    <x v="0"/>
    <m/>
    <m/>
    <n v="146982"/>
    <m/>
    <m/>
    <m/>
  </r>
  <r>
    <x v="206"/>
    <x v="2"/>
    <s v="인스타그램(일본1324)"/>
    <x v="0"/>
    <x v="0"/>
    <x v="0"/>
    <m/>
    <m/>
    <n v="151948"/>
    <m/>
    <m/>
    <m/>
  </r>
  <r>
    <x v="207"/>
    <x v="5"/>
    <s v="인스타그램(일본1324)"/>
    <x v="0"/>
    <x v="0"/>
    <x v="0"/>
    <m/>
    <m/>
    <n v="152712"/>
    <m/>
    <m/>
    <m/>
  </r>
  <r>
    <x v="208"/>
    <x v="6"/>
    <s v="인스타그램(일본1324)"/>
    <x v="0"/>
    <x v="0"/>
    <x v="0"/>
    <m/>
    <m/>
    <n v="151033"/>
    <m/>
    <m/>
    <m/>
  </r>
  <r>
    <x v="209"/>
    <x v="3"/>
    <s v="인스타그램(일본1324)"/>
    <x v="0"/>
    <x v="0"/>
    <x v="0"/>
    <m/>
    <m/>
    <n v="149879"/>
    <m/>
    <m/>
    <m/>
  </r>
  <r>
    <x v="210"/>
    <x v="4"/>
    <s v="인스타그램(일본1324)"/>
    <x v="0"/>
    <x v="0"/>
    <x v="0"/>
    <m/>
    <m/>
    <n v="149682"/>
    <m/>
    <m/>
    <m/>
  </r>
  <r>
    <x v="211"/>
    <x v="1"/>
    <s v="인스타그램(일본1324)"/>
    <x v="0"/>
    <x v="0"/>
    <x v="0"/>
    <m/>
    <m/>
    <n v="149463"/>
    <m/>
    <m/>
    <m/>
  </r>
  <r>
    <x v="212"/>
    <x v="0"/>
    <s v="인스타그램(일본1324)"/>
    <x v="0"/>
    <x v="0"/>
    <x v="0"/>
    <m/>
    <m/>
    <n v="149704"/>
    <m/>
    <m/>
    <m/>
  </r>
  <r>
    <x v="188"/>
    <x v="3"/>
    <s v="인스타그램(전환)"/>
    <x v="0"/>
    <x v="0"/>
    <x v="0"/>
    <m/>
    <m/>
    <n v="583748"/>
    <m/>
    <m/>
    <m/>
  </r>
  <r>
    <x v="189"/>
    <x v="4"/>
    <s v="인스타그램(전환)"/>
    <x v="0"/>
    <x v="0"/>
    <x v="0"/>
    <m/>
    <m/>
    <n v="588087"/>
    <m/>
    <m/>
    <m/>
  </r>
  <r>
    <x v="190"/>
    <x v="1"/>
    <s v="인스타그램(전환)"/>
    <x v="0"/>
    <x v="0"/>
    <x v="0"/>
    <m/>
    <m/>
    <n v="590710"/>
    <m/>
    <m/>
    <m/>
  </r>
  <r>
    <x v="191"/>
    <x v="0"/>
    <s v="인스타그램(전환)"/>
    <x v="0"/>
    <x v="0"/>
    <x v="0"/>
    <m/>
    <m/>
    <n v="593965"/>
    <m/>
    <m/>
    <m/>
  </r>
  <r>
    <x v="192"/>
    <x v="2"/>
    <s v="인스타그램(전환)"/>
    <x v="0"/>
    <x v="0"/>
    <x v="0"/>
    <m/>
    <m/>
    <n v="594150"/>
    <m/>
    <m/>
    <m/>
  </r>
  <r>
    <x v="193"/>
    <x v="5"/>
    <s v="인스타그램(전환)"/>
    <x v="0"/>
    <x v="0"/>
    <x v="0"/>
    <m/>
    <m/>
    <n v="648558"/>
    <m/>
    <m/>
    <m/>
  </r>
  <r>
    <x v="194"/>
    <x v="6"/>
    <s v="인스타그램(전환)"/>
    <x v="0"/>
    <x v="0"/>
    <x v="0"/>
    <m/>
    <m/>
    <n v="600965"/>
    <m/>
    <m/>
    <m/>
  </r>
  <r>
    <x v="195"/>
    <x v="3"/>
    <s v="인스타그램(전환)"/>
    <x v="0"/>
    <x v="0"/>
    <x v="0"/>
    <m/>
    <m/>
    <n v="578385"/>
    <m/>
    <m/>
    <m/>
  </r>
  <r>
    <x v="196"/>
    <x v="4"/>
    <s v="인스타그램(전환)"/>
    <x v="0"/>
    <x v="0"/>
    <x v="0"/>
    <m/>
    <m/>
    <n v="581746"/>
    <m/>
    <m/>
    <m/>
  </r>
  <r>
    <x v="197"/>
    <x v="1"/>
    <s v="인스타그램(전환)"/>
    <x v="0"/>
    <x v="0"/>
    <x v="0"/>
    <m/>
    <m/>
    <n v="610360"/>
    <m/>
    <m/>
    <m/>
  </r>
  <r>
    <x v="198"/>
    <x v="0"/>
    <s v="인스타그램(전환)"/>
    <x v="0"/>
    <x v="0"/>
    <x v="0"/>
    <m/>
    <m/>
    <n v="590891"/>
    <m/>
    <m/>
    <m/>
  </r>
  <r>
    <x v="199"/>
    <x v="2"/>
    <s v="인스타그램(전환)"/>
    <x v="0"/>
    <x v="0"/>
    <x v="0"/>
    <m/>
    <m/>
    <n v="592901"/>
    <m/>
    <m/>
    <m/>
  </r>
  <r>
    <x v="200"/>
    <x v="5"/>
    <s v="인스타그램(전환)"/>
    <x v="0"/>
    <x v="0"/>
    <x v="0"/>
    <m/>
    <m/>
    <n v="644752"/>
    <m/>
    <m/>
    <m/>
  </r>
  <r>
    <x v="201"/>
    <x v="6"/>
    <s v="인스타그램(전환)"/>
    <x v="0"/>
    <x v="0"/>
    <x v="0"/>
    <m/>
    <m/>
    <n v="601660"/>
    <m/>
    <m/>
    <m/>
  </r>
  <r>
    <x v="202"/>
    <x v="3"/>
    <s v="인스타그램(전환)"/>
    <x v="0"/>
    <x v="0"/>
    <x v="0"/>
    <m/>
    <m/>
    <n v="477360"/>
    <m/>
    <m/>
    <m/>
  </r>
  <r>
    <x v="203"/>
    <x v="4"/>
    <s v="인스타그램(전환)"/>
    <x v="0"/>
    <x v="0"/>
    <x v="0"/>
    <m/>
    <m/>
    <n v="385294"/>
    <m/>
    <m/>
    <m/>
  </r>
  <r>
    <x v="204"/>
    <x v="1"/>
    <s v="인스타그램(전환)"/>
    <x v="0"/>
    <x v="0"/>
    <x v="0"/>
    <m/>
    <m/>
    <n v="382499"/>
    <m/>
    <m/>
    <m/>
  </r>
  <r>
    <x v="205"/>
    <x v="0"/>
    <s v="인스타그램(전환)"/>
    <x v="0"/>
    <x v="0"/>
    <x v="0"/>
    <m/>
    <m/>
    <n v="441853"/>
    <m/>
    <m/>
    <m/>
  </r>
  <r>
    <x v="206"/>
    <x v="2"/>
    <s v="인스타그램(전환)"/>
    <x v="0"/>
    <x v="0"/>
    <x v="0"/>
    <m/>
    <m/>
    <n v="462558"/>
    <m/>
    <m/>
    <m/>
  </r>
  <r>
    <x v="207"/>
    <x v="5"/>
    <s v="인스타그램(전환)"/>
    <x v="0"/>
    <x v="0"/>
    <x v="0"/>
    <m/>
    <m/>
    <n v="498843"/>
    <m/>
    <m/>
    <m/>
  </r>
  <r>
    <x v="208"/>
    <x v="6"/>
    <s v="인스타그램(전환)"/>
    <x v="0"/>
    <x v="0"/>
    <x v="0"/>
    <m/>
    <m/>
    <n v="500575"/>
    <m/>
    <m/>
    <m/>
  </r>
  <r>
    <x v="209"/>
    <x v="3"/>
    <s v="인스타그램(전환)"/>
    <x v="0"/>
    <x v="0"/>
    <x v="0"/>
    <m/>
    <m/>
    <n v="483769"/>
    <m/>
    <m/>
    <m/>
  </r>
  <r>
    <x v="210"/>
    <x v="4"/>
    <s v="인스타그램(전환)"/>
    <x v="0"/>
    <x v="0"/>
    <x v="0"/>
    <m/>
    <m/>
    <n v="483464"/>
    <m/>
    <m/>
    <m/>
  </r>
  <r>
    <x v="211"/>
    <x v="1"/>
    <s v="인스타그램(전환)"/>
    <x v="0"/>
    <x v="0"/>
    <x v="0"/>
    <m/>
    <m/>
    <n v="614832"/>
    <m/>
    <m/>
    <m/>
  </r>
  <r>
    <x v="212"/>
    <x v="0"/>
    <s v="인스타그램(전환)"/>
    <x v="0"/>
    <x v="0"/>
    <x v="0"/>
    <m/>
    <m/>
    <n v="554402"/>
    <m/>
    <m/>
    <m/>
  </r>
  <r>
    <x v="188"/>
    <x v="3"/>
    <s v="인스타그램(리타게팅 전환)"/>
    <x v="0"/>
    <x v="0"/>
    <x v="0"/>
    <m/>
    <m/>
    <n v="100119"/>
    <m/>
    <m/>
    <m/>
  </r>
  <r>
    <x v="189"/>
    <x v="4"/>
    <s v="인스타그램(리타게팅 전환)"/>
    <x v="0"/>
    <x v="0"/>
    <x v="0"/>
    <m/>
    <m/>
    <n v="97230"/>
    <m/>
    <m/>
    <m/>
  </r>
  <r>
    <x v="190"/>
    <x v="1"/>
    <s v="인스타그램(리타게팅 전환)"/>
    <x v="0"/>
    <x v="0"/>
    <x v="0"/>
    <m/>
    <m/>
    <n v="100566"/>
    <m/>
    <m/>
    <m/>
  </r>
  <r>
    <x v="191"/>
    <x v="0"/>
    <s v="인스타그램(리타게팅 전환)"/>
    <x v="0"/>
    <x v="0"/>
    <x v="0"/>
    <m/>
    <m/>
    <n v="100375"/>
    <m/>
    <m/>
    <m/>
  </r>
  <r>
    <x v="192"/>
    <x v="2"/>
    <s v="인스타그램(리타게팅 전환)"/>
    <x v="0"/>
    <x v="0"/>
    <x v="0"/>
    <m/>
    <m/>
    <n v="96880"/>
    <m/>
    <m/>
    <m/>
  </r>
  <r>
    <x v="193"/>
    <x v="5"/>
    <s v="인스타그램(리타게팅 전환)"/>
    <x v="0"/>
    <x v="0"/>
    <x v="0"/>
    <m/>
    <m/>
    <n v="104298"/>
    <m/>
    <m/>
    <m/>
  </r>
  <r>
    <x v="194"/>
    <x v="6"/>
    <s v="인스타그램(리타게팅 전환)"/>
    <x v="0"/>
    <x v="0"/>
    <x v="0"/>
    <m/>
    <m/>
    <n v="100533"/>
    <m/>
    <m/>
    <m/>
  </r>
  <r>
    <x v="195"/>
    <x v="3"/>
    <s v="인스타그램(리타게팅 전환)"/>
    <x v="0"/>
    <x v="0"/>
    <x v="0"/>
    <m/>
    <m/>
    <n v="97614"/>
    <m/>
    <m/>
    <m/>
  </r>
  <r>
    <x v="196"/>
    <x v="4"/>
    <s v="인스타그램(리타게팅 전환)"/>
    <x v="0"/>
    <x v="0"/>
    <x v="0"/>
    <m/>
    <m/>
    <n v="99229"/>
    <m/>
    <m/>
    <m/>
  </r>
  <r>
    <x v="197"/>
    <x v="1"/>
    <s v="인스타그램(리타게팅 전환)"/>
    <x v="0"/>
    <x v="0"/>
    <x v="0"/>
    <m/>
    <m/>
    <n v="101170"/>
    <m/>
    <m/>
    <m/>
  </r>
  <r>
    <x v="198"/>
    <x v="0"/>
    <s v="인스타그램(리타게팅 전환)"/>
    <x v="0"/>
    <x v="0"/>
    <x v="0"/>
    <m/>
    <m/>
    <n v="96795"/>
    <m/>
    <m/>
    <m/>
  </r>
  <r>
    <x v="199"/>
    <x v="2"/>
    <s v="인스타그램(리타게팅 전환)"/>
    <x v="0"/>
    <x v="0"/>
    <x v="0"/>
    <m/>
    <m/>
    <n v="98991"/>
    <m/>
    <m/>
    <m/>
  </r>
  <r>
    <x v="200"/>
    <x v="5"/>
    <s v="인스타그램(리타게팅 전환)"/>
    <x v="0"/>
    <x v="0"/>
    <x v="0"/>
    <m/>
    <m/>
    <n v="105668"/>
    <m/>
    <m/>
    <m/>
  </r>
  <r>
    <x v="201"/>
    <x v="6"/>
    <s v="인스타그램(리타게팅 전환)"/>
    <x v="0"/>
    <x v="0"/>
    <x v="0"/>
    <m/>
    <m/>
    <n v="100894"/>
    <m/>
    <m/>
    <m/>
  </r>
  <r>
    <x v="202"/>
    <x v="3"/>
    <s v="인스타그램(리타게팅 전환)"/>
    <x v="0"/>
    <x v="0"/>
    <x v="0"/>
    <m/>
    <m/>
    <n v="98923"/>
    <m/>
    <m/>
    <m/>
  </r>
  <r>
    <x v="203"/>
    <x v="4"/>
    <s v="인스타그램(리타게팅 전환)"/>
    <x v="0"/>
    <x v="0"/>
    <x v="0"/>
    <m/>
    <m/>
    <n v="99858"/>
    <m/>
    <m/>
    <m/>
  </r>
  <r>
    <x v="204"/>
    <x v="1"/>
    <s v="인스타그램(리타게팅 전환)"/>
    <x v="0"/>
    <x v="0"/>
    <x v="0"/>
    <m/>
    <m/>
    <n v="97027"/>
    <m/>
    <m/>
    <m/>
  </r>
  <r>
    <x v="205"/>
    <x v="0"/>
    <s v="인스타그램(리타게팅 전환)"/>
    <x v="0"/>
    <x v="0"/>
    <x v="0"/>
    <m/>
    <m/>
    <n v="100389"/>
    <m/>
    <m/>
    <m/>
  </r>
  <r>
    <x v="206"/>
    <x v="2"/>
    <s v="인스타그램(리타게팅 전환)"/>
    <x v="0"/>
    <x v="0"/>
    <x v="0"/>
    <m/>
    <m/>
    <n v="98399"/>
    <m/>
    <m/>
    <m/>
  </r>
  <r>
    <x v="207"/>
    <x v="5"/>
    <s v="인스타그램(리타게팅 전환)"/>
    <x v="0"/>
    <x v="0"/>
    <x v="0"/>
    <m/>
    <m/>
    <n v="104503"/>
    <m/>
    <m/>
    <m/>
  </r>
  <r>
    <x v="208"/>
    <x v="6"/>
    <s v="인스타그램(리타게팅 전환)"/>
    <x v="0"/>
    <x v="0"/>
    <x v="0"/>
    <m/>
    <m/>
    <n v="100416"/>
    <m/>
    <m/>
    <m/>
  </r>
  <r>
    <x v="209"/>
    <x v="3"/>
    <s v="인스타그램(리타게팅 전환)"/>
    <x v="0"/>
    <x v="0"/>
    <x v="0"/>
    <m/>
    <m/>
    <n v="98748"/>
    <m/>
    <m/>
    <m/>
  </r>
  <r>
    <x v="210"/>
    <x v="4"/>
    <s v="인스타그램(리타게팅 전환)"/>
    <x v="0"/>
    <x v="0"/>
    <x v="0"/>
    <m/>
    <m/>
    <n v="97518"/>
    <m/>
    <m/>
    <m/>
  </r>
  <r>
    <x v="211"/>
    <x v="1"/>
    <s v="인스타그램(리타게팅 전환)"/>
    <x v="0"/>
    <x v="0"/>
    <x v="0"/>
    <m/>
    <m/>
    <n v="97837"/>
    <m/>
    <m/>
    <m/>
  </r>
  <r>
    <x v="212"/>
    <x v="0"/>
    <s v="인스타그램(리타게팅 전환)"/>
    <x v="0"/>
    <x v="0"/>
    <x v="0"/>
    <m/>
    <m/>
    <n v="100664"/>
    <m/>
    <m/>
    <m/>
  </r>
  <r>
    <x v="209"/>
    <x v="3"/>
    <s v="인스타그램(소재테스트)"/>
    <x v="0"/>
    <x v="0"/>
    <x v="0"/>
    <m/>
    <m/>
    <n v="15841"/>
    <m/>
    <m/>
    <m/>
  </r>
  <r>
    <x v="210"/>
    <x v="4"/>
    <s v="인스타그램(소재테스트)"/>
    <x v="0"/>
    <x v="0"/>
    <x v="0"/>
    <m/>
    <m/>
    <n v="76604"/>
    <m/>
    <m/>
    <m/>
  </r>
  <r>
    <x v="211"/>
    <x v="1"/>
    <s v="인스타그램(소재테스트)"/>
    <x v="0"/>
    <x v="0"/>
    <x v="0"/>
    <m/>
    <m/>
    <n v="94314"/>
    <m/>
    <m/>
    <m/>
  </r>
  <r>
    <x v="212"/>
    <x v="0"/>
    <s v="인스타그램(소재테스트)"/>
    <x v="0"/>
    <x v="0"/>
    <x v="0"/>
    <m/>
    <m/>
    <n v="98240"/>
    <m/>
    <m/>
    <m/>
  </r>
  <r>
    <x v="188"/>
    <x v="3"/>
    <s v="인스타VC(전환)"/>
    <x v="0"/>
    <x v="0"/>
    <x v="0"/>
    <m/>
    <m/>
    <n v="193838"/>
    <m/>
    <m/>
    <m/>
  </r>
  <r>
    <x v="189"/>
    <x v="4"/>
    <s v="인스타VC(전환)"/>
    <x v="0"/>
    <x v="0"/>
    <x v="0"/>
    <m/>
    <m/>
    <n v="198522"/>
    <m/>
    <m/>
    <m/>
  </r>
  <r>
    <x v="190"/>
    <x v="1"/>
    <s v="인스타VC(전환)"/>
    <x v="0"/>
    <x v="0"/>
    <x v="0"/>
    <m/>
    <m/>
    <n v="197028"/>
    <m/>
    <m/>
    <m/>
  </r>
  <r>
    <x v="191"/>
    <x v="0"/>
    <s v="인스타VC(전환)"/>
    <x v="0"/>
    <x v="0"/>
    <x v="0"/>
    <m/>
    <m/>
    <n v="201794"/>
    <m/>
    <m/>
    <m/>
  </r>
  <r>
    <x v="192"/>
    <x v="2"/>
    <s v="인스타VC(전환)"/>
    <x v="0"/>
    <x v="0"/>
    <x v="0"/>
    <m/>
    <m/>
    <n v="244514"/>
    <m/>
    <m/>
    <m/>
  </r>
  <r>
    <x v="193"/>
    <x v="5"/>
    <s v="인스타VC(전환)"/>
    <x v="0"/>
    <x v="0"/>
    <x v="0"/>
    <m/>
    <m/>
    <n v="276092"/>
    <m/>
    <m/>
    <m/>
  </r>
  <r>
    <x v="194"/>
    <x v="6"/>
    <s v="인스타VC(전환)"/>
    <x v="0"/>
    <x v="0"/>
    <x v="0"/>
    <m/>
    <m/>
    <n v="300406"/>
    <m/>
    <m/>
    <m/>
  </r>
  <r>
    <x v="195"/>
    <x v="3"/>
    <s v="인스타VC(전환)"/>
    <x v="0"/>
    <x v="0"/>
    <x v="0"/>
    <m/>
    <m/>
    <n v="288994"/>
    <m/>
    <m/>
    <m/>
  </r>
  <r>
    <x v="196"/>
    <x v="4"/>
    <s v="인스타VC(전환)"/>
    <x v="0"/>
    <x v="0"/>
    <x v="0"/>
    <m/>
    <m/>
    <n v="291663"/>
    <m/>
    <m/>
    <m/>
  </r>
  <r>
    <x v="197"/>
    <x v="1"/>
    <s v="인스타VC(전환)"/>
    <x v="0"/>
    <x v="0"/>
    <x v="0"/>
    <m/>
    <m/>
    <n v="306467"/>
    <m/>
    <m/>
    <m/>
  </r>
  <r>
    <x v="198"/>
    <x v="0"/>
    <s v="인스타VC(전환)"/>
    <x v="0"/>
    <x v="0"/>
    <x v="0"/>
    <m/>
    <m/>
    <n v="291049"/>
    <m/>
    <m/>
    <m/>
  </r>
  <r>
    <x v="199"/>
    <x v="2"/>
    <s v="인스타VC(전환)"/>
    <x v="0"/>
    <x v="0"/>
    <x v="0"/>
    <m/>
    <m/>
    <n v="298086"/>
    <m/>
    <m/>
    <m/>
  </r>
  <r>
    <x v="200"/>
    <x v="5"/>
    <s v="인스타VC(전환)"/>
    <x v="0"/>
    <x v="0"/>
    <x v="0"/>
    <m/>
    <m/>
    <n v="323296"/>
    <m/>
    <m/>
    <m/>
  </r>
  <r>
    <x v="201"/>
    <x v="6"/>
    <s v="인스타VC(전환)"/>
    <x v="0"/>
    <x v="0"/>
    <x v="0"/>
    <m/>
    <m/>
    <n v="300456"/>
    <m/>
    <m/>
    <m/>
  </r>
  <r>
    <x v="202"/>
    <x v="3"/>
    <s v="인스타VC(전환)"/>
    <x v="0"/>
    <x v="0"/>
    <x v="0"/>
    <m/>
    <m/>
    <n v="295506"/>
    <m/>
    <m/>
    <m/>
  </r>
  <r>
    <x v="203"/>
    <x v="4"/>
    <s v="인스타VC(전환)"/>
    <x v="0"/>
    <x v="0"/>
    <x v="0"/>
    <m/>
    <m/>
    <n v="301922"/>
    <m/>
    <m/>
    <m/>
  </r>
  <r>
    <x v="204"/>
    <x v="1"/>
    <s v="인스타VC(전환)"/>
    <x v="0"/>
    <x v="0"/>
    <x v="0"/>
    <m/>
    <m/>
    <n v="287517"/>
    <m/>
    <m/>
    <m/>
  </r>
  <r>
    <x v="205"/>
    <x v="0"/>
    <s v="인스타VC(전환)"/>
    <x v="0"/>
    <x v="0"/>
    <x v="0"/>
    <m/>
    <m/>
    <n v="182105"/>
    <m/>
    <m/>
    <m/>
  </r>
  <r>
    <x v="206"/>
    <x v="2"/>
    <s v="인스타VC(전환)"/>
    <x v="0"/>
    <x v="0"/>
    <x v="0"/>
    <m/>
    <m/>
    <n v="56878"/>
    <m/>
    <m/>
    <m/>
  </r>
  <r>
    <x v="188"/>
    <x v="3"/>
    <s v="페북/인스타(전환)"/>
    <x v="0"/>
    <x v="0"/>
    <x v="0"/>
    <m/>
    <m/>
    <n v="350873"/>
    <m/>
    <m/>
    <m/>
  </r>
  <r>
    <x v="189"/>
    <x v="4"/>
    <s v="페북/인스타(전환)"/>
    <x v="0"/>
    <x v="0"/>
    <x v="0"/>
    <m/>
    <m/>
    <n v="233976"/>
    <m/>
    <m/>
    <m/>
  </r>
  <r>
    <x v="190"/>
    <x v="1"/>
    <s v="페북/인스타(전환)"/>
    <x v="0"/>
    <x v="0"/>
    <x v="0"/>
    <m/>
    <m/>
    <n v="149815"/>
    <m/>
    <m/>
    <m/>
  </r>
  <r>
    <x v="188"/>
    <x v="3"/>
    <s v="네이버 쇼핑검색"/>
    <x v="0"/>
    <x v="0"/>
    <x v="0"/>
    <m/>
    <m/>
    <n v="64099.99999999999"/>
    <m/>
    <m/>
    <m/>
  </r>
  <r>
    <x v="189"/>
    <x v="4"/>
    <s v="네이버 쇼핑검색"/>
    <x v="0"/>
    <x v="0"/>
    <x v="0"/>
    <m/>
    <m/>
    <n v="55869.99999999999"/>
    <m/>
    <m/>
    <m/>
  </r>
  <r>
    <x v="190"/>
    <x v="1"/>
    <s v="네이버 쇼핑검색"/>
    <x v="0"/>
    <x v="0"/>
    <x v="0"/>
    <m/>
    <m/>
    <n v="43590"/>
    <m/>
    <m/>
    <m/>
  </r>
  <r>
    <x v="191"/>
    <x v="0"/>
    <s v="네이버 쇼핑검색"/>
    <x v="0"/>
    <x v="0"/>
    <x v="0"/>
    <m/>
    <m/>
    <n v="56699.99999999999"/>
    <m/>
    <m/>
    <m/>
  </r>
  <r>
    <x v="192"/>
    <x v="2"/>
    <s v="네이버 쇼핑검색"/>
    <x v="0"/>
    <x v="0"/>
    <x v="0"/>
    <m/>
    <m/>
    <n v="46109.99999999999"/>
    <m/>
    <m/>
    <m/>
  </r>
  <r>
    <x v="193"/>
    <x v="5"/>
    <s v="네이버 쇼핑검색"/>
    <x v="0"/>
    <x v="0"/>
    <x v="0"/>
    <m/>
    <m/>
    <n v="44870"/>
    <m/>
    <m/>
    <m/>
  </r>
  <r>
    <x v="194"/>
    <x v="6"/>
    <s v="네이버 쇼핑검색"/>
    <x v="0"/>
    <x v="0"/>
    <x v="0"/>
    <m/>
    <m/>
    <n v="49699.99999999999"/>
    <m/>
    <m/>
    <m/>
  </r>
  <r>
    <x v="195"/>
    <x v="3"/>
    <s v="네이버 쇼핑검색"/>
    <x v="0"/>
    <x v="0"/>
    <x v="0"/>
    <m/>
    <m/>
    <n v="51799.99999999999"/>
    <m/>
    <m/>
    <m/>
  </r>
  <r>
    <x v="196"/>
    <x v="4"/>
    <s v="네이버 쇼핑검색"/>
    <x v="0"/>
    <x v="0"/>
    <x v="0"/>
    <m/>
    <m/>
    <n v="41550"/>
    <m/>
    <m/>
    <m/>
  </r>
  <r>
    <x v="197"/>
    <x v="1"/>
    <s v="네이버 쇼핑검색"/>
    <x v="0"/>
    <x v="0"/>
    <x v="0"/>
    <m/>
    <m/>
    <n v="38940"/>
    <m/>
    <m/>
    <m/>
  </r>
  <r>
    <x v="198"/>
    <x v="0"/>
    <s v="네이버 쇼핑검색"/>
    <x v="0"/>
    <x v="0"/>
    <x v="0"/>
    <m/>
    <m/>
    <n v="39520"/>
    <m/>
    <m/>
    <m/>
  </r>
  <r>
    <x v="199"/>
    <x v="2"/>
    <s v="네이버 쇼핑검색"/>
    <x v="0"/>
    <x v="0"/>
    <x v="0"/>
    <m/>
    <m/>
    <n v="34060"/>
    <m/>
    <m/>
    <m/>
  </r>
  <r>
    <x v="200"/>
    <x v="5"/>
    <s v="네이버 쇼핑검색"/>
    <x v="0"/>
    <x v="0"/>
    <x v="0"/>
    <m/>
    <m/>
    <n v="34360"/>
    <m/>
    <m/>
    <m/>
  </r>
  <r>
    <x v="201"/>
    <x v="6"/>
    <s v="네이버 쇼핑검색"/>
    <x v="0"/>
    <x v="0"/>
    <x v="0"/>
    <m/>
    <m/>
    <n v="32460"/>
    <m/>
    <m/>
    <m/>
  </r>
  <r>
    <x v="202"/>
    <x v="3"/>
    <s v="네이버 쇼핑검색"/>
    <x v="0"/>
    <x v="0"/>
    <x v="0"/>
    <m/>
    <m/>
    <n v="32620"/>
    <m/>
    <m/>
    <m/>
  </r>
  <r>
    <x v="203"/>
    <x v="4"/>
    <s v="네이버 쇼핑검색"/>
    <x v="0"/>
    <x v="0"/>
    <x v="0"/>
    <m/>
    <m/>
    <n v="26520"/>
    <m/>
    <m/>
    <m/>
  </r>
  <r>
    <x v="204"/>
    <x v="1"/>
    <s v="네이버 쇼핑검색"/>
    <x v="0"/>
    <x v="0"/>
    <x v="0"/>
    <m/>
    <m/>
    <n v="28190"/>
    <m/>
    <m/>
    <m/>
  </r>
  <r>
    <x v="205"/>
    <x v="0"/>
    <s v="네이버 쇼핑검색"/>
    <x v="0"/>
    <x v="0"/>
    <x v="0"/>
    <m/>
    <m/>
    <n v="27640"/>
    <m/>
    <m/>
    <m/>
  </r>
  <r>
    <x v="206"/>
    <x v="2"/>
    <s v="네이버 쇼핑검색"/>
    <x v="0"/>
    <x v="0"/>
    <x v="0"/>
    <m/>
    <m/>
    <n v="39170"/>
    <m/>
    <m/>
    <m/>
  </r>
  <r>
    <x v="207"/>
    <x v="5"/>
    <s v="네이버 쇼핑검색"/>
    <x v="0"/>
    <x v="0"/>
    <x v="0"/>
    <m/>
    <m/>
    <n v="29070"/>
    <m/>
    <m/>
    <m/>
  </r>
  <r>
    <x v="208"/>
    <x v="6"/>
    <s v="네이버 쇼핑검색"/>
    <x v="0"/>
    <x v="0"/>
    <x v="0"/>
    <m/>
    <m/>
    <n v="29090"/>
    <m/>
    <m/>
    <m/>
  </r>
  <r>
    <x v="209"/>
    <x v="3"/>
    <s v="네이버 쇼핑검색"/>
    <x v="0"/>
    <x v="0"/>
    <x v="0"/>
    <m/>
    <m/>
    <n v="40950"/>
    <m/>
    <m/>
    <m/>
  </r>
  <r>
    <x v="210"/>
    <x v="4"/>
    <s v="네이버 쇼핑검색"/>
    <x v="0"/>
    <x v="0"/>
    <x v="0"/>
    <m/>
    <m/>
    <n v="28460"/>
    <m/>
    <m/>
    <m/>
  </r>
  <r>
    <x v="211"/>
    <x v="1"/>
    <s v="네이버 쇼핑검색"/>
    <x v="0"/>
    <x v="0"/>
    <x v="0"/>
    <m/>
    <m/>
    <n v="18630"/>
    <m/>
    <m/>
    <m/>
  </r>
  <r>
    <x v="212"/>
    <x v="0"/>
    <s v="네이버 쇼핑검색"/>
    <x v="0"/>
    <x v="0"/>
    <x v="0"/>
    <m/>
    <m/>
    <n v="28050"/>
    <m/>
    <m/>
    <m/>
  </r>
  <r>
    <x v="188"/>
    <x v="3"/>
    <s v="네이버 브랜드검색"/>
    <x v="0"/>
    <x v="0"/>
    <x v="0"/>
    <m/>
    <m/>
    <n v="40000"/>
    <m/>
    <m/>
    <m/>
  </r>
  <r>
    <x v="189"/>
    <x v="4"/>
    <s v="네이버 브랜드검색"/>
    <x v="0"/>
    <x v="0"/>
    <x v="0"/>
    <m/>
    <m/>
    <n v="40000"/>
    <m/>
    <m/>
    <m/>
  </r>
  <r>
    <x v="190"/>
    <x v="1"/>
    <s v="네이버 브랜드검색"/>
    <x v="0"/>
    <x v="0"/>
    <x v="0"/>
    <m/>
    <m/>
    <n v="40000"/>
    <m/>
    <m/>
    <m/>
  </r>
  <r>
    <x v="191"/>
    <x v="0"/>
    <s v="네이버 브랜드검색"/>
    <x v="0"/>
    <x v="0"/>
    <x v="0"/>
    <m/>
    <m/>
    <n v="40000"/>
    <m/>
    <m/>
    <m/>
  </r>
  <r>
    <x v="192"/>
    <x v="2"/>
    <s v="네이버 브랜드검색"/>
    <x v="0"/>
    <x v="0"/>
    <x v="0"/>
    <m/>
    <m/>
    <n v="40000"/>
    <m/>
    <m/>
    <m/>
  </r>
  <r>
    <x v="193"/>
    <x v="5"/>
    <s v="네이버 브랜드검색"/>
    <x v="0"/>
    <x v="0"/>
    <x v="0"/>
    <m/>
    <m/>
    <n v="40000"/>
    <m/>
    <m/>
    <m/>
  </r>
  <r>
    <x v="194"/>
    <x v="6"/>
    <s v="네이버 브랜드검색"/>
    <x v="0"/>
    <x v="0"/>
    <x v="0"/>
    <m/>
    <m/>
    <n v="40000"/>
    <m/>
    <m/>
    <m/>
  </r>
  <r>
    <x v="195"/>
    <x v="3"/>
    <s v="네이버 브랜드검색"/>
    <x v="0"/>
    <x v="0"/>
    <x v="0"/>
    <m/>
    <m/>
    <n v="40000"/>
    <m/>
    <m/>
    <m/>
  </r>
  <r>
    <x v="196"/>
    <x v="4"/>
    <s v="네이버 브랜드검색"/>
    <x v="0"/>
    <x v="0"/>
    <x v="0"/>
    <m/>
    <m/>
    <n v="40000"/>
    <m/>
    <m/>
    <m/>
  </r>
  <r>
    <x v="197"/>
    <x v="1"/>
    <s v="네이버 브랜드검색"/>
    <x v="0"/>
    <x v="0"/>
    <x v="0"/>
    <m/>
    <m/>
    <n v="40000"/>
    <m/>
    <m/>
    <m/>
  </r>
  <r>
    <x v="198"/>
    <x v="0"/>
    <s v="네이버 브랜드검색"/>
    <x v="0"/>
    <x v="0"/>
    <x v="0"/>
    <m/>
    <m/>
    <n v="40000"/>
    <m/>
    <m/>
    <m/>
  </r>
  <r>
    <x v="199"/>
    <x v="2"/>
    <s v="네이버 브랜드검색"/>
    <x v="0"/>
    <x v="0"/>
    <x v="0"/>
    <m/>
    <m/>
    <n v="40000"/>
    <m/>
    <m/>
    <m/>
  </r>
  <r>
    <x v="200"/>
    <x v="5"/>
    <s v="네이버 브랜드검색"/>
    <x v="0"/>
    <x v="0"/>
    <x v="0"/>
    <m/>
    <m/>
    <n v="40000"/>
    <m/>
    <m/>
    <m/>
  </r>
  <r>
    <x v="201"/>
    <x v="6"/>
    <s v="네이버 브랜드검색"/>
    <x v="0"/>
    <x v="0"/>
    <x v="0"/>
    <m/>
    <m/>
    <n v="40000"/>
    <m/>
    <m/>
    <m/>
  </r>
  <r>
    <x v="202"/>
    <x v="3"/>
    <s v="네이버 브랜드검색"/>
    <x v="0"/>
    <x v="0"/>
    <x v="0"/>
    <m/>
    <m/>
    <n v="40000"/>
    <m/>
    <m/>
    <m/>
  </r>
  <r>
    <x v="203"/>
    <x v="4"/>
    <s v="네이버 브랜드검색"/>
    <x v="0"/>
    <x v="0"/>
    <x v="0"/>
    <m/>
    <m/>
    <n v="40000"/>
    <m/>
    <m/>
    <m/>
  </r>
  <r>
    <x v="204"/>
    <x v="1"/>
    <s v="네이버 브랜드검색"/>
    <x v="0"/>
    <x v="0"/>
    <x v="0"/>
    <m/>
    <m/>
    <n v="40000"/>
    <m/>
    <m/>
    <m/>
  </r>
  <r>
    <x v="205"/>
    <x v="0"/>
    <s v="네이버 브랜드검색"/>
    <x v="0"/>
    <x v="0"/>
    <x v="0"/>
    <m/>
    <m/>
    <n v="40000"/>
    <m/>
    <m/>
    <m/>
  </r>
  <r>
    <x v="206"/>
    <x v="2"/>
    <s v="네이버 브랜드검색"/>
    <x v="0"/>
    <x v="0"/>
    <x v="0"/>
    <m/>
    <m/>
    <n v="40000"/>
    <m/>
    <m/>
    <m/>
  </r>
  <r>
    <x v="207"/>
    <x v="5"/>
    <s v="네이버 브랜드검색"/>
    <x v="0"/>
    <x v="0"/>
    <x v="0"/>
    <m/>
    <m/>
    <n v="40000"/>
    <m/>
    <m/>
    <m/>
  </r>
  <r>
    <x v="208"/>
    <x v="6"/>
    <s v="네이버 브랜드검색"/>
    <x v="0"/>
    <x v="0"/>
    <x v="0"/>
    <m/>
    <m/>
    <n v="40000"/>
    <m/>
    <m/>
    <m/>
  </r>
  <r>
    <x v="209"/>
    <x v="3"/>
    <s v="네이버 브랜드검색"/>
    <x v="0"/>
    <x v="0"/>
    <x v="0"/>
    <m/>
    <m/>
    <n v="40000"/>
    <m/>
    <m/>
    <m/>
  </r>
  <r>
    <x v="210"/>
    <x v="4"/>
    <s v="네이버 브랜드검색"/>
    <x v="0"/>
    <x v="0"/>
    <x v="0"/>
    <m/>
    <m/>
    <n v="40000"/>
    <m/>
    <m/>
    <m/>
  </r>
  <r>
    <x v="211"/>
    <x v="1"/>
    <s v="네이버 브랜드검색"/>
    <x v="0"/>
    <x v="0"/>
    <x v="0"/>
    <m/>
    <m/>
    <n v="40000"/>
    <m/>
    <m/>
    <m/>
  </r>
  <r>
    <x v="212"/>
    <x v="0"/>
    <s v="네이버 브랜드검색"/>
    <x v="0"/>
    <x v="0"/>
    <x v="0"/>
    <m/>
    <m/>
    <n v="40000"/>
    <m/>
    <m/>
    <m/>
  </r>
  <r>
    <x v="188"/>
    <x v="3"/>
    <s v="카카오광고"/>
    <x v="0"/>
    <x v="0"/>
    <x v="0"/>
    <m/>
    <m/>
    <n v="6859.999999999999"/>
    <m/>
    <m/>
    <m/>
  </r>
  <r>
    <x v="189"/>
    <x v="4"/>
    <s v="카카오광고"/>
    <x v="0"/>
    <x v="0"/>
    <x v="0"/>
    <m/>
    <m/>
    <n v="7759.999999999999"/>
    <m/>
    <m/>
    <m/>
  </r>
  <r>
    <x v="190"/>
    <x v="1"/>
    <s v="카카오광고"/>
    <x v="0"/>
    <x v="0"/>
    <x v="0"/>
    <m/>
    <m/>
    <n v="7529.999999999999"/>
    <m/>
    <m/>
    <m/>
  </r>
  <r>
    <x v="191"/>
    <x v="0"/>
    <s v="카카오광고"/>
    <x v="0"/>
    <x v="0"/>
    <x v="0"/>
    <m/>
    <m/>
    <n v="10720"/>
    <m/>
    <m/>
    <m/>
  </r>
  <r>
    <x v="192"/>
    <x v="2"/>
    <s v="카카오광고"/>
    <x v="0"/>
    <x v="0"/>
    <x v="0"/>
    <m/>
    <m/>
    <n v="10150"/>
    <m/>
    <m/>
    <m/>
  </r>
  <r>
    <x v="193"/>
    <x v="5"/>
    <s v="카카오광고"/>
    <x v="0"/>
    <x v="0"/>
    <x v="0"/>
    <m/>
    <m/>
    <n v="10890"/>
    <m/>
    <m/>
    <m/>
  </r>
  <r>
    <x v="194"/>
    <x v="6"/>
    <s v="카카오광고"/>
    <x v="0"/>
    <x v="0"/>
    <x v="0"/>
    <m/>
    <m/>
    <n v="5659.999999999999"/>
    <m/>
    <m/>
    <m/>
  </r>
  <r>
    <x v="195"/>
    <x v="3"/>
    <s v="카카오광고"/>
    <x v="0"/>
    <x v="0"/>
    <x v="0"/>
    <m/>
    <m/>
    <n v="8320"/>
    <m/>
    <m/>
    <m/>
  </r>
  <r>
    <x v="196"/>
    <x v="4"/>
    <s v="카카오광고"/>
    <x v="0"/>
    <x v="0"/>
    <x v="0"/>
    <m/>
    <m/>
    <n v="9260"/>
    <m/>
    <m/>
    <m/>
  </r>
  <r>
    <x v="197"/>
    <x v="1"/>
    <s v="카카오광고"/>
    <x v="0"/>
    <x v="0"/>
    <x v="0"/>
    <m/>
    <m/>
    <n v="6989.999999999999"/>
    <m/>
    <m/>
    <m/>
  </r>
  <r>
    <x v="198"/>
    <x v="0"/>
    <s v="카카오광고"/>
    <x v="0"/>
    <x v="0"/>
    <x v="0"/>
    <m/>
    <m/>
    <n v="5879.999999999999"/>
    <m/>
    <m/>
    <m/>
  </r>
  <r>
    <x v="199"/>
    <x v="2"/>
    <s v="카카오광고"/>
    <x v="0"/>
    <x v="0"/>
    <x v="0"/>
    <m/>
    <m/>
    <n v="16930"/>
    <m/>
    <m/>
    <m/>
  </r>
  <r>
    <x v="200"/>
    <x v="5"/>
    <s v="카카오광고"/>
    <x v="0"/>
    <x v="0"/>
    <x v="0"/>
    <m/>
    <m/>
    <n v="6789.999999999999"/>
    <m/>
    <m/>
    <m/>
  </r>
  <r>
    <x v="201"/>
    <x v="6"/>
    <s v="카카오광고"/>
    <x v="0"/>
    <x v="0"/>
    <x v="0"/>
    <m/>
    <m/>
    <n v="13110"/>
    <m/>
    <m/>
    <m/>
  </r>
  <r>
    <x v="202"/>
    <x v="3"/>
    <s v="카카오광고"/>
    <x v="0"/>
    <x v="0"/>
    <x v="0"/>
    <m/>
    <m/>
    <n v="8570"/>
    <m/>
    <m/>
    <m/>
  </r>
  <r>
    <x v="203"/>
    <x v="4"/>
    <s v="카카오광고"/>
    <x v="0"/>
    <x v="0"/>
    <x v="0"/>
    <m/>
    <m/>
    <n v="10830"/>
    <m/>
    <m/>
    <m/>
  </r>
  <r>
    <x v="205"/>
    <x v="0"/>
    <s v="카카오광고"/>
    <x v="0"/>
    <x v="0"/>
    <x v="0"/>
    <m/>
    <m/>
    <n v="12590"/>
    <m/>
    <m/>
    <m/>
  </r>
  <r>
    <x v="206"/>
    <x v="2"/>
    <s v="카카오광고"/>
    <x v="0"/>
    <x v="0"/>
    <x v="0"/>
    <m/>
    <m/>
    <n v="12960"/>
    <m/>
    <m/>
    <m/>
  </r>
  <r>
    <x v="207"/>
    <x v="5"/>
    <s v="카카오광고"/>
    <x v="0"/>
    <x v="0"/>
    <x v="0"/>
    <m/>
    <m/>
    <n v="12310"/>
    <m/>
    <m/>
    <m/>
  </r>
  <r>
    <x v="208"/>
    <x v="6"/>
    <s v="카카오광고"/>
    <x v="0"/>
    <x v="0"/>
    <x v="0"/>
    <m/>
    <m/>
    <n v="11640"/>
    <m/>
    <m/>
    <m/>
  </r>
  <r>
    <x v="209"/>
    <x v="3"/>
    <s v="카카오광고"/>
    <x v="0"/>
    <x v="0"/>
    <x v="0"/>
    <m/>
    <m/>
    <n v="13150"/>
    <m/>
    <m/>
    <m/>
  </r>
  <r>
    <x v="210"/>
    <x v="4"/>
    <s v="카카오광고"/>
    <x v="0"/>
    <x v="0"/>
    <x v="0"/>
    <m/>
    <m/>
    <n v="13320"/>
    <m/>
    <m/>
    <m/>
  </r>
  <r>
    <x v="211"/>
    <x v="1"/>
    <s v="카카오광고"/>
    <x v="0"/>
    <x v="0"/>
    <x v="0"/>
    <m/>
    <m/>
    <n v="4450"/>
    <m/>
    <m/>
    <m/>
  </r>
  <r>
    <x v="212"/>
    <x v="0"/>
    <s v="카카오광고"/>
    <x v="0"/>
    <x v="0"/>
    <x v="0"/>
    <m/>
    <m/>
    <n v="4320"/>
    <m/>
    <m/>
    <m/>
  </r>
  <r>
    <x v="188"/>
    <x v="3"/>
    <s v="네이버 GFA"/>
    <x v="0"/>
    <x v="0"/>
    <x v="0"/>
    <m/>
    <m/>
    <n v="428873.6363636364"/>
    <m/>
    <m/>
    <m/>
  </r>
  <r>
    <x v="189"/>
    <x v="4"/>
    <s v="네이버 GFA"/>
    <x v="0"/>
    <x v="0"/>
    <x v="0"/>
    <m/>
    <m/>
    <n v="494276.3636363636"/>
    <m/>
    <m/>
    <m/>
  </r>
  <r>
    <x v="190"/>
    <x v="1"/>
    <s v="네이버 GFA"/>
    <x v="0"/>
    <x v="0"/>
    <x v="0"/>
    <m/>
    <m/>
    <n v="372426.3636363636"/>
    <m/>
    <m/>
    <m/>
  </r>
  <r>
    <x v="191"/>
    <x v="0"/>
    <s v="네이버 GFA"/>
    <x v="0"/>
    <x v="0"/>
    <x v="0"/>
    <m/>
    <m/>
    <n v="312596.3636363636"/>
    <m/>
    <m/>
    <m/>
  </r>
  <r>
    <x v="192"/>
    <x v="2"/>
    <s v="네이버 GFA"/>
    <x v="0"/>
    <x v="0"/>
    <x v="0"/>
    <m/>
    <m/>
    <n v="454718.1818181818"/>
    <m/>
    <m/>
    <m/>
  </r>
  <r>
    <x v="195"/>
    <x v="3"/>
    <s v="네이버 GFA"/>
    <x v="0"/>
    <x v="0"/>
    <x v="0"/>
    <m/>
    <m/>
    <n v="528575.4545454545"/>
    <m/>
    <m/>
    <m/>
  </r>
  <r>
    <x v="196"/>
    <x v="4"/>
    <s v="네이버 GFA"/>
    <x v="0"/>
    <x v="0"/>
    <x v="0"/>
    <m/>
    <m/>
    <n v="534620"/>
    <m/>
    <m/>
    <m/>
  </r>
  <r>
    <x v="198"/>
    <x v="0"/>
    <s v="네이버 GFA"/>
    <x v="0"/>
    <x v="0"/>
    <x v="0"/>
    <m/>
    <m/>
    <n v="178296.3636363636"/>
    <m/>
    <m/>
    <m/>
  </r>
  <r>
    <x v="199"/>
    <x v="2"/>
    <s v="네이버 GFA"/>
    <x v="0"/>
    <x v="0"/>
    <x v="0"/>
    <m/>
    <m/>
    <n v="315627.2727272727"/>
    <m/>
    <m/>
    <m/>
  </r>
  <r>
    <x v="202"/>
    <x v="3"/>
    <s v="네이버 GFA"/>
    <x v="0"/>
    <x v="0"/>
    <x v="0"/>
    <m/>
    <m/>
    <n v="225719.0909090909"/>
    <m/>
    <m/>
    <m/>
  </r>
  <r>
    <x v="203"/>
    <x v="4"/>
    <s v="네이버 GFA"/>
    <x v="0"/>
    <x v="0"/>
    <x v="0"/>
    <m/>
    <m/>
    <n v="202246.3636363636"/>
    <m/>
    <m/>
    <m/>
  </r>
  <r>
    <x v="204"/>
    <x v="1"/>
    <s v="네이버 GFA"/>
    <x v="0"/>
    <x v="0"/>
    <x v="0"/>
    <m/>
    <m/>
    <n v="90146.36363636363"/>
    <m/>
    <m/>
    <m/>
  </r>
  <r>
    <x v="205"/>
    <x v="0"/>
    <s v="네이버 GFA"/>
    <x v="0"/>
    <x v="0"/>
    <x v="0"/>
    <m/>
    <m/>
    <n v="96320.90909090909"/>
    <m/>
    <m/>
    <m/>
  </r>
  <r>
    <x v="206"/>
    <x v="2"/>
    <s v="네이버 GFA"/>
    <x v="0"/>
    <x v="0"/>
    <x v="0"/>
    <m/>
    <m/>
    <n v="136253.6363636364"/>
    <m/>
    <m/>
    <m/>
  </r>
  <r>
    <x v="207"/>
    <x v="5"/>
    <s v="네이버 GFA"/>
    <x v="0"/>
    <x v="0"/>
    <x v="0"/>
    <m/>
    <m/>
    <n v="146149.0909090909"/>
    <m/>
    <m/>
    <m/>
  </r>
  <r>
    <x v="208"/>
    <x v="6"/>
    <s v="네이버 GFA"/>
    <x v="0"/>
    <x v="0"/>
    <x v="0"/>
    <m/>
    <m/>
    <n v="139627.2727272727"/>
    <m/>
    <m/>
    <m/>
  </r>
  <r>
    <x v="209"/>
    <x v="3"/>
    <s v="네이버 GFA"/>
    <x v="0"/>
    <x v="0"/>
    <x v="0"/>
    <m/>
    <m/>
    <n v="134183.6363636364"/>
    <m/>
    <m/>
    <m/>
  </r>
  <r>
    <x v="210"/>
    <x v="4"/>
    <s v="네이버 GFA"/>
    <x v="0"/>
    <x v="0"/>
    <x v="0"/>
    <m/>
    <m/>
    <n v="157556.3636363636"/>
    <m/>
    <m/>
    <m/>
  </r>
  <r>
    <x v="211"/>
    <x v="1"/>
    <s v="네이버 GFA"/>
    <x v="0"/>
    <x v="0"/>
    <x v="0"/>
    <m/>
    <m/>
    <n v="332770"/>
    <m/>
    <m/>
    <m/>
  </r>
  <r>
    <x v="212"/>
    <x v="0"/>
    <s v="네이버 GFA"/>
    <x v="0"/>
    <x v="0"/>
    <x v="0"/>
    <m/>
    <m/>
    <n v="253.6363636363636"/>
    <m/>
    <m/>
    <m/>
  </r>
  <r>
    <x v="195"/>
    <x v="3"/>
    <s v="카카오톡 메시지"/>
    <x v="5"/>
    <x v="0"/>
    <x v="0"/>
    <m/>
    <m/>
    <n v="153630"/>
    <m/>
    <m/>
    <m/>
  </r>
  <r>
    <x v="196"/>
    <x v="4"/>
    <s v="카카오톡 메시지"/>
    <x v="5"/>
    <x v="0"/>
    <x v="0"/>
    <m/>
    <m/>
    <n v="152940"/>
    <m/>
    <m/>
    <m/>
  </r>
  <r>
    <x v="199"/>
    <x v="2"/>
    <s v="기획사이다"/>
    <x v="0"/>
    <x v="0"/>
    <x v="0"/>
    <m/>
    <m/>
    <n v="6699999.999999999"/>
    <m/>
    <m/>
    <m/>
  </r>
  <r>
    <x v="213"/>
    <x v="2"/>
    <s v="네이버 쇼핑검색"/>
    <x v="0"/>
    <x v="0"/>
    <x v="0"/>
    <m/>
    <m/>
    <n v="32470"/>
    <m/>
    <m/>
    <m/>
  </r>
  <r>
    <x v="214"/>
    <x v="5"/>
    <s v="네이버 쇼핑검색"/>
    <x v="0"/>
    <x v="0"/>
    <x v="0"/>
    <m/>
    <m/>
    <n v="30520"/>
    <m/>
    <m/>
    <m/>
  </r>
  <r>
    <x v="215"/>
    <x v="6"/>
    <s v="네이버 쇼핑검색"/>
    <x v="0"/>
    <x v="0"/>
    <x v="0"/>
    <m/>
    <m/>
    <n v="32090"/>
    <m/>
    <m/>
    <m/>
  </r>
  <r>
    <x v="216"/>
    <x v="3"/>
    <s v="네이버 쇼핑검색"/>
    <x v="0"/>
    <x v="0"/>
    <x v="0"/>
    <m/>
    <m/>
    <n v="25450"/>
    <m/>
    <m/>
    <m/>
  </r>
  <r>
    <x v="217"/>
    <x v="4"/>
    <s v="네이버 쇼핑검색"/>
    <x v="0"/>
    <x v="0"/>
    <x v="0"/>
    <m/>
    <m/>
    <n v="28650"/>
    <m/>
    <m/>
    <m/>
  </r>
  <r>
    <x v="218"/>
    <x v="1"/>
    <s v="네이버 쇼핑검색"/>
    <x v="0"/>
    <x v="0"/>
    <x v="0"/>
    <m/>
    <m/>
    <n v="31470"/>
    <m/>
    <m/>
    <m/>
  </r>
  <r>
    <x v="219"/>
    <x v="0"/>
    <s v="네이버 쇼핑검색"/>
    <x v="0"/>
    <x v="0"/>
    <x v="0"/>
    <m/>
    <m/>
    <n v="44090"/>
    <m/>
    <m/>
    <m/>
  </r>
  <r>
    <x v="220"/>
    <x v="2"/>
    <s v="네이버 쇼핑검색"/>
    <x v="0"/>
    <x v="0"/>
    <x v="0"/>
    <m/>
    <m/>
    <n v="53829.99999999999"/>
    <m/>
    <m/>
    <m/>
  </r>
  <r>
    <x v="221"/>
    <x v="5"/>
    <s v="네이버 쇼핑검색"/>
    <x v="0"/>
    <x v="0"/>
    <x v="0"/>
    <m/>
    <m/>
    <n v="34860"/>
    <m/>
    <m/>
    <m/>
  </r>
  <r>
    <x v="222"/>
    <x v="6"/>
    <s v="네이버 쇼핑검색"/>
    <x v="0"/>
    <x v="0"/>
    <x v="0"/>
    <m/>
    <m/>
    <n v="35680"/>
    <m/>
    <m/>
    <m/>
  </r>
  <r>
    <x v="223"/>
    <x v="3"/>
    <s v="네이버 쇼핑검색"/>
    <x v="0"/>
    <x v="0"/>
    <x v="0"/>
    <m/>
    <m/>
    <n v="43660"/>
    <m/>
    <m/>
    <m/>
  </r>
  <r>
    <x v="224"/>
    <x v="4"/>
    <s v="네이버 쇼핑검색"/>
    <x v="0"/>
    <x v="0"/>
    <x v="0"/>
    <m/>
    <m/>
    <n v="29390"/>
    <m/>
    <m/>
    <m/>
  </r>
  <r>
    <x v="225"/>
    <x v="1"/>
    <s v="네이버 쇼핑검색"/>
    <x v="0"/>
    <x v="0"/>
    <x v="0"/>
    <m/>
    <m/>
    <n v="31880"/>
    <m/>
    <m/>
    <m/>
  </r>
  <r>
    <x v="226"/>
    <x v="0"/>
    <s v="네이버 쇼핑검색"/>
    <x v="0"/>
    <x v="0"/>
    <x v="0"/>
    <m/>
    <m/>
    <n v="26640"/>
    <m/>
    <m/>
    <m/>
  </r>
  <r>
    <x v="227"/>
    <x v="2"/>
    <s v="네이버 쇼핑검색"/>
    <x v="0"/>
    <x v="0"/>
    <x v="0"/>
    <m/>
    <m/>
    <n v="25230"/>
    <m/>
    <m/>
    <m/>
  </r>
  <r>
    <x v="228"/>
    <x v="5"/>
    <s v="네이버 쇼핑검색"/>
    <x v="0"/>
    <x v="0"/>
    <x v="0"/>
    <m/>
    <m/>
    <n v="27420"/>
    <m/>
    <m/>
    <m/>
  </r>
  <r>
    <x v="229"/>
    <x v="6"/>
    <s v="네이버 쇼핑검색"/>
    <x v="0"/>
    <x v="0"/>
    <x v="0"/>
    <m/>
    <m/>
    <n v="26640"/>
    <m/>
    <m/>
    <m/>
  </r>
  <r>
    <x v="230"/>
    <x v="3"/>
    <s v="네이버 쇼핑검색"/>
    <x v="0"/>
    <x v="0"/>
    <x v="0"/>
    <m/>
    <m/>
    <n v="54949.99999999999"/>
    <m/>
    <m/>
    <m/>
  </r>
  <r>
    <x v="231"/>
    <x v="4"/>
    <s v="네이버 쇼핑검색"/>
    <x v="0"/>
    <x v="0"/>
    <x v="0"/>
    <m/>
    <m/>
    <n v="47029.99999999999"/>
    <m/>
    <m/>
    <m/>
  </r>
  <r>
    <x v="232"/>
    <x v="1"/>
    <s v="네이버 쇼핑검색"/>
    <x v="0"/>
    <x v="0"/>
    <x v="0"/>
    <m/>
    <m/>
    <n v="37110"/>
    <m/>
    <m/>
    <m/>
  </r>
  <r>
    <x v="233"/>
    <x v="0"/>
    <s v="네이버 쇼핑검색"/>
    <x v="0"/>
    <x v="0"/>
    <x v="0"/>
    <m/>
    <m/>
    <n v="28530"/>
    <m/>
    <m/>
    <m/>
  </r>
  <r>
    <x v="234"/>
    <x v="2"/>
    <s v="네이버 쇼핑검색"/>
    <x v="0"/>
    <x v="0"/>
    <x v="0"/>
    <m/>
    <m/>
    <n v="20300"/>
    <m/>
    <m/>
    <m/>
  </r>
  <r>
    <x v="235"/>
    <x v="5"/>
    <s v="네이버 쇼핑검색"/>
    <x v="0"/>
    <x v="0"/>
    <x v="0"/>
    <m/>
    <m/>
    <n v="20990"/>
    <m/>
    <m/>
    <m/>
  </r>
  <r>
    <x v="236"/>
    <x v="6"/>
    <s v="네이버 쇼핑검색"/>
    <x v="0"/>
    <x v="0"/>
    <x v="0"/>
    <m/>
    <m/>
    <n v="29750"/>
    <m/>
    <m/>
    <m/>
  </r>
  <r>
    <x v="237"/>
    <x v="3"/>
    <s v="네이버 쇼핑검색"/>
    <x v="0"/>
    <x v="0"/>
    <x v="0"/>
    <m/>
    <m/>
    <n v="48819.99999999999"/>
    <m/>
    <m/>
    <m/>
  </r>
  <r>
    <x v="238"/>
    <x v="4"/>
    <s v="네이버 쇼핑검색"/>
    <x v="0"/>
    <x v="0"/>
    <x v="0"/>
    <m/>
    <m/>
    <n v="48889.99999999999"/>
    <m/>
    <m/>
    <m/>
  </r>
  <r>
    <x v="239"/>
    <x v="1"/>
    <s v="네이버 쇼핑검색"/>
    <x v="0"/>
    <x v="0"/>
    <x v="0"/>
    <m/>
    <m/>
    <n v="42540"/>
    <m/>
    <m/>
    <m/>
  </r>
  <r>
    <x v="240"/>
    <x v="0"/>
    <s v="네이버 쇼핑검색"/>
    <x v="0"/>
    <x v="0"/>
    <x v="0"/>
    <m/>
    <m/>
    <n v="34260"/>
    <m/>
    <m/>
    <m/>
  </r>
  <r>
    <x v="241"/>
    <x v="2"/>
    <s v="네이버 쇼핑검색"/>
    <x v="0"/>
    <x v="0"/>
    <x v="0"/>
    <m/>
    <m/>
    <n v="33500"/>
    <m/>
    <m/>
    <m/>
  </r>
  <r>
    <x v="242"/>
    <x v="5"/>
    <s v="네이버 쇼핑검색"/>
    <x v="0"/>
    <x v="0"/>
    <x v="0"/>
    <m/>
    <m/>
    <n v="36510"/>
    <m/>
    <m/>
    <m/>
  </r>
  <r>
    <x v="243"/>
    <x v="6"/>
    <s v="네이버 쇼핑검색"/>
    <x v="0"/>
    <x v="0"/>
    <x v="0"/>
    <m/>
    <m/>
    <n v="43510"/>
    <m/>
    <m/>
    <m/>
  </r>
  <r>
    <x v="213"/>
    <x v="2"/>
    <s v="네이버 브랜드검색"/>
    <x v="0"/>
    <x v="0"/>
    <x v="0"/>
    <m/>
    <m/>
    <n v="40000"/>
    <m/>
    <m/>
    <m/>
  </r>
  <r>
    <x v="214"/>
    <x v="5"/>
    <s v="네이버 브랜드검색"/>
    <x v="0"/>
    <x v="0"/>
    <x v="0"/>
    <m/>
    <m/>
    <n v="40000"/>
    <m/>
    <m/>
    <m/>
  </r>
  <r>
    <x v="215"/>
    <x v="6"/>
    <s v="네이버 브랜드검색"/>
    <x v="0"/>
    <x v="0"/>
    <x v="0"/>
    <m/>
    <m/>
    <n v="40000"/>
    <m/>
    <m/>
    <m/>
  </r>
  <r>
    <x v="216"/>
    <x v="3"/>
    <s v="네이버 브랜드검색"/>
    <x v="0"/>
    <x v="0"/>
    <x v="0"/>
    <m/>
    <m/>
    <n v="40000"/>
    <m/>
    <m/>
    <m/>
  </r>
  <r>
    <x v="217"/>
    <x v="4"/>
    <s v="네이버 브랜드검색"/>
    <x v="0"/>
    <x v="0"/>
    <x v="0"/>
    <m/>
    <m/>
    <n v="65000"/>
    <m/>
    <m/>
    <m/>
  </r>
  <r>
    <x v="218"/>
    <x v="1"/>
    <s v="네이버 브랜드검색"/>
    <x v="0"/>
    <x v="0"/>
    <x v="0"/>
    <m/>
    <m/>
    <n v="65000"/>
    <m/>
    <m/>
    <m/>
  </r>
  <r>
    <x v="219"/>
    <x v="0"/>
    <s v="네이버 브랜드검색"/>
    <x v="0"/>
    <x v="0"/>
    <x v="0"/>
    <m/>
    <m/>
    <n v="65000"/>
    <m/>
    <m/>
    <m/>
  </r>
  <r>
    <x v="220"/>
    <x v="2"/>
    <s v="네이버 브랜드검색"/>
    <x v="0"/>
    <x v="0"/>
    <x v="0"/>
    <m/>
    <m/>
    <n v="65000"/>
    <m/>
    <m/>
    <m/>
  </r>
  <r>
    <x v="221"/>
    <x v="5"/>
    <s v="네이버 브랜드검색"/>
    <x v="0"/>
    <x v="0"/>
    <x v="0"/>
    <m/>
    <m/>
    <n v="65000"/>
    <m/>
    <m/>
    <m/>
  </r>
  <r>
    <x v="222"/>
    <x v="6"/>
    <s v="네이버 브랜드검색"/>
    <x v="0"/>
    <x v="0"/>
    <x v="0"/>
    <m/>
    <m/>
    <n v="65000"/>
    <m/>
    <m/>
    <m/>
  </r>
  <r>
    <x v="223"/>
    <x v="3"/>
    <s v="네이버 브랜드검색"/>
    <x v="0"/>
    <x v="0"/>
    <x v="0"/>
    <m/>
    <m/>
    <n v="65000"/>
    <m/>
    <m/>
    <m/>
  </r>
  <r>
    <x v="224"/>
    <x v="4"/>
    <s v="네이버 브랜드검색"/>
    <x v="0"/>
    <x v="0"/>
    <x v="0"/>
    <m/>
    <m/>
    <n v="65000"/>
    <m/>
    <m/>
    <m/>
  </r>
  <r>
    <x v="225"/>
    <x v="1"/>
    <s v="네이버 브랜드검색"/>
    <x v="0"/>
    <x v="0"/>
    <x v="0"/>
    <m/>
    <m/>
    <n v="65000"/>
    <m/>
    <m/>
    <m/>
  </r>
  <r>
    <x v="226"/>
    <x v="0"/>
    <s v="네이버 브랜드검색"/>
    <x v="0"/>
    <x v="0"/>
    <x v="0"/>
    <m/>
    <m/>
    <n v="65000"/>
    <m/>
    <m/>
    <m/>
  </r>
  <r>
    <x v="227"/>
    <x v="2"/>
    <s v="네이버 브랜드검색"/>
    <x v="0"/>
    <x v="0"/>
    <x v="0"/>
    <m/>
    <m/>
    <n v="65000"/>
    <m/>
    <m/>
    <m/>
  </r>
  <r>
    <x v="228"/>
    <x v="5"/>
    <s v="네이버 브랜드검색"/>
    <x v="0"/>
    <x v="0"/>
    <x v="0"/>
    <m/>
    <m/>
    <n v="65000"/>
    <m/>
    <m/>
    <m/>
  </r>
  <r>
    <x v="229"/>
    <x v="6"/>
    <s v="네이버 브랜드검색"/>
    <x v="0"/>
    <x v="0"/>
    <x v="0"/>
    <m/>
    <m/>
    <n v="65000"/>
    <m/>
    <m/>
    <m/>
  </r>
  <r>
    <x v="230"/>
    <x v="3"/>
    <s v="네이버 브랜드검색"/>
    <x v="0"/>
    <x v="0"/>
    <x v="0"/>
    <m/>
    <m/>
    <n v="65000"/>
    <m/>
    <m/>
    <m/>
  </r>
  <r>
    <x v="231"/>
    <x v="4"/>
    <s v="네이버 브랜드검색"/>
    <x v="0"/>
    <x v="0"/>
    <x v="0"/>
    <m/>
    <m/>
    <n v="65000"/>
    <m/>
    <m/>
    <m/>
  </r>
  <r>
    <x v="232"/>
    <x v="1"/>
    <s v="네이버 브랜드검색"/>
    <x v="0"/>
    <x v="0"/>
    <x v="0"/>
    <m/>
    <m/>
    <n v="65000"/>
    <m/>
    <m/>
    <m/>
  </r>
  <r>
    <x v="233"/>
    <x v="0"/>
    <s v="네이버 브랜드검색"/>
    <x v="0"/>
    <x v="0"/>
    <x v="0"/>
    <m/>
    <m/>
    <n v="65000"/>
    <m/>
    <m/>
    <m/>
  </r>
  <r>
    <x v="234"/>
    <x v="2"/>
    <s v="네이버 브랜드검색"/>
    <x v="0"/>
    <x v="0"/>
    <x v="0"/>
    <m/>
    <m/>
    <n v="65000"/>
    <m/>
    <m/>
    <m/>
  </r>
  <r>
    <x v="235"/>
    <x v="5"/>
    <s v="네이버 브랜드검색"/>
    <x v="0"/>
    <x v="0"/>
    <x v="0"/>
    <m/>
    <m/>
    <n v="65000"/>
    <m/>
    <m/>
    <m/>
  </r>
  <r>
    <x v="236"/>
    <x v="6"/>
    <s v="네이버 브랜드검색"/>
    <x v="0"/>
    <x v="0"/>
    <x v="0"/>
    <m/>
    <m/>
    <n v="65000"/>
    <m/>
    <m/>
    <m/>
  </r>
  <r>
    <x v="237"/>
    <x v="3"/>
    <s v="네이버 브랜드검색"/>
    <x v="0"/>
    <x v="0"/>
    <x v="0"/>
    <m/>
    <m/>
    <n v="65000"/>
    <m/>
    <m/>
    <m/>
  </r>
  <r>
    <x v="238"/>
    <x v="4"/>
    <s v="네이버 브랜드검색"/>
    <x v="0"/>
    <x v="0"/>
    <x v="0"/>
    <m/>
    <m/>
    <n v="65000"/>
    <m/>
    <m/>
    <m/>
  </r>
  <r>
    <x v="239"/>
    <x v="1"/>
    <s v="네이버 브랜드검색"/>
    <x v="0"/>
    <x v="0"/>
    <x v="0"/>
    <m/>
    <m/>
    <n v="65000"/>
    <m/>
    <m/>
    <m/>
  </r>
  <r>
    <x v="240"/>
    <x v="0"/>
    <s v="네이버 브랜드검색"/>
    <x v="0"/>
    <x v="0"/>
    <x v="0"/>
    <m/>
    <m/>
    <n v="65000"/>
    <m/>
    <m/>
    <m/>
  </r>
  <r>
    <x v="241"/>
    <x v="2"/>
    <s v="네이버 브랜드검색"/>
    <x v="0"/>
    <x v="0"/>
    <x v="0"/>
    <m/>
    <m/>
    <n v="120000"/>
    <m/>
    <m/>
    <m/>
  </r>
  <r>
    <x v="242"/>
    <x v="5"/>
    <s v="네이버 브랜드검색"/>
    <x v="0"/>
    <x v="0"/>
    <x v="0"/>
    <m/>
    <m/>
    <n v="120000"/>
    <m/>
    <m/>
    <m/>
  </r>
  <r>
    <x v="243"/>
    <x v="6"/>
    <s v="네이버 브랜드검색"/>
    <x v="0"/>
    <x v="0"/>
    <x v="0"/>
    <m/>
    <m/>
    <n v="120000"/>
    <m/>
    <m/>
    <m/>
  </r>
  <r>
    <x v="213"/>
    <x v="2"/>
    <s v="페이스북/인스타그램"/>
    <x v="0"/>
    <x v="0"/>
    <x v="0"/>
    <m/>
    <m/>
    <n v="845384"/>
    <m/>
    <m/>
    <m/>
  </r>
  <r>
    <x v="214"/>
    <x v="5"/>
    <s v="페이스북/인스타그램"/>
    <x v="0"/>
    <x v="0"/>
    <x v="0"/>
    <m/>
    <m/>
    <n v="856413"/>
    <m/>
    <m/>
    <m/>
  </r>
  <r>
    <x v="215"/>
    <x v="6"/>
    <s v="페이스북/인스타그램"/>
    <x v="0"/>
    <x v="0"/>
    <x v="0"/>
    <m/>
    <m/>
    <n v="830640"/>
    <m/>
    <m/>
    <m/>
  </r>
  <r>
    <x v="216"/>
    <x v="3"/>
    <s v="페이스북/인스타그램"/>
    <x v="0"/>
    <x v="0"/>
    <x v="0"/>
    <m/>
    <m/>
    <n v="1078378"/>
    <m/>
    <m/>
    <m/>
  </r>
  <r>
    <x v="217"/>
    <x v="4"/>
    <s v="페이스북/인스타그램"/>
    <x v="0"/>
    <x v="0"/>
    <x v="0"/>
    <m/>
    <m/>
    <n v="1218327"/>
    <m/>
    <m/>
    <m/>
  </r>
  <r>
    <x v="218"/>
    <x v="1"/>
    <s v="페이스북/인스타그램"/>
    <x v="0"/>
    <x v="0"/>
    <x v="0"/>
    <m/>
    <m/>
    <n v="1208655"/>
    <m/>
    <m/>
    <m/>
  </r>
  <r>
    <x v="219"/>
    <x v="0"/>
    <s v="페이스북/인스타그램"/>
    <x v="0"/>
    <x v="0"/>
    <x v="0"/>
    <m/>
    <m/>
    <n v="1427473"/>
    <m/>
    <m/>
    <m/>
  </r>
  <r>
    <x v="220"/>
    <x v="2"/>
    <s v="페이스북/인스타그램"/>
    <x v="0"/>
    <x v="0"/>
    <x v="0"/>
    <m/>
    <m/>
    <n v="1081225"/>
    <m/>
    <m/>
    <m/>
  </r>
  <r>
    <x v="221"/>
    <x v="5"/>
    <s v="페이스북/인스타그램"/>
    <x v="0"/>
    <x v="0"/>
    <x v="0"/>
    <m/>
    <m/>
    <n v="959003"/>
    <m/>
    <m/>
    <m/>
  </r>
  <r>
    <x v="222"/>
    <x v="6"/>
    <s v="페이스북/인스타그램"/>
    <x v="0"/>
    <x v="0"/>
    <x v="0"/>
    <m/>
    <m/>
    <n v="982497"/>
    <m/>
    <m/>
    <m/>
  </r>
  <r>
    <x v="223"/>
    <x v="3"/>
    <s v="페이스북/인스타그램"/>
    <x v="0"/>
    <x v="0"/>
    <x v="0"/>
    <m/>
    <m/>
    <n v="1143378"/>
    <m/>
    <m/>
    <m/>
  </r>
  <r>
    <x v="224"/>
    <x v="4"/>
    <s v="페이스북/인스타그램"/>
    <x v="0"/>
    <x v="0"/>
    <x v="0"/>
    <m/>
    <m/>
    <n v="1647564"/>
    <m/>
    <m/>
    <m/>
  </r>
  <r>
    <x v="225"/>
    <x v="1"/>
    <s v="페이스북/인스타그램"/>
    <x v="0"/>
    <x v="0"/>
    <x v="0"/>
    <m/>
    <m/>
    <n v="1773703"/>
    <m/>
    <m/>
    <m/>
  </r>
  <r>
    <x v="226"/>
    <x v="0"/>
    <s v="페이스북/인스타그램"/>
    <x v="0"/>
    <x v="0"/>
    <x v="0"/>
    <m/>
    <m/>
    <n v="1834312"/>
    <m/>
    <m/>
    <m/>
  </r>
  <r>
    <x v="227"/>
    <x v="2"/>
    <s v="페이스북/인스타그램"/>
    <x v="0"/>
    <x v="0"/>
    <x v="0"/>
    <m/>
    <m/>
    <n v="1793861"/>
    <m/>
    <m/>
    <m/>
  </r>
  <r>
    <x v="228"/>
    <x v="5"/>
    <s v="페이스북/인스타그램"/>
    <x v="0"/>
    <x v="0"/>
    <x v="0"/>
    <m/>
    <m/>
    <n v="1820383"/>
    <m/>
    <m/>
    <m/>
  </r>
  <r>
    <x v="229"/>
    <x v="6"/>
    <s v="페이스북/인스타그램"/>
    <x v="0"/>
    <x v="0"/>
    <x v="0"/>
    <m/>
    <m/>
    <n v="1734431"/>
    <m/>
    <m/>
    <m/>
  </r>
  <r>
    <x v="230"/>
    <x v="3"/>
    <s v="페이스북/인스타그램"/>
    <x v="0"/>
    <x v="0"/>
    <x v="0"/>
    <m/>
    <m/>
    <n v="1534702"/>
    <m/>
    <m/>
    <m/>
  </r>
  <r>
    <x v="231"/>
    <x v="4"/>
    <s v="페이스북/인스타그램"/>
    <x v="0"/>
    <x v="0"/>
    <x v="0"/>
    <m/>
    <m/>
    <n v="1163561"/>
    <m/>
    <m/>
    <m/>
  </r>
  <r>
    <x v="232"/>
    <x v="1"/>
    <s v="페이스북/인스타그램"/>
    <x v="0"/>
    <x v="0"/>
    <x v="0"/>
    <m/>
    <m/>
    <n v="943347"/>
    <m/>
    <m/>
    <m/>
  </r>
  <r>
    <x v="233"/>
    <x v="0"/>
    <s v="페이스북/인스타그램"/>
    <x v="0"/>
    <x v="0"/>
    <x v="0"/>
    <m/>
    <m/>
    <n v="922300"/>
    <m/>
    <m/>
    <m/>
  </r>
  <r>
    <x v="234"/>
    <x v="2"/>
    <s v="페이스북/인스타그램"/>
    <x v="0"/>
    <x v="0"/>
    <x v="0"/>
    <m/>
    <m/>
    <n v="914938"/>
    <m/>
    <m/>
    <m/>
  </r>
  <r>
    <x v="235"/>
    <x v="5"/>
    <s v="페이스북/인스타그램"/>
    <x v="0"/>
    <x v="0"/>
    <x v="0"/>
    <m/>
    <m/>
    <n v="986710"/>
    <m/>
    <m/>
    <m/>
  </r>
  <r>
    <x v="236"/>
    <x v="6"/>
    <s v="페이스북/인스타그램"/>
    <x v="0"/>
    <x v="0"/>
    <x v="0"/>
    <m/>
    <m/>
    <n v="932160"/>
    <m/>
    <m/>
    <m/>
  </r>
  <r>
    <x v="237"/>
    <x v="3"/>
    <s v="페이스북/인스타그램"/>
    <x v="0"/>
    <x v="0"/>
    <x v="0"/>
    <m/>
    <m/>
    <n v="914415"/>
    <m/>
    <m/>
    <m/>
  </r>
  <r>
    <x v="238"/>
    <x v="4"/>
    <s v="페이스북/인스타그램"/>
    <x v="0"/>
    <x v="0"/>
    <x v="0"/>
    <m/>
    <m/>
    <n v="1036184"/>
    <m/>
    <m/>
    <m/>
  </r>
  <r>
    <x v="239"/>
    <x v="1"/>
    <s v="페이스북/인스타그램"/>
    <x v="0"/>
    <x v="0"/>
    <x v="0"/>
    <m/>
    <m/>
    <n v="1397067"/>
    <m/>
    <m/>
    <m/>
  </r>
  <r>
    <x v="240"/>
    <x v="0"/>
    <s v="페이스북/인스타그램"/>
    <x v="0"/>
    <x v="0"/>
    <x v="0"/>
    <m/>
    <m/>
    <n v="1270208"/>
    <m/>
    <m/>
    <m/>
  </r>
  <r>
    <x v="241"/>
    <x v="2"/>
    <s v="페이스북/인스타그램"/>
    <x v="0"/>
    <x v="0"/>
    <x v="0"/>
    <m/>
    <m/>
    <n v="1138471"/>
    <m/>
    <m/>
    <m/>
  </r>
  <r>
    <x v="242"/>
    <x v="5"/>
    <s v="페이스북/인스타그램"/>
    <x v="0"/>
    <x v="0"/>
    <x v="0"/>
    <m/>
    <m/>
    <n v="1189427"/>
    <m/>
    <m/>
    <m/>
  </r>
  <r>
    <x v="243"/>
    <x v="6"/>
    <s v="페이스북/인스타그램"/>
    <x v="0"/>
    <x v="0"/>
    <x v="0"/>
    <m/>
    <m/>
    <n v="1132767"/>
    <m/>
    <m/>
    <m/>
  </r>
  <r>
    <x v="213"/>
    <x v="2"/>
    <s v="카카오광고"/>
    <x v="0"/>
    <x v="0"/>
    <x v="0"/>
    <m/>
    <m/>
    <n v="11830"/>
    <m/>
    <m/>
    <m/>
  </r>
  <r>
    <x v="214"/>
    <x v="5"/>
    <s v="카카오광고"/>
    <x v="0"/>
    <x v="0"/>
    <x v="0"/>
    <m/>
    <m/>
    <n v="13430"/>
    <m/>
    <m/>
    <m/>
  </r>
  <r>
    <x v="215"/>
    <x v="6"/>
    <s v="카카오광고"/>
    <x v="0"/>
    <x v="0"/>
    <x v="0"/>
    <m/>
    <m/>
    <n v="6699.999999999999"/>
    <m/>
    <m/>
    <m/>
  </r>
  <r>
    <x v="216"/>
    <x v="3"/>
    <s v="카카오광고"/>
    <x v="0"/>
    <x v="0"/>
    <x v="0"/>
    <m/>
    <m/>
    <n v="9590"/>
    <m/>
    <m/>
    <m/>
  </r>
  <r>
    <x v="217"/>
    <x v="4"/>
    <s v="카카오광고"/>
    <x v="0"/>
    <x v="0"/>
    <x v="0"/>
    <m/>
    <m/>
    <n v="9880"/>
    <m/>
    <m/>
    <m/>
  </r>
  <r>
    <x v="218"/>
    <x v="1"/>
    <s v="카카오광고"/>
    <x v="0"/>
    <x v="0"/>
    <x v="0"/>
    <m/>
    <m/>
    <n v="9430"/>
    <m/>
    <m/>
    <m/>
  </r>
  <r>
    <x v="219"/>
    <x v="0"/>
    <s v="카카오광고"/>
    <x v="0"/>
    <x v="0"/>
    <x v="0"/>
    <m/>
    <m/>
    <n v="7049.999999999999"/>
    <m/>
    <m/>
    <m/>
  </r>
  <r>
    <x v="220"/>
    <x v="2"/>
    <s v="카카오광고"/>
    <x v="0"/>
    <x v="0"/>
    <x v="0"/>
    <m/>
    <m/>
    <n v="10380"/>
    <m/>
    <m/>
    <m/>
  </r>
  <r>
    <x v="221"/>
    <x v="5"/>
    <s v="카카오광고"/>
    <x v="0"/>
    <x v="0"/>
    <x v="0"/>
    <m/>
    <m/>
    <n v="7949.999999999999"/>
    <m/>
    <m/>
    <m/>
  </r>
  <r>
    <x v="222"/>
    <x v="6"/>
    <s v="카카오광고"/>
    <x v="0"/>
    <x v="0"/>
    <x v="0"/>
    <m/>
    <m/>
    <n v="15550"/>
    <m/>
    <m/>
    <m/>
  </r>
  <r>
    <x v="223"/>
    <x v="3"/>
    <s v="카카오광고"/>
    <x v="0"/>
    <x v="0"/>
    <x v="0"/>
    <m/>
    <m/>
    <n v="14370"/>
    <m/>
    <m/>
    <m/>
  </r>
  <r>
    <x v="224"/>
    <x v="4"/>
    <s v="카카오광고"/>
    <x v="0"/>
    <x v="0"/>
    <x v="0"/>
    <m/>
    <m/>
    <n v="12550"/>
    <m/>
    <m/>
    <m/>
  </r>
  <r>
    <x v="225"/>
    <x v="1"/>
    <s v="카카오광고"/>
    <x v="0"/>
    <x v="0"/>
    <x v="0"/>
    <m/>
    <m/>
    <n v="11960"/>
    <m/>
    <m/>
    <m/>
  </r>
  <r>
    <x v="226"/>
    <x v="0"/>
    <s v="카카오광고"/>
    <x v="0"/>
    <x v="0"/>
    <x v="0"/>
    <m/>
    <m/>
    <n v="14380"/>
    <m/>
    <m/>
    <m/>
  </r>
  <r>
    <x v="227"/>
    <x v="2"/>
    <s v="카카오광고"/>
    <x v="0"/>
    <x v="0"/>
    <x v="0"/>
    <m/>
    <m/>
    <n v="14610"/>
    <m/>
    <m/>
    <m/>
  </r>
  <r>
    <x v="228"/>
    <x v="5"/>
    <s v="카카오광고"/>
    <x v="0"/>
    <x v="0"/>
    <x v="0"/>
    <m/>
    <m/>
    <n v="10080"/>
    <m/>
    <m/>
    <m/>
  </r>
  <r>
    <x v="229"/>
    <x v="6"/>
    <s v="카카오광고"/>
    <x v="0"/>
    <x v="0"/>
    <x v="0"/>
    <m/>
    <m/>
    <n v="10790"/>
    <m/>
    <m/>
    <m/>
  </r>
  <r>
    <x v="230"/>
    <x v="3"/>
    <s v="카카오광고"/>
    <x v="0"/>
    <x v="0"/>
    <x v="0"/>
    <m/>
    <m/>
    <n v="8680"/>
    <m/>
    <m/>
    <m/>
  </r>
  <r>
    <x v="231"/>
    <x v="4"/>
    <s v="카카오광고"/>
    <x v="0"/>
    <x v="0"/>
    <x v="0"/>
    <m/>
    <m/>
    <n v="9740"/>
    <m/>
    <m/>
    <m/>
  </r>
  <r>
    <x v="232"/>
    <x v="1"/>
    <s v="카카오광고"/>
    <x v="0"/>
    <x v="0"/>
    <x v="0"/>
    <m/>
    <m/>
    <n v="11780"/>
    <m/>
    <m/>
    <m/>
  </r>
  <r>
    <x v="233"/>
    <x v="0"/>
    <s v="카카오광고"/>
    <x v="0"/>
    <x v="0"/>
    <x v="0"/>
    <m/>
    <m/>
    <n v="8260"/>
    <m/>
    <m/>
    <m/>
  </r>
  <r>
    <x v="234"/>
    <x v="2"/>
    <s v="카카오광고"/>
    <x v="0"/>
    <x v="0"/>
    <x v="0"/>
    <m/>
    <m/>
    <n v="11410"/>
    <m/>
    <m/>
    <m/>
  </r>
  <r>
    <x v="235"/>
    <x v="5"/>
    <s v="카카오광고"/>
    <x v="0"/>
    <x v="0"/>
    <x v="0"/>
    <m/>
    <m/>
    <n v="11060"/>
    <m/>
    <m/>
    <m/>
  </r>
  <r>
    <x v="236"/>
    <x v="6"/>
    <s v="카카오광고"/>
    <x v="0"/>
    <x v="0"/>
    <x v="0"/>
    <m/>
    <m/>
    <n v="12050"/>
    <m/>
    <m/>
    <m/>
  </r>
  <r>
    <x v="237"/>
    <x v="3"/>
    <s v="카카오광고"/>
    <x v="0"/>
    <x v="0"/>
    <x v="0"/>
    <m/>
    <m/>
    <n v="14110"/>
    <m/>
    <m/>
    <m/>
  </r>
  <r>
    <x v="238"/>
    <x v="4"/>
    <s v="카카오광고"/>
    <x v="0"/>
    <x v="0"/>
    <x v="0"/>
    <m/>
    <m/>
    <n v="11310"/>
    <m/>
    <m/>
    <m/>
  </r>
  <r>
    <x v="239"/>
    <x v="1"/>
    <s v="카카오광고"/>
    <x v="0"/>
    <x v="0"/>
    <x v="0"/>
    <m/>
    <m/>
    <n v="10900"/>
    <m/>
    <m/>
    <m/>
  </r>
  <r>
    <x v="240"/>
    <x v="0"/>
    <s v="카카오광고"/>
    <x v="0"/>
    <x v="0"/>
    <x v="0"/>
    <m/>
    <m/>
    <n v="10830"/>
    <m/>
    <m/>
    <m/>
  </r>
  <r>
    <x v="241"/>
    <x v="2"/>
    <s v="카카오광고"/>
    <x v="0"/>
    <x v="0"/>
    <x v="0"/>
    <m/>
    <m/>
    <n v="11860"/>
    <m/>
    <m/>
    <m/>
  </r>
  <r>
    <x v="242"/>
    <x v="5"/>
    <s v="카카오광고"/>
    <x v="0"/>
    <x v="0"/>
    <x v="0"/>
    <m/>
    <m/>
    <n v="10440"/>
    <m/>
    <m/>
    <m/>
  </r>
  <r>
    <x v="243"/>
    <x v="6"/>
    <s v="카카오광고"/>
    <x v="0"/>
    <x v="0"/>
    <x v="0"/>
    <m/>
    <m/>
    <n v="13900"/>
    <m/>
    <m/>
    <m/>
  </r>
  <r>
    <x v="216"/>
    <x v="3"/>
    <s v="네이버 GFA"/>
    <x v="0"/>
    <x v="0"/>
    <x v="0"/>
    <m/>
    <m/>
    <n v="256125.4545454545"/>
    <m/>
    <m/>
    <m/>
  </r>
  <r>
    <x v="218"/>
    <x v="1"/>
    <s v="네이버 GFA"/>
    <x v="0"/>
    <x v="0"/>
    <x v="0"/>
    <m/>
    <m/>
    <n v="113381.8181818182"/>
    <m/>
    <m/>
    <m/>
  </r>
  <r>
    <x v="219"/>
    <x v="0"/>
    <s v="네이버 GFA"/>
    <x v="0"/>
    <x v="0"/>
    <x v="0"/>
    <m/>
    <m/>
    <n v="161790"/>
    <m/>
    <m/>
    <m/>
  </r>
  <r>
    <x v="220"/>
    <x v="2"/>
    <s v="네이버 GFA"/>
    <x v="0"/>
    <x v="0"/>
    <x v="0"/>
    <m/>
    <m/>
    <n v="171693.6363636364"/>
    <m/>
    <m/>
    <m/>
  </r>
  <r>
    <x v="221"/>
    <x v="5"/>
    <s v="네이버 GFA"/>
    <x v="0"/>
    <x v="0"/>
    <x v="0"/>
    <m/>
    <m/>
    <n v="180380.9090909091"/>
    <m/>
    <m/>
    <m/>
  </r>
  <r>
    <x v="222"/>
    <x v="6"/>
    <s v="네이버 GFA"/>
    <x v="0"/>
    <x v="0"/>
    <x v="0"/>
    <m/>
    <m/>
    <n v="175014.5454545454"/>
    <m/>
    <m/>
    <m/>
  </r>
  <r>
    <x v="223"/>
    <x v="3"/>
    <s v="네이버 GFA"/>
    <x v="0"/>
    <x v="0"/>
    <x v="0"/>
    <m/>
    <m/>
    <n v="176703.6363636364"/>
    <m/>
    <m/>
    <m/>
  </r>
  <r>
    <x v="224"/>
    <x v="4"/>
    <s v="네이버 GFA"/>
    <x v="0"/>
    <x v="0"/>
    <x v="0"/>
    <m/>
    <m/>
    <n v="176079.0909090909"/>
    <m/>
    <m/>
    <m/>
  </r>
  <r>
    <x v="225"/>
    <x v="1"/>
    <s v="네이버 GFA"/>
    <x v="0"/>
    <x v="0"/>
    <x v="0"/>
    <m/>
    <m/>
    <n v="176261.8181818182"/>
    <m/>
    <m/>
    <m/>
  </r>
  <r>
    <x v="226"/>
    <x v="0"/>
    <s v="네이버 GFA"/>
    <x v="0"/>
    <x v="0"/>
    <x v="0"/>
    <m/>
    <m/>
    <n v="174419.0909090909"/>
    <m/>
    <m/>
    <m/>
  </r>
  <r>
    <x v="227"/>
    <x v="2"/>
    <s v="네이버 GFA"/>
    <x v="0"/>
    <x v="0"/>
    <x v="0"/>
    <m/>
    <m/>
    <n v="174179.0909090909"/>
    <m/>
    <m/>
    <m/>
  </r>
  <r>
    <x v="228"/>
    <x v="5"/>
    <s v="네이버 GFA"/>
    <x v="0"/>
    <x v="0"/>
    <x v="0"/>
    <m/>
    <m/>
    <n v="175095.4545454545"/>
    <m/>
    <m/>
    <m/>
  </r>
  <r>
    <x v="229"/>
    <x v="6"/>
    <s v="네이버 GFA"/>
    <x v="0"/>
    <x v="0"/>
    <x v="0"/>
    <m/>
    <m/>
    <n v="175893.6363636364"/>
    <m/>
    <m/>
    <m/>
  </r>
  <r>
    <x v="230"/>
    <x v="3"/>
    <s v="네이버 GFA"/>
    <x v="0"/>
    <x v="0"/>
    <x v="0"/>
    <m/>
    <m/>
    <n v="173066.3636363636"/>
    <m/>
    <m/>
    <m/>
  </r>
  <r>
    <x v="231"/>
    <x v="4"/>
    <s v="네이버 GFA"/>
    <x v="0"/>
    <x v="0"/>
    <x v="0"/>
    <m/>
    <m/>
    <n v="173985.4545454545"/>
    <m/>
    <m/>
    <m/>
  </r>
  <r>
    <x v="232"/>
    <x v="1"/>
    <s v="네이버 GFA"/>
    <x v="0"/>
    <x v="0"/>
    <x v="0"/>
    <m/>
    <m/>
    <n v="170103.6363636364"/>
    <m/>
    <m/>
    <m/>
  </r>
  <r>
    <x v="233"/>
    <x v="0"/>
    <s v="네이버 GFA"/>
    <x v="0"/>
    <x v="0"/>
    <x v="0"/>
    <m/>
    <m/>
    <n v="165450.9090909091"/>
    <m/>
    <m/>
    <m/>
  </r>
  <r>
    <x v="234"/>
    <x v="2"/>
    <s v="네이버 GFA"/>
    <x v="0"/>
    <x v="0"/>
    <x v="0"/>
    <m/>
    <m/>
    <n v="165850.9090909091"/>
    <m/>
    <m/>
    <m/>
  </r>
  <r>
    <x v="235"/>
    <x v="5"/>
    <s v="네이버 GFA"/>
    <x v="0"/>
    <x v="0"/>
    <x v="0"/>
    <m/>
    <m/>
    <n v="106975.4545454545"/>
    <m/>
    <m/>
    <m/>
  </r>
  <r>
    <x v="240"/>
    <x v="0"/>
    <s v="네이버 GFA"/>
    <x v="0"/>
    <x v="0"/>
    <x v="0"/>
    <m/>
    <m/>
    <n v="1211.818181818182"/>
    <m/>
    <m/>
    <m/>
  </r>
  <r>
    <x v="226"/>
    <x v="0"/>
    <s v="카카오톡 메시지"/>
    <x v="6"/>
    <x v="0"/>
    <x v="0"/>
    <m/>
    <m/>
    <n v="195720"/>
    <m/>
    <m/>
    <m/>
  </r>
  <r>
    <x v="237"/>
    <x v="3"/>
    <s v="카카오톡 메시지"/>
    <x v="6"/>
    <x v="0"/>
    <x v="0"/>
    <m/>
    <m/>
    <n v="207615"/>
    <m/>
    <m/>
    <m/>
  </r>
  <r>
    <x v="237"/>
    <x v="3"/>
    <s v="기획사이다"/>
    <x v="0"/>
    <x v="0"/>
    <x v="0"/>
    <m/>
    <m/>
    <n v="8000000"/>
    <m/>
    <m/>
    <m/>
  </r>
  <r>
    <x v="244"/>
    <x v="4"/>
    <s v="기획사이다"/>
    <x v="0"/>
    <x v="0"/>
    <x v="0"/>
    <m/>
    <m/>
    <n v="7727272.727272727"/>
    <m/>
    <m/>
    <m/>
  </r>
  <r>
    <x v="245"/>
    <x v="3"/>
    <s v="기획사이다"/>
    <x v="0"/>
    <x v="0"/>
    <x v="0"/>
    <m/>
    <m/>
    <n v="10743636.36363636"/>
    <m/>
    <m/>
    <m/>
  </r>
  <r>
    <x v="246"/>
    <x v="3"/>
    <s v="네이버 브랜드검색"/>
    <x v="0"/>
    <x v="0"/>
    <x v="0"/>
    <m/>
    <m/>
    <n v="120000"/>
    <m/>
    <m/>
    <m/>
  </r>
  <r>
    <x v="247"/>
    <x v="4"/>
    <s v="네이버 브랜드검색"/>
    <x v="0"/>
    <x v="0"/>
    <x v="0"/>
    <m/>
    <m/>
    <n v="120000"/>
    <m/>
    <m/>
    <m/>
  </r>
  <r>
    <x v="248"/>
    <x v="1"/>
    <s v="네이버 브랜드검색"/>
    <x v="0"/>
    <x v="0"/>
    <x v="0"/>
    <m/>
    <m/>
    <n v="120000"/>
    <m/>
    <m/>
    <m/>
  </r>
  <r>
    <x v="249"/>
    <x v="0"/>
    <s v="네이버 브랜드검색"/>
    <x v="0"/>
    <x v="0"/>
    <x v="0"/>
    <m/>
    <m/>
    <n v="120000"/>
    <m/>
    <m/>
    <m/>
  </r>
  <r>
    <x v="250"/>
    <x v="2"/>
    <s v="네이버 브랜드검색"/>
    <x v="0"/>
    <x v="0"/>
    <x v="0"/>
    <m/>
    <m/>
    <n v="120000"/>
    <m/>
    <m/>
    <m/>
  </r>
  <r>
    <x v="251"/>
    <x v="5"/>
    <s v="네이버 브랜드검색"/>
    <x v="0"/>
    <x v="0"/>
    <x v="0"/>
    <m/>
    <m/>
    <n v="120000"/>
    <m/>
    <m/>
    <m/>
  </r>
  <r>
    <x v="252"/>
    <x v="6"/>
    <s v="네이버 브랜드검색"/>
    <x v="0"/>
    <x v="0"/>
    <x v="0"/>
    <m/>
    <m/>
    <n v="120000"/>
    <m/>
    <m/>
    <m/>
  </r>
  <r>
    <x v="253"/>
    <x v="3"/>
    <s v="네이버 브랜드검색"/>
    <x v="0"/>
    <x v="0"/>
    <x v="0"/>
    <m/>
    <m/>
    <n v="120000"/>
    <m/>
    <m/>
    <m/>
  </r>
  <r>
    <x v="254"/>
    <x v="4"/>
    <s v="네이버 브랜드검색"/>
    <x v="0"/>
    <x v="0"/>
    <x v="0"/>
    <m/>
    <m/>
    <n v="120000"/>
    <m/>
    <m/>
    <m/>
  </r>
  <r>
    <x v="255"/>
    <x v="1"/>
    <s v="네이버 브랜드검색"/>
    <x v="0"/>
    <x v="0"/>
    <x v="0"/>
    <m/>
    <m/>
    <n v="120000"/>
    <m/>
    <m/>
    <m/>
  </r>
  <r>
    <x v="256"/>
    <x v="0"/>
    <s v="네이버 브랜드검색"/>
    <x v="0"/>
    <x v="0"/>
    <x v="0"/>
    <m/>
    <m/>
    <n v="120000"/>
    <m/>
    <m/>
    <m/>
  </r>
  <r>
    <x v="257"/>
    <x v="2"/>
    <s v="네이버 브랜드검색"/>
    <x v="0"/>
    <x v="0"/>
    <x v="0"/>
    <m/>
    <m/>
    <n v="120000"/>
    <m/>
    <m/>
    <m/>
  </r>
  <r>
    <x v="258"/>
    <x v="5"/>
    <s v="네이버 브랜드검색"/>
    <x v="0"/>
    <x v="0"/>
    <x v="0"/>
    <m/>
    <m/>
    <n v="120000"/>
    <m/>
    <m/>
    <m/>
  </r>
  <r>
    <x v="259"/>
    <x v="6"/>
    <s v="네이버 브랜드검색"/>
    <x v="0"/>
    <x v="0"/>
    <x v="0"/>
    <m/>
    <m/>
    <n v="120000"/>
    <m/>
    <m/>
    <m/>
  </r>
  <r>
    <x v="260"/>
    <x v="3"/>
    <s v="네이버 브랜드검색"/>
    <x v="0"/>
    <x v="0"/>
    <x v="0"/>
    <m/>
    <m/>
    <n v="120000"/>
    <m/>
    <m/>
    <m/>
  </r>
  <r>
    <x v="261"/>
    <x v="4"/>
    <s v="네이버 브랜드검색"/>
    <x v="0"/>
    <x v="0"/>
    <x v="0"/>
    <m/>
    <m/>
    <n v="120000"/>
    <m/>
    <m/>
    <m/>
  </r>
  <r>
    <x v="262"/>
    <x v="1"/>
    <s v="네이버 브랜드검색"/>
    <x v="0"/>
    <x v="0"/>
    <x v="0"/>
    <m/>
    <m/>
    <n v="120000"/>
    <m/>
    <m/>
    <m/>
  </r>
  <r>
    <x v="263"/>
    <x v="0"/>
    <s v="네이버 브랜드검색"/>
    <x v="0"/>
    <x v="0"/>
    <x v="0"/>
    <m/>
    <m/>
    <n v="120000"/>
    <m/>
    <m/>
    <m/>
  </r>
  <r>
    <x v="264"/>
    <x v="2"/>
    <s v="네이버 브랜드검색"/>
    <x v="0"/>
    <x v="0"/>
    <x v="0"/>
    <m/>
    <m/>
    <n v="120000"/>
    <m/>
    <m/>
    <m/>
  </r>
  <r>
    <x v="265"/>
    <x v="5"/>
    <s v="네이버 브랜드검색"/>
    <x v="0"/>
    <x v="0"/>
    <x v="0"/>
    <m/>
    <m/>
    <n v="120000"/>
    <m/>
    <m/>
    <m/>
  </r>
  <r>
    <x v="266"/>
    <x v="6"/>
    <s v="네이버 브랜드검색"/>
    <x v="0"/>
    <x v="0"/>
    <x v="0"/>
    <m/>
    <m/>
    <n v="120000"/>
    <m/>
    <m/>
    <m/>
  </r>
  <r>
    <x v="267"/>
    <x v="3"/>
    <s v="네이버 브랜드검색"/>
    <x v="0"/>
    <x v="0"/>
    <x v="0"/>
    <m/>
    <m/>
    <n v="120000"/>
    <m/>
    <m/>
    <m/>
  </r>
  <r>
    <x v="268"/>
    <x v="4"/>
    <s v="네이버 브랜드검색"/>
    <x v="0"/>
    <x v="0"/>
    <x v="0"/>
    <m/>
    <m/>
    <n v="120000"/>
    <m/>
    <m/>
    <m/>
  </r>
  <r>
    <x v="269"/>
    <x v="1"/>
    <s v="네이버 브랜드검색"/>
    <x v="0"/>
    <x v="0"/>
    <x v="0"/>
    <m/>
    <m/>
    <n v="120000"/>
    <m/>
    <m/>
    <m/>
  </r>
  <r>
    <x v="270"/>
    <x v="0"/>
    <s v="네이버 브랜드검색"/>
    <x v="0"/>
    <x v="0"/>
    <x v="0"/>
    <m/>
    <m/>
    <n v="100000"/>
    <m/>
    <m/>
    <m/>
  </r>
  <r>
    <x v="271"/>
    <x v="2"/>
    <s v="네이버 브랜드검색"/>
    <x v="0"/>
    <x v="0"/>
    <x v="0"/>
    <m/>
    <m/>
    <n v="100000"/>
    <m/>
    <m/>
    <m/>
  </r>
  <r>
    <x v="272"/>
    <x v="5"/>
    <s v="네이버 브랜드검색"/>
    <x v="0"/>
    <x v="0"/>
    <x v="0"/>
    <m/>
    <m/>
    <n v="100000"/>
    <m/>
    <m/>
    <m/>
  </r>
  <r>
    <x v="273"/>
    <x v="6"/>
    <s v="네이버 브랜드검색"/>
    <x v="0"/>
    <x v="0"/>
    <x v="0"/>
    <m/>
    <m/>
    <n v="100000"/>
    <m/>
    <m/>
    <m/>
  </r>
  <r>
    <x v="274"/>
    <x v="3"/>
    <s v="네이버 브랜드검색"/>
    <x v="0"/>
    <x v="0"/>
    <x v="0"/>
    <m/>
    <m/>
    <n v="100000"/>
    <m/>
    <m/>
    <m/>
  </r>
  <r>
    <x v="275"/>
    <x v="4"/>
    <s v="네이버 브랜드검색"/>
    <x v="0"/>
    <x v="0"/>
    <x v="0"/>
    <m/>
    <m/>
    <n v="100000"/>
    <m/>
    <m/>
    <m/>
  </r>
  <r>
    <x v="276"/>
    <x v="1"/>
    <s v="네이버 브랜드검색"/>
    <x v="0"/>
    <x v="0"/>
    <x v="0"/>
    <m/>
    <m/>
    <n v="100000"/>
    <m/>
    <m/>
    <m/>
  </r>
  <r>
    <x v="277"/>
    <x v="0"/>
    <s v="네이버 브랜드검색"/>
    <x v="0"/>
    <x v="0"/>
    <x v="0"/>
    <m/>
    <m/>
    <n v="50000"/>
    <m/>
    <m/>
    <m/>
  </r>
  <r>
    <x v="278"/>
    <x v="2"/>
    <s v="네이버 브랜드검색"/>
    <x v="0"/>
    <x v="0"/>
    <x v="0"/>
    <m/>
    <m/>
    <n v="50000"/>
    <m/>
    <m/>
    <m/>
  </r>
  <r>
    <x v="279"/>
    <x v="5"/>
    <s v="네이버 브랜드검색"/>
    <x v="0"/>
    <x v="0"/>
    <x v="0"/>
    <m/>
    <m/>
    <n v="50000"/>
    <m/>
    <m/>
    <m/>
  </r>
  <r>
    <x v="280"/>
    <x v="6"/>
    <s v="네이버 브랜드검색"/>
    <x v="0"/>
    <x v="0"/>
    <x v="0"/>
    <m/>
    <m/>
    <n v="50000"/>
    <m/>
    <m/>
    <m/>
  </r>
  <r>
    <x v="281"/>
    <x v="3"/>
    <s v="네이버 브랜드검색"/>
    <x v="0"/>
    <x v="0"/>
    <x v="0"/>
    <m/>
    <m/>
    <n v="50000"/>
    <m/>
    <m/>
    <m/>
  </r>
  <r>
    <x v="282"/>
    <x v="4"/>
    <s v="네이버 브랜드검색"/>
    <x v="0"/>
    <x v="0"/>
    <x v="0"/>
    <m/>
    <m/>
    <n v="50000"/>
    <m/>
    <m/>
    <m/>
  </r>
  <r>
    <x v="283"/>
    <x v="1"/>
    <s v="네이버 브랜드검색"/>
    <x v="0"/>
    <x v="0"/>
    <x v="0"/>
    <m/>
    <m/>
    <n v="50000"/>
    <m/>
    <m/>
    <m/>
  </r>
  <r>
    <x v="284"/>
    <x v="0"/>
    <s v="네이버 브랜드검색"/>
    <x v="0"/>
    <x v="0"/>
    <x v="0"/>
    <m/>
    <m/>
    <n v="50000"/>
    <m/>
    <m/>
    <m/>
  </r>
  <r>
    <x v="285"/>
    <x v="2"/>
    <s v="네이버 브랜드검색"/>
    <x v="0"/>
    <x v="0"/>
    <x v="0"/>
    <m/>
    <m/>
    <n v="50000"/>
    <m/>
    <m/>
    <m/>
  </r>
  <r>
    <x v="286"/>
    <x v="5"/>
    <s v="네이버 브랜드검색"/>
    <x v="0"/>
    <x v="0"/>
    <x v="0"/>
    <m/>
    <m/>
    <n v="50000"/>
    <m/>
    <m/>
    <m/>
  </r>
  <r>
    <x v="287"/>
    <x v="6"/>
    <s v="네이버 브랜드검색"/>
    <x v="0"/>
    <x v="0"/>
    <x v="0"/>
    <m/>
    <m/>
    <n v="50000"/>
    <m/>
    <m/>
    <m/>
  </r>
  <r>
    <x v="288"/>
    <x v="3"/>
    <s v="네이버 브랜드검색"/>
    <x v="0"/>
    <x v="0"/>
    <x v="0"/>
    <m/>
    <m/>
    <n v="50000"/>
    <m/>
    <m/>
    <m/>
  </r>
  <r>
    <x v="289"/>
    <x v="4"/>
    <s v="네이버 브랜드검색"/>
    <x v="0"/>
    <x v="0"/>
    <x v="0"/>
    <m/>
    <m/>
    <n v="50000"/>
    <m/>
    <m/>
    <m/>
  </r>
  <r>
    <x v="290"/>
    <x v="1"/>
    <s v="네이버 브랜드검색"/>
    <x v="0"/>
    <x v="0"/>
    <x v="0"/>
    <m/>
    <m/>
    <n v="50000"/>
    <m/>
    <m/>
    <m/>
  </r>
  <r>
    <x v="291"/>
    <x v="0"/>
    <s v="네이버 브랜드검색"/>
    <x v="0"/>
    <x v="0"/>
    <x v="0"/>
    <m/>
    <m/>
    <n v="50000"/>
    <m/>
    <m/>
    <m/>
  </r>
  <r>
    <x v="292"/>
    <x v="2"/>
    <s v="네이버 브랜드검색"/>
    <x v="0"/>
    <x v="0"/>
    <x v="0"/>
    <m/>
    <m/>
    <n v="50000"/>
    <m/>
    <m/>
    <m/>
  </r>
  <r>
    <x v="293"/>
    <x v="5"/>
    <s v="네이버 브랜드검색"/>
    <x v="0"/>
    <x v="0"/>
    <x v="0"/>
    <m/>
    <m/>
    <n v="50000"/>
    <m/>
    <m/>
    <m/>
  </r>
  <r>
    <x v="294"/>
    <x v="6"/>
    <s v="네이버 브랜드검색"/>
    <x v="0"/>
    <x v="0"/>
    <x v="0"/>
    <m/>
    <m/>
    <n v="50000"/>
    <m/>
    <m/>
    <m/>
  </r>
  <r>
    <x v="295"/>
    <x v="3"/>
    <s v="네이버 브랜드검색"/>
    <x v="0"/>
    <x v="0"/>
    <x v="0"/>
    <m/>
    <m/>
    <n v="50000"/>
    <m/>
    <m/>
    <m/>
  </r>
  <r>
    <x v="246"/>
    <x v="3"/>
    <s v="페이스북/인스타그램"/>
    <x v="0"/>
    <x v="0"/>
    <x v="0"/>
    <m/>
    <m/>
    <n v="906693"/>
    <m/>
    <m/>
    <m/>
  </r>
  <r>
    <x v="247"/>
    <x v="4"/>
    <s v="페이스북/인스타그램"/>
    <x v="0"/>
    <x v="0"/>
    <x v="0"/>
    <m/>
    <m/>
    <n v="913859"/>
    <m/>
    <m/>
    <m/>
  </r>
  <r>
    <x v="248"/>
    <x v="1"/>
    <s v="페이스북/인스타그램"/>
    <x v="0"/>
    <x v="0"/>
    <x v="0"/>
    <m/>
    <m/>
    <n v="925087"/>
    <m/>
    <m/>
    <m/>
  </r>
  <r>
    <x v="249"/>
    <x v="0"/>
    <s v="페이스북/인스타그램"/>
    <x v="0"/>
    <x v="0"/>
    <x v="0"/>
    <m/>
    <m/>
    <n v="918197"/>
    <m/>
    <m/>
    <m/>
  </r>
  <r>
    <x v="250"/>
    <x v="2"/>
    <s v="페이스북/인스타그램"/>
    <x v="0"/>
    <x v="0"/>
    <x v="0"/>
    <m/>
    <m/>
    <n v="867829"/>
    <m/>
    <m/>
    <m/>
  </r>
  <r>
    <x v="251"/>
    <x v="5"/>
    <s v="페이스북/인스타그램"/>
    <x v="0"/>
    <x v="0"/>
    <x v="0"/>
    <m/>
    <m/>
    <n v="1045713"/>
    <m/>
    <m/>
    <m/>
  </r>
  <r>
    <x v="252"/>
    <x v="6"/>
    <s v="페이스북/인스타그램"/>
    <x v="0"/>
    <x v="0"/>
    <x v="0"/>
    <m/>
    <m/>
    <n v="931396"/>
    <m/>
    <m/>
    <m/>
  </r>
  <r>
    <x v="253"/>
    <x v="3"/>
    <s v="페이스북/인스타그램"/>
    <x v="0"/>
    <x v="0"/>
    <x v="0"/>
    <m/>
    <m/>
    <n v="908951"/>
    <m/>
    <m/>
    <m/>
  </r>
  <r>
    <x v="254"/>
    <x v="4"/>
    <s v="페이스북/인스타그램"/>
    <x v="0"/>
    <x v="0"/>
    <x v="0"/>
    <m/>
    <m/>
    <n v="929852"/>
    <m/>
    <m/>
    <m/>
  </r>
  <r>
    <x v="255"/>
    <x v="1"/>
    <s v="페이스북/인스타그램"/>
    <x v="0"/>
    <x v="0"/>
    <x v="0"/>
    <m/>
    <m/>
    <n v="950064"/>
    <m/>
    <m/>
    <m/>
  </r>
  <r>
    <x v="256"/>
    <x v="0"/>
    <s v="페이스북/인스타그램"/>
    <x v="0"/>
    <x v="0"/>
    <x v="0"/>
    <m/>
    <m/>
    <n v="1046113"/>
    <m/>
    <m/>
    <m/>
  </r>
  <r>
    <x v="257"/>
    <x v="2"/>
    <s v="페이스북/인스타그램"/>
    <x v="0"/>
    <x v="0"/>
    <x v="0"/>
    <m/>
    <m/>
    <n v="1103296"/>
    <m/>
    <m/>
    <m/>
  </r>
  <r>
    <x v="258"/>
    <x v="5"/>
    <s v="페이스북/인스타그램"/>
    <x v="0"/>
    <x v="0"/>
    <x v="0"/>
    <m/>
    <m/>
    <n v="1055474"/>
    <m/>
    <m/>
    <m/>
  </r>
  <r>
    <x v="259"/>
    <x v="6"/>
    <s v="페이스북/인스타그램"/>
    <x v="0"/>
    <x v="0"/>
    <x v="0"/>
    <m/>
    <m/>
    <n v="980815"/>
    <m/>
    <m/>
    <m/>
  </r>
  <r>
    <x v="260"/>
    <x v="3"/>
    <s v="페이스북/인스타그램"/>
    <x v="0"/>
    <x v="0"/>
    <x v="0"/>
    <m/>
    <m/>
    <n v="944873"/>
    <m/>
    <m/>
    <m/>
  </r>
  <r>
    <x v="261"/>
    <x v="4"/>
    <s v="페이스북/인스타그램"/>
    <x v="0"/>
    <x v="0"/>
    <x v="0"/>
    <m/>
    <m/>
    <n v="975856"/>
    <m/>
    <m/>
    <m/>
  </r>
  <r>
    <x v="262"/>
    <x v="1"/>
    <s v="페이스북/인스타그램"/>
    <x v="0"/>
    <x v="0"/>
    <x v="0"/>
    <m/>
    <m/>
    <n v="1013497"/>
    <m/>
    <m/>
    <m/>
  </r>
  <r>
    <x v="263"/>
    <x v="0"/>
    <s v="페이스북/인스타그램"/>
    <x v="0"/>
    <x v="0"/>
    <x v="0"/>
    <m/>
    <m/>
    <n v="1194806"/>
    <m/>
    <m/>
    <m/>
  </r>
  <r>
    <x v="264"/>
    <x v="2"/>
    <s v="페이스북/인스타그램"/>
    <x v="0"/>
    <x v="0"/>
    <x v="0"/>
    <m/>
    <m/>
    <n v="1093008"/>
    <m/>
    <m/>
    <m/>
  </r>
  <r>
    <x v="265"/>
    <x v="5"/>
    <s v="페이스북/인스타그램"/>
    <x v="0"/>
    <x v="0"/>
    <x v="0"/>
    <m/>
    <m/>
    <n v="997917"/>
    <m/>
    <m/>
    <m/>
  </r>
  <r>
    <x v="266"/>
    <x v="6"/>
    <s v="페이스북/인스타그램"/>
    <x v="0"/>
    <x v="0"/>
    <x v="0"/>
    <m/>
    <m/>
    <n v="981630"/>
    <m/>
    <m/>
    <m/>
  </r>
  <r>
    <x v="267"/>
    <x v="3"/>
    <s v="페이스북/인스타그램"/>
    <x v="0"/>
    <x v="0"/>
    <x v="0"/>
    <m/>
    <m/>
    <n v="958828"/>
    <m/>
    <m/>
    <m/>
  </r>
  <r>
    <x v="268"/>
    <x v="4"/>
    <s v="페이스북/인스타그램"/>
    <x v="0"/>
    <x v="0"/>
    <x v="0"/>
    <m/>
    <m/>
    <n v="984741"/>
    <m/>
    <m/>
    <m/>
  </r>
  <r>
    <x v="269"/>
    <x v="1"/>
    <s v="페이스북/인스타그램"/>
    <x v="0"/>
    <x v="0"/>
    <x v="0"/>
    <m/>
    <m/>
    <n v="957482"/>
    <m/>
    <m/>
    <m/>
  </r>
  <r>
    <x v="270"/>
    <x v="0"/>
    <s v="페이스북/인스타그램"/>
    <x v="0"/>
    <x v="0"/>
    <x v="0"/>
    <m/>
    <m/>
    <n v="955821"/>
    <m/>
    <m/>
    <m/>
  </r>
  <r>
    <x v="271"/>
    <x v="2"/>
    <s v="페이스북/인스타그램"/>
    <x v="0"/>
    <x v="0"/>
    <x v="0"/>
    <m/>
    <m/>
    <n v="971434"/>
    <m/>
    <m/>
    <m/>
  </r>
  <r>
    <x v="272"/>
    <x v="5"/>
    <s v="페이스북/인스타그램"/>
    <x v="0"/>
    <x v="0"/>
    <x v="0"/>
    <m/>
    <m/>
    <n v="1050035"/>
    <m/>
    <m/>
    <m/>
  </r>
  <r>
    <x v="273"/>
    <x v="6"/>
    <s v="페이스북/인스타그램"/>
    <x v="0"/>
    <x v="0"/>
    <x v="0"/>
    <m/>
    <m/>
    <n v="983009"/>
    <m/>
    <m/>
    <m/>
  </r>
  <r>
    <x v="274"/>
    <x v="3"/>
    <s v="페이스북/인스타그램"/>
    <x v="0"/>
    <x v="0"/>
    <x v="0"/>
    <m/>
    <m/>
    <n v="864619"/>
    <m/>
    <m/>
    <m/>
  </r>
  <r>
    <x v="275"/>
    <x v="4"/>
    <s v="페이스북/인스타그램"/>
    <x v="0"/>
    <x v="0"/>
    <x v="0"/>
    <m/>
    <m/>
    <n v="589284"/>
    <m/>
    <m/>
    <m/>
  </r>
  <r>
    <x v="276"/>
    <x v="1"/>
    <s v="페이스북/인스타그램"/>
    <x v="0"/>
    <x v="0"/>
    <x v="0"/>
    <m/>
    <m/>
    <n v="475294"/>
    <m/>
    <m/>
    <m/>
  </r>
  <r>
    <x v="277"/>
    <x v="0"/>
    <s v="페이스북/인스타그램"/>
    <x v="0"/>
    <x v="0"/>
    <x v="0"/>
    <m/>
    <m/>
    <n v="460614"/>
    <m/>
    <m/>
    <m/>
  </r>
  <r>
    <x v="278"/>
    <x v="2"/>
    <s v="페이스북/인스타그램"/>
    <x v="0"/>
    <x v="0"/>
    <x v="0"/>
    <m/>
    <m/>
    <n v="407525"/>
    <m/>
    <m/>
    <m/>
  </r>
  <r>
    <x v="279"/>
    <x v="5"/>
    <s v="페이스북/인스타그램"/>
    <x v="0"/>
    <x v="0"/>
    <x v="0"/>
    <m/>
    <m/>
    <n v="297970"/>
    <m/>
    <m/>
    <m/>
  </r>
  <r>
    <x v="280"/>
    <x v="6"/>
    <s v="페이스북/인스타그램"/>
    <x v="0"/>
    <x v="0"/>
    <x v="0"/>
    <m/>
    <m/>
    <n v="442737"/>
    <m/>
    <m/>
    <m/>
  </r>
  <r>
    <x v="281"/>
    <x v="3"/>
    <s v="페이스북/인스타그램"/>
    <x v="0"/>
    <x v="0"/>
    <x v="0"/>
    <m/>
    <m/>
    <n v="507581"/>
    <m/>
    <m/>
    <m/>
  </r>
  <r>
    <x v="282"/>
    <x v="4"/>
    <s v="페이스북/인스타그램"/>
    <x v="0"/>
    <x v="0"/>
    <x v="0"/>
    <m/>
    <m/>
    <n v="493234"/>
    <m/>
    <m/>
    <m/>
  </r>
  <r>
    <x v="283"/>
    <x v="1"/>
    <s v="페이스북/인스타그램"/>
    <x v="0"/>
    <x v="0"/>
    <x v="0"/>
    <m/>
    <m/>
    <n v="410599"/>
    <m/>
    <m/>
    <m/>
  </r>
  <r>
    <x v="284"/>
    <x v="0"/>
    <s v="페이스북/인스타그램"/>
    <x v="0"/>
    <x v="0"/>
    <x v="0"/>
    <m/>
    <m/>
    <n v="432117"/>
    <m/>
    <m/>
    <m/>
  </r>
  <r>
    <x v="285"/>
    <x v="2"/>
    <s v="페이스북/인스타그램"/>
    <x v="0"/>
    <x v="0"/>
    <x v="0"/>
    <m/>
    <m/>
    <n v="475119"/>
    <m/>
    <m/>
    <m/>
  </r>
  <r>
    <x v="286"/>
    <x v="5"/>
    <s v="페이스북/인스타그램"/>
    <x v="0"/>
    <x v="0"/>
    <x v="0"/>
    <m/>
    <m/>
    <n v="336260"/>
    <m/>
    <m/>
    <m/>
  </r>
  <r>
    <x v="287"/>
    <x v="6"/>
    <s v="페이스북/인스타그램"/>
    <x v="0"/>
    <x v="0"/>
    <x v="0"/>
    <m/>
    <m/>
    <n v="683454"/>
    <m/>
    <m/>
    <m/>
  </r>
  <r>
    <x v="288"/>
    <x v="3"/>
    <s v="페이스북/인스타그램"/>
    <x v="0"/>
    <x v="0"/>
    <x v="0"/>
    <m/>
    <m/>
    <n v="748942"/>
    <m/>
    <m/>
    <m/>
  </r>
  <r>
    <x v="289"/>
    <x v="4"/>
    <s v="페이스북/인스타그램"/>
    <x v="0"/>
    <x v="0"/>
    <x v="0"/>
    <m/>
    <m/>
    <n v="1193212"/>
    <m/>
    <m/>
    <m/>
  </r>
  <r>
    <x v="290"/>
    <x v="1"/>
    <s v="페이스북/인스타그램"/>
    <x v="0"/>
    <x v="0"/>
    <x v="0"/>
    <m/>
    <m/>
    <n v="907765"/>
    <m/>
    <m/>
    <m/>
  </r>
  <r>
    <x v="291"/>
    <x v="0"/>
    <s v="페이스북/인스타그램"/>
    <x v="0"/>
    <x v="0"/>
    <x v="0"/>
    <m/>
    <m/>
    <n v="677537"/>
    <m/>
    <m/>
    <m/>
  </r>
  <r>
    <x v="292"/>
    <x v="2"/>
    <s v="페이스북/인스타그램"/>
    <x v="0"/>
    <x v="0"/>
    <x v="0"/>
    <m/>
    <m/>
    <n v="505633"/>
    <m/>
    <m/>
    <m/>
  </r>
  <r>
    <x v="293"/>
    <x v="5"/>
    <s v="페이스북/인스타그램"/>
    <x v="0"/>
    <x v="0"/>
    <x v="0"/>
    <m/>
    <m/>
    <n v="366610"/>
    <m/>
    <m/>
    <m/>
  </r>
  <r>
    <x v="294"/>
    <x v="6"/>
    <s v="페이스북/인스타그램"/>
    <x v="0"/>
    <x v="0"/>
    <x v="0"/>
    <m/>
    <m/>
    <n v="499987"/>
    <m/>
    <m/>
    <m/>
  </r>
  <r>
    <x v="295"/>
    <x v="3"/>
    <s v="페이스북/인스타그램"/>
    <x v="0"/>
    <x v="0"/>
    <x v="0"/>
    <m/>
    <m/>
    <n v="344181"/>
    <m/>
    <m/>
    <m/>
  </r>
  <r>
    <x v="246"/>
    <x v="3"/>
    <s v="페이스북/인스타그램"/>
    <x v="6"/>
    <x v="0"/>
    <x v="0"/>
    <m/>
    <m/>
    <n v="230258"/>
    <m/>
    <m/>
    <m/>
  </r>
  <r>
    <x v="247"/>
    <x v="4"/>
    <s v="페이스북/인스타그램"/>
    <x v="6"/>
    <x v="0"/>
    <x v="0"/>
    <m/>
    <m/>
    <n v="306777"/>
    <m/>
    <m/>
    <m/>
  </r>
  <r>
    <x v="248"/>
    <x v="1"/>
    <s v="페이스북/인스타그램"/>
    <x v="6"/>
    <x v="0"/>
    <x v="0"/>
    <m/>
    <m/>
    <n v="349054"/>
    <m/>
    <m/>
    <m/>
  </r>
  <r>
    <x v="249"/>
    <x v="0"/>
    <s v="페이스북/인스타그램"/>
    <x v="6"/>
    <x v="0"/>
    <x v="0"/>
    <m/>
    <m/>
    <n v="347887"/>
    <m/>
    <m/>
    <m/>
  </r>
  <r>
    <x v="250"/>
    <x v="2"/>
    <s v="페이스북/인스타그램"/>
    <x v="6"/>
    <x v="0"/>
    <x v="0"/>
    <m/>
    <m/>
    <n v="288936"/>
    <m/>
    <m/>
    <m/>
  </r>
  <r>
    <x v="251"/>
    <x v="5"/>
    <s v="페이스북/인스타그램"/>
    <x v="6"/>
    <x v="0"/>
    <x v="0"/>
    <m/>
    <m/>
    <n v="255359"/>
    <m/>
    <m/>
    <m/>
  </r>
  <r>
    <x v="252"/>
    <x v="6"/>
    <s v="페이스북/인스타그램"/>
    <x v="6"/>
    <x v="0"/>
    <x v="0"/>
    <m/>
    <m/>
    <n v="251005"/>
    <m/>
    <m/>
    <m/>
  </r>
  <r>
    <x v="253"/>
    <x v="3"/>
    <s v="페이스북/인스타그램"/>
    <x v="6"/>
    <x v="0"/>
    <x v="0"/>
    <m/>
    <m/>
    <n v="202755"/>
    <m/>
    <m/>
    <m/>
  </r>
  <r>
    <x v="254"/>
    <x v="4"/>
    <s v="페이스북/인스타그램"/>
    <x v="6"/>
    <x v="0"/>
    <x v="0"/>
    <m/>
    <m/>
    <n v="191655"/>
    <m/>
    <m/>
    <m/>
  </r>
  <r>
    <x v="255"/>
    <x v="1"/>
    <s v="페이스북/인스타그램"/>
    <x v="6"/>
    <x v="0"/>
    <x v="0"/>
    <m/>
    <m/>
    <n v="189906"/>
    <m/>
    <m/>
    <m/>
  </r>
  <r>
    <x v="256"/>
    <x v="0"/>
    <s v="페이스북/인스타그램"/>
    <x v="6"/>
    <x v="0"/>
    <x v="0"/>
    <m/>
    <m/>
    <n v="194898"/>
    <m/>
    <m/>
    <m/>
  </r>
  <r>
    <x v="257"/>
    <x v="2"/>
    <s v="페이스북/인스타그램"/>
    <x v="6"/>
    <x v="0"/>
    <x v="0"/>
    <m/>
    <m/>
    <n v="197022"/>
    <m/>
    <m/>
    <m/>
  </r>
  <r>
    <x v="258"/>
    <x v="5"/>
    <s v="페이스북/인스타그램"/>
    <x v="6"/>
    <x v="0"/>
    <x v="0"/>
    <m/>
    <m/>
    <n v="210002"/>
    <m/>
    <m/>
    <m/>
  </r>
  <r>
    <x v="259"/>
    <x v="6"/>
    <s v="페이스북/인스타그램"/>
    <x v="6"/>
    <x v="0"/>
    <x v="0"/>
    <m/>
    <m/>
    <n v="200976"/>
    <m/>
    <m/>
    <m/>
  </r>
  <r>
    <x v="260"/>
    <x v="3"/>
    <s v="페이스북/인스타그램"/>
    <x v="6"/>
    <x v="0"/>
    <x v="0"/>
    <m/>
    <m/>
    <n v="191422"/>
    <m/>
    <m/>
    <m/>
  </r>
  <r>
    <x v="261"/>
    <x v="4"/>
    <s v="페이스북/인스타그램"/>
    <x v="6"/>
    <x v="0"/>
    <x v="0"/>
    <m/>
    <m/>
    <n v="211328"/>
    <m/>
    <m/>
    <m/>
  </r>
  <r>
    <x v="262"/>
    <x v="1"/>
    <s v="페이스북/인스타그램"/>
    <x v="6"/>
    <x v="0"/>
    <x v="0"/>
    <m/>
    <m/>
    <n v="250306"/>
    <m/>
    <m/>
    <m/>
  </r>
  <r>
    <x v="263"/>
    <x v="0"/>
    <s v="페이스북/인스타그램"/>
    <x v="6"/>
    <x v="0"/>
    <x v="0"/>
    <m/>
    <m/>
    <n v="808409"/>
    <m/>
    <m/>
    <m/>
  </r>
  <r>
    <x v="264"/>
    <x v="2"/>
    <s v="페이스북/인스타그램"/>
    <x v="6"/>
    <x v="0"/>
    <x v="0"/>
    <m/>
    <m/>
    <n v="715304"/>
    <m/>
    <m/>
    <m/>
  </r>
  <r>
    <x v="265"/>
    <x v="5"/>
    <s v="페이스북/인스타그램"/>
    <x v="6"/>
    <x v="0"/>
    <x v="0"/>
    <m/>
    <m/>
    <n v="102806"/>
    <m/>
    <m/>
    <m/>
  </r>
  <r>
    <x v="267"/>
    <x v="3"/>
    <s v="페이스북/인스타그램"/>
    <x v="6"/>
    <x v="0"/>
    <x v="0"/>
    <m/>
    <m/>
    <n v="37887"/>
    <m/>
    <m/>
    <m/>
  </r>
  <r>
    <x v="268"/>
    <x v="4"/>
    <s v="페이스북/인스타그램"/>
    <x v="6"/>
    <x v="0"/>
    <x v="0"/>
    <m/>
    <m/>
    <n v="108574"/>
    <m/>
    <m/>
    <m/>
  </r>
  <r>
    <x v="269"/>
    <x v="1"/>
    <s v="페이스북/인스타그램"/>
    <x v="6"/>
    <x v="0"/>
    <x v="0"/>
    <m/>
    <m/>
    <n v="22905"/>
    <m/>
    <m/>
    <m/>
  </r>
  <r>
    <x v="270"/>
    <x v="0"/>
    <s v="페이스북/인스타그램"/>
    <x v="6"/>
    <x v="0"/>
    <x v="0"/>
    <m/>
    <m/>
    <n v="240418"/>
    <m/>
    <m/>
    <m/>
  </r>
  <r>
    <x v="271"/>
    <x v="2"/>
    <s v="페이스북/인스타그램"/>
    <x v="6"/>
    <x v="0"/>
    <x v="0"/>
    <m/>
    <m/>
    <n v="564316"/>
    <m/>
    <m/>
    <m/>
  </r>
  <r>
    <x v="272"/>
    <x v="5"/>
    <s v="페이스북/인스타그램"/>
    <x v="6"/>
    <x v="0"/>
    <x v="0"/>
    <m/>
    <m/>
    <n v="434729"/>
    <m/>
    <m/>
    <m/>
  </r>
  <r>
    <x v="273"/>
    <x v="6"/>
    <s v="페이스북/인스타그램"/>
    <x v="6"/>
    <x v="0"/>
    <x v="0"/>
    <m/>
    <m/>
    <n v="263331"/>
    <m/>
    <m/>
    <m/>
  </r>
  <r>
    <x v="274"/>
    <x v="3"/>
    <s v="페이스북/인스타그램"/>
    <x v="6"/>
    <x v="0"/>
    <x v="0"/>
    <m/>
    <m/>
    <n v="426827"/>
    <m/>
    <m/>
    <m/>
  </r>
  <r>
    <x v="275"/>
    <x v="4"/>
    <s v="페이스북/인스타그램"/>
    <x v="6"/>
    <x v="0"/>
    <x v="0"/>
    <m/>
    <m/>
    <n v="1013264"/>
    <m/>
    <m/>
    <m/>
  </r>
  <r>
    <x v="276"/>
    <x v="1"/>
    <s v="페이스북/인스타그램"/>
    <x v="6"/>
    <x v="0"/>
    <x v="0"/>
    <m/>
    <m/>
    <n v="537522"/>
    <m/>
    <m/>
    <m/>
  </r>
  <r>
    <x v="277"/>
    <x v="0"/>
    <s v="페이스북/인스타그램"/>
    <x v="6"/>
    <x v="0"/>
    <x v="0"/>
    <m/>
    <m/>
    <n v="234502"/>
    <m/>
    <m/>
    <m/>
  </r>
  <r>
    <x v="278"/>
    <x v="2"/>
    <s v="페이스북/인스타그램"/>
    <x v="6"/>
    <x v="0"/>
    <x v="0"/>
    <m/>
    <m/>
    <n v="142802"/>
    <m/>
    <m/>
    <m/>
  </r>
  <r>
    <x v="280"/>
    <x v="6"/>
    <s v="페이스북/인스타그램"/>
    <x v="6"/>
    <x v="0"/>
    <x v="0"/>
    <m/>
    <m/>
    <n v="198885"/>
    <m/>
    <m/>
    <m/>
  </r>
  <r>
    <x v="281"/>
    <x v="3"/>
    <s v="페이스북/인스타그램"/>
    <x v="6"/>
    <x v="0"/>
    <x v="0"/>
    <m/>
    <m/>
    <n v="346014"/>
    <m/>
    <m/>
    <m/>
  </r>
  <r>
    <x v="282"/>
    <x v="4"/>
    <s v="페이스북/인스타그램"/>
    <x v="6"/>
    <x v="0"/>
    <x v="0"/>
    <m/>
    <m/>
    <n v="400190"/>
    <m/>
    <m/>
    <m/>
  </r>
  <r>
    <x v="283"/>
    <x v="1"/>
    <s v="페이스북/인스타그램"/>
    <x v="6"/>
    <x v="0"/>
    <x v="0"/>
    <m/>
    <m/>
    <n v="224787"/>
    <m/>
    <m/>
    <m/>
  </r>
  <r>
    <x v="284"/>
    <x v="0"/>
    <s v="페이스북/인스타그램"/>
    <x v="6"/>
    <x v="0"/>
    <x v="0"/>
    <m/>
    <m/>
    <n v="68869"/>
    <m/>
    <m/>
    <m/>
  </r>
  <r>
    <x v="287"/>
    <x v="6"/>
    <s v="페이스북/인스타그램"/>
    <x v="6"/>
    <x v="0"/>
    <x v="0"/>
    <m/>
    <m/>
    <n v="196749"/>
    <m/>
    <m/>
    <m/>
  </r>
  <r>
    <x v="288"/>
    <x v="3"/>
    <s v="페이스북/인스타그램"/>
    <x v="6"/>
    <x v="0"/>
    <x v="0"/>
    <m/>
    <m/>
    <n v="623302"/>
    <m/>
    <m/>
    <m/>
  </r>
  <r>
    <x v="289"/>
    <x v="4"/>
    <s v="페이스북/인스타그램"/>
    <x v="6"/>
    <x v="0"/>
    <x v="0"/>
    <m/>
    <m/>
    <n v="321690"/>
    <m/>
    <m/>
    <m/>
  </r>
  <r>
    <x v="290"/>
    <x v="1"/>
    <s v="페이스북/인스타그램"/>
    <x v="6"/>
    <x v="0"/>
    <x v="0"/>
    <m/>
    <m/>
    <n v="7062"/>
    <m/>
    <m/>
    <m/>
  </r>
  <r>
    <x v="283"/>
    <x v="1"/>
    <s v="네이버 GFA"/>
    <x v="6"/>
    <x v="0"/>
    <x v="0"/>
    <m/>
    <m/>
    <n v="14084.54545454545"/>
    <m/>
    <m/>
    <m/>
  </r>
  <r>
    <x v="284"/>
    <x v="0"/>
    <s v="네이버 GFA"/>
    <x v="6"/>
    <x v="0"/>
    <x v="0"/>
    <m/>
    <m/>
    <n v="104525.4545454545"/>
    <m/>
    <m/>
    <m/>
  </r>
  <r>
    <x v="285"/>
    <x v="2"/>
    <s v="네이버 GFA"/>
    <x v="6"/>
    <x v="0"/>
    <x v="0"/>
    <m/>
    <m/>
    <n v="116573.6363636364"/>
    <m/>
    <m/>
    <m/>
  </r>
  <r>
    <x v="286"/>
    <x v="5"/>
    <s v="네이버 GFA"/>
    <x v="6"/>
    <x v="0"/>
    <x v="0"/>
    <m/>
    <m/>
    <n v="82024.54545454544"/>
    <m/>
    <m/>
    <m/>
  </r>
  <r>
    <x v="287"/>
    <x v="6"/>
    <s v="네이버 GFA"/>
    <x v="6"/>
    <x v="0"/>
    <x v="0"/>
    <m/>
    <m/>
    <n v="62659.0909090909"/>
    <m/>
    <m/>
    <m/>
  </r>
  <r>
    <x v="288"/>
    <x v="3"/>
    <s v="네이버 GFA"/>
    <x v="6"/>
    <x v="0"/>
    <x v="0"/>
    <m/>
    <m/>
    <n v="220084.5454545454"/>
    <m/>
    <m/>
    <m/>
  </r>
  <r>
    <x v="289"/>
    <x v="4"/>
    <s v="네이버 GFA"/>
    <x v="6"/>
    <x v="0"/>
    <x v="0"/>
    <m/>
    <m/>
    <n v="261468.1818181818"/>
    <m/>
    <m/>
    <m/>
  </r>
  <r>
    <x v="290"/>
    <x v="1"/>
    <s v="네이버 GFA"/>
    <x v="6"/>
    <x v="0"/>
    <x v="0"/>
    <m/>
    <m/>
    <n v="216820.9090909091"/>
    <m/>
    <m/>
    <m/>
  </r>
  <r>
    <x v="291"/>
    <x v="0"/>
    <s v="네이버 GFA"/>
    <x v="6"/>
    <x v="0"/>
    <x v="0"/>
    <m/>
    <m/>
    <n v="206910"/>
    <m/>
    <m/>
    <m/>
  </r>
  <r>
    <x v="292"/>
    <x v="2"/>
    <s v="네이버 GFA"/>
    <x v="6"/>
    <x v="0"/>
    <x v="0"/>
    <m/>
    <m/>
    <n v="198557.2727272727"/>
    <m/>
    <m/>
    <m/>
  </r>
  <r>
    <x v="293"/>
    <x v="5"/>
    <s v="네이버 GFA"/>
    <x v="6"/>
    <x v="0"/>
    <x v="0"/>
    <m/>
    <m/>
    <n v="76952.72727272726"/>
    <m/>
    <m/>
    <m/>
  </r>
  <r>
    <x v="294"/>
    <x v="6"/>
    <s v="네이버 GFA"/>
    <x v="6"/>
    <x v="0"/>
    <x v="0"/>
    <m/>
    <m/>
    <n v="81342.72727272726"/>
    <m/>
    <m/>
    <m/>
  </r>
  <r>
    <x v="295"/>
    <x v="3"/>
    <s v="네이버 GFA"/>
    <x v="6"/>
    <x v="0"/>
    <x v="0"/>
    <m/>
    <m/>
    <n v="188838.1818181818"/>
    <m/>
    <m/>
    <m/>
  </r>
  <r>
    <x v="283"/>
    <x v="1"/>
    <s v="네이버 GFA"/>
    <x v="0"/>
    <x v="0"/>
    <x v="0"/>
    <m/>
    <m/>
    <n v="86108.18181818181"/>
    <m/>
    <m/>
    <m/>
  </r>
  <r>
    <x v="288"/>
    <x v="3"/>
    <s v="네이버 GFA"/>
    <x v="0"/>
    <x v="0"/>
    <x v="0"/>
    <m/>
    <m/>
    <n v="259598.1818181818"/>
    <m/>
    <m/>
    <m/>
  </r>
  <r>
    <x v="289"/>
    <x v="4"/>
    <s v="네이버 GFA"/>
    <x v="0"/>
    <x v="0"/>
    <x v="0"/>
    <m/>
    <m/>
    <n v="691918.1818181818"/>
    <m/>
    <m/>
    <m/>
  </r>
  <r>
    <x v="290"/>
    <x v="1"/>
    <s v="네이버 GFA"/>
    <x v="0"/>
    <x v="0"/>
    <x v="0"/>
    <m/>
    <m/>
    <n v="420592.7272727272"/>
    <m/>
    <m/>
    <m/>
  </r>
  <r>
    <x v="291"/>
    <x v="0"/>
    <s v="네이버 GFA"/>
    <x v="0"/>
    <x v="0"/>
    <x v="0"/>
    <m/>
    <m/>
    <n v="447038.1818181818"/>
    <m/>
    <m/>
    <m/>
  </r>
  <r>
    <x v="292"/>
    <x v="2"/>
    <s v="네이버 GFA"/>
    <x v="0"/>
    <x v="0"/>
    <x v="0"/>
    <m/>
    <m/>
    <n v="270964.5454545454"/>
    <m/>
    <m/>
    <m/>
  </r>
  <r>
    <x v="293"/>
    <x v="5"/>
    <s v="네이버 GFA"/>
    <x v="0"/>
    <x v="0"/>
    <x v="0"/>
    <m/>
    <m/>
    <n v="35880"/>
    <m/>
    <m/>
    <m/>
  </r>
  <r>
    <x v="294"/>
    <x v="6"/>
    <s v="네이버 GFA"/>
    <x v="0"/>
    <x v="0"/>
    <x v="0"/>
    <m/>
    <m/>
    <n v="36828.18181818182"/>
    <m/>
    <m/>
    <m/>
  </r>
  <r>
    <x v="295"/>
    <x v="3"/>
    <s v="네이버 GFA"/>
    <x v="0"/>
    <x v="0"/>
    <x v="0"/>
    <m/>
    <m/>
    <n v="493568.1818181818"/>
    <m/>
    <m/>
    <m/>
  </r>
  <r>
    <x v="246"/>
    <x v="3"/>
    <s v="카카오광고"/>
    <x v="0"/>
    <x v="0"/>
    <x v="0"/>
    <m/>
    <m/>
    <n v="14500"/>
    <m/>
    <m/>
    <m/>
  </r>
  <r>
    <x v="247"/>
    <x v="4"/>
    <s v="카카오광고"/>
    <x v="0"/>
    <x v="0"/>
    <x v="0"/>
    <m/>
    <m/>
    <n v="13730"/>
    <m/>
    <m/>
    <m/>
  </r>
  <r>
    <x v="248"/>
    <x v="1"/>
    <s v="카카오광고"/>
    <x v="0"/>
    <x v="0"/>
    <x v="0"/>
    <m/>
    <m/>
    <n v="13750"/>
    <m/>
    <m/>
    <m/>
  </r>
  <r>
    <x v="249"/>
    <x v="0"/>
    <s v="카카오광고"/>
    <x v="0"/>
    <x v="0"/>
    <x v="0"/>
    <m/>
    <m/>
    <n v="13790"/>
    <m/>
    <m/>
    <m/>
  </r>
  <r>
    <x v="250"/>
    <x v="2"/>
    <s v="카카오광고"/>
    <x v="0"/>
    <x v="0"/>
    <x v="0"/>
    <m/>
    <m/>
    <n v="14150"/>
    <m/>
    <m/>
    <m/>
  </r>
  <r>
    <x v="251"/>
    <x v="5"/>
    <s v="카카오광고"/>
    <x v="0"/>
    <x v="0"/>
    <x v="0"/>
    <m/>
    <m/>
    <n v="13990"/>
    <m/>
    <m/>
    <m/>
  </r>
  <r>
    <x v="252"/>
    <x v="6"/>
    <s v="카카오광고"/>
    <x v="0"/>
    <x v="0"/>
    <x v="0"/>
    <m/>
    <m/>
    <n v="11230"/>
    <m/>
    <m/>
    <m/>
  </r>
  <r>
    <x v="253"/>
    <x v="3"/>
    <s v="카카오광고"/>
    <x v="0"/>
    <x v="0"/>
    <x v="0"/>
    <m/>
    <m/>
    <n v="10020"/>
    <m/>
    <m/>
    <m/>
  </r>
  <r>
    <x v="254"/>
    <x v="4"/>
    <s v="카카오광고"/>
    <x v="0"/>
    <x v="0"/>
    <x v="0"/>
    <m/>
    <m/>
    <n v="14440"/>
    <m/>
    <m/>
    <m/>
  </r>
  <r>
    <x v="255"/>
    <x v="1"/>
    <s v="카카오광고"/>
    <x v="0"/>
    <x v="0"/>
    <x v="0"/>
    <m/>
    <m/>
    <n v="13040"/>
    <m/>
    <m/>
    <m/>
  </r>
  <r>
    <x v="256"/>
    <x v="0"/>
    <s v="카카오광고"/>
    <x v="0"/>
    <x v="0"/>
    <x v="0"/>
    <m/>
    <m/>
    <n v="10450"/>
    <m/>
    <m/>
    <m/>
  </r>
  <r>
    <x v="257"/>
    <x v="2"/>
    <s v="카카오광고"/>
    <x v="0"/>
    <x v="0"/>
    <x v="0"/>
    <m/>
    <m/>
    <n v="9690"/>
    <m/>
    <m/>
    <m/>
  </r>
  <r>
    <x v="258"/>
    <x v="5"/>
    <s v="카카오광고"/>
    <x v="0"/>
    <x v="0"/>
    <x v="0"/>
    <m/>
    <m/>
    <n v="12320"/>
    <m/>
    <m/>
    <m/>
  </r>
  <r>
    <x v="259"/>
    <x v="6"/>
    <s v="카카오광고"/>
    <x v="0"/>
    <x v="0"/>
    <x v="0"/>
    <m/>
    <m/>
    <n v="10090"/>
    <m/>
    <m/>
    <m/>
  </r>
  <r>
    <x v="260"/>
    <x v="3"/>
    <s v="카카오광고"/>
    <x v="0"/>
    <x v="0"/>
    <x v="0"/>
    <m/>
    <m/>
    <n v="11090"/>
    <m/>
    <m/>
    <m/>
  </r>
  <r>
    <x v="261"/>
    <x v="4"/>
    <s v="카카오광고"/>
    <x v="0"/>
    <x v="0"/>
    <x v="0"/>
    <m/>
    <m/>
    <n v="8360"/>
    <m/>
    <m/>
    <m/>
  </r>
  <r>
    <x v="262"/>
    <x v="1"/>
    <s v="카카오광고"/>
    <x v="0"/>
    <x v="0"/>
    <x v="0"/>
    <m/>
    <m/>
    <n v="7179.999999999999"/>
    <m/>
    <m/>
    <m/>
  </r>
  <r>
    <x v="263"/>
    <x v="0"/>
    <s v="카카오광고"/>
    <x v="0"/>
    <x v="0"/>
    <x v="0"/>
    <m/>
    <m/>
    <n v="10070"/>
    <m/>
    <m/>
    <m/>
  </r>
  <r>
    <x v="264"/>
    <x v="2"/>
    <s v="카카오광고"/>
    <x v="0"/>
    <x v="0"/>
    <x v="0"/>
    <m/>
    <m/>
    <n v="4070"/>
    <m/>
    <m/>
    <m/>
  </r>
  <r>
    <x v="265"/>
    <x v="5"/>
    <s v="카카오광고"/>
    <x v="0"/>
    <x v="0"/>
    <x v="0"/>
    <m/>
    <m/>
    <n v="12050"/>
    <m/>
    <m/>
    <m/>
  </r>
  <r>
    <x v="266"/>
    <x v="6"/>
    <s v="카카오광고"/>
    <x v="0"/>
    <x v="0"/>
    <x v="0"/>
    <m/>
    <m/>
    <n v="7429.999999999999"/>
    <m/>
    <m/>
    <m/>
  </r>
  <r>
    <x v="267"/>
    <x v="3"/>
    <s v="카카오광고"/>
    <x v="0"/>
    <x v="0"/>
    <x v="0"/>
    <m/>
    <m/>
    <n v="8059.999999999999"/>
    <m/>
    <m/>
    <m/>
  </r>
  <r>
    <x v="268"/>
    <x v="4"/>
    <s v="카카오광고"/>
    <x v="0"/>
    <x v="0"/>
    <x v="0"/>
    <m/>
    <m/>
    <n v="4180"/>
    <m/>
    <m/>
    <m/>
  </r>
  <r>
    <x v="269"/>
    <x v="1"/>
    <s v="카카오광고"/>
    <x v="0"/>
    <x v="0"/>
    <x v="0"/>
    <m/>
    <m/>
    <n v="9650"/>
    <m/>
    <m/>
    <m/>
  </r>
  <r>
    <x v="270"/>
    <x v="0"/>
    <s v="카카오광고"/>
    <x v="0"/>
    <x v="0"/>
    <x v="0"/>
    <m/>
    <m/>
    <n v="6129.999999999999"/>
    <m/>
    <m/>
    <m/>
  </r>
  <r>
    <x v="271"/>
    <x v="2"/>
    <s v="카카오광고"/>
    <x v="0"/>
    <x v="0"/>
    <x v="0"/>
    <m/>
    <m/>
    <n v="6989.999999999999"/>
    <m/>
    <m/>
    <m/>
  </r>
  <r>
    <x v="272"/>
    <x v="5"/>
    <s v="카카오광고"/>
    <x v="0"/>
    <x v="0"/>
    <x v="0"/>
    <m/>
    <m/>
    <n v="6389.999999999999"/>
    <m/>
    <m/>
    <m/>
  </r>
  <r>
    <x v="273"/>
    <x v="6"/>
    <s v="카카오광고"/>
    <x v="0"/>
    <x v="0"/>
    <x v="0"/>
    <m/>
    <m/>
    <n v="9060"/>
    <m/>
    <m/>
    <m/>
  </r>
  <r>
    <x v="274"/>
    <x v="3"/>
    <s v="카카오광고"/>
    <x v="0"/>
    <x v="0"/>
    <x v="0"/>
    <m/>
    <m/>
    <n v="9640"/>
    <m/>
    <m/>
    <m/>
  </r>
  <r>
    <x v="275"/>
    <x v="4"/>
    <s v="카카오광고"/>
    <x v="0"/>
    <x v="0"/>
    <x v="0"/>
    <m/>
    <m/>
    <n v="9650"/>
    <m/>
    <m/>
    <m/>
  </r>
  <r>
    <x v="276"/>
    <x v="1"/>
    <s v="카카오광고"/>
    <x v="0"/>
    <x v="0"/>
    <x v="0"/>
    <m/>
    <m/>
    <n v="6369.999999999999"/>
    <m/>
    <m/>
    <m/>
  </r>
  <r>
    <x v="277"/>
    <x v="0"/>
    <s v="카카오광고"/>
    <x v="0"/>
    <x v="0"/>
    <x v="0"/>
    <m/>
    <m/>
    <n v="8820"/>
    <m/>
    <m/>
    <m/>
  </r>
  <r>
    <x v="278"/>
    <x v="2"/>
    <s v="카카오광고"/>
    <x v="0"/>
    <x v="0"/>
    <x v="0"/>
    <m/>
    <m/>
    <n v="10530"/>
    <m/>
    <m/>
    <m/>
  </r>
  <r>
    <x v="279"/>
    <x v="5"/>
    <s v="카카오광고"/>
    <x v="0"/>
    <x v="0"/>
    <x v="0"/>
    <m/>
    <m/>
    <n v="6489.999999999999"/>
    <m/>
    <m/>
    <m/>
  </r>
  <r>
    <x v="280"/>
    <x v="6"/>
    <s v="카카오광고"/>
    <x v="0"/>
    <x v="0"/>
    <x v="0"/>
    <m/>
    <m/>
    <n v="15000"/>
    <m/>
    <m/>
    <m/>
  </r>
  <r>
    <x v="281"/>
    <x v="3"/>
    <s v="카카오광고"/>
    <x v="0"/>
    <x v="0"/>
    <x v="0"/>
    <m/>
    <m/>
    <n v="8690"/>
    <m/>
    <m/>
    <m/>
  </r>
  <r>
    <x v="282"/>
    <x v="4"/>
    <s v="카카오광고"/>
    <x v="0"/>
    <x v="0"/>
    <x v="0"/>
    <m/>
    <m/>
    <n v="4740"/>
    <m/>
    <m/>
    <m/>
  </r>
  <r>
    <x v="283"/>
    <x v="1"/>
    <s v="카카오광고"/>
    <x v="0"/>
    <x v="0"/>
    <x v="0"/>
    <m/>
    <m/>
    <n v="3780"/>
    <m/>
    <m/>
    <m/>
  </r>
  <r>
    <x v="284"/>
    <x v="0"/>
    <s v="카카오광고"/>
    <x v="0"/>
    <x v="0"/>
    <x v="0"/>
    <m/>
    <m/>
    <n v="4620"/>
    <m/>
    <m/>
    <m/>
  </r>
  <r>
    <x v="285"/>
    <x v="2"/>
    <s v="카카오광고"/>
    <x v="0"/>
    <x v="0"/>
    <x v="0"/>
    <m/>
    <m/>
    <n v="5929.999999999999"/>
    <m/>
    <m/>
    <m/>
  </r>
  <r>
    <x v="286"/>
    <x v="5"/>
    <s v="카카오광고"/>
    <x v="0"/>
    <x v="0"/>
    <x v="0"/>
    <m/>
    <m/>
    <n v="5869.999999999999"/>
    <m/>
    <m/>
    <m/>
  </r>
  <r>
    <x v="287"/>
    <x v="6"/>
    <s v="카카오광고"/>
    <x v="0"/>
    <x v="0"/>
    <x v="0"/>
    <m/>
    <m/>
    <n v="6559.999999999999"/>
    <m/>
    <m/>
    <m/>
  </r>
  <r>
    <x v="288"/>
    <x v="3"/>
    <s v="카카오광고"/>
    <x v="0"/>
    <x v="0"/>
    <x v="0"/>
    <m/>
    <m/>
    <n v="12410"/>
    <m/>
    <m/>
    <m/>
  </r>
  <r>
    <x v="289"/>
    <x v="4"/>
    <s v="카카오광고"/>
    <x v="0"/>
    <x v="0"/>
    <x v="0"/>
    <m/>
    <m/>
    <n v="11300"/>
    <m/>
    <m/>
    <m/>
  </r>
  <r>
    <x v="290"/>
    <x v="1"/>
    <s v="카카오광고"/>
    <x v="0"/>
    <x v="0"/>
    <x v="0"/>
    <m/>
    <m/>
    <n v="10090"/>
    <m/>
    <m/>
    <m/>
  </r>
  <r>
    <x v="291"/>
    <x v="0"/>
    <s v="카카오광고"/>
    <x v="0"/>
    <x v="0"/>
    <x v="0"/>
    <m/>
    <m/>
    <n v="6449.999999999999"/>
    <m/>
    <m/>
    <m/>
  </r>
  <r>
    <x v="292"/>
    <x v="2"/>
    <s v="카카오광고"/>
    <x v="0"/>
    <x v="0"/>
    <x v="0"/>
    <m/>
    <m/>
    <n v="13500"/>
    <m/>
    <m/>
    <m/>
  </r>
  <r>
    <x v="293"/>
    <x v="5"/>
    <s v="카카오광고"/>
    <x v="0"/>
    <x v="0"/>
    <x v="0"/>
    <m/>
    <m/>
    <n v="13790"/>
    <m/>
    <m/>
    <m/>
  </r>
  <r>
    <x v="294"/>
    <x v="6"/>
    <s v="카카오광고"/>
    <x v="0"/>
    <x v="0"/>
    <x v="0"/>
    <m/>
    <m/>
    <n v="7479.999999999999"/>
    <m/>
    <m/>
    <m/>
  </r>
  <r>
    <x v="295"/>
    <x v="3"/>
    <s v="카카오광고"/>
    <x v="0"/>
    <x v="0"/>
    <x v="0"/>
    <m/>
    <m/>
    <n v="6879.999999999999"/>
    <m/>
    <m/>
    <m/>
  </r>
  <r>
    <x v="284"/>
    <x v="0"/>
    <s v="카카오광고"/>
    <x v="6"/>
    <x v="0"/>
    <x v="0"/>
    <m/>
    <m/>
    <n v="20520"/>
    <m/>
    <m/>
    <m/>
  </r>
  <r>
    <x v="285"/>
    <x v="2"/>
    <s v="카카오광고"/>
    <x v="6"/>
    <x v="0"/>
    <x v="0"/>
    <m/>
    <m/>
    <n v="58539.99999999999"/>
    <m/>
    <m/>
    <m/>
  </r>
  <r>
    <x v="288"/>
    <x v="3"/>
    <s v="카카오광고"/>
    <x v="6"/>
    <x v="0"/>
    <x v="0"/>
    <m/>
    <m/>
    <n v="183590"/>
    <m/>
    <m/>
    <m/>
  </r>
  <r>
    <x v="289"/>
    <x v="4"/>
    <s v="카카오광고"/>
    <x v="6"/>
    <x v="0"/>
    <x v="0"/>
    <m/>
    <m/>
    <n v="136720"/>
    <m/>
    <m/>
    <m/>
  </r>
  <r>
    <x v="290"/>
    <x v="1"/>
    <s v="카카오광고"/>
    <x v="6"/>
    <x v="0"/>
    <x v="0"/>
    <m/>
    <m/>
    <n v="24400"/>
    <m/>
    <m/>
    <m/>
  </r>
  <r>
    <x v="263"/>
    <x v="0"/>
    <s v="카카오톡 메시지"/>
    <x v="6"/>
    <x v="0"/>
    <x v="0"/>
    <m/>
    <m/>
    <n v="235830"/>
    <m/>
    <m/>
    <m/>
  </r>
  <r>
    <x v="246"/>
    <x v="3"/>
    <s v="네이버 쇼핑검색"/>
    <x v="0"/>
    <x v="0"/>
    <x v="0"/>
    <m/>
    <m/>
    <n v="39350"/>
    <m/>
    <m/>
    <m/>
  </r>
  <r>
    <x v="247"/>
    <x v="4"/>
    <s v="네이버 쇼핑검색"/>
    <x v="0"/>
    <x v="0"/>
    <x v="0"/>
    <m/>
    <m/>
    <n v="41210"/>
    <m/>
    <m/>
    <m/>
  </r>
  <r>
    <x v="248"/>
    <x v="1"/>
    <s v="네이버 쇼핑검색"/>
    <x v="0"/>
    <x v="0"/>
    <x v="0"/>
    <m/>
    <m/>
    <n v="33600"/>
    <m/>
    <m/>
    <m/>
  </r>
  <r>
    <x v="249"/>
    <x v="0"/>
    <s v="네이버 쇼핑검색"/>
    <x v="0"/>
    <x v="0"/>
    <x v="0"/>
    <m/>
    <m/>
    <n v="36100"/>
    <m/>
    <m/>
    <m/>
  </r>
  <r>
    <x v="250"/>
    <x v="2"/>
    <s v="네이버 쇼핑검색"/>
    <x v="0"/>
    <x v="0"/>
    <x v="0"/>
    <m/>
    <m/>
    <n v="24530"/>
    <m/>
    <m/>
    <m/>
  </r>
  <r>
    <x v="251"/>
    <x v="5"/>
    <s v="네이버 쇼핑검색"/>
    <x v="0"/>
    <x v="0"/>
    <x v="0"/>
    <m/>
    <m/>
    <n v="26990"/>
    <m/>
    <m/>
    <m/>
  </r>
  <r>
    <x v="252"/>
    <x v="6"/>
    <s v="네이버 쇼핑검색"/>
    <x v="0"/>
    <x v="0"/>
    <x v="0"/>
    <m/>
    <m/>
    <n v="61669.99999999999"/>
    <m/>
    <m/>
    <m/>
  </r>
  <r>
    <x v="253"/>
    <x v="3"/>
    <s v="네이버 쇼핑검색"/>
    <x v="0"/>
    <x v="0"/>
    <x v="0"/>
    <m/>
    <m/>
    <n v="66260"/>
    <m/>
    <m/>
    <m/>
  </r>
  <r>
    <x v="254"/>
    <x v="4"/>
    <s v="네이버 쇼핑검색"/>
    <x v="0"/>
    <x v="0"/>
    <x v="0"/>
    <m/>
    <m/>
    <n v="50569.99999999999"/>
    <m/>
    <m/>
    <m/>
  </r>
  <r>
    <x v="255"/>
    <x v="1"/>
    <s v="네이버 쇼핑검색"/>
    <x v="0"/>
    <x v="0"/>
    <x v="0"/>
    <m/>
    <m/>
    <n v="43930"/>
    <m/>
    <m/>
    <m/>
  </r>
  <r>
    <x v="256"/>
    <x v="0"/>
    <s v="네이버 쇼핑검색"/>
    <x v="0"/>
    <x v="0"/>
    <x v="0"/>
    <m/>
    <m/>
    <n v="36670"/>
    <m/>
    <m/>
    <m/>
  </r>
  <r>
    <x v="257"/>
    <x v="2"/>
    <s v="네이버 쇼핑검색"/>
    <x v="0"/>
    <x v="0"/>
    <x v="0"/>
    <m/>
    <m/>
    <n v="32100"/>
    <m/>
    <m/>
    <m/>
  </r>
  <r>
    <x v="258"/>
    <x v="5"/>
    <s v="네이버 쇼핑검색"/>
    <x v="0"/>
    <x v="0"/>
    <x v="0"/>
    <m/>
    <m/>
    <n v="35790"/>
    <m/>
    <m/>
    <m/>
  </r>
  <r>
    <x v="259"/>
    <x v="6"/>
    <s v="네이버 쇼핑검색"/>
    <x v="0"/>
    <x v="0"/>
    <x v="0"/>
    <m/>
    <m/>
    <n v="39970"/>
    <m/>
    <m/>
    <m/>
  </r>
  <r>
    <x v="260"/>
    <x v="3"/>
    <s v="네이버 쇼핑검색"/>
    <x v="0"/>
    <x v="0"/>
    <x v="0"/>
    <m/>
    <m/>
    <n v="33700"/>
    <m/>
    <m/>
    <m/>
  </r>
  <r>
    <x v="261"/>
    <x v="4"/>
    <s v="네이버 쇼핑검색"/>
    <x v="0"/>
    <x v="0"/>
    <x v="0"/>
    <m/>
    <m/>
    <n v="38960"/>
    <m/>
    <m/>
    <m/>
  </r>
  <r>
    <x v="262"/>
    <x v="1"/>
    <s v="네이버 쇼핑검색"/>
    <x v="0"/>
    <x v="0"/>
    <x v="0"/>
    <m/>
    <m/>
    <n v="31830"/>
    <m/>
    <m/>
    <m/>
  </r>
  <r>
    <x v="263"/>
    <x v="0"/>
    <s v="네이버 쇼핑검색"/>
    <x v="0"/>
    <x v="0"/>
    <x v="0"/>
    <m/>
    <m/>
    <n v="53899.99999999999"/>
    <m/>
    <m/>
    <m/>
  </r>
  <r>
    <x v="264"/>
    <x v="2"/>
    <s v="네이버 쇼핑검색"/>
    <x v="0"/>
    <x v="0"/>
    <x v="0"/>
    <m/>
    <m/>
    <n v="59449.99999999999"/>
    <m/>
    <m/>
    <m/>
  </r>
  <r>
    <x v="265"/>
    <x v="5"/>
    <s v="네이버 쇼핑검색"/>
    <x v="0"/>
    <x v="0"/>
    <x v="0"/>
    <m/>
    <m/>
    <n v="50379.99999999999"/>
    <m/>
    <m/>
    <m/>
  </r>
  <r>
    <x v="266"/>
    <x v="6"/>
    <s v="네이버 쇼핑검색"/>
    <x v="0"/>
    <x v="0"/>
    <x v="0"/>
    <m/>
    <m/>
    <n v="58689.99999999999"/>
    <m/>
    <m/>
    <m/>
  </r>
  <r>
    <x v="267"/>
    <x v="3"/>
    <s v="네이버 쇼핑검색"/>
    <x v="0"/>
    <x v="0"/>
    <x v="0"/>
    <m/>
    <m/>
    <n v="40720"/>
    <m/>
    <m/>
    <m/>
  </r>
  <r>
    <x v="268"/>
    <x v="4"/>
    <s v="네이버 쇼핑검색"/>
    <x v="0"/>
    <x v="0"/>
    <x v="0"/>
    <m/>
    <m/>
    <n v="41070"/>
    <m/>
    <m/>
    <m/>
  </r>
  <r>
    <x v="269"/>
    <x v="1"/>
    <s v="네이버 쇼핑검색"/>
    <x v="0"/>
    <x v="0"/>
    <x v="0"/>
    <m/>
    <m/>
    <n v="40080"/>
    <m/>
    <m/>
    <m/>
  </r>
  <r>
    <x v="270"/>
    <x v="0"/>
    <s v="네이버 쇼핑검색"/>
    <x v="0"/>
    <x v="0"/>
    <x v="0"/>
    <m/>
    <m/>
    <n v="41990"/>
    <m/>
    <m/>
    <m/>
  </r>
  <r>
    <x v="271"/>
    <x v="2"/>
    <s v="네이버 쇼핑검색"/>
    <x v="0"/>
    <x v="0"/>
    <x v="0"/>
    <m/>
    <m/>
    <n v="29240"/>
    <m/>
    <m/>
    <m/>
  </r>
  <r>
    <x v="272"/>
    <x v="5"/>
    <s v="네이버 쇼핑검색"/>
    <x v="0"/>
    <x v="0"/>
    <x v="0"/>
    <m/>
    <m/>
    <n v="34320"/>
    <m/>
    <m/>
    <m/>
  </r>
  <r>
    <x v="273"/>
    <x v="6"/>
    <s v="네이버 쇼핑검색"/>
    <x v="0"/>
    <x v="0"/>
    <x v="0"/>
    <m/>
    <m/>
    <n v="43070"/>
    <m/>
    <m/>
    <m/>
  </r>
  <r>
    <x v="274"/>
    <x v="3"/>
    <s v="네이버 쇼핑검색"/>
    <x v="0"/>
    <x v="0"/>
    <x v="0"/>
    <m/>
    <m/>
    <n v="46459.99999999999"/>
    <m/>
    <m/>
    <m/>
  </r>
  <r>
    <x v="275"/>
    <x v="4"/>
    <s v="네이버 쇼핑검색"/>
    <x v="0"/>
    <x v="0"/>
    <x v="0"/>
    <m/>
    <m/>
    <n v="35600"/>
    <m/>
    <m/>
    <m/>
  </r>
  <r>
    <x v="276"/>
    <x v="1"/>
    <s v="네이버 쇼핑검색"/>
    <x v="0"/>
    <x v="0"/>
    <x v="0"/>
    <m/>
    <m/>
    <n v="36290"/>
    <m/>
    <m/>
    <m/>
  </r>
  <r>
    <x v="277"/>
    <x v="0"/>
    <s v="네이버 쇼핑검색"/>
    <x v="0"/>
    <x v="0"/>
    <x v="0"/>
    <m/>
    <m/>
    <n v="35640"/>
    <m/>
    <m/>
    <m/>
  </r>
  <r>
    <x v="278"/>
    <x v="2"/>
    <s v="네이버 쇼핑검색"/>
    <x v="0"/>
    <x v="0"/>
    <x v="0"/>
    <m/>
    <m/>
    <n v="25110"/>
    <m/>
    <m/>
    <m/>
  </r>
  <r>
    <x v="279"/>
    <x v="5"/>
    <s v="네이버 쇼핑검색"/>
    <x v="0"/>
    <x v="0"/>
    <x v="0"/>
    <m/>
    <m/>
    <n v="24360"/>
    <m/>
    <m/>
    <m/>
  </r>
  <r>
    <x v="280"/>
    <x v="6"/>
    <s v="네이버 쇼핑검색"/>
    <x v="0"/>
    <x v="0"/>
    <x v="0"/>
    <m/>
    <m/>
    <n v="37020"/>
    <m/>
    <m/>
    <m/>
  </r>
  <r>
    <x v="281"/>
    <x v="3"/>
    <s v="네이버 쇼핑검색"/>
    <x v="0"/>
    <x v="0"/>
    <x v="0"/>
    <m/>
    <m/>
    <n v="36580"/>
    <m/>
    <m/>
    <m/>
  </r>
  <r>
    <x v="282"/>
    <x v="4"/>
    <s v="네이버 쇼핑검색"/>
    <x v="0"/>
    <x v="0"/>
    <x v="0"/>
    <m/>
    <m/>
    <n v="37650"/>
    <m/>
    <m/>
    <m/>
  </r>
  <r>
    <x v="283"/>
    <x v="1"/>
    <s v="네이버 쇼핑검색"/>
    <x v="0"/>
    <x v="0"/>
    <x v="0"/>
    <m/>
    <m/>
    <n v="35970"/>
    <m/>
    <m/>
    <m/>
  </r>
  <r>
    <x v="284"/>
    <x v="0"/>
    <s v="네이버 쇼핑검색"/>
    <x v="0"/>
    <x v="0"/>
    <x v="0"/>
    <m/>
    <m/>
    <n v="31940"/>
    <m/>
    <m/>
    <m/>
  </r>
  <r>
    <x v="285"/>
    <x v="2"/>
    <s v="네이버 쇼핑검색"/>
    <x v="0"/>
    <x v="0"/>
    <x v="0"/>
    <m/>
    <m/>
    <n v="27430"/>
    <m/>
    <m/>
    <m/>
  </r>
  <r>
    <x v="286"/>
    <x v="5"/>
    <s v="네이버 쇼핑검색"/>
    <x v="0"/>
    <x v="0"/>
    <x v="0"/>
    <m/>
    <m/>
    <n v="27690"/>
    <m/>
    <m/>
    <m/>
  </r>
  <r>
    <x v="287"/>
    <x v="6"/>
    <s v="네이버 쇼핑검색"/>
    <x v="0"/>
    <x v="0"/>
    <x v="0"/>
    <m/>
    <m/>
    <n v="38590"/>
    <m/>
    <m/>
    <m/>
  </r>
  <r>
    <x v="288"/>
    <x v="3"/>
    <s v="네이버 쇼핑검색"/>
    <x v="0"/>
    <x v="0"/>
    <x v="0"/>
    <m/>
    <m/>
    <n v="39350"/>
    <m/>
    <m/>
    <m/>
  </r>
  <r>
    <x v="289"/>
    <x v="4"/>
    <s v="네이버 쇼핑검색"/>
    <x v="0"/>
    <x v="0"/>
    <x v="0"/>
    <m/>
    <m/>
    <n v="39550"/>
    <m/>
    <m/>
    <m/>
  </r>
  <r>
    <x v="290"/>
    <x v="1"/>
    <s v="네이버 쇼핑검색"/>
    <x v="0"/>
    <x v="0"/>
    <x v="0"/>
    <m/>
    <m/>
    <n v="41910"/>
    <m/>
    <m/>
    <m/>
  </r>
  <r>
    <x v="291"/>
    <x v="0"/>
    <s v="네이버 쇼핑검색"/>
    <x v="0"/>
    <x v="0"/>
    <x v="0"/>
    <m/>
    <m/>
    <n v="46859.99999999999"/>
    <m/>
    <m/>
    <m/>
  </r>
  <r>
    <x v="292"/>
    <x v="2"/>
    <s v="네이버 쇼핑검색"/>
    <x v="0"/>
    <x v="0"/>
    <x v="0"/>
    <m/>
    <m/>
    <n v="40430"/>
    <m/>
    <m/>
    <m/>
  </r>
  <r>
    <x v="293"/>
    <x v="5"/>
    <s v="네이버 쇼핑검색"/>
    <x v="0"/>
    <x v="0"/>
    <x v="0"/>
    <m/>
    <m/>
    <n v="37750"/>
    <m/>
    <m/>
    <m/>
  </r>
  <r>
    <x v="294"/>
    <x v="6"/>
    <s v="네이버 쇼핑검색"/>
    <x v="0"/>
    <x v="0"/>
    <x v="0"/>
    <m/>
    <m/>
    <n v="37290"/>
    <m/>
    <m/>
    <m/>
  </r>
  <r>
    <x v="295"/>
    <x v="3"/>
    <s v="네이버 쇼핑검색"/>
    <x v="0"/>
    <x v="0"/>
    <x v="0"/>
    <m/>
    <m/>
    <n v="51359.99999999999"/>
    <m/>
    <m/>
    <m/>
  </r>
  <r>
    <x v="251"/>
    <x v="5"/>
    <s v="유튜브_윤이든"/>
    <x v="0"/>
    <x v="0"/>
    <x v="0"/>
    <m/>
    <m/>
    <n v="1200000"/>
    <m/>
    <m/>
    <m/>
  </r>
  <r>
    <x v="262"/>
    <x v="1"/>
    <s v="유튜브_카멜"/>
    <x v="0"/>
    <x v="0"/>
    <x v="0"/>
    <m/>
    <m/>
    <n v="200000"/>
    <m/>
    <m/>
    <m/>
  </r>
  <r>
    <x v="265"/>
    <x v="5"/>
    <s v="유튜브_귄펭"/>
    <x v="0"/>
    <x v="0"/>
    <x v="0"/>
    <m/>
    <m/>
    <n v="1200000"/>
    <m/>
    <m/>
    <m/>
  </r>
  <r>
    <x v="266"/>
    <x v="6"/>
    <s v="유튜브_심톨"/>
    <x v="0"/>
    <x v="0"/>
    <x v="0"/>
    <m/>
    <m/>
    <n v="1000000"/>
    <m/>
    <m/>
    <m/>
  </r>
  <r>
    <x v="276"/>
    <x v="1"/>
    <s v="유튜브_꿀랄라"/>
    <x v="0"/>
    <x v="0"/>
    <x v="0"/>
    <m/>
    <m/>
    <n v="500000"/>
    <m/>
    <m/>
    <m/>
  </r>
  <r>
    <x v="278"/>
    <x v="2"/>
    <s v="유튜브_비타천서영"/>
    <x v="0"/>
    <x v="0"/>
    <x v="0"/>
    <m/>
    <m/>
    <n v="230000"/>
    <m/>
    <m/>
    <m/>
  </r>
  <r>
    <x v="283"/>
    <x v="1"/>
    <s v="유튜브_나답게"/>
    <x v="0"/>
    <x v="0"/>
    <x v="0"/>
    <m/>
    <m/>
    <n v="700000"/>
    <m/>
    <m/>
    <m/>
  </r>
  <r>
    <x v="285"/>
    <x v="2"/>
    <s v="유튜브_킴키미"/>
    <x v="0"/>
    <x v="0"/>
    <x v="0"/>
    <m/>
    <m/>
    <n v="615363.6363636364"/>
    <m/>
    <m/>
    <m/>
  </r>
  <r>
    <x v="285"/>
    <x v="2"/>
    <s v="유튜브_챙잇뷰티"/>
    <x v="0"/>
    <x v="0"/>
    <x v="0"/>
    <m/>
    <m/>
    <n v="10400000"/>
    <m/>
    <m/>
    <m/>
  </r>
  <r>
    <x v="286"/>
    <x v="5"/>
    <s v="유튜브_츄츄"/>
    <x v="0"/>
    <x v="0"/>
    <x v="0"/>
    <m/>
    <m/>
    <n v="700000"/>
    <m/>
    <m/>
    <m/>
  </r>
  <r>
    <x v="287"/>
    <x v="6"/>
    <s v="유튜브_단이"/>
    <x v="0"/>
    <x v="0"/>
    <x v="0"/>
    <m/>
    <m/>
    <n v="1200000"/>
    <m/>
    <m/>
    <m/>
  </r>
  <r>
    <x v="256"/>
    <x v="0"/>
    <s v="유튜브 디스커버리"/>
    <x v="0"/>
    <x v="0"/>
    <x v="0"/>
    <m/>
    <m/>
    <n v="3319"/>
    <m/>
    <m/>
    <m/>
  </r>
  <r>
    <x v="257"/>
    <x v="2"/>
    <s v="유튜브 디스커버리"/>
    <x v="0"/>
    <x v="0"/>
    <x v="0"/>
    <m/>
    <m/>
    <n v="91286"/>
    <m/>
    <m/>
    <m/>
  </r>
  <r>
    <x v="258"/>
    <x v="5"/>
    <s v="유튜브 디스커버리"/>
    <x v="0"/>
    <x v="0"/>
    <x v="0"/>
    <m/>
    <m/>
    <n v="107479"/>
    <m/>
    <m/>
    <m/>
  </r>
  <r>
    <x v="259"/>
    <x v="6"/>
    <s v="유튜브 디스커버리"/>
    <x v="0"/>
    <x v="0"/>
    <x v="0"/>
    <m/>
    <m/>
    <n v="99648"/>
    <m/>
    <m/>
    <m/>
  </r>
  <r>
    <x v="260"/>
    <x v="3"/>
    <s v="유튜브 디스커버리"/>
    <x v="0"/>
    <x v="0"/>
    <x v="0"/>
    <m/>
    <m/>
    <n v="131205"/>
    <m/>
    <m/>
    <m/>
  </r>
  <r>
    <x v="261"/>
    <x v="4"/>
    <s v="유튜브 디스커버리"/>
    <x v="0"/>
    <x v="0"/>
    <x v="0"/>
    <m/>
    <m/>
    <n v="135938"/>
    <m/>
    <m/>
    <m/>
  </r>
  <r>
    <x v="262"/>
    <x v="1"/>
    <s v="유튜브 디스커버리"/>
    <x v="0"/>
    <x v="0"/>
    <x v="0"/>
    <m/>
    <m/>
    <n v="121292"/>
    <m/>
    <m/>
    <m/>
  </r>
  <r>
    <x v="263"/>
    <x v="0"/>
    <s v="유튜브 디스커버리"/>
    <x v="0"/>
    <x v="0"/>
    <x v="0"/>
    <m/>
    <m/>
    <n v="141139"/>
    <m/>
    <m/>
    <m/>
  </r>
  <r>
    <x v="264"/>
    <x v="2"/>
    <s v="유튜브 디스커버리"/>
    <x v="0"/>
    <x v="0"/>
    <x v="0"/>
    <m/>
    <m/>
    <n v="148486"/>
    <m/>
    <m/>
    <m/>
  </r>
  <r>
    <x v="265"/>
    <x v="5"/>
    <s v="유튜브 디스커버리"/>
    <x v="0"/>
    <x v="0"/>
    <x v="0"/>
    <m/>
    <m/>
    <n v="146521"/>
    <m/>
    <m/>
    <m/>
  </r>
  <r>
    <x v="266"/>
    <x v="6"/>
    <s v="유튜브 디스커버리"/>
    <x v="0"/>
    <x v="0"/>
    <x v="0"/>
    <m/>
    <m/>
    <n v="143074"/>
    <m/>
    <m/>
    <m/>
  </r>
  <r>
    <x v="267"/>
    <x v="3"/>
    <s v="유튜브 디스커버리"/>
    <x v="0"/>
    <x v="0"/>
    <x v="0"/>
    <m/>
    <m/>
    <n v="127425"/>
    <m/>
    <m/>
    <m/>
  </r>
  <r>
    <x v="268"/>
    <x v="4"/>
    <s v="유튜브 디스커버리"/>
    <x v="0"/>
    <x v="0"/>
    <x v="0"/>
    <m/>
    <m/>
    <n v="347051"/>
    <m/>
    <m/>
    <m/>
  </r>
  <r>
    <x v="269"/>
    <x v="1"/>
    <s v="유튜브 디스커버리"/>
    <x v="0"/>
    <x v="0"/>
    <x v="0"/>
    <m/>
    <m/>
    <n v="850307"/>
    <m/>
    <m/>
    <m/>
  </r>
  <r>
    <x v="270"/>
    <x v="0"/>
    <s v="유튜브 디스커버리"/>
    <x v="0"/>
    <x v="0"/>
    <x v="0"/>
    <m/>
    <m/>
    <n v="838477"/>
    <m/>
    <m/>
    <m/>
  </r>
  <r>
    <x v="271"/>
    <x v="2"/>
    <s v="유튜브 디스커버리"/>
    <x v="0"/>
    <x v="0"/>
    <x v="0"/>
    <m/>
    <m/>
    <n v="830207"/>
    <m/>
    <m/>
    <m/>
  </r>
  <r>
    <x v="272"/>
    <x v="5"/>
    <s v="유튜브 디스커버리"/>
    <x v="0"/>
    <x v="0"/>
    <x v="0"/>
    <m/>
    <m/>
    <n v="835662"/>
    <m/>
    <m/>
    <m/>
  </r>
  <r>
    <x v="273"/>
    <x v="6"/>
    <s v="유튜브 디스커버리"/>
    <x v="0"/>
    <x v="0"/>
    <x v="0"/>
    <m/>
    <m/>
    <n v="927598"/>
    <m/>
    <m/>
    <m/>
  </r>
  <r>
    <x v="274"/>
    <x v="3"/>
    <s v="유튜브 디스커버리"/>
    <x v="0"/>
    <x v="0"/>
    <x v="0"/>
    <m/>
    <m/>
    <n v="933664"/>
    <m/>
    <m/>
    <m/>
  </r>
  <r>
    <x v="275"/>
    <x v="4"/>
    <s v="유튜브 디스커버리"/>
    <x v="0"/>
    <x v="0"/>
    <x v="0"/>
    <m/>
    <m/>
    <n v="601963"/>
    <m/>
    <m/>
    <m/>
  </r>
  <r>
    <x v="276"/>
    <x v="1"/>
    <s v="유튜브 디스커버리"/>
    <x v="0"/>
    <x v="0"/>
    <x v="0"/>
    <m/>
    <m/>
    <n v="332793"/>
    <m/>
    <m/>
    <m/>
  </r>
  <r>
    <x v="277"/>
    <x v="0"/>
    <s v="유튜브 디스커버리"/>
    <x v="0"/>
    <x v="0"/>
    <x v="0"/>
    <m/>
    <m/>
    <n v="331866"/>
    <m/>
    <m/>
    <m/>
  </r>
  <r>
    <x v="278"/>
    <x v="2"/>
    <s v="유튜브 디스커버리"/>
    <x v="0"/>
    <x v="0"/>
    <x v="0"/>
    <m/>
    <m/>
    <n v="81624"/>
    <m/>
    <m/>
    <m/>
  </r>
  <r>
    <x v="284"/>
    <x v="0"/>
    <s v="유튜브 디스커버리"/>
    <x v="0"/>
    <x v="0"/>
    <x v="0"/>
    <m/>
    <m/>
    <n v="63532"/>
    <m/>
    <m/>
    <m/>
  </r>
  <r>
    <x v="285"/>
    <x v="2"/>
    <s v="유튜브 디스커버리"/>
    <x v="0"/>
    <x v="0"/>
    <x v="0"/>
    <m/>
    <m/>
    <n v="49216"/>
    <m/>
    <m/>
    <m/>
  </r>
  <r>
    <x v="286"/>
    <x v="5"/>
    <s v="유튜브 디스커버리"/>
    <x v="0"/>
    <x v="0"/>
    <x v="0"/>
    <m/>
    <m/>
    <n v="49548"/>
    <m/>
    <m/>
    <m/>
  </r>
  <r>
    <x v="287"/>
    <x v="6"/>
    <s v="유튜브 디스커버리"/>
    <x v="0"/>
    <x v="0"/>
    <x v="0"/>
    <m/>
    <m/>
    <n v="49961"/>
    <m/>
    <m/>
    <m/>
  </r>
  <r>
    <x v="288"/>
    <x v="3"/>
    <s v="유튜브 디스커버리"/>
    <x v="0"/>
    <x v="0"/>
    <x v="0"/>
    <m/>
    <m/>
    <n v="156856"/>
    <m/>
    <m/>
    <m/>
  </r>
  <r>
    <x v="289"/>
    <x v="4"/>
    <s v="유튜브 디스커버리"/>
    <x v="0"/>
    <x v="0"/>
    <x v="0"/>
    <m/>
    <m/>
    <n v="54759"/>
    <m/>
    <m/>
    <m/>
  </r>
  <r>
    <x v="290"/>
    <x v="1"/>
    <s v="유튜브 디스커버리"/>
    <x v="0"/>
    <x v="0"/>
    <x v="0"/>
    <m/>
    <m/>
    <n v="156693"/>
    <m/>
    <m/>
    <m/>
  </r>
  <r>
    <x v="291"/>
    <x v="0"/>
    <s v="유튜브 디스커버리"/>
    <x v="0"/>
    <x v="0"/>
    <x v="0"/>
    <m/>
    <m/>
    <n v="53197"/>
    <m/>
    <m/>
    <m/>
  </r>
  <r>
    <x v="292"/>
    <x v="2"/>
    <s v="유튜브 디스커버리"/>
    <x v="0"/>
    <x v="0"/>
    <x v="0"/>
    <m/>
    <m/>
    <n v="50309"/>
    <m/>
    <m/>
    <m/>
  </r>
  <r>
    <x v="293"/>
    <x v="5"/>
    <s v="유튜브 디스커버리"/>
    <x v="0"/>
    <x v="0"/>
    <x v="0"/>
    <m/>
    <m/>
    <n v="50327"/>
    <m/>
    <m/>
    <m/>
  </r>
  <r>
    <x v="294"/>
    <x v="6"/>
    <s v="유튜브 디스커버리"/>
    <x v="0"/>
    <x v="0"/>
    <x v="0"/>
    <m/>
    <m/>
    <n v="50178"/>
    <m/>
    <m/>
    <m/>
  </r>
  <r>
    <x v="295"/>
    <x v="3"/>
    <s v="유튜브 디스커버리"/>
    <x v="0"/>
    <x v="0"/>
    <x v="0"/>
    <m/>
    <m/>
    <n v="22729"/>
    <m/>
    <m/>
    <m/>
  </r>
  <r>
    <x v="244"/>
    <x v="4"/>
    <s v="페이스북/인스타그램"/>
    <x v="6"/>
    <x v="0"/>
    <x v="0"/>
    <m/>
    <m/>
    <n v="76703"/>
    <m/>
    <m/>
    <m/>
  </r>
  <r>
    <x v="296"/>
    <x v="1"/>
    <s v="페이스북/인스타그램"/>
    <x v="6"/>
    <x v="0"/>
    <x v="0"/>
    <m/>
    <m/>
    <n v="255149"/>
    <m/>
    <m/>
    <m/>
  </r>
  <r>
    <x v="297"/>
    <x v="0"/>
    <s v="페이스북/인스타그램"/>
    <x v="6"/>
    <x v="0"/>
    <x v="0"/>
    <m/>
    <m/>
    <n v="127809"/>
    <m/>
    <m/>
    <m/>
  </r>
  <r>
    <x v="298"/>
    <x v="2"/>
    <s v="페이스북/인스타그램"/>
    <x v="6"/>
    <x v="0"/>
    <x v="0"/>
    <m/>
    <m/>
    <n v="26537"/>
    <m/>
    <m/>
    <m/>
  </r>
  <r>
    <x v="299"/>
    <x v="5"/>
    <s v="페이스북/인스타그램"/>
    <x v="6"/>
    <x v="0"/>
    <x v="0"/>
    <m/>
    <m/>
    <n v="96455"/>
    <m/>
    <m/>
    <m/>
  </r>
  <r>
    <x v="300"/>
    <x v="6"/>
    <s v="페이스북/인스타그램"/>
    <x v="6"/>
    <x v="0"/>
    <x v="0"/>
    <m/>
    <m/>
    <n v="81552"/>
    <m/>
    <m/>
    <m/>
  </r>
  <r>
    <x v="301"/>
    <x v="3"/>
    <s v="페이스북/인스타그램"/>
    <x v="6"/>
    <x v="0"/>
    <x v="0"/>
    <m/>
    <m/>
    <n v="79582"/>
    <m/>
    <m/>
    <m/>
  </r>
  <r>
    <x v="244"/>
    <x v="4"/>
    <s v="페이스북/인스타그램"/>
    <x v="0"/>
    <x v="0"/>
    <x v="0"/>
    <m/>
    <m/>
    <n v="30139"/>
    <m/>
    <m/>
    <m/>
  </r>
  <r>
    <x v="296"/>
    <x v="1"/>
    <s v="페이스북/인스타그램"/>
    <x v="0"/>
    <x v="0"/>
    <x v="0"/>
    <m/>
    <m/>
    <n v="997161"/>
    <m/>
    <m/>
    <m/>
  </r>
  <r>
    <x v="297"/>
    <x v="0"/>
    <s v="페이스북/인스타그램"/>
    <x v="0"/>
    <x v="0"/>
    <x v="0"/>
    <m/>
    <m/>
    <n v="911539"/>
    <m/>
    <m/>
    <m/>
  </r>
  <r>
    <x v="298"/>
    <x v="2"/>
    <s v="페이스북/인스타그램"/>
    <x v="0"/>
    <x v="0"/>
    <x v="0"/>
    <m/>
    <m/>
    <n v="682505"/>
    <m/>
    <m/>
    <m/>
  </r>
  <r>
    <x v="299"/>
    <x v="5"/>
    <s v="페이스북/인스타그램"/>
    <x v="0"/>
    <x v="0"/>
    <x v="0"/>
    <m/>
    <m/>
    <n v="446074"/>
    <m/>
    <m/>
    <m/>
  </r>
  <r>
    <x v="300"/>
    <x v="6"/>
    <s v="페이스북/인스타그램"/>
    <x v="0"/>
    <x v="0"/>
    <x v="0"/>
    <m/>
    <m/>
    <n v="602841"/>
    <m/>
    <m/>
    <m/>
  </r>
  <r>
    <x v="301"/>
    <x v="3"/>
    <s v="페이스북/인스타그램"/>
    <x v="0"/>
    <x v="0"/>
    <x v="0"/>
    <m/>
    <m/>
    <n v="866686"/>
    <m/>
    <m/>
    <m/>
  </r>
  <r>
    <x v="244"/>
    <x v="4"/>
    <s v="네이버 GFA"/>
    <x v="6"/>
    <x v="0"/>
    <x v="0"/>
    <m/>
    <m/>
    <n v="371851.8181818182"/>
    <m/>
    <m/>
    <m/>
  </r>
  <r>
    <x v="296"/>
    <x v="1"/>
    <s v="네이버 GFA"/>
    <x v="6"/>
    <x v="0"/>
    <x v="0"/>
    <m/>
    <m/>
    <n v="446914.5454545454"/>
    <m/>
    <m/>
    <m/>
  </r>
  <r>
    <x v="297"/>
    <x v="0"/>
    <s v="네이버 GFA"/>
    <x v="6"/>
    <x v="0"/>
    <x v="0"/>
    <m/>
    <m/>
    <n v="70551.81818181818"/>
    <m/>
    <m/>
    <m/>
  </r>
  <r>
    <x v="301"/>
    <x v="3"/>
    <s v="네이버 GFA"/>
    <x v="6"/>
    <x v="0"/>
    <x v="0"/>
    <m/>
    <m/>
    <n v="25896.36363636364"/>
    <m/>
    <m/>
    <m/>
  </r>
  <r>
    <x v="296"/>
    <x v="1"/>
    <s v="네이버 GFA"/>
    <x v="0"/>
    <x v="0"/>
    <x v="0"/>
    <m/>
    <m/>
    <n v="54467.27272727272"/>
    <m/>
    <m/>
    <m/>
  </r>
  <r>
    <x v="297"/>
    <x v="0"/>
    <s v="네이버 GFA"/>
    <x v="0"/>
    <x v="0"/>
    <x v="0"/>
    <m/>
    <m/>
    <n v="127239.0909090909"/>
    <m/>
    <m/>
    <m/>
  </r>
  <r>
    <x v="298"/>
    <x v="2"/>
    <s v="네이버 GFA"/>
    <x v="0"/>
    <x v="0"/>
    <x v="0"/>
    <m/>
    <m/>
    <n v="143582.7272727273"/>
    <m/>
    <m/>
    <m/>
  </r>
  <r>
    <x v="299"/>
    <x v="5"/>
    <s v="네이버 GFA"/>
    <x v="0"/>
    <x v="0"/>
    <x v="0"/>
    <m/>
    <m/>
    <n v="142633.6363636364"/>
    <m/>
    <m/>
    <m/>
  </r>
  <r>
    <x v="300"/>
    <x v="6"/>
    <s v="네이버 GFA"/>
    <x v="0"/>
    <x v="0"/>
    <x v="0"/>
    <m/>
    <m/>
    <n v="131167.2727272727"/>
    <m/>
    <m/>
    <m/>
  </r>
  <r>
    <x v="301"/>
    <x v="3"/>
    <s v="네이버 GFA"/>
    <x v="0"/>
    <x v="0"/>
    <x v="0"/>
    <m/>
    <m/>
    <n v="384813.6363636364"/>
    <m/>
    <m/>
    <m/>
  </r>
  <r>
    <x v="244"/>
    <x v="4"/>
    <s v="네이버 쇼핑검색"/>
    <x v="0"/>
    <x v="0"/>
    <x v="0"/>
    <m/>
    <m/>
    <n v="42270"/>
    <m/>
    <m/>
    <m/>
  </r>
  <r>
    <x v="296"/>
    <x v="1"/>
    <s v="네이버 쇼핑검색"/>
    <x v="0"/>
    <x v="0"/>
    <x v="0"/>
    <m/>
    <m/>
    <n v="41850"/>
    <m/>
    <m/>
    <m/>
  </r>
  <r>
    <x v="297"/>
    <x v="0"/>
    <s v="네이버 쇼핑검색"/>
    <x v="0"/>
    <x v="0"/>
    <x v="0"/>
    <m/>
    <m/>
    <n v="44490"/>
    <m/>
    <m/>
    <m/>
  </r>
  <r>
    <x v="298"/>
    <x v="2"/>
    <s v="네이버 쇼핑검색"/>
    <x v="0"/>
    <x v="0"/>
    <x v="0"/>
    <m/>
    <m/>
    <n v="31110"/>
    <m/>
    <m/>
    <m/>
  </r>
  <r>
    <x v="299"/>
    <x v="5"/>
    <s v="네이버 쇼핑검색"/>
    <x v="0"/>
    <x v="0"/>
    <x v="0"/>
    <m/>
    <m/>
    <n v="32950"/>
    <m/>
    <m/>
    <m/>
  </r>
  <r>
    <x v="300"/>
    <x v="6"/>
    <s v="네이버 쇼핑검색"/>
    <x v="0"/>
    <x v="0"/>
    <x v="0"/>
    <m/>
    <m/>
    <n v="38950"/>
    <m/>
    <m/>
    <m/>
  </r>
  <r>
    <x v="301"/>
    <x v="3"/>
    <s v="네이버 쇼핑검색"/>
    <x v="0"/>
    <x v="0"/>
    <x v="0"/>
    <m/>
    <m/>
    <n v="47119.99999999999"/>
    <m/>
    <m/>
    <m/>
  </r>
  <r>
    <x v="244"/>
    <x v="4"/>
    <s v="네이버 브랜드검색"/>
    <x v="0"/>
    <x v="0"/>
    <x v="0"/>
    <m/>
    <m/>
    <n v="50000"/>
    <m/>
    <m/>
    <m/>
  </r>
  <r>
    <x v="296"/>
    <x v="1"/>
    <s v="네이버 브랜드검색"/>
    <x v="0"/>
    <x v="0"/>
    <x v="0"/>
    <m/>
    <m/>
    <n v="50000"/>
    <m/>
    <m/>
    <m/>
  </r>
  <r>
    <x v="297"/>
    <x v="0"/>
    <s v="네이버 브랜드검색"/>
    <x v="0"/>
    <x v="0"/>
    <x v="0"/>
    <m/>
    <m/>
    <n v="50000"/>
    <m/>
    <m/>
    <m/>
  </r>
  <r>
    <x v="298"/>
    <x v="2"/>
    <s v="네이버 브랜드검색"/>
    <x v="0"/>
    <x v="0"/>
    <x v="0"/>
    <m/>
    <m/>
    <n v="50000"/>
    <m/>
    <m/>
    <m/>
  </r>
  <r>
    <x v="299"/>
    <x v="5"/>
    <s v="네이버 브랜드검색"/>
    <x v="0"/>
    <x v="0"/>
    <x v="0"/>
    <m/>
    <m/>
    <n v="50000"/>
    <m/>
    <m/>
    <m/>
  </r>
  <r>
    <x v="300"/>
    <x v="6"/>
    <s v="네이버 브랜드검색"/>
    <x v="0"/>
    <x v="0"/>
    <x v="0"/>
    <m/>
    <m/>
    <n v="50000"/>
    <m/>
    <m/>
    <m/>
  </r>
  <r>
    <x v="301"/>
    <x v="3"/>
    <s v="네이버 브랜드검색"/>
    <x v="0"/>
    <x v="0"/>
    <x v="0"/>
    <m/>
    <m/>
    <n v="50000"/>
    <m/>
    <m/>
    <m/>
  </r>
  <r>
    <x v="296"/>
    <x v="1"/>
    <s v="유튜브 디스커버리(이미지)"/>
    <x v="0"/>
    <x v="0"/>
    <x v="0"/>
    <m/>
    <m/>
    <n v="214315"/>
    <m/>
    <m/>
    <m/>
  </r>
  <r>
    <x v="297"/>
    <x v="0"/>
    <s v="유튜브 디스커버리(이미지)"/>
    <x v="0"/>
    <x v="0"/>
    <x v="0"/>
    <m/>
    <m/>
    <n v="73621"/>
    <m/>
    <m/>
    <m/>
  </r>
  <r>
    <x v="301"/>
    <x v="3"/>
    <s v="유튜브 디스커버리(이미지)"/>
    <x v="0"/>
    <x v="0"/>
    <x v="0"/>
    <m/>
    <m/>
    <n v="200687"/>
    <m/>
    <m/>
    <m/>
  </r>
  <r>
    <x v="298"/>
    <x v="2"/>
    <s v="카카오광고"/>
    <x v="0"/>
    <x v="0"/>
    <x v="0"/>
    <m/>
    <m/>
    <n v="5849.999999999999"/>
    <m/>
    <m/>
    <m/>
  </r>
  <r>
    <x v="299"/>
    <x v="5"/>
    <s v="카카오광고"/>
    <x v="0"/>
    <x v="0"/>
    <x v="0"/>
    <m/>
    <m/>
    <n v="11600"/>
    <m/>
    <m/>
    <m/>
  </r>
  <r>
    <x v="300"/>
    <x v="6"/>
    <s v="카카오광고"/>
    <x v="0"/>
    <x v="0"/>
    <x v="0"/>
    <m/>
    <m/>
    <n v="10660"/>
    <m/>
    <m/>
    <m/>
  </r>
  <r>
    <x v="301"/>
    <x v="3"/>
    <s v="카카오광고"/>
    <x v="0"/>
    <x v="0"/>
    <x v="0"/>
    <m/>
    <m/>
    <n v="12490"/>
    <m/>
    <m/>
    <m/>
  </r>
  <r>
    <x v="302"/>
    <x v="4"/>
    <s v="페이스북/인스타그램"/>
    <x v="6"/>
    <x v="0"/>
    <x v="0"/>
    <m/>
    <m/>
    <n v="20460"/>
    <m/>
    <m/>
    <m/>
  </r>
  <r>
    <x v="302"/>
    <x v="4"/>
    <s v="페이스북/인스타그램"/>
    <x v="0"/>
    <x v="0"/>
    <x v="0"/>
    <m/>
    <m/>
    <n v="1066370"/>
    <m/>
    <m/>
    <m/>
  </r>
  <r>
    <x v="303"/>
    <x v="1"/>
    <s v="페이스북/인스타그램"/>
    <x v="0"/>
    <x v="0"/>
    <x v="0"/>
    <m/>
    <m/>
    <n v="1021026"/>
    <m/>
    <m/>
    <m/>
  </r>
  <r>
    <x v="302"/>
    <x v="4"/>
    <s v="네이버 GFA"/>
    <x v="6"/>
    <x v="0"/>
    <x v="0"/>
    <m/>
    <m/>
    <n v="26576.36363636364"/>
    <m/>
    <m/>
    <m/>
  </r>
  <r>
    <x v="302"/>
    <x v="4"/>
    <s v="네이버 GFA"/>
    <x v="6"/>
    <x v="0"/>
    <x v="0"/>
    <m/>
    <m/>
    <n v="73693.63636363635"/>
    <m/>
    <m/>
    <m/>
  </r>
  <r>
    <x v="303"/>
    <x v="1"/>
    <s v="네이버 GFA"/>
    <x v="0"/>
    <x v="0"/>
    <x v="0"/>
    <m/>
    <m/>
    <n v="212996.3636363636"/>
    <m/>
    <m/>
    <m/>
  </r>
  <r>
    <x v="303"/>
    <x v="1"/>
    <s v="네이버 GFA"/>
    <x v="0"/>
    <x v="0"/>
    <x v="0"/>
    <m/>
    <m/>
    <n v="408134.5454545454"/>
    <m/>
    <m/>
    <m/>
  </r>
  <r>
    <x v="302"/>
    <x v="4"/>
    <s v="네이버 쇼핑검색"/>
    <x v="0"/>
    <x v="0"/>
    <x v="0"/>
    <m/>
    <m/>
    <n v="47729.99999999999"/>
    <m/>
    <m/>
    <m/>
  </r>
  <r>
    <x v="303"/>
    <x v="1"/>
    <s v="네이버 쇼핑검색"/>
    <x v="0"/>
    <x v="0"/>
    <x v="0"/>
    <m/>
    <m/>
    <n v="46159.99999999999"/>
    <m/>
    <m/>
    <m/>
  </r>
  <r>
    <x v="302"/>
    <x v="4"/>
    <s v="네이버 브랜드검색"/>
    <x v="0"/>
    <x v="0"/>
    <x v="0"/>
    <m/>
    <m/>
    <n v="50000"/>
    <m/>
    <m/>
    <m/>
  </r>
  <r>
    <x v="303"/>
    <x v="1"/>
    <s v="네이버 브랜드검색"/>
    <x v="0"/>
    <x v="0"/>
    <x v="0"/>
    <m/>
    <m/>
    <n v="50000"/>
    <m/>
    <m/>
    <m/>
  </r>
  <r>
    <x v="302"/>
    <x v="4"/>
    <s v="유튜브 디스커버리(이미지)"/>
    <x v="0"/>
    <x v="0"/>
    <x v="0"/>
    <m/>
    <m/>
    <n v="29720"/>
    <m/>
    <m/>
    <m/>
  </r>
  <r>
    <x v="303"/>
    <x v="1"/>
    <s v="유튜브 디스커버리(이미지)"/>
    <x v="0"/>
    <x v="0"/>
    <x v="0"/>
    <m/>
    <m/>
    <n v="171893"/>
    <m/>
    <m/>
    <m/>
  </r>
  <r>
    <x v="302"/>
    <x v="4"/>
    <s v="카카오광고"/>
    <x v="0"/>
    <x v="0"/>
    <x v="0"/>
    <m/>
    <m/>
    <n v="8420"/>
    <m/>
    <m/>
    <m/>
  </r>
  <r>
    <x v="303"/>
    <x v="1"/>
    <s v="카카오광고"/>
    <x v="0"/>
    <x v="0"/>
    <x v="0"/>
    <m/>
    <m/>
    <n v="7849.999999999999"/>
    <m/>
    <m/>
    <m/>
  </r>
  <r>
    <x v="304"/>
    <x v="0"/>
    <s v="페이스북/인스타그램"/>
    <x v="6"/>
    <x v="0"/>
    <x v="0"/>
    <m/>
    <m/>
    <n v="31984"/>
    <m/>
    <m/>
    <m/>
  </r>
  <r>
    <x v="305"/>
    <x v="2"/>
    <s v="페이스북/인스타그램"/>
    <x v="6"/>
    <x v="0"/>
    <x v="0"/>
    <m/>
    <m/>
    <n v="122997"/>
    <m/>
    <m/>
    <m/>
  </r>
  <r>
    <x v="304"/>
    <x v="0"/>
    <s v="페이스북/인스타그램"/>
    <x v="0"/>
    <x v="0"/>
    <x v="0"/>
    <m/>
    <m/>
    <n v="1020142"/>
    <m/>
    <m/>
    <m/>
  </r>
  <r>
    <x v="305"/>
    <x v="2"/>
    <s v="페이스북/인스타그램"/>
    <x v="0"/>
    <x v="0"/>
    <x v="0"/>
    <m/>
    <m/>
    <n v="872616"/>
    <m/>
    <m/>
    <m/>
  </r>
  <r>
    <x v="306"/>
    <x v="5"/>
    <s v="페이스북/인스타그램"/>
    <x v="0"/>
    <x v="0"/>
    <x v="0"/>
    <m/>
    <m/>
    <n v="594496"/>
    <m/>
    <m/>
    <m/>
  </r>
  <r>
    <x v="307"/>
    <x v="6"/>
    <s v="페이스북/인스타그램"/>
    <x v="0"/>
    <x v="0"/>
    <x v="0"/>
    <m/>
    <m/>
    <n v="827226"/>
    <m/>
    <m/>
    <m/>
  </r>
  <r>
    <x v="308"/>
    <x v="3"/>
    <s v="페이스북/인스타그램"/>
    <x v="0"/>
    <x v="0"/>
    <x v="0"/>
    <m/>
    <m/>
    <n v="724791"/>
    <m/>
    <m/>
    <m/>
  </r>
  <r>
    <x v="309"/>
    <x v="4"/>
    <s v="페이스북/인스타그램"/>
    <x v="0"/>
    <x v="0"/>
    <x v="0"/>
    <m/>
    <m/>
    <n v="826114"/>
    <m/>
    <m/>
    <m/>
  </r>
  <r>
    <x v="309"/>
    <x v="4"/>
    <s v="페이스북/인스타그램"/>
    <x v="6"/>
    <x v="0"/>
    <x v="0"/>
    <m/>
    <m/>
    <n v="22414"/>
    <m/>
    <m/>
    <m/>
  </r>
  <r>
    <x v="304"/>
    <x v="0"/>
    <s v="네이버 GFA"/>
    <x v="0"/>
    <x v="0"/>
    <x v="0"/>
    <m/>
    <m/>
    <n v="567455.4545454545"/>
    <m/>
    <m/>
    <m/>
  </r>
  <r>
    <x v="305"/>
    <x v="2"/>
    <s v="네이버 GFA"/>
    <x v="0"/>
    <x v="0"/>
    <x v="0"/>
    <m/>
    <m/>
    <n v="249744"/>
    <m/>
    <m/>
    <m/>
  </r>
  <r>
    <x v="306"/>
    <x v="5"/>
    <s v="네이버 GFA"/>
    <x v="0"/>
    <x v="0"/>
    <x v="0"/>
    <m/>
    <m/>
    <n v="310"/>
    <m/>
    <m/>
    <m/>
  </r>
  <r>
    <x v="308"/>
    <x v="3"/>
    <s v="네이버 GFA"/>
    <x v="0"/>
    <x v="0"/>
    <x v="0"/>
    <m/>
    <m/>
    <n v="402019.0909090909"/>
    <m/>
    <m/>
    <m/>
  </r>
  <r>
    <x v="309"/>
    <x v="4"/>
    <s v="네이버 GFA"/>
    <x v="0"/>
    <x v="0"/>
    <x v="0"/>
    <m/>
    <m/>
    <n v="429790.9090909091"/>
    <m/>
    <m/>
    <m/>
  </r>
  <r>
    <x v="304"/>
    <x v="0"/>
    <s v="네이버 GFA"/>
    <x v="6"/>
    <x v="0"/>
    <x v="0"/>
    <m/>
    <m/>
    <n v="86620.90909090909"/>
    <m/>
    <m/>
    <m/>
  </r>
  <r>
    <x v="305"/>
    <x v="2"/>
    <s v="네이버 GFA"/>
    <x v="6"/>
    <x v="0"/>
    <x v="0"/>
    <m/>
    <m/>
    <n v="46508.18181818182"/>
    <m/>
    <m/>
    <m/>
  </r>
  <r>
    <x v="308"/>
    <x v="3"/>
    <s v="네이버 GFA"/>
    <x v="6"/>
    <x v="0"/>
    <x v="0"/>
    <m/>
    <m/>
    <n v="66323.63636363635"/>
    <m/>
    <m/>
    <m/>
  </r>
  <r>
    <x v="309"/>
    <x v="4"/>
    <s v="네이버 GFA"/>
    <x v="6"/>
    <x v="0"/>
    <x v="0"/>
    <m/>
    <m/>
    <n v="65862.72727272726"/>
    <m/>
    <m/>
    <m/>
  </r>
  <r>
    <x v="304"/>
    <x v="0"/>
    <s v="네이버 쇼핑검색"/>
    <x v="0"/>
    <x v="0"/>
    <x v="0"/>
    <m/>
    <m/>
    <n v="66320"/>
    <m/>
    <m/>
    <m/>
  </r>
  <r>
    <x v="305"/>
    <x v="2"/>
    <s v="네이버 쇼핑검색"/>
    <x v="0"/>
    <x v="0"/>
    <x v="0"/>
    <m/>
    <m/>
    <n v="69020"/>
    <m/>
    <m/>
    <m/>
  </r>
  <r>
    <x v="306"/>
    <x v="5"/>
    <s v="네이버 쇼핑검색"/>
    <x v="0"/>
    <x v="0"/>
    <x v="0"/>
    <m/>
    <m/>
    <n v="51379.99999999999"/>
    <m/>
    <m/>
    <m/>
  </r>
  <r>
    <x v="307"/>
    <x v="6"/>
    <s v="네이버 쇼핑검색"/>
    <x v="0"/>
    <x v="0"/>
    <x v="0"/>
    <m/>
    <m/>
    <n v="54469.99999999999"/>
    <m/>
    <m/>
    <m/>
  </r>
  <r>
    <x v="308"/>
    <x v="3"/>
    <s v="네이버 쇼핑검색"/>
    <x v="0"/>
    <x v="0"/>
    <x v="0"/>
    <m/>
    <m/>
    <n v="54269.99999999999"/>
    <m/>
    <m/>
    <m/>
  </r>
  <r>
    <x v="309"/>
    <x v="4"/>
    <s v="네이버 쇼핑검색"/>
    <x v="0"/>
    <x v="0"/>
    <x v="0"/>
    <m/>
    <m/>
    <n v="56029.99999999999"/>
    <m/>
    <m/>
    <m/>
  </r>
  <r>
    <x v="304"/>
    <x v="0"/>
    <s v="네이버 브랜드검색"/>
    <x v="0"/>
    <x v="0"/>
    <x v="0"/>
    <m/>
    <m/>
    <n v="50000"/>
    <m/>
    <m/>
    <m/>
  </r>
  <r>
    <x v="305"/>
    <x v="2"/>
    <s v="네이버 브랜드검색"/>
    <x v="0"/>
    <x v="0"/>
    <x v="0"/>
    <m/>
    <m/>
    <n v="50000"/>
    <m/>
    <m/>
    <m/>
  </r>
  <r>
    <x v="306"/>
    <x v="5"/>
    <s v="네이버 브랜드검색"/>
    <x v="0"/>
    <x v="0"/>
    <x v="0"/>
    <m/>
    <m/>
    <n v="50000"/>
    <m/>
    <m/>
    <m/>
  </r>
  <r>
    <x v="307"/>
    <x v="6"/>
    <s v="네이버 브랜드검색"/>
    <x v="0"/>
    <x v="0"/>
    <x v="0"/>
    <m/>
    <m/>
    <n v="50000"/>
    <m/>
    <m/>
    <m/>
  </r>
  <r>
    <x v="308"/>
    <x v="3"/>
    <s v="네이버 브랜드검색"/>
    <x v="0"/>
    <x v="0"/>
    <x v="0"/>
    <m/>
    <m/>
    <n v="50000"/>
    <m/>
    <m/>
    <m/>
  </r>
  <r>
    <x v="309"/>
    <x v="4"/>
    <s v="네이버 브랜드검색"/>
    <x v="0"/>
    <x v="0"/>
    <x v="0"/>
    <m/>
    <m/>
    <n v="50000"/>
    <m/>
    <m/>
    <m/>
  </r>
  <r>
    <x v="304"/>
    <x v="0"/>
    <s v="유튜브 디스커버리(이미지)"/>
    <x v="0"/>
    <x v="0"/>
    <x v="0"/>
    <m/>
    <m/>
    <n v="261"/>
    <m/>
    <m/>
    <m/>
  </r>
  <r>
    <x v="305"/>
    <x v="2"/>
    <s v="유튜브 디스커버리(이미지)"/>
    <x v="0"/>
    <x v="0"/>
    <x v="0"/>
    <m/>
    <m/>
    <n v="3118"/>
    <m/>
    <m/>
    <m/>
  </r>
  <r>
    <x v="306"/>
    <x v="5"/>
    <s v="유튜브 디스커버리(이미지)"/>
    <x v="0"/>
    <x v="0"/>
    <x v="0"/>
    <m/>
    <m/>
    <n v="109778"/>
    <m/>
    <m/>
    <m/>
  </r>
  <r>
    <x v="307"/>
    <x v="6"/>
    <s v="유튜브 디스커버리(이미지)"/>
    <x v="0"/>
    <x v="0"/>
    <x v="0"/>
    <m/>
    <m/>
    <n v="101121"/>
    <m/>
    <m/>
    <m/>
  </r>
  <r>
    <x v="308"/>
    <x v="3"/>
    <s v="유튜브 디스커버리(이미지)"/>
    <x v="0"/>
    <x v="0"/>
    <x v="0"/>
    <m/>
    <m/>
    <n v="246567"/>
    <m/>
    <m/>
    <m/>
  </r>
  <r>
    <x v="309"/>
    <x v="4"/>
    <s v="유튜브 디스커버리(이미지)"/>
    <x v="0"/>
    <x v="0"/>
    <x v="0"/>
    <m/>
    <m/>
    <n v="257827"/>
    <m/>
    <m/>
    <m/>
  </r>
  <r>
    <x v="304"/>
    <x v="0"/>
    <s v="카카오광고"/>
    <x v="0"/>
    <x v="0"/>
    <x v="0"/>
    <m/>
    <m/>
    <n v="11600"/>
    <m/>
    <m/>
    <m/>
  </r>
  <r>
    <x v="305"/>
    <x v="2"/>
    <s v="카카오광고"/>
    <x v="0"/>
    <x v="0"/>
    <x v="0"/>
    <m/>
    <m/>
    <n v="8410"/>
    <m/>
    <m/>
    <m/>
  </r>
  <r>
    <x v="306"/>
    <x v="5"/>
    <s v="카카오광고"/>
    <x v="0"/>
    <x v="0"/>
    <x v="0"/>
    <m/>
    <m/>
    <n v="9460"/>
    <m/>
    <m/>
    <m/>
  </r>
  <r>
    <x v="307"/>
    <x v="6"/>
    <s v="카카오광고"/>
    <x v="0"/>
    <x v="0"/>
    <x v="0"/>
    <m/>
    <m/>
    <n v="7329.999999999999"/>
    <m/>
    <m/>
    <m/>
  </r>
  <r>
    <x v="308"/>
    <x v="3"/>
    <s v="카카오광고"/>
    <x v="0"/>
    <x v="0"/>
    <x v="0"/>
    <m/>
    <m/>
    <n v="11730"/>
    <m/>
    <m/>
    <m/>
  </r>
  <r>
    <x v="309"/>
    <x v="4"/>
    <s v="카카오광고"/>
    <x v="0"/>
    <x v="0"/>
    <x v="0"/>
    <m/>
    <m/>
    <n v="6919.999999999999"/>
    <m/>
    <m/>
    <m/>
  </r>
  <r>
    <x v="310"/>
    <x v="1"/>
    <s v="페이스북/인스타그램"/>
    <x v="6"/>
    <x v="0"/>
    <x v="0"/>
    <m/>
    <m/>
    <n v="155241"/>
    <m/>
    <m/>
    <m/>
  </r>
  <r>
    <x v="311"/>
    <x v="0"/>
    <s v="페이스북/인스타그램"/>
    <x v="6"/>
    <x v="0"/>
    <x v="0"/>
    <m/>
    <m/>
    <n v="142618"/>
    <m/>
    <m/>
    <m/>
  </r>
  <r>
    <x v="310"/>
    <x v="1"/>
    <s v="페이스북/인스타그램"/>
    <x v="0"/>
    <x v="0"/>
    <x v="0"/>
    <m/>
    <m/>
    <n v="242218"/>
    <m/>
    <m/>
    <m/>
  </r>
  <r>
    <x v="310"/>
    <x v="1"/>
    <s v="네이버 GFA"/>
    <x v="6"/>
    <x v="0"/>
    <x v="0"/>
    <m/>
    <m/>
    <n v="7437.272727272727"/>
    <m/>
    <m/>
    <m/>
  </r>
  <r>
    <x v="310"/>
    <x v="1"/>
    <s v="네이버 GFA"/>
    <x v="0"/>
    <x v="0"/>
    <x v="0"/>
    <m/>
    <m/>
    <n v="69681.81818181818"/>
    <m/>
    <m/>
    <m/>
  </r>
  <r>
    <x v="310"/>
    <x v="1"/>
    <s v="네이버 쇼핑검색"/>
    <x v="0"/>
    <x v="0"/>
    <x v="0"/>
    <m/>
    <m/>
    <n v="53659.99999999999"/>
    <m/>
    <m/>
    <m/>
  </r>
  <r>
    <x v="311"/>
    <x v="0"/>
    <s v="네이버 쇼핑검색"/>
    <x v="0"/>
    <x v="0"/>
    <x v="0"/>
    <m/>
    <m/>
    <n v="46679.99999999999"/>
    <m/>
    <m/>
    <m/>
  </r>
  <r>
    <x v="310"/>
    <x v="1"/>
    <s v="네이버 브랜드검색"/>
    <x v="0"/>
    <x v="0"/>
    <x v="0"/>
    <m/>
    <m/>
    <n v="50000"/>
    <m/>
    <m/>
    <m/>
  </r>
  <r>
    <x v="311"/>
    <x v="0"/>
    <s v="네이버 브랜드검색"/>
    <x v="0"/>
    <x v="0"/>
    <x v="0"/>
    <m/>
    <m/>
    <n v="50000"/>
    <m/>
    <m/>
    <m/>
  </r>
  <r>
    <x v="310"/>
    <x v="1"/>
    <s v="카카오광고"/>
    <x v="0"/>
    <x v="0"/>
    <x v="0"/>
    <m/>
    <m/>
    <n v="4020"/>
    <m/>
    <m/>
    <m/>
  </r>
  <r>
    <x v="310"/>
    <x v="1"/>
    <s v="문자대표"/>
    <x v="0"/>
    <x v="0"/>
    <x v="0"/>
    <m/>
    <m/>
    <n v="2460"/>
    <m/>
    <m/>
    <m/>
  </r>
  <r>
    <x v="312"/>
    <x v="2"/>
    <s v="페이스북/인스타그램"/>
    <x v="6"/>
    <x v="0"/>
    <x v="0"/>
    <m/>
    <m/>
    <n v="28688"/>
    <m/>
    <m/>
    <m/>
  </r>
  <r>
    <x v="313"/>
    <x v="5"/>
    <s v="페이스북/인스타그램"/>
    <x v="6"/>
    <x v="0"/>
    <x v="0"/>
    <m/>
    <m/>
    <n v="8459"/>
    <m/>
    <m/>
    <m/>
  </r>
  <r>
    <x v="314"/>
    <x v="6"/>
    <s v="페이스북/인스타그램"/>
    <x v="0"/>
    <x v="0"/>
    <x v="0"/>
    <m/>
    <m/>
    <n v="174582"/>
    <m/>
    <m/>
    <m/>
  </r>
  <r>
    <x v="312"/>
    <x v="2"/>
    <s v="네이버 쇼핑검색"/>
    <x v="0"/>
    <x v="0"/>
    <x v="0"/>
    <m/>
    <m/>
    <n v="43420"/>
    <m/>
    <m/>
    <m/>
  </r>
  <r>
    <x v="313"/>
    <x v="5"/>
    <s v="네이버 쇼핑검색"/>
    <x v="0"/>
    <x v="0"/>
    <x v="0"/>
    <m/>
    <m/>
    <n v="40630"/>
    <m/>
    <m/>
    <m/>
  </r>
  <r>
    <x v="314"/>
    <x v="6"/>
    <s v="네이버 쇼핑검색"/>
    <x v="0"/>
    <x v="0"/>
    <x v="0"/>
    <m/>
    <m/>
    <n v="44520"/>
    <m/>
    <m/>
    <m/>
  </r>
  <r>
    <x v="312"/>
    <x v="2"/>
    <s v="네이버 브랜드검색"/>
    <x v="0"/>
    <x v="0"/>
    <x v="0"/>
    <m/>
    <m/>
    <n v="50000"/>
    <m/>
    <m/>
    <m/>
  </r>
  <r>
    <x v="313"/>
    <x v="5"/>
    <s v="네이버 브랜드검색"/>
    <x v="0"/>
    <x v="0"/>
    <x v="0"/>
    <m/>
    <m/>
    <n v="50000"/>
    <m/>
    <m/>
    <m/>
  </r>
  <r>
    <x v="314"/>
    <x v="6"/>
    <s v="네이버 브랜드검색"/>
    <x v="0"/>
    <x v="0"/>
    <x v="0"/>
    <m/>
    <m/>
    <n v="50000"/>
    <m/>
    <m/>
    <m/>
  </r>
  <r>
    <x v="315"/>
    <x v="1"/>
    <s v="페이스북/인스타그램"/>
    <x v="5"/>
    <x v="0"/>
    <x v="0"/>
    <m/>
    <m/>
    <n v="29818"/>
    <m/>
    <m/>
    <m/>
  </r>
  <r>
    <x v="316"/>
    <x v="0"/>
    <s v="페이스북/인스타그램"/>
    <x v="5"/>
    <x v="0"/>
    <x v="0"/>
    <m/>
    <m/>
    <n v="182538"/>
    <m/>
    <m/>
    <m/>
  </r>
  <r>
    <x v="317"/>
    <x v="3"/>
    <s v="페이스북/인스타그램"/>
    <x v="0"/>
    <x v="0"/>
    <x v="0"/>
    <m/>
    <m/>
    <n v="186936"/>
    <m/>
    <m/>
    <m/>
  </r>
  <r>
    <x v="318"/>
    <x v="4"/>
    <s v="페이스북/인스타그램"/>
    <x v="0"/>
    <x v="0"/>
    <x v="0"/>
    <m/>
    <m/>
    <n v="328834"/>
    <m/>
    <m/>
    <m/>
  </r>
  <r>
    <x v="315"/>
    <x v="1"/>
    <s v="페이스북/인스타그램"/>
    <x v="0"/>
    <x v="0"/>
    <x v="0"/>
    <m/>
    <m/>
    <n v="377139"/>
    <m/>
    <m/>
    <m/>
  </r>
  <r>
    <x v="316"/>
    <x v="0"/>
    <s v="페이스북/인스타그램"/>
    <x v="0"/>
    <x v="0"/>
    <x v="0"/>
    <m/>
    <m/>
    <n v="380062"/>
    <m/>
    <m/>
    <m/>
  </r>
  <r>
    <x v="317"/>
    <x v="3"/>
    <s v="네이버 GFA"/>
    <x v="6"/>
    <x v="0"/>
    <x v="0"/>
    <m/>
    <m/>
    <n v="35943.63636363636"/>
    <m/>
    <m/>
    <m/>
  </r>
  <r>
    <x v="318"/>
    <x v="4"/>
    <s v="네이버 GFA"/>
    <x v="6"/>
    <x v="0"/>
    <x v="0"/>
    <m/>
    <m/>
    <n v="67935.45454545454"/>
    <m/>
    <m/>
    <m/>
  </r>
  <r>
    <x v="315"/>
    <x v="1"/>
    <s v="네이버 GFA"/>
    <x v="6"/>
    <x v="0"/>
    <x v="0"/>
    <m/>
    <m/>
    <n v="29291.81818181818"/>
    <m/>
    <m/>
    <m/>
  </r>
  <r>
    <x v="316"/>
    <x v="0"/>
    <s v="네이버 GFA"/>
    <x v="6"/>
    <x v="0"/>
    <x v="0"/>
    <m/>
    <m/>
    <n v="14801.81818181818"/>
    <m/>
    <m/>
    <m/>
  </r>
  <r>
    <x v="317"/>
    <x v="3"/>
    <s v="네이버 GFA"/>
    <x v="0"/>
    <x v="0"/>
    <x v="0"/>
    <m/>
    <m/>
    <n v="356192.7272727272"/>
    <m/>
    <m/>
    <m/>
  </r>
  <r>
    <x v="318"/>
    <x v="4"/>
    <s v="네이버 GFA"/>
    <x v="0"/>
    <x v="0"/>
    <x v="0"/>
    <m/>
    <m/>
    <n v="593463.6363636364"/>
    <m/>
    <m/>
    <m/>
  </r>
  <r>
    <x v="315"/>
    <x v="1"/>
    <s v="네이버 GFA"/>
    <x v="0"/>
    <x v="0"/>
    <x v="0"/>
    <m/>
    <m/>
    <n v="297630.9090909091"/>
    <m/>
    <m/>
    <m/>
  </r>
  <r>
    <x v="316"/>
    <x v="0"/>
    <s v="네이버 GFA"/>
    <x v="0"/>
    <x v="0"/>
    <x v="0"/>
    <m/>
    <m/>
    <n v="282929.0909090909"/>
    <m/>
    <m/>
    <m/>
  </r>
  <r>
    <x v="317"/>
    <x v="3"/>
    <s v="네이버 쇼핑검색"/>
    <x v="0"/>
    <x v="0"/>
    <x v="0"/>
    <m/>
    <m/>
    <n v="67760"/>
    <m/>
    <m/>
    <m/>
  </r>
  <r>
    <x v="318"/>
    <x v="4"/>
    <s v="네이버 쇼핑검색"/>
    <x v="0"/>
    <x v="0"/>
    <x v="0"/>
    <m/>
    <m/>
    <n v="68230"/>
    <m/>
    <m/>
    <m/>
  </r>
  <r>
    <x v="315"/>
    <x v="1"/>
    <s v="네이버 쇼핑검색"/>
    <x v="0"/>
    <x v="0"/>
    <x v="0"/>
    <m/>
    <m/>
    <n v="56339.99999999999"/>
    <m/>
    <m/>
    <m/>
  </r>
  <r>
    <x v="316"/>
    <x v="0"/>
    <s v="네이버 쇼핑검색"/>
    <x v="0"/>
    <x v="0"/>
    <x v="0"/>
    <m/>
    <m/>
    <n v="47289.99999999999"/>
    <m/>
    <m/>
    <m/>
  </r>
  <r>
    <x v="317"/>
    <x v="3"/>
    <s v="네이버 브랜드검색"/>
    <x v="0"/>
    <x v="0"/>
    <x v="0"/>
    <m/>
    <m/>
    <n v="50000"/>
    <m/>
    <m/>
    <m/>
  </r>
  <r>
    <x v="318"/>
    <x v="4"/>
    <s v="네이버 브랜드검색"/>
    <x v="0"/>
    <x v="0"/>
    <x v="0"/>
    <m/>
    <m/>
    <n v="50000"/>
    <m/>
    <m/>
    <m/>
  </r>
  <r>
    <x v="315"/>
    <x v="1"/>
    <s v="네이버 브랜드검색"/>
    <x v="0"/>
    <x v="0"/>
    <x v="0"/>
    <m/>
    <m/>
    <n v="50000"/>
    <m/>
    <m/>
    <m/>
  </r>
  <r>
    <x v="316"/>
    <x v="0"/>
    <s v="네이버 브랜드검색"/>
    <x v="0"/>
    <x v="0"/>
    <x v="0"/>
    <m/>
    <m/>
    <n v="50000"/>
    <m/>
    <m/>
    <m/>
  </r>
  <r>
    <x v="317"/>
    <x v="3"/>
    <s v="유튜브 디스커버리(이미지)"/>
    <x v="0"/>
    <x v="0"/>
    <x v="0"/>
    <m/>
    <m/>
    <n v="327394"/>
    <m/>
    <m/>
    <m/>
  </r>
  <r>
    <x v="318"/>
    <x v="4"/>
    <s v="유튜브 디스커버리(이미지)"/>
    <x v="0"/>
    <x v="0"/>
    <x v="0"/>
    <m/>
    <m/>
    <n v="130650"/>
    <m/>
    <m/>
    <m/>
  </r>
  <r>
    <x v="315"/>
    <x v="1"/>
    <s v="유튜브 디스커버리(이미지)"/>
    <x v="0"/>
    <x v="0"/>
    <x v="0"/>
    <m/>
    <m/>
    <n v="282379"/>
    <m/>
    <m/>
    <m/>
  </r>
  <r>
    <x v="316"/>
    <x v="0"/>
    <s v="유튜브 디스커버리(이미지)"/>
    <x v="0"/>
    <x v="0"/>
    <x v="0"/>
    <m/>
    <m/>
    <n v="203662"/>
    <m/>
    <m/>
    <m/>
  </r>
  <r>
    <x v="315"/>
    <x v="1"/>
    <s v="문자대표"/>
    <x v="0"/>
    <x v="0"/>
    <x v="0"/>
    <m/>
    <m/>
    <n v="630"/>
    <m/>
    <m/>
    <m/>
  </r>
  <r>
    <x v="319"/>
    <x v="2"/>
    <s v="페이스북/인스타그램"/>
    <x v="5"/>
    <x v="0"/>
    <x v="0"/>
    <m/>
    <m/>
    <n v="163267"/>
    <m/>
    <m/>
    <m/>
  </r>
  <r>
    <x v="319"/>
    <x v="2"/>
    <s v="페이스북/인스타그램"/>
    <x v="0"/>
    <x v="0"/>
    <x v="0"/>
    <m/>
    <m/>
    <n v="263148"/>
    <m/>
    <m/>
    <m/>
  </r>
  <r>
    <x v="319"/>
    <x v="2"/>
    <s v="네이버 GFA"/>
    <x v="6"/>
    <x v="0"/>
    <x v="0"/>
    <m/>
    <m/>
    <n v="16087.27272727273"/>
    <m/>
    <m/>
    <m/>
  </r>
  <r>
    <x v="319"/>
    <x v="2"/>
    <s v="네이버 GFA"/>
    <x v="0"/>
    <x v="0"/>
    <x v="0"/>
    <m/>
    <m/>
    <n v="188749.0909090909"/>
    <m/>
    <m/>
    <m/>
  </r>
  <r>
    <x v="320"/>
    <x v="5"/>
    <s v="네이버 쇼핑검색"/>
    <x v="0"/>
    <x v="0"/>
    <x v="0"/>
    <m/>
    <m/>
    <n v="48139.99999999999"/>
    <m/>
    <m/>
    <m/>
  </r>
  <r>
    <x v="321"/>
    <x v="6"/>
    <s v="네이버 쇼핑검색"/>
    <x v="0"/>
    <x v="0"/>
    <x v="0"/>
    <m/>
    <m/>
    <n v="34710"/>
    <m/>
    <m/>
    <m/>
  </r>
  <r>
    <x v="322"/>
    <x v="3"/>
    <s v="네이버 쇼핑검색"/>
    <x v="0"/>
    <x v="0"/>
    <x v="0"/>
    <m/>
    <m/>
    <n v="47189.99999999999"/>
    <m/>
    <m/>
    <m/>
  </r>
  <r>
    <x v="323"/>
    <x v="4"/>
    <s v="네이버 쇼핑검색"/>
    <x v="0"/>
    <x v="0"/>
    <x v="0"/>
    <m/>
    <m/>
    <n v="46689.99999999999"/>
    <m/>
    <m/>
    <m/>
  </r>
  <r>
    <x v="324"/>
    <x v="1"/>
    <s v="네이버 쇼핑검색"/>
    <x v="0"/>
    <x v="0"/>
    <x v="0"/>
    <m/>
    <m/>
    <n v="54669.99999999999"/>
    <m/>
    <m/>
    <m/>
  </r>
  <r>
    <x v="325"/>
    <x v="0"/>
    <s v="네이버 쇼핑검색"/>
    <x v="0"/>
    <x v="0"/>
    <x v="0"/>
    <m/>
    <m/>
    <n v="39540"/>
    <m/>
    <m/>
    <m/>
  </r>
  <r>
    <x v="319"/>
    <x v="2"/>
    <s v="네이버 브랜드검색"/>
    <x v="0"/>
    <x v="0"/>
    <x v="0"/>
    <m/>
    <m/>
    <n v="50000"/>
    <m/>
    <m/>
    <m/>
  </r>
  <r>
    <x v="320"/>
    <x v="5"/>
    <s v="네이버 브랜드검색"/>
    <x v="0"/>
    <x v="0"/>
    <x v="0"/>
    <m/>
    <m/>
    <n v="50000"/>
    <m/>
    <m/>
    <m/>
  </r>
  <r>
    <x v="321"/>
    <x v="6"/>
    <s v="네이버 브랜드검색"/>
    <x v="0"/>
    <x v="0"/>
    <x v="0"/>
    <m/>
    <m/>
    <n v="50000"/>
    <m/>
    <m/>
    <m/>
  </r>
  <r>
    <x v="322"/>
    <x v="3"/>
    <s v="네이버 브랜드검색"/>
    <x v="0"/>
    <x v="0"/>
    <x v="0"/>
    <m/>
    <m/>
    <n v="50000"/>
    <m/>
    <m/>
    <m/>
  </r>
  <r>
    <x v="323"/>
    <x v="4"/>
    <s v="네이버 브랜드검색"/>
    <x v="0"/>
    <x v="0"/>
    <x v="0"/>
    <m/>
    <m/>
    <n v="50000"/>
    <m/>
    <m/>
    <m/>
  </r>
  <r>
    <x v="324"/>
    <x v="1"/>
    <s v="네이버 브랜드검색"/>
    <x v="0"/>
    <x v="0"/>
    <x v="0"/>
    <m/>
    <m/>
    <n v="50000"/>
    <m/>
    <m/>
    <m/>
  </r>
  <r>
    <x v="325"/>
    <x v="0"/>
    <s v="네이버 브랜드검색"/>
    <x v="0"/>
    <x v="0"/>
    <x v="0"/>
    <m/>
    <m/>
    <n v="50000"/>
    <m/>
    <m/>
    <m/>
  </r>
  <r>
    <x v="319"/>
    <x v="2"/>
    <s v="유튜브 디스커버리(이미지)"/>
    <x v="0"/>
    <x v="0"/>
    <x v="0"/>
    <m/>
    <m/>
    <n v="44919"/>
    <m/>
    <m/>
    <m/>
  </r>
  <r>
    <x v="324"/>
    <x v="1"/>
    <s v="카카오톡 메시지"/>
    <x v="0"/>
    <x v="0"/>
    <x v="0"/>
    <m/>
    <m/>
    <n v="5478"/>
    <m/>
    <m/>
    <m/>
  </r>
  <r>
    <x v="324"/>
    <x v="1"/>
    <s v="문자대표"/>
    <x v="0"/>
    <x v="0"/>
    <x v="0"/>
    <m/>
    <m/>
    <n v="8070"/>
    <m/>
    <m/>
    <m/>
  </r>
  <r>
    <x v="326"/>
    <x v="6"/>
    <s v="페이스북/인스타그램"/>
    <x v="0"/>
    <x v="0"/>
    <x v="0"/>
    <m/>
    <m/>
    <n v="150097"/>
    <m/>
    <m/>
    <m/>
  </r>
  <r>
    <x v="327"/>
    <x v="3"/>
    <s v="페이스북/인스타그램"/>
    <x v="0"/>
    <x v="0"/>
    <x v="0"/>
    <m/>
    <m/>
    <n v="263174"/>
    <m/>
    <m/>
    <m/>
  </r>
  <r>
    <x v="328"/>
    <x v="4"/>
    <s v="페이스북/인스타그램"/>
    <x v="0"/>
    <x v="0"/>
    <x v="0"/>
    <m/>
    <m/>
    <n v="347976"/>
    <m/>
    <m/>
    <m/>
  </r>
  <r>
    <x v="329"/>
    <x v="1"/>
    <s v="페이스북/인스타그램"/>
    <x v="0"/>
    <x v="0"/>
    <x v="0"/>
    <m/>
    <m/>
    <n v="185499"/>
    <m/>
    <m/>
    <m/>
  </r>
  <r>
    <x v="330"/>
    <x v="0"/>
    <s v="페이스북/인스타그램"/>
    <x v="0"/>
    <x v="0"/>
    <x v="0"/>
    <m/>
    <m/>
    <n v="266513"/>
    <m/>
    <m/>
    <m/>
  </r>
  <r>
    <x v="331"/>
    <x v="2"/>
    <s v="페이스북/인스타그램"/>
    <x v="0"/>
    <x v="0"/>
    <x v="0"/>
    <m/>
    <m/>
    <n v="221180"/>
    <m/>
    <m/>
    <m/>
  </r>
  <r>
    <x v="332"/>
    <x v="5"/>
    <s v="페이스북/인스타그램"/>
    <x v="0"/>
    <x v="0"/>
    <x v="0"/>
    <m/>
    <m/>
    <n v="106388"/>
    <m/>
    <m/>
    <m/>
  </r>
  <r>
    <x v="333"/>
    <x v="6"/>
    <s v="페이스북/인스타그램"/>
    <x v="0"/>
    <x v="0"/>
    <x v="0"/>
    <m/>
    <m/>
    <n v="146130"/>
    <m/>
    <m/>
    <m/>
  </r>
  <r>
    <x v="245"/>
    <x v="3"/>
    <s v="페이스북/인스타그램"/>
    <x v="0"/>
    <x v="0"/>
    <x v="0"/>
    <m/>
    <m/>
    <n v="225894"/>
    <m/>
    <m/>
    <m/>
  </r>
  <r>
    <x v="334"/>
    <x v="4"/>
    <s v="페이스북/인스타그램"/>
    <x v="0"/>
    <x v="0"/>
    <x v="0"/>
    <m/>
    <m/>
    <n v="276037"/>
    <m/>
    <m/>
    <m/>
  </r>
  <r>
    <x v="335"/>
    <x v="1"/>
    <s v="페이스북/인스타그램"/>
    <x v="0"/>
    <x v="0"/>
    <x v="0"/>
    <m/>
    <m/>
    <n v="273861"/>
    <m/>
    <m/>
    <m/>
  </r>
  <r>
    <x v="245"/>
    <x v="3"/>
    <s v="페이스북/인스타그램"/>
    <x v="5"/>
    <x v="0"/>
    <x v="0"/>
    <m/>
    <m/>
    <n v="19610"/>
    <m/>
    <m/>
    <m/>
  </r>
  <r>
    <x v="334"/>
    <x v="4"/>
    <s v="페이스북/인스타그램"/>
    <x v="5"/>
    <x v="0"/>
    <x v="0"/>
    <m/>
    <m/>
    <n v="246783"/>
    <m/>
    <m/>
    <m/>
  </r>
  <r>
    <x v="335"/>
    <x v="1"/>
    <s v="페이스북/인스타그램"/>
    <x v="5"/>
    <x v="0"/>
    <x v="0"/>
    <m/>
    <m/>
    <n v="185504"/>
    <m/>
    <m/>
    <m/>
  </r>
  <r>
    <x v="327"/>
    <x v="3"/>
    <s v="네이버 GFA"/>
    <x v="0"/>
    <x v="0"/>
    <x v="0"/>
    <m/>
    <m/>
    <n v="357111.8181818182"/>
    <m/>
    <m/>
    <m/>
  </r>
  <r>
    <x v="328"/>
    <x v="4"/>
    <s v="네이버 GFA"/>
    <x v="0"/>
    <x v="0"/>
    <x v="0"/>
    <m/>
    <m/>
    <n v="412806.3636363636"/>
    <m/>
    <m/>
    <m/>
  </r>
  <r>
    <x v="329"/>
    <x v="1"/>
    <s v="네이버 GFA"/>
    <x v="0"/>
    <x v="0"/>
    <x v="0"/>
    <m/>
    <m/>
    <n v="370464.5454545454"/>
    <m/>
    <m/>
    <m/>
  </r>
  <r>
    <x v="330"/>
    <x v="0"/>
    <s v="네이버 GFA"/>
    <x v="0"/>
    <x v="0"/>
    <x v="0"/>
    <m/>
    <m/>
    <n v="440808.1818181818"/>
    <m/>
    <m/>
    <m/>
  </r>
  <r>
    <x v="331"/>
    <x v="2"/>
    <s v="네이버 GFA"/>
    <x v="0"/>
    <x v="0"/>
    <x v="0"/>
    <m/>
    <m/>
    <n v="310808.1818181818"/>
    <m/>
    <m/>
    <m/>
  </r>
  <r>
    <x v="332"/>
    <x v="5"/>
    <s v="네이버 GFA"/>
    <x v="0"/>
    <x v="0"/>
    <x v="0"/>
    <m/>
    <m/>
    <n v="158205.4545454545"/>
    <m/>
    <m/>
    <m/>
  </r>
  <r>
    <x v="333"/>
    <x v="6"/>
    <s v="네이버 GFA"/>
    <x v="0"/>
    <x v="0"/>
    <x v="0"/>
    <m/>
    <m/>
    <n v="158178.1818181818"/>
    <m/>
    <m/>
    <m/>
  </r>
  <r>
    <x v="245"/>
    <x v="3"/>
    <s v="네이버 GFA"/>
    <x v="0"/>
    <x v="0"/>
    <x v="0"/>
    <m/>
    <m/>
    <n v="227434.5454545454"/>
    <m/>
    <m/>
    <m/>
  </r>
  <r>
    <x v="334"/>
    <x v="4"/>
    <s v="네이버 GFA"/>
    <x v="0"/>
    <x v="0"/>
    <x v="0"/>
    <m/>
    <m/>
    <n v="223165.4545454545"/>
    <m/>
    <m/>
    <m/>
  </r>
  <r>
    <x v="335"/>
    <x v="1"/>
    <s v="네이버 GFA"/>
    <x v="0"/>
    <x v="0"/>
    <x v="0"/>
    <m/>
    <m/>
    <n v="425641.8181818182"/>
    <m/>
    <m/>
    <m/>
  </r>
  <r>
    <x v="327"/>
    <x v="3"/>
    <s v="네이버 GFA"/>
    <x v="6"/>
    <x v="0"/>
    <x v="0"/>
    <m/>
    <m/>
    <n v="68737.27272727272"/>
    <m/>
    <m/>
    <m/>
  </r>
  <r>
    <x v="328"/>
    <x v="4"/>
    <s v="네이버 GFA"/>
    <x v="6"/>
    <x v="0"/>
    <x v="0"/>
    <m/>
    <m/>
    <n v="26470.90909090909"/>
    <m/>
    <m/>
    <m/>
  </r>
  <r>
    <x v="329"/>
    <x v="1"/>
    <s v="네이버 GFA"/>
    <x v="6"/>
    <x v="0"/>
    <x v="0"/>
    <m/>
    <m/>
    <n v="17612.72727272727"/>
    <m/>
    <m/>
    <m/>
  </r>
  <r>
    <x v="330"/>
    <x v="0"/>
    <s v="네이버 GFA"/>
    <x v="6"/>
    <x v="0"/>
    <x v="0"/>
    <m/>
    <m/>
    <n v="35782.72727272727"/>
    <m/>
    <m/>
    <m/>
  </r>
  <r>
    <x v="331"/>
    <x v="2"/>
    <s v="네이버 GFA"/>
    <x v="6"/>
    <x v="0"/>
    <x v="0"/>
    <m/>
    <m/>
    <n v="30262.72727272727"/>
    <m/>
    <m/>
    <m/>
  </r>
  <r>
    <x v="332"/>
    <x v="5"/>
    <s v="네이버 GFA"/>
    <x v="6"/>
    <x v="0"/>
    <x v="0"/>
    <m/>
    <m/>
    <n v="34480"/>
    <m/>
    <m/>
    <m/>
  </r>
  <r>
    <x v="333"/>
    <x v="6"/>
    <s v="네이버 GFA"/>
    <x v="6"/>
    <x v="0"/>
    <x v="0"/>
    <m/>
    <m/>
    <n v="32842.72727272727"/>
    <m/>
    <m/>
    <m/>
  </r>
  <r>
    <x v="245"/>
    <x v="3"/>
    <s v="네이버 GFA"/>
    <x v="6"/>
    <x v="0"/>
    <x v="0"/>
    <m/>
    <m/>
    <n v="28893.63636363636"/>
    <m/>
    <m/>
    <m/>
  </r>
  <r>
    <x v="334"/>
    <x v="4"/>
    <s v="네이버 GFA"/>
    <x v="6"/>
    <x v="0"/>
    <x v="0"/>
    <m/>
    <m/>
    <n v="34178.18181818182"/>
    <m/>
    <m/>
    <m/>
  </r>
  <r>
    <x v="335"/>
    <x v="1"/>
    <s v="네이버 GFA"/>
    <x v="6"/>
    <x v="0"/>
    <x v="0"/>
    <m/>
    <m/>
    <n v="63110.90909090909"/>
    <m/>
    <m/>
    <m/>
  </r>
  <r>
    <x v="325"/>
    <x v="0"/>
    <s v="네이버 쇼핑검색"/>
    <x v="0"/>
    <x v="0"/>
    <x v="0"/>
    <m/>
    <m/>
    <n v="39570"/>
    <m/>
    <m/>
    <m/>
  </r>
  <r>
    <x v="336"/>
    <x v="2"/>
    <s v="네이버 쇼핑검색"/>
    <x v="0"/>
    <x v="0"/>
    <x v="0"/>
    <m/>
    <m/>
    <n v="32760"/>
    <m/>
    <m/>
    <m/>
  </r>
  <r>
    <x v="337"/>
    <x v="5"/>
    <s v="네이버 쇼핑검색"/>
    <x v="0"/>
    <x v="0"/>
    <x v="0"/>
    <m/>
    <m/>
    <n v="33820"/>
    <m/>
    <m/>
    <m/>
  </r>
  <r>
    <x v="326"/>
    <x v="6"/>
    <s v="네이버 쇼핑검색"/>
    <x v="0"/>
    <x v="0"/>
    <x v="0"/>
    <m/>
    <m/>
    <n v="43310"/>
    <m/>
    <m/>
    <m/>
  </r>
  <r>
    <x v="327"/>
    <x v="3"/>
    <s v="네이버 쇼핑검색"/>
    <x v="0"/>
    <x v="0"/>
    <x v="0"/>
    <m/>
    <m/>
    <n v="51589.99999999999"/>
    <m/>
    <m/>
    <m/>
  </r>
  <r>
    <x v="328"/>
    <x v="4"/>
    <s v="네이버 쇼핑검색"/>
    <x v="0"/>
    <x v="0"/>
    <x v="0"/>
    <m/>
    <m/>
    <n v="54609.99999999999"/>
    <m/>
    <m/>
    <m/>
  </r>
  <r>
    <x v="329"/>
    <x v="1"/>
    <s v="네이버 쇼핑검색"/>
    <x v="0"/>
    <x v="0"/>
    <x v="0"/>
    <m/>
    <m/>
    <n v="47649.99999999999"/>
    <m/>
    <m/>
    <m/>
  </r>
  <r>
    <x v="330"/>
    <x v="0"/>
    <s v="네이버 쇼핑검색"/>
    <x v="0"/>
    <x v="0"/>
    <x v="0"/>
    <m/>
    <m/>
    <n v="48399.99999999999"/>
    <m/>
    <m/>
    <m/>
  </r>
  <r>
    <x v="331"/>
    <x v="2"/>
    <s v="네이버 쇼핑검색"/>
    <x v="0"/>
    <x v="0"/>
    <x v="0"/>
    <m/>
    <m/>
    <n v="37770"/>
    <m/>
    <m/>
    <m/>
  </r>
  <r>
    <x v="332"/>
    <x v="5"/>
    <s v="네이버 쇼핑검색"/>
    <x v="0"/>
    <x v="0"/>
    <x v="0"/>
    <m/>
    <m/>
    <n v="34740"/>
    <m/>
    <m/>
    <m/>
  </r>
  <r>
    <x v="333"/>
    <x v="6"/>
    <s v="네이버 쇼핑검색"/>
    <x v="0"/>
    <x v="0"/>
    <x v="0"/>
    <m/>
    <m/>
    <n v="39880"/>
    <m/>
    <m/>
    <m/>
  </r>
  <r>
    <x v="245"/>
    <x v="3"/>
    <s v="네이버 쇼핑검색"/>
    <x v="0"/>
    <x v="0"/>
    <x v="0"/>
    <m/>
    <m/>
    <n v="47229.99999999999"/>
    <m/>
    <m/>
    <m/>
  </r>
  <r>
    <x v="334"/>
    <x v="4"/>
    <s v="네이버 쇼핑검색"/>
    <x v="0"/>
    <x v="0"/>
    <x v="0"/>
    <m/>
    <m/>
    <n v="47599.99999999999"/>
    <m/>
    <m/>
    <m/>
  </r>
  <r>
    <x v="335"/>
    <x v="1"/>
    <s v="네이버 쇼핑검색"/>
    <x v="0"/>
    <x v="0"/>
    <x v="0"/>
    <m/>
    <m/>
    <n v="38150"/>
    <m/>
    <m/>
    <m/>
  </r>
  <r>
    <x v="325"/>
    <x v="0"/>
    <s v="네이버 브랜드검색"/>
    <x v="0"/>
    <x v="0"/>
    <x v="0"/>
    <m/>
    <m/>
    <n v="50000"/>
    <m/>
    <m/>
    <m/>
  </r>
  <r>
    <x v="336"/>
    <x v="2"/>
    <s v="네이버 브랜드검색"/>
    <x v="0"/>
    <x v="0"/>
    <x v="0"/>
    <m/>
    <m/>
    <n v="50000"/>
    <m/>
    <m/>
    <m/>
  </r>
  <r>
    <x v="337"/>
    <x v="5"/>
    <s v="네이버 브랜드검색"/>
    <x v="0"/>
    <x v="0"/>
    <x v="0"/>
    <m/>
    <m/>
    <n v="50000"/>
    <m/>
    <m/>
    <m/>
  </r>
  <r>
    <x v="326"/>
    <x v="6"/>
    <s v="네이버 브랜드검색"/>
    <x v="0"/>
    <x v="0"/>
    <x v="0"/>
    <m/>
    <m/>
    <n v="50000"/>
    <m/>
    <m/>
    <m/>
  </r>
  <r>
    <x v="327"/>
    <x v="3"/>
    <s v="네이버 브랜드검색"/>
    <x v="0"/>
    <x v="0"/>
    <x v="0"/>
    <m/>
    <m/>
    <n v="50000"/>
    <m/>
    <m/>
    <m/>
  </r>
  <r>
    <x v="328"/>
    <x v="4"/>
    <s v="네이버 브랜드검색"/>
    <x v="0"/>
    <x v="0"/>
    <x v="0"/>
    <m/>
    <m/>
    <n v="50000"/>
    <m/>
    <m/>
    <m/>
  </r>
  <r>
    <x v="329"/>
    <x v="1"/>
    <s v="네이버 브랜드검색"/>
    <x v="0"/>
    <x v="0"/>
    <x v="0"/>
    <m/>
    <m/>
    <n v="50000"/>
    <m/>
    <m/>
    <m/>
  </r>
  <r>
    <x v="330"/>
    <x v="0"/>
    <s v="네이버 브랜드검색"/>
    <x v="0"/>
    <x v="0"/>
    <x v="0"/>
    <m/>
    <m/>
    <n v="50000"/>
    <m/>
    <m/>
    <m/>
  </r>
  <r>
    <x v="331"/>
    <x v="2"/>
    <s v="네이버 브랜드검색"/>
    <x v="0"/>
    <x v="0"/>
    <x v="0"/>
    <m/>
    <m/>
    <n v="50000"/>
    <m/>
    <m/>
    <m/>
  </r>
  <r>
    <x v="332"/>
    <x v="5"/>
    <s v="네이버 브랜드검색"/>
    <x v="0"/>
    <x v="0"/>
    <x v="0"/>
    <m/>
    <m/>
    <n v="50000"/>
    <m/>
    <m/>
    <m/>
  </r>
  <r>
    <x v="333"/>
    <x v="6"/>
    <s v="네이버 브랜드검색"/>
    <x v="0"/>
    <x v="0"/>
    <x v="0"/>
    <m/>
    <m/>
    <n v="50000"/>
    <m/>
    <m/>
    <m/>
  </r>
  <r>
    <x v="245"/>
    <x v="3"/>
    <s v="네이버 브랜드검색"/>
    <x v="0"/>
    <x v="0"/>
    <x v="0"/>
    <m/>
    <m/>
    <n v="50000"/>
    <m/>
    <m/>
    <m/>
  </r>
  <r>
    <x v="334"/>
    <x v="4"/>
    <s v="네이버 브랜드검색"/>
    <x v="0"/>
    <x v="0"/>
    <x v="0"/>
    <m/>
    <m/>
    <n v="50000"/>
    <m/>
    <m/>
    <m/>
  </r>
  <r>
    <x v="335"/>
    <x v="1"/>
    <s v="네이버 브랜드검색"/>
    <x v="0"/>
    <x v="0"/>
    <x v="0"/>
    <m/>
    <m/>
    <n v="50000"/>
    <m/>
    <m/>
    <m/>
  </r>
  <r>
    <x v="327"/>
    <x v="3"/>
    <s v="유튜브 디스커버리"/>
    <x v="0"/>
    <x v="0"/>
    <x v="0"/>
    <m/>
    <m/>
    <n v="1052805"/>
    <m/>
    <m/>
    <m/>
  </r>
  <r>
    <x v="328"/>
    <x v="4"/>
    <s v="유튜브 디스커버리"/>
    <x v="0"/>
    <x v="0"/>
    <x v="0"/>
    <m/>
    <m/>
    <n v="614892"/>
    <m/>
    <m/>
    <m/>
  </r>
  <r>
    <x v="329"/>
    <x v="1"/>
    <s v="유튜브 디스커버리"/>
    <x v="0"/>
    <x v="0"/>
    <x v="0"/>
    <m/>
    <m/>
    <n v="316320"/>
    <m/>
    <m/>
    <m/>
  </r>
  <r>
    <x v="330"/>
    <x v="0"/>
    <s v="유튜브 디스커버리"/>
    <x v="0"/>
    <x v="0"/>
    <x v="0"/>
    <m/>
    <m/>
    <n v="233538"/>
    <m/>
    <m/>
    <m/>
  </r>
  <r>
    <x v="331"/>
    <x v="2"/>
    <s v="유튜브 디스커버리"/>
    <x v="0"/>
    <x v="0"/>
    <x v="0"/>
    <m/>
    <m/>
    <n v="366135"/>
    <m/>
    <m/>
    <m/>
  </r>
  <r>
    <x v="332"/>
    <x v="5"/>
    <s v="유튜브 디스커버리"/>
    <x v="0"/>
    <x v="0"/>
    <x v="0"/>
    <m/>
    <m/>
    <n v="298485"/>
    <m/>
    <m/>
    <m/>
  </r>
  <r>
    <x v="333"/>
    <x v="6"/>
    <s v="유튜브 디스커버리"/>
    <x v="0"/>
    <x v="0"/>
    <x v="0"/>
    <m/>
    <m/>
    <n v="219144"/>
    <m/>
    <m/>
    <m/>
  </r>
  <r>
    <x v="245"/>
    <x v="3"/>
    <s v="유튜브 디스커버리"/>
    <x v="0"/>
    <x v="0"/>
    <x v="0"/>
    <m/>
    <m/>
    <n v="114132"/>
    <m/>
    <m/>
    <m/>
  </r>
  <r>
    <x v="334"/>
    <x v="4"/>
    <s v="유튜브 디스커버리"/>
    <x v="0"/>
    <x v="0"/>
    <x v="0"/>
    <m/>
    <m/>
    <n v="738334"/>
    <m/>
    <m/>
    <m/>
  </r>
  <r>
    <x v="327"/>
    <x v="3"/>
    <s v="유튜브 디스커버리(이미지)"/>
    <x v="0"/>
    <x v="0"/>
    <x v="0"/>
    <m/>
    <m/>
    <n v="350935"/>
    <m/>
    <m/>
    <m/>
  </r>
  <r>
    <x v="328"/>
    <x v="4"/>
    <s v="유튜브 디스커버리(이미지)"/>
    <x v="0"/>
    <x v="0"/>
    <x v="0"/>
    <m/>
    <m/>
    <n v="204964"/>
    <m/>
    <m/>
    <m/>
  </r>
  <r>
    <x v="329"/>
    <x v="1"/>
    <s v="유튜브 디스커버리(이미지)"/>
    <x v="0"/>
    <x v="0"/>
    <x v="0"/>
    <m/>
    <m/>
    <n v="105440"/>
    <m/>
    <m/>
    <m/>
  </r>
  <r>
    <x v="330"/>
    <x v="0"/>
    <s v="유튜브 디스커버리(이미지)"/>
    <x v="0"/>
    <x v="0"/>
    <x v="0"/>
    <m/>
    <m/>
    <n v="77846"/>
    <m/>
    <m/>
    <m/>
  </r>
  <r>
    <x v="331"/>
    <x v="2"/>
    <s v="유튜브 디스커버리(이미지)"/>
    <x v="0"/>
    <x v="0"/>
    <x v="0"/>
    <m/>
    <m/>
    <n v="122045"/>
    <m/>
    <m/>
    <m/>
  </r>
  <r>
    <x v="332"/>
    <x v="5"/>
    <s v="유튜브 디스커버리(이미지)"/>
    <x v="0"/>
    <x v="0"/>
    <x v="0"/>
    <m/>
    <m/>
    <n v="99495"/>
    <m/>
    <m/>
    <m/>
  </r>
  <r>
    <x v="333"/>
    <x v="6"/>
    <s v="유튜브 디스커버리(이미지)"/>
    <x v="0"/>
    <x v="0"/>
    <x v="0"/>
    <m/>
    <m/>
    <n v="73048"/>
    <m/>
    <m/>
    <m/>
  </r>
  <r>
    <x v="245"/>
    <x v="3"/>
    <s v="유튜브 디스커버리(이미지)"/>
    <x v="0"/>
    <x v="0"/>
    <x v="0"/>
    <m/>
    <m/>
    <n v="38044"/>
    <m/>
    <m/>
    <m/>
  </r>
  <r>
    <x v="334"/>
    <x v="4"/>
    <s v="유튜브 디스커버리(이미지)"/>
    <x v="0"/>
    <x v="0"/>
    <x v="0"/>
    <m/>
    <m/>
    <n v="3151"/>
    <m/>
    <m/>
    <m/>
  </r>
  <r>
    <x v="335"/>
    <x v="1"/>
    <s v="페이스북/인스타그램"/>
    <x v="0"/>
    <x v="0"/>
    <x v="0"/>
    <m/>
    <m/>
    <n v="273861"/>
    <m/>
    <m/>
    <m/>
  </r>
  <r>
    <x v="338"/>
    <x v="0"/>
    <s v="페이스북/인스타그램"/>
    <x v="0"/>
    <x v="0"/>
    <x v="0"/>
    <m/>
    <m/>
    <n v="275318"/>
    <m/>
    <m/>
    <m/>
  </r>
  <r>
    <x v="339"/>
    <x v="2"/>
    <s v="페이스북/인스타그램"/>
    <x v="0"/>
    <x v="0"/>
    <x v="0"/>
    <m/>
    <m/>
    <n v="270296"/>
    <m/>
    <m/>
    <m/>
  </r>
  <r>
    <x v="340"/>
    <x v="5"/>
    <s v="페이스북/인스타그램"/>
    <x v="0"/>
    <x v="0"/>
    <x v="0"/>
    <m/>
    <m/>
    <n v="161036"/>
    <m/>
    <m/>
    <m/>
  </r>
  <r>
    <x v="341"/>
    <x v="6"/>
    <s v="페이스북/인스타그램"/>
    <x v="0"/>
    <x v="0"/>
    <x v="0"/>
    <m/>
    <m/>
    <n v="213800"/>
    <m/>
    <m/>
    <m/>
  </r>
  <r>
    <x v="342"/>
    <x v="3"/>
    <s v="페이스북/인스타그램"/>
    <x v="0"/>
    <x v="0"/>
    <x v="0"/>
    <m/>
    <m/>
    <n v="266242"/>
    <m/>
    <m/>
    <m/>
  </r>
  <r>
    <x v="343"/>
    <x v="4"/>
    <s v="페이스북/인스타그램"/>
    <x v="0"/>
    <x v="0"/>
    <x v="0"/>
    <m/>
    <m/>
    <n v="267945"/>
    <m/>
    <m/>
    <m/>
  </r>
  <r>
    <x v="344"/>
    <x v="1"/>
    <s v="페이스북/인스타그램"/>
    <x v="0"/>
    <x v="0"/>
    <x v="0"/>
    <m/>
    <m/>
    <n v="279998"/>
    <m/>
    <m/>
    <m/>
  </r>
  <r>
    <x v="345"/>
    <x v="0"/>
    <s v="페이스북/인스타그램"/>
    <x v="0"/>
    <x v="0"/>
    <x v="0"/>
    <m/>
    <m/>
    <n v="271807"/>
    <m/>
    <m/>
    <m/>
  </r>
  <r>
    <x v="346"/>
    <x v="2"/>
    <s v="페이스북/인스타그램"/>
    <x v="0"/>
    <x v="0"/>
    <x v="0"/>
    <m/>
    <m/>
    <n v="231681"/>
    <m/>
    <m/>
    <m/>
  </r>
  <r>
    <x v="347"/>
    <x v="5"/>
    <s v="페이스북/인스타그램"/>
    <x v="0"/>
    <x v="0"/>
    <x v="0"/>
    <m/>
    <m/>
    <n v="154489"/>
    <m/>
    <m/>
    <m/>
  </r>
  <r>
    <x v="348"/>
    <x v="6"/>
    <s v="페이스북/인스타그램"/>
    <x v="0"/>
    <x v="0"/>
    <x v="0"/>
    <m/>
    <m/>
    <n v="206446"/>
    <m/>
    <m/>
    <m/>
  </r>
  <r>
    <x v="349"/>
    <x v="3"/>
    <s v="페이스북/인스타그램"/>
    <x v="0"/>
    <x v="0"/>
    <x v="0"/>
    <m/>
    <m/>
    <n v="252222"/>
    <m/>
    <m/>
    <m/>
  </r>
  <r>
    <x v="350"/>
    <x v="4"/>
    <s v="페이스북/인스타그램"/>
    <x v="0"/>
    <x v="0"/>
    <x v="0"/>
    <m/>
    <m/>
    <n v="254997"/>
    <m/>
    <m/>
    <m/>
  </r>
  <r>
    <x v="351"/>
    <x v="1"/>
    <s v="페이스북/인스타그램"/>
    <x v="0"/>
    <x v="0"/>
    <x v="0"/>
    <m/>
    <m/>
    <n v="258789"/>
    <m/>
    <m/>
    <m/>
  </r>
  <r>
    <x v="352"/>
    <x v="0"/>
    <s v="페이스북/인스타그램"/>
    <x v="0"/>
    <x v="0"/>
    <x v="0"/>
    <m/>
    <m/>
    <n v="251761"/>
    <m/>
    <m/>
    <m/>
  </r>
  <r>
    <x v="338"/>
    <x v="0"/>
    <s v="네이버 GFA"/>
    <x v="0"/>
    <x v="0"/>
    <x v="0"/>
    <m/>
    <m/>
    <n v="333464.5454545454"/>
    <m/>
    <m/>
    <m/>
  </r>
  <r>
    <x v="339"/>
    <x v="2"/>
    <s v="네이버 GFA"/>
    <x v="0"/>
    <x v="0"/>
    <x v="0"/>
    <m/>
    <m/>
    <n v="136250.9090909091"/>
    <m/>
    <m/>
    <m/>
  </r>
  <r>
    <x v="340"/>
    <x v="5"/>
    <s v="네이버 GFA"/>
    <x v="0"/>
    <x v="0"/>
    <x v="0"/>
    <m/>
    <m/>
    <n v="150902.7272727273"/>
    <m/>
    <m/>
    <m/>
  </r>
  <r>
    <x v="341"/>
    <x v="6"/>
    <s v="네이버 GFA"/>
    <x v="0"/>
    <x v="0"/>
    <x v="0"/>
    <m/>
    <m/>
    <n v="150136.3636363636"/>
    <m/>
    <m/>
    <m/>
  </r>
  <r>
    <x v="342"/>
    <x v="3"/>
    <s v="네이버 GFA"/>
    <x v="0"/>
    <x v="0"/>
    <x v="0"/>
    <m/>
    <m/>
    <n v="196039.0909090909"/>
    <m/>
    <m/>
    <m/>
  </r>
  <r>
    <x v="343"/>
    <x v="4"/>
    <s v="네이버 GFA"/>
    <x v="0"/>
    <x v="0"/>
    <x v="0"/>
    <m/>
    <m/>
    <n v="158441.8181818182"/>
    <m/>
    <m/>
    <m/>
  </r>
  <r>
    <x v="344"/>
    <x v="1"/>
    <s v="네이버 GFA"/>
    <x v="0"/>
    <x v="0"/>
    <x v="0"/>
    <m/>
    <m/>
    <n v="95989.0909090909"/>
    <m/>
    <m/>
    <m/>
  </r>
  <r>
    <x v="345"/>
    <x v="0"/>
    <s v="네이버 GFA"/>
    <x v="0"/>
    <x v="0"/>
    <x v="0"/>
    <m/>
    <m/>
    <n v="94370.90909090909"/>
    <m/>
    <m/>
    <m/>
  </r>
  <r>
    <x v="346"/>
    <x v="2"/>
    <s v="네이버 GFA"/>
    <x v="0"/>
    <x v="0"/>
    <x v="0"/>
    <m/>
    <m/>
    <n v="56099.99999999999"/>
    <m/>
    <m/>
    <m/>
  </r>
  <r>
    <x v="347"/>
    <x v="5"/>
    <s v="네이버 GFA"/>
    <x v="0"/>
    <x v="0"/>
    <x v="0"/>
    <m/>
    <m/>
    <n v="58006.36363636363"/>
    <m/>
    <m/>
    <m/>
  </r>
  <r>
    <x v="348"/>
    <x v="6"/>
    <s v="네이버 GFA"/>
    <x v="0"/>
    <x v="0"/>
    <x v="0"/>
    <m/>
    <m/>
    <n v="63279.99999999999"/>
    <m/>
    <m/>
    <m/>
  </r>
  <r>
    <x v="349"/>
    <x v="3"/>
    <s v="네이버 GFA"/>
    <x v="0"/>
    <x v="0"/>
    <x v="0"/>
    <m/>
    <m/>
    <n v="33799.0909090909"/>
    <m/>
    <m/>
    <m/>
  </r>
  <r>
    <x v="350"/>
    <x v="4"/>
    <s v="네이버 GFA"/>
    <x v="0"/>
    <x v="0"/>
    <x v="0"/>
    <m/>
    <m/>
    <n v="135907.2727272727"/>
    <m/>
    <m/>
    <m/>
  </r>
  <r>
    <x v="351"/>
    <x v="1"/>
    <s v="네이버 GFA"/>
    <x v="0"/>
    <x v="0"/>
    <x v="0"/>
    <m/>
    <m/>
    <n v="148635.4545454545"/>
    <m/>
    <m/>
    <m/>
  </r>
  <r>
    <x v="352"/>
    <x v="0"/>
    <s v="네이버 GFA"/>
    <x v="0"/>
    <x v="0"/>
    <x v="0"/>
    <m/>
    <m/>
    <n v="127749.0909090909"/>
    <m/>
    <m/>
    <m/>
  </r>
  <r>
    <x v="338"/>
    <x v="0"/>
    <s v="네이버 GFA"/>
    <x v="6"/>
    <x v="0"/>
    <x v="0"/>
    <m/>
    <m/>
    <n v="42720"/>
    <m/>
    <m/>
    <m/>
  </r>
  <r>
    <x v="339"/>
    <x v="2"/>
    <s v="네이버 GFA"/>
    <x v="6"/>
    <x v="0"/>
    <x v="0"/>
    <m/>
    <m/>
    <n v="17560.90909090909"/>
    <m/>
    <m/>
    <m/>
  </r>
  <r>
    <x v="340"/>
    <x v="5"/>
    <s v="네이버 GFA"/>
    <x v="6"/>
    <x v="0"/>
    <x v="0"/>
    <m/>
    <m/>
    <n v="23557.27272727272"/>
    <m/>
    <m/>
    <m/>
  </r>
  <r>
    <x v="341"/>
    <x v="6"/>
    <s v="네이버 GFA"/>
    <x v="6"/>
    <x v="0"/>
    <x v="0"/>
    <m/>
    <m/>
    <n v="30493.63636363636"/>
    <m/>
    <m/>
    <m/>
  </r>
  <r>
    <x v="342"/>
    <x v="3"/>
    <s v="네이버 GFA"/>
    <x v="6"/>
    <x v="0"/>
    <x v="0"/>
    <m/>
    <m/>
    <n v="22386.36363636364"/>
    <m/>
    <m/>
    <m/>
  </r>
  <r>
    <x v="343"/>
    <x v="4"/>
    <s v="네이버 GFA"/>
    <x v="6"/>
    <x v="0"/>
    <x v="0"/>
    <m/>
    <m/>
    <n v="15495.45454545454"/>
    <m/>
    <m/>
    <m/>
  </r>
  <r>
    <x v="344"/>
    <x v="1"/>
    <s v="네이버 GFA"/>
    <x v="6"/>
    <x v="0"/>
    <x v="0"/>
    <m/>
    <m/>
    <n v="10581.81818181818"/>
    <m/>
    <m/>
    <m/>
  </r>
  <r>
    <x v="345"/>
    <x v="0"/>
    <s v="네이버 GFA"/>
    <x v="6"/>
    <x v="0"/>
    <x v="0"/>
    <m/>
    <m/>
    <n v="3779.090909090909"/>
    <m/>
    <m/>
    <m/>
  </r>
  <r>
    <x v="346"/>
    <x v="2"/>
    <s v="네이버 GFA"/>
    <x v="6"/>
    <x v="0"/>
    <x v="0"/>
    <m/>
    <m/>
    <n v="4013.636363636364"/>
    <m/>
    <m/>
    <m/>
  </r>
  <r>
    <x v="347"/>
    <x v="5"/>
    <s v="네이버 GFA"/>
    <x v="6"/>
    <x v="0"/>
    <x v="0"/>
    <m/>
    <m/>
    <n v="12565.45454545454"/>
    <m/>
    <m/>
    <m/>
  </r>
  <r>
    <x v="348"/>
    <x v="6"/>
    <s v="네이버 GFA"/>
    <x v="6"/>
    <x v="0"/>
    <x v="0"/>
    <m/>
    <m/>
    <n v="10719.09090909091"/>
    <m/>
    <m/>
    <m/>
  </r>
  <r>
    <x v="349"/>
    <x v="3"/>
    <s v="네이버 GFA"/>
    <x v="6"/>
    <x v="0"/>
    <x v="0"/>
    <m/>
    <m/>
    <n v="2304.545454545455"/>
    <m/>
    <m/>
    <m/>
  </r>
  <r>
    <x v="350"/>
    <x v="4"/>
    <s v="네이버 GFA"/>
    <x v="6"/>
    <x v="0"/>
    <x v="0"/>
    <m/>
    <m/>
    <n v="575.4545454545454"/>
    <m/>
    <m/>
    <m/>
  </r>
  <r>
    <x v="351"/>
    <x v="1"/>
    <s v="네이버 GFA"/>
    <x v="6"/>
    <x v="0"/>
    <x v="0"/>
    <m/>
    <m/>
    <n v="291.8181818181818"/>
    <m/>
    <m/>
    <m/>
  </r>
  <r>
    <x v="338"/>
    <x v="0"/>
    <s v="네이버 쇼핑검색"/>
    <x v="0"/>
    <x v="0"/>
    <x v="0"/>
    <m/>
    <m/>
    <n v="42590"/>
    <m/>
    <m/>
    <m/>
  </r>
  <r>
    <x v="339"/>
    <x v="2"/>
    <s v="네이버 쇼핑검색"/>
    <x v="0"/>
    <x v="0"/>
    <x v="0"/>
    <m/>
    <m/>
    <n v="35400"/>
    <m/>
    <m/>
    <m/>
  </r>
  <r>
    <x v="340"/>
    <x v="5"/>
    <s v="네이버 쇼핑검색"/>
    <x v="0"/>
    <x v="0"/>
    <x v="0"/>
    <m/>
    <m/>
    <n v="28620"/>
    <m/>
    <m/>
    <m/>
  </r>
  <r>
    <x v="341"/>
    <x v="6"/>
    <s v="네이버 쇼핑검색"/>
    <x v="0"/>
    <x v="0"/>
    <x v="0"/>
    <m/>
    <m/>
    <n v="40030"/>
    <m/>
    <m/>
    <m/>
  </r>
  <r>
    <x v="342"/>
    <x v="3"/>
    <s v="네이버 쇼핑검색"/>
    <x v="0"/>
    <x v="0"/>
    <x v="0"/>
    <m/>
    <m/>
    <n v="43350"/>
    <m/>
    <m/>
    <m/>
  </r>
  <r>
    <x v="343"/>
    <x v="4"/>
    <s v="네이버 쇼핑검색"/>
    <x v="0"/>
    <x v="0"/>
    <x v="0"/>
    <m/>
    <m/>
    <n v="47769.99999999999"/>
    <m/>
    <m/>
    <m/>
  </r>
  <r>
    <x v="344"/>
    <x v="1"/>
    <s v="네이버 쇼핑검색"/>
    <x v="0"/>
    <x v="0"/>
    <x v="0"/>
    <m/>
    <m/>
    <n v="63949.99999999999"/>
    <m/>
    <m/>
    <m/>
  </r>
  <r>
    <x v="345"/>
    <x v="0"/>
    <s v="네이버 쇼핑검색"/>
    <x v="0"/>
    <x v="0"/>
    <x v="0"/>
    <m/>
    <m/>
    <n v="46359.99999999999"/>
    <m/>
    <m/>
    <m/>
  </r>
  <r>
    <x v="346"/>
    <x v="2"/>
    <s v="네이버 쇼핑검색"/>
    <x v="0"/>
    <x v="0"/>
    <x v="0"/>
    <m/>
    <m/>
    <n v="28480"/>
    <m/>
    <m/>
    <m/>
  </r>
  <r>
    <x v="347"/>
    <x v="5"/>
    <s v="네이버 쇼핑검색"/>
    <x v="0"/>
    <x v="0"/>
    <x v="0"/>
    <m/>
    <m/>
    <n v="26500"/>
    <m/>
    <m/>
    <m/>
  </r>
  <r>
    <x v="348"/>
    <x v="6"/>
    <s v="네이버 쇼핑검색"/>
    <x v="0"/>
    <x v="0"/>
    <x v="0"/>
    <m/>
    <m/>
    <n v="26850"/>
    <m/>
    <m/>
    <m/>
  </r>
  <r>
    <x v="349"/>
    <x v="3"/>
    <s v="네이버 쇼핑검색"/>
    <x v="0"/>
    <x v="0"/>
    <x v="0"/>
    <m/>
    <m/>
    <n v="34990"/>
    <m/>
    <m/>
    <m/>
  </r>
  <r>
    <x v="350"/>
    <x v="4"/>
    <s v="네이버 쇼핑검색"/>
    <x v="0"/>
    <x v="0"/>
    <x v="0"/>
    <m/>
    <m/>
    <n v="31640"/>
    <m/>
    <m/>
    <m/>
  </r>
  <r>
    <x v="351"/>
    <x v="1"/>
    <s v="네이버 쇼핑검색"/>
    <x v="0"/>
    <x v="0"/>
    <x v="0"/>
    <m/>
    <m/>
    <n v="21910"/>
    <m/>
    <m/>
    <m/>
  </r>
  <r>
    <x v="352"/>
    <x v="0"/>
    <s v="네이버 쇼핑검색"/>
    <x v="0"/>
    <x v="0"/>
    <x v="0"/>
    <m/>
    <m/>
    <n v="35530"/>
    <m/>
    <m/>
    <m/>
  </r>
  <r>
    <x v="338"/>
    <x v="0"/>
    <s v="네이버 브랜드검색"/>
    <x v="0"/>
    <x v="0"/>
    <x v="0"/>
    <m/>
    <m/>
    <n v="50000"/>
    <m/>
    <m/>
    <m/>
  </r>
  <r>
    <x v="339"/>
    <x v="2"/>
    <s v="네이버 브랜드검색"/>
    <x v="0"/>
    <x v="0"/>
    <x v="0"/>
    <m/>
    <m/>
    <n v="50000"/>
    <m/>
    <m/>
    <m/>
  </r>
  <r>
    <x v="340"/>
    <x v="5"/>
    <s v="네이버 브랜드검색"/>
    <x v="0"/>
    <x v="0"/>
    <x v="0"/>
    <m/>
    <m/>
    <n v="50000"/>
    <m/>
    <m/>
    <m/>
  </r>
  <r>
    <x v="341"/>
    <x v="6"/>
    <s v="네이버 브랜드검색"/>
    <x v="0"/>
    <x v="0"/>
    <x v="0"/>
    <m/>
    <m/>
    <n v="50000"/>
    <m/>
    <m/>
    <m/>
  </r>
  <r>
    <x v="342"/>
    <x v="3"/>
    <s v="네이버 브랜드검색"/>
    <x v="0"/>
    <x v="0"/>
    <x v="0"/>
    <m/>
    <m/>
    <n v="50000"/>
    <m/>
    <m/>
    <m/>
  </r>
  <r>
    <x v="343"/>
    <x v="4"/>
    <s v="네이버 브랜드검색"/>
    <x v="0"/>
    <x v="0"/>
    <x v="0"/>
    <m/>
    <m/>
    <n v="50000"/>
    <m/>
    <m/>
    <m/>
  </r>
  <r>
    <x v="344"/>
    <x v="1"/>
    <s v="네이버 브랜드검색"/>
    <x v="0"/>
    <x v="0"/>
    <x v="0"/>
    <m/>
    <m/>
    <n v="50000"/>
    <m/>
    <m/>
    <m/>
  </r>
  <r>
    <x v="345"/>
    <x v="0"/>
    <s v="네이버 브랜드검색"/>
    <x v="0"/>
    <x v="0"/>
    <x v="0"/>
    <m/>
    <m/>
    <n v="50000"/>
    <m/>
    <m/>
    <m/>
  </r>
  <r>
    <x v="346"/>
    <x v="2"/>
    <s v="네이버 브랜드검색"/>
    <x v="0"/>
    <x v="0"/>
    <x v="0"/>
    <m/>
    <m/>
    <n v="50000"/>
    <m/>
    <m/>
    <m/>
  </r>
  <r>
    <x v="347"/>
    <x v="5"/>
    <s v="네이버 브랜드검색"/>
    <x v="0"/>
    <x v="0"/>
    <x v="0"/>
    <m/>
    <m/>
    <n v="50000"/>
    <m/>
    <m/>
    <m/>
  </r>
  <r>
    <x v="348"/>
    <x v="6"/>
    <s v="네이버 브랜드검색"/>
    <x v="0"/>
    <x v="0"/>
    <x v="0"/>
    <m/>
    <m/>
    <n v="50000"/>
    <m/>
    <m/>
    <m/>
  </r>
  <r>
    <x v="349"/>
    <x v="3"/>
    <s v="네이버 브랜드검색"/>
    <x v="0"/>
    <x v="0"/>
    <x v="0"/>
    <m/>
    <m/>
    <n v="50000"/>
    <m/>
    <m/>
    <m/>
  </r>
  <r>
    <x v="350"/>
    <x v="4"/>
    <s v="네이버 브랜드검색"/>
    <x v="0"/>
    <x v="0"/>
    <x v="0"/>
    <m/>
    <m/>
    <n v="50000"/>
    <m/>
    <m/>
    <m/>
  </r>
  <r>
    <x v="351"/>
    <x v="1"/>
    <s v="네이버 브랜드검색"/>
    <x v="0"/>
    <x v="0"/>
    <x v="0"/>
    <m/>
    <m/>
    <n v="50000"/>
    <m/>
    <m/>
    <m/>
  </r>
  <r>
    <x v="352"/>
    <x v="0"/>
    <s v="네이버 브랜드검색"/>
    <x v="0"/>
    <x v="0"/>
    <x v="0"/>
    <m/>
    <m/>
    <n v="50000"/>
    <m/>
    <m/>
    <m/>
  </r>
  <r>
    <x v="350"/>
    <x v="4"/>
    <s v="유튜브 디스커버리"/>
    <x v="0"/>
    <x v="0"/>
    <x v="0"/>
    <m/>
    <m/>
    <n v="31727"/>
    <m/>
    <m/>
    <m/>
  </r>
  <r>
    <x v="351"/>
    <x v="1"/>
    <s v="유튜브 디스커버리"/>
    <x v="0"/>
    <x v="0"/>
    <x v="0"/>
    <m/>
    <m/>
    <n v="738585"/>
    <m/>
    <m/>
    <m/>
  </r>
  <r>
    <x v="350"/>
    <x v="4"/>
    <s v="카카오광고"/>
    <x v="0"/>
    <x v="0"/>
    <x v="0"/>
    <m/>
    <m/>
    <n v="2180"/>
    <m/>
    <m/>
    <m/>
  </r>
  <r>
    <x v="351"/>
    <x v="1"/>
    <s v="카카오광고"/>
    <x v="0"/>
    <x v="0"/>
    <x v="0"/>
    <m/>
    <m/>
    <n v="11020"/>
    <m/>
    <m/>
    <m/>
  </r>
  <r>
    <x v="352"/>
    <x v="0"/>
    <s v="카카오광고"/>
    <x v="0"/>
    <x v="0"/>
    <x v="0"/>
    <m/>
    <m/>
    <n v="13340"/>
    <m/>
    <m/>
    <m/>
  </r>
  <r>
    <x v="344"/>
    <x v="1"/>
    <s v="카카오톡 메시지"/>
    <x v="7"/>
    <x v="0"/>
    <x v="0"/>
    <m/>
    <m/>
    <n v="351765"/>
    <m/>
    <m/>
    <m/>
  </r>
  <r>
    <x v="349"/>
    <x v="3"/>
    <s v="카카오톡 메시지"/>
    <x v="7"/>
    <x v="0"/>
    <x v="0"/>
    <m/>
    <m/>
    <n v="355035"/>
    <m/>
    <m/>
    <m/>
  </r>
  <r>
    <x v="351"/>
    <x v="1"/>
    <s v="카카오톡 메시지"/>
    <x v="7"/>
    <x v="0"/>
    <x v="0"/>
    <m/>
    <m/>
    <n v="355305"/>
    <m/>
    <m/>
    <m/>
  </r>
  <r>
    <x v="352"/>
    <x v="0"/>
    <s v="카카오톡 메시지"/>
    <x v="7"/>
    <x v="0"/>
    <x v="0"/>
    <m/>
    <m/>
    <n v="600"/>
    <m/>
    <m/>
    <m/>
  </r>
  <r>
    <x v="342"/>
    <x v="3"/>
    <s v="문자대표"/>
    <x v="0"/>
    <x v="0"/>
    <x v="0"/>
    <m/>
    <m/>
    <n v="1260"/>
    <m/>
    <m/>
    <m/>
  </r>
  <r>
    <x v="346"/>
    <x v="2"/>
    <s v="문자대표"/>
    <x v="0"/>
    <x v="0"/>
    <x v="0"/>
    <m/>
    <m/>
    <n v="2170"/>
    <m/>
    <m/>
    <m/>
  </r>
  <r>
    <x v="349"/>
    <x v="3"/>
    <s v="문자대표"/>
    <x v="0"/>
    <x v="0"/>
    <x v="0"/>
    <m/>
    <m/>
    <n v="280"/>
    <m/>
    <m/>
    <m/>
  </r>
  <r>
    <x v="352"/>
    <x v="0"/>
    <s v="문자대표"/>
    <x v="0"/>
    <x v="0"/>
    <x v="0"/>
    <m/>
    <m/>
    <n v="23520"/>
    <m/>
    <m/>
    <m/>
  </r>
  <r>
    <x v="335"/>
    <x v="1"/>
    <s v="페이스북/인스타그램"/>
    <x v="5"/>
    <x v="0"/>
    <x v="0"/>
    <m/>
    <m/>
    <n v="185516"/>
    <m/>
    <m/>
    <m/>
  </r>
  <r>
    <x v="338"/>
    <x v="0"/>
    <s v="페이스북/인스타그램"/>
    <x v="5"/>
    <x v="0"/>
    <x v="0"/>
    <m/>
    <m/>
    <n v="331815"/>
    <m/>
    <m/>
    <m/>
  </r>
  <r>
    <x v="339"/>
    <x v="2"/>
    <s v="페이스북/인스타그램"/>
    <x v="5"/>
    <x v="0"/>
    <x v="0"/>
    <m/>
    <m/>
    <n v="335937"/>
    <m/>
    <m/>
    <m/>
  </r>
  <r>
    <x v="340"/>
    <x v="5"/>
    <s v="페이스북/인스타그램"/>
    <x v="5"/>
    <x v="0"/>
    <x v="0"/>
    <m/>
    <m/>
    <n v="213015"/>
    <m/>
    <m/>
    <m/>
  </r>
  <r>
    <x v="341"/>
    <x v="6"/>
    <s v="페이스북/인스타그램"/>
    <x v="5"/>
    <x v="0"/>
    <x v="0"/>
    <m/>
    <m/>
    <n v="312072"/>
    <m/>
    <m/>
    <m/>
  </r>
  <r>
    <x v="342"/>
    <x v="3"/>
    <s v="페이스북/인스타그램"/>
    <x v="5"/>
    <x v="0"/>
    <x v="0"/>
    <m/>
    <m/>
    <n v="719466"/>
    <m/>
    <m/>
    <m/>
  </r>
  <r>
    <x v="343"/>
    <x v="4"/>
    <s v="페이스북/인스타그램"/>
    <x v="5"/>
    <x v="0"/>
    <x v="0"/>
    <m/>
    <m/>
    <n v="744020"/>
    <m/>
    <m/>
    <m/>
  </r>
  <r>
    <x v="344"/>
    <x v="1"/>
    <s v="페이스북/인스타그램"/>
    <x v="5"/>
    <x v="0"/>
    <x v="0"/>
    <m/>
    <m/>
    <n v="552089"/>
    <m/>
    <m/>
    <m/>
  </r>
  <r>
    <x v="345"/>
    <x v="0"/>
    <s v="페이스북/인스타그램"/>
    <x v="5"/>
    <x v="0"/>
    <x v="0"/>
    <m/>
    <m/>
    <n v="445261"/>
    <m/>
    <m/>
    <m/>
  </r>
  <r>
    <x v="346"/>
    <x v="2"/>
    <s v="페이스북/인스타그램"/>
    <x v="5"/>
    <x v="0"/>
    <x v="0"/>
    <m/>
    <m/>
    <n v="105830"/>
    <m/>
    <m/>
    <m/>
  </r>
  <r>
    <x v="352"/>
    <x v="0"/>
    <s v="페이스북/인스타그램"/>
    <x v="5"/>
    <x v="0"/>
    <x v="0"/>
    <m/>
    <m/>
    <n v="216683"/>
    <m/>
    <m/>
    <m/>
  </r>
  <r>
    <x v="353"/>
    <x v="2"/>
    <s v="페이스북/인스타그램"/>
    <x v="0"/>
    <x v="0"/>
    <x v="0"/>
    <m/>
    <m/>
    <n v="235543"/>
    <m/>
    <m/>
    <m/>
  </r>
  <r>
    <x v="354"/>
    <x v="5"/>
    <s v="페이스북/인스타그램"/>
    <x v="0"/>
    <x v="0"/>
    <x v="0"/>
    <m/>
    <m/>
    <n v="148761"/>
    <m/>
    <m/>
    <m/>
  </r>
  <r>
    <x v="355"/>
    <x v="6"/>
    <s v="페이스북/인스타그램"/>
    <x v="0"/>
    <x v="0"/>
    <x v="0"/>
    <m/>
    <m/>
    <n v="208582"/>
    <m/>
    <m/>
    <m/>
  </r>
  <r>
    <x v="356"/>
    <x v="3"/>
    <s v="페이스북/인스타그램"/>
    <x v="0"/>
    <x v="0"/>
    <x v="0"/>
    <m/>
    <m/>
    <n v="246690"/>
    <m/>
    <m/>
    <m/>
  </r>
  <r>
    <x v="357"/>
    <x v="4"/>
    <s v="페이스북/인스타그램"/>
    <x v="0"/>
    <x v="0"/>
    <x v="0"/>
    <m/>
    <m/>
    <n v="253011"/>
    <m/>
    <m/>
    <m/>
  </r>
  <r>
    <x v="358"/>
    <x v="1"/>
    <s v="페이스북/인스타그램"/>
    <x v="0"/>
    <x v="0"/>
    <x v="0"/>
    <m/>
    <m/>
    <n v="254590"/>
    <m/>
    <m/>
    <m/>
  </r>
  <r>
    <x v="359"/>
    <x v="0"/>
    <s v="페이스북/인스타그램"/>
    <x v="0"/>
    <x v="0"/>
    <x v="0"/>
    <m/>
    <m/>
    <n v="211902"/>
    <m/>
    <m/>
    <m/>
  </r>
  <r>
    <x v="360"/>
    <x v="2"/>
    <s v="페이스북/인스타그램"/>
    <x v="0"/>
    <x v="0"/>
    <x v="0"/>
    <m/>
    <m/>
    <n v="158698"/>
    <m/>
    <m/>
    <m/>
  </r>
  <r>
    <x v="361"/>
    <x v="5"/>
    <s v="페이스북/인스타그램"/>
    <x v="0"/>
    <x v="0"/>
    <x v="0"/>
    <m/>
    <m/>
    <n v="100022"/>
    <m/>
    <m/>
    <m/>
  </r>
  <r>
    <x v="362"/>
    <x v="6"/>
    <s v="페이스북/인스타그램"/>
    <x v="0"/>
    <x v="0"/>
    <x v="0"/>
    <m/>
    <m/>
    <n v="71603"/>
    <m/>
    <m/>
    <m/>
  </r>
  <r>
    <x v="363"/>
    <x v="3"/>
    <s v="페이스북/인스타그램"/>
    <x v="0"/>
    <x v="0"/>
    <x v="0"/>
    <m/>
    <m/>
    <n v="102072"/>
    <m/>
    <m/>
    <m/>
  </r>
  <r>
    <x v="364"/>
    <x v="4"/>
    <s v="페이스북/인스타그램"/>
    <x v="0"/>
    <x v="0"/>
    <x v="0"/>
    <m/>
    <m/>
    <n v="102929"/>
    <m/>
    <m/>
    <m/>
  </r>
  <r>
    <x v="365"/>
    <x v="1"/>
    <s v="페이스북/인스타그램"/>
    <x v="0"/>
    <x v="0"/>
    <x v="0"/>
    <m/>
    <m/>
    <n v="103665"/>
    <m/>
    <m/>
    <m/>
  </r>
  <r>
    <x v="366"/>
    <x v="0"/>
    <s v="페이스북/인스타그램"/>
    <x v="0"/>
    <x v="0"/>
    <x v="0"/>
    <m/>
    <m/>
    <n v="105706"/>
    <m/>
    <m/>
    <m/>
  </r>
  <r>
    <x v="367"/>
    <x v="2"/>
    <s v="페이스북/인스타그램"/>
    <x v="0"/>
    <x v="0"/>
    <x v="0"/>
    <m/>
    <m/>
    <n v="106104"/>
    <m/>
    <m/>
    <m/>
  </r>
  <r>
    <x v="368"/>
    <x v="5"/>
    <s v="페이스북/인스타그램"/>
    <x v="0"/>
    <x v="0"/>
    <x v="0"/>
    <m/>
    <m/>
    <n v="107897"/>
    <m/>
    <m/>
    <m/>
  </r>
  <r>
    <x v="369"/>
    <x v="6"/>
    <s v="페이스북/인스타그램"/>
    <x v="0"/>
    <x v="0"/>
    <x v="0"/>
    <m/>
    <m/>
    <n v="100068"/>
    <m/>
    <m/>
    <m/>
  </r>
  <r>
    <x v="358"/>
    <x v="1"/>
    <s v="페이스북/인스타그램"/>
    <x v="8"/>
    <x v="0"/>
    <x v="0"/>
    <m/>
    <m/>
    <n v="19472"/>
    <m/>
    <m/>
    <m/>
  </r>
  <r>
    <x v="359"/>
    <x v="0"/>
    <s v="페이스북/인스타그램"/>
    <x v="8"/>
    <x v="0"/>
    <x v="0"/>
    <m/>
    <m/>
    <n v="96089"/>
    <m/>
    <m/>
    <m/>
  </r>
  <r>
    <x v="360"/>
    <x v="2"/>
    <s v="페이스북/인스타그램"/>
    <x v="8"/>
    <x v="0"/>
    <x v="0"/>
    <m/>
    <m/>
    <n v="154130"/>
    <m/>
    <m/>
    <m/>
  </r>
  <r>
    <x v="361"/>
    <x v="5"/>
    <s v="페이스북/인스타그램"/>
    <x v="8"/>
    <x v="0"/>
    <x v="0"/>
    <m/>
    <m/>
    <n v="185811"/>
    <m/>
    <m/>
    <m/>
  </r>
  <r>
    <x v="362"/>
    <x v="6"/>
    <s v="페이스북/인스타그램"/>
    <x v="8"/>
    <x v="0"/>
    <x v="0"/>
    <m/>
    <m/>
    <n v="265705"/>
    <m/>
    <m/>
    <m/>
  </r>
  <r>
    <x v="356"/>
    <x v="3"/>
    <s v="페이스북/인스타그램"/>
    <x v="7"/>
    <x v="0"/>
    <x v="0"/>
    <m/>
    <m/>
    <n v="177775"/>
    <m/>
    <m/>
    <m/>
  </r>
  <r>
    <x v="357"/>
    <x v="4"/>
    <s v="페이스북/인스타그램"/>
    <x v="7"/>
    <x v="0"/>
    <x v="0"/>
    <m/>
    <m/>
    <n v="306041"/>
    <m/>
    <m/>
    <m/>
  </r>
  <r>
    <x v="358"/>
    <x v="1"/>
    <s v="페이스북/인스타그램"/>
    <x v="7"/>
    <x v="0"/>
    <x v="0"/>
    <m/>
    <m/>
    <n v="433832"/>
    <m/>
    <m/>
    <m/>
  </r>
  <r>
    <x v="359"/>
    <x v="0"/>
    <s v="페이스북/인스타그램"/>
    <x v="7"/>
    <x v="0"/>
    <x v="0"/>
    <m/>
    <m/>
    <n v="603519"/>
    <m/>
    <m/>
    <m/>
  </r>
  <r>
    <x v="360"/>
    <x v="2"/>
    <s v="페이스북/인스타그램"/>
    <x v="7"/>
    <x v="0"/>
    <x v="0"/>
    <m/>
    <m/>
    <n v="570376"/>
    <m/>
    <m/>
    <m/>
  </r>
  <r>
    <x v="361"/>
    <x v="5"/>
    <s v="페이스북/인스타그램"/>
    <x v="7"/>
    <x v="0"/>
    <x v="0"/>
    <m/>
    <m/>
    <n v="392415"/>
    <m/>
    <m/>
    <m/>
  </r>
  <r>
    <x v="362"/>
    <x v="6"/>
    <s v="페이스북/인스타그램"/>
    <x v="7"/>
    <x v="0"/>
    <x v="0"/>
    <m/>
    <m/>
    <n v="680858"/>
    <m/>
    <m/>
    <m/>
  </r>
  <r>
    <x v="363"/>
    <x v="3"/>
    <s v="페이스북/인스타그램"/>
    <x v="7"/>
    <x v="0"/>
    <x v="0"/>
    <m/>
    <m/>
    <n v="740050"/>
    <m/>
    <m/>
    <m/>
  </r>
  <r>
    <x v="364"/>
    <x v="4"/>
    <s v="페이스북/인스타그램"/>
    <x v="7"/>
    <x v="0"/>
    <x v="0"/>
    <m/>
    <m/>
    <n v="465992"/>
    <m/>
    <m/>
    <m/>
  </r>
  <r>
    <x v="365"/>
    <x v="1"/>
    <s v="페이스북/인스타그램"/>
    <x v="7"/>
    <x v="0"/>
    <x v="0"/>
    <m/>
    <m/>
    <n v="232280"/>
    <m/>
    <m/>
    <m/>
  </r>
  <r>
    <x v="366"/>
    <x v="0"/>
    <s v="페이스북/인스타그램"/>
    <x v="7"/>
    <x v="0"/>
    <x v="0"/>
    <m/>
    <m/>
    <n v="197082"/>
    <m/>
    <m/>
    <m/>
  </r>
  <r>
    <x v="367"/>
    <x v="2"/>
    <s v="페이스북/인스타그램"/>
    <x v="7"/>
    <x v="0"/>
    <x v="0"/>
    <m/>
    <m/>
    <n v="196868"/>
    <m/>
    <m/>
    <m/>
  </r>
  <r>
    <x v="368"/>
    <x v="5"/>
    <s v="페이스북/인스타그램"/>
    <x v="7"/>
    <x v="0"/>
    <x v="0"/>
    <m/>
    <m/>
    <n v="253700"/>
    <m/>
    <m/>
    <m/>
  </r>
  <r>
    <x v="369"/>
    <x v="6"/>
    <s v="페이스북/인스타그램"/>
    <x v="7"/>
    <x v="0"/>
    <x v="0"/>
    <m/>
    <m/>
    <n v="529548"/>
    <m/>
    <m/>
    <m/>
  </r>
  <r>
    <x v="353"/>
    <x v="2"/>
    <s v="페이스북/인스타그램"/>
    <x v="5"/>
    <x v="0"/>
    <x v="0"/>
    <m/>
    <m/>
    <n v="195501"/>
    <m/>
    <m/>
    <m/>
  </r>
  <r>
    <x v="354"/>
    <x v="5"/>
    <s v="페이스북/인스타그램"/>
    <x v="5"/>
    <x v="0"/>
    <x v="0"/>
    <m/>
    <m/>
    <n v="178475"/>
    <m/>
    <m/>
    <m/>
  </r>
  <r>
    <x v="355"/>
    <x v="6"/>
    <s v="페이스북/인스타그램"/>
    <x v="5"/>
    <x v="0"/>
    <x v="0"/>
    <m/>
    <m/>
    <n v="141041"/>
    <m/>
    <m/>
    <m/>
  </r>
  <r>
    <x v="356"/>
    <x v="3"/>
    <s v="페이스북/인스타그램"/>
    <x v="5"/>
    <x v="0"/>
    <x v="0"/>
    <m/>
    <m/>
    <n v="223709"/>
    <m/>
    <m/>
    <m/>
  </r>
  <r>
    <x v="357"/>
    <x v="4"/>
    <s v="페이스북/인스타그램"/>
    <x v="5"/>
    <x v="0"/>
    <x v="0"/>
    <m/>
    <m/>
    <n v="147153"/>
    <m/>
    <m/>
    <m/>
  </r>
  <r>
    <x v="359"/>
    <x v="0"/>
    <s v="페이스북/인스타그램"/>
    <x v="5"/>
    <x v="0"/>
    <x v="0"/>
    <m/>
    <m/>
    <n v="48070"/>
    <m/>
    <m/>
    <m/>
  </r>
  <r>
    <x v="360"/>
    <x v="2"/>
    <s v="페이스북/인스타그램"/>
    <x v="5"/>
    <x v="0"/>
    <x v="0"/>
    <m/>
    <m/>
    <n v="188083"/>
    <m/>
    <m/>
    <m/>
  </r>
  <r>
    <x v="361"/>
    <x v="5"/>
    <s v="페이스북/인스타그램"/>
    <x v="5"/>
    <x v="0"/>
    <x v="0"/>
    <m/>
    <m/>
    <n v="552436"/>
    <m/>
    <m/>
    <m/>
  </r>
  <r>
    <x v="362"/>
    <x v="6"/>
    <s v="페이스북/인스타그램"/>
    <x v="5"/>
    <x v="0"/>
    <x v="0"/>
    <m/>
    <m/>
    <n v="452018"/>
    <m/>
    <m/>
    <m/>
  </r>
  <r>
    <x v="363"/>
    <x v="3"/>
    <s v="페이스북/인스타그램"/>
    <x v="5"/>
    <x v="0"/>
    <x v="0"/>
    <m/>
    <m/>
    <n v="337484"/>
    <m/>
    <m/>
    <m/>
  </r>
  <r>
    <x v="364"/>
    <x v="4"/>
    <s v="페이스북/인스타그램"/>
    <x v="5"/>
    <x v="0"/>
    <x v="0"/>
    <m/>
    <m/>
    <n v="323865"/>
    <m/>
    <m/>
    <m/>
  </r>
  <r>
    <x v="365"/>
    <x v="1"/>
    <s v="페이스북/인스타그램"/>
    <x v="5"/>
    <x v="0"/>
    <x v="0"/>
    <m/>
    <m/>
    <n v="111371"/>
    <m/>
    <m/>
    <m/>
  </r>
  <r>
    <x v="366"/>
    <x v="0"/>
    <s v="페이스북/인스타그램"/>
    <x v="5"/>
    <x v="0"/>
    <x v="0"/>
    <m/>
    <m/>
    <n v="7061"/>
    <m/>
    <m/>
    <m/>
  </r>
  <r>
    <x v="367"/>
    <x v="2"/>
    <s v="페이스북/인스타그램"/>
    <x v="5"/>
    <x v="0"/>
    <x v="0"/>
    <m/>
    <m/>
    <n v="101079"/>
    <m/>
    <m/>
    <m/>
  </r>
  <r>
    <x v="368"/>
    <x v="5"/>
    <s v="페이스북/인스타그램"/>
    <x v="5"/>
    <x v="0"/>
    <x v="0"/>
    <m/>
    <m/>
    <n v="248465"/>
    <m/>
    <m/>
    <m/>
  </r>
  <r>
    <x v="369"/>
    <x v="6"/>
    <s v="페이스북/인스타그램"/>
    <x v="5"/>
    <x v="0"/>
    <x v="0"/>
    <m/>
    <m/>
    <n v="500289"/>
    <m/>
    <m/>
    <m/>
  </r>
  <r>
    <x v="354"/>
    <x v="5"/>
    <s v="네이버 GFA"/>
    <x v="6"/>
    <x v="0"/>
    <x v="0"/>
    <m/>
    <m/>
    <n v="263.6363636363636"/>
    <m/>
    <m/>
    <m/>
  </r>
  <r>
    <x v="355"/>
    <x v="6"/>
    <s v="네이버 GFA"/>
    <x v="6"/>
    <x v="0"/>
    <x v="0"/>
    <m/>
    <m/>
    <n v="2083.636363636364"/>
    <m/>
    <m/>
    <m/>
  </r>
  <r>
    <x v="353"/>
    <x v="2"/>
    <s v="네이버 GFA"/>
    <x v="0"/>
    <x v="0"/>
    <x v="0"/>
    <m/>
    <m/>
    <n v="120660"/>
    <m/>
    <m/>
    <m/>
  </r>
  <r>
    <x v="354"/>
    <x v="5"/>
    <s v="네이버 GFA"/>
    <x v="0"/>
    <x v="0"/>
    <x v="0"/>
    <m/>
    <m/>
    <n v="115405.4545454545"/>
    <m/>
    <m/>
    <m/>
  </r>
  <r>
    <x v="355"/>
    <x v="6"/>
    <s v="네이버 GFA"/>
    <x v="0"/>
    <x v="0"/>
    <x v="0"/>
    <m/>
    <m/>
    <n v="114250"/>
    <m/>
    <m/>
    <m/>
  </r>
  <r>
    <x v="356"/>
    <x v="3"/>
    <s v="네이버 GFA"/>
    <x v="0"/>
    <x v="0"/>
    <x v="0"/>
    <m/>
    <m/>
    <n v="78933.63636363635"/>
    <m/>
    <m/>
    <m/>
  </r>
  <r>
    <x v="357"/>
    <x v="4"/>
    <s v="네이버 GFA"/>
    <x v="0"/>
    <x v="0"/>
    <x v="0"/>
    <m/>
    <m/>
    <n v="182068.1818181818"/>
    <m/>
    <m/>
    <m/>
  </r>
  <r>
    <x v="358"/>
    <x v="1"/>
    <s v="네이버 GFA"/>
    <x v="0"/>
    <x v="0"/>
    <x v="0"/>
    <m/>
    <m/>
    <n v="190875.4545454545"/>
    <m/>
    <m/>
    <m/>
  </r>
  <r>
    <x v="359"/>
    <x v="0"/>
    <s v="네이버 GFA"/>
    <x v="0"/>
    <x v="0"/>
    <x v="0"/>
    <m/>
    <m/>
    <n v="258735.4545454545"/>
    <m/>
    <m/>
    <m/>
  </r>
  <r>
    <x v="360"/>
    <x v="2"/>
    <s v="네이버 GFA"/>
    <x v="0"/>
    <x v="0"/>
    <x v="0"/>
    <m/>
    <m/>
    <n v="206150.9090909091"/>
    <m/>
    <m/>
    <m/>
  </r>
  <r>
    <x v="361"/>
    <x v="5"/>
    <s v="네이버 GFA"/>
    <x v="0"/>
    <x v="0"/>
    <x v="0"/>
    <m/>
    <m/>
    <n v="122402.7272727273"/>
    <m/>
    <m/>
    <m/>
  </r>
  <r>
    <x v="362"/>
    <x v="6"/>
    <s v="네이버 GFA"/>
    <x v="0"/>
    <x v="0"/>
    <x v="0"/>
    <m/>
    <m/>
    <n v="119765.4545454545"/>
    <m/>
    <m/>
    <m/>
  </r>
  <r>
    <x v="363"/>
    <x v="3"/>
    <s v="네이버 GFA"/>
    <x v="0"/>
    <x v="0"/>
    <x v="0"/>
    <m/>
    <m/>
    <n v="138131.8181818182"/>
    <m/>
    <m/>
    <m/>
  </r>
  <r>
    <x v="364"/>
    <x v="4"/>
    <s v="네이버 GFA"/>
    <x v="0"/>
    <x v="0"/>
    <x v="0"/>
    <m/>
    <m/>
    <n v="73740"/>
    <m/>
    <m/>
    <m/>
  </r>
  <r>
    <x v="365"/>
    <x v="1"/>
    <s v="네이버 GFA"/>
    <x v="0"/>
    <x v="0"/>
    <x v="0"/>
    <m/>
    <m/>
    <n v="81552.72727272726"/>
    <m/>
    <m/>
    <m/>
  </r>
  <r>
    <x v="366"/>
    <x v="0"/>
    <s v="네이버 GFA"/>
    <x v="0"/>
    <x v="0"/>
    <x v="0"/>
    <m/>
    <m/>
    <n v="94656"/>
    <m/>
    <m/>
    <m/>
  </r>
  <r>
    <x v="367"/>
    <x v="2"/>
    <s v="네이버 GFA"/>
    <x v="0"/>
    <x v="0"/>
    <x v="0"/>
    <m/>
    <m/>
    <n v="94028.99999999999"/>
    <m/>
    <m/>
    <m/>
  </r>
  <r>
    <x v="368"/>
    <x v="5"/>
    <s v="네이버 GFA"/>
    <x v="0"/>
    <x v="0"/>
    <x v="0"/>
    <m/>
    <m/>
    <n v="92848"/>
    <m/>
    <m/>
    <m/>
  </r>
  <r>
    <x v="369"/>
    <x v="6"/>
    <s v="네이버 GFA"/>
    <x v="0"/>
    <x v="0"/>
    <x v="0"/>
    <m/>
    <m/>
    <n v="91853"/>
    <m/>
    <m/>
    <m/>
  </r>
  <r>
    <x v="353"/>
    <x v="2"/>
    <s v="네이버 쇼핑검색"/>
    <x v="0"/>
    <x v="0"/>
    <x v="0"/>
    <m/>
    <m/>
    <n v="25530"/>
    <m/>
    <m/>
    <m/>
  </r>
  <r>
    <x v="354"/>
    <x v="5"/>
    <s v="네이버 쇼핑검색"/>
    <x v="0"/>
    <x v="0"/>
    <x v="0"/>
    <m/>
    <m/>
    <n v="20800"/>
    <m/>
    <m/>
    <m/>
  </r>
  <r>
    <x v="355"/>
    <x v="6"/>
    <s v="네이버 쇼핑검색"/>
    <x v="0"/>
    <x v="0"/>
    <x v="0"/>
    <m/>
    <m/>
    <n v="23990"/>
    <m/>
    <m/>
    <m/>
  </r>
  <r>
    <x v="356"/>
    <x v="3"/>
    <s v="네이버 쇼핑검색"/>
    <x v="0"/>
    <x v="0"/>
    <x v="0"/>
    <m/>
    <m/>
    <n v="24100"/>
    <m/>
    <m/>
    <m/>
  </r>
  <r>
    <x v="357"/>
    <x v="4"/>
    <s v="네이버 쇼핑검색"/>
    <x v="0"/>
    <x v="0"/>
    <x v="0"/>
    <m/>
    <m/>
    <n v="27640"/>
    <m/>
    <m/>
    <m/>
  </r>
  <r>
    <x v="358"/>
    <x v="1"/>
    <s v="네이버 쇼핑검색"/>
    <x v="0"/>
    <x v="0"/>
    <x v="0"/>
    <m/>
    <m/>
    <n v="36400"/>
    <m/>
    <m/>
    <m/>
  </r>
  <r>
    <x v="359"/>
    <x v="0"/>
    <s v="네이버 쇼핑검색"/>
    <x v="0"/>
    <x v="0"/>
    <x v="0"/>
    <m/>
    <m/>
    <n v="33140"/>
    <m/>
    <m/>
    <m/>
  </r>
  <r>
    <x v="360"/>
    <x v="2"/>
    <s v="네이버 쇼핑검색"/>
    <x v="0"/>
    <x v="0"/>
    <x v="0"/>
    <m/>
    <m/>
    <n v="28130"/>
    <m/>
    <m/>
    <m/>
  </r>
  <r>
    <x v="361"/>
    <x v="5"/>
    <s v="네이버 쇼핑검색"/>
    <x v="0"/>
    <x v="0"/>
    <x v="0"/>
    <m/>
    <m/>
    <n v="22180"/>
    <m/>
    <m/>
    <m/>
  </r>
  <r>
    <x v="362"/>
    <x v="6"/>
    <s v="네이버 쇼핑검색"/>
    <x v="0"/>
    <x v="0"/>
    <x v="0"/>
    <m/>
    <m/>
    <n v="24750"/>
    <m/>
    <m/>
    <m/>
  </r>
  <r>
    <x v="363"/>
    <x v="3"/>
    <s v="네이버 쇼핑검색"/>
    <x v="0"/>
    <x v="0"/>
    <x v="0"/>
    <m/>
    <m/>
    <n v="25210"/>
    <m/>
    <m/>
    <m/>
  </r>
  <r>
    <x v="364"/>
    <x v="4"/>
    <s v="네이버 쇼핑검색"/>
    <x v="0"/>
    <x v="0"/>
    <x v="0"/>
    <m/>
    <m/>
    <n v="15970"/>
    <m/>
    <m/>
    <m/>
  </r>
  <r>
    <x v="365"/>
    <x v="1"/>
    <s v="네이버 쇼핑검색"/>
    <x v="0"/>
    <x v="0"/>
    <x v="0"/>
    <m/>
    <m/>
    <n v="18790"/>
    <m/>
    <m/>
    <m/>
  </r>
  <r>
    <x v="366"/>
    <x v="0"/>
    <s v="네이버 쇼핑검색"/>
    <x v="0"/>
    <x v="0"/>
    <x v="0"/>
    <m/>
    <m/>
    <n v="23738"/>
    <m/>
    <m/>
    <m/>
  </r>
  <r>
    <x v="367"/>
    <x v="2"/>
    <s v="네이버 쇼핑검색"/>
    <x v="0"/>
    <x v="0"/>
    <x v="0"/>
    <m/>
    <m/>
    <n v="29062"/>
    <m/>
    <m/>
    <m/>
  </r>
  <r>
    <x v="368"/>
    <x v="5"/>
    <s v="네이버 쇼핑검색"/>
    <x v="0"/>
    <x v="0"/>
    <x v="0"/>
    <m/>
    <m/>
    <n v="29106"/>
    <m/>
    <m/>
    <m/>
  </r>
  <r>
    <x v="369"/>
    <x v="6"/>
    <s v="네이버 쇼핑검색"/>
    <x v="0"/>
    <x v="0"/>
    <x v="0"/>
    <m/>
    <m/>
    <n v="40645"/>
    <m/>
    <m/>
    <m/>
  </r>
  <r>
    <x v="353"/>
    <x v="2"/>
    <s v="네이버 브랜드검색"/>
    <x v="0"/>
    <x v="0"/>
    <x v="0"/>
    <m/>
    <m/>
    <n v="50000"/>
    <m/>
    <m/>
    <m/>
  </r>
  <r>
    <x v="354"/>
    <x v="5"/>
    <s v="네이버 브랜드검색"/>
    <x v="0"/>
    <x v="0"/>
    <x v="0"/>
    <m/>
    <m/>
    <n v="50000"/>
    <m/>
    <m/>
    <m/>
  </r>
  <r>
    <x v="355"/>
    <x v="6"/>
    <s v="네이버 브랜드검색"/>
    <x v="0"/>
    <x v="0"/>
    <x v="0"/>
    <m/>
    <m/>
    <n v="50000"/>
    <m/>
    <m/>
    <m/>
  </r>
  <r>
    <x v="356"/>
    <x v="3"/>
    <s v="네이버 브랜드검색"/>
    <x v="0"/>
    <x v="0"/>
    <x v="0"/>
    <m/>
    <m/>
    <n v="50000"/>
    <m/>
    <m/>
    <m/>
  </r>
  <r>
    <x v="357"/>
    <x v="4"/>
    <s v="네이버 브랜드검색"/>
    <x v="0"/>
    <x v="0"/>
    <x v="0"/>
    <m/>
    <m/>
    <n v="50000"/>
    <m/>
    <m/>
    <m/>
  </r>
  <r>
    <x v="358"/>
    <x v="1"/>
    <s v="네이버 브랜드검색"/>
    <x v="0"/>
    <x v="0"/>
    <x v="0"/>
    <m/>
    <m/>
    <n v="50000"/>
    <m/>
    <m/>
    <m/>
  </r>
  <r>
    <x v="359"/>
    <x v="0"/>
    <s v="네이버 브랜드검색"/>
    <x v="0"/>
    <x v="0"/>
    <x v="0"/>
    <m/>
    <m/>
    <n v="50000"/>
    <m/>
    <m/>
    <m/>
  </r>
  <r>
    <x v="360"/>
    <x v="2"/>
    <s v="네이버 브랜드검색"/>
    <x v="0"/>
    <x v="0"/>
    <x v="0"/>
    <m/>
    <m/>
    <n v="50000"/>
    <m/>
    <m/>
    <m/>
  </r>
  <r>
    <x v="361"/>
    <x v="5"/>
    <s v="네이버 브랜드검색"/>
    <x v="0"/>
    <x v="0"/>
    <x v="0"/>
    <m/>
    <m/>
    <n v="50000"/>
    <m/>
    <m/>
    <m/>
  </r>
  <r>
    <x v="362"/>
    <x v="6"/>
    <s v="네이버 브랜드검색"/>
    <x v="0"/>
    <x v="0"/>
    <x v="0"/>
    <m/>
    <m/>
    <n v="50000"/>
    <m/>
    <m/>
    <m/>
  </r>
  <r>
    <x v="363"/>
    <x v="3"/>
    <s v="네이버 브랜드검색"/>
    <x v="0"/>
    <x v="0"/>
    <x v="0"/>
    <m/>
    <m/>
    <n v="50000"/>
    <m/>
    <m/>
    <m/>
  </r>
  <r>
    <x v="364"/>
    <x v="4"/>
    <s v="네이버 브랜드검색"/>
    <x v="0"/>
    <x v="0"/>
    <x v="0"/>
    <m/>
    <m/>
    <n v="50000"/>
    <m/>
    <m/>
    <m/>
  </r>
  <r>
    <x v="365"/>
    <x v="1"/>
    <s v="네이버 브랜드검색"/>
    <x v="0"/>
    <x v="0"/>
    <x v="0"/>
    <m/>
    <m/>
    <n v="50000"/>
    <m/>
    <m/>
    <m/>
  </r>
  <r>
    <x v="366"/>
    <x v="0"/>
    <s v="네이버 브랜드검색"/>
    <x v="0"/>
    <x v="0"/>
    <x v="0"/>
    <m/>
    <m/>
    <n v="50000"/>
    <m/>
    <m/>
    <m/>
  </r>
  <r>
    <x v="367"/>
    <x v="2"/>
    <s v="네이버 브랜드검색"/>
    <x v="0"/>
    <x v="0"/>
    <x v="0"/>
    <m/>
    <m/>
    <n v="50000"/>
    <m/>
    <m/>
    <m/>
  </r>
  <r>
    <x v="368"/>
    <x v="5"/>
    <s v="네이버 브랜드검색"/>
    <x v="0"/>
    <x v="0"/>
    <x v="0"/>
    <m/>
    <m/>
    <n v="50000"/>
    <m/>
    <m/>
    <m/>
  </r>
  <r>
    <x v="369"/>
    <x v="6"/>
    <s v="네이버 브랜드검색"/>
    <x v="0"/>
    <x v="0"/>
    <x v="0"/>
    <m/>
    <m/>
    <n v="50000"/>
    <m/>
    <m/>
    <m/>
  </r>
  <r>
    <x v="353"/>
    <x v="2"/>
    <s v="카카오광고"/>
    <x v="0"/>
    <x v="0"/>
    <x v="0"/>
    <m/>
    <m/>
    <n v="11850"/>
    <m/>
    <m/>
    <m/>
  </r>
  <r>
    <x v="354"/>
    <x v="5"/>
    <s v="카카오광고"/>
    <x v="0"/>
    <x v="0"/>
    <x v="0"/>
    <m/>
    <m/>
    <n v="8210"/>
    <m/>
    <m/>
    <m/>
  </r>
  <r>
    <x v="355"/>
    <x v="6"/>
    <s v="카카오광고"/>
    <x v="0"/>
    <x v="0"/>
    <x v="0"/>
    <m/>
    <m/>
    <n v="5570"/>
    <m/>
    <m/>
    <m/>
  </r>
  <r>
    <x v="356"/>
    <x v="3"/>
    <s v="카카오광고"/>
    <x v="0"/>
    <x v="0"/>
    <x v="0"/>
    <m/>
    <m/>
    <n v="7659.999999999999"/>
    <m/>
    <m/>
    <m/>
  </r>
  <r>
    <x v="357"/>
    <x v="4"/>
    <s v="카카오광고"/>
    <x v="0"/>
    <x v="0"/>
    <x v="0"/>
    <m/>
    <m/>
    <n v="14830"/>
    <m/>
    <m/>
    <m/>
  </r>
  <r>
    <x v="358"/>
    <x v="1"/>
    <s v="카카오광고"/>
    <x v="0"/>
    <x v="0"/>
    <x v="0"/>
    <m/>
    <m/>
    <n v="6939.999999999999"/>
    <m/>
    <m/>
    <m/>
  </r>
  <r>
    <x v="359"/>
    <x v="0"/>
    <s v="카카오광고"/>
    <x v="0"/>
    <x v="0"/>
    <x v="0"/>
    <m/>
    <m/>
    <n v="7709.999999999999"/>
    <m/>
    <m/>
    <m/>
  </r>
  <r>
    <x v="360"/>
    <x v="2"/>
    <s v="카카오광고"/>
    <x v="0"/>
    <x v="0"/>
    <x v="0"/>
    <m/>
    <m/>
    <n v="14070"/>
    <m/>
    <m/>
    <m/>
  </r>
  <r>
    <x v="361"/>
    <x v="5"/>
    <s v="카카오광고"/>
    <x v="0"/>
    <x v="0"/>
    <x v="0"/>
    <m/>
    <m/>
    <n v="15110"/>
    <m/>
    <m/>
    <m/>
  </r>
  <r>
    <x v="362"/>
    <x v="6"/>
    <s v="카카오광고"/>
    <x v="0"/>
    <x v="0"/>
    <x v="0"/>
    <m/>
    <m/>
    <n v="11460"/>
    <m/>
    <m/>
    <m/>
  </r>
  <r>
    <x v="363"/>
    <x v="3"/>
    <s v="카카오광고"/>
    <x v="0"/>
    <x v="0"/>
    <x v="0"/>
    <m/>
    <m/>
    <n v="12400"/>
    <m/>
    <m/>
    <m/>
  </r>
  <r>
    <x v="364"/>
    <x v="4"/>
    <s v="카카오광고"/>
    <x v="0"/>
    <x v="0"/>
    <x v="0"/>
    <m/>
    <m/>
    <n v="11350"/>
    <m/>
    <m/>
    <m/>
  </r>
  <r>
    <x v="365"/>
    <x v="1"/>
    <s v="카카오광고"/>
    <x v="0"/>
    <x v="0"/>
    <x v="0"/>
    <m/>
    <m/>
    <n v="10740"/>
    <m/>
    <m/>
    <m/>
  </r>
  <r>
    <x v="366"/>
    <x v="0"/>
    <s v="카카오광고"/>
    <x v="0"/>
    <x v="0"/>
    <x v="0"/>
    <m/>
    <m/>
    <n v="9280"/>
    <m/>
    <m/>
    <m/>
  </r>
  <r>
    <x v="367"/>
    <x v="2"/>
    <s v="카카오광고"/>
    <x v="0"/>
    <x v="0"/>
    <x v="0"/>
    <m/>
    <m/>
    <n v="7769.999999999999"/>
    <m/>
    <m/>
    <m/>
  </r>
  <r>
    <x v="368"/>
    <x v="5"/>
    <s v="카카오광고"/>
    <x v="0"/>
    <x v="0"/>
    <x v="0"/>
    <m/>
    <m/>
    <n v="13900"/>
    <m/>
    <m/>
    <m/>
  </r>
  <r>
    <x v="369"/>
    <x v="6"/>
    <s v="카카오광고"/>
    <x v="0"/>
    <x v="0"/>
    <x v="0"/>
    <m/>
    <m/>
    <n v="15540"/>
    <m/>
    <m/>
    <m/>
  </r>
  <r>
    <x v="358"/>
    <x v="1"/>
    <s v="문자대표"/>
    <x v="0"/>
    <x v="0"/>
    <x v="0"/>
    <m/>
    <m/>
    <n v="900"/>
    <m/>
    <m/>
    <m/>
  </r>
  <r>
    <x v="363"/>
    <x v="3"/>
    <s v="문자대표"/>
    <x v="0"/>
    <x v="0"/>
    <x v="0"/>
    <m/>
    <m/>
    <n v="210"/>
    <m/>
    <m/>
    <m/>
  </r>
  <r>
    <x v="355"/>
    <x v="6"/>
    <s v="유튜브 디스커버리"/>
    <x v="0"/>
    <x v="0"/>
    <x v="0"/>
    <m/>
    <m/>
    <n v="716242"/>
    <m/>
    <m/>
    <m/>
  </r>
  <r>
    <x v="356"/>
    <x v="3"/>
    <s v="유튜브 디스커버리"/>
    <x v="0"/>
    <x v="0"/>
    <x v="0"/>
    <m/>
    <m/>
    <n v="365864"/>
    <m/>
    <m/>
    <m/>
  </r>
  <r>
    <x v="357"/>
    <x v="4"/>
    <s v="유튜브 디스커버리"/>
    <x v="0"/>
    <x v="0"/>
    <x v="0"/>
    <m/>
    <m/>
    <n v="13853"/>
    <m/>
    <m/>
    <m/>
  </r>
  <r>
    <x v="358"/>
    <x v="1"/>
    <s v="유튜브 디스커버리"/>
    <x v="0"/>
    <x v="0"/>
    <x v="0"/>
    <m/>
    <m/>
    <n v="733412"/>
    <m/>
    <m/>
    <m/>
  </r>
  <r>
    <x v="359"/>
    <x v="0"/>
    <s v="유튜브 디스커버리"/>
    <x v="0"/>
    <x v="0"/>
    <x v="0"/>
    <m/>
    <m/>
    <n v="312293"/>
    <m/>
    <m/>
    <m/>
  </r>
  <r>
    <x v="362"/>
    <x v="6"/>
    <s v="유튜브 디스커버리"/>
    <x v="0"/>
    <x v="0"/>
    <x v="0"/>
    <m/>
    <m/>
    <n v="627057"/>
    <m/>
    <m/>
    <m/>
  </r>
  <r>
    <x v="368"/>
    <x v="5"/>
    <s v="유튜브 디스커버리"/>
    <x v="0"/>
    <x v="0"/>
    <x v="0"/>
    <m/>
    <m/>
    <n v="842650"/>
    <m/>
    <m/>
    <m/>
  </r>
  <r>
    <x v="369"/>
    <x v="6"/>
    <s v="유튜브 디스커버리"/>
    <x v="0"/>
    <x v="0"/>
    <x v="0"/>
    <m/>
    <m/>
    <n v="945485"/>
    <m/>
    <m/>
    <m/>
  </r>
  <r>
    <x v="370"/>
    <x v="3"/>
    <s v="페이스북/인스타그램"/>
    <x v="0"/>
    <x v="0"/>
    <x v="0"/>
    <m/>
    <m/>
    <n v="162344"/>
    <m/>
    <m/>
    <m/>
  </r>
  <r>
    <x v="371"/>
    <x v="4"/>
    <s v="페이스북/인스타그램"/>
    <x v="0"/>
    <x v="0"/>
    <x v="0"/>
    <m/>
    <m/>
    <n v="299408"/>
    <m/>
    <m/>
    <m/>
  </r>
  <r>
    <x v="372"/>
    <x v="1"/>
    <s v="페이스북/인스타그램"/>
    <x v="0"/>
    <x v="0"/>
    <x v="0"/>
    <m/>
    <m/>
    <n v="60293"/>
    <m/>
    <m/>
    <m/>
  </r>
  <r>
    <x v="370"/>
    <x v="3"/>
    <s v="페이스북/인스타그램"/>
    <x v="8"/>
    <x v="0"/>
    <x v="0"/>
    <m/>
    <m/>
    <n v="128769"/>
    <m/>
    <m/>
    <m/>
  </r>
  <r>
    <x v="371"/>
    <x v="4"/>
    <s v="페이스북/인스타그램"/>
    <x v="8"/>
    <x v="0"/>
    <x v="0"/>
    <m/>
    <m/>
    <n v="286613"/>
    <m/>
    <m/>
    <m/>
  </r>
  <r>
    <x v="372"/>
    <x v="1"/>
    <s v="페이스북/인스타그램"/>
    <x v="8"/>
    <x v="0"/>
    <x v="0"/>
    <m/>
    <m/>
    <n v="294932"/>
    <m/>
    <m/>
    <m/>
  </r>
  <r>
    <x v="373"/>
    <x v="0"/>
    <s v="페이스북/인스타그램"/>
    <x v="8"/>
    <x v="0"/>
    <x v="0"/>
    <m/>
    <m/>
    <n v="226414"/>
    <m/>
    <m/>
    <m/>
  </r>
  <r>
    <x v="374"/>
    <x v="2"/>
    <s v="페이스북/인스타그램"/>
    <x v="8"/>
    <x v="0"/>
    <x v="0"/>
    <m/>
    <m/>
    <n v="101844"/>
    <m/>
    <m/>
    <m/>
  </r>
  <r>
    <x v="375"/>
    <x v="5"/>
    <s v="페이스북/인스타그램"/>
    <x v="8"/>
    <x v="0"/>
    <x v="0"/>
    <m/>
    <m/>
    <n v="94922"/>
    <m/>
    <m/>
    <m/>
  </r>
  <r>
    <x v="376"/>
    <x v="6"/>
    <s v="페이스북/인스타그램"/>
    <x v="8"/>
    <x v="0"/>
    <x v="0"/>
    <m/>
    <m/>
    <n v="154644"/>
    <m/>
    <m/>
    <m/>
  </r>
  <r>
    <x v="377"/>
    <x v="3"/>
    <s v="페이스북/인스타그램"/>
    <x v="8"/>
    <x v="0"/>
    <x v="0"/>
    <m/>
    <m/>
    <n v="163137"/>
    <m/>
    <m/>
    <m/>
  </r>
  <r>
    <x v="378"/>
    <x v="4"/>
    <s v="페이스북/인스타그램"/>
    <x v="8"/>
    <x v="0"/>
    <x v="0"/>
    <m/>
    <m/>
    <n v="169691"/>
    <m/>
    <m/>
    <m/>
  </r>
  <r>
    <x v="379"/>
    <x v="1"/>
    <s v="페이스북/인스타그램"/>
    <x v="8"/>
    <x v="0"/>
    <x v="0"/>
    <m/>
    <m/>
    <n v="242887"/>
    <m/>
    <m/>
    <m/>
  </r>
  <r>
    <x v="380"/>
    <x v="0"/>
    <s v="페이스북/인스타그램"/>
    <x v="8"/>
    <x v="0"/>
    <x v="0"/>
    <m/>
    <m/>
    <n v="366247"/>
    <m/>
    <m/>
    <m/>
  </r>
  <r>
    <x v="381"/>
    <x v="2"/>
    <s v="페이스북/인스타그램"/>
    <x v="8"/>
    <x v="0"/>
    <x v="0"/>
    <m/>
    <m/>
    <n v="204512"/>
    <m/>
    <m/>
    <m/>
  </r>
  <r>
    <x v="382"/>
    <x v="5"/>
    <s v="페이스북/인스타그램"/>
    <x v="8"/>
    <x v="0"/>
    <x v="0"/>
    <m/>
    <m/>
    <n v="72440"/>
    <m/>
    <m/>
    <m/>
  </r>
  <r>
    <x v="383"/>
    <x v="6"/>
    <s v="페이스북/인스타그램"/>
    <x v="8"/>
    <x v="0"/>
    <x v="0"/>
    <m/>
    <m/>
    <n v="104358"/>
    <m/>
    <m/>
    <m/>
  </r>
  <r>
    <x v="384"/>
    <x v="3"/>
    <s v="페이스북/인스타그램"/>
    <x v="8"/>
    <x v="0"/>
    <x v="0"/>
    <m/>
    <m/>
    <n v="156159"/>
    <m/>
    <m/>
    <m/>
  </r>
  <r>
    <x v="370"/>
    <x v="3"/>
    <s v="페이스북/인스타그램"/>
    <x v="7"/>
    <x v="0"/>
    <x v="0"/>
    <m/>
    <m/>
    <n v="779174"/>
    <m/>
    <m/>
    <m/>
  </r>
  <r>
    <x v="371"/>
    <x v="4"/>
    <s v="페이스북/인스타그램"/>
    <x v="7"/>
    <x v="0"/>
    <x v="0"/>
    <m/>
    <m/>
    <n v="822603"/>
    <m/>
    <m/>
    <m/>
  </r>
  <r>
    <x v="372"/>
    <x v="1"/>
    <s v="페이스북/인스타그램"/>
    <x v="7"/>
    <x v="0"/>
    <x v="0"/>
    <m/>
    <m/>
    <n v="323746"/>
    <m/>
    <m/>
    <m/>
  </r>
  <r>
    <x v="370"/>
    <x v="3"/>
    <s v="페이스북/인스타그램"/>
    <x v="5"/>
    <x v="0"/>
    <x v="0"/>
    <m/>
    <m/>
    <n v="376554"/>
    <m/>
    <m/>
    <m/>
  </r>
  <r>
    <x v="371"/>
    <x v="4"/>
    <s v="페이스북/인스타그램"/>
    <x v="5"/>
    <x v="0"/>
    <x v="0"/>
    <m/>
    <m/>
    <n v="317503"/>
    <m/>
    <m/>
    <m/>
  </r>
  <r>
    <x v="372"/>
    <x v="1"/>
    <s v="페이스북/인스타그램"/>
    <x v="5"/>
    <x v="0"/>
    <x v="0"/>
    <m/>
    <m/>
    <n v="267187"/>
    <m/>
    <m/>
    <m/>
  </r>
  <r>
    <x v="373"/>
    <x v="0"/>
    <s v="페이스북/인스타그램"/>
    <x v="5"/>
    <x v="0"/>
    <x v="0"/>
    <m/>
    <m/>
    <n v="264361"/>
    <m/>
    <m/>
    <m/>
  </r>
  <r>
    <x v="374"/>
    <x v="2"/>
    <s v="페이스북/인스타그램"/>
    <x v="5"/>
    <x v="0"/>
    <x v="0"/>
    <m/>
    <m/>
    <n v="228009"/>
    <m/>
    <m/>
    <m/>
  </r>
  <r>
    <x v="375"/>
    <x v="5"/>
    <s v="페이스북/인스타그램"/>
    <x v="5"/>
    <x v="0"/>
    <x v="0"/>
    <m/>
    <m/>
    <n v="114163"/>
    <m/>
    <m/>
    <m/>
  </r>
  <r>
    <x v="376"/>
    <x v="6"/>
    <s v="페이스북/인스타그램"/>
    <x v="5"/>
    <x v="0"/>
    <x v="0"/>
    <m/>
    <m/>
    <n v="166660"/>
    <m/>
    <m/>
    <m/>
  </r>
  <r>
    <x v="377"/>
    <x v="3"/>
    <s v="페이스북/인스타그램"/>
    <x v="5"/>
    <x v="0"/>
    <x v="0"/>
    <m/>
    <m/>
    <n v="117470"/>
    <m/>
    <m/>
    <m/>
  </r>
  <r>
    <x v="378"/>
    <x v="4"/>
    <s v="페이스북/인스타그램"/>
    <x v="5"/>
    <x v="0"/>
    <x v="0"/>
    <m/>
    <m/>
    <n v="119686"/>
    <m/>
    <m/>
    <m/>
  </r>
  <r>
    <x v="379"/>
    <x v="1"/>
    <s v="페이스북/인스타그램"/>
    <x v="5"/>
    <x v="0"/>
    <x v="0"/>
    <m/>
    <m/>
    <n v="146644"/>
    <m/>
    <m/>
    <m/>
  </r>
  <r>
    <x v="380"/>
    <x v="0"/>
    <s v="페이스북/인스타그램"/>
    <x v="5"/>
    <x v="0"/>
    <x v="0"/>
    <m/>
    <m/>
    <n v="158624"/>
    <m/>
    <m/>
    <m/>
  </r>
  <r>
    <x v="381"/>
    <x v="2"/>
    <s v="페이스북/인스타그램"/>
    <x v="5"/>
    <x v="0"/>
    <x v="0"/>
    <m/>
    <m/>
    <n v="116627"/>
    <m/>
    <m/>
    <m/>
  </r>
  <r>
    <x v="382"/>
    <x v="5"/>
    <s v="페이스북/인스타그램"/>
    <x v="5"/>
    <x v="0"/>
    <x v="0"/>
    <m/>
    <m/>
    <n v="106812"/>
    <m/>
    <m/>
    <m/>
  </r>
  <r>
    <x v="383"/>
    <x v="6"/>
    <s v="페이스북/인스타그램"/>
    <x v="5"/>
    <x v="0"/>
    <x v="0"/>
    <m/>
    <m/>
    <n v="81251"/>
    <m/>
    <m/>
    <m/>
  </r>
  <r>
    <x v="384"/>
    <x v="3"/>
    <s v="페이스북/인스타그램"/>
    <x v="5"/>
    <x v="0"/>
    <x v="0"/>
    <m/>
    <m/>
    <n v="104094"/>
    <m/>
    <m/>
    <m/>
  </r>
  <r>
    <x v="370"/>
    <x v="3"/>
    <s v="페이스북/인스타그램"/>
    <x v="9"/>
    <x v="0"/>
    <x v="0"/>
    <m/>
    <m/>
    <n v="11288"/>
    <m/>
    <m/>
    <m/>
  </r>
  <r>
    <x v="371"/>
    <x v="4"/>
    <s v="페이스북/인스타그램"/>
    <x v="9"/>
    <x v="0"/>
    <x v="0"/>
    <m/>
    <m/>
    <n v="94622"/>
    <m/>
    <m/>
    <m/>
  </r>
  <r>
    <x v="372"/>
    <x v="1"/>
    <s v="페이스북/인스타그램"/>
    <x v="9"/>
    <x v="0"/>
    <x v="0"/>
    <m/>
    <m/>
    <n v="170932"/>
    <m/>
    <m/>
    <m/>
  </r>
  <r>
    <x v="373"/>
    <x v="0"/>
    <s v="페이스북/인스타그램"/>
    <x v="9"/>
    <x v="0"/>
    <x v="0"/>
    <m/>
    <m/>
    <n v="100272"/>
    <m/>
    <m/>
    <m/>
  </r>
  <r>
    <x v="374"/>
    <x v="2"/>
    <s v="페이스북/인스타그램"/>
    <x v="9"/>
    <x v="0"/>
    <x v="0"/>
    <m/>
    <m/>
    <n v="93488"/>
    <m/>
    <m/>
    <m/>
  </r>
  <r>
    <x v="375"/>
    <x v="5"/>
    <s v="페이스북/인스타그램"/>
    <x v="9"/>
    <x v="0"/>
    <x v="0"/>
    <m/>
    <m/>
    <n v="54017"/>
    <m/>
    <m/>
    <m/>
  </r>
  <r>
    <x v="376"/>
    <x v="6"/>
    <s v="페이스북/인스타그램"/>
    <x v="9"/>
    <x v="0"/>
    <x v="0"/>
    <m/>
    <m/>
    <n v="50176"/>
    <m/>
    <m/>
    <m/>
  </r>
  <r>
    <x v="377"/>
    <x v="3"/>
    <s v="페이스북/인스타그램"/>
    <x v="9"/>
    <x v="0"/>
    <x v="0"/>
    <m/>
    <m/>
    <n v="54792"/>
    <m/>
    <m/>
    <m/>
  </r>
  <r>
    <x v="378"/>
    <x v="4"/>
    <s v="페이스북/인스타그램"/>
    <x v="9"/>
    <x v="0"/>
    <x v="0"/>
    <m/>
    <m/>
    <n v="147188"/>
    <m/>
    <m/>
    <m/>
  </r>
  <r>
    <x v="379"/>
    <x v="1"/>
    <s v="페이스북/인스타그램"/>
    <x v="9"/>
    <x v="0"/>
    <x v="0"/>
    <m/>
    <m/>
    <n v="511957"/>
    <m/>
    <m/>
    <m/>
  </r>
  <r>
    <x v="380"/>
    <x v="0"/>
    <s v="페이스북/인스타그램"/>
    <x v="9"/>
    <x v="0"/>
    <x v="0"/>
    <m/>
    <m/>
    <n v="262634"/>
    <m/>
    <m/>
    <m/>
  </r>
  <r>
    <x v="381"/>
    <x v="2"/>
    <s v="페이스북/인스타그램"/>
    <x v="9"/>
    <x v="0"/>
    <x v="0"/>
    <m/>
    <m/>
    <n v="284781"/>
    <m/>
    <m/>
    <m/>
  </r>
  <r>
    <x v="382"/>
    <x v="5"/>
    <s v="페이스북/인스타그램"/>
    <x v="9"/>
    <x v="0"/>
    <x v="0"/>
    <m/>
    <m/>
    <n v="453685"/>
    <m/>
    <m/>
    <m/>
  </r>
  <r>
    <x v="383"/>
    <x v="6"/>
    <s v="페이스북/인스타그램"/>
    <x v="9"/>
    <x v="0"/>
    <x v="0"/>
    <m/>
    <m/>
    <n v="448994"/>
    <m/>
    <m/>
    <m/>
  </r>
  <r>
    <x v="384"/>
    <x v="3"/>
    <s v="페이스북/인스타그램"/>
    <x v="9"/>
    <x v="0"/>
    <x v="0"/>
    <m/>
    <m/>
    <n v="1196397"/>
    <m/>
    <m/>
    <m/>
  </r>
  <r>
    <x v="370"/>
    <x v="3"/>
    <s v="네이버 GFA"/>
    <x v="0"/>
    <x v="0"/>
    <x v="0"/>
    <m/>
    <m/>
    <n v="113605.7851239673"/>
    <m/>
    <m/>
    <m/>
  </r>
  <r>
    <x v="371"/>
    <x v="4"/>
    <s v="네이버 GFA"/>
    <x v="0"/>
    <x v="0"/>
    <x v="0"/>
    <m/>
    <m/>
    <n v="97124.79338842999"/>
    <m/>
    <m/>
    <m/>
  </r>
  <r>
    <x v="370"/>
    <x v="3"/>
    <s v="네이버 쇼핑검색"/>
    <x v="0"/>
    <x v="0"/>
    <x v="0"/>
    <m/>
    <m/>
    <n v="32770"/>
    <m/>
    <m/>
    <m/>
  </r>
  <r>
    <x v="371"/>
    <x v="4"/>
    <s v="네이버 쇼핑검색"/>
    <x v="0"/>
    <x v="0"/>
    <x v="0"/>
    <m/>
    <m/>
    <n v="22450"/>
    <m/>
    <m/>
    <m/>
  </r>
  <r>
    <x v="371"/>
    <x v="4"/>
    <s v="유튜브 디스커버리"/>
    <x v="0"/>
    <x v="0"/>
    <x v="0"/>
    <m/>
    <m/>
    <n v="1829630"/>
    <m/>
    <m/>
    <m/>
  </r>
  <r>
    <x v="370"/>
    <x v="3"/>
    <s v="네이버 브랜드검색"/>
    <x v="0"/>
    <x v="0"/>
    <x v="0"/>
    <m/>
    <m/>
    <n v="50000"/>
    <m/>
    <m/>
    <m/>
  </r>
  <r>
    <x v="371"/>
    <x v="4"/>
    <s v="네이버 브랜드검색"/>
    <x v="0"/>
    <x v="0"/>
    <x v="0"/>
    <m/>
    <m/>
    <n v="50000"/>
    <m/>
    <m/>
    <m/>
  </r>
  <r>
    <x v="372"/>
    <x v="1"/>
    <s v="네이버 브랜드검색"/>
    <x v="0"/>
    <x v="0"/>
    <x v="0"/>
    <m/>
    <m/>
    <n v="50000"/>
    <m/>
    <m/>
    <m/>
  </r>
  <r>
    <x v="373"/>
    <x v="0"/>
    <s v="네이버 브랜드검색"/>
    <x v="0"/>
    <x v="0"/>
    <x v="0"/>
    <m/>
    <m/>
    <n v="50000"/>
    <m/>
    <m/>
    <m/>
  </r>
  <r>
    <x v="374"/>
    <x v="2"/>
    <s v="네이버 브랜드검색"/>
    <x v="0"/>
    <x v="0"/>
    <x v="0"/>
    <m/>
    <m/>
    <n v="50000"/>
    <m/>
    <m/>
    <m/>
  </r>
  <r>
    <x v="375"/>
    <x v="5"/>
    <s v="네이버 브랜드검색"/>
    <x v="0"/>
    <x v="0"/>
    <x v="0"/>
    <m/>
    <m/>
    <n v="50000"/>
    <m/>
    <m/>
    <m/>
  </r>
  <r>
    <x v="376"/>
    <x v="6"/>
    <s v="네이버 브랜드검색"/>
    <x v="0"/>
    <x v="0"/>
    <x v="0"/>
    <m/>
    <m/>
    <n v="50000"/>
    <m/>
    <m/>
    <m/>
  </r>
  <r>
    <x v="377"/>
    <x v="3"/>
    <s v="네이버 브랜드검색"/>
    <x v="0"/>
    <x v="0"/>
    <x v="0"/>
    <m/>
    <m/>
    <n v="50000"/>
    <m/>
    <m/>
    <m/>
  </r>
  <r>
    <x v="378"/>
    <x v="4"/>
    <s v="네이버 브랜드검색"/>
    <x v="0"/>
    <x v="0"/>
    <x v="0"/>
    <m/>
    <m/>
    <n v="50000"/>
    <m/>
    <m/>
    <m/>
  </r>
  <r>
    <x v="379"/>
    <x v="1"/>
    <s v="네이버 브랜드검색"/>
    <x v="0"/>
    <x v="0"/>
    <x v="0"/>
    <m/>
    <m/>
    <n v="50000"/>
    <m/>
    <m/>
    <m/>
  </r>
  <r>
    <x v="380"/>
    <x v="0"/>
    <s v="네이버 브랜드검색"/>
    <x v="0"/>
    <x v="0"/>
    <x v="0"/>
    <m/>
    <m/>
    <n v="50000"/>
    <m/>
    <m/>
    <m/>
  </r>
  <r>
    <x v="381"/>
    <x v="2"/>
    <s v="네이버 브랜드검색"/>
    <x v="0"/>
    <x v="0"/>
    <x v="0"/>
    <m/>
    <m/>
    <n v="50000"/>
    <m/>
    <m/>
    <m/>
  </r>
  <r>
    <x v="382"/>
    <x v="5"/>
    <s v="네이버 브랜드검색"/>
    <x v="0"/>
    <x v="0"/>
    <x v="0"/>
    <m/>
    <m/>
    <n v="50000"/>
    <m/>
    <m/>
    <m/>
  </r>
  <r>
    <x v="383"/>
    <x v="6"/>
    <s v="네이버 브랜드검색"/>
    <x v="0"/>
    <x v="0"/>
    <x v="0"/>
    <m/>
    <m/>
    <n v="50000"/>
    <m/>
    <m/>
    <m/>
  </r>
  <r>
    <x v="384"/>
    <x v="3"/>
    <s v="네이버 브랜드검색"/>
    <x v="0"/>
    <x v="0"/>
    <x v="0"/>
    <m/>
    <m/>
    <n v="50000"/>
    <m/>
    <m/>
    <m/>
  </r>
  <r>
    <x v="370"/>
    <x v="3"/>
    <s v="카카오광고"/>
    <x v="0"/>
    <x v="0"/>
    <x v="0"/>
    <m/>
    <m/>
    <n v="9590"/>
    <m/>
    <m/>
    <m/>
  </r>
  <r>
    <x v="371"/>
    <x v="4"/>
    <s v="카카오광고"/>
    <x v="0"/>
    <x v="0"/>
    <x v="0"/>
    <m/>
    <m/>
    <n v="6540"/>
    <m/>
    <m/>
    <m/>
  </r>
  <r>
    <x v="385"/>
    <x v="4"/>
    <s v="네이버 GFA"/>
    <x v="10"/>
    <x v="0"/>
    <x v="0"/>
    <m/>
    <m/>
    <n v="0"/>
    <m/>
    <m/>
    <m/>
  </r>
  <r>
    <x v="385"/>
    <x v="4"/>
    <s v="네이버 쇼핑검색"/>
    <x v="10"/>
    <x v="0"/>
    <x v="0"/>
    <m/>
    <m/>
    <n v="0"/>
    <m/>
    <m/>
    <m/>
  </r>
  <r>
    <x v="385"/>
    <x v="4"/>
    <s v="네이버 브랜드검색"/>
    <x v="0"/>
    <x v="0"/>
    <x v="0"/>
    <m/>
    <m/>
    <n v="50000"/>
    <m/>
    <m/>
    <m/>
  </r>
  <r>
    <x v="385"/>
    <x v="4"/>
    <s v="유튜브 디스커버리"/>
    <x v="10"/>
    <x v="0"/>
    <x v="0"/>
    <m/>
    <m/>
    <n v="0"/>
    <m/>
    <m/>
    <m/>
  </r>
  <r>
    <x v="385"/>
    <x v="4"/>
    <s v="페이스북/인스타그램"/>
    <x v="8"/>
    <x v="0"/>
    <x v="0"/>
    <m/>
    <m/>
    <n v="256759"/>
    <m/>
    <m/>
    <m/>
  </r>
  <r>
    <x v="385"/>
    <x v="4"/>
    <s v="페이스북/인스타그램"/>
    <x v="5"/>
    <x v="0"/>
    <x v="0"/>
    <m/>
    <m/>
    <n v="104461"/>
    <m/>
    <m/>
    <m/>
  </r>
  <r>
    <x v="385"/>
    <x v="4"/>
    <s v="페이스북/인스타그램"/>
    <x v="9"/>
    <x v="0"/>
    <x v="0"/>
    <m/>
    <m/>
    <n v="910520"/>
    <m/>
    <m/>
    <m/>
  </r>
  <r>
    <x v="385"/>
    <x v="4"/>
    <s v="카카오광고"/>
    <x v="10"/>
    <x v="0"/>
    <x v="0"/>
    <m/>
    <m/>
    <n v="0"/>
    <m/>
    <m/>
    <m/>
  </r>
  <r>
    <x v="386"/>
    <x v="1"/>
    <s v="페이스북/인스타그램"/>
    <x v="8"/>
    <x v="0"/>
    <x v="0"/>
    <m/>
    <m/>
    <n v="71895"/>
    <m/>
    <m/>
    <m/>
  </r>
  <r>
    <x v="386"/>
    <x v="1"/>
    <s v="페이스북/인스타그램"/>
    <x v="5"/>
    <x v="0"/>
    <x v="0"/>
    <m/>
    <m/>
    <n v="87699"/>
    <m/>
    <m/>
    <m/>
  </r>
  <r>
    <x v="386"/>
    <x v="1"/>
    <s v="페이스북/인스타그램"/>
    <x v="9"/>
    <x v="0"/>
    <x v="0"/>
    <m/>
    <m/>
    <n v="865195"/>
    <m/>
    <m/>
    <m/>
  </r>
  <r>
    <x v="386"/>
    <x v="1"/>
    <s v="네이버 GFA"/>
    <x v="10"/>
    <x v="0"/>
    <x v="0"/>
    <m/>
    <m/>
    <n v="0"/>
    <m/>
    <m/>
    <m/>
  </r>
  <r>
    <x v="386"/>
    <x v="1"/>
    <s v="네이버 브랜드검색"/>
    <x v="0"/>
    <x v="0"/>
    <x v="0"/>
    <m/>
    <m/>
    <n v="50000"/>
    <m/>
    <m/>
    <m/>
  </r>
  <r>
    <x v="386"/>
    <x v="1"/>
    <s v="네이버 쇼핑검색"/>
    <x v="10"/>
    <x v="0"/>
    <x v="0"/>
    <m/>
    <m/>
    <n v="0"/>
    <m/>
    <m/>
    <m/>
  </r>
  <r>
    <x v="386"/>
    <x v="1"/>
    <s v="카카오광고"/>
    <x v="10"/>
    <x v="0"/>
    <x v="0"/>
    <m/>
    <m/>
    <n v="0"/>
    <m/>
    <m/>
    <m/>
  </r>
  <r>
    <x v="386"/>
    <x v="1"/>
    <s v="유튜브 디스커버리"/>
    <x v="10"/>
    <x v="0"/>
    <x v="0"/>
    <m/>
    <m/>
    <n v="0"/>
    <m/>
    <m/>
    <m/>
  </r>
  <r>
    <x v="387"/>
    <x v="0"/>
    <s v="페이스북/인스타그램"/>
    <x v="8"/>
    <x v="0"/>
    <x v="0"/>
    <m/>
    <m/>
    <n v="0"/>
    <m/>
    <m/>
    <m/>
  </r>
  <r>
    <x v="387"/>
    <x v="0"/>
    <s v="페이스북/인스타그램"/>
    <x v="5"/>
    <x v="0"/>
    <x v="0"/>
    <m/>
    <m/>
    <n v="53826"/>
    <m/>
    <m/>
    <m/>
  </r>
  <r>
    <x v="387"/>
    <x v="0"/>
    <s v="페이스북/인스타그램"/>
    <x v="9"/>
    <x v="0"/>
    <x v="0"/>
    <m/>
    <m/>
    <n v="515422"/>
    <m/>
    <m/>
    <m/>
  </r>
  <r>
    <x v="387"/>
    <x v="0"/>
    <s v="네이버 GFA"/>
    <x v="10"/>
    <x v="0"/>
    <x v="0"/>
    <m/>
    <m/>
    <n v="0"/>
    <m/>
    <m/>
    <m/>
  </r>
  <r>
    <x v="387"/>
    <x v="0"/>
    <s v="네이버 브랜드검색"/>
    <x v="0"/>
    <x v="0"/>
    <x v="0"/>
    <m/>
    <m/>
    <n v="50000"/>
    <m/>
    <m/>
    <m/>
  </r>
  <r>
    <x v="387"/>
    <x v="0"/>
    <s v="네이버 쇼핑검색"/>
    <x v="10"/>
    <x v="0"/>
    <x v="0"/>
    <m/>
    <m/>
    <n v="0"/>
    <m/>
    <m/>
    <m/>
  </r>
  <r>
    <x v="387"/>
    <x v="0"/>
    <s v="카카오광고"/>
    <x v="10"/>
    <x v="0"/>
    <x v="0"/>
    <m/>
    <m/>
    <n v="0"/>
    <m/>
    <m/>
    <m/>
  </r>
  <r>
    <x v="387"/>
    <x v="0"/>
    <s v="유튜브 디스커버리"/>
    <x v="10"/>
    <x v="0"/>
    <x v="0"/>
    <m/>
    <m/>
    <n v="0"/>
    <m/>
    <m/>
    <m/>
  </r>
  <r>
    <x v="388"/>
    <x v="2"/>
    <s v="페이스북/인스타그램"/>
    <x v="7"/>
    <x v="0"/>
    <x v="0"/>
    <m/>
    <m/>
    <n v="184340"/>
    <m/>
    <m/>
    <m/>
  </r>
  <r>
    <x v="388"/>
    <x v="2"/>
    <s v="페이스북/인스타그램"/>
    <x v="5"/>
    <x v="0"/>
    <x v="0"/>
    <m/>
    <m/>
    <n v="28306"/>
    <m/>
    <m/>
    <m/>
  </r>
  <r>
    <x v="388"/>
    <x v="2"/>
    <s v="페이스북/인스타그램"/>
    <x v="9"/>
    <x v="0"/>
    <x v="0"/>
    <m/>
    <m/>
    <n v="155672"/>
    <m/>
    <m/>
    <m/>
  </r>
  <r>
    <x v="388"/>
    <x v="2"/>
    <s v="네이버 브랜드검색"/>
    <x v="0"/>
    <x v="0"/>
    <x v="0"/>
    <m/>
    <m/>
    <n v="50000"/>
    <m/>
    <m/>
    <m/>
  </r>
  <r>
    <x v="388"/>
    <x v="2"/>
    <s v="네이버 GFA"/>
    <x v="10"/>
    <x v="0"/>
    <x v="0"/>
    <m/>
    <m/>
    <n v="0"/>
    <m/>
    <m/>
    <m/>
  </r>
  <r>
    <x v="388"/>
    <x v="2"/>
    <s v="네이버 쇼핑검색"/>
    <x v="10"/>
    <x v="0"/>
    <x v="0"/>
    <m/>
    <m/>
    <n v="0"/>
    <m/>
    <m/>
    <m/>
  </r>
  <r>
    <x v="388"/>
    <x v="2"/>
    <s v="카카오광고"/>
    <x v="10"/>
    <x v="0"/>
    <x v="0"/>
    <m/>
    <m/>
    <n v="0"/>
    <m/>
    <m/>
    <m/>
  </r>
  <r>
    <x v="388"/>
    <x v="2"/>
    <s v="유튜브 디스커버리"/>
    <x v="10"/>
    <x v="0"/>
    <x v="0"/>
    <m/>
    <m/>
    <n v="0"/>
    <m/>
    <m/>
    <m/>
  </r>
  <r>
    <x v="389"/>
    <x v="5"/>
    <s v="페이스북/인스타그램"/>
    <x v="7"/>
    <x v="0"/>
    <x v="0"/>
    <m/>
    <m/>
    <n v="430540"/>
    <m/>
    <m/>
    <m/>
  </r>
  <r>
    <x v="389"/>
    <x v="5"/>
    <s v="페이스북/인스타그램"/>
    <x v="5"/>
    <x v="0"/>
    <x v="0"/>
    <m/>
    <m/>
    <n v="0"/>
    <m/>
    <m/>
    <m/>
  </r>
  <r>
    <x v="389"/>
    <x v="5"/>
    <s v="페이스북/인스타그램"/>
    <x v="9"/>
    <x v="0"/>
    <x v="0"/>
    <m/>
    <m/>
    <n v="112256"/>
    <m/>
    <m/>
    <m/>
  </r>
  <r>
    <x v="389"/>
    <x v="5"/>
    <s v="네이버 브랜드검색"/>
    <x v="0"/>
    <x v="0"/>
    <x v="0"/>
    <m/>
    <m/>
    <n v="50000"/>
    <m/>
    <m/>
    <m/>
  </r>
  <r>
    <x v="389"/>
    <x v="5"/>
    <s v="네이버 GFA"/>
    <x v="10"/>
    <x v="0"/>
    <x v="0"/>
    <m/>
    <m/>
    <n v="0"/>
    <m/>
    <m/>
    <m/>
  </r>
  <r>
    <x v="389"/>
    <x v="5"/>
    <s v="네이버 쇼핑검색"/>
    <x v="10"/>
    <x v="0"/>
    <x v="0"/>
    <m/>
    <m/>
    <n v="0"/>
    <m/>
    <m/>
    <m/>
  </r>
  <r>
    <x v="389"/>
    <x v="5"/>
    <s v="카카오광고"/>
    <x v="10"/>
    <x v="0"/>
    <x v="0"/>
    <m/>
    <m/>
    <n v="0"/>
    <m/>
    <m/>
    <m/>
  </r>
  <r>
    <x v="389"/>
    <x v="5"/>
    <s v="유튜브 디스커버리"/>
    <x v="10"/>
    <x v="0"/>
    <x v="0"/>
    <m/>
    <m/>
    <n v="0"/>
    <m/>
    <m/>
    <m/>
  </r>
  <r>
    <x v="390"/>
    <x v="6"/>
    <s v="페이스북/인스타그램"/>
    <x v="7"/>
    <x v="0"/>
    <x v="0"/>
    <m/>
    <m/>
    <n v="652211"/>
    <m/>
    <m/>
    <m/>
  </r>
  <r>
    <x v="390"/>
    <x v="6"/>
    <s v="페이스북/인스타그램"/>
    <x v="5"/>
    <x v="0"/>
    <x v="0"/>
    <m/>
    <m/>
    <n v="0"/>
    <m/>
    <m/>
    <m/>
  </r>
  <r>
    <x v="390"/>
    <x v="6"/>
    <s v="페이스북/인스타그램"/>
    <x v="9"/>
    <x v="0"/>
    <x v="0"/>
    <m/>
    <m/>
    <n v="145039"/>
    <m/>
    <m/>
    <m/>
  </r>
  <r>
    <x v="390"/>
    <x v="6"/>
    <s v="네이버 브랜드검색"/>
    <x v="0"/>
    <x v="0"/>
    <x v="0"/>
    <m/>
    <m/>
    <n v="50000"/>
    <m/>
    <m/>
    <m/>
  </r>
  <r>
    <x v="390"/>
    <x v="6"/>
    <s v="네이버 GFA"/>
    <x v="10"/>
    <x v="0"/>
    <x v="0"/>
    <m/>
    <m/>
    <n v="0"/>
    <m/>
    <m/>
    <m/>
  </r>
  <r>
    <x v="390"/>
    <x v="6"/>
    <s v="네이버 쇼핑검색"/>
    <x v="10"/>
    <x v="0"/>
    <x v="0"/>
    <m/>
    <m/>
    <n v="0"/>
    <m/>
    <m/>
    <m/>
  </r>
  <r>
    <x v="390"/>
    <x v="6"/>
    <s v="카카오광고"/>
    <x v="10"/>
    <x v="0"/>
    <x v="0"/>
    <m/>
    <m/>
    <n v="0"/>
    <m/>
    <m/>
    <m/>
  </r>
  <r>
    <x v="390"/>
    <x v="6"/>
    <s v="유튜브 디스커버리"/>
    <x v="10"/>
    <x v="0"/>
    <x v="0"/>
    <m/>
    <m/>
    <n v="0"/>
    <m/>
    <m/>
    <m/>
  </r>
  <r>
    <x v="391"/>
    <x v="3"/>
    <s v="페이스북/인스타그램"/>
    <x v="7"/>
    <x v="0"/>
    <x v="0"/>
    <m/>
    <m/>
    <n v="975473"/>
    <m/>
    <m/>
    <m/>
  </r>
  <r>
    <x v="391"/>
    <x v="3"/>
    <s v="페이스북/인스타그램"/>
    <x v="9"/>
    <x v="0"/>
    <x v="0"/>
    <m/>
    <m/>
    <n v="228009"/>
    <m/>
    <m/>
    <m/>
  </r>
  <r>
    <x v="391"/>
    <x v="3"/>
    <s v="네이버 브랜드검색"/>
    <x v="0"/>
    <x v="0"/>
    <x v="0"/>
    <m/>
    <m/>
    <n v="50000"/>
    <m/>
    <m/>
    <m/>
  </r>
  <r>
    <x v="391"/>
    <x v="3"/>
    <s v="카카오광고"/>
    <x v="10"/>
    <x v="0"/>
    <x v="0"/>
    <m/>
    <m/>
    <n v="0"/>
    <m/>
    <m/>
    <m/>
  </r>
  <r>
    <x v="391"/>
    <x v="3"/>
    <s v="네이버 GFA"/>
    <x v="10"/>
    <x v="0"/>
    <x v="0"/>
    <m/>
    <m/>
    <n v="0"/>
    <m/>
    <m/>
    <m/>
  </r>
  <r>
    <x v="391"/>
    <x v="3"/>
    <s v="네이버 쇼핑검색"/>
    <x v="10"/>
    <x v="0"/>
    <x v="0"/>
    <m/>
    <m/>
    <n v="0"/>
    <m/>
    <m/>
    <m/>
  </r>
  <r>
    <x v="391"/>
    <x v="3"/>
    <s v="유튜브 디스커버리"/>
    <x v="10"/>
    <x v="0"/>
    <x v="0"/>
    <m/>
    <m/>
    <n v="0"/>
    <m/>
    <m/>
    <m/>
  </r>
  <r>
    <x v="392"/>
    <x v="4"/>
    <s v="네이버 브랜드검색"/>
    <x v="0"/>
    <x v="0"/>
    <x v="0"/>
    <m/>
    <m/>
    <n v="50000"/>
    <m/>
    <m/>
    <m/>
  </r>
  <r>
    <x v="392"/>
    <x v="4"/>
    <s v="카카오광고"/>
    <x v="10"/>
    <x v="0"/>
    <x v="0"/>
    <m/>
    <m/>
    <n v="0"/>
    <m/>
    <m/>
    <m/>
  </r>
  <r>
    <x v="392"/>
    <x v="4"/>
    <s v="네이버 GFA"/>
    <x v="10"/>
    <x v="0"/>
    <x v="0"/>
    <m/>
    <m/>
    <n v="0"/>
    <m/>
    <m/>
    <m/>
  </r>
  <r>
    <x v="392"/>
    <x v="4"/>
    <s v="네이버 쇼핑검색"/>
    <x v="10"/>
    <x v="0"/>
    <x v="0"/>
    <m/>
    <m/>
    <n v="0"/>
    <m/>
    <m/>
    <m/>
  </r>
  <r>
    <x v="392"/>
    <x v="4"/>
    <s v="유튜브 디스커버리"/>
    <x v="10"/>
    <x v="0"/>
    <x v="0"/>
    <m/>
    <m/>
    <n v="0"/>
    <m/>
    <m/>
    <m/>
  </r>
  <r>
    <x v="392"/>
    <x v="4"/>
    <s v="페이스북/인스타그램"/>
    <x v="7"/>
    <x v="0"/>
    <x v="0"/>
    <m/>
    <m/>
    <n v="907870"/>
    <m/>
    <m/>
    <m/>
  </r>
  <r>
    <x v="392"/>
    <x v="4"/>
    <s v="페이스북/인스타그램"/>
    <x v="9"/>
    <x v="0"/>
    <x v="0"/>
    <m/>
    <m/>
    <n v="210011"/>
    <m/>
    <m/>
    <m/>
  </r>
  <r>
    <x v="392"/>
    <x v="4"/>
    <s v="페이스북/인스타그램"/>
    <x v="5"/>
    <x v="0"/>
    <x v="0"/>
    <m/>
    <m/>
    <n v="101099"/>
    <m/>
    <m/>
    <m/>
  </r>
  <r>
    <x v="392"/>
    <x v="4"/>
    <s v="네이버 브랜드검색"/>
    <x v="0"/>
    <x v="0"/>
    <x v="0"/>
    <m/>
    <m/>
    <n v="50000"/>
    <m/>
    <m/>
    <m/>
  </r>
  <r>
    <x v="392"/>
    <x v="4"/>
    <s v="네이버 GFA"/>
    <x v="10"/>
    <x v="0"/>
    <x v="0"/>
    <m/>
    <m/>
    <n v="0"/>
    <m/>
    <m/>
    <m/>
  </r>
  <r>
    <x v="392"/>
    <x v="4"/>
    <s v="네이버 쇼핑검색"/>
    <x v="10"/>
    <x v="0"/>
    <x v="0"/>
    <m/>
    <m/>
    <n v="0"/>
    <m/>
    <m/>
    <m/>
  </r>
  <r>
    <x v="392"/>
    <x v="4"/>
    <s v="유튜브 디스커버리"/>
    <x v="10"/>
    <x v="0"/>
    <x v="0"/>
    <m/>
    <m/>
    <n v="0"/>
    <m/>
    <m/>
    <m/>
  </r>
  <r>
    <x v="393"/>
    <x v="1"/>
    <s v="페이스북/인스타그램"/>
    <x v="7"/>
    <x v="0"/>
    <x v="0"/>
    <m/>
    <m/>
    <n v="822775"/>
    <m/>
    <m/>
    <m/>
  </r>
  <r>
    <x v="393"/>
    <x v="1"/>
    <s v="페이스북/인스타그램"/>
    <x v="0"/>
    <x v="0"/>
    <x v="0"/>
    <m/>
    <m/>
    <n v="78561"/>
    <m/>
    <m/>
    <m/>
  </r>
  <r>
    <x v="393"/>
    <x v="1"/>
    <s v="페이스북/인스타그램"/>
    <x v="9"/>
    <x v="0"/>
    <x v="0"/>
    <m/>
    <m/>
    <n v="122006"/>
    <m/>
    <m/>
    <m/>
  </r>
  <r>
    <x v="393"/>
    <x v="1"/>
    <s v="페이스북/인스타그램"/>
    <x v="5"/>
    <x v="0"/>
    <x v="0"/>
    <m/>
    <m/>
    <n v="185467"/>
    <m/>
    <m/>
    <m/>
  </r>
  <r>
    <x v="393"/>
    <x v="1"/>
    <s v="네이버 브랜드검색"/>
    <x v="0"/>
    <x v="0"/>
    <x v="0"/>
    <m/>
    <m/>
    <n v="50000"/>
    <m/>
    <m/>
    <m/>
  </r>
  <r>
    <x v="393"/>
    <x v="1"/>
    <s v="카카오광고"/>
    <x v="0"/>
    <x v="0"/>
    <x v="0"/>
    <m/>
    <m/>
    <n v="17550"/>
    <m/>
    <m/>
    <m/>
  </r>
  <r>
    <x v="393"/>
    <x v="1"/>
    <s v="네이버 쇼핑검색"/>
    <x v="10"/>
    <x v="0"/>
    <x v="0"/>
    <m/>
    <m/>
    <n v="0"/>
    <m/>
    <m/>
    <m/>
  </r>
  <r>
    <x v="393"/>
    <x v="1"/>
    <s v="유튜브 디스커버리"/>
    <x v="10"/>
    <x v="0"/>
    <x v="0"/>
    <m/>
    <m/>
    <n v="0"/>
    <m/>
    <m/>
    <m/>
  </r>
  <r>
    <x v="394"/>
    <x v="0"/>
    <s v="페이스북/인스타그램"/>
    <x v="7"/>
    <x v="0"/>
    <x v="0"/>
    <m/>
    <m/>
    <n v="782743"/>
    <m/>
    <m/>
    <m/>
  </r>
  <r>
    <x v="394"/>
    <x v="0"/>
    <s v="페이스북/인스타그램"/>
    <x v="0"/>
    <x v="0"/>
    <x v="0"/>
    <m/>
    <m/>
    <n v="192418"/>
    <m/>
    <m/>
    <m/>
  </r>
  <r>
    <x v="394"/>
    <x v="0"/>
    <s v="페이스북/인스타그램"/>
    <x v="9"/>
    <x v="0"/>
    <x v="0"/>
    <m/>
    <m/>
    <n v="88926"/>
    <m/>
    <m/>
    <m/>
  </r>
  <r>
    <x v="394"/>
    <x v="0"/>
    <s v="페이스북/인스타그램"/>
    <x v="5"/>
    <x v="0"/>
    <x v="0"/>
    <m/>
    <m/>
    <n v="10539"/>
    <m/>
    <m/>
    <m/>
  </r>
  <r>
    <x v="394"/>
    <x v="0"/>
    <s v="네이버 브랜드검색"/>
    <x v="0"/>
    <x v="0"/>
    <x v="0"/>
    <m/>
    <m/>
    <n v="50000"/>
    <m/>
    <m/>
    <m/>
  </r>
  <r>
    <x v="394"/>
    <x v="0"/>
    <s v="카카오광고"/>
    <x v="0"/>
    <x v="0"/>
    <x v="0"/>
    <m/>
    <m/>
    <n v="19640"/>
    <m/>
    <m/>
    <m/>
  </r>
  <r>
    <x v="394"/>
    <x v="0"/>
    <s v="유튜브 디스커버리"/>
    <x v="0"/>
    <x v="0"/>
    <x v="0"/>
    <m/>
    <m/>
    <n v="569931"/>
    <m/>
    <m/>
    <m/>
  </r>
  <r>
    <x v="394"/>
    <x v="0"/>
    <s v="네이버 쇼핑검색"/>
    <x v="10"/>
    <x v="0"/>
    <x v="0"/>
    <m/>
    <m/>
    <n v="0"/>
    <m/>
    <m/>
    <m/>
  </r>
  <r>
    <x v="395"/>
    <x v="2"/>
    <s v="페이스북/인스타그램"/>
    <x v="7"/>
    <x v="0"/>
    <x v="0"/>
    <m/>
    <m/>
    <n v="665182"/>
    <m/>
    <m/>
    <m/>
  </r>
  <r>
    <x v="395"/>
    <x v="2"/>
    <s v="페이스북/인스타그램"/>
    <x v="0"/>
    <x v="0"/>
    <x v="0"/>
    <m/>
    <m/>
    <n v="158836"/>
    <m/>
    <m/>
    <m/>
  </r>
  <r>
    <x v="395"/>
    <x v="2"/>
    <s v="페이스북/인스타그램"/>
    <x v="9"/>
    <x v="0"/>
    <x v="0"/>
    <m/>
    <m/>
    <n v="56622"/>
    <m/>
    <m/>
    <m/>
  </r>
  <r>
    <x v="395"/>
    <x v="2"/>
    <s v="페이스북/인스타그램"/>
    <x v="5"/>
    <x v="0"/>
    <x v="0"/>
    <m/>
    <m/>
    <n v="0"/>
    <m/>
    <m/>
    <m/>
  </r>
  <r>
    <x v="395"/>
    <x v="2"/>
    <s v="네이버 브랜드검색"/>
    <x v="0"/>
    <x v="0"/>
    <x v="0"/>
    <m/>
    <m/>
    <n v="50000"/>
    <m/>
    <m/>
    <m/>
  </r>
  <r>
    <x v="395"/>
    <x v="2"/>
    <s v="카카오광고"/>
    <x v="0"/>
    <x v="0"/>
    <x v="0"/>
    <m/>
    <m/>
    <n v="18570"/>
    <m/>
    <m/>
    <m/>
  </r>
  <r>
    <x v="395"/>
    <x v="2"/>
    <s v="유튜브 디스커버리"/>
    <x v="0"/>
    <x v="0"/>
    <x v="0"/>
    <m/>
    <m/>
    <n v="192487"/>
    <m/>
    <m/>
    <m/>
  </r>
  <r>
    <x v="395"/>
    <x v="2"/>
    <s v="네이버 쇼핑검색"/>
    <x v="10"/>
    <x v="0"/>
    <x v="0"/>
    <m/>
    <m/>
    <n v="0"/>
    <m/>
    <m/>
    <m/>
  </r>
  <r>
    <x v="396"/>
    <x v="5"/>
    <s v="페이스북/인스타그램"/>
    <x v="7"/>
    <x v="0"/>
    <x v="0"/>
    <m/>
    <m/>
    <n v="387151"/>
    <m/>
    <m/>
    <m/>
  </r>
  <r>
    <x v="396"/>
    <x v="5"/>
    <s v="페이스북/인스타그램"/>
    <x v="0"/>
    <x v="0"/>
    <x v="0"/>
    <m/>
    <m/>
    <n v="96380"/>
    <m/>
    <m/>
    <m/>
  </r>
  <r>
    <x v="396"/>
    <x v="5"/>
    <s v="페이스북/인스타그램"/>
    <x v="9"/>
    <x v="0"/>
    <x v="0"/>
    <m/>
    <m/>
    <n v="62269"/>
    <m/>
    <m/>
    <m/>
  </r>
  <r>
    <x v="396"/>
    <x v="5"/>
    <s v="페이스북/인스타그램"/>
    <x v="5"/>
    <x v="0"/>
    <x v="0"/>
    <m/>
    <m/>
    <n v="0"/>
    <m/>
    <m/>
    <m/>
  </r>
  <r>
    <x v="396"/>
    <x v="5"/>
    <s v="네이버 브랜드검색"/>
    <x v="0"/>
    <x v="0"/>
    <x v="0"/>
    <m/>
    <m/>
    <n v="50000"/>
    <m/>
    <m/>
    <m/>
  </r>
  <r>
    <x v="396"/>
    <x v="5"/>
    <s v="카카오광고"/>
    <x v="0"/>
    <x v="0"/>
    <x v="0"/>
    <m/>
    <m/>
    <n v="14310"/>
    <m/>
    <m/>
    <m/>
  </r>
  <r>
    <x v="396"/>
    <x v="5"/>
    <s v="유튜브 디스커버리"/>
    <x v="10"/>
    <x v="0"/>
    <x v="0"/>
    <m/>
    <m/>
    <n v="0"/>
    <m/>
    <m/>
    <m/>
  </r>
  <r>
    <x v="396"/>
    <x v="5"/>
    <s v="네이버 쇼핑검색"/>
    <x v="10"/>
    <x v="0"/>
    <x v="0"/>
    <m/>
    <m/>
    <n v="0"/>
    <m/>
    <m/>
    <m/>
  </r>
  <r>
    <x v="397"/>
    <x v="6"/>
    <s v="페이스북/인스타그램"/>
    <x v="7"/>
    <x v="0"/>
    <x v="0"/>
    <m/>
    <m/>
    <n v="624382"/>
    <m/>
    <m/>
    <m/>
  </r>
  <r>
    <x v="397"/>
    <x v="6"/>
    <s v="페이스북/인스타그램"/>
    <x v="0"/>
    <x v="0"/>
    <x v="0"/>
    <m/>
    <m/>
    <n v="157009"/>
    <m/>
    <m/>
    <m/>
  </r>
  <r>
    <x v="397"/>
    <x v="6"/>
    <s v="페이스북/인스타그램"/>
    <x v="9"/>
    <x v="0"/>
    <x v="0"/>
    <m/>
    <m/>
    <n v="92426"/>
    <m/>
    <m/>
    <m/>
  </r>
  <r>
    <x v="397"/>
    <x v="6"/>
    <s v="페이스북/인스타그램"/>
    <x v="5"/>
    <x v="0"/>
    <x v="0"/>
    <m/>
    <m/>
    <n v="203489"/>
    <m/>
    <m/>
    <m/>
  </r>
  <r>
    <x v="397"/>
    <x v="6"/>
    <s v="네이버 브랜드검색"/>
    <x v="0"/>
    <x v="0"/>
    <x v="0"/>
    <m/>
    <m/>
    <n v="50000"/>
    <m/>
    <m/>
    <m/>
  </r>
  <r>
    <x v="397"/>
    <x v="6"/>
    <s v="카카오광고"/>
    <x v="0"/>
    <x v="0"/>
    <x v="0"/>
    <m/>
    <m/>
    <n v="18610"/>
    <m/>
    <m/>
    <m/>
  </r>
  <r>
    <x v="397"/>
    <x v="6"/>
    <s v="유튜브 디스커버리"/>
    <x v="10"/>
    <x v="0"/>
    <x v="0"/>
    <m/>
    <m/>
    <n v="0"/>
    <m/>
    <m/>
    <m/>
  </r>
  <r>
    <x v="397"/>
    <x v="6"/>
    <s v="네이버 쇼핑검색"/>
    <x v="10"/>
    <x v="0"/>
    <x v="0"/>
    <m/>
    <m/>
    <n v="0"/>
    <m/>
    <m/>
    <m/>
  </r>
  <r>
    <x v="398"/>
    <x v="3"/>
    <s v="페이스북/인스타그램"/>
    <x v="7"/>
    <x v="0"/>
    <x v="0"/>
    <m/>
    <m/>
    <n v="863467"/>
    <m/>
    <m/>
    <m/>
  </r>
  <r>
    <x v="398"/>
    <x v="3"/>
    <s v="페이스북/인스타그램"/>
    <x v="8"/>
    <x v="0"/>
    <x v="0"/>
    <m/>
    <m/>
    <n v="347365"/>
    <m/>
    <m/>
    <m/>
  </r>
  <r>
    <x v="398"/>
    <x v="3"/>
    <s v="페이스북/인스타그램"/>
    <x v="0"/>
    <x v="0"/>
    <x v="0"/>
    <m/>
    <m/>
    <n v="383836"/>
    <m/>
    <m/>
    <m/>
  </r>
  <r>
    <x v="398"/>
    <x v="3"/>
    <s v="페이스북/인스타그램"/>
    <x v="9"/>
    <x v="0"/>
    <x v="0"/>
    <m/>
    <m/>
    <n v="0"/>
    <m/>
    <m/>
    <m/>
  </r>
  <r>
    <x v="398"/>
    <x v="3"/>
    <s v="페이스북/인스타그램"/>
    <x v="5"/>
    <x v="0"/>
    <x v="0"/>
    <m/>
    <m/>
    <n v="226072"/>
    <m/>
    <m/>
    <m/>
  </r>
  <r>
    <x v="398"/>
    <x v="3"/>
    <s v="네이버 브랜드검색"/>
    <x v="0"/>
    <x v="0"/>
    <x v="0"/>
    <m/>
    <m/>
    <n v="50000"/>
    <m/>
    <m/>
    <m/>
  </r>
  <r>
    <x v="398"/>
    <x v="3"/>
    <s v="카카오광고"/>
    <x v="0"/>
    <x v="0"/>
    <x v="0"/>
    <m/>
    <m/>
    <n v="18550"/>
    <m/>
    <m/>
    <m/>
  </r>
  <r>
    <x v="398"/>
    <x v="3"/>
    <s v="유튜브 디스커버리"/>
    <x v="0"/>
    <x v="0"/>
    <x v="0"/>
    <m/>
    <m/>
    <n v="107265"/>
    <m/>
    <m/>
    <m/>
  </r>
  <r>
    <x v="398"/>
    <x v="3"/>
    <s v="네이버 쇼핑검색"/>
    <x v="10"/>
    <x v="0"/>
    <x v="0"/>
    <m/>
    <m/>
    <n v="0"/>
    <m/>
    <m/>
    <m/>
  </r>
  <r>
    <x v="398"/>
    <x v="3"/>
    <s v="네이버 GFA"/>
    <x v="5"/>
    <x v="0"/>
    <x v="0"/>
    <m/>
    <m/>
    <n v="82663.63636363635"/>
    <m/>
    <m/>
    <m/>
  </r>
  <r>
    <x v="397"/>
    <x v="6"/>
    <s v="네이버 GFA"/>
    <x v="5"/>
    <x v="0"/>
    <x v="0"/>
    <m/>
    <m/>
    <n v="74653.63636363635"/>
    <m/>
    <m/>
    <m/>
  </r>
  <r>
    <x v="393"/>
    <x v="1"/>
    <s v="네이버 GFA"/>
    <x v="0"/>
    <x v="0"/>
    <x v="0"/>
    <m/>
    <m/>
    <n v="2310"/>
    <m/>
    <m/>
    <m/>
  </r>
  <r>
    <x v="393"/>
    <x v="1"/>
    <s v="네이버 GFA"/>
    <x v="0"/>
    <x v="0"/>
    <x v="0"/>
    <m/>
    <m/>
    <n v="33650"/>
    <m/>
    <m/>
    <m/>
  </r>
  <r>
    <x v="398"/>
    <x v="3"/>
    <s v="네이버 GFA"/>
    <x v="0"/>
    <x v="0"/>
    <x v="0"/>
    <m/>
    <m/>
    <n v="8962.727272727272"/>
    <m/>
    <m/>
    <m/>
  </r>
  <r>
    <x v="397"/>
    <x v="6"/>
    <s v="네이버 GFA"/>
    <x v="0"/>
    <x v="0"/>
    <x v="0"/>
    <m/>
    <m/>
    <n v="8751.818181818182"/>
    <m/>
    <m/>
    <m/>
  </r>
  <r>
    <x v="394"/>
    <x v="0"/>
    <s v="네이버 GFA"/>
    <x v="0"/>
    <x v="0"/>
    <x v="0"/>
    <m/>
    <m/>
    <n v="1101.818181818182"/>
    <m/>
    <m/>
    <m/>
  </r>
  <r>
    <x v="394"/>
    <x v="0"/>
    <s v="네이버 GFA"/>
    <x v="0"/>
    <x v="0"/>
    <x v="0"/>
    <m/>
    <m/>
    <n v="61509.99999999999"/>
    <m/>
    <m/>
    <m/>
  </r>
  <r>
    <x v="398"/>
    <x v="3"/>
    <s v="네이버 GFA"/>
    <x v="0"/>
    <x v="0"/>
    <x v="0"/>
    <m/>
    <m/>
    <n v="10920.90909090909"/>
    <m/>
    <m/>
    <m/>
  </r>
  <r>
    <x v="397"/>
    <x v="6"/>
    <s v="네이버 GFA"/>
    <x v="0"/>
    <x v="0"/>
    <x v="0"/>
    <m/>
    <m/>
    <n v="4210"/>
    <m/>
    <m/>
    <m/>
  </r>
  <r>
    <x v="395"/>
    <x v="2"/>
    <s v="네이버 GFA"/>
    <x v="5"/>
    <x v="0"/>
    <x v="0"/>
    <m/>
    <m/>
    <n v="16806.36363636364"/>
    <m/>
    <m/>
    <m/>
  </r>
  <r>
    <x v="395"/>
    <x v="2"/>
    <s v="네이버 GFA"/>
    <x v="0"/>
    <x v="0"/>
    <x v="0"/>
    <m/>
    <m/>
    <n v="8129.999999999999"/>
    <m/>
    <m/>
    <m/>
  </r>
  <r>
    <x v="395"/>
    <x v="2"/>
    <s v="네이버 GFA"/>
    <x v="0"/>
    <x v="0"/>
    <x v="0"/>
    <m/>
    <m/>
    <n v="600"/>
    <m/>
    <m/>
    <m/>
  </r>
  <r>
    <x v="395"/>
    <x v="2"/>
    <s v="네이버 GFA"/>
    <x v="0"/>
    <x v="0"/>
    <x v="0"/>
    <m/>
    <m/>
    <n v="62720.90909090909"/>
    <m/>
    <m/>
    <m/>
  </r>
  <r>
    <x v="398"/>
    <x v="3"/>
    <s v="네이버 GFA"/>
    <x v="0"/>
    <x v="0"/>
    <x v="0"/>
    <m/>
    <m/>
    <n v="94498.18181818181"/>
    <m/>
    <m/>
    <m/>
  </r>
  <r>
    <x v="397"/>
    <x v="6"/>
    <s v="네이버 GFA"/>
    <x v="0"/>
    <x v="0"/>
    <x v="0"/>
    <m/>
    <m/>
    <n v="70489.0909090909"/>
    <m/>
    <m/>
    <m/>
  </r>
  <r>
    <x v="396"/>
    <x v="5"/>
    <s v="네이버 GFA"/>
    <x v="5"/>
    <x v="0"/>
    <x v="0"/>
    <m/>
    <m/>
    <n v="16528.18181818182"/>
    <m/>
    <m/>
    <m/>
  </r>
  <r>
    <x v="396"/>
    <x v="5"/>
    <s v="네이버 GFA"/>
    <x v="0"/>
    <x v="0"/>
    <x v="0"/>
    <m/>
    <m/>
    <n v="8532.727272727272"/>
    <m/>
    <m/>
    <m/>
  </r>
  <r>
    <x v="396"/>
    <x v="5"/>
    <s v="네이버 GFA"/>
    <x v="0"/>
    <x v="0"/>
    <x v="0"/>
    <m/>
    <m/>
    <n v="0"/>
    <m/>
    <m/>
    <m/>
  </r>
  <r>
    <x v="396"/>
    <x v="5"/>
    <s v="네이버 GFA"/>
    <x v="0"/>
    <x v="0"/>
    <x v="0"/>
    <m/>
    <m/>
    <n v="62665.45454545454"/>
    <m/>
    <m/>
    <m/>
  </r>
  <r>
    <x v="399"/>
    <x v="4"/>
    <s v="페이스북/인스타그램"/>
    <x v="7"/>
    <x v="0"/>
    <x v="0"/>
    <m/>
    <m/>
    <n v="1089081"/>
    <m/>
    <m/>
    <m/>
  </r>
  <r>
    <x v="399"/>
    <x v="4"/>
    <s v="페이스북/인스타그램"/>
    <x v="8"/>
    <x v="0"/>
    <x v="0"/>
    <m/>
    <m/>
    <n v="378357"/>
    <m/>
    <m/>
    <m/>
  </r>
  <r>
    <x v="399"/>
    <x v="4"/>
    <s v="페이스북/인스타그램"/>
    <x v="0"/>
    <x v="0"/>
    <x v="0"/>
    <m/>
    <m/>
    <n v="356283"/>
    <m/>
    <m/>
    <m/>
  </r>
  <r>
    <x v="399"/>
    <x v="4"/>
    <s v="페이스북/인스타그램"/>
    <x v="5"/>
    <x v="0"/>
    <x v="0"/>
    <m/>
    <m/>
    <n v="236739"/>
    <m/>
    <m/>
    <m/>
  </r>
  <r>
    <x v="399"/>
    <x v="4"/>
    <s v="네이버 브랜드검색"/>
    <x v="0"/>
    <x v="0"/>
    <x v="0"/>
    <m/>
    <m/>
    <n v="50000"/>
    <m/>
    <m/>
    <m/>
  </r>
  <r>
    <x v="399"/>
    <x v="4"/>
    <s v="카카오광고"/>
    <x v="0"/>
    <x v="0"/>
    <x v="0"/>
    <m/>
    <m/>
    <n v="19240"/>
    <m/>
    <m/>
    <m/>
  </r>
  <r>
    <x v="399"/>
    <x v="4"/>
    <s v="유튜브 디스커버리"/>
    <x v="0"/>
    <x v="0"/>
    <x v="0"/>
    <m/>
    <m/>
    <n v="156857"/>
    <m/>
    <m/>
    <m/>
  </r>
  <r>
    <x v="399"/>
    <x v="4"/>
    <s v="네이버 쇼핑검색"/>
    <x v="10"/>
    <x v="0"/>
    <x v="0"/>
    <m/>
    <m/>
    <n v="0"/>
    <m/>
    <m/>
    <m/>
  </r>
  <r>
    <x v="399"/>
    <x v="4"/>
    <s v="네이버 GFA"/>
    <x v="0"/>
    <x v="0"/>
    <x v="0"/>
    <m/>
    <m/>
    <n v="107757.2727272727"/>
    <m/>
    <m/>
    <m/>
  </r>
  <r>
    <x v="399"/>
    <x v="4"/>
    <s v="네이버 GFA"/>
    <x v="5"/>
    <x v="0"/>
    <x v="0"/>
    <m/>
    <m/>
    <n v="34852.72727272727"/>
    <m/>
    <m/>
    <m/>
  </r>
  <r>
    <x v="400"/>
    <x v="1"/>
    <s v="카카오광고"/>
    <x v="0"/>
    <x v="0"/>
    <x v="0"/>
    <m/>
    <m/>
    <n v="13450"/>
    <m/>
    <m/>
    <m/>
  </r>
  <r>
    <x v="401"/>
    <x v="0"/>
    <s v="카카오광고"/>
    <x v="0"/>
    <x v="0"/>
    <x v="0"/>
    <m/>
    <m/>
    <n v="9790"/>
    <m/>
    <m/>
    <m/>
  </r>
  <r>
    <x v="402"/>
    <x v="2"/>
    <s v="카카오광고"/>
    <x v="0"/>
    <x v="0"/>
    <x v="0"/>
    <m/>
    <m/>
    <n v="15030"/>
    <m/>
    <m/>
    <m/>
  </r>
  <r>
    <x v="403"/>
    <x v="5"/>
    <s v="카카오광고"/>
    <x v="0"/>
    <x v="0"/>
    <x v="0"/>
    <m/>
    <m/>
    <n v="17730"/>
    <m/>
    <m/>
    <m/>
  </r>
  <r>
    <x v="404"/>
    <x v="6"/>
    <s v="카카오광고"/>
    <x v="0"/>
    <x v="0"/>
    <x v="0"/>
    <m/>
    <m/>
    <n v="15870"/>
    <m/>
    <m/>
    <m/>
  </r>
  <r>
    <x v="400"/>
    <x v="1"/>
    <s v="네이버 브랜드검색"/>
    <x v="0"/>
    <x v="0"/>
    <x v="0"/>
    <m/>
    <m/>
    <n v="50000"/>
    <m/>
    <m/>
    <m/>
  </r>
  <r>
    <x v="401"/>
    <x v="0"/>
    <s v="네이버 브랜드검색"/>
    <x v="0"/>
    <x v="0"/>
    <x v="0"/>
    <m/>
    <m/>
    <n v="50000"/>
    <m/>
    <m/>
    <m/>
  </r>
  <r>
    <x v="402"/>
    <x v="2"/>
    <s v="네이버 브랜드검색"/>
    <x v="0"/>
    <x v="0"/>
    <x v="0"/>
    <m/>
    <m/>
    <n v="50000"/>
    <m/>
    <m/>
    <m/>
  </r>
  <r>
    <x v="403"/>
    <x v="5"/>
    <s v="네이버 브랜드검색"/>
    <x v="0"/>
    <x v="0"/>
    <x v="0"/>
    <m/>
    <m/>
    <n v="50000"/>
    <m/>
    <m/>
    <m/>
  </r>
  <r>
    <x v="404"/>
    <x v="6"/>
    <s v="네이버 브랜드검색"/>
    <x v="0"/>
    <x v="0"/>
    <x v="0"/>
    <m/>
    <m/>
    <n v="50000"/>
    <m/>
    <m/>
    <m/>
  </r>
  <r>
    <x v="400"/>
    <x v="1"/>
    <s v="네이버 GFA"/>
    <x v="5"/>
    <x v="0"/>
    <x v="0"/>
    <m/>
    <m/>
    <n v="131950.9090909091"/>
    <m/>
    <m/>
    <m/>
  </r>
  <r>
    <x v="401"/>
    <x v="0"/>
    <s v="네이버 GFA"/>
    <x v="5"/>
    <x v="0"/>
    <x v="0"/>
    <m/>
    <m/>
    <n v="131804.5454545454"/>
    <m/>
    <m/>
    <m/>
  </r>
  <r>
    <x v="402"/>
    <x v="2"/>
    <s v="네이버 GFA"/>
    <x v="5"/>
    <x v="0"/>
    <x v="0"/>
    <m/>
    <m/>
    <n v="120883.6363636364"/>
    <m/>
    <m/>
    <m/>
  </r>
  <r>
    <x v="403"/>
    <x v="5"/>
    <s v="네이버 GFA"/>
    <x v="5"/>
    <x v="0"/>
    <x v="0"/>
    <m/>
    <m/>
    <n v="85180.90909090909"/>
    <m/>
    <m/>
    <m/>
  </r>
  <r>
    <x v="404"/>
    <x v="6"/>
    <s v="네이버 GFA"/>
    <x v="5"/>
    <x v="0"/>
    <x v="0"/>
    <m/>
    <m/>
    <n v="87226.36363636363"/>
    <m/>
    <m/>
    <m/>
  </r>
  <r>
    <x v="400"/>
    <x v="1"/>
    <s v="네이버 GFA"/>
    <x v="0"/>
    <x v="0"/>
    <x v="0"/>
    <m/>
    <m/>
    <n v="76726.36363636363"/>
    <m/>
    <m/>
    <m/>
  </r>
  <r>
    <x v="401"/>
    <x v="0"/>
    <s v="네이버 GFA"/>
    <x v="0"/>
    <x v="0"/>
    <x v="0"/>
    <m/>
    <m/>
    <n v="78690"/>
    <m/>
    <m/>
    <m/>
  </r>
  <r>
    <x v="402"/>
    <x v="2"/>
    <s v="네이버 GFA"/>
    <x v="0"/>
    <x v="0"/>
    <x v="0"/>
    <m/>
    <m/>
    <n v="70262.72727272728"/>
    <m/>
    <m/>
    <m/>
  </r>
  <r>
    <x v="403"/>
    <x v="5"/>
    <s v="네이버 GFA"/>
    <x v="0"/>
    <x v="0"/>
    <x v="0"/>
    <m/>
    <m/>
    <n v="71009.0909090909"/>
    <m/>
    <m/>
    <m/>
  </r>
  <r>
    <x v="404"/>
    <x v="6"/>
    <s v="네이버 GFA"/>
    <x v="0"/>
    <x v="0"/>
    <x v="0"/>
    <m/>
    <m/>
    <n v="83579.0909090909"/>
    <m/>
    <m/>
    <m/>
  </r>
  <r>
    <x v="400"/>
    <x v="1"/>
    <s v="유튜브 디스커버리"/>
    <x v="0"/>
    <x v="0"/>
    <x v="0"/>
    <m/>
    <m/>
    <n v="844935"/>
    <m/>
    <m/>
    <m/>
  </r>
  <r>
    <x v="401"/>
    <x v="0"/>
    <s v="유튜브 디스커버리"/>
    <x v="0"/>
    <x v="0"/>
    <x v="0"/>
    <m/>
    <m/>
    <n v="615480"/>
    <m/>
    <m/>
    <m/>
  </r>
  <r>
    <x v="402"/>
    <x v="2"/>
    <s v="유튜브 디스커버리"/>
    <x v="0"/>
    <x v="0"/>
    <x v="0"/>
    <m/>
    <m/>
    <m/>
    <m/>
    <m/>
    <m/>
  </r>
  <r>
    <x v="403"/>
    <x v="5"/>
    <s v="유튜브 디스커버리"/>
    <x v="0"/>
    <x v="0"/>
    <x v="0"/>
    <m/>
    <m/>
    <m/>
    <m/>
    <m/>
    <m/>
  </r>
  <r>
    <x v="404"/>
    <x v="6"/>
    <s v="유튜브 디스커버리"/>
    <x v="0"/>
    <x v="0"/>
    <x v="0"/>
    <m/>
    <m/>
    <m/>
    <m/>
    <m/>
    <m/>
  </r>
  <r>
    <x v="400"/>
    <x v="1"/>
    <s v="페이스북/인스타그램"/>
    <x v="5"/>
    <x v="0"/>
    <x v="0"/>
    <m/>
    <m/>
    <n v="162027"/>
    <m/>
    <m/>
    <m/>
  </r>
  <r>
    <x v="400"/>
    <x v="1"/>
    <s v="페이스북/인스타그램"/>
    <x v="0"/>
    <x v="0"/>
    <x v="0"/>
    <m/>
    <m/>
    <n v="341032"/>
    <m/>
    <m/>
    <m/>
  </r>
  <r>
    <x v="400"/>
    <x v="1"/>
    <s v="페이스북/인스타그램"/>
    <x v="8"/>
    <x v="0"/>
    <x v="0"/>
    <m/>
    <m/>
    <n v="410463"/>
    <m/>
    <m/>
    <m/>
  </r>
  <r>
    <x v="400"/>
    <x v="1"/>
    <s v="페이스북/인스타그램"/>
    <x v="7"/>
    <x v="0"/>
    <x v="0"/>
    <m/>
    <m/>
    <n v="1307372"/>
    <m/>
    <m/>
    <m/>
  </r>
  <r>
    <x v="401"/>
    <x v="0"/>
    <s v="페이스북/인스타그램"/>
    <x v="5"/>
    <x v="0"/>
    <x v="0"/>
    <m/>
    <m/>
    <n v="77964"/>
    <m/>
    <m/>
    <m/>
  </r>
  <r>
    <x v="401"/>
    <x v="0"/>
    <s v="페이스북/인스타그램"/>
    <x v="0"/>
    <x v="0"/>
    <x v="0"/>
    <m/>
    <m/>
    <n v="435763"/>
    <m/>
    <m/>
    <m/>
  </r>
  <r>
    <x v="401"/>
    <x v="0"/>
    <s v="페이스북/인스타그램"/>
    <x v="8"/>
    <x v="0"/>
    <x v="0"/>
    <m/>
    <m/>
    <n v="282188"/>
    <m/>
    <m/>
    <m/>
  </r>
  <r>
    <x v="401"/>
    <x v="0"/>
    <s v="페이스북/인스타그램"/>
    <x v="7"/>
    <x v="0"/>
    <x v="0"/>
    <m/>
    <m/>
    <n v="934532"/>
    <m/>
    <m/>
    <m/>
  </r>
  <r>
    <x v="402"/>
    <x v="2"/>
    <s v="페이스북/인스타그램"/>
    <x v="5"/>
    <x v="0"/>
    <x v="0"/>
    <m/>
    <m/>
    <n v="95007"/>
    <m/>
    <m/>
    <m/>
  </r>
  <r>
    <x v="402"/>
    <x v="2"/>
    <s v="페이스북/인스타그램"/>
    <x v="0"/>
    <x v="0"/>
    <x v="0"/>
    <m/>
    <m/>
    <n v="491693"/>
    <m/>
    <m/>
    <m/>
  </r>
  <r>
    <x v="402"/>
    <x v="2"/>
    <s v="페이스북/인스타그램"/>
    <x v="8"/>
    <x v="0"/>
    <x v="0"/>
    <m/>
    <m/>
    <n v="161950"/>
    <m/>
    <m/>
    <m/>
  </r>
  <r>
    <x v="402"/>
    <x v="2"/>
    <s v="페이스북/인스타그램"/>
    <x v="7"/>
    <x v="0"/>
    <x v="0"/>
    <m/>
    <m/>
    <n v="1120441"/>
    <m/>
    <m/>
    <m/>
  </r>
  <r>
    <x v="403"/>
    <x v="5"/>
    <s v="페이스북/인스타그램"/>
    <x v="5"/>
    <x v="0"/>
    <x v="0"/>
    <m/>
    <m/>
    <n v="101089"/>
    <m/>
    <m/>
    <m/>
  </r>
  <r>
    <x v="403"/>
    <x v="5"/>
    <s v="페이스북/인스타그램"/>
    <x v="0"/>
    <x v="0"/>
    <x v="0"/>
    <m/>
    <m/>
    <n v="289980"/>
    <m/>
    <m/>
    <m/>
  </r>
  <r>
    <x v="403"/>
    <x v="5"/>
    <s v="페이스북/인스타그램"/>
    <x v="8"/>
    <x v="0"/>
    <x v="0"/>
    <m/>
    <m/>
    <n v="119195"/>
    <m/>
    <m/>
    <m/>
  </r>
  <r>
    <x v="403"/>
    <x v="5"/>
    <s v="페이스북/인스타그램"/>
    <x v="7"/>
    <x v="0"/>
    <x v="0"/>
    <m/>
    <m/>
    <n v="809431"/>
    <m/>
    <m/>
    <m/>
  </r>
  <r>
    <x v="404"/>
    <x v="6"/>
    <s v="페이스북/인스타그램"/>
    <x v="5"/>
    <x v="0"/>
    <x v="0"/>
    <m/>
    <m/>
    <n v="54178"/>
    <m/>
    <m/>
    <m/>
  </r>
  <r>
    <x v="404"/>
    <x v="6"/>
    <s v="페이스북/인스타그램"/>
    <x v="0"/>
    <x v="0"/>
    <x v="0"/>
    <m/>
    <m/>
    <n v="258075"/>
    <m/>
    <m/>
    <m/>
  </r>
  <r>
    <x v="404"/>
    <x v="6"/>
    <s v="페이스북/인스타그램"/>
    <x v="8"/>
    <x v="0"/>
    <x v="0"/>
    <m/>
    <m/>
    <n v="131322"/>
    <m/>
    <m/>
    <m/>
  </r>
  <r>
    <x v="404"/>
    <x v="6"/>
    <s v="페이스북/인스타그램"/>
    <x v="7"/>
    <x v="0"/>
    <x v="0"/>
    <m/>
    <m/>
    <n v="745960"/>
    <m/>
    <m/>
    <m/>
  </r>
  <r>
    <x v="400"/>
    <x v="1"/>
    <s v="유튜브 디스커버리"/>
    <x v="0"/>
    <x v="0"/>
    <x v="0"/>
    <m/>
    <m/>
    <n v="844935"/>
    <m/>
    <m/>
    <m/>
  </r>
  <r>
    <x v="401"/>
    <x v="0"/>
    <s v="유튜브 디스커버리"/>
    <x v="0"/>
    <x v="0"/>
    <x v="0"/>
    <m/>
    <m/>
    <n v="615480"/>
    <m/>
    <m/>
    <m/>
  </r>
  <r>
    <x v="402"/>
    <x v="2"/>
    <s v="유튜브 디스커버리"/>
    <x v="0"/>
    <x v="0"/>
    <x v="0"/>
    <m/>
    <m/>
    <m/>
    <m/>
    <m/>
    <m/>
  </r>
  <r>
    <x v="403"/>
    <x v="5"/>
    <s v="유튜브 디스커버리"/>
    <x v="0"/>
    <x v="0"/>
    <x v="0"/>
    <m/>
    <m/>
    <m/>
    <m/>
    <m/>
    <m/>
  </r>
  <r>
    <x v="404"/>
    <x v="6"/>
    <s v="유튜브 디스커버리"/>
    <x v="0"/>
    <x v="0"/>
    <x v="0"/>
    <m/>
    <m/>
    <m/>
    <m/>
    <m/>
    <m/>
  </r>
  <r>
    <x v="405"/>
    <x v="3"/>
    <s v="페이스북/인스타그램"/>
    <x v="7"/>
    <x v="0"/>
    <x v="0"/>
    <m/>
    <m/>
    <n v="551449"/>
    <m/>
    <m/>
    <m/>
  </r>
  <r>
    <x v="405"/>
    <x v="3"/>
    <s v="페이스북/인스타그램"/>
    <x v="8"/>
    <x v="0"/>
    <x v="0"/>
    <m/>
    <m/>
    <n v="100745"/>
    <m/>
    <m/>
    <m/>
  </r>
  <r>
    <x v="405"/>
    <x v="3"/>
    <s v="페이스북/인스타그램"/>
    <x v="0"/>
    <x v="0"/>
    <x v="0"/>
    <m/>
    <m/>
    <n v="233475"/>
    <m/>
    <m/>
    <m/>
  </r>
  <r>
    <x v="405"/>
    <x v="3"/>
    <s v="페이스북/인스타그램"/>
    <x v="5"/>
    <x v="0"/>
    <x v="0"/>
    <m/>
    <m/>
    <n v="48375"/>
    <m/>
    <m/>
    <m/>
  </r>
  <r>
    <x v="405"/>
    <x v="3"/>
    <s v="네이버 브랜드검색"/>
    <x v="0"/>
    <x v="0"/>
    <x v="0"/>
    <m/>
    <m/>
    <n v="50000"/>
    <m/>
    <m/>
    <m/>
  </r>
  <r>
    <x v="405"/>
    <x v="3"/>
    <s v="카카오광고"/>
    <x v="0"/>
    <x v="0"/>
    <x v="0"/>
    <m/>
    <m/>
    <n v="14080"/>
    <m/>
    <m/>
    <m/>
  </r>
  <r>
    <x v="405"/>
    <x v="3"/>
    <s v="유튜브 디스커버리"/>
    <x v="0"/>
    <x v="0"/>
    <x v="0"/>
    <m/>
    <m/>
    <n v="712963"/>
    <m/>
    <m/>
    <m/>
  </r>
  <r>
    <x v="405"/>
    <x v="3"/>
    <s v="네이버 쇼핑검색"/>
    <x v="10"/>
    <x v="0"/>
    <x v="0"/>
    <m/>
    <m/>
    <n v="0"/>
    <m/>
    <m/>
    <m/>
  </r>
  <r>
    <x v="405"/>
    <x v="3"/>
    <s v="네이버 GFA"/>
    <x v="0"/>
    <x v="0"/>
    <x v="0"/>
    <m/>
    <m/>
    <n v="99279.0909090909"/>
    <m/>
    <m/>
    <m/>
  </r>
  <r>
    <x v="405"/>
    <x v="3"/>
    <s v="네이버 GFA"/>
    <x v="5"/>
    <x v="0"/>
    <x v="0"/>
    <m/>
    <m/>
    <n v="87280.90909090909"/>
    <m/>
    <m/>
    <m/>
  </r>
  <r>
    <x v="406"/>
    <x v="4"/>
    <s v="페이스북/인스타그램"/>
    <x v="7"/>
    <x v="0"/>
    <x v="0"/>
    <m/>
    <m/>
    <n v="540431"/>
    <m/>
    <m/>
    <m/>
  </r>
  <r>
    <x v="406"/>
    <x v="4"/>
    <s v="페이스북/인스타그램"/>
    <x v="8"/>
    <x v="0"/>
    <x v="0"/>
    <m/>
    <m/>
    <n v="77308"/>
    <m/>
    <m/>
    <m/>
  </r>
  <r>
    <x v="406"/>
    <x v="4"/>
    <s v="페이스북/인스타그램"/>
    <x v="0"/>
    <x v="0"/>
    <x v="0"/>
    <m/>
    <m/>
    <n v="269244"/>
    <m/>
    <m/>
    <m/>
  </r>
  <r>
    <x v="406"/>
    <x v="4"/>
    <s v="페이스북/인스타그램"/>
    <x v="5"/>
    <x v="0"/>
    <x v="0"/>
    <m/>
    <m/>
    <n v="80153"/>
    <m/>
    <m/>
    <m/>
  </r>
  <r>
    <x v="406"/>
    <x v="4"/>
    <s v="네이버 브랜드검색"/>
    <x v="0"/>
    <x v="0"/>
    <x v="0"/>
    <m/>
    <m/>
    <n v="50000"/>
    <m/>
    <m/>
    <m/>
  </r>
  <r>
    <x v="406"/>
    <x v="4"/>
    <s v="카카오광고"/>
    <x v="0"/>
    <x v="0"/>
    <x v="0"/>
    <m/>
    <m/>
    <n v="7109.999999999999"/>
    <m/>
    <m/>
    <m/>
  </r>
  <r>
    <x v="406"/>
    <x v="4"/>
    <s v="유튜브 디스커버리"/>
    <x v="0"/>
    <x v="0"/>
    <x v="0"/>
    <m/>
    <m/>
    <n v="744022"/>
    <m/>
    <m/>
    <m/>
  </r>
  <r>
    <x v="406"/>
    <x v="4"/>
    <s v="네이버 쇼핑검색"/>
    <x v="10"/>
    <x v="0"/>
    <x v="0"/>
    <m/>
    <m/>
    <n v="0"/>
    <m/>
    <m/>
    <m/>
  </r>
  <r>
    <x v="406"/>
    <x v="4"/>
    <s v="네이버 GFA"/>
    <x v="0"/>
    <x v="0"/>
    <x v="0"/>
    <m/>
    <m/>
    <n v="97432.72727272726"/>
    <m/>
    <m/>
    <m/>
  </r>
  <r>
    <x v="406"/>
    <x v="4"/>
    <s v="네이버 GFA"/>
    <x v="7"/>
    <x v="0"/>
    <x v="0"/>
    <m/>
    <m/>
    <n v="41498.18181818182"/>
    <m/>
    <m/>
    <m/>
  </r>
  <r>
    <x v="406"/>
    <x v="4"/>
    <s v="네이버 GFA"/>
    <x v="5"/>
    <x v="0"/>
    <x v="0"/>
    <m/>
    <m/>
    <n v="48751.81818181818"/>
    <m/>
    <m/>
    <m/>
  </r>
  <r>
    <x v="407"/>
    <x v="1"/>
    <s v="페이스북/인스타그램"/>
    <x v="7"/>
    <x v="0"/>
    <x v="0"/>
    <m/>
    <m/>
    <n v="508988"/>
    <m/>
    <m/>
    <m/>
  </r>
  <r>
    <x v="407"/>
    <x v="1"/>
    <s v="페이스북/인스타그램"/>
    <x v="8"/>
    <x v="0"/>
    <x v="0"/>
    <m/>
    <m/>
    <n v="33869"/>
    <m/>
    <m/>
    <m/>
  </r>
  <r>
    <x v="407"/>
    <x v="1"/>
    <s v="페이스북/인스타그램"/>
    <x v="0"/>
    <x v="0"/>
    <x v="0"/>
    <m/>
    <m/>
    <n v="267708"/>
    <m/>
    <m/>
    <m/>
  </r>
  <r>
    <x v="407"/>
    <x v="1"/>
    <s v="페이스북/인스타그램"/>
    <x v="5"/>
    <x v="0"/>
    <x v="0"/>
    <m/>
    <m/>
    <n v="79558"/>
    <m/>
    <m/>
    <m/>
  </r>
  <r>
    <x v="407"/>
    <x v="1"/>
    <s v="네이버 브랜드검색"/>
    <x v="0"/>
    <x v="0"/>
    <x v="0"/>
    <m/>
    <m/>
    <n v="50000"/>
    <m/>
    <m/>
    <m/>
  </r>
  <r>
    <x v="407"/>
    <x v="1"/>
    <s v="카카오광고"/>
    <x v="0"/>
    <x v="0"/>
    <x v="0"/>
    <m/>
    <m/>
    <n v="5759.999999999999"/>
    <m/>
    <m/>
    <m/>
  </r>
  <r>
    <x v="407"/>
    <x v="1"/>
    <s v="유튜브 디스커버리"/>
    <x v="0"/>
    <x v="0"/>
    <x v="0"/>
    <m/>
    <m/>
    <n v="612180"/>
    <m/>
    <m/>
    <m/>
  </r>
  <r>
    <x v="407"/>
    <x v="1"/>
    <s v="네이버 쇼핑검색"/>
    <x v="10"/>
    <x v="0"/>
    <x v="0"/>
    <m/>
    <m/>
    <n v="0"/>
    <m/>
    <m/>
    <m/>
  </r>
  <r>
    <x v="407"/>
    <x v="1"/>
    <s v="네이버 GFA"/>
    <x v="5"/>
    <x v="0"/>
    <x v="0"/>
    <m/>
    <m/>
    <n v="18160.90909090909"/>
    <m/>
    <m/>
    <m/>
  </r>
  <r>
    <x v="407"/>
    <x v="1"/>
    <s v="네이버 GFA"/>
    <x v="0"/>
    <x v="0"/>
    <x v="0"/>
    <m/>
    <m/>
    <n v="33053.63636363636"/>
    <m/>
    <m/>
    <m/>
  </r>
  <r>
    <x v="407"/>
    <x v="1"/>
    <s v="네이버 GFA"/>
    <x v="7"/>
    <x v="0"/>
    <x v="0"/>
    <m/>
    <m/>
    <n v="101838.1818181818"/>
    <m/>
    <m/>
    <m/>
  </r>
  <r>
    <x v="408"/>
    <x v="0"/>
    <s v="페이스북/인스타그램"/>
    <x v="7"/>
    <x v="0"/>
    <x v="0"/>
    <m/>
    <m/>
    <n v="675423"/>
    <m/>
    <m/>
    <m/>
  </r>
  <r>
    <x v="408"/>
    <x v="0"/>
    <s v="페이스북/인스타그램"/>
    <x v="8"/>
    <x v="0"/>
    <x v="0"/>
    <m/>
    <m/>
    <n v="0"/>
    <m/>
    <m/>
    <m/>
  </r>
  <r>
    <x v="408"/>
    <x v="0"/>
    <s v="페이스북/인스타그램"/>
    <x v="0"/>
    <x v="0"/>
    <x v="0"/>
    <m/>
    <m/>
    <n v="243229"/>
    <m/>
    <m/>
    <m/>
  </r>
  <r>
    <x v="408"/>
    <x v="0"/>
    <s v="페이스북/인스타그램"/>
    <x v="5"/>
    <x v="0"/>
    <x v="0"/>
    <m/>
    <m/>
    <n v="76369"/>
    <m/>
    <m/>
    <m/>
  </r>
  <r>
    <x v="408"/>
    <x v="0"/>
    <s v="네이버 브랜드검색"/>
    <x v="0"/>
    <x v="0"/>
    <x v="0"/>
    <m/>
    <m/>
    <n v="50000"/>
    <m/>
    <m/>
    <m/>
  </r>
  <r>
    <x v="408"/>
    <x v="0"/>
    <s v="카카오광고"/>
    <x v="0"/>
    <x v="0"/>
    <x v="0"/>
    <m/>
    <m/>
    <n v="3830"/>
    <m/>
    <m/>
    <m/>
  </r>
  <r>
    <x v="408"/>
    <x v="0"/>
    <s v="유튜브 디스커버리"/>
    <x v="0"/>
    <x v="0"/>
    <x v="0"/>
    <m/>
    <m/>
    <n v="638052"/>
    <m/>
    <m/>
    <m/>
  </r>
  <r>
    <x v="408"/>
    <x v="0"/>
    <s v="네이버 쇼핑검색"/>
    <x v="10"/>
    <x v="0"/>
    <x v="0"/>
    <m/>
    <m/>
    <n v="0"/>
    <m/>
    <m/>
    <m/>
  </r>
  <r>
    <x v="408"/>
    <x v="0"/>
    <s v="네이버 GFA"/>
    <x v="5"/>
    <x v="0"/>
    <x v="0"/>
    <m/>
    <m/>
    <n v="18160.90909090909"/>
    <m/>
    <m/>
    <m/>
  </r>
  <r>
    <x v="408"/>
    <x v="0"/>
    <s v="네이버 GFA"/>
    <x v="0"/>
    <x v="0"/>
    <x v="0"/>
    <m/>
    <m/>
    <n v="134402"/>
    <m/>
    <m/>
    <m/>
  </r>
  <r>
    <x v="408"/>
    <x v="0"/>
    <s v="네이버 GFA"/>
    <x v="7"/>
    <x v="0"/>
    <x v="0"/>
    <m/>
    <m/>
    <n v="110842"/>
    <m/>
    <m/>
    <m/>
  </r>
  <r>
    <x v="409"/>
    <x v="2"/>
    <s v="페이스북/인스타그램"/>
    <x v="5"/>
    <x v="0"/>
    <x v="0"/>
    <m/>
    <m/>
    <n v="56130.8"/>
    <m/>
    <m/>
    <m/>
  </r>
  <r>
    <x v="410"/>
    <x v="5"/>
    <s v="페이스북/인스타그램"/>
    <x v="5"/>
    <x v="0"/>
    <x v="0"/>
    <m/>
    <m/>
    <n v="0"/>
    <m/>
    <m/>
    <m/>
  </r>
  <r>
    <x v="411"/>
    <x v="6"/>
    <s v="페이스북/인스타그램"/>
    <x v="5"/>
    <x v="0"/>
    <x v="0"/>
    <m/>
    <m/>
    <n v="0"/>
    <m/>
    <m/>
    <m/>
  </r>
  <r>
    <x v="409"/>
    <x v="2"/>
    <s v="페이스북/인스타그램"/>
    <x v="0"/>
    <x v="0"/>
    <x v="0"/>
    <m/>
    <m/>
    <n v="252253.1"/>
    <m/>
    <m/>
    <m/>
  </r>
  <r>
    <x v="410"/>
    <x v="5"/>
    <s v="페이스북/인스타그램"/>
    <x v="0"/>
    <x v="0"/>
    <x v="0"/>
    <m/>
    <m/>
    <n v="190950.1"/>
    <m/>
    <m/>
    <m/>
  </r>
  <r>
    <x v="411"/>
    <x v="6"/>
    <s v="페이스북/인스타그램"/>
    <x v="0"/>
    <x v="0"/>
    <x v="0"/>
    <m/>
    <m/>
    <n v="342908.5"/>
    <m/>
    <m/>
    <m/>
  </r>
  <r>
    <x v="409"/>
    <x v="2"/>
    <s v="페이스북/인스타그램"/>
    <x v="7"/>
    <x v="0"/>
    <x v="0"/>
    <m/>
    <m/>
    <n v="858453.2000000001"/>
    <m/>
    <m/>
    <m/>
  </r>
  <r>
    <x v="410"/>
    <x v="5"/>
    <s v="페이스북/인스타그램"/>
    <x v="7"/>
    <x v="0"/>
    <x v="0"/>
    <m/>
    <m/>
    <n v="642998.4"/>
    <m/>
    <m/>
    <m/>
  </r>
  <r>
    <x v="411"/>
    <x v="6"/>
    <s v="페이스북/인스타그램"/>
    <x v="7"/>
    <x v="0"/>
    <x v="0"/>
    <m/>
    <m/>
    <n v="842033.5"/>
    <m/>
    <m/>
    <m/>
  </r>
  <r>
    <x v="409"/>
    <x v="2"/>
    <s v="네이버 브랜드검색"/>
    <x v="0"/>
    <x v="0"/>
    <x v="0"/>
    <m/>
    <m/>
    <n v="50000"/>
    <m/>
    <m/>
    <m/>
  </r>
  <r>
    <x v="410"/>
    <x v="5"/>
    <s v="네이버 브랜드검색"/>
    <x v="0"/>
    <x v="0"/>
    <x v="0"/>
    <m/>
    <m/>
    <n v="50000"/>
    <m/>
    <m/>
    <m/>
  </r>
  <r>
    <x v="411"/>
    <x v="6"/>
    <s v="네이버 브랜드검색"/>
    <x v="0"/>
    <x v="0"/>
    <x v="0"/>
    <m/>
    <m/>
    <n v="50000"/>
    <m/>
    <m/>
    <m/>
  </r>
  <r>
    <x v="409"/>
    <x v="2"/>
    <s v="카카오광고"/>
    <x v="0"/>
    <x v="0"/>
    <x v="0"/>
    <m/>
    <m/>
    <n v="2948"/>
    <m/>
    <m/>
    <m/>
  </r>
  <r>
    <x v="410"/>
    <x v="5"/>
    <s v="카카오광고"/>
    <x v="0"/>
    <x v="0"/>
    <x v="0"/>
    <m/>
    <m/>
    <n v="5060"/>
    <m/>
    <m/>
    <m/>
  </r>
  <r>
    <x v="411"/>
    <x v="6"/>
    <s v="카카오광고"/>
    <x v="0"/>
    <x v="0"/>
    <x v="0"/>
    <m/>
    <m/>
    <n v="10494"/>
    <m/>
    <m/>
    <m/>
  </r>
  <r>
    <x v="409"/>
    <x v="2"/>
    <s v="유튜브 디스커버리"/>
    <x v="0"/>
    <x v="0"/>
    <x v="0"/>
    <m/>
    <m/>
    <n v="7661.500000000001"/>
    <m/>
    <m/>
    <m/>
  </r>
  <r>
    <x v="410"/>
    <x v="5"/>
    <s v="유튜브 디스커버리"/>
    <x v="0"/>
    <x v="0"/>
    <x v="0"/>
    <m/>
    <m/>
    <n v="0"/>
    <m/>
    <m/>
    <m/>
  </r>
  <r>
    <x v="411"/>
    <x v="6"/>
    <s v="유튜브 디스커버리"/>
    <x v="0"/>
    <x v="0"/>
    <x v="0"/>
    <m/>
    <m/>
    <n v="1418685.4"/>
    <m/>
    <m/>
    <m/>
  </r>
  <r>
    <x v="409"/>
    <x v="2"/>
    <s v="네이버 쇼핑검색"/>
    <x v="10"/>
    <x v="0"/>
    <x v="0"/>
    <m/>
    <m/>
    <n v="700"/>
    <m/>
    <m/>
    <m/>
  </r>
  <r>
    <x v="410"/>
    <x v="5"/>
    <s v="네이버 쇼핑검색"/>
    <x v="10"/>
    <x v="0"/>
    <x v="0"/>
    <m/>
    <m/>
    <n v="1450"/>
    <m/>
    <m/>
    <m/>
  </r>
  <r>
    <x v="411"/>
    <x v="6"/>
    <s v="네이버 쇼핑검색"/>
    <x v="10"/>
    <x v="0"/>
    <x v="0"/>
    <m/>
    <m/>
    <n v="749.9999999999999"/>
    <m/>
    <m/>
    <m/>
  </r>
  <r>
    <x v="409"/>
    <x v="2"/>
    <s v="네이버 GFA"/>
    <x v="0"/>
    <x v="0"/>
    <x v="0"/>
    <m/>
    <m/>
    <n v="186729"/>
    <m/>
    <m/>
    <m/>
  </r>
  <r>
    <x v="410"/>
    <x v="5"/>
    <s v="네이버 GFA"/>
    <x v="0"/>
    <x v="0"/>
    <x v="0"/>
    <m/>
    <m/>
    <n v="185288"/>
    <m/>
    <m/>
    <m/>
  </r>
  <r>
    <x v="411"/>
    <x v="6"/>
    <s v="네이버 GFA"/>
    <x v="0"/>
    <x v="0"/>
    <x v="0"/>
    <m/>
    <m/>
    <n v="207935"/>
    <m/>
    <m/>
    <m/>
  </r>
  <r>
    <x v="409"/>
    <x v="2"/>
    <s v="네이버 GFA"/>
    <x v="7"/>
    <x v="0"/>
    <x v="0"/>
    <m/>
    <m/>
    <n v="105211"/>
    <m/>
    <m/>
    <m/>
  </r>
  <r>
    <x v="410"/>
    <x v="5"/>
    <s v="네이버 GFA"/>
    <x v="7"/>
    <x v="0"/>
    <x v="0"/>
    <m/>
    <m/>
    <n v="102960"/>
    <m/>
    <m/>
    <m/>
  </r>
  <r>
    <x v="411"/>
    <x v="6"/>
    <s v="네이버 GFA"/>
    <x v="7"/>
    <x v="0"/>
    <x v="0"/>
    <m/>
    <m/>
    <n v="104000"/>
    <m/>
    <m/>
    <m/>
  </r>
  <r>
    <x v="412"/>
    <x v="3"/>
    <s v="페이스북/인스타그램"/>
    <x v="7"/>
    <x v="0"/>
    <x v="0"/>
    <m/>
    <m/>
    <n v="1095342"/>
    <m/>
    <m/>
    <m/>
  </r>
  <r>
    <x v="412"/>
    <x v="3"/>
    <s v="페이스북/인스타그램"/>
    <x v="0"/>
    <x v="0"/>
    <x v="0"/>
    <m/>
    <m/>
    <n v="542992"/>
    <m/>
    <m/>
    <m/>
  </r>
  <r>
    <x v="412"/>
    <x v="3"/>
    <s v="네이버 브랜드검색"/>
    <x v="0"/>
    <x v="0"/>
    <x v="0"/>
    <m/>
    <m/>
    <n v="50000"/>
    <m/>
    <m/>
    <m/>
  </r>
  <r>
    <x v="412"/>
    <x v="3"/>
    <s v="카카오광고"/>
    <x v="0"/>
    <x v="0"/>
    <x v="0"/>
    <m/>
    <m/>
    <n v="9760"/>
    <m/>
    <m/>
    <m/>
  </r>
  <r>
    <x v="412"/>
    <x v="3"/>
    <s v="카카오톡 메시지"/>
    <x v="11"/>
    <x v="0"/>
    <x v="0"/>
    <m/>
    <m/>
    <n v="419654.9999999999"/>
    <m/>
    <m/>
    <m/>
  </r>
  <r>
    <x v="412"/>
    <x v="3"/>
    <s v="유튜브 디스커버리"/>
    <x v="0"/>
    <x v="0"/>
    <x v="0"/>
    <m/>
    <m/>
    <n v="638052"/>
    <m/>
    <m/>
    <m/>
  </r>
  <r>
    <x v="412"/>
    <x v="3"/>
    <s v="네이버 쇼핑검색"/>
    <x v="10"/>
    <x v="0"/>
    <x v="0"/>
    <m/>
    <m/>
    <n v="1600"/>
    <m/>
    <m/>
    <m/>
  </r>
  <r>
    <x v="412"/>
    <x v="3"/>
    <s v="네이버 GFA"/>
    <x v="0"/>
    <x v="0"/>
    <x v="0"/>
    <m/>
    <m/>
    <n v="105332.7272727273"/>
    <m/>
    <m/>
    <m/>
  </r>
  <r>
    <x v="412"/>
    <x v="3"/>
    <s v="네이버 GFA"/>
    <x v="7"/>
    <x v="0"/>
    <x v="0"/>
    <m/>
    <m/>
    <n v="83241.81818181818"/>
    <m/>
    <m/>
    <m/>
  </r>
  <r>
    <x v="413"/>
    <x v="4"/>
    <s v="페이스북/인스타그램"/>
    <x v="7"/>
    <x v="0"/>
    <x v="0"/>
    <m/>
    <m/>
    <n v="1517096"/>
    <m/>
    <m/>
    <m/>
  </r>
  <r>
    <x v="413"/>
    <x v="4"/>
    <s v="페이스북/인스타그램"/>
    <x v="0"/>
    <x v="0"/>
    <x v="0"/>
    <m/>
    <m/>
    <n v="709070"/>
    <m/>
    <m/>
    <m/>
  </r>
  <r>
    <x v="413"/>
    <x v="4"/>
    <s v="네이버 브랜드검색"/>
    <x v="0"/>
    <x v="0"/>
    <x v="0"/>
    <m/>
    <m/>
    <n v="50000"/>
    <m/>
    <m/>
    <m/>
  </r>
  <r>
    <x v="413"/>
    <x v="4"/>
    <s v="카카오광고"/>
    <x v="7"/>
    <x v="0"/>
    <x v="0"/>
    <m/>
    <m/>
    <n v="6109.999999999999"/>
    <m/>
    <m/>
    <m/>
  </r>
  <r>
    <x v="413"/>
    <x v="4"/>
    <s v="카카오광고"/>
    <x v="0"/>
    <x v="0"/>
    <x v="0"/>
    <m/>
    <m/>
    <n v="7069.999999999999"/>
    <m/>
    <m/>
    <m/>
  </r>
  <r>
    <x v="413"/>
    <x v="4"/>
    <s v="카카오톡 메시지"/>
    <x v="11"/>
    <x v="0"/>
    <x v="0"/>
    <m/>
    <m/>
    <n v="1875"/>
    <m/>
    <m/>
    <m/>
  </r>
  <r>
    <x v="413"/>
    <x v="4"/>
    <s v="유튜브 디스커버리"/>
    <x v="0"/>
    <x v="0"/>
    <x v="0"/>
    <m/>
    <m/>
    <n v="402456"/>
    <m/>
    <m/>
    <m/>
  </r>
  <r>
    <x v="413"/>
    <x v="4"/>
    <s v="네이버 쇼핑검색"/>
    <x v="10"/>
    <x v="0"/>
    <x v="0"/>
    <m/>
    <m/>
    <n v="2020"/>
    <m/>
    <m/>
    <m/>
  </r>
  <r>
    <x v="413"/>
    <x v="4"/>
    <s v="네이버 GFA"/>
    <x v="0"/>
    <x v="0"/>
    <x v="0"/>
    <m/>
    <m/>
    <n v="593328.1818181818"/>
    <m/>
    <m/>
    <m/>
  </r>
  <r>
    <x v="413"/>
    <x v="4"/>
    <s v="네이버 GFA"/>
    <x v="7"/>
    <x v="0"/>
    <x v="0"/>
    <m/>
    <m/>
    <n v="402930.9090909091"/>
    <m/>
    <m/>
    <m/>
  </r>
  <r>
    <x v="414"/>
    <x v="1"/>
    <s v="페이스북/인스타그램"/>
    <x v="7"/>
    <x v="0"/>
    <x v="0"/>
    <m/>
    <m/>
    <n v="1950185"/>
    <m/>
    <m/>
    <m/>
  </r>
  <r>
    <x v="414"/>
    <x v="1"/>
    <s v="페이스북/인스타그램"/>
    <x v="0"/>
    <x v="0"/>
    <x v="0"/>
    <m/>
    <m/>
    <n v="1130434"/>
    <m/>
    <m/>
    <m/>
  </r>
  <r>
    <x v="414"/>
    <x v="1"/>
    <s v="네이버 브랜드검색"/>
    <x v="0"/>
    <x v="0"/>
    <x v="0"/>
    <m/>
    <m/>
    <n v="50000"/>
    <m/>
    <m/>
    <m/>
  </r>
  <r>
    <x v="414"/>
    <x v="1"/>
    <s v="카카오광고"/>
    <x v="7"/>
    <x v="0"/>
    <x v="0"/>
    <m/>
    <m/>
    <n v="63969.99999999999"/>
    <m/>
    <m/>
    <m/>
  </r>
  <r>
    <x v="414"/>
    <x v="1"/>
    <s v="카카오광고"/>
    <x v="0"/>
    <x v="0"/>
    <x v="0"/>
    <m/>
    <m/>
    <n v="3510"/>
    <m/>
    <m/>
    <m/>
  </r>
  <r>
    <x v="414"/>
    <x v="1"/>
    <s v="유튜브 디스커버리"/>
    <x v="0"/>
    <x v="0"/>
    <x v="0"/>
    <m/>
    <m/>
    <n v="1227326"/>
    <m/>
    <m/>
    <m/>
  </r>
  <r>
    <x v="414"/>
    <x v="1"/>
    <s v="네이버 쇼핑검색"/>
    <x v="10"/>
    <x v="0"/>
    <x v="0"/>
    <m/>
    <m/>
    <n v="1360"/>
    <m/>
    <m/>
    <m/>
  </r>
  <r>
    <x v="414"/>
    <x v="1"/>
    <s v="네이버 GFA"/>
    <x v="0"/>
    <x v="0"/>
    <x v="0"/>
    <m/>
    <m/>
    <n v="1529730.909090909"/>
    <m/>
    <m/>
    <m/>
  </r>
  <r>
    <x v="414"/>
    <x v="1"/>
    <s v="네이버 GFA"/>
    <x v="7"/>
    <x v="0"/>
    <x v="0"/>
    <m/>
    <m/>
    <n v="3406176.363636363"/>
    <m/>
    <m/>
    <m/>
  </r>
  <r>
    <x v="415"/>
    <x v="0"/>
    <s v="페이스북/인스타그램"/>
    <x v="7"/>
    <x v="0"/>
    <x v="0"/>
    <m/>
    <m/>
    <n v="1887111"/>
    <m/>
    <m/>
    <m/>
  </r>
  <r>
    <x v="415"/>
    <x v="0"/>
    <s v="페이스북/인스타그램"/>
    <x v="0"/>
    <x v="0"/>
    <x v="0"/>
    <m/>
    <m/>
    <n v="826067"/>
    <m/>
    <m/>
    <m/>
  </r>
  <r>
    <x v="415"/>
    <x v="0"/>
    <s v="네이버 브랜드검색"/>
    <x v="0"/>
    <x v="0"/>
    <x v="0"/>
    <m/>
    <m/>
    <n v="50000"/>
    <m/>
    <m/>
    <m/>
  </r>
  <r>
    <x v="415"/>
    <x v="0"/>
    <s v="카카오광고"/>
    <x v="7"/>
    <x v="0"/>
    <x v="0"/>
    <m/>
    <m/>
    <n v="83670"/>
    <m/>
    <m/>
    <m/>
  </r>
  <r>
    <x v="415"/>
    <x v="0"/>
    <s v="카카오광고"/>
    <x v="0"/>
    <x v="0"/>
    <x v="0"/>
    <m/>
    <m/>
    <n v="6869.999999999999"/>
    <m/>
    <m/>
    <m/>
  </r>
  <r>
    <x v="415"/>
    <x v="0"/>
    <s v="유튜브 디스커버리"/>
    <x v="0"/>
    <x v="0"/>
    <x v="0"/>
    <m/>
    <m/>
    <n v="943814"/>
    <m/>
    <m/>
    <m/>
  </r>
  <r>
    <x v="415"/>
    <x v="0"/>
    <s v="네이버 쇼핑검색"/>
    <x v="10"/>
    <x v="0"/>
    <x v="0"/>
    <m/>
    <m/>
    <n v="3150"/>
    <m/>
    <m/>
    <m/>
  </r>
  <r>
    <x v="415"/>
    <x v="0"/>
    <s v="네이버 GFA"/>
    <x v="0"/>
    <x v="0"/>
    <x v="0"/>
    <m/>
    <m/>
    <n v="3541251.818181817"/>
    <m/>
    <m/>
    <m/>
  </r>
  <r>
    <x v="415"/>
    <x v="0"/>
    <s v="네이버 GFA"/>
    <x v="7"/>
    <x v="0"/>
    <x v="0"/>
    <m/>
    <m/>
    <n v="2317206.363636363"/>
    <m/>
    <m/>
    <m/>
  </r>
  <r>
    <x v="416"/>
    <x v="2"/>
    <s v="페이스북/인스타그램"/>
    <x v="7"/>
    <x v="0"/>
    <x v="0"/>
    <m/>
    <m/>
    <n v="1188283"/>
    <m/>
    <m/>
    <m/>
  </r>
  <r>
    <x v="417"/>
    <x v="5"/>
    <s v="페이스북/인스타그램"/>
    <x v="7"/>
    <x v="0"/>
    <x v="0"/>
    <m/>
    <m/>
    <n v="681412"/>
    <m/>
    <m/>
    <m/>
  </r>
  <r>
    <x v="418"/>
    <x v="6"/>
    <s v="페이스북/인스타그램"/>
    <x v="7"/>
    <x v="0"/>
    <x v="0"/>
    <m/>
    <m/>
    <n v="802161"/>
    <m/>
    <m/>
    <m/>
  </r>
  <r>
    <x v="416"/>
    <x v="2"/>
    <s v="페이스북/인스타그램"/>
    <x v="0"/>
    <x v="0"/>
    <x v="0"/>
    <m/>
    <m/>
    <n v="698256"/>
    <m/>
    <m/>
    <m/>
  </r>
  <r>
    <x v="417"/>
    <x v="5"/>
    <s v="페이스북/인스타그램"/>
    <x v="0"/>
    <x v="0"/>
    <x v="0"/>
    <m/>
    <m/>
    <n v="480099"/>
    <m/>
    <m/>
    <m/>
  </r>
  <r>
    <x v="418"/>
    <x v="6"/>
    <s v="페이스북/인스타그램"/>
    <x v="0"/>
    <x v="0"/>
    <x v="0"/>
    <m/>
    <m/>
    <n v="633026"/>
    <m/>
    <m/>
    <m/>
  </r>
  <r>
    <x v="416"/>
    <x v="2"/>
    <s v="네이버 브랜드검색"/>
    <x v="0"/>
    <x v="0"/>
    <x v="0"/>
    <m/>
    <m/>
    <n v="50000"/>
    <m/>
    <m/>
    <m/>
  </r>
  <r>
    <x v="417"/>
    <x v="5"/>
    <s v="네이버 브랜드검색"/>
    <x v="0"/>
    <x v="0"/>
    <x v="0"/>
    <m/>
    <m/>
    <n v="50000"/>
    <m/>
    <m/>
    <m/>
  </r>
  <r>
    <x v="418"/>
    <x v="6"/>
    <s v="네이버 브랜드검색"/>
    <x v="0"/>
    <x v="0"/>
    <x v="0"/>
    <m/>
    <m/>
    <n v="50000"/>
    <m/>
    <m/>
    <m/>
  </r>
  <r>
    <x v="416"/>
    <x v="2"/>
    <s v="카카오광고"/>
    <x v="7"/>
    <x v="0"/>
    <x v="0"/>
    <m/>
    <m/>
    <n v="468040"/>
    <m/>
    <m/>
    <m/>
  </r>
  <r>
    <x v="417"/>
    <x v="5"/>
    <s v="카카오광고"/>
    <x v="7"/>
    <x v="0"/>
    <x v="0"/>
    <m/>
    <m/>
    <n v="488350"/>
    <m/>
    <m/>
    <m/>
  </r>
  <r>
    <x v="418"/>
    <x v="6"/>
    <s v="카카오광고"/>
    <x v="7"/>
    <x v="0"/>
    <x v="0"/>
    <m/>
    <m/>
    <n v="448770"/>
    <m/>
    <m/>
    <m/>
  </r>
  <r>
    <x v="416"/>
    <x v="2"/>
    <s v="카카오광고"/>
    <x v="0"/>
    <x v="0"/>
    <x v="0"/>
    <m/>
    <m/>
    <n v="7629.999999999999"/>
    <m/>
    <m/>
    <m/>
  </r>
  <r>
    <x v="417"/>
    <x v="5"/>
    <s v="카카오광고"/>
    <x v="0"/>
    <x v="0"/>
    <x v="0"/>
    <m/>
    <m/>
    <n v="16150"/>
    <m/>
    <m/>
    <m/>
  </r>
  <r>
    <x v="418"/>
    <x v="6"/>
    <s v="카카오광고"/>
    <x v="0"/>
    <x v="0"/>
    <x v="0"/>
    <m/>
    <m/>
    <n v="20180"/>
    <m/>
    <m/>
    <m/>
  </r>
  <r>
    <x v="416"/>
    <x v="2"/>
    <s v="유튜브 디스커버리"/>
    <x v="0"/>
    <x v="0"/>
    <x v="0"/>
    <m/>
    <m/>
    <n v="856621"/>
    <m/>
    <m/>
    <m/>
  </r>
  <r>
    <x v="417"/>
    <x v="5"/>
    <s v="유튜브 디스커버리"/>
    <x v="0"/>
    <x v="0"/>
    <x v="0"/>
    <m/>
    <m/>
    <n v="47433"/>
    <m/>
    <m/>
    <m/>
  </r>
  <r>
    <x v="418"/>
    <x v="6"/>
    <s v="유튜브 디스커버리"/>
    <x v="0"/>
    <x v="0"/>
    <x v="0"/>
    <m/>
    <m/>
    <n v="1268865"/>
    <m/>
    <m/>
    <m/>
  </r>
  <r>
    <x v="416"/>
    <x v="2"/>
    <s v="네이버 쇼핑검색"/>
    <x v="10"/>
    <x v="0"/>
    <x v="0"/>
    <m/>
    <m/>
    <n v="4440"/>
    <m/>
    <m/>
    <m/>
  </r>
  <r>
    <x v="417"/>
    <x v="5"/>
    <s v="네이버 쇼핑검색"/>
    <x v="10"/>
    <x v="0"/>
    <x v="0"/>
    <m/>
    <m/>
    <n v="3450"/>
    <m/>
    <m/>
    <m/>
  </r>
  <r>
    <x v="418"/>
    <x v="6"/>
    <s v="네이버 쇼핑검색"/>
    <x v="10"/>
    <x v="0"/>
    <x v="0"/>
    <m/>
    <m/>
    <n v="5659.999999999999"/>
    <m/>
    <m/>
    <m/>
  </r>
  <r>
    <x v="416"/>
    <x v="2"/>
    <s v="네이버 GFA"/>
    <x v="0"/>
    <x v="0"/>
    <x v="0"/>
    <m/>
    <m/>
    <n v="1603258.181818182"/>
    <m/>
    <m/>
    <m/>
  </r>
  <r>
    <x v="417"/>
    <x v="5"/>
    <s v="네이버 GFA"/>
    <x v="0"/>
    <x v="0"/>
    <x v="0"/>
    <m/>
    <m/>
    <n v="608941.8181818181"/>
    <m/>
    <m/>
    <m/>
  </r>
  <r>
    <x v="418"/>
    <x v="6"/>
    <s v="네이버 GFA"/>
    <x v="0"/>
    <x v="0"/>
    <x v="0"/>
    <m/>
    <m/>
    <n v="2589041.818181818"/>
    <m/>
    <m/>
    <m/>
  </r>
  <r>
    <x v="416"/>
    <x v="2"/>
    <s v="네이버 GFA"/>
    <x v="7"/>
    <x v="0"/>
    <x v="0"/>
    <m/>
    <m/>
    <n v="2110130.909090909"/>
    <m/>
    <m/>
    <m/>
  </r>
  <r>
    <x v="417"/>
    <x v="5"/>
    <s v="네이버 GFA"/>
    <x v="7"/>
    <x v="0"/>
    <x v="0"/>
    <m/>
    <m/>
    <n v="806149.0909090908"/>
    <m/>
    <m/>
    <m/>
  </r>
  <r>
    <x v="418"/>
    <x v="6"/>
    <s v="네이버 GFA"/>
    <x v="7"/>
    <x v="0"/>
    <x v="0"/>
    <m/>
    <m/>
    <n v="3048233.636363636"/>
    <m/>
    <m/>
    <m/>
  </r>
  <r>
    <x v="419"/>
    <x v="3"/>
    <s v="페이스북/인스타그램"/>
    <x v="7"/>
    <x v="0"/>
    <x v="0"/>
    <m/>
    <m/>
    <n v="928434"/>
    <m/>
    <m/>
    <m/>
  </r>
  <r>
    <x v="419"/>
    <x v="3"/>
    <s v="페이스북/인스타그램"/>
    <x v="0"/>
    <x v="0"/>
    <x v="0"/>
    <m/>
    <m/>
    <n v="858361"/>
    <m/>
    <m/>
    <m/>
  </r>
  <r>
    <x v="419"/>
    <x v="3"/>
    <s v="네이버 브랜드검색"/>
    <x v="0"/>
    <x v="0"/>
    <x v="0"/>
    <m/>
    <m/>
    <n v="50000"/>
    <m/>
    <m/>
    <m/>
  </r>
  <r>
    <x v="418"/>
    <x v="6"/>
    <s v="카카오광고"/>
    <x v="7"/>
    <x v="0"/>
    <x v="0"/>
    <m/>
    <m/>
    <n v="520729.9999999999"/>
    <m/>
    <m/>
    <m/>
  </r>
  <r>
    <x v="419"/>
    <x v="3"/>
    <s v="카카오광고"/>
    <x v="0"/>
    <x v="0"/>
    <x v="0"/>
    <m/>
    <m/>
    <n v="18520"/>
    <m/>
    <m/>
    <m/>
  </r>
  <r>
    <x v="419"/>
    <x v="3"/>
    <s v="유튜브 디스커버리"/>
    <x v="0"/>
    <x v="0"/>
    <x v="0"/>
    <m/>
    <m/>
    <n v="1209324"/>
    <m/>
    <m/>
    <m/>
  </r>
  <r>
    <x v="419"/>
    <x v="3"/>
    <s v="네이버 쇼핑검색"/>
    <x v="10"/>
    <x v="0"/>
    <x v="0"/>
    <m/>
    <m/>
    <n v="6919.999999999999"/>
    <m/>
    <m/>
    <m/>
  </r>
  <r>
    <x v="419"/>
    <x v="3"/>
    <s v="네이버 GFA"/>
    <x v="0"/>
    <x v="0"/>
    <x v="0"/>
    <m/>
    <m/>
    <n v="1295640"/>
    <m/>
    <m/>
    <m/>
  </r>
  <r>
    <x v="419"/>
    <x v="3"/>
    <s v="네이버 GFA"/>
    <x v="7"/>
    <x v="0"/>
    <x v="0"/>
    <m/>
    <m/>
    <n v="4074146.363636363"/>
    <m/>
    <m/>
    <m/>
  </r>
  <r>
    <x v="420"/>
    <x v="4"/>
    <s v="페이스북/인스타그램"/>
    <x v="7"/>
    <x v="0"/>
    <x v="0"/>
    <m/>
    <m/>
    <n v="315456"/>
    <m/>
    <m/>
    <m/>
  </r>
  <r>
    <x v="420"/>
    <x v="4"/>
    <s v="페이스북/인스타그램"/>
    <x v="0"/>
    <x v="0"/>
    <x v="0"/>
    <m/>
    <m/>
    <n v="723891"/>
    <m/>
    <m/>
    <m/>
  </r>
  <r>
    <x v="420"/>
    <x v="4"/>
    <s v="네이버 브랜드검색"/>
    <x v="0"/>
    <x v="0"/>
    <x v="0"/>
    <m/>
    <m/>
    <n v="50000"/>
    <m/>
    <m/>
    <m/>
  </r>
  <r>
    <x v="420"/>
    <x v="4"/>
    <s v="카카오광고"/>
    <x v="7"/>
    <x v="0"/>
    <x v="0"/>
    <m/>
    <m/>
    <n v="402169.9999999999"/>
    <m/>
    <m/>
    <m/>
  </r>
  <r>
    <x v="420"/>
    <x v="4"/>
    <s v="카카오광고"/>
    <x v="0"/>
    <x v="0"/>
    <x v="0"/>
    <m/>
    <m/>
    <n v="16810"/>
    <m/>
    <m/>
    <m/>
  </r>
  <r>
    <x v="420"/>
    <x v="4"/>
    <s v="유튜브 디스커버리"/>
    <x v="0"/>
    <x v="0"/>
    <x v="0"/>
    <m/>
    <m/>
    <n v="1736247"/>
    <m/>
    <m/>
    <m/>
  </r>
  <r>
    <x v="420"/>
    <x v="4"/>
    <s v="네이버 쇼핑검색"/>
    <x v="10"/>
    <x v="0"/>
    <x v="0"/>
    <m/>
    <m/>
    <n v="8680"/>
    <m/>
    <m/>
    <m/>
  </r>
  <r>
    <x v="420"/>
    <x v="4"/>
    <s v="네이버 GFA"/>
    <x v="0"/>
    <x v="0"/>
    <x v="0"/>
    <m/>
    <m/>
    <n v="332516.3636363636"/>
    <m/>
    <m/>
    <m/>
  </r>
  <r>
    <x v="420"/>
    <x v="4"/>
    <s v="네이버 GFA"/>
    <x v="7"/>
    <x v="0"/>
    <x v="0"/>
    <m/>
    <m/>
    <n v="2306842.727272727"/>
    <m/>
    <m/>
    <m/>
  </r>
  <r>
    <x v="421"/>
    <x v="1"/>
    <s v="페이스북/인스타그램"/>
    <x v="7"/>
    <x v="0"/>
    <x v="0"/>
    <m/>
    <m/>
    <n v="857103"/>
    <m/>
    <m/>
    <m/>
  </r>
  <r>
    <x v="421"/>
    <x v="1"/>
    <s v="페이스북/인스타그램"/>
    <x v="0"/>
    <x v="0"/>
    <x v="0"/>
    <m/>
    <m/>
    <n v="583205"/>
    <m/>
    <m/>
    <m/>
  </r>
  <r>
    <x v="421"/>
    <x v="1"/>
    <s v="네이버 브랜드검색"/>
    <x v="0"/>
    <x v="0"/>
    <x v="0"/>
    <m/>
    <m/>
    <n v="50000"/>
    <m/>
    <m/>
    <m/>
  </r>
  <r>
    <x v="421"/>
    <x v="1"/>
    <s v="카카오광고"/>
    <x v="7"/>
    <x v="0"/>
    <x v="0"/>
    <m/>
    <m/>
    <n v="280560"/>
    <m/>
    <m/>
    <m/>
  </r>
  <r>
    <x v="421"/>
    <x v="1"/>
    <s v="카카오광고"/>
    <x v="0"/>
    <x v="0"/>
    <x v="0"/>
    <m/>
    <m/>
    <n v="18580"/>
    <m/>
    <m/>
    <m/>
  </r>
  <r>
    <x v="421"/>
    <x v="1"/>
    <s v="유튜브 디스커버리"/>
    <x v="0"/>
    <x v="0"/>
    <x v="0"/>
    <m/>
    <m/>
    <n v="759646"/>
    <m/>
    <m/>
    <m/>
  </r>
  <r>
    <x v="421"/>
    <x v="1"/>
    <s v="네이버 쇼핑검색"/>
    <x v="10"/>
    <x v="0"/>
    <x v="0"/>
    <m/>
    <m/>
    <n v="18650"/>
    <m/>
    <m/>
    <m/>
  </r>
  <r>
    <x v="421"/>
    <x v="1"/>
    <s v="네이버 GFA"/>
    <x v="0"/>
    <x v="0"/>
    <x v="0"/>
    <m/>
    <m/>
    <n v="861334.5454545454"/>
    <m/>
    <m/>
    <m/>
  </r>
  <r>
    <x v="421"/>
    <x v="1"/>
    <s v="네이버 GFA"/>
    <x v="7"/>
    <x v="0"/>
    <x v="0"/>
    <m/>
    <m/>
    <n v="1368027.272727273"/>
    <m/>
    <m/>
    <m/>
  </r>
  <r>
    <x v="422"/>
    <x v="0"/>
    <s v="페이스북/인스타그램"/>
    <x v="7"/>
    <x v="0"/>
    <x v="0"/>
    <m/>
    <m/>
    <n v="964901"/>
    <m/>
    <m/>
    <m/>
  </r>
  <r>
    <x v="422"/>
    <x v="0"/>
    <s v="페이스북/인스타그램"/>
    <x v="0"/>
    <x v="0"/>
    <x v="0"/>
    <m/>
    <m/>
    <n v="534450"/>
    <m/>
    <m/>
    <m/>
  </r>
  <r>
    <x v="422"/>
    <x v="0"/>
    <s v="네이버 브랜드검색"/>
    <x v="0"/>
    <x v="0"/>
    <x v="0"/>
    <m/>
    <m/>
    <n v="50000"/>
    <m/>
    <m/>
    <m/>
  </r>
  <r>
    <x v="422"/>
    <x v="0"/>
    <s v="카카오광고"/>
    <x v="0"/>
    <x v="0"/>
    <x v="0"/>
    <m/>
    <m/>
    <n v="14150"/>
    <m/>
    <m/>
    <m/>
  </r>
  <r>
    <x v="422"/>
    <x v="0"/>
    <s v="유튜브 디스커버리"/>
    <x v="0"/>
    <x v="0"/>
    <x v="0"/>
    <m/>
    <m/>
    <n v="763963"/>
    <m/>
    <m/>
    <m/>
  </r>
  <r>
    <x v="422"/>
    <x v="0"/>
    <s v="네이버 쇼핑검색"/>
    <x v="10"/>
    <x v="0"/>
    <x v="0"/>
    <m/>
    <m/>
    <n v="27870"/>
    <m/>
    <m/>
    <m/>
  </r>
  <r>
    <x v="422"/>
    <x v="0"/>
    <s v="네이버 GFA"/>
    <x v="0"/>
    <x v="0"/>
    <x v="0"/>
    <m/>
    <m/>
    <n v="419798.1818181818"/>
    <m/>
    <m/>
    <m/>
  </r>
  <r>
    <x v="422"/>
    <x v="0"/>
    <s v="네이버 GFA"/>
    <x v="7"/>
    <x v="0"/>
    <x v="0"/>
    <m/>
    <m/>
    <n v="877144.5454545454"/>
    <m/>
    <m/>
    <m/>
  </r>
  <r>
    <x v="423"/>
    <x v="2"/>
    <s v="페이스북/인스타그램"/>
    <x v="0"/>
    <x v="0"/>
    <x v="0"/>
    <m/>
    <m/>
    <n v="431446"/>
    <m/>
    <m/>
    <m/>
  </r>
  <r>
    <x v="424"/>
    <x v="5"/>
    <s v="페이스북/인스타그램"/>
    <x v="0"/>
    <x v="0"/>
    <x v="0"/>
    <m/>
    <m/>
    <n v="286457"/>
    <m/>
    <m/>
    <m/>
  </r>
  <r>
    <x v="425"/>
    <x v="6"/>
    <s v="페이스북/인스타그램"/>
    <x v="0"/>
    <x v="0"/>
    <x v="0"/>
    <m/>
    <m/>
    <n v="333834"/>
    <m/>
    <m/>
    <m/>
  </r>
  <r>
    <x v="423"/>
    <x v="2"/>
    <s v="페이스북/인스타그램"/>
    <x v="7"/>
    <x v="0"/>
    <x v="0"/>
    <m/>
    <m/>
    <n v="987151"/>
    <m/>
    <m/>
    <m/>
  </r>
  <r>
    <x v="424"/>
    <x v="5"/>
    <s v="페이스북/인스타그램"/>
    <x v="7"/>
    <x v="0"/>
    <x v="0"/>
    <m/>
    <m/>
    <n v="722230"/>
    <m/>
    <m/>
    <m/>
  </r>
  <r>
    <x v="425"/>
    <x v="6"/>
    <s v="페이스북/인스타그램"/>
    <x v="7"/>
    <x v="0"/>
    <x v="0"/>
    <m/>
    <m/>
    <n v="664134"/>
    <m/>
    <m/>
    <m/>
  </r>
  <r>
    <x v="423"/>
    <x v="2"/>
    <s v="네이버 브랜드검색"/>
    <x v="0"/>
    <x v="0"/>
    <x v="0"/>
    <m/>
    <m/>
    <n v="50000"/>
    <m/>
    <m/>
    <m/>
  </r>
  <r>
    <x v="424"/>
    <x v="5"/>
    <s v="네이버 브랜드검색"/>
    <x v="0"/>
    <x v="0"/>
    <x v="0"/>
    <m/>
    <m/>
    <n v="50000"/>
    <m/>
    <m/>
    <m/>
  </r>
  <r>
    <x v="425"/>
    <x v="6"/>
    <s v="네이버 브랜드검색"/>
    <x v="0"/>
    <x v="0"/>
    <x v="0"/>
    <m/>
    <m/>
    <n v="50000"/>
    <m/>
    <m/>
    <m/>
  </r>
  <r>
    <x v="423"/>
    <x v="2"/>
    <s v="카카오광고"/>
    <x v="0"/>
    <x v="0"/>
    <x v="0"/>
    <m/>
    <m/>
    <n v="15060"/>
    <m/>
    <m/>
    <m/>
  </r>
  <r>
    <x v="424"/>
    <x v="5"/>
    <s v="카카오광고"/>
    <x v="0"/>
    <x v="0"/>
    <x v="0"/>
    <m/>
    <m/>
    <n v="19710"/>
    <m/>
    <m/>
    <m/>
  </r>
  <r>
    <x v="425"/>
    <x v="6"/>
    <s v="카카오광고"/>
    <x v="0"/>
    <x v="0"/>
    <x v="0"/>
    <m/>
    <m/>
    <n v="18560"/>
    <m/>
    <m/>
    <m/>
  </r>
  <r>
    <x v="423"/>
    <x v="2"/>
    <s v="유튜브 디스커버리"/>
    <x v="0"/>
    <x v="0"/>
    <x v="0"/>
    <m/>
    <m/>
    <n v="399039"/>
    <m/>
    <m/>
    <m/>
  </r>
  <r>
    <x v="424"/>
    <x v="5"/>
    <s v="유튜브 디스커버리"/>
    <x v="0"/>
    <x v="0"/>
    <x v="0"/>
    <m/>
    <m/>
    <n v="8726"/>
    <m/>
    <m/>
    <m/>
  </r>
  <r>
    <x v="425"/>
    <x v="6"/>
    <s v="유튜브 디스커버리"/>
    <x v="0"/>
    <x v="0"/>
    <x v="0"/>
    <m/>
    <m/>
    <n v="1581294"/>
    <m/>
    <m/>
    <m/>
  </r>
  <r>
    <x v="423"/>
    <x v="2"/>
    <s v="네이버 쇼핑검색"/>
    <x v="10"/>
    <x v="0"/>
    <x v="0"/>
    <m/>
    <m/>
    <n v="15940"/>
    <m/>
    <m/>
    <m/>
  </r>
  <r>
    <x v="424"/>
    <x v="5"/>
    <s v="네이버 쇼핑검색"/>
    <x v="10"/>
    <x v="0"/>
    <x v="0"/>
    <m/>
    <m/>
    <n v="14410"/>
    <m/>
    <m/>
    <m/>
  </r>
  <r>
    <x v="425"/>
    <x v="6"/>
    <s v="네이버 쇼핑검색"/>
    <x v="10"/>
    <x v="0"/>
    <x v="0"/>
    <m/>
    <m/>
    <n v="64169.99999999999"/>
    <m/>
    <m/>
    <m/>
  </r>
  <r>
    <x v="423"/>
    <x v="2"/>
    <s v="네이버 GFA"/>
    <x v="0"/>
    <x v="0"/>
    <x v="0"/>
    <m/>
    <m/>
    <n v="298774.5454545454"/>
    <m/>
    <m/>
    <m/>
  </r>
  <r>
    <x v="424"/>
    <x v="5"/>
    <s v="네이버 GFA"/>
    <x v="0"/>
    <x v="0"/>
    <x v="0"/>
    <m/>
    <m/>
    <n v="262276.3636363636"/>
    <m/>
    <m/>
    <m/>
  </r>
  <r>
    <x v="425"/>
    <x v="6"/>
    <s v="네이버 GFA"/>
    <x v="0"/>
    <x v="0"/>
    <x v="0"/>
    <m/>
    <m/>
    <n v="176421.8181818182"/>
    <m/>
    <m/>
    <m/>
  </r>
  <r>
    <x v="423"/>
    <x v="2"/>
    <s v="네이버 GFA"/>
    <x v="7"/>
    <x v="0"/>
    <x v="0"/>
    <m/>
    <m/>
    <n v="820149.9999999999"/>
    <m/>
    <m/>
    <m/>
  </r>
  <r>
    <x v="424"/>
    <x v="5"/>
    <s v="네이버 GFA"/>
    <x v="7"/>
    <x v="0"/>
    <x v="0"/>
    <m/>
    <m/>
    <n v="554280"/>
    <m/>
    <m/>
    <m/>
  </r>
  <r>
    <x v="425"/>
    <x v="6"/>
    <s v="네이버 GFA"/>
    <x v="7"/>
    <x v="0"/>
    <x v="0"/>
    <m/>
    <m/>
    <n v="837673.6363636364"/>
    <m/>
    <m/>
    <m/>
  </r>
  <r>
    <x v="426"/>
    <x v="3"/>
    <s v="페이스북/인스타그램"/>
    <x v="7"/>
    <x v="0"/>
    <x v="0"/>
    <m/>
    <m/>
    <n v="853330"/>
    <m/>
    <m/>
    <m/>
  </r>
  <r>
    <x v="426"/>
    <x v="3"/>
    <s v="페이스북/인스타그램"/>
    <x v="0"/>
    <x v="0"/>
    <x v="0"/>
    <m/>
    <m/>
    <n v="350797"/>
    <m/>
    <m/>
    <m/>
  </r>
  <r>
    <x v="426"/>
    <x v="3"/>
    <s v="페이스북/인스타그램"/>
    <x v="12"/>
    <x v="0"/>
    <x v="0"/>
    <m/>
    <m/>
    <n v="47564"/>
    <m/>
    <m/>
    <m/>
  </r>
  <r>
    <x v="426"/>
    <x v="3"/>
    <s v="네이버 브랜드검색"/>
    <x v="0"/>
    <x v="0"/>
    <x v="0"/>
    <m/>
    <m/>
    <n v="50000"/>
    <m/>
    <m/>
    <m/>
  </r>
  <r>
    <x v="426"/>
    <x v="3"/>
    <s v="카카오광고"/>
    <x v="0"/>
    <x v="0"/>
    <x v="0"/>
    <m/>
    <m/>
    <n v="19850"/>
    <m/>
    <m/>
    <m/>
  </r>
  <r>
    <x v="426"/>
    <x v="3"/>
    <s v="유튜브 디스커버리"/>
    <x v="0"/>
    <x v="0"/>
    <x v="0"/>
    <m/>
    <m/>
    <n v="1094393"/>
    <m/>
    <m/>
    <m/>
  </r>
  <r>
    <x v="426"/>
    <x v="3"/>
    <s v="네이버 쇼핑검색"/>
    <x v="10"/>
    <x v="0"/>
    <x v="0"/>
    <m/>
    <m/>
    <n v="76130"/>
    <m/>
    <m/>
    <m/>
  </r>
  <r>
    <x v="426"/>
    <x v="3"/>
    <s v="네이버 GFA"/>
    <x v="0"/>
    <x v="0"/>
    <x v="0"/>
    <m/>
    <m/>
    <n v="498056.3636363636"/>
    <m/>
    <m/>
    <m/>
  </r>
  <r>
    <x v="426"/>
    <x v="3"/>
    <s v="네이버 GFA"/>
    <x v="7"/>
    <x v="0"/>
    <x v="0"/>
    <m/>
    <m/>
    <n v="1537047.272727273"/>
    <m/>
    <m/>
    <m/>
  </r>
  <r>
    <x v="427"/>
    <x v="4"/>
    <s v="페이스북/인스타그램"/>
    <x v="7"/>
    <x v="0"/>
    <x v="0"/>
    <m/>
    <m/>
    <n v="943112"/>
    <m/>
    <m/>
    <m/>
  </r>
  <r>
    <x v="427"/>
    <x v="4"/>
    <s v="페이스북/인스타그램"/>
    <x v="0"/>
    <x v="0"/>
    <x v="0"/>
    <m/>
    <m/>
    <n v="440995"/>
    <m/>
    <m/>
    <m/>
  </r>
  <r>
    <x v="427"/>
    <x v="4"/>
    <s v="페이스북/인스타그램"/>
    <x v="12"/>
    <x v="0"/>
    <x v="0"/>
    <m/>
    <m/>
    <n v="127726"/>
    <m/>
    <m/>
    <m/>
  </r>
  <r>
    <x v="427"/>
    <x v="4"/>
    <s v="네이버 브랜드검색"/>
    <x v="0"/>
    <x v="0"/>
    <x v="0"/>
    <m/>
    <m/>
    <n v="50000"/>
    <m/>
    <m/>
    <m/>
  </r>
  <r>
    <x v="427"/>
    <x v="4"/>
    <s v="카카오광고"/>
    <x v="0"/>
    <x v="0"/>
    <x v="0"/>
    <m/>
    <m/>
    <n v="19410"/>
    <m/>
    <m/>
    <m/>
  </r>
  <r>
    <x v="427"/>
    <x v="4"/>
    <s v="유튜브 디스커버리"/>
    <x v="0"/>
    <x v="0"/>
    <x v="0"/>
    <m/>
    <m/>
    <n v="1029733"/>
    <m/>
    <m/>
    <m/>
  </r>
  <r>
    <x v="427"/>
    <x v="4"/>
    <s v="네이버 쇼핑검색"/>
    <x v="10"/>
    <x v="0"/>
    <x v="0"/>
    <m/>
    <m/>
    <n v="47439.99999999999"/>
    <m/>
    <m/>
    <m/>
  </r>
  <r>
    <x v="427"/>
    <x v="4"/>
    <s v="네이버 GFA"/>
    <x v="0"/>
    <x v="0"/>
    <x v="0"/>
    <m/>
    <m/>
    <n v="219165.4545454545"/>
    <m/>
    <m/>
    <m/>
  </r>
  <r>
    <x v="427"/>
    <x v="4"/>
    <s v="네이버 GFA"/>
    <x v="7"/>
    <x v="0"/>
    <x v="0"/>
    <m/>
    <m/>
    <n v="1081099.090909091"/>
    <m/>
    <m/>
    <m/>
  </r>
  <r>
    <x v="428"/>
    <x v="1"/>
    <s v="페이스북/인스타그램"/>
    <x v="7"/>
    <x v="0"/>
    <x v="0"/>
    <m/>
    <m/>
    <n v="1148196"/>
    <m/>
    <m/>
    <m/>
  </r>
  <r>
    <x v="428"/>
    <x v="1"/>
    <s v="페이스북/인스타그램"/>
    <x v="0"/>
    <x v="0"/>
    <x v="0"/>
    <m/>
    <m/>
    <n v="333590"/>
    <m/>
    <m/>
    <m/>
  </r>
  <r>
    <x v="428"/>
    <x v="1"/>
    <s v="페이스북/인스타그램"/>
    <x v="13"/>
    <x v="0"/>
    <x v="0"/>
    <m/>
    <m/>
    <n v="33664"/>
    <m/>
    <m/>
    <m/>
  </r>
  <r>
    <x v="428"/>
    <x v="1"/>
    <s v="페이스북/인스타그램"/>
    <x v="12"/>
    <x v="0"/>
    <x v="0"/>
    <m/>
    <m/>
    <n v="2311"/>
    <m/>
    <m/>
    <m/>
  </r>
  <r>
    <x v="428"/>
    <x v="1"/>
    <s v="네이버 브랜드검색"/>
    <x v="0"/>
    <x v="0"/>
    <x v="0"/>
    <m/>
    <m/>
    <n v="50000"/>
    <m/>
    <m/>
    <m/>
  </r>
  <r>
    <x v="428"/>
    <x v="1"/>
    <s v="카카오광고"/>
    <x v="0"/>
    <x v="0"/>
    <x v="0"/>
    <m/>
    <m/>
    <n v="21300"/>
    <m/>
    <m/>
    <m/>
  </r>
  <r>
    <x v="428"/>
    <x v="1"/>
    <s v="유튜브 디스커버리"/>
    <x v="0"/>
    <x v="0"/>
    <x v="0"/>
    <m/>
    <m/>
    <n v="934582"/>
    <m/>
    <m/>
    <m/>
  </r>
  <r>
    <x v="428"/>
    <x v="1"/>
    <s v="네이버 쇼핑검색"/>
    <x v="10"/>
    <x v="0"/>
    <x v="0"/>
    <m/>
    <m/>
    <n v="53839.99999999999"/>
    <m/>
    <m/>
    <m/>
  </r>
  <r>
    <x v="428"/>
    <x v="1"/>
    <s v="네이버 GFA"/>
    <x v="0"/>
    <x v="0"/>
    <x v="0"/>
    <m/>
    <m/>
    <n v="142269.0909090909"/>
    <m/>
    <m/>
    <m/>
  </r>
  <r>
    <x v="428"/>
    <x v="1"/>
    <s v="네이버 GFA"/>
    <x v="7"/>
    <x v="0"/>
    <x v="0"/>
    <m/>
    <m/>
    <n v="1379818.181818182"/>
    <m/>
    <m/>
    <m/>
  </r>
  <r>
    <x v="429"/>
    <x v="0"/>
    <s v="페이스북/인스타그램"/>
    <x v="7"/>
    <x v="0"/>
    <x v="0"/>
    <m/>
    <m/>
    <n v="1302382"/>
    <m/>
    <m/>
    <m/>
  </r>
  <r>
    <x v="429"/>
    <x v="0"/>
    <s v="페이스북/인스타그램"/>
    <x v="0"/>
    <x v="0"/>
    <x v="0"/>
    <m/>
    <m/>
    <n v="431376"/>
    <m/>
    <m/>
    <m/>
  </r>
  <r>
    <x v="429"/>
    <x v="0"/>
    <s v="페이스북/인스타그램"/>
    <x v="13"/>
    <x v="0"/>
    <x v="0"/>
    <m/>
    <m/>
    <n v="34551"/>
    <m/>
    <m/>
    <m/>
  </r>
  <r>
    <x v="429"/>
    <x v="0"/>
    <s v="네이버 브랜드검색"/>
    <x v="0"/>
    <x v="0"/>
    <x v="0"/>
    <m/>
    <m/>
    <n v="50000"/>
    <m/>
    <m/>
    <m/>
  </r>
  <r>
    <x v="429"/>
    <x v="0"/>
    <s v="카카오광고"/>
    <x v="0"/>
    <x v="0"/>
    <x v="0"/>
    <m/>
    <m/>
    <n v="18920"/>
    <m/>
    <m/>
    <m/>
  </r>
  <r>
    <x v="429"/>
    <x v="0"/>
    <s v="유튜브 디스커버리"/>
    <x v="0"/>
    <x v="0"/>
    <x v="0"/>
    <m/>
    <m/>
    <n v="889380"/>
    <m/>
    <m/>
    <m/>
  </r>
  <r>
    <x v="429"/>
    <x v="0"/>
    <s v="네이버 쇼핑검색"/>
    <x v="10"/>
    <x v="0"/>
    <x v="0"/>
    <m/>
    <m/>
    <n v="57879.99999999999"/>
    <m/>
    <m/>
    <m/>
  </r>
  <r>
    <x v="429"/>
    <x v="0"/>
    <s v="네이버 GFA"/>
    <x v="0"/>
    <x v="0"/>
    <x v="0"/>
    <m/>
    <m/>
    <n v="112554.5454545454"/>
    <m/>
    <m/>
    <m/>
  </r>
  <r>
    <x v="429"/>
    <x v="0"/>
    <s v="네이버 GFA"/>
    <x v="7"/>
    <x v="0"/>
    <x v="0"/>
    <m/>
    <m/>
    <n v="1680220"/>
    <m/>
    <m/>
    <m/>
  </r>
  <r>
    <x v="430"/>
    <x v="2"/>
    <s v="페이스북/인스타그램"/>
    <x v="7"/>
    <x v="0"/>
    <x v="0"/>
    <m/>
    <m/>
    <n v="1170195"/>
    <m/>
    <m/>
    <m/>
  </r>
  <r>
    <x v="431"/>
    <x v="5"/>
    <s v="페이스북/인스타그램"/>
    <x v="7"/>
    <x v="0"/>
    <x v="0"/>
    <m/>
    <m/>
    <n v="727778"/>
    <m/>
    <m/>
    <m/>
  </r>
  <r>
    <x v="432"/>
    <x v="6"/>
    <s v="페이스북/인스타그램"/>
    <x v="7"/>
    <x v="0"/>
    <x v="0"/>
    <m/>
    <m/>
    <n v="1059336"/>
    <m/>
    <m/>
    <m/>
  </r>
  <r>
    <x v="430"/>
    <x v="2"/>
    <s v="페이스북/인스타그램"/>
    <x v="0"/>
    <x v="0"/>
    <x v="0"/>
    <m/>
    <m/>
    <n v="415294"/>
    <m/>
    <m/>
    <m/>
  </r>
  <r>
    <x v="431"/>
    <x v="5"/>
    <s v="페이스북/인스타그램"/>
    <x v="0"/>
    <x v="0"/>
    <x v="0"/>
    <m/>
    <m/>
    <n v="289894"/>
    <m/>
    <m/>
    <m/>
  </r>
  <r>
    <x v="432"/>
    <x v="6"/>
    <s v="페이스북/인스타그램"/>
    <x v="0"/>
    <x v="0"/>
    <x v="0"/>
    <m/>
    <m/>
    <n v="451685"/>
    <m/>
    <m/>
    <m/>
  </r>
  <r>
    <x v="430"/>
    <x v="2"/>
    <s v="페이스북/인스타그램"/>
    <x v="13"/>
    <x v="0"/>
    <x v="0"/>
    <m/>
    <m/>
    <n v="26235"/>
    <m/>
    <m/>
    <m/>
  </r>
  <r>
    <x v="431"/>
    <x v="5"/>
    <s v="페이스북/인스타그램"/>
    <x v="13"/>
    <x v="0"/>
    <x v="0"/>
    <m/>
    <m/>
    <n v="14539"/>
    <m/>
    <m/>
    <m/>
  </r>
  <r>
    <x v="432"/>
    <x v="6"/>
    <s v="페이스북/인스타그램"/>
    <x v="13"/>
    <x v="0"/>
    <x v="0"/>
    <m/>
    <m/>
    <n v="20426"/>
    <m/>
    <m/>
    <m/>
  </r>
  <r>
    <x v="430"/>
    <x v="2"/>
    <s v="네이버 브랜드검색"/>
    <x v="0"/>
    <x v="0"/>
    <x v="0"/>
    <m/>
    <m/>
    <n v="50000"/>
    <m/>
    <m/>
    <m/>
  </r>
  <r>
    <x v="431"/>
    <x v="5"/>
    <s v="네이버 브랜드검색"/>
    <x v="0"/>
    <x v="0"/>
    <x v="0"/>
    <m/>
    <m/>
    <n v="50000"/>
    <m/>
    <m/>
    <m/>
  </r>
  <r>
    <x v="432"/>
    <x v="6"/>
    <s v="네이버 브랜드검색"/>
    <x v="0"/>
    <x v="0"/>
    <x v="0"/>
    <m/>
    <m/>
    <n v="50000"/>
    <m/>
    <m/>
    <m/>
  </r>
  <r>
    <x v="430"/>
    <x v="2"/>
    <s v="카카오광고"/>
    <x v="0"/>
    <x v="0"/>
    <x v="0"/>
    <m/>
    <m/>
    <n v="19240"/>
    <m/>
    <m/>
    <m/>
  </r>
  <r>
    <x v="431"/>
    <x v="5"/>
    <s v="카카오광고"/>
    <x v="0"/>
    <x v="0"/>
    <x v="0"/>
    <m/>
    <m/>
    <n v="18450"/>
    <m/>
    <m/>
    <m/>
  </r>
  <r>
    <x v="432"/>
    <x v="6"/>
    <s v="카카오광고"/>
    <x v="0"/>
    <x v="0"/>
    <x v="0"/>
    <m/>
    <m/>
    <n v="20100"/>
    <m/>
    <m/>
    <m/>
  </r>
  <r>
    <x v="430"/>
    <x v="2"/>
    <s v="유튜브 디스커버리"/>
    <x v="0"/>
    <x v="0"/>
    <x v="0"/>
    <m/>
    <m/>
    <n v="405589"/>
    <m/>
    <m/>
    <m/>
  </r>
  <r>
    <x v="431"/>
    <x v="5"/>
    <s v="유튜브 디스커버리"/>
    <x v="0"/>
    <x v="0"/>
    <x v="0"/>
    <m/>
    <m/>
    <n v="50220"/>
    <m/>
    <m/>
    <m/>
  </r>
  <r>
    <x v="432"/>
    <x v="6"/>
    <s v="유튜브 디스커버리"/>
    <x v="0"/>
    <x v="0"/>
    <x v="0"/>
    <m/>
    <m/>
    <n v="915343"/>
    <m/>
    <m/>
    <m/>
  </r>
  <r>
    <x v="430"/>
    <x v="2"/>
    <s v="네이버 쇼핑검색"/>
    <x v="10"/>
    <x v="0"/>
    <x v="0"/>
    <m/>
    <m/>
    <n v="55519.99999999999"/>
    <m/>
    <m/>
    <m/>
  </r>
  <r>
    <x v="431"/>
    <x v="5"/>
    <s v="네이버 쇼핑검색"/>
    <x v="10"/>
    <x v="0"/>
    <x v="0"/>
    <m/>
    <m/>
    <n v="45859.99999999999"/>
    <m/>
    <m/>
    <m/>
  </r>
  <r>
    <x v="432"/>
    <x v="6"/>
    <s v="네이버 쇼핑검색"/>
    <x v="10"/>
    <x v="0"/>
    <x v="0"/>
    <m/>
    <m/>
    <n v="54209.99999999999"/>
    <m/>
    <m/>
    <m/>
  </r>
  <r>
    <x v="430"/>
    <x v="2"/>
    <s v="네이버 GFA"/>
    <x v="0"/>
    <x v="0"/>
    <x v="0"/>
    <m/>
    <m/>
    <n v="103876.3636363636"/>
    <m/>
    <m/>
    <m/>
  </r>
  <r>
    <x v="431"/>
    <x v="5"/>
    <s v="네이버 GFA"/>
    <x v="0"/>
    <x v="0"/>
    <x v="0"/>
    <m/>
    <m/>
    <n v="51640.90909090909"/>
    <m/>
    <m/>
    <m/>
  </r>
  <r>
    <x v="432"/>
    <x v="6"/>
    <s v="네이버 GFA"/>
    <x v="0"/>
    <x v="0"/>
    <x v="0"/>
    <m/>
    <m/>
    <n v="86579.09090909091"/>
    <m/>
    <m/>
    <m/>
  </r>
  <r>
    <x v="430"/>
    <x v="2"/>
    <s v="네이버 GFA"/>
    <x v="7"/>
    <x v="0"/>
    <x v="0"/>
    <m/>
    <m/>
    <n v="992682.7272727272"/>
    <m/>
    <m/>
    <m/>
  </r>
  <r>
    <x v="431"/>
    <x v="5"/>
    <s v="네이버 GFA"/>
    <x v="7"/>
    <x v="0"/>
    <x v="0"/>
    <m/>
    <m/>
    <n v="1009000"/>
    <m/>
    <m/>
    <m/>
  </r>
  <r>
    <x v="432"/>
    <x v="6"/>
    <s v="네이버 GFA"/>
    <x v="7"/>
    <x v="0"/>
    <x v="0"/>
    <m/>
    <m/>
    <n v="1401953.636363636"/>
    <m/>
    <m/>
    <m/>
  </r>
  <r>
    <x v="433"/>
    <x v="3"/>
    <s v="페이스북/인스타그램"/>
    <x v="7"/>
    <x v="0"/>
    <x v="0"/>
    <m/>
    <m/>
    <n v="2073295"/>
    <m/>
    <m/>
    <m/>
  </r>
  <r>
    <x v="433"/>
    <x v="3"/>
    <s v="페이스북/인스타그램"/>
    <x v="0"/>
    <x v="0"/>
    <x v="0"/>
    <m/>
    <m/>
    <n v="594494"/>
    <m/>
    <m/>
    <m/>
  </r>
  <r>
    <x v="433"/>
    <x v="3"/>
    <s v="페이스북/인스타그램"/>
    <x v="13"/>
    <x v="0"/>
    <x v="0"/>
    <m/>
    <m/>
    <n v="27255"/>
    <m/>
    <m/>
    <m/>
  </r>
  <r>
    <x v="433"/>
    <x v="3"/>
    <s v="네이버 브랜드검색"/>
    <x v="0"/>
    <x v="0"/>
    <x v="0"/>
    <m/>
    <m/>
    <n v="50000"/>
    <m/>
    <m/>
    <m/>
  </r>
  <r>
    <x v="433"/>
    <x v="3"/>
    <s v="카카오광고"/>
    <x v="0"/>
    <x v="0"/>
    <x v="0"/>
    <m/>
    <m/>
    <n v="19630"/>
    <m/>
    <m/>
    <m/>
  </r>
  <r>
    <x v="433"/>
    <x v="3"/>
    <s v="카카오광고"/>
    <x v="14"/>
    <x v="0"/>
    <x v="0"/>
    <m/>
    <m/>
    <n v="393224.9999999999"/>
    <m/>
    <m/>
    <m/>
  </r>
  <r>
    <x v="433"/>
    <x v="3"/>
    <s v="유튜브 디스커버리"/>
    <x v="0"/>
    <x v="0"/>
    <x v="0"/>
    <m/>
    <m/>
    <n v="789084"/>
    <m/>
    <m/>
    <m/>
  </r>
  <r>
    <x v="433"/>
    <x v="3"/>
    <s v="네이버 쇼핑검색"/>
    <x v="10"/>
    <x v="0"/>
    <x v="0"/>
    <m/>
    <m/>
    <n v="70980"/>
    <m/>
    <m/>
    <m/>
  </r>
  <r>
    <x v="433"/>
    <x v="3"/>
    <s v="네이버 GFA"/>
    <x v="0"/>
    <x v="0"/>
    <x v="0"/>
    <m/>
    <m/>
    <n v="88787.27272727272"/>
    <m/>
    <m/>
    <m/>
  </r>
  <r>
    <x v="433"/>
    <x v="3"/>
    <s v="네이버 GFA"/>
    <x v="7"/>
    <x v="0"/>
    <x v="0"/>
    <m/>
    <m/>
    <n v="1362062.727272727"/>
    <m/>
    <m/>
    <m/>
  </r>
  <r>
    <x v="434"/>
    <x v="4"/>
    <s v="페이스북/인스타그램"/>
    <x v="7"/>
    <x v="0"/>
    <x v="0"/>
    <m/>
    <m/>
    <n v="1393656"/>
    <m/>
    <m/>
    <m/>
  </r>
  <r>
    <x v="434"/>
    <x v="4"/>
    <s v="페이스북/인스타그램"/>
    <x v="0"/>
    <x v="0"/>
    <x v="0"/>
    <m/>
    <m/>
    <n v="719581"/>
    <m/>
    <m/>
    <m/>
  </r>
  <r>
    <x v="434"/>
    <x v="4"/>
    <s v="페이스북/인스타그램"/>
    <x v="13"/>
    <x v="0"/>
    <x v="0"/>
    <m/>
    <m/>
    <n v="29973"/>
    <m/>
    <m/>
    <m/>
  </r>
  <r>
    <x v="434"/>
    <x v="4"/>
    <s v="네이버 브랜드검색"/>
    <x v="0"/>
    <x v="0"/>
    <x v="0"/>
    <m/>
    <m/>
    <n v="50000"/>
    <m/>
    <m/>
    <m/>
  </r>
  <r>
    <x v="434"/>
    <x v="4"/>
    <s v="카카오광고"/>
    <x v="0"/>
    <x v="0"/>
    <x v="0"/>
    <m/>
    <m/>
    <n v="19550"/>
    <m/>
    <m/>
    <m/>
  </r>
  <r>
    <x v="434"/>
    <x v="4"/>
    <s v="카카오광고"/>
    <x v="14"/>
    <x v="0"/>
    <x v="0"/>
    <m/>
    <m/>
    <n v="854.9999999999999"/>
    <m/>
    <m/>
    <m/>
  </r>
  <r>
    <x v="434"/>
    <x v="4"/>
    <s v="유튜브 디스커버리"/>
    <x v="0"/>
    <x v="0"/>
    <x v="0"/>
    <m/>
    <m/>
    <n v="770309"/>
    <m/>
    <m/>
    <m/>
  </r>
  <r>
    <x v="434"/>
    <x v="4"/>
    <s v="네이버 쇼핑검색"/>
    <x v="10"/>
    <x v="0"/>
    <x v="0"/>
    <m/>
    <m/>
    <n v="54049.99999999999"/>
    <m/>
    <m/>
    <m/>
  </r>
  <r>
    <x v="434"/>
    <x v="4"/>
    <s v="네이버 GFA"/>
    <x v="0"/>
    <x v="0"/>
    <x v="0"/>
    <m/>
    <m/>
    <n v="87133.63636363635"/>
    <m/>
    <m/>
    <m/>
  </r>
  <r>
    <x v="434"/>
    <x v="4"/>
    <s v="네이버 GFA"/>
    <x v="7"/>
    <x v="0"/>
    <x v="0"/>
    <m/>
    <m/>
    <n v="1236332.727272727"/>
    <m/>
    <m/>
    <m/>
  </r>
  <r>
    <x v="435"/>
    <x v="1"/>
    <s v="페이스북/인스타그램"/>
    <x v="7"/>
    <x v="0"/>
    <x v="0"/>
    <m/>
    <m/>
    <n v="939509"/>
    <m/>
    <m/>
    <m/>
  </r>
  <r>
    <x v="435"/>
    <x v="1"/>
    <s v="페이스북/인스타그램"/>
    <x v="0"/>
    <x v="0"/>
    <x v="0"/>
    <m/>
    <m/>
    <n v="1076522"/>
    <m/>
    <m/>
    <m/>
  </r>
  <r>
    <x v="435"/>
    <x v="1"/>
    <s v="페이스북/인스타그램"/>
    <x v="13"/>
    <x v="0"/>
    <x v="0"/>
    <m/>
    <m/>
    <n v="28707"/>
    <m/>
    <m/>
    <m/>
  </r>
  <r>
    <x v="435"/>
    <x v="1"/>
    <s v="네이버 브랜드검색"/>
    <x v="0"/>
    <x v="0"/>
    <x v="0"/>
    <m/>
    <m/>
    <n v="50000"/>
    <m/>
    <m/>
    <m/>
  </r>
  <r>
    <x v="435"/>
    <x v="1"/>
    <s v="카카오광고"/>
    <x v="0"/>
    <x v="0"/>
    <x v="0"/>
    <m/>
    <m/>
    <n v="19710"/>
    <m/>
    <m/>
    <m/>
  </r>
  <r>
    <x v="435"/>
    <x v="1"/>
    <s v="카카오광고"/>
    <x v="15"/>
    <x v="0"/>
    <x v="0"/>
    <m/>
    <m/>
    <n v="394994.9999999999"/>
    <m/>
    <m/>
    <m/>
  </r>
  <r>
    <x v="435"/>
    <x v="1"/>
    <s v="유튜브 디스커버리"/>
    <x v="0"/>
    <x v="0"/>
    <x v="0"/>
    <m/>
    <m/>
    <n v="787971"/>
    <m/>
    <m/>
    <m/>
  </r>
  <r>
    <x v="435"/>
    <x v="1"/>
    <s v="네이버 쇼핑검색"/>
    <x v="10"/>
    <x v="0"/>
    <x v="0"/>
    <m/>
    <m/>
    <n v="41990"/>
    <m/>
    <m/>
    <m/>
  </r>
  <r>
    <x v="435"/>
    <x v="1"/>
    <s v="네이버 GFA"/>
    <x v="0"/>
    <x v="0"/>
    <x v="0"/>
    <m/>
    <m/>
    <n v="89142.72727272726"/>
    <m/>
    <m/>
    <m/>
  </r>
  <r>
    <x v="435"/>
    <x v="1"/>
    <s v="네이버 GFA"/>
    <x v="7"/>
    <x v="0"/>
    <x v="0"/>
    <m/>
    <m/>
    <n v="1364131.818181818"/>
    <m/>
    <m/>
    <m/>
  </r>
  <r>
    <x v="436"/>
    <x v="0"/>
    <s v="페이스북/인스타그램"/>
    <x v="7"/>
    <x v="0"/>
    <x v="0"/>
    <m/>
    <m/>
    <n v="805790"/>
    <m/>
    <m/>
    <m/>
  </r>
  <r>
    <x v="436"/>
    <x v="0"/>
    <s v="페이스북/인스타그램"/>
    <x v="0"/>
    <x v="0"/>
    <x v="0"/>
    <m/>
    <m/>
    <n v="1323945"/>
    <m/>
    <m/>
    <m/>
  </r>
  <r>
    <x v="436"/>
    <x v="0"/>
    <s v="페이스북/인스타그램"/>
    <x v="13"/>
    <x v="0"/>
    <x v="0"/>
    <m/>
    <m/>
    <n v="29653"/>
    <m/>
    <m/>
    <m/>
  </r>
  <r>
    <x v="436"/>
    <x v="0"/>
    <s v="네이버 브랜드검색"/>
    <x v="0"/>
    <x v="0"/>
    <x v="0"/>
    <m/>
    <m/>
    <n v="50000"/>
    <m/>
    <m/>
    <m/>
  </r>
  <r>
    <x v="436"/>
    <x v="0"/>
    <s v="카카오광고"/>
    <x v="0"/>
    <x v="0"/>
    <x v="0"/>
    <m/>
    <m/>
    <n v="22748"/>
    <m/>
    <m/>
    <m/>
  </r>
  <r>
    <x v="436"/>
    <x v="0"/>
    <s v="유튜브 디스커버리"/>
    <x v="0"/>
    <x v="0"/>
    <x v="0"/>
    <m/>
    <m/>
    <n v="617778"/>
    <m/>
    <m/>
    <m/>
  </r>
  <r>
    <x v="436"/>
    <x v="0"/>
    <s v="네이버 쇼핑검색"/>
    <x v="10"/>
    <x v="0"/>
    <x v="0"/>
    <m/>
    <m/>
    <n v="38010"/>
    <m/>
    <m/>
    <m/>
  </r>
  <r>
    <x v="436"/>
    <x v="0"/>
    <s v="네이버 GFA"/>
    <x v="0"/>
    <x v="0"/>
    <x v="0"/>
    <m/>
    <m/>
    <n v="81578.18181818181"/>
    <m/>
    <m/>
    <m/>
  </r>
  <r>
    <x v="436"/>
    <x v="0"/>
    <s v="네이버 GFA"/>
    <x v="7"/>
    <x v="0"/>
    <x v="0"/>
    <m/>
    <m/>
    <n v="1176778.181818182"/>
    <m/>
    <m/>
    <m/>
  </r>
  <r>
    <x v="437"/>
    <x v="2"/>
    <s v="네이버 브랜드검색"/>
    <x v="0"/>
    <x v="0"/>
    <x v="0"/>
    <m/>
    <m/>
    <n v="50000"/>
    <m/>
    <m/>
    <m/>
  </r>
  <r>
    <x v="438"/>
    <x v="5"/>
    <s v="네이버 브랜드검색"/>
    <x v="0"/>
    <x v="0"/>
    <x v="0"/>
    <m/>
    <m/>
    <n v="50000"/>
    <m/>
    <m/>
    <m/>
  </r>
  <r>
    <x v="439"/>
    <x v="6"/>
    <s v="네이버 브랜드검색"/>
    <x v="0"/>
    <x v="0"/>
    <x v="0"/>
    <m/>
    <m/>
    <n v="50000"/>
    <m/>
    <m/>
    <m/>
  </r>
  <r>
    <x v="437"/>
    <x v="2"/>
    <s v="페이스북/인스타그램"/>
    <x v="13"/>
    <x v="0"/>
    <x v="0"/>
    <m/>
    <m/>
    <n v="29765"/>
    <m/>
    <m/>
    <m/>
  </r>
  <r>
    <x v="438"/>
    <x v="5"/>
    <s v="페이스북/인스타그램"/>
    <x v="13"/>
    <x v="0"/>
    <x v="0"/>
    <m/>
    <m/>
    <n v="32830"/>
    <m/>
    <m/>
    <m/>
  </r>
  <r>
    <x v="439"/>
    <x v="6"/>
    <s v="페이스북/인스타그램"/>
    <x v="13"/>
    <x v="0"/>
    <x v="0"/>
    <m/>
    <m/>
    <n v="29945"/>
    <m/>
    <m/>
    <m/>
  </r>
  <r>
    <x v="437"/>
    <x v="2"/>
    <s v="페이스북/인스타그램"/>
    <x v="0"/>
    <x v="0"/>
    <x v="0"/>
    <m/>
    <m/>
    <n v="1036025"/>
    <m/>
    <m/>
    <m/>
  </r>
  <r>
    <x v="438"/>
    <x v="5"/>
    <s v="페이스북/인스타그램"/>
    <x v="0"/>
    <x v="0"/>
    <x v="0"/>
    <m/>
    <m/>
    <n v="651098"/>
    <m/>
    <m/>
    <m/>
  </r>
  <r>
    <x v="439"/>
    <x v="6"/>
    <s v="페이스북/인스타그램"/>
    <x v="0"/>
    <x v="0"/>
    <x v="0"/>
    <m/>
    <m/>
    <n v="690242"/>
    <m/>
    <m/>
    <m/>
  </r>
  <r>
    <x v="437"/>
    <x v="2"/>
    <s v="페이스북/인스타그램"/>
    <x v="7"/>
    <x v="0"/>
    <x v="0"/>
    <m/>
    <m/>
    <n v="680743"/>
    <m/>
    <m/>
    <m/>
  </r>
  <r>
    <x v="438"/>
    <x v="5"/>
    <s v="페이스북/인스타그램"/>
    <x v="7"/>
    <x v="0"/>
    <x v="0"/>
    <m/>
    <m/>
    <n v="459554"/>
    <m/>
    <m/>
    <m/>
  </r>
  <r>
    <x v="439"/>
    <x v="6"/>
    <s v="페이스북/인스타그램"/>
    <x v="7"/>
    <x v="0"/>
    <x v="0"/>
    <m/>
    <m/>
    <n v="534059"/>
    <m/>
    <m/>
    <m/>
  </r>
  <r>
    <x v="437"/>
    <x v="2"/>
    <s v="카카오광고"/>
    <x v="0"/>
    <x v="0"/>
    <x v="0"/>
    <m/>
    <m/>
    <n v="20840"/>
    <m/>
    <m/>
    <m/>
  </r>
  <r>
    <x v="438"/>
    <x v="5"/>
    <s v="카카오광고"/>
    <x v="0"/>
    <x v="0"/>
    <x v="0"/>
    <m/>
    <m/>
    <n v="18830"/>
    <m/>
    <m/>
    <m/>
  </r>
  <r>
    <x v="439"/>
    <x v="6"/>
    <s v="카카오광고"/>
    <x v="0"/>
    <x v="0"/>
    <x v="0"/>
    <m/>
    <m/>
    <n v="18950"/>
    <m/>
    <m/>
    <m/>
  </r>
  <r>
    <x v="437"/>
    <x v="2"/>
    <s v="유튜브 디스커버리"/>
    <x v="0"/>
    <x v="0"/>
    <x v="0"/>
    <m/>
    <m/>
    <n v="182561"/>
    <m/>
    <m/>
    <m/>
  </r>
  <r>
    <x v="439"/>
    <x v="6"/>
    <s v="유튜브 디스커버리"/>
    <x v="0"/>
    <x v="0"/>
    <x v="0"/>
    <m/>
    <m/>
    <n v="1095387"/>
    <m/>
    <m/>
    <m/>
  </r>
  <r>
    <x v="437"/>
    <x v="2"/>
    <s v="네이버 쇼핑검색"/>
    <x v="10"/>
    <x v="0"/>
    <x v="0"/>
    <m/>
    <m/>
    <n v="43560"/>
    <m/>
    <m/>
    <m/>
  </r>
  <r>
    <x v="438"/>
    <x v="5"/>
    <s v="네이버 쇼핑검색"/>
    <x v="10"/>
    <x v="0"/>
    <x v="0"/>
    <m/>
    <m/>
    <n v="38790"/>
    <m/>
    <m/>
    <m/>
  </r>
  <r>
    <x v="439"/>
    <x v="6"/>
    <s v="네이버 쇼핑검색"/>
    <x v="10"/>
    <x v="0"/>
    <x v="0"/>
    <m/>
    <m/>
    <n v="48489.99999999999"/>
    <m/>
    <m/>
    <m/>
  </r>
  <r>
    <x v="437"/>
    <x v="2"/>
    <s v="네이버 GFA"/>
    <x v="0"/>
    <x v="0"/>
    <x v="0"/>
    <m/>
    <m/>
    <n v="108913.6363636364"/>
    <m/>
    <m/>
    <m/>
  </r>
  <r>
    <x v="438"/>
    <x v="5"/>
    <s v="네이버 GFA"/>
    <x v="0"/>
    <x v="0"/>
    <x v="0"/>
    <m/>
    <m/>
    <n v="115110.9090909091"/>
    <m/>
    <m/>
    <m/>
  </r>
  <r>
    <x v="439"/>
    <x v="6"/>
    <s v="네이버 GFA"/>
    <x v="0"/>
    <x v="0"/>
    <x v="0"/>
    <m/>
    <m/>
    <n v="115298.1818181818"/>
    <m/>
    <m/>
    <m/>
  </r>
  <r>
    <x v="437"/>
    <x v="2"/>
    <s v="네이버 GFA"/>
    <x v="7"/>
    <x v="0"/>
    <x v="0"/>
    <m/>
    <m/>
    <n v="738482.7272727272"/>
    <m/>
    <m/>
    <m/>
  </r>
  <r>
    <x v="438"/>
    <x v="5"/>
    <s v="네이버 GFA"/>
    <x v="7"/>
    <x v="0"/>
    <x v="0"/>
    <m/>
    <m/>
    <n v="402244.5454545454"/>
    <m/>
    <m/>
    <m/>
  </r>
  <r>
    <x v="439"/>
    <x v="6"/>
    <s v="네이버 GFA"/>
    <x v="7"/>
    <x v="0"/>
    <x v="0"/>
    <m/>
    <m/>
    <n v="456658.1818181818"/>
    <m/>
    <m/>
    <m/>
  </r>
  <r>
    <x v="440"/>
    <x v="3"/>
    <s v="네이버 브랜드검색"/>
    <x v="0"/>
    <x v="0"/>
    <x v="0"/>
    <m/>
    <m/>
    <n v="50000"/>
    <m/>
    <m/>
    <m/>
  </r>
  <r>
    <x v="440"/>
    <x v="3"/>
    <s v="페이스북/인스타그램"/>
    <x v="7"/>
    <x v="0"/>
    <x v="0"/>
    <m/>
    <m/>
    <n v="667461"/>
    <m/>
    <m/>
    <m/>
  </r>
  <r>
    <x v="440"/>
    <x v="3"/>
    <s v="페이스북/인스타그램"/>
    <x v="0"/>
    <x v="0"/>
    <x v="0"/>
    <m/>
    <m/>
    <n v="708904"/>
    <m/>
    <m/>
    <m/>
  </r>
  <r>
    <x v="440"/>
    <x v="3"/>
    <s v="페이스북/인스타그램"/>
    <x v="13"/>
    <x v="0"/>
    <x v="0"/>
    <m/>
    <m/>
    <n v="28398"/>
    <m/>
    <m/>
    <m/>
  </r>
  <r>
    <x v="440"/>
    <x v="3"/>
    <s v="유튜브 디스커버리"/>
    <x v="0"/>
    <x v="0"/>
    <x v="0"/>
    <m/>
    <m/>
    <n v="600833"/>
    <m/>
    <m/>
    <m/>
  </r>
  <r>
    <x v="440"/>
    <x v="3"/>
    <s v="네이버 쇼핑검색"/>
    <x v="10"/>
    <x v="0"/>
    <x v="0"/>
    <m/>
    <m/>
    <n v="45529.99999999999"/>
    <m/>
    <m/>
    <m/>
  </r>
  <r>
    <x v="440"/>
    <x v="3"/>
    <s v="카카오광고"/>
    <x v="0"/>
    <x v="0"/>
    <x v="0"/>
    <m/>
    <m/>
    <n v="19340"/>
    <m/>
    <m/>
    <m/>
  </r>
  <r>
    <x v="440"/>
    <x v="3"/>
    <s v="네이버 GFA"/>
    <x v="0"/>
    <x v="0"/>
    <x v="0"/>
    <m/>
    <m/>
    <n v="294351.8181818182"/>
    <m/>
    <m/>
    <m/>
  </r>
  <r>
    <x v="440"/>
    <x v="3"/>
    <s v="네이버 GFA"/>
    <x v="7"/>
    <x v="0"/>
    <x v="0"/>
    <m/>
    <m/>
    <n v="803529.9999999999"/>
    <m/>
    <m/>
    <m/>
  </r>
  <r>
    <x v="441"/>
    <x v="4"/>
    <s v="네이버 브랜드검색"/>
    <x v="0"/>
    <x v="0"/>
    <x v="0"/>
    <m/>
    <m/>
    <n v="50000"/>
    <m/>
    <m/>
    <m/>
  </r>
  <r>
    <x v="441"/>
    <x v="4"/>
    <s v="페이스북/인스타그램"/>
    <x v="7"/>
    <x v="0"/>
    <x v="0"/>
    <m/>
    <m/>
    <n v="617038"/>
    <m/>
    <m/>
    <m/>
  </r>
  <r>
    <x v="441"/>
    <x v="4"/>
    <s v="페이스북/인스타그램"/>
    <x v="0"/>
    <x v="0"/>
    <x v="0"/>
    <m/>
    <m/>
    <n v="697755"/>
    <m/>
    <m/>
    <m/>
  </r>
  <r>
    <x v="441"/>
    <x v="4"/>
    <s v="페이스북/인스타그램"/>
    <x v="13"/>
    <x v="0"/>
    <x v="0"/>
    <m/>
    <m/>
    <n v="28614"/>
    <m/>
    <m/>
    <m/>
  </r>
  <r>
    <x v="441"/>
    <x v="4"/>
    <s v="유튜브 디스커버리"/>
    <x v="0"/>
    <x v="0"/>
    <x v="0"/>
    <m/>
    <m/>
    <n v="511588"/>
    <m/>
    <m/>
    <m/>
  </r>
  <r>
    <x v="441"/>
    <x v="4"/>
    <s v="네이버 쇼핑검색"/>
    <x v="10"/>
    <x v="0"/>
    <x v="0"/>
    <m/>
    <m/>
    <n v="41870"/>
    <m/>
    <m/>
    <m/>
  </r>
  <r>
    <x v="441"/>
    <x v="4"/>
    <s v="카카오광고"/>
    <x v="0"/>
    <x v="0"/>
    <x v="0"/>
    <m/>
    <m/>
    <n v="19610"/>
    <m/>
    <m/>
    <m/>
  </r>
  <r>
    <x v="441"/>
    <x v="4"/>
    <s v="네이버 GFA"/>
    <x v="0"/>
    <x v="0"/>
    <x v="0"/>
    <m/>
    <m/>
    <n v="74514.54545454544"/>
    <m/>
    <m/>
    <m/>
  </r>
  <r>
    <x v="441"/>
    <x v="4"/>
    <s v="네이버 GFA"/>
    <x v="7"/>
    <x v="0"/>
    <x v="0"/>
    <m/>
    <m/>
    <n v="827286.3636363635"/>
    <m/>
    <m/>
    <m/>
  </r>
  <r>
    <x v="442"/>
    <x v="1"/>
    <s v="네이버 브랜드검색"/>
    <x v="0"/>
    <x v="0"/>
    <x v="0"/>
    <m/>
    <m/>
    <n v="50000"/>
    <m/>
    <m/>
    <m/>
  </r>
  <r>
    <x v="442"/>
    <x v="1"/>
    <s v="페이스북/인스타그램"/>
    <x v="7"/>
    <x v="0"/>
    <x v="0"/>
    <m/>
    <m/>
    <n v="351879"/>
    <m/>
    <m/>
    <m/>
  </r>
  <r>
    <x v="442"/>
    <x v="1"/>
    <s v="페이스북/인스타그램"/>
    <x v="0"/>
    <x v="0"/>
    <x v="0"/>
    <m/>
    <m/>
    <n v="531512"/>
    <m/>
    <m/>
    <m/>
  </r>
  <r>
    <x v="442"/>
    <x v="1"/>
    <s v="페이스북/인스타그램"/>
    <x v="13"/>
    <x v="0"/>
    <x v="0"/>
    <m/>
    <m/>
    <n v="29780"/>
    <m/>
    <m/>
    <m/>
  </r>
  <r>
    <x v="442"/>
    <x v="1"/>
    <s v="유튜브 디스커버리"/>
    <x v="0"/>
    <x v="0"/>
    <x v="0"/>
    <m/>
    <m/>
    <n v="473220"/>
    <m/>
    <m/>
    <m/>
  </r>
  <r>
    <x v="442"/>
    <x v="1"/>
    <s v="네이버 쇼핑검색"/>
    <x v="10"/>
    <x v="0"/>
    <x v="0"/>
    <m/>
    <m/>
    <n v="53639.99999999999"/>
    <m/>
    <m/>
    <m/>
  </r>
  <r>
    <x v="442"/>
    <x v="1"/>
    <s v="카카오광고"/>
    <x v="0"/>
    <x v="0"/>
    <x v="0"/>
    <m/>
    <m/>
    <n v="20650"/>
    <m/>
    <m/>
    <m/>
  </r>
  <r>
    <x v="442"/>
    <x v="1"/>
    <s v="네이버 GFA"/>
    <x v="0"/>
    <x v="0"/>
    <x v="0"/>
    <m/>
    <m/>
    <n v="80195.45454545454"/>
    <m/>
    <m/>
    <m/>
  </r>
  <r>
    <x v="442"/>
    <x v="1"/>
    <s v="네이버 GFA"/>
    <x v="7"/>
    <x v="0"/>
    <x v="0"/>
    <m/>
    <m/>
    <n v="1017833.636363636"/>
    <m/>
    <m/>
    <m/>
  </r>
  <r>
    <x v="443"/>
    <x v="0"/>
    <s v="네이버 브랜드검색"/>
    <x v="0"/>
    <x v="0"/>
    <x v="0"/>
    <m/>
    <m/>
    <n v="50000"/>
    <m/>
    <m/>
    <m/>
  </r>
  <r>
    <x v="443"/>
    <x v="0"/>
    <s v="페이스북/인스타그램"/>
    <x v="7"/>
    <x v="0"/>
    <x v="0"/>
    <m/>
    <m/>
    <n v="532595"/>
    <m/>
    <m/>
    <m/>
  </r>
  <r>
    <x v="443"/>
    <x v="0"/>
    <s v="페이스북/인스타그램"/>
    <x v="13"/>
    <x v="0"/>
    <x v="0"/>
    <m/>
    <m/>
    <n v="29907"/>
    <m/>
    <m/>
    <m/>
  </r>
  <r>
    <x v="443"/>
    <x v="0"/>
    <s v="페이스북/인스타그램"/>
    <x v="0"/>
    <x v="0"/>
    <x v="0"/>
    <m/>
    <m/>
    <n v="403242"/>
    <m/>
    <m/>
    <m/>
  </r>
  <r>
    <x v="443"/>
    <x v="0"/>
    <s v="유튜브 디스커버리"/>
    <x v="0"/>
    <x v="0"/>
    <x v="0"/>
    <m/>
    <m/>
    <n v="393785"/>
    <m/>
    <m/>
    <m/>
  </r>
  <r>
    <x v="443"/>
    <x v="0"/>
    <s v="네이버 쇼핑검색"/>
    <x v="10"/>
    <x v="0"/>
    <x v="0"/>
    <m/>
    <m/>
    <n v="40238"/>
    <m/>
    <m/>
    <m/>
  </r>
  <r>
    <x v="443"/>
    <x v="0"/>
    <s v="카카오광고"/>
    <x v="0"/>
    <x v="0"/>
    <x v="0"/>
    <m/>
    <m/>
    <n v="20944"/>
    <m/>
    <m/>
    <m/>
  </r>
  <r>
    <x v="443"/>
    <x v="0"/>
    <s v="네이버 GFA"/>
    <x v="0"/>
    <x v="0"/>
    <x v="0"/>
    <m/>
    <m/>
    <n v="115568"/>
    <m/>
    <m/>
    <m/>
  </r>
  <r>
    <x v="443"/>
    <x v="0"/>
    <s v="네이버 GFA"/>
    <x v="7"/>
    <x v="0"/>
    <x v="0"/>
    <m/>
    <m/>
    <n v="1659017"/>
    <m/>
    <m/>
    <m/>
  </r>
  <r>
    <x v="444"/>
    <x v="2"/>
    <s v="네이버 브랜드검색"/>
    <x v="0"/>
    <x v="0"/>
    <x v="0"/>
    <m/>
    <m/>
    <n v="50000"/>
    <m/>
    <m/>
    <m/>
  </r>
  <r>
    <x v="445"/>
    <x v="5"/>
    <s v="네이버 브랜드검색"/>
    <x v="10"/>
    <x v="0"/>
    <x v="0"/>
    <m/>
    <m/>
    <n v="50000"/>
    <m/>
    <m/>
    <m/>
  </r>
  <r>
    <x v="446"/>
    <x v="6"/>
    <s v="네이버 브랜드검색"/>
    <x v="10"/>
    <x v="0"/>
    <x v="0"/>
    <m/>
    <m/>
    <n v="50000"/>
    <m/>
    <m/>
    <m/>
  </r>
  <r>
    <x v="444"/>
    <x v="2"/>
    <s v="페이스북/인스타그램"/>
    <x v="13"/>
    <x v="0"/>
    <x v="0"/>
    <m/>
    <m/>
    <n v="30117"/>
    <m/>
    <m/>
    <m/>
  </r>
  <r>
    <x v="445"/>
    <x v="5"/>
    <s v="페이스북/인스타그램"/>
    <x v="13"/>
    <x v="0"/>
    <x v="0"/>
    <m/>
    <m/>
    <n v="33190"/>
    <m/>
    <m/>
    <m/>
  </r>
  <r>
    <x v="446"/>
    <x v="6"/>
    <s v="페이스북/인스타그램"/>
    <x v="13"/>
    <x v="0"/>
    <x v="0"/>
    <m/>
    <m/>
    <n v="29831"/>
    <m/>
    <m/>
    <m/>
  </r>
  <r>
    <x v="444"/>
    <x v="2"/>
    <s v="페이스북/인스타그램"/>
    <x v="0"/>
    <x v="0"/>
    <x v="0"/>
    <m/>
    <m/>
    <n v="476717"/>
    <m/>
    <m/>
    <m/>
  </r>
  <r>
    <x v="445"/>
    <x v="5"/>
    <s v="페이스북/인스타그램"/>
    <x v="0"/>
    <x v="0"/>
    <x v="0"/>
    <m/>
    <m/>
    <n v="273939"/>
    <m/>
    <m/>
    <m/>
  </r>
  <r>
    <x v="446"/>
    <x v="6"/>
    <s v="페이스북/인스타그램"/>
    <x v="0"/>
    <x v="0"/>
    <x v="0"/>
    <m/>
    <m/>
    <n v="441639"/>
    <m/>
    <m/>
    <m/>
  </r>
  <r>
    <x v="444"/>
    <x v="2"/>
    <s v="페이스북/인스타그램"/>
    <x v="7"/>
    <x v="0"/>
    <x v="0"/>
    <m/>
    <m/>
    <n v="520593"/>
    <m/>
    <m/>
    <m/>
  </r>
  <r>
    <x v="445"/>
    <x v="5"/>
    <s v="페이스북/인스타그램"/>
    <x v="7"/>
    <x v="0"/>
    <x v="0"/>
    <m/>
    <m/>
    <n v="264465"/>
    <m/>
    <m/>
    <m/>
  </r>
  <r>
    <x v="446"/>
    <x v="6"/>
    <s v="페이스북/인스타그램"/>
    <x v="7"/>
    <x v="0"/>
    <x v="0"/>
    <m/>
    <m/>
    <n v="390906"/>
    <m/>
    <m/>
    <m/>
  </r>
  <r>
    <x v="444"/>
    <x v="2"/>
    <s v="유튜브 디스커버리"/>
    <x v="0"/>
    <x v="0"/>
    <x v="0"/>
    <m/>
    <m/>
    <n v="983"/>
    <m/>
    <m/>
    <m/>
  </r>
  <r>
    <x v="444"/>
    <x v="2"/>
    <s v="유튜브 디스커버리"/>
    <x v="0"/>
    <x v="0"/>
    <x v="0"/>
    <m/>
    <m/>
    <n v="208744"/>
    <m/>
    <m/>
    <m/>
  </r>
  <r>
    <x v="446"/>
    <x v="6"/>
    <s v="유튜브 디스커버리"/>
    <x v="0"/>
    <x v="0"/>
    <x v="0"/>
    <m/>
    <m/>
    <n v="79344"/>
    <m/>
    <m/>
    <m/>
  </r>
  <r>
    <x v="446"/>
    <x v="6"/>
    <s v="유튜브 디스커버리"/>
    <x v="0"/>
    <x v="0"/>
    <x v="0"/>
    <m/>
    <m/>
    <n v="197720"/>
    <m/>
    <m/>
    <m/>
  </r>
  <r>
    <x v="446"/>
    <x v="6"/>
    <s v="유튜브 디스커버리"/>
    <x v="0"/>
    <x v="0"/>
    <x v="0"/>
    <m/>
    <m/>
    <n v="503223"/>
    <m/>
    <m/>
    <m/>
  </r>
  <r>
    <x v="444"/>
    <x v="2"/>
    <s v="네이버 쇼핑검색"/>
    <x v="10"/>
    <x v="0"/>
    <x v="0"/>
    <m/>
    <m/>
    <n v="55770"/>
    <m/>
    <m/>
    <m/>
  </r>
  <r>
    <x v="445"/>
    <x v="5"/>
    <s v="네이버 쇼핑검색"/>
    <x v="10"/>
    <x v="0"/>
    <x v="0"/>
    <m/>
    <m/>
    <n v="58058"/>
    <m/>
    <m/>
    <m/>
  </r>
  <r>
    <x v="446"/>
    <x v="6"/>
    <s v="네이버 쇼핑검색"/>
    <x v="10"/>
    <x v="0"/>
    <x v="0"/>
    <m/>
    <m/>
    <n v="77891"/>
    <m/>
    <m/>
    <m/>
  </r>
  <r>
    <x v="444"/>
    <x v="2"/>
    <s v="카카오광고"/>
    <x v="0"/>
    <x v="0"/>
    <x v="0"/>
    <m/>
    <m/>
    <n v="20933"/>
    <m/>
    <m/>
    <m/>
  </r>
  <r>
    <x v="445"/>
    <x v="5"/>
    <s v="카카오광고"/>
    <x v="0"/>
    <x v="0"/>
    <x v="0"/>
    <m/>
    <m/>
    <n v="21384"/>
    <m/>
    <m/>
    <m/>
  </r>
  <r>
    <x v="446"/>
    <x v="6"/>
    <s v="카카오광고"/>
    <x v="0"/>
    <x v="0"/>
    <x v="0"/>
    <m/>
    <m/>
    <n v="20339"/>
    <m/>
    <m/>
    <m/>
  </r>
  <r>
    <x v="444"/>
    <x v="2"/>
    <s v="네이버 GFA"/>
    <x v="0"/>
    <x v="0"/>
    <x v="0"/>
    <m/>
    <m/>
    <n v="109865"/>
    <m/>
    <m/>
    <m/>
  </r>
  <r>
    <x v="445"/>
    <x v="5"/>
    <s v="네이버 GFA"/>
    <x v="0"/>
    <x v="0"/>
    <x v="0"/>
    <m/>
    <m/>
    <n v="113894"/>
    <m/>
    <m/>
    <m/>
  </r>
  <r>
    <x v="446"/>
    <x v="6"/>
    <s v="네이버 GFA"/>
    <x v="0"/>
    <x v="0"/>
    <x v="0"/>
    <m/>
    <m/>
    <n v="310218"/>
    <m/>
    <m/>
    <m/>
  </r>
  <r>
    <x v="444"/>
    <x v="2"/>
    <s v="네이버 GFA"/>
    <x v="7"/>
    <x v="0"/>
    <x v="0"/>
    <m/>
    <m/>
    <n v="3345112"/>
    <m/>
    <m/>
    <m/>
  </r>
  <r>
    <x v="445"/>
    <x v="5"/>
    <s v="네이버 GFA"/>
    <x v="7"/>
    <x v="0"/>
    <x v="0"/>
    <m/>
    <m/>
    <n v="943232"/>
    <m/>
    <m/>
    <m/>
  </r>
  <r>
    <x v="446"/>
    <x v="6"/>
    <s v="네이버 GFA"/>
    <x v="7"/>
    <x v="0"/>
    <x v="0"/>
    <m/>
    <m/>
    <n v="1230760"/>
    <m/>
    <m/>
    <m/>
  </r>
  <r>
    <x v="447"/>
    <x v="3"/>
    <s v="네이버 브랜드검색"/>
    <x v="0"/>
    <x v="0"/>
    <x v="0"/>
    <m/>
    <m/>
    <n v="50000"/>
    <m/>
    <m/>
    <m/>
  </r>
  <r>
    <x v="447"/>
    <x v="3"/>
    <s v="페이스북/인스타그램"/>
    <x v="7"/>
    <x v="0"/>
    <x v="0"/>
    <m/>
    <m/>
    <n v="556870"/>
    <m/>
    <m/>
    <m/>
  </r>
  <r>
    <x v="447"/>
    <x v="3"/>
    <s v="페이스북/인스타그램"/>
    <x v="13"/>
    <x v="0"/>
    <x v="0"/>
    <m/>
    <m/>
    <n v="28288"/>
    <m/>
    <m/>
    <m/>
  </r>
  <r>
    <x v="447"/>
    <x v="3"/>
    <s v="페이스북/인스타그램"/>
    <x v="0"/>
    <x v="0"/>
    <x v="0"/>
    <m/>
    <m/>
    <n v="502275"/>
    <m/>
    <m/>
    <m/>
  </r>
  <r>
    <x v="447"/>
    <x v="3"/>
    <s v="유튜브 디스커버리"/>
    <x v="10"/>
    <x v="0"/>
    <x v="0"/>
    <m/>
    <m/>
    <n v="15894"/>
    <m/>
    <m/>
    <m/>
  </r>
  <r>
    <x v="447"/>
    <x v="3"/>
    <s v="유튜브 디스커버리"/>
    <x v="10"/>
    <x v="0"/>
    <x v="0"/>
    <m/>
    <m/>
    <n v="236787"/>
    <m/>
    <m/>
    <m/>
  </r>
  <r>
    <x v="447"/>
    <x v="3"/>
    <s v="유튜브 디스커버리"/>
    <x v="10"/>
    <x v="0"/>
    <x v="0"/>
    <m/>
    <m/>
    <n v="376148"/>
    <m/>
    <m/>
    <m/>
  </r>
  <r>
    <x v="447"/>
    <x v="3"/>
    <s v="네이버 쇼핑검색"/>
    <x v="10"/>
    <x v="0"/>
    <x v="0"/>
    <m/>
    <m/>
    <n v="79086.36363636363"/>
    <m/>
    <m/>
    <m/>
  </r>
  <r>
    <x v="447"/>
    <x v="3"/>
    <s v="카카오광고"/>
    <x v="0"/>
    <x v="0"/>
    <x v="0"/>
    <m/>
    <m/>
    <n v="21010"/>
    <m/>
    <m/>
    <m/>
  </r>
  <r>
    <x v="447"/>
    <x v="3"/>
    <s v="네이버 GFA"/>
    <x v="0"/>
    <x v="0"/>
    <x v="0"/>
    <m/>
    <m/>
    <n v="295571.8181818182"/>
    <m/>
    <m/>
    <m/>
  </r>
  <r>
    <x v="447"/>
    <x v="3"/>
    <s v="네이버 GFA"/>
    <x v="7"/>
    <x v="0"/>
    <x v="0"/>
    <m/>
    <m/>
    <n v="2491376.363636363"/>
    <m/>
    <m/>
    <m/>
  </r>
  <r>
    <x v="448"/>
    <x v="4"/>
    <s v="네이버 브랜드검색"/>
    <x v="0"/>
    <x v="0"/>
    <x v="0"/>
    <m/>
    <m/>
    <n v="50000"/>
    <m/>
    <m/>
    <m/>
  </r>
  <r>
    <x v="448"/>
    <x v="4"/>
    <s v="페이스북/인스타그램"/>
    <x v="0"/>
    <x v="0"/>
    <x v="0"/>
    <m/>
    <m/>
    <n v="508977"/>
    <m/>
    <m/>
    <m/>
  </r>
  <r>
    <x v="448"/>
    <x v="4"/>
    <s v="페이스북/인스타그램"/>
    <x v="13"/>
    <x v="0"/>
    <x v="0"/>
    <m/>
    <m/>
    <n v="30422"/>
    <m/>
    <m/>
    <m/>
  </r>
  <r>
    <x v="448"/>
    <x v="4"/>
    <s v="페이스북/인스타그램"/>
    <x v="7"/>
    <x v="0"/>
    <x v="0"/>
    <m/>
    <m/>
    <n v="658660"/>
    <m/>
    <m/>
    <m/>
  </r>
  <r>
    <x v="448"/>
    <x v="4"/>
    <s v="유튜브 디스커버리"/>
    <x v="0"/>
    <x v="0"/>
    <x v="0"/>
    <m/>
    <m/>
    <n v="215606"/>
    <m/>
    <m/>
    <m/>
  </r>
  <r>
    <x v="448"/>
    <x v="4"/>
    <s v="유튜브 디스커버리"/>
    <x v="0"/>
    <x v="0"/>
    <x v="0"/>
    <m/>
    <m/>
    <n v="351084"/>
    <m/>
    <m/>
    <m/>
  </r>
  <r>
    <x v="448"/>
    <x v="4"/>
    <s v="유튜브 디스커버리"/>
    <x v="0"/>
    <x v="0"/>
    <x v="0"/>
    <m/>
    <m/>
    <n v="49021"/>
    <m/>
    <m/>
    <m/>
  </r>
  <r>
    <x v="448"/>
    <x v="4"/>
    <s v="네이버 쇼핑검색"/>
    <x v="10"/>
    <x v="0"/>
    <x v="0"/>
    <m/>
    <m/>
    <n v="73200"/>
    <m/>
    <m/>
    <m/>
  </r>
  <r>
    <x v="448"/>
    <x v="4"/>
    <s v="네이버 쇼핑검색"/>
    <x v="10"/>
    <x v="0"/>
    <x v="0"/>
    <m/>
    <m/>
    <n v="7059.999999999999"/>
    <m/>
    <m/>
    <m/>
  </r>
  <r>
    <x v="448"/>
    <x v="4"/>
    <s v="카카오광고"/>
    <x v="0"/>
    <x v="0"/>
    <x v="0"/>
    <m/>
    <m/>
    <n v="21280"/>
    <m/>
    <m/>
    <m/>
  </r>
  <r>
    <x v="448"/>
    <x v="4"/>
    <s v="네이버 GFA"/>
    <x v="0"/>
    <x v="0"/>
    <x v="0"/>
    <m/>
    <m/>
    <n v="0"/>
    <m/>
    <m/>
    <m/>
  </r>
  <r>
    <x v="448"/>
    <x v="4"/>
    <s v="네이버 GFA"/>
    <x v="7"/>
    <x v="0"/>
    <x v="0"/>
    <m/>
    <m/>
    <n v="4854766.363636363"/>
    <m/>
    <m/>
    <m/>
  </r>
  <r>
    <x v="448"/>
    <x v="4"/>
    <s v="네이버 GFA"/>
    <x v="0"/>
    <x v="0"/>
    <x v="0"/>
    <m/>
    <m/>
    <n v="5917.272727272727"/>
    <m/>
    <m/>
    <m/>
  </r>
  <r>
    <x v="449"/>
    <x v="1"/>
    <s v="네이버 브랜드검색"/>
    <x v="0"/>
    <x v="0"/>
    <x v="0"/>
    <m/>
    <m/>
    <n v="50000"/>
    <m/>
    <m/>
    <m/>
  </r>
  <r>
    <x v="449"/>
    <x v="1"/>
    <s v="네이버 쇼핑검색"/>
    <x v="10"/>
    <x v="0"/>
    <x v="0"/>
    <m/>
    <m/>
    <n v="70540"/>
    <m/>
    <m/>
    <m/>
  </r>
  <r>
    <x v="449"/>
    <x v="1"/>
    <s v="네이버 쇼핑검색"/>
    <x v="10"/>
    <x v="0"/>
    <x v="0"/>
    <m/>
    <m/>
    <n v="5150"/>
    <m/>
    <m/>
    <m/>
  </r>
  <r>
    <x v="449"/>
    <x v="1"/>
    <s v="페이스북/인스타그램"/>
    <x v="0"/>
    <x v="0"/>
    <x v="0"/>
    <m/>
    <m/>
    <n v="108674"/>
    <m/>
    <m/>
    <m/>
  </r>
  <r>
    <x v="449"/>
    <x v="1"/>
    <s v="페이스북/인스타그램"/>
    <x v="0"/>
    <x v="0"/>
    <x v="0"/>
    <m/>
    <m/>
    <n v="731063"/>
    <m/>
    <m/>
    <m/>
  </r>
  <r>
    <x v="449"/>
    <x v="1"/>
    <s v="페이스북/인스타그램"/>
    <x v="13"/>
    <x v="0"/>
    <x v="0"/>
    <m/>
    <m/>
    <n v="30380"/>
    <m/>
    <m/>
    <m/>
  </r>
  <r>
    <x v="449"/>
    <x v="1"/>
    <s v="페이스북/인스타그램"/>
    <x v="7"/>
    <x v="0"/>
    <x v="0"/>
    <m/>
    <m/>
    <n v="861599"/>
    <m/>
    <m/>
    <m/>
  </r>
  <r>
    <x v="449"/>
    <x v="1"/>
    <s v="유튜브 디스커버리"/>
    <x v="0"/>
    <x v="0"/>
    <x v="0"/>
    <m/>
    <m/>
    <n v="25939"/>
    <m/>
    <m/>
    <m/>
  </r>
  <r>
    <x v="449"/>
    <x v="1"/>
    <s v="유튜브 디스커버리"/>
    <x v="0"/>
    <x v="0"/>
    <x v="0"/>
    <m/>
    <m/>
    <n v="322010"/>
    <m/>
    <m/>
    <m/>
  </r>
  <r>
    <x v="449"/>
    <x v="1"/>
    <s v="유튜브 디스커버리"/>
    <x v="0"/>
    <x v="0"/>
    <x v="0"/>
    <m/>
    <m/>
    <n v="203542"/>
    <m/>
    <m/>
    <m/>
  </r>
  <r>
    <x v="449"/>
    <x v="1"/>
    <s v="카카오광고"/>
    <x v="0"/>
    <x v="0"/>
    <x v="0"/>
    <m/>
    <m/>
    <n v="19110"/>
    <m/>
    <m/>
    <m/>
  </r>
  <r>
    <x v="449"/>
    <x v="1"/>
    <s v="네이버 GFA"/>
    <x v="0"/>
    <x v="0"/>
    <x v="0"/>
    <m/>
    <m/>
    <n v="40205.45454545454"/>
    <m/>
    <m/>
    <m/>
  </r>
  <r>
    <x v="449"/>
    <x v="1"/>
    <s v="네이버 GFA"/>
    <x v="7"/>
    <x v="0"/>
    <x v="0"/>
    <m/>
    <m/>
    <n v="8848441.818181818"/>
    <m/>
    <m/>
    <m/>
  </r>
  <r>
    <x v="449"/>
    <x v="1"/>
    <s v="네이버 GFA"/>
    <x v="0"/>
    <x v="0"/>
    <x v="0"/>
    <m/>
    <m/>
    <n v="129368.1818181818"/>
    <m/>
    <m/>
    <m/>
  </r>
  <r>
    <x v="450"/>
    <x v="0"/>
    <s v="네이버 브랜드검색"/>
    <x v="0"/>
    <x v="0"/>
    <x v="0"/>
    <m/>
    <m/>
    <n v="50000"/>
    <m/>
    <m/>
    <m/>
  </r>
  <r>
    <x v="451"/>
    <x v="2"/>
    <s v="네이버 브랜드검색"/>
    <x v="0"/>
    <x v="0"/>
    <x v="0"/>
    <m/>
    <m/>
    <n v="50000"/>
    <m/>
    <m/>
    <m/>
  </r>
  <r>
    <x v="452"/>
    <x v="5"/>
    <s v="네이버 브랜드검색"/>
    <x v="0"/>
    <x v="0"/>
    <x v="0"/>
    <m/>
    <m/>
    <n v="50000"/>
    <m/>
    <m/>
    <m/>
  </r>
  <r>
    <x v="453"/>
    <x v="6"/>
    <s v="네이버 브랜드검색"/>
    <x v="0"/>
    <x v="0"/>
    <x v="0"/>
    <m/>
    <m/>
    <n v="50000"/>
    <m/>
    <m/>
    <m/>
  </r>
  <r>
    <x v="450"/>
    <x v="0"/>
    <s v="페이스북/인스타그램"/>
    <x v="7"/>
    <x v="0"/>
    <x v="0"/>
    <m/>
    <m/>
    <n v="583197"/>
    <m/>
    <m/>
    <m/>
  </r>
  <r>
    <x v="450"/>
    <x v="0"/>
    <s v="페이스북/인스타그램"/>
    <x v="13"/>
    <x v="0"/>
    <x v="0"/>
    <m/>
    <m/>
    <n v="25495"/>
    <m/>
    <m/>
    <m/>
  </r>
  <r>
    <x v="450"/>
    <x v="0"/>
    <s v="페이스북/인스타그램"/>
    <x v="0"/>
    <x v="0"/>
    <x v="0"/>
    <m/>
    <m/>
    <n v="582971"/>
    <m/>
    <m/>
    <m/>
  </r>
  <r>
    <x v="451"/>
    <x v="2"/>
    <s v="페이스북/인스타그램"/>
    <x v="7"/>
    <x v="0"/>
    <x v="0"/>
    <m/>
    <m/>
    <n v="312632"/>
    <m/>
    <m/>
    <m/>
  </r>
  <r>
    <x v="451"/>
    <x v="2"/>
    <s v="페이스북/인스타그램"/>
    <x v="13"/>
    <x v="0"/>
    <x v="0"/>
    <m/>
    <m/>
    <n v="14749"/>
    <m/>
    <m/>
    <m/>
  </r>
  <r>
    <x v="451"/>
    <x v="2"/>
    <s v="페이스북/인스타그램"/>
    <x v="0"/>
    <x v="0"/>
    <x v="0"/>
    <m/>
    <m/>
    <n v="395548"/>
    <m/>
    <m/>
    <m/>
  </r>
  <r>
    <x v="452"/>
    <x v="5"/>
    <s v="페이스북/인스타그램"/>
    <x v="7"/>
    <x v="0"/>
    <x v="0"/>
    <m/>
    <m/>
    <n v="269521"/>
    <m/>
    <m/>
    <m/>
  </r>
  <r>
    <x v="452"/>
    <x v="5"/>
    <s v="페이스북/인스타그램"/>
    <x v="13"/>
    <x v="0"/>
    <x v="0"/>
    <m/>
    <m/>
    <n v="14716"/>
    <m/>
    <m/>
    <m/>
  </r>
  <r>
    <x v="452"/>
    <x v="5"/>
    <s v="페이스북/인스타그램"/>
    <x v="0"/>
    <x v="0"/>
    <x v="0"/>
    <m/>
    <m/>
    <n v="303250"/>
    <m/>
    <m/>
    <m/>
  </r>
  <r>
    <x v="453"/>
    <x v="6"/>
    <s v="페이스북/인스타그램"/>
    <x v="7"/>
    <x v="0"/>
    <x v="0"/>
    <m/>
    <m/>
    <n v="363467"/>
    <m/>
    <m/>
    <m/>
  </r>
  <r>
    <x v="453"/>
    <x v="6"/>
    <s v="페이스북/인스타그램"/>
    <x v="13"/>
    <x v="0"/>
    <x v="0"/>
    <m/>
    <m/>
    <n v="18686"/>
    <m/>
    <m/>
    <m/>
  </r>
  <r>
    <x v="453"/>
    <x v="6"/>
    <s v="페이스북/인스타그램"/>
    <x v="0"/>
    <x v="0"/>
    <x v="0"/>
    <m/>
    <m/>
    <n v="394478"/>
    <m/>
    <m/>
    <m/>
  </r>
  <r>
    <x v="450"/>
    <x v="0"/>
    <s v="유튜브 디스커버리"/>
    <x v="0"/>
    <x v="0"/>
    <x v="0"/>
    <m/>
    <m/>
    <n v="534676"/>
    <m/>
    <m/>
    <m/>
  </r>
  <r>
    <x v="451"/>
    <x v="2"/>
    <s v="유튜브 디스커버리"/>
    <x v="0"/>
    <x v="0"/>
    <x v="0"/>
    <m/>
    <m/>
    <n v="182373"/>
    <m/>
    <m/>
    <m/>
  </r>
  <r>
    <x v="452"/>
    <x v="5"/>
    <s v="유튜브 디스커버리"/>
    <x v="0"/>
    <x v="0"/>
    <x v="0"/>
    <m/>
    <m/>
    <n v="0"/>
    <m/>
    <m/>
    <m/>
  </r>
  <r>
    <x v="453"/>
    <x v="6"/>
    <s v="유튜브 디스커버리"/>
    <x v="0"/>
    <x v="0"/>
    <x v="0"/>
    <m/>
    <m/>
    <n v="1076361"/>
    <m/>
    <m/>
    <m/>
  </r>
  <r>
    <x v="450"/>
    <x v="0"/>
    <s v="네이버 쇼핑검색"/>
    <x v="10"/>
    <x v="0"/>
    <x v="0"/>
    <m/>
    <m/>
    <n v="55719.99999999999"/>
    <m/>
    <m/>
    <m/>
  </r>
  <r>
    <x v="451"/>
    <x v="2"/>
    <s v="네이버 쇼핑검색"/>
    <x v="10"/>
    <x v="0"/>
    <x v="0"/>
    <m/>
    <m/>
    <n v="79070"/>
    <m/>
    <m/>
    <m/>
  </r>
  <r>
    <x v="452"/>
    <x v="5"/>
    <s v="네이버 쇼핑검색"/>
    <x v="10"/>
    <x v="0"/>
    <x v="0"/>
    <m/>
    <m/>
    <n v="85560"/>
    <m/>
    <m/>
    <m/>
  </r>
  <r>
    <x v="453"/>
    <x v="6"/>
    <s v="네이버 쇼핑검색"/>
    <x v="10"/>
    <x v="0"/>
    <x v="0"/>
    <m/>
    <m/>
    <n v="104540"/>
    <m/>
    <m/>
    <m/>
  </r>
  <r>
    <x v="450"/>
    <x v="0"/>
    <s v="네이버 쇼핑검색"/>
    <x v="10"/>
    <x v="0"/>
    <x v="0"/>
    <m/>
    <m/>
    <n v="2490"/>
    <m/>
    <m/>
    <m/>
  </r>
  <r>
    <x v="451"/>
    <x v="2"/>
    <s v="네이버 쇼핑검색"/>
    <x v="10"/>
    <x v="0"/>
    <x v="0"/>
    <m/>
    <m/>
    <n v="1080"/>
    <m/>
    <m/>
    <m/>
  </r>
  <r>
    <x v="452"/>
    <x v="5"/>
    <s v="네이버 쇼핑검색"/>
    <x v="10"/>
    <x v="0"/>
    <x v="0"/>
    <m/>
    <m/>
    <n v="3000"/>
    <m/>
    <m/>
    <m/>
  </r>
  <r>
    <x v="453"/>
    <x v="6"/>
    <s v="네이버 쇼핑검색"/>
    <x v="10"/>
    <x v="0"/>
    <x v="0"/>
    <m/>
    <m/>
    <n v="2160"/>
    <m/>
    <m/>
    <m/>
  </r>
  <r>
    <x v="450"/>
    <x v="0"/>
    <s v="카카오광고"/>
    <x v="0"/>
    <x v="0"/>
    <x v="0"/>
    <m/>
    <m/>
    <n v="74730"/>
    <m/>
    <m/>
    <m/>
  </r>
  <r>
    <x v="451"/>
    <x v="2"/>
    <s v="카카오광고"/>
    <x v="0"/>
    <x v="0"/>
    <x v="0"/>
    <m/>
    <m/>
    <n v="274320"/>
    <m/>
    <m/>
    <m/>
  </r>
  <r>
    <x v="452"/>
    <x v="5"/>
    <s v="카카오광고"/>
    <x v="0"/>
    <x v="0"/>
    <x v="0"/>
    <m/>
    <m/>
    <n v="326510"/>
    <m/>
    <m/>
    <m/>
  </r>
  <r>
    <x v="453"/>
    <x v="6"/>
    <s v="카카오광고"/>
    <x v="0"/>
    <x v="0"/>
    <x v="0"/>
    <m/>
    <m/>
    <n v="340230"/>
    <m/>
    <m/>
    <m/>
  </r>
  <r>
    <x v="453"/>
    <x v="6"/>
    <s v="네이버 GFA"/>
    <x v="0"/>
    <x v="0"/>
    <x v="0"/>
    <m/>
    <m/>
    <n v="12705.45454545454"/>
    <m/>
    <m/>
    <m/>
  </r>
  <r>
    <x v="452"/>
    <x v="5"/>
    <s v="네이버 GFA"/>
    <x v="0"/>
    <x v="0"/>
    <x v="0"/>
    <m/>
    <m/>
    <n v="2502.727272727273"/>
    <m/>
    <m/>
    <m/>
  </r>
  <r>
    <x v="451"/>
    <x v="2"/>
    <s v="네이버 GFA"/>
    <x v="0"/>
    <x v="0"/>
    <x v="0"/>
    <m/>
    <m/>
    <n v="7595.454545454545"/>
    <m/>
    <m/>
    <m/>
  </r>
  <r>
    <x v="450"/>
    <x v="0"/>
    <s v="네이버 GFA"/>
    <x v="0"/>
    <x v="0"/>
    <x v="0"/>
    <m/>
    <m/>
    <n v="17692.72727272727"/>
    <m/>
    <m/>
    <m/>
  </r>
  <r>
    <x v="453"/>
    <x v="6"/>
    <s v="네이버 GFA"/>
    <x v="7"/>
    <x v="0"/>
    <x v="0"/>
    <m/>
    <m/>
    <n v="5466429.090909091"/>
    <m/>
    <m/>
    <m/>
  </r>
  <r>
    <x v="452"/>
    <x v="5"/>
    <s v="네이버 GFA"/>
    <x v="7"/>
    <x v="0"/>
    <x v="0"/>
    <m/>
    <m/>
    <n v="4972238.181818182"/>
    <m/>
    <m/>
    <m/>
  </r>
  <r>
    <x v="451"/>
    <x v="2"/>
    <s v="네이버 GFA"/>
    <x v="7"/>
    <x v="0"/>
    <x v="0"/>
    <m/>
    <m/>
    <n v="7568151.818181817"/>
    <m/>
    <m/>
    <m/>
  </r>
  <r>
    <x v="450"/>
    <x v="0"/>
    <s v="네이버 GFA"/>
    <x v="7"/>
    <x v="0"/>
    <x v="0"/>
    <m/>
    <m/>
    <n v="8243889.09090909"/>
    <m/>
    <m/>
    <m/>
  </r>
  <r>
    <x v="453"/>
    <x v="6"/>
    <s v="네이버 GFA"/>
    <x v="0"/>
    <x v="0"/>
    <x v="0"/>
    <m/>
    <m/>
    <n v="1639073.636363636"/>
    <m/>
    <m/>
    <m/>
  </r>
  <r>
    <x v="452"/>
    <x v="5"/>
    <s v="네이버 GFA"/>
    <x v="0"/>
    <x v="0"/>
    <x v="0"/>
    <m/>
    <m/>
    <n v="1447581.818181818"/>
    <m/>
    <m/>
    <m/>
  </r>
  <r>
    <x v="451"/>
    <x v="2"/>
    <s v="네이버 GFA"/>
    <x v="0"/>
    <x v="0"/>
    <x v="0"/>
    <m/>
    <m/>
    <n v="3607028.181818182"/>
    <m/>
    <m/>
    <m/>
  </r>
  <r>
    <x v="450"/>
    <x v="0"/>
    <s v="네이버 GFA"/>
    <x v="0"/>
    <x v="0"/>
    <x v="0"/>
    <m/>
    <m/>
    <n v="2169074.545454545"/>
    <m/>
    <m/>
    <m/>
  </r>
  <r>
    <x v="454"/>
    <x v="3"/>
    <s v="페이스북/인스타그램"/>
    <x v="0"/>
    <x v="0"/>
    <x v="0"/>
    <m/>
    <m/>
    <n v="572374"/>
    <m/>
    <m/>
    <m/>
  </r>
  <r>
    <x v="454"/>
    <x v="3"/>
    <s v="페이스북/인스타그램"/>
    <x v="13"/>
    <x v="0"/>
    <x v="0"/>
    <m/>
    <m/>
    <n v="28557"/>
    <m/>
    <m/>
    <m/>
  </r>
  <r>
    <x v="454"/>
    <x v="3"/>
    <s v="페이스북/인스타그램"/>
    <x v="7"/>
    <x v="0"/>
    <x v="0"/>
    <m/>
    <m/>
    <n v="525216"/>
    <m/>
    <m/>
    <m/>
  </r>
  <r>
    <x v="454"/>
    <x v="3"/>
    <s v="네이버 쇼핑검색"/>
    <x v="10"/>
    <x v="0"/>
    <x v="0"/>
    <m/>
    <m/>
    <n v="99769.99999999999"/>
    <m/>
    <m/>
    <m/>
  </r>
  <r>
    <x v="454"/>
    <x v="3"/>
    <s v="네이버 쇼핑검색"/>
    <x v="10"/>
    <x v="0"/>
    <x v="0"/>
    <m/>
    <m/>
    <n v="2740"/>
    <m/>
    <m/>
    <m/>
  </r>
  <r>
    <x v="454"/>
    <x v="3"/>
    <s v="네이버 브랜드검색"/>
    <x v="0"/>
    <x v="0"/>
    <x v="0"/>
    <m/>
    <m/>
    <n v="50000"/>
    <m/>
    <m/>
    <m/>
  </r>
  <r>
    <x v="454"/>
    <x v="3"/>
    <s v="네이버 GFA"/>
    <x v="7"/>
    <x v="0"/>
    <x v="0"/>
    <m/>
    <m/>
    <n v="5898856.363636363"/>
    <m/>
    <m/>
    <m/>
  </r>
  <r>
    <x v="454"/>
    <x v="3"/>
    <s v="네이버 GFA"/>
    <x v="0"/>
    <x v="0"/>
    <x v="0"/>
    <m/>
    <m/>
    <n v="1605961.818181818"/>
    <m/>
    <m/>
    <m/>
  </r>
  <r>
    <x v="454"/>
    <x v="3"/>
    <s v="카카오광고"/>
    <x v="0"/>
    <x v="0"/>
    <x v="0"/>
    <m/>
    <m/>
    <n v="189330"/>
    <m/>
    <m/>
    <m/>
  </r>
  <r>
    <x v="454"/>
    <x v="3"/>
    <s v="유튜브 디스커버리"/>
    <x v="0"/>
    <x v="0"/>
    <x v="0"/>
    <m/>
    <m/>
    <n v="1068230"/>
    <m/>
    <m/>
    <m/>
  </r>
  <r>
    <x v="455"/>
    <x v="4"/>
    <s v="페이스북/인스타그램"/>
    <x v="0"/>
    <x v="0"/>
    <x v="0"/>
    <m/>
    <m/>
    <n v="465502"/>
    <m/>
    <m/>
    <m/>
  </r>
  <r>
    <x v="455"/>
    <x v="4"/>
    <s v="페이스북/인스타그램"/>
    <x v="13"/>
    <x v="0"/>
    <x v="0"/>
    <m/>
    <m/>
    <n v="29242"/>
    <m/>
    <m/>
    <m/>
  </r>
  <r>
    <x v="455"/>
    <x v="4"/>
    <s v="페이스북/인스타그램"/>
    <x v="7"/>
    <x v="0"/>
    <x v="0"/>
    <m/>
    <m/>
    <n v="436261"/>
    <m/>
    <m/>
    <m/>
  </r>
  <r>
    <x v="455"/>
    <x v="4"/>
    <s v="네이버 쇼핑검색"/>
    <x v="10"/>
    <x v="0"/>
    <x v="0"/>
    <m/>
    <m/>
    <n v="72500"/>
    <m/>
    <m/>
    <m/>
  </r>
  <r>
    <x v="455"/>
    <x v="4"/>
    <s v="네이버 쇼핑검색"/>
    <x v="10"/>
    <x v="0"/>
    <x v="0"/>
    <m/>
    <m/>
    <n v="5110"/>
    <m/>
    <m/>
    <m/>
  </r>
  <r>
    <x v="455"/>
    <x v="4"/>
    <s v="네이버 GFA"/>
    <x v="7"/>
    <x v="0"/>
    <x v="0"/>
    <m/>
    <m/>
    <n v="7245109.09090909"/>
    <m/>
    <m/>
    <m/>
  </r>
  <r>
    <x v="455"/>
    <x v="4"/>
    <s v="네이버 GFA"/>
    <x v="0"/>
    <x v="0"/>
    <x v="0"/>
    <m/>
    <m/>
    <n v="1028383.636363636"/>
    <m/>
    <m/>
    <m/>
  </r>
  <r>
    <x v="455"/>
    <x v="4"/>
    <s v="카카오광고"/>
    <x v="0"/>
    <x v="0"/>
    <x v="0"/>
    <m/>
    <m/>
    <n v="154720"/>
    <m/>
    <m/>
    <m/>
  </r>
  <r>
    <x v="455"/>
    <x v="4"/>
    <s v="유튜브 디스커버리"/>
    <x v="0"/>
    <x v="0"/>
    <x v="0"/>
    <m/>
    <m/>
    <n v="583328"/>
    <m/>
    <m/>
    <m/>
  </r>
  <r>
    <x v="456"/>
    <x v="1"/>
    <s v="페이스북/인스타그램"/>
    <x v="0"/>
    <x v="0"/>
    <x v="0"/>
    <m/>
    <m/>
    <n v="396063"/>
    <m/>
    <m/>
    <m/>
  </r>
  <r>
    <x v="456"/>
    <x v="1"/>
    <s v="페이스북/인스타그램"/>
    <x v="13"/>
    <x v="0"/>
    <x v="0"/>
    <m/>
    <m/>
    <n v="29833"/>
    <m/>
    <m/>
    <m/>
  </r>
  <r>
    <x v="456"/>
    <x v="1"/>
    <s v="페이스북/인스타그램"/>
    <x v="7"/>
    <x v="0"/>
    <x v="0"/>
    <m/>
    <m/>
    <n v="535112"/>
    <m/>
    <m/>
    <m/>
  </r>
  <r>
    <x v="456"/>
    <x v="1"/>
    <s v="네이버 쇼핑검색"/>
    <x v="16"/>
    <x v="0"/>
    <x v="0"/>
    <m/>
    <m/>
    <n v="57649.99999999999"/>
    <m/>
    <m/>
    <m/>
  </r>
  <r>
    <x v="456"/>
    <x v="1"/>
    <s v="네이버 쇼핑검색"/>
    <x v="16"/>
    <x v="0"/>
    <x v="0"/>
    <m/>
    <m/>
    <n v="8410"/>
    <m/>
    <m/>
    <m/>
  </r>
  <r>
    <x v="456"/>
    <x v="1"/>
    <s v="카카오광고"/>
    <x v="0"/>
    <x v="0"/>
    <x v="0"/>
    <m/>
    <m/>
    <n v="209750"/>
    <m/>
    <m/>
    <m/>
  </r>
  <r>
    <x v="456"/>
    <x v="1"/>
    <s v="네이버 GFA"/>
    <x v="7"/>
    <x v="0"/>
    <x v="0"/>
    <m/>
    <m/>
    <n v="4674090.909090909"/>
    <m/>
    <m/>
    <m/>
  </r>
  <r>
    <x v="456"/>
    <x v="1"/>
    <s v="네이버 GFA"/>
    <x v="0"/>
    <x v="0"/>
    <x v="0"/>
    <m/>
    <m/>
    <n v="1219902.727272727"/>
    <m/>
    <m/>
    <m/>
  </r>
  <r>
    <x v="456"/>
    <x v="1"/>
    <s v="유튜브 디스커버리"/>
    <x v="0"/>
    <x v="0"/>
    <x v="0"/>
    <m/>
    <m/>
    <n v="669567"/>
    <m/>
    <m/>
    <m/>
  </r>
  <r>
    <x v="457"/>
    <x v="0"/>
    <s v="페이스북/인스타그램"/>
    <x v="7"/>
    <x v="0"/>
    <x v="0"/>
    <m/>
    <m/>
    <n v="470501"/>
    <m/>
    <m/>
    <m/>
  </r>
  <r>
    <x v="457"/>
    <x v="0"/>
    <s v="페이스북/인스타그램"/>
    <x v="13"/>
    <x v="0"/>
    <x v="0"/>
    <m/>
    <m/>
    <n v="23643"/>
    <m/>
    <m/>
    <m/>
  </r>
  <r>
    <x v="457"/>
    <x v="0"/>
    <s v="페이스북/인스타그램"/>
    <x v="0"/>
    <x v="0"/>
    <x v="0"/>
    <m/>
    <m/>
    <n v="268765"/>
    <m/>
    <m/>
    <m/>
  </r>
  <r>
    <x v="458"/>
    <x v="2"/>
    <s v="페이스북/인스타그램"/>
    <x v="7"/>
    <x v="0"/>
    <x v="0"/>
    <m/>
    <m/>
    <n v="276149"/>
    <m/>
    <m/>
    <m/>
  </r>
  <r>
    <x v="458"/>
    <x v="2"/>
    <s v="페이스북/인스타그램"/>
    <x v="13"/>
    <x v="0"/>
    <x v="0"/>
    <m/>
    <m/>
    <n v="14766"/>
    <m/>
    <m/>
    <m/>
  </r>
  <r>
    <x v="458"/>
    <x v="2"/>
    <s v="페이스북/인스타그램"/>
    <x v="0"/>
    <x v="0"/>
    <x v="0"/>
    <m/>
    <m/>
    <n v="141734"/>
    <m/>
    <m/>
    <m/>
  </r>
  <r>
    <x v="459"/>
    <x v="5"/>
    <s v="페이스북/인스타그램"/>
    <x v="7"/>
    <x v="0"/>
    <x v="0"/>
    <m/>
    <m/>
    <n v="274432"/>
    <m/>
    <m/>
    <m/>
  </r>
  <r>
    <x v="459"/>
    <x v="5"/>
    <s v="페이스북/인스타그램"/>
    <x v="13"/>
    <x v="0"/>
    <x v="0"/>
    <m/>
    <m/>
    <n v="14743"/>
    <m/>
    <m/>
    <m/>
  </r>
  <r>
    <x v="459"/>
    <x v="5"/>
    <s v="페이스북/인스타그램"/>
    <x v="0"/>
    <x v="0"/>
    <x v="0"/>
    <m/>
    <m/>
    <n v="136847"/>
    <m/>
    <m/>
    <m/>
  </r>
  <r>
    <x v="460"/>
    <x v="6"/>
    <s v="페이스북/인스타그램"/>
    <x v="7"/>
    <x v="0"/>
    <x v="0"/>
    <m/>
    <m/>
    <n v="391919"/>
    <m/>
    <m/>
    <m/>
  </r>
  <r>
    <x v="460"/>
    <x v="6"/>
    <s v="페이스북/인스타그램"/>
    <x v="13"/>
    <x v="0"/>
    <x v="0"/>
    <m/>
    <m/>
    <n v="20180"/>
    <m/>
    <m/>
    <m/>
  </r>
  <r>
    <x v="460"/>
    <x v="6"/>
    <s v="페이스북/인스타그램"/>
    <x v="0"/>
    <x v="0"/>
    <x v="0"/>
    <m/>
    <m/>
    <n v="194399"/>
    <m/>
    <m/>
    <m/>
  </r>
  <r>
    <x v="457"/>
    <x v="0"/>
    <s v="페이스북/인스타그램"/>
    <x v="0"/>
    <x v="0"/>
    <x v="0"/>
    <m/>
    <m/>
    <n v="93955"/>
    <m/>
    <m/>
    <m/>
  </r>
  <r>
    <x v="458"/>
    <x v="2"/>
    <s v="페이스북/인스타그램"/>
    <x v="0"/>
    <x v="0"/>
    <x v="0"/>
    <m/>
    <m/>
    <n v="99315"/>
    <m/>
    <m/>
    <m/>
  </r>
  <r>
    <x v="459"/>
    <x v="5"/>
    <s v="페이스북/인스타그램"/>
    <x v="0"/>
    <x v="0"/>
    <x v="0"/>
    <m/>
    <m/>
    <n v="98328"/>
    <m/>
    <m/>
    <m/>
  </r>
  <r>
    <x v="460"/>
    <x v="6"/>
    <s v="페이스북/인스타그램"/>
    <x v="0"/>
    <x v="0"/>
    <x v="0"/>
    <m/>
    <m/>
    <n v="100338"/>
    <m/>
    <m/>
    <m/>
  </r>
  <r>
    <x v="457"/>
    <x v="0"/>
    <s v="카카오광고"/>
    <x v="0"/>
    <x v="0"/>
    <x v="0"/>
    <m/>
    <m/>
    <n v="239620"/>
    <m/>
    <m/>
    <m/>
  </r>
  <r>
    <x v="458"/>
    <x v="2"/>
    <s v="카카오광고"/>
    <x v="0"/>
    <x v="0"/>
    <x v="0"/>
    <m/>
    <m/>
    <n v="352100"/>
    <m/>
    <m/>
    <m/>
  </r>
  <r>
    <x v="459"/>
    <x v="5"/>
    <s v="카카오광고"/>
    <x v="0"/>
    <x v="0"/>
    <x v="0"/>
    <m/>
    <m/>
    <n v="342610"/>
    <m/>
    <m/>
    <m/>
  </r>
  <r>
    <x v="460"/>
    <x v="6"/>
    <s v="카카오광고"/>
    <x v="0"/>
    <x v="0"/>
    <x v="0"/>
    <m/>
    <m/>
    <n v="401589.9999999999"/>
    <m/>
    <m/>
    <m/>
  </r>
  <r>
    <x v="457"/>
    <x v="0"/>
    <s v="카카오광고"/>
    <x v="0"/>
    <x v="0"/>
    <x v="0"/>
    <m/>
    <m/>
    <n v="277610"/>
    <m/>
    <m/>
    <m/>
  </r>
  <r>
    <x v="458"/>
    <x v="2"/>
    <s v="카카오광고"/>
    <x v="0"/>
    <x v="0"/>
    <x v="0"/>
    <m/>
    <m/>
    <n v="274550"/>
    <m/>
    <m/>
    <m/>
  </r>
  <r>
    <x v="459"/>
    <x v="5"/>
    <s v="카카오광고"/>
    <x v="0"/>
    <x v="0"/>
    <x v="0"/>
    <m/>
    <m/>
    <n v="273320"/>
    <m/>
    <m/>
    <m/>
  </r>
  <r>
    <x v="460"/>
    <x v="6"/>
    <s v="카카오광고"/>
    <x v="0"/>
    <x v="0"/>
    <x v="0"/>
    <m/>
    <m/>
    <n v="274780"/>
    <m/>
    <m/>
    <m/>
  </r>
  <r>
    <x v="457"/>
    <x v="0"/>
    <s v="네이버 쇼핑검색"/>
    <x v="10"/>
    <x v="0"/>
    <x v="0"/>
    <m/>
    <m/>
    <n v="46049.99999999999"/>
    <m/>
    <m/>
    <m/>
  </r>
  <r>
    <x v="458"/>
    <x v="2"/>
    <s v="네이버 쇼핑검색"/>
    <x v="10"/>
    <x v="0"/>
    <x v="0"/>
    <m/>
    <m/>
    <n v="60939.99999999999"/>
    <m/>
    <m/>
    <m/>
  </r>
  <r>
    <x v="459"/>
    <x v="5"/>
    <s v="네이버 쇼핑검색"/>
    <x v="10"/>
    <x v="0"/>
    <x v="0"/>
    <m/>
    <m/>
    <n v="70940"/>
    <m/>
    <m/>
    <m/>
  </r>
  <r>
    <x v="460"/>
    <x v="6"/>
    <s v="네이버 쇼핑검색"/>
    <x v="10"/>
    <x v="0"/>
    <x v="0"/>
    <m/>
    <m/>
    <n v="93559.99999999999"/>
    <m/>
    <m/>
    <m/>
  </r>
  <r>
    <x v="457"/>
    <x v="0"/>
    <s v="네이버 쇼핑검색"/>
    <x v="10"/>
    <x v="0"/>
    <x v="0"/>
    <m/>
    <m/>
    <n v="3240"/>
    <m/>
    <m/>
    <m/>
  </r>
  <r>
    <x v="458"/>
    <x v="2"/>
    <s v="네이버 쇼핑검색"/>
    <x v="10"/>
    <x v="0"/>
    <x v="0"/>
    <m/>
    <m/>
    <n v="1080"/>
    <m/>
    <m/>
    <m/>
  </r>
  <r>
    <x v="459"/>
    <x v="5"/>
    <s v="네이버 쇼핑검색"/>
    <x v="10"/>
    <x v="0"/>
    <x v="0"/>
    <m/>
    <m/>
    <n v="2370"/>
    <m/>
    <m/>
    <m/>
  </r>
  <r>
    <x v="460"/>
    <x v="6"/>
    <s v="네이버 쇼핑검색"/>
    <x v="10"/>
    <x v="0"/>
    <x v="0"/>
    <m/>
    <m/>
    <n v="3780"/>
    <m/>
    <m/>
    <m/>
  </r>
  <r>
    <x v="457"/>
    <x v="0"/>
    <s v="네이버 GFA"/>
    <x v="7"/>
    <x v="0"/>
    <x v="0"/>
    <m/>
    <m/>
    <n v="19827.27272727272"/>
    <m/>
    <m/>
    <m/>
  </r>
  <r>
    <x v="457"/>
    <x v="0"/>
    <s v="네이버 GFA"/>
    <x v="7"/>
    <x v="0"/>
    <x v="0"/>
    <m/>
    <m/>
    <n v="86008.18181818181"/>
    <m/>
    <m/>
    <m/>
  </r>
  <r>
    <x v="457"/>
    <x v="0"/>
    <s v="네이버 GFA"/>
    <x v="7"/>
    <x v="0"/>
    <x v="0"/>
    <m/>
    <m/>
    <n v="117669.0909090909"/>
    <m/>
    <m/>
    <m/>
  </r>
  <r>
    <x v="457"/>
    <x v="0"/>
    <s v="네이버 GFA"/>
    <x v="7"/>
    <x v="0"/>
    <x v="0"/>
    <m/>
    <m/>
    <n v="710663.6363636364"/>
    <m/>
    <m/>
    <m/>
  </r>
  <r>
    <x v="458"/>
    <x v="2"/>
    <s v="네이버 GFA"/>
    <x v="7"/>
    <x v="0"/>
    <x v="0"/>
    <m/>
    <m/>
    <n v="6738761.818181817"/>
    <m/>
    <m/>
    <m/>
  </r>
  <r>
    <x v="458"/>
    <x v="2"/>
    <s v="네이버 GFA"/>
    <x v="7"/>
    <x v="0"/>
    <x v="0"/>
    <m/>
    <m/>
    <n v="5368067.272727272"/>
    <m/>
    <m/>
    <m/>
  </r>
  <r>
    <x v="459"/>
    <x v="5"/>
    <s v="네이버 GFA"/>
    <x v="7"/>
    <x v="0"/>
    <x v="0"/>
    <m/>
    <m/>
    <n v="5791245.454545454"/>
    <m/>
    <m/>
    <m/>
  </r>
  <r>
    <x v="459"/>
    <x v="5"/>
    <s v="네이버 GFA"/>
    <x v="7"/>
    <x v="0"/>
    <x v="0"/>
    <m/>
    <m/>
    <n v="3551437.272727272"/>
    <m/>
    <m/>
    <m/>
  </r>
  <r>
    <x v="460"/>
    <x v="6"/>
    <s v="네이버 GFA"/>
    <x v="0"/>
    <x v="0"/>
    <x v="0"/>
    <m/>
    <m/>
    <n v="448435.4545454545"/>
    <m/>
    <m/>
    <m/>
  </r>
  <r>
    <x v="460"/>
    <x v="6"/>
    <s v="네이버 GFA"/>
    <x v="0"/>
    <x v="0"/>
    <x v="0"/>
    <m/>
    <m/>
    <n v="448393.6363636364"/>
    <m/>
    <m/>
    <m/>
  </r>
  <r>
    <x v="460"/>
    <x v="6"/>
    <s v="네이버 GFA"/>
    <x v="0"/>
    <x v="0"/>
    <x v="0"/>
    <m/>
    <m/>
    <n v="452163.6363636364"/>
    <m/>
    <m/>
    <m/>
  </r>
  <r>
    <x v="460"/>
    <x v="6"/>
    <s v="네이버 GFA"/>
    <x v="0"/>
    <x v="0"/>
    <x v="0"/>
    <m/>
    <m/>
    <n v="285906.3636363636"/>
    <m/>
    <m/>
    <m/>
  </r>
  <r>
    <x v="457"/>
    <x v="0"/>
    <s v="유튜브 디스커버리"/>
    <x v="0"/>
    <x v="0"/>
    <x v="0"/>
    <m/>
    <m/>
    <n v="177030"/>
    <m/>
    <m/>
    <m/>
  </r>
  <r>
    <x v="457"/>
    <x v="0"/>
    <s v="유튜브 디스커버리"/>
    <x v="0"/>
    <x v="0"/>
    <x v="0"/>
    <m/>
    <m/>
    <n v="386851"/>
    <m/>
    <m/>
    <m/>
  </r>
  <r>
    <x v="457"/>
    <x v="0"/>
    <s v="유튜브 디스커버리"/>
    <x v="0"/>
    <x v="0"/>
    <x v="0"/>
    <m/>
    <m/>
    <n v="227577"/>
    <m/>
    <m/>
    <m/>
  </r>
  <r>
    <x v="458"/>
    <x v="2"/>
    <s v="유튜브 디스커버리"/>
    <x v="0"/>
    <x v="0"/>
    <x v="0"/>
    <m/>
    <m/>
    <n v="207043"/>
    <m/>
    <m/>
    <m/>
  </r>
  <r>
    <x v="458"/>
    <x v="2"/>
    <s v="유튜브 디스커버리"/>
    <x v="0"/>
    <x v="0"/>
    <x v="0"/>
    <m/>
    <m/>
    <n v="150727"/>
    <m/>
    <m/>
    <m/>
  </r>
  <r>
    <x v="458"/>
    <x v="2"/>
    <s v="유튜브 디스커버리"/>
    <x v="0"/>
    <x v="0"/>
    <x v="0"/>
    <m/>
    <m/>
    <n v="7309"/>
    <m/>
    <m/>
    <m/>
  </r>
  <r>
    <x v="459"/>
    <x v="5"/>
    <s v="유튜브 디스커버리"/>
    <x v="0"/>
    <x v="0"/>
    <x v="0"/>
    <m/>
    <m/>
    <n v="25"/>
    <m/>
    <m/>
    <m/>
  </r>
  <r>
    <x v="459"/>
    <x v="5"/>
    <s v="유튜브 디스커버리"/>
    <x v="0"/>
    <x v="0"/>
    <x v="0"/>
    <m/>
    <m/>
    <n v="12"/>
    <m/>
    <m/>
    <m/>
  </r>
  <r>
    <x v="461"/>
    <x v="3"/>
    <s v="페이스북/인스타그램"/>
    <x v="0"/>
    <x v="0"/>
    <x v="0"/>
    <m/>
    <m/>
    <n v="389907"/>
    <m/>
    <m/>
    <m/>
  </r>
  <r>
    <x v="461"/>
    <x v="3"/>
    <s v="페이스북/인스타그램"/>
    <x v="13"/>
    <x v="0"/>
    <x v="0"/>
    <m/>
    <m/>
    <n v="28686"/>
    <m/>
    <m/>
    <m/>
  </r>
  <r>
    <x v="461"/>
    <x v="3"/>
    <s v="페이스북/인스타그램"/>
    <x v="7"/>
    <x v="0"/>
    <x v="0"/>
    <m/>
    <m/>
    <n v="553994"/>
    <m/>
    <m/>
    <m/>
  </r>
  <r>
    <x v="461"/>
    <x v="3"/>
    <s v="페이스북/인스타그램"/>
    <x v="0"/>
    <x v="0"/>
    <x v="0"/>
    <m/>
    <m/>
    <n v="4417"/>
    <m/>
    <m/>
    <m/>
  </r>
  <r>
    <x v="461"/>
    <x v="3"/>
    <s v="네이버 GFA"/>
    <x v="7"/>
    <x v="0"/>
    <x v="0"/>
    <m/>
    <m/>
    <n v="34779.0909090909"/>
    <m/>
    <m/>
    <m/>
  </r>
  <r>
    <x v="461"/>
    <x v="3"/>
    <s v="네이버 GFA"/>
    <x v="7"/>
    <x v="0"/>
    <x v="0"/>
    <m/>
    <m/>
    <n v="246019.0909090909"/>
    <m/>
    <m/>
    <m/>
  </r>
  <r>
    <x v="461"/>
    <x v="3"/>
    <s v="네이버 GFA"/>
    <x v="7"/>
    <x v="0"/>
    <x v="0"/>
    <m/>
    <m/>
    <n v="3260623.636363636"/>
    <m/>
    <m/>
    <m/>
  </r>
  <r>
    <x v="461"/>
    <x v="3"/>
    <s v="네이버 GFA"/>
    <x v="0"/>
    <x v="0"/>
    <x v="0"/>
    <m/>
    <m/>
    <n v="451964.5454545454"/>
    <m/>
    <m/>
    <m/>
  </r>
  <r>
    <x v="461"/>
    <x v="3"/>
    <s v="카카오광고"/>
    <x v="4"/>
    <x v="0"/>
    <x v="0"/>
    <m/>
    <m/>
    <n v="601215"/>
    <m/>
    <m/>
    <m/>
  </r>
  <r>
    <x v="461"/>
    <x v="3"/>
    <s v="유튜브 디스커버리"/>
    <x v="0"/>
    <x v="0"/>
    <x v="0"/>
    <m/>
    <m/>
    <n v="437812"/>
    <m/>
    <m/>
    <m/>
  </r>
  <r>
    <x v="461"/>
    <x v="3"/>
    <s v="유튜브 디스커버리"/>
    <x v="0"/>
    <x v="0"/>
    <x v="0"/>
    <m/>
    <m/>
    <n v="397700"/>
    <m/>
    <m/>
    <m/>
  </r>
  <r>
    <x v="461"/>
    <x v="3"/>
    <s v="유튜브 디스커버리"/>
    <x v="0"/>
    <x v="0"/>
    <x v="0"/>
    <m/>
    <m/>
    <n v="212130"/>
    <m/>
    <m/>
    <m/>
  </r>
  <r>
    <x v="461"/>
    <x v="3"/>
    <s v="네이버 쇼핑검색"/>
    <x v="10"/>
    <x v="0"/>
    <x v="0"/>
    <m/>
    <m/>
    <n v="87290"/>
    <m/>
    <m/>
    <m/>
  </r>
  <r>
    <x v="461"/>
    <x v="3"/>
    <s v="네이버 쇼핑검색"/>
    <x v="10"/>
    <x v="0"/>
    <x v="0"/>
    <m/>
    <m/>
    <n v="5610"/>
    <m/>
    <m/>
    <m/>
  </r>
  <r>
    <x v="462"/>
    <x v="4"/>
    <s v="페이스북/인스타그램"/>
    <x v="7"/>
    <x v="0"/>
    <x v="0"/>
    <m/>
    <m/>
    <n v="587974"/>
    <m/>
    <m/>
    <m/>
  </r>
  <r>
    <x v="462"/>
    <x v="4"/>
    <s v="페이스북/인스타그램"/>
    <x v="13"/>
    <x v="0"/>
    <x v="0"/>
    <m/>
    <m/>
    <n v="29185"/>
    <m/>
    <m/>
    <m/>
  </r>
  <r>
    <x v="462"/>
    <x v="4"/>
    <s v="페이스북/인스타그램"/>
    <x v="0"/>
    <x v="0"/>
    <x v="0"/>
    <m/>
    <m/>
    <n v="438806"/>
    <m/>
    <m/>
    <m/>
  </r>
  <r>
    <x v="462"/>
    <x v="4"/>
    <s v="네이버 GFA"/>
    <x v="7"/>
    <x v="0"/>
    <x v="0"/>
    <m/>
    <m/>
    <n v="1134130.909090909"/>
    <m/>
    <m/>
    <m/>
  </r>
  <r>
    <x v="462"/>
    <x v="4"/>
    <s v="네이버 GFA"/>
    <x v="0"/>
    <x v="0"/>
    <x v="0"/>
    <m/>
    <m/>
    <n v="1600309.090909091"/>
    <m/>
    <m/>
    <m/>
  </r>
  <r>
    <x v="462"/>
    <x v="4"/>
    <s v="네이버 쇼핑검색"/>
    <x v="10"/>
    <x v="0"/>
    <x v="0"/>
    <m/>
    <m/>
    <n v="67470"/>
    <m/>
    <m/>
    <m/>
  </r>
  <r>
    <x v="462"/>
    <x v="4"/>
    <s v="네이버 쇼핑검색"/>
    <x v="10"/>
    <x v="0"/>
    <x v="0"/>
    <m/>
    <m/>
    <n v="5939.999999999999"/>
    <m/>
    <m/>
    <m/>
  </r>
  <r>
    <x v="462"/>
    <x v="4"/>
    <s v="유튜브 디스커버리"/>
    <x v="0"/>
    <x v="0"/>
    <x v="0"/>
    <m/>
    <m/>
    <n v="26573"/>
    <m/>
    <m/>
    <m/>
  </r>
  <r>
    <x v="462"/>
    <x v="4"/>
    <s v="유튜브 디스커버리"/>
    <x v="0"/>
    <x v="0"/>
    <x v="0"/>
    <m/>
    <m/>
    <n v="4105"/>
    <m/>
    <m/>
    <m/>
  </r>
  <r>
    <x v="462"/>
    <x v="4"/>
    <s v="유튜브 디스커버리"/>
    <x v="0"/>
    <x v="0"/>
    <x v="0"/>
    <m/>
    <m/>
    <n v="388990"/>
    <m/>
    <m/>
    <m/>
  </r>
  <r>
    <x v="462"/>
    <x v="4"/>
    <s v="유튜브 디스커버리"/>
    <x v="0"/>
    <x v="0"/>
    <x v="0"/>
    <m/>
    <m/>
    <n v="266746"/>
    <m/>
    <m/>
    <m/>
  </r>
  <r>
    <x v="463"/>
    <x v="1"/>
    <s v="페이스북/인스타그램"/>
    <x v="7"/>
    <x v="0"/>
    <x v="0"/>
    <m/>
    <m/>
    <n v="575755"/>
    <m/>
    <m/>
    <m/>
  </r>
  <r>
    <x v="463"/>
    <x v="1"/>
    <s v="페이스북/인스타그램"/>
    <x v="13"/>
    <x v="0"/>
    <x v="0"/>
    <m/>
    <m/>
    <n v="30096"/>
    <m/>
    <m/>
    <m/>
  </r>
  <r>
    <x v="463"/>
    <x v="1"/>
    <s v="페이스북/인스타그램"/>
    <x v="0"/>
    <x v="0"/>
    <x v="0"/>
    <m/>
    <m/>
    <n v="563578"/>
    <m/>
    <m/>
    <m/>
  </r>
  <r>
    <x v="463"/>
    <x v="1"/>
    <s v="네이버 GFA"/>
    <x v="0"/>
    <x v="0"/>
    <x v="0"/>
    <m/>
    <m/>
    <n v="80821.81818181818"/>
    <m/>
    <m/>
    <m/>
  </r>
  <r>
    <x v="463"/>
    <x v="1"/>
    <s v="네이버 GFA"/>
    <x v="7"/>
    <x v="0"/>
    <x v="0"/>
    <m/>
    <m/>
    <n v="708453.6363636364"/>
    <m/>
    <m/>
    <m/>
  </r>
  <r>
    <x v="463"/>
    <x v="1"/>
    <s v="네이버 GFA"/>
    <x v="0"/>
    <x v="0"/>
    <x v="0"/>
    <m/>
    <m/>
    <n v="2782894.545454545"/>
    <m/>
    <m/>
    <m/>
  </r>
  <r>
    <x v="463"/>
    <x v="1"/>
    <s v="네이버 쇼핑검색"/>
    <x v="10"/>
    <x v="0"/>
    <x v="0"/>
    <m/>
    <m/>
    <n v="72180"/>
    <m/>
    <m/>
    <m/>
  </r>
  <r>
    <x v="463"/>
    <x v="1"/>
    <s v="네이버 쇼핑검색"/>
    <x v="10"/>
    <x v="0"/>
    <x v="0"/>
    <m/>
    <m/>
    <n v="9440"/>
    <m/>
    <m/>
    <m/>
  </r>
  <r>
    <x v="463"/>
    <x v="1"/>
    <s v="유튜브 디스커버리"/>
    <x v="0"/>
    <x v="0"/>
    <x v="0"/>
    <m/>
    <m/>
    <n v="109493"/>
    <m/>
    <m/>
    <m/>
  </r>
  <r>
    <x v="463"/>
    <x v="1"/>
    <s v="유튜브 디스커버리"/>
    <x v="0"/>
    <x v="0"/>
    <x v="0"/>
    <m/>
    <m/>
    <n v="8492"/>
    <m/>
    <m/>
    <m/>
  </r>
  <r>
    <x v="463"/>
    <x v="1"/>
    <s v="카카오광고"/>
    <x v="4"/>
    <x v="0"/>
    <x v="0"/>
    <m/>
    <m/>
    <n v="0"/>
    <m/>
    <m/>
    <m/>
  </r>
  <r>
    <x v="463"/>
    <x v="1"/>
    <s v="카카오광고"/>
    <x v="0"/>
    <x v="0"/>
    <x v="0"/>
    <m/>
    <m/>
    <n v="230494"/>
    <m/>
    <m/>
    <m/>
  </r>
  <r>
    <x v="464"/>
    <x v="0"/>
    <s v="페이스북/인스타그램"/>
    <x v="7"/>
    <x v="0"/>
    <x v="0"/>
    <m/>
    <m/>
    <n v="763254"/>
    <m/>
    <m/>
    <m/>
  </r>
  <r>
    <x v="464"/>
    <x v="0"/>
    <s v="페이스북/인스타그램"/>
    <x v="13"/>
    <x v="0"/>
    <x v="0"/>
    <m/>
    <m/>
    <n v="29666"/>
    <m/>
    <m/>
    <m/>
  </r>
  <r>
    <x v="464"/>
    <x v="0"/>
    <s v="페이스북/인스타그램"/>
    <x v="0"/>
    <x v="0"/>
    <x v="0"/>
    <m/>
    <m/>
    <n v="726284"/>
    <m/>
    <m/>
    <m/>
  </r>
  <r>
    <x v="464"/>
    <x v="0"/>
    <s v="네이버 GFA"/>
    <x v="7"/>
    <x v="0"/>
    <x v="0"/>
    <m/>
    <m/>
    <n v="1188988.181818182"/>
    <m/>
    <m/>
    <m/>
  </r>
  <r>
    <x v="464"/>
    <x v="0"/>
    <s v="네이버 GFA"/>
    <x v="0"/>
    <x v="0"/>
    <x v="0"/>
    <m/>
    <m/>
    <n v="2128515.454545455"/>
    <m/>
    <m/>
    <m/>
  </r>
  <r>
    <x v="464"/>
    <x v="0"/>
    <s v="카카오광고"/>
    <x v="4"/>
    <x v="0"/>
    <x v="0"/>
    <m/>
    <m/>
    <n v="0"/>
    <m/>
    <m/>
    <m/>
  </r>
  <r>
    <x v="464"/>
    <x v="0"/>
    <s v="카카오광고"/>
    <x v="0"/>
    <x v="0"/>
    <x v="0"/>
    <m/>
    <m/>
    <n v="215410"/>
    <m/>
    <m/>
    <m/>
  </r>
  <r>
    <x v="464"/>
    <x v="0"/>
    <s v="유튜브 디스커버리"/>
    <x v="0"/>
    <x v="0"/>
    <x v="0"/>
    <m/>
    <m/>
    <n v="108846"/>
    <m/>
    <m/>
    <m/>
  </r>
  <r>
    <x v="464"/>
    <x v="0"/>
    <s v="유튜브 디스커버리"/>
    <x v="0"/>
    <x v="0"/>
    <x v="0"/>
    <m/>
    <m/>
    <n v="8393"/>
    <m/>
    <m/>
    <m/>
  </r>
  <r>
    <x v="464"/>
    <x v="0"/>
    <s v="네이버 쇼핑검색"/>
    <x v="10"/>
    <x v="0"/>
    <x v="0"/>
    <m/>
    <m/>
    <n v="81850"/>
    <m/>
    <m/>
    <m/>
  </r>
  <r>
    <x v="464"/>
    <x v="0"/>
    <s v="네이버 쇼핑검색"/>
    <x v="10"/>
    <x v="0"/>
    <x v="0"/>
    <m/>
    <m/>
    <n v="5659.999999999999"/>
    <m/>
    <m/>
    <m/>
  </r>
  <r>
    <x v="465"/>
    <x v="2"/>
    <s v="페이스북/인스타그램"/>
    <x v="7"/>
    <x v="0"/>
    <x v="0"/>
    <m/>
    <m/>
    <n v="759375"/>
    <m/>
    <m/>
    <m/>
  </r>
  <r>
    <x v="465"/>
    <x v="2"/>
    <s v="페이스북/인스타그램"/>
    <x v="13"/>
    <x v="0"/>
    <x v="0"/>
    <m/>
    <m/>
    <n v="24784"/>
    <m/>
    <m/>
    <m/>
  </r>
  <r>
    <x v="465"/>
    <x v="2"/>
    <s v="페이스북/인스타그램"/>
    <x v="0"/>
    <x v="0"/>
    <x v="0"/>
    <m/>
    <m/>
    <n v="664201"/>
    <m/>
    <m/>
    <m/>
  </r>
  <r>
    <x v="465"/>
    <x v="2"/>
    <s v="카카오광고"/>
    <x v="0"/>
    <x v="0"/>
    <x v="0"/>
    <m/>
    <m/>
    <n v="145760"/>
    <m/>
    <m/>
    <m/>
  </r>
  <r>
    <x v="465"/>
    <x v="2"/>
    <s v="네이버 GFA"/>
    <x v="0"/>
    <x v="0"/>
    <x v="0"/>
    <m/>
    <m/>
    <n v="177399.0909090909"/>
    <m/>
    <m/>
    <m/>
  </r>
  <r>
    <x v="465"/>
    <x v="2"/>
    <s v="네이버 GFA"/>
    <x v="0"/>
    <x v="0"/>
    <x v="0"/>
    <m/>
    <m/>
    <n v="191388.1818181818"/>
    <m/>
    <m/>
    <m/>
  </r>
  <r>
    <x v="465"/>
    <x v="2"/>
    <s v="네이버 GFA"/>
    <x v="7"/>
    <x v="0"/>
    <x v="0"/>
    <m/>
    <m/>
    <n v="2048086.363636364"/>
    <m/>
    <m/>
    <m/>
  </r>
  <r>
    <x v="465"/>
    <x v="2"/>
    <s v="네이버 GFA"/>
    <x v="0"/>
    <x v="0"/>
    <x v="0"/>
    <m/>
    <m/>
    <n v="1304849.090909091"/>
    <m/>
    <m/>
    <m/>
  </r>
  <r>
    <x v="465"/>
    <x v="2"/>
    <s v="네이버 쇼핑검색"/>
    <x v="10"/>
    <x v="0"/>
    <x v="0"/>
    <m/>
    <m/>
    <n v="66460"/>
    <m/>
    <m/>
    <m/>
  </r>
  <r>
    <x v="465"/>
    <x v="2"/>
    <s v="네이버 쇼핑검색"/>
    <x v="10"/>
    <x v="0"/>
    <x v="0"/>
    <m/>
    <m/>
    <n v="4860"/>
    <m/>
    <m/>
    <m/>
  </r>
  <r>
    <x v="466"/>
    <x v="5"/>
    <s v="페이스북/인스타그램"/>
    <x v="7"/>
    <x v="0"/>
    <x v="0"/>
    <m/>
    <m/>
    <n v="382476"/>
    <m/>
    <m/>
    <m/>
  </r>
  <r>
    <x v="466"/>
    <x v="5"/>
    <s v="페이스북/인스타그램"/>
    <x v="13"/>
    <x v="0"/>
    <x v="0"/>
    <m/>
    <m/>
    <n v="14588"/>
    <m/>
    <m/>
    <m/>
  </r>
  <r>
    <x v="466"/>
    <x v="5"/>
    <s v="페이스북/인스타그램"/>
    <x v="0"/>
    <x v="0"/>
    <x v="0"/>
    <m/>
    <m/>
    <n v="396965"/>
    <m/>
    <m/>
    <m/>
  </r>
  <r>
    <x v="466"/>
    <x v="5"/>
    <s v="네이버 GFA"/>
    <x v="7"/>
    <x v="0"/>
    <x v="0"/>
    <m/>
    <m/>
    <n v="1572439.090909091"/>
    <m/>
    <m/>
    <m/>
  </r>
  <r>
    <x v="466"/>
    <x v="5"/>
    <s v="네이버 GFA"/>
    <x v="0"/>
    <x v="0"/>
    <x v="0"/>
    <m/>
    <m/>
    <n v="1742430"/>
    <m/>
    <m/>
    <m/>
  </r>
  <r>
    <x v="466"/>
    <x v="5"/>
    <s v="카카오광고"/>
    <x v="0"/>
    <x v="0"/>
    <x v="0"/>
    <m/>
    <m/>
    <n v="145810"/>
    <m/>
    <m/>
    <m/>
  </r>
  <r>
    <x v="466"/>
    <x v="5"/>
    <s v="네이버 쇼핑검색"/>
    <x v="10"/>
    <x v="0"/>
    <x v="0"/>
    <m/>
    <m/>
    <n v="83880"/>
    <m/>
    <m/>
    <m/>
  </r>
  <r>
    <x v="466"/>
    <x v="5"/>
    <s v="네이버 쇼핑검색"/>
    <x v="10"/>
    <x v="0"/>
    <x v="0"/>
    <m/>
    <m/>
    <n v="2390"/>
    <m/>
    <m/>
    <m/>
  </r>
  <r>
    <x v="467"/>
    <x v="6"/>
    <s v="페이스북/인스타그램"/>
    <x v="7"/>
    <x v="0"/>
    <x v="0"/>
    <m/>
    <m/>
    <n v="593602"/>
    <m/>
    <m/>
    <m/>
  </r>
  <r>
    <x v="467"/>
    <x v="6"/>
    <s v="페이스북/인스타그램"/>
    <x v="13"/>
    <x v="0"/>
    <x v="0"/>
    <m/>
    <m/>
    <n v="21647"/>
    <m/>
    <m/>
    <m/>
  </r>
  <r>
    <x v="467"/>
    <x v="6"/>
    <s v="페이스북/인스타그램"/>
    <x v="0"/>
    <x v="0"/>
    <x v="0"/>
    <m/>
    <m/>
    <n v="544987"/>
    <m/>
    <m/>
    <m/>
  </r>
  <r>
    <x v="467"/>
    <x v="6"/>
    <s v="네이버 GFA"/>
    <x v="7"/>
    <x v="0"/>
    <x v="0"/>
    <m/>
    <m/>
    <n v="2513507.272727272"/>
    <m/>
    <m/>
    <m/>
  </r>
  <r>
    <x v="467"/>
    <x v="6"/>
    <s v="네이버 GFA"/>
    <x v="0"/>
    <x v="0"/>
    <x v="0"/>
    <m/>
    <m/>
    <n v="1751517.272727272"/>
    <m/>
    <m/>
    <m/>
  </r>
  <r>
    <x v="467"/>
    <x v="6"/>
    <s v="카카오광고"/>
    <x v="0"/>
    <x v="0"/>
    <x v="0"/>
    <m/>
    <m/>
    <n v="145630"/>
    <m/>
    <m/>
    <m/>
  </r>
  <r>
    <x v="467"/>
    <x v="6"/>
    <s v="네이버 쇼핑검색"/>
    <x v="10"/>
    <x v="0"/>
    <x v="0"/>
    <m/>
    <m/>
    <n v="104120"/>
    <m/>
    <m/>
    <m/>
  </r>
  <r>
    <x v="467"/>
    <x v="6"/>
    <s v="네이버 쇼핑검색"/>
    <x v="10"/>
    <x v="0"/>
    <x v="0"/>
    <m/>
    <m/>
    <n v="5540"/>
    <m/>
    <m/>
    <m/>
  </r>
  <r>
    <x v="468"/>
    <x v="3"/>
    <s v="페이스북/인스타그램"/>
    <x v="7"/>
    <x v="0"/>
    <x v="0"/>
    <m/>
    <m/>
    <n v="917219"/>
    <m/>
    <m/>
    <m/>
  </r>
  <r>
    <x v="468"/>
    <x v="3"/>
    <s v="페이스북/인스타그램"/>
    <x v="13"/>
    <x v="0"/>
    <x v="0"/>
    <m/>
    <m/>
    <n v="29167"/>
    <m/>
    <m/>
    <m/>
  </r>
  <r>
    <x v="468"/>
    <x v="3"/>
    <s v="페이스북/인스타그램"/>
    <x v="0"/>
    <x v="0"/>
    <x v="0"/>
    <m/>
    <m/>
    <n v="769075"/>
    <m/>
    <m/>
    <m/>
  </r>
  <r>
    <x v="468"/>
    <x v="3"/>
    <s v="네이버 GFA"/>
    <x v="7"/>
    <x v="0"/>
    <x v="0"/>
    <m/>
    <m/>
    <n v="4815417.272727272"/>
    <m/>
    <m/>
    <m/>
  </r>
  <r>
    <x v="468"/>
    <x v="3"/>
    <s v="네이버 GFA"/>
    <x v="0"/>
    <x v="0"/>
    <x v="0"/>
    <m/>
    <m/>
    <n v="1574307.272727273"/>
    <m/>
    <m/>
    <m/>
  </r>
  <r>
    <x v="468"/>
    <x v="3"/>
    <s v="네이버 쇼핑검색"/>
    <x v="10"/>
    <x v="0"/>
    <x v="0"/>
    <m/>
    <m/>
    <n v="73150"/>
    <m/>
    <m/>
    <m/>
  </r>
  <r>
    <x v="468"/>
    <x v="3"/>
    <s v="네이버 쇼핑검색"/>
    <x v="10"/>
    <x v="0"/>
    <x v="0"/>
    <m/>
    <m/>
    <n v="4070"/>
    <m/>
    <m/>
    <m/>
  </r>
  <r>
    <x v="468"/>
    <x v="3"/>
    <s v="카카오광고"/>
    <x v="0"/>
    <x v="0"/>
    <x v="0"/>
    <m/>
    <m/>
    <n v="14050"/>
    <m/>
    <m/>
    <m/>
  </r>
  <r>
    <x v="468"/>
    <x v="3"/>
    <s v="카카오광고"/>
    <x v="0"/>
    <x v="0"/>
    <x v="0"/>
    <m/>
    <m/>
    <n v="0"/>
    <m/>
    <m/>
    <m/>
  </r>
  <r>
    <x v="468"/>
    <x v="3"/>
    <s v="카카오광고"/>
    <x v="4"/>
    <x v="0"/>
    <x v="0"/>
    <m/>
    <m/>
    <n v="0"/>
    <m/>
    <m/>
    <m/>
  </r>
  <r>
    <x v="468"/>
    <x v="3"/>
    <s v="카카오광고"/>
    <x v="0"/>
    <x v="0"/>
    <x v="0"/>
    <m/>
    <m/>
    <n v="399.9999999999999"/>
    <m/>
    <m/>
    <m/>
  </r>
  <r>
    <x v="468"/>
    <x v="3"/>
    <s v="카카오광고"/>
    <x v="0"/>
    <x v="0"/>
    <x v="0"/>
    <m/>
    <m/>
    <n v="16340"/>
    <m/>
    <m/>
    <m/>
  </r>
  <r>
    <x v="469"/>
    <x v="4"/>
    <s v="페이스북/인스타그램"/>
    <x v="7"/>
    <x v="0"/>
    <x v="0"/>
    <m/>
    <m/>
    <n v="1355340"/>
    <m/>
    <m/>
    <m/>
  </r>
  <r>
    <x v="469"/>
    <x v="4"/>
    <s v="페이스북/인스타그램"/>
    <x v="13"/>
    <x v="0"/>
    <x v="0"/>
    <m/>
    <m/>
    <n v="29809"/>
    <m/>
    <m/>
    <m/>
  </r>
  <r>
    <x v="469"/>
    <x v="4"/>
    <s v="페이스북/인스타그램"/>
    <x v="0"/>
    <x v="0"/>
    <x v="0"/>
    <m/>
    <m/>
    <n v="898915"/>
    <m/>
    <m/>
    <m/>
  </r>
  <r>
    <x v="469"/>
    <x v="4"/>
    <s v="네이버 GFA"/>
    <x v="0"/>
    <x v="0"/>
    <x v="0"/>
    <m/>
    <m/>
    <n v="126157.2727272727"/>
    <m/>
    <m/>
    <m/>
  </r>
  <r>
    <x v="469"/>
    <x v="4"/>
    <s v="네이버 GFA"/>
    <x v="0"/>
    <x v="0"/>
    <x v="0"/>
    <m/>
    <m/>
    <n v="221923.6363636364"/>
    <m/>
    <m/>
    <m/>
  </r>
  <r>
    <x v="469"/>
    <x v="4"/>
    <s v="네이버 GFA"/>
    <x v="7"/>
    <x v="0"/>
    <x v="0"/>
    <m/>
    <m/>
    <n v="89470.90909090909"/>
    <m/>
    <m/>
    <m/>
  </r>
  <r>
    <x v="469"/>
    <x v="4"/>
    <s v="네이버 GFA"/>
    <x v="7"/>
    <x v="0"/>
    <x v="0"/>
    <m/>
    <m/>
    <n v="4321121.818181817"/>
    <m/>
    <m/>
    <m/>
  </r>
  <r>
    <x v="469"/>
    <x v="4"/>
    <s v="네이버 GFA"/>
    <x v="0"/>
    <x v="0"/>
    <x v="0"/>
    <m/>
    <m/>
    <n v="2526459.090909091"/>
    <m/>
    <m/>
    <m/>
  </r>
  <r>
    <x v="469"/>
    <x v="4"/>
    <s v="카카오광고"/>
    <x v="0"/>
    <x v="0"/>
    <x v="0"/>
    <m/>
    <m/>
    <n v="12720"/>
    <m/>
    <m/>
    <m/>
  </r>
  <r>
    <x v="469"/>
    <x v="4"/>
    <s v="카카오광고"/>
    <x v="0"/>
    <x v="0"/>
    <x v="0"/>
    <m/>
    <m/>
    <n v="0"/>
    <m/>
    <m/>
    <m/>
  </r>
  <r>
    <x v="469"/>
    <x v="4"/>
    <s v="카카오광고"/>
    <x v="4"/>
    <x v="0"/>
    <x v="0"/>
    <m/>
    <m/>
    <n v="0"/>
    <m/>
    <m/>
    <m/>
  </r>
  <r>
    <x v="469"/>
    <x v="4"/>
    <s v="카카오광고"/>
    <x v="0"/>
    <x v="0"/>
    <x v="0"/>
    <m/>
    <m/>
    <n v="98269.99999999999"/>
    <m/>
    <m/>
    <m/>
  </r>
  <r>
    <x v="469"/>
    <x v="4"/>
    <s v="카카오광고"/>
    <x v="0"/>
    <x v="0"/>
    <x v="0"/>
    <m/>
    <m/>
    <n v="0"/>
    <m/>
    <m/>
    <m/>
  </r>
  <r>
    <x v="469"/>
    <x v="4"/>
    <s v="네이버 쇼핑검색"/>
    <x v="10"/>
    <x v="0"/>
    <x v="0"/>
    <m/>
    <m/>
    <n v="113800"/>
    <m/>
    <m/>
    <m/>
  </r>
  <r>
    <x v="469"/>
    <x v="4"/>
    <s v="네이버 쇼핑검색"/>
    <x v="10"/>
    <x v="0"/>
    <x v="0"/>
    <m/>
    <m/>
    <n v="3370"/>
    <m/>
    <m/>
    <m/>
  </r>
  <r>
    <x v="469"/>
    <x v="4"/>
    <s v="유튜브 디스커버리"/>
    <x v="0"/>
    <x v="0"/>
    <x v="0"/>
    <m/>
    <m/>
    <n v="14"/>
    <m/>
    <m/>
    <m/>
  </r>
  <r>
    <x v="470"/>
    <x v="1"/>
    <s v="페이스북/인스타그램"/>
    <x v="7"/>
    <x v="0"/>
    <x v="0"/>
    <m/>
    <m/>
    <n v="1280435"/>
    <m/>
    <m/>
    <m/>
  </r>
  <r>
    <x v="470"/>
    <x v="1"/>
    <s v="페이스북/인스타그램"/>
    <x v="13"/>
    <x v="0"/>
    <x v="0"/>
    <m/>
    <m/>
    <n v="29776"/>
    <m/>
    <m/>
    <m/>
  </r>
  <r>
    <x v="470"/>
    <x v="1"/>
    <s v="페이스북/인스타그램"/>
    <x v="0"/>
    <x v="0"/>
    <x v="0"/>
    <m/>
    <m/>
    <n v="965977"/>
    <m/>
    <m/>
    <m/>
  </r>
  <r>
    <x v="470"/>
    <x v="1"/>
    <s v="네이버 GFA"/>
    <x v="0"/>
    <x v="0"/>
    <x v="0"/>
    <m/>
    <m/>
    <n v="239509.0909090909"/>
    <m/>
    <m/>
    <m/>
  </r>
  <r>
    <x v="470"/>
    <x v="1"/>
    <s v="네이버 GFA"/>
    <x v="0"/>
    <x v="0"/>
    <x v="0"/>
    <m/>
    <m/>
    <n v="127179.0909090909"/>
    <m/>
    <m/>
    <m/>
  </r>
  <r>
    <x v="470"/>
    <x v="1"/>
    <s v="네이버 GFA"/>
    <x v="7"/>
    <x v="0"/>
    <x v="0"/>
    <m/>
    <m/>
    <n v="28251.81818181818"/>
    <m/>
    <m/>
    <m/>
  </r>
  <r>
    <x v="470"/>
    <x v="1"/>
    <s v="네이버 GFA"/>
    <x v="7"/>
    <x v="0"/>
    <x v="0"/>
    <m/>
    <m/>
    <n v="3652972.727272727"/>
    <m/>
    <m/>
    <m/>
  </r>
  <r>
    <x v="470"/>
    <x v="1"/>
    <s v="네이버 GFA"/>
    <x v="0"/>
    <x v="0"/>
    <x v="0"/>
    <m/>
    <m/>
    <n v="1873231.818181818"/>
    <m/>
    <m/>
    <m/>
  </r>
  <r>
    <x v="470"/>
    <x v="1"/>
    <s v="카카오광고"/>
    <x v="0"/>
    <x v="0"/>
    <x v="0"/>
    <m/>
    <m/>
    <n v="25770"/>
    <m/>
    <m/>
    <m/>
  </r>
  <r>
    <x v="470"/>
    <x v="1"/>
    <s v="카카오광고"/>
    <x v="0"/>
    <x v="0"/>
    <x v="0"/>
    <m/>
    <m/>
    <n v="330"/>
    <m/>
    <m/>
    <m/>
  </r>
  <r>
    <x v="470"/>
    <x v="1"/>
    <s v="카카오광고"/>
    <x v="4"/>
    <x v="0"/>
    <x v="0"/>
    <m/>
    <m/>
    <n v="0"/>
    <m/>
    <m/>
    <m/>
  </r>
  <r>
    <x v="470"/>
    <x v="1"/>
    <s v="카카오광고"/>
    <x v="0"/>
    <x v="0"/>
    <x v="0"/>
    <m/>
    <m/>
    <n v="16620"/>
    <m/>
    <m/>
    <m/>
  </r>
  <r>
    <x v="470"/>
    <x v="1"/>
    <s v="네이버 쇼핑검색"/>
    <x v="10"/>
    <x v="0"/>
    <x v="0"/>
    <m/>
    <m/>
    <n v="113670"/>
    <m/>
    <m/>
    <m/>
  </r>
  <r>
    <x v="470"/>
    <x v="1"/>
    <s v="네이버 쇼핑검색"/>
    <x v="10"/>
    <x v="0"/>
    <x v="0"/>
    <m/>
    <m/>
    <n v="5100"/>
    <m/>
    <m/>
    <m/>
  </r>
  <r>
    <x v="471"/>
    <x v="0"/>
    <s v="페이스북/인스타그램"/>
    <x v="7"/>
    <x v="0"/>
    <x v="0"/>
    <m/>
    <m/>
    <n v="1280998"/>
    <m/>
    <m/>
    <m/>
  </r>
  <r>
    <x v="471"/>
    <x v="0"/>
    <s v="페이스북/인스타그램"/>
    <x v="13"/>
    <x v="0"/>
    <x v="0"/>
    <m/>
    <m/>
    <n v="29631"/>
    <m/>
    <m/>
    <m/>
  </r>
  <r>
    <x v="471"/>
    <x v="0"/>
    <s v="페이스북/인스타그램"/>
    <x v="0"/>
    <x v="0"/>
    <x v="0"/>
    <m/>
    <m/>
    <n v="979024"/>
    <m/>
    <m/>
    <m/>
  </r>
  <r>
    <x v="471"/>
    <x v="0"/>
    <s v="네이버 GFA"/>
    <x v="0"/>
    <x v="0"/>
    <x v="0"/>
    <m/>
    <m/>
    <n v="185104.5454545454"/>
    <m/>
    <m/>
    <m/>
  </r>
  <r>
    <x v="471"/>
    <x v="0"/>
    <s v="네이버 GFA"/>
    <x v="0"/>
    <x v="0"/>
    <x v="0"/>
    <m/>
    <m/>
    <n v="2517577.272727272"/>
    <m/>
    <m/>
    <m/>
  </r>
  <r>
    <x v="471"/>
    <x v="0"/>
    <s v="네이버 GFA"/>
    <x v="7"/>
    <x v="0"/>
    <x v="0"/>
    <m/>
    <m/>
    <n v="99646.36363636363"/>
    <m/>
    <m/>
    <m/>
  </r>
  <r>
    <x v="471"/>
    <x v="0"/>
    <s v="네이버 GFA"/>
    <x v="7"/>
    <x v="0"/>
    <x v="0"/>
    <m/>
    <m/>
    <n v="3001660.909090909"/>
    <m/>
    <m/>
    <m/>
  </r>
  <r>
    <x v="471"/>
    <x v="0"/>
    <s v="네이버 GFA"/>
    <x v="0"/>
    <x v="0"/>
    <x v="0"/>
    <m/>
    <m/>
    <n v="1004407.272727273"/>
    <m/>
    <m/>
    <m/>
  </r>
  <r>
    <x v="471"/>
    <x v="0"/>
    <s v="카카오광고"/>
    <x v="0"/>
    <x v="0"/>
    <x v="0"/>
    <m/>
    <m/>
    <n v="48799.99999999999"/>
    <m/>
    <m/>
    <m/>
  </r>
  <r>
    <x v="471"/>
    <x v="0"/>
    <s v="카카오광고"/>
    <x v="0"/>
    <x v="0"/>
    <x v="0"/>
    <m/>
    <m/>
    <n v="310"/>
    <m/>
    <m/>
    <m/>
  </r>
  <r>
    <x v="471"/>
    <x v="0"/>
    <s v="카카오광고"/>
    <x v="4"/>
    <x v="0"/>
    <x v="0"/>
    <m/>
    <m/>
    <n v="0"/>
    <m/>
    <m/>
    <m/>
  </r>
  <r>
    <x v="471"/>
    <x v="0"/>
    <s v="카카오광고"/>
    <x v="0"/>
    <x v="0"/>
    <x v="0"/>
    <m/>
    <m/>
    <n v="21210"/>
    <m/>
    <m/>
    <m/>
  </r>
  <r>
    <x v="471"/>
    <x v="0"/>
    <s v="네이버 쇼핑검색"/>
    <x v="10"/>
    <x v="0"/>
    <x v="0"/>
    <m/>
    <m/>
    <n v="106410"/>
    <m/>
    <m/>
    <m/>
  </r>
  <r>
    <x v="471"/>
    <x v="0"/>
    <s v="네이버 쇼핑검색"/>
    <x v="10"/>
    <x v="0"/>
    <x v="0"/>
    <m/>
    <m/>
    <n v="8330"/>
    <m/>
    <m/>
    <m/>
  </r>
  <r>
    <x v="472"/>
    <x v="2"/>
    <s v="페이스북/인스타그램"/>
    <x v="7"/>
    <x v="0"/>
    <x v="0"/>
    <m/>
    <m/>
    <n v="986500"/>
    <m/>
    <m/>
    <m/>
  </r>
  <r>
    <x v="472"/>
    <x v="2"/>
    <s v="페이스북/인스타그램"/>
    <x v="13"/>
    <x v="0"/>
    <x v="0"/>
    <m/>
    <m/>
    <n v="23745"/>
    <m/>
    <m/>
    <m/>
  </r>
  <r>
    <x v="472"/>
    <x v="2"/>
    <s v="페이스북/인스타그램"/>
    <x v="0"/>
    <x v="0"/>
    <x v="0"/>
    <m/>
    <m/>
    <n v="847801"/>
    <m/>
    <m/>
    <m/>
  </r>
  <r>
    <x v="472"/>
    <x v="2"/>
    <s v="네이버 GFA"/>
    <x v="0"/>
    <x v="0"/>
    <x v="0"/>
    <m/>
    <m/>
    <n v="47807.27272727272"/>
    <m/>
    <m/>
    <m/>
  </r>
  <r>
    <x v="472"/>
    <x v="2"/>
    <s v="네이버 GFA"/>
    <x v="0"/>
    <x v="0"/>
    <x v="0"/>
    <m/>
    <m/>
    <n v="925710.9090909091"/>
    <m/>
    <m/>
    <m/>
  </r>
  <r>
    <x v="472"/>
    <x v="2"/>
    <s v="네이버 GFA"/>
    <x v="0"/>
    <x v="0"/>
    <x v="0"/>
    <m/>
    <m/>
    <n v="96797.27272727272"/>
    <m/>
    <m/>
    <m/>
  </r>
  <r>
    <x v="472"/>
    <x v="2"/>
    <s v="네이버 GFA"/>
    <x v="7"/>
    <x v="0"/>
    <x v="0"/>
    <m/>
    <m/>
    <n v="55806.36363636363"/>
    <m/>
    <m/>
    <m/>
  </r>
  <r>
    <x v="472"/>
    <x v="2"/>
    <s v="네이버 GFA"/>
    <x v="0"/>
    <x v="0"/>
    <x v="0"/>
    <m/>
    <m/>
    <n v="25725.45454545454"/>
    <m/>
    <m/>
    <m/>
  </r>
  <r>
    <x v="472"/>
    <x v="2"/>
    <s v="네이버 GFA"/>
    <x v="0"/>
    <x v="0"/>
    <x v="0"/>
    <m/>
    <m/>
    <n v="122155.4545454545"/>
    <m/>
    <m/>
    <m/>
  </r>
  <r>
    <x v="472"/>
    <x v="2"/>
    <s v="네이버 GFA"/>
    <x v="7"/>
    <x v="0"/>
    <x v="0"/>
    <m/>
    <m/>
    <n v="887.2727272727273"/>
    <m/>
    <m/>
    <m/>
  </r>
  <r>
    <x v="472"/>
    <x v="2"/>
    <s v="네이버 GFA"/>
    <x v="7"/>
    <x v="0"/>
    <x v="0"/>
    <m/>
    <m/>
    <n v="2389717.272727272"/>
    <m/>
    <m/>
    <m/>
  </r>
  <r>
    <x v="472"/>
    <x v="2"/>
    <s v="네이버 GFA"/>
    <x v="0"/>
    <x v="0"/>
    <x v="0"/>
    <m/>
    <m/>
    <n v="1193048.181818182"/>
    <m/>
    <m/>
    <m/>
  </r>
  <r>
    <x v="472"/>
    <x v="2"/>
    <s v="카카오광고"/>
    <x v="0"/>
    <x v="0"/>
    <x v="0"/>
    <m/>
    <m/>
    <n v="999.1485148514852"/>
    <m/>
    <m/>
    <m/>
  </r>
  <r>
    <x v="472"/>
    <x v="2"/>
    <s v="카카오광고"/>
    <x v="0"/>
    <x v="0"/>
    <x v="0"/>
    <m/>
    <m/>
    <n v="24.61386138613861"/>
    <m/>
    <m/>
    <m/>
  </r>
  <r>
    <x v="472"/>
    <x v="2"/>
    <s v="카카오광고"/>
    <x v="4"/>
    <x v="0"/>
    <x v="0"/>
    <m/>
    <m/>
    <n v="0"/>
    <m/>
    <m/>
    <m/>
  </r>
  <r>
    <x v="472"/>
    <x v="2"/>
    <s v="네이버 쇼핑검색"/>
    <x v="10"/>
    <x v="0"/>
    <x v="0"/>
    <m/>
    <m/>
    <n v="78180"/>
    <m/>
    <m/>
    <m/>
  </r>
  <r>
    <x v="472"/>
    <x v="2"/>
    <s v="네이버 쇼핑검색"/>
    <x v="10"/>
    <x v="0"/>
    <x v="0"/>
    <m/>
    <m/>
    <n v="9230"/>
    <m/>
    <m/>
    <m/>
  </r>
  <r>
    <x v="473"/>
    <x v="5"/>
    <s v="페이스북/인스타그램"/>
    <x v="7"/>
    <x v="0"/>
    <x v="0"/>
    <m/>
    <m/>
    <n v="627180"/>
    <m/>
    <m/>
    <m/>
  </r>
  <r>
    <x v="473"/>
    <x v="5"/>
    <s v="페이스북/인스타그램"/>
    <x v="13"/>
    <x v="0"/>
    <x v="0"/>
    <m/>
    <m/>
    <n v="14486"/>
    <m/>
    <m/>
    <m/>
  </r>
  <r>
    <x v="473"/>
    <x v="5"/>
    <s v="페이스북/인스타그램"/>
    <x v="0"/>
    <x v="0"/>
    <x v="0"/>
    <m/>
    <m/>
    <n v="449092"/>
    <m/>
    <m/>
    <m/>
  </r>
  <r>
    <x v="473"/>
    <x v="5"/>
    <s v="네이버 GFA"/>
    <x v="0"/>
    <x v="0"/>
    <x v="0"/>
    <m/>
    <m/>
    <n v="21173.63636363636"/>
    <m/>
    <m/>
    <m/>
  </r>
  <r>
    <x v="473"/>
    <x v="5"/>
    <s v="네이버 GFA"/>
    <x v="0"/>
    <x v="0"/>
    <x v="0"/>
    <m/>
    <m/>
    <n v="830171.8181818181"/>
    <m/>
    <m/>
    <m/>
  </r>
  <r>
    <x v="473"/>
    <x v="5"/>
    <s v="네이버 GFA"/>
    <x v="0"/>
    <x v="0"/>
    <x v="0"/>
    <m/>
    <m/>
    <n v="50482.72727272727"/>
    <m/>
    <m/>
    <m/>
  </r>
  <r>
    <x v="473"/>
    <x v="5"/>
    <s v="네이버 GFA"/>
    <x v="7"/>
    <x v="0"/>
    <x v="0"/>
    <m/>
    <m/>
    <n v="55729.0909090909"/>
    <m/>
    <m/>
    <m/>
  </r>
  <r>
    <x v="473"/>
    <x v="5"/>
    <s v="네이버 GFA"/>
    <x v="0"/>
    <x v="0"/>
    <x v="0"/>
    <m/>
    <m/>
    <n v="66562.72727272726"/>
    <m/>
    <m/>
    <m/>
  </r>
  <r>
    <x v="473"/>
    <x v="5"/>
    <s v="네이버 GFA"/>
    <x v="7"/>
    <x v="0"/>
    <x v="0"/>
    <m/>
    <m/>
    <n v="1910135.454545454"/>
    <m/>
    <m/>
    <m/>
  </r>
  <r>
    <x v="473"/>
    <x v="5"/>
    <s v="네이버 GFA"/>
    <x v="0"/>
    <x v="0"/>
    <x v="0"/>
    <m/>
    <m/>
    <n v="432878.1818181818"/>
    <m/>
    <m/>
    <m/>
  </r>
  <r>
    <x v="473"/>
    <x v="5"/>
    <s v="카카오광고"/>
    <x v="0"/>
    <x v="0"/>
    <x v="0"/>
    <m/>
    <m/>
    <n v="1029.207920792079"/>
    <m/>
    <m/>
    <m/>
  </r>
  <r>
    <x v="473"/>
    <x v="5"/>
    <s v="카카오광고"/>
    <x v="0"/>
    <x v="0"/>
    <x v="0"/>
    <m/>
    <m/>
    <n v="37.79207920792079"/>
    <m/>
    <m/>
    <m/>
  </r>
  <r>
    <x v="473"/>
    <x v="5"/>
    <s v="카카오광고"/>
    <x v="4"/>
    <x v="0"/>
    <x v="0"/>
    <m/>
    <m/>
    <n v="0"/>
    <m/>
    <m/>
    <m/>
  </r>
  <r>
    <x v="473"/>
    <x v="5"/>
    <s v="네이버 쇼핑검색"/>
    <x v="10"/>
    <x v="0"/>
    <x v="0"/>
    <m/>
    <m/>
    <n v="69020"/>
    <m/>
    <m/>
    <m/>
  </r>
  <r>
    <x v="473"/>
    <x v="5"/>
    <s v="네이버 쇼핑검색"/>
    <x v="10"/>
    <x v="0"/>
    <x v="0"/>
    <m/>
    <m/>
    <n v="1500"/>
    <m/>
    <m/>
    <m/>
  </r>
  <r>
    <x v="474"/>
    <x v="6"/>
    <s v="페이스북/인스타그램"/>
    <x v="7"/>
    <x v="0"/>
    <x v="0"/>
    <m/>
    <m/>
    <n v="876422"/>
    <m/>
    <m/>
    <m/>
  </r>
  <r>
    <x v="474"/>
    <x v="6"/>
    <s v="페이스북/인스타그램"/>
    <x v="13"/>
    <x v="0"/>
    <x v="0"/>
    <m/>
    <m/>
    <n v="20674"/>
    <m/>
    <m/>
    <m/>
  </r>
  <r>
    <x v="474"/>
    <x v="6"/>
    <s v="페이스북/인스타그램"/>
    <x v="0"/>
    <x v="0"/>
    <x v="0"/>
    <m/>
    <m/>
    <n v="575297"/>
    <m/>
    <m/>
    <m/>
  </r>
  <r>
    <x v="474"/>
    <x v="6"/>
    <s v="네이버 GFA"/>
    <x v="0"/>
    <x v="0"/>
    <x v="0"/>
    <m/>
    <m/>
    <n v="234301.8181818182"/>
    <m/>
    <m/>
    <m/>
  </r>
  <r>
    <x v="474"/>
    <x v="6"/>
    <s v="네이버 GFA"/>
    <x v="7"/>
    <x v="0"/>
    <x v="0"/>
    <m/>
    <m/>
    <n v="76277.27272727272"/>
    <m/>
    <m/>
    <m/>
  </r>
  <r>
    <x v="474"/>
    <x v="6"/>
    <s v="네이버 GFA"/>
    <x v="0"/>
    <x v="0"/>
    <x v="0"/>
    <m/>
    <m/>
    <n v="88877.27272727272"/>
    <m/>
    <m/>
    <m/>
  </r>
  <r>
    <x v="474"/>
    <x v="6"/>
    <s v="네이버 GFA"/>
    <x v="7"/>
    <x v="0"/>
    <x v="0"/>
    <m/>
    <m/>
    <n v="2216896.363636363"/>
    <m/>
    <m/>
    <m/>
  </r>
  <r>
    <x v="474"/>
    <x v="6"/>
    <s v="네이버 GFA"/>
    <x v="0"/>
    <x v="0"/>
    <x v="0"/>
    <m/>
    <m/>
    <n v="1089642.727272727"/>
    <m/>
    <m/>
    <m/>
  </r>
  <r>
    <x v="474"/>
    <x v="6"/>
    <s v="카카오광고"/>
    <x v="0"/>
    <x v="0"/>
    <x v="0"/>
    <m/>
    <m/>
    <n v="1000.346534653465"/>
    <m/>
    <m/>
    <m/>
  </r>
  <r>
    <x v="474"/>
    <x v="6"/>
    <s v="카카오광고"/>
    <x v="0"/>
    <x v="0"/>
    <x v="0"/>
    <m/>
    <m/>
    <n v="120.2376237623762"/>
    <m/>
    <m/>
    <m/>
  </r>
  <r>
    <x v="474"/>
    <x v="6"/>
    <s v="카카오광고"/>
    <x v="4"/>
    <x v="0"/>
    <x v="0"/>
    <m/>
    <m/>
    <n v="0"/>
    <m/>
    <m/>
    <m/>
  </r>
  <r>
    <x v="474"/>
    <x v="6"/>
    <s v="네이버 쇼핑검색"/>
    <x v="10"/>
    <x v="0"/>
    <x v="0"/>
    <m/>
    <m/>
    <n v="93889.99999999999"/>
    <m/>
    <m/>
    <m/>
  </r>
  <r>
    <x v="474"/>
    <x v="6"/>
    <s v="네이버 쇼핑검색"/>
    <x v="10"/>
    <x v="0"/>
    <x v="0"/>
    <m/>
    <m/>
    <n v="3560"/>
    <m/>
    <m/>
    <m/>
  </r>
  <r>
    <x v="472"/>
    <x v="2"/>
    <s v="유튜브 디스커버리"/>
    <x v="0"/>
    <x v="0"/>
    <x v="0"/>
    <m/>
    <m/>
    <n v="97137"/>
    <m/>
    <m/>
    <m/>
  </r>
  <r>
    <x v="473"/>
    <x v="5"/>
    <s v="유튜브 디스커버리"/>
    <x v="0"/>
    <x v="0"/>
    <x v="0"/>
    <m/>
    <m/>
    <n v="824"/>
    <m/>
    <m/>
    <m/>
  </r>
  <r>
    <x v="474"/>
    <x v="6"/>
    <s v="유튜브 디스커버리"/>
    <x v="0"/>
    <x v="0"/>
    <x v="0"/>
    <m/>
    <m/>
    <n v="204892"/>
    <m/>
    <m/>
    <m/>
  </r>
  <r>
    <x v="474"/>
    <x v="6"/>
    <s v="유튜브 디스커버리"/>
    <x v="0"/>
    <x v="0"/>
    <x v="0"/>
    <m/>
    <m/>
    <n v="213740"/>
    <m/>
    <m/>
    <m/>
  </r>
  <r>
    <x v="475"/>
    <x v="3"/>
    <s v="페이스북/인스타그램"/>
    <x v="7"/>
    <x v="0"/>
    <x v="0"/>
    <m/>
    <m/>
    <n v="890364"/>
    <m/>
    <m/>
    <m/>
  </r>
  <r>
    <x v="475"/>
    <x v="3"/>
    <s v="페이스북/인스타그램"/>
    <x v="13"/>
    <x v="0"/>
    <x v="0"/>
    <m/>
    <m/>
    <n v="28680"/>
    <m/>
    <m/>
    <m/>
  </r>
  <r>
    <x v="475"/>
    <x v="3"/>
    <s v="페이스북/인스타그램"/>
    <x v="0"/>
    <x v="0"/>
    <x v="0"/>
    <m/>
    <m/>
    <n v="1031724"/>
    <m/>
    <m/>
    <m/>
  </r>
  <r>
    <x v="475"/>
    <x v="3"/>
    <s v="네이버 GFA"/>
    <x v="0"/>
    <x v="0"/>
    <x v="0"/>
    <m/>
    <m/>
    <n v="165233.6363636364"/>
    <m/>
    <m/>
    <m/>
  </r>
  <r>
    <x v="475"/>
    <x v="3"/>
    <s v="네이버 GFA"/>
    <x v="0"/>
    <x v="0"/>
    <x v="0"/>
    <m/>
    <m/>
    <n v="0"/>
    <m/>
    <m/>
    <m/>
  </r>
  <r>
    <x v="475"/>
    <x v="3"/>
    <s v="네이버 GFA"/>
    <x v="7"/>
    <x v="0"/>
    <x v="0"/>
    <m/>
    <m/>
    <n v="87379.0909090909"/>
    <m/>
    <m/>
    <m/>
  </r>
  <r>
    <x v="475"/>
    <x v="3"/>
    <s v="네이버 GFA"/>
    <x v="0"/>
    <x v="0"/>
    <x v="0"/>
    <m/>
    <m/>
    <n v="60797.27272727272"/>
    <m/>
    <m/>
    <m/>
  </r>
  <r>
    <x v="475"/>
    <x v="3"/>
    <s v="네이버 GFA"/>
    <x v="7"/>
    <x v="0"/>
    <x v="0"/>
    <m/>
    <m/>
    <n v="925197.2727272727"/>
    <m/>
    <m/>
    <m/>
  </r>
  <r>
    <x v="475"/>
    <x v="3"/>
    <s v="네이버 GFA"/>
    <x v="0"/>
    <x v="0"/>
    <x v="0"/>
    <m/>
    <m/>
    <n v="1644108.181818182"/>
    <m/>
    <m/>
    <m/>
  </r>
  <r>
    <x v="475"/>
    <x v="3"/>
    <s v="카카오광고"/>
    <x v="0"/>
    <x v="0"/>
    <x v="0"/>
    <m/>
    <m/>
    <n v="73520"/>
    <m/>
    <m/>
    <m/>
  </r>
  <r>
    <x v="475"/>
    <x v="3"/>
    <s v="카카오광고"/>
    <x v="4"/>
    <x v="0"/>
    <x v="0"/>
    <m/>
    <m/>
    <n v="521504.9999999999"/>
    <m/>
    <m/>
    <m/>
  </r>
  <r>
    <x v="475"/>
    <x v="3"/>
    <s v="네이버 쇼핑검색"/>
    <x v="10"/>
    <x v="0"/>
    <x v="0"/>
    <m/>
    <m/>
    <n v="88740"/>
    <m/>
    <m/>
    <m/>
  </r>
  <r>
    <x v="475"/>
    <x v="3"/>
    <s v="네이버 쇼핑검색"/>
    <x v="10"/>
    <x v="0"/>
    <x v="0"/>
    <m/>
    <m/>
    <n v="8730"/>
    <m/>
    <m/>
    <m/>
  </r>
  <r>
    <x v="475"/>
    <x v="3"/>
    <s v="유튜브 디스커버리"/>
    <x v="0"/>
    <x v="0"/>
    <x v="0"/>
    <m/>
    <m/>
    <n v="97137"/>
    <m/>
    <m/>
    <m/>
  </r>
  <r>
    <x v="475"/>
    <x v="3"/>
    <s v="유튜브 디스커버리"/>
    <x v="0"/>
    <x v="0"/>
    <x v="0"/>
    <m/>
    <m/>
    <n v="213972"/>
    <m/>
    <m/>
    <m/>
  </r>
  <r>
    <x v="475"/>
    <x v="3"/>
    <s v="유튜브 디스커버리"/>
    <x v="0"/>
    <x v="0"/>
    <x v="0"/>
    <m/>
    <m/>
    <n v="824"/>
    <m/>
    <m/>
    <m/>
  </r>
  <r>
    <x v="475"/>
    <x v="3"/>
    <s v="유튜브 디스커버리"/>
    <x v="0"/>
    <x v="0"/>
    <x v="0"/>
    <m/>
    <m/>
    <n v="204892"/>
    <m/>
    <m/>
    <m/>
  </r>
  <r>
    <x v="476"/>
    <x v="4"/>
    <s v="페이스북/인스타그램"/>
    <x v="7"/>
    <x v="0"/>
    <x v="0"/>
    <m/>
    <m/>
    <n v="865074"/>
    <m/>
    <m/>
    <m/>
  </r>
  <r>
    <x v="476"/>
    <x v="4"/>
    <s v="페이스북/인스타그램"/>
    <x v="13"/>
    <x v="0"/>
    <x v="0"/>
    <m/>
    <m/>
    <n v="28993"/>
    <m/>
    <m/>
    <m/>
  </r>
  <r>
    <x v="476"/>
    <x v="4"/>
    <s v="페이스북/인스타그램"/>
    <x v="0"/>
    <x v="0"/>
    <x v="0"/>
    <m/>
    <m/>
    <n v="1207196"/>
    <m/>
    <m/>
    <m/>
  </r>
  <r>
    <x v="476"/>
    <x v="4"/>
    <s v="네이버 GFA"/>
    <x v="0"/>
    <x v="0"/>
    <x v="0"/>
    <m/>
    <m/>
    <n v="121243.6363636364"/>
    <m/>
    <m/>
    <m/>
  </r>
  <r>
    <x v="476"/>
    <x v="4"/>
    <s v="네이버 GFA"/>
    <x v="7"/>
    <x v="0"/>
    <x v="0"/>
    <m/>
    <m/>
    <n v="96576.36363636363"/>
    <m/>
    <m/>
    <m/>
  </r>
  <r>
    <x v="476"/>
    <x v="4"/>
    <s v="네이버 GFA"/>
    <x v="0"/>
    <x v="0"/>
    <x v="0"/>
    <m/>
    <m/>
    <n v="62130.90909090909"/>
    <m/>
    <m/>
    <m/>
  </r>
  <r>
    <x v="476"/>
    <x v="4"/>
    <s v="네이버 GFA"/>
    <x v="7"/>
    <x v="0"/>
    <x v="0"/>
    <m/>
    <m/>
    <n v="917292.7272727272"/>
    <m/>
    <m/>
    <m/>
  </r>
  <r>
    <x v="476"/>
    <x v="4"/>
    <s v="네이버 GFA"/>
    <x v="0"/>
    <x v="0"/>
    <x v="0"/>
    <m/>
    <m/>
    <n v="687455.4545454545"/>
    <m/>
    <m/>
    <m/>
  </r>
  <r>
    <x v="476"/>
    <x v="4"/>
    <s v="네이버 쇼핑검색"/>
    <x v="10"/>
    <x v="0"/>
    <x v="0"/>
    <m/>
    <m/>
    <n v="84250"/>
    <m/>
    <m/>
    <m/>
  </r>
  <r>
    <x v="476"/>
    <x v="4"/>
    <s v="네이버 쇼핑검색"/>
    <x v="10"/>
    <x v="0"/>
    <x v="0"/>
    <m/>
    <m/>
    <n v="4470"/>
    <m/>
    <m/>
    <m/>
  </r>
  <r>
    <x v="476"/>
    <x v="4"/>
    <s v="카카오광고"/>
    <x v="0"/>
    <x v="0"/>
    <x v="0"/>
    <m/>
    <m/>
    <n v="12680"/>
    <m/>
    <m/>
    <m/>
  </r>
  <r>
    <x v="476"/>
    <x v="4"/>
    <s v="카카오광고"/>
    <x v="4"/>
    <x v="0"/>
    <x v="0"/>
    <m/>
    <m/>
    <n v="0"/>
    <m/>
    <m/>
    <m/>
  </r>
  <r>
    <x v="476"/>
    <x v="4"/>
    <s v="유튜브 디스커버리"/>
    <x v="0"/>
    <x v="0"/>
    <x v="0"/>
    <m/>
    <m/>
    <n v="51436"/>
    <m/>
    <m/>
    <m/>
  </r>
  <r>
    <x v="476"/>
    <x v="4"/>
    <s v="유튜브 디스커버리"/>
    <x v="0"/>
    <x v="0"/>
    <x v="0"/>
    <m/>
    <m/>
    <n v="204031"/>
    <m/>
    <m/>
    <m/>
  </r>
  <r>
    <x v="476"/>
    <x v="4"/>
    <s v="유튜브 디스커버리"/>
    <x v="0"/>
    <x v="0"/>
    <x v="0"/>
    <m/>
    <m/>
    <n v="90349"/>
    <m/>
    <m/>
    <m/>
  </r>
  <r>
    <x v="476"/>
    <x v="4"/>
    <s v="유튜브 디스커버리"/>
    <x v="0"/>
    <x v="0"/>
    <x v="0"/>
    <m/>
    <m/>
    <n v="102389"/>
    <m/>
    <m/>
    <m/>
  </r>
  <r>
    <x v="476"/>
    <x v="4"/>
    <s v="유튜브 디스커버리"/>
    <x v="0"/>
    <x v="0"/>
    <x v="0"/>
    <m/>
    <m/>
    <n v="138395"/>
    <m/>
    <m/>
    <m/>
  </r>
  <r>
    <x v="476"/>
    <x v="4"/>
    <s v="유튜브 디스커버리"/>
    <x v="0"/>
    <x v="0"/>
    <x v="0"/>
    <m/>
    <m/>
    <n v="17"/>
    <m/>
    <m/>
    <m/>
  </r>
  <r>
    <x v="476"/>
    <x v="4"/>
    <s v="유튜브 디스커버리"/>
    <x v="0"/>
    <x v="0"/>
    <x v="0"/>
    <m/>
    <m/>
    <n v="51790"/>
    <m/>
    <m/>
    <m/>
  </r>
  <r>
    <x v="476"/>
    <x v="4"/>
    <s v="유튜브 디스커버리"/>
    <x v="0"/>
    <x v="0"/>
    <x v="0"/>
    <m/>
    <m/>
    <n v="3703"/>
    <m/>
    <m/>
    <m/>
  </r>
  <r>
    <x v="476"/>
    <x v="4"/>
    <s v="유튜브 디스커버리"/>
    <x v="0"/>
    <x v="0"/>
    <x v="0"/>
    <m/>
    <m/>
    <n v="978"/>
    <m/>
    <m/>
    <m/>
  </r>
  <r>
    <x v="477"/>
    <x v="1"/>
    <s v="페이스북/인스타그램"/>
    <x v="7"/>
    <x v="0"/>
    <x v="0"/>
    <m/>
    <m/>
    <n v="624016"/>
    <m/>
    <m/>
    <m/>
  </r>
  <r>
    <x v="477"/>
    <x v="1"/>
    <s v="페이스북/인스타그램"/>
    <x v="13"/>
    <x v="0"/>
    <x v="0"/>
    <m/>
    <m/>
    <n v="29969"/>
    <m/>
    <m/>
    <m/>
  </r>
  <r>
    <x v="477"/>
    <x v="1"/>
    <s v="페이스북/인스타그램"/>
    <x v="0"/>
    <x v="0"/>
    <x v="0"/>
    <m/>
    <m/>
    <n v="968055"/>
    <m/>
    <m/>
    <m/>
  </r>
  <r>
    <x v="477"/>
    <x v="1"/>
    <s v="네이버 GFA"/>
    <x v="0"/>
    <x v="0"/>
    <x v="0"/>
    <m/>
    <m/>
    <n v="639854.5454545454"/>
    <m/>
    <m/>
    <m/>
  </r>
  <r>
    <x v="477"/>
    <x v="1"/>
    <s v="네이버 GFA"/>
    <x v="7"/>
    <x v="0"/>
    <x v="0"/>
    <m/>
    <m/>
    <n v="42272.72727272727"/>
    <m/>
    <m/>
    <m/>
  </r>
  <r>
    <x v="477"/>
    <x v="1"/>
    <s v="네이버 GFA"/>
    <x v="7"/>
    <x v="0"/>
    <x v="0"/>
    <m/>
    <m/>
    <n v="727950.9090909091"/>
    <m/>
    <m/>
    <m/>
  </r>
  <r>
    <x v="477"/>
    <x v="1"/>
    <s v="네이버 GFA"/>
    <x v="0"/>
    <x v="0"/>
    <x v="0"/>
    <m/>
    <m/>
    <n v="1186279.090909091"/>
    <m/>
    <m/>
    <m/>
  </r>
  <r>
    <x v="477"/>
    <x v="1"/>
    <s v="네이버 쇼핑검색"/>
    <x v="10"/>
    <x v="0"/>
    <x v="0"/>
    <m/>
    <m/>
    <n v="53999.99999999999"/>
    <m/>
    <m/>
    <m/>
  </r>
  <r>
    <x v="477"/>
    <x v="1"/>
    <s v="네이버 쇼핑검색"/>
    <x v="10"/>
    <x v="0"/>
    <x v="0"/>
    <m/>
    <m/>
    <n v="3320"/>
    <m/>
    <m/>
    <m/>
  </r>
  <r>
    <x v="477"/>
    <x v="1"/>
    <s v="카카오광고"/>
    <x v="0"/>
    <x v="0"/>
    <x v="0"/>
    <m/>
    <m/>
    <n v="6099.999999999999"/>
    <m/>
    <m/>
    <m/>
  </r>
  <r>
    <x v="477"/>
    <x v="1"/>
    <s v="카카오광고"/>
    <x v="5"/>
    <x v="0"/>
    <x v="0"/>
    <m/>
    <m/>
    <n v="664215"/>
    <m/>
    <m/>
    <m/>
  </r>
  <r>
    <x v="477"/>
    <x v="1"/>
    <s v="유튜브 디스커버리"/>
    <x v="0"/>
    <x v="0"/>
    <x v="0"/>
    <m/>
    <m/>
    <n v="105383"/>
    <m/>
    <m/>
    <m/>
  </r>
  <r>
    <x v="477"/>
    <x v="1"/>
    <s v="유튜브 디스커버리"/>
    <x v="0"/>
    <x v="0"/>
    <x v="0"/>
    <m/>
    <m/>
    <n v="15221"/>
    <m/>
    <m/>
    <m/>
  </r>
  <r>
    <x v="477"/>
    <x v="1"/>
    <s v="유튜브 디스커버리"/>
    <x v="0"/>
    <x v="0"/>
    <x v="0"/>
    <m/>
    <m/>
    <n v="7"/>
    <m/>
    <m/>
    <m/>
  </r>
  <r>
    <x v="477"/>
    <x v="1"/>
    <s v="유튜브 디스커버리"/>
    <x v="0"/>
    <x v="0"/>
    <x v="0"/>
    <m/>
    <m/>
    <n v="51469"/>
    <m/>
    <m/>
    <m/>
  </r>
  <r>
    <x v="477"/>
    <x v="1"/>
    <s v="유튜브 디스커버리"/>
    <x v="0"/>
    <x v="0"/>
    <x v="0"/>
    <m/>
    <m/>
    <n v="17589"/>
    <m/>
    <m/>
    <m/>
  </r>
  <r>
    <x v="477"/>
    <x v="1"/>
    <s v="유튜브 디스커버리"/>
    <x v="0"/>
    <x v="0"/>
    <x v="0"/>
    <m/>
    <m/>
    <n v="3060"/>
    <m/>
    <m/>
    <m/>
  </r>
  <r>
    <x v="478"/>
    <x v="0"/>
    <s v="페이스북/인스타그램"/>
    <x v="7"/>
    <x v="0"/>
    <x v="0"/>
    <m/>
    <m/>
    <n v="376572"/>
    <m/>
    <m/>
    <m/>
  </r>
  <r>
    <x v="478"/>
    <x v="0"/>
    <s v="페이스북/인스타그램"/>
    <x v="13"/>
    <x v="0"/>
    <x v="0"/>
    <m/>
    <m/>
    <n v="30235"/>
    <m/>
    <m/>
    <m/>
  </r>
  <r>
    <x v="478"/>
    <x v="0"/>
    <s v="페이스북/인스타그램"/>
    <x v="0"/>
    <x v="0"/>
    <x v="0"/>
    <m/>
    <m/>
    <n v="728488"/>
    <m/>
    <m/>
    <m/>
  </r>
  <r>
    <x v="478"/>
    <x v="0"/>
    <s v="네이버 GFA"/>
    <x v="0"/>
    <x v="0"/>
    <x v="0"/>
    <m/>
    <m/>
    <n v="164105.4545454545"/>
    <m/>
    <m/>
    <m/>
  </r>
  <r>
    <x v="478"/>
    <x v="0"/>
    <s v="네이버 GFA"/>
    <x v="7"/>
    <x v="0"/>
    <x v="0"/>
    <m/>
    <m/>
    <n v="145608.1818181818"/>
    <m/>
    <m/>
    <m/>
  </r>
  <r>
    <x v="478"/>
    <x v="0"/>
    <s v="네이버 GFA"/>
    <x v="0"/>
    <x v="0"/>
    <x v="0"/>
    <m/>
    <m/>
    <n v="0"/>
    <m/>
    <m/>
    <m/>
  </r>
  <r>
    <x v="478"/>
    <x v="0"/>
    <s v="네이버 GFA"/>
    <x v="7"/>
    <x v="0"/>
    <x v="0"/>
    <m/>
    <m/>
    <n v="854033.6363636362"/>
    <m/>
    <m/>
    <m/>
  </r>
  <r>
    <x v="478"/>
    <x v="0"/>
    <s v="네이버 GFA"/>
    <x v="0"/>
    <x v="0"/>
    <x v="0"/>
    <m/>
    <m/>
    <n v="1104577.272727273"/>
    <m/>
    <m/>
    <m/>
  </r>
  <r>
    <x v="478"/>
    <x v="0"/>
    <s v="네이버 쇼핑검색"/>
    <x v="10"/>
    <x v="0"/>
    <x v="0"/>
    <m/>
    <m/>
    <n v="40110"/>
    <m/>
    <m/>
    <m/>
  </r>
  <r>
    <x v="478"/>
    <x v="0"/>
    <s v="네이버 쇼핑검색"/>
    <x v="10"/>
    <x v="0"/>
    <x v="0"/>
    <m/>
    <m/>
    <n v="3580"/>
    <m/>
    <m/>
    <m/>
  </r>
  <r>
    <x v="478"/>
    <x v="0"/>
    <s v="카카오광고"/>
    <x v="0"/>
    <x v="0"/>
    <x v="0"/>
    <m/>
    <m/>
    <n v="1230"/>
    <m/>
    <m/>
    <m/>
  </r>
  <r>
    <x v="478"/>
    <x v="0"/>
    <s v="카카오광고"/>
    <x v="5"/>
    <x v="0"/>
    <x v="0"/>
    <m/>
    <m/>
    <n v="0"/>
    <m/>
    <m/>
    <m/>
  </r>
  <r>
    <x v="478"/>
    <x v="0"/>
    <s v="유튜브 디스커버리"/>
    <x v="0"/>
    <x v="0"/>
    <x v="0"/>
    <m/>
    <m/>
    <n v="23616"/>
    <m/>
    <m/>
    <m/>
  </r>
  <r>
    <x v="478"/>
    <x v="0"/>
    <s v="유튜브 디스커버리"/>
    <x v="0"/>
    <x v="0"/>
    <x v="0"/>
    <m/>
    <m/>
    <n v="1010"/>
    <m/>
    <m/>
    <m/>
  </r>
  <r>
    <x v="478"/>
    <x v="0"/>
    <s v="유튜브 디스커버리"/>
    <x v="0"/>
    <x v="0"/>
    <x v="0"/>
    <m/>
    <m/>
    <n v="168"/>
    <m/>
    <m/>
    <m/>
  </r>
  <r>
    <x v="478"/>
    <x v="0"/>
    <s v="유튜브 디스커버리"/>
    <x v="0"/>
    <x v="0"/>
    <x v="0"/>
    <m/>
    <m/>
    <n v="1602"/>
    <m/>
    <m/>
    <m/>
  </r>
  <r>
    <x v="478"/>
    <x v="0"/>
    <s v="유튜브 디스커버리"/>
    <x v="0"/>
    <x v="0"/>
    <x v="0"/>
    <m/>
    <m/>
    <n v="29384"/>
    <m/>
    <m/>
    <m/>
  </r>
  <r>
    <x v="478"/>
    <x v="0"/>
    <s v="유튜브 디스커버리"/>
    <x v="0"/>
    <x v="0"/>
    <x v="0"/>
    <m/>
    <m/>
    <n v="2925"/>
    <m/>
    <m/>
    <m/>
  </r>
  <r>
    <x v="478"/>
    <x v="0"/>
    <s v="유튜브 디스커버리"/>
    <x v="0"/>
    <x v="0"/>
    <x v="0"/>
    <m/>
    <m/>
    <n v="25947"/>
    <m/>
    <m/>
    <m/>
  </r>
  <r>
    <x v="479"/>
    <x v="2"/>
    <s v="페이스북/인스타그램"/>
    <x v="7"/>
    <x v="0"/>
    <x v="0"/>
    <m/>
    <m/>
    <n v="305554"/>
    <m/>
    <m/>
    <m/>
  </r>
  <r>
    <x v="479"/>
    <x v="2"/>
    <s v="페이스북/인스타그램"/>
    <x v="13"/>
    <x v="0"/>
    <x v="0"/>
    <m/>
    <m/>
    <n v="25027"/>
    <m/>
    <m/>
    <m/>
  </r>
  <r>
    <x v="479"/>
    <x v="2"/>
    <s v="페이스북/인스타그램"/>
    <x v="0"/>
    <x v="0"/>
    <x v="0"/>
    <m/>
    <m/>
    <n v="462706"/>
    <m/>
    <m/>
    <m/>
  </r>
  <r>
    <x v="480"/>
    <x v="5"/>
    <s v="페이스북/인스타그램"/>
    <x v="7"/>
    <x v="0"/>
    <x v="0"/>
    <m/>
    <m/>
    <n v="294867"/>
    <m/>
    <m/>
    <m/>
  </r>
  <r>
    <x v="480"/>
    <x v="5"/>
    <s v="페이스북/인스타그램"/>
    <x v="13"/>
    <x v="0"/>
    <x v="0"/>
    <m/>
    <m/>
    <n v="14504"/>
    <m/>
    <m/>
    <m/>
  </r>
  <r>
    <x v="480"/>
    <x v="5"/>
    <s v="페이스북/인스타그램"/>
    <x v="0"/>
    <x v="0"/>
    <x v="0"/>
    <m/>
    <m/>
    <n v="313194"/>
    <m/>
    <m/>
    <m/>
  </r>
  <r>
    <x v="481"/>
    <x v="6"/>
    <s v="페이스북/인스타그램"/>
    <x v="7"/>
    <x v="0"/>
    <x v="0"/>
    <m/>
    <m/>
    <n v="373773"/>
    <m/>
    <m/>
    <m/>
  </r>
  <r>
    <x v="481"/>
    <x v="6"/>
    <s v="페이스북/인스타그램"/>
    <x v="13"/>
    <x v="0"/>
    <x v="0"/>
    <m/>
    <m/>
    <n v="20374"/>
    <m/>
    <m/>
    <m/>
  </r>
  <r>
    <x v="481"/>
    <x v="6"/>
    <s v="페이스북/인스타그램"/>
    <x v="0"/>
    <x v="0"/>
    <x v="0"/>
    <m/>
    <m/>
    <n v="501611"/>
    <m/>
    <m/>
    <m/>
  </r>
  <r>
    <x v="479"/>
    <x v="2"/>
    <s v="네이버 GFA"/>
    <x v="7"/>
    <x v="0"/>
    <x v="0"/>
    <m/>
    <m/>
    <n v="74490.90909090909"/>
    <m/>
    <m/>
    <m/>
  </r>
  <r>
    <x v="479"/>
    <x v="2"/>
    <s v="네이버 GFA"/>
    <x v="7"/>
    <x v="0"/>
    <x v="0"/>
    <m/>
    <m/>
    <n v="832594.5454545454"/>
    <m/>
    <m/>
    <m/>
  </r>
  <r>
    <x v="479"/>
    <x v="2"/>
    <s v="네이버 GFA"/>
    <x v="0"/>
    <x v="0"/>
    <x v="0"/>
    <m/>
    <m/>
    <n v="1186129.090909091"/>
    <m/>
    <m/>
    <m/>
  </r>
  <r>
    <x v="480"/>
    <x v="5"/>
    <s v="네이버 GFA"/>
    <x v="0"/>
    <x v="0"/>
    <x v="0"/>
    <m/>
    <m/>
    <n v="0"/>
    <m/>
    <m/>
    <m/>
  </r>
  <r>
    <x v="480"/>
    <x v="5"/>
    <s v="네이버 GFA"/>
    <x v="7"/>
    <x v="0"/>
    <x v="0"/>
    <m/>
    <m/>
    <n v="230190.9090909091"/>
    <m/>
    <m/>
    <m/>
  </r>
  <r>
    <x v="480"/>
    <x v="5"/>
    <s v="네이버 GFA"/>
    <x v="7"/>
    <x v="0"/>
    <x v="0"/>
    <m/>
    <m/>
    <n v="1315490"/>
    <m/>
    <m/>
    <m/>
  </r>
  <r>
    <x v="480"/>
    <x v="5"/>
    <s v="네이버 GFA"/>
    <x v="0"/>
    <x v="0"/>
    <x v="0"/>
    <m/>
    <m/>
    <n v="473944.5454545454"/>
    <m/>
    <m/>
    <m/>
  </r>
  <r>
    <x v="481"/>
    <x v="6"/>
    <s v="네이버 GFA"/>
    <x v="0"/>
    <x v="0"/>
    <x v="0"/>
    <m/>
    <m/>
    <n v="0"/>
    <m/>
    <m/>
    <m/>
  </r>
  <r>
    <x v="481"/>
    <x v="6"/>
    <s v="네이버 GFA"/>
    <x v="7"/>
    <x v="0"/>
    <x v="0"/>
    <m/>
    <m/>
    <n v="363636.3636363636"/>
    <m/>
    <m/>
    <m/>
  </r>
  <r>
    <x v="481"/>
    <x v="6"/>
    <s v="네이버 GFA"/>
    <x v="7"/>
    <x v="0"/>
    <x v="0"/>
    <m/>
    <m/>
    <n v="1606093.636363636"/>
    <m/>
    <m/>
    <m/>
  </r>
  <r>
    <x v="481"/>
    <x v="6"/>
    <s v="네이버 GFA"/>
    <x v="0"/>
    <x v="0"/>
    <x v="0"/>
    <m/>
    <m/>
    <n v="308248.1818181818"/>
    <m/>
    <m/>
    <m/>
  </r>
  <r>
    <x v="479"/>
    <x v="2"/>
    <s v="네이버 쇼핑검색"/>
    <x v="10"/>
    <x v="0"/>
    <x v="0"/>
    <m/>
    <m/>
    <n v="34870"/>
    <m/>
    <m/>
    <m/>
  </r>
  <r>
    <x v="479"/>
    <x v="2"/>
    <s v="네이버 쇼핑검색"/>
    <x v="10"/>
    <x v="0"/>
    <x v="0"/>
    <m/>
    <m/>
    <n v="4590"/>
    <m/>
    <m/>
    <m/>
  </r>
  <r>
    <x v="480"/>
    <x v="5"/>
    <s v="네이버 쇼핑검색"/>
    <x v="10"/>
    <x v="0"/>
    <x v="0"/>
    <m/>
    <m/>
    <n v="30750"/>
    <m/>
    <m/>
    <m/>
  </r>
  <r>
    <x v="480"/>
    <x v="5"/>
    <s v="네이버 쇼핑검색"/>
    <x v="10"/>
    <x v="0"/>
    <x v="0"/>
    <m/>
    <m/>
    <n v="399.9999999999999"/>
    <m/>
    <m/>
    <m/>
  </r>
  <r>
    <x v="481"/>
    <x v="6"/>
    <s v="네이버 쇼핑검색"/>
    <x v="10"/>
    <x v="0"/>
    <x v="0"/>
    <m/>
    <m/>
    <n v="37280"/>
    <m/>
    <m/>
    <m/>
  </r>
  <r>
    <x v="481"/>
    <x v="6"/>
    <s v="네이버 쇼핑검색"/>
    <x v="10"/>
    <x v="0"/>
    <x v="0"/>
    <m/>
    <m/>
    <n v="1250"/>
    <m/>
    <m/>
    <m/>
  </r>
  <r>
    <x v="479"/>
    <x v="2"/>
    <s v="카카오광고"/>
    <x v="0"/>
    <x v="0"/>
    <x v="0"/>
    <m/>
    <m/>
    <n v="1680"/>
    <m/>
    <m/>
    <m/>
  </r>
  <r>
    <x v="479"/>
    <x v="2"/>
    <s v="카카오광고"/>
    <x v="5"/>
    <x v="0"/>
    <x v="0"/>
    <m/>
    <m/>
    <n v="0"/>
    <m/>
    <m/>
    <m/>
  </r>
  <r>
    <x v="479"/>
    <x v="2"/>
    <s v="카카오광고"/>
    <x v="5"/>
    <x v="0"/>
    <x v="0"/>
    <m/>
    <m/>
    <n v="0"/>
    <m/>
    <m/>
    <m/>
  </r>
  <r>
    <x v="480"/>
    <x v="5"/>
    <s v="카카오광고"/>
    <x v="0"/>
    <x v="0"/>
    <x v="0"/>
    <m/>
    <m/>
    <n v="399.9999999999999"/>
    <m/>
    <m/>
    <m/>
  </r>
  <r>
    <x v="480"/>
    <x v="5"/>
    <s v="카카오광고"/>
    <x v="5"/>
    <x v="0"/>
    <x v="0"/>
    <m/>
    <m/>
    <n v="0"/>
    <m/>
    <m/>
    <m/>
  </r>
  <r>
    <x v="480"/>
    <x v="5"/>
    <s v="카카오광고"/>
    <x v="5"/>
    <x v="0"/>
    <x v="0"/>
    <m/>
    <m/>
    <n v="0"/>
    <m/>
    <m/>
    <m/>
  </r>
  <r>
    <x v="481"/>
    <x v="6"/>
    <s v="카카오광고"/>
    <x v="0"/>
    <x v="0"/>
    <x v="0"/>
    <m/>
    <m/>
    <n v="449.9999999999999"/>
    <m/>
    <m/>
    <m/>
  </r>
  <r>
    <x v="481"/>
    <x v="6"/>
    <s v="카카오광고"/>
    <x v="5"/>
    <x v="0"/>
    <x v="0"/>
    <m/>
    <m/>
    <n v="662205"/>
    <m/>
    <m/>
    <m/>
  </r>
  <r>
    <x v="481"/>
    <x v="6"/>
    <s v="카카오광고"/>
    <x v="5"/>
    <x v="0"/>
    <x v="0"/>
    <m/>
    <m/>
    <n v="0"/>
    <m/>
    <m/>
    <m/>
  </r>
  <r>
    <x v="479"/>
    <x v="2"/>
    <s v="유튜브 디스커버리"/>
    <x v="0"/>
    <x v="0"/>
    <x v="0"/>
    <m/>
    <m/>
    <n v="164292"/>
    <m/>
    <m/>
    <m/>
  </r>
  <r>
    <x v="479"/>
    <x v="2"/>
    <s v="유튜브 디스커버리"/>
    <x v="0"/>
    <x v="0"/>
    <x v="0"/>
    <m/>
    <m/>
    <n v="7924"/>
    <m/>
    <m/>
    <m/>
  </r>
  <r>
    <x v="479"/>
    <x v="2"/>
    <s v="유튜브 디스커버리"/>
    <x v="17"/>
    <x v="0"/>
    <x v="0"/>
    <m/>
    <m/>
    <n v="200"/>
    <m/>
    <m/>
    <m/>
  </r>
  <r>
    <x v="479"/>
    <x v="2"/>
    <s v="유튜브 디스커버리"/>
    <x v="17"/>
    <x v="0"/>
    <x v="0"/>
    <m/>
    <m/>
    <n v="10942"/>
    <m/>
    <m/>
    <m/>
  </r>
  <r>
    <x v="479"/>
    <x v="2"/>
    <s v="유튜브 디스커버리"/>
    <x v="0"/>
    <x v="0"/>
    <x v="0"/>
    <m/>
    <m/>
    <n v="35138"/>
    <m/>
    <m/>
    <m/>
  </r>
  <r>
    <x v="479"/>
    <x v="2"/>
    <s v="유튜브 디스커버리"/>
    <x v="0"/>
    <x v="0"/>
    <x v="0"/>
    <m/>
    <m/>
    <n v="12350"/>
    <m/>
    <m/>
    <m/>
  </r>
  <r>
    <x v="479"/>
    <x v="2"/>
    <s v="유튜브 디스커버리"/>
    <x v="0"/>
    <x v="0"/>
    <x v="0"/>
    <m/>
    <m/>
    <n v="668"/>
    <m/>
    <m/>
    <m/>
  </r>
  <r>
    <x v="480"/>
    <x v="5"/>
    <s v="유튜브 디스커버리"/>
    <x v="0"/>
    <x v="0"/>
    <x v="0"/>
    <m/>
    <m/>
    <n v="25405"/>
    <m/>
    <m/>
    <m/>
  </r>
  <r>
    <x v="480"/>
    <x v="5"/>
    <s v="유튜브 디스커버리"/>
    <x v="17"/>
    <x v="0"/>
    <x v="0"/>
    <m/>
    <m/>
    <n v="23961"/>
    <m/>
    <m/>
    <m/>
  </r>
  <r>
    <x v="480"/>
    <x v="5"/>
    <s v="유튜브 디스커버리"/>
    <x v="0"/>
    <x v="0"/>
    <x v="0"/>
    <m/>
    <m/>
    <n v="65204"/>
    <m/>
    <m/>
    <m/>
  </r>
  <r>
    <x v="480"/>
    <x v="5"/>
    <s v="유튜브 디스커버리"/>
    <x v="0"/>
    <x v="0"/>
    <x v="0"/>
    <m/>
    <m/>
    <n v="4916"/>
    <m/>
    <m/>
    <m/>
  </r>
  <r>
    <x v="480"/>
    <x v="5"/>
    <s v="유튜브 디스커버리"/>
    <x v="0"/>
    <x v="0"/>
    <x v="0"/>
    <m/>
    <m/>
    <n v="1242"/>
    <m/>
    <m/>
    <m/>
  </r>
  <r>
    <x v="480"/>
    <x v="5"/>
    <s v="유튜브 디스커버리"/>
    <x v="17"/>
    <x v="0"/>
    <x v="0"/>
    <m/>
    <m/>
    <n v="175"/>
    <m/>
    <m/>
    <m/>
  </r>
  <r>
    <x v="480"/>
    <x v="5"/>
    <s v="유튜브 디스커버리"/>
    <x v="0"/>
    <x v="0"/>
    <x v="0"/>
    <m/>
    <m/>
    <n v="374"/>
    <m/>
    <m/>
    <m/>
  </r>
  <r>
    <x v="481"/>
    <x v="6"/>
    <s v="유튜브 디스커버리"/>
    <x v="0"/>
    <x v="0"/>
    <x v="0"/>
    <m/>
    <m/>
    <n v="16076"/>
    <m/>
    <m/>
    <m/>
  </r>
  <r>
    <x v="481"/>
    <x v="6"/>
    <s v="유튜브 디스커버리"/>
    <x v="0"/>
    <x v="0"/>
    <x v="0"/>
    <m/>
    <m/>
    <n v="50507"/>
    <m/>
    <m/>
    <m/>
  </r>
  <r>
    <x v="481"/>
    <x v="6"/>
    <s v="유튜브 디스커버리"/>
    <x v="0"/>
    <x v="0"/>
    <x v="0"/>
    <m/>
    <m/>
    <n v="55"/>
    <m/>
    <m/>
    <m/>
  </r>
  <r>
    <x v="481"/>
    <x v="6"/>
    <s v="유튜브 디스커버리"/>
    <x v="0"/>
    <x v="0"/>
    <x v="0"/>
    <m/>
    <m/>
    <n v="65457"/>
    <m/>
    <m/>
    <m/>
  </r>
  <r>
    <x v="481"/>
    <x v="6"/>
    <s v="유튜브 디스커버리"/>
    <x v="0"/>
    <x v="0"/>
    <x v="0"/>
    <m/>
    <m/>
    <n v="8256"/>
    <m/>
    <m/>
    <m/>
  </r>
  <r>
    <x v="481"/>
    <x v="6"/>
    <s v="유튜브 디스커버리"/>
    <x v="0"/>
    <x v="0"/>
    <x v="0"/>
    <m/>
    <m/>
    <n v="956"/>
    <m/>
    <m/>
    <m/>
  </r>
  <r>
    <x v="481"/>
    <x v="6"/>
    <s v="유튜브 디스커버리"/>
    <x v="0"/>
    <x v="0"/>
    <x v="0"/>
    <m/>
    <m/>
    <n v="12840"/>
    <m/>
    <m/>
    <m/>
  </r>
  <r>
    <x v="481"/>
    <x v="6"/>
    <s v="유튜브 디스커버리"/>
    <x v="0"/>
    <x v="0"/>
    <x v="0"/>
    <m/>
    <m/>
    <n v="32391"/>
    <m/>
    <m/>
    <m/>
  </r>
  <r>
    <x v="481"/>
    <x v="6"/>
    <s v="유튜브 디스커버리"/>
    <x v="0"/>
    <x v="0"/>
    <x v="0"/>
    <m/>
    <m/>
    <n v="210"/>
    <m/>
    <m/>
    <m/>
  </r>
  <r>
    <x v="481"/>
    <x v="6"/>
    <s v="유튜브 디스커버리"/>
    <x v="17"/>
    <x v="0"/>
    <x v="0"/>
    <m/>
    <m/>
    <n v="40248"/>
    <m/>
    <m/>
    <m/>
  </r>
  <r>
    <x v="481"/>
    <x v="6"/>
    <s v="유튜브 디스커버리"/>
    <x v="17"/>
    <x v="0"/>
    <x v="0"/>
    <m/>
    <m/>
    <n v="410"/>
    <m/>
    <m/>
    <m/>
  </r>
  <r>
    <x v="482"/>
    <x v="3"/>
    <s v="페이스북/인스타그램"/>
    <x v="7"/>
    <x v="0"/>
    <x v="0"/>
    <m/>
    <m/>
    <n v="349027"/>
    <m/>
    <m/>
    <m/>
  </r>
  <r>
    <x v="482"/>
    <x v="3"/>
    <s v="페이스북/인스타그램"/>
    <x v="13"/>
    <x v="0"/>
    <x v="0"/>
    <m/>
    <m/>
    <n v="28483"/>
    <m/>
    <m/>
    <m/>
  </r>
  <r>
    <x v="482"/>
    <x v="3"/>
    <s v="페이스북/인스타그램"/>
    <x v="0"/>
    <x v="0"/>
    <x v="0"/>
    <m/>
    <m/>
    <n v="760084"/>
    <m/>
    <m/>
    <m/>
  </r>
  <r>
    <x v="482"/>
    <x v="3"/>
    <s v="네이버 GFA"/>
    <x v="7"/>
    <x v="0"/>
    <x v="0"/>
    <m/>
    <m/>
    <n v="386729.0909090909"/>
    <m/>
    <m/>
    <m/>
  </r>
  <r>
    <x v="482"/>
    <x v="3"/>
    <s v="네이버 GFA"/>
    <x v="7"/>
    <x v="0"/>
    <x v="0"/>
    <m/>
    <m/>
    <n v="1273889.090909091"/>
    <m/>
    <m/>
    <m/>
  </r>
  <r>
    <x v="482"/>
    <x v="3"/>
    <s v="네이버 GFA"/>
    <x v="0"/>
    <x v="0"/>
    <x v="0"/>
    <m/>
    <m/>
    <n v="359906.3636363636"/>
    <m/>
    <m/>
    <m/>
  </r>
  <r>
    <x v="482"/>
    <x v="3"/>
    <s v="네이버 쇼핑검색"/>
    <x v="10"/>
    <x v="0"/>
    <x v="0"/>
    <m/>
    <m/>
    <n v="48429.99999999999"/>
    <m/>
    <m/>
    <m/>
  </r>
  <r>
    <x v="482"/>
    <x v="3"/>
    <s v="네이버 쇼핑검색"/>
    <x v="10"/>
    <x v="0"/>
    <x v="0"/>
    <m/>
    <m/>
    <n v="5430"/>
    <m/>
    <m/>
    <m/>
  </r>
  <r>
    <x v="482"/>
    <x v="3"/>
    <s v="네이버 쇼핑박스"/>
    <x v="7"/>
    <x v="0"/>
    <x v="0"/>
    <m/>
    <m/>
    <n v="649350.64"/>
    <m/>
    <m/>
    <m/>
  </r>
  <r>
    <x v="482"/>
    <x v="3"/>
    <s v="카카오광고"/>
    <x v="0"/>
    <x v="0"/>
    <x v="0"/>
    <m/>
    <m/>
    <n v="429.9999999999999"/>
    <m/>
    <m/>
    <m/>
  </r>
  <r>
    <x v="482"/>
    <x v="3"/>
    <s v="카카오광고"/>
    <x v="0"/>
    <x v="0"/>
    <x v="0"/>
    <m/>
    <m/>
    <n v="180"/>
    <m/>
    <m/>
    <m/>
  </r>
  <r>
    <x v="482"/>
    <x v="3"/>
    <s v="유튜브 디스커버리"/>
    <x v="0"/>
    <x v="0"/>
    <x v="0"/>
    <m/>
    <m/>
    <n v="59"/>
    <m/>
    <m/>
    <m/>
  </r>
  <r>
    <x v="482"/>
    <x v="3"/>
    <s v="유튜브 디스커버리"/>
    <x v="17"/>
    <x v="0"/>
    <x v="0"/>
    <m/>
    <m/>
    <n v="110"/>
    <m/>
    <m/>
    <m/>
  </r>
  <r>
    <x v="482"/>
    <x v="3"/>
    <s v="유튜브 디스커버리"/>
    <x v="0"/>
    <x v="0"/>
    <x v="0"/>
    <m/>
    <m/>
    <n v="138"/>
    <m/>
    <m/>
    <m/>
  </r>
  <r>
    <x v="482"/>
    <x v="3"/>
    <s v="유튜브 디스커버리"/>
    <x v="0"/>
    <x v="0"/>
    <x v="0"/>
    <m/>
    <m/>
    <n v="51328"/>
    <m/>
    <m/>
    <m/>
  </r>
  <r>
    <x v="482"/>
    <x v="3"/>
    <s v="유튜브 디스커버리"/>
    <x v="0"/>
    <x v="0"/>
    <x v="0"/>
    <m/>
    <m/>
    <n v="64642"/>
    <m/>
    <m/>
    <m/>
  </r>
  <r>
    <x v="482"/>
    <x v="3"/>
    <s v="유튜브 디스커버리"/>
    <x v="0"/>
    <x v="0"/>
    <x v="0"/>
    <m/>
    <m/>
    <n v="1285"/>
    <m/>
    <m/>
    <m/>
  </r>
  <r>
    <x v="482"/>
    <x v="3"/>
    <s v="유튜브 디스커버리"/>
    <x v="0"/>
    <x v="0"/>
    <x v="0"/>
    <m/>
    <m/>
    <n v="105001"/>
    <m/>
    <m/>
    <m/>
  </r>
  <r>
    <x v="482"/>
    <x v="3"/>
    <s v="유튜브 디스커버리"/>
    <x v="17"/>
    <x v="0"/>
    <x v="0"/>
    <m/>
    <m/>
    <n v="83454"/>
    <m/>
    <m/>
    <m/>
  </r>
  <r>
    <x v="482"/>
    <x v="3"/>
    <s v="유튜브 디스커버리"/>
    <x v="0"/>
    <x v="0"/>
    <x v="0"/>
    <m/>
    <m/>
    <n v="25359"/>
    <m/>
    <m/>
    <m/>
  </r>
  <r>
    <x v="482"/>
    <x v="3"/>
    <s v="유튜브 디스커버리"/>
    <x v="0"/>
    <x v="0"/>
    <x v="0"/>
    <m/>
    <m/>
    <n v="284246"/>
    <m/>
    <m/>
    <m/>
  </r>
  <r>
    <x v="482"/>
    <x v="3"/>
    <s v="유튜브 디스커버리"/>
    <x v="0"/>
    <x v="0"/>
    <x v="0"/>
    <m/>
    <m/>
    <n v="28383"/>
    <m/>
    <m/>
    <m/>
  </r>
  <r>
    <x v="482"/>
    <x v="3"/>
    <s v="유튜브 디스커버리"/>
    <x v="0"/>
    <x v="0"/>
    <x v="0"/>
    <m/>
    <m/>
    <n v="1004"/>
    <m/>
    <m/>
    <m/>
  </r>
  <r>
    <x v="482"/>
    <x v="3"/>
    <s v="유튜브 디스커버리"/>
    <x v="0"/>
    <x v="0"/>
    <x v="0"/>
    <m/>
    <m/>
    <n v="10073"/>
    <m/>
    <m/>
    <m/>
  </r>
  <r>
    <x v="482"/>
    <x v="3"/>
    <s v="유튜브 디스커버리"/>
    <x v="0"/>
    <x v="0"/>
    <x v="0"/>
    <m/>
    <m/>
    <n v="44411"/>
    <m/>
    <m/>
    <m/>
  </r>
  <r>
    <x v="482"/>
    <x v="3"/>
    <s v="유튜브 디스커버리"/>
    <x v="0"/>
    <x v="0"/>
    <x v="0"/>
    <m/>
    <m/>
    <n v="1127"/>
    <m/>
    <m/>
    <m/>
  </r>
  <r>
    <x v="483"/>
    <x v="4"/>
    <s v="페이스북/인스타그램"/>
    <x v="7"/>
    <x v="0"/>
    <x v="0"/>
    <m/>
    <m/>
    <n v="444208"/>
    <m/>
    <m/>
    <m/>
  </r>
  <r>
    <x v="483"/>
    <x v="4"/>
    <s v="페이스북/인스타그램"/>
    <x v="13"/>
    <x v="0"/>
    <x v="0"/>
    <m/>
    <m/>
    <n v="29349"/>
    <m/>
    <m/>
    <m/>
  </r>
  <r>
    <x v="483"/>
    <x v="4"/>
    <s v="페이스북/인스타그램"/>
    <x v="0"/>
    <x v="0"/>
    <x v="0"/>
    <m/>
    <m/>
    <n v="763309"/>
    <m/>
    <m/>
    <m/>
  </r>
  <r>
    <x v="483"/>
    <x v="4"/>
    <s v="네이버 GFA"/>
    <x v="7"/>
    <x v="0"/>
    <x v="0"/>
    <m/>
    <m/>
    <n v="471122.7272727272"/>
    <m/>
    <m/>
    <m/>
  </r>
  <r>
    <x v="483"/>
    <x v="4"/>
    <s v="네이버 GFA"/>
    <x v="7"/>
    <x v="0"/>
    <x v="0"/>
    <m/>
    <m/>
    <n v="1741337.272727272"/>
    <m/>
    <m/>
    <m/>
  </r>
  <r>
    <x v="483"/>
    <x v="4"/>
    <s v="네이버 GFA"/>
    <x v="0"/>
    <x v="0"/>
    <x v="0"/>
    <m/>
    <m/>
    <n v="1290054.545454545"/>
    <m/>
    <m/>
    <m/>
  </r>
  <r>
    <x v="483"/>
    <x v="4"/>
    <s v="네이버 쇼핑검색"/>
    <x v="10"/>
    <x v="0"/>
    <x v="0"/>
    <m/>
    <m/>
    <n v="54169.99999999999"/>
    <m/>
    <m/>
    <m/>
  </r>
  <r>
    <x v="483"/>
    <x v="4"/>
    <s v="네이버 쇼핑검색"/>
    <x v="10"/>
    <x v="0"/>
    <x v="0"/>
    <m/>
    <m/>
    <n v="3970"/>
    <m/>
    <m/>
    <m/>
  </r>
  <r>
    <x v="483"/>
    <x v="4"/>
    <s v="네이버 쇼핑박스"/>
    <x v="7"/>
    <x v="0"/>
    <x v="0"/>
    <m/>
    <m/>
    <n v="649350.64"/>
    <m/>
    <m/>
    <m/>
  </r>
  <r>
    <x v="483"/>
    <x v="4"/>
    <s v="카카오광고"/>
    <x v="0"/>
    <x v="0"/>
    <x v="0"/>
    <m/>
    <m/>
    <n v="759.9999999999999"/>
    <m/>
    <m/>
    <m/>
  </r>
  <r>
    <x v="483"/>
    <x v="4"/>
    <s v="카카오광고"/>
    <x v="0"/>
    <x v="0"/>
    <x v="0"/>
    <m/>
    <m/>
    <n v="98389.99999999999"/>
    <m/>
    <m/>
    <m/>
  </r>
  <r>
    <x v="483"/>
    <x v="4"/>
    <s v="유튜브 디스커버리"/>
    <x v="0"/>
    <x v="0"/>
    <x v="0"/>
    <m/>
    <m/>
    <n v="124863"/>
    <m/>
    <m/>
    <m/>
  </r>
  <r>
    <x v="483"/>
    <x v="4"/>
    <s v="유튜브 디스커버리"/>
    <x v="0"/>
    <x v="0"/>
    <x v="0"/>
    <m/>
    <m/>
    <n v="51853"/>
    <m/>
    <m/>
    <m/>
  </r>
  <r>
    <x v="483"/>
    <x v="4"/>
    <s v="유튜브 디스커버리"/>
    <x v="0"/>
    <x v="0"/>
    <x v="0"/>
    <m/>
    <m/>
    <n v="354093"/>
    <m/>
    <m/>
    <m/>
  </r>
  <r>
    <x v="483"/>
    <x v="4"/>
    <s v="유튜브 디스커버리"/>
    <x v="0"/>
    <x v="0"/>
    <x v="0"/>
    <m/>
    <m/>
    <n v="408282"/>
    <m/>
    <m/>
    <m/>
  </r>
  <r>
    <x v="483"/>
    <x v="4"/>
    <s v="유튜브 디스커버리"/>
    <x v="0"/>
    <x v="0"/>
    <x v="0"/>
    <m/>
    <m/>
    <n v="70349"/>
    <m/>
    <m/>
    <m/>
  </r>
  <r>
    <x v="483"/>
    <x v="4"/>
    <s v="유튜브 디스커버리"/>
    <x v="17"/>
    <x v="0"/>
    <x v="0"/>
    <m/>
    <m/>
    <n v="239"/>
    <m/>
    <m/>
    <m/>
  </r>
  <r>
    <x v="483"/>
    <x v="4"/>
    <s v="유튜브 디스커버리"/>
    <x v="0"/>
    <x v="0"/>
    <x v="0"/>
    <m/>
    <m/>
    <n v="108354"/>
    <m/>
    <m/>
    <m/>
  </r>
  <r>
    <x v="483"/>
    <x v="4"/>
    <s v="유튜브 디스커버리"/>
    <x v="17"/>
    <x v="0"/>
    <x v="0"/>
    <m/>
    <m/>
    <n v="45951"/>
    <m/>
    <m/>
    <m/>
  </r>
  <r>
    <x v="483"/>
    <x v="4"/>
    <s v="유튜브 디스커버리"/>
    <x v="0"/>
    <x v="0"/>
    <x v="0"/>
    <m/>
    <m/>
    <n v="86944"/>
    <m/>
    <m/>
    <m/>
  </r>
  <r>
    <x v="483"/>
    <x v="4"/>
    <s v="유튜브 디스커버리"/>
    <x v="0"/>
    <x v="0"/>
    <x v="0"/>
    <m/>
    <m/>
    <n v="101569"/>
    <m/>
    <m/>
    <m/>
  </r>
  <r>
    <x v="483"/>
    <x v="4"/>
    <s v="유튜브 디스커버리"/>
    <x v="0"/>
    <x v="0"/>
    <x v="0"/>
    <m/>
    <m/>
    <n v="34245"/>
    <m/>
    <m/>
    <m/>
  </r>
  <r>
    <x v="483"/>
    <x v="4"/>
    <s v="유튜브 디스커버리"/>
    <x v="0"/>
    <x v="0"/>
    <x v="0"/>
    <m/>
    <m/>
    <n v="61989"/>
    <m/>
    <m/>
    <m/>
  </r>
  <r>
    <x v="483"/>
    <x v="4"/>
    <s v="유튜브 디스커버리"/>
    <x v="0"/>
    <x v="0"/>
    <x v="0"/>
    <m/>
    <m/>
    <n v="68255"/>
    <m/>
    <m/>
    <m/>
  </r>
  <r>
    <x v="483"/>
    <x v="4"/>
    <s v="유튜브 디스커버리"/>
    <x v="0"/>
    <x v="0"/>
    <x v="0"/>
    <m/>
    <m/>
    <n v="48943"/>
    <m/>
    <m/>
    <m/>
  </r>
  <r>
    <x v="483"/>
    <x v="4"/>
    <s v="유튜브 디스커버리"/>
    <x v="0"/>
    <x v="0"/>
    <x v="0"/>
    <m/>
    <m/>
    <n v="26425"/>
    <m/>
    <m/>
    <m/>
  </r>
  <r>
    <x v="483"/>
    <x v="4"/>
    <s v="유튜브 디스커버리"/>
    <x v="0"/>
    <x v="0"/>
    <x v="0"/>
    <m/>
    <m/>
    <n v="162112"/>
    <m/>
    <m/>
    <m/>
  </r>
  <r>
    <x v="483"/>
    <x v="4"/>
    <s v="유튜브 디스커버리"/>
    <x v="0"/>
    <x v="0"/>
    <x v="0"/>
    <m/>
    <m/>
    <n v="70062"/>
    <m/>
    <m/>
    <m/>
  </r>
  <r>
    <x v="483"/>
    <x v="4"/>
    <s v="유튜브 디스커버리"/>
    <x v="0"/>
    <x v="0"/>
    <x v="0"/>
    <m/>
    <m/>
    <n v="1417"/>
    <m/>
    <m/>
    <m/>
  </r>
  <r>
    <x v="483"/>
    <x v="4"/>
    <s v="유튜브 디스커버리"/>
    <x v="0"/>
    <x v="0"/>
    <x v="0"/>
    <m/>
    <m/>
    <n v="480132"/>
    <m/>
    <m/>
    <m/>
  </r>
  <r>
    <x v="484"/>
    <x v="1"/>
    <s v="페이스북/인스타그램"/>
    <x v="7"/>
    <x v="0"/>
    <x v="0"/>
    <m/>
    <m/>
    <n v="482361"/>
    <m/>
    <m/>
    <m/>
  </r>
  <r>
    <x v="484"/>
    <x v="1"/>
    <s v="페이스북/인스타그램"/>
    <x v="13"/>
    <x v="0"/>
    <x v="0"/>
    <m/>
    <m/>
    <n v="29657"/>
    <m/>
    <m/>
    <m/>
  </r>
  <r>
    <x v="484"/>
    <x v="1"/>
    <s v="페이스북/인스타그램"/>
    <x v="0"/>
    <x v="0"/>
    <x v="0"/>
    <m/>
    <m/>
    <n v="847301"/>
    <m/>
    <m/>
    <m/>
  </r>
  <r>
    <x v="484"/>
    <x v="1"/>
    <s v="네이버 GFA"/>
    <x v="0"/>
    <x v="0"/>
    <x v="0"/>
    <m/>
    <m/>
    <n v="49696.36363636363"/>
    <m/>
    <m/>
    <m/>
  </r>
  <r>
    <x v="484"/>
    <x v="1"/>
    <s v="네이버 GFA"/>
    <x v="7"/>
    <x v="0"/>
    <x v="0"/>
    <m/>
    <m/>
    <n v="570630.9090909091"/>
    <m/>
    <m/>
    <m/>
  </r>
  <r>
    <x v="484"/>
    <x v="1"/>
    <s v="네이버 GFA"/>
    <x v="7"/>
    <x v="0"/>
    <x v="0"/>
    <m/>
    <m/>
    <n v="1720624.545454545"/>
    <m/>
    <m/>
    <m/>
  </r>
  <r>
    <x v="484"/>
    <x v="1"/>
    <s v="네이버 GFA"/>
    <x v="0"/>
    <x v="0"/>
    <x v="0"/>
    <m/>
    <m/>
    <n v="867085.4545454545"/>
    <m/>
    <m/>
    <m/>
  </r>
  <r>
    <x v="484"/>
    <x v="1"/>
    <s v="네이버 쇼핑검색"/>
    <x v="10"/>
    <x v="0"/>
    <x v="0"/>
    <m/>
    <m/>
    <n v="45339.99999999999"/>
    <m/>
    <m/>
    <m/>
  </r>
  <r>
    <x v="484"/>
    <x v="1"/>
    <s v="네이버 쇼핑검색"/>
    <x v="10"/>
    <x v="0"/>
    <x v="0"/>
    <m/>
    <m/>
    <n v="4530"/>
    <m/>
    <m/>
    <m/>
  </r>
  <r>
    <x v="484"/>
    <x v="1"/>
    <s v="네이버 쇼핑박스"/>
    <x v="7"/>
    <x v="0"/>
    <x v="0"/>
    <m/>
    <m/>
    <n v="649350.64"/>
    <m/>
    <m/>
    <m/>
  </r>
  <r>
    <x v="484"/>
    <x v="1"/>
    <s v="카카오광고"/>
    <x v="0"/>
    <x v="0"/>
    <x v="0"/>
    <m/>
    <m/>
    <n v="819.9999999999999"/>
    <m/>
    <m/>
    <m/>
  </r>
  <r>
    <x v="484"/>
    <x v="1"/>
    <s v="카카오광고"/>
    <x v="0"/>
    <x v="0"/>
    <x v="0"/>
    <m/>
    <m/>
    <n v="187960"/>
    <m/>
    <m/>
    <m/>
  </r>
  <r>
    <x v="484"/>
    <x v="1"/>
    <s v="유튜브 디스커버리"/>
    <x v="0"/>
    <x v="0"/>
    <x v="0"/>
    <m/>
    <m/>
    <n v="610297"/>
    <m/>
    <m/>
    <m/>
  </r>
  <r>
    <x v="484"/>
    <x v="1"/>
    <s v="유튜브 디스커버리"/>
    <x v="0"/>
    <x v="0"/>
    <x v="0"/>
    <m/>
    <m/>
    <n v="137314"/>
    <m/>
    <m/>
    <m/>
  </r>
  <r>
    <x v="484"/>
    <x v="1"/>
    <s v="유튜브 디스커버리"/>
    <x v="0"/>
    <x v="0"/>
    <x v="0"/>
    <m/>
    <m/>
    <n v="40764"/>
    <m/>
    <m/>
    <m/>
  </r>
  <r>
    <x v="484"/>
    <x v="1"/>
    <s v="유튜브 디스커버리"/>
    <x v="17"/>
    <x v="0"/>
    <x v="0"/>
    <m/>
    <m/>
    <n v="1092"/>
    <m/>
    <m/>
    <m/>
  </r>
  <r>
    <x v="484"/>
    <x v="1"/>
    <s v="유튜브 디스커버리"/>
    <x v="0"/>
    <x v="0"/>
    <x v="0"/>
    <m/>
    <m/>
    <n v="409021"/>
    <m/>
    <m/>
    <m/>
  </r>
  <r>
    <x v="484"/>
    <x v="1"/>
    <s v="유튜브 디스커버리"/>
    <x v="0"/>
    <x v="0"/>
    <x v="0"/>
    <m/>
    <m/>
    <n v="384862"/>
    <m/>
    <m/>
    <m/>
  </r>
  <r>
    <x v="484"/>
    <x v="1"/>
    <s v="유튜브 디스커버리"/>
    <x v="0"/>
    <x v="0"/>
    <x v="0"/>
    <m/>
    <m/>
    <n v="51733"/>
    <m/>
    <m/>
    <m/>
  </r>
  <r>
    <x v="484"/>
    <x v="1"/>
    <s v="유튜브 디스커버리"/>
    <x v="0"/>
    <x v="0"/>
    <x v="0"/>
    <m/>
    <m/>
    <n v="1138"/>
    <m/>
    <m/>
    <m/>
  </r>
  <r>
    <x v="484"/>
    <x v="1"/>
    <s v="유튜브 디스커버리"/>
    <x v="0"/>
    <x v="0"/>
    <x v="0"/>
    <m/>
    <m/>
    <n v="144562"/>
    <m/>
    <m/>
    <m/>
  </r>
  <r>
    <x v="484"/>
    <x v="1"/>
    <s v="유튜브 디스커버리"/>
    <x v="0"/>
    <x v="0"/>
    <x v="0"/>
    <m/>
    <m/>
    <n v="206975"/>
    <m/>
    <m/>
    <m/>
  </r>
  <r>
    <x v="484"/>
    <x v="1"/>
    <s v="유튜브 디스커버리"/>
    <x v="0"/>
    <x v="0"/>
    <x v="0"/>
    <m/>
    <m/>
    <n v="96409"/>
    <m/>
    <m/>
    <m/>
  </r>
  <r>
    <x v="484"/>
    <x v="1"/>
    <s v="유튜브 디스커버리"/>
    <x v="0"/>
    <x v="0"/>
    <x v="0"/>
    <m/>
    <m/>
    <n v="199780"/>
    <m/>
    <m/>
    <m/>
  </r>
  <r>
    <x v="484"/>
    <x v="1"/>
    <s v="유튜브 디스커버리"/>
    <x v="0"/>
    <x v="0"/>
    <x v="0"/>
    <m/>
    <m/>
    <n v="179"/>
    <m/>
    <m/>
    <m/>
  </r>
  <r>
    <x v="484"/>
    <x v="1"/>
    <s v="유튜브 디스커버리"/>
    <x v="0"/>
    <x v="0"/>
    <x v="0"/>
    <m/>
    <m/>
    <n v="52122"/>
    <m/>
    <m/>
    <m/>
  </r>
  <r>
    <x v="484"/>
    <x v="1"/>
    <s v="유튜브 디스커버리"/>
    <x v="0"/>
    <x v="0"/>
    <x v="0"/>
    <m/>
    <m/>
    <n v="52384"/>
    <m/>
    <m/>
    <m/>
  </r>
  <r>
    <x v="484"/>
    <x v="1"/>
    <s v="유튜브 디스커버리"/>
    <x v="0"/>
    <x v="0"/>
    <x v="0"/>
    <m/>
    <m/>
    <n v="1048718"/>
    <m/>
    <m/>
    <m/>
  </r>
  <r>
    <x v="484"/>
    <x v="1"/>
    <s v="유튜브 디스커버리"/>
    <x v="0"/>
    <x v="0"/>
    <x v="0"/>
    <m/>
    <m/>
    <n v="272079"/>
    <m/>
    <m/>
    <m/>
  </r>
  <r>
    <x v="484"/>
    <x v="1"/>
    <s v="유튜브 디스커버리"/>
    <x v="0"/>
    <x v="0"/>
    <x v="0"/>
    <m/>
    <m/>
    <n v="52679"/>
    <m/>
    <m/>
    <m/>
  </r>
  <r>
    <x v="484"/>
    <x v="1"/>
    <s v="유튜브 디스커버리"/>
    <x v="0"/>
    <x v="0"/>
    <x v="0"/>
    <m/>
    <m/>
    <n v="228342"/>
    <m/>
    <m/>
    <m/>
  </r>
  <r>
    <x v="484"/>
    <x v="1"/>
    <s v="유튜브 디스커버리"/>
    <x v="0"/>
    <x v="0"/>
    <x v="0"/>
    <m/>
    <m/>
    <n v="5240"/>
    <m/>
    <m/>
    <m/>
  </r>
  <r>
    <x v="484"/>
    <x v="1"/>
    <s v="유튜브 디스커버리"/>
    <x v="17"/>
    <x v="0"/>
    <x v="0"/>
    <m/>
    <m/>
    <n v="150266"/>
    <m/>
    <m/>
    <m/>
  </r>
  <r>
    <x v="484"/>
    <x v="1"/>
    <s v="유튜브 디스커버리"/>
    <x v="0"/>
    <x v="0"/>
    <x v="0"/>
    <m/>
    <m/>
    <n v="65553"/>
    <m/>
    <m/>
    <m/>
  </r>
  <r>
    <x v="485"/>
    <x v="0"/>
    <s v="페이스북/인스타그램"/>
    <x v="7"/>
    <x v="0"/>
    <x v="0"/>
    <m/>
    <m/>
    <n v="484946"/>
    <m/>
    <m/>
    <m/>
  </r>
  <r>
    <x v="485"/>
    <x v="0"/>
    <s v="페이스북/인스타그램"/>
    <x v="13"/>
    <x v="0"/>
    <x v="0"/>
    <m/>
    <m/>
    <n v="30293"/>
    <m/>
    <m/>
    <m/>
  </r>
  <r>
    <x v="485"/>
    <x v="0"/>
    <s v="페이스북/인스타그램"/>
    <x v="0"/>
    <x v="0"/>
    <x v="0"/>
    <m/>
    <m/>
    <n v="1328496"/>
    <m/>
    <m/>
    <m/>
  </r>
  <r>
    <x v="485"/>
    <x v="0"/>
    <s v="네이버 GFA"/>
    <x v="0"/>
    <x v="0"/>
    <x v="0"/>
    <m/>
    <m/>
    <n v="67492.72727272726"/>
    <m/>
    <m/>
    <m/>
  </r>
  <r>
    <x v="485"/>
    <x v="0"/>
    <s v="네이버 GFA"/>
    <x v="7"/>
    <x v="0"/>
    <x v="0"/>
    <m/>
    <m/>
    <n v="425816.3636363636"/>
    <m/>
    <m/>
    <m/>
  </r>
  <r>
    <x v="485"/>
    <x v="0"/>
    <s v="네이버 GFA"/>
    <x v="7"/>
    <x v="0"/>
    <x v="0"/>
    <m/>
    <m/>
    <n v="1354725.454545454"/>
    <m/>
    <m/>
    <m/>
  </r>
  <r>
    <x v="485"/>
    <x v="0"/>
    <s v="네이버 GFA"/>
    <x v="0"/>
    <x v="0"/>
    <x v="0"/>
    <m/>
    <m/>
    <n v="628834.5454545454"/>
    <m/>
    <m/>
    <m/>
  </r>
  <r>
    <x v="485"/>
    <x v="0"/>
    <s v="네이버 쇼핑검색"/>
    <x v="10"/>
    <x v="0"/>
    <x v="0"/>
    <m/>
    <m/>
    <n v="56799.99999999999"/>
    <m/>
    <m/>
    <m/>
  </r>
  <r>
    <x v="485"/>
    <x v="0"/>
    <s v="네이버 쇼핑검색"/>
    <x v="10"/>
    <x v="0"/>
    <x v="0"/>
    <m/>
    <m/>
    <n v="6139.999999999999"/>
    <m/>
    <m/>
    <m/>
  </r>
  <r>
    <x v="485"/>
    <x v="0"/>
    <s v="네이버 쇼핑박스"/>
    <x v="7"/>
    <x v="0"/>
    <x v="0"/>
    <m/>
    <m/>
    <n v="649350.64"/>
    <m/>
    <m/>
    <m/>
  </r>
  <r>
    <x v="485"/>
    <x v="0"/>
    <s v="카카오광고"/>
    <x v="0"/>
    <x v="0"/>
    <x v="0"/>
    <m/>
    <m/>
    <n v="909.9999999999999"/>
    <m/>
    <m/>
    <m/>
  </r>
  <r>
    <x v="485"/>
    <x v="0"/>
    <s v="카카오광고"/>
    <x v="0"/>
    <x v="0"/>
    <x v="0"/>
    <m/>
    <m/>
    <n v="225570"/>
    <m/>
    <m/>
    <m/>
  </r>
  <r>
    <x v="485"/>
    <x v="0"/>
    <s v="유튜브 디스커버리"/>
    <x v="17"/>
    <x v="0"/>
    <x v="0"/>
    <m/>
    <m/>
    <n v="21591"/>
    <m/>
    <m/>
    <m/>
  </r>
  <r>
    <x v="485"/>
    <x v="0"/>
    <s v="유튜브 디스커버리"/>
    <x v="0"/>
    <x v="0"/>
    <x v="0"/>
    <m/>
    <m/>
    <n v="376541"/>
    <m/>
    <m/>
    <m/>
  </r>
  <r>
    <x v="485"/>
    <x v="0"/>
    <s v="유튜브 디스커버리"/>
    <x v="0"/>
    <x v="0"/>
    <x v="0"/>
    <m/>
    <m/>
    <n v="405917"/>
    <m/>
    <m/>
    <m/>
  </r>
  <r>
    <x v="485"/>
    <x v="0"/>
    <s v="유튜브 디스커버리"/>
    <x v="0"/>
    <x v="0"/>
    <x v="0"/>
    <m/>
    <m/>
    <n v="26573"/>
    <m/>
    <m/>
    <m/>
  </r>
  <r>
    <x v="485"/>
    <x v="0"/>
    <s v="유튜브 디스커버리"/>
    <x v="0"/>
    <x v="0"/>
    <x v="0"/>
    <m/>
    <m/>
    <n v="107037"/>
    <m/>
    <m/>
    <m/>
  </r>
  <r>
    <x v="485"/>
    <x v="0"/>
    <s v="유튜브 디스커버리"/>
    <x v="0"/>
    <x v="0"/>
    <x v="0"/>
    <m/>
    <m/>
    <n v="583333"/>
    <m/>
    <m/>
    <m/>
  </r>
  <r>
    <x v="485"/>
    <x v="0"/>
    <s v="유튜브 디스커버리"/>
    <x v="0"/>
    <x v="0"/>
    <x v="0"/>
    <m/>
    <m/>
    <n v="41926"/>
    <m/>
    <m/>
    <m/>
  </r>
  <r>
    <x v="485"/>
    <x v="0"/>
    <s v="유튜브 디스커버리"/>
    <x v="0"/>
    <x v="0"/>
    <x v="0"/>
    <m/>
    <m/>
    <n v="7866"/>
    <m/>
    <m/>
    <m/>
  </r>
  <r>
    <x v="485"/>
    <x v="0"/>
    <s v="유튜브 디스커버리"/>
    <x v="0"/>
    <x v="0"/>
    <x v="0"/>
    <m/>
    <m/>
    <n v="17885"/>
    <m/>
    <m/>
    <m/>
  </r>
  <r>
    <x v="485"/>
    <x v="0"/>
    <s v="유튜브 디스커버리"/>
    <x v="17"/>
    <x v="0"/>
    <x v="0"/>
    <m/>
    <m/>
    <n v="408435"/>
    <m/>
    <m/>
    <m/>
  </r>
  <r>
    <x v="485"/>
    <x v="0"/>
    <s v="유튜브 디스커버리"/>
    <x v="0"/>
    <x v="0"/>
    <x v="0"/>
    <m/>
    <m/>
    <n v="95659"/>
    <m/>
    <m/>
    <m/>
  </r>
  <r>
    <x v="485"/>
    <x v="0"/>
    <s v="유튜브 디스커버리"/>
    <x v="0"/>
    <x v="0"/>
    <x v="0"/>
    <m/>
    <m/>
    <n v="20067"/>
    <m/>
    <m/>
    <m/>
  </r>
  <r>
    <x v="485"/>
    <x v="0"/>
    <s v="유튜브 디스커버리"/>
    <x v="0"/>
    <x v="0"/>
    <x v="0"/>
    <m/>
    <m/>
    <n v="52484"/>
    <m/>
    <m/>
    <m/>
  </r>
  <r>
    <x v="485"/>
    <x v="0"/>
    <s v="유튜브 디스커버리"/>
    <x v="0"/>
    <x v="0"/>
    <x v="0"/>
    <m/>
    <m/>
    <n v="553107"/>
    <m/>
    <m/>
    <m/>
  </r>
  <r>
    <x v="485"/>
    <x v="0"/>
    <s v="유튜브 디스커버리"/>
    <x v="7"/>
    <x v="0"/>
    <x v="0"/>
    <m/>
    <m/>
    <n v="229"/>
    <m/>
    <m/>
    <m/>
  </r>
  <r>
    <x v="485"/>
    <x v="0"/>
    <s v="유튜브 디스커버리"/>
    <x v="0"/>
    <x v="0"/>
    <x v="0"/>
    <m/>
    <m/>
    <n v="659975"/>
    <m/>
    <m/>
    <m/>
  </r>
  <r>
    <x v="485"/>
    <x v="0"/>
    <s v="유튜브 디스커버리"/>
    <x v="0"/>
    <x v="0"/>
    <x v="0"/>
    <m/>
    <m/>
    <n v="201977"/>
    <m/>
    <m/>
    <m/>
  </r>
  <r>
    <x v="485"/>
    <x v="0"/>
    <s v="유튜브 디스커버리"/>
    <x v="0"/>
    <x v="0"/>
    <x v="0"/>
    <m/>
    <m/>
    <n v="77372"/>
    <m/>
    <m/>
    <m/>
  </r>
  <r>
    <x v="485"/>
    <x v="0"/>
    <s v="유튜브 디스커버리"/>
    <x v="0"/>
    <x v="0"/>
    <x v="0"/>
    <m/>
    <m/>
    <n v="2389"/>
    <m/>
    <m/>
    <m/>
  </r>
  <r>
    <x v="485"/>
    <x v="0"/>
    <s v="유튜브 디스커버리"/>
    <x v="0"/>
    <x v="0"/>
    <x v="0"/>
    <m/>
    <m/>
    <n v="63088"/>
    <m/>
    <m/>
    <m/>
  </r>
  <r>
    <x v="485"/>
    <x v="0"/>
    <s v="유튜브 디스커버리"/>
    <x v="0"/>
    <x v="0"/>
    <x v="0"/>
    <m/>
    <m/>
    <n v="484"/>
    <m/>
    <m/>
    <m/>
  </r>
  <r>
    <x v="485"/>
    <x v="0"/>
    <s v="유튜브 디스커버리"/>
    <x v="0"/>
    <x v="0"/>
    <x v="0"/>
    <m/>
    <m/>
    <n v="208909"/>
    <m/>
    <m/>
    <m/>
  </r>
  <r>
    <x v="485"/>
    <x v="0"/>
    <s v="유튜브 디스커버리"/>
    <x v="0"/>
    <x v="0"/>
    <x v="0"/>
    <m/>
    <m/>
    <n v="127892"/>
    <m/>
    <m/>
    <m/>
  </r>
  <r>
    <x v="485"/>
    <x v="0"/>
    <s v="유튜브 디스커버리"/>
    <x v="0"/>
    <x v="0"/>
    <x v="0"/>
    <m/>
    <m/>
    <n v="1059480"/>
    <m/>
    <m/>
    <m/>
  </r>
  <r>
    <x v="485"/>
    <x v="0"/>
    <s v="유튜브 디스커버리"/>
    <x v="0"/>
    <x v="0"/>
    <x v="0"/>
    <m/>
    <m/>
    <n v="131870"/>
    <m/>
    <m/>
    <m/>
  </r>
  <r>
    <x v="485"/>
    <x v="0"/>
    <s v="유튜브 디스커버리"/>
    <x v="0"/>
    <x v="0"/>
    <x v="0"/>
    <m/>
    <m/>
    <n v="18896"/>
    <m/>
    <m/>
    <m/>
  </r>
  <r>
    <x v="486"/>
    <x v="2"/>
    <s v="페이스북/인스타그램"/>
    <x v="7"/>
    <x v="0"/>
    <x v="0"/>
    <m/>
    <m/>
    <n v="381154"/>
    <m/>
    <m/>
    <m/>
  </r>
  <r>
    <x v="486"/>
    <x v="2"/>
    <s v="페이스북/인스타그램"/>
    <x v="13"/>
    <x v="0"/>
    <x v="0"/>
    <m/>
    <m/>
    <n v="29831"/>
    <m/>
    <m/>
    <m/>
  </r>
  <r>
    <x v="486"/>
    <x v="2"/>
    <s v="페이스북/인스타그램"/>
    <x v="0"/>
    <x v="0"/>
    <x v="0"/>
    <m/>
    <m/>
    <n v="938088"/>
    <m/>
    <m/>
    <m/>
  </r>
  <r>
    <x v="487"/>
    <x v="5"/>
    <s v="페이스북/인스타그램"/>
    <x v="7"/>
    <x v="0"/>
    <x v="0"/>
    <m/>
    <m/>
    <n v="296389"/>
    <m/>
    <m/>
    <m/>
  </r>
  <r>
    <x v="487"/>
    <x v="5"/>
    <s v="페이스북/인스타그램"/>
    <x v="13"/>
    <x v="0"/>
    <x v="0"/>
    <m/>
    <m/>
    <n v="30711"/>
    <m/>
    <m/>
    <m/>
  </r>
  <r>
    <x v="487"/>
    <x v="5"/>
    <s v="페이스북/인스타그램"/>
    <x v="0"/>
    <x v="0"/>
    <x v="0"/>
    <m/>
    <m/>
    <n v="636745"/>
    <m/>
    <m/>
    <m/>
  </r>
  <r>
    <x v="488"/>
    <x v="6"/>
    <s v="페이스북/인스타그램"/>
    <x v="7"/>
    <x v="0"/>
    <x v="0"/>
    <m/>
    <m/>
    <n v="366550"/>
    <m/>
    <m/>
    <m/>
  </r>
  <r>
    <x v="488"/>
    <x v="6"/>
    <s v="페이스북/인스타그램"/>
    <x v="13"/>
    <x v="0"/>
    <x v="0"/>
    <m/>
    <m/>
    <n v="30015"/>
    <m/>
    <m/>
    <m/>
  </r>
  <r>
    <x v="488"/>
    <x v="6"/>
    <s v="페이스북/인스타그램"/>
    <x v="0"/>
    <x v="0"/>
    <x v="0"/>
    <m/>
    <m/>
    <n v="792392"/>
    <m/>
    <m/>
    <m/>
  </r>
  <r>
    <x v="486"/>
    <x v="2"/>
    <s v="네이버 GFA"/>
    <x v="0"/>
    <x v="0"/>
    <x v="0"/>
    <m/>
    <m/>
    <n v="605653.6363636364"/>
    <m/>
    <m/>
    <m/>
  </r>
  <r>
    <x v="486"/>
    <x v="2"/>
    <s v="네이버 GFA"/>
    <x v="7"/>
    <x v="0"/>
    <x v="0"/>
    <m/>
    <m/>
    <n v="280507.2727272727"/>
    <m/>
    <m/>
    <m/>
  </r>
  <r>
    <x v="486"/>
    <x v="2"/>
    <s v="네이버 GFA"/>
    <x v="7"/>
    <x v="0"/>
    <x v="0"/>
    <m/>
    <m/>
    <n v="1150436.363636364"/>
    <m/>
    <m/>
    <m/>
  </r>
  <r>
    <x v="486"/>
    <x v="2"/>
    <s v="네이버 GFA"/>
    <x v="0"/>
    <x v="0"/>
    <x v="0"/>
    <m/>
    <m/>
    <n v="1317699.090909091"/>
    <m/>
    <m/>
    <m/>
  </r>
  <r>
    <x v="487"/>
    <x v="5"/>
    <s v="네이버 GFA"/>
    <x v="0"/>
    <x v="0"/>
    <x v="0"/>
    <m/>
    <m/>
    <n v="485759.0909090909"/>
    <m/>
    <m/>
    <m/>
  </r>
  <r>
    <x v="487"/>
    <x v="5"/>
    <s v="네이버 GFA"/>
    <x v="7"/>
    <x v="0"/>
    <x v="0"/>
    <m/>
    <m/>
    <n v="1787412.727272727"/>
    <m/>
    <m/>
    <m/>
  </r>
  <r>
    <x v="487"/>
    <x v="5"/>
    <s v="네이버 GFA"/>
    <x v="7"/>
    <x v="0"/>
    <x v="0"/>
    <m/>
    <m/>
    <n v="987566.3636363635"/>
    <m/>
    <m/>
    <m/>
  </r>
  <r>
    <x v="487"/>
    <x v="5"/>
    <s v="네이버 GFA"/>
    <x v="0"/>
    <x v="0"/>
    <x v="0"/>
    <m/>
    <m/>
    <n v="1465180.909090909"/>
    <m/>
    <m/>
    <m/>
  </r>
  <r>
    <x v="488"/>
    <x v="6"/>
    <s v="네이버 GFA"/>
    <x v="0"/>
    <x v="0"/>
    <x v="0"/>
    <m/>
    <m/>
    <n v="53764.54545454545"/>
    <m/>
    <m/>
    <m/>
  </r>
  <r>
    <x v="488"/>
    <x v="6"/>
    <s v="네이버 GFA"/>
    <x v="7"/>
    <x v="0"/>
    <x v="0"/>
    <m/>
    <m/>
    <n v="861039.9999999999"/>
    <m/>
    <m/>
    <m/>
  </r>
  <r>
    <x v="488"/>
    <x v="6"/>
    <s v="네이버 GFA"/>
    <x v="7"/>
    <x v="0"/>
    <x v="0"/>
    <m/>
    <m/>
    <n v="1114197.272727273"/>
    <m/>
    <m/>
    <m/>
  </r>
  <r>
    <x v="488"/>
    <x v="6"/>
    <s v="네이버 GFA"/>
    <x v="0"/>
    <x v="0"/>
    <x v="0"/>
    <m/>
    <m/>
    <n v="1154444.545454545"/>
    <m/>
    <m/>
    <m/>
  </r>
  <r>
    <x v="486"/>
    <x v="2"/>
    <s v="네이버 쇼핑검색"/>
    <x v="10"/>
    <x v="0"/>
    <x v="0"/>
    <m/>
    <m/>
    <n v="51119.99999999999"/>
    <m/>
    <m/>
    <m/>
  </r>
  <r>
    <x v="486"/>
    <x v="2"/>
    <s v="네이버 쇼핑검색"/>
    <x v="10"/>
    <x v="0"/>
    <x v="0"/>
    <m/>
    <m/>
    <n v="3620"/>
    <m/>
    <m/>
    <m/>
  </r>
  <r>
    <x v="487"/>
    <x v="5"/>
    <s v="네이버 쇼핑검색"/>
    <x v="10"/>
    <x v="0"/>
    <x v="0"/>
    <m/>
    <m/>
    <n v="66860"/>
    <m/>
    <m/>
    <m/>
  </r>
  <r>
    <x v="487"/>
    <x v="5"/>
    <s v="네이버 쇼핑검색"/>
    <x v="10"/>
    <x v="0"/>
    <x v="0"/>
    <m/>
    <m/>
    <n v="2680"/>
    <m/>
    <m/>
    <m/>
  </r>
  <r>
    <x v="488"/>
    <x v="6"/>
    <s v="네이버 쇼핑검색"/>
    <x v="10"/>
    <x v="0"/>
    <x v="0"/>
    <m/>
    <m/>
    <n v="60389.99999999999"/>
    <m/>
    <m/>
    <m/>
  </r>
  <r>
    <x v="488"/>
    <x v="6"/>
    <s v="네이버 쇼핑검색"/>
    <x v="10"/>
    <x v="0"/>
    <x v="0"/>
    <m/>
    <m/>
    <n v="4530"/>
    <m/>
    <m/>
    <m/>
  </r>
  <r>
    <x v="486"/>
    <x v="2"/>
    <s v="네이버 쇼핑박스"/>
    <x v="7"/>
    <x v="0"/>
    <x v="0"/>
    <m/>
    <m/>
    <n v="649350.64"/>
    <m/>
    <m/>
    <m/>
  </r>
  <r>
    <x v="487"/>
    <x v="5"/>
    <s v="네이버 쇼핑박스"/>
    <x v="7"/>
    <x v="0"/>
    <x v="0"/>
    <m/>
    <m/>
    <n v="649350.64"/>
    <m/>
    <m/>
    <m/>
  </r>
  <r>
    <x v="488"/>
    <x v="6"/>
    <s v="네이버 쇼핑박스"/>
    <x v="7"/>
    <x v="0"/>
    <x v="0"/>
    <m/>
    <m/>
    <n v="649350.64"/>
    <m/>
    <m/>
    <m/>
  </r>
  <r>
    <x v="486"/>
    <x v="2"/>
    <s v="카카오광고"/>
    <x v="0"/>
    <x v="0"/>
    <x v="0"/>
    <m/>
    <m/>
    <n v="4740"/>
    <m/>
    <m/>
    <m/>
  </r>
  <r>
    <x v="486"/>
    <x v="2"/>
    <s v="카카오광고"/>
    <x v="0"/>
    <x v="0"/>
    <x v="0"/>
    <m/>
    <m/>
    <n v="173060"/>
    <m/>
    <m/>
    <m/>
  </r>
  <r>
    <x v="487"/>
    <x v="5"/>
    <s v="카카오광고"/>
    <x v="0"/>
    <x v="0"/>
    <x v="0"/>
    <m/>
    <m/>
    <n v="6859.999999999999"/>
    <m/>
    <m/>
    <m/>
  </r>
  <r>
    <x v="487"/>
    <x v="5"/>
    <s v="카카오광고"/>
    <x v="0"/>
    <x v="0"/>
    <x v="0"/>
    <m/>
    <m/>
    <n v="94989.99999999999"/>
    <m/>
    <m/>
    <m/>
  </r>
  <r>
    <x v="488"/>
    <x v="6"/>
    <s v="카카오광고"/>
    <x v="0"/>
    <x v="0"/>
    <x v="0"/>
    <m/>
    <m/>
    <n v="3850"/>
    <m/>
    <m/>
    <m/>
  </r>
  <r>
    <x v="488"/>
    <x v="6"/>
    <s v="카카오광고"/>
    <x v="0"/>
    <x v="0"/>
    <x v="0"/>
    <m/>
    <m/>
    <n v="154550"/>
    <m/>
    <m/>
    <m/>
  </r>
  <r>
    <x v="486"/>
    <x v="2"/>
    <s v="유튜브 디스커버리"/>
    <x v="0"/>
    <x v="0"/>
    <x v="0"/>
    <m/>
    <m/>
    <n v="97806"/>
    <m/>
    <m/>
    <m/>
  </r>
  <r>
    <x v="486"/>
    <x v="2"/>
    <s v="유튜브 디스커버리"/>
    <x v="7"/>
    <x v="0"/>
    <x v="0"/>
    <m/>
    <m/>
    <n v="2456"/>
    <m/>
    <m/>
    <m/>
  </r>
  <r>
    <x v="486"/>
    <x v="2"/>
    <s v="유튜브 디스커버리"/>
    <x v="0"/>
    <x v="0"/>
    <x v="0"/>
    <m/>
    <m/>
    <n v="103510"/>
    <m/>
    <m/>
    <m/>
  </r>
  <r>
    <x v="486"/>
    <x v="2"/>
    <s v="유튜브 디스커버리"/>
    <x v="0"/>
    <x v="0"/>
    <x v="0"/>
    <m/>
    <m/>
    <n v="240917"/>
    <m/>
    <m/>
    <m/>
  </r>
  <r>
    <x v="486"/>
    <x v="2"/>
    <s v="유튜브 디스커버리"/>
    <x v="0"/>
    <x v="0"/>
    <x v="0"/>
    <m/>
    <m/>
    <n v="5534"/>
    <m/>
    <m/>
    <m/>
  </r>
  <r>
    <x v="486"/>
    <x v="2"/>
    <s v="유튜브 디스커버리"/>
    <x v="0"/>
    <x v="0"/>
    <x v="0"/>
    <m/>
    <m/>
    <n v="2281355"/>
    <m/>
    <m/>
    <m/>
  </r>
  <r>
    <x v="486"/>
    <x v="2"/>
    <s v="유튜브 디스커버리"/>
    <x v="0"/>
    <x v="0"/>
    <x v="0"/>
    <m/>
    <m/>
    <n v="147418"/>
    <m/>
    <m/>
    <m/>
  </r>
  <r>
    <x v="486"/>
    <x v="2"/>
    <s v="유튜브 디스커버리"/>
    <x v="17"/>
    <x v="0"/>
    <x v="0"/>
    <m/>
    <m/>
    <n v="138409"/>
    <m/>
    <m/>
    <m/>
  </r>
  <r>
    <x v="486"/>
    <x v="2"/>
    <s v="유튜브 디스커버리"/>
    <x v="0"/>
    <x v="0"/>
    <x v="0"/>
    <m/>
    <m/>
    <n v="64192"/>
    <m/>
    <m/>
    <m/>
  </r>
  <r>
    <x v="486"/>
    <x v="2"/>
    <s v="유튜브 디스커버리"/>
    <x v="0"/>
    <x v="0"/>
    <x v="0"/>
    <m/>
    <m/>
    <n v="536286"/>
    <m/>
    <m/>
    <m/>
  </r>
  <r>
    <x v="486"/>
    <x v="2"/>
    <s v="유튜브 디스커버리"/>
    <x v="0"/>
    <x v="0"/>
    <x v="0"/>
    <m/>
    <m/>
    <n v="135253"/>
    <m/>
    <m/>
    <m/>
  </r>
  <r>
    <x v="486"/>
    <x v="2"/>
    <s v="유튜브 디스커버리"/>
    <x v="0"/>
    <x v="0"/>
    <x v="0"/>
    <m/>
    <m/>
    <n v="121068"/>
    <m/>
    <m/>
    <m/>
  </r>
  <r>
    <x v="486"/>
    <x v="2"/>
    <s v="유튜브 디스커버리"/>
    <x v="17"/>
    <x v="0"/>
    <x v="0"/>
    <m/>
    <m/>
    <n v="376043"/>
    <m/>
    <m/>
    <m/>
  </r>
  <r>
    <x v="486"/>
    <x v="2"/>
    <s v="유튜브 디스커버리"/>
    <x v="0"/>
    <x v="0"/>
    <x v="0"/>
    <m/>
    <m/>
    <n v="31497"/>
    <m/>
    <m/>
    <m/>
  </r>
  <r>
    <x v="486"/>
    <x v="2"/>
    <s v="유튜브 디스커버리"/>
    <x v="0"/>
    <x v="0"/>
    <x v="0"/>
    <m/>
    <m/>
    <n v="18218"/>
    <m/>
    <m/>
    <m/>
  </r>
  <r>
    <x v="486"/>
    <x v="2"/>
    <s v="유튜브 디스커버리"/>
    <x v="0"/>
    <x v="0"/>
    <x v="0"/>
    <m/>
    <m/>
    <n v="31685"/>
    <m/>
    <m/>
    <m/>
  </r>
  <r>
    <x v="487"/>
    <x v="5"/>
    <s v="유튜브 디스커버리"/>
    <x v="0"/>
    <x v="0"/>
    <x v="0"/>
    <m/>
    <m/>
    <n v="411905"/>
    <m/>
    <m/>
    <m/>
  </r>
  <r>
    <x v="487"/>
    <x v="5"/>
    <s v="유튜브 디스커버리"/>
    <x v="0"/>
    <x v="0"/>
    <x v="0"/>
    <m/>
    <m/>
    <n v="47"/>
    <m/>
    <m/>
    <m/>
  </r>
  <r>
    <x v="487"/>
    <x v="5"/>
    <s v="유튜브 디스커버리"/>
    <x v="0"/>
    <x v="0"/>
    <x v="0"/>
    <m/>
    <m/>
    <n v="5030220"/>
    <m/>
    <m/>
    <m/>
  </r>
  <r>
    <x v="487"/>
    <x v="5"/>
    <s v="유튜브 디스커버리"/>
    <x v="0"/>
    <x v="0"/>
    <x v="0"/>
    <m/>
    <m/>
    <n v="8932"/>
    <m/>
    <m/>
    <m/>
  </r>
  <r>
    <x v="487"/>
    <x v="5"/>
    <s v="유튜브 디스커버리"/>
    <x v="0"/>
    <x v="0"/>
    <x v="0"/>
    <m/>
    <m/>
    <n v="76399"/>
    <m/>
    <m/>
    <m/>
  </r>
  <r>
    <x v="487"/>
    <x v="5"/>
    <s v="유튜브 디스커버리"/>
    <x v="17"/>
    <x v="0"/>
    <x v="0"/>
    <m/>
    <m/>
    <n v="153920"/>
    <m/>
    <m/>
    <m/>
  </r>
  <r>
    <x v="487"/>
    <x v="5"/>
    <s v="유튜브 디스커버리"/>
    <x v="0"/>
    <x v="0"/>
    <x v="0"/>
    <m/>
    <m/>
    <n v="43792"/>
    <m/>
    <m/>
    <m/>
  </r>
  <r>
    <x v="487"/>
    <x v="5"/>
    <s v="유튜브 디스커버리"/>
    <x v="0"/>
    <x v="0"/>
    <x v="0"/>
    <m/>
    <m/>
    <n v="12111"/>
    <m/>
    <m/>
    <m/>
  </r>
  <r>
    <x v="487"/>
    <x v="5"/>
    <s v="유튜브 디스커버리"/>
    <x v="17"/>
    <x v="0"/>
    <x v="0"/>
    <m/>
    <m/>
    <n v="114208"/>
    <m/>
    <m/>
    <m/>
  </r>
  <r>
    <x v="487"/>
    <x v="5"/>
    <s v="유튜브 디스커버리"/>
    <x v="0"/>
    <x v="0"/>
    <x v="0"/>
    <m/>
    <m/>
    <n v="102400"/>
    <m/>
    <m/>
    <m/>
  </r>
  <r>
    <x v="487"/>
    <x v="5"/>
    <s v="유튜브 디스커버리"/>
    <x v="0"/>
    <x v="0"/>
    <x v="0"/>
    <m/>
    <m/>
    <n v="40982"/>
    <m/>
    <m/>
    <m/>
  </r>
  <r>
    <x v="487"/>
    <x v="5"/>
    <s v="유튜브 디스커버리"/>
    <x v="7"/>
    <x v="0"/>
    <x v="0"/>
    <m/>
    <m/>
    <n v="52450"/>
    <m/>
    <m/>
    <m/>
  </r>
  <r>
    <x v="487"/>
    <x v="5"/>
    <s v="유튜브 디스커버리"/>
    <x v="0"/>
    <x v="0"/>
    <x v="0"/>
    <m/>
    <m/>
    <n v="414820"/>
    <m/>
    <m/>
    <m/>
  </r>
  <r>
    <x v="487"/>
    <x v="5"/>
    <s v="유튜브 디스커버리"/>
    <x v="0"/>
    <x v="0"/>
    <x v="0"/>
    <m/>
    <m/>
    <n v="34715"/>
    <m/>
    <m/>
    <m/>
  </r>
  <r>
    <x v="488"/>
    <x v="6"/>
    <s v="유튜브 디스커버리"/>
    <x v="0"/>
    <x v="0"/>
    <x v="0"/>
    <m/>
    <m/>
    <n v="201241"/>
    <m/>
    <m/>
    <m/>
  </r>
  <r>
    <x v="488"/>
    <x v="6"/>
    <s v="유튜브 디스커버리"/>
    <x v="0"/>
    <x v="0"/>
    <x v="0"/>
    <m/>
    <m/>
    <n v="253713"/>
    <m/>
    <m/>
    <m/>
  </r>
  <r>
    <x v="488"/>
    <x v="6"/>
    <s v="유튜브 디스커버리"/>
    <x v="7"/>
    <x v="0"/>
    <x v="0"/>
    <m/>
    <m/>
    <n v="37345"/>
    <m/>
    <m/>
    <m/>
  </r>
  <r>
    <x v="488"/>
    <x v="6"/>
    <s v="유튜브 디스커버리"/>
    <x v="0"/>
    <x v="0"/>
    <x v="0"/>
    <m/>
    <m/>
    <n v="403716"/>
    <m/>
    <m/>
    <m/>
  </r>
  <r>
    <x v="488"/>
    <x v="6"/>
    <s v="유튜브 디스커버리"/>
    <x v="0"/>
    <x v="0"/>
    <x v="0"/>
    <m/>
    <m/>
    <n v="407010"/>
    <m/>
    <m/>
    <m/>
  </r>
  <r>
    <x v="488"/>
    <x v="6"/>
    <s v="유튜브 디스커버리"/>
    <x v="0"/>
    <x v="0"/>
    <x v="0"/>
    <m/>
    <m/>
    <n v="339267"/>
    <m/>
    <m/>
    <m/>
  </r>
  <r>
    <x v="488"/>
    <x v="6"/>
    <s v="유튜브 디스커버리"/>
    <x v="0"/>
    <x v="0"/>
    <x v="0"/>
    <m/>
    <m/>
    <n v="616717"/>
    <m/>
    <m/>
    <m/>
  </r>
  <r>
    <x v="488"/>
    <x v="6"/>
    <s v="유튜브 디스커버리"/>
    <x v="0"/>
    <x v="0"/>
    <x v="0"/>
    <m/>
    <m/>
    <n v="113861"/>
    <m/>
    <m/>
    <m/>
  </r>
  <r>
    <x v="488"/>
    <x v="6"/>
    <s v="유튜브 디스커버리"/>
    <x v="17"/>
    <x v="0"/>
    <x v="0"/>
    <m/>
    <m/>
    <n v="17229"/>
    <m/>
    <m/>
    <m/>
  </r>
  <r>
    <x v="488"/>
    <x v="6"/>
    <s v="유튜브 디스커버리"/>
    <x v="0"/>
    <x v="0"/>
    <x v="0"/>
    <m/>
    <m/>
    <n v="8068"/>
    <m/>
    <m/>
    <m/>
  </r>
  <r>
    <x v="488"/>
    <x v="6"/>
    <s v="유튜브 디스커버리"/>
    <x v="17"/>
    <x v="0"/>
    <x v="0"/>
    <m/>
    <m/>
    <n v="100832"/>
    <m/>
    <m/>
    <m/>
  </r>
  <r>
    <x v="488"/>
    <x v="6"/>
    <s v="유튜브 디스커버리"/>
    <x v="0"/>
    <x v="0"/>
    <x v="0"/>
    <m/>
    <m/>
    <n v="401732"/>
    <m/>
    <m/>
    <m/>
  </r>
  <r>
    <x v="488"/>
    <x v="6"/>
    <s v="유튜브 디스커버리"/>
    <x v="0"/>
    <x v="0"/>
    <x v="0"/>
    <m/>
    <m/>
    <n v="421315"/>
    <m/>
    <m/>
    <m/>
  </r>
  <r>
    <x v="488"/>
    <x v="6"/>
    <s v="유튜브 디스커버리"/>
    <x v="0"/>
    <x v="0"/>
    <x v="0"/>
    <m/>
    <m/>
    <n v="94943"/>
    <m/>
    <m/>
    <m/>
  </r>
  <r>
    <x v="489"/>
    <x v="3"/>
    <s v="페이스북/인스타그램"/>
    <x v="7"/>
    <x v="0"/>
    <x v="0"/>
    <m/>
    <m/>
    <n v="588384"/>
    <m/>
    <m/>
    <m/>
  </r>
  <r>
    <x v="489"/>
    <x v="3"/>
    <s v="페이스북/인스타그램"/>
    <x v="13"/>
    <x v="0"/>
    <x v="0"/>
    <m/>
    <m/>
    <n v="29681"/>
    <m/>
    <m/>
    <m/>
  </r>
  <r>
    <x v="489"/>
    <x v="3"/>
    <s v="페이스북/인스타그램"/>
    <x v="0"/>
    <x v="0"/>
    <x v="0"/>
    <m/>
    <m/>
    <n v="1334989"/>
    <m/>
    <m/>
    <m/>
  </r>
  <r>
    <x v="489"/>
    <x v="3"/>
    <s v="네이버 GFA"/>
    <x v="0"/>
    <x v="0"/>
    <x v="0"/>
    <m/>
    <m/>
    <n v="0"/>
    <m/>
    <m/>
    <m/>
  </r>
  <r>
    <x v="489"/>
    <x v="3"/>
    <s v="네이버 GFA"/>
    <x v="7"/>
    <x v="0"/>
    <x v="0"/>
    <m/>
    <m/>
    <n v="592426.3636363635"/>
    <m/>
    <m/>
    <m/>
  </r>
  <r>
    <x v="489"/>
    <x v="3"/>
    <s v="네이버 GFA"/>
    <x v="7"/>
    <x v="0"/>
    <x v="0"/>
    <m/>
    <m/>
    <n v="1827081.818181818"/>
    <m/>
    <m/>
    <m/>
  </r>
  <r>
    <x v="489"/>
    <x v="3"/>
    <s v="네이버 GFA"/>
    <x v="0"/>
    <x v="0"/>
    <x v="0"/>
    <m/>
    <m/>
    <n v="694119.0909090908"/>
    <m/>
    <m/>
    <m/>
  </r>
  <r>
    <x v="489"/>
    <x v="3"/>
    <s v="네이버 쇼핑검색"/>
    <x v="10"/>
    <x v="0"/>
    <x v="0"/>
    <m/>
    <m/>
    <n v="61909.99999999999"/>
    <m/>
    <m/>
    <m/>
  </r>
  <r>
    <x v="489"/>
    <x v="3"/>
    <s v="네이버 쇼핑검색"/>
    <x v="10"/>
    <x v="0"/>
    <x v="0"/>
    <m/>
    <m/>
    <n v="6619.999999999999"/>
    <m/>
    <m/>
    <m/>
  </r>
  <r>
    <x v="489"/>
    <x v="3"/>
    <s v="카카오광고"/>
    <x v="0"/>
    <x v="0"/>
    <x v="0"/>
    <m/>
    <m/>
    <n v="7789.999999999999"/>
    <m/>
    <m/>
    <m/>
  </r>
  <r>
    <x v="489"/>
    <x v="3"/>
    <s v="카카오광고"/>
    <x v="0"/>
    <x v="0"/>
    <x v="0"/>
    <m/>
    <m/>
    <n v="700140"/>
    <m/>
    <m/>
    <m/>
  </r>
  <r>
    <x v="489"/>
    <x v="3"/>
    <s v="카카오광고"/>
    <x v="0"/>
    <x v="0"/>
    <x v="0"/>
    <m/>
    <m/>
    <n v="615330"/>
    <m/>
    <m/>
    <m/>
  </r>
  <r>
    <x v="489"/>
    <x v="3"/>
    <s v="유튜브 디스커버리"/>
    <x v="0"/>
    <x v="0"/>
    <x v="0"/>
    <m/>
    <m/>
    <n v="221529.0909090909"/>
    <m/>
    <m/>
    <m/>
  </r>
  <r>
    <x v="489"/>
    <x v="3"/>
    <s v="유튜브 디스커버리"/>
    <x v="7"/>
    <x v="0"/>
    <x v="0"/>
    <m/>
    <m/>
    <n v="115528.1818181818"/>
    <m/>
    <m/>
    <m/>
  </r>
  <r>
    <x v="489"/>
    <x v="3"/>
    <s v="유튜브 디스커버리"/>
    <x v="17"/>
    <x v="0"/>
    <x v="0"/>
    <m/>
    <m/>
    <n v="9216.363636363636"/>
    <m/>
    <m/>
    <m/>
  </r>
  <r>
    <x v="489"/>
    <x v="3"/>
    <s v="유튜브 디스커버리"/>
    <x v="0"/>
    <x v="0"/>
    <x v="0"/>
    <m/>
    <m/>
    <n v="116160.9090909091"/>
    <m/>
    <m/>
    <m/>
  </r>
  <r>
    <x v="489"/>
    <x v="3"/>
    <s v="유튜브 디스커버리"/>
    <x v="0"/>
    <x v="0"/>
    <x v="0"/>
    <m/>
    <m/>
    <n v="246941.8181818181"/>
    <m/>
    <m/>
    <m/>
  </r>
  <r>
    <x v="489"/>
    <x v="3"/>
    <s v="유튜브 디스커버리"/>
    <x v="0"/>
    <x v="0"/>
    <x v="0"/>
    <m/>
    <m/>
    <n v="3201.818181818182"/>
    <m/>
    <m/>
    <m/>
  </r>
  <r>
    <x v="489"/>
    <x v="3"/>
    <s v="유튜브 디스커버리"/>
    <x v="0"/>
    <x v="0"/>
    <x v="0"/>
    <m/>
    <m/>
    <n v="124275.4545454545"/>
    <m/>
    <m/>
    <m/>
  </r>
  <r>
    <x v="489"/>
    <x v="3"/>
    <s v="유튜브 디스커버리"/>
    <x v="0"/>
    <x v="0"/>
    <x v="0"/>
    <m/>
    <m/>
    <n v="1596.363636363636"/>
    <m/>
    <m/>
    <m/>
  </r>
  <r>
    <x v="489"/>
    <x v="3"/>
    <s v="유튜브 디스커버리"/>
    <x v="0"/>
    <x v="0"/>
    <x v="0"/>
    <m/>
    <m/>
    <n v="82667.27272727272"/>
    <m/>
    <m/>
    <m/>
  </r>
  <r>
    <x v="489"/>
    <x v="3"/>
    <s v="유튜브 디스커버리"/>
    <x v="0"/>
    <x v="0"/>
    <x v="0"/>
    <m/>
    <m/>
    <n v="1709.090909090909"/>
    <m/>
    <m/>
    <m/>
  </r>
  <r>
    <x v="489"/>
    <x v="3"/>
    <s v="유튜브 디스커버리"/>
    <x v="0"/>
    <x v="0"/>
    <x v="0"/>
    <m/>
    <m/>
    <n v="83020.90909090909"/>
    <m/>
    <m/>
    <m/>
  </r>
  <r>
    <x v="489"/>
    <x v="3"/>
    <s v="유튜브 디스커버리"/>
    <x v="0"/>
    <x v="0"/>
    <x v="0"/>
    <m/>
    <m/>
    <n v="286118.1818181818"/>
    <m/>
    <m/>
    <m/>
  </r>
  <r>
    <x v="489"/>
    <x v="3"/>
    <s v="유튜브 디스커버리"/>
    <x v="0"/>
    <x v="0"/>
    <x v="0"/>
    <m/>
    <m/>
    <n v="249345.4545454545"/>
    <m/>
    <m/>
    <m/>
  </r>
  <r>
    <x v="489"/>
    <x v="3"/>
    <s v="유튜브 디스커버리"/>
    <x v="0"/>
    <x v="0"/>
    <x v="0"/>
    <m/>
    <m/>
    <n v="189850.9090909091"/>
    <m/>
    <m/>
    <m/>
  </r>
  <r>
    <x v="489"/>
    <x v="3"/>
    <s v="유튜브 디스커버리"/>
    <x v="0"/>
    <x v="0"/>
    <x v="0"/>
    <m/>
    <m/>
    <n v="1798.181818181818"/>
    <m/>
    <m/>
    <m/>
  </r>
  <r>
    <x v="489"/>
    <x v="3"/>
    <s v="유튜브 디스커버리"/>
    <x v="0"/>
    <x v="0"/>
    <x v="0"/>
    <m/>
    <m/>
    <n v="200663.6363636364"/>
    <m/>
    <m/>
    <m/>
  </r>
  <r>
    <x v="490"/>
    <x v="4"/>
    <s v="페이스북/인스타그램"/>
    <x v="0"/>
    <x v="0"/>
    <x v="0"/>
    <m/>
    <m/>
    <n v="29602"/>
    <m/>
    <m/>
    <m/>
  </r>
  <r>
    <x v="490"/>
    <x v="4"/>
    <s v="페이스북/인스타그램"/>
    <x v="7"/>
    <x v="0"/>
    <x v="0"/>
    <m/>
    <m/>
    <n v="305475"/>
    <m/>
    <m/>
    <m/>
  </r>
  <r>
    <x v="490"/>
    <x v="4"/>
    <s v="페이스북/인스타그램"/>
    <x v="13"/>
    <x v="0"/>
    <x v="0"/>
    <m/>
    <m/>
    <n v="18606"/>
    <m/>
    <m/>
    <m/>
  </r>
  <r>
    <x v="490"/>
    <x v="4"/>
    <s v="페이스북/인스타그램"/>
    <x v="0"/>
    <x v="0"/>
    <x v="0"/>
    <m/>
    <m/>
    <n v="934350"/>
    <m/>
    <m/>
    <m/>
  </r>
  <r>
    <x v="490"/>
    <x v="4"/>
    <s v="네이버 GFA"/>
    <x v="7"/>
    <x v="0"/>
    <x v="0"/>
    <m/>
    <m/>
    <n v="142510.9090909091"/>
    <m/>
    <m/>
    <m/>
  </r>
  <r>
    <x v="490"/>
    <x v="4"/>
    <s v="네이버 GFA"/>
    <x v="0"/>
    <x v="0"/>
    <x v="0"/>
    <m/>
    <m/>
    <n v="67130.90909090909"/>
    <m/>
    <m/>
    <m/>
  </r>
  <r>
    <x v="490"/>
    <x v="4"/>
    <s v="네이버 GFA"/>
    <x v="7"/>
    <x v="0"/>
    <x v="0"/>
    <m/>
    <m/>
    <n v="516337.2727272727"/>
    <m/>
    <m/>
    <m/>
  </r>
  <r>
    <x v="490"/>
    <x v="4"/>
    <s v="네이버 GFA"/>
    <x v="7"/>
    <x v="0"/>
    <x v="0"/>
    <m/>
    <m/>
    <n v="1232533.636363636"/>
    <m/>
    <m/>
    <m/>
  </r>
  <r>
    <x v="490"/>
    <x v="4"/>
    <s v="네이버 GFA"/>
    <x v="0"/>
    <x v="0"/>
    <x v="0"/>
    <m/>
    <m/>
    <n v="3117240.909090909"/>
    <m/>
    <m/>
    <m/>
  </r>
  <r>
    <x v="490"/>
    <x v="4"/>
    <s v="네이버 쇼핑검색"/>
    <x v="10"/>
    <x v="0"/>
    <x v="0"/>
    <m/>
    <m/>
    <n v="50049.99999999999"/>
    <m/>
    <m/>
    <m/>
  </r>
  <r>
    <x v="490"/>
    <x v="4"/>
    <s v="네이버 쇼핑검색"/>
    <x v="10"/>
    <x v="0"/>
    <x v="0"/>
    <m/>
    <m/>
    <n v="7369.999999999999"/>
    <m/>
    <m/>
    <m/>
  </r>
  <r>
    <x v="490"/>
    <x v="4"/>
    <s v="카카오광고"/>
    <x v="0"/>
    <x v="0"/>
    <x v="0"/>
    <m/>
    <m/>
    <n v="7209.999999999999"/>
    <m/>
    <m/>
    <m/>
  </r>
  <r>
    <x v="490"/>
    <x v="4"/>
    <s v="카카오광고"/>
    <x v="0"/>
    <x v="0"/>
    <x v="0"/>
    <m/>
    <m/>
    <n v="5595"/>
    <m/>
    <m/>
    <m/>
  </r>
  <r>
    <x v="490"/>
    <x v="4"/>
    <s v="카카오광고"/>
    <x v="0"/>
    <x v="0"/>
    <x v="0"/>
    <m/>
    <m/>
    <n v="202550"/>
    <m/>
    <m/>
    <m/>
  </r>
  <r>
    <x v="490"/>
    <x v="4"/>
    <s v="유튜브 디스커버리"/>
    <x v="0"/>
    <x v="0"/>
    <x v="0"/>
    <m/>
    <m/>
    <n v="238515"/>
    <m/>
    <m/>
    <m/>
  </r>
  <r>
    <x v="490"/>
    <x v="4"/>
    <s v="유튜브 디스커버리"/>
    <x v="0"/>
    <x v="0"/>
    <x v="0"/>
    <m/>
    <m/>
    <n v="1437"/>
    <m/>
    <m/>
    <m/>
  </r>
  <r>
    <x v="490"/>
    <x v="4"/>
    <s v="유튜브 디스커버리"/>
    <x v="7"/>
    <x v="0"/>
    <x v="0"/>
    <m/>
    <m/>
    <n v="205556"/>
    <m/>
    <m/>
    <m/>
  </r>
  <r>
    <x v="490"/>
    <x v="4"/>
    <s v="유튜브 디스커버리"/>
    <x v="0"/>
    <x v="0"/>
    <x v="0"/>
    <m/>
    <m/>
    <n v="88378"/>
    <m/>
    <m/>
    <m/>
  </r>
  <r>
    <x v="490"/>
    <x v="4"/>
    <s v="유튜브 디스커버리"/>
    <x v="0"/>
    <x v="0"/>
    <x v="0"/>
    <m/>
    <m/>
    <n v="134776"/>
    <m/>
    <m/>
    <m/>
  </r>
  <r>
    <x v="490"/>
    <x v="4"/>
    <s v="유튜브 디스커버리"/>
    <x v="0"/>
    <x v="0"/>
    <x v="0"/>
    <m/>
    <m/>
    <n v="252279"/>
    <m/>
    <m/>
    <m/>
  </r>
  <r>
    <x v="490"/>
    <x v="4"/>
    <s v="유튜브 디스커버리"/>
    <x v="0"/>
    <x v="0"/>
    <x v="0"/>
    <m/>
    <m/>
    <n v="268911"/>
    <m/>
    <m/>
    <m/>
  </r>
  <r>
    <x v="490"/>
    <x v="4"/>
    <s v="유튜브 디스커버리"/>
    <x v="0"/>
    <x v="0"/>
    <x v="0"/>
    <m/>
    <m/>
    <n v="207328"/>
    <m/>
    <m/>
    <m/>
  </r>
  <r>
    <x v="490"/>
    <x v="4"/>
    <s v="유튜브 디스커버리"/>
    <x v="0"/>
    <x v="0"/>
    <x v="0"/>
    <m/>
    <m/>
    <n v="180"/>
    <m/>
    <m/>
    <m/>
  </r>
  <r>
    <x v="490"/>
    <x v="4"/>
    <s v="유튜브 디스커버리"/>
    <x v="0"/>
    <x v="0"/>
    <x v="0"/>
    <m/>
    <m/>
    <n v="23"/>
    <m/>
    <m/>
    <m/>
  </r>
  <r>
    <x v="490"/>
    <x v="4"/>
    <s v="유튜브 디스커버리"/>
    <x v="0"/>
    <x v="0"/>
    <x v="0"/>
    <m/>
    <m/>
    <n v="310548"/>
    <m/>
    <m/>
    <m/>
  </r>
  <r>
    <x v="491"/>
    <x v="1"/>
    <s v="페이스북/인스타그램"/>
    <x v="0"/>
    <x v="0"/>
    <x v="0"/>
    <m/>
    <m/>
    <n v="807176"/>
    <m/>
    <m/>
    <m/>
  </r>
  <r>
    <x v="491"/>
    <x v="1"/>
    <s v="페이스북/인스타그램"/>
    <x v="7"/>
    <x v="0"/>
    <x v="0"/>
    <m/>
    <m/>
    <n v="167794"/>
    <m/>
    <m/>
    <m/>
  </r>
  <r>
    <x v="491"/>
    <x v="1"/>
    <s v="페이스북/인스타그램"/>
    <x v="0"/>
    <x v="0"/>
    <x v="0"/>
    <m/>
    <m/>
    <n v="98123"/>
    <m/>
    <m/>
    <m/>
  </r>
  <r>
    <x v="491"/>
    <x v="1"/>
    <s v="네이버 GFA"/>
    <x v="0"/>
    <x v="0"/>
    <x v="0"/>
    <m/>
    <m/>
    <n v="1488740"/>
    <m/>
    <m/>
    <m/>
  </r>
  <r>
    <x v="491"/>
    <x v="1"/>
    <s v="네이버 GFA"/>
    <x v="7"/>
    <x v="0"/>
    <x v="0"/>
    <m/>
    <m/>
    <n v="54439.0909090909"/>
    <m/>
    <m/>
    <m/>
  </r>
  <r>
    <x v="491"/>
    <x v="1"/>
    <s v="네이버 GFA"/>
    <x v="0"/>
    <x v="0"/>
    <x v="0"/>
    <m/>
    <m/>
    <n v="93839.99999999999"/>
    <m/>
    <m/>
    <m/>
  </r>
  <r>
    <x v="491"/>
    <x v="1"/>
    <s v="네이버 GFA"/>
    <x v="7"/>
    <x v="0"/>
    <x v="0"/>
    <m/>
    <m/>
    <n v="268933.6363636364"/>
    <m/>
    <m/>
    <m/>
  </r>
  <r>
    <x v="491"/>
    <x v="1"/>
    <s v="네이버 GFA"/>
    <x v="7"/>
    <x v="0"/>
    <x v="0"/>
    <m/>
    <m/>
    <n v="1410914.545454545"/>
    <m/>
    <m/>
    <m/>
  </r>
  <r>
    <x v="491"/>
    <x v="1"/>
    <s v="네이버 GFA"/>
    <x v="0"/>
    <x v="0"/>
    <x v="0"/>
    <m/>
    <m/>
    <n v="2846732.727272727"/>
    <m/>
    <m/>
    <m/>
  </r>
  <r>
    <x v="491"/>
    <x v="1"/>
    <s v="네이버 쇼핑검색"/>
    <x v="10"/>
    <x v="0"/>
    <x v="0"/>
    <m/>
    <m/>
    <n v="51279.99999999999"/>
    <m/>
    <m/>
    <m/>
  </r>
  <r>
    <x v="491"/>
    <x v="1"/>
    <s v="네이버 쇼핑검색"/>
    <x v="10"/>
    <x v="0"/>
    <x v="0"/>
    <m/>
    <m/>
    <n v="4110"/>
    <m/>
    <m/>
    <m/>
  </r>
  <r>
    <x v="491"/>
    <x v="1"/>
    <s v="카카오광고"/>
    <x v="0"/>
    <x v="0"/>
    <x v="0"/>
    <m/>
    <m/>
    <n v="6799.999999999999"/>
    <m/>
    <m/>
    <m/>
  </r>
  <r>
    <x v="491"/>
    <x v="1"/>
    <s v="카카오광고"/>
    <x v="0"/>
    <x v="0"/>
    <x v="0"/>
    <m/>
    <m/>
    <n v="4680"/>
    <m/>
    <m/>
    <m/>
  </r>
  <r>
    <x v="491"/>
    <x v="1"/>
    <s v="카카오광고"/>
    <x v="0"/>
    <x v="0"/>
    <x v="0"/>
    <m/>
    <m/>
    <n v="104970"/>
    <m/>
    <m/>
    <m/>
  </r>
  <r>
    <x v="491"/>
    <x v="1"/>
    <s v="유튜브 디스커버리"/>
    <x v="0"/>
    <x v="0"/>
    <x v="0"/>
    <m/>
    <m/>
    <n v="267134"/>
    <m/>
    <m/>
    <m/>
  </r>
  <r>
    <x v="491"/>
    <x v="1"/>
    <s v="유튜브 디스커버리"/>
    <x v="0"/>
    <x v="0"/>
    <x v="0"/>
    <m/>
    <m/>
    <n v="275030"/>
    <m/>
    <m/>
    <m/>
  </r>
  <r>
    <x v="491"/>
    <x v="1"/>
    <s v="유튜브 디스커버리"/>
    <x v="0"/>
    <x v="0"/>
    <x v="0"/>
    <m/>
    <m/>
    <n v="312915"/>
    <m/>
    <m/>
    <m/>
  </r>
  <r>
    <x v="491"/>
    <x v="1"/>
    <s v="유튜브 디스커버리"/>
    <x v="0"/>
    <x v="0"/>
    <x v="0"/>
    <m/>
    <m/>
    <n v="206705"/>
    <m/>
    <m/>
    <m/>
  </r>
  <r>
    <x v="491"/>
    <x v="1"/>
    <s v="유튜브 디스커버리"/>
    <x v="0"/>
    <x v="0"/>
    <x v="0"/>
    <m/>
    <m/>
    <n v="1"/>
    <m/>
    <m/>
    <m/>
  </r>
  <r>
    <x v="491"/>
    <x v="1"/>
    <s v="유튜브 디스커버리"/>
    <x v="0"/>
    <x v="0"/>
    <x v="0"/>
    <m/>
    <m/>
    <n v="480"/>
    <m/>
    <m/>
    <m/>
  </r>
  <r>
    <x v="491"/>
    <x v="1"/>
    <s v="유튜브 디스커버리"/>
    <x v="7"/>
    <x v="0"/>
    <x v="0"/>
    <m/>
    <m/>
    <n v="66090"/>
    <m/>
    <m/>
    <m/>
  </r>
  <r>
    <x v="491"/>
    <x v="1"/>
    <s v="유튜브 디스커버리"/>
    <x v="0"/>
    <x v="0"/>
    <x v="0"/>
    <m/>
    <m/>
    <n v="219387"/>
    <m/>
    <m/>
    <m/>
  </r>
  <r>
    <x v="491"/>
    <x v="1"/>
    <s v="유튜브 디스커버리"/>
    <x v="0"/>
    <x v="0"/>
    <x v="0"/>
    <m/>
    <m/>
    <n v="132403"/>
    <m/>
    <m/>
    <m/>
  </r>
  <r>
    <x v="491"/>
    <x v="1"/>
    <s v="유튜브 디스커버리"/>
    <x v="0"/>
    <x v="0"/>
    <x v="0"/>
    <m/>
    <m/>
    <n v="279994"/>
    <m/>
    <m/>
    <m/>
  </r>
  <r>
    <x v="492"/>
    <x v="0"/>
    <s v="페이스북/인스타그램"/>
    <x v="0"/>
    <x v="0"/>
    <x v="0"/>
    <m/>
    <m/>
    <n v="97353"/>
    <m/>
    <m/>
    <m/>
  </r>
  <r>
    <x v="492"/>
    <x v="0"/>
    <s v="페이스북/인스타그램"/>
    <x v="7"/>
    <x v="0"/>
    <x v="0"/>
    <m/>
    <m/>
    <n v="164954"/>
    <m/>
    <m/>
    <m/>
  </r>
  <r>
    <x v="492"/>
    <x v="0"/>
    <s v="페이스북/인스타그램"/>
    <x v="0"/>
    <x v="0"/>
    <x v="0"/>
    <m/>
    <m/>
    <n v="729757"/>
    <m/>
    <m/>
    <m/>
  </r>
  <r>
    <x v="492"/>
    <x v="0"/>
    <s v="네이버 쇼핑검색"/>
    <x v="10"/>
    <x v="0"/>
    <x v="0"/>
    <m/>
    <m/>
    <n v="59879.99999999999"/>
    <m/>
    <m/>
    <m/>
  </r>
  <r>
    <x v="492"/>
    <x v="0"/>
    <s v="네이버 쇼핑검색"/>
    <x v="10"/>
    <x v="0"/>
    <x v="0"/>
    <m/>
    <m/>
    <n v="7289.999999999999"/>
    <m/>
    <m/>
    <m/>
  </r>
  <r>
    <x v="492"/>
    <x v="0"/>
    <s v="네이버 GFA"/>
    <x v="0"/>
    <x v="0"/>
    <x v="0"/>
    <m/>
    <m/>
    <n v="0"/>
    <m/>
    <m/>
    <m/>
  </r>
  <r>
    <x v="492"/>
    <x v="0"/>
    <s v="네이버 GFA"/>
    <x v="7"/>
    <x v="0"/>
    <x v="0"/>
    <m/>
    <m/>
    <n v="29533.63636363636"/>
    <m/>
    <m/>
    <m/>
  </r>
  <r>
    <x v="492"/>
    <x v="0"/>
    <s v="네이버 GFA"/>
    <x v="0"/>
    <x v="0"/>
    <x v="0"/>
    <m/>
    <m/>
    <n v="242373.6363636364"/>
    <m/>
    <m/>
    <m/>
  </r>
  <r>
    <x v="492"/>
    <x v="0"/>
    <s v="네이버 GFA"/>
    <x v="7"/>
    <x v="0"/>
    <x v="0"/>
    <m/>
    <m/>
    <n v="595274.5454545454"/>
    <m/>
    <m/>
    <m/>
  </r>
  <r>
    <x v="492"/>
    <x v="0"/>
    <s v="네이버 GFA"/>
    <x v="7"/>
    <x v="0"/>
    <x v="0"/>
    <m/>
    <m/>
    <n v="2198620.909090909"/>
    <m/>
    <m/>
    <m/>
  </r>
  <r>
    <x v="492"/>
    <x v="0"/>
    <s v="네이버 GFA"/>
    <x v="0"/>
    <x v="0"/>
    <x v="0"/>
    <m/>
    <m/>
    <n v="607031.8181818181"/>
    <m/>
    <m/>
    <m/>
  </r>
  <r>
    <x v="492"/>
    <x v="0"/>
    <s v="카카오광고"/>
    <x v="0"/>
    <x v="0"/>
    <x v="0"/>
    <m/>
    <m/>
    <n v="5769.999999999999"/>
    <m/>
    <m/>
    <m/>
  </r>
  <r>
    <x v="492"/>
    <x v="0"/>
    <s v="카카오광고"/>
    <x v="0"/>
    <x v="0"/>
    <x v="0"/>
    <m/>
    <m/>
    <n v="4380"/>
    <m/>
    <m/>
    <m/>
  </r>
  <r>
    <x v="492"/>
    <x v="0"/>
    <s v="카카오광고"/>
    <x v="0"/>
    <x v="0"/>
    <x v="0"/>
    <m/>
    <m/>
    <n v="153320"/>
    <m/>
    <m/>
    <m/>
  </r>
  <r>
    <x v="492"/>
    <x v="0"/>
    <s v="유튜브 디스커버리"/>
    <x v="0"/>
    <x v="0"/>
    <x v="0"/>
    <m/>
    <m/>
    <n v="417202"/>
    <m/>
    <m/>
    <m/>
  </r>
  <r>
    <x v="492"/>
    <x v="0"/>
    <s v="유튜브 디스커버리"/>
    <x v="0"/>
    <x v="0"/>
    <x v="0"/>
    <m/>
    <m/>
    <n v="205490"/>
    <m/>
    <m/>
    <m/>
  </r>
  <r>
    <x v="492"/>
    <x v="0"/>
    <s v="유튜브 디스커버리"/>
    <x v="0"/>
    <x v="0"/>
    <x v="0"/>
    <m/>
    <m/>
    <n v="290675"/>
    <m/>
    <m/>
    <m/>
  </r>
  <r>
    <x v="492"/>
    <x v="0"/>
    <s v="유튜브 디스커버리"/>
    <x v="0"/>
    <x v="0"/>
    <x v="0"/>
    <m/>
    <m/>
    <n v="410985"/>
    <m/>
    <m/>
    <m/>
  </r>
  <r>
    <x v="492"/>
    <x v="0"/>
    <s v="유튜브 디스커버리"/>
    <x v="0"/>
    <x v="0"/>
    <x v="0"/>
    <m/>
    <m/>
    <n v="271270"/>
    <m/>
    <m/>
    <m/>
  </r>
  <r>
    <x v="492"/>
    <x v="0"/>
    <s v="유튜브 디스커버리"/>
    <x v="0"/>
    <x v="0"/>
    <x v="0"/>
    <m/>
    <m/>
    <n v="144439"/>
    <m/>
    <m/>
    <m/>
  </r>
  <r>
    <x v="492"/>
    <x v="0"/>
    <s v="유튜브 디스커버리"/>
    <x v="0"/>
    <x v="0"/>
    <x v="0"/>
    <m/>
    <m/>
    <n v="130433"/>
    <m/>
    <m/>
    <m/>
  </r>
  <r>
    <x v="492"/>
    <x v="0"/>
    <s v="유튜브 디스커버리"/>
    <x v="0"/>
    <x v="0"/>
    <x v="0"/>
    <m/>
    <m/>
    <n v="26212"/>
    <m/>
    <m/>
    <m/>
  </r>
  <r>
    <x v="492"/>
    <x v="0"/>
    <s v="유튜브 디스커버리"/>
    <x v="7"/>
    <x v="0"/>
    <x v="0"/>
    <m/>
    <m/>
    <n v="101911"/>
    <m/>
    <m/>
    <m/>
  </r>
  <r>
    <x v="492"/>
    <x v="0"/>
    <s v="유튜브 디스커버리"/>
    <x v="0"/>
    <x v="0"/>
    <x v="0"/>
    <m/>
    <m/>
    <n v="1164"/>
    <m/>
    <m/>
    <m/>
  </r>
  <r>
    <x v="493"/>
    <x v="2"/>
    <s v="페이스북/인스타그램"/>
    <x v="0"/>
    <x v="0"/>
    <x v="0"/>
    <m/>
    <m/>
    <n v="75472"/>
    <m/>
    <m/>
    <m/>
  </r>
  <r>
    <x v="493"/>
    <x v="2"/>
    <s v="페이스북/인스타그램"/>
    <x v="7"/>
    <x v="0"/>
    <x v="0"/>
    <m/>
    <m/>
    <n v="167247"/>
    <m/>
    <m/>
    <m/>
  </r>
  <r>
    <x v="493"/>
    <x v="2"/>
    <s v="페이스북/인스타그램"/>
    <x v="0"/>
    <x v="0"/>
    <x v="0"/>
    <m/>
    <m/>
    <n v="596704"/>
    <m/>
    <m/>
    <m/>
  </r>
  <r>
    <x v="494"/>
    <x v="5"/>
    <s v="페이스북/인스타그램"/>
    <x v="0"/>
    <x v="0"/>
    <x v="0"/>
    <m/>
    <m/>
    <n v="48585"/>
    <m/>
    <m/>
    <m/>
  </r>
  <r>
    <x v="494"/>
    <x v="5"/>
    <s v="페이스북/인스타그램"/>
    <x v="7"/>
    <x v="0"/>
    <x v="0"/>
    <m/>
    <m/>
    <n v="175825"/>
    <m/>
    <m/>
    <m/>
  </r>
  <r>
    <x v="494"/>
    <x v="5"/>
    <s v="페이스북/인스타그램"/>
    <x v="0"/>
    <x v="0"/>
    <x v="0"/>
    <m/>
    <m/>
    <n v="387601"/>
    <m/>
    <m/>
    <m/>
  </r>
  <r>
    <x v="495"/>
    <x v="6"/>
    <s v="페이스북/인스타그램"/>
    <x v="0"/>
    <x v="0"/>
    <x v="0"/>
    <m/>
    <m/>
    <n v="48920"/>
    <m/>
    <m/>
    <m/>
  </r>
  <r>
    <x v="495"/>
    <x v="6"/>
    <s v="페이스북/인스타그램"/>
    <x v="7"/>
    <x v="0"/>
    <x v="0"/>
    <m/>
    <m/>
    <n v="195927"/>
    <m/>
    <m/>
    <m/>
  </r>
  <r>
    <x v="495"/>
    <x v="6"/>
    <s v="페이스북/인스타그램"/>
    <x v="0"/>
    <x v="0"/>
    <x v="0"/>
    <m/>
    <m/>
    <n v="497274"/>
    <m/>
    <m/>
    <m/>
  </r>
  <r>
    <x v="493"/>
    <x v="2"/>
    <s v="네이버 GFA"/>
    <x v="7"/>
    <x v="0"/>
    <x v="0"/>
    <m/>
    <m/>
    <n v="102388.1818181818"/>
    <m/>
    <m/>
    <m/>
  </r>
  <r>
    <x v="493"/>
    <x v="2"/>
    <s v="네이버 GFA"/>
    <x v="0"/>
    <x v="0"/>
    <x v="0"/>
    <m/>
    <m/>
    <n v="316981.8181818182"/>
    <m/>
    <m/>
    <m/>
  </r>
  <r>
    <x v="493"/>
    <x v="2"/>
    <s v="네이버 GFA"/>
    <x v="7"/>
    <x v="0"/>
    <x v="0"/>
    <m/>
    <m/>
    <n v="383296.3636363636"/>
    <m/>
    <m/>
    <m/>
  </r>
  <r>
    <x v="493"/>
    <x v="2"/>
    <s v="네이버 GFA"/>
    <x v="7"/>
    <x v="0"/>
    <x v="0"/>
    <m/>
    <m/>
    <n v="1432445.454545454"/>
    <m/>
    <m/>
    <m/>
  </r>
  <r>
    <x v="493"/>
    <x v="2"/>
    <s v="네이버 GFA"/>
    <x v="0"/>
    <x v="0"/>
    <x v="0"/>
    <m/>
    <m/>
    <n v="167582.7272727273"/>
    <m/>
    <m/>
    <m/>
  </r>
  <r>
    <x v="494"/>
    <x v="5"/>
    <s v="네이버 GFA"/>
    <x v="0"/>
    <x v="0"/>
    <x v="0"/>
    <m/>
    <m/>
    <n v="0"/>
    <m/>
    <m/>
    <m/>
  </r>
  <r>
    <x v="494"/>
    <x v="5"/>
    <s v="네이버 GFA"/>
    <x v="7"/>
    <x v="0"/>
    <x v="0"/>
    <m/>
    <m/>
    <n v="75820.90909090909"/>
    <m/>
    <m/>
    <m/>
  </r>
  <r>
    <x v="494"/>
    <x v="5"/>
    <s v="네이버 GFA"/>
    <x v="0"/>
    <x v="0"/>
    <x v="0"/>
    <m/>
    <m/>
    <n v="375879.9999999999"/>
    <m/>
    <m/>
    <m/>
  </r>
  <r>
    <x v="494"/>
    <x v="5"/>
    <s v="네이버 GFA"/>
    <x v="7"/>
    <x v="0"/>
    <x v="0"/>
    <m/>
    <m/>
    <n v="154457.2727272727"/>
    <m/>
    <m/>
    <m/>
  </r>
  <r>
    <x v="494"/>
    <x v="5"/>
    <s v="네이버 GFA"/>
    <x v="7"/>
    <x v="0"/>
    <x v="0"/>
    <m/>
    <m/>
    <n v="1181763.636363636"/>
    <m/>
    <m/>
    <m/>
  </r>
  <r>
    <x v="494"/>
    <x v="5"/>
    <s v="네이버 GFA"/>
    <x v="0"/>
    <x v="0"/>
    <x v="0"/>
    <m/>
    <m/>
    <n v="997950.9090909091"/>
    <m/>
    <m/>
    <m/>
  </r>
  <r>
    <x v="495"/>
    <x v="6"/>
    <s v="네이버 GFA"/>
    <x v="7"/>
    <x v="0"/>
    <x v="0"/>
    <m/>
    <m/>
    <n v="46575.45454545454"/>
    <m/>
    <m/>
    <m/>
  </r>
  <r>
    <x v="495"/>
    <x v="6"/>
    <s v="네이버 GFA"/>
    <x v="0"/>
    <x v="0"/>
    <x v="0"/>
    <m/>
    <m/>
    <n v="429888.1818181818"/>
    <m/>
    <m/>
    <m/>
  </r>
  <r>
    <x v="495"/>
    <x v="6"/>
    <s v="네이버 GFA"/>
    <x v="7"/>
    <x v="0"/>
    <x v="0"/>
    <m/>
    <m/>
    <n v="321972.7272727272"/>
    <m/>
    <m/>
    <m/>
  </r>
  <r>
    <x v="495"/>
    <x v="6"/>
    <s v="네이버 GFA"/>
    <x v="7"/>
    <x v="0"/>
    <x v="0"/>
    <m/>
    <m/>
    <n v="1008679.090909091"/>
    <m/>
    <m/>
    <m/>
  </r>
  <r>
    <x v="495"/>
    <x v="6"/>
    <s v="네이버 GFA"/>
    <x v="0"/>
    <x v="0"/>
    <x v="0"/>
    <m/>
    <m/>
    <n v="966384.5454545454"/>
    <m/>
    <m/>
    <m/>
  </r>
  <r>
    <x v="493"/>
    <x v="2"/>
    <s v="카카오광고"/>
    <x v="0"/>
    <x v="0"/>
    <x v="0"/>
    <m/>
    <m/>
    <n v="2800"/>
    <m/>
    <m/>
    <m/>
  </r>
  <r>
    <x v="493"/>
    <x v="2"/>
    <s v="카카오광고"/>
    <x v="0"/>
    <x v="0"/>
    <x v="0"/>
    <m/>
    <m/>
    <n v="4395"/>
    <m/>
    <m/>
    <m/>
  </r>
  <r>
    <x v="493"/>
    <x v="2"/>
    <s v="카카오광고"/>
    <x v="0"/>
    <x v="0"/>
    <x v="0"/>
    <m/>
    <m/>
    <n v="379849.9999999999"/>
    <m/>
    <m/>
    <m/>
  </r>
  <r>
    <x v="494"/>
    <x v="5"/>
    <s v="카카오광고"/>
    <x v="0"/>
    <x v="0"/>
    <x v="0"/>
    <m/>
    <m/>
    <n v="4260"/>
    <m/>
    <m/>
    <m/>
  </r>
  <r>
    <x v="494"/>
    <x v="5"/>
    <s v="카카오광고"/>
    <x v="0"/>
    <x v="0"/>
    <x v="0"/>
    <m/>
    <m/>
    <n v="2760"/>
    <m/>
    <m/>
    <m/>
  </r>
  <r>
    <x v="494"/>
    <x v="5"/>
    <s v="카카오광고"/>
    <x v="0"/>
    <x v="0"/>
    <x v="0"/>
    <m/>
    <m/>
    <n v="416729.9999999999"/>
    <m/>
    <m/>
    <m/>
  </r>
  <r>
    <x v="495"/>
    <x v="6"/>
    <s v="카카오광고"/>
    <x v="0"/>
    <x v="0"/>
    <x v="0"/>
    <m/>
    <m/>
    <n v="6579.999999999999"/>
    <m/>
    <m/>
    <m/>
  </r>
  <r>
    <x v="495"/>
    <x v="6"/>
    <s v="카카오광고"/>
    <x v="0"/>
    <x v="0"/>
    <x v="0"/>
    <m/>
    <m/>
    <n v="3225"/>
    <m/>
    <m/>
    <m/>
  </r>
  <r>
    <x v="495"/>
    <x v="6"/>
    <s v="카카오광고"/>
    <x v="0"/>
    <x v="0"/>
    <x v="0"/>
    <m/>
    <m/>
    <n v="374819.9999999999"/>
    <m/>
    <m/>
    <m/>
  </r>
  <r>
    <x v="493"/>
    <x v="2"/>
    <s v="유튜브 디스커버리"/>
    <x v="0"/>
    <x v="0"/>
    <x v="0"/>
    <m/>
    <m/>
    <n v="79353"/>
    <m/>
    <m/>
    <m/>
  </r>
  <r>
    <x v="493"/>
    <x v="2"/>
    <s v="유튜브 디스커버리"/>
    <x v="0"/>
    <x v="0"/>
    <x v="0"/>
    <m/>
    <m/>
    <n v="139935"/>
    <m/>
    <m/>
    <m/>
  </r>
  <r>
    <x v="493"/>
    <x v="2"/>
    <s v="유튜브 디스커버리"/>
    <x v="0"/>
    <x v="0"/>
    <x v="0"/>
    <m/>
    <m/>
    <n v="101375"/>
    <m/>
    <m/>
    <m/>
  </r>
  <r>
    <x v="493"/>
    <x v="2"/>
    <s v="유튜브 디스커버리"/>
    <x v="0"/>
    <x v="0"/>
    <x v="0"/>
    <m/>
    <m/>
    <n v="47133"/>
    <m/>
    <m/>
    <m/>
  </r>
  <r>
    <x v="493"/>
    <x v="2"/>
    <s v="유튜브 디스커버리"/>
    <x v="0"/>
    <x v="0"/>
    <x v="0"/>
    <m/>
    <m/>
    <n v="100791"/>
    <m/>
    <m/>
    <m/>
  </r>
  <r>
    <x v="493"/>
    <x v="2"/>
    <s v="유튜브 디스커버리"/>
    <x v="0"/>
    <x v="0"/>
    <x v="0"/>
    <m/>
    <m/>
    <n v="171056"/>
    <m/>
    <m/>
    <m/>
  </r>
  <r>
    <x v="493"/>
    <x v="2"/>
    <s v="유튜브 디스커버리"/>
    <x v="0"/>
    <x v="0"/>
    <x v="0"/>
    <m/>
    <m/>
    <n v="100101"/>
    <m/>
    <m/>
    <m/>
  </r>
  <r>
    <x v="493"/>
    <x v="2"/>
    <s v="유튜브 디스커버리"/>
    <x v="0"/>
    <x v="0"/>
    <x v="0"/>
    <m/>
    <m/>
    <n v="163458"/>
    <m/>
    <m/>
    <m/>
  </r>
  <r>
    <x v="493"/>
    <x v="2"/>
    <s v="유튜브 디스커버리"/>
    <x v="0"/>
    <x v="0"/>
    <x v="0"/>
    <m/>
    <m/>
    <n v="89352"/>
    <m/>
    <m/>
    <m/>
  </r>
  <r>
    <x v="493"/>
    <x v="2"/>
    <s v="유튜브 디스커버리"/>
    <x v="0"/>
    <x v="0"/>
    <x v="0"/>
    <m/>
    <m/>
    <n v="128337"/>
    <m/>
    <m/>
    <m/>
  </r>
  <r>
    <x v="493"/>
    <x v="2"/>
    <s v="유튜브 디스커버리"/>
    <x v="7"/>
    <x v="0"/>
    <x v="0"/>
    <m/>
    <m/>
    <n v="125316"/>
    <m/>
    <m/>
    <m/>
  </r>
  <r>
    <x v="493"/>
    <x v="2"/>
    <s v="유튜브 디스커버리"/>
    <x v="0"/>
    <x v="0"/>
    <x v="0"/>
    <m/>
    <m/>
    <n v="69132"/>
    <m/>
    <m/>
    <m/>
  </r>
  <r>
    <x v="494"/>
    <x v="5"/>
    <s v="유튜브 디스커버리"/>
    <x v="0"/>
    <x v="0"/>
    <x v="0"/>
    <m/>
    <m/>
    <n v="99942"/>
    <m/>
    <m/>
    <m/>
  </r>
  <r>
    <x v="494"/>
    <x v="5"/>
    <s v="유튜브 디스커버리"/>
    <x v="7"/>
    <x v="0"/>
    <x v="0"/>
    <m/>
    <m/>
    <n v="135187"/>
    <m/>
    <m/>
    <m/>
  </r>
  <r>
    <x v="494"/>
    <x v="5"/>
    <s v="유튜브 디스커버리"/>
    <x v="0"/>
    <x v="0"/>
    <x v="0"/>
    <m/>
    <m/>
    <n v="99830"/>
    <m/>
    <m/>
    <m/>
  </r>
  <r>
    <x v="494"/>
    <x v="5"/>
    <s v="유튜브 디스커버리"/>
    <x v="0"/>
    <x v="0"/>
    <x v="0"/>
    <m/>
    <m/>
    <n v="208193"/>
    <m/>
    <m/>
    <m/>
  </r>
  <r>
    <x v="494"/>
    <x v="5"/>
    <s v="유튜브 디스커버리"/>
    <x v="0"/>
    <x v="0"/>
    <x v="0"/>
    <m/>
    <m/>
    <n v="119502"/>
    <m/>
    <m/>
    <m/>
  </r>
  <r>
    <x v="494"/>
    <x v="5"/>
    <s v="유튜브 디스커버리"/>
    <x v="0"/>
    <x v="0"/>
    <x v="0"/>
    <m/>
    <m/>
    <n v="111919"/>
    <m/>
    <m/>
    <m/>
  </r>
  <r>
    <x v="494"/>
    <x v="5"/>
    <s v="유튜브 디스커버리"/>
    <x v="0"/>
    <x v="0"/>
    <x v="0"/>
    <m/>
    <m/>
    <n v="200630"/>
    <m/>
    <m/>
    <m/>
  </r>
  <r>
    <x v="494"/>
    <x v="5"/>
    <s v="유튜브 디스커버리"/>
    <x v="0"/>
    <x v="0"/>
    <x v="0"/>
    <m/>
    <m/>
    <n v="26749"/>
    <m/>
    <m/>
    <m/>
  </r>
  <r>
    <x v="494"/>
    <x v="5"/>
    <s v="유튜브 디스커버리"/>
    <x v="0"/>
    <x v="0"/>
    <x v="0"/>
    <m/>
    <m/>
    <n v="65304"/>
    <m/>
    <m/>
    <m/>
  </r>
  <r>
    <x v="494"/>
    <x v="5"/>
    <s v="유튜브 디스커버리"/>
    <x v="0"/>
    <x v="0"/>
    <x v="0"/>
    <m/>
    <m/>
    <n v="99983"/>
    <m/>
    <m/>
    <m/>
  </r>
  <r>
    <x v="494"/>
    <x v="5"/>
    <s v="유튜브 디스커버리"/>
    <x v="0"/>
    <x v="0"/>
    <x v="0"/>
    <m/>
    <m/>
    <n v="7627"/>
    <m/>
    <m/>
    <m/>
  </r>
  <r>
    <x v="495"/>
    <x v="6"/>
    <s v="유튜브 디스커버리"/>
    <x v="7"/>
    <x v="0"/>
    <x v="0"/>
    <m/>
    <m/>
    <n v="334629"/>
    <m/>
    <m/>
    <m/>
  </r>
  <r>
    <x v="495"/>
    <x v="6"/>
    <s v="유튜브 디스커버리"/>
    <x v="0"/>
    <x v="0"/>
    <x v="0"/>
    <m/>
    <m/>
    <n v="130479"/>
    <m/>
    <m/>
    <m/>
  </r>
  <r>
    <x v="495"/>
    <x v="6"/>
    <s v="유튜브 디스커버리"/>
    <x v="0"/>
    <x v="0"/>
    <x v="0"/>
    <m/>
    <m/>
    <n v="99985"/>
    <m/>
    <m/>
    <m/>
  </r>
  <r>
    <x v="495"/>
    <x v="6"/>
    <s v="유튜브 디스커버리"/>
    <x v="0"/>
    <x v="0"/>
    <x v="0"/>
    <m/>
    <m/>
    <n v="160420"/>
    <m/>
    <m/>
    <m/>
  </r>
  <r>
    <x v="495"/>
    <x v="6"/>
    <s v="유튜브 디스커버리"/>
    <x v="0"/>
    <x v="0"/>
    <x v="0"/>
    <m/>
    <m/>
    <n v="99999"/>
    <m/>
    <m/>
    <m/>
  </r>
  <r>
    <x v="495"/>
    <x v="6"/>
    <s v="유튜브 디스커버리"/>
    <x v="0"/>
    <x v="0"/>
    <x v="0"/>
    <m/>
    <m/>
    <n v="294078"/>
    <m/>
    <m/>
    <m/>
  </r>
  <r>
    <x v="495"/>
    <x v="6"/>
    <s v="유튜브 디스커버리"/>
    <x v="0"/>
    <x v="0"/>
    <x v="0"/>
    <m/>
    <m/>
    <n v="90709"/>
    <m/>
    <m/>
    <m/>
  </r>
  <r>
    <x v="495"/>
    <x v="6"/>
    <s v="유튜브 디스커버리"/>
    <x v="0"/>
    <x v="0"/>
    <x v="0"/>
    <m/>
    <m/>
    <n v="341893"/>
    <m/>
    <m/>
    <m/>
  </r>
  <r>
    <x v="495"/>
    <x v="6"/>
    <s v="유튜브 디스커버리"/>
    <x v="0"/>
    <x v="0"/>
    <x v="0"/>
    <m/>
    <m/>
    <n v="422080"/>
    <m/>
    <m/>
    <m/>
  </r>
  <r>
    <x v="495"/>
    <x v="6"/>
    <s v="유튜브 디스커버리"/>
    <x v="0"/>
    <x v="0"/>
    <x v="0"/>
    <m/>
    <m/>
    <n v="619962"/>
    <m/>
    <m/>
    <m/>
  </r>
  <r>
    <x v="495"/>
    <x v="6"/>
    <s v="유튜브 디스커버리"/>
    <x v="0"/>
    <x v="0"/>
    <x v="0"/>
    <m/>
    <m/>
    <n v="99860"/>
    <m/>
    <m/>
    <m/>
  </r>
  <r>
    <x v="495"/>
    <x v="6"/>
    <s v="유튜브 디스커버리"/>
    <x v="0"/>
    <x v="0"/>
    <x v="0"/>
    <m/>
    <m/>
    <n v="731"/>
    <m/>
    <m/>
    <m/>
  </r>
  <r>
    <x v="495"/>
    <x v="6"/>
    <s v="유튜브 디스커버리"/>
    <x v="0"/>
    <x v="0"/>
    <x v="0"/>
    <m/>
    <m/>
    <n v="200308"/>
    <m/>
    <m/>
    <m/>
  </r>
  <r>
    <x v="496"/>
    <x v="3"/>
    <s v="페이스북/인스타그램"/>
    <x v="0"/>
    <x v="0"/>
    <x v="0"/>
    <m/>
    <m/>
    <n v="48506"/>
    <m/>
    <m/>
    <m/>
  </r>
  <r>
    <x v="496"/>
    <x v="3"/>
    <s v="페이스북/인스타그램"/>
    <x v="7"/>
    <x v="0"/>
    <x v="0"/>
    <m/>
    <m/>
    <n v="239582"/>
    <m/>
    <m/>
    <m/>
  </r>
  <r>
    <x v="496"/>
    <x v="3"/>
    <s v="페이스북/인스타그램"/>
    <x v="0"/>
    <x v="0"/>
    <x v="0"/>
    <m/>
    <m/>
    <n v="845612"/>
    <m/>
    <m/>
    <m/>
  </r>
  <r>
    <x v="496"/>
    <x v="3"/>
    <s v="네이버 GFA"/>
    <x v="7"/>
    <x v="0"/>
    <x v="0"/>
    <m/>
    <m/>
    <n v="26399.09090909091"/>
    <m/>
    <m/>
    <m/>
  </r>
  <r>
    <x v="496"/>
    <x v="3"/>
    <s v="네이버 GFA"/>
    <x v="0"/>
    <x v="0"/>
    <x v="0"/>
    <m/>
    <m/>
    <n v="374303.6363636364"/>
    <m/>
    <m/>
    <m/>
  </r>
  <r>
    <x v="496"/>
    <x v="3"/>
    <s v="네이버 GFA"/>
    <x v="7"/>
    <x v="0"/>
    <x v="0"/>
    <m/>
    <m/>
    <n v="683280.9090909091"/>
    <m/>
    <m/>
    <m/>
  </r>
  <r>
    <x v="496"/>
    <x v="3"/>
    <s v="네이버 GFA"/>
    <x v="7"/>
    <x v="0"/>
    <x v="0"/>
    <m/>
    <m/>
    <n v="577695.4545454545"/>
    <m/>
    <m/>
    <m/>
  </r>
  <r>
    <x v="496"/>
    <x v="3"/>
    <s v="네이버 GFA"/>
    <x v="0"/>
    <x v="0"/>
    <x v="0"/>
    <m/>
    <m/>
    <n v="901785.4545454545"/>
    <m/>
    <m/>
    <m/>
  </r>
  <r>
    <x v="496"/>
    <x v="3"/>
    <s v="유튜브 디스커버리"/>
    <x v="0"/>
    <x v="0"/>
    <x v="0"/>
    <m/>
    <m/>
    <n v="244944"/>
    <m/>
    <m/>
    <m/>
  </r>
  <r>
    <x v="496"/>
    <x v="3"/>
    <s v="유튜브 디스커버리"/>
    <x v="0"/>
    <x v="0"/>
    <x v="0"/>
    <m/>
    <m/>
    <n v="212420"/>
    <m/>
    <m/>
    <m/>
  </r>
  <r>
    <x v="496"/>
    <x v="3"/>
    <s v="유튜브 디스커버리"/>
    <x v="0"/>
    <x v="0"/>
    <x v="0"/>
    <m/>
    <m/>
    <n v="161633"/>
    <m/>
    <m/>
    <m/>
  </r>
  <r>
    <x v="496"/>
    <x v="3"/>
    <s v="유튜브 디스커버리"/>
    <x v="0"/>
    <x v="0"/>
    <x v="0"/>
    <m/>
    <m/>
    <n v="103927"/>
    <m/>
    <m/>
    <m/>
  </r>
  <r>
    <x v="496"/>
    <x v="3"/>
    <s v="유튜브 디스커버리"/>
    <x v="0"/>
    <x v="0"/>
    <x v="0"/>
    <m/>
    <m/>
    <n v="11591"/>
    <m/>
    <m/>
    <m/>
  </r>
  <r>
    <x v="496"/>
    <x v="3"/>
    <s v="유튜브 디스커버리"/>
    <x v="0"/>
    <x v="0"/>
    <x v="0"/>
    <m/>
    <m/>
    <n v="355"/>
    <m/>
    <m/>
    <m/>
  </r>
  <r>
    <x v="496"/>
    <x v="3"/>
    <s v="유튜브 디스커버리"/>
    <x v="0"/>
    <x v="0"/>
    <x v="0"/>
    <m/>
    <m/>
    <n v="520650"/>
    <m/>
    <m/>
    <m/>
  </r>
  <r>
    <x v="496"/>
    <x v="3"/>
    <s v="유튜브 디스커버리"/>
    <x v="0"/>
    <x v="0"/>
    <x v="0"/>
    <m/>
    <m/>
    <n v="52013"/>
    <m/>
    <m/>
    <m/>
  </r>
  <r>
    <x v="496"/>
    <x v="3"/>
    <s v="유튜브 디스커버리"/>
    <x v="0"/>
    <x v="0"/>
    <x v="0"/>
    <m/>
    <m/>
    <n v="1184"/>
    <m/>
    <m/>
    <m/>
  </r>
  <r>
    <x v="496"/>
    <x v="3"/>
    <s v="유튜브 디스커버리"/>
    <x v="0"/>
    <x v="0"/>
    <x v="0"/>
    <m/>
    <m/>
    <n v="127676"/>
    <m/>
    <m/>
    <m/>
  </r>
  <r>
    <x v="496"/>
    <x v="3"/>
    <s v="유튜브 디스커버리"/>
    <x v="0"/>
    <x v="0"/>
    <x v="0"/>
    <m/>
    <m/>
    <n v="106771"/>
    <m/>
    <m/>
    <m/>
  </r>
  <r>
    <x v="496"/>
    <x v="3"/>
    <s v="유튜브 디스커버리"/>
    <x v="7"/>
    <x v="0"/>
    <x v="0"/>
    <m/>
    <m/>
    <n v="201765"/>
    <m/>
    <m/>
    <m/>
  </r>
  <r>
    <x v="496"/>
    <x v="3"/>
    <s v="유튜브 디스커버리"/>
    <x v="0"/>
    <x v="0"/>
    <x v="0"/>
    <m/>
    <m/>
    <n v="51219"/>
    <m/>
    <m/>
    <m/>
  </r>
  <r>
    <x v="496"/>
    <x v="3"/>
    <s v="유튜브 디스커버리"/>
    <x v="0"/>
    <x v="0"/>
    <x v="0"/>
    <m/>
    <m/>
    <n v="44662"/>
    <m/>
    <m/>
    <m/>
  </r>
  <r>
    <x v="496"/>
    <x v="3"/>
    <s v="유튜브 디스커버리"/>
    <x v="0"/>
    <x v="0"/>
    <x v="0"/>
    <m/>
    <m/>
    <n v="95051"/>
    <m/>
    <m/>
    <m/>
  </r>
  <r>
    <x v="496"/>
    <x v="3"/>
    <s v="카카오광고"/>
    <x v="0"/>
    <x v="0"/>
    <x v="0"/>
    <m/>
    <m/>
    <n v="90979.99999999999"/>
    <m/>
    <m/>
    <m/>
  </r>
  <r>
    <x v="496"/>
    <x v="3"/>
    <s v="카카오광고"/>
    <x v="0"/>
    <x v="0"/>
    <x v="0"/>
    <m/>
    <m/>
    <n v="44060"/>
    <m/>
    <m/>
    <m/>
  </r>
  <r>
    <x v="496"/>
    <x v="3"/>
    <s v="카카오광고"/>
    <x v="0"/>
    <x v="0"/>
    <x v="0"/>
    <m/>
    <m/>
    <n v="3540"/>
    <m/>
    <m/>
    <m/>
  </r>
  <r>
    <x v="496"/>
    <x v="3"/>
    <s v="카카오광고"/>
    <x v="0"/>
    <x v="0"/>
    <x v="0"/>
    <m/>
    <m/>
    <n v="225990"/>
    <m/>
    <m/>
    <m/>
  </r>
  <r>
    <x v="496"/>
    <x v="3"/>
    <s v="카카오광고"/>
    <x v="17"/>
    <x v="0"/>
    <x v="0"/>
    <m/>
    <m/>
    <n v="9350"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7"/>
    <x v="7"/>
    <m/>
    <x v="10"/>
    <x v="0"/>
    <x v="0"/>
    <m/>
    <m/>
    <m/>
    <m/>
    <m/>
    <m/>
  </r>
  <r>
    <x v="498"/>
    <x v="0"/>
    <m/>
    <x v="0"/>
    <x v="1"/>
    <x v="15"/>
    <n v="190801"/>
    <n v="190801"/>
    <m/>
    <n v="4"/>
    <n v="190801"/>
    <n v="80000"/>
  </r>
  <r>
    <x v="498"/>
    <x v="0"/>
    <m/>
    <x v="0"/>
    <x v="1"/>
    <x v="16"/>
    <n v="190801"/>
    <n v="190801"/>
    <m/>
    <n v="4"/>
    <n v="190801"/>
    <n v="140000"/>
  </r>
  <r>
    <x v="498"/>
    <x v="0"/>
    <m/>
    <x v="0"/>
    <x v="2"/>
    <x v="15"/>
    <n v="190801"/>
    <n v="190801"/>
    <m/>
    <n v="38"/>
    <n v="190801"/>
    <n v="760000"/>
  </r>
  <r>
    <x v="498"/>
    <x v="0"/>
    <m/>
    <x v="0"/>
    <x v="2"/>
    <x v="16"/>
    <n v="190801"/>
    <n v="190801"/>
    <m/>
    <n v="42"/>
    <n v="190801"/>
    <n v="1470000"/>
  </r>
  <r>
    <x v="499"/>
    <x v="2"/>
    <m/>
    <x v="0"/>
    <x v="1"/>
    <x v="15"/>
    <n v="190801"/>
    <n v="190801"/>
    <m/>
    <n v="3"/>
    <n v="190801"/>
    <n v="60000"/>
  </r>
  <r>
    <x v="499"/>
    <x v="2"/>
    <m/>
    <x v="0"/>
    <x v="1"/>
    <x v="16"/>
    <n v="190801"/>
    <n v="190801"/>
    <m/>
    <n v="3"/>
    <n v="190801"/>
    <n v="105000"/>
  </r>
  <r>
    <x v="499"/>
    <x v="2"/>
    <m/>
    <x v="0"/>
    <x v="2"/>
    <x v="15"/>
    <n v="190801"/>
    <n v="190801"/>
    <m/>
    <n v="35"/>
    <n v="190801"/>
    <n v="700000"/>
  </r>
  <r>
    <x v="499"/>
    <x v="2"/>
    <m/>
    <x v="0"/>
    <x v="2"/>
    <x v="16"/>
    <n v="190801"/>
    <n v="190801"/>
    <m/>
    <n v="31"/>
    <n v="190801"/>
    <n v="1085000"/>
  </r>
  <r>
    <x v="500"/>
    <x v="5"/>
    <m/>
    <x v="0"/>
    <x v="1"/>
    <x v="15"/>
    <n v="190801"/>
    <n v="190801"/>
    <m/>
    <n v="3"/>
    <n v="190801"/>
    <n v="60000"/>
  </r>
  <r>
    <x v="500"/>
    <x v="5"/>
    <m/>
    <x v="0"/>
    <x v="3"/>
    <x v="15"/>
    <n v="190801"/>
    <n v="190801"/>
    <m/>
    <n v="10"/>
    <n v="190801"/>
    <n v="0"/>
  </r>
  <r>
    <x v="500"/>
    <x v="5"/>
    <m/>
    <x v="0"/>
    <x v="2"/>
    <x v="15"/>
    <n v="190801"/>
    <n v="190801"/>
    <m/>
    <n v="39"/>
    <n v="190801"/>
    <n v="780000"/>
  </r>
  <r>
    <x v="501"/>
    <x v="6"/>
    <m/>
    <x v="0"/>
    <x v="2"/>
    <x v="16"/>
    <n v="190801"/>
    <n v="190801"/>
    <m/>
    <n v="35"/>
    <n v="190801"/>
    <n v="1225000"/>
  </r>
  <r>
    <x v="501"/>
    <x v="6"/>
    <m/>
    <x v="0"/>
    <x v="1"/>
    <x v="15"/>
    <n v="190801"/>
    <n v="190801"/>
    <m/>
    <n v="4"/>
    <n v="190801"/>
    <n v="80000"/>
  </r>
  <r>
    <x v="501"/>
    <x v="6"/>
    <m/>
    <x v="0"/>
    <x v="3"/>
    <x v="15"/>
    <n v="190801"/>
    <n v="190801"/>
    <m/>
    <n v="3"/>
    <n v="190801"/>
    <n v="0"/>
  </r>
  <r>
    <x v="501"/>
    <x v="6"/>
    <m/>
    <x v="0"/>
    <x v="2"/>
    <x v="15"/>
    <n v="190801"/>
    <n v="190801"/>
    <m/>
    <n v="37"/>
    <n v="190801"/>
    <n v="740000"/>
  </r>
  <r>
    <x v="502"/>
    <x v="3"/>
    <m/>
    <x v="0"/>
    <x v="2"/>
    <x v="16"/>
    <n v="190801"/>
    <n v="190801"/>
    <m/>
    <n v="27"/>
    <n v="190801"/>
    <n v="945000"/>
  </r>
  <r>
    <x v="502"/>
    <x v="3"/>
    <m/>
    <x v="0"/>
    <x v="1"/>
    <x v="15"/>
    <n v="190801"/>
    <n v="190801"/>
    <m/>
    <n v="8"/>
    <n v="190801"/>
    <n v="160000"/>
  </r>
  <r>
    <x v="502"/>
    <x v="3"/>
    <m/>
    <x v="0"/>
    <x v="2"/>
    <x v="15"/>
    <n v="190801"/>
    <n v="190801"/>
    <m/>
    <n v="31"/>
    <n v="190801"/>
    <n v="620000"/>
  </r>
  <r>
    <x v="25"/>
    <x v="4"/>
    <m/>
    <x v="0"/>
    <x v="2"/>
    <x v="15"/>
    <n v="190801"/>
    <n v="190801"/>
    <m/>
    <n v="55"/>
    <n v="190801"/>
    <n v="1100000"/>
  </r>
  <r>
    <x v="25"/>
    <x v="4"/>
    <m/>
    <x v="0"/>
    <x v="2"/>
    <x v="16"/>
    <n v="190801"/>
    <n v="190801"/>
    <m/>
    <n v="47"/>
    <n v="190801"/>
    <n v="1645000"/>
  </r>
  <r>
    <x v="25"/>
    <x v="4"/>
    <m/>
    <x v="0"/>
    <x v="1"/>
    <x v="15"/>
    <n v="190801"/>
    <n v="190801"/>
    <m/>
    <n v="25"/>
    <n v="190801"/>
    <n v="500000"/>
  </r>
  <r>
    <x v="26"/>
    <x v="1"/>
    <m/>
    <x v="0"/>
    <x v="2"/>
    <x v="15"/>
    <n v="190801"/>
    <n v="190801"/>
    <m/>
    <n v="54"/>
    <n v="190801"/>
    <n v="1080000"/>
  </r>
  <r>
    <x v="26"/>
    <x v="1"/>
    <m/>
    <x v="0"/>
    <x v="2"/>
    <x v="16"/>
    <n v="190801"/>
    <n v="190801"/>
    <m/>
    <n v="47"/>
    <n v="190801"/>
    <n v="1645000"/>
  </r>
  <r>
    <x v="26"/>
    <x v="1"/>
    <m/>
    <x v="0"/>
    <x v="1"/>
    <x v="15"/>
    <n v="190801"/>
    <n v="190801"/>
    <m/>
    <n v="2"/>
    <n v="190801"/>
    <n v="40000"/>
  </r>
  <r>
    <x v="27"/>
    <x v="0"/>
    <m/>
    <x v="0"/>
    <x v="2"/>
    <x v="15"/>
    <n v="190801"/>
    <n v="190801"/>
    <m/>
    <n v="36"/>
    <n v="190801"/>
    <n v="720000"/>
  </r>
  <r>
    <x v="27"/>
    <x v="0"/>
    <m/>
    <x v="0"/>
    <x v="2"/>
    <x v="16"/>
    <n v="190801"/>
    <n v="190801"/>
    <m/>
    <n v="41"/>
    <n v="190801"/>
    <n v="1435000"/>
  </r>
  <r>
    <x v="27"/>
    <x v="0"/>
    <m/>
    <x v="0"/>
    <x v="1"/>
    <x v="15"/>
    <n v="190801"/>
    <n v="190801"/>
    <m/>
    <n v="11"/>
    <n v="190801"/>
    <n v="220000"/>
  </r>
  <r>
    <x v="28"/>
    <x v="2"/>
    <m/>
    <x v="0"/>
    <x v="2"/>
    <x v="15"/>
    <n v="190801"/>
    <n v="190801"/>
    <m/>
    <n v="35"/>
    <n v="190801"/>
    <n v="700000"/>
  </r>
  <r>
    <x v="28"/>
    <x v="2"/>
    <m/>
    <x v="0"/>
    <x v="2"/>
    <x v="16"/>
    <n v="190801"/>
    <n v="190801"/>
    <m/>
    <n v="38"/>
    <n v="190801"/>
    <n v="1330000"/>
  </r>
  <r>
    <x v="28"/>
    <x v="2"/>
    <m/>
    <x v="0"/>
    <x v="3"/>
    <x v="15"/>
    <n v="190801"/>
    <n v="190801"/>
    <m/>
    <n v="2"/>
    <n v="190801"/>
    <n v="0"/>
  </r>
  <r>
    <x v="28"/>
    <x v="2"/>
    <m/>
    <x v="0"/>
    <x v="1"/>
    <x v="15"/>
    <n v="190801"/>
    <n v="190801"/>
    <m/>
    <n v="4"/>
    <n v="190801"/>
    <n v="80000"/>
  </r>
  <r>
    <x v="29"/>
    <x v="5"/>
    <m/>
    <x v="0"/>
    <x v="2"/>
    <x v="16"/>
    <n v="190801"/>
    <n v="190801"/>
    <m/>
    <n v="40"/>
    <n v="190801"/>
    <n v="1400000"/>
  </r>
  <r>
    <x v="29"/>
    <x v="5"/>
    <m/>
    <x v="0"/>
    <x v="1"/>
    <x v="15"/>
    <n v="190801"/>
    <n v="190801"/>
    <m/>
    <n v="8"/>
    <n v="190801"/>
    <n v="160000"/>
  </r>
  <r>
    <x v="29"/>
    <x v="5"/>
    <m/>
    <x v="0"/>
    <x v="2"/>
    <x v="15"/>
    <n v="190801"/>
    <n v="190801"/>
    <m/>
    <n v="31"/>
    <n v="190801"/>
    <n v="620000"/>
  </r>
  <r>
    <x v="30"/>
    <x v="6"/>
    <m/>
    <x v="0"/>
    <x v="2"/>
    <x v="16"/>
    <n v="190801"/>
    <n v="190801"/>
    <m/>
    <n v="27"/>
    <n v="190801"/>
    <n v="945000"/>
  </r>
  <r>
    <x v="30"/>
    <x v="6"/>
    <m/>
    <x v="0"/>
    <x v="1"/>
    <x v="15"/>
    <n v="190801"/>
    <n v="190801"/>
    <m/>
    <n v="4"/>
    <n v="190801"/>
    <n v="80000"/>
  </r>
  <r>
    <x v="30"/>
    <x v="6"/>
    <m/>
    <x v="0"/>
    <x v="3"/>
    <x v="15"/>
    <n v="190801"/>
    <n v="190801"/>
    <m/>
    <n v="3"/>
    <n v="190801"/>
    <n v="0"/>
  </r>
  <r>
    <x v="30"/>
    <x v="6"/>
    <m/>
    <x v="0"/>
    <x v="2"/>
    <x v="15"/>
    <n v="190801"/>
    <n v="190801"/>
    <m/>
    <n v="37"/>
    <n v="190801"/>
    <n v="740000"/>
  </r>
  <r>
    <x v="4"/>
    <x v="3"/>
    <m/>
    <x v="0"/>
    <x v="2"/>
    <x v="16"/>
    <n v="190801"/>
    <n v="190801"/>
    <m/>
    <n v="35"/>
    <n v="190801"/>
    <n v="1225000"/>
  </r>
  <r>
    <x v="4"/>
    <x v="3"/>
    <m/>
    <x v="0"/>
    <x v="1"/>
    <x v="15"/>
    <n v="190801"/>
    <n v="190801"/>
    <m/>
    <n v="3"/>
    <n v="190801"/>
    <n v="60000"/>
  </r>
  <r>
    <x v="4"/>
    <x v="3"/>
    <m/>
    <x v="0"/>
    <x v="2"/>
    <x v="15"/>
    <n v="190801"/>
    <n v="190801"/>
    <m/>
    <n v="39"/>
    <n v="190801"/>
    <n v="780000"/>
  </r>
  <r>
    <x v="4"/>
    <x v="3"/>
    <m/>
    <x v="0"/>
    <x v="3"/>
    <x v="15"/>
    <n v="190801"/>
    <n v="190801"/>
    <m/>
    <n v="10"/>
    <n v="190801"/>
    <n v="0"/>
  </r>
  <r>
    <x v="5"/>
    <x v="4"/>
    <m/>
    <x v="0"/>
    <x v="1"/>
    <x v="15"/>
    <n v="190801"/>
    <n v="190801"/>
    <m/>
    <n v="3"/>
    <n v="190801"/>
    <n v="60000"/>
  </r>
  <r>
    <x v="5"/>
    <x v="4"/>
    <m/>
    <x v="0"/>
    <x v="1"/>
    <x v="16"/>
    <n v="190801"/>
    <n v="190801"/>
    <m/>
    <n v="3"/>
    <n v="190801"/>
    <n v="105000"/>
  </r>
  <r>
    <x v="5"/>
    <x v="4"/>
    <m/>
    <x v="0"/>
    <x v="2"/>
    <x v="15"/>
    <n v="190801"/>
    <n v="190801"/>
    <m/>
    <n v="35"/>
    <n v="190801"/>
    <n v="700000"/>
  </r>
  <r>
    <x v="5"/>
    <x v="4"/>
    <m/>
    <x v="0"/>
    <x v="2"/>
    <x v="16"/>
    <n v="190801"/>
    <n v="190801"/>
    <m/>
    <n v="31"/>
    <n v="190801"/>
    <n v="1085000"/>
  </r>
  <r>
    <x v="6"/>
    <x v="1"/>
    <m/>
    <x v="0"/>
    <x v="1"/>
    <x v="15"/>
    <n v="190801"/>
    <n v="190801"/>
    <m/>
    <n v="4"/>
    <n v="190801"/>
    <n v="80000"/>
  </r>
  <r>
    <x v="6"/>
    <x v="1"/>
    <m/>
    <x v="0"/>
    <x v="1"/>
    <x v="16"/>
    <n v="190801"/>
    <n v="190801"/>
    <m/>
    <n v="4"/>
    <n v="190801"/>
    <n v="140000"/>
  </r>
  <r>
    <x v="6"/>
    <x v="1"/>
    <m/>
    <x v="0"/>
    <x v="2"/>
    <x v="15"/>
    <n v="190801"/>
    <n v="190801"/>
    <m/>
    <n v="38"/>
    <n v="190801"/>
    <n v="760000"/>
  </r>
  <r>
    <x v="6"/>
    <x v="1"/>
    <m/>
    <x v="0"/>
    <x v="2"/>
    <x v="16"/>
    <n v="190801"/>
    <n v="190801"/>
    <m/>
    <n v="42"/>
    <n v="190801"/>
    <n v="1470000"/>
  </r>
  <r>
    <x v="31"/>
    <x v="0"/>
    <m/>
    <x v="0"/>
    <x v="1"/>
    <x v="15"/>
    <n v="190801"/>
    <n v="190801"/>
    <m/>
    <n v="5"/>
    <n v="190801"/>
    <n v="100000"/>
  </r>
  <r>
    <x v="31"/>
    <x v="0"/>
    <m/>
    <x v="0"/>
    <x v="1"/>
    <x v="16"/>
    <n v="190801"/>
    <n v="190801"/>
    <m/>
    <n v="5"/>
    <n v="190801"/>
    <n v="175000"/>
  </r>
  <r>
    <x v="31"/>
    <x v="0"/>
    <m/>
    <x v="0"/>
    <x v="2"/>
    <x v="15"/>
    <n v="190801"/>
    <n v="190801"/>
    <m/>
    <n v="49"/>
    <n v="190801"/>
    <n v="980000"/>
  </r>
  <r>
    <x v="31"/>
    <x v="0"/>
    <m/>
    <x v="0"/>
    <x v="2"/>
    <x v="16"/>
    <n v="190801"/>
    <n v="190801"/>
    <m/>
    <n v="44"/>
    <n v="190801"/>
    <n v="1540000"/>
  </r>
  <r>
    <x v="7"/>
    <x v="2"/>
    <m/>
    <x v="0"/>
    <x v="1"/>
    <x v="15"/>
    <n v="190801"/>
    <n v="190801"/>
    <m/>
    <n v="5"/>
    <n v="190801"/>
    <n v="100000"/>
  </r>
  <r>
    <x v="7"/>
    <x v="2"/>
    <m/>
    <x v="0"/>
    <x v="1"/>
    <x v="16"/>
    <n v="190801"/>
    <n v="190801"/>
    <m/>
    <n v="5"/>
    <n v="190801"/>
    <n v="175000"/>
  </r>
  <r>
    <x v="7"/>
    <x v="2"/>
    <m/>
    <x v="0"/>
    <x v="2"/>
    <x v="15"/>
    <n v="190801"/>
    <n v="190801"/>
    <m/>
    <n v="46"/>
    <n v="190801"/>
    <n v="920000"/>
  </r>
  <r>
    <x v="7"/>
    <x v="2"/>
    <m/>
    <x v="0"/>
    <x v="2"/>
    <x v="16"/>
    <n v="190801"/>
    <n v="190801"/>
    <m/>
    <n v="49"/>
    <n v="190801"/>
    <n v="1715000"/>
  </r>
  <r>
    <x v="7"/>
    <x v="2"/>
    <m/>
    <x v="0"/>
    <x v="2"/>
    <x v="16"/>
    <n v="190801"/>
    <n v="190801"/>
    <m/>
    <n v="1"/>
    <n v="190801"/>
    <n v="35000"/>
  </r>
  <r>
    <x v="8"/>
    <x v="5"/>
    <m/>
    <x v="0"/>
    <x v="1"/>
    <x v="16"/>
    <n v="190801"/>
    <n v="190801"/>
    <m/>
    <n v="7"/>
    <n v="190801"/>
    <n v="245000"/>
  </r>
  <r>
    <x v="8"/>
    <x v="5"/>
    <m/>
    <x v="0"/>
    <x v="2"/>
    <x v="15"/>
    <n v="190801"/>
    <n v="190801"/>
    <m/>
    <n v="45"/>
    <n v="190801"/>
    <n v="900000"/>
  </r>
  <r>
    <x v="8"/>
    <x v="5"/>
    <m/>
    <x v="0"/>
    <x v="2"/>
    <x v="16"/>
    <n v="190801"/>
    <n v="190801"/>
    <m/>
    <n v="39"/>
    <n v="190801"/>
    <n v="1365000"/>
  </r>
  <r>
    <x v="9"/>
    <x v="6"/>
    <m/>
    <x v="0"/>
    <x v="1"/>
    <x v="15"/>
    <n v="190801"/>
    <n v="190801"/>
    <m/>
    <n v="1"/>
    <n v="190801"/>
    <n v="20000"/>
  </r>
  <r>
    <x v="9"/>
    <x v="6"/>
    <m/>
    <x v="0"/>
    <x v="1"/>
    <x v="16"/>
    <n v="190801"/>
    <n v="190801"/>
    <m/>
    <n v="4"/>
    <n v="190801"/>
    <n v="140000"/>
  </r>
  <r>
    <x v="9"/>
    <x v="6"/>
    <m/>
    <x v="0"/>
    <x v="2"/>
    <x v="15"/>
    <n v="190801"/>
    <n v="190801"/>
    <m/>
    <n v="48"/>
    <n v="190801"/>
    <n v="960000"/>
  </r>
  <r>
    <x v="9"/>
    <x v="6"/>
    <m/>
    <x v="0"/>
    <x v="2"/>
    <x v="16"/>
    <n v="190801"/>
    <n v="190801"/>
    <m/>
    <n v="66"/>
    <n v="190801"/>
    <n v="2310000"/>
  </r>
  <r>
    <x v="9"/>
    <x v="6"/>
    <m/>
    <x v="0"/>
    <x v="2"/>
    <x v="16"/>
    <n v="190801"/>
    <n v="190801"/>
    <m/>
    <n v="2"/>
    <n v="190801"/>
    <n v="70000"/>
  </r>
  <r>
    <x v="10"/>
    <x v="3"/>
    <m/>
    <x v="0"/>
    <x v="1"/>
    <x v="15"/>
    <n v="190801"/>
    <n v="190801"/>
    <m/>
    <n v="6"/>
    <n v="190801"/>
    <n v="120000"/>
  </r>
  <r>
    <x v="10"/>
    <x v="3"/>
    <m/>
    <x v="0"/>
    <x v="1"/>
    <x v="16"/>
    <n v="190801"/>
    <n v="190801"/>
    <m/>
    <n v="6"/>
    <n v="190801"/>
    <n v="210000"/>
  </r>
  <r>
    <x v="10"/>
    <x v="3"/>
    <m/>
    <x v="0"/>
    <x v="2"/>
    <x v="15"/>
    <n v="190801"/>
    <n v="190801"/>
    <m/>
    <n v="60"/>
    <n v="190801"/>
    <n v="1200000"/>
  </r>
  <r>
    <x v="10"/>
    <x v="3"/>
    <m/>
    <x v="0"/>
    <x v="2"/>
    <x v="16"/>
    <n v="190801"/>
    <n v="190801"/>
    <m/>
    <n v="69"/>
    <n v="190801"/>
    <n v="2415000"/>
  </r>
  <r>
    <x v="10"/>
    <x v="3"/>
    <m/>
    <x v="0"/>
    <x v="2"/>
    <x v="16"/>
    <n v="190801"/>
    <n v="190801"/>
    <m/>
    <n v="2"/>
    <n v="190801"/>
    <n v="70000"/>
  </r>
  <r>
    <x v="11"/>
    <x v="4"/>
    <m/>
    <x v="0"/>
    <x v="1"/>
    <x v="15"/>
    <n v="190801"/>
    <n v="190801"/>
    <m/>
    <n v="5"/>
    <n v="190801"/>
    <n v="100000"/>
  </r>
  <r>
    <x v="11"/>
    <x v="4"/>
    <m/>
    <x v="0"/>
    <x v="1"/>
    <x v="16"/>
    <n v="190801"/>
    <n v="190801"/>
    <m/>
    <n v="5"/>
    <n v="190801"/>
    <n v="175000"/>
  </r>
  <r>
    <x v="11"/>
    <x v="4"/>
    <m/>
    <x v="0"/>
    <x v="2"/>
    <x v="15"/>
    <n v="190801"/>
    <n v="190801"/>
    <m/>
    <n v="56"/>
    <n v="190801"/>
    <n v="1120000"/>
  </r>
  <r>
    <x v="11"/>
    <x v="4"/>
    <m/>
    <x v="0"/>
    <x v="2"/>
    <x v="16"/>
    <n v="190801"/>
    <n v="190801"/>
    <m/>
    <n v="36"/>
    <n v="190801"/>
    <n v="1260000"/>
  </r>
  <r>
    <x v="11"/>
    <x v="4"/>
    <m/>
    <x v="0"/>
    <x v="2"/>
    <x v="16"/>
    <n v="190801"/>
    <n v="190801"/>
    <m/>
    <n v="6"/>
    <n v="190801"/>
    <n v="210000"/>
  </r>
  <r>
    <x v="12"/>
    <x v="1"/>
    <m/>
    <x v="0"/>
    <x v="1"/>
    <x v="15"/>
    <n v="190801"/>
    <n v="190801"/>
    <m/>
    <n v="3"/>
    <n v="190801"/>
    <n v="60000"/>
  </r>
  <r>
    <x v="12"/>
    <x v="1"/>
    <m/>
    <x v="0"/>
    <x v="1"/>
    <x v="16"/>
    <n v="190801"/>
    <n v="190801"/>
    <m/>
    <n v="2"/>
    <n v="190801"/>
    <n v="70000"/>
  </r>
  <r>
    <x v="12"/>
    <x v="1"/>
    <m/>
    <x v="0"/>
    <x v="2"/>
    <x v="15"/>
    <n v="190801"/>
    <n v="190801"/>
    <m/>
    <n v="63"/>
    <n v="190801"/>
    <n v="1260000"/>
  </r>
  <r>
    <x v="12"/>
    <x v="1"/>
    <m/>
    <x v="0"/>
    <x v="2"/>
    <x v="16"/>
    <n v="190801"/>
    <n v="190801"/>
    <m/>
    <n v="43"/>
    <n v="190801"/>
    <n v="1505000"/>
  </r>
  <r>
    <x v="12"/>
    <x v="1"/>
    <m/>
    <x v="0"/>
    <x v="2"/>
    <x v="16"/>
    <n v="190801"/>
    <n v="190801"/>
    <m/>
    <n v="8"/>
    <n v="190801"/>
    <n v="280000"/>
  </r>
  <r>
    <x v="13"/>
    <x v="0"/>
    <m/>
    <x v="0"/>
    <x v="1"/>
    <x v="15"/>
    <n v="190801"/>
    <n v="190801"/>
    <m/>
    <n v="2"/>
    <n v="190801"/>
    <n v="40000"/>
  </r>
  <r>
    <x v="13"/>
    <x v="0"/>
    <m/>
    <x v="0"/>
    <x v="1"/>
    <x v="16"/>
    <n v="190801"/>
    <n v="190801"/>
    <m/>
    <n v="2"/>
    <n v="190801"/>
    <n v="70000"/>
  </r>
  <r>
    <x v="13"/>
    <x v="0"/>
    <m/>
    <x v="0"/>
    <x v="2"/>
    <x v="15"/>
    <n v="190801"/>
    <n v="190801"/>
    <m/>
    <n v="46"/>
    <n v="190801"/>
    <n v="920000"/>
  </r>
  <r>
    <x v="13"/>
    <x v="0"/>
    <m/>
    <x v="0"/>
    <x v="2"/>
    <x v="16"/>
    <n v="190801"/>
    <n v="190801"/>
    <m/>
    <n v="51"/>
    <n v="190801"/>
    <n v="1785000"/>
  </r>
  <r>
    <x v="13"/>
    <x v="0"/>
    <m/>
    <x v="0"/>
    <x v="2"/>
    <x v="16"/>
    <n v="190801"/>
    <n v="190801"/>
    <m/>
    <n v="4"/>
    <n v="190801"/>
    <n v="140000"/>
  </r>
  <r>
    <x v="14"/>
    <x v="2"/>
    <m/>
    <x v="0"/>
    <x v="1"/>
    <x v="15"/>
    <n v="190801"/>
    <n v="190801"/>
    <m/>
    <n v="3"/>
    <n v="190801"/>
    <n v="60000"/>
  </r>
  <r>
    <x v="14"/>
    <x v="2"/>
    <m/>
    <x v="0"/>
    <x v="1"/>
    <x v="16"/>
    <n v="190801"/>
    <n v="190801"/>
    <m/>
    <n v="1"/>
    <n v="190801"/>
    <n v="35000"/>
  </r>
  <r>
    <x v="14"/>
    <x v="2"/>
    <m/>
    <x v="0"/>
    <x v="2"/>
    <x v="15"/>
    <n v="190801"/>
    <n v="190801"/>
    <m/>
    <n v="43"/>
    <n v="190801"/>
    <n v="860000"/>
  </r>
  <r>
    <x v="14"/>
    <x v="2"/>
    <m/>
    <x v="0"/>
    <x v="2"/>
    <x v="16"/>
    <n v="190801"/>
    <n v="190801"/>
    <m/>
    <n v="49"/>
    <n v="190801"/>
    <n v="1715000"/>
  </r>
  <r>
    <x v="14"/>
    <x v="2"/>
    <m/>
    <x v="0"/>
    <x v="2"/>
    <x v="16"/>
    <n v="190801"/>
    <n v="190801"/>
    <m/>
    <n v="7"/>
    <n v="190801"/>
    <n v="245000"/>
  </r>
  <r>
    <x v="15"/>
    <x v="5"/>
    <m/>
    <x v="0"/>
    <x v="1"/>
    <x v="15"/>
    <n v="190801"/>
    <n v="190801"/>
    <m/>
    <n v="3"/>
    <n v="190801"/>
    <n v="60000"/>
  </r>
  <r>
    <x v="15"/>
    <x v="5"/>
    <m/>
    <x v="0"/>
    <x v="1"/>
    <x v="16"/>
    <n v="190801"/>
    <n v="190801"/>
    <m/>
    <n v="3"/>
    <n v="190801"/>
    <n v="105000"/>
  </r>
  <r>
    <x v="15"/>
    <x v="5"/>
    <m/>
    <x v="0"/>
    <x v="2"/>
    <x v="15"/>
    <n v="190801"/>
    <n v="190801"/>
    <m/>
    <n v="51"/>
    <n v="190801"/>
    <n v="1020000"/>
  </r>
  <r>
    <x v="15"/>
    <x v="5"/>
    <m/>
    <x v="0"/>
    <x v="2"/>
    <x v="16"/>
    <n v="190801"/>
    <n v="190801"/>
    <m/>
    <n v="42"/>
    <n v="190801"/>
    <n v="1470000"/>
  </r>
  <r>
    <x v="15"/>
    <x v="5"/>
    <m/>
    <x v="0"/>
    <x v="2"/>
    <x v="16"/>
    <n v="190801"/>
    <n v="190801"/>
    <m/>
    <n v="3"/>
    <n v="190801"/>
    <n v="105000"/>
  </r>
  <r>
    <x v="16"/>
    <x v="6"/>
    <m/>
    <x v="0"/>
    <x v="1"/>
    <x v="15"/>
    <n v="190801"/>
    <n v="190801"/>
    <m/>
    <n v="2"/>
    <n v="190801"/>
    <n v="40000"/>
  </r>
  <r>
    <x v="16"/>
    <x v="6"/>
    <m/>
    <x v="0"/>
    <x v="1"/>
    <x v="16"/>
    <n v="190801"/>
    <n v="190801"/>
    <m/>
    <n v="4"/>
    <n v="190801"/>
    <n v="140000"/>
  </r>
  <r>
    <x v="16"/>
    <x v="6"/>
    <m/>
    <x v="0"/>
    <x v="2"/>
    <x v="15"/>
    <n v="190801"/>
    <n v="190801"/>
    <m/>
    <n v="53"/>
    <n v="190801"/>
    <n v="1060000"/>
  </r>
  <r>
    <x v="16"/>
    <x v="6"/>
    <m/>
    <x v="0"/>
    <x v="2"/>
    <x v="16"/>
    <n v="190801"/>
    <n v="190801"/>
    <m/>
    <n v="44"/>
    <n v="190801"/>
    <n v="1540000"/>
  </r>
  <r>
    <x v="16"/>
    <x v="6"/>
    <m/>
    <x v="0"/>
    <x v="2"/>
    <x v="16"/>
    <n v="190801"/>
    <n v="190801"/>
    <m/>
    <n v="6"/>
    <n v="190801"/>
    <n v="210000"/>
  </r>
  <r>
    <x v="17"/>
    <x v="3"/>
    <m/>
    <x v="0"/>
    <x v="1"/>
    <x v="16"/>
    <n v="190801"/>
    <n v="190801"/>
    <m/>
    <n v="2"/>
    <n v="190801"/>
    <n v="70000"/>
  </r>
  <r>
    <x v="17"/>
    <x v="3"/>
    <m/>
    <x v="0"/>
    <x v="2"/>
    <x v="15"/>
    <n v="190801"/>
    <n v="190801"/>
    <m/>
    <n v="40"/>
    <n v="190801"/>
    <n v="800000"/>
  </r>
  <r>
    <x v="17"/>
    <x v="3"/>
    <m/>
    <x v="0"/>
    <x v="2"/>
    <x v="16"/>
    <n v="190801"/>
    <n v="190801"/>
    <m/>
    <n v="66"/>
    <n v="190801"/>
    <n v="2310000"/>
  </r>
  <r>
    <x v="17"/>
    <x v="3"/>
    <m/>
    <x v="0"/>
    <x v="2"/>
    <x v="16"/>
    <n v="190801"/>
    <n v="190801"/>
    <m/>
    <n v="12"/>
    <n v="190801"/>
    <n v="420000"/>
  </r>
  <r>
    <x v="18"/>
    <x v="4"/>
    <m/>
    <x v="0"/>
    <x v="1"/>
    <x v="15"/>
    <n v="190801"/>
    <n v="190801"/>
    <m/>
    <n v="2"/>
    <n v="190801"/>
    <n v="40000"/>
  </r>
  <r>
    <x v="18"/>
    <x v="4"/>
    <m/>
    <x v="0"/>
    <x v="1"/>
    <x v="16"/>
    <n v="190801"/>
    <n v="190801"/>
    <m/>
    <n v="1"/>
    <n v="190801"/>
    <n v="35000"/>
  </r>
  <r>
    <x v="18"/>
    <x v="4"/>
    <m/>
    <x v="0"/>
    <x v="2"/>
    <x v="17"/>
    <n v="190801"/>
    <n v="190801"/>
    <m/>
    <n v="2"/>
    <n v="190801"/>
    <n v="66000"/>
  </r>
  <r>
    <x v="18"/>
    <x v="4"/>
    <m/>
    <x v="0"/>
    <x v="2"/>
    <x v="15"/>
    <n v="190801"/>
    <n v="190801"/>
    <m/>
    <n v="48"/>
    <n v="190801"/>
    <n v="960000"/>
  </r>
  <r>
    <x v="18"/>
    <x v="4"/>
    <m/>
    <x v="0"/>
    <x v="2"/>
    <x v="16"/>
    <n v="190801"/>
    <n v="190801"/>
    <m/>
    <n v="43"/>
    <n v="190801"/>
    <n v="1505000"/>
  </r>
  <r>
    <x v="18"/>
    <x v="4"/>
    <m/>
    <x v="0"/>
    <x v="2"/>
    <x v="16"/>
    <n v="190801"/>
    <n v="190801"/>
    <m/>
    <n v="4"/>
    <n v="190801"/>
    <n v="140000"/>
  </r>
  <r>
    <x v="19"/>
    <x v="1"/>
    <m/>
    <x v="0"/>
    <x v="1"/>
    <x v="15"/>
    <n v="190801"/>
    <n v="190801"/>
    <m/>
    <n v="1"/>
    <n v="190801"/>
    <n v="20000"/>
  </r>
  <r>
    <x v="19"/>
    <x v="1"/>
    <m/>
    <x v="0"/>
    <x v="1"/>
    <x v="16"/>
    <n v="190801"/>
    <n v="190801"/>
    <m/>
    <n v="1"/>
    <n v="190801"/>
    <n v="35000"/>
  </r>
  <r>
    <x v="19"/>
    <x v="1"/>
    <m/>
    <x v="0"/>
    <x v="3"/>
    <x v="17"/>
    <n v="190801"/>
    <n v="190801"/>
    <m/>
    <n v="1"/>
    <n v="190801"/>
    <n v="0"/>
  </r>
  <r>
    <x v="19"/>
    <x v="1"/>
    <m/>
    <x v="0"/>
    <x v="2"/>
    <x v="17"/>
    <n v="190801"/>
    <n v="190801"/>
    <m/>
    <n v="58"/>
    <n v="190801"/>
    <n v="1914000"/>
  </r>
  <r>
    <x v="19"/>
    <x v="1"/>
    <m/>
    <x v="0"/>
    <x v="2"/>
    <x v="15"/>
    <n v="190801"/>
    <n v="190801"/>
    <m/>
    <n v="40"/>
    <n v="190801"/>
    <n v="800000"/>
  </r>
  <r>
    <x v="19"/>
    <x v="1"/>
    <m/>
    <x v="0"/>
    <x v="2"/>
    <x v="16"/>
    <n v="190801"/>
    <n v="190801"/>
    <m/>
    <n v="35"/>
    <n v="190801"/>
    <n v="1225000"/>
  </r>
  <r>
    <x v="19"/>
    <x v="1"/>
    <m/>
    <x v="0"/>
    <x v="2"/>
    <x v="16"/>
    <n v="190801"/>
    <n v="190801"/>
    <m/>
    <n v="1"/>
    <n v="190801"/>
    <n v="35000"/>
  </r>
  <r>
    <x v="19"/>
    <x v="1"/>
    <m/>
    <x v="0"/>
    <x v="2"/>
    <x v="16"/>
    <n v="190801"/>
    <n v="190801"/>
    <m/>
    <n v="5"/>
    <n v="190801"/>
    <n v="175000"/>
  </r>
  <r>
    <x v="0"/>
    <x v="0"/>
    <m/>
    <x v="0"/>
    <x v="1"/>
    <x v="15"/>
    <n v="190801"/>
    <n v="190801"/>
    <m/>
    <n v="3"/>
    <n v="190801"/>
    <n v="60000"/>
  </r>
  <r>
    <x v="0"/>
    <x v="0"/>
    <m/>
    <x v="0"/>
    <x v="1"/>
    <x v="16"/>
    <n v="190801"/>
    <n v="190801"/>
    <m/>
    <n v="4"/>
    <n v="190801"/>
    <n v="140000"/>
  </r>
  <r>
    <x v="0"/>
    <x v="0"/>
    <m/>
    <x v="0"/>
    <x v="2"/>
    <x v="17"/>
    <n v="190801"/>
    <n v="190801"/>
    <m/>
    <n v="36"/>
    <n v="190801"/>
    <n v="1188000"/>
  </r>
  <r>
    <x v="0"/>
    <x v="0"/>
    <m/>
    <x v="0"/>
    <x v="2"/>
    <x v="15"/>
    <n v="190801"/>
    <n v="190801"/>
    <m/>
    <n v="26"/>
    <n v="190801"/>
    <n v="520000"/>
  </r>
  <r>
    <x v="0"/>
    <x v="0"/>
    <m/>
    <x v="0"/>
    <x v="2"/>
    <x v="16"/>
    <n v="190801"/>
    <n v="190801"/>
    <m/>
    <n v="13"/>
    <n v="190801"/>
    <n v="455000"/>
  </r>
  <r>
    <x v="20"/>
    <x v="2"/>
    <m/>
    <x v="0"/>
    <x v="1"/>
    <x v="15"/>
    <n v="190801"/>
    <n v="190801"/>
    <m/>
    <n v="1"/>
    <n v="190801"/>
    <n v="20000"/>
  </r>
  <r>
    <x v="20"/>
    <x v="2"/>
    <m/>
    <x v="0"/>
    <x v="1"/>
    <x v="16"/>
    <n v="190801"/>
    <n v="190801"/>
    <m/>
    <n v="1"/>
    <n v="190801"/>
    <n v="35000"/>
  </r>
  <r>
    <x v="20"/>
    <x v="2"/>
    <m/>
    <x v="0"/>
    <x v="3"/>
    <x v="17"/>
    <n v="190801"/>
    <n v="190801"/>
    <m/>
    <n v="6"/>
    <n v="190801"/>
    <n v="0"/>
  </r>
  <r>
    <x v="20"/>
    <x v="2"/>
    <m/>
    <x v="0"/>
    <x v="2"/>
    <x v="17"/>
    <n v="190801"/>
    <n v="190801"/>
    <m/>
    <n v="24"/>
    <n v="190801"/>
    <n v="792000"/>
  </r>
  <r>
    <x v="20"/>
    <x v="2"/>
    <m/>
    <x v="0"/>
    <x v="2"/>
    <x v="15"/>
    <n v="190801"/>
    <n v="190801"/>
    <m/>
    <n v="27"/>
    <n v="190801"/>
    <n v="540000"/>
  </r>
  <r>
    <x v="20"/>
    <x v="2"/>
    <m/>
    <x v="0"/>
    <x v="2"/>
    <x v="17"/>
    <n v="190801"/>
    <n v="190801"/>
    <m/>
    <n v="30"/>
    <n v="190801"/>
    <n v="990000"/>
  </r>
  <r>
    <x v="21"/>
    <x v="5"/>
    <m/>
    <x v="0"/>
    <x v="1"/>
    <x v="16"/>
    <n v="190801"/>
    <n v="190801"/>
    <m/>
    <n v="4"/>
    <n v="190801"/>
    <n v="140000"/>
  </r>
  <r>
    <x v="21"/>
    <x v="5"/>
    <m/>
    <x v="0"/>
    <x v="2"/>
    <x v="17"/>
    <n v="190801"/>
    <n v="190801"/>
    <m/>
    <n v="16"/>
    <n v="190801"/>
    <n v="528000"/>
  </r>
  <r>
    <x v="21"/>
    <x v="5"/>
    <m/>
    <x v="0"/>
    <x v="2"/>
    <x v="15"/>
    <n v="190801"/>
    <n v="190801"/>
    <m/>
    <n v="26"/>
    <n v="190801"/>
    <n v="520000"/>
  </r>
  <r>
    <x v="21"/>
    <x v="5"/>
    <m/>
    <x v="0"/>
    <x v="2"/>
    <x v="17"/>
    <n v="190801"/>
    <n v="190801"/>
    <m/>
    <n v="24"/>
    <n v="190801"/>
    <n v="792000"/>
  </r>
  <r>
    <x v="22"/>
    <x v="6"/>
    <m/>
    <x v="0"/>
    <x v="1"/>
    <x v="15"/>
    <n v="190801"/>
    <n v="190801"/>
    <m/>
    <n v="1"/>
    <n v="190801"/>
    <n v="20000"/>
  </r>
  <r>
    <x v="22"/>
    <x v="6"/>
    <m/>
    <x v="0"/>
    <x v="1"/>
    <x v="16"/>
    <n v="190801"/>
    <n v="190801"/>
    <m/>
    <n v="2"/>
    <n v="190801"/>
    <n v="70000"/>
  </r>
  <r>
    <x v="22"/>
    <x v="6"/>
    <m/>
    <x v="0"/>
    <x v="2"/>
    <x v="17"/>
    <n v="190801"/>
    <n v="190801"/>
    <m/>
    <n v="20"/>
    <n v="190801"/>
    <n v="660000"/>
  </r>
  <r>
    <x v="22"/>
    <x v="6"/>
    <m/>
    <x v="0"/>
    <x v="2"/>
    <x v="15"/>
    <n v="190801"/>
    <n v="190801"/>
    <m/>
    <n v="36"/>
    <n v="190801"/>
    <n v="720000"/>
  </r>
  <r>
    <x v="22"/>
    <x v="6"/>
    <m/>
    <x v="0"/>
    <x v="2"/>
    <x v="17"/>
    <n v="190801"/>
    <n v="190801"/>
    <m/>
    <n v="26"/>
    <n v="190801"/>
    <n v="858000"/>
  </r>
  <r>
    <x v="23"/>
    <x v="3"/>
    <m/>
    <x v="0"/>
    <x v="1"/>
    <x v="16"/>
    <n v="190801"/>
    <n v="190801"/>
    <m/>
    <n v="7"/>
    <n v="190801"/>
    <n v="245000"/>
  </r>
  <r>
    <x v="23"/>
    <x v="3"/>
    <m/>
    <x v="0"/>
    <x v="2"/>
    <x v="17"/>
    <n v="190801"/>
    <n v="190801"/>
    <m/>
    <n v="24"/>
    <n v="190801"/>
    <n v="792000"/>
  </r>
  <r>
    <x v="23"/>
    <x v="3"/>
    <m/>
    <x v="0"/>
    <x v="2"/>
    <x v="15"/>
    <n v="190801"/>
    <n v="190801"/>
    <m/>
    <n v="27"/>
    <n v="190801"/>
    <n v="540000"/>
  </r>
  <r>
    <x v="23"/>
    <x v="3"/>
    <m/>
    <x v="0"/>
    <x v="2"/>
    <x v="17"/>
    <n v="190801"/>
    <n v="190801"/>
    <m/>
    <n v="26"/>
    <n v="190801"/>
    <n v="858000"/>
  </r>
  <r>
    <x v="24"/>
    <x v="4"/>
    <m/>
    <x v="0"/>
    <x v="1"/>
    <x v="16"/>
    <n v="190801"/>
    <n v="190801"/>
    <m/>
    <n v="7"/>
    <n v="190801"/>
    <n v="245000"/>
  </r>
  <r>
    <x v="24"/>
    <x v="4"/>
    <m/>
    <x v="0"/>
    <x v="3"/>
    <x v="17"/>
    <n v="190801"/>
    <n v="190801"/>
    <m/>
    <n v="1"/>
    <n v="190801"/>
    <n v="0"/>
  </r>
  <r>
    <x v="24"/>
    <x v="4"/>
    <m/>
    <x v="0"/>
    <x v="2"/>
    <x v="17"/>
    <n v="190801"/>
    <n v="190801"/>
    <m/>
    <n v="19"/>
    <n v="190801"/>
    <n v="627000"/>
  </r>
  <r>
    <x v="24"/>
    <x v="4"/>
    <m/>
    <x v="0"/>
    <x v="2"/>
    <x v="15"/>
    <n v="190801"/>
    <n v="190801"/>
    <m/>
    <n v="35"/>
    <n v="190801"/>
    <n v="700000"/>
  </r>
  <r>
    <x v="24"/>
    <x v="4"/>
    <m/>
    <x v="0"/>
    <x v="2"/>
    <x v="17"/>
    <n v="190801"/>
    <n v="190801"/>
    <m/>
    <n v="24"/>
    <n v="190801"/>
    <n v="792000"/>
  </r>
  <r>
    <x v="1"/>
    <x v="1"/>
    <m/>
    <x v="0"/>
    <x v="1"/>
    <x v="16"/>
    <n v="190801"/>
    <n v="190801"/>
    <m/>
    <n v="1"/>
    <n v="190801"/>
    <n v="35000"/>
  </r>
  <r>
    <x v="1"/>
    <x v="1"/>
    <m/>
    <x v="0"/>
    <x v="2"/>
    <x v="15"/>
    <n v="190801"/>
    <n v="190801"/>
    <m/>
    <n v="43"/>
    <n v="190801"/>
    <n v="860000"/>
  </r>
  <r>
    <x v="1"/>
    <x v="1"/>
    <m/>
    <x v="0"/>
    <x v="2"/>
    <x v="17"/>
    <n v="190801"/>
    <n v="190801"/>
    <m/>
    <n v="25"/>
    <n v="190801"/>
    <n v="825000"/>
  </r>
  <r>
    <x v="2"/>
    <x v="0"/>
    <m/>
    <x v="0"/>
    <x v="2"/>
    <x v="17"/>
    <n v="190801"/>
    <n v="190801"/>
    <m/>
    <n v="20"/>
    <n v="190801"/>
    <n v="660000"/>
  </r>
  <r>
    <x v="2"/>
    <x v="0"/>
    <m/>
    <x v="0"/>
    <x v="2"/>
    <x v="15"/>
    <n v="190801"/>
    <n v="190801"/>
    <m/>
    <n v="20"/>
    <n v="190801"/>
    <n v="400000"/>
  </r>
  <r>
    <x v="2"/>
    <x v="0"/>
    <m/>
    <x v="0"/>
    <x v="2"/>
    <x v="17"/>
    <n v="190801"/>
    <n v="190801"/>
    <m/>
    <n v="34"/>
    <n v="190801"/>
    <n v="1122000"/>
  </r>
  <r>
    <x v="3"/>
    <x v="2"/>
    <m/>
    <x v="0"/>
    <x v="1"/>
    <x v="15"/>
    <n v="190801"/>
    <n v="190801"/>
    <m/>
    <n v="3"/>
    <n v="190801"/>
    <n v="60000"/>
  </r>
  <r>
    <x v="3"/>
    <x v="2"/>
    <m/>
    <x v="0"/>
    <x v="1"/>
    <x v="16"/>
    <n v="190801"/>
    <n v="190801"/>
    <m/>
    <n v="5"/>
    <n v="190801"/>
    <n v="175000"/>
  </r>
  <r>
    <x v="3"/>
    <x v="2"/>
    <m/>
    <x v="0"/>
    <x v="2"/>
    <x v="17"/>
    <n v="190801"/>
    <n v="190801"/>
    <m/>
    <n v="45"/>
    <n v="190801"/>
    <n v="1485000"/>
  </r>
  <r>
    <x v="3"/>
    <x v="2"/>
    <m/>
    <x v="0"/>
    <x v="2"/>
    <x v="15"/>
    <n v="190801"/>
    <n v="190801"/>
    <m/>
    <n v="35"/>
    <n v="190801"/>
    <n v="700000"/>
  </r>
  <r>
    <x v="3"/>
    <x v="2"/>
    <m/>
    <x v="0"/>
    <x v="2"/>
    <x v="16"/>
    <n v="190801"/>
    <n v="190801"/>
    <m/>
    <n v="4"/>
    <n v="190801"/>
    <n v="140000"/>
  </r>
  <r>
    <x v="32"/>
    <x v="5"/>
    <m/>
    <x v="0"/>
    <x v="1"/>
    <x v="16"/>
    <n v="190801"/>
    <n v="190801"/>
    <m/>
    <n v="3"/>
    <n v="190801"/>
    <n v="105000"/>
  </r>
  <r>
    <x v="32"/>
    <x v="5"/>
    <m/>
    <x v="0"/>
    <x v="2"/>
    <x v="17"/>
    <n v="190801"/>
    <n v="190801"/>
    <m/>
    <n v="15"/>
    <n v="190801"/>
    <n v="495000"/>
  </r>
  <r>
    <x v="32"/>
    <x v="5"/>
    <m/>
    <x v="0"/>
    <x v="2"/>
    <x v="15"/>
    <n v="190801"/>
    <n v="190801"/>
    <m/>
    <n v="26"/>
    <n v="190801"/>
    <n v="520000"/>
  </r>
  <r>
    <x v="32"/>
    <x v="5"/>
    <m/>
    <x v="0"/>
    <x v="2"/>
    <x v="16"/>
    <n v="190801"/>
    <n v="190801"/>
    <m/>
    <n v="17"/>
    <n v="190801"/>
    <n v="595000"/>
  </r>
  <r>
    <x v="33"/>
    <x v="6"/>
    <m/>
    <x v="0"/>
    <x v="1"/>
    <x v="15"/>
    <n v="190801"/>
    <n v="190801"/>
    <m/>
    <n v="1"/>
    <n v="190801"/>
    <n v="20000"/>
  </r>
  <r>
    <x v="33"/>
    <x v="6"/>
    <m/>
    <x v="0"/>
    <x v="1"/>
    <x v="16"/>
    <n v="190801"/>
    <n v="190801"/>
    <m/>
    <n v="6"/>
    <n v="190801"/>
    <n v="210000"/>
  </r>
  <r>
    <x v="33"/>
    <x v="6"/>
    <m/>
    <x v="0"/>
    <x v="2"/>
    <x v="17"/>
    <n v="190801"/>
    <n v="190801"/>
    <m/>
    <n v="21"/>
    <n v="190801"/>
    <n v="693000"/>
  </r>
  <r>
    <x v="33"/>
    <x v="6"/>
    <m/>
    <x v="0"/>
    <x v="2"/>
    <x v="15"/>
    <n v="190801"/>
    <n v="190801"/>
    <m/>
    <n v="27"/>
    <n v="190801"/>
    <n v="540000"/>
  </r>
  <r>
    <x v="33"/>
    <x v="6"/>
    <m/>
    <x v="0"/>
    <x v="2"/>
    <x v="16"/>
    <n v="190801"/>
    <n v="190801"/>
    <m/>
    <n v="18"/>
    <n v="190801"/>
    <n v="630000"/>
  </r>
  <r>
    <x v="34"/>
    <x v="3"/>
    <m/>
    <x v="0"/>
    <x v="1"/>
    <x v="15"/>
    <n v="190801"/>
    <n v="190801"/>
    <m/>
    <n v="1"/>
    <n v="190801"/>
    <n v="20000"/>
  </r>
  <r>
    <x v="34"/>
    <x v="3"/>
    <m/>
    <x v="0"/>
    <x v="1"/>
    <x v="16"/>
    <n v="190801"/>
    <n v="190801"/>
    <m/>
    <n v="9"/>
    <n v="190801"/>
    <n v="315000"/>
  </r>
  <r>
    <x v="34"/>
    <x v="3"/>
    <m/>
    <x v="0"/>
    <x v="2"/>
    <x v="17"/>
    <n v="190801"/>
    <n v="190801"/>
    <m/>
    <n v="25"/>
    <n v="190801"/>
    <n v="825000"/>
  </r>
  <r>
    <x v="34"/>
    <x v="3"/>
    <m/>
    <x v="0"/>
    <x v="2"/>
    <x v="15"/>
    <n v="190801"/>
    <n v="190801"/>
    <m/>
    <n v="24"/>
    <n v="190801"/>
    <n v="480000"/>
  </r>
  <r>
    <x v="34"/>
    <x v="3"/>
    <m/>
    <x v="0"/>
    <x v="2"/>
    <x v="16"/>
    <n v="190801"/>
    <n v="190801"/>
    <m/>
    <n v="28"/>
    <n v="190801"/>
    <n v="980000"/>
  </r>
  <r>
    <x v="34"/>
    <x v="3"/>
    <m/>
    <x v="0"/>
    <x v="3"/>
    <x v="15"/>
    <n v="190801"/>
    <n v="190801"/>
    <m/>
    <n v="6"/>
    <n v="190801"/>
    <n v="0"/>
  </r>
  <r>
    <x v="35"/>
    <x v="4"/>
    <m/>
    <x v="0"/>
    <x v="1"/>
    <x v="15"/>
    <n v="190801"/>
    <n v="190801"/>
    <m/>
    <n v="1"/>
    <n v="190801"/>
    <n v="20000"/>
  </r>
  <r>
    <x v="35"/>
    <x v="4"/>
    <m/>
    <x v="0"/>
    <x v="1"/>
    <x v="16"/>
    <n v="190801"/>
    <n v="190801"/>
    <m/>
    <n v="2"/>
    <n v="190801"/>
    <n v="70000"/>
  </r>
  <r>
    <x v="35"/>
    <x v="4"/>
    <m/>
    <x v="0"/>
    <x v="2"/>
    <x v="17"/>
    <n v="190801"/>
    <n v="190801"/>
    <m/>
    <n v="23"/>
    <n v="190801"/>
    <n v="759000"/>
  </r>
  <r>
    <x v="35"/>
    <x v="4"/>
    <m/>
    <x v="0"/>
    <x v="2"/>
    <x v="15"/>
    <n v="190801"/>
    <n v="190801"/>
    <m/>
    <n v="40"/>
    <n v="190801"/>
    <n v="800000"/>
  </r>
  <r>
    <x v="35"/>
    <x v="4"/>
    <m/>
    <x v="0"/>
    <x v="2"/>
    <x v="16"/>
    <n v="190801"/>
    <n v="190801"/>
    <m/>
    <n v="17"/>
    <n v="190801"/>
    <n v="595000"/>
  </r>
  <r>
    <x v="36"/>
    <x v="1"/>
    <m/>
    <x v="0"/>
    <x v="1"/>
    <x v="15"/>
    <n v="190801"/>
    <n v="190801"/>
    <m/>
    <n v="1"/>
    <n v="190801"/>
    <n v="20000"/>
  </r>
  <r>
    <x v="36"/>
    <x v="1"/>
    <m/>
    <x v="0"/>
    <x v="1"/>
    <x v="16"/>
    <n v="190801"/>
    <n v="190801"/>
    <m/>
    <n v="5"/>
    <n v="190801"/>
    <n v="175000"/>
  </r>
  <r>
    <x v="36"/>
    <x v="1"/>
    <m/>
    <x v="0"/>
    <x v="2"/>
    <x v="17"/>
    <n v="190801"/>
    <n v="190801"/>
    <m/>
    <n v="21"/>
    <n v="190801"/>
    <n v="693000"/>
  </r>
  <r>
    <x v="36"/>
    <x v="1"/>
    <m/>
    <x v="0"/>
    <x v="2"/>
    <x v="15"/>
    <n v="190801"/>
    <n v="190801"/>
    <m/>
    <n v="32"/>
    <n v="190801"/>
    <n v="640000"/>
  </r>
  <r>
    <x v="36"/>
    <x v="1"/>
    <m/>
    <x v="0"/>
    <x v="2"/>
    <x v="16"/>
    <n v="190801"/>
    <n v="190801"/>
    <m/>
    <n v="22"/>
    <n v="190801"/>
    <n v="770000"/>
  </r>
  <r>
    <x v="37"/>
    <x v="0"/>
    <m/>
    <x v="0"/>
    <x v="1"/>
    <x v="15"/>
    <n v="190801"/>
    <n v="190801"/>
    <m/>
    <n v="2"/>
    <n v="190801"/>
    <n v="40000"/>
  </r>
  <r>
    <x v="37"/>
    <x v="0"/>
    <m/>
    <x v="0"/>
    <x v="1"/>
    <x v="16"/>
    <n v="190801"/>
    <n v="190801"/>
    <m/>
    <n v="3"/>
    <n v="190801"/>
    <n v="105000"/>
  </r>
  <r>
    <x v="37"/>
    <x v="0"/>
    <m/>
    <x v="0"/>
    <x v="2"/>
    <x v="17"/>
    <n v="190801"/>
    <n v="190801"/>
    <m/>
    <n v="18"/>
    <n v="190801"/>
    <n v="594000"/>
  </r>
  <r>
    <x v="37"/>
    <x v="0"/>
    <m/>
    <x v="0"/>
    <x v="2"/>
    <x v="15"/>
    <n v="190801"/>
    <n v="190801"/>
    <m/>
    <n v="34"/>
    <n v="190801"/>
    <n v="680000"/>
  </r>
  <r>
    <x v="37"/>
    <x v="0"/>
    <m/>
    <x v="0"/>
    <x v="2"/>
    <x v="16"/>
    <n v="190801"/>
    <n v="190801"/>
    <m/>
    <n v="24"/>
    <n v="190801"/>
    <n v="840000"/>
  </r>
  <r>
    <x v="37"/>
    <x v="0"/>
    <m/>
    <x v="0"/>
    <x v="3"/>
    <x v="15"/>
    <n v="190801"/>
    <n v="190801"/>
    <m/>
    <n v="1"/>
    <n v="190801"/>
    <n v="0"/>
  </r>
  <r>
    <x v="38"/>
    <x v="2"/>
    <m/>
    <x v="0"/>
    <x v="1"/>
    <x v="16"/>
    <n v="190801"/>
    <n v="190801"/>
    <m/>
    <n v="5"/>
    <n v="190801"/>
    <n v="175000"/>
  </r>
  <r>
    <x v="38"/>
    <x v="2"/>
    <m/>
    <x v="0"/>
    <x v="2"/>
    <x v="17"/>
    <n v="190801"/>
    <n v="190801"/>
    <m/>
    <n v="8"/>
    <n v="190801"/>
    <n v="264000"/>
  </r>
  <r>
    <x v="38"/>
    <x v="2"/>
    <m/>
    <x v="0"/>
    <x v="2"/>
    <x v="15"/>
    <n v="190801"/>
    <n v="190801"/>
    <m/>
    <n v="27"/>
    <n v="190801"/>
    <n v="540000"/>
  </r>
  <r>
    <x v="38"/>
    <x v="2"/>
    <m/>
    <x v="0"/>
    <x v="2"/>
    <x v="16"/>
    <n v="190801"/>
    <n v="190801"/>
    <m/>
    <n v="12"/>
    <n v="190801"/>
    <n v="420000"/>
  </r>
  <r>
    <x v="38"/>
    <x v="2"/>
    <m/>
    <x v="0"/>
    <x v="3"/>
    <x v="15"/>
    <n v="190801"/>
    <n v="190801"/>
    <m/>
    <n v="20"/>
    <n v="190801"/>
    <n v="0"/>
  </r>
  <r>
    <x v="39"/>
    <x v="5"/>
    <m/>
    <x v="0"/>
    <x v="1"/>
    <x v="16"/>
    <n v="190801"/>
    <n v="190801"/>
    <m/>
    <n v="3"/>
    <n v="190801"/>
    <n v="105000"/>
  </r>
  <r>
    <x v="39"/>
    <x v="5"/>
    <m/>
    <x v="0"/>
    <x v="2"/>
    <x v="17"/>
    <n v="190801"/>
    <n v="190801"/>
    <m/>
    <n v="13"/>
    <n v="190801"/>
    <n v="429000"/>
  </r>
  <r>
    <x v="39"/>
    <x v="5"/>
    <m/>
    <x v="0"/>
    <x v="2"/>
    <x v="15"/>
    <n v="190801"/>
    <n v="190801"/>
    <m/>
    <n v="27"/>
    <n v="190801"/>
    <n v="540000"/>
  </r>
  <r>
    <x v="39"/>
    <x v="5"/>
    <m/>
    <x v="0"/>
    <x v="2"/>
    <x v="16"/>
    <n v="190801"/>
    <n v="190801"/>
    <m/>
    <n v="19"/>
    <n v="190801"/>
    <n v="665000"/>
  </r>
  <r>
    <x v="40"/>
    <x v="6"/>
    <m/>
    <x v="0"/>
    <x v="1"/>
    <x v="15"/>
    <n v="190801"/>
    <n v="190801"/>
    <m/>
    <n v="1"/>
    <n v="190801"/>
    <n v="20000"/>
  </r>
  <r>
    <x v="40"/>
    <x v="6"/>
    <m/>
    <x v="0"/>
    <x v="1"/>
    <x v="16"/>
    <n v="190801"/>
    <n v="190801"/>
    <m/>
    <n v="4"/>
    <n v="190801"/>
    <n v="140000"/>
  </r>
  <r>
    <x v="40"/>
    <x v="6"/>
    <m/>
    <x v="0"/>
    <x v="2"/>
    <x v="17"/>
    <n v="190801"/>
    <n v="190801"/>
    <m/>
    <n v="20"/>
    <n v="190801"/>
    <n v="660000"/>
  </r>
  <r>
    <x v="40"/>
    <x v="6"/>
    <m/>
    <x v="0"/>
    <x v="2"/>
    <x v="15"/>
    <n v="190801"/>
    <n v="190801"/>
    <m/>
    <n v="33"/>
    <n v="190801"/>
    <n v="660000"/>
  </r>
  <r>
    <x v="40"/>
    <x v="6"/>
    <m/>
    <x v="0"/>
    <x v="2"/>
    <x v="16"/>
    <n v="190801"/>
    <n v="190801"/>
    <m/>
    <n v="25"/>
    <n v="190801"/>
    <n v="875000"/>
  </r>
  <r>
    <x v="41"/>
    <x v="3"/>
    <m/>
    <x v="0"/>
    <x v="1"/>
    <x v="15"/>
    <n v="190801"/>
    <n v="190801"/>
    <m/>
    <n v="1"/>
    <n v="190801"/>
    <n v="20000"/>
  </r>
  <r>
    <x v="41"/>
    <x v="3"/>
    <m/>
    <x v="0"/>
    <x v="1"/>
    <x v="16"/>
    <n v="190801"/>
    <n v="190801"/>
    <m/>
    <n v="6"/>
    <n v="190801"/>
    <n v="210000"/>
  </r>
  <r>
    <x v="41"/>
    <x v="3"/>
    <m/>
    <x v="0"/>
    <x v="2"/>
    <x v="17"/>
    <n v="190801"/>
    <n v="190801"/>
    <m/>
    <n v="28"/>
    <n v="190801"/>
    <n v="924000"/>
  </r>
  <r>
    <x v="41"/>
    <x v="3"/>
    <m/>
    <x v="0"/>
    <x v="2"/>
    <x v="15"/>
    <n v="190801"/>
    <n v="190801"/>
    <m/>
    <n v="36"/>
    <n v="190801"/>
    <n v="720000"/>
  </r>
  <r>
    <x v="41"/>
    <x v="3"/>
    <m/>
    <x v="0"/>
    <x v="2"/>
    <x v="16"/>
    <n v="190801"/>
    <n v="190801"/>
    <m/>
    <n v="16"/>
    <n v="190801"/>
    <n v="560000"/>
  </r>
  <r>
    <x v="42"/>
    <x v="4"/>
    <m/>
    <x v="0"/>
    <x v="1"/>
    <x v="15"/>
    <n v="190801"/>
    <n v="190801"/>
    <m/>
    <n v="2"/>
    <n v="190801"/>
    <n v="40000"/>
  </r>
  <r>
    <x v="42"/>
    <x v="4"/>
    <m/>
    <x v="0"/>
    <x v="1"/>
    <x v="16"/>
    <n v="190801"/>
    <n v="190801"/>
    <m/>
    <n v="7"/>
    <n v="190801"/>
    <n v="245000"/>
  </r>
  <r>
    <x v="42"/>
    <x v="4"/>
    <m/>
    <x v="0"/>
    <x v="2"/>
    <x v="17"/>
    <n v="190801"/>
    <n v="190801"/>
    <m/>
    <n v="29"/>
    <n v="190801"/>
    <n v="957000"/>
  </r>
  <r>
    <x v="42"/>
    <x v="4"/>
    <m/>
    <x v="0"/>
    <x v="2"/>
    <x v="15"/>
    <n v="190801"/>
    <n v="190801"/>
    <m/>
    <n v="41"/>
    <n v="190801"/>
    <n v="820000"/>
  </r>
  <r>
    <x v="42"/>
    <x v="4"/>
    <m/>
    <x v="0"/>
    <x v="2"/>
    <x v="16"/>
    <n v="190801"/>
    <n v="190801"/>
    <m/>
    <n v="26"/>
    <n v="190801"/>
    <n v="910000"/>
  </r>
  <r>
    <x v="42"/>
    <x v="4"/>
    <m/>
    <x v="0"/>
    <x v="3"/>
    <x v="15"/>
    <n v="190801"/>
    <n v="190801"/>
    <m/>
    <n v="4"/>
    <n v="190801"/>
    <n v="0"/>
  </r>
  <r>
    <x v="43"/>
    <x v="1"/>
    <m/>
    <x v="0"/>
    <x v="1"/>
    <x v="16"/>
    <n v="190801"/>
    <n v="190801"/>
    <m/>
    <n v="1"/>
    <n v="190801"/>
    <n v="35000"/>
  </r>
  <r>
    <x v="43"/>
    <x v="1"/>
    <m/>
    <x v="0"/>
    <x v="2"/>
    <x v="17"/>
    <n v="190801"/>
    <n v="190801"/>
    <m/>
    <n v="31"/>
    <n v="190801"/>
    <n v="1023000"/>
  </r>
  <r>
    <x v="43"/>
    <x v="1"/>
    <m/>
    <x v="0"/>
    <x v="2"/>
    <x v="15"/>
    <n v="190801"/>
    <n v="190801"/>
    <m/>
    <n v="36"/>
    <n v="190801"/>
    <n v="720000"/>
  </r>
  <r>
    <x v="43"/>
    <x v="1"/>
    <m/>
    <x v="0"/>
    <x v="2"/>
    <x v="16"/>
    <n v="190801"/>
    <n v="190801"/>
    <m/>
    <n v="25"/>
    <n v="190801"/>
    <n v="875000"/>
  </r>
  <r>
    <x v="44"/>
    <x v="0"/>
    <m/>
    <x v="0"/>
    <x v="1"/>
    <x v="15"/>
    <n v="190801"/>
    <n v="190801"/>
    <m/>
    <n v="2"/>
    <n v="190801"/>
    <n v="40000"/>
  </r>
  <r>
    <x v="44"/>
    <x v="0"/>
    <m/>
    <x v="0"/>
    <x v="1"/>
    <x v="16"/>
    <n v="190801"/>
    <n v="190801"/>
    <m/>
    <n v="5"/>
    <n v="190801"/>
    <n v="175000"/>
  </r>
  <r>
    <x v="44"/>
    <x v="0"/>
    <m/>
    <x v="0"/>
    <x v="2"/>
    <x v="17"/>
    <n v="190801"/>
    <n v="190801"/>
    <m/>
    <n v="21"/>
    <n v="190801"/>
    <n v="693000"/>
  </r>
  <r>
    <x v="44"/>
    <x v="0"/>
    <m/>
    <x v="0"/>
    <x v="2"/>
    <x v="15"/>
    <n v="190801"/>
    <n v="190801"/>
    <m/>
    <n v="23"/>
    <n v="190801"/>
    <n v="460000"/>
  </r>
  <r>
    <x v="44"/>
    <x v="0"/>
    <m/>
    <x v="0"/>
    <x v="2"/>
    <x v="16"/>
    <n v="190801"/>
    <n v="190801"/>
    <m/>
    <n v="17"/>
    <n v="190801"/>
    <n v="595000"/>
  </r>
  <r>
    <x v="45"/>
    <x v="2"/>
    <m/>
    <x v="0"/>
    <x v="1"/>
    <x v="15"/>
    <n v="190801"/>
    <n v="190801"/>
    <m/>
    <n v="1"/>
    <n v="190801"/>
    <n v="20000"/>
  </r>
  <r>
    <x v="45"/>
    <x v="2"/>
    <m/>
    <x v="0"/>
    <x v="1"/>
    <x v="16"/>
    <n v="190801"/>
    <n v="190801"/>
    <m/>
    <n v="1"/>
    <n v="190801"/>
    <n v="35000"/>
  </r>
  <r>
    <x v="45"/>
    <x v="2"/>
    <m/>
    <x v="0"/>
    <x v="2"/>
    <x v="17"/>
    <n v="190801"/>
    <n v="190801"/>
    <m/>
    <n v="12"/>
    <n v="190801"/>
    <n v="396000"/>
  </r>
  <r>
    <x v="45"/>
    <x v="2"/>
    <m/>
    <x v="0"/>
    <x v="2"/>
    <x v="15"/>
    <n v="190801"/>
    <n v="190801"/>
    <m/>
    <n v="21"/>
    <n v="190801"/>
    <n v="420000"/>
  </r>
  <r>
    <x v="45"/>
    <x v="2"/>
    <m/>
    <x v="0"/>
    <x v="2"/>
    <x v="16"/>
    <n v="190801"/>
    <n v="190801"/>
    <m/>
    <n v="27"/>
    <n v="190801"/>
    <n v="945000"/>
  </r>
  <r>
    <x v="46"/>
    <x v="5"/>
    <m/>
    <x v="0"/>
    <x v="1"/>
    <x v="15"/>
    <n v="190801"/>
    <n v="190801"/>
    <m/>
    <n v="1"/>
    <n v="190801"/>
    <n v="20000"/>
  </r>
  <r>
    <x v="46"/>
    <x v="5"/>
    <m/>
    <x v="0"/>
    <x v="1"/>
    <x v="16"/>
    <n v="190801"/>
    <n v="190801"/>
    <m/>
    <n v="1"/>
    <n v="190801"/>
    <n v="35000"/>
  </r>
  <r>
    <x v="46"/>
    <x v="5"/>
    <m/>
    <x v="0"/>
    <x v="2"/>
    <x v="17"/>
    <n v="190801"/>
    <n v="190801"/>
    <m/>
    <n v="13"/>
    <n v="190801"/>
    <n v="429000"/>
  </r>
  <r>
    <x v="46"/>
    <x v="5"/>
    <m/>
    <x v="0"/>
    <x v="2"/>
    <x v="15"/>
    <n v="190801"/>
    <n v="190801"/>
    <m/>
    <n v="24"/>
    <n v="190801"/>
    <n v="480000"/>
  </r>
  <r>
    <x v="46"/>
    <x v="5"/>
    <m/>
    <x v="0"/>
    <x v="2"/>
    <x v="16"/>
    <n v="190801"/>
    <n v="190801"/>
    <m/>
    <n v="13"/>
    <n v="190801"/>
    <n v="455000"/>
  </r>
  <r>
    <x v="47"/>
    <x v="6"/>
    <m/>
    <x v="0"/>
    <x v="1"/>
    <x v="16"/>
    <n v="190801"/>
    <n v="190801"/>
    <m/>
    <n v="5"/>
    <n v="190801"/>
    <n v="175000"/>
  </r>
  <r>
    <x v="47"/>
    <x v="6"/>
    <m/>
    <x v="0"/>
    <x v="2"/>
    <x v="17"/>
    <n v="190801"/>
    <n v="190801"/>
    <m/>
    <n v="30"/>
    <n v="190801"/>
    <n v="990000"/>
  </r>
  <r>
    <x v="47"/>
    <x v="6"/>
    <m/>
    <x v="0"/>
    <x v="2"/>
    <x v="15"/>
    <n v="190801"/>
    <n v="190801"/>
    <m/>
    <n v="29"/>
    <n v="190801"/>
    <n v="580000"/>
  </r>
  <r>
    <x v="47"/>
    <x v="6"/>
    <m/>
    <x v="0"/>
    <x v="2"/>
    <x v="16"/>
    <n v="190801"/>
    <n v="190801"/>
    <m/>
    <n v="21"/>
    <n v="190801"/>
    <n v="735000"/>
  </r>
  <r>
    <x v="48"/>
    <x v="3"/>
    <m/>
    <x v="0"/>
    <x v="1"/>
    <x v="16"/>
    <n v="190801"/>
    <n v="190801"/>
    <m/>
    <n v="3"/>
    <n v="190801"/>
    <n v="105000"/>
  </r>
  <r>
    <x v="48"/>
    <x v="3"/>
    <m/>
    <x v="0"/>
    <x v="2"/>
    <x v="17"/>
    <n v="190801"/>
    <n v="190801"/>
    <m/>
    <n v="25"/>
    <n v="190801"/>
    <n v="825000"/>
  </r>
  <r>
    <x v="48"/>
    <x v="3"/>
    <m/>
    <x v="0"/>
    <x v="2"/>
    <x v="15"/>
    <n v="190801"/>
    <n v="190801"/>
    <m/>
    <n v="32"/>
    <n v="190801"/>
    <n v="640000"/>
  </r>
  <r>
    <x v="48"/>
    <x v="3"/>
    <m/>
    <x v="0"/>
    <x v="2"/>
    <x v="16"/>
    <n v="190801"/>
    <n v="190801"/>
    <m/>
    <n v="12"/>
    <n v="190801"/>
    <n v="420000"/>
  </r>
  <r>
    <x v="49"/>
    <x v="4"/>
    <m/>
    <x v="0"/>
    <x v="1"/>
    <x v="16"/>
    <n v="190801"/>
    <n v="190801"/>
    <m/>
    <n v="5"/>
    <n v="190801"/>
    <n v="175000"/>
  </r>
  <r>
    <x v="49"/>
    <x v="4"/>
    <m/>
    <x v="0"/>
    <x v="2"/>
    <x v="17"/>
    <n v="190801"/>
    <n v="190801"/>
    <m/>
    <n v="20"/>
    <n v="190801"/>
    <n v="660000"/>
  </r>
  <r>
    <x v="49"/>
    <x v="4"/>
    <m/>
    <x v="0"/>
    <x v="2"/>
    <x v="15"/>
    <n v="190801"/>
    <n v="190801"/>
    <m/>
    <n v="11"/>
    <n v="190801"/>
    <n v="220000"/>
  </r>
  <r>
    <x v="49"/>
    <x v="4"/>
    <m/>
    <x v="0"/>
    <x v="2"/>
    <x v="16"/>
    <n v="190801"/>
    <n v="190801"/>
    <m/>
    <n v="19"/>
    <n v="190801"/>
    <n v="665000"/>
  </r>
  <r>
    <x v="50"/>
    <x v="1"/>
    <m/>
    <x v="0"/>
    <x v="1"/>
    <x v="15"/>
    <n v="190801"/>
    <n v="190801"/>
    <m/>
    <n v="2"/>
    <n v="190801"/>
    <n v="40000"/>
  </r>
  <r>
    <x v="50"/>
    <x v="1"/>
    <m/>
    <x v="0"/>
    <x v="1"/>
    <x v="16"/>
    <n v="190801"/>
    <n v="190801"/>
    <m/>
    <n v="2"/>
    <n v="190801"/>
    <n v="70000"/>
  </r>
  <r>
    <x v="50"/>
    <x v="1"/>
    <m/>
    <x v="0"/>
    <x v="2"/>
    <x v="17"/>
    <n v="190801"/>
    <n v="190801"/>
    <m/>
    <n v="16"/>
    <n v="190801"/>
    <n v="528000"/>
  </r>
  <r>
    <x v="50"/>
    <x v="1"/>
    <m/>
    <x v="0"/>
    <x v="2"/>
    <x v="15"/>
    <n v="190801"/>
    <n v="190801"/>
    <m/>
    <n v="30"/>
    <n v="190801"/>
    <n v="600000"/>
  </r>
  <r>
    <x v="50"/>
    <x v="1"/>
    <m/>
    <x v="0"/>
    <x v="2"/>
    <x v="16"/>
    <n v="190801"/>
    <n v="190801"/>
    <m/>
    <n v="12"/>
    <n v="190801"/>
    <n v="420000"/>
  </r>
  <r>
    <x v="51"/>
    <x v="0"/>
    <m/>
    <x v="0"/>
    <x v="2"/>
    <x v="17"/>
    <n v="190801"/>
    <n v="190801"/>
    <m/>
    <n v="24"/>
    <n v="190801"/>
    <n v="792000"/>
  </r>
  <r>
    <x v="51"/>
    <x v="0"/>
    <m/>
    <x v="0"/>
    <x v="2"/>
    <x v="15"/>
    <n v="190801"/>
    <n v="190801"/>
    <m/>
    <n v="21"/>
    <n v="190801"/>
    <n v="420000"/>
  </r>
  <r>
    <x v="51"/>
    <x v="0"/>
    <m/>
    <x v="0"/>
    <x v="2"/>
    <x v="16"/>
    <n v="190801"/>
    <n v="190801"/>
    <m/>
    <n v="17"/>
    <n v="190801"/>
    <n v="595000"/>
  </r>
  <r>
    <x v="52"/>
    <x v="2"/>
    <m/>
    <x v="0"/>
    <x v="1"/>
    <x v="16"/>
    <n v="190801"/>
    <n v="190801"/>
    <m/>
    <n v="1"/>
    <n v="190801"/>
    <n v="35000"/>
  </r>
  <r>
    <x v="52"/>
    <x v="2"/>
    <m/>
    <x v="0"/>
    <x v="2"/>
    <x v="17"/>
    <n v="190801"/>
    <n v="190801"/>
    <m/>
    <n v="20"/>
    <n v="190801"/>
    <n v="660000"/>
  </r>
  <r>
    <x v="52"/>
    <x v="2"/>
    <m/>
    <x v="0"/>
    <x v="2"/>
    <x v="15"/>
    <n v="190801"/>
    <n v="190801"/>
    <m/>
    <n v="21"/>
    <n v="190801"/>
    <n v="420000"/>
  </r>
  <r>
    <x v="52"/>
    <x v="2"/>
    <m/>
    <x v="0"/>
    <x v="2"/>
    <x v="16"/>
    <n v="190801"/>
    <n v="190801"/>
    <m/>
    <n v="12"/>
    <n v="190801"/>
    <n v="420000"/>
  </r>
  <r>
    <x v="53"/>
    <x v="5"/>
    <m/>
    <x v="0"/>
    <x v="2"/>
    <x v="17"/>
    <n v="190801"/>
    <n v="190801"/>
    <m/>
    <n v="19"/>
    <n v="190801"/>
    <n v="627000"/>
  </r>
  <r>
    <x v="53"/>
    <x v="5"/>
    <m/>
    <x v="0"/>
    <x v="2"/>
    <x v="15"/>
    <n v="190801"/>
    <n v="190801"/>
    <m/>
    <n v="23"/>
    <n v="190801"/>
    <n v="460000"/>
  </r>
  <r>
    <x v="53"/>
    <x v="5"/>
    <m/>
    <x v="0"/>
    <x v="2"/>
    <x v="16"/>
    <n v="190801"/>
    <n v="190801"/>
    <m/>
    <n v="15"/>
    <n v="190801"/>
    <n v="525000"/>
  </r>
  <r>
    <x v="54"/>
    <x v="6"/>
    <m/>
    <x v="0"/>
    <x v="1"/>
    <x v="15"/>
    <n v="190801"/>
    <n v="190801"/>
    <m/>
    <n v="1"/>
    <n v="190801"/>
    <n v="20000"/>
  </r>
  <r>
    <x v="54"/>
    <x v="6"/>
    <m/>
    <x v="0"/>
    <x v="2"/>
    <x v="17"/>
    <n v="190801"/>
    <n v="190801"/>
    <m/>
    <n v="21"/>
    <n v="190801"/>
    <n v="693000"/>
  </r>
  <r>
    <x v="54"/>
    <x v="6"/>
    <m/>
    <x v="0"/>
    <x v="2"/>
    <x v="15"/>
    <n v="190801"/>
    <n v="190801"/>
    <m/>
    <n v="27"/>
    <n v="190801"/>
    <n v="540000"/>
  </r>
  <r>
    <x v="54"/>
    <x v="6"/>
    <m/>
    <x v="0"/>
    <x v="2"/>
    <x v="16"/>
    <n v="190801"/>
    <n v="190801"/>
    <m/>
    <n v="9"/>
    <n v="190801"/>
    <n v="315000"/>
  </r>
  <r>
    <x v="55"/>
    <x v="3"/>
    <m/>
    <x v="0"/>
    <x v="1"/>
    <x v="15"/>
    <n v="190801"/>
    <n v="190801"/>
    <m/>
    <n v="1"/>
    <n v="190801"/>
    <n v="20000"/>
  </r>
  <r>
    <x v="55"/>
    <x v="3"/>
    <m/>
    <x v="0"/>
    <x v="1"/>
    <x v="16"/>
    <n v="190801"/>
    <n v="190801"/>
    <m/>
    <n v="1"/>
    <n v="190801"/>
    <n v="35000"/>
  </r>
  <r>
    <x v="55"/>
    <x v="3"/>
    <m/>
    <x v="0"/>
    <x v="2"/>
    <x v="17"/>
    <n v="190801"/>
    <n v="190801"/>
    <m/>
    <n v="27"/>
    <n v="190801"/>
    <n v="891000"/>
  </r>
  <r>
    <x v="55"/>
    <x v="3"/>
    <m/>
    <x v="0"/>
    <x v="2"/>
    <x v="15"/>
    <n v="190801"/>
    <n v="190801"/>
    <m/>
    <n v="26"/>
    <n v="190801"/>
    <n v="520000"/>
  </r>
  <r>
    <x v="55"/>
    <x v="3"/>
    <m/>
    <x v="0"/>
    <x v="2"/>
    <x v="16"/>
    <n v="190801"/>
    <n v="190801"/>
    <m/>
    <n v="22"/>
    <n v="190801"/>
    <n v="770000"/>
  </r>
  <r>
    <x v="56"/>
    <x v="4"/>
    <m/>
    <x v="0"/>
    <x v="1"/>
    <x v="16"/>
    <n v="190801"/>
    <n v="190801"/>
    <m/>
    <n v="5"/>
    <n v="190801"/>
    <n v="175000"/>
  </r>
  <r>
    <x v="56"/>
    <x v="4"/>
    <m/>
    <x v="0"/>
    <x v="2"/>
    <x v="17"/>
    <n v="190801"/>
    <n v="190801"/>
    <m/>
    <n v="14"/>
    <n v="190801"/>
    <n v="462000"/>
  </r>
  <r>
    <x v="56"/>
    <x v="4"/>
    <m/>
    <x v="0"/>
    <x v="2"/>
    <x v="15"/>
    <n v="190801"/>
    <n v="190801"/>
    <m/>
    <n v="22"/>
    <n v="190801"/>
    <n v="440000"/>
  </r>
  <r>
    <x v="56"/>
    <x v="4"/>
    <m/>
    <x v="0"/>
    <x v="2"/>
    <x v="16"/>
    <n v="190801"/>
    <n v="190801"/>
    <m/>
    <n v="16"/>
    <n v="190801"/>
    <n v="560000"/>
  </r>
  <r>
    <x v="57"/>
    <x v="1"/>
    <m/>
    <x v="0"/>
    <x v="1"/>
    <x v="15"/>
    <n v="190801"/>
    <n v="190801"/>
    <m/>
    <n v="2"/>
    <n v="190801"/>
    <n v="40000"/>
  </r>
  <r>
    <x v="57"/>
    <x v="1"/>
    <m/>
    <x v="0"/>
    <x v="1"/>
    <x v="16"/>
    <n v="190801"/>
    <n v="190801"/>
    <m/>
    <n v="9"/>
    <n v="190801"/>
    <n v="315000"/>
  </r>
  <r>
    <x v="57"/>
    <x v="1"/>
    <m/>
    <x v="0"/>
    <x v="2"/>
    <x v="17"/>
    <n v="190801"/>
    <n v="190801"/>
    <m/>
    <n v="17"/>
    <n v="190801"/>
    <n v="561000"/>
  </r>
  <r>
    <x v="57"/>
    <x v="1"/>
    <m/>
    <x v="0"/>
    <x v="2"/>
    <x v="15"/>
    <n v="190801"/>
    <n v="190801"/>
    <m/>
    <n v="16"/>
    <n v="190801"/>
    <n v="320000"/>
  </r>
  <r>
    <x v="57"/>
    <x v="1"/>
    <m/>
    <x v="0"/>
    <x v="2"/>
    <x v="16"/>
    <n v="190801"/>
    <n v="190801"/>
    <m/>
    <n v="10"/>
    <n v="190801"/>
    <n v="350000"/>
  </r>
  <r>
    <x v="58"/>
    <x v="0"/>
    <m/>
    <x v="0"/>
    <x v="1"/>
    <x v="15"/>
    <n v="190801"/>
    <n v="190801"/>
    <m/>
    <n v="1"/>
    <n v="190801"/>
    <n v="20000"/>
  </r>
  <r>
    <x v="58"/>
    <x v="0"/>
    <m/>
    <x v="0"/>
    <x v="2"/>
    <x v="17"/>
    <n v="190801"/>
    <n v="190801"/>
    <m/>
    <n v="21"/>
    <n v="190801"/>
    <n v="693000"/>
  </r>
  <r>
    <x v="58"/>
    <x v="0"/>
    <m/>
    <x v="0"/>
    <x v="2"/>
    <x v="15"/>
    <n v="190801"/>
    <n v="190801"/>
    <m/>
    <n v="23"/>
    <n v="190801"/>
    <n v="460000"/>
  </r>
  <r>
    <x v="58"/>
    <x v="0"/>
    <m/>
    <x v="0"/>
    <x v="2"/>
    <x v="16"/>
    <n v="190801"/>
    <n v="190801"/>
    <m/>
    <n v="15"/>
    <n v="190801"/>
    <n v="525000"/>
  </r>
  <r>
    <x v="59"/>
    <x v="2"/>
    <m/>
    <x v="0"/>
    <x v="1"/>
    <x v="15"/>
    <n v="190801"/>
    <n v="190801"/>
    <m/>
    <n v="1"/>
    <n v="190801"/>
    <n v="20000"/>
  </r>
  <r>
    <x v="59"/>
    <x v="2"/>
    <m/>
    <x v="0"/>
    <x v="1"/>
    <x v="16"/>
    <n v="190801"/>
    <n v="190801"/>
    <m/>
    <n v="5"/>
    <n v="190801"/>
    <n v="175000"/>
  </r>
  <r>
    <x v="59"/>
    <x v="2"/>
    <m/>
    <x v="0"/>
    <x v="2"/>
    <x v="17"/>
    <n v="190801"/>
    <n v="190801"/>
    <m/>
    <n v="10"/>
    <n v="190801"/>
    <n v="330000"/>
  </r>
  <r>
    <x v="59"/>
    <x v="2"/>
    <m/>
    <x v="0"/>
    <x v="2"/>
    <x v="15"/>
    <n v="190801"/>
    <n v="190801"/>
    <m/>
    <n v="16"/>
    <n v="190801"/>
    <n v="320000"/>
  </r>
  <r>
    <x v="59"/>
    <x v="2"/>
    <m/>
    <x v="0"/>
    <x v="2"/>
    <x v="16"/>
    <n v="190801"/>
    <n v="190801"/>
    <m/>
    <n v="4"/>
    <n v="190801"/>
    <n v="140000"/>
  </r>
  <r>
    <x v="60"/>
    <x v="5"/>
    <m/>
    <x v="0"/>
    <x v="1"/>
    <x v="16"/>
    <n v="190801"/>
    <n v="190801"/>
    <m/>
    <n v="4"/>
    <n v="190801"/>
    <n v="140000"/>
  </r>
  <r>
    <x v="60"/>
    <x v="5"/>
    <m/>
    <x v="0"/>
    <x v="2"/>
    <x v="17"/>
    <n v="190801"/>
    <n v="190801"/>
    <m/>
    <n v="10"/>
    <n v="190801"/>
    <n v="330000"/>
  </r>
  <r>
    <x v="60"/>
    <x v="5"/>
    <m/>
    <x v="0"/>
    <x v="2"/>
    <x v="15"/>
    <n v="190801"/>
    <n v="190801"/>
    <m/>
    <n v="14"/>
    <n v="190801"/>
    <n v="280000"/>
  </r>
  <r>
    <x v="60"/>
    <x v="5"/>
    <m/>
    <x v="0"/>
    <x v="2"/>
    <x v="16"/>
    <n v="190801"/>
    <n v="190801"/>
    <m/>
    <n v="17"/>
    <n v="190801"/>
    <n v="595000"/>
  </r>
  <r>
    <x v="61"/>
    <x v="6"/>
    <m/>
    <x v="0"/>
    <x v="1"/>
    <x v="15"/>
    <n v="190801"/>
    <n v="190801"/>
    <m/>
    <n v="1"/>
    <n v="190801"/>
    <n v="20000"/>
  </r>
  <r>
    <x v="61"/>
    <x v="6"/>
    <m/>
    <x v="0"/>
    <x v="1"/>
    <x v="16"/>
    <n v="190801"/>
    <n v="190801"/>
    <m/>
    <n v="1"/>
    <n v="190801"/>
    <n v="35000"/>
  </r>
  <r>
    <x v="61"/>
    <x v="6"/>
    <m/>
    <x v="0"/>
    <x v="2"/>
    <x v="17"/>
    <n v="190801"/>
    <n v="190801"/>
    <m/>
    <n v="24"/>
    <n v="190801"/>
    <n v="792000"/>
  </r>
  <r>
    <x v="61"/>
    <x v="6"/>
    <m/>
    <x v="0"/>
    <x v="2"/>
    <x v="15"/>
    <n v="190801"/>
    <n v="190801"/>
    <m/>
    <n v="18"/>
    <n v="190801"/>
    <n v="360000"/>
  </r>
  <r>
    <x v="61"/>
    <x v="6"/>
    <m/>
    <x v="0"/>
    <x v="2"/>
    <x v="16"/>
    <n v="190801"/>
    <n v="190801"/>
    <m/>
    <n v="12"/>
    <n v="190801"/>
    <n v="420000"/>
  </r>
  <r>
    <x v="62"/>
    <x v="3"/>
    <m/>
    <x v="0"/>
    <x v="1"/>
    <x v="15"/>
    <n v="190801"/>
    <n v="190801"/>
    <m/>
    <n v="1"/>
    <n v="190801"/>
    <n v="20000"/>
  </r>
  <r>
    <x v="62"/>
    <x v="3"/>
    <m/>
    <x v="0"/>
    <x v="1"/>
    <x v="16"/>
    <n v="190801"/>
    <n v="190801"/>
    <m/>
    <n v="3"/>
    <n v="190801"/>
    <n v="105000"/>
  </r>
  <r>
    <x v="62"/>
    <x v="3"/>
    <m/>
    <x v="0"/>
    <x v="2"/>
    <x v="17"/>
    <n v="190801"/>
    <n v="190801"/>
    <m/>
    <n v="22"/>
    <n v="190801"/>
    <n v="726000"/>
  </r>
  <r>
    <x v="62"/>
    <x v="3"/>
    <m/>
    <x v="0"/>
    <x v="2"/>
    <x v="15"/>
    <n v="190801"/>
    <n v="190801"/>
    <m/>
    <n v="34"/>
    <n v="190801"/>
    <n v="680000"/>
  </r>
  <r>
    <x v="62"/>
    <x v="3"/>
    <m/>
    <x v="0"/>
    <x v="2"/>
    <x v="16"/>
    <n v="190801"/>
    <n v="190801"/>
    <m/>
    <n v="29"/>
    <n v="190801"/>
    <n v="1015000"/>
  </r>
  <r>
    <x v="63"/>
    <x v="4"/>
    <m/>
    <x v="0"/>
    <x v="1"/>
    <x v="15"/>
    <n v="190801"/>
    <n v="190801"/>
    <m/>
    <n v="2"/>
    <n v="190801"/>
    <n v="40000"/>
  </r>
  <r>
    <x v="63"/>
    <x v="4"/>
    <m/>
    <x v="0"/>
    <x v="1"/>
    <x v="16"/>
    <n v="190801"/>
    <n v="190801"/>
    <m/>
    <n v="1"/>
    <n v="190801"/>
    <n v="35000"/>
  </r>
  <r>
    <x v="63"/>
    <x v="4"/>
    <m/>
    <x v="0"/>
    <x v="2"/>
    <x v="17"/>
    <n v="190801"/>
    <n v="190801"/>
    <m/>
    <n v="32"/>
    <n v="190801"/>
    <n v="1056000"/>
  </r>
  <r>
    <x v="63"/>
    <x v="4"/>
    <m/>
    <x v="0"/>
    <x v="2"/>
    <x v="15"/>
    <n v="190801"/>
    <n v="190801"/>
    <m/>
    <n v="19"/>
    <n v="190801"/>
    <n v="380000"/>
  </r>
  <r>
    <x v="63"/>
    <x v="4"/>
    <m/>
    <x v="0"/>
    <x v="2"/>
    <x v="16"/>
    <n v="190801"/>
    <n v="190801"/>
    <m/>
    <n v="21"/>
    <n v="190801"/>
    <n v="735000"/>
  </r>
  <r>
    <x v="64"/>
    <x v="1"/>
    <m/>
    <x v="0"/>
    <x v="2"/>
    <x v="17"/>
    <n v="190801"/>
    <n v="190801"/>
    <m/>
    <n v="15"/>
    <n v="190801"/>
    <n v="495000"/>
  </r>
  <r>
    <x v="64"/>
    <x v="1"/>
    <m/>
    <x v="0"/>
    <x v="2"/>
    <x v="15"/>
    <n v="190801"/>
    <n v="190801"/>
    <m/>
    <n v="22"/>
    <n v="190801"/>
    <n v="440000"/>
  </r>
  <r>
    <x v="64"/>
    <x v="1"/>
    <m/>
    <x v="0"/>
    <x v="2"/>
    <x v="16"/>
    <n v="190801"/>
    <n v="190801"/>
    <m/>
    <n v="18"/>
    <n v="190801"/>
    <n v="630000"/>
  </r>
  <r>
    <x v="65"/>
    <x v="0"/>
    <m/>
    <x v="0"/>
    <x v="1"/>
    <x v="15"/>
    <n v="190801"/>
    <n v="190801"/>
    <m/>
    <n v="1"/>
    <n v="190801"/>
    <n v="20000"/>
  </r>
  <r>
    <x v="65"/>
    <x v="0"/>
    <m/>
    <x v="0"/>
    <x v="1"/>
    <x v="16"/>
    <n v="190801"/>
    <n v="190801"/>
    <m/>
    <n v="4"/>
    <n v="190801"/>
    <n v="140000"/>
  </r>
  <r>
    <x v="65"/>
    <x v="0"/>
    <m/>
    <x v="0"/>
    <x v="2"/>
    <x v="17"/>
    <n v="190801"/>
    <n v="190801"/>
    <m/>
    <n v="18"/>
    <n v="190801"/>
    <n v="594000"/>
  </r>
  <r>
    <x v="65"/>
    <x v="0"/>
    <m/>
    <x v="0"/>
    <x v="2"/>
    <x v="15"/>
    <n v="190801"/>
    <n v="190801"/>
    <m/>
    <n v="22"/>
    <n v="190801"/>
    <n v="440000"/>
  </r>
  <r>
    <x v="65"/>
    <x v="0"/>
    <m/>
    <x v="0"/>
    <x v="2"/>
    <x v="16"/>
    <n v="190801"/>
    <n v="190801"/>
    <m/>
    <n v="14"/>
    <n v="190801"/>
    <n v="490000"/>
  </r>
  <r>
    <x v="65"/>
    <x v="0"/>
    <m/>
    <x v="0"/>
    <x v="3"/>
    <x v="15"/>
    <n v="190801"/>
    <n v="190801"/>
    <m/>
    <n v="10"/>
    <n v="190801"/>
    <n v="0"/>
  </r>
  <r>
    <x v="66"/>
    <x v="2"/>
    <m/>
    <x v="0"/>
    <x v="2"/>
    <x v="17"/>
    <n v="190801"/>
    <n v="190801"/>
    <m/>
    <n v="10"/>
    <n v="190801"/>
    <n v="330000"/>
  </r>
  <r>
    <x v="66"/>
    <x v="2"/>
    <m/>
    <x v="0"/>
    <x v="2"/>
    <x v="15"/>
    <n v="190801"/>
    <n v="190801"/>
    <m/>
    <n v="20"/>
    <n v="190801"/>
    <n v="400000"/>
  </r>
  <r>
    <x v="66"/>
    <x v="2"/>
    <m/>
    <x v="0"/>
    <x v="2"/>
    <x v="16"/>
    <n v="190801"/>
    <n v="190801"/>
    <m/>
    <n v="13"/>
    <n v="190801"/>
    <n v="455000"/>
  </r>
  <r>
    <x v="67"/>
    <x v="5"/>
    <m/>
    <x v="0"/>
    <x v="2"/>
    <x v="17"/>
    <n v="190801"/>
    <n v="190801"/>
    <m/>
    <n v="11"/>
    <n v="190801"/>
    <n v="363000"/>
  </r>
  <r>
    <x v="67"/>
    <x v="5"/>
    <m/>
    <x v="0"/>
    <x v="2"/>
    <x v="15"/>
    <n v="190801"/>
    <n v="190801"/>
    <m/>
    <n v="15"/>
    <n v="190801"/>
    <n v="300000"/>
  </r>
  <r>
    <x v="67"/>
    <x v="5"/>
    <m/>
    <x v="0"/>
    <x v="2"/>
    <x v="16"/>
    <n v="190801"/>
    <n v="190801"/>
    <m/>
    <n v="9"/>
    <n v="190801"/>
    <n v="315000"/>
  </r>
  <r>
    <x v="68"/>
    <x v="6"/>
    <m/>
    <x v="0"/>
    <x v="1"/>
    <x v="16"/>
    <n v="190801"/>
    <n v="190801"/>
    <m/>
    <n v="2"/>
    <n v="190801"/>
    <n v="70000"/>
  </r>
  <r>
    <x v="68"/>
    <x v="6"/>
    <m/>
    <x v="0"/>
    <x v="2"/>
    <x v="17"/>
    <n v="190801"/>
    <n v="190801"/>
    <m/>
    <n v="17"/>
    <n v="190801"/>
    <n v="561000"/>
  </r>
  <r>
    <x v="68"/>
    <x v="6"/>
    <m/>
    <x v="0"/>
    <x v="2"/>
    <x v="15"/>
    <n v="190801"/>
    <n v="190801"/>
    <m/>
    <n v="17"/>
    <n v="190801"/>
    <n v="340000"/>
  </r>
  <r>
    <x v="68"/>
    <x v="6"/>
    <m/>
    <x v="0"/>
    <x v="2"/>
    <x v="16"/>
    <n v="190801"/>
    <n v="190801"/>
    <m/>
    <n v="15"/>
    <n v="190801"/>
    <n v="525000"/>
  </r>
  <r>
    <x v="69"/>
    <x v="3"/>
    <m/>
    <x v="0"/>
    <x v="1"/>
    <x v="15"/>
    <n v="190801"/>
    <n v="190801"/>
    <m/>
    <n v="2"/>
    <n v="190801"/>
    <n v="40000"/>
  </r>
  <r>
    <x v="69"/>
    <x v="3"/>
    <m/>
    <x v="0"/>
    <x v="1"/>
    <x v="16"/>
    <n v="190801"/>
    <n v="190801"/>
    <m/>
    <n v="5"/>
    <n v="190801"/>
    <n v="175000"/>
  </r>
  <r>
    <x v="69"/>
    <x v="3"/>
    <m/>
    <x v="0"/>
    <x v="2"/>
    <x v="17"/>
    <n v="190801"/>
    <n v="190801"/>
    <m/>
    <n v="23"/>
    <n v="190801"/>
    <n v="759000"/>
  </r>
  <r>
    <x v="69"/>
    <x v="3"/>
    <m/>
    <x v="0"/>
    <x v="2"/>
    <x v="15"/>
    <n v="190801"/>
    <n v="190801"/>
    <m/>
    <n v="24"/>
    <n v="190801"/>
    <n v="480000"/>
  </r>
  <r>
    <x v="69"/>
    <x v="3"/>
    <m/>
    <x v="0"/>
    <x v="2"/>
    <x v="16"/>
    <n v="190801"/>
    <n v="190801"/>
    <m/>
    <n v="20"/>
    <n v="190801"/>
    <n v="700000"/>
  </r>
  <r>
    <x v="69"/>
    <x v="3"/>
    <m/>
    <x v="0"/>
    <x v="3"/>
    <x v="15"/>
    <n v="190801"/>
    <n v="190801"/>
    <m/>
    <n v="4"/>
    <n v="190801"/>
    <n v="0"/>
  </r>
  <r>
    <x v="70"/>
    <x v="4"/>
    <m/>
    <x v="0"/>
    <x v="1"/>
    <x v="16"/>
    <n v="190801"/>
    <n v="190801"/>
    <m/>
    <n v="2"/>
    <n v="190801"/>
    <n v="70000"/>
  </r>
  <r>
    <x v="70"/>
    <x v="4"/>
    <m/>
    <x v="0"/>
    <x v="3"/>
    <x v="15"/>
    <n v="190801"/>
    <n v="190801"/>
    <m/>
    <n v="5"/>
    <n v="190801"/>
    <n v="0"/>
  </r>
  <r>
    <x v="70"/>
    <x v="4"/>
    <m/>
    <x v="0"/>
    <x v="2"/>
    <x v="17"/>
    <n v="190801"/>
    <n v="190801"/>
    <m/>
    <n v="30"/>
    <n v="190801"/>
    <n v="990000"/>
  </r>
  <r>
    <x v="70"/>
    <x v="4"/>
    <m/>
    <x v="0"/>
    <x v="2"/>
    <x v="15"/>
    <n v="190801"/>
    <n v="190801"/>
    <m/>
    <n v="23"/>
    <n v="190801"/>
    <n v="460000"/>
  </r>
  <r>
    <x v="70"/>
    <x v="4"/>
    <m/>
    <x v="0"/>
    <x v="2"/>
    <x v="16"/>
    <n v="190801"/>
    <n v="190801"/>
    <m/>
    <n v="19"/>
    <n v="190801"/>
    <n v="665000"/>
  </r>
  <r>
    <x v="70"/>
    <x v="4"/>
    <m/>
    <x v="0"/>
    <x v="4"/>
    <x v="16"/>
    <n v="190801"/>
    <n v="190801"/>
    <m/>
    <n v="2"/>
    <n v="190801"/>
    <n v="88000"/>
  </r>
  <r>
    <x v="71"/>
    <x v="1"/>
    <m/>
    <x v="0"/>
    <x v="1"/>
    <x v="16"/>
    <n v="190801"/>
    <n v="190801"/>
    <m/>
    <n v="4"/>
    <n v="190801"/>
    <n v="140000"/>
  </r>
  <r>
    <x v="71"/>
    <x v="1"/>
    <m/>
    <x v="0"/>
    <x v="2"/>
    <x v="17"/>
    <n v="190801"/>
    <n v="190801"/>
    <m/>
    <n v="23"/>
    <n v="190801"/>
    <n v="759000"/>
  </r>
  <r>
    <x v="71"/>
    <x v="1"/>
    <m/>
    <x v="0"/>
    <x v="2"/>
    <x v="15"/>
    <n v="190801"/>
    <n v="190801"/>
    <m/>
    <n v="21"/>
    <n v="190801"/>
    <n v="420000"/>
  </r>
  <r>
    <x v="71"/>
    <x v="1"/>
    <m/>
    <x v="0"/>
    <x v="2"/>
    <x v="16"/>
    <n v="190801"/>
    <n v="190801"/>
    <m/>
    <n v="20"/>
    <n v="190801"/>
    <n v="700000"/>
  </r>
  <r>
    <x v="71"/>
    <x v="1"/>
    <m/>
    <x v="0"/>
    <x v="4"/>
    <x v="15"/>
    <n v="190801"/>
    <n v="190801"/>
    <m/>
    <n v="1"/>
    <n v="190801"/>
    <n v="31500"/>
  </r>
  <r>
    <x v="71"/>
    <x v="1"/>
    <m/>
    <x v="0"/>
    <x v="4"/>
    <x v="16"/>
    <n v="190801"/>
    <n v="190801"/>
    <m/>
    <n v="1"/>
    <n v="190801"/>
    <n v="44000"/>
  </r>
  <r>
    <x v="72"/>
    <x v="0"/>
    <m/>
    <x v="0"/>
    <x v="1"/>
    <x v="16"/>
    <n v="190801"/>
    <n v="190801"/>
    <m/>
    <n v="2"/>
    <n v="190801"/>
    <n v="70000"/>
  </r>
  <r>
    <x v="72"/>
    <x v="0"/>
    <m/>
    <x v="0"/>
    <x v="3"/>
    <x v="15"/>
    <n v="190801"/>
    <n v="190801"/>
    <m/>
    <n v="5"/>
    <n v="190801"/>
    <n v="0"/>
  </r>
  <r>
    <x v="72"/>
    <x v="0"/>
    <m/>
    <x v="0"/>
    <x v="2"/>
    <x v="17"/>
    <n v="190801"/>
    <n v="190801"/>
    <m/>
    <n v="14"/>
    <n v="190801"/>
    <n v="462000"/>
  </r>
  <r>
    <x v="72"/>
    <x v="0"/>
    <m/>
    <x v="0"/>
    <x v="2"/>
    <x v="15"/>
    <n v="190801"/>
    <n v="190801"/>
    <m/>
    <n v="24"/>
    <n v="190801"/>
    <n v="480000"/>
  </r>
  <r>
    <x v="72"/>
    <x v="0"/>
    <m/>
    <x v="0"/>
    <x v="2"/>
    <x v="16"/>
    <n v="190801"/>
    <n v="190801"/>
    <m/>
    <n v="22"/>
    <n v="190801"/>
    <n v="770000"/>
  </r>
  <r>
    <x v="73"/>
    <x v="2"/>
    <m/>
    <x v="1"/>
    <x v="3"/>
    <x v="18"/>
    <n v="190801"/>
    <n v="190801"/>
    <m/>
    <n v="20"/>
    <n v="190801"/>
    <n v="0"/>
  </r>
  <r>
    <x v="73"/>
    <x v="2"/>
    <m/>
    <x v="0"/>
    <x v="1"/>
    <x v="16"/>
    <n v="190801"/>
    <n v="190801"/>
    <m/>
    <n v="1"/>
    <n v="190801"/>
    <n v="35000"/>
  </r>
  <r>
    <x v="73"/>
    <x v="2"/>
    <m/>
    <x v="0"/>
    <x v="2"/>
    <x v="17"/>
    <n v="190801"/>
    <n v="190801"/>
    <m/>
    <n v="29"/>
    <n v="190801"/>
    <n v="957000"/>
  </r>
  <r>
    <x v="73"/>
    <x v="2"/>
    <m/>
    <x v="0"/>
    <x v="2"/>
    <x v="15"/>
    <n v="190801"/>
    <n v="190801"/>
    <m/>
    <n v="26"/>
    <n v="190801"/>
    <n v="520000"/>
  </r>
  <r>
    <x v="73"/>
    <x v="2"/>
    <m/>
    <x v="0"/>
    <x v="2"/>
    <x v="16"/>
    <n v="190801"/>
    <n v="190801"/>
    <m/>
    <n v="15"/>
    <n v="190801"/>
    <n v="525000"/>
  </r>
  <r>
    <x v="74"/>
    <x v="5"/>
    <m/>
    <x v="0"/>
    <x v="1"/>
    <x v="16"/>
    <n v="190801"/>
    <n v="190801"/>
    <m/>
    <n v="4"/>
    <n v="190801"/>
    <n v="140000"/>
  </r>
  <r>
    <x v="74"/>
    <x v="5"/>
    <m/>
    <x v="0"/>
    <x v="2"/>
    <x v="17"/>
    <n v="190801"/>
    <n v="190801"/>
    <m/>
    <n v="75"/>
    <n v="190801"/>
    <n v="2475000"/>
  </r>
  <r>
    <x v="74"/>
    <x v="5"/>
    <m/>
    <x v="0"/>
    <x v="2"/>
    <x v="15"/>
    <n v="190801"/>
    <n v="190801"/>
    <m/>
    <n v="73"/>
    <n v="190801"/>
    <n v="1460000"/>
  </r>
  <r>
    <x v="74"/>
    <x v="5"/>
    <m/>
    <x v="0"/>
    <x v="2"/>
    <x v="16"/>
    <n v="190801"/>
    <n v="190801"/>
    <m/>
    <n v="36"/>
    <n v="190801"/>
    <n v="1260000"/>
  </r>
  <r>
    <x v="75"/>
    <x v="6"/>
    <m/>
    <x v="0"/>
    <x v="1"/>
    <x v="15"/>
    <n v="190801"/>
    <n v="190801"/>
    <m/>
    <n v="1"/>
    <n v="190801"/>
    <n v="20000"/>
  </r>
  <r>
    <x v="75"/>
    <x v="6"/>
    <m/>
    <x v="0"/>
    <x v="1"/>
    <x v="16"/>
    <n v="190801"/>
    <n v="190801"/>
    <m/>
    <n v="11"/>
    <n v="190801"/>
    <n v="385000"/>
  </r>
  <r>
    <x v="75"/>
    <x v="6"/>
    <m/>
    <x v="0"/>
    <x v="2"/>
    <x v="17"/>
    <n v="190801"/>
    <n v="190801"/>
    <m/>
    <n v="175"/>
    <n v="190801"/>
    <n v="5775000"/>
  </r>
  <r>
    <x v="75"/>
    <x v="6"/>
    <m/>
    <x v="0"/>
    <x v="2"/>
    <x v="15"/>
    <n v="190801"/>
    <n v="190801"/>
    <m/>
    <n v="144"/>
    <n v="190801"/>
    <n v="2880000"/>
  </r>
  <r>
    <x v="75"/>
    <x v="6"/>
    <m/>
    <x v="0"/>
    <x v="2"/>
    <x v="16"/>
    <n v="190801"/>
    <n v="190801"/>
    <m/>
    <n v="66"/>
    <n v="190801"/>
    <n v="2310000"/>
  </r>
  <r>
    <x v="76"/>
    <x v="3"/>
    <m/>
    <x v="0"/>
    <x v="1"/>
    <x v="15"/>
    <n v="190801"/>
    <n v="190801"/>
    <m/>
    <n v="1"/>
    <n v="190801"/>
    <n v="20000"/>
  </r>
  <r>
    <x v="76"/>
    <x v="3"/>
    <m/>
    <x v="0"/>
    <x v="1"/>
    <x v="16"/>
    <n v="190801"/>
    <n v="190801"/>
    <m/>
    <n v="8"/>
    <n v="190801"/>
    <n v="280000"/>
  </r>
  <r>
    <x v="76"/>
    <x v="3"/>
    <m/>
    <x v="0"/>
    <x v="2"/>
    <x v="17"/>
    <n v="190801"/>
    <n v="190801"/>
    <m/>
    <n v="36"/>
    <n v="190801"/>
    <n v="1188000"/>
  </r>
  <r>
    <x v="76"/>
    <x v="3"/>
    <m/>
    <x v="0"/>
    <x v="2"/>
    <x v="15"/>
    <n v="190801"/>
    <n v="190801"/>
    <m/>
    <n v="37"/>
    <n v="190801"/>
    <n v="740000"/>
  </r>
  <r>
    <x v="76"/>
    <x v="3"/>
    <m/>
    <x v="0"/>
    <x v="2"/>
    <x v="16"/>
    <n v="190801"/>
    <n v="190801"/>
    <m/>
    <n v="34"/>
    <n v="190801"/>
    <n v="1190000"/>
  </r>
  <r>
    <x v="77"/>
    <x v="4"/>
    <m/>
    <x v="0"/>
    <x v="1"/>
    <x v="16"/>
    <n v="190801"/>
    <n v="190801"/>
    <m/>
    <n v="11"/>
    <n v="190801"/>
    <n v="385000"/>
  </r>
  <r>
    <x v="77"/>
    <x v="4"/>
    <m/>
    <x v="0"/>
    <x v="2"/>
    <x v="17"/>
    <n v="190801"/>
    <n v="190801"/>
    <m/>
    <n v="29"/>
    <n v="190801"/>
    <n v="957000"/>
  </r>
  <r>
    <x v="77"/>
    <x v="4"/>
    <m/>
    <x v="0"/>
    <x v="2"/>
    <x v="15"/>
    <n v="190801"/>
    <n v="190801"/>
    <m/>
    <n v="45"/>
    <n v="190801"/>
    <n v="900000"/>
  </r>
  <r>
    <x v="77"/>
    <x v="4"/>
    <m/>
    <x v="0"/>
    <x v="2"/>
    <x v="16"/>
    <n v="190801"/>
    <n v="190801"/>
    <m/>
    <n v="31"/>
    <n v="190801"/>
    <n v="1085000"/>
  </r>
  <r>
    <x v="78"/>
    <x v="1"/>
    <m/>
    <x v="0"/>
    <x v="1"/>
    <x v="16"/>
    <n v="190801"/>
    <n v="190801"/>
    <m/>
    <n v="6"/>
    <n v="190801"/>
    <n v="210000"/>
  </r>
  <r>
    <x v="78"/>
    <x v="1"/>
    <m/>
    <x v="0"/>
    <x v="2"/>
    <x v="17"/>
    <n v="190801"/>
    <n v="190801"/>
    <m/>
    <n v="39"/>
    <n v="190801"/>
    <n v="1287000"/>
  </r>
  <r>
    <x v="78"/>
    <x v="1"/>
    <m/>
    <x v="0"/>
    <x v="2"/>
    <x v="15"/>
    <n v="190801"/>
    <n v="190801"/>
    <m/>
    <n v="28"/>
    <n v="190801"/>
    <n v="560000"/>
  </r>
  <r>
    <x v="78"/>
    <x v="1"/>
    <m/>
    <x v="0"/>
    <x v="2"/>
    <x v="16"/>
    <n v="190801"/>
    <n v="190801"/>
    <m/>
    <n v="23"/>
    <n v="190801"/>
    <n v="805000"/>
  </r>
  <r>
    <x v="78"/>
    <x v="1"/>
    <m/>
    <x v="0"/>
    <x v="3"/>
    <x v="15"/>
    <n v="190801"/>
    <n v="190801"/>
    <m/>
    <n v="11"/>
    <n v="190801"/>
    <n v="0"/>
  </r>
  <r>
    <x v="79"/>
    <x v="0"/>
    <m/>
    <x v="0"/>
    <x v="1"/>
    <x v="16"/>
    <n v="190801"/>
    <n v="190801"/>
    <m/>
    <n v="2"/>
    <n v="190801"/>
    <n v="70000"/>
  </r>
  <r>
    <x v="79"/>
    <x v="0"/>
    <m/>
    <x v="0"/>
    <x v="2"/>
    <x v="17"/>
    <n v="190801"/>
    <n v="190801"/>
    <m/>
    <n v="34"/>
    <n v="190801"/>
    <n v="1122000"/>
  </r>
  <r>
    <x v="79"/>
    <x v="0"/>
    <m/>
    <x v="0"/>
    <x v="2"/>
    <x v="15"/>
    <n v="190801"/>
    <n v="190801"/>
    <m/>
    <n v="36"/>
    <n v="190801"/>
    <n v="720000"/>
  </r>
  <r>
    <x v="79"/>
    <x v="0"/>
    <m/>
    <x v="0"/>
    <x v="2"/>
    <x v="16"/>
    <n v="190801"/>
    <n v="190801"/>
    <m/>
    <n v="26"/>
    <n v="190801"/>
    <n v="910000"/>
  </r>
  <r>
    <x v="80"/>
    <x v="2"/>
    <m/>
    <x v="0"/>
    <x v="1"/>
    <x v="15"/>
    <n v="190801"/>
    <n v="190801"/>
    <m/>
    <n v="1"/>
    <n v="190801"/>
    <n v="20000"/>
  </r>
  <r>
    <x v="80"/>
    <x v="2"/>
    <m/>
    <x v="0"/>
    <x v="1"/>
    <x v="16"/>
    <n v="190801"/>
    <n v="190801"/>
    <m/>
    <n v="7"/>
    <n v="190801"/>
    <n v="245000"/>
  </r>
  <r>
    <x v="80"/>
    <x v="2"/>
    <m/>
    <x v="0"/>
    <x v="2"/>
    <x v="17"/>
    <n v="190801"/>
    <n v="190801"/>
    <m/>
    <n v="35"/>
    <n v="190801"/>
    <n v="1155000"/>
  </r>
  <r>
    <x v="80"/>
    <x v="2"/>
    <m/>
    <x v="0"/>
    <x v="2"/>
    <x v="15"/>
    <n v="190801"/>
    <n v="190801"/>
    <m/>
    <n v="27"/>
    <n v="190801"/>
    <n v="540000"/>
  </r>
  <r>
    <x v="80"/>
    <x v="2"/>
    <m/>
    <x v="0"/>
    <x v="2"/>
    <x v="16"/>
    <n v="190801"/>
    <n v="190801"/>
    <m/>
    <n v="25"/>
    <n v="190801"/>
    <n v="875000"/>
  </r>
  <r>
    <x v="81"/>
    <x v="5"/>
    <m/>
    <x v="0"/>
    <x v="1"/>
    <x v="15"/>
    <n v="190801"/>
    <n v="190801"/>
    <m/>
    <n v="2"/>
    <n v="190801"/>
    <n v="40000"/>
  </r>
  <r>
    <x v="81"/>
    <x v="5"/>
    <m/>
    <x v="0"/>
    <x v="1"/>
    <x v="16"/>
    <n v="190801"/>
    <n v="190801"/>
    <m/>
    <n v="1"/>
    <n v="190801"/>
    <n v="35000"/>
  </r>
  <r>
    <x v="81"/>
    <x v="5"/>
    <m/>
    <x v="0"/>
    <x v="2"/>
    <x v="17"/>
    <n v="190801"/>
    <n v="190801"/>
    <m/>
    <n v="37"/>
    <n v="190801"/>
    <n v="1221000"/>
  </r>
  <r>
    <x v="81"/>
    <x v="5"/>
    <m/>
    <x v="0"/>
    <x v="2"/>
    <x v="15"/>
    <n v="190801"/>
    <n v="190801"/>
    <m/>
    <n v="17"/>
    <n v="190801"/>
    <n v="340000"/>
  </r>
  <r>
    <x v="81"/>
    <x v="5"/>
    <m/>
    <x v="0"/>
    <x v="2"/>
    <x v="16"/>
    <n v="190801"/>
    <n v="190801"/>
    <m/>
    <n v="15"/>
    <n v="190801"/>
    <n v="525000"/>
  </r>
  <r>
    <x v="82"/>
    <x v="6"/>
    <m/>
    <x v="0"/>
    <x v="1"/>
    <x v="16"/>
    <n v="190801"/>
    <n v="190801"/>
    <m/>
    <n v="3"/>
    <n v="190801"/>
    <n v="105000"/>
  </r>
  <r>
    <x v="82"/>
    <x v="6"/>
    <m/>
    <x v="0"/>
    <x v="2"/>
    <x v="17"/>
    <n v="190801"/>
    <n v="190801"/>
    <m/>
    <n v="24"/>
    <n v="190801"/>
    <n v="792000"/>
  </r>
  <r>
    <x v="82"/>
    <x v="6"/>
    <m/>
    <x v="0"/>
    <x v="2"/>
    <x v="15"/>
    <n v="190801"/>
    <n v="190801"/>
    <m/>
    <n v="27"/>
    <n v="190801"/>
    <n v="540000"/>
  </r>
  <r>
    <x v="82"/>
    <x v="6"/>
    <m/>
    <x v="0"/>
    <x v="2"/>
    <x v="16"/>
    <n v="190801"/>
    <n v="190801"/>
    <m/>
    <n v="8"/>
    <n v="190801"/>
    <n v="280000"/>
  </r>
  <r>
    <x v="83"/>
    <x v="3"/>
    <m/>
    <x v="0"/>
    <x v="1"/>
    <x v="16"/>
    <n v="190801"/>
    <n v="190801"/>
    <m/>
    <n v="2"/>
    <n v="190801"/>
    <n v="70000"/>
  </r>
  <r>
    <x v="83"/>
    <x v="3"/>
    <m/>
    <x v="0"/>
    <x v="2"/>
    <x v="17"/>
    <n v="190801"/>
    <n v="190801"/>
    <m/>
    <n v="17"/>
    <n v="190801"/>
    <n v="561000"/>
  </r>
  <r>
    <x v="83"/>
    <x v="3"/>
    <m/>
    <x v="0"/>
    <x v="2"/>
    <x v="15"/>
    <n v="190801"/>
    <n v="190801"/>
    <m/>
    <n v="18"/>
    <n v="190801"/>
    <n v="360000"/>
  </r>
  <r>
    <x v="83"/>
    <x v="3"/>
    <m/>
    <x v="0"/>
    <x v="2"/>
    <x v="16"/>
    <n v="190801"/>
    <n v="190801"/>
    <m/>
    <n v="22"/>
    <n v="190801"/>
    <n v="770000"/>
  </r>
  <r>
    <x v="83"/>
    <x v="3"/>
    <m/>
    <x v="0"/>
    <x v="4"/>
    <x v="15"/>
    <n v="190801"/>
    <n v="190801"/>
    <m/>
    <n v="3"/>
    <n v="190801"/>
    <n v="94500"/>
  </r>
  <r>
    <x v="83"/>
    <x v="3"/>
    <m/>
    <x v="0"/>
    <x v="4"/>
    <x v="16"/>
    <n v="190801"/>
    <n v="190801"/>
    <m/>
    <n v="4"/>
    <n v="190801"/>
    <n v="176000"/>
  </r>
  <r>
    <x v="72"/>
    <x v="0"/>
    <m/>
    <x v="0"/>
    <x v="4"/>
    <x v="15"/>
    <n v="190801"/>
    <n v="190801"/>
    <m/>
    <n v="1"/>
    <n v="190801"/>
    <n v="31500"/>
  </r>
  <r>
    <x v="72"/>
    <x v="0"/>
    <m/>
    <x v="0"/>
    <x v="4"/>
    <x v="16"/>
    <n v="190801"/>
    <n v="190801"/>
    <m/>
    <n v="1"/>
    <n v="190801"/>
    <n v="44000"/>
  </r>
  <r>
    <x v="73"/>
    <x v="2"/>
    <m/>
    <x v="0"/>
    <x v="4"/>
    <x v="15"/>
    <n v="190801"/>
    <n v="190801"/>
    <m/>
    <n v="2"/>
    <n v="190801"/>
    <n v="63000"/>
  </r>
  <r>
    <x v="77"/>
    <x v="4"/>
    <m/>
    <x v="0"/>
    <x v="4"/>
    <x v="15"/>
    <n v="190801"/>
    <n v="190801"/>
    <m/>
    <n v="7"/>
    <n v="190801"/>
    <n v="220500"/>
  </r>
  <r>
    <x v="77"/>
    <x v="4"/>
    <m/>
    <x v="0"/>
    <x v="4"/>
    <x v="16"/>
    <n v="190801"/>
    <n v="190801"/>
    <m/>
    <n v="18"/>
    <n v="190801"/>
    <n v="792000"/>
  </r>
  <r>
    <x v="78"/>
    <x v="1"/>
    <m/>
    <x v="0"/>
    <x v="4"/>
    <x v="16"/>
    <n v="190801"/>
    <n v="190801"/>
    <m/>
    <n v="2"/>
    <n v="190801"/>
    <n v="88000"/>
  </r>
  <r>
    <x v="80"/>
    <x v="2"/>
    <m/>
    <x v="0"/>
    <x v="4"/>
    <x v="15"/>
    <n v="190801"/>
    <n v="190801"/>
    <m/>
    <n v="2"/>
    <n v="190801"/>
    <n v="63000"/>
  </r>
  <r>
    <x v="80"/>
    <x v="2"/>
    <m/>
    <x v="0"/>
    <x v="4"/>
    <x v="16"/>
    <n v="190801"/>
    <n v="190801"/>
    <m/>
    <n v="2"/>
    <n v="190801"/>
    <n v="88000"/>
  </r>
  <r>
    <x v="84"/>
    <x v="4"/>
    <m/>
    <x v="0"/>
    <x v="1"/>
    <x v="15"/>
    <n v="190801"/>
    <n v="190801"/>
    <m/>
    <n v="1"/>
    <n v="190801"/>
    <n v="20000"/>
  </r>
  <r>
    <x v="84"/>
    <x v="4"/>
    <m/>
    <x v="0"/>
    <x v="1"/>
    <x v="16"/>
    <n v="190801"/>
    <n v="190801"/>
    <m/>
    <n v="2"/>
    <n v="190801"/>
    <n v="70000"/>
  </r>
  <r>
    <x v="84"/>
    <x v="4"/>
    <m/>
    <x v="0"/>
    <x v="2"/>
    <x v="17"/>
    <n v="190801"/>
    <n v="190801"/>
    <m/>
    <n v="22"/>
    <n v="190801"/>
    <n v="726000"/>
  </r>
  <r>
    <x v="84"/>
    <x v="4"/>
    <m/>
    <x v="0"/>
    <x v="2"/>
    <x v="15"/>
    <n v="190801"/>
    <n v="190801"/>
    <m/>
    <n v="18"/>
    <n v="190801"/>
    <n v="360000"/>
  </r>
  <r>
    <x v="84"/>
    <x v="4"/>
    <m/>
    <x v="0"/>
    <x v="2"/>
    <x v="16"/>
    <n v="190801"/>
    <n v="190801"/>
    <m/>
    <n v="18"/>
    <n v="190801"/>
    <n v="630000"/>
  </r>
  <r>
    <x v="84"/>
    <x v="4"/>
    <m/>
    <x v="0"/>
    <x v="4"/>
    <x v="15"/>
    <n v="190801"/>
    <n v="190801"/>
    <m/>
    <n v="2"/>
    <n v="190801"/>
    <n v="63000"/>
  </r>
  <r>
    <x v="84"/>
    <x v="4"/>
    <m/>
    <x v="0"/>
    <x v="3"/>
    <x v="15"/>
    <n v="190801"/>
    <n v="190801"/>
    <m/>
    <n v="25"/>
    <n v="190801"/>
    <n v="0"/>
  </r>
  <r>
    <x v="84"/>
    <x v="4"/>
    <m/>
    <x v="1"/>
    <x v="3"/>
    <x v="18"/>
    <n v="190801"/>
    <n v="190801"/>
    <m/>
    <n v="10"/>
    <n v="190801"/>
    <n v="0"/>
  </r>
  <r>
    <x v="84"/>
    <x v="4"/>
    <m/>
    <x v="18"/>
    <x v="3"/>
    <x v="19"/>
    <n v="190801"/>
    <n v="190801"/>
    <m/>
    <n v="20"/>
    <n v="190801"/>
    <n v="0"/>
  </r>
  <r>
    <x v="85"/>
    <x v="1"/>
    <m/>
    <x v="0"/>
    <x v="1"/>
    <x v="15"/>
    <n v="190801"/>
    <n v="190801"/>
    <m/>
    <n v="2"/>
    <n v="190801"/>
    <n v="40000"/>
  </r>
  <r>
    <x v="85"/>
    <x v="1"/>
    <m/>
    <x v="0"/>
    <x v="1"/>
    <x v="16"/>
    <n v="190801"/>
    <n v="190801"/>
    <m/>
    <n v="9"/>
    <n v="190801"/>
    <n v="315000"/>
  </r>
  <r>
    <x v="85"/>
    <x v="1"/>
    <m/>
    <x v="0"/>
    <x v="2"/>
    <x v="17"/>
    <n v="190801"/>
    <n v="190801"/>
    <m/>
    <n v="29"/>
    <n v="190801"/>
    <n v="957000"/>
  </r>
  <r>
    <x v="85"/>
    <x v="1"/>
    <m/>
    <x v="0"/>
    <x v="2"/>
    <x v="15"/>
    <n v="190801"/>
    <n v="190801"/>
    <m/>
    <n v="29"/>
    <n v="190801"/>
    <n v="580000"/>
  </r>
  <r>
    <x v="85"/>
    <x v="1"/>
    <m/>
    <x v="0"/>
    <x v="2"/>
    <x v="16"/>
    <n v="190801"/>
    <n v="190801"/>
    <m/>
    <n v="17"/>
    <n v="190801"/>
    <n v="595000"/>
  </r>
  <r>
    <x v="86"/>
    <x v="0"/>
    <m/>
    <x v="0"/>
    <x v="1"/>
    <x v="15"/>
    <n v="190801"/>
    <n v="190801"/>
    <m/>
    <n v="3"/>
    <n v="190801"/>
    <n v="60000"/>
  </r>
  <r>
    <x v="86"/>
    <x v="0"/>
    <m/>
    <x v="0"/>
    <x v="1"/>
    <x v="16"/>
    <n v="190801"/>
    <n v="190801"/>
    <m/>
    <n v="10"/>
    <n v="190801"/>
    <n v="350000"/>
  </r>
  <r>
    <x v="86"/>
    <x v="0"/>
    <m/>
    <x v="0"/>
    <x v="2"/>
    <x v="17"/>
    <n v="190801"/>
    <n v="190801"/>
    <m/>
    <n v="29"/>
    <n v="190801"/>
    <n v="957000"/>
  </r>
  <r>
    <x v="86"/>
    <x v="0"/>
    <m/>
    <x v="0"/>
    <x v="2"/>
    <x v="15"/>
    <n v="190801"/>
    <n v="190801"/>
    <m/>
    <n v="36"/>
    <n v="190801"/>
    <n v="720000"/>
  </r>
  <r>
    <x v="86"/>
    <x v="0"/>
    <m/>
    <x v="0"/>
    <x v="2"/>
    <x v="16"/>
    <n v="190801"/>
    <n v="190801"/>
    <m/>
    <n v="26"/>
    <n v="190801"/>
    <n v="910000"/>
  </r>
  <r>
    <x v="86"/>
    <x v="0"/>
    <m/>
    <x v="0"/>
    <x v="4"/>
    <x v="15"/>
    <n v="190801"/>
    <n v="190801"/>
    <m/>
    <n v="3"/>
    <n v="190801"/>
    <n v="94500"/>
  </r>
  <r>
    <x v="86"/>
    <x v="0"/>
    <m/>
    <x v="0"/>
    <x v="4"/>
    <x v="16"/>
    <n v="190801"/>
    <n v="190801"/>
    <m/>
    <n v="1"/>
    <n v="190801"/>
    <n v="44000"/>
  </r>
  <r>
    <x v="87"/>
    <x v="2"/>
    <m/>
    <x v="0"/>
    <x v="1"/>
    <x v="15"/>
    <n v="190801"/>
    <n v="190801"/>
    <m/>
    <n v="1"/>
    <n v="190801"/>
    <n v="20000"/>
  </r>
  <r>
    <x v="87"/>
    <x v="2"/>
    <m/>
    <x v="0"/>
    <x v="1"/>
    <x v="16"/>
    <n v="190801"/>
    <n v="190801"/>
    <m/>
    <n v="4"/>
    <n v="190801"/>
    <n v="140000"/>
  </r>
  <r>
    <x v="87"/>
    <x v="2"/>
    <m/>
    <x v="0"/>
    <x v="2"/>
    <x v="17"/>
    <n v="190801"/>
    <n v="190801"/>
    <m/>
    <n v="28"/>
    <n v="190801"/>
    <n v="924000"/>
  </r>
  <r>
    <x v="87"/>
    <x v="2"/>
    <m/>
    <x v="0"/>
    <x v="2"/>
    <x v="15"/>
    <n v="190801"/>
    <n v="190801"/>
    <m/>
    <n v="26"/>
    <n v="190801"/>
    <n v="520000"/>
  </r>
  <r>
    <x v="87"/>
    <x v="2"/>
    <m/>
    <x v="0"/>
    <x v="2"/>
    <x v="16"/>
    <n v="190801"/>
    <n v="190801"/>
    <m/>
    <n v="25"/>
    <n v="190801"/>
    <n v="875000"/>
  </r>
  <r>
    <x v="87"/>
    <x v="2"/>
    <m/>
    <x v="0"/>
    <x v="4"/>
    <x v="15"/>
    <n v="190801"/>
    <n v="190801"/>
    <m/>
    <n v="4"/>
    <n v="190801"/>
    <n v="126000"/>
  </r>
  <r>
    <x v="88"/>
    <x v="5"/>
    <m/>
    <x v="0"/>
    <x v="1"/>
    <x v="16"/>
    <n v="190801"/>
    <n v="190801"/>
    <m/>
    <n v="1"/>
    <n v="190801"/>
    <n v="35000"/>
  </r>
  <r>
    <x v="88"/>
    <x v="5"/>
    <m/>
    <x v="0"/>
    <x v="2"/>
    <x v="17"/>
    <n v="190801"/>
    <n v="190801"/>
    <m/>
    <n v="28"/>
    <n v="190801"/>
    <n v="924000"/>
  </r>
  <r>
    <x v="88"/>
    <x v="5"/>
    <m/>
    <x v="0"/>
    <x v="2"/>
    <x v="15"/>
    <n v="190801"/>
    <n v="190801"/>
    <m/>
    <n v="21"/>
    <n v="190801"/>
    <n v="420000"/>
  </r>
  <r>
    <x v="88"/>
    <x v="5"/>
    <m/>
    <x v="0"/>
    <x v="2"/>
    <x v="16"/>
    <n v="190801"/>
    <n v="190801"/>
    <m/>
    <n v="21"/>
    <n v="190801"/>
    <n v="735000"/>
  </r>
  <r>
    <x v="89"/>
    <x v="6"/>
    <m/>
    <x v="0"/>
    <x v="1"/>
    <x v="16"/>
    <n v="190801"/>
    <n v="190801"/>
    <m/>
    <n v="5"/>
    <n v="190801"/>
    <n v="175000"/>
  </r>
  <r>
    <x v="89"/>
    <x v="6"/>
    <m/>
    <x v="0"/>
    <x v="2"/>
    <x v="17"/>
    <n v="190801"/>
    <n v="190801"/>
    <m/>
    <n v="19"/>
    <n v="190801"/>
    <n v="627000"/>
  </r>
  <r>
    <x v="89"/>
    <x v="6"/>
    <m/>
    <x v="0"/>
    <x v="2"/>
    <x v="15"/>
    <n v="190801"/>
    <n v="190801"/>
    <m/>
    <n v="28"/>
    <n v="190801"/>
    <n v="560000"/>
  </r>
  <r>
    <x v="89"/>
    <x v="6"/>
    <m/>
    <x v="0"/>
    <x v="2"/>
    <x v="16"/>
    <n v="190801"/>
    <n v="190801"/>
    <m/>
    <n v="10"/>
    <n v="190801"/>
    <n v="350000"/>
  </r>
  <r>
    <x v="90"/>
    <x v="3"/>
    <m/>
    <x v="0"/>
    <x v="1"/>
    <x v="15"/>
    <n v="190801"/>
    <n v="190801"/>
    <m/>
    <n v="2"/>
    <n v="190801"/>
    <n v="40000"/>
  </r>
  <r>
    <x v="90"/>
    <x v="3"/>
    <m/>
    <x v="0"/>
    <x v="1"/>
    <x v="16"/>
    <n v="190801"/>
    <n v="190801"/>
    <m/>
    <n v="5"/>
    <n v="190801"/>
    <n v="175000"/>
  </r>
  <r>
    <x v="90"/>
    <x v="3"/>
    <m/>
    <x v="0"/>
    <x v="2"/>
    <x v="17"/>
    <n v="190801"/>
    <n v="190801"/>
    <m/>
    <n v="25"/>
    <n v="190801"/>
    <n v="825000"/>
  </r>
  <r>
    <x v="90"/>
    <x v="3"/>
    <m/>
    <x v="0"/>
    <x v="2"/>
    <x v="15"/>
    <n v="190801"/>
    <n v="190801"/>
    <m/>
    <n v="29"/>
    <n v="190801"/>
    <n v="580000"/>
  </r>
  <r>
    <x v="90"/>
    <x v="3"/>
    <m/>
    <x v="0"/>
    <x v="2"/>
    <x v="16"/>
    <n v="190801"/>
    <n v="190801"/>
    <m/>
    <n v="22"/>
    <n v="190801"/>
    <n v="770000"/>
  </r>
  <r>
    <x v="90"/>
    <x v="3"/>
    <m/>
    <x v="0"/>
    <x v="3"/>
    <x v="15"/>
    <n v="190801"/>
    <n v="190801"/>
    <m/>
    <n v="2"/>
    <n v="190801"/>
    <n v="0"/>
  </r>
  <r>
    <x v="91"/>
    <x v="4"/>
    <m/>
    <x v="0"/>
    <x v="1"/>
    <x v="15"/>
    <n v="190801"/>
    <n v="190801"/>
    <m/>
    <n v="1"/>
    <n v="190801"/>
    <n v="20000"/>
  </r>
  <r>
    <x v="91"/>
    <x v="4"/>
    <m/>
    <x v="0"/>
    <x v="1"/>
    <x v="16"/>
    <n v="190801"/>
    <n v="190801"/>
    <m/>
    <n v="25"/>
    <n v="190801"/>
    <n v="875000"/>
  </r>
  <r>
    <x v="91"/>
    <x v="4"/>
    <m/>
    <x v="0"/>
    <x v="2"/>
    <x v="17"/>
    <n v="190801"/>
    <n v="190801"/>
    <m/>
    <n v="13"/>
    <n v="190801"/>
    <n v="429000"/>
  </r>
  <r>
    <x v="91"/>
    <x v="4"/>
    <m/>
    <x v="0"/>
    <x v="2"/>
    <x v="15"/>
    <n v="190801"/>
    <n v="190801"/>
    <m/>
    <n v="19"/>
    <n v="190801"/>
    <n v="380000"/>
  </r>
  <r>
    <x v="91"/>
    <x v="4"/>
    <m/>
    <x v="0"/>
    <x v="2"/>
    <x v="16"/>
    <n v="190801"/>
    <n v="190801"/>
    <m/>
    <n v="15"/>
    <n v="190801"/>
    <n v="525000"/>
  </r>
  <r>
    <x v="91"/>
    <x v="4"/>
    <m/>
    <x v="0"/>
    <x v="4"/>
    <x v="15"/>
    <n v="190801"/>
    <n v="190801"/>
    <m/>
    <n v="4"/>
    <n v="190801"/>
    <n v="126000"/>
  </r>
  <r>
    <x v="91"/>
    <x v="4"/>
    <m/>
    <x v="0"/>
    <x v="4"/>
    <x v="16"/>
    <n v="190801"/>
    <n v="190801"/>
    <m/>
    <n v="2"/>
    <n v="190801"/>
    <n v="88000"/>
  </r>
  <r>
    <x v="91"/>
    <x v="4"/>
    <m/>
    <x v="1"/>
    <x v="3"/>
    <x v="18"/>
    <n v="190801"/>
    <n v="190801"/>
    <m/>
    <n v="10"/>
    <n v="190801"/>
    <n v="0"/>
  </r>
  <r>
    <x v="92"/>
    <x v="1"/>
    <m/>
    <x v="0"/>
    <x v="1"/>
    <x v="16"/>
    <n v="190801"/>
    <n v="190801"/>
    <m/>
    <n v="2"/>
    <n v="190801"/>
    <n v="70000"/>
  </r>
  <r>
    <x v="92"/>
    <x v="1"/>
    <m/>
    <x v="0"/>
    <x v="2"/>
    <x v="17"/>
    <n v="190801"/>
    <n v="190801"/>
    <m/>
    <n v="31"/>
    <n v="190801"/>
    <n v="1023000"/>
  </r>
  <r>
    <x v="92"/>
    <x v="1"/>
    <m/>
    <x v="0"/>
    <x v="2"/>
    <x v="15"/>
    <n v="190801"/>
    <n v="190801"/>
    <m/>
    <n v="28"/>
    <n v="190801"/>
    <n v="560000"/>
  </r>
  <r>
    <x v="92"/>
    <x v="1"/>
    <m/>
    <x v="0"/>
    <x v="2"/>
    <x v="16"/>
    <n v="190801"/>
    <n v="190801"/>
    <m/>
    <n v="21"/>
    <n v="190801"/>
    <n v="735000"/>
  </r>
  <r>
    <x v="93"/>
    <x v="0"/>
    <m/>
    <x v="0"/>
    <x v="1"/>
    <x v="15"/>
    <n v="190801"/>
    <n v="190801"/>
    <m/>
    <n v="1"/>
    <n v="190801"/>
    <n v="20000"/>
  </r>
  <r>
    <x v="93"/>
    <x v="0"/>
    <m/>
    <x v="0"/>
    <x v="1"/>
    <x v="16"/>
    <n v="190801"/>
    <n v="190801"/>
    <m/>
    <n v="3"/>
    <n v="190801"/>
    <n v="105000"/>
  </r>
  <r>
    <x v="93"/>
    <x v="0"/>
    <m/>
    <x v="0"/>
    <x v="2"/>
    <x v="17"/>
    <n v="190801"/>
    <n v="190801"/>
    <m/>
    <n v="31"/>
    <n v="190801"/>
    <n v="1023000"/>
  </r>
  <r>
    <x v="93"/>
    <x v="0"/>
    <m/>
    <x v="0"/>
    <x v="2"/>
    <x v="15"/>
    <n v="190801"/>
    <n v="190801"/>
    <m/>
    <n v="33"/>
    <n v="190801"/>
    <n v="660000"/>
  </r>
  <r>
    <x v="93"/>
    <x v="0"/>
    <m/>
    <x v="0"/>
    <x v="2"/>
    <x v="16"/>
    <n v="190801"/>
    <n v="190801"/>
    <m/>
    <n v="28"/>
    <n v="190801"/>
    <n v="980000"/>
  </r>
  <r>
    <x v="93"/>
    <x v="0"/>
    <m/>
    <x v="0"/>
    <x v="4"/>
    <x v="15"/>
    <n v="190801"/>
    <n v="190801"/>
    <m/>
    <n v="3"/>
    <n v="190801"/>
    <n v="94500"/>
  </r>
  <r>
    <x v="93"/>
    <x v="0"/>
    <m/>
    <x v="0"/>
    <x v="3"/>
    <x v="15"/>
    <n v="190801"/>
    <n v="190801"/>
    <m/>
    <n v="1"/>
    <n v="190801"/>
    <n v="0"/>
  </r>
  <r>
    <x v="94"/>
    <x v="2"/>
    <m/>
    <x v="0"/>
    <x v="1"/>
    <x v="15"/>
    <n v="190801"/>
    <n v="190801"/>
    <m/>
    <n v="1"/>
    <n v="190801"/>
    <n v="20000"/>
  </r>
  <r>
    <x v="94"/>
    <x v="2"/>
    <m/>
    <x v="0"/>
    <x v="1"/>
    <x v="16"/>
    <n v="190801"/>
    <n v="190801"/>
    <m/>
    <n v="3"/>
    <n v="190801"/>
    <n v="105000"/>
  </r>
  <r>
    <x v="94"/>
    <x v="2"/>
    <m/>
    <x v="0"/>
    <x v="2"/>
    <x v="17"/>
    <n v="190801"/>
    <n v="190801"/>
    <m/>
    <n v="26"/>
    <n v="190801"/>
    <n v="858000"/>
  </r>
  <r>
    <x v="94"/>
    <x v="2"/>
    <m/>
    <x v="0"/>
    <x v="2"/>
    <x v="15"/>
    <n v="190801"/>
    <n v="190801"/>
    <m/>
    <n v="34"/>
    <n v="190801"/>
    <n v="680000"/>
  </r>
  <r>
    <x v="94"/>
    <x v="2"/>
    <m/>
    <x v="0"/>
    <x v="2"/>
    <x v="16"/>
    <n v="190801"/>
    <n v="190801"/>
    <m/>
    <n v="22"/>
    <n v="190801"/>
    <n v="770000"/>
  </r>
  <r>
    <x v="94"/>
    <x v="2"/>
    <m/>
    <x v="0"/>
    <x v="4"/>
    <x v="15"/>
    <n v="190801"/>
    <n v="190801"/>
    <m/>
    <n v="3"/>
    <n v="190801"/>
    <n v="94500"/>
  </r>
  <r>
    <x v="94"/>
    <x v="2"/>
    <m/>
    <x v="1"/>
    <x v="2"/>
    <x v="18"/>
    <n v="190801"/>
    <n v="190801"/>
    <m/>
    <n v="1"/>
    <n v="190801"/>
    <n v="20000"/>
  </r>
  <r>
    <x v="95"/>
    <x v="5"/>
    <m/>
    <x v="0"/>
    <x v="1"/>
    <x v="16"/>
    <n v="190801"/>
    <n v="190801"/>
    <m/>
    <n v="6"/>
    <n v="190801"/>
    <n v="210000"/>
  </r>
  <r>
    <x v="95"/>
    <x v="5"/>
    <m/>
    <x v="0"/>
    <x v="2"/>
    <x v="17"/>
    <n v="190801"/>
    <n v="190801"/>
    <m/>
    <n v="35"/>
    <n v="190801"/>
    <n v="1155000"/>
  </r>
  <r>
    <x v="95"/>
    <x v="5"/>
    <m/>
    <x v="0"/>
    <x v="2"/>
    <x v="15"/>
    <n v="190801"/>
    <n v="190801"/>
    <m/>
    <n v="19"/>
    <n v="190801"/>
    <n v="380000"/>
  </r>
  <r>
    <x v="95"/>
    <x v="5"/>
    <m/>
    <x v="0"/>
    <x v="2"/>
    <x v="16"/>
    <n v="190801"/>
    <n v="190801"/>
    <m/>
    <n v="11"/>
    <n v="190801"/>
    <n v="385000"/>
  </r>
  <r>
    <x v="95"/>
    <x v="5"/>
    <m/>
    <x v="1"/>
    <x v="2"/>
    <x v="18"/>
    <n v="190801"/>
    <n v="190801"/>
    <m/>
    <n v="1"/>
    <n v="190801"/>
    <n v="20000"/>
  </r>
  <r>
    <x v="96"/>
    <x v="6"/>
    <m/>
    <x v="0"/>
    <x v="1"/>
    <x v="15"/>
    <n v="190801"/>
    <n v="190801"/>
    <m/>
    <n v="1"/>
    <n v="190801"/>
    <n v="20000"/>
  </r>
  <r>
    <x v="96"/>
    <x v="6"/>
    <m/>
    <x v="0"/>
    <x v="1"/>
    <x v="16"/>
    <n v="190801"/>
    <n v="190801"/>
    <m/>
    <n v="1"/>
    <n v="190801"/>
    <n v="35000"/>
  </r>
  <r>
    <x v="96"/>
    <x v="6"/>
    <m/>
    <x v="1"/>
    <x v="2"/>
    <x v="18"/>
    <n v="190801"/>
    <n v="190801"/>
    <m/>
    <n v="1"/>
    <n v="190801"/>
    <n v="20000"/>
  </r>
  <r>
    <x v="96"/>
    <x v="6"/>
    <m/>
    <x v="0"/>
    <x v="2"/>
    <x v="17"/>
    <n v="190801"/>
    <n v="190801"/>
    <m/>
    <n v="22"/>
    <n v="190801"/>
    <n v="726000"/>
  </r>
  <r>
    <x v="96"/>
    <x v="6"/>
    <m/>
    <x v="0"/>
    <x v="2"/>
    <x v="15"/>
    <n v="190801"/>
    <n v="190801"/>
    <m/>
    <n v="22"/>
    <n v="190801"/>
    <n v="440000"/>
  </r>
  <r>
    <x v="96"/>
    <x v="6"/>
    <m/>
    <x v="0"/>
    <x v="2"/>
    <x v="16"/>
    <n v="190801"/>
    <n v="190801"/>
    <m/>
    <n v="29"/>
    <n v="190801"/>
    <n v="1015000"/>
  </r>
  <r>
    <x v="97"/>
    <x v="3"/>
    <m/>
    <x v="0"/>
    <x v="1"/>
    <x v="15"/>
    <n v="190801"/>
    <n v="190801"/>
    <m/>
    <n v="1"/>
    <n v="190801"/>
    <n v="20000"/>
  </r>
  <r>
    <x v="97"/>
    <x v="3"/>
    <m/>
    <x v="0"/>
    <x v="1"/>
    <x v="16"/>
    <n v="190801"/>
    <n v="190801"/>
    <m/>
    <n v="5"/>
    <n v="190801"/>
    <n v="175000"/>
  </r>
  <r>
    <x v="97"/>
    <x v="3"/>
    <m/>
    <x v="1"/>
    <x v="2"/>
    <x v="18"/>
    <n v="190801"/>
    <n v="190801"/>
    <m/>
    <n v="2"/>
    <n v="190801"/>
    <n v="40000"/>
  </r>
  <r>
    <x v="97"/>
    <x v="3"/>
    <m/>
    <x v="0"/>
    <x v="2"/>
    <x v="17"/>
    <n v="190801"/>
    <n v="190801"/>
    <m/>
    <n v="32"/>
    <n v="190801"/>
    <n v="1056000"/>
  </r>
  <r>
    <x v="97"/>
    <x v="3"/>
    <m/>
    <x v="0"/>
    <x v="2"/>
    <x v="15"/>
    <n v="190801"/>
    <n v="190801"/>
    <m/>
    <n v="32"/>
    <n v="190801"/>
    <n v="640000"/>
  </r>
  <r>
    <x v="97"/>
    <x v="3"/>
    <m/>
    <x v="0"/>
    <x v="2"/>
    <x v="16"/>
    <n v="190801"/>
    <n v="190801"/>
    <m/>
    <n v="29"/>
    <n v="190801"/>
    <n v="1015000"/>
  </r>
  <r>
    <x v="97"/>
    <x v="3"/>
    <m/>
    <x v="0"/>
    <x v="4"/>
    <x v="15"/>
    <n v="190801"/>
    <n v="190801"/>
    <m/>
    <n v="9"/>
    <n v="190801"/>
    <n v="283500"/>
  </r>
  <r>
    <x v="97"/>
    <x v="3"/>
    <m/>
    <x v="0"/>
    <x v="4"/>
    <x v="16"/>
    <n v="190801"/>
    <n v="190801"/>
    <m/>
    <n v="3"/>
    <n v="190801"/>
    <n v="132000"/>
  </r>
  <r>
    <x v="97"/>
    <x v="3"/>
    <m/>
    <x v="1"/>
    <x v="3"/>
    <x v="18"/>
    <n v="190801"/>
    <n v="190801"/>
    <m/>
    <n v="2"/>
    <n v="190801"/>
    <n v="0"/>
  </r>
  <r>
    <x v="98"/>
    <x v="4"/>
    <m/>
    <x v="0"/>
    <x v="1"/>
    <x v="15"/>
    <n v="190801"/>
    <n v="190801"/>
    <m/>
    <n v="2"/>
    <n v="190801"/>
    <n v="40000"/>
  </r>
  <r>
    <x v="98"/>
    <x v="4"/>
    <m/>
    <x v="0"/>
    <x v="1"/>
    <x v="16"/>
    <n v="190801"/>
    <n v="190801"/>
    <m/>
    <n v="2"/>
    <n v="190801"/>
    <n v="70000"/>
  </r>
  <r>
    <x v="98"/>
    <x v="4"/>
    <m/>
    <x v="1"/>
    <x v="2"/>
    <x v="18"/>
    <n v="190801"/>
    <n v="190801"/>
    <m/>
    <n v="6"/>
    <n v="190801"/>
    <n v="120000"/>
  </r>
  <r>
    <x v="98"/>
    <x v="4"/>
    <m/>
    <x v="0"/>
    <x v="2"/>
    <x v="17"/>
    <n v="190801"/>
    <n v="190801"/>
    <m/>
    <n v="36"/>
    <n v="190801"/>
    <n v="1188000"/>
  </r>
  <r>
    <x v="98"/>
    <x v="4"/>
    <m/>
    <x v="0"/>
    <x v="2"/>
    <x v="15"/>
    <n v="190801"/>
    <n v="190801"/>
    <m/>
    <n v="21"/>
    <n v="190801"/>
    <n v="420000"/>
  </r>
  <r>
    <x v="98"/>
    <x v="4"/>
    <m/>
    <x v="0"/>
    <x v="2"/>
    <x v="16"/>
    <n v="190801"/>
    <n v="190801"/>
    <m/>
    <n v="24"/>
    <n v="190801"/>
    <n v="840000"/>
  </r>
  <r>
    <x v="98"/>
    <x v="4"/>
    <m/>
    <x v="0"/>
    <x v="4"/>
    <x v="15"/>
    <n v="190801"/>
    <n v="190801"/>
    <m/>
    <n v="1"/>
    <n v="190801"/>
    <n v="31500"/>
  </r>
  <r>
    <x v="98"/>
    <x v="4"/>
    <m/>
    <x v="0"/>
    <x v="4"/>
    <x v="16"/>
    <n v="190801"/>
    <n v="190801"/>
    <m/>
    <n v="2"/>
    <n v="190801"/>
    <n v="88000"/>
  </r>
  <r>
    <x v="99"/>
    <x v="1"/>
    <m/>
    <x v="0"/>
    <x v="1"/>
    <x v="15"/>
    <n v="190801"/>
    <n v="190801"/>
    <m/>
    <n v="1"/>
    <n v="190801"/>
    <n v="20000"/>
  </r>
  <r>
    <x v="99"/>
    <x v="1"/>
    <m/>
    <x v="0"/>
    <x v="1"/>
    <x v="16"/>
    <n v="190801"/>
    <n v="190801"/>
    <m/>
    <n v="1"/>
    <n v="190801"/>
    <n v="35000"/>
  </r>
  <r>
    <x v="99"/>
    <x v="1"/>
    <m/>
    <x v="1"/>
    <x v="2"/>
    <x v="18"/>
    <n v="190801"/>
    <n v="190801"/>
    <m/>
    <n v="2"/>
    <n v="190801"/>
    <n v="40000"/>
  </r>
  <r>
    <x v="99"/>
    <x v="1"/>
    <m/>
    <x v="0"/>
    <x v="2"/>
    <x v="17"/>
    <n v="190801"/>
    <n v="190801"/>
    <m/>
    <n v="28"/>
    <n v="190801"/>
    <n v="924000"/>
  </r>
  <r>
    <x v="99"/>
    <x v="1"/>
    <m/>
    <x v="0"/>
    <x v="2"/>
    <x v="15"/>
    <n v="190801"/>
    <n v="190801"/>
    <m/>
    <n v="32"/>
    <n v="190801"/>
    <n v="640000"/>
  </r>
  <r>
    <x v="99"/>
    <x v="1"/>
    <m/>
    <x v="0"/>
    <x v="2"/>
    <x v="16"/>
    <n v="190801"/>
    <n v="190801"/>
    <m/>
    <n v="21"/>
    <n v="190801"/>
    <n v="735000"/>
  </r>
  <r>
    <x v="99"/>
    <x v="1"/>
    <m/>
    <x v="0"/>
    <x v="4"/>
    <x v="15"/>
    <n v="190801"/>
    <n v="190801"/>
    <m/>
    <n v="3"/>
    <n v="190801"/>
    <n v="94500"/>
  </r>
  <r>
    <x v="100"/>
    <x v="0"/>
    <m/>
    <x v="0"/>
    <x v="1"/>
    <x v="16"/>
    <n v="190801"/>
    <n v="190801"/>
    <m/>
    <n v="6"/>
    <n v="190801"/>
    <n v="210000"/>
  </r>
  <r>
    <x v="100"/>
    <x v="0"/>
    <m/>
    <x v="0"/>
    <x v="5"/>
    <x v="15"/>
    <n v="190801"/>
    <n v="190801"/>
    <m/>
    <n v="30"/>
    <n v="190801"/>
    <n v="306810"/>
  </r>
  <r>
    <x v="100"/>
    <x v="0"/>
    <m/>
    <x v="0"/>
    <x v="3"/>
    <x v="15"/>
    <n v="190801"/>
    <n v="190801"/>
    <m/>
    <n v="1"/>
    <n v="190801"/>
    <n v="0"/>
  </r>
  <r>
    <x v="100"/>
    <x v="0"/>
    <m/>
    <x v="1"/>
    <x v="3"/>
    <x v="18"/>
    <n v="190801"/>
    <n v="190801"/>
    <m/>
    <n v="1"/>
    <n v="190801"/>
    <n v="0"/>
  </r>
  <r>
    <x v="100"/>
    <x v="0"/>
    <m/>
    <x v="1"/>
    <x v="2"/>
    <x v="18"/>
    <n v="190801"/>
    <n v="190801"/>
    <m/>
    <n v="3"/>
    <n v="190801"/>
    <n v="60000"/>
  </r>
  <r>
    <x v="100"/>
    <x v="0"/>
    <m/>
    <x v="0"/>
    <x v="2"/>
    <x v="17"/>
    <n v="190801"/>
    <n v="190801"/>
    <m/>
    <n v="38"/>
    <n v="190801"/>
    <n v="1254000"/>
  </r>
  <r>
    <x v="100"/>
    <x v="0"/>
    <m/>
    <x v="0"/>
    <x v="2"/>
    <x v="15"/>
    <n v="190801"/>
    <n v="190801"/>
    <m/>
    <n v="45"/>
    <n v="190801"/>
    <n v="900000"/>
  </r>
  <r>
    <x v="100"/>
    <x v="0"/>
    <m/>
    <x v="0"/>
    <x v="2"/>
    <x v="16"/>
    <n v="190801"/>
    <n v="190801"/>
    <m/>
    <n v="16"/>
    <n v="190801"/>
    <n v="560000"/>
  </r>
  <r>
    <x v="100"/>
    <x v="0"/>
    <m/>
    <x v="0"/>
    <x v="4"/>
    <x v="15"/>
    <n v="190801"/>
    <n v="190801"/>
    <m/>
    <n v="3"/>
    <n v="190801"/>
    <n v="94500"/>
  </r>
  <r>
    <x v="100"/>
    <x v="0"/>
    <m/>
    <x v="0"/>
    <x v="4"/>
    <x v="16"/>
    <n v="190801"/>
    <n v="190801"/>
    <m/>
    <n v="1"/>
    <n v="190801"/>
    <n v="44000"/>
  </r>
  <r>
    <x v="101"/>
    <x v="2"/>
    <m/>
    <x v="0"/>
    <x v="1"/>
    <x v="15"/>
    <n v="190801"/>
    <n v="190801"/>
    <m/>
    <n v="3"/>
    <n v="190801"/>
    <n v="60000"/>
  </r>
  <r>
    <x v="101"/>
    <x v="2"/>
    <m/>
    <x v="0"/>
    <x v="1"/>
    <x v="16"/>
    <n v="190801"/>
    <n v="190801"/>
    <m/>
    <n v="13"/>
    <n v="190801"/>
    <n v="455000"/>
  </r>
  <r>
    <x v="101"/>
    <x v="2"/>
    <m/>
    <x v="1"/>
    <x v="3"/>
    <x v="18"/>
    <n v="190801"/>
    <n v="190801"/>
    <m/>
    <n v="20"/>
    <n v="190801"/>
    <n v="0"/>
  </r>
  <r>
    <x v="101"/>
    <x v="2"/>
    <m/>
    <x v="0"/>
    <x v="2"/>
    <x v="17"/>
    <n v="190801"/>
    <n v="190801"/>
    <m/>
    <n v="27"/>
    <n v="190801"/>
    <n v="891000"/>
  </r>
  <r>
    <x v="101"/>
    <x v="2"/>
    <m/>
    <x v="0"/>
    <x v="2"/>
    <x v="15"/>
    <n v="190801"/>
    <n v="190801"/>
    <m/>
    <n v="29"/>
    <n v="190801"/>
    <n v="580000"/>
  </r>
  <r>
    <x v="101"/>
    <x v="2"/>
    <m/>
    <x v="0"/>
    <x v="2"/>
    <x v="16"/>
    <n v="190801"/>
    <n v="190801"/>
    <m/>
    <n v="31"/>
    <n v="190801"/>
    <n v="1085000"/>
  </r>
  <r>
    <x v="101"/>
    <x v="2"/>
    <m/>
    <x v="0"/>
    <x v="4"/>
    <x v="15"/>
    <n v="190801"/>
    <n v="190801"/>
    <m/>
    <n v="1"/>
    <n v="190801"/>
    <n v="31500"/>
  </r>
  <r>
    <x v="101"/>
    <x v="2"/>
    <m/>
    <x v="0"/>
    <x v="4"/>
    <x v="16"/>
    <n v="190801"/>
    <n v="190801"/>
    <m/>
    <n v="1"/>
    <n v="190801"/>
    <n v="44000"/>
  </r>
  <r>
    <x v="102"/>
    <x v="5"/>
    <m/>
    <x v="1"/>
    <x v="2"/>
    <x v="18"/>
    <n v="190801"/>
    <n v="190801"/>
    <m/>
    <n v="1"/>
    <n v="190801"/>
    <n v="20000"/>
  </r>
  <r>
    <x v="102"/>
    <x v="5"/>
    <m/>
    <x v="0"/>
    <x v="2"/>
    <x v="17"/>
    <n v="190801"/>
    <n v="190801"/>
    <m/>
    <n v="33"/>
    <n v="190801"/>
    <n v="1089000"/>
  </r>
  <r>
    <x v="102"/>
    <x v="5"/>
    <m/>
    <x v="0"/>
    <x v="2"/>
    <x v="15"/>
    <n v="190801"/>
    <n v="190801"/>
    <m/>
    <n v="28"/>
    <n v="190801"/>
    <n v="560000"/>
  </r>
  <r>
    <x v="102"/>
    <x v="5"/>
    <m/>
    <x v="0"/>
    <x v="2"/>
    <x v="16"/>
    <n v="190801"/>
    <n v="190801"/>
    <m/>
    <n v="16"/>
    <n v="190801"/>
    <n v="560000"/>
  </r>
  <r>
    <x v="103"/>
    <x v="6"/>
    <m/>
    <x v="0"/>
    <x v="1"/>
    <x v="15"/>
    <n v="190801"/>
    <n v="190801"/>
    <m/>
    <n v="1"/>
    <n v="190801"/>
    <n v="20000"/>
  </r>
  <r>
    <x v="103"/>
    <x v="6"/>
    <m/>
    <x v="0"/>
    <x v="1"/>
    <x v="16"/>
    <n v="190801"/>
    <n v="190801"/>
    <m/>
    <n v="4"/>
    <n v="190801"/>
    <n v="140000"/>
  </r>
  <r>
    <x v="103"/>
    <x v="6"/>
    <m/>
    <x v="1"/>
    <x v="2"/>
    <x v="18"/>
    <n v="190801"/>
    <n v="190801"/>
    <m/>
    <n v="2"/>
    <n v="190801"/>
    <n v="40000"/>
  </r>
  <r>
    <x v="103"/>
    <x v="6"/>
    <m/>
    <x v="0"/>
    <x v="2"/>
    <x v="17"/>
    <n v="190801"/>
    <n v="190801"/>
    <m/>
    <n v="42"/>
    <n v="190801"/>
    <n v="1386000"/>
  </r>
  <r>
    <x v="103"/>
    <x v="6"/>
    <m/>
    <x v="0"/>
    <x v="2"/>
    <x v="15"/>
    <n v="190801"/>
    <n v="190801"/>
    <m/>
    <n v="41"/>
    <n v="190801"/>
    <n v="820000"/>
  </r>
  <r>
    <x v="103"/>
    <x v="6"/>
    <m/>
    <x v="0"/>
    <x v="2"/>
    <x v="16"/>
    <n v="190801"/>
    <n v="190801"/>
    <m/>
    <n v="23"/>
    <n v="190801"/>
    <n v="805000"/>
  </r>
  <r>
    <x v="104"/>
    <x v="3"/>
    <m/>
    <x v="0"/>
    <x v="1"/>
    <x v="15"/>
    <n v="190801"/>
    <n v="190801"/>
    <m/>
    <n v="4"/>
    <n v="190801"/>
    <n v="80000"/>
  </r>
  <r>
    <x v="104"/>
    <x v="3"/>
    <m/>
    <x v="0"/>
    <x v="1"/>
    <x v="16"/>
    <n v="190801"/>
    <n v="190801"/>
    <m/>
    <n v="6"/>
    <n v="190801"/>
    <n v="210000"/>
  </r>
  <r>
    <x v="104"/>
    <x v="3"/>
    <m/>
    <x v="1"/>
    <x v="2"/>
    <x v="18"/>
    <n v="190801"/>
    <n v="190801"/>
    <m/>
    <n v="2"/>
    <n v="190801"/>
    <n v="40000"/>
  </r>
  <r>
    <x v="104"/>
    <x v="3"/>
    <m/>
    <x v="0"/>
    <x v="2"/>
    <x v="17"/>
    <n v="190801"/>
    <n v="190801"/>
    <m/>
    <n v="90"/>
    <n v="190801"/>
    <n v="2970000"/>
  </r>
  <r>
    <x v="104"/>
    <x v="3"/>
    <m/>
    <x v="0"/>
    <x v="2"/>
    <x v="15"/>
    <n v="190801"/>
    <n v="190801"/>
    <m/>
    <n v="138"/>
    <n v="190801"/>
    <n v="2760000"/>
  </r>
  <r>
    <x v="104"/>
    <x v="3"/>
    <m/>
    <x v="0"/>
    <x v="2"/>
    <x v="16"/>
    <n v="190801"/>
    <n v="190801"/>
    <m/>
    <n v="54"/>
    <n v="190801"/>
    <n v="1890000"/>
  </r>
  <r>
    <x v="104"/>
    <x v="3"/>
    <m/>
    <x v="0"/>
    <x v="3"/>
    <x v="15"/>
    <n v="190801"/>
    <n v="190801"/>
    <m/>
    <n v="1"/>
    <n v="190801"/>
    <n v="0"/>
  </r>
  <r>
    <x v="104"/>
    <x v="3"/>
    <m/>
    <x v="1"/>
    <x v="3"/>
    <x v="18"/>
    <n v="190801"/>
    <n v="190801"/>
    <m/>
    <n v="4"/>
    <n v="190801"/>
    <n v="0"/>
  </r>
  <r>
    <x v="104"/>
    <x v="3"/>
    <m/>
    <x v="18"/>
    <x v="3"/>
    <x v="19"/>
    <n v="190801"/>
    <n v="190801"/>
    <m/>
    <n v="4"/>
    <n v="190801"/>
    <n v="0"/>
  </r>
  <r>
    <x v="104"/>
    <x v="3"/>
    <m/>
    <x v="0"/>
    <x v="3"/>
    <x v="20"/>
    <n v="190801"/>
    <n v="190801"/>
    <m/>
    <n v="4"/>
    <n v="190801"/>
    <n v="0"/>
  </r>
  <r>
    <x v="104"/>
    <x v="3"/>
    <m/>
    <x v="0"/>
    <x v="4"/>
    <x v="15"/>
    <n v="190801"/>
    <n v="190801"/>
    <m/>
    <n v="5"/>
    <n v="190801"/>
    <n v="157500"/>
  </r>
  <r>
    <x v="104"/>
    <x v="3"/>
    <m/>
    <x v="0"/>
    <x v="4"/>
    <x v="16"/>
    <n v="190801"/>
    <n v="190801"/>
    <m/>
    <n v="5"/>
    <n v="190801"/>
    <n v="220000"/>
  </r>
  <r>
    <x v="105"/>
    <x v="4"/>
    <m/>
    <x v="0"/>
    <x v="1"/>
    <x v="15"/>
    <n v="190801"/>
    <n v="190801"/>
    <m/>
    <n v="1"/>
    <n v="190801"/>
    <n v="20000"/>
  </r>
  <r>
    <x v="105"/>
    <x v="4"/>
    <m/>
    <x v="0"/>
    <x v="1"/>
    <x v="16"/>
    <n v="190801"/>
    <n v="190801"/>
    <m/>
    <n v="5"/>
    <n v="190801"/>
    <n v="175000"/>
  </r>
  <r>
    <x v="105"/>
    <x v="4"/>
    <m/>
    <x v="1"/>
    <x v="2"/>
    <x v="18"/>
    <n v="190801"/>
    <n v="190801"/>
    <m/>
    <n v="1"/>
    <n v="190801"/>
    <n v="20000"/>
  </r>
  <r>
    <x v="105"/>
    <x v="4"/>
    <m/>
    <x v="0"/>
    <x v="2"/>
    <x v="17"/>
    <n v="190801"/>
    <n v="190801"/>
    <m/>
    <n v="55"/>
    <n v="190801"/>
    <n v="1815000"/>
  </r>
  <r>
    <x v="105"/>
    <x v="4"/>
    <m/>
    <x v="0"/>
    <x v="2"/>
    <x v="15"/>
    <n v="190801"/>
    <n v="190801"/>
    <m/>
    <n v="52"/>
    <n v="190801"/>
    <n v="1040000"/>
  </r>
  <r>
    <x v="105"/>
    <x v="4"/>
    <m/>
    <x v="0"/>
    <x v="2"/>
    <x v="16"/>
    <n v="190801"/>
    <n v="190801"/>
    <m/>
    <n v="28"/>
    <n v="190801"/>
    <n v="980000"/>
  </r>
  <r>
    <x v="106"/>
    <x v="1"/>
    <m/>
    <x v="0"/>
    <x v="1"/>
    <x v="16"/>
    <n v="190801"/>
    <n v="190801"/>
    <m/>
    <n v="8"/>
    <n v="190801"/>
    <n v="280000"/>
  </r>
  <r>
    <x v="106"/>
    <x v="1"/>
    <m/>
    <x v="18"/>
    <x v="2"/>
    <x v="19"/>
    <n v="190801"/>
    <n v="190801"/>
    <m/>
    <n v="7"/>
    <n v="190801"/>
    <n v="28000"/>
  </r>
  <r>
    <x v="106"/>
    <x v="1"/>
    <m/>
    <x v="1"/>
    <x v="2"/>
    <x v="18"/>
    <n v="190801"/>
    <n v="190801"/>
    <m/>
    <n v="3"/>
    <n v="190801"/>
    <n v="60000"/>
  </r>
  <r>
    <x v="106"/>
    <x v="1"/>
    <m/>
    <x v="0"/>
    <x v="2"/>
    <x v="17"/>
    <n v="190801"/>
    <n v="190801"/>
    <m/>
    <n v="44"/>
    <n v="190801"/>
    <n v="1452000"/>
  </r>
  <r>
    <x v="106"/>
    <x v="1"/>
    <m/>
    <x v="0"/>
    <x v="2"/>
    <x v="15"/>
    <n v="190801"/>
    <n v="190801"/>
    <m/>
    <n v="33"/>
    <n v="190801"/>
    <n v="660000"/>
  </r>
  <r>
    <x v="106"/>
    <x v="1"/>
    <m/>
    <x v="0"/>
    <x v="2"/>
    <x v="16"/>
    <n v="190801"/>
    <n v="190801"/>
    <m/>
    <n v="28"/>
    <n v="190801"/>
    <n v="980000"/>
  </r>
  <r>
    <x v="106"/>
    <x v="1"/>
    <m/>
    <x v="0"/>
    <x v="4"/>
    <x v="15"/>
    <n v="190801"/>
    <n v="190801"/>
    <m/>
    <n v="7"/>
    <n v="190801"/>
    <n v="220500"/>
  </r>
  <r>
    <x v="106"/>
    <x v="1"/>
    <m/>
    <x v="0"/>
    <x v="4"/>
    <x v="16"/>
    <n v="190801"/>
    <n v="190801"/>
    <m/>
    <n v="2"/>
    <n v="190801"/>
    <n v="88000"/>
  </r>
  <r>
    <x v="107"/>
    <x v="0"/>
    <m/>
    <x v="0"/>
    <x v="1"/>
    <x v="16"/>
    <n v="190801"/>
    <n v="190801"/>
    <m/>
    <n v="3"/>
    <n v="190801"/>
    <n v="105000"/>
  </r>
  <r>
    <x v="107"/>
    <x v="0"/>
    <m/>
    <x v="18"/>
    <x v="2"/>
    <x v="19"/>
    <n v="190801"/>
    <n v="190801"/>
    <m/>
    <n v="2"/>
    <n v="190801"/>
    <n v="8000"/>
  </r>
  <r>
    <x v="107"/>
    <x v="0"/>
    <m/>
    <x v="1"/>
    <x v="2"/>
    <x v="18"/>
    <n v="190801"/>
    <n v="190801"/>
    <m/>
    <n v="1"/>
    <n v="190801"/>
    <n v="20000"/>
  </r>
  <r>
    <x v="107"/>
    <x v="0"/>
    <m/>
    <x v="0"/>
    <x v="2"/>
    <x v="17"/>
    <n v="190801"/>
    <n v="190801"/>
    <m/>
    <n v="25"/>
    <n v="190801"/>
    <n v="825000"/>
  </r>
  <r>
    <x v="107"/>
    <x v="0"/>
    <m/>
    <x v="0"/>
    <x v="2"/>
    <x v="15"/>
    <n v="190801"/>
    <n v="190801"/>
    <m/>
    <n v="31"/>
    <n v="190801"/>
    <n v="620000"/>
  </r>
  <r>
    <x v="107"/>
    <x v="0"/>
    <m/>
    <x v="0"/>
    <x v="2"/>
    <x v="16"/>
    <n v="190801"/>
    <n v="190801"/>
    <m/>
    <n v="22"/>
    <n v="190801"/>
    <n v="770000"/>
  </r>
  <r>
    <x v="107"/>
    <x v="0"/>
    <m/>
    <x v="0"/>
    <x v="4"/>
    <x v="15"/>
    <n v="190801"/>
    <n v="190801"/>
    <m/>
    <n v="2"/>
    <n v="190801"/>
    <n v="63000"/>
  </r>
  <r>
    <x v="107"/>
    <x v="0"/>
    <m/>
    <x v="0"/>
    <x v="4"/>
    <x v="16"/>
    <n v="190801"/>
    <n v="190801"/>
    <m/>
    <n v="3"/>
    <n v="190801"/>
    <n v="132000"/>
  </r>
  <r>
    <x v="108"/>
    <x v="2"/>
    <m/>
    <x v="0"/>
    <x v="1"/>
    <x v="16"/>
    <n v="190801"/>
    <n v="190801"/>
    <m/>
    <n v="104"/>
    <n v="190801"/>
    <n v="3640000"/>
  </r>
  <r>
    <x v="108"/>
    <x v="2"/>
    <m/>
    <x v="0"/>
    <x v="2"/>
    <x v="19"/>
    <n v="190801"/>
    <n v="190801"/>
    <m/>
    <n v="8"/>
    <n v="190801"/>
    <n v="24000"/>
  </r>
  <r>
    <x v="108"/>
    <x v="2"/>
    <m/>
    <x v="1"/>
    <x v="2"/>
    <x v="18"/>
    <n v="190801"/>
    <n v="190801"/>
    <m/>
    <n v="2"/>
    <n v="190801"/>
    <n v="40000"/>
  </r>
  <r>
    <x v="108"/>
    <x v="2"/>
    <m/>
    <x v="0"/>
    <x v="2"/>
    <x v="17"/>
    <n v="190801"/>
    <n v="190801"/>
    <m/>
    <n v="24"/>
    <n v="190801"/>
    <n v="792000"/>
  </r>
  <r>
    <x v="108"/>
    <x v="2"/>
    <m/>
    <x v="0"/>
    <x v="2"/>
    <x v="15"/>
    <n v="190801"/>
    <n v="190801"/>
    <m/>
    <n v="39"/>
    <n v="190801"/>
    <n v="780000"/>
  </r>
  <r>
    <x v="108"/>
    <x v="2"/>
    <m/>
    <x v="0"/>
    <x v="2"/>
    <x v="16"/>
    <n v="190801"/>
    <n v="190801"/>
    <m/>
    <n v="27"/>
    <n v="190801"/>
    <n v="945000"/>
  </r>
  <r>
    <x v="108"/>
    <x v="2"/>
    <m/>
    <x v="0"/>
    <x v="4"/>
    <x v="15"/>
    <n v="190801"/>
    <n v="190801"/>
    <m/>
    <n v="1"/>
    <n v="190801"/>
    <n v="31500"/>
  </r>
  <r>
    <x v="108"/>
    <x v="2"/>
    <m/>
    <x v="0"/>
    <x v="4"/>
    <x v="16"/>
    <n v="190801"/>
    <n v="190801"/>
    <m/>
    <n v="2"/>
    <n v="190801"/>
    <n v="88000"/>
  </r>
  <r>
    <x v="109"/>
    <x v="5"/>
    <m/>
    <x v="0"/>
    <x v="1"/>
    <x v="16"/>
    <n v="190801"/>
    <n v="190801"/>
    <m/>
    <n v="2"/>
    <n v="190801"/>
    <n v="70000"/>
  </r>
  <r>
    <x v="109"/>
    <x v="5"/>
    <m/>
    <x v="18"/>
    <x v="2"/>
    <x v="19"/>
    <n v="190801"/>
    <n v="190801"/>
    <m/>
    <n v="2"/>
    <n v="190801"/>
    <n v="8000"/>
  </r>
  <r>
    <x v="109"/>
    <x v="5"/>
    <m/>
    <x v="1"/>
    <x v="2"/>
    <x v="18"/>
    <n v="190801"/>
    <n v="190801"/>
    <m/>
    <n v="2"/>
    <n v="190801"/>
    <n v="40000"/>
  </r>
  <r>
    <x v="109"/>
    <x v="5"/>
    <m/>
    <x v="0"/>
    <x v="2"/>
    <x v="19"/>
    <n v="190801"/>
    <n v="190801"/>
    <m/>
    <n v="20"/>
    <n v="190801"/>
    <n v="60000"/>
  </r>
  <r>
    <x v="109"/>
    <x v="5"/>
    <m/>
    <x v="0"/>
    <x v="2"/>
    <x v="17"/>
    <n v="190801"/>
    <n v="190801"/>
    <m/>
    <n v="20"/>
    <n v="190801"/>
    <n v="660000"/>
  </r>
  <r>
    <x v="109"/>
    <x v="5"/>
    <m/>
    <x v="0"/>
    <x v="2"/>
    <x v="15"/>
    <n v="190801"/>
    <n v="190801"/>
    <m/>
    <n v="37"/>
    <n v="190801"/>
    <n v="740000"/>
  </r>
  <r>
    <x v="109"/>
    <x v="5"/>
    <m/>
    <x v="0"/>
    <x v="2"/>
    <x v="16"/>
    <n v="190801"/>
    <n v="190801"/>
    <m/>
    <n v="24"/>
    <n v="190801"/>
    <n v="840000"/>
  </r>
  <r>
    <x v="110"/>
    <x v="6"/>
    <m/>
    <x v="0"/>
    <x v="1"/>
    <x v="16"/>
    <n v="190801"/>
    <n v="190801"/>
    <m/>
    <n v="3"/>
    <n v="190801"/>
    <n v="105000"/>
  </r>
  <r>
    <x v="110"/>
    <x v="6"/>
    <m/>
    <x v="18"/>
    <x v="2"/>
    <x v="19"/>
    <n v="190801"/>
    <n v="190801"/>
    <m/>
    <n v="7"/>
    <n v="190801"/>
    <n v="28000"/>
  </r>
  <r>
    <x v="110"/>
    <x v="6"/>
    <m/>
    <x v="1"/>
    <x v="2"/>
    <x v="18"/>
    <n v="190801"/>
    <n v="190801"/>
    <m/>
    <n v="3"/>
    <n v="190801"/>
    <n v="60000"/>
  </r>
  <r>
    <x v="110"/>
    <x v="6"/>
    <m/>
    <x v="0"/>
    <x v="2"/>
    <x v="19"/>
    <n v="190801"/>
    <n v="190801"/>
    <m/>
    <n v="18"/>
    <n v="190801"/>
    <n v="54000"/>
  </r>
  <r>
    <x v="110"/>
    <x v="6"/>
    <m/>
    <x v="0"/>
    <x v="2"/>
    <x v="17"/>
    <n v="190801"/>
    <n v="190801"/>
    <m/>
    <n v="22"/>
    <n v="190801"/>
    <n v="726000"/>
  </r>
  <r>
    <x v="110"/>
    <x v="6"/>
    <m/>
    <x v="0"/>
    <x v="2"/>
    <x v="15"/>
    <n v="190801"/>
    <n v="190801"/>
    <m/>
    <n v="40"/>
    <n v="190801"/>
    <n v="800000"/>
  </r>
  <r>
    <x v="110"/>
    <x v="6"/>
    <m/>
    <x v="0"/>
    <x v="2"/>
    <x v="16"/>
    <n v="190801"/>
    <n v="190801"/>
    <m/>
    <n v="28"/>
    <n v="190801"/>
    <n v="980000"/>
  </r>
  <r>
    <x v="111"/>
    <x v="3"/>
    <m/>
    <x v="0"/>
    <x v="1"/>
    <x v="16"/>
    <n v="190801"/>
    <n v="190801"/>
    <m/>
    <n v="7"/>
    <n v="190801"/>
    <n v="245000"/>
  </r>
  <r>
    <x v="111"/>
    <x v="3"/>
    <m/>
    <x v="1"/>
    <x v="2"/>
    <x v="18"/>
    <n v="190801"/>
    <n v="190801"/>
    <m/>
    <n v="3"/>
    <n v="190801"/>
    <n v="60000"/>
  </r>
  <r>
    <x v="111"/>
    <x v="3"/>
    <m/>
    <x v="0"/>
    <x v="2"/>
    <x v="19"/>
    <n v="190801"/>
    <n v="190801"/>
    <m/>
    <n v="35"/>
    <n v="190801"/>
    <n v="105000"/>
  </r>
  <r>
    <x v="111"/>
    <x v="3"/>
    <m/>
    <x v="0"/>
    <x v="2"/>
    <x v="17"/>
    <n v="190801"/>
    <n v="190801"/>
    <m/>
    <n v="35"/>
    <n v="190801"/>
    <n v="1155000"/>
  </r>
  <r>
    <x v="111"/>
    <x v="3"/>
    <m/>
    <x v="0"/>
    <x v="2"/>
    <x v="15"/>
    <n v="190801"/>
    <n v="190801"/>
    <m/>
    <n v="29"/>
    <n v="190801"/>
    <n v="580000"/>
  </r>
  <r>
    <x v="111"/>
    <x v="3"/>
    <m/>
    <x v="0"/>
    <x v="2"/>
    <x v="16"/>
    <n v="190801"/>
    <n v="190801"/>
    <m/>
    <n v="26"/>
    <n v="190801"/>
    <n v="910000"/>
  </r>
  <r>
    <x v="111"/>
    <x v="3"/>
    <m/>
    <x v="0"/>
    <x v="4"/>
    <x v="15"/>
    <n v="190801"/>
    <n v="190801"/>
    <m/>
    <n v="15"/>
    <n v="190801"/>
    <n v="472500"/>
  </r>
  <r>
    <x v="111"/>
    <x v="3"/>
    <m/>
    <x v="0"/>
    <x v="4"/>
    <x v="16"/>
    <n v="190801"/>
    <n v="190801"/>
    <m/>
    <n v="5"/>
    <n v="190801"/>
    <n v="220000"/>
  </r>
  <r>
    <x v="111"/>
    <x v="3"/>
    <m/>
    <x v="0"/>
    <x v="3"/>
    <x v="15"/>
    <n v="190801"/>
    <n v="190801"/>
    <m/>
    <n v="2"/>
    <n v="190801"/>
    <n v="0"/>
  </r>
  <r>
    <x v="112"/>
    <x v="4"/>
    <m/>
    <x v="0"/>
    <x v="1"/>
    <x v="15"/>
    <n v="190801"/>
    <n v="190801"/>
    <m/>
    <n v="2"/>
    <n v="190801"/>
    <n v="40000"/>
  </r>
  <r>
    <x v="112"/>
    <x v="4"/>
    <m/>
    <x v="0"/>
    <x v="1"/>
    <x v="16"/>
    <n v="190801"/>
    <n v="190801"/>
    <m/>
    <n v="7"/>
    <n v="190801"/>
    <n v="245000"/>
  </r>
  <r>
    <x v="112"/>
    <x v="4"/>
    <m/>
    <x v="1"/>
    <x v="2"/>
    <x v="18"/>
    <n v="190801"/>
    <n v="190801"/>
    <m/>
    <n v="2"/>
    <n v="190801"/>
    <n v="40000"/>
  </r>
  <r>
    <x v="112"/>
    <x v="4"/>
    <m/>
    <x v="0"/>
    <x v="2"/>
    <x v="15"/>
    <n v="190801"/>
    <n v="190801"/>
    <m/>
    <n v="39"/>
    <n v="190801"/>
    <n v="780000"/>
  </r>
  <r>
    <x v="112"/>
    <x v="4"/>
    <m/>
    <x v="0"/>
    <x v="2"/>
    <x v="16"/>
    <n v="190801"/>
    <n v="190801"/>
    <m/>
    <n v="27"/>
    <n v="190801"/>
    <n v="945000"/>
  </r>
  <r>
    <x v="112"/>
    <x v="4"/>
    <m/>
    <x v="0"/>
    <x v="2"/>
    <x v="17"/>
    <n v="190801"/>
    <n v="190801"/>
    <m/>
    <n v="17"/>
    <n v="190801"/>
    <n v="561000"/>
  </r>
  <r>
    <x v="112"/>
    <x v="4"/>
    <m/>
    <x v="0"/>
    <x v="2"/>
    <x v="19"/>
    <n v="190801"/>
    <n v="190801"/>
    <m/>
    <n v="19"/>
    <n v="190801"/>
    <n v="57000"/>
  </r>
  <r>
    <x v="112"/>
    <x v="4"/>
    <m/>
    <x v="0"/>
    <x v="4"/>
    <x v="15"/>
    <n v="190801"/>
    <n v="190801"/>
    <m/>
    <n v="50"/>
    <n v="190801"/>
    <n v="1575000"/>
  </r>
  <r>
    <x v="112"/>
    <x v="4"/>
    <m/>
    <x v="0"/>
    <x v="4"/>
    <x v="16"/>
    <n v="190801"/>
    <n v="190801"/>
    <m/>
    <n v="4"/>
    <n v="190801"/>
    <n v="176000"/>
  </r>
  <r>
    <x v="113"/>
    <x v="1"/>
    <m/>
    <x v="0"/>
    <x v="1"/>
    <x v="16"/>
    <n v="190801"/>
    <n v="190801"/>
    <m/>
    <n v="4"/>
    <n v="190801"/>
    <n v="140000"/>
  </r>
  <r>
    <x v="113"/>
    <x v="1"/>
    <m/>
    <x v="1"/>
    <x v="2"/>
    <x v="18"/>
    <n v="190801"/>
    <n v="190801"/>
    <m/>
    <n v="2"/>
    <n v="190801"/>
    <n v="40000"/>
  </r>
  <r>
    <x v="113"/>
    <x v="1"/>
    <m/>
    <x v="0"/>
    <x v="2"/>
    <x v="15"/>
    <n v="190801"/>
    <n v="190801"/>
    <m/>
    <n v="23"/>
    <n v="190801"/>
    <n v="460000"/>
  </r>
  <r>
    <x v="113"/>
    <x v="1"/>
    <m/>
    <x v="0"/>
    <x v="2"/>
    <x v="16"/>
    <n v="190801"/>
    <n v="190801"/>
    <m/>
    <n v="21"/>
    <n v="190801"/>
    <n v="735000"/>
  </r>
  <r>
    <x v="113"/>
    <x v="1"/>
    <m/>
    <x v="0"/>
    <x v="2"/>
    <x v="17"/>
    <n v="190801"/>
    <n v="190801"/>
    <m/>
    <n v="19"/>
    <n v="190801"/>
    <n v="627000"/>
  </r>
  <r>
    <x v="113"/>
    <x v="1"/>
    <m/>
    <x v="0"/>
    <x v="2"/>
    <x v="19"/>
    <n v="190801"/>
    <n v="190801"/>
    <m/>
    <n v="23"/>
    <n v="190801"/>
    <n v="69000"/>
  </r>
  <r>
    <x v="113"/>
    <x v="1"/>
    <m/>
    <x v="0"/>
    <x v="4"/>
    <x v="15"/>
    <n v="190801"/>
    <n v="190801"/>
    <m/>
    <n v="42"/>
    <n v="190801"/>
    <n v="1323000"/>
  </r>
  <r>
    <x v="113"/>
    <x v="1"/>
    <m/>
    <x v="0"/>
    <x v="4"/>
    <x v="16"/>
    <n v="190801"/>
    <n v="190801"/>
    <m/>
    <n v="15"/>
    <n v="190801"/>
    <n v="660000"/>
  </r>
  <r>
    <x v="114"/>
    <x v="0"/>
    <m/>
    <x v="0"/>
    <x v="1"/>
    <x v="15"/>
    <n v="190801"/>
    <n v="190801"/>
    <m/>
    <n v="1"/>
    <n v="190801"/>
    <n v="20000"/>
  </r>
  <r>
    <x v="114"/>
    <x v="0"/>
    <m/>
    <x v="0"/>
    <x v="1"/>
    <x v="16"/>
    <n v="190801"/>
    <n v="190801"/>
    <m/>
    <n v="2"/>
    <n v="190801"/>
    <n v="70000"/>
  </r>
  <r>
    <x v="114"/>
    <x v="0"/>
    <m/>
    <x v="1"/>
    <x v="2"/>
    <x v="18"/>
    <n v="190801"/>
    <n v="190801"/>
    <m/>
    <n v="1"/>
    <n v="190801"/>
    <n v="20000"/>
  </r>
  <r>
    <x v="114"/>
    <x v="0"/>
    <m/>
    <x v="0"/>
    <x v="2"/>
    <x v="15"/>
    <n v="190801"/>
    <n v="190801"/>
    <m/>
    <n v="21"/>
    <n v="190801"/>
    <n v="420000"/>
  </r>
  <r>
    <x v="114"/>
    <x v="0"/>
    <m/>
    <x v="0"/>
    <x v="2"/>
    <x v="16"/>
    <n v="190801"/>
    <n v="190801"/>
    <m/>
    <n v="25"/>
    <n v="190801"/>
    <n v="875000"/>
  </r>
  <r>
    <x v="114"/>
    <x v="0"/>
    <m/>
    <x v="0"/>
    <x v="2"/>
    <x v="17"/>
    <n v="190801"/>
    <n v="190801"/>
    <m/>
    <n v="12"/>
    <n v="190801"/>
    <n v="396000"/>
  </r>
  <r>
    <x v="114"/>
    <x v="0"/>
    <m/>
    <x v="0"/>
    <x v="2"/>
    <x v="19"/>
    <n v="190801"/>
    <n v="190801"/>
    <m/>
    <n v="24"/>
    <n v="190801"/>
    <n v="72000"/>
  </r>
  <r>
    <x v="115"/>
    <x v="2"/>
    <m/>
    <x v="0"/>
    <x v="1"/>
    <x v="16"/>
    <n v="190801"/>
    <n v="190801"/>
    <m/>
    <n v="3"/>
    <n v="190801"/>
    <n v="105000"/>
  </r>
  <r>
    <x v="115"/>
    <x v="2"/>
    <m/>
    <x v="1"/>
    <x v="2"/>
    <x v="18"/>
    <n v="190801"/>
    <n v="190801"/>
    <m/>
    <n v="2"/>
    <n v="190801"/>
    <n v="40000"/>
  </r>
  <r>
    <x v="115"/>
    <x v="2"/>
    <m/>
    <x v="0"/>
    <x v="2"/>
    <x v="15"/>
    <n v="190801"/>
    <n v="190801"/>
    <m/>
    <n v="22"/>
    <n v="190801"/>
    <n v="440000"/>
  </r>
  <r>
    <x v="115"/>
    <x v="2"/>
    <m/>
    <x v="0"/>
    <x v="2"/>
    <x v="16"/>
    <n v="190801"/>
    <n v="190801"/>
    <m/>
    <n v="31"/>
    <n v="190801"/>
    <n v="1085000"/>
  </r>
  <r>
    <x v="115"/>
    <x v="2"/>
    <m/>
    <x v="0"/>
    <x v="2"/>
    <x v="17"/>
    <n v="190801"/>
    <n v="190801"/>
    <m/>
    <n v="13"/>
    <n v="190801"/>
    <n v="429000"/>
  </r>
  <r>
    <x v="115"/>
    <x v="2"/>
    <m/>
    <x v="0"/>
    <x v="2"/>
    <x v="19"/>
    <n v="190801"/>
    <n v="190801"/>
    <m/>
    <n v="33"/>
    <n v="190801"/>
    <n v="99000"/>
  </r>
  <r>
    <x v="116"/>
    <x v="5"/>
    <m/>
    <x v="0"/>
    <x v="1"/>
    <x v="15"/>
    <n v="190801"/>
    <n v="190801"/>
    <m/>
    <n v="1"/>
    <n v="190801"/>
    <n v="20000"/>
  </r>
  <r>
    <x v="116"/>
    <x v="5"/>
    <m/>
    <x v="0"/>
    <x v="1"/>
    <x v="16"/>
    <n v="190801"/>
    <n v="190801"/>
    <m/>
    <n v="1"/>
    <n v="190801"/>
    <n v="35000"/>
  </r>
  <r>
    <x v="116"/>
    <x v="5"/>
    <m/>
    <x v="1"/>
    <x v="2"/>
    <x v="18"/>
    <n v="190801"/>
    <n v="190801"/>
    <m/>
    <n v="3"/>
    <n v="190801"/>
    <n v="60000"/>
  </r>
  <r>
    <x v="116"/>
    <x v="5"/>
    <m/>
    <x v="0"/>
    <x v="2"/>
    <x v="15"/>
    <n v="190801"/>
    <n v="190801"/>
    <m/>
    <n v="21"/>
    <n v="190801"/>
    <n v="420000"/>
  </r>
  <r>
    <x v="116"/>
    <x v="5"/>
    <m/>
    <x v="0"/>
    <x v="2"/>
    <x v="16"/>
    <n v="190801"/>
    <n v="190801"/>
    <m/>
    <n v="25"/>
    <n v="190801"/>
    <n v="875000"/>
  </r>
  <r>
    <x v="116"/>
    <x v="5"/>
    <m/>
    <x v="0"/>
    <x v="2"/>
    <x v="17"/>
    <n v="190801"/>
    <n v="190801"/>
    <m/>
    <n v="17"/>
    <n v="190801"/>
    <n v="561000"/>
  </r>
  <r>
    <x v="116"/>
    <x v="5"/>
    <m/>
    <x v="0"/>
    <x v="2"/>
    <x v="19"/>
    <n v="190801"/>
    <n v="190801"/>
    <m/>
    <n v="31"/>
    <n v="190801"/>
    <n v="93000"/>
  </r>
  <r>
    <x v="117"/>
    <x v="6"/>
    <m/>
    <x v="0"/>
    <x v="1"/>
    <x v="15"/>
    <n v="190801"/>
    <n v="190801"/>
    <m/>
    <n v="1"/>
    <n v="190801"/>
    <n v="20000"/>
  </r>
  <r>
    <x v="117"/>
    <x v="6"/>
    <m/>
    <x v="0"/>
    <x v="1"/>
    <x v="16"/>
    <n v="190801"/>
    <n v="190801"/>
    <m/>
    <n v="102"/>
    <n v="190801"/>
    <n v="3570000"/>
  </r>
  <r>
    <x v="117"/>
    <x v="6"/>
    <m/>
    <x v="1"/>
    <x v="2"/>
    <x v="18"/>
    <n v="190801"/>
    <n v="190801"/>
    <m/>
    <n v="1"/>
    <n v="190801"/>
    <n v="20000"/>
  </r>
  <r>
    <x v="117"/>
    <x v="6"/>
    <m/>
    <x v="0"/>
    <x v="2"/>
    <x v="15"/>
    <n v="190801"/>
    <n v="190801"/>
    <m/>
    <n v="48"/>
    <n v="190801"/>
    <n v="960000"/>
  </r>
  <r>
    <x v="117"/>
    <x v="6"/>
    <m/>
    <x v="0"/>
    <x v="2"/>
    <x v="16"/>
    <n v="190801"/>
    <n v="190801"/>
    <m/>
    <n v="32"/>
    <n v="190801"/>
    <n v="1120000"/>
  </r>
  <r>
    <x v="117"/>
    <x v="6"/>
    <m/>
    <x v="0"/>
    <x v="2"/>
    <x v="17"/>
    <n v="190801"/>
    <n v="190801"/>
    <m/>
    <n v="22"/>
    <n v="190801"/>
    <n v="726000"/>
  </r>
  <r>
    <x v="117"/>
    <x v="6"/>
    <m/>
    <x v="0"/>
    <x v="2"/>
    <x v="19"/>
    <n v="190801"/>
    <n v="190801"/>
    <m/>
    <n v="49"/>
    <n v="190801"/>
    <n v="147000"/>
  </r>
  <r>
    <x v="117"/>
    <x v="6"/>
    <m/>
    <x v="18"/>
    <x v="2"/>
    <x v="19"/>
    <n v="190801"/>
    <n v="190801"/>
    <m/>
    <n v="3"/>
    <n v="190801"/>
    <n v="12000"/>
  </r>
  <r>
    <x v="118"/>
    <x v="3"/>
    <m/>
    <x v="0"/>
    <x v="1"/>
    <x v="16"/>
    <n v="190801"/>
    <n v="190801"/>
    <m/>
    <n v="8"/>
    <n v="190801"/>
    <n v="280000"/>
  </r>
  <r>
    <x v="118"/>
    <x v="3"/>
    <m/>
    <x v="1"/>
    <x v="2"/>
    <x v="18"/>
    <n v="190801"/>
    <n v="190801"/>
    <m/>
    <n v="4"/>
    <n v="190801"/>
    <n v="80000"/>
  </r>
  <r>
    <x v="118"/>
    <x v="3"/>
    <m/>
    <x v="0"/>
    <x v="2"/>
    <x v="15"/>
    <n v="190801"/>
    <n v="190801"/>
    <m/>
    <n v="52"/>
    <n v="190801"/>
    <n v="1040000"/>
  </r>
  <r>
    <x v="118"/>
    <x v="3"/>
    <m/>
    <x v="0"/>
    <x v="2"/>
    <x v="16"/>
    <n v="190801"/>
    <n v="190801"/>
    <m/>
    <n v="51"/>
    <n v="190801"/>
    <n v="1785000"/>
  </r>
  <r>
    <x v="118"/>
    <x v="3"/>
    <m/>
    <x v="0"/>
    <x v="2"/>
    <x v="17"/>
    <n v="190801"/>
    <n v="190801"/>
    <m/>
    <n v="41"/>
    <n v="190801"/>
    <n v="1353000"/>
  </r>
  <r>
    <x v="118"/>
    <x v="3"/>
    <m/>
    <x v="0"/>
    <x v="2"/>
    <x v="19"/>
    <n v="190801"/>
    <n v="190801"/>
    <m/>
    <n v="59"/>
    <n v="190801"/>
    <n v="177000"/>
  </r>
  <r>
    <x v="118"/>
    <x v="3"/>
    <m/>
    <x v="18"/>
    <x v="2"/>
    <x v="19"/>
    <n v="190801"/>
    <n v="190801"/>
    <m/>
    <n v="1"/>
    <n v="190801"/>
    <n v="4000"/>
  </r>
  <r>
    <x v="119"/>
    <x v="4"/>
    <m/>
    <x v="0"/>
    <x v="1"/>
    <x v="15"/>
    <n v="190801"/>
    <n v="190801"/>
    <m/>
    <n v="3"/>
    <n v="190801"/>
    <n v="60000"/>
  </r>
  <r>
    <x v="119"/>
    <x v="4"/>
    <m/>
    <x v="0"/>
    <x v="1"/>
    <x v="16"/>
    <n v="190801"/>
    <n v="190801"/>
    <m/>
    <n v="204"/>
    <n v="190801"/>
    <n v="7140000"/>
  </r>
  <r>
    <x v="119"/>
    <x v="4"/>
    <m/>
    <x v="1"/>
    <x v="2"/>
    <x v="18"/>
    <n v="190801"/>
    <n v="190801"/>
    <m/>
    <n v="3"/>
    <n v="190801"/>
    <n v="60000"/>
  </r>
  <r>
    <x v="119"/>
    <x v="4"/>
    <m/>
    <x v="0"/>
    <x v="2"/>
    <x v="15"/>
    <n v="190801"/>
    <n v="190801"/>
    <m/>
    <n v="64"/>
    <n v="190801"/>
    <n v="1280000"/>
  </r>
  <r>
    <x v="119"/>
    <x v="4"/>
    <m/>
    <x v="0"/>
    <x v="2"/>
    <x v="16"/>
    <n v="190801"/>
    <n v="190801"/>
    <m/>
    <n v="54"/>
    <n v="190801"/>
    <n v="1890000"/>
  </r>
  <r>
    <x v="119"/>
    <x v="4"/>
    <m/>
    <x v="0"/>
    <x v="2"/>
    <x v="17"/>
    <n v="190801"/>
    <n v="190801"/>
    <m/>
    <n v="35"/>
    <n v="190801"/>
    <n v="1155000"/>
  </r>
  <r>
    <x v="119"/>
    <x v="4"/>
    <m/>
    <x v="0"/>
    <x v="2"/>
    <x v="19"/>
    <n v="190801"/>
    <n v="190801"/>
    <m/>
    <n v="63"/>
    <n v="190801"/>
    <n v="189000"/>
  </r>
  <r>
    <x v="119"/>
    <x v="4"/>
    <m/>
    <x v="0"/>
    <x v="4"/>
    <x v="15"/>
    <n v="190801"/>
    <n v="190801"/>
    <m/>
    <n v="124"/>
    <n v="190801"/>
    <n v="3906000"/>
  </r>
  <r>
    <x v="119"/>
    <x v="4"/>
    <m/>
    <x v="0"/>
    <x v="4"/>
    <x v="16"/>
    <n v="190801"/>
    <n v="190801"/>
    <m/>
    <n v="24"/>
    <n v="190801"/>
    <n v="1056000"/>
  </r>
  <r>
    <x v="120"/>
    <x v="1"/>
    <m/>
    <x v="0"/>
    <x v="1"/>
    <x v="15"/>
    <n v="190801"/>
    <n v="190801"/>
    <m/>
    <n v="5"/>
    <n v="190801"/>
    <n v="100000"/>
  </r>
  <r>
    <x v="120"/>
    <x v="1"/>
    <m/>
    <x v="0"/>
    <x v="1"/>
    <x v="16"/>
    <n v="190801"/>
    <n v="190801"/>
    <m/>
    <n v="44"/>
    <n v="190801"/>
    <n v="1540000"/>
  </r>
  <r>
    <x v="120"/>
    <x v="1"/>
    <m/>
    <x v="1"/>
    <x v="2"/>
    <x v="18"/>
    <n v="190801"/>
    <n v="190801"/>
    <m/>
    <n v="5"/>
    <n v="190801"/>
    <n v="100000"/>
  </r>
  <r>
    <x v="120"/>
    <x v="1"/>
    <m/>
    <x v="0"/>
    <x v="2"/>
    <x v="15"/>
    <n v="190801"/>
    <n v="190801"/>
    <m/>
    <n v="72"/>
    <n v="190801"/>
    <n v="1440000"/>
  </r>
  <r>
    <x v="120"/>
    <x v="1"/>
    <m/>
    <x v="0"/>
    <x v="2"/>
    <x v="16"/>
    <n v="190801"/>
    <n v="190801"/>
    <m/>
    <n v="72"/>
    <n v="190801"/>
    <n v="2520000"/>
  </r>
  <r>
    <x v="120"/>
    <x v="1"/>
    <m/>
    <x v="0"/>
    <x v="2"/>
    <x v="17"/>
    <n v="190801"/>
    <n v="190801"/>
    <m/>
    <n v="69"/>
    <n v="190801"/>
    <n v="2277000"/>
  </r>
  <r>
    <x v="120"/>
    <x v="1"/>
    <m/>
    <x v="0"/>
    <x v="2"/>
    <x v="19"/>
    <n v="190801"/>
    <n v="190801"/>
    <m/>
    <n v="78"/>
    <n v="190801"/>
    <n v="234000"/>
  </r>
  <r>
    <x v="120"/>
    <x v="1"/>
    <m/>
    <x v="0"/>
    <x v="4"/>
    <x v="15"/>
    <n v="190801"/>
    <n v="190801"/>
    <m/>
    <n v="9"/>
    <n v="190801"/>
    <n v="283500"/>
  </r>
  <r>
    <x v="120"/>
    <x v="1"/>
    <m/>
    <x v="0"/>
    <x v="3"/>
    <x v="17"/>
    <n v="190801"/>
    <n v="190801"/>
    <m/>
    <n v="1"/>
    <n v="190801"/>
    <n v="0"/>
  </r>
  <r>
    <x v="121"/>
    <x v="0"/>
    <m/>
    <x v="0"/>
    <x v="1"/>
    <x v="16"/>
    <n v="190801"/>
    <n v="190801"/>
    <m/>
    <n v="34"/>
    <n v="190801"/>
    <n v="1190000"/>
  </r>
  <r>
    <x v="121"/>
    <x v="0"/>
    <m/>
    <x v="1"/>
    <x v="2"/>
    <x v="18"/>
    <n v="190801"/>
    <n v="190801"/>
    <m/>
    <n v="2"/>
    <n v="190801"/>
    <n v="40000"/>
  </r>
  <r>
    <x v="121"/>
    <x v="0"/>
    <m/>
    <x v="0"/>
    <x v="2"/>
    <x v="15"/>
    <n v="190801"/>
    <n v="190801"/>
    <m/>
    <n v="59"/>
    <n v="190801"/>
    <n v="1180000"/>
  </r>
  <r>
    <x v="121"/>
    <x v="0"/>
    <m/>
    <x v="0"/>
    <x v="2"/>
    <x v="16"/>
    <n v="190801"/>
    <n v="190801"/>
    <m/>
    <n v="74"/>
    <n v="190801"/>
    <n v="2590000"/>
  </r>
  <r>
    <x v="121"/>
    <x v="0"/>
    <m/>
    <x v="0"/>
    <x v="2"/>
    <x v="17"/>
    <n v="190801"/>
    <n v="190801"/>
    <m/>
    <n v="60"/>
    <n v="190801"/>
    <n v="1980000"/>
  </r>
  <r>
    <x v="121"/>
    <x v="0"/>
    <m/>
    <x v="0"/>
    <x v="2"/>
    <x v="19"/>
    <n v="190801"/>
    <n v="190801"/>
    <m/>
    <n v="75"/>
    <n v="190801"/>
    <n v="225000"/>
  </r>
  <r>
    <x v="122"/>
    <x v="2"/>
    <m/>
    <x v="0"/>
    <x v="1"/>
    <x v="16"/>
    <n v="190801"/>
    <n v="190801"/>
    <m/>
    <n v="222"/>
    <n v="190801"/>
    <n v="7770000"/>
  </r>
  <r>
    <x v="122"/>
    <x v="2"/>
    <m/>
    <x v="18"/>
    <x v="2"/>
    <x v="19"/>
    <n v="190801"/>
    <n v="190801"/>
    <m/>
    <n v="1"/>
    <n v="190801"/>
    <n v="4000"/>
  </r>
  <r>
    <x v="122"/>
    <x v="2"/>
    <m/>
    <x v="1"/>
    <x v="2"/>
    <x v="18"/>
    <n v="190801"/>
    <n v="190801"/>
    <m/>
    <n v="4"/>
    <n v="190801"/>
    <n v="80000"/>
  </r>
  <r>
    <x v="122"/>
    <x v="2"/>
    <m/>
    <x v="0"/>
    <x v="2"/>
    <x v="15"/>
    <n v="190801"/>
    <n v="190801"/>
    <m/>
    <n v="49"/>
    <n v="190801"/>
    <n v="980000"/>
  </r>
  <r>
    <x v="122"/>
    <x v="2"/>
    <m/>
    <x v="0"/>
    <x v="2"/>
    <x v="16"/>
    <n v="190801"/>
    <n v="190801"/>
    <m/>
    <n v="55"/>
    <n v="190801"/>
    <n v="1925000"/>
  </r>
  <r>
    <x v="122"/>
    <x v="2"/>
    <m/>
    <x v="0"/>
    <x v="2"/>
    <x v="17"/>
    <n v="190801"/>
    <n v="190801"/>
    <m/>
    <n v="33"/>
    <n v="190801"/>
    <n v="1089000"/>
  </r>
  <r>
    <x v="122"/>
    <x v="2"/>
    <m/>
    <x v="0"/>
    <x v="2"/>
    <x v="19"/>
    <n v="190801"/>
    <n v="190801"/>
    <m/>
    <n v="54"/>
    <n v="190801"/>
    <n v="162000"/>
  </r>
  <r>
    <x v="122"/>
    <x v="2"/>
    <m/>
    <x v="0"/>
    <x v="4"/>
    <x v="15"/>
    <n v="190801"/>
    <n v="190801"/>
    <m/>
    <n v="18"/>
    <n v="190801"/>
    <n v="567000"/>
  </r>
  <r>
    <x v="122"/>
    <x v="2"/>
    <m/>
    <x v="0"/>
    <x v="4"/>
    <x v="16"/>
    <n v="190801"/>
    <n v="190801"/>
    <m/>
    <n v="5"/>
    <n v="190801"/>
    <n v="220000"/>
  </r>
  <r>
    <x v="123"/>
    <x v="5"/>
    <m/>
    <x v="0"/>
    <x v="1"/>
    <x v="15"/>
    <n v="190801"/>
    <n v="190801"/>
    <m/>
    <n v="2"/>
    <n v="190801"/>
    <n v="40000"/>
  </r>
  <r>
    <x v="123"/>
    <x v="5"/>
    <m/>
    <x v="0"/>
    <x v="1"/>
    <x v="16"/>
    <n v="190801"/>
    <n v="190801"/>
    <m/>
    <n v="14"/>
    <n v="190801"/>
    <n v="490000"/>
  </r>
  <r>
    <x v="123"/>
    <x v="5"/>
    <m/>
    <x v="1"/>
    <x v="2"/>
    <x v="18"/>
    <n v="190801"/>
    <n v="190801"/>
    <m/>
    <n v="5"/>
    <n v="190801"/>
    <n v="100000"/>
  </r>
  <r>
    <x v="123"/>
    <x v="5"/>
    <m/>
    <x v="0"/>
    <x v="2"/>
    <x v="15"/>
    <n v="190801"/>
    <n v="190801"/>
    <m/>
    <n v="60"/>
    <n v="190801"/>
    <n v="1200000"/>
  </r>
  <r>
    <x v="123"/>
    <x v="5"/>
    <m/>
    <x v="0"/>
    <x v="2"/>
    <x v="16"/>
    <n v="190801"/>
    <n v="190801"/>
    <m/>
    <n v="55"/>
    <n v="190801"/>
    <n v="1925000"/>
  </r>
  <r>
    <x v="123"/>
    <x v="5"/>
    <m/>
    <x v="0"/>
    <x v="2"/>
    <x v="17"/>
    <n v="190801"/>
    <n v="190801"/>
    <m/>
    <n v="37"/>
    <n v="190801"/>
    <n v="1221000"/>
  </r>
  <r>
    <x v="123"/>
    <x v="5"/>
    <m/>
    <x v="0"/>
    <x v="2"/>
    <x v="19"/>
    <n v="190801"/>
    <n v="190801"/>
    <m/>
    <n v="47"/>
    <n v="190801"/>
    <n v="141000"/>
  </r>
  <r>
    <x v="124"/>
    <x v="6"/>
    <m/>
    <x v="0"/>
    <x v="1"/>
    <x v="15"/>
    <n v="190801"/>
    <n v="190801"/>
    <m/>
    <n v="3"/>
    <n v="190801"/>
    <n v="60000"/>
  </r>
  <r>
    <x v="124"/>
    <x v="6"/>
    <m/>
    <x v="0"/>
    <x v="1"/>
    <x v="16"/>
    <n v="190801"/>
    <n v="190801"/>
    <m/>
    <n v="10"/>
    <n v="190801"/>
    <n v="350000"/>
  </r>
  <r>
    <x v="124"/>
    <x v="6"/>
    <m/>
    <x v="18"/>
    <x v="2"/>
    <x v="19"/>
    <n v="190801"/>
    <n v="190801"/>
    <m/>
    <n v="3"/>
    <n v="190801"/>
    <n v="12000"/>
  </r>
  <r>
    <x v="124"/>
    <x v="6"/>
    <m/>
    <x v="1"/>
    <x v="2"/>
    <x v="18"/>
    <n v="190801"/>
    <n v="190801"/>
    <m/>
    <n v="8"/>
    <n v="190801"/>
    <n v="160000"/>
  </r>
  <r>
    <x v="124"/>
    <x v="6"/>
    <m/>
    <x v="0"/>
    <x v="2"/>
    <x v="15"/>
    <n v="190801"/>
    <n v="190801"/>
    <m/>
    <n v="55"/>
    <n v="190801"/>
    <n v="1100000"/>
  </r>
  <r>
    <x v="124"/>
    <x v="6"/>
    <m/>
    <x v="0"/>
    <x v="2"/>
    <x v="16"/>
    <n v="190801"/>
    <n v="190801"/>
    <m/>
    <n v="55"/>
    <n v="190801"/>
    <n v="1925000"/>
  </r>
  <r>
    <x v="124"/>
    <x v="6"/>
    <m/>
    <x v="0"/>
    <x v="2"/>
    <x v="17"/>
    <n v="190801"/>
    <n v="190801"/>
    <m/>
    <n v="41"/>
    <n v="190801"/>
    <n v="1353000"/>
  </r>
  <r>
    <x v="124"/>
    <x v="6"/>
    <m/>
    <x v="0"/>
    <x v="2"/>
    <x v="19"/>
    <n v="190801"/>
    <n v="190801"/>
    <m/>
    <n v="68"/>
    <n v="190801"/>
    <n v="204000"/>
  </r>
  <r>
    <x v="124"/>
    <x v="6"/>
    <m/>
    <x v="0"/>
    <x v="6"/>
    <x v="15"/>
    <n v="190801"/>
    <n v="190801"/>
    <m/>
    <n v="911"/>
    <n v="190801"/>
    <n v="8260948"/>
  </r>
  <r>
    <x v="125"/>
    <x v="3"/>
    <m/>
    <x v="0"/>
    <x v="1"/>
    <x v="15"/>
    <n v="190801"/>
    <n v="190801"/>
    <m/>
    <n v="3"/>
    <n v="190801"/>
    <n v="60000"/>
  </r>
  <r>
    <x v="125"/>
    <x v="3"/>
    <m/>
    <x v="0"/>
    <x v="1"/>
    <x v="16"/>
    <n v="190801"/>
    <n v="190801"/>
    <m/>
    <n v="117"/>
    <n v="190801"/>
    <n v="4095000"/>
  </r>
  <r>
    <x v="125"/>
    <x v="3"/>
    <m/>
    <x v="1"/>
    <x v="2"/>
    <x v="18"/>
    <n v="190801"/>
    <n v="190801"/>
    <m/>
    <n v="4"/>
    <n v="190801"/>
    <n v="80000"/>
  </r>
  <r>
    <x v="125"/>
    <x v="3"/>
    <m/>
    <x v="0"/>
    <x v="2"/>
    <x v="15"/>
    <n v="190801"/>
    <n v="190801"/>
    <m/>
    <n v="56"/>
    <n v="190801"/>
    <n v="1120000"/>
  </r>
  <r>
    <x v="125"/>
    <x v="3"/>
    <m/>
    <x v="0"/>
    <x v="2"/>
    <x v="16"/>
    <n v="190801"/>
    <n v="190801"/>
    <m/>
    <n v="50"/>
    <n v="190801"/>
    <n v="1750000"/>
  </r>
  <r>
    <x v="125"/>
    <x v="3"/>
    <m/>
    <x v="0"/>
    <x v="2"/>
    <x v="17"/>
    <n v="190801"/>
    <n v="190801"/>
    <m/>
    <n v="44"/>
    <n v="190801"/>
    <n v="1452000"/>
  </r>
  <r>
    <x v="125"/>
    <x v="3"/>
    <m/>
    <x v="0"/>
    <x v="2"/>
    <x v="19"/>
    <n v="190801"/>
    <n v="190801"/>
    <m/>
    <n v="58"/>
    <n v="190801"/>
    <n v="174000"/>
  </r>
  <r>
    <x v="125"/>
    <x v="3"/>
    <m/>
    <x v="0"/>
    <x v="4"/>
    <x v="15"/>
    <n v="190801"/>
    <n v="190801"/>
    <m/>
    <n v="18"/>
    <n v="190801"/>
    <n v="567000"/>
  </r>
  <r>
    <x v="125"/>
    <x v="3"/>
    <m/>
    <x v="0"/>
    <x v="4"/>
    <x v="16"/>
    <n v="190801"/>
    <n v="190801"/>
    <m/>
    <n v="5"/>
    <n v="190801"/>
    <n v="220000"/>
  </r>
  <r>
    <x v="126"/>
    <x v="4"/>
    <m/>
    <x v="0"/>
    <x v="1"/>
    <x v="16"/>
    <n v="190801"/>
    <n v="190801"/>
    <m/>
    <n v="28"/>
    <n v="190801"/>
    <n v="980000"/>
  </r>
  <r>
    <x v="126"/>
    <x v="4"/>
    <m/>
    <x v="1"/>
    <x v="2"/>
    <x v="18"/>
    <n v="190801"/>
    <n v="190801"/>
    <m/>
    <n v="2"/>
    <n v="190801"/>
    <n v="40000"/>
  </r>
  <r>
    <x v="126"/>
    <x v="4"/>
    <m/>
    <x v="0"/>
    <x v="2"/>
    <x v="15"/>
    <n v="190801"/>
    <n v="190801"/>
    <m/>
    <n v="46"/>
    <n v="190801"/>
    <n v="920000"/>
  </r>
  <r>
    <x v="126"/>
    <x v="4"/>
    <m/>
    <x v="0"/>
    <x v="2"/>
    <x v="16"/>
    <n v="190801"/>
    <n v="190801"/>
    <m/>
    <n v="40"/>
    <n v="190801"/>
    <n v="1400000"/>
  </r>
  <r>
    <x v="126"/>
    <x v="4"/>
    <m/>
    <x v="0"/>
    <x v="2"/>
    <x v="17"/>
    <n v="190801"/>
    <n v="190801"/>
    <m/>
    <n v="35"/>
    <n v="190801"/>
    <n v="1155000"/>
  </r>
  <r>
    <x v="126"/>
    <x v="4"/>
    <m/>
    <x v="0"/>
    <x v="2"/>
    <x v="19"/>
    <n v="190801"/>
    <n v="190801"/>
    <m/>
    <n v="62"/>
    <n v="190801"/>
    <n v="186000"/>
  </r>
  <r>
    <x v="127"/>
    <x v="1"/>
    <m/>
    <x v="0"/>
    <x v="1"/>
    <x v="15"/>
    <n v="190801"/>
    <n v="190801"/>
    <m/>
    <n v="6"/>
    <n v="190801"/>
    <n v="120000"/>
  </r>
  <r>
    <x v="127"/>
    <x v="1"/>
    <m/>
    <x v="0"/>
    <x v="1"/>
    <x v="16"/>
    <n v="190801"/>
    <n v="190801"/>
    <m/>
    <n v="9"/>
    <n v="190801"/>
    <n v="315000"/>
  </r>
  <r>
    <x v="127"/>
    <x v="1"/>
    <m/>
    <x v="1"/>
    <x v="2"/>
    <x v="18"/>
    <n v="190801"/>
    <n v="190801"/>
    <m/>
    <n v="8"/>
    <n v="190801"/>
    <n v="160000"/>
  </r>
  <r>
    <x v="127"/>
    <x v="1"/>
    <m/>
    <x v="0"/>
    <x v="2"/>
    <x v="15"/>
    <n v="190801"/>
    <n v="190801"/>
    <m/>
    <n v="56"/>
    <n v="190801"/>
    <n v="1120000"/>
  </r>
  <r>
    <x v="127"/>
    <x v="1"/>
    <m/>
    <x v="0"/>
    <x v="2"/>
    <x v="16"/>
    <n v="190801"/>
    <n v="190801"/>
    <m/>
    <n v="37"/>
    <n v="190801"/>
    <n v="1295000"/>
  </r>
  <r>
    <x v="127"/>
    <x v="1"/>
    <m/>
    <x v="0"/>
    <x v="2"/>
    <x v="17"/>
    <n v="190801"/>
    <n v="190801"/>
    <m/>
    <n v="40"/>
    <n v="190801"/>
    <n v="1320000"/>
  </r>
  <r>
    <x v="127"/>
    <x v="1"/>
    <m/>
    <x v="0"/>
    <x v="2"/>
    <x v="19"/>
    <n v="190801"/>
    <n v="190801"/>
    <m/>
    <n v="53"/>
    <n v="190801"/>
    <n v="159000"/>
  </r>
  <r>
    <x v="127"/>
    <x v="1"/>
    <m/>
    <x v="0"/>
    <x v="4"/>
    <x v="15"/>
    <n v="190801"/>
    <n v="190801"/>
    <m/>
    <n v="14"/>
    <n v="190801"/>
    <n v="441000"/>
  </r>
  <r>
    <x v="127"/>
    <x v="1"/>
    <m/>
    <x v="0"/>
    <x v="4"/>
    <x v="16"/>
    <n v="190801"/>
    <n v="190801"/>
    <m/>
    <n v="2"/>
    <n v="190801"/>
    <n v="88000"/>
  </r>
  <r>
    <x v="128"/>
    <x v="0"/>
    <m/>
    <x v="0"/>
    <x v="1"/>
    <x v="15"/>
    <n v="190801"/>
    <n v="190801"/>
    <m/>
    <n v="1"/>
    <n v="190801"/>
    <n v="20000"/>
  </r>
  <r>
    <x v="128"/>
    <x v="0"/>
    <m/>
    <x v="0"/>
    <x v="3"/>
    <x v="15"/>
    <n v="190801"/>
    <n v="190801"/>
    <m/>
    <n v="1"/>
    <n v="190801"/>
    <n v="0"/>
  </r>
  <r>
    <x v="128"/>
    <x v="0"/>
    <m/>
    <x v="18"/>
    <x v="2"/>
    <x v="19"/>
    <n v="190801"/>
    <n v="190801"/>
    <m/>
    <n v="1"/>
    <n v="190801"/>
    <n v="4000"/>
  </r>
  <r>
    <x v="128"/>
    <x v="0"/>
    <m/>
    <x v="1"/>
    <x v="2"/>
    <x v="18"/>
    <n v="190801"/>
    <n v="190801"/>
    <m/>
    <n v="9"/>
    <n v="190801"/>
    <n v="180000"/>
  </r>
  <r>
    <x v="128"/>
    <x v="0"/>
    <m/>
    <x v="0"/>
    <x v="2"/>
    <x v="15"/>
    <n v="190801"/>
    <n v="190801"/>
    <m/>
    <n v="34"/>
    <n v="190801"/>
    <n v="680000"/>
  </r>
  <r>
    <x v="128"/>
    <x v="0"/>
    <m/>
    <x v="0"/>
    <x v="2"/>
    <x v="16"/>
    <n v="190801"/>
    <n v="190801"/>
    <m/>
    <n v="65"/>
    <n v="190801"/>
    <n v="2275000"/>
  </r>
  <r>
    <x v="128"/>
    <x v="0"/>
    <m/>
    <x v="0"/>
    <x v="2"/>
    <x v="17"/>
    <n v="190801"/>
    <n v="190801"/>
    <m/>
    <n v="38"/>
    <n v="190801"/>
    <n v="1254000"/>
  </r>
  <r>
    <x v="128"/>
    <x v="0"/>
    <m/>
    <x v="0"/>
    <x v="2"/>
    <x v="19"/>
    <n v="190801"/>
    <n v="190801"/>
    <m/>
    <n v="44"/>
    <n v="190801"/>
    <n v="132000"/>
  </r>
  <r>
    <x v="128"/>
    <x v="0"/>
    <m/>
    <x v="0"/>
    <x v="4"/>
    <x v="15"/>
    <n v="190801"/>
    <n v="190801"/>
    <m/>
    <n v="6"/>
    <n v="190801"/>
    <n v="189000"/>
  </r>
  <r>
    <x v="129"/>
    <x v="2"/>
    <m/>
    <x v="0"/>
    <x v="3"/>
    <x v="15"/>
    <n v="190801"/>
    <n v="190801"/>
    <m/>
    <n v="1"/>
    <n v="190801"/>
    <n v="0"/>
  </r>
  <r>
    <x v="129"/>
    <x v="2"/>
    <m/>
    <x v="18"/>
    <x v="2"/>
    <x v="19"/>
    <n v="190801"/>
    <n v="190801"/>
    <m/>
    <n v="1"/>
    <n v="190801"/>
    <n v="4000"/>
  </r>
  <r>
    <x v="129"/>
    <x v="2"/>
    <m/>
    <x v="1"/>
    <x v="2"/>
    <x v="18"/>
    <n v="190801"/>
    <n v="190801"/>
    <m/>
    <n v="6"/>
    <n v="190801"/>
    <n v="120000"/>
  </r>
  <r>
    <x v="129"/>
    <x v="2"/>
    <m/>
    <x v="0"/>
    <x v="2"/>
    <x v="15"/>
    <n v="190801"/>
    <n v="190801"/>
    <m/>
    <n v="44"/>
    <n v="190801"/>
    <n v="880000"/>
  </r>
  <r>
    <x v="129"/>
    <x v="2"/>
    <m/>
    <x v="0"/>
    <x v="2"/>
    <x v="16"/>
    <n v="190801"/>
    <n v="190801"/>
    <m/>
    <n v="154"/>
    <n v="190801"/>
    <n v="5390000"/>
  </r>
  <r>
    <x v="129"/>
    <x v="2"/>
    <m/>
    <x v="0"/>
    <x v="2"/>
    <x v="17"/>
    <n v="190801"/>
    <n v="190801"/>
    <m/>
    <n v="23"/>
    <n v="190801"/>
    <n v="759000"/>
  </r>
  <r>
    <x v="129"/>
    <x v="2"/>
    <m/>
    <x v="0"/>
    <x v="2"/>
    <x v="19"/>
    <n v="190801"/>
    <n v="190801"/>
    <m/>
    <n v="48"/>
    <n v="190801"/>
    <n v="144000"/>
  </r>
  <r>
    <x v="129"/>
    <x v="2"/>
    <m/>
    <x v="0"/>
    <x v="4"/>
    <x v="15"/>
    <n v="190801"/>
    <n v="190801"/>
    <m/>
    <n v="4"/>
    <n v="190801"/>
    <n v="126000"/>
  </r>
  <r>
    <x v="129"/>
    <x v="2"/>
    <m/>
    <x v="0"/>
    <x v="4"/>
    <x v="16"/>
    <n v="190801"/>
    <n v="190801"/>
    <m/>
    <n v="1"/>
    <n v="190801"/>
    <n v="44000"/>
  </r>
  <r>
    <x v="130"/>
    <x v="5"/>
    <m/>
    <x v="18"/>
    <x v="2"/>
    <x v="19"/>
    <n v="190801"/>
    <n v="190801"/>
    <m/>
    <n v="6"/>
    <n v="190801"/>
    <n v="24000"/>
  </r>
  <r>
    <x v="130"/>
    <x v="5"/>
    <m/>
    <x v="1"/>
    <x v="2"/>
    <x v="18"/>
    <n v="190801"/>
    <n v="190801"/>
    <m/>
    <n v="5"/>
    <n v="190801"/>
    <n v="100000"/>
  </r>
  <r>
    <x v="130"/>
    <x v="5"/>
    <m/>
    <x v="1"/>
    <x v="2"/>
    <x v="21"/>
    <n v="190801"/>
    <n v="190801"/>
    <m/>
    <n v="1"/>
    <n v="190801"/>
    <n v="35000"/>
  </r>
  <r>
    <x v="130"/>
    <x v="5"/>
    <m/>
    <x v="0"/>
    <x v="2"/>
    <x v="15"/>
    <n v="190801"/>
    <n v="190801"/>
    <m/>
    <n v="35"/>
    <n v="190801"/>
    <n v="700000"/>
  </r>
  <r>
    <x v="130"/>
    <x v="5"/>
    <m/>
    <x v="0"/>
    <x v="2"/>
    <x v="16"/>
    <n v="190801"/>
    <n v="190801"/>
    <m/>
    <n v="30"/>
    <n v="190801"/>
    <n v="1050000"/>
  </r>
  <r>
    <x v="130"/>
    <x v="5"/>
    <m/>
    <x v="0"/>
    <x v="2"/>
    <x v="17"/>
    <n v="190801"/>
    <n v="190801"/>
    <m/>
    <n v="33"/>
    <n v="190801"/>
    <n v="1089000"/>
  </r>
  <r>
    <x v="130"/>
    <x v="5"/>
    <m/>
    <x v="0"/>
    <x v="2"/>
    <x v="19"/>
    <n v="190801"/>
    <n v="190801"/>
    <m/>
    <n v="37"/>
    <n v="190801"/>
    <n v="111000"/>
  </r>
  <r>
    <x v="131"/>
    <x v="6"/>
    <m/>
    <x v="1"/>
    <x v="2"/>
    <x v="18"/>
    <n v="190801"/>
    <n v="190801"/>
    <m/>
    <n v="6"/>
    <n v="190801"/>
    <n v="120000"/>
  </r>
  <r>
    <x v="131"/>
    <x v="6"/>
    <m/>
    <x v="1"/>
    <x v="2"/>
    <x v="21"/>
    <n v="190801"/>
    <n v="190801"/>
    <m/>
    <n v="1"/>
    <n v="190801"/>
    <n v="35000"/>
  </r>
  <r>
    <x v="131"/>
    <x v="6"/>
    <m/>
    <x v="0"/>
    <x v="2"/>
    <x v="15"/>
    <n v="190801"/>
    <n v="190801"/>
    <m/>
    <n v="52"/>
    <n v="190801"/>
    <n v="1040000"/>
  </r>
  <r>
    <x v="131"/>
    <x v="6"/>
    <m/>
    <x v="0"/>
    <x v="2"/>
    <x v="16"/>
    <n v="190801"/>
    <n v="190801"/>
    <m/>
    <n v="40"/>
    <n v="190801"/>
    <n v="1400000"/>
  </r>
  <r>
    <x v="131"/>
    <x v="6"/>
    <m/>
    <x v="0"/>
    <x v="2"/>
    <x v="17"/>
    <n v="190801"/>
    <n v="190801"/>
    <m/>
    <n v="33"/>
    <n v="190801"/>
    <n v="1089000"/>
  </r>
  <r>
    <x v="131"/>
    <x v="6"/>
    <m/>
    <x v="0"/>
    <x v="2"/>
    <x v="19"/>
    <n v="190801"/>
    <n v="190801"/>
    <m/>
    <n v="48"/>
    <n v="190801"/>
    <n v="144000"/>
  </r>
  <r>
    <x v="132"/>
    <x v="3"/>
    <m/>
    <x v="0"/>
    <x v="1"/>
    <x v="15"/>
    <n v="190801"/>
    <n v="190801"/>
    <m/>
    <n v="7"/>
    <n v="190801"/>
    <n v="140000"/>
  </r>
  <r>
    <x v="132"/>
    <x v="3"/>
    <m/>
    <x v="0"/>
    <x v="1"/>
    <x v="16"/>
    <n v="190801"/>
    <n v="190801"/>
    <m/>
    <n v="27"/>
    <n v="190801"/>
    <n v="945000"/>
  </r>
  <r>
    <x v="132"/>
    <x v="3"/>
    <m/>
    <x v="0"/>
    <x v="3"/>
    <x v="15"/>
    <n v="190801"/>
    <n v="190801"/>
    <m/>
    <n v="85"/>
    <n v="190801"/>
    <n v="0"/>
  </r>
  <r>
    <x v="132"/>
    <x v="3"/>
    <m/>
    <x v="0"/>
    <x v="3"/>
    <x v="17"/>
    <n v="190801"/>
    <n v="190801"/>
    <m/>
    <n v="2"/>
    <n v="190801"/>
    <n v="0"/>
  </r>
  <r>
    <x v="132"/>
    <x v="3"/>
    <m/>
    <x v="1"/>
    <x v="3"/>
    <x v="18"/>
    <n v="190801"/>
    <n v="190801"/>
    <m/>
    <n v="81"/>
    <n v="190801"/>
    <n v="0"/>
  </r>
  <r>
    <x v="132"/>
    <x v="3"/>
    <m/>
    <x v="19"/>
    <x v="3"/>
    <x v="22"/>
    <n v="190801"/>
    <n v="190801"/>
    <m/>
    <n v="60"/>
    <n v="190801"/>
    <n v="0"/>
  </r>
  <r>
    <x v="132"/>
    <x v="3"/>
    <m/>
    <x v="1"/>
    <x v="2"/>
    <x v="18"/>
    <n v="190801"/>
    <n v="190801"/>
    <m/>
    <n v="12"/>
    <n v="190801"/>
    <n v="240000"/>
  </r>
  <r>
    <x v="132"/>
    <x v="3"/>
    <m/>
    <x v="0"/>
    <x v="2"/>
    <x v="15"/>
    <n v="190801"/>
    <n v="190801"/>
    <m/>
    <n v="94"/>
    <n v="190801"/>
    <n v="1880000"/>
  </r>
  <r>
    <x v="132"/>
    <x v="3"/>
    <m/>
    <x v="0"/>
    <x v="2"/>
    <x v="16"/>
    <n v="190801"/>
    <n v="190801"/>
    <m/>
    <n v="172"/>
    <n v="190801"/>
    <n v="6020000"/>
  </r>
  <r>
    <x v="132"/>
    <x v="3"/>
    <m/>
    <x v="0"/>
    <x v="2"/>
    <x v="17"/>
    <n v="190801"/>
    <n v="190801"/>
    <m/>
    <n v="53"/>
    <n v="190801"/>
    <n v="1749000"/>
  </r>
  <r>
    <x v="132"/>
    <x v="3"/>
    <m/>
    <x v="0"/>
    <x v="2"/>
    <x v="19"/>
    <n v="190801"/>
    <n v="190801"/>
    <m/>
    <n v="85"/>
    <n v="190801"/>
    <n v="255000"/>
  </r>
  <r>
    <x v="132"/>
    <x v="3"/>
    <m/>
    <x v="0"/>
    <x v="4"/>
    <x v="15"/>
    <n v="190801"/>
    <n v="190801"/>
    <m/>
    <n v="31"/>
    <n v="190801"/>
    <n v="976500"/>
  </r>
  <r>
    <x v="132"/>
    <x v="3"/>
    <m/>
    <x v="0"/>
    <x v="4"/>
    <x v="16"/>
    <n v="190801"/>
    <n v="190801"/>
    <m/>
    <n v="14"/>
    <n v="190801"/>
    <n v="616000"/>
  </r>
  <r>
    <x v="133"/>
    <x v="4"/>
    <m/>
    <x v="0"/>
    <x v="1"/>
    <x v="15"/>
    <n v="190801"/>
    <n v="190801"/>
    <m/>
    <n v="6"/>
    <n v="190801"/>
    <n v="120000"/>
  </r>
  <r>
    <x v="133"/>
    <x v="4"/>
    <m/>
    <x v="0"/>
    <x v="1"/>
    <x v="16"/>
    <n v="190801"/>
    <n v="190801"/>
    <m/>
    <n v="15"/>
    <n v="190801"/>
    <n v="525000"/>
  </r>
  <r>
    <x v="133"/>
    <x v="4"/>
    <m/>
    <x v="0"/>
    <x v="3"/>
    <x v="15"/>
    <n v="190801"/>
    <n v="190801"/>
    <m/>
    <n v="7"/>
    <n v="190801"/>
    <n v="0"/>
  </r>
  <r>
    <x v="133"/>
    <x v="4"/>
    <m/>
    <x v="1"/>
    <x v="3"/>
    <x v="18"/>
    <n v="190801"/>
    <n v="190801"/>
    <m/>
    <n v="1"/>
    <n v="190801"/>
    <n v="0"/>
  </r>
  <r>
    <x v="133"/>
    <x v="4"/>
    <m/>
    <x v="19"/>
    <x v="3"/>
    <x v="22"/>
    <n v="190801"/>
    <n v="190801"/>
    <m/>
    <n v="1"/>
    <n v="190801"/>
    <n v="0"/>
  </r>
  <r>
    <x v="133"/>
    <x v="4"/>
    <m/>
    <x v="18"/>
    <x v="2"/>
    <x v="19"/>
    <n v="190801"/>
    <n v="190801"/>
    <m/>
    <n v="5"/>
    <n v="190801"/>
    <n v="20000"/>
  </r>
  <r>
    <x v="133"/>
    <x v="4"/>
    <m/>
    <x v="1"/>
    <x v="2"/>
    <x v="18"/>
    <n v="190801"/>
    <n v="190801"/>
    <m/>
    <n v="17"/>
    <n v="190801"/>
    <n v="340000"/>
  </r>
  <r>
    <x v="133"/>
    <x v="4"/>
    <m/>
    <x v="1"/>
    <x v="2"/>
    <x v="21"/>
    <n v="190801"/>
    <n v="190801"/>
    <m/>
    <n v="4"/>
    <n v="190801"/>
    <n v="140000"/>
  </r>
  <r>
    <x v="133"/>
    <x v="4"/>
    <m/>
    <x v="0"/>
    <x v="2"/>
    <x v="15"/>
    <n v="190801"/>
    <n v="190801"/>
    <m/>
    <n v="109"/>
    <n v="190801"/>
    <n v="2180000"/>
  </r>
  <r>
    <x v="133"/>
    <x v="4"/>
    <m/>
    <x v="0"/>
    <x v="2"/>
    <x v="16"/>
    <n v="190801"/>
    <n v="190801"/>
    <m/>
    <n v="104"/>
    <n v="190801"/>
    <n v="3640000"/>
  </r>
  <r>
    <x v="133"/>
    <x v="4"/>
    <m/>
    <x v="0"/>
    <x v="2"/>
    <x v="17"/>
    <n v="190801"/>
    <n v="190801"/>
    <m/>
    <n v="58"/>
    <n v="190801"/>
    <n v="1914000"/>
  </r>
  <r>
    <x v="133"/>
    <x v="4"/>
    <m/>
    <x v="0"/>
    <x v="2"/>
    <x v="19"/>
    <n v="190801"/>
    <n v="190801"/>
    <m/>
    <n v="109"/>
    <n v="190801"/>
    <n v="327000"/>
  </r>
  <r>
    <x v="133"/>
    <x v="4"/>
    <m/>
    <x v="19"/>
    <x v="2"/>
    <x v="22"/>
    <n v="190801"/>
    <n v="190801"/>
    <m/>
    <n v="7"/>
    <n v="190801"/>
    <n v="91000"/>
  </r>
  <r>
    <x v="133"/>
    <x v="4"/>
    <m/>
    <x v="19"/>
    <x v="2"/>
    <x v="23"/>
    <n v="190801"/>
    <n v="190801"/>
    <m/>
    <n v="2"/>
    <n v="190801"/>
    <n v="48000"/>
  </r>
  <r>
    <x v="133"/>
    <x v="4"/>
    <m/>
    <x v="19"/>
    <x v="2"/>
    <x v="24"/>
    <n v="190801"/>
    <n v="190801"/>
    <m/>
    <n v="1"/>
    <n v="190801"/>
    <n v="33000"/>
  </r>
  <r>
    <x v="133"/>
    <x v="4"/>
    <m/>
    <x v="0"/>
    <x v="4"/>
    <x v="15"/>
    <n v="190801"/>
    <n v="190801"/>
    <m/>
    <n v="10"/>
    <n v="190801"/>
    <n v="315000"/>
  </r>
  <r>
    <x v="133"/>
    <x v="4"/>
    <m/>
    <x v="0"/>
    <x v="4"/>
    <x v="16"/>
    <n v="190801"/>
    <n v="190801"/>
    <m/>
    <n v="1"/>
    <n v="190801"/>
    <n v="44000"/>
  </r>
  <r>
    <x v="134"/>
    <x v="1"/>
    <m/>
    <x v="0"/>
    <x v="1"/>
    <x v="15"/>
    <n v="190801"/>
    <n v="190801"/>
    <m/>
    <n v="2"/>
    <n v="190801"/>
    <n v="40000"/>
  </r>
  <r>
    <x v="134"/>
    <x v="1"/>
    <m/>
    <x v="0"/>
    <x v="1"/>
    <x v="16"/>
    <n v="190801"/>
    <n v="190801"/>
    <m/>
    <n v="19"/>
    <n v="190801"/>
    <n v="665000"/>
  </r>
  <r>
    <x v="134"/>
    <x v="1"/>
    <m/>
    <x v="18"/>
    <x v="2"/>
    <x v="19"/>
    <n v="190801"/>
    <n v="190801"/>
    <m/>
    <n v="1"/>
    <n v="190801"/>
    <n v="4000"/>
  </r>
  <r>
    <x v="134"/>
    <x v="1"/>
    <m/>
    <x v="1"/>
    <x v="2"/>
    <x v="18"/>
    <n v="190801"/>
    <n v="190801"/>
    <m/>
    <n v="4"/>
    <n v="190801"/>
    <n v="80000"/>
  </r>
  <r>
    <x v="134"/>
    <x v="1"/>
    <m/>
    <x v="1"/>
    <x v="2"/>
    <x v="21"/>
    <n v="190801"/>
    <n v="190801"/>
    <m/>
    <n v="1"/>
    <n v="190801"/>
    <n v="35000"/>
  </r>
  <r>
    <x v="134"/>
    <x v="1"/>
    <m/>
    <x v="0"/>
    <x v="2"/>
    <x v="15"/>
    <n v="190801"/>
    <n v="190801"/>
    <m/>
    <n v="94"/>
    <n v="190801"/>
    <n v="1880000"/>
  </r>
  <r>
    <x v="134"/>
    <x v="1"/>
    <m/>
    <x v="0"/>
    <x v="2"/>
    <x v="16"/>
    <n v="190801"/>
    <n v="190801"/>
    <m/>
    <n v="182"/>
    <n v="190801"/>
    <n v="6370000"/>
  </r>
  <r>
    <x v="134"/>
    <x v="1"/>
    <m/>
    <x v="0"/>
    <x v="2"/>
    <x v="17"/>
    <n v="190801"/>
    <n v="190801"/>
    <m/>
    <n v="46"/>
    <n v="190801"/>
    <n v="1518000"/>
  </r>
  <r>
    <x v="134"/>
    <x v="1"/>
    <m/>
    <x v="0"/>
    <x v="2"/>
    <x v="19"/>
    <n v="190801"/>
    <n v="190801"/>
    <m/>
    <n v="86"/>
    <n v="190801"/>
    <n v="258000"/>
  </r>
  <r>
    <x v="134"/>
    <x v="1"/>
    <m/>
    <x v="19"/>
    <x v="2"/>
    <x v="22"/>
    <n v="190801"/>
    <n v="190801"/>
    <m/>
    <n v="11"/>
    <n v="190801"/>
    <n v="143000"/>
  </r>
  <r>
    <x v="134"/>
    <x v="1"/>
    <m/>
    <x v="19"/>
    <x v="2"/>
    <x v="24"/>
    <n v="190801"/>
    <n v="190801"/>
    <m/>
    <n v="1"/>
    <n v="190801"/>
    <n v="33000"/>
  </r>
  <r>
    <x v="134"/>
    <x v="1"/>
    <m/>
    <x v="0"/>
    <x v="4"/>
    <x v="15"/>
    <n v="190801"/>
    <n v="190801"/>
    <m/>
    <n v="12"/>
    <n v="190801"/>
    <n v="378000"/>
  </r>
  <r>
    <x v="134"/>
    <x v="1"/>
    <m/>
    <x v="0"/>
    <x v="4"/>
    <x v="16"/>
    <n v="190801"/>
    <n v="190801"/>
    <m/>
    <n v="4"/>
    <n v="190801"/>
    <n v="176000"/>
  </r>
  <r>
    <x v="135"/>
    <x v="0"/>
    <m/>
    <x v="0"/>
    <x v="1"/>
    <x v="16"/>
    <n v="190801"/>
    <n v="190801"/>
    <m/>
    <n v="16"/>
    <n v="190801"/>
    <n v="560000"/>
  </r>
  <r>
    <x v="135"/>
    <x v="0"/>
    <m/>
    <x v="0"/>
    <x v="3"/>
    <x v="15"/>
    <n v="190801"/>
    <n v="190801"/>
    <m/>
    <n v="10"/>
    <n v="190801"/>
    <n v="0"/>
  </r>
  <r>
    <x v="135"/>
    <x v="0"/>
    <m/>
    <x v="19"/>
    <x v="3"/>
    <x v="22"/>
    <n v="190801"/>
    <n v="190801"/>
    <m/>
    <n v="8"/>
    <n v="190801"/>
    <n v="0"/>
  </r>
  <r>
    <x v="135"/>
    <x v="0"/>
    <m/>
    <x v="18"/>
    <x v="3"/>
    <x v="19"/>
    <n v="190801"/>
    <n v="190801"/>
    <m/>
    <n v="8"/>
    <n v="190801"/>
    <n v="0"/>
  </r>
  <r>
    <x v="135"/>
    <x v="0"/>
    <m/>
    <x v="1"/>
    <x v="2"/>
    <x v="18"/>
    <n v="190801"/>
    <n v="190801"/>
    <m/>
    <n v="11"/>
    <n v="190801"/>
    <n v="220000"/>
  </r>
  <r>
    <x v="135"/>
    <x v="0"/>
    <m/>
    <x v="1"/>
    <x v="2"/>
    <x v="21"/>
    <n v="190801"/>
    <n v="190801"/>
    <m/>
    <n v="2"/>
    <n v="190801"/>
    <n v="70000"/>
  </r>
  <r>
    <x v="135"/>
    <x v="0"/>
    <m/>
    <x v="0"/>
    <x v="2"/>
    <x v="15"/>
    <n v="190801"/>
    <n v="190801"/>
    <m/>
    <n v="73"/>
    <n v="190801"/>
    <n v="1460000"/>
  </r>
  <r>
    <x v="135"/>
    <x v="0"/>
    <m/>
    <x v="0"/>
    <x v="2"/>
    <x v="16"/>
    <n v="190801"/>
    <n v="190801"/>
    <m/>
    <n v="57"/>
    <n v="190801"/>
    <n v="1995000"/>
  </r>
  <r>
    <x v="135"/>
    <x v="0"/>
    <m/>
    <x v="0"/>
    <x v="2"/>
    <x v="17"/>
    <n v="190801"/>
    <n v="190801"/>
    <m/>
    <n v="39"/>
    <n v="190801"/>
    <n v="1287000"/>
  </r>
  <r>
    <x v="135"/>
    <x v="0"/>
    <m/>
    <x v="0"/>
    <x v="2"/>
    <x v="19"/>
    <n v="190801"/>
    <n v="190801"/>
    <m/>
    <n v="65"/>
    <n v="190801"/>
    <n v="195000"/>
  </r>
  <r>
    <x v="135"/>
    <x v="0"/>
    <m/>
    <x v="19"/>
    <x v="2"/>
    <x v="22"/>
    <n v="190801"/>
    <n v="190801"/>
    <m/>
    <n v="14"/>
    <n v="190801"/>
    <n v="182000"/>
  </r>
  <r>
    <x v="135"/>
    <x v="0"/>
    <m/>
    <x v="0"/>
    <x v="4"/>
    <x v="15"/>
    <n v="190801"/>
    <n v="190801"/>
    <m/>
    <n v="3"/>
    <n v="190801"/>
    <n v="94500"/>
  </r>
  <r>
    <x v="135"/>
    <x v="0"/>
    <m/>
    <x v="0"/>
    <x v="4"/>
    <x v="16"/>
    <n v="190801"/>
    <n v="190801"/>
    <m/>
    <n v="1"/>
    <n v="190801"/>
    <n v="44000"/>
  </r>
  <r>
    <x v="136"/>
    <x v="2"/>
    <m/>
    <x v="0"/>
    <x v="1"/>
    <x v="16"/>
    <n v="190801"/>
    <n v="190801"/>
    <m/>
    <n v="9"/>
    <n v="190801"/>
    <n v="315000"/>
  </r>
  <r>
    <x v="136"/>
    <x v="2"/>
    <m/>
    <x v="0"/>
    <x v="7"/>
    <x v="15"/>
    <n v="190801"/>
    <n v="190801"/>
    <m/>
    <n v="11"/>
    <n v="190801"/>
    <n v="220000"/>
  </r>
  <r>
    <x v="136"/>
    <x v="2"/>
    <m/>
    <x v="1"/>
    <x v="2"/>
    <x v="18"/>
    <n v="190801"/>
    <n v="190801"/>
    <m/>
    <n v="4"/>
    <n v="190801"/>
    <n v="80000"/>
  </r>
  <r>
    <x v="136"/>
    <x v="2"/>
    <m/>
    <x v="1"/>
    <x v="2"/>
    <x v="21"/>
    <n v="190801"/>
    <n v="190801"/>
    <m/>
    <n v="4"/>
    <n v="190801"/>
    <n v="140000"/>
  </r>
  <r>
    <x v="136"/>
    <x v="2"/>
    <m/>
    <x v="0"/>
    <x v="2"/>
    <x v="15"/>
    <n v="190801"/>
    <n v="190801"/>
    <m/>
    <n v="64"/>
    <n v="190801"/>
    <n v="1280000"/>
  </r>
  <r>
    <x v="136"/>
    <x v="2"/>
    <m/>
    <x v="0"/>
    <x v="2"/>
    <x v="16"/>
    <n v="190801"/>
    <n v="190801"/>
    <m/>
    <n v="37"/>
    <n v="190801"/>
    <n v="1295000"/>
  </r>
  <r>
    <x v="136"/>
    <x v="2"/>
    <m/>
    <x v="0"/>
    <x v="2"/>
    <x v="17"/>
    <n v="190801"/>
    <n v="190801"/>
    <m/>
    <n v="31"/>
    <n v="190801"/>
    <n v="1023000"/>
  </r>
  <r>
    <x v="136"/>
    <x v="2"/>
    <m/>
    <x v="0"/>
    <x v="2"/>
    <x v="19"/>
    <n v="190801"/>
    <n v="190801"/>
    <m/>
    <n v="51"/>
    <n v="190801"/>
    <n v="153000"/>
  </r>
  <r>
    <x v="136"/>
    <x v="2"/>
    <m/>
    <x v="19"/>
    <x v="2"/>
    <x v="22"/>
    <n v="190801"/>
    <n v="190801"/>
    <m/>
    <n v="7"/>
    <n v="190801"/>
    <n v="91000"/>
  </r>
  <r>
    <x v="136"/>
    <x v="2"/>
    <m/>
    <x v="19"/>
    <x v="2"/>
    <x v="23"/>
    <n v="190801"/>
    <n v="190801"/>
    <m/>
    <n v="2"/>
    <n v="190801"/>
    <n v="48000"/>
  </r>
  <r>
    <x v="136"/>
    <x v="2"/>
    <m/>
    <x v="19"/>
    <x v="2"/>
    <x v="24"/>
    <n v="190801"/>
    <n v="190801"/>
    <m/>
    <n v="1"/>
    <n v="190801"/>
    <n v="33000"/>
  </r>
  <r>
    <x v="136"/>
    <x v="2"/>
    <m/>
    <x v="0"/>
    <x v="4"/>
    <x v="15"/>
    <n v="190801"/>
    <n v="190801"/>
    <m/>
    <n v="2"/>
    <n v="190801"/>
    <n v="63000"/>
  </r>
  <r>
    <x v="136"/>
    <x v="2"/>
    <m/>
    <x v="0"/>
    <x v="4"/>
    <x v="16"/>
    <n v="190801"/>
    <n v="190801"/>
    <m/>
    <n v="2"/>
    <n v="190801"/>
    <n v="88000"/>
  </r>
  <r>
    <x v="137"/>
    <x v="5"/>
    <m/>
    <x v="0"/>
    <x v="7"/>
    <x v="15"/>
    <n v="190801"/>
    <n v="190801"/>
    <m/>
    <n v="12"/>
    <n v="190801"/>
    <n v="240000"/>
  </r>
  <r>
    <x v="137"/>
    <x v="5"/>
    <m/>
    <x v="1"/>
    <x v="2"/>
    <x v="18"/>
    <n v="190801"/>
    <n v="190801"/>
    <m/>
    <n v="6"/>
    <n v="190801"/>
    <n v="120000"/>
  </r>
  <r>
    <x v="137"/>
    <x v="5"/>
    <m/>
    <x v="0"/>
    <x v="2"/>
    <x v="15"/>
    <n v="190801"/>
    <n v="190801"/>
    <m/>
    <n v="40"/>
    <n v="190801"/>
    <n v="800000"/>
  </r>
  <r>
    <x v="137"/>
    <x v="5"/>
    <m/>
    <x v="0"/>
    <x v="2"/>
    <x v="16"/>
    <n v="190801"/>
    <n v="190801"/>
    <m/>
    <n v="40"/>
    <n v="190801"/>
    <n v="1400000"/>
  </r>
  <r>
    <x v="137"/>
    <x v="5"/>
    <m/>
    <x v="0"/>
    <x v="2"/>
    <x v="17"/>
    <n v="190801"/>
    <n v="190801"/>
    <m/>
    <n v="25"/>
    <n v="190801"/>
    <n v="825000"/>
  </r>
  <r>
    <x v="137"/>
    <x v="5"/>
    <m/>
    <x v="0"/>
    <x v="2"/>
    <x v="19"/>
    <n v="190801"/>
    <n v="190801"/>
    <m/>
    <n v="38"/>
    <n v="190801"/>
    <n v="114000"/>
  </r>
  <r>
    <x v="137"/>
    <x v="5"/>
    <m/>
    <x v="19"/>
    <x v="2"/>
    <x v="22"/>
    <n v="190801"/>
    <n v="190801"/>
    <m/>
    <n v="6"/>
    <n v="190801"/>
    <n v="78000"/>
  </r>
  <r>
    <x v="137"/>
    <x v="5"/>
    <m/>
    <x v="19"/>
    <x v="2"/>
    <x v="23"/>
    <n v="190801"/>
    <n v="190801"/>
    <m/>
    <n v="1"/>
    <n v="190801"/>
    <n v="24000"/>
  </r>
  <r>
    <x v="137"/>
    <x v="5"/>
    <m/>
    <x v="19"/>
    <x v="2"/>
    <x v="24"/>
    <n v="190801"/>
    <n v="190801"/>
    <m/>
    <n v="1"/>
    <n v="190801"/>
    <n v="33000"/>
  </r>
  <r>
    <x v="138"/>
    <x v="6"/>
    <m/>
    <x v="0"/>
    <x v="7"/>
    <x v="15"/>
    <n v="190801"/>
    <n v="190801"/>
    <m/>
    <n v="6"/>
    <n v="190801"/>
    <n v="120000"/>
  </r>
  <r>
    <x v="138"/>
    <x v="6"/>
    <m/>
    <x v="1"/>
    <x v="2"/>
    <x v="18"/>
    <n v="190801"/>
    <n v="190801"/>
    <m/>
    <n v="11"/>
    <n v="190801"/>
    <n v="220000"/>
  </r>
  <r>
    <x v="138"/>
    <x v="6"/>
    <m/>
    <x v="1"/>
    <x v="2"/>
    <x v="21"/>
    <n v="190801"/>
    <n v="190801"/>
    <m/>
    <n v="3"/>
    <n v="190801"/>
    <n v="105000"/>
  </r>
  <r>
    <x v="138"/>
    <x v="6"/>
    <m/>
    <x v="0"/>
    <x v="2"/>
    <x v="15"/>
    <n v="190801"/>
    <n v="190801"/>
    <m/>
    <n v="39"/>
    <n v="190801"/>
    <n v="780000"/>
  </r>
  <r>
    <x v="138"/>
    <x v="6"/>
    <m/>
    <x v="0"/>
    <x v="2"/>
    <x v="16"/>
    <n v="190801"/>
    <n v="190801"/>
    <m/>
    <n v="30"/>
    <n v="190801"/>
    <n v="1050000"/>
  </r>
  <r>
    <x v="138"/>
    <x v="6"/>
    <m/>
    <x v="0"/>
    <x v="2"/>
    <x v="17"/>
    <n v="190801"/>
    <n v="190801"/>
    <m/>
    <n v="33"/>
    <n v="190801"/>
    <n v="1089000"/>
  </r>
  <r>
    <x v="138"/>
    <x v="6"/>
    <m/>
    <x v="0"/>
    <x v="2"/>
    <x v="19"/>
    <n v="190801"/>
    <n v="190801"/>
    <m/>
    <n v="57"/>
    <n v="190801"/>
    <n v="171000"/>
  </r>
  <r>
    <x v="138"/>
    <x v="6"/>
    <m/>
    <x v="19"/>
    <x v="2"/>
    <x v="22"/>
    <n v="190801"/>
    <n v="190801"/>
    <m/>
    <n v="8"/>
    <n v="190801"/>
    <n v="104000"/>
  </r>
  <r>
    <x v="138"/>
    <x v="6"/>
    <m/>
    <x v="19"/>
    <x v="2"/>
    <x v="23"/>
    <n v="190801"/>
    <n v="190801"/>
    <m/>
    <n v="1"/>
    <n v="190801"/>
    <n v="24000"/>
  </r>
  <r>
    <x v="131"/>
    <x v="6"/>
    <m/>
    <x v="0"/>
    <x v="6"/>
    <x v="15"/>
    <n v="190801"/>
    <n v="190801"/>
    <m/>
    <n v="419"/>
    <n v="190801"/>
    <n v="3799492"/>
  </r>
  <r>
    <x v="131"/>
    <x v="6"/>
    <m/>
    <x v="19"/>
    <x v="6"/>
    <x v="22"/>
    <n v="190801"/>
    <n v="190801"/>
    <m/>
    <n v="3"/>
    <n v="190801"/>
    <n v="20373"/>
  </r>
  <r>
    <x v="138"/>
    <x v="6"/>
    <m/>
    <x v="0"/>
    <x v="6"/>
    <x v="15"/>
    <n v="190801"/>
    <n v="190801"/>
    <m/>
    <n v="551"/>
    <n v="190801"/>
    <n v="4996468"/>
  </r>
  <r>
    <x v="138"/>
    <x v="6"/>
    <m/>
    <x v="19"/>
    <x v="6"/>
    <x v="22"/>
    <n v="190801"/>
    <n v="190801"/>
    <m/>
    <n v="8"/>
    <n v="190801"/>
    <n v="54328"/>
  </r>
  <r>
    <x v="138"/>
    <x v="6"/>
    <m/>
    <x v="1"/>
    <x v="6"/>
    <x v="18"/>
    <n v="190801"/>
    <n v="190801"/>
    <m/>
    <n v="5"/>
    <n v="190801"/>
    <n v="46025"/>
  </r>
  <r>
    <x v="139"/>
    <x v="3"/>
    <m/>
    <x v="0"/>
    <x v="1"/>
    <x v="15"/>
    <n v="190801"/>
    <n v="190801"/>
    <m/>
    <n v="1"/>
    <n v="190801"/>
    <n v="20000"/>
  </r>
  <r>
    <x v="139"/>
    <x v="3"/>
    <m/>
    <x v="0"/>
    <x v="1"/>
    <x v="16"/>
    <n v="190801"/>
    <n v="190801"/>
    <m/>
    <n v="136"/>
    <n v="190801"/>
    <n v="4760000"/>
  </r>
  <r>
    <x v="139"/>
    <x v="3"/>
    <m/>
    <x v="0"/>
    <x v="7"/>
    <x v="15"/>
    <n v="190801"/>
    <n v="190801"/>
    <m/>
    <n v="11"/>
    <n v="190801"/>
    <n v="220000"/>
  </r>
  <r>
    <x v="139"/>
    <x v="3"/>
    <m/>
    <x v="0"/>
    <x v="3"/>
    <x v="15"/>
    <n v="190801"/>
    <n v="190801"/>
    <m/>
    <n v="2"/>
    <n v="190801"/>
    <n v="0"/>
  </r>
  <r>
    <x v="139"/>
    <x v="3"/>
    <m/>
    <x v="19"/>
    <x v="3"/>
    <x v="22"/>
    <n v="190801"/>
    <n v="190801"/>
    <m/>
    <n v="2"/>
    <n v="190801"/>
    <n v="0"/>
  </r>
  <r>
    <x v="139"/>
    <x v="3"/>
    <m/>
    <x v="0"/>
    <x v="3"/>
    <x v="19"/>
    <n v="190801"/>
    <n v="190801"/>
    <m/>
    <n v="1"/>
    <n v="190801"/>
    <n v="0"/>
  </r>
  <r>
    <x v="139"/>
    <x v="3"/>
    <m/>
    <x v="18"/>
    <x v="2"/>
    <x v="19"/>
    <n v="190801"/>
    <n v="190801"/>
    <m/>
    <n v="4"/>
    <n v="190801"/>
    <n v="16000"/>
  </r>
  <r>
    <x v="139"/>
    <x v="3"/>
    <m/>
    <x v="1"/>
    <x v="2"/>
    <x v="18"/>
    <n v="190801"/>
    <n v="190801"/>
    <m/>
    <n v="12"/>
    <n v="190801"/>
    <n v="240000"/>
  </r>
  <r>
    <x v="139"/>
    <x v="3"/>
    <m/>
    <x v="0"/>
    <x v="2"/>
    <x v="15"/>
    <n v="190801"/>
    <n v="190801"/>
    <m/>
    <n v="37"/>
    <n v="190801"/>
    <n v="740000"/>
  </r>
  <r>
    <x v="139"/>
    <x v="3"/>
    <m/>
    <x v="0"/>
    <x v="2"/>
    <x v="16"/>
    <n v="190801"/>
    <n v="190801"/>
    <m/>
    <n v="44"/>
    <n v="190801"/>
    <n v="1540000"/>
  </r>
  <r>
    <x v="139"/>
    <x v="3"/>
    <m/>
    <x v="0"/>
    <x v="2"/>
    <x v="17"/>
    <n v="190801"/>
    <n v="190801"/>
    <m/>
    <n v="45"/>
    <n v="190801"/>
    <n v="1485000"/>
  </r>
  <r>
    <x v="139"/>
    <x v="3"/>
    <m/>
    <x v="0"/>
    <x v="2"/>
    <x v="19"/>
    <n v="190801"/>
    <n v="190801"/>
    <m/>
    <n v="64"/>
    <n v="190801"/>
    <n v="192000"/>
  </r>
  <r>
    <x v="139"/>
    <x v="3"/>
    <m/>
    <x v="19"/>
    <x v="2"/>
    <x v="22"/>
    <n v="190801"/>
    <n v="190801"/>
    <m/>
    <n v="4"/>
    <n v="190801"/>
    <n v="52000"/>
  </r>
  <r>
    <x v="139"/>
    <x v="3"/>
    <m/>
    <x v="19"/>
    <x v="2"/>
    <x v="23"/>
    <n v="190801"/>
    <n v="190801"/>
    <m/>
    <n v="4"/>
    <n v="190801"/>
    <n v="96000"/>
  </r>
  <r>
    <x v="139"/>
    <x v="3"/>
    <m/>
    <x v="0"/>
    <x v="4"/>
    <x v="15"/>
    <n v="190801"/>
    <n v="190801"/>
    <m/>
    <n v="24"/>
    <n v="190801"/>
    <n v="756000"/>
  </r>
  <r>
    <x v="139"/>
    <x v="3"/>
    <m/>
    <x v="0"/>
    <x v="4"/>
    <x v="16"/>
    <n v="190801"/>
    <n v="190801"/>
    <m/>
    <n v="10"/>
    <n v="190801"/>
    <n v="440000"/>
  </r>
  <r>
    <x v="139"/>
    <x v="3"/>
    <m/>
    <x v="1"/>
    <x v="4"/>
    <x v="18"/>
    <n v="190801"/>
    <n v="190801"/>
    <m/>
    <n v="1"/>
    <n v="190801"/>
    <n v="31500"/>
  </r>
  <r>
    <x v="140"/>
    <x v="4"/>
    <m/>
    <x v="0"/>
    <x v="1"/>
    <x v="16"/>
    <n v="190801"/>
    <n v="190801"/>
    <m/>
    <n v="7"/>
    <n v="190801"/>
    <n v="245000"/>
  </r>
  <r>
    <x v="140"/>
    <x v="4"/>
    <m/>
    <x v="0"/>
    <x v="7"/>
    <x v="15"/>
    <n v="190801"/>
    <n v="190801"/>
    <m/>
    <n v="36"/>
    <n v="190801"/>
    <n v="720000"/>
  </r>
  <r>
    <x v="140"/>
    <x v="4"/>
    <m/>
    <x v="0"/>
    <x v="3"/>
    <x v="15"/>
    <n v="190801"/>
    <n v="190801"/>
    <m/>
    <n v="1"/>
    <n v="190801"/>
    <n v="0"/>
  </r>
  <r>
    <x v="140"/>
    <x v="4"/>
    <m/>
    <x v="1"/>
    <x v="3"/>
    <x v="18"/>
    <n v="190801"/>
    <n v="190801"/>
    <m/>
    <n v="1"/>
    <n v="190801"/>
    <n v="0"/>
  </r>
  <r>
    <x v="140"/>
    <x v="4"/>
    <m/>
    <x v="18"/>
    <x v="2"/>
    <x v="19"/>
    <n v="190801"/>
    <n v="190801"/>
    <m/>
    <n v="2"/>
    <n v="190801"/>
    <n v="8000"/>
  </r>
  <r>
    <x v="140"/>
    <x v="4"/>
    <m/>
    <x v="1"/>
    <x v="2"/>
    <x v="18"/>
    <n v="190801"/>
    <n v="190801"/>
    <m/>
    <n v="11"/>
    <n v="190801"/>
    <n v="220000"/>
  </r>
  <r>
    <x v="140"/>
    <x v="4"/>
    <m/>
    <x v="1"/>
    <x v="2"/>
    <x v="21"/>
    <n v="190801"/>
    <n v="190801"/>
    <m/>
    <n v="4"/>
    <n v="190801"/>
    <n v="140000"/>
  </r>
  <r>
    <x v="140"/>
    <x v="4"/>
    <m/>
    <x v="0"/>
    <x v="2"/>
    <x v="15"/>
    <n v="190801"/>
    <n v="190801"/>
    <m/>
    <n v="99"/>
    <n v="190801"/>
    <n v="1980000"/>
  </r>
  <r>
    <x v="140"/>
    <x v="4"/>
    <m/>
    <x v="0"/>
    <x v="2"/>
    <x v="16"/>
    <n v="190801"/>
    <n v="190801"/>
    <m/>
    <n v="189"/>
    <n v="190801"/>
    <n v="6615000"/>
  </r>
  <r>
    <x v="140"/>
    <x v="4"/>
    <m/>
    <x v="0"/>
    <x v="2"/>
    <x v="17"/>
    <n v="190801"/>
    <n v="190801"/>
    <m/>
    <n v="32"/>
    <n v="190801"/>
    <n v="1056000"/>
  </r>
  <r>
    <x v="140"/>
    <x v="4"/>
    <m/>
    <x v="0"/>
    <x v="2"/>
    <x v="19"/>
    <n v="190801"/>
    <n v="190801"/>
    <m/>
    <n v="89"/>
    <n v="190801"/>
    <n v="267000"/>
  </r>
  <r>
    <x v="140"/>
    <x v="4"/>
    <m/>
    <x v="19"/>
    <x v="2"/>
    <x v="22"/>
    <n v="190801"/>
    <n v="190801"/>
    <m/>
    <n v="17"/>
    <n v="190801"/>
    <n v="221000"/>
  </r>
  <r>
    <x v="140"/>
    <x v="4"/>
    <m/>
    <x v="19"/>
    <x v="2"/>
    <x v="23"/>
    <n v="190801"/>
    <n v="190801"/>
    <m/>
    <n v="2"/>
    <n v="190801"/>
    <n v="48000"/>
  </r>
  <r>
    <x v="140"/>
    <x v="4"/>
    <m/>
    <x v="0"/>
    <x v="4"/>
    <x v="15"/>
    <n v="190801"/>
    <n v="190801"/>
    <m/>
    <n v="8"/>
    <n v="190801"/>
    <n v="252000"/>
  </r>
  <r>
    <x v="140"/>
    <x v="4"/>
    <m/>
    <x v="0"/>
    <x v="4"/>
    <x v="16"/>
    <n v="190801"/>
    <n v="190801"/>
    <m/>
    <n v="5"/>
    <n v="190801"/>
    <n v="220000"/>
  </r>
  <r>
    <x v="141"/>
    <x v="1"/>
    <m/>
    <x v="0"/>
    <x v="1"/>
    <x v="15"/>
    <n v="190801"/>
    <n v="190801"/>
    <m/>
    <n v="29"/>
    <n v="190801"/>
    <n v="580000"/>
  </r>
  <r>
    <x v="141"/>
    <x v="1"/>
    <m/>
    <x v="0"/>
    <x v="1"/>
    <x v="16"/>
    <n v="190801"/>
    <n v="190801"/>
    <m/>
    <n v="5"/>
    <n v="190801"/>
    <n v="175000"/>
  </r>
  <r>
    <x v="141"/>
    <x v="1"/>
    <m/>
    <x v="0"/>
    <x v="7"/>
    <x v="15"/>
    <n v="190801"/>
    <n v="190801"/>
    <m/>
    <n v="59"/>
    <n v="190801"/>
    <n v="1180000"/>
  </r>
  <r>
    <x v="141"/>
    <x v="1"/>
    <m/>
    <x v="18"/>
    <x v="2"/>
    <x v="19"/>
    <n v="190801"/>
    <n v="190801"/>
    <m/>
    <n v="2"/>
    <n v="190801"/>
    <n v="8000"/>
  </r>
  <r>
    <x v="141"/>
    <x v="1"/>
    <m/>
    <x v="1"/>
    <x v="2"/>
    <x v="18"/>
    <n v="190801"/>
    <n v="190801"/>
    <m/>
    <n v="10"/>
    <n v="190801"/>
    <n v="200000"/>
  </r>
  <r>
    <x v="141"/>
    <x v="1"/>
    <m/>
    <x v="1"/>
    <x v="2"/>
    <x v="21"/>
    <n v="190801"/>
    <n v="190801"/>
    <m/>
    <n v="2"/>
    <n v="190801"/>
    <n v="70000"/>
  </r>
  <r>
    <x v="141"/>
    <x v="1"/>
    <m/>
    <x v="0"/>
    <x v="2"/>
    <x v="15"/>
    <n v="190801"/>
    <n v="190801"/>
    <m/>
    <n v="163"/>
    <n v="190801"/>
    <n v="3260000"/>
  </r>
  <r>
    <x v="141"/>
    <x v="1"/>
    <m/>
    <x v="0"/>
    <x v="2"/>
    <x v="16"/>
    <n v="190801"/>
    <n v="190801"/>
    <m/>
    <n v="233"/>
    <n v="190801"/>
    <n v="8155000"/>
  </r>
  <r>
    <x v="141"/>
    <x v="1"/>
    <m/>
    <x v="0"/>
    <x v="2"/>
    <x v="17"/>
    <n v="190801"/>
    <n v="190801"/>
    <m/>
    <n v="111"/>
    <n v="190801"/>
    <n v="3663000"/>
  </r>
  <r>
    <x v="141"/>
    <x v="1"/>
    <m/>
    <x v="0"/>
    <x v="2"/>
    <x v="19"/>
    <n v="190801"/>
    <n v="190801"/>
    <m/>
    <n v="81"/>
    <n v="190801"/>
    <n v="243000"/>
  </r>
  <r>
    <x v="141"/>
    <x v="1"/>
    <m/>
    <x v="19"/>
    <x v="2"/>
    <x v="22"/>
    <n v="190801"/>
    <n v="190801"/>
    <m/>
    <n v="41"/>
    <n v="190801"/>
    <n v="533000"/>
  </r>
  <r>
    <x v="141"/>
    <x v="1"/>
    <m/>
    <x v="19"/>
    <x v="2"/>
    <x v="23"/>
    <n v="190801"/>
    <n v="190801"/>
    <m/>
    <n v="2"/>
    <n v="190801"/>
    <n v="48000"/>
  </r>
  <r>
    <x v="141"/>
    <x v="1"/>
    <m/>
    <x v="0"/>
    <x v="4"/>
    <x v="15"/>
    <n v="190801"/>
    <n v="190801"/>
    <m/>
    <n v="10"/>
    <n v="190801"/>
    <n v="315000"/>
  </r>
  <r>
    <x v="141"/>
    <x v="1"/>
    <m/>
    <x v="0"/>
    <x v="4"/>
    <x v="16"/>
    <n v="190801"/>
    <n v="190801"/>
    <m/>
    <n v="5"/>
    <n v="190801"/>
    <n v="220000"/>
  </r>
  <r>
    <x v="142"/>
    <x v="0"/>
    <m/>
    <x v="0"/>
    <x v="1"/>
    <x v="15"/>
    <n v="190801"/>
    <n v="190801"/>
    <m/>
    <n v="23"/>
    <n v="190801"/>
    <n v="460000"/>
  </r>
  <r>
    <x v="142"/>
    <x v="0"/>
    <m/>
    <x v="0"/>
    <x v="1"/>
    <x v="16"/>
    <n v="190801"/>
    <n v="190801"/>
    <m/>
    <n v="17"/>
    <n v="190801"/>
    <n v="595000"/>
  </r>
  <r>
    <x v="142"/>
    <x v="0"/>
    <m/>
    <x v="0"/>
    <x v="7"/>
    <x v="15"/>
    <n v="190801"/>
    <n v="190801"/>
    <m/>
    <n v="45"/>
    <n v="190801"/>
    <n v="900000"/>
  </r>
  <r>
    <x v="142"/>
    <x v="0"/>
    <m/>
    <x v="0"/>
    <x v="5"/>
    <x v="15"/>
    <n v="190801"/>
    <n v="190801"/>
    <m/>
    <n v="20"/>
    <n v="190801"/>
    <n v="204540"/>
  </r>
  <r>
    <x v="142"/>
    <x v="0"/>
    <m/>
    <x v="1"/>
    <x v="2"/>
    <x v="18"/>
    <n v="190801"/>
    <n v="190801"/>
    <m/>
    <n v="18"/>
    <n v="190801"/>
    <n v="360000"/>
  </r>
  <r>
    <x v="142"/>
    <x v="0"/>
    <m/>
    <x v="1"/>
    <x v="2"/>
    <x v="21"/>
    <n v="190801"/>
    <n v="190801"/>
    <m/>
    <n v="5"/>
    <n v="190801"/>
    <n v="175000"/>
  </r>
  <r>
    <x v="142"/>
    <x v="0"/>
    <m/>
    <x v="0"/>
    <x v="2"/>
    <x v="15"/>
    <n v="190801"/>
    <n v="190801"/>
    <m/>
    <n v="125"/>
    <n v="190801"/>
    <n v="2500000"/>
  </r>
  <r>
    <x v="142"/>
    <x v="0"/>
    <m/>
    <x v="0"/>
    <x v="2"/>
    <x v="16"/>
    <n v="190801"/>
    <n v="190801"/>
    <m/>
    <n v="169"/>
    <n v="190801"/>
    <n v="5915000"/>
  </r>
  <r>
    <x v="142"/>
    <x v="0"/>
    <m/>
    <x v="0"/>
    <x v="2"/>
    <x v="17"/>
    <n v="190801"/>
    <n v="190801"/>
    <m/>
    <n v="117"/>
    <n v="190801"/>
    <n v="3861000"/>
  </r>
  <r>
    <x v="142"/>
    <x v="0"/>
    <m/>
    <x v="0"/>
    <x v="2"/>
    <x v="19"/>
    <n v="190801"/>
    <n v="190801"/>
    <m/>
    <n v="19"/>
    <n v="190801"/>
    <n v="57000"/>
  </r>
  <r>
    <x v="142"/>
    <x v="0"/>
    <m/>
    <x v="19"/>
    <x v="2"/>
    <x v="22"/>
    <n v="190801"/>
    <n v="190801"/>
    <m/>
    <n v="26"/>
    <n v="190801"/>
    <n v="338000"/>
  </r>
  <r>
    <x v="142"/>
    <x v="0"/>
    <m/>
    <x v="19"/>
    <x v="2"/>
    <x v="23"/>
    <n v="190801"/>
    <n v="190801"/>
    <m/>
    <n v="1"/>
    <n v="190801"/>
    <n v="24000"/>
  </r>
  <r>
    <x v="142"/>
    <x v="0"/>
    <m/>
    <x v="19"/>
    <x v="2"/>
    <x v="24"/>
    <n v="190801"/>
    <n v="190801"/>
    <m/>
    <n v="2"/>
    <n v="190801"/>
    <n v="66000"/>
  </r>
  <r>
    <x v="142"/>
    <x v="0"/>
    <m/>
    <x v="0"/>
    <x v="4"/>
    <x v="15"/>
    <n v="190801"/>
    <n v="190801"/>
    <m/>
    <n v="9"/>
    <n v="190801"/>
    <n v="283500"/>
  </r>
  <r>
    <x v="142"/>
    <x v="0"/>
    <m/>
    <x v="0"/>
    <x v="4"/>
    <x v="16"/>
    <n v="190801"/>
    <n v="190801"/>
    <m/>
    <n v="4"/>
    <n v="190801"/>
    <n v="176000"/>
  </r>
  <r>
    <x v="143"/>
    <x v="2"/>
    <m/>
    <x v="0"/>
    <x v="1"/>
    <x v="15"/>
    <n v="190801"/>
    <n v="190801"/>
    <m/>
    <n v="9"/>
    <n v="190801"/>
    <n v="180000"/>
  </r>
  <r>
    <x v="143"/>
    <x v="2"/>
    <m/>
    <x v="0"/>
    <x v="1"/>
    <x v="16"/>
    <n v="190801"/>
    <n v="190801"/>
    <m/>
    <n v="20"/>
    <n v="190801"/>
    <n v="700000"/>
  </r>
  <r>
    <x v="143"/>
    <x v="2"/>
    <m/>
    <x v="0"/>
    <x v="7"/>
    <x v="15"/>
    <n v="190801"/>
    <n v="190801"/>
    <m/>
    <n v="31"/>
    <n v="190801"/>
    <n v="620000"/>
  </r>
  <r>
    <x v="143"/>
    <x v="2"/>
    <m/>
    <x v="19"/>
    <x v="3"/>
    <x v="22"/>
    <n v="190801"/>
    <n v="190801"/>
    <m/>
    <n v="10"/>
    <n v="190801"/>
    <n v="0"/>
  </r>
  <r>
    <x v="143"/>
    <x v="2"/>
    <m/>
    <x v="0"/>
    <x v="2"/>
    <x v="15"/>
    <n v="190801"/>
    <n v="190801"/>
    <m/>
    <n v="84"/>
    <n v="190801"/>
    <n v="1680000"/>
  </r>
  <r>
    <x v="143"/>
    <x v="2"/>
    <m/>
    <x v="0"/>
    <x v="2"/>
    <x v="16"/>
    <n v="190801"/>
    <n v="190801"/>
    <m/>
    <n v="48"/>
    <n v="190801"/>
    <n v="1680000"/>
  </r>
  <r>
    <x v="143"/>
    <x v="2"/>
    <m/>
    <x v="0"/>
    <x v="2"/>
    <x v="17"/>
    <n v="190801"/>
    <n v="190801"/>
    <m/>
    <n v="85"/>
    <n v="190801"/>
    <n v="2805000"/>
  </r>
  <r>
    <x v="143"/>
    <x v="2"/>
    <m/>
    <x v="0"/>
    <x v="2"/>
    <x v="19"/>
    <n v="190801"/>
    <n v="190801"/>
    <m/>
    <n v="60"/>
    <n v="190801"/>
    <n v="180000"/>
  </r>
  <r>
    <x v="143"/>
    <x v="2"/>
    <m/>
    <x v="19"/>
    <x v="2"/>
    <x v="22"/>
    <n v="190801"/>
    <n v="190801"/>
    <m/>
    <n v="23"/>
    <n v="190801"/>
    <n v="299000"/>
  </r>
  <r>
    <x v="143"/>
    <x v="2"/>
    <m/>
    <x v="1"/>
    <x v="2"/>
    <x v="18"/>
    <n v="190801"/>
    <n v="190801"/>
    <m/>
    <n v="12"/>
    <n v="190801"/>
    <n v="240000"/>
  </r>
  <r>
    <x v="143"/>
    <x v="2"/>
    <m/>
    <x v="19"/>
    <x v="2"/>
    <x v="24"/>
    <n v="190801"/>
    <n v="190801"/>
    <m/>
    <n v="1"/>
    <n v="190801"/>
    <n v="33000"/>
  </r>
  <r>
    <x v="144"/>
    <x v="5"/>
    <m/>
    <x v="0"/>
    <x v="7"/>
    <x v="15"/>
    <n v="190801"/>
    <n v="190801"/>
    <m/>
    <n v="42"/>
    <n v="190801"/>
    <n v="840000"/>
  </r>
  <r>
    <x v="144"/>
    <x v="5"/>
    <m/>
    <x v="1"/>
    <x v="2"/>
    <x v="18"/>
    <n v="190801"/>
    <n v="190801"/>
    <m/>
    <n v="7"/>
    <n v="190801"/>
    <n v="140000"/>
  </r>
  <r>
    <x v="144"/>
    <x v="5"/>
    <m/>
    <x v="1"/>
    <x v="2"/>
    <x v="21"/>
    <n v="190801"/>
    <n v="190801"/>
    <m/>
    <n v="1"/>
    <n v="190801"/>
    <n v="35000"/>
  </r>
  <r>
    <x v="144"/>
    <x v="5"/>
    <m/>
    <x v="0"/>
    <x v="2"/>
    <x v="15"/>
    <n v="190801"/>
    <n v="190801"/>
    <m/>
    <n v="60"/>
    <n v="190801"/>
    <n v="1200000"/>
  </r>
  <r>
    <x v="144"/>
    <x v="5"/>
    <m/>
    <x v="0"/>
    <x v="2"/>
    <x v="16"/>
    <n v="190801"/>
    <n v="190801"/>
    <m/>
    <n v="58"/>
    <n v="190801"/>
    <n v="2030000"/>
  </r>
  <r>
    <x v="144"/>
    <x v="5"/>
    <m/>
    <x v="0"/>
    <x v="2"/>
    <x v="17"/>
    <n v="190801"/>
    <n v="190801"/>
    <m/>
    <n v="79"/>
    <n v="190801"/>
    <n v="2607000"/>
  </r>
  <r>
    <x v="144"/>
    <x v="5"/>
    <m/>
    <x v="0"/>
    <x v="2"/>
    <x v="19"/>
    <n v="190801"/>
    <n v="190801"/>
    <m/>
    <n v="32"/>
    <n v="190801"/>
    <n v="96000"/>
  </r>
  <r>
    <x v="144"/>
    <x v="5"/>
    <m/>
    <x v="19"/>
    <x v="2"/>
    <x v="22"/>
    <n v="190801"/>
    <n v="190801"/>
    <m/>
    <n v="22"/>
    <n v="190801"/>
    <n v="286000"/>
  </r>
  <r>
    <x v="144"/>
    <x v="5"/>
    <m/>
    <x v="19"/>
    <x v="2"/>
    <x v="24"/>
    <n v="190801"/>
    <n v="190801"/>
    <m/>
    <n v="1"/>
    <n v="190801"/>
    <n v="33000"/>
  </r>
  <r>
    <x v="145"/>
    <x v="6"/>
    <m/>
    <x v="0"/>
    <x v="7"/>
    <x v="15"/>
    <n v="190801"/>
    <n v="190801"/>
    <m/>
    <n v="40"/>
    <n v="190801"/>
    <n v="800000"/>
  </r>
  <r>
    <x v="145"/>
    <x v="6"/>
    <m/>
    <x v="1"/>
    <x v="2"/>
    <x v="18"/>
    <n v="190801"/>
    <n v="190801"/>
    <m/>
    <n v="13"/>
    <n v="190801"/>
    <n v="260000"/>
  </r>
  <r>
    <x v="145"/>
    <x v="6"/>
    <m/>
    <x v="1"/>
    <x v="2"/>
    <x v="21"/>
    <n v="190801"/>
    <n v="190801"/>
    <m/>
    <n v="2"/>
    <n v="190801"/>
    <n v="70000"/>
  </r>
  <r>
    <x v="145"/>
    <x v="6"/>
    <m/>
    <x v="0"/>
    <x v="2"/>
    <x v="15"/>
    <n v="190801"/>
    <n v="190801"/>
    <m/>
    <n v="82"/>
    <n v="190801"/>
    <n v="1640000"/>
  </r>
  <r>
    <x v="145"/>
    <x v="6"/>
    <m/>
    <x v="0"/>
    <x v="2"/>
    <x v="16"/>
    <n v="190801"/>
    <n v="190801"/>
    <m/>
    <n v="168"/>
    <n v="190801"/>
    <n v="5880000"/>
  </r>
  <r>
    <x v="145"/>
    <x v="6"/>
    <m/>
    <x v="0"/>
    <x v="2"/>
    <x v="17"/>
    <n v="190801"/>
    <n v="190801"/>
    <m/>
    <n v="91"/>
    <n v="190801"/>
    <n v="3003000"/>
  </r>
  <r>
    <x v="145"/>
    <x v="6"/>
    <m/>
    <x v="0"/>
    <x v="2"/>
    <x v="19"/>
    <n v="190801"/>
    <n v="190801"/>
    <m/>
    <n v="38"/>
    <n v="190801"/>
    <n v="114000"/>
  </r>
  <r>
    <x v="145"/>
    <x v="6"/>
    <m/>
    <x v="19"/>
    <x v="2"/>
    <x v="22"/>
    <n v="190801"/>
    <n v="190801"/>
    <m/>
    <n v="24"/>
    <n v="190801"/>
    <n v="312000"/>
  </r>
  <r>
    <x v="145"/>
    <x v="6"/>
    <m/>
    <x v="19"/>
    <x v="2"/>
    <x v="23"/>
    <n v="190801"/>
    <n v="190801"/>
    <m/>
    <n v="2"/>
    <n v="190801"/>
    <n v="48000"/>
  </r>
  <r>
    <x v="146"/>
    <x v="3"/>
    <m/>
    <x v="0"/>
    <x v="1"/>
    <x v="15"/>
    <n v="190801"/>
    <n v="190801"/>
    <m/>
    <n v="13"/>
    <n v="190801"/>
    <n v="260000"/>
  </r>
  <r>
    <x v="146"/>
    <x v="3"/>
    <m/>
    <x v="0"/>
    <x v="1"/>
    <x v="16"/>
    <n v="190801"/>
    <n v="190801"/>
    <m/>
    <n v="52"/>
    <n v="190801"/>
    <n v="1820000"/>
  </r>
  <r>
    <x v="146"/>
    <x v="3"/>
    <m/>
    <x v="0"/>
    <x v="7"/>
    <x v="15"/>
    <n v="190801"/>
    <n v="190801"/>
    <m/>
    <n v="8"/>
    <n v="190801"/>
    <n v="160000"/>
  </r>
  <r>
    <x v="146"/>
    <x v="3"/>
    <m/>
    <x v="0"/>
    <x v="3"/>
    <x v="15"/>
    <n v="190801"/>
    <n v="190801"/>
    <m/>
    <n v="40"/>
    <n v="190801"/>
    <n v="0"/>
  </r>
  <r>
    <x v="146"/>
    <x v="3"/>
    <m/>
    <x v="19"/>
    <x v="3"/>
    <x v="22"/>
    <n v="190801"/>
    <n v="190801"/>
    <m/>
    <n v="19"/>
    <n v="190801"/>
    <n v="0"/>
  </r>
  <r>
    <x v="146"/>
    <x v="3"/>
    <m/>
    <x v="1"/>
    <x v="3"/>
    <x v="18"/>
    <n v="190801"/>
    <n v="190801"/>
    <m/>
    <n v="19"/>
    <n v="190801"/>
    <n v="0"/>
  </r>
  <r>
    <x v="146"/>
    <x v="3"/>
    <m/>
    <x v="1"/>
    <x v="2"/>
    <x v="18"/>
    <n v="190801"/>
    <n v="190801"/>
    <m/>
    <n v="20"/>
    <n v="190801"/>
    <n v="400000"/>
  </r>
  <r>
    <x v="146"/>
    <x v="3"/>
    <m/>
    <x v="1"/>
    <x v="2"/>
    <x v="21"/>
    <n v="190801"/>
    <n v="190801"/>
    <m/>
    <n v="2"/>
    <n v="190801"/>
    <n v="70000"/>
  </r>
  <r>
    <x v="146"/>
    <x v="3"/>
    <m/>
    <x v="0"/>
    <x v="2"/>
    <x v="15"/>
    <n v="190801"/>
    <n v="190801"/>
    <m/>
    <n v="125"/>
    <n v="190801"/>
    <n v="2500000"/>
  </r>
  <r>
    <x v="146"/>
    <x v="3"/>
    <m/>
    <x v="0"/>
    <x v="2"/>
    <x v="16"/>
    <n v="190801"/>
    <n v="190801"/>
    <m/>
    <n v="97"/>
    <n v="190801"/>
    <n v="3395000"/>
  </r>
  <r>
    <x v="146"/>
    <x v="3"/>
    <m/>
    <x v="0"/>
    <x v="2"/>
    <x v="17"/>
    <n v="190801"/>
    <n v="190801"/>
    <m/>
    <n v="103"/>
    <n v="190801"/>
    <n v="3399000"/>
  </r>
  <r>
    <x v="146"/>
    <x v="3"/>
    <m/>
    <x v="0"/>
    <x v="2"/>
    <x v="19"/>
    <n v="190801"/>
    <n v="190801"/>
    <m/>
    <n v="56"/>
    <n v="190801"/>
    <n v="168000"/>
  </r>
  <r>
    <x v="146"/>
    <x v="3"/>
    <m/>
    <x v="19"/>
    <x v="2"/>
    <x v="22"/>
    <n v="190801"/>
    <n v="190801"/>
    <m/>
    <n v="31"/>
    <n v="190801"/>
    <n v="403000"/>
  </r>
  <r>
    <x v="146"/>
    <x v="3"/>
    <m/>
    <x v="19"/>
    <x v="2"/>
    <x v="23"/>
    <n v="190801"/>
    <n v="190801"/>
    <m/>
    <n v="3"/>
    <n v="190801"/>
    <n v="72000"/>
  </r>
  <r>
    <x v="146"/>
    <x v="3"/>
    <m/>
    <x v="19"/>
    <x v="2"/>
    <x v="24"/>
    <n v="190801"/>
    <n v="190801"/>
    <m/>
    <n v="1"/>
    <n v="190801"/>
    <n v="33000"/>
  </r>
  <r>
    <x v="146"/>
    <x v="3"/>
    <m/>
    <x v="0"/>
    <x v="4"/>
    <x v="15"/>
    <n v="190801"/>
    <n v="190801"/>
    <m/>
    <n v="4"/>
    <n v="190801"/>
    <n v="126000"/>
  </r>
  <r>
    <x v="147"/>
    <x v="4"/>
    <m/>
    <x v="0"/>
    <x v="1"/>
    <x v="15"/>
    <n v="190801"/>
    <n v="190801"/>
    <m/>
    <n v="15"/>
    <n v="190801"/>
    <n v="300000"/>
  </r>
  <r>
    <x v="147"/>
    <x v="4"/>
    <m/>
    <x v="0"/>
    <x v="1"/>
    <x v="16"/>
    <n v="190801"/>
    <n v="190801"/>
    <m/>
    <n v="50"/>
    <n v="190801"/>
    <n v="1750000"/>
  </r>
  <r>
    <x v="147"/>
    <x v="4"/>
    <m/>
    <x v="0"/>
    <x v="7"/>
    <x v="15"/>
    <n v="190801"/>
    <n v="190801"/>
    <m/>
    <n v="47"/>
    <n v="190801"/>
    <n v="940000"/>
  </r>
  <r>
    <x v="147"/>
    <x v="4"/>
    <m/>
    <x v="1"/>
    <x v="2"/>
    <x v="18"/>
    <n v="190801"/>
    <n v="190801"/>
    <m/>
    <n v="15"/>
    <n v="190801"/>
    <n v="300000"/>
  </r>
  <r>
    <x v="147"/>
    <x v="4"/>
    <m/>
    <x v="1"/>
    <x v="2"/>
    <x v="21"/>
    <n v="190801"/>
    <n v="190801"/>
    <m/>
    <n v="1"/>
    <n v="190801"/>
    <n v="35000"/>
  </r>
  <r>
    <x v="147"/>
    <x v="4"/>
    <m/>
    <x v="0"/>
    <x v="2"/>
    <x v="15"/>
    <n v="190801"/>
    <n v="190801"/>
    <m/>
    <n v="165"/>
    <n v="190801"/>
    <n v="3300000"/>
  </r>
  <r>
    <x v="147"/>
    <x v="4"/>
    <m/>
    <x v="0"/>
    <x v="2"/>
    <x v="16"/>
    <n v="190801"/>
    <n v="190801"/>
    <m/>
    <n v="225"/>
    <n v="190801"/>
    <n v="7875000"/>
  </r>
  <r>
    <x v="147"/>
    <x v="4"/>
    <m/>
    <x v="0"/>
    <x v="2"/>
    <x v="17"/>
    <n v="190801"/>
    <n v="190801"/>
    <m/>
    <n v="138"/>
    <n v="190801"/>
    <n v="4554000"/>
  </r>
  <r>
    <x v="147"/>
    <x v="4"/>
    <m/>
    <x v="0"/>
    <x v="2"/>
    <x v="19"/>
    <n v="190801"/>
    <n v="190801"/>
    <m/>
    <n v="102"/>
    <n v="190801"/>
    <n v="306000"/>
  </r>
  <r>
    <x v="147"/>
    <x v="4"/>
    <m/>
    <x v="19"/>
    <x v="2"/>
    <x v="22"/>
    <n v="190801"/>
    <n v="190801"/>
    <m/>
    <n v="33"/>
    <n v="190801"/>
    <n v="429000"/>
  </r>
  <r>
    <x v="147"/>
    <x v="4"/>
    <m/>
    <x v="19"/>
    <x v="2"/>
    <x v="23"/>
    <n v="190801"/>
    <n v="190801"/>
    <m/>
    <n v="5"/>
    <n v="190801"/>
    <n v="120000"/>
  </r>
  <r>
    <x v="147"/>
    <x v="4"/>
    <m/>
    <x v="19"/>
    <x v="2"/>
    <x v="24"/>
    <n v="190801"/>
    <n v="190801"/>
    <m/>
    <n v="2"/>
    <n v="190801"/>
    <n v="66000"/>
  </r>
  <r>
    <x v="147"/>
    <x v="4"/>
    <m/>
    <x v="0"/>
    <x v="4"/>
    <x v="15"/>
    <n v="190801"/>
    <n v="190801"/>
    <m/>
    <n v="33"/>
    <n v="190801"/>
    <n v="1039500"/>
  </r>
  <r>
    <x v="147"/>
    <x v="4"/>
    <m/>
    <x v="0"/>
    <x v="4"/>
    <x v="16"/>
    <n v="190801"/>
    <n v="190801"/>
    <m/>
    <n v="10"/>
    <n v="190801"/>
    <n v="440000"/>
  </r>
  <r>
    <x v="147"/>
    <x v="4"/>
    <m/>
    <x v="1"/>
    <x v="4"/>
    <x v="18"/>
    <n v="190801"/>
    <n v="190801"/>
    <m/>
    <n v="2"/>
    <n v="190801"/>
    <n v="63000"/>
  </r>
  <r>
    <x v="148"/>
    <x v="1"/>
    <m/>
    <x v="0"/>
    <x v="1"/>
    <x v="15"/>
    <n v="190801"/>
    <n v="190801"/>
    <m/>
    <n v="4"/>
    <n v="190801"/>
    <n v="80000"/>
  </r>
  <r>
    <x v="148"/>
    <x v="1"/>
    <m/>
    <x v="0"/>
    <x v="1"/>
    <x v="16"/>
    <n v="190801"/>
    <n v="190801"/>
    <m/>
    <n v="24"/>
    <n v="190801"/>
    <n v="840000"/>
  </r>
  <r>
    <x v="148"/>
    <x v="1"/>
    <m/>
    <x v="0"/>
    <x v="7"/>
    <x v="15"/>
    <n v="190801"/>
    <n v="190801"/>
    <m/>
    <n v="60"/>
    <n v="190801"/>
    <n v="1200000"/>
  </r>
  <r>
    <x v="148"/>
    <x v="1"/>
    <m/>
    <x v="0"/>
    <x v="3"/>
    <x v="15"/>
    <n v="190801"/>
    <n v="190801"/>
    <m/>
    <n v="3"/>
    <n v="190801"/>
    <n v="0"/>
  </r>
  <r>
    <x v="148"/>
    <x v="1"/>
    <m/>
    <x v="19"/>
    <x v="3"/>
    <x v="22"/>
    <n v="190801"/>
    <n v="190801"/>
    <m/>
    <n v="1"/>
    <n v="190801"/>
    <n v="0"/>
  </r>
  <r>
    <x v="148"/>
    <x v="1"/>
    <m/>
    <x v="1"/>
    <x v="3"/>
    <x v="18"/>
    <n v="190801"/>
    <n v="190801"/>
    <m/>
    <n v="1"/>
    <n v="190801"/>
    <n v="0"/>
  </r>
  <r>
    <x v="148"/>
    <x v="1"/>
    <m/>
    <x v="18"/>
    <x v="3"/>
    <x v="19"/>
    <n v="190801"/>
    <n v="190801"/>
    <m/>
    <n v="1"/>
    <n v="190801"/>
    <n v="0"/>
  </r>
  <r>
    <x v="148"/>
    <x v="1"/>
    <m/>
    <x v="1"/>
    <x v="2"/>
    <x v="18"/>
    <n v="190801"/>
    <n v="190801"/>
    <m/>
    <n v="28"/>
    <n v="190801"/>
    <n v="560000"/>
  </r>
  <r>
    <x v="148"/>
    <x v="1"/>
    <m/>
    <x v="1"/>
    <x v="2"/>
    <x v="21"/>
    <n v="190801"/>
    <n v="190801"/>
    <m/>
    <n v="4"/>
    <n v="190801"/>
    <n v="140000"/>
  </r>
  <r>
    <x v="148"/>
    <x v="1"/>
    <m/>
    <x v="0"/>
    <x v="2"/>
    <x v="15"/>
    <n v="190801"/>
    <n v="190801"/>
    <m/>
    <n v="116"/>
    <n v="190801"/>
    <n v="2320000"/>
  </r>
  <r>
    <x v="148"/>
    <x v="1"/>
    <m/>
    <x v="0"/>
    <x v="2"/>
    <x v="16"/>
    <n v="190801"/>
    <n v="190801"/>
    <m/>
    <n v="95"/>
    <n v="190801"/>
    <n v="3325000"/>
  </r>
  <r>
    <x v="148"/>
    <x v="1"/>
    <m/>
    <x v="0"/>
    <x v="2"/>
    <x v="17"/>
    <n v="190801"/>
    <n v="190801"/>
    <m/>
    <n v="158"/>
    <n v="190801"/>
    <n v="5214000"/>
  </r>
  <r>
    <x v="148"/>
    <x v="1"/>
    <m/>
    <x v="0"/>
    <x v="2"/>
    <x v="19"/>
    <n v="190801"/>
    <n v="190801"/>
    <m/>
    <n v="78"/>
    <n v="190801"/>
    <n v="234000"/>
  </r>
  <r>
    <x v="148"/>
    <x v="1"/>
    <m/>
    <x v="19"/>
    <x v="2"/>
    <x v="22"/>
    <n v="190801"/>
    <n v="190801"/>
    <m/>
    <n v="27"/>
    <n v="190801"/>
    <n v="351000"/>
  </r>
  <r>
    <x v="148"/>
    <x v="1"/>
    <m/>
    <x v="19"/>
    <x v="2"/>
    <x v="23"/>
    <n v="190801"/>
    <n v="190801"/>
    <m/>
    <n v="3"/>
    <n v="190801"/>
    <n v="72000"/>
  </r>
  <r>
    <x v="148"/>
    <x v="1"/>
    <m/>
    <x v="19"/>
    <x v="2"/>
    <x v="24"/>
    <n v="190801"/>
    <n v="190801"/>
    <m/>
    <n v="3"/>
    <n v="190801"/>
    <n v="99000"/>
  </r>
  <r>
    <x v="148"/>
    <x v="1"/>
    <m/>
    <x v="0"/>
    <x v="4"/>
    <x v="15"/>
    <n v="190801"/>
    <n v="190801"/>
    <m/>
    <n v="3"/>
    <n v="190801"/>
    <n v="94500"/>
  </r>
  <r>
    <x v="148"/>
    <x v="1"/>
    <m/>
    <x v="0"/>
    <x v="4"/>
    <x v="16"/>
    <n v="190801"/>
    <n v="190801"/>
    <m/>
    <n v="5"/>
    <n v="190801"/>
    <n v="220000"/>
  </r>
  <r>
    <x v="149"/>
    <x v="0"/>
    <m/>
    <x v="0"/>
    <x v="1"/>
    <x v="15"/>
    <n v="190801"/>
    <n v="190801"/>
    <m/>
    <n v="3"/>
    <n v="190801"/>
    <n v="60000"/>
  </r>
  <r>
    <x v="149"/>
    <x v="0"/>
    <m/>
    <x v="0"/>
    <x v="1"/>
    <x v="16"/>
    <n v="190801"/>
    <n v="190801"/>
    <m/>
    <n v="11"/>
    <n v="190801"/>
    <n v="385000"/>
  </r>
  <r>
    <x v="149"/>
    <x v="0"/>
    <m/>
    <x v="0"/>
    <x v="7"/>
    <x v="15"/>
    <n v="190801"/>
    <n v="190801"/>
    <m/>
    <n v="40"/>
    <n v="190801"/>
    <n v="800000"/>
  </r>
  <r>
    <x v="149"/>
    <x v="0"/>
    <m/>
    <x v="1"/>
    <x v="2"/>
    <x v="18"/>
    <n v="190801"/>
    <n v="190801"/>
    <m/>
    <n v="12"/>
    <n v="190801"/>
    <n v="240000"/>
  </r>
  <r>
    <x v="149"/>
    <x v="0"/>
    <m/>
    <x v="1"/>
    <x v="2"/>
    <x v="21"/>
    <n v="190801"/>
    <n v="190801"/>
    <m/>
    <n v="4"/>
    <n v="190801"/>
    <n v="140000"/>
  </r>
  <r>
    <x v="149"/>
    <x v="0"/>
    <m/>
    <x v="0"/>
    <x v="2"/>
    <x v="15"/>
    <n v="190801"/>
    <n v="190801"/>
    <m/>
    <n v="116"/>
    <n v="190801"/>
    <n v="2320000"/>
  </r>
  <r>
    <x v="149"/>
    <x v="0"/>
    <m/>
    <x v="0"/>
    <x v="2"/>
    <x v="16"/>
    <n v="190801"/>
    <n v="190801"/>
    <m/>
    <n v="89"/>
    <n v="190801"/>
    <n v="3115000"/>
  </r>
  <r>
    <x v="149"/>
    <x v="0"/>
    <m/>
    <x v="0"/>
    <x v="2"/>
    <x v="17"/>
    <n v="190801"/>
    <n v="190801"/>
    <m/>
    <n v="101"/>
    <n v="190801"/>
    <n v="3333000"/>
  </r>
  <r>
    <x v="149"/>
    <x v="0"/>
    <m/>
    <x v="0"/>
    <x v="2"/>
    <x v="19"/>
    <n v="190801"/>
    <n v="190801"/>
    <m/>
    <n v="72"/>
    <n v="190801"/>
    <n v="216000"/>
  </r>
  <r>
    <x v="149"/>
    <x v="0"/>
    <m/>
    <x v="19"/>
    <x v="2"/>
    <x v="22"/>
    <n v="190801"/>
    <n v="190801"/>
    <m/>
    <n v="20"/>
    <n v="190801"/>
    <n v="260000"/>
  </r>
  <r>
    <x v="149"/>
    <x v="0"/>
    <m/>
    <x v="19"/>
    <x v="2"/>
    <x v="23"/>
    <n v="190801"/>
    <n v="190801"/>
    <m/>
    <n v="2"/>
    <n v="190801"/>
    <n v="48000"/>
  </r>
  <r>
    <x v="149"/>
    <x v="0"/>
    <m/>
    <x v="19"/>
    <x v="2"/>
    <x v="24"/>
    <n v="190801"/>
    <n v="190801"/>
    <m/>
    <n v="1"/>
    <n v="190801"/>
    <n v="33000"/>
  </r>
  <r>
    <x v="149"/>
    <x v="0"/>
    <m/>
    <x v="0"/>
    <x v="4"/>
    <x v="15"/>
    <n v="190801"/>
    <n v="190801"/>
    <m/>
    <n v="7"/>
    <n v="190801"/>
    <n v="220500"/>
  </r>
  <r>
    <x v="149"/>
    <x v="0"/>
    <m/>
    <x v="0"/>
    <x v="4"/>
    <x v="16"/>
    <n v="190801"/>
    <n v="190801"/>
    <m/>
    <n v="4"/>
    <n v="190801"/>
    <n v="176000"/>
  </r>
  <r>
    <x v="150"/>
    <x v="2"/>
    <m/>
    <x v="0"/>
    <x v="1"/>
    <x v="15"/>
    <n v="190801"/>
    <n v="190801"/>
    <m/>
    <n v="2"/>
    <n v="190801"/>
    <n v="40000"/>
  </r>
  <r>
    <x v="150"/>
    <x v="2"/>
    <m/>
    <x v="0"/>
    <x v="1"/>
    <x v="16"/>
    <n v="190801"/>
    <n v="190801"/>
    <m/>
    <n v="9"/>
    <n v="190801"/>
    <n v="315000"/>
  </r>
  <r>
    <x v="150"/>
    <x v="2"/>
    <m/>
    <x v="0"/>
    <x v="7"/>
    <x v="15"/>
    <n v="190801"/>
    <n v="190801"/>
    <m/>
    <n v="31"/>
    <n v="190801"/>
    <n v="620000"/>
  </r>
  <r>
    <x v="150"/>
    <x v="2"/>
    <m/>
    <x v="1"/>
    <x v="2"/>
    <x v="18"/>
    <n v="190801"/>
    <n v="190801"/>
    <m/>
    <n v="18"/>
    <n v="190801"/>
    <n v="360000"/>
  </r>
  <r>
    <x v="150"/>
    <x v="2"/>
    <m/>
    <x v="0"/>
    <x v="2"/>
    <x v="15"/>
    <n v="190801"/>
    <n v="190801"/>
    <m/>
    <n v="100"/>
    <n v="190801"/>
    <n v="2000000"/>
  </r>
  <r>
    <x v="150"/>
    <x v="2"/>
    <m/>
    <x v="0"/>
    <x v="2"/>
    <x v="16"/>
    <n v="190801"/>
    <n v="190801"/>
    <m/>
    <n v="85"/>
    <n v="190801"/>
    <n v="2975000"/>
  </r>
  <r>
    <x v="150"/>
    <x v="2"/>
    <m/>
    <x v="0"/>
    <x v="2"/>
    <x v="17"/>
    <n v="190801"/>
    <n v="190801"/>
    <m/>
    <n v="59"/>
    <n v="190801"/>
    <n v="1947000"/>
  </r>
  <r>
    <x v="150"/>
    <x v="2"/>
    <m/>
    <x v="0"/>
    <x v="2"/>
    <x v="19"/>
    <n v="190801"/>
    <n v="190801"/>
    <m/>
    <n v="75"/>
    <n v="190801"/>
    <n v="225000"/>
  </r>
  <r>
    <x v="150"/>
    <x v="2"/>
    <m/>
    <x v="19"/>
    <x v="2"/>
    <x v="22"/>
    <n v="190801"/>
    <n v="190801"/>
    <m/>
    <n v="19"/>
    <n v="190801"/>
    <n v="247000"/>
  </r>
  <r>
    <x v="150"/>
    <x v="2"/>
    <m/>
    <x v="19"/>
    <x v="2"/>
    <x v="23"/>
    <n v="190801"/>
    <n v="190801"/>
    <m/>
    <n v="5"/>
    <n v="190801"/>
    <n v="120000"/>
  </r>
  <r>
    <x v="150"/>
    <x v="2"/>
    <m/>
    <x v="0"/>
    <x v="4"/>
    <x v="15"/>
    <n v="190801"/>
    <n v="190801"/>
    <m/>
    <n v="12"/>
    <n v="190801"/>
    <n v="378000"/>
  </r>
  <r>
    <x v="150"/>
    <x v="2"/>
    <m/>
    <x v="0"/>
    <x v="4"/>
    <x v="16"/>
    <n v="190801"/>
    <n v="190801"/>
    <m/>
    <n v="7"/>
    <n v="190801"/>
    <n v="308000"/>
  </r>
  <r>
    <x v="151"/>
    <x v="5"/>
    <m/>
    <x v="0"/>
    <x v="7"/>
    <x v="15"/>
    <n v="190801"/>
    <n v="190801"/>
    <m/>
    <n v="31"/>
    <n v="190801"/>
    <n v="620000"/>
  </r>
  <r>
    <x v="151"/>
    <x v="5"/>
    <m/>
    <x v="1"/>
    <x v="2"/>
    <x v="18"/>
    <n v="190801"/>
    <n v="190801"/>
    <m/>
    <n v="11"/>
    <n v="190801"/>
    <n v="220000"/>
  </r>
  <r>
    <x v="151"/>
    <x v="5"/>
    <m/>
    <x v="1"/>
    <x v="2"/>
    <x v="21"/>
    <n v="190801"/>
    <n v="190801"/>
    <m/>
    <n v="3"/>
    <n v="190801"/>
    <n v="105000"/>
  </r>
  <r>
    <x v="151"/>
    <x v="5"/>
    <m/>
    <x v="0"/>
    <x v="2"/>
    <x v="15"/>
    <n v="190801"/>
    <n v="190801"/>
    <m/>
    <n v="71"/>
    <n v="190801"/>
    <n v="1420000"/>
  </r>
  <r>
    <x v="151"/>
    <x v="5"/>
    <m/>
    <x v="0"/>
    <x v="2"/>
    <x v="16"/>
    <n v="190801"/>
    <n v="190801"/>
    <m/>
    <n v="44"/>
    <n v="190801"/>
    <n v="1540000"/>
  </r>
  <r>
    <x v="151"/>
    <x v="5"/>
    <m/>
    <x v="0"/>
    <x v="2"/>
    <x v="17"/>
    <n v="190801"/>
    <n v="190801"/>
    <m/>
    <n v="75"/>
    <n v="190801"/>
    <n v="2475000"/>
  </r>
  <r>
    <x v="151"/>
    <x v="5"/>
    <m/>
    <x v="0"/>
    <x v="2"/>
    <x v="19"/>
    <n v="190801"/>
    <n v="190801"/>
    <m/>
    <n v="45"/>
    <n v="190801"/>
    <n v="135000"/>
  </r>
  <r>
    <x v="151"/>
    <x v="5"/>
    <m/>
    <x v="19"/>
    <x v="2"/>
    <x v="22"/>
    <n v="190801"/>
    <n v="190801"/>
    <m/>
    <n v="24"/>
    <n v="190801"/>
    <n v="312000"/>
  </r>
  <r>
    <x v="151"/>
    <x v="5"/>
    <m/>
    <x v="19"/>
    <x v="2"/>
    <x v="23"/>
    <n v="190801"/>
    <n v="190801"/>
    <m/>
    <n v="2"/>
    <n v="190801"/>
    <n v="48000"/>
  </r>
  <r>
    <x v="151"/>
    <x v="5"/>
    <m/>
    <x v="19"/>
    <x v="2"/>
    <x v="24"/>
    <n v="190801"/>
    <n v="190801"/>
    <m/>
    <n v="2"/>
    <n v="190801"/>
    <n v="66000"/>
  </r>
  <r>
    <x v="152"/>
    <x v="6"/>
    <m/>
    <x v="0"/>
    <x v="7"/>
    <x v="15"/>
    <n v="190801"/>
    <n v="190801"/>
    <m/>
    <n v="33"/>
    <n v="190801"/>
    <n v="660000"/>
  </r>
  <r>
    <x v="152"/>
    <x v="6"/>
    <m/>
    <x v="1"/>
    <x v="2"/>
    <x v="18"/>
    <n v="190801"/>
    <n v="190801"/>
    <m/>
    <n v="6"/>
    <n v="190801"/>
    <n v="120000"/>
  </r>
  <r>
    <x v="152"/>
    <x v="6"/>
    <m/>
    <x v="1"/>
    <x v="2"/>
    <x v="21"/>
    <n v="190801"/>
    <n v="190801"/>
    <m/>
    <n v="1"/>
    <n v="190801"/>
    <n v="35000"/>
  </r>
  <r>
    <x v="152"/>
    <x v="6"/>
    <m/>
    <x v="0"/>
    <x v="2"/>
    <x v="15"/>
    <n v="190801"/>
    <n v="190801"/>
    <m/>
    <n v="93"/>
    <n v="190801"/>
    <n v="1860000"/>
  </r>
  <r>
    <x v="152"/>
    <x v="6"/>
    <m/>
    <x v="0"/>
    <x v="2"/>
    <x v="16"/>
    <n v="190801"/>
    <n v="190801"/>
    <m/>
    <n v="111"/>
    <n v="190801"/>
    <n v="3885000"/>
  </r>
  <r>
    <x v="152"/>
    <x v="6"/>
    <m/>
    <x v="0"/>
    <x v="2"/>
    <x v="17"/>
    <n v="190801"/>
    <n v="190801"/>
    <m/>
    <n v="33"/>
    <n v="190801"/>
    <n v="1089000"/>
  </r>
  <r>
    <x v="152"/>
    <x v="6"/>
    <m/>
    <x v="0"/>
    <x v="2"/>
    <x v="19"/>
    <n v="190801"/>
    <n v="190801"/>
    <m/>
    <n v="61"/>
    <n v="190801"/>
    <n v="183000"/>
  </r>
  <r>
    <x v="152"/>
    <x v="6"/>
    <m/>
    <x v="19"/>
    <x v="2"/>
    <x v="22"/>
    <n v="190801"/>
    <n v="190801"/>
    <m/>
    <n v="25"/>
    <n v="190801"/>
    <n v="325000"/>
  </r>
  <r>
    <x v="152"/>
    <x v="6"/>
    <m/>
    <x v="19"/>
    <x v="2"/>
    <x v="23"/>
    <n v="190801"/>
    <n v="190801"/>
    <m/>
    <n v="5"/>
    <n v="190801"/>
    <n v="120000"/>
  </r>
  <r>
    <x v="152"/>
    <x v="6"/>
    <m/>
    <x v="19"/>
    <x v="2"/>
    <x v="24"/>
    <n v="190801"/>
    <n v="190801"/>
    <m/>
    <n v="1"/>
    <n v="190801"/>
    <n v="33000"/>
  </r>
  <r>
    <x v="152"/>
    <x v="6"/>
    <m/>
    <x v="20"/>
    <x v="6"/>
    <x v="25"/>
    <n v="190801"/>
    <n v="190801"/>
    <m/>
    <n v="1369"/>
    <n v="190801"/>
    <n v="13301204"/>
  </r>
  <r>
    <x v="152"/>
    <x v="6"/>
    <m/>
    <x v="0"/>
    <x v="6"/>
    <x v="15"/>
    <n v="190801"/>
    <n v="190801"/>
    <m/>
    <n v="557"/>
    <n v="190801"/>
    <n v="5050876"/>
  </r>
  <r>
    <x v="152"/>
    <x v="6"/>
    <m/>
    <x v="1"/>
    <x v="6"/>
    <x v="18"/>
    <n v="190801"/>
    <n v="190801"/>
    <m/>
    <n v="6"/>
    <n v="190801"/>
    <n v="55230"/>
  </r>
  <r>
    <x v="152"/>
    <x v="6"/>
    <m/>
    <x v="19"/>
    <x v="6"/>
    <x v="22"/>
    <n v="190801"/>
    <n v="190801"/>
    <m/>
    <n v="11"/>
    <n v="190801"/>
    <n v="74701"/>
  </r>
  <r>
    <x v="153"/>
    <x v="3"/>
    <m/>
    <x v="0"/>
    <x v="1"/>
    <x v="15"/>
    <n v="190801"/>
    <n v="190801"/>
    <m/>
    <n v="11"/>
    <n v="190801"/>
    <n v="220000"/>
  </r>
  <r>
    <x v="153"/>
    <x v="3"/>
    <m/>
    <x v="0"/>
    <x v="1"/>
    <x v="16"/>
    <n v="190801"/>
    <n v="190801"/>
    <m/>
    <n v="43"/>
    <n v="190801"/>
    <n v="1505000"/>
  </r>
  <r>
    <x v="153"/>
    <x v="3"/>
    <m/>
    <x v="0"/>
    <x v="7"/>
    <x v="15"/>
    <n v="190801"/>
    <n v="190801"/>
    <m/>
    <n v="34"/>
    <n v="190801"/>
    <n v="680000"/>
  </r>
  <r>
    <x v="153"/>
    <x v="3"/>
    <m/>
    <x v="1"/>
    <x v="2"/>
    <x v="18"/>
    <n v="190801"/>
    <n v="190801"/>
    <m/>
    <n v="15"/>
    <n v="190801"/>
    <n v="300000"/>
  </r>
  <r>
    <x v="153"/>
    <x v="3"/>
    <m/>
    <x v="0"/>
    <x v="2"/>
    <x v="15"/>
    <n v="190801"/>
    <n v="190801"/>
    <m/>
    <n v="111"/>
    <n v="190801"/>
    <n v="2220000"/>
  </r>
  <r>
    <x v="153"/>
    <x v="3"/>
    <m/>
    <x v="0"/>
    <x v="2"/>
    <x v="16"/>
    <n v="190801"/>
    <n v="190801"/>
    <m/>
    <n v="118"/>
    <n v="190801"/>
    <n v="4130000"/>
  </r>
  <r>
    <x v="153"/>
    <x v="3"/>
    <m/>
    <x v="0"/>
    <x v="2"/>
    <x v="17"/>
    <n v="190801"/>
    <n v="190801"/>
    <m/>
    <n v="1"/>
    <n v="190801"/>
    <n v="33000"/>
  </r>
  <r>
    <x v="153"/>
    <x v="3"/>
    <m/>
    <x v="0"/>
    <x v="2"/>
    <x v="19"/>
    <n v="190801"/>
    <n v="190801"/>
    <m/>
    <n v="61"/>
    <n v="190801"/>
    <n v="183000"/>
  </r>
  <r>
    <x v="153"/>
    <x v="3"/>
    <m/>
    <x v="19"/>
    <x v="2"/>
    <x v="22"/>
    <n v="190801"/>
    <n v="190801"/>
    <m/>
    <n v="21"/>
    <n v="190801"/>
    <n v="273000"/>
  </r>
  <r>
    <x v="153"/>
    <x v="3"/>
    <m/>
    <x v="19"/>
    <x v="2"/>
    <x v="23"/>
    <n v="190801"/>
    <n v="190801"/>
    <m/>
    <n v="1"/>
    <n v="190801"/>
    <n v="24000"/>
  </r>
  <r>
    <x v="153"/>
    <x v="3"/>
    <m/>
    <x v="19"/>
    <x v="2"/>
    <x v="24"/>
    <n v="190801"/>
    <n v="190801"/>
    <m/>
    <n v="1"/>
    <n v="190801"/>
    <n v="33000"/>
  </r>
  <r>
    <x v="153"/>
    <x v="3"/>
    <m/>
    <x v="0"/>
    <x v="4"/>
    <x v="15"/>
    <n v="190801"/>
    <n v="190801"/>
    <m/>
    <n v="37"/>
    <n v="190801"/>
    <n v="1165500"/>
  </r>
  <r>
    <x v="153"/>
    <x v="3"/>
    <m/>
    <x v="0"/>
    <x v="4"/>
    <x v="16"/>
    <n v="190801"/>
    <n v="190801"/>
    <m/>
    <n v="10"/>
    <n v="190801"/>
    <n v="440000"/>
  </r>
  <r>
    <x v="153"/>
    <x v="3"/>
    <m/>
    <x v="1"/>
    <x v="4"/>
    <x v="18"/>
    <n v="190801"/>
    <n v="190801"/>
    <m/>
    <n v="2"/>
    <n v="190801"/>
    <n v="63000"/>
  </r>
  <r>
    <x v="154"/>
    <x v="4"/>
    <m/>
    <x v="0"/>
    <x v="1"/>
    <x v="15"/>
    <n v="190801"/>
    <n v="190801"/>
    <m/>
    <n v="4"/>
    <n v="190801"/>
    <n v="80000"/>
  </r>
  <r>
    <x v="154"/>
    <x v="4"/>
    <m/>
    <x v="0"/>
    <x v="1"/>
    <x v="16"/>
    <n v="190801"/>
    <n v="190801"/>
    <m/>
    <n v="22"/>
    <n v="190801"/>
    <n v="770000"/>
  </r>
  <r>
    <x v="154"/>
    <x v="4"/>
    <m/>
    <x v="0"/>
    <x v="7"/>
    <x v="15"/>
    <n v="190801"/>
    <n v="190801"/>
    <m/>
    <n v="55"/>
    <n v="190801"/>
    <n v="1100000"/>
  </r>
  <r>
    <x v="154"/>
    <x v="4"/>
    <m/>
    <x v="18"/>
    <x v="3"/>
    <x v="19"/>
    <n v="190801"/>
    <n v="190801"/>
    <m/>
    <n v="500"/>
    <n v="190801"/>
    <n v="0"/>
  </r>
  <r>
    <x v="154"/>
    <x v="4"/>
    <m/>
    <x v="0"/>
    <x v="3"/>
    <x v="20"/>
    <n v="190801"/>
    <n v="190801"/>
    <m/>
    <n v="500"/>
    <n v="190801"/>
    <n v="0"/>
  </r>
  <r>
    <x v="154"/>
    <x v="4"/>
    <m/>
    <x v="0"/>
    <x v="3"/>
    <x v="17"/>
    <n v="190801"/>
    <n v="190801"/>
    <m/>
    <n v="2"/>
    <n v="190801"/>
    <n v="0"/>
  </r>
  <r>
    <x v="154"/>
    <x v="4"/>
    <m/>
    <x v="1"/>
    <x v="2"/>
    <x v="18"/>
    <n v="190801"/>
    <n v="190801"/>
    <m/>
    <n v="17"/>
    <n v="190801"/>
    <n v="340000"/>
  </r>
  <r>
    <x v="154"/>
    <x v="4"/>
    <m/>
    <x v="1"/>
    <x v="2"/>
    <x v="21"/>
    <n v="190801"/>
    <n v="190801"/>
    <m/>
    <n v="2"/>
    <n v="190801"/>
    <n v="70000"/>
  </r>
  <r>
    <x v="154"/>
    <x v="4"/>
    <m/>
    <x v="0"/>
    <x v="2"/>
    <x v="15"/>
    <n v="190801"/>
    <n v="190801"/>
    <m/>
    <n v="121"/>
    <n v="190801"/>
    <n v="2420000"/>
  </r>
  <r>
    <x v="154"/>
    <x v="4"/>
    <m/>
    <x v="0"/>
    <x v="2"/>
    <x v="16"/>
    <n v="190801"/>
    <n v="190801"/>
    <m/>
    <n v="155"/>
    <n v="190801"/>
    <n v="5425000"/>
  </r>
  <r>
    <x v="154"/>
    <x v="4"/>
    <m/>
    <x v="0"/>
    <x v="2"/>
    <x v="17"/>
    <n v="190801"/>
    <n v="190801"/>
    <m/>
    <n v="1"/>
    <n v="190801"/>
    <n v="33000"/>
  </r>
  <r>
    <x v="154"/>
    <x v="4"/>
    <m/>
    <x v="0"/>
    <x v="2"/>
    <x v="19"/>
    <n v="190801"/>
    <n v="190801"/>
    <m/>
    <n v="75"/>
    <n v="190801"/>
    <n v="225000"/>
  </r>
  <r>
    <x v="154"/>
    <x v="4"/>
    <m/>
    <x v="19"/>
    <x v="2"/>
    <x v="22"/>
    <n v="190801"/>
    <n v="190801"/>
    <m/>
    <n v="28"/>
    <n v="190801"/>
    <n v="364000"/>
  </r>
  <r>
    <x v="154"/>
    <x v="4"/>
    <m/>
    <x v="19"/>
    <x v="2"/>
    <x v="23"/>
    <n v="190801"/>
    <n v="190801"/>
    <m/>
    <n v="6"/>
    <n v="190801"/>
    <n v="144000"/>
  </r>
  <r>
    <x v="154"/>
    <x v="4"/>
    <m/>
    <x v="0"/>
    <x v="4"/>
    <x v="15"/>
    <n v="190801"/>
    <n v="190801"/>
    <m/>
    <n v="7"/>
    <n v="190801"/>
    <n v="220500"/>
  </r>
  <r>
    <x v="154"/>
    <x v="4"/>
    <m/>
    <x v="0"/>
    <x v="4"/>
    <x v="16"/>
    <n v="190801"/>
    <n v="190801"/>
    <m/>
    <n v="1"/>
    <n v="190801"/>
    <n v="44000"/>
  </r>
  <r>
    <x v="155"/>
    <x v="1"/>
    <m/>
    <x v="0"/>
    <x v="1"/>
    <x v="15"/>
    <n v="190801"/>
    <n v="190801"/>
    <m/>
    <n v="2"/>
    <n v="190801"/>
    <n v="40000"/>
  </r>
  <r>
    <x v="155"/>
    <x v="1"/>
    <m/>
    <x v="0"/>
    <x v="1"/>
    <x v="16"/>
    <n v="190801"/>
    <n v="190801"/>
    <m/>
    <n v="21"/>
    <n v="190801"/>
    <n v="735000"/>
  </r>
  <r>
    <x v="155"/>
    <x v="1"/>
    <m/>
    <x v="0"/>
    <x v="7"/>
    <x v="15"/>
    <n v="190801"/>
    <n v="190801"/>
    <m/>
    <n v="32"/>
    <n v="190801"/>
    <n v="640000"/>
  </r>
  <r>
    <x v="155"/>
    <x v="1"/>
    <m/>
    <x v="1"/>
    <x v="2"/>
    <x v="18"/>
    <n v="190801"/>
    <n v="190801"/>
    <m/>
    <n v="13"/>
    <n v="190801"/>
    <n v="260000"/>
  </r>
  <r>
    <x v="155"/>
    <x v="1"/>
    <m/>
    <x v="1"/>
    <x v="2"/>
    <x v="21"/>
    <n v="190801"/>
    <n v="190801"/>
    <m/>
    <n v="2"/>
    <n v="190801"/>
    <n v="70000"/>
  </r>
  <r>
    <x v="155"/>
    <x v="1"/>
    <m/>
    <x v="0"/>
    <x v="2"/>
    <x v="15"/>
    <n v="190801"/>
    <n v="190801"/>
    <m/>
    <n v="116"/>
    <n v="190801"/>
    <n v="2320000"/>
  </r>
  <r>
    <x v="155"/>
    <x v="1"/>
    <m/>
    <x v="0"/>
    <x v="2"/>
    <x v="16"/>
    <n v="190801"/>
    <n v="190801"/>
    <m/>
    <n v="253"/>
    <n v="190801"/>
    <n v="8855000"/>
  </r>
  <r>
    <x v="155"/>
    <x v="1"/>
    <m/>
    <x v="0"/>
    <x v="2"/>
    <x v="17"/>
    <n v="190801"/>
    <n v="190801"/>
    <m/>
    <n v="2"/>
    <n v="190801"/>
    <n v="66000"/>
  </r>
  <r>
    <x v="155"/>
    <x v="1"/>
    <m/>
    <x v="0"/>
    <x v="2"/>
    <x v="19"/>
    <n v="190801"/>
    <n v="190801"/>
    <m/>
    <n v="72"/>
    <n v="190801"/>
    <n v="216000"/>
  </r>
  <r>
    <x v="155"/>
    <x v="1"/>
    <m/>
    <x v="19"/>
    <x v="2"/>
    <x v="22"/>
    <n v="190801"/>
    <n v="190801"/>
    <m/>
    <n v="21"/>
    <n v="190801"/>
    <n v="273000"/>
  </r>
  <r>
    <x v="155"/>
    <x v="1"/>
    <m/>
    <x v="19"/>
    <x v="2"/>
    <x v="23"/>
    <n v="190801"/>
    <n v="190801"/>
    <m/>
    <n v="16"/>
    <n v="190801"/>
    <n v="384000"/>
  </r>
  <r>
    <x v="155"/>
    <x v="1"/>
    <m/>
    <x v="0"/>
    <x v="4"/>
    <x v="15"/>
    <n v="190801"/>
    <n v="190801"/>
    <m/>
    <n v="19"/>
    <n v="190801"/>
    <n v="598500"/>
  </r>
  <r>
    <x v="155"/>
    <x v="1"/>
    <m/>
    <x v="0"/>
    <x v="4"/>
    <x v="16"/>
    <n v="190801"/>
    <n v="190801"/>
    <m/>
    <n v="3"/>
    <n v="190801"/>
    <n v="132000"/>
  </r>
  <r>
    <x v="156"/>
    <x v="0"/>
    <m/>
    <x v="0"/>
    <x v="1"/>
    <x v="15"/>
    <n v="190801"/>
    <n v="190801"/>
    <m/>
    <n v="1"/>
    <n v="190801"/>
    <n v="20000"/>
  </r>
  <r>
    <x v="156"/>
    <x v="0"/>
    <m/>
    <x v="0"/>
    <x v="1"/>
    <x v="16"/>
    <n v="190801"/>
    <n v="190801"/>
    <m/>
    <n v="18"/>
    <n v="190801"/>
    <n v="630000"/>
  </r>
  <r>
    <x v="156"/>
    <x v="0"/>
    <m/>
    <x v="0"/>
    <x v="7"/>
    <x v="15"/>
    <n v="190801"/>
    <n v="190801"/>
    <m/>
    <n v="36"/>
    <n v="190801"/>
    <n v="720000"/>
  </r>
  <r>
    <x v="156"/>
    <x v="0"/>
    <m/>
    <x v="1"/>
    <x v="2"/>
    <x v="18"/>
    <n v="190801"/>
    <n v="190801"/>
    <m/>
    <n v="15"/>
    <n v="190801"/>
    <n v="300000"/>
  </r>
  <r>
    <x v="156"/>
    <x v="0"/>
    <m/>
    <x v="1"/>
    <x v="2"/>
    <x v="21"/>
    <n v="190801"/>
    <n v="190801"/>
    <m/>
    <n v="3"/>
    <n v="190801"/>
    <n v="105000"/>
  </r>
  <r>
    <x v="156"/>
    <x v="0"/>
    <m/>
    <x v="0"/>
    <x v="2"/>
    <x v="15"/>
    <n v="190801"/>
    <n v="190801"/>
    <m/>
    <n v="125"/>
    <n v="190801"/>
    <n v="2500000"/>
  </r>
  <r>
    <x v="156"/>
    <x v="0"/>
    <m/>
    <x v="0"/>
    <x v="2"/>
    <x v="16"/>
    <n v="190801"/>
    <n v="190801"/>
    <m/>
    <n v="286"/>
    <n v="190801"/>
    <n v="10010000"/>
  </r>
  <r>
    <x v="156"/>
    <x v="0"/>
    <m/>
    <x v="0"/>
    <x v="2"/>
    <x v="17"/>
    <n v="190801"/>
    <n v="190801"/>
    <m/>
    <n v="2"/>
    <n v="190801"/>
    <n v="66000"/>
  </r>
  <r>
    <x v="156"/>
    <x v="0"/>
    <m/>
    <x v="0"/>
    <x v="2"/>
    <x v="19"/>
    <n v="190801"/>
    <n v="190801"/>
    <m/>
    <n v="133"/>
    <n v="190801"/>
    <n v="399000"/>
  </r>
  <r>
    <x v="156"/>
    <x v="0"/>
    <m/>
    <x v="19"/>
    <x v="2"/>
    <x v="22"/>
    <n v="190801"/>
    <n v="190801"/>
    <m/>
    <n v="18"/>
    <n v="190801"/>
    <n v="234000"/>
  </r>
  <r>
    <x v="156"/>
    <x v="0"/>
    <m/>
    <x v="19"/>
    <x v="2"/>
    <x v="23"/>
    <n v="190801"/>
    <n v="190801"/>
    <m/>
    <n v="1"/>
    <n v="190801"/>
    <n v="24000"/>
  </r>
  <r>
    <x v="156"/>
    <x v="0"/>
    <m/>
    <x v="0"/>
    <x v="4"/>
    <x v="15"/>
    <n v="190801"/>
    <n v="190801"/>
    <m/>
    <n v="44"/>
    <n v="190801"/>
    <n v="1386000"/>
  </r>
  <r>
    <x v="156"/>
    <x v="0"/>
    <m/>
    <x v="0"/>
    <x v="4"/>
    <x v="16"/>
    <n v="190801"/>
    <n v="190801"/>
    <m/>
    <n v="14"/>
    <n v="190801"/>
    <n v="616000"/>
  </r>
  <r>
    <x v="156"/>
    <x v="0"/>
    <m/>
    <x v="1"/>
    <x v="4"/>
    <x v="18"/>
    <n v="190801"/>
    <n v="190801"/>
    <m/>
    <n v="2"/>
    <n v="190801"/>
    <n v="63000"/>
  </r>
  <r>
    <x v="157"/>
    <x v="2"/>
    <m/>
    <x v="0"/>
    <x v="1"/>
    <x v="15"/>
    <n v="190801"/>
    <n v="190801"/>
    <m/>
    <n v="3"/>
    <n v="190801"/>
    <n v="60000"/>
  </r>
  <r>
    <x v="157"/>
    <x v="2"/>
    <m/>
    <x v="0"/>
    <x v="1"/>
    <x v="16"/>
    <n v="190801"/>
    <n v="190801"/>
    <m/>
    <n v="17"/>
    <n v="190801"/>
    <n v="595000"/>
  </r>
  <r>
    <x v="157"/>
    <x v="2"/>
    <m/>
    <x v="0"/>
    <x v="7"/>
    <x v="15"/>
    <n v="190801"/>
    <n v="190801"/>
    <m/>
    <n v="25"/>
    <n v="190801"/>
    <n v="500000"/>
  </r>
  <r>
    <x v="157"/>
    <x v="2"/>
    <m/>
    <x v="0"/>
    <x v="3"/>
    <x v="15"/>
    <n v="190801"/>
    <n v="190801"/>
    <m/>
    <n v="1"/>
    <n v="190801"/>
    <n v="0"/>
  </r>
  <r>
    <x v="157"/>
    <x v="2"/>
    <m/>
    <x v="1"/>
    <x v="2"/>
    <x v="18"/>
    <n v="190801"/>
    <n v="190801"/>
    <m/>
    <n v="13"/>
    <n v="190801"/>
    <n v="260000"/>
  </r>
  <r>
    <x v="157"/>
    <x v="2"/>
    <m/>
    <x v="1"/>
    <x v="2"/>
    <x v="21"/>
    <n v="190801"/>
    <n v="190801"/>
    <m/>
    <n v="3"/>
    <n v="190801"/>
    <n v="105000"/>
  </r>
  <r>
    <x v="157"/>
    <x v="2"/>
    <m/>
    <x v="0"/>
    <x v="2"/>
    <x v="15"/>
    <n v="190801"/>
    <n v="190801"/>
    <m/>
    <n v="97"/>
    <n v="190801"/>
    <n v="1940000"/>
  </r>
  <r>
    <x v="157"/>
    <x v="2"/>
    <m/>
    <x v="0"/>
    <x v="2"/>
    <x v="16"/>
    <n v="190801"/>
    <n v="190801"/>
    <m/>
    <n v="100"/>
    <n v="190801"/>
    <n v="3500000"/>
  </r>
  <r>
    <x v="157"/>
    <x v="2"/>
    <m/>
    <x v="0"/>
    <x v="2"/>
    <x v="17"/>
    <n v="190801"/>
    <n v="190801"/>
    <m/>
    <n v="42"/>
    <n v="190801"/>
    <n v="1386000"/>
  </r>
  <r>
    <x v="157"/>
    <x v="2"/>
    <m/>
    <x v="0"/>
    <x v="2"/>
    <x v="19"/>
    <n v="190801"/>
    <n v="190801"/>
    <m/>
    <n v="104"/>
    <n v="190801"/>
    <n v="312000"/>
  </r>
  <r>
    <x v="157"/>
    <x v="2"/>
    <m/>
    <x v="19"/>
    <x v="2"/>
    <x v="22"/>
    <n v="190801"/>
    <n v="190801"/>
    <m/>
    <n v="14"/>
    <n v="190801"/>
    <n v="182000"/>
  </r>
  <r>
    <x v="157"/>
    <x v="2"/>
    <m/>
    <x v="19"/>
    <x v="2"/>
    <x v="23"/>
    <n v="190801"/>
    <n v="190801"/>
    <m/>
    <n v="3"/>
    <n v="190801"/>
    <n v="72000"/>
  </r>
  <r>
    <x v="157"/>
    <x v="2"/>
    <m/>
    <x v="0"/>
    <x v="4"/>
    <x v="15"/>
    <n v="190801"/>
    <n v="190801"/>
    <m/>
    <n v="33"/>
    <n v="190801"/>
    <n v="1039500"/>
  </r>
  <r>
    <x v="157"/>
    <x v="2"/>
    <m/>
    <x v="0"/>
    <x v="4"/>
    <x v="16"/>
    <n v="190801"/>
    <n v="190801"/>
    <m/>
    <n v="25"/>
    <n v="190801"/>
    <n v="1100000"/>
  </r>
  <r>
    <x v="158"/>
    <x v="5"/>
    <m/>
    <x v="0"/>
    <x v="7"/>
    <x v="15"/>
    <n v="190801"/>
    <n v="190801"/>
    <m/>
    <n v="27"/>
    <n v="190801"/>
    <n v="540000"/>
  </r>
  <r>
    <x v="158"/>
    <x v="5"/>
    <m/>
    <x v="1"/>
    <x v="2"/>
    <x v="18"/>
    <n v="190801"/>
    <n v="190801"/>
    <m/>
    <n v="11"/>
    <n v="190801"/>
    <n v="220000"/>
  </r>
  <r>
    <x v="158"/>
    <x v="5"/>
    <m/>
    <x v="1"/>
    <x v="2"/>
    <x v="21"/>
    <n v="190801"/>
    <n v="190801"/>
    <m/>
    <n v="2"/>
    <n v="190801"/>
    <n v="70000"/>
  </r>
  <r>
    <x v="158"/>
    <x v="5"/>
    <m/>
    <x v="0"/>
    <x v="2"/>
    <x v="15"/>
    <n v="190801"/>
    <n v="190801"/>
    <m/>
    <n v="99"/>
    <n v="190801"/>
    <n v="1980000"/>
  </r>
  <r>
    <x v="158"/>
    <x v="5"/>
    <m/>
    <x v="0"/>
    <x v="2"/>
    <x v="16"/>
    <n v="190801"/>
    <n v="190801"/>
    <m/>
    <n v="63"/>
    <n v="190801"/>
    <n v="2205000"/>
  </r>
  <r>
    <x v="158"/>
    <x v="5"/>
    <m/>
    <x v="0"/>
    <x v="2"/>
    <x v="17"/>
    <n v="190801"/>
    <n v="190801"/>
    <m/>
    <n v="93"/>
    <n v="190801"/>
    <n v="3069000"/>
  </r>
  <r>
    <x v="158"/>
    <x v="5"/>
    <m/>
    <x v="0"/>
    <x v="2"/>
    <x v="19"/>
    <n v="190801"/>
    <n v="190801"/>
    <m/>
    <n v="101"/>
    <n v="190801"/>
    <n v="303000"/>
  </r>
  <r>
    <x v="158"/>
    <x v="5"/>
    <m/>
    <x v="19"/>
    <x v="2"/>
    <x v="22"/>
    <n v="190801"/>
    <n v="190801"/>
    <m/>
    <n v="13"/>
    <n v="190801"/>
    <n v="169000"/>
  </r>
  <r>
    <x v="158"/>
    <x v="5"/>
    <m/>
    <x v="19"/>
    <x v="2"/>
    <x v="23"/>
    <n v="190801"/>
    <n v="190801"/>
    <m/>
    <n v="2"/>
    <n v="190801"/>
    <n v="48000"/>
  </r>
  <r>
    <x v="159"/>
    <x v="6"/>
    <m/>
    <x v="0"/>
    <x v="7"/>
    <x v="15"/>
    <n v="190801"/>
    <n v="190801"/>
    <m/>
    <n v="32"/>
    <n v="190801"/>
    <n v="640000"/>
  </r>
  <r>
    <x v="159"/>
    <x v="6"/>
    <m/>
    <x v="1"/>
    <x v="2"/>
    <x v="18"/>
    <n v="190801"/>
    <n v="190801"/>
    <m/>
    <n v="13"/>
    <n v="190801"/>
    <n v="260000"/>
  </r>
  <r>
    <x v="159"/>
    <x v="6"/>
    <m/>
    <x v="1"/>
    <x v="2"/>
    <x v="21"/>
    <n v="190801"/>
    <n v="190801"/>
    <m/>
    <n v="1"/>
    <n v="190801"/>
    <n v="35000"/>
  </r>
  <r>
    <x v="159"/>
    <x v="6"/>
    <m/>
    <x v="0"/>
    <x v="2"/>
    <x v="15"/>
    <n v="190801"/>
    <n v="190801"/>
    <m/>
    <n v="98"/>
    <n v="190801"/>
    <n v="1960000"/>
  </r>
  <r>
    <x v="159"/>
    <x v="6"/>
    <m/>
    <x v="0"/>
    <x v="2"/>
    <x v="16"/>
    <n v="190801"/>
    <n v="190801"/>
    <m/>
    <n v="68"/>
    <n v="190801"/>
    <n v="2380000"/>
  </r>
  <r>
    <x v="159"/>
    <x v="6"/>
    <m/>
    <x v="0"/>
    <x v="2"/>
    <x v="17"/>
    <n v="190801"/>
    <n v="190801"/>
    <m/>
    <n v="112"/>
    <n v="190801"/>
    <n v="3696000"/>
  </r>
  <r>
    <x v="159"/>
    <x v="6"/>
    <m/>
    <x v="0"/>
    <x v="2"/>
    <x v="19"/>
    <n v="190801"/>
    <n v="190801"/>
    <m/>
    <n v="113"/>
    <n v="190801"/>
    <n v="339000"/>
  </r>
  <r>
    <x v="159"/>
    <x v="6"/>
    <m/>
    <x v="19"/>
    <x v="2"/>
    <x v="22"/>
    <n v="190801"/>
    <n v="190801"/>
    <m/>
    <n v="19"/>
    <n v="190801"/>
    <n v="247000"/>
  </r>
  <r>
    <x v="159"/>
    <x v="6"/>
    <m/>
    <x v="19"/>
    <x v="2"/>
    <x v="23"/>
    <n v="190801"/>
    <n v="190801"/>
    <m/>
    <n v="2"/>
    <n v="190801"/>
    <n v="48000"/>
  </r>
  <r>
    <x v="159"/>
    <x v="6"/>
    <m/>
    <x v="19"/>
    <x v="2"/>
    <x v="24"/>
    <n v="190801"/>
    <n v="190801"/>
    <m/>
    <n v="1"/>
    <n v="190801"/>
    <n v="33000"/>
  </r>
  <r>
    <x v="159"/>
    <x v="6"/>
    <m/>
    <x v="20"/>
    <x v="6"/>
    <x v="25"/>
    <n v="190801"/>
    <n v="190801"/>
    <m/>
    <n v="1325"/>
    <n v="190801"/>
    <n v="12873700"/>
  </r>
  <r>
    <x v="159"/>
    <x v="6"/>
    <m/>
    <x v="0"/>
    <x v="6"/>
    <x v="15"/>
    <n v="190801"/>
    <n v="190801"/>
    <m/>
    <n v="632"/>
    <n v="190801"/>
    <n v="5730976"/>
  </r>
  <r>
    <x v="159"/>
    <x v="6"/>
    <m/>
    <x v="1"/>
    <x v="6"/>
    <x v="18"/>
    <n v="190801"/>
    <n v="190801"/>
    <m/>
    <n v="3"/>
    <n v="190801"/>
    <n v="27615"/>
  </r>
  <r>
    <x v="159"/>
    <x v="6"/>
    <m/>
    <x v="19"/>
    <x v="6"/>
    <x v="22"/>
    <n v="190801"/>
    <n v="190801"/>
    <m/>
    <n v="9"/>
    <n v="190801"/>
    <n v="61119"/>
  </r>
  <r>
    <x v="160"/>
    <x v="3"/>
    <m/>
    <x v="0"/>
    <x v="1"/>
    <x v="15"/>
    <n v="190801"/>
    <n v="190801"/>
    <m/>
    <n v="4"/>
    <n v="190801"/>
    <n v="80000"/>
  </r>
  <r>
    <x v="160"/>
    <x v="3"/>
    <m/>
    <x v="0"/>
    <x v="1"/>
    <x v="16"/>
    <n v="190801"/>
    <n v="190801"/>
    <m/>
    <n v="34"/>
    <n v="190801"/>
    <n v="1190000"/>
  </r>
  <r>
    <x v="160"/>
    <x v="3"/>
    <m/>
    <x v="0"/>
    <x v="7"/>
    <x v="15"/>
    <n v="190801"/>
    <n v="190801"/>
    <m/>
    <n v="22"/>
    <n v="190801"/>
    <n v="440000"/>
  </r>
  <r>
    <x v="160"/>
    <x v="3"/>
    <m/>
    <x v="1"/>
    <x v="2"/>
    <x v="18"/>
    <n v="190801"/>
    <n v="190801"/>
    <m/>
    <n v="13"/>
    <n v="190801"/>
    <n v="260000"/>
  </r>
  <r>
    <x v="160"/>
    <x v="3"/>
    <m/>
    <x v="1"/>
    <x v="2"/>
    <x v="21"/>
    <n v="190801"/>
    <n v="190801"/>
    <m/>
    <n v="3"/>
    <n v="190801"/>
    <n v="105000"/>
  </r>
  <r>
    <x v="160"/>
    <x v="3"/>
    <m/>
    <x v="0"/>
    <x v="2"/>
    <x v="15"/>
    <n v="190801"/>
    <n v="190801"/>
    <m/>
    <n v="87"/>
    <n v="190801"/>
    <n v="1740000"/>
  </r>
  <r>
    <x v="160"/>
    <x v="3"/>
    <m/>
    <x v="0"/>
    <x v="2"/>
    <x v="16"/>
    <n v="190801"/>
    <n v="190801"/>
    <m/>
    <n v="78"/>
    <n v="190801"/>
    <n v="2730000"/>
  </r>
  <r>
    <x v="160"/>
    <x v="3"/>
    <m/>
    <x v="0"/>
    <x v="2"/>
    <x v="17"/>
    <n v="190801"/>
    <n v="190801"/>
    <m/>
    <n v="137"/>
    <n v="190801"/>
    <n v="4521000"/>
  </r>
  <r>
    <x v="160"/>
    <x v="3"/>
    <m/>
    <x v="0"/>
    <x v="2"/>
    <x v="19"/>
    <n v="190801"/>
    <n v="190801"/>
    <m/>
    <n v="105"/>
    <n v="190801"/>
    <n v="315000"/>
  </r>
  <r>
    <x v="160"/>
    <x v="3"/>
    <m/>
    <x v="19"/>
    <x v="2"/>
    <x v="22"/>
    <n v="190801"/>
    <n v="190801"/>
    <m/>
    <n v="17"/>
    <n v="190801"/>
    <n v="221000"/>
  </r>
  <r>
    <x v="160"/>
    <x v="3"/>
    <m/>
    <x v="19"/>
    <x v="2"/>
    <x v="23"/>
    <n v="190801"/>
    <n v="190801"/>
    <m/>
    <n v="3"/>
    <n v="190801"/>
    <n v="72000"/>
  </r>
  <r>
    <x v="160"/>
    <x v="3"/>
    <m/>
    <x v="19"/>
    <x v="2"/>
    <x v="24"/>
    <n v="190801"/>
    <n v="190801"/>
    <m/>
    <n v="1"/>
    <n v="190801"/>
    <n v="33000"/>
  </r>
  <r>
    <x v="160"/>
    <x v="3"/>
    <m/>
    <x v="0"/>
    <x v="4"/>
    <x v="15"/>
    <n v="190801"/>
    <n v="190801"/>
    <m/>
    <n v="85"/>
    <n v="190801"/>
    <n v="2677500"/>
  </r>
  <r>
    <x v="160"/>
    <x v="3"/>
    <m/>
    <x v="0"/>
    <x v="4"/>
    <x v="16"/>
    <n v="190801"/>
    <n v="190801"/>
    <m/>
    <n v="42"/>
    <n v="190801"/>
    <n v="1848000"/>
  </r>
  <r>
    <x v="160"/>
    <x v="3"/>
    <m/>
    <x v="1"/>
    <x v="4"/>
    <x v="18"/>
    <n v="190801"/>
    <n v="190801"/>
    <m/>
    <n v="3"/>
    <n v="190801"/>
    <n v="94500"/>
  </r>
  <r>
    <x v="161"/>
    <x v="4"/>
    <m/>
    <x v="0"/>
    <x v="1"/>
    <x v="15"/>
    <n v="190801"/>
    <n v="190801"/>
    <m/>
    <n v="4"/>
    <n v="190801"/>
    <n v="80000"/>
  </r>
  <r>
    <x v="161"/>
    <x v="4"/>
    <m/>
    <x v="0"/>
    <x v="1"/>
    <x v="16"/>
    <n v="190801"/>
    <n v="190801"/>
    <m/>
    <n v="12"/>
    <n v="190801"/>
    <n v="420000"/>
  </r>
  <r>
    <x v="161"/>
    <x v="4"/>
    <m/>
    <x v="0"/>
    <x v="7"/>
    <x v="15"/>
    <n v="190801"/>
    <n v="190801"/>
    <m/>
    <n v="27"/>
    <n v="190801"/>
    <n v="540000"/>
  </r>
  <r>
    <x v="161"/>
    <x v="4"/>
    <m/>
    <x v="1"/>
    <x v="2"/>
    <x v="18"/>
    <n v="190801"/>
    <n v="190801"/>
    <m/>
    <n v="13"/>
    <n v="190801"/>
    <n v="260000"/>
  </r>
  <r>
    <x v="161"/>
    <x v="4"/>
    <m/>
    <x v="1"/>
    <x v="2"/>
    <x v="21"/>
    <n v="190801"/>
    <n v="190801"/>
    <m/>
    <n v="2"/>
    <n v="190801"/>
    <n v="70000"/>
  </r>
  <r>
    <x v="161"/>
    <x v="4"/>
    <m/>
    <x v="4"/>
    <x v="2"/>
    <x v="26"/>
    <n v="190801"/>
    <n v="190801"/>
    <m/>
    <n v="2"/>
    <n v="190801"/>
    <n v="8000"/>
  </r>
  <r>
    <x v="161"/>
    <x v="4"/>
    <m/>
    <x v="4"/>
    <x v="2"/>
    <x v="27"/>
    <n v="190801"/>
    <n v="190801"/>
    <m/>
    <n v="6"/>
    <n v="190801"/>
    <n v="120000"/>
  </r>
  <r>
    <x v="161"/>
    <x v="4"/>
    <m/>
    <x v="0"/>
    <x v="2"/>
    <x v="15"/>
    <n v="190801"/>
    <n v="190801"/>
    <m/>
    <n v="93"/>
    <n v="190801"/>
    <n v="1860000"/>
  </r>
  <r>
    <x v="161"/>
    <x v="4"/>
    <m/>
    <x v="0"/>
    <x v="2"/>
    <x v="16"/>
    <n v="190801"/>
    <n v="190801"/>
    <m/>
    <n v="58"/>
    <n v="190801"/>
    <n v="2030000"/>
  </r>
  <r>
    <x v="161"/>
    <x v="4"/>
    <m/>
    <x v="0"/>
    <x v="2"/>
    <x v="17"/>
    <n v="190801"/>
    <n v="190801"/>
    <m/>
    <n v="106"/>
    <n v="190801"/>
    <n v="3498000"/>
  </r>
  <r>
    <x v="161"/>
    <x v="4"/>
    <m/>
    <x v="0"/>
    <x v="2"/>
    <x v="19"/>
    <n v="190801"/>
    <n v="190801"/>
    <m/>
    <n v="113"/>
    <n v="190801"/>
    <n v="339000"/>
  </r>
  <r>
    <x v="161"/>
    <x v="4"/>
    <m/>
    <x v="19"/>
    <x v="2"/>
    <x v="22"/>
    <n v="190801"/>
    <n v="190801"/>
    <m/>
    <n v="17"/>
    <n v="190801"/>
    <n v="221000"/>
  </r>
  <r>
    <x v="161"/>
    <x v="4"/>
    <m/>
    <x v="19"/>
    <x v="2"/>
    <x v="23"/>
    <n v="190801"/>
    <n v="190801"/>
    <m/>
    <n v="1"/>
    <n v="190801"/>
    <n v="24000"/>
  </r>
  <r>
    <x v="161"/>
    <x v="4"/>
    <m/>
    <x v="19"/>
    <x v="2"/>
    <x v="24"/>
    <n v="190801"/>
    <n v="190801"/>
    <m/>
    <n v="1"/>
    <n v="190801"/>
    <n v="33000"/>
  </r>
  <r>
    <x v="161"/>
    <x v="4"/>
    <m/>
    <x v="0"/>
    <x v="4"/>
    <x v="15"/>
    <n v="190801"/>
    <n v="190801"/>
    <m/>
    <n v="12"/>
    <n v="190801"/>
    <n v="378000"/>
  </r>
  <r>
    <x v="161"/>
    <x v="4"/>
    <m/>
    <x v="0"/>
    <x v="4"/>
    <x v="16"/>
    <n v="190801"/>
    <n v="190801"/>
    <m/>
    <n v="12"/>
    <n v="190801"/>
    <n v="528000"/>
  </r>
  <r>
    <x v="161"/>
    <x v="4"/>
    <m/>
    <x v="1"/>
    <x v="4"/>
    <x v="18"/>
    <n v="190801"/>
    <n v="190801"/>
    <m/>
    <n v="1"/>
    <n v="190801"/>
    <n v="31500"/>
  </r>
  <r>
    <x v="162"/>
    <x v="1"/>
    <m/>
    <x v="0"/>
    <x v="1"/>
    <x v="15"/>
    <n v="190801"/>
    <n v="190801"/>
    <m/>
    <n v="5"/>
    <n v="190801"/>
    <n v="100000"/>
  </r>
  <r>
    <x v="162"/>
    <x v="1"/>
    <m/>
    <x v="0"/>
    <x v="1"/>
    <x v="16"/>
    <n v="190801"/>
    <n v="190801"/>
    <m/>
    <n v="21"/>
    <n v="190801"/>
    <n v="735000"/>
  </r>
  <r>
    <x v="162"/>
    <x v="1"/>
    <m/>
    <x v="0"/>
    <x v="7"/>
    <x v="15"/>
    <n v="190801"/>
    <n v="190801"/>
    <m/>
    <n v="20"/>
    <n v="190801"/>
    <n v="400000"/>
  </r>
  <r>
    <x v="162"/>
    <x v="1"/>
    <m/>
    <x v="1"/>
    <x v="2"/>
    <x v="18"/>
    <n v="190801"/>
    <n v="190801"/>
    <m/>
    <n v="7"/>
    <n v="190801"/>
    <n v="140000"/>
  </r>
  <r>
    <x v="162"/>
    <x v="1"/>
    <m/>
    <x v="1"/>
    <x v="2"/>
    <x v="21"/>
    <n v="190801"/>
    <n v="190801"/>
    <m/>
    <n v="2"/>
    <n v="190801"/>
    <n v="70000"/>
  </r>
  <r>
    <x v="162"/>
    <x v="1"/>
    <m/>
    <x v="4"/>
    <x v="2"/>
    <x v="26"/>
    <n v="190801"/>
    <n v="190801"/>
    <m/>
    <n v="9"/>
    <n v="190801"/>
    <n v="36000"/>
  </r>
  <r>
    <x v="162"/>
    <x v="1"/>
    <m/>
    <x v="4"/>
    <x v="2"/>
    <x v="27"/>
    <n v="190801"/>
    <n v="190801"/>
    <m/>
    <n v="10"/>
    <n v="190801"/>
    <n v="200000"/>
  </r>
  <r>
    <x v="162"/>
    <x v="1"/>
    <m/>
    <x v="0"/>
    <x v="2"/>
    <x v="15"/>
    <n v="190801"/>
    <n v="190801"/>
    <m/>
    <n v="82"/>
    <n v="190801"/>
    <n v="1640000"/>
  </r>
  <r>
    <x v="162"/>
    <x v="1"/>
    <m/>
    <x v="0"/>
    <x v="2"/>
    <x v="16"/>
    <n v="190801"/>
    <n v="190801"/>
    <m/>
    <n v="271"/>
    <n v="190801"/>
    <n v="9485000"/>
  </r>
  <r>
    <x v="162"/>
    <x v="1"/>
    <m/>
    <x v="0"/>
    <x v="2"/>
    <x v="17"/>
    <n v="190801"/>
    <n v="190801"/>
    <m/>
    <n v="216"/>
    <n v="190801"/>
    <n v="7128000"/>
  </r>
  <r>
    <x v="162"/>
    <x v="1"/>
    <m/>
    <x v="0"/>
    <x v="2"/>
    <x v="19"/>
    <n v="190801"/>
    <n v="190801"/>
    <m/>
    <n v="97"/>
    <n v="190801"/>
    <n v="291000"/>
  </r>
  <r>
    <x v="162"/>
    <x v="1"/>
    <m/>
    <x v="19"/>
    <x v="2"/>
    <x v="22"/>
    <n v="190801"/>
    <n v="190801"/>
    <m/>
    <n v="9"/>
    <n v="190801"/>
    <n v="117000"/>
  </r>
  <r>
    <x v="162"/>
    <x v="1"/>
    <m/>
    <x v="0"/>
    <x v="4"/>
    <x v="15"/>
    <n v="190801"/>
    <n v="190801"/>
    <m/>
    <n v="19"/>
    <n v="190801"/>
    <n v="598500"/>
  </r>
  <r>
    <x v="162"/>
    <x v="1"/>
    <m/>
    <x v="0"/>
    <x v="4"/>
    <x v="16"/>
    <n v="190801"/>
    <n v="190801"/>
    <m/>
    <n v="10"/>
    <n v="190801"/>
    <n v="440000"/>
  </r>
  <r>
    <x v="162"/>
    <x v="1"/>
    <m/>
    <x v="19"/>
    <x v="3"/>
    <x v="22"/>
    <n v="190801"/>
    <n v="190801"/>
    <m/>
    <n v="30"/>
    <n v="190801"/>
    <n v="0"/>
  </r>
  <r>
    <x v="163"/>
    <x v="0"/>
    <m/>
    <x v="0"/>
    <x v="1"/>
    <x v="15"/>
    <n v="190801"/>
    <n v="190801"/>
    <m/>
    <n v="2"/>
    <n v="190801"/>
    <n v="40000"/>
  </r>
  <r>
    <x v="163"/>
    <x v="0"/>
    <m/>
    <x v="0"/>
    <x v="1"/>
    <x v="16"/>
    <n v="190801"/>
    <n v="190801"/>
    <m/>
    <n v="4"/>
    <n v="190801"/>
    <n v="140000"/>
  </r>
  <r>
    <x v="163"/>
    <x v="0"/>
    <m/>
    <x v="0"/>
    <x v="7"/>
    <x v="15"/>
    <n v="190801"/>
    <n v="190801"/>
    <m/>
    <n v="15"/>
    <n v="190801"/>
    <n v="300000"/>
  </r>
  <r>
    <x v="163"/>
    <x v="0"/>
    <m/>
    <x v="1"/>
    <x v="2"/>
    <x v="18"/>
    <n v="190801"/>
    <n v="190801"/>
    <m/>
    <n v="12"/>
    <n v="190801"/>
    <n v="240000"/>
  </r>
  <r>
    <x v="163"/>
    <x v="0"/>
    <m/>
    <x v="1"/>
    <x v="2"/>
    <x v="21"/>
    <n v="190801"/>
    <n v="190801"/>
    <m/>
    <n v="1"/>
    <n v="190801"/>
    <n v="35000"/>
  </r>
  <r>
    <x v="163"/>
    <x v="0"/>
    <m/>
    <x v="0"/>
    <x v="2"/>
    <x v="15"/>
    <n v="190801"/>
    <n v="190801"/>
    <m/>
    <n v="89"/>
    <n v="190801"/>
    <n v="1780000"/>
  </r>
  <r>
    <x v="163"/>
    <x v="0"/>
    <m/>
    <x v="0"/>
    <x v="2"/>
    <x v="16"/>
    <n v="190801"/>
    <n v="190801"/>
    <m/>
    <n v="60"/>
    <n v="190801"/>
    <n v="2100000"/>
  </r>
  <r>
    <x v="163"/>
    <x v="0"/>
    <m/>
    <x v="0"/>
    <x v="2"/>
    <x v="17"/>
    <n v="190801"/>
    <n v="190801"/>
    <m/>
    <n v="80"/>
    <n v="190801"/>
    <n v="2640000"/>
  </r>
  <r>
    <x v="163"/>
    <x v="0"/>
    <m/>
    <x v="0"/>
    <x v="2"/>
    <x v="19"/>
    <n v="190801"/>
    <n v="190801"/>
    <m/>
    <n v="89"/>
    <n v="190801"/>
    <n v="267000"/>
  </r>
  <r>
    <x v="163"/>
    <x v="0"/>
    <m/>
    <x v="19"/>
    <x v="2"/>
    <x v="22"/>
    <n v="190801"/>
    <n v="190801"/>
    <m/>
    <n v="15"/>
    <n v="190801"/>
    <n v="195000"/>
  </r>
  <r>
    <x v="163"/>
    <x v="0"/>
    <m/>
    <x v="0"/>
    <x v="4"/>
    <x v="15"/>
    <n v="190801"/>
    <n v="190801"/>
    <m/>
    <n v="28"/>
    <n v="190801"/>
    <n v="882000"/>
  </r>
  <r>
    <x v="163"/>
    <x v="0"/>
    <m/>
    <x v="0"/>
    <x v="4"/>
    <x v="16"/>
    <n v="190801"/>
    <n v="190801"/>
    <m/>
    <n v="13"/>
    <n v="190801"/>
    <n v="572000"/>
  </r>
  <r>
    <x v="163"/>
    <x v="0"/>
    <m/>
    <x v="19"/>
    <x v="4"/>
    <x v="22"/>
    <n v="190801"/>
    <n v="190801"/>
    <m/>
    <n v="2"/>
    <n v="190801"/>
    <n v="50000"/>
  </r>
  <r>
    <x v="163"/>
    <x v="0"/>
    <m/>
    <x v="1"/>
    <x v="4"/>
    <x v="18"/>
    <n v="190801"/>
    <n v="190801"/>
    <m/>
    <n v="1"/>
    <n v="190801"/>
    <n v="31500"/>
  </r>
  <r>
    <x v="163"/>
    <x v="0"/>
    <m/>
    <x v="4"/>
    <x v="2"/>
    <x v="26"/>
    <n v="190801"/>
    <n v="190801"/>
    <m/>
    <n v="2"/>
    <n v="190801"/>
    <n v="8000"/>
  </r>
  <r>
    <x v="163"/>
    <x v="0"/>
    <m/>
    <x v="4"/>
    <x v="2"/>
    <x v="27"/>
    <n v="190801"/>
    <n v="190801"/>
    <m/>
    <n v="8"/>
    <n v="190801"/>
    <n v="160000"/>
  </r>
  <r>
    <x v="164"/>
    <x v="2"/>
    <m/>
    <x v="0"/>
    <x v="1"/>
    <x v="15"/>
    <n v="190801"/>
    <n v="190801"/>
    <m/>
    <n v="2"/>
    <n v="190801"/>
    <n v="40000"/>
  </r>
  <r>
    <x v="164"/>
    <x v="2"/>
    <m/>
    <x v="0"/>
    <x v="1"/>
    <x v="16"/>
    <n v="190801"/>
    <n v="190801"/>
    <m/>
    <n v="27"/>
    <n v="190801"/>
    <n v="945000"/>
  </r>
  <r>
    <x v="164"/>
    <x v="2"/>
    <m/>
    <x v="0"/>
    <x v="7"/>
    <x v="15"/>
    <n v="190801"/>
    <n v="190801"/>
    <m/>
    <n v="8"/>
    <n v="190801"/>
    <n v="160000"/>
  </r>
  <r>
    <x v="164"/>
    <x v="2"/>
    <m/>
    <x v="1"/>
    <x v="2"/>
    <x v="18"/>
    <n v="190801"/>
    <n v="190801"/>
    <m/>
    <n v="10"/>
    <n v="190801"/>
    <n v="200000"/>
  </r>
  <r>
    <x v="164"/>
    <x v="2"/>
    <m/>
    <x v="1"/>
    <x v="2"/>
    <x v="21"/>
    <n v="190801"/>
    <n v="190801"/>
    <m/>
    <n v="1"/>
    <n v="190801"/>
    <n v="35000"/>
  </r>
  <r>
    <x v="164"/>
    <x v="2"/>
    <m/>
    <x v="0"/>
    <x v="2"/>
    <x v="15"/>
    <n v="190801"/>
    <n v="190801"/>
    <m/>
    <n v="34"/>
    <n v="190801"/>
    <n v="680000"/>
  </r>
  <r>
    <x v="164"/>
    <x v="2"/>
    <m/>
    <x v="0"/>
    <x v="2"/>
    <x v="16"/>
    <n v="190801"/>
    <n v="190801"/>
    <m/>
    <n v="27"/>
    <n v="190801"/>
    <n v="945000"/>
  </r>
  <r>
    <x v="164"/>
    <x v="2"/>
    <m/>
    <x v="0"/>
    <x v="2"/>
    <x v="17"/>
    <n v="190801"/>
    <n v="190801"/>
    <m/>
    <n v="64"/>
    <n v="190801"/>
    <n v="2112000"/>
  </r>
  <r>
    <x v="164"/>
    <x v="2"/>
    <m/>
    <x v="0"/>
    <x v="2"/>
    <x v="19"/>
    <n v="190801"/>
    <n v="190801"/>
    <m/>
    <n v="56"/>
    <n v="190801"/>
    <n v="168000"/>
  </r>
  <r>
    <x v="164"/>
    <x v="2"/>
    <m/>
    <x v="4"/>
    <x v="2"/>
    <x v="26"/>
    <n v="190801"/>
    <n v="190801"/>
    <m/>
    <n v="1"/>
    <n v="190801"/>
    <n v="4000"/>
  </r>
  <r>
    <x v="164"/>
    <x v="2"/>
    <m/>
    <x v="4"/>
    <x v="2"/>
    <x v="27"/>
    <n v="190801"/>
    <n v="190801"/>
    <m/>
    <n v="6"/>
    <n v="190801"/>
    <n v="120000"/>
  </r>
  <r>
    <x v="164"/>
    <x v="2"/>
    <m/>
    <x v="0"/>
    <x v="4"/>
    <x v="15"/>
    <n v="190801"/>
    <n v="190801"/>
    <m/>
    <n v="9"/>
    <n v="190801"/>
    <n v="283500"/>
  </r>
  <r>
    <x v="164"/>
    <x v="2"/>
    <m/>
    <x v="0"/>
    <x v="4"/>
    <x v="16"/>
    <n v="190801"/>
    <n v="190801"/>
    <m/>
    <n v="9"/>
    <n v="190801"/>
    <n v="396000"/>
  </r>
  <r>
    <x v="164"/>
    <x v="2"/>
    <m/>
    <x v="19"/>
    <x v="2"/>
    <x v="22"/>
    <n v="190801"/>
    <n v="190801"/>
    <m/>
    <n v="5"/>
    <n v="190801"/>
    <n v="65000"/>
  </r>
  <r>
    <x v="165"/>
    <x v="5"/>
    <m/>
    <x v="0"/>
    <x v="7"/>
    <x v="15"/>
    <n v="190801"/>
    <n v="190801"/>
    <m/>
    <n v="3"/>
    <n v="190801"/>
    <n v="60000"/>
  </r>
  <r>
    <x v="165"/>
    <x v="5"/>
    <m/>
    <x v="1"/>
    <x v="2"/>
    <x v="18"/>
    <n v="190801"/>
    <n v="190801"/>
    <m/>
    <n v="8"/>
    <n v="190801"/>
    <n v="160000"/>
  </r>
  <r>
    <x v="165"/>
    <x v="5"/>
    <m/>
    <x v="4"/>
    <x v="2"/>
    <x v="26"/>
    <n v="190801"/>
    <n v="190801"/>
    <m/>
    <n v="6"/>
    <n v="190801"/>
    <n v="24000"/>
  </r>
  <r>
    <x v="165"/>
    <x v="5"/>
    <m/>
    <x v="4"/>
    <x v="2"/>
    <x v="27"/>
    <n v="190801"/>
    <n v="190801"/>
    <m/>
    <n v="6"/>
    <n v="190801"/>
    <n v="120000"/>
  </r>
  <r>
    <x v="165"/>
    <x v="5"/>
    <m/>
    <x v="0"/>
    <x v="2"/>
    <x v="15"/>
    <n v="190801"/>
    <n v="190801"/>
    <m/>
    <n v="41"/>
    <n v="190801"/>
    <n v="820000"/>
  </r>
  <r>
    <x v="165"/>
    <x v="5"/>
    <m/>
    <x v="0"/>
    <x v="2"/>
    <x v="16"/>
    <n v="190801"/>
    <n v="190801"/>
    <m/>
    <n v="34"/>
    <n v="190801"/>
    <n v="1190000"/>
  </r>
  <r>
    <x v="165"/>
    <x v="5"/>
    <m/>
    <x v="0"/>
    <x v="2"/>
    <x v="17"/>
    <n v="190801"/>
    <n v="190801"/>
    <m/>
    <n v="60"/>
    <n v="190801"/>
    <n v="1980000"/>
  </r>
  <r>
    <x v="165"/>
    <x v="5"/>
    <m/>
    <x v="19"/>
    <x v="2"/>
    <x v="22"/>
    <n v="190801"/>
    <n v="190801"/>
    <m/>
    <n v="11"/>
    <n v="190801"/>
    <n v="143000"/>
  </r>
  <r>
    <x v="165"/>
    <x v="5"/>
    <m/>
    <x v="19"/>
    <x v="2"/>
    <x v="23"/>
    <n v="190801"/>
    <n v="190801"/>
    <m/>
    <n v="2"/>
    <n v="190801"/>
    <n v="48000"/>
  </r>
  <r>
    <x v="165"/>
    <x v="5"/>
    <m/>
    <x v="0"/>
    <x v="2"/>
    <x v="19"/>
    <n v="190801"/>
    <n v="190801"/>
    <m/>
    <n v="53"/>
    <n v="190801"/>
    <n v="159000"/>
  </r>
  <r>
    <x v="166"/>
    <x v="6"/>
    <m/>
    <x v="0"/>
    <x v="1"/>
    <x v="16"/>
    <n v="190801"/>
    <n v="190801"/>
    <m/>
    <n v="7"/>
    <n v="190801"/>
    <n v="245000"/>
  </r>
  <r>
    <x v="166"/>
    <x v="6"/>
    <m/>
    <x v="0"/>
    <x v="7"/>
    <x v="15"/>
    <n v="190801"/>
    <n v="190801"/>
    <m/>
    <n v="3"/>
    <n v="190801"/>
    <n v="60000"/>
  </r>
  <r>
    <x v="166"/>
    <x v="6"/>
    <m/>
    <x v="1"/>
    <x v="2"/>
    <x v="18"/>
    <n v="190801"/>
    <n v="190801"/>
    <m/>
    <n v="9"/>
    <n v="190801"/>
    <n v="180000"/>
  </r>
  <r>
    <x v="166"/>
    <x v="6"/>
    <m/>
    <x v="4"/>
    <x v="2"/>
    <x v="26"/>
    <n v="190801"/>
    <n v="190801"/>
    <m/>
    <n v="2"/>
    <n v="190801"/>
    <n v="8000"/>
  </r>
  <r>
    <x v="166"/>
    <x v="6"/>
    <m/>
    <x v="4"/>
    <x v="2"/>
    <x v="27"/>
    <n v="190801"/>
    <n v="190801"/>
    <m/>
    <n v="4"/>
    <n v="190801"/>
    <n v="80000"/>
  </r>
  <r>
    <x v="166"/>
    <x v="6"/>
    <m/>
    <x v="0"/>
    <x v="2"/>
    <x v="15"/>
    <n v="190801"/>
    <n v="190801"/>
    <m/>
    <n v="64"/>
    <n v="190801"/>
    <n v="1280000"/>
  </r>
  <r>
    <x v="166"/>
    <x v="6"/>
    <m/>
    <x v="0"/>
    <x v="2"/>
    <x v="16"/>
    <n v="190801"/>
    <n v="190801"/>
    <m/>
    <n v="43"/>
    <n v="190801"/>
    <n v="1505000"/>
  </r>
  <r>
    <x v="166"/>
    <x v="6"/>
    <m/>
    <x v="0"/>
    <x v="2"/>
    <x v="17"/>
    <n v="190801"/>
    <n v="190801"/>
    <m/>
    <n v="64"/>
    <n v="190801"/>
    <n v="2112000"/>
  </r>
  <r>
    <x v="166"/>
    <x v="6"/>
    <m/>
    <x v="19"/>
    <x v="2"/>
    <x v="22"/>
    <n v="190801"/>
    <n v="190801"/>
    <m/>
    <n v="12"/>
    <n v="190801"/>
    <n v="156000"/>
  </r>
  <r>
    <x v="166"/>
    <x v="6"/>
    <m/>
    <x v="0"/>
    <x v="2"/>
    <x v="19"/>
    <n v="190801"/>
    <n v="190801"/>
    <m/>
    <n v="74"/>
    <n v="190801"/>
    <n v="222000"/>
  </r>
  <r>
    <x v="166"/>
    <x v="6"/>
    <m/>
    <x v="20"/>
    <x v="6"/>
    <x v="25"/>
    <n v="190801"/>
    <n v="190801"/>
    <m/>
    <n v="646"/>
    <n v="190801"/>
    <n v="6276536"/>
  </r>
  <r>
    <x v="166"/>
    <x v="6"/>
    <m/>
    <x v="0"/>
    <x v="6"/>
    <x v="15"/>
    <n v="190801"/>
    <n v="190801"/>
    <m/>
    <n v="774"/>
    <n v="190801"/>
    <n v="7018632"/>
  </r>
  <r>
    <x v="166"/>
    <x v="6"/>
    <m/>
    <x v="1"/>
    <x v="6"/>
    <x v="18"/>
    <n v="190801"/>
    <n v="190801"/>
    <m/>
    <n v="10"/>
    <n v="190801"/>
    <n v="92050"/>
  </r>
  <r>
    <x v="166"/>
    <x v="6"/>
    <m/>
    <x v="19"/>
    <x v="6"/>
    <x v="22"/>
    <n v="190801"/>
    <n v="190801"/>
    <m/>
    <n v="19"/>
    <n v="190801"/>
    <n v="129029"/>
  </r>
  <r>
    <x v="167"/>
    <x v="3"/>
    <m/>
    <x v="0"/>
    <x v="1"/>
    <x v="16"/>
    <n v="190801"/>
    <n v="190801"/>
    <m/>
    <n v="6"/>
    <n v="190801"/>
    <n v="210000"/>
  </r>
  <r>
    <x v="167"/>
    <x v="3"/>
    <m/>
    <x v="0"/>
    <x v="7"/>
    <x v="15"/>
    <n v="190801"/>
    <n v="190801"/>
    <m/>
    <n v="7"/>
    <n v="190801"/>
    <n v="140000"/>
  </r>
  <r>
    <x v="167"/>
    <x v="3"/>
    <m/>
    <x v="1"/>
    <x v="2"/>
    <x v="18"/>
    <n v="190801"/>
    <n v="190801"/>
    <m/>
    <n v="6"/>
    <n v="190801"/>
    <n v="120000"/>
  </r>
  <r>
    <x v="167"/>
    <x v="3"/>
    <m/>
    <x v="1"/>
    <x v="2"/>
    <x v="21"/>
    <n v="190801"/>
    <n v="190801"/>
    <m/>
    <n v="1"/>
    <n v="190801"/>
    <n v="35000"/>
  </r>
  <r>
    <x v="167"/>
    <x v="3"/>
    <m/>
    <x v="0"/>
    <x v="2"/>
    <x v="15"/>
    <n v="190801"/>
    <n v="190801"/>
    <m/>
    <n v="64"/>
    <n v="190801"/>
    <n v="1280000"/>
  </r>
  <r>
    <x v="167"/>
    <x v="3"/>
    <m/>
    <x v="0"/>
    <x v="2"/>
    <x v="16"/>
    <n v="190801"/>
    <n v="190801"/>
    <m/>
    <n v="26"/>
    <n v="190801"/>
    <n v="910000"/>
  </r>
  <r>
    <x v="167"/>
    <x v="3"/>
    <m/>
    <x v="0"/>
    <x v="2"/>
    <x v="17"/>
    <n v="190801"/>
    <n v="190801"/>
    <m/>
    <n v="85"/>
    <n v="190801"/>
    <n v="2805000"/>
  </r>
  <r>
    <x v="167"/>
    <x v="3"/>
    <m/>
    <x v="0"/>
    <x v="2"/>
    <x v="19"/>
    <n v="190801"/>
    <n v="190801"/>
    <m/>
    <n v="56"/>
    <n v="190801"/>
    <n v="168000"/>
  </r>
  <r>
    <x v="167"/>
    <x v="3"/>
    <m/>
    <x v="19"/>
    <x v="2"/>
    <x v="22"/>
    <n v="190801"/>
    <n v="190801"/>
    <m/>
    <n v="10"/>
    <n v="190801"/>
    <n v="130000"/>
  </r>
  <r>
    <x v="167"/>
    <x v="3"/>
    <m/>
    <x v="19"/>
    <x v="2"/>
    <x v="23"/>
    <n v="190801"/>
    <n v="190801"/>
    <m/>
    <n v="1"/>
    <n v="190801"/>
    <n v="24000"/>
  </r>
  <r>
    <x v="167"/>
    <x v="3"/>
    <m/>
    <x v="4"/>
    <x v="2"/>
    <x v="26"/>
    <n v="190801"/>
    <n v="190801"/>
    <m/>
    <n v="8"/>
    <n v="190801"/>
    <n v="32000"/>
  </r>
  <r>
    <x v="167"/>
    <x v="3"/>
    <m/>
    <x v="4"/>
    <x v="2"/>
    <x v="27"/>
    <n v="190801"/>
    <n v="190801"/>
    <m/>
    <n v="3"/>
    <n v="190801"/>
    <n v="60000"/>
  </r>
  <r>
    <x v="167"/>
    <x v="3"/>
    <m/>
    <x v="0"/>
    <x v="4"/>
    <x v="15"/>
    <n v="190801"/>
    <n v="190801"/>
    <m/>
    <n v="70"/>
    <n v="190801"/>
    <n v="2205000"/>
  </r>
  <r>
    <x v="167"/>
    <x v="3"/>
    <m/>
    <x v="0"/>
    <x v="4"/>
    <x v="16"/>
    <n v="190801"/>
    <n v="190801"/>
    <m/>
    <n v="33"/>
    <n v="190801"/>
    <n v="1452000"/>
  </r>
  <r>
    <x v="167"/>
    <x v="3"/>
    <m/>
    <x v="19"/>
    <x v="4"/>
    <x v="22"/>
    <n v="190801"/>
    <n v="190801"/>
    <m/>
    <n v="3"/>
    <n v="190801"/>
    <n v="75000"/>
  </r>
  <r>
    <x v="167"/>
    <x v="3"/>
    <m/>
    <x v="1"/>
    <x v="4"/>
    <x v="18"/>
    <n v="190801"/>
    <n v="190801"/>
    <m/>
    <n v="2"/>
    <n v="190801"/>
    <n v="63000"/>
  </r>
  <r>
    <x v="168"/>
    <x v="4"/>
    <m/>
    <x v="0"/>
    <x v="1"/>
    <x v="15"/>
    <n v="190801"/>
    <n v="190801"/>
    <m/>
    <n v="1"/>
    <n v="190801"/>
    <n v="20000"/>
  </r>
  <r>
    <x v="168"/>
    <x v="4"/>
    <m/>
    <x v="0"/>
    <x v="1"/>
    <x v="16"/>
    <n v="190801"/>
    <n v="190801"/>
    <m/>
    <n v="2"/>
    <n v="190801"/>
    <n v="70000"/>
  </r>
  <r>
    <x v="168"/>
    <x v="4"/>
    <m/>
    <x v="0"/>
    <x v="7"/>
    <x v="15"/>
    <n v="190801"/>
    <n v="190801"/>
    <m/>
    <n v="7"/>
    <n v="190801"/>
    <n v="140000"/>
  </r>
  <r>
    <x v="168"/>
    <x v="4"/>
    <m/>
    <x v="1"/>
    <x v="2"/>
    <x v="18"/>
    <n v="190801"/>
    <n v="190801"/>
    <m/>
    <n v="6"/>
    <n v="190801"/>
    <n v="120000"/>
  </r>
  <r>
    <x v="168"/>
    <x v="4"/>
    <m/>
    <x v="1"/>
    <x v="2"/>
    <x v="21"/>
    <n v="190801"/>
    <n v="190801"/>
    <m/>
    <n v="1"/>
    <n v="190801"/>
    <n v="35000"/>
  </r>
  <r>
    <x v="168"/>
    <x v="4"/>
    <m/>
    <x v="0"/>
    <x v="2"/>
    <x v="15"/>
    <n v="190801"/>
    <n v="190801"/>
    <m/>
    <n v="58"/>
    <n v="190801"/>
    <n v="1160000"/>
  </r>
  <r>
    <x v="168"/>
    <x v="4"/>
    <m/>
    <x v="0"/>
    <x v="2"/>
    <x v="16"/>
    <n v="190801"/>
    <n v="190801"/>
    <m/>
    <n v="31"/>
    <n v="190801"/>
    <n v="1085000"/>
  </r>
  <r>
    <x v="168"/>
    <x v="4"/>
    <m/>
    <x v="0"/>
    <x v="2"/>
    <x v="17"/>
    <n v="190801"/>
    <n v="190801"/>
    <m/>
    <n v="75"/>
    <n v="190801"/>
    <n v="2475000"/>
  </r>
  <r>
    <x v="168"/>
    <x v="4"/>
    <m/>
    <x v="0"/>
    <x v="2"/>
    <x v="19"/>
    <n v="190801"/>
    <n v="190801"/>
    <m/>
    <n v="77"/>
    <n v="190801"/>
    <n v="231000"/>
  </r>
  <r>
    <x v="168"/>
    <x v="4"/>
    <m/>
    <x v="19"/>
    <x v="2"/>
    <x v="22"/>
    <n v="190801"/>
    <n v="190801"/>
    <m/>
    <n v="11"/>
    <n v="190801"/>
    <n v="143000"/>
  </r>
  <r>
    <x v="168"/>
    <x v="4"/>
    <m/>
    <x v="19"/>
    <x v="2"/>
    <x v="23"/>
    <n v="190801"/>
    <n v="190801"/>
    <m/>
    <n v="1"/>
    <n v="190801"/>
    <n v="24000"/>
  </r>
  <r>
    <x v="168"/>
    <x v="4"/>
    <m/>
    <x v="19"/>
    <x v="2"/>
    <x v="24"/>
    <n v="190801"/>
    <n v="190801"/>
    <m/>
    <n v="1"/>
    <n v="190801"/>
    <n v="33000"/>
  </r>
  <r>
    <x v="168"/>
    <x v="4"/>
    <m/>
    <x v="4"/>
    <x v="2"/>
    <x v="26"/>
    <n v="190801"/>
    <n v="190801"/>
    <m/>
    <n v="6"/>
    <n v="190801"/>
    <n v="24000"/>
  </r>
  <r>
    <x v="168"/>
    <x v="4"/>
    <m/>
    <x v="4"/>
    <x v="2"/>
    <x v="27"/>
    <n v="190801"/>
    <n v="190801"/>
    <m/>
    <n v="15"/>
    <n v="190801"/>
    <n v="300000"/>
  </r>
  <r>
    <x v="168"/>
    <x v="4"/>
    <m/>
    <x v="0"/>
    <x v="4"/>
    <x v="15"/>
    <n v="190801"/>
    <n v="190801"/>
    <m/>
    <n v="5"/>
    <n v="190801"/>
    <n v="157500"/>
  </r>
  <r>
    <x v="168"/>
    <x v="4"/>
    <m/>
    <x v="0"/>
    <x v="4"/>
    <x v="16"/>
    <n v="190801"/>
    <n v="190801"/>
    <m/>
    <n v="5"/>
    <n v="190801"/>
    <n v="220000"/>
  </r>
  <r>
    <x v="169"/>
    <x v="1"/>
    <m/>
    <x v="0"/>
    <x v="1"/>
    <x v="15"/>
    <n v="190801"/>
    <n v="190801"/>
    <m/>
    <n v="2"/>
    <n v="190801"/>
    <n v="40000"/>
  </r>
  <r>
    <x v="169"/>
    <x v="1"/>
    <m/>
    <x v="0"/>
    <x v="1"/>
    <x v="16"/>
    <n v="190801"/>
    <n v="190801"/>
    <m/>
    <n v="9"/>
    <n v="190801"/>
    <n v="315000"/>
  </r>
  <r>
    <x v="169"/>
    <x v="1"/>
    <m/>
    <x v="0"/>
    <x v="7"/>
    <x v="15"/>
    <n v="190801"/>
    <n v="190801"/>
    <m/>
    <n v="3"/>
    <n v="190801"/>
    <n v="60000"/>
  </r>
  <r>
    <x v="169"/>
    <x v="1"/>
    <m/>
    <x v="1"/>
    <x v="2"/>
    <x v="18"/>
    <n v="190801"/>
    <n v="190801"/>
    <m/>
    <n v="38"/>
    <n v="190801"/>
    <n v="760000"/>
  </r>
  <r>
    <x v="169"/>
    <x v="1"/>
    <m/>
    <x v="1"/>
    <x v="2"/>
    <x v="21"/>
    <n v="190801"/>
    <n v="190801"/>
    <m/>
    <n v="22"/>
    <n v="190801"/>
    <n v="770000"/>
  </r>
  <r>
    <x v="169"/>
    <x v="1"/>
    <m/>
    <x v="0"/>
    <x v="2"/>
    <x v="15"/>
    <n v="190801"/>
    <n v="190801"/>
    <m/>
    <n v="61"/>
    <n v="190801"/>
    <n v="1220000"/>
  </r>
  <r>
    <x v="169"/>
    <x v="1"/>
    <m/>
    <x v="0"/>
    <x v="2"/>
    <x v="16"/>
    <n v="190801"/>
    <n v="190801"/>
    <m/>
    <n v="38"/>
    <n v="190801"/>
    <n v="1330000"/>
  </r>
  <r>
    <x v="169"/>
    <x v="1"/>
    <m/>
    <x v="0"/>
    <x v="2"/>
    <x v="17"/>
    <n v="190801"/>
    <n v="190801"/>
    <m/>
    <n v="75"/>
    <n v="190801"/>
    <n v="2475000"/>
  </r>
  <r>
    <x v="169"/>
    <x v="1"/>
    <m/>
    <x v="0"/>
    <x v="2"/>
    <x v="19"/>
    <n v="190801"/>
    <n v="190801"/>
    <m/>
    <n v="68"/>
    <n v="190801"/>
    <n v="204000"/>
  </r>
  <r>
    <x v="169"/>
    <x v="1"/>
    <m/>
    <x v="19"/>
    <x v="2"/>
    <x v="22"/>
    <n v="190801"/>
    <n v="190801"/>
    <m/>
    <n v="16"/>
    <n v="190801"/>
    <n v="208000"/>
  </r>
  <r>
    <x v="169"/>
    <x v="1"/>
    <m/>
    <x v="19"/>
    <x v="2"/>
    <x v="23"/>
    <n v="190801"/>
    <n v="190801"/>
    <m/>
    <n v="1"/>
    <n v="190801"/>
    <n v="24000"/>
  </r>
  <r>
    <x v="169"/>
    <x v="1"/>
    <m/>
    <x v="19"/>
    <x v="2"/>
    <x v="24"/>
    <n v="190801"/>
    <n v="190801"/>
    <m/>
    <n v="1"/>
    <n v="190801"/>
    <n v="33000"/>
  </r>
  <r>
    <x v="169"/>
    <x v="1"/>
    <m/>
    <x v="4"/>
    <x v="2"/>
    <x v="26"/>
    <n v="190801"/>
    <n v="190801"/>
    <m/>
    <n v="8"/>
    <n v="190801"/>
    <n v="32000"/>
  </r>
  <r>
    <x v="169"/>
    <x v="1"/>
    <m/>
    <x v="4"/>
    <x v="2"/>
    <x v="27"/>
    <n v="190801"/>
    <n v="190801"/>
    <m/>
    <n v="10"/>
    <n v="190801"/>
    <n v="200000"/>
  </r>
  <r>
    <x v="169"/>
    <x v="1"/>
    <m/>
    <x v="0"/>
    <x v="4"/>
    <x v="15"/>
    <n v="190801"/>
    <n v="190801"/>
    <m/>
    <n v="13"/>
    <n v="190801"/>
    <n v="409500"/>
  </r>
  <r>
    <x v="169"/>
    <x v="1"/>
    <m/>
    <x v="0"/>
    <x v="4"/>
    <x v="16"/>
    <n v="190801"/>
    <n v="190801"/>
    <m/>
    <n v="5"/>
    <n v="190801"/>
    <n v="220000"/>
  </r>
  <r>
    <x v="170"/>
    <x v="0"/>
    <m/>
    <x v="0"/>
    <x v="1"/>
    <x v="15"/>
    <n v="190801"/>
    <n v="190801"/>
    <m/>
    <n v="1"/>
    <n v="190801"/>
    <n v="20000"/>
  </r>
  <r>
    <x v="170"/>
    <x v="0"/>
    <m/>
    <x v="0"/>
    <x v="1"/>
    <x v="16"/>
    <n v="190801"/>
    <n v="190801"/>
    <m/>
    <n v="6"/>
    <n v="190801"/>
    <n v="210000"/>
  </r>
  <r>
    <x v="170"/>
    <x v="0"/>
    <m/>
    <x v="0"/>
    <x v="7"/>
    <x v="15"/>
    <n v="190801"/>
    <n v="190801"/>
    <m/>
    <n v="8"/>
    <n v="190801"/>
    <n v="160000"/>
  </r>
  <r>
    <x v="170"/>
    <x v="0"/>
    <m/>
    <x v="1"/>
    <x v="2"/>
    <x v="18"/>
    <n v="190801"/>
    <n v="190801"/>
    <m/>
    <n v="51"/>
    <n v="190801"/>
    <n v="1020000"/>
  </r>
  <r>
    <x v="170"/>
    <x v="0"/>
    <m/>
    <x v="1"/>
    <x v="2"/>
    <x v="21"/>
    <n v="190801"/>
    <n v="190801"/>
    <m/>
    <n v="24"/>
    <n v="190801"/>
    <n v="840000"/>
  </r>
  <r>
    <x v="170"/>
    <x v="0"/>
    <m/>
    <x v="0"/>
    <x v="2"/>
    <x v="15"/>
    <n v="190801"/>
    <n v="190801"/>
    <m/>
    <n v="73"/>
    <n v="190801"/>
    <n v="1460000"/>
  </r>
  <r>
    <x v="170"/>
    <x v="0"/>
    <m/>
    <x v="0"/>
    <x v="2"/>
    <x v="16"/>
    <n v="190801"/>
    <n v="190801"/>
    <m/>
    <n v="55"/>
    <n v="190801"/>
    <n v="1925000"/>
  </r>
  <r>
    <x v="170"/>
    <x v="0"/>
    <m/>
    <x v="0"/>
    <x v="2"/>
    <x v="17"/>
    <n v="190801"/>
    <n v="190801"/>
    <m/>
    <n v="79"/>
    <n v="190801"/>
    <n v="2607000"/>
  </r>
  <r>
    <x v="170"/>
    <x v="0"/>
    <m/>
    <x v="0"/>
    <x v="2"/>
    <x v="19"/>
    <n v="190801"/>
    <n v="190801"/>
    <m/>
    <n v="93"/>
    <n v="190801"/>
    <n v="279000"/>
  </r>
  <r>
    <x v="170"/>
    <x v="0"/>
    <m/>
    <x v="19"/>
    <x v="2"/>
    <x v="22"/>
    <n v="190801"/>
    <n v="190801"/>
    <m/>
    <n v="21"/>
    <n v="190801"/>
    <n v="273000"/>
  </r>
  <r>
    <x v="170"/>
    <x v="0"/>
    <m/>
    <x v="19"/>
    <x v="2"/>
    <x v="23"/>
    <n v="190801"/>
    <n v="190801"/>
    <m/>
    <n v="2"/>
    <n v="190801"/>
    <n v="48000"/>
  </r>
  <r>
    <x v="170"/>
    <x v="0"/>
    <m/>
    <x v="19"/>
    <x v="2"/>
    <x v="24"/>
    <n v="190801"/>
    <n v="190801"/>
    <m/>
    <n v="1"/>
    <n v="190801"/>
    <n v="33000"/>
  </r>
  <r>
    <x v="170"/>
    <x v="0"/>
    <m/>
    <x v="4"/>
    <x v="2"/>
    <x v="26"/>
    <n v="190801"/>
    <n v="190801"/>
    <m/>
    <n v="9"/>
    <n v="190801"/>
    <n v="36000"/>
  </r>
  <r>
    <x v="170"/>
    <x v="0"/>
    <m/>
    <x v="4"/>
    <x v="2"/>
    <x v="27"/>
    <n v="190801"/>
    <n v="190801"/>
    <m/>
    <n v="6"/>
    <n v="190801"/>
    <n v="120000"/>
  </r>
  <r>
    <x v="171"/>
    <x v="2"/>
    <m/>
    <x v="0"/>
    <x v="1"/>
    <x v="16"/>
    <n v="190801"/>
    <n v="190801"/>
    <m/>
    <n v="4"/>
    <n v="190801"/>
    <n v="140000"/>
  </r>
  <r>
    <x v="171"/>
    <x v="2"/>
    <m/>
    <x v="0"/>
    <x v="7"/>
    <x v="15"/>
    <n v="190801"/>
    <n v="190801"/>
    <m/>
    <n v="4"/>
    <n v="190801"/>
    <n v="80000"/>
  </r>
  <r>
    <x v="171"/>
    <x v="2"/>
    <m/>
    <x v="1"/>
    <x v="2"/>
    <x v="18"/>
    <n v="190801"/>
    <n v="190801"/>
    <m/>
    <n v="40"/>
    <n v="190801"/>
    <n v="800000"/>
  </r>
  <r>
    <x v="171"/>
    <x v="2"/>
    <m/>
    <x v="1"/>
    <x v="2"/>
    <x v="21"/>
    <n v="190801"/>
    <n v="190801"/>
    <m/>
    <n v="18"/>
    <n v="190801"/>
    <n v="630000"/>
  </r>
  <r>
    <x v="171"/>
    <x v="2"/>
    <m/>
    <x v="0"/>
    <x v="2"/>
    <x v="15"/>
    <n v="190801"/>
    <n v="190801"/>
    <m/>
    <n v="60"/>
    <n v="190801"/>
    <n v="1200000"/>
  </r>
  <r>
    <x v="171"/>
    <x v="2"/>
    <m/>
    <x v="0"/>
    <x v="2"/>
    <x v="16"/>
    <n v="190801"/>
    <n v="190801"/>
    <m/>
    <n v="40"/>
    <n v="190801"/>
    <n v="1400000"/>
  </r>
  <r>
    <x v="171"/>
    <x v="2"/>
    <m/>
    <x v="0"/>
    <x v="2"/>
    <x v="17"/>
    <n v="190801"/>
    <n v="190801"/>
    <m/>
    <n v="67"/>
    <n v="190801"/>
    <n v="2211000"/>
  </r>
  <r>
    <x v="171"/>
    <x v="2"/>
    <m/>
    <x v="0"/>
    <x v="2"/>
    <x v="19"/>
    <n v="190801"/>
    <n v="190801"/>
    <m/>
    <n v="78"/>
    <n v="190801"/>
    <n v="234000"/>
  </r>
  <r>
    <x v="171"/>
    <x v="2"/>
    <m/>
    <x v="19"/>
    <x v="2"/>
    <x v="22"/>
    <n v="190801"/>
    <n v="190801"/>
    <m/>
    <n v="17"/>
    <n v="190801"/>
    <n v="221000"/>
  </r>
  <r>
    <x v="171"/>
    <x v="2"/>
    <m/>
    <x v="19"/>
    <x v="2"/>
    <x v="23"/>
    <n v="190801"/>
    <n v="190801"/>
    <m/>
    <n v="1"/>
    <n v="190801"/>
    <n v="24000"/>
  </r>
  <r>
    <x v="171"/>
    <x v="2"/>
    <m/>
    <x v="4"/>
    <x v="2"/>
    <x v="26"/>
    <n v="190801"/>
    <n v="190801"/>
    <m/>
    <n v="3"/>
    <n v="190801"/>
    <n v="12000"/>
  </r>
  <r>
    <x v="171"/>
    <x v="2"/>
    <m/>
    <x v="4"/>
    <x v="2"/>
    <x v="27"/>
    <n v="190801"/>
    <n v="190801"/>
    <m/>
    <n v="10"/>
    <n v="190801"/>
    <n v="200000"/>
  </r>
  <r>
    <x v="171"/>
    <x v="2"/>
    <m/>
    <x v="21"/>
    <x v="2"/>
    <x v="15"/>
    <n v="190801"/>
    <n v="190801"/>
    <m/>
    <n v="3"/>
    <n v="190801"/>
    <n v="52500"/>
  </r>
  <r>
    <x v="171"/>
    <x v="2"/>
    <m/>
    <x v="21"/>
    <x v="2"/>
    <x v="18"/>
    <n v="190801"/>
    <n v="190801"/>
    <m/>
    <n v="3"/>
    <n v="190801"/>
    <n v="52500"/>
  </r>
  <r>
    <x v="172"/>
    <x v="5"/>
    <m/>
    <x v="0"/>
    <x v="7"/>
    <x v="15"/>
    <n v="190801"/>
    <n v="190801"/>
    <m/>
    <n v="5"/>
    <n v="190801"/>
    <n v="100000"/>
  </r>
  <r>
    <x v="172"/>
    <x v="5"/>
    <m/>
    <x v="1"/>
    <x v="2"/>
    <x v="18"/>
    <n v="190801"/>
    <n v="190801"/>
    <m/>
    <n v="27"/>
    <n v="190801"/>
    <n v="540000"/>
  </r>
  <r>
    <x v="172"/>
    <x v="5"/>
    <m/>
    <x v="1"/>
    <x v="2"/>
    <x v="21"/>
    <n v="190801"/>
    <n v="190801"/>
    <m/>
    <n v="17"/>
    <n v="190801"/>
    <n v="595000"/>
  </r>
  <r>
    <x v="172"/>
    <x v="5"/>
    <m/>
    <x v="0"/>
    <x v="2"/>
    <x v="15"/>
    <n v="190801"/>
    <n v="190801"/>
    <m/>
    <n v="54"/>
    <n v="190801"/>
    <n v="1080000"/>
  </r>
  <r>
    <x v="172"/>
    <x v="5"/>
    <m/>
    <x v="0"/>
    <x v="2"/>
    <x v="16"/>
    <n v="190801"/>
    <n v="190801"/>
    <m/>
    <n v="31"/>
    <n v="190801"/>
    <n v="1085000"/>
  </r>
  <r>
    <x v="172"/>
    <x v="5"/>
    <m/>
    <x v="0"/>
    <x v="2"/>
    <x v="17"/>
    <n v="190801"/>
    <n v="190801"/>
    <m/>
    <n v="50"/>
    <n v="190801"/>
    <n v="1650000"/>
  </r>
  <r>
    <x v="172"/>
    <x v="5"/>
    <m/>
    <x v="0"/>
    <x v="2"/>
    <x v="19"/>
    <n v="190801"/>
    <n v="190801"/>
    <m/>
    <n v="54"/>
    <n v="190801"/>
    <n v="162000"/>
  </r>
  <r>
    <x v="172"/>
    <x v="5"/>
    <m/>
    <x v="19"/>
    <x v="2"/>
    <x v="22"/>
    <n v="190801"/>
    <n v="190801"/>
    <m/>
    <n v="20"/>
    <n v="190801"/>
    <n v="260000"/>
  </r>
  <r>
    <x v="172"/>
    <x v="5"/>
    <m/>
    <x v="4"/>
    <x v="2"/>
    <x v="26"/>
    <n v="190801"/>
    <n v="190801"/>
    <m/>
    <n v="1"/>
    <n v="190801"/>
    <n v="4000"/>
  </r>
  <r>
    <x v="172"/>
    <x v="5"/>
    <m/>
    <x v="4"/>
    <x v="2"/>
    <x v="27"/>
    <n v="190801"/>
    <n v="190801"/>
    <m/>
    <n v="12"/>
    <n v="190801"/>
    <n v="240000"/>
  </r>
  <r>
    <x v="172"/>
    <x v="5"/>
    <m/>
    <x v="21"/>
    <x v="2"/>
    <x v="15"/>
    <n v="190801"/>
    <n v="190801"/>
    <m/>
    <n v="2"/>
    <n v="190801"/>
    <n v="35000"/>
  </r>
  <r>
    <x v="172"/>
    <x v="5"/>
    <m/>
    <x v="21"/>
    <x v="2"/>
    <x v="18"/>
    <n v="190801"/>
    <n v="190801"/>
    <m/>
    <n v="2"/>
    <n v="190801"/>
    <n v="35000"/>
  </r>
  <r>
    <x v="173"/>
    <x v="6"/>
    <m/>
    <x v="0"/>
    <x v="7"/>
    <x v="15"/>
    <n v="190801"/>
    <n v="190801"/>
    <m/>
    <n v="16"/>
    <n v="190801"/>
    <n v="320000"/>
  </r>
  <r>
    <x v="173"/>
    <x v="6"/>
    <m/>
    <x v="1"/>
    <x v="2"/>
    <x v="18"/>
    <n v="190801"/>
    <n v="190801"/>
    <m/>
    <n v="30"/>
    <n v="190801"/>
    <n v="600000"/>
  </r>
  <r>
    <x v="173"/>
    <x v="6"/>
    <m/>
    <x v="1"/>
    <x v="2"/>
    <x v="21"/>
    <n v="190801"/>
    <n v="190801"/>
    <m/>
    <n v="8"/>
    <n v="190801"/>
    <n v="280000"/>
  </r>
  <r>
    <x v="173"/>
    <x v="6"/>
    <m/>
    <x v="0"/>
    <x v="2"/>
    <x v="15"/>
    <n v="190801"/>
    <n v="190801"/>
    <m/>
    <n v="63"/>
    <n v="190801"/>
    <n v="1260000"/>
  </r>
  <r>
    <x v="173"/>
    <x v="6"/>
    <m/>
    <x v="0"/>
    <x v="2"/>
    <x v="16"/>
    <n v="190801"/>
    <n v="190801"/>
    <m/>
    <n v="31"/>
    <n v="190801"/>
    <n v="1085000"/>
  </r>
  <r>
    <x v="173"/>
    <x v="6"/>
    <m/>
    <x v="0"/>
    <x v="2"/>
    <x v="17"/>
    <n v="190801"/>
    <n v="190801"/>
    <m/>
    <n v="51"/>
    <n v="190801"/>
    <n v="1683000"/>
  </r>
  <r>
    <x v="173"/>
    <x v="6"/>
    <m/>
    <x v="0"/>
    <x v="2"/>
    <x v="19"/>
    <n v="190801"/>
    <n v="190801"/>
    <m/>
    <n v="58"/>
    <n v="190801"/>
    <n v="174000"/>
  </r>
  <r>
    <x v="173"/>
    <x v="6"/>
    <m/>
    <x v="19"/>
    <x v="2"/>
    <x v="22"/>
    <n v="190801"/>
    <n v="190801"/>
    <m/>
    <n v="14"/>
    <n v="190801"/>
    <n v="182000"/>
  </r>
  <r>
    <x v="173"/>
    <x v="6"/>
    <m/>
    <x v="19"/>
    <x v="2"/>
    <x v="23"/>
    <n v="190801"/>
    <n v="190801"/>
    <m/>
    <n v="2"/>
    <n v="190801"/>
    <n v="48000"/>
  </r>
  <r>
    <x v="173"/>
    <x v="6"/>
    <m/>
    <x v="4"/>
    <x v="2"/>
    <x v="26"/>
    <n v="190801"/>
    <n v="190801"/>
    <m/>
    <n v="2"/>
    <n v="190801"/>
    <n v="8000"/>
  </r>
  <r>
    <x v="173"/>
    <x v="6"/>
    <m/>
    <x v="4"/>
    <x v="2"/>
    <x v="27"/>
    <n v="190801"/>
    <n v="190801"/>
    <m/>
    <n v="7"/>
    <n v="190801"/>
    <n v="140000"/>
  </r>
  <r>
    <x v="173"/>
    <x v="6"/>
    <m/>
    <x v="21"/>
    <x v="2"/>
    <x v="15"/>
    <n v="190801"/>
    <n v="190801"/>
    <m/>
    <n v="1"/>
    <n v="190801"/>
    <n v="17500"/>
  </r>
  <r>
    <x v="173"/>
    <x v="6"/>
    <m/>
    <x v="21"/>
    <x v="2"/>
    <x v="18"/>
    <n v="190801"/>
    <n v="190801"/>
    <m/>
    <n v="1"/>
    <n v="190801"/>
    <n v="17500"/>
  </r>
  <r>
    <x v="173"/>
    <x v="6"/>
    <m/>
    <x v="20"/>
    <x v="6"/>
    <x v="25"/>
    <n v="190801"/>
    <n v="190801"/>
    <m/>
    <n v="540"/>
    <n v="190801"/>
    <n v="5246640"/>
  </r>
  <r>
    <x v="173"/>
    <x v="6"/>
    <m/>
    <x v="0"/>
    <x v="6"/>
    <x v="15"/>
    <n v="190801"/>
    <n v="190801"/>
    <m/>
    <n v="605"/>
    <n v="190801"/>
    <n v="5486140"/>
  </r>
  <r>
    <x v="173"/>
    <x v="6"/>
    <m/>
    <x v="1"/>
    <x v="6"/>
    <x v="18"/>
    <n v="190801"/>
    <n v="190801"/>
    <m/>
    <n v="8"/>
    <n v="190801"/>
    <n v="73640"/>
  </r>
  <r>
    <x v="173"/>
    <x v="6"/>
    <m/>
    <x v="19"/>
    <x v="6"/>
    <x v="22"/>
    <n v="190801"/>
    <n v="190801"/>
    <m/>
    <n v="11"/>
    <n v="190801"/>
    <n v="74701"/>
  </r>
  <r>
    <x v="173"/>
    <x v="6"/>
    <m/>
    <x v="4"/>
    <x v="6"/>
    <x v="26"/>
    <n v="190801"/>
    <n v="190801"/>
    <m/>
    <n v="258"/>
    <n v="190801"/>
    <n v="276834"/>
  </r>
  <r>
    <x v="174"/>
    <x v="3"/>
    <m/>
    <x v="0"/>
    <x v="1"/>
    <x v="15"/>
    <n v="190801"/>
    <n v="190801"/>
    <m/>
    <n v="3"/>
    <n v="190801"/>
    <n v="60000"/>
  </r>
  <r>
    <x v="174"/>
    <x v="3"/>
    <m/>
    <x v="0"/>
    <x v="1"/>
    <x v="16"/>
    <n v="190801"/>
    <n v="190801"/>
    <m/>
    <n v="12"/>
    <n v="190801"/>
    <n v="420000"/>
  </r>
  <r>
    <x v="174"/>
    <x v="3"/>
    <m/>
    <x v="0"/>
    <x v="7"/>
    <x v="15"/>
    <n v="190801"/>
    <n v="190801"/>
    <m/>
    <n v="11"/>
    <n v="190801"/>
    <n v="220000"/>
  </r>
  <r>
    <x v="174"/>
    <x v="3"/>
    <m/>
    <x v="5"/>
    <x v="3"/>
    <x v="28"/>
    <n v="190801"/>
    <n v="190801"/>
    <m/>
    <n v="11"/>
    <n v="190801"/>
    <n v="0"/>
  </r>
  <r>
    <x v="174"/>
    <x v="3"/>
    <m/>
    <x v="1"/>
    <x v="2"/>
    <x v="18"/>
    <n v="190801"/>
    <n v="190801"/>
    <m/>
    <n v="39"/>
    <n v="190801"/>
    <n v="780000"/>
  </r>
  <r>
    <x v="174"/>
    <x v="3"/>
    <m/>
    <x v="1"/>
    <x v="2"/>
    <x v="21"/>
    <n v="190801"/>
    <n v="190801"/>
    <m/>
    <n v="11"/>
    <n v="190801"/>
    <n v="385000"/>
  </r>
  <r>
    <x v="174"/>
    <x v="3"/>
    <m/>
    <x v="0"/>
    <x v="2"/>
    <x v="15"/>
    <n v="190801"/>
    <n v="190801"/>
    <m/>
    <n v="100"/>
    <n v="190801"/>
    <n v="2000000"/>
  </r>
  <r>
    <x v="174"/>
    <x v="3"/>
    <m/>
    <x v="0"/>
    <x v="2"/>
    <x v="16"/>
    <n v="190801"/>
    <n v="190801"/>
    <m/>
    <n v="47"/>
    <n v="190801"/>
    <n v="1645000"/>
  </r>
  <r>
    <x v="174"/>
    <x v="3"/>
    <m/>
    <x v="0"/>
    <x v="2"/>
    <x v="17"/>
    <n v="190801"/>
    <n v="190801"/>
    <m/>
    <n v="121"/>
    <n v="190801"/>
    <n v="3993000"/>
  </r>
  <r>
    <x v="174"/>
    <x v="3"/>
    <m/>
    <x v="0"/>
    <x v="2"/>
    <x v="19"/>
    <n v="190801"/>
    <n v="190801"/>
    <m/>
    <n v="118"/>
    <n v="190801"/>
    <n v="354000"/>
  </r>
  <r>
    <x v="174"/>
    <x v="3"/>
    <m/>
    <x v="19"/>
    <x v="2"/>
    <x v="22"/>
    <n v="190801"/>
    <n v="190801"/>
    <m/>
    <n v="22"/>
    <n v="190801"/>
    <n v="286000"/>
  </r>
  <r>
    <x v="174"/>
    <x v="3"/>
    <m/>
    <x v="19"/>
    <x v="2"/>
    <x v="23"/>
    <n v="190801"/>
    <n v="190801"/>
    <m/>
    <n v="2"/>
    <n v="190801"/>
    <n v="48000"/>
  </r>
  <r>
    <x v="174"/>
    <x v="3"/>
    <m/>
    <x v="4"/>
    <x v="2"/>
    <x v="26"/>
    <n v="190801"/>
    <n v="190801"/>
    <m/>
    <n v="804"/>
    <n v="190801"/>
    <n v="3216000"/>
  </r>
  <r>
    <x v="174"/>
    <x v="3"/>
    <m/>
    <x v="21"/>
    <x v="2"/>
    <x v="15"/>
    <n v="190801"/>
    <n v="190801"/>
    <m/>
    <n v="2"/>
    <n v="190801"/>
    <n v="35000"/>
  </r>
  <r>
    <x v="174"/>
    <x v="3"/>
    <m/>
    <x v="21"/>
    <x v="2"/>
    <x v="18"/>
    <n v="190801"/>
    <n v="190801"/>
    <m/>
    <n v="2"/>
    <n v="190801"/>
    <n v="35000"/>
  </r>
  <r>
    <x v="174"/>
    <x v="3"/>
    <m/>
    <x v="0"/>
    <x v="4"/>
    <x v="15"/>
    <n v="190801"/>
    <n v="190801"/>
    <m/>
    <n v="37"/>
    <n v="190801"/>
    <n v="1165500"/>
  </r>
  <r>
    <x v="174"/>
    <x v="3"/>
    <m/>
    <x v="0"/>
    <x v="4"/>
    <x v="16"/>
    <n v="190801"/>
    <n v="190801"/>
    <m/>
    <n v="29"/>
    <n v="190801"/>
    <n v="1276000"/>
  </r>
  <r>
    <x v="174"/>
    <x v="3"/>
    <m/>
    <x v="19"/>
    <x v="4"/>
    <x v="22"/>
    <n v="190801"/>
    <n v="190801"/>
    <m/>
    <n v="1"/>
    <n v="190801"/>
    <n v="25000"/>
  </r>
  <r>
    <x v="174"/>
    <x v="3"/>
    <m/>
    <x v="1"/>
    <x v="4"/>
    <x v="18"/>
    <n v="190801"/>
    <n v="190801"/>
    <m/>
    <n v="2"/>
    <n v="190801"/>
    <n v="63000"/>
  </r>
  <r>
    <x v="175"/>
    <x v="4"/>
    <m/>
    <x v="0"/>
    <x v="1"/>
    <x v="15"/>
    <n v="190801"/>
    <n v="190801"/>
    <m/>
    <n v="1"/>
    <n v="190801"/>
    <n v="20000"/>
  </r>
  <r>
    <x v="175"/>
    <x v="4"/>
    <m/>
    <x v="0"/>
    <x v="1"/>
    <x v="16"/>
    <n v="190801"/>
    <n v="190801"/>
    <m/>
    <n v="11"/>
    <n v="190801"/>
    <n v="385000"/>
  </r>
  <r>
    <x v="175"/>
    <x v="4"/>
    <m/>
    <x v="0"/>
    <x v="7"/>
    <x v="15"/>
    <n v="190801"/>
    <n v="190801"/>
    <m/>
    <n v="11"/>
    <n v="190801"/>
    <n v="220000"/>
  </r>
  <r>
    <x v="175"/>
    <x v="4"/>
    <m/>
    <x v="5"/>
    <x v="3"/>
    <x v="28"/>
    <n v="190801"/>
    <n v="190801"/>
    <m/>
    <n v="2"/>
    <n v="190801"/>
    <n v="0"/>
  </r>
  <r>
    <x v="175"/>
    <x v="4"/>
    <m/>
    <x v="4"/>
    <x v="3"/>
    <x v="27"/>
    <n v="190801"/>
    <n v="190801"/>
    <m/>
    <n v="16"/>
    <n v="190801"/>
    <n v="0"/>
  </r>
  <r>
    <x v="175"/>
    <x v="4"/>
    <m/>
    <x v="0"/>
    <x v="3"/>
    <x v="15"/>
    <n v="190801"/>
    <n v="190801"/>
    <m/>
    <n v="8"/>
    <n v="190801"/>
    <n v="0"/>
  </r>
  <r>
    <x v="175"/>
    <x v="4"/>
    <m/>
    <x v="22"/>
    <x v="3"/>
    <x v="29"/>
    <n v="190801"/>
    <n v="190801"/>
    <m/>
    <n v="21"/>
    <n v="190801"/>
    <n v="0"/>
  </r>
  <r>
    <x v="175"/>
    <x v="4"/>
    <m/>
    <x v="1"/>
    <x v="2"/>
    <x v="18"/>
    <n v="190801"/>
    <n v="190801"/>
    <m/>
    <n v="13"/>
    <n v="190801"/>
    <n v="260000"/>
  </r>
  <r>
    <x v="175"/>
    <x v="4"/>
    <m/>
    <x v="1"/>
    <x v="2"/>
    <x v="21"/>
    <n v="190801"/>
    <n v="190801"/>
    <m/>
    <n v="4"/>
    <n v="190801"/>
    <n v="140000"/>
  </r>
  <r>
    <x v="175"/>
    <x v="4"/>
    <m/>
    <x v="0"/>
    <x v="2"/>
    <x v="15"/>
    <n v="190801"/>
    <n v="190801"/>
    <m/>
    <n v="69"/>
    <n v="190801"/>
    <n v="1380000"/>
  </r>
  <r>
    <x v="175"/>
    <x v="4"/>
    <m/>
    <x v="0"/>
    <x v="2"/>
    <x v="16"/>
    <n v="190801"/>
    <n v="190801"/>
    <m/>
    <n v="240"/>
    <n v="190801"/>
    <n v="8400000"/>
  </r>
  <r>
    <x v="175"/>
    <x v="4"/>
    <m/>
    <x v="0"/>
    <x v="2"/>
    <x v="17"/>
    <n v="190801"/>
    <n v="190801"/>
    <m/>
    <n v="76"/>
    <n v="190801"/>
    <n v="2508000"/>
  </r>
  <r>
    <x v="175"/>
    <x v="4"/>
    <m/>
    <x v="0"/>
    <x v="2"/>
    <x v="19"/>
    <n v="190801"/>
    <n v="190801"/>
    <m/>
    <n v="66"/>
    <n v="190801"/>
    <n v="198000"/>
  </r>
  <r>
    <x v="175"/>
    <x v="4"/>
    <m/>
    <x v="19"/>
    <x v="2"/>
    <x v="22"/>
    <n v="190801"/>
    <n v="190801"/>
    <m/>
    <n v="18"/>
    <n v="190801"/>
    <n v="234000"/>
  </r>
  <r>
    <x v="175"/>
    <x v="4"/>
    <m/>
    <x v="4"/>
    <x v="2"/>
    <x v="27"/>
    <n v="190801"/>
    <n v="190801"/>
    <m/>
    <n v="8"/>
    <n v="190801"/>
    <n v="160000"/>
  </r>
  <r>
    <x v="175"/>
    <x v="4"/>
    <m/>
    <x v="4"/>
    <x v="2"/>
    <x v="26"/>
    <n v="190801"/>
    <n v="190801"/>
    <m/>
    <n v="9"/>
    <n v="190801"/>
    <n v="36000"/>
  </r>
  <r>
    <x v="175"/>
    <x v="4"/>
    <m/>
    <x v="0"/>
    <x v="4"/>
    <x v="15"/>
    <n v="190801"/>
    <n v="190801"/>
    <m/>
    <n v="16"/>
    <n v="190801"/>
    <n v="504000"/>
  </r>
  <r>
    <x v="175"/>
    <x v="4"/>
    <m/>
    <x v="0"/>
    <x v="4"/>
    <x v="16"/>
    <n v="190801"/>
    <n v="190801"/>
    <m/>
    <n v="7"/>
    <n v="190801"/>
    <n v="308000"/>
  </r>
  <r>
    <x v="175"/>
    <x v="4"/>
    <m/>
    <x v="19"/>
    <x v="4"/>
    <x v="22"/>
    <n v="190801"/>
    <n v="190801"/>
    <m/>
    <n v="1"/>
    <n v="190801"/>
    <n v="25000"/>
  </r>
  <r>
    <x v="176"/>
    <x v="1"/>
    <m/>
    <x v="0"/>
    <x v="1"/>
    <x v="15"/>
    <n v="190801"/>
    <n v="190801"/>
    <m/>
    <n v="5"/>
    <n v="190801"/>
    <n v="100000"/>
  </r>
  <r>
    <x v="176"/>
    <x v="1"/>
    <m/>
    <x v="0"/>
    <x v="1"/>
    <x v="16"/>
    <n v="190801"/>
    <n v="190801"/>
    <m/>
    <n v="10"/>
    <n v="190801"/>
    <n v="350000"/>
  </r>
  <r>
    <x v="176"/>
    <x v="1"/>
    <m/>
    <x v="0"/>
    <x v="7"/>
    <x v="15"/>
    <n v="190801"/>
    <n v="190801"/>
    <m/>
    <n v="27"/>
    <n v="190801"/>
    <n v="540000"/>
  </r>
  <r>
    <x v="176"/>
    <x v="1"/>
    <m/>
    <x v="0"/>
    <x v="3"/>
    <x v="15"/>
    <n v="190801"/>
    <n v="190801"/>
    <m/>
    <n v="305"/>
    <n v="190801"/>
    <n v="0"/>
  </r>
  <r>
    <x v="176"/>
    <x v="1"/>
    <m/>
    <x v="0"/>
    <x v="3"/>
    <x v="20"/>
    <n v="190801"/>
    <n v="190801"/>
    <m/>
    <n v="300"/>
    <n v="190801"/>
    <n v="0"/>
  </r>
  <r>
    <x v="176"/>
    <x v="1"/>
    <m/>
    <x v="5"/>
    <x v="3"/>
    <x v="28"/>
    <n v="190801"/>
    <n v="190801"/>
    <m/>
    <n v="1"/>
    <n v="190801"/>
    <n v="0"/>
  </r>
  <r>
    <x v="176"/>
    <x v="1"/>
    <m/>
    <x v="4"/>
    <x v="3"/>
    <x v="27"/>
    <n v="190801"/>
    <n v="190801"/>
    <m/>
    <n v="4"/>
    <n v="190801"/>
    <n v="0"/>
  </r>
  <r>
    <x v="176"/>
    <x v="1"/>
    <m/>
    <x v="1"/>
    <x v="2"/>
    <x v="18"/>
    <n v="190801"/>
    <n v="190801"/>
    <m/>
    <n v="24"/>
    <n v="190801"/>
    <n v="480000"/>
  </r>
  <r>
    <x v="176"/>
    <x v="1"/>
    <m/>
    <x v="1"/>
    <x v="2"/>
    <x v="21"/>
    <n v="190801"/>
    <n v="190801"/>
    <m/>
    <n v="3"/>
    <n v="190801"/>
    <n v="105000"/>
  </r>
  <r>
    <x v="176"/>
    <x v="1"/>
    <m/>
    <x v="0"/>
    <x v="2"/>
    <x v="15"/>
    <n v="190801"/>
    <n v="190801"/>
    <m/>
    <n v="130"/>
    <n v="190801"/>
    <n v="2600000"/>
  </r>
  <r>
    <x v="176"/>
    <x v="1"/>
    <m/>
    <x v="0"/>
    <x v="2"/>
    <x v="16"/>
    <n v="190801"/>
    <n v="190801"/>
    <m/>
    <n v="101"/>
    <n v="190801"/>
    <n v="3535000"/>
  </r>
  <r>
    <x v="176"/>
    <x v="1"/>
    <m/>
    <x v="0"/>
    <x v="2"/>
    <x v="17"/>
    <n v="190801"/>
    <n v="190801"/>
    <m/>
    <n v="153"/>
    <n v="190801"/>
    <n v="5049000"/>
  </r>
  <r>
    <x v="176"/>
    <x v="1"/>
    <m/>
    <x v="0"/>
    <x v="2"/>
    <x v="19"/>
    <n v="190801"/>
    <n v="190801"/>
    <m/>
    <n v="122"/>
    <n v="190801"/>
    <n v="366000"/>
  </r>
  <r>
    <x v="176"/>
    <x v="1"/>
    <m/>
    <x v="4"/>
    <x v="2"/>
    <x v="27"/>
    <n v="190801"/>
    <n v="190801"/>
    <m/>
    <n v="16"/>
    <n v="190801"/>
    <n v="320000"/>
  </r>
  <r>
    <x v="176"/>
    <x v="1"/>
    <m/>
    <x v="4"/>
    <x v="2"/>
    <x v="26"/>
    <n v="190801"/>
    <n v="190801"/>
    <m/>
    <n v="12"/>
    <n v="190801"/>
    <n v="48000"/>
  </r>
  <r>
    <x v="176"/>
    <x v="1"/>
    <m/>
    <x v="19"/>
    <x v="2"/>
    <x v="22"/>
    <n v="190801"/>
    <n v="190801"/>
    <m/>
    <n v="21"/>
    <n v="190801"/>
    <n v="273000"/>
  </r>
  <r>
    <x v="176"/>
    <x v="1"/>
    <m/>
    <x v="19"/>
    <x v="2"/>
    <x v="23"/>
    <n v="190801"/>
    <n v="190801"/>
    <m/>
    <n v="4"/>
    <n v="190801"/>
    <n v="96000"/>
  </r>
  <r>
    <x v="176"/>
    <x v="1"/>
    <m/>
    <x v="0"/>
    <x v="4"/>
    <x v="15"/>
    <n v="190801"/>
    <n v="190801"/>
    <m/>
    <n v="24"/>
    <n v="190801"/>
    <n v="756000"/>
  </r>
  <r>
    <x v="176"/>
    <x v="1"/>
    <m/>
    <x v="0"/>
    <x v="4"/>
    <x v="16"/>
    <n v="190801"/>
    <n v="190801"/>
    <m/>
    <n v="4"/>
    <n v="190801"/>
    <n v="176000"/>
  </r>
  <r>
    <x v="176"/>
    <x v="1"/>
    <m/>
    <x v="19"/>
    <x v="4"/>
    <x v="22"/>
    <n v="190801"/>
    <n v="190801"/>
    <m/>
    <n v="1"/>
    <n v="190801"/>
    <n v="25000"/>
  </r>
  <r>
    <x v="177"/>
    <x v="0"/>
    <m/>
    <x v="0"/>
    <x v="1"/>
    <x v="15"/>
    <n v="190801"/>
    <n v="190801"/>
    <m/>
    <n v="5"/>
    <n v="190801"/>
    <n v="100000"/>
  </r>
  <r>
    <x v="177"/>
    <x v="0"/>
    <m/>
    <x v="0"/>
    <x v="1"/>
    <x v="16"/>
    <n v="190801"/>
    <n v="190801"/>
    <m/>
    <n v="17"/>
    <n v="190801"/>
    <n v="595000"/>
  </r>
  <r>
    <x v="177"/>
    <x v="0"/>
    <m/>
    <x v="0"/>
    <x v="7"/>
    <x v="15"/>
    <n v="190801"/>
    <n v="190801"/>
    <m/>
    <n v="16"/>
    <n v="190801"/>
    <n v="320000"/>
  </r>
  <r>
    <x v="177"/>
    <x v="0"/>
    <m/>
    <x v="4"/>
    <x v="3"/>
    <x v="27"/>
    <n v="190801"/>
    <n v="190801"/>
    <m/>
    <n v="1"/>
    <n v="190801"/>
    <n v="0"/>
  </r>
  <r>
    <x v="177"/>
    <x v="0"/>
    <m/>
    <x v="0"/>
    <x v="3"/>
    <x v="15"/>
    <n v="190801"/>
    <n v="190801"/>
    <m/>
    <n v="1"/>
    <n v="190801"/>
    <n v="0"/>
  </r>
  <r>
    <x v="177"/>
    <x v="0"/>
    <m/>
    <x v="18"/>
    <x v="3"/>
    <x v="19"/>
    <n v="190801"/>
    <n v="190801"/>
    <m/>
    <n v="1"/>
    <n v="190801"/>
    <n v="0"/>
  </r>
  <r>
    <x v="177"/>
    <x v="0"/>
    <m/>
    <x v="1"/>
    <x v="2"/>
    <x v="18"/>
    <n v="190801"/>
    <n v="190801"/>
    <m/>
    <n v="28"/>
    <n v="190801"/>
    <n v="560000"/>
  </r>
  <r>
    <x v="177"/>
    <x v="0"/>
    <m/>
    <x v="1"/>
    <x v="2"/>
    <x v="21"/>
    <n v="190801"/>
    <n v="190801"/>
    <m/>
    <n v="3"/>
    <n v="190801"/>
    <n v="105000"/>
  </r>
  <r>
    <x v="177"/>
    <x v="0"/>
    <m/>
    <x v="0"/>
    <x v="2"/>
    <x v="15"/>
    <n v="190801"/>
    <n v="190801"/>
    <m/>
    <n v="125"/>
    <n v="190801"/>
    <n v="2500000"/>
  </r>
  <r>
    <x v="177"/>
    <x v="0"/>
    <m/>
    <x v="0"/>
    <x v="2"/>
    <x v="16"/>
    <n v="190801"/>
    <n v="190801"/>
    <m/>
    <n v="68"/>
    <n v="190801"/>
    <n v="2380000"/>
  </r>
  <r>
    <x v="177"/>
    <x v="0"/>
    <m/>
    <x v="0"/>
    <x v="2"/>
    <x v="17"/>
    <n v="190801"/>
    <n v="190801"/>
    <m/>
    <n v="120"/>
    <n v="190801"/>
    <n v="3960000"/>
  </r>
  <r>
    <x v="177"/>
    <x v="0"/>
    <m/>
    <x v="0"/>
    <x v="2"/>
    <x v="19"/>
    <n v="190801"/>
    <n v="190801"/>
    <m/>
    <n v="125"/>
    <n v="190801"/>
    <n v="375000"/>
  </r>
  <r>
    <x v="177"/>
    <x v="0"/>
    <m/>
    <x v="4"/>
    <x v="2"/>
    <x v="27"/>
    <n v="190801"/>
    <n v="190801"/>
    <m/>
    <n v="12"/>
    <n v="190801"/>
    <n v="240000"/>
  </r>
  <r>
    <x v="177"/>
    <x v="0"/>
    <m/>
    <x v="4"/>
    <x v="2"/>
    <x v="26"/>
    <n v="190801"/>
    <n v="190801"/>
    <m/>
    <n v="12"/>
    <n v="190801"/>
    <n v="48000"/>
  </r>
  <r>
    <x v="177"/>
    <x v="0"/>
    <m/>
    <x v="19"/>
    <x v="2"/>
    <x v="22"/>
    <n v="190801"/>
    <n v="190801"/>
    <m/>
    <n v="25"/>
    <n v="190801"/>
    <n v="325000"/>
  </r>
  <r>
    <x v="177"/>
    <x v="0"/>
    <m/>
    <x v="19"/>
    <x v="2"/>
    <x v="23"/>
    <n v="190801"/>
    <n v="190801"/>
    <m/>
    <n v="1"/>
    <n v="190801"/>
    <n v="24000"/>
  </r>
  <r>
    <x v="177"/>
    <x v="0"/>
    <m/>
    <x v="0"/>
    <x v="4"/>
    <x v="15"/>
    <n v="190801"/>
    <n v="190801"/>
    <m/>
    <n v="20"/>
    <n v="190801"/>
    <n v="630000"/>
  </r>
  <r>
    <x v="177"/>
    <x v="0"/>
    <m/>
    <x v="0"/>
    <x v="4"/>
    <x v="16"/>
    <n v="190801"/>
    <n v="190801"/>
    <m/>
    <n v="10"/>
    <n v="190801"/>
    <n v="440000"/>
  </r>
  <r>
    <x v="177"/>
    <x v="0"/>
    <m/>
    <x v="1"/>
    <x v="4"/>
    <x v="18"/>
    <n v="190801"/>
    <n v="190801"/>
    <m/>
    <n v="1"/>
    <n v="190801"/>
    <n v="31500"/>
  </r>
  <r>
    <x v="178"/>
    <x v="2"/>
    <m/>
    <x v="0"/>
    <x v="1"/>
    <x v="15"/>
    <n v="190801"/>
    <n v="190801"/>
    <m/>
    <n v="2"/>
    <n v="190801"/>
    <n v="40000"/>
  </r>
  <r>
    <x v="178"/>
    <x v="2"/>
    <m/>
    <x v="0"/>
    <x v="1"/>
    <x v="16"/>
    <n v="190801"/>
    <n v="190801"/>
    <m/>
    <n v="11"/>
    <n v="190801"/>
    <n v="385000"/>
  </r>
  <r>
    <x v="178"/>
    <x v="2"/>
    <m/>
    <x v="0"/>
    <x v="7"/>
    <x v="15"/>
    <n v="190801"/>
    <n v="190801"/>
    <m/>
    <n v="7"/>
    <n v="190801"/>
    <n v="140000"/>
  </r>
  <r>
    <x v="178"/>
    <x v="2"/>
    <m/>
    <x v="4"/>
    <x v="3"/>
    <x v="27"/>
    <n v="190801"/>
    <n v="190801"/>
    <m/>
    <n v="4"/>
    <n v="190801"/>
    <n v="0"/>
  </r>
  <r>
    <x v="178"/>
    <x v="2"/>
    <m/>
    <x v="0"/>
    <x v="3"/>
    <x v="15"/>
    <n v="190801"/>
    <n v="190801"/>
    <m/>
    <n v="7"/>
    <n v="190801"/>
    <n v="0"/>
  </r>
  <r>
    <x v="178"/>
    <x v="2"/>
    <m/>
    <x v="5"/>
    <x v="3"/>
    <x v="28"/>
    <n v="190801"/>
    <n v="190801"/>
    <m/>
    <n v="4"/>
    <n v="190801"/>
    <n v="0"/>
  </r>
  <r>
    <x v="178"/>
    <x v="2"/>
    <m/>
    <x v="1"/>
    <x v="2"/>
    <x v="18"/>
    <n v="190801"/>
    <n v="190801"/>
    <m/>
    <n v="12"/>
    <n v="190801"/>
    <n v="240000"/>
  </r>
  <r>
    <x v="178"/>
    <x v="2"/>
    <m/>
    <x v="1"/>
    <x v="2"/>
    <x v="21"/>
    <n v="190801"/>
    <n v="190801"/>
    <m/>
    <n v="3"/>
    <n v="190801"/>
    <n v="105000"/>
  </r>
  <r>
    <x v="178"/>
    <x v="2"/>
    <m/>
    <x v="0"/>
    <x v="2"/>
    <x v="15"/>
    <n v="190801"/>
    <n v="190801"/>
    <m/>
    <n v="73"/>
    <n v="190801"/>
    <n v="1460000"/>
  </r>
  <r>
    <x v="178"/>
    <x v="2"/>
    <m/>
    <x v="0"/>
    <x v="2"/>
    <x v="16"/>
    <n v="190801"/>
    <n v="190801"/>
    <m/>
    <n v="44"/>
    <n v="190801"/>
    <n v="1540000"/>
  </r>
  <r>
    <x v="178"/>
    <x v="2"/>
    <m/>
    <x v="0"/>
    <x v="2"/>
    <x v="17"/>
    <n v="190801"/>
    <n v="190801"/>
    <m/>
    <n v="61"/>
    <n v="190801"/>
    <n v="2013000"/>
  </r>
  <r>
    <x v="178"/>
    <x v="2"/>
    <m/>
    <x v="0"/>
    <x v="2"/>
    <x v="19"/>
    <n v="190801"/>
    <n v="190801"/>
    <m/>
    <n v="91"/>
    <n v="190801"/>
    <n v="273000"/>
  </r>
  <r>
    <x v="178"/>
    <x v="2"/>
    <m/>
    <x v="4"/>
    <x v="2"/>
    <x v="27"/>
    <n v="190801"/>
    <n v="190801"/>
    <m/>
    <n v="8"/>
    <n v="190801"/>
    <n v="160000"/>
  </r>
  <r>
    <x v="178"/>
    <x v="2"/>
    <m/>
    <x v="4"/>
    <x v="2"/>
    <x v="26"/>
    <n v="190801"/>
    <n v="190801"/>
    <m/>
    <n v="7"/>
    <n v="190801"/>
    <n v="28000"/>
  </r>
  <r>
    <x v="178"/>
    <x v="2"/>
    <m/>
    <x v="19"/>
    <x v="2"/>
    <x v="22"/>
    <n v="190801"/>
    <n v="190801"/>
    <m/>
    <n v="14"/>
    <n v="190801"/>
    <n v="182000"/>
  </r>
  <r>
    <x v="178"/>
    <x v="2"/>
    <m/>
    <x v="0"/>
    <x v="4"/>
    <x v="15"/>
    <n v="190801"/>
    <n v="190801"/>
    <m/>
    <n v="15"/>
    <n v="190801"/>
    <n v="472500"/>
  </r>
  <r>
    <x v="178"/>
    <x v="2"/>
    <m/>
    <x v="0"/>
    <x v="4"/>
    <x v="16"/>
    <n v="190801"/>
    <n v="190801"/>
    <m/>
    <n v="9"/>
    <n v="190801"/>
    <n v="396000"/>
  </r>
  <r>
    <x v="178"/>
    <x v="2"/>
    <m/>
    <x v="19"/>
    <x v="4"/>
    <x v="22"/>
    <n v="190801"/>
    <n v="190801"/>
    <m/>
    <n v="1"/>
    <n v="190801"/>
    <n v="25000"/>
  </r>
  <r>
    <x v="179"/>
    <x v="5"/>
    <m/>
    <x v="0"/>
    <x v="7"/>
    <x v="15"/>
    <n v="190801"/>
    <n v="190801"/>
    <m/>
    <n v="7"/>
    <n v="190801"/>
    <n v="140000"/>
  </r>
  <r>
    <x v="179"/>
    <x v="5"/>
    <m/>
    <x v="1"/>
    <x v="2"/>
    <x v="18"/>
    <n v="190801"/>
    <n v="190801"/>
    <m/>
    <n v="11"/>
    <n v="190801"/>
    <n v="220000"/>
  </r>
  <r>
    <x v="179"/>
    <x v="5"/>
    <m/>
    <x v="0"/>
    <x v="2"/>
    <x v="15"/>
    <n v="190801"/>
    <n v="190801"/>
    <m/>
    <n v="59"/>
    <n v="190801"/>
    <n v="1180000"/>
  </r>
  <r>
    <x v="179"/>
    <x v="5"/>
    <m/>
    <x v="0"/>
    <x v="2"/>
    <x v="16"/>
    <n v="190801"/>
    <n v="190801"/>
    <m/>
    <n v="32"/>
    <n v="190801"/>
    <n v="1120000"/>
  </r>
  <r>
    <x v="179"/>
    <x v="5"/>
    <m/>
    <x v="0"/>
    <x v="2"/>
    <x v="17"/>
    <n v="190801"/>
    <n v="190801"/>
    <m/>
    <n v="53"/>
    <n v="190801"/>
    <n v="1749000"/>
  </r>
  <r>
    <x v="179"/>
    <x v="5"/>
    <m/>
    <x v="0"/>
    <x v="2"/>
    <x v="19"/>
    <n v="190801"/>
    <n v="190801"/>
    <m/>
    <n v="68"/>
    <n v="190801"/>
    <n v="204000"/>
  </r>
  <r>
    <x v="179"/>
    <x v="5"/>
    <m/>
    <x v="4"/>
    <x v="2"/>
    <x v="27"/>
    <n v="190801"/>
    <n v="190801"/>
    <m/>
    <n v="12"/>
    <n v="190801"/>
    <n v="240000"/>
  </r>
  <r>
    <x v="179"/>
    <x v="5"/>
    <m/>
    <x v="4"/>
    <x v="2"/>
    <x v="26"/>
    <n v="190801"/>
    <n v="190801"/>
    <m/>
    <n v="3"/>
    <n v="190801"/>
    <n v="12000"/>
  </r>
  <r>
    <x v="179"/>
    <x v="5"/>
    <m/>
    <x v="19"/>
    <x v="2"/>
    <x v="22"/>
    <n v="190801"/>
    <n v="190801"/>
    <m/>
    <n v="13"/>
    <n v="190801"/>
    <n v="169000"/>
  </r>
  <r>
    <x v="179"/>
    <x v="5"/>
    <m/>
    <x v="19"/>
    <x v="2"/>
    <x v="23"/>
    <n v="190801"/>
    <n v="190801"/>
    <m/>
    <n v="1"/>
    <n v="190801"/>
    <n v="24000"/>
  </r>
  <r>
    <x v="180"/>
    <x v="6"/>
    <m/>
    <x v="0"/>
    <x v="7"/>
    <x v="15"/>
    <n v="190801"/>
    <n v="190801"/>
    <m/>
    <n v="3"/>
    <n v="190801"/>
    <n v="60000"/>
  </r>
  <r>
    <x v="180"/>
    <x v="6"/>
    <m/>
    <x v="1"/>
    <x v="2"/>
    <x v="18"/>
    <n v="190801"/>
    <n v="190801"/>
    <m/>
    <n v="19"/>
    <n v="190801"/>
    <n v="380000"/>
  </r>
  <r>
    <x v="180"/>
    <x v="6"/>
    <m/>
    <x v="1"/>
    <x v="2"/>
    <x v="21"/>
    <n v="190801"/>
    <n v="190801"/>
    <m/>
    <n v="2"/>
    <n v="190801"/>
    <n v="70000"/>
  </r>
  <r>
    <x v="180"/>
    <x v="6"/>
    <m/>
    <x v="0"/>
    <x v="2"/>
    <x v="15"/>
    <n v="190801"/>
    <n v="190801"/>
    <m/>
    <n v="71"/>
    <n v="190801"/>
    <n v="1420000"/>
  </r>
  <r>
    <x v="180"/>
    <x v="6"/>
    <m/>
    <x v="0"/>
    <x v="2"/>
    <x v="16"/>
    <n v="190801"/>
    <n v="190801"/>
    <m/>
    <n v="60"/>
    <n v="190801"/>
    <n v="2100000"/>
  </r>
  <r>
    <x v="180"/>
    <x v="6"/>
    <m/>
    <x v="0"/>
    <x v="2"/>
    <x v="17"/>
    <n v="190801"/>
    <n v="190801"/>
    <m/>
    <n v="87"/>
    <n v="190801"/>
    <n v="2871000"/>
  </r>
  <r>
    <x v="180"/>
    <x v="6"/>
    <m/>
    <x v="0"/>
    <x v="2"/>
    <x v="19"/>
    <n v="190801"/>
    <n v="190801"/>
    <m/>
    <n v="93"/>
    <n v="190801"/>
    <n v="279000"/>
  </r>
  <r>
    <x v="180"/>
    <x v="6"/>
    <m/>
    <x v="4"/>
    <x v="2"/>
    <x v="27"/>
    <n v="190801"/>
    <n v="190801"/>
    <m/>
    <n v="13"/>
    <n v="190801"/>
    <n v="260000"/>
  </r>
  <r>
    <x v="180"/>
    <x v="6"/>
    <m/>
    <x v="4"/>
    <x v="2"/>
    <x v="26"/>
    <n v="190801"/>
    <n v="190801"/>
    <m/>
    <n v="4"/>
    <n v="190801"/>
    <n v="16000"/>
  </r>
  <r>
    <x v="180"/>
    <x v="6"/>
    <m/>
    <x v="19"/>
    <x v="2"/>
    <x v="22"/>
    <n v="190801"/>
    <n v="190801"/>
    <m/>
    <n v="18"/>
    <n v="190801"/>
    <n v="234000"/>
  </r>
  <r>
    <x v="180"/>
    <x v="6"/>
    <m/>
    <x v="21"/>
    <x v="2"/>
    <x v="15"/>
    <n v="190801"/>
    <n v="190801"/>
    <m/>
    <n v="1"/>
    <n v="190801"/>
    <n v="17500"/>
  </r>
  <r>
    <x v="180"/>
    <x v="6"/>
    <m/>
    <x v="21"/>
    <x v="2"/>
    <x v="18"/>
    <n v="190801"/>
    <n v="190801"/>
    <m/>
    <n v="1"/>
    <n v="190801"/>
    <n v="17500"/>
  </r>
  <r>
    <x v="180"/>
    <x v="6"/>
    <m/>
    <x v="20"/>
    <x v="6"/>
    <x v="25"/>
    <n v="190801"/>
    <n v="190801"/>
    <m/>
    <n v="703"/>
    <n v="190801"/>
    <n v="6830348"/>
  </r>
  <r>
    <x v="180"/>
    <x v="6"/>
    <m/>
    <x v="0"/>
    <x v="6"/>
    <x v="15"/>
    <n v="190801"/>
    <n v="190801"/>
    <m/>
    <n v="1028"/>
    <n v="190801"/>
    <n v="9321904"/>
  </r>
  <r>
    <x v="180"/>
    <x v="6"/>
    <m/>
    <x v="1"/>
    <x v="6"/>
    <x v="18"/>
    <n v="190801"/>
    <n v="190801"/>
    <m/>
    <n v="10"/>
    <n v="190801"/>
    <n v="92050"/>
  </r>
  <r>
    <x v="180"/>
    <x v="6"/>
    <m/>
    <x v="19"/>
    <x v="6"/>
    <x v="22"/>
    <n v="190801"/>
    <n v="190801"/>
    <m/>
    <n v="12"/>
    <n v="190801"/>
    <n v="81492"/>
  </r>
  <r>
    <x v="180"/>
    <x v="6"/>
    <m/>
    <x v="4"/>
    <x v="6"/>
    <x v="26"/>
    <n v="190801"/>
    <n v="190801"/>
    <m/>
    <n v="487"/>
    <n v="190801"/>
    <n v="522551"/>
  </r>
  <r>
    <x v="181"/>
    <x v="3"/>
    <m/>
    <x v="0"/>
    <x v="1"/>
    <x v="15"/>
    <n v="190801"/>
    <n v="190801"/>
    <m/>
    <n v="10"/>
    <n v="190801"/>
    <n v="200000"/>
  </r>
  <r>
    <x v="181"/>
    <x v="3"/>
    <m/>
    <x v="0"/>
    <x v="1"/>
    <x v="16"/>
    <n v="190801"/>
    <n v="190801"/>
    <m/>
    <n v="36"/>
    <n v="190801"/>
    <n v="1260000"/>
  </r>
  <r>
    <x v="181"/>
    <x v="3"/>
    <m/>
    <x v="0"/>
    <x v="7"/>
    <x v="15"/>
    <n v="190801"/>
    <n v="190801"/>
    <m/>
    <n v="10"/>
    <n v="190801"/>
    <n v="200000"/>
  </r>
  <r>
    <x v="181"/>
    <x v="3"/>
    <m/>
    <x v="1"/>
    <x v="2"/>
    <x v="18"/>
    <n v="190801"/>
    <n v="190801"/>
    <m/>
    <n v="17"/>
    <n v="190801"/>
    <n v="340000"/>
  </r>
  <r>
    <x v="181"/>
    <x v="3"/>
    <m/>
    <x v="1"/>
    <x v="2"/>
    <x v="21"/>
    <n v="190801"/>
    <n v="190801"/>
    <m/>
    <n v="3"/>
    <n v="190801"/>
    <n v="105000"/>
  </r>
  <r>
    <x v="181"/>
    <x v="3"/>
    <m/>
    <x v="4"/>
    <x v="2"/>
    <x v="26"/>
    <n v="190801"/>
    <n v="190801"/>
    <m/>
    <n v="7"/>
    <n v="190801"/>
    <n v="28000"/>
  </r>
  <r>
    <x v="181"/>
    <x v="3"/>
    <m/>
    <x v="4"/>
    <x v="2"/>
    <x v="27"/>
    <n v="190801"/>
    <n v="190801"/>
    <m/>
    <n v="12"/>
    <n v="190801"/>
    <n v="240000"/>
  </r>
  <r>
    <x v="181"/>
    <x v="3"/>
    <m/>
    <x v="0"/>
    <x v="2"/>
    <x v="15"/>
    <n v="190801"/>
    <n v="190801"/>
    <m/>
    <n v="91"/>
    <n v="190801"/>
    <n v="1820000"/>
  </r>
  <r>
    <x v="181"/>
    <x v="3"/>
    <m/>
    <x v="0"/>
    <x v="2"/>
    <x v="16"/>
    <n v="190801"/>
    <n v="190801"/>
    <m/>
    <n v="50"/>
    <n v="190801"/>
    <n v="1750000"/>
  </r>
  <r>
    <x v="181"/>
    <x v="3"/>
    <m/>
    <x v="0"/>
    <x v="2"/>
    <x v="17"/>
    <n v="190801"/>
    <n v="190801"/>
    <m/>
    <n v="119"/>
    <n v="190801"/>
    <n v="3927000"/>
  </r>
  <r>
    <x v="181"/>
    <x v="3"/>
    <m/>
    <x v="19"/>
    <x v="2"/>
    <x v="22"/>
    <n v="190801"/>
    <n v="190801"/>
    <m/>
    <n v="22"/>
    <n v="190801"/>
    <n v="286000"/>
  </r>
  <r>
    <x v="181"/>
    <x v="3"/>
    <m/>
    <x v="0"/>
    <x v="2"/>
    <x v="19"/>
    <n v="190801"/>
    <n v="190801"/>
    <m/>
    <n v="92"/>
    <n v="190801"/>
    <n v="276000"/>
  </r>
  <r>
    <x v="181"/>
    <x v="3"/>
    <m/>
    <x v="0"/>
    <x v="3"/>
    <x v="15"/>
    <n v="190801"/>
    <n v="190801"/>
    <m/>
    <n v="2"/>
    <n v="190801"/>
    <n v="0"/>
  </r>
  <r>
    <x v="181"/>
    <x v="3"/>
    <m/>
    <x v="0"/>
    <x v="3"/>
    <x v="19"/>
    <n v="190801"/>
    <n v="190801"/>
    <m/>
    <n v="2"/>
    <n v="190801"/>
    <n v="0"/>
  </r>
  <r>
    <x v="181"/>
    <x v="3"/>
    <m/>
    <x v="0"/>
    <x v="4"/>
    <x v="15"/>
    <n v="190801"/>
    <n v="190801"/>
    <m/>
    <n v="61"/>
    <n v="190801"/>
    <n v="1921500"/>
  </r>
  <r>
    <x v="181"/>
    <x v="3"/>
    <m/>
    <x v="0"/>
    <x v="4"/>
    <x v="16"/>
    <n v="190801"/>
    <n v="190801"/>
    <m/>
    <n v="17"/>
    <n v="190801"/>
    <n v="748000"/>
  </r>
  <r>
    <x v="181"/>
    <x v="3"/>
    <m/>
    <x v="19"/>
    <x v="4"/>
    <x v="22"/>
    <n v="190801"/>
    <n v="190801"/>
    <m/>
    <n v="1"/>
    <n v="190801"/>
    <n v="25000"/>
  </r>
  <r>
    <x v="182"/>
    <x v="4"/>
    <m/>
    <x v="0"/>
    <x v="1"/>
    <x v="15"/>
    <n v="190801"/>
    <n v="190801"/>
    <m/>
    <n v="1"/>
    <n v="190801"/>
    <n v="20000"/>
  </r>
  <r>
    <x v="182"/>
    <x v="4"/>
    <m/>
    <x v="0"/>
    <x v="1"/>
    <x v="16"/>
    <n v="190801"/>
    <n v="190801"/>
    <m/>
    <n v="61"/>
    <n v="190801"/>
    <n v="2135000"/>
  </r>
  <r>
    <x v="182"/>
    <x v="4"/>
    <m/>
    <x v="0"/>
    <x v="7"/>
    <x v="15"/>
    <n v="190801"/>
    <n v="190801"/>
    <m/>
    <n v="14"/>
    <n v="190801"/>
    <n v="280000"/>
  </r>
  <r>
    <x v="182"/>
    <x v="4"/>
    <m/>
    <x v="0"/>
    <x v="5"/>
    <x v="15"/>
    <n v="190801"/>
    <n v="190801"/>
    <m/>
    <n v="7"/>
    <n v="190801"/>
    <n v="71589"/>
  </r>
  <r>
    <x v="182"/>
    <x v="4"/>
    <m/>
    <x v="1"/>
    <x v="2"/>
    <x v="18"/>
    <n v="190801"/>
    <n v="190801"/>
    <m/>
    <n v="11"/>
    <n v="190801"/>
    <n v="220000"/>
  </r>
  <r>
    <x v="182"/>
    <x v="4"/>
    <m/>
    <x v="1"/>
    <x v="2"/>
    <x v="21"/>
    <n v="190801"/>
    <n v="190801"/>
    <m/>
    <n v="7"/>
    <n v="190801"/>
    <n v="245000"/>
  </r>
  <r>
    <x v="182"/>
    <x v="4"/>
    <m/>
    <x v="4"/>
    <x v="2"/>
    <x v="26"/>
    <n v="190801"/>
    <n v="190801"/>
    <m/>
    <n v="5"/>
    <n v="190801"/>
    <n v="20000"/>
  </r>
  <r>
    <x v="182"/>
    <x v="4"/>
    <m/>
    <x v="4"/>
    <x v="2"/>
    <x v="27"/>
    <n v="190801"/>
    <n v="190801"/>
    <m/>
    <n v="23"/>
    <n v="190801"/>
    <n v="460000"/>
  </r>
  <r>
    <x v="182"/>
    <x v="4"/>
    <m/>
    <x v="0"/>
    <x v="2"/>
    <x v="15"/>
    <n v="190801"/>
    <n v="190801"/>
    <m/>
    <n v="75"/>
    <n v="190801"/>
    <n v="1500000"/>
  </r>
  <r>
    <x v="182"/>
    <x v="4"/>
    <m/>
    <x v="0"/>
    <x v="2"/>
    <x v="16"/>
    <n v="190801"/>
    <n v="190801"/>
    <m/>
    <n v="49"/>
    <n v="190801"/>
    <n v="1715000"/>
  </r>
  <r>
    <x v="182"/>
    <x v="4"/>
    <m/>
    <x v="0"/>
    <x v="2"/>
    <x v="17"/>
    <n v="190801"/>
    <n v="190801"/>
    <m/>
    <n v="124"/>
    <n v="190801"/>
    <n v="4092000"/>
  </r>
  <r>
    <x v="182"/>
    <x v="4"/>
    <m/>
    <x v="0"/>
    <x v="2"/>
    <x v="19"/>
    <n v="190801"/>
    <n v="190801"/>
    <m/>
    <n v="104"/>
    <n v="190801"/>
    <n v="312000"/>
  </r>
  <r>
    <x v="182"/>
    <x v="4"/>
    <m/>
    <x v="0"/>
    <x v="4"/>
    <x v="15"/>
    <n v="190801"/>
    <n v="190801"/>
    <m/>
    <n v="19"/>
    <n v="190801"/>
    <n v="598500"/>
  </r>
  <r>
    <x v="182"/>
    <x v="4"/>
    <m/>
    <x v="0"/>
    <x v="4"/>
    <x v="16"/>
    <n v="190801"/>
    <n v="190801"/>
    <m/>
    <n v="2"/>
    <n v="190801"/>
    <n v="88000"/>
  </r>
  <r>
    <x v="183"/>
    <x v="1"/>
    <m/>
    <x v="0"/>
    <x v="1"/>
    <x v="15"/>
    <n v="190801"/>
    <n v="190801"/>
    <m/>
    <n v="1"/>
    <n v="190801"/>
    <n v="20000"/>
  </r>
  <r>
    <x v="183"/>
    <x v="1"/>
    <m/>
    <x v="0"/>
    <x v="1"/>
    <x v="16"/>
    <n v="190801"/>
    <n v="190801"/>
    <m/>
    <n v="18"/>
    <n v="190801"/>
    <n v="630000"/>
  </r>
  <r>
    <x v="183"/>
    <x v="1"/>
    <m/>
    <x v="0"/>
    <x v="7"/>
    <x v="15"/>
    <n v="190801"/>
    <n v="190801"/>
    <m/>
    <n v="20"/>
    <n v="190801"/>
    <n v="400000"/>
  </r>
  <r>
    <x v="183"/>
    <x v="1"/>
    <m/>
    <x v="1"/>
    <x v="2"/>
    <x v="18"/>
    <n v="190801"/>
    <n v="190801"/>
    <m/>
    <n v="24"/>
    <n v="190801"/>
    <n v="480000"/>
  </r>
  <r>
    <x v="183"/>
    <x v="1"/>
    <m/>
    <x v="1"/>
    <x v="2"/>
    <x v="21"/>
    <n v="190801"/>
    <n v="190801"/>
    <m/>
    <n v="3"/>
    <n v="190801"/>
    <n v="105000"/>
  </r>
  <r>
    <x v="183"/>
    <x v="1"/>
    <m/>
    <x v="4"/>
    <x v="2"/>
    <x v="26"/>
    <n v="190801"/>
    <n v="190801"/>
    <m/>
    <n v="8"/>
    <n v="190801"/>
    <n v="32000"/>
  </r>
  <r>
    <x v="183"/>
    <x v="1"/>
    <m/>
    <x v="4"/>
    <x v="2"/>
    <x v="27"/>
    <n v="190801"/>
    <n v="190801"/>
    <m/>
    <n v="16"/>
    <n v="190801"/>
    <n v="320000"/>
  </r>
  <r>
    <x v="183"/>
    <x v="1"/>
    <m/>
    <x v="0"/>
    <x v="2"/>
    <x v="15"/>
    <n v="190801"/>
    <n v="190801"/>
    <m/>
    <n v="118"/>
    <n v="190801"/>
    <n v="2360000"/>
  </r>
  <r>
    <x v="183"/>
    <x v="1"/>
    <m/>
    <x v="0"/>
    <x v="2"/>
    <x v="16"/>
    <n v="190801"/>
    <n v="190801"/>
    <m/>
    <n v="80"/>
    <n v="190801"/>
    <n v="2800000"/>
  </r>
  <r>
    <x v="183"/>
    <x v="1"/>
    <m/>
    <x v="0"/>
    <x v="2"/>
    <x v="17"/>
    <n v="190801"/>
    <n v="190801"/>
    <m/>
    <n v="156"/>
    <n v="190801"/>
    <n v="5148000"/>
  </r>
  <r>
    <x v="183"/>
    <x v="1"/>
    <m/>
    <x v="0"/>
    <x v="2"/>
    <x v="19"/>
    <n v="190801"/>
    <n v="190801"/>
    <m/>
    <n v="128"/>
    <n v="190801"/>
    <n v="384000"/>
  </r>
  <r>
    <x v="183"/>
    <x v="1"/>
    <m/>
    <x v="22"/>
    <x v="2"/>
    <x v="29"/>
    <n v="190801"/>
    <n v="190801"/>
    <m/>
    <n v="7"/>
    <n v="190801"/>
    <n v="266000"/>
  </r>
  <r>
    <x v="183"/>
    <x v="1"/>
    <m/>
    <x v="19"/>
    <x v="2"/>
    <x v="22"/>
    <n v="190801"/>
    <n v="190801"/>
    <m/>
    <n v="25"/>
    <n v="190801"/>
    <n v="325000"/>
  </r>
  <r>
    <x v="183"/>
    <x v="1"/>
    <m/>
    <x v="19"/>
    <x v="2"/>
    <x v="24"/>
    <n v="190801"/>
    <n v="190801"/>
    <m/>
    <n v="2"/>
    <n v="190801"/>
    <n v="66000"/>
  </r>
  <r>
    <x v="183"/>
    <x v="1"/>
    <m/>
    <x v="21"/>
    <x v="2"/>
    <x v="15"/>
    <n v="190801"/>
    <n v="190801"/>
    <m/>
    <n v="3"/>
    <n v="190801"/>
    <n v="52500"/>
  </r>
  <r>
    <x v="183"/>
    <x v="1"/>
    <m/>
    <x v="21"/>
    <x v="2"/>
    <x v="18"/>
    <n v="190801"/>
    <n v="190801"/>
    <m/>
    <n v="3"/>
    <n v="190801"/>
    <n v="52500"/>
  </r>
  <r>
    <x v="183"/>
    <x v="1"/>
    <m/>
    <x v="0"/>
    <x v="4"/>
    <x v="15"/>
    <n v="190801"/>
    <n v="190801"/>
    <m/>
    <n v="17"/>
    <n v="190801"/>
    <n v="535500"/>
  </r>
  <r>
    <x v="183"/>
    <x v="1"/>
    <m/>
    <x v="0"/>
    <x v="4"/>
    <x v="16"/>
    <n v="190801"/>
    <n v="190801"/>
    <m/>
    <n v="9"/>
    <n v="190801"/>
    <n v="396000"/>
  </r>
  <r>
    <x v="182"/>
    <x v="4"/>
    <m/>
    <x v="21"/>
    <x v="2"/>
    <x v="15"/>
    <n v="190801"/>
    <n v="190801"/>
    <m/>
    <n v="2"/>
    <n v="190801"/>
    <n v="35000"/>
  </r>
  <r>
    <x v="182"/>
    <x v="4"/>
    <m/>
    <x v="21"/>
    <x v="2"/>
    <x v="18"/>
    <n v="190801"/>
    <n v="190801"/>
    <m/>
    <n v="2"/>
    <n v="190801"/>
    <n v="35000"/>
  </r>
  <r>
    <x v="182"/>
    <x v="4"/>
    <m/>
    <x v="19"/>
    <x v="2"/>
    <x v="22"/>
    <n v="190801"/>
    <n v="190801"/>
    <m/>
    <n v="24"/>
    <n v="190801"/>
    <n v="312000"/>
  </r>
  <r>
    <x v="182"/>
    <x v="4"/>
    <m/>
    <x v="19"/>
    <x v="2"/>
    <x v="23"/>
    <n v="190801"/>
    <n v="190801"/>
    <m/>
    <n v="3"/>
    <n v="190801"/>
    <n v="72000"/>
  </r>
  <r>
    <x v="182"/>
    <x v="4"/>
    <m/>
    <x v="19"/>
    <x v="2"/>
    <x v="24"/>
    <n v="190801"/>
    <n v="190801"/>
    <m/>
    <n v="1"/>
    <n v="190801"/>
    <n v="33000"/>
  </r>
  <r>
    <x v="184"/>
    <x v="0"/>
    <m/>
    <x v="0"/>
    <x v="1"/>
    <x v="15"/>
    <n v="190801"/>
    <n v="190801"/>
    <m/>
    <n v="4"/>
    <n v="190801"/>
    <n v="80000"/>
  </r>
  <r>
    <x v="184"/>
    <x v="0"/>
    <m/>
    <x v="0"/>
    <x v="1"/>
    <x v="16"/>
    <n v="190801"/>
    <n v="190801"/>
    <m/>
    <n v="6"/>
    <n v="190801"/>
    <n v="210000"/>
  </r>
  <r>
    <x v="184"/>
    <x v="0"/>
    <m/>
    <x v="0"/>
    <x v="7"/>
    <x v="15"/>
    <n v="190801"/>
    <n v="190801"/>
    <m/>
    <n v="22"/>
    <n v="190801"/>
    <n v="440000"/>
  </r>
  <r>
    <x v="184"/>
    <x v="0"/>
    <m/>
    <x v="1"/>
    <x v="2"/>
    <x v="18"/>
    <n v="190801"/>
    <n v="190801"/>
    <m/>
    <n v="20"/>
    <n v="190801"/>
    <n v="400000"/>
  </r>
  <r>
    <x v="184"/>
    <x v="0"/>
    <m/>
    <x v="1"/>
    <x v="2"/>
    <x v="21"/>
    <n v="190801"/>
    <n v="190801"/>
    <m/>
    <n v="4"/>
    <n v="190801"/>
    <n v="140000"/>
  </r>
  <r>
    <x v="184"/>
    <x v="0"/>
    <m/>
    <x v="4"/>
    <x v="2"/>
    <x v="26"/>
    <n v="190801"/>
    <n v="190801"/>
    <m/>
    <n v="9"/>
    <n v="190801"/>
    <n v="36000"/>
  </r>
  <r>
    <x v="184"/>
    <x v="0"/>
    <m/>
    <x v="4"/>
    <x v="2"/>
    <x v="27"/>
    <n v="190801"/>
    <n v="190801"/>
    <m/>
    <n v="6"/>
    <n v="190801"/>
    <n v="120000"/>
  </r>
  <r>
    <x v="184"/>
    <x v="0"/>
    <m/>
    <x v="0"/>
    <x v="2"/>
    <x v="15"/>
    <n v="190801"/>
    <n v="190801"/>
    <m/>
    <n v="123"/>
    <n v="190801"/>
    <n v="2460000"/>
  </r>
  <r>
    <x v="184"/>
    <x v="0"/>
    <m/>
    <x v="0"/>
    <x v="2"/>
    <x v="16"/>
    <n v="190801"/>
    <n v="190801"/>
    <m/>
    <n v="190"/>
    <n v="190801"/>
    <n v="6650000"/>
  </r>
  <r>
    <x v="184"/>
    <x v="0"/>
    <m/>
    <x v="0"/>
    <x v="2"/>
    <x v="17"/>
    <n v="190801"/>
    <n v="190801"/>
    <m/>
    <n v="96"/>
    <n v="190801"/>
    <n v="3168000"/>
  </r>
  <r>
    <x v="184"/>
    <x v="0"/>
    <m/>
    <x v="0"/>
    <x v="2"/>
    <x v="19"/>
    <n v="190801"/>
    <n v="190801"/>
    <m/>
    <n v="150"/>
    <n v="190801"/>
    <n v="450000"/>
  </r>
  <r>
    <x v="184"/>
    <x v="0"/>
    <m/>
    <x v="0"/>
    <x v="5"/>
    <x v="15"/>
    <n v="190801"/>
    <n v="190801"/>
    <m/>
    <n v="10"/>
    <n v="190801"/>
    <n v="102270"/>
  </r>
  <r>
    <x v="184"/>
    <x v="0"/>
    <m/>
    <x v="5"/>
    <x v="5"/>
    <x v="28"/>
    <n v="190801"/>
    <n v="190801"/>
    <m/>
    <n v="5"/>
    <n v="190801"/>
    <n v="67500"/>
  </r>
  <r>
    <x v="184"/>
    <x v="0"/>
    <m/>
    <x v="22"/>
    <x v="5"/>
    <x v="29"/>
    <n v="190801"/>
    <n v="190801"/>
    <m/>
    <n v="5"/>
    <n v="190801"/>
    <n v="77725"/>
  </r>
  <r>
    <x v="184"/>
    <x v="0"/>
    <m/>
    <x v="4"/>
    <x v="5"/>
    <x v="26"/>
    <n v="190801"/>
    <n v="190801"/>
    <m/>
    <n v="5"/>
    <n v="190801"/>
    <n v="8180"/>
  </r>
  <r>
    <x v="184"/>
    <x v="0"/>
    <m/>
    <x v="1"/>
    <x v="5"/>
    <x v="18"/>
    <n v="190801"/>
    <n v="190801"/>
    <m/>
    <n v="5"/>
    <n v="190801"/>
    <n v="51135"/>
  </r>
  <r>
    <x v="184"/>
    <x v="0"/>
    <m/>
    <x v="19"/>
    <x v="5"/>
    <x v="22"/>
    <n v="190801"/>
    <n v="190801"/>
    <m/>
    <n v="5"/>
    <n v="190801"/>
    <n v="32725"/>
  </r>
  <r>
    <x v="184"/>
    <x v="0"/>
    <m/>
    <x v="4"/>
    <x v="5"/>
    <x v="27"/>
    <n v="190801"/>
    <n v="190801"/>
    <m/>
    <n v="5"/>
    <n v="190801"/>
    <n v="81820"/>
  </r>
  <r>
    <x v="184"/>
    <x v="0"/>
    <m/>
    <x v="4"/>
    <x v="3"/>
    <x v="27"/>
    <n v="190801"/>
    <n v="190801"/>
    <m/>
    <n v="1"/>
    <n v="190801"/>
    <n v="0"/>
  </r>
  <r>
    <x v="184"/>
    <x v="0"/>
    <m/>
    <x v="0"/>
    <x v="3"/>
    <x v="15"/>
    <n v="190801"/>
    <n v="190801"/>
    <m/>
    <n v="12"/>
    <n v="190801"/>
    <n v="0"/>
  </r>
  <r>
    <x v="184"/>
    <x v="0"/>
    <m/>
    <x v="5"/>
    <x v="3"/>
    <x v="28"/>
    <n v="190801"/>
    <n v="190801"/>
    <m/>
    <n v="32"/>
    <n v="190801"/>
    <n v="0"/>
  </r>
  <r>
    <x v="184"/>
    <x v="0"/>
    <m/>
    <x v="1"/>
    <x v="3"/>
    <x v="18"/>
    <n v="190801"/>
    <n v="190801"/>
    <m/>
    <n v="1"/>
    <n v="190801"/>
    <n v="0"/>
  </r>
  <r>
    <x v="184"/>
    <x v="0"/>
    <m/>
    <x v="19"/>
    <x v="3"/>
    <x v="22"/>
    <n v="190801"/>
    <n v="190801"/>
    <m/>
    <n v="2"/>
    <n v="190801"/>
    <n v="0"/>
  </r>
  <r>
    <x v="184"/>
    <x v="0"/>
    <m/>
    <x v="5"/>
    <x v="2"/>
    <x v="28"/>
    <n v="190801"/>
    <n v="190801"/>
    <m/>
    <n v="5"/>
    <n v="190801"/>
    <n v="140000"/>
  </r>
  <r>
    <x v="184"/>
    <x v="0"/>
    <m/>
    <x v="22"/>
    <x v="2"/>
    <x v="29"/>
    <n v="190801"/>
    <n v="190801"/>
    <m/>
    <n v="13"/>
    <n v="190801"/>
    <n v="494000"/>
  </r>
  <r>
    <x v="184"/>
    <x v="0"/>
    <m/>
    <x v="21"/>
    <x v="2"/>
    <x v="15"/>
    <n v="190801"/>
    <n v="190801"/>
    <m/>
    <n v="4"/>
    <n v="190801"/>
    <n v="70000"/>
  </r>
  <r>
    <x v="184"/>
    <x v="0"/>
    <m/>
    <x v="21"/>
    <x v="2"/>
    <x v="18"/>
    <n v="190801"/>
    <n v="190801"/>
    <m/>
    <n v="4"/>
    <n v="190801"/>
    <n v="70000"/>
  </r>
  <r>
    <x v="184"/>
    <x v="0"/>
    <m/>
    <x v="19"/>
    <x v="2"/>
    <x v="22"/>
    <n v="190801"/>
    <n v="190801"/>
    <m/>
    <n v="21"/>
    <n v="190801"/>
    <n v="273000"/>
  </r>
  <r>
    <x v="184"/>
    <x v="0"/>
    <m/>
    <x v="19"/>
    <x v="2"/>
    <x v="23"/>
    <n v="190801"/>
    <n v="190801"/>
    <m/>
    <n v="3"/>
    <n v="190801"/>
    <n v="72000"/>
  </r>
  <r>
    <x v="184"/>
    <x v="0"/>
    <m/>
    <x v="19"/>
    <x v="2"/>
    <x v="24"/>
    <n v="190801"/>
    <n v="190801"/>
    <m/>
    <n v="4"/>
    <n v="190801"/>
    <n v="132000"/>
  </r>
  <r>
    <x v="184"/>
    <x v="0"/>
    <m/>
    <x v="0"/>
    <x v="4"/>
    <x v="15"/>
    <n v="190801"/>
    <n v="190801"/>
    <m/>
    <n v="23"/>
    <n v="190801"/>
    <n v="724500"/>
  </r>
  <r>
    <x v="184"/>
    <x v="0"/>
    <m/>
    <x v="0"/>
    <x v="4"/>
    <x v="16"/>
    <n v="190801"/>
    <n v="190801"/>
    <m/>
    <n v="6"/>
    <n v="190801"/>
    <n v="264000"/>
  </r>
  <r>
    <x v="184"/>
    <x v="0"/>
    <m/>
    <x v="19"/>
    <x v="4"/>
    <x v="22"/>
    <n v="190801"/>
    <n v="190801"/>
    <m/>
    <n v="1"/>
    <n v="190801"/>
    <n v="25000"/>
  </r>
  <r>
    <x v="182"/>
    <x v="4"/>
    <m/>
    <x v="1"/>
    <x v="5"/>
    <x v="18"/>
    <n v="190801"/>
    <n v="190801"/>
    <m/>
    <n v="7"/>
    <n v="190801"/>
    <n v="71589"/>
  </r>
  <r>
    <x v="182"/>
    <x v="4"/>
    <m/>
    <x v="0"/>
    <x v="5"/>
    <x v="17"/>
    <n v="190801"/>
    <n v="190801"/>
    <m/>
    <n v="7"/>
    <n v="190801"/>
    <n v="141750"/>
  </r>
  <r>
    <x v="185"/>
    <x v="2"/>
    <m/>
    <x v="0"/>
    <x v="1"/>
    <x v="15"/>
    <n v="190801"/>
    <n v="190801"/>
    <m/>
    <n v="3"/>
    <n v="190801"/>
    <n v="60000"/>
  </r>
  <r>
    <x v="185"/>
    <x v="2"/>
    <m/>
    <x v="0"/>
    <x v="1"/>
    <x v="16"/>
    <n v="190801"/>
    <n v="190801"/>
    <m/>
    <n v="17"/>
    <n v="190801"/>
    <n v="595000"/>
  </r>
  <r>
    <x v="185"/>
    <x v="2"/>
    <m/>
    <x v="0"/>
    <x v="7"/>
    <x v="15"/>
    <n v="190801"/>
    <n v="190801"/>
    <m/>
    <n v="32"/>
    <n v="190801"/>
    <n v="640000"/>
  </r>
  <r>
    <x v="185"/>
    <x v="2"/>
    <m/>
    <x v="0"/>
    <x v="3"/>
    <x v="15"/>
    <n v="190801"/>
    <n v="190801"/>
    <m/>
    <n v="1"/>
    <n v="190801"/>
    <n v="0"/>
  </r>
  <r>
    <x v="185"/>
    <x v="2"/>
    <m/>
    <x v="1"/>
    <x v="2"/>
    <x v="18"/>
    <n v="190801"/>
    <n v="190801"/>
    <m/>
    <n v="16"/>
    <n v="190801"/>
    <n v="320000"/>
  </r>
  <r>
    <x v="185"/>
    <x v="2"/>
    <m/>
    <x v="1"/>
    <x v="2"/>
    <x v="21"/>
    <n v="190801"/>
    <n v="190801"/>
    <m/>
    <n v="3"/>
    <n v="190801"/>
    <n v="105000"/>
  </r>
  <r>
    <x v="185"/>
    <x v="2"/>
    <m/>
    <x v="4"/>
    <x v="2"/>
    <x v="26"/>
    <n v="190801"/>
    <n v="190801"/>
    <m/>
    <n v="5"/>
    <n v="190801"/>
    <n v="20000"/>
  </r>
  <r>
    <x v="185"/>
    <x v="2"/>
    <m/>
    <x v="4"/>
    <x v="2"/>
    <x v="27"/>
    <n v="190801"/>
    <n v="190801"/>
    <m/>
    <n v="7"/>
    <n v="190801"/>
    <n v="140000"/>
  </r>
  <r>
    <x v="185"/>
    <x v="2"/>
    <m/>
    <x v="0"/>
    <x v="2"/>
    <x v="15"/>
    <n v="190801"/>
    <n v="190801"/>
    <m/>
    <n v="84"/>
    <n v="190801"/>
    <n v="1680000"/>
  </r>
  <r>
    <x v="185"/>
    <x v="2"/>
    <m/>
    <x v="0"/>
    <x v="2"/>
    <x v="16"/>
    <n v="190801"/>
    <n v="190801"/>
    <m/>
    <n v="71"/>
    <n v="190801"/>
    <n v="2485000"/>
  </r>
  <r>
    <x v="185"/>
    <x v="2"/>
    <m/>
    <x v="0"/>
    <x v="2"/>
    <x v="17"/>
    <n v="190801"/>
    <n v="190801"/>
    <m/>
    <n v="68"/>
    <n v="190801"/>
    <n v="2244000"/>
  </r>
  <r>
    <x v="185"/>
    <x v="2"/>
    <m/>
    <x v="0"/>
    <x v="2"/>
    <x v="19"/>
    <n v="190801"/>
    <n v="190801"/>
    <m/>
    <n v="76"/>
    <n v="190801"/>
    <n v="228000"/>
  </r>
  <r>
    <x v="185"/>
    <x v="2"/>
    <m/>
    <x v="5"/>
    <x v="2"/>
    <x v="28"/>
    <n v="190801"/>
    <n v="190801"/>
    <m/>
    <n v="9"/>
    <n v="190801"/>
    <n v="252000"/>
  </r>
  <r>
    <x v="185"/>
    <x v="2"/>
    <m/>
    <x v="22"/>
    <x v="2"/>
    <x v="29"/>
    <n v="190801"/>
    <n v="190801"/>
    <m/>
    <n v="12"/>
    <n v="190801"/>
    <n v="456000"/>
  </r>
  <r>
    <x v="185"/>
    <x v="2"/>
    <m/>
    <x v="21"/>
    <x v="2"/>
    <x v="15"/>
    <n v="190801"/>
    <n v="190801"/>
    <m/>
    <n v="2"/>
    <n v="190801"/>
    <n v="35000"/>
  </r>
  <r>
    <x v="185"/>
    <x v="2"/>
    <m/>
    <x v="21"/>
    <x v="2"/>
    <x v="18"/>
    <n v="190801"/>
    <n v="190801"/>
    <m/>
    <n v="2"/>
    <n v="190801"/>
    <n v="35000"/>
  </r>
  <r>
    <x v="185"/>
    <x v="2"/>
    <m/>
    <x v="19"/>
    <x v="2"/>
    <x v="22"/>
    <n v="190801"/>
    <n v="190801"/>
    <m/>
    <n v="8"/>
    <n v="190801"/>
    <n v="104000"/>
  </r>
  <r>
    <x v="185"/>
    <x v="2"/>
    <m/>
    <x v="19"/>
    <x v="2"/>
    <x v="23"/>
    <n v="190801"/>
    <n v="190801"/>
    <m/>
    <n v="1"/>
    <n v="190801"/>
    <n v="24000"/>
  </r>
  <r>
    <x v="185"/>
    <x v="2"/>
    <m/>
    <x v="19"/>
    <x v="2"/>
    <x v="24"/>
    <n v="190801"/>
    <n v="190801"/>
    <m/>
    <n v="1"/>
    <n v="190801"/>
    <n v="33000"/>
  </r>
  <r>
    <x v="185"/>
    <x v="2"/>
    <m/>
    <x v="0"/>
    <x v="4"/>
    <x v="15"/>
    <n v="190801"/>
    <n v="190801"/>
    <m/>
    <n v="30"/>
    <n v="190801"/>
    <n v="945000"/>
  </r>
  <r>
    <x v="185"/>
    <x v="2"/>
    <m/>
    <x v="0"/>
    <x v="4"/>
    <x v="16"/>
    <n v="190801"/>
    <n v="190801"/>
    <m/>
    <n v="6"/>
    <n v="190801"/>
    <n v="264000"/>
  </r>
  <r>
    <x v="186"/>
    <x v="5"/>
    <m/>
    <x v="0"/>
    <x v="7"/>
    <x v="15"/>
    <n v="190801"/>
    <n v="190801"/>
    <m/>
    <n v="24"/>
    <n v="190801"/>
    <n v="480000"/>
  </r>
  <r>
    <x v="186"/>
    <x v="5"/>
    <m/>
    <x v="1"/>
    <x v="2"/>
    <x v="18"/>
    <n v="190801"/>
    <n v="190801"/>
    <m/>
    <n v="10"/>
    <n v="190801"/>
    <n v="200000"/>
  </r>
  <r>
    <x v="186"/>
    <x v="5"/>
    <m/>
    <x v="4"/>
    <x v="2"/>
    <x v="26"/>
    <n v="190801"/>
    <n v="190801"/>
    <m/>
    <n v="11"/>
    <n v="190801"/>
    <n v="44000"/>
  </r>
  <r>
    <x v="186"/>
    <x v="5"/>
    <m/>
    <x v="4"/>
    <x v="2"/>
    <x v="27"/>
    <n v="190801"/>
    <n v="190801"/>
    <m/>
    <n v="7"/>
    <n v="190801"/>
    <n v="140000"/>
  </r>
  <r>
    <x v="186"/>
    <x v="5"/>
    <m/>
    <x v="0"/>
    <x v="2"/>
    <x v="15"/>
    <n v="190801"/>
    <n v="190801"/>
    <m/>
    <n v="85"/>
    <n v="190801"/>
    <n v="1700000"/>
  </r>
  <r>
    <x v="186"/>
    <x v="5"/>
    <m/>
    <x v="0"/>
    <x v="2"/>
    <x v="16"/>
    <n v="190801"/>
    <n v="190801"/>
    <m/>
    <n v="78"/>
    <n v="190801"/>
    <n v="2730000"/>
  </r>
  <r>
    <x v="186"/>
    <x v="5"/>
    <m/>
    <x v="0"/>
    <x v="2"/>
    <x v="17"/>
    <n v="190801"/>
    <n v="190801"/>
    <m/>
    <n v="67"/>
    <n v="190801"/>
    <n v="2211000"/>
  </r>
  <r>
    <x v="186"/>
    <x v="5"/>
    <m/>
    <x v="0"/>
    <x v="2"/>
    <x v="19"/>
    <n v="190801"/>
    <n v="190801"/>
    <m/>
    <n v="92"/>
    <n v="190801"/>
    <n v="276000"/>
  </r>
  <r>
    <x v="186"/>
    <x v="5"/>
    <m/>
    <x v="5"/>
    <x v="2"/>
    <x v="28"/>
    <n v="190801"/>
    <n v="190801"/>
    <m/>
    <n v="10"/>
    <n v="190801"/>
    <n v="280000"/>
  </r>
  <r>
    <x v="186"/>
    <x v="5"/>
    <m/>
    <x v="22"/>
    <x v="2"/>
    <x v="29"/>
    <n v="190801"/>
    <n v="190801"/>
    <m/>
    <n v="10"/>
    <n v="190801"/>
    <n v="380000"/>
  </r>
  <r>
    <x v="187"/>
    <x v="6"/>
    <m/>
    <x v="0"/>
    <x v="7"/>
    <x v="15"/>
    <n v="190801"/>
    <n v="190801"/>
    <m/>
    <n v="32"/>
    <n v="190801"/>
    <n v="640000"/>
  </r>
  <r>
    <x v="187"/>
    <x v="6"/>
    <m/>
    <x v="1"/>
    <x v="2"/>
    <x v="18"/>
    <n v="190801"/>
    <n v="190801"/>
    <m/>
    <n v="17"/>
    <n v="190801"/>
    <n v="340000"/>
  </r>
  <r>
    <x v="187"/>
    <x v="6"/>
    <m/>
    <x v="1"/>
    <x v="2"/>
    <x v="21"/>
    <n v="190801"/>
    <n v="190801"/>
    <m/>
    <n v="7"/>
    <n v="190801"/>
    <n v="245000"/>
  </r>
  <r>
    <x v="187"/>
    <x v="6"/>
    <m/>
    <x v="4"/>
    <x v="2"/>
    <x v="26"/>
    <n v="190801"/>
    <n v="190801"/>
    <m/>
    <n v="4"/>
    <n v="190801"/>
    <n v="16000"/>
  </r>
  <r>
    <x v="187"/>
    <x v="6"/>
    <m/>
    <x v="4"/>
    <x v="2"/>
    <x v="27"/>
    <n v="190801"/>
    <n v="190801"/>
    <m/>
    <n v="5"/>
    <n v="190801"/>
    <n v="100000"/>
  </r>
  <r>
    <x v="187"/>
    <x v="6"/>
    <m/>
    <x v="0"/>
    <x v="2"/>
    <x v="15"/>
    <n v="190801"/>
    <n v="190801"/>
    <m/>
    <n v="117"/>
    <n v="190801"/>
    <n v="2340000"/>
  </r>
  <r>
    <x v="187"/>
    <x v="6"/>
    <m/>
    <x v="0"/>
    <x v="2"/>
    <x v="16"/>
    <n v="190801"/>
    <n v="190801"/>
    <m/>
    <n v="63"/>
    <n v="190801"/>
    <n v="2205000"/>
  </r>
  <r>
    <x v="187"/>
    <x v="6"/>
    <m/>
    <x v="0"/>
    <x v="2"/>
    <x v="17"/>
    <n v="190801"/>
    <n v="190801"/>
    <m/>
    <n v="85"/>
    <n v="190801"/>
    <n v="2805000"/>
  </r>
  <r>
    <x v="187"/>
    <x v="6"/>
    <m/>
    <x v="0"/>
    <x v="2"/>
    <x v="19"/>
    <n v="190801"/>
    <n v="190801"/>
    <m/>
    <n v="94"/>
    <n v="190801"/>
    <n v="282000"/>
  </r>
  <r>
    <x v="187"/>
    <x v="6"/>
    <m/>
    <x v="5"/>
    <x v="2"/>
    <x v="28"/>
    <n v="190801"/>
    <n v="190801"/>
    <m/>
    <n v="19"/>
    <n v="190801"/>
    <n v="532000"/>
  </r>
  <r>
    <x v="187"/>
    <x v="6"/>
    <m/>
    <x v="22"/>
    <x v="2"/>
    <x v="29"/>
    <n v="190801"/>
    <n v="190801"/>
    <m/>
    <n v="9"/>
    <n v="190801"/>
    <n v="342000"/>
  </r>
  <r>
    <x v="187"/>
    <x v="6"/>
    <m/>
    <x v="20"/>
    <x v="6"/>
    <x v="25"/>
    <n v="190801"/>
    <n v="190801"/>
    <m/>
    <n v="192"/>
    <n v="190801"/>
    <n v="1865472"/>
  </r>
  <r>
    <x v="187"/>
    <x v="6"/>
    <m/>
    <x v="0"/>
    <x v="6"/>
    <x v="15"/>
    <n v="190801"/>
    <n v="190801"/>
    <m/>
    <n v="1169"/>
    <n v="190801"/>
    <n v="10600492"/>
  </r>
  <r>
    <x v="187"/>
    <x v="6"/>
    <m/>
    <x v="1"/>
    <x v="6"/>
    <x v="18"/>
    <n v="190801"/>
    <n v="190801"/>
    <m/>
    <n v="6"/>
    <n v="190801"/>
    <n v="55230"/>
  </r>
  <r>
    <x v="187"/>
    <x v="6"/>
    <m/>
    <x v="19"/>
    <x v="6"/>
    <x v="22"/>
    <n v="190801"/>
    <n v="190801"/>
    <m/>
    <n v="10"/>
    <n v="190801"/>
    <n v="67910"/>
  </r>
  <r>
    <x v="187"/>
    <x v="6"/>
    <m/>
    <x v="4"/>
    <x v="6"/>
    <x v="26"/>
    <n v="190801"/>
    <n v="190801"/>
    <m/>
    <n v="615"/>
    <n v="190801"/>
    <n v="659895"/>
  </r>
  <r>
    <x v="187"/>
    <x v="6"/>
    <m/>
    <x v="23"/>
    <x v="6"/>
    <x v="30"/>
    <n v="190801"/>
    <n v="190801"/>
    <m/>
    <n v="56"/>
    <n v="190801"/>
    <n v="389984"/>
  </r>
  <r>
    <x v="187"/>
    <x v="6"/>
    <m/>
    <x v="24"/>
    <x v="6"/>
    <x v="31"/>
    <n v="190801"/>
    <n v="190801"/>
    <m/>
    <n v="72"/>
    <n v="190801"/>
    <n v="1071144"/>
  </r>
  <r>
    <x v="187"/>
    <x v="6"/>
    <m/>
    <x v="5"/>
    <x v="6"/>
    <x v="28"/>
    <n v="190801"/>
    <n v="190801"/>
    <m/>
    <n v="2"/>
    <n v="190801"/>
    <n v="29200"/>
  </r>
  <r>
    <x v="187"/>
    <x v="6"/>
    <m/>
    <x v="0"/>
    <x v="6"/>
    <x v="17"/>
    <n v="190801"/>
    <n v="190801"/>
    <m/>
    <n v="273"/>
    <n v="190801"/>
    <n v="4318314"/>
  </r>
  <r>
    <x v="188"/>
    <x v="3"/>
    <m/>
    <x v="0"/>
    <x v="1"/>
    <x v="15"/>
    <n v="190801"/>
    <n v="190801"/>
    <m/>
    <n v="14"/>
    <n v="190801"/>
    <n v="280000"/>
  </r>
  <r>
    <x v="188"/>
    <x v="3"/>
    <m/>
    <x v="0"/>
    <x v="1"/>
    <x v="16"/>
    <n v="190801"/>
    <n v="190801"/>
    <m/>
    <n v="39"/>
    <n v="190801"/>
    <n v="1365000"/>
  </r>
  <r>
    <x v="188"/>
    <x v="3"/>
    <m/>
    <x v="0"/>
    <x v="7"/>
    <x v="15"/>
    <n v="190801"/>
    <n v="190801"/>
    <m/>
    <n v="29"/>
    <n v="190801"/>
    <n v="580000"/>
  </r>
  <r>
    <x v="188"/>
    <x v="3"/>
    <m/>
    <x v="18"/>
    <x v="3"/>
    <x v="19"/>
    <n v="190801"/>
    <n v="190801"/>
    <m/>
    <n v="2"/>
    <n v="190801"/>
    <n v="0"/>
  </r>
  <r>
    <x v="188"/>
    <x v="3"/>
    <m/>
    <x v="1"/>
    <x v="2"/>
    <x v="18"/>
    <n v="190801"/>
    <n v="190801"/>
    <m/>
    <n v="30"/>
    <n v="190801"/>
    <n v="600000"/>
  </r>
  <r>
    <x v="188"/>
    <x v="3"/>
    <m/>
    <x v="1"/>
    <x v="2"/>
    <x v="21"/>
    <n v="190801"/>
    <n v="190801"/>
    <m/>
    <n v="3"/>
    <n v="190801"/>
    <n v="105000"/>
  </r>
  <r>
    <x v="188"/>
    <x v="3"/>
    <m/>
    <x v="4"/>
    <x v="2"/>
    <x v="26"/>
    <n v="190801"/>
    <n v="190801"/>
    <m/>
    <n v="19"/>
    <n v="190801"/>
    <n v="76000"/>
  </r>
  <r>
    <x v="188"/>
    <x v="3"/>
    <m/>
    <x v="4"/>
    <x v="2"/>
    <x v="27"/>
    <n v="190801"/>
    <n v="190801"/>
    <m/>
    <n v="2"/>
    <n v="190801"/>
    <n v="40000"/>
  </r>
  <r>
    <x v="188"/>
    <x v="3"/>
    <m/>
    <x v="0"/>
    <x v="2"/>
    <x v="15"/>
    <n v="190801"/>
    <n v="190801"/>
    <m/>
    <n v="122"/>
    <n v="190801"/>
    <n v="2440000"/>
  </r>
  <r>
    <x v="188"/>
    <x v="3"/>
    <m/>
    <x v="0"/>
    <x v="2"/>
    <x v="16"/>
    <n v="190801"/>
    <n v="190801"/>
    <m/>
    <n v="77"/>
    <n v="190801"/>
    <n v="2695000"/>
  </r>
  <r>
    <x v="188"/>
    <x v="3"/>
    <m/>
    <x v="0"/>
    <x v="2"/>
    <x v="17"/>
    <n v="190801"/>
    <n v="190801"/>
    <m/>
    <n v="84"/>
    <n v="190801"/>
    <n v="2772000"/>
  </r>
  <r>
    <x v="188"/>
    <x v="3"/>
    <m/>
    <x v="0"/>
    <x v="2"/>
    <x v="19"/>
    <n v="190801"/>
    <n v="190801"/>
    <m/>
    <n v="115"/>
    <n v="190801"/>
    <n v="345000"/>
  </r>
  <r>
    <x v="188"/>
    <x v="3"/>
    <m/>
    <x v="5"/>
    <x v="2"/>
    <x v="28"/>
    <n v="190801"/>
    <n v="190801"/>
    <m/>
    <n v="17"/>
    <n v="190801"/>
    <n v="476000"/>
  </r>
  <r>
    <x v="188"/>
    <x v="3"/>
    <m/>
    <x v="22"/>
    <x v="2"/>
    <x v="29"/>
    <n v="190801"/>
    <n v="190801"/>
    <m/>
    <n v="19"/>
    <n v="190801"/>
    <n v="722000"/>
  </r>
  <r>
    <x v="188"/>
    <x v="3"/>
    <m/>
    <x v="21"/>
    <x v="2"/>
    <x v="15"/>
    <n v="190801"/>
    <n v="190801"/>
    <m/>
    <n v="3"/>
    <n v="190801"/>
    <n v="52500"/>
  </r>
  <r>
    <x v="188"/>
    <x v="3"/>
    <m/>
    <x v="21"/>
    <x v="2"/>
    <x v="18"/>
    <n v="190801"/>
    <n v="190801"/>
    <m/>
    <n v="3"/>
    <n v="190801"/>
    <n v="52500"/>
  </r>
  <r>
    <x v="188"/>
    <x v="3"/>
    <m/>
    <x v="0"/>
    <x v="4"/>
    <x v="15"/>
    <n v="190801"/>
    <n v="190801"/>
    <m/>
    <n v="86"/>
    <n v="190801"/>
    <n v="2709000"/>
  </r>
  <r>
    <x v="188"/>
    <x v="3"/>
    <m/>
    <x v="0"/>
    <x v="4"/>
    <x v="16"/>
    <n v="190801"/>
    <n v="190801"/>
    <m/>
    <n v="40"/>
    <n v="190801"/>
    <n v="1760000"/>
  </r>
  <r>
    <x v="188"/>
    <x v="3"/>
    <m/>
    <x v="1"/>
    <x v="4"/>
    <x v="18"/>
    <n v="190801"/>
    <n v="190801"/>
    <m/>
    <n v="1"/>
    <n v="190801"/>
    <n v="31500"/>
  </r>
  <r>
    <x v="189"/>
    <x v="4"/>
    <m/>
    <x v="0"/>
    <x v="1"/>
    <x v="15"/>
    <n v="190801"/>
    <n v="190801"/>
    <m/>
    <n v="6"/>
    <n v="190801"/>
    <n v="120000"/>
  </r>
  <r>
    <x v="189"/>
    <x v="4"/>
    <m/>
    <x v="0"/>
    <x v="1"/>
    <x v="16"/>
    <n v="190801"/>
    <n v="190801"/>
    <m/>
    <n v="7"/>
    <n v="190801"/>
    <n v="245000"/>
  </r>
  <r>
    <x v="189"/>
    <x v="4"/>
    <m/>
    <x v="0"/>
    <x v="7"/>
    <x v="15"/>
    <n v="190801"/>
    <n v="190801"/>
    <m/>
    <n v="6"/>
    <n v="190801"/>
    <n v="120000"/>
  </r>
  <r>
    <x v="189"/>
    <x v="4"/>
    <m/>
    <x v="22"/>
    <x v="3"/>
    <x v="29"/>
    <n v="190801"/>
    <n v="190801"/>
    <m/>
    <n v="60"/>
    <n v="190801"/>
    <n v="0"/>
  </r>
  <r>
    <x v="189"/>
    <x v="4"/>
    <m/>
    <x v="5"/>
    <x v="3"/>
    <x v="28"/>
    <n v="190801"/>
    <n v="190801"/>
    <m/>
    <n v="2"/>
    <n v="190801"/>
    <n v="0"/>
  </r>
  <r>
    <x v="189"/>
    <x v="4"/>
    <m/>
    <x v="4"/>
    <x v="3"/>
    <x v="26"/>
    <n v="190801"/>
    <n v="190801"/>
    <m/>
    <n v="10"/>
    <n v="190801"/>
    <n v="0"/>
  </r>
  <r>
    <x v="189"/>
    <x v="4"/>
    <m/>
    <x v="4"/>
    <x v="3"/>
    <x v="27"/>
    <n v="190801"/>
    <n v="190801"/>
    <m/>
    <n v="5"/>
    <n v="190801"/>
    <n v="0"/>
  </r>
  <r>
    <x v="189"/>
    <x v="4"/>
    <m/>
    <x v="1"/>
    <x v="3"/>
    <x v="18"/>
    <n v="190801"/>
    <n v="190801"/>
    <m/>
    <n v="40"/>
    <n v="190801"/>
    <n v="0"/>
  </r>
  <r>
    <x v="189"/>
    <x v="4"/>
    <m/>
    <x v="1"/>
    <x v="2"/>
    <x v="18"/>
    <n v="190801"/>
    <n v="190801"/>
    <m/>
    <n v="17"/>
    <n v="190801"/>
    <n v="340000"/>
  </r>
  <r>
    <x v="189"/>
    <x v="4"/>
    <m/>
    <x v="1"/>
    <x v="2"/>
    <x v="21"/>
    <n v="190801"/>
    <n v="190801"/>
    <m/>
    <n v="9"/>
    <n v="190801"/>
    <n v="315000"/>
  </r>
  <r>
    <x v="189"/>
    <x v="4"/>
    <m/>
    <x v="4"/>
    <x v="2"/>
    <x v="26"/>
    <n v="190801"/>
    <n v="190801"/>
    <m/>
    <n v="3"/>
    <n v="190801"/>
    <n v="12000"/>
  </r>
  <r>
    <x v="189"/>
    <x v="4"/>
    <m/>
    <x v="4"/>
    <x v="2"/>
    <x v="27"/>
    <n v="190801"/>
    <n v="190801"/>
    <m/>
    <n v="4"/>
    <n v="190801"/>
    <n v="80000"/>
  </r>
  <r>
    <x v="189"/>
    <x v="4"/>
    <m/>
    <x v="0"/>
    <x v="2"/>
    <x v="15"/>
    <n v="190801"/>
    <n v="190801"/>
    <m/>
    <n v="119"/>
    <n v="190801"/>
    <n v="2380000"/>
  </r>
  <r>
    <x v="189"/>
    <x v="4"/>
    <m/>
    <x v="0"/>
    <x v="2"/>
    <x v="16"/>
    <n v="190801"/>
    <n v="190801"/>
    <m/>
    <n v="63"/>
    <n v="190801"/>
    <n v="2205000"/>
  </r>
  <r>
    <x v="189"/>
    <x v="4"/>
    <m/>
    <x v="0"/>
    <x v="2"/>
    <x v="17"/>
    <n v="190801"/>
    <n v="190801"/>
    <m/>
    <n v="71"/>
    <n v="190801"/>
    <n v="2343000"/>
  </r>
  <r>
    <x v="189"/>
    <x v="4"/>
    <m/>
    <x v="0"/>
    <x v="2"/>
    <x v="19"/>
    <n v="190801"/>
    <n v="190801"/>
    <m/>
    <n v="106"/>
    <n v="190801"/>
    <n v="318000"/>
  </r>
  <r>
    <x v="189"/>
    <x v="4"/>
    <m/>
    <x v="5"/>
    <x v="2"/>
    <x v="28"/>
    <n v="190801"/>
    <n v="190801"/>
    <m/>
    <n v="11"/>
    <n v="190801"/>
    <n v="308000"/>
  </r>
  <r>
    <x v="189"/>
    <x v="4"/>
    <m/>
    <x v="22"/>
    <x v="2"/>
    <x v="29"/>
    <n v="190801"/>
    <n v="190801"/>
    <m/>
    <n v="14"/>
    <n v="190801"/>
    <n v="532000"/>
  </r>
  <r>
    <x v="189"/>
    <x v="4"/>
    <m/>
    <x v="21"/>
    <x v="2"/>
    <x v="15"/>
    <n v="190801"/>
    <n v="190801"/>
    <m/>
    <n v="2"/>
    <n v="190801"/>
    <n v="35000"/>
  </r>
  <r>
    <x v="189"/>
    <x v="4"/>
    <m/>
    <x v="21"/>
    <x v="2"/>
    <x v="18"/>
    <n v="190801"/>
    <n v="190801"/>
    <m/>
    <n v="2"/>
    <n v="190801"/>
    <n v="35000"/>
  </r>
  <r>
    <x v="189"/>
    <x v="4"/>
    <m/>
    <x v="0"/>
    <x v="4"/>
    <x v="15"/>
    <n v="190801"/>
    <n v="190801"/>
    <m/>
    <n v="27"/>
    <n v="190801"/>
    <n v="850500"/>
  </r>
  <r>
    <x v="189"/>
    <x v="4"/>
    <m/>
    <x v="0"/>
    <x v="4"/>
    <x v="16"/>
    <n v="190801"/>
    <n v="190801"/>
    <m/>
    <n v="4"/>
    <n v="190801"/>
    <n v="176000"/>
  </r>
  <r>
    <x v="190"/>
    <x v="1"/>
    <m/>
    <x v="0"/>
    <x v="1"/>
    <x v="15"/>
    <n v="190801"/>
    <n v="190801"/>
    <m/>
    <n v="5"/>
    <n v="190801"/>
    <n v="100000"/>
  </r>
  <r>
    <x v="190"/>
    <x v="1"/>
    <m/>
    <x v="0"/>
    <x v="1"/>
    <x v="16"/>
    <n v="190801"/>
    <n v="190801"/>
    <m/>
    <n v="24"/>
    <n v="190801"/>
    <n v="840000"/>
  </r>
  <r>
    <x v="190"/>
    <x v="1"/>
    <m/>
    <x v="0"/>
    <x v="7"/>
    <x v="15"/>
    <n v="190801"/>
    <n v="190801"/>
    <m/>
    <n v="4"/>
    <n v="190801"/>
    <n v="80000"/>
  </r>
  <r>
    <x v="190"/>
    <x v="1"/>
    <m/>
    <x v="0"/>
    <x v="3"/>
    <x v="15"/>
    <n v="190801"/>
    <n v="190801"/>
    <m/>
    <n v="2"/>
    <n v="190801"/>
    <n v="0"/>
  </r>
  <r>
    <x v="190"/>
    <x v="1"/>
    <m/>
    <x v="1"/>
    <x v="2"/>
    <x v="18"/>
    <n v="190801"/>
    <n v="190801"/>
    <m/>
    <n v="14"/>
    <n v="190801"/>
    <n v="280000"/>
  </r>
  <r>
    <x v="190"/>
    <x v="1"/>
    <m/>
    <x v="1"/>
    <x v="2"/>
    <x v="21"/>
    <n v="190801"/>
    <n v="190801"/>
    <m/>
    <n v="2"/>
    <n v="190801"/>
    <n v="70000"/>
  </r>
  <r>
    <x v="190"/>
    <x v="1"/>
    <m/>
    <x v="4"/>
    <x v="2"/>
    <x v="26"/>
    <n v="190801"/>
    <n v="190801"/>
    <m/>
    <n v="8"/>
    <n v="190801"/>
    <n v="32000"/>
  </r>
  <r>
    <x v="190"/>
    <x v="1"/>
    <m/>
    <x v="4"/>
    <x v="2"/>
    <x v="27"/>
    <n v="190801"/>
    <n v="190801"/>
    <m/>
    <n v="2"/>
    <n v="190801"/>
    <n v="40000"/>
  </r>
  <r>
    <x v="190"/>
    <x v="1"/>
    <m/>
    <x v="0"/>
    <x v="2"/>
    <x v="15"/>
    <n v="190801"/>
    <n v="190801"/>
    <m/>
    <n v="92"/>
    <n v="190801"/>
    <n v="1840000"/>
  </r>
  <r>
    <x v="190"/>
    <x v="1"/>
    <m/>
    <x v="0"/>
    <x v="2"/>
    <x v="16"/>
    <n v="190801"/>
    <n v="190801"/>
    <m/>
    <n v="69"/>
    <n v="190801"/>
    <n v="2415000"/>
  </r>
  <r>
    <x v="190"/>
    <x v="1"/>
    <m/>
    <x v="0"/>
    <x v="2"/>
    <x v="17"/>
    <n v="190801"/>
    <n v="190801"/>
    <m/>
    <n v="54"/>
    <n v="190801"/>
    <n v="1782000"/>
  </r>
  <r>
    <x v="190"/>
    <x v="1"/>
    <m/>
    <x v="0"/>
    <x v="2"/>
    <x v="19"/>
    <n v="190801"/>
    <n v="190801"/>
    <m/>
    <n v="73"/>
    <n v="190801"/>
    <n v="219000"/>
  </r>
  <r>
    <x v="190"/>
    <x v="1"/>
    <m/>
    <x v="5"/>
    <x v="2"/>
    <x v="28"/>
    <n v="190801"/>
    <n v="190801"/>
    <m/>
    <n v="12"/>
    <n v="190801"/>
    <n v="336000"/>
  </r>
  <r>
    <x v="190"/>
    <x v="1"/>
    <m/>
    <x v="22"/>
    <x v="2"/>
    <x v="29"/>
    <n v="190801"/>
    <n v="190801"/>
    <m/>
    <n v="11"/>
    <n v="190801"/>
    <n v="418000"/>
  </r>
  <r>
    <x v="190"/>
    <x v="1"/>
    <m/>
    <x v="0"/>
    <x v="4"/>
    <x v="15"/>
    <n v="190801"/>
    <n v="190801"/>
    <m/>
    <n v="20"/>
    <n v="190801"/>
    <n v="630000"/>
  </r>
  <r>
    <x v="190"/>
    <x v="1"/>
    <m/>
    <x v="0"/>
    <x v="4"/>
    <x v="16"/>
    <n v="190801"/>
    <n v="190801"/>
    <m/>
    <n v="6"/>
    <n v="190801"/>
    <n v="264000"/>
  </r>
  <r>
    <x v="191"/>
    <x v="0"/>
    <m/>
    <x v="0"/>
    <x v="1"/>
    <x v="15"/>
    <n v="190801"/>
    <n v="190801"/>
    <m/>
    <n v="1"/>
    <n v="190801"/>
    <n v="20000"/>
  </r>
  <r>
    <x v="191"/>
    <x v="0"/>
    <m/>
    <x v="0"/>
    <x v="1"/>
    <x v="16"/>
    <n v="190801"/>
    <n v="190801"/>
    <m/>
    <n v="11"/>
    <n v="190801"/>
    <n v="385000"/>
  </r>
  <r>
    <x v="191"/>
    <x v="0"/>
    <m/>
    <x v="0"/>
    <x v="7"/>
    <x v="15"/>
    <n v="190801"/>
    <n v="190801"/>
    <m/>
    <n v="1"/>
    <n v="190801"/>
    <n v="20000"/>
  </r>
  <r>
    <x v="191"/>
    <x v="0"/>
    <m/>
    <x v="5"/>
    <x v="3"/>
    <x v="28"/>
    <n v="190801"/>
    <n v="190801"/>
    <m/>
    <n v="1"/>
    <n v="190801"/>
    <n v="0"/>
  </r>
  <r>
    <x v="191"/>
    <x v="0"/>
    <m/>
    <x v="1"/>
    <x v="2"/>
    <x v="18"/>
    <n v="190801"/>
    <n v="190801"/>
    <m/>
    <n v="15"/>
    <n v="190801"/>
    <n v="300000"/>
  </r>
  <r>
    <x v="191"/>
    <x v="0"/>
    <m/>
    <x v="1"/>
    <x v="2"/>
    <x v="21"/>
    <n v="190801"/>
    <n v="190801"/>
    <m/>
    <n v="6"/>
    <n v="190801"/>
    <n v="210000"/>
  </r>
  <r>
    <x v="191"/>
    <x v="0"/>
    <m/>
    <x v="4"/>
    <x v="2"/>
    <x v="26"/>
    <n v="190801"/>
    <n v="190801"/>
    <m/>
    <n v="5"/>
    <n v="190801"/>
    <n v="20000"/>
  </r>
  <r>
    <x v="191"/>
    <x v="0"/>
    <m/>
    <x v="4"/>
    <x v="2"/>
    <x v="27"/>
    <n v="190801"/>
    <n v="190801"/>
    <m/>
    <n v="6"/>
    <n v="190801"/>
    <n v="120000"/>
  </r>
  <r>
    <x v="191"/>
    <x v="0"/>
    <m/>
    <x v="0"/>
    <x v="2"/>
    <x v="15"/>
    <n v="190801"/>
    <n v="190801"/>
    <m/>
    <n v="75"/>
    <n v="190801"/>
    <n v="1500000"/>
  </r>
  <r>
    <x v="191"/>
    <x v="0"/>
    <m/>
    <x v="0"/>
    <x v="2"/>
    <x v="16"/>
    <n v="190801"/>
    <n v="190801"/>
    <m/>
    <n v="63"/>
    <n v="190801"/>
    <n v="2205000"/>
  </r>
  <r>
    <x v="191"/>
    <x v="0"/>
    <m/>
    <x v="0"/>
    <x v="2"/>
    <x v="17"/>
    <n v="190801"/>
    <n v="190801"/>
    <m/>
    <n v="57"/>
    <n v="190801"/>
    <n v="1881000"/>
  </r>
  <r>
    <x v="191"/>
    <x v="0"/>
    <m/>
    <x v="0"/>
    <x v="2"/>
    <x v="19"/>
    <n v="190801"/>
    <n v="190801"/>
    <m/>
    <n v="93"/>
    <n v="190801"/>
    <n v="279000"/>
  </r>
  <r>
    <x v="191"/>
    <x v="0"/>
    <m/>
    <x v="5"/>
    <x v="2"/>
    <x v="28"/>
    <n v="190801"/>
    <n v="190801"/>
    <m/>
    <n v="11"/>
    <n v="190801"/>
    <n v="308000"/>
  </r>
  <r>
    <x v="191"/>
    <x v="0"/>
    <m/>
    <x v="22"/>
    <x v="2"/>
    <x v="29"/>
    <n v="190801"/>
    <n v="190801"/>
    <m/>
    <n v="7"/>
    <n v="190801"/>
    <n v="266000"/>
  </r>
  <r>
    <x v="191"/>
    <x v="0"/>
    <m/>
    <x v="0"/>
    <x v="4"/>
    <x v="15"/>
    <n v="190801"/>
    <n v="190801"/>
    <m/>
    <n v="12"/>
    <n v="190801"/>
    <n v="378000"/>
  </r>
  <r>
    <x v="191"/>
    <x v="0"/>
    <m/>
    <x v="0"/>
    <x v="4"/>
    <x v="16"/>
    <n v="190801"/>
    <n v="190801"/>
    <m/>
    <n v="5"/>
    <n v="190801"/>
    <n v="220000"/>
  </r>
  <r>
    <x v="192"/>
    <x v="2"/>
    <m/>
    <x v="0"/>
    <x v="1"/>
    <x v="15"/>
    <n v="190801"/>
    <n v="190801"/>
    <m/>
    <n v="6"/>
    <n v="190801"/>
    <n v="120000"/>
  </r>
  <r>
    <x v="192"/>
    <x v="2"/>
    <m/>
    <x v="0"/>
    <x v="1"/>
    <x v="16"/>
    <n v="190801"/>
    <n v="190801"/>
    <m/>
    <n v="19"/>
    <n v="190801"/>
    <n v="665000"/>
  </r>
  <r>
    <x v="192"/>
    <x v="2"/>
    <m/>
    <x v="0"/>
    <x v="7"/>
    <x v="15"/>
    <n v="190801"/>
    <n v="190801"/>
    <m/>
    <n v="4"/>
    <n v="190801"/>
    <n v="80000"/>
  </r>
  <r>
    <x v="192"/>
    <x v="2"/>
    <m/>
    <x v="4"/>
    <x v="3"/>
    <x v="27"/>
    <n v="190801"/>
    <n v="190801"/>
    <m/>
    <n v="3"/>
    <n v="190801"/>
    <n v="0"/>
  </r>
  <r>
    <x v="192"/>
    <x v="2"/>
    <m/>
    <x v="0"/>
    <x v="3"/>
    <x v="15"/>
    <n v="190801"/>
    <n v="190801"/>
    <m/>
    <n v="1"/>
    <n v="190801"/>
    <n v="0"/>
  </r>
  <r>
    <x v="192"/>
    <x v="2"/>
    <m/>
    <x v="0"/>
    <x v="3"/>
    <x v="19"/>
    <n v="190801"/>
    <n v="190801"/>
    <m/>
    <n v="1"/>
    <n v="190801"/>
    <n v="0"/>
  </r>
  <r>
    <x v="192"/>
    <x v="2"/>
    <m/>
    <x v="1"/>
    <x v="2"/>
    <x v="18"/>
    <n v="190801"/>
    <n v="190801"/>
    <m/>
    <n v="11"/>
    <n v="190801"/>
    <n v="220000"/>
  </r>
  <r>
    <x v="192"/>
    <x v="2"/>
    <m/>
    <x v="1"/>
    <x v="2"/>
    <x v="21"/>
    <n v="190801"/>
    <n v="190801"/>
    <m/>
    <n v="4"/>
    <n v="190801"/>
    <n v="140000"/>
  </r>
  <r>
    <x v="192"/>
    <x v="2"/>
    <m/>
    <x v="4"/>
    <x v="2"/>
    <x v="26"/>
    <n v="190801"/>
    <n v="190801"/>
    <m/>
    <n v="2"/>
    <n v="190801"/>
    <n v="8000"/>
  </r>
  <r>
    <x v="192"/>
    <x v="2"/>
    <m/>
    <x v="4"/>
    <x v="2"/>
    <x v="27"/>
    <n v="190801"/>
    <n v="190801"/>
    <m/>
    <n v="3"/>
    <n v="190801"/>
    <n v="60000"/>
  </r>
  <r>
    <x v="192"/>
    <x v="2"/>
    <m/>
    <x v="0"/>
    <x v="2"/>
    <x v="15"/>
    <n v="190801"/>
    <n v="190801"/>
    <m/>
    <n v="73"/>
    <n v="190801"/>
    <n v="1460000"/>
  </r>
  <r>
    <x v="192"/>
    <x v="2"/>
    <m/>
    <x v="0"/>
    <x v="2"/>
    <x v="16"/>
    <n v="190801"/>
    <n v="190801"/>
    <m/>
    <n v="64"/>
    <n v="190801"/>
    <n v="2240000"/>
  </r>
  <r>
    <x v="192"/>
    <x v="2"/>
    <m/>
    <x v="0"/>
    <x v="2"/>
    <x v="17"/>
    <n v="190801"/>
    <n v="190801"/>
    <m/>
    <n v="62"/>
    <n v="190801"/>
    <n v="2046000"/>
  </r>
  <r>
    <x v="192"/>
    <x v="2"/>
    <m/>
    <x v="0"/>
    <x v="2"/>
    <x v="19"/>
    <n v="190801"/>
    <n v="190801"/>
    <m/>
    <n v="78"/>
    <n v="190801"/>
    <n v="234000"/>
  </r>
  <r>
    <x v="192"/>
    <x v="2"/>
    <m/>
    <x v="5"/>
    <x v="2"/>
    <x v="28"/>
    <n v="190801"/>
    <n v="190801"/>
    <m/>
    <n v="11"/>
    <n v="190801"/>
    <n v="308000"/>
  </r>
  <r>
    <x v="192"/>
    <x v="2"/>
    <m/>
    <x v="22"/>
    <x v="2"/>
    <x v="29"/>
    <n v="190801"/>
    <n v="190801"/>
    <m/>
    <n v="8"/>
    <n v="190801"/>
    <n v="304000"/>
  </r>
  <r>
    <x v="192"/>
    <x v="2"/>
    <m/>
    <x v="0"/>
    <x v="4"/>
    <x v="15"/>
    <n v="190801"/>
    <n v="190801"/>
    <m/>
    <n v="12"/>
    <n v="190801"/>
    <n v="378000"/>
  </r>
  <r>
    <x v="192"/>
    <x v="2"/>
    <m/>
    <x v="0"/>
    <x v="4"/>
    <x v="16"/>
    <n v="190801"/>
    <n v="190801"/>
    <m/>
    <n v="4"/>
    <n v="190801"/>
    <n v="176000"/>
  </r>
  <r>
    <x v="193"/>
    <x v="5"/>
    <m/>
    <x v="0"/>
    <x v="7"/>
    <x v="15"/>
    <n v="190801"/>
    <n v="190801"/>
    <m/>
    <n v="4"/>
    <n v="190801"/>
    <n v="80000"/>
  </r>
  <r>
    <x v="193"/>
    <x v="5"/>
    <m/>
    <x v="1"/>
    <x v="2"/>
    <x v="18"/>
    <n v="190801"/>
    <n v="190801"/>
    <m/>
    <n v="11"/>
    <n v="190801"/>
    <n v="220000"/>
  </r>
  <r>
    <x v="193"/>
    <x v="5"/>
    <m/>
    <x v="1"/>
    <x v="2"/>
    <x v="21"/>
    <n v="190801"/>
    <n v="190801"/>
    <m/>
    <n v="3"/>
    <n v="190801"/>
    <n v="105000"/>
  </r>
  <r>
    <x v="193"/>
    <x v="5"/>
    <m/>
    <x v="4"/>
    <x v="2"/>
    <x v="27"/>
    <n v="190801"/>
    <n v="190801"/>
    <m/>
    <n v="7"/>
    <n v="190801"/>
    <n v="140000"/>
  </r>
  <r>
    <x v="193"/>
    <x v="5"/>
    <m/>
    <x v="0"/>
    <x v="2"/>
    <x v="15"/>
    <n v="190801"/>
    <n v="190801"/>
    <m/>
    <n v="61"/>
    <n v="190801"/>
    <n v="1220000"/>
  </r>
  <r>
    <x v="193"/>
    <x v="5"/>
    <m/>
    <x v="0"/>
    <x v="2"/>
    <x v="16"/>
    <n v="190801"/>
    <n v="190801"/>
    <m/>
    <n v="52"/>
    <n v="190801"/>
    <n v="1820000"/>
  </r>
  <r>
    <x v="193"/>
    <x v="5"/>
    <m/>
    <x v="0"/>
    <x v="2"/>
    <x v="17"/>
    <n v="190801"/>
    <n v="190801"/>
    <m/>
    <n v="45"/>
    <n v="190801"/>
    <n v="1485000"/>
  </r>
  <r>
    <x v="193"/>
    <x v="5"/>
    <m/>
    <x v="0"/>
    <x v="2"/>
    <x v="19"/>
    <n v="190801"/>
    <n v="190801"/>
    <m/>
    <n v="56"/>
    <n v="190801"/>
    <n v="168000"/>
  </r>
  <r>
    <x v="193"/>
    <x v="5"/>
    <m/>
    <x v="5"/>
    <x v="2"/>
    <x v="28"/>
    <n v="190801"/>
    <n v="190801"/>
    <m/>
    <n v="10"/>
    <n v="190801"/>
    <n v="280000"/>
  </r>
  <r>
    <x v="193"/>
    <x v="5"/>
    <m/>
    <x v="22"/>
    <x v="2"/>
    <x v="29"/>
    <n v="190801"/>
    <n v="190801"/>
    <m/>
    <n v="3"/>
    <n v="190801"/>
    <n v="114000"/>
  </r>
  <r>
    <x v="194"/>
    <x v="6"/>
    <m/>
    <x v="0"/>
    <x v="7"/>
    <x v="15"/>
    <n v="190801"/>
    <n v="190801"/>
    <m/>
    <n v="3"/>
    <n v="190801"/>
    <n v="60000"/>
  </r>
  <r>
    <x v="194"/>
    <x v="6"/>
    <m/>
    <x v="1"/>
    <x v="2"/>
    <x v="18"/>
    <n v="190801"/>
    <n v="190801"/>
    <m/>
    <n v="20"/>
    <n v="190801"/>
    <n v="400000"/>
  </r>
  <r>
    <x v="194"/>
    <x v="6"/>
    <m/>
    <x v="1"/>
    <x v="2"/>
    <x v="21"/>
    <n v="190801"/>
    <n v="190801"/>
    <m/>
    <n v="7"/>
    <n v="190801"/>
    <n v="245000"/>
  </r>
  <r>
    <x v="194"/>
    <x v="6"/>
    <m/>
    <x v="4"/>
    <x v="2"/>
    <x v="26"/>
    <n v="190801"/>
    <n v="190801"/>
    <m/>
    <n v="3"/>
    <n v="190801"/>
    <n v="12000"/>
  </r>
  <r>
    <x v="194"/>
    <x v="6"/>
    <m/>
    <x v="4"/>
    <x v="2"/>
    <x v="27"/>
    <n v="190801"/>
    <n v="190801"/>
    <m/>
    <n v="2"/>
    <n v="190801"/>
    <n v="40000"/>
  </r>
  <r>
    <x v="194"/>
    <x v="6"/>
    <m/>
    <x v="0"/>
    <x v="2"/>
    <x v="15"/>
    <n v="190801"/>
    <n v="190801"/>
    <m/>
    <n v="75"/>
    <n v="190801"/>
    <n v="1500000"/>
  </r>
  <r>
    <x v="194"/>
    <x v="6"/>
    <m/>
    <x v="0"/>
    <x v="2"/>
    <x v="16"/>
    <n v="190801"/>
    <n v="190801"/>
    <m/>
    <n v="57"/>
    <n v="190801"/>
    <n v="1995000"/>
  </r>
  <r>
    <x v="194"/>
    <x v="6"/>
    <m/>
    <x v="0"/>
    <x v="2"/>
    <x v="17"/>
    <n v="190801"/>
    <n v="190801"/>
    <m/>
    <n v="76"/>
    <n v="190801"/>
    <n v="2508000"/>
  </r>
  <r>
    <x v="194"/>
    <x v="6"/>
    <m/>
    <x v="0"/>
    <x v="2"/>
    <x v="19"/>
    <n v="190801"/>
    <n v="190801"/>
    <m/>
    <n v="79"/>
    <n v="190801"/>
    <n v="237000"/>
  </r>
  <r>
    <x v="194"/>
    <x v="6"/>
    <m/>
    <x v="5"/>
    <x v="2"/>
    <x v="28"/>
    <n v="190801"/>
    <n v="190801"/>
    <m/>
    <n v="19"/>
    <n v="190801"/>
    <n v="532000"/>
  </r>
  <r>
    <x v="194"/>
    <x v="6"/>
    <m/>
    <x v="22"/>
    <x v="2"/>
    <x v="29"/>
    <n v="190801"/>
    <n v="190801"/>
    <m/>
    <n v="6"/>
    <n v="190801"/>
    <n v="228000"/>
  </r>
  <r>
    <x v="194"/>
    <x v="6"/>
    <m/>
    <x v="21"/>
    <x v="2"/>
    <x v="15"/>
    <n v="190801"/>
    <n v="190801"/>
    <m/>
    <n v="1"/>
    <n v="190801"/>
    <n v="17500"/>
  </r>
  <r>
    <x v="194"/>
    <x v="6"/>
    <m/>
    <x v="21"/>
    <x v="2"/>
    <x v="18"/>
    <n v="190801"/>
    <n v="190801"/>
    <m/>
    <n v="1"/>
    <n v="190801"/>
    <n v="17500"/>
  </r>
  <r>
    <x v="194"/>
    <x v="6"/>
    <m/>
    <x v="0"/>
    <x v="6"/>
    <x v="15"/>
    <n v="190801"/>
    <n v="190801"/>
    <m/>
    <n v="592"/>
    <n v="190801"/>
    <n v="5368256"/>
  </r>
  <r>
    <x v="194"/>
    <x v="6"/>
    <m/>
    <x v="0"/>
    <x v="6"/>
    <x v="17"/>
    <n v="190801"/>
    <n v="190801"/>
    <m/>
    <n v="483"/>
    <n v="190801"/>
    <n v="7640094"/>
  </r>
  <r>
    <x v="194"/>
    <x v="6"/>
    <m/>
    <x v="4"/>
    <x v="6"/>
    <x v="26"/>
    <n v="190801"/>
    <n v="190801"/>
    <m/>
    <n v="655"/>
    <n v="190801"/>
    <n v="702815"/>
  </r>
  <r>
    <x v="194"/>
    <x v="6"/>
    <m/>
    <x v="5"/>
    <x v="6"/>
    <x v="28"/>
    <n v="190801"/>
    <n v="190801"/>
    <m/>
    <n v="3"/>
    <n v="190801"/>
    <n v="43800"/>
  </r>
  <r>
    <x v="194"/>
    <x v="6"/>
    <m/>
    <x v="22"/>
    <x v="6"/>
    <x v="29"/>
    <n v="190801"/>
    <n v="190801"/>
    <m/>
    <n v="11"/>
    <n v="190801"/>
    <n v="216601"/>
  </r>
  <r>
    <x v="194"/>
    <x v="6"/>
    <m/>
    <x v="24"/>
    <x v="6"/>
    <x v="31"/>
    <n v="190801"/>
    <n v="190801"/>
    <m/>
    <n v="116"/>
    <n v="190801"/>
    <n v="1725732"/>
  </r>
  <r>
    <x v="194"/>
    <x v="6"/>
    <m/>
    <x v="23"/>
    <x v="6"/>
    <x v="30"/>
    <n v="190801"/>
    <n v="190801"/>
    <m/>
    <n v="106"/>
    <n v="190801"/>
    <n v="738184"/>
  </r>
  <r>
    <x v="194"/>
    <x v="6"/>
    <m/>
    <x v="20"/>
    <x v="6"/>
    <x v="25"/>
    <n v="190801"/>
    <n v="190801"/>
    <m/>
    <n v="76"/>
    <n v="190801"/>
    <n v="738416"/>
  </r>
  <r>
    <x v="194"/>
    <x v="6"/>
    <m/>
    <x v="1"/>
    <x v="6"/>
    <x v="18"/>
    <n v="190801"/>
    <n v="190801"/>
    <m/>
    <n v="11"/>
    <n v="190801"/>
    <n v="101255"/>
  </r>
  <r>
    <x v="195"/>
    <x v="3"/>
    <m/>
    <x v="0"/>
    <x v="1"/>
    <x v="15"/>
    <n v="190801"/>
    <n v="190801"/>
    <m/>
    <n v="5"/>
    <n v="190801"/>
    <n v="100000"/>
  </r>
  <r>
    <x v="195"/>
    <x v="3"/>
    <m/>
    <x v="0"/>
    <x v="1"/>
    <x v="16"/>
    <n v="190801"/>
    <n v="190801"/>
    <m/>
    <n v="32"/>
    <n v="190801"/>
    <n v="1120000"/>
  </r>
  <r>
    <x v="195"/>
    <x v="3"/>
    <m/>
    <x v="0"/>
    <x v="7"/>
    <x v="15"/>
    <n v="190801"/>
    <n v="190801"/>
    <m/>
    <n v="5"/>
    <n v="190801"/>
    <n v="100000"/>
  </r>
  <r>
    <x v="195"/>
    <x v="3"/>
    <m/>
    <x v="22"/>
    <x v="2"/>
    <x v="32"/>
    <n v="190801"/>
    <n v="190801"/>
    <m/>
    <n v="42"/>
    <n v="190801"/>
    <n v="1117200"/>
  </r>
  <r>
    <x v="195"/>
    <x v="3"/>
    <m/>
    <x v="5"/>
    <x v="2"/>
    <x v="33"/>
    <n v="190801"/>
    <n v="190801"/>
    <m/>
    <n v="22"/>
    <n v="190801"/>
    <n v="506000"/>
  </r>
  <r>
    <x v="195"/>
    <x v="3"/>
    <m/>
    <x v="1"/>
    <x v="2"/>
    <x v="18"/>
    <n v="190801"/>
    <n v="190801"/>
    <m/>
    <n v="21"/>
    <n v="190801"/>
    <n v="420000"/>
  </r>
  <r>
    <x v="195"/>
    <x v="3"/>
    <m/>
    <x v="1"/>
    <x v="2"/>
    <x v="21"/>
    <n v="190801"/>
    <n v="190801"/>
    <m/>
    <n v="3"/>
    <n v="190801"/>
    <n v="105000"/>
  </r>
  <r>
    <x v="195"/>
    <x v="3"/>
    <m/>
    <x v="4"/>
    <x v="2"/>
    <x v="26"/>
    <n v="190801"/>
    <n v="190801"/>
    <m/>
    <n v="9"/>
    <n v="190801"/>
    <n v="36000"/>
  </r>
  <r>
    <x v="195"/>
    <x v="3"/>
    <m/>
    <x v="4"/>
    <x v="2"/>
    <x v="27"/>
    <n v="190801"/>
    <n v="190801"/>
    <m/>
    <n v="12"/>
    <n v="190801"/>
    <n v="240000"/>
  </r>
  <r>
    <x v="195"/>
    <x v="3"/>
    <m/>
    <x v="0"/>
    <x v="2"/>
    <x v="15"/>
    <n v="190801"/>
    <n v="190801"/>
    <m/>
    <n v="95"/>
    <n v="190801"/>
    <n v="1900000"/>
  </r>
  <r>
    <x v="195"/>
    <x v="3"/>
    <m/>
    <x v="0"/>
    <x v="2"/>
    <x v="16"/>
    <n v="190801"/>
    <n v="190801"/>
    <m/>
    <n v="336"/>
    <n v="190801"/>
    <n v="11760000"/>
  </r>
  <r>
    <x v="195"/>
    <x v="3"/>
    <m/>
    <x v="0"/>
    <x v="2"/>
    <x v="17"/>
    <n v="190801"/>
    <n v="190801"/>
    <m/>
    <n v="87"/>
    <n v="190801"/>
    <n v="2871000"/>
  </r>
  <r>
    <x v="195"/>
    <x v="3"/>
    <m/>
    <x v="0"/>
    <x v="2"/>
    <x v="19"/>
    <n v="190801"/>
    <n v="190801"/>
    <m/>
    <n v="86"/>
    <n v="190801"/>
    <n v="258000"/>
  </r>
  <r>
    <x v="195"/>
    <x v="3"/>
    <m/>
    <x v="5"/>
    <x v="2"/>
    <x v="28"/>
    <n v="190801"/>
    <n v="190801"/>
    <m/>
    <n v="21"/>
    <n v="190801"/>
    <n v="588000"/>
  </r>
  <r>
    <x v="195"/>
    <x v="3"/>
    <m/>
    <x v="22"/>
    <x v="2"/>
    <x v="29"/>
    <n v="190801"/>
    <n v="190801"/>
    <m/>
    <n v="18"/>
    <n v="190801"/>
    <n v="684000"/>
  </r>
  <r>
    <x v="195"/>
    <x v="3"/>
    <m/>
    <x v="21"/>
    <x v="2"/>
    <x v="15"/>
    <n v="190801"/>
    <n v="190801"/>
    <m/>
    <n v="1"/>
    <n v="190801"/>
    <n v="17500"/>
  </r>
  <r>
    <x v="195"/>
    <x v="3"/>
    <m/>
    <x v="21"/>
    <x v="2"/>
    <x v="18"/>
    <n v="190801"/>
    <n v="190801"/>
    <m/>
    <n v="1"/>
    <n v="190801"/>
    <n v="17500"/>
  </r>
  <r>
    <x v="195"/>
    <x v="3"/>
    <m/>
    <x v="0"/>
    <x v="4"/>
    <x v="15"/>
    <n v="190801"/>
    <n v="190801"/>
    <m/>
    <n v="50"/>
    <n v="190801"/>
    <n v="1575000"/>
  </r>
  <r>
    <x v="195"/>
    <x v="3"/>
    <m/>
    <x v="0"/>
    <x v="4"/>
    <x v="16"/>
    <n v="190801"/>
    <n v="190801"/>
    <m/>
    <n v="19"/>
    <n v="190801"/>
    <n v="836000"/>
  </r>
  <r>
    <x v="195"/>
    <x v="3"/>
    <m/>
    <x v="1"/>
    <x v="4"/>
    <x v="18"/>
    <n v="190801"/>
    <n v="190801"/>
    <m/>
    <n v="1"/>
    <n v="190801"/>
    <n v="31500"/>
  </r>
  <r>
    <x v="196"/>
    <x v="4"/>
    <m/>
    <x v="0"/>
    <x v="1"/>
    <x v="15"/>
    <n v="190801"/>
    <n v="190801"/>
    <m/>
    <n v="1"/>
    <n v="190801"/>
    <n v="20000"/>
  </r>
  <r>
    <x v="196"/>
    <x v="4"/>
    <m/>
    <x v="0"/>
    <x v="1"/>
    <x v="16"/>
    <n v="190801"/>
    <n v="190801"/>
    <m/>
    <n v="4"/>
    <n v="190801"/>
    <n v="140000"/>
  </r>
  <r>
    <x v="196"/>
    <x v="4"/>
    <m/>
    <x v="0"/>
    <x v="7"/>
    <x v="15"/>
    <n v="190801"/>
    <n v="190801"/>
    <m/>
    <n v="5"/>
    <n v="190801"/>
    <n v="100000"/>
  </r>
  <r>
    <x v="196"/>
    <x v="4"/>
    <m/>
    <x v="0"/>
    <x v="5"/>
    <x v="15"/>
    <n v="190801"/>
    <n v="190801"/>
    <m/>
    <n v="100"/>
    <n v="190801"/>
    <n v="1022700"/>
  </r>
  <r>
    <x v="196"/>
    <x v="4"/>
    <m/>
    <x v="0"/>
    <x v="3"/>
    <x v="15"/>
    <n v="190801"/>
    <n v="190801"/>
    <m/>
    <n v="20"/>
    <n v="190801"/>
    <n v="0"/>
  </r>
  <r>
    <x v="196"/>
    <x v="4"/>
    <m/>
    <x v="0"/>
    <x v="3"/>
    <x v="17"/>
    <n v="190801"/>
    <n v="190801"/>
    <m/>
    <n v="20"/>
    <n v="190801"/>
    <n v="0"/>
  </r>
  <r>
    <x v="196"/>
    <x v="4"/>
    <m/>
    <x v="5"/>
    <x v="3"/>
    <x v="28"/>
    <n v="190801"/>
    <n v="190801"/>
    <m/>
    <n v="22"/>
    <n v="190801"/>
    <n v="0"/>
  </r>
  <r>
    <x v="196"/>
    <x v="4"/>
    <m/>
    <x v="22"/>
    <x v="3"/>
    <x v="29"/>
    <n v="190801"/>
    <n v="190801"/>
    <m/>
    <n v="22"/>
    <n v="190801"/>
    <n v="0"/>
  </r>
  <r>
    <x v="196"/>
    <x v="4"/>
    <m/>
    <x v="4"/>
    <x v="3"/>
    <x v="27"/>
    <n v="190801"/>
    <n v="190801"/>
    <m/>
    <n v="22"/>
    <n v="190801"/>
    <n v="0"/>
  </r>
  <r>
    <x v="196"/>
    <x v="4"/>
    <m/>
    <x v="22"/>
    <x v="2"/>
    <x v="32"/>
    <n v="190801"/>
    <n v="190801"/>
    <m/>
    <n v="52"/>
    <n v="190801"/>
    <n v="1383200"/>
  </r>
  <r>
    <x v="196"/>
    <x v="4"/>
    <m/>
    <x v="5"/>
    <x v="2"/>
    <x v="33"/>
    <n v="190801"/>
    <n v="190801"/>
    <m/>
    <n v="57"/>
    <n v="190801"/>
    <n v="1311000"/>
  </r>
  <r>
    <x v="196"/>
    <x v="4"/>
    <m/>
    <x v="1"/>
    <x v="2"/>
    <x v="18"/>
    <n v="190801"/>
    <n v="190801"/>
    <m/>
    <n v="19"/>
    <n v="190801"/>
    <n v="380000"/>
  </r>
  <r>
    <x v="196"/>
    <x v="4"/>
    <m/>
    <x v="1"/>
    <x v="2"/>
    <x v="21"/>
    <n v="190801"/>
    <n v="190801"/>
    <m/>
    <n v="5"/>
    <n v="190801"/>
    <n v="175000"/>
  </r>
  <r>
    <x v="196"/>
    <x v="4"/>
    <m/>
    <x v="4"/>
    <x v="2"/>
    <x v="26"/>
    <n v="190801"/>
    <n v="190801"/>
    <m/>
    <n v="9"/>
    <n v="190801"/>
    <n v="36000"/>
  </r>
  <r>
    <x v="196"/>
    <x v="4"/>
    <m/>
    <x v="4"/>
    <x v="2"/>
    <x v="27"/>
    <n v="190801"/>
    <n v="190801"/>
    <m/>
    <n v="10"/>
    <n v="190801"/>
    <n v="200000"/>
  </r>
  <r>
    <x v="196"/>
    <x v="4"/>
    <m/>
    <x v="0"/>
    <x v="2"/>
    <x v="15"/>
    <n v="190801"/>
    <n v="190801"/>
    <m/>
    <n v="99"/>
    <n v="190801"/>
    <n v="1980000"/>
  </r>
  <r>
    <x v="196"/>
    <x v="4"/>
    <m/>
    <x v="0"/>
    <x v="2"/>
    <x v="16"/>
    <n v="190801"/>
    <n v="190801"/>
    <m/>
    <n v="52"/>
    <n v="190801"/>
    <n v="1820000"/>
  </r>
  <r>
    <x v="196"/>
    <x v="4"/>
    <m/>
    <x v="0"/>
    <x v="2"/>
    <x v="17"/>
    <n v="190801"/>
    <n v="190801"/>
    <m/>
    <n v="72"/>
    <n v="190801"/>
    <n v="2376000"/>
  </r>
  <r>
    <x v="196"/>
    <x v="4"/>
    <m/>
    <x v="0"/>
    <x v="2"/>
    <x v="19"/>
    <n v="190801"/>
    <n v="190801"/>
    <m/>
    <n v="105"/>
    <n v="190801"/>
    <n v="315000"/>
  </r>
  <r>
    <x v="196"/>
    <x v="4"/>
    <m/>
    <x v="5"/>
    <x v="2"/>
    <x v="28"/>
    <n v="190801"/>
    <n v="190801"/>
    <m/>
    <n v="15"/>
    <n v="190801"/>
    <n v="420000"/>
  </r>
  <r>
    <x v="196"/>
    <x v="4"/>
    <m/>
    <x v="22"/>
    <x v="2"/>
    <x v="29"/>
    <n v="190801"/>
    <n v="190801"/>
    <m/>
    <n v="7"/>
    <n v="190801"/>
    <n v="266000"/>
  </r>
  <r>
    <x v="196"/>
    <x v="4"/>
    <m/>
    <x v="21"/>
    <x v="2"/>
    <x v="15"/>
    <n v="190801"/>
    <n v="190801"/>
    <m/>
    <n v="1"/>
    <n v="190801"/>
    <n v="17500"/>
  </r>
  <r>
    <x v="196"/>
    <x v="4"/>
    <m/>
    <x v="21"/>
    <x v="2"/>
    <x v="18"/>
    <n v="190801"/>
    <n v="190801"/>
    <m/>
    <n v="1"/>
    <n v="190801"/>
    <n v="17500"/>
  </r>
  <r>
    <x v="196"/>
    <x v="4"/>
    <m/>
    <x v="0"/>
    <x v="4"/>
    <x v="15"/>
    <n v="190801"/>
    <n v="190801"/>
    <m/>
    <n v="17"/>
    <n v="190801"/>
    <n v="535500"/>
  </r>
  <r>
    <x v="196"/>
    <x v="4"/>
    <m/>
    <x v="0"/>
    <x v="4"/>
    <x v="16"/>
    <n v="190801"/>
    <n v="190801"/>
    <m/>
    <n v="5"/>
    <n v="190801"/>
    <n v="220000"/>
  </r>
  <r>
    <x v="197"/>
    <x v="1"/>
    <m/>
    <x v="0"/>
    <x v="7"/>
    <x v="15"/>
    <n v="190801"/>
    <n v="190801"/>
    <m/>
    <n v="15"/>
    <n v="190801"/>
    <n v="300000"/>
  </r>
  <r>
    <x v="197"/>
    <x v="1"/>
    <m/>
    <x v="5"/>
    <x v="2"/>
    <x v="33"/>
    <n v="190801"/>
    <n v="190801"/>
    <m/>
    <n v="2"/>
    <n v="190801"/>
    <n v="46000"/>
  </r>
  <r>
    <x v="197"/>
    <x v="1"/>
    <m/>
    <x v="22"/>
    <x v="2"/>
    <x v="32"/>
    <n v="190801"/>
    <n v="190801"/>
    <m/>
    <n v="1"/>
    <n v="190801"/>
    <n v="26600"/>
  </r>
  <r>
    <x v="197"/>
    <x v="1"/>
    <m/>
    <x v="1"/>
    <x v="2"/>
    <x v="18"/>
    <n v="190801"/>
    <n v="190801"/>
    <m/>
    <n v="15"/>
    <n v="190801"/>
    <n v="300000"/>
  </r>
  <r>
    <x v="197"/>
    <x v="1"/>
    <m/>
    <x v="1"/>
    <x v="2"/>
    <x v="21"/>
    <n v="190801"/>
    <n v="190801"/>
    <m/>
    <n v="3"/>
    <n v="190801"/>
    <n v="105000"/>
  </r>
  <r>
    <x v="197"/>
    <x v="1"/>
    <m/>
    <x v="4"/>
    <x v="2"/>
    <x v="26"/>
    <n v="190801"/>
    <n v="190801"/>
    <m/>
    <n v="2"/>
    <n v="190801"/>
    <n v="8000"/>
  </r>
  <r>
    <x v="197"/>
    <x v="1"/>
    <m/>
    <x v="4"/>
    <x v="2"/>
    <x v="27"/>
    <n v="190801"/>
    <n v="190801"/>
    <m/>
    <n v="7"/>
    <n v="190801"/>
    <n v="140000"/>
  </r>
  <r>
    <x v="197"/>
    <x v="1"/>
    <m/>
    <x v="0"/>
    <x v="2"/>
    <x v="15"/>
    <n v="190801"/>
    <n v="190801"/>
    <m/>
    <n v="68"/>
    <n v="190801"/>
    <n v="1360000"/>
  </r>
  <r>
    <x v="197"/>
    <x v="1"/>
    <m/>
    <x v="0"/>
    <x v="2"/>
    <x v="16"/>
    <n v="190801"/>
    <n v="190801"/>
    <m/>
    <n v="57"/>
    <n v="190801"/>
    <n v="1995000"/>
  </r>
  <r>
    <x v="197"/>
    <x v="1"/>
    <m/>
    <x v="0"/>
    <x v="2"/>
    <x v="17"/>
    <n v="190801"/>
    <n v="190801"/>
    <m/>
    <n v="52"/>
    <n v="190801"/>
    <n v="1716000"/>
  </r>
  <r>
    <x v="197"/>
    <x v="1"/>
    <m/>
    <x v="0"/>
    <x v="2"/>
    <x v="19"/>
    <n v="190801"/>
    <n v="190801"/>
    <m/>
    <n v="72"/>
    <n v="190801"/>
    <n v="216000"/>
  </r>
  <r>
    <x v="197"/>
    <x v="1"/>
    <m/>
    <x v="5"/>
    <x v="2"/>
    <x v="28"/>
    <n v="190801"/>
    <n v="190801"/>
    <m/>
    <n v="20"/>
    <n v="190801"/>
    <n v="560000"/>
  </r>
  <r>
    <x v="197"/>
    <x v="1"/>
    <m/>
    <x v="22"/>
    <x v="2"/>
    <x v="29"/>
    <n v="190801"/>
    <n v="190801"/>
    <m/>
    <n v="11"/>
    <n v="190801"/>
    <n v="418000"/>
  </r>
  <r>
    <x v="197"/>
    <x v="1"/>
    <m/>
    <x v="21"/>
    <x v="2"/>
    <x v="15"/>
    <n v="190801"/>
    <n v="190801"/>
    <m/>
    <n v="1"/>
    <n v="190801"/>
    <n v="17500"/>
  </r>
  <r>
    <x v="197"/>
    <x v="1"/>
    <m/>
    <x v="21"/>
    <x v="2"/>
    <x v="18"/>
    <n v="190801"/>
    <n v="190801"/>
    <m/>
    <n v="1"/>
    <n v="190801"/>
    <n v="17500"/>
  </r>
  <r>
    <x v="197"/>
    <x v="1"/>
    <m/>
    <x v="19"/>
    <x v="2"/>
    <x v="22"/>
    <n v="190801"/>
    <n v="190801"/>
    <m/>
    <n v="1"/>
    <n v="190801"/>
    <n v="13000"/>
  </r>
  <r>
    <x v="198"/>
    <x v="0"/>
    <m/>
    <x v="0"/>
    <x v="1"/>
    <x v="15"/>
    <n v="190801"/>
    <n v="190801"/>
    <m/>
    <n v="2"/>
    <n v="190801"/>
    <n v="40000"/>
  </r>
  <r>
    <x v="198"/>
    <x v="0"/>
    <m/>
    <x v="0"/>
    <x v="1"/>
    <x v="16"/>
    <n v="190801"/>
    <n v="190801"/>
    <m/>
    <n v="26"/>
    <n v="190801"/>
    <n v="910000"/>
  </r>
  <r>
    <x v="198"/>
    <x v="0"/>
    <m/>
    <x v="0"/>
    <x v="7"/>
    <x v="15"/>
    <n v="190801"/>
    <n v="190801"/>
    <m/>
    <n v="11"/>
    <n v="190801"/>
    <n v="220000"/>
  </r>
  <r>
    <x v="198"/>
    <x v="0"/>
    <m/>
    <x v="0"/>
    <x v="5"/>
    <x v="15"/>
    <n v="190801"/>
    <n v="190801"/>
    <m/>
    <n v="200"/>
    <n v="190801"/>
    <n v="2045400"/>
  </r>
  <r>
    <x v="198"/>
    <x v="0"/>
    <m/>
    <x v="19"/>
    <x v="5"/>
    <x v="22"/>
    <n v="190801"/>
    <n v="190801"/>
    <m/>
    <n v="3"/>
    <n v="190801"/>
    <n v="19635"/>
  </r>
  <r>
    <x v="198"/>
    <x v="0"/>
    <m/>
    <x v="22"/>
    <x v="2"/>
    <x v="32"/>
    <n v="190801"/>
    <n v="190801"/>
    <m/>
    <n v="1"/>
    <n v="190801"/>
    <n v="26600"/>
  </r>
  <r>
    <x v="198"/>
    <x v="0"/>
    <m/>
    <x v="1"/>
    <x v="2"/>
    <x v="18"/>
    <n v="190801"/>
    <n v="190801"/>
    <m/>
    <n v="12"/>
    <n v="190801"/>
    <n v="240000"/>
  </r>
  <r>
    <x v="198"/>
    <x v="0"/>
    <m/>
    <x v="1"/>
    <x v="2"/>
    <x v="21"/>
    <n v="190801"/>
    <n v="190801"/>
    <m/>
    <n v="3"/>
    <n v="190801"/>
    <n v="105000"/>
  </r>
  <r>
    <x v="198"/>
    <x v="0"/>
    <m/>
    <x v="4"/>
    <x v="2"/>
    <x v="26"/>
    <n v="190801"/>
    <n v="190801"/>
    <m/>
    <n v="4"/>
    <n v="190801"/>
    <n v="16000"/>
  </r>
  <r>
    <x v="198"/>
    <x v="0"/>
    <m/>
    <x v="4"/>
    <x v="2"/>
    <x v="27"/>
    <n v="190801"/>
    <n v="190801"/>
    <m/>
    <n v="6"/>
    <n v="190801"/>
    <n v="120000"/>
  </r>
  <r>
    <x v="198"/>
    <x v="0"/>
    <m/>
    <x v="0"/>
    <x v="2"/>
    <x v="15"/>
    <n v="190801"/>
    <n v="190801"/>
    <m/>
    <n v="83"/>
    <n v="190801"/>
    <n v="1660000"/>
  </r>
  <r>
    <x v="198"/>
    <x v="0"/>
    <m/>
    <x v="0"/>
    <x v="2"/>
    <x v="16"/>
    <n v="190801"/>
    <n v="190801"/>
    <m/>
    <n v="33"/>
    <n v="190801"/>
    <n v="1155000"/>
  </r>
  <r>
    <x v="198"/>
    <x v="0"/>
    <m/>
    <x v="0"/>
    <x v="2"/>
    <x v="17"/>
    <n v="190801"/>
    <n v="190801"/>
    <m/>
    <n v="41"/>
    <n v="190801"/>
    <n v="1353000"/>
  </r>
  <r>
    <x v="198"/>
    <x v="0"/>
    <m/>
    <x v="0"/>
    <x v="2"/>
    <x v="19"/>
    <n v="190801"/>
    <n v="190801"/>
    <m/>
    <n v="66"/>
    <n v="190801"/>
    <n v="198000"/>
  </r>
  <r>
    <x v="198"/>
    <x v="0"/>
    <m/>
    <x v="5"/>
    <x v="2"/>
    <x v="28"/>
    <n v="190801"/>
    <n v="190801"/>
    <m/>
    <n v="15"/>
    <n v="190801"/>
    <n v="420000"/>
  </r>
  <r>
    <x v="198"/>
    <x v="0"/>
    <m/>
    <x v="22"/>
    <x v="2"/>
    <x v="29"/>
    <n v="190801"/>
    <n v="190801"/>
    <m/>
    <n v="6"/>
    <n v="190801"/>
    <n v="228000"/>
  </r>
  <r>
    <x v="198"/>
    <x v="0"/>
    <m/>
    <x v="21"/>
    <x v="2"/>
    <x v="15"/>
    <n v="190801"/>
    <n v="190801"/>
    <m/>
    <n v="1"/>
    <n v="190801"/>
    <n v="17500"/>
  </r>
  <r>
    <x v="198"/>
    <x v="0"/>
    <m/>
    <x v="21"/>
    <x v="2"/>
    <x v="18"/>
    <n v="190801"/>
    <n v="190801"/>
    <m/>
    <n v="1"/>
    <n v="190801"/>
    <n v="17500"/>
  </r>
  <r>
    <x v="198"/>
    <x v="0"/>
    <m/>
    <x v="0"/>
    <x v="4"/>
    <x v="15"/>
    <n v="190801"/>
    <n v="190801"/>
    <m/>
    <n v="50"/>
    <n v="190801"/>
    <n v="1575000"/>
  </r>
  <r>
    <x v="198"/>
    <x v="0"/>
    <m/>
    <x v="0"/>
    <x v="4"/>
    <x v="16"/>
    <n v="190801"/>
    <n v="190801"/>
    <m/>
    <n v="7"/>
    <n v="190801"/>
    <n v="308000"/>
  </r>
  <r>
    <x v="198"/>
    <x v="0"/>
    <m/>
    <x v="5"/>
    <x v="4"/>
    <x v="28"/>
    <n v="190801"/>
    <n v="190801"/>
    <m/>
    <n v="2"/>
    <n v="190801"/>
    <n v="76000"/>
  </r>
  <r>
    <x v="198"/>
    <x v="0"/>
    <m/>
    <x v="1"/>
    <x v="4"/>
    <x v="18"/>
    <n v="190801"/>
    <n v="190801"/>
    <m/>
    <n v="1"/>
    <n v="190801"/>
    <n v="31500"/>
  </r>
  <r>
    <x v="199"/>
    <x v="2"/>
    <m/>
    <x v="0"/>
    <x v="1"/>
    <x v="15"/>
    <n v="190801"/>
    <n v="190801"/>
    <m/>
    <n v="1"/>
    <n v="190801"/>
    <n v="20000"/>
  </r>
  <r>
    <x v="199"/>
    <x v="2"/>
    <m/>
    <x v="0"/>
    <x v="1"/>
    <x v="16"/>
    <n v="190801"/>
    <n v="190801"/>
    <m/>
    <n v="4"/>
    <n v="190801"/>
    <n v="140000"/>
  </r>
  <r>
    <x v="199"/>
    <x v="2"/>
    <m/>
    <x v="0"/>
    <x v="7"/>
    <x v="15"/>
    <n v="190801"/>
    <n v="190801"/>
    <m/>
    <n v="2"/>
    <n v="190801"/>
    <n v="40000"/>
  </r>
  <r>
    <x v="199"/>
    <x v="2"/>
    <m/>
    <x v="0"/>
    <x v="5"/>
    <x v="15"/>
    <n v="190801"/>
    <n v="190801"/>
    <m/>
    <n v="3"/>
    <n v="190801"/>
    <n v="30681"/>
  </r>
  <r>
    <x v="199"/>
    <x v="2"/>
    <m/>
    <x v="1"/>
    <x v="5"/>
    <x v="18"/>
    <n v="190801"/>
    <n v="190801"/>
    <m/>
    <n v="1"/>
    <n v="190801"/>
    <n v="10227"/>
  </r>
  <r>
    <x v="199"/>
    <x v="2"/>
    <m/>
    <x v="4"/>
    <x v="5"/>
    <x v="26"/>
    <n v="190801"/>
    <n v="190801"/>
    <m/>
    <n v="1"/>
    <n v="190801"/>
    <n v="1636"/>
  </r>
  <r>
    <x v="199"/>
    <x v="2"/>
    <m/>
    <x v="4"/>
    <x v="5"/>
    <x v="27"/>
    <n v="190801"/>
    <n v="190801"/>
    <m/>
    <n v="1"/>
    <n v="190801"/>
    <n v="16364"/>
  </r>
  <r>
    <x v="199"/>
    <x v="2"/>
    <m/>
    <x v="5"/>
    <x v="5"/>
    <x v="28"/>
    <n v="190801"/>
    <n v="190801"/>
    <m/>
    <n v="1"/>
    <n v="190801"/>
    <n v="13500"/>
  </r>
  <r>
    <x v="199"/>
    <x v="2"/>
    <m/>
    <x v="22"/>
    <x v="5"/>
    <x v="29"/>
    <n v="190801"/>
    <n v="190801"/>
    <m/>
    <n v="1"/>
    <n v="190801"/>
    <n v="15545"/>
  </r>
  <r>
    <x v="199"/>
    <x v="2"/>
    <m/>
    <x v="19"/>
    <x v="5"/>
    <x v="22"/>
    <n v="190801"/>
    <n v="190801"/>
    <m/>
    <n v="1"/>
    <n v="190801"/>
    <n v="6545"/>
  </r>
  <r>
    <x v="199"/>
    <x v="2"/>
    <m/>
    <x v="1"/>
    <x v="2"/>
    <x v="18"/>
    <n v="190801"/>
    <n v="190801"/>
    <m/>
    <n v="11"/>
    <n v="190801"/>
    <n v="220000"/>
  </r>
  <r>
    <x v="199"/>
    <x v="2"/>
    <m/>
    <x v="1"/>
    <x v="2"/>
    <x v="21"/>
    <n v="190801"/>
    <n v="190801"/>
    <m/>
    <n v="2"/>
    <n v="190801"/>
    <n v="70000"/>
  </r>
  <r>
    <x v="199"/>
    <x v="2"/>
    <m/>
    <x v="4"/>
    <x v="2"/>
    <x v="26"/>
    <n v="190801"/>
    <n v="190801"/>
    <m/>
    <n v="7"/>
    <n v="190801"/>
    <n v="28000"/>
  </r>
  <r>
    <x v="199"/>
    <x v="2"/>
    <m/>
    <x v="4"/>
    <x v="2"/>
    <x v="27"/>
    <n v="190801"/>
    <n v="190801"/>
    <m/>
    <n v="9"/>
    <n v="190801"/>
    <n v="180000"/>
  </r>
  <r>
    <x v="199"/>
    <x v="2"/>
    <m/>
    <x v="0"/>
    <x v="2"/>
    <x v="15"/>
    <n v="190801"/>
    <n v="190801"/>
    <m/>
    <n v="58"/>
    <n v="190801"/>
    <n v="1160000"/>
  </r>
  <r>
    <x v="199"/>
    <x v="2"/>
    <m/>
    <x v="0"/>
    <x v="2"/>
    <x v="16"/>
    <n v="190801"/>
    <n v="190801"/>
    <m/>
    <n v="51"/>
    <n v="190801"/>
    <n v="1785000"/>
  </r>
  <r>
    <x v="199"/>
    <x v="2"/>
    <m/>
    <x v="0"/>
    <x v="2"/>
    <x v="17"/>
    <n v="190801"/>
    <n v="190801"/>
    <m/>
    <n v="39"/>
    <n v="190801"/>
    <n v="1287000"/>
  </r>
  <r>
    <x v="199"/>
    <x v="2"/>
    <m/>
    <x v="0"/>
    <x v="2"/>
    <x v="19"/>
    <n v="190801"/>
    <n v="190801"/>
    <m/>
    <n v="54"/>
    <n v="190801"/>
    <n v="162000"/>
  </r>
  <r>
    <x v="199"/>
    <x v="2"/>
    <m/>
    <x v="5"/>
    <x v="2"/>
    <x v="28"/>
    <n v="190801"/>
    <n v="190801"/>
    <m/>
    <n v="19"/>
    <n v="190801"/>
    <n v="532000"/>
  </r>
  <r>
    <x v="199"/>
    <x v="2"/>
    <m/>
    <x v="22"/>
    <x v="2"/>
    <x v="29"/>
    <n v="190801"/>
    <n v="190801"/>
    <m/>
    <n v="8"/>
    <n v="190801"/>
    <n v="304000"/>
  </r>
  <r>
    <x v="199"/>
    <x v="2"/>
    <m/>
    <x v="21"/>
    <x v="2"/>
    <x v="15"/>
    <n v="190801"/>
    <n v="190801"/>
    <m/>
    <n v="3"/>
    <n v="190801"/>
    <n v="52500"/>
  </r>
  <r>
    <x v="199"/>
    <x v="2"/>
    <m/>
    <x v="21"/>
    <x v="2"/>
    <x v="18"/>
    <n v="190801"/>
    <n v="190801"/>
    <m/>
    <n v="3"/>
    <n v="190801"/>
    <n v="52500"/>
  </r>
  <r>
    <x v="199"/>
    <x v="2"/>
    <m/>
    <x v="0"/>
    <x v="4"/>
    <x v="15"/>
    <n v="190801"/>
    <n v="190801"/>
    <m/>
    <n v="34"/>
    <n v="190801"/>
    <n v="1071000"/>
  </r>
  <r>
    <x v="199"/>
    <x v="2"/>
    <m/>
    <x v="0"/>
    <x v="4"/>
    <x v="16"/>
    <n v="190801"/>
    <n v="190801"/>
    <m/>
    <n v="3"/>
    <n v="190801"/>
    <n v="132000"/>
  </r>
  <r>
    <x v="200"/>
    <x v="5"/>
    <m/>
    <x v="0"/>
    <x v="7"/>
    <x v="15"/>
    <n v="190801"/>
    <n v="190801"/>
    <m/>
    <n v="1"/>
    <n v="190801"/>
    <n v="20000"/>
  </r>
  <r>
    <x v="200"/>
    <x v="5"/>
    <m/>
    <x v="1"/>
    <x v="2"/>
    <x v="18"/>
    <n v="190801"/>
    <n v="190801"/>
    <m/>
    <n v="5"/>
    <n v="190801"/>
    <n v="100000"/>
  </r>
  <r>
    <x v="200"/>
    <x v="5"/>
    <m/>
    <x v="1"/>
    <x v="2"/>
    <x v="21"/>
    <n v="190801"/>
    <n v="190801"/>
    <m/>
    <n v="4"/>
    <n v="190801"/>
    <n v="140000"/>
  </r>
  <r>
    <x v="200"/>
    <x v="5"/>
    <m/>
    <x v="4"/>
    <x v="2"/>
    <x v="27"/>
    <n v="190801"/>
    <n v="190801"/>
    <m/>
    <n v="1"/>
    <n v="190801"/>
    <n v="20000"/>
  </r>
  <r>
    <x v="200"/>
    <x v="5"/>
    <m/>
    <x v="0"/>
    <x v="2"/>
    <x v="15"/>
    <n v="190801"/>
    <n v="190801"/>
    <m/>
    <n v="43"/>
    <n v="190801"/>
    <n v="860000"/>
  </r>
  <r>
    <x v="200"/>
    <x v="5"/>
    <m/>
    <x v="0"/>
    <x v="2"/>
    <x v="16"/>
    <n v="190801"/>
    <n v="190801"/>
    <m/>
    <n v="27"/>
    <n v="190801"/>
    <n v="945000"/>
  </r>
  <r>
    <x v="200"/>
    <x v="5"/>
    <m/>
    <x v="0"/>
    <x v="2"/>
    <x v="17"/>
    <n v="190801"/>
    <n v="190801"/>
    <m/>
    <n v="42"/>
    <n v="190801"/>
    <n v="1386000"/>
  </r>
  <r>
    <x v="200"/>
    <x v="5"/>
    <m/>
    <x v="0"/>
    <x v="2"/>
    <x v="19"/>
    <n v="190801"/>
    <n v="190801"/>
    <m/>
    <n v="39"/>
    <n v="190801"/>
    <n v="117000"/>
  </r>
  <r>
    <x v="200"/>
    <x v="5"/>
    <m/>
    <x v="5"/>
    <x v="2"/>
    <x v="28"/>
    <n v="190801"/>
    <n v="190801"/>
    <m/>
    <n v="4"/>
    <n v="190801"/>
    <n v="112000"/>
  </r>
  <r>
    <x v="200"/>
    <x v="5"/>
    <m/>
    <x v="22"/>
    <x v="2"/>
    <x v="29"/>
    <n v="190801"/>
    <n v="190801"/>
    <m/>
    <n v="6"/>
    <n v="190801"/>
    <n v="228000"/>
  </r>
  <r>
    <x v="200"/>
    <x v="5"/>
    <m/>
    <x v="21"/>
    <x v="2"/>
    <x v="15"/>
    <n v="190801"/>
    <n v="190801"/>
    <m/>
    <n v="1"/>
    <n v="190801"/>
    <n v="17500"/>
  </r>
  <r>
    <x v="200"/>
    <x v="5"/>
    <m/>
    <x v="21"/>
    <x v="2"/>
    <x v="18"/>
    <n v="190801"/>
    <n v="190801"/>
    <m/>
    <n v="1"/>
    <n v="190801"/>
    <n v="17500"/>
  </r>
  <r>
    <x v="201"/>
    <x v="6"/>
    <m/>
    <x v="0"/>
    <x v="7"/>
    <x v="15"/>
    <n v="190801"/>
    <n v="190801"/>
    <m/>
    <n v="2"/>
    <n v="190801"/>
    <n v="40000"/>
  </r>
  <r>
    <x v="201"/>
    <x v="6"/>
    <m/>
    <x v="1"/>
    <x v="2"/>
    <x v="18"/>
    <n v="190801"/>
    <n v="190801"/>
    <m/>
    <n v="9"/>
    <n v="190801"/>
    <n v="180000"/>
  </r>
  <r>
    <x v="201"/>
    <x v="6"/>
    <m/>
    <x v="1"/>
    <x v="2"/>
    <x v="21"/>
    <n v="190801"/>
    <n v="190801"/>
    <m/>
    <n v="4"/>
    <n v="190801"/>
    <n v="140000"/>
  </r>
  <r>
    <x v="201"/>
    <x v="6"/>
    <m/>
    <x v="4"/>
    <x v="2"/>
    <x v="27"/>
    <n v="190801"/>
    <n v="190801"/>
    <m/>
    <n v="6"/>
    <n v="190801"/>
    <n v="120000"/>
  </r>
  <r>
    <x v="201"/>
    <x v="6"/>
    <m/>
    <x v="0"/>
    <x v="2"/>
    <x v="15"/>
    <n v="190801"/>
    <n v="190801"/>
    <m/>
    <n v="60"/>
    <n v="190801"/>
    <n v="1200000"/>
  </r>
  <r>
    <x v="201"/>
    <x v="6"/>
    <m/>
    <x v="0"/>
    <x v="2"/>
    <x v="16"/>
    <n v="190801"/>
    <n v="190801"/>
    <m/>
    <n v="257"/>
    <n v="190801"/>
    <n v="8995000"/>
  </r>
  <r>
    <x v="201"/>
    <x v="6"/>
    <m/>
    <x v="0"/>
    <x v="2"/>
    <x v="17"/>
    <n v="190801"/>
    <n v="190801"/>
    <m/>
    <n v="50"/>
    <n v="190801"/>
    <n v="1650000"/>
  </r>
  <r>
    <x v="201"/>
    <x v="6"/>
    <m/>
    <x v="0"/>
    <x v="2"/>
    <x v="19"/>
    <n v="190801"/>
    <n v="190801"/>
    <m/>
    <n v="52"/>
    <n v="190801"/>
    <n v="156000"/>
  </r>
  <r>
    <x v="201"/>
    <x v="6"/>
    <m/>
    <x v="5"/>
    <x v="2"/>
    <x v="28"/>
    <n v="190801"/>
    <n v="190801"/>
    <m/>
    <n v="18"/>
    <n v="190801"/>
    <n v="504000"/>
  </r>
  <r>
    <x v="201"/>
    <x v="6"/>
    <m/>
    <x v="22"/>
    <x v="2"/>
    <x v="29"/>
    <n v="190801"/>
    <n v="190801"/>
    <m/>
    <n v="6"/>
    <n v="190801"/>
    <n v="228000"/>
  </r>
  <r>
    <x v="201"/>
    <x v="6"/>
    <m/>
    <x v="21"/>
    <x v="2"/>
    <x v="15"/>
    <n v="190801"/>
    <n v="190801"/>
    <m/>
    <n v="2"/>
    <n v="190801"/>
    <n v="35000"/>
  </r>
  <r>
    <x v="201"/>
    <x v="6"/>
    <m/>
    <x v="21"/>
    <x v="2"/>
    <x v="18"/>
    <n v="190801"/>
    <n v="190801"/>
    <m/>
    <n v="2"/>
    <n v="190801"/>
    <n v="35000"/>
  </r>
  <r>
    <x v="201"/>
    <x v="6"/>
    <m/>
    <x v="0"/>
    <x v="6"/>
    <x v="15"/>
    <n v="190801"/>
    <n v="190801"/>
    <m/>
    <n v="692"/>
    <n v="190801"/>
    <n v="6275056"/>
  </r>
  <r>
    <x v="201"/>
    <x v="6"/>
    <m/>
    <x v="0"/>
    <x v="6"/>
    <x v="17"/>
    <n v="190801"/>
    <n v="190801"/>
    <m/>
    <n v="537"/>
    <n v="190801"/>
    <n v="8494266"/>
  </r>
  <r>
    <x v="201"/>
    <x v="6"/>
    <m/>
    <x v="4"/>
    <x v="6"/>
    <x v="26"/>
    <n v="190801"/>
    <n v="190801"/>
    <m/>
    <n v="1034"/>
    <n v="190801"/>
    <n v="1109482"/>
  </r>
  <r>
    <x v="201"/>
    <x v="6"/>
    <m/>
    <x v="5"/>
    <x v="6"/>
    <x v="28"/>
    <n v="190801"/>
    <n v="190801"/>
    <m/>
    <n v="1"/>
    <n v="190801"/>
    <n v="14600"/>
  </r>
  <r>
    <x v="201"/>
    <x v="6"/>
    <m/>
    <x v="22"/>
    <x v="6"/>
    <x v="29"/>
    <n v="190801"/>
    <n v="190801"/>
    <m/>
    <n v="36"/>
    <n v="190801"/>
    <n v="708876"/>
  </r>
  <r>
    <x v="201"/>
    <x v="6"/>
    <m/>
    <x v="24"/>
    <x v="6"/>
    <x v="31"/>
    <n v="190801"/>
    <n v="190801"/>
    <m/>
    <n v="152"/>
    <n v="190801"/>
    <n v="2261304"/>
  </r>
  <r>
    <x v="201"/>
    <x v="6"/>
    <m/>
    <x v="23"/>
    <x v="6"/>
    <x v="30"/>
    <n v="190801"/>
    <n v="190801"/>
    <m/>
    <n v="132"/>
    <n v="190801"/>
    <n v="919248"/>
  </r>
  <r>
    <x v="201"/>
    <x v="6"/>
    <m/>
    <x v="20"/>
    <x v="6"/>
    <x v="25"/>
    <n v="190801"/>
    <n v="190801"/>
    <m/>
    <n v="56"/>
    <n v="190801"/>
    <n v="544096"/>
  </r>
  <r>
    <x v="201"/>
    <x v="6"/>
    <m/>
    <x v="1"/>
    <x v="6"/>
    <x v="18"/>
    <n v="190801"/>
    <n v="190801"/>
    <m/>
    <n v="24"/>
    <n v="190801"/>
    <n v="220920"/>
  </r>
  <r>
    <x v="201"/>
    <x v="6"/>
    <m/>
    <x v="19"/>
    <x v="6"/>
    <x v="22"/>
    <n v="190801"/>
    <n v="190801"/>
    <m/>
    <n v="2"/>
    <n v="190801"/>
    <n v="13582"/>
  </r>
  <r>
    <x v="202"/>
    <x v="3"/>
    <m/>
    <x v="0"/>
    <x v="1"/>
    <x v="15"/>
    <n v="190801"/>
    <n v="190801"/>
    <m/>
    <n v="3"/>
    <n v="190801"/>
    <n v="60000"/>
  </r>
  <r>
    <x v="202"/>
    <x v="3"/>
    <m/>
    <x v="0"/>
    <x v="1"/>
    <x v="16"/>
    <n v="190801"/>
    <n v="190801"/>
    <m/>
    <n v="14"/>
    <n v="190801"/>
    <n v="490000"/>
  </r>
  <r>
    <x v="202"/>
    <x v="3"/>
    <m/>
    <x v="0"/>
    <x v="7"/>
    <x v="15"/>
    <n v="190801"/>
    <n v="190801"/>
    <m/>
    <n v="3"/>
    <n v="190801"/>
    <n v="60000"/>
  </r>
  <r>
    <x v="202"/>
    <x v="3"/>
    <m/>
    <x v="0"/>
    <x v="3"/>
    <x v="15"/>
    <n v="190801"/>
    <n v="190801"/>
    <m/>
    <n v="28"/>
    <n v="190801"/>
    <n v="0"/>
  </r>
  <r>
    <x v="202"/>
    <x v="3"/>
    <m/>
    <x v="1"/>
    <x v="2"/>
    <x v="18"/>
    <n v="190801"/>
    <n v="190801"/>
    <m/>
    <n v="8"/>
    <n v="190801"/>
    <n v="160000"/>
  </r>
  <r>
    <x v="202"/>
    <x v="3"/>
    <m/>
    <x v="1"/>
    <x v="2"/>
    <x v="21"/>
    <n v="190801"/>
    <n v="190801"/>
    <m/>
    <n v="2"/>
    <n v="190801"/>
    <n v="70000"/>
  </r>
  <r>
    <x v="202"/>
    <x v="3"/>
    <m/>
    <x v="4"/>
    <x v="2"/>
    <x v="26"/>
    <n v="190801"/>
    <n v="190801"/>
    <m/>
    <n v="2"/>
    <n v="190801"/>
    <n v="8000"/>
  </r>
  <r>
    <x v="202"/>
    <x v="3"/>
    <m/>
    <x v="4"/>
    <x v="2"/>
    <x v="27"/>
    <n v="190801"/>
    <n v="190801"/>
    <m/>
    <n v="6"/>
    <n v="190801"/>
    <n v="120000"/>
  </r>
  <r>
    <x v="202"/>
    <x v="3"/>
    <m/>
    <x v="0"/>
    <x v="2"/>
    <x v="15"/>
    <n v="190801"/>
    <n v="190801"/>
    <m/>
    <n v="60"/>
    <n v="190801"/>
    <n v="1200000"/>
  </r>
  <r>
    <x v="202"/>
    <x v="3"/>
    <m/>
    <x v="0"/>
    <x v="2"/>
    <x v="16"/>
    <n v="190801"/>
    <n v="190801"/>
    <m/>
    <n v="44"/>
    <n v="190801"/>
    <n v="1540000"/>
  </r>
  <r>
    <x v="202"/>
    <x v="3"/>
    <m/>
    <x v="0"/>
    <x v="2"/>
    <x v="17"/>
    <n v="190801"/>
    <n v="190801"/>
    <m/>
    <n v="69"/>
    <n v="190801"/>
    <n v="2277000"/>
  </r>
  <r>
    <x v="202"/>
    <x v="3"/>
    <m/>
    <x v="0"/>
    <x v="2"/>
    <x v="19"/>
    <n v="190801"/>
    <n v="190801"/>
    <m/>
    <n v="61"/>
    <n v="190801"/>
    <n v="183000"/>
  </r>
  <r>
    <x v="202"/>
    <x v="3"/>
    <m/>
    <x v="5"/>
    <x v="2"/>
    <x v="28"/>
    <n v="190801"/>
    <n v="190801"/>
    <m/>
    <n v="17"/>
    <n v="190801"/>
    <n v="476000"/>
  </r>
  <r>
    <x v="202"/>
    <x v="3"/>
    <m/>
    <x v="22"/>
    <x v="2"/>
    <x v="29"/>
    <n v="190801"/>
    <n v="190801"/>
    <m/>
    <n v="12"/>
    <n v="190801"/>
    <n v="456000"/>
  </r>
  <r>
    <x v="202"/>
    <x v="3"/>
    <m/>
    <x v="21"/>
    <x v="2"/>
    <x v="15"/>
    <n v="190801"/>
    <n v="190801"/>
    <m/>
    <n v="1"/>
    <n v="190801"/>
    <n v="17500"/>
  </r>
  <r>
    <x v="202"/>
    <x v="3"/>
    <m/>
    <x v="21"/>
    <x v="2"/>
    <x v="18"/>
    <n v="190801"/>
    <n v="190801"/>
    <m/>
    <n v="1"/>
    <n v="190801"/>
    <n v="17500"/>
  </r>
  <r>
    <x v="202"/>
    <x v="3"/>
    <m/>
    <x v="0"/>
    <x v="4"/>
    <x v="15"/>
    <n v="190801"/>
    <n v="190801"/>
    <m/>
    <n v="79"/>
    <n v="190801"/>
    <n v="2488500"/>
  </r>
  <r>
    <x v="202"/>
    <x v="3"/>
    <m/>
    <x v="0"/>
    <x v="4"/>
    <x v="16"/>
    <n v="190801"/>
    <n v="190801"/>
    <m/>
    <n v="30"/>
    <n v="190801"/>
    <n v="1320000"/>
  </r>
  <r>
    <x v="202"/>
    <x v="3"/>
    <m/>
    <x v="5"/>
    <x v="4"/>
    <x v="28"/>
    <n v="190801"/>
    <n v="190801"/>
    <m/>
    <n v="6"/>
    <n v="190801"/>
    <n v="228000"/>
  </r>
  <r>
    <x v="202"/>
    <x v="3"/>
    <m/>
    <x v="1"/>
    <x v="4"/>
    <x v="18"/>
    <n v="190801"/>
    <n v="190801"/>
    <m/>
    <n v="2"/>
    <n v="190801"/>
    <n v="63000"/>
  </r>
  <r>
    <x v="202"/>
    <x v="3"/>
    <m/>
    <x v="4"/>
    <x v="4"/>
    <x v="27"/>
    <n v="190801"/>
    <n v="190801"/>
    <m/>
    <n v="1"/>
    <n v="190801"/>
    <n v="36000"/>
  </r>
  <r>
    <x v="203"/>
    <x v="4"/>
    <m/>
    <x v="0"/>
    <x v="1"/>
    <x v="15"/>
    <n v="190801"/>
    <n v="190801"/>
    <m/>
    <n v="1"/>
    <n v="190801"/>
    <n v="20000"/>
  </r>
  <r>
    <x v="203"/>
    <x v="4"/>
    <m/>
    <x v="0"/>
    <x v="1"/>
    <x v="16"/>
    <n v="190801"/>
    <n v="190801"/>
    <m/>
    <n v="7"/>
    <n v="190801"/>
    <n v="245000"/>
  </r>
  <r>
    <x v="203"/>
    <x v="4"/>
    <m/>
    <x v="0"/>
    <x v="7"/>
    <x v="15"/>
    <n v="190801"/>
    <n v="190801"/>
    <m/>
    <n v="4"/>
    <n v="190801"/>
    <n v="80000"/>
  </r>
  <r>
    <x v="203"/>
    <x v="4"/>
    <m/>
    <x v="1"/>
    <x v="2"/>
    <x v="18"/>
    <n v="190801"/>
    <n v="190801"/>
    <m/>
    <n v="10"/>
    <n v="190801"/>
    <n v="200000"/>
  </r>
  <r>
    <x v="203"/>
    <x v="4"/>
    <m/>
    <x v="1"/>
    <x v="2"/>
    <x v="21"/>
    <n v="190801"/>
    <n v="190801"/>
    <m/>
    <n v="4"/>
    <n v="190801"/>
    <n v="140000"/>
  </r>
  <r>
    <x v="203"/>
    <x v="4"/>
    <m/>
    <x v="4"/>
    <x v="2"/>
    <x v="26"/>
    <n v="190801"/>
    <n v="190801"/>
    <m/>
    <n v="11"/>
    <n v="190801"/>
    <n v="44000"/>
  </r>
  <r>
    <x v="203"/>
    <x v="4"/>
    <m/>
    <x v="4"/>
    <x v="2"/>
    <x v="27"/>
    <n v="190801"/>
    <n v="190801"/>
    <m/>
    <n v="6"/>
    <n v="190801"/>
    <n v="120000"/>
  </r>
  <r>
    <x v="203"/>
    <x v="4"/>
    <m/>
    <x v="0"/>
    <x v="2"/>
    <x v="15"/>
    <n v="190801"/>
    <n v="190801"/>
    <m/>
    <n v="55"/>
    <n v="190801"/>
    <n v="1100000"/>
  </r>
  <r>
    <x v="203"/>
    <x v="4"/>
    <m/>
    <x v="0"/>
    <x v="2"/>
    <x v="16"/>
    <n v="190801"/>
    <n v="190801"/>
    <m/>
    <n v="50"/>
    <n v="190801"/>
    <n v="1750000"/>
  </r>
  <r>
    <x v="203"/>
    <x v="4"/>
    <m/>
    <x v="0"/>
    <x v="2"/>
    <x v="17"/>
    <n v="190801"/>
    <n v="190801"/>
    <m/>
    <n v="46"/>
    <n v="190801"/>
    <n v="1518000"/>
  </r>
  <r>
    <x v="203"/>
    <x v="4"/>
    <m/>
    <x v="0"/>
    <x v="2"/>
    <x v="19"/>
    <n v="190801"/>
    <n v="190801"/>
    <m/>
    <n v="67"/>
    <n v="190801"/>
    <n v="201000"/>
  </r>
  <r>
    <x v="203"/>
    <x v="4"/>
    <m/>
    <x v="5"/>
    <x v="2"/>
    <x v="28"/>
    <n v="190801"/>
    <n v="190801"/>
    <m/>
    <n v="17"/>
    <n v="190801"/>
    <n v="476000"/>
  </r>
  <r>
    <x v="203"/>
    <x v="4"/>
    <m/>
    <x v="22"/>
    <x v="2"/>
    <x v="29"/>
    <n v="190801"/>
    <n v="190801"/>
    <m/>
    <n v="7"/>
    <n v="190801"/>
    <n v="266000"/>
  </r>
  <r>
    <x v="203"/>
    <x v="4"/>
    <m/>
    <x v="21"/>
    <x v="2"/>
    <x v="15"/>
    <n v="190801"/>
    <n v="190801"/>
    <m/>
    <n v="2"/>
    <n v="190801"/>
    <n v="35000"/>
  </r>
  <r>
    <x v="203"/>
    <x v="4"/>
    <m/>
    <x v="21"/>
    <x v="2"/>
    <x v="18"/>
    <n v="190801"/>
    <n v="190801"/>
    <m/>
    <n v="2"/>
    <n v="190801"/>
    <n v="35000"/>
  </r>
  <r>
    <x v="203"/>
    <x v="4"/>
    <m/>
    <x v="19"/>
    <x v="2"/>
    <x v="22"/>
    <n v="190801"/>
    <n v="190801"/>
    <m/>
    <n v="1"/>
    <n v="190801"/>
    <n v="13000"/>
  </r>
  <r>
    <x v="203"/>
    <x v="4"/>
    <m/>
    <x v="0"/>
    <x v="4"/>
    <x v="15"/>
    <n v="190801"/>
    <n v="190801"/>
    <m/>
    <n v="22"/>
    <n v="190801"/>
    <n v="693000"/>
  </r>
  <r>
    <x v="203"/>
    <x v="4"/>
    <m/>
    <x v="0"/>
    <x v="4"/>
    <x v="16"/>
    <n v="190801"/>
    <n v="190801"/>
    <m/>
    <n v="7"/>
    <n v="190801"/>
    <n v="308000"/>
  </r>
  <r>
    <x v="203"/>
    <x v="4"/>
    <m/>
    <x v="5"/>
    <x v="4"/>
    <x v="28"/>
    <n v="190801"/>
    <n v="190801"/>
    <m/>
    <n v="1"/>
    <n v="190801"/>
    <n v="38000"/>
  </r>
  <r>
    <x v="203"/>
    <x v="4"/>
    <m/>
    <x v="1"/>
    <x v="4"/>
    <x v="18"/>
    <n v="190801"/>
    <n v="190801"/>
    <m/>
    <n v="1"/>
    <n v="190801"/>
    <n v="31500"/>
  </r>
  <r>
    <x v="203"/>
    <x v="4"/>
    <m/>
    <x v="4"/>
    <x v="4"/>
    <x v="27"/>
    <n v="190801"/>
    <n v="190801"/>
    <m/>
    <n v="1"/>
    <n v="190801"/>
    <n v="36000"/>
  </r>
  <r>
    <x v="204"/>
    <x v="1"/>
    <m/>
    <x v="0"/>
    <x v="1"/>
    <x v="16"/>
    <n v="190801"/>
    <n v="190801"/>
    <m/>
    <n v="3"/>
    <n v="190801"/>
    <n v="105000"/>
  </r>
  <r>
    <x v="204"/>
    <x v="1"/>
    <m/>
    <x v="0"/>
    <x v="7"/>
    <x v="15"/>
    <n v="190801"/>
    <n v="190801"/>
    <m/>
    <n v="3"/>
    <n v="190801"/>
    <n v="60000"/>
  </r>
  <r>
    <x v="204"/>
    <x v="1"/>
    <m/>
    <x v="0"/>
    <x v="5"/>
    <x v="15"/>
    <n v="190801"/>
    <n v="190801"/>
    <m/>
    <n v="200"/>
    <n v="190801"/>
    <n v="2045400"/>
  </r>
  <r>
    <x v="204"/>
    <x v="1"/>
    <m/>
    <x v="4"/>
    <x v="5"/>
    <x v="27"/>
    <n v="190801"/>
    <n v="190801"/>
    <m/>
    <n v="50"/>
    <n v="190801"/>
    <n v="818200"/>
  </r>
  <r>
    <x v="204"/>
    <x v="1"/>
    <m/>
    <x v="1"/>
    <x v="2"/>
    <x v="18"/>
    <n v="190801"/>
    <n v="190801"/>
    <m/>
    <n v="6"/>
    <n v="190801"/>
    <n v="120000"/>
  </r>
  <r>
    <x v="204"/>
    <x v="1"/>
    <m/>
    <x v="1"/>
    <x v="2"/>
    <x v="21"/>
    <n v="190801"/>
    <n v="190801"/>
    <m/>
    <n v="1"/>
    <n v="190801"/>
    <n v="35000"/>
  </r>
  <r>
    <x v="204"/>
    <x v="1"/>
    <m/>
    <x v="4"/>
    <x v="2"/>
    <x v="26"/>
    <n v="190801"/>
    <n v="190801"/>
    <m/>
    <n v="4"/>
    <n v="190801"/>
    <n v="16000"/>
  </r>
  <r>
    <x v="204"/>
    <x v="1"/>
    <m/>
    <x v="4"/>
    <x v="2"/>
    <x v="27"/>
    <n v="190801"/>
    <n v="190801"/>
    <m/>
    <n v="1"/>
    <n v="190801"/>
    <n v="20000"/>
  </r>
  <r>
    <x v="204"/>
    <x v="1"/>
    <m/>
    <x v="0"/>
    <x v="2"/>
    <x v="15"/>
    <n v="190801"/>
    <n v="190801"/>
    <m/>
    <n v="47"/>
    <n v="190801"/>
    <n v="940000"/>
  </r>
  <r>
    <x v="204"/>
    <x v="1"/>
    <m/>
    <x v="0"/>
    <x v="2"/>
    <x v="16"/>
    <n v="190801"/>
    <n v="190801"/>
    <m/>
    <n v="30"/>
    <n v="190801"/>
    <n v="1050000"/>
  </r>
  <r>
    <x v="204"/>
    <x v="1"/>
    <m/>
    <x v="0"/>
    <x v="2"/>
    <x v="17"/>
    <n v="190801"/>
    <n v="190801"/>
    <m/>
    <n v="43"/>
    <n v="190801"/>
    <n v="1419000"/>
  </r>
  <r>
    <x v="204"/>
    <x v="1"/>
    <m/>
    <x v="0"/>
    <x v="2"/>
    <x v="19"/>
    <n v="190801"/>
    <n v="190801"/>
    <m/>
    <n v="63"/>
    <n v="190801"/>
    <n v="189000"/>
  </r>
  <r>
    <x v="204"/>
    <x v="1"/>
    <m/>
    <x v="5"/>
    <x v="2"/>
    <x v="28"/>
    <n v="190801"/>
    <n v="190801"/>
    <m/>
    <n v="16"/>
    <n v="190801"/>
    <n v="448000"/>
  </r>
  <r>
    <x v="204"/>
    <x v="1"/>
    <m/>
    <x v="22"/>
    <x v="2"/>
    <x v="29"/>
    <n v="190801"/>
    <n v="190801"/>
    <m/>
    <n v="7"/>
    <n v="190801"/>
    <n v="266000"/>
  </r>
  <r>
    <x v="204"/>
    <x v="1"/>
    <m/>
    <x v="21"/>
    <x v="2"/>
    <x v="15"/>
    <n v="190801"/>
    <n v="190801"/>
    <m/>
    <n v="3"/>
    <n v="190801"/>
    <n v="52500"/>
  </r>
  <r>
    <x v="204"/>
    <x v="1"/>
    <m/>
    <x v="21"/>
    <x v="2"/>
    <x v="18"/>
    <n v="190801"/>
    <n v="190801"/>
    <m/>
    <n v="3"/>
    <n v="190801"/>
    <n v="52500"/>
  </r>
  <r>
    <x v="204"/>
    <x v="1"/>
    <m/>
    <x v="0"/>
    <x v="4"/>
    <x v="15"/>
    <n v="190801"/>
    <n v="190801"/>
    <m/>
    <n v="10"/>
    <n v="190801"/>
    <n v="315000"/>
  </r>
  <r>
    <x v="204"/>
    <x v="1"/>
    <m/>
    <x v="0"/>
    <x v="4"/>
    <x v="16"/>
    <n v="190801"/>
    <n v="190801"/>
    <m/>
    <n v="7"/>
    <n v="190801"/>
    <n v="308000"/>
  </r>
  <r>
    <x v="204"/>
    <x v="1"/>
    <m/>
    <x v="5"/>
    <x v="4"/>
    <x v="28"/>
    <n v="190801"/>
    <n v="190801"/>
    <m/>
    <n v="3"/>
    <n v="190801"/>
    <n v="114000"/>
  </r>
  <r>
    <x v="204"/>
    <x v="1"/>
    <m/>
    <x v="25"/>
    <x v="2"/>
    <x v="34"/>
    <n v="190801"/>
    <n v="190801"/>
    <m/>
    <n v="3"/>
    <n v="190801"/>
    <n v="297000"/>
  </r>
  <r>
    <x v="205"/>
    <x v="0"/>
    <m/>
    <x v="0"/>
    <x v="1"/>
    <x v="15"/>
    <n v="190801"/>
    <n v="190801"/>
    <m/>
    <n v="1"/>
    <n v="190801"/>
    <n v="20000"/>
  </r>
  <r>
    <x v="205"/>
    <x v="0"/>
    <m/>
    <x v="0"/>
    <x v="1"/>
    <x v="16"/>
    <n v="190801"/>
    <n v="190801"/>
    <m/>
    <n v="7"/>
    <n v="190801"/>
    <n v="245000"/>
  </r>
  <r>
    <x v="205"/>
    <x v="0"/>
    <m/>
    <x v="0"/>
    <x v="7"/>
    <x v="15"/>
    <n v="190801"/>
    <n v="190801"/>
    <m/>
    <n v="3"/>
    <n v="190801"/>
    <n v="60000"/>
  </r>
  <r>
    <x v="205"/>
    <x v="0"/>
    <m/>
    <x v="25"/>
    <x v="2"/>
    <x v="34"/>
    <n v="190801"/>
    <n v="190801"/>
    <m/>
    <n v="9"/>
    <n v="190801"/>
    <n v="891000"/>
  </r>
  <r>
    <x v="205"/>
    <x v="0"/>
    <m/>
    <x v="1"/>
    <x v="2"/>
    <x v="18"/>
    <n v="190801"/>
    <n v="190801"/>
    <m/>
    <n v="3"/>
    <n v="190801"/>
    <n v="60000"/>
  </r>
  <r>
    <x v="205"/>
    <x v="0"/>
    <m/>
    <x v="4"/>
    <x v="2"/>
    <x v="27"/>
    <n v="190801"/>
    <n v="190801"/>
    <m/>
    <n v="1"/>
    <n v="190801"/>
    <n v="20000"/>
  </r>
  <r>
    <x v="205"/>
    <x v="0"/>
    <m/>
    <x v="0"/>
    <x v="2"/>
    <x v="15"/>
    <n v="190801"/>
    <n v="190801"/>
    <m/>
    <n v="35"/>
    <n v="190801"/>
    <n v="700000"/>
  </r>
  <r>
    <x v="205"/>
    <x v="0"/>
    <m/>
    <x v="0"/>
    <x v="2"/>
    <x v="16"/>
    <n v="190801"/>
    <n v="190801"/>
    <m/>
    <n v="41"/>
    <n v="190801"/>
    <n v="1435000"/>
  </r>
  <r>
    <x v="205"/>
    <x v="0"/>
    <m/>
    <x v="0"/>
    <x v="2"/>
    <x v="17"/>
    <n v="190801"/>
    <n v="190801"/>
    <m/>
    <n v="42"/>
    <n v="190801"/>
    <n v="1386000"/>
  </r>
  <r>
    <x v="205"/>
    <x v="0"/>
    <m/>
    <x v="0"/>
    <x v="2"/>
    <x v="19"/>
    <n v="190801"/>
    <n v="190801"/>
    <m/>
    <n v="46"/>
    <n v="190801"/>
    <n v="138000"/>
  </r>
  <r>
    <x v="205"/>
    <x v="0"/>
    <m/>
    <x v="5"/>
    <x v="2"/>
    <x v="28"/>
    <n v="190801"/>
    <n v="190801"/>
    <m/>
    <n v="11"/>
    <n v="190801"/>
    <n v="308000"/>
  </r>
  <r>
    <x v="205"/>
    <x v="0"/>
    <m/>
    <x v="22"/>
    <x v="2"/>
    <x v="29"/>
    <n v="190801"/>
    <n v="190801"/>
    <m/>
    <n v="4"/>
    <n v="190801"/>
    <n v="152000"/>
  </r>
  <r>
    <x v="205"/>
    <x v="0"/>
    <m/>
    <x v="21"/>
    <x v="2"/>
    <x v="15"/>
    <n v="190801"/>
    <n v="190801"/>
    <m/>
    <n v="1"/>
    <n v="190801"/>
    <n v="17500"/>
  </r>
  <r>
    <x v="205"/>
    <x v="0"/>
    <m/>
    <x v="21"/>
    <x v="2"/>
    <x v="18"/>
    <n v="190801"/>
    <n v="190801"/>
    <m/>
    <n v="1"/>
    <n v="190801"/>
    <n v="17500"/>
  </r>
  <r>
    <x v="205"/>
    <x v="0"/>
    <m/>
    <x v="0"/>
    <x v="4"/>
    <x v="15"/>
    <n v="190801"/>
    <n v="190801"/>
    <m/>
    <n v="20"/>
    <n v="190801"/>
    <n v="630000"/>
  </r>
  <r>
    <x v="205"/>
    <x v="0"/>
    <m/>
    <x v="0"/>
    <x v="4"/>
    <x v="16"/>
    <n v="190801"/>
    <n v="190801"/>
    <m/>
    <n v="11"/>
    <n v="190801"/>
    <n v="484000"/>
  </r>
  <r>
    <x v="205"/>
    <x v="0"/>
    <m/>
    <x v="5"/>
    <x v="4"/>
    <x v="28"/>
    <n v="190801"/>
    <n v="190801"/>
    <m/>
    <n v="2"/>
    <n v="190801"/>
    <n v="76000"/>
  </r>
  <r>
    <x v="206"/>
    <x v="2"/>
    <m/>
    <x v="0"/>
    <x v="1"/>
    <x v="16"/>
    <n v="190801"/>
    <n v="190801"/>
    <m/>
    <n v="2"/>
    <n v="190801"/>
    <n v="70000"/>
  </r>
  <r>
    <x v="206"/>
    <x v="2"/>
    <m/>
    <x v="0"/>
    <x v="7"/>
    <x v="15"/>
    <n v="190801"/>
    <n v="190801"/>
    <m/>
    <n v="3"/>
    <n v="190801"/>
    <n v="60000"/>
  </r>
  <r>
    <x v="206"/>
    <x v="2"/>
    <m/>
    <x v="25"/>
    <x v="2"/>
    <x v="34"/>
    <n v="190801"/>
    <n v="190801"/>
    <m/>
    <n v="6"/>
    <n v="190801"/>
    <n v="594000"/>
  </r>
  <r>
    <x v="206"/>
    <x v="2"/>
    <m/>
    <x v="1"/>
    <x v="2"/>
    <x v="18"/>
    <n v="190801"/>
    <n v="190801"/>
    <m/>
    <n v="1"/>
    <n v="190801"/>
    <n v="20000"/>
  </r>
  <r>
    <x v="206"/>
    <x v="2"/>
    <m/>
    <x v="1"/>
    <x v="2"/>
    <x v="21"/>
    <n v="190801"/>
    <n v="190801"/>
    <m/>
    <n v="1"/>
    <n v="190801"/>
    <n v="35000"/>
  </r>
  <r>
    <x v="206"/>
    <x v="2"/>
    <m/>
    <x v="4"/>
    <x v="2"/>
    <x v="26"/>
    <n v="190801"/>
    <n v="190801"/>
    <m/>
    <n v="3"/>
    <n v="190801"/>
    <n v="12000"/>
  </r>
  <r>
    <x v="206"/>
    <x v="2"/>
    <m/>
    <x v="4"/>
    <x v="2"/>
    <x v="27"/>
    <n v="190801"/>
    <n v="190801"/>
    <m/>
    <n v="10"/>
    <n v="190801"/>
    <n v="200000"/>
  </r>
  <r>
    <x v="206"/>
    <x v="2"/>
    <m/>
    <x v="0"/>
    <x v="2"/>
    <x v="15"/>
    <n v="190801"/>
    <n v="190801"/>
    <m/>
    <n v="38"/>
    <n v="190801"/>
    <n v="760000"/>
  </r>
  <r>
    <x v="206"/>
    <x v="2"/>
    <m/>
    <x v="0"/>
    <x v="2"/>
    <x v="16"/>
    <n v="190801"/>
    <n v="190801"/>
    <m/>
    <n v="33"/>
    <n v="190801"/>
    <n v="1155000"/>
  </r>
  <r>
    <x v="206"/>
    <x v="2"/>
    <m/>
    <x v="0"/>
    <x v="2"/>
    <x v="17"/>
    <n v="190801"/>
    <n v="190801"/>
    <m/>
    <n v="49"/>
    <n v="190801"/>
    <n v="1617000"/>
  </r>
  <r>
    <x v="206"/>
    <x v="2"/>
    <m/>
    <x v="0"/>
    <x v="2"/>
    <x v="19"/>
    <n v="190801"/>
    <n v="190801"/>
    <m/>
    <n v="49"/>
    <n v="190801"/>
    <n v="147000"/>
  </r>
  <r>
    <x v="206"/>
    <x v="2"/>
    <m/>
    <x v="5"/>
    <x v="2"/>
    <x v="28"/>
    <n v="190801"/>
    <n v="190801"/>
    <m/>
    <n v="5"/>
    <n v="190801"/>
    <n v="140000"/>
  </r>
  <r>
    <x v="206"/>
    <x v="2"/>
    <m/>
    <x v="22"/>
    <x v="2"/>
    <x v="29"/>
    <n v="190801"/>
    <n v="190801"/>
    <m/>
    <n v="3"/>
    <n v="190801"/>
    <n v="114000"/>
  </r>
  <r>
    <x v="206"/>
    <x v="2"/>
    <m/>
    <x v="19"/>
    <x v="2"/>
    <x v="22"/>
    <n v="190801"/>
    <n v="190801"/>
    <m/>
    <n v="4"/>
    <n v="190801"/>
    <n v="52000"/>
  </r>
  <r>
    <x v="206"/>
    <x v="2"/>
    <m/>
    <x v="19"/>
    <x v="2"/>
    <x v="23"/>
    <n v="190801"/>
    <n v="190801"/>
    <m/>
    <n v="1"/>
    <n v="190801"/>
    <n v="24000"/>
  </r>
  <r>
    <x v="206"/>
    <x v="2"/>
    <m/>
    <x v="21"/>
    <x v="2"/>
    <x v="15"/>
    <n v="190801"/>
    <n v="190801"/>
    <m/>
    <n v="1"/>
    <n v="190801"/>
    <n v="17500"/>
  </r>
  <r>
    <x v="206"/>
    <x v="2"/>
    <m/>
    <x v="21"/>
    <x v="2"/>
    <x v="18"/>
    <n v="190801"/>
    <n v="190801"/>
    <m/>
    <n v="1"/>
    <n v="190801"/>
    <n v="17500"/>
  </r>
  <r>
    <x v="206"/>
    <x v="2"/>
    <m/>
    <x v="0"/>
    <x v="4"/>
    <x v="15"/>
    <n v="190801"/>
    <n v="190801"/>
    <m/>
    <n v="32"/>
    <n v="190801"/>
    <n v="1008000"/>
  </r>
  <r>
    <x v="206"/>
    <x v="2"/>
    <m/>
    <x v="0"/>
    <x v="4"/>
    <x v="16"/>
    <n v="190801"/>
    <n v="190801"/>
    <m/>
    <n v="13"/>
    <n v="190801"/>
    <n v="572000"/>
  </r>
  <r>
    <x v="206"/>
    <x v="2"/>
    <m/>
    <x v="5"/>
    <x v="4"/>
    <x v="28"/>
    <n v="190801"/>
    <n v="190801"/>
    <m/>
    <n v="8"/>
    <n v="190801"/>
    <n v="304000"/>
  </r>
  <r>
    <x v="206"/>
    <x v="2"/>
    <m/>
    <x v="1"/>
    <x v="4"/>
    <x v="18"/>
    <n v="190801"/>
    <n v="190801"/>
    <m/>
    <n v="4"/>
    <n v="190801"/>
    <n v="126000"/>
  </r>
  <r>
    <x v="206"/>
    <x v="2"/>
    <m/>
    <x v="4"/>
    <x v="4"/>
    <x v="27"/>
    <n v="190801"/>
    <n v="190801"/>
    <m/>
    <n v="1"/>
    <n v="190801"/>
    <n v="36000"/>
  </r>
  <r>
    <x v="207"/>
    <x v="5"/>
    <m/>
    <x v="0"/>
    <x v="7"/>
    <x v="15"/>
    <n v="190801"/>
    <n v="190801"/>
    <m/>
    <n v="1"/>
    <n v="190801"/>
    <n v="20000"/>
  </r>
  <r>
    <x v="207"/>
    <x v="5"/>
    <m/>
    <x v="25"/>
    <x v="2"/>
    <x v="34"/>
    <n v="190801"/>
    <n v="190801"/>
    <m/>
    <n v="4"/>
    <n v="190801"/>
    <n v="396000"/>
  </r>
  <r>
    <x v="207"/>
    <x v="5"/>
    <m/>
    <x v="1"/>
    <x v="2"/>
    <x v="18"/>
    <n v="190801"/>
    <n v="190801"/>
    <m/>
    <n v="2"/>
    <n v="190801"/>
    <n v="40000"/>
  </r>
  <r>
    <x v="207"/>
    <x v="5"/>
    <m/>
    <x v="1"/>
    <x v="2"/>
    <x v="21"/>
    <n v="190801"/>
    <n v="190801"/>
    <m/>
    <n v="2"/>
    <n v="190801"/>
    <n v="70000"/>
  </r>
  <r>
    <x v="207"/>
    <x v="5"/>
    <m/>
    <x v="4"/>
    <x v="2"/>
    <x v="26"/>
    <n v="190801"/>
    <n v="190801"/>
    <m/>
    <n v="2"/>
    <n v="190801"/>
    <n v="8000"/>
  </r>
  <r>
    <x v="207"/>
    <x v="5"/>
    <m/>
    <x v="4"/>
    <x v="2"/>
    <x v="27"/>
    <n v="190801"/>
    <n v="190801"/>
    <m/>
    <n v="1"/>
    <n v="190801"/>
    <n v="20000"/>
  </r>
  <r>
    <x v="207"/>
    <x v="5"/>
    <m/>
    <x v="0"/>
    <x v="2"/>
    <x v="15"/>
    <n v="190801"/>
    <n v="190801"/>
    <m/>
    <n v="49"/>
    <n v="190801"/>
    <n v="980000"/>
  </r>
  <r>
    <x v="207"/>
    <x v="5"/>
    <m/>
    <x v="0"/>
    <x v="2"/>
    <x v="16"/>
    <n v="190801"/>
    <n v="190801"/>
    <m/>
    <n v="31"/>
    <n v="190801"/>
    <n v="1085000"/>
  </r>
  <r>
    <x v="207"/>
    <x v="5"/>
    <m/>
    <x v="0"/>
    <x v="2"/>
    <x v="17"/>
    <n v="190801"/>
    <n v="190801"/>
    <m/>
    <n v="33"/>
    <n v="190801"/>
    <n v="1089000"/>
  </r>
  <r>
    <x v="207"/>
    <x v="5"/>
    <m/>
    <x v="0"/>
    <x v="2"/>
    <x v="19"/>
    <n v="190801"/>
    <n v="190801"/>
    <m/>
    <n v="39"/>
    <n v="190801"/>
    <n v="117000"/>
  </r>
  <r>
    <x v="207"/>
    <x v="5"/>
    <m/>
    <x v="5"/>
    <x v="2"/>
    <x v="28"/>
    <n v="190801"/>
    <n v="190801"/>
    <m/>
    <n v="12"/>
    <n v="190801"/>
    <n v="336000"/>
  </r>
  <r>
    <x v="207"/>
    <x v="5"/>
    <m/>
    <x v="22"/>
    <x v="2"/>
    <x v="29"/>
    <n v="190801"/>
    <n v="190801"/>
    <m/>
    <n v="8"/>
    <n v="190801"/>
    <n v="304000"/>
  </r>
  <r>
    <x v="207"/>
    <x v="5"/>
    <m/>
    <x v="19"/>
    <x v="2"/>
    <x v="22"/>
    <n v="190801"/>
    <n v="190801"/>
    <m/>
    <n v="4"/>
    <n v="190801"/>
    <n v="52000"/>
  </r>
  <r>
    <x v="207"/>
    <x v="5"/>
    <m/>
    <x v="19"/>
    <x v="2"/>
    <x v="24"/>
    <n v="190801"/>
    <n v="190801"/>
    <m/>
    <n v="3"/>
    <n v="190801"/>
    <n v="99000"/>
  </r>
  <r>
    <x v="208"/>
    <x v="6"/>
    <m/>
    <x v="0"/>
    <x v="7"/>
    <x v="15"/>
    <n v="190801"/>
    <n v="190801"/>
    <m/>
    <n v="1"/>
    <n v="190801"/>
    <n v="20000"/>
  </r>
  <r>
    <x v="208"/>
    <x v="6"/>
    <m/>
    <x v="25"/>
    <x v="2"/>
    <x v="34"/>
    <n v="190801"/>
    <n v="190801"/>
    <m/>
    <n v="3"/>
    <n v="190801"/>
    <n v="297000"/>
  </r>
  <r>
    <x v="208"/>
    <x v="6"/>
    <m/>
    <x v="1"/>
    <x v="2"/>
    <x v="18"/>
    <n v="190801"/>
    <n v="190801"/>
    <m/>
    <n v="2"/>
    <n v="190801"/>
    <n v="40000"/>
  </r>
  <r>
    <x v="208"/>
    <x v="6"/>
    <m/>
    <x v="4"/>
    <x v="2"/>
    <x v="27"/>
    <n v="190801"/>
    <n v="190801"/>
    <m/>
    <n v="2"/>
    <n v="190801"/>
    <n v="40000"/>
  </r>
  <r>
    <x v="208"/>
    <x v="6"/>
    <m/>
    <x v="0"/>
    <x v="2"/>
    <x v="15"/>
    <n v="190801"/>
    <n v="190801"/>
    <m/>
    <n v="51"/>
    <n v="190801"/>
    <n v="1020000"/>
  </r>
  <r>
    <x v="208"/>
    <x v="6"/>
    <m/>
    <x v="0"/>
    <x v="2"/>
    <x v="16"/>
    <n v="190801"/>
    <n v="190801"/>
    <m/>
    <n v="335"/>
    <n v="190801"/>
    <n v="11725000"/>
  </r>
  <r>
    <x v="208"/>
    <x v="6"/>
    <m/>
    <x v="0"/>
    <x v="2"/>
    <x v="17"/>
    <n v="190801"/>
    <n v="190801"/>
    <m/>
    <n v="50"/>
    <n v="190801"/>
    <n v="1650000"/>
  </r>
  <r>
    <x v="208"/>
    <x v="6"/>
    <m/>
    <x v="0"/>
    <x v="2"/>
    <x v="19"/>
    <n v="190801"/>
    <n v="190801"/>
    <m/>
    <n v="65"/>
    <n v="190801"/>
    <n v="195000"/>
  </r>
  <r>
    <x v="208"/>
    <x v="6"/>
    <m/>
    <x v="5"/>
    <x v="2"/>
    <x v="28"/>
    <n v="190801"/>
    <n v="190801"/>
    <m/>
    <n v="16"/>
    <n v="190801"/>
    <n v="448000"/>
  </r>
  <r>
    <x v="208"/>
    <x v="6"/>
    <m/>
    <x v="22"/>
    <x v="2"/>
    <x v="29"/>
    <n v="190801"/>
    <n v="190801"/>
    <m/>
    <n v="6"/>
    <n v="190801"/>
    <n v="228000"/>
  </r>
  <r>
    <x v="208"/>
    <x v="6"/>
    <m/>
    <x v="19"/>
    <x v="2"/>
    <x v="22"/>
    <n v="190801"/>
    <n v="190801"/>
    <m/>
    <n v="7"/>
    <n v="190801"/>
    <n v="91000"/>
  </r>
  <r>
    <x v="208"/>
    <x v="6"/>
    <m/>
    <x v="19"/>
    <x v="2"/>
    <x v="23"/>
    <n v="190801"/>
    <n v="190801"/>
    <m/>
    <n v="4"/>
    <n v="190801"/>
    <n v="96000"/>
  </r>
  <r>
    <x v="208"/>
    <x v="6"/>
    <m/>
    <x v="19"/>
    <x v="2"/>
    <x v="24"/>
    <n v="190801"/>
    <n v="190801"/>
    <m/>
    <n v="1"/>
    <n v="190801"/>
    <n v="33000"/>
  </r>
  <r>
    <x v="208"/>
    <x v="6"/>
    <m/>
    <x v="0"/>
    <x v="6"/>
    <x v="15"/>
    <n v="190801"/>
    <n v="190801"/>
    <m/>
    <n v="433"/>
    <n v="190801"/>
    <n v="3926444"/>
  </r>
  <r>
    <x v="208"/>
    <x v="6"/>
    <m/>
    <x v="0"/>
    <x v="6"/>
    <x v="17"/>
    <n v="190801"/>
    <n v="190801"/>
    <m/>
    <n v="444"/>
    <n v="190801"/>
    <n v="7023192"/>
  </r>
  <r>
    <x v="208"/>
    <x v="6"/>
    <m/>
    <x v="4"/>
    <x v="6"/>
    <x v="26"/>
    <n v="190801"/>
    <n v="190801"/>
    <m/>
    <n v="606"/>
    <n v="190801"/>
    <n v="650238"/>
  </r>
  <r>
    <x v="208"/>
    <x v="6"/>
    <m/>
    <x v="5"/>
    <x v="6"/>
    <x v="28"/>
    <n v="190801"/>
    <n v="190801"/>
    <m/>
    <n v="1"/>
    <n v="190801"/>
    <n v="14600"/>
  </r>
  <r>
    <x v="208"/>
    <x v="6"/>
    <m/>
    <x v="22"/>
    <x v="6"/>
    <x v="29"/>
    <n v="190801"/>
    <n v="190801"/>
    <m/>
    <n v="25"/>
    <n v="190801"/>
    <n v="492275"/>
  </r>
  <r>
    <x v="208"/>
    <x v="6"/>
    <m/>
    <x v="24"/>
    <x v="6"/>
    <x v="31"/>
    <n v="190801"/>
    <n v="190801"/>
    <m/>
    <n v="100"/>
    <n v="190801"/>
    <n v="1487700"/>
  </r>
  <r>
    <x v="208"/>
    <x v="6"/>
    <m/>
    <x v="23"/>
    <x v="6"/>
    <x v="30"/>
    <n v="190801"/>
    <n v="190801"/>
    <m/>
    <n v="86"/>
    <n v="190801"/>
    <n v="598904"/>
  </r>
  <r>
    <x v="208"/>
    <x v="6"/>
    <m/>
    <x v="20"/>
    <x v="6"/>
    <x v="25"/>
    <n v="190801"/>
    <n v="190801"/>
    <m/>
    <n v="24"/>
    <n v="190801"/>
    <n v="233184"/>
  </r>
  <r>
    <x v="208"/>
    <x v="6"/>
    <m/>
    <x v="1"/>
    <x v="6"/>
    <x v="18"/>
    <n v="190801"/>
    <n v="190801"/>
    <m/>
    <n v="9"/>
    <n v="190801"/>
    <n v="82845"/>
  </r>
  <r>
    <x v="208"/>
    <x v="6"/>
    <m/>
    <x v="19"/>
    <x v="6"/>
    <x v="22"/>
    <n v="190801"/>
    <n v="190801"/>
    <m/>
    <n v="7"/>
    <n v="190801"/>
    <n v="47537"/>
  </r>
  <r>
    <x v="209"/>
    <x v="3"/>
    <m/>
    <x v="0"/>
    <x v="1"/>
    <x v="15"/>
    <n v="190801"/>
    <n v="190801"/>
    <m/>
    <n v="5"/>
    <n v="190801"/>
    <n v="100000"/>
  </r>
  <r>
    <x v="209"/>
    <x v="3"/>
    <m/>
    <x v="0"/>
    <x v="1"/>
    <x v="16"/>
    <n v="190801"/>
    <n v="190801"/>
    <m/>
    <n v="20"/>
    <n v="190801"/>
    <n v="700000"/>
  </r>
  <r>
    <x v="209"/>
    <x v="3"/>
    <m/>
    <x v="0"/>
    <x v="7"/>
    <x v="15"/>
    <n v="190801"/>
    <n v="190801"/>
    <m/>
    <n v="1"/>
    <n v="190801"/>
    <n v="20000"/>
  </r>
  <r>
    <x v="209"/>
    <x v="3"/>
    <m/>
    <x v="0"/>
    <x v="5"/>
    <x v="15"/>
    <n v="190801"/>
    <n v="190801"/>
    <m/>
    <n v="300"/>
    <n v="190801"/>
    <n v="3068100"/>
  </r>
  <r>
    <x v="209"/>
    <x v="3"/>
    <m/>
    <x v="25"/>
    <x v="2"/>
    <x v="34"/>
    <n v="190801"/>
    <n v="190801"/>
    <m/>
    <n v="5"/>
    <n v="190801"/>
    <n v="495000"/>
  </r>
  <r>
    <x v="209"/>
    <x v="3"/>
    <m/>
    <x v="1"/>
    <x v="2"/>
    <x v="18"/>
    <n v="190801"/>
    <n v="190801"/>
    <m/>
    <n v="6"/>
    <n v="190801"/>
    <n v="120000"/>
  </r>
  <r>
    <x v="209"/>
    <x v="3"/>
    <m/>
    <x v="1"/>
    <x v="2"/>
    <x v="21"/>
    <n v="190801"/>
    <n v="190801"/>
    <m/>
    <n v="1"/>
    <n v="190801"/>
    <n v="35000"/>
  </r>
  <r>
    <x v="209"/>
    <x v="3"/>
    <m/>
    <x v="4"/>
    <x v="2"/>
    <x v="27"/>
    <n v="190801"/>
    <n v="190801"/>
    <m/>
    <n v="4"/>
    <n v="190801"/>
    <n v="80000"/>
  </r>
  <r>
    <x v="209"/>
    <x v="3"/>
    <m/>
    <x v="0"/>
    <x v="2"/>
    <x v="15"/>
    <n v="190801"/>
    <n v="190801"/>
    <m/>
    <n v="53"/>
    <n v="190801"/>
    <n v="1060000"/>
  </r>
  <r>
    <x v="209"/>
    <x v="3"/>
    <m/>
    <x v="0"/>
    <x v="2"/>
    <x v="16"/>
    <n v="190801"/>
    <n v="190801"/>
    <m/>
    <n v="42"/>
    <n v="190801"/>
    <n v="1470000"/>
  </r>
  <r>
    <x v="209"/>
    <x v="3"/>
    <m/>
    <x v="0"/>
    <x v="2"/>
    <x v="17"/>
    <n v="190801"/>
    <n v="190801"/>
    <m/>
    <n v="59"/>
    <n v="190801"/>
    <n v="1947000"/>
  </r>
  <r>
    <x v="209"/>
    <x v="3"/>
    <m/>
    <x v="0"/>
    <x v="2"/>
    <x v="19"/>
    <n v="190801"/>
    <n v="190801"/>
    <m/>
    <n v="71"/>
    <n v="190801"/>
    <n v="213000"/>
  </r>
  <r>
    <x v="209"/>
    <x v="3"/>
    <m/>
    <x v="5"/>
    <x v="2"/>
    <x v="28"/>
    <n v="190801"/>
    <n v="190801"/>
    <m/>
    <n v="17"/>
    <n v="190801"/>
    <n v="476000"/>
  </r>
  <r>
    <x v="209"/>
    <x v="3"/>
    <m/>
    <x v="22"/>
    <x v="2"/>
    <x v="29"/>
    <n v="190801"/>
    <n v="190801"/>
    <m/>
    <n v="4"/>
    <n v="190801"/>
    <n v="152000"/>
  </r>
  <r>
    <x v="209"/>
    <x v="3"/>
    <m/>
    <x v="19"/>
    <x v="2"/>
    <x v="22"/>
    <n v="190801"/>
    <n v="190801"/>
    <m/>
    <n v="8"/>
    <n v="190801"/>
    <n v="104000"/>
  </r>
  <r>
    <x v="209"/>
    <x v="3"/>
    <m/>
    <x v="19"/>
    <x v="2"/>
    <x v="23"/>
    <n v="190801"/>
    <n v="190801"/>
    <m/>
    <n v="5"/>
    <n v="190801"/>
    <n v="120000"/>
  </r>
  <r>
    <x v="209"/>
    <x v="3"/>
    <m/>
    <x v="0"/>
    <x v="4"/>
    <x v="15"/>
    <n v="190801"/>
    <n v="190801"/>
    <m/>
    <n v="90"/>
    <n v="190801"/>
    <n v="2835000"/>
  </r>
  <r>
    <x v="209"/>
    <x v="3"/>
    <m/>
    <x v="0"/>
    <x v="4"/>
    <x v="16"/>
    <n v="190801"/>
    <n v="190801"/>
    <m/>
    <n v="16"/>
    <n v="190801"/>
    <n v="704000"/>
  </r>
  <r>
    <x v="209"/>
    <x v="3"/>
    <m/>
    <x v="5"/>
    <x v="4"/>
    <x v="28"/>
    <n v="190801"/>
    <n v="190801"/>
    <m/>
    <n v="7"/>
    <n v="190801"/>
    <n v="266000"/>
  </r>
  <r>
    <x v="209"/>
    <x v="3"/>
    <m/>
    <x v="19"/>
    <x v="4"/>
    <x v="22"/>
    <n v="190801"/>
    <n v="190801"/>
    <m/>
    <n v="2"/>
    <n v="190801"/>
    <n v="50000"/>
  </r>
  <r>
    <x v="209"/>
    <x v="3"/>
    <m/>
    <x v="4"/>
    <x v="4"/>
    <x v="27"/>
    <n v="190801"/>
    <n v="190801"/>
    <m/>
    <n v="2"/>
    <n v="190801"/>
    <n v="72000"/>
  </r>
  <r>
    <x v="210"/>
    <x v="4"/>
    <m/>
    <x v="0"/>
    <x v="1"/>
    <x v="15"/>
    <n v="190801"/>
    <n v="190801"/>
    <m/>
    <n v="1"/>
    <n v="190801"/>
    <n v="20000"/>
  </r>
  <r>
    <x v="210"/>
    <x v="4"/>
    <m/>
    <x v="0"/>
    <x v="1"/>
    <x v="16"/>
    <n v="190801"/>
    <n v="190801"/>
    <m/>
    <n v="13"/>
    <n v="190801"/>
    <n v="455000"/>
  </r>
  <r>
    <x v="210"/>
    <x v="4"/>
    <m/>
    <x v="0"/>
    <x v="7"/>
    <x v="15"/>
    <n v="190801"/>
    <n v="190801"/>
    <m/>
    <n v="4"/>
    <n v="190801"/>
    <n v="80000"/>
  </r>
  <r>
    <x v="210"/>
    <x v="4"/>
    <m/>
    <x v="25"/>
    <x v="2"/>
    <x v="34"/>
    <n v="190801"/>
    <n v="190801"/>
    <m/>
    <n v="4"/>
    <n v="190801"/>
    <n v="396000"/>
  </r>
  <r>
    <x v="210"/>
    <x v="4"/>
    <m/>
    <x v="1"/>
    <x v="2"/>
    <x v="18"/>
    <n v="190801"/>
    <n v="190801"/>
    <m/>
    <n v="1"/>
    <n v="190801"/>
    <n v="20000"/>
  </r>
  <r>
    <x v="210"/>
    <x v="4"/>
    <m/>
    <x v="4"/>
    <x v="2"/>
    <x v="26"/>
    <n v="190801"/>
    <n v="190801"/>
    <m/>
    <n v="10"/>
    <n v="190801"/>
    <n v="40000"/>
  </r>
  <r>
    <x v="210"/>
    <x v="4"/>
    <m/>
    <x v="4"/>
    <x v="2"/>
    <x v="27"/>
    <n v="190801"/>
    <n v="190801"/>
    <m/>
    <n v="5"/>
    <n v="190801"/>
    <n v="100000"/>
  </r>
  <r>
    <x v="210"/>
    <x v="4"/>
    <m/>
    <x v="0"/>
    <x v="2"/>
    <x v="15"/>
    <n v="190801"/>
    <n v="190801"/>
    <m/>
    <n v="46"/>
    <n v="190801"/>
    <n v="920000"/>
  </r>
  <r>
    <x v="210"/>
    <x v="4"/>
    <m/>
    <x v="0"/>
    <x v="2"/>
    <x v="16"/>
    <n v="190801"/>
    <n v="190801"/>
    <m/>
    <n v="133"/>
    <n v="190801"/>
    <n v="4655000"/>
  </r>
  <r>
    <x v="210"/>
    <x v="4"/>
    <m/>
    <x v="0"/>
    <x v="2"/>
    <x v="17"/>
    <n v="190801"/>
    <n v="190801"/>
    <m/>
    <n v="34"/>
    <n v="190801"/>
    <n v="1122000"/>
  </r>
  <r>
    <x v="210"/>
    <x v="4"/>
    <m/>
    <x v="0"/>
    <x v="2"/>
    <x v="19"/>
    <n v="190801"/>
    <n v="190801"/>
    <m/>
    <n v="45"/>
    <n v="190801"/>
    <n v="135000"/>
  </r>
  <r>
    <x v="210"/>
    <x v="4"/>
    <m/>
    <x v="5"/>
    <x v="2"/>
    <x v="28"/>
    <n v="190801"/>
    <n v="190801"/>
    <m/>
    <n v="11"/>
    <n v="190801"/>
    <n v="308000"/>
  </r>
  <r>
    <x v="210"/>
    <x v="4"/>
    <m/>
    <x v="22"/>
    <x v="2"/>
    <x v="29"/>
    <n v="190801"/>
    <n v="190801"/>
    <m/>
    <n v="3"/>
    <n v="190801"/>
    <n v="114000"/>
  </r>
  <r>
    <x v="210"/>
    <x v="4"/>
    <m/>
    <x v="19"/>
    <x v="2"/>
    <x v="22"/>
    <n v="190801"/>
    <n v="190801"/>
    <m/>
    <n v="5"/>
    <n v="190801"/>
    <n v="65000"/>
  </r>
  <r>
    <x v="210"/>
    <x v="4"/>
    <m/>
    <x v="19"/>
    <x v="2"/>
    <x v="24"/>
    <n v="190801"/>
    <n v="190801"/>
    <m/>
    <n v="1"/>
    <n v="190801"/>
    <n v="33000"/>
  </r>
  <r>
    <x v="210"/>
    <x v="4"/>
    <m/>
    <x v="0"/>
    <x v="4"/>
    <x v="15"/>
    <n v="190801"/>
    <n v="190801"/>
    <m/>
    <n v="25"/>
    <n v="190801"/>
    <n v="787500"/>
  </r>
  <r>
    <x v="210"/>
    <x v="4"/>
    <m/>
    <x v="0"/>
    <x v="4"/>
    <x v="16"/>
    <n v="190801"/>
    <n v="190801"/>
    <m/>
    <n v="7"/>
    <n v="190801"/>
    <n v="308000"/>
  </r>
  <r>
    <x v="210"/>
    <x v="4"/>
    <m/>
    <x v="5"/>
    <x v="4"/>
    <x v="28"/>
    <n v="190801"/>
    <n v="190801"/>
    <m/>
    <n v="1"/>
    <n v="190801"/>
    <n v="38000"/>
  </r>
  <r>
    <x v="210"/>
    <x v="4"/>
    <m/>
    <x v="19"/>
    <x v="4"/>
    <x v="22"/>
    <n v="190801"/>
    <n v="190801"/>
    <m/>
    <n v="1"/>
    <n v="190801"/>
    <n v="25000"/>
  </r>
  <r>
    <x v="210"/>
    <x v="4"/>
    <m/>
    <x v="4"/>
    <x v="4"/>
    <x v="27"/>
    <n v="190801"/>
    <n v="190801"/>
    <m/>
    <n v="2"/>
    <n v="190801"/>
    <n v="72000"/>
  </r>
  <r>
    <x v="211"/>
    <x v="1"/>
    <m/>
    <x v="0"/>
    <x v="1"/>
    <x v="15"/>
    <n v="190801"/>
    <n v="190801"/>
    <m/>
    <n v="3"/>
    <n v="190801"/>
    <n v="60000"/>
  </r>
  <r>
    <x v="211"/>
    <x v="1"/>
    <m/>
    <x v="0"/>
    <x v="1"/>
    <x v="16"/>
    <n v="190801"/>
    <n v="190801"/>
    <m/>
    <n v="4"/>
    <n v="190801"/>
    <n v="140000"/>
  </r>
  <r>
    <x v="211"/>
    <x v="1"/>
    <m/>
    <x v="0"/>
    <x v="7"/>
    <x v="15"/>
    <n v="190801"/>
    <n v="190801"/>
    <m/>
    <n v="1"/>
    <n v="190801"/>
    <n v="20000"/>
  </r>
  <r>
    <x v="211"/>
    <x v="1"/>
    <m/>
    <x v="25"/>
    <x v="2"/>
    <x v="34"/>
    <n v="190801"/>
    <n v="190801"/>
    <m/>
    <n v="7"/>
    <n v="190801"/>
    <n v="693000"/>
  </r>
  <r>
    <x v="211"/>
    <x v="1"/>
    <m/>
    <x v="4"/>
    <x v="2"/>
    <x v="26"/>
    <n v="190801"/>
    <n v="190801"/>
    <m/>
    <n v="1"/>
    <n v="190801"/>
    <n v="4000"/>
  </r>
  <r>
    <x v="211"/>
    <x v="1"/>
    <m/>
    <x v="4"/>
    <x v="2"/>
    <x v="27"/>
    <n v="190801"/>
    <n v="190801"/>
    <m/>
    <n v="4"/>
    <n v="190801"/>
    <n v="80000"/>
  </r>
  <r>
    <x v="211"/>
    <x v="1"/>
    <m/>
    <x v="1"/>
    <x v="2"/>
    <x v="18"/>
    <n v="190801"/>
    <n v="190801"/>
    <m/>
    <n v="2"/>
    <n v="190801"/>
    <n v="40000"/>
  </r>
  <r>
    <x v="211"/>
    <x v="1"/>
    <m/>
    <x v="0"/>
    <x v="2"/>
    <x v="15"/>
    <n v="190801"/>
    <n v="190801"/>
    <m/>
    <n v="42"/>
    <n v="190801"/>
    <n v="840000"/>
  </r>
  <r>
    <x v="211"/>
    <x v="1"/>
    <m/>
    <x v="0"/>
    <x v="2"/>
    <x v="16"/>
    <n v="190801"/>
    <n v="190801"/>
    <m/>
    <n v="39"/>
    <n v="190801"/>
    <n v="1365000"/>
  </r>
  <r>
    <x v="211"/>
    <x v="1"/>
    <m/>
    <x v="0"/>
    <x v="2"/>
    <x v="17"/>
    <n v="190801"/>
    <n v="190801"/>
    <m/>
    <n v="32"/>
    <n v="190801"/>
    <n v="1056000"/>
  </r>
  <r>
    <x v="211"/>
    <x v="1"/>
    <m/>
    <x v="0"/>
    <x v="2"/>
    <x v="19"/>
    <n v="190801"/>
    <n v="190801"/>
    <m/>
    <n v="58"/>
    <n v="190801"/>
    <n v="174000"/>
  </r>
  <r>
    <x v="211"/>
    <x v="1"/>
    <m/>
    <x v="5"/>
    <x v="2"/>
    <x v="28"/>
    <n v="190801"/>
    <n v="190801"/>
    <m/>
    <n v="11"/>
    <n v="190801"/>
    <n v="308000"/>
  </r>
  <r>
    <x v="211"/>
    <x v="1"/>
    <m/>
    <x v="22"/>
    <x v="2"/>
    <x v="29"/>
    <n v="190801"/>
    <n v="190801"/>
    <m/>
    <n v="2"/>
    <n v="190801"/>
    <n v="76000"/>
  </r>
  <r>
    <x v="211"/>
    <x v="1"/>
    <m/>
    <x v="19"/>
    <x v="2"/>
    <x v="22"/>
    <n v="190801"/>
    <n v="190801"/>
    <m/>
    <n v="14"/>
    <n v="190801"/>
    <n v="182000"/>
  </r>
  <r>
    <x v="211"/>
    <x v="1"/>
    <m/>
    <x v="19"/>
    <x v="2"/>
    <x v="23"/>
    <n v="190801"/>
    <n v="190801"/>
    <m/>
    <n v="1"/>
    <n v="190801"/>
    <n v="24000"/>
  </r>
  <r>
    <x v="211"/>
    <x v="1"/>
    <m/>
    <x v="19"/>
    <x v="2"/>
    <x v="24"/>
    <n v="190801"/>
    <n v="190801"/>
    <m/>
    <n v="1"/>
    <n v="190801"/>
    <n v="33000"/>
  </r>
  <r>
    <x v="211"/>
    <x v="1"/>
    <m/>
    <x v="0"/>
    <x v="4"/>
    <x v="15"/>
    <n v="190801"/>
    <n v="190801"/>
    <m/>
    <n v="26"/>
    <n v="190801"/>
    <n v="819000"/>
  </r>
  <r>
    <x v="211"/>
    <x v="1"/>
    <m/>
    <x v="0"/>
    <x v="4"/>
    <x v="16"/>
    <n v="190801"/>
    <n v="190801"/>
    <m/>
    <n v="7"/>
    <n v="190801"/>
    <n v="308000"/>
  </r>
  <r>
    <x v="211"/>
    <x v="1"/>
    <m/>
    <x v="5"/>
    <x v="4"/>
    <x v="28"/>
    <n v="190801"/>
    <n v="190801"/>
    <m/>
    <n v="2"/>
    <n v="190801"/>
    <n v="76000"/>
  </r>
  <r>
    <x v="212"/>
    <x v="0"/>
    <m/>
    <x v="0"/>
    <x v="7"/>
    <x v="15"/>
    <n v="190801"/>
    <n v="190801"/>
    <m/>
    <n v="1"/>
    <n v="190801"/>
    <n v="20000"/>
  </r>
  <r>
    <x v="212"/>
    <x v="0"/>
    <m/>
    <x v="25"/>
    <x v="2"/>
    <x v="34"/>
    <n v="190801"/>
    <n v="190801"/>
    <m/>
    <n v="9"/>
    <n v="190801"/>
    <n v="891000"/>
  </r>
  <r>
    <x v="212"/>
    <x v="0"/>
    <m/>
    <x v="1"/>
    <x v="2"/>
    <x v="18"/>
    <n v="190801"/>
    <n v="190801"/>
    <m/>
    <n v="2"/>
    <n v="190801"/>
    <n v="40000"/>
  </r>
  <r>
    <x v="212"/>
    <x v="0"/>
    <m/>
    <x v="1"/>
    <x v="2"/>
    <x v="21"/>
    <n v="190801"/>
    <n v="190801"/>
    <m/>
    <n v="4"/>
    <n v="190801"/>
    <n v="140000"/>
  </r>
  <r>
    <x v="212"/>
    <x v="0"/>
    <m/>
    <x v="4"/>
    <x v="2"/>
    <x v="27"/>
    <n v="190801"/>
    <n v="190801"/>
    <m/>
    <n v="1"/>
    <n v="190801"/>
    <n v="20000"/>
  </r>
  <r>
    <x v="212"/>
    <x v="0"/>
    <m/>
    <x v="0"/>
    <x v="2"/>
    <x v="15"/>
    <n v="190801"/>
    <n v="190801"/>
    <m/>
    <n v="30"/>
    <n v="190801"/>
    <n v="600000"/>
  </r>
  <r>
    <x v="212"/>
    <x v="0"/>
    <m/>
    <x v="0"/>
    <x v="2"/>
    <x v="16"/>
    <n v="190801"/>
    <n v="190801"/>
    <m/>
    <n v="26"/>
    <n v="190801"/>
    <n v="910000"/>
  </r>
  <r>
    <x v="212"/>
    <x v="0"/>
    <m/>
    <x v="0"/>
    <x v="2"/>
    <x v="17"/>
    <n v="190801"/>
    <n v="190801"/>
    <m/>
    <n v="39"/>
    <n v="190801"/>
    <n v="1287000"/>
  </r>
  <r>
    <x v="212"/>
    <x v="0"/>
    <m/>
    <x v="0"/>
    <x v="2"/>
    <x v="19"/>
    <n v="190801"/>
    <n v="190801"/>
    <m/>
    <n v="38"/>
    <n v="190801"/>
    <n v="114000"/>
  </r>
  <r>
    <x v="212"/>
    <x v="0"/>
    <m/>
    <x v="5"/>
    <x v="2"/>
    <x v="28"/>
    <n v="190801"/>
    <n v="190801"/>
    <m/>
    <n v="11"/>
    <n v="190801"/>
    <n v="308000"/>
  </r>
  <r>
    <x v="212"/>
    <x v="0"/>
    <m/>
    <x v="22"/>
    <x v="2"/>
    <x v="29"/>
    <n v="190801"/>
    <n v="190801"/>
    <m/>
    <n v="3"/>
    <n v="190801"/>
    <n v="114000"/>
  </r>
  <r>
    <x v="212"/>
    <x v="0"/>
    <m/>
    <x v="19"/>
    <x v="2"/>
    <x v="22"/>
    <n v="190801"/>
    <n v="190801"/>
    <m/>
    <n v="5"/>
    <n v="190801"/>
    <n v="65000"/>
  </r>
  <r>
    <x v="212"/>
    <x v="0"/>
    <m/>
    <x v="19"/>
    <x v="2"/>
    <x v="23"/>
    <n v="190801"/>
    <n v="190801"/>
    <m/>
    <n v="1"/>
    <n v="190801"/>
    <n v="24000"/>
  </r>
  <r>
    <x v="213"/>
    <x v="2"/>
    <m/>
    <x v="0"/>
    <x v="7"/>
    <x v="15"/>
    <n v="190801"/>
    <n v="190801"/>
    <m/>
    <n v="5"/>
    <n v="190801"/>
    <n v="100000"/>
  </r>
  <r>
    <x v="213"/>
    <x v="2"/>
    <m/>
    <x v="25"/>
    <x v="2"/>
    <x v="34"/>
    <n v="190801"/>
    <n v="190801"/>
    <m/>
    <n v="4"/>
    <n v="190801"/>
    <n v="396000"/>
  </r>
  <r>
    <x v="213"/>
    <x v="2"/>
    <m/>
    <x v="1"/>
    <x v="2"/>
    <x v="18"/>
    <n v="190801"/>
    <n v="190801"/>
    <m/>
    <n v="4"/>
    <n v="190801"/>
    <n v="80000"/>
  </r>
  <r>
    <x v="213"/>
    <x v="2"/>
    <m/>
    <x v="1"/>
    <x v="2"/>
    <x v="21"/>
    <n v="190801"/>
    <n v="190801"/>
    <m/>
    <n v="1"/>
    <n v="190801"/>
    <n v="35000"/>
  </r>
  <r>
    <x v="213"/>
    <x v="2"/>
    <m/>
    <x v="4"/>
    <x v="2"/>
    <x v="26"/>
    <n v="190801"/>
    <n v="190801"/>
    <m/>
    <n v="2"/>
    <n v="190801"/>
    <n v="8000"/>
  </r>
  <r>
    <x v="213"/>
    <x v="2"/>
    <m/>
    <x v="4"/>
    <x v="2"/>
    <x v="27"/>
    <n v="190801"/>
    <n v="190801"/>
    <m/>
    <n v="6"/>
    <n v="190801"/>
    <n v="120000"/>
  </r>
  <r>
    <x v="213"/>
    <x v="2"/>
    <m/>
    <x v="0"/>
    <x v="2"/>
    <x v="15"/>
    <n v="190801"/>
    <n v="190801"/>
    <m/>
    <n v="59"/>
    <n v="190801"/>
    <n v="1180000"/>
  </r>
  <r>
    <x v="213"/>
    <x v="2"/>
    <m/>
    <x v="0"/>
    <x v="2"/>
    <x v="16"/>
    <n v="190801"/>
    <n v="190801"/>
    <m/>
    <n v="44"/>
    <n v="190801"/>
    <n v="1540000"/>
  </r>
  <r>
    <x v="213"/>
    <x v="2"/>
    <m/>
    <x v="0"/>
    <x v="2"/>
    <x v="17"/>
    <n v="190801"/>
    <n v="190801"/>
    <m/>
    <n v="66"/>
    <n v="190801"/>
    <n v="2178000"/>
  </r>
  <r>
    <x v="213"/>
    <x v="2"/>
    <m/>
    <x v="19"/>
    <x v="2"/>
    <x v="22"/>
    <n v="190801"/>
    <n v="190801"/>
    <m/>
    <n v="9"/>
    <n v="190801"/>
    <n v="117000"/>
  </r>
  <r>
    <x v="213"/>
    <x v="2"/>
    <m/>
    <x v="19"/>
    <x v="2"/>
    <x v="24"/>
    <n v="190801"/>
    <n v="190801"/>
    <m/>
    <n v="1"/>
    <n v="190801"/>
    <n v="33000"/>
  </r>
  <r>
    <x v="213"/>
    <x v="2"/>
    <m/>
    <x v="0"/>
    <x v="2"/>
    <x v="19"/>
    <n v="190801"/>
    <n v="190801"/>
    <m/>
    <n v="56"/>
    <n v="190801"/>
    <n v="168000"/>
  </r>
  <r>
    <x v="213"/>
    <x v="2"/>
    <m/>
    <x v="5"/>
    <x v="2"/>
    <x v="28"/>
    <n v="190801"/>
    <n v="190801"/>
    <m/>
    <n v="12"/>
    <n v="190801"/>
    <n v="336000"/>
  </r>
  <r>
    <x v="213"/>
    <x v="2"/>
    <m/>
    <x v="22"/>
    <x v="2"/>
    <x v="29"/>
    <n v="190801"/>
    <n v="190801"/>
    <m/>
    <n v="3"/>
    <n v="190801"/>
    <n v="114000"/>
  </r>
  <r>
    <x v="214"/>
    <x v="5"/>
    <m/>
    <x v="0"/>
    <x v="7"/>
    <x v="15"/>
    <n v="190801"/>
    <n v="190801"/>
    <m/>
    <n v="5"/>
    <n v="190801"/>
    <n v="100000"/>
  </r>
  <r>
    <x v="214"/>
    <x v="5"/>
    <m/>
    <x v="25"/>
    <x v="2"/>
    <x v="34"/>
    <n v="190801"/>
    <n v="190801"/>
    <m/>
    <n v="7"/>
    <n v="190801"/>
    <n v="693000"/>
  </r>
  <r>
    <x v="214"/>
    <x v="5"/>
    <m/>
    <x v="1"/>
    <x v="2"/>
    <x v="18"/>
    <n v="190801"/>
    <n v="190801"/>
    <m/>
    <n v="3"/>
    <n v="190801"/>
    <n v="60000"/>
  </r>
  <r>
    <x v="214"/>
    <x v="5"/>
    <m/>
    <x v="4"/>
    <x v="2"/>
    <x v="26"/>
    <n v="190801"/>
    <n v="190801"/>
    <m/>
    <n v="10"/>
    <n v="190801"/>
    <n v="40000"/>
  </r>
  <r>
    <x v="214"/>
    <x v="5"/>
    <m/>
    <x v="4"/>
    <x v="2"/>
    <x v="27"/>
    <n v="190801"/>
    <n v="190801"/>
    <m/>
    <n v="4"/>
    <n v="190801"/>
    <n v="80000"/>
  </r>
  <r>
    <x v="214"/>
    <x v="5"/>
    <m/>
    <x v="0"/>
    <x v="2"/>
    <x v="15"/>
    <n v="190801"/>
    <n v="190801"/>
    <m/>
    <n v="49"/>
    <n v="190801"/>
    <n v="980000"/>
  </r>
  <r>
    <x v="214"/>
    <x v="5"/>
    <m/>
    <x v="0"/>
    <x v="2"/>
    <x v="16"/>
    <n v="190801"/>
    <n v="190801"/>
    <m/>
    <n v="35"/>
    <n v="190801"/>
    <n v="1225000"/>
  </r>
  <r>
    <x v="214"/>
    <x v="5"/>
    <m/>
    <x v="0"/>
    <x v="2"/>
    <x v="17"/>
    <n v="190801"/>
    <n v="190801"/>
    <m/>
    <n v="41"/>
    <n v="190801"/>
    <n v="1353000"/>
  </r>
  <r>
    <x v="214"/>
    <x v="5"/>
    <m/>
    <x v="0"/>
    <x v="2"/>
    <x v="19"/>
    <n v="190801"/>
    <n v="190801"/>
    <m/>
    <n v="48"/>
    <n v="190801"/>
    <n v="144000"/>
  </r>
  <r>
    <x v="214"/>
    <x v="5"/>
    <m/>
    <x v="5"/>
    <x v="2"/>
    <x v="28"/>
    <n v="190801"/>
    <n v="190801"/>
    <m/>
    <n v="9"/>
    <n v="190801"/>
    <n v="252000"/>
  </r>
  <r>
    <x v="214"/>
    <x v="5"/>
    <m/>
    <x v="22"/>
    <x v="2"/>
    <x v="29"/>
    <n v="190801"/>
    <n v="190801"/>
    <m/>
    <n v="2"/>
    <n v="190801"/>
    <n v="76000"/>
  </r>
  <r>
    <x v="214"/>
    <x v="5"/>
    <m/>
    <x v="19"/>
    <x v="2"/>
    <x v="22"/>
    <n v="190801"/>
    <n v="190801"/>
    <m/>
    <n v="2"/>
    <n v="190801"/>
    <n v="26000"/>
  </r>
  <r>
    <x v="214"/>
    <x v="5"/>
    <m/>
    <x v="19"/>
    <x v="2"/>
    <x v="23"/>
    <n v="190801"/>
    <n v="190801"/>
    <m/>
    <n v="1"/>
    <n v="190801"/>
    <n v="24000"/>
  </r>
  <r>
    <x v="214"/>
    <x v="5"/>
    <m/>
    <x v="19"/>
    <x v="2"/>
    <x v="24"/>
    <n v="190801"/>
    <n v="190801"/>
    <m/>
    <n v="1"/>
    <n v="190801"/>
    <n v="33000"/>
  </r>
  <r>
    <x v="215"/>
    <x v="6"/>
    <m/>
    <x v="0"/>
    <x v="7"/>
    <x v="15"/>
    <n v="190801"/>
    <n v="190801"/>
    <m/>
    <n v="1"/>
    <n v="190801"/>
    <n v="20000"/>
  </r>
  <r>
    <x v="215"/>
    <x v="6"/>
    <m/>
    <x v="25"/>
    <x v="2"/>
    <x v="34"/>
    <n v="190801"/>
    <n v="190801"/>
    <m/>
    <n v="7"/>
    <n v="190801"/>
    <n v="693000"/>
  </r>
  <r>
    <x v="215"/>
    <x v="6"/>
    <m/>
    <x v="1"/>
    <x v="2"/>
    <x v="18"/>
    <n v="190801"/>
    <n v="190801"/>
    <m/>
    <n v="8"/>
    <n v="190801"/>
    <n v="160000"/>
  </r>
  <r>
    <x v="215"/>
    <x v="6"/>
    <m/>
    <x v="4"/>
    <x v="2"/>
    <x v="26"/>
    <n v="190801"/>
    <n v="190801"/>
    <m/>
    <n v="11"/>
    <n v="190801"/>
    <n v="44000"/>
  </r>
  <r>
    <x v="215"/>
    <x v="6"/>
    <m/>
    <x v="4"/>
    <x v="2"/>
    <x v="27"/>
    <n v="190801"/>
    <n v="190801"/>
    <m/>
    <n v="3"/>
    <n v="190801"/>
    <n v="60000"/>
  </r>
  <r>
    <x v="215"/>
    <x v="6"/>
    <m/>
    <x v="0"/>
    <x v="2"/>
    <x v="15"/>
    <n v="190801"/>
    <n v="190801"/>
    <m/>
    <n v="45"/>
    <n v="190801"/>
    <n v="900000"/>
  </r>
  <r>
    <x v="215"/>
    <x v="6"/>
    <m/>
    <x v="0"/>
    <x v="2"/>
    <x v="16"/>
    <n v="190801"/>
    <n v="190801"/>
    <m/>
    <n v="22"/>
    <n v="190801"/>
    <n v="770000"/>
  </r>
  <r>
    <x v="215"/>
    <x v="6"/>
    <m/>
    <x v="0"/>
    <x v="2"/>
    <x v="17"/>
    <n v="190801"/>
    <n v="190801"/>
    <m/>
    <n v="54"/>
    <n v="190801"/>
    <n v="1782000"/>
  </r>
  <r>
    <x v="215"/>
    <x v="6"/>
    <m/>
    <x v="0"/>
    <x v="2"/>
    <x v="19"/>
    <n v="190801"/>
    <n v="190801"/>
    <m/>
    <n v="47"/>
    <n v="190801"/>
    <n v="141000"/>
  </r>
  <r>
    <x v="215"/>
    <x v="6"/>
    <m/>
    <x v="5"/>
    <x v="2"/>
    <x v="28"/>
    <n v="190801"/>
    <n v="190801"/>
    <m/>
    <n v="10"/>
    <n v="190801"/>
    <n v="280000"/>
  </r>
  <r>
    <x v="215"/>
    <x v="6"/>
    <m/>
    <x v="22"/>
    <x v="2"/>
    <x v="29"/>
    <n v="190801"/>
    <n v="190801"/>
    <m/>
    <n v="6"/>
    <n v="190801"/>
    <n v="228000"/>
  </r>
  <r>
    <x v="215"/>
    <x v="6"/>
    <m/>
    <x v="19"/>
    <x v="2"/>
    <x v="22"/>
    <n v="190801"/>
    <n v="190801"/>
    <m/>
    <n v="10"/>
    <n v="190801"/>
    <n v="130000"/>
  </r>
  <r>
    <x v="215"/>
    <x v="6"/>
    <m/>
    <x v="19"/>
    <x v="2"/>
    <x v="23"/>
    <n v="190801"/>
    <n v="190801"/>
    <m/>
    <n v="2"/>
    <n v="190801"/>
    <n v="48000"/>
  </r>
  <r>
    <x v="215"/>
    <x v="6"/>
    <m/>
    <x v="19"/>
    <x v="2"/>
    <x v="24"/>
    <n v="190801"/>
    <n v="190801"/>
    <m/>
    <n v="1"/>
    <n v="190801"/>
    <n v="33000"/>
  </r>
  <r>
    <x v="215"/>
    <x v="6"/>
    <m/>
    <x v="0"/>
    <x v="6"/>
    <x v="15"/>
    <n v="190801"/>
    <n v="190801"/>
    <m/>
    <n v="338"/>
    <n v="190801"/>
    <n v="3064984"/>
  </r>
  <r>
    <x v="215"/>
    <x v="6"/>
    <m/>
    <x v="0"/>
    <x v="6"/>
    <x v="17"/>
    <n v="190801"/>
    <n v="190801"/>
    <m/>
    <n v="271"/>
    <n v="190801"/>
    <n v="4286678"/>
  </r>
  <r>
    <x v="215"/>
    <x v="6"/>
    <m/>
    <x v="4"/>
    <x v="6"/>
    <x v="26"/>
    <n v="190801"/>
    <n v="190801"/>
    <m/>
    <n v="710"/>
    <n v="190801"/>
    <n v="761830"/>
  </r>
  <r>
    <x v="215"/>
    <x v="6"/>
    <m/>
    <x v="26"/>
    <x v="6"/>
    <x v="35"/>
    <n v="190801"/>
    <n v="190801"/>
    <m/>
    <n v="56"/>
    <n v="190801"/>
    <n v="959336"/>
  </r>
  <r>
    <x v="215"/>
    <x v="6"/>
    <m/>
    <x v="22"/>
    <x v="6"/>
    <x v="29"/>
    <n v="190801"/>
    <n v="190801"/>
    <m/>
    <n v="15"/>
    <n v="190801"/>
    <n v="295365"/>
  </r>
  <r>
    <x v="215"/>
    <x v="6"/>
    <m/>
    <x v="24"/>
    <x v="6"/>
    <x v="31"/>
    <n v="190801"/>
    <n v="190801"/>
    <m/>
    <n v="107"/>
    <n v="190801"/>
    <n v="1591839"/>
  </r>
  <r>
    <x v="215"/>
    <x v="6"/>
    <m/>
    <x v="23"/>
    <x v="6"/>
    <x v="30"/>
    <n v="190801"/>
    <n v="190801"/>
    <m/>
    <n v="88"/>
    <n v="190801"/>
    <n v="612832"/>
  </r>
  <r>
    <x v="215"/>
    <x v="6"/>
    <m/>
    <x v="20"/>
    <x v="6"/>
    <x v="25"/>
    <n v="190801"/>
    <n v="190801"/>
    <m/>
    <n v="22"/>
    <n v="190801"/>
    <n v="213752"/>
  </r>
  <r>
    <x v="215"/>
    <x v="6"/>
    <m/>
    <x v="1"/>
    <x v="6"/>
    <x v="18"/>
    <n v="190801"/>
    <n v="190801"/>
    <m/>
    <n v="3"/>
    <n v="190801"/>
    <n v="27615"/>
  </r>
  <r>
    <x v="215"/>
    <x v="6"/>
    <m/>
    <x v="19"/>
    <x v="6"/>
    <x v="22"/>
    <n v="190801"/>
    <n v="190801"/>
    <m/>
    <n v="4"/>
    <n v="190801"/>
    <n v="27164"/>
  </r>
  <r>
    <x v="215"/>
    <x v="6"/>
    <m/>
    <x v="27"/>
    <x v="6"/>
    <x v="36"/>
    <n v="190801"/>
    <n v="190801"/>
    <m/>
    <n v="473"/>
    <n v="190801"/>
    <n v="4473161"/>
  </r>
  <r>
    <x v="216"/>
    <x v="3"/>
    <m/>
    <x v="0"/>
    <x v="1"/>
    <x v="15"/>
    <n v="190801"/>
    <n v="190801"/>
    <m/>
    <n v="4"/>
    <n v="190801"/>
    <n v="80000"/>
  </r>
  <r>
    <x v="216"/>
    <x v="3"/>
    <m/>
    <x v="0"/>
    <x v="1"/>
    <x v="16"/>
    <n v="190801"/>
    <n v="190801"/>
    <m/>
    <n v="38"/>
    <n v="190801"/>
    <n v="1330000"/>
  </r>
  <r>
    <x v="216"/>
    <x v="3"/>
    <m/>
    <x v="0"/>
    <x v="7"/>
    <x v="15"/>
    <n v="190801"/>
    <n v="190801"/>
    <m/>
    <n v="3"/>
    <n v="190801"/>
    <n v="60000"/>
  </r>
  <r>
    <x v="216"/>
    <x v="3"/>
    <m/>
    <x v="25"/>
    <x v="2"/>
    <x v="34"/>
    <n v="190801"/>
    <n v="190801"/>
    <m/>
    <n v="6"/>
    <n v="190801"/>
    <n v="594000"/>
  </r>
  <r>
    <x v="216"/>
    <x v="3"/>
    <m/>
    <x v="1"/>
    <x v="2"/>
    <x v="18"/>
    <n v="190801"/>
    <n v="190801"/>
    <m/>
    <n v="2"/>
    <n v="190801"/>
    <n v="40000"/>
  </r>
  <r>
    <x v="216"/>
    <x v="3"/>
    <m/>
    <x v="4"/>
    <x v="2"/>
    <x v="26"/>
    <n v="190801"/>
    <n v="190801"/>
    <m/>
    <n v="3"/>
    <n v="190801"/>
    <n v="12000"/>
  </r>
  <r>
    <x v="216"/>
    <x v="3"/>
    <m/>
    <x v="4"/>
    <x v="2"/>
    <x v="27"/>
    <n v="190801"/>
    <n v="190801"/>
    <m/>
    <n v="10"/>
    <n v="190801"/>
    <n v="200000"/>
  </r>
  <r>
    <x v="216"/>
    <x v="3"/>
    <m/>
    <x v="0"/>
    <x v="2"/>
    <x v="15"/>
    <n v="190801"/>
    <n v="190801"/>
    <m/>
    <n v="49"/>
    <n v="190801"/>
    <n v="980000"/>
  </r>
  <r>
    <x v="216"/>
    <x v="3"/>
    <m/>
    <x v="0"/>
    <x v="2"/>
    <x v="16"/>
    <n v="190801"/>
    <n v="190801"/>
    <m/>
    <n v="46"/>
    <n v="190801"/>
    <n v="1610000"/>
  </r>
  <r>
    <x v="216"/>
    <x v="3"/>
    <m/>
    <x v="0"/>
    <x v="2"/>
    <x v="17"/>
    <n v="190801"/>
    <n v="190801"/>
    <m/>
    <n v="57"/>
    <n v="190801"/>
    <n v="1881000"/>
  </r>
  <r>
    <x v="216"/>
    <x v="3"/>
    <m/>
    <x v="0"/>
    <x v="2"/>
    <x v="19"/>
    <n v="190801"/>
    <n v="190801"/>
    <m/>
    <n v="53"/>
    <n v="190801"/>
    <n v="159000"/>
  </r>
  <r>
    <x v="216"/>
    <x v="3"/>
    <m/>
    <x v="5"/>
    <x v="2"/>
    <x v="28"/>
    <n v="190801"/>
    <n v="190801"/>
    <m/>
    <n v="15"/>
    <n v="190801"/>
    <n v="420000"/>
  </r>
  <r>
    <x v="216"/>
    <x v="3"/>
    <m/>
    <x v="22"/>
    <x v="2"/>
    <x v="29"/>
    <n v="190801"/>
    <n v="190801"/>
    <m/>
    <n v="4"/>
    <n v="190801"/>
    <n v="152000"/>
  </r>
  <r>
    <x v="216"/>
    <x v="3"/>
    <m/>
    <x v="19"/>
    <x v="2"/>
    <x v="22"/>
    <n v="190801"/>
    <n v="190801"/>
    <m/>
    <n v="4"/>
    <n v="190801"/>
    <n v="52000"/>
  </r>
  <r>
    <x v="216"/>
    <x v="3"/>
    <m/>
    <x v="19"/>
    <x v="2"/>
    <x v="23"/>
    <n v="190801"/>
    <n v="190801"/>
    <m/>
    <n v="1"/>
    <n v="190801"/>
    <n v="24000"/>
  </r>
  <r>
    <x v="216"/>
    <x v="3"/>
    <m/>
    <x v="19"/>
    <x v="2"/>
    <x v="24"/>
    <n v="190801"/>
    <n v="190801"/>
    <m/>
    <n v="1"/>
    <n v="190801"/>
    <n v="33000"/>
  </r>
  <r>
    <x v="216"/>
    <x v="3"/>
    <m/>
    <x v="0"/>
    <x v="4"/>
    <x v="15"/>
    <n v="190801"/>
    <n v="190801"/>
    <m/>
    <n v="121"/>
    <n v="190801"/>
    <n v="3811500"/>
  </r>
  <r>
    <x v="216"/>
    <x v="3"/>
    <m/>
    <x v="0"/>
    <x v="4"/>
    <x v="16"/>
    <n v="190801"/>
    <n v="190801"/>
    <m/>
    <n v="42"/>
    <n v="190801"/>
    <n v="1848000"/>
  </r>
  <r>
    <x v="216"/>
    <x v="3"/>
    <m/>
    <x v="5"/>
    <x v="4"/>
    <x v="28"/>
    <n v="190801"/>
    <n v="190801"/>
    <m/>
    <n v="10"/>
    <n v="190801"/>
    <n v="380000"/>
  </r>
  <r>
    <x v="216"/>
    <x v="3"/>
    <m/>
    <x v="19"/>
    <x v="4"/>
    <x v="22"/>
    <n v="190801"/>
    <n v="190801"/>
    <m/>
    <n v="2"/>
    <n v="190801"/>
    <n v="50000"/>
  </r>
  <r>
    <x v="216"/>
    <x v="3"/>
    <m/>
    <x v="4"/>
    <x v="4"/>
    <x v="27"/>
    <n v="190801"/>
    <n v="190801"/>
    <m/>
    <n v="1"/>
    <n v="190801"/>
    <n v="36000"/>
  </r>
  <r>
    <x v="216"/>
    <x v="3"/>
    <m/>
    <x v="1"/>
    <x v="4"/>
    <x v="18"/>
    <n v="190801"/>
    <n v="190801"/>
    <m/>
    <n v="1"/>
    <n v="190801"/>
    <n v="31500"/>
  </r>
  <r>
    <x v="217"/>
    <x v="4"/>
    <m/>
    <x v="0"/>
    <x v="7"/>
    <x v="15"/>
    <n v="190801"/>
    <n v="190801"/>
    <m/>
    <n v="5"/>
    <n v="190801"/>
    <n v="100000"/>
  </r>
  <r>
    <x v="217"/>
    <x v="4"/>
    <m/>
    <x v="25"/>
    <x v="2"/>
    <x v="34"/>
    <n v="190801"/>
    <n v="190801"/>
    <m/>
    <n v="5"/>
    <n v="190801"/>
    <n v="495000"/>
  </r>
  <r>
    <x v="217"/>
    <x v="4"/>
    <m/>
    <x v="1"/>
    <x v="2"/>
    <x v="18"/>
    <n v="190801"/>
    <n v="190801"/>
    <m/>
    <n v="3"/>
    <n v="190801"/>
    <n v="60000"/>
  </r>
  <r>
    <x v="217"/>
    <x v="4"/>
    <m/>
    <x v="1"/>
    <x v="2"/>
    <x v="21"/>
    <n v="190801"/>
    <n v="190801"/>
    <m/>
    <n v="1"/>
    <n v="190801"/>
    <n v="35000"/>
  </r>
  <r>
    <x v="217"/>
    <x v="4"/>
    <m/>
    <x v="4"/>
    <x v="2"/>
    <x v="26"/>
    <n v="190801"/>
    <n v="190801"/>
    <m/>
    <n v="3"/>
    <n v="190801"/>
    <n v="12000"/>
  </r>
  <r>
    <x v="217"/>
    <x v="4"/>
    <m/>
    <x v="4"/>
    <x v="2"/>
    <x v="27"/>
    <n v="190801"/>
    <n v="190801"/>
    <m/>
    <n v="5"/>
    <n v="190801"/>
    <n v="100000"/>
  </r>
  <r>
    <x v="217"/>
    <x v="4"/>
    <m/>
    <x v="0"/>
    <x v="2"/>
    <x v="15"/>
    <n v="190801"/>
    <n v="190801"/>
    <m/>
    <n v="62"/>
    <n v="190801"/>
    <n v="1240000"/>
  </r>
  <r>
    <x v="217"/>
    <x v="4"/>
    <m/>
    <x v="0"/>
    <x v="2"/>
    <x v="16"/>
    <n v="190801"/>
    <n v="190801"/>
    <m/>
    <n v="63"/>
    <n v="190801"/>
    <n v="2205000"/>
  </r>
  <r>
    <x v="217"/>
    <x v="4"/>
    <m/>
    <x v="0"/>
    <x v="2"/>
    <x v="17"/>
    <n v="190801"/>
    <n v="190801"/>
    <m/>
    <n v="50"/>
    <n v="190801"/>
    <n v="1650000"/>
  </r>
  <r>
    <x v="217"/>
    <x v="4"/>
    <m/>
    <x v="0"/>
    <x v="2"/>
    <x v="19"/>
    <n v="190801"/>
    <n v="190801"/>
    <m/>
    <n v="58"/>
    <n v="190801"/>
    <n v="174000"/>
  </r>
  <r>
    <x v="217"/>
    <x v="4"/>
    <m/>
    <x v="5"/>
    <x v="2"/>
    <x v="28"/>
    <n v="190801"/>
    <n v="190801"/>
    <m/>
    <n v="16"/>
    <n v="190801"/>
    <n v="448000"/>
  </r>
  <r>
    <x v="217"/>
    <x v="4"/>
    <m/>
    <x v="22"/>
    <x v="2"/>
    <x v="29"/>
    <n v="190801"/>
    <n v="190801"/>
    <m/>
    <n v="10"/>
    <n v="190801"/>
    <n v="380000"/>
  </r>
  <r>
    <x v="217"/>
    <x v="4"/>
    <m/>
    <x v="19"/>
    <x v="2"/>
    <x v="22"/>
    <n v="190801"/>
    <n v="190801"/>
    <m/>
    <n v="7"/>
    <n v="190801"/>
    <n v="91000"/>
  </r>
  <r>
    <x v="217"/>
    <x v="4"/>
    <m/>
    <x v="19"/>
    <x v="2"/>
    <x v="23"/>
    <n v="190801"/>
    <n v="190801"/>
    <m/>
    <n v="1"/>
    <n v="190801"/>
    <n v="24000"/>
  </r>
  <r>
    <x v="217"/>
    <x v="4"/>
    <m/>
    <x v="19"/>
    <x v="2"/>
    <x v="24"/>
    <n v="190801"/>
    <n v="190801"/>
    <m/>
    <n v="2"/>
    <n v="190801"/>
    <n v="66000"/>
  </r>
  <r>
    <x v="218"/>
    <x v="1"/>
    <m/>
    <x v="0"/>
    <x v="1"/>
    <x v="15"/>
    <n v="190801"/>
    <n v="190801"/>
    <m/>
    <n v="2"/>
    <n v="190801"/>
    <n v="40000"/>
  </r>
  <r>
    <x v="218"/>
    <x v="1"/>
    <m/>
    <x v="0"/>
    <x v="1"/>
    <x v="16"/>
    <n v="190801"/>
    <n v="190801"/>
    <m/>
    <n v="22"/>
    <n v="190801"/>
    <n v="770000"/>
  </r>
  <r>
    <x v="218"/>
    <x v="1"/>
    <m/>
    <x v="0"/>
    <x v="7"/>
    <x v="15"/>
    <n v="190801"/>
    <n v="190801"/>
    <m/>
    <n v="7"/>
    <n v="190801"/>
    <n v="140000"/>
  </r>
  <r>
    <x v="218"/>
    <x v="1"/>
    <m/>
    <x v="25"/>
    <x v="2"/>
    <x v="34"/>
    <n v="190801"/>
    <n v="190801"/>
    <m/>
    <n v="12"/>
    <n v="190801"/>
    <n v="1188000"/>
  </r>
  <r>
    <x v="218"/>
    <x v="1"/>
    <m/>
    <x v="1"/>
    <x v="2"/>
    <x v="18"/>
    <n v="190801"/>
    <n v="190801"/>
    <m/>
    <n v="4"/>
    <n v="190801"/>
    <n v="80000"/>
  </r>
  <r>
    <x v="218"/>
    <x v="1"/>
    <m/>
    <x v="4"/>
    <x v="2"/>
    <x v="26"/>
    <n v="190801"/>
    <n v="190801"/>
    <m/>
    <n v="9"/>
    <n v="190801"/>
    <n v="36000"/>
  </r>
  <r>
    <x v="218"/>
    <x v="1"/>
    <m/>
    <x v="4"/>
    <x v="2"/>
    <x v="27"/>
    <n v="190801"/>
    <n v="190801"/>
    <m/>
    <n v="7"/>
    <n v="190801"/>
    <n v="140000"/>
  </r>
  <r>
    <x v="218"/>
    <x v="1"/>
    <m/>
    <x v="0"/>
    <x v="2"/>
    <x v="15"/>
    <n v="190801"/>
    <n v="190801"/>
    <m/>
    <n v="62"/>
    <n v="190801"/>
    <n v="1240000"/>
  </r>
  <r>
    <x v="218"/>
    <x v="1"/>
    <m/>
    <x v="0"/>
    <x v="2"/>
    <x v="16"/>
    <n v="190801"/>
    <n v="190801"/>
    <m/>
    <n v="50"/>
    <n v="190801"/>
    <n v="1750000"/>
  </r>
  <r>
    <x v="218"/>
    <x v="1"/>
    <m/>
    <x v="0"/>
    <x v="2"/>
    <x v="17"/>
    <n v="190801"/>
    <n v="190801"/>
    <m/>
    <n v="58"/>
    <n v="190801"/>
    <n v="1914000"/>
  </r>
  <r>
    <x v="218"/>
    <x v="1"/>
    <m/>
    <x v="0"/>
    <x v="2"/>
    <x v="19"/>
    <n v="190801"/>
    <n v="190801"/>
    <m/>
    <n v="77"/>
    <n v="190801"/>
    <n v="231000"/>
  </r>
  <r>
    <x v="218"/>
    <x v="1"/>
    <m/>
    <x v="5"/>
    <x v="2"/>
    <x v="28"/>
    <n v="190801"/>
    <n v="190801"/>
    <m/>
    <n v="12"/>
    <n v="190801"/>
    <n v="336000"/>
  </r>
  <r>
    <x v="218"/>
    <x v="1"/>
    <m/>
    <x v="22"/>
    <x v="2"/>
    <x v="29"/>
    <n v="190801"/>
    <n v="190801"/>
    <m/>
    <n v="8"/>
    <n v="190801"/>
    <n v="304000"/>
  </r>
  <r>
    <x v="218"/>
    <x v="1"/>
    <m/>
    <x v="19"/>
    <x v="2"/>
    <x v="22"/>
    <n v="190801"/>
    <n v="190801"/>
    <m/>
    <n v="12"/>
    <n v="190801"/>
    <n v="156000"/>
  </r>
  <r>
    <x v="218"/>
    <x v="1"/>
    <m/>
    <x v="19"/>
    <x v="2"/>
    <x v="23"/>
    <n v="190801"/>
    <n v="190801"/>
    <m/>
    <n v="5"/>
    <n v="190801"/>
    <n v="120000"/>
  </r>
  <r>
    <x v="218"/>
    <x v="1"/>
    <m/>
    <x v="19"/>
    <x v="2"/>
    <x v="24"/>
    <n v="190801"/>
    <n v="190801"/>
    <m/>
    <n v="1"/>
    <n v="190801"/>
    <n v="33000"/>
  </r>
  <r>
    <x v="218"/>
    <x v="1"/>
    <m/>
    <x v="0"/>
    <x v="4"/>
    <x v="15"/>
    <n v="190801"/>
    <n v="190801"/>
    <m/>
    <n v="38"/>
    <n v="190801"/>
    <n v="1197000"/>
  </r>
  <r>
    <x v="218"/>
    <x v="1"/>
    <m/>
    <x v="0"/>
    <x v="4"/>
    <x v="16"/>
    <n v="190801"/>
    <n v="190801"/>
    <m/>
    <n v="8"/>
    <n v="190801"/>
    <n v="352000"/>
  </r>
  <r>
    <x v="218"/>
    <x v="1"/>
    <m/>
    <x v="5"/>
    <x v="4"/>
    <x v="28"/>
    <n v="190801"/>
    <n v="190801"/>
    <m/>
    <n v="3"/>
    <n v="190801"/>
    <n v="114000"/>
  </r>
  <r>
    <x v="218"/>
    <x v="1"/>
    <m/>
    <x v="4"/>
    <x v="4"/>
    <x v="27"/>
    <n v="190801"/>
    <n v="190801"/>
    <m/>
    <n v="1"/>
    <n v="190801"/>
    <n v="36000"/>
  </r>
  <r>
    <x v="219"/>
    <x v="0"/>
    <m/>
    <x v="0"/>
    <x v="1"/>
    <x v="15"/>
    <n v="190801"/>
    <n v="190801"/>
    <m/>
    <n v="2"/>
    <n v="190801"/>
    <n v="40000"/>
  </r>
  <r>
    <x v="219"/>
    <x v="0"/>
    <m/>
    <x v="0"/>
    <x v="1"/>
    <x v="16"/>
    <n v="190801"/>
    <n v="190801"/>
    <m/>
    <n v="5"/>
    <n v="190801"/>
    <n v="175000"/>
  </r>
  <r>
    <x v="219"/>
    <x v="0"/>
    <m/>
    <x v="0"/>
    <x v="7"/>
    <x v="15"/>
    <n v="190801"/>
    <n v="190801"/>
    <m/>
    <n v="4"/>
    <n v="190801"/>
    <n v="80000"/>
  </r>
  <r>
    <x v="219"/>
    <x v="0"/>
    <m/>
    <x v="0"/>
    <x v="5"/>
    <x v="15"/>
    <n v="190801"/>
    <n v="190801"/>
    <m/>
    <n v="200"/>
    <n v="190801"/>
    <n v="2045400"/>
  </r>
  <r>
    <x v="219"/>
    <x v="0"/>
    <m/>
    <x v="25"/>
    <x v="2"/>
    <x v="34"/>
    <n v="190801"/>
    <n v="190801"/>
    <m/>
    <n v="11"/>
    <n v="190801"/>
    <n v="1089000"/>
  </r>
  <r>
    <x v="219"/>
    <x v="0"/>
    <m/>
    <x v="1"/>
    <x v="2"/>
    <x v="18"/>
    <n v="190801"/>
    <n v="190801"/>
    <m/>
    <n v="3"/>
    <n v="190801"/>
    <n v="60000"/>
  </r>
  <r>
    <x v="219"/>
    <x v="0"/>
    <m/>
    <x v="1"/>
    <x v="2"/>
    <x v="21"/>
    <n v="190801"/>
    <n v="190801"/>
    <m/>
    <n v="1"/>
    <n v="190801"/>
    <n v="35000"/>
  </r>
  <r>
    <x v="219"/>
    <x v="0"/>
    <m/>
    <x v="4"/>
    <x v="2"/>
    <x v="26"/>
    <n v="190801"/>
    <n v="190801"/>
    <m/>
    <n v="2"/>
    <n v="190801"/>
    <n v="8000"/>
  </r>
  <r>
    <x v="219"/>
    <x v="0"/>
    <m/>
    <x v="4"/>
    <x v="2"/>
    <x v="27"/>
    <n v="190801"/>
    <n v="190801"/>
    <m/>
    <n v="1"/>
    <n v="190801"/>
    <n v="20000"/>
  </r>
  <r>
    <x v="219"/>
    <x v="0"/>
    <m/>
    <x v="0"/>
    <x v="2"/>
    <x v="15"/>
    <n v="190801"/>
    <n v="190801"/>
    <m/>
    <n v="56"/>
    <n v="190801"/>
    <n v="1120000"/>
  </r>
  <r>
    <x v="219"/>
    <x v="0"/>
    <m/>
    <x v="0"/>
    <x v="2"/>
    <x v="16"/>
    <n v="190801"/>
    <n v="190801"/>
    <m/>
    <n v="52"/>
    <n v="190801"/>
    <n v="1820000"/>
  </r>
  <r>
    <x v="219"/>
    <x v="0"/>
    <m/>
    <x v="0"/>
    <x v="2"/>
    <x v="17"/>
    <n v="190801"/>
    <n v="190801"/>
    <m/>
    <n v="48"/>
    <n v="190801"/>
    <n v="1584000"/>
  </r>
  <r>
    <x v="219"/>
    <x v="0"/>
    <m/>
    <x v="0"/>
    <x v="2"/>
    <x v="19"/>
    <n v="190801"/>
    <n v="190801"/>
    <m/>
    <n v="73"/>
    <n v="190801"/>
    <n v="219000"/>
  </r>
  <r>
    <x v="219"/>
    <x v="0"/>
    <m/>
    <x v="5"/>
    <x v="2"/>
    <x v="28"/>
    <n v="190801"/>
    <n v="190801"/>
    <m/>
    <n v="13"/>
    <n v="190801"/>
    <n v="364000"/>
  </r>
  <r>
    <x v="219"/>
    <x v="0"/>
    <m/>
    <x v="22"/>
    <x v="2"/>
    <x v="29"/>
    <n v="190801"/>
    <n v="190801"/>
    <m/>
    <n v="6"/>
    <n v="190801"/>
    <n v="228000"/>
  </r>
  <r>
    <x v="219"/>
    <x v="0"/>
    <m/>
    <x v="19"/>
    <x v="2"/>
    <x v="22"/>
    <n v="190801"/>
    <n v="190801"/>
    <m/>
    <n v="11"/>
    <n v="190801"/>
    <n v="143000"/>
  </r>
  <r>
    <x v="219"/>
    <x v="0"/>
    <m/>
    <x v="19"/>
    <x v="2"/>
    <x v="23"/>
    <n v="190801"/>
    <n v="190801"/>
    <m/>
    <n v="2"/>
    <n v="190801"/>
    <n v="48000"/>
  </r>
  <r>
    <x v="219"/>
    <x v="0"/>
    <m/>
    <x v="0"/>
    <x v="4"/>
    <x v="15"/>
    <n v="190801"/>
    <n v="190801"/>
    <m/>
    <n v="11"/>
    <n v="190801"/>
    <n v="346500"/>
  </r>
  <r>
    <x v="219"/>
    <x v="0"/>
    <m/>
    <x v="0"/>
    <x v="4"/>
    <x v="16"/>
    <n v="190801"/>
    <n v="190801"/>
    <m/>
    <n v="7"/>
    <n v="190801"/>
    <n v="308000"/>
  </r>
  <r>
    <x v="219"/>
    <x v="0"/>
    <m/>
    <x v="5"/>
    <x v="4"/>
    <x v="28"/>
    <n v="190801"/>
    <n v="190801"/>
    <m/>
    <n v="1"/>
    <n v="190801"/>
    <n v="38000"/>
  </r>
  <r>
    <x v="219"/>
    <x v="0"/>
    <m/>
    <x v="19"/>
    <x v="4"/>
    <x v="22"/>
    <n v="190801"/>
    <n v="190801"/>
    <m/>
    <n v="1"/>
    <n v="190801"/>
    <n v="25000"/>
  </r>
  <r>
    <x v="220"/>
    <x v="2"/>
    <m/>
    <x v="0"/>
    <x v="1"/>
    <x v="15"/>
    <n v="190801"/>
    <n v="190801"/>
    <m/>
    <n v="1"/>
    <n v="190801"/>
    <n v="20000"/>
  </r>
  <r>
    <x v="220"/>
    <x v="2"/>
    <m/>
    <x v="0"/>
    <x v="1"/>
    <x v="16"/>
    <n v="190801"/>
    <n v="190801"/>
    <m/>
    <n v="5"/>
    <n v="190801"/>
    <n v="175000"/>
  </r>
  <r>
    <x v="220"/>
    <x v="2"/>
    <m/>
    <x v="0"/>
    <x v="7"/>
    <x v="15"/>
    <n v="190801"/>
    <n v="190801"/>
    <m/>
    <n v="2"/>
    <n v="190801"/>
    <n v="40000"/>
  </r>
  <r>
    <x v="220"/>
    <x v="2"/>
    <m/>
    <x v="25"/>
    <x v="2"/>
    <x v="34"/>
    <n v="190801"/>
    <n v="190801"/>
    <m/>
    <n v="6"/>
    <n v="190801"/>
    <n v="594000"/>
  </r>
  <r>
    <x v="220"/>
    <x v="2"/>
    <m/>
    <x v="1"/>
    <x v="2"/>
    <x v="18"/>
    <n v="190801"/>
    <n v="190801"/>
    <m/>
    <n v="1"/>
    <n v="190801"/>
    <n v="20000"/>
  </r>
  <r>
    <x v="220"/>
    <x v="2"/>
    <m/>
    <x v="4"/>
    <x v="2"/>
    <x v="26"/>
    <n v="190801"/>
    <n v="190801"/>
    <m/>
    <n v="3"/>
    <n v="190801"/>
    <n v="12000"/>
  </r>
  <r>
    <x v="220"/>
    <x v="2"/>
    <m/>
    <x v="4"/>
    <x v="2"/>
    <x v="27"/>
    <n v="190801"/>
    <n v="190801"/>
    <m/>
    <n v="6"/>
    <n v="190801"/>
    <n v="120000"/>
  </r>
  <r>
    <x v="220"/>
    <x v="2"/>
    <m/>
    <x v="0"/>
    <x v="2"/>
    <x v="15"/>
    <n v="190801"/>
    <n v="190801"/>
    <m/>
    <n v="77"/>
    <n v="190801"/>
    <n v="1540000"/>
  </r>
  <r>
    <x v="220"/>
    <x v="2"/>
    <m/>
    <x v="0"/>
    <x v="2"/>
    <x v="16"/>
    <n v="190801"/>
    <n v="190801"/>
    <m/>
    <n v="76"/>
    <n v="190801"/>
    <n v="2660000"/>
  </r>
  <r>
    <x v="220"/>
    <x v="2"/>
    <m/>
    <x v="0"/>
    <x v="2"/>
    <x v="17"/>
    <n v="190801"/>
    <n v="190801"/>
    <m/>
    <n v="77"/>
    <n v="190801"/>
    <n v="2541000"/>
  </r>
  <r>
    <x v="220"/>
    <x v="2"/>
    <m/>
    <x v="0"/>
    <x v="2"/>
    <x v="19"/>
    <n v="190801"/>
    <n v="190801"/>
    <m/>
    <n v="78"/>
    <n v="190801"/>
    <n v="234000"/>
  </r>
  <r>
    <x v="220"/>
    <x v="2"/>
    <m/>
    <x v="5"/>
    <x v="2"/>
    <x v="28"/>
    <n v="190801"/>
    <n v="190801"/>
    <m/>
    <n v="10"/>
    <n v="190801"/>
    <n v="280000"/>
  </r>
  <r>
    <x v="220"/>
    <x v="2"/>
    <m/>
    <x v="22"/>
    <x v="2"/>
    <x v="29"/>
    <n v="190801"/>
    <n v="190801"/>
    <m/>
    <n v="2"/>
    <n v="190801"/>
    <n v="76000"/>
  </r>
  <r>
    <x v="220"/>
    <x v="2"/>
    <m/>
    <x v="0"/>
    <x v="4"/>
    <x v="15"/>
    <n v="190801"/>
    <n v="190801"/>
    <m/>
    <n v="18"/>
    <n v="190801"/>
    <n v="567000"/>
  </r>
  <r>
    <x v="220"/>
    <x v="2"/>
    <m/>
    <x v="0"/>
    <x v="4"/>
    <x v="16"/>
    <n v="190801"/>
    <n v="190801"/>
    <m/>
    <n v="10"/>
    <n v="190801"/>
    <n v="440000"/>
  </r>
  <r>
    <x v="220"/>
    <x v="2"/>
    <m/>
    <x v="5"/>
    <x v="4"/>
    <x v="28"/>
    <n v="190801"/>
    <n v="190801"/>
    <m/>
    <n v="3"/>
    <n v="190801"/>
    <n v="114000"/>
  </r>
  <r>
    <x v="220"/>
    <x v="2"/>
    <m/>
    <x v="19"/>
    <x v="2"/>
    <x v="22"/>
    <n v="190801"/>
    <n v="190801"/>
    <m/>
    <n v="7"/>
    <n v="190801"/>
    <n v="91000"/>
  </r>
  <r>
    <x v="220"/>
    <x v="2"/>
    <m/>
    <x v="19"/>
    <x v="2"/>
    <x v="23"/>
    <n v="190801"/>
    <n v="190801"/>
    <m/>
    <n v="1"/>
    <n v="190801"/>
    <n v="24000"/>
  </r>
  <r>
    <x v="220"/>
    <x v="2"/>
    <m/>
    <x v="19"/>
    <x v="2"/>
    <x v="24"/>
    <n v="190801"/>
    <n v="190801"/>
    <m/>
    <n v="1"/>
    <n v="190801"/>
    <n v="33000"/>
  </r>
  <r>
    <x v="221"/>
    <x v="5"/>
    <m/>
    <x v="0"/>
    <x v="7"/>
    <x v="15"/>
    <n v="190801"/>
    <n v="190801"/>
    <m/>
    <n v="2"/>
    <n v="190801"/>
    <n v="40000"/>
  </r>
  <r>
    <x v="221"/>
    <x v="5"/>
    <m/>
    <x v="25"/>
    <x v="2"/>
    <x v="34"/>
    <n v="190801"/>
    <n v="190801"/>
    <m/>
    <n v="2"/>
    <n v="190801"/>
    <n v="198000"/>
  </r>
  <r>
    <x v="221"/>
    <x v="5"/>
    <m/>
    <x v="1"/>
    <x v="2"/>
    <x v="18"/>
    <n v="190801"/>
    <n v="190801"/>
    <m/>
    <n v="2"/>
    <n v="190801"/>
    <n v="40000"/>
  </r>
  <r>
    <x v="221"/>
    <x v="5"/>
    <m/>
    <x v="1"/>
    <x v="2"/>
    <x v="21"/>
    <n v="190801"/>
    <n v="190801"/>
    <m/>
    <n v="2"/>
    <n v="190801"/>
    <n v="70000"/>
  </r>
  <r>
    <x v="221"/>
    <x v="5"/>
    <m/>
    <x v="4"/>
    <x v="2"/>
    <x v="26"/>
    <n v="190801"/>
    <n v="190801"/>
    <m/>
    <n v="3"/>
    <n v="190801"/>
    <n v="12000"/>
  </r>
  <r>
    <x v="221"/>
    <x v="5"/>
    <m/>
    <x v="4"/>
    <x v="2"/>
    <x v="27"/>
    <n v="190801"/>
    <n v="190801"/>
    <m/>
    <n v="3"/>
    <n v="190801"/>
    <n v="60000"/>
  </r>
  <r>
    <x v="221"/>
    <x v="5"/>
    <m/>
    <x v="0"/>
    <x v="2"/>
    <x v="15"/>
    <n v="190801"/>
    <n v="190801"/>
    <m/>
    <n v="52"/>
    <n v="190801"/>
    <n v="1040000"/>
  </r>
  <r>
    <x v="221"/>
    <x v="5"/>
    <m/>
    <x v="0"/>
    <x v="2"/>
    <x v="16"/>
    <n v="190801"/>
    <n v="190801"/>
    <m/>
    <n v="35"/>
    <n v="190801"/>
    <n v="1225000"/>
  </r>
  <r>
    <x v="221"/>
    <x v="5"/>
    <m/>
    <x v="0"/>
    <x v="2"/>
    <x v="17"/>
    <n v="190801"/>
    <n v="190801"/>
    <m/>
    <n v="60"/>
    <n v="190801"/>
    <n v="1980000"/>
  </r>
  <r>
    <x v="221"/>
    <x v="5"/>
    <m/>
    <x v="0"/>
    <x v="2"/>
    <x v="19"/>
    <n v="190801"/>
    <n v="190801"/>
    <m/>
    <n v="46"/>
    <n v="190801"/>
    <n v="138000"/>
  </r>
  <r>
    <x v="221"/>
    <x v="5"/>
    <m/>
    <x v="5"/>
    <x v="2"/>
    <x v="28"/>
    <n v="190801"/>
    <n v="190801"/>
    <m/>
    <n v="16"/>
    <n v="190801"/>
    <n v="448000"/>
  </r>
  <r>
    <x v="221"/>
    <x v="5"/>
    <m/>
    <x v="22"/>
    <x v="2"/>
    <x v="29"/>
    <n v="190801"/>
    <n v="190801"/>
    <m/>
    <n v="6"/>
    <n v="190801"/>
    <n v="228000"/>
  </r>
  <r>
    <x v="221"/>
    <x v="5"/>
    <m/>
    <x v="19"/>
    <x v="2"/>
    <x v="22"/>
    <n v="190801"/>
    <n v="190801"/>
    <m/>
    <n v="7"/>
    <n v="190801"/>
    <n v="91000"/>
  </r>
  <r>
    <x v="221"/>
    <x v="5"/>
    <m/>
    <x v="19"/>
    <x v="2"/>
    <x v="24"/>
    <n v="190801"/>
    <n v="190801"/>
    <m/>
    <n v="1"/>
    <n v="190801"/>
    <n v="33000"/>
  </r>
  <r>
    <x v="222"/>
    <x v="6"/>
    <m/>
    <x v="0"/>
    <x v="7"/>
    <x v="15"/>
    <n v="190801"/>
    <n v="190801"/>
    <m/>
    <n v="6"/>
    <n v="190801"/>
    <n v="120000"/>
  </r>
  <r>
    <x v="222"/>
    <x v="6"/>
    <m/>
    <x v="25"/>
    <x v="2"/>
    <x v="34"/>
    <n v="190801"/>
    <n v="190801"/>
    <m/>
    <n v="4"/>
    <n v="190801"/>
    <n v="396000"/>
  </r>
  <r>
    <x v="222"/>
    <x v="6"/>
    <m/>
    <x v="1"/>
    <x v="2"/>
    <x v="18"/>
    <n v="190801"/>
    <n v="190801"/>
    <m/>
    <n v="2"/>
    <n v="190801"/>
    <n v="40000"/>
  </r>
  <r>
    <x v="222"/>
    <x v="6"/>
    <m/>
    <x v="4"/>
    <x v="2"/>
    <x v="27"/>
    <n v="190801"/>
    <n v="190801"/>
    <m/>
    <n v="1"/>
    <n v="190801"/>
    <n v="20000"/>
  </r>
  <r>
    <x v="222"/>
    <x v="6"/>
    <m/>
    <x v="0"/>
    <x v="2"/>
    <x v="15"/>
    <n v="190801"/>
    <n v="190801"/>
    <m/>
    <n v="59"/>
    <n v="190801"/>
    <n v="1180000"/>
  </r>
  <r>
    <x v="222"/>
    <x v="6"/>
    <m/>
    <x v="0"/>
    <x v="2"/>
    <x v="16"/>
    <n v="190801"/>
    <n v="190801"/>
    <m/>
    <n v="61"/>
    <n v="190801"/>
    <n v="2135000"/>
  </r>
  <r>
    <x v="222"/>
    <x v="6"/>
    <m/>
    <x v="0"/>
    <x v="2"/>
    <x v="17"/>
    <n v="190801"/>
    <n v="190801"/>
    <m/>
    <n v="58"/>
    <n v="190801"/>
    <n v="1914000"/>
  </r>
  <r>
    <x v="222"/>
    <x v="6"/>
    <m/>
    <x v="0"/>
    <x v="2"/>
    <x v="19"/>
    <n v="190801"/>
    <n v="190801"/>
    <m/>
    <n v="67"/>
    <n v="190801"/>
    <n v="201000"/>
  </r>
  <r>
    <x v="222"/>
    <x v="6"/>
    <m/>
    <x v="5"/>
    <x v="2"/>
    <x v="28"/>
    <n v="190801"/>
    <n v="190801"/>
    <m/>
    <n v="12"/>
    <n v="190801"/>
    <n v="336000"/>
  </r>
  <r>
    <x v="222"/>
    <x v="6"/>
    <m/>
    <x v="22"/>
    <x v="2"/>
    <x v="29"/>
    <n v="190801"/>
    <n v="190801"/>
    <m/>
    <n v="5"/>
    <n v="190801"/>
    <n v="190000"/>
  </r>
  <r>
    <x v="222"/>
    <x v="6"/>
    <m/>
    <x v="19"/>
    <x v="2"/>
    <x v="22"/>
    <n v="190801"/>
    <n v="190801"/>
    <m/>
    <n v="7"/>
    <n v="190801"/>
    <n v="91000"/>
  </r>
  <r>
    <x v="222"/>
    <x v="6"/>
    <m/>
    <x v="19"/>
    <x v="2"/>
    <x v="23"/>
    <n v="190801"/>
    <n v="190801"/>
    <m/>
    <n v="1"/>
    <n v="190801"/>
    <n v="24000"/>
  </r>
  <r>
    <x v="222"/>
    <x v="6"/>
    <m/>
    <x v="0"/>
    <x v="6"/>
    <x v="15"/>
    <n v="190801"/>
    <n v="190801"/>
    <m/>
    <n v="375"/>
    <n v="190801"/>
    <n v="3400500"/>
  </r>
  <r>
    <x v="222"/>
    <x v="6"/>
    <m/>
    <x v="0"/>
    <x v="6"/>
    <x v="17"/>
    <n v="190801"/>
    <n v="190801"/>
    <m/>
    <n v="15"/>
    <n v="190801"/>
    <n v="237270"/>
  </r>
  <r>
    <x v="222"/>
    <x v="6"/>
    <m/>
    <x v="4"/>
    <x v="6"/>
    <x v="26"/>
    <n v="190801"/>
    <n v="190801"/>
    <m/>
    <n v="718"/>
    <n v="190801"/>
    <n v="770414"/>
  </r>
  <r>
    <x v="222"/>
    <x v="6"/>
    <m/>
    <x v="26"/>
    <x v="6"/>
    <x v="35"/>
    <n v="190801"/>
    <n v="190801"/>
    <m/>
    <n v="85"/>
    <n v="190801"/>
    <n v="1456135"/>
  </r>
  <r>
    <x v="222"/>
    <x v="6"/>
    <m/>
    <x v="22"/>
    <x v="6"/>
    <x v="29"/>
    <n v="190801"/>
    <n v="190801"/>
    <m/>
    <n v="8"/>
    <n v="190801"/>
    <n v="157528"/>
  </r>
  <r>
    <x v="222"/>
    <x v="6"/>
    <m/>
    <x v="24"/>
    <x v="6"/>
    <x v="31"/>
    <n v="190801"/>
    <n v="190801"/>
    <m/>
    <n v="82"/>
    <n v="190801"/>
    <n v="1219914"/>
  </r>
  <r>
    <x v="222"/>
    <x v="6"/>
    <m/>
    <x v="23"/>
    <x v="6"/>
    <x v="30"/>
    <n v="190801"/>
    <n v="190801"/>
    <m/>
    <n v="69"/>
    <n v="190801"/>
    <n v="480516"/>
  </r>
  <r>
    <x v="222"/>
    <x v="6"/>
    <m/>
    <x v="20"/>
    <x v="6"/>
    <x v="25"/>
    <n v="190801"/>
    <n v="190801"/>
    <m/>
    <n v="15"/>
    <n v="190801"/>
    <n v="145740"/>
  </r>
  <r>
    <x v="222"/>
    <x v="6"/>
    <m/>
    <x v="1"/>
    <x v="6"/>
    <x v="18"/>
    <n v="190801"/>
    <n v="190801"/>
    <m/>
    <n v="12"/>
    <n v="190801"/>
    <n v="110460"/>
  </r>
  <r>
    <x v="222"/>
    <x v="6"/>
    <m/>
    <x v="19"/>
    <x v="6"/>
    <x v="22"/>
    <n v="190801"/>
    <n v="190801"/>
    <m/>
    <n v="4"/>
    <n v="190801"/>
    <n v="27164"/>
  </r>
  <r>
    <x v="222"/>
    <x v="6"/>
    <m/>
    <x v="27"/>
    <x v="6"/>
    <x v="36"/>
    <n v="190801"/>
    <n v="190801"/>
    <m/>
    <n v="1239"/>
    <n v="190801"/>
    <n v="11717223"/>
  </r>
  <r>
    <x v="223"/>
    <x v="3"/>
    <m/>
    <x v="0"/>
    <x v="1"/>
    <x v="15"/>
    <n v="190801"/>
    <n v="190801"/>
    <m/>
    <n v="1"/>
    <n v="190801"/>
    <n v="20000"/>
  </r>
  <r>
    <x v="223"/>
    <x v="3"/>
    <m/>
    <x v="0"/>
    <x v="1"/>
    <x v="16"/>
    <n v="190801"/>
    <n v="190801"/>
    <m/>
    <n v="9"/>
    <n v="190801"/>
    <n v="315000"/>
  </r>
  <r>
    <x v="223"/>
    <x v="3"/>
    <m/>
    <x v="0"/>
    <x v="7"/>
    <x v="15"/>
    <n v="190801"/>
    <n v="190801"/>
    <m/>
    <n v="5"/>
    <n v="190801"/>
    <n v="100000"/>
  </r>
  <r>
    <x v="223"/>
    <x v="3"/>
    <m/>
    <x v="0"/>
    <x v="5"/>
    <x v="15"/>
    <n v="190801"/>
    <n v="190801"/>
    <m/>
    <n v="300"/>
    <n v="190801"/>
    <n v="3068100"/>
  </r>
  <r>
    <x v="223"/>
    <x v="3"/>
    <m/>
    <x v="19"/>
    <x v="5"/>
    <x v="22"/>
    <n v="190801"/>
    <n v="190801"/>
    <m/>
    <n v="20"/>
    <n v="190801"/>
    <n v="130900"/>
  </r>
  <r>
    <x v="223"/>
    <x v="3"/>
    <m/>
    <x v="22"/>
    <x v="5"/>
    <x v="29"/>
    <n v="190801"/>
    <n v="190801"/>
    <m/>
    <n v="20"/>
    <n v="190801"/>
    <n v="310900"/>
  </r>
  <r>
    <x v="223"/>
    <x v="3"/>
    <m/>
    <x v="25"/>
    <x v="2"/>
    <x v="34"/>
    <n v="190801"/>
    <n v="190801"/>
    <m/>
    <n v="11"/>
    <n v="190801"/>
    <n v="1089000"/>
  </r>
  <r>
    <x v="223"/>
    <x v="3"/>
    <m/>
    <x v="1"/>
    <x v="2"/>
    <x v="18"/>
    <n v="190801"/>
    <n v="190801"/>
    <m/>
    <n v="2"/>
    <n v="190801"/>
    <n v="40000"/>
  </r>
  <r>
    <x v="223"/>
    <x v="3"/>
    <m/>
    <x v="4"/>
    <x v="2"/>
    <x v="26"/>
    <n v="190801"/>
    <n v="190801"/>
    <m/>
    <n v="1"/>
    <n v="190801"/>
    <n v="4000"/>
  </r>
  <r>
    <x v="223"/>
    <x v="3"/>
    <m/>
    <x v="4"/>
    <x v="2"/>
    <x v="27"/>
    <n v="190801"/>
    <n v="190801"/>
    <m/>
    <n v="5"/>
    <n v="190801"/>
    <n v="100000"/>
  </r>
  <r>
    <x v="223"/>
    <x v="3"/>
    <m/>
    <x v="0"/>
    <x v="2"/>
    <x v="15"/>
    <n v="190801"/>
    <n v="190801"/>
    <m/>
    <n v="60"/>
    <n v="190801"/>
    <n v="1200000"/>
  </r>
  <r>
    <x v="223"/>
    <x v="3"/>
    <m/>
    <x v="0"/>
    <x v="2"/>
    <x v="16"/>
    <n v="190801"/>
    <n v="190801"/>
    <m/>
    <n v="254"/>
    <n v="190801"/>
    <n v="8890000"/>
  </r>
  <r>
    <x v="223"/>
    <x v="3"/>
    <m/>
    <x v="0"/>
    <x v="2"/>
    <x v="17"/>
    <n v="190801"/>
    <n v="190801"/>
    <m/>
    <n v="63"/>
    <n v="190801"/>
    <n v="2079000"/>
  </r>
  <r>
    <x v="223"/>
    <x v="3"/>
    <m/>
    <x v="0"/>
    <x v="2"/>
    <x v="19"/>
    <n v="190801"/>
    <n v="190801"/>
    <m/>
    <n v="83"/>
    <n v="190801"/>
    <n v="249000"/>
  </r>
  <r>
    <x v="223"/>
    <x v="3"/>
    <m/>
    <x v="5"/>
    <x v="2"/>
    <x v="28"/>
    <n v="190801"/>
    <n v="190801"/>
    <m/>
    <n v="19"/>
    <n v="190801"/>
    <n v="532000"/>
  </r>
  <r>
    <x v="223"/>
    <x v="3"/>
    <m/>
    <x v="22"/>
    <x v="2"/>
    <x v="29"/>
    <n v="190801"/>
    <n v="190801"/>
    <m/>
    <n v="7"/>
    <n v="190801"/>
    <n v="266000"/>
  </r>
  <r>
    <x v="223"/>
    <x v="3"/>
    <m/>
    <x v="19"/>
    <x v="2"/>
    <x v="22"/>
    <n v="190801"/>
    <n v="190801"/>
    <m/>
    <n v="5"/>
    <n v="190801"/>
    <n v="65000"/>
  </r>
  <r>
    <x v="223"/>
    <x v="3"/>
    <m/>
    <x v="19"/>
    <x v="2"/>
    <x v="23"/>
    <n v="190801"/>
    <n v="190801"/>
    <m/>
    <n v="1"/>
    <n v="190801"/>
    <n v="24000"/>
  </r>
  <r>
    <x v="223"/>
    <x v="3"/>
    <m/>
    <x v="19"/>
    <x v="2"/>
    <x v="24"/>
    <n v="190801"/>
    <n v="190801"/>
    <m/>
    <n v="2"/>
    <n v="190801"/>
    <n v="66000"/>
  </r>
  <r>
    <x v="223"/>
    <x v="3"/>
    <m/>
    <x v="0"/>
    <x v="4"/>
    <x v="15"/>
    <n v="190801"/>
    <n v="190801"/>
    <m/>
    <n v="57"/>
    <n v="190801"/>
    <n v="1795500"/>
  </r>
  <r>
    <x v="223"/>
    <x v="3"/>
    <m/>
    <x v="0"/>
    <x v="4"/>
    <x v="16"/>
    <n v="190801"/>
    <n v="190801"/>
    <m/>
    <n v="37"/>
    <n v="190801"/>
    <n v="1628000"/>
  </r>
  <r>
    <x v="223"/>
    <x v="3"/>
    <m/>
    <x v="5"/>
    <x v="4"/>
    <x v="28"/>
    <n v="190801"/>
    <n v="190801"/>
    <m/>
    <n v="6"/>
    <n v="190801"/>
    <n v="228000"/>
  </r>
  <r>
    <x v="223"/>
    <x v="3"/>
    <m/>
    <x v="1"/>
    <x v="4"/>
    <x v="18"/>
    <n v="190801"/>
    <n v="190801"/>
    <m/>
    <n v="2"/>
    <n v="190801"/>
    <n v="63000"/>
  </r>
  <r>
    <x v="224"/>
    <x v="4"/>
    <m/>
    <x v="0"/>
    <x v="1"/>
    <x v="16"/>
    <n v="190801"/>
    <n v="190801"/>
    <m/>
    <n v="5"/>
    <n v="190801"/>
    <n v="175000"/>
  </r>
  <r>
    <x v="224"/>
    <x v="4"/>
    <m/>
    <x v="25"/>
    <x v="2"/>
    <x v="34"/>
    <n v="190801"/>
    <n v="190801"/>
    <m/>
    <n v="7"/>
    <n v="190801"/>
    <n v="693000"/>
  </r>
  <r>
    <x v="224"/>
    <x v="4"/>
    <m/>
    <x v="1"/>
    <x v="2"/>
    <x v="18"/>
    <n v="190801"/>
    <n v="190801"/>
    <m/>
    <n v="3"/>
    <n v="190801"/>
    <n v="60000"/>
  </r>
  <r>
    <x v="224"/>
    <x v="4"/>
    <m/>
    <x v="4"/>
    <x v="2"/>
    <x v="26"/>
    <n v="190801"/>
    <n v="190801"/>
    <m/>
    <n v="6"/>
    <n v="190801"/>
    <n v="24000"/>
  </r>
  <r>
    <x v="224"/>
    <x v="4"/>
    <m/>
    <x v="4"/>
    <x v="2"/>
    <x v="27"/>
    <n v="190801"/>
    <n v="190801"/>
    <m/>
    <n v="4"/>
    <n v="190801"/>
    <n v="80000"/>
  </r>
  <r>
    <x v="224"/>
    <x v="4"/>
    <m/>
    <x v="0"/>
    <x v="2"/>
    <x v="15"/>
    <n v="190801"/>
    <n v="190801"/>
    <m/>
    <n v="79"/>
    <n v="190801"/>
    <n v="1580000"/>
  </r>
  <r>
    <x v="224"/>
    <x v="4"/>
    <m/>
    <x v="0"/>
    <x v="2"/>
    <x v="16"/>
    <n v="190801"/>
    <n v="190801"/>
    <m/>
    <n v="37"/>
    <n v="190801"/>
    <n v="1295000"/>
  </r>
  <r>
    <x v="224"/>
    <x v="4"/>
    <m/>
    <x v="0"/>
    <x v="2"/>
    <x v="17"/>
    <n v="190801"/>
    <n v="190801"/>
    <m/>
    <n v="56"/>
    <n v="190801"/>
    <n v="1848000"/>
  </r>
  <r>
    <x v="224"/>
    <x v="4"/>
    <m/>
    <x v="0"/>
    <x v="2"/>
    <x v="19"/>
    <n v="190801"/>
    <n v="190801"/>
    <m/>
    <n v="60"/>
    <n v="190801"/>
    <n v="180000"/>
  </r>
  <r>
    <x v="224"/>
    <x v="4"/>
    <m/>
    <x v="5"/>
    <x v="2"/>
    <x v="28"/>
    <n v="190801"/>
    <n v="190801"/>
    <m/>
    <n v="16"/>
    <n v="190801"/>
    <n v="448000"/>
  </r>
  <r>
    <x v="224"/>
    <x v="4"/>
    <m/>
    <x v="22"/>
    <x v="2"/>
    <x v="29"/>
    <n v="190801"/>
    <n v="190801"/>
    <m/>
    <n v="5"/>
    <n v="190801"/>
    <n v="190000"/>
  </r>
  <r>
    <x v="224"/>
    <x v="4"/>
    <m/>
    <x v="0"/>
    <x v="4"/>
    <x v="15"/>
    <n v="190801"/>
    <n v="190801"/>
    <m/>
    <n v="18"/>
    <n v="190801"/>
    <n v="567000"/>
  </r>
  <r>
    <x v="224"/>
    <x v="4"/>
    <m/>
    <x v="0"/>
    <x v="4"/>
    <x v="16"/>
    <n v="190801"/>
    <n v="190801"/>
    <m/>
    <n v="6"/>
    <n v="190801"/>
    <n v="264000"/>
  </r>
  <r>
    <x v="224"/>
    <x v="4"/>
    <m/>
    <x v="5"/>
    <x v="4"/>
    <x v="28"/>
    <n v="190801"/>
    <n v="190801"/>
    <m/>
    <n v="4"/>
    <n v="190801"/>
    <n v="152000"/>
  </r>
  <r>
    <x v="224"/>
    <x v="4"/>
    <m/>
    <x v="1"/>
    <x v="4"/>
    <x v="18"/>
    <n v="190801"/>
    <n v="190801"/>
    <m/>
    <n v="1"/>
    <n v="190801"/>
    <n v="31500"/>
  </r>
  <r>
    <x v="224"/>
    <x v="4"/>
    <m/>
    <x v="19"/>
    <x v="2"/>
    <x v="22"/>
    <n v="190801"/>
    <n v="190801"/>
    <m/>
    <n v="12"/>
    <n v="190801"/>
    <n v="156000"/>
  </r>
  <r>
    <x v="224"/>
    <x v="4"/>
    <m/>
    <x v="19"/>
    <x v="2"/>
    <x v="23"/>
    <n v="190801"/>
    <n v="190801"/>
    <m/>
    <n v="3"/>
    <n v="190801"/>
    <n v="72000"/>
  </r>
  <r>
    <x v="225"/>
    <x v="1"/>
    <m/>
    <x v="0"/>
    <x v="1"/>
    <x v="16"/>
    <n v="190801"/>
    <n v="190801"/>
    <m/>
    <n v="8"/>
    <n v="190801"/>
    <n v="280000"/>
  </r>
  <r>
    <x v="225"/>
    <x v="1"/>
    <m/>
    <x v="0"/>
    <x v="7"/>
    <x v="15"/>
    <n v="190801"/>
    <n v="190801"/>
    <m/>
    <n v="1"/>
    <n v="190801"/>
    <n v="20000"/>
  </r>
  <r>
    <x v="225"/>
    <x v="1"/>
    <m/>
    <x v="25"/>
    <x v="2"/>
    <x v="34"/>
    <n v="190801"/>
    <n v="190801"/>
    <m/>
    <n v="6"/>
    <n v="190801"/>
    <n v="594000"/>
  </r>
  <r>
    <x v="225"/>
    <x v="1"/>
    <m/>
    <x v="1"/>
    <x v="2"/>
    <x v="18"/>
    <n v="190801"/>
    <n v="190801"/>
    <m/>
    <n v="5"/>
    <n v="190801"/>
    <n v="100000"/>
  </r>
  <r>
    <x v="225"/>
    <x v="1"/>
    <m/>
    <x v="4"/>
    <x v="2"/>
    <x v="26"/>
    <n v="190801"/>
    <n v="190801"/>
    <m/>
    <n v="1"/>
    <n v="190801"/>
    <n v="4000"/>
  </r>
  <r>
    <x v="225"/>
    <x v="1"/>
    <m/>
    <x v="4"/>
    <x v="2"/>
    <x v="27"/>
    <n v="190801"/>
    <n v="190801"/>
    <m/>
    <n v="4"/>
    <n v="190801"/>
    <n v="80000"/>
  </r>
  <r>
    <x v="225"/>
    <x v="1"/>
    <m/>
    <x v="0"/>
    <x v="2"/>
    <x v="15"/>
    <n v="190801"/>
    <n v="190801"/>
    <m/>
    <n v="67"/>
    <n v="190801"/>
    <n v="1340000"/>
  </r>
  <r>
    <x v="225"/>
    <x v="1"/>
    <m/>
    <x v="0"/>
    <x v="2"/>
    <x v="16"/>
    <n v="190801"/>
    <n v="190801"/>
    <m/>
    <n v="59"/>
    <n v="190801"/>
    <n v="2065000"/>
  </r>
  <r>
    <x v="225"/>
    <x v="1"/>
    <m/>
    <x v="0"/>
    <x v="2"/>
    <x v="17"/>
    <n v="190801"/>
    <n v="190801"/>
    <m/>
    <n v="60"/>
    <n v="190801"/>
    <n v="1980000"/>
  </r>
  <r>
    <x v="225"/>
    <x v="1"/>
    <m/>
    <x v="0"/>
    <x v="2"/>
    <x v="19"/>
    <n v="190801"/>
    <n v="190801"/>
    <m/>
    <n v="73"/>
    <n v="190801"/>
    <n v="219000"/>
  </r>
  <r>
    <x v="225"/>
    <x v="1"/>
    <m/>
    <x v="5"/>
    <x v="2"/>
    <x v="28"/>
    <n v="190801"/>
    <n v="190801"/>
    <m/>
    <n v="18"/>
    <n v="190801"/>
    <n v="504000"/>
  </r>
  <r>
    <x v="225"/>
    <x v="1"/>
    <m/>
    <x v="22"/>
    <x v="2"/>
    <x v="29"/>
    <n v="190801"/>
    <n v="190801"/>
    <m/>
    <n v="8"/>
    <n v="190801"/>
    <n v="304000"/>
  </r>
  <r>
    <x v="225"/>
    <x v="1"/>
    <m/>
    <x v="19"/>
    <x v="2"/>
    <x v="22"/>
    <n v="190801"/>
    <n v="190801"/>
    <m/>
    <n v="11"/>
    <n v="190801"/>
    <n v="143000"/>
  </r>
  <r>
    <x v="225"/>
    <x v="1"/>
    <m/>
    <x v="19"/>
    <x v="2"/>
    <x v="23"/>
    <n v="190801"/>
    <n v="190801"/>
    <m/>
    <n v="2"/>
    <n v="190801"/>
    <n v="48000"/>
  </r>
  <r>
    <x v="225"/>
    <x v="1"/>
    <m/>
    <x v="19"/>
    <x v="2"/>
    <x v="24"/>
    <n v="190801"/>
    <n v="190801"/>
    <m/>
    <n v="1"/>
    <n v="190801"/>
    <n v="33000"/>
  </r>
  <r>
    <x v="225"/>
    <x v="1"/>
    <m/>
    <x v="0"/>
    <x v="4"/>
    <x v="15"/>
    <n v="190801"/>
    <n v="190801"/>
    <m/>
    <n v="21"/>
    <n v="190801"/>
    <n v="661500"/>
  </r>
  <r>
    <x v="225"/>
    <x v="1"/>
    <m/>
    <x v="0"/>
    <x v="4"/>
    <x v="16"/>
    <n v="190801"/>
    <n v="190801"/>
    <m/>
    <n v="13"/>
    <n v="190801"/>
    <n v="572000"/>
  </r>
  <r>
    <x v="225"/>
    <x v="1"/>
    <m/>
    <x v="5"/>
    <x v="4"/>
    <x v="28"/>
    <n v="190801"/>
    <n v="190801"/>
    <m/>
    <n v="5"/>
    <n v="190801"/>
    <n v="190000"/>
  </r>
  <r>
    <x v="225"/>
    <x v="1"/>
    <m/>
    <x v="1"/>
    <x v="4"/>
    <x v="18"/>
    <n v="190801"/>
    <n v="190801"/>
    <m/>
    <n v="4"/>
    <n v="190801"/>
    <n v="126000"/>
  </r>
  <r>
    <x v="225"/>
    <x v="1"/>
    <m/>
    <x v="19"/>
    <x v="4"/>
    <x v="22"/>
    <n v="190801"/>
    <n v="190801"/>
    <m/>
    <n v="2"/>
    <n v="190801"/>
    <n v="50000"/>
  </r>
  <r>
    <x v="226"/>
    <x v="0"/>
    <m/>
    <x v="0"/>
    <x v="1"/>
    <x v="16"/>
    <n v="190801"/>
    <n v="190801"/>
    <m/>
    <n v="3"/>
    <n v="190801"/>
    <n v="105000"/>
  </r>
  <r>
    <x v="226"/>
    <x v="0"/>
    <m/>
    <x v="0"/>
    <x v="5"/>
    <x v="15"/>
    <n v="190801"/>
    <n v="190801"/>
    <m/>
    <n v="500"/>
    <n v="190801"/>
    <n v="5113500"/>
  </r>
  <r>
    <x v="226"/>
    <x v="0"/>
    <m/>
    <x v="5"/>
    <x v="5"/>
    <x v="28"/>
    <n v="190801"/>
    <n v="190801"/>
    <m/>
    <n v="20"/>
    <n v="190801"/>
    <n v="270000"/>
  </r>
  <r>
    <x v="226"/>
    <x v="0"/>
    <m/>
    <x v="4"/>
    <x v="5"/>
    <x v="27"/>
    <n v="190801"/>
    <n v="190801"/>
    <m/>
    <n v="8"/>
    <n v="190801"/>
    <n v="130912"/>
  </r>
  <r>
    <x v="226"/>
    <x v="0"/>
    <m/>
    <x v="25"/>
    <x v="2"/>
    <x v="34"/>
    <n v="190801"/>
    <n v="190801"/>
    <m/>
    <n v="8"/>
    <n v="190801"/>
    <n v="792000"/>
  </r>
  <r>
    <x v="226"/>
    <x v="0"/>
    <m/>
    <x v="1"/>
    <x v="2"/>
    <x v="18"/>
    <n v="190801"/>
    <n v="190801"/>
    <m/>
    <n v="3"/>
    <n v="190801"/>
    <n v="60000"/>
  </r>
  <r>
    <x v="226"/>
    <x v="0"/>
    <m/>
    <x v="1"/>
    <x v="2"/>
    <x v="21"/>
    <n v="190801"/>
    <n v="190801"/>
    <m/>
    <n v="1"/>
    <n v="190801"/>
    <n v="35000"/>
  </r>
  <r>
    <x v="226"/>
    <x v="0"/>
    <m/>
    <x v="4"/>
    <x v="2"/>
    <x v="26"/>
    <n v="190801"/>
    <n v="190801"/>
    <m/>
    <n v="17"/>
    <n v="190801"/>
    <n v="68000"/>
  </r>
  <r>
    <x v="226"/>
    <x v="0"/>
    <m/>
    <x v="4"/>
    <x v="2"/>
    <x v="27"/>
    <n v="190801"/>
    <n v="190801"/>
    <m/>
    <n v="2"/>
    <n v="190801"/>
    <n v="40000"/>
  </r>
  <r>
    <x v="226"/>
    <x v="0"/>
    <m/>
    <x v="0"/>
    <x v="2"/>
    <x v="15"/>
    <n v="190801"/>
    <n v="190801"/>
    <m/>
    <n v="74"/>
    <n v="190801"/>
    <n v="1480000"/>
  </r>
  <r>
    <x v="226"/>
    <x v="0"/>
    <m/>
    <x v="0"/>
    <x v="2"/>
    <x v="16"/>
    <n v="190801"/>
    <n v="190801"/>
    <m/>
    <n v="53"/>
    <n v="190801"/>
    <n v="1855000"/>
  </r>
  <r>
    <x v="226"/>
    <x v="0"/>
    <m/>
    <x v="0"/>
    <x v="2"/>
    <x v="17"/>
    <n v="190801"/>
    <n v="190801"/>
    <m/>
    <n v="50"/>
    <n v="190801"/>
    <n v="1650000"/>
  </r>
  <r>
    <x v="226"/>
    <x v="0"/>
    <m/>
    <x v="0"/>
    <x v="2"/>
    <x v="19"/>
    <n v="190801"/>
    <n v="190801"/>
    <m/>
    <n v="70"/>
    <n v="190801"/>
    <n v="210000"/>
  </r>
  <r>
    <x v="226"/>
    <x v="0"/>
    <m/>
    <x v="5"/>
    <x v="2"/>
    <x v="28"/>
    <n v="190801"/>
    <n v="190801"/>
    <m/>
    <n v="18"/>
    <n v="190801"/>
    <n v="504000"/>
  </r>
  <r>
    <x v="226"/>
    <x v="0"/>
    <m/>
    <x v="22"/>
    <x v="2"/>
    <x v="29"/>
    <n v="190801"/>
    <n v="190801"/>
    <m/>
    <n v="4"/>
    <n v="190801"/>
    <n v="152000"/>
  </r>
  <r>
    <x v="226"/>
    <x v="0"/>
    <m/>
    <x v="19"/>
    <x v="2"/>
    <x v="22"/>
    <n v="190801"/>
    <n v="190801"/>
    <m/>
    <n v="9"/>
    <n v="190801"/>
    <n v="117000"/>
  </r>
  <r>
    <x v="226"/>
    <x v="0"/>
    <m/>
    <x v="19"/>
    <x v="2"/>
    <x v="24"/>
    <n v="190801"/>
    <n v="190801"/>
    <m/>
    <n v="1"/>
    <n v="190801"/>
    <n v="33000"/>
  </r>
  <r>
    <x v="226"/>
    <x v="0"/>
    <m/>
    <x v="0"/>
    <x v="4"/>
    <x v="15"/>
    <n v="190801"/>
    <n v="190801"/>
    <m/>
    <n v="17"/>
    <n v="190801"/>
    <n v="535500"/>
  </r>
  <r>
    <x v="226"/>
    <x v="0"/>
    <m/>
    <x v="0"/>
    <x v="4"/>
    <x v="16"/>
    <n v="190801"/>
    <n v="190801"/>
    <m/>
    <n v="6"/>
    <n v="190801"/>
    <n v="264000"/>
  </r>
  <r>
    <x v="226"/>
    <x v="0"/>
    <m/>
    <x v="5"/>
    <x v="4"/>
    <x v="28"/>
    <n v="190801"/>
    <n v="190801"/>
    <m/>
    <n v="3"/>
    <n v="190801"/>
    <n v="114000"/>
  </r>
  <r>
    <x v="226"/>
    <x v="0"/>
    <m/>
    <x v="1"/>
    <x v="4"/>
    <x v="18"/>
    <n v="190801"/>
    <n v="190801"/>
    <m/>
    <n v="1"/>
    <n v="190801"/>
    <n v="31500"/>
  </r>
  <r>
    <x v="226"/>
    <x v="0"/>
    <m/>
    <x v="19"/>
    <x v="4"/>
    <x v="22"/>
    <n v="190801"/>
    <n v="190801"/>
    <m/>
    <n v="3"/>
    <n v="190801"/>
    <n v="75000"/>
  </r>
  <r>
    <x v="227"/>
    <x v="2"/>
    <m/>
    <x v="0"/>
    <x v="1"/>
    <x v="16"/>
    <n v="190801"/>
    <n v="190801"/>
    <m/>
    <n v="8"/>
    <n v="190801"/>
    <n v="280000"/>
  </r>
  <r>
    <x v="227"/>
    <x v="2"/>
    <m/>
    <x v="0"/>
    <x v="7"/>
    <x v="15"/>
    <n v="190801"/>
    <n v="190801"/>
    <m/>
    <n v="4"/>
    <n v="190801"/>
    <n v="80000"/>
  </r>
  <r>
    <x v="227"/>
    <x v="2"/>
    <m/>
    <x v="25"/>
    <x v="2"/>
    <x v="34"/>
    <n v="190801"/>
    <n v="190801"/>
    <m/>
    <n v="7"/>
    <n v="190801"/>
    <n v="693000"/>
  </r>
  <r>
    <x v="227"/>
    <x v="2"/>
    <m/>
    <x v="1"/>
    <x v="2"/>
    <x v="18"/>
    <n v="190801"/>
    <n v="190801"/>
    <m/>
    <n v="3"/>
    <n v="190801"/>
    <n v="60000"/>
  </r>
  <r>
    <x v="227"/>
    <x v="2"/>
    <m/>
    <x v="4"/>
    <x v="2"/>
    <x v="26"/>
    <n v="190801"/>
    <n v="190801"/>
    <m/>
    <n v="5"/>
    <n v="190801"/>
    <n v="20000"/>
  </r>
  <r>
    <x v="227"/>
    <x v="2"/>
    <m/>
    <x v="4"/>
    <x v="2"/>
    <x v="27"/>
    <n v="190801"/>
    <n v="190801"/>
    <m/>
    <n v="2"/>
    <n v="190801"/>
    <n v="40000"/>
  </r>
  <r>
    <x v="227"/>
    <x v="2"/>
    <m/>
    <x v="0"/>
    <x v="2"/>
    <x v="15"/>
    <n v="190801"/>
    <n v="190801"/>
    <m/>
    <n v="64"/>
    <n v="190801"/>
    <n v="1280000"/>
  </r>
  <r>
    <x v="227"/>
    <x v="2"/>
    <m/>
    <x v="0"/>
    <x v="2"/>
    <x v="16"/>
    <n v="190801"/>
    <n v="190801"/>
    <m/>
    <n v="37"/>
    <n v="190801"/>
    <n v="1295000"/>
  </r>
  <r>
    <x v="227"/>
    <x v="2"/>
    <m/>
    <x v="0"/>
    <x v="2"/>
    <x v="17"/>
    <n v="190801"/>
    <n v="190801"/>
    <m/>
    <n v="46"/>
    <n v="190801"/>
    <n v="1518000"/>
  </r>
  <r>
    <x v="227"/>
    <x v="2"/>
    <m/>
    <x v="0"/>
    <x v="2"/>
    <x v="19"/>
    <n v="190801"/>
    <n v="190801"/>
    <m/>
    <n v="59"/>
    <n v="190801"/>
    <n v="177000"/>
  </r>
  <r>
    <x v="227"/>
    <x v="2"/>
    <m/>
    <x v="5"/>
    <x v="2"/>
    <x v="28"/>
    <n v="190801"/>
    <n v="190801"/>
    <m/>
    <n v="11"/>
    <n v="190801"/>
    <n v="308000"/>
  </r>
  <r>
    <x v="227"/>
    <x v="2"/>
    <m/>
    <x v="22"/>
    <x v="2"/>
    <x v="29"/>
    <n v="190801"/>
    <n v="190801"/>
    <m/>
    <n v="5"/>
    <n v="190801"/>
    <n v="190000"/>
  </r>
  <r>
    <x v="227"/>
    <x v="2"/>
    <m/>
    <x v="0"/>
    <x v="4"/>
    <x v="15"/>
    <n v="190801"/>
    <n v="190801"/>
    <m/>
    <n v="15"/>
    <n v="190801"/>
    <n v="472500"/>
  </r>
  <r>
    <x v="227"/>
    <x v="2"/>
    <m/>
    <x v="0"/>
    <x v="4"/>
    <x v="16"/>
    <n v="190801"/>
    <n v="190801"/>
    <m/>
    <n v="8"/>
    <n v="190801"/>
    <n v="352000"/>
  </r>
  <r>
    <x v="227"/>
    <x v="2"/>
    <m/>
    <x v="5"/>
    <x v="4"/>
    <x v="28"/>
    <n v="190801"/>
    <n v="190801"/>
    <m/>
    <n v="2"/>
    <n v="190801"/>
    <n v="76000"/>
  </r>
  <r>
    <x v="227"/>
    <x v="2"/>
    <m/>
    <x v="0"/>
    <x v="8"/>
    <x v="15"/>
    <n v="190801"/>
    <n v="190801"/>
    <m/>
    <n v="80"/>
    <n v="190801"/>
    <n v="504000"/>
  </r>
  <r>
    <x v="227"/>
    <x v="2"/>
    <m/>
    <x v="19"/>
    <x v="2"/>
    <x v="22"/>
    <n v="190801"/>
    <n v="190801"/>
    <m/>
    <n v="8"/>
    <n v="190801"/>
    <n v="104000"/>
  </r>
  <r>
    <x v="227"/>
    <x v="2"/>
    <m/>
    <x v="19"/>
    <x v="2"/>
    <x v="23"/>
    <n v="190801"/>
    <n v="190801"/>
    <m/>
    <n v="1"/>
    <n v="190801"/>
    <n v="24000"/>
  </r>
  <r>
    <x v="227"/>
    <x v="2"/>
    <m/>
    <x v="19"/>
    <x v="2"/>
    <x v="24"/>
    <n v="190801"/>
    <n v="190801"/>
    <m/>
    <n v="2"/>
    <n v="190801"/>
    <n v="66000"/>
  </r>
  <r>
    <x v="228"/>
    <x v="5"/>
    <m/>
    <x v="0"/>
    <x v="7"/>
    <x v="15"/>
    <n v="190801"/>
    <n v="190801"/>
    <m/>
    <n v="2"/>
    <n v="190801"/>
    <n v="40000"/>
  </r>
  <r>
    <x v="228"/>
    <x v="5"/>
    <m/>
    <x v="25"/>
    <x v="2"/>
    <x v="34"/>
    <n v="190801"/>
    <n v="190801"/>
    <m/>
    <n v="7"/>
    <n v="190801"/>
    <n v="693000"/>
  </r>
  <r>
    <x v="228"/>
    <x v="5"/>
    <m/>
    <x v="1"/>
    <x v="2"/>
    <x v="18"/>
    <n v="190801"/>
    <n v="190801"/>
    <m/>
    <n v="3"/>
    <n v="190801"/>
    <n v="60000"/>
  </r>
  <r>
    <x v="228"/>
    <x v="5"/>
    <m/>
    <x v="1"/>
    <x v="2"/>
    <x v="21"/>
    <n v="190801"/>
    <n v="190801"/>
    <m/>
    <n v="1"/>
    <n v="190801"/>
    <n v="35000"/>
  </r>
  <r>
    <x v="228"/>
    <x v="5"/>
    <m/>
    <x v="4"/>
    <x v="2"/>
    <x v="26"/>
    <n v="190801"/>
    <n v="190801"/>
    <m/>
    <n v="14"/>
    <n v="190801"/>
    <n v="56000"/>
  </r>
  <r>
    <x v="228"/>
    <x v="5"/>
    <m/>
    <x v="4"/>
    <x v="2"/>
    <x v="27"/>
    <n v="190801"/>
    <n v="190801"/>
    <m/>
    <n v="3"/>
    <n v="190801"/>
    <n v="60000"/>
  </r>
  <r>
    <x v="228"/>
    <x v="5"/>
    <m/>
    <x v="0"/>
    <x v="2"/>
    <x v="15"/>
    <n v="190801"/>
    <n v="190801"/>
    <m/>
    <n v="58"/>
    <n v="190801"/>
    <n v="1160000"/>
  </r>
  <r>
    <x v="228"/>
    <x v="5"/>
    <m/>
    <x v="0"/>
    <x v="2"/>
    <x v="16"/>
    <n v="190801"/>
    <n v="190801"/>
    <m/>
    <n v="38"/>
    <n v="190801"/>
    <n v="1330000"/>
  </r>
  <r>
    <x v="228"/>
    <x v="5"/>
    <m/>
    <x v="0"/>
    <x v="2"/>
    <x v="17"/>
    <n v="190801"/>
    <n v="190801"/>
    <m/>
    <n v="29"/>
    <n v="190801"/>
    <n v="957000"/>
  </r>
  <r>
    <x v="228"/>
    <x v="5"/>
    <m/>
    <x v="0"/>
    <x v="2"/>
    <x v="19"/>
    <n v="190801"/>
    <n v="190801"/>
    <m/>
    <n v="42"/>
    <n v="190801"/>
    <n v="126000"/>
  </r>
  <r>
    <x v="228"/>
    <x v="5"/>
    <m/>
    <x v="5"/>
    <x v="2"/>
    <x v="28"/>
    <n v="190801"/>
    <n v="190801"/>
    <m/>
    <n v="17"/>
    <n v="190801"/>
    <n v="476000"/>
  </r>
  <r>
    <x v="228"/>
    <x v="5"/>
    <m/>
    <x v="22"/>
    <x v="2"/>
    <x v="29"/>
    <n v="190801"/>
    <n v="190801"/>
    <m/>
    <n v="1"/>
    <n v="190801"/>
    <n v="38000"/>
  </r>
  <r>
    <x v="228"/>
    <x v="5"/>
    <m/>
    <x v="19"/>
    <x v="2"/>
    <x v="22"/>
    <n v="190801"/>
    <n v="190801"/>
    <m/>
    <n v="6"/>
    <n v="190801"/>
    <n v="78000"/>
  </r>
  <r>
    <x v="228"/>
    <x v="5"/>
    <m/>
    <x v="19"/>
    <x v="2"/>
    <x v="23"/>
    <n v="190801"/>
    <n v="190801"/>
    <m/>
    <n v="3"/>
    <n v="190801"/>
    <n v="72000"/>
  </r>
  <r>
    <x v="229"/>
    <x v="6"/>
    <m/>
    <x v="0"/>
    <x v="7"/>
    <x v="15"/>
    <n v="190801"/>
    <n v="190801"/>
    <m/>
    <n v="2"/>
    <n v="190801"/>
    <n v="40000"/>
  </r>
  <r>
    <x v="229"/>
    <x v="6"/>
    <m/>
    <x v="25"/>
    <x v="2"/>
    <x v="34"/>
    <n v="190801"/>
    <n v="190801"/>
    <m/>
    <n v="4"/>
    <n v="190801"/>
    <n v="396000"/>
  </r>
  <r>
    <x v="229"/>
    <x v="6"/>
    <m/>
    <x v="1"/>
    <x v="2"/>
    <x v="18"/>
    <n v="190801"/>
    <n v="190801"/>
    <m/>
    <n v="3"/>
    <n v="190801"/>
    <n v="60000"/>
  </r>
  <r>
    <x v="229"/>
    <x v="6"/>
    <m/>
    <x v="4"/>
    <x v="2"/>
    <x v="26"/>
    <n v="190801"/>
    <n v="190801"/>
    <m/>
    <n v="3"/>
    <n v="190801"/>
    <n v="12000"/>
  </r>
  <r>
    <x v="229"/>
    <x v="6"/>
    <m/>
    <x v="4"/>
    <x v="2"/>
    <x v="27"/>
    <n v="190801"/>
    <n v="190801"/>
    <m/>
    <n v="8"/>
    <n v="190801"/>
    <n v="160000"/>
  </r>
  <r>
    <x v="229"/>
    <x v="6"/>
    <m/>
    <x v="0"/>
    <x v="2"/>
    <x v="15"/>
    <n v="190801"/>
    <n v="190801"/>
    <m/>
    <n v="5"/>
    <n v="190801"/>
    <n v="100000"/>
  </r>
  <r>
    <x v="229"/>
    <x v="6"/>
    <m/>
    <x v="0"/>
    <x v="2"/>
    <x v="16"/>
    <n v="190801"/>
    <n v="190801"/>
    <m/>
    <n v="69"/>
    <n v="190801"/>
    <n v="2415000"/>
  </r>
  <r>
    <x v="229"/>
    <x v="6"/>
    <m/>
    <x v="0"/>
    <x v="2"/>
    <x v="17"/>
    <n v="190801"/>
    <n v="190801"/>
    <m/>
    <n v="43"/>
    <n v="190801"/>
    <n v="1419000"/>
  </r>
  <r>
    <x v="229"/>
    <x v="6"/>
    <m/>
    <x v="0"/>
    <x v="2"/>
    <x v="19"/>
    <n v="190801"/>
    <n v="190801"/>
    <m/>
    <n v="65"/>
    <n v="190801"/>
    <n v="195000"/>
  </r>
  <r>
    <x v="229"/>
    <x v="6"/>
    <m/>
    <x v="5"/>
    <x v="2"/>
    <x v="28"/>
    <n v="190801"/>
    <n v="190801"/>
    <m/>
    <n v="15"/>
    <n v="190801"/>
    <n v="420000"/>
  </r>
  <r>
    <x v="229"/>
    <x v="6"/>
    <m/>
    <x v="22"/>
    <x v="2"/>
    <x v="29"/>
    <n v="190801"/>
    <n v="190801"/>
    <m/>
    <n v="9"/>
    <n v="190801"/>
    <n v="342000"/>
  </r>
  <r>
    <x v="229"/>
    <x v="6"/>
    <m/>
    <x v="19"/>
    <x v="2"/>
    <x v="22"/>
    <n v="190801"/>
    <n v="190801"/>
    <m/>
    <n v="12"/>
    <n v="190801"/>
    <n v="156000"/>
  </r>
  <r>
    <x v="229"/>
    <x v="6"/>
    <m/>
    <x v="19"/>
    <x v="2"/>
    <x v="24"/>
    <n v="190801"/>
    <n v="190801"/>
    <m/>
    <n v="2"/>
    <n v="190801"/>
    <n v="66000"/>
  </r>
  <r>
    <x v="229"/>
    <x v="6"/>
    <m/>
    <x v="0"/>
    <x v="6"/>
    <x v="15"/>
    <n v="190801"/>
    <n v="190801"/>
    <m/>
    <n v="424"/>
    <n v="190801"/>
    <n v="3844832"/>
  </r>
  <r>
    <x v="229"/>
    <x v="6"/>
    <m/>
    <x v="0"/>
    <x v="6"/>
    <x v="17"/>
    <n v="190801"/>
    <n v="190801"/>
    <m/>
    <n v="11"/>
    <n v="190801"/>
    <n v="173998"/>
  </r>
  <r>
    <x v="229"/>
    <x v="6"/>
    <m/>
    <x v="4"/>
    <x v="6"/>
    <x v="26"/>
    <n v="190801"/>
    <n v="190801"/>
    <m/>
    <n v="729"/>
    <n v="190801"/>
    <n v="782217"/>
  </r>
  <r>
    <x v="229"/>
    <x v="6"/>
    <m/>
    <x v="26"/>
    <x v="6"/>
    <x v="35"/>
    <n v="190801"/>
    <n v="190801"/>
    <m/>
    <n v="94"/>
    <n v="190801"/>
    <n v="1610314"/>
  </r>
  <r>
    <x v="229"/>
    <x v="6"/>
    <m/>
    <x v="22"/>
    <x v="6"/>
    <x v="29"/>
    <n v="190801"/>
    <n v="190801"/>
    <m/>
    <n v="7"/>
    <n v="190801"/>
    <n v="137837"/>
  </r>
  <r>
    <x v="229"/>
    <x v="6"/>
    <m/>
    <x v="24"/>
    <x v="6"/>
    <x v="31"/>
    <n v="190801"/>
    <n v="190801"/>
    <m/>
    <n v="97"/>
    <n v="190801"/>
    <n v="1443069"/>
  </r>
  <r>
    <x v="229"/>
    <x v="6"/>
    <m/>
    <x v="23"/>
    <x v="6"/>
    <x v="30"/>
    <n v="190801"/>
    <n v="190801"/>
    <m/>
    <n v="89"/>
    <n v="190801"/>
    <n v="619796"/>
  </r>
  <r>
    <x v="229"/>
    <x v="6"/>
    <m/>
    <x v="20"/>
    <x v="6"/>
    <x v="25"/>
    <n v="190801"/>
    <n v="190801"/>
    <m/>
    <n v="11"/>
    <n v="190801"/>
    <n v="106876"/>
  </r>
  <r>
    <x v="229"/>
    <x v="6"/>
    <m/>
    <x v="1"/>
    <x v="6"/>
    <x v="18"/>
    <n v="190801"/>
    <n v="190801"/>
    <m/>
    <n v="1"/>
    <n v="190801"/>
    <n v="9205"/>
  </r>
  <r>
    <x v="229"/>
    <x v="6"/>
    <m/>
    <x v="19"/>
    <x v="6"/>
    <x v="22"/>
    <n v="190801"/>
    <n v="190801"/>
    <m/>
    <n v="1"/>
    <n v="190801"/>
    <n v="6791"/>
  </r>
  <r>
    <x v="229"/>
    <x v="6"/>
    <m/>
    <x v="27"/>
    <x v="6"/>
    <x v="36"/>
    <n v="190801"/>
    <n v="190801"/>
    <m/>
    <n v="1371"/>
    <n v="190801"/>
    <n v="12965547"/>
  </r>
  <r>
    <x v="229"/>
    <x v="6"/>
    <m/>
    <x v="6"/>
    <x v="6"/>
    <x v="37"/>
    <n v="190801"/>
    <n v="190801"/>
    <m/>
    <n v="10"/>
    <n v="190801"/>
    <n v="100000"/>
  </r>
  <r>
    <x v="230"/>
    <x v="3"/>
    <m/>
    <x v="0"/>
    <x v="1"/>
    <x v="15"/>
    <n v="190801"/>
    <n v="190801"/>
    <m/>
    <n v="1"/>
    <n v="190801"/>
    <n v="20000"/>
  </r>
  <r>
    <x v="230"/>
    <x v="3"/>
    <m/>
    <x v="0"/>
    <x v="1"/>
    <x v="16"/>
    <n v="190801"/>
    <n v="190801"/>
    <m/>
    <n v="6"/>
    <n v="190801"/>
    <n v="210000"/>
  </r>
  <r>
    <x v="230"/>
    <x v="3"/>
    <m/>
    <x v="0"/>
    <x v="7"/>
    <x v="15"/>
    <n v="190801"/>
    <n v="190801"/>
    <m/>
    <n v="5"/>
    <n v="190801"/>
    <n v="100000"/>
  </r>
  <r>
    <x v="230"/>
    <x v="3"/>
    <m/>
    <x v="22"/>
    <x v="5"/>
    <x v="29"/>
    <n v="190801"/>
    <n v="190801"/>
    <m/>
    <n v="20"/>
    <n v="190801"/>
    <n v="310900"/>
  </r>
  <r>
    <x v="230"/>
    <x v="3"/>
    <m/>
    <x v="4"/>
    <x v="5"/>
    <x v="27"/>
    <n v="190801"/>
    <n v="190801"/>
    <m/>
    <n v="1"/>
    <n v="190801"/>
    <n v="16364"/>
  </r>
  <r>
    <x v="230"/>
    <x v="3"/>
    <m/>
    <x v="6"/>
    <x v="2"/>
    <x v="37"/>
    <n v="190801"/>
    <n v="190801"/>
    <m/>
    <n v="5"/>
    <n v="190801"/>
    <n v="100000"/>
  </r>
  <r>
    <x v="230"/>
    <x v="3"/>
    <m/>
    <x v="25"/>
    <x v="2"/>
    <x v="34"/>
    <n v="190801"/>
    <n v="190801"/>
    <m/>
    <n v="6"/>
    <n v="190801"/>
    <n v="594000"/>
  </r>
  <r>
    <x v="230"/>
    <x v="3"/>
    <m/>
    <x v="1"/>
    <x v="2"/>
    <x v="18"/>
    <n v="190801"/>
    <n v="190801"/>
    <m/>
    <n v="2"/>
    <n v="190801"/>
    <n v="40000"/>
  </r>
  <r>
    <x v="230"/>
    <x v="3"/>
    <m/>
    <x v="4"/>
    <x v="2"/>
    <x v="26"/>
    <n v="190801"/>
    <n v="190801"/>
    <m/>
    <n v="10"/>
    <n v="190801"/>
    <n v="40000"/>
  </r>
  <r>
    <x v="230"/>
    <x v="3"/>
    <m/>
    <x v="4"/>
    <x v="2"/>
    <x v="27"/>
    <n v="190801"/>
    <n v="190801"/>
    <m/>
    <n v="5"/>
    <n v="190801"/>
    <n v="100000"/>
  </r>
  <r>
    <x v="230"/>
    <x v="3"/>
    <m/>
    <x v="0"/>
    <x v="2"/>
    <x v="15"/>
    <n v="190801"/>
    <n v="190801"/>
    <m/>
    <n v="84"/>
    <n v="190801"/>
    <n v="1680000"/>
  </r>
  <r>
    <x v="230"/>
    <x v="3"/>
    <m/>
    <x v="0"/>
    <x v="2"/>
    <x v="16"/>
    <n v="190801"/>
    <n v="190801"/>
    <m/>
    <n v="293"/>
    <n v="190801"/>
    <n v="10255000"/>
  </r>
  <r>
    <x v="230"/>
    <x v="3"/>
    <m/>
    <x v="0"/>
    <x v="2"/>
    <x v="17"/>
    <n v="190801"/>
    <n v="190801"/>
    <m/>
    <n v="66"/>
    <n v="190801"/>
    <n v="2178000"/>
  </r>
  <r>
    <x v="230"/>
    <x v="3"/>
    <m/>
    <x v="0"/>
    <x v="2"/>
    <x v="19"/>
    <n v="190801"/>
    <n v="190801"/>
    <m/>
    <n v="85"/>
    <n v="190801"/>
    <n v="255000"/>
  </r>
  <r>
    <x v="230"/>
    <x v="3"/>
    <m/>
    <x v="5"/>
    <x v="2"/>
    <x v="28"/>
    <n v="190801"/>
    <n v="190801"/>
    <m/>
    <n v="20"/>
    <n v="190801"/>
    <n v="560000"/>
  </r>
  <r>
    <x v="230"/>
    <x v="3"/>
    <m/>
    <x v="22"/>
    <x v="2"/>
    <x v="29"/>
    <n v="190801"/>
    <n v="190801"/>
    <m/>
    <n v="4"/>
    <n v="190801"/>
    <n v="152000"/>
  </r>
  <r>
    <x v="230"/>
    <x v="3"/>
    <m/>
    <x v="19"/>
    <x v="2"/>
    <x v="22"/>
    <n v="190801"/>
    <n v="190801"/>
    <m/>
    <n v="13"/>
    <n v="190801"/>
    <n v="169000"/>
  </r>
  <r>
    <x v="230"/>
    <x v="3"/>
    <m/>
    <x v="19"/>
    <x v="2"/>
    <x v="23"/>
    <n v="190801"/>
    <n v="190801"/>
    <m/>
    <n v="3"/>
    <n v="190801"/>
    <n v="72000"/>
  </r>
  <r>
    <x v="230"/>
    <x v="3"/>
    <m/>
    <x v="0"/>
    <x v="4"/>
    <x v="15"/>
    <n v="190801"/>
    <n v="190801"/>
    <m/>
    <n v="54"/>
    <n v="190801"/>
    <n v="1701000"/>
  </r>
  <r>
    <x v="230"/>
    <x v="3"/>
    <m/>
    <x v="0"/>
    <x v="4"/>
    <x v="16"/>
    <n v="190801"/>
    <n v="190801"/>
    <m/>
    <n v="18"/>
    <n v="190801"/>
    <n v="792000"/>
  </r>
  <r>
    <x v="230"/>
    <x v="3"/>
    <m/>
    <x v="5"/>
    <x v="4"/>
    <x v="28"/>
    <n v="190801"/>
    <n v="190801"/>
    <m/>
    <n v="8"/>
    <n v="190801"/>
    <n v="304000"/>
  </r>
  <r>
    <x v="230"/>
    <x v="3"/>
    <m/>
    <x v="1"/>
    <x v="4"/>
    <x v="18"/>
    <n v="190801"/>
    <n v="190801"/>
    <m/>
    <n v="1"/>
    <n v="190801"/>
    <n v="31500"/>
  </r>
  <r>
    <x v="230"/>
    <x v="3"/>
    <m/>
    <x v="19"/>
    <x v="4"/>
    <x v="22"/>
    <n v="190801"/>
    <n v="190801"/>
    <m/>
    <n v="1"/>
    <n v="190801"/>
    <n v="25000"/>
  </r>
  <r>
    <x v="230"/>
    <x v="3"/>
    <m/>
    <x v="4"/>
    <x v="4"/>
    <x v="27"/>
    <n v="190801"/>
    <n v="190801"/>
    <m/>
    <n v="1"/>
    <n v="190801"/>
    <n v="36000"/>
  </r>
  <r>
    <x v="231"/>
    <x v="4"/>
    <m/>
    <x v="0"/>
    <x v="1"/>
    <x v="16"/>
    <n v="190801"/>
    <n v="190801"/>
    <m/>
    <n v="4"/>
    <n v="190801"/>
    <n v="140000"/>
  </r>
  <r>
    <x v="231"/>
    <x v="4"/>
    <m/>
    <x v="0"/>
    <x v="7"/>
    <x v="15"/>
    <n v="190801"/>
    <n v="190801"/>
    <m/>
    <n v="9"/>
    <n v="190801"/>
    <n v="180000"/>
  </r>
  <r>
    <x v="231"/>
    <x v="4"/>
    <m/>
    <x v="6"/>
    <x v="2"/>
    <x v="37"/>
    <n v="190801"/>
    <n v="190801"/>
    <m/>
    <n v="3"/>
    <n v="190801"/>
    <n v="60000"/>
  </r>
  <r>
    <x v="231"/>
    <x v="4"/>
    <m/>
    <x v="25"/>
    <x v="2"/>
    <x v="34"/>
    <n v="190801"/>
    <n v="190801"/>
    <m/>
    <n v="10"/>
    <n v="190801"/>
    <n v="990000"/>
  </r>
  <r>
    <x v="231"/>
    <x v="4"/>
    <m/>
    <x v="1"/>
    <x v="2"/>
    <x v="18"/>
    <n v="190801"/>
    <n v="190801"/>
    <m/>
    <n v="4"/>
    <n v="190801"/>
    <n v="80000"/>
  </r>
  <r>
    <x v="231"/>
    <x v="4"/>
    <m/>
    <x v="4"/>
    <x v="2"/>
    <x v="26"/>
    <n v="190801"/>
    <n v="190801"/>
    <m/>
    <n v="2"/>
    <n v="190801"/>
    <n v="8000"/>
  </r>
  <r>
    <x v="231"/>
    <x v="4"/>
    <m/>
    <x v="4"/>
    <x v="2"/>
    <x v="27"/>
    <n v="190801"/>
    <n v="190801"/>
    <m/>
    <n v="1"/>
    <n v="190801"/>
    <n v="20000"/>
  </r>
  <r>
    <x v="231"/>
    <x v="4"/>
    <m/>
    <x v="0"/>
    <x v="2"/>
    <x v="15"/>
    <n v="190801"/>
    <n v="190801"/>
    <m/>
    <n v="68"/>
    <n v="190801"/>
    <n v="1360000"/>
  </r>
  <r>
    <x v="231"/>
    <x v="4"/>
    <m/>
    <x v="0"/>
    <x v="2"/>
    <x v="16"/>
    <n v="190801"/>
    <n v="190801"/>
    <m/>
    <n v="49"/>
    <n v="190801"/>
    <n v="1715000"/>
  </r>
  <r>
    <x v="231"/>
    <x v="4"/>
    <m/>
    <x v="0"/>
    <x v="2"/>
    <x v="17"/>
    <n v="190801"/>
    <n v="190801"/>
    <m/>
    <n v="54"/>
    <n v="190801"/>
    <n v="1782000"/>
  </r>
  <r>
    <x v="231"/>
    <x v="4"/>
    <m/>
    <x v="0"/>
    <x v="2"/>
    <x v="19"/>
    <n v="190801"/>
    <n v="190801"/>
    <m/>
    <n v="71"/>
    <n v="190801"/>
    <n v="213000"/>
  </r>
  <r>
    <x v="231"/>
    <x v="4"/>
    <m/>
    <x v="5"/>
    <x v="2"/>
    <x v="28"/>
    <n v="190801"/>
    <n v="190801"/>
    <m/>
    <n v="13"/>
    <n v="190801"/>
    <n v="364000"/>
  </r>
  <r>
    <x v="231"/>
    <x v="4"/>
    <m/>
    <x v="22"/>
    <x v="2"/>
    <x v="29"/>
    <n v="190801"/>
    <n v="190801"/>
    <m/>
    <n v="4"/>
    <n v="190801"/>
    <n v="152000"/>
  </r>
  <r>
    <x v="231"/>
    <x v="4"/>
    <m/>
    <x v="19"/>
    <x v="2"/>
    <x v="22"/>
    <n v="190801"/>
    <n v="190801"/>
    <m/>
    <n v="6"/>
    <n v="190801"/>
    <n v="78000"/>
  </r>
  <r>
    <x v="231"/>
    <x v="4"/>
    <m/>
    <x v="19"/>
    <x v="2"/>
    <x v="23"/>
    <n v="190801"/>
    <n v="190801"/>
    <m/>
    <n v="1"/>
    <n v="190801"/>
    <n v="24000"/>
  </r>
  <r>
    <x v="231"/>
    <x v="4"/>
    <m/>
    <x v="19"/>
    <x v="2"/>
    <x v="24"/>
    <n v="190801"/>
    <n v="190801"/>
    <m/>
    <n v="1"/>
    <n v="190801"/>
    <n v="33000"/>
  </r>
  <r>
    <x v="231"/>
    <x v="4"/>
    <m/>
    <x v="0"/>
    <x v="4"/>
    <x v="15"/>
    <n v="190801"/>
    <n v="190801"/>
    <m/>
    <n v="18"/>
    <n v="190801"/>
    <n v="567000"/>
  </r>
  <r>
    <x v="231"/>
    <x v="4"/>
    <m/>
    <x v="0"/>
    <x v="4"/>
    <x v="16"/>
    <n v="190801"/>
    <n v="190801"/>
    <m/>
    <n v="8"/>
    <n v="190801"/>
    <n v="352000"/>
  </r>
  <r>
    <x v="232"/>
    <x v="1"/>
    <m/>
    <x v="0"/>
    <x v="1"/>
    <x v="16"/>
    <n v="190801"/>
    <n v="190801"/>
    <m/>
    <n v="1"/>
    <n v="190801"/>
    <n v="35000"/>
  </r>
  <r>
    <x v="232"/>
    <x v="1"/>
    <m/>
    <x v="0"/>
    <x v="7"/>
    <x v="15"/>
    <n v="190801"/>
    <n v="190801"/>
    <m/>
    <n v="4"/>
    <n v="190801"/>
    <n v="80000"/>
  </r>
  <r>
    <x v="232"/>
    <x v="1"/>
    <m/>
    <x v="6"/>
    <x v="2"/>
    <x v="37"/>
    <n v="190801"/>
    <n v="190801"/>
    <m/>
    <n v="4"/>
    <n v="190801"/>
    <n v="80000"/>
  </r>
  <r>
    <x v="232"/>
    <x v="1"/>
    <m/>
    <x v="25"/>
    <x v="2"/>
    <x v="34"/>
    <n v="190801"/>
    <n v="190801"/>
    <m/>
    <n v="7"/>
    <n v="190801"/>
    <n v="693000"/>
  </r>
  <r>
    <x v="232"/>
    <x v="1"/>
    <m/>
    <x v="1"/>
    <x v="2"/>
    <x v="18"/>
    <n v="190801"/>
    <n v="190801"/>
    <m/>
    <n v="3"/>
    <n v="190801"/>
    <n v="60000"/>
  </r>
  <r>
    <x v="232"/>
    <x v="1"/>
    <m/>
    <x v="4"/>
    <x v="2"/>
    <x v="26"/>
    <n v="190801"/>
    <n v="190801"/>
    <m/>
    <n v="6"/>
    <n v="190801"/>
    <n v="24000"/>
  </r>
  <r>
    <x v="232"/>
    <x v="1"/>
    <m/>
    <x v="4"/>
    <x v="2"/>
    <x v="27"/>
    <n v="190801"/>
    <n v="190801"/>
    <m/>
    <n v="4"/>
    <n v="190801"/>
    <n v="80000"/>
  </r>
  <r>
    <x v="232"/>
    <x v="1"/>
    <m/>
    <x v="0"/>
    <x v="2"/>
    <x v="15"/>
    <n v="190801"/>
    <n v="190801"/>
    <m/>
    <n v="57"/>
    <n v="190801"/>
    <n v="1140000"/>
  </r>
  <r>
    <x v="232"/>
    <x v="1"/>
    <m/>
    <x v="0"/>
    <x v="2"/>
    <x v="16"/>
    <n v="190801"/>
    <n v="190801"/>
    <m/>
    <n v="165"/>
    <n v="190801"/>
    <n v="5775000"/>
  </r>
  <r>
    <x v="232"/>
    <x v="1"/>
    <m/>
    <x v="0"/>
    <x v="2"/>
    <x v="17"/>
    <n v="190801"/>
    <n v="190801"/>
    <m/>
    <n v="56"/>
    <n v="190801"/>
    <n v="1848000"/>
  </r>
  <r>
    <x v="232"/>
    <x v="1"/>
    <m/>
    <x v="0"/>
    <x v="2"/>
    <x v="19"/>
    <n v="190801"/>
    <n v="190801"/>
    <m/>
    <n v="66"/>
    <n v="190801"/>
    <n v="198000"/>
  </r>
  <r>
    <x v="232"/>
    <x v="1"/>
    <m/>
    <x v="5"/>
    <x v="2"/>
    <x v="28"/>
    <n v="190801"/>
    <n v="190801"/>
    <m/>
    <n v="15"/>
    <n v="190801"/>
    <n v="420000"/>
  </r>
  <r>
    <x v="232"/>
    <x v="1"/>
    <m/>
    <x v="22"/>
    <x v="2"/>
    <x v="29"/>
    <n v="190801"/>
    <n v="190801"/>
    <m/>
    <n v="5"/>
    <n v="190801"/>
    <n v="190000"/>
  </r>
  <r>
    <x v="232"/>
    <x v="1"/>
    <m/>
    <x v="19"/>
    <x v="2"/>
    <x v="22"/>
    <n v="190801"/>
    <n v="190801"/>
    <m/>
    <n v="7"/>
    <n v="190801"/>
    <n v="91000"/>
  </r>
  <r>
    <x v="232"/>
    <x v="1"/>
    <m/>
    <x v="19"/>
    <x v="2"/>
    <x v="23"/>
    <n v="190801"/>
    <n v="190801"/>
    <m/>
    <n v="1"/>
    <n v="190801"/>
    <n v="24000"/>
  </r>
  <r>
    <x v="232"/>
    <x v="1"/>
    <m/>
    <x v="0"/>
    <x v="8"/>
    <x v="15"/>
    <n v="190801"/>
    <n v="190801"/>
    <m/>
    <n v="200"/>
    <n v="190801"/>
    <n v="1260000"/>
  </r>
  <r>
    <x v="232"/>
    <x v="1"/>
    <m/>
    <x v="0"/>
    <x v="4"/>
    <x v="15"/>
    <n v="190801"/>
    <n v="190801"/>
    <m/>
    <n v="13"/>
    <n v="190801"/>
    <n v="409500"/>
  </r>
  <r>
    <x v="232"/>
    <x v="1"/>
    <m/>
    <x v="0"/>
    <x v="4"/>
    <x v="16"/>
    <n v="190801"/>
    <n v="190801"/>
    <m/>
    <n v="7"/>
    <n v="190801"/>
    <n v="308000"/>
  </r>
  <r>
    <x v="232"/>
    <x v="1"/>
    <m/>
    <x v="5"/>
    <x v="4"/>
    <x v="28"/>
    <n v="190801"/>
    <n v="190801"/>
    <m/>
    <n v="3"/>
    <n v="190801"/>
    <n v="114000"/>
  </r>
  <r>
    <x v="232"/>
    <x v="1"/>
    <m/>
    <x v="4"/>
    <x v="4"/>
    <x v="27"/>
    <n v="190801"/>
    <n v="190801"/>
    <m/>
    <n v="1"/>
    <n v="190801"/>
    <n v="36000"/>
  </r>
  <r>
    <x v="232"/>
    <x v="1"/>
    <m/>
    <x v="1"/>
    <x v="4"/>
    <x v="18"/>
    <n v="190801"/>
    <n v="190801"/>
    <m/>
    <n v="2"/>
    <n v="190801"/>
    <n v="63000"/>
  </r>
  <r>
    <x v="232"/>
    <x v="1"/>
    <m/>
    <x v="19"/>
    <x v="4"/>
    <x v="22"/>
    <n v="190801"/>
    <n v="190801"/>
    <m/>
    <n v="1"/>
    <n v="190801"/>
    <n v="25000"/>
  </r>
  <r>
    <x v="233"/>
    <x v="0"/>
    <m/>
    <x v="0"/>
    <x v="1"/>
    <x v="16"/>
    <n v="190801"/>
    <n v="190801"/>
    <m/>
    <n v="2"/>
    <n v="190801"/>
    <n v="70000"/>
  </r>
  <r>
    <x v="233"/>
    <x v="0"/>
    <m/>
    <x v="0"/>
    <x v="7"/>
    <x v="15"/>
    <n v="190801"/>
    <n v="190801"/>
    <m/>
    <n v="2"/>
    <n v="190801"/>
    <n v="40000"/>
  </r>
  <r>
    <x v="233"/>
    <x v="0"/>
    <m/>
    <x v="6"/>
    <x v="2"/>
    <x v="37"/>
    <n v="190801"/>
    <n v="190801"/>
    <m/>
    <n v="1"/>
    <n v="190801"/>
    <n v="20000"/>
  </r>
  <r>
    <x v="233"/>
    <x v="0"/>
    <m/>
    <x v="25"/>
    <x v="2"/>
    <x v="34"/>
    <n v="190801"/>
    <n v="190801"/>
    <m/>
    <n v="10"/>
    <n v="190801"/>
    <n v="990000"/>
  </r>
  <r>
    <x v="233"/>
    <x v="0"/>
    <m/>
    <x v="1"/>
    <x v="2"/>
    <x v="18"/>
    <n v="190801"/>
    <n v="190801"/>
    <m/>
    <n v="3"/>
    <n v="190801"/>
    <n v="60000"/>
  </r>
  <r>
    <x v="233"/>
    <x v="0"/>
    <m/>
    <x v="4"/>
    <x v="2"/>
    <x v="26"/>
    <n v="190801"/>
    <n v="190801"/>
    <m/>
    <n v="1"/>
    <n v="190801"/>
    <n v="4000"/>
  </r>
  <r>
    <x v="233"/>
    <x v="0"/>
    <m/>
    <x v="4"/>
    <x v="2"/>
    <x v="27"/>
    <n v="190801"/>
    <n v="190801"/>
    <m/>
    <n v="2"/>
    <n v="190801"/>
    <n v="40000"/>
  </r>
  <r>
    <x v="233"/>
    <x v="0"/>
    <m/>
    <x v="0"/>
    <x v="2"/>
    <x v="15"/>
    <n v="190801"/>
    <n v="190801"/>
    <m/>
    <n v="50"/>
    <n v="190801"/>
    <n v="1000000"/>
  </r>
  <r>
    <x v="233"/>
    <x v="0"/>
    <m/>
    <x v="0"/>
    <x v="2"/>
    <x v="16"/>
    <n v="190801"/>
    <n v="190801"/>
    <m/>
    <n v="32"/>
    <n v="190801"/>
    <n v="1120000"/>
  </r>
  <r>
    <x v="233"/>
    <x v="0"/>
    <m/>
    <x v="0"/>
    <x v="2"/>
    <x v="17"/>
    <n v="190801"/>
    <n v="190801"/>
    <m/>
    <n v="47"/>
    <n v="190801"/>
    <n v="1551000"/>
  </r>
  <r>
    <x v="233"/>
    <x v="0"/>
    <m/>
    <x v="0"/>
    <x v="2"/>
    <x v="19"/>
    <n v="190801"/>
    <n v="190801"/>
    <m/>
    <n v="49"/>
    <n v="190801"/>
    <n v="147000"/>
  </r>
  <r>
    <x v="233"/>
    <x v="0"/>
    <m/>
    <x v="5"/>
    <x v="2"/>
    <x v="28"/>
    <n v="190801"/>
    <n v="190801"/>
    <m/>
    <n v="17"/>
    <n v="190801"/>
    <n v="476000"/>
  </r>
  <r>
    <x v="233"/>
    <x v="0"/>
    <m/>
    <x v="22"/>
    <x v="2"/>
    <x v="29"/>
    <n v="190801"/>
    <n v="190801"/>
    <m/>
    <n v="8"/>
    <n v="190801"/>
    <n v="304000"/>
  </r>
  <r>
    <x v="233"/>
    <x v="0"/>
    <m/>
    <x v="0"/>
    <x v="4"/>
    <x v="15"/>
    <n v="190801"/>
    <n v="190801"/>
    <m/>
    <n v="18"/>
    <n v="190801"/>
    <n v="567000"/>
  </r>
  <r>
    <x v="233"/>
    <x v="0"/>
    <m/>
    <x v="0"/>
    <x v="4"/>
    <x v="16"/>
    <n v="190801"/>
    <n v="190801"/>
    <m/>
    <n v="12"/>
    <n v="190801"/>
    <n v="528000"/>
  </r>
  <r>
    <x v="233"/>
    <x v="0"/>
    <m/>
    <x v="5"/>
    <x v="4"/>
    <x v="28"/>
    <n v="190801"/>
    <n v="190801"/>
    <m/>
    <n v="7"/>
    <n v="190801"/>
    <n v="266000"/>
  </r>
  <r>
    <x v="233"/>
    <x v="0"/>
    <m/>
    <x v="1"/>
    <x v="4"/>
    <x v="18"/>
    <n v="190801"/>
    <n v="190801"/>
    <m/>
    <n v="1"/>
    <n v="190801"/>
    <n v="31500"/>
  </r>
  <r>
    <x v="233"/>
    <x v="0"/>
    <m/>
    <x v="19"/>
    <x v="4"/>
    <x v="22"/>
    <n v="190801"/>
    <n v="190801"/>
    <m/>
    <n v="1"/>
    <n v="190801"/>
    <n v="25000"/>
  </r>
  <r>
    <x v="234"/>
    <x v="2"/>
    <m/>
    <x v="0"/>
    <x v="1"/>
    <x v="16"/>
    <n v="190801"/>
    <n v="190801"/>
    <m/>
    <n v="5"/>
    <n v="190801"/>
    <n v="175000"/>
  </r>
  <r>
    <x v="234"/>
    <x v="2"/>
    <m/>
    <x v="0"/>
    <x v="7"/>
    <x v="15"/>
    <n v="190801"/>
    <n v="190801"/>
    <m/>
    <n v="6"/>
    <n v="190801"/>
    <n v="120000"/>
  </r>
  <r>
    <x v="234"/>
    <x v="2"/>
    <m/>
    <x v="25"/>
    <x v="2"/>
    <x v="34"/>
    <n v="190801"/>
    <n v="190801"/>
    <m/>
    <n v="4"/>
    <n v="190801"/>
    <n v="396000"/>
  </r>
  <r>
    <x v="234"/>
    <x v="2"/>
    <m/>
    <x v="1"/>
    <x v="2"/>
    <x v="18"/>
    <n v="190801"/>
    <n v="190801"/>
    <m/>
    <n v="1"/>
    <n v="190801"/>
    <n v="20000"/>
  </r>
  <r>
    <x v="234"/>
    <x v="2"/>
    <m/>
    <x v="1"/>
    <x v="2"/>
    <x v="21"/>
    <n v="190801"/>
    <n v="190801"/>
    <m/>
    <n v="1"/>
    <n v="190801"/>
    <n v="35000"/>
  </r>
  <r>
    <x v="234"/>
    <x v="2"/>
    <m/>
    <x v="0"/>
    <x v="2"/>
    <x v="15"/>
    <n v="190801"/>
    <n v="190801"/>
    <m/>
    <n v="24"/>
    <n v="190801"/>
    <n v="480000"/>
  </r>
  <r>
    <x v="234"/>
    <x v="2"/>
    <m/>
    <x v="0"/>
    <x v="2"/>
    <x v="16"/>
    <n v="190801"/>
    <n v="190801"/>
    <m/>
    <n v="33"/>
    <n v="190801"/>
    <n v="1155000"/>
  </r>
  <r>
    <x v="234"/>
    <x v="2"/>
    <m/>
    <x v="0"/>
    <x v="2"/>
    <x v="17"/>
    <n v="190801"/>
    <n v="190801"/>
    <m/>
    <n v="44"/>
    <n v="190801"/>
    <n v="1452000"/>
  </r>
  <r>
    <x v="234"/>
    <x v="2"/>
    <m/>
    <x v="0"/>
    <x v="2"/>
    <x v="19"/>
    <n v="190801"/>
    <n v="190801"/>
    <m/>
    <n v="40"/>
    <n v="190801"/>
    <n v="120000"/>
  </r>
  <r>
    <x v="234"/>
    <x v="2"/>
    <m/>
    <x v="5"/>
    <x v="2"/>
    <x v="28"/>
    <n v="190801"/>
    <n v="190801"/>
    <m/>
    <n v="3"/>
    <n v="190801"/>
    <n v="84000"/>
  </r>
  <r>
    <x v="234"/>
    <x v="2"/>
    <m/>
    <x v="22"/>
    <x v="2"/>
    <x v="29"/>
    <n v="190801"/>
    <n v="190801"/>
    <m/>
    <n v="3"/>
    <n v="190801"/>
    <n v="114000"/>
  </r>
  <r>
    <x v="234"/>
    <x v="2"/>
    <m/>
    <x v="19"/>
    <x v="2"/>
    <x v="22"/>
    <n v="190801"/>
    <n v="190801"/>
    <m/>
    <n v="4"/>
    <n v="190801"/>
    <n v="52000"/>
  </r>
  <r>
    <x v="234"/>
    <x v="2"/>
    <m/>
    <x v="19"/>
    <x v="2"/>
    <x v="23"/>
    <n v="190801"/>
    <n v="190801"/>
    <m/>
    <n v="1"/>
    <n v="190801"/>
    <n v="24000"/>
  </r>
  <r>
    <x v="234"/>
    <x v="2"/>
    <m/>
    <x v="0"/>
    <x v="4"/>
    <x v="15"/>
    <n v="190801"/>
    <n v="190801"/>
    <m/>
    <n v="25"/>
    <n v="190801"/>
    <n v="787500"/>
  </r>
  <r>
    <x v="234"/>
    <x v="2"/>
    <m/>
    <x v="0"/>
    <x v="4"/>
    <x v="16"/>
    <n v="190801"/>
    <n v="190801"/>
    <m/>
    <n v="8"/>
    <n v="190801"/>
    <n v="352000"/>
  </r>
  <r>
    <x v="234"/>
    <x v="2"/>
    <m/>
    <x v="5"/>
    <x v="4"/>
    <x v="28"/>
    <n v="190801"/>
    <n v="190801"/>
    <m/>
    <n v="5"/>
    <n v="190801"/>
    <n v="190000"/>
  </r>
  <r>
    <x v="234"/>
    <x v="2"/>
    <m/>
    <x v="1"/>
    <x v="4"/>
    <x v="18"/>
    <n v="190801"/>
    <n v="190801"/>
    <m/>
    <n v="1"/>
    <n v="190801"/>
    <n v="31500"/>
  </r>
  <r>
    <x v="234"/>
    <x v="2"/>
    <m/>
    <x v="19"/>
    <x v="4"/>
    <x v="22"/>
    <n v="190801"/>
    <n v="190801"/>
    <m/>
    <n v="1"/>
    <n v="190801"/>
    <n v="25000"/>
  </r>
  <r>
    <x v="234"/>
    <x v="2"/>
    <m/>
    <x v="4"/>
    <x v="4"/>
    <x v="27"/>
    <n v="190801"/>
    <n v="190801"/>
    <m/>
    <n v="1"/>
    <n v="190801"/>
    <n v="36000"/>
  </r>
  <r>
    <x v="233"/>
    <x v="0"/>
    <m/>
    <x v="19"/>
    <x v="2"/>
    <x v="22"/>
    <n v="190801"/>
    <n v="190801"/>
    <m/>
    <n v="12"/>
    <n v="190801"/>
    <n v="156000"/>
  </r>
  <r>
    <x v="233"/>
    <x v="0"/>
    <m/>
    <x v="19"/>
    <x v="2"/>
    <x v="24"/>
    <n v="190801"/>
    <n v="190801"/>
    <m/>
    <n v="2"/>
    <n v="190801"/>
    <n v="66000"/>
  </r>
  <r>
    <x v="235"/>
    <x v="5"/>
    <m/>
    <x v="0"/>
    <x v="7"/>
    <x v="15"/>
    <n v="190801"/>
    <n v="190801"/>
    <m/>
    <n v="3"/>
    <n v="190801"/>
    <n v="60000"/>
  </r>
  <r>
    <x v="235"/>
    <x v="5"/>
    <m/>
    <x v="25"/>
    <x v="2"/>
    <x v="34"/>
    <n v="190801"/>
    <n v="190801"/>
    <m/>
    <n v="3"/>
    <n v="190801"/>
    <n v="297000"/>
  </r>
  <r>
    <x v="235"/>
    <x v="5"/>
    <m/>
    <x v="1"/>
    <x v="2"/>
    <x v="18"/>
    <n v="190801"/>
    <n v="190801"/>
    <m/>
    <n v="2"/>
    <n v="190801"/>
    <n v="40000"/>
  </r>
  <r>
    <x v="235"/>
    <x v="5"/>
    <m/>
    <x v="4"/>
    <x v="2"/>
    <x v="26"/>
    <n v="190801"/>
    <n v="190801"/>
    <m/>
    <n v="2"/>
    <n v="190801"/>
    <n v="8000"/>
  </r>
  <r>
    <x v="235"/>
    <x v="5"/>
    <m/>
    <x v="4"/>
    <x v="2"/>
    <x v="27"/>
    <n v="190801"/>
    <n v="190801"/>
    <m/>
    <n v="2"/>
    <n v="190801"/>
    <n v="40000"/>
  </r>
  <r>
    <x v="235"/>
    <x v="5"/>
    <m/>
    <x v="0"/>
    <x v="2"/>
    <x v="15"/>
    <n v="190801"/>
    <n v="190801"/>
    <m/>
    <n v="22"/>
    <n v="190801"/>
    <n v="440000"/>
  </r>
  <r>
    <x v="235"/>
    <x v="5"/>
    <m/>
    <x v="0"/>
    <x v="2"/>
    <x v="16"/>
    <n v="190801"/>
    <n v="190801"/>
    <m/>
    <n v="33"/>
    <n v="190801"/>
    <n v="1155000"/>
  </r>
  <r>
    <x v="235"/>
    <x v="5"/>
    <m/>
    <x v="0"/>
    <x v="2"/>
    <x v="17"/>
    <n v="190801"/>
    <n v="190801"/>
    <m/>
    <n v="39"/>
    <n v="190801"/>
    <n v="1287000"/>
  </r>
  <r>
    <x v="235"/>
    <x v="5"/>
    <m/>
    <x v="0"/>
    <x v="2"/>
    <x v="19"/>
    <n v="190801"/>
    <n v="190801"/>
    <m/>
    <n v="31"/>
    <n v="190801"/>
    <n v="93000"/>
  </r>
  <r>
    <x v="235"/>
    <x v="5"/>
    <m/>
    <x v="5"/>
    <x v="2"/>
    <x v="28"/>
    <n v="190801"/>
    <n v="190801"/>
    <m/>
    <n v="8"/>
    <n v="190801"/>
    <n v="224000"/>
  </r>
  <r>
    <x v="235"/>
    <x v="5"/>
    <m/>
    <x v="22"/>
    <x v="2"/>
    <x v="29"/>
    <n v="190801"/>
    <n v="190801"/>
    <m/>
    <n v="2"/>
    <n v="190801"/>
    <n v="76000"/>
  </r>
  <r>
    <x v="235"/>
    <x v="5"/>
    <m/>
    <x v="19"/>
    <x v="2"/>
    <x v="22"/>
    <n v="190801"/>
    <n v="190801"/>
    <m/>
    <n v="4"/>
    <n v="190801"/>
    <n v="52000"/>
  </r>
  <r>
    <x v="235"/>
    <x v="5"/>
    <m/>
    <x v="19"/>
    <x v="2"/>
    <x v="23"/>
    <n v="190801"/>
    <n v="190801"/>
    <m/>
    <n v="2"/>
    <n v="190801"/>
    <n v="48000"/>
  </r>
  <r>
    <x v="236"/>
    <x v="6"/>
    <m/>
    <x v="0"/>
    <x v="7"/>
    <x v="15"/>
    <n v="190801"/>
    <n v="190801"/>
    <m/>
    <n v="1"/>
    <n v="190801"/>
    <n v="20000"/>
  </r>
  <r>
    <x v="236"/>
    <x v="6"/>
    <m/>
    <x v="25"/>
    <x v="2"/>
    <x v="34"/>
    <n v="190801"/>
    <n v="190801"/>
    <m/>
    <n v="7"/>
    <n v="190801"/>
    <n v="693000"/>
  </r>
  <r>
    <x v="236"/>
    <x v="6"/>
    <m/>
    <x v="1"/>
    <x v="2"/>
    <x v="18"/>
    <n v="190801"/>
    <n v="190801"/>
    <m/>
    <n v="5"/>
    <n v="190801"/>
    <n v="100000"/>
  </r>
  <r>
    <x v="236"/>
    <x v="6"/>
    <m/>
    <x v="4"/>
    <x v="2"/>
    <x v="26"/>
    <n v="190801"/>
    <n v="190801"/>
    <m/>
    <n v="2"/>
    <n v="190801"/>
    <n v="8000"/>
  </r>
  <r>
    <x v="236"/>
    <x v="6"/>
    <m/>
    <x v="4"/>
    <x v="2"/>
    <x v="27"/>
    <n v="190801"/>
    <n v="190801"/>
    <m/>
    <n v="2"/>
    <n v="190801"/>
    <n v="40000"/>
  </r>
  <r>
    <x v="236"/>
    <x v="6"/>
    <m/>
    <x v="0"/>
    <x v="2"/>
    <x v="15"/>
    <n v="190801"/>
    <n v="190801"/>
    <m/>
    <n v="48"/>
    <n v="190801"/>
    <n v="960000"/>
  </r>
  <r>
    <x v="236"/>
    <x v="6"/>
    <m/>
    <x v="0"/>
    <x v="2"/>
    <x v="16"/>
    <n v="190801"/>
    <n v="190801"/>
    <m/>
    <n v="41"/>
    <n v="190801"/>
    <n v="1435000"/>
  </r>
  <r>
    <x v="236"/>
    <x v="6"/>
    <m/>
    <x v="0"/>
    <x v="2"/>
    <x v="17"/>
    <n v="190801"/>
    <n v="190801"/>
    <m/>
    <n v="37"/>
    <n v="190801"/>
    <n v="1221000"/>
  </r>
  <r>
    <x v="236"/>
    <x v="6"/>
    <m/>
    <x v="0"/>
    <x v="2"/>
    <x v="19"/>
    <n v="190801"/>
    <n v="190801"/>
    <m/>
    <n v="50"/>
    <n v="190801"/>
    <n v="150000"/>
  </r>
  <r>
    <x v="236"/>
    <x v="6"/>
    <m/>
    <x v="5"/>
    <x v="2"/>
    <x v="28"/>
    <n v="190801"/>
    <n v="190801"/>
    <m/>
    <n v="13"/>
    <n v="190801"/>
    <n v="364000"/>
  </r>
  <r>
    <x v="236"/>
    <x v="6"/>
    <m/>
    <x v="22"/>
    <x v="2"/>
    <x v="29"/>
    <n v="190801"/>
    <n v="190801"/>
    <m/>
    <n v="7"/>
    <n v="190801"/>
    <n v="266000"/>
  </r>
  <r>
    <x v="236"/>
    <x v="6"/>
    <m/>
    <x v="19"/>
    <x v="2"/>
    <x v="22"/>
    <n v="190801"/>
    <n v="190801"/>
    <m/>
    <n v="9"/>
    <n v="190801"/>
    <n v="117000"/>
  </r>
  <r>
    <x v="236"/>
    <x v="6"/>
    <m/>
    <x v="19"/>
    <x v="2"/>
    <x v="23"/>
    <n v="190801"/>
    <n v="190801"/>
    <m/>
    <n v="4"/>
    <n v="190801"/>
    <n v="96000"/>
  </r>
  <r>
    <x v="236"/>
    <x v="6"/>
    <m/>
    <x v="19"/>
    <x v="2"/>
    <x v="24"/>
    <n v="190801"/>
    <n v="190801"/>
    <m/>
    <n v="1"/>
    <n v="190801"/>
    <n v="33000"/>
  </r>
  <r>
    <x v="236"/>
    <x v="6"/>
    <m/>
    <x v="0"/>
    <x v="6"/>
    <x v="15"/>
    <n v="190801"/>
    <n v="190801"/>
    <m/>
    <n v="362"/>
    <n v="190801"/>
    <n v="3282616"/>
  </r>
  <r>
    <x v="236"/>
    <x v="6"/>
    <m/>
    <x v="0"/>
    <x v="6"/>
    <x v="17"/>
    <n v="190801"/>
    <n v="190801"/>
    <m/>
    <n v="9"/>
    <n v="190801"/>
    <n v="142362"/>
  </r>
  <r>
    <x v="236"/>
    <x v="6"/>
    <m/>
    <x v="4"/>
    <x v="6"/>
    <x v="26"/>
    <n v="190801"/>
    <n v="190801"/>
    <m/>
    <n v="793"/>
    <n v="190801"/>
    <n v="850889"/>
  </r>
  <r>
    <x v="236"/>
    <x v="6"/>
    <m/>
    <x v="26"/>
    <x v="6"/>
    <x v="35"/>
    <n v="190801"/>
    <n v="190801"/>
    <m/>
    <n v="99"/>
    <n v="190801"/>
    <n v="1695969"/>
  </r>
  <r>
    <x v="236"/>
    <x v="6"/>
    <m/>
    <x v="22"/>
    <x v="6"/>
    <x v="29"/>
    <n v="190801"/>
    <n v="190801"/>
    <m/>
    <n v="9"/>
    <n v="190801"/>
    <n v="177219"/>
  </r>
  <r>
    <x v="236"/>
    <x v="6"/>
    <m/>
    <x v="24"/>
    <x v="6"/>
    <x v="31"/>
    <n v="190801"/>
    <n v="190801"/>
    <m/>
    <n v="108"/>
    <n v="190801"/>
    <n v="1606716"/>
  </r>
  <r>
    <x v="236"/>
    <x v="6"/>
    <m/>
    <x v="23"/>
    <x v="6"/>
    <x v="30"/>
    <n v="190801"/>
    <n v="190801"/>
    <m/>
    <n v="93"/>
    <n v="190801"/>
    <n v="647652"/>
  </r>
  <r>
    <x v="236"/>
    <x v="6"/>
    <m/>
    <x v="20"/>
    <x v="6"/>
    <x v="25"/>
    <n v="190801"/>
    <n v="190801"/>
    <m/>
    <n v="3"/>
    <n v="190801"/>
    <n v="29148"/>
  </r>
  <r>
    <x v="236"/>
    <x v="6"/>
    <m/>
    <x v="19"/>
    <x v="6"/>
    <x v="22"/>
    <n v="190801"/>
    <n v="190801"/>
    <m/>
    <n v="1"/>
    <n v="190801"/>
    <n v="6791"/>
  </r>
  <r>
    <x v="236"/>
    <x v="6"/>
    <m/>
    <x v="27"/>
    <x v="6"/>
    <x v="36"/>
    <n v="190801"/>
    <n v="190801"/>
    <m/>
    <n v="1273"/>
    <n v="190801"/>
    <n v="12038761"/>
  </r>
  <r>
    <x v="236"/>
    <x v="6"/>
    <m/>
    <x v="6"/>
    <x v="6"/>
    <x v="37"/>
    <n v="190801"/>
    <n v="190801"/>
    <m/>
    <n v="19"/>
    <n v="190801"/>
    <n v="190000"/>
  </r>
  <r>
    <x v="237"/>
    <x v="3"/>
    <m/>
    <x v="0"/>
    <x v="1"/>
    <x v="15"/>
    <n v="190801"/>
    <n v="190801"/>
    <m/>
    <n v="2"/>
    <n v="190801"/>
    <n v="40000"/>
  </r>
  <r>
    <x v="237"/>
    <x v="3"/>
    <m/>
    <x v="0"/>
    <x v="1"/>
    <x v="16"/>
    <n v="190801"/>
    <n v="190801"/>
    <m/>
    <n v="9"/>
    <n v="190801"/>
    <n v="315000"/>
  </r>
  <r>
    <x v="237"/>
    <x v="3"/>
    <m/>
    <x v="0"/>
    <x v="7"/>
    <x v="15"/>
    <n v="190801"/>
    <n v="190801"/>
    <m/>
    <n v="4"/>
    <n v="190801"/>
    <n v="80000"/>
  </r>
  <r>
    <x v="237"/>
    <x v="3"/>
    <m/>
    <x v="6"/>
    <x v="2"/>
    <x v="37"/>
    <n v="190801"/>
    <n v="190801"/>
    <m/>
    <n v="58"/>
    <n v="190801"/>
    <n v="1160000"/>
  </r>
  <r>
    <x v="237"/>
    <x v="3"/>
    <m/>
    <x v="25"/>
    <x v="2"/>
    <x v="34"/>
    <n v="190801"/>
    <n v="190801"/>
    <m/>
    <n v="6"/>
    <n v="190801"/>
    <n v="594000"/>
  </r>
  <r>
    <x v="237"/>
    <x v="3"/>
    <m/>
    <x v="1"/>
    <x v="2"/>
    <x v="18"/>
    <n v="190801"/>
    <n v="190801"/>
    <m/>
    <n v="3"/>
    <n v="190801"/>
    <n v="60000"/>
  </r>
  <r>
    <x v="237"/>
    <x v="3"/>
    <m/>
    <x v="1"/>
    <x v="2"/>
    <x v="21"/>
    <n v="190801"/>
    <n v="190801"/>
    <m/>
    <n v="2"/>
    <n v="190801"/>
    <n v="70000"/>
  </r>
  <r>
    <x v="237"/>
    <x v="3"/>
    <m/>
    <x v="4"/>
    <x v="2"/>
    <x v="26"/>
    <n v="190801"/>
    <n v="190801"/>
    <m/>
    <n v="14"/>
    <n v="190801"/>
    <n v="56000"/>
  </r>
  <r>
    <x v="237"/>
    <x v="3"/>
    <m/>
    <x v="4"/>
    <x v="2"/>
    <x v="27"/>
    <n v="190801"/>
    <n v="190801"/>
    <m/>
    <n v="6"/>
    <n v="190801"/>
    <n v="120000"/>
  </r>
  <r>
    <x v="237"/>
    <x v="3"/>
    <m/>
    <x v="0"/>
    <x v="2"/>
    <x v="15"/>
    <n v="190801"/>
    <n v="190801"/>
    <m/>
    <n v="81"/>
    <n v="190801"/>
    <n v="1620000"/>
  </r>
  <r>
    <x v="237"/>
    <x v="3"/>
    <m/>
    <x v="0"/>
    <x v="2"/>
    <x v="16"/>
    <n v="190801"/>
    <n v="190801"/>
    <m/>
    <n v="56"/>
    <n v="190801"/>
    <n v="1960000"/>
  </r>
  <r>
    <x v="237"/>
    <x v="3"/>
    <m/>
    <x v="0"/>
    <x v="2"/>
    <x v="17"/>
    <n v="190801"/>
    <n v="190801"/>
    <m/>
    <n v="81"/>
    <n v="190801"/>
    <n v="2673000"/>
  </r>
  <r>
    <x v="237"/>
    <x v="3"/>
    <m/>
    <x v="0"/>
    <x v="2"/>
    <x v="19"/>
    <n v="190801"/>
    <n v="190801"/>
    <m/>
    <n v="70"/>
    <n v="190801"/>
    <n v="210000"/>
  </r>
  <r>
    <x v="237"/>
    <x v="3"/>
    <m/>
    <x v="5"/>
    <x v="2"/>
    <x v="28"/>
    <n v="190801"/>
    <n v="190801"/>
    <m/>
    <n v="20"/>
    <n v="190801"/>
    <n v="560000"/>
  </r>
  <r>
    <x v="237"/>
    <x v="3"/>
    <m/>
    <x v="22"/>
    <x v="2"/>
    <x v="29"/>
    <n v="190801"/>
    <n v="190801"/>
    <m/>
    <n v="8"/>
    <n v="190801"/>
    <n v="304000"/>
  </r>
  <r>
    <x v="237"/>
    <x v="3"/>
    <m/>
    <x v="19"/>
    <x v="2"/>
    <x v="22"/>
    <n v="190801"/>
    <n v="190801"/>
    <m/>
    <n v="21"/>
    <n v="190801"/>
    <n v="273000"/>
  </r>
  <r>
    <x v="237"/>
    <x v="3"/>
    <m/>
    <x v="19"/>
    <x v="2"/>
    <x v="23"/>
    <n v="190801"/>
    <n v="190801"/>
    <m/>
    <n v="4"/>
    <n v="190801"/>
    <n v="96000"/>
  </r>
  <r>
    <x v="237"/>
    <x v="3"/>
    <m/>
    <x v="19"/>
    <x v="2"/>
    <x v="24"/>
    <n v="190801"/>
    <n v="190801"/>
    <m/>
    <n v="2"/>
    <n v="190801"/>
    <n v="66000"/>
  </r>
  <r>
    <x v="237"/>
    <x v="3"/>
    <m/>
    <x v="0"/>
    <x v="4"/>
    <x v="15"/>
    <n v="190801"/>
    <n v="190801"/>
    <m/>
    <n v="35"/>
    <n v="190801"/>
    <n v="1102500"/>
  </r>
  <r>
    <x v="237"/>
    <x v="3"/>
    <m/>
    <x v="0"/>
    <x v="4"/>
    <x v="16"/>
    <n v="190801"/>
    <n v="190801"/>
    <m/>
    <n v="42"/>
    <n v="190801"/>
    <n v="1848000"/>
  </r>
  <r>
    <x v="237"/>
    <x v="3"/>
    <m/>
    <x v="5"/>
    <x v="4"/>
    <x v="28"/>
    <n v="190801"/>
    <n v="190801"/>
    <m/>
    <n v="9"/>
    <n v="190801"/>
    <n v="342000"/>
  </r>
  <r>
    <x v="237"/>
    <x v="3"/>
    <m/>
    <x v="1"/>
    <x v="4"/>
    <x v="18"/>
    <n v="190801"/>
    <n v="190801"/>
    <m/>
    <n v="2"/>
    <n v="190801"/>
    <n v="63000"/>
  </r>
  <r>
    <x v="238"/>
    <x v="4"/>
    <m/>
    <x v="0"/>
    <x v="1"/>
    <x v="16"/>
    <n v="190801"/>
    <n v="190801"/>
    <m/>
    <n v="5"/>
    <n v="190801"/>
    <n v="175000"/>
  </r>
  <r>
    <x v="238"/>
    <x v="4"/>
    <m/>
    <x v="0"/>
    <x v="7"/>
    <x v="15"/>
    <n v="190801"/>
    <n v="190801"/>
    <m/>
    <n v="1"/>
    <n v="190801"/>
    <n v="20000"/>
  </r>
  <r>
    <x v="238"/>
    <x v="4"/>
    <m/>
    <x v="0"/>
    <x v="5"/>
    <x v="15"/>
    <n v="190801"/>
    <n v="190801"/>
    <m/>
    <n v="200"/>
    <n v="190801"/>
    <n v="2045400"/>
  </r>
  <r>
    <x v="238"/>
    <x v="4"/>
    <m/>
    <x v="4"/>
    <x v="5"/>
    <x v="26"/>
    <n v="190801"/>
    <n v="190801"/>
    <m/>
    <n v="10"/>
    <n v="190801"/>
    <n v="16360"/>
  </r>
  <r>
    <x v="238"/>
    <x v="4"/>
    <m/>
    <x v="19"/>
    <x v="5"/>
    <x v="22"/>
    <n v="190801"/>
    <n v="190801"/>
    <m/>
    <n v="10"/>
    <n v="190801"/>
    <n v="65450"/>
  </r>
  <r>
    <x v="238"/>
    <x v="4"/>
    <m/>
    <x v="6"/>
    <x v="2"/>
    <x v="37"/>
    <n v="190801"/>
    <n v="190801"/>
    <m/>
    <n v="13"/>
    <n v="190801"/>
    <n v="260000"/>
  </r>
  <r>
    <x v="238"/>
    <x v="4"/>
    <m/>
    <x v="25"/>
    <x v="2"/>
    <x v="34"/>
    <n v="190801"/>
    <n v="190801"/>
    <m/>
    <n v="8"/>
    <n v="190801"/>
    <n v="792000"/>
  </r>
  <r>
    <x v="238"/>
    <x v="4"/>
    <m/>
    <x v="1"/>
    <x v="2"/>
    <x v="18"/>
    <n v="190801"/>
    <n v="190801"/>
    <m/>
    <n v="4"/>
    <n v="190801"/>
    <n v="80000"/>
  </r>
  <r>
    <x v="238"/>
    <x v="4"/>
    <m/>
    <x v="1"/>
    <x v="2"/>
    <x v="21"/>
    <n v="190801"/>
    <n v="190801"/>
    <m/>
    <n v="1"/>
    <n v="190801"/>
    <n v="35000"/>
  </r>
  <r>
    <x v="238"/>
    <x v="4"/>
    <m/>
    <x v="4"/>
    <x v="2"/>
    <x v="26"/>
    <n v="190801"/>
    <n v="190801"/>
    <m/>
    <n v="2"/>
    <n v="190801"/>
    <n v="8000"/>
  </r>
  <r>
    <x v="238"/>
    <x v="4"/>
    <m/>
    <x v="4"/>
    <x v="2"/>
    <x v="27"/>
    <n v="190801"/>
    <n v="190801"/>
    <m/>
    <n v="3"/>
    <n v="190801"/>
    <n v="60000"/>
  </r>
  <r>
    <x v="238"/>
    <x v="4"/>
    <m/>
    <x v="0"/>
    <x v="2"/>
    <x v="15"/>
    <n v="190801"/>
    <n v="190801"/>
    <m/>
    <n v="72"/>
    <n v="190801"/>
    <n v="1440000"/>
  </r>
  <r>
    <x v="238"/>
    <x v="4"/>
    <m/>
    <x v="0"/>
    <x v="2"/>
    <x v="16"/>
    <n v="190801"/>
    <n v="190801"/>
    <m/>
    <n v="60"/>
    <n v="190801"/>
    <n v="2100000"/>
  </r>
  <r>
    <x v="238"/>
    <x v="4"/>
    <m/>
    <x v="0"/>
    <x v="2"/>
    <x v="17"/>
    <n v="190801"/>
    <n v="190801"/>
    <m/>
    <n v="69"/>
    <n v="190801"/>
    <n v="2277000"/>
  </r>
  <r>
    <x v="238"/>
    <x v="4"/>
    <m/>
    <x v="0"/>
    <x v="2"/>
    <x v="19"/>
    <n v="190801"/>
    <n v="190801"/>
    <m/>
    <n v="65"/>
    <n v="190801"/>
    <n v="195000"/>
  </r>
  <r>
    <x v="238"/>
    <x v="4"/>
    <m/>
    <x v="5"/>
    <x v="2"/>
    <x v="28"/>
    <n v="190801"/>
    <n v="190801"/>
    <m/>
    <n v="20"/>
    <n v="190801"/>
    <n v="560000"/>
  </r>
  <r>
    <x v="238"/>
    <x v="4"/>
    <m/>
    <x v="22"/>
    <x v="2"/>
    <x v="29"/>
    <n v="190801"/>
    <n v="190801"/>
    <m/>
    <n v="5"/>
    <n v="190801"/>
    <n v="190000"/>
  </r>
  <r>
    <x v="238"/>
    <x v="4"/>
    <m/>
    <x v="19"/>
    <x v="2"/>
    <x v="22"/>
    <n v="190801"/>
    <n v="190801"/>
    <m/>
    <n v="11"/>
    <n v="190801"/>
    <n v="143000"/>
  </r>
  <r>
    <x v="238"/>
    <x v="4"/>
    <m/>
    <x v="19"/>
    <x v="2"/>
    <x v="23"/>
    <n v="190801"/>
    <n v="190801"/>
    <m/>
    <n v="5"/>
    <n v="190801"/>
    <n v="120000"/>
  </r>
  <r>
    <x v="238"/>
    <x v="4"/>
    <m/>
    <x v="19"/>
    <x v="2"/>
    <x v="24"/>
    <n v="190801"/>
    <n v="190801"/>
    <m/>
    <n v="1"/>
    <n v="190801"/>
    <n v="33000"/>
  </r>
  <r>
    <x v="238"/>
    <x v="4"/>
    <m/>
    <x v="0"/>
    <x v="4"/>
    <x v="15"/>
    <n v="190801"/>
    <n v="190801"/>
    <m/>
    <n v="8"/>
    <n v="190801"/>
    <n v="252000"/>
  </r>
  <r>
    <x v="238"/>
    <x v="4"/>
    <m/>
    <x v="0"/>
    <x v="4"/>
    <x v="16"/>
    <n v="190801"/>
    <n v="190801"/>
    <m/>
    <n v="9"/>
    <n v="190801"/>
    <n v="396000"/>
  </r>
  <r>
    <x v="238"/>
    <x v="4"/>
    <m/>
    <x v="5"/>
    <x v="4"/>
    <x v="28"/>
    <n v="190801"/>
    <n v="190801"/>
    <m/>
    <n v="2"/>
    <n v="190801"/>
    <n v="76000"/>
  </r>
  <r>
    <x v="238"/>
    <x v="4"/>
    <m/>
    <x v="1"/>
    <x v="4"/>
    <x v="18"/>
    <n v="190801"/>
    <n v="190801"/>
    <m/>
    <n v="1"/>
    <n v="190801"/>
    <n v="31500"/>
  </r>
  <r>
    <x v="238"/>
    <x v="4"/>
    <m/>
    <x v="19"/>
    <x v="4"/>
    <x v="22"/>
    <n v="190801"/>
    <n v="190801"/>
    <m/>
    <n v="1"/>
    <n v="190801"/>
    <n v="25000"/>
  </r>
  <r>
    <x v="239"/>
    <x v="1"/>
    <m/>
    <x v="0"/>
    <x v="1"/>
    <x v="15"/>
    <n v="190801"/>
    <n v="190801"/>
    <m/>
    <n v="1"/>
    <n v="190801"/>
    <n v="20000"/>
  </r>
  <r>
    <x v="239"/>
    <x v="1"/>
    <m/>
    <x v="0"/>
    <x v="1"/>
    <x v="16"/>
    <n v="190801"/>
    <n v="190801"/>
    <m/>
    <n v="4"/>
    <n v="190801"/>
    <n v="140000"/>
  </r>
  <r>
    <x v="239"/>
    <x v="1"/>
    <m/>
    <x v="0"/>
    <x v="7"/>
    <x v="15"/>
    <n v="190801"/>
    <n v="190801"/>
    <m/>
    <n v="1"/>
    <n v="190801"/>
    <n v="20000"/>
  </r>
  <r>
    <x v="239"/>
    <x v="1"/>
    <m/>
    <x v="0"/>
    <x v="5"/>
    <x v="15"/>
    <n v="190801"/>
    <n v="190801"/>
    <m/>
    <n v="20"/>
    <n v="190801"/>
    <n v="204540"/>
  </r>
  <r>
    <x v="239"/>
    <x v="1"/>
    <m/>
    <x v="6"/>
    <x v="2"/>
    <x v="37"/>
    <n v="190801"/>
    <n v="190801"/>
    <m/>
    <n v="12"/>
    <n v="190801"/>
    <n v="240000"/>
  </r>
  <r>
    <x v="239"/>
    <x v="1"/>
    <m/>
    <x v="25"/>
    <x v="2"/>
    <x v="34"/>
    <n v="190801"/>
    <n v="190801"/>
    <m/>
    <n v="5"/>
    <n v="190801"/>
    <n v="495000"/>
  </r>
  <r>
    <x v="239"/>
    <x v="1"/>
    <m/>
    <x v="1"/>
    <x v="2"/>
    <x v="21"/>
    <n v="190801"/>
    <n v="190801"/>
    <m/>
    <n v="1"/>
    <n v="190801"/>
    <n v="35000"/>
  </r>
  <r>
    <x v="239"/>
    <x v="1"/>
    <m/>
    <x v="4"/>
    <x v="2"/>
    <x v="26"/>
    <n v="190801"/>
    <n v="190801"/>
    <m/>
    <n v="2"/>
    <n v="190801"/>
    <n v="8000"/>
  </r>
  <r>
    <x v="239"/>
    <x v="1"/>
    <m/>
    <x v="4"/>
    <x v="2"/>
    <x v="27"/>
    <n v="190801"/>
    <n v="190801"/>
    <m/>
    <n v="4"/>
    <n v="190801"/>
    <n v="80000"/>
  </r>
  <r>
    <x v="239"/>
    <x v="1"/>
    <m/>
    <x v="0"/>
    <x v="2"/>
    <x v="15"/>
    <n v="190801"/>
    <n v="190801"/>
    <m/>
    <n v="37"/>
    <n v="190801"/>
    <n v="740000"/>
  </r>
  <r>
    <x v="239"/>
    <x v="1"/>
    <m/>
    <x v="0"/>
    <x v="2"/>
    <x v="16"/>
    <n v="190801"/>
    <n v="190801"/>
    <m/>
    <n v="28"/>
    <n v="190801"/>
    <n v="980000"/>
  </r>
  <r>
    <x v="239"/>
    <x v="1"/>
    <m/>
    <x v="0"/>
    <x v="2"/>
    <x v="17"/>
    <n v="190801"/>
    <n v="190801"/>
    <m/>
    <n v="43"/>
    <n v="190801"/>
    <n v="1419000"/>
  </r>
  <r>
    <x v="239"/>
    <x v="1"/>
    <m/>
    <x v="0"/>
    <x v="2"/>
    <x v="19"/>
    <n v="190801"/>
    <n v="190801"/>
    <m/>
    <n v="23"/>
    <n v="190801"/>
    <n v="69000"/>
  </r>
  <r>
    <x v="239"/>
    <x v="1"/>
    <m/>
    <x v="5"/>
    <x v="2"/>
    <x v="28"/>
    <n v="190801"/>
    <n v="190801"/>
    <m/>
    <n v="13"/>
    <n v="190801"/>
    <n v="364000"/>
  </r>
  <r>
    <x v="239"/>
    <x v="1"/>
    <m/>
    <x v="22"/>
    <x v="2"/>
    <x v="29"/>
    <n v="190801"/>
    <n v="190801"/>
    <m/>
    <n v="5"/>
    <n v="190801"/>
    <n v="190000"/>
  </r>
  <r>
    <x v="239"/>
    <x v="1"/>
    <m/>
    <x v="0"/>
    <x v="4"/>
    <x v="15"/>
    <n v="190801"/>
    <n v="190801"/>
    <m/>
    <n v="14"/>
    <n v="190801"/>
    <n v="441000"/>
  </r>
  <r>
    <x v="239"/>
    <x v="1"/>
    <m/>
    <x v="0"/>
    <x v="4"/>
    <x v="16"/>
    <n v="190801"/>
    <n v="190801"/>
    <m/>
    <n v="7"/>
    <n v="190801"/>
    <n v="308000"/>
  </r>
  <r>
    <x v="239"/>
    <x v="1"/>
    <m/>
    <x v="5"/>
    <x v="4"/>
    <x v="28"/>
    <n v="190801"/>
    <n v="190801"/>
    <m/>
    <n v="5"/>
    <n v="190801"/>
    <n v="190000"/>
  </r>
  <r>
    <x v="239"/>
    <x v="1"/>
    <m/>
    <x v="19"/>
    <x v="4"/>
    <x v="22"/>
    <n v="190801"/>
    <n v="190801"/>
    <m/>
    <n v="1"/>
    <n v="190801"/>
    <n v="25000"/>
  </r>
  <r>
    <x v="239"/>
    <x v="1"/>
    <m/>
    <x v="19"/>
    <x v="2"/>
    <x v="22"/>
    <n v="190801"/>
    <n v="190801"/>
    <m/>
    <n v="5"/>
    <n v="190801"/>
    <n v="65000"/>
  </r>
  <r>
    <x v="239"/>
    <x v="1"/>
    <m/>
    <x v="19"/>
    <x v="2"/>
    <x v="23"/>
    <n v="190801"/>
    <n v="190801"/>
    <m/>
    <n v="2"/>
    <n v="190801"/>
    <n v="48000"/>
  </r>
  <r>
    <x v="240"/>
    <x v="0"/>
    <m/>
    <x v="0"/>
    <x v="1"/>
    <x v="15"/>
    <n v="190801"/>
    <n v="190801"/>
    <m/>
    <n v="2"/>
    <n v="190801"/>
    <n v="40000"/>
  </r>
  <r>
    <x v="240"/>
    <x v="0"/>
    <m/>
    <x v="0"/>
    <x v="1"/>
    <x v="16"/>
    <n v="190801"/>
    <n v="190801"/>
    <m/>
    <n v="4"/>
    <n v="190801"/>
    <n v="140000"/>
  </r>
  <r>
    <x v="240"/>
    <x v="0"/>
    <m/>
    <x v="0"/>
    <x v="7"/>
    <x v="15"/>
    <n v="190801"/>
    <n v="190801"/>
    <m/>
    <n v="2"/>
    <n v="190801"/>
    <n v="40000"/>
  </r>
  <r>
    <x v="240"/>
    <x v="0"/>
    <m/>
    <x v="6"/>
    <x v="2"/>
    <x v="37"/>
    <n v="190801"/>
    <n v="190801"/>
    <m/>
    <n v="10"/>
    <n v="190801"/>
    <n v="200000"/>
  </r>
  <r>
    <x v="240"/>
    <x v="0"/>
    <m/>
    <x v="25"/>
    <x v="2"/>
    <x v="34"/>
    <n v="190801"/>
    <n v="190801"/>
    <m/>
    <n v="5"/>
    <n v="190801"/>
    <n v="495000"/>
  </r>
  <r>
    <x v="240"/>
    <x v="0"/>
    <m/>
    <x v="1"/>
    <x v="2"/>
    <x v="18"/>
    <n v="190801"/>
    <n v="190801"/>
    <m/>
    <n v="3"/>
    <n v="190801"/>
    <n v="60000"/>
  </r>
  <r>
    <x v="240"/>
    <x v="0"/>
    <m/>
    <x v="1"/>
    <x v="2"/>
    <x v="21"/>
    <n v="190801"/>
    <n v="190801"/>
    <m/>
    <n v="2"/>
    <n v="190801"/>
    <n v="70000"/>
  </r>
  <r>
    <x v="240"/>
    <x v="0"/>
    <m/>
    <x v="4"/>
    <x v="2"/>
    <x v="26"/>
    <n v="190801"/>
    <n v="190801"/>
    <m/>
    <n v="3"/>
    <n v="190801"/>
    <n v="12000"/>
  </r>
  <r>
    <x v="240"/>
    <x v="0"/>
    <m/>
    <x v="4"/>
    <x v="2"/>
    <x v="27"/>
    <n v="190801"/>
    <n v="190801"/>
    <m/>
    <n v="2"/>
    <n v="190801"/>
    <n v="40000"/>
  </r>
  <r>
    <x v="240"/>
    <x v="0"/>
    <m/>
    <x v="0"/>
    <x v="2"/>
    <x v="15"/>
    <n v="190801"/>
    <n v="190801"/>
    <m/>
    <n v="44"/>
    <n v="190801"/>
    <n v="880000"/>
  </r>
  <r>
    <x v="240"/>
    <x v="0"/>
    <m/>
    <x v="0"/>
    <x v="2"/>
    <x v="16"/>
    <n v="190801"/>
    <n v="190801"/>
    <m/>
    <n v="46"/>
    <n v="190801"/>
    <n v="1610000"/>
  </r>
  <r>
    <x v="240"/>
    <x v="0"/>
    <m/>
    <x v="0"/>
    <x v="2"/>
    <x v="17"/>
    <n v="190801"/>
    <n v="190801"/>
    <m/>
    <n v="38"/>
    <n v="190801"/>
    <n v="1254000"/>
  </r>
  <r>
    <x v="240"/>
    <x v="0"/>
    <m/>
    <x v="0"/>
    <x v="2"/>
    <x v="19"/>
    <n v="190801"/>
    <n v="190801"/>
    <m/>
    <n v="64"/>
    <n v="190801"/>
    <n v="192000"/>
  </r>
  <r>
    <x v="240"/>
    <x v="0"/>
    <m/>
    <x v="5"/>
    <x v="2"/>
    <x v="28"/>
    <n v="190801"/>
    <n v="190801"/>
    <m/>
    <n v="14"/>
    <n v="190801"/>
    <n v="392000"/>
  </r>
  <r>
    <x v="240"/>
    <x v="0"/>
    <m/>
    <x v="22"/>
    <x v="2"/>
    <x v="29"/>
    <n v="190801"/>
    <n v="190801"/>
    <m/>
    <n v="4"/>
    <n v="190801"/>
    <n v="152000"/>
  </r>
  <r>
    <x v="240"/>
    <x v="0"/>
    <m/>
    <x v="19"/>
    <x v="2"/>
    <x v="23"/>
    <n v="190801"/>
    <n v="190801"/>
    <m/>
    <n v="1"/>
    <n v="190801"/>
    <n v="24000"/>
  </r>
  <r>
    <x v="240"/>
    <x v="0"/>
    <m/>
    <x v="0"/>
    <x v="4"/>
    <x v="15"/>
    <n v="190801"/>
    <n v="190801"/>
    <m/>
    <n v="16"/>
    <n v="190801"/>
    <n v="504000"/>
  </r>
  <r>
    <x v="240"/>
    <x v="0"/>
    <m/>
    <x v="0"/>
    <x v="4"/>
    <x v="16"/>
    <n v="190801"/>
    <n v="190801"/>
    <m/>
    <n v="6"/>
    <n v="190801"/>
    <n v="264000"/>
  </r>
  <r>
    <x v="240"/>
    <x v="0"/>
    <m/>
    <x v="5"/>
    <x v="4"/>
    <x v="28"/>
    <n v="190801"/>
    <n v="190801"/>
    <m/>
    <n v="3"/>
    <n v="190801"/>
    <n v="114000"/>
  </r>
  <r>
    <x v="240"/>
    <x v="0"/>
    <m/>
    <x v="1"/>
    <x v="4"/>
    <x v="18"/>
    <n v="190801"/>
    <n v="190801"/>
    <m/>
    <n v="1"/>
    <n v="190801"/>
    <n v="31500"/>
  </r>
  <r>
    <x v="241"/>
    <x v="2"/>
    <m/>
    <x v="0"/>
    <x v="1"/>
    <x v="16"/>
    <n v="190801"/>
    <n v="190801"/>
    <m/>
    <n v="2"/>
    <n v="190801"/>
    <n v="70000"/>
  </r>
  <r>
    <x v="241"/>
    <x v="2"/>
    <m/>
    <x v="0"/>
    <x v="7"/>
    <x v="15"/>
    <n v="190801"/>
    <n v="190801"/>
    <m/>
    <n v="2"/>
    <n v="190801"/>
    <n v="40000"/>
  </r>
  <r>
    <x v="241"/>
    <x v="2"/>
    <m/>
    <x v="6"/>
    <x v="2"/>
    <x v="37"/>
    <n v="190801"/>
    <n v="190801"/>
    <m/>
    <n v="8"/>
    <n v="190801"/>
    <n v="160000"/>
  </r>
  <r>
    <x v="241"/>
    <x v="2"/>
    <m/>
    <x v="25"/>
    <x v="2"/>
    <x v="34"/>
    <n v="190801"/>
    <n v="190801"/>
    <m/>
    <n v="6"/>
    <n v="190801"/>
    <n v="594000"/>
  </r>
  <r>
    <x v="241"/>
    <x v="2"/>
    <m/>
    <x v="1"/>
    <x v="2"/>
    <x v="18"/>
    <n v="190801"/>
    <n v="190801"/>
    <m/>
    <n v="4"/>
    <n v="190801"/>
    <n v="80000"/>
  </r>
  <r>
    <x v="241"/>
    <x v="2"/>
    <m/>
    <x v="4"/>
    <x v="2"/>
    <x v="26"/>
    <n v="190801"/>
    <n v="190801"/>
    <m/>
    <n v="3"/>
    <n v="190801"/>
    <n v="12000"/>
  </r>
  <r>
    <x v="241"/>
    <x v="2"/>
    <m/>
    <x v="4"/>
    <x v="2"/>
    <x v="27"/>
    <n v="190801"/>
    <n v="190801"/>
    <m/>
    <n v="2"/>
    <n v="190801"/>
    <n v="40000"/>
  </r>
  <r>
    <x v="241"/>
    <x v="2"/>
    <m/>
    <x v="0"/>
    <x v="2"/>
    <x v="15"/>
    <n v="190801"/>
    <n v="190801"/>
    <m/>
    <n v="24"/>
    <n v="190801"/>
    <n v="480000"/>
  </r>
  <r>
    <x v="241"/>
    <x v="2"/>
    <m/>
    <x v="0"/>
    <x v="2"/>
    <x v="16"/>
    <n v="190801"/>
    <n v="190801"/>
    <m/>
    <n v="70"/>
    <n v="190801"/>
    <n v="2450000"/>
  </r>
  <r>
    <x v="241"/>
    <x v="2"/>
    <m/>
    <x v="0"/>
    <x v="2"/>
    <x v="17"/>
    <n v="190801"/>
    <n v="190801"/>
    <m/>
    <n v="39"/>
    <n v="190801"/>
    <n v="1287000"/>
  </r>
  <r>
    <x v="241"/>
    <x v="2"/>
    <m/>
    <x v="0"/>
    <x v="2"/>
    <x v="19"/>
    <n v="190801"/>
    <n v="190801"/>
    <m/>
    <n v="23"/>
    <n v="190801"/>
    <n v="69000"/>
  </r>
  <r>
    <x v="241"/>
    <x v="2"/>
    <m/>
    <x v="5"/>
    <x v="2"/>
    <x v="28"/>
    <n v="190801"/>
    <n v="190801"/>
    <m/>
    <n v="12"/>
    <n v="190801"/>
    <n v="336000"/>
  </r>
  <r>
    <x v="241"/>
    <x v="2"/>
    <m/>
    <x v="22"/>
    <x v="2"/>
    <x v="29"/>
    <n v="190801"/>
    <n v="190801"/>
    <m/>
    <n v="5"/>
    <n v="190801"/>
    <n v="190000"/>
  </r>
  <r>
    <x v="241"/>
    <x v="2"/>
    <m/>
    <x v="19"/>
    <x v="2"/>
    <x v="22"/>
    <n v="190801"/>
    <n v="190801"/>
    <m/>
    <n v="3"/>
    <n v="190801"/>
    <n v="39000"/>
  </r>
  <r>
    <x v="241"/>
    <x v="2"/>
    <m/>
    <x v="19"/>
    <x v="2"/>
    <x v="23"/>
    <n v="190801"/>
    <n v="190801"/>
    <m/>
    <n v="3"/>
    <n v="190801"/>
    <n v="72000"/>
  </r>
  <r>
    <x v="241"/>
    <x v="2"/>
    <m/>
    <x v="19"/>
    <x v="2"/>
    <x v="24"/>
    <n v="190801"/>
    <n v="190801"/>
    <m/>
    <n v="1"/>
    <n v="190801"/>
    <n v="33000"/>
  </r>
  <r>
    <x v="241"/>
    <x v="2"/>
    <m/>
    <x v="0"/>
    <x v="4"/>
    <x v="15"/>
    <n v="190801"/>
    <n v="190801"/>
    <m/>
    <n v="15"/>
    <n v="190801"/>
    <n v="472500"/>
  </r>
  <r>
    <x v="241"/>
    <x v="2"/>
    <m/>
    <x v="0"/>
    <x v="4"/>
    <x v="16"/>
    <n v="190801"/>
    <n v="190801"/>
    <m/>
    <n v="17"/>
    <n v="190801"/>
    <n v="748000"/>
  </r>
  <r>
    <x v="241"/>
    <x v="2"/>
    <m/>
    <x v="5"/>
    <x v="4"/>
    <x v="28"/>
    <n v="190801"/>
    <n v="190801"/>
    <m/>
    <n v="2"/>
    <n v="190801"/>
    <n v="76000"/>
  </r>
  <r>
    <x v="242"/>
    <x v="5"/>
    <m/>
    <x v="0"/>
    <x v="7"/>
    <x v="15"/>
    <n v="190801"/>
    <n v="190801"/>
    <m/>
    <n v="2"/>
    <n v="190801"/>
    <n v="40000"/>
  </r>
  <r>
    <x v="242"/>
    <x v="5"/>
    <m/>
    <x v="6"/>
    <x v="2"/>
    <x v="37"/>
    <n v="190801"/>
    <n v="190801"/>
    <m/>
    <n v="7"/>
    <n v="190801"/>
    <n v="140000"/>
  </r>
  <r>
    <x v="242"/>
    <x v="5"/>
    <m/>
    <x v="25"/>
    <x v="2"/>
    <x v="34"/>
    <n v="190801"/>
    <n v="190801"/>
    <m/>
    <n v="7"/>
    <n v="190801"/>
    <n v="693000"/>
  </r>
  <r>
    <x v="242"/>
    <x v="5"/>
    <m/>
    <x v="1"/>
    <x v="2"/>
    <x v="18"/>
    <n v="190801"/>
    <n v="190801"/>
    <m/>
    <n v="2"/>
    <n v="190801"/>
    <n v="40000"/>
  </r>
  <r>
    <x v="242"/>
    <x v="5"/>
    <m/>
    <x v="4"/>
    <x v="2"/>
    <x v="27"/>
    <n v="190801"/>
    <n v="190801"/>
    <m/>
    <n v="1"/>
    <n v="190801"/>
    <n v="20000"/>
  </r>
  <r>
    <x v="242"/>
    <x v="5"/>
    <m/>
    <x v="0"/>
    <x v="2"/>
    <x v="15"/>
    <n v="190801"/>
    <n v="190801"/>
    <m/>
    <n v="38"/>
    <n v="190801"/>
    <n v="760000"/>
  </r>
  <r>
    <x v="242"/>
    <x v="5"/>
    <m/>
    <x v="0"/>
    <x v="2"/>
    <x v="16"/>
    <n v="190801"/>
    <n v="190801"/>
    <m/>
    <n v="31"/>
    <n v="190801"/>
    <n v="1085000"/>
  </r>
  <r>
    <x v="242"/>
    <x v="5"/>
    <m/>
    <x v="0"/>
    <x v="2"/>
    <x v="17"/>
    <n v="190801"/>
    <n v="190801"/>
    <m/>
    <n v="20"/>
    <n v="190801"/>
    <n v="660000"/>
  </r>
  <r>
    <x v="242"/>
    <x v="5"/>
    <m/>
    <x v="0"/>
    <x v="2"/>
    <x v="19"/>
    <n v="190801"/>
    <n v="190801"/>
    <m/>
    <n v="41"/>
    <n v="190801"/>
    <n v="123000"/>
  </r>
  <r>
    <x v="242"/>
    <x v="5"/>
    <m/>
    <x v="5"/>
    <x v="2"/>
    <x v="28"/>
    <n v="190801"/>
    <n v="190801"/>
    <m/>
    <n v="12"/>
    <n v="190801"/>
    <n v="336000"/>
  </r>
  <r>
    <x v="242"/>
    <x v="5"/>
    <m/>
    <x v="22"/>
    <x v="2"/>
    <x v="29"/>
    <n v="190801"/>
    <n v="190801"/>
    <m/>
    <n v="3"/>
    <n v="190801"/>
    <n v="114000"/>
  </r>
  <r>
    <x v="242"/>
    <x v="5"/>
    <m/>
    <x v="19"/>
    <x v="2"/>
    <x v="22"/>
    <n v="190801"/>
    <n v="190801"/>
    <m/>
    <n v="7"/>
    <n v="190801"/>
    <n v="91000"/>
  </r>
  <r>
    <x v="242"/>
    <x v="5"/>
    <m/>
    <x v="19"/>
    <x v="2"/>
    <x v="23"/>
    <n v="190801"/>
    <n v="190801"/>
    <m/>
    <n v="1"/>
    <n v="190801"/>
    <n v="24000"/>
  </r>
  <r>
    <x v="242"/>
    <x v="5"/>
    <m/>
    <x v="19"/>
    <x v="2"/>
    <x v="38"/>
    <n v="190801"/>
    <n v="190801"/>
    <m/>
    <n v="2"/>
    <n v="190801"/>
    <n v="20000"/>
  </r>
  <r>
    <x v="243"/>
    <x v="6"/>
    <m/>
    <x v="0"/>
    <x v="7"/>
    <x v="15"/>
    <n v="190801"/>
    <n v="190801"/>
    <m/>
    <n v="5"/>
    <n v="190801"/>
    <n v="100000"/>
  </r>
  <r>
    <x v="243"/>
    <x v="6"/>
    <m/>
    <x v="6"/>
    <x v="2"/>
    <x v="37"/>
    <n v="190801"/>
    <n v="190801"/>
    <m/>
    <n v="14"/>
    <n v="190801"/>
    <n v="280000"/>
  </r>
  <r>
    <x v="243"/>
    <x v="6"/>
    <m/>
    <x v="19"/>
    <x v="2"/>
    <x v="38"/>
    <n v="190801"/>
    <n v="190801"/>
    <m/>
    <n v="6"/>
    <n v="190801"/>
    <n v="60000"/>
  </r>
  <r>
    <x v="243"/>
    <x v="6"/>
    <m/>
    <x v="25"/>
    <x v="2"/>
    <x v="34"/>
    <n v="190801"/>
    <n v="190801"/>
    <m/>
    <n v="2"/>
    <n v="190801"/>
    <n v="198000"/>
  </r>
  <r>
    <x v="243"/>
    <x v="6"/>
    <m/>
    <x v="1"/>
    <x v="2"/>
    <x v="18"/>
    <n v="190801"/>
    <n v="190801"/>
    <m/>
    <n v="2"/>
    <n v="190801"/>
    <n v="40000"/>
  </r>
  <r>
    <x v="243"/>
    <x v="6"/>
    <m/>
    <x v="4"/>
    <x v="2"/>
    <x v="26"/>
    <n v="190801"/>
    <n v="190801"/>
    <m/>
    <n v="4"/>
    <n v="190801"/>
    <n v="16000"/>
  </r>
  <r>
    <x v="243"/>
    <x v="6"/>
    <m/>
    <x v="4"/>
    <x v="2"/>
    <x v="27"/>
    <n v="190801"/>
    <n v="190801"/>
    <m/>
    <n v="11"/>
    <n v="190801"/>
    <n v="220000"/>
  </r>
  <r>
    <x v="243"/>
    <x v="6"/>
    <m/>
    <x v="0"/>
    <x v="2"/>
    <x v="15"/>
    <n v="190801"/>
    <n v="190801"/>
    <m/>
    <n v="49"/>
    <n v="190801"/>
    <n v="980000"/>
  </r>
  <r>
    <x v="243"/>
    <x v="6"/>
    <m/>
    <x v="0"/>
    <x v="2"/>
    <x v="16"/>
    <n v="190801"/>
    <n v="190801"/>
    <m/>
    <n v="443"/>
    <n v="190801"/>
    <n v="15505000"/>
  </r>
  <r>
    <x v="243"/>
    <x v="6"/>
    <m/>
    <x v="0"/>
    <x v="2"/>
    <x v="17"/>
    <n v="190801"/>
    <n v="190801"/>
    <m/>
    <n v="28"/>
    <n v="190801"/>
    <n v="924000"/>
  </r>
  <r>
    <x v="243"/>
    <x v="6"/>
    <m/>
    <x v="0"/>
    <x v="2"/>
    <x v="19"/>
    <n v="190801"/>
    <n v="190801"/>
    <m/>
    <n v="50"/>
    <n v="190801"/>
    <n v="150000"/>
  </r>
  <r>
    <x v="243"/>
    <x v="6"/>
    <m/>
    <x v="5"/>
    <x v="2"/>
    <x v="28"/>
    <n v="190801"/>
    <n v="190801"/>
    <m/>
    <n v="13"/>
    <n v="190801"/>
    <n v="364000"/>
  </r>
  <r>
    <x v="243"/>
    <x v="6"/>
    <m/>
    <x v="22"/>
    <x v="2"/>
    <x v="29"/>
    <n v="190801"/>
    <n v="190801"/>
    <m/>
    <n v="6"/>
    <n v="190801"/>
    <n v="228000"/>
  </r>
  <r>
    <x v="243"/>
    <x v="6"/>
    <m/>
    <x v="19"/>
    <x v="2"/>
    <x v="22"/>
    <n v="190801"/>
    <n v="190801"/>
    <m/>
    <n v="7"/>
    <n v="190801"/>
    <n v="91000"/>
  </r>
  <r>
    <x v="243"/>
    <x v="6"/>
    <m/>
    <x v="0"/>
    <x v="6"/>
    <x v="15"/>
    <n v="190801"/>
    <n v="190801"/>
    <m/>
    <n v="217"/>
    <n v="190801"/>
    <n v="1967756"/>
  </r>
  <r>
    <x v="243"/>
    <x v="6"/>
    <m/>
    <x v="0"/>
    <x v="6"/>
    <x v="17"/>
    <n v="190801"/>
    <n v="190801"/>
    <m/>
    <n v="39"/>
    <n v="190801"/>
    <n v="616902"/>
  </r>
  <r>
    <x v="243"/>
    <x v="6"/>
    <m/>
    <x v="4"/>
    <x v="6"/>
    <x v="26"/>
    <n v="190801"/>
    <n v="190801"/>
    <m/>
    <n v="611"/>
    <n v="190801"/>
    <n v="655603"/>
  </r>
  <r>
    <x v="243"/>
    <x v="6"/>
    <m/>
    <x v="26"/>
    <x v="6"/>
    <x v="35"/>
    <n v="190801"/>
    <n v="190801"/>
    <m/>
    <n v="97"/>
    <n v="190801"/>
    <n v="1661707"/>
  </r>
  <r>
    <x v="243"/>
    <x v="6"/>
    <m/>
    <x v="22"/>
    <x v="6"/>
    <x v="29"/>
    <n v="190801"/>
    <n v="190801"/>
    <m/>
    <n v="6"/>
    <n v="190801"/>
    <n v="118146"/>
  </r>
  <r>
    <x v="243"/>
    <x v="6"/>
    <m/>
    <x v="24"/>
    <x v="6"/>
    <x v="31"/>
    <n v="190801"/>
    <n v="190801"/>
    <m/>
    <n v="130"/>
    <n v="190801"/>
    <n v="1934010"/>
  </r>
  <r>
    <x v="243"/>
    <x v="6"/>
    <m/>
    <x v="23"/>
    <x v="6"/>
    <x v="30"/>
    <n v="190801"/>
    <n v="190801"/>
    <m/>
    <n v="77"/>
    <n v="190801"/>
    <n v="536228"/>
  </r>
  <r>
    <x v="243"/>
    <x v="6"/>
    <m/>
    <x v="20"/>
    <x v="6"/>
    <x v="25"/>
    <n v="190801"/>
    <n v="190801"/>
    <m/>
    <n v="3"/>
    <n v="190801"/>
    <n v="29148"/>
  </r>
  <r>
    <x v="243"/>
    <x v="6"/>
    <m/>
    <x v="19"/>
    <x v="6"/>
    <x v="22"/>
    <n v="190801"/>
    <n v="190801"/>
    <m/>
    <n v="5"/>
    <n v="190801"/>
    <n v="33955"/>
  </r>
  <r>
    <x v="243"/>
    <x v="6"/>
    <m/>
    <x v="27"/>
    <x v="6"/>
    <x v="36"/>
    <n v="190801"/>
    <n v="190801"/>
    <m/>
    <n v="1584"/>
    <n v="190801"/>
    <n v="14979888"/>
  </r>
  <r>
    <x v="243"/>
    <x v="6"/>
    <m/>
    <x v="6"/>
    <x v="6"/>
    <x v="37"/>
    <n v="190801"/>
    <n v="190801"/>
    <m/>
    <n v="40"/>
    <n v="190801"/>
    <n v="400000"/>
  </r>
  <r>
    <x v="243"/>
    <x v="6"/>
    <m/>
    <x v="28"/>
    <x v="6"/>
    <x v="39"/>
    <n v="190801"/>
    <n v="190801"/>
    <m/>
    <n v="471"/>
    <n v="190801"/>
    <n v="7450278"/>
  </r>
  <r>
    <x v="246"/>
    <x v="3"/>
    <m/>
    <x v="0"/>
    <x v="1"/>
    <x v="15"/>
    <n v="190801"/>
    <n v="190801"/>
    <m/>
    <n v="3"/>
    <n v="190801"/>
    <n v="60000"/>
  </r>
  <r>
    <x v="246"/>
    <x v="3"/>
    <m/>
    <x v="0"/>
    <x v="1"/>
    <x v="16"/>
    <n v="190801"/>
    <n v="190801"/>
    <m/>
    <n v="9"/>
    <n v="190801"/>
    <n v="315000"/>
  </r>
  <r>
    <x v="246"/>
    <x v="3"/>
    <m/>
    <x v="0"/>
    <x v="7"/>
    <x v="15"/>
    <n v="190801"/>
    <n v="190801"/>
    <m/>
    <n v="2"/>
    <n v="190801"/>
    <n v="40000"/>
  </r>
  <r>
    <x v="246"/>
    <x v="3"/>
    <m/>
    <x v="6"/>
    <x v="2"/>
    <x v="37"/>
    <n v="190801"/>
    <n v="190801"/>
    <m/>
    <n v="14"/>
    <n v="190801"/>
    <n v="280000"/>
  </r>
  <r>
    <x v="246"/>
    <x v="3"/>
    <m/>
    <x v="19"/>
    <x v="2"/>
    <x v="38"/>
    <n v="190801"/>
    <n v="190801"/>
    <m/>
    <n v="1"/>
    <n v="190801"/>
    <n v="10000"/>
  </r>
  <r>
    <x v="246"/>
    <x v="3"/>
    <m/>
    <x v="25"/>
    <x v="2"/>
    <x v="34"/>
    <n v="190801"/>
    <n v="190801"/>
    <m/>
    <n v="6"/>
    <n v="190801"/>
    <n v="594000"/>
  </r>
  <r>
    <x v="246"/>
    <x v="3"/>
    <m/>
    <x v="1"/>
    <x v="2"/>
    <x v="18"/>
    <n v="190801"/>
    <n v="190801"/>
    <m/>
    <n v="4"/>
    <n v="190801"/>
    <n v="80000"/>
  </r>
  <r>
    <x v="246"/>
    <x v="3"/>
    <m/>
    <x v="4"/>
    <x v="2"/>
    <x v="26"/>
    <n v="190801"/>
    <n v="190801"/>
    <m/>
    <n v="3"/>
    <n v="190801"/>
    <n v="12000"/>
  </r>
  <r>
    <x v="246"/>
    <x v="3"/>
    <m/>
    <x v="4"/>
    <x v="2"/>
    <x v="27"/>
    <n v="190801"/>
    <n v="190801"/>
    <m/>
    <n v="1"/>
    <n v="190801"/>
    <n v="20000"/>
  </r>
  <r>
    <x v="246"/>
    <x v="3"/>
    <m/>
    <x v="0"/>
    <x v="2"/>
    <x v="15"/>
    <n v="190801"/>
    <n v="190801"/>
    <m/>
    <n v="89"/>
    <n v="190801"/>
    <n v="1780000"/>
  </r>
  <r>
    <x v="246"/>
    <x v="3"/>
    <m/>
    <x v="0"/>
    <x v="2"/>
    <x v="16"/>
    <n v="190801"/>
    <n v="190801"/>
    <m/>
    <n v="50"/>
    <n v="190801"/>
    <n v="1750000"/>
  </r>
  <r>
    <x v="246"/>
    <x v="3"/>
    <m/>
    <x v="0"/>
    <x v="2"/>
    <x v="17"/>
    <n v="190801"/>
    <n v="190801"/>
    <m/>
    <n v="48"/>
    <n v="190801"/>
    <n v="1584000"/>
  </r>
  <r>
    <x v="246"/>
    <x v="3"/>
    <m/>
    <x v="0"/>
    <x v="2"/>
    <x v="19"/>
    <n v="190801"/>
    <n v="190801"/>
    <m/>
    <n v="60"/>
    <n v="190801"/>
    <n v="180000"/>
  </r>
  <r>
    <x v="246"/>
    <x v="3"/>
    <m/>
    <x v="5"/>
    <x v="2"/>
    <x v="28"/>
    <n v="190801"/>
    <n v="190801"/>
    <m/>
    <n v="22"/>
    <n v="190801"/>
    <n v="616000"/>
  </r>
  <r>
    <x v="246"/>
    <x v="3"/>
    <m/>
    <x v="22"/>
    <x v="2"/>
    <x v="29"/>
    <n v="190801"/>
    <n v="190801"/>
    <m/>
    <n v="6"/>
    <n v="190801"/>
    <n v="228000"/>
  </r>
  <r>
    <x v="246"/>
    <x v="3"/>
    <m/>
    <x v="0"/>
    <x v="4"/>
    <x v="15"/>
    <n v="190801"/>
    <n v="190801"/>
    <m/>
    <n v="22"/>
    <n v="190801"/>
    <n v="693000"/>
  </r>
  <r>
    <x v="246"/>
    <x v="3"/>
    <m/>
    <x v="0"/>
    <x v="4"/>
    <x v="16"/>
    <n v="190801"/>
    <n v="190801"/>
    <m/>
    <n v="17"/>
    <n v="190801"/>
    <n v="748000"/>
  </r>
  <r>
    <x v="246"/>
    <x v="3"/>
    <m/>
    <x v="5"/>
    <x v="4"/>
    <x v="28"/>
    <n v="190801"/>
    <n v="190801"/>
    <m/>
    <n v="11"/>
    <n v="190801"/>
    <n v="418000"/>
  </r>
  <r>
    <x v="246"/>
    <x v="3"/>
    <m/>
    <x v="19"/>
    <x v="2"/>
    <x v="22"/>
    <n v="190801"/>
    <n v="190801"/>
    <m/>
    <n v="12"/>
    <n v="190801"/>
    <n v="156000"/>
  </r>
  <r>
    <x v="247"/>
    <x v="4"/>
    <m/>
    <x v="0"/>
    <x v="1"/>
    <x v="15"/>
    <n v="190801"/>
    <n v="190801"/>
    <m/>
    <n v="2"/>
    <n v="190801"/>
    <n v="40000"/>
  </r>
  <r>
    <x v="247"/>
    <x v="4"/>
    <m/>
    <x v="0"/>
    <x v="1"/>
    <x v="16"/>
    <n v="190801"/>
    <n v="190801"/>
    <m/>
    <n v="8"/>
    <n v="190801"/>
    <n v="280000"/>
  </r>
  <r>
    <x v="247"/>
    <x v="4"/>
    <m/>
    <x v="0"/>
    <x v="7"/>
    <x v="15"/>
    <n v="190801"/>
    <n v="190801"/>
    <m/>
    <n v="3"/>
    <n v="190801"/>
    <n v="60000"/>
  </r>
  <r>
    <x v="247"/>
    <x v="4"/>
    <m/>
    <x v="6"/>
    <x v="2"/>
    <x v="37"/>
    <n v="190801"/>
    <n v="190801"/>
    <m/>
    <n v="11"/>
    <n v="190801"/>
    <n v="220000"/>
  </r>
  <r>
    <x v="247"/>
    <x v="4"/>
    <m/>
    <x v="25"/>
    <x v="2"/>
    <x v="34"/>
    <n v="190801"/>
    <n v="190801"/>
    <m/>
    <n v="12"/>
    <n v="190801"/>
    <n v="1188000"/>
  </r>
  <r>
    <x v="247"/>
    <x v="4"/>
    <m/>
    <x v="1"/>
    <x v="2"/>
    <x v="18"/>
    <n v="190801"/>
    <n v="190801"/>
    <m/>
    <n v="1"/>
    <n v="190801"/>
    <n v="20000"/>
  </r>
  <r>
    <x v="247"/>
    <x v="4"/>
    <m/>
    <x v="4"/>
    <x v="2"/>
    <x v="26"/>
    <n v="190801"/>
    <n v="190801"/>
    <m/>
    <n v="4"/>
    <n v="190801"/>
    <n v="16000"/>
  </r>
  <r>
    <x v="247"/>
    <x v="4"/>
    <m/>
    <x v="4"/>
    <x v="2"/>
    <x v="27"/>
    <n v="190801"/>
    <n v="190801"/>
    <m/>
    <n v="4"/>
    <n v="190801"/>
    <n v="80000"/>
  </r>
  <r>
    <x v="247"/>
    <x v="4"/>
    <m/>
    <x v="0"/>
    <x v="2"/>
    <x v="15"/>
    <n v="190801"/>
    <n v="190801"/>
    <m/>
    <n v="63"/>
    <n v="190801"/>
    <n v="1260000"/>
  </r>
  <r>
    <x v="247"/>
    <x v="4"/>
    <m/>
    <x v="0"/>
    <x v="2"/>
    <x v="16"/>
    <n v="190801"/>
    <n v="190801"/>
    <m/>
    <n v="39"/>
    <n v="190801"/>
    <n v="1365000"/>
  </r>
  <r>
    <x v="247"/>
    <x v="4"/>
    <m/>
    <x v="0"/>
    <x v="2"/>
    <x v="17"/>
    <n v="190801"/>
    <n v="190801"/>
    <m/>
    <n v="53"/>
    <n v="190801"/>
    <n v="1749000"/>
  </r>
  <r>
    <x v="247"/>
    <x v="4"/>
    <m/>
    <x v="0"/>
    <x v="2"/>
    <x v="19"/>
    <n v="190801"/>
    <n v="190801"/>
    <m/>
    <n v="60"/>
    <n v="190801"/>
    <n v="180000"/>
  </r>
  <r>
    <x v="247"/>
    <x v="4"/>
    <m/>
    <x v="5"/>
    <x v="2"/>
    <x v="28"/>
    <n v="190801"/>
    <n v="190801"/>
    <m/>
    <n v="8"/>
    <n v="190801"/>
    <n v="224000"/>
  </r>
  <r>
    <x v="247"/>
    <x v="4"/>
    <m/>
    <x v="22"/>
    <x v="2"/>
    <x v="29"/>
    <n v="190801"/>
    <n v="190801"/>
    <m/>
    <n v="5"/>
    <n v="190801"/>
    <n v="190000"/>
  </r>
  <r>
    <x v="247"/>
    <x v="4"/>
    <m/>
    <x v="19"/>
    <x v="2"/>
    <x v="22"/>
    <n v="190801"/>
    <n v="190801"/>
    <m/>
    <n v="9"/>
    <n v="190801"/>
    <n v="117000"/>
  </r>
  <r>
    <x v="247"/>
    <x v="4"/>
    <m/>
    <x v="19"/>
    <x v="2"/>
    <x v="23"/>
    <n v="190801"/>
    <n v="190801"/>
    <m/>
    <n v="1"/>
    <n v="190801"/>
    <n v="24000"/>
  </r>
  <r>
    <x v="247"/>
    <x v="4"/>
    <m/>
    <x v="19"/>
    <x v="2"/>
    <x v="24"/>
    <n v="190801"/>
    <n v="190801"/>
    <m/>
    <n v="3"/>
    <n v="190801"/>
    <n v="99000"/>
  </r>
  <r>
    <x v="247"/>
    <x v="4"/>
    <m/>
    <x v="0"/>
    <x v="4"/>
    <x v="15"/>
    <n v="190801"/>
    <n v="190801"/>
    <m/>
    <n v="12"/>
    <n v="190801"/>
    <n v="378000"/>
  </r>
  <r>
    <x v="247"/>
    <x v="4"/>
    <m/>
    <x v="0"/>
    <x v="4"/>
    <x v="16"/>
    <n v="190801"/>
    <n v="190801"/>
    <m/>
    <n v="2"/>
    <n v="190801"/>
    <n v="88000"/>
  </r>
  <r>
    <x v="247"/>
    <x v="4"/>
    <m/>
    <x v="5"/>
    <x v="4"/>
    <x v="28"/>
    <n v="190801"/>
    <n v="190801"/>
    <m/>
    <n v="2"/>
    <n v="190801"/>
    <n v="76000"/>
  </r>
  <r>
    <x v="248"/>
    <x v="1"/>
    <m/>
    <x v="0"/>
    <x v="1"/>
    <x v="15"/>
    <n v="190801"/>
    <n v="190801"/>
    <m/>
    <n v="2"/>
    <n v="190801"/>
    <n v="40000"/>
  </r>
  <r>
    <x v="248"/>
    <x v="1"/>
    <m/>
    <x v="0"/>
    <x v="1"/>
    <x v="16"/>
    <n v="190801"/>
    <n v="190801"/>
    <m/>
    <n v="3"/>
    <n v="190801"/>
    <n v="105000"/>
  </r>
  <r>
    <x v="248"/>
    <x v="1"/>
    <m/>
    <x v="0"/>
    <x v="7"/>
    <x v="15"/>
    <n v="190801"/>
    <n v="190801"/>
    <m/>
    <n v="3"/>
    <n v="190801"/>
    <n v="60000"/>
  </r>
  <r>
    <x v="248"/>
    <x v="1"/>
    <m/>
    <x v="6"/>
    <x v="2"/>
    <x v="37"/>
    <n v="190801"/>
    <n v="190801"/>
    <m/>
    <n v="13"/>
    <n v="190801"/>
    <n v="260000"/>
  </r>
  <r>
    <x v="248"/>
    <x v="1"/>
    <m/>
    <x v="19"/>
    <x v="2"/>
    <x v="38"/>
    <n v="190801"/>
    <n v="190801"/>
    <m/>
    <n v="3"/>
    <n v="190801"/>
    <n v="30000"/>
  </r>
  <r>
    <x v="248"/>
    <x v="1"/>
    <m/>
    <x v="25"/>
    <x v="2"/>
    <x v="34"/>
    <n v="190801"/>
    <n v="190801"/>
    <m/>
    <n v="4"/>
    <n v="190801"/>
    <n v="396000"/>
  </r>
  <r>
    <x v="248"/>
    <x v="1"/>
    <m/>
    <x v="1"/>
    <x v="2"/>
    <x v="18"/>
    <n v="190801"/>
    <n v="190801"/>
    <m/>
    <n v="1"/>
    <n v="190801"/>
    <n v="20000"/>
  </r>
  <r>
    <x v="248"/>
    <x v="1"/>
    <m/>
    <x v="1"/>
    <x v="2"/>
    <x v="21"/>
    <n v="190801"/>
    <n v="190801"/>
    <m/>
    <n v="2"/>
    <n v="190801"/>
    <n v="70000"/>
  </r>
  <r>
    <x v="248"/>
    <x v="1"/>
    <m/>
    <x v="4"/>
    <x v="2"/>
    <x v="26"/>
    <n v="190801"/>
    <n v="190801"/>
    <m/>
    <n v="6"/>
    <n v="190801"/>
    <n v="24000"/>
  </r>
  <r>
    <x v="248"/>
    <x v="1"/>
    <m/>
    <x v="4"/>
    <x v="2"/>
    <x v="27"/>
    <n v="190801"/>
    <n v="190801"/>
    <m/>
    <n v="9"/>
    <n v="190801"/>
    <n v="180000"/>
  </r>
  <r>
    <x v="248"/>
    <x v="1"/>
    <m/>
    <x v="0"/>
    <x v="2"/>
    <x v="15"/>
    <n v="190801"/>
    <n v="190801"/>
    <m/>
    <n v="56"/>
    <n v="190801"/>
    <n v="1120000"/>
  </r>
  <r>
    <x v="248"/>
    <x v="1"/>
    <m/>
    <x v="0"/>
    <x v="2"/>
    <x v="16"/>
    <n v="190801"/>
    <n v="190801"/>
    <m/>
    <n v="220"/>
    <n v="190801"/>
    <n v="7700000"/>
  </r>
  <r>
    <x v="248"/>
    <x v="1"/>
    <m/>
    <x v="0"/>
    <x v="2"/>
    <x v="17"/>
    <n v="190801"/>
    <n v="190801"/>
    <m/>
    <n v="27"/>
    <n v="190801"/>
    <n v="891000"/>
  </r>
  <r>
    <x v="248"/>
    <x v="1"/>
    <m/>
    <x v="0"/>
    <x v="2"/>
    <x v="19"/>
    <n v="190801"/>
    <n v="190801"/>
    <m/>
    <n v="457"/>
    <n v="190801"/>
    <n v="1371000"/>
  </r>
  <r>
    <x v="248"/>
    <x v="1"/>
    <m/>
    <x v="5"/>
    <x v="2"/>
    <x v="28"/>
    <n v="190801"/>
    <n v="190801"/>
    <m/>
    <n v="19"/>
    <n v="190801"/>
    <n v="532000"/>
  </r>
  <r>
    <x v="248"/>
    <x v="1"/>
    <m/>
    <x v="22"/>
    <x v="2"/>
    <x v="29"/>
    <n v="190801"/>
    <n v="190801"/>
    <m/>
    <n v="5"/>
    <n v="190801"/>
    <n v="190000"/>
  </r>
  <r>
    <x v="248"/>
    <x v="1"/>
    <m/>
    <x v="19"/>
    <x v="2"/>
    <x v="22"/>
    <n v="190801"/>
    <n v="190801"/>
    <m/>
    <n v="6"/>
    <n v="190801"/>
    <n v="78000"/>
  </r>
  <r>
    <x v="248"/>
    <x v="1"/>
    <m/>
    <x v="0"/>
    <x v="4"/>
    <x v="15"/>
    <n v="190801"/>
    <n v="190801"/>
    <m/>
    <n v="25"/>
    <n v="190801"/>
    <n v="787500"/>
  </r>
  <r>
    <x v="248"/>
    <x v="1"/>
    <m/>
    <x v="0"/>
    <x v="4"/>
    <x v="16"/>
    <n v="190801"/>
    <n v="190801"/>
    <m/>
    <n v="43"/>
    <n v="190801"/>
    <n v="1892000"/>
  </r>
  <r>
    <x v="248"/>
    <x v="1"/>
    <m/>
    <x v="5"/>
    <x v="4"/>
    <x v="28"/>
    <n v="190801"/>
    <n v="190801"/>
    <m/>
    <n v="5"/>
    <n v="190801"/>
    <n v="190000"/>
  </r>
  <r>
    <x v="248"/>
    <x v="1"/>
    <m/>
    <x v="4"/>
    <x v="4"/>
    <x v="27"/>
    <n v="190801"/>
    <n v="190801"/>
    <m/>
    <n v="2"/>
    <n v="190801"/>
    <n v="72000"/>
  </r>
  <r>
    <x v="248"/>
    <x v="1"/>
    <m/>
    <x v="19"/>
    <x v="4"/>
    <x v="22"/>
    <n v="190801"/>
    <n v="190801"/>
    <m/>
    <n v="5"/>
    <n v="190801"/>
    <n v="125000"/>
  </r>
  <r>
    <x v="248"/>
    <x v="1"/>
    <m/>
    <x v="1"/>
    <x v="4"/>
    <x v="18"/>
    <n v="190801"/>
    <n v="190801"/>
    <m/>
    <n v="3"/>
    <n v="190801"/>
    <n v="94500"/>
  </r>
  <r>
    <x v="249"/>
    <x v="0"/>
    <m/>
    <x v="0"/>
    <x v="1"/>
    <x v="16"/>
    <n v="190801"/>
    <n v="190801"/>
    <m/>
    <n v="4"/>
    <n v="190801"/>
    <n v="140000"/>
  </r>
  <r>
    <x v="249"/>
    <x v="0"/>
    <m/>
    <x v="0"/>
    <x v="1"/>
    <x v="15"/>
    <n v="190801"/>
    <n v="190801"/>
    <m/>
    <n v="1"/>
    <n v="190801"/>
    <n v="20000"/>
  </r>
  <r>
    <x v="249"/>
    <x v="0"/>
    <m/>
    <x v="0"/>
    <x v="7"/>
    <x v="15"/>
    <n v="190801"/>
    <n v="190801"/>
    <m/>
    <n v="2"/>
    <n v="190801"/>
    <n v="40000"/>
  </r>
  <r>
    <x v="249"/>
    <x v="0"/>
    <m/>
    <x v="0"/>
    <x v="3"/>
    <x v="15"/>
    <n v="190801"/>
    <n v="190801"/>
    <m/>
    <n v="12"/>
    <n v="190801"/>
    <n v="0"/>
  </r>
  <r>
    <x v="249"/>
    <x v="0"/>
    <m/>
    <x v="18"/>
    <x v="3"/>
    <x v="19"/>
    <n v="190801"/>
    <n v="190801"/>
    <m/>
    <n v="3"/>
    <n v="190801"/>
    <n v="0"/>
  </r>
  <r>
    <x v="249"/>
    <x v="0"/>
    <m/>
    <x v="5"/>
    <x v="3"/>
    <x v="28"/>
    <n v="190801"/>
    <n v="190801"/>
    <m/>
    <n v="3"/>
    <n v="190801"/>
    <n v="0"/>
  </r>
  <r>
    <x v="249"/>
    <x v="0"/>
    <m/>
    <x v="4"/>
    <x v="3"/>
    <x v="27"/>
    <n v="190801"/>
    <n v="190801"/>
    <m/>
    <n v="3"/>
    <n v="190801"/>
    <n v="0"/>
  </r>
  <r>
    <x v="249"/>
    <x v="0"/>
    <m/>
    <x v="6"/>
    <x v="3"/>
    <x v="37"/>
    <n v="190801"/>
    <n v="190801"/>
    <m/>
    <n v="3"/>
    <n v="190801"/>
    <n v="0"/>
  </r>
  <r>
    <x v="249"/>
    <x v="0"/>
    <m/>
    <x v="6"/>
    <x v="2"/>
    <x v="37"/>
    <n v="190801"/>
    <n v="190801"/>
    <m/>
    <n v="14"/>
    <n v="190801"/>
    <n v="280000"/>
  </r>
  <r>
    <x v="249"/>
    <x v="0"/>
    <m/>
    <x v="19"/>
    <x v="2"/>
    <x v="38"/>
    <n v="190801"/>
    <n v="190801"/>
    <m/>
    <n v="2"/>
    <n v="190801"/>
    <n v="20000"/>
  </r>
  <r>
    <x v="249"/>
    <x v="0"/>
    <m/>
    <x v="25"/>
    <x v="2"/>
    <x v="34"/>
    <n v="190801"/>
    <n v="190801"/>
    <m/>
    <n v="3"/>
    <n v="190801"/>
    <n v="297000"/>
  </r>
  <r>
    <x v="249"/>
    <x v="0"/>
    <m/>
    <x v="0"/>
    <x v="2"/>
    <x v="17"/>
    <n v="190801"/>
    <n v="190801"/>
    <m/>
    <n v="36"/>
    <n v="190801"/>
    <n v="1188000"/>
  </r>
  <r>
    <x v="249"/>
    <x v="0"/>
    <m/>
    <x v="0"/>
    <x v="2"/>
    <x v="16"/>
    <n v="190801"/>
    <n v="190801"/>
    <m/>
    <n v="4"/>
    <n v="190801"/>
    <n v="140000"/>
  </r>
  <r>
    <x v="249"/>
    <x v="0"/>
    <m/>
    <x v="1"/>
    <x v="2"/>
    <x v="18"/>
    <n v="190801"/>
    <n v="190801"/>
    <m/>
    <n v="4"/>
    <n v="190801"/>
    <n v="80000"/>
  </r>
  <r>
    <x v="249"/>
    <x v="0"/>
    <m/>
    <x v="1"/>
    <x v="2"/>
    <x v="21"/>
    <n v="190801"/>
    <n v="190801"/>
    <m/>
    <n v="1"/>
    <n v="190801"/>
    <n v="35000"/>
  </r>
  <r>
    <x v="249"/>
    <x v="0"/>
    <m/>
    <x v="4"/>
    <x v="2"/>
    <x v="26"/>
    <n v="190801"/>
    <n v="190801"/>
    <m/>
    <n v="4"/>
    <n v="190801"/>
    <n v="16000"/>
  </r>
  <r>
    <x v="249"/>
    <x v="0"/>
    <m/>
    <x v="4"/>
    <x v="2"/>
    <x v="27"/>
    <n v="190801"/>
    <n v="190801"/>
    <m/>
    <n v="2"/>
    <n v="190801"/>
    <n v="40000"/>
  </r>
  <r>
    <x v="249"/>
    <x v="0"/>
    <m/>
    <x v="0"/>
    <x v="2"/>
    <x v="15"/>
    <n v="190801"/>
    <n v="190801"/>
    <m/>
    <n v="71"/>
    <n v="190801"/>
    <n v="1420000"/>
  </r>
  <r>
    <x v="249"/>
    <x v="0"/>
    <m/>
    <x v="0"/>
    <x v="2"/>
    <x v="16"/>
    <n v="190801"/>
    <n v="190801"/>
    <m/>
    <n v="38"/>
    <n v="190801"/>
    <n v="1330000"/>
  </r>
  <r>
    <x v="249"/>
    <x v="0"/>
    <m/>
    <x v="0"/>
    <x v="2"/>
    <x v="19"/>
    <n v="190801"/>
    <n v="190801"/>
    <m/>
    <n v="36"/>
    <n v="190801"/>
    <n v="108000"/>
  </r>
  <r>
    <x v="249"/>
    <x v="0"/>
    <m/>
    <x v="22"/>
    <x v="2"/>
    <x v="29"/>
    <n v="190801"/>
    <n v="190801"/>
    <m/>
    <n v="3"/>
    <n v="190801"/>
    <n v="114000"/>
  </r>
  <r>
    <x v="249"/>
    <x v="0"/>
    <m/>
    <x v="5"/>
    <x v="2"/>
    <x v="28"/>
    <n v="190801"/>
    <n v="190801"/>
    <m/>
    <n v="13"/>
    <n v="190801"/>
    <n v="364000"/>
  </r>
  <r>
    <x v="249"/>
    <x v="0"/>
    <m/>
    <x v="19"/>
    <x v="2"/>
    <x v="22"/>
    <n v="190801"/>
    <n v="190801"/>
    <m/>
    <n v="4"/>
    <n v="190801"/>
    <n v="52000"/>
  </r>
  <r>
    <x v="249"/>
    <x v="0"/>
    <m/>
    <x v="19"/>
    <x v="2"/>
    <x v="23"/>
    <n v="190801"/>
    <n v="190801"/>
    <m/>
    <n v="1"/>
    <n v="190801"/>
    <n v="24000"/>
  </r>
  <r>
    <x v="249"/>
    <x v="0"/>
    <m/>
    <x v="0"/>
    <x v="2"/>
    <x v="19"/>
    <n v="190801"/>
    <n v="190801"/>
    <m/>
    <n v="19"/>
    <n v="190801"/>
    <n v="57000"/>
  </r>
  <r>
    <x v="249"/>
    <x v="0"/>
    <m/>
    <x v="0"/>
    <x v="4"/>
    <x v="15"/>
    <n v="190801"/>
    <n v="190801"/>
    <m/>
    <n v="45"/>
    <n v="190801"/>
    <n v="1417500"/>
  </r>
  <r>
    <x v="249"/>
    <x v="0"/>
    <m/>
    <x v="0"/>
    <x v="4"/>
    <x v="16"/>
    <n v="190801"/>
    <n v="190801"/>
    <m/>
    <n v="52"/>
    <n v="190801"/>
    <n v="2288000"/>
  </r>
  <r>
    <x v="249"/>
    <x v="0"/>
    <m/>
    <x v="5"/>
    <x v="4"/>
    <x v="28"/>
    <n v="190801"/>
    <n v="190801"/>
    <m/>
    <n v="3"/>
    <n v="190801"/>
    <n v="114000"/>
  </r>
  <r>
    <x v="249"/>
    <x v="0"/>
    <m/>
    <x v="4"/>
    <x v="4"/>
    <x v="27"/>
    <n v="190801"/>
    <n v="190801"/>
    <m/>
    <n v="1"/>
    <n v="190801"/>
    <n v="36000"/>
  </r>
  <r>
    <x v="249"/>
    <x v="0"/>
    <m/>
    <x v="1"/>
    <x v="4"/>
    <x v="18"/>
    <n v="190801"/>
    <n v="190801"/>
    <m/>
    <n v="3"/>
    <n v="190801"/>
    <n v="94500"/>
  </r>
  <r>
    <x v="250"/>
    <x v="2"/>
    <m/>
    <x v="0"/>
    <x v="1"/>
    <x v="16"/>
    <n v="190801"/>
    <n v="190801"/>
    <m/>
    <n v="3"/>
    <n v="190801"/>
    <n v="105000"/>
  </r>
  <r>
    <x v="250"/>
    <x v="2"/>
    <m/>
    <x v="0"/>
    <x v="7"/>
    <x v="15"/>
    <n v="190801"/>
    <n v="190801"/>
    <m/>
    <n v="2"/>
    <n v="190801"/>
    <n v="40000"/>
  </r>
  <r>
    <x v="250"/>
    <x v="2"/>
    <m/>
    <x v="0"/>
    <x v="3"/>
    <x v="15"/>
    <n v="190801"/>
    <n v="190801"/>
    <m/>
    <n v="206"/>
    <n v="190801"/>
    <n v="0"/>
  </r>
  <r>
    <x v="250"/>
    <x v="2"/>
    <m/>
    <x v="0"/>
    <x v="3"/>
    <x v="20"/>
    <n v="190801"/>
    <n v="190801"/>
    <m/>
    <n v="200"/>
    <n v="190801"/>
    <n v="0"/>
  </r>
  <r>
    <x v="250"/>
    <x v="2"/>
    <m/>
    <x v="6"/>
    <x v="3"/>
    <x v="37"/>
    <n v="190801"/>
    <n v="190801"/>
    <m/>
    <n v="2"/>
    <n v="190801"/>
    <n v="0"/>
  </r>
  <r>
    <x v="250"/>
    <x v="2"/>
    <m/>
    <x v="5"/>
    <x v="3"/>
    <x v="28"/>
    <n v="190801"/>
    <n v="190801"/>
    <m/>
    <n v="3"/>
    <n v="190801"/>
    <n v="0"/>
  </r>
  <r>
    <x v="250"/>
    <x v="2"/>
    <m/>
    <x v="18"/>
    <x v="3"/>
    <x v="19"/>
    <n v="190801"/>
    <n v="190801"/>
    <m/>
    <n v="2"/>
    <n v="190801"/>
    <n v="0"/>
  </r>
  <r>
    <x v="250"/>
    <x v="2"/>
    <m/>
    <x v="4"/>
    <x v="3"/>
    <x v="27"/>
    <n v="190801"/>
    <n v="190801"/>
    <m/>
    <n v="2"/>
    <n v="190801"/>
    <n v="0"/>
  </r>
  <r>
    <x v="250"/>
    <x v="2"/>
    <m/>
    <x v="6"/>
    <x v="2"/>
    <x v="37"/>
    <n v="190801"/>
    <n v="190801"/>
    <m/>
    <n v="4"/>
    <n v="190801"/>
    <n v="80000"/>
  </r>
  <r>
    <x v="250"/>
    <x v="2"/>
    <m/>
    <x v="19"/>
    <x v="2"/>
    <x v="38"/>
    <n v="190801"/>
    <n v="190801"/>
    <m/>
    <n v="1"/>
    <n v="190801"/>
    <n v="10000"/>
  </r>
  <r>
    <x v="250"/>
    <x v="2"/>
    <m/>
    <x v="25"/>
    <x v="2"/>
    <x v="34"/>
    <n v="190801"/>
    <n v="190801"/>
    <m/>
    <n v="3"/>
    <n v="190801"/>
    <n v="297000"/>
  </r>
  <r>
    <x v="250"/>
    <x v="2"/>
    <m/>
    <x v="0"/>
    <x v="2"/>
    <x v="17"/>
    <n v="190801"/>
    <n v="190801"/>
    <m/>
    <n v="20"/>
    <n v="190801"/>
    <n v="660000"/>
  </r>
  <r>
    <x v="250"/>
    <x v="2"/>
    <m/>
    <x v="1"/>
    <x v="2"/>
    <x v="21"/>
    <n v="190801"/>
    <n v="190801"/>
    <m/>
    <n v="1"/>
    <n v="190801"/>
    <n v="35000"/>
  </r>
  <r>
    <x v="250"/>
    <x v="2"/>
    <m/>
    <x v="4"/>
    <x v="2"/>
    <x v="27"/>
    <n v="190801"/>
    <n v="190801"/>
    <m/>
    <n v="2"/>
    <n v="190801"/>
    <n v="40000"/>
  </r>
  <r>
    <x v="250"/>
    <x v="2"/>
    <m/>
    <x v="0"/>
    <x v="2"/>
    <x v="15"/>
    <n v="190801"/>
    <n v="190801"/>
    <m/>
    <n v="45"/>
    <n v="190801"/>
    <n v="900000"/>
  </r>
  <r>
    <x v="250"/>
    <x v="2"/>
    <m/>
    <x v="0"/>
    <x v="2"/>
    <x v="16"/>
    <n v="190801"/>
    <n v="190801"/>
    <m/>
    <n v="40"/>
    <n v="190801"/>
    <n v="1400000"/>
  </r>
  <r>
    <x v="250"/>
    <x v="2"/>
    <m/>
    <x v="0"/>
    <x v="2"/>
    <x v="19"/>
    <n v="190801"/>
    <n v="190801"/>
    <m/>
    <n v="34"/>
    <n v="190801"/>
    <n v="102000"/>
  </r>
  <r>
    <x v="250"/>
    <x v="2"/>
    <m/>
    <x v="22"/>
    <x v="2"/>
    <x v="29"/>
    <n v="190801"/>
    <n v="190801"/>
    <m/>
    <n v="1"/>
    <n v="190801"/>
    <n v="38000"/>
  </r>
  <r>
    <x v="250"/>
    <x v="2"/>
    <m/>
    <x v="5"/>
    <x v="2"/>
    <x v="28"/>
    <n v="190801"/>
    <n v="190801"/>
    <m/>
    <n v="2"/>
    <n v="190801"/>
    <n v="56000"/>
  </r>
  <r>
    <x v="250"/>
    <x v="2"/>
    <m/>
    <x v="5"/>
    <x v="2"/>
    <x v="28"/>
    <n v="190801"/>
    <n v="190801"/>
    <m/>
    <n v="7"/>
    <n v="190801"/>
    <n v="196000"/>
  </r>
  <r>
    <x v="250"/>
    <x v="2"/>
    <m/>
    <x v="19"/>
    <x v="2"/>
    <x v="22"/>
    <n v="190801"/>
    <n v="190801"/>
    <m/>
    <n v="3"/>
    <n v="190801"/>
    <n v="39000"/>
  </r>
  <r>
    <x v="250"/>
    <x v="2"/>
    <m/>
    <x v="0"/>
    <x v="2"/>
    <x v="19"/>
    <n v="190801"/>
    <n v="190801"/>
    <m/>
    <n v="4"/>
    <n v="190801"/>
    <n v="12000"/>
  </r>
  <r>
    <x v="250"/>
    <x v="2"/>
    <m/>
    <x v="0"/>
    <x v="4"/>
    <x v="15"/>
    <n v="190801"/>
    <n v="190801"/>
    <m/>
    <n v="40"/>
    <n v="190801"/>
    <n v="1260000"/>
  </r>
  <r>
    <x v="250"/>
    <x v="2"/>
    <m/>
    <x v="0"/>
    <x v="4"/>
    <x v="16"/>
    <n v="190801"/>
    <n v="190801"/>
    <m/>
    <n v="31"/>
    <n v="190801"/>
    <n v="1364000"/>
  </r>
  <r>
    <x v="250"/>
    <x v="2"/>
    <m/>
    <x v="5"/>
    <x v="4"/>
    <x v="28"/>
    <n v="190801"/>
    <n v="190801"/>
    <m/>
    <n v="5"/>
    <n v="190801"/>
    <n v="190000"/>
  </r>
  <r>
    <x v="250"/>
    <x v="2"/>
    <m/>
    <x v="4"/>
    <x v="4"/>
    <x v="27"/>
    <n v="190801"/>
    <n v="190801"/>
    <m/>
    <n v="1"/>
    <n v="190801"/>
    <n v="36000"/>
  </r>
  <r>
    <x v="250"/>
    <x v="2"/>
    <m/>
    <x v="19"/>
    <x v="4"/>
    <x v="22"/>
    <n v="190801"/>
    <n v="190801"/>
    <m/>
    <n v="2"/>
    <n v="190801"/>
    <n v="50000"/>
  </r>
  <r>
    <x v="251"/>
    <x v="5"/>
    <m/>
    <x v="0"/>
    <x v="7"/>
    <x v="15"/>
    <n v="190801"/>
    <n v="190801"/>
    <m/>
    <n v="10"/>
    <n v="190801"/>
    <n v="200000"/>
  </r>
  <r>
    <x v="251"/>
    <x v="5"/>
    <m/>
    <x v="6"/>
    <x v="2"/>
    <x v="37"/>
    <n v="190801"/>
    <n v="190801"/>
    <m/>
    <n v="11"/>
    <n v="190801"/>
    <n v="220000"/>
  </r>
  <r>
    <x v="251"/>
    <x v="5"/>
    <m/>
    <x v="19"/>
    <x v="2"/>
    <x v="38"/>
    <n v="190801"/>
    <n v="190801"/>
    <m/>
    <n v="5"/>
    <n v="190801"/>
    <n v="50000"/>
  </r>
  <r>
    <x v="251"/>
    <x v="5"/>
    <m/>
    <x v="25"/>
    <x v="2"/>
    <x v="34"/>
    <n v="190801"/>
    <n v="190801"/>
    <m/>
    <n v="4"/>
    <n v="190801"/>
    <n v="396000"/>
  </r>
  <r>
    <x v="251"/>
    <x v="5"/>
    <m/>
    <x v="0"/>
    <x v="2"/>
    <x v="17"/>
    <n v="190801"/>
    <n v="190801"/>
    <m/>
    <n v="26"/>
    <n v="190801"/>
    <n v="858000"/>
  </r>
  <r>
    <x v="251"/>
    <x v="5"/>
    <m/>
    <x v="0"/>
    <x v="2"/>
    <x v="16"/>
    <n v="190801"/>
    <n v="190801"/>
    <m/>
    <n v="1"/>
    <n v="190801"/>
    <n v="35000"/>
  </r>
  <r>
    <x v="251"/>
    <x v="5"/>
    <m/>
    <x v="1"/>
    <x v="2"/>
    <x v="21"/>
    <n v="190801"/>
    <n v="190801"/>
    <m/>
    <n v="1"/>
    <n v="190801"/>
    <n v="35000"/>
  </r>
  <r>
    <x v="251"/>
    <x v="5"/>
    <m/>
    <x v="4"/>
    <x v="2"/>
    <x v="26"/>
    <n v="190801"/>
    <n v="190801"/>
    <m/>
    <n v="1"/>
    <n v="190801"/>
    <n v="4000"/>
  </r>
  <r>
    <x v="251"/>
    <x v="5"/>
    <m/>
    <x v="4"/>
    <x v="2"/>
    <x v="27"/>
    <n v="190801"/>
    <n v="190801"/>
    <m/>
    <n v="3"/>
    <n v="190801"/>
    <n v="60000"/>
  </r>
  <r>
    <x v="251"/>
    <x v="5"/>
    <m/>
    <x v="4"/>
    <x v="2"/>
    <x v="26"/>
    <n v="190801"/>
    <n v="190801"/>
    <m/>
    <n v="1"/>
    <n v="190801"/>
    <n v="4000"/>
  </r>
  <r>
    <x v="251"/>
    <x v="5"/>
    <m/>
    <x v="0"/>
    <x v="2"/>
    <x v="15"/>
    <n v="190801"/>
    <n v="190801"/>
    <m/>
    <n v="52"/>
    <n v="190801"/>
    <n v="1040000"/>
  </r>
  <r>
    <x v="251"/>
    <x v="5"/>
    <m/>
    <x v="0"/>
    <x v="2"/>
    <x v="16"/>
    <n v="190801"/>
    <n v="190801"/>
    <m/>
    <n v="34"/>
    <n v="190801"/>
    <n v="1190000"/>
  </r>
  <r>
    <x v="251"/>
    <x v="5"/>
    <m/>
    <x v="0"/>
    <x v="2"/>
    <x v="19"/>
    <n v="190801"/>
    <n v="190801"/>
    <m/>
    <n v="28"/>
    <n v="190801"/>
    <n v="84000"/>
  </r>
  <r>
    <x v="251"/>
    <x v="5"/>
    <m/>
    <x v="22"/>
    <x v="2"/>
    <x v="29"/>
    <n v="190801"/>
    <n v="190801"/>
    <m/>
    <n v="4"/>
    <n v="190801"/>
    <n v="152000"/>
  </r>
  <r>
    <x v="251"/>
    <x v="5"/>
    <m/>
    <x v="22"/>
    <x v="2"/>
    <x v="29"/>
    <n v="190801"/>
    <n v="190801"/>
    <m/>
    <n v="1"/>
    <n v="190801"/>
    <n v="38000"/>
  </r>
  <r>
    <x v="251"/>
    <x v="5"/>
    <m/>
    <x v="5"/>
    <x v="2"/>
    <x v="28"/>
    <n v="190801"/>
    <n v="190801"/>
    <m/>
    <n v="3"/>
    <n v="190801"/>
    <n v="84000"/>
  </r>
  <r>
    <x v="251"/>
    <x v="5"/>
    <m/>
    <x v="5"/>
    <x v="2"/>
    <x v="28"/>
    <n v="190801"/>
    <n v="190801"/>
    <m/>
    <n v="8"/>
    <n v="190801"/>
    <n v="224000"/>
  </r>
  <r>
    <x v="251"/>
    <x v="5"/>
    <m/>
    <x v="19"/>
    <x v="2"/>
    <x v="22"/>
    <n v="190801"/>
    <n v="190801"/>
    <m/>
    <n v="10"/>
    <n v="190801"/>
    <n v="130000"/>
  </r>
  <r>
    <x v="251"/>
    <x v="5"/>
    <m/>
    <x v="19"/>
    <x v="2"/>
    <x v="23"/>
    <n v="190801"/>
    <n v="190801"/>
    <m/>
    <n v="1"/>
    <n v="190801"/>
    <n v="24000"/>
  </r>
  <r>
    <x v="251"/>
    <x v="5"/>
    <m/>
    <x v="19"/>
    <x v="2"/>
    <x v="22"/>
    <n v="190801"/>
    <n v="190801"/>
    <m/>
    <n v="1"/>
    <n v="190801"/>
    <n v="13000"/>
  </r>
  <r>
    <x v="251"/>
    <x v="5"/>
    <m/>
    <x v="0"/>
    <x v="2"/>
    <x v="19"/>
    <n v="190801"/>
    <n v="190801"/>
    <m/>
    <n v="10"/>
    <n v="190801"/>
    <n v="30000"/>
  </r>
  <r>
    <x v="251"/>
    <x v="5"/>
    <m/>
    <x v="0"/>
    <x v="2"/>
    <x v="19"/>
    <n v="190801"/>
    <n v="190801"/>
    <m/>
    <n v="1"/>
    <n v="190801"/>
    <n v="3000"/>
  </r>
  <r>
    <x v="252"/>
    <x v="6"/>
    <m/>
    <x v="0"/>
    <x v="7"/>
    <x v="15"/>
    <n v="190801"/>
    <n v="190801"/>
    <m/>
    <n v="19"/>
    <n v="190801"/>
    <n v="380000"/>
  </r>
  <r>
    <x v="252"/>
    <x v="6"/>
    <m/>
    <x v="6"/>
    <x v="2"/>
    <x v="37"/>
    <n v="190801"/>
    <n v="190801"/>
    <m/>
    <n v="10"/>
    <n v="190801"/>
    <n v="200000"/>
  </r>
  <r>
    <x v="252"/>
    <x v="6"/>
    <m/>
    <x v="19"/>
    <x v="2"/>
    <x v="38"/>
    <n v="190801"/>
    <n v="190801"/>
    <m/>
    <n v="7"/>
    <n v="190801"/>
    <n v="70000"/>
  </r>
  <r>
    <x v="252"/>
    <x v="6"/>
    <m/>
    <x v="25"/>
    <x v="2"/>
    <x v="34"/>
    <n v="190801"/>
    <n v="190801"/>
    <m/>
    <n v="3"/>
    <n v="190801"/>
    <n v="297000"/>
  </r>
  <r>
    <x v="252"/>
    <x v="6"/>
    <m/>
    <x v="0"/>
    <x v="2"/>
    <x v="17"/>
    <n v="190801"/>
    <n v="190801"/>
    <m/>
    <n v="35"/>
    <n v="190801"/>
    <n v="1155000"/>
  </r>
  <r>
    <x v="252"/>
    <x v="6"/>
    <m/>
    <x v="0"/>
    <x v="2"/>
    <x v="16"/>
    <n v="190801"/>
    <n v="190801"/>
    <m/>
    <n v="3"/>
    <n v="190801"/>
    <n v="105000"/>
  </r>
  <r>
    <x v="252"/>
    <x v="6"/>
    <m/>
    <x v="1"/>
    <x v="2"/>
    <x v="18"/>
    <n v="190801"/>
    <n v="190801"/>
    <m/>
    <n v="4"/>
    <n v="190801"/>
    <n v="80000"/>
  </r>
  <r>
    <x v="252"/>
    <x v="6"/>
    <m/>
    <x v="1"/>
    <x v="2"/>
    <x v="21"/>
    <n v="190801"/>
    <n v="190801"/>
    <m/>
    <n v="1"/>
    <n v="190801"/>
    <n v="35000"/>
  </r>
  <r>
    <x v="252"/>
    <x v="6"/>
    <m/>
    <x v="4"/>
    <x v="2"/>
    <x v="26"/>
    <n v="190801"/>
    <n v="190801"/>
    <m/>
    <n v="1"/>
    <n v="190801"/>
    <n v="4000"/>
  </r>
  <r>
    <x v="252"/>
    <x v="6"/>
    <m/>
    <x v="4"/>
    <x v="2"/>
    <x v="27"/>
    <n v="190801"/>
    <n v="190801"/>
    <m/>
    <n v="2"/>
    <n v="190801"/>
    <n v="40000"/>
  </r>
  <r>
    <x v="252"/>
    <x v="6"/>
    <m/>
    <x v="0"/>
    <x v="2"/>
    <x v="15"/>
    <n v="190801"/>
    <n v="190801"/>
    <m/>
    <n v="79"/>
    <n v="190801"/>
    <n v="1580000"/>
  </r>
  <r>
    <x v="252"/>
    <x v="6"/>
    <m/>
    <x v="0"/>
    <x v="2"/>
    <x v="16"/>
    <n v="190801"/>
    <n v="190801"/>
    <m/>
    <n v="43"/>
    <n v="190801"/>
    <n v="1505000"/>
  </r>
  <r>
    <x v="252"/>
    <x v="6"/>
    <m/>
    <x v="0"/>
    <x v="2"/>
    <x v="19"/>
    <n v="190801"/>
    <n v="190801"/>
    <m/>
    <n v="43"/>
    <n v="190801"/>
    <n v="129000"/>
  </r>
  <r>
    <x v="252"/>
    <x v="6"/>
    <m/>
    <x v="0"/>
    <x v="2"/>
    <x v="15"/>
    <n v="190801"/>
    <n v="190801"/>
    <m/>
    <n v="3"/>
    <n v="190801"/>
    <n v="60000"/>
  </r>
  <r>
    <x v="252"/>
    <x v="6"/>
    <m/>
    <x v="22"/>
    <x v="2"/>
    <x v="29"/>
    <n v="190801"/>
    <n v="190801"/>
    <m/>
    <n v="5"/>
    <n v="190801"/>
    <n v="190000"/>
  </r>
  <r>
    <x v="252"/>
    <x v="6"/>
    <m/>
    <x v="22"/>
    <x v="2"/>
    <x v="29"/>
    <n v="190801"/>
    <n v="190801"/>
    <m/>
    <n v="1"/>
    <n v="190801"/>
    <n v="38000"/>
  </r>
  <r>
    <x v="252"/>
    <x v="6"/>
    <m/>
    <x v="5"/>
    <x v="2"/>
    <x v="28"/>
    <n v="190801"/>
    <n v="190801"/>
    <m/>
    <n v="4"/>
    <n v="190801"/>
    <n v="112000"/>
  </r>
  <r>
    <x v="252"/>
    <x v="6"/>
    <m/>
    <x v="5"/>
    <x v="2"/>
    <x v="28"/>
    <n v="190801"/>
    <n v="190801"/>
    <m/>
    <n v="9"/>
    <n v="190801"/>
    <n v="252000"/>
  </r>
  <r>
    <x v="252"/>
    <x v="6"/>
    <m/>
    <x v="19"/>
    <x v="2"/>
    <x v="22"/>
    <n v="190801"/>
    <n v="190801"/>
    <m/>
    <n v="9"/>
    <n v="190801"/>
    <n v="117000"/>
  </r>
  <r>
    <x v="252"/>
    <x v="6"/>
    <m/>
    <x v="19"/>
    <x v="2"/>
    <x v="24"/>
    <n v="190801"/>
    <n v="190801"/>
    <m/>
    <n v="1"/>
    <n v="190801"/>
    <n v="33000"/>
  </r>
  <r>
    <x v="252"/>
    <x v="6"/>
    <m/>
    <x v="0"/>
    <x v="2"/>
    <x v="19"/>
    <n v="190801"/>
    <n v="190801"/>
    <m/>
    <n v="11"/>
    <n v="190801"/>
    <n v="33000"/>
  </r>
  <r>
    <x v="252"/>
    <x v="6"/>
    <m/>
    <x v="0"/>
    <x v="2"/>
    <x v="19"/>
    <n v="190801"/>
    <n v="190801"/>
    <m/>
    <n v="1"/>
    <n v="190801"/>
    <n v="3000"/>
  </r>
  <r>
    <x v="252"/>
    <x v="6"/>
    <m/>
    <x v="0"/>
    <x v="6"/>
    <x v="15"/>
    <n v="190801"/>
    <n v="190801"/>
    <m/>
    <n v="40"/>
    <n v="190801"/>
    <n v="362720"/>
  </r>
  <r>
    <x v="252"/>
    <x v="6"/>
    <m/>
    <x v="0"/>
    <x v="6"/>
    <x v="17"/>
    <n v="190801"/>
    <n v="190801"/>
    <m/>
    <n v="48"/>
    <n v="190801"/>
    <n v="759264"/>
  </r>
  <r>
    <x v="252"/>
    <x v="6"/>
    <m/>
    <x v="4"/>
    <x v="6"/>
    <x v="26"/>
    <n v="190801"/>
    <n v="190801"/>
    <m/>
    <n v="718"/>
    <n v="190801"/>
    <n v="770414"/>
  </r>
  <r>
    <x v="252"/>
    <x v="6"/>
    <m/>
    <x v="26"/>
    <x v="6"/>
    <x v="35"/>
    <n v="190801"/>
    <n v="190801"/>
    <m/>
    <n v="81"/>
    <n v="190801"/>
    <n v="1387611"/>
  </r>
  <r>
    <x v="252"/>
    <x v="6"/>
    <m/>
    <x v="22"/>
    <x v="6"/>
    <x v="29"/>
    <n v="190801"/>
    <n v="190801"/>
    <m/>
    <n v="3"/>
    <n v="190801"/>
    <n v="59073"/>
  </r>
  <r>
    <x v="252"/>
    <x v="6"/>
    <m/>
    <x v="24"/>
    <x v="6"/>
    <x v="31"/>
    <n v="190801"/>
    <n v="190801"/>
    <m/>
    <n v="95"/>
    <n v="190801"/>
    <n v="1413315"/>
  </r>
  <r>
    <x v="252"/>
    <x v="6"/>
    <m/>
    <x v="23"/>
    <x v="6"/>
    <x v="30"/>
    <n v="190801"/>
    <n v="190801"/>
    <m/>
    <n v="96"/>
    <n v="190801"/>
    <n v="668544"/>
  </r>
  <r>
    <x v="252"/>
    <x v="6"/>
    <m/>
    <x v="20"/>
    <x v="6"/>
    <x v="25"/>
    <n v="190801"/>
    <n v="190801"/>
    <m/>
    <n v="1"/>
    <n v="190801"/>
    <n v="9716"/>
  </r>
  <r>
    <x v="252"/>
    <x v="6"/>
    <m/>
    <x v="19"/>
    <x v="6"/>
    <x v="22"/>
    <n v="190801"/>
    <n v="190801"/>
    <m/>
    <n v="4"/>
    <n v="190801"/>
    <n v="27164"/>
  </r>
  <r>
    <x v="252"/>
    <x v="6"/>
    <m/>
    <x v="27"/>
    <x v="6"/>
    <x v="36"/>
    <n v="190801"/>
    <n v="190801"/>
    <m/>
    <n v="349"/>
    <n v="190801"/>
    <n v="3300493"/>
  </r>
  <r>
    <x v="252"/>
    <x v="6"/>
    <m/>
    <x v="6"/>
    <x v="6"/>
    <x v="37"/>
    <n v="190801"/>
    <n v="190801"/>
    <m/>
    <n v="58"/>
    <n v="190801"/>
    <n v="580000"/>
  </r>
  <r>
    <x v="252"/>
    <x v="6"/>
    <m/>
    <x v="28"/>
    <x v="6"/>
    <x v="39"/>
    <n v="190801"/>
    <n v="190801"/>
    <m/>
    <n v="1047"/>
    <n v="190801"/>
    <n v="16561446"/>
  </r>
  <r>
    <x v="253"/>
    <x v="3"/>
    <m/>
    <x v="0"/>
    <x v="1"/>
    <x v="15"/>
    <n v="190801"/>
    <n v="190801"/>
    <m/>
    <n v="4"/>
    <n v="190801"/>
    <n v="80000"/>
  </r>
  <r>
    <x v="253"/>
    <x v="3"/>
    <m/>
    <x v="0"/>
    <x v="1"/>
    <x v="16"/>
    <n v="190801"/>
    <n v="190801"/>
    <m/>
    <n v="11"/>
    <n v="190801"/>
    <n v="385000"/>
  </r>
  <r>
    <x v="253"/>
    <x v="3"/>
    <m/>
    <x v="0"/>
    <x v="7"/>
    <x v="15"/>
    <n v="190801"/>
    <n v="190801"/>
    <m/>
    <n v="18"/>
    <n v="190801"/>
    <n v="360000"/>
  </r>
  <r>
    <x v="253"/>
    <x v="3"/>
    <m/>
    <x v="6"/>
    <x v="2"/>
    <x v="37"/>
    <n v="190801"/>
    <n v="190801"/>
    <m/>
    <n v="9"/>
    <n v="190801"/>
    <n v="180000"/>
  </r>
  <r>
    <x v="253"/>
    <x v="3"/>
    <m/>
    <x v="19"/>
    <x v="2"/>
    <x v="38"/>
    <n v="190801"/>
    <n v="190801"/>
    <m/>
    <n v="1"/>
    <n v="190801"/>
    <n v="10000"/>
  </r>
  <r>
    <x v="253"/>
    <x v="3"/>
    <m/>
    <x v="25"/>
    <x v="2"/>
    <x v="34"/>
    <n v="190801"/>
    <n v="190801"/>
    <m/>
    <n v="6"/>
    <n v="190801"/>
    <n v="594000"/>
  </r>
  <r>
    <x v="253"/>
    <x v="3"/>
    <m/>
    <x v="1"/>
    <x v="2"/>
    <x v="18"/>
    <n v="190801"/>
    <n v="190801"/>
    <m/>
    <n v="6"/>
    <n v="190801"/>
    <n v="120000"/>
  </r>
  <r>
    <x v="253"/>
    <x v="3"/>
    <m/>
    <x v="4"/>
    <x v="2"/>
    <x v="26"/>
    <n v="190801"/>
    <n v="190801"/>
    <m/>
    <n v="3"/>
    <n v="190801"/>
    <n v="12000"/>
  </r>
  <r>
    <x v="253"/>
    <x v="3"/>
    <m/>
    <x v="4"/>
    <x v="2"/>
    <x v="27"/>
    <n v="190801"/>
    <n v="190801"/>
    <m/>
    <n v="2"/>
    <n v="190801"/>
    <n v="40000"/>
  </r>
  <r>
    <x v="253"/>
    <x v="3"/>
    <m/>
    <x v="0"/>
    <x v="2"/>
    <x v="15"/>
    <n v="190801"/>
    <n v="190801"/>
    <m/>
    <n v="108"/>
    <n v="190801"/>
    <n v="2160000"/>
  </r>
  <r>
    <x v="253"/>
    <x v="3"/>
    <m/>
    <x v="0"/>
    <x v="2"/>
    <x v="16"/>
    <n v="190801"/>
    <n v="190801"/>
    <m/>
    <n v="69"/>
    <n v="190801"/>
    <n v="2415000"/>
  </r>
  <r>
    <x v="253"/>
    <x v="3"/>
    <m/>
    <x v="0"/>
    <x v="2"/>
    <x v="17"/>
    <n v="190801"/>
    <n v="190801"/>
    <m/>
    <n v="47"/>
    <n v="190801"/>
    <n v="1551000"/>
  </r>
  <r>
    <x v="253"/>
    <x v="3"/>
    <m/>
    <x v="0"/>
    <x v="2"/>
    <x v="19"/>
    <n v="190801"/>
    <n v="190801"/>
    <m/>
    <n v="76"/>
    <n v="190801"/>
    <n v="228000"/>
  </r>
  <r>
    <x v="253"/>
    <x v="3"/>
    <m/>
    <x v="5"/>
    <x v="2"/>
    <x v="28"/>
    <n v="190801"/>
    <n v="190801"/>
    <m/>
    <n v="22"/>
    <n v="190801"/>
    <n v="616000"/>
  </r>
  <r>
    <x v="253"/>
    <x v="3"/>
    <m/>
    <x v="22"/>
    <x v="2"/>
    <x v="29"/>
    <n v="190801"/>
    <n v="190801"/>
    <m/>
    <n v="13"/>
    <n v="190801"/>
    <n v="494000"/>
  </r>
  <r>
    <x v="253"/>
    <x v="3"/>
    <m/>
    <x v="19"/>
    <x v="2"/>
    <x v="22"/>
    <n v="190801"/>
    <n v="190801"/>
    <m/>
    <n v="8"/>
    <n v="190801"/>
    <n v="104000"/>
  </r>
  <r>
    <x v="253"/>
    <x v="3"/>
    <m/>
    <x v="19"/>
    <x v="2"/>
    <x v="24"/>
    <n v="190801"/>
    <n v="190801"/>
    <m/>
    <n v="1"/>
    <n v="190801"/>
    <n v="33000"/>
  </r>
  <r>
    <x v="253"/>
    <x v="3"/>
    <m/>
    <x v="0"/>
    <x v="4"/>
    <x v="15"/>
    <n v="190801"/>
    <n v="190801"/>
    <m/>
    <n v="105"/>
    <n v="190801"/>
    <n v="3307500"/>
  </r>
  <r>
    <x v="253"/>
    <x v="3"/>
    <m/>
    <x v="0"/>
    <x v="4"/>
    <x v="16"/>
    <n v="190801"/>
    <n v="190801"/>
    <m/>
    <n v="93"/>
    <n v="190801"/>
    <n v="4092000"/>
  </r>
  <r>
    <x v="253"/>
    <x v="3"/>
    <m/>
    <x v="5"/>
    <x v="4"/>
    <x v="28"/>
    <n v="190801"/>
    <n v="190801"/>
    <m/>
    <n v="9"/>
    <n v="190801"/>
    <n v="342000"/>
  </r>
  <r>
    <x v="253"/>
    <x v="3"/>
    <m/>
    <x v="1"/>
    <x v="4"/>
    <x v="18"/>
    <n v="190801"/>
    <n v="190801"/>
    <m/>
    <n v="4"/>
    <n v="190801"/>
    <n v="126000"/>
  </r>
  <r>
    <x v="253"/>
    <x v="3"/>
    <m/>
    <x v="4"/>
    <x v="4"/>
    <x v="27"/>
    <n v="190801"/>
    <n v="190801"/>
    <m/>
    <n v="2"/>
    <n v="190801"/>
    <n v="72000"/>
  </r>
  <r>
    <x v="253"/>
    <x v="3"/>
    <m/>
    <x v="19"/>
    <x v="4"/>
    <x v="22"/>
    <n v="190801"/>
    <n v="190801"/>
    <m/>
    <n v="3"/>
    <n v="190801"/>
    <n v="75000"/>
  </r>
  <r>
    <x v="253"/>
    <x v="3"/>
    <m/>
    <x v="0"/>
    <x v="3"/>
    <x v="15"/>
    <n v="190801"/>
    <n v="190801"/>
    <m/>
    <n v="9"/>
    <n v="190801"/>
    <n v="0"/>
  </r>
  <r>
    <x v="253"/>
    <x v="3"/>
    <m/>
    <x v="0"/>
    <x v="3"/>
    <x v="17"/>
    <n v="190801"/>
    <n v="190801"/>
    <m/>
    <n v="1"/>
    <n v="190801"/>
    <n v="0"/>
  </r>
  <r>
    <x v="253"/>
    <x v="3"/>
    <m/>
    <x v="18"/>
    <x v="3"/>
    <x v="19"/>
    <n v="190801"/>
    <n v="190801"/>
    <m/>
    <n v="12"/>
    <n v="190801"/>
    <n v="0"/>
  </r>
  <r>
    <x v="253"/>
    <x v="3"/>
    <m/>
    <x v="5"/>
    <x v="3"/>
    <x v="28"/>
    <n v="190801"/>
    <n v="190801"/>
    <m/>
    <n v="14"/>
    <n v="190801"/>
    <n v="0"/>
  </r>
  <r>
    <x v="253"/>
    <x v="3"/>
    <m/>
    <x v="4"/>
    <x v="3"/>
    <x v="27"/>
    <n v="190801"/>
    <n v="190801"/>
    <m/>
    <n v="22"/>
    <n v="190801"/>
    <n v="0"/>
  </r>
  <r>
    <x v="253"/>
    <x v="3"/>
    <m/>
    <x v="6"/>
    <x v="3"/>
    <x v="37"/>
    <n v="190801"/>
    <n v="190801"/>
    <m/>
    <n v="24"/>
    <n v="190801"/>
    <n v="0"/>
  </r>
  <r>
    <x v="254"/>
    <x v="4"/>
    <m/>
    <x v="0"/>
    <x v="1"/>
    <x v="15"/>
    <n v="190801"/>
    <n v="190801"/>
    <m/>
    <n v="2"/>
    <n v="190801"/>
    <n v="40000"/>
  </r>
  <r>
    <x v="254"/>
    <x v="4"/>
    <m/>
    <x v="0"/>
    <x v="1"/>
    <x v="16"/>
    <n v="190801"/>
    <n v="190801"/>
    <m/>
    <n v="3"/>
    <n v="190801"/>
    <n v="105000"/>
  </r>
  <r>
    <x v="254"/>
    <x v="4"/>
    <m/>
    <x v="0"/>
    <x v="5"/>
    <x v="15"/>
    <n v="190801"/>
    <n v="190801"/>
    <m/>
    <n v="100"/>
    <n v="190801"/>
    <n v="1022700"/>
  </r>
  <r>
    <x v="254"/>
    <x v="4"/>
    <m/>
    <x v="0"/>
    <x v="7"/>
    <x v="15"/>
    <n v="190801"/>
    <n v="190801"/>
    <m/>
    <n v="13"/>
    <n v="190801"/>
    <n v="260000"/>
  </r>
  <r>
    <x v="254"/>
    <x v="4"/>
    <m/>
    <x v="6"/>
    <x v="2"/>
    <x v="37"/>
    <n v="190801"/>
    <n v="190801"/>
    <m/>
    <n v="13"/>
    <n v="190801"/>
    <n v="260000"/>
  </r>
  <r>
    <x v="254"/>
    <x v="4"/>
    <m/>
    <x v="19"/>
    <x v="2"/>
    <x v="38"/>
    <n v="190801"/>
    <n v="190801"/>
    <m/>
    <n v="3"/>
    <n v="190801"/>
    <n v="30000"/>
  </r>
  <r>
    <x v="254"/>
    <x v="4"/>
    <m/>
    <x v="25"/>
    <x v="2"/>
    <x v="34"/>
    <n v="190801"/>
    <n v="190801"/>
    <m/>
    <n v="6"/>
    <n v="190801"/>
    <n v="594000"/>
  </r>
  <r>
    <x v="254"/>
    <x v="4"/>
    <m/>
    <x v="1"/>
    <x v="2"/>
    <x v="18"/>
    <n v="190801"/>
    <n v="190801"/>
    <m/>
    <n v="1"/>
    <n v="190801"/>
    <n v="20000"/>
  </r>
  <r>
    <x v="254"/>
    <x v="4"/>
    <m/>
    <x v="4"/>
    <x v="2"/>
    <x v="26"/>
    <n v="190801"/>
    <n v="190801"/>
    <m/>
    <n v="4"/>
    <n v="190801"/>
    <n v="16000"/>
  </r>
  <r>
    <x v="254"/>
    <x v="4"/>
    <m/>
    <x v="4"/>
    <x v="2"/>
    <x v="27"/>
    <n v="190801"/>
    <n v="190801"/>
    <m/>
    <n v="3"/>
    <n v="190801"/>
    <n v="60000"/>
  </r>
  <r>
    <x v="254"/>
    <x v="4"/>
    <m/>
    <x v="0"/>
    <x v="2"/>
    <x v="15"/>
    <n v="190801"/>
    <n v="190801"/>
    <m/>
    <n v="77"/>
    <n v="190801"/>
    <n v="1540000"/>
  </r>
  <r>
    <x v="254"/>
    <x v="4"/>
    <m/>
    <x v="0"/>
    <x v="2"/>
    <x v="16"/>
    <n v="190801"/>
    <n v="190801"/>
    <m/>
    <n v="56"/>
    <n v="190801"/>
    <n v="1960000"/>
  </r>
  <r>
    <x v="254"/>
    <x v="4"/>
    <m/>
    <x v="0"/>
    <x v="2"/>
    <x v="17"/>
    <n v="190801"/>
    <n v="190801"/>
    <m/>
    <n v="36"/>
    <n v="190801"/>
    <n v="1188000"/>
  </r>
  <r>
    <x v="254"/>
    <x v="4"/>
    <m/>
    <x v="0"/>
    <x v="2"/>
    <x v="19"/>
    <n v="190801"/>
    <n v="190801"/>
    <m/>
    <n v="44"/>
    <n v="190801"/>
    <n v="132000"/>
  </r>
  <r>
    <x v="254"/>
    <x v="4"/>
    <m/>
    <x v="5"/>
    <x v="2"/>
    <x v="28"/>
    <n v="190801"/>
    <n v="190801"/>
    <m/>
    <n v="10"/>
    <n v="190801"/>
    <n v="280000"/>
  </r>
  <r>
    <x v="254"/>
    <x v="4"/>
    <m/>
    <x v="22"/>
    <x v="2"/>
    <x v="29"/>
    <n v="190801"/>
    <n v="190801"/>
    <m/>
    <n v="9"/>
    <n v="190801"/>
    <n v="342000"/>
  </r>
  <r>
    <x v="254"/>
    <x v="4"/>
    <m/>
    <x v="19"/>
    <x v="2"/>
    <x v="22"/>
    <n v="190801"/>
    <n v="190801"/>
    <m/>
    <n v="7"/>
    <n v="190801"/>
    <n v="91000"/>
  </r>
  <r>
    <x v="254"/>
    <x v="4"/>
    <m/>
    <x v="19"/>
    <x v="2"/>
    <x v="24"/>
    <n v="190801"/>
    <n v="190801"/>
    <m/>
    <n v="1"/>
    <n v="190801"/>
    <n v="33000"/>
  </r>
  <r>
    <x v="254"/>
    <x v="4"/>
    <m/>
    <x v="0"/>
    <x v="4"/>
    <x v="15"/>
    <n v="190801"/>
    <n v="190801"/>
    <m/>
    <n v="21"/>
    <n v="190801"/>
    <n v="661500"/>
  </r>
  <r>
    <x v="254"/>
    <x v="4"/>
    <m/>
    <x v="0"/>
    <x v="4"/>
    <x v="16"/>
    <n v="190801"/>
    <n v="190801"/>
    <m/>
    <n v="24"/>
    <n v="190801"/>
    <n v="1056000"/>
  </r>
  <r>
    <x v="254"/>
    <x v="4"/>
    <m/>
    <x v="5"/>
    <x v="4"/>
    <x v="28"/>
    <n v="190801"/>
    <n v="190801"/>
    <m/>
    <n v="1"/>
    <n v="190801"/>
    <n v="38000"/>
  </r>
  <r>
    <x v="254"/>
    <x v="4"/>
    <m/>
    <x v="1"/>
    <x v="4"/>
    <x v="18"/>
    <n v="190801"/>
    <n v="190801"/>
    <m/>
    <n v="2"/>
    <n v="190801"/>
    <n v="63000"/>
  </r>
  <r>
    <x v="254"/>
    <x v="4"/>
    <m/>
    <x v="19"/>
    <x v="4"/>
    <x v="22"/>
    <n v="190801"/>
    <n v="190801"/>
    <m/>
    <n v="1"/>
    <n v="190801"/>
    <n v="25000"/>
  </r>
  <r>
    <x v="254"/>
    <x v="4"/>
    <m/>
    <x v="0"/>
    <x v="3"/>
    <x v="15"/>
    <n v="190801"/>
    <n v="190801"/>
    <m/>
    <n v="7"/>
    <n v="190801"/>
    <n v="0"/>
  </r>
  <r>
    <x v="254"/>
    <x v="4"/>
    <m/>
    <x v="18"/>
    <x v="3"/>
    <x v="19"/>
    <n v="190801"/>
    <n v="190801"/>
    <m/>
    <n v="1"/>
    <n v="190801"/>
    <n v="0"/>
  </r>
  <r>
    <x v="254"/>
    <x v="4"/>
    <m/>
    <x v="5"/>
    <x v="3"/>
    <x v="28"/>
    <n v="190801"/>
    <n v="190801"/>
    <m/>
    <n v="1"/>
    <n v="190801"/>
    <n v="0"/>
  </r>
  <r>
    <x v="254"/>
    <x v="4"/>
    <m/>
    <x v="4"/>
    <x v="3"/>
    <x v="27"/>
    <n v="190801"/>
    <n v="190801"/>
    <m/>
    <n v="1"/>
    <n v="190801"/>
    <n v="0"/>
  </r>
  <r>
    <x v="254"/>
    <x v="4"/>
    <m/>
    <x v="6"/>
    <x v="3"/>
    <x v="37"/>
    <n v="190801"/>
    <n v="190801"/>
    <m/>
    <n v="1"/>
    <n v="190801"/>
    <n v="0"/>
  </r>
  <r>
    <x v="255"/>
    <x v="1"/>
    <m/>
    <x v="0"/>
    <x v="1"/>
    <x v="15"/>
    <n v="190801"/>
    <n v="190801"/>
    <m/>
    <n v="1"/>
    <n v="190801"/>
    <n v="20000"/>
  </r>
  <r>
    <x v="255"/>
    <x v="1"/>
    <m/>
    <x v="0"/>
    <x v="1"/>
    <x v="16"/>
    <n v="190801"/>
    <n v="190801"/>
    <m/>
    <n v="11"/>
    <n v="190801"/>
    <n v="385000"/>
  </r>
  <r>
    <x v="255"/>
    <x v="1"/>
    <m/>
    <x v="0"/>
    <x v="7"/>
    <x v="15"/>
    <n v="190801"/>
    <n v="190801"/>
    <m/>
    <n v="5"/>
    <n v="190801"/>
    <n v="100000"/>
  </r>
  <r>
    <x v="255"/>
    <x v="1"/>
    <m/>
    <x v="6"/>
    <x v="2"/>
    <x v="37"/>
    <n v="190801"/>
    <n v="190801"/>
    <m/>
    <n v="12"/>
    <n v="190801"/>
    <n v="240000"/>
  </r>
  <r>
    <x v="255"/>
    <x v="1"/>
    <m/>
    <x v="19"/>
    <x v="2"/>
    <x v="38"/>
    <n v="190801"/>
    <n v="190801"/>
    <m/>
    <n v="2"/>
    <n v="190801"/>
    <n v="20000"/>
  </r>
  <r>
    <x v="255"/>
    <x v="1"/>
    <m/>
    <x v="25"/>
    <x v="2"/>
    <x v="34"/>
    <n v="190801"/>
    <n v="190801"/>
    <m/>
    <n v="5"/>
    <n v="190801"/>
    <n v="495000"/>
  </r>
  <r>
    <x v="255"/>
    <x v="1"/>
    <m/>
    <x v="1"/>
    <x v="2"/>
    <x v="18"/>
    <n v="190801"/>
    <n v="190801"/>
    <m/>
    <n v="1"/>
    <n v="190801"/>
    <n v="20000"/>
  </r>
  <r>
    <x v="255"/>
    <x v="1"/>
    <m/>
    <x v="1"/>
    <x v="2"/>
    <x v="21"/>
    <n v="190801"/>
    <n v="190801"/>
    <m/>
    <n v="2"/>
    <n v="190801"/>
    <n v="70000"/>
  </r>
  <r>
    <x v="255"/>
    <x v="1"/>
    <m/>
    <x v="4"/>
    <x v="2"/>
    <x v="26"/>
    <n v="190801"/>
    <n v="190801"/>
    <m/>
    <n v="8"/>
    <n v="190801"/>
    <n v="32000"/>
  </r>
  <r>
    <x v="255"/>
    <x v="1"/>
    <m/>
    <x v="4"/>
    <x v="2"/>
    <x v="27"/>
    <n v="190801"/>
    <n v="190801"/>
    <m/>
    <n v="1"/>
    <n v="190801"/>
    <n v="20000"/>
  </r>
  <r>
    <x v="255"/>
    <x v="1"/>
    <m/>
    <x v="0"/>
    <x v="2"/>
    <x v="15"/>
    <n v="190801"/>
    <n v="190801"/>
    <m/>
    <n v="81"/>
    <n v="190801"/>
    <n v="1620000"/>
  </r>
  <r>
    <x v="255"/>
    <x v="1"/>
    <m/>
    <x v="0"/>
    <x v="2"/>
    <x v="16"/>
    <n v="190801"/>
    <n v="190801"/>
    <m/>
    <n v="438"/>
    <n v="190801"/>
    <n v="15330000"/>
  </r>
  <r>
    <x v="255"/>
    <x v="1"/>
    <m/>
    <x v="0"/>
    <x v="2"/>
    <x v="17"/>
    <n v="190801"/>
    <n v="190801"/>
    <m/>
    <n v="37"/>
    <n v="190801"/>
    <n v="1221000"/>
  </r>
  <r>
    <x v="255"/>
    <x v="1"/>
    <m/>
    <x v="0"/>
    <x v="2"/>
    <x v="19"/>
    <n v="190801"/>
    <n v="190801"/>
    <m/>
    <n v="43"/>
    <n v="190801"/>
    <n v="129000"/>
  </r>
  <r>
    <x v="255"/>
    <x v="1"/>
    <m/>
    <x v="5"/>
    <x v="2"/>
    <x v="28"/>
    <n v="190801"/>
    <n v="190801"/>
    <m/>
    <n v="12"/>
    <n v="190801"/>
    <n v="336000"/>
  </r>
  <r>
    <x v="255"/>
    <x v="1"/>
    <m/>
    <x v="22"/>
    <x v="2"/>
    <x v="29"/>
    <n v="190801"/>
    <n v="190801"/>
    <m/>
    <n v="6"/>
    <n v="190801"/>
    <n v="228000"/>
  </r>
  <r>
    <x v="255"/>
    <x v="1"/>
    <m/>
    <x v="19"/>
    <x v="2"/>
    <x v="22"/>
    <n v="190801"/>
    <n v="190801"/>
    <m/>
    <n v="6"/>
    <n v="190801"/>
    <n v="78000"/>
  </r>
  <r>
    <x v="255"/>
    <x v="1"/>
    <m/>
    <x v="19"/>
    <x v="2"/>
    <x v="23"/>
    <n v="190801"/>
    <n v="190801"/>
    <m/>
    <n v="3"/>
    <n v="190801"/>
    <n v="72000"/>
  </r>
  <r>
    <x v="255"/>
    <x v="1"/>
    <m/>
    <x v="0"/>
    <x v="8"/>
    <x v="15"/>
    <n v="190801"/>
    <n v="190801"/>
    <m/>
    <n v="200"/>
    <n v="190801"/>
    <n v="1260000"/>
  </r>
  <r>
    <x v="255"/>
    <x v="1"/>
    <m/>
    <x v="0"/>
    <x v="4"/>
    <x v="15"/>
    <n v="190801"/>
    <n v="190801"/>
    <m/>
    <n v="23"/>
    <n v="190801"/>
    <n v="724500"/>
  </r>
  <r>
    <x v="255"/>
    <x v="1"/>
    <m/>
    <x v="0"/>
    <x v="4"/>
    <x v="16"/>
    <n v="190801"/>
    <n v="190801"/>
    <m/>
    <n v="22"/>
    <n v="190801"/>
    <n v="968000"/>
  </r>
  <r>
    <x v="255"/>
    <x v="1"/>
    <m/>
    <x v="5"/>
    <x v="4"/>
    <x v="28"/>
    <n v="190801"/>
    <n v="190801"/>
    <m/>
    <n v="2"/>
    <n v="190801"/>
    <n v="76000"/>
  </r>
  <r>
    <x v="255"/>
    <x v="1"/>
    <m/>
    <x v="1"/>
    <x v="4"/>
    <x v="18"/>
    <n v="190801"/>
    <n v="190801"/>
    <m/>
    <n v="1"/>
    <n v="190801"/>
    <n v="31500"/>
  </r>
  <r>
    <x v="255"/>
    <x v="1"/>
    <m/>
    <x v="19"/>
    <x v="4"/>
    <x v="22"/>
    <n v="190801"/>
    <n v="190801"/>
    <m/>
    <n v="1"/>
    <n v="190801"/>
    <n v="25000"/>
  </r>
  <r>
    <x v="255"/>
    <x v="1"/>
    <m/>
    <x v="0"/>
    <x v="3"/>
    <x v="15"/>
    <n v="190801"/>
    <n v="190801"/>
    <m/>
    <n v="217"/>
    <n v="190801"/>
    <n v="0"/>
  </r>
  <r>
    <x v="255"/>
    <x v="1"/>
    <m/>
    <x v="0"/>
    <x v="3"/>
    <x v="20"/>
    <n v="190801"/>
    <n v="190801"/>
    <m/>
    <n v="240"/>
    <n v="190801"/>
    <n v="0"/>
  </r>
  <r>
    <x v="255"/>
    <x v="1"/>
    <m/>
    <x v="18"/>
    <x v="3"/>
    <x v="19"/>
    <n v="190801"/>
    <n v="190801"/>
    <m/>
    <n v="1"/>
    <n v="190801"/>
    <n v="0"/>
  </r>
  <r>
    <x v="255"/>
    <x v="1"/>
    <m/>
    <x v="5"/>
    <x v="3"/>
    <x v="28"/>
    <n v="190801"/>
    <n v="190801"/>
    <m/>
    <n v="1"/>
    <n v="190801"/>
    <n v="0"/>
  </r>
  <r>
    <x v="255"/>
    <x v="1"/>
    <m/>
    <x v="4"/>
    <x v="3"/>
    <x v="27"/>
    <n v="190801"/>
    <n v="190801"/>
    <m/>
    <n v="1"/>
    <n v="190801"/>
    <n v="0"/>
  </r>
  <r>
    <x v="255"/>
    <x v="1"/>
    <m/>
    <x v="6"/>
    <x v="3"/>
    <x v="37"/>
    <n v="190801"/>
    <n v="190801"/>
    <m/>
    <n v="1"/>
    <n v="190801"/>
    <n v="0"/>
  </r>
  <r>
    <x v="256"/>
    <x v="0"/>
    <m/>
    <x v="0"/>
    <x v="1"/>
    <x v="16"/>
    <n v="190801"/>
    <n v="190801"/>
    <m/>
    <n v="4"/>
    <n v="190801"/>
    <n v="140000"/>
  </r>
  <r>
    <x v="256"/>
    <x v="0"/>
    <m/>
    <x v="0"/>
    <x v="7"/>
    <x v="15"/>
    <n v="190801"/>
    <n v="190801"/>
    <m/>
    <n v="5"/>
    <n v="190801"/>
    <n v="100000"/>
  </r>
  <r>
    <x v="256"/>
    <x v="0"/>
    <m/>
    <x v="6"/>
    <x v="2"/>
    <x v="37"/>
    <n v="190801"/>
    <n v="190801"/>
    <m/>
    <n v="15"/>
    <n v="190801"/>
    <n v="300000"/>
  </r>
  <r>
    <x v="256"/>
    <x v="0"/>
    <m/>
    <x v="19"/>
    <x v="2"/>
    <x v="38"/>
    <n v="190801"/>
    <n v="190801"/>
    <m/>
    <n v="5"/>
    <n v="190801"/>
    <n v="50000"/>
  </r>
  <r>
    <x v="256"/>
    <x v="0"/>
    <m/>
    <x v="25"/>
    <x v="2"/>
    <x v="34"/>
    <n v="190801"/>
    <n v="190801"/>
    <m/>
    <n v="6"/>
    <n v="190801"/>
    <n v="594000"/>
  </r>
  <r>
    <x v="256"/>
    <x v="0"/>
    <m/>
    <x v="1"/>
    <x v="2"/>
    <x v="18"/>
    <n v="190801"/>
    <n v="190801"/>
    <m/>
    <n v="1"/>
    <n v="190801"/>
    <n v="20000"/>
  </r>
  <r>
    <x v="256"/>
    <x v="0"/>
    <m/>
    <x v="1"/>
    <x v="2"/>
    <x v="21"/>
    <n v="190801"/>
    <n v="190801"/>
    <m/>
    <n v="1"/>
    <n v="190801"/>
    <n v="35000"/>
  </r>
  <r>
    <x v="256"/>
    <x v="0"/>
    <m/>
    <x v="4"/>
    <x v="2"/>
    <x v="26"/>
    <n v="190801"/>
    <n v="190801"/>
    <m/>
    <n v="13"/>
    <n v="190801"/>
    <n v="52000"/>
  </r>
  <r>
    <x v="256"/>
    <x v="0"/>
    <m/>
    <x v="4"/>
    <x v="2"/>
    <x v="27"/>
    <n v="190801"/>
    <n v="190801"/>
    <m/>
    <n v="12"/>
    <n v="190801"/>
    <n v="240000"/>
  </r>
  <r>
    <x v="256"/>
    <x v="0"/>
    <m/>
    <x v="0"/>
    <x v="2"/>
    <x v="15"/>
    <n v="190801"/>
    <n v="190801"/>
    <m/>
    <n v="53"/>
    <n v="190801"/>
    <n v="1060000"/>
  </r>
  <r>
    <x v="256"/>
    <x v="0"/>
    <m/>
    <x v="0"/>
    <x v="2"/>
    <x v="16"/>
    <n v="190801"/>
    <n v="190801"/>
    <m/>
    <n v="49"/>
    <n v="190801"/>
    <n v="1715000"/>
  </r>
  <r>
    <x v="256"/>
    <x v="0"/>
    <m/>
    <x v="0"/>
    <x v="2"/>
    <x v="17"/>
    <n v="190801"/>
    <n v="190801"/>
    <m/>
    <n v="41"/>
    <n v="190801"/>
    <n v="1353000"/>
  </r>
  <r>
    <x v="256"/>
    <x v="0"/>
    <m/>
    <x v="0"/>
    <x v="2"/>
    <x v="19"/>
    <n v="190801"/>
    <n v="190801"/>
    <m/>
    <n v="51"/>
    <n v="190801"/>
    <n v="153000"/>
  </r>
  <r>
    <x v="256"/>
    <x v="0"/>
    <m/>
    <x v="5"/>
    <x v="2"/>
    <x v="28"/>
    <n v="190801"/>
    <n v="190801"/>
    <m/>
    <n v="18"/>
    <n v="190801"/>
    <n v="504000"/>
  </r>
  <r>
    <x v="256"/>
    <x v="0"/>
    <m/>
    <x v="22"/>
    <x v="2"/>
    <x v="29"/>
    <n v="190801"/>
    <n v="190801"/>
    <m/>
    <n v="7"/>
    <n v="190801"/>
    <n v="266000"/>
  </r>
  <r>
    <x v="256"/>
    <x v="0"/>
    <m/>
    <x v="19"/>
    <x v="2"/>
    <x v="22"/>
    <n v="190801"/>
    <n v="190801"/>
    <m/>
    <n v="8"/>
    <n v="190801"/>
    <n v="104000"/>
  </r>
  <r>
    <x v="256"/>
    <x v="0"/>
    <m/>
    <x v="19"/>
    <x v="2"/>
    <x v="23"/>
    <n v="190801"/>
    <n v="190801"/>
    <m/>
    <n v="1"/>
    <n v="190801"/>
    <n v="24000"/>
  </r>
  <r>
    <x v="256"/>
    <x v="0"/>
    <m/>
    <x v="0"/>
    <x v="4"/>
    <x v="15"/>
    <n v="190801"/>
    <n v="190801"/>
    <m/>
    <n v="31"/>
    <n v="190801"/>
    <n v="976500"/>
  </r>
  <r>
    <x v="256"/>
    <x v="0"/>
    <m/>
    <x v="0"/>
    <x v="4"/>
    <x v="16"/>
    <n v="190801"/>
    <n v="190801"/>
    <m/>
    <n v="37"/>
    <n v="190801"/>
    <n v="1628000"/>
  </r>
  <r>
    <x v="256"/>
    <x v="0"/>
    <m/>
    <x v="5"/>
    <x v="4"/>
    <x v="28"/>
    <n v="190801"/>
    <n v="190801"/>
    <m/>
    <n v="2"/>
    <n v="190801"/>
    <n v="76000"/>
  </r>
  <r>
    <x v="256"/>
    <x v="0"/>
    <m/>
    <x v="4"/>
    <x v="4"/>
    <x v="27"/>
    <n v="190801"/>
    <n v="190801"/>
    <m/>
    <n v="1"/>
    <n v="190801"/>
    <n v="36000"/>
  </r>
  <r>
    <x v="256"/>
    <x v="0"/>
    <m/>
    <x v="0"/>
    <x v="3"/>
    <x v="15"/>
    <n v="190801"/>
    <n v="190801"/>
    <m/>
    <n v="2"/>
    <n v="190801"/>
    <n v="0"/>
  </r>
  <r>
    <x v="256"/>
    <x v="0"/>
    <m/>
    <x v="0"/>
    <x v="3"/>
    <x v="20"/>
    <n v="190801"/>
    <n v="190801"/>
    <m/>
    <n v="2"/>
    <n v="190801"/>
    <n v="0"/>
  </r>
  <r>
    <x v="256"/>
    <x v="0"/>
    <m/>
    <x v="5"/>
    <x v="3"/>
    <x v="28"/>
    <n v="190801"/>
    <n v="190801"/>
    <m/>
    <n v="2"/>
    <n v="190801"/>
    <n v="0"/>
  </r>
  <r>
    <x v="256"/>
    <x v="0"/>
    <m/>
    <x v="6"/>
    <x v="3"/>
    <x v="37"/>
    <n v="190801"/>
    <n v="190801"/>
    <m/>
    <n v="2"/>
    <n v="190801"/>
    <n v="0"/>
  </r>
  <r>
    <x v="257"/>
    <x v="2"/>
    <m/>
    <x v="0"/>
    <x v="1"/>
    <x v="16"/>
    <n v="190801"/>
    <n v="190801"/>
    <m/>
    <n v="5"/>
    <n v="190801"/>
    <n v="175000"/>
  </r>
  <r>
    <x v="257"/>
    <x v="2"/>
    <m/>
    <x v="0"/>
    <x v="5"/>
    <x v="15"/>
    <n v="190801"/>
    <n v="190801"/>
    <m/>
    <n v="100"/>
    <n v="190801"/>
    <n v="1022700"/>
  </r>
  <r>
    <x v="257"/>
    <x v="2"/>
    <m/>
    <x v="0"/>
    <x v="7"/>
    <x v="15"/>
    <n v="190801"/>
    <n v="190801"/>
    <m/>
    <n v="5"/>
    <n v="190801"/>
    <n v="100000"/>
  </r>
  <r>
    <x v="257"/>
    <x v="2"/>
    <m/>
    <x v="6"/>
    <x v="2"/>
    <x v="37"/>
    <n v="190801"/>
    <n v="190801"/>
    <m/>
    <n v="28"/>
    <n v="190801"/>
    <n v="560000"/>
  </r>
  <r>
    <x v="257"/>
    <x v="2"/>
    <m/>
    <x v="19"/>
    <x v="2"/>
    <x v="38"/>
    <n v="190801"/>
    <n v="190801"/>
    <m/>
    <n v="1"/>
    <n v="190801"/>
    <n v="10000"/>
  </r>
  <r>
    <x v="257"/>
    <x v="2"/>
    <m/>
    <x v="25"/>
    <x v="2"/>
    <x v="34"/>
    <n v="190801"/>
    <n v="190801"/>
    <m/>
    <n v="4"/>
    <n v="190801"/>
    <n v="396000"/>
  </r>
  <r>
    <x v="257"/>
    <x v="2"/>
    <m/>
    <x v="1"/>
    <x v="2"/>
    <x v="18"/>
    <n v="190801"/>
    <n v="190801"/>
    <m/>
    <n v="3"/>
    <n v="190801"/>
    <n v="60000"/>
  </r>
  <r>
    <x v="257"/>
    <x v="2"/>
    <m/>
    <x v="1"/>
    <x v="2"/>
    <x v="21"/>
    <n v="190801"/>
    <n v="190801"/>
    <m/>
    <n v="10"/>
    <n v="190801"/>
    <n v="350000"/>
  </r>
  <r>
    <x v="257"/>
    <x v="2"/>
    <m/>
    <x v="4"/>
    <x v="2"/>
    <x v="26"/>
    <n v="190801"/>
    <n v="190801"/>
    <m/>
    <n v="1"/>
    <n v="190801"/>
    <n v="4000"/>
  </r>
  <r>
    <x v="257"/>
    <x v="2"/>
    <m/>
    <x v="4"/>
    <x v="2"/>
    <x v="27"/>
    <n v="190801"/>
    <n v="190801"/>
    <m/>
    <n v="80"/>
    <n v="190801"/>
    <n v="1600000"/>
  </r>
  <r>
    <x v="257"/>
    <x v="2"/>
    <m/>
    <x v="0"/>
    <x v="2"/>
    <x v="15"/>
    <n v="190801"/>
    <n v="190801"/>
    <m/>
    <n v="48"/>
    <n v="190801"/>
    <n v="960000"/>
  </r>
  <r>
    <x v="257"/>
    <x v="2"/>
    <m/>
    <x v="0"/>
    <x v="2"/>
    <x v="16"/>
    <n v="190801"/>
    <n v="190801"/>
    <m/>
    <n v="44"/>
    <n v="190801"/>
    <n v="1540000"/>
  </r>
  <r>
    <x v="257"/>
    <x v="2"/>
    <m/>
    <x v="0"/>
    <x v="2"/>
    <x v="17"/>
    <n v="190801"/>
    <n v="190801"/>
    <m/>
    <n v="27"/>
    <n v="190801"/>
    <n v="891000"/>
  </r>
  <r>
    <x v="257"/>
    <x v="2"/>
    <m/>
    <x v="0"/>
    <x v="2"/>
    <x v="19"/>
    <n v="190801"/>
    <n v="190801"/>
    <m/>
    <n v="53"/>
    <n v="190801"/>
    <n v="159000"/>
  </r>
  <r>
    <x v="257"/>
    <x v="2"/>
    <m/>
    <x v="5"/>
    <x v="2"/>
    <x v="28"/>
    <n v="190801"/>
    <n v="190801"/>
    <m/>
    <n v="13"/>
    <n v="190801"/>
    <n v="364000"/>
  </r>
  <r>
    <x v="257"/>
    <x v="2"/>
    <m/>
    <x v="22"/>
    <x v="2"/>
    <x v="29"/>
    <n v="190801"/>
    <n v="190801"/>
    <m/>
    <n v="4"/>
    <n v="190801"/>
    <n v="152000"/>
  </r>
  <r>
    <x v="257"/>
    <x v="2"/>
    <m/>
    <x v="19"/>
    <x v="2"/>
    <x v="22"/>
    <n v="190801"/>
    <n v="190801"/>
    <m/>
    <n v="7"/>
    <n v="190801"/>
    <n v="91000"/>
  </r>
  <r>
    <x v="257"/>
    <x v="2"/>
    <m/>
    <x v="19"/>
    <x v="2"/>
    <x v="23"/>
    <n v="190801"/>
    <n v="190801"/>
    <m/>
    <n v="3"/>
    <n v="190801"/>
    <n v="72000"/>
  </r>
  <r>
    <x v="257"/>
    <x v="2"/>
    <m/>
    <x v="19"/>
    <x v="2"/>
    <x v="24"/>
    <n v="190801"/>
    <n v="190801"/>
    <m/>
    <n v="1"/>
    <n v="190801"/>
    <n v="33000"/>
  </r>
  <r>
    <x v="257"/>
    <x v="2"/>
    <m/>
    <x v="0"/>
    <x v="4"/>
    <x v="15"/>
    <n v="190801"/>
    <n v="190801"/>
    <m/>
    <n v="24"/>
    <n v="190801"/>
    <n v="756000"/>
  </r>
  <r>
    <x v="257"/>
    <x v="2"/>
    <m/>
    <x v="0"/>
    <x v="4"/>
    <x v="16"/>
    <n v="190801"/>
    <n v="190801"/>
    <m/>
    <n v="21"/>
    <n v="190801"/>
    <n v="924000"/>
  </r>
  <r>
    <x v="257"/>
    <x v="2"/>
    <m/>
    <x v="1"/>
    <x v="4"/>
    <x v="18"/>
    <n v="190801"/>
    <n v="190801"/>
    <m/>
    <n v="1"/>
    <n v="190801"/>
    <n v="31500"/>
  </r>
  <r>
    <x v="257"/>
    <x v="2"/>
    <m/>
    <x v="0"/>
    <x v="3"/>
    <x v="15"/>
    <n v="190801"/>
    <n v="190801"/>
    <m/>
    <n v="2"/>
    <n v="190801"/>
    <n v="0"/>
  </r>
  <r>
    <x v="257"/>
    <x v="2"/>
    <m/>
    <x v="0"/>
    <x v="3"/>
    <x v="17"/>
    <n v="190801"/>
    <n v="190801"/>
    <m/>
    <n v="1"/>
    <n v="190801"/>
    <n v="0"/>
  </r>
  <r>
    <x v="257"/>
    <x v="2"/>
    <m/>
    <x v="18"/>
    <x v="3"/>
    <x v="19"/>
    <n v="190801"/>
    <n v="190801"/>
    <m/>
    <n v="1"/>
    <n v="190801"/>
    <n v="0"/>
  </r>
  <r>
    <x v="257"/>
    <x v="2"/>
    <m/>
    <x v="5"/>
    <x v="3"/>
    <x v="28"/>
    <n v="190801"/>
    <n v="190801"/>
    <m/>
    <n v="1"/>
    <n v="190801"/>
    <n v="0"/>
  </r>
  <r>
    <x v="257"/>
    <x v="2"/>
    <m/>
    <x v="4"/>
    <x v="3"/>
    <x v="27"/>
    <n v="190801"/>
    <n v="190801"/>
    <m/>
    <n v="1"/>
    <n v="190801"/>
    <n v="0"/>
  </r>
  <r>
    <x v="257"/>
    <x v="2"/>
    <m/>
    <x v="6"/>
    <x v="3"/>
    <x v="37"/>
    <n v="190801"/>
    <n v="190801"/>
    <m/>
    <n v="1"/>
    <n v="190801"/>
    <n v="0"/>
  </r>
  <r>
    <x v="258"/>
    <x v="5"/>
    <m/>
    <x v="0"/>
    <x v="7"/>
    <x v="15"/>
    <n v="190801"/>
    <n v="190801"/>
    <m/>
    <n v="1"/>
    <n v="190801"/>
    <n v="20000"/>
  </r>
  <r>
    <x v="258"/>
    <x v="5"/>
    <m/>
    <x v="6"/>
    <x v="2"/>
    <x v="37"/>
    <n v="190801"/>
    <n v="190801"/>
    <m/>
    <n v="13"/>
    <n v="190801"/>
    <n v="260000"/>
  </r>
  <r>
    <x v="258"/>
    <x v="5"/>
    <m/>
    <x v="19"/>
    <x v="2"/>
    <x v="38"/>
    <n v="190801"/>
    <n v="190801"/>
    <m/>
    <n v="1"/>
    <n v="190801"/>
    <n v="10000"/>
  </r>
  <r>
    <x v="258"/>
    <x v="5"/>
    <m/>
    <x v="25"/>
    <x v="2"/>
    <x v="34"/>
    <n v="190801"/>
    <n v="190801"/>
    <m/>
    <n v="4"/>
    <n v="190801"/>
    <n v="396000"/>
  </r>
  <r>
    <x v="258"/>
    <x v="5"/>
    <m/>
    <x v="1"/>
    <x v="2"/>
    <x v="18"/>
    <n v="190801"/>
    <n v="190801"/>
    <m/>
    <n v="1"/>
    <n v="190801"/>
    <n v="20000"/>
  </r>
  <r>
    <x v="258"/>
    <x v="5"/>
    <m/>
    <x v="1"/>
    <x v="2"/>
    <x v="21"/>
    <n v="190801"/>
    <n v="190801"/>
    <m/>
    <n v="1"/>
    <n v="190801"/>
    <n v="35000"/>
  </r>
  <r>
    <x v="258"/>
    <x v="5"/>
    <m/>
    <x v="0"/>
    <x v="2"/>
    <x v="15"/>
    <n v="190801"/>
    <n v="190801"/>
    <m/>
    <n v="41"/>
    <n v="190801"/>
    <n v="820000"/>
  </r>
  <r>
    <x v="258"/>
    <x v="5"/>
    <m/>
    <x v="0"/>
    <x v="2"/>
    <x v="16"/>
    <n v="190801"/>
    <n v="190801"/>
    <m/>
    <n v="37"/>
    <n v="190801"/>
    <n v="1295000"/>
  </r>
  <r>
    <x v="258"/>
    <x v="5"/>
    <m/>
    <x v="0"/>
    <x v="2"/>
    <x v="17"/>
    <n v="190801"/>
    <n v="190801"/>
    <m/>
    <n v="22"/>
    <n v="190801"/>
    <n v="726000"/>
  </r>
  <r>
    <x v="258"/>
    <x v="5"/>
    <m/>
    <x v="0"/>
    <x v="2"/>
    <x v="19"/>
    <n v="190801"/>
    <n v="190801"/>
    <m/>
    <n v="34"/>
    <n v="190801"/>
    <n v="102000"/>
  </r>
  <r>
    <x v="258"/>
    <x v="5"/>
    <m/>
    <x v="5"/>
    <x v="2"/>
    <x v="28"/>
    <n v="190801"/>
    <n v="190801"/>
    <m/>
    <n v="10"/>
    <n v="190801"/>
    <n v="280000"/>
  </r>
  <r>
    <x v="258"/>
    <x v="5"/>
    <m/>
    <x v="22"/>
    <x v="2"/>
    <x v="29"/>
    <n v="190801"/>
    <n v="190801"/>
    <m/>
    <n v="6"/>
    <n v="190801"/>
    <n v="228000"/>
  </r>
  <r>
    <x v="258"/>
    <x v="5"/>
    <m/>
    <x v="19"/>
    <x v="2"/>
    <x v="22"/>
    <n v="190801"/>
    <n v="190801"/>
    <m/>
    <n v="5"/>
    <n v="190801"/>
    <n v="65000"/>
  </r>
  <r>
    <x v="258"/>
    <x v="5"/>
    <m/>
    <x v="19"/>
    <x v="2"/>
    <x v="23"/>
    <n v="190801"/>
    <n v="190801"/>
    <m/>
    <n v="1"/>
    <n v="190801"/>
    <n v="24000"/>
  </r>
  <r>
    <x v="258"/>
    <x v="5"/>
    <m/>
    <x v="19"/>
    <x v="2"/>
    <x v="24"/>
    <n v="190801"/>
    <n v="190801"/>
    <m/>
    <n v="1"/>
    <n v="190801"/>
    <n v="33000"/>
  </r>
  <r>
    <x v="259"/>
    <x v="6"/>
    <m/>
    <x v="0"/>
    <x v="7"/>
    <x v="15"/>
    <n v="190801"/>
    <n v="190801"/>
    <m/>
    <n v="7"/>
    <n v="190801"/>
    <n v="140000"/>
  </r>
  <r>
    <x v="259"/>
    <x v="6"/>
    <m/>
    <x v="6"/>
    <x v="2"/>
    <x v="37"/>
    <n v="190801"/>
    <n v="190801"/>
    <m/>
    <n v="7"/>
    <n v="190801"/>
    <n v="140000"/>
  </r>
  <r>
    <x v="259"/>
    <x v="6"/>
    <m/>
    <x v="19"/>
    <x v="2"/>
    <x v="38"/>
    <n v="190801"/>
    <n v="190801"/>
    <m/>
    <n v="1"/>
    <n v="190801"/>
    <n v="10000"/>
  </r>
  <r>
    <x v="259"/>
    <x v="6"/>
    <m/>
    <x v="25"/>
    <x v="2"/>
    <x v="34"/>
    <n v="190801"/>
    <n v="190801"/>
    <m/>
    <n v="8"/>
    <n v="190801"/>
    <n v="792000"/>
  </r>
  <r>
    <x v="259"/>
    <x v="6"/>
    <m/>
    <x v="1"/>
    <x v="2"/>
    <x v="18"/>
    <n v="190801"/>
    <n v="190801"/>
    <m/>
    <n v="4"/>
    <n v="190801"/>
    <n v="80000"/>
  </r>
  <r>
    <x v="259"/>
    <x v="6"/>
    <m/>
    <x v="4"/>
    <x v="2"/>
    <x v="26"/>
    <n v="190801"/>
    <n v="190801"/>
    <m/>
    <n v="2"/>
    <n v="190801"/>
    <n v="8000"/>
  </r>
  <r>
    <x v="259"/>
    <x v="6"/>
    <m/>
    <x v="4"/>
    <x v="2"/>
    <x v="27"/>
    <n v="190801"/>
    <n v="190801"/>
    <m/>
    <n v="4"/>
    <n v="190801"/>
    <n v="80000"/>
  </r>
  <r>
    <x v="259"/>
    <x v="6"/>
    <m/>
    <x v="0"/>
    <x v="2"/>
    <x v="15"/>
    <n v="190801"/>
    <n v="190801"/>
    <m/>
    <n v="46"/>
    <n v="190801"/>
    <n v="920000"/>
  </r>
  <r>
    <x v="259"/>
    <x v="6"/>
    <m/>
    <x v="0"/>
    <x v="2"/>
    <x v="16"/>
    <n v="190801"/>
    <n v="190801"/>
    <m/>
    <n v="54"/>
    <n v="190801"/>
    <n v="1890000"/>
  </r>
  <r>
    <x v="259"/>
    <x v="6"/>
    <m/>
    <x v="0"/>
    <x v="2"/>
    <x v="17"/>
    <n v="190801"/>
    <n v="190801"/>
    <m/>
    <n v="30"/>
    <n v="190801"/>
    <n v="990000"/>
  </r>
  <r>
    <x v="259"/>
    <x v="6"/>
    <m/>
    <x v="0"/>
    <x v="2"/>
    <x v="19"/>
    <n v="190801"/>
    <n v="190801"/>
    <m/>
    <n v="59"/>
    <n v="190801"/>
    <n v="177000"/>
  </r>
  <r>
    <x v="259"/>
    <x v="6"/>
    <m/>
    <x v="5"/>
    <x v="2"/>
    <x v="28"/>
    <n v="190801"/>
    <n v="190801"/>
    <m/>
    <n v="12"/>
    <n v="190801"/>
    <n v="336000"/>
  </r>
  <r>
    <x v="259"/>
    <x v="6"/>
    <m/>
    <x v="22"/>
    <x v="2"/>
    <x v="29"/>
    <n v="190801"/>
    <n v="190801"/>
    <m/>
    <n v="1"/>
    <n v="190801"/>
    <n v="38000"/>
  </r>
  <r>
    <x v="259"/>
    <x v="6"/>
    <m/>
    <x v="19"/>
    <x v="2"/>
    <x v="22"/>
    <n v="190801"/>
    <n v="190801"/>
    <m/>
    <n v="4"/>
    <n v="190801"/>
    <n v="52000"/>
  </r>
  <r>
    <x v="259"/>
    <x v="6"/>
    <m/>
    <x v="19"/>
    <x v="2"/>
    <x v="23"/>
    <n v="190801"/>
    <n v="190801"/>
    <m/>
    <n v="1"/>
    <n v="190801"/>
    <n v="24000"/>
  </r>
  <r>
    <x v="259"/>
    <x v="6"/>
    <m/>
    <x v="19"/>
    <x v="2"/>
    <x v="24"/>
    <n v="190801"/>
    <n v="190801"/>
    <m/>
    <n v="1"/>
    <n v="190801"/>
    <n v="33000"/>
  </r>
  <r>
    <x v="259"/>
    <x v="6"/>
    <m/>
    <x v="0"/>
    <x v="6"/>
    <x v="15"/>
    <n v="190801"/>
    <n v="190801"/>
    <m/>
    <n v="47"/>
    <n v="190801"/>
    <n v="426196"/>
  </r>
  <r>
    <x v="259"/>
    <x v="6"/>
    <m/>
    <x v="0"/>
    <x v="6"/>
    <x v="17"/>
    <n v="190801"/>
    <n v="190801"/>
    <m/>
    <n v="43"/>
    <n v="190801"/>
    <n v="680174"/>
  </r>
  <r>
    <x v="259"/>
    <x v="6"/>
    <m/>
    <x v="4"/>
    <x v="6"/>
    <x v="26"/>
    <n v="190801"/>
    <n v="190801"/>
    <m/>
    <n v="680"/>
    <n v="190801"/>
    <n v="729640"/>
  </r>
  <r>
    <x v="259"/>
    <x v="6"/>
    <m/>
    <x v="26"/>
    <x v="6"/>
    <x v="35"/>
    <n v="190801"/>
    <n v="190801"/>
    <m/>
    <n v="66"/>
    <n v="190801"/>
    <n v="1130646"/>
  </r>
  <r>
    <x v="259"/>
    <x v="6"/>
    <m/>
    <x v="22"/>
    <x v="6"/>
    <x v="29"/>
    <n v="190801"/>
    <n v="190801"/>
    <m/>
    <n v="6"/>
    <n v="190801"/>
    <n v="118146"/>
  </r>
  <r>
    <x v="259"/>
    <x v="6"/>
    <m/>
    <x v="24"/>
    <x v="6"/>
    <x v="31"/>
    <n v="190801"/>
    <n v="190801"/>
    <m/>
    <n v="60"/>
    <n v="190801"/>
    <n v="892620"/>
  </r>
  <r>
    <x v="259"/>
    <x v="6"/>
    <m/>
    <x v="23"/>
    <x v="6"/>
    <x v="30"/>
    <n v="190801"/>
    <n v="190801"/>
    <m/>
    <n v="47"/>
    <n v="190801"/>
    <n v="327308"/>
  </r>
  <r>
    <x v="259"/>
    <x v="6"/>
    <m/>
    <x v="19"/>
    <x v="6"/>
    <x v="22"/>
    <n v="190801"/>
    <n v="190801"/>
    <m/>
    <n v="7"/>
    <n v="190801"/>
    <n v="47537"/>
  </r>
  <r>
    <x v="259"/>
    <x v="6"/>
    <m/>
    <x v="27"/>
    <x v="6"/>
    <x v="36"/>
    <n v="190801"/>
    <n v="190801"/>
    <m/>
    <n v="59"/>
    <n v="190801"/>
    <n v="557963"/>
  </r>
  <r>
    <x v="259"/>
    <x v="6"/>
    <m/>
    <x v="6"/>
    <x v="6"/>
    <x v="37"/>
    <n v="190801"/>
    <n v="190801"/>
    <m/>
    <n v="42"/>
    <n v="190801"/>
    <n v="420000"/>
  </r>
  <r>
    <x v="259"/>
    <x v="6"/>
    <m/>
    <x v="28"/>
    <x v="6"/>
    <x v="39"/>
    <n v="190801"/>
    <n v="190801"/>
    <m/>
    <n v="771"/>
    <n v="190801"/>
    <n v="12195678"/>
  </r>
  <r>
    <x v="260"/>
    <x v="3"/>
    <m/>
    <x v="0"/>
    <x v="1"/>
    <x v="15"/>
    <n v="190801"/>
    <n v="190801"/>
    <m/>
    <n v="2"/>
    <n v="190801"/>
    <n v="40000"/>
  </r>
  <r>
    <x v="260"/>
    <x v="3"/>
    <m/>
    <x v="0"/>
    <x v="1"/>
    <x v="16"/>
    <n v="190801"/>
    <n v="190801"/>
    <m/>
    <n v="5"/>
    <n v="190801"/>
    <n v="175000"/>
  </r>
  <r>
    <x v="260"/>
    <x v="3"/>
    <m/>
    <x v="0"/>
    <x v="7"/>
    <x v="15"/>
    <n v="190801"/>
    <n v="190801"/>
    <m/>
    <n v="3"/>
    <n v="190801"/>
    <n v="60000"/>
  </r>
  <r>
    <x v="260"/>
    <x v="3"/>
    <m/>
    <x v="6"/>
    <x v="2"/>
    <x v="37"/>
    <n v="190801"/>
    <n v="190801"/>
    <m/>
    <n v="11"/>
    <n v="190801"/>
    <n v="220000"/>
  </r>
  <r>
    <x v="260"/>
    <x v="3"/>
    <m/>
    <x v="19"/>
    <x v="2"/>
    <x v="38"/>
    <n v="190801"/>
    <n v="190801"/>
    <m/>
    <n v="3"/>
    <n v="190801"/>
    <n v="30000"/>
  </r>
  <r>
    <x v="260"/>
    <x v="3"/>
    <m/>
    <x v="25"/>
    <x v="2"/>
    <x v="34"/>
    <n v="190801"/>
    <n v="190801"/>
    <m/>
    <n v="4"/>
    <n v="190801"/>
    <n v="396000"/>
  </r>
  <r>
    <x v="260"/>
    <x v="3"/>
    <m/>
    <x v="1"/>
    <x v="2"/>
    <x v="18"/>
    <n v="190801"/>
    <n v="190801"/>
    <m/>
    <n v="2"/>
    <n v="190801"/>
    <n v="40000"/>
  </r>
  <r>
    <x v="260"/>
    <x v="3"/>
    <m/>
    <x v="1"/>
    <x v="2"/>
    <x v="21"/>
    <n v="190801"/>
    <n v="190801"/>
    <m/>
    <n v="2"/>
    <n v="190801"/>
    <n v="70000"/>
  </r>
  <r>
    <x v="260"/>
    <x v="3"/>
    <m/>
    <x v="4"/>
    <x v="2"/>
    <x v="26"/>
    <n v="190801"/>
    <n v="190801"/>
    <m/>
    <n v="2"/>
    <n v="190801"/>
    <n v="8000"/>
  </r>
  <r>
    <x v="260"/>
    <x v="3"/>
    <m/>
    <x v="4"/>
    <x v="2"/>
    <x v="27"/>
    <n v="190801"/>
    <n v="190801"/>
    <m/>
    <n v="8"/>
    <n v="190801"/>
    <n v="160000"/>
  </r>
  <r>
    <x v="260"/>
    <x v="3"/>
    <m/>
    <x v="0"/>
    <x v="2"/>
    <x v="15"/>
    <n v="190801"/>
    <n v="190801"/>
    <m/>
    <n v="59"/>
    <n v="190801"/>
    <n v="1180000"/>
  </r>
  <r>
    <x v="260"/>
    <x v="3"/>
    <m/>
    <x v="0"/>
    <x v="2"/>
    <x v="16"/>
    <n v="190801"/>
    <n v="190801"/>
    <m/>
    <n v="50"/>
    <n v="190801"/>
    <n v="1750000"/>
  </r>
  <r>
    <x v="260"/>
    <x v="3"/>
    <m/>
    <x v="0"/>
    <x v="2"/>
    <x v="17"/>
    <n v="190801"/>
    <n v="190801"/>
    <m/>
    <n v="55"/>
    <n v="190801"/>
    <n v="1815000"/>
  </r>
  <r>
    <x v="260"/>
    <x v="3"/>
    <m/>
    <x v="0"/>
    <x v="2"/>
    <x v="19"/>
    <n v="190801"/>
    <n v="190801"/>
    <m/>
    <n v="51"/>
    <n v="190801"/>
    <n v="153000"/>
  </r>
  <r>
    <x v="260"/>
    <x v="3"/>
    <m/>
    <x v="5"/>
    <x v="2"/>
    <x v="28"/>
    <n v="190801"/>
    <n v="190801"/>
    <m/>
    <n v="17"/>
    <n v="190801"/>
    <n v="476000"/>
  </r>
  <r>
    <x v="260"/>
    <x v="3"/>
    <m/>
    <x v="22"/>
    <x v="2"/>
    <x v="29"/>
    <n v="190801"/>
    <n v="190801"/>
    <m/>
    <n v="5"/>
    <n v="190801"/>
    <n v="190000"/>
  </r>
  <r>
    <x v="260"/>
    <x v="3"/>
    <m/>
    <x v="19"/>
    <x v="2"/>
    <x v="22"/>
    <n v="190801"/>
    <n v="190801"/>
    <m/>
    <n v="10"/>
    <n v="190801"/>
    <n v="130000"/>
  </r>
  <r>
    <x v="260"/>
    <x v="3"/>
    <m/>
    <x v="19"/>
    <x v="2"/>
    <x v="24"/>
    <n v="190801"/>
    <n v="190801"/>
    <m/>
    <n v="1"/>
    <n v="190801"/>
    <n v="33000"/>
  </r>
  <r>
    <x v="260"/>
    <x v="3"/>
    <m/>
    <x v="0"/>
    <x v="3"/>
    <x v="15"/>
    <n v="190801"/>
    <n v="190801"/>
    <m/>
    <n v="2"/>
    <n v="190801"/>
    <n v="0"/>
  </r>
  <r>
    <x v="261"/>
    <x v="4"/>
    <m/>
    <x v="0"/>
    <x v="1"/>
    <x v="16"/>
    <n v="190801"/>
    <n v="190801"/>
    <m/>
    <n v="3"/>
    <n v="190801"/>
    <n v="105000"/>
  </r>
  <r>
    <x v="261"/>
    <x v="4"/>
    <m/>
    <x v="6"/>
    <x v="2"/>
    <x v="37"/>
    <n v="190801"/>
    <n v="190801"/>
    <m/>
    <n v="8"/>
    <n v="190801"/>
    <n v="160000"/>
  </r>
  <r>
    <x v="261"/>
    <x v="4"/>
    <m/>
    <x v="19"/>
    <x v="2"/>
    <x v="38"/>
    <n v="190801"/>
    <n v="190801"/>
    <m/>
    <n v="1"/>
    <n v="190801"/>
    <n v="10000"/>
  </r>
  <r>
    <x v="261"/>
    <x v="4"/>
    <m/>
    <x v="25"/>
    <x v="2"/>
    <x v="34"/>
    <n v="190801"/>
    <n v="190801"/>
    <m/>
    <n v="4"/>
    <n v="190801"/>
    <n v="396000"/>
  </r>
  <r>
    <x v="261"/>
    <x v="4"/>
    <m/>
    <x v="1"/>
    <x v="2"/>
    <x v="18"/>
    <n v="190801"/>
    <n v="190801"/>
    <m/>
    <n v="2"/>
    <n v="190801"/>
    <n v="40000"/>
  </r>
  <r>
    <x v="261"/>
    <x v="4"/>
    <m/>
    <x v="1"/>
    <x v="2"/>
    <x v="21"/>
    <n v="190801"/>
    <n v="190801"/>
    <m/>
    <n v="1"/>
    <n v="190801"/>
    <n v="35000"/>
  </r>
  <r>
    <x v="261"/>
    <x v="4"/>
    <m/>
    <x v="4"/>
    <x v="2"/>
    <x v="26"/>
    <n v="190801"/>
    <n v="190801"/>
    <m/>
    <n v="2"/>
    <n v="190801"/>
    <n v="8000"/>
  </r>
  <r>
    <x v="261"/>
    <x v="4"/>
    <m/>
    <x v="4"/>
    <x v="2"/>
    <x v="27"/>
    <n v="190801"/>
    <n v="190801"/>
    <m/>
    <n v="2"/>
    <n v="190801"/>
    <n v="40000"/>
  </r>
  <r>
    <x v="261"/>
    <x v="4"/>
    <m/>
    <x v="0"/>
    <x v="2"/>
    <x v="15"/>
    <n v="190801"/>
    <n v="190801"/>
    <m/>
    <n v="59"/>
    <n v="190801"/>
    <n v="1180000"/>
  </r>
  <r>
    <x v="261"/>
    <x v="4"/>
    <m/>
    <x v="0"/>
    <x v="2"/>
    <x v="16"/>
    <n v="190801"/>
    <n v="190801"/>
    <m/>
    <n v="45"/>
    <n v="190801"/>
    <n v="1575000"/>
  </r>
  <r>
    <x v="261"/>
    <x v="4"/>
    <m/>
    <x v="0"/>
    <x v="2"/>
    <x v="17"/>
    <n v="190801"/>
    <n v="190801"/>
    <m/>
    <n v="49"/>
    <n v="190801"/>
    <n v="1617000"/>
  </r>
  <r>
    <x v="261"/>
    <x v="4"/>
    <m/>
    <x v="0"/>
    <x v="2"/>
    <x v="19"/>
    <n v="190801"/>
    <n v="190801"/>
    <m/>
    <n v="50"/>
    <n v="190801"/>
    <n v="150000"/>
  </r>
  <r>
    <x v="261"/>
    <x v="4"/>
    <m/>
    <x v="5"/>
    <x v="2"/>
    <x v="28"/>
    <n v="190801"/>
    <n v="190801"/>
    <m/>
    <n v="15"/>
    <n v="190801"/>
    <n v="420000"/>
  </r>
  <r>
    <x v="261"/>
    <x v="4"/>
    <m/>
    <x v="22"/>
    <x v="2"/>
    <x v="29"/>
    <n v="190801"/>
    <n v="190801"/>
    <m/>
    <n v="3"/>
    <n v="190801"/>
    <n v="114000"/>
  </r>
  <r>
    <x v="261"/>
    <x v="4"/>
    <m/>
    <x v="19"/>
    <x v="2"/>
    <x v="22"/>
    <n v="190801"/>
    <n v="190801"/>
    <m/>
    <n v="8"/>
    <n v="190801"/>
    <n v="104000"/>
  </r>
  <r>
    <x v="261"/>
    <x v="4"/>
    <m/>
    <x v="0"/>
    <x v="4"/>
    <x v="15"/>
    <n v="190801"/>
    <n v="190801"/>
    <m/>
    <n v="84"/>
    <n v="190801"/>
    <n v="2646000"/>
  </r>
  <r>
    <x v="261"/>
    <x v="4"/>
    <m/>
    <x v="0"/>
    <x v="4"/>
    <x v="16"/>
    <n v="190801"/>
    <n v="190801"/>
    <m/>
    <n v="90"/>
    <n v="190801"/>
    <n v="3960000"/>
  </r>
  <r>
    <x v="261"/>
    <x v="4"/>
    <m/>
    <x v="5"/>
    <x v="4"/>
    <x v="28"/>
    <n v="190801"/>
    <n v="190801"/>
    <m/>
    <n v="8"/>
    <n v="190801"/>
    <n v="304000"/>
  </r>
  <r>
    <x v="261"/>
    <x v="4"/>
    <m/>
    <x v="1"/>
    <x v="4"/>
    <x v="18"/>
    <n v="190801"/>
    <n v="190801"/>
    <m/>
    <n v="5"/>
    <n v="190801"/>
    <n v="157500"/>
  </r>
  <r>
    <x v="261"/>
    <x v="4"/>
    <m/>
    <x v="4"/>
    <x v="4"/>
    <x v="27"/>
    <n v="190801"/>
    <n v="190801"/>
    <m/>
    <n v="5"/>
    <n v="190801"/>
    <n v="180000"/>
  </r>
  <r>
    <x v="261"/>
    <x v="4"/>
    <m/>
    <x v="19"/>
    <x v="4"/>
    <x v="22"/>
    <n v="190801"/>
    <n v="190801"/>
    <m/>
    <n v="2"/>
    <n v="190801"/>
    <n v="50000"/>
  </r>
  <r>
    <x v="261"/>
    <x v="4"/>
    <m/>
    <x v="0"/>
    <x v="3"/>
    <x v="20"/>
    <n v="190801"/>
    <n v="190801"/>
    <m/>
    <n v="1"/>
    <n v="190801"/>
    <n v="0"/>
  </r>
  <r>
    <x v="261"/>
    <x v="4"/>
    <m/>
    <x v="22"/>
    <x v="3"/>
    <x v="29"/>
    <n v="190801"/>
    <n v="190801"/>
    <m/>
    <n v="40"/>
    <n v="190801"/>
    <n v="0"/>
  </r>
  <r>
    <x v="262"/>
    <x v="1"/>
    <m/>
    <x v="0"/>
    <x v="1"/>
    <x v="16"/>
    <n v="190801"/>
    <n v="190801"/>
    <m/>
    <n v="5"/>
    <n v="190801"/>
    <n v="175000"/>
  </r>
  <r>
    <x v="262"/>
    <x v="1"/>
    <m/>
    <x v="0"/>
    <x v="7"/>
    <x v="15"/>
    <n v="190801"/>
    <n v="190801"/>
    <m/>
    <n v="2"/>
    <n v="190801"/>
    <n v="40000"/>
  </r>
  <r>
    <x v="262"/>
    <x v="1"/>
    <m/>
    <x v="6"/>
    <x v="2"/>
    <x v="37"/>
    <n v="190801"/>
    <n v="190801"/>
    <m/>
    <n v="19"/>
    <n v="190801"/>
    <n v="380000"/>
  </r>
  <r>
    <x v="262"/>
    <x v="1"/>
    <m/>
    <x v="19"/>
    <x v="2"/>
    <x v="38"/>
    <n v="190801"/>
    <n v="190801"/>
    <m/>
    <n v="3"/>
    <n v="190801"/>
    <n v="30000"/>
  </r>
  <r>
    <x v="262"/>
    <x v="1"/>
    <m/>
    <x v="29"/>
    <x v="2"/>
    <x v="40"/>
    <n v="190801"/>
    <n v="190801"/>
    <m/>
    <n v="1"/>
    <n v="190801"/>
    <n v="35000"/>
  </r>
  <r>
    <x v="262"/>
    <x v="1"/>
    <m/>
    <x v="29"/>
    <x v="2"/>
    <x v="41"/>
    <n v="190801"/>
    <n v="190801"/>
    <m/>
    <n v="1"/>
    <n v="190801"/>
    <n v="45000"/>
  </r>
  <r>
    <x v="262"/>
    <x v="1"/>
    <m/>
    <x v="25"/>
    <x v="2"/>
    <x v="34"/>
    <n v="190801"/>
    <n v="190801"/>
    <m/>
    <n v="7"/>
    <n v="190801"/>
    <n v="693000"/>
  </r>
  <r>
    <x v="262"/>
    <x v="1"/>
    <m/>
    <x v="1"/>
    <x v="2"/>
    <x v="18"/>
    <n v="190801"/>
    <n v="190801"/>
    <m/>
    <n v="7"/>
    <n v="190801"/>
    <n v="140000"/>
  </r>
  <r>
    <x v="262"/>
    <x v="1"/>
    <m/>
    <x v="4"/>
    <x v="2"/>
    <x v="26"/>
    <n v="190801"/>
    <n v="190801"/>
    <m/>
    <n v="7"/>
    <n v="190801"/>
    <n v="28000"/>
  </r>
  <r>
    <x v="262"/>
    <x v="1"/>
    <m/>
    <x v="4"/>
    <x v="2"/>
    <x v="27"/>
    <n v="190801"/>
    <n v="190801"/>
    <m/>
    <n v="1"/>
    <n v="190801"/>
    <n v="20000"/>
  </r>
  <r>
    <x v="262"/>
    <x v="1"/>
    <m/>
    <x v="0"/>
    <x v="2"/>
    <x v="15"/>
    <n v="190801"/>
    <n v="190801"/>
    <m/>
    <n v="48"/>
    <n v="190801"/>
    <n v="960000"/>
  </r>
  <r>
    <x v="262"/>
    <x v="1"/>
    <m/>
    <x v="0"/>
    <x v="2"/>
    <x v="16"/>
    <n v="190801"/>
    <n v="190801"/>
    <m/>
    <n v="38"/>
    <n v="190801"/>
    <n v="1330000"/>
  </r>
  <r>
    <x v="262"/>
    <x v="1"/>
    <m/>
    <x v="0"/>
    <x v="2"/>
    <x v="17"/>
    <n v="190801"/>
    <n v="190801"/>
    <m/>
    <n v="45"/>
    <n v="190801"/>
    <n v="1485000"/>
  </r>
  <r>
    <x v="262"/>
    <x v="1"/>
    <m/>
    <x v="0"/>
    <x v="2"/>
    <x v="19"/>
    <n v="190801"/>
    <n v="190801"/>
    <m/>
    <n v="41"/>
    <n v="190801"/>
    <n v="123000"/>
  </r>
  <r>
    <x v="262"/>
    <x v="1"/>
    <m/>
    <x v="5"/>
    <x v="2"/>
    <x v="28"/>
    <n v="190801"/>
    <n v="190801"/>
    <m/>
    <n v="15"/>
    <n v="190801"/>
    <n v="420000"/>
  </r>
  <r>
    <x v="262"/>
    <x v="1"/>
    <m/>
    <x v="22"/>
    <x v="2"/>
    <x v="29"/>
    <n v="190801"/>
    <n v="190801"/>
    <m/>
    <n v="3"/>
    <n v="190801"/>
    <n v="114000"/>
  </r>
  <r>
    <x v="262"/>
    <x v="1"/>
    <m/>
    <x v="19"/>
    <x v="2"/>
    <x v="22"/>
    <n v="190801"/>
    <n v="190801"/>
    <m/>
    <n v="6"/>
    <n v="190801"/>
    <n v="78000"/>
  </r>
  <r>
    <x v="262"/>
    <x v="1"/>
    <m/>
    <x v="0"/>
    <x v="4"/>
    <x v="15"/>
    <n v="190801"/>
    <n v="190801"/>
    <m/>
    <n v="6"/>
    <n v="190801"/>
    <n v="189000"/>
  </r>
  <r>
    <x v="262"/>
    <x v="1"/>
    <m/>
    <x v="0"/>
    <x v="4"/>
    <x v="16"/>
    <n v="190801"/>
    <n v="190801"/>
    <m/>
    <n v="5"/>
    <n v="190801"/>
    <n v="220000"/>
  </r>
  <r>
    <x v="262"/>
    <x v="1"/>
    <m/>
    <x v="5"/>
    <x v="4"/>
    <x v="28"/>
    <n v="190801"/>
    <n v="190801"/>
    <m/>
    <n v="2"/>
    <n v="190801"/>
    <n v="76000"/>
  </r>
  <r>
    <x v="262"/>
    <x v="1"/>
    <m/>
    <x v="4"/>
    <x v="4"/>
    <x v="27"/>
    <n v="190801"/>
    <n v="190801"/>
    <m/>
    <n v="1"/>
    <n v="190801"/>
    <n v="36000"/>
  </r>
  <r>
    <x v="263"/>
    <x v="0"/>
    <m/>
    <x v="0"/>
    <x v="1"/>
    <x v="15"/>
    <n v="190801"/>
    <n v="190801"/>
    <m/>
    <n v="2"/>
    <n v="190801"/>
    <n v="40000"/>
  </r>
  <r>
    <x v="263"/>
    <x v="0"/>
    <m/>
    <x v="0"/>
    <x v="1"/>
    <x v="16"/>
    <n v="190801"/>
    <n v="190801"/>
    <m/>
    <n v="21"/>
    <n v="190801"/>
    <n v="735000"/>
  </r>
  <r>
    <x v="263"/>
    <x v="0"/>
    <m/>
    <x v="6"/>
    <x v="2"/>
    <x v="37"/>
    <n v="190801"/>
    <n v="190801"/>
    <m/>
    <n v="10"/>
    <n v="190801"/>
    <n v="200000"/>
  </r>
  <r>
    <x v="263"/>
    <x v="0"/>
    <m/>
    <x v="6"/>
    <x v="2"/>
    <x v="42"/>
    <n v="190801"/>
    <n v="190801"/>
    <m/>
    <n v="2"/>
    <n v="190801"/>
    <n v="70000"/>
  </r>
  <r>
    <x v="263"/>
    <x v="0"/>
    <m/>
    <x v="19"/>
    <x v="2"/>
    <x v="38"/>
    <n v="190801"/>
    <n v="190801"/>
    <m/>
    <n v="4"/>
    <n v="190801"/>
    <n v="40000"/>
  </r>
  <r>
    <x v="263"/>
    <x v="0"/>
    <m/>
    <x v="29"/>
    <x v="2"/>
    <x v="40"/>
    <n v="190801"/>
    <n v="190801"/>
    <m/>
    <n v="12"/>
    <n v="190801"/>
    <n v="420000"/>
  </r>
  <r>
    <x v="263"/>
    <x v="0"/>
    <m/>
    <x v="29"/>
    <x v="2"/>
    <x v="41"/>
    <n v="190801"/>
    <n v="190801"/>
    <m/>
    <n v="25"/>
    <n v="190801"/>
    <n v="1125000"/>
  </r>
  <r>
    <x v="263"/>
    <x v="0"/>
    <m/>
    <x v="25"/>
    <x v="2"/>
    <x v="34"/>
    <n v="190801"/>
    <n v="190801"/>
    <m/>
    <n v="16"/>
    <n v="190801"/>
    <n v="1584000"/>
  </r>
  <r>
    <x v="263"/>
    <x v="0"/>
    <m/>
    <x v="1"/>
    <x v="2"/>
    <x v="18"/>
    <n v="190801"/>
    <n v="190801"/>
    <m/>
    <n v="4"/>
    <n v="190801"/>
    <n v="80000"/>
  </r>
  <r>
    <x v="263"/>
    <x v="0"/>
    <m/>
    <x v="1"/>
    <x v="2"/>
    <x v="21"/>
    <n v="190801"/>
    <n v="190801"/>
    <m/>
    <n v="1"/>
    <n v="190801"/>
    <n v="35000"/>
  </r>
  <r>
    <x v="263"/>
    <x v="0"/>
    <m/>
    <x v="4"/>
    <x v="2"/>
    <x v="27"/>
    <n v="190801"/>
    <n v="190801"/>
    <m/>
    <n v="7"/>
    <n v="190801"/>
    <n v="140000"/>
  </r>
  <r>
    <x v="263"/>
    <x v="0"/>
    <m/>
    <x v="0"/>
    <x v="2"/>
    <x v="15"/>
    <n v="190801"/>
    <n v="190801"/>
    <m/>
    <n v="51"/>
    <n v="190801"/>
    <n v="1020000"/>
  </r>
  <r>
    <x v="263"/>
    <x v="0"/>
    <m/>
    <x v="0"/>
    <x v="2"/>
    <x v="16"/>
    <n v="190801"/>
    <n v="190801"/>
    <m/>
    <n v="48"/>
    <n v="190801"/>
    <n v="1680000"/>
  </r>
  <r>
    <x v="263"/>
    <x v="0"/>
    <m/>
    <x v="0"/>
    <x v="2"/>
    <x v="17"/>
    <n v="190801"/>
    <n v="190801"/>
    <m/>
    <n v="64"/>
    <n v="190801"/>
    <n v="2112000"/>
  </r>
  <r>
    <x v="263"/>
    <x v="0"/>
    <m/>
    <x v="0"/>
    <x v="2"/>
    <x v="19"/>
    <n v="190801"/>
    <n v="190801"/>
    <m/>
    <n v="67"/>
    <n v="190801"/>
    <n v="201000"/>
  </r>
  <r>
    <x v="263"/>
    <x v="0"/>
    <m/>
    <x v="5"/>
    <x v="2"/>
    <x v="28"/>
    <n v="190801"/>
    <n v="190801"/>
    <m/>
    <n v="11"/>
    <n v="190801"/>
    <n v="308000"/>
  </r>
  <r>
    <x v="263"/>
    <x v="0"/>
    <m/>
    <x v="22"/>
    <x v="2"/>
    <x v="29"/>
    <n v="190801"/>
    <n v="190801"/>
    <m/>
    <n v="3"/>
    <n v="190801"/>
    <n v="114000"/>
  </r>
  <r>
    <x v="263"/>
    <x v="0"/>
    <m/>
    <x v="19"/>
    <x v="2"/>
    <x v="22"/>
    <n v="190801"/>
    <n v="190801"/>
    <m/>
    <n v="9"/>
    <n v="190801"/>
    <n v="117000"/>
  </r>
  <r>
    <x v="263"/>
    <x v="0"/>
    <m/>
    <x v="19"/>
    <x v="2"/>
    <x v="23"/>
    <n v="190801"/>
    <n v="190801"/>
    <m/>
    <n v="4"/>
    <n v="190801"/>
    <n v="96000"/>
  </r>
  <r>
    <x v="263"/>
    <x v="0"/>
    <m/>
    <x v="0"/>
    <x v="4"/>
    <x v="15"/>
    <n v="190801"/>
    <n v="190801"/>
    <m/>
    <n v="12"/>
    <n v="190801"/>
    <n v="378000"/>
  </r>
  <r>
    <x v="263"/>
    <x v="0"/>
    <m/>
    <x v="0"/>
    <x v="4"/>
    <x v="16"/>
    <n v="190801"/>
    <n v="190801"/>
    <m/>
    <n v="5"/>
    <n v="190801"/>
    <n v="220000"/>
  </r>
  <r>
    <x v="263"/>
    <x v="0"/>
    <m/>
    <x v="19"/>
    <x v="4"/>
    <x v="22"/>
    <n v="190801"/>
    <n v="190801"/>
    <m/>
    <n v="1"/>
    <n v="190801"/>
    <n v="25000"/>
  </r>
  <r>
    <x v="263"/>
    <x v="0"/>
    <m/>
    <x v="0"/>
    <x v="9"/>
    <x v="43"/>
    <n v="190801"/>
    <n v="190801"/>
    <m/>
    <n v="1"/>
    <n v="200618"/>
    <n v="32000"/>
  </r>
  <r>
    <x v="263"/>
    <x v="0"/>
    <m/>
    <x v="0"/>
    <x v="9"/>
    <x v="44"/>
    <n v="190801"/>
    <n v="190801"/>
    <m/>
    <n v="5"/>
    <n v="200618"/>
    <n v="87500"/>
  </r>
  <r>
    <x v="263"/>
    <x v="0"/>
    <m/>
    <x v="5"/>
    <x v="9"/>
    <x v="45"/>
    <n v="190801"/>
    <n v="190801"/>
    <m/>
    <n v="2"/>
    <n v="200618"/>
    <n v="42000"/>
  </r>
  <r>
    <x v="263"/>
    <x v="0"/>
    <m/>
    <x v="0"/>
    <x v="3"/>
    <x v="15"/>
    <n v="190801"/>
    <n v="190801"/>
    <m/>
    <n v="2"/>
    <n v="190801"/>
    <n v="0"/>
  </r>
  <r>
    <x v="263"/>
    <x v="0"/>
    <m/>
    <x v="0"/>
    <x v="3"/>
    <x v="20"/>
    <n v="190801"/>
    <n v="190801"/>
    <m/>
    <n v="1"/>
    <n v="190801"/>
    <n v="0"/>
  </r>
  <r>
    <x v="263"/>
    <x v="0"/>
    <m/>
    <x v="0"/>
    <x v="3"/>
    <x v="17"/>
    <n v="190801"/>
    <n v="190801"/>
    <m/>
    <n v="1"/>
    <n v="190801"/>
    <n v="0"/>
  </r>
  <r>
    <x v="263"/>
    <x v="0"/>
    <m/>
    <x v="18"/>
    <x v="3"/>
    <x v="19"/>
    <n v="190801"/>
    <n v="190801"/>
    <m/>
    <n v="2"/>
    <n v="190801"/>
    <n v="0"/>
  </r>
  <r>
    <x v="263"/>
    <x v="0"/>
    <m/>
    <x v="5"/>
    <x v="3"/>
    <x v="28"/>
    <n v="190801"/>
    <n v="190801"/>
    <m/>
    <n v="2"/>
    <n v="190801"/>
    <n v="0"/>
  </r>
  <r>
    <x v="263"/>
    <x v="0"/>
    <m/>
    <x v="4"/>
    <x v="3"/>
    <x v="27"/>
    <n v="190801"/>
    <n v="190801"/>
    <m/>
    <n v="2"/>
    <n v="190801"/>
    <n v="0"/>
  </r>
  <r>
    <x v="263"/>
    <x v="0"/>
    <m/>
    <x v="6"/>
    <x v="3"/>
    <x v="37"/>
    <n v="190801"/>
    <n v="190801"/>
    <m/>
    <n v="1"/>
    <n v="190801"/>
    <n v="0"/>
  </r>
  <r>
    <x v="263"/>
    <x v="0"/>
    <m/>
    <x v="22"/>
    <x v="3"/>
    <x v="29"/>
    <n v="190801"/>
    <n v="190801"/>
    <m/>
    <n v="2"/>
    <n v="190801"/>
    <n v="0"/>
  </r>
  <r>
    <x v="263"/>
    <x v="0"/>
    <m/>
    <x v="1"/>
    <x v="3"/>
    <x v="18"/>
    <n v="190801"/>
    <n v="190801"/>
    <m/>
    <n v="2"/>
    <n v="190801"/>
    <n v="0"/>
  </r>
  <r>
    <x v="263"/>
    <x v="0"/>
    <m/>
    <x v="19"/>
    <x v="3"/>
    <x v="22"/>
    <n v="190801"/>
    <n v="190801"/>
    <m/>
    <n v="2"/>
    <n v="190801"/>
    <n v="0"/>
  </r>
  <r>
    <x v="263"/>
    <x v="0"/>
    <m/>
    <x v="4"/>
    <x v="3"/>
    <x v="26"/>
    <n v="190801"/>
    <n v="190801"/>
    <m/>
    <n v="360"/>
    <n v="190801"/>
    <n v="0"/>
  </r>
  <r>
    <x v="264"/>
    <x v="2"/>
    <m/>
    <x v="0"/>
    <x v="1"/>
    <x v="16"/>
    <n v="190801"/>
    <n v="190801"/>
    <m/>
    <n v="7"/>
    <n v="190801"/>
    <n v="245000"/>
  </r>
  <r>
    <x v="264"/>
    <x v="2"/>
    <m/>
    <x v="0"/>
    <x v="7"/>
    <x v="15"/>
    <n v="190801"/>
    <n v="190801"/>
    <m/>
    <n v="4"/>
    <n v="190801"/>
    <n v="80000"/>
  </r>
  <r>
    <x v="264"/>
    <x v="2"/>
    <m/>
    <x v="6"/>
    <x v="2"/>
    <x v="37"/>
    <n v="190801"/>
    <n v="190801"/>
    <m/>
    <n v="2"/>
    <n v="190801"/>
    <n v="40000"/>
  </r>
  <r>
    <x v="264"/>
    <x v="2"/>
    <m/>
    <x v="19"/>
    <x v="2"/>
    <x v="38"/>
    <n v="190801"/>
    <n v="190801"/>
    <m/>
    <n v="1"/>
    <n v="190801"/>
    <n v="10000"/>
  </r>
  <r>
    <x v="264"/>
    <x v="2"/>
    <m/>
    <x v="29"/>
    <x v="2"/>
    <x v="40"/>
    <n v="190801"/>
    <n v="190801"/>
    <m/>
    <n v="10"/>
    <n v="190801"/>
    <n v="350000"/>
  </r>
  <r>
    <x v="264"/>
    <x v="2"/>
    <m/>
    <x v="29"/>
    <x v="2"/>
    <x v="41"/>
    <n v="190801"/>
    <n v="190801"/>
    <m/>
    <n v="10"/>
    <n v="190801"/>
    <n v="450000"/>
  </r>
  <r>
    <x v="264"/>
    <x v="2"/>
    <m/>
    <x v="25"/>
    <x v="2"/>
    <x v="34"/>
    <n v="190801"/>
    <n v="190801"/>
    <m/>
    <n v="15"/>
    <n v="190801"/>
    <n v="1485000"/>
  </r>
  <r>
    <x v="264"/>
    <x v="2"/>
    <m/>
    <x v="1"/>
    <x v="2"/>
    <x v="18"/>
    <n v="190801"/>
    <n v="190801"/>
    <m/>
    <n v="4"/>
    <n v="190801"/>
    <n v="80000"/>
  </r>
  <r>
    <x v="264"/>
    <x v="2"/>
    <m/>
    <x v="1"/>
    <x v="2"/>
    <x v="21"/>
    <n v="190801"/>
    <n v="190801"/>
    <m/>
    <n v="1"/>
    <n v="190801"/>
    <n v="35000"/>
  </r>
  <r>
    <x v="264"/>
    <x v="2"/>
    <m/>
    <x v="4"/>
    <x v="2"/>
    <x v="27"/>
    <n v="190801"/>
    <n v="190801"/>
    <m/>
    <n v="2"/>
    <n v="190801"/>
    <n v="40000"/>
  </r>
  <r>
    <x v="264"/>
    <x v="2"/>
    <m/>
    <x v="0"/>
    <x v="2"/>
    <x v="15"/>
    <n v="190801"/>
    <n v="190801"/>
    <m/>
    <n v="60"/>
    <n v="190801"/>
    <n v="1200000"/>
  </r>
  <r>
    <x v="264"/>
    <x v="2"/>
    <m/>
    <x v="0"/>
    <x v="2"/>
    <x v="16"/>
    <n v="190801"/>
    <n v="190801"/>
    <m/>
    <n v="127"/>
    <n v="190801"/>
    <n v="4445000"/>
  </r>
  <r>
    <x v="264"/>
    <x v="2"/>
    <m/>
    <x v="0"/>
    <x v="2"/>
    <x v="17"/>
    <n v="190801"/>
    <n v="190801"/>
    <m/>
    <n v="59"/>
    <n v="190801"/>
    <n v="1947000"/>
  </r>
  <r>
    <x v="264"/>
    <x v="2"/>
    <m/>
    <x v="0"/>
    <x v="2"/>
    <x v="19"/>
    <n v="190801"/>
    <n v="190801"/>
    <m/>
    <n v="277"/>
    <n v="190801"/>
    <n v="831000"/>
  </r>
  <r>
    <x v="264"/>
    <x v="2"/>
    <m/>
    <x v="5"/>
    <x v="2"/>
    <x v="28"/>
    <n v="190801"/>
    <n v="190801"/>
    <m/>
    <n v="16"/>
    <n v="190801"/>
    <n v="448000"/>
  </r>
  <r>
    <x v="264"/>
    <x v="2"/>
    <m/>
    <x v="22"/>
    <x v="2"/>
    <x v="29"/>
    <n v="190801"/>
    <n v="190801"/>
    <m/>
    <n v="4"/>
    <n v="190801"/>
    <n v="152000"/>
  </r>
  <r>
    <x v="264"/>
    <x v="2"/>
    <m/>
    <x v="19"/>
    <x v="2"/>
    <x v="22"/>
    <n v="190801"/>
    <n v="190801"/>
    <m/>
    <n v="6"/>
    <n v="190801"/>
    <n v="78000"/>
  </r>
  <r>
    <x v="264"/>
    <x v="2"/>
    <m/>
    <x v="19"/>
    <x v="2"/>
    <x v="23"/>
    <n v="190801"/>
    <n v="190801"/>
    <m/>
    <n v="1"/>
    <n v="190801"/>
    <n v="24000"/>
  </r>
  <r>
    <x v="264"/>
    <x v="2"/>
    <m/>
    <x v="0"/>
    <x v="4"/>
    <x v="15"/>
    <n v="190801"/>
    <n v="190801"/>
    <m/>
    <n v="13"/>
    <n v="190801"/>
    <n v="409500"/>
  </r>
  <r>
    <x v="264"/>
    <x v="2"/>
    <m/>
    <x v="0"/>
    <x v="4"/>
    <x v="16"/>
    <n v="190801"/>
    <n v="190801"/>
    <m/>
    <n v="5"/>
    <n v="190801"/>
    <n v="220000"/>
  </r>
  <r>
    <x v="264"/>
    <x v="2"/>
    <m/>
    <x v="5"/>
    <x v="4"/>
    <x v="28"/>
    <n v="190801"/>
    <n v="190801"/>
    <m/>
    <n v="1"/>
    <n v="190801"/>
    <n v="38000"/>
  </r>
  <r>
    <x v="264"/>
    <x v="2"/>
    <m/>
    <x v="19"/>
    <x v="4"/>
    <x v="22"/>
    <n v="190801"/>
    <n v="190801"/>
    <m/>
    <n v="2"/>
    <n v="190801"/>
    <n v="50000"/>
  </r>
  <r>
    <x v="264"/>
    <x v="2"/>
    <m/>
    <x v="6"/>
    <x v="9"/>
    <x v="46"/>
    <n v="190801"/>
    <n v="190801"/>
    <m/>
    <n v="1"/>
    <n v="200618"/>
    <n v="18000"/>
  </r>
  <r>
    <x v="264"/>
    <x v="2"/>
    <m/>
    <x v="0"/>
    <x v="9"/>
    <x v="44"/>
    <n v="190801"/>
    <n v="190801"/>
    <m/>
    <n v="8"/>
    <n v="200618"/>
    <n v="140000"/>
  </r>
  <r>
    <x v="264"/>
    <x v="2"/>
    <m/>
    <x v="0"/>
    <x v="9"/>
    <x v="43"/>
    <n v="190801"/>
    <n v="190801"/>
    <m/>
    <n v="1"/>
    <n v="200618"/>
    <n v="32000"/>
  </r>
  <r>
    <x v="264"/>
    <x v="2"/>
    <m/>
    <x v="0"/>
    <x v="3"/>
    <x v="15"/>
    <n v="190801"/>
    <n v="190801"/>
    <m/>
    <n v="14"/>
    <n v="190801"/>
    <n v="0"/>
  </r>
  <r>
    <x v="264"/>
    <x v="2"/>
    <m/>
    <x v="0"/>
    <x v="3"/>
    <x v="20"/>
    <n v="190801"/>
    <n v="190801"/>
    <m/>
    <n v="3"/>
    <n v="190801"/>
    <n v="0"/>
  </r>
  <r>
    <x v="264"/>
    <x v="2"/>
    <m/>
    <x v="18"/>
    <x v="3"/>
    <x v="19"/>
    <n v="190801"/>
    <n v="190801"/>
    <m/>
    <n v="4"/>
    <n v="190801"/>
    <n v="0"/>
  </r>
  <r>
    <x v="264"/>
    <x v="2"/>
    <m/>
    <x v="5"/>
    <x v="3"/>
    <x v="28"/>
    <n v="190801"/>
    <n v="190801"/>
    <m/>
    <n v="4"/>
    <n v="190801"/>
    <n v="0"/>
  </r>
  <r>
    <x v="264"/>
    <x v="2"/>
    <m/>
    <x v="6"/>
    <x v="3"/>
    <x v="37"/>
    <n v="190801"/>
    <n v="190801"/>
    <m/>
    <n v="4"/>
    <n v="190801"/>
    <n v="0"/>
  </r>
  <r>
    <x v="265"/>
    <x v="5"/>
    <m/>
    <x v="0"/>
    <x v="7"/>
    <x v="15"/>
    <n v="190801"/>
    <n v="190801"/>
    <m/>
    <n v="2"/>
    <n v="190801"/>
    <n v="40000"/>
  </r>
  <r>
    <x v="265"/>
    <x v="5"/>
    <m/>
    <x v="6"/>
    <x v="2"/>
    <x v="37"/>
    <n v="190801"/>
    <n v="190801"/>
    <m/>
    <n v="1"/>
    <n v="190801"/>
    <n v="20000"/>
  </r>
  <r>
    <x v="265"/>
    <x v="5"/>
    <m/>
    <x v="19"/>
    <x v="2"/>
    <x v="38"/>
    <n v="190801"/>
    <n v="190801"/>
    <m/>
    <n v="1"/>
    <n v="190801"/>
    <n v="10000"/>
  </r>
  <r>
    <x v="265"/>
    <x v="5"/>
    <m/>
    <x v="29"/>
    <x v="2"/>
    <x v="40"/>
    <n v="190801"/>
    <n v="190801"/>
    <m/>
    <n v="2"/>
    <n v="190801"/>
    <n v="70000"/>
  </r>
  <r>
    <x v="265"/>
    <x v="5"/>
    <m/>
    <x v="29"/>
    <x v="2"/>
    <x v="41"/>
    <n v="190801"/>
    <n v="190801"/>
    <m/>
    <n v="4"/>
    <n v="190801"/>
    <n v="180000"/>
  </r>
  <r>
    <x v="265"/>
    <x v="5"/>
    <m/>
    <x v="25"/>
    <x v="2"/>
    <x v="34"/>
    <n v="190801"/>
    <n v="190801"/>
    <m/>
    <n v="9"/>
    <n v="190801"/>
    <n v="891000"/>
  </r>
  <r>
    <x v="265"/>
    <x v="5"/>
    <m/>
    <x v="1"/>
    <x v="2"/>
    <x v="18"/>
    <n v="190801"/>
    <n v="190801"/>
    <m/>
    <n v="1"/>
    <n v="190801"/>
    <n v="20000"/>
  </r>
  <r>
    <x v="265"/>
    <x v="5"/>
    <m/>
    <x v="1"/>
    <x v="2"/>
    <x v="21"/>
    <n v="190801"/>
    <n v="190801"/>
    <m/>
    <n v="1"/>
    <n v="190801"/>
    <n v="35000"/>
  </r>
  <r>
    <x v="265"/>
    <x v="5"/>
    <m/>
    <x v="4"/>
    <x v="2"/>
    <x v="26"/>
    <n v="190801"/>
    <n v="190801"/>
    <m/>
    <n v="3"/>
    <n v="190801"/>
    <n v="12000"/>
  </r>
  <r>
    <x v="265"/>
    <x v="5"/>
    <m/>
    <x v="4"/>
    <x v="2"/>
    <x v="27"/>
    <n v="190801"/>
    <n v="190801"/>
    <m/>
    <n v="3"/>
    <n v="190801"/>
    <n v="60000"/>
  </r>
  <r>
    <x v="265"/>
    <x v="5"/>
    <m/>
    <x v="0"/>
    <x v="2"/>
    <x v="15"/>
    <n v="190801"/>
    <n v="190801"/>
    <m/>
    <n v="65"/>
    <n v="190801"/>
    <n v="1300000"/>
  </r>
  <r>
    <x v="265"/>
    <x v="5"/>
    <m/>
    <x v="0"/>
    <x v="2"/>
    <x v="16"/>
    <n v="190801"/>
    <n v="190801"/>
    <m/>
    <n v="42"/>
    <n v="190801"/>
    <n v="1470000"/>
  </r>
  <r>
    <x v="265"/>
    <x v="5"/>
    <m/>
    <x v="0"/>
    <x v="2"/>
    <x v="17"/>
    <n v="190801"/>
    <n v="190801"/>
    <m/>
    <n v="31"/>
    <n v="190801"/>
    <n v="1023000"/>
  </r>
  <r>
    <x v="265"/>
    <x v="5"/>
    <m/>
    <x v="0"/>
    <x v="2"/>
    <x v="19"/>
    <n v="190801"/>
    <n v="190801"/>
    <m/>
    <n v="46"/>
    <n v="190801"/>
    <n v="138000"/>
  </r>
  <r>
    <x v="265"/>
    <x v="5"/>
    <m/>
    <x v="5"/>
    <x v="2"/>
    <x v="28"/>
    <n v="190801"/>
    <n v="190801"/>
    <m/>
    <n v="9"/>
    <n v="190801"/>
    <n v="252000"/>
  </r>
  <r>
    <x v="265"/>
    <x v="5"/>
    <m/>
    <x v="22"/>
    <x v="2"/>
    <x v="29"/>
    <n v="190801"/>
    <n v="190801"/>
    <m/>
    <n v="3"/>
    <n v="190801"/>
    <n v="114000"/>
  </r>
  <r>
    <x v="265"/>
    <x v="5"/>
    <m/>
    <x v="19"/>
    <x v="2"/>
    <x v="22"/>
    <n v="190801"/>
    <n v="190801"/>
    <m/>
    <n v="9"/>
    <n v="190801"/>
    <n v="117000"/>
  </r>
  <r>
    <x v="265"/>
    <x v="5"/>
    <m/>
    <x v="19"/>
    <x v="2"/>
    <x v="23"/>
    <n v="190801"/>
    <n v="190801"/>
    <m/>
    <n v="2"/>
    <n v="190801"/>
    <n v="48000"/>
  </r>
  <r>
    <x v="265"/>
    <x v="5"/>
    <m/>
    <x v="19"/>
    <x v="2"/>
    <x v="24"/>
    <n v="190801"/>
    <n v="190801"/>
    <m/>
    <n v="2"/>
    <n v="190801"/>
    <n v="66000"/>
  </r>
  <r>
    <x v="265"/>
    <x v="5"/>
    <m/>
    <x v="6"/>
    <x v="9"/>
    <x v="46"/>
    <n v="190801"/>
    <n v="190801"/>
    <m/>
    <n v="1"/>
    <n v="200618"/>
    <n v="18000"/>
  </r>
  <r>
    <x v="265"/>
    <x v="5"/>
    <m/>
    <x v="0"/>
    <x v="9"/>
    <x v="44"/>
    <n v="190801"/>
    <n v="190801"/>
    <m/>
    <n v="8"/>
    <n v="200618"/>
    <n v="140000"/>
  </r>
  <r>
    <x v="265"/>
    <x v="5"/>
    <m/>
    <x v="0"/>
    <x v="9"/>
    <x v="43"/>
    <n v="190801"/>
    <n v="190801"/>
    <m/>
    <n v="2"/>
    <n v="200618"/>
    <n v="64000"/>
  </r>
  <r>
    <x v="266"/>
    <x v="6"/>
    <m/>
    <x v="0"/>
    <x v="7"/>
    <x v="15"/>
    <n v="190801"/>
    <n v="190801"/>
    <m/>
    <n v="5"/>
    <n v="190801"/>
    <n v="100000"/>
  </r>
  <r>
    <x v="266"/>
    <x v="6"/>
    <m/>
    <x v="6"/>
    <x v="2"/>
    <x v="37"/>
    <n v="190801"/>
    <n v="190801"/>
    <m/>
    <n v="4"/>
    <n v="190801"/>
    <n v="80000"/>
  </r>
  <r>
    <x v="266"/>
    <x v="6"/>
    <m/>
    <x v="19"/>
    <x v="2"/>
    <x v="38"/>
    <n v="190801"/>
    <n v="190801"/>
    <m/>
    <n v="1"/>
    <n v="190801"/>
    <n v="10000"/>
  </r>
  <r>
    <x v="266"/>
    <x v="6"/>
    <m/>
    <x v="29"/>
    <x v="2"/>
    <x v="41"/>
    <n v="190801"/>
    <n v="190801"/>
    <m/>
    <n v="2"/>
    <n v="190801"/>
    <n v="90000"/>
  </r>
  <r>
    <x v="266"/>
    <x v="6"/>
    <m/>
    <x v="25"/>
    <x v="2"/>
    <x v="34"/>
    <n v="190801"/>
    <n v="190801"/>
    <m/>
    <n v="7"/>
    <n v="190801"/>
    <n v="693000"/>
  </r>
  <r>
    <x v="266"/>
    <x v="6"/>
    <m/>
    <x v="1"/>
    <x v="2"/>
    <x v="18"/>
    <n v="190801"/>
    <n v="190801"/>
    <m/>
    <n v="2"/>
    <n v="190801"/>
    <n v="40000"/>
  </r>
  <r>
    <x v="266"/>
    <x v="6"/>
    <m/>
    <x v="4"/>
    <x v="2"/>
    <x v="26"/>
    <n v="190801"/>
    <n v="190801"/>
    <m/>
    <n v="7"/>
    <n v="190801"/>
    <n v="28000"/>
  </r>
  <r>
    <x v="266"/>
    <x v="6"/>
    <m/>
    <x v="4"/>
    <x v="2"/>
    <x v="27"/>
    <n v="190801"/>
    <n v="190801"/>
    <m/>
    <n v="3"/>
    <n v="190801"/>
    <n v="60000"/>
  </r>
  <r>
    <x v="266"/>
    <x v="6"/>
    <m/>
    <x v="0"/>
    <x v="2"/>
    <x v="15"/>
    <n v="190801"/>
    <n v="190801"/>
    <m/>
    <n v="65"/>
    <n v="190801"/>
    <n v="1300000"/>
  </r>
  <r>
    <x v="266"/>
    <x v="6"/>
    <m/>
    <x v="0"/>
    <x v="2"/>
    <x v="16"/>
    <n v="190801"/>
    <n v="190801"/>
    <m/>
    <n v="39"/>
    <n v="190801"/>
    <n v="1365000"/>
  </r>
  <r>
    <x v="266"/>
    <x v="6"/>
    <m/>
    <x v="0"/>
    <x v="2"/>
    <x v="17"/>
    <n v="190801"/>
    <n v="190801"/>
    <m/>
    <n v="52"/>
    <n v="190801"/>
    <n v="1716000"/>
  </r>
  <r>
    <x v="266"/>
    <x v="6"/>
    <m/>
    <x v="0"/>
    <x v="2"/>
    <x v="19"/>
    <n v="190801"/>
    <n v="190801"/>
    <m/>
    <n v="44"/>
    <n v="190801"/>
    <n v="132000"/>
  </r>
  <r>
    <x v="266"/>
    <x v="6"/>
    <m/>
    <x v="5"/>
    <x v="2"/>
    <x v="28"/>
    <n v="190801"/>
    <n v="190801"/>
    <m/>
    <n v="17"/>
    <n v="190801"/>
    <n v="476000"/>
  </r>
  <r>
    <x v="266"/>
    <x v="6"/>
    <m/>
    <x v="22"/>
    <x v="2"/>
    <x v="29"/>
    <n v="190801"/>
    <n v="190801"/>
    <m/>
    <n v="8"/>
    <n v="190801"/>
    <n v="304000"/>
  </r>
  <r>
    <x v="266"/>
    <x v="6"/>
    <m/>
    <x v="19"/>
    <x v="2"/>
    <x v="22"/>
    <n v="190801"/>
    <n v="190801"/>
    <m/>
    <n v="3"/>
    <n v="190801"/>
    <n v="39000"/>
  </r>
  <r>
    <x v="266"/>
    <x v="6"/>
    <m/>
    <x v="19"/>
    <x v="2"/>
    <x v="23"/>
    <n v="190801"/>
    <n v="190801"/>
    <m/>
    <n v="2"/>
    <n v="190801"/>
    <n v="48000"/>
  </r>
  <r>
    <x v="266"/>
    <x v="6"/>
    <m/>
    <x v="19"/>
    <x v="2"/>
    <x v="24"/>
    <n v="190801"/>
    <n v="190801"/>
    <m/>
    <n v="2"/>
    <n v="190801"/>
    <n v="66000"/>
  </r>
  <r>
    <x v="266"/>
    <x v="6"/>
    <m/>
    <x v="4"/>
    <x v="9"/>
    <x v="47"/>
    <n v="190801"/>
    <n v="190801"/>
    <m/>
    <n v="3"/>
    <n v="200618"/>
    <n v="12000"/>
  </r>
  <r>
    <x v="266"/>
    <x v="6"/>
    <m/>
    <x v="19"/>
    <x v="9"/>
    <x v="48"/>
    <n v="190801"/>
    <n v="190801"/>
    <m/>
    <n v="1"/>
    <n v="200618"/>
    <n v="12000"/>
  </r>
  <r>
    <x v="266"/>
    <x v="6"/>
    <m/>
    <x v="0"/>
    <x v="9"/>
    <x v="44"/>
    <n v="190801"/>
    <n v="190801"/>
    <m/>
    <n v="16"/>
    <n v="200618"/>
    <n v="280000"/>
  </r>
  <r>
    <x v="266"/>
    <x v="6"/>
    <m/>
    <x v="0"/>
    <x v="9"/>
    <x v="43"/>
    <n v="190801"/>
    <n v="190801"/>
    <m/>
    <n v="3"/>
    <n v="200618"/>
    <n v="96000"/>
  </r>
  <r>
    <x v="266"/>
    <x v="6"/>
    <m/>
    <x v="5"/>
    <x v="9"/>
    <x v="45"/>
    <n v="190801"/>
    <n v="190801"/>
    <m/>
    <n v="1"/>
    <n v="200618"/>
    <n v="21000"/>
  </r>
  <r>
    <x v="266"/>
    <x v="6"/>
    <m/>
    <x v="0"/>
    <x v="6"/>
    <x v="15"/>
    <n v="190801"/>
    <n v="190801"/>
    <m/>
    <n v="57"/>
    <n v="190801"/>
    <n v="516876"/>
  </r>
  <r>
    <x v="266"/>
    <x v="6"/>
    <m/>
    <x v="0"/>
    <x v="6"/>
    <x v="17"/>
    <n v="190801"/>
    <n v="190801"/>
    <m/>
    <n v="54"/>
    <n v="190801"/>
    <n v="854172"/>
  </r>
  <r>
    <x v="266"/>
    <x v="6"/>
    <m/>
    <x v="4"/>
    <x v="6"/>
    <x v="26"/>
    <n v="190801"/>
    <n v="190801"/>
    <m/>
    <n v="473"/>
    <n v="190801"/>
    <n v="507529"/>
  </r>
  <r>
    <x v="266"/>
    <x v="6"/>
    <m/>
    <x v="26"/>
    <x v="6"/>
    <x v="35"/>
    <n v="190801"/>
    <n v="190801"/>
    <m/>
    <n v="77"/>
    <n v="190801"/>
    <n v="1319087"/>
  </r>
  <r>
    <x v="266"/>
    <x v="6"/>
    <m/>
    <x v="22"/>
    <x v="6"/>
    <x v="29"/>
    <n v="190801"/>
    <n v="190801"/>
    <m/>
    <n v="7"/>
    <n v="190801"/>
    <n v="137837"/>
  </r>
  <r>
    <x v="266"/>
    <x v="6"/>
    <m/>
    <x v="24"/>
    <x v="6"/>
    <x v="31"/>
    <n v="190801"/>
    <n v="190801"/>
    <m/>
    <n v="78"/>
    <n v="190801"/>
    <n v="1160406"/>
  </r>
  <r>
    <x v="266"/>
    <x v="6"/>
    <m/>
    <x v="23"/>
    <x v="6"/>
    <x v="30"/>
    <n v="190801"/>
    <n v="190801"/>
    <m/>
    <n v="53"/>
    <n v="190801"/>
    <n v="369092"/>
  </r>
  <r>
    <x v="266"/>
    <x v="6"/>
    <m/>
    <x v="19"/>
    <x v="6"/>
    <x v="22"/>
    <n v="190801"/>
    <n v="190801"/>
    <m/>
    <n v="2"/>
    <n v="190801"/>
    <n v="13582"/>
  </r>
  <r>
    <x v="266"/>
    <x v="6"/>
    <m/>
    <x v="27"/>
    <x v="6"/>
    <x v="36"/>
    <n v="190801"/>
    <n v="190801"/>
    <m/>
    <n v="65"/>
    <n v="190801"/>
    <n v="614705"/>
  </r>
  <r>
    <x v="266"/>
    <x v="6"/>
    <m/>
    <x v="6"/>
    <x v="6"/>
    <x v="37"/>
    <n v="190801"/>
    <n v="190801"/>
    <m/>
    <n v="47"/>
    <n v="190801"/>
    <n v="470000"/>
  </r>
  <r>
    <x v="266"/>
    <x v="6"/>
    <m/>
    <x v="28"/>
    <x v="6"/>
    <x v="39"/>
    <n v="190801"/>
    <n v="190801"/>
    <m/>
    <n v="685"/>
    <n v="190801"/>
    <n v="10835330"/>
  </r>
  <r>
    <x v="266"/>
    <x v="6"/>
    <m/>
    <x v="20"/>
    <x v="6"/>
    <x v="25"/>
    <n v="190801"/>
    <n v="190801"/>
    <m/>
    <n v="1"/>
    <n v="190801"/>
    <n v="9716"/>
  </r>
  <r>
    <x v="267"/>
    <x v="3"/>
    <m/>
    <x v="0"/>
    <x v="1"/>
    <x v="16"/>
    <n v="190801"/>
    <n v="190801"/>
    <m/>
    <n v="14"/>
    <n v="190801"/>
    <n v="490000"/>
  </r>
  <r>
    <x v="267"/>
    <x v="3"/>
    <m/>
    <x v="0"/>
    <x v="5"/>
    <x v="15"/>
    <n v="190801"/>
    <n v="190801"/>
    <m/>
    <n v="310"/>
    <n v="190801"/>
    <n v="3170370"/>
  </r>
  <r>
    <x v="267"/>
    <x v="3"/>
    <m/>
    <x v="0"/>
    <x v="7"/>
    <x v="15"/>
    <n v="190801"/>
    <n v="190801"/>
    <m/>
    <n v="8"/>
    <n v="190801"/>
    <n v="160000"/>
  </r>
  <r>
    <x v="267"/>
    <x v="3"/>
    <m/>
    <x v="6"/>
    <x v="2"/>
    <x v="37"/>
    <n v="190801"/>
    <n v="190801"/>
    <m/>
    <n v="2"/>
    <n v="190801"/>
    <n v="40000"/>
  </r>
  <r>
    <x v="267"/>
    <x v="3"/>
    <m/>
    <x v="6"/>
    <x v="2"/>
    <x v="42"/>
    <n v="190801"/>
    <n v="190801"/>
    <m/>
    <n v="2"/>
    <n v="190801"/>
    <n v="70000"/>
  </r>
  <r>
    <x v="267"/>
    <x v="3"/>
    <m/>
    <x v="29"/>
    <x v="2"/>
    <x v="40"/>
    <n v="190801"/>
    <n v="190801"/>
    <m/>
    <n v="7"/>
    <n v="190801"/>
    <n v="245000"/>
  </r>
  <r>
    <x v="267"/>
    <x v="3"/>
    <m/>
    <x v="29"/>
    <x v="2"/>
    <x v="41"/>
    <n v="190801"/>
    <n v="190801"/>
    <m/>
    <n v="5"/>
    <n v="190801"/>
    <n v="225000"/>
  </r>
  <r>
    <x v="267"/>
    <x v="3"/>
    <m/>
    <x v="25"/>
    <x v="2"/>
    <x v="34"/>
    <n v="190801"/>
    <n v="190801"/>
    <m/>
    <n v="6"/>
    <n v="190801"/>
    <n v="594000"/>
  </r>
  <r>
    <x v="267"/>
    <x v="3"/>
    <m/>
    <x v="1"/>
    <x v="2"/>
    <x v="18"/>
    <n v="190801"/>
    <n v="190801"/>
    <m/>
    <n v="2"/>
    <n v="190801"/>
    <n v="40000"/>
  </r>
  <r>
    <x v="267"/>
    <x v="3"/>
    <m/>
    <x v="4"/>
    <x v="2"/>
    <x v="26"/>
    <n v="190801"/>
    <n v="190801"/>
    <m/>
    <n v="4"/>
    <n v="190801"/>
    <n v="16000"/>
  </r>
  <r>
    <x v="267"/>
    <x v="3"/>
    <m/>
    <x v="4"/>
    <x v="2"/>
    <x v="27"/>
    <n v="190801"/>
    <n v="190801"/>
    <m/>
    <n v="1"/>
    <n v="190801"/>
    <n v="20000"/>
  </r>
  <r>
    <x v="267"/>
    <x v="3"/>
    <m/>
    <x v="0"/>
    <x v="2"/>
    <x v="15"/>
    <n v="190801"/>
    <n v="190801"/>
    <m/>
    <n v="61"/>
    <n v="190801"/>
    <n v="1220000"/>
  </r>
  <r>
    <x v="267"/>
    <x v="3"/>
    <m/>
    <x v="0"/>
    <x v="2"/>
    <x v="16"/>
    <n v="190801"/>
    <n v="190801"/>
    <m/>
    <n v="42"/>
    <n v="190801"/>
    <n v="1470000"/>
  </r>
  <r>
    <x v="267"/>
    <x v="3"/>
    <m/>
    <x v="0"/>
    <x v="2"/>
    <x v="17"/>
    <n v="190801"/>
    <n v="190801"/>
    <m/>
    <n v="55"/>
    <n v="190801"/>
    <n v="1815000"/>
  </r>
  <r>
    <x v="267"/>
    <x v="3"/>
    <m/>
    <x v="0"/>
    <x v="2"/>
    <x v="19"/>
    <n v="190801"/>
    <n v="190801"/>
    <m/>
    <n v="70"/>
    <n v="190801"/>
    <n v="210000"/>
  </r>
  <r>
    <x v="267"/>
    <x v="3"/>
    <m/>
    <x v="5"/>
    <x v="2"/>
    <x v="28"/>
    <n v="190801"/>
    <n v="190801"/>
    <m/>
    <n v="20"/>
    <n v="190801"/>
    <n v="560000"/>
  </r>
  <r>
    <x v="267"/>
    <x v="3"/>
    <m/>
    <x v="22"/>
    <x v="2"/>
    <x v="29"/>
    <n v="190801"/>
    <n v="190801"/>
    <m/>
    <n v="3"/>
    <n v="190801"/>
    <n v="114000"/>
  </r>
  <r>
    <x v="267"/>
    <x v="3"/>
    <m/>
    <x v="19"/>
    <x v="2"/>
    <x v="22"/>
    <n v="190801"/>
    <n v="190801"/>
    <m/>
    <n v="7"/>
    <n v="190801"/>
    <n v="91000"/>
  </r>
  <r>
    <x v="267"/>
    <x v="3"/>
    <m/>
    <x v="19"/>
    <x v="2"/>
    <x v="23"/>
    <n v="190801"/>
    <n v="190801"/>
    <m/>
    <n v="1"/>
    <n v="190801"/>
    <n v="24000"/>
  </r>
  <r>
    <x v="267"/>
    <x v="3"/>
    <m/>
    <x v="19"/>
    <x v="2"/>
    <x v="24"/>
    <n v="190801"/>
    <n v="190801"/>
    <m/>
    <n v="2"/>
    <n v="190801"/>
    <n v="66000"/>
  </r>
  <r>
    <x v="267"/>
    <x v="3"/>
    <m/>
    <x v="0"/>
    <x v="9"/>
    <x v="15"/>
    <n v="190801"/>
    <n v="190801"/>
    <m/>
    <n v="7"/>
    <n v="190801"/>
    <n v="140000"/>
  </r>
  <r>
    <x v="267"/>
    <x v="3"/>
    <m/>
    <x v="22"/>
    <x v="9"/>
    <x v="29"/>
    <n v="190801"/>
    <n v="190801"/>
    <m/>
    <n v="2"/>
    <n v="190801"/>
    <n v="76000"/>
  </r>
  <r>
    <x v="267"/>
    <x v="3"/>
    <m/>
    <x v="0"/>
    <x v="3"/>
    <x v="15"/>
    <n v="190801"/>
    <n v="190801"/>
    <m/>
    <n v="1"/>
    <n v="190801"/>
    <n v="0"/>
  </r>
  <r>
    <x v="267"/>
    <x v="3"/>
    <m/>
    <x v="0"/>
    <x v="3"/>
    <x v="20"/>
    <n v="190801"/>
    <n v="190801"/>
    <m/>
    <n v="1"/>
    <n v="190801"/>
    <n v="0"/>
  </r>
  <r>
    <x v="267"/>
    <x v="3"/>
    <m/>
    <x v="0"/>
    <x v="3"/>
    <x v="17"/>
    <n v="190801"/>
    <n v="190801"/>
    <m/>
    <n v="1"/>
    <n v="190801"/>
    <n v="0"/>
  </r>
  <r>
    <x v="267"/>
    <x v="3"/>
    <m/>
    <x v="5"/>
    <x v="3"/>
    <x v="28"/>
    <n v="190801"/>
    <n v="190801"/>
    <m/>
    <n v="1"/>
    <n v="190801"/>
    <n v="0"/>
  </r>
  <r>
    <x v="267"/>
    <x v="3"/>
    <m/>
    <x v="6"/>
    <x v="3"/>
    <x v="37"/>
    <n v="190801"/>
    <n v="190801"/>
    <m/>
    <n v="1"/>
    <n v="190801"/>
    <n v="0"/>
  </r>
  <r>
    <x v="267"/>
    <x v="3"/>
    <m/>
    <x v="4"/>
    <x v="3"/>
    <x v="27"/>
    <n v="190801"/>
    <n v="190801"/>
    <m/>
    <n v="1"/>
    <n v="190801"/>
    <n v="0"/>
  </r>
  <r>
    <x v="267"/>
    <x v="3"/>
    <m/>
    <x v="22"/>
    <x v="3"/>
    <x v="29"/>
    <n v="190801"/>
    <n v="190801"/>
    <m/>
    <n v="1"/>
    <n v="190801"/>
    <n v="0"/>
  </r>
  <r>
    <x v="267"/>
    <x v="3"/>
    <m/>
    <x v="1"/>
    <x v="3"/>
    <x v="18"/>
    <n v="190801"/>
    <n v="190801"/>
    <m/>
    <n v="1"/>
    <n v="190801"/>
    <n v="0"/>
  </r>
  <r>
    <x v="267"/>
    <x v="3"/>
    <m/>
    <x v="19"/>
    <x v="3"/>
    <x v="22"/>
    <n v="190801"/>
    <n v="190801"/>
    <m/>
    <n v="1"/>
    <n v="190801"/>
    <n v="0"/>
  </r>
  <r>
    <x v="267"/>
    <x v="3"/>
    <m/>
    <x v="18"/>
    <x v="3"/>
    <x v="19"/>
    <n v="190801"/>
    <n v="190801"/>
    <m/>
    <n v="1"/>
    <n v="190801"/>
    <n v="0"/>
  </r>
  <r>
    <x v="268"/>
    <x v="4"/>
    <m/>
    <x v="0"/>
    <x v="1"/>
    <x v="15"/>
    <n v="190801"/>
    <n v="190801"/>
    <m/>
    <n v="1"/>
    <n v="190801"/>
    <n v="20000"/>
  </r>
  <r>
    <x v="268"/>
    <x v="4"/>
    <m/>
    <x v="0"/>
    <x v="1"/>
    <x v="16"/>
    <n v="190801"/>
    <n v="190801"/>
    <m/>
    <n v="5"/>
    <n v="190801"/>
    <n v="175000"/>
  </r>
  <r>
    <x v="268"/>
    <x v="4"/>
    <m/>
    <x v="0"/>
    <x v="7"/>
    <x v="15"/>
    <n v="190801"/>
    <n v="190801"/>
    <m/>
    <n v="3"/>
    <n v="190801"/>
    <n v="60000"/>
  </r>
  <r>
    <x v="268"/>
    <x v="4"/>
    <m/>
    <x v="6"/>
    <x v="2"/>
    <x v="37"/>
    <n v="190801"/>
    <n v="190801"/>
    <m/>
    <n v="5"/>
    <n v="190801"/>
    <n v="100000"/>
  </r>
  <r>
    <x v="268"/>
    <x v="4"/>
    <m/>
    <x v="6"/>
    <x v="2"/>
    <x v="42"/>
    <n v="190801"/>
    <n v="190801"/>
    <m/>
    <n v="2"/>
    <n v="190801"/>
    <n v="70000"/>
  </r>
  <r>
    <x v="268"/>
    <x v="4"/>
    <m/>
    <x v="19"/>
    <x v="2"/>
    <x v="38"/>
    <n v="190801"/>
    <n v="190801"/>
    <m/>
    <n v="3"/>
    <n v="190801"/>
    <n v="30000"/>
  </r>
  <r>
    <x v="268"/>
    <x v="4"/>
    <m/>
    <x v="29"/>
    <x v="2"/>
    <x v="40"/>
    <n v="190801"/>
    <n v="190801"/>
    <m/>
    <n v="7"/>
    <n v="190801"/>
    <n v="245000"/>
  </r>
  <r>
    <x v="268"/>
    <x v="4"/>
    <m/>
    <x v="29"/>
    <x v="2"/>
    <x v="41"/>
    <n v="190801"/>
    <n v="190801"/>
    <m/>
    <n v="11"/>
    <n v="190801"/>
    <n v="495000"/>
  </r>
  <r>
    <x v="268"/>
    <x v="4"/>
    <m/>
    <x v="25"/>
    <x v="2"/>
    <x v="34"/>
    <n v="190801"/>
    <n v="190801"/>
    <m/>
    <n v="7"/>
    <n v="190801"/>
    <n v="693000"/>
  </r>
  <r>
    <x v="268"/>
    <x v="4"/>
    <m/>
    <x v="1"/>
    <x v="2"/>
    <x v="18"/>
    <n v="190801"/>
    <n v="190801"/>
    <m/>
    <n v="2"/>
    <n v="190801"/>
    <n v="40000"/>
  </r>
  <r>
    <x v="268"/>
    <x v="4"/>
    <m/>
    <x v="1"/>
    <x v="2"/>
    <x v="21"/>
    <n v="190801"/>
    <n v="190801"/>
    <m/>
    <n v="1"/>
    <n v="190801"/>
    <n v="35000"/>
  </r>
  <r>
    <x v="268"/>
    <x v="4"/>
    <m/>
    <x v="4"/>
    <x v="2"/>
    <x v="26"/>
    <n v="190801"/>
    <n v="190801"/>
    <m/>
    <n v="1"/>
    <n v="190801"/>
    <n v="4000"/>
  </r>
  <r>
    <x v="268"/>
    <x v="4"/>
    <m/>
    <x v="4"/>
    <x v="2"/>
    <x v="27"/>
    <n v="190801"/>
    <n v="190801"/>
    <m/>
    <n v="5"/>
    <n v="190801"/>
    <n v="100000"/>
  </r>
  <r>
    <x v="268"/>
    <x v="4"/>
    <m/>
    <x v="0"/>
    <x v="2"/>
    <x v="15"/>
    <n v="190801"/>
    <n v="190801"/>
    <m/>
    <n v="65"/>
    <n v="190801"/>
    <n v="1300000"/>
  </r>
  <r>
    <x v="268"/>
    <x v="4"/>
    <m/>
    <x v="0"/>
    <x v="2"/>
    <x v="16"/>
    <n v="190801"/>
    <n v="190801"/>
    <m/>
    <n v="41"/>
    <n v="190801"/>
    <n v="1435000"/>
  </r>
  <r>
    <x v="268"/>
    <x v="4"/>
    <m/>
    <x v="0"/>
    <x v="2"/>
    <x v="17"/>
    <n v="190801"/>
    <n v="190801"/>
    <m/>
    <n v="55"/>
    <n v="190801"/>
    <n v="1815000"/>
  </r>
  <r>
    <x v="268"/>
    <x v="4"/>
    <m/>
    <x v="0"/>
    <x v="2"/>
    <x v="19"/>
    <n v="190801"/>
    <n v="190801"/>
    <m/>
    <n v="54"/>
    <n v="190801"/>
    <n v="162000"/>
  </r>
  <r>
    <x v="268"/>
    <x v="4"/>
    <m/>
    <x v="5"/>
    <x v="2"/>
    <x v="28"/>
    <n v="190801"/>
    <n v="190801"/>
    <m/>
    <n v="14"/>
    <n v="190801"/>
    <n v="392000"/>
  </r>
  <r>
    <x v="268"/>
    <x v="4"/>
    <m/>
    <x v="22"/>
    <x v="2"/>
    <x v="29"/>
    <n v="190801"/>
    <n v="190801"/>
    <m/>
    <n v="8"/>
    <n v="190801"/>
    <n v="304000"/>
  </r>
  <r>
    <x v="268"/>
    <x v="4"/>
    <m/>
    <x v="19"/>
    <x v="2"/>
    <x v="22"/>
    <n v="190801"/>
    <n v="190801"/>
    <m/>
    <n v="7"/>
    <n v="190801"/>
    <n v="91000"/>
  </r>
  <r>
    <x v="268"/>
    <x v="4"/>
    <m/>
    <x v="19"/>
    <x v="2"/>
    <x v="24"/>
    <n v="190801"/>
    <n v="190801"/>
    <m/>
    <n v="1"/>
    <n v="190801"/>
    <n v="33000"/>
  </r>
  <r>
    <x v="268"/>
    <x v="4"/>
    <m/>
    <x v="0"/>
    <x v="4"/>
    <x v="15"/>
    <n v="190801"/>
    <n v="190801"/>
    <m/>
    <n v="30"/>
    <n v="190801"/>
    <n v="945000"/>
  </r>
  <r>
    <x v="268"/>
    <x v="4"/>
    <m/>
    <x v="0"/>
    <x v="4"/>
    <x v="16"/>
    <n v="190801"/>
    <n v="190801"/>
    <m/>
    <n v="23"/>
    <n v="190801"/>
    <n v="1012000"/>
  </r>
  <r>
    <x v="268"/>
    <x v="4"/>
    <m/>
    <x v="5"/>
    <x v="4"/>
    <x v="28"/>
    <n v="190801"/>
    <n v="190801"/>
    <m/>
    <n v="5"/>
    <n v="190801"/>
    <n v="190000"/>
  </r>
  <r>
    <x v="268"/>
    <x v="4"/>
    <m/>
    <x v="1"/>
    <x v="4"/>
    <x v="18"/>
    <n v="190801"/>
    <n v="190801"/>
    <m/>
    <n v="1"/>
    <n v="190801"/>
    <n v="31500"/>
  </r>
  <r>
    <x v="268"/>
    <x v="4"/>
    <m/>
    <x v="4"/>
    <x v="4"/>
    <x v="27"/>
    <n v="190801"/>
    <n v="190801"/>
    <m/>
    <n v="2"/>
    <n v="190801"/>
    <n v="72000"/>
  </r>
  <r>
    <x v="268"/>
    <x v="4"/>
    <m/>
    <x v="19"/>
    <x v="4"/>
    <x v="22"/>
    <n v="190801"/>
    <n v="190801"/>
    <m/>
    <n v="2"/>
    <n v="190801"/>
    <n v="50000"/>
  </r>
  <r>
    <x v="268"/>
    <x v="4"/>
    <m/>
    <x v="5"/>
    <x v="3"/>
    <x v="28"/>
    <n v="190801"/>
    <n v="190801"/>
    <m/>
    <n v="35"/>
    <n v="190801"/>
    <n v="0"/>
  </r>
  <r>
    <x v="268"/>
    <x v="4"/>
    <m/>
    <x v="0"/>
    <x v="9"/>
    <x v="15"/>
    <n v="190801"/>
    <n v="190801"/>
    <m/>
    <n v="4"/>
    <n v="190801"/>
    <n v="80000"/>
  </r>
  <r>
    <x v="269"/>
    <x v="1"/>
    <m/>
    <x v="0"/>
    <x v="1"/>
    <x v="16"/>
    <n v="190801"/>
    <n v="190801"/>
    <m/>
    <n v="4"/>
    <n v="190801"/>
    <n v="140000"/>
  </r>
  <r>
    <x v="269"/>
    <x v="1"/>
    <m/>
    <x v="1"/>
    <x v="5"/>
    <x v="18"/>
    <n v="190801"/>
    <n v="190801"/>
    <m/>
    <n v="5"/>
    <n v="190801"/>
    <n v="51135"/>
  </r>
  <r>
    <x v="269"/>
    <x v="1"/>
    <m/>
    <x v="0"/>
    <x v="7"/>
    <x v="15"/>
    <n v="190801"/>
    <n v="190801"/>
    <m/>
    <n v="9"/>
    <n v="190801"/>
    <n v="180000"/>
  </r>
  <r>
    <x v="269"/>
    <x v="1"/>
    <m/>
    <x v="6"/>
    <x v="2"/>
    <x v="37"/>
    <n v="190801"/>
    <n v="190801"/>
    <m/>
    <n v="2"/>
    <n v="190801"/>
    <n v="40000"/>
  </r>
  <r>
    <x v="269"/>
    <x v="1"/>
    <m/>
    <x v="19"/>
    <x v="2"/>
    <x v="38"/>
    <n v="190801"/>
    <n v="190801"/>
    <m/>
    <n v="1"/>
    <n v="190801"/>
    <n v="10000"/>
  </r>
  <r>
    <x v="269"/>
    <x v="1"/>
    <m/>
    <x v="29"/>
    <x v="2"/>
    <x v="40"/>
    <n v="190801"/>
    <n v="190801"/>
    <m/>
    <n v="3"/>
    <n v="190801"/>
    <n v="105000"/>
  </r>
  <r>
    <x v="269"/>
    <x v="1"/>
    <m/>
    <x v="29"/>
    <x v="2"/>
    <x v="41"/>
    <n v="190801"/>
    <n v="190801"/>
    <m/>
    <n v="2"/>
    <n v="190801"/>
    <n v="90000"/>
  </r>
  <r>
    <x v="269"/>
    <x v="1"/>
    <m/>
    <x v="25"/>
    <x v="2"/>
    <x v="34"/>
    <n v="190801"/>
    <n v="190801"/>
    <m/>
    <n v="6"/>
    <n v="190801"/>
    <n v="594000"/>
  </r>
  <r>
    <x v="269"/>
    <x v="1"/>
    <m/>
    <x v="1"/>
    <x v="2"/>
    <x v="18"/>
    <n v="190801"/>
    <n v="190801"/>
    <m/>
    <n v="1"/>
    <n v="190801"/>
    <n v="20000"/>
  </r>
  <r>
    <x v="269"/>
    <x v="1"/>
    <m/>
    <x v="4"/>
    <x v="2"/>
    <x v="26"/>
    <n v="190801"/>
    <n v="190801"/>
    <m/>
    <n v="3"/>
    <n v="190801"/>
    <n v="12000"/>
  </r>
  <r>
    <x v="269"/>
    <x v="1"/>
    <m/>
    <x v="4"/>
    <x v="2"/>
    <x v="27"/>
    <n v="190801"/>
    <n v="190801"/>
    <m/>
    <n v="1"/>
    <n v="190801"/>
    <n v="20000"/>
  </r>
  <r>
    <x v="269"/>
    <x v="1"/>
    <m/>
    <x v="0"/>
    <x v="2"/>
    <x v="15"/>
    <n v="190801"/>
    <n v="190801"/>
    <m/>
    <n v="49"/>
    <n v="190801"/>
    <n v="980000"/>
  </r>
  <r>
    <x v="269"/>
    <x v="1"/>
    <m/>
    <x v="0"/>
    <x v="2"/>
    <x v="16"/>
    <n v="190801"/>
    <n v="190801"/>
    <m/>
    <n v="37"/>
    <n v="190801"/>
    <n v="1295000"/>
  </r>
  <r>
    <x v="269"/>
    <x v="1"/>
    <m/>
    <x v="0"/>
    <x v="2"/>
    <x v="17"/>
    <n v="190801"/>
    <n v="190801"/>
    <m/>
    <n v="61"/>
    <n v="190801"/>
    <n v="2013000"/>
  </r>
  <r>
    <x v="269"/>
    <x v="1"/>
    <m/>
    <x v="0"/>
    <x v="2"/>
    <x v="19"/>
    <n v="190801"/>
    <n v="190801"/>
    <m/>
    <n v="44"/>
    <n v="190801"/>
    <n v="132000"/>
  </r>
  <r>
    <x v="269"/>
    <x v="1"/>
    <m/>
    <x v="5"/>
    <x v="2"/>
    <x v="28"/>
    <n v="190801"/>
    <n v="190801"/>
    <m/>
    <n v="18"/>
    <n v="190801"/>
    <n v="504000"/>
  </r>
  <r>
    <x v="269"/>
    <x v="1"/>
    <m/>
    <x v="22"/>
    <x v="2"/>
    <x v="29"/>
    <n v="190801"/>
    <n v="190801"/>
    <m/>
    <n v="4"/>
    <n v="190801"/>
    <n v="152000"/>
  </r>
  <r>
    <x v="269"/>
    <x v="1"/>
    <m/>
    <x v="19"/>
    <x v="2"/>
    <x v="22"/>
    <n v="190801"/>
    <n v="190801"/>
    <m/>
    <n v="7"/>
    <n v="190801"/>
    <n v="91000"/>
  </r>
  <r>
    <x v="269"/>
    <x v="1"/>
    <m/>
    <x v="19"/>
    <x v="2"/>
    <x v="24"/>
    <n v="190801"/>
    <n v="190801"/>
    <m/>
    <n v="1"/>
    <n v="190801"/>
    <n v="33000"/>
  </r>
  <r>
    <x v="269"/>
    <x v="1"/>
    <m/>
    <x v="0"/>
    <x v="4"/>
    <x v="15"/>
    <n v="190801"/>
    <n v="190801"/>
    <m/>
    <n v="8"/>
    <n v="190801"/>
    <n v="252000"/>
  </r>
  <r>
    <x v="269"/>
    <x v="1"/>
    <m/>
    <x v="0"/>
    <x v="4"/>
    <x v="16"/>
    <n v="190801"/>
    <n v="190801"/>
    <m/>
    <n v="4"/>
    <n v="190801"/>
    <n v="176000"/>
  </r>
  <r>
    <x v="269"/>
    <x v="1"/>
    <m/>
    <x v="5"/>
    <x v="4"/>
    <x v="28"/>
    <n v="190801"/>
    <n v="190801"/>
    <m/>
    <n v="3"/>
    <n v="190801"/>
    <n v="114000"/>
  </r>
  <r>
    <x v="269"/>
    <x v="1"/>
    <m/>
    <x v="0"/>
    <x v="9"/>
    <x v="15"/>
    <n v="190801"/>
    <n v="190801"/>
    <m/>
    <n v="1"/>
    <n v="190801"/>
    <n v="20000"/>
  </r>
  <r>
    <x v="270"/>
    <x v="0"/>
    <m/>
    <x v="0"/>
    <x v="1"/>
    <x v="15"/>
    <n v="190801"/>
    <n v="190801"/>
    <m/>
    <n v="2"/>
    <n v="190801"/>
    <n v="40000"/>
  </r>
  <r>
    <x v="270"/>
    <x v="0"/>
    <m/>
    <x v="0"/>
    <x v="1"/>
    <x v="16"/>
    <n v="190801"/>
    <n v="190801"/>
    <m/>
    <n v="2"/>
    <n v="190801"/>
    <n v="70000"/>
  </r>
  <r>
    <x v="270"/>
    <x v="0"/>
    <m/>
    <x v="0"/>
    <x v="7"/>
    <x v="15"/>
    <n v="190801"/>
    <n v="190801"/>
    <m/>
    <n v="4"/>
    <n v="190801"/>
    <n v="80000"/>
  </r>
  <r>
    <x v="270"/>
    <x v="0"/>
    <m/>
    <x v="6"/>
    <x v="2"/>
    <x v="37"/>
    <n v="190801"/>
    <n v="190801"/>
    <m/>
    <n v="5"/>
    <n v="190801"/>
    <n v="100000"/>
  </r>
  <r>
    <x v="270"/>
    <x v="0"/>
    <m/>
    <x v="6"/>
    <x v="2"/>
    <x v="42"/>
    <n v="190801"/>
    <n v="190801"/>
    <m/>
    <n v="1"/>
    <n v="190801"/>
    <n v="35000"/>
  </r>
  <r>
    <x v="270"/>
    <x v="0"/>
    <m/>
    <x v="19"/>
    <x v="2"/>
    <x v="38"/>
    <n v="190801"/>
    <n v="190801"/>
    <m/>
    <n v="2"/>
    <n v="190801"/>
    <n v="20000"/>
  </r>
  <r>
    <x v="270"/>
    <x v="0"/>
    <m/>
    <x v="29"/>
    <x v="2"/>
    <x v="40"/>
    <n v="190801"/>
    <n v="190801"/>
    <m/>
    <n v="2"/>
    <n v="190801"/>
    <n v="70000"/>
  </r>
  <r>
    <x v="270"/>
    <x v="0"/>
    <m/>
    <x v="29"/>
    <x v="2"/>
    <x v="41"/>
    <n v="190801"/>
    <n v="190801"/>
    <m/>
    <n v="4"/>
    <n v="190801"/>
    <n v="180000"/>
  </r>
  <r>
    <x v="270"/>
    <x v="0"/>
    <m/>
    <x v="25"/>
    <x v="2"/>
    <x v="34"/>
    <n v="190801"/>
    <n v="190801"/>
    <m/>
    <n v="12"/>
    <n v="190801"/>
    <n v="1188000"/>
  </r>
  <r>
    <x v="270"/>
    <x v="0"/>
    <m/>
    <x v="1"/>
    <x v="2"/>
    <x v="18"/>
    <n v="190801"/>
    <n v="190801"/>
    <m/>
    <n v="5"/>
    <n v="190801"/>
    <n v="100000"/>
  </r>
  <r>
    <x v="270"/>
    <x v="0"/>
    <m/>
    <x v="1"/>
    <x v="2"/>
    <x v="21"/>
    <n v="190801"/>
    <n v="190801"/>
    <m/>
    <n v="1"/>
    <n v="190801"/>
    <n v="35000"/>
  </r>
  <r>
    <x v="270"/>
    <x v="0"/>
    <m/>
    <x v="4"/>
    <x v="2"/>
    <x v="26"/>
    <n v="190801"/>
    <n v="190801"/>
    <m/>
    <n v="1"/>
    <n v="190801"/>
    <n v="4000"/>
  </r>
  <r>
    <x v="270"/>
    <x v="0"/>
    <m/>
    <x v="4"/>
    <x v="2"/>
    <x v="27"/>
    <n v="190801"/>
    <n v="190801"/>
    <m/>
    <n v="1"/>
    <n v="190801"/>
    <n v="20000"/>
  </r>
  <r>
    <x v="270"/>
    <x v="0"/>
    <m/>
    <x v="0"/>
    <x v="2"/>
    <x v="15"/>
    <n v="190801"/>
    <n v="190801"/>
    <m/>
    <n v="55"/>
    <n v="190801"/>
    <n v="1100000"/>
  </r>
  <r>
    <x v="270"/>
    <x v="0"/>
    <m/>
    <x v="0"/>
    <x v="2"/>
    <x v="16"/>
    <n v="190801"/>
    <n v="190801"/>
    <m/>
    <n v="234"/>
    <n v="190801"/>
    <n v="8190000"/>
  </r>
  <r>
    <x v="270"/>
    <x v="0"/>
    <m/>
    <x v="0"/>
    <x v="2"/>
    <x v="17"/>
    <n v="190801"/>
    <n v="190801"/>
    <m/>
    <n v="58"/>
    <n v="190801"/>
    <n v="1914000"/>
  </r>
  <r>
    <x v="270"/>
    <x v="0"/>
    <m/>
    <x v="0"/>
    <x v="2"/>
    <x v="19"/>
    <n v="190801"/>
    <n v="190801"/>
    <m/>
    <n v="129"/>
    <n v="190801"/>
    <n v="387000"/>
  </r>
  <r>
    <x v="270"/>
    <x v="0"/>
    <m/>
    <x v="5"/>
    <x v="2"/>
    <x v="28"/>
    <n v="190801"/>
    <n v="190801"/>
    <m/>
    <n v="10"/>
    <n v="190801"/>
    <n v="280000"/>
  </r>
  <r>
    <x v="270"/>
    <x v="0"/>
    <m/>
    <x v="22"/>
    <x v="2"/>
    <x v="29"/>
    <n v="190801"/>
    <n v="190801"/>
    <m/>
    <n v="3"/>
    <n v="190801"/>
    <n v="114000"/>
  </r>
  <r>
    <x v="270"/>
    <x v="0"/>
    <m/>
    <x v="19"/>
    <x v="2"/>
    <x v="22"/>
    <n v="190801"/>
    <n v="190801"/>
    <m/>
    <n v="10"/>
    <n v="190801"/>
    <n v="130000"/>
  </r>
  <r>
    <x v="270"/>
    <x v="0"/>
    <m/>
    <x v="19"/>
    <x v="2"/>
    <x v="23"/>
    <n v="190801"/>
    <n v="190801"/>
    <m/>
    <n v="1"/>
    <n v="190801"/>
    <n v="24000"/>
  </r>
  <r>
    <x v="270"/>
    <x v="0"/>
    <m/>
    <x v="19"/>
    <x v="2"/>
    <x v="24"/>
    <n v="190801"/>
    <n v="190801"/>
    <m/>
    <n v="2"/>
    <n v="190801"/>
    <n v="66000"/>
  </r>
  <r>
    <x v="270"/>
    <x v="0"/>
    <m/>
    <x v="0"/>
    <x v="4"/>
    <x v="15"/>
    <n v="190801"/>
    <n v="190801"/>
    <m/>
    <n v="10"/>
    <n v="190801"/>
    <n v="315000"/>
  </r>
  <r>
    <x v="270"/>
    <x v="0"/>
    <m/>
    <x v="0"/>
    <x v="4"/>
    <x v="16"/>
    <n v="190801"/>
    <n v="190801"/>
    <m/>
    <n v="6"/>
    <n v="190801"/>
    <n v="264000"/>
  </r>
  <r>
    <x v="270"/>
    <x v="0"/>
    <m/>
    <x v="5"/>
    <x v="4"/>
    <x v="28"/>
    <n v="190801"/>
    <n v="190801"/>
    <m/>
    <n v="1"/>
    <n v="190801"/>
    <n v="38000"/>
  </r>
  <r>
    <x v="270"/>
    <x v="0"/>
    <m/>
    <x v="1"/>
    <x v="9"/>
    <x v="18"/>
    <n v="190801"/>
    <n v="190801"/>
    <m/>
    <n v="1"/>
    <n v="190801"/>
    <n v="20000"/>
  </r>
  <r>
    <x v="270"/>
    <x v="0"/>
    <m/>
    <x v="0"/>
    <x v="9"/>
    <x v="15"/>
    <n v="190801"/>
    <n v="190801"/>
    <m/>
    <n v="5"/>
    <n v="190801"/>
    <n v="100000"/>
  </r>
  <r>
    <x v="270"/>
    <x v="0"/>
    <m/>
    <x v="18"/>
    <x v="3"/>
    <x v="19"/>
    <n v="190801"/>
    <n v="190801"/>
    <m/>
    <n v="30"/>
    <n v="190801"/>
    <n v="0"/>
  </r>
  <r>
    <x v="270"/>
    <x v="0"/>
    <m/>
    <x v="6"/>
    <x v="3"/>
    <x v="37"/>
    <n v="190801"/>
    <n v="190801"/>
    <m/>
    <n v="40"/>
    <n v="190801"/>
    <n v="0"/>
  </r>
  <r>
    <x v="270"/>
    <x v="0"/>
    <m/>
    <x v="19"/>
    <x v="3"/>
    <x v="22"/>
    <n v="190801"/>
    <n v="190801"/>
    <m/>
    <n v="30"/>
    <n v="190801"/>
    <n v="0"/>
  </r>
  <r>
    <x v="271"/>
    <x v="2"/>
    <m/>
    <x v="0"/>
    <x v="1"/>
    <x v="15"/>
    <n v="190801"/>
    <n v="190801"/>
    <m/>
    <n v="2"/>
    <n v="190801"/>
    <n v="40000"/>
  </r>
  <r>
    <x v="271"/>
    <x v="2"/>
    <m/>
    <x v="0"/>
    <x v="1"/>
    <x v="16"/>
    <n v="190801"/>
    <n v="190801"/>
    <m/>
    <n v="2"/>
    <n v="190801"/>
    <n v="70000"/>
  </r>
  <r>
    <x v="271"/>
    <x v="2"/>
    <m/>
    <x v="6"/>
    <x v="5"/>
    <x v="49"/>
    <n v="190801"/>
    <n v="190801"/>
    <m/>
    <n v="10"/>
    <n v="190801"/>
    <n v="112500"/>
  </r>
  <r>
    <x v="271"/>
    <x v="2"/>
    <m/>
    <x v="0"/>
    <x v="5"/>
    <x v="15"/>
    <n v="190801"/>
    <n v="190801"/>
    <m/>
    <n v="150"/>
    <n v="190801"/>
    <n v="1534050"/>
  </r>
  <r>
    <x v="271"/>
    <x v="2"/>
    <m/>
    <x v="0"/>
    <x v="7"/>
    <x v="15"/>
    <n v="190801"/>
    <n v="190801"/>
    <m/>
    <n v="3"/>
    <n v="190801"/>
    <n v="60000"/>
  </r>
  <r>
    <x v="271"/>
    <x v="2"/>
    <m/>
    <x v="6"/>
    <x v="2"/>
    <x v="37"/>
    <n v="190801"/>
    <n v="190801"/>
    <m/>
    <n v="2"/>
    <n v="190801"/>
    <n v="40000"/>
  </r>
  <r>
    <x v="271"/>
    <x v="2"/>
    <m/>
    <x v="6"/>
    <x v="2"/>
    <x v="42"/>
    <n v="190801"/>
    <n v="190801"/>
    <m/>
    <n v="1"/>
    <n v="190801"/>
    <n v="35000"/>
  </r>
  <r>
    <x v="271"/>
    <x v="2"/>
    <m/>
    <x v="29"/>
    <x v="2"/>
    <x v="40"/>
    <n v="190801"/>
    <n v="190801"/>
    <m/>
    <n v="6"/>
    <n v="190801"/>
    <n v="210000"/>
  </r>
  <r>
    <x v="271"/>
    <x v="2"/>
    <m/>
    <x v="29"/>
    <x v="2"/>
    <x v="41"/>
    <n v="190801"/>
    <n v="190801"/>
    <m/>
    <n v="10"/>
    <n v="190801"/>
    <n v="450000"/>
  </r>
  <r>
    <x v="271"/>
    <x v="2"/>
    <m/>
    <x v="25"/>
    <x v="2"/>
    <x v="34"/>
    <n v="190801"/>
    <n v="190801"/>
    <m/>
    <n v="4"/>
    <n v="190801"/>
    <n v="396000"/>
  </r>
  <r>
    <x v="271"/>
    <x v="2"/>
    <m/>
    <x v="1"/>
    <x v="2"/>
    <x v="18"/>
    <n v="190801"/>
    <n v="190801"/>
    <m/>
    <n v="2"/>
    <n v="190801"/>
    <n v="40000"/>
  </r>
  <r>
    <x v="271"/>
    <x v="2"/>
    <m/>
    <x v="4"/>
    <x v="2"/>
    <x v="26"/>
    <n v="190801"/>
    <n v="190801"/>
    <m/>
    <n v="3"/>
    <n v="190801"/>
    <n v="12000"/>
  </r>
  <r>
    <x v="271"/>
    <x v="2"/>
    <m/>
    <x v="0"/>
    <x v="2"/>
    <x v="15"/>
    <n v="190801"/>
    <n v="190801"/>
    <m/>
    <n v="39"/>
    <n v="190801"/>
    <n v="780000"/>
  </r>
  <r>
    <x v="271"/>
    <x v="2"/>
    <m/>
    <x v="0"/>
    <x v="2"/>
    <x v="16"/>
    <n v="190801"/>
    <n v="190801"/>
    <m/>
    <n v="34"/>
    <n v="190801"/>
    <n v="1190000"/>
  </r>
  <r>
    <x v="271"/>
    <x v="2"/>
    <m/>
    <x v="0"/>
    <x v="2"/>
    <x v="17"/>
    <n v="190801"/>
    <n v="190801"/>
    <m/>
    <n v="58"/>
    <n v="190801"/>
    <n v="1914000"/>
  </r>
  <r>
    <x v="271"/>
    <x v="2"/>
    <m/>
    <x v="0"/>
    <x v="2"/>
    <x v="19"/>
    <n v="190801"/>
    <n v="190801"/>
    <m/>
    <n v="48"/>
    <n v="190801"/>
    <n v="144000"/>
  </r>
  <r>
    <x v="271"/>
    <x v="2"/>
    <m/>
    <x v="5"/>
    <x v="2"/>
    <x v="28"/>
    <n v="190801"/>
    <n v="190801"/>
    <m/>
    <n v="18"/>
    <n v="190801"/>
    <n v="504000"/>
  </r>
  <r>
    <x v="271"/>
    <x v="2"/>
    <m/>
    <x v="22"/>
    <x v="2"/>
    <x v="29"/>
    <n v="190801"/>
    <n v="190801"/>
    <m/>
    <n v="4"/>
    <n v="190801"/>
    <n v="152000"/>
  </r>
  <r>
    <x v="271"/>
    <x v="2"/>
    <m/>
    <x v="19"/>
    <x v="2"/>
    <x v="22"/>
    <n v="190801"/>
    <n v="190801"/>
    <m/>
    <n v="8"/>
    <n v="190801"/>
    <n v="104000"/>
  </r>
  <r>
    <x v="271"/>
    <x v="2"/>
    <m/>
    <x v="19"/>
    <x v="2"/>
    <x v="23"/>
    <n v="190801"/>
    <n v="190801"/>
    <m/>
    <n v="1"/>
    <n v="190801"/>
    <n v="24000"/>
  </r>
  <r>
    <x v="271"/>
    <x v="2"/>
    <m/>
    <x v="19"/>
    <x v="2"/>
    <x v="24"/>
    <n v="190801"/>
    <n v="190801"/>
    <m/>
    <n v="1"/>
    <n v="190801"/>
    <n v="33000"/>
  </r>
  <r>
    <x v="271"/>
    <x v="2"/>
    <m/>
    <x v="0"/>
    <x v="4"/>
    <x v="15"/>
    <n v="190801"/>
    <n v="190801"/>
    <m/>
    <n v="4"/>
    <n v="190801"/>
    <n v="126000"/>
  </r>
  <r>
    <x v="271"/>
    <x v="2"/>
    <m/>
    <x v="0"/>
    <x v="4"/>
    <x v="16"/>
    <n v="190801"/>
    <n v="190801"/>
    <m/>
    <n v="5"/>
    <n v="190801"/>
    <n v="220000"/>
  </r>
  <r>
    <x v="271"/>
    <x v="2"/>
    <m/>
    <x v="5"/>
    <x v="4"/>
    <x v="28"/>
    <n v="190801"/>
    <n v="190801"/>
    <m/>
    <n v="2"/>
    <n v="190801"/>
    <n v="76000"/>
  </r>
  <r>
    <x v="271"/>
    <x v="2"/>
    <m/>
    <x v="0"/>
    <x v="9"/>
    <x v="15"/>
    <n v="190801"/>
    <n v="190801"/>
    <m/>
    <n v="6"/>
    <n v="190801"/>
    <n v="120000"/>
  </r>
  <r>
    <x v="272"/>
    <x v="5"/>
    <m/>
    <x v="0"/>
    <x v="7"/>
    <x v="15"/>
    <n v="190801"/>
    <n v="190801"/>
    <m/>
    <n v="7"/>
    <n v="190801"/>
    <n v="140000"/>
  </r>
  <r>
    <x v="272"/>
    <x v="5"/>
    <m/>
    <x v="6"/>
    <x v="2"/>
    <x v="37"/>
    <n v="190801"/>
    <n v="190801"/>
    <m/>
    <n v="4"/>
    <n v="190801"/>
    <n v="80000"/>
  </r>
  <r>
    <x v="272"/>
    <x v="5"/>
    <m/>
    <x v="19"/>
    <x v="2"/>
    <x v="38"/>
    <n v="190801"/>
    <n v="190801"/>
    <m/>
    <n v="1"/>
    <n v="190801"/>
    <n v="10000"/>
  </r>
  <r>
    <x v="272"/>
    <x v="5"/>
    <m/>
    <x v="29"/>
    <x v="2"/>
    <x v="40"/>
    <n v="190801"/>
    <n v="190801"/>
    <m/>
    <n v="4"/>
    <n v="190801"/>
    <n v="140000"/>
  </r>
  <r>
    <x v="272"/>
    <x v="5"/>
    <m/>
    <x v="29"/>
    <x v="2"/>
    <x v="41"/>
    <n v="190801"/>
    <n v="190801"/>
    <m/>
    <n v="4"/>
    <n v="190801"/>
    <n v="180000"/>
  </r>
  <r>
    <x v="272"/>
    <x v="5"/>
    <m/>
    <x v="25"/>
    <x v="2"/>
    <x v="34"/>
    <n v="190801"/>
    <n v="190801"/>
    <m/>
    <n v="6"/>
    <n v="190801"/>
    <n v="594000"/>
  </r>
  <r>
    <x v="272"/>
    <x v="5"/>
    <m/>
    <x v="1"/>
    <x v="2"/>
    <x v="18"/>
    <n v="190801"/>
    <n v="190801"/>
    <m/>
    <n v="3"/>
    <n v="190801"/>
    <n v="60000"/>
  </r>
  <r>
    <x v="272"/>
    <x v="5"/>
    <m/>
    <x v="4"/>
    <x v="2"/>
    <x v="26"/>
    <n v="190801"/>
    <n v="190801"/>
    <m/>
    <n v="1"/>
    <n v="190801"/>
    <n v="4000"/>
  </r>
  <r>
    <x v="272"/>
    <x v="5"/>
    <m/>
    <x v="4"/>
    <x v="2"/>
    <x v="27"/>
    <n v="190801"/>
    <n v="190801"/>
    <m/>
    <n v="2"/>
    <n v="190801"/>
    <n v="40000"/>
  </r>
  <r>
    <x v="272"/>
    <x v="5"/>
    <m/>
    <x v="0"/>
    <x v="2"/>
    <x v="15"/>
    <n v="190801"/>
    <n v="190801"/>
    <m/>
    <n v="32"/>
    <n v="190801"/>
    <n v="640000"/>
  </r>
  <r>
    <x v="272"/>
    <x v="5"/>
    <m/>
    <x v="0"/>
    <x v="2"/>
    <x v="16"/>
    <n v="190801"/>
    <n v="190801"/>
    <m/>
    <n v="41"/>
    <n v="190801"/>
    <n v="1435000"/>
  </r>
  <r>
    <x v="272"/>
    <x v="5"/>
    <m/>
    <x v="0"/>
    <x v="2"/>
    <x v="17"/>
    <n v="190801"/>
    <n v="190801"/>
    <m/>
    <n v="42"/>
    <n v="190801"/>
    <n v="1386000"/>
  </r>
  <r>
    <x v="272"/>
    <x v="5"/>
    <m/>
    <x v="0"/>
    <x v="2"/>
    <x v="19"/>
    <n v="190801"/>
    <n v="190801"/>
    <m/>
    <n v="44"/>
    <n v="190801"/>
    <n v="132000"/>
  </r>
  <r>
    <x v="272"/>
    <x v="5"/>
    <m/>
    <x v="5"/>
    <x v="2"/>
    <x v="28"/>
    <n v="190801"/>
    <n v="190801"/>
    <m/>
    <n v="12"/>
    <n v="190801"/>
    <n v="336000"/>
  </r>
  <r>
    <x v="272"/>
    <x v="5"/>
    <m/>
    <x v="22"/>
    <x v="2"/>
    <x v="29"/>
    <n v="190801"/>
    <n v="190801"/>
    <m/>
    <n v="4"/>
    <n v="190801"/>
    <n v="152000"/>
  </r>
  <r>
    <x v="272"/>
    <x v="5"/>
    <m/>
    <x v="19"/>
    <x v="2"/>
    <x v="22"/>
    <n v="190801"/>
    <n v="190801"/>
    <m/>
    <n v="3"/>
    <n v="190801"/>
    <n v="39000"/>
  </r>
  <r>
    <x v="272"/>
    <x v="5"/>
    <m/>
    <x v="19"/>
    <x v="2"/>
    <x v="23"/>
    <n v="190801"/>
    <n v="190801"/>
    <m/>
    <n v="1"/>
    <n v="190801"/>
    <n v="24000"/>
  </r>
  <r>
    <x v="272"/>
    <x v="5"/>
    <m/>
    <x v="19"/>
    <x v="2"/>
    <x v="24"/>
    <n v="190801"/>
    <n v="190801"/>
    <m/>
    <n v="2"/>
    <n v="190801"/>
    <n v="66000"/>
  </r>
  <r>
    <x v="272"/>
    <x v="5"/>
    <m/>
    <x v="0"/>
    <x v="9"/>
    <x v="15"/>
    <n v="190801"/>
    <n v="190801"/>
    <m/>
    <n v="5"/>
    <n v="190801"/>
    <n v="100000"/>
  </r>
  <r>
    <x v="273"/>
    <x v="6"/>
    <m/>
    <x v="0"/>
    <x v="7"/>
    <x v="15"/>
    <n v="190801"/>
    <n v="190801"/>
    <m/>
    <n v="12"/>
    <n v="190801"/>
    <n v="240000"/>
  </r>
  <r>
    <x v="273"/>
    <x v="6"/>
    <m/>
    <x v="6"/>
    <x v="2"/>
    <x v="37"/>
    <n v="190801"/>
    <n v="190801"/>
    <m/>
    <n v="5"/>
    <n v="190801"/>
    <n v="100000"/>
  </r>
  <r>
    <x v="273"/>
    <x v="6"/>
    <m/>
    <x v="6"/>
    <x v="2"/>
    <x v="42"/>
    <n v="190801"/>
    <n v="190801"/>
    <m/>
    <n v="1"/>
    <n v="190801"/>
    <n v="35000"/>
  </r>
  <r>
    <x v="273"/>
    <x v="6"/>
    <m/>
    <x v="19"/>
    <x v="2"/>
    <x v="38"/>
    <n v="190801"/>
    <n v="190801"/>
    <m/>
    <n v="2"/>
    <n v="190801"/>
    <n v="20000"/>
  </r>
  <r>
    <x v="273"/>
    <x v="6"/>
    <m/>
    <x v="29"/>
    <x v="2"/>
    <x v="40"/>
    <n v="190801"/>
    <n v="190801"/>
    <m/>
    <n v="1"/>
    <n v="190801"/>
    <n v="35000"/>
  </r>
  <r>
    <x v="273"/>
    <x v="6"/>
    <m/>
    <x v="29"/>
    <x v="2"/>
    <x v="41"/>
    <n v="190801"/>
    <n v="190801"/>
    <m/>
    <n v="2"/>
    <n v="190801"/>
    <n v="90000"/>
  </r>
  <r>
    <x v="273"/>
    <x v="6"/>
    <m/>
    <x v="25"/>
    <x v="2"/>
    <x v="34"/>
    <n v="190801"/>
    <n v="190801"/>
    <m/>
    <n v="8"/>
    <n v="190801"/>
    <n v="792000"/>
  </r>
  <r>
    <x v="273"/>
    <x v="6"/>
    <m/>
    <x v="1"/>
    <x v="2"/>
    <x v="18"/>
    <n v="190801"/>
    <n v="190801"/>
    <m/>
    <n v="2"/>
    <n v="190801"/>
    <n v="40000"/>
  </r>
  <r>
    <x v="273"/>
    <x v="6"/>
    <m/>
    <x v="1"/>
    <x v="2"/>
    <x v="21"/>
    <n v="190801"/>
    <n v="190801"/>
    <m/>
    <n v="1"/>
    <n v="190801"/>
    <n v="35000"/>
  </r>
  <r>
    <x v="273"/>
    <x v="6"/>
    <m/>
    <x v="4"/>
    <x v="2"/>
    <x v="26"/>
    <n v="190801"/>
    <n v="190801"/>
    <m/>
    <n v="3"/>
    <n v="190801"/>
    <n v="12000"/>
  </r>
  <r>
    <x v="273"/>
    <x v="6"/>
    <m/>
    <x v="4"/>
    <x v="2"/>
    <x v="27"/>
    <n v="190801"/>
    <n v="190801"/>
    <m/>
    <n v="4"/>
    <n v="190801"/>
    <n v="80000"/>
  </r>
  <r>
    <x v="273"/>
    <x v="6"/>
    <m/>
    <x v="0"/>
    <x v="2"/>
    <x v="15"/>
    <n v="190801"/>
    <n v="190801"/>
    <m/>
    <n v="73"/>
    <n v="190801"/>
    <n v="1460000"/>
  </r>
  <r>
    <x v="273"/>
    <x v="6"/>
    <m/>
    <x v="0"/>
    <x v="2"/>
    <x v="16"/>
    <n v="190801"/>
    <n v="190801"/>
    <m/>
    <n v="31"/>
    <n v="190801"/>
    <n v="1085000"/>
  </r>
  <r>
    <x v="273"/>
    <x v="6"/>
    <m/>
    <x v="0"/>
    <x v="2"/>
    <x v="17"/>
    <n v="190801"/>
    <n v="190801"/>
    <m/>
    <n v="53"/>
    <n v="190801"/>
    <n v="1749000"/>
  </r>
  <r>
    <x v="273"/>
    <x v="6"/>
    <m/>
    <x v="0"/>
    <x v="2"/>
    <x v="19"/>
    <n v="190801"/>
    <n v="190801"/>
    <m/>
    <n v="60"/>
    <n v="190801"/>
    <n v="180000"/>
  </r>
  <r>
    <x v="273"/>
    <x v="6"/>
    <m/>
    <x v="5"/>
    <x v="2"/>
    <x v="28"/>
    <n v="190801"/>
    <n v="190801"/>
    <m/>
    <n v="9"/>
    <n v="190801"/>
    <n v="252000"/>
  </r>
  <r>
    <x v="273"/>
    <x v="6"/>
    <m/>
    <x v="22"/>
    <x v="2"/>
    <x v="29"/>
    <n v="190801"/>
    <n v="190801"/>
    <m/>
    <n v="9"/>
    <n v="190801"/>
    <n v="342000"/>
  </r>
  <r>
    <x v="273"/>
    <x v="6"/>
    <m/>
    <x v="19"/>
    <x v="2"/>
    <x v="22"/>
    <n v="190801"/>
    <n v="190801"/>
    <m/>
    <n v="6"/>
    <n v="190801"/>
    <n v="78000"/>
  </r>
  <r>
    <x v="273"/>
    <x v="6"/>
    <m/>
    <x v="19"/>
    <x v="2"/>
    <x v="24"/>
    <n v="190801"/>
    <n v="190801"/>
    <m/>
    <n v="1"/>
    <n v="190801"/>
    <n v="33000"/>
  </r>
  <r>
    <x v="273"/>
    <x v="6"/>
    <m/>
    <x v="0"/>
    <x v="9"/>
    <x v="15"/>
    <n v="190801"/>
    <n v="190801"/>
    <m/>
    <n v="5"/>
    <n v="190801"/>
    <n v="100000"/>
  </r>
  <r>
    <x v="273"/>
    <x v="6"/>
    <m/>
    <x v="0"/>
    <x v="6"/>
    <x v="15"/>
    <n v="190801"/>
    <n v="190801"/>
    <m/>
    <n v="233"/>
    <n v="190801"/>
    <n v="2112844"/>
  </r>
  <r>
    <x v="273"/>
    <x v="6"/>
    <m/>
    <x v="0"/>
    <x v="6"/>
    <x v="17"/>
    <n v="190801"/>
    <n v="190801"/>
    <m/>
    <n v="90"/>
    <n v="190801"/>
    <n v="1423620"/>
  </r>
  <r>
    <x v="273"/>
    <x v="6"/>
    <m/>
    <x v="4"/>
    <x v="6"/>
    <x v="26"/>
    <n v="190801"/>
    <n v="190801"/>
    <m/>
    <n v="480"/>
    <n v="190801"/>
    <n v="515040"/>
  </r>
  <r>
    <x v="273"/>
    <x v="6"/>
    <m/>
    <x v="26"/>
    <x v="6"/>
    <x v="35"/>
    <n v="190801"/>
    <n v="190801"/>
    <m/>
    <n v="86"/>
    <n v="190801"/>
    <n v="1473266"/>
  </r>
  <r>
    <x v="273"/>
    <x v="6"/>
    <m/>
    <x v="22"/>
    <x v="6"/>
    <x v="29"/>
    <n v="190801"/>
    <n v="190801"/>
    <m/>
    <n v="6"/>
    <n v="190801"/>
    <n v="118146"/>
  </r>
  <r>
    <x v="273"/>
    <x v="6"/>
    <m/>
    <x v="24"/>
    <x v="6"/>
    <x v="31"/>
    <n v="190801"/>
    <n v="190801"/>
    <m/>
    <n v="99"/>
    <n v="190801"/>
    <n v="1472823"/>
  </r>
  <r>
    <x v="273"/>
    <x v="6"/>
    <m/>
    <x v="23"/>
    <x v="6"/>
    <x v="30"/>
    <n v="190801"/>
    <n v="190801"/>
    <m/>
    <n v="66"/>
    <n v="190801"/>
    <n v="459624"/>
  </r>
  <r>
    <x v="273"/>
    <x v="6"/>
    <m/>
    <x v="19"/>
    <x v="6"/>
    <x v="22"/>
    <n v="190801"/>
    <n v="190801"/>
    <m/>
    <n v="7"/>
    <n v="190801"/>
    <n v="47537"/>
  </r>
  <r>
    <x v="273"/>
    <x v="6"/>
    <m/>
    <x v="27"/>
    <x v="6"/>
    <x v="36"/>
    <n v="190801"/>
    <n v="190801"/>
    <m/>
    <n v="175"/>
    <n v="190801"/>
    <n v="1654975"/>
  </r>
  <r>
    <x v="273"/>
    <x v="6"/>
    <m/>
    <x v="6"/>
    <x v="6"/>
    <x v="37"/>
    <n v="190801"/>
    <n v="190801"/>
    <m/>
    <n v="45"/>
    <n v="190801"/>
    <n v="450000"/>
  </r>
  <r>
    <x v="273"/>
    <x v="6"/>
    <m/>
    <x v="28"/>
    <x v="6"/>
    <x v="39"/>
    <n v="190801"/>
    <n v="190801"/>
    <m/>
    <n v="181"/>
    <n v="190801"/>
    <n v="2863058"/>
  </r>
  <r>
    <x v="274"/>
    <x v="3"/>
    <m/>
    <x v="0"/>
    <x v="1"/>
    <x v="15"/>
    <n v="190801"/>
    <n v="190801"/>
    <m/>
    <n v="2"/>
    <n v="190801"/>
    <n v="40000"/>
  </r>
  <r>
    <x v="274"/>
    <x v="3"/>
    <m/>
    <x v="0"/>
    <x v="1"/>
    <x v="16"/>
    <n v="190801"/>
    <n v="190801"/>
    <m/>
    <n v="19"/>
    <n v="190801"/>
    <n v="665000"/>
  </r>
  <r>
    <x v="274"/>
    <x v="3"/>
    <m/>
    <x v="0"/>
    <x v="7"/>
    <x v="15"/>
    <n v="190801"/>
    <n v="190801"/>
    <m/>
    <n v="4"/>
    <n v="190801"/>
    <n v="80000"/>
  </r>
  <r>
    <x v="274"/>
    <x v="3"/>
    <m/>
    <x v="6"/>
    <x v="2"/>
    <x v="37"/>
    <n v="190801"/>
    <n v="190801"/>
    <m/>
    <n v="3"/>
    <n v="190801"/>
    <n v="60000"/>
  </r>
  <r>
    <x v="274"/>
    <x v="3"/>
    <m/>
    <x v="6"/>
    <x v="2"/>
    <x v="42"/>
    <n v="190801"/>
    <n v="190801"/>
    <m/>
    <n v="1"/>
    <n v="190801"/>
    <n v="35000"/>
  </r>
  <r>
    <x v="274"/>
    <x v="3"/>
    <m/>
    <x v="19"/>
    <x v="2"/>
    <x v="38"/>
    <n v="190801"/>
    <n v="190801"/>
    <m/>
    <n v="1"/>
    <n v="190801"/>
    <n v="10000"/>
  </r>
  <r>
    <x v="274"/>
    <x v="3"/>
    <m/>
    <x v="29"/>
    <x v="2"/>
    <x v="40"/>
    <n v="190801"/>
    <n v="190801"/>
    <m/>
    <n v="4"/>
    <n v="190801"/>
    <n v="140000"/>
  </r>
  <r>
    <x v="274"/>
    <x v="3"/>
    <m/>
    <x v="29"/>
    <x v="2"/>
    <x v="41"/>
    <n v="190801"/>
    <n v="190801"/>
    <m/>
    <n v="2"/>
    <n v="190801"/>
    <n v="90000"/>
  </r>
  <r>
    <x v="274"/>
    <x v="3"/>
    <m/>
    <x v="25"/>
    <x v="2"/>
    <x v="34"/>
    <n v="190801"/>
    <n v="190801"/>
    <m/>
    <n v="8"/>
    <n v="190801"/>
    <n v="792000"/>
  </r>
  <r>
    <x v="274"/>
    <x v="3"/>
    <m/>
    <x v="1"/>
    <x v="2"/>
    <x v="18"/>
    <n v="190801"/>
    <n v="190801"/>
    <m/>
    <n v="2"/>
    <n v="190801"/>
    <n v="40000"/>
  </r>
  <r>
    <x v="274"/>
    <x v="3"/>
    <m/>
    <x v="4"/>
    <x v="2"/>
    <x v="26"/>
    <n v="190801"/>
    <n v="190801"/>
    <m/>
    <n v="5"/>
    <n v="190801"/>
    <n v="20000"/>
  </r>
  <r>
    <x v="274"/>
    <x v="3"/>
    <m/>
    <x v="4"/>
    <x v="2"/>
    <x v="27"/>
    <n v="190801"/>
    <n v="190801"/>
    <m/>
    <n v="1"/>
    <n v="190801"/>
    <n v="20000"/>
  </r>
  <r>
    <x v="274"/>
    <x v="3"/>
    <m/>
    <x v="0"/>
    <x v="2"/>
    <x v="15"/>
    <n v="190801"/>
    <n v="190801"/>
    <m/>
    <n v="74"/>
    <n v="190801"/>
    <n v="1480000"/>
  </r>
  <r>
    <x v="274"/>
    <x v="3"/>
    <m/>
    <x v="0"/>
    <x v="2"/>
    <x v="16"/>
    <n v="190801"/>
    <n v="190801"/>
    <m/>
    <n v="42"/>
    <n v="190801"/>
    <n v="1470000"/>
  </r>
  <r>
    <x v="274"/>
    <x v="3"/>
    <m/>
    <x v="0"/>
    <x v="2"/>
    <x v="17"/>
    <n v="190801"/>
    <n v="190801"/>
    <m/>
    <n v="77"/>
    <n v="190801"/>
    <n v="2541000"/>
  </r>
  <r>
    <x v="274"/>
    <x v="3"/>
    <m/>
    <x v="0"/>
    <x v="2"/>
    <x v="19"/>
    <n v="190801"/>
    <n v="190801"/>
    <m/>
    <n v="66"/>
    <n v="190801"/>
    <n v="198000"/>
  </r>
  <r>
    <x v="274"/>
    <x v="3"/>
    <m/>
    <x v="5"/>
    <x v="2"/>
    <x v="28"/>
    <n v="190801"/>
    <n v="190801"/>
    <m/>
    <n v="11"/>
    <n v="190801"/>
    <n v="308000"/>
  </r>
  <r>
    <x v="274"/>
    <x v="3"/>
    <m/>
    <x v="22"/>
    <x v="2"/>
    <x v="29"/>
    <n v="190801"/>
    <n v="190801"/>
    <m/>
    <n v="7"/>
    <n v="190801"/>
    <n v="266000"/>
  </r>
  <r>
    <x v="274"/>
    <x v="3"/>
    <m/>
    <x v="19"/>
    <x v="2"/>
    <x v="22"/>
    <n v="190801"/>
    <n v="190801"/>
    <m/>
    <n v="6"/>
    <n v="190801"/>
    <n v="78000"/>
  </r>
  <r>
    <x v="274"/>
    <x v="3"/>
    <m/>
    <x v="19"/>
    <x v="2"/>
    <x v="24"/>
    <n v="190801"/>
    <n v="190801"/>
    <m/>
    <n v="1"/>
    <n v="190801"/>
    <n v="33000"/>
  </r>
  <r>
    <x v="274"/>
    <x v="3"/>
    <m/>
    <x v="0"/>
    <x v="4"/>
    <x v="15"/>
    <n v="190801"/>
    <n v="190801"/>
    <m/>
    <n v="26"/>
    <n v="190801"/>
    <n v="819000"/>
  </r>
  <r>
    <x v="274"/>
    <x v="3"/>
    <m/>
    <x v="0"/>
    <x v="4"/>
    <x v="16"/>
    <n v="190801"/>
    <n v="190801"/>
    <m/>
    <n v="12"/>
    <n v="190801"/>
    <n v="528000"/>
  </r>
  <r>
    <x v="274"/>
    <x v="3"/>
    <m/>
    <x v="5"/>
    <x v="4"/>
    <x v="28"/>
    <n v="190801"/>
    <n v="190801"/>
    <m/>
    <n v="5"/>
    <n v="190801"/>
    <n v="190000"/>
  </r>
  <r>
    <x v="274"/>
    <x v="3"/>
    <m/>
    <x v="1"/>
    <x v="4"/>
    <x v="18"/>
    <n v="190801"/>
    <n v="190801"/>
    <m/>
    <n v="1"/>
    <n v="190801"/>
    <n v="31500"/>
  </r>
  <r>
    <x v="274"/>
    <x v="3"/>
    <m/>
    <x v="4"/>
    <x v="4"/>
    <x v="27"/>
    <n v="190801"/>
    <n v="190801"/>
    <m/>
    <n v="1"/>
    <n v="190801"/>
    <n v="36000"/>
  </r>
  <r>
    <x v="274"/>
    <x v="3"/>
    <m/>
    <x v="19"/>
    <x v="4"/>
    <x v="22"/>
    <n v="190801"/>
    <n v="190801"/>
    <m/>
    <n v="1"/>
    <n v="190801"/>
    <n v="25000"/>
  </r>
  <r>
    <x v="274"/>
    <x v="3"/>
    <m/>
    <x v="0"/>
    <x v="3"/>
    <x v="15"/>
    <n v="190801"/>
    <n v="190801"/>
    <m/>
    <n v="5"/>
    <n v="190801"/>
    <n v="0"/>
  </r>
  <r>
    <x v="274"/>
    <x v="3"/>
    <m/>
    <x v="18"/>
    <x v="3"/>
    <x v="19"/>
    <n v="190801"/>
    <n v="190801"/>
    <m/>
    <n v="4"/>
    <n v="190801"/>
    <n v="0"/>
  </r>
  <r>
    <x v="274"/>
    <x v="3"/>
    <m/>
    <x v="5"/>
    <x v="3"/>
    <x v="28"/>
    <n v="190801"/>
    <n v="190801"/>
    <m/>
    <n v="4"/>
    <n v="190801"/>
    <n v="0"/>
  </r>
  <r>
    <x v="274"/>
    <x v="3"/>
    <m/>
    <x v="4"/>
    <x v="3"/>
    <x v="27"/>
    <n v="190801"/>
    <n v="190801"/>
    <m/>
    <n v="4"/>
    <n v="190801"/>
    <n v="0"/>
  </r>
  <r>
    <x v="274"/>
    <x v="3"/>
    <m/>
    <x v="6"/>
    <x v="3"/>
    <x v="37"/>
    <n v="190801"/>
    <n v="190801"/>
    <m/>
    <n v="4"/>
    <n v="190801"/>
    <n v="0"/>
  </r>
  <r>
    <x v="274"/>
    <x v="3"/>
    <m/>
    <x v="0"/>
    <x v="9"/>
    <x v="15"/>
    <n v="190801"/>
    <n v="190801"/>
    <m/>
    <n v="8"/>
    <n v="190801"/>
    <n v="160000"/>
  </r>
  <r>
    <x v="275"/>
    <x v="4"/>
    <m/>
    <x v="0"/>
    <x v="1"/>
    <x v="16"/>
    <n v="190801"/>
    <n v="190801"/>
    <m/>
    <n v="7"/>
    <n v="190801"/>
    <n v="245000"/>
  </r>
  <r>
    <x v="275"/>
    <x v="4"/>
    <m/>
    <x v="0"/>
    <x v="5"/>
    <x v="15"/>
    <n v="190801"/>
    <n v="190801"/>
    <m/>
    <n v="250"/>
    <n v="190801"/>
    <n v="2556750"/>
  </r>
  <r>
    <x v="275"/>
    <x v="4"/>
    <m/>
    <x v="0"/>
    <x v="7"/>
    <x v="15"/>
    <n v="190801"/>
    <n v="190801"/>
    <m/>
    <n v="4"/>
    <n v="190801"/>
    <n v="80000"/>
  </r>
  <r>
    <x v="275"/>
    <x v="4"/>
    <m/>
    <x v="6"/>
    <x v="2"/>
    <x v="37"/>
    <n v="190801"/>
    <n v="190801"/>
    <m/>
    <n v="7"/>
    <n v="190801"/>
    <n v="140000"/>
  </r>
  <r>
    <x v="275"/>
    <x v="4"/>
    <m/>
    <x v="6"/>
    <x v="2"/>
    <x v="42"/>
    <n v="190801"/>
    <n v="190801"/>
    <m/>
    <n v="1"/>
    <n v="190801"/>
    <n v="35000"/>
  </r>
  <r>
    <x v="275"/>
    <x v="4"/>
    <m/>
    <x v="19"/>
    <x v="2"/>
    <x v="38"/>
    <n v="190801"/>
    <n v="190801"/>
    <m/>
    <n v="3"/>
    <n v="190801"/>
    <n v="30000"/>
  </r>
  <r>
    <x v="275"/>
    <x v="4"/>
    <m/>
    <x v="29"/>
    <x v="2"/>
    <x v="40"/>
    <n v="190801"/>
    <n v="190801"/>
    <m/>
    <n v="5"/>
    <n v="190801"/>
    <n v="175000"/>
  </r>
  <r>
    <x v="275"/>
    <x v="4"/>
    <m/>
    <x v="29"/>
    <x v="2"/>
    <x v="41"/>
    <n v="190801"/>
    <n v="190801"/>
    <m/>
    <n v="4"/>
    <n v="190801"/>
    <n v="180000"/>
  </r>
  <r>
    <x v="275"/>
    <x v="4"/>
    <m/>
    <x v="25"/>
    <x v="2"/>
    <x v="34"/>
    <n v="190801"/>
    <n v="190801"/>
    <m/>
    <n v="5"/>
    <n v="190801"/>
    <n v="495000"/>
  </r>
  <r>
    <x v="275"/>
    <x v="4"/>
    <m/>
    <x v="1"/>
    <x v="2"/>
    <x v="18"/>
    <n v="190801"/>
    <n v="190801"/>
    <m/>
    <n v="3"/>
    <n v="190801"/>
    <n v="60000"/>
  </r>
  <r>
    <x v="275"/>
    <x v="4"/>
    <m/>
    <x v="4"/>
    <x v="2"/>
    <x v="26"/>
    <n v="190801"/>
    <n v="190801"/>
    <m/>
    <n v="2"/>
    <n v="190801"/>
    <n v="8000"/>
  </r>
  <r>
    <x v="275"/>
    <x v="4"/>
    <m/>
    <x v="4"/>
    <x v="2"/>
    <x v="27"/>
    <n v="190801"/>
    <n v="190801"/>
    <m/>
    <n v="10"/>
    <n v="190801"/>
    <n v="200000"/>
  </r>
  <r>
    <x v="275"/>
    <x v="4"/>
    <m/>
    <x v="0"/>
    <x v="2"/>
    <x v="15"/>
    <n v="190801"/>
    <n v="190801"/>
    <m/>
    <n v="58"/>
    <n v="190801"/>
    <n v="1160000"/>
  </r>
  <r>
    <x v="275"/>
    <x v="4"/>
    <m/>
    <x v="0"/>
    <x v="2"/>
    <x v="16"/>
    <n v="190801"/>
    <n v="190801"/>
    <m/>
    <n v="45"/>
    <n v="190801"/>
    <n v="1575000"/>
  </r>
  <r>
    <x v="275"/>
    <x v="4"/>
    <m/>
    <x v="0"/>
    <x v="2"/>
    <x v="17"/>
    <n v="190801"/>
    <n v="190801"/>
    <m/>
    <n v="65"/>
    <n v="190801"/>
    <n v="2145000"/>
  </r>
  <r>
    <x v="275"/>
    <x v="4"/>
    <m/>
    <x v="0"/>
    <x v="2"/>
    <x v="19"/>
    <n v="190801"/>
    <n v="190801"/>
    <m/>
    <n v="52"/>
    <n v="190801"/>
    <n v="156000"/>
  </r>
  <r>
    <x v="275"/>
    <x v="4"/>
    <m/>
    <x v="5"/>
    <x v="2"/>
    <x v="28"/>
    <n v="190801"/>
    <n v="190801"/>
    <m/>
    <n v="13"/>
    <n v="190801"/>
    <n v="364000"/>
  </r>
  <r>
    <x v="275"/>
    <x v="4"/>
    <m/>
    <x v="22"/>
    <x v="2"/>
    <x v="29"/>
    <n v="190801"/>
    <n v="190801"/>
    <m/>
    <n v="4"/>
    <n v="190801"/>
    <n v="152000"/>
  </r>
  <r>
    <x v="275"/>
    <x v="4"/>
    <m/>
    <x v="19"/>
    <x v="2"/>
    <x v="22"/>
    <n v="190801"/>
    <n v="190801"/>
    <m/>
    <n v="8"/>
    <n v="190801"/>
    <n v="104000"/>
  </r>
  <r>
    <x v="275"/>
    <x v="4"/>
    <m/>
    <x v="19"/>
    <x v="2"/>
    <x v="23"/>
    <n v="190801"/>
    <n v="190801"/>
    <m/>
    <n v="2"/>
    <n v="190801"/>
    <n v="48000"/>
  </r>
  <r>
    <x v="275"/>
    <x v="4"/>
    <m/>
    <x v="19"/>
    <x v="2"/>
    <x v="24"/>
    <n v="190801"/>
    <n v="190801"/>
    <m/>
    <n v="1"/>
    <n v="190801"/>
    <n v="33000"/>
  </r>
  <r>
    <x v="275"/>
    <x v="4"/>
    <m/>
    <x v="0"/>
    <x v="4"/>
    <x v="15"/>
    <n v="190801"/>
    <n v="190801"/>
    <m/>
    <n v="7"/>
    <n v="190801"/>
    <n v="220500"/>
  </r>
  <r>
    <x v="275"/>
    <x v="4"/>
    <m/>
    <x v="0"/>
    <x v="4"/>
    <x v="16"/>
    <n v="190801"/>
    <n v="190801"/>
    <m/>
    <n v="6"/>
    <n v="190801"/>
    <n v="264000"/>
  </r>
  <r>
    <x v="275"/>
    <x v="4"/>
    <m/>
    <x v="5"/>
    <x v="4"/>
    <x v="28"/>
    <n v="190801"/>
    <n v="190801"/>
    <m/>
    <n v="3"/>
    <n v="190801"/>
    <n v="114000"/>
  </r>
  <r>
    <x v="275"/>
    <x v="4"/>
    <m/>
    <x v="0"/>
    <x v="3"/>
    <x v="15"/>
    <n v="190801"/>
    <n v="190801"/>
    <m/>
    <n v="2"/>
    <n v="190801"/>
    <n v="0"/>
  </r>
  <r>
    <x v="275"/>
    <x v="4"/>
    <m/>
    <x v="0"/>
    <x v="9"/>
    <x v="15"/>
    <n v="190801"/>
    <n v="190801"/>
    <m/>
    <n v="1"/>
    <n v="190801"/>
    <n v="20000"/>
  </r>
  <r>
    <x v="275"/>
    <x v="4"/>
    <m/>
    <x v="5"/>
    <x v="9"/>
    <x v="28"/>
    <n v="190801"/>
    <n v="190801"/>
    <m/>
    <n v="1"/>
    <n v="190801"/>
    <n v="28000"/>
  </r>
  <r>
    <x v="276"/>
    <x v="1"/>
    <m/>
    <x v="0"/>
    <x v="1"/>
    <x v="15"/>
    <n v="190801"/>
    <n v="190801"/>
    <m/>
    <n v="1"/>
    <n v="190801"/>
    <n v="20000"/>
  </r>
  <r>
    <x v="276"/>
    <x v="1"/>
    <m/>
    <x v="0"/>
    <x v="1"/>
    <x v="16"/>
    <n v="190801"/>
    <n v="190801"/>
    <m/>
    <n v="11"/>
    <n v="190801"/>
    <n v="385000"/>
  </r>
  <r>
    <x v="276"/>
    <x v="1"/>
    <m/>
    <x v="0"/>
    <x v="7"/>
    <x v="15"/>
    <n v="190801"/>
    <n v="190801"/>
    <m/>
    <n v="15"/>
    <n v="190801"/>
    <n v="300000"/>
  </r>
  <r>
    <x v="276"/>
    <x v="1"/>
    <m/>
    <x v="6"/>
    <x v="2"/>
    <x v="37"/>
    <n v="190801"/>
    <n v="190801"/>
    <m/>
    <n v="9"/>
    <n v="190801"/>
    <n v="180000"/>
  </r>
  <r>
    <x v="276"/>
    <x v="1"/>
    <m/>
    <x v="6"/>
    <x v="2"/>
    <x v="42"/>
    <n v="190801"/>
    <n v="190801"/>
    <m/>
    <n v="5"/>
    <n v="190801"/>
    <n v="175000"/>
  </r>
  <r>
    <x v="276"/>
    <x v="1"/>
    <m/>
    <x v="19"/>
    <x v="2"/>
    <x v="38"/>
    <n v="190801"/>
    <n v="190801"/>
    <m/>
    <n v="3"/>
    <n v="190801"/>
    <n v="30000"/>
  </r>
  <r>
    <x v="276"/>
    <x v="1"/>
    <m/>
    <x v="29"/>
    <x v="2"/>
    <x v="40"/>
    <n v="190801"/>
    <n v="190801"/>
    <m/>
    <n v="3"/>
    <n v="190801"/>
    <n v="105000"/>
  </r>
  <r>
    <x v="276"/>
    <x v="1"/>
    <m/>
    <x v="29"/>
    <x v="2"/>
    <x v="41"/>
    <n v="190801"/>
    <n v="190801"/>
    <m/>
    <n v="10"/>
    <n v="190801"/>
    <n v="450000"/>
  </r>
  <r>
    <x v="276"/>
    <x v="1"/>
    <m/>
    <x v="25"/>
    <x v="2"/>
    <x v="34"/>
    <n v="190801"/>
    <n v="190801"/>
    <m/>
    <n v="5"/>
    <n v="190801"/>
    <n v="495000"/>
  </r>
  <r>
    <x v="276"/>
    <x v="1"/>
    <m/>
    <x v="1"/>
    <x v="2"/>
    <x v="18"/>
    <n v="190801"/>
    <n v="190801"/>
    <m/>
    <n v="2"/>
    <n v="190801"/>
    <n v="40000"/>
  </r>
  <r>
    <x v="276"/>
    <x v="1"/>
    <m/>
    <x v="4"/>
    <x v="2"/>
    <x v="26"/>
    <n v="190801"/>
    <n v="190801"/>
    <m/>
    <n v="6"/>
    <n v="190801"/>
    <n v="24000"/>
  </r>
  <r>
    <x v="276"/>
    <x v="1"/>
    <m/>
    <x v="4"/>
    <x v="2"/>
    <x v="27"/>
    <n v="190801"/>
    <n v="190801"/>
    <m/>
    <n v="2"/>
    <n v="190801"/>
    <n v="40000"/>
  </r>
  <r>
    <x v="276"/>
    <x v="1"/>
    <m/>
    <x v="0"/>
    <x v="2"/>
    <x v="15"/>
    <n v="190801"/>
    <n v="190801"/>
    <m/>
    <n v="69"/>
    <n v="190801"/>
    <n v="1380000"/>
  </r>
  <r>
    <x v="276"/>
    <x v="1"/>
    <m/>
    <x v="0"/>
    <x v="2"/>
    <x v="16"/>
    <n v="190801"/>
    <n v="190801"/>
    <m/>
    <n v="58"/>
    <n v="190801"/>
    <n v="2030000"/>
  </r>
  <r>
    <x v="276"/>
    <x v="1"/>
    <m/>
    <x v="0"/>
    <x v="2"/>
    <x v="17"/>
    <n v="190801"/>
    <n v="190801"/>
    <m/>
    <n v="84"/>
    <n v="190801"/>
    <n v="2772000"/>
  </r>
  <r>
    <x v="276"/>
    <x v="1"/>
    <m/>
    <x v="0"/>
    <x v="2"/>
    <x v="19"/>
    <n v="190801"/>
    <n v="190801"/>
    <m/>
    <n v="90"/>
    <n v="190801"/>
    <n v="270000"/>
  </r>
  <r>
    <x v="276"/>
    <x v="1"/>
    <m/>
    <x v="5"/>
    <x v="2"/>
    <x v="28"/>
    <n v="190801"/>
    <n v="190801"/>
    <m/>
    <n v="23"/>
    <n v="190801"/>
    <n v="644000"/>
  </r>
  <r>
    <x v="276"/>
    <x v="1"/>
    <m/>
    <x v="22"/>
    <x v="2"/>
    <x v="29"/>
    <n v="190801"/>
    <n v="190801"/>
    <m/>
    <n v="8"/>
    <n v="190801"/>
    <n v="304000"/>
  </r>
  <r>
    <x v="276"/>
    <x v="1"/>
    <m/>
    <x v="19"/>
    <x v="2"/>
    <x v="22"/>
    <n v="190801"/>
    <n v="190801"/>
    <m/>
    <n v="9"/>
    <n v="190801"/>
    <n v="117000"/>
  </r>
  <r>
    <x v="276"/>
    <x v="1"/>
    <m/>
    <x v="19"/>
    <x v="2"/>
    <x v="23"/>
    <n v="190801"/>
    <n v="190801"/>
    <m/>
    <n v="1"/>
    <n v="190801"/>
    <n v="24000"/>
  </r>
  <r>
    <x v="276"/>
    <x v="1"/>
    <m/>
    <x v="19"/>
    <x v="2"/>
    <x v="24"/>
    <n v="190801"/>
    <n v="190801"/>
    <m/>
    <n v="2"/>
    <n v="190801"/>
    <n v="66000"/>
  </r>
  <r>
    <x v="276"/>
    <x v="1"/>
    <m/>
    <x v="0"/>
    <x v="4"/>
    <x v="15"/>
    <n v="190801"/>
    <n v="190801"/>
    <m/>
    <n v="7"/>
    <n v="190801"/>
    <n v="220500"/>
  </r>
  <r>
    <x v="276"/>
    <x v="1"/>
    <m/>
    <x v="0"/>
    <x v="4"/>
    <x v="16"/>
    <n v="190801"/>
    <n v="190801"/>
    <m/>
    <n v="6"/>
    <n v="190801"/>
    <n v="264000"/>
  </r>
  <r>
    <x v="276"/>
    <x v="1"/>
    <m/>
    <x v="5"/>
    <x v="4"/>
    <x v="28"/>
    <n v="190801"/>
    <n v="190801"/>
    <m/>
    <n v="4"/>
    <n v="190801"/>
    <n v="152000"/>
  </r>
  <r>
    <x v="276"/>
    <x v="1"/>
    <m/>
    <x v="6"/>
    <x v="3"/>
    <x v="37"/>
    <n v="190801"/>
    <n v="190801"/>
    <m/>
    <n v="2"/>
    <n v="190801"/>
    <n v="0"/>
  </r>
  <r>
    <x v="276"/>
    <x v="1"/>
    <m/>
    <x v="0"/>
    <x v="9"/>
    <x v="15"/>
    <n v="190801"/>
    <n v="190801"/>
    <m/>
    <n v="5"/>
    <n v="190801"/>
    <n v="100000"/>
  </r>
  <r>
    <x v="277"/>
    <x v="0"/>
    <m/>
    <x v="0"/>
    <x v="1"/>
    <x v="15"/>
    <n v="190801"/>
    <n v="190801"/>
    <m/>
    <n v="2"/>
    <n v="190801"/>
    <n v="40000"/>
  </r>
  <r>
    <x v="277"/>
    <x v="0"/>
    <m/>
    <x v="0"/>
    <x v="1"/>
    <x v="16"/>
    <n v="190801"/>
    <n v="190801"/>
    <m/>
    <n v="5"/>
    <n v="190801"/>
    <n v="175000"/>
  </r>
  <r>
    <x v="277"/>
    <x v="0"/>
    <m/>
    <x v="19"/>
    <x v="5"/>
    <x v="50"/>
    <n v="190801"/>
    <n v="190801"/>
    <m/>
    <n v="10"/>
    <n v="190801"/>
    <n v="72000"/>
  </r>
  <r>
    <x v="277"/>
    <x v="0"/>
    <m/>
    <x v="0"/>
    <x v="7"/>
    <x v="15"/>
    <n v="190801"/>
    <n v="190801"/>
    <m/>
    <n v="1"/>
    <n v="190801"/>
    <n v="20000"/>
  </r>
  <r>
    <x v="277"/>
    <x v="0"/>
    <m/>
    <x v="6"/>
    <x v="2"/>
    <x v="37"/>
    <n v="190801"/>
    <n v="190801"/>
    <m/>
    <n v="7"/>
    <n v="190801"/>
    <n v="140000"/>
  </r>
  <r>
    <x v="277"/>
    <x v="0"/>
    <m/>
    <x v="6"/>
    <x v="2"/>
    <x v="42"/>
    <n v="190801"/>
    <n v="190801"/>
    <m/>
    <n v="4"/>
    <n v="190801"/>
    <n v="140000"/>
  </r>
  <r>
    <x v="277"/>
    <x v="0"/>
    <m/>
    <x v="19"/>
    <x v="2"/>
    <x v="38"/>
    <n v="190801"/>
    <n v="190801"/>
    <m/>
    <n v="6"/>
    <n v="190801"/>
    <n v="60000"/>
  </r>
  <r>
    <x v="277"/>
    <x v="0"/>
    <m/>
    <x v="29"/>
    <x v="2"/>
    <x v="40"/>
    <n v="190801"/>
    <n v="190801"/>
    <m/>
    <n v="4"/>
    <n v="190801"/>
    <n v="140000"/>
  </r>
  <r>
    <x v="277"/>
    <x v="0"/>
    <m/>
    <x v="29"/>
    <x v="2"/>
    <x v="41"/>
    <n v="190801"/>
    <n v="190801"/>
    <m/>
    <n v="4"/>
    <n v="190801"/>
    <n v="180000"/>
  </r>
  <r>
    <x v="277"/>
    <x v="0"/>
    <m/>
    <x v="1"/>
    <x v="2"/>
    <x v="18"/>
    <n v="190801"/>
    <n v="190801"/>
    <m/>
    <n v="4"/>
    <n v="190801"/>
    <n v="80000"/>
  </r>
  <r>
    <x v="277"/>
    <x v="0"/>
    <m/>
    <x v="1"/>
    <x v="2"/>
    <x v="21"/>
    <n v="190801"/>
    <n v="190801"/>
    <m/>
    <n v="1"/>
    <n v="190801"/>
    <n v="35000"/>
  </r>
  <r>
    <x v="277"/>
    <x v="0"/>
    <m/>
    <x v="4"/>
    <x v="2"/>
    <x v="26"/>
    <n v="190801"/>
    <n v="190801"/>
    <m/>
    <n v="2"/>
    <n v="190801"/>
    <n v="8000"/>
  </r>
  <r>
    <x v="277"/>
    <x v="0"/>
    <m/>
    <x v="4"/>
    <x v="2"/>
    <x v="27"/>
    <n v="190801"/>
    <n v="190801"/>
    <m/>
    <n v="3"/>
    <n v="190801"/>
    <n v="60000"/>
  </r>
  <r>
    <x v="277"/>
    <x v="0"/>
    <m/>
    <x v="0"/>
    <x v="2"/>
    <x v="15"/>
    <n v="190801"/>
    <n v="190801"/>
    <m/>
    <n v="56"/>
    <n v="190801"/>
    <n v="1120000"/>
  </r>
  <r>
    <x v="277"/>
    <x v="0"/>
    <m/>
    <x v="0"/>
    <x v="2"/>
    <x v="16"/>
    <n v="190801"/>
    <n v="190801"/>
    <m/>
    <n v="40"/>
    <n v="190801"/>
    <n v="1400000"/>
  </r>
  <r>
    <x v="277"/>
    <x v="0"/>
    <m/>
    <x v="0"/>
    <x v="2"/>
    <x v="17"/>
    <n v="190801"/>
    <n v="190801"/>
    <m/>
    <n v="68"/>
    <n v="190801"/>
    <n v="2244000"/>
  </r>
  <r>
    <x v="277"/>
    <x v="0"/>
    <m/>
    <x v="0"/>
    <x v="2"/>
    <x v="19"/>
    <n v="190801"/>
    <n v="190801"/>
    <m/>
    <n v="60"/>
    <n v="190801"/>
    <n v="180000"/>
  </r>
  <r>
    <x v="277"/>
    <x v="0"/>
    <m/>
    <x v="5"/>
    <x v="2"/>
    <x v="28"/>
    <n v="190801"/>
    <n v="190801"/>
    <m/>
    <n v="21"/>
    <n v="190801"/>
    <n v="588000"/>
  </r>
  <r>
    <x v="277"/>
    <x v="0"/>
    <m/>
    <x v="22"/>
    <x v="2"/>
    <x v="29"/>
    <n v="190801"/>
    <n v="190801"/>
    <m/>
    <n v="2"/>
    <n v="190801"/>
    <n v="76000"/>
  </r>
  <r>
    <x v="277"/>
    <x v="0"/>
    <m/>
    <x v="19"/>
    <x v="2"/>
    <x v="22"/>
    <n v="190801"/>
    <n v="190801"/>
    <m/>
    <n v="8"/>
    <n v="190801"/>
    <n v="104000"/>
  </r>
  <r>
    <x v="277"/>
    <x v="0"/>
    <m/>
    <x v="19"/>
    <x v="2"/>
    <x v="23"/>
    <n v="190801"/>
    <n v="190801"/>
    <m/>
    <n v="1"/>
    <n v="190801"/>
    <n v="24000"/>
  </r>
  <r>
    <x v="277"/>
    <x v="0"/>
    <m/>
    <x v="19"/>
    <x v="2"/>
    <x v="24"/>
    <n v="190801"/>
    <n v="190801"/>
    <m/>
    <n v="1"/>
    <n v="190801"/>
    <n v="33000"/>
  </r>
  <r>
    <x v="277"/>
    <x v="0"/>
    <m/>
    <x v="0"/>
    <x v="4"/>
    <x v="15"/>
    <n v="190801"/>
    <n v="190801"/>
    <m/>
    <n v="8"/>
    <n v="190801"/>
    <n v="252000"/>
  </r>
  <r>
    <x v="277"/>
    <x v="0"/>
    <m/>
    <x v="0"/>
    <x v="4"/>
    <x v="16"/>
    <n v="190801"/>
    <n v="190801"/>
    <m/>
    <n v="8"/>
    <n v="190801"/>
    <n v="352000"/>
  </r>
  <r>
    <x v="277"/>
    <x v="0"/>
    <m/>
    <x v="5"/>
    <x v="4"/>
    <x v="28"/>
    <n v="190801"/>
    <n v="190801"/>
    <m/>
    <n v="1"/>
    <n v="190801"/>
    <n v="38000"/>
  </r>
  <r>
    <x v="277"/>
    <x v="0"/>
    <m/>
    <x v="6"/>
    <x v="3"/>
    <x v="37"/>
    <n v="190801"/>
    <n v="190801"/>
    <m/>
    <n v="5"/>
    <n v="190801"/>
    <n v="0"/>
  </r>
  <r>
    <x v="277"/>
    <x v="0"/>
    <m/>
    <x v="0"/>
    <x v="9"/>
    <x v="15"/>
    <n v="190801"/>
    <n v="190801"/>
    <m/>
    <n v="2"/>
    <n v="190801"/>
    <n v="40000"/>
  </r>
  <r>
    <x v="278"/>
    <x v="2"/>
    <m/>
    <x v="0"/>
    <x v="1"/>
    <x v="15"/>
    <n v="190801"/>
    <n v="190801"/>
    <m/>
    <n v="2"/>
    <n v="190801"/>
    <n v="40000"/>
  </r>
  <r>
    <x v="278"/>
    <x v="2"/>
    <m/>
    <x v="0"/>
    <x v="1"/>
    <x v="16"/>
    <n v="190801"/>
    <n v="190801"/>
    <m/>
    <n v="5"/>
    <n v="190801"/>
    <n v="175000"/>
  </r>
  <r>
    <x v="278"/>
    <x v="2"/>
    <m/>
    <x v="0"/>
    <x v="7"/>
    <x v="15"/>
    <n v="190801"/>
    <n v="190801"/>
    <m/>
    <n v="21"/>
    <n v="190801"/>
    <n v="420000"/>
  </r>
  <r>
    <x v="278"/>
    <x v="2"/>
    <m/>
    <x v="6"/>
    <x v="2"/>
    <x v="37"/>
    <n v="190801"/>
    <n v="190801"/>
    <m/>
    <n v="2"/>
    <n v="190801"/>
    <n v="40000"/>
  </r>
  <r>
    <x v="278"/>
    <x v="2"/>
    <m/>
    <x v="6"/>
    <x v="2"/>
    <x v="42"/>
    <n v="190801"/>
    <n v="190801"/>
    <m/>
    <n v="2"/>
    <n v="190801"/>
    <n v="70000"/>
  </r>
  <r>
    <x v="278"/>
    <x v="2"/>
    <m/>
    <x v="29"/>
    <x v="2"/>
    <x v="40"/>
    <n v="190801"/>
    <n v="190801"/>
    <m/>
    <n v="2"/>
    <n v="190801"/>
    <n v="70000"/>
  </r>
  <r>
    <x v="278"/>
    <x v="2"/>
    <m/>
    <x v="29"/>
    <x v="2"/>
    <x v="41"/>
    <n v="190801"/>
    <n v="190801"/>
    <m/>
    <n v="2"/>
    <n v="190801"/>
    <n v="90000"/>
  </r>
  <r>
    <x v="278"/>
    <x v="2"/>
    <m/>
    <x v="25"/>
    <x v="2"/>
    <x v="34"/>
    <n v="190801"/>
    <n v="190801"/>
    <m/>
    <n v="6"/>
    <n v="190801"/>
    <n v="594000"/>
  </r>
  <r>
    <x v="278"/>
    <x v="2"/>
    <m/>
    <x v="1"/>
    <x v="2"/>
    <x v="18"/>
    <n v="190801"/>
    <n v="190801"/>
    <m/>
    <n v="4"/>
    <n v="190801"/>
    <n v="80000"/>
  </r>
  <r>
    <x v="278"/>
    <x v="2"/>
    <m/>
    <x v="4"/>
    <x v="2"/>
    <x v="26"/>
    <n v="190801"/>
    <n v="190801"/>
    <m/>
    <n v="3"/>
    <n v="190801"/>
    <n v="12000"/>
  </r>
  <r>
    <x v="278"/>
    <x v="2"/>
    <m/>
    <x v="0"/>
    <x v="2"/>
    <x v="15"/>
    <n v="190801"/>
    <n v="190801"/>
    <m/>
    <n v="49"/>
    <n v="190801"/>
    <n v="980000"/>
  </r>
  <r>
    <x v="278"/>
    <x v="2"/>
    <m/>
    <x v="0"/>
    <x v="2"/>
    <x v="16"/>
    <n v="190801"/>
    <n v="190801"/>
    <m/>
    <n v="52"/>
    <n v="190801"/>
    <n v="1820000"/>
  </r>
  <r>
    <x v="278"/>
    <x v="2"/>
    <m/>
    <x v="0"/>
    <x v="2"/>
    <x v="17"/>
    <n v="190801"/>
    <n v="190801"/>
    <m/>
    <n v="44"/>
    <n v="190801"/>
    <n v="1452000"/>
  </r>
  <r>
    <x v="278"/>
    <x v="2"/>
    <m/>
    <x v="0"/>
    <x v="2"/>
    <x v="19"/>
    <n v="190801"/>
    <n v="190801"/>
    <m/>
    <n v="38"/>
    <n v="190801"/>
    <n v="114000"/>
  </r>
  <r>
    <x v="278"/>
    <x v="2"/>
    <m/>
    <x v="5"/>
    <x v="2"/>
    <x v="28"/>
    <n v="190801"/>
    <n v="190801"/>
    <m/>
    <n v="10"/>
    <n v="190801"/>
    <n v="280000"/>
  </r>
  <r>
    <x v="278"/>
    <x v="2"/>
    <m/>
    <x v="22"/>
    <x v="2"/>
    <x v="29"/>
    <n v="190801"/>
    <n v="190801"/>
    <m/>
    <n v="3"/>
    <n v="190801"/>
    <n v="114000"/>
  </r>
  <r>
    <x v="278"/>
    <x v="2"/>
    <m/>
    <x v="19"/>
    <x v="2"/>
    <x v="22"/>
    <n v="190801"/>
    <n v="190801"/>
    <m/>
    <n v="6"/>
    <n v="190801"/>
    <n v="78000"/>
  </r>
  <r>
    <x v="278"/>
    <x v="2"/>
    <m/>
    <x v="19"/>
    <x v="2"/>
    <x v="23"/>
    <n v="190801"/>
    <n v="190801"/>
    <m/>
    <n v="2"/>
    <n v="190801"/>
    <n v="48000"/>
  </r>
  <r>
    <x v="278"/>
    <x v="2"/>
    <m/>
    <x v="19"/>
    <x v="2"/>
    <x v="24"/>
    <n v="190801"/>
    <n v="190801"/>
    <m/>
    <n v="1"/>
    <n v="190801"/>
    <n v="33000"/>
  </r>
  <r>
    <x v="278"/>
    <x v="2"/>
    <m/>
    <x v="0"/>
    <x v="4"/>
    <x v="15"/>
    <n v="190801"/>
    <n v="190801"/>
    <m/>
    <n v="12"/>
    <n v="190801"/>
    <n v="378000"/>
  </r>
  <r>
    <x v="278"/>
    <x v="2"/>
    <m/>
    <x v="0"/>
    <x v="4"/>
    <x v="16"/>
    <n v="190801"/>
    <n v="190801"/>
    <m/>
    <n v="7"/>
    <n v="190801"/>
    <n v="308000"/>
  </r>
  <r>
    <x v="278"/>
    <x v="2"/>
    <m/>
    <x v="5"/>
    <x v="4"/>
    <x v="28"/>
    <n v="190801"/>
    <n v="190801"/>
    <m/>
    <n v="3"/>
    <n v="190801"/>
    <n v="114000"/>
  </r>
  <r>
    <x v="278"/>
    <x v="2"/>
    <m/>
    <x v="0"/>
    <x v="3"/>
    <x v="15"/>
    <n v="190801"/>
    <n v="190801"/>
    <m/>
    <n v="2"/>
    <n v="190801"/>
    <n v="0"/>
  </r>
  <r>
    <x v="278"/>
    <x v="2"/>
    <m/>
    <x v="18"/>
    <x v="3"/>
    <x v="19"/>
    <n v="190801"/>
    <n v="190801"/>
    <m/>
    <n v="2"/>
    <n v="190801"/>
    <n v="0"/>
  </r>
  <r>
    <x v="278"/>
    <x v="2"/>
    <m/>
    <x v="6"/>
    <x v="3"/>
    <x v="37"/>
    <n v="190801"/>
    <n v="190801"/>
    <m/>
    <n v="1"/>
    <n v="190801"/>
    <n v="0"/>
  </r>
  <r>
    <x v="278"/>
    <x v="2"/>
    <m/>
    <x v="0"/>
    <x v="9"/>
    <x v="15"/>
    <n v="190801"/>
    <n v="190801"/>
    <m/>
    <n v="5"/>
    <n v="190801"/>
    <n v="100000"/>
  </r>
  <r>
    <x v="279"/>
    <x v="5"/>
    <m/>
    <x v="0"/>
    <x v="7"/>
    <x v="15"/>
    <n v="190801"/>
    <n v="190801"/>
    <m/>
    <n v="13"/>
    <n v="190801"/>
    <n v="260000"/>
  </r>
  <r>
    <x v="279"/>
    <x v="5"/>
    <m/>
    <x v="6"/>
    <x v="2"/>
    <x v="37"/>
    <n v="190801"/>
    <n v="190801"/>
    <m/>
    <n v="2"/>
    <n v="190801"/>
    <n v="40000"/>
  </r>
  <r>
    <x v="279"/>
    <x v="5"/>
    <m/>
    <x v="6"/>
    <x v="2"/>
    <x v="42"/>
    <n v="190801"/>
    <n v="190801"/>
    <m/>
    <n v="1"/>
    <n v="190801"/>
    <n v="35000"/>
  </r>
  <r>
    <x v="279"/>
    <x v="5"/>
    <m/>
    <x v="19"/>
    <x v="2"/>
    <x v="38"/>
    <n v="190801"/>
    <n v="190801"/>
    <m/>
    <n v="1"/>
    <n v="190801"/>
    <n v="10000"/>
  </r>
  <r>
    <x v="279"/>
    <x v="5"/>
    <m/>
    <x v="29"/>
    <x v="2"/>
    <x v="41"/>
    <n v="190801"/>
    <n v="190801"/>
    <m/>
    <n v="1"/>
    <n v="190801"/>
    <n v="45000"/>
  </r>
  <r>
    <x v="279"/>
    <x v="5"/>
    <m/>
    <x v="25"/>
    <x v="2"/>
    <x v="34"/>
    <n v="190801"/>
    <n v="190801"/>
    <m/>
    <n v="3"/>
    <n v="190801"/>
    <n v="297000"/>
  </r>
  <r>
    <x v="279"/>
    <x v="5"/>
    <m/>
    <x v="1"/>
    <x v="2"/>
    <x v="18"/>
    <n v="190801"/>
    <n v="190801"/>
    <m/>
    <n v="2"/>
    <n v="190801"/>
    <n v="40000"/>
  </r>
  <r>
    <x v="279"/>
    <x v="5"/>
    <m/>
    <x v="1"/>
    <x v="2"/>
    <x v="21"/>
    <n v="190801"/>
    <n v="190801"/>
    <m/>
    <n v="1"/>
    <n v="190801"/>
    <n v="35000"/>
  </r>
  <r>
    <x v="279"/>
    <x v="5"/>
    <m/>
    <x v="4"/>
    <x v="2"/>
    <x v="26"/>
    <n v="190801"/>
    <n v="190801"/>
    <m/>
    <n v="2"/>
    <n v="190801"/>
    <n v="8000"/>
  </r>
  <r>
    <x v="279"/>
    <x v="5"/>
    <m/>
    <x v="4"/>
    <x v="2"/>
    <x v="27"/>
    <n v="190801"/>
    <n v="190801"/>
    <m/>
    <n v="4"/>
    <n v="190801"/>
    <n v="80000"/>
  </r>
  <r>
    <x v="279"/>
    <x v="5"/>
    <m/>
    <x v="0"/>
    <x v="2"/>
    <x v="15"/>
    <n v="190801"/>
    <n v="190801"/>
    <m/>
    <n v="43"/>
    <n v="190801"/>
    <n v="860000"/>
  </r>
  <r>
    <x v="279"/>
    <x v="5"/>
    <m/>
    <x v="0"/>
    <x v="2"/>
    <x v="16"/>
    <n v="190801"/>
    <n v="190801"/>
    <m/>
    <n v="24"/>
    <n v="190801"/>
    <n v="840000"/>
  </r>
  <r>
    <x v="279"/>
    <x v="5"/>
    <m/>
    <x v="0"/>
    <x v="2"/>
    <x v="17"/>
    <n v="190801"/>
    <n v="190801"/>
    <m/>
    <n v="38"/>
    <n v="190801"/>
    <n v="1254000"/>
  </r>
  <r>
    <x v="279"/>
    <x v="5"/>
    <m/>
    <x v="0"/>
    <x v="2"/>
    <x v="19"/>
    <n v="190801"/>
    <n v="190801"/>
    <m/>
    <n v="30"/>
    <n v="190801"/>
    <n v="90000"/>
  </r>
  <r>
    <x v="279"/>
    <x v="5"/>
    <m/>
    <x v="5"/>
    <x v="2"/>
    <x v="28"/>
    <n v="190801"/>
    <n v="190801"/>
    <m/>
    <n v="10"/>
    <n v="190801"/>
    <n v="280000"/>
  </r>
  <r>
    <x v="279"/>
    <x v="5"/>
    <m/>
    <x v="22"/>
    <x v="2"/>
    <x v="29"/>
    <n v="190801"/>
    <n v="190801"/>
    <m/>
    <n v="2"/>
    <n v="190801"/>
    <n v="76000"/>
  </r>
  <r>
    <x v="279"/>
    <x v="5"/>
    <m/>
    <x v="19"/>
    <x v="2"/>
    <x v="22"/>
    <n v="190801"/>
    <n v="190801"/>
    <m/>
    <n v="1"/>
    <n v="190801"/>
    <n v="13000"/>
  </r>
  <r>
    <x v="279"/>
    <x v="5"/>
    <m/>
    <x v="19"/>
    <x v="2"/>
    <x v="23"/>
    <n v="190801"/>
    <n v="190801"/>
    <m/>
    <n v="1"/>
    <n v="190801"/>
    <n v="24000"/>
  </r>
  <r>
    <x v="279"/>
    <x v="5"/>
    <m/>
    <x v="0"/>
    <x v="9"/>
    <x v="15"/>
    <n v="190801"/>
    <n v="190801"/>
    <m/>
    <n v="2"/>
    <n v="190801"/>
    <n v="40000"/>
  </r>
  <r>
    <x v="280"/>
    <x v="6"/>
    <m/>
    <x v="0"/>
    <x v="7"/>
    <x v="15"/>
    <n v="190801"/>
    <n v="190801"/>
    <m/>
    <n v="22"/>
    <n v="190801"/>
    <n v="440000"/>
  </r>
  <r>
    <x v="280"/>
    <x v="6"/>
    <m/>
    <x v="6"/>
    <x v="2"/>
    <x v="37"/>
    <n v="190801"/>
    <n v="190801"/>
    <m/>
    <n v="4"/>
    <n v="190801"/>
    <n v="80000"/>
  </r>
  <r>
    <x v="280"/>
    <x v="6"/>
    <m/>
    <x v="6"/>
    <x v="2"/>
    <x v="42"/>
    <n v="190801"/>
    <n v="190801"/>
    <m/>
    <n v="2"/>
    <n v="190801"/>
    <n v="70000"/>
  </r>
  <r>
    <x v="280"/>
    <x v="6"/>
    <m/>
    <x v="19"/>
    <x v="2"/>
    <x v="38"/>
    <n v="190801"/>
    <n v="190801"/>
    <m/>
    <n v="1"/>
    <n v="190801"/>
    <n v="10000"/>
  </r>
  <r>
    <x v="280"/>
    <x v="6"/>
    <m/>
    <x v="29"/>
    <x v="2"/>
    <x v="40"/>
    <n v="190801"/>
    <n v="190801"/>
    <m/>
    <n v="1"/>
    <n v="190801"/>
    <n v="35000"/>
  </r>
  <r>
    <x v="280"/>
    <x v="6"/>
    <m/>
    <x v="29"/>
    <x v="2"/>
    <x v="41"/>
    <n v="190801"/>
    <n v="190801"/>
    <m/>
    <n v="5"/>
    <n v="190801"/>
    <n v="225000"/>
  </r>
  <r>
    <x v="280"/>
    <x v="6"/>
    <m/>
    <x v="25"/>
    <x v="2"/>
    <x v="34"/>
    <n v="190801"/>
    <n v="190801"/>
    <m/>
    <n v="3"/>
    <n v="190801"/>
    <n v="297000"/>
  </r>
  <r>
    <x v="280"/>
    <x v="6"/>
    <m/>
    <x v="1"/>
    <x v="2"/>
    <x v="18"/>
    <n v="190801"/>
    <n v="190801"/>
    <m/>
    <n v="2"/>
    <n v="190801"/>
    <n v="40000"/>
  </r>
  <r>
    <x v="280"/>
    <x v="6"/>
    <m/>
    <x v="1"/>
    <x v="2"/>
    <x v="21"/>
    <n v="190801"/>
    <n v="190801"/>
    <m/>
    <n v="2"/>
    <n v="190801"/>
    <n v="70000"/>
  </r>
  <r>
    <x v="280"/>
    <x v="6"/>
    <m/>
    <x v="4"/>
    <x v="2"/>
    <x v="26"/>
    <n v="190801"/>
    <n v="190801"/>
    <m/>
    <n v="4"/>
    <n v="190801"/>
    <n v="16000"/>
  </r>
  <r>
    <x v="280"/>
    <x v="6"/>
    <m/>
    <x v="4"/>
    <x v="2"/>
    <x v="27"/>
    <n v="190801"/>
    <n v="190801"/>
    <m/>
    <n v="4"/>
    <n v="190801"/>
    <n v="80000"/>
  </r>
  <r>
    <x v="280"/>
    <x v="6"/>
    <m/>
    <x v="0"/>
    <x v="2"/>
    <x v="15"/>
    <n v="190801"/>
    <n v="190801"/>
    <m/>
    <n v="59"/>
    <n v="190801"/>
    <n v="1180000"/>
  </r>
  <r>
    <x v="280"/>
    <x v="6"/>
    <m/>
    <x v="0"/>
    <x v="2"/>
    <x v="16"/>
    <n v="190801"/>
    <n v="190801"/>
    <m/>
    <n v="51"/>
    <n v="190801"/>
    <n v="1785000"/>
  </r>
  <r>
    <x v="280"/>
    <x v="6"/>
    <m/>
    <x v="0"/>
    <x v="2"/>
    <x v="17"/>
    <n v="190801"/>
    <n v="190801"/>
    <m/>
    <n v="53"/>
    <n v="190801"/>
    <n v="1749000"/>
  </r>
  <r>
    <x v="280"/>
    <x v="6"/>
    <m/>
    <x v="0"/>
    <x v="2"/>
    <x v="19"/>
    <n v="190801"/>
    <n v="190801"/>
    <m/>
    <n v="66"/>
    <n v="190801"/>
    <n v="198000"/>
  </r>
  <r>
    <x v="280"/>
    <x v="6"/>
    <m/>
    <x v="5"/>
    <x v="2"/>
    <x v="28"/>
    <n v="190801"/>
    <n v="190801"/>
    <m/>
    <n v="10"/>
    <n v="190801"/>
    <n v="280000"/>
  </r>
  <r>
    <x v="280"/>
    <x v="6"/>
    <m/>
    <x v="22"/>
    <x v="2"/>
    <x v="29"/>
    <n v="190801"/>
    <n v="190801"/>
    <m/>
    <n v="2"/>
    <n v="190801"/>
    <n v="76000"/>
  </r>
  <r>
    <x v="280"/>
    <x v="6"/>
    <m/>
    <x v="19"/>
    <x v="2"/>
    <x v="22"/>
    <n v="190801"/>
    <n v="190801"/>
    <m/>
    <n v="10"/>
    <n v="190801"/>
    <n v="130000"/>
  </r>
  <r>
    <x v="280"/>
    <x v="6"/>
    <m/>
    <x v="19"/>
    <x v="2"/>
    <x v="23"/>
    <n v="190801"/>
    <n v="190801"/>
    <m/>
    <n v="2"/>
    <n v="190801"/>
    <n v="48000"/>
  </r>
  <r>
    <x v="280"/>
    <x v="6"/>
    <m/>
    <x v="0"/>
    <x v="9"/>
    <x v="15"/>
    <n v="190801"/>
    <n v="190801"/>
    <m/>
    <n v="6"/>
    <n v="190801"/>
    <n v="120000"/>
  </r>
  <r>
    <x v="280"/>
    <x v="6"/>
    <m/>
    <x v="0"/>
    <x v="6"/>
    <x v="15"/>
    <n v="190801"/>
    <n v="190801"/>
    <m/>
    <n v="640"/>
    <n v="190801"/>
    <n v="5803520"/>
  </r>
  <r>
    <x v="280"/>
    <x v="6"/>
    <m/>
    <x v="0"/>
    <x v="6"/>
    <x v="17"/>
    <n v="190801"/>
    <n v="190801"/>
    <m/>
    <n v="7"/>
    <n v="190801"/>
    <n v="110726"/>
  </r>
  <r>
    <x v="280"/>
    <x v="6"/>
    <m/>
    <x v="4"/>
    <x v="6"/>
    <x v="26"/>
    <n v="190801"/>
    <n v="190801"/>
    <m/>
    <n v="523"/>
    <n v="190801"/>
    <n v="561179"/>
  </r>
  <r>
    <x v="280"/>
    <x v="6"/>
    <m/>
    <x v="26"/>
    <x v="6"/>
    <x v="35"/>
    <n v="190801"/>
    <n v="190801"/>
    <m/>
    <n v="82"/>
    <n v="190801"/>
    <n v="1404742"/>
  </r>
  <r>
    <x v="280"/>
    <x v="6"/>
    <m/>
    <x v="22"/>
    <x v="6"/>
    <x v="29"/>
    <n v="190801"/>
    <n v="190801"/>
    <m/>
    <n v="17"/>
    <n v="190801"/>
    <n v="334747"/>
  </r>
  <r>
    <x v="280"/>
    <x v="6"/>
    <m/>
    <x v="24"/>
    <x v="6"/>
    <x v="31"/>
    <n v="190801"/>
    <n v="190801"/>
    <m/>
    <n v="73"/>
    <n v="190801"/>
    <n v="1086021"/>
  </r>
  <r>
    <x v="280"/>
    <x v="6"/>
    <m/>
    <x v="23"/>
    <x v="6"/>
    <x v="30"/>
    <n v="190801"/>
    <n v="190801"/>
    <m/>
    <n v="156"/>
    <n v="190801"/>
    <n v="1086384"/>
  </r>
  <r>
    <x v="280"/>
    <x v="6"/>
    <m/>
    <x v="19"/>
    <x v="6"/>
    <x v="22"/>
    <n v="190801"/>
    <n v="190801"/>
    <m/>
    <n v="7"/>
    <n v="190801"/>
    <n v="47537"/>
  </r>
  <r>
    <x v="280"/>
    <x v="6"/>
    <m/>
    <x v="27"/>
    <x v="6"/>
    <x v="36"/>
    <n v="190801"/>
    <n v="190801"/>
    <m/>
    <n v="168"/>
    <n v="190801"/>
    <n v="1588776"/>
  </r>
  <r>
    <x v="280"/>
    <x v="6"/>
    <m/>
    <x v="6"/>
    <x v="6"/>
    <x v="37"/>
    <n v="190801"/>
    <n v="190801"/>
    <m/>
    <n v="38"/>
    <n v="190801"/>
    <n v="380000"/>
  </r>
  <r>
    <x v="280"/>
    <x v="6"/>
    <m/>
    <x v="28"/>
    <x v="6"/>
    <x v="39"/>
    <n v="190801"/>
    <n v="190801"/>
    <m/>
    <n v="32"/>
    <n v="190801"/>
    <n v="506176"/>
  </r>
  <r>
    <x v="280"/>
    <x v="6"/>
    <m/>
    <x v="20"/>
    <x v="6"/>
    <x v="25"/>
    <n v="190801"/>
    <n v="190801"/>
    <m/>
    <n v="1"/>
    <n v="190801"/>
    <n v="9716"/>
  </r>
  <r>
    <x v="281"/>
    <x v="3"/>
    <m/>
    <x v="0"/>
    <x v="1"/>
    <x v="15"/>
    <n v="190801"/>
    <n v="190801"/>
    <m/>
    <n v="2"/>
    <n v="190801"/>
    <n v="40000"/>
  </r>
  <r>
    <x v="281"/>
    <x v="3"/>
    <m/>
    <x v="0"/>
    <x v="1"/>
    <x v="16"/>
    <n v="190801"/>
    <n v="190801"/>
    <m/>
    <n v="14"/>
    <n v="190801"/>
    <n v="490000"/>
  </r>
  <r>
    <x v="281"/>
    <x v="3"/>
    <m/>
    <x v="0"/>
    <x v="7"/>
    <x v="15"/>
    <n v="190801"/>
    <n v="190801"/>
    <m/>
    <n v="16"/>
    <n v="190801"/>
    <n v="320000"/>
  </r>
  <r>
    <x v="281"/>
    <x v="3"/>
    <m/>
    <x v="6"/>
    <x v="2"/>
    <x v="37"/>
    <n v="190801"/>
    <n v="190801"/>
    <m/>
    <n v="6"/>
    <n v="190801"/>
    <n v="120000"/>
  </r>
  <r>
    <x v="281"/>
    <x v="3"/>
    <m/>
    <x v="6"/>
    <x v="2"/>
    <x v="42"/>
    <n v="190801"/>
    <n v="190801"/>
    <m/>
    <n v="1"/>
    <n v="190801"/>
    <n v="35000"/>
  </r>
  <r>
    <x v="281"/>
    <x v="3"/>
    <m/>
    <x v="19"/>
    <x v="2"/>
    <x v="38"/>
    <n v="190801"/>
    <n v="190801"/>
    <m/>
    <n v="1"/>
    <n v="190801"/>
    <n v="10000"/>
  </r>
  <r>
    <x v="281"/>
    <x v="3"/>
    <m/>
    <x v="29"/>
    <x v="2"/>
    <x v="40"/>
    <n v="190801"/>
    <n v="190801"/>
    <m/>
    <n v="8"/>
    <n v="190801"/>
    <n v="280000"/>
  </r>
  <r>
    <x v="281"/>
    <x v="3"/>
    <m/>
    <x v="29"/>
    <x v="2"/>
    <x v="41"/>
    <n v="190801"/>
    <n v="190801"/>
    <m/>
    <n v="8"/>
    <n v="190801"/>
    <n v="360000"/>
  </r>
  <r>
    <x v="281"/>
    <x v="3"/>
    <m/>
    <x v="25"/>
    <x v="2"/>
    <x v="34"/>
    <n v="190801"/>
    <n v="190801"/>
    <m/>
    <n v="10"/>
    <n v="190801"/>
    <n v="990000"/>
  </r>
  <r>
    <x v="281"/>
    <x v="3"/>
    <m/>
    <x v="1"/>
    <x v="2"/>
    <x v="18"/>
    <n v="190801"/>
    <n v="190801"/>
    <m/>
    <n v="3"/>
    <n v="190801"/>
    <n v="60000"/>
  </r>
  <r>
    <x v="281"/>
    <x v="3"/>
    <m/>
    <x v="1"/>
    <x v="2"/>
    <x v="21"/>
    <n v="190801"/>
    <n v="190801"/>
    <m/>
    <n v="1"/>
    <n v="190801"/>
    <n v="35000"/>
  </r>
  <r>
    <x v="281"/>
    <x v="3"/>
    <m/>
    <x v="4"/>
    <x v="2"/>
    <x v="27"/>
    <n v="190801"/>
    <n v="190801"/>
    <m/>
    <n v="60"/>
    <n v="190801"/>
    <n v="1200000"/>
  </r>
  <r>
    <x v="281"/>
    <x v="3"/>
    <m/>
    <x v="0"/>
    <x v="2"/>
    <x v="15"/>
    <n v="190801"/>
    <n v="190801"/>
    <m/>
    <n v="68"/>
    <n v="190801"/>
    <n v="1360000"/>
  </r>
  <r>
    <x v="281"/>
    <x v="3"/>
    <m/>
    <x v="0"/>
    <x v="2"/>
    <x v="16"/>
    <n v="190801"/>
    <n v="190801"/>
    <m/>
    <n v="256"/>
    <n v="190801"/>
    <n v="8960000"/>
  </r>
  <r>
    <x v="281"/>
    <x v="3"/>
    <m/>
    <x v="0"/>
    <x v="2"/>
    <x v="17"/>
    <n v="190801"/>
    <n v="190801"/>
    <m/>
    <n v="73"/>
    <n v="190801"/>
    <n v="2409000"/>
  </r>
  <r>
    <x v="281"/>
    <x v="3"/>
    <m/>
    <x v="0"/>
    <x v="2"/>
    <x v="19"/>
    <n v="190801"/>
    <n v="190801"/>
    <m/>
    <n v="436"/>
    <n v="190801"/>
    <n v="1308000"/>
  </r>
  <r>
    <x v="281"/>
    <x v="3"/>
    <m/>
    <x v="5"/>
    <x v="2"/>
    <x v="28"/>
    <n v="190801"/>
    <n v="190801"/>
    <m/>
    <n v="17"/>
    <n v="190801"/>
    <n v="476000"/>
  </r>
  <r>
    <x v="281"/>
    <x v="3"/>
    <m/>
    <x v="22"/>
    <x v="2"/>
    <x v="29"/>
    <n v="190801"/>
    <n v="190801"/>
    <m/>
    <n v="5"/>
    <n v="190801"/>
    <n v="190000"/>
  </r>
  <r>
    <x v="281"/>
    <x v="3"/>
    <m/>
    <x v="19"/>
    <x v="2"/>
    <x v="22"/>
    <n v="190801"/>
    <n v="190801"/>
    <m/>
    <n v="33"/>
    <n v="190801"/>
    <n v="429000"/>
  </r>
  <r>
    <x v="281"/>
    <x v="3"/>
    <m/>
    <x v="19"/>
    <x v="2"/>
    <x v="23"/>
    <n v="190801"/>
    <n v="190801"/>
    <m/>
    <n v="2"/>
    <n v="190801"/>
    <n v="48000"/>
  </r>
  <r>
    <x v="281"/>
    <x v="3"/>
    <m/>
    <x v="19"/>
    <x v="2"/>
    <x v="24"/>
    <n v="190801"/>
    <n v="190801"/>
    <m/>
    <n v="1"/>
    <n v="190801"/>
    <n v="33000"/>
  </r>
  <r>
    <x v="281"/>
    <x v="3"/>
    <m/>
    <x v="0"/>
    <x v="4"/>
    <x v="15"/>
    <n v="190801"/>
    <n v="190801"/>
    <m/>
    <n v="34"/>
    <n v="190801"/>
    <n v="1071000"/>
  </r>
  <r>
    <x v="281"/>
    <x v="3"/>
    <m/>
    <x v="0"/>
    <x v="4"/>
    <x v="16"/>
    <n v="190801"/>
    <n v="190801"/>
    <m/>
    <n v="7"/>
    <n v="190801"/>
    <n v="308000"/>
  </r>
  <r>
    <x v="281"/>
    <x v="3"/>
    <m/>
    <x v="5"/>
    <x v="4"/>
    <x v="28"/>
    <n v="190801"/>
    <n v="190801"/>
    <m/>
    <n v="2"/>
    <n v="190801"/>
    <n v="76000"/>
  </r>
  <r>
    <x v="281"/>
    <x v="3"/>
    <m/>
    <x v="4"/>
    <x v="4"/>
    <x v="27"/>
    <n v="190801"/>
    <n v="190801"/>
    <m/>
    <n v="2"/>
    <n v="190801"/>
    <n v="72000"/>
  </r>
  <r>
    <x v="281"/>
    <x v="3"/>
    <m/>
    <x v="19"/>
    <x v="4"/>
    <x v="22"/>
    <n v="190801"/>
    <n v="190801"/>
    <m/>
    <n v="2"/>
    <n v="190801"/>
    <n v="50000"/>
  </r>
  <r>
    <x v="281"/>
    <x v="3"/>
    <m/>
    <x v="0"/>
    <x v="3"/>
    <x v="15"/>
    <n v="190801"/>
    <n v="190801"/>
    <m/>
    <n v="5"/>
    <n v="190801"/>
    <n v="0"/>
  </r>
  <r>
    <x v="281"/>
    <x v="3"/>
    <m/>
    <x v="18"/>
    <x v="3"/>
    <x v="19"/>
    <n v="190801"/>
    <n v="190801"/>
    <m/>
    <n v="4"/>
    <n v="190801"/>
    <n v="0"/>
  </r>
  <r>
    <x v="281"/>
    <x v="3"/>
    <m/>
    <x v="5"/>
    <x v="3"/>
    <x v="28"/>
    <n v="190801"/>
    <n v="190801"/>
    <m/>
    <n v="2"/>
    <n v="190801"/>
    <n v="0"/>
  </r>
  <r>
    <x v="281"/>
    <x v="3"/>
    <m/>
    <x v="4"/>
    <x v="3"/>
    <x v="27"/>
    <n v="190801"/>
    <n v="190801"/>
    <m/>
    <n v="2"/>
    <n v="190801"/>
    <n v="0"/>
  </r>
  <r>
    <x v="281"/>
    <x v="3"/>
    <m/>
    <x v="6"/>
    <x v="3"/>
    <x v="37"/>
    <n v="190801"/>
    <n v="190801"/>
    <m/>
    <n v="6"/>
    <n v="190801"/>
    <n v="0"/>
  </r>
  <r>
    <x v="281"/>
    <x v="3"/>
    <m/>
    <x v="0"/>
    <x v="9"/>
    <x v="15"/>
    <n v="190801"/>
    <n v="190801"/>
    <m/>
    <n v="5"/>
    <n v="190801"/>
    <n v="100000"/>
  </r>
  <r>
    <x v="282"/>
    <x v="4"/>
    <m/>
    <x v="0"/>
    <x v="1"/>
    <x v="16"/>
    <n v="190801"/>
    <n v="190801"/>
    <m/>
    <n v="10"/>
    <n v="190801"/>
    <n v="350000"/>
  </r>
  <r>
    <x v="282"/>
    <x v="4"/>
    <m/>
    <x v="0"/>
    <x v="7"/>
    <x v="15"/>
    <n v="190801"/>
    <n v="190801"/>
    <m/>
    <n v="12"/>
    <n v="190801"/>
    <n v="240000"/>
  </r>
  <r>
    <x v="282"/>
    <x v="4"/>
    <m/>
    <x v="6"/>
    <x v="2"/>
    <x v="37"/>
    <n v="190801"/>
    <n v="190801"/>
    <m/>
    <n v="8"/>
    <n v="190801"/>
    <n v="160000"/>
  </r>
  <r>
    <x v="282"/>
    <x v="4"/>
    <m/>
    <x v="6"/>
    <x v="2"/>
    <x v="42"/>
    <n v="190801"/>
    <n v="190801"/>
    <m/>
    <n v="1"/>
    <n v="190801"/>
    <n v="35000"/>
  </r>
  <r>
    <x v="282"/>
    <x v="4"/>
    <m/>
    <x v="19"/>
    <x v="2"/>
    <x v="38"/>
    <n v="190801"/>
    <n v="190801"/>
    <m/>
    <n v="3"/>
    <n v="190801"/>
    <n v="30000"/>
  </r>
  <r>
    <x v="282"/>
    <x v="4"/>
    <m/>
    <x v="29"/>
    <x v="2"/>
    <x v="40"/>
    <n v="190801"/>
    <n v="190801"/>
    <m/>
    <n v="3"/>
    <n v="190801"/>
    <n v="105000"/>
  </r>
  <r>
    <x v="282"/>
    <x v="4"/>
    <m/>
    <x v="29"/>
    <x v="2"/>
    <x v="41"/>
    <n v="190801"/>
    <n v="190801"/>
    <m/>
    <n v="8"/>
    <n v="190801"/>
    <n v="360000"/>
  </r>
  <r>
    <x v="282"/>
    <x v="4"/>
    <m/>
    <x v="25"/>
    <x v="2"/>
    <x v="34"/>
    <n v="190801"/>
    <n v="190801"/>
    <m/>
    <n v="5"/>
    <n v="190801"/>
    <n v="495000"/>
  </r>
  <r>
    <x v="282"/>
    <x v="4"/>
    <m/>
    <x v="1"/>
    <x v="2"/>
    <x v="18"/>
    <n v="190801"/>
    <n v="190801"/>
    <m/>
    <n v="2"/>
    <n v="190801"/>
    <n v="40000"/>
  </r>
  <r>
    <x v="282"/>
    <x v="4"/>
    <m/>
    <x v="4"/>
    <x v="2"/>
    <x v="26"/>
    <n v="190801"/>
    <n v="190801"/>
    <m/>
    <n v="7"/>
    <n v="190801"/>
    <n v="28000"/>
  </r>
  <r>
    <x v="282"/>
    <x v="4"/>
    <m/>
    <x v="4"/>
    <x v="2"/>
    <x v="27"/>
    <n v="190801"/>
    <n v="190801"/>
    <m/>
    <n v="7"/>
    <n v="190801"/>
    <n v="140000"/>
  </r>
  <r>
    <x v="282"/>
    <x v="4"/>
    <m/>
    <x v="0"/>
    <x v="2"/>
    <x v="15"/>
    <n v="190801"/>
    <n v="190801"/>
    <m/>
    <n v="64"/>
    <n v="190801"/>
    <n v="1280000"/>
  </r>
  <r>
    <x v="282"/>
    <x v="4"/>
    <m/>
    <x v="0"/>
    <x v="2"/>
    <x v="16"/>
    <n v="190801"/>
    <n v="190801"/>
    <m/>
    <n v="46"/>
    <n v="190801"/>
    <n v="1610000"/>
  </r>
  <r>
    <x v="282"/>
    <x v="4"/>
    <m/>
    <x v="0"/>
    <x v="2"/>
    <x v="17"/>
    <n v="190801"/>
    <n v="190801"/>
    <m/>
    <n v="56"/>
    <n v="190801"/>
    <n v="1848000"/>
  </r>
  <r>
    <x v="282"/>
    <x v="4"/>
    <m/>
    <x v="0"/>
    <x v="2"/>
    <x v="19"/>
    <n v="190801"/>
    <n v="190801"/>
    <m/>
    <n v="61"/>
    <n v="190801"/>
    <n v="183000"/>
  </r>
  <r>
    <x v="282"/>
    <x v="4"/>
    <m/>
    <x v="5"/>
    <x v="2"/>
    <x v="28"/>
    <n v="190801"/>
    <n v="190801"/>
    <m/>
    <n v="16"/>
    <n v="190801"/>
    <n v="448000"/>
  </r>
  <r>
    <x v="282"/>
    <x v="4"/>
    <m/>
    <x v="22"/>
    <x v="2"/>
    <x v="29"/>
    <n v="190801"/>
    <n v="190801"/>
    <m/>
    <n v="8"/>
    <n v="190801"/>
    <n v="304000"/>
  </r>
  <r>
    <x v="282"/>
    <x v="4"/>
    <m/>
    <x v="19"/>
    <x v="2"/>
    <x v="22"/>
    <n v="190801"/>
    <n v="190801"/>
    <m/>
    <n v="4"/>
    <n v="190801"/>
    <n v="52000"/>
  </r>
  <r>
    <x v="282"/>
    <x v="4"/>
    <m/>
    <x v="19"/>
    <x v="2"/>
    <x v="24"/>
    <n v="190801"/>
    <n v="190801"/>
    <m/>
    <n v="1"/>
    <n v="190801"/>
    <n v="33000"/>
  </r>
  <r>
    <x v="282"/>
    <x v="4"/>
    <m/>
    <x v="0"/>
    <x v="4"/>
    <x v="15"/>
    <n v="190801"/>
    <n v="190801"/>
    <m/>
    <n v="11"/>
    <n v="190801"/>
    <n v="346500"/>
  </r>
  <r>
    <x v="282"/>
    <x v="4"/>
    <m/>
    <x v="0"/>
    <x v="4"/>
    <x v="16"/>
    <n v="190801"/>
    <n v="190801"/>
    <m/>
    <n v="3"/>
    <n v="190801"/>
    <n v="132000"/>
  </r>
  <r>
    <x v="282"/>
    <x v="4"/>
    <m/>
    <x v="5"/>
    <x v="4"/>
    <x v="28"/>
    <n v="190801"/>
    <n v="190801"/>
    <m/>
    <n v="2"/>
    <n v="190801"/>
    <n v="76000"/>
  </r>
  <r>
    <x v="282"/>
    <x v="4"/>
    <m/>
    <x v="0"/>
    <x v="3"/>
    <x v="15"/>
    <n v="190801"/>
    <n v="190801"/>
    <m/>
    <n v="4"/>
    <n v="190801"/>
    <n v="0"/>
  </r>
  <r>
    <x v="282"/>
    <x v="4"/>
    <m/>
    <x v="18"/>
    <x v="3"/>
    <x v="19"/>
    <n v="190801"/>
    <n v="190801"/>
    <m/>
    <n v="4"/>
    <n v="190801"/>
    <n v="0"/>
  </r>
  <r>
    <x v="282"/>
    <x v="4"/>
    <m/>
    <x v="0"/>
    <x v="9"/>
    <x v="15"/>
    <n v="190801"/>
    <n v="190801"/>
    <m/>
    <n v="5"/>
    <n v="190801"/>
    <n v="100000"/>
  </r>
  <r>
    <x v="283"/>
    <x v="1"/>
    <m/>
    <x v="0"/>
    <x v="1"/>
    <x v="15"/>
    <n v="190801"/>
    <n v="190801"/>
    <m/>
    <n v="2"/>
    <n v="190801"/>
    <n v="40000"/>
  </r>
  <r>
    <x v="283"/>
    <x v="1"/>
    <m/>
    <x v="0"/>
    <x v="1"/>
    <x v="16"/>
    <n v="190801"/>
    <n v="190801"/>
    <m/>
    <n v="11"/>
    <n v="190801"/>
    <n v="385000"/>
  </r>
  <r>
    <x v="283"/>
    <x v="1"/>
    <m/>
    <x v="0"/>
    <x v="7"/>
    <x v="15"/>
    <n v="190801"/>
    <n v="190801"/>
    <m/>
    <n v="6"/>
    <n v="190801"/>
    <n v="120000"/>
  </r>
  <r>
    <x v="283"/>
    <x v="1"/>
    <m/>
    <x v="6"/>
    <x v="2"/>
    <x v="37"/>
    <n v="190801"/>
    <n v="190801"/>
    <m/>
    <n v="9"/>
    <n v="190801"/>
    <n v="180000"/>
  </r>
  <r>
    <x v="283"/>
    <x v="1"/>
    <m/>
    <x v="6"/>
    <x v="2"/>
    <x v="42"/>
    <n v="190801"/>
    <n v="190801"/>
    <m/>
    <n v="1"/>
    <n v="190801"/>
    <n v="35000"/>
  </r>
  <r>
    <x v="283"/>
    <x v="1"/>
    <m/>
    <x v="19"/>
    <x v="2"/>
    <x v="38"/>
    <n v="190801"/>
    <n v="190801"/>
    <m/>
    <n v="3"/>
    <n v="190801"/>
    <n v="30000"/>
  </r>
  <r>
    <x v="283"/>
    <x v="1"/>
    <m/>
    <x v="29"/>
    <x v="2"/>
    <x v="40"/>
    <n v="190801"/>
    <n v="190801"/>
    <m/>
    <n v="2"/>
    <n v="190801"/>
    <n v="70000"/>
  </r>
  <r>
    <x v="283"/>
    <x v="1"/>
    <m/>
    <x v="25"/>
    <x v="2"/>
    <x v="34"/>
    <n v="190801"/>
    <n v="190801"/>
    <m/>
    <n v="3"/>
    <n v="190801"/>
    <n v="297000"/>
  </r>
  <r>
    <x v="283"/>
    <x v="1"/>
    <m/>
    <x v="1"/>
    <x v="2"/>
    <x v="18"/>
    <n v="190801"/>
    <n v="190801"/>
    <m/>
    <n v="1"/>
    <n v="190801"/>
    <n v="20000"/>
  </r>
  <r>
    <x v="283"/>
    <x v="1"/>
    <m/>
    <x v="1"/>
    <x v="2"/>
    <x v="21"/>
    <n v="190801"/>
    <n v="190801"/>
    <m/>
    <n v="1"/>
    <n v="190801"/>
    <n v="35000"/>
  </r>
  <r>
    <x v="283"/>
    <x v="1"/>
    <m/>
    <x v="4"/>
    <x v="2"/>
    <x v="26"/>
    <n v="190801"/>
    <n v="190801"/>
    <m/>
    <n v="7"/>
    <n v="190801"/>
    <n v="28000"/>
  </r>
  <r>
    <x v="283"/>
    <x v="1"/>
    <m/>
    <x v="4"/>
    <x v="2"/>
    <x v="27"/>
    <n v="190801"/>
    <n v="190801"/>
    <m/>
    <n v="2"/>
    <n v="190801"/>
    <n v="40000"/>
  </r>
  <r>
    <x v="283"/>
    <x v="1"/>
    <m/>
    <x v="0"/>
    <x v="2"/>
    <x v="15"/>
    <n v="190801"/>
    <n v="190801"/>
    <m/>
    <n v="57"/>
    <n v="190801"/>
    <n v="1140000"/>
  </r>
  <r>
    <x v="283"/>
    <x v="1"/>
    <m/>
    <x v="0"/>
    <x v="2"/>
    <x v="16"/>
    <n v="190801"/>
    <n v="190801"/>
    <m/>
    <n v="47"/>
    <n v="190801"/>
    <n v="1645000"/>
  </r>
  <r>
    <x v="283"/>
    <x v="1"/>
    <m/>
    <x v="0"/>
    <x v="2"/>
    <x v="17"/>
    <n v="190801"/>
    <n v="190801"/>
    <m/>
    <n v="145"/>
    <n v="190801"/>
    <n v="4785000"/>
  </r>
  <r>
    <x v="283"/>
    <x v="1"/>
    <m/>
    <x v="0"/>
    <x v="2"/>
    <x v="19"/>
    <n v="190801"/>
    <n v="190801"/>
    <m/>
    <n v="199"/>
    <n v="190801"/>
    <n v="597000"/>
  </r>
  <r>
    <x v="283"/>
    <x v="1"/>
    <m/>
    <x v="5"/>
    <x v="2"/>
    <x v="28"/>
    <n v="190801"/>
    <n v="190801"/>
    <m/>
    <n v="7"/>
    <n v="190801"/>
    <n v="196000"/>
  </r>
  <r>
    <x v="283"/>
    <x v="1"/>
    <m/>
    <x v="22"/>
    <x v="2"/>
    <x v="29"/>
    <n v="190801"/>
    <n v="190801"/>
    <m/>
    <n v="6"/>
    <n v="190801"/>
    <n v="228000"/>
  </r>
  <r>
    <x v="283"/>
    <x v="1"/>
    <m/>
    <x v="19"/>
    <x v="2"/>
    <x v="22"/>
    <n v="190801"/>
    <n v="190801"/>
    <m/>
    <n v="7"/>
    <n v="190801"/>
    <n v="91000"/>
  </r>
  <r>
    <x v="283"/>
    <x v="1"/>
    <m/>
    <x v="19"/>
    <x v="2"/>
    <x v="24"/>
    <n v="190801"/>
    <n v="190801"/>
    <m/>
    <n v="1"/>
    <n v="190801"/>
    <n v="33000"/>
  </r>
  <r>
    <x v="283"/>
    <x v="1"/>
    <m/>
    <x v="0"/>
    <x v="10"/>
    <x v="15"/>
    <n v="190801"/>
    <n v="190801"/>
    <m/>
    <n v="4"/>
    <n v="190801"/>
    <n v="126000"/>
  </r>
  <r>
    <x v="283"/>
    <x v="1"/>
    <m/>
    <x v="0"/>
    <x v="10"/>
    <x v="16"/>
    <n v="190801"/>
    <n v="190801"/>
    <m/>
    <n v="9"/>
    <n v="190801"/>
    <n v="396000"/>
  </r>
  <r>
    <x v="283"/>
    <x v="1"/>
    <m/>
    <x v="5"/>
    <x v="10"/>
    <x v="28"/>
    <n v="190801"/>
    <n v="190801"/>
    <m/>
    <n v="1"/>
    <n v="190801"/>
    <n v="38000"/>
  </r>
  <r>
    <x v="283"/>
    <x v="1"/>
    <m/>
    <x v="0"/>
    <x v="3"/>
    <x v="15"/>
    <n v="190801"/>
    <n v="190801"/>
    <m/>
    <n v="2"/>
    <n v="190801"/>
    <n v="0"/>
  </r>
  <r>
    <x v="283"/>
    <x v="1"/>
    <m/>
    <x v="18"/>
    <x v="3"/>
    <x v="19"/>
    <n v="190801"/>
    <n v="190801"/>
    <m/>
    <n v="2"/>
    <n v="190801"/>
    <n v="0"/>
  </r>
  <r>
    <x v="283"/>
    <x v="1"/>
    <m/>
    <x v="0"/>
    <x v="9"/>
    <x v="15"/>
    <n v="190801"/>
    <n v="190801"/>
    <m/>
    <n v="7"/>
    <n v="190801"/>
    <n v="140000"/>
  </r>
  <r>
    <x v="283"/>
    <x v="1"/>
    <m/>
    <x v="6"/>
    <x v="9"/>
    <x v="37"/>
    <n v="190801"/>
    <n v="190801"/>
    <m/>
    <n v="2"/>
    <n v="190801"/>
    <n v="40000"/>
  </r>
  <r>
    <x v="284"/>
    <x v="0"/>
    <m/>
    <x v="0"/>
    <x v="1"/>
    <x v="15"/>
    <n v="190801"/>
    <n v="190801"/>
    <m/>
    <n v="2"/>
    <n v="190801"/>
    <n v="40000"/>
  </r>
  <r>
    <x v="284"/>
    <x v="0"/>
    <m/>
    <x v="0"/>
    <x v="1"/>
    <x v="16"/>
    <n v="190801"/>
    <n v="190801"/>
    <m/>
    <n v="5"/>
    <n v="190801"/>
    <n v="175000"/>
  </r>
  <r>
    <x v="284"/>
    <x v="0"/>
    <m/>
    <x v="0"/>
    <x v="7"/>
    <x v="15"/>
    <n v="190801"/>
    <n v="190801"/>
    <m/>
    <n v="27"/>
    <n v="190801"/>
    <n v="540000"/>
  </r>
  <r>
    <x v="284"/>
    <x v="0"/>
    <m/>
    <x v="6"/>
    <x v="2"/>
    <x v="37"/>
    <n v="190801"/>
    <n v="190801"/>
    <m/>
    <n v="7"/>
    <n v="190801"/>
    <n v="140000"/>
  </r>
  <r>
    <x v="284"/>
    <x v="0"/>
    <m/>
    <x v="6"/>
    <x v="2"/>
    <x v="42"/>
    <n v="190801"/>
    <n v="190801"/>
    <m/>
    <n v="4"/>
    <n v="190801"/>
    <n v="140000"/>
  </r>
  <r>
    <x v="284"/>
    <x v="0"/>
    <m/>
    <x v="19"/>
    <x v="2"/>
    <x v="38"/>
    <n v="190801"/>
    <n v="190801"/>
    <m/>
    <n v="7"/>
    <n v="190801"/>
    <n v="70000"/>
  </r>
  <r>
    <x v="284"/>
    <x v="0"/>
    <m/>
    <x v="29"/>
    <x v="2"/>
    <x v="40"/>
    <n v="190801"/>
    <n v="190801"/>
    <m/>
    <n v="6"/>
    <n v="190801"/>
    <n v="210000"/>
  </r>
  <r>
    <x v="284"/>
    <x v="0"/>
    <m/>
    <x v="29"/>
    <x v="2"/>
    <x v="41"/>
    <n v="190801"/>
    <n v="190801"/>
    <m/>
    <n v="6"/>
    <n v="190801"/>
    <n v="270000"/>
  </r>
  <r>
    <x v="284"/>
    <x v="0"/>
    <m/>
    <x v="25"/>
    <x v="2"/>
    <x v="34"/>
    <n v="190801"/>
    <n v="190801"/>
    <m/>
    <n v="5"/>
    <n v="190801"/>
    <n v="495000"/>
  </r>
  <r>
    <x v="284"/>
    <x v="0"/>
    <m/>
    <x v="1"/>
    <x v="2"/>
    <x v="18"/>
    <n v="190801"/>
    <n v="190801"/>
    <m/>
    <n v="2"/>
    <n v="190801"/>
    <n v="40000"/>
  </r>
  <r>
    <x v="284"/>
    <x v="0"/>
    <m/>
    <x v="4"/>
    <x v="2"/>
    <x v="27"/>
    <n v="190801"/>
    <n v="190801"/>
    <m/>
    <n v="1"/>
    <n v="190801"/>
    <n v="20000"/>
  </r>
  <r>
    <x v="284"/>
    <x v="0"/>
    <m/>
    <x v="0"/>
    <x v="2"/>
    <x v="15"/>
    <n v="190801"/>
    <n v="190801"/>
    <m/>
    <n v="67"/>
    <n v="190801"/>
    <n v="1340000"/>
  </r>
  <r>
    <x v="284"/>
    <x v="0"/>
    <m/>
    <x v="0"/>
    <x v="2"/>
    <x v="16"/>
    <n v="190801"/>
    <n v="190801"/>
    <m/>
    <n v="53"/>
    <n v="190801"/>
    <n v="1855000"/>
  </r>
  <r>
    <x v="284"/>
    <x v="0"/>
    <m/>
    <x v="0"/>
    <x v="2"/>
    <x v="17"/>
    <n v="190801"/>
    <n v="190801"/>
    <m/>
    <n v="45"/>
    <n v="190801"/>
    <n v="1485000"/>
  </r>
  <r>
    <x v="284"/>
    <x v="0"/>
    <m/>
    <x v="0"/>
    <x v="2"/>
    <x v="19"/>
    <n v="190801"/>
    <n v="190801"/>
    <m/>
    <n v="51"/>
    <n v="190801"/>
    <n v="153000"/>
  </r>
  <r>
    <x v="284"/>
    <x v="0"/>
    <m/>
    <x v="5"/>
    <x v="2"/>
    <x v="28"/>
    <n v="190801"/>
    <n v="190801"/>
    <m/>
    <n v="16"/>
    <n v="190801"/>
    <n v="448000"/>
  </r>
  <r>
    <x v="284"/>
    <x v="0"/>
    <m/>
    <x v="22"/>
    <x v="2"/>
    <x v="29"/>
    <n v="190801"/>
    <n v="190801"/>
    <m/>
    <n v="9"/>
    <n v="190801"/>
    <n v="342000"/>
  </r>
  <r>
    <x v="284"/>
    <x v="0"/>
    <m/>
    <x v="19"/>
    <x v="2"/>
    <x v="22"/>
    <n v="190801"/>
    <n v="190801"/>
    <m/>
    <n v="4"/>
    <n v="190801"/>
    <n v="52000"/>
  </r>
  <r>
    <x v="284"/>
    <x v="0"/>
    <m/>
    <x v="19"/>
    <x v="2"/>
    <x v="23"/>
    <n v="190801"/>
    <n v="190801"/>
    <m/>
    <n v="5"/>
    <n v="190801"/>
    <n v="120000"/>
  </r>
  <r>
    <x v="284"/>
    <x v="0"/>
    <m/>
    <x v="0"/>
    <x v="10"/>
    <x v="15"/>
    <n v="190801"/>
    <n v="190801"/>
    <m/>
    <n v="7"/>
    <n v="190801"/>
    <n v="220500"/>
  </r>
  <r>
    <x v="284"/>
    <x v="0"/>
    <m/>
    <x v="0"/>
    <x v="10"/>
    <x v="16"/>
    <n v="190801"/>
    <n v="190801"/>
    <m/>
    <n v="4"/>
    <n v="190801"/>
    <n v="176000"/>
  </r>
  <r>
    <x v="284"/>
    <x v="0"/>
    <m/>
    <x v="1"/>
    <x v="10"/>
    <x v="18"/>
    <n v="190801"/>
    <n v="190801"/>
    <m/>
    <n v="1"/>
    <n v="190801"/>
    <n v="31500"/>
  </r>
  <r>
    <x v="284"/>
    <x v="0"/>
    <m/>
    <x v="0"/>
    <x v="3"/>
    <x v="15"/>
    <n v="190801"/>
    <n v="190801"/>
    <m/>
    <n v="3"/>
    <n v="190801"/>
    <n v="0"/>
  </r>
  <r>
    <x v="284"/>
    <x v="0"/>
    <m/>
    <x v="18"/>
    <x v="3"/>
    <x v="19"/>
    <n v="190801"/>
    <n v="190801"/>
    <m/>
    <n v="3"/>
    <n v="190801"/>
    <n v="0"/>
  </r>
  <r>
    <x v="284"/>
    <x v="0"/>
    <m/>
    <x v="6"/>
    <x v="9"/>
    <x v="37"/>
    <n v="190801"/>
    <n v="190801"/>
    <m/>
    <n v="2"/>
    <n v="190801"/>
    <n v="40000"/>
  </r>
  <r>
    <x v="284"/>
    <x v="0"/>
    <m/>
    <x v="0"/>
    <x v="9"/>
    <x v="15"/>
    <n v="190801"/>
    <n v="190801"/>
    <m/>
    <n v="5"/>
    <n v="190801"/>
    <n v="100000"/>
  </r>
  <r>
    <x v="284"/>
    <x v="0"/>
    <m/>
    <x v="5"/>
    <x v="9"/>
    <x v="28"/>
    <n v="190801"/>
    <n v="190801"/>
    <m/>
    <n v="1"/>
    <n v="190801"/>
    <n v="28000"/>
  </r>
  <r>
    <x v="285"/>
    <x v="2"/>
    <m/>
    <x v="0"/>
    <x v="1"/>
    <x v="15"/>
    <n v="190801"/>
    <n v="190801"/>
    <m/>
    <n v="1"/>
    <n v="190801"/>
    <n v="20000"/>
  </r>
  <r>
    <x v="285"/>
    <x v="2"/>
    <m/>
    <x v="0"/>
    <x v="1"/>
    <x v="16"/>
    <n v="190801"/>
    <n v="190801"/>
    <m/>
    <n v="2"/>
    <n v="190801"/>
    <n v="70000"/>
  </r>
  <r>
    <x v="285"/>
    <x v="2"/>
    <m/>
    <x v="0"/>
    <x v="5"/>
    <x v="51"/>
    <n v="190801"/>
    <n v="190801"/>
    <m/>
    <n v="60"/>
    <n v="190801"/>
    <n v="675000"/>
  </r>
  <r>
    <x v="285"/>
    <x v="2"/>
    <m/>
    <x v="0"/>
    <x v="7"/>
    <x v="15"/>
    <n v="190801"/>
    <n v="190801"/>
    <m/>
    <n v="11"/>
    <n v="190801"/>
    <n v="220000"/>
  </r>
  <r>
    <x v="285"/>
    <x v="2"/>
    <m/>
    <x v="6"/>
    <x v="2"/>
    <x v="37"/>
    <n v="190801"/>
    <n v="190801"/>
    <m/>
    <n v="4"/>
    <n v="190801"/>
    <n v="80000"/>
  </r>
  <r>
    <x v="285"/>
    <x v="2"/>
    <m/>
    <x v="6"/>
    <x v="2"/>
    <x v="42"/>
    <n v="190801"/>
    <n v="190801"/>
    <m/>
    <n v="3"/>
    <n v="190801"/>
    <n v="105000"/>
  </r>
  <r>
    <x v="285"/>
    <x v="2"/>
    <m/>
    <x v="19"/>
    <x v="2"/>
    <x v="38"/>
    <n v="190801"/>
    <n v="190801"/>
    <m/>
    <n v="1"/>
    <n v="190801"/>
    <n v="10000"/>
  </r>
  <r>
    <x v="285"/>
    <x v="2"/>
    <m/>
    <x v="29"/>
    <x v="2"/>
    <x v="40"/>
    <n v="190801"/>
    <n v="190801"/>
    <m/>
    <n v="2"/>
    <n v="190801"/>
    <n v="70000"/>
  </r>
  <r>
    <x v="285"/>
    <x v="2"/>
    <m/>
    <x v="29"/>
    <x v="2"/>
    <x v="41"/>
    <n v="190801"/>
    <n v="190801"/>
    <m/>
    <n v="1"/>
    <n v="190801"/>
    <n v="45000"/>
  </r>
  <r>
    <x v="285"/>
    <x v="2"/>
    <m/>
    <x v="25"/>
    <x v="2"/>
    <x v="34"/>
    <n v="190801"/>
    <n v="190801"/>
    <m/>
    <n v="8"/>
    <n v="190801"/>
    <n v="792000"/>
  </r>
  <r>
    <x v="285"/>
    <x v="2"/>
    <m/>
    <x v="1"/>
    <x v="2"/>
    <x v="18"/>
    <n v="190801"/>
    <n v="190801"/>
    <m/>
    <n v="4"/>
    <n v="190801"/>
    <n v="80000"/>
  </r>
  <r>
    <x v="285"/>
    <x v="2"/>
    <m/>
    <x v="1"/>
    <x v="2"/>
    <x v="21"/>
    <n v="190801"/>
    <n v="190801"/>
    <m/>
    <n v="1"/>
    <n v="190801"/>
    <n v="35000"/>
  </r>
  <r>
    <x v="285"/>
    <x v="2"/>
    <m/>
    <x v="0"/>
    <x v="2"/>
    <x v="15"/>
    <n v="190801"/>
    <n v="190801"/>
    <m/>
    <n v="46"/>
    <n v="190801"/>
    <n v="920000"/>
  </r>
  <r>
    <x v="285"/>
    <x v="2"/>
    <m/>
    <x v="0"/>
    <x v="2"/>
    <x v="16"/>
    <n v="190801"/>
    <n v="190801"/>
    <m/>
    <n v="39"/>
    <n v="190801"/>
    <n v="1365000"/>
  </r>
  <r>
    <x v="285"/>
    <x v="2"/>
    <m/>
    <x v="0"/>
    <x v="2"/>
    <x v="17"/>
    <n v="190801"/>
    <n v="190801"/>
    <m/>
    <n v="70"/>
    <n v="190801"/>
    <n v="2310000"/>
  </r>
  <r>
    <x v="285"/>
    <x v="2"/>
    <m/>
    <x v="0"/>
    <x v="2"/>
    <x v="19"/>
    <n v="190801"/>
    <n v="190801"/>
    <m/>
    <n v="54"/>
    <n v="190801"/>
    <n v="162000"/>
  </r>
  <r>
    <x v="285"/>
    <x v="2"/>
    <m/>
    <x v="5"/>
    <x v="2"/>
    <x v="28"/>
    <n v="190801"/>
    <n v="190801"/>
    <m/>
    <n v="17"/>
    <n v="190801"/>
    <n v="476000"/>
  </r>
  <r>
    <x v="285"/>
    <x v="2"/>
    <m/>
    <x v="22"/>
    <x v="2"/>
    <x v="29"/>
    <n v="190801"/>
    <n v="190801"/>
    <m/>
    <n v="3"/>
    <n v="190801"/>
    <n v="114000"/>
  </r>
  <r>
    <x v="285"/>
    <x v="2"/>
    <m/>
    <x v="19"/>
    <x v="2"/>
    <x v="22"/>
    <n v="190801"/>
    <n v="190801"/>
    <m/>
    <n v="4"/>
    <n v="190801"/>
    <n v="52000"/>
  </r>
  <r>
    <x v="285"/>
    <x v="2"/>
    <m/>
    <x v="19"/>
    <x v="2"/>
    <x v="23"/>
    <n v="190801"/>
    <n v="190801"/>
    <m/>
    <n v="4"/>
    <n v="190801"/>
    <n v="96000"/>
  </r>
  <r>
    <x v="285"/>
    <x v="2"/>
    <m/>
    <x v="19"/>
    <x v="2"/>
    <x v="24"/>
    <n v="190801"/>
    <n v="190801"/>
    <m/>
    <n v="2"/>
    <n v="190801"/>
    <n v="66000"/>
  </r>
  <r>
    <x v="285"/>
    <x v="2"/>
    <m/>
    <x v="0"/>
    <x v="10"/>
    <x v="15"/>
    <n v="190801"/>
    <n v="190801"/>
    <m/>
    <n v="5"/>
    <n v="190801"/>
    <n v="157500"/>
  </r>
  <r>
    <x v="285"/>
    <x v="2"/>
    <m/>
    <x v="0"/>
    <x v="10"/>
    <x v="16"/>
    <n v="190801"/>
    <n v="190801"/>
    <m/>
    <n v="3"/>
    <n v="190801"/>
    <n v="132000"/>
  </r>
  <r>
    <x v="285"/>
    <x v="2"/>
    <m/>
    <x v="5"/>
    <x v="10"/>
    <x v="28"/>
    <n v="190801"/>
    <n v="190801"/>
    <m/>
    <n v="1"/>
    <n v="190801"/>
    <n v="38000"/>
  </r>
  <r>
    <x v="285"/>
    <x v="2"/>
    <m/>
    <x v="19"/>
    <x v="10"/>
    <x v="22"/>
    <n v="190801"/>
    <n v="190801"/>
    <m/>
    <n v="1"/>
    <n v="190801"/>
    <n v="25000"/>
  </r>
  <r>
    <x v="285"/>
    <x v="2"/>
    <m/>
    <x v="22"/>
    <x v="10"/>
    <x v="29"/>
    <n v="190801"/>
    <n v="190801"/>
    <m/>
    <n v="1"/>
    <n v="190801"/>
    <n v="43000"/>
  </r>
  <r>
    <x v="285"/>
    <x v="2"/>
    <m/>
    <x v="0"/>
    <x v="9"/>
    <x v="15"/>
    <n v="190801"/>
    <n v="190801"/>
    <m/>
    <n v="1"/>
    <n v="190801"/>
    <n v="20000"/>
  </r>
  <r>
    <x v="286"/>
    <x v="5"/>
    <m/>
    <x v="0"/>
    <x v="7"/>
    <x v="15"/>
    <n v="190801"/>
    <n v="190801"/>
    <m/>
    <n v="8"/>
    <n v="190801"/>
    <n v="160000"/>
  </r>
  <r>
    <x v="286"/>
    <x v="5"/>
    <m/>
    <x v="6"/>
    <x v="2"/>
    <x v="37"/>
    <n v="190801"/>
    <n v="190801"/>
    <m/>
    <n v="4"/>
    <n v="190801"/>
    <n v="80000"/>
  </r>
  <r>
    <x v="286"/>
    <x v="5"/>
    <m/>
    <x v="6"/>
    <x v="2"/>
    <x v="42"/>
    <n v="190801"/>
    <n v="190801"/>
    <m/>
    <n v="3"/>
    <n v="190801"/>
    <n v="105000"/>
  </r>
  <r>
    <x v="286"/>
    <x v="5"/>
    <m/>
    <x v="19"/>
    <x v="2"/>
    <x v="38"/>
    <n v="190801"/>
    <n v="190801"/>
    <m/>
    <n v="1"/>
    <n v="190801"/>
    <n v="10000"/>
  </r>
  <r>
    <x v="286"/>
    <x v="5"/>
    <m/>
    <x v="29"/>
    <x v="2"/>
    <x v="40"/>
    <n v="190801"/>
    <n v="190801"/>
    <m/>
    <n v="3"/>
    <n v="190801"/>
    <n v="105000"/>
  </r>
  <r>
    <x v="286"/>
    <x v="5"/>
    <m/>
    <x v="29"/>
    <x v="2"/>
    <x v="41"/>
    <n v="190801"/>
    <n v="190801"/>
    <m/>
    <n v="5"/>
    <n v="190801"/>
    <n v="225000"/>
  </r>
  <r>
    <x v="286"/>
    <x v="5"/>
    <m/>
    <x v="25"/>
    <x v="2"/>
    <x v="34"/>
    <n v="190801"/>
    <n v="190801"/>
    <m/>
    <n v="4"/>
    <n v="190801"/>
    <n v="396000"/>
  </r>
  <r>
    <x v="286"/>
    <x v="5"/>
    <m/>
    <x v="1"/>
    <x v="2"/>
    <x v="18"/>
    <n v="190801"/>
    <n v="190801"/>
    <m/>
    <n v="1"/>
    <n v="190801"/>
    <n v="20000"/>
  </r>
  <r>
    <x v="286"/>
    <x v="5"/>
    <m/>
    <x v="0"/>
    <x v="2"/>
    <x v="15"/>
    <n v="190801"/>
    <n v="190801"/>
    <m/>
    <n v="42"/>
    <n v="190801"/>
    <n v="840000"/>
  </r>
  <r>
    <x v="286"/>
    <x v="5"/>
    <m/>
    <x v="0"/>
    <x v="2"/>
    <x v="16"/>
    <n v="190801"/>
    <n v="190801"/>
    <m/>
    <n v="28"/>
    <n v="190801"/>
    <n v="980000"/>
  </r>
  <r>
    <x v="286"/>
    <x v="5"/>
    <m/>
    <x v="0"/>
    <x v="2"/>
    <x v="17"/>
    <n v="190801"/>
    <n v="190801"/>
    <m/>
    <n v="48"/>
    <n v="190801"/>
    <n v="1584000"/>
  </r>
  <r>
    <x v="286"/>
    <x v="5"/>
    <m/>
    <x v="0"/>
    <x v="2"/>
    <x v="19"/>
    <n v="190801"/>
    <n v="190801"/>
    <m/>
    <n v="38"/>
    <n v="190801"/>
    <n v="114000"/>
  </r>
  <r>
    <x v="286"/>
    <x v="5"/>
    <m/>
    <x v="5"/>
    <x v="2"/>
    <x v="28"/>
    <n v="190801"/>
    <n v="190801"/>
    <m/>
    <n v="11"/>
    <n v="190801"/>
    <n v="308000"/>
  </r>
  <r>
    <x v="286"/>
    <x v="5"/>
    <m/>
    <x v="22"/>
    <x v="2"/>
    <x v="29"/>
    <n v="190801"/>
    <n v="190801"/>
    <m/>
    <n v="8"/>
    <n v="190801"/>
    <n v="304000"/>
  </r>
  <r>
    <x v="286"/>
    <x v="5"/>
    <m/>
    <x v="19"/>
    <x v="2"/>
    <x v="22"/>
    <n v="190801"/>
    <n v="190801"/>
    <m/>
    <n v="9"/>
    <n v="190801"/>
    <n v="117000"/>
  </r>
  <r>
    <x v="286"/>
    <x v="5"/>
    <m/>
    <x v="19"/>
    <x v="2"/>
    <x v="24"/>
    <n v="190801"/>
    <n v="190801"/>
    <m/>
    <n v="1"/>
    <n v="190801"/>
    <n v="33000"/>
  </r>
  <r>
    <x v="287"/>
    <x v="6"/>
    <m/>
    <x v="0"/>
    <x v="7"/>
    <x v="15"/>
    <n v="190801"/>
    <n v="190801"/>
    <m/>
    <n v="18"/>
    <n v="190801"/>
    <n v="360000"/>
  </r>
  <r>
    <x v="287"/>
    <x v="6"/>
    <m/>
    <x v="6"/>
    <x v="2"/>
    <x v="37"/>
    <n v="190801"/>
    <n v="190801"/>
    <m/>
    <n v="4"/>
    <n v="190801"/>
    <n v="80000"/>
  </r>
  <r>
    <x v="287"/>
    <x v="6"/>
    <m/>
    <x v="6"/>
    <x v="2"/>
    <x v="42"/>
    <n v="190801"/>
    <n v="190801"/>
    <m/>
    <n v="4"/>
    <n v="190801"/>
    <n v="140000"/>
  </r>
  <r>
    <x v="287"/>
    <x v="6"/>
    <m/>
    <x v="19"/>
    <x v="2"/>
    <x v="38"/>
    <n v="190801"/>
    <n v="190801"/>
    <m/>
    <n v="3"/>
    <n v="190801"/>
    <n v="30000"/>
  </r>
  <r>
    <x v="287"/>
    <x v="6"/>
    <m/>
    <x v="29"/>
    <x v="2"/>
    <x v="40"/>
    <n v="190801"/>
    <n v="190801"/>
    <m/>
    <n v="2"/>
    <n v="190801"/>
    <n v="70000"/>
  </r>
  <r>
    <x v="287"/>
    <x v="6"/>
    <m/>
    <x v="29"/>
    <x v="2"/>
    <x v="41"/>
    <n v="190801"/>
    <n v="190801"/>
    <m/>
    <n v="4"/>
    <n v="190801"/>
    <n v="180000"/>
  </r>
  <r>
    <x v="287"/>
    <x v="6"/>
    <m/>
    <x v="25"/>
    <x v="2"/>
    <x v="34"/>
    <n v="190801"/>
    <n v="190801"/>
    <m/>
    <n v="9"/>
    <n v="190801"/>
    <n v="891000"/>
  </r>
  <r>
    <x v="287"/>
    <x v="6"/>
    <m/>
    <x v="1"/>
    <x v="2"/>
    <x v="18"/>
    <n v="190801"/>
    <n v="190801"/>
    <m/>
    <n v="1"/>
    <n v="190801"/>
    <n v="20000"/>
  </r>
  <r>
    <x v="287"/>
    <x v="6"/>
    <m/>
    <x v="1"/>
    <x v="2"/>
    <x v="21"/>
    <n v="190801"/>
    <n v="190801"/>
    <m/>
    <n v="1"/>
    <n v="190801"/>
    <n v="35000"/>
  </r>
  <r>
    <x v="287"/>
    <x v="6"/>
    <m/>
    <x v="0"/>
    <x v="2"/>
    <x v="15"/>
    <n v="190801"/>
    <n v="190801"/>
    <m/>
    <n v="84"/>
    <n v="190801"/>
    <n v="1680000"/>
  </r>
  <r>
    <x v="287"/>
    <x v="6"/>
    <m/>
    <x v="0"/>
    <x v="2"/>
    <x v="16"/>
    <n v="190801"/>
    <n v="190801"/>
    <m/>
    <n v="57"/>
    <n v="190801"/>
    <n v="1995000"/>
  </r>
  <r>
    <x v="287"/>
    <x v="6"/>
    <m/>
    <x v="0"/>
    <x v="2"/>
    <x v="17"/>
    <n v="190801"/>
    <n v="190801"/>
    <m/>
    <n v="64"/>
    <n v="190801"/>
    <n v="2112000"/>
  </r>
  <r>
    <x v="287"/>
    <x v="6"/>
    <m/>
    <x v="0"/>
    <x v="2"/>
    <x v="19"/>
    <n v="190801"/>
    <n v="190801"/>
    <m/>
    <n v="109"/>
    <n v="190801"/>
    <n v="327000"/>
  </r>
  <r>
    <x v="287"/>
    <x v="6"/>
    <m/>
    <x v="5"/>
    <x v="2"/>
    <x v="28"/>
    <n v="190801"/>
    <n v="190801"/>
    <m/>
    <n v="18"/>
    <n v="190801"/>
    <n v="504000"/>
  </r>
  <r>
    <x v="287"/>
    <x v="6"/>
    <m/>
    <x v="22"/>
    <x v="2"/>
    <x v="29"/>
    <n v="190801"/>
    <n v="190801"/>
    <m/>
    <n v="4"/>
    <n v="190801"/>
    <n v="152000"/>
  </r>
  <r>
    <x v="287"/>
    <x v="6"/>
    <m/>
    <x v="19"/>
    <x v="2"/>
    <x v="22"/>
    <n v="190801"/>
    <n v="190801"/>
    <m/>
    <n v="13"/>
    <n v="190801"/>
    <n v="169000"/>
  </r>
  <r>
    <x v="287"/>
    <x v="6"/>
    <m/>
    <x v="19"/>
    <x v="2"/>
    <x v="23"/>
    <n v="190801"/>
    <n v="190801"/>
    <m/>
    <n v="2"/>
    <n v="190801"/>
    <n v="48000"/>
  </r>
  <r>
    <x v="287"/>
    <x v="6"/>
    <m/>
    <x v="19"/>
    <x v="2"/>
    <x v="24"/>
    <n v="190801"/>
    <n v="190801"/>
    <m/>
    <n v="1"/>
    <n v="190801"/>
    <n v="33000"/>
  </r>
  <r>
    <x v="287"/>
    <x v="6"/>
    <m/>
    <x v="0"/>
    <x v="6"/>
    <x v="15"/>
    <n v="190801"/>
    <n v="190801"/>
    <m/>
    <n v="552"/>
    <n v="190801"/>
    <n v="5005536"/>
  </r>
  <r>
    <x v="287"/>
    <x v="6"/>
    <m/>
    <x v="0"/>
    <x v="6"/>
    <x v="17"/>
    <n v="190801"/>
    <n v="190801"/>
    <m/>
    <n v="7"/>
    <n v="190801"/>
    <n v="110726"/>
  </r>
  <r>
    <x v="287"/>
    <x v="6"/>
    <m/>
    <x v="4"/>
    <x v="6"/>
    <x v="26"/>
    <n v="190801"/>
    <n v="190801"/>
    <m/>
    <n v="509"/>
    <n v="190801"/>
    <n v="546157"/>
  </r>
  <r>
    <x v="287"/>
    <x v="6"/>
    <m/>
    <x v="26"/>
    <x v="6"/>
    <x v="35"/>
    <n v="190801"/>
    <n v="190801"/>
    <m/>
    <n v="55"/>
    <n v="190801"/>
    <n v="942205"/>
  </r>
  <r>
    <x v="287"/>
    <x v="6"/>
    <m/>
    <x v="22"/>
    <x v="6"/>
    <x v="29"/>
    <n v="190801"/>
    <n v="190801"/>
    <m/>
    <n v="15"/>
    <n v="190801"/>
    <n v="295365"/>
  </r>
  <r>
    <x v="287"/>
    <x v="6"/>
    <m/>
    <x v="24"/>
    <x v="6"/>
    <x v="31"/>
    <n v="190801"/>
    <n v="190801"/>
    <m/>
    <n v="126"/>
    <n v="190801"/>
    <n v="1874502"/>
  </r>
  <r>
    <x v="287"/>
    <x v="6"/>
    <m/>
    <x v="23"/>
    <x v="6"/>
    <x v="30"/>
    <n v="190801"/>
    <n v="190801"/>
    <m/>
    <n v="168"/>
    <n v="190801"/>
    <n v="1169952"/>
  </r>
  <r>
    <x v="287"/>
    <x v="6"/>
    <m/>
    <x v="20"/>
    <x v="6"/>
    <x v="25"/>
    <n v="190801"/>
    <n v="190801"/>
    <m/>
    <n v="1"/>
    <n v="190801"/>
    <n v="9716"/>
  </r>
  <r>
    <x v="287"/>
    <x v="6"/>
    <m/>
    <x v="19"/>
    <x v="6"/>
    <x v="22"/>
    <n v="190801"/>
    <n v="190801"/>
    <m/>
    <n v="11"/>
    <n v="190801"/>
    <n v="74701"/>
  </r>
  <r>
    <x v="287"/>
    <x v="6"/>
    <m/>
    <x v="27"/>
    <x v="6"/>
    <x v="36"/>
    <n v="190801"/>
    <n v="190801"/>
    <m/>
    <n v="77"/>
    <n v="190801"/>
    <n v="728189"/>
  </r>
  <r>
    <x v="287"/>
    <x v="6"/>
    <m/>
    <x v="6"/>
    <x v="6"/>
    <x v="37"/>
    <n v="190801"/>
    <n v="190801"/>
    <m/>
    <n v="27"/>
    <n v="190801"/>
    <n v="270000"/>
  </r>
  <r>
    <x v="287"/>
    <x v="6"/>
    <m/>
    <x v="28"/>
    <x v="6"/>
    <x v="39"/>
    <n v="190801"/>
    <n v="190801"/>
    <m/>
    <n v="392"/>
    <n v="190801"/>
    <n v="6200656"/>
  </r>
  <r>
    <x v="288"/>
    <x v="3"/>
    <m/>
    <x v="0"/>
    <x v="1"/>
    <x v="15"/>
    <n v="190801"/>
    <n v="190801"/>
    <m/>
    <n v="1"/>
    <n v="190801"/>
    <n v="20000"/>
  </r>
  <r>
    <x v="288"/>
    <x v="3"/>
    <m/>
    <x v="0"/>
    <x v="1"/>
    <x v="16"/>
    <n v="190801"/>
    <n v="190801"/>
    <m/>
    <n v="15"/>
    <n v="190801"/>
    <n v="525000"/>
  </r>
  <r>
    <x v="288"/>
    <x v="3"/>
    <m/>
    <x v="0"/>
    <x v="7"/>
    <x v="15"/>
    <n v="190801"/>
    <n v="190801"/>
    <m/>
    <n v="13"/>
    <n v="190801"/>
    <n v="260000"/>
  </r>
  <r>
    <x v="288"/>
    <x v="3"/>
    <m/>
    <x v="6"/>
    <x v="2"/>
    <x v="37"/>
    <n v="190801"/>
    <n v="190801"/>
    <m/>
    <n v="7"/>
    <n v="190801"/>
    <n v="140000"/>
  </r>
  <r>
    <x v="288"/>
    <x v="3"/>
    <m/>
    <x v="6"/>
    <x v="2"/>
    <x v="42"/>
    <n v="190801"/>
    <n v="190801"/>
    <m/>
    <n v="2"/>
    <n v="190801"/>
    <n v="70000"/>
  </r>
  <r>
    <x v="288"/>
    <x v="3"/>
    <m/>
    <x v="29"/>
    <x v="2"/>
    <x v="40"/>
    <n v="190801"/>
    <n v="190801"/>
    <m/>
    <n v="9"/>
    <n v="190801"/>
    <n v="315000"/>
  </r>
  <r>
    <x v="288"/>
    <x v="3"/>
    <m/>
    <x v="29"/>
    <x v="2"/>
    <x v="41"/>
    <n v="190801"/>
    <n v="190801"/>
    <m/>
    <n v="2"/>
    <n v="190801"/>
    <n v="90000"/>
  </r>
  <r>
    <x v="288"/>
    <x v="3"/>
    <m/>
    <x v="25"/>
    <x v="2"/>
    <x v="34"/>
    <n v="190801"/>
    <n v="190801"/>
    <m/>
    <n v="3"/>
    <n v="190801"/>
    <n v="297000"/>
  </r>
  <r>
    <x v="288"/>
    <x v="3"/>
    <m/>
    <x v="1"/>
    <x v="2"/>
    <x v="18"/>
    <n v="190801"/>
    <n v="190801"/>
    <m/>
    <n v="1"/>
    <n v="190801"/>
    <n v="20000"/>
  </r>
  <r>
    <x v="288"/>
    <x v="3"/>
    <m/>
    <x v="0"/>
    <x v="2"/>
    <x v="15"/>
    <n v="190801"/>
    <n v="190801"/>
    <m/>
    <n v="93"/>
    <n v="190801"/>
    <n v="1860000"/>
  </r>
  <r>
    <x v="288"/>
    <x v="3"/>
    <m/>
    <x v="0"/>
    <x v="2"/>
    <x v="16"/>
    <n v="190801"/>
    <n v="190801"/>
    <m/>
    <n v="109"/>
    <n v="190801"/>
    <n v="3815000"/>
  </r>
  <r>
    <x v="288"/>
    <x v="3"/>
    <m/>
    <x v="0"/>
    <x v="2"/>
    <x v="17"/>
    <n v="190801"/>
    <n v="190801"/>
    <m/>
    <n v="61"/>
    <n v="190801"/>
    <n v="2013000"/>
  </r>
  <r>
    <x v="288"/>
    <x v="3"/>
    <m/>
    <x v="0"/>
    <x v="2"/>
    <x v="19"/>
    <n v="190801"/>
    <n v="190801"/>
    <m/>
    <n v="102"/>
    <n v="190801"/>
    <n v="306000"/>
  </r>
  <r>
    <x v="288"/>
    <x v="3"/>
    <m/>
    <x v="5"/>
    <x v="2"/>
    <x v="28"/>
    <n v="190801"/>
    <n v="190801"/>
    <m/>
    <n v="31"/>
    <n v="190801"/>
    <n v="868000"/>
  </r>
  <r>
    <x v="288"/>
    <x v="3"/>
    <m/>
    <x v="22"/>
    <x v="2"/>
    <x v="29"/>
    <n v="190801"/>
    <n v="190801"/>
    <m/>
    <n v="9"/>
    <n v="190801"/>
    <n v="342000"/>
  </r>
  <r>
    <x v="288"/>
    <x v="3"/>
    <m/>
    <x v="19"/>
    <x v="2"/>
    <x v="22"/>
    <n v="190801"/>
    <n v="190801"/>
    <m/>
    <n v="7"/>
    <n v="190801"/>
    <n v="91000"/>
  </r>
  <r>
    <x v="288"/>
    <x v="3"/>
    <m/>
    <x v="19"/>
    <x v="2"/>
    <x v="23"/>
    <n v="190801"/>
    <n v="190801"/>
    <m/>
    <n v="4"/>
    <n v="190801"/>
    <n v="96000"/>
  </r>
  <r>
    <x v="288"/>
    <x v="3"/>
    <m/>
    <x v="19"/>
    <x v="2"/>
    <x v="24"/>
    <n v="190801"/>
    <n v="190801"/>
    <m/>
    <n v="1"/>
    <n v="190801"/>
    <n v="33000"/>
  </r>
  <r>
    <x v="288"/>
    <x v="3"/>
    <m/>
    <x v="0"/>
    <x v="10"/>
    <x v="15"/>
    <n v="190801"/>
    <n v="190801"/>
    <m/>
    <n v="27"/>
    <n v="190801"/>
    <n v="850500"/>
  </r>
  <r>
    <x v="288"/>
    <x v="3"/>
    <m/>
    <x v="0"/>
    <x v="10"/>
    <x v="16"/>
    <n v="190801"/>
    <n v="190801"/>
    <m/>
    <n v="9"/>
    <n v="190801"/>
    <n v="396000"/>
  </r>
  <r>
    <x v="288"/>
    <x v="3"/>
    <m/>
    <x v="5"/>
    <x v="10"/>
    <x v="28"/>
    <n v="190801"/>
    <n v="190801"/>
    <m/>
    <n v="3"/>
    <n v="190801"/>
    <n v="114000"/>
  </r>
  <r>
    <x v="288"/>
    <x v="3"/>
    <m/>
    <x v="1"/>
    <x v="10"/>
    <x v="18"/>
    <n v="190801"/>
    <n v="190801"/>
    <m/>
    <n v="1"/>
    <n v="190801"/>
    <n v="31500"/>
  </r>
  <r>
    <x v="288"/>
    <x v="3"/>
    <m/>
    <x v="19"/>
    <x v="10"/>
    <x v="22"/>
    <n v="190801"/>
    <n v="190801"/>
    <m/>
    <n v="1"/>
    <n v="190801"/>
    <n v="25000"/>
  </r>
  <r>
    <x v="288"/>
    <x v="3"/>
    <m/>
    <x v="22"/>
    <x v="10"/>
    <x v="29"/>
    <n v="190801"/>
    <n v="190801"/>
    <m/>
    <n v="1"/>
    <n v="190801"/>
    <n v="43000"/>
  </r>
  <r>
    <x v="288"/>
    <x v="3"/>
    <m/>
    <x v="0"/>
    <x v="3"/>
    <x v="15"/>
    <n v="190801"/>
    <n v="190801"/>
    <m/>
    <n v="2"/>
    <n v="190801"/>
    <n v="0"/>
  </r>
  <r>
    <x v="288"/>
    <x v="3"/>
    <m/>
    <x v="0"/>
    <x v="3"/>
    <x v="17"/>
    <n v="190801"/>
    <n v="190801"/>
    <m/>
    <n v="1"/>
    <n v="190801"/>
    <n v="0"/>
  </r>
  <r>
    <x v="288"/>
    <x v="3"/>
    <m/>
    <x v="18"/>
    <x v="3"/>
    <x v="19"/>
    <n v="190801"/>
    <n v="190801"/>
    <m/>
    <n v="3"/>
    <n v="190801"/>
    <n v="0"/>
  </r>
  <r>
    <x v="288"/>
    <x v="3"/>
    <m/>
    <x v="5"/>
    <x v="3"/>
    <x v="28"/>
    <n v="190801"/>
    <n v="190801"/>
    <m/>
    <n v="1"/>
    <n v="190801"/>
    <n v="0"/>
  </r>
  <r>
    <x v="288"/>
    <x v="3"/>
    <m/>
    <x v="4"/>
    <x v="3"/>
    <x v="27"/>
    <n v="190801"/>
    <n v="190801"/>
    <m/>
    <n v="1"/>
    <n v="190801"/>
    <n v="0"/>
  </r>
  <r>
    <x v="288"/>
    <x v="3"/>
    <m/>
    <x v="6"/>
    <x v="3"/>
    <x v="37"/>
    <n v="190801"/>
    <n v="190801"/>
    <m/>
    <n v="1"/>
    <n v="190801"/>
    <n v="0"/>
  </r>
  <r>
    <x v="288"/>
    <x v="3"/>
    <m/>
    <x v="22"/>
    <x v="3"/>
    <x v="29"/>
    <n v="190801"/>
    <n v="190801"/>
    <m/>
    <n v="1"/>
    <n v="190801"/>
    <n v="0"/>
  </r>
  <r>
    <x v="288"/>
    <x v="3"/>
    <m/>
    <x v="1"/>
    <x v="3"/>
    <x v="18"/>
    <n v="190801"/>
    <n v="190801"/>
    <m/>
    <n v="1"/>
    <n v="190801"/>
    <n v="0"/>
  </r>
  <r>
    <x v="288"/>
    <x v="3"/>
    <m/>
    <x v="19"/>
    <x v="3"/>
    <x v="22"/>
    <n v="190801"/>
    <n v="190801"/>
    <m/>
    <n v="1"/>
    <n v="190801"/>
    <n v="0"/>
  </r>
  <r>
    <x v="288"/>
    <x v="3"/>
    <m/>
    <x v="0"/>
    <x v="9"/>
    <x v="15"/>
    <n v="190801"/>
    <n v="190801"/>
    <m/>
    <n v="4"/>
    <n v="190801"/>
    <n v="80000"/>
  </r>
  <r>
    <x v="289"/>
    <x v="4"/>
    <m/>
    <x v="0"/>
    <x v="1"/>
    <x v="15"/>
    <n v="190801"/>
    <n v="190801"/>
    <m/>
    <n v="1"/>
    <n v="190801"/>
    <n v="20000"/>
  </r>
  <r>
    <x v="289"/>
    <x v="4"/>
    <m/>
    <x v="0"/>
    <x v="1"/>
    <x v="16"/>
    <n v="190801"/>
    <n v="190801"/>
    <m/>
    <n v="4"/>
    <n v="190801"/>
    <n v="140000"/>
  </r>
  <r>
    <x v="289"/>
    <x v="4"/>
    <m/>
    <x v="0"/>
    <x v="7"/>
    <x v="15"/>
    <n v="190801"/>
    <n v="190801"/>
    <m/>
    <n v="5"/>
    <n v="190801"/>
    <n v="100000"/>
  </r>
  <r>
    <x v="289"/>
    <x v="4"/>
    <m/>
    <x v="6"/>
    <x v="2"/>
    <x v="37"/>
    <n v="190801"/>
    <n v="190801"/>
    <m/>
    <n v="9"/>
    <n v="190801"/>
    <n v="180000"/>
  </r>
  <r>
    <x v="289"/>
    <x v="4"/>
    <m/>
    <x v="6"/>
    <x v="2"/>
    <x v="42"/>
    <n v="190801"/>
    <n v="190801"/>
    <m/>
    <n v="4"/>
    <n v="190801"/>
    <n v="140000"/>
  </r>
  <r>
    <x v="289"/>
    <x v="4"/>
    <m/>
    <x v="19"/>
    <x v="2"/>
    <x v="38"/>
    <n v="190801"/>
    <n v="190801"/>
    <m/>
    <n v="3"/>
    <n v="190801"/>
    <n v="30000"/>
  </r>
  <r>
    <x v="289"/>
    <x v="4"/>
    <m/>
    <x v="29"/>
    <x v="2"/>
    <x v="40"/>
    <n v="190801"/>
    <n v="190801"/>
    <m/>
    <n v="4"/>
    <n v="190801"/>
    <n v="140000"/>
  </r>
  <r>
    <x v="289"/>
    <x v="4"/>
    <m/>
    <x v="29"/>
    <x v="2"/>
    <x v="41"/>
    <n v="190801"/>
    <n v="190801"/>
    <m/>
    <n v="7"/>
    <n v="190801"/>
    <n v="315000"/>
  </r>
  <r>
    <x v="289"/>
    <x v="4"/>
    <m/>
    <x v="25"/>
    <x v="2"/>
    <x v="34"/>
    <n v="190801"/>
    <n v="190801"/>
    <m/>
    <n v="1"/>
    <n v="190801"/>
    <n v="99000"/>
  </r>
  <r>
    <x v="289"/>
    <x v="4"/>
    <m/>
    <x v="1"/>
    <x v="2"/>
    <x v="18"/>
    <n v="190801"/>
    <n v="190801"/>
    <m/>
    <n v="3"/>
    <n v="190801"/>
    <n v="60000"/>
  </r>
  <r>
    <x v="289"/>
    <x v="4"/>
    <m/>
    <x v="1"/>
    <x v="2"/>
    <x v="21"/>
    <n v="190801"/>
    <n v="190801"/>
    <m/>
    <n v="3"/>
    <n v="190801"/>
    <n v="105000"/>
  </r>
  <r>
    <x v="289"/>
    <x v="4"/>
    <m/>
    <x v="0"/>
    <x v="2"/>
    <x v="15"/>
    <n v="190801"/>
    <n v="190801"/>
    <m/>
    <n v="79"/>
    <n v="190801"/>
    <n v="1580000"/>
  </r>
  <r>
    <x v="289"/>
    <x v="4"/>
    <m/>
    <x v="0"/>
    <x v="2"/>
    <x v="16"/>
    <n v="190801"/>
    <n v="190801"/>
    <m/>
    <n v="74"/>
    <n v="190801"/>
    <n v="2590000"/>
  </r>
  <r>
    <x v="289"/>
    <x v="4"/>
    <m/>
    <x v="0"/>
    <x v="2"/>
    <x v="17"/>
    <n v="190801"/>
    <n v="190801"/>
    <m/>
    <n v="77"/>
    <n v="190801"/>
    <n v="2541000"/>
  </r>
  <r>
    <x v="289"/>
    <x v="4"/>
    <m/>
    <x v="0"/>
    <x v="2"/>
    <x v="19"/>
    <n v="190801"/>
    <n v="190801"/>
    <m/>
    <n v="109"/>
    <n v="190801"/>
    <n v="327000"/>
  </r>
  <r>
    <x v="289"/>
    <x v="4"/>
    <m/>
    <x v="5"/>
    <x v="2"/>
    <x v="28"/>
    <n v="190801"/>
    <n v="190801"/>
    <m/>
    <n v="32"/>
    <n v="190801"/>
    <n v="896000"/>
  </r>
  <r>
    <x v="289"/>
    <x v="4"/>
    <m/>
    <x v="22"/>
    <x v="2"/>
    <x v="29"/>
    <n v="190801"/>
    <n v="190801"/>
    <m/>
    <n v="13"/>
    <n v="190801"/>
    <n v="494000"/>
  </r>
  <r>
    <x v="289"/>
    <x v="4"/>
    <m/>
    <x v="19"/>
    <x v="2"/>
    <x v="22"/>
    <n v="190801"/>
    <n v="190801"/>
    <m/>
    <n v="12"/>
    <n v="190801"/>
    <n v="156000"/>
  </r>
  <r>
    <x v="289"/>
    <x v="4"/>
    <m/>
    <x v="6"/>
    <x v="8"/>
    <x v="37"/>
    <n v="190801"/>
    <n v="190801"/>
    <m/>
    <n v="10"/>
    <n v="190801"/>
    <n v="63000"/>
  </r>
  <r>
    <x v="289"/>
    <x v="4"/>
    <m/>
    <x v="0"/>
    <x v="10"/>
    <x v="15"/>
    <n v="190801"/>
    <n v="190801"/>
    <m/>
    <n v="7"/>
    <n v="190801"/>
    <n v="220500"/>
  </r>
  <r>
    <x v="289"/>
    <x v="4"/>
    <m/>
    <x v="0"/>
    <x v="10"/>
    <x v="16"/>
    <n v="190801"/>
    <n v="190801"/>
    <m/>
    <n v="3"/>
    <n v="190801"/>
    <n v="132000"/>
  </r>
  <r>
    <x v="289"/>
    <x v="4"/>
    <m/>
    <x v="22"/>
    <x v="10"/>
    <x v="29"/>
    <n v="190801"/>
    <n v="190801"/>
    <m/>
    <n v="1"/>
    <n v="190801"/>
    <n v="43000"/>
  </r>
  <r>
    <x v="289"/>
    <x v="4"/>
    <m/>
    <x v="6"/>
    <x v="3"/>
    <x v="37"/>
    <n v="190801"/>
    <n v="190801"/>
    <m/>
    <n v="2"/>
    <n v="190801"/>
    <n v="0"/>
  </r>
  <r>
    <x v="289"/>
    <x v="4"/>
    <m/>
    <x v="0"/>
    <x v="9"/>
    <x v="15"/>
    <n v="190801"/>
    <n v="190801"/>
    <m/>
    <n v="7"/>
    <n v="190801"/>
    <n v="140000"/>
  </r>
  <r>
    <x v="290"/>
    <x v="1"/>
    <m/>
    <x v="0"/>
    <x v="1"/>
    <x v="15"/>
    <n v="190801"/>
    <n v="190801"/>
    <m/>
    <n v="1"/>
    <n v="190801"/>
    <n v="20000"/>
  </r>
  <r>
    <x v="290"/>
    <x v="1"/>
    <m/>
    <x v="0"/>
    <x v="1"/>
    <x v="16"/>
    <n v="190801"/>
    <n v="190801"/>
    <m/>
    <n v="1"/>
    <n v="190801"/>
    <n v="35000"/>
  </r>
  <r>
    <x v="290"/>
    <x v="1"/>
    <m/>
    <x v="22"/>
    <x v="5"/>
    <x v="52"/>
    <n v="190801"/>
    <n v="190801"/>
    <m/>
    <n v="10"/>
    <n v="190801"/>
    <n v="171000"/>
  </r>
  <r>
    <x v="290"/>
    <x v="1"/>
    <m/>
    <x v="0"/>
    <x v="7"/>
    <x v="15"/>
    <n v="190801"/>
    <n v="190801"/>
    <m/>
    <n v="25"/>
    <n v="190801"/>
    <n v="500000"/>
  </r>
  <r>
    <x v="290"/>
    <x v="1"/>
    <m/>
    <x v="6"/>
    <x v="2"/>
    <x v="37"/>
    <n v="190801"/>
    <n v="190801"/>
    <m/>
    <n v="3"/>
    <n v="190801"/>
    <n v="60000"/>
  </r>
  <r>
    <x v="290"/>
    <x v="1"/>
    <m/>
    <x v="6"/>
    <x v="2"/>
    <x v="42"/>
    <n v="190801"/>
    <n v="190801"/>
    <m/>
    <n v="1"/>
    <n v="190801"/>
    <n v="35000"/>
  </r>
  <r>
    <x v="290"/>
    <x v="1"/>
    <m/>
    <x v="29"/>
    <x v="2"/>
    <x v="40"/>
    <n v="190801"/>
    <n v="190801"/>
    <m/>
    <n v="4"/>
    <n v="190801"/>
    <n v="140000"/>
  </r>
  <r>
    <x v="290"/>
    <x v="1"/>
    <m/>
    <x v="29"/>
    <x v="2"/>
    <x v="41"/>
    <n v="190801"/>
    <n v="190801"/>
    <m/>
    <n v="6"/>
    <n v="190801"/>
    <n v="270000"/>
  </r>
  <r>
    <x v="290"/>
    <x v="1"/>
    <m/>
    <x v="1"/>
    <x v="2"/>
    <x v="18"/>
    <n v="190801"/>
    <n v="190801"/>
    <m/>
    <n v="3"/>
    <n v="190801"/>
    <n v="60000"/>
  </r>
  <r>
    <x v="290"/>
    <x v="1"/>
    <m/>
    <x v="1"/>
    <x v="2"/>
    <x v="21"/>
    <n v="190801"/>
    <n v="190801"/>
    <m/>
    <n v="1"/>
    <n v="190801"/>
    <n v="35000"/>
  </r>
  <r>
    <x v="290"/>
    <x v="1"/>
    <m/>
    <x v="0"/>
    <x v="2"/>
    <x v="15"/>
    <n v="190801"/>
    <n v="190801"/>
    <m/>
    <n v="79"/>
    <n v="190801"/>
    <n v="1580000"/>
  </r>
  <r>
    <x v="290"/>
    <x v="1"/>
    <m/>
    <x v="0"/>
    <x v="2"/>
    <x v="16"/>
    <n v="190801"/>
    <n v="190801"/>
    <m/>
    <n v="77"/>
    <n v="190801"/>
    <n v="2695000"/>
  </r>
  <r>
    <x v="290"/>
    <x v="1"/>
    <m/>
    <x v="0"/>
    <x v="2"/>
    <x v="17"/>
    <n v="190801"/>
    <n v="190801"/>
    <m/>
    <n v="69"/>
    <n v="190801"/>
    <n v="2277000"/>
  </r>
  <r>
    <x v="290"/>
    <x v="1"/>
    <m/>
    <x v="0"/>
    <x v="2"/>
    <x v="19"/>
    <n v="190801"/>
    <n v="190801"/>
    <m/>
    <n v="102"/>
    <n v="190801"/>
    <n v="306000"/>
  </r>
  <r>
    <x v="290"/>
    <x v="1"/>
    <m/>
    <x v="5"/>
    <x v="2"/>
    <x v="28"/>
    <n v="190801"/>
    <n v="190801"/>
    <m/>
    <n v="16"/>
    <n v="190801"/>
    <n v="448000"/>
  </r>
  <r>
    <x v="290"/>
    <x v="1"/>
    <m/>
    <x v="22"/>
    <x v="2"/>
    <x v="29"/>
    <n v="190801"/>
    <n v="190801"/>
    <m/>
    <n v="11"/>
    <n v="190801"/>
    <n v="418000"/>
  </r>
  <r>
    <x v="290"/>
    <x v="1"/>
    <m/>
    <x v="19"/>
    <x v="2"/>
    <x v="22"/>
    <n v="190801"/>
    <n v="190801"/>
    <m/>
    <n v="10"/>
    <n v="190801"/>
    <n v="130000"/>
  </r>
  <r>
    <x v="290"/>
    <x v="1"/>
    <m/>
    <x v="19"/>
    <x v="2"/>
    <x v="23"/>
    <n v="190801"/>
    <n v="190801"/>
    <m/>
    <n v="2"/>
    <n v="190801"/>
    <n v="48000"/>
  </r>
  <r>
    <x v="290"/>
    <x v="1"/>
    <m/>
    <x v="19"/>
    <x v="2"/>
    <x v="24"/>
    <n v="190801"/>
    <n v="190801"/>
    <m/>
    <n v="3"/>
    <n v="190801"/>
    <n v="99000"/>
  </r>
  <r>
    <x v="290"/>
    <x v="1"/>
    <m/>
    <x v="0"/>
    <x v="10"/>
    <x v="15"/>
    <n v="190801"/>
    <n v="190801"/>
    <m/>
    <n v="36"/>
    <n v="190801"/>
    <n v="1134000"/>
  </r>
  <r>
    <x v="290"/>
    <x v="1"/>
    <m/>
    <x v="0"/>
    <x v="10"/>
    <x v="16"/>
    <n v="190801"/>
    <n v="190801"/>
    <m/>
    <n v="4"/>
    <n v="190801"/>
    <n v="176000"/>
  </r>
  <r>
    <x v="290"/>
    <x v="1"/>
    <m/>
    <x v="5"/>
    <x v="10"/>
    <x v="28"/>
    <n v="190801"/>
    <n v="190801"/>
    <m/>
    <n v="2"/>
    <n v="190801"/>
    <n v="76000"/>
  </r>
  <r>
    <x v="290"/>
    <x v="1"/>
    <m/>
    <x v="22"/>
    <x v="10"/>
    <x v="29"/>
    <n v="190801"/>
    <n v="190801"/>
    <m/>
    <n v="1"/>
    <n v="190801"/>
    <n v="43000"/>
  </r>
  <r>
    <x v="290"/>
    <x v="1"/>
    <m/>
    <x v="0"/>
    <x v="9"/>
    <x v="15"/>
    <n v="190801"/>
    <n v="190801"/>
    <m/>
    <n v="5"/>
    <n v="190801"/>
    <n v="100000"/>
  </r>
  <r>
    <x v="291"/>
    <x v="0"/>
    <m/>
    <x v="0"/>
    <x v="1"/>
    <x v="15"/>
    <n v="190801"/>
    <n v="190801"/>
    <m/>
    <n v="5"/>
    <n v="190801"/>
    <n v="100000"/>
  </r>
  <r>
    <x v="291"/>
    <x v="0"/>
    <m/>
    <x v="0"/>
    <x v="1"/>
    <x v="16"/>
    <n v="190801"/>
    <n v="190801"/>
    <m/>
    <n v="4"/>
    <n v="190801"/>
    <n v="140000"/>
  </r>
  <r>
    <x v="291"/>
    <x v="0"/>
    <m/>
    <x v="0"/>
    <x v="7"/>
    <x v="15"/>
    <n v="190801"/>
    <n v="190801"/>
    <m/>
    <n v="7"/>
    <n v="190801"/>
    <n v="140000"/>
  </r>
  <r>
    <x v="291"/>
    <x v="0"/>
    <m/>
    <x v="6"/>
    <x v="2"/>
    <x v="37"/>
    <n v="190801"/>
    <n v="190801"/>
    <m/>
    <n v="7"/>
    <n v="190801"/>
    <n v="140000"/>
  </r>
  <r>
    <x v="291"/>
    <x v="0"/>
    <m/>
    <x v="6"/>
    <x v="2"/>
    <x v="42"/>
    <n v="190801"/>
    <n v="190801"/>
    <m/>
    <n v="2"/>
    <n v="190801"/>
    <n v="70000"/>
  </r>
  <r>
    <x v="291"/>
    <x v="0"/>
    <m/>
    <x v="29"/>
    <x v="2"/>
    <x v="40"/>
    <n v="190801"/>
    <n v="190801"/>
    <m/>
    <n v="2"/>
    <n v="190801"/>
    <n v="70000"/>
  </r>
  <r>
    <x v="291"/>
    <x v="0"/>
    <m/>
    <x v="29"/>
    <x v="2"/>
    <x v="41"/>
    <n v="190801"/>
    <n v="190801"/>
    <m/>
    <n v="1"/>
    <n v="190801"/>
    <n v="45000"/>
  </r>
  <r>
    <x v="291"/>
    <x v="0"/>
    <m/>
    <x v="1"/>
    <x v="2"/>
    <x v="18"/>
    <n v="190801"/>
    <n v="190801"/>
    <m/>
    <n v="3"/>
    <n v="190801"/>
    <n v="60000"/>
  </r>
  <r>
    <x v="291"/>
    <x v="0"/>
    <m/>
    <x v="0"/>
    <x v="2"/>
    <x v="15"/>
    <n v="190801"/>
    <n v="190801"/>
    <m/>
    <n v="64"/>
    <n v="190801"/>
    <n v="1280000"/>
  </r>
  <r>
    <x v="291"/>
    <x v="0"/>
    <m/>
    <x v="0"/>
    <x v="2"/>
    <x v="16"/>
    <n v="190801"/>
    <n v="190801"/>
    <m/>
    <n v="92"/>
    <n v="190801"/>
    <n v="3220000"/>
  </r>
  <r>
    <x v="291"/>
    <x v="0"/>
    <m/>
    <x v="0"/>
    <x v="2"/>
    <x v="17"/>
    <n v="190801"/>
    <n v="190801"/>
    <m/>
    <n v="52"/>
    <n v="190801"/>
    <n v="1716000"/>
  </r>
  <r>
    <x v="291"/>
    <x v="0"/>
    <m/>
    <x v="0"/>
    <x v="2"/>
    <x v="19"/>
    <n v="190801"/>
    <n v="190801"/>
    <m/>
    <n v="347"/>
    <n v="190801"/>
    <n v="1041000"/>
  </r>
  <r>
    <x v="291"/>
    <x v="0"/>
    <m/>
    <x v="5"/>
    <x v="2"/>
    <x v="28"/>
    <n v="190801"/>
    <n v="190801"/>
    <m/>
    <n v="220"/>
    <n v="190801"/>
    <n v="6160000"/>
  </r>
  <r>
    <x v="291"/>
    <x v="0"/>
    <m/>
    <x v="22"/>
    <x v="2"/>
    <x v="29"/>
    <n v="190801"/>
    <n v="190801"/>
    <m/>
    <n v="2"/>
    <n v="190801"/>
    <n v="76000"/>
  </r>
  <r>
    <x v="291"/>
    <x v="0"/>
    <m/>
    <x v="19"/>
    <x v="2"/>
    <x v="22"/>
    <n v="190801"/>
    <n v="190801"/>
    <m/>
    <n v="7"/>
    <n v="190801"/>
    <n v="91000"/>
  </r>
  <r>
    <x v="291"/>
    <x v="0"/>
    <m/>
    <x v="19"/>
    <x v="2"/>
    <x v="23"/>
    <n v="190801"/>
    <n v="190801"/>
    <m/>
    <n v="2"/>
    <n v="190801"/>
    <n v="48000"/>
  </r>
  <r>
    <x v="291"/>
    <x v="0"/>
    <m/>
    <x v="0"/>
    <x v="10"/>
    <x v="15"/>
    <n v="190801"/>
    <n v="190801"/>
    <m/>
    <n v="24"/>
    <n v="190801"/>
    <n v="756000"/>
  </r>
  <r>
    <x v="291"/>
    <x v="0"/>
    <m/>
    <x v="0"/>
    <x v="10"/>
    <x v="16"/>
    <n v="190801"/>
    <n v="190801"/>
    <m/>
    <n v="13"/>
    <n v="190801"/>
    <n v="572000"/>
  </r>
  <r>
    <x v="291"/>
    <x v="0"/>
    <m/>
    <x v="5"/>
    <x v="10"/>
    <x v="28"/>
    <n v="190801"/>
    <n v="190801"/>
    <m/>
    <n v="1"/>
    <n v="190801"/>
    <n v="38000"/>
  </r>
  <r>
    <x v="291"/>
    <x v="0"/>
    <m/>
    <x v="1"/>
    <x v="10"/>
    <x v="18"/>
    <n v="190801"/>
    <n v="190801"/>
    <m/>
    <n v="1"/>
    <n v="190801"/>
    <n v="31500"/>
  </r>
  <r>
    <x v="291"/>
    <x v="0"/>
    <m/>
    <x v="19"/>
    <x v="10"/>
    <x v="22"/>
    <n v="190801"/>
    <n v="190801"/>
    <m/>
    <n v="1"/>
    <n v="190801"/>
    <n v="25000"/>
  </r>
  <r>
    <x v="291"/>
    <x v="0"/>
    <m/>
    <x v="22"/>
    <x v="10"/>
    <x v="29"/>
    <n v="190801"/>
    <n v="190801"/>
    <m/>
    <n v="1"/>
    <n v="190801"/>
    <n v="43000"/>
  </r>
  <r>
    <x v="291"/>
    <x v="0"/>
    <m/>
    <x v="0"/>
    <x v="9"/>
    <x v="15"/>
    <n v="190801"/>
    <n v="190801"/>
    <m/>
    <n v="1"/>
    <n v="190801"/>
    <n v="20000"/>
  </r>
  <r>
    <x v="291"/>
    <x v="0"/>
    <m/>
    <x v="6"/>
    <x v="9"/>
    <x v="37"/>
    <n v="190801"/>
    <n v="190801"/>
    <m/>
    <n v="1"/>
    <n v="190801"/>
    <n v="20000"/>
  </r>
  <r>
    <x v="292"/>
    <x v="2"/>
    <m/>
    <x v="0"/>
    <x v="1"/>
    <x v="15"/>
    <n v="190801"/>
    <n v="190801"/>
    <m/>
    <n v="7"/>
    <n v="190801"/>
    <n v="140000"/>
  </r>
  <r>
    <x v="292"/>
    <x v="2"/>
    <m/>
    <x v="0"/>
    <x v="1"/>
    <x v="16"/>
    <n v="190801"/>
    <n v="190801"/>
    <m/>
    <n v="4"/>
    <n v="190801"/>
    <n v="140000"/>
  </r>
  <r>
    <x v="292"/>
    <x v="2"/>
    <m/>
    <x v="0"/>
    <x v="7"/>
    <x v="15"/>
    <n v="190801"/>
    <n v="190801"/>
    <m/>
    <n v="2"/>
    <n v="190801"/>
    <n v="40000"/>
  </r>
  <r>
    <x v="292"/>
    <x v="2"/>
    <m/>
    <x v="6"/>
    <x v="2"/>
    <x v="37"/>
    <n v="190801"/>
    <n v="190801"/>
    <m/>
    <n v="3"/>
    <n v="190801"/>
    <n v="60000"/>
  </r>
  <r>
    <x v="292"/>
    <x v="2"/>
    <m/>
    <x v="6"/>
    <x v="2"/>
    <x v="42"/>
    <n v="190801"/>
    <n v="190801"/>
    <m/>
    <n v="1"/>
    <n v="190801"/>
    <n v="35000"/>
  </r>
  <r>
    <x v="292"/>
    <x v="2"/>
    <m/>
    <x v="19"/>
    <x v="2"/>
    <x v="38"/>
    <n v="190801"/>
    <n v="190801"/>
    <m/>
    <n v="2"/>
    <n v="190801"/>
    <n v="20000"/>
  </r>
  <r>
    <x v="292"/>
    <x v="2"/>
    <m/>
    <x v="29"/>
    <x v="2"/>
    <x v="41"/>
    <n v="190801"/>
    <n v="190801"/>
    <m/>
    <n v="2"/>
    <n v="190801"/>
    <n v="90000"/>
  </r>
  <r>
    <x v="292"/>
    <x v="2"/>
    <m/>
    <x v="1"/>
    <x v="2"/>
    <x v="21"/>
    <n v="190801"/>
    <n v="190801"/>
    <m/>
    <n v="1"/>
    <n v="190801"/>
    <n v="35000"/>
  </r>
  <r>
    <x v="292"/>
    <x v="2"/>
    <m/>
    <x v="0"/>
    <x v="2"/>
    <x v="15"/>
    <n v="190801"/>
    <n v="190801"/>
    <m/>
    <n v="47"/>
    <n v="190801"/>
    <n v="940000"/>
  </r>
  <r>
    <x v="292"/>
    <x v="2"/>
    <m/>
    <x v="0"/>
    <x v="2"/>
    <x v="16"/>
    <n v="190801"/>
    <n v="190801"/>
    <m/>
    <n v="43"/>
    <n v="190801"/>
    <n v="1505000"/>
  </r>
  <r>
    <x v="292"/>
    <x v="2"/>
    <m/>
    <x v="0"/>
    <x v="2"/>
    <x v="17"/>
    <n v="190801"/>
    <n v="190801"/>
    <m/>
    <n v="46"/>
    <n v="190801"/>
    <n v="1518000"/>
  </r>
  <r>
    <x v="292"/>
    <x v="2"/>
    <m/>
    <x v="0"/>
    <x v="2"/>
    <x v="19"/>
    <n v="190801"/>
    <n v="190801"/>
    <m/>
    <n v="56"/>
    <n v="190801"/>
    <n v="168000"/>
  </r>
  <r>
    <x v="292"/>
    <x v="2"/>
    <m/>
    <x v="5"/>
    <x v="2"/>
    <x v="28"/>
    <n v="190801"/>
    <n v="190801"/>
    <m/>
    <n v="14"/>
    <n v="190801"/>
    <n v="392000"/>
  </r>
  <r>
    <x v="292"/>
    <x v="2"/>
    <m/>
    <x v="22"/>
    <x v="2"/>
    <x v="29"/>
    <n v="190801"/>
    <n v="190801"/>
    <m/>
    <n v="5"/>
    <n v="190801"/>
    <n v="190000"/>
  </r>
  <r>
    <x v="292"/>
    <x v="2"/>
    <m/>
    <x v="19"/>
    <x v="2"/>
    <x v="22"/>
    <n v="190801"/>
    <n v="190801"/>
    <m/>
    <n v="7"/>
    <n v="190801"/>
    <n v="91000"/>
  </r>
  <r>
    <x v="292"/>
    <x v="2"/>
    <m/>
    <x v="19"/>
    <x v="2"/>
    <x v="23"/>
    <n v="190801"/>
    <n v="190801"/>
    <m/>
    <n v="1"/>
    <n v="190801"/>
    <n v="24000"/>
  </r>
  <r>
    <x v="292"/>
    <x v="2"/>
    <m/>
    <x v="19"/>
    <x v="2"/>
    <x v="24"/>
    <n v="190801"/>
    <n v="190801"/>
    <m/>
    <n v="1"/>
    <n v="190801"/>
    <n v="33000"/>
  </r>
  <r>
    <x v="292"/>
    <x v="2"/>
    <m/>
    <x v="0"/>
    <x v="10"/>
    <x v="15"/>
    <n v="190801"/>
    <n v="190801"/>
    <m/>
    <n v="17"/>
    <n v="190801"/>
    <n v="535500"/>
  </r>
  <r>
    <x v="292"/>
    <x v="2"/>
    <m/>
    <x v="0"/>
    <x v="10"/>
    <x v="16"/>
    <n v="190801"/>
    <n v="190801"/>
    <m/>
    <n v="3"/>
    <n v="190801"/>
    <n v="132000"/>
  </r>
  <r>
    <x v="292"/>
    <x v="2"/>
    <m/>
    <x v="5"/>
    <x v="10"/>
    <x v="28"/>
    <n v="190801"/>
    <n v="190801"/>
    <m/>
    <n v="1"/>
    <n v="190801"/>
    <n v="38000"/>
  </r>
  <r>
    <x v="292"/>
    <x v="2"/>
    <m/>
    <x v="0"/>
    <x v="9"/>
    <x v="15"/>
    <n v="190801"/>
    <n v="190801"/>
    <m/>
    <n v="8"/>
    <n v="190801"/>
    <n v="160000"/>
  </r>
  <r>
    <x v="293"/>
    <x v="5"/>
    <m/>
    <x v="0"/>
    <x v="7"/>
    <x v="15"/>
    <n v="190801"/>
    <n v="190801"/>
    <m/>
    <n v="5"/>
    <n v="190801"/>
    <n v="100000"/>
  </r>
  <r>
    <x v="293"/>
    <x v="5"/>
    <m/>
    <x v="6"/>
    <x v="2"/>
    <x v="37"/>
    <n v="190801"/>
    <n v="190801"/>
    <m/>
    <n v="4"/>
    <n v="190801"/>
    <n v="80000"/>
  </r>
  <r>
    <x v="293"/>
    <x v="5"/>
    <m/>
    <x v="6"/>
    <x v="2"/>
    <x v="42"/>
    <n v="190801"/>
    <n v="190801"/>
    <m/>
    <n v="1"/>
    <n v="190801"/>
    <n v="35000"/>
  </r>
  <r>
    <x v="293"/>
    <x v="5"/>
    <m/>
    <x v="19"/>
    <x v="2"/>
    <x v="38"/>
    <n v="190801"/>
    <n v="190801"/>
    <m/>
    <n v="2"/>
    <n v="190801"/>
    <n v="20000"/>
  </r>
  <r>
    <x v="293"/>
    <x v="5"/>
    <m/>
    <x v="29"/>
    <x v="2"/>
    <x v="40"/>
    <n v="190801"/>
    <n v="190801"/>
    <m/>
    <n v="4"/>
    <n v="190801"/>
    <n v="140000"/>
  </r>
  <r>
    <x v="293"/>
    <x v="5"/>
    <m/>
    <x v="29"/>
    <x v="2"/>
    <x v="41"/>
    <n v="190801"/>
    <n v="190801"/>
    <m/>
    <n v="3"/>
    <n v="190801"/>
    <n v="135000"/>
  </r>
  <r>
    <x v="293"/>
    <x v="5"/>
    <m/>
    <x v="1"/>
    <x v="2"/>
    <x v="18"/>
    <n v="190801"/>
    <n v="190801"/>
    <m/>
    <n v="2"/>
    <n v="190801"/>
    <n v="40000"/>
  </r>
  <r>
    <x v="293"/>
    <x v="5"/>
    <m/>
    <x v="0"/>
    <x v="2"/>
    <x v="15"/>
    <n v="190801"/>
    <n v="190801"/>
    <m/>
    <n v="44"/>
    <n v="190801"/>
    <n v="880000"/>
  </r>
  <r>
    <x v="293"/>
    <x v="5"/>
    <m/>
    <x v="0"/>
    <x v="2"/>
    <x v="16"/>
    <n v="190801"/>
    <n v="190801"/>
    <m/>
    <n v="38"/>
    <n v="190801"/>
    <n v="1330000"/>
  </r>
  <r>
    <x v="293"/>
    <x v="5"/>
    <m/>
    <x v="0"/>
    <x v="2"/>
    <x v="17"/>
    <n v="190801"/>
    <n v="190801"/>
    <m/>
    <n v="41"/>
    <n v="190801"/>
    <n v="1353000"/>
  </r>
  <r>
    <x v="293"/>
    <x v="5"/>
    <m/>
    <x v="0"/>
    <x v="2"/>
    <x v="19"/>
    <n v="190801"/>
    <n v="190801"/>
    <m/>
    <n v="42"/>
    <n v="190801"/>
    <n v="126000"/>
  </r>
  <r>
    <x v="293"/>
    <x v="5"/>
    <m/>
    <x v="5"/>
    <x v="2"/>
    <x v="28"/>
    <n v="190801"/>
    <n v="190801"/>
    <m/>
    <n v="10"/>
    <n v="190801"/>
    <n v="280000"/>
  </r>
  <r>
    <x v="293"/>
    <x v="5"/>
    <m/>
    <x v="22"/>
    <x v="2"/>
    <x v="29"/>
    <n v="190801"/>
    <n v="190801"/>
    <m/>
    <n v="5"/>
    <n v="190801"/>
    <n v="190000"/>
  </r>
  <r>
    <x v="293"/>
    <x v="5"/>
    <m/>
    <x v="19"/>
    <x v="2"/>
    <x v="22"/>
    <n v="190801"/>
    <n v="190801"/>
    <m/>
    <n v="4"/>
    <n v="190801"/>
    <n v="52000"/>
  </r>
  <r>
    <x v="293"/>
    <x v="5"/>
    <m/>
    <x v="19"/>
    <x v="2"/>
    <x v="23"/>
    <n v="190801"/>
    <n v="190801"/>
    <m/>
    <n v="1"/>
    <n v="190801"/>
    <n v="24000"/>
  </r>
  <r>
    <x v="293"/>
    <x v="5"/>
    <m/>
    <x v="19"/>
    <x v="2"/>
    <x v="24"/>
    <n v="190801"/>
    <n v="190801"/>
    <m/>
    <n v="1"/>
    <n v="190801"/>
    <n v="33000"/>
  </r>
  <r>
    <x v="293"/>
    <x v="5"/>
    <m/>
    <x v="0"/>
    <x v="9"/>
    <x v="15"/>
    <n v="190801"/>
    <n v="190801"/>
    <m/>
    <n v="7"/>
    <n v="190801"/>
    <n v="140000"/>
  </r>
  <r>
    <x v="294"/>
    <x v="6"/>
    <m/>
    <x v="0"/>
    <x v="7"/>
    <x v="15"/>
    <n v="190801"/>
    <n v="190801"/>
    <m/>
    <n v="12"/>
    <n v="190801"/>
    <n v="240000"/>
  </r>
  <r>
    <x v="294"/>
    <x v="6"/>
    <m/>
    <x v="6"/>
    <x v="2"/>
    <x v="37"/>
    <n v="190801"/>
    <n v="190801"/>
    <m/>
    <n v="2"/>
    <n v="190801"/>
    <n v="40000"/>
  </r>
  <r>
    <x v="294"/>
    <x v="6"/>
    <m/>
    <x v="19"/>
    <x v="2"/>
    <x v="38"/>
    <n v="190801"/>
    <n v="190801"/>
    <m/>
    <n v="1"/>
    <n v="190801"/>
    <n v="10000"/>
  </r>
  <r>
    <x v="294"/>
    <x v="6"/>
    <m/>
    <x v="29"/>
    <x v="2"/>
    <x v="40"/>
    <n v="190801"/>
    <n v="190801"/>
    <m/>
    <n v="2"/>
    <n v="190801"/>
    <n v="70000"/>
  </r>
  <r>
    <x v="294"/>
    <x v="6"/>
    <m/>
    <x v="29"/>
    <x v="2"/>
    <x v="41"/>
    <n v="190801"/>
    <n v="190801"/>
    <m/>
    <n v="2"/>
    <n v="190801"/>
    <n v="90000"/>
  </r>
  <r>
    <x v="294"/>
    <x v="6"/>
    <m/>
    <x v="1"/>
    <x v="2"/>
    <x v="18"/>
    <n v="190801"/>
    <n v="190801"/>
    <m/>
    <n v="3"/>
    <n v="190801"/>
    <n v="60000"/>
  </r>
  <r>
    <x v="294"/>
    <x v="6"/>
    <m/>
    <x v="0"/>
    <x v="2"/>
    <x v="15"/>
    <n v="190801"/>
    <n v="190801"/>
    <m/>
    <n v="44"/>
    <n v="190801"/>
    <n v="880000"/>
  </r>
  <r>
    <x v="294"/>
    <x v="6"/>
    <m/>
    <x v="0"/>
    <x v="2"/>
    <x v="16"/>
    <n v="190801"/>
    <n v="190801"/>
    <m/>
    <n v="49"/>
    <n v="190801"/>
    <n v="1715000"/>
  </r>
  <r>
    <x v="294"/>
    <x v="6"/>
    <m/>
    <x v="0"/>
    <x v="2"/>
    <x v="17"/>
    <n v="190801"/>
    <n v="190801"/>
    <m/>
    <n v="53"/>
    <n v="190801"/>
    <n v="1749000"/>
  </r>
  <r>
    <x v="294"/>
    <x v="6"/>
    <m/>
    <x v="0"/>
    <x v="2"/>
    <x v="19"/>
    <n v="190801"/>
    <n v="190801"/>
    <m/>
    <n v="66"/>
    <n v="190801"/>
    <n v="198000"/>
  </r>
  <r>
    <x v="294"/>
    <x v="6"/>
    <m/>
    <x v="5"/>
    <x v="2"/>
    <x v="28"/>
    <n v="190801"/>
    <n v="190801"/>
    <m/>
    <n v="18"/>
    <n v="190801"/>
    <n v="504000"/>
  </r>
  <r>
    <x v="294"/>
    <x v="6"/>
    <m/>
    <x v="22"/>
    <x v="2"/>
    <x v="29"/>
    <n v="190801"/>
    <n v="190801"/>
    <m/>
    <n v="5"/>
    <n v="190801"/>
    <n v="190000"/>
  </r>
  <r>
    <x v="294"/>
    <x v="6"/>
    <m/>
    <x v="19"/>
    <x v="2"/>
    <x v="22"/>
    <n v="190801"/>
    <n v="190801"/>
    <m/>
    <n v="4"/>
    <n v="190801"/>
    <n v="52000"/>
  </r>
  <r>
    <x v="294"/>
    <x v="6"/>
    <m/>
    <x v="19"/>
    <x v="2"/>
    <x v="24"/>
    <n v="190801"/>
    <n v="190801"/>
    <m/>
    <n v="1"/>
    <n v="190801"/>
    <n v="33000"/>
  </r>
  <r>
    <x v="294"/>
    <x v="6"/>
    <m/>
    <x v="0"/>
    <x v="9"/>
    <x v="15"/>
    <n v="190801"/>
    <n v="190801"/>
    <m/>
    <n v="3"/>
    <n v="190801"/>
    <n v="60000"/>
  </r>
  <r>
    <x v="294"/>
    <x v="6"/>
    <m/>
    <x v="6"/>
    <x v="9"/>
    <x v="37"/>
    <n v="190801"/>
    <n v="190801"/>
    <m/>
    <n v="1"/>
    <n v="190801"/>
    <n v="20000"/>
  </r>
  <r>
    <x v="294"/>
    <x v="6"/>
    <m/>
    <x v="0"/>
    <x v="6"/>
    <x v="15"/>
    <n v="190801"/>
    <n v="190801"/>
    <m/>
    <n v="924"/>
    <n v="190801"/>
    <n v="8378832"/>
  </r>
  <r>
    <x v="294"/>
    <x v="6"/>
    <m/>
    <x v="0"/>
    <x v="6"/>
    <x v="17"/>
    <n v="190801"/>
    <n v="190801"/>
    <m/>
    <n v="6"/>
    <n v="190801"/>
    <n v="94908"/>
  </r>
  <r>
    <x v="294"/>
    <x v="6"/>
    <m/>
    <x v="4"/>
    <x v="6"/>
    <x v="26"/>
    <n v="190801"/>
    <n v="190801"/>
    <m/>
    <n v="702"/>
    <n v="190801"/>
    <n v="753246"/>
  </r>
  <r>
    <x v="294"/>
    <x v="6"/>
    <m/>
    <x v="26"/>
    <x v="6"/>
    <x v="35"/>
    <n v="190801"/>
    <n v="190801"/>
    <m/>
    <n v="80"/>
    <n v="190801"/>
    <n v="1370480"/>
  </r>
  <r>
    <x v="294"/>
    <x v="6"/>
    <m/>
    <x v="22"/>
    <x v="6"/>
    <x v="29"/>
    <n v="190801"/>
    <n v="190801"/>
    <m/>
    <n v="24"/>
    <n v="190801"/>
    <n v="472584"/>
  </r>
  <r>
    <x v="294"/>
    <x v="6"/>
    <m/>
    <x v="24"/>
    <x v="6"/>
    <x v="31"/>
    <n v="190801"/>
    <n v="190801"/>
    <m/>
    <n v="96"/>
    <n v="190801"/>
    <n v="1428192"/>
  </r>
  <r>
    <x v="294"/>
    <x v="6"/>
    <m/>
    <x v="23"/>
    <x v="6"/>
    <x v="30"/>
    <n v="190801"/>
    <n v="190801"/>
    <m/>
    <n v="208"/>
    <n v="190801"/>
    <n v="1448512"/>
  </r>
  <r>
    <x v="294"/>
    <x v="6"/>
    <m/>
    <x v="19"/>
    <x v="6"/>
    <x v="22"/>
    <n v="190801"/>
    <n v="190801"/>
    <m/>
    <n v="14"/>
    <n v="190801"/>
    <n v="95074"/>
  </r>
  <r>
    <x v="294"/>
    <x v="6"/>
    <m/>
    <x v="27"/>
    <x v="6"/>
    <x v="36"/>
    <n v="190801"/>
    <n v="190801"/>
    <m/>
    <n v="45"/>
    <n v="190801"/>
    <n v="425565"/>
  </r>
  <r>
    <x v="294"/>
    <x v="6"/>
    <m/>
    <x v="6"/>
    <x v="6"/>
    <x v="37"/>
    <n v="190801"/>
    <n v="190801"/>
    <m/>
    <n v="32"/>
    <n v="190801"/>
    <n v="320000"/>
  </r>
  <r>
    <x v="294"/>
    <x v="6"/>
    <m/>
    <x v="28"/>
    <x v="6"/>
    <x v="39"/>
    <n v="190801"/>
    <n v="190801"/>
    <m/>
    <n v="484"/>
    <n v="190801"/>
    <n v="7655912"/>
  </r>
  <r>
    <x v="295"/>
    <x v="3"/>
    <m/>
    <x v="0"/>
    <x v="1"/>
    <x v="15"/>
    <n v="190801"/>
    <n v="190801"/>
    <m/>
    <n v="8"/>
    <n v="190801"/>
    <n v="160000"/>
  </r>
  <r>
    <x v="295"/>
    <x v="3"/>
    <m/>
    <x v="0"/>
    <x v="1"/>
    <x v="16"/>
    <n v="190801"/>
    <n v="190801"/>
    <m/>
    <n v="21"/>
    <n v="190801"/>
    <n v="735000"/>
  </r>
  <r>
    <x v="295"/>
    <x v="3"/>
    <m/>
    <x v="0"/>
    <x v="7"/>
    <x v="15"/>
    <n v="190801"/>
    <n v="190801"/>
    <m/>
    <n v="5"/>
    <n v="190801"/>
    <n v="100000"/>
  </r>
  <r>
    <x v="295"/>
    <x v="3"/>
    <m/>
    <x v="6"/>
    <x v="2"/>
    <x v="37"/>
    <n v="190801"/>
    <n v="190801"/>
    <m/>
    <n v="3"/>
    <n v="190801"/>
    <n v="60000"/>
  </r>
  <r>
    <x v="295"/>
    <x v="3"/>
    <m/>
    <x v="6"/>
    <x v="2"/>
    <x v="42"/>
    <n v="190801"/>
    <n v="190801"/>
    <m/>
    <n v="3"/>
    <n v="190801"/>
    <n v="105000"/>
  </r>
  <r>
    <x v="295"/>
    <x v="3"/>
    <m/>
    <x v="19"/>
    <x v="2"/>
    <x v="38"/>
    <n v="190801"/>
    <n v="190801"/>
    <m/>
    <n v="3"/>
    <n v="190801"/>
    <n v="30000"/>
  </r>
  <r>
    <x v="295"/>
    <x v="3"/>
    <m/>
    <x v="29"/>
    <x v="2"/>
    <x v="40"/>
    <n v="190801"/>
    <n v="190801"/>
    <m/>
    <n v="6"/>
    <n v="190801"/>
    <n v="210000"/>
  </r>
  <r>
    <x v="295"/>
    <x v="3"/>
    <m/>
    <x v="29"/>
    <x v="2"/>
    <x v="41"/>
    <n v="190801"/>
    <n v="190801"/>
    <m/>
    <n v="10"/>
    <n v="190801"/>
    <n v="450000"/>
  </r>
  <r>
    <x v="295"/>
    <x v="3"/>
    <m/>
    <x v="1"/>
    <x v="2"/>
    <x v="18"/>
    <n v="190801"/>
    <n v="190801"/>
    <m/>
    <n v="3"/>
    <n v="190801"/>
    <n v="60000"/>
  </r>
  <r>
    <x v="295"/>
    <x v="3"/>
    <m/>
    <x v="1"/>
    <x v="2"/>
    <x v="21"/>
    <n v="190801"/>
    <n v="190801"/>
    <m/>
    <n v="1"/>
    <n v="190801"/>
    <n v="35000"/>
  </r>
  <r>
    <x v="295"/>
    <x v="3"/>
    <m/>
    <x v="0"/>
    <x v="2"/>
    <x v="15"/>
    <n v="190801"/>
    <n v="190801"/>
    <m/>
    <n v="62"/>
    <n v="190801"/>
    <n v="1240000"/>
  </r>
  <r>
    <x v="295"/>
    <x v="3"/>
    <m/>
    <x v="0"/>
    <x v="2"/>
    <x v="16"/>
    <n v="190801"/>
    <n v="190801"/>
    <m/>
    <n v="46"/>
    <n v="190801"/>
    <n v="1610000"/>
  </r>
  <r>
    <x v="295"/>
    <x v="3"/>
    <m/>
    <x v="0"/>
    <x v="2"/>
    <x v="17"/>
    <n v="190801"/>
    <n v="190801"/>
    <m/>
    <n v="77"/>
    <n v="190801"/>
    <n v="2541000"/>
  </r>
  <r>
    <x v="295"/>
    <x v="3"/>
    <m/>
    <x v="0"/>
    <x v="2"/>
    <x v="19"/>
    <n v="190801"/>
    <n v="190801"/>
    <m/>
    <n v="72"/>
    <n v="190801"/>
    <n v="216000"/>
  </r>
  <r>
    <x v="295"/>
    <x v="3"/>
    <m/>
    <x v="5"/>
    <x v="2"/>
    <x v="28"/>
    <n v="190801"/>
    <n v="190801"/>
    <m/>
    <n v="23"/>
    <n v="190801"/>
    <n v="644000"/>
  </r>
  <r>
    <x v="295"/>
    <x v="3"/>
    <m/>
    <x v="22"/>
    <x v="2"/>
    <x v="29"/>
    <n v="190801"/>
    <n v="190801"/>
    <m/>
    <n v="11"/>
    <n v="190801"/>
    <n v="418000"/>
  </r>
  <r>
    <x v="295"/>
    <x v="3"/>
    <m/>
    <x v="19"/>
    <x v="2"/>
    <x v="22"/>
    <n v="190801"/>
    <n v="190801"/>
    <m/>
    <n v="14"/>
    <n v="190801"/>
    <n v="182000"/>
  </r>
  <r>
    <x v="295"/>
    <x v="3"/>
    <m/>
    <x v="19"/>
    <x v="2"/>
    <x v="23"/>
    <n v="190801"/>
    <n v="190801"/>
    <m/>
    <n v="3"/>
    <n v="190801"/>
    <n v="72000"/>
  </r>
  <r>
    <x v="295"/>
    <x v="3"/>
    <m/>
    <x v="19"/>
    <x v="2"/>
    <x v="24"/>
    <n v="190801"/>
    <n v="190801"/>
    <m/>
    <n v="1"/>
    <n v="190801"/>
    <n v="33000"/>
  </r>
  <r>
    <x v="295"/>
    <x v="3"/>
    <m/>
    <x v="0"/>
    <x v="10"/>
    <x v="15"/>
    <n v="190801"/>
    <n v="190801"/>
    <m/>
    <n v="72"/>
    <n v="190801"/>
    <n v="2268000"/>
  </r>
  <r>
    <x v="295"/>
    <x v="3"/>
    <m/>
    <x v="0"/>
    <x v="10"/>
    <x v="16"/>
    <n v="190801"/>
    <n v="190801"/>
    <m/>
    <n v="19"/>
    <n v="190801"/>
    <n v="836000"/>
  </r>
  <r>
    <x v="295"/>
    <x v="3"/>
    <m/>
    <x v="5"/>
    <x v="10"/>
    <x v="28"/>
    <n v="190801"/>
    <n v="190801"/>
    <m/>
    <n v="7"/>
    <n v="190801"/>
    <n v="266000"/>
  </r>
  <r>
    <x v="295"/>
    <x v="3"/>
    <m/>
    <x v="1"/>
    <x v="10"/>
    <x v="18"/>
    <n v="190801"/>
    <n v="190801"/>
    <m/>
    <n v="3"/>
    <n v="190801"/>
    <n v="94500"/>
  </r>
  <r>
    <x v="295"/>
    <x v="3"/>
    <m/>
    <x v="22"/>
    <x v="10"/>
    <x v="29"/>
    <n v="190801"/>
    <n v="190801"/>
    <m/>
    <n v="1"/>
    <n v="190801"/>
    <n v="43000"/>
  </r>
  <r>
    <x v="295"/>
    <x v="3"/>
    <m/>
    <x v="0"/>
    <x v="3"/>
    <x v="15"/>
    <n v="190801"/>
    <n v="190801"/>
    <m/>
    <n v="2"/>
    <n v="190801"/>
    <n v="0"/>
  </r>
  <r>
    <x v="295"/>
    <x v="3"/>
    <m/>
    <x v="18"/>
    <x v="3"/>
    <x v="19"/>
    <n v="190801"/>
    <n v="190801"/>
    <m/>
    <n v="2"/>
    <n v="190801"/>
    <n v="0"/>
  </r>
  <r>
    <x v="295"/>
    <x v="3"/>
    <m/>
    <x v="5"/>
    <x v="3"/>
    <x v="28"/>
    <n v="190801"/>
    <n v="190801"/>
    <m/>
    <n v="2"/>
    <n v="190801"/>
    <n v="0"/>
  </r>
  <r>
    <x v="295"/>
    <x v="3"/>
    <m/>
    <x v="4"/>
    <x v="3"/>
    <x v="27"/>
    <n v="190801"/>
    <n v="190801"/>
    <m/>
    <n v="2"/>
    <n v="190801"/>
    <n v="0"/>
  </r>
  <r>
    <x v="295"/>
    <x v="3"/>
    <m/>
    <x v="6"/>
    <x v="3"/>
    <x v="37"/>
    <n v="190801"/>
    <n v="190801"/>
    <m/>
    <n v="2"/>
    <n v="190801"/>
    <n v="0"/>
  </r>
  <r>
    <x v="295"/>
    <x v="3"/>
    <m/>
    <x v="0"/>
    <x v="9"/>
    <x v="15"/>
    <n v="190801"/>
    <n v="190801"/>
    <m/>
    <n v="3"/>
    <n v="190801"/>
    <n v="60000"/>
  </r>
  <r>
    <x v="295"/>
    <x v="3"/>
    <m/>
    <x v="0"/>
    <x v="11"/>
    <x v="15"/>
    <n v="190801"/>
    <n v="190801"/>
    <m/>
    <n v="1"/>
    <n v="190801"/>
    <n v="26200"/>
  </r>
  <r>
    <x v="244"/>
    <x v="4"/>
    <m/>
    <x v="0"/>
    <x v="7"/>
    <x v="15"/>
    <n v="190801"/>
    <n v="190801"/>
    <m/>
    <n v="1"/>
    <n v="190801"/>
    <n v="20000"/>
  </r>
  <r>
    <x v="244"/>
    <x v="4"/>
    <m/>
    <x v="6"/>
    <x v="2"/>
    <x v="37"/>
    <n v="190801"/>
    <n v="190801"/>
    <m/>
    <n v="9"/>
    <n v="190801"/>
    <n v="180000"/>
  </r>
  <r>
    <x v="244"/>
    <x v="4"/>
    <m/>
    <x v="6"/>
    <x v="2"/>
    <x v="42"/>
    <n v="190801"/>
    <n v="190801"/>
    <m/>
    <n v="8"/>
    <n v="190801"/>
    <n v="280000"/>
  </r>
  <r>
    <x v="244"/>
    <x v="4"/>
    <m/>
    <x v="19"/>
    <x v="2"/>
    <x v="38"/>
    <n v="190801"/>
    <n v="190801"/>
    <m/>
    <n v="6"/>
    <n v="190801"/>
    <n v="60000"/>
  </r>
  <r>
    <x v="244"/>
    <x v="4"/>
    <m/>
    <x v="29"/>
    <x v="2"/>
    <x v="40"/>
    <n v="190801"/>
    <n v="190801"/>
    <m/>
    <n v="1"/>
    <n v="190801"/>
    <n v="35000"/>
  </r>
  <r>
    <x v="244"/>
    <x v="4"/>
    <m/>
    <x v="29"/>
    <x v="2"/>
    <x v="41"/>
    <n v="190801"/>
    <n v="190801"/>
    <m/>
    <n v="4"/>
    <n v="190801"/>
    <n v="180000"/>
  </r>
  <r>
    <x v="244"/>
    <x v="4"/>
    <m/>
    <x v="1"/>
    <x v="2"/>
    <x v="18"/>
    <n v="190801"/>
    <n v="190801"/>
    <m/>
    <n v="3"/>
    <n v="190801"/>
    <n v="60000"/>
  </r>
  <r>
    <x v="244"/>
    <x v="4"/>
    <m/>
    <x v="1"/>
    <x v="2"/>
    <x v="21"/>
    <n v="190801"/>
    <n v="190801"/>
    <m/>
    <n v="1"/>
    <n v="190801"/>
    <n v="35000"/>
  </r>
  <r>
    <x v="244"/>
    <x v="4"/>
    <m/>
    <x v="0"/>
    <x v="2"/>
    <x v="15"/>
    <n v="190801"/>
    <n v="190801"/>
    <m/>
    <n v="42"/>
    <n v="190801"/>
    <n v="840000"/>
  </r>
  <r>
    <x v="244"/>
    <x v="4"/>
    <m/>
    <x v="0"/>
    <x v="2"/>
    <x v="16"/>
    <n v="190801"/>
    <n v="190801"/>
    <m/>
    <n v="43"/>
    <n v="190801"/>
    <n v="1505000"/>
  </r>
  <r>
    <x v="244"/>
    <x v="4"/>
    <m/>
    <x v="0"/>
    <x v="2"/>
    <x v="17"/>
    <n v="190801"/>
    <n v="190801"/>
    <m/>
    <n v="45"/>
    <n v="190801"/>
    <n v="1485000"/>
  </r>
  <r>
    <x v="244"/>
    <x v="4"/>
    <m/>
    <x v="0"/>
    <x v="2"/>
    <x v="19"/>
    <n v="190801"/>
    <n v="190801"/>
    <m/>
    <n v="55"/>
    <n v="190801"/>
    <n v="165000"/>
  </r>
  <r>
    <x v="244"/>
    <x v="4"/>
    <m/>
    <x v="5"/>
    <x v="2"/>
    <x v="28"/>
    <n v="190801"/>
    <n v="190801"/>
    <m/>
    <n v="19"/>
    <n v="190801"/>
    <n v="532000"/>
  </r>
  <r>
    <x v="244"/>
    <x v="4"/>
    <m/>
    <x v="22"/>
    <x v="2"/>
    <x v="29"/>
    <n v="190801"/>
    <n v="190801"/>
    <m/>
    <n v="7"/>
    <n v="190801"/>
    <n v="266000"/>
  </r>
  <r>
    <x v="244"/>
    <x v="4"/>
    <m/>
    <x v="19"/>
    <x v="2"/>
    <x v="22"/>
    <n v="190801"/>
    <n v="190801"/>
    <m/>
    <n v="6"/>
    <n v="190801"/>
    <n v="78000"/>
  </r>
  <r>
    <x v="244"/>
    <x v="4"/>
    <m/>
    <x v="19"/>
    <x v="2"/>
    <x v="23"/>
    <n v="190801"/>
    <n v="190801"/>
    <m/>
    <n v="1"/>
    <n v="190801"/>
    <n v="24000"/>
  </r>
  <r>
    <x v="244"/>
    <x v="4"/>
    <m/>
    <x v="19"/>
    <x v="2"/>
    <x v="24"/>
    <n v="190801"/>
    <n v="190801"/>
    <m/>
    <n v="4"/>
    <n v="190801"/>
    <n v="132000"/>
  </r>
  <r>
    <x v="244"/>
    <x v="4"/>
    <m/>
    <x v="0"/>
    <x v="3"/>
    <x v="15"/>
    <n v="190801"/>
    <n v="190801"/>
    <m/>
    <n v="1"/>
    <n v="190801"/>
    <n v="0"/>
  </r>
  <r>
    <x v="244"/>
    <x v="4"/>
    <m/>
    <x v="1"/>
    <x v="9"/>
    <x v="18"/>
    <n v="190801"/>
    <n v="190801"/>
    <m/>
    <n v="1"/>
    <n v="190801"/>
    <n v="20000"/>
  </r>
  <r>
    <x v="296"/>
    <x v="1"/>
    <m/>
    <x v="19"/>
    <x v="5"/>
    <x v="50"/>
    <n v="190801"/>
    <n v="190801"/>
    <m/>
    <n v="10"/>
    <n v="190801"/>
    <n v="72000"/>
  </r>
  <r>
    <x v="296"/>
    <x v="1"/>
    <m/>
    <x v="5"/>
    <x v="5"/>
    <x v="53"/>
    <n v="190801"/>
    <n v="190801"/>
    <m/>
    <n v="20"/>
    <n v="190801"/>
    <n v="297000"/>
  </r>
  <r>
    <x v="296"/>
    <x v="1"/>
    <m/>
    <x v="6"/>
    <x v="2"/>
    <x v="37"/>
    <n v="190801"/>
    <n v="190801"/>
    <m/>
    <n v="9"/>
    <n v="190801"/>
    <n v="180000"/>
  </r>
  <r>
    <x v="296"/>
    <x v="1"/>
    <m/>
    <x v="6"/>
    <x v="2"/>
    <x v="42"/>
    <n v="190801"/>
    <n v="190801"/>
    <m/>
    <n v="5"/>
    <n v="190801"/>
    <n v="175000"/>
  </r>
  <r>
    <x v="296"/>
    <x v="1"/>
    <m/>
    <x v="19"/>
    <x v="2"/>
    <x v="38"/>
    <n v="190801"/>
    <n v="190801"/>
    <m/>
    <n v="3"/>
    <n v="190801"/>
    <n v="30000"/>
  </r>
  <r>
    <x v="296"/>
    <x v="1"/>
    <m/>
    <x v="29"/>
    <x v="2"/>
    <x v="40"/>
    <n v="190801"/>
    <n v="190801"/>
    <m/>
    <n v="7"/>
    <n v="190801"/>
    <n v="245000"/>
  </r>
  <r>
    <x v="296"/>
    <x v="1"/>
    <m/>
    <x v="29"/>
    <x v="2"/>
    <x v="41"/>
    <n v="190801"/>
    <n v="190801"/>
    <m/>
    <n v="7"/>
    <n v="190801"/>
    <n v="315000"/>
  </r>
  <r>
    <x v="296"/>
    <x v="1"/>
    <m/>
    <x v="1"/>
    <x v="2"/>
    <x v="18"/>
    <n v="190801"/>
    <n v="190801"/>
    <m/>
    <n v="3"/>
    <n v="190801"/>
    <n v="60000"/>
  </r>
  <r>
    <x v="296"/>
    <x v="1"/>
    <m/>
    <x v="1"/>
    <x v="2"/>
    <x v="21"/>
    <n v="190801"/>
    <n v="190801"/>
    <m/>
    <n v="1"/>
    <n v="190801"/>
    <n v="35000"/>
  </r>
  <r>
    <x v="296"/>
    <x v="1"/>
    <m/>
    <x v="0"/>
    <x v="2"/>
    <x v="15"/>
    <n v="190801"/>
    <n v="190801"/>
    <m/>
    <n v="78"/>
    <n v="190801"/>
    <n v="1560000"/>
  </r>
  <r>
    <x v="296"/>
    <x v="1"/>
    <m/>
    <x v="0"/>
    <x v="2"/>
    <x v="16"/>
    <n v="190801"/>
    <n v="190801"/>
    <m/>
    <n v="50"/>
    <n v="190801"/>
    <n v="1750000"/>
  </r>
  <r>
    <x v="296"/>
    <x v="1"/>
    <m/>
    <x v="0"/>
    <x v="2"/>
    <x v="17"/>
    <n v="190801"/>
    <n v="190801"/>
    <m/>
    <n v="61"/>
    <n v="190801"/>
    <n v="2013000"/>
  </r>
  <r>
    <x v="296"/>
    <x v="1"/>
    <m/>
    <x v="0"/>
    <x v="2"/>
    <x v="19"/>
    <n v="190801"/>
    <n v="190801"/>
    <m/>
    <n v="72"/>
    <n v="190801"/>
    <n v="216000"/>
  </r>
  <r>
    <x v="296"/>
    <x v="1"/>
    <m/>
    <x v="5"/>
    <x v="2"/>
    <x v="28"/>
    <n v="190801"/>
    <n v="190801"/>
    <m/>
    <n v="17"/>
    <n v="190801"/>
    <n v="476000"/>
  </r>
  <r>
    <x v="296"/>
    <x v="1"/>
    <m/>
    <x v="22"/>
    <x v="2"/>
    <x v="29"/>
    <n v="190801"/>
    <n v="190801"/>
    <m/>
    <n v="8"/>
    <n v="190801"/>
    <n v="304000"/>
  </r>
  <r>
    <x v="296"/>
    <x v="1"/>
    <m/>
    <x v="19"/>
    <x v="2"/>
    <x v="22"/>
    <n v="190801"/>
    <n v="190801"/>
    <m/>
    <n v="1"/>
    <n v="190801"/>
    <n v="13000"/>
  </r>
  <r>
    <x v="296"/>
    <x v="1"/>
    <m/>
    <x v="19"/>
    <x v="2"/>
    <x v="24"/>
    <n v="190801"/>
    <n v="190801"/>
    <m/>
    <n v="1"/>
    <n v="190801"/>
    <n v="33000"/>
  </r>
  <r>
    <x v="296"/>
    <x v="1"/>
    <m/>
    <x v="0"/>
    <x v="3"/>
    <x v="15"/>
    <n v="190801"/>
    <n v="190801"/>
    <m/>
    <n v="2"/>
    <n v="190801"/>
    <n v="0"/>
  </r>
  <r>
    <x v="296"/>
    <x v="1"/>
    <m/>
    <x v="18"/>
    <x v="3"/>
    <x v="19"/>
    <n v="190801"/>
    <n v="190801"/>
    <m/>
    <n v="305"/>
    <n v="190801"/>
    <n v="0"/>
  </r>
  <r>
    <x v="296"/>
    <x v="1"/>
    <m/>
    <x v="0"/>
    <x v="10"/>
    <x v="15"/>
    <n v="190801"/>
    <n v="190801"/>
    <m/>
    <n v="22"/>
    <n v="190801"/>
    <n v="693000"/>
  </r>
  <r>
    <x v="296"/>
    <x v="1"/>
    <m/>
    <x v="0"/>
    <x v="10"/>
    <x v="16"/>
    <n v="190801"/>
    <n v="190801"/>
    <m/>
    <n v="9"/>
    <n v="190801"/>
    <n v="396000"/>
  </r>
  <r>
    <x v="296"/>
    <x v="1"/>
    <m/>
    <x v="5"/>
    <x v="10"/>
    <x v="28"/>
    <n v="190801"/>
    <n v="190801"/>
    <m/>
    <n v="5"/>
    <n v="190801"/>
    <n v="190000"/>
  </r>
  <r>
    <x v="296"/>
    <x v="1"/>
    <m/>
    <x v="22"/>
    <x v="10"/>
    <x v="29"/>
    <n v="190801"/>
    <n v="190801"/>
    <m/>
    <n v="2"/>
    <n v="190801"/>
    <n v="86000"/>
  </r>
  <r>
    <x v="296"/>
    <x v="1"/>
    <m/>
    <x v="22"/>
    <x v="12"/>
    <x v="29"/>
    <n v="190801"/>
    <n v="190801"/>
    <m/>
    <n v="1"/>
    <n v="190801"/>
    <n v="37780"/>
  </r>
  <r>
    <x v="296"/>
    <x v="1"/>
    <m/>
    <x v="5"/>
    <x v="12"/>
    <x v="28"/>
    <n v="190801"/>
    <n v="190801"/>
    <m/>
    <n v="1"/>
    <n v="190801"/>
    <n v="32900"/>
  </r>
  <r>
    <x v="296"/>
    <x v="1"/>
    <m/>
    <x v="0"/>
    <x v="13"/>
    <x v="17"/>
    <n v="190801"/>
    <n v="190801"/>
    <m/>
    <n v="1"/>
    <n v="190801"/>
    <n v="44900"/>
  </r>
  <r>
    <x v="296"/>
    <x v="1"/>
    <m/>
    <x v="1"/>
    <x v="13"/>
    <x v="18"/>
    <n v="190801"/>
    <n v="190801"/>
    <m/>
    <n v="1"/>
    <n v="190801"/>
    <n v="25900"/>
  </r>
  <r>
    <x v="297"/>
    <x v="0"/>
    <m/>
    <x v="22"/>
    <x v="5"/>
    <x v="52"/>
    <n v="190801"/>
    <n v="190801"/>
    <m/>
    <n v="10"/>
    <n v="190801"/>
    <n v="171000"/>
  </r>
  <r>
    <x v="297"/>
    <x v="0"/>
    <m/>
    <x v="5"/>
    <x v="5"/>
    <x v="53"/>
    <n v="190801"/>
    <n v="190801"/>
    <m/>
    <n v="10"/>
    <n v="190801"/>
    <n v="148500"/>
  </r>
  <r>
    <x v="297"/>
    <x v="0"/>
    <m/>
    <x v="6"/>
    <x v="2"/>
    <x v="37"/>
    <n v="190801"/>
    <n v="190801"/>
    <m/>
    <n v="3"/>
    <n v="190801"/>
    <n v="60000"/>
  </r>
  <r>
    <x v="297"/>
    <x v="0"/>
    <m/>
    <x v="6"/>
    <x v="2"/>
    <x v="42"/>
    <n v="190801"/>
    <n v="190801"/>
    <m/>
    <n v="2"/>
    <n v="190801"/>
    <n v="70000"/>
  </r>
  <r>
    <x v="297"/>
    <x v="0"/>
    <m/>
    <x v="29"/>
    <x v="2"/>
    <x v="40"/>
    <n v="190801"/>
    <n v="190801"/>
    <m/>
    <n v="2"/>
    <n v="190801"/>
    <n v="70000"/>
  </r>
  <r>
    <x v="297"/>
    <x v="0"/>
    <m/>
    <x v="29"/>
    <x v="2"/>
    <x v="41"/>
    <n v="190801"/>
    <n v="190801"/>
    <m/>
    <n v="6"/>
    <n v="190801"/>
    <n v="270000"/>
  </r>
  <r>
    <x v="297"/>
    <x v="0"/>
    <m/>
    <x v="1"/>
    <x v="2"/>
    <x v="18"/>
    <n v="190801"/>
    <n v="190801"/>
    <m/>
    <n v="3"/>
    <n v="190801"/>
    <n v="60000"/>
  </r>
  <r>
    <x v="297"/>
    <x v="0"/>
    <m/>
    <x v="0"/>
    <x v="2"/>
    <x v="15"/>
    <n v="190801"/>
    <n v="190801"/>
    <m/>
    <n v="53"/>
    <n v="190801"/>
    <n v="1060000"/>
  </r>
  <r>
    <x v="297"/>
    <x v="0"/>
    <m/>
    <x v="0"/>
    <x v="2"/>
    <x v="16"/>
    <n v="190801"/>
    <n v="190801"/>
    <m/>
    <n v="55"/>
    <n v="190801"/>
    <n v="1925000"/>
  </r>
  <r>
    <x v="297"/>
    <x v="0"/>
    <m/>
    <x v="0"/>
    <x v="2"/>
    <x v="17"/>
    <n v="190801"/>
    <n v="190801"/>
    <m/>
    <n v="48"/>
    <n v="190801"/>
    <n v="1584000"/>
  </r>
  <r>
    <x v="297"/>
    <x v="0"/>
    <m/>
    <x v="0"/>
    <x v="2"/>
    <x v="19"/>
    <n v="190801"/>
    <n v="190801"/>
    <m/>
    <n v="69"/>
    <n v="190801"/>
    <n v="207000"/>
  </r>
  <r>
    <x v="297"/>
    <x v="0"/>
    <m/>
    <x v="5"/>
    <x v="2"/>
    <x v="28"/>
    <n v="190801"/>
    <n v="190801"/>
    <m/>
    <n v="18"/>
    <n v="190801"/>
    <n v="504000"/>
  </r>
  <r>
    <x v="297"/>
    <x v="0"/>
    <m/>
    <x v="22"/>
    <x v="2"/>
    <x v="29"/>
    <n v="190801"/>
    <n v="190801"/>
    <m/>
    <n v="8"/>
    <n v="190801"/>
    <n v="304000"/>
  </r>
  <r>
    <x v="297"/>
    <x v="0"/>
    <m/>
    <x v="0"/>
    <x v="10"/>
    <x v="15"/>
    <n v="190801"/>
    <n v="190801"/>
    <m/>
    <n v="10"/>
    <n v="190801"/>
    <n v="315000"/>
  </r>
  <r>
    <x v="297"/>
    <x v="0"/>
    <m/>
    <x v="0"/>
    <x v="10"/>
    <x v="16"/>
    <n v="190801"/>
    <n v="190801"/>
    <m/>
    <n v="3"/>
    <n v="190801"/>
    <n v="132000"/>
  </r>
  <r>
    <x v="297"/>
    <x v="0"/>
    <m/>
    <x v="5"/>
    <x v="10"/>
    <x v="28"/>
    <n v="190801"/>
    <n v="190801"/>
    <m/>
    <n v="1"/>
    <n v="190801"/>
    <n v="38000"/>
  </r>
  <r>
    <x v="297"/>
    <x v="0"/>
    <m/>
    <x v="22"/>
    <x v="10"/>
    <x v="29"/>
    <n v="190801"/>
    <n v="190801"/>
    <m/>
    <n v="1"/>
    <n v="190801"/>
    <n v="43000"/>
  </r>
  <r>
    <x v="297"/>
    <x v="0"/>
    <m/>
    <x v="0"/>
    <x v="3"/>
    <x v="15"/>
    <n v="190801"/>
    <n v="190801"/>
    <m/>
    <n v="5"/>
    <n v="190801"/>
    <n v="0"/>
  </r>
  <r>
    <x v="297"/>
    <x v="0"/>
    <m/>
    <x v="6"/>
    <x v="3"/>
    <x v="37"/>
    <n v="190801"/>
    <n v="190801"/>
    <m/>
    <n v="1"/>
    <n v="190801"/>
    <n v="0"/>
  </r>
  <r>
    <x v="297"/>
    <x v="0"/>
    <m/>
    <x v="5"/>
    <x v="12"/>
    <x v="28"/>
    <n v="190801"/>
    <n v="190801"/>
    <m/>
    <n v="1"/>
    <n v="190801"/>
    <n v="32900"/>
  </r>
  <r>
    <x v="297"/>
    <x v="0"/>
    <m/>
    <x v="0"/>
    <x v="9"/>
    <x v="15"/>
    <n v="190801"/>
    <n v="190801"/>
    <m/>
    <n v="3"/>
    <n v="190801"/>
    <n v="60000"/>
  </r>
  <r>
    <x v="298"/>
    <x v="2"/>
    <m/>
    <x v="0"/>
    <x v="1"/>
    <x v="15"/>
    <n v="190801"/>
    <n v="190801"/>
    <m/>
    <n v="1"/>
    <n v="190801"/>
    <n v="20000"/>
  </r>
  <r>
    <x v="298"/>
    <x v="2"/>
    <m/>
    <x v="0"/>
    <x v="1"/>
    <x v="16"/>
    <n v="190801"/>
    <n v="190801"/>
    <m/>
    <n v="1"/>
    <n v="190801"/>
    <n v="35000"/>
  </r>
  <r>
    <x v="298"/>
    <x v="2"/>
    <m/>
    <x v="6"/>
    <x v="2"/>
    <x v="37"/>
    <n v="190801"/>
    <n v="190801"/>
    <m/>
    <n v="2"/>
    <n v="190801"/>
    <n v="40000"/>
  </r>
  <r>
    <x v="298"/>
    <x v="2"/>
    <m/>
    <x v="6"/>
    <x v="2"/>
    <x v="42"/>
    <n v="190801"/>
    <n v="190801"/>
    <m/>
    <n v="1"/>
    <n v="190801"/>
    <n v="35000"/>
  </r>
  <r>
    <x v="298"/>
    <x v="2"/>
    <m/>
    <x v="29"/>
    <x v="2"/>
    <x v="40"/>
    <n v="190801"/>
    <n v="190801"/>
    <m/>
    <n v="2"/>
    <n v="190801"/>
    <n v="70000"/>
  </r>
  <r>
    <x v="298"/>
    <x v="2"/>
    <m/>
    <x v="29"/>
    <x v="2"/>
    <x v="41"/>
    <n v="190801"/>
    <n v="190801"/>
    <m/>
    <n v="5"/>
    <n v="190801"/>
    <n v="225000"/>
  </r>
  <r>
    <x v="298"/>
    <x v="2"/>
    <m/>
    <x v="1"/>
    <x v="2"/>
    <x v="18"/>
    <n v="190801"/>
    <n v="190801"/>
    <m/>
    <n v="2"/>
    <n v="190801"/>
    <n v="40000"/>
  </r>
  <r>
    <x v="298"/>
    <x v="2"/>
    <m/>
    <x v="0"/>
    <x v="2"/>
    <x v="15"/>
    <n v="190801"/>
    <n v="190801"/>
    <m/>
    <n v="51"/>
    <n v="190801"/>
    <n v="1020000"/>
  </r>
  <r>
    <x v="298"/>
    <x v="2"/>
    <m/>
    <x v="0"/>
    <x v="2"/>
    <x v="16"/>
    <n v="190801"/>
    <n v="190801"/>
    <m/>
    <n v="43"/>
    <n v="190801"/>
    <n v="1505000"/>
  </r>
  <r>
    <x v="298"/>
    <x v="2"/>
    <m/>
    <x v="0"/>
    <x v="2"/>
    <x v="17"/>
    <n v="190801"/>
    <n v="190801"/>
    <m/>
    <n v="35"/>
    <n v="190801"/>
    <n v="1155000"/>
  </r>
  <r>
    <x v="298"/>
    <x v="2"/>
    <m/>
    <x v="0"/>
    <x v="2"/>
    <x v="19"/>
    <n v="190801"/>
    <n v="190801"/>
    <m/>
    <n v="51"/>
    <n v="190801"/>
    <n v="153000"/>
  </r>
  <r>
    <x v="298"/>
    <x v="2"/>
    <m/>
    <x v="5"/>
    <x v="2"/>
    <x v="28"/>
    <n v="190801"/>
    <n v="190801"/>
    <m/>
    <n v="15"/>
    <n v="190801"/>
    <n v="420000"/>
  </r>
  <r>
    <x v="298"/>
    <x v="2"/>
    <m/>
    <x v="22"/>
    <x v="2"/>
    <x v="29"/>
    <n v="190801"/>
    <n v="190801"/>
    <m/>
    <n v="6"/>
    <n v="190801"/>
    <n v="228000"/>
  </r>
  <r>
    <x v="298"/>
    <x v="2"/>
    <m/>
    <x v="0"/>
    <x v="3"/>
    <x v="15"/>
    <n v="190801"/>
    <n v="190801"/>
    <m/>
    <n v="3"/>
    <n v="190801"/>
    <n v="0"/>
  </r>
  <r>
    <x v="298"/>
    <x v="2"/>
    <m/>
    <x v="18"/>
    <x v="3"/>
    <x v="19"/>
    <n v="190801"/>
    <n v="190801"/>
    <m/>
    <n v="3"/>
    <n v="190801"/>
    <n v="0"/>
  </r>
  <r>
    <x v="298"/>
    <x v="2"/>
    <m/>
    <x v="5"/>
    <x v="3"/>
    <x v="28"/>
    <n v="190801"/>
    <n v="190801"/>
    <m/>
    <n v="3"/>
    <n v="190801"/>
    <n v="0"/>
  </r>
  <r>
    <x v="298"/>
    <x v="2"/>
    <m/>
    <x v="4"/>
    <x v="3"/>
    <x v="27"/>
    <n v="190801"/>
    <n v="190801"/>
    <m/>
    <n v="1"/>
    <n v="190801"/>
    <n v="0"/>
  </r>
  <r>
    <x v="298"/>
    <x v="2"/>
    <m/>
    <x v="6"/>
    <x v="3"/>
    <x v="37"/>
    <n v="190801"/>
    <n v="190801"/>
    <m/>
    <n v="3"/>
    <n v="190801"/>
    <n v="0"/>
  </r>
  <r>
    <x v="298"/>
    <x v="2"/>
    <m/>
    <x v="0"/>
    <x v="10"/>
    <x v="54"/>
    <n v="190801"/>
    <n v="190801"/>
    <m/>
    <n v="15"/>
    <n v="190801"/>
    <n v="495000"/>
  </r>
  <r>
    <x v="298"/>
    <x v="2"/>
    <m/>
    <x v="22"/>
    <x v="10"/>
    <x v="55"/>
    <n v="190801"/>
    <n v="190801"/>
    <m/>
    <n v="1"/>
    <n v="190801"/>
    <n v="44000"/>
  </r>
  <r>
    <x v="298"/>
    <x v="2"/>
    <m/>
    <x v="5"/>
    <x v="10"/>
    <x v="56"/>
    <n v="190801"/>
    <n v="190801"/>
    <m/>
    <n v="1"/>
    <n v="190801"/>
    <n v="39000"/>
  </r>
  <r>
    <x v="298"/>
    <x v="2"/>
    <m/>
    <x v="0"/>
    <x v="10"/>
    <x v="57"/>
    <n v="190801"/>
    <n v="190801"/>
    <m/>
    <n v="5"/>
    <n v="190801"/>
    <n v="265000"/>
  </r>
  <r>
    <x v="298"/>
    <x v="2"/>
    <m/>
    <x v="0"/>
    <x v="12"/>
    <x v="54"/>
    <n v="190801"/>
    <n v="190801"/>
    <m/>
    <n v="1"/>
    <n v="190801"/>
    <n v="25053"/>
  </r>
  <r>
    <x v="298"/>
    <x v="2"/>
    <m/>
    <x v="1"/>
    <x v="12"/>
    <x v="58"/>
    <n v="190801"/>
    <n v="190801"/>
    <m/>
    <n v="1"/>
    <n v="190801"/>
    <n v="25053"/>
  </r>
  <r>
    <x v="298"/>
    <x v="2"/>
    <m/>
    <x v="5"/>
    <x v="12"/>
    <x v="56"/>
    <n v="190801"/>
    <n v="190801"/>
    <m/>
    <n v="2"/>
    <n v="190801"/>
    <n v="66050"/>
  </r>
  <r>
    <x v="298"/>
    <x v="2"/>
    <m/>
    <x v="6"/>
    <x v="12"/>
    <x v="59"/>
    <n v="190801"/>
    <n v="190801"/>
    <m/>
    <n v="1"/>
    <n v="190801"/>
    <n v="25053"/>
  </r>
  <r>
    <x v="298"/>
    <x v="2"/>
    <m/>
    <x v="0"/>
    <x v="9"/>
    <x v="15"/>
    <n v="190801"/>
    <n v="190801"/>
    <m/>
    <n v="1"/>
    <n v="190801"/>
    <n v="20000"/>
  </r>
  <r>
    <x v="298"/>
    <x v="2"/>
    <m/>
    <x v="6"/>
    <x v="9"/>
    <x v="37"/>
    <n v="190801"/>
    <n v="190801"/>
    <m/>
    <n v="3"/>
    <n v="190801"/>
    <n v="60000"/>
  </r>
  <r>
    <x v="299"/>
    <x v="5"/>
    <m/>
    <x v="6"/>
    <x v="2"/>
    <x v="37"/>
    <n v="190801"/>
    <n v="190801"/>
    <m/>
    <n v="4"/>
    <n v="190801"/>
    <n v="80000"/>
  </r>
  <r>
    <x v="299"/>
    <x v="5"/>
    <m/>
    <x v="6"/>
    <x v="2"/>
    <x v="42"/>
    <n v="190801"/>
    <n v="190801"/>
    <m/>
    <n v="1"/>
    <n v="190801"/>
    <n v="35000"/>
  </r>
  <r>
    <x v="299"/>
    <x v="5"/>
    <m/>
    <x v="29"/>
    <x v="2"/>
    <x v="41"/>
    <n v="190801"/>
    <n v="190801"/>
    <m/>
    <n v="3"/>
    <n v="190801"/>
    <n v="135000"/>
  </r>
  <r>
    <x v="299"/>
    <x v="5"/>
    <m/>
    <x v="1"/>
    <x v="2"/>
    <x v="18"/>
    <n v="190801"/>
    <n v="190801"/>
    <m/>
    <n v="2"/>
    <n v="190801"/>
    <n v="40000"/>
  </r>
  <r>
    <x v="299"/>
    <x v="5"/>
    <m/>
    <x v="0"/>
    <x v="2"/>
    <x v="15"/>
    <n v="190801"/>
    <n v="190801"/>
    <m/>
    <n v="40"/>
    <n v="190801"/>
    <n v="800000"/>
  </r>
  <r>
    <x v="299"/>
    <x v="5"/>
    <m/>
    <x v="0"/>
    <x v="2"/>
    <x v="16"/>
    <n v="190801"/>
    <n v="190801"/>
    <m/>
    <n v="45"/>
    <n v="190801"/>
    <n v="1575000"/>
  </r>
  <r>
    <x v="299"/>
    <x v="5"/>
    <m/>
    <x v="0"/>
    <x v="2"/>
    <x v="17"/>
    <n v="190801"/>
    <n v="190801"/>
    <m/>
    <n v="47"/>
    <n v="190801"/>
    <n v="1551000"/>
  </r>
  <r>
    <x v="299"/>
    <x v="5"/>
    <m/>
    <x v="0"/>
    <x v="2"/>
    <x v="19"/>
    <n v="190801"/>
    <n v="190801"/>
    <m/>
    <n v="46"/>
    <n v="190801"/>
    <n v="138000"/>
  </r>
  <r>
    <x v="299"/>
    <x v="5"/>
    <m/>
    <x v="5"/>
    <x v="2"/>
    <x v="28"/>
    <n v="190801"/>
    <n v="190801"/>
    <m/>
    <n v="7"/>
    <n v="190801"/>
    <n v="196000"/>
  </r>
  <r>
    <x v="299"/>
    <x v="5"/>
    <m/>
    <x v="22"/>
    <x v="2"/>
    <x v="29"/>
    <n v="190801"/>
    <n v="190801"/>
    <m/>
    <n v="7"/>
    <n v="190801"/>
    <n v="266000"/>
  </r>
  <r>
    <x v="300"/>
    <x v="6"/>
    <m/>
    <x v="6"/>
    <x v="2"/>
    <x v="37"/>
    <n v="190801"/>
    <n v="190801"/>
    <m/>
    <n v="1"/>
    <n v="190801"/>
    <n v="20000"/>
  </r>
  <r>
    <x v="300"/>
    <x v="6"/>
    <m/>
    <x v="6"/>
    <x v="2"/>
    <x v="42"/>
    <n v="190801"/>
    <n v="190801"/>
    <m/>
    <n v="3"/>
    <n v="190801"/>
    <n v="105000"/>
  </r>
  <r>
    <x v="300"/>
    <x v="6"/>
    <m/>
    <x v="29"/>
    <x v="2"/>
    <x v="40"/>
    <n v="190801"/>
    <n v="190801"/>
    <m/>
    <n v="1"/>
    <n v="190801"/>
    <n v="35000"/>
  </r>
  <r>
    <x v="300"/>
    <x v="6"/>
    <m/>
    <x v="29"/>
    <x v="2"/>
    <x v="41"/>
    <n v="190801"/>
    <n v="190801"/>
    <m/>
    <n v="3"/>
    <n v="190801"/>
    <n v="135000"/>
  </r>
  <r>
    <x v="300"/>
    <x v="6"/>
    <m/>
    <x v="1"/>
    <x v="2"/>
    <x v="18"/>
    <n v="190801"/>
    <n v="190801"/>
    <m/>
    <n v="2"/>
    <n v="190801"/>
    <n v="40000"/>
  </r>
  <r>
    <x v="300"/>
    <x v="6"/>
    <m/>
    <x v="1"/>
    <x v="2"/>
    <x v="21"/>
    <n v="190801"/>
    <n v="190801"/>
    <m/>
    <n v="1"/>
    <n v="190801"/>
    <n v="35000"/>
  </r>
  <r>
    <x v="300"/>
    <x v="6"/>
    <m/>
    <x v="0"/>
    <x v="2"/>
    <x v="15"/>
    <n v="190801"/>
    <n v="190801"/>
    <m/>
    <n v="59"/>
    <n v="190801"/>
    <n v="1180000"/>
  </r>
  <r>
    <x v="300"/>
    <x v="6"/>
    <m/>
    <x v="0"/>
    <x v="2"/>
    <x v="16"/>
    <n v="190801"/>
    <n v="190801"/>
    <m/>
    <n v="59"/>
    <n v="190801"/>
    <n v="2065000"/>
  </r>
  <r>
    <x v="300"/>
    <x v="6"/>
    <m/>
    <x v="0"/>
    <x v="2"/>
    <x v="17"/>
    <n v="190801"/>
    <n v="190801"/>
    <m/>
    <n v="48"/>
    <n v="190801"/>
    <n v="1584000"/>
  </r>
  <r>
    <x v="300"/>
    <x v="6"/>
    <m/>
    <x v="0"/>
    <x v="2"/>
    <x v="19"/>
    <n v="190801"/>
    <n v="190801"/>
    <m/>
    <n v="67"/>
    <n v="190801"/>
    <n v="201000"/>
  </r>
  <r>
    <x v="300"/>
    <x v="6"/>
    <m/>
    <x v="5"/>
    <x v="2"/>
    <x v="28"/>
    <n v="190801"/>
    <n v="190801"/>
    <m/>
    <n v="18"/>
    <n v="190801"/>
    <n v="504000"/>
  </r>
  <r>
    <x v="300"/>
    <x v="6"/>
    <m/>
    <x v="22"/>
    <x v="2"/>
    <x v="29"/>
    <n v="190801"/>
    <n v="190801"/>
    <m/>
    <n v="6"/>
    <n v="190801"/>
    <n v="228000"/>
  </r>
  <r>
    <x v="300"/>
    <x v="6"/>
    <m/>
    <x v="0"/>
    <x v="6"/>
    <x v="15"/>
    <n v="190801"/>
    <n v="190801"/>
    <m/>
    <n v="537"/>
    <n v="190801"/>
    <n v="4869516"/>
  </r>
  <r>
    <x v="300"/>
    <x v="6"/>
    <m/>
    <x v="0"/>
    <x v="6"/>
    <x v="17"/>
    <n v="190801"/>
    <n v="190801"/>
    <m/>
    <n v="14"/>
    <n v="190801"/>
    <n v="221452"/>
  </r>
  <r>
    <x v="300"/>
    <x v="6"/>
    <m/>
    <x v="4"/>
    <x v="6"/>
    <x v="26"/>
    <n v="190801"/>
    <n v="190801"/>
    <m/>
    <n v="545"/>
    <n v="190801"/>
    <n v="584785"/>
  </r>
  <r>
    <x v="300"/>
    <x v="6"/>
    <m/>
    <x v="26"/>
    <x v="6"/>
    <x v="35"/>
    <n v="190801"/>
    <n v="190801"/>
    <m/>
    <n v="59"/>
    <n v="190801"/>
    <n v="1010729"/>
  </r>
  <r>
    <x v="300"/>
    <x v="6"/>
    <m/>
    <x v="22"/>
    <x v="6"/>
    <x v="29"/>
    <n v="190801"/>
    <n v="190801"/>
    <m/>
    <n v="26"/>
    <n v="190801"/>
    <n v="511966"/>
  </r>
  <r>
    <x v="300"/>
    <x v="6"/>
    <m/>
    <x v="24"/>
    <x v="6"/>
    <x v="31"/>
    <n v="190801"/>
    <n v="190801"/>
    <m/>
    <n v="173"/>
    <n v="190801"/>
    <n v="2573721"/>
  </r>
  <r>
    <x v="300"/>
    <x v="6"/>
    <m/>
    <x v="23"/>
    <x v="6"/>
    <x v="30"/>
    <n v="190801"/>
    <n v="190801"/>
    <m/>
    <n v="50"/>
    <n v="190801"/>
    <n v="348200"/>
  </r>
  <r>
    <x v="300"/>
    <x v="6"/>
    <m/>
    <x v="19"/>
    <x v="6"/>
    <x v="22"/>
    <n v="190801"/>
    <n v="190801"/>
    <m/>
    <n v="19"/>
    <n v="190801"/>
    <n v="129029"/>
  </r>
  <r>
    <x v="300"/>
    <x v="6"/>
    <m/>
    <x v="27"/>
    <x v="6"/>
    <x v="36"/>
    <n v="190801"/>
    <n v="190801"/>
    <m/>
    <n v="29"/>
    <n v="190801"/>
    <n v="274253"/>
  </r>
  <r>
    <x v="300"/>
    <x v="6"/>
    <m/>
    <x v="6"/>
    <x v="6"/>
    <x v="37"/>
    <n v="190801"/>
    <n v="190801"/>
    <m/>
    <n v="34"/>
    <n v="190801"/>
    <n v="340000"/>
  </r>
  <r>
    <x v="300"/>
    <x v="6"/>
    <m/>
    <x v="28"/>
    <x v="6"/>
    <x v="39"/>
    <n v="190801"/>
    <n v="190801"/>
    <m/>
    <n v="288"/>
    <n v="190801"/>
    <n v="4555584"/>
  </r>
  <r>
    <x v="299"/>
    <x v="5"/>
    <m/>
    <x v="0"/>
    <x v="9"/>
    <x v="15"/>
    <n v="190801"/>
    <n v="190801"/>
    <m/>
    <n v="4"/>
    <n v="190801"/>
    <n v="80000"/>
  </r>
  <r>
    <x v="300"/>
    <x v="6"/>
    <m/>
    <x v="0"/>
    <x v="9"/>
    <x v="15"/>
    <n v="190801"/>
    <n v="190801"/>
    <m/>
    <n v="8"/>
    <n v="190801"/>
    <n v="160000"/>
  </r>
  <r>
    <x v="300"/>
    <x v="6"/>
    <m/>
    <x v="6"/>
    <x v="9"/>
    <x v="37"/>
    <n v="190801"/>
    <n v="190801"/>
    <m/>
    <n v="2"/>
    <n v="190801"/>
    <n v="40000"/>
  </r>
  <r>
    <x v="301"/>
    <x v="3"/>
    <m/>
    <x v="0"/>
    <x v="1"/>
    <x v="16"/>
    <n v="190801"/>
    <n v="190801"/>
    <m/>
    <n v="39"/>
    <n v="190801"/>
    <n v="1365000"/>
  </r>
  <r>
    <x v="301"/>
    <x v="3"/>
    <m/>
    <x v="6"/>
    <x v="2"/>
    <x v="42"/>
    <n v="190801"/>
    <n v="190801"/>
    <m/>
    <n v="2"/>
    <n v="190801"/>
    <n v="70000"/>
  </r>
  <r>
    <x v="301"/>
    <x v="3"/>
    <m/>
    <x v="29"/>
    <x v="2"/>
    <x v="40"/>
    <n v="190801"/>
    <n v="190801"/>
    <m/>
    <n v="1"/>
    <n v="190801"/>
    <n v="35000"/>
  </r>
  <r>
    <x v="301"/>
    <x v="3"/>
    <m/>
    <x v="29"/>
    <x v="2"/>
    <x v="41"/>
    <n v="190801"/>
    <n v="190801"/>
    <m/>
    <n v="1"/>
    <n v="190801"/>
    <n v="45000"/>
  </r>
  <r>
    <x v="301"/>
    <x v="3"/>
    <m/>
    <x v="1"/>
    <x v="2"/>
    <x v="18"/>
    <n v="190801"/>
    <n v="190801"/>
    <m/>
    <n v="3"/>
    <n v="190801"/>
    <n v="60000"/>
  </r>
  <r>
    <x v="301"/>
    <x v="3"/>
    <m/>
    <x v="1"/>
    <x v="2"/>
    <x v="21"/>
    <n v="190801"/>
    <n v="190801"/>
    <m/>
    <n v="3"/>
    <n v="190801"/>
    <n v="105000"/>
  </r>
  <r>
    <x v="301"/>
    <x v="3"/>
    <m/>
    <x v="0"/>
    <x v="2"/>
    <x v="15"/>
    <n v="190801"/>
    <n v="190801"/>
    <m/>
    <n v="91"/>
    <n v="190801"/>
    <n v="1820000"/>
  </r>
  <r>
    <x v="301"/>
    <x v="3"/>
    <m/>
    <x v="0"/>
    <x v="2"/>
    <x v="16"/>
    <n v="190801"/>
    <n v="190801"/>
    <m/>
    <n v="77"/>
    <n v="190801"/>
    <n v="2695000"/>
  </r>
  <r>
    <x v="301"/>
    <x v="3"/>
    <m/>
    <x v="0"/>
    <x v="2"/>
    <x v="17"/>
    <n v="190801"/>
    <n v="190801"/>
    <m/>
    <n v="63"/>
    <n v="190801"/>
    <n v="2079000"/>
  </r>
  <r>
    <x v="301"/>
    <x v="3"/>
    <m/>
    <x v="0"/>
    <x v="2"/>
    <x v="19"/>
    <n v="190801"/>
    <n v="190801"/>
    <m/>
    <n v="93"/>
    <n v="190801"/>
    <n v="279000"/>
  </r>
  <r>
    <x v="301"/>
    <x v="3"/>
    <m/>
    <x v="5"/>
    <x v="2"/>
    <x v="28"/>
    <n v="190801"/>
    <n v="190801"/>
    <m/>
    <n v="23"/>
    <n v="190801"/>
    <n v="644000"/>
  </r>
  <r>
    <x v="301"/>
    <x v="3"/>
    <m/>
    <x v="22"/>
    <x v="2"/>
    <x v="29"/>
    <n v="190801"/>
    <n v="190801"/>
    <m/>
    <n v="8"/>
    <n v="190801"/>
    <n v="304000"/>
  </r>
  <r>
    <x v="301"/>
    <x v="3"/>
    <m/>
    <x v="0"/>
    <x v="3"/>
    <x v="15"/>
    <n v="190801"/>
    <n v="190801"/>
    <m/>
    <n v="2"/>
    <n v="190801"/>
    <n v="0"/>
  </r>
  <r>
    <x v="301"/>
    <x v="3"/>
    <m/>
    <x v="0"/>
    <x v="3"/>
    <x v="20"/>
    <n v="190801"/>
    <n v="190801"/>
    <m/>
    <n v="1"/>
    <n v="190801"/>
    <n v="0"/>
  </r>
  <r>
    <x v="301"/>
    <x v="3"/>
    <m/>
    <x v="0"/>
    <x v="3"/>
    <x v="17"/>
    <n v="190801"/>
    <n v="190801"/>
    <m/>
    <n v="2"/>
    <n v="190801"/>
    <n v="0"/>
  </r>
  <r>
    <x v="301"/>
    <x v="3"/>
    <m/>
    <x v="18"/>
    <x v="3"/>
    <x v="19"/>
    <n v="190801"/>
    <n v="190801"/>
    <m/>
    <n v="2"/>
    <n v="190801"/>
    <n v="0"/>
  </r>
  <r>
    <x v="301"/>
    <x v="3"/>
    <m/>
    <x v="5"/>
    <x v="3"/>
    <x v="28"/>
    <n v="190801"/>
    <n v="190801"/>
    <m/>
    <n v="3"/>
    <n v="190801"/>
    <n v="0"/>
  </r>
  <r>
    <x v="301"/>
    <x v="3"/>
    <m/>
    <x v="4"/>
    <x v="3"/>
    <x v="27"/>
    <n v="190801"/>
    <n v="190801"/>
    <m/>
    <n v="2"/>
    <n v="190801"/>
    <n v="0"/>
  </r>
  <r>
    <x v="301"/>
    <x v="3"/>
    <m/>
    <x v="6"/>
    <x v="3"/>
    <x v="37"/>
    <n v="190801"/>
    <n v="190801"/>
    <m/>
    <n v="2"/>
    <n v="190801"/>
    <n v="0"/>
  </r>
  <r>
    <x v="301"/>
    <x v="3"/>
    <m/>
    <x v="19"/>
    <x v="3"/>
    <x v="22"/>
    <n v="190801"/>
    <n v="190801"/>
    <m/>
    <n v="2"/>
    <n v="190801"/>
    <n v="0"/>
  </r>
  <r>
    <x v="301"/>
    <x v="3"/>
    <m/>
    <x v="1"/>
    <x v="3"/>
    <x v="18"/>
    <n v="190801"/>
    <n v="190801"/>
    <m/>
    <n v="1"/>
    <n v="190801"/>
    <n v="0"/>
  </r>
  <r>
    <x v="301"/>
    <x v="3"/>
    <m/>
    <x v="22"/>
    <x v="3"/>
    <x v="29"/>
    <n v="190801"/>
    <n v="190801"/>
    <m/>
    <n v="1"/>
    <n v="190801"/>
    <n v="0"/>
  </r>
  <r>
    <x v="301"/>
    <x v="3"/>
    <m/>
    <x v="0"/>
    <x v="10"/>
    <x v="54"/>
    <n v="190801"/>
    <n v="190801"/>
    <m/>
    <n v="27"/>
    <n v="190801"/>
    <n v="891000"/>
  </r>
  <r>
    <x v="301"/>
    <x v="3"/>
    <m/>
    <x v="22"/>
    <x v="10"/>
    <x v="55"/>
    <n v="190801"/>
    <n v="190801"/>
    <m/>
    <n v="4"/>
    <n v="190801"/>
    <n v="176000"/>
  </r>
  <r>
    <x v="301"/>
    <x v="3"/>
    <m/>
    <x v="5"/>
    <x v="10"/>
    <x v="56"/>
    <n v="190801"/>
    <n v="190801"/>
    <m/>
    <n v="10"/>
    <n v="190801"/>
    <n v="390000"/>
  </r>
  <r>
    <x v="301"/>
    <x v="3"/>
    <m/>
    <x v="6"/>
    <x v="10"/>
    <x v="59"/>
    <n v="190801"/>
    <n v="190801"/>
    <m/>
    <n v="2"/>
    <n v="190801"/>
    <n v="72000"/>
  </r>
  <r>
    <x v="301"/>
    <x v="3"/>
    <m/>
    <x v="0"/>
    <x v="10"/>
    <x v="57"/>
    <n v="190801"/>
    <n v="190801"/>
    <m/>
    <n v="9"/>
    <n v="190801"/>
    <n v="477000"/>
  </r>
  <r>
    <x v="301"/>
    <x v="3"/>
    <m/>
    <x v="0"/>
    <x v="12"/>
    <x v="54"/>
    <n v="190801"/>
    <n v="190801"/>
    <m/>
    <n v="5"/>
    <n v="190801"/>
    <n v="125265"/>
  </r>
  <r>
    <x v="301"/>
    <x v="3"/>
    <m/>
    <x v="5"/>
    <x v="12"/>
    <x v="56"/>
    <n v="190801"/>
    <n v="190801"/>
    <m/>
    <n v="5"/>
    <n v="190801"/>
    <n v="165125"/>
  </r>
  <r>
    <x v="301"/>
    <x v="3"/>
    <m/>
    <x v="6"/>
    <x v="12"/>
    <x v="59"/>
    <n v="190801"/>
    <n v="190801"/>
    <m/>
    <n v="1"/>
    <n v="190801"/>
    <n v="25053"/>
  </r>
  <r>
    <x v="301"/>
    <x v="3"/>
    <m/>
    <x v="0"/>
    <x v="12"/>
    <x v="60"/>
    <n v="190801"/>
    <n v="190801"/>
    <m/>
    <n v="1"/>
    <n v="190801"/>
    <n v="3000"/>
  </r>
  <r>
    <x v="301"/>
    <x v="3"/>
    <m/>
    <x v="0"/>
    <x v="9"/>
    <x v="15"/>
    <n v="190801"/>
    <n v="190801"/>
    <m/>
    <n v="8"/>
    <n v="190801"/>
    <n v="160000"/>
  </r>
  <r>
    <x v="302"/>
    <x v="4"/>
    <m/>
    <x v="0"/>
    <x v="1"/>
    <x v="15"/>
    <n v="190801"/>
    <n v="190801"/>
    <m/>
    <n v="5"/>
    <n v="190801"/>
    <n v="100000"/>
  </r>
  <r>
    <x v="302"/>
    <x v="4"/>
    <m/>
    <x v="0"/>
    <x v="1"/>
    <x v="16"/>
    <n v="190801"/>
    <n v="190801"/>
    <m/>
    <n v="43"/>
    <n v="190801"/>
    <n v="1505000"/>
  </r>
  <r>
    <x v="302"/>
    <x v="4"/>
    <m/>
    <x v="4"/>
    <x v="5"/>
    <x v="61"/>
    <n v="190801"/>
    <n v="190801"/>
    <m/>
    <n v="30"/>
    <n v="190801"/>
    <n v="54000"/>
  </r>
  <r>
    <x v="302"/>
    <x v="4"/>
    <m/>
    <x v="4"/>
    <x v="5"/>
    <x v="62"/>
    <n v="190801"/>
    <n v="190801"/>
    <m/>
    <n v="10"/>
    <n v="190801"/>
    <n v="180000"/>
  </r>
  <r>
    <x v="302"/>
    <x v="4"/>
    <m/>
    <x v="6"/>
    <x v="2"/>
    <x v="37"/>
    <n v="190801"/>
    <n v="190801"/>
    <m/>
    <n v="5"/>
    <n v="190801"/>
    <n v="100000"/>
  </r>
  <r>
    <x v="302"/>
    <x v="4"/>
    <m/>
    <x v="6"/>
    <x v="2"/>
    <x v="42"/>
    <n v="190801"/>
    <n v="190801"/>
    <m/>
    <n v="2"/>
    <n v="190801"/>
    <n v="70000"/>
  </r>
  <r>
    <x v="302"/>
    <x v="4"/>
    <m/>
    <x v="29"/>
    <x v="2"/>
    <x v="40"/>
    <n v="190801"/>
    <n v="190801"/>
    <m/>
    <n v="5"/>
    <n v="190801"/>
    <n v="175000"/>
  </r>
  <r>
    <x v="302"/>
    <x v="4"/>
    <m/>
    <x v="29"/>
    <x v="2"/>
    <x v="41"/>
    <n v="190801"/>
    <n v="190801"/>
    <m/>
    <n v="6"/>
    <n v="190801"/>
    <n v="270000"/>
  </r>
  <r>
    <x v="302"/>
    <x v="4"/>
    <m/>
    <x v="25"/>
    <x v="2"/>
    <x v="34"/>
    <n v="190801"/>
    <n v="190801"/>
    <m/>
    <n v="7"/>
    <n v="190801"/>
    <n v="693000"/>
  </r>
  <r>
    <x v="302"/>
    <x v="4"/>
    <m/>
    <x v="1"/>
    <x v="2"/>
    <x v="18"/>
    <n v="190801"/>
    <n v="190801"/>
    <m/>
    <n v="4"/>
    <n v="190801"/>
    <n v="80000"/>
  </r>
  <r>
    <x v="302"/>
    <x v="4"/>
    <m/>
    <x v="4"/>
    <x v="2"/>
    <x v="26"/>
    <n v="190801"/>
    <n v="190801"/>
    <m/>
    <n v="1"/>
    <n v="190801"/>
    <n v="4000"/>
  </r>
  <r>
    <x v="302"/>
    <x v="4"/>
    <m/>
    <x v="4"/>
    <x v="2"/>
    <x v="27"/>
    <n v="190801"/>
    <n v="190801"/>
    <m/>
    <n v="10"/>
    <n v="190801"/>
    <n v="200000"/>
  </r>
  <r>
    <x v="302"/>
    <x v="4"/>
    <m/>
    <x v="0"/>
    <x v="2"/>
    <x v="15"/>
    <n v="190801"/>
    <n v="190801"/>
    <m/>
    <n v="88"/>
    <n v="190801"/>
    <n v="1760000"/>
  </r>
  <r>
    <x v="302"/>
    <x v="4"/>
    <m/>
    <x v="0"/>
    <x v="2"/>
    <x v="16"/>
    <n v="190801"/>
    <n v="190801"/>
    <m/>
    <n v="66"/>
    <n v="190801"/>
    <n v="2310000"/>
  </r>
  <r>
    <x v="302"/>
    <x v="4"/>
    <m/>
    <x v="0"/>
    <x v="2"/>
    <x v="17"/>
    <n v="190801"/>
    <n v="190801"/>
    <m/>
    <n v="61"/>
    <n v="190801"/>
    <n v="2013000"/>
  </r>
  <r>
    <x v="302"/>
    <x v="4"/>
    <m/>
    <x v="0"/>
    <x v="2"/>
    <x v="19"/>
    <n v="190801"/>
    <n v="190801"/>
    <m/>
    <n v="88"/>
    <n v="190801"/>
    <n v="264000"/>
  </r>
  <r>
    <x v="302"/>
    <x v="4"/>
    <m/>
    <x v="5"/>
    <x v="2"/>
    <x v="28"/>
    <n v="190801"/>
    <n v="190801"/>
    <m/>
    <n v="21"/>
    <n v="190801"/>
    <n v="588000"/>
  </r>
  <r>
    <x v="302"/>
    <x v="4"/>
    <m/>
    <x v="22"/>
    <x v="2"/>
    <x v="29"/>
    <n v="190801"/>
    <n v="190801"/>
    <m/>
    <n v="7"/>
    <n v="190801"/>
    <n v="266000"/>
  </r>
  <r>
    <x v="302"/>
    <x v="4"/>
    <m/>
    <x v="0"/>
    <x v="3"/>
    <x v="15"/>
    <n v="190801"/>
    <n v="190801"/>
    <m/>
    <n v="5"/>
    <n v="190801"/>
    <n v="0"/>
  </r>
  <r>
    <x v="302"/>
    <x v="4"/>
    <m/>
    <x v="0"/>
    <x v="3"/>
    <x v="17"/>
    <n v="190801"/>
    <n v="190801"/>
    <m/>
    <n v="2"/>
    <n v="190801"/>
    <n v="0"/>
  </r>
  <r>
    <x v="302"/>
    <x v="4"/>
    <m/>
    <x v="5"/>
    <x v="3"/>
    <x v="28"/>
    <n v="190801"/>
    <n v="190801"/>
    <m/>
    <n v="2"/>
    <n v="190801"/>
    <n v="0"/>
  </r>
  <r>
    <x v="302"/>
    <x v="4"/>
    <m/>
    <x v="4"/>
    <x v="3"/>
    <x v="27"/>
    <n v="190801"/>
    <n v="190801"/>
    <m/>
    <n v="2"/>
    <n v="190801"/>
    <n v="0"/>
  </r>
  <r>
    <x v="302"/>
    <x v="4"/>
    <m/>
    <x v="6"/>
    <x v="3"/>
    <x v="37"/>
    <n v="190801"/>
    <n v="190801"/>
    <m/>
    <n v="2"/>
    <n v="190801"/>
    <n v="0"/>
  </r>
  <r>
    <x v="302"/>
    <x v="4"/>
    <m/>
    <x v="22"/>
    <x v="3"/>
    <x v="29"/>
    <n v="190801"/>
    <n v="190801"/>
    <m/>
    <n v="2"/>
    <n v="190801"/>
    <n v="0"/>
  </r>
  <r>
    <x v="302"/>
    <x v="4"/>
    <m/>
    <x v="19"/>
    <x v="3"/>
    <x v="22"/>
    <n v="190801"/>
    <n v="190801"/>
    <m/>
    <n v="2"/>
    <n v="190801"/>
    <n v="0"/>
  </r>
  <r>
    <x v="302"/>
    <x v="4"/>
    <m/>
    <x v="1"/>
    <x v="3"/>
    <x v="18"/>
    <n v="190801"/>
    <n v="190801"/>
    <m/>
    <n v="2"/>
    <n v="190801"/>
    <n v="0"/>
  </r>
  <r>
    <x v="302"/>
    <x v="4"/>
    <m/>
    <x v="0"/>
    <x v="10"/>
    <x v="54"/>
    <n v="190801"/>
    <n v="190801"/>
    <m/>
    <n v="10"/>
    <n v="190801"/>
    <n v="330000"/>
  </r>
  <r>
    <x v="302"/>
    <x v="4"/>
    <m/>
    <x v="22"/>
    <x v="10"/>
    <x v="55"/>
    <n v="190801"/>
    <n v="190801"/>
    <m/>
    <n v="1"/>
    <n v="190801"/>
    <n v="44000"/>
  </r>
  <r>
    <x v="302"/>
    <x v="4"/>
    <m/>
    <x v="5"/>
    <x v="10"/>
    <x v="56"/>
    <n v="190801"/>
    <n v="190801"/>
    <m/>
    <n v="3"/>
    <n v="190801"/>
    <n v="117000"/>
  </r>
  <r>
    <x v="302"/>
    <x v="4"/>
    <m/>
    <x v="0"/>
    <x v="10"/>
    <x v="57"/>
    <n v="190801"/>
    <n v="190801"/>
    <m/>
    <n v="3"/>
    <n v="190801"/>
    <n v="159000"/>
  </r>
  <r>
    <x v="302"/>
    <x v="4"/>
    <m/>
    <x v="0"/>
    <x v="12"/>
    <x v="54"/>
    <n v="190801"/>
    <n v="190801"/>
    <m/>
    <n v="1"/>
    <n v="190801"/>
    <n v="25053"/>
  </r>
  <r>
    <x v="302"/>
    <x v="4"/>
    <m/>
    <x v="5"/>
    <x v="12"/>
    <x v="56"/>
    <n v="190801"/>
    <n v="190801"/>
    <m/>
    <n v="2"/>
    <n v="190801"/>
    <n v="66050"/>
  </r>
  <r>
    <x v="302"/>
    <x v="4"/>
    <m/>
    <x v="5"/>
    <x v="9"/>
    <x v="28"/>
    <n v="190801"/>
    <n v="190801"/>
    <m/>
    <n v="1"/>
    <n v="190801"/>
    <n v="28000"/>
  </r>
  <r>
    <x v="302"/>
    <x v="4"/>
    <m/>
    <x v="0"/>
    <x v="9"/>
    <x v="15"/>
    <n v="190801"/>
    <n v="190801"/>
    <m/>
    <n v="7"/>
    <n v="190801"/>
    <n v="140000"/>
  </r>
  <r>
    <x v="302"/>
    <x v="4"/>
    <m/>
    <x v="22"/>
    <x v="9"/>
    <x v="29"/>
    <n v="190801"/>
    <n v="190801"/>
    <m/>
    <n v="1"/>
    <n v="190801"/>
    <n v="38000"/>
  </r>
  <r>
    <x v="303"/>
    <x v="1"/>
    <m/>
    <x v="0"/>
    <x v="1"/>
    <x v="15"/>
    <n v="190801"/>
    <n v="190801"/>
    <m/>
    <n v="6"/>
    <n v="190801"/>
    <n v="120000"/>
  </r>
  <r>
    <x v="303"/>
    <x v="1"/>
    <m/>
    <x v="0"/>
    <x v="1"/>
    <x v="16"/>
    <n v="190801"/>
    <n v="190801"/>
    <m/>
    <n v="18"/>
    <n v="190801"/>
    <n v="630000"/>
  </r>
  <r>
    <x v="303"/>
    <x v="1"/>
    <m/>
    <x v="6"/>
    <x v="2"/>
    <x v="37"/>
    <n v="190801"/>
    <n v="190801"/>
    <m/>
    <n v="5"/>
    <n v="190801"/>
    <n v="100000"/>
  </r>
  <r>
    <x v="303"/>
    <x v="1"/>
    <m/>
    <x v="6"/>
    <x v="2"/>
    <x v="42"/>
    <n v="190801"/>
    <n v="190801"/>
    <m/>
    <n v="2"/>
    <n v="190801"/>
    <n v="70000"/>
  </r>
  <r>
    <x v="303"/>
    <x v="1"/>
    <m/>
    <x v="29"/>
    <x v="2"/>
    <x v="40"/>
    <n v="190801"/>
    <n v="190801"/>
    <m/>
    <n v="6"/>
    <n v="190801"/>
    <n v="210000"/>
  </r>
  <r>
    <x v="303"/>
    <x v="1"/>
    <m/>
    <x v="29"/>
    <x v="2"/>
    <x v="41"/>
    <n v="190801"/>
    <n v="190801"/>
    <m/>
    <n v="2"/>
    <n v="190801"/>
    <n v="90000"/>
  </r>
  <r>
    <x v="303"/>
    <x v="1"/>
    <m/>
    <x v="25"/>
    <x v="2"/>
    <x v="34"/>
    <n v="190801"/>
    <n v="190801"/>
    <m/>
    <n v="4"/>
    <n v="190801"/>
    <n v="396000"/>
  </r>
  <r>
    <x v="303"/>
    <x v="1"/>
    <m/>
    <x v="1"/>
    <x v="2"/>
    <x v="18"/>
    <n v="190801"/>
    <n v="190801"/>
    <m/>
    <n v="2"/>
    <n v="190801"/>
    <n v="40000"/>
  </r>
  <r>
    <x v="303"/>
    <x v="1"/>
    <m/>
    <x v="1"/>
    <x v="2"/>
    <x v="21"/>
    <n v="190801"/>
    <n v="190801"/>
    <m/>
    <n v="1"/>
    <n v="190801"/>
    <n v="35000"/>
  </r>
  <r>
    <x v="303"/>
    <x v="1"/>
    <m/>
    <x v="4"/>
    <x v="2"/>
    <x v="26"/>
    <n v="190801"/>
    <n v="190801"/>
    <m/>
    <n v="2"/>
    <n v="190801"/>
    <n v="8000"/>
  </r>
  <r>
    <x v="303"/>
    <x v="1"/>
    <m/>
    <x v="4"/>
    <x v="2"/>
    <x v="27"/>
    <n v="190801"/>
    <n v="190801"/>
    <m/>
    <n v="11"/>
    <n v="190801"/>
    <n v="220000"/>
  </r>
  <r>
    <x v="303"/>
    <x v="1"/>
    <m/>
    <x v="0"/>
    <x v="2"/>
    <x v="15"/>
    <n v="190801"/>
    <n v="190801"/>
    <m/>
    <n v="78"/>
    <n v="190801"/>
    <n v="1560000"/>
  </r>
  <r>
    <x v="303"/>
    <x v="1"/>
    <m/>
    <x v="0"/>
    <x v="2"/>
    <x v="16"/>
    <n v="190801"/>
    <n v="190801"/>
    <m/>
    <n v="73"/>
    <n v="190801"/>
    <n v="2555000"/>
  </r>
  <r>
    <x v="303"/>
    <x v="1"/>
    <m/>
    <x v="0"/>
    <x v="2"/>
    <x v="17"/>
    <n v="190801"/>
    <n v="190801"/>
    <m/>
    <n v="67"/>
    <n v="190801"/>
    <n v="2211000"/>
  </r>
  <r>
    <x v="303"/>
    <x v="1"/>
    <m/>
    <x v="0"/>
    <x v="2"/>
    <x v="19"/>
    <n v="190801"/>
    <n v="190801"/>
    <m/>
    <n v="76"/>
    <n v="190801"/>
    <n v="228000"/>
  </r>
  <r>
    <x v="303"/>
    <x v="1"/>
    <m/>
    <x v="5"/>
    <x v="2"/>
    <x v="28"/>
    <n v="190801"/>
    <n v="190801"/>
    <m/>
    <n v="17"/>
    <n v="190801"/>
    <n v="476000"/>
  </r>
  <r>
    <x v="303"/>
    <x v="1"/>
    <m/>
    <x v="22"/>
    <x v="2"/>
    <x v="29"/>
    <n v="190801"/>
    <n v="190801"/>
    <m/>
    <n v="9"/>
    <n v="190801"/>
    <n v="342000"/>
  </r>
  <r>
    <x v="303"/>
    <x v="1"/>
    <m/>
    <x v="5"/>
    <x v="3"/>
    <x v="28"/>
    <n v="190801"/>
    <n v="190801"/>
    <m/>
    <n v="35"/>
    <n v="190801"/>
    <n v="0"/>
  </r>
  <r>
    <x v="303"/>
    <x v="1"/>
    <m/>
    <x v="4"/>
    <x v="3"/>
    <x v="27"/>
    <n v="190801"/>
    <n v="190801"/>
    <m/>
    <n v="10"/>
    <n v="190801"/>
    <n v="0"/>
  </r>
  <r>
    <x v="303"/>
    <x v="1"/>
    <m/>
    <x v="6"/>
    <x v="3"/>
    <x v="37"/>
    <n v="190801"/>
    <n v="190801"/>
    <m/>
    <n v="40"/>
    <n v="190801"/>
    <n v="0"/>
  </r>
  <r>
    <x v="303"/>
    <x v="1"/>
    <m/>
    <x v="22"/>
    <x v="3"/>
    <x v="29"/>
    <n v="190801"/>
    <n v="190801"/>
    <m/>
    <n v="40"/>
    <n v="190801"/>
    <n v="0"/>
  </r>
  <r>
    <x v="303"/>
    <x v="1"/>
    <m/>
    <x v="1"/>
    <x v="3"/>
    <x v="18"/>
    <n v="190801"/>
    <n v="190801"/>
    <m/>
    <n v="40"/>
    <n v="190801"/>
    <n v="0"/>
  </r>
  <r>
    <x v="303"/>
    <x v="1"/>
    <m/>
    <x v="0"/>
    <x v="10"/>
    <x v="54"/>
    <n v="190801"/>
    <n v="190801"/>
    <m/>
    <n v="4"/>
    <n v="190801"/>
    <n v="132000"/>
  </r>
  <r>
    <x v="303"/>
    <x v="1"/>
    <m/>
    <x v="22"/>
    <x v="10"/>
    <x v="55"/>
    <n v="190801"/>
    <n v="190801"/>
    <m/>
    <n v="1"/>
    <n v="190801"/>
    <n v="44000"/>
  </r>
  <r>
    <x v="303"/>
    <x v="1"/>
    <m/>
    <x v="5"/>
    <x v="10"/>
    <x v="56"/>
    <n v="190801"/>
    <n v="190801"/>
    <m/>
    <n v="1"/>
    <n v="190801"/>
    <n v="39000"/>
  </r>
  <r>
    <x v="303"/>
    <x v="1"/>
    <m/>
    <x v="0"/>
    <x v="10"/>
    <x v="57"/>
    <n v="190801"/>
    <n v="190801"/>
    <m/>
    <n v="3"/>
    <n v="190801"/>
    <n v="159000"/>
  </r>
  <r>
    <x v="303"/>
    <x v="1"/>
    <m/>
    <x v="22"/>
    <x v="12"/>
    <x v="55"/>
    <n v="190801"/>
    <n v="190801"/>
    <m/>
    <n v="1"/>
    <n v="190801"/>
    <n v="37960"/>
  </r>
  <r>
    <x v="303"/>
    <x v="1"/>
    <m/>
    <x v="5"/>
    <x v="12"/>
    <x v="56"/>
    <n v="190801"/>
    <n v="190801"/>
    <m/>
    <n v="1"/>
    <n v="190801"/>
    <n v="33025"/>
  </r>
  <r>
    <x v="303"/>
    <x v="1"/>
    <m/>
    <x v="0"/>
    <x v="9"/>
    <x v="15"/>
    <n v="190801"/>
    <n v="190801"/>
    <m/>
    <n v="5"/>
    <n v="190801"/>
    <n v="100000"/>
  </r>
  <r>
    <x v="303"/>
    <x v="1"/>
    <m/>
    <x v="1"/>
    <x v="9"/>
    <x v="18"/>
    <n v="190801"/>
    <n v="190801"/>
    <m/>
    <n v="1"/>
    <n v="190801"/>
    <n v="20000"/>
  </r>
  <r>
    <x v="304"/>
    <x v="0"/>
    <m/>
    <x v="0"/>
    <x v="1"/>
    <x v="15"/>
    <n v="190801"/>
    <n v="190801"/>
    <m/>
    <n v="3"/>
    <n v="190801"/>
    <n v="60000"/>
  </r>
  <r>
    <x v="304"/>
    <x v="0"/>
    <m/>
    <x v="0"/>
    <x v="1"/>
    <x v="16"/>
    <n v="190801"/>
    <n v="190801"/>
    <m/>
    <n v="9"/>
    <n v="190801"/>
    <n v="315000"/>
  </r>
  <r>
    <x v="304"/>
    <x v="0"/>
    <m/>
    <x v="22"/>
    <x v="5"/>
    <x v="52"/>
    <n v="190801"/>
    <n v="190801"/>
    <m/>
    <n v="10"/>
    <n v="190801"/>
    <n v="171000"/>
  </r>
  <r>
    <x v="304"/>
    <x v="0"/>
    <m/>
    <x v="4"/>
    <x v="5"/>
    <x v="61"/>
    <n v="190801"/>
    <n v="190801"/>
    <m/>
    <n v="10"/>
    <n v="190801"/>
    <n v="18000"/>
  </r>
  <r>
    <x v="304"/>
    <x v="0"/>
    <m/>
    <x v="1"/>
    <x v="5"/>
    <x v="63"/>
    <n v="190801"/>
    <n v="190801"/>
    <m/>
    <n v="20"/>
    <n v="190801"/>
    <n v="225000"/>
  </r>
  <r>
    <x v="304"/>
    <x v="0"/>
    <m/>
    <x v="0"/>
    <x v="7"/>
    <x v="15"/>
    <n v="190801"/>
    <n v="190801"/>
    <m/>
    <n v="9"/>
    <n v="190801"/>
    <n v="180000"/>
  </r>
  <r>
    <x v="304"/>
    <x v="0"/>
    <m/>
    <x v="6"/>
    <x v="2"/>
    <x v="37"/>
    <n v="190801"/>
    <n v="190801"/>
    <m/>
    <n v="1"/>
    <n v="190801"/>
    <n v="20000"/>
  </r>
  <r>
    <x v="304"/>
    <x v="0"/>
    <m/>
    <x v="6"/>
    <x v="2"/>
    <x v="42"/>
    <n v="190801"/>
    <n v="190801"/>
    <m/>
    <n v="3"/>
    <n v="190801"/>
    <n v="105000"/>
  </r>
  <r>
    <x v="304"/>
    <x v="0"/>
    <m/>
    <x v="29"/>
    <x v="2"/>
    <x v="40"/>
    <n v="190801"/>
    <n v="190801"/>
    <m/>
    <n v="6"/>
    <n v="190801"/>
    <n v="210000"/>
  </r>
  <r>
    <x v="304"/>
    <x v="0"/>
    <m/>
    <x v="29"/>
    <x v="2"/>
    <x v="41"/>
    <n v="190801"/>
    <n v="190801"/>
    <m/>
    <n v="4"/>
    <n v="190801"/>
    <n v="180000"/>
  </r>
  <r>
    <x v="304"/>
    <x v="0"/>
    <m/>
    <x v="25"/>
    <x v="2"/>
    <x v="34"/>
    <n v="190801"/>
    <n v="190801"/>
    <m/>
    <n v="3"/>
    <n v="190801"/>
    <n v="297000"/>
  </r>
  <r>
    <x v="304"/>
    <x v="0"/>
    <m/>
    <x v="1"/>
    <x v="2"/>
    <x v="18"/>
    <n v="190801"/>
    <n v="190801"/>
    <m/>
    <n v="2"/>
    <n v="190801"/>
    <n v="40000"/>
  </r>
  <r>
    <x v="304"/>
    <x v="0"/>
    <m/>
    <x v="1"/>
    <x v="2"/>
    <x v="21"/>
    <n v="190801"/>
    <n v="190801"/>
    <m/>
    <n v="1"/>
    <n v="190801"/>
    <n v="35000"/>
  </r>
  <r>
    <x v="304"/>
    <x v="0"/>
    <m/>
    <x v="4"/>
    <x v="2"/>
    <x v="26"/>
    <n v="190801"/>
    <n v="190801"/>
    <m/>
    <n v="1"/>
    <n v="190801"/>
    <n v="4000"/>
  </r>
  <r>
    <x v="304"/>
    <x v="0"/>
    <m/>
    <x v="4"/>
    <x v="2"/>
    <x v="27"/>
    <n v="190801"/>
    <n v="190801"/>
    <m/>
    <n v="1"/>
    <n v="190801"/>
    <n v="20000"/>
  </r>
  <r>
    <x v="304"/>
    <x v="0"/>
    <m/>
    <x v="0"/>
    <x v="2"/>
    <x v="15"/>
    <n v="190801"/>
    <n v="190801"/>
    <m/>
    <n v="85"/>
    <n v="190801"/>
    <n v="1700000"/>
  </r>
  <r>
    <x v="304"/>
    <x v="0"/>
    <m/>
    <x v="0"/>
    <x v="2"/>
    <x v="16"/>
    <n v="190801"/>
    <n v="190801"/>
    <m/>
    <n v="94"/>
    <n v="190801"/>
    <n v="3290000"/>
  </r>
  <r>
    <x v="304"/>
    <x v="0"/>
    <m/>
    <x v="0"/>
    <x v="2"/>
    <x v="17"/>
    <n v="190801"/>
    <n v="190801"/>
    <m/>
    <n v="51"/>
    <n v="190801"/>
    <n v="1683000"/>
  </r>
  <r>
    <x v="304"/>
    <x v="0"/>
    <m/>
    <x v="0"/>
    <x v="2"/>
    <x v="19"/>
    <n v="190801"/>
    <n v="190801"/>
    <m/>
    <n v="102"/>
    <n v="190801"/>
    <n v="306000"/>
  </r>
  <r>
    <x v="304"/>
    <x v="0"/>
    <m/>
    <x v="5"/>
    <x v="2"/>
    <x v="28"/>
    <n v="190801"/>
    <n v="190801"/>
    <m/>
    <n v="20"/>
    <n v="190801"/>
    <n v="560000"/>
  </r>
  <r>
    <x v="304"/>
    <x v="0"/>
    <m/>
    <x v="22"/>
    <x v="2"/>
    <x v="29"/>
    <n v="190801"/>
    <n v="190801"/>
    <m/>
    <n v="10"/>
    <n v="190801"/>
    <n v="380000"/>
  </r>
  <r>
    <x v="304"/>
    <x v="0"/>
    <m/>
    <x v="0"/>
    <x v="10"/>
    <x v="54"/>
    <n v="190801"/>
    <n v="190801"/>
    <m/>
    <n v="15"/>
    <n v="190801"/>
    <n v="495000"/>
  </r>
  <r>
    <x v="304"/>
    <x v="0"/>
    <m/>
    <x v="5"/>
    <x v="10"/>
    <x v="56"/>
    <n v="190801"/>
    <n v="190801"/>
    <m/>
    <n v="5"/>
    <n v="190801"/>
    <n v="195000"/>
  </r>
  <r>
    <x v="304"/>
    <x v="0"/>
    <m/>
    <x v="0"/>
    <x v="10"/>
    <x v="57"/>
    <n v="190801"/>
    <n v="190801"/>
    <m/>
    <n v="2"/>
    <n v="190801"/>
    <n v="106000"/>
  </r>
  <r>
    <x v="304"/>
    <x v="0"/>
    <m/>
    <x v="0"/>
    <x v="12"/>
    <x v="64"/>
    <n v="190801"/>
    <n v="190801"/>
    <m/>
    <n v="1"/>
    <n v="190801"/>
    <n v="44792"/>
  </r>
  <r>
    <x v="304"/>
    <x v="0"/>
    <m/>
    <x v="5"/>
    <x v="12"/>
    <x v="56"/>
    <n v="190801"/>
    <n v="190801"/>
    <m/>
    <n v="4"/>
    <n v="190801"/>
    <n v="132100"/>
  </r>
  <r>
    <x v="304"/>
    <x v="0"/>
    <m/>
    <x v="0"/>
    <x v="12"/>
    <x v="65"/>
    <n v="190801"/>
    <n v="190801"/>
    <m/>
    <n v="1"/>
    <n v="190801"/>
    <n v="8400"/>
  </r>
  <r>
    <x v="304"/>
    <x v="0"/>
    <m/>
    <x v="0"/>
    <x v="9"/>
    <x v="15"/>
    <n v="190801"/>
    <n v="190801"/>
    <m/>
    <n v="6"/>
    <n v="190801"/>
    <n v="120000"/>
  </r>
  <r>
    <x v="305"/>
    <x v="2"/>
    <m/>
    <x v="0"/>
    <x v="1"/>
    <x v="15"/>
    <n v="190801"/>
    <n v="190801"/>
    <m/>
    <n v="4"/>
    <n v="190801"/>
    <n v="80000"/>
  </r>
  <r>
    <x v="305"/>
    <x v="2"/>
    <m/>
    <x v="0"/>
    <x v="1"/>
    <x v="16"/>
    <n v="190801"/>
    <n v="190801"/>
    <m/>
    <n v="8"/>
    <n v="190801"/>
    <n v="280000"/>
  </r>
  <r>
    <x v="305"/>
    <x v="2"/>
    <m/>
    <x v="0"/>
    <x v="7"/>
    <x v="15"/>
    <n v="190801"/>
    <n v="190801"/>
    <m/>
    <n v="5"/>
    <n v="190801"/>
    <n v="100000"/>
  </r>
  <r>
    <x v="305"/>
    <x v="2"/>
    <m/>
    <x v="6"/>
    <x v="2"/>
    <x v="37"/>
    <n v="190801"/>
    <n v="190801"/>
    <m/>
    <n v="3"/>
    <n v="190801"/>
    <n v="60000"/>
  </r>
  <r>
    <x v="305"/>
    <x v="2"/>
    <m/>
    <x v="6"/>
    <x v="2"/>
    <x v="42"/>
    <n v="190801"/>
    <n v="190801"/>
    <m/>
    <n v="1"/>
    <n v="190801"/>
    <n v="35000"/>
  </r>
  <r>
    <x v="305"/>
    <x v="2"/>
    <m/>
    <x v="29"/>
    <x v="2"/>
    <x v="41"/>
    <n v="190801"/>
    <n v="190801"/>
    <m/>
    <n v="4"/>
    <n v="190801"/>
    <n v="180000"/>
  </r>
  <r>
    <x v="305"/>
    <x v="2"/>
    <m/>
    <x v="25"/>
    <x v="2"/>
    <x v="34"/>
    <n v="190801"/>
    <n v="190801"/>
    <m/>
    <n v="2"/>
    <n v="190801"/>
    <n v="198000"/>
  </r>
  <r>
    <x v="305"/>
    <x v="2"/>
    <m/>
    <x v="1"/>
    <x v="2"/>
    <x v="18"/>
    <n v="190801"/>
    <n v="190801"/>
    <m/>
    <n v="2"/>
    <n v="190801"/>
    <n v="40000"/>
  </r>
  <r>
    <x v="305"/>
    <x v="2"/>
    <m/>
    <x v="4"/>
    <x v="2"/>
    <x v="27"/>
    <n v="190801"/>
    <n v="190801"/>
    <m/>
    <n v="11"/>
    <n v="190801"/>
    <n v="220000"/>
  </r>
  <r>
    <x v="305"/>
    <x v="2"/>
    <m/>
    <x v="0"/>
    <x v="2"/>
    <x v="15"/>
    <n v="190801"/>
    <n v="190801"/>
    <m/>
    <n v="70"/>
    <n v="190801"/>
    <n v="1400000"/>
  </r>
  <r>
    <x v="305"/>
    <x v="2"/>
    <m/>
    <x v="0"/>
    <x v="2"/>
    <x v="16"/>
    <n v="190801"/>
    <n v="190801"/>
    <m/>
    <n v="75"/>
    <n v="190801"/>
    <n v="2625000"/>
  </r>
  <r>
    <x v="305"/>
    <x v="2"/>
    <m/>
    <x v="0"/>
    <x v="2"/>
    <x v="17"/>
    <n v="190801"/>
    <n v="190801"/>
    <m/>
    <n v="55"/>
    <n v="190801"/>
    <n v="1815000"/>
  </r>
  <r>
    <x v="305"/>
    <x v="2"/>
    <m/>
    <x v="0"/>
    <x v="2"/>
    <x v="19"/>
    <n v="190801"/>
    <n v="190801"/>
    <m/>
    <n v="68"/>
    <n v="190801"/>
    <n v="204000"/>
  </r>
  <r>
    <x v="305"/>
    <x v="2"/>
    <m/>
    <x v="5"/>
    <x v="2"/>
    <x v="28"/>
    <n v="190801"/>
    <n v="190801"/>
    <m/>
    <n v="9"/>
    <n v="190801"/>
    <n v="252000"/>
  </r>
  <r>
    <x v="305"/>
    <x v="2"/>
    <m/>
    <x v="22"/>
    <x v="2"/>
    <x v="29"/>
    <n v="190801"/>
    <n v="190801"/>
    <m/>
    <n v="4"/>
    <n v="190801"/>
    <n v="152000"/>
  </r>
  <r>
    <x v="305"/>
    <x v="2"/>
    <m/>
    <x v="0"/>
    <x v="3"/>
    <x v="15"/>
    <n v="190801"/>
    <n v="190801"/>
    <m/>
    <n v="3"/>
    <n v="190801"/>
    <n v="0"/>
  </r>
  <r>
    <x v="305"/>
    <x v="2"/>
    <m/>
    <x v="18"/>
    <x v="3"/>
    <x v="19"/>
    <n v="190801"/>
    <n v="190801"/>
    <m/>
    <n v="2"/>
    <n v="190801"/>
    <n v="0"/>
  </r>
  <r>
    <x v="305"/>
    <x v="2"/>
    <m/>
    <x v="5"/>
    <x v="3"/>
    <x v="28"/>
    <n v="190801"/>
    <n v="190801"/>
    <m/>
    <n v="2"/>
    <n v="190801"/>
    <n v="0"/>
  </r>
  <r>
    <x v="305"/>
    <x v="2"/>
    <m/>
    <x v="4"/>
    <x v="3"/>
    <x v="26"/>
    <n v="190801"/>
    <n v="190801"/>
    <m/>
    <n v="2"/>
    <n v="190801"/>
    <n v="0"/>
  </r>
  <r>
    <x v="305"/>
    <x v="2"/>
    <m/>
    <x v="4"/>
    <x v="3"/>
    <x v="27"/>
    <n v="190801"/>
    <n v="190801"/>
    <m/>
    <n v="2"/>
    <n v="190801"/>
    <n v="0"/>
  </r>
  <r>
    <x v="305"/>
    <x v="2"/>
    <m/>
    <x v="6"/>
    <x v="3"/>
    <x v="37"/>
    <n v="190801"/>
    <n v="190801"/>
    <m/>
    <n v="2"/>
    <n v="190801"/>
    <n v="0"/>
  </r>
  <r>
    <x v="305"/>
    <x v="2"/>
    <m/>
    <x v="22"/>
    <x v="3"/>
    <x v="29"/>
    <n v="190801"/>
    <n v="190801"/>
    <m/>
    <n v="2"/>
    <n v="190801"/>
    <n v="0"/>
  </r>
  <r>
    <x v="305"/>
    <x v="2"/>
    <m/>
    <x v="19"/>
    <x v="3"/>
    <x v="22"/>
    <n v="190801"/>
    <n v="190801"/>
    <m/>
    <n v="2"/>
    <n v="190801"/>
    <n v="0"/>
  </r>
  <r>
    <x v="305"/>
    <x v="2"/>
    <m/>
    <x v="1"/>
    <x v="3"/>
    <x v="18"/>
    <n v="190801"/>
    <n v="190801"/>
    <m/>
    <n v="2"/>
    <n v="190801"/>
    <n v="0"/>
  </r>
  <r>
    <x v="305"/>
    <x v="2"/>
    <m/>
    <x v="0"/>
    <x v="10"/>
    <x v="54"/>
    <n v="190801"/>
    <n v="190801"/>
    <m/>
    <n v="10"/>
    <n v="190801"/>
    <n v="330000"/>
  </r>
  <r>
    <x v="305"/>
    <x v="2"/>
    <m/>
    <x v="22"/>
    <x v="10"/>
    <x v="55"/>
    <n v="190801"/>
    <n v="190801"/>
    <m/>
    <n v="1"/>
    <n v="190801"/>
    <n v="44000"/>
  </r>
  <r>
    <x v="305"/>
    <x v="2"/>
    <m/>
    <x v="1"/>
    <x v="10"/>
    <x v="58"/>
    <n v="190801"/>
    <n v="190801"/>
    <m/>
    <n v="1"/>
    <n v="190801"/>
    <n v="36000"/>
  </r>
  <r>
    <x v="305"/>
    <x v="2"/>
    <m/>
    <x v="5"/>
    <x v="10"/>
    <x v="56"/>
    <n v="190801"/>
    <n v="190801"/>
    <m/>
    <n v="3"/>
    <n v="190801"/>
    <n v="117000"/>
  </r>
  <r>
    <x v="305"/>
    <x v="2"/>
    <m/>
    <x v="0"/>
    <x v="10"/>
    <x v="57"/>
    <n v="190801"/>
    <n v="190801"/>
    <m/>
    <n v="1"/>
    <n v="190801"/>
    <n v="53000"/>
  </r>
  <r>
    <x v="305"/>
    <x v="2"/>
    <m/>
    <x v="0"/>
    <x v="12"/>
    <x v="54"/>
    <n v="190801"/>
    <n v="190801"/>
    <m/>
    <n v="1"/>
    <n v="190801"/>
    <n v="25053"/>
  </r>
  <r>
    <x v="305"/>
    <x v="2"/>
    <m/>
    <x v="5"/>
    <x v="12"/>
    <x v="56"/>
    <n v="190801"/>
    <n v="190801"/>
    <m/>
    <n v="4"/>
    <n v="190801"/>
    <n v="132100"/>
  </r>
  <r>
    <x v="305"/>
    <x v="2"/>
    <m/>
    <x v="0"/>
    <x v="9"/>
    <x v="15"/>
    <n v="190801"/>
    <n v="190801"/>
    <m/>
    <n v="2"/>
    <n v="190801"/>
    <n v="40000"/>
  </r>
  <r>
    <x v="306"/>
    <x v="5"/>
    <m/>
    <x v="6"/>
    <x v="2"/>
    <x v="37"/>
    <n v="190801"/>
    <n v="190801"/>
    <m/>
    <n v="7"/>
    <n v="190801"/>
    <n v="140000"/>
  </r>
  <r>
    <x v="306"/>
    <x v="5"/>
    <m/>
    <x v="29"/>
    <x v="2"/>
    <x v="40"/>
    <n v="190801"/>
    <n v="190801"/>
    <m/>
    <n v="3"/>
    <n v="190801"/>
    <n v="105000"/>
  </r>
  <r>
    <x v="306"/>
    <x v="5"/>
    <m/>
    <x v="29"/>
    <x v="2"/>
    <x v="41"/>
    <n v="190801"/>
    <n v="190801"/>
    <m/>
    <n v="4"/>
    <n v="190801"/>
    <n v="180000"/>
  </r>
  <r>
    <x v="306"/>
    <x v="5"/>
    <m/>
    <x v="25"/>
    <x v="2"/>
    <x v="34"/>
    <n v="190801"/>
    <n v="190801"/>
    <m/>
    <n v="4"/>
    <n v="190801"/>
    <n v="396000"/>
  </r>
  <r>
    <x v="306"/>
    <x v="5"/>
    <m/>
    <x v="1"/>
    <x v="2"/>
    <x v="18"/>
    <n v="190801"/>
    <n v="190801"/>
    <m/>
    <n v="5"/>
    <n v="190801"/>
    <n v="100000"/>
  </r>
  <r>
    <x v="306"/>
    <x v="5"/>
    <m/>
    <x v="1"/>
    <x v="2"/>
    <x v="21"/>
    <n v="190801"/>
    <n v="190801"/>
    <m/>
    <n v="1"/>
    <n v="190801"/>
    <n v="35000"/>
  </r>
  <r>
    <x v="306"/>
    <x v="5"/>
    <m/>
    <x v="4"/>
    <x v="2"/>
    <x v="26"/>
    <n v="190801"/>
    <n v="190801"/>
    <m/>
    <n v="1"/>
    <n v="190801"/>
    <n v="4000"/>
  </r>
  <r>
    <x v="306"/>
    <x v="5"/>
    <m/>
    <x v="4"/>
    <x v="2"/>
    <x v="27"/>
    <n v="190801"/>
    <n v="190801"/>
    <m/>
    <n v="4"/>
    <n v="190801"/>
    <n v="80000"/>
  </r>
  <r>
    <x v="306"/>
    <x v="5"/>
    <m/>
    <x v="0"/>
    <x v="2"/>
    <x v="15"/>
    <n v="190801"/>
    <n v="190801"/>
    <m/>
    <n v="93"/>
    <n v="190801"/>
    <n v="1860000"/>
  </r>
  <r>
    <x v="306"/>
    <x v="5"/>
    <m/>
    <x v="0"/>
    <x v="2"/>
    <x v="16"/>
    <n v="190801"/>
    <n v="190801"/>
    <m/>
    <n v="62"/>
    <n v="190801"/>
    <n v="2170000"/>
  </r>
  <r>
    <x v="306"/>
    <x v="5"/>
    <m/>
    <x v="0"/>
    <x v="2"/>
    <x v="17"/>
    <n v="190801"/>
    <n v="190801"/>
    <m/>
    <n v="76"/>
    <n v="190801"/>
    <n v="2508000"/>
  </r>
  <r>
    <x v="306"/>
    <x v="5"/>
    <m/>
    <x v="0"/>
    <x v="2"/>
    <x v="19"/>
    <n v="190801"/>
    <n v="190801"/>
    <m/>
    <n v="95"/>
    <n v="190801"/>
    <n v="285000"/>
  </r>
  <r>
    <x v="306"/>
    <x v="5"/>
    <m/>
    <x v="5"/>
    <x v="2"/>
    <x v="28"/>
    <n v="190801"/>
    <n v="190801"/>
    <m/>
    <n v="20"/>
    <n v="190801"/>
    <n v="560000"/>
  </r>
  <r>
    <x v="306"/>
    <x v="5"/>
    <m/>
    <x v="22"/>
    <x v="2"/>
    <x v="29"/>
    <n v="190801"/>
    <n v="190801"/>
    <m/>
    <n v="4"/>
    <n v="190801"/>
    <n v="152000"/>
  </r>
  <r>
    <x v="306"/>
    <x v="5"/>
    <m/>
    <x v="0"/>
    <x v="9"/>
    <x v="15"/>
    <n v="190801"/>
    <n v="190801"/>
    <m/>
    <n v="7"/>
    <n v="190801"/>
    <n v="140000"/>
  </r>
  <r>
    <x v="306"/>
    <x v="5"/>
    <m/>
    <x v="6"/>
    <x v="9"/>
    <x v="37"/>
    <n v="190801"/>
    <n v="190801"/>
    <m/>
    <n v="2"/>
    <n v="190801"/>
    <n v="40000"/>
  </r>
  <r>
    <x v="307"/>
    <x v="6"/>
    <m/>
    <x v="0"/>
    <x v="7"/>
    <x v="15"/>
    <n v="190801"/>
    <n v="190801"/>
    <m/>
    <n v="24"/>
    <n v="190801"/>
    <n v="480000"/>
  </r>
  <r>
    <x v="307"/>
    <x v="6"/>
    <m/>
    <x v="6"/>
    <x v="2"/>
    <x v="37"/>
    <n v="190801"/>
    <n v="190801"/>
    <m/>
    <n v="3"/>
    <n v="190801"/>
    <n v="60000"/>
  </r>
  <r>
    <x v="307"/>
    <x v="6"/>
    <m/>
    <x v="6"/>
    <x v="2"/>
    <x v="42"/>
    <n v="190801"/>
    <n v="190801"/>
    <m/>
    <n v="1"/>
    <n v="190801"/>
    <n v="35000"/>
  </r>
  <r>
    <x v="307"/>
    <x v="6"/>
    <m/>
    <x v="29"/>
    <x v="2"/>
    <x v="40"/>
    <n v="190801"/>
    <n v="190801"/>
    <m/>
    <n v="4"/>
    <n v="190801"/>
    <n v="140000"/>
  </r>
  <r>
    <x v="307"/>
    <x v="6"/>
    <m/>
    <x v="29"/>
    <x v="2"/>
    <x v="41"/>
    <n v="190801"/>
    <n v="190801"/>
    <m/>
    <n v="8"/>
    <n v="190801"/>
    <n v="360000"/>
  </r>
  <r>
    <x v="307"/>
    <x v="6"/>
    <m/>
    <x v="25"/>
    <x v="2"/>
    <x v="34"/>
    <n v="190801"/>
    <n v="190801"/>
    <m/>
    <n v="3"/>
    <n v="190801"/>
    <n v="297000"/>
  </r>
  <r>
    <x v="307"/>
    <x v="6"/>
    <m/>
    <x v="1"/>
    <x v="2"/>
    <x v="18"/>
    <n v="190801"/>
    <n v="190801"/>
    <m/>
    <n v="3"/>
    <n v="190801"/>
    <n v="60000"/>
  </r>
  <r>
    <x v="307"/>
    <x v="6"/>
    <m/>
    <x v="4"/>
    <x v="2"/>
    <x v="26"/>
    <n v="190801"/>
    <n v="190801"/>
    <m/>
    <n v="3"/>
    <n v="190801"/>
    <n v="12000"/>
  </r>
  <r>
    <x v="307"/>
    <x v="6"/>
    <m/>
    <x v="4"/>
    <x v="2"/>
    <x v="27"/>
    <n v="190801"/>
    <n v="190801"/>
    <m/>
    <n v="7"/>
    <n v="190801"/>
    <n v="140000"/>
  </r>
  <r>
    <x v="307"/>
    <x v="6"/>
    <m/>
    <x v="0"/>
    <x v="2"/>
    <x v="15"/>
    <n v="190801"/>
    <n v="190801"/>
    <m/>
    <n v="102"/>
    <n v="190801"/>
    <n v="2040000"/>
  </r>
  <r>
    <x v="307"/>
    <x v="6"/>
    <m/>
    <x v="0"/>
    <x v="2"/>
    <x v="16"/>
    <n v="190801"/>
    <n v="190801"/>
    <m/>
    <n v="62"/>
    <n v="190801"/>
    <n v="2170000"/>
  </r>
  <r>
    <x v="307"/>
    <x v="6"/>
    <m/>
    <x v="0"/>
    <x v="2"/>
    <x v="17"/>
    <n v="190801"/>
    <n v="190801"/>
    <m/>
    <n v="66"/>
    <n v="190801"/>
    <n v="2178000"/>
  </r>
  <r>
    <x v="307"/>
    <x v="6"/>
    <m/>
    <x v="0"/>
    <x v="2"/>
    <x v="19"/>
    <n v="190801"/>
    <n v="190801"/>
    <m/>
    <n v="98"/>
    <n v="190801"/>
    <n v="294000"/>
  </r>
  <r>
    <x v="307"/>
    <x v="6"/>
    <m/>
    <x v="5"/>
    <x v="2"/>
    <x v="28"/>
    <n v="190801"/>
    <n v="190801"/>
    <m/>
    <n v="15"/>
    <n v="190801"/>
    <n v="420000"/>
  </r>
  <r>
    <x v="307"/>
    <x v="6"/>
    <m/>
    <x v="22"/>
    <x v="2"/>
    <x v="29"/>
    <n v="190801"/>
    <n v="190801"/>
    <m/>
    <n v="7"/>
    <n v="190801"/>
    <n v="266000"/>
  </r>
  <r>
    <x v="307"/>
    <x v="6"/>
    <m/>
    <x v="0"/>
    <x v="9"/>
    <x v="15"/>
    <n v="190801"/>
    <n v="190801"/>
    <m/>
    <n v="12"/>
    <n v="190801"/>
    <n v="240000"/>
  </r>
  <r>
    <x v="307"/>
    <x v="6"/>
    <m/>
    <x v="0"/>
    <x v="6"/>
    <x v="15"/>
    <n v="190801"/>
    <n v="190801"/>
    <m/>
    <n v="591"/>
    <n v="190801"/>
    <n v="5359188"/>
  </r>
  <r>
    <x v="307"/>
    <x v="6"/>
    <m/>
    <x v="0"/>
    <x v="6"/>
    <x v="17"/>
    <n v="190801"/>
    <n v="190801"/>
    <m/>
    <n v="142"/>
    <n v="190801"/>
    <n v="2246156"/>
  </r>
  <r>
    <x v="307"/>
    <x v="6"/>
    <m/>
    <x v="4"/>
    <x v="6"/>
    <x v="26"/>
    <n v="190801"/>
    <n v="190801"/>
    <m/>
    <n v="744"/>
    <n v="190801"/>
    <n v="798312"/>
  </r>
  <r>
    <x v="307"/>
    <x v="6"/>
    <m/>
    <x v="26"/>
    <x v="6"/>
    <x v="35"/>
    <n v="190801"/>
    <n v="190801"/>
    <m/>
    <n v="68"/>
    <n v="190801"/>
    <n v="1164908"/>
  </r>
  <r>
    <x v="307"/>
    <x v="6"/>
    <m/>
    <x v="22"/>
    <x v="6"/>
    <x v="29"/>
    <n v="190801"/>
    <n v="190801"/>
    <m/>
    <n v="27"/>
    <n v="190801"/>
    <n v="531657"/>
  </r>
  <r>
    <x v="307"/>
    <x v="6"/>
    <m/>
    <x v="24"/>
    <x v="6"/>
    <x v="31"/>
    <n v="190801"/>
    <n v="190801"/>
    <m/>
    <n v="215"/>
    <n v="190801"/>
    <n v="3198555"/>
  </r>
  <r>
    <x v="307"/>
    <x v="6"/>
    <m/>
    <x v="23"/>
    <x v="6"/>
    <x v="30"/>
    <n v="190801"/>
    <n v="190801"/>
    <m/>
    <n v="59"/>
    <n v="190801"/>
    <n v="410876"/>
  </r>
  <r>
    <x v="307"/>
    <x v="6"/>
    <m/>
    <x v="19"/>
    <x v="6"/>
    <x v="22"/>
    <n v="190801"/>
    <n v="190801"/>
    <m/>
    <n v="5"/>
    <n v="190801"/>
    <n v="33955"/>
  </r>
  <r>
    <x v="307"/>
    <x v="6"/>
    <m/>
    <x v="27"/>
    <x v="6"/>
    <x v="36"/>
    <n v="190801"/>
    <n v="190801"/>
    <m/>
    <n v="13"/>
    <n v="190801"/>
    <n v="122941"/>
  </r>
  <r>
    <x v="307"/>
    <x v="6"/>
    <m/>
    <x v="6"/>
    <x v="6"/>
    <x v="37"/>
    <n v="190801"/>
    <n v="190801"/>
    <m/>
    <n v="34"/>
    <n v="190801"/>
    <n v="340000"/>
  </r>
  <r>
    <x v="307"/>
    <x v="6"/>
    <m/>
    <x v="28"/>
    <x v="6"/>
    <x v="39"/>
    <n v="190801"/>
    <n v="190801"/>
    <m/>
    <n v="257"/>
    <n v="190801"/>
    <n v="4065226"/>
  </r>
  <r>
    <x v="307"/>
    <x v="6"/>
    <m/>
    <x v="4"/>
    <x v="6"/>
    <x v="66"/>
    <n v="190801"/>
    <n v="190801"/>
    <m/>
    <n v="246"/>
    <n v="190801"/>
    <n v="1376862"/>
  </r>
  <r>
    <x v="308"/>
    <x v="3"/>
    <m/>
    <x v="0"/>
    <x v="1"/>
    <x v="15"/>
    <n v="190801"/>
    <n v="190801"/>
    <m/>
    <n v="22"/>
    <n v="190801"/>
    <n v="440000"/>
  </r>
  <r>
    <x v="308"/>
    <x v="3"/>
    <m/>
    <x v="0"/>
    <x v="1"/>
    <x v="16"/>
    <n v="190801"/>
    <n v="190801"/>
    <m/>
    <n v="15"/>
    <n v="190801"/>
    <n v="525000"/>
  </r>
  <r>
    <x v="308"/>
    <x v="3"/>
    <m/>
    <x v="0"/>
    <x v="7"/>
    <x v="15"/>
    <n v="190801"/>
    <n v="190801"/>
    <m/>
    <n v="16"/>
    <n v="190801"/>
    <n v="320000"/>
  </r>
  <r>
    <x v="308"/>
    <x v="3"/>
    <m/>
    <x v="6"/>
    <x v="2"/>
    <x v="37"/>
    <n v="190801"/>
    <n v="190801"/>
    <m/>
    <n v="4"/>
    <n v="190801"/>
    <n v="80000"/>
  </r>
  <r>
    <x v="308"/>
    <x v="3"/>
    <m/>
    <x v="6"/>
    <x v="2"/>
    <x v="42"/>
    <n v="190801"/>
    <n v="190801"/>
    <m/>
    <n v="2"/>
    <n v="190801"/>
    <n v="70000"/>
  </r>
  <r>
    <x v="308"/>
    <x v="3"/>
    <m/>
    <x v="29"/>
    <x v="2"/>
    <x v="40"/>
    <n v="190801"/>
    <n v="190801"/>
    <m/>
    <n v="5"/>
    <n v="190801"/>
    <n v="175000"/>
  </r>
  <r>
    <x v="308"/>
    <x v="3"/>
    <m/>
    <x v="29"/>
    <x v="2"/>
    <x v="41"/>
    <n v="190801"/>
    <n v="190801"/>
    <m/>
    <n v="4"/>
    <n v="190801"/>
    <n v="180000"/>
  </r>
  <r>
    <x v="308"/>
    <x v="3"/>
    <m/>
    <x v="25"/>
    <x v="2"/>
    <x v="34"/>
    <n v="190801"/>
    <n v="190801"/>
    <m/>
    <n v="8"/>
    <n v="190801"/>
    <n v="792000"/>
  </r>
  <r>
    <x v="308"/>
    <x v="3"/>
    <m/>
    <x v="1"/>
    <x v="2"/>
    <x v="18"/>
    <n v="190801"/>
    <n v="190801"/>
    <m/>
    <n v="2"/>
    <n v="190801"/>
    <n v="40000"/>
  </r>
  <r>
    <x v="308"/>
    <x v="3"/>
    <m/>
    <x v="1"/>
    <x v="2"/>
    <x v="21"/>
    <n v="190801"/>
    <n v="190801"/>
    <m/>
    <n v="1"/>
    <n v="190801"/>
    <n v="35000"/>
  </r>
  <r>
    <x v="308"/>
    <x v="3"/>
    <m/>
    <x v="4"/>
    <x v="2"/>
    <x v="26"/>
    <n v="190801"/>
    <n v="190801"/>
    <m/>
    <n v="4"/>
    <n v="190801"/>
    <n v="16000"/>
  </r>
  <r>
    <x v="308"/>
    <x v="3"/>
    <m/>
    <x v="4"/>
    <x v="2"/>
    <x v="27"/>
    <n v="190801"/>
    <n v="190801"/>
    <m/>
    <n v="7"/>
    <n v="190801"/>
    <n v="140000"/>
  </r>
  <r>
    <x v="308"/>
    <x v="3"/>
    <m/>
    <x v="0"/>
    <x v="2"/>
    <x v="15"/>
    <n v="190801"/>
    <n v="190801"/>
    <m/>
    <n v="106"/>
    <n v="190801"/>
    <n v="2120000"/>
  </r>
  <r>
    <x v="308"/>
    <x v="3"/>
    <m/>
    <x v="0"/>
    <x v="2"/>
    <x v="16"/>
    <n v="190801"/>
    <n v="190801"/>
    <m/>
    <n v="94"/>
    <n v="190801"/>
    <n v="3290000"/>
  </r>
  <r>
    <x v="308"/>
    <x v="3"/>
    <m/>
    <x v="0"/>
    <x v="2"/>
    <x v="17"/>
    <n v="190801"/>
    <n v="190801"/>
    <m/>
    <n v="92"/>
    <n v="190801"/>
    <n v="3036000"/>
  </r>
  <r>
    <x v="308"/>
    <x v="3"/>
    <m/>
    <x v="0"/>
    <x v="2"/>
    <x v="19"/>
    <n v="190801"/>
    <n v="190801"/>
    <m/>
    <n v="62"/>
    <n v="190801"/>
    <n v="186000"/>
  </r>
  <r>
    <x v="308"/>
    <x v="3"/>
    <m/>
    <x v="5"/>
    <x v="2"/>
    <x v="28"/>
    <n v="190801"/>
    <n v="190801"/>
    <m/>
    <n v="37"/>
    <n v="190801"/>
    <n v="1036000"/>
  </r>
  <r>
    <x v="308"/>
    <x v="3"/>
    <m/>
    <x v="22"/>
    <x v="2"/>
    <x v="29"/>
    <n v="190801"/>
    <n v="190801"/>
    <m/>
    <n v="10"/>
    <n v="190801"/>
    <n v="380000"/>
  </r>
  <r>
    <x v="308"/>
    <x v="3"/>
    <m/>
    <x v="0"/>
    <x v="10"/>
    <x v="54"/>
    <n v="190801"/>
    <n v="190801"/>
    <m/>
    <n v="45"/>
    <n v="190801"/>
    <n v="1485000"/>
  </r>
  <r>
    <x v="308"/>
    <x v="3"/>
    <m/>
    <x v="22"/>
    <x v="10"/>
    <x v="55"/>
    <n v="190801"/>
    <n v="190801"/>
    <m/>
    <n v="1"/>
    <n v="190801"/>
    <n v="44000"/>
  </r>
  <r>
    <x v="308"/>
    <x v="3"/>
    <m/>
    <x v="5"/>
    <x v="10"/>
    <x v="56"/>
    <n v="190801"/>
    <n v="190801"/>
    <m/>
    <n v="9"/>
    <n v="190801"/>
    <n v="351000"/>
  </r>
  <r>
    <x v="308"/>
    <x v="3"/>
    <m/>
    <x v="0"/>
    <x v="10"/>
    <x v="57"/>
    <n v="190801"/>
    <n v="190801"/>
    <m/>
    <n v="18"/>
    <n v="190801"/>
    <n v="954000"/>
  </r>
  <r>
    <x v="308"/>
    <x v="3"/>
    <m/>
    <x v="0"/>
    <x v="12"/>
    <x v="54"/>
    <n v="190801"/>
    <n v="190801"/>
    <m/>
    <n v="1"/>
    <n v="190801"/>
    <n v="25053"/>
  </r>
  <r>
    <x v="308"/>
    <x v="3"/>
    <m/>
    <x v="5"/>
    <x v="12"/>
    <x v="56"/>
    <n v="190801"/>
    <n v="190801"/>
    <m/>
    <n v="3"/>
    <n v="190801"/>
    <n v="99075"/>
  </r>
  <r>
    <x v="308"/>
    <x v="3"/>
    <m/>
    <x v="0"/>
    <x v="11"/>
    <x v="64"/>
    <n v="190801"/>
    <n v="190801"/>
    <m/>
    <n v="1"/>
    <n v="190801"/>
    <n v="45853"/>
  </r>
  <r>
    <x v="308"/>
    <x v="3"/>
    <m/>
    <x v="0"/>
    <x v="9"/>
    <x v="15"/>
    <n v="190801"/>
    <n v="190801"/>
    <m/>
    <n v="12"/>
    <n v="190801"/>
    <n v="240000"/>
  </r>
  <r>
    <x v="309"/>
    <x v="4"/>
    <m/>
    <x v="0"/>
    <x v="1"/>
    <x v="15"/>
    <n v="190801"/>
    <n v="190801"/>
    <m/>
    <n v="21"/>
    <n v="190801"/>
    <n v="420000"/>
  </r>
  <r>
    <x v="309"/>
    <x v="4"/>
    <m/>
    <x v="0"/>
    <x v="1"/>
    <x v="16"/>
    <n v="190801"/>
    <n v="190801"/>
    <m/>
    <n v="7"/>
    <n v="190801"/>
    <n v="245000"/>
  </r>
  <r>
    <x v="309"/>
    <x v="4"/>
    <m/>
    <x v="0"/>
    <x v="7"/>
    <x v="15"/>
    <n v="190801"/>
    <n v="190801"/>
    <m/>
    <n v="1"/>
    <n v="190801"/>
    <n v="20000"/>
  </r>
  <r>
    <x v="309"/>
    <x v="4"/>
    <m/>
    <x v="6"/>
    <x v="2"/>
    <x v="37"/>
    <n v="190801"/>
    <n v="190801"/>
    <m/>
    <n v="1"/>
    <n v="190801"/>
    <n v="20000"/>
  </r>
  <r>
    <x v="309"/>
    <x v="4"/>
    <m/>
    <x v="6"/>
    <x v="2"/>
    <x v="42"/>
    <n v="190801"/>
    <n v="190801"/>
    <m/>
    <n v="1"/>
    <n v="190801"/>
    <n v="35000"/>
  </r>
  <r>
    <x v="309"/>
    <x v="4"/>
    <m/>
    <x v="29"/>
    <x v="2"/>
    <x v="40"/>
    <n v="190801"/>
    <n v="190801"/>
    <m/>
    <n v="3"/>
    <n v="190801"/>
    <n v="105000"/>
  </r>
  <r>
    <x v="309"/>
    <x v="4"/>
    <m/>
    <x v="29"/>
    <x v="2"/>
    <x v="41"/>
    <n v="190801"/>
    <n v="190801"/>
    <m/>
    <n v="5"/>
    <n v="190801"/>
    <n v="225000"/>
  </r>
  <r>
    <x v="309"/>
    <x v="4"/>
    <m/>
    <x v="25"/>
    <x v="2"/>
    <x v="34"/>
    <n v="190801"/>
    <n v="190801"/>
    <m/>
    <n v="5"/>
    <n v="190801"/>
    <n v="495000"/>
  </r>
  <r>
    <x v="309"/>
    <x v="4"/>
    <m/>
    <x v="1"/>
    <x v="2"/>
    <x v="18"/>
    <n v="190801"/>
    <n v="190801"/>
    <m/>
    <n v="3"/>
    <n v="190801"/>
    <n v="60000"/>
  </r>
  <r>
    <x v="309"/>
    <x v="4"/>
    <m/>
    <x v="4"/>
    <x v="2"/>
    <x v="26"/>
    <n v="190801"/>
    <n v="190801"/>
    <m/>
    <n v="3"/>
    <n v="190801"/>
    <n v="12000"/>
  </r>
  <r>
    <x v="309"/>
    <x v="4"/>
    <m/>
    <x v="4"/>
    <x v="2"/>
    <x v="27"/>
    <n v="190801"/>
    <n v="190801"/>
    <m/>
    <n v="6"/>
    <n v="190801"/>
    <n v="120000"/>
  </r>
  <r>
    <x v="309"/>
    <x v="4"/>
    <m/>
    <x v="0"/>
    <x v="2"/>
    <x v="15"/>
    <n v="190801"/>
    <n v="190801"/>
    <m/>
    <n v="103"/>
    <n v="190801"/>
    <n v="2060000"/>
  </r>
  <r>
    <x v="309"/>
    <x v="4"/>
    <m/>
    <x v="0"/>
    <x v="2"/>
    <x v="16"/>
    <n v="190801"/>
    <n v="190801"/>
    <m/>
    <n v="73"/>
    <n v="190801"/>
    <n v="2555000"/>
  </r>
  <r>
    <x v="309"/>
    <x v="4"/>
    <m/>
    <x v="0"/>
    <x v="2"/>
    <x v="17"/>
    <n v="190801"/>
    <n v="190801"/>
    <m/>
    <n v="64"/>
    <n v="190801"/>
    <n v="2112000"/>
  </r>
  <r>
    <x v="309"/>
    <x v="4"/>
    <m/>
    <x v="0"/>
    <x v="2"/>
    <x v="19"/>
    <n v="190801"/>
    <n v="190801"/>
    <m/>
    <n v="2"/>
    <n v="190801"/>
    <n v="6000"/>
  </r>
  <r>
    <x v="309"/>
    <x v="4"/>
    <m/>
    <x v="5"/>
    <x v="2"/>
    <x v="28"/>
    <n v="190801"/>
    <n v="190801"/>
    <m/>
    <n v="30"/>
    <n v="190801"/>
    <n v="840000"/>
  </r>
  <r>
    <x v="309"/>
    <x v="4"/>
    <m/>
    <x v="22"/>
    <x v="2"/>
    <x v="29"/>
    <n v="190801"/>
    <n v="190801"/>
    <m/>
    <n v="7"/>
    <n v="190801"/>
    <n v="266000"/>
  </r>
  <r>
    <x v="309"/>
    <x v="4"/>
    <m/>
    <x v="6"/>
    <x v="3"/>
    <x v="37"/>
    <n v="190801"/>
    <n v="190801"/>
    <m/>
    <n v="1"/>
    <n v="190801"/>
    <n v="0"/>
  </r>
  <r>
    <x v="309"/>
    <x v="4"/>
    <m/>
    <x v="0"/>
    <x v="10"/>
    <x v="54"/>
    <n v="190801"/>
    <n v="190801"/>
    <m/>
    <n v="16"/>
    <n v="190801"/>
    <n v="528000"/>
  </r>
  <r>
    <x v="309"/>
    <x v="4"/>
    <m/>
    <x v="5"/>
    <x v="10"/>
    <x v="56"/>
    <n v="190801"/>
    <n v="190801"/>
    <m/>
    <n v="5"/>
    <n v="190801"/>
    <n v="195000"/>
  </r>
  <r>
    <x v="309"/>
    <x v="4"/>
    <m/>
    <x v="0"/>
    <x v="10"/>
    <x v="57"/>
    <n v="190801"/>
    <n v="190801"/>
    <m/>
    <n v="5"/>
    <n v="190801"/>
    <n v="265000"/>
  </r>
  <r>
    <x v="309"/>
    <x v="4"/>
    <m/>
    <x v="0"/>
    <x v="9"/>
    <x v="15"/>
    <n v="190801"/>
    <n v="190801"/>
    <m/>
    <n v="3"/>
    <n v="190801"/>
    <n v="60000"/>
  </r>
  <r>
    <x v="309"/>
    <x v="4"/>
    <m/>
    <x v="6"/>
    <x v="9"/>
    <x v="37"/>
    <n v="190801"/>
    <n v="190801"/>
    <m/>
    <n v="1"/>
    <n v="190801"/>
    <n v="20000"/>
  </r>
  <r>
    <x v="310"/>
    <x v="1"/>
    <m/>
    <x v="0"/>
    <x v="1"/>
    <x v="15"/>
    <n v="190801"/>
    <n v="190801"/>
    <m/>
    <n v="1"/>
    <n v="190801"/>
    <n v="20000"/>
  </r>
  <r>
    <x v="310"/>
    <x v="1"/>
    <m/>
    <x v="6"/>
    <x v="2"/>
    <x v="37"/>
    <n v="190801"/>
    <n v="190801"/>
    <m/>
    <n v="6"/>
    <n v="190801"/>
    <n v="120000"/>
  </r>
  <r>
    <x v="310"/>
    <x v="1"/>
    <m/>
    <x v="6"/>
    <x v="2"/>
    <x v="42"/>
    <n v="190801"/>
    <n v="190801"/>
    <m/>
    <n v="2"/>
    <n v="190801"/>
    <n v="70000"/>
  </r>
  <r>
    <x v="310"/>
    <x v="1"/>
    <m/>
    <x v="29"/>
    <x v="2"/>
    <x v="40"/>
    <n v="190801"/>
    <n v="190801"/>
    <m/>
    <n v="3"/>
    <n v="190801"/>
    <n v="105000"/>
  </r>
  <r>
    <x v="310"/>
    <x v="1"/>
    <m/>
    <x v="29"/>
    <x v="2"/>
    <x v="41"/>
    <n v="190801"/>
    <n v="190801"/>
    <m/>
    <n v="3"/>
    <n v="190801"/>
    <n v="135000"/>
  </r>
  <r>
    <x v="310"/>
    <x v="1"/>
    <m/>
    <x v="25"/>
    <x v="2"/>
    <x v="34"/>
    <n v="190801"/>
    <n v="190801"/>
    <m/>
    <n v="2"/>
    <n v="190801"/>
    <n v="198000"/>
  </r>
  <r>
    <x v="310"/>
    <x v="1"/>
    <m/>
    <x v="1"/>
    <x v="2"/>
    <x v="18"/>
    <n v="190801"/>
    <n v="190801"/>
    <m/>
    <n v="2"/>
    <n v="190801"/>
    <n v="40000"/>
  </r>
  <r>
    <x v="310"/>
    <x v="1"/>
    <m/>
    <x v="4"/>
    <x v="2"/>
    <x v="26"/>
    <n v="190801"/>
    <n v="190801"/>
    <m/>
    <n v="5"/>
    <n v="190801"/>
    <n v="20000"/>
  </r>
  <r>
    <x v="310"/>
    <x v="1"/>
    <m/>
    <x v="4"/>
    <x v="2"/>
    <x v="27"/>
    <n v="190801"/>
    <n v="190801"/>
    <m/>
    <n v="6"/>
    <n v="190801"/>
    <n v="120000"/>
  </r>
  <r>
    <x v="310"/>
    <x v="1"/>
    <m/>
    <x v="0"/>
    <x v="2"/>
    <x v="15"/>
    <n v="190801"/>
    <n v="190801"/>
    <m/>
    <n v="78"/>
    <n v="190801"/>
    <n v="1560000"/>
  </r>
  <r>
    <x v="310"/>
    <x v="1"/>
    <m/>
    <x v="0"/>
    <x v="2"/>
    <x v="16"/>
    <n v="190801"/>
    <n v="190801"/>
    <m/>
    <n v="53"/>
    <n v="190801"/>
    <n v="1855000"/>
  </r>
  <r>
    <x v="310"/>
    <x v="1"/>
    <m/>
    <x v="0"/>
    <x v="2"/>
    <x v="17"/>
    <n v="190801"/>
    <n v="190801"/>
    <m/>
    <n v="73"/>
    <n v="190801"/>
    <n v="2409000"/>
  </r>
  <r>
    <x v="310"/>
    <x v="1"/>
    <m/>
    <x v="0"/>
    <x v="2"/>
    <x v="19"/>
    <n v="190801"/>
    <n v="190801"/>
    <m/>
    <n v="2"/>
    <n v="190801"/>
    <n v="6000"/>
  </r>
  <r>
    <x v="310"/>
    <x v="1"/>
    <m/>
    <x v="5"/>
    <x v="2"/>
    <x v="28"/>
    <n v="190801"/>
    <n v="190801"/>
    <m/>
    <n v="23"/>
    <n v="190801"/>
    <n v="644000"/>
  </r>
  <r>
    <x v="310"/>
    <x v="1"/>
    <m/>
    <x v="22"/>
    <x v="2"/>
    <x v="29"/>
    <n v="190801"/>
    <n v="190801"/>
    <m/>
    <n v="4"/>
    <n v="190801"/>
    <n v="152000"/>
  </r>
  <r>
    <x v="310"/>
    <x v="1"/>
    <m/>
    <x v="5"/>
    <x v="10"/>
    <x v="56"/>
    <n v="190801"/>
    <n v="190801"/>
    <m/>
    <n v="4"/>
    <n v="190801"/>
    <n v="156000"/>
  </r>
  <r>
    <x v="310"/>
    <x v="1"/>
    <m/>
    <x v="0"/>
    <x v="12"/>
    <x v="54"/>
    <n v="190801"/>
    <n v="190801"/>
    <m/>
    <n v="1"/>
    <n v="190801"/>
    <n v="25053"/>
  </r>
  <r>
    <x v="310"/>
    <x v="1"/>
    <m/>
    <x v="5"/>
    <x v="12"/>
    <x v="56"/>
    <n v="190801"/>
    <n v="190801"/>
    <m/>
    <n v="1"/>
    <n v="190801"/>
    <n v="33025"/>
  </r>
  <r>
    <x v="311"/>
    <x v="0"/>
    <m/>
    <x v="6"/>
    <x v="2"/>
    <x v="37"/>
    <n v="190801"/>
    <n v="190801"/>
    <m/>
    <n v="3"/>
    <n v="190801"/>
    <n v="60000"/>
  </r>
  <r>
    <x v="311"/>
    <x v="0"/>
    <m/>
    <x v="29"/>
    <x v="2"/>
    <x v="40"/>
    <n v="190801"/>
    <n v="190801"/>
    <m/>
    <n v="4"/>
    <n v="190801"/>
    <n v="140000"/>
  </r>
  <r>
    <x v="311"/>
    <x v="0"/>
    <m/>
    <x v="29"/>
    <x v="2"/>
    <x v="41"/>
    <n v="190801"/>
    <n v="190801"/>
    <m/>
    <n v="6"/>
    <n v="190801"/>
    <n v="270000"/>
  </r>
  <r>
    <x v="311"/>
    <x v="0"/>
    <m/>
    <x v="25"/>
    <x v="2"/>
    <x v="34"/>
    <n v="190801"/>
    <n v="190801"/>
    <m/>
    <n v="4"/>
    <n v="190801"/>
    <n v="396000"/>
  </r>
  <r>
    <x v="311"/>
    <x v="0"/>
    <m/>
    <x v="1"/>
    <x v="2"/>
    <x v="18"/>
    <n v="190801"/>
    <n v="190801"/>
    <m/>
    <n v="2"/>
    <n v="190801"/>
    <n v="40000"/>
  </r>
  <r>
    <x v="311"/>
    <x v="0"/>
    <m/>
    <x v="1"/>
    <x v="2"/>
    <x v="21"/>
    <n v="190801"/>
    <n v="190801"/>
    <m/>
    <n v="1"/>
    <n v="190801"/>
    <n v="35000"/>
  </r>
  <r>
    <x v="311"/>
    <x v="0"/>
    <m/>
    <x v="4"/>
    <x v="2"/>
    <x v="27"/>
    <n v="190801"/>
    <n v="190801"/>
    <m/>
    <n v="6"/>
    <n v="190801"/>
    <n v="120000"/>
  </r>
  <r>
    <x v="311"/>
    <x v="0"/>
    <m/>
    <x v="0"/>
    <x v="2"/>
    <x v="15"/>
    <n v="190801"/>
    <n v="190801"/>
    <m/>
    <n v="59"/>
    <n v="190801"/>
    <n v="1180000"/>
  </r>
  <r>
    <x v="311"/>
    <x v="0"/>
    <m/>
    <x v="0"/>
    <x v="2"/>
    <x v="16"/>
    <n v="190801"/>
    <n v="190801"/>
    <m/>
    <n v="46"/>
    <n v="190801"/>
    <n v="1610000"/>
  </r>
  <r>
    <x v="311"/>
    <x v="0"/>
    <m/>
    <x v="0"/>
    <x v="2"/>
    <x v="17"/>
    <n v="190801"/>
    <n v="190801"/>
    <m/>
    <n v="68"/>
    <n v="190801"/>
    <n v="2244000"/>
  </r>
  <r>
    <x v="311"/>
    <x v="0"/>
    <m/>
    <x v="5"/>
    <x v="2"/>
    <x v="28"/>
    <n v="190801"/>
    <n v="190801"/>
    <m/>
    <n v="8"/>
    <n v="190801"/>
    <n v="224000"/>
  </r>
  <r>
    <x v="311"/>
    <x v="0"/>
    <m/>
    <x v="22"/>
    <x v="2"/>
    <x v="29"/>
    <n v="190801"/>
    <n v="190801"/>
    <m/>
    <n v="4"/>
    <n v="190801"/>
    <n v="152000"/>
  </r>
  <r>
    <x v="311"/>
    <x v="0"/>
    <m/>
    <x v="0"/>
    <x v="3"/>
    <x v="17"/>
    <n v="190801"/>
    <n v="190801"/>
    <m/>
    <n v="10"/>
    <n v="190801"/>
    <n v="0"/>
  </r>
  <r>
    <x v="311"/>
    <x v="0"/>
    <m/>
    <x v="6"/>
    <x v="9"/>
    <x v="37"/>
    <n v="190801"/>
    <n v="190801"/>
    <m/>
    <n v="2"/>
    <n v="190801"/>
    <n v="40000"/>
  </r>
  <r>
    <x v="312"/>
    <x v="2"/>
    <m/>
    <x v="6"/>
    <x v="2"/>
    <x v="37"/>
    <n v="190801"/>
    <n v="190801"/>
    <m/>
    <n v="1"/>
    <n v="190801"/>
    <n v="20000"/>
  </r>
  <r>
    <x v="312"/>
    <x v="2"/>
    <m/>
    <x v="6"/>
    <x v="2"/>
    <x v="42"/>
    <n v="190801"/>
    <n v="190801"/>
    <m/>
    <n v="1"/>
    <n v="190801"/>
    <n v="35000"/>
  </r>
  <r>
    <x v="312"/>
    <x v="2"/>
    <m/>
    <x v="29"/>
    <x v="2"/>
    <x v="40"/>
    <n v="190801"/>
    <n v="190801"/>
    <m/>
    <n v="2"/>
    <n v="190801"/>
    <n v="70000"/>
  </r>
  <r>
    <x v="312"/>
    <x v="2"/>
    <m/>
    <x v="29"/>
    <x v="2"/>
    <x v="41"/>
    <n v="190801"/>
    <n v="190801"/>
    <m/>
    <n v="2"/>
    <n v="190801"/>
    <n v="90000"/>
  </r>
  <r>
    <x v="312"/>
    <x v="2"/>
    <m/>
    <x v="25"/>
    <x v="2"/>
    <x v="34"/>
    <n v="190801"/>
    <n v="190801"/>
    <m/>
    <n v="3"/>
    <n v="190801"/>
    <n v="297000"/>
  </r>
  <r>
    <x v="312"/>
    <x v="2"/>
    <m/>
    <x v="1"/>
    <x v="2"/>
    <x v="18"/>
    <n v="190801"/>
    <n v="190801"/>
    <m/>
    <n v="1"/>
    <n v="190801"/>
    <n v="20000"/>
  </r>
  <r>
    <x v="312"/>
    <x v="2"/>
    <m/>
    <x v="1"/>
    <x v="2"/>
    <x v="21"/>
    <n v="190801"/>
    <n v="190801"/>
    <m/>
    <n v="1"/>
    <n v="190801"/>
    <n v="35000"/>
  </r>
  <r>
    <x v="312"/>
    <x v="2"/>
    <m/>
    <x v="4"/>
    <x v="2"/>
    <x v="26"/>
    <n v="190801"/>
    <n v="190801"/>
    <m/>
    <n v="1"/>
    <n v="190801"/>
    <n v="4000"/>
  </r>
  <r>
    <x v="312"/>
    <x v="2"/>
    <m/>
    <x v="4"/>
    <x v="2"/>
    <x v="27"/>
    <n v="190801"/>
    <n v="190801"/>
    <m/>
    <n v="2"/>
    <n v="190801"/>
    <n v="40000"/>
  </r>
  <r>
    <x v="312"/>
    <x v="2"/>
    <m/>
    <x v="0"/>
    <x v="2"/>
    <x v="15"/>
    <n v="190801"/>
    <n v="190801"/>
    <m/>
    <n v="43"/>
    <n v="190801"/>
    <n v="860000"/>
  </r>
  <r>
    <x v="312"/>
    <x v="2"/>
    <m/>
    <x v="0"/>
    <x v="2"/>
    <x v="16"/>
    <n v="190801"/>
    <n v="190801"/>
    <m/>
    <n v="51"/>
    <n v="190801"/>
    <n v="1785000"/>
  </r>
  <r>
    <x v="312"/>
    <x v="2"/>
    <m/>
    <x v="0"/>
    <x v="2"/>
    <x v="17"/>
    <n v="190801"/>
    <n v="190801"/>
    <m/>
    <n v="57"/>
    <n v="190801"/>
    <n v="1881000"/>
  </r>
  <r>
    <x v="312"/>
    <x v="2"/>
    <m/>
    <x v="5"/>
    <x v="2"/>
    <x v="28"/>
    <n v="190801"/>
    <n v="190801"/>
    <m/>
    <n v="7"/>
    <n v="190801"/>
    <n v="196000"/>
  </r>
  <r>
    <x v="312"/>
    <x v="2"/>
    <m/>
    <x v="22"/>
    <x v="2"/>
    <x v="29"/>
    <n v="190801"/>
    <n v="190801"/>
    <m/>
    <n v="5"/>
    <n v="190801"/>
    <n v="190000"/>
  </r>
  <r>
    <x v="312"/>
    <x v="2"/>
    <m/>
    <x v="0"/>
    <x v="3"/>
    <x v="15"/>
    <n v="190801"/>
    <n v="190801"/>
    <m/>
    <n v="3"/>
    <n v="190801"/>
    <n v="0"/>
  </r>
  <r>
    <x v="312"/>
    <x v="2"/>
    <m/>
    <x v="0"/>
    <x v="3"/>
    <x v="17"/>
    <n v="190801"/>
    <n v="190801"/>
    <m/>
    <n v="1"/>
    <n v="190801"/>
    <n v="0"/>
  </r>
  <r>
    <x v="312"/>
    <x v="2"/>
    <m/>
    <x v="18"/>
    <x v="3"/>
    <x v="19"/>
    <n v="190801"/>
    <n v="190801"/>
    <m/>
    <n v="1"/>
    <n v="190801"/>
    <n v="0"/>
  </r>
  <r>
    <x v="312"/>
    <x v="2"/>
    <m/>
    <x v="5"/>
    <x v="3"/>
    <x v="28"/>
    <n v="190801"/>
    <n v="190801"/>
    <m/>
    <n v="1"/>
    <n v="190801"/>
    <n v="0"/>
  </r>
  <r>
    <x v="312"/>
    <x v="2"/>
    <m/>
    <x v="4"/>
    <x v="3"/>
    <x v="27"/>
    <n v="190801"/>
    <n v="190801"/>
    <m/>
    <n v="1"/>
    <n v="190801"/>
    <n v="0"/>
  </r>
  <r>
    <x v="312"/>
    <x v="2"/>
    <m/>
    <x v="6"/>
    <x v="3"/>
    <x v="37"/>
    <n v="190801"/>
    <n v="190801"/>
    <m/>
    <n v="1"/>
    <n v="190801"/>
    <n v="0"/>
  </r>
  <r>
    <x v="312"/>
    <x v="2"/>
    <m/>
    <x v="22"/>
    <x v="3"/>
    <x v="29"/>
    <n v="190801"/>
    <n v="190801"/>
    <m/>
    <n v="1"/>
    <n v="190801"/>
    <n v="0"/>
  </r>
  <r>
    <x v="312"/>
    <x v="2"/>
    <m/>
    <x v="1"/>
    <x v="3"/>
    <x v="18"/>
    <n v="190801"/>
    <n v="190801"/>
    <m/>
    <n v="1"/>
    <n v="190801"/>
    <n v="0"/>
  </r>
  <r>
    <x v="312"/>
    <x v="2"/>
    <m/>
    <x v="5"/>
    <x v="10"/>
    <x v="56"/>
    <n v="190801"/>
    <n v="190801"/>
    <m/>
    <n v="3"/>
    <n v="190801"/>
    <n v="117000"/>
  </r>
  <r>
    <x v="312"/>
    <x v="2"/>
    <m/>
    <x v="22"/>
    <x v="12"/>
    <x v="55"/>
    <n v="190801"/>
    <n v="190801"/>
    <m/>
    <n v="1"/>
    <n v="190801"/>
    <n v="37960"/>
  </r>
  <r>
    <x v="312"/>
    <x v="2"/>
    <m/>
    <x v="1"/>
    <x v="12"/>
    <x v="58"/>
    <n v="190801"/>
    <n v="190801"/>
    <m/>
    <n v="1"/>
    <n v="190801"/>
    <n v="25053"/>
  </r>
  <r>
    <x v="312"/>
    <x v="2"/>
    <m/>
    <x v="5"/>
    <x v="12"/>
    <x v="56"/>
    <n v="190801"/>
    <n v="190801"/>
    <m/>
    <n v="2"/>
    <n v="190801"/>
    <n v="66050"/>
  </r>
  <r>
    <x v="313"/>
    <x v="5"/>
    <m/>
    <x v="6"/>
    <x v="2"/>
    <x v="37"/>
    <n v="190801"/>
    <n v="190801"/>
    <m/>
    <n v="3"/>
    <n v="190801"/>
    <n v="60000"/>
  </r>
  <r>
    <x v="313"/>
    <x v="5"/>
    <m/>
    <x v="29"/>
    <x v="2"/>
    <x v="40"/>
    <n v="190801"/>
    <n v="190801"/>
    <m/>
    <n v="1"/>
    <n v="190801"/>
    <n v="35000"/>
  </r>
  <r>
    <x v="313"/>
    <x v="5"/>
    <m/>
    <x v="29"/>
    <x v="2"/>
    <x v="41"/>
    <n v="190801"/>
    <n v="190801"/>
    <m/>
    <n v="4"/>
    <n v="190801"/>
    <n v="180000"/>
  </r>
  <r>
    <x v="313"/>
    <x v="5"/>
    <m/>
    <x v="1"/>
    <x v="2"/>
    <x v="18"/>
    <n v="190801"/>
    <n v="190801"/>
    <m/>
    <n v="2"/>
    <n v="190801"/>
    <n v="40000"/>
  </r>
  <r>
    <x v="313"/>
    <x v="5"/>
    <m/>
    <x v="4"/>
    <x v="2"/>
    <x v="26"/>
    <n v="190801"/>
    <n v="190801"/>
    <m/>
    <n v="3"/>
    <n v="190801"/>
    <n v="12000"/>
  </r>
  <r>
    <x v="313"/>
    <x v="5"/>
    <m/>
    <x v="4"/>
    <x v="2"/>
    <x v="27"/>
    <n v="190801"/>
    <n v="190801"/>
    <m/>
    <n v="2"/>
    <n v="190801"/>
    <n v="40000"/>
  </r>
  <r>
    <x v="313"/>
    <x v="5"/>
    <m/>
    <x v="0"/>
    <x v="2"/>
    <x v="15"/>
    <n v="190801"/>
    <n v="190801"/>
    <m/>
    <n v="57"/>
    <n v="190801"/>
    <n v="1140000"/>
  </r>
  <r>
    <x v="313"/>
    <x v="5"/>
    <m/>
    <x v="0"/>
    <x v="2"/>
    <x v="16"/>
    <n v="190801"/>
    <n v="190801"/>
    <m/>
    <n v="37"/>
    <n v="190801"/>
    <n v="1295000"/>
  </r>
  <r>
    <x v="313"/>
    <x v="5"/>
    <m/>
    <x v="0"/>
    <x v="2"/>
    <x v="17"/>
    <n v="190801"/>
    <n v="190801"/>
    <m/>
    <n v="53"/>
    <n v="190801"/>
    <n v="1749000"/>
  </r>
  <r>
    <x v="314"/>
    <x v="6"/>
    <m/>
    <x v="6"/>
    <x v="2"/>
    <x v="37"/>
    <n v="190801"/>
    <n v="190801"/>
    <m/>
    <n v="2"/>
    <n v="190801"/>
    <n v="40000"/>
  </r>
  <r>
    <x v="314"/>
    <x v="6"/>
    <m/>
    <x v="29"/>
    <x v="2"/>
    <x v="40"/>
    <n v="190801"/>
    <n v="190801"/>
    <m/>
    <n v="2"/>
    <n v="190801"/>
    <n v="70000"/>
  </r>
  <r>
    <x v="314"/>
    <x v="6"/>
    <m/>
    <x v="29"/>
    <x v="2"/>
    <x v="41"/>
    <n v="190801"/>
    <n v="190801"/>
    <m/>
    <n v="2"/>
    <n v="190801"/>
    <n v="90000"/>
  </r>
  <r>
    <x v="314"/>
    <x v="6"/>
    <m/>
    <x v="1"/>
    <x v="2"/>
    <x v="18"/>
    <n v="190801"/>
    <n v="190801"/>
    <m/>
    <n v="1"/>
    <n v="190801"/>
    <n v="20000"/>
  </r>
  <r>
    <x v="314"/>
    <x v="6"/>
    <m/>
    <x v="1"/>
    <x v="2"/>
    <x v="21"/>
    <n v="190801"/>
    <n v="190801"/>
    <m/>
    <n v="1"/>
    <n v="190801"/>
    <n v="35000"/>
  </r>
  <r>
    <x v="314"/>
    <x v="6"/>
    <m/>
    <x v="4"/>
    <x v="2"/>
    <x v="27"/>
    <n v="190801"/>
    <n v="190801"/>
    <m/>
    <n v="6"/>
    <n v="190801"/>
    <n v="120000"/>
  </r>
  <r>
    <x v="314"/>
    <x v="6"/>
    <m/>
    <x v="0"/>
    <x v="2"/>
    <x v="15"/>
    <n v="190801"/>
    <n v="190801"/>
    <m/>
    <n v="61"/>
    <n v="190801"/>
    <n v="1220000"/>
  </r>
  <r>
    <x v="314"/>
    <x v="6"/>
    <m/>
    <x v="0"/>
    <x v="2"/>
    <x v="16"/>
    <n v="190801"/>
    <n v="190801"/>
    <m/>
    <n v="51"/>
    <n v="190801"/>
    <n v="1785000"/>
  </r>
  <r>
    <x v="314"/>
    <x v="6"/>
    <m/>
    <x v="0"/>
    <x v="2"/>
    <x v="17"/>
    <n v="190801"/>
    <n v="190801"/>
    <m/>
    <n v="70"/>
    <n v="190801"/>
    <n v="2310000"/>
  </r>
  <r>
    <x v="314"/>
    <x v="6"/>
    <m/>
    <x v="22"/>
    <x v="2"/>
    <x v="29"/>
    <n v="190801"/>
    <n v="190801"/>
    <m/>
    <n v="6"/>
    <n v="190801"/>
    <n v="228000"/>
  </r>
  <r>
    <x v="314"/>
    <x v="6"/>
    <m/>
    <x v="6"/>
    <x v="9"/>
    <x v="37"/>
    <n v="190801"/>
    <n v="190801"/>
    <m/>
    <n v="1"/>
    <n v="190801"/>
    <n v="20000"/>
  </r>
  <r>
    <x v="314"/>
    <x v="6"/>
    <m/>
    <x v="0"/>
    <x v="6"/>
    <x v="15"/>
    <n v="190801"/>
    <n v="190801"/>
    <m/>
    <n v="198"/>
    <n v="190801"/>
    <n v="1795464"/>
  </r>
  <r>
    <x v="314"/>
    <x v="6"/>
    <m/>
    <x v="0"/>
    <x v="6"/>
    <x v="17"/>
    <n v="190801"/>
    <n v="190801"/>
    <m/>
    <n v="387"/>
    <n v="190801"/>
    <n v="6121566"/>
  </r>
  <r>
    <x v="314"/>
    <x v="6"/>
    <m/>
    <x v="4"/>
    <x v="6"/>
    <x v="26"/>
    <n v="190801"/>
    <n v="190801"/>
    <m/>
    <n v="739"/>
    <n v="190801"/>
    <n v="792947"/>
  </r>
  <r>
    <x v="314"/>
    <x v="6"/>
    <m/>
    <x v="26"/>
    <x v="6"/>
    <x v="35"/>
    <n v="190801"/>
    <n v="190801"/>
    <m/>
    <n v="59"/>
    <n v="190801"/>
    <n v="1010729"/>
  </r>
  <r>
    <x v="314"/>
    <x v="6"/>
    <m/>
    <x v="22"/>
    <x v="6"/>
    <x v="29"/>
    <n v="190801"/>
    <n v="190801"/>
    <m/>
    <n v="25"/>
    <n v="190801"/>
    <n v="492275"/>
  </r>
  <r>
    <x v="314"/>
    <x v="6"/>
    <m/>
    <x v="24"/>
    <x v="6"/>
    <x v="31"/>
    <n v="190801"/>
    <n v="190801"/>
    <m/>
    <n v="89"/>
    <n v="190801"/>
    <n v="1324053"/>
  </r>
  <r>
    <x v="314"/>
    <x v="6"/>
    <m/>
    <x v="23"/>
    <x v="6"/>
    <x v="30"/>
    <n v="190801"/>
    <n v="190801"/>
    <m/>
    <n v="48"/>
    <n v="190801"/>
    <n v="334272"/>
  </r>
  <r>
    <x v="314"/>
    <x v="6"/>
    <m/>
    <x v="19"/>
    <x v="6"/>
    <x v="22"/>
    <n v="190801"/>
    <n v="190801"/>
    <m/>
    <n v="36"/>
    <n v="190801"/>
    <n v="244476"/>
  </r>
  <r>
    <x v="314"/>
    <x v="6"/>
    <m/>
    <x v="27"/>
    <x v="6"/>
    <x v="36"/>
    <n v="190801"/>
    <n v="190801"/>
    <m/>
    <n v="3"/>
    <n v="190801"/>
    <n v="28371"/>
  </r>
  <r>
    <x v="314"/>
    <x v="6"/>
    <m/>
    <x v="6"/>
    <x v="6"/>
    <x v="37"/>
    <n v="190801"/>
    <n v="190801"/>
    <m/>
    <n v="24"/>
    <n v="190801"/>
    <n v="240000"/>
  </r>
  <r>
    <x v="314"/>
    <x v="6"/>
    <m/>
    <x v="28"/>
    <x v="6"/>
    <x v="39"/>
    <n v="190801"/>
    <n v="190801"/>
    <m/>
    <n v="117"/>
    <n v="190801"/>
    <n v="1850706"/>
  </r>
  <r>
    <x v="314"/>
    <x v="6"/>
    <m/>
    <x v="4"/>
    <x v="6"/>
    <x v="66"/>
    <n v="190801"/>
    <n v="190801"/>
    <m/>
    <n v="421"/>
    <n v="190801"/>
    <n v="2356337"/>
  </r>
  <r>
    <x v="317"/>
    <x v="3"/>
    <m/>
    <x v="0"/>
    <x v="7"/>
    <x v="15"/>
    <n v="190801"/>
    <n v="190801"/>
    <m/>
    <n v="3"/>
    <n v="190801"/>
    <n v="60000"/>
  </r>
  <r>
    <x v="317"/>
    <x v="3"/>
    <m/>
    <x v="6"/>
    <x v="2"/>
    <x v="37"/>
    <n v="190801"/>
    <n v="190801"/>
    <m/>
    <n v="3"/>
    <n v="190801"/>
    <n v="60000"/>
  </r>
  <r>
    <x v="317"/>
    <x v="3"/>
    <m/>
    <x v="6"/>
    <x v="2"/>
    <x v="42"/>
    <n v="190801"/>
    <n v="190801"/>
    <m/>
    <n v="1"/>
    <n v="190801"/>
    <n v="35000"/>
  </r>
  <r>
    <x v="317"/>
    <x v="3"/>
    <m/>
    <x v="29"/>
    <x v="2"/>
    <x v="40"/>
    <n v="190801"/>
    <n v="190801"/>
    <m/>
    <n v="1"/>
    <n v="190801"/>
    <n v="35000"/>
  </r>
  <r>
    <x v="317"/>
    <x v="3"/>
    <m/>
    <x v="29"/>
    <x v="2"/>
    <x v="41"/>
    <n v="190801"/>
    <n v="190801"/>
    <m/>
    <n v="3"/>
    <n v="190801"/>
    <n v="135000"/>
  </r>
  <r>
    <x v="317"/>
    <x v="3"/>
    <m/>
    <x v="25"/>
    <x v="2"/>
    <x v="34"/>
    <n v="190801"/>
    <n v="190801"/>
    <m/>
    <n v="1"/>
    <n v="190801"/>
    <n v="99000"/>
  </r>
  <r>
    <x v="317"/>
    <x v="3"/>
    <m/>
    <x v="1"/>
    <x v="2"/>
    <x v="18"/>
    <n v="190801"/>
    <n v="190801"/>
    <m/>
    <n v="6"/>
    <n v="190801"/>
    <n v="120000"/>
  </r>
  <r>
    <x v="317"/>
    <x v="3"/>
    <m/>
    <x v="1"/>
    <x v="2"/>
    <x v="21"/>
    <n v="190801"/>
    <n v="190801"/>
    <m/>
    <n v="1"/>
    <n v="190801"/>
    <n v="35000"/>
  </r>
  <r>
    <x v="317"/>
    <x v="3"/>
    <m/>
    <x v="4"/>
    <x v="2"/>
    <x v="26"/>
    <n v="190801"/>
    <n v="190801"/>
    <m/>
    <n v="2"/>
    <n v="190801"/>
    <n v="8000"/>
  </r>
  <r>
    <x v="317"/>
    <x v="3"/>
    <m/>
    <x v="4"/>
    <x v="2"/>
    <x v="27"/>
    <n v="190801"/>
    <n v="190801"/>
    <m/>
    <n v="4"/>
    <n v="190801"/>
    <n v="80000"/>
  </r>
  <r>
    <x v="317"/>
    <x v="3"/>
    <m/>
    <x v="0"/>
    <x v="2"/>
    <x v="15"/>
    <n v="190801"/>
    <n v="190801"/>
    <m/>
    <n v="108"/>
    <n v="190801"/>
    <n v="2160000"/>
  </r>
  <r>
    <x v="317"/>
    <x v="3"/>
    <m/>
    <x v="0"/>
    <x v="2"/>
    <x v="16"/>
    <n v="190801"/>
    <n v="190801"/>
    <m/>
    <n v="108"/>
    <n v="190801"/>
    <n v="3780000"/>
  </r>
  <r>
    <x v="317"/>
    <x v="3"/>
    <m/>
    <x v="0"/>
    <x v="2"/>
    <x v="17"/>
    <n v="190801"/>
    <n v="190801"/>
    <m/>
    <n v="88"/>
    <n v="190801"/>
    <n v="2904000"/>
  </r>
  <r>
    <x v="317"/>
    <x v="3"/>
    <m/>
    <x v="5"/>
    <x v="2"/>
    <x v="28"/>
    <n v="190801"/>
    <n v="190801"/>
    <m/>
    <n v="17"/>
    <n v="190801"/>
    <n v="476000"/>
  </r>
  <r>
    <x v="317"/>
    <x v="3"/>
    <m/>
    <x v="22"/>
    <x v="2"/>
    <x v="29"/>
    <n v="190801"/>
    <n v="190801"/>
    <m/>
    <n v="10"/>
    <n v="190801"/>
    <n v="380000"/>
  </r>
  <r>
    <x v="317"/>
    <x v="3"/>
    <m/>
    <x v="0"/>
    <x v="3"/>
    <x v="15"/>
    <n v="190801"/>
    <n v="190801"/>
    <m/>
    <n v="6"/>
    <n v="190801"/>
    <n v="0"/>
  </r>
  <r>
    <x v="317"/>
    <x v="3"/>
    <m/>
    <x v="18"/>
    <x v="3"/>
    <x v="19"/>
    <n v="190801"/>
    <n v="190801"/>
    <m/>
    <n v="6"/>
    <n v="190801"/>
    <n v="0"/>
  </r>
  <r>
    <x v="317"/>
    <x v="3"/>
    <m/>
    <x v="5"/>
    <x v="3"/>
    <x v="28"/>
    <n v="190801"/>
    <n v="190801"/>
    <m/>
    <n v="2"/>
    <n v="190801"/>
    <n v="0"/>
  </r>
  <r>
    <x v="317"/>
    <x v="3"/>
    <m/>
    <x v="4"/>
    <x v="3"/>
    <x v="27"/>
    <n v="190801"/>
    <n v="190801"/>
    <m/>
    <n v="6"/>
    <n v="190801"/>
    <n v="0"/>
  </r>
  <r>
    <x v="317"/>
    <x v="3"/>
    <m/>
    <x v="6"/>
    <x v="3"/>
    <x v="37"/>
    <n v="190801"/>
    <n v="190801"/>
    <m/>
    <n v="6"/>
    <n v="190801"/>
    <n v="0"/>
  </r>
  <r>
    <x v="317"/>
    <x v="3"/>
    <m/>
    <x v="0"/>
    <x v="9"/>
    <x v="15"/>
    <n v="190801"/>
    <n v="190801"/>
    <m/>
    <n v="4"/>
    <n v="190801"/>
    <n v="80000"/>
  </r>
  <r>
    <x v="318"/>
    <x v="4"/>
    <m/>
    <x v="0"/>
    <x v="1"/>
    <x v="15"/>
    <n v="190801"/>
    <n v="190801"/>
    <m/>
    <n v="2"/>
    <n v="190801"/>
    <n v="40000"/>
  </r>
  <r>
    <x v="318"/>
    <x v="4"/>
    <m/>
    <x v="0"/>
    <x v="1"/>
    <x v="16"/>
    <n v="190801"/>
    <n v="190801"/>
    <m/>
    <n v="3"/>
    <n v="190801"/>
    <n v="105000"/>
  </r>
  <r>
    <x v="318"/>
    <x v="4"/>
    <m/>
    <x v="0"/>
    <x v="5"/>
    <x v="51"/>
    <n v="190801"/>
    <n v="190801"/>
    <m/>
    <n v="6"/>
    <n v="190801"/>
    <n v="67500"/>
  </r>
  <r>
    <x v="318"/>
    <x v="4"/>
    <m/>
    <x v="5"/>
    <x v="5"/>
    <x v="53"/>
    <n v="190801"/>
    <n v="190801"/>
    <m/>
    <n v="3"/>
    <n v="190801"/>
    <n v="44550"/>
  </r>
  <r>
    <x v="318"/>
    <x v="4"/>
    <m/>
    <x v="22"/>
    <x v="5"/>
    <x v="52"/>
    <n v="190801"/>
    <n v="190801"/>
    <m/>
    <n v="3"/>
    <n v="190801"/>
    <n v="51300"/>
  </r>
  <r>
    <x v="318"/>
    <x v="4"/>
    <m/>
    <x v="4"/>
    <x v="5"/>
    <x v="61"/>
    <n v="190801"/>
    <n v="190801"/>
    <m/>
    <n v="3"/>
    <n v="190801"/>
    <n v="5400"/>
  </r>
  <r>
    <x v="318"/>
    <x v="4"/>
    <m/>
    <x v="1"/>
    <x v="5"/>
    <x v="63"/>
    <n v="190801"/>
    <n v="190801"/>
    <m/>
    <n v="3"/>
    <n v="190801"/>
    <n v="33750"/>
  </r>
  <r>
    <x v="318"/>
    <x v="4"/>
    <m/>
    <x v="19"/>
    <x v="5"/>
    <x v="50"/>
    <n v="190801"/>
    <n v="190801"/>
    <m/>
    <n v="3"/>
    <n v="190801"/>
    <n v="21600"/>
  </r>
  <r>
    <x v="318"/>
    <x v="4"/>
    <m/>
    <x v="4"/>
    <x v="5"/>
    <x v="62"/>
    <n v="190801"/>
    <n v="190801"/>
    <m/>
    <n v="3"/>
    <n v="190801"/>
    <n v="54000"/>
  </r>
  <r>
    <x v="318"/>
    <x v="4"/>
    <m/>
    <x v="6"/>
    <x v="5"/>
    <x v="49"/>
    <n v="190801"/>
    <n v="190801"/>
    <m/>
    <n v="3"/>
    <n v="190801"/>
    <n v="33750"/>
  </r>
  <r>
    <x v="318"/>
    <x v="4"/>
    <m/>
    <x v="0"/>
    <x v="7"/>
    <x v="15"/>
    <n v="190801"/>
    <n v="190801"/>
    <m/>
    <n v="13"/>
    <n v="190801"/>
    <n v="260000"/>
  </r>
  <r>
    <x v="318"/>
    <x v="4"/>
    <m/>
    <x v="29"/>
    <x v="2"/>
    <x v="40"/>
    <n v="190801"/>
    <n v="190801"/>
    <m/>
    <n v="1"/>
    <n v="190801"/>
    <n v="35000"/>
  </r>
  <r>
    <x v="318"/>
    <x v="4"/>
    <m/>
    <x v="29"/>
    <x v="2"/>
    <x v="41"/>
    <n v="190801"/>
    <n v="190801"/>
    <m/>
    <n v="3"/>
    <n v="190801"/>
    <n v="135000"/>
  </r>
  <r>
    <x v="318"/>
    <x v="4"/>
    <m/>
    <x v="25"/>
    <x v="2"/>
    <x v="34"/>
    <n v="190801"/>
    <n v="190801"/>
    <m/>
    <n v="4"/>
    <n v="190801"/>
    <n v="396000"/>
  </r>
  <r>
    <x v="318"/>
    <x v="4"/>
    <m/>
    <x v="1"/>
    <x v="2"/>
    <x v="18"/>
    <n v="190801"/>
    <n v="190801"/>
    <m/>
    <n v="2"/>
    <n v="190801"/>
    <n v="40000"/>
  </r>
  <r>
    <x v="318"/>
    <x v="4"/>
    <m/>
    <x v="4"/>
    <x v="2"/>
    <x v="27"/>
    <n v="190801"/>
    <n v="190801"/>
    <m/>
    <n v="6"/>
    <n v="190801"/>
    <n v="120000"/>
  </r>
  <r>
    <x v="318"/>
    <x v="4"/>
    <m/>
    <x v="0"/>
    <x v="2"/>
    <x v="15"/>
    <n v="190801"/>
    <n v="190801"/>
    <m/>
    <n v="101"/>
    <n v="190801"/>
    <n v="2020000"/>
  </r>
  <r>
    <x v="318"/>
    <x v="4"/>
    <m/>
    <x v="0"/>
    <x v="2"/>
    <x v="16"/>
    <n v="190801"/>
    <n v="190801"/>
    <m/>
    <n v="84"/>
    <n v="190801"/>
    <n v="2940000"/>
  </r>
  <r>
    <x v="318"/>
    <x v="4"/>
    <m/>
    <x v="0"/>
    <x v="2"/>
    <x v="17"/>
    <n v="190801"/>
    <n v="190801"/>
    <m/>
    <n v="67"/>
    <n v="190801"/>
    <n v="2211000"/>
  </r>
  <r>
    <x v="318"/>
    <x v="4"/>
    <m/>
    <x v="5"/>
    <x v="2"/>
    <x v="28"/>
    <n v="190801"/>
    <n v="190801"/>
    <m/>
    <n v="23"/>
    <n v="190801"/>
    <n v="644000"/>
  </r>
  <r>
    <x v="318"/>
    <x v="4"/>
    <m/>
    <x v="22"/>
    <x v="2"/>
    <x v="29"/>
    <n v="190801"/>
    <n v="190801"/>
    <m/>
    <n v="8"/>
    <n v="190801"/>
    <n v="304000"/>
  </r>
  <r>
    <x v="318"/>
    <x v="4"/>
    <m/>
    <x v="0"/>
    <x v="3"/>
    <x v="15"/>
    <n v="190801"/>
    <n v="190801"/>
    <m/>
    <n v="20"/>
    <n v="190801"/>
    <n v="0"/>
  </r>
  <r>
    <x v="318"/>
    <x v="4"/>
    <m/>
    <x v="0"/>
    <x v="10"/>
    <x v="54"/>
    <n v="190801"/>
    <n v="190801"/>
    <m/>
    <n v="13"/>
    <n v="190801"/>
    <n v="429000"/>
  </r>
  <r>
    <x v="318"/>
    <x v="4"/>
    <m/>
    <x v="22"/>
    <x v="10"/>
    <x v="55"/>
    <n v="190801"/>
    <n v="190801"/>
    <m/>
    <n v="1"/>
    <n v="190801"/>
    <n v="44000"/>
  </r>
  <r>
    <x v="318"/>
    <x v="4"/>
    <m/>
    <x v="0"/>
    <x v="13"/>
    <x v="54"/>
    <n v="190801"/>
    <n v="190801"/>
    <m/>
    <n v="1"/>
    <n v="190801"/>
    <n v="26000"/>
  </r>
  <r>
    <x v="318"/>
    <x v="4"/>
    <m/>
    <x v="0"/>
    <x v="13"/>
    <x v="67"/>
    <n v="190801"/>
    <n v="190801"/>
    <m/>
    <n v="1"/>
    <n v="190801"/>
    <n v="4341"/>
  </r>
  <r>
    <x v="318"/>
    <x v="4"/>
    <m/>
    <x v="0"/>
    <x v="14"/>
    <x v="68"/>
    <n v="190801"/>
    <n v="190801"/>
    <m/>
    <n v="2"/>
    <n v="190801"/>
    <n v="45186"/>
  </r>
  <r>
    <x v="318"/>
    <x v="4"/>
    <m/>
    <x v="0"/>
    <x v="9"/>
    <x v="15"/>
    <n v="190801"/>
    <n v="190801"/>
    <m/>
    <n v="9"/>
    <n v="190801"/>
    <n v="180000"/>
  </r>
  <r>
    <x v="315"/>
    <x v="1"/>
    <m/>
    <x v="0"/>
    <x v="1"/>
    <x v="15"/>
    <n v="190801"/>
    <n v="190801"/>
    <m/>
    <n v="3"/>
    <n v="190801"/>
    <n v="60000"/>
  </r>
  <r>
    <x v="315"/>
    <x v="1"/>
    <m/>
    <x v="0"/>
    <x v="1"/>
    <x v="16"/>
    <n v="190801"/>
    <n v="190801"/>
    <m/>
    <n v="3"/>
    <n v="190801"/>
    <n v="105000"/>
  </r>
  <r>
    <x v="315"/>
    <x v="1"/>
    <m/>
    <x v="4"/>
    <x v="5"/>
    <x v="61"/>
    <n v="190801"/>
    <n v="190801"/>
    <m/>
    <n v="30"/>
    <n v="190801"/>
    <n v="54000"/>
  </r>
  <r>
    <x v="315"/>
    <x v="1"/>
    <m/>
    <x v="0"/>
    <x v="7"/>
    <x v="15"/>
    <n v="190801"/>
    <n v="190801"/>
    <m/>
    <n v="5"/>
    <n v="190801"/>
    <n v="100000"/>
  </r>
  <r>
    <x v="315"/>
    <x v="1"/>
    <m/>
    <x v="6"/>
    <x v="2"/>
    <x v="37"/>
    <n v="190801"/>
    <n v="190801"/>
    <m/>
    <n v="7"/>
    <n v="190801"/>
    <n v="140000"/>
  </r>
  <r>
    <x v="315"/>
    <x v="1"/>
    <m/>
    <x v="6"/>
    <x v="2"/>
    <x v="42"/>
    <n v="190801"/>
    <n v="190801"/>
    <m/>
    <n v="4"/>
    <n v="190801"/>
    <n v="140000"/>
  </r>
  <r>
    <x v="315"/>
    <x v="1"/>
    <m/>
    <x v="29"/>
    <x v="2"/>
    <x v="40"/>
    <n v="190801"/>
    <n v="190801"/>
    <m/>
    <n v="4"/>
    <n v="190801"/>
    <n v="140000"/>
  </r>
  <r>
    <x v="315"/>
    <x v="1"/>
    <m/>
    <x v="29"/>
    <x v="2"/>
    <x v="41"/>
    <n v="190801"/>
    <n v="190801"/>
    <m/>
    <n v="4"/>
    <n v="190801"/>
    <n v="180000"/>
  </r>
  <r>
    <x v="315"/>
    <x v="1"/>
    <m/>
    <x v="25"/>
    <x v="2"/>
    <x v="34"/>
    <n v="190801"/>
    <n v="190801"/>
    <m/>
    <n v="4"/>
    <n v="190801"/>
    <n v="396000"/>
  </r>
  <r>
    <x v="315"/>
    <x v="1"/>
    <m/>
    <x v="1"/>
    <x v="2"/>
    <x v="18"/>
    <n v="190801"/>
    <n v="190801"/>
    <m/>
    <n v="3"/>
    <n v="190801"/>
    <n v="60000"/>
  </r>
  <r>
    <x v="315"/>
    <x v="1"/>
    <m/>
    <x v="4"/>
    <x v="2"/>
    <x v="26"/>
    <n v="190801"/>
    <n v="190801"/>
    <m/>
    <n v="22"/>
    <n v="190801"/>
    <n v="88000"/>
  </r>
  <r>
    <x v="315"/>
    <x v="1"/>
    <m/>
    <x v="4"/>
    <x v="2"/>
    <x v="27"/>
    <n v="190801"/>
    <n v="190801"/>
    <m/>
    <n v="4"/>
    <n v="190801"/>
    <n v="80000"/>
  </r>
  <r>
    <x v="315"/>
    <x v="1"/>
    <m/>
    <x v="0"/>
    <x v="2"/>
    <x v="15"/>
    <n v="190801"/>
    <n v="190801"/>
    <m/>
    <n v="75"/>
    <n v="190801"/>
    <n v="1500000"/>
  </r>
  <r>
    <x v="315"/>
    <x v="1"/>
    <m/>
    <x v="0"/>
    <x v="2"/>
    <x v="16"/>
    <n v="190801"/>
    <n v="190801"/>
    <m/>
    <n v="86"/>
    <n v="190801"/>
    <n v="3010000"/>
  </r>
  <r>
    <x v="315"/>
    <x v="1"/>
    <m/>
    <x v="0"/>
    <x v="2"/>
    <x v="17"/>
    <n v="190801"/>
    <n v="190801"/>
    <m/>
    <n v="46"/>
    <n v="190801"/>
    <n v="1518000"/>
  </r>
  <r>
    <x v="315"/>
    <x v="1"/>
    <m/>
    <x v="5"/>
    <x v="2"/>
    <x v="28"/>
    <n v="190801"/>
    <n v="190801"/>
    <m/>
    <n v="20"/>
    <n v="190801"/>
    <n v="560000"/>
  </r>
  <r>
    <x v="315"/>
    <x v="1"/>
    <m/>
    <x v="22"/>
    <x v="2"/>
    <x v="29"/>
    <n v="190801"/>
    <n v="190801"/>
    <m/>
    <n v="12"/>
    <n v="190801"/>
    <n v="456000"/>
  </r>
  <r>
    <x v="315"/>
    <x v="1"/>
    <m/>
    <x v="0"/>
    <x v="3"/>
    <x v="15"/>
    <n v="190801"/>
    <n v="190801"/>
    <m/>
    <n v="1"/>
    <n v="190801"/>
    <n v="0"/>
  </r>
  <r>
    <x v="315"/>
    <x v="1"/>
    <m/>
    <x v="18"/>
    <x v="3"/>
    <x v="19"/>
    <n v="190801"/>
    <n v="190801"/>
    <m/>
    <n v="1"/>
    <n v="190801"/>
    <n v="0"/>
  </r>
  <r>
    <x v="315"/>
    <x v="1"/>
    <m/>
    <x v="5"/>
    <x v="3"/>
    <x v="28"/>
    <n v="190801"/>
    <n v="190801"/>
    <m/>
    <n v="1"/>
    <n v="190801"/>
    <n v="0"/>
  </r>
  <r>
    <x v="315"/>
    <x v="1"/>
    <m/>
    <x v="4"/>
    <x v="3"/>
    <x v="27"/>
    <n v="190801"/>
    <n v="190801"/>
    <m/>
    <n v="1"/>
    <n v="190801"/>
    <n v="0"/>
  </r>
  <r>
    <x v="315"/>
    <x v="1"/>
    <m/>
    <x v="6"/>
    <x v="3"/>
    <x v="37"/>
    <n v="190801"/>
    <n v="190801"/>
    <m/>
    <n v="1"/>
    <n v="190801"/>
    <n v="0"/>
  </r>
  <r>
    <x v="315"/>
    <x v="1"/>
    <m/>
    <x v="0"/>
    <x v="9"/>
    <x v="15"/>
    <n v="190801"/>
    <n v="190801"/>
    <m/>
    <n v="7"/>
    <n v="190801"/>
    <n v="140000"/>
  </r>
  <r>
    <x v="316"/>
    <x v="0"/>
    <m/>
    <x v="0"/>
    <x v="7"/>
    <x v="15"/>
    <n v="190801"/>
    <n v="190801"/>
    <m/>
    <n v="6"/>
    <n v="190801"/>
    <n v="120000"/>
  </r>
  <r>
    <x v="316"/>
    <x v="0"/>
    <m/>
    <x v="6"/>
    <x v="2"/>
    <x v="37"/>
    <n v="190801"/>
    <n v="190801"/>
    <m/>
    <n v="1"/>
    <n v="190801"/>
    <n v="20000"/>
  </r>
  <r>
    <x v="316"/>
    <x v="0"/>
    <m/>
    <x v="29"/>
    <x v="2"/>
    <x v="40"/>
    <n v="190801"/>
    <n v="190801"/>
    <m/>
    <n v="3"/>
    <n v="190801"/>
    <n v="105000"/>
  </r>
  <r>
    <x v="316"/>
    <x v="0"/>
    <m/>
    <x v="29"/>
    <x v="2"/>
    <x v="41"/>
    <n v="190801"/>
    <n v="190801"/>
    <m/>
    <n v="3"/>
    <n v="190801"/>
    <n v="135000"/>
  </r>
  <r>
    <x v="316"/>
    <x v="0"/>
    <m/>
    <x v="1"/>
    <x v="2"/>
    <x v="18"/>
    <n v="190801"/>
    <n v="190801"/>
    <m/>
    <n v="2"/>
    <n v="190801"/>
    <n v="40000"/>
  </r>
  <r>
    <x v="316"/>
    <x v="0"/>
    <m/>
    <x v="4"/>
    <x v="2"/>
    <x v="26"/>
    <n v="190801"/>
    <n v="190801"/>
    <m/>
    <n v="7"/>
    <n v="190801"/>
    <n v="28000"/>
  </r>
  <r>
    <x v="316"/>
    <x v="0"/>
    <m/>
    <x v="4"/>
    <x v="2"/>
    <x v="27"/>
    <n v="190801"/>
    <n v="190801"/>
    <m/>
    <n v="8"/>
    <n v="190801"/>
    <n v="160000"/>
  </r>
  <r>
    <x v="316"/>
    <x v="0"/>
    <m/>
    <x v="0"/>
    <x v="2"/>
    <x v="15"/>
    <n v="190801"/>
    <n v="190801"/>
    <m/>
    <n v="74"/>
    <n v="190801"/>
    <n v="1480000"/>
  </r>
  <r>
    <x v="316"/>
    <x v="0"/>
    <m/>
    <x v="0"/>
    <x v="2"/>
    <x v="16"/>
    <n v="190801"/>
    <n v="190801"/>
    <m/>
    <n v="45"/>
    <n v="190801"/>
    <n v="1575000"/>
  </r>
  <r>
    <x v="316"/>
    <x v="0"/>
    <m/>
    <x v="0"/>
    <x v="2"/>
    <x v="17"/>
    <n v="190801"/>
    <n v="190801"/>
    <m/>
    <n v="43"/>
    <n v="190801"/>
    <n v="1419000"/>
  </r>
  <r>
    <x v="316"/>
    <x v="0"/>
    <m/>
    <x v="5"/>
    <x v="2"/>
    <x v="28"/>
    <n v="190801"/>
    <n v="190801"/>
    <m/>
    <n v="17"/>
    <n v="190801"/>
    <n v="476000"/>
  </r>
  <r>
    <x v="316"/>
    <x v="0"/>
    <m/>
    <x v="22"/>
    <x v="2"/>
    <x v="29"/>
    <n v="190801"/>
    <n v="190801"/>
    <m/>
    <n v="7"/>
    <n v="190801"/>
    <n v="266000"/>
  </r>
  <r>
    <x v="316"/>
    <x v="0"/>
    <m/>
    <x v="0"/>
    <x v="10"/>
    <x v="54"/>
    <n v="190801"/>
    <n v="190801"/>
    <m/>
    <n v="14"/>
    <n v="190801"/>
    <n v="462000"/>
  </r>
  <r>
    <x v="316"/>
    <x v="0"/>
    <m/>
    <x v="0"/>
    <x v="11"/>
    <x v="57"/>
    <n v="190801"/>
    <n v="190801"/>
    <m/>
    <n v="1"/>
    <n v="190801"/>
    <n v="45853"/>
  </r>
  <r>
    <x v="316"/>
    <x v="0"/>
    <m/>
    <x v="0"/>
    <x v="9"/>
    <x v="15"/>
    <n v="190801"/>
    <n v="190801"/>
    <m/>
    <n v="8"/>
    <n v="190801"/>
    <n v="160000"/>
  </r>
  <r>
    <x v="319"/>
    <x v="2"/>
    <m/>
    <x v="0"/>
    <x v="7"/>
    <x v="15"/>
    <n v="190801"/>
    <n v="190801"/>
    <m/>
    <n v="4"/>
    <n v="190801"/>
    <n v="80000"/>
  </r>
  <r>
    <x v="319"/>
    <x v="2"/>
    <m/>
    <x v="6"/>
    <x v="2"/>
    <x v="37"/>
    <n v="190801"/>
    <n v="190801"/>
    <m/>
    <n v="3"/>
    <n v="190801"/>
    <n v="60000"/>
  </r>
  <r>
    <x v="319"/>
    <x v="2"/>
    <m/>
    <x v="29"/>
    <x v="2"/>
    <x v="40"/>
    <n v="190801"/>
    <n v="190801"/>
    <m/>
    <n v="2"/>
    <n v="190801"/>
    <n v="70000"/>
  </r>
  <r>
    <x v="319"/>
    <x v="2"/>
    <m/>
    <x v="29"/>
    <x v="2"/>
    <x v="41"/>
    <n v="190801"/>
    <n v="190801"/>
    <m/>
    <n v="2"/>
    <n v="190801"/>
    <n v="90000"/>
  </r>
  <r>
    <x v="319"/>
    <x v="2"/>
    <m/>
    <x v="25"/>
    <x v="2"/>
    <x v="34"/>
    <n v="190801"/>
    <n v="190801"/>
    <m/>
    <n v="1"/>
    <n v="190801"/>
    <n v="99000"/>
  </r>
  <r>
    <x v="319"/>
    <x v="2"/>
    <m/>
    <x v="1"/>
    <x v="2"/>
    <x v="18"/>
    <n v="190801"/>
    <n v="190801"/>
    <m/>
    <n v="2"/>
    <n v="190801"/>
    <n v="40000"/>
  </r>
  <r>
    <x v="319"/>
    <x v="2"/>
    <m/>
    <x v="4"/>
    <x v="2"/>
    <x v="26"/>
    <n v="190801"/>
    <n v="190801"/>
    <m/>
    <n v="9"/>
    <n v="190801"/>
    <n v="36000"/>
  </r>
  <r>
    <x v="319"/>
    <x v="2"/>
    <m/>
    <x v="4"/>
    <x v="2"/>
    <x v="27"/>
    <n v="190801"/>
    <n v="190801"/>
    <m/>
    <n v="9"/>
    <n v="190801"/>
    <n v="180000"/>
  </r>
  <r>
    <x v="319"/>
    <x v="2"/>
    <m/>
    <x v="0"/>
    <x v="2"/>
    <x v="15"/>
    <n v="190801"/>
    <n v="190801"/>
    <m/>
    <n v="66"/>
    <n v="190801"/>
    <n v="1320000"/>
  </r>
  <r>
    <x v="319"/>
    <x v="2"/>
    <m/>
    <x v="0"/>
    <x v="2"/>
    <x v="16"/>
    <n v="190801"/>
    <n v="190801"/>
    <m/>
    <n v="70"/>
    <n v="190801"/>
    <n v="2450000"/>
  </r>
  <r>
    <x v="319"/>
    <x v="2"/>
    <m/>
    <x v="0"/>
    <x v="2"/>
    <x v="17"/>
    <n v="190801"/>
    <n v="190801"/>
    <m/>
    <n v="59"/>
    <n v="190801"/>
    <n v="1947000"/>
  </r>
  <r>
    <x v="319"/>
    <x v="2"/>
    <m/>
    <x v="0"/>
    <x v="2"/>
    <x v="19"/>
    <n v="190801"/>
    <n v="190801"/>
    <m/>
    <n v="70"/>
    <n v="190801"/>
    <n v="210000"/>
  </r>
  <r>
    <x v="319"/>
    <x v="2"/>
    <m/>
    <x v="5"/>
    <x v="2"/>
    <x v="28"/>
    <n v="190801"/>
    <n v="190801"/>
    <m/>
    <n v="18"/>
    <n v="190801"/>
    <n v="504000"/>
  </r>
  <r>
    <x v="319"/>
    <x v="2"/>
    <m/>
    <x v="5"/>
    <x v="2"/>
    <x v="69"/>
    <n v="190801"/>
    <n v="190801"/>
    <m/>
    <n v="4"/>
    <n v="190801"/>
    <n v="192000"/>
  </r>
  <r>
    <x v="319"/>
    <x v="2"/>
    <m/>
    <x v="22"/>
    <x v="2"/>
    <x v="29"/>
    <n v="190801"/>
    <n v="190801"/>
    <m/>
    <n v="9"/>
    <n v="190801"/>
    <n v="342000"/>
  </r>
  <r>
    <x v="319"/>
    <x v="2"/>
    <m/>
    <x v="19"/>
    <x v="2"/>
    <x v="22"/>
    <n v="190801"/>
    <n v="190801"/>
    <m/>
    <n v="14"/>
    <n v="190801"/>
    <n v="182000"/>
  </r>
  <r>
    <x v="319"/>
    <x v="2"/>
    <m/>
    <x v="19"/>
    <x v="2"/>
    <x v="23"/>
    <n v="190801"/>
    <n v="190801"/>
    <m/>
    <n v="6"/>
    <n v="190801"/>
    <n v="144000"/>
  </r>
  <r>
    <x v="319"/>
    <x v="2"/>
    <m/>
    <x v="19"/>
    <x v="2"/>
    <x v="24"/>
    <n v="190801"/>
    <n v="190801"/>
    <m/>
    <n v="5"/>
    <n v="190801"/>
    <n v="165000"/>
  </r>
  <r>
    <x v="319"/>
    <x v="2"/>
    <m/>
    <x v="0"/>
    <x v="9"/>
    <x v="15"/>
    <n v="190801"/>
    <n v="190801"/>
    <m/>
    <n v="6"/>
    <n v="190801"/>
    <n v="120000"/>
  </r>
  <r>
    <x v="320"/>
    <x v="5"/>
    <m/>
    <x v="0"/>
    <x v="7"/>
    <x v="15"/>
    <n v="190801"/>
    <n v="190801"/>
    <m/>
    <n v="4"/>
    <n v="190801"/>
    <n v="80000"/>
  </r>
  <r>
    <x v="320"/>
    <x v="5"/>
    <m/>
    <x v="6"/>
    <x v="2"/>
    <x v="42"/>
    <n v="190801"/>
    <n v="190801"/>
    <m/>
    <n v="1"/>
    <n v="190801"/>
    <n v="35000"/>
  </r>
  <r>
    <x v="320"/>
    <x v="5"/>
    <m/>
    <x v="29"/>
    <x v="2"/>
    <x v="40"/>
    <n v="190801"/>
    <n v="190801"/>
    <m/>
    <n v="1"/>
    <n v="190801"/>
    <n v="35000"/>
  </r>
  <r>
    <x v="320"/>
    <x v="5"/>
    <m/>
    <x v="29"/>
    <x v="2"/>
    <x v="41"/>
    <n v="190801"/>
    <n v="190801"/>
    <m/>
    <n v="3"/>
    <n v="190801"/>
    <n v="135000"/>
  </r>
  <r>
    <x v="320"/>
    <x v="5"/>
    <m/>
    <x v="25"/>
    <x v="2"/>
    <x v="34"/>
    <n v="190801"/>
    <n v="190801"/>
    <m/>
    <n v="2"/>
    <n v="190801"/>
    <n v="198000"/>
  </r>
  <r>
    <x v="320"/>
    <x v="5"/>
    <m/>
    <x v="1"/>
    <x v="2"/>
    <x v="18"/>
    <n v="190801"/>
    <n v="190801"/>
    <m/>
    <n v="1"/>
    <n v="190801"/>
    <n v="20000"/>
  </r>
  <r>
    <x v="320"/>
    <x v="5"/>
    <m/>
    <x v="4"/>
    <x v="2"/>
    <x v="26"/>
    <n v="190801"/>
    <n v="190801"/>
    <m/>
    <n v="4"/>
    <n v="190801"/>
    <n v="16000"/>
  </r>
  <r>
    <x v="320"/>
    <x v="5"/>
    <m/>
    <x v="0"/>
    <x v="2"/>
    <x v="15"/>
    <n v="190801"/>
    <n v="190801"/>
    <m/>
    <n v="50"/>
    <n v="190801"/>
    <n v="1000000"/>
  </r>
  <r>
    <x v="320"/>
    <x v="5"/>
    <m/>
    <x v="0"/>
    <x v="2"/>
    <x v="16"/>
    <n v="190801"/>
    <n v="190801"/>
    <m/>
    <n v="17"/>
    <n v="190801"/>
    <n v="595000"/>
  </r>
  <r>
    <x v="320"/>
    <x v="5"/>
    <m/>
    <x v="0"/>
    <x v="2"/>
    <x v="17"/>
    <n v="190801"/>
    <n v="190801"/>
    <m/>
    <n v="46"/>
    <n v="190801"/>
    <n v="1518000"/>
  </r>
  <r>
    <x v="320"/>
    <x v="5"/>
    <m/>
    <x v="0"/>
    <x v="2"/>
    <x v="19"/>
    <n v="190801"/>
    <n v="190801"/>
    <m/>
    <n v="52"/>
    <n v="190801"/>
    <n v="156000"/>
  </r>
  <r>
    <x v="320"/>
    <x v="5"/>
    <m/>
    <x v="5"/>
    <x v="2"/>
    <x v="28"/>
    <n v="190801"/>
    <n v="190801"/>
    <m/>
    <n v="9"/>
    <n v="190801"/>
    <n v="252000"/>
  </r>
  <r>
    <x v="320"/>
    <x v="5"/>
    <m/>
    <x v="5"/>
    <x v="2"/>
    <x v="69"/>
    <n v="190801"/>
    <n v="190801"/>
    <m/>
    <n v="2"/>
    <n v="190801"/>
    <n v="96000"/>
  </r>
  <r>
    <x v="320"/>
    <x v="5"/>
    <m/>
    <x v="22"/>
    <x v="2"/>
    <x v="29"/>
    <n v="190801"/>
    <n v="190801"/>
    <m/>
    <n v="4"/>
    <n v="190801"/>
    <n v="152000"/>
  </r>
  <r>
    <x v="320"/>
    <x v="5"/>
    <m/>
    <x v="19"/>
    <x v="2"/>
    <x v="22"/>
    <n v="190801"/>
    <n v="190801"/>
    <m/>
    <n v="7"/>
    <n v="190801"/>
    <n v="91000"/>
  </r>
  <r>
    <x v="320"/>
    <x v="5"/>
    <m/>
    <x v="19"/>
    <x v="2"/>
    <x v="24"/>
    <n v="190801"/>
    <n v="190801"/>
    <m/>
    <n v="1"/>
    <n v="190801"/>
    <n v="33000"/>
  </r>
  <r>
    <x v="320"/>
    <x v="5"/>
    <m/>
    <x v="0"/>
    <x v="9"/>
    <x v="15"/>
    <n v="190801"/>
    <n v="190801"/>
    <m/>
    <n v="7"/>
    <n v="190801"/>
    <n v="140000"/>
  </r>
  <r>
    <x v="321"/>
    <x v="6"/>
    <m/>
    <x v="0"/>
    <x v="7"/>
    <x v="15"/>
    <n v="190801"/>
    <n v="190801"/>
    <m/>
    <n v="8"/>
    <n v="190801"/>
    <n v="160000"/>
  </r>
  <r>
    <x v="321"/>
    <x v="6"/>
    <m/>
    <x v="6"/>
    <x v="2"/>
    <x v="37"/>
    <n v="190801"/>
    <n v="190801"/>
    <m/>
    <n v="1"/>
    <n v="190801"/>
    <n v="20000"/>
  </r>
  <r>
    <x v="321"/>
    <x v="6"/>
    <m/>
    <x v="6"/>
    <x v="2"/>
    <x v="42"/>
    <n v="190801"/>
    <n v="190801"/>
    <m/>
    <n v="1"/>
    <n v="190801"/>
    <n v="35000"/>
  </r>
  <r>
    <x v="321"/>
    <x v="6"/>
    <m/>
    <x v="29"/>
    <x v="2"/>
    <x v="40"/>
    <n v="190801"/>
    <n v="190801"/>
    <m/>
    <n v="1"/>
    <n v="190801"/>
    <n v="35000"/>
  </r>
  <r>
    <x v="321"/>
    <x v="6"/>
    <m/>
    <x v="29"/>
    <x v="2"/>
    <x v="41"/>
    <n v="190801"/>
    <n v="190801"/>
    <m/>
    <n v="2"/>
    <n v="190801"/>
    <n v="90000"/>
  </r>
  <r>
    <x v="321"/>
    <x v="6"/>
    <m/>
    <x v="25"/>
    <x v="2"/>
    <x v="34"/>
    <n v="190801"/>
    <n v="190801"/>
    <m/>
    <n v="4"/>
    <n v="190801"/>
    <n v="396000"/>
  </r>
  <r>
    <x v="321"/>
    <x v="6"/>
    <m/>
    <x v="1"/>
    <x v="2"/>
    <x v="18"/>
    <n v="190801"/>
    <n v="190801"/>
    <m/>
    <n v="2"/>
    <n v="190801"/>
    <n v="40000"/>
  </r>
  <r>
    <x v="321"/>
    <x v="6"/>
    <m/>
    <x v="1"/>
    <x v="2"/>
    <x v="21"/>
    <n v="190801"/>
    <n v="190801"/>
    <m/>
    <n v="2"/>
    <n v="190801"/>
    <n v="70000"/>
  </r>
  <r>
    <x v="321"/>
    <x v="6"/>
    <m/>
    <x v="4"/>
    <x v="2"/>
    <x v="26"/>
    <n v="190801"/>
    <n v="190801"/>
    <m/>
    <n v="21"/>
    <n v="190801"/>
    <n v="84000"/>
  </r>
  <r>
    <x v="321"/>
    <x v="6"/>
    <m/>
    <x v="4"/>
    <x v="2"/>
    <x v="27"/>
    <n v="190801"/>
    <n v="190801"/>
    <m/>
    <n v="5"/>
    <n v="190801"/>
    <n v="100000"/>
  </r>
  <r>
    <x v="321"/>
    <x v="6"/>
    <m/>
    <x v="0"/>
    <x v="2"/>
    <x v="15"/>
    <n v="190801"/>
    <n v="190801"/>
    <m/>
    <n v="50"/>
    <n v="190801"/>
    <n v="1000000"/>
  </r>
  <r>
    <x v="321"/>
    <x v="6"/>
    <m/>
    <x v="0"/>
    <x v="2"/>
    <x v="16"/>
    <n v="190801"/>
    <n v="190801"/>
    <m/>
    <n v="37"/>
    <n v="190801"/>
    <n v="1295000"/>
  </r>
  <r>
    <x v="321"/>
    <x v="6"/>
    <m/>
    <x v="0"/>
    <x v="2"/>
    <x v="17"/>
    <n v="190801"/>
    <n v="190801"/>
    <m/>
    <n v="49"/>
    <n v="190801"/>
    <n v="1617000"/>
  </r>
  <r>
    <x v="321"/>
    <x v="6"/>
    <m/>
    <x v="0"/>
    <x v="2"/>
    <x v="19"/>
    <n v="190801"/>
    <n v="190801"/>
    <m/>
    <n v="53"/>
    <n v="190801"/>
    <n v="159000"/>
  </r>
  <r>
    <x v="321"/>
    <x v="6"/>
    <m/>
    <x v="5"/>
    <x v="2"/>
    <x v="28"/>
    <n v="190801"/>
    <n v="190801"/>
    <m/>
    <n v="8"/>
    <n v="190801"/>
    <n v="224000"/>
  </r>
  <r>
    <x v="321"/>
    <x v="6"/>
    <m/>
    <x v="5"/>
    <x v="2"/>
    <x v="69"/>
    <n v="190801"/>
    <n v="190801"/>
    <m/>
    <n v="3"/>
    <n v="190801"/>
    <n v="144000"/>
  </r>
  <r>
    <x v="321"/>
    <x v="6"/>
    <m/>
    <x v="22"/>
    <x v="2"/>
    <x v="29"/>
    <n v="190801"/>
    <n v="190801"/>
    <m/>
    <n v="2"/>
    <n v="190801"/>
    <n v="76000"/>
  </r>
  <r>
    <x v="321"/>
    <x v="6"/>
    <m/>
    <x v="19"/>
    <x v="2"/>
    <x v="22"/>
    <n v="190801"/>
    <n v="190801"/>
    <m/>
    <n v="9"/>
    <n v="190801"/>
    <n v="117000"/>
  </r>
  <r>
    <x v="321"/>
    <x v="6"/>
    <m/>
    <x v="19"/>
    <x v="2"/>
    <x v="23"/>
    <n v="190801"/>
    <n v="190801"/>
    <m/>
    <n v="2"/>
    <n v="190801"/>
    <n v="48000"/>
  </r>
  <r>
    <x v="321"/>
    <x v="6"/>
    <m/>
    <x v="19"/>
    <x v="2"/>
    <x v="24"/>
    <n v="190801"/>
    <n v="190801"/>
    <m/>
    <n v="1"/>
    <n v="190801"/>
    <n v="33000"/>
  </r>
  <r>
    <x v="321"/>
    <x v="6"/>
    <m/>
    <x v="0"/>
    <x v="9"/>
    <x v="15"/>
    <n v="190801"/>
    <n v="190801"/>
    <m/>
    <n v="8"/>
    <n v="190801"/>
    <n v="160000"/>
  </r>
  <r>
    <x v="321"/>
    <x v="6"/>
    <m/>
    <x v="0"/>
    <x v="6"/>
    <x v="15"/>
    <n v="190801"/>
    <n v="190801"/>
    <m/>
    <n v="162"/>
    <n v="190801"/>
    <n v="1469016"/>
  </r>
  <r>
    <x v="321"/>
    <x v="6"/>
    <m/>
    <x v="0"/>
    <x v="6"/>
    <x v="17"/>
    <n v="190801"/>
    <n v="190801"/>
    <m/>
    <n v="357"/>
    <n v="190801"/>
    <n v="5647026"/>
  </r>
  <r>
    <x v="321"/>
    <x v="6"/>
    <m/>
    <x v="4"/>
    <x v="6"/>
    <x v="26"/>
    <n v="190801"/>
    <n v="190801"/>
    <m/>
    <n v="734"/>
    <n v="190801"/>
    <n v="787582"/>
  </r>
  <r>
    <x v="321"/>
    <x v="6"/>
    <m/>
    <x v="26"/>
    <x v="6"/>
    <x v="35"/>
    <n v="190801"/>
    <n v="190801"/>
    <m/>
    <n v="59"/>
    <n v="190801"/>
    <n v="1010729"/>
  </r>
  <r>
    <x v="321"/>
    <x v="6"/>
    <m/>
    <x v="22"/>
    <x v="6"/>
    <x v="29"/>
    <n v="190801"/>
    <n v="190801"/>
    <m/>
    <n v="23"/>
    <n v="190801"/>
    <n v="452893"/>
  </r>
  <r>
    <x v="321"/>
    <x v="6"/>
    <m/>
    <x v="24"/>
    <x v="6"/>
    <x v="31"/>
    <n v="190801"/>
    <n v="190801"/>
    <m/>
    <n v="93"/>
    <n v="190801"/>
    <n v="1383561"/>
  </r>
  <r>
    <x v="321"/>
    <x v="6"/>
    <m/>
    <x v="23"/>
    <x v="6"/>
    <x v="30"/>
    <n v="190801"/>
    <n v="190801"/>
    <m/>
    <n v="40"/>
    <n v="190801"/>
    <n v="278560"/>
  </r>
  <r>
    <x v="321"/>
    <x v="6"/>
    <m/>
    <x v="19"/>
    <x v="6"/>
    <x v="22"/>
    <n v="190801"/>
    <n v="190801"/>
    <m/>
    <n v="35"/>
    <n v="190801"/>
    <n v="237685"/>
  </r>
  <r>
    <x v="321"/>
    <x v="6"/>
    <m/>
    <x v="27"/>
    <x v="6"/>
    <x v="36"/>
    <n v="190801"/>
    <n v="190801"/>
    <m/>
    <n v="12"/>
    <n v="190801"/>
    <n v="113484"/>
  </r>
  <r>
    <x v="321"/>
    <x v="6"/>
    <m/>
    <x v="6"/>
    <x v="6"/>
    <x v="37"/>
    <n v="190801"/>
    <n v="190801"/>
    <m/>
    <n v="29"/>
    <n v="190801"/>
    <n v="290000"/>
  </r>
  <r>
    <x v="321"/>
    <x v="6"/>
    <m/>
    <x v="28"/>
    <x v="6"/>
    <x v="39"/>
    <n v="190801"/>
    <n v="190801"/>
    <m/>
    <n v="58"/>
    <n v="190801"/>
    <n v="917444"/>
  </r>
  <r>
    <x v="321"/>
    <x v="6"/>
    <m/>
    <x v="4"/>
    <x v="6"/>
    <x v="66"/>
    <n v="190801"/>
    <n v="190801"/>
    <m/>
    <n v="425"/>
    <n v="190801"/>
    <n v="2378725"/>
  </r>
  <r>
    <x v="322"/>
    <x v="3"/>
    <m/>
    <x v="0"/>
    <x v="7"/>
    <x v="15"/>
    <n v="190801"/>
    <n v="190801"/>
    <m/>
    <n v="11"/>
    <n v="190801"/>
    <n v="220000"/>
  </r>
  <r>
    <x v="322"/>
    <x v="3"/>
    <m/>
    <x v="6"/>
    <x v="2"/>
    <x v="37"/>
    <n v="190801"/>
    <n v="190801"/>
    <m/>
    <n v="6"/>
    <n v="190801"/>
    <n v="120000"/>
  </r>
  <r>
    <x v="322"/>
    <x v="3"/>
    <m/>
    <x v="6"/>
    <x v="2"/>
    <x v="42"/>
    <n v="190801"/>
    <n v="190801"/>
    <m/>
    <n v="1"/>
    <n v="190801"/>
    <n v="35000"/>
  </r>
  <r>
    <x v="322"/>
    <x v="3"/>
    <m/>
    <x v="29"/>
    <x v="2"/>
    <x v="40"/>
    <n v="190801"/>
    <n v="190801"/>
    <m/>
    <n v="2"/>
    <n v="190801"/>
    <n v="70000"/>
  </r>
  <r>
    <x v="322"/>
    <x v="3"/>
    <m/>
    <x v="29"/>
    <x v="2"/>
    <x v="41"/>
    <n v="190801"/>
    <n v="190801"/>
    <m/>
    <n v="6"/>
    <n v="190801"/>
    <n v="270000"/>
  </r>
  <r>
    <x v="322"/>
    <x v="3"/>
    <m/>
    <x v="25"/>
    <x v="2"/>
    <x v="34"/>
    <n v="190801"/>
    <n v="190801"/>
    <m/>
    <n v="2"/>
    <n v="190801"/>
    <n v="198000"/>
  </r>
  <r>
    <x v="322"/>
    <x v="3"/>
    <m/>
    <x v="1"/>
    <x v="2"/>
    <x v="18"/>
    <n v="190801"/>
    <n v="190801"/>
    <m/>
    <n v="6"/>
    <n v="190801"/>
    <n v="120000"/>
  </r>
  <r>
    <x v="322"/>
    <x v="3"/>
    <m/>
    <x v="4"/>
    <x v="2"/>
    <x v="26"/>
    <n v="190801"/>
    <n v="190801"/>
    <m/>
    <n v="6"/>
    <n v="190801"/>
    <n v="24000"/>
  </r>
  <r>
    <x v="322"/>
    <x v="3"/>
    <m/>
    <x v="4"/>
    <x v="2"/>
    <x v="27"/>
    <n v="190801"/>
    <n v="190801"/>
    <m/>
    <n v="3"/>
    <n v="190801"/>
    <n v="60000"/>
  </r>
  <r>
    <x v="322"/>
    <x v="3"/>
    <m/>
    <x v="0"/>
    <x v="2"/>
    <x v="15"/>
    <n v="190801"/>
    <n v="190801"/>
    <m/>
    <n v="83"/>
    <n v="190801"/>
    <n v="1660000"/>
  </r>
  <r>
    <x v="322"/>
    <x v="3"/>
    <m/>
    <x v="0"/>
    <x v="2"/>
    <x v="16"/>
    <n v="190801"/>
    <n v="190801"/>
    <m/>
    <n v="53"/>
    <n v="190801"/>
    <n v="1855000"/>
  </r>
  <r>
    <x v="322"/>
    <x v="3"/>
    <m/>
    <x v="0"/>
    <x v="2"/>
    <x v="17"/>
    <n v="190801"/>
    <n v="190801"/>
    <m/>
    <n v="61"/>
    <n v="190801"/>
    <n v="2013000"/>
  </r>
  <r>
    <x v="322"/>
    <x v="3"/>
    <m/>
    <x v="0"/>
    <x v="2"/>
    <x v="19"/>
    <n v="190801"/>
    <n v="190801"/>
    <m/>
    <n v="113"/>
    <n v="190801"/>
    <n v="339000"/>
  </r>
  <r>
    <x v="322"/>
    <x v="3"/>
    <m/>
    <x v="5"/>
    <x v="2"/>
    <x v="28"/>
    <n v="190801"/>
    <n v="190801"/>
    <m/>
    <n v="20"/>
    <n v="190801"/>
    <n v="560000"/>
  </r>
  <r>
    <x v="322"/>
    <x v="3"/>
    <m/>
    <x v="5"/>
    <x v="2"/>
    <x v="69"/>
    <n v="190801"/>
    <n v="190801"/>
    <m/>
    <n v="2"/>
    <n v="190801"/>
    <n v="96000"/>
  </r>
  <r>
    <x v="322"/>
    <x v="3"/>
    <m/>
    <x v="22"/>
    <x v="2"/>
    <x v="29"/>
    <n v="190801"/>
    <n v="190801"/>
    <m/>
    <n v="7"/>
    <n v="190801"/>
    <n v="266000"/>
  </r>
  <r>
    <x v="322"/>
    <x v="3"/>
    <m/>
    <x v="19"/>
    <x v="2"/>
    <x v="22"/>
    <n v="190801"/>
    <n v="190801"/>
    <m/>
    <n v="19"/>
    <n v="190801"/>
    <n v="247000"/>
  </r>
  <r>
    <x v="322"/>
    <x v="3"/>
    <m/>
    <x v="19"/>
    <x v="2"/>
    <x v="23"/>
    <n v="190801"/>
    <n v="190801"/>
    <m/>
    <n v="3"/>
    <n v="190801"/>
    <n v="72000"/>
  </r>
  <r>
    <x v="322"/>
    <x v="3"/>
    <m/>
    <x v="4"/>
    <x v="9"/>
    <x v="27"/>
    <n v="190801"/>
    <n v="190801"/>
    <m/>
    <n v="1"/>
    <n v="190801"/>
    <n v="20000"/>
  </r>
  <r>
    <x v="322"/>
    <x v="3"/>
    <m/>
    <x v="0"/>
    <x v="9"/>
    <x v="15"/>
    <n v="190801"/>
    <n v="190801"/>
    <m/>
    <n v="6"/>
    <n v="190801"/>
    <n v="120000"/>
  </r>
  <r>
    <x v="323"/>
    <x v="4"/>
    <m/>
    <x v="22"/>
    <x v="12"/>
    <x v="70"/>
    <n v="190801"/>
    <n v="190801"/>
    <m/>
    <n v="2"/>
    <n v="190801"/>
    <n v="76220"/>
  </r>
  <r>
    <x v="323"/>
    <x v="4"/>
    <m/>
    <x v="1"/>
    <x v="12"/>
    <x v="71"/>
    <n v="190801"/>
    <n v="190801"/>
    <m/>
    <n v="1"/>
    <n v="190801"/>
    <n v="22866"/>
  </r>
  <r>
    <x v="323"/>
    <x v="4"/>
    <m/>
    <x v="6"/>
    <x v="12"/>
    <x v="72"/>
    <n v="190801"/>
    <n v="190801"/>
    <m/>
    <n v="2"/>
    <n v="190801"/>
    <n v="45732"/>
  </r>
  <r>
    <x v="323"/>
    <x v="4"/>
    <m/>
    <x v="0"/>
    <x v="7"/>
    <x v="15"/>
    <n v="190801"/>
    <n v="190801"/>
    <m/>
    <n v="7"/>
    <n v="190801"/>
    <n v="140000"/>
  </r>
  <r>
    <x v="323"/>
    <x v="4"/>
    <m/>
    <x v="6"/>
    <x v="2"/>
    <x v="37"/>
    <n v="190801"/>
    <n v="190801"/>
    <m/>
    <n v="2"/>
    <n v="190801"/>
    <n v="40000"/>
  </r>
  <r>
    <x v="323"/>
    <x v="4"/>
    <m/>
    <x v="6"/>
    <x v="2"/>
    <x v="42"/>
    <n v="190801"/>
    <n v="190801"/>
    <m/>
    <n v="1"/>
    <n v="190801"/>
    <n v="35000"/>
  </r>
  <r>
    <x v="323"/>
    <x v="4"/>
    <m/>
    <x v="29"/>
    <x v="2"/>
    <x v="40"/>
    <n v="190801"/>
    <n v="190801"/>
    <m/>
    <n v="6"/>
    <n v="190801"/>
    <n v="210000"/>
  </r>
  <r>
    <x v="323"/>
    <x v="4"/>
    <m/>
    <x v="29"/>
    <x v="2"/>
    <x v="41"/>
    <n v="190801"/>
    <n v="190801"/>
    <m/>
    <n v="8"/>
    <n v="190801"/>
    <n v="360000"/>
  </r>
  <r>
    <x v="323"/>
    <x v="4"/>
    <m/>
    <x v="25"/>
    <x v="2"/>
    <x v="34"/>
    <n v="190801"/>
    <n v="190801"/>
    <m/>
    <n v="2"/>
    <n v="190801"/>
    <n v="198000"/>
  </r>
  <r>
    <x v="323"/>
    <x v="4"/>
    <m/>
    <x v="1"/>
    <x v="2"/>
    <x v="18"/>
    <n v="190801"/>
    <n v="190801"/>
    <m/>
    <n v="2"/>
    <n v="190801"/>
    <n v="40000"/>
  </r>
  <r>
    <x v="323"/>
    <x v="4"/>
    <m/>
    <x v="1"/>
    <x v="2"/>
    <x v="21"/>
    <n v="190801"/>
    <n v="190801"/>
    <m/>
    <n v="2"/>
    <n v="190801"/>
    <n v="70000"/>
  </r>
  <r>
    <x v="323"/>
    <x v="4"/>
    <m/>
    <x v="4"/>
    <x v="2"/>
    <x v="26"/>
    <n v="190801"/>
    <n v="190801"/>
    <m/>
    <n v="2"/>
    <n v="190801"/>
    <n v="8000"/>
  </r>
  <r>
    <x v="323"/>
    <x v="4"/>
    <m/>
    <x v="4"/>
    <x v="2"/>
    <x v="27"/>
    <n v="190801"/>
    <n v="190801"/>
    <m/>
    <n v="4"/>
    <n v="190801"/>
    <n v="80000"/>
  </r>
  <r>
    <x v="323"/>
    <x v="4"/>
    <m/>
    <x v="0"/>
    <x v="2"/>
    <x v="15"/>
    <n v="190801"/>
    <n v="190801"/>
    <m/>
    <n v="88"/>
    <n v="190801"/>
    <n v="1760000"/>
  </r>
  <r>
    <x v="323"/>
    <x v="4"/>
    <m/>
    <x v="0"/>
    <x v="2"/>
    <x v="16"/>
    <n v="190801"/>
    <n v="190801"/>
    <m/>
    <n v="67"/>
    <n v="190801"/>
    <n v="2345000"/>
  </r>
  <r>
    <x v="323"/>
    <x v="4"/>
    <m/>
    <x v="0"/>
    <x v="2"/>
    <x v="17"/>
    <n v="190801"/>
    <n v="190801"/>
    <m/>
    <n v="70"/>
    <n v="190801"/>
    <n v="2310000"/>
  </r>
  <r>
    <x v="323"/>
    <x v="4"/>
    <m/>
    <x v="0"/>
    <x v="2"/>
    <x v="19"/>
    <n v="190801"/>
    <n v="190801"/>
    <m/>
    <n v="76"/>
    <n v="190801"/>
    <n v="228000"/>
  </r>
  <r>
    <x v="323"/>
    <x v="4"/>
    <m/>
    <x v="5"/>
    <x v="2"/>
    <x v="28"/>
    <n v="190801"/>
    <n v="190801"/>
    <m/>
    <n v="14"/>
    <n v="190801"/>
    <n v="392000"/>
  </r>
  <r>
    <x v="323"/>
    <x v="4"/>
    <m/>
    <x v="5"/>
    <x v="2"/>
    <x v="69"/>
    <n v="190801"/>
    <n v="190801"/>
    <m/>
    <n v="2"/>
    <n v="190801"/>
    <n v="96000"/>
  </r>
  <r>
    <x v="323"/>
    <x v="4"/>
    <m/>
    <x v="22"/>
    <x v="2"/>
    <x v="29"/>
    <n v="190801"/>
    <n v="190801"/>
    <m/>
    <n v="10"/>
    <n v="190801"/>
    <n v="380000"/>
  </r>
  <r>
    <x v="323"/>
    <x v="4"/>
    <m/>
    <x v="19"/>
    <x v="2"/>
    <x v="22"/>
    <n v="190801"/>
    <n v="190801"/>
    <m/>
    <n v="21"/>
    <n v="190801"/>
    <n v="273000"/>
  </r>
  <r>
    <x v="323"/>
    <x v="4"/>
    <m/>
    <x v="19"/>
    <x v="2"/>
    <x v="23"/>
    <n v="190801"/>
    <n v="190801"/>
    <m/>
    <n v="5"/>
    <n v="190801"/>
    <n v="120000"/>
  </r>
  <r>
    <x v="323"/>
    <x v="4"/>
    <m/>
    <x v="0"/>
    <x v="3"/>
    <x v="15"/>
    <n v="190801"/>
    <n v="190801"/>
    <m/>
    <n v="7"/>
    <n v="190801"/>
    <n v="0"/>
  </r>
  <r>
    <x v="323"/>
    <x v="4"/>
    <m/>
    <x v="18"/>
    <x v="3"/>
    <x v="19"/>
    <n v="190801"/>
    <n v="190801"/>
    <m/>
    <n v="4"/>
    <n v="190801"/>
    <n v="0"/>
  </r>
  <r>
    <x v="323"/>
    <x v="4"/>
    <m/>
    <x v="5"/>
    <x v="3"/>
    <x v="28"/>
    <n v="190801"/>
    <n v="190801"/>
    <m/>
    <n v="39"/>
    <n v="190801"/>
    <n v="0"/>
  </r>
  <r>
    <x v="323"/>
    <x v="4"/>
    <m/>
    <x v="4"/>
    <x v="3"/>
    <x v="27"/>
    <n v="190801"/>
    <n v="190801"/>
    <m/>
    <n v="4"/>
    <n v="190801"/>
    <n v="0"/>
  </r>
  <r>
    <x v="323"/>
    <x v="4"/>
    <m/>
    <x v="6"/>
    <x v="3"/>
    <x v="37"/>
    <n v="190801"/>
    <n v="190801"/>
    <m/>
    <n v="4"/>
    <n v="190801"/>
    <n v="0"/>
  </r>
  <r>
    <x v="323"/>
    <x v="4"/>
    <m/>
    <x v="19"/>
    <x v="3"/>
    <x v="22"/>
    <n v="190801"/>
    <n v="190801"/>
    <m/>
    <n v="30"/>
    <n v="190801"/>
    <n v="0"/>
  </r>
  <r>
    <x v="323"/>
    <x v="4"/>
    <m/>
    <x v="0"/>
    <x v="9"/>
    <x v="15"/>
    <n v="190801"/>
    <n v="190801"/>
    <m/>
    <n v="7"/>
    <n v="190801"/>
    <n v="140000"/>
  </r>
  <r>
    <x v="324"/>
    <x v="1"/>
    <m/>
    <x v="0"/>
    <x v="5"/>
    <x v="51"/>
    <n v="190801"/>
    <n v="190801"/>
    <m/>
    <n v="83"/>
    <n v="190801"/>
    <n v="933750"/>
  </r>
  <r>
    <x v="324"/>
    <x v="1"/>
    <m/>
    <x v="5"/>
    <x v="5"/>
    <x v="53"/>
    <n v="190801"/>
    <n v="190801"/>
    <m/>
    <n v="93"/>
    <n v="190801"/>
    <n v="1381050"/>
  </r>
  <r>
    <x v="324"/>
    <x v="1"/>
    <m/>
    <x v="22"/>
    <x v="5"/>
    <x v="52"/>
    <n v="190801"/>
    <n v="190801"/>
    <m/>
    <n v="80"/>
    <n v="190801"/>
    <n v="1368000"/>
  </r>
  <r>
    <x v="324"/>
    <x v="1"/>
    <m/>
    <x v="4"/>
    <x v="5"/>
    <x v="61"/>
    <n v="190801"/>
    <n v="190801"/>
    <m/>
    <n v="110"/>
    <n v="190801"/>
    <n v="198000"/>
  </r>
  <r>
    <x v="324"/>
    <x v="1"/>
    <m/>
    <x v="1"/>
    <x v="5"/>
    <x v="63"/>
    <n v="190801"/>
    <n v="190801"/>
    <m/>
    <n v="80"/>
    <n v="190801"/>
    <n v="900000"/>
  </r>
  <r>
    <x v="324"/>
    <x v="1"/>
    <m/>
    <x v="19"/>
    <x v="5"/>
    <x v="50"/>
    <n v="190801"/>
    <n v="190801"/>
    <m/>
    <n v="80"/>
    <n v="190801"/>
    <n v="576000"/>
  </r>
  <r>
    <x v="324"/>
    <x v="1"/>
    <m/>
    <x v="4"/>
    <x v="5"/>
    <x v="62"/>
    <n v="190801"/>
    <n v="190801"/>
    <m/>
    <n v="70"/>
    <n v="190801"/>
    <n v="1260000"/>
  </r>
  <r>
    <x v="324"/>
    <x v="1"/>
    <m/>
    <x v="6"/>
    <x v="5"/>
    <x v="49"/>
    <n v="190801"/>
    <n v="190801"/>
    <m/>
    <n v="90"/>
    <n v="190801"/>
    <n v="1012500"/>
  </r>
  <r>
    <x v="324"/>
    <x v="1"/>
    <m/>
    <x v="0"/>
    <x v="7"/>
    <x v="15"/>
    <n v="190801"/>
    <n v="190801"/>
    <m/>
    <n v="7"/>
    <n v="190801"/>
    <n v="140000"/>
  </r>
  <r>
    <x v="324"/>
    <x v="1"/>
    <m/>
    <x v="6"/>
    <x v="2"/>
    <x v="37"/>
    <n v="190801"/>
    <n v="190801"/>
    <m/>
    <n v="2"/>
    <n v="190801"/>
    <n v="40000"/>
  </r>
  <r>
    <x v="324"/>
    <x v="1"/>
    <m/>
    <x v="6"/>
    <x v="2"/>
    <x v="42"/>
    <n v="190801"/>
    <n v="190801"/>
    <m/>
    <n v="3"/>
    <n v="190801"/>
    <n v="105000"/>
  </r>
  <r>
    <x v="324"/>
    <x v="1"/>
    <m/>
    <x v="29"/>
    <x v="2"/>
    <x v="40"/>
    <n v="190801"/>
    <n v="190801"/>
    <m/>
    <n v="2"/>
    <n v="190801"/>
    <n v="70000"/>
  </r>
  <r>
    <x v="324"/>
    <x v="1"/>
    <m/>
    <x v="29"/>
    <x v="2"/>
    <x v="41"/>
    <n v="190801"/>
    <n v="190801"/>
    <m/>
    <n v="1"/>
    <n v="190801"/>
    <n v="45000"/>
  </r>
  <r>
    <x v="324"/>
    <x v="1"/>
    <m/>
    <x v="25"/>
    <x v="2"/>
    <x v="34"/>
    <n v="190801"/>
    <n v="190801"/>
    <m/>
    <n v="4"/>
    <n v="190801"/>
    <n v="396000"/>
  </r>
  <r>
    <x v="324"/>
    <x v="1"/>
    <m/>
    <x v="1"/>
    <x v="2"/>
    <x v="18"/>
    <n v="190801"/>
    <n v="190801"/>
    <m/>
    <n v="1"/>
    <n v="190801"/>
    <n v="20000"/>
  </r>
  <r>
    <x v="324"/>
    <x v="1"/>
    <m/>
    <x v="4"/>
    <x v="2"/>
    <x v="26"/>
    <n v="190801"/>
    <n v="190801"/>
    <m/>
    <n v="1"/>
    <n v="190801"/>
    <n v="4000"/>
  </r>
  <r>
    <x v="324"/>
    <x v="1"/>
    <m/>
    <x v="4"/>
    <x v="2"/>
    <x v="27"/>
    <n v="190801"/>
    <n v="190801"/>
    <m/>
    <n v="2"/>
    <n v="190801"/>
    <n v="40000"/>
  </r>
  <r>
    <x v="324"/>
    <x v="1"/>
    <m/>
    <x v="0"/>
    <x v="2"/>
    <x v="73"/>
    <n v="190801"/>
    <n v="190801"/>
    <m/>
    <n v="3"/>
    <n v="190801"/>
    <n v="51000"/>
  </r>
  <r>
    <x v="324"/>
    <x v="1"/>
    <m/>
    <x v="0"/>
    <x v="2"/>
    <x v="74"/>
    <n v="190801"/>
    <n v="190801"/>
    <m/>
    <n v="6"/>
    <n v="190801"/>
    <n v="180000"/>
  </r>
  <r>
    <x v="324"/>
    <x v="1"/>
    <m/>
    <x v="0"/>
    <x v="2"/>
    <x v="15"/>
    <n v="190801"/>
    <n v="190801"/>
    <m/>
    <n v="80"/>
    <n v="190801"/>
    <n v="1600000"/>
  </r>
  <r>
    <x v="324"/>
    <x v="1"/>
    <m/>
    <x v="0"/>
    <x v="2"/>
    <x v="16"/>
    <n v="190801"/>
    <n v="190801"/>
    <m/>
    <n v="46"/>
    <n v="190801"/>
    <n v="1610000"/>
  </r>
  <r>
    <x v="324"/>
    <x v="1"/>
    <m/>
    <x v="0"/>
    <x v="2"/>
    <x v="17"/>
    <n v="190801"/>
    <n v="190801"/>
    <m/>
    <n v="70"/>
    <n v="190801"/>
    <n v="2310000"/>
  </r>
  <r>
    <x v="324"/>
    <x v="1"/>
    <m/>
    <x v="0"/>
    <x v="2"/>
    <x v="19"/>
    <n v="190801"/>
    <n v="190801"/>
    <m/>
    <n v="83"/>
    <n v="190801"/>
    <n v="249000"/>
  </r>
  <r>
    <x v="324"/>
    <x v="1"/>
    <m/>
    <x v="5"/>
    <x v="2"/>
    <x v="28"/>
    <n v="190801"/>
    <n v="190801"/>
    <m/>
    <n v="13"/>
    <n v="190801"/>
    <n v="364000"/>
  </r>
  <r>
    <x v="324"/>
    <x v="1"/>
    <m/>
    <x v="5"/>
    <x v="2"/>
    <x v="69"/>
    <n v="190801"/>
    <n v="190801"/>
    <m/>
    <n v="3"/>
    <n v="190801"/>
    <n v="144000"/>
  </r>
  <r>
    <x v="324"/>
    <x v="1"/>
    <m/>
    <x v="22"/>
    <x v="2"/>
    <x v="29"/>
    <n v="190801"/>
    <n v="190801"/>
    <m/>
    <n v="6"/>
    <n v="190801"/>
    <n v="228000"/>
  </r>
  <r>
    <x v="324"/>
    <x v="1"/>
    <m/>
    <x v="19"/>
    <x v="2"/>
    <x v="22"/>
    <n v="190801"/>
    <n v="190801"/>
    <m/>
    <n v="6"/>
    <n v="190801"/>
    <n v="78000"/>
  </r>
  <r>
    <x v="324"/>
    <x v="1"/>
    <m/>
    <x v="19"/>
    <x v="2"/>
    <x v="23"/>
    <n v="190801"/>
    <n v="190801"/>
    <m/>
    <n v="1"/>
    <n v="190801"/>
    <n v="24000"/>
  </r>
  <r>
    <x v="324"/>
    <x v="1"/>
    <m/>
    <x v="19"/>
    <x v="2"/>
    <x v="24"/>
    <n v="190801"/>
    <n v="190801"/>
    <m/>
    <n v="1"/>
    <n v="190801"/>
    <n v="33000"/>
  </r>
  <r>
    <x v="324"/>
    <x v="1"/>
    <m/>
    <x v="0"/>
    <x v="3"/>
    <x v="15"/>
    <n v="190801"/>
    <n v="190801"/>
    <m/>
    <n v="4"/>
    <n v="190801"/>
    <n v="0"/>
  </r>
  <r>
    <x v="324"/>
    <x v="1"/>
    <m/>
    <x v="18"/>
    <x v="3"/>
    <x v="19"/>
    <n v="190801"/>
    <n v="190801"/>
    <m/>
    <n v="1"/>
    <n v="190801"/>
    <n v="0"/>
  </r>
  <r>
    <x v="324"/>
    <x v="1"/>
    <m/>
    <x v="5"/>
    <x v="3"/>
    <x v="28"/>
    <n v="190801"/>
    <n v="190801"/>
    <m/>
    <n v="1"/>
    <n v="190801"/>
    <n v="0"/>
  </r>
  <r>
    <x v="324"/>
    <x v="1"/>
    <m/>
    <x v="4"/>
    <x v="3"/>
    <x v="27"/>
    <n v="190801"/>
    <n v="190801"/>
    <m/>
    <n v="1"/>
    <n v="190801"/>
    <n v="0"/>
  </r>
  <r>
    <x v="324"/>
    <x v="1"/>
    <m/>
    <x v="6"/>
    <x v="3"/>
    <x v="37"/>
    <n v="190801"/>
    <n v="190801"/>
    <m/>
    <n v="1"/>
    <n v="190801"/>
    <n v="0"/>
  </r>
  <r>
    <x v="324"/>
    <x v="1"/>
    <m/>
    <x v="0"/>
    <x v="10"/>
    <x v="54"/>
    <n v="190801"/>
    <n v="190801"/>
    <m/>
    <n v="36"/>
    <n v="190801"/>
    <n v="1188000"/>
  </r>
  <r>
    <x v="324"/>
    <x v="1"/>
    <m/>
    <x v="22"/>
    <x v="10"/>
    <x v="55"/>
    <n v="190801"/>
    <n v="190801"/>
    <m/>
    <n v="1"/>
    <n v="190801"/>
    <n v="44000"/>
  </r>
  <r>
    <x v="324"/>
    <x v="1"/>
    <m/>
    <x v="0"/>
    <x v="10"/>
    <x v="57"/>
    <n v="190801"/>
    <n v="190801"/>
    <m/>
    <n v="17"/>
    <n v="190801"/>
    <n v="901000"/>
  </r>
  <r>
    <x v="324"/>
    <x v="1"/>
    <m/>
    <x v="0"/>
    <x v="11"/>
    <x v="75"/>
    <n v="190801"/>
    <n v="190801"/>
    <m/>
    <n v="1"/>
    <n v="190801"/>
    <n v="24375"/>
  </r>
  <r>
    <x v="324"/>
    <x v="1"/>
    <m/>
    <x v="0"/>
    <x v="14"/>
    <x v="75"/>
    <n v="190801"/>
    <n v="190801"/>
    <m/>
    <n v="1"/>
    <n v="190801"/>
    <n v="19914"/>
  </r>
  <r>
    <x v="325"/>
    <x v="0"/>
    <m/>
    <x v="0"/>
    <x v="15"/>
    <x v="76"/>
    <n v="190801"/>
    <n v="190801"/>
    <m/>
    <n v="1"/>
    <n v="190801"/>
    <n v="24309"/>
  </r>
  <r>
    <x v="325"/>
    <x v="0"/>
    <m/>
    <x v="0"/>
    <x v="7"/>
    <x v="15"/>
    <n v="190801"/>
    <n v="190801"/>
    <m/>
    <n v="7"/>
    <n v="190801"/>
    <n v="140000"/>
  </r>
  <r>
    <x v="325"/>
    <x v="0"/>
    <m/>
    <x v="6"/>
    <x v="2"/>
    <x v="37"/>
    <n v="190801"/>
    <n v="190801"/>
    <m/>
    <n v="2"/>
    <n v="190801"/>
    <n v="40000"/>
  </r>
  <r>
    <x v="325"/>
    <x v="0"/>
    <m/>
    <x v="29"/>
    <x v="2"/>
    <x v="40"/>
    <n v="190801"/>
    <n v="190801"/>
    <m/>
    <n v="1"/>
    <n v="190801"/>
    <n v="35000"/>
  </r>
  <r>
    <x v="325"/>
    <x v="0"/>
    <m/>
    <x v="29"/>
    <x v="2"/>
    <x v="41"/>
    <n v="190801"/>
    <n v="190801"/>
    <m/>
    <n v="3"/>
    <n v="190801"/>
    <n v="135000"/>
  </r>
  <r>
    <x v="325"/>
    <x v="0"/>
    <m/>
    <x v="25"/>
    <x v="2"/>
    <x v="34"/>
    <n v="190801"/>
    <n v="190801"/>
    <m/>
    <n v="4"/>
    <n v="190801"/>
    <n v="396000"/>
  </r>
  <r>
    <x v="325"/>
    <x v="0"/>
    <m/>
    <x v="1"/>
    <x v="2"/>
    <x v="18"/>
    <n v="190801"/>
    <n v="190801"/>
    <m/>
    <n v="6"/>
    <n v="190801"/>
    <n v="120000"/>
  </r>
  <r>
    <x v="325"/>
    <x v="0"/>
    <m/>
    <x v="4"/>
    <x v="2"/>
    <x v="26"/>
    <n v="190801"/>
    <n v="190801"/>
    <m/>
    <n v="1"/>
    <n v="190801"/>
    <n v="4000"/>
  </r>
  <r>
    <x v="325"/>
    <x v="0"/>
    <m/>
    <x v="4"/>
    <x v="2"/>
    <x v="27"/>
    <n v="190801"/>
    <n v="190801"/>
    <m/>
    <n v="5"/>
    <n v="190801"/>
    <n v="100000"/>
  </r>
  <r>
    <x v="325"/>
    <x v="0"/>
    <m/>
    <x v="0"/>
    <x v="2"/>
    <x v="74"/>
    <n v="190801"/>
    <n v="190801"/>
    <m/>
    <n v="5"/>
    <n v="190801"/>
    <n v="150000"/>
  </r>
  <r>
    <x v="325"/>
    <x v="0"/>
    <m/>
    <x v="0"/>
    <x v="2"/>
    <x v="15"/>
    <n v="190801"/>
    <n v="190801"/>
    <m/>
    <n v="75"/>
    <n v="190801"/>
    <n v="1500000"/>
  </r>
  <r>
    <x v="325"/>
    <x v="0"/>
    <m/>
    <x v="0"/>
    <x v="2"/>
    <x v="16"/>
    <n v="190801"/>
    <n v="190801"/>
    <m/>
    <n v="60"/>
    <n v="190801"/>
    <n v="2100000"/>
  </r>
  <r>
    <x v="325"/>
    <x v="0"/>
    <m/>
    <x v="0"/>
    <x v="2"/>
    <x v="17"/>
    <n v="190801"/>
    <n v="190801"/>
    <m/>
    <n v="54"/>
    <n v="190801"/>
    <n v="1782000"/>
  </r>
  <r>
    <x v="325"/>
    <x v="0"/>
    <m/>
    <x v="0"/>
    <x v="2"/>
    <x v="19"/>
    <n v="190801"/>
    <n v="190801"/>
    <m/>
    <n v="67"/>
    <n v="190801"/>
    <n v="201000"/>
  </r>
  <r>
    <x v="325"/>
    <x v="0"/>
    <m/>
    <x v="5"/>
    <x v="2"/>
    <x v="28"/>
    <n v="190801"/>
    <n v="190801"/>
    <m/>
    <n v="14"/>
    <n v="190801"/>
    <n v="392000"/>
  </r>
  <r>
    <x v="325"/>
    <x v="0"/>
    <m/>
    <x v="5"/>
    <x v="2"/>
    <x v="69"/>
    <n v="190801"/>
    <n v="190801"/>
    <m/>
    <n v="4"/>
    <n v="190801"/>
    <n v="192000"/>
  </r>
  <r>
    <x v="325"/>
    <x v="0"/>
    <m/>
    <x v="22"/>
    <x v="2"/>
    <x v="29"/>
    <n v="190801"/>
    <n v="190801"/>
    <m/>
    <n v="8"/>
    <n v="190801"/>
    <n v="304000"/>
  </r>
  <r>
    <x v="325"/>
    <x v="0"/>
    <m/>
    <x v="19"/>
    <x v="2"/>
    <x v="22"/>
    <n v="190801"/>
    <n v="190801"/>
    <m/>
    <n v="9"/>
    <n v="190801"/>
    <n v="117000"/>
  </r>
  <r>
    <x v="325"/>
    <x v="0"/>
    <m/>
    <x v="19"/>
    <x v="2"/>
    <x v="23"/>
    <n v="190801"/>
    <n v="190801"/>
    <m/>
    <n v="1"/>
    <n v="190801"/>
    <n v="24000"/>
  </r>
  <r>
    <x v="325"/>
    <x v="0"/>
    <m/>
    <x v="0"/>
    <x v="3"/>
    <x v="15"/>
    <n v="190801"/>
    <n v="190801"/>
    <m/>
    <n v="1"/>
    <n v="190801"/>
    <n v="0"/>
  </r>
  <r>
    <x v="325"/>
    <x v="0"/>
    <m/>
    <x v="0"/>
    <x v="10"/>
    <x v="54"/>
    <n v="190801"/>
    <n v="190801"/>
    <m/>
    <n v="6"/>
    <n v="190801"/>
    <n v="198000"/>
  </r>
  <r>
    <x v="325"/>
    <x v="0"/>
    <m/>
    <x v="0"/>
    <x v="10"/>
    <x v="57"/>
    <n v="190801"/>
    <n v="190801"/>
    <m/>
    <n v="1"/>
    <n v="190801"/>
    <n v="53000"/>
  </r>
  <r>
    <x v="325"/>
    <x v="0"/>
    <m/>
    <x v="0"/>
    <x v="5"/>
    <x v="51"/>
    <n v="190801"/>
    <n v="190801"/>
    <m/>
    <n v="3"/>
    <n v="190801"/>
    <n v="33750"/>
  </r>
  <r>
    <x v="325"/>
    <x v="0"/>
    <m/>
    <x v="5"/>
    <x v="5"/>
    <x v="53"/>
    <n v="190801"/>
    <n v="190801"/>
    <m/>
    <n v="3"/>
    <n v="190801"/>
    <n v="44550"/>
  </r>
  <r>
    <x v="325"/>
    <x v="0"/>
    <m/>
    <x v="1"/>
    <x v="5"/>
    <x v="63"/>
    <n v="190801"/>
    <n v="190801"/>
    <m/>
    <n v="3"/>
    <n v="190801"/>
    <n v="33750"/>
  </r>
  <r>
    <x v="325"/>
    <x v="0"/>
    <m/>
    <x v="19"/>
    <x v="5"/>
    <x v="50"/>
    <n v="190801"/>
    <n v="190801"/>
    <m/>
    <n v="3"/>
    <n v="190801"/>
    <n v="21600"/>
  </r>
  <r>
    <x v="336"/>
    <x v="2"/>
    <m/>
    <x v="0"/>
    <x v="7"/>
    <x v="15"/>
    <n v="190801"/>
    <n v="190801"/>
    <m/>
    <n v="4"/>
    <n v="190801"/>
    <n v="80000"/>
  </r>
  <r>
    <x v="336"/>
    <x v="2"/>
    <m/>
    <x v="6"/>
    <x v="2"/>
    <x v="37"/>
    <n v="190801"/>
    <n v="190801"/>
    <m/>
    <n v="2"/>
    <n v="190801"/>
    <n v="40000"/>
  </r>
  <r>
    <x v="336"/>
    <x v="2"/>
    <m/>
    <x v="29"/>
    <x v="2"/>
    <x v="40"/>
    <n v="190801"/>
    <n v="190801"/>
    <m/>
    <n v="3"/>
    <n v="190801"/>
    <n v="105000"/>
  </r>
  <r>
    <x v="336"/>
    <x v="2"/>
    <m/>
    <x v="29"/>
    <x v="2"/>
    <x v="41"/>
    <n v="190801"/>
    <n v="190801"/>
    <m/>
    <n v="4"/>
    <n v="190801"/>
    <n v="180000"/>
  </r>
  <r>
    <x v="336"/>
    <x v="2"/>
    <m/>
    <x v="25"/>
    <x v="2"/>
    <x v="34"/>
    <n v="190801"/>
    <n v="190801"/>
    <m/>
    <n v="4"/>
    <n v="190801"/>
    <n v="396000"/>
  </r>
  <r>
    <x v="336"/>
    <x v="2"/>
    <m/>
    <x v="1"/>
    <x v="2"/>
    <x v="18"/>
    <n v="190801"/>
    <n v="190801"/>
    <m/>
    <n v="3"/>
    <n v="190801"/>
    <n v="60000"/>
  </r>
  <r>
    <x v="336"/>
    <x v="2"/>
    <m/>
    <x v="4"/>
    <x v="2"/>
    <x v="27"/>
    <n v="190801"/>
    <n v="190801"/>
    <m/>
    <n v="3"/>
    <n v="190801"/>
    <n v="60000"/>
  </r>
  <r>
    <x v="336"/>
    <x v="2"/>
    <m/>
    <x v="0"/>
    <x v="2"/>
    <x v="15"/>
    <n v="190801"/>
    <n v="190801"/>
    <m/>
    <n v="50"/>
    <n v="190801"/>
    <n v="1000000"/>
  </r>
  <r>
    <x v="336"/>
    <x v="2"/>
    <m/>
    <x v="0"/>
    <x v="2"/>
    <x v="16"/>
    <n v="190801"/>
    <n v="190801"/>
    <m/>
    <n v="45"/>
    <n v="190801"/>
    <n v="1575000"/>
  </r>
  <r>
    <x v="336"/>
    <x v="2"/>
    <m/>
    <x v="0"/>
    <x v="2"/>
    <x v="17"/>
    <n v="190801"/>
    <n v="190801"/>
    <m/>
    <n v="45"/>
    <n v="190801"/>
    <n v="1485000"/>
  </r>
  <r>
    <x v="336"/>
    <x v="2"/>
    <m/>
    <x v="0"/>
    <x v="2"/>
    <x v="19"/>
    <n v="190801"/>
    <n v="190801"/>
    <m/>
    <n v="64"/>
    <n v="190801"/>
    <n v="192000"/>
  </r>
  <r>
    <x v="336"/>
    <x v="2"/>
    <m/>
    <x v="5"/>
    <x v="2"/>
    <x v="28"/>
    <n v="190801"/>
    <n v="190801"/>
    <m/>
    <n v="17"/>
    <n v="190801"/>
    <n v="476000"/>
  </r>
  <r>
    <x v="336"/>
    <x v="2"/>
    <m/>
    <x v="5"/>
    <x v="2"/>
    <x v="69"/>
    <n v="190801"/>
    <n v="190801"/>
    <m/>
    <n v="4"/>
    <n v="190801"/>
    <n v="192000"/>
  </r>
  <r>
    <x v="336"/>
    <x v="2"/>
    <m/>
    <x v="22"/>
    <x v="2"/>
    <x v="29"/>
    <n v="190801"/>
    <n v="190801"/>
    <m/>
    <n v="4"/>
    <n v="190801"/>
    <n v="152000"/>
  </r>
  <r>
    <x v="336"/>
    <x v="2"/>
    <m/>
    <x v="19"/>
    <x v="2"/>
    <x v="22"/>
    <n v="190801"/>
    <n v="190801"/>
    <m/>
    <n v="5"/>
    <n v="190801"/>
    <n v="65000"/>
  </r>
  <r>
    <x v="336"/>
    <x v="2"/>
    <m/>
    <x v="19"/>
    <x v="2"/>
    <x v="23"/>
    <n v="190801"/>
    <n v="190801"/>
    <m/>
    <n v="1"/>
    <n v="190801"/>
    <n v="24000"/>
  </r>
  <r>
    <x v="336"/>
    <x v="2"/>
    <m/>
    <x v="19"/>
    <x v="2"/>
    <x v="24"/>
    <n v="190801"/>
    <n v="190801"/>
    <m/>
    <n v="1"/>
    <n v="190801"/>
    <n v="33000"/>
  </r>
  <r>
    <x v="336"/>
    <x v="2"/>
    <m/>
    <x v="0"/>
    <x v="3"/>
    <x v="15"/>
    <n v="190801"/>
    <n v="190801"/>
    <m/>
    <n v="1"/>
    <n v="190801"/>
    <n v="0"/>
  </r>
  <r>
    <x v="336"/>
    <x v="2"/>
    <m/>
    <x v="0"/>
    <x v="10"/>
    <x v="54"/>
    <n v="190801"/>
    <n v="190801"/>
    <m/>
    <n v="5"/>
    <n v="190801"/>
    <n v="165000"/>
  </r>
  <r>
    <x v="336"/>
    <x v="2"/>
    <m/>
    <x v="0"/>
    <x v="10"/>
    <x v="57"/>
    <n v="190801"/>
    <n v="190801"/>
    <m/>
    <n v="1"/>
    <n v="190801"/>
    <n v="53000"/>
  </r>
  <r>
    <x v="336"/>
    <x v="2"/>
    <m/>
    <x v="0"/>
    <x v="14"/>
    <x v="75"/>
    <n v="190801"/>
    <n v="190801"/>
    <m/>
    <n v="1"/>
    <n v="190801"/>
    <n v="19914"/>
  </r>
  <r>
    <x v="336"/>
    <x v="2"/>
    <m/>
    <x v="1"/>
    <x v="9"/>
    <x v="18"/>
    <n v="190801"/>
    <n v="190801"/>
    <m/>
    <n v="1"/>
    <n v="190801"/>
    <n v="20000"/>
  </r>
  <r>
    <x v="337"/>
    <x v="5"/>
    <m/>
    <x v="0"/>
    <x v="7"/>
    <x v="15"/>
    <n v="190801"/>
    <n v="190801"/>
    <m/>
    <n v="10"/>
    <n v="190801"/>
    <n v="200000"/>
  </r>
  <r>
    <x v="337"/>
    <x v="5"/>
    <m/>
    <x v="6"/>
    <x v="2"/>
    <x v="37"/>
    <n v="190801"/>
    <n v="190801"/>
    <m/>
    <n v="1"/>
    <n v="190801"/>
    <n v="20000"/>
  </r>
  <r>
    <x v="337"/>
    <x v="5"/>
    <m/>
    <x v="29"/>
    <x v="2"/>
    <x v="40"/>
    <n v="190801"/>
    <n v="190801"/>
    <m/>
    <n v="1"/>
    <n v="190801"/>
    <n v="35000"/>
  </r>
  <r>
    <x v="337"/>
    <x v="5"/>
    <m/>
    <x v="29"/>
    <x v="2"/>
    <x v="41"/>
    <n v="190801"/>
    <n v="190801"/>
    <m/>
    <n v="2"/>
    <n v="190801"/>
    <n v="90000"/>
  </r>
  <r>
    <x v="337"/>
    <x v="5"/>
    <m/>
    <x v="1"/>
    <x v="2"/>
    <x v="18"/>
    <n v="190801"/>
    <n v="190801"/>
    <m/>
    <n v="2"/>
    <n v="190801"/>
    <n v="40000"/>
  </r>
  <r>
    <x v="337"/>
    <x v="5"/>
    <m/>
    <x v="4"/>
    <x v="2"/>
    <x v="27"/>
    <n v="190801"/>
    <n v="190801"/>
    <m/>
    <n v="5"/>
    <n v="190801"/>
    <n v="100000"/>
  </r>
  <r>
    <x v="337"/>
    <x v="5"/>
    <m/>
    <x v="0"/>
    <x v="2"/>
    <x v="15"/>
    <n v="190801"/>
    <n v="190801"/>
    <m/>
    <n v="47"/>
    <n v="190801"/>
    <n v="940000"/>
  </r>
  <r>
    <x v="337"/>
    <x v="5"/>
    <m/>
    <x v="0"/>
    <x v="2"/>
    <x v="16"/>
    <n v="190801"/>
    <n v="190801"/>
    <m/>
    <n v="23"/>
    <n v="190801"/>
    <n v="805000"/>
  </r>
  <r>
    <x v="337"/>
    <x v="5"/>
    <m/>
    <x v="0"/>
    <x v="2"/>
    <x v="17"/>
    <n v="190801"/>
    <n v="190801"/>
    <m/>
    <n v="35"/>
    <n v="190801"/>
    <n v="1155000"/>
  </r>
  <r>
    <x v="337"/>
    <x v="5"/>
    <m/>
    <x v="0"/>
    <x v="2"/>
    <x v="19"/>
    <n v="190801"/>
    <n v="190801"/>
    <m/>
    <n v="33"/>
    <n v="190801"/>
    <n v="99000"/>
  </r>
  <r>
    <x v="337"/>
    <x v="5"/>
    <m/>
    <x v="5"/>
    <x v="2"/>
    <x v="28"/>
    <n v="190801"/>
    <n v="190801"/>
    <m/>
    <n v="13"/>
    <n v="190801"/>
    <n v="364000"/>
  </r>
  <r>
    <x v="337"/>
    <x v="5"/>
    <m/>
    <x v="5"/>
    <x v="2"/>
    <x v="69"/>
    <n v="190801"/>
    <n v="190801"/>
    <m/>
    <n v="3"/>
    <n v="190801"/>
    <n v="144000"/>
  </r>
  <r>
    <x v="337"/>
    <x v="5"/>
    <m/>
    <x v="22"/>
    <x v="2"/>
    <x v="29"/>
    <n v="190801"/>
    <n v="190801"/>
    <m/>
    <n v="2"/>
    <n v="190801"/>
    <n v="76000"/>
  </r>
  <r>
    <x v="337"/>
    <x v="5"/>
    <m/>
    <x v="19"/>
    <x v="2"/>
    <x v="22"/>
    <n v="190801"/>
    <n v="190801"/>
    <m/>
    <n v="4"/>
    <n v="190801"/>
    <n v="52000"/>
  </r>
  <r>
    <x v="337"/>
    <x v="5"/>
    <m/>
    <x v="19"/>
    <x v="2"/>
    <x v="23"/>
    <n v="190801"/>
    <n v="190801"/>
    <m/>
    <n v="2"/>
    <n v="190801"/>
    <n v="48000"/>
  </r>
  <r>
    <x v="326"/>
    <x v="6"/>
    <m/>
    <x v="0"/>
    <x v="7"/>
    <x v="15"/>
    <n v="190801"/>
    <n v="190801"/>
    <m/>
    <n v="11"/>
    <n v="190801"/>
    <n v="220000"/>
  </r>
  <r>
    <x v="326"/>
    <x v="6"/>
    <m/>
    <x v="6"/>
    <x v="2"/>
    <x v="37"/>
    <n v="190801"/>
    <n v="190801"/>
    <m/>
    <n v="3"/>
    <n v="190801"/>
    <n v="60000"/>
  </r>
  <r>
    <x v="326"/>
    <x v="6"/>
    <m/>
    <x v="29"/>
    <x v="2"/>
    <x v="40"/>
    <n v="190801"/>
    <n v="190801"/>
    <m/>
    <n v="2"/>
    <n v="190801"/>
    <n v="70000"/>
  </r>
  <r>
    <x v="326"/>
    <x v="6"/>
    <m/>
    <x v="29"/>
    <x v="2"/>
    <x v="41"/>
    <n v="190801"/>
    <n v="190801"/>
    <m/>
    <n v="1"/>
    <n v="190801"/>
    <n v="45000"/>
  </r>
  <r>
    <x v="326"/>
    <x v="6"/>
    <m/>
    <x v="25"/>
    <x v="2"/>
    <x v="34"/>
    <n v="190801"/>
    <n v="190801"/>
    <m/>
    <n v="6"/>
    <n v="190801"/>
    <n v="594000"/>
  </r>
  <r>
    <x v="326"/>
    <x v="6"/>
    <m/>
    <x v="1"/>
    <x v="2"/>
    <x v="18"/>
    <n v="190801"/>
    <n v="190801"/>
    <m/>
    <n v="1"/>
    <n v="190801"/>
    <n v="20000"/>
  </r>
  <r>
    <x v="326"/>
    <x v="6"/>
    <m/>
    <x v="4"/>
    <x v="2"/>
    <x v="26"/>
    <n v="190801"/>
    <n v="190801"/>
    <m/>
    <n v="3"/>
    <n v="190801"/>
    <n v="12000"/>
  </r>
  <r>
    <x v="326"/>
    <x v="6"/>
    <m/>
    <x v="4"/>
    <x v="2"/>
    <x v="27"/>
    <n v="190801"/>
    <n v="190801"/>
    <m/>
    <n v="3"/>
    <n v="190801"/>
    <n v="60000"/>
  </r>
  <r>
    <x v="326"/>
    <x v="6"/>
    <m/>
    <x v="0"/>
    <x v="2"/>
    <x v="15"/>
    <n v="190801"/>
    <n v="190801"/>
    <m/>
    <n v="78"/>
    <n v="190801"/>
    <n v="1560000"/>
  </r>
  <r>
    <x v="326"/>
    <x v="6"/>
    <m/>
    <x v="0"/>
    <x v="2"/>
    <x v="16"/>
    <n v="190801"/>
    <n v="190801"/>
    <m/>
    <n v="45"/>
    <n v="190801"/>
    <n v="1575000"/>
  </r>
  <r>
    <x v="326"/>
    <x v="6"/>
    <m/>
    <x v="0"/>
    <x v="2"/>
    <x v="17"/>
    <n v="190801"/>
    <n v="190801"/>
    <m/>
    <n v="62"/>
    <n v="190801"/>
    <n v="2046000"/>
  </r>
  <r>
    <x v="326"/>
    <x v="6"/>
    <m/>
    <x v="0"/>
    <x v="2"/>
    <x v="19"/>
    <n v="190801"/>
    <n v="190801"/>
    <m/>
    <n v="57"/>
    <n v="190801"/>
    <n v="171000"/>
  </r>
  <r>
    <x v="326"/>
    <x v="6"/>
    <m/>
    <x v="5"/>
    <x v="2"/>
    <x v="28"/>
    <n v="190801"/>
    <n v="190801"/>
    <m/>
    <n v="14"/>
    <n v="190801"/>
    <n v="392000"/>
  </r>
  <r>
    <x v="326"/>
    <x v="6"/>
    <m/>
    <x v="5"/>
    <x v="2"/>
    <x v="69"/>
    <n v="190801"/>
    <n v="190801"/>
    <m/>
    <n v="2"/>
    <n v="190801"/>
    <n v="96000"/>
  </r>
  <r>
    <x v="326"/>
    <x v="6"/>
    <m/>
    <x v="22"/>
    <x v="2"/>
    <x v="29"/>
    <n v="190801"/>
    <n v="190801"/>
    <m/>
    <n v="6"/>
    <n v="190801"/>
    <n v="228000"/>
  </r>
  <r>
    <x v="326"/>
    <x v="6"/>
    <m/>
    <x v="19"/>
    <x v="2"/>
    <x v="22"/>
    <n v="190801"/>
    <n v="190801"/>
    <m/>
    <n v="9"/>
    <n v="190801"/>
    <n v="117000"/>
  </r>
  <r>
    <x v="326"/>
    <x v="6"/>
    <m/>
    <x v="19"/>
    <x v="2"/>
    <x v="23"/>
    <n v="190801"/>
    <n v="190801"/>
    <m/>
    <n v="2"/>
    <n v="190801"/>
    <n v="48000"/>
  </r>
  <r>
    <x v="326"/>
    <x v="6"/>
    <m/>
    <x v="19"/>
    <x v="2"/>
    <x v="24"/>
    <n v="190801"/>
    <n v="190801"/>
    <m/>
    <n v="1"/>
    <n v="190801"/>
    <n v="33000"/>
  </r>
  <r>
    <x v="326"/>
    <x v="6"/>
    <m/>
    <x v="0"/>
    <x v="6"/>
    <x v="15"/>
    <n v="190801"/>
    <n v="190801"/>
    <m/>
    <n v="128"/>
    <n v="190801"/>
    <n v="1160704"/>
  </r>
  <r>
    <x v="326"/>
    <x v="6"/>
    <m/>
    <x v="0"/>
    <x v="6"/>
    <x v="17"/>
    <n v="190801"/>
    <n v="190801"/>
    <m/>
    <n v="318"/>
    <n v="190801"/>
    <n v="5030124"/>
  </r>
  <r>
    <x v="326"/>
    <x v="6"/>
    <m/>
    <x v="4"/>
    <x v="6"/>
    <x v="26"/>
    <n v="190801"/>
    <n v="190801"/>
    <m/>
    <n v="771"/>
    <n v="190801"/>
    <n v="827283"/>
  </r>
  <r>
    <x v="326"/>
    <x v="6"/>
    <m/>
    <x v="26"/>
    <x v="6"/>
    <x v="35"/>
    <n v="190801"/>
    <n v="190801"/>
    <m/>
    <n v="50"/>
    <n v="190801"/>
    <n v="856550"/>
  </r>
  <r>
    <x v="326"/>
    <x v="6"/>
    <m/>
    <x v="22"/>
    <x v="6"/>
    <x v="29"/>
    <n v="190801"/>
    <n v="190801"/>
    <m/>
    <n v="27"/>
    <n v="190801"/>
    <n v="531657"/>
  </r>
  <r>
    <x v="326"/>
    <x v="6"/>
    <m/>
    <x v="24"/>
    <x v="6"/>
    <x v="31"/>
    <n v="190801"/>
    <n v="190801"/>
    <m/>
    <n v="50"/>
    <n v="190801"/>
    <n v="743850"/>
  </r>
  <r>
    <x v="326"/>
    <x v="6"/>
    <m/>
    <x v="23"/>
    <x v="6"/>
    <x v="30"/>
    <n v="190801"/>
    <n v="190801"/>
    <m/>
    <n v="30"/>
    <n v="190801"/>
    <n v="208920"/>
  </r>
  <r>
    <x v="326"/>
    <x v="6"/>
    <m/>
    <x v="19"/>
    <x v="6"/>
    <x v="22"/>
    <n v="190801"/>
    <n v="190801"/>
    <m/>
    <n v="26"/>
    <n v="190801"/>
    <n v="176566"/>
  </r>
  <r>
    <x v="326"/>
    <x v="6"/>
    <m/>
    <x v="6"/>
    <x v="6"/>
    <x v="37"/>
    <n v="190801"/>
    <n v="190801"/>
    <m/>
    <n v="30"/>
    <n v="190801"/>
    <n v="300000"/>
  </r>
  <r>
    <x v="326"/>
    <x v="6"/>
    <m/>
    <x v="28"/>
    <x v="6"/>
    <x v="39"/>
    <n v="190801"/>
    <n v="190801"/>
    <m/>
    <n v="43"/>
    <n v="190801"/>
    <n v="680174"/>
  </r>
  <r>
    <x v="326"/>
    <x v="6"/>
    <m/>
    <x v="4"/>
    <x v="6"/>
    <x v="66"/>
    <n v="190801"/>
    <n v="190801"/>
    <m/>
    <n v="339"/>
    <n v="190801"/>
    <n v="1897383"/>
  </r>
  <r>
    <x v="327"/>
    <x v="3"/>
    <m/>
    <x v="0"/>
    <x v="7"/>
    <x v="15"/>
    <n v="190801"/>
    <n v="190801"/>
    <m/>
    <n v="9"/>
    <n v="190801"/>
    <n v="180000"/>
  </r>
  <r>
    <x v="327"/>
    <x v="3"/>
    <m/>
    <x v="6"/>
    <x v="2"/>
    <x v="37"/>
    <n v="190801"/>
    <n v="190801"/>
    <m/>
    <n v="4"/>
    <n v="190801"/>
    <n v="80000"/>
  </r>
  <r>
    <x v="327"/>
    <x v="3"/>
    <m/>
    <x v="6"/>
    <x v="2"/>
    <x v="42"/>
    <n v="190801"/>
    <n v="190801"/>
    <m/>
    <n v="1"/>
    <n v="190801"/>
    <n v="35000"/>
  </r>
  <r>
    <x v="327"/>
    <x v="3"/>
    <m/>
    <x v="29"/>
    <x v="2"/>
    <x v="40"/>
    <n v="190801"/>
    <n v="190801"/>
    <m/>
    <n v="10"/>
    <n v="190801"/>
    <n v="350000"/>
  </r>
  <r>
    <x v="327"/>
    <x v="3"/>
    <m/>
    <x v="29"/>
    <x v="2"/>
    <x v="41"/>
    <n v="190801"/>
    <n v="190801"/>
    <m/>
    <n v="1"/>
    <n v="190801"/>
    <n v="45000"/>
  </r>
  <r>
    <x v="327"/>
    <x v="3"/>
    <m/>
    <x v="25"/>
    <x v="2"/>
    <x v="34"/>
    <n v="190801"/>
    <n v="190801"/>
    <m/>
    <n v="4"/>
    <n v="190801"/>
    <n v="396000"/>
  </r>
  <r>
    <x v="327"/>
    <x v="3"/>
    <m/>
    <x v="1"/>
    <x v="2"/>
    <x v="21"/>
    <n v="190801"/>
    <n v="190801"/>
    <m/>
    <n v="1"/>
    <n v="190801"/>
    <n v="35000"/>
  </r>
  <r>
    <x v="327"/>
    <x v="3"/>
    <m/>
    <x v="4"/>
    <x v="2"/>
    <x v="26"/>
    <n v="190801"/>
    <n v="190801"/>
    <m/>
    <n v="6"/>
    <n v="190801"/>
    <n v="24000"/>
  </r>
  <r>
    <x v="327"/>
    <x v="3"/>
    <m/>
    <x v="4"/>
    <x v="2"/>
    <x v="27"/>
    <n v="190801"/>
    <n v="190801"/>
    <m/>
    <n v="9"/>
    <n v="190801"/>
    <n v="180000"/>
  </r>
  <r>
    <x v="327"/>
    <x v="3"/>
    <m/>
    <x v="0"/>
    <x v="2"/>
    <x v="15"/>
    <n v="190801"/>
    <n v="190801"/>
    <m/>
    <n v="97"/>
    <n v="190801"/>
    <n v="1940000"/>
  </r>
  <r>
    <x v="327"/>
    <x v="3"/>
    <m/>
    <x v="0"/>
    <x v="2"/>
    <x v="16"/>
    <n v="190801"/>
    <n v="190801"/>
    <m/>
    <n v="107"/>
    <n v="190801"/>
    <n v="3745000"/>
  </r>
  <r>
    <x v="327"/>
    <x v="3"/>
    <m/>
    <x v="0"/>
    <x v="2"/>
    <x v="17"/>
    <n v="190801"/>
    <n v="190801"/>
    <m/>
    <n v="77"/>
    <n v="190801"/>
    <n v="2541000"/>
  </r>
  <r>
    <x v="327"/>
    <x v="3"/>
    <m/>
    <x v="0"/>
    <x v="2"/>
    <x v="19"/>
    <n v="190801"/>
    <n v="190801"/>
    <m/>
    <n v="100"/>
    <n v="190801"/>
    <n v="300000"/>
  </r>
  <r>
    <x v="327"/>
    <x v="3"/>
    <m/>
    <x v="5"/>
    <x v="2"/>
    <x v="28"/>
    <n v="190801"/>
    <n v="190801"/>
    <m/>
    <n v="20"/>
    <n v="190801"/>
    <n v="560000"/>
  </r>
  <r>
    <x v="327"/>
    <x v="3"/>
    <m/>
    <x v="5"/>
    <x v="2"/>
    <x v="69"/>
    <n v="190801"/>
    <n v="190801"/>
    <m/>
    <n v="5"/>
    <n v="190801"/>
    <n v="240000"/>
  </r>
  <r>
    <x v="327"/>
    <x v="3"/>
    <m/>
    <x v="22"/>
    <x v="2"/>
    <x v="29"/>
    <n v="190801"/>
    <n v="190801"/>
    <m/>
    <n v="6"/>
    <n v="190801"/>
    <n v="228000"/>
  </r>
  <r>
    <x v="327"/>
    <x v="3"/>
    <m/>
    <x v="19"/>
    <x v="2"/>
    <x v="22"/>
    <n v="190801"/>
    <n v="190801"/>
    <m/>
    <n v="13"/>
    <n v="190801"/>
    <n v="169000"/>
  </r>
  <r>
    <x v="327"/>
    <x v="3"/>
    <m/>
    <x v="19"/>
    <x v="2"/>
    <x v="23"/>
    <n v="190801"/>
    <n v="190801"/>
    <m/>
    <n v="3"/>
    <n v="190801"/>
    <n v="72000"/>
  </r>
  <r>
    <x v="327"/>
    <x v="3"/>
    <m/>
    <x v="0"/>
    <x v="10"/>
    <x v="54"/>
    <n v="190801"/>
    <n v="190801"/>
    <m/>
    <n v="11"/>
    <n v="190801"/>
    <n v="363000"/>
  </r>
  <r>
    <x v="327"/>
    <x v="3"/>
    <m/>
    <x v="22"/>
    <x v="10"/>
    <x v="55"/>
    <n v="190801"/>
    <n v="190801"/>
    <m/>
    <n v="1"/>
    <n v="190801"/>
    <n v="44000"/>
  </r>
  <r>
    <x v="327"/>
    <x v="3"/>
    <m/>
    <x v="5"/>
    <x v="10"/>
    <x v="56"/>
    <n v="190801"/>
    <n v="190801"/>
    <m/>
    <n v="2"/>
    <n v="190801"/>
    <n v="78000"/>
  </r>
  <r>
    <x v="327"/>
    <x v="3"/>
    <m/>
    <x v="0"/>
    <x v="10"/>
    <x v="57"/>
    <n v="190801"/>
    <n v="190801"/>
    <m/>
    <n v="5"/>
    <n v="190801"/>
    <n v="265000"/>
  </r>
  <r>
    <x v="327"/>
    <x v="3"/>
    <m/>
    <x v="0"/>
    <x v="12"/>
    <x v="75"/>
    <n v="190801"/>
    <n v="190801"/>
    <m/>
    <n v="1"/>
    <n v="190801"/>
    <n v="24602"/>
  </r>
  <r>
    <x v="327"/>
    <x v="3"/>
    <m/>
    <x v="4"/>
    <x v="12"/>
    <x v="77"/>
    <n v="190801"/>
    <n v="190801"/>
    <m/>
    <n v="1"/>
    <n v="190801"/>
    <n v="39742"/>
  </r>
  <r>
    <x v="328"/>
    <x v="4"/>
    <m/>
    <x v="0"/>
    <x v="7"/>
    <x v="15"/>
    <n v="190801"/>
    <n v="190801"/>
    <m/>
    <n v="8"/>
    <n v="190801"/>
    <n v="160000"/>
  </r>
  <r>
    <x v="328"/>
    <x v="4"/>
    <m/>
    <x v="6"/>
    <x v="2"/>
    <x v="37"/>
    <n v="190801"/>
    <n v="190801"/>
    <m/>
    <n v="3"/>
    <n v="190801"/>
    <n v="60000"/>
  </r>
  <r>
    <x v="328"/>
    <x v="4"/>
    <m/>
    <x v="6"/>
    <x v="2"/>
    <x v="42"/>
    <n v="190801"/>
    <n v="190801"/>
    <m/>
    <n v="1"/>
    <n v="190801"/>
    <n v="35000"/>
  </r>
  <r>
    <x v="328"/>
    <x v="4"/>
    <m/>
    <x v="29"/>
    <x v="2"/>
    <x v="40"/>
    <n v="190801"/>
    <n v="190801"/>
    <m/>
    <n v="5"/>
    <n v="190801"/>
    <n v="175000"/>
  </r>
  <r>
    <x v="328"/>
    <x v="4"/>
    <m/>
    <x v="29"/>
    <x v="2"/>
    <x v="41"/>
    <n v="190801"/>
    <n v="190801"/>
    <m/>
    <n v="1"/>
    <n v="190801"/>
    <n v="45000"/>
  </r>
  <r>
    <x v="328"/>
    <x v="4"/>
    <m/>
    <x v="25"/>
    <x v="2"/>
    <x v="34"/>
    <n v="190801"/>
    <n v="190801"/>
    <m/>
    <n v="2"/>
    <n v="190801"/>
    <n v="198000"/>
  </r>
  <r>
    <x v="328"/>
    <x v="4"/>
    <m/>
    <x v="1"/>
    <x v="2"/>
    <x v="18"/>
    <n v="190801"/>
    <n v="190801"/>
    <m/>
    <n v="5"/>
    <n v="190801"/>
    <n v="100000"/>
  </r>
  <r>
    <x v="328"/>
    <x v="4"/>
    <m/>
    <x v="4"/>
    <x v="2"/>
    <x v="26"/>
    <n v="190801"/>
    <n v="190801"/>
    <m/>
    <n v="9"/>
    <n v="190801"/>
    <n v="36000"/>
  </r>
  <r>
    <x v="328"/>
    <x v="4"/>
    <m/>
    <x v="4"/>
    <x v="2"/>
    <x v="27"/>
    <n v="190801"/>
    <n v="190801"/>
    <m/>
    <n v="6"/>
    <n v="190801"/>
    <n v="120000"/>
  </r>
  <r>
    <x v="328"/>
    <x v="4"/>
    <m/>
    <x v="0"/>
    <x v="2"/>
    <x v="15"/>
    <n v="190801"/>
    <n v="190801"/>
    <m/>
    <n v="110"/>
    <n v="190801"/>
    <n v="2200000"/>
  </r>
  <r>
    <x v="328"/>
    <x v="4"/>
    <m/>
    <x v="0"/>
    <x v="2"/>
    <x v="16"/>
    <n v="190801"/>
    <n v="190801"/>
    <m/>
    <n v="86"/>
    <n v="190801"/>
    <n v="3010000"/>
  </r>
  <r>
    <x v="328"/>
    <x v="4"/>
    <m/>
    <x v="0"/>
    <x v="2"/>
    <x v="17"/>
    <n v="190801"/>
    <n v="190801"/>
    <m/>
    <n v="77"/>
    <n v="190801"/>
    <n v="2541000"/>
  </r>
  <r>
    <x v="328"/>
    <x v="4"/>
    <m/>
    <x v="0"/>
    <x v="2"/>
    <x v="19"/>
    <n v="190801"/>
    <n v="190801"/>
    <m/>
    <n v="73"/>
    <n v="190801"/>
    <n v="219000"/>
  </r>
  <r>
    <x v="328"/>
    <x v="4"/>
    <m/>
    <x v="5"/>
    <x v="2"/>
    <x v="28"/>
    <n v="190801"/>
    <n v="190801"/>
    <m/>
    <n v="26"/>
    <n v="190801"/>
    <n v="728000"/>
  </r>
  <r>
    <x v="328"/>
    <x v="4"/>
    <m/>
    <x v="22"/>
    <x v="2"/>
    <x v="29"/>
    <n v="190801"/>
    <n v="190801"/>
    <m/>
    <n v="8"/>
    <n v="190801"/>
    <n v="304000"/>
  </r>
  <r>
    <x v="328"/>
    <x v="4"/>
    <m/>
    <x v="19"/>
    <x v="2"/>
    <x v="22"/>
    <n v="190801"/>
    <n v="190801"/>
    <m/>
    <n v="8"/>
    <n v="190801"/>
    <n v="104000"/>
  </r>
  <r>
    <x v="328"/>
    <x v="4"/>
    <m/>
    <x v="19"/>
    <x v="2"/>
    <x v="23"/>
    <n v="190801"/>
    <n v="190801"/>
    <m/>
    <n v="1"/>
    <n v="190801"/>
    <n v="24000"/>
  </r>
  <r>
    <x v="328"/>
    <x v="4"/>
    <m/>
    <x v="0"/>
    <x v="8"/>
    <x v="78"/>
    <n v="190801"/>
    <n v="190801"/>
    <m/>
    <n v="61"/>
    <n v="190801"/>
    <n v="0"/>
  </r>
  <r>
    <x v="328"/>
    <x v="4"/>
    <m/>
    <x v="0"/>
    <x v="3"/>
    <x v="15"/>
    <n v="190801"/>
    <n v="190801"/>
    <m/>
    <n v="29"/>
    <n v="190801"/>
    <n v="0"/>
  </r>
  <r>
    <x v="328"/>
    <x v="4"/>
    <m/>
    <x v="18"/>
    <x v="3"/>
    <x v="19"/>
    <n v="190801"/>
    <n v="190801"/>
    <m/>
    <n v="3"/>
    <n v="190801"/>
    <n v="0"/>
  </r>
  <r>
    <x v="328"/>
    <x v="4"/>
    <m/>
    <x v="5"/>
    <x v="3"/>
    <x v="28"/>
    <n v="190801"/>
    <n v="190801"/>
    <m/>
    <n v="4"/>
    <n v="190801"/>
    <n v="0"/>
  </r>
  <r>
    <x v="328"/>
    <x v="4"/>
    <m/>
    <x v="4"/>
    <x v="3"/>
    <x v="27"/>
    <n v="190801"/>
    <n v="190801"/>
    <m/>
    <n v="3"/>
    <n v="190801"/>
    <n v="0"/>
  </r>
  <r>
    <x v="328"/>
    <x v="4"/>
    <m/>
    <x v="6"/>
    <x v="3"/>
    <x v="37"/>
    <n v="190801"/>
    <n v="190801"/>
    <m/>
    <n v="3"/>
    <n v="190801"/>
    <n v="0"/>
  </r>
  <r>
    <x v="328"/>
    <x v="4"/>
    <m/>
    <x v="22"/>
    <x v="3"/>
    <x v="29"/>
    <n v="190801"/>
    <n v="190801"/>
    <m/>
    <n v="3"/>
    <n v="190801"/>
    <n v="0"/>
  </r>
  <r>
    <x v="328"/>
    <x v="4"/>
    <m/>
    <x v="19"/>
    <x v="3"/>
    <x v="22"/>
    <n v="190801"/>
    <n v="190801"/>
    <m/>
    <n v="1"/>
    <n v="190801"/>
    <n v="0"/>
  </r>
  <r>
    <x v="328"/>
    <x v="4"/>
    <m/>
    <x v="1"/>
    <x v="3"/>
    <x v="18"/>
    <n v="190801"/>
    <n v="190801"/>
    <m/>
    <n v="3"/>
    <n v="190801"/>
    <n v="0"/>
  </r>
  <r>
    <x v="328"/>
    <x v="4"/>
    <m/>
    <x v="0"/>
    <x v="10"/>
    <x v="54"/>
    <n v="190801"/>
    <n v="190801"/>
    <m/>
    <n v="4"/>
    <n v="190801"/>
    <n v="132000"/>
  </r>
  <r>
    <x v="328"/>
    <x v="4"/>
    <m/>
    <x v="22"/>
    <x v="10"/>
    <x v="55"/>
    <n v="190801"/>
    <n v="190801"/>
    <m/>
    <n v="1"/>
    <n v="190801"/>
    <n v="44000"/>
  </r>
  <r>
    <x v="328"/>
    <x v="4"/>
    <m/>
    <x v="0"/>
    <x v="10"/>
    <x v="57"/>
    <n v="190801"/>
    <n v="190801"/>
    <m/>
    <n v="2"/>
    <n v="190801"/>
    <n v="106000"/>
  </r>
  <r>
    <x v="328"/>
    <x v="4"/>
    <m/>
    <x v="0"/>
    <x v="12"/>
    <x v="75"/>
    <n v="190801"/>
    <n v="190801"/>
    <m/>
    <n v="2"/>
    <n v="190801"/>
    <n v="49204"/>
  </r>
  <r>
    <x v="328"/>
    <x v="4"/>
    <m/>
    <x v="22"/>
    <x v="12"/>
    <x v="79"/>
    <n v="190801"/>
    <n v="190801"/>
    <m/>
    <n v="1"/>
    <n v="190801"/>
    <n v="37850"/>
  </r>
  <r>
    <x v="328"/>
    <x v="4"/>
    <m/>
    <x v="6"/>
    <x v="12"/>
    <x v="80"/>
    <n v="190801"/>
    <n v="190801"/>
    <m/>
    <n v="1"/>
    <n v="190801"/>
    <n v="22710"/>
  </r>
  <r>
    <x v="329"/>
    <x v="1"/>
    <m/>
    <x v="0"/>
    <x v="7"/>
    <x v="15"/>
    <n v="190801"/>
    <n v="190801"/>
    <m/>
    <n v="5"/>
    <n v="190801"/>
    <n v="100000"/>
  </r>
  <r>
    <x v="329"/>
    <x v="1"/>
    <m/>
    <x v="29"/>
    <x v="2"/>
    <x v="40"/>
    <n v="190801"/>
    <n v="190801"/>
    <m/>
    <n v="4"/>
    <n v="190801"/>
    <n v="140000"/>
  </r>
  <r>
    <x v="329"/>
    <x v="1"/>
    <m/>
    <x v="29"/>
    <x v="2"/>
    <x v="41"/>
    <n v="190801"/>
    <n v="190801"/>
    <m/>
    <n v="1"/>
    <n v="190801"/>
    <n v="45000"/>
  </r>
  <r>
    <x v="329"/>
    <x v="1"/>
    <m/>
    <x v="25"/>
    <x v="2"/>
    <x v="34"/>
    <n v="190801"/>
    <n v="190801"/>
    <m/>
    <n v="4"/>
    <n v="190801"/>
    <n v="396000"/>
  </r>
  <r>
    <x v="329"/>
    <x v="1"/>
    <m/>
    <x v="1"/>
    <x v="2"/>
    <x v="18"/>
    <n v="190801"/>
    <n v="190801"/>
    <m/>
    <n v="1"/>
    <n v="190801"/>
    <n v="20000"/>
  </r>
  <r>
    <x v="329"/>
    <x v="1"/>
    <m/>
    <x v="4"/>
    <x v="2"/>
    <x v="26"/>
    <n v="190801"/>
    <n v="190801"/>
    <m/>
    <n v="3"/>
    <n v="190801"/>
    <n v="12000"/>
  </r>
  <r>
    <x v="329"/>
    <x v="1"/>
    <m/>
    <x v="4"/>
    <x v="2"/>
    <x v="27"/>
    <n v="190801"/>
    <n v="190801"/>
    <m/>
    <n v="6"/>
    <n v="190801"/>
    <n v="120000"/>
  </r>
  <r>
    <x v="329"/>
    <x v="1"/>
    <m/>
    <x v="0"/>
    <x v="2"/>
    <x v="15"/>
    <n v="190801"/>
    <n v="190801"/>
    <m/>
    <n v="91"/>
    <n v="190801"/>
    <n v="1820000"/>
  </r>
  <r>
    <x v="329"/>
    <x v="1"/>
    <m/>
    <x v="0"/>
    <x v="2"/>
    <x v="16"/>
    <n v="190801"/>
    <n v="190801"/>
    <m/>
    <n v="70"/>
    <n v="190801"/>
    <n v="2450000"/>
  </r>
  <r>
    <x v="329"/>
    <x v="1"/>
    <m/>
    <x v="0"/>
    <x v="2"/>
    <x v="17"/>
    <n v="190801"/>
    <n v="190801"/>
    <m/>
    <n v="82"/>
    <n v="190801"/>
    <n v="2706000"/>
  </r>
  <r>
    <x v="329"/>
    <x v="1"/>
    <m/>
    <x v="0"/>
    <x v="2"/>
    <x v="19"/>
    <n v="190801"/>
    <n v="190801"/>
    <m/>
    <n v="74"/>
    <n v="190801"/>
    <n v="222000"/>
  </r>
  <r>
    <x v="329"/>
    <x v="1"/>
    <m/>
    <x v="5"/>
    <x v="2"/>
    <x v="28"/>
    <n v="190801"/>
    <n v="190801"/>
    <m/>
    <n v="25"/>
    <n v="190801"/>
    <n v="700000"/>
  </r>
  <r>
    <x v="329"/>
    <x v="1"/>
    <m/>
    <x v="5"/>
    <x v="2"/>
    <x v="69"/>
    <n v="190801"/>
    <n v="190801"/>
    <m/>
    <n v="3"/>
    <n v="190801"/>
    <n v="144000"/>
  </r>
  <r>
    <x v="329"/>
    <x v="1"/>
    <m/>
    <x v="22"/>
    <x v="2"/>
    <x v="29"/>
    <n v="190801"/>
    <n v="190801"/>
    <m/>
    <n v="7"/>
    <n v="190801"/>
    <n v="266000"/>
  </r>
  <r>
    <x v="329"/>
    <x v="1"/>
    <m/>
    <x v="19"/>
    <x v="2"/>
    <x v="22"/>
    <n v="190801"/>
    <n v="190801"/>
    <m/>
    <n v="10"/>
    <n v="190801"/>
    <n v="130000"/>
  </r>
  <r>
    <x v="329"/>
    <x v="1"/>
    <m/>
    <x v="19"/>
    <x v="2"/>
    <x v="23"/>
    <n v="190801"/>
    <n v="190801"/>
    <m/>
    <n v="1"/>
    <n v="190801"/>
    <n v="24000"/>
  </r>
  <r>
    <x v="329"/>
    <x v="1"/>
    <m/>
    <x v="0"/>
    <x v="10"/>
    <x v="54"/>
    <n v="190801"/>
    <n v="190801"/>
    <m/>
    <n v="4"/>
    <n v="190801"/>
    <n v="132000"/>
  </r>
  <r>
    <x v="329"/>
    <x v="1"/>
    <m/>
    <x v="6"/>
    <x v="10"/>
    <x v="59"/>
    <n v="190801"/>
    <n v="190801"/>
    <m/>
    <n v="1"/>
    <n v="190801"/>
    <n v="36000"/>
  </r>
  <r>
    <x v="329"/>
    <x v="1"/>
    <m/>
    <x v="0"/>
    <x v="10"/>
    <x v="57"/>
    <n v="190801"/>
    <n v="190801"/>
    <m/>
    <n v="1"/>
    <n v="190801"/>
    <n v="53000"/>
  </r>
  <r>
    <x v="330"/>
    <x v="0"/>
    <m/>
    <x v="0"/>
    <x v="7"/>
    <x v="15"/>
    <n v="190801"/>
    <n v="190801"/>
    <m/>
    <n v="9"/>
    <n v="190801"/>
    <n v="180000"/>
  </r>
  <r>
    <x v="330"/>
    <x v="0"/>
    <m/>
    <x v="6"/>
    <x v="2"/>
    <x v="37"/>
    <n v="190801"/>
    <n v="190801"/>
    <m/>
    <n v="1"/>
    <n v="190801"/>
    <n v="20000"/>
  </r>
  <r>
    <x v="330"/>
    <x v="0"/>
    <m/>
    <x v="6"/>
    <x v="2"/>
    <x v="42"/>
    <n v="190801"/>
    <n v="190801"/>
    <m/>
    <n v="1"/>
    <n v="190801"/>
    <n v="35000"/>
  </r>
  <r>
    <x v="330"/>
    <x v="0"/>
    <m/>
    <x v="29"/>
    <x v="2"/>
    <x v="40"/>
    <n v="190801"/>
    <n v="190801"/>
    <m/>
    <n v="2"/>
    <n v="190801"/>
    <n v="70000"/>
  </r>
  <r>
    <x v="330"/>
    <x v="0"/>
    <m/>
    <x v="29"/>
    <x v="2"/>
    <x v="41"/>
    <n v="190801"/>
    <n v="190801"/>
    <m/>
    <n v="3"/>
    <n v="190801"/>
    <n v="135000"/>
  </r>
  <r>
    <x v="330"/>
    <x v="0"/>
    <m/>
    <x v="4"/>
    <x v="2"/>
    <x v="26"/>
    <n v="190801"/>
    <n v="190801"/>
    <m/>
    <n v="4"/>
    <n v="190801"/>
    <n v="16000"/>
  </r>
  <r>
    <x v="330"/>
    <x v="0"/>
    <m/>
    <x v="4"/>
    <x v="2"/>
    <x v="27"/>
    <n v="190801"/>
    <n v="190801"/>
    <m/>
    <n v="10"/>
    <n v="190801"/>
    <n v="200000"/>
  </r>
  <r>
    <x v="330"/>
    <x v="0"/>
    <m/>
    <x v="0"/>
    <x v="2"/>
    <x v="15"/>
    <n v="190801"/>
    <n v="190801"/>
    <m/>
    <n v="97"/>
    <n v="190801"/>
    <n v="1940000"/>
  </r>
  <r>
    <x v="330"/>
    <x v="0"/>
    <m/>
    <x v="0"/>
    <x v="2"/>
    <x v="16"/>
    <n v="190801"/>
    <n v="190801"/>
    <m/>
    <n v="73"/>
    <n v="190801"/>
    <n v="2555000"/>
  </r>
  <r>
    <x v="330"/>
    <x v="0"/>
    <m/>
    <x v="0"/>
    <x v="2"/>
    <x v="17"/>
    <n v="190801"/>
    <n v="190801"/>
    <m/>
    <n v="80"/>
    <n v="190801"/>
    <n v="2640000"/>
  </r>
  <r>
    <x v="330"/>
    <x v="0"/>
    <m/>
    <x v="0"/>
    <x v="2"/>
    <x v="19"/>
    <n v="190801"/>
    <n v="190801"/>
    <m/>
    <n v="78"/>
    <n v="190801"/>
    <n v="234000"/>
  </r>
  <r>
    <x v="330"/>
    <x v="0"/>
    <m/>
    <x v="5"/>
    <x v="2"/>
    <x v="28"/>
    <n v="190801"/>
    <n v="190801"/>
    <m/>
    <n v="19"/>
    <n v="190801"/>
    <n v="532000"/>
  </r>
  <r>
    <x v="330"/>
    <x v="0"/>
    <m/>
    <x v="5"/>
    <x v="2"/>
    <x v="69"/>
    <n v="190801"/>
    <n v="190801"/>
    <m/>
    <n v="4"/>
    <n v="190801"/>
    <n v="192000"/>
  </r>
  <r>
    <x v="330"/>
    <x v="0"/>
    <m/>
    <x v="22"/>
    <x v="2"/>
    <x v="29"/>
    <n v="190801"/>
    <n v="190801"/>
    <m/>
    <n v="9"/>
    <n v="190801"/>
    <n v="342000"/>
  </r>
  <r>
    <x v="330"/>
    <x v="0"/>
    <m/>
    <x v="19"/>
    <x v="2"/>
    <x v="22"/>
    <n v="190801"/>
    <n v="190801"/>
    <m/>
    <n v="8"/>
    <n v="190801"/>
    <n v="104000"/>
  </r>
  <r>
    <x v="330"/>
    <x v="0"/>
    <m/>
    <x v="19"/>
    <x v="2"/>
    <x v="24"/>
    <n v="190801"/>
    <n v="190801"/>
    <m/>
    <n v="1"/>
    <n v="190801"/>
    <n v="33000"/>
  </r>
  <r>
    <x v="330"/>
    <x v="0"/>
    <m/>
    <x v="0"/>
    <x v="10"/>
    <x v="54"/>
    <n v="190801"/>
    <n v="190801"/>
    <m/>
    <n v="3"/>
    <n v="190801"/>
    <n v="99000"/>
  </r>
  <r>
    <x v="330"/>
    <x v="0"/>
    <m/>
    <x v="0"/>
    <x v="10"/>
    <x v="57"/>
    <n v="190801"/>
    <n v="190801"/>
    <m/>
    <n v="3"/>
    <n v="190801"/>
    <n v="159000"/>
  </r>
  <r>
    <x v="330"/>
    <x v="0"/>
    <m/>
    <x v="0"/>
    <x v="16"/>
    <x v="81"/>
    <n v="190801"/>
    <n v="190801"/>
    <m/>
    <n v="1"/>
    <n v="190801"/>
    <n v="23073"/>
  </r>
  <r>
    <x v="330"/>
    <x v="0"/>
    <m/>
    <x v="5"/>
    <x v="16"/>
    <x v="82"/>
    <n v="190801"/>
    <n v="190801"/>
    <m/>
    <n v="1"/>
    <n v="190801"/>
    <n v="33086"/>
  </r>
  <r>
    <x v="330"/>
    <x v="0"/>
    <m/>
    <x v="0"/>
    <x v="16"/>
    <x v="83"/>
    <n v="190801"/>
    <n v="190801"/>
    <m/>
    <n v="1"/>
    <n v="190801"/>
    <n v="7401"/>
  </r>
  <r>
    <x v="331"/>
    <x v="2"/>
    <m/>
    <x v="22"/>
    <x v="12"/>
    <x v="79"/>
    <n v="190801"/>
    <n v="190801"/>
    <m/>
    <n v="1"/>
    <n v="190801"/>
    <n v="37850"/>
  </r>
  <r>
    <x v="331"/>
    <x v="2"/>
    <m/>
    <x v="5"/>
    <x v="12"/>
    <x v="84"/>
    <n v="190801"/>
    <n v="190801"/>
    <m/>
    <n v="1"/>
    <n v="190801"/>
    <n v="32134"/>
  </r>
  <r>
    <x v="331"/>
    <x v="2"/>
    <m/>
    <x v="0"/>
    <x v="7"/>
    <x v="15"/>
    <n v="190801"/>
    <n v="190801"/>
    <m/>
    <n v="3"/>
    <n v="190801"/>
    <n v="60000"/>
  </r>
  <r>
    <x v="331"/>
    <x v="2"/>
    <m/>
    <x v="6"/>
    <x v="2"/>
    <x v="37"/>
    <n v="190801"/>
    <n v="190801"/>
    <m/>
    <n v="4"/>
    <n v="190801"/>
    <n v="80000"/>
  </r>
  <r>
    <x v="331"/>
    <x v="2"/>
    <m/>
    <x v="29"/>
    <x v="2"/>
    <x v="40"/>
    <n v="190801"/>
    <n v="190801"/>
    <m/>
    <n v="2"/>
    <n v="190801"/>
    <n v="70000"/>
  </r>
  <r>
    <x v="331"/>
    <x v="2"/>
    <m/>
    <x v="29"/>
    <x v="2"/>
    <x v="41"/>
    <n v="190801"/>
    <n v="190801"/>
    <m/>
    <n v="4"/>
    <n v="190801"/>
    <n v="180000"/>
  </r>
  <r>
    <x v="331"/>
    <x v="2"/>
    <m/>
    <x v="25"/>
    <x v="2"/>
    <x v="34"/>
    <n v="190801"/>
    <n v="190801"/>
    <m/>
    <n v="3"/>
    <n v="190801"/>
    <n v="297000"/>
  </r>
  <r>
    <x v="331"/>
    <x v="2"/>
    <m/>
    <x v="1"/>
    <x v="2"/>
    <x v="18"/>
    <n v="190801"/>
    <n v="190801"/>
    <m/>
    <n v="3"/>
    <n v="190801"/>
    <n v="60000"/>
  </r>
  <r>
    <x v="331"/>
    <x v="2"/>
    <m/>
    <x v="4"/>
    <x v="2"/>
    <x v="26"/>
    <n v="190801"/>
    <n v="190801"/>
    <m/>
    <n v="3"/>
    <n v="190801"/>
    <n v="12000"/>
  </r>
  <r>
    <x v="331"/>
    <x v="2"/>
    <m/>
    <x v="4"/>
    <x v="2"/>
    <x v="27"/>
    <n v="190801"/>
    <n v="190801"/>
    <m/>
    <n v="7"/>
    <n v="190801"/>
    <n v="140000"/>
  </r>
  <r>
    <x v="331"/>
    <x v="2"/>
    <m/>
    <x v="0"/>
    <x v="2"/>
    <x v="15"/>
    <n v="190801"/>
    <n v="190801"/>
    <m/>
    <n v="73"/>
    <n v="190801"/>
    <n v="1460000"/>
  </r>
  <r>
    <x v="331"/>
    <x v="2"/>
    <m/>
    <x v="0"/>
    <x v="2"/>
    <x v="16"/>
    <n v="190801"/>
    <n v="190801"/>
    <m/>
    <n v="61"/>
    <n v="190801"/>
    <n v="2135000"/>
  </r>
  <r>
    <x v="331"/>
    <x v="2"/>
    <m/>
    <x v="0"/>
    <x v="2"/>
    <x v="17"/>
    <n v="190801"/>
    <n v="190801"/>
    <m/>
    <n v="64"/>
    <n v="190801"/>
    <n v="2112000"/>
  </r>
  <r>
    <x v="331"/>
    <x v="2"/>
    <m/>
    <x v="0"/>
    <x v="2"/>
    <x v="19"/>
    <n v="190801"/>
    <n v="190801"/>
    <m/>
    <n v="51"/>
    <n v="190801"/>
    <n v="153000"/>
  </r>
  <r>
    <x v="331"/>
    <x v="2"/>
    <m/>
    <x v="5"/>
    <x v="2"/>
    <x v="28"/>
    <n v="190801"/>
    <n v="190801"/>
    <m/>
    <n v="15"/>
    <n v="190801"/>
    <n v="420000"/>
  </r>
  <r>
    <x v="331"/>
    <x v="2"/>
    <m/>
    <x v="5"/>
    <x v="2"/>
    <x v="69"/>
    <n v="190801"/>
    <n v="190801"/>
    <m/>
    <n v="3"/>
    <n v="190801"/>
    <n v="144000"/>
  </r>
  <r>
    <x v="331"/>
    <x v="2"/>
    <m/>
    <x v="22"/>
    <x v="2"/>
    <x v="29"/>
    <n v="190801"/>
    <n v="190801"/>
    <m/>
    <n v="3"/>
    <n v="190801"/>
    <n v="114000"/>
  </r>
  <r>
    <x v="331"/>
    <x v="2"/>
    <m/>
    <x v="19"/>
    <x v="2"/>
    <x v="22"/>
    <n v="190801"/>
    <n v="190801"/>
    <m/>
    <n v="11"/>
    <n v="190801"/>
    <n v="143000"/>
  </r>
  <r>
    <x v="331"/>
    <x v="2"/>
    <m/>
    <x v="19"/>
    <x v="2"/>
    <x v="23"/>
    <n v="190801"/>
    <n v="190801"/>
    <m/>
    <n v="3"/>
    <n v="190801"/>
    <n v="72000"/>
  </r>
  <r>
    <x v="331"/>
    <x v="2"/>
    <m/>
    <x v="19"/>
    <x v="2"/>
    <x v="24"/>
    <n v="190801"/>
    <n v="190801"/>
    <m/>
    <n v="2"/>
    <n v="190801"/>
    <n v="66000"/>
  </r>
  <r>
    <x v="331"/>
    <x v="2"/>
    <m/>
    <x v="0"/>
    <x v="3"/>
    <x v="15"/>
    <n v="190801"/>
    <n v="190801"/>
    <m/>
    <n v="21"/>
    <n v="190801"/>
    <n v="0"/>
  </r>
  <r>
    <x v="331"/>
    <x v="2"/>
    <m/>
    <x v="5"/>
    <x v="3"/>
    <x v="28"/>
    <n v="190801"/>
    <n v="190801"/>
    <m/>
    <n v="35"/>
    <n v="190801"/>
    <n v="0"/>
  </r>
  <r>
    <x v="331"/>
    <x v="2"/>
    <m/>
    <x v="4"/>
    <x v="3"/>
    <x v="27"/>
    <n v="190801"/>
    <n v="190801"/>
    <m/>
    <n v="20"/>
    <n v="190801"/>
    <n v="0"/>
  </r>
  <r>
    <x v="331"/>
    <x v="2"/>
    <m/>
    <x v="6"/>
    <x v="3"/>
    <x v="37"/>
    <n v="190801"/>
    <n v="190801"/>
    <m/>
    <n v="20"/>
    <n v="190801"/>
    <n v="0"/>
  </r>
  <r>
    <x v="331"/>
    <x v="2"/>
    <m/>
    <x v="22"/>
    <x v="3"/>
    <x v="29"/>
    <n v="190801"/>
    <n v="190801"/>
    <m/>
    <n v="20"/>
    <n v="190801"/>
    <n v="0"/>
  </r>
  <r>
    <x v="331"/>
    <x v="2"/>
    <m/>
    <x v="19"/>
    <x v="3"/>
    <x v="22"/>
    <n v="190801"/>
    <n v="190801"/>
    <m/>
    <n v="20"/>
    <n v="190801"/>
    <n v="0"/>
  </r>
  <r>
    <x v="331"/>
    <x v="2"/>
    <m/>
    <x v="1"/>
    <x v="3"/>
    <x v="18"/>
    <n v="190801"/>
    <n v="190801"/>
    <m/>
    <n v="20"/>
    <n v="190801"/>
    <n v="0"/>
  </r>
  <r>
    <x v="331"/>
    <x v="2"/>
    <m/>
    <x v="0"/>
    <x v="10"/>
    <x v="54"/>
    <n v="190801"/>
    <n v="190801"/>
    <m/>
    <n v="4"/>
    <n v="190801"/>
    <n v="132000"/>
  </r>
  <r>
    <x v="331"/>
    <x v="2"/>
    <m/>
    <x v="0"/>
    <x v="10"/>
    <x v="57"/>
    <n v="190801"/>
    <n v="190801"/>
    <m/>
    <n v="2"/>
    <n v="190801"/>
    <n v="106000"/>
  </r>
  <r>
    <x v="332"/>
    <x v="5"/>
    <m/>
    <x v="0"/>
    <x v="7"/>
    <x v="15"/>
    <n v="190801"/>
    <n v="190801"/>
    <m/>
    <n v="4"/>
    <n v="190801"/>
    <n v="80000"/>
  </r>
  <r>
    <x v="332"/>
    <x v="5"/>
    <m/>
    <x v="6"/>
    <x v="2"/>
    <x v="37"/>
    <n v="190801"/>
    <n v="190801"/>
    <m/>
    <n v="1"/>
    <n v="190801"/>
    <n v="20000"/>
  </r>
  <r>
    <x v="332"/>
    <x v="5"/>
    <m/>
    <x v="6"/>
    <x v="2"/>
    <x v="42"/>
    <n v="190801"/>
    <n v="190801"/>
    <m/>
    <n v="1"/>
    <n v="190801"/>
    <n v="35000"/>
  </r>
  <r>
    <x v="332"/>
    <x v="5"/>
    <m/>
    <x v="19"/>
    <x v="2"/>
    <x v="38"/>
    <n v="190801"/>
    <n v="190801"/>
    <m/>
    <n v="1"/>
    <n v="190801"/>
    <n v="10000"/>
  </r>
  <r>
    <x v="332"/>
    <x v="5"/>
    <m/>
    <x v="29"/>
    <x v="2"/>
    <x v="41"/>
    <n v="190801"/>
    <n v="190801"/>
    <m/>
    <n v="2"/>
    <n v="190801"/>
    <n v="90000"/>
  </r>
  <r>
    <x v="332"/>
    <x v="5"/>
    <m/>
    <x v="25"/>
    <x v="2"/>
    <x v="34"/>
    <n v="190801"/>
    <n v="190801"/>
    <m/>
    <n v="4"/>
    <n v="190801"/>
    <n v="396000"/>
  </r>
  <r>
    <x v="332"/>
    <x v="5"/>
    <m/>
    <x v="1"/>
    <x v="2"/>
    <x v="18"/>
    <n v="190801"/>
    <n v="190801"/>
    <m/>
    <n v="3"/>
    <n v="190801"/>
    <n v="60000"/>
  </r>
  <r>
    <x v="332"/>
    <x v="5"/>
    <m/>
    <x v="1"/>
    <x v="2"/>
    <x v="21"/>
    <n v="190801"/>
    <n v="190801"/>
    <m/>
    <n v="1"/>
    <n v="190801"/>
    <n v="35000"/>
  </r>
  <r>
    <x v="332"/>
    <x v="5"/>
    <m/>
    <x v="4"/>
    <x v="2"/>
    <x v="26"/>
    <n v="190801"/>
    <n v="190801"/>
    <m/>
    <n v="1"/>
    <n v="190801"/>
    <n v="4000"/>
  </r>
  <r>
    <x v="332"/>
    <x v="5"/>
    <m/>
    <x v="4"/>
    <x v="2"/>
    <x v="27"/>
    <n v="190801"/>
    <n v="190801"/>
    <m/>
    <n v="3"/>
    <n v="190801"/>
    <n v="60000"/>
  </r>
  <r>
    <x v="332"/>
    <x v="5"/>
    <m/>
    <x v="0"/>
    <x v="2"/>
    <x v="15"/>
    <n v="190801"/>
    <n v="190801"/>
    <m/>
    <n v="65"/>
    <n v="190801"/>
    <n v="1300000"/>
  </r>
  <r>
    <x v="332"/>
    <x v="5"/>
    <m/>
    <x v="0"/>
    <x v="2"/>
    <x v="16"/>
    <n v="190801"/>
    <n v="190801"/>
    <m/>
    <n v="35"/>
    <n v="190801"/>
    <n v="1225000"/>
  </r>
  <r>
    <x v="332"/>
    <x v="5"/>
    <m/>
    <x v="0"/>
    <x v="2"/>
    <x v="17"/>
    <n v="190801"/>
    <n v="190801"/>
    <m/>
    <n v="44"/>
    <n v="190801"/>
    <n v="1452000"/>
  </r>
  <r>
    <x v="332"/>
    <x v="5"/>
    <m/>
    <x v="0"/>
    <x v="2"/>
    <x v="19"/>
    <n v="190801"/>
    <n v="190801"/>
    <m/>
    <n v="48"/>
    <n v="190801"/>
    <n v="144000"/>
  </r>
  <r>
    <x v="332"/>
    <x v="5"/>
    <m/>
    <x v="5"/>
    <x v="2"/>
    <x v="28"/>
    <n v="190801"/>
    <n v="190801"/>
    <m/>
    <n v="10"/>
    <n v="190801"/>
    <n v="280000"/>
  </r>
  <r>
    <x v="332"/>
    <x v="5"/>
    <m/>
    <x v="5"/>
    <x v="2"/>
    <x v="69"/>
    <n v="190801"/>
    <n v="190801"/>
    <m/>
    <n v="2"/>
    <n v="190801"/>
    <n v="96000"/>
  </r>
  <r>
    <x v="332"/>
    <x v="5"/>
    <m/>
    <x v="22"/>
    <x v="2"/>
    <x v="29"/>
    <n v="190801"/>
    <n v="190801"/>
    <m/>
    <n v="4"/>
    <n v="190801"/>
    <n v="152000"/>
  </r>
  <r>
    <x v="332"/>
    <x v="5"/>
    <m/>
    <x v="19"/>
    <x v="2"/>
    <x v="22"/>
    <n v="190801"/>
    <n v="190801"/>
    <m/>
    <n v="4"/>
    <n v="190801"/>
    <n v="52000"/>
  </r>
  <r>
    <x v="332"/>
    <x v="5"/>
    <m/>
    <x v="19"/>
    <x v="2"/>
    <x v="23"/>
    <n v="190801"/>
    <n v="190801"/>
    <m/>
    <n v="1"/>
    <n v="190801"/>
    <n v="24000"/>
  </r>
  <r>
    <x v="332"/>
    <x v="5"/>
    <m/>
    <x v="19"/>
    <x v="2"/>
    <x v="24"/>
    <n v="190801"/>
    <n v="190801"/>
    <m/>
    <n v="1"/>
    <n v="190801"/>
    <n v="33000"/>
  </r>
  <r>
    <x v="333"/>
    <x v="6"/>
    <m/>
    <x v="0"/>
    <x v="7"/>
    <x v="15"/>
    <n v="190801"/>
    <n v="190801"/>
    <m/>
    <n v="5"/>
    <n v="190801"/>
    <n v="100000"/>
  </r>
  <r>
    <x v="333"/>
    <x v="6"/>
    <m/>
    <x v="6"/>
    <x v="2"/>
    <x v="37"/>
    <n v="190801"/>
    <n v="190801"/>
    <m/>
    <n v="3"/>
    <n v="190801"/>
    <n v="60000"/>
  </r>
  <r>
    <x v="333"/>
    <x v="6"/>
    <m/>
    <x v="29"/>
    <x v="2"/>
    <x v="40"/>
    <n v="190801"/>
    <n v="190801"/>
    <m/>
    <n v="1"/>
    <n v="190801"/>
    <n v="35000"/>
  </r>
  <r>
    <x v="333"/>
    <x v="6"/>
    <m/>
    <x v="29"/>
    <x v="2"/>
    <x v="41"/>
    <n v="190801"/>
    <n v="190801"/>
    <m/>
    <n v="3"/>
    <n v="190801"/>
    <n v="135000"/>
  </r>
  <r>
    <x v="333"/>
    <x v="6"/>
    <m/>
    <x v="25"/>
    <x v="2"/>
    <x v="34"/>
    <n v="190801"/>
    <n v="190801"/>
    <m/>
    <n v="2"/>
    <n v="190801"/>
    <n v="198000"/>
  </r>
  <r>
    <x v="333"/>
    <x v="6"/>
    <m/>
    <x v="1"/>
    <x v="2"/>
    <x v="18"/>
    <n v="190801"/>
    <n v="190801"/>
    <m/>
    <n v="3"/>
    <n v="190801"/>
    <n v="60000"/>
  </r>
  <r>
    <x v="333"/>
    <x v="6"/>
    <m/>
    <x v="4"/>
    <x v="2"/>
    <x v="26"/>
    <n v="190801"/>
    <n v="190801"/>
    <m/>
    <n v="3"/>
    <n v="190801"/>
    <n v="12000"/>
  </r>
  <r>
    <x v="333"/>
    <x v="6"/>
    <m/>
    <x v="4"/>
    <x v="2"/>
    <x v="27"/>
    <n v="190801"/>
    <n v="190801"/>
    <m/>
    <n v="1"/>
    <n v="190801"/>
    <n v="20000"/>
  </r>
  <r>
    <x v="333"/>
    <x v="6"/>
    <m/>
    <x v="0"/>
    <x v="2"/>
    <x v="15"/>
    <n v="190801"/>
    <n v="190801"/>
    <m/>
    <n v="54"/>
    <n v="190801"/>
    <n v="1080000"/>
  </r>
  <r>
    <x v="333"/>
    <x v="6"/>
    <m/>
    <x v="0"/>
    <x v="2"/>
    <x v="16"/>
    <n v="190801"/>
    <n v="190801"/>
    <m/>
    <n v="52"/>
    <n v="190801"/>
    <n v="1820000"/>
  </r>
  <r>
    <x v="333"/>
    <x v="6"/>
    <m/>
    <x v="0"/>
    <x v="2"/>
    <x v="17"/>
    <n v="190801"/>
    <n v="190801"/>
    <m/>
    <n v="65"/>
    <n v="190801"/>
    <n v="2145000"/>
  </r>
  <r>
    <x v="333"/>
    <x v="6"/>
    <m/>
    <x v="0"/>
    <x v="2"/>
    <x v="19"/>
    <n v="190801"/>
    <n v="190801"/>
    <m/>
    <n v="46"/>
    <n v="190801"/>
    <n v="138000"/>
  </r>
  <r>
    <x v="333"/>
    <x v="6"/>
    <m/>
    <x v="5"/>
    <x v="2"/>
    <x v="28"/>
    <n v="190801"/>
    <n v="190801"/>
    <m/>
    <n v="19"/>
    <n v="190801"/>
    <n v="532000"/>
  </r>
  <r>
    <x v="333"/>
    <x v="6"/>
    <m/>
    <x v="22"/>
    <x v="2"/>
    <x v="29"/>
    <n v="190801"/>
    <n v="190801"/>
    <m/>
    <n v="4"/>
    <n v="190801"/>
    <n v="152000"/>
  </r>
  <r>
    <x v="333"/>
    <x v="6"/>
    <m/>
    <x v="19"/>
    <x v="2"/>
    <x v="22"/>
    <n v="190801"/>
    <n v="190801"/>
    <m/>
    <n v="8"/>
    <n v="190801"/>
    <n v="104000"/>
  </r>
  <r>
    <x v="333"/>
    <x v="6"/>
    <m/>
    <x v="19"/>
    <x v="2"/>
    <x v="23"/>
    <n v="190801"/>
    <n v="190801"/>
    <m/>
    <n v="1"/>
    <n v="190801"/>
    <n v="24000"/>
  </r>
  <r>
    <x v="333"/>
    <x v="6"/>
    <m/>
    <x v="19"/>
    <x v="2"/>
    <x v="24"/>
    <n v="190801"/>
    <n v="190801"/>
    <m/>
    <n v="1"/>
    <n v="190801"/>
    <n v="33000"/>
  </r>
  <r>
    <x v="333"/>
    <x v="6"/>
    <m/>
    <x v="0"/>
    <x v="6"/>
    <x v="15"/>
    <n v="190801"/>
    <n v="190801"/>
    <m/>
    <n v="497"/>
    <n v="190801"/>
    <n v="4506796"/>
  </r>
  <r>
    <x v="333"/>
    <x v="6"/>
    <m/>
    <x v="0"/>
    <x v="6"/>
    <x v="17"/>
    <n v="190801"/>
    <n v="190801"/>
    <m/>
    <n v="192"/>
    <n v="190801"/>
    <n v="3037056"/>
  </r>
  <r>
    <x v="333"/>
    <x v="6"/>
    <m/>
    <x v="4"/>
    <x v="6"/>
    <x v="26"/>
    <n v="190801"/>
    <n v="190801"/>
    <m/>
    <n v="399"/>
    <n v="190801"/>
    <n v="428127"/>
  </r>
  <r>
    <x v="333"/>
    <x v="6"/>
    <m/>
    <x v="26"/>
    <x v="6"/>
    <x v="35"/>
    <n v="190801"/>
    <n v="190801"/>
    <m/>
    <n v="39"/>
    <n v="190801"/>
    <n v="668109"/>
  </r>
  <r>
    <x v="333"/>
    <x v="6"/>
    <m/>
    <x v="22"/>
    <x v="6"/>
    <x v="29"/>
    <n v="190801"/>
    <n v="190801"/>
    <m/>
    <n v="35"/>
    <n v="190801"/>
    <n v="689185"/>
  </r>
  <r>
    <x v="333"/>
    <x v="6"/>
    <m/>
    <x v="24"/>
    <x v="6"/>
    <x v="31"/>
    <n v="190801"/>
    <n v="190801"/>
    <m/>
    <n v="92"/>
    <n v="190801"/>
    <n v="1368684"/>
  </r>
  <r>
    <x v="333"/>
    <x v="6"/>
    <m/>
    <x v="23"/>
    <x v="6"/>
    <x v="30"/>
    <n v="190801"/>
    <n v="190801"/>
    <m/>
    <n v="13"/>
    <n v="190801"/>
    <n v="90532"/>
  </r>
  <r>
    <x v="333"/>
    <x v="6"/>
    <m/>
    <x v="19"/>
    <x v="6"/>
    <x v="22"/>
    <n v="190801"/>
    <n v="190801"/>
    <m/>
    <n v="58"/>
    <n v="190801"/>
    <n v="393878"/>
  </r>
  <r>
    <x v="333"/>
    <x v="6"/>
    <m/>
    <x v="27"/>
    <x v="6"/>
    <x v="36"/>
    <n v="190801"/>
    <n v="190801"/>
    <m/>
    <n v="2"/>
    <n v="190801"/>
    <n v="18914"/>
  </r>
  <r>
    <x v="333"/>
    <x v="6"/>
    <m/>
    <x v="6"/>
    <x v="6"/>
    <x v="37"/>
    <n v="190801"/>
    <n v="190801"/>
    <m/>
    <n v="32"/>
    <n v="190801"/>
    <n v="320000"/>
  </r>
  <r>
    <x v="333"/>
    <x v="6"/>
    <m/>
    <x v="28"/>
    <x v="6"/>
    <x v="39"/>
    <n v="190801"/>
    <n v="190801"/>
    <m/>
    <n v="17"/>
    <n v="190801"/>
    <n v="268906"/>
  </r>
  <r>
    <x v="333"/>
    <x v="6"/>
    <m/>
    <x v="4"/>
    <x v="6"/>
    <x v="66"/>
    <n v="190801"/>
    <n v="190801"/>
    <m/>
    <n v="217"/>
    <n v="190801"/>
    <n v="1214549"/>
  </r>
  <r>
    <x v="245"/>
    <x v="3"/>
    <m/>
    <x v="0"/>
    <x v="17"/>
    <x v="85"/>
    <n v="190801"/>
    <n v="190801"/>
    <m/>
    <n v="1"/>
    <n v="190801"/>
    <n v="39935"/>
  </r>
  <r>
    <x v="245"/>
    <x v="3"/>
    <m/>
    <x v="0"/>
    <x v="16"/>
    <x v="81"/>
    <n v="190801"/>
    <n v="190801"/>
    <m/>
    <n v="1"/>
    <n v="190801"/>
    <n v="23073"/>
  </r>
  <r>
    <x v="245"/>
    <x v="3"/>
    <m/>
    <x v="0"/>
    <x v="7"/>
    <x v="15"/>
    <n v="190801"/>
    <n v="190801"/>
    <m/>
    <n v="4"/>
    <n v="190801"/>
    <n v="80000"/>
  </r>
  <r>
    <x v="245"/>
    <x v="3"/>
    <m/>
    <x v="6"/>
    <x v="2"/>
    <x v="37"/>
    <n v="190801"/>
    <n v="190801"/>
    <m/>
    <n v="4"/>
    <n v="190801"/>
    <n v="80000"/>
  </r>
  <r>
    <x v="245"/>
    <x v="3"/>
    <m/>
    <x v="29"/>
    <x v="2"/>
    <x v="40"/>
    <n v="190801"/>
    <n v="190801"/>
    <m/>
    <n v="2"/>
    <n v="190801"/>
    <n v="70000"/>
  </r>
  <r>
    <x v="245"/>
    <x v="3"/>
    <m/>
    <x v="29"/>
    <x v="2"/>
    <x v="41"/>
    <n v="190801"/>
    <n v="190801"/>
    <m/>
    <n v="1"/>
    <n v="190801"/>
    <n v="45000"/>
  </r>
  <r>
    <x v="245"/>
    <x v="3"/>
    <m/>
    <x v="25"/>
    <x v="2"/>
    <x v="34"/>
    <n v="190801"/>
    <n v="190801"/>
    <m/>
    <n v="2"/>
    <n v="190801"/>
    <n v="198000"/>
  </r>
  <r>
    <x v="245"/>
    <x v="3"/>
    <m/>
    <x v="1"/>
    <x v="2"/>
    <x v="18"/>
    <n v="190801"/>
    <n v="190801"/>
    <m/>
    <n v="5"/>
    <n v="190801"/>
    <n v="100000"/>
  </r>
  <r>
    <x v="245"/>
    <x v="3"/>
    <m/>
    <x v="1"/>
    <x v="2"/>
    <x v="21"/>
    <n v="190801"/>
    <n v="190801"/>
    <m/>
    <n v="1"/>
    <n v="190801"/>
    <n v="35000"/>
  </r>
  <r>
    <x v="245"/>
    <x v="3"/>
    <m/>
    <x v="4"/>
    <x v="2"/>
    <x v="26"/>
    <n v="190801"/>
    <n v="190801"/>
    <m/>
    <n v="10"/>
    <n v="190801"/>
    <n v="40000"/>
  </r>
  <r>
    <x v="245"/>
    <x v="3"/>
    <m/>
    <x v="4"/>
    <x v="2"/>
    <x v="27"/>
    <n v="190801"/>
    <n v="190801"/>
    <m/>
    <n v="3"/>
    <n v="190801"/>
    <n v="60000"/>
  </r>
  <r>
    <x v="245"/>
    <x v="3"/>
    <m/>
    <x v="0"/>
    <x v="2"/>
    <x v="15"/>
    <n v="190801"/>
    <n v="190801"/>
    <m/>
    <n v="83"/>
    <n v="190801"/>
    <n v="1660000"/>
  </r>
  <r>
    <x v="245"/>
    <x v="3"/>
    <m/>
    <x v="0"/>
    <x v="2"/>
    <x v="16"/>
    <n v="190801"/>
    <n v="190801"/>
    <m/>
    <n v="65"/>
    <n v="190801"/>
    <n v="2275000"/>
  </r>
  <r>
    <x v="245"/>
    <x v="3"/>
    <m/>
    <x v="0"/>
    <x v="2"/>
    <x v="17"/>
    <n v="190801"/>
    <n v="190801"/>
    <m/>
    <n v="78"/>
    <n v="190801"/>
    <n v="2574000"/>
  </r>
  <r>
    <x v="245"/>
    <x v="3"/>
    <m/>
    <x v="0"/>
    <x v="2"/>
    <x v="19"/>
    <n v="190801"/>
    <n v="190801"/>
    <m/>
    <n v="72"/>
    <n v="190801"/>
    <n v="216000"/>
  </r>
  <r>
    <x v="245"/>
    <x v="3"/>
    <m/>
    <x v="5"/>
    <x v="2"/>
    <x v="28"/>
    <n v="190801"/>
    <n v="190801"/>
    <m/>
    <n v="16"/>
    <n v="190801"/>
    <n v="448000"/>
  </r>
  <r>
    <x v="245"/>
    <x v="3"/>
    <m/>
    <x v="5"/>
    <x v="2"/>
    <x v="69"/>
    <n v="190801"/>
    <n v="190801"/>
    <m/>
    <n v="9"/>
    <n v="190801"/>
    <n v="432000"/>
  </r>
  <r>
    <x v="245"/>
    <x v="3"/>
    <m/>
    <x v="22"/>
    <x v="2"/>
    <x v="29"/>
    <n v="190801"/>
    <n v="190801"/>
    <m/>
    <n v="9"/>
    <n v="190801"/>
    <n v="342000"/>
  </r>
  <r>
    <x v="245"/>
    <x v="3"/>
    <m/>
    <x v="19"/>
    <x v="2"/>
    <x v="22"/>
    <n v="190801"/>
    <n v="190801"/>
    <m/>
    <n v="13"/>
    <n v="190801"/>
    <n v="169000"/>
  </r>
  <r>
    <x v="245"/>
    <x v="3"/>
    <m/>
    <x v="19"/>
    <x v="2"/>
    <x v="23"/>
    <n v="190801"/>
    <n v="190801"/>
    <m/>
    <n v="2"/>
    <n v="190801"/>
    <n v="48000"/>
  </r>
  <r>
    <x v="245"/>
    <x v="3"/>
    <m/>
    <x v="0"/>
    <x v="3"/>
    <x v="15"/>
    <n v="190801"/>
    <n v="190801"/>
    <m/>
    <n v="1"/>
    <n v="190801"/>
    <n v="0"/>
  </r>
  <r>
    <x v="245"/>
    <x v="3"/>
    <m/>
    <x v="0"/>
    <x v="10"/>
    <x v="54"/>
    <n v="190801"/>
    <n v="190801"/>
    <m/>
    <n v="8"/>
    <n v="190801"/>
    <n v="264000"/>
  </r>
  <r>
    <x v="245"/>
    <x v="3"/>
    <m/>
    <x v="0"/>
    <x v="10"/>
    <x v="57"/>
    <n v="190801"/>
    <n v="190801"/>
    <m/>
    <n v="7"/>
    <n v="190801"/>
    <n v="371000"/>
  </r>
  <r>
    <x v="334"/>
    <x v="4"/>
    <m/>
    <x v="0"/>
    <x v="1"/>
    <x v="15"/>
    <n v="190801"/>
    <n v="190801"/>
    <m/>
    <n v="4"/>
    <n v="190801"/>
    <n v="80000"/>
  </r>
  <r>
    <x v="334"/>
    <x v="4"/>
    <m/>
    <x v="0"/>
    <x v="1"/>
    <x v="16"/>
    <n v="190801"/>
    <n v="190801"/>
    <m/>
    <n v="11"/>
    <n v="190801"/>
    <n v="385000"/>
  </r>
  <r>
    <x v="334"/>
    <x v="4"/>
    <m/>
    <x v="0"/>
    <x v="12"/>
    <x v="75"/>
    <n v="190801"/>
    <n v="190801"/>
    <m/>
    <n v="1"/>
    <n v="190801"/>
    <n v="24602"/>
  </r>
  <r>
    <x v="334"/>
    <x v="4"/>
    <m/>
    <x v="5"/>
    <x v="12"/>
    <x v="84"/>
    <n v="190801"/>
    <n v="190801"/>
    <m/>
    <n v="10"/>
    <n v="190801"/>
    <n v="321340"/>
  </r>
  <r>
    <x v="334"/>
    <x v="4"/>
    <m/>
    <x v="5"/>
    <x v="11"/>
    <x v="84"/>
    <n v="190801"/>
    <n v="190801"/>
    <m/>
    <n v="2"/>
    <n v="190801"/>
    <n v="64416"/>
  </r>
  <r>
    <x v="334"/>
    <x v="4"/>
    <m/>
    <x v="0"/>
    <x v="7"/>
    <x v="15"/>
    <n v="190801"/>
    <n v="190801"/>
    <m/>
    <n v="8"/>
    <n v="190801"/>
    <n v="160000"/>
  </r>
  <r>
    <x v="334"/>
    <x v="4"/>
    <m/>
    <x v="0"/>
    <x v="3"/>
    <x v="15"/>
    <n v="190801"/>
    <n v="190801"/>
    <m/>
    <n v="2"/>
    <n v="190801"/>
    <n v="0"/>
  </r>
  <r>
    <x v="334"/>
    <x v="4"/>
    <m/>
    <x v="18"/>
    <x v="3"/>
    <x v="19"/>
    <n v="190801"/>
    <n v="190801"/>
    <m/>
    <n v="11"/>
    <n v="190801"/>
    <n v="0"/>
  </r>
  <r>
    <x v="334"/>
    <x v="4"/>
    <m/>
    <x v="5"/>
    <x v="3"/>
    <x v="28"/>
    <n v="190801"/>
    <n v="190801"/>
    <m/>
    <n v="49"/>
    <n v="190801"/>
    <n v="0"/>
  </r>
  <r>
    <x v="334"/>
    <x v="4"/>
    <m/>
    <x v="4"/>
    <x v="3"/>
    <x v="27"/>
    <n v="190801"/>
    <n v="190801"/>
    <m/>
    <n v="1"/>
    <n v="190801"/>
    <n v="0"/>
  </r>
  <r>
    <x v="334"/>
    <x v="4"/>
    <m/>
    <x v="6"/>
    <x v="3"/>
    <x v="37"/>
    <n v="190801"/>
    <n v="190801"/>
    <m/>
    <n v="1"/>
    <n v="190801"/>
    <n v="0"/>
  </r>
  <r>
    <x v="334"/>
    <x v="4"/>
    <m/>
    <x v="19"/>
    <x v="3"/>
    <x v="22"/>
    <n v="190801"/>
    <n v="190801"/>
    <m/>
    <n v="1"/>
    <n v="190801"/>
    <n v="0"/>
  </r>
  <r>
    <x v="334"/>
    <x v="4"/>
    <m/>
    <x v="1"/>
    <x v="3"/>
    <x v="18"/>
    <n v="190801"/>
    <n v="190801"/>
    <m/>
    <n v="1"/>
    <n v="190801"/>
    <n v="0"/>
  </r>
  <r>
    <x v="334"/>
    <x v="4"/>
    <m/>
    <x v="6"/>
    <x v="2"/>
    <x v="37"/>
    <n v="190801"/>
    <n v="190801"/>
    <m/>
    <n v="4"/>
    <n v="190801"/>
    <n v="80000"/>
  </r>
  <r>
    <x v="334"/>
    <x v="4"/>
    <m/>
    <x v="6"/>
    <x v="2"/>
    <x v="42"/>
    <n v="190801"/>
    <n v="190801"/>
    <m/>
    <n v="22"/>
    <n v="190801"/>
    <n v="770000"/>
  </r>
  <r>
    <x v="334"/>
    <x v="4"/>
    <m/>
    <x v="29"/>
    <x v="2"/>
    <x v="40"/>
    <n v="190801"/>
    <n v="190801"/>
    <m/>
    <n v="6"/>
    <n v="190801"/>
    <n v="210000"/>
  </r>
  <r>
    <x v="334"/>
    <x v="4"/>
    <m/>
    <x v="29"/>
    <x v="2"/>
    <x v="41"/>
    <n v="190801"/>
    <n v="190801"/>
    <m/>
    <n v="5"/>
    <n v="190801"/>
    <n v="225000"/>
  </r>
  <r>
    <x v="334"/>
    <x v="4"/>
    <m/>
    <x v="25"/>
    <x v="2"/>
    <x v="34"/>
    <n v="190801"/>
    <n v="190801"/>
    <m/>
    <n v="6"/>
    <n v="190801"/>
    <n v="594000"/>
  </r>
  <r>
    <x v="334"/>
    <x v="4"/>
    <m/>
    <x v="1"/>
    <x v="2"/>
    <x v="18"/>
    <n v="190801"/>
    <n v="190801"/>
    <m/>
    <n v="2"/>
    <n v="190801"/>
    <n v="40000"/>
  </r>
  <r>
    <x v="334"/>
    <x v="4"/>
    <m/>
    <x v="4"/>
    <x v="2"/>
    <x v="26"/>
    <n v="190801"/>
    <n v="190801"/>
    <m/>
    <n v="17"/>
    <n v="190801"/>
    <n v="68000"/>
  </r>
  <r>
    <x v="334"/>
    <x v="4"/>
    <m/>
    <x v="4"/>
    <x v="2"/>
    <x v="27"/>
    <n v="190801"/>
    <n v="190801"/>
    <m/>
    <n v="6"/>
    <n v="190801"/>
    <n v="120000"/>
  </r>
  <r>
    <x v="334"/>
    <x v="4"/>
    <m/>
    <x v="0"/>
    <x v="2"/>
    <x v="15"/>
    <n v="190801"/>
    <n v="190801"/>
    <m/>
    <n v="89"/>
    <n v="190801"/>
    <n v="1780000"/>
  </r>
  <r>
    <x v="334"/>
    <x v="4"/>
    <m/>
    <x v="0"/>
    <x v="2"/>
    <x v="16"/>
    <n v="190801"/>
    <n v="190801"/>
    <m/>
    <n v="83"/>
    <n v="190801"/>
    <n v="2905000"/>
  </r>
  <r>
    <x v="334"/>
    <x v="4"/>
    <m/>
    <x v="0"/>
    <x v="2"/>
    <x v="17"/>
    <n v="190801"/>
    <n v="190801"/>
    <m/>
    <n v="105"/>
    <n v="190801"/>
    <n v="3465000"/>
  </r>
  <r>
    <x v="334"/>
    <x v="4"/>
    <m/>
    <x v="0"/>
    <x v="2"/>
    <x v="19"/>
    <n v="190801"/>
    <n v="190801"/>
    <m/>
    <n v="98"/>
    <n v="190801"/>
    <n v="294000"/>
  </r>
  <r>
    <x v="334"/>
    <x v="4"/>
    <m/>
    <x v="5"/>
    <x v="2"/>
    <x v="28"/>
    <n v="190801"/>
    <n v="190801"/>
    <m/>
    <n v="30"/>
    <n v="190801"/>
    <n v="840000"/>
  </r>
  <r>
    <x v="334"/>
    <x v="4"/>
    <m/>
    <x v="5"/>
    <x v="2"/>
    <x v="69"/>
    <n v="190801"/>
    <n v="190801"/>
    <m/>
    <n v="6"/>
    <n v="190801"/>
    <n v="288000"/>
  </r>
  <r>
    <x v="334"/>
    <x v="4"/>
    <m/>
    <x v="22"/>
    <x v="2"/>
    <x v="29"/>
    <n v="190801"/>
    <n v="190801"/>
    <m/>
    <n v="13"/>
    <n v="190801"/>
    <n v="494000"/>
  </r>
  <r>
    <x v="334"/>
    <x v="4"/>
    <m/>
    <x v="19"/>
    <x v="2"/>
    <x v="22"/>
    <n v="190801"/>
    <n v="190801"/>
    <m/>
    <n v="12"/>
    <n v="190801"/>
    <n v="156000"/>
  </r>
  <r>
    <x v="334"/>
    <x v="4"/>
    <m/>
    <x v="19"/>
    <x v="2"/>
    <x v="23"/>
    <n v="190801"/>
    <n v="190801"/>
    <m/>
    <n v="1"/>
    <n v="190801"/>
    <n v="24000"/>
  </r>
  <r>
    <x v="334"/>
    <x v="4"/>
    <m/>
    <x v="0"/>
    <x v="10"/>
    <x v="54"/>
    <n v="190801"/>
    <n v="190801"/>
    <m/>
    <n v="20"/>
    <n v="190801"/>
    <n v="660000"/>
  </r>
  <r>
    <x v="334"/>
    <x v="4"/>
    <m/>
    <x v="5"/>
    <x v="10"/>
    <x v="56"/>
    <n v="190801"/>
    <n v="190801"/>
    <m/>
    <n v="4"/>
    <n v="190801"/>
    <n v="156000"/>
  </r>
  <r>
    <x v="334"/>
    <x v="4"/>
    <m/>
    <x v="0"/>
    <x v="10"/>
    <x v="57"/>
    <n v="190801"/>
    <n v="190801"/>
    <m/>
    <n v="13"/>
    <n v="190801"/>
    <n v="689000"/>
  </r>
  <r>
    <x v="334"/>
    <x v="4"/>
    <m/>
    <x v="1"/>
    <x v="9"/>
    <x v="18"/>
    <n v="190801"/>
    <n v="190801"/>
    <m/>
    <n v="1"/>
    <n v="190801"/>
    <n v="20000"/>
  </r>
  <r>
    <x v="335"/>
    <x v="1"/>
    <m/>
    <x v="0"/>
    <x v="1"/>
    <x v="15"/>
    <n v="190801"/>
    <n v="190801"/>
    <m/>
    <n v="2"/>
    <n v="190801"/>
    <n v="40000"/>
  </r>
  <r>
    <x v="335"/>
    <x v="1"/>
    <m/>
    <x v="0"/>
    <x v="1"/>
    <x v="16"/>
    <n v="190801"/>
    <n v="190801"/>
    <m/>
    <n v="8"/>
    <n v="190801"/>
    <n v="280000"/>
  </r>
  <r>
    <x v="335"/>
    <x v="1"/>
    <m/>
    <x v="0"/>
    <x v="17"/>
    <x v="81"/>
    <n v="190801"/>
    <n v="190801"/>
    <m/>
    <n v="1"/>
    <n v="190801"/>
    <n v="21978"/>
  </r>
  <r>
    <x v="335"/>
    <x v="1"/>
    <m/>
    <x v="0"/>
    <x v="17"/>
    <x v="86"/>
    <n v="190801"/>
    <n v="190801"/>
    <m/>
    <n v="1"/>
    <n v="190801"/>
    <n v="5698"/>
  </r>
  <r>
    <x v="335"/>
    <x v="1"/>
    <m/>
    <x v="0"/>
    <x v="7"/>
    <x v="15"/>
    <n v="190801"/>
    <n v="190801"/>
    <m/>
    <n v="1"/>
    <n v="190801"/>
    <n v="20000"/>
  </r>
  <r>
    <x v="335"/>
    <x v="1"/>
    <m/>
    <x v="0"/>
    <x v="3"/>
    <x v="15"/>
    <n v="190801"/>
    <n v="190801"/>
    <m/>
    <n v="2"/>
    <n v="190801"/>
    <n v="0"/>
  </r>
  <r>
    <x v="335"/>
    <x v="1"/>
    <m/>
    <x v="18"/>
    <x v="3"/>
    <x v="19"/>
    <n v="190801"/>
    <n v="190801"/>
    <m/>
    <n v="1"/>
    <n v="190801"/>
    <n v="0"/>
  </r>
  <r>
    <x v="335"/>
    <x v="1"/>
    <m/>
    <x v="5"/>
    <x v="3"/>
    <x v="28"/>
    <n v="190801"/>
    <n v="190801"/>
    <m/>
    <n v="12"/>
    <n v="190801"/>
    <n v="0"/>
  </r>
  <r>
    <x v="335"/>
    <x v="1"/>
    <m/>
    <x v="4"/>
    <x v="3"/>
    <x v="27"/>
    <n v="190801"/>
    <n v="190801"/>
    <m/>
    <n v="1"/>
    <n v="190801"/>
    <n v="0"/>
  </r>
  <r>
    <x v="335"/>
    <x v="1"/>
    <m/>
    <x v="6"/>
    <x v="3"/>
    <x v="37"/>
    <n v="190801"/>
    <n v="190801"/>
    <m/>
    <n v="1"/>
    <n v="190801"/>
    <n v="0"/>
  </r>
  <r>
    <x v="335"/>
    <x v="1"/>
    <m/>
    <x v="19"/>
    <x v="3"/>
    <x v="22"/>
    <n v="190801"/>
    <n v="190801"/>
    <m/>
    <n v="1"/>
    <n v="190801"/>
    <n v="0"/>
  </r>
  <r>
    <x v="335"/>
    <x v="1"/>
    <m/>
    <x v="1"/>
    <x v="3"/>
    <x v="18"/>
    <n v="190801"/>
    <n v="190801"/>
    <m/>
    <n v="1"/>
    <n v="190801"/>
    <n v="0"/>
  </r>
  <r>
    <x v="335"/>
    <x v="1"/>
    <m/>
    <x v="6"/>
    <x v="2"/>
    <x v="37"/>
    <n v="190801"/>
    <n v="190801"/>
    <m/>
    <n v="2"/>
    <n v="190801"/>
    <n v="40000"/>
  </r>
  <r>
    <x v="335"/>
    <x v="1"/>
    <m/>
    <x v="6"/>
    <x v="2"/>
    <x v="42"/>
    <n v="190801"/>
    <n v="190801"/>
    <m/>
    <n v="2"/>
    <n v="190801"/>
    <n v="70000"/>
  </r>
  <r>
    <x v="335"/>
    <x v="1"/>
    <m/>
    <x v="29"/>
    <x v="2"/>
    <x v="40"/>
    <n v="190801"/>
    <n v="190801"/>
    <m/>
    <n v="5"/>
    <n v="190801"/>
    <n v="175000"/>
  </r>
  <r>
    <x v="335"/>
    <x v="1"/>
    <m/>
    <x v="29"/>
    <x v="2"/>
    <x v="41"/>
    <n v="190801"/>
    <n v="190801"/>
    <m/>
    <n v="5"/>
    <n v="190801"/>
    <n v="225000"/>
  </r>
  <r>
    <x v="335"/>
    <x v="1"/>
    <m/>
    <x v="25"/>
    <x v="2"/>
    <x v="34"/>
    <n v="190801"/>
    <n v="190801"/>
    <m/>
    <n v="3"/>
    <n v="190801"/>
    <n v="297000"/>
  </r>
  <r>
    <x v="335"/>
    <x v="1"/>
    <m/>
    <x v="1"/>
    <x v="2"/>
    <x v="18"/>
    <n v="190801"/>
    <n v="190801"/>
    <m/>
    <n v="5"/>
    <n v="190801"/>
    <n v="100000"/>
  </r>
  <r>
    <x v="335"/>
    <x v="1"/>
    <m/>
    <x v="4"/>
    <x v="2"/>
    <x v="26"/>
    <n v="190801"/>
    <n v="190801"/>
    <m/>
    <n v="5"/>
    <n v="190801"/>
    <n v="20000"/>
  </r>
  <r>
    <x v="335"/>
    <x v="1"/>
    <m/>
    <x v="4"/>
    <x v="2"/>
    <x v="27"/>
    <n v="190801"/>
    <n v="190801"/>
    <m/>
    <n v="5"/>
    <n v="190801"/>
    <n v="100000"/>
  </r>
  <r>
    <x v="335"/>
    <x v="1"/>
    <m/>
    <x v="0"/>
    <x v="2"/>
    <x v="15"/>
    <n v="190801"/>
    <n v="190801"/>
    <m/>
    <n v="69"/>
    <n v="190801"/>
    <n v="1380000"/>
  </r>
  <r>
    <x v="335"/>
    <x v="1"/>
    <m/>
    <x v="0"/>
    <x v="2"/>
    <x v="16"/>
    <n v="190801"/>
    <n v="190801"/>
    <m/>
    <n v="77"/>
    <n v="190801"/>
    <n v="2695000"/>
  </r>
  <r>
    <x v="335"/>
    <x v="1"/>
    <m/>
    <x v="0"/>
    <x v="2"/>
    <x v="17"/>
    <n v="190801"/>
    <n v="190801"/>
    <m/>
    <n v="67"/>
    <n v="190801"/>
    <n v="2211000"/>
  </r>
  <r>
    <x v="335"/>
    <x v="1"/>
    <m/>
    <x v="0"/>
    <x v="2"/>
    <x v="19"/>
    <n v="190801"/>
    <n v="190801"/>
    <m/>
    <n v="100"/>
    <n v="190801"/>
    <n v="300000"/>
  </r>
  <r>
    <x v="335"/>
    <x v="1"/>
    <m/>
    <x v="5"/>
    <x v="2"/>
    <x v="28"/>
    <n v="190801"/>
    <n v="190801"/>
    <m/>
    <n v="22"/>
    <n v="190801"/>
    <n v="616000"/>
  </r>
  <r>
    <x v="335"/>
    <x v="1"/>
    <m/>
    <x v="5"/>
    <x v="2"/>
    <x v="69"/>
    <n v="190801"/>
    <n v="190801"/>
    <m/>
    <n v="3"/>
    <n v="190801"/>
    <n v="144000"/>
  </r>
  <r>
    <x v="335"/>
    <x v="1"/>
    <m/>
    <x v="22"/>
    <x v="2"/>
    <x v="29"/>
    <n v="190801"/>
    <n v="190801"/>
    <m/>
    <n v="6"/>
    <n v="190801"/>
    <n v="228000"/>
  </r>
  <r>
    <x v="335"/>
    <x v="1"/>
    <m/>
    <x v="19"/>
    <x v="2"/>
    <x v="22"/>
    <n v="190801"/>
    <n v="190801"/>
    <m/>
    <n v="8"/>
    <n v="190801"/>
    <n v="104000"/>
  </r>
  <r>
    <x v="335"/>
    <x v="1"/>
    <m/>
    <x v="19"/>
    <x v="2"/>
    <x v="23"/>
    <n v="190801"/>
    <n v="190801"/>
    <m/>
    <n v="3"/>
    <n v="190801"/>
    <n v="72000"/>
  </r>
  <r>
    <x v="335"/>
    <x v="1"/>
    <m/>
    <x v="0"/>
    <x v="10"/>
    <x v="54"/>
    <n v="190801"/>
    <n v="190801"/>
    <m/>
    <n v="34"/>
    <n v="190801"/>
    <n v="1122000"/>
  </r>
  <r>
    <x v="335"/>
    <x v="1"/>
    <m/>
    <x v="22"/>
    <x v="10"/>
    <x v="55"/>
    <n v="190801"/>
    <n v="190801"/>
    <m/>
    <n v="1"/>
    <n v="190801"/>
    <n v="44000"/>
  </r>
  <r>
    <x v="335"/>
    <x v="1"/>
    <m/>
    <x v="5"/>
    <x v="10"/>
    <x v="56"/>
    <n v="190801"/>
    <n v="190801"/>
    <m/>
    <n v="9"/>
    <n v="190801"/>
    <n v="351000"/>
  </r>
  <r>
    <x v="335"/>
    <x v="1"/>
    <m/>
    <x v="0"/>
    <x v="10"/>
    <x v="57"/>
    <n v="190801"/>
    <n v="190801"/>
    <m/>
    <n v="26"/>
    <n v="190801"/>
    <n v="1378000"/>
  </r>
  <r>
    <x v="335"/>
    <x v="1"/>
    <m/>
    <x v="1"/>
    <x v="9"/>
    <x v="18"/>
    <n v="190801"/>
    <n v="190801"/>
    <m/>
    <n v="1"/>
    <n v="190801"/>
    <n v="20000"/>
  </r>
  <r>
    <x v="338"/>
    <x v="0"/>
    <m/>
    <x v="0"/>
    <x v="1"/>
    <x v="15"/>
    <n v="190801"/>
    <n v="190801"/>
    <m/>
    <n v="2"/>
    <n v="190801"/>
    <n v="40000"/>
  </r>
  <r>
    <x v="338"/>
    <x v="0"/>
    <m/>
    <x v="0"/>
    <x v="1"/>
    <x v="16"/>
    <n v="190801"/>
    <n v="190801"/>
    <m/>
    <n v="7"/>
    <n v="190801"/>
    <n v="245000"/>
  </r>
  <r>
    <x v="338"/>
    <x v="0"/>
    <m/>
    <x v="0"/>
    <x v="18"/>
    <x v="85"/>
    <n v="190801"/>
    <n v="190801"/>
    <m/>
    <n v="1"/>
    <n v="190801"/>
    <n v="35455"/>
  </r>
  <r>
    <x v="338"/>
    <x v="0"/>
    <m/>
    <x v="0"/>
    <x v="12"/>
    <x v="75"/>
    <n v="190801"/>
    <n v="190801"/>
    <m/>
    <n v="1"/>
    <n v="190801"/>
    <n v="24602"/>
  </r>
  <r>
    <x v="338"/>
    <x v="0"/>
    <m/>
    <x v="5"/>
    <x v="12"/>
    <x v="84"/>
    <n v="190801"/>
    <n v="190801"/>
    <m/>
    <n v="1"/>
    <n v="190801"/>
    <n v="32134"/>
  </r>
  <r>
    <x v="338"/>
    <x v="0"/>
    <m/>
    <x v="0"/>
    <x v="3"/>
    <x v="15"/>
    <n v="190801"/>
    <n v="190801"/>
    <m/>
    <n v="1"/>
    <n v="190801"/>
    <n v="0"/>
  </r>
  <r>
    <x v="338"/>
    <x v="0"/>
    <m/>
    <x v="18"/>
    <x v="3"/>
    <x v="19"/>
    <n v="190801"/>
    <n v="190801"/>
    <m/>
    <n v="1"/>
    <n v="190801"/>
    <n v="0"/>
  </r>
  <r>
    <x v="338"/>
    <x v="0"/>
    <m/>
    <x v="5"/>
    <x v="3"/>
    <x v="28"/>
    <n v="190801"/>
    <n v="190801"/>
    <m/>
    <n v="1"/>
    <n v="190801"/>
    <n v="0"/>
  </r>
  <r>
    <x v="338"/>
    <x v="0"/>
    <m/>
    <x v="4"/>
    <x v="3"/>
    <x v="26"/>
    <n v="190801"/>
    <n v="190801"/>
    <m/>
    <n v="10"/>
    <n v="190801"/>
    <n v="0"/>
  </r>
  <r>
    <x v="338"/>
    <x v="0"/>
    <m/>
    <x v="19"/>
    <x v="3"/>
    <x v="22"/>
    <n v="190801"/>
    <n v="190801"/>
    <m/>
    <n v="1"/>
    <n v="190801"/>
    <n v="0"/>
  </r>
  <r>
    <x v="338"/>
    <x v="0"/>
    <m/>
    <x v="1"/>
    <x v="3"/>
    <x v="18"/>
    <n v="190801"/>
    <n v="190801"/>
    <m/>
    <n v="1"/>
    <n v="190801"/>
    <n v="0"/>
  </r>
  <r>
    <x v="338"/>
    <x v="0"/>
    <m/>
    <x v="6"/>
    <x v="2"/>
    <x v="37"/>
    <n v="190801"/>
    <n v="190801"/>
    <m/>
    <n v="1"/>
    <n v="190801"/>
    <n v="20000"/>
  </r>
  <r>
    <x v="338"/>
    <x v="0"/>
    <m/>
    <x v="29"/>
    <x v="2"/>
    <x v="40"/>
    <n v="190801"/>
    <n v="190801"/>
    <m/>
    <n v="1"/>
    <n v="190801"/>
    <n v="35000"/>
  </r>
  <r>
    <x v="338"/>
    <x v="0"/>
    <m/>
    <x v="29"/>
    <x v="2"/>
    <x v="41"/>
    <n v="190801"/>
    <n v="190801"/>
    <m/>
    <n v="4"/>
    <n v="190801"/>
    <n v="180000"/>
  </r>
  <r>
    <x v="338"/>
    <x v="0"/>
    <m/>
    <x v="25"/>
    <x v="2"/>
    <x v="34"/>
    <n v="190801"/>
    <n v="190801"/>
    <m/>
    <n v="1"/>
    <n v="190801"/>
    <n v="99000"/>
  </r>
  <r>
    <x v="338"/>
    <x v="0"/>
    <m/>
    <x v="1"/>
    <x v="2"/>
    <x v="18"/>
    <n v="190801"/>
    <n v="190801"/>
    <m/>
    <n v="1"/>
    <n v="190801"/>
    <n v="20000"/>
  </r>
  <r>
    <x v="338"/>
    <x v="0"/>
    <m/>
    <x v="4"/>
    <x v="2"/>
    <x v="26"/>
    <n v="190801"/>
    <n v="190801"/>
    <m/>
    <n v="3"/>
    <n v="190801"/>
    <n v="12000"/>
  </r>
  <r>
    <x v="338"/>
    <x v="0"/>
    <m/>
    <x v="0"/>
    <x v="2"/>
    <x v="15"/>
    <n v="190801"/>
    <n v="190801"/>
    <m/>
    <n v="69"/>
    <n v="190801"/>
    <n v="1380000"/>
  </r>
  <r>
    <x v="338"/>
    <x v="0"/>
    <m/>
    <x v="0"/>
    <x v="2"/>
    <x v="16"/>
    <n v="190801"/>
    <n v="190801"/>
    <m/>
    <n v="57"/>
    <n v="190801"/>
    <n v="1995000"/>
  </r>
  <r>
    <x v="338"/>
    <x v="0"/>
    <m/>
    <x v="0"/>
    <x v="2"/>
    <x v="17"/>
    <n v="190801"/>
    <n v="190801"/>
    <m/>
    <n v="66"/>
    <n v="190801"/>
    <n v="2178000"/>
  </r>
  <r>
    <x v="338"/>
    <x v="0"/>
    <m/>
    <x v="0"/>
    <x v="2"/>
    <x v="19"/>
    <n v="190801"/>
    <n v="190801"/>
    <m/>
    <n v="78"/>
    <n v="190801"/>
    <n v="234000"/>
  </r>
  <r>
    <x v="338"/>
    <x v="0"/>
    <m/>
    <x v="5"/>
    <x v="2"/>
    <x v="28"/>
    <n v="190801"/>
    <n v="190801"/>
    <m/>
    <n v="22"/>
    <n v="190801"/>
    <n v="616000"/>
  </r>
  <r>
    <x v="338"/>
    <x v="0"/>
    <m/>
    <x v="5"/>
    <x v="2"/>
    <x v="69"/>
    <n v="190801"/>
    <n v="190801"/>
    <m/>
    <n v="2"/>
    <n v="190801"/>
    <n v="96000"/>
  </r>
  <r>
    <x v="338"/>
    <x v="0"/>
    <m/>
    <x v="22"/>
    <x v="2"/>
    <x v="29"/>
    <n v="190801"/>
    <n v="190801"/>
    <m/>
    <n v="7"/>
    <n v="190801"/>
    <n v="266000"/>
  </r>
  <r>
    <x v="338"/>
    <x v="0"/>
    <m/>
    <x v="19"/>
    <x v="2"/>
    <x v="22"/>
    <n v="190801"/>
    <n v="190801"/>
    <m/>
    <n v="8"/>
    <n v="190801"/>
    <n v="104000"/>
  </r>
  <r>
    <x v="338"/>
    <x v="0"/>
    <m/>
    <x v="19"/>
    <x v="2"/>
    <x v="23"/>
    <n v="190801"/>
    <n v="190801"/>
    <m/>
    <n v="1"/>
    <n v="190801"/>
    <n v="24000"/>
  </r>
  <r>
    <x v="338"/>
    <x v="0"/>
    <m/>
    <x v="0"/>
    <x v="10"/>
    <x v="54"/>
    <n v="190801"/>
    <n v="190801"/>
    <m/>
    <n v="29"/>
    <n v="190801"/>
    <n v="957000"/>
  </r>
  <r>
    <x v="338"/>
    <x v="0"/>
    <m/>
    <x v="22"/>
    <x v="10"/>
    <x v="55"/>
    <n v="190801"/>
    <n v="190801"/>
    <m/>
    <n v="1"/>
    <n v="190801"/>
    <n v="44000"/>
  </r>
  <r>
    <x v="338"/>
    <x v="0"/>
    <m/>
    <x v="5"/>
    <x v="10"/>
    <x v="56"/>
    <n v="190801"/>
    <n v="190801"/>
    <m/>
    <n v="8"/>
    <n v="190801"/>
    <n v="312000"/>
  </r>
  <r>
    <x v="338"/>
    <x v="0"/>
    <m/>
    <x v="0"/>
    <x v="10"/>
    <x v="57"/>
    <n v="190801"/>
    <n v="190801"/>
    <m/>
    <n v="24"/>
    <n v="190801"/>
    <n v="1272000"/>
  </r>
  <r>
    <x v="339"/>
    <x v="2"/>
    <m/>
    <x v="0"/>
    <x v="1"/>
    <x v="15"/>
    <n v="190801"/>
    <n v="190801"/>
    <m/>
    <n v="2"/>
    <n v="190801"/>
    <n v="40000"/>
  </r>
  <r>
    <x v="339"/>
    <x v="2"/>
    <m/>
    <x v="0"/>
    <x v="1"/>
    <x v="16"/>
    <n v="190801"/>
    <n v="190801"/>
    <m/>
    <n v="5"/>
    <n v="190801"/>
    <n v="175000"/>
  </r>
  <r>
    <x v="339"/>
    <x v="2"/>
    <m/>
    <x v="0"/>
    <x v="7"/>
    <x v="15"/>
    <n v="190801"/>
    <n v="190801"/>
    <m/>
    <n v="5"/>
    <n v="190801"/>
    <n v="100000"/>
  </r>
  <r>
    <x v="339"/>
    <x v="2"/>
    <m/>
    <x v="0"/>
    <x v="3"/>
    <x v="15"/>
    <n v="190801"/>
    <n v="190801"/>
    <m/>
    <n v="3"/>
    <n v="190801"/>
    <n v="0"/>
  </r>
  <r>
    <x v="339"/>
    <x v="2"/>
    <m/>
    <x v="0"/>
    <x v="3"/>
    <x v="17"/>
    <n v="190801"/>
    <n v="190801"/>
    <m/>
    <n v="2"/>
    <n v="190801"/>
    <n v="0"/>
  </r>
  <r>
    <x v="339"/>
    <x v="2"/>
    <m/>
    <x v="18"/>
    <x v="3"/>
    <x v="19"/>
    <n v="190801"/>
    <n v="190801"/>
    <m/>
    <n v="3"/>
    <n v="190801"/>
    <n v="0"/>
  </r>
  <r>
    <x v="339"/>
    <x v="2"/>
    <m/>
    <x v="5"/>
    <x v="3"/>
    <x v="28"/>
    <n v="190801"/>
    <n v="190801"/>
    <m/>
    <n v="4"/>
    <n v="190801"/>
    <n v="0"/>
  </r>
  <r>
    <x v="339"/>
    <x v="2"/>
    <m/>
    <x v="4"/>
    <x v="3"/>
    <x v="27"/>
    <n v="190801"/>
    <n v="190801"/>
    <m/>
    <n v="3"/>
    <n v="190801"/>
    <n v="0"/>
  </r>
  <r>
    <x v="339"/>
    <x v="2"/>
    <m/>
    <x v="6"/>
    <x v="3"/>
    <x v="37"/>
    <n v="190801"/>
    <n v="190801"/>
    <m/>
    <n v="3"/>
    <n v="190801"/>
    <n v="0"/>
  </r>
  <r>
    <x v="339"/>
    <x v="2"/>
    <m/>
    <x v="22"/>
    <x v="3"/>
    <x v="29"/>
    <n v="190801"/>
    <n v="190801"/>
    <m/>
    <n v="2"/>
    <n v="190801"/>
    <n v="0"/>
  </r>
  <r>
    <x v="339"/>
    <x v="2"/>
    <m/>
    <x v="19"/>
    <x v="3"/>
    <x v="22"/>
    <n v="190801"/>
    <n v="190801"/>
    <m/>
    <n v="3"/>
    <n v="190801"/>
    <n v="0"/>
  </r>
  <r>
    <x v="339"/>
    <x v="2"/>
    <m/>
    <x v="1"/>
    <x v="3"/>
    <x v="18"/>
    <n v="190801"/>
    <n v="190801"/>
    <m/>
    <n v="3"/>
    <n v="190801"/>
    <n v="0"/>
  </r>
  <r>
    <x v="339"/>
    <x v="2"/>
    <m/>
    <x v="6"/>
    <x v="2"/>
    <x v="37"/>
    <n v="190801"/>
    <n v="190801"/>
    <m/>
    <n v="4"/>
    <n v="190801"/>
    <n v="80000"/>
  </r>
  <r>
    <x v="339"/>
    <x v="2"/>
    <m/>
    <x v="6"/>
    <x v="2"/>
    <x v="42"/>
    <n v="190801"/>
    <n v="190801"/>
    <m/>
    <n v="1"/>
    <n v="190801"/>
    <n v="35000"/>
  </r>
  <r>
    <x v="339"/>
    <x v="2"/>
    <m/>
    <x v="29"/>
    <x v="2"/>
    <x v="40"/>
    <n v="190801"/>
    <n v="190801"/>
    <m/>
    <n v="2"/>
    <n v="190801"/>
    <n v="70000"/>
  </r>
  <r>
    <x v="339"/>
    <x v="2"/>
    <m/>
    <x v="29"/>
    <x v="2"/>
    <x v="41"/>
    <n v="190801"/>
    <n v="190801"/>
    <m/>
    <n v="2"/>
    <n v="190801"/>
    <n v="90000"/>
  </r>
  <r>
    <x v="339"/>
    <x v="2"/>
    <m/>
    <x v="1"/>
    <x v="2"/>
    <x v="18"/>
    <n v="190801"/>
    <n v="190801"/>
    <m/>
    <n v="1"/>
    <n v="190801"/>
    <n v="20000"/>
  </r>
  <r>
    <x v="339"/>
    <x v="2"/>
    <m/>
    <x v="4"/>
    <x v="2"/>
    <x v="26"/>
    <n v="190801"/>
    <n v="190801"/>
    <m/>
    <n v="3"/>
    <n v="190801"/>
    <n v="12000"/>
  </r>
  <r>
    <x v="339"/>
    <x v="2"/>
    <m/>
    <x v="4"/>
    <x v="2"/>
    <x v="27"/>
    <n v="190801"/>
    <n v="190801"/>
    <m/>
    <n v="7"/>
    <n v="190801"/>
    <n v="140000"/>
  </r>
  <r>
    <x v="339"/>
    <x v="2"/>
    <m/>
    <x v="0"/>
    <x v="2"/>
    <x v="15"/>
    <n v="190801"/>
    <n v="190801"/>
    <m/>
    <n v="53"/>
    <n v="190801"/>
    <n v="1060000"/>
  </r>
  <r>
    <x v="339"/>
    <x v="2"/>
    <m/>
    <x v="0"/>
    <x v="2"/>
    <x v="16"/>
    <n v="190801"/>
    <n v="190801"/>
    <m/>
    <n v="51"/>
    <n v="190801"/>
    <n v="1785000"/>
  </r>
  <r>
    <x v="339"/>
    <x v="2"/>
    <m/>
    <x v="0"/>
    <x v="2"/>
    <x v="17"/>
    <n v="190801"/>
    <n v="190801"/>
    <m/>
    <n v="53"/>
    <n v="190801"/>
    <n v="1749000"/>
  </r>
  <r>
    <x v="339"/>
    <x v="2"/>
    <m/>
    <x v="0"/>
    <x v="2"/>
    <x v="19"/>
    <n v="190801"/>
    <n v="190801"/>
    <m/>
    <n v="52"/>
    <n v="190801"/>
    <n v="156000"/>
  </r>
  <r>
    <x v="339"/>
    <x v="2"/>
    <m/>
    <x v="5"/>
    <x v="2"/>
    <x v="28"/>
    <n v="190801"/>
    <n v="190801"/>
    <m/>
    <n v="20"/>
    <n v="190801"/>
    <n v="560000"/>
  </r>
  <r>
    <x v="339"/>
    <x v="2"/>
    <m/>
    <x v="5"/>
    <x v="2"/>
    <x v="69"/>
    <n v="190801"/>
    <n v="190801"/>
    <m/>
    <n v="7"/>
    <n v="190801"/>
    <n v="336000"/>
  </r>
  <r>
    <x v="339"/>
    <x v="2"/>
    <m/>
    <x v="22"/>
    <x v="2"/>
    <x v="29"/>
    <n v="190801"/>
    <n v="190801"/>
    <m/>
    <n v="6"/>
    <n v="190801"/>
    <n v="228000"/>
  </r>
  <r>
    <x v="339"/>
    <x v="2"/>
    <m/>
    <x v="19"/>
    <x v="2"/>
    <x v="22"/>
    <n v="190801"/>
    <n v="190801"/>
    <m/>
    <n v="8"/>
    <n v="190801"/>
    <n v="104000"/>
  </r>
  <r>
    <x v="339"/>
    <x v="2"/>
    <m/>
    <x v="19"/>
    <x v="2"/>
    <x v="23"/>
    <n v="190801"/>
    <n v="190801"/>
    <m/>
    <n v="1"/>
    <n v="190801"/>
    <n v="24000"/>
  </r>
  <r>
    <x v="339"/>
    <x v="2"/>
    <m/>
    <x v="19"/>
    <x v="2"/>
    <x v="24"/>
    <n v="190801"/>
    <n v="190801"/>
    <m/>
    <n v="7"/>
    <n v="190801"/>
    <n v="231000"/>
  </r>
  <r>
    <x v="339"/>
    <x v="2"/>
    <m/>
    <x v="0"/>
    <x v="10"/>
    <x v="54"/>
    <n v="190801"/>
    <n v="190801"/>
    <m/>
    <n v="26"/>
    <n v="190801"/>
    <n v="858000"/>
  </r>
  <r>
    <x v="339"/>
    <x v="2"/>
    <m/>
    <x v="22"/>
    <x v="10"/>
    <x v="55"/>
    <n v="190801"/>
    <n v="190801"/>
    <m/>
    <n v="3"/>
    <n v="190801"/>
    <n v="132000"/>
  </r>
  <r>
    <x v="339"/>
    <x v="2"/>
    <m/>
    <x v="5"/>
    <x v="10"/>
    <x v="56"/>
    <n v="190801"/>
    <n v="190801"/>
    <m/>
    <n v="2"/>
    <n v="190801"/>
    <n v="78000"/>
  </r>
  <r>
    <x v="339"/>
    <x v="2"/>
    <m/>
    <x v="0"/>
    <x v="10"/>
    <x v="57"/>
    <n v="190801"/>
    <n v="190801"/>
    <m/>
    <n v="38"/>
    <n v="190801"/>
    <n v="2014000"/>
  </r>
  <r>
    <x v="340"/>
    <x v="5"/>
    <m/>
    <x v="0"/>
    <x v="7"/>
    <x v="15"/>
    <n v="190801"/>
    <n v="190801"/>
    <m/>
    <n v="9"/>
    <n v="190801"/>
    <n v="180000"/>
  </r>
  <r>
    <x v="340"/>
    <x v="5"/>
    <m/>
    <x v="6"/>
    <x v="2"/>
    <x v="37"/>
    <n v="190801"/>
    <n v="190801"/>
    <m/>
    <n v="2"/>
    <n v="190801"/>
    <n v="40000"/>
  </r>
  <r>
    <x v="340"/>
    <x v="5"/>
    <m/>
    <x v="6"/>
    <x v="2"/>
    <x v="42"/>
    <n v="190801"/>
    <n v="190801"/>
    <m/>
    <n v="1"/>
    <n v="190801"/>
    <n v="35000"/>
  </r>
  <r>
    <x v="340"/>
    <x v="5"/>
    <m/>
    <x v="29"/>
    <x v="2"/>
    <x v="40"/>
    <n v="190801"/>
    <n v="190801"/>
    <m/>
    <n v="1"/>
    <n v="190801"/>
    <n v="35000"/>
  </r>
  <r>
    <x v="340"/>
    <x v="5"/>
    <m/>
    <x v="29"/>
    <x v="2"/>
    <x v="41"/>
    <n v="190801"/>
    <n v="190801"/>
    <m/>
    <n v="2"/>
    <n v="190801"/>
    <n v="90000"/>
  </r>
  <r>
    <x v="340"/>
    <x v="5"/>
    <m/>
    <x v="25"/>
    <x v="2"/>
    <x v="34"/>
    <n v="190801"/>
    <n v="190801"/>
    <m/>
    <n v="1"/>
    <n v="190801"/>
    <n v="99000"/>
  </r>
  <r>
    <x v="340"/>
    <x v="5"/>
    <m/>
    <x v="1"/>
    <x v="2"/>
    <x v="21"/>
    <n v="190801"/>
    <n v="190801"/>
    <m/>
    <n v="1"/>
    <n v="190801"/>
    <n v="35000"/>
  </r>
  <r>
    <x v="340"/>
    <x v="5"/>
    <m/>
    <x v="4"/>
    <x v="2"/>
    <x v="26"/>
    <n v="190801"/>
    <n v="190801"/>
    <m/>
    <n v="2"/>
    <n v="190801"/>
    <n v="8000"/>
  </r>
  <r>
    <x v="340"/>
    <x v="5"/>
    <m/>
    <x v="4"/>
    <x v="2"/>
    <x v="27"/>
    <n v="190801"/>
    <n v="190801"/>
    <m/>
    <n v="1"/>
    <n v="190801"/>
    <n v="20000"/>
  </r>
  <r>
    <x v="340"/>
    <x v="5"/>
    <m/>
    <x v="0"/>
    <x v="2"/>
    <x v="15"/>
    <n v="190801"/>
    <n v="190801"/>
    <m/>
    <n v="57"/>
    <n v="190801"/>
    <n v="1140000"/>
  </r>
  <r>
    <x v="340"/>
    <x v="5"/>
    <m/>
    <x v="0"/>
    <x v="2"/>
    <x v="16"/>
    <n v="190801"/>
    <n v="190801"/>
    <m/>
    <n v="36"/>
    <n v="190801"/>
    <n v="1260000"/>
  </r>
  <r>
    <x v="340"/>
    <x v="5"/>
    <m/>
    <x v="0"/>
    <x v="2"/>
    <x v="17"/>
    <n v="190801"/>
    <n v="190801"/>
    <m/>
    <n v="58"/>
    <n v="190801"/>
    <n v="1914000"/>
  </r>
  <r>
    <x v="340"/>
    <x v="5"/>
    <m/>
    <x v="0"/>
    <x v="2"/>
    <x v="19"/>
    <n v="190801"/>
    <n v="190801"/>
    <m/>
    <n v="51"/>
    <n v="190801"/>
    <n v="153000"/>
  </r>
  <r>
    <x v="340"/>
    <x v="5"/>
    <m/>
    <x v="5"/>
    <x v="2"/>
    <x v="28"/>
    <n v="190801"/>
    <n v="190801"/>
    <m/>
    <n v="14"/>
    <n v="190801"/>
    <n v="392000"/>
  </r>
  <r>
    <x v="340"/>
    <x v="5"/>
    <m/>
    <x v="5"/>
    <x v="2"/>
    <x v="69"/>
    <n v="190801"/>
    <n v="190801"/>
    <m/>
    <n v="3"/>
    <n v="190801"/>
    <n v="144000"/>
  </r>
  <r>
    <x v="340"/>
    <x v="5"/>
    <m/>
    <x v="22"/>
    <x v="2"/>
    <x v="29"/>
    <n v="190801"/>
    <n v="190801"/>
    <m/>
    <n v="8"/>
    <n v="190801"/>
    <n v="304000"/>
  </r>
  <r>
    <x v="340"/>
    <x v="5"/>
    <m/>
    <x v="19"/>
    <x v="2"/>
    <x v="22"/>
    <n v="190801"/>
    <n v="190801"/>
    <m/>
    <n v="3"/>
    <n v="190801"/>
    <n v="39000"/>
  </r>
  <r>
    <x v="341"/>
    <x v="6"/>
    <m/>
    <x v="0"/>
    <x v="7"/>
    <x v="15"/>
    <n v="190801"/>
    <n v="190801"/>
    <m/>
    <n v="4"/>
    <n v="190801"/>
    <n v="80000"/>
  </r>
  <r>
    <x v="341"/>
    <x v="6"/>
    <m/>
    <x v="6"/>
    <x v="2"/>
    <x v="37"/>
    <n v="190801"/>
    <n v="190801"/>
    <m/>
    <n v="4"/>
    <n v="190801"/>
    <n v="80000"/>
  </r>
  <r>
    <x v="341"/>
    <x v="6"/>
    <m/>
    <x v="6"/>
    <x v="2"/>
    <x v="42"/>
    <n v="190801"/>
    <n v="190801"/>
    <m/>
    <n v="2"/>
    <n v="190801"/>
    <n v="70000"/>
  </r>
  <r>
    <x v="341"/>
    <x v="6"/>
    <m/>
    <x v="29"/>
    <x v="2"/>
    <x v="40"/>
    <n v="190801"/>
    <n v="190801"/>
    <m/>
    <n v="3"/>
    <n v="190801"/>
    <n v="105000"/>
  </r>
  <r>
    <x v="341"/>
    <x v="6"/>
    <m/>
    <x v="29"/>
    <x v="2"/>
    <x v="41"/>
    <n v="190801"/>
    <n v="190801"/>
    <m/>
    <n v="2"/>
    <n v="190801"/>
    <n v="90000"/>
  </r>
  <r>
    <x v="341"/>
    <x v="6"/>
    <m/>
    <x v="25"/>
    <x v="2"/>
    <x v="34"/>
    <n v="190801"/>
    <n v="190801"/>
    <m/>
    <n v="4"/>
    <n v="190801"/>
    <n v="396000"/>
  </r>
  <r>
    <x v="341"/>
    <x v="6"/>
    <m/>
    <x v="1"/>
    <x v="2"/>
    <x v="18"/>
    <n v="190801"/>
    <n v="190801"/>
    <m/>
    <n v="5"/>
    <n v="190801"/>
    <n v="100000"/>
  </r>
  <r>
    <x v="341"/>
    <x v="6"/>
    <m/>
    <x v="4"/>
    <x v="2"/>
    <x v="26"/>
    <n v="190801"/>
    <n v="190801"/>
    <m/>
    <n v="3"/>
    <n v="190801"/>
    <n v="12000"/>
  </r>
  <r>
    <x v="341"/>
    <x v="6"/>
    <m/>
    <x v="4"/>
    <x v="2"/>
    <x v="27"/>
    <n v="190801"/>
    <n v="190801"/>
    <m/>
    <n v="4"/>
    <n v="190801"/>
    <n v="80000"/>
  </r>
  <r>
    <x v="341"/>
    <x v="6"/>
    <m/>
    <x v="0"/>
    <x v="2"/>
    <x v="15"/>
    <n v="190801"/>
    <n v="190801"/>
    <m/>
    <n v="61"/>
    <n v="190801"/>
    <n v="1220000"/>
  </r>
  <r>
    <x v="341"/>
    <x v="6"/>
    <m/>
    <x v="0"/>
    <x v="2"/>
    <x v="16"/>
    <n v="190801"/>
    <n v="190801"/>
    <m/>
    <n v="48"/>
    <n v="190801"/>
    <n v="1680000"/>
  </r>
  <r>
    <x v="341"/>
    <x v="6"/>
    <m/>
    <x v="0"/>
    <x v="2"/>
    <x v="17"/>
    <n v="190801"/>
    <n v="190801"/>
    <m/>
    <n v="70"/>
    <n v="190801"/>
    <n v="2310000"/>
  </r>
  <r>
    <x v="341"/>
    <x v="6"/>
    <m/>
    <x v="0"/>
    <x v="2"/>
    <x v="19"/>
    <n v="190801"/>
    <n v="190801"/>
    <m/>
    <n v="64"/>
    <n v="190801"/>
    <n v="192000"/>
  </r>
  <r>
    <x v="341"/>
    <x v="6"/>
    <m/>
    <x v="5"/>
    <x v="2"/>
    <x v="28"/>
    <n v="190801"/>
    <n v="190801"/>
    <m/>
    <n v="21"/>
    <n v="190801"/>
    <n v="588000"/>
  </r>
  <r>
    <x v="341"/>
    <x v="6"/>
    <m/>
    <x v="5"/>
    <x v="2"/>
    <x v="69"/>
    <n v="190801"/>
    <n v="190801"/>
    <m/>
    <n v="6"/>
    <n v="190801"/>
    <n v="288000"/>
  </r>
  <r>
    <x v="341"/>
    <x v="6"/>
    <m/>
    <x v="22"/>
    <x v="2"/>
    <x v="29"/>
    <n v="190801"/>
    <n v="190801"/>
    <m/>
    <n v="7"/>
    <n v="190801"/>
    <n v="266000"/>
  </r>
  <r>
    <x v="341"/>
    <x v="6"/>
    <m/>
    <x v="19"/>
    <x v="2"/>
    <x v="22"/>
    <n v="190801"/>
    <n v="190801"/>
    <m/>
    <n v="14"/>
    <n v="190801"/>
    <n v="182000"/>
  </r>
  <r>
    <x v="341"/>
    <x v="6"/>
    <m/>
    <x v="19"/>
    <x v="2"/>
    <x v="23"/>
    <n v="190801"/>
    <n v="190801"/>
    <m/>
    <n v="1"/>
    <n v="190801"/>
    <n v="24000"/>
  </r>
  <r>
    <x v="341"/>
    <x v="6"/>
    <m/>
    <x v="0"/>
    <x v="6"/>
    <x v="15"/>
    <n v="190801"/>
    <n v="190801"/>
    <m/>
    <n v="903"/>
    <n v="190801"/>
    <n v="8188404"/>
  </r>
  <r>
    <x v="341"/>
    <x v="6"/>
    <m/>
    <x v="4"/>
    <x v="6"/>
    <x v="26"/>
    <n v="190801"/>
    <n v="190801"/>
    <m/>
    <n v="368"/>
    <n v="190801"/>
    <n v="394864"/>
  </r>
  <r>
    <x v="341"/>
    <x v="6"/>
    <m/>
    <x v="26"/>
    <x v="6"/>
    <x v="35"/>
    <n v="190801"/>
    <n v="190801"/>
    <m/>
    <n v="53"/>
    <n v="190801"/>
    <n v="907943"/>
  </r>
  <r>
    <x v="341"/>
    <x v="6"/>
    <m/>
    <x v="22"/>
    <x v="6"/>
    <x v="29"/>
    <n v="190801"/>
    <n v="190801"/>
    <m/>
    <n v="28"/>
    <n v="190801"/>
    <n v="551348"/>
  </r>
  <r>
    <x v="341"/>
    <x v="6"/>
    <m/>
    <x v="24"/>
    <x v="6"/>
    <x v="31"/>
    <n v="190801"/>
    <n v="190801"/>
    <m/>
    <n v="130"/>
    <n v="190801"/>
    <n v="1934010"/>
  </r>
  <r>
    <x v="341"/>
    <x v="6"/>
    <m/>
    <x v="23"/>
    <x v="6"/>
    <x v="30"/>
    <n v="190801"/>
    <n v="190801"/>
    <m/>
    <n v="12"/>
    <n v="190801"/>
    <n v="83568"/>
  </r>
  <r>
    <x v="341"/>
    <x v="6"/>
    <m/>
    <x v="19"/>
    <x v="6"/>
    <x v="22"/>
    <n v="190801"/>
    <n v="190801"/>
    <m/>
    <n v="50"/>
    <n v="190801"/>
    <n v="339550"/>
  </r>
  <r>
    <x v="341"/>
    <x v="6"/>
    <m/>
    <x v="27"/>
    <x v="6"/>
    <x v="36"/>
    <n v="190801"/>
    <n v="190801"/>
    <m/>
    <n v="3"/>
    <n v="190801"/>
    <n v="28371"/>
  </r>
  <r>
    <x v="341"/>
    <x v="6"/>
    <m/>
    <x v="6"/>
    <x v="6"/>
    <x v="37"/>
    <n v="190801"/>
    <n v="190801"/>
    <m/>
    <n v="24"/>
    <n v="190801"/>
    <n v="240000"/>
  </r>
  <r>
    <x v="341"/>
    <x v="6"/>
    <m/>
    <x v="28"/>
    <x v="6"/>
    <x v="39"/>
    <n v="190801"/>
    <n v="190801"/>
    <m/>
    <n v="8"/>
    <n v="190801"/>
    <n v="126544"/>
  </r>
  <r>
    <x v="341"/>
    <x v="6"/>
    <m/>
    <x v="4"/>
    <x v="6"/>
    <x v="66"/>
    <n v="190801"/>
    <n v="190801"/>
    <m/>
    <n v="237"/>
    <n v="190801"/>
    <n v="1326489"/>
  </r>
  <r>
    <x v="341"/>
    <x v="6"/>
    <m/>
    <x v="1"/>
    <x v="6"/>
    <x v="18"/>
    <n v="190801"/>
    <n v="190801"/>
    <m/>
    <n v="1"/>
    <n v="190801"/>
    <n v="9205"/>
  </r>
  <r>
    <x v="342"/>
    <x v="3"/>
    <m/>
    <x v="0"/>
    <x v="7"/>
    <x v="15"/>
    <n v="190801"/>
    <n v="190801"/>
    <m/>
    <n v="16"/>
    <n v="190801"/>
    <n v="320000"/>
  </r>
  <r>
    <x v="342"/>
    <x v="3"/>
    <m/>
    <x v="5"/>
    <x v="3"/>
    <x v="28"/>
    <n v="190801"/>
    <n v="190801"/>
    <m/>
    <n v="8"/>
    <n v="190801"/>
    <n v="0"/>
  </r>
  <r>
    <x v="342"/>
    <x v="3"/>
    <m/>
    <x v="6"/>
    <x v="2"/>
    <x v="37"/>
    <n v="190801"/>
    <n v="190801"/>
    <m/>
    <n v="1"/>
    <n v="190801"/>
    <n v="20000"/>
  </r>
  <r>
    <x v="342"/>
    <x v="3"/>
    <m/>
    <x v="6"/>
    <x v="2"/>
    <x v="42"/>
    <n v="190801"/>
    <n v="190801"/>
    <m/>
    <n v="1"/>
    <n v="190801"/>
    <n v="35000"/>
  </r>
  <r>
    <x v="342"/>
    <x v="3"/>
    <m/>
    <x v="29"/>
    <x v="2"/>
    <x v="40"/>
    <n v="190801"/>
    <n v="190801"/>
    <m/>
    <n v="2"/>
    <n v="190801"/>
    <n v="70000"/>
  </r>
  <r>
    <x v="342"/>
    <x v="3"/>
    <m/>
    <x v="29"/>
    <x v="2"/>
    <x v="41"/>
    <n v="190801"/>
    <n v="190801"/>
    <m/>
    <n v="1"/>
    <n v="190801"/>
    <n v="45000"/>
  </r>
  <r>
    <x v="342"/>
    <x v="3"/>
    <m/>
    <x v="25"/>
    <x v="2"/>
    <x v="34"/>
    <n v="190801"/>
    <n v="190801"/>
    <m/>
    <n v="7"/>
    <n v="190801"/>
    <n v="693000"/>
  </r>
  <r>
    <x v="342"/>
    <x v="3"/>
    <m/>
    <x v="1"/>
    <x v="2"/>
    <x v="18"/>
    <n v="190801"/>
    <n v="190801"/>
    <m/>
    <n v="4"/>
    <n v="190801"/>
    <n v="80000"/>
  </r>
  <r>
    <x v="342"/>
    <x v="3"/>
    <m/>
    <x v="1"/>
    <x v="2"/>
    <x v="21"/>
    <n v="190801"/>
    <n v="190801"/>
    <m/>
    <n v="1"/>
    <n v="190801"/>
    <n v="35000"/>
  </r>
  <r>
    <x v="342"/>
    <x v="3"/>
    <m/>
    <x v="4"/>
    <x v="2"/>
    <x v="26"/>
    <n v="190801"/>
    <n v="190801"/>
    <m/>
    <n v="3"/>
    <n v="190801"/>
    <n v="12000"/>
  </r>
  <r>
    <x v="342"/>
    <x v="3"/>
    <m/>
    <x v="4"/>
    <x v="2"/>
    <x v="27"/>
    <n v="190801"/>
    <n v="190801"/>
    <m/>
    <n v="7"/>
    <n v="190801"/>
    <n v="140000"/>
  </r>
  <r>
    <x v="342"/>
    <x v="3"/>
    <m/>
    <x v="0"/>
    <x v="2"/>
    <x v="15"/>
    <n v="190801"/>
    <n v="190801"/>
    <m/>
    <n v="79"/>
    <n v="190801"/>
    <n v="1580000"/>
  </r>
  <r>
    <x v="342"/>
    <x v="3"/>
    <m/>
    <x v="0"/>
    <x v="2"/>
    <x v="16"/>
    <n v="190801"/>
    <n v="190801"/>
    <m/>
    <n v="64"/>
    <n v="190801"/>
    <n v="2240000"/>
  </r>
  <r>
    <x v="342"/>
    <x v="3"/>
    <m/>
    <x v="0"/>
    <x v="2"/>
    <x v="17"/>
    <n v="190801"/>
    <n v="190801"/>
    <m/>
    <n v="77"/>
    <n v="190801"/>
    <n v="2541000"/>
  </r>
  <r>
    <x v="342"/>
    <x v="3"/>
    <m/>
    <x v="0"/>
    <x v="2"/>
    <x v="19"/>
    <n v="190801"/>
    <n v="190801"/>
    <m/>
    <n v="51"/>
    <n v="190801"/>
    <n v="153000"/>
  </r>
  <r>
    <x v="342"/>
    <x v="3"/>
    <m/>
    <x v="5"/>
    <x v="2"/>
    <x v="28"/>
    <n v="190801"/>
    <n v="190801"/>
    <m/>
    <n v="26"/>
    <n v="190801"/>
    <n v="728000"/>
  </r>
  <r>
    <x v="342"/>
    <x v="3"/>
    <m/>
    <x v="5"/>
    <x v="2"/>
    <x v="69"/>
    <n v="190801"/>
    <n v="190801"/>
    <m/>
    <n v="4"/>
    <n v="190801"/>
    <n v="192000"/>
  </r>
  <r>
    <x v="342"/>
    <x v="3"/>
    <m/>
    <x v="22"/>
    <x v="2"/>
    <x v="29"/>
    <n v="190801"/>
    <n v="190801"/>
    <m/>
    <n v="9"/>
    <n v="190801"/>
    <n v="342000"/>
  </r>
  <r>
    <x v="342"/>
    <x v="3"/>
    <m/>
    <x v="19"/>
    <x v="2"/>
    <x v="22"/>
    <n v="190801"/>
    <n v="190801"/>
    <m/>
    <n v="6"/>
    <n v="190801"/>
    <n v="78000"/>
  </r>
  <r>
    <x v="342"/>
    <x v="3"/>
    <m/>
    <x v="19"/>
    <x v="2"/>
    <x v="23"/>
    <n v="190801"/>
    <n v="190801"/>
    <m/>
    <n v="1"/>
    <n v="190801"/>
    <n v="24000"/>
  </r>
  <r>
    <x v="342"/>
    <x v="3"/>
    <m/>
    <x v="19"/>
    <x v="2"/>
    <x v="24"/>
    <n v="190801"/>
    <n v="190801"/>
    <m/>
    <n v="1"/>
    <n v="190801"/>
    <n v="33000"/>
  </r>
  <r>
    <x v="341"/>
    <x v="6"/>
    <m/>
    <x v="0"/>
    <x v="19"/>
    <x v="15"/>
    <n v="190801"/>
    <n v="190801"/>
    <m/>
    <n v="1"/>
    <n v="190801"/>
    <n v="25000"/>
  </r>
  <r>
    <x v="334"/>
    <x v="4"/>
    <m/>
    <x v="0"/>
    <x v="19"/>
    <x v="15"/>
    <n v="190801"/>
    <n v="190801"/>
    <m/>
    <n v="1"/>
    <n v="190801"/>
    <n v="25000"/>
  </r>
  <r>
    <x v="330"/>
    <x v="0"/>
    <m/>
    <x v="6"/>
    <x v="19"/>
    <x v="37"/>
    <n v="190801"/>
    <n v="190801"/>
    <m/>
    <n v="1"/>
    <n v="190801"/>
    <n v="25000"/>
  </r>
  <r>
    <x v="331"/>
    <x v="2"/>
    <m/>
    <x v="0"/>
    <x v="19"/>
    <x v="15"/>
    <n v="190801"/>
    <n v="190801"/>
    <m/>
    <n v="1"/>
    <n v="190801"/>
    <n v="25000"/>
  </r>
  <r>
    <x v="343"/>
    <x v="4"/>
    <m/>
    <x v="0"/>
    <x v="1"/>
    <x v="15"/>
    <n v="200801"/>
    <n v="200801"/>
    <m/>
    <n v="5"/>
    <n v="200801"/>
    <n v="100000"/>
  </r>
  <r>
    <x v="343"/>
    <x v="4"/>
    <m/>
    <x v="0"/>
    <x v="1"/>
    <x v="16"/>
    <n v="200801"/>
    <n v="200801"/>
    <m/>
    <n v="18"/>
    <n v="200801"/>
    <n v="630000"/>
  </r>
  <r>
    <x v="343"/>
    <x v="4"/>
    <m/>
    <x v="0"/>
    <x v="7"/>
    <x v="15"/>
    <n v="200801"/>
    <n v="200801"/>
    <m/>
    <n v="4"/>
    <n v="200801"/>
    <n v="80000"/>
  </r>
  <r>
    <x v="343"/>
    <x v="4"/>
    <m/>
    <x v="0"/>
    <x v="3"/>
    <x v="15"/>
    <n v="200801"/>
    <n v="200801"/>
    <m/>
    <n v="1"/>
    <n v="200801"/>
    <n v="0"/>
  </r>
  <r>
    <x v="343"/>
    <x v="4"/>
    <m/>
    <x v="6"/>
    <x v="2"/>
    <x v="37"/>
    <n v="200801"/>
    <n v="200801"/>
    <m/>
    <n v="3"/>
    <n v="200801"/>
    <n v="60000"/>
  </r>
  <r>
    <x v="343"/>
    <x v="4"/>
    <m/>
    <x v="6"/>
    <x v="2"/>
    <x v="42"/>
    <n v="200801"/>
    <n v="200801"/>
    <m/>
    <n v="2"/>
    <n v="200801"/>
    <n v="70000"/>
  </r>
  <r>
    <x v="343"/>
    <x v="4"/>
    <m/>
    <x v="29"/>
    <x v="2"/>
    <x v="40"/>
    <n v="200801"/>
    <n v="200801"/>
    <m/>
    <n v="2"/>
    <n v="200801"/>
    <n v="70000"/>
  </r>
  <r>
    <x v="343"/>
    <x v="4"/>
    <m/>
    <x v="25"/>
    <x v="2"/>
    <x v="34"/>
    <n v="200801"/>
    <n v="200801"/>
    <m/>
    <n v="3"/>
    <n v="200801"/>
    <n v="297000"/>
  </r>
  <r>
    <x v="343"/>
    <x v="4"/>
    <m/>
    <x v="1"/>
    <x v="2"/>
    <x v="18"/>
    <n v="200801"/>
    <n v="200801"/>
    <m/>
    <n v="3"/>
    <n v="200801"/>
    <n v="60000"/>
  </r>
  <r>
    <x v="343"/>
    <x v="4"/>
    <m/>
    <x v="1"/>
    <x v="2"/>
    <x v="21"/>
    <n v="200801"/>
    <n v="200801"/>
    <m/>
    <n v="1"/>
    <n v="200801"/>
    <n v="35000"/>
  </r>
  <r>
    <x v="343"/>
    <x v="4"/>
    <m/>
    <x v="4"/>
    <x v="2"/>
    <x v="26"/>
    <n v="200801"/>
    <n v="200801"/>
    <m/>
    <n v="4"/>
    <n v="200801"/>
    <n v="16000"/>
  </r>
  <r>
    <x v="343"/>
    <x v="4"/>
    <m/>
    <x v="4"/>
    <x v="2"/>
    <x v="27"/>
    <n v="200801"/>
    <n v="200801"/>
    <m/>
    <n v="4"/>
    <n v="200801"/>
    <n v="80000"/>
  </r>
  <r>
    <x v="343"/>
    <x v="4"/>
    <m/>
    <x v="0"/>
    <x v="2"/>
    <x v="15"/>
    <n v="200801"/>
    <n v="200801"/>
    <m/>
    <n v="73"/>
    <n v="200801"/>
    <n v="1460000"/>
  </r>
  <r>
    <x v="343"/>
    <x v="4"/>
    <m/>
    <x v="0"/>
    <x v="2"/>
    <x v="16"/>
    <n v="200801"/>
    <n v="200801"/>
    <m/>
    <n v="57"/>
    <n v="200801"/>
    <n v="1995000"/>
  </r>
  <r>
    <x v="343"/>
    <x v="4"/>
    <m/>
    <x v="0"/>
    <x v="2"/>
    <x v="17"/>
    <n v="200801"/>
    <n v="200801"/>
    <m/>
    <n v="63"/>
    <n v="200801"/>
    <n v="2079000"/>
  </r>
  <r>
    <x v="343"/>
    <x v="4"/>
    <m/>
    <x v="0"/>
    <x v="2"/>
    <x v="19"/>
    <n v="200801"/>
    <n v="200801"/>
    <m/>
    <n v="79"/>
    <n v="200801"/>
    <n v="237000"/>
  </r>
  <r>
    <x v="343"/>
    <x v="4"/>
    <m/>
    <x v="5"/>
    <x v="2"/>
    <x v="28"/>
    <n v="200801"/>
    <n v="200801"/>
    <m/>
    <n v="26"/>
    <n v="200801"/>
    <n v="728000"/>
  </r>
  <r>
    <x v="343"/>
    <x v="4"/>
    <m/>
    <x v="5"/>
    <x v="2"/>
    <x v="69"/>
    <n v="200801"/>
    <n v="200801"/>
    <m/>
    <n v="10"/>
    <n v="200801"/>
    <n v="480000"/>
  </r>
  <r>
    <x v="343"/>
    <x v="4"/>
    <m/>
    <x v="22"/>
    <x v="2"/>
    <x v="29"/>
    <n v="200801"/>
    <n v="200801"/>
    <m/>
    <n v="7"/>
    <n v="200801"/>
    <n v="266000"/>
  </r>
  <r>
    <x v="343"/>
    <x v="4"/>
    <m/>
    <x v="19"/>
    <x v="2"/>
    <x v="22"/>
    <n v="200801"/>
    <n v="200801"/>
    <m/>
    <n v="5"/>
    <n v="200801"/>
    <n v="65000"/>
  </r>
  <r>
    <x v="343"/>
    <x v="4"/>
    <m/>
    <x v="19"/>
    <x v="2"/>
    <x v="23"/>
    <n v="200801"/>
    <n v="200801"/>
    <m/>
    <n v="1"/>
    <n v="200801"/>
    <n v="24000"/>
  </r>
  <r>
    <x v="343"/>
    <x v="4"/>
    <m/>
    <x v="19"/>
    <x v="2"/>
    <x v="24"/>
    <n v="200801"/>
    <n v="200801"/>
    <m/>
    <n v="1"/>
    <n v="200801"/>
    <n v="33000"/>
  </r>
  <r>
    <x v="343"/>
    <x v="4"/>
    <m/>
    <x v="0"/>
    <x v="10"/>
    <x v="54"/>
    <n v="200801"/>
    <n v="200801"/>
    <m/>
    <n v="61"/>
    <n v="200801"/>
    <n v="2013000"/>
  </r>
  <r>
    <x v="343"/>
    <x v="4"/>
    <m/>
    <x v="22"/>
    <x v="10"/>
    <x v="55"/>
    <n v="200801"/>
    <n v="200801"/>
    <m/>
    <n v="4"/>
    <n v="200801"/>
    <n v="176000"/>
  </r>
  <r>
    <x v="343"/>
    <x v="4"/>
    <m/>
    <x v="1"/>
    <x v="10"/>
    <x v="58"/>
    <n v="200801"/>
    <n v="200801"/>
    <m/>
    <n v="2"/>
    <n v="200801"/>
    <n v="72000"/>
  </r>
  <r>
    <x v="343"/>
    <x v="4"/>
    <m/>
    <x v="0"/>
    <x v="10"/>
    <x v="57"/>
    <n v="200801"/>
    <n v="200801"/>
    <m/>
    <n v="48"/>
    <n v="200801"/>
    <n v="2544000"/>
  </r>
  <r>
    <x v="344"/>
    <x v="1"/>
    <m/>
    <x v="0"/>
    <x v="1"/>
    <x v="15"/>
    <n v="200801"/>
    <n v="200801"/>
    <m/>
    <n v="1"/>
    <n v="200801"/>
    <n v="20000"/>
  </r>
  <r>
    <x v="344"/>
    <x v="1"/>
    <m/>
    <x v="0"/>
    <x v="1"/>
    <x v="16"/>
    <n v="200801"/>
    <n v="200801"/>
    <m/>
    <n v="5"/>
    <n v="200801"/>
    <n v="175000"/>
  </r>
  <r>
    <x v="344"/>
    <x v="1"/>
    <m/>
    <x v="0"/>
    <x v="14"/>
    <x v="75"/>
    <n v="200801"/>
    <n v="200801"/>
    <m/>
    <n v="1"/>
    <n v="200801"/>
    <n v="19914"/>
  </r>
  <r>
    <x v="344"/>
    <x v="1"/>
    <m/>
    <x v="0"/>
    <x v="16"/>
    <x v="81"/>
    <n v="200801"/>
    <n v="200801"/>
    <m/>
    <n v="1"/>
    <n v="200801"/>
    <n v="23073"/>
  </r>
  <r>
    <x v="344"/>
    <x v="1"/>
    <m/>
    <x v="5"/>
    <x v="16"/>
    <x v="82"/>
    <n v="200801"/>
    <n v="200801"/>
    <m/>
    <n v="1"/>
    <n v="200801"/>
    <n v="33086"/>
  </r>
  <r>
    <x v="344"/>
    <x v="1"/>
    <m/>
    <x v="0"/>
    <x v="7"/>
    <x v="15"/>
    <n v="200801"/>
    <n v="200801"/>
    <m/>
    <n v="10"/>
    <n v="200801"/>
    <n v="200000"/>
  </r>
  <r>
    <x v="344"/>
    <x v="1"/>
    <m/>
    <x v="0"/>
    <x v="3"/>
    <x v="15"/>
    <n v="200801"/>
    <n v="200801"/>
    <m/>
    <n v="2"/>
    <n v="200801"/>
    <n v="0"/>
  </r>
  <r>
    <x v="344"/>
    <x v="1"/>
    <m/>
    <x v="5"/>
    <x v="3"/>
    <x v="28"/>
    <n v="200801"/>
    <n v="200801"/>
    <m/>
    <n v="2"/>
    <n v="200801"/>
    <n v="0"/>
  </r>
  <r>
    <x v="344"/>
    <x v="1"/>
    <m/>
    <x v="6"/>
    <x v="2"/>
    <x v="37"/>
    <n v="200801"/>
    <n v="200801"/>
    <m/>
    <n v="3"/>
    <n v="200801"/>
    <n v="60000"/>
  </r>
  <r>
    <x v="344"/>
    <x v="1"/>
    <m/>
    <x v="6"/>
    <x v="2"/>
    <x v="42"/>
    <n v="200801"/>
    <n v="200801"/>
    <m/>
    <n v="3"/>
    <n v="200801"/>
    <n v="105000"/>
  </r>
  <r>
    <x v="344"/>
    <x v="1"/>
    <m/>
    <x v="29"/>
    <x v="2"/>
    <x v="40"/>
    <n v="200801"/>
    <n v="200801"/>
    <m/>
    <n v="1"/>
    <n v="200801"/>
    <n v="35000"/>
  </r>
  <r>
    <x v="344"/>
    <x v="1"/>
    <m/>
    <x v="29"/>
    <x v="2"/>
    <x v="41"/>
    <n v="200801"/>
    <n v="200801"/>
    <m/>
    <n v="2"/>
    <n v="200801"/>
    <n v="90000"/>
  </r>
  <r>
    <x v="344"/>
    <x v="1"/>
    <m/>
    <x v="25"/>
    <x v="2"/>
    <x v="34"/>
    <n v="200801"/>
    <n v="200801"/>
    <m/>
    <n v="5"/>
    <n v="200801"/>
    <n v="495000"/>
  </r>
  <r>
    <x v="344"/>
    <x v="1"/>
    <m/>
    <x v="1"/>
    <x v="2"/>
    <x v="18"/>
    <n v="200801"/>
    <n v="200801"/>
    <m/>
    <n v="6"/>
    <n v="200801"/>
    <n v="120000"/>
  </r>
  <r>
    <x v="344"/>
    <x v="1"/>
    <m/>
    <x v="4"/>
    <x v="2"/>
    <x v="26"/>
    <n v="200801"/>
    <n v="200801"/>
    <m/>
    <n v="4"/>
    <n v="200801"/>
    <n v="16000"/>
  </r>
  <r>
    <x v="344"/>
    <x v="1"/>
    <m/>
    <x v="4"/>
    <x v="2"/>
    <x v="27"/>
    <n v="200801"/>
    <n v="200801"/>
    <m/>
    <n v="2"/>
    <n v="200801"/>
    <n v="40000"/>
  </r>
  <r>
    <x v="344"/>
    <x v="1"/>
    <m/>
    <x v="0"/>
    <x v="2"/>
    <x v="15"/>
    <n v="200801"/>
    <n v="200801"/>
    <m/>
    <n v="81"/>
    <n v="200801"/>
    <n v="1620000"/>
  </r>
  <r>
    <x v="344"/>
    <x v="1"/>
    <m/>
    <x v="0"/>
    <x v="2"/>
    <x v="16"/>
    <n v="200801"/>
    <n v="200801"/>
    <m/>
    <n v="64"/>
    <n v="200801"/>
    <n v="2240000"/>
  </r>
  <r>
    <x v="344"/>
    <x v="1"/>
    <m/>
    <x v="0"/>
    <x v="2"/>
    <x v="17"/>
    <n v="200801"/>
    <n v="200801"/>
    <m/>
    <n v="95"/>
    <n v="200801"/>
    <n v="3135000"/>
  </r>
  <r>
    <x v="344"/>
    <x v="1"/>
    <m/>
    <x v="0"/>
    <x v="2"/>
    <x v="19"/>
    <n v="200801"/>
    <n v="200801"/>
    <m/>
    <n v="52"/>
    <n v="200801"/>
    <n v="156000"/>
  </r>
  <r>
    <x v="344"/>
    <x v="1"/>
    <m/>
    <x v="5"/>
    <x v="2"/>
    <x v="28"/>
    <n v="200801"/>
    <n v="200801"/>
    <m/>
    <n v="39"/>
    <n v="200801"/>
    <n v="1092000"/>
  </r>
  <r>
    <x v="344"/>
    <x v="1"/>
    <m/>
    <x v="5"/>
    <x v="2"/>
    <x v="69"/>
    <n v="200801"/>
    <n v="200801"/>
    <m/>
    <n v="4"/>
    <n v="200801"/>
    <n v="192000"/>
  </r>
  <r>
    <x v="344"/>
    <x v="1"/>
    <m/>
    <x v="22"/>
    <x v="2"/>
    <x v="29"/>
    <n v="200801"/>
    <n v="200801"/>
    <m/>
    <n v="17"/>
    <n v="200801"/>
    <n v="646000"/>
  </r>
  <r>
    <x v="344"/>
    <x v="1"/>
    <m/>
    <x v="19"/>
    <x v="2"/>
    <x v="22"/>
    <n v="200801"/>
    <n v="200801"/>
    <m/>
    <n v="12"/>
    <n v="200801"/>
    <n v="156000"/>
  </r>
  <r>
    <x v="344"/>
    <x v="1"/>
    <m/>
    <x v="19"/>
    <x v="2"/>
    <x v="23"/>
    <n v="200801"/>
    <n v="200801"/>
    <m/>
    <n v="3"/>
    <n v="200801"/>
    <n v="72000"/>
  </r>
  <r>
    <x v="344"/>
    <x v="1"/>
    <m/>
    <x v="0"/>
    <x v="10"/>
    <x v="54"/>
    <n v="200801"/>
    <n v="200801"/>
    <m/>
    <n v="15"/>
    <n v="200801"/>
    <n v="495000"/>
  </r>
  <r>
    <x v="344"/>
    <x v="1"/>
    <m/>
    <x v="22"/>
    <x v="10"/>
    <x v="55"/>
    <n v="200801"/>
    <n v="200801"/>
    <m/>
    <n v="1"/>
    <n v="200801"/>
    <n v="44000"/>
  </r>
  <r>
    <x v="344"/>
    <x v="1"/>
    <m/>
    <x v="0"/>
    <x v="10"/>
    <x v="57"/>
    <n v="200801"/>
    <n v="200801"/>
    <m/>
    <n v="6"/>
    <n v="200801"/>
    <n v="318000"/>
  </r>
  <r>
    <x v="345"/>
    <x v="0"/>
    <m/>
    <x v="0"/>
    <x v="1"/>
    <x v="15"/>
    <n v="200801"/>
    <n v="200801"/>
    <m/>
    <n v="2"/>
    <n v="200801"/>
    <n v="40000"/>
  </r>
  <r>
    <x v="345"/>
    <x v="0"/>
    <m/>
    <x v="0"/>
    <x v="1"/>
    <x v="16"/>
    <n v="200801"/>
    <n v="200801"/>
    <m/>
    <n v="3"/>
    <n v="200801"/>
    <n v="105000"/>
  </r>
  <r>
    <x v="345"/>
    <x v="0"/>
    <m/>
    <x v="0"/>
    <x v="17"/>
    <x v="85"/>
    <n v="200801"/>
    <n v="200801"/>
    <m/>
    <n v="1"/>
    <n v="200801"/>
    <n v="39935"/>
  </r>
  <r>
    <x v="345"/>
    <x v="0"/>
    <m/>
    <x v="0"/>
    <x v="7"/>
    <x v="15"/>
    <n v="200801"/>
    <n v="200801"/>
    <m/>
    <n v="4"/>
    <n v="200801"/>
    <n v="80000"/>
  </r>
  <r>
    <x v="345"/>
    <x v="0"/>
    <m/>
    <x v="6"/>
    <x v="2"/>
    <x v="37"/>
    <n v="200801"/>
    <n v="200801"/>
    <m/>
    <n v="1"/>
    <n v="200801"/>
    <n v="20000"/>
  </r>
  <r>
    <x v="345"/>
    <x v="0"/>
    <m/>
    <x v="6"/>
    <x v="2"/>
    <x v="42"/>
    <n v="200801"/>
    <n v="200801"/>
    <m/>
    <n v="1"/>
    <n v="200801"/>
    <n v="35000"/>
  </r>
  <r>
    <x v="345"/>
    <x v="0"/>
    <m/>
    <x v="29"/>
    <x v="2"/>
    <x v="40"/>
    <n v="200801"/>
    <n v="200801"/>
    <m/>
    <n v="2"/>
    <n v="200801"/>
    <n v="70000"/>
  </r>
  <r>
    <x v="345"/>
    <x v="0"/>
    <m/>
    <x v="29"/>
    <x v="2"/>
    <x v="41"/>
    <n v="200801"/>
    <n v="200801"/>
    <m/>
    <n v="5"/>
    <n v="200801"/>
    <n v="225000"/>
  </r>
  <r>
    <x v="345"/>
    <x v="0"/>
    <m/>
    <x v="25"/>
    <x v="2"/>
    <x v="34"/>
    <n v="200801"/>
    <n v="200801"/>
    <m/>
    <n v="4"/>
    <n v="200801"/>
    <n v="396000"/>
  </r>
  <r>
    <x v="345"/>
    <x v="0"/>
    <m/>
    <x v="1"/>
    <x v="2"/>
    <x v="18"/>
    <n v="200801"/>
    <n v="200801"/>
    <m/>
    <n v="3"/>
    <n v="200801"/>
    <n v="60000"/>
  </r>
  <r>
    <x v="345"/>
    <x v="0"/>
    <m/>
    <x v="1"/>
    <x v="2"/>
    <x v="21"/>
    <n v="200801"/>
    <n v="200801"/>
    <m/>
    <n v="1"/>
    <n v="200801"/>
    <n v="35000"/>
  </r>
  <r>
    <x v="345"/>
    <x v="0"/>
    <m/>
    <x v="4"/>
    <x v="2"/>
    <x v="26"/>
    <n v="200801"/>
    <n v="200801"/>
    <m/>
    <n v="4"/>
    <n v="200801"/>
    <n v="16000"/>
  </r>
  <r>
    <x v="345"/>
    <x v="0"/>
    <m/>
    <x v="4"/>
    <x v="2"/>
    <x v="27"/>
    <n v="200801"/>
    <n v="200801"/>
    <m/>
    <n v="2"/>
    <n v="200801"/>
    <n v="40000"/>
  </r>
  <r>
    <x v="345"/>
    <x v="0"/>
    <m/>
    <x v="0"/>
    <x v="2"/>
    <x v="15"/>
    <n v="200801"/>
    <n v="200801"/>
    <m/>
    <n v="67"/>
    <n v="200801"/>
    <n v="1340000"/>
  </r>
  <r>
    <x v="345"/>
    <x v="0"/>
    <m/>
    <x v="0"/>
    <x v="2"/>
    <x v="16"/>
    <n v="200801"/>
    <n v="200801"/>
    <m/>
    <n v="60"/>
    <n v="200801"/>
    <n v="2100000"/>
  </r>
  <r>
    <x v="345"/>
    <x v="0"/>
    <m/>
    <x v="0"/>
    <x v="2"/>
    <x v="17"/>
    <n v="200801"/>
    <n v="200801"/>
    <m/>
    <n v="69"/>
    <n v="200801"/>
    <n v="2277000"/>
  </r>
  <r>
    <x v="345"/>
    <x v="0"/>
    <m/>
    <x v="0"/>
    <x v="2"/>
    <x v="19"/>
    <n v="200801"/>
    <n v="200801"/>
    <m/>
    <n v="51"/>
    <n v="200801"/>
    <n v="153000"/>
  </r>
  <r>
    <x v="345"/>
    <x v="0"/>
    <m/>
    <x v="5"/>
    <x v="2"/>
    <x v="28"/>
    <n v="200801"/>
    <n v="200801"/>
    <m/>
    <n v="26"/>
    <n v="200801"/>
    <n v="728000"/>
  </r>
  <r>
    <x v="345"/>
    <x v="0"/>
    <m/>
    <x v="5"/>
    <x v="2"/>
    <x v="69"/>
    <n v="200801"/>
    <n v="200801"/>
    <m/>
    <n v="3"/>
    <n v="200801"/>
    <n v="144000"/>
  </r>
  <r>
    <x v="345"/>
    <x v="0"/>
    <m/>
    <x v="22"/>
    <x v="2"/>
    <x v="29"/>
    <n v="200801"/>
    <n v="200801"/>
    <m/>
    <n v="3"/>
    <n v="200801"/>
    <n v="114000"/>
  </r>
  <r>
    <x v="345"/>
    <x v="0"/>
    <m/>
    <x v="19"/>
    <x v="2"/>
    <x v="22"/>
    <n v="200801"/>
    <n v="200801"/>
    <m/>
    <n v="10"/>
    <n v="200801"/>
    <n v="130000"/>
  </r>
  <r>
    <x v="345"/>
    <x v="0"/>
    <m/>
    <x v="19"/>
    <x v="2"/>
    <x v="24"/>
    <n v="200801"/>
    <n v="200801"/>
    <m/>
    <n v="2"/>
    <n v="200801"/>
    <n v="66000"/>
  </r>
  <r>
    <x v="345"/>
    <x v="0"/>
    <m/>
    <x v="0"/>
    <x v="10"/>
    <x v="54"/>
    <n v="200801"/>
    <n v="200801"/>
    <m/>
    <n v="18"/>
    <n v="200801"/>
    <n v="594000"/>
  </r>
  <r>
    <x v="345"/>
    <x v="0"/>
    <m/>
    <x v="0"/>
    <x v="10"/>
    <x v="57"/>
    <n v="200801"/>
    <n v="200801"/>
    <m/>
    <n v="15"/>
    <n v="200801"/>
    <n v="795000"/>
  </r>
  <r>
    <x v="346"/>
    <x v="2"/>
    <m/>
    <x v="0"/>
    <x v="19"/>
    <x v="15"/>
    <n v="200801"/>
    <n v="200801"/>
    <m/>
    <n v="1"/>
    <n v="200801"/>
    <n v="25000"/>
  </r>
  <r>
    <x v="346"/>
    <x v="2"/>
    <m/>
    <x v="0"/>
    <x v="1"/>
    <x v="15"/>
    <n v="200801"/>
    <n v="200801"/>
    <m/>
    <n v="1"/>
    <n v="200801"/>
    <n v="20000"/>
  </r>
  <r>
    <x v="346"/>
    <x v="2"/>
    <m/>
    <x v="0"/>
    <x v="1"/>
    <x v="16"/>
    <n v="200801"/>
    <n v="200801"/>
    <m/>
    <n v="6"/>
    <n v="200801"/>
    <n v="210000"/>
  </r>
  <r>
    <x v="346"/>
    <x v="2"/>
    <m/>
    <x v="0"/>
    <x v="7"/>
    <x v="15"/>
    <n v="200801"/>
    <n v="200801"/>
    <m/>
    <n v="2"/>
    <n v="200801"/>
    <n v="40000"/>
  </r>
  <r>
    <x v="346"/>
    <x v="2"/>
    <m/>
    <x v="6"/>
    <x v="2"/>
    <x v="37"/>
    <n v="200801"/>
    <n v="200801"/>
    <m/>
    <n v="1"/>
    <n v="200801"/>
    <n v="20000"/>
  </r>
  <r>
    <x v="346"/>
    <x v="2"/>
    <m/>
    <x v="6"/>
    <x v="2"/>
    <x v="42"/>
    <n v="200801"/>
    <n v="200801"/>
    <m/>
    <n v="1"/>
    <n v="200801"/>
    <n v="35000"/>
  </r>
  <r>
    <x v="346"/>
    <x v="2"/>
    <m/>
    <x v="29"/>
    <x v="2"/>
    <x v="40"/>
    <n v="200801"/>
    <n v="200801"/>
    <m/>
    <n v="1"/>
    <n v="200801"/>
    <n v="35000"/>
  </r>
  <r>
    <x v="346"/>
    <x v="2"/>
    <m/>
    <x v="1"/>
    <x v="2"/>
    <x v="18"/>
    <n v="200801"/>
    <n v="200801"/>
    <m/>
    <n v="3"/>
    <n v="200801"/>
    <n v="60000"/>
  </r>
  <r>
    <x v="346"/>
    <x v="2"/>
    <m/>
    <x v="4"/>
    <x v="2"/>
    <x v="26"/>
    <n v="200801"/>
    <n v="200801"/>
    <m/>
    <n v="4"/>
    <n v="200801"/>
    <n v="16000"/>
  </r>
  <r>
    <x v="346"/>
    <x v="2"/>
    <m/>
    <x v="4"/>
    <x v="2"/>
    <x v="27"/>
    <n v="200801"/>
    <n v="200801"/>
    <m/>
    <n v="3"/>
    <n v="200801"/>
    <n v="60000"/>
  </r>
  <r>
    <x v="346"/>
    <x v="2"/>
    <m/>
    <x v="0"/>
    <x v="2"/>
    <x v="15"/>
    <n v="200801"/>
    <n v="200801"/>
    <m/>
    <n v="69"/>
    <n v="200801"/>
    <n v="1380000"/>
  </r>
  <r>
    <x v="346"/>
    <x v="2"/>
    <m/>
    <x v="0"/>
    <x v="2"/>
    <x v="16"/>
    <n v="200801"/>
    <n v="200801"/>
    <m/>
    <n v="35"/>
    <n v="200801"/>
    <n v="1225000"/>
  </r>
  <r>
    <x v="346"/>
    <x v="2"/>
    <m/>
    <x v="0"/>
    <x v="2"/>
    <x v="17"/>
    <n v="200801"/>
    <n v="200801"/>
    <m/>
    <n v="56"/>
    <n v="200801"/>
    <n v="1848000"/>
  </r>
  <r>
    <x v="346"/>
    <x v="2"/>
    <m/>
    <x v="0"/>
    <x v="2"/>
    <x v="19"/>
    <n v="200801"/>
    <n v="200801"/>
    <m/>
    <n v="53"/>
    <n v="200801"/>
    <n v="159000"/>
  </r>
  <r>
    <x v="346"/>
    <x v="2"/>
    <m/>
    <x v="5"/>
    <x v="2"/>
    <x v="28"/>
    <n v="200801"/>
    <n v="200801"/>
    <m/>
    <n v="16"/>
    <n v="200801"/>
    <n v="448000"/>
  </r>
  <r>
    <x v="346"/>
    <x v="2"/>
    <m/>
    <x v="5"/>
    <x v="2"/>
    <x v="69"/>
    <n v="200801"/>
    <n v="200801"/>
    <m/>
    <n v="3"/>
    <n v="200801"/>
    <n v="144000"/>
  </r>
  <r>
    <x v="346"/>
    <x v="2"/>
    <m/>
    <x v="22"/>
    <x v="2"/>
    <x v="29"/>
    <n v="200801"/>
    <n v="200801"/>
    <m/>
    <n v="7"/>
    <n v="200801"/>
    <n v="266000"/>
  </r>
  <r>
    <x v="346"/>
    <x v="2"/>
    <m/>
    <x v="19"/>
    <x v="2"/>
    <x v="22"/>
    <n v="200801"/>
    <n v="200801"/>
    <m/>
    <n v="3"/>
    <n v="200801"/>
    <n v="39000"/>
  </r>
  <r>
    <x v="346"/>
    <x v="2"/>
    <m/>
    <x v="19"/>
    <x v="2"/>
    <x v="23"/>
    <n v="200801"/>
    <n v="200801"/>
    <m/>
    <n v="1"/>
    <n v="200801"/>
    <n v="24000"/>
  </r>
  <r>
    <x v="346"/>
    <x v="2"/>
    <m/>
    <x v="0"/>
    <x v="10"/>
    <x v="54"/>
    <n v="200801"/>
    <n v="200801"/>
    <m/>
    <n v="37"/>
    <n v="200801"/>
    <n v="1221000"/>
  </r>
  <r>
    <x v="346"/>
    <x v="2"/>
    <m/>
    <x v="22"/>
    <x v="10"/>
    <x v="55"/>
    <n v="200801"/>
    <n v="200801"/>
    <m/>
    <n v="1"/>
    <n v="200801"/>
    <n v="44000"/>
  </r>
  <r>
    <x v="346"/>
    <x v="2"/>
    <m/>
    <x v="1"/>
    <x v="10"/>
    <x v="58"/>
    <n v="200801"/>
    <n v="200801"/>
    <m/>
    <n v="2"/>
    <n v="200801"/>
    <n v="72000"/>
  </r>
  <r>
    <x v="346"/>
    <x v="2"/>
    <m/>
    <x v="0"/>
    <x v="10"/>
    <x v="57"/>
    <n v="200801"/>
    <n v="200801"/>
    <m/>
    <n v="17"/>
    <n v="200801"/>
    <n v="901000"/>
  </r>
  <r>
    <x v="347"/>
    <x v="5"/>
    <m/>
    <x v="0"/>
    <x v="7"/>
    <x v="15"/>
    <n v="200801"/>
    <n v="200801"/>
    <m/>
    <n v="6"/>
    <n v="200801"/>
    <n v="120000"/>
  </r>
  <r>
    <x v="347"/>
    <x v="5"/>
    <m/>
    <x v="6"/>
    <x v="2"/>
    <x v="37"/>
    <n v="200801"/>
    <n v="200801"/>
    <m/>
    <n v="1"/>
    <n v="200801"/>
    <n v="20000"/>
  </r>
  <r>
    <x v="347"/>
    <x v="5"/>
    <m/>
    <x v="25"/>
    <x v="2"/>
    <x v="34"/>
    <n v="200801"/>
    <n v="200801"/>
    <m/>
    <n v="2"/>
    <n v="200801"/>
    <n v="198000"/>
  </r>
  <r>
    <x v="347"/>
    <x v="5"/>
    <m/>
    <x v="1"/>
    <x v="2"/>
    <x v="18"/>
    <n v="200801"/>
    <n v="200801"/>
    <m/>
    <n v="4"/>
    <n v="200801"/>
    <n v="80000"/>
  </r>
  <r>
    <x v="347"/>
    <x v="5"/>
    <m/>
    <x v="1"/>
    <x v="2"/>
    <x v="21"/>
    <n v="200801"/>
    <n v="200801"/>
    <m/>
    <n v="1"/>
    <n v="200801"/>
    <n v="35000"/>
  </r>
  <r>
    <x v="347"/>
    <x v="5"/>
    <m/>
    <x v="4"/>
    <x v="2"/>
    <x v="26"/>
    <n v="200801"/>
    <n v="200801"/>
    <m/>
    <n v="2"/>
    <n v="200801"/>
    <n v="8000"/>
  </r>
  <r>
    <x v="347"/>
    <x v="5"/>
    <m/>
    <x v="4"/>
    <x v="2"/>
    <x v="27"/>
    <n v="200801"/>
    <n v="200801"/>
    <m/>
    <n v="2"/>
    <n v="200801"/>
    <n v="40000"/>
  </r>
  <r>
    <x v="347"/>
    <x v="5"/>
    <m/>
    <x v="0"/>
    <x v="2"/>
    <x v="15"/>
    <n v="200801"/>
    <n v="200801"/>
    <m/>
    <n v="48"/>
    <n v="200801"/>
    <n v="960000"/>
  </r>
  <r>
    <x v="347"/>
    <x v="5"/>
    <m/>
    <x v="0"/>
    <x v="2"/>
    <x v="16"/>
    <n v="200801"/>
    <n v="200801"/>
    <m/>
    <n v="26"/>
    <n v="200801"/>
    <n v="910000"/>
  </r>
  <r>
    <x v="347"/>
    <x v="5"/>
    <m/>
    <x v="0"/>
    <x v="2"/>
    <x v="17"/>
    <n v="200801"/>
    <n v="200801"/>
    <m/>
    <n v="49"/>
    <n v="200801"/>
    <n v="1617000"/>
  </r>
  <r>
    <x v="347"/>
    <x v="5"/>
    <m/>
    <x v="0"/>
    <x v="2"/>
    <x v="19"/>
    <n v="200801"/>
    <n v="200801"/>
    <m/>
    <n v="44"/>
    <n v="200801"/>
    <n v="132000"/>
  </r>
  <r>
    <x v="347"/>
    <x v="5"/>
    <m/>
    <x v="5"/>
    <x v="2"/>
    <x v="28"/>
    <n v="200801"/>
    <n v="200801"/>
    <m/>
    <n v="7"/>
    <n v="200801"/>
    <n v="196000"/>
  </r>
  <r>
    <x v="347"/>
    <x v="5"/>
    <m/>
    <x v="5"/>
    <x v="2"/>
    <x v="69"/>
    <n v="200801"/>
    <n v="200801"/>
    <m/>
    <n v="1"/>
    <n v="200801"/>
    <n v="48000"/>
  </r>
  <r>
    <x v="347"/>
    <x v="5"/>
    <m/>
    <x v="22"/>
    <x v="2"/>
    <x v="29"/>
    <n v="200801"/>
    <n v="200801"/>
    <m/>
    <n v="10"/>
    <n v="200801"/>
    <n v="380000"/>
  </r>
  <r>
    <x v="347"/>
    <x v="5"/>
    <m/>
    <x v="19"/>
    <x v="2"/>
    <x v="22"/>
    <n v="200801"/>
    <n v="200801"/>
    <m/>
    <n v="10"/>
    <n v="200801"/>
    <n v="130000"/>
  </r>
  <r>
    <x v="347"/>
    <x v="5"/>
    <m/>
    <x v="19"/>
    <x v="2"/>
    <x v="23"/>
    <n v="200801"/>
    <n v="200801"/>
    <m/>
    <n v="1"/>
    <n v="200801"/>
    <n v="24000"/>
  </r>
  <r>
    <x v="348"/>
    <x v="6"/>
    <m/>
    <x v="0"/>
    <x v="7"/>
    <x v="15"/>
    <n v="200801"/>
    <n v="200801"/>
    <m/>
    <n v="8"/>
    <n v="200801"/>
    <n v="160000"/>
  </r>
  <r>
    <x v="348"/>
    <x v="6"/>
    <m/>
    <x v="6"/>
    <x v="2"/>
    <x v="37"/>
    <n v="200801"/>
    <n v="200801"/>
    <m/>
    <n v="2"/>
    <n v="200801"/>
    <n v="40000"/>
  </r>
  <r>
    <x v="348"/>
    <x v="6"/>
    <m/>
    <x v="29"/>
    <x v="2"/>
    <x v="40"/>
    <n v="200801"/>
    <n v="200801"/>
    <m/>
    <n v="1"/>
    <n v="200801"/>
    <n v="35000"/>
  </r>
  <r>
    <x v="348"/>
    <x v="6"/>
    <m/>
    <x v="29"/>
    <x v="2"/>
    <x v="41"/>
    <n v="200801"/>
    <n v="200801"/>
    <m/>
    <n v="2"/>
    <n v="200801"/>
    <n v="90000"/>
  </r>
  <r>
    <x v="348"/>
    <x v="6"/>
    <m/>
    <x v="25"/>
    <x v="2"/>
    <x v="34"/>
    <n v="200801"/>
    <n v="200801"/>
    <m/>
    <n v="2"/>
    <n v="200801"/>
    <n v="198000"/>
  </r>
  <r>
    <x v="348"/>
    <x v="6"/>
    <m/>
    <x v="1"/>
    <x v="2"/>
    <x v="18"/>
    <n v="200801"/>
    <n v="200801"/>
    <m/>
    <n v="3"/>
    <n v="200801"/>
    <n v="60000"/>
  </r>
  <r>
    <x v="348"/>
    <x v="6"/>
    <m/>
    <x v="4"/>
    <x v="2"/>
    <x v="26"/>
    <n v="200801"/>
    <n v="200801"/>
    <m/>
    <n v="4"/>
    <n v="200801"/>
    <n v="16000"/>
  </r>
  <r>
    <x v="348"/>
    <x v="6"/>
    <m/>
    <x v="0"/>
    <x v="2"/>
    <x v="15"/>
    <n v="200801"/>
    <n v="200801"/>
    <m/>
    <n v="52"/>
    <n v="200801"/>
    <n v="1040000"/>
  </r>
  <r>
    <x v="348"/>
    <x v="6"/>
    <m/>
    <x v="0"/>
    <x v="2"/>
    <x v="16"/>
    <n v="200801"/>
    <n v="200801"/>
    <m/>
    <n v="35"/>
    <n v="200801"/>
    <n v="1225000"/>
  </r>
  <r>
    <x v="348"/>
    <x v="6"/>
    <m/>
    <x v="0"/>
    <x v="2"/>
    <x v="17"/>
    <n v="200801"/>
    <n v="200801"/>
    <m/>
    <n v="44"/>
    <n v="200801"/>
    <n v="1452000"/>
  </r>
  <r>
    <x v="348"/>
    <x v="6"/>
    <m/>
    <x v="0"/>
    <x v="2"/>
    <x v="19"/>
    <n v="200801"/>
    <n v="200801"/>
    <m/>
    <n v="54"/>
    <n v="200801"/>
    <n v="162000"/>
  </r>
  <r>
    <x v="348"/>
    <x v="6"/>
    <m/>
    <x v="5"/>
    <x v="2"/>
    <x v="28"/>
    <n v="200801"/>
    <n v="200801"/>
    <m/>
    <n v="10"/>
    <n v="200801"/>
    <n v="280000"/>
  </r>
  <r>
    <x v="348"/>
    <x v="6"/>
    <m/>
    <x v="5"/>
    <x v="2"/>
    <x v="69"/>
    <n v="200801"/>
    <n v="200801"/>
    <m/>
    <n v="2"/>
    <n v="200801"/>
    <n v="96000"/>
  </r>
  <r>
    <x v="348"/>
    <x v="6"/>
    <m/>
    <x v="22"/>
    <x v="2"/>
    <x v="29"/>
    <n v="200801"/>
    <n v="200801"/>
    <m/>
    <n v="7"/>
    <n v="200801"/>
    <n v="266000"/>
  </r>
  <r>
    <x v="348"/>
    <x v="6"/>
    <m/>
    <x v="19"/>
    <x v="2"/>
    <x v="22"/>
    <n v="200801"/>
    <n v="200801"/>
    <m/>
    <n v="4"/>
    <n v="200801"/>
    <n v="52000"/>
  </r>
  <r>
    <x v="348"/>
    <x v="6"/>
    <m/>
    <x v="19"/>
    <x v="2"/>
    <x v="24"/>
    <n v="200801"/>
    <n v="200801"/>
    <m/>
    <n v="2"/>
    <n v="200801"/>
    <n v="66000"/>
  </r>
  <r>
    <x v="348"/>
    <x v="6"/>
    <m/>
    <x v="0"/>
    <x v="6"/>
    <x v="15"/>
    <n v="200801"/>
    <n v="200801"/>
    <m/>
    <n v="771"/>
    <n v="200801"/>
    <n v="6991428"/>
  </r>
  <r>
    <x v="348"/>
    <x v="6"/>
    <m/>
    <x v="0"/>
    <x v="6"/>
    <x v="17"/>
    <n v="200801"/>
    <n v="200801"/>
    <m/>
    <n v="5"/>
    <n v="200801"/>
    <n v="79090"/>
  </r>
  <r>
    <x v="348"/>
    <x v="6"/>
    <m/>
    <x v="4"/>
    <x v="6"/>
    <x v="26"/>
    <n v="200801"/>
    <n v="200801"/>
    <m/>
    <n v="362"/>
    <n v="200801"/>
    <n v="388426"/>
  </r>
  <r>
    <x v="348"/>
    <x v="6"/>
    <m/>
    <x v="26"/>
    <x v="6"/>
    <x v="35"/>
    <n v="200801"/>
    <n v="200801"/>
    <m/>
    <n v="35"/>
    <n v="200801"/>
    <n v="599585"/>
  </r>
  <r>
    <x v="348"/>
    <x v="6"/>
    <m/>
    <x v="22"/>
    <x v="6"/>
    <x v="29"/>
    <n v="200801"/>
    <n v="200801"/>
    <m/>
    <n v="43"/>
    <n v="200801"/>
    <n v="846713"/>
  </r>
  <r>
    <x v="348"/>
    <x v="6"/>
    <m/>
    <x v="24"/>
    <x v="6"/>
    <x v="31"/>
    <n v="200801"/>
    <n v="200801"/>
    <m/>
    <n v="168"/>
    <n v="200801"/>
    <n v="2499336"/>
  </r>
  <r>
    <x v="348"/>
    <x v="6"/>
    <m/>
    <x v="23"/>
    <x v="6"/>
    <x v="30"/>
    <n v="200801"/>
    <n v="200801"/>
    <m/>
    <n v="18"/>
    <n v="200801"/>
    <n v="125352"/>
  </r>
  <r>
    <x v="348"/>
    <x v="6"/>
    <m/>
    <x v="19"/>
    <x v="6"/>
    <x v="22"/>
    <n v="200801"/>
    <n v="200801"/>
    <m/>
    <n v="50"/>
    <n v="200801"/>
    <n v="339550"/>
  </r>
  <r>
    <x v="348"/>
    <x v="6"/>
    <m/>
    <x v="27"/>
    <x v="6"/>
    <x v="36"/>
    <n v="200801"/>
    <n v="200801"/>
    <m/>
    <n v="4"/>
    <n v="200801"/>
    <n v="37828"/>
  </r>
  <r>
    <x v="348"/>
    <x v="6"/>
    <m/>
    <x v="6"/>
    <x v="6"/>
    <x v="37"/>
    <n v="200801"/>
    <n v="200801"/>
    <m/>
    <n v="17"/>
    <n v="200801"/>
    <n v="170000"/>
  </r>
  <r>
    <x v="348"/>
    <x v="6"/>
    <m/>
    <x v="28"/>
    <x v="6"/>
    <x v="39"/>
    <n v="200801"/>
    <n v="200801"/>
    <m/>
    <n v="12"/>
    <n v="200801"/>
    <n v="189816"/>
  </r>
  <r>
    <x v="348"/>
    <x v="6"/>
    <m/>
    <x v="4"/>
    <x v="6"/>
    <x v="66"/>
    <n v="200801"/>
    <n v="200801"/>
    <m/>
    <n v="186"/>
    <n v="200801"/>
    <n v="1041042"/>
  </r>
  <r>
    <x v="349"/>
    <x v="3"/>
    <m/>
    <x v="0"/>
    <x v="1"/>
    <x v="15"/>
    <n v="200801"/>
    <n v="200801"/>
    <m/>
    <n v="2"/>
    <n v="200801"/>
    <n v="40000"/>
  </r>
  <r>
    <x v="349"/>
    <x v="3"/>
    <m/>
    <x v="0"/>
    <x v="1"/>
    <x v="16"/>
    <n v="200801"/>
    <n v="200801"/>
    <m/>
    <n v="18"/>
    <n v="200801"/>
    <n v="630000"/>
  </r>
  <r>
    <x v="349"/>
    <x v="3"/>
    <m/>
    <x v="0"/>
    <x v="7"/>
    <x v="15"/>
    <n v="200801"/>
    <n v="200801"/>
    <m/>
    <n v="10"/>
    <n v="200801"/>
    <n v="200000"/>
  </r>
  <r>
    <x v="349"/>
    <x v="3"/>
    <m/>
    <x v="0"/>
    <x v="3"/>
    <x v="15"/>
    <n v="200801"/>
    <n v="200801"/>
    <m/>
    <n v="1"/>
    <n v="200801"/>
    <n v="0"/>
  </r>
  <r>
    <x v="349"/>
    <x v="3"/>
    <m/>
    <x v="30"/>
    <x v="3"/>
    <x v="87"/>
    <n v="200801"/>
    <n v="200801"/>
    <m/>
    <n v="41"/>
    <n v="200801"/>
    <n v="0"/>
  </r>
  <r>
    <x v="349"/>
    <x v="3"/>
    <m/>
    <x v="31"/>
    <x v="3"/>
    <x v="88"/>
    <n v="200801"/>
    <n v="200801"/>
    <m/>
    <n v="67"/>
    <n v="200801"/>
    <n v="0"/>
  </r>
  <r>
    <x v="349"/>
    <x v="3"/>
    <m/>
    <x v="6"/>
    <x v="2"/>
    <x v="37"/>
    <n v="200801"/>
    <n v="200801"/>
    <m/>
    <n v="2"/>
    <n v="200801"/>
    <n v="40000"/>
  </r>
  <r>
    <x v="349"/>
    <x v="3"/>
    <m/>
    <x v="29"/>
    <x v="2"/>
    <x v="40"/>
    <n v="200801"/>
    <n v="200801"/>
    <m/>
    <n v="3"/>
    <n v="200801"/>
    <n v="105000"/>
  </r>
  <r>
    <x v="349"/>
    <x v="3"/>
    <m/>
    <x v="29"/>
    <x v="2"/>
    <x v="41"/>
    <n v="200801"/>
    <n v="200801"/>
    <m/>
    <n v="8"/>
    <n v="200801"/>
    <n v="360000"/>
  </r>
  <r>
    <x v="349"/>
    <x v="3"/>
    <m/>
    <x v="25"/>
    <x v="2"/>
    <x v="34"/>
    <n v="200801"/>
    <n v="200801"/>
    <m/>
    <n v="3"/>
    <n v="200801"/>
    <n v="297000"/>
  </r>
  <r>
    <x v="349"/>
    <x v="3"/>
    <m/>
    <x v="31"/>
    <x v="2"/>
    <x v="89"/>
    <n v="200801"/>
    <n v="200801"/>
    <m/>
    <n v="56"/>
    <n v="200801"/>
    <n v="1114400"/>
  </r>
  <r>
    <x v="349"/>
    <x v="3"/>
    <m/>
    <x v="31"/>
    <x v="2"/>
    <x v="90"/>
    <n v="200801"/>
    <n v="200801"/>
    <m/>
    <n v="77"/>
    <n v="200801"/>
    <n v="3018400"/>
  </r>
  <r>
    <x v="349"/>
    <x v="3"/>
    <m/>
    <x v="32"/>
    <x v="2"/>
    <x v="91"/>
    <n v="200801"/>
    <n v="200801"/>
    <m/>
    <n v="61"/>
    <n v="200801"/>
    <n v="2263100"/>
  </r>
  <r>
    <x v="349"/>
    <x v="3"/>
    <m/>
    <x v="1"/>
    <x v="2"/>
    <x v="18"/>
    <n v="200801"/>
    <n v="200801"/>
    <m/>
    <n v="6"/>
    <n v="200801"/>
    <n v="120000"/>
  </r>
  <r>
    <x v="349"/>
    <x v="3"/>
    <m/>
    <x v="1"/>
    <x v="2"/>
    <x v="21"/>
    <n v="200801"/>
    <n v="200801"/>
    <m/>
    <n v="1"/>
    <n v="200801"/>
    <n v="35000"/>
  </r>
  <r>
    <x v="349"/>
    <x v="3"/>
    <m/>
    <x v="4"/>
    <x v="2"/>
    <x v="27"/>
    <n v="200801"/>
    <n v="200801"/>
    <m/>
    <n v="3"/>
    <n v="200801"/>
    <n v="60000"/>
  </r>
  <r>
    <x v="349"/>
    <x v="3"/>
    <m/>
    <x v="0"/>
    <x v="2"/>
    <x v="15"/>
    <n v="200801"/>
    <n v="200801"/>
    <m/>
    <n v="99"/>
    <n v="200801"/>
    <n v="1980000"/>
  </r>
  <r>
    <x v="349"/>
    <x v="3"/>
    <m/>
    <x v="0"/>
    <x v="2"/>
    <x v="16"/>
    <n v="200801"/>
    <n v="200801"/>
    <m/>
    <n v="61"/>
    <n v="200801"/>
    <n v="2135000"/>
  </r>
  <r>
    <x v="349"/>
    <x v="3"/>
    <m/>
    <x v="0"/>
    <x v="2"/>
    <x v="17"/>
    <n v="200801"/>
    <n v="200801"/>
    <m/>
    <n v="80"/>
    <n v="200801"/>
    <n v="2640000"/>
  </r>
  <r>
    <x v="349"/>
    <x v="3"/>
    <m/>
    <x v="0"/>
    <x v="2"/>
    <x v="19"/>
    <n v="200801"/>
    <n v="200801"/>
    <m/>
    <n v="74"/>
    <n v="200801"/>
    <n v="222000"/>
  </r>
  <r>
    <x v="349"/>
    <x v="3"/>
    <m/>
    <x v="5"/>
    <x v="2"/>
    <x v="28"/>
    <n v="200801"/>
    <n v="200801"/>
    <m/>
    <n v="20"/>
    <n v="200801"/>
    <n v="560000"/>
  </r>
  <r>
    <x v="349"/>
    <x v="3"/>
    <m/>
    <x v="5"/>
    <x v="2"/>
    <x v="69"/>
    <n v="200801"/>
    <n v="200801"/>
    <m/>
    <n v="7"/>
    <n v="200801"/>
    <n v="336000"/>
  </r>
  <r>
    <x v="349"/>
    <x v="3"/>
    <m/>
    <x v="22"/>
    <x v="2"/>
    <x v="29"/>
    <n v="200801"/>
    <n v="200801"/>
    <m/>
    <n v="15"/>
    <n v="200801"/>
    <n v="570000"/>
  </r>
  <r>
    <x v="349"/>
    <x v="3"/>
    <m/>
    <x v="19"/>
    <x v="2"/>
    <x v="22"/>
    <n v="200801"/>
    <n v="200801"/>
    <m/>
    <n v="18"/>
    <n v="200801"/>
    <n v="234000"/>
  </r>
  <r>
    <x v="349"/>
    <x v="3"/>
    <m/>
    <x v="19"/>
    <x v="2"/>
    <x v="23"/>
    <n v="200801"/>
    <n v="200801"/>
    <m/>
    <n v="4"/>
    <n v="200801"/>
    <n v="96000"/>
  </r>
  <r>
    <x v="349"/>
    <x v="3"/>
    <m/>
    <x v="19"/>
    <x v="2"/>
    <x v="24"/>
    <n v="200801"/>
    <n v="200801"/>
    <m/>
    <n v="3"/>
    <n v="200801"/>
    <n v="99000"/>
  </r>
  <r>
    <x v="349"/>
    <x v="3"/>
    <m/>
    <x v="0"/>
    <x v="10"/>
    <x v="54"/>
    <n v="200801"/>
    <n v="200801"/>
    <m/>
    <n v="12"/>
    <n v="200801"/>
    <n v="396000"/>
  </r>
  <r>
    <x v="349"/>
    <x v="3"/>
    <m/>
    <x v="22"/>
    <x v="10"/>
    <x v="55"/>
    <n v="200801"/>
    <n v="200801"/>
    <m/>
    <n v="1"/>
    <n v="200801"/>
    <n v="44000"/>
  </r>
  <r>
    <x v="349"/>
    <x v="3"/>
    <m/>
    <x v="1"/>
    <x v="10"/>
    <x v="58"/>
    <n v="200801"/>
    <n v="200801"/>
    <m/>
    <n v="2"/>
    <n v="200801"/>
    <n v="72000"/>
  </r>
  <r>
    <x v="349"/>
    <x v="3"/>
    <m/>
    <x v="0"/>
    <x v="10"/>
    <x v="57"/>
    <n v="200801"/>
    <n v="200801"/>
    <m/>
    <n v="2"/>
    <n v="200801"/>
    <n v="106000"/>
  </r>
  <r>
    <x v="350"/>
    <x v="4"/>
    <m/>
    <x v="0"/>
    <x v="1"/>
    <x v="15"/>
    <n v="200801"/>
    <n v="200801"/>
    <m/>
    <n v="1"/>
    <n v="200801"/>
    <n v="20000"/>
  </r>
  <r>
    <x v="350"/>
    <x v="4"/>
    <m/>
    <x v="0"/>
    <x v="1"/>
    <x v="16"/>
    <n v="200801"/>
    <n v="200801"/>
    <m/>
    <n v="12"/>
    <n v="200801"/>
    <n v="420000"/>
  </r>
  <r>
    <x v="350"/>
    <x v="4"/>
    <m/>
    <x v="0"/>
    <x v="7"/>
    <x v="15"/>
    <n v="200801"/>
    <n v="200801"/>
    <m/>
    <n v="5"/>
    <n v="200801"/>
    <n v="100000"/>
  </r>
  <r>
    <x v="350"/>
    <x v="4"/>
    <m/>
    <x v="31"/>
    <x v="3"/>
    <x v="88"/>
    <n v="200801"/>
    <n v="200801"/>
    <m/>
    <n v="4"/>
    <n v="200801"/>
    <n v="0"/>
  </r>
  <r>
    <x v="350"/>
    <x v="4"/>
    <m/>
    <x v="6"/>
    <x v="2"/>
    <x v="37"/>
    <n v="200801"/>
    <n v="200801"/>
    <m/>
    <n v="1"/>
    <n v="200801"/>
    <n v="20000"/>
  </r>
  <r>
    <x v="350"/>
    <x v="4"/>
    <m/>
    <x v="6"/>
    <x v="2"/>
    <x v="42"/>
    <n v="200801"/>
    <n v="200801"/>
    <m/>
    <n v="2"/>
    <n v="200801"/>
    <n v="70000"/>
  </r>
  <r>
    <x v="350"/>
    <x v="4"/>
    <m/>
    <x v="29"/>
    <x v="2"/>
    <x v="40"/>
    <n v="200801"/>
    <n v="200801"/>
    <m/>
    <n v="1"/>
    <n v="200801"/>
    <n v="35000"/>
  </r>
  <r>
    <x v="350"/>
    <x v="4"/>
    <m/>
    <x v="25"/>
    <x v="2"/>
    <x v="34"/>
    <n v="200801"/>
    <n v="200801"/>
    <m/>
    <n v="6"/>
    <n v="200801"/>
    <n v="594000"/>
  </r>
  <r>
    <x v="350"/>
    <x v="4"/>
    <m/>
    <x v="31"/>
    <x v="2"/>
    <x v="89"/>
    <n v="200801"/>
    <n v="200801"/>
    <m/>
    <n v="23"/>
    <n v="200801"/>
    <n v="457700"/>
  </r>
  <r>
    <x v="350"/>
    <x v="4"/>
    <m/>
    <x v="31"/>
    <x v="2"/>
    <x v="90"/>
    <n v="200801"/>
    <n v="200801"/>
    <m/>
    <n v="13"/>
    <n v="200801"/>
    <n v="509600"/>
  </r>
  <r>
    <x v="350"/>
    <x v="4"/>
    <m/>
    <x v="32"/>
    <x v="2"/>
    <x v="91"/>
    <n v="200801"/>
    <n v="200801"/>
    <m/>
    <n v="31"/>
    <n v="200801"/>
    <n v="1150100"/>
  </r>
  <r>
    <x v="350"/>
    <x v="4"/>
    <m/>
    <x v="1"/>
    <x v="2"/>
    <x v="18"/>
    <n v="200801"/>
    <n v="200801"/>
    <m/>
    <n v="2"/>
    <n v="200801"/>
    <n v="40000"/>
  </r>
  <r>
    <x v="350"/>
    <x v="4"/>
    <m/>
    <x v="1"/>
    <x v="2"/>
    <x v="21"/>
    <n v="200801"/>
    <n v="200801"/>
    <m/>
    <n v="3"/>
    <n v="200801"/>
    <n v="105000"/>
  </r>
  <r>
    <x v="350"/>
    <x v="4"/>
    <m/>
    <x v="4"/>
    <x v="2"/>
    <x v="26"/>
    <n v="200801"/>
    <n v="200801"/>
    <m/>
    <n v="6"/>
    <n v="200801"/>
    <n v="24000"/>
  </r>
  <r>
    <x v="350"/>
    <x v="4"/>
    <m/>
    <x v="4"/>
    <x v="2"/>
    <x v="27"/>
    <n v="200801"/>
    <n v="200801"/>
    <m/>
    <n v="7"/>
    <n v="200801"/>
    <n v="140000"/>
  </r>
  <r>
    <x v="350"/>
    <x v="4"/>
    <m/>
    <x v="0"/>
    <x v="2"/>
    <x v="15"/>
    <n v="200801"/>
    <n v="200801"/>
    <m/>
    <n v="76"/>
    <n v="200801"/>
    <n v="1520000"/>
  </r>
  <r>
    <x v="350"/>
    <x v="4"/>
    <m/>
    <x v="0"/>
    <x v="2"/>
    <x v="16"/>
    <n v="200801"/>
    <n v="200801"/>
    <m/>
    <n v="65"/>
    <n v="200801"/>
    <n v="2275000"/>
  </r>
  <r>
    <x v="350"/>
    <x v="4"/>
    <m/>
    <x v="0"/>
    <x v="2"/>
    <x v="17"/>
    <n v="200801"/>
    <n v="200801"/>
    <m/>
    <n v="49"/>
    <n v="200801"/>
    <n v="1617000"/>
  </r>
  <r>
    <x v="350"/>
    <x v="4"/>
    <m/>
    <x v="0"/>
    <x v="2"/>
    <x v="19"/>
    <n v="200801"/>
    <n v="200801"/>
    <m/>
    <n v="50"/>
    <n v="200801"/>
    <n v="150000"/>
  </r>
  <r>
    <x v="350"/>
    <x v="4"/>
    <m/>
    <x v="5"/>
    <x v="2"/>
    <x v="28"/>
    <n v="200801"/>
    <n v="200801"/>
    <m/>
    <n v="23"/>
    <n v="200801"/>
    <n v="644000"/>
  </r>
  <r>
    <x v="350"/>
    <x v="4"/>
    <m/>
    <x v="5"/>
    <x v="2"/>
    <x v="69"/>
    <n v="200801"/>
    <n v="200801"/>
    <m/>
    <n v="4"/>
    <n v="200801"/>
    <n v="192000"/>
  </r>
  <r>
    <x v="350"/>
    <x v="4"/>
    <m/>
    <x v="22"/>
    <x v="2"/>
    <x v="29"/>
    <n v="200801"/>
    <n v="200801"/>
    <m/>
    <n v="9"/>
    <n v="200801"/>
    <n v="342000"/>
  </r>
  <r>
    <x v="350"/>
    <x v="4"/>
    <m/>
    <x v="19"/>
    <x v="2"/>
    <x v="22"/>
    <n v="200801"/>
    <n v="200801"/>
    <m/>
    <n v="10"/>
    <n v="200801"/>
    <n v="130000"/>
  </r>
  <r>
    <x v="350"/>
    <x v="4"/>
    <m/>
    <x v="19"/>
    <x v="2"/>
    <x v="23"/>
    <n v="200801"/>
    <n v="200801"/>
    <m/>
    <n v="2"/>
    <n v="200801"/>
    <n v="48000"/>
  </r>
  <r>
    <x v="350"/>
    <x v="4"/>
    <m/>
    <x v="0"/>
    <x v="10"/>
    <x v="54"/>
    <n v="200801"/>
    <n v="200801"/>
    <m/>
    <n v="5"/>
    <n v="200801"/>
    <n v="165000"/>
  </r>
  <r>
    <x v="350"/>
    <x v="4"/>
    <m/>
    <x v="0"/>
    <x v="10"/>
    <x v="57"/>
    <n v="200801"/>
    <n v="200801"/>
    <m/>
    <n v="1"/>
    <n v="200801"/>
    <n v="53000"/>
  </r>
  <r>
    <x v="351"/>
    <x v="1"/>
    <m/>
    <x v="0"/>
    <x v="1"/>
    <x v="15"/>
    <n v="200801"/>
    <n v="200801"/>
    <m/>
    <n v="4"/>
    <n v="200801"/>
    <n v="80000"/>
  </r>
  <r>
    <x v="351"/>
    <x v="1"/>
    <m/>
    <x v="0"/>
    <x v="1"/>
    <x v="16"/>
    <n v="200801"/>
    <n v="200801"/>
    <m/>
    <n v="3"/>
    <n v="200801"/>
    <n v="105000"/>
  </r>
  <r>
    <x v="351"/>
    <x v="1"/>
    <m/>
    <x v="0"/>
    <x v="7"/>
    <x v="15"/>
    <n v="200801"/>
    <n v="200801"/>
    <m/>
    <n v="3"/>
    <n v="200801"/>
    <n v="60000"/>
  </r>
  <r>
    <x v="351"/>
    <x v="1"/>
    <m/>
    <x v="29"/>
    <x v="2"/>
    <x v="40"/>
    <n v="200801"/>
    <n v="200801"/>
    <m/>
    <n v="5"/>
    <n v="200801"/>
    <n v="175000"/>
  </r>
  <r>
    <x v="351"/>
    <x v="1"/>
    <m/>
    <x v="29"/>
    <x v="2"/>
    <x v="41"/>
    <n v="200801"/>
    <n v="200801"/>
    <m/>
    <n v="3"/>
    <n v="200801"/>
    <n v="135000"/>
  </r>
  <r>
    <x v="351"/>
    <x v="1"/>
    <m/>
    <x v="31"/>
    <x v="2"/>
    <x v="89"/>
    <n v="200801"/>
    <n v="200801"/>
    <m/>
    <n v="40"/>
    <n v="200801"/>
    <n v="796000"/>
  </r>
  <r>
    <x v="351"/>
    <x v="1"/>
    <m/>
    <x v="31"/>
    <x v="2"/>
    <x v="90"/>
    <n v="200801"/>
    <n v="200801"/>
    <m/>
    <n v="43"/>
    <n v="200801"/>
    <n v="1685600"/>
  </r>
  <r>
    <x v="351"/>
    <x v="1"/>
    <m/>
    <x v="32"/>
    <x v="2"/>
    <x v="91"/>
    <n v="200801"/>
    <n v="200801"/>
    <m/>
    <n v="49"/>
    <n v="200801"/>
    <n v="1817900"/>
  </r>
  <r>
    <x v="351"/>
    <x v="1"/>
    <m/>
    <x v="1"/>
    <x v="2"/>
    <x v="18"/>
    <n v="200801"/>
    <n v="200801"/>
    <m/>
    <n v="5"/>
    <n v="200801"/>
    <n v="100000"/>
  </r>
  <r>
    <x v="351"/>
    <x v="1"/>
    <m/>
    <x v="4"/>
    <x v="2"/>
    <x v="26"/>
    <n v="200801"/>
    <n v="200801"/>
    <m/>
    <n v="2"/>
    <n v="200801"/>
    <n v="8000"/>
  </r>
  <r>
    <x v="351"/>
    <x v="1"/>
    <m/>
    <x v="4"/>
    <x v="2"/>
    <x v="27"/>
    <n v="200801"/>
    <n v="200801"/>
    <m/>
    <n v="2"/>
    <n v="200801"/>
    <n v="40000"/>
  </r>
  <r>
    <x v="351"/>
    <x v="1"/>
    <m/>
    <x v="0"/>
    <x v="2"/>
    <x v="15"/>
    <n v="200801"/>
    <n v="200801"/>
    <m/>
    <n v="55"/>
    <n v="200801"/>
    <n v="1100000"/>
  </r>
  <r>
    <x v="351"/>
    <x v="1"/>
    <m/>
    <x v="0"/>
    <x v="2"/>
    <x v="16"/>
    <n v="200801"/>
    <n v="200801"/>
    <m/>
    <n v="48"/>
    <n v="200801"/>
    <n v="1680000"/>
  </r>
  <r>
    <x v="351"/>
    <x v="1"/>
    <m/>
    <x v="0"/>
    <x v="2"/>
    <x v="17"/>
    <n v="200801"/>
    <n v="200801"/>
    <m/>
    <n v="59"/>
    <n v="200801"/>
    <n v="1947000"/>
  </r>
  <r>
    <x v="351"/>
    <x v="1"/>
    <m/>
    <x v="0"/>
    <x v="2"/>
    <x v="19"/>
    <n v="200801"/>
    <n v="200801"/>
    <m/>
    <n v="44"/>
    <n v="200801"/>
    <n v="132000"/>
  </r>
  <r>
    <x v="351"/>
    <x v="1"/>
    <m/>
    <x v="5"/>
    <x v="2"/>
    <x v="28"/>
    <n v="200801"/>
    <n v="200801"/>
    <m/>
    <n v="17"/>
    <n v="200801"/>
    <n v="476000"/>
  </r>
  <r>
    <x v="351"/>
    <x v="1"/>
    <m/>
    <x v="5"/>
    <x v="2"/>
    <x v="69"/>
    <n v="200801"/>
    <n v="200801"/>
    <m/>
    <n v="4"/>
    <n v="200801"/>
    <n v="192000"/>
  </r>
  <r>
    <x v="351"/>
    <x v="1"/>
    <m/>
    <x v="22"/>
    <x v="2"/>
    <x v="29"/>
    <n v="200801"/>
    <n v="200801"/>
    <m/>
    <n v="8"/>
    <n v="200801"/>
    <n v="304000"/>
  </r>
  <r>
    <x v="351"/>
    <x v="1"/>
    <m/>
    <x v="19"/>
    <x v="2"/>
    <x v="22"/>
    <n v="200801"/>
    <n v="200801"/>
    <m/>
    <n v="10"/>
    <n v="200801"/>
    <n v="130000"/>
  </r>
  <r>
    <x v="351"/>
    <x v="1"/>
    <m/>
    <x v="19"/>
    <x v="2"/>
    <x v="23"/>
    <n v="200801"/>
    <n v="200801"/>
    <m/>
    <n v="1"/>
    <n v="200801"/>
    <n v="24000"/>
  </r>
  <r>
    <x v="351"/>
    <x v="1"/>
    <m/>
    <x v="19"/>
    <x v="2"/>
    <x v="24"/>
    <n v="200801"/>
    <n v="200801"/>
    <m/>
    <n v="1"/>
    <n v="200801"/>
    <n v="33000"/>
  </r>
  <r>
    <x v="351"/>
    <x v="1"/>
    <m/>
    <x v="0"/>
    <x v="10"/>
    <x v="54"/>
    <n v="200801"/>
    <n v="200801"/>
    <m/>
    <n v="6"/>
    <n v="200801"/>
    <n v="198000"/>
  </r>
  <r>
    <x v="351"/>
    <x v="1"/>
    <m/>
    <x v="0"/>
    <x v="10"/>
    <x v="57"/>
    <n v="200801"/>
    <n v="200801"/>
    <m/>
    <n v="2"/>
    <n v="200801"/>
    <n v="106000"/>
  </r>
  <r>
    <x v="352"/>
    <x v="0"/>
    <m/>
    <x v="0"/>
    <x v="1"/>
    <x v="15"/>
    <n v="200801"/>
    <n v="200801"/>
    <m/>
    <n v="2"/>
    <n v="200801"/>
    <n v="40000"/>
  </r>
  <r>
    <x v="352"/>
    <x v="0"/>
    <m/>
    <x v="0"/>
    <x v="1"/>
    <x v="16"/>
    <n v="200801"/>
    <n v="200801"/>
    <m/>
    <n v="9"/>
    <n v="200801"/>
    <n v="315000"/>
  </r>
  <r>
    <x v="352"/>
    <x v="0"/>
    <m/>
    <x v="0"/>
    <x v="7"/>
    <x v="15"/>
    <n v="200801"/>
    <n v="200801"/>
    <m/>
    <n v="1"/>
    <n v="200801"/>
    <n v="20000"/>
  </r>
  <r>
    <x v="352"/>
    <x v="0"/>
    <m/>
    <x v="6"/>
    <x v="2"/>
    <x v="37"/>
    <n v="200801"/>
    <n v="200801"/>
    <m/>
    <n v="1"/>
    <n v="200801"/>
    <n v="20000"/>
  </r>
  <r>
    <x v="352"/>
    <x v="0"/>
    <m/>
    <x v="29"/>
    <x v="2"/>
    <x v="40"/>
    <n v="200801"/>
    <n v="200801"/>
    <m/>
    <n v="1"/>
    <n v="200801"/>
    <n v="35000"/>
  </r>
  <r>
    <x v="352"/>
    <x v="0"/>
    <m/>
    <x v="29"/>
    <x v="2"/>
    <x v="41"/>
    <n v="200801"/>
    <n v="200801"/>
    <m/>
    <n v="4"/>
    <n v="200801"/>
    <n v="180000"/>
  </r>
  <r>
    <x v="352"/>
    <x v="0"/>
    <m/>
    <x v="25"/>
    <x v="2"/>
    <x v="34"/>
    <n v="200801"/>
    <n v="200801"/>
    <m/>
    <n v="4"/>
    <n v="200801"/>
    <n v="396000"/>
  </r>
  <r>
    <x v="352"/>
    <x v="0"/>
    <m/>
    <x v="31"/>
    <x v="2"/>
    <x v="89"/>
    <n v="200801"/>
    <n v="200801"/>
    <m/>
    <n v="1"/>
    <n v="200801"/>
    <n v="19900"/>
  </r>
  <r>
    <x v="352"/>
    <x v="0"/>
    <m/>
    <x v="1"/>
    <x v="2"/>
    <x v="18"/>
    <n v="200801"/>
    <n v="200801"/>
    <m/>
    <n v="3"/>
    <n v="200801"/>
    <n v="60000"/>
  </r>
  <r>
    <x v="352"/>
    <x v="0"/>
    <m/>
    <x v="4"/>
    <x v="2"/>
    <x v="27"/>
    <n v="200801"/>
    <n v="200801"/>
    <m/>
    <n v="1"/>
    <n v="200801"/>
    <n v="20000"/>
  </r>
  <r>
    <x v="352"/>
    <x v="0"/>
    <m/>
    <x v="0"/>
    <x v="2"/>
    <x v="15"/>
    <n v="200801"/>
    <n v="200801"/>
    <m/>
    <n v="43"/>
    <n v="200801"/>
    <n v="860000"/>
  </r>
  <r>
    <x v="352"/>
    <x v="0"/>
    <m/>
    <x v="0"/>
    <x v="2"/>
    <x v="16"/>
    <n v="200801"/>
    <n v="200801"/>
    <m/>
    <n v="36"/>
    <n v="200801"/>
    <n v="1260000"/>
  </r>
  <r>
    <x v="352"/>
    <x v="0"/>
    <m/>
    <x v="0"/>
    <x v="2"/>
    <x v="17"/>
    <n v="200801"/>
    <n v="200801"/>
    <m/>
    <n v="58"/>
    <n v="200801"/>
    <n v="1914000"/>
  </r>
  <r>
    <x v="352"/>
    <x v="0"/>
    <m/>
    <x v="0"/>
    <x v="2"/>
    <x v="19"/>
    <n v="200801"/>
    <n v="200801"/>
    <m/>
    <n v="40"/>
    <n v="200801"/>
    <n v="120000"/>
  </r>
  <r>
    <x v="352"/>
    <x v="0"/>
    <m/>
    <x v="5"/>
    <x v="2"/>
    <x v="28"/>
    <n v="200801"/>
    <n v="200801"/>
    <m/>
    <n v="17"/>
    <n v="200801"/>
    <n v="476000"/>
  </r>
  <r>
    <x v="352"/>
    <x v="0"/>
    <m/>
    <x v="5"/>
    <x v="2"/>
    <x v="69"/>
    <n v="200801"/>
    <n v="200801"/>
    <m/>
    <n v="5"/>
    <n v="200801"/>
    <n v="240000"/>
  </r>
  <r>
    <x v="352"/>
    <x v="0"/>
    <m/>
    <x v="22"/>
    <x v="2"/>
    <x v="29"/>
    <n v="200801"/>
    <n v="200801"/>
    <m/>
    <n v="5"/>
    <n v="200801"/>
    <n v="190000"/>
  </r>
  <r>
    <x v="352"/>
    <x v="0"/>
    <m/>
    <x v="19"/>
    <x v="2"/>
    <x v="22"/>
    <n v="200801"/>
    <n v="200801"/>
    <m/>
    <n v="5"/>
    <n v="200801"/>
    <n v="65000"/>
  </r>
  <r>
    <x v="352"/>
    <x v="0"/>
    <m/>
    <x v="19"/>
    <x v="2"/>
    <x v="23"/>
    <n v="200801"/>
    <n v="200801"/>
    <m/>
    <n v="1"/>
    <n v="200801"/>
    <n v="24000"/>
  </r>
  <r>
    <x v="352"/>
    <x v="0"/>
    <m/>
    <x v="19"/>
    <x v="2"/>
    <x v="24"/>
    <n v="200801"/>
    <n v="200801"/>
    <m/>
    <n v="1"/>
    <n v="200801"/>
    <n v="33000"/>
  </r>
  <r>
    <x v="352"/>
    <x v="0"/>
    <m/>
    <x v="33"/>
    <x v="2"/>
    <x v="92"/>
    <n v="200801"/>
    <n v="200801"/>
    <m/>
    <n v="1"/>
    <n v="200801"/>
    <n v="18200"/>
  </r>
  <r>
    <x v="352"/>
    <x v="0"/>
    <m/>
    <x v="33"/>
    <x v="2"/>
    <x v="93"/>
    <n v="200801"/>
    <n v="200801"/>
    <m/>
    <n v="1"/>
    <n v="200801"/>
    <n v="33800"/>
  </r>
  <r>
    <x v="352"/>
    <x v="0"/>
    <m/>
    <x v="0"/>
    <x v="10"/>
    <x v="54"/>
    <n v="200801"/>
    <n v="200801"/>
    <m/>
    <n v="7"/>
    <n v="200801"/>
    <n v="231000"/>
  </r>
  <r>
    <x v="352"/>
    <x v="0"/>
    <m/>
    <x v="22"/>
    <x v="10"/>
    <x v="55"/>
    <n v="200801"/>
    <n v="200801"/>
    <m/>
    <n v="1"/>
    <n v="200801"/>
    <n v="44000"/>
  </r>
  <r>
    <x v="352"/>
    <x v="0"/>
    <m/>
    <x v="0"/>
    <x v="10"/>
    <x v="57"/>
    <n v="200801"/>
    <n v="200801"/>
    <m/>
    <n v="1"/>
    <n v="200801"/>
    <n v="53000"/>
  </r>
  <r>
    <x v="352"/>
    <x v="0"/>
    <m/>
    <x v="0"/>
    <x v="9"/>
    <x v="15"/>
    <n v="200801"/>
    <n v="200801"/>
    <m/>
    <n v="2"/>
    <n v="200801"/>
    <n v="40000"/>
  </r>
  <r>
    <x v="353"/>
    <x v="2"/>
    <m/>
    <x v="0"/>
    <x v="1"/>
    <x v="15"/>
    <n v="200801"/>
    <n v="200801"/>
    <m/>
    <n v="1"/>
    <n v="200801"/>
    <n v="20000"/>
  </r>
  <r>
    <x v="353"/>
    <x v="2"/>
    <m/>
    <x v="0"/>
    <x v="1"/>
    <x v="16"/>
    <n v="200801"/>
    <n v="200801"/>
    <m/>
    <n v="6"/>
    <n v="200801"/>
    <n v="210000"/>
  </r>
  <r>
    <x v="353"/>
    <x v="2"/>
    <m/>
    <x v="5"/>
    <x v="5"/>
    <x v="53"/>
    <n v="200801"/>
    <n v="200801"/>
    <m/>
    <n v="10"/>
    <n v="200801"/>
    <n v="148500"/>
  </r>
  <r>
    <x v="353"/>
    <x v="2"/>
    <m/>
    <x v="22"/>
    <x v="5"/>
    <x v="52"/>
    <n v="200801"/>
    <n v="200801"/>
    <m/>
    <n v="20"/>
    <n v="200801"/>
    <n v="342000"/>
  </r>
  <r>
    <x v="353"/>
    <x v="2"/>
    <m/>
    <x v="19"/>
    <x v="5"/>
    <x v="50"/>
    <n v="200801"/>
    <n v="200801"/>
    <m/>
    <n v="40"/>
    <n v="200801"/>
    <n v="288000"/>
  </r>
  <r>
    <x v="353"/>
    <x v="2"/>
    <m/>
    <x v="4"/>
    <x v="5"/>
    <x v="62"/>
    <n v="200801"/>
    <n v="200801"/>
    <m/>
    <n v="20"/>
    <n v="200801"/>
    <n v="360000"/>
  </r>
  <r>
    <x v="353"/>
    <x v="2"/>
    <m/>
    <x v="0"/>
    <x v="7"/>
    <x v="15"/>
    <n v="200801"/>
    <n v="200801"/>
    <m/>
    <n v="3"/>
    <n v="200801"/>
    <n v="60000"/>
  </r>
  <r>
    <x v="353"/>
    <x v="2"/>
    <m/>
    <x v="33"/>
    <x v="3"/>
    <x v="94"/>
    <n v="200801"/>
    <n v="200801"/>
    <m/>
    <n v="1"/>
    <n v="200801"/>
    <n v="0"/>
  </r>
  <r>
    <x v="353"/>
    <x v="2"/>
    <m/>
    <x v="31"/>
    <x v="3"/>
    <x v="88"/>
    <n v="200801"/>
    <n v="200801"/>
    <m/>
    <n v="1"/>
    <n v="200801"/>
    <n v="0"/>
  </r>
  <r>
    <x v="353"/>
    <x v="2"/>
    <m/>
    <x v="0"/>
    <x v="3"/>
    <x v="15"/>
    <n v="200801"/>
    <n v="200801"/>
    <m/>
    <n v="2"/>
    <n v="200801"/>
    <n v="0"/>
  </r>
  <r>
    <x v="353"/>
    <x v="2"/>
    <m/>
    <x v="6"/>
    <x v="2"/>
    <x v="37"/>
    <n v="200801"/>
    <n v="200801"/>
    <m/>
    <n v="1"/>
    <n v="200801"/>
    <n v="20000"/>
  </r>
  <r>
    <x v="353"/>
    <x v="2"/>
    <m/>
    <x v="25"/>
    <x v="2"/>
    <x v="34"/>
    <n v="200801"/>
    <n v="200801"/>
    <m/>
    <n v="3"/>
    <n v="200801"/>
    <n v="297000"/>
  </r>
  <r>
    <x v="353"/>
    <x v="2"/>
    <m/>
    <x v="4"/>
    <x v="2"/>
    <x v="26"/>
    <n v="200801"/>
    <n v="200801"/>
    <m/>
    <n v="14"/>
    <n v="200801"/>
    <n v="56000"/>
  </r>
  <r>
    <x v="353"/>
    <x v="2"/>
    <m/>
    <x v="4"/>
    <x v="2"/>
    <x v="27"/>
    <n v="200801"/>
    <n v="200801"/>
    <m/>
    <n v="2"/>
    <n v="200801"/>
    <n v="40000"/>
  </r>
  <r>
    <x v="353"/>
    <x v="2"/>
    <m/>
    <x v="0"/>
    <x v="2"/>
    <x v="15"/>
    <n v="200801"/>
    <n v="200801"/>
    <m/>
    <n v="46"/>
    <n v="200801"/>
    <n v="920000"/>
  </r>
  <r>
    <x v="353"/>
    <x v="2"/>
    <m/>
    <x v="0"/>
    <x v="2"/>
    <x v="16"/>
    <n v="200801"/>
    <n v="200801"/>
    <m/>
    <n v="30"/>
    <n v="200801"/>
    <n v="1050000"/>
  </r>
  <r>
    <x v="353"/>
    <x v="2"/>
    <m/>
    <x v="0"/>
    <x v="2"/>
    <x v="17"/>
    <n v="200801"/>
    <n v="200801"/>
    <m/>
    <n v="58"/>
    <n v="200801"/>
    <n v="1914000"/>
  </r>
  <r>
    <x v="353"/>
    <x v="2"/>
    <m/>
    <x v="0"/>
    <x v="2"/>
    <x v="19"/>
    <n v="200801"/>
    <n v="200801"/>
    <m/>
    <n v="37"/>
    <n v="200801"/>
    <n v="111000"/>
  </r>
  <r>
    <x v="353"/>
    <x v="2"/>
    <m/>
    <x v="5"/>
    <x v="2"/>
    <x v="28"/>
    <n v="200801"/>
    <n v="200801"/>
    <m/>
    <n v="16"/>
    <n v="200801"/>
    <n v="448000"/>
  </r>
  <r>
    <x v="353"/>
    <x v="2"/>
    <m/>
    <x v="5"/>
    <x v="2"/>
    <x v="69"/>
    <n v="200801"/>
    <n v="200801"/>
    <m/>
    <n v="4"/>
    <n v="200801"/>
    <n v="192000"/>
  </r>
  <r>
    <x v="353"/>
    <x v="2"/>
    <m/>
    <x v="22"/>
    <x v="2"/>
    <x v="29"/>
    <n v="200801"/>
    <n v="200801"/>
    <m/>
    <n v="4"/>
    <n v="200801"/>
    <n v="152000"/>
  </r>
  <r>
    <x v="353"/>
    <x v="2"/>
    <m/>
    <x v="19"/>
    <x v="2"/>
    <x v="22"/>
    <n v="200801"/>
    <n v="200801"/>
    <m/>
    <n v="9"/>
    <n v="200801"/>
    <n v="117000"/>
  </r>
  <r>
    <x v="353"/>
    <x v="2"/>
    <m/>
    <x v="33"/>
    <x v="2"/>
    <x v="92"/>
    <n v="200801"/>
    <n v="200801"/>
    <m/>
    <n v="2"/>
    <n v="200801"/>
    <n v="36400"/>
  </r>
  <r>
    <x v="353"/>
    <x v="2"/>
    <m/>
    <x v="33"/>
    <x v="2"/>
    <x v="93"/>
    <n v="200801"/>
    <n v="200801"/>
    <m/>
    <n v="1"/>
    <n v="200801"/>
    <n v="33800"/>
  </r>
  <r>
    <x v="353"/>
    <x v="2"/>
    <m/>
    <x v="0"/>
    <x v="10"/>
    <x v="54"/>
    <n v="200801"/>
    <n v="200801"/>
    <m/>
    <n v="2"/>
    <n v="200801"/>
    <n v="66000"/>
  </r>
  <r>
    <x v="353"/>
    <x v="2"/>
    <m/>
    <x v="0"/>
    <x v="9"/>
    <x v="15"/>
    <n v="200801"/>
    <n v="200801"/>
    <m/>
    <n v="2"/>
    <n v="200801"/>
    <n v="40000"/>
  </r>
  <r>
    <x v="354"/>
    <x v="5"/>
    <m/>
    <x v="0"/>
    <x v="7"/>
    <x v="15"/>
    <n v="200801"/>
    <n v="200801"/>
    <m/>
    <n v="2"/>
    <n v="200801"/>
    <n v="40000"/>
  </r>
  <r>
    <x v="354"/>
    <x v="5"/>
    <m/>
    <x v="6"/>
    <x v="2"/>
    <x v="37"/>
    <n v="200801"/>
    <n v="200801"/>
    <m/>
    <n v="1"/>
    <n v="200801"/>
    <n v="20000"/>
  </r>
  <r>
    <x v="354"/>
    <x v="5"/>
    <m/>
    <x v="25"/>
    <x v="2"/>
    <x v="34"/>
    <n v="200801"/>
    <n v="200801"/>
    <m/>
    <n v="2"/>
    <n v="200801"/>
    <n v="198000"/>
  </r>
  <r>
    <x v="354"/>
    <x v="5"/>
    <m/>
    <x v="1"/>
    <x v="2"/>
    <x v="21"/>
    <n v="200801"/>
    <n v="200801"/>
    <m/>
    <n v="1"/>
    <n v="200801"/>
    <n v="35000"/>
  </r>
  <r>
    <x v="354"/>
    <x v="5"/>
    <m/>
    <x v="4"/>
    <x v="2"/>
    <x v="26"/>
    <n v="200801"/>
    <n v="200801"/>
    <m/>
    <n v="4"/>
    <n v="200801"/>
    <n v="16000"/>
  </r>
  <r>
    <x v="354"/>
    <x v="5"/>
    <m/>
    <x v="4"/>
    <x v="2"/>
    <x v="27"/>
    <n v="200801"/>
    <n v="200801"/>
    <m/>
    <n v="2"/>
    <n v="200801"/>
    <n v="40000"/>
  </r>
  <r>
    <x v="354"/>
    <x v="5"/>
    <m/>
    <x v="0"/>
    <x v="2"/>
    <x v="15"/>
    <n v="200801"/>
    <n v="200801"/>
    <m/>
    <n v="31"/>
    <n v="200801"/>
    <n v="620000"/>
  </r>
  <r>
    <x v="354"/>
    <x v="5"/>
    <m/>
    <x v="0"/>
    <x v="2"/>
    <x v="16"/>
    <n v="200801"/>
    <n v="200801"/>
    <m/>
    <n v="30"/>
    <n v="200801"/>
    <n v="1050000"/>
  </r>
  <r>
    <x v="354"/>
    <x v="5"/>
    <m/>
    <x v="0"/>
    <x v="2"/>
    <x v="17"/>
    <n v="200801"/>
    <n v="200801"/>
    <m/>
    <n v="44"/>
    <n v="200801"/>
    <n v="1452000"/>
  </r>
  <r>
    <x v="354"/>
    <x v="5"/>
    <m/>
    <x v="0"/>
    <x v="2"/>
    <x v="19"/>
    <n v="200801"/>
    <n v="200801"/>
    <m/>
    <n v="33"/>
    <n v="200801"/>
    <n v="99000"/>
  </r>
  <r>
    <x v="354"/>
    <x v="5"/>
    <m/>
    <x v="5"/>
    <x v="2"/>
    <x v="28"/>
    <n v="200801"/>
    <n v="200801"/>
    <m/>
    <n v="10"/>
    <n v="200801"/>
    <n v="280000"/>
  </r>
  <r>
    <x v="354"/>
    <x v="5"/>
    <m/>
    <x v="22"/>
    <x v="2"/>
    <x v="29"/>
    <n v="200801"/>
    <n v="200801"/>
    <m/>
    <n v="7"/>
    <n v="200801"/>
    <n v="266000"/>
  </r>
  <r>
    <x v="354"/>
    <x v="5"/>
    <m/>
    <x v="19"/>
    <x v="2"/>
    <x v="22"/>
    <n v="200801"/>
    <n v="200801"/>
    <m/>
    <n v="1"/>
    <n v="200801"/>
    <n v="13000"/>
  </r>
  <r>
    <x v="354"/>
    <x v="5"/>
    <m/>
    <x v="33"/>
    <x v="2"/>
    <x v="92"/>
    <n v="200801"/>
    <n v="200801"/>
    <m/>
    <n v="2"/>
    <n v="200801"/>
    <n v="36400"/>
  </r>
  <r>
    <x v="354"/>
    <x v="5"/>
    <m/>
    <x v="33"/>
    <x v="2"/>
    <x v="93"/>
    <n v="200801"/>
    <n v="200801"/>
    <m/>
    <n v="1"/>
    <n v="200801"/>
    <n v="33800"/>
  </r>
  <r>
    <x v="354"/>
    <x v="5"/>
    <m/>
    <x v="0"/>
    <x v="9"/>
    <x v="15"/>
    <n v="200801"/>
    <n v="200801"/>
    <m/>
    <n v="7"/>
    <n v="200801"/>
    <n v="140000"/>
  </r>
  <r>
    <x v="354"/>
    <x v="5"/>
    <m/>
    <x v="1"/>
    <x v="9"/>
    <x v="18"/>
    <n v="200801"/>
    <n v="200801"/>
    <m/>
    <n v="1"/>
    <n v="200801"/>
    <n v="20000"/>
  </r>
  <r>
    <x v="354"/>
    <x v="5"/>
    <m/>
    <x v="6"/>
    <x v="9"/>
    <x v="37"/>
    <n v="200801"/>
    <n v="200801"/>
    <m/>
    <n v="1"/>
    <n v="200801"/>
    <n v="20000"/>
  </r>
  <r>
    <x v="355"/>
    <x v="6"/>
    <m/>
    <x v="0"/>
    <x v="7"/>
    <x v="15"/>
    <n v="200801"/>
    <n v="200801"/>
    <m/>
    <n v="5"/>
    <n v="200801"/>
    <n v="100000"/>
  </r>
  <r>
    <x v="355"/>
    <x v="6"/>
    <m/>
    <x v="6"/>
    <x v="2"/>
    <x v="37"/>
    <n v="200801"/>
    <n v="200801"/>
    <m/>
    <n v="1"/>
    <n v="200801"/>
    <n v="20000"/>
  </r>
  <r>
    <x v="355"/>
    <x v="6"/>
    <m/>
    <x v="6"/>
    <x v="2"/>
    <x v="42"/>
    <n v="200801"/>
    <n v="200801"/>
    <m/>
    <n v="1"/>
    <n v="200801"/>
    <n v="35000"/>
  </r>
  <r>
    <x v="355"/>
    <x v="6"/>
    <m/>
    <x v="25"/>
    <x v="2"/>
    <x v="34"/>
    <n v="200801"/>
    <n v="200801"/>
    <m/>
    <n v="3"/>
    <n v="200801"/>
    <n v="297000"/>
  </r>
  <r>
    <x v="355"/>
    <x v="6"/>
    <m/>
    <x v="32"/>
    <x v="2"/>
    <x v="91"/>
    <n v="200801"/>
    <n v="200801"/>
    <m/>
    <n v="1"/>
    <n v="200801"/>
    <n v="37100"/>
  </r>
  <r>
    <x v="355"/>
    <x v="6"/>
    <m/>
    <x v="1"/>
    <x v="2"/>
    <x v="21"/>
    <n v="200801"/>
    <n v="200801"/>
    <m/>
    <n v="1"/>
    <n v="200801"/>
    <n v="35000"/>
  </r>
  <r>
    <x v="355"/>
    <x v="6"/>
    <m/>
    <x v="4"/>
    <x v="2"/>
    <x v="26"/>
    <n v="200801"/>
    <n v="200801"/>
    <m/>
    <n v="6"/>
    <n v="200801"/>
    <n v="24000"/>
  </r>
  <r>
    <x v="355"/>
    <x v="6"/>
    <m/>
    <x v="4"/>
    <x v="2"/>
    <x v="27"/>
    <n v="200801"/>
    <n v="200801"/>
    <m/>
    <n v="3"/>
    <n v="200801"/>
    <n v="60000"/>
  </r>
  <r>
    <x v="355"/>
    <x v="6"/>
    <m/>
    <x v="0"/>
    <x v="2"/>
    <x v="15"/>
    <n v="200801"/>
    <n v="200801"/>
    <m/>
    <n v="45"/>
    <n v="200801"/>
    <n v="900000"/>
  </r>
  <r>
    <x v="355"/>
    <x v="6"/>
    <m/>
    <x v="0"/>
    <x v="2"/>
    <x v="16"/>
    <n v="200801"/>
    <n v="200801"/>
    <m/>
    <n v="36"/>
    <n v="200801"/>
    <n v="1260000"/>
  </r>
  <r>
    <x v="355"/>
    <x v="6"/>
    <m/>
    <x v="0"/>
    <x v="2"/>
    <x v="17"/>
    <n v="200801"/>
    <n v="200801"/>
    <m/>
    <n v="50"/>
    <n v="200801"/>
    <n v="1650000"/>
  </r>
  <r>
    <x v="355"/>
    <x v="6"/>
    <m/>
    <x v="0"/>
    <x v="2"/>
    <x v="19"/>
    <n v="200801"/>
    <n v="200801"/>
    <m/>
    <n v="36"/>
    <n v="200801"/>
    <n v="108000"/>
  </r>
  <r>
    <x v="355"/>
    <x v="6"/>
    <m/>
    <x v="5"/>
    <x v="2"/>
    <x v="28"/>
    <n v="200801"/>
    <n v="200801"/>
    <m/>
    <n v="17"/>
    <n v="200801"/>
    <n v="476000"/>
  </r>
  <r>
    <x v="355"/>
    <x v="6"/>
    <m/>
    <x v="5"/>
    <x v="2"/>
    <x v="69"/>
    <n v="200801"/>
    <n v="200801"/>
    <m/>
    <n v="1"/>
    <n v="200801"/>
    <n v="48000"/>
  </r>
  <r>
    <x v="355"/>
    <x v="6"/>
    <m/>
    <x v="22"/>
    <x v="2"/>
    <x v="29"/>
    <n v="200801"/>
    <n v="200801"/>
    <m/>
    <n v="10"/>
    <n v="200801"/>
    <n v="380000"/>
  </r>
  <r>
    <x v="355"/>
    <x v="6"/>
    <m/>
    <x v="19"/>
    <x v="2"/>
    <x v="22"/>
    <n v="200801"/>
    <n v="200801"/>
    <m/>
    <n v="4"/>
    <n v="200801"/>
    <n v="52000"/>
  </r>
  <r>
    <x v="355"/>
    <x v="6"/>
    <m/>
    <x v="19"/>
    <x v="2"/>
    <x v="23"/>
    <n v="200801"/>
    <n v="200801"/>
    <m/>
    <n v="1"/>
    <n v="200801"/>
    <n v="24000"/>
  </r>
  <r>
    <x v="355"/>
    <x v="6"/>
    <m/>
    <x v="19"/>
    <x v="2"/>
    <x v="24"/>
    <n v="200801"/>
    <n v="200801"/>
    <m/>
    <n v="2"/>
    <n v="200801"/>
    <n v="66000"/>
  </r>
  <r>
    <x v="355"/>
    <x v="6"/>
    <m/>
    <x v="33"/>
    <x v="2"/>
    <x v="92"/>
    <n v="200801"/>
    <n v="200801"/>
    <m/>
    <n v="1"/>
    <n v="200801"/>
    <n v="18200"/>
  </r>
  <r>
    <x v="355"/>
    <x v="6"/>
    <m/>
    <x v="0"/>
    <x v="9"/>
    <x v="15"/>
    <n v="200801"/>
    <n v="200801"/>
    <m/>
    <n v="8"/>
    <n v="200801"/>
    <n v="160000"/>
  </r>
  <r>
    <x v="355"/>
    <x v="6"/>
    <m/>
    <x v="0"/>
    <x v="6"/>
    <x v="15"/>
    <n v="200801"/>
    <n v="200801"/>
    <m/>
    <n v="936"/>
    <n v="200801"/>
    <n v="8487648"/>
  </r>
  <r>
    <x v="355"/>
    <x v="6"/>
    <m/>
    <x v="0"/>
    <x v="6"/>
    <x v="17"/>
    <n v="200801"/>
    <n v="200801"/>
    <m/>
    <n v="3"/>
    <n v="200801"/>
    <n v="47454"/>
  </r>
  <r>
    <x v="355"/>
    <x v="6"/>
    <m/>
    <x v="4"/>
    <x v="6"/>
    <x v="26"/>
    <n v="200801"/>
    <n v="200801"/>
    <m/>
    <n v="401"/>
    <n v="200801"/>
    <n v="430273"/>
  </r>
  <r>
    <x v="355"/>
    <x v="6"/>
    <m/>
    <x v="26"/>
    <x v="6"/>
    <x v="35"/>
    <n v="200801"/>
    <n v="200801"/>
    <m/>
    <n v="38"/>
    <n v="200801"/>
    <n v="650978"/>
  </r>
  <r>
    <x v="355"/>
    <x v="6"/>
    <m/>
    <x v="22"/>
    <x v="6"/>
    <x v="29"/>
    <n v="200801"/>
    <n v="200801"/>
    <m/>
    <n v="63"/>
    <n v="200801"/>
    <n v="1240533"/>
  </r>
  <r>
    <x v="355"/>
    <x v="6"/>
    <m/>
    <x v="24"/>
    <x v="6"/>
    <x v="31"/>
    <n v="200801"/>
    <n v="200801"/>
    <m/>
    <n v="139"/>
    <n v="200801"/>
    <n v="2067903"/>
  </r>
  <r>
    <x v="355"/>
    <x v="6"/>
    <m/>
    <x v="23"/>
    <x v="6"/>
    <x v="30"/>
    <n v="200801"/>
    <n v="200801"/>
    <m/>
    <n v="12"/>
    <n v="200801"/>
    <n v="83568"/>
  </r>
  <r>
    <x v="355"/>
    <x v="6"/>
    <m/>
    <x v="20"/>
    <x v="6"/>
    <x v="25"/>
    <n v="200801"/>
    <n v="200801"/>
    <m/>
    <n v="1"/>
    <n v="200801"/>
    <n v="9716"/>
  </r>
  <r>
    <x v="355"/>
    <x v="6"/>
    <m/>
    <x v="19"/>
    <x v="6"/>
    <x v="22"/>
    <n v="200801"/>
    <n v="200801"/>
    <m/>
    <n v="55"/>
    <n v="200801"/>
    <n v="373505"/>
  </r>
  <r>
    <x v="355"/>
    <x v="6"/>
    <m/>
    <x v="27"/>
    <x v="6"/>
    <x v="36"/>
    <n v="200801"/>
    <n v="200801"/>
    <m/>
    <n v="1"/>
    <n v="200801"/>
    <n v="9457"/>
  </r>
  <r>
    <x v="355"/>
    <x v="6"/>
    <m/>
    <x v="6"/>
    <x v="6"/>
    <x v="37"/>
    <n v="200801"/>
    <n v="200801"/>
    <m/>
    <n v="34"/>
    <n v="200801"/>
    <n v="340000"/>
  </r>
  <r>
    <x v="355"/>
    <x v="6"/>
    <m/>
    <x v="28"/>
    <x v="6"/>
    <x v="39"/>
    <n v="200801"/>
    <n v="200801"/>
    <m/>
    <n v="22"/>
    <n v="200801"/>
    <n v="347996"/>
  </r>
  <r>
    <x v="355"/>
    <x v="6"/>
    <m/>
    <x v="4"/>
    <x v="6"/>
    <x v="66"/>
    <n v="200801"/>
    <n v="200801"/>
    <m/>
    <n v="106"/>
    <n v="200801"/>
    <n v="593282"/>
  </r>
  <r>
    <x v="356"/>
    <x v="3"/>
    <m/>
    <x v="0"/>
    <x v="1"/>
    <x v="15"/>
    <n v="200801"/>
    <n v="200801"/>
    <m/>
    <n v="4"/>
    <n v="200801"/>
    <n v="80000"/>
  </r>
  <r>
    <x v="356"/>
    <x v="3"/>
    <m/>
    <x v="0"/>
    <x v="1"/>
    <x v="16"/>
    <n v="200801"/>
    <n v="200801"/>
    <m/>
    <n v="16"/>
    <n v="200801"/>
    <n v="560000"/>
  </r>
  <r>
    <x v="356"/>
    <x v="3"/>
    <m/>
    <x v="0"/>
    <x v="7"/>
    <x v="15"/>
    <n v="200801"/>
    <n v="200801"/>
    <m/>
    <n v="7"/>
    <n v="200801"/>
    <n v="140000"/>
  </r>
  <r>
    <x v="356"/>
    <x v="3"/>
    <m/>
    <x v="0"/>
    <x v="3"/>
    <x v="15"/>
    <n v="200801"/>
    <n v="200801"/>
    <m/>
    <n v="2"/>
    <n v="200801"/>
    <n v="0"/>
  </r>
  <r>
    <x v="356"/>
    <x v="3"/>
    <m/>
    <x v="6"/>
    <x v="2"/>
    <x v="37"/>
    <n v="200801"/>
    <n v="200801"/>
    <m/>
    <n v="3"/>
    <n v="200801"/>
    <n v="60000"/>
  </r>
  <r>
    <x v="356"/>
    <x v="3"/>
    <m/>
    <x v="25"/>
    <x v="2"/>
    <x v="34"/>
    <n v="200801"/>
    <n v="200801"/>
    <m/>
    <n v="5"/>
    <n v="200801"/>
    <n v="495000"/>
  </r>
  <r>
    <x v="356"/>
    <x v="3"/>
    <m/>
    <x v="32"/>
    <x v="2"/>
    <x v="91"/>
    <n v="200801"/>
    <n v="200801"/>
    <m/>
    <n v="1"/>
    <n v="200801"/>
    <n v="37100"/>
  </r>
  <r>
    <x v="356"/>
    <x v="3"/>
    <m/>
    <x v="31"/>
    <x v="2"/>
    <x v="95"/>
    <n v="200801"/>
    <n v="200801"/>
    <m/>
    <n v="8"/>
    <n v="200801"/>
    <n v="179200"/>
  </r>
  <r>
    <x v="356"/>
    <x v="3"/>
    <m/>
    <x v="31"/>
    <x v="2"/>
    <x v="96"/>
    <n v="200801"/>
    <n v="200801"/>
    <m/>
    <n v="3"/>
    <n v="200801"/>
    <n v="117600"/>
  </r>
  <r>
    <x v="356"/>
    <x v="3"/>
    <m/>
    <x v="32"/>
    <x v="2"/>
    <x v="97"/>
    <n v="200801"/>
    <n v="200801"/>
    <m/>
    <n v="7"/>
    <n v="200801"/>
    <n v="259700"/>
  </r>
  <r>
    <x v="356"/>
    <x v="3"/>
    <m/>
    <x v="34"/>
    <x v="2"/>
    <x v="98"/>
    <n v="200801"/>
    <n v="200801"/>
    <m/>
    <n v="14"/>
    <n v="200801"/>
    <n v="490000"/>
  </r>
  <r>
    <x v="356"/>
    <x v="3"/>
    <m/>
    <x v="30"/>
    <x v="2"/>
    <x v="99"/>
    <n v="200801"/>
    <n v="200801"/>
    <m/>
    <n v="3"/>
    <n v="200801"/>
    <n v="67200"/>
  </r>
  <r>
    <x v="356"/>
    <x v="3"/>
    <m/>
    <x v="1"/>
    <x v="2"/>
    <x v="18"/>
    <n v="200801"/>
    <n v="200801"/>
    <m/>
    <n v="3"/>
    <n v="200801"/>
    <n v="60000"/>
  </r>
  <r>
    <x v="356"/>
    <x v="3"/>
    <m/>
    <x v="1"/>
    <x v="2"/>
    <x v="21"/>
    <n v="200801"/>
    <n v="200801"/>
    <m/>
    <n v="1"/>
    <n v="200801"/>
    <n v="35000"/>
  </r>
  <r>
    <x v="356"/>
    <x v="3"/>
    <m/>
    <x v="4"/>
    <x v="2"/>
    <x v="26"/>
    <n v="200801"/>
    <n v="200801"/>
    <m/>
    <n v="6"/>
    <n v="200801"/>
    <n v="24000"/>
  </r>
  <r>
    <x v="356"/>
    <x v="3"/>
    <m/>
    <x v="4"/>
    <x v="2"/>
    <x v="27"/>
    <n v="200801"/>
    <n v="200801"/>
    <m/>
    <n v="8"/>
    <n v="200801"/>
    <n v="160000"/>
  </r>
  <r>
    <x v="356"/>
    <x v="3"/>
    <m/>
    <x v="0"/>
    <x v="2"/>
    <x v="15"/>
    <n v="200801"/>
    <n v="200801"/>
    <m/>
    <n v="66"/>
    <n v="200801"/>
    <n v="1320000"/>
  </r>
  <r>
    <x v="356"/>
    <x v="3"/>
    <m/>
    <x v="0"/>
    <x v="2"/>
    <x v="16"/>
    <n v="200801"/>
    <n v="200801"/>
    <m/>
    <n v="52"/>
    <n v="200801"/>
    <n v="1820000"/>
  </r>
  <r>
    <x v="356"/>
    <x v="3"/>
    <m/>
    <x v="0"/>
    <x v="2"/>
    <x v="17"/>
    <n v="200801"/>
    <n v="200801"/>
    <m/>
    <n v="65"/>
    <n v="200801"/>
    <n v="2145000"/>
  </r>
  <r>
    <x v="356"/>
    <x v="3"/>
    <m/>
    <x v="0"/>
    <x v="2"/>
    <x v="19"/>
    <n v="200801"/>
    <n v="200801"/>
    <m/>
    <n v="49"/>
    <n v="200801"/>
    <n v="147000"/>
  </r>
  <r>
    <x v="356"/>
    <x v="3"/>
    <m/>
    <x v="5"/>
    <x v="2"/>
    <x v="28"/>
    <n v="200801"/>
    <n v="200801"/>
    <m/>
    <n v="21"/>
    <n v="200801"/>
    <n v="588000"/>
  </r>
  <r>
    <x v="356"/>
    <x v="3"/>
    <m/>
    <x v="5"/>
    <x v="2"/>
    <x v="69"/>
    <n v="200801"/>
    <n v="200801"/>
    <m/>
    <n v="3"/>
    <n v="200801"/>
    <n v="144000"/>
  </r>
  <r>
    <x v="356"/>
    <x v="3"/>
    <m/>
    <x v="22"/>
    <x v="2"/>
    <x v="29"/>
    <n v="200801"/>
    <n v="200801"/>
    <m/>
    <n v="7"/>
    <n v="200801"/>
    <n v="266000"/>
  </r>
  <r>
    <x v="356"/>
    <x v="3"/>
    <m/>
    <x v="19"/>
    <x v="2"/>
    <x v="22"/>
    <n v="200801"/>
    <n v="200801"/>
    <m/>
    <n v="4"/>
    <n v="200801"/>
    <n v="52000"/>
  </r>
  <r>
    <x v="356"/>
    <x v="3"/>
    <m/>
    <x v="19"/>
    <x v="2"/>
    <x v="23"/>
    <n v="200801"/>
    <n v="200801"/>
    <m/>
    <n v="1"/>
    <n v="200801"/>
    <n v="24000"/>
  </r>
  <r>
    <x v="356"/>
    <x v="3"/>
    <m/>
    <x v="33"/>
    <x v="2"/>
    <x v="92"/>
    <n v="200801"/>
    <n v="200801"/>
    <m/>
    <n v="5"/>
    <n v="200801"/>
    <n v="91000"/>
  </r>
  <r>
    <x v="356"/>
    <x v="3"/>
    <m/>
    <x v="33"/>
    <x v="2"/>
    <x v="93"/>
    <n v="200801"/>
    <n v="200801"/>
    <m/>
    <n v="1"/>
    <n v="200801"/>
    <n v="33800"/>
  </r>
  <r>
    <x v="356"/>
    <x v="3"/>
    <m/>
    <x v="0"/>
    <x v="10"/>
    <x v="54"/>
    <n v="200801"/>
    <n v="200801"/>
    <m/>
    <n v="4"/>
    <n v="200801"/>
    <n v="132000"/>
  </r>
  <r>
    <x v="356"/>
    <x v="3"/>
    <m/>
    <x v="0"/>
    <x v="10"/>
    <x v="57"/>
    <n v="200801"/>
    <n v="200801"/>
    <m/>
    <n v="4"/>
    <n v="200801"/>
    <n v="212000"/>
  </r>
  <r>
    <x v="356"/>
    <x v="3"/>
    <m/>
    <x v="0"/>
    <x v="9"/>
    <x v="15"/>
    <n v="200801"/>
    <n v="200801"/>
    <m/>
    <n v="3"/>
    <n v="200801"/>
    <n v="60000"/>
  </r>
  <r>
    <x v="356"/>
    <x v="3"/>
    <m/>
    <x v="6"/>
    <x v="19"/>
    <x v="37"/>
    <n v="200801"/>
    <n v="200801"/>
    <m/>
    <n v="1"/>
    <n v="200801"/>
    <n v="25000"/>
  </r>
  <r>
    <x v="357"/>
    <x v="4"/>
    <m/>
    <x v="0"/>
    <x v="1"/>
    <x v="15"/>
    <n v="200801"/>
    <n v="200801"/>
    <m/>
    <n v="1"/>
    <n v="200801"/>
    <n v="20000"/>
  </r>
  <r>
    <x v="357"/>
    <x v="4"/>
    <m/>
    <x v="0"/>
    <x v="1"/>
    <x v="16"/>
    <n v="200801"/>
    <n v="200801"/>
    <m/>
    <n v="8"/>
    <n v="200801"/>
    <n v="280000"/>
  </r>
  <r>
    <x v="357"/>
    <x v="4"/>
    <m/>
    <x v="0"/>
    <x v="7"/>
    <x v="15"/>
    <n v="200801"/>
    <n v="200801"/>
    <m/>
    <n v="2"/>
    <n v="200801"/>
    <n v="40000"/>
  </r>
  <r>
    <x v="357"/>
    <x v="4"/>
    <m/>
    <x v="6"/>
    <x v="2"/>
    <x v="37"/>
    <n v="200801"/>
    <n v="200801"/>
    <m/>
    <n v="1"/>
    <n v="200801"/>
    <n v="20000"/>
  </r>
  <r>
    <x v="357"/>
    <x v="4"/>
    <m/>
    <x v="6"/>
    <x v="2"/>
    <x v="42"/>
    <n v="200801"/>
    <n v="200801"/>
    <m/>
    <n v="1"/>
    <n v="200801"/>
    <n v="35000"/>
  </r>
  <r>
    <x v="357"/>
    <x v="4"/>
    <m/>
    <x v="25"/>
    <x v="2"/>
    <x v="34"/>
    <n v="200801"/>
    <n v="200801"/>
    <m/>
    <n v="2"/>
    <n v="200801"/>
    <n v="198000"/>
  </r>
  <r>
    <x v="357"/>
    <x v="4"/>
    <m/>
    <x v="31"/>
    <x v="2"/>
    <x v="95"/>
    <n v="200801"/>
    <n v="200801"/>
    <m/>
    <n v="11"/>
    <n v="200801"/>
    <n v="246400"/>
  </r>
  <r>
    <x v="357"/>
    <x v="4"/>
    <m/>
    <x v="31"/>
    <x v="2"/>
    <x v="96"/>
    <n v="200801"/>
    <n v="200801"/>
    <m/>
    <n v="10"/>
    <n v="200801"/>
    <n v="392000"/>
  </r>
  <r>
    <x v="357"/>
    <x v="4"/>
    <m/>
    <x v="32"/>
    <x v="2"/>
    <x v="97"/>
    <n v="200801"/>
    <n v="200801"/>
    <m/>
    <n v="12"/>
    <n v="200801"/>
    <n v="445200"/>
  </r>
  <r>
    <x v="357"/>
    <x v="4"/>
    <m/>
    <x v="34"/>
    <x v="2"/>
    <x v="98"/>
    <n v="200801"/>
    <n v="200801"/>
    <m/>
    <n v="23"/>
    <n v="200801"/>
    <n v="805000"/>
  </r>
  <r>
    <x v="357"/>
    <x v="4"/>
    <m/>
    <x v="30"/>
    <x v="2"/>
    <x v="99"/>
    <n v="200801"/>
    <n v="200801"/>
    <m/>
    <n v="1"/>
    <n v="200801"/>
    <n v="22400"/>
  </r>
  <r>
    <x v="357"/>
    <x v="4"/>
    <m/>
    <x v="30"/>
    <x v="2"/>
    <x v="100"/>
    <n v="200801"/>
    <n v="200801"/>
    <m/>
    <n v="1"/>
    <n v="200801"/>
    <n v="39200"/>
  </r>
  <r>
    <x v="357"/>
    <x v="4"/>
    <m/>
    <x v="4"/>
    <x v="2"/>
    <x v="26"/>
    <n v="200801"/>
    <n v="200801"/>
    <m/>
    <n v="2"/>
    <n v="200801"/>
    <n v="8000"/>
  </r>
  <r>
    <x v="357"/>
    <x v="4"/>
    <m/>
    <x v="4"/>
    <x v="2"/>
    <x v="27"/>
    <n v="200801"/>
    <n v="200801"/>
    <m/>
    <n v="5"/>
    <n v="200801"/>
    <n v="100000"/>
  </r>
  <r>
    <x v="357"/>
    <x v="4"/>
    <m/>
    <x v="0"/>
    <x v="2"/>
    <x v="15"/>
    <n v="200801"/>
    <n v="200801"/>
    <m/>
    <n v="39"/>
    <n v="200801"/>
    <n v="780000"/>
  </r>
  <r>
    <x v="357"/>
    <x v="4"/>
    <m/>
    <x v="0"/>
    <x v="2"/>
    <x v="16"/>
    <n v="200801"/>
    <n v="200801"/>
    <m/>
    <n v="27"/>
    <n v="200801"/>
    <n v="945000"/>
  </r>
  <r>
    <x v="357"/>
    <x v="4"/>
    <m/>
    <x v="0"/>
    <x v="2"/>
    <x v="17"/>
    <n v="200801"/>
    <n v="200801"/>
    <m/>
    <n v="45"/>
    <n v="200801"/>
    <n v="1485000"/>
  </r>
  <r>
    <x v="357"/>
    <x v="4"/>
    <m/>
    <x v="0"/>
    <x v="2"/>
    <x v="19"/>
    <n v="200801"/>
    <n v="200801"/>
    <m/>
    <n v="36"/>
    <n v="200801"/>
    <n v="108000"/>
  </r>
  <r>
    <x v="357"/>
    <x v="4"/>
    <m/>
    <x v="5"/>
    <x v="2"/>
    <x v="28"/>
    <n v="200801"/>
    <n v="200801"/>
    <m/>
    <n v="9"/>
    <n v="200801"/>
    <n v="252000"/>
  </r>
  <r>
    <x v="357"/>
    <x v="4"/>
    <m/>
    <x v="5"/>
    <x v="2"/>
    <x v="69"/>
    <n v="200801"/>
    <n v="200801"/>
    <m/>
    <n v="4"/>
    <n v="200801"/>
    <n v="192000"/>
  </r>
  <r>
    <x v="357"/>
    <x v="4"/>
    <m/>
    <x v="22"/>
    <x v="2"/>
    <x v="29"/>
    <n v="200801"/>
    <n v="200801"/>
    <m/>
    <n v="1"/>
    <n v="200801"/>
    <n v="38000"/>
  </r>
  <r>
    <x v="357"/>
    <x v="4"/>
    <m/>
    <x v="19"/>
    <x v="2"/>
    <x v="22"/>
    <n v="200801"/>
    <n v="200801"/>
    <m/>
    <n v="7"/>
    <n v="200801"/>
    <n v="91000"/>
  </r>
  <r>
    <x v="357"/>
    <x v="4"/>
    <m/>
    <x v="19"/>
    <x v="2"/>
    <x v="23"/>
    <n v="200801"/>
    <n v="200801"/>
    <m/>
    <n v="1"/>
    <n v="200801"/>
    <n v="24000"/>
  </r>
  <r>
    <x v="357"/>
    <x v="4"/>
    <m/>
    <x v="19"/>
    <x v="2"/>
    <x v="24"/>
    <n v="200801"/>
    <n v="200801"/>
    <m/>
    <n v="1"/>
    <n v="200801"/>
    <n v="33000"/>
  </r>
  <r>
    <x v="357"/>
    <x v="4"/>
    <m/>
    <x v="33"/>
    <x v="2"/>
    <x v="92"/>
    <n v="200801"/>
    <n v="200801"/>
    <m/>
    <n v="1"/>
    <n v="200801"/>
    <n v="18200"/>
  </r>
  <r>
    <x v="357"/>
    <x v="4"/>
    <m/>
    <x v="0"/>
    <x v="10"/>
    <x v="54"/>
    <n v="200801"/>
    <n v="200801"/>
    <m/>
    <n v="2"/>
    <n v="200801"/>
    <n v="66000"/>
  </r>
  <r>
    <x v="357"/>
    <x v="4"/>
    <m/>
    <x v="1"/>
    <x v="10"/>
    <x v="58"/>
    <n v="200801"/>
    <n v="200801"/>
    <m/>
    <n v="1"/>
    <n v="200801"/>
    <n v="36000"/>
  </r>
  <r>
    <x v="357"/>
    <x v="4"/>
    <m/>
    <x v="5"/>
    <x v="9"/>
    <x v="28"/>
    <n v="200801"/>
    <n v="200801"/>
    <m/>
    <n v="1"/>
    <n v="200801"/>
    <n v="28000"/>
  </r>
  <r>
    <x v="357"/>
    <x v="4"/>
    <m/>
    <x v="0"/>
    <x v="9"/>
    <x v="15"/>
    <n v="200801"/>
    <n v="200801"/>
    <m/>
    <n v="7"/>
    <n v="200801"/>
    <n v="140000"/>
  </r>
  <r>
    <x v="358"/>
    <x v="1"/>
    <s v="　"/>
    <x v="0"/>
    <x v="1"/>
    <x v="16"/>
    <n v="200801"/>
    <n v="200801"/>
    <m/>
    <n v="2"/>
    <n v="200801"/>
    <n v="70000"/>
  </r>
  <r>
    <x v="358"/>
    <x v="1"/>
    <s v="　"/>
    <x v="0"/>
    <x v="5"/>
    <x v="51"/>
    <n v="200801"/>
    <n v="200801"/>
    <m/>
    <n v="50"/>
    <n v="200801"/>
    <n v="562500"/>
  </r>
  <r>
    <x v="358"/>
    <x v="1"/>
    <s v="　"/>
    <x v="5"/>
    <x v="5"/>
    <x v="53"/>
    <n v="200801"/>
    <n v="200801"/>
    <m/>
    <n v="40"/>
    <n v="200801"/>
    <n v="594000"/>
  </r>
  <r>
    <x v="358"/>
    <x v="1"/>
    <s v="　"/>
    <x v="22"/>
    <x v="5"/>
    <x v="52"/>
    <n v="200801"/>
    <n v="200801"/>
    <m/>
    <n v="10"/>
    <n v="200801"/>
    <n v="171000"/>
  </r>
  <r>
    <x v="358"/>
    <x v="1"/>
    <s v="　"/>
    <x v="1"/>
    <x v="5"/>
    <x v="63"/>
    <n v="200801"/>
    <n v="200801"/>
    <m/>
    <n v="10"/>
    <n v="200801"/>
    <n v="112500"/>
  </r>
  <r>
    <x v="358"/>
    <x v="1"/>
    <s v="　"/>
    <x v="19"/>
    <x v="5"/>
    <x v="50"/>
    <n v="200801"/>
    <n v="200801"/>
    <m/>
    <n v="20"/>
    <n v="200801"/>
    <n v="144000"/>
  </r>
  <r>
    <x v="358"/>
    <x v="1"/>
    <s v="　"/>
    <x v="4"/>
    <x v="5"/>
    <x v="62"/>
    <n v="200801"/>
    <n v="200801"/>
    <m/>
    <n v="53"/>
    <n v="200801"/>
    <n v="954000"/>
  </r>
  <r>
    <x v="358"/>
    <x v="1"/>
    <s v="　"/>
    <x v="6"/>
    <x v="5"/>
    <x v="49"/>
    <n v="200801"/>
    <n v="200801"/>
    <m/>
    <n v="20"/>
    <n v="200801"/>
    <n v="225000"/>
  </r>
  <r>
    <x v="358"/>
    <x v="1"/>
    <s v="　"/>
    <x v="0"/>
    <x v="7"/>
    <x v="15"/>
    <n v="200801"/>
    <n v="200801"/>
    <m/>
    <n v="6"/>
    <n v="200801"/>
    <n v="120000"/>
  </r>
  <r>
    <x v="358"/>
    <x v="1"/>
    <s v="　"/>
    <x v="31"/>
    <x v="3"/>
    <x v="88"/>
    <n v="200801"/>
    <n v="200801"/>
    <m/>
    <n v="21"/>
    <n v="200801"/>
    <n v="0"/>
  </r>
  <r>
    <x v="358"/>
    <x v="1"/>
    <s v="　"/>
    <x v="5"/>
    <x v="3"/>
    <x v="28"/>
    <n v="200801"/>
    <n v="200801"/>
    <m/>
    <n v="35"/>
    <n v="200801"/>
    <n v="0"/>
  </r>
  <r>
    <x v="358"/>
    <x v="1"/>
    <s v="　"/>
    <x v="4"/>
    <x v="3"/>
    <x v="27"/>
    <n v="200801"/>
    <n v="200801"/>
    <m/>
    <n v="6"/>
    <n v="200801"/>
    <n v="0"/>
  </r>
  <r>
    <x v="358"/>
    <x v="1"/>
    <s v="　"/>
    <x v="6"/>
    <x v="3"/>
    <x v="37"/>
    <n v="200801"/>
    <n v="200801"/>
    <m/>
    <n v="40"/>
    <n v="200801"/>
    <n v="0"/>
  </r>
  <r>
    <x v="358"/>
    <x v="1"/>
    <s v="　"/>
    <x v="22"/>
    <x v="3"/>
    <x v="29"/>
    <n v="200801"/>
    <n v="200801"/>
    <m/>
    <n v="30"/>
    <n v="200801"/>
    <n v="0"/>
  </r>
  <r>
    <x v="358"/>
    <x v="1"/>
    <s v="　"/>
    <x v="19"/>
    <x v="3"/>
    <x v="22"/>
    <n v="200801"/>
    <n v="200801"/>
    <m/>
    <n v="30"/>
    <n v="200801"/>
    <n v="0"/>
  </r>
  <r>
    <x v="358"/>
    <x v="1"/>
    <s v="　"/>
    <x v="1"/>
    <x v="3"/>
    <x v="18"/>
    <n v="200801"/>
    <n v="200801"/>
    <m/>
    <n v="40"/>
    <n v="200801"/>
    <n v="0"/>
  </r>
  <r>
    <x v="358"/>
    <x v="1"/>
    <s v="　"/>
    <x v="6"/>
    <x v="2"/>
    <x v="37"/>
    <n v="200801"/>
    <n v="200801"/>
    <m/>
    <n v="2"/>
    <n v="200801"/>
    <n v="40000"/>
  </r>
  <r>
    <x v="358"/>
    <x v="1"/>
    <s v="　"/>
    <x v="25"/>
    <x v="2"/>
    <x v="34"/>
    <n v="200801"/>
    <n v="200801"/>
    <m/>
    <n v="7"/>
    <n v="200801"/>
    <n v="693000"/>
  </r>
  <r>
    <x v="358"/>
    <x v="1"/>
    <s v="　"/>
    <x v="31"/>
    <x v="2"/>
    <x v="95"/>
    <n v="200801"/>
    <n v="200801"/>
    <m/>
    <n v="22"/>
    <n v="200801"/>
    <n v="492800"/>
  </r>
  <r>
    <x v="358"/>
    <x v="1"/>
    <s v="　"/>
    <x v="31"/>
    <x v="2"/>
    <x v="96"/>
    <n v="200801"/>
    <n v="200801"/>
    <m/>
    <n v="13"/>
    <n v="200801"/>
    <n v="509600"/>
  </r>
  <r>
    <x v="358"/>
    <x v="1"/>
    <s v="　"/>
    <x v="32"/>
    <x v="2"/>
    <x v="97"/>
    <n v="200801"/>
    <n v="200801"/>
    <m/>
    <n v="21"/>
    <n v="200801"/>
    <n v="779100"/>
  </r>
  <r>
    <x v="358"/>
    <x v="1"/>
    <s v="　"/>
    <x v="34"/>
    <x v="2"/>
    <x v="98"/>
    <n v="200801"/>
    <n v="200801"/>
    <m/>
    <n v="29"/>
    <n v="200801"/>
    <n v="1015000"/>
  </r>
  <r>
    <x v="358"/>
    <x v="1"/>
    <s v="　"/>
    <x v="30"/>
    <x v="2"/>
    <x v="99"/>
    <n v="200801"/>
    <n v="200801"/>
    <m/>
    <n v="8"/>
    <n v="200801"/>
    <n v="179200"/>
  </r>
  <r>
    <x v="358"/>
    <x v="1"/>
    <s v="　"/>
    <x v="1"/>
    <x v="2"/>
    <x v="18"/>
    <n v="200801"/>
    <n v="200801"/>
    <m/>
    <n v="4"/>
    <n v="200801"/>
    <n v="80000"/>
  </r>
  <r>
    <x v="358"/>
    <x v="1"/>
    <s v="　"/>
    <x v="4"/>
    <x v="2"/>
    <x v="26"/>
    <n v="200801"/>
    <n v="200801"/>
    <m/>
    <n v="2"/>
    <n v="200801"/>
    <n v="8000"/>
  </r>
  <r>
    <x v="358"/>
    <x v="1"/>
    <s v="　"/>
    <x v="4"/>
    <x v="2"/>
    <x v="27"/>
    <n v="200801"/>
    <n v="200801"/>
    <m/>
    <n v="4"/>
    <n v="200801"/>
    <n v="80000"/>
  </r>
  <r>
    <x v="358"/>
    <x v="1"/>
    <s v="　"/>
    <x v="0"/>
    <x v="2"/>
    <x v="15"/>
    <n v="200801"/>
    <n v="200801"/>
    <m/>
    <n v="43"/>
    <n v="200801"/>
    <n v="860000"/>
  </r>
  <r>
    <x v="358"/>
    <x v="1"/>
    <s v="　"/>
    <x v="0"/>
    <x v="2"/>
    <x v="16"/>
    <n v="200801"/>
    <n v="200801"/>
    <m/>
    <n v="45"/>
    <n v="200801"/>
    <n v="1575000"/>
  </r>
  <r>
    <x v="358"/>
    <x v="1"/>
    <s v="　"/>
    <x v="0"/>
    <x v="2"/>
    <x v="17"/>
    <n v="200801"/>
    <n v="200801"/>
    <m/>
    <n v="47"/>
    <n v="200801"/>
    <n v="1551000"/>
  </r>
  <r>
    <x v="358"/>
    <x v="1"/>
    <s v="　"/>
    <x v="0"/>
    <x v="2"/>
    <x v="19"/>
    <n v="200801"/>
    <n v="200801"/>
    <m/>
    <n v="33"/>
    <n v="200801"/>
    <n v="99000"/>
  </r>
  <r>
    <x v="358"/>
    <x v="1"/>
    <s v="　"/>
    <x v="5"/>
    <x v="2"/>
    <x v="28"/>
    <n v="200801"/>
    <n v="200801"/>
    <m/>
    <n v="18"/>
    <n v="200801"/>
    <n v="504000"/>
  </r>
  <r>
    <x v="358"/>
    <x v="1"/>
    <s v="　"/>
    <x v="5"/>
    <x v="2"/>
    <x v="69"/>
    <n v="200801"/>
    <n v="200801"/>
    <m/>
    <n v="3"/>
    <n v="200801"/>
    <n v="144000"/>
  </r>
  <r>
    <x v="358"/>
    <x v="1"/>
    <s v="　"/>
    <x v="22"/>
    <x v="2"/>
    <x v="29"/>
    <n v="200801"/>
    <n v="200801"/>
    <m/>
    <n v="6"/>
    <n v="200801"/>
    <n v="228000"/>
  </r>
  <r>
    <x v="358"/>
    <x v="1"/>
    <s v="　"/>
    <x v="19"/>
    <x v="2"/>
    <x v="22"/>
    <n v="200801"/>
    <n v="200801"/>
    <m/>
    <n v="6"/>
    <n v="200801"/>
    <n v="78000"/>
  </r>
  <r>
    <x v="358"/>
    <x v="1"/>
    <s v="　"/>
    <x v="19"/>
    <x v="2"/>
    <x v="23"/>
    <n v="200801"/>
    <n v="200801"/>
    <m/>
    <n v="1"/>
    <n v="200801"/>
    <n v="24000"/>
  </r>
  <r>
    <x v="358"/>
    <x v="1"/>
    <s v="　"/>
    <x v="19"/>
    <x v="2"/>
    <x v="24"/>
    <n v="200801"/>
    <n v="200801"/>
    <m/>
    <n v="2"/>
    <n v="200801"/>
    <n v="66000"/>
  </r>
  <r>
    <x v="358"/>
    <x v="1"/>
    <s v="　"/>
    <x v="33"/>
    <x v="2"/>
    <x v="92"/>
    <n v="200801"/>
    <n v="200801"/>
    <m/>
    <n v="1"/>
    <n v="200801"/>
    <n v="18200"/>
  </r>
  <r>
    <x v="358"/>
    <x v="1"/>
    <s v="　"/>
    <x v="0"/>
    <x v="9"/>
    <x v="15"/>
    <n v="200801"/>
    <n v="200801"/>
    <m/>
    <n v="4"/>
    <n v="200801"/>
    <n v="80000"/>
  </r>
  <r>
    <x v="359"/>
    <x v="0"/>
    <m/>
    <x v="0"/>
    <x v="1"/>
    <x v="15"/>
    <n v="200801"/>
    <n v="200801"/>
    <m/>
    <n v="2"/>
    <n v="200801"/>
    <n v="40000"/>
  </r>
  <r>
    <x v="359"/>
    <x v="0"/>
    <m/>
    <x v="0"/>
    <x v="1"/>
    <x v="16"/>
    <n v="200801"/>
    <n v="200801"/>
    <m/>
    <n v="10"/>
    <n v="200801"/>
    <n v="350000"/>
  </r>
  <r>
    <x v="359"/>
    <x v="0"/>
    <m/>
    <x v="0"/>
    <x v="12"/>
    <x v="75"/>
    <n v="200801"/>
    <n v="200801"/>
    <m/>
    <n v="1"/>
    <n v="200801"/>
    <n v="24602"/>
  </r>
  <r>
    <x v="359"/>
    <x v="0"/>
    <m/>
    <x v="0"/>
    <x v="12"/>
    <x v="101"/>
    <n v="200801"/>
    <n v="200801"/>
    <m/>
    <n v="1"/>
    <n v="200801"/>
    <n v="44663"/>
  </r>
  <r>
    <x v="359"/>
    <x v="0"/>
    <m/>
    <x v="19"/>
    <x v="12"/>
    <x v="102"/>
    <n v="200801"/>
    <n v="200801"/>
    <m/>
    <n v="1"/>
    <n v="200801"/>
    <n v="15897"/>
  </r>
  <r>
    <x v="359"/>
    <x v="0"/>
    <m/>
    <x v="0"/>
    <x v="7"/>
    <x v="15"/>
    <n v="200801"/>
    <n v="200801"/>
    <m/>
    <n v="5"/>
    <n v="200801"/>
    <n v="100000"/>
  </r>
  <r>
    <x v="359"/>
    <x v="0"/>
    <m/>
    <x v="30"/>
    <x v="3"/>
    <x v="87"/>
    <n v="200801"/>
    <n v="200801"/>
    <m/>
    <n v="2"/>
    <n v="200801"/>
    <n v="0"/>
  </r>
  <r>
    <x v="359"/>
    <x v="0"/>
    <m/>
    <x v="31"/>
    <x v="3"/>
    <x v="88"/>
    <n v="200801"/>
    <n v="200801"/>
    <m/>
    <n v="2"/>
    <n v="200801"/>
    <n v="0"/>
  </r>
  <r>
    <x v="359"/>
    <x v="0"/>
    <m/>
    <x v="0"/>
    <x v="3"/>
    <x v="15"/>
    <n v="200801"/>
    <n v="200801"/>
    <m/>
    <n v="11"/>
    <n v="200801"/>
    <n v="0"/>
  </r>
  <r>
    <x v="359"/>
    <x v="0"/>
    <m/>
    <x v="18"/>
    <x v="3"/>
    <x v="19"/>
    <n v="200801"/>
    <n v="200801"/>
    <m/>
    <n v="1"/>
    <n v="200801"/>
    <n v="0"/>
  </r>
  <r>
    <x v="359"/>
    <x v="0"/>
    <m/>
    <x v="5"/>
    <x v="3"/>
    <x v="28"/>
    <n v="200801"/>
    <n v="200801"/>
    <m/>
    <n v="25"/>
    <n v="200801"/>
    <n v="0"/>
  </r>
  <r>
    <x v="359"/>
    <x v="0"/>
    <m/>
    <x v="19"/>
    <x v="3"/>
    <x v="22"/>
    <n v="200801"/>
    <n v="200801"/>
    <m/>
    <n v="35"/>
    <n v="200801"/>
    <n v="0"/>
  </r>
  <r>
    <x v="359"/>
    <x v="0"/>
    <m/>
    <x v="1"/>
    <x v="3"/>
    <x v="18"/>
    <n v="200801"/>
    <n v="200801"/>
    <m/>
    <n v="25"/>
    <n v="200801"/>
    <n v="0"/>
  </r>
  <r>
    <x v="359"/>
    <x v="0"/>
    <m/>
    <x v="6"/>
    <x v="2"/>
    <x v="37"/>
    <n v="200801"/>
    <n v="200801"/>
    <m/>
    <n v="1"/>
    <n v="200801"/>
    <n v="20000"/>
  </r>
  <r>
    <x v="359"/>
    <x v="0"/>
    <m/>
    <x v="25"/>
    <x v="2"/>
    <x v="34"/>
    <n v="200801"/>
    <n v="200801"/>
    <m/>
    <n v="1"/>
    <n v="200801"/>
    <n v="99000"/>
  </r>
  <r>
    <x v="359"/>
    <x v="0"/>
    <m/>
    <x v="31"/>
    <x v="2"/>
    <x v="95"/>
    <n v="200801"/>
    <n v="200801"/>
    <m/>
    <n v="19"/>
    <n v="200801"/>
    <n v="425600"/>
  </r>
  <r>
    <x v="359"/>
    <x v="0"/>
    <m/>
    <x v="31"/>
    <x v="2"/>
    <x v="96"/>
    <n v="200801"/>
    <n v="200801"/>
    <m/>
    <n v="21"/>
    <n v="200801"/>
    <n v="823200"/>
  </r>
  <r>
    <x v="359"/>
    <x v="0"/>
    <m/>
    <x v="32"/>
    <x v="2"/>
    <x v="97"/>
    <n v="200801"/>
    <n v="200801"/>
    <m/>
    <n v="20"/>
    <n v="200801"/>
    <n v="742000"/>
  </r>
  <r>
    <x v="359"/>
    <x v="0"/>
    <m/>
    <x v="34"/>
    <x v="2"/>
    <x v="98"/>
    <n v="200801"/>
    <n v="200801"/>
    <m/>
    <n v="31"/>
    <n v="200801"/>
    <n v="1085000"/>
  </r>
  <r>
    <x v="359"/>
    <x v="0"/>
    <m/>
    <x v="30"/>
    <x v="2"/>
    <x v="99"/>
    <n v="200801"/>
    <n v="200801"/>
    <m/>
    <n v="6"/>
    <n v="200801"/>
    <n v="134400"/>
  </r>
  <r>
    <x v="359"/>
    <x v="0"/>
    <m/>
    <x v="30"/>
    <x v="2"/>
    <x v="100"/>
    <n v="200801"/>
    <n v="200801"/>
    <m/>
    <n v="1"/>
    <n v="200801"/>
    <n v="39200"/>
  </r>
  <r>
    <x v="359"/>
    <x v="0"/>
    <m/>
    <x v="1"/>
    <x v="2"/>
    <x v="18"/>
    <n v="200801"/>
    <n v="200801"/>
    <m/>
    <n v="2"/>
    <n v="200801"/>
    <n v="40000"/>
  </r>
  <r>
    <x v="359"/>
    <x v="0"/>
    <m/>
    <x v="4"/>
    <x v="2"/>
    <x v="26"/>
    <n v="200801"/>
    <n v="200801"/>
    <m/>
    <n v="4"/>
    <n v="200801"/>
    <n v="16000"/>
  </r>
  <r>
    <x v="359"/>
    <x v="0"/>
    <m/>
    <x v="4"/>
    <x v="2"/>
    <x v="27"/>
    <n v="200801"/>
    <n v="200801"/>
    <m/>
    <n v="6"/>
    <n v="200801"/>
    <n v="120000"/>
  </r>
  <r>
    <x v="359"/>
    <x v="0"/>
    <m/>
    <x v="0"/>
    <x v="2"/>
    <x v="15"/>
    <n v="200801"/>
    <n v="200801"/>
    <m/>
    <n v="55"/>
    <n v="200801"/>
    <n v="1100000"/>
  </r>
  <r>
    <x v="359"/>
    <x v="0"/>
    <m/>
    <x v="0"/>
    <x v="2"/>
    <x v="16"/>
    <n v="200801"/>
    <n v="200801"/>
    <m/>
    <n v="30"/>
    <n v="200801"/>
    <n v="1050000"/>
  </r>
  <r>
    <x v="359"/>
    <x v="0"/>
    <m/>
    <x v="0"/>
    <x v="2"/>
    <x v="17"/>
    <n v="200801"/>
    <n v="200801"/>
    <m/>
    <n v="49"/>
    <n v="200801"/>
    <n v="1617000"/>
  </r>
  <r>
    <x v="359"/>
    <x v="0"/>
    <m/>
    <x v="0"/>
    <x v="2"/>
    <x v="19"/>
    <n v="200801"/>
    <n v="200801"/>
    <m/>
    <n v="45"/>
    <n v="200801"/>
    <n v="135000"/>
  </r>
  <r>
    <x v="359"/>
    <x v="0"/>
    <m/>
    <x v="5"/>
    <x v="2"/>
    <x v="28"/>
    <n v="200801"/>
    <n v="200801"/>
    <m/>
    <n v="23"/>
    <n v="200801"/>
    <n v="644000"/>
  </r>
  <r>
    <x v="359"/>
    <x v="0"/>
    <m/>
    <x v="5"/>
    <x v="2"/>
    <x v="69"/>
    <n v="200801"/>
    <n v="200801"/>
    <m/>
    <n v="4"/>
    <n v="200801"/>
    <n v="192000"/>
  </r>
  <r>
    <x v="359"/>
    <x v="0"/>
    <m/>
    <x v="22"/>
    <x v="2"/>
    <x v="29"/>
    <n v="200801"/>
    <n v="200801"/>
    <m/>
    <n v="7"/>
    <n v="200801"/>
    <n v="266000"/>
  </r>
  <r>
    <x v="359"/>
    <x v="0"/>
    <m/>
    <x v="19"/>
    <x v="2"/>
    <x v="22"/>
    <n v="200801"/>
    <n v="200801"/>
    <m/>
    <n v="6"/>
    <n v="200801"/>
    <n v="78000"/>
  </r>
  <r>
    <x v="359"/>
    <x v="0"/>
    <m/>
    <x v="19"/>
    <x v="2"/>
    <x v="23"/>
    <n v="200801"/>
    <n v="200801"/>
    <m/>
    <n v="4"/>
    <n v="200801"/>
    <n v="96000"/>
  </r>
  <r>
    <x v="359"/>
    <x v="0"/>
    <m/>
    <x v="19"/>
    <x v="2"/>
    <x v="24"/>
    <n v="200801"/>
    <n v="200801"/>
    <m/>
    <n v="3"/>
    <n v="200801"/>
    <n v="99000"/>
  </r>
  <r>
    <x v="359"/>
    <x v="0"/>
    <m/>
    <x v="33"/>
    <x v="2"/>
    <x v="93"/>
    <n v="200801"/>
    <n v="200801"/>
    <m/>
    <n v="1"/>
    <n v="200801"/>
    <n v="33800"/>
  </r>
  <r>
    <x v="359"/>
    <x v="0"/>
    <m/>
    <x v="0"/>
    <x v="9"/>
    <x v="15"/>
    <n v="200801"/>
    <n v="200801"/>
    <m/>
    <n v="4"/>
    <n v="200801"/>
    <n v="80000"/>
  </r>
  <r>
    <x v="360"/>
    <x v="2"/>
    <m/>
    <x v="0"/>
    <x v="1"/>
    <x v="15"/>
    <n v="200801"/>
    <n v="200801"/>
    <m/>
    <n v="2"/>
    <n v="200801"/>
    <n v="40000"/>
  </r>
  <r>
    <x v="360"/>
    <x v="2"/>
    <m/>
    <x v="0"/>
    <x v="1"/>
    <x v="16"/>
    <n v="200801"/>
    <n v="200801"/>
    <m/>
    <n v="5"/>
    <n v="200801"/>
    <n v="175000"/>
  </r>
  <r>
    <x v="360"/>
    <x v="2"/>
    <m/>
    <x v="0"/>
    <x v="7"/>
    <x v="15"/>
    <n v="200801"/>
    <n v="200801"/>
    <m/>
    <n v="2"/>
    <n v="200801"/>
    <n v="40000"/>
  </r>
  <r>
    <x v="360"/>
    <x v="2"/>
    <m/>
    <x v="30"/>
    <x v="3"/>
    <x v="87"/>
    <n v="200801"/>
    <n v="200801"/>
    <m/>
    <n v="2"/>
    <n v="200801"/>
    <n v="0"/>
  </r>
  <r>
    <x v="360"/>
    <x v="2"/>
    <m/>
    <x v="31"/>
    <x v="3"/>
    <x v="88"/>
    <n v="200801"/>
    <n v="200801"/>
    <m/>
    <n v="2"/>
    <n v="200801"/>
    <n v="0"/>
  </r>
  <r>
    <x v="360"/>
    <x v="2"/>
    <m/>
    <x v="0"/>
    <x v="3"/>
    <x v="15"/>
    <n v="200801"/>
    <n v="200801"/>
    <m/>
    <n v="1"/>
    <n v="200801"/>
    <n v="0"/>
  </r>
  <r>
    <x v="360"/>
    <x v="2"/>
    <m/>
    <x v="18"/>
    <x v="3"/>
    <x v="19"/>
    <n v="200801"/>
    <n v="200801"/>
    <m/>
    <n v="1"/>
    <n v="200801"/>
    <n v="0"/>
  </r>
  <r>
    <x v="360"/>
    <x v="2"/>
    <m/>
    <x v="5"/>
    <x v="3"/>
    <x v="28"/>
    <n v="200801"/>
    <n v="200801"/>
    <m/>
    <n v="1"/>
    <n v="200801"/>
    <n v="0"/>
  </r>
  <r>
    <x v="360"/>
    <x v="2"/>
    <m/>
    <x v="6"/>
    <x v="2"/>
    <x v="37"/>
    <n v="200801"/>
    <n v="200801"/>
    <m/>
    <n v="4"/>
    <n v="200801"/>
    <n v="80000"/>
  </r>
  <r>
    <x v="360"/>
    <x v="2"/>
    <m/>
    <x v="6"/>
    <x v="2"/>
    <x v="42"/>
    <n v="200801"/>
    <n v="200801"/>
    <m/>
    <n v="1"/>
    <n v="200801"/>
    <n v="35000"/>
  </r>
  <r>
    <x v="360"/>
    <x v="2"/>
    <m/>
    <x v="25"/>
    <x v="2"/>
    <x v="34"/>
    <n v="200801"/>
    <n v="200801"/>
    <m/>
    <n v="2"/>
    <n v="200801"/>
    <n v="198000"/>
  </r>
  <r>
    <x v="360"/>
    <x v="2"/>
    <m/>
    <x v="31"/>
    <x v="2"/>
    <x v="95"/>
    <n v="200801"/>
    <n v="200801"/>
    <m/>
    <n v="14"/>
    <n v="200801"/>
    <n v="313600"/>
  </r>
  <r>
    <x v="360"/>
    <x v="2"/>
    <m/>
    <x v="31"/>
    <x v="2"/>
    <x v="96"/>
    <n v="200801"/>
    <n v="200801"/>
    <m/>
    <n v="18"/>
    <n v="200801"/>
    <n v="705600"/>
  </r>
  <r>
    <x v="360"/>
    <x v="2"/>
    <m/>
    <x v="32"/>
    <x v="2"/>
    <x v="97"/>
    <n v="200801"/>
    <n v="200801"/>
    <m/>
    <n v="15"/>
    <n v="200801"/>
    <n v="556500"/>
  </r>
  <r>
    <x v="360"/>
    <x v="2"/>
    <m/>
    <x v="34"/>
    <x v="2"/>
    <x v="98"/>
    <n v="200801"/>
    <n v="200801"/>
    <m/>
    <n v="34"/>
    <n v="200801"/>
    <n v="1190000"/>
  </r>
  <r>
    <x v="360"/>
    <x v="2"/>
    <m/>
    <x v="30"/>
    <x v="2"/>
    <x v="99"/>
    <n v="200801"/>
    <n v="200801"/>
    <m/>
    <n v="4"/>
    <n v="200801"/>
    <n v="89600"/>
  </r>
  <r>
    <x v="360"/>
    <x v="2"/>
    <m/>
    <x v="30"/>
    <x v="2"/>
    <x v="100"/>
    <n v="200801"/>
    <n v="200801"/>
    <m/>
    <n v="2"/>
    <n v="200801"/>
    <n v="78400"/>
  </r>
  <r>
    <x v="360"/>
    <x v="2"/>
    <m/>
    <x v="1"/>
    <x v="2"/>
    <x v="18"/>
    <n v="200801"/>
    <n v="200801"/>
    <m/>
    <n v="1"/>
    <n v="200801"/>
    <n v="20000"/>
  </r>
  <r>
    <x v="360"/>
    <x v="2"/>
    <m/>
    <x v="4"/>
    <x v="2"/>
    <x v="27"/>
    <n v="200801"/>
    <n v="200801"/>
    <m/>
    <n v="2"/>
    <n v="200801"/>
    <n v="40000"/>
  </r>
  <r>
    <x v="360"/>
    <x v="2"/>
    <m/>
    <x v="0"/>
    <x v="2"/>
    <x v="15"/>
    <n v="200801"/>
    <n v="200801"/>
    <m/>
    <n v="43"/>
    <n v="200801"/>
    <n v="860000"/>
  </r>
  <r>
    <x v="360"/>
    <x v="2"/>
    <m/>
    <x v="0"/>
    <x v="2"/>
    <x v="16"/>
    <n v="200801"/>
    <n v="200801"/>
    <m/>
    <n v="30"/>
    <n v="200801"/>
    <n v="1050000"/>
  </r>
  <r>
    <x v="360"/>
    <x v="2"/>
    <m/>
    <x v="0"/>
    <x v="2"/>
    <x v="17"/>
    <n v="200801"/>
    <n v="200801"/>
    <m/>
    <n v="34"/>
    <n v="200801"/>
    <n v="1122000"/>
  </r>
  <r>
    <x v="360"/>
    <x v="2"/>
    <m/>
    <x v="0"/>
    <x v="2"/>
    <x v="19"/>
    <n v="200801"/>
    <n v="200801"/>
    <m/>
    <n v="27"/>
    <n v="200801"/>
    <n v="81000"/>
  </r>
  <r>
    <x v="360"/>
    <x v="2"/>
    <m/>
    <x v="5"/>
    <x v="2"/>
    <x v="28"/>
    <n v="200801"/>
    <n v="200801"/>
    <m/>
    <n v="20"/>
    <n v="200801"/>
    <n v="560000"/>
  </r>
  <r>
    <x v="360"/>
    <x v="2"/>
    <m/>
    <x v="5"/>
    <x v="2"/>
    <x v="69"/>
    <n v="200801"/>
    <n v="200801"/>
    <m/>
    <n v="3"/>
    <n v="200801"/>
    <n v="144000"/>
  </r>
  <r>
    <x v="360"/>
    <x v="2"/>
    <m/>
    <x v="22"/>
    <x v="2"/>
    <x v="29"/>
    <n v="200801"/>
    <n v="200801"/>
    <m/>
    <n v="2"/>
    <n v="200801"/>
    <n v="76000"/>
  </r>
  <r>
    <x v="360"/>
    <x v="2"/>
    <m/>
    <x v="19"/>
    <x v="2"/>
    <x v="22"/>
    <n v="200801"/>
    <n v="200801"/>
    <m/>
    <n v="4"/>
    <n v="200801"/>
    <n v="52000"/>
  </r>
  <r>
    <x v="360"/>
    <x v="2"/>
    <m/>
    <x v="19"/>
    <x v="2"/>
    <x v="23"/>
    <n v="200801"/>
    <n v="200801"/>
    <m/>
    <n v="1"/>
    <n v="200801"/>
    <n v="24000"/>
  </r>
  <r>
    <x v="360"/>
    <x v="2"/>
    <m/>
    <x v="19"/>
    <x v="2"/>
    <x v="24"/>
    <n v="200801"/>
    <n v="200801"/>
    <m/>
    <n v="1"/>
    <n v="200801"/>
    <n v="33000"/>
  </r>
  <r>
    <x v="360"/>
    <x v="2"/>
    <m/>
    <x v="0"/>
    <x v="10"/>
    <x v="54"/>
    <n v="200801"/>
    <n v="200801"/>
    <m/>
    <n v="2"/>
    <n v="200801"/>
    <n v="66000"/>
  </r>
  <r>
    <x v="360"/>
    <x v="2"/>
    <m/>
    <x v="0"/>
    <x v="10"/>
    <x v="57"/>
    <n v="200801"/>
    <n v="200801"/>
    <m/>
    <n v="1"/>
    <n v="200801"/>
    <n v="53000"/>
  </r>
  <r>
    <x v="360"/>
    <x v="2"/>
    <m/>
    <x v="0"/>
    <x v="9"/>
    <x v="15"/>
    <n v="200801"/>
    <n v="200801"/>
    <m/>
    <n v="5"/>
    <n v="200801"/>
    <n v="100000"/>
  </r>
  <r>
    <x v="361"/>
    <x v="5"/>
    <m/>
    <x v="0"/>
    <x v="7"/>
    <x v="15"/>
    <n v="200801"/>
    <n v="200801"/>
    <m/>
    <n v="7"/>
    <n v="200801"/>
    <n v="140000"/>
  </r>
  <r>
    <x v="361"/>
    <x v="5"/>
    <m/>
    <x v="6"/>
    <x v="2"/>
    <x v="37"/>
    <n v="200801"/>
    <n v="200801"/>
    <m/>
    <n v="2"/>
    <n v="200801"/>
    <n v="40000"/>
  </r>
  <r>
    <x v="361"/>
    <x v="5"/>
    <m/>
    <x v="25"/>
    <x v="2"/>
    <x v="34"/>
    <n v="200801"/>
    <n v="200801"/>
    <m/>
    <n v="3"/>
    <n v="200801"/>
    <n v="297000"/>
  </r>
  <r>
    <x v="361"/>
    <x v="5"/>
    <m/>
    <x v="31"/>
    <x v="2"/>
    <x v="95"/>
    <n v="200801"/>
    <n v="200801"/>
    <m/>
    <n v="20"/>
    <n v="200801"/>
    <n v="448000"/>
  </r>
  <r>
    <x v="361"/>
    <x v="5"/>
    <m/>
    <x v="31"/>
    <x v="2"/>
    <x v="96"/>
    <n v="200801"/>
    <n v="200801"/>
    <m/>
    <n v="10"/>
    <n v="200801"/>
    <n v="392000"/>
  </r>
  <r>
    <x v="361"/>
    <x v="5"/>
    <m/>
    <x v="32"/>
    <x v="2"/>
    <x v="97"/>
    <n v="200801"/>
    <n v="200801"/>
    <m/>
    <n v="18"/>
    <n v="200801"/>
    <n v="667800"/>
  </r>
  <r>
    <x v="361"/>
    <x v="5"/>
    <m/>
    <x v="34"/>
    <x v="2"/>
    <x v="98"/>
    <n v="200801"/>
    <n v="200801"/>
    <m/>
    <n v="23"/>
    <n v="200801"/>
    <n v="805000"/>
  </r>
  <r>
    <x v="361"/>
    <x v="5"/>
    <m/>
    <x v="30"/>
    <x v="2"/>
    <x v="99"/>
    <n v="200801"/>
    <n v="200801"/>
    <m/>
    <n v="9"/>
    <n v="200801"/>
    <n v="201600"/>
  </r>
  <r>
    <x v="361"/>
    <x v="5"/>
    <m/>
    <x v="1"/>
    <x v="2"/>
    <x v="18"/>
    <n v="200801"/>
    <n v="200801"/>
    <m/>
    <n v="3"/>
    <n v="200801"/>
    <n v="60000"/>
  </r>
  <r>
    <x v="361"/>
    <x v="5"/>
    <m/>
    <x v="1"/>
    <x v="2"/>
    <x v="21"/>
    <n v="200801"/>
    <n v="200801"/>
    <m/>
    <n v="1"/>
    <n v="200801"/>
    <n v="35000"/>
  </r>
  <r>
    <x v="361"/>
    <x v="5"/>
    <m/>
    <x v="4"/>
    <x v="2"/>
    <x v="26"/>
    <n v="200801"/>
    <n v="200801"/>
    <m/>
    <n v="1"/>
    <n v="200801"/>
    <n v="4000"/>
  </r>
  <r>
    <x v="361"/>
    <x v="5"/>
    <m/>
    <x v="4"/>
    <x v="2"/>
    <x v="27"/>
    <n v="200801"/>
    <n v="200801"/>
    <m/>
    <n v="2"/>
    <n v="200801"/>
    <n v="40000"/>
  </r>
  <r>
    <x v="361"/>
    <x v="5"/>
    <m/>
    <x v="0"/>
    <x v="2"/>
    <x v="15"/>
    <n v="200801"/>
    <n v="200801"/>
    <m/>
    <n v="24"/>
    <n v="200801"/>
    <n v="480000"/>
  </r>
  <r>
    <x v="361"/>
    <x v="5"/>
    <m/>
    <x v="0"/>
    <x v="2"/>
    <x v="16"/>
    <n v="200801"/>
    <n v="200801"/>
    <m/>
    <n v="18"/>
    <n v="200801"/>
    <n v="630000"/>
  </r>
  <r>
    <x v="361"/>
    <x v="5"/>
    <m/>
    <x v="0"/>
    <x v="2"/>
    <x v="17"/>
    <n v="200801"/>
    <n v="200801"/>
    <m/>
    <n v="27"/>
    <n v="200801"/>
    <n v="891000"/>
  </r>
  <r>
    <x v="361"/>
    <x v="5"/>
    <m/>
    <x v="0"/>
    <x v="2"/>
    <x v="19"/>
    <n v="200801"/>
    <n v="200801"/>
    <m/>
    <n v="23"/>
    <n v="200801"/>
    <n v="69000"/>
  </r>
  <r>
    <x v="361"/>
    <x v="5"/>
    <m/>
    <x v="5"/>
    <x v="2"/>
    <x v="28"/>
    <n v="200801"/>
    <n v="200801"/>
    <m/>
    <n v="15"/>
    <n v="200801"/>
    <n v="420000"/>
  </r>
  <r>
    <x v="361"/>
    <x v="5"/>
    <m/>
    <x v="5"/>
    <x v="2"/>
    <x v="69"/>
    <n v="200801"/>
    <n v="200801"/>
    <m/>
    <n v="4"/>
    <n v="200801"/>
    <n v="192000"/>
  </r>
  <r>
    <x v="361"/>
    <x v="5"/>
    <m/>
    <x v="22"/>
    <x v="2"/>
    <x v="29"/>
    <n v="200801"/>
    <n v="200801"/>
    <m/>
    <n v="4"/>
    <n v="200801"/>
    <n v="152000"/>
  </r>
  <r>
    <x v="361"/>
    <x v="5"/>
    <m/>
    <x v="19"/>
    <x v="2"/>
    <x v="22"/>
    <n v="200801"/>
    <n v="200801"/>
    <m/>
    <n v="7"/>
    <n v="200801"/>
    <n v="91000"/>
  </r>
  <r>
    <x v="361"/>
    <x v="5"/>
    <m/>
    <x v="19"/>
    <x v="2"/>
    <x v="23"/>
    <n v="200801"/>
    <n v="200801"/>
    <m/>
    <n v="1"/>
    <n v="200801"/>
    <n v="24000"/>
  </r>
  <r>
    <x v="361"/>
    <x v="5"/>
    <m/>
    <x v="33"/>
    <x v="2"/>
    <x v="92"/>
    <n v="200801"/>
    <n v="200801"/>
    <m/>
    <n v="1"/>
    <n v="200801"/>
    <n v="18200"/>
  </r>
  <r>
    <x v="361"/>
    <x v="5"/>
    <m/>
    <x v="0"/>
    <x v="9"/>
    <x v="15"/>
    <n v="200801"/>
    <n v="200801"/>
    <m/>
    <n v="4"/>
    <n v="200801"/>
    <n v="80000"/>
  </r>
  <r>
    <x v="362"/>
    <x v="6"/>
    <m/>
    <x v="0"/>
    <x v="7"/>
    <x v="15"/>
    <n v="200801"/>
    <n v="200801"/>
    <m/>
    <n v="4"/>
    <n v="200801"/>
    <n v="80000"/>
  </r>
  <r>
    <x v="362"/>
    <x v="6"/>
    <m/>
    <x v="6"/>
    <x v="2"/>
    <x v="37"/>
    <n v="200801"/>
    <n v="200801"/>
    <m/>
    <n v="3"/>
    <n v="200801"/>
    <n v="60000"/>
  </r>
  <r>
    <x v="362"/>
    <x v="6"/>
    <m/>
    <x v="25"/>
    <x v="2"/>
    <x v="34"/>
    <n v="200801"/>
    <n v="200801"/>
    <m/>
    <n v="4"/>
    <n v="200801"/>
    <n v="396000"/>
  </r>
  <r>
    <x v="362"/>
    <x v="6"/>
    <m/>
    <x v="31"/>
    <x v="2"/>
    <x v="95"/>
    <n v="200801"/>
    <n v="200801"/>
    <m/>
    <n v="31"/>
    <n v="200801"/>
    <n v="694400"/>
  </r>
  <r>
    <x v="362"/>
    <x v="6"/>
    <m/>
    <x v="31"/>
    <x v="2"/>
    <x v="96"/>
    <n v="200801"/>
    <n v="200801"/>
    <m/>
    <n v="16"/>
    <n v="200801"/>
    <n v="627200"/>
  </r>
  <r>
    <x v="362"/>
    <x v="6"/>
    <m/>
    <x v="32"/>
    <x v="2"/>
    <x v="97"/>
    <n v="200801"/>
    <n v="200801"/>
    <m/>
    <n v="25"/>
    <n v="200801"/>
    <n v="927500"/>
  </r>
  <r>
    <x v="362"/>
    <x v="6"/>
    <m/>
    <x v="34"/>
    <x v="2"/>
    <x v="98"/>
    <n v="200801"/>
    <n v="200801"/>
    <m/>
    <n v="29"/>
    <n v="200801"/>
    <n v="1015000"/>
  </r>
  <r>
    <x v="362"/>
    <x v="6"/>
    <m/>
    <x v="30"/>
    <x v="2"/>
    <x v="99"/>
    <n v="200801"/>
    <n v="200801"/>
    <m/>
    <n v="3"/>
    <n v="200801"/>
    <n v="67200"/>
  </r>
  <r>
    <x v="362"/>
    <x v="6"/>
    <m/>
    <x v="30"/>
    <x v="2"/>
    <x v="100"/>
    <n v="200801"/>
    <n v="200801"/>
    <m/>
    <n v="2"/>
    <n v="200801"/>
    <n v="78400"/>
  </r>
  <r>
    <x v="362"/>
    <x v="6"/>
    <m/>
    <x v="1"/>
    <x v="2"/>
    <x v="18"/>
    <n v="200801"/>
    <n v="200801"/>
    <m/>
    <n v="1"/>
    <n v="200801"/>
    <n v="20000"/>
  </r>
  <r>
    <x v="362"/>
    <x v="6"/>
    <m/>
    <x v="4"/>
    <x v="2"/>
    <x v="26"/>
    <n v="200801"/>
    <n v="200801"/>
    <m/>
    <n v="7"/>
    <n v="200801"/>
    <n v="28000"/>
  </r>
  <r>
    <x v="362"/>
    <x v="6"/>
    <m/>
    <x v="4"/>
    <x v="2"/>
    <x v="27"/>
    <n v="200801"/>
    <n v="200801"/>
    <m/>
    <n v="4"/>
    <n v="200801"/>
    <n v="80000"/>
  </r>
  <r>
    <x v="362"/>
    <x v="6"/>
    <m/>
    <x v="0"/>
    <x v="2"/>
    <x v="15"/>
    <n v="200801"/>
    <n v="200801"/>
    <m/>
    <n v="32"/>
    <n v="200801"/>
    <n v="640000"/>
  </r>
  <r>
    <x v="362"/>
    <x v="6"/>
    <m/>
    <x v="0"/>
    <x v="2"/>
    <x v="16"/>
    <n v="200801"/>
    <n v="200801"/>
    <m/>
    <n v="22"/>
    <n v="200801"/>
    <n v="770000"/>
  </r>
  <r>
    <x v="362"/>
    <x v="6"/>
    <m/>
    <x v="0"/>
    <x v="2"/>
    <x v="17"/>
    <n v="200801"/>
    <n v="200801"/>
    <m/>
    <n v="33"/>
    <n v="200801"/>
    <n v="1089000"/>
  </r>
  <r>
    <x v="362"/>
    <x v="6"/>
    <m/>
    <x v="0"/>
    <x v="2"/>
    <x v="19"/>
    <n v="200801"/>
    <n v="200801"/>
    <m/>
    <n v="29"/>
    <n v="200801"/>
    <n v="87000"/>
  </r>
  <r>
    <x v="362"/>
    <x v="6"/>
    <m/>
    <x v="5"/>
    <x v="2"/>
    <x v="28"/>
    <n v="200801"/>
    <n v="200801"/>
    <m/>
    <n v="17"/>
    <n v="200801"/>
    <n v="476000"/>
  </r>
  <r>
    <x v="362"/>
    <x v="6"/>
    <m/>
    <x v="5"/>
    <x v="2"/>
    <x v="69"/>
    <n v="200801"/>
    <n v="200801"/>
    <m/>
    <n v="3"/>
    <n v="200801"/>
    <n v="144000"/>
  </r>
  <r>
    <x v="362"/>
    <x v="6"/>
    <m/>
    <x v="22"/>
    <x v="2"/>
    <x v="29"/>
    <n v="200801"/>
    <n v="200801"/>
    <m/>
    <n v="2"/>
    <n v="200801"/>
    <n v="76000"/>
  </r>
  <r>
    <x v="362"/>
    <x v="6"/>
    <m/>
    <x v="19"/>
    <x v="2"/>
    <x v="22"/>
    <n v="200801"/>
    <n v="200801"/>
    <m/>
    <n v="4"/>
    <n v="200801"/>
    <n v="52000"/>
  </r>
  <r>
    <x v="362"/>
    <x v="6"/>
    <m/>
    <x v="19"/>
    <x v="2"/>
    <x v="24"/>
    <n v="200801"/>
    <n v="200801"/>
    <m/>
    <n v="1"/>
    <n v="200801"/>
    <n v="33000"/>
  </r>
  <r>
    <x v="362"/>
    <x v="6"/>
    <m/>
    <x v="33"/>
    <x v="2"/>
    <x v="92"/>
    <n v="200801"/>
    <n v="200801"/>
    <m/>
    <n v="2"/>
    <n v="200801"/>
    <n v="36400"/>
  </r>
  <r>
    <x v="362"/>
    <x v="6"/>
    <m/>
    <x v="33"/>
    <x v="2"/>
    <x v="93"/>
    <n v="200801"/>
    <n v="200801"/>
    <m/>
    <n v="2"/>
    <n v="200801"/>
    <n v="67600"/>
  </r>
  <r>
    <x v="362"/>
    <x v="6"/>
    <m/>
    <x v="0"/>
    <x v="6"/>
    <x v="15"/>
    <n v="200801"/>
    <n v="200801"/>
    <m/>
    <n v="648"/>
    <n v="200801"/>
    <n v="5876064"/>
  </r>
  <r>
    <x v="362"/>
    <x v="6"/>
    <m/>
    <x v="0"/>
    <x v="6"/>
    <x v="17"/>
    <n v="200801"/>
    <n v="200801"/>
    <m/>
    <n v="66"/>
    <n v="200801"/>
    <n v="1043988"/>
  </r>
  <r>
    <x v="362"/>
    <x v="6"/>
    <m/>
    <x v="4"/>
    <x v="6"/>
    <x v="26"/>
    <n v="200801"/>
    <n v="200801"/>
    <m/>
    <n v="416"/>
    <n v="200801"/>
    <n v="446368"/>
  </r>
  <r>
    <x v="362"/>
    <x v="6"/>
    <m/>
    <x v="26"/>
    <x v="6"/>
    <x v="35"/>
    <n v="200801"/>
    <n v="200801"/>
    <m/>
    <n v="29"/>
    <n v="200801"/>
    <n v="496799"/>
  </r>
  <r>
    <x v="362"/>
    <x v="6"/>
    <m/>
    <x v="22"/>
    <x v="6"/>
    <x v="29"/>
    <n v="200801"/>
    <n v="200801"/>
    <m/>
    <n v="44"/>
    <n v="200801"/>
    <n v="866404"/>
  </r>
  <r>
    <x v="362"/>
    <x v="6"/>
    <m/>
    <x v="24"/>
    <x v="6"/>
    <x v="31"/>
    <n v="200801"/>
    <n v="200801"/>
    <m/>
    <n v="131"/>
    <n v="200801"/>
    <n v="1948887"/>
  </r>
  <r>
    <x v="362"/>
    <x v="6"/>
    <m/>
    <x v="23"/>
    <x v="6"/>
    <x v="30"/>
    <n v="200801"/>
    <n v="200801"/>
    <m/>
    <n v="13"/>
    <n v="200801"/>
    <n v="90532"/>
  </r>
  <r>
    <x v="362"/>
    <x v="6"/>
    <m/>
    <x v="19"/>
    <x v="6"/>
    <x v="22"/>
    <n v="200801"/>
    <n v="200801"/>
    <m/>
    <n v="43"/>
    <n v="200801"/>
    <n v="292013"/>
  </r>
  <r>
    <x v="362"/>
    <x v="6"/>
    <m/>
    <x v="27"/>
    <x v="6"/>
    <x v="36"/>
    <n v="200801"/>
    <n v="200801"/>
    <m/>
    <n v="1"/>
    <n v="200801"/>
    <n v="9457"/>
  </r>
  <r>
    <x v="362"/>
    <x v="6"/>
    <m/>
    <x v="6"/>
    <x v="6"/>
    <x v="37"/>
    <n v="200801"/>
    <n v="200801"/>
    <m/>
    <n v="14"/>
    <n v="200801"/>
    <n v="140000"/>
  </r>
  <r>
    <x v="362"/>
    <x v="6"/>
    <m/>
    <x v="28"/>
    <x v="6"/>
    <x v="39"/>
    <n v="200801"/>
    <n v="200801"/>
    <m/>
    <n v="12"/>
    <n v="200801"/>
    <n v="189816"/>
  </r>
  <r>
    <x v="362"/>
    <x v="6"/>
    <m/>
    <x v="4"/>
    <x v="6"/>
    <x v="66"/>
    <n v="200801"/>
    <n v="200801"/>
    <m/>
    <n v="70"/>
    <n v="200801"/>
    <n v="391790"/>
  </r>
  <r>
    <x v="362"/>
    <x v="6"/>
    <m/>
    <x v="31"/>
    <x v="6"/>
    <x v="103"/>
    <n v="200801"/>
    <n v="200801"/>
    <m/>
    <n v="21"/>
    <n v="200801"/>
    <n v="235200"/>
  </r>
  <r>
    <x v="362"/>
    <x v="6"/>
    <m/>
    <x v="30"/>
    <x v="6"/>
    <x v="104"/>
    <n v="200801"/>
    <n v="200801"/>
    <m/>
    <n v="15"/>
    <n v="200801"/>
    <n v="168000"/>
  </r>
  <r>
    <x v="363"/>
    <x v="3"/>
    <m/>
    <x v="0"/>
    <x v="1"/>
    <x v="15"/>
    <n v="200801"/>
    <n v="200801"/>
    <m/>
    <n v="1"/>
    <n v="200801"/>
    <n v="20000"/>
  </r>
  <r>
    <x v="363"/>
    <x v="3"/>
    <m/>
    <x v="0"/>
    <x v="1"/>
    <x v="16"/>
    <n v="200801"/>
    <n v="200801"/>
    <m/>
    <n v="12"/>
    <n v="200801"/>
    <n v="420000"/>
  </r>
  <r>
    <x v="363"/>
    <x v="3"/>
    <m/>
    <x v="0"/>
    <x v="7"/>
    <x v="15"/>
    <n v="200801"/>
    <n v="200801"/>
    <m/>
    <n v="7"/>
    <n v="200801"/>
    <n v="140000"/>
  </r>
  <r>
    <x v="363"/>
    <x v="3"/>
    <m/>
    <x v="30"/>
    <x v="3"/>
    <x v="87"/>
    <n v="200801"/>
    <n v="200801"/>
    <m/>
    <n v="3"/>
    <n v="200801"/>
    <n v="0"/>
  </r>
  <r>
    <x v="363"/>
    <x v="3"/>
    <m/>
    <x v="31"/>
    <x v="3"/>
    <x v="88"/>
    <n v="200801"/>
    <n v="200801"/>
    <m/>
    <n v="3"/>
    <n v="200801"/>
    <n v="0"/>
  </r>
  <r>
    <x v="363"/>
    <x v="3"/>
    <m/>
    <x v="25"/>
    <x v="2"/>
    <x v="34"/>
    <n v="200801"/>
    <n v="200801"/>
    <m/>
    <n v="3"/>
    <n v="200801"/>
    <n v="297000"/>
  </r>
  <r>
    <x v="363"/>
    <x v="3"/>
    <m/>
    <x v="31"/>
    <x v="2"/>
    <x v="95"/>
    <n v="200801"/>
    <n v="200801"/>
    <m/>
    <n v="23"/>
    <n v="200801"/>
    <n v="515200"/>
  </r>
  <r>
    <x v="363"/>
    <x v="3"/>
    <m/>
    <x v="31"/>
    <x v="2"/>
    <x v="96"/>
    <n v="200801"/>
    <n v="200801"/>
    <m/>
    <n v="16"/>
    <n v="200801"/>
    <n v="627200"/>
  </r>
  <r>
    <x v="363"/>
    <x v="3"/>
    <m/>
    <x v="32"/>
    <x v="2"/>
    <x v="97"/>
    <n v="200801"/>
    <n v="200801"/>
    <m/>
    <n v="18"/>
    <n v="200801"/>
    <n v="667800"/>
  </r>
  <r>
    <x v="363"/>
    <x v="3"/>
    <m/>
    <x v="34"/>
    <x v="2"/>
    <x v="105"/>
    <n v="200801"/>
    <n v="200801"/>
    <m/>
    <n v="19"/>
    <n v="200801"/>
    <n v="704900"/>
  </r>
  <r>
    <x v="363"/>
    <x v="3"/>
    <m/>
    <x v="30"/>
    <x v="2"/>
    <x v="99"/>
    <n v="200801"/>
    <n v="200801"/>
    <m/>
    <n v="2"/>
    <n v="200801"/>
    <n v="44800"/>
  </r>
  <r>
    <x v="363"/>
    <x v="3"/>
    <m/>
    <x v="30"/>
    <x v="2"/>
    <x v="100"/>
    <n v="200801"/>
    <n v="200801"/>
    <m/>
    <n v="1"/>
    <n v="200801"/>
    <n v="39200"/>
  </r>
  <r>
    <x v="363"/>
    <x v="3"/>
    <m/>
    <x v="1"/>
    <x v="2"/>
    <x v="18"/>
    <n v="200801"/>
    <n v="200801"/>
    <m/>
    <n v="3"/>
    <n v="200801"/>
    <n v="60000"/>
  </r>
  <r>
    <x v="363"/>
    <x v="3"/>
    <m/>
    <x v="4"/>
    <x v="2"/>
    <x v="26"/>
    <n v="200801"/>
    <n v="200801"/>
    <m/>
    <n v="3"/>
    <n v="200801"/>
    <n v="12000"/>
  </r>
  <r>
    <x v="363"/>
    <x v="3"/>
    <m/>
    <x v="4"/>
    <x v="2"/>
    <x v="27"/>
    <n v="200801"/>
    <n v="200801"/>
    <m/>
    <n v="4"/>
    <n v="200801"/>
    <n v="80000"/>
  </r>
  <r>
    <x v="363"/>
    <x v="3"/>
    <m/>
    <x v="0"/>
    <x v="2"/>
    <x v="15"/>
    <n v="200801"/>
    <n v="200801"/>
    <m/>
    <n v="27"/>
    <n v="200801"/>
    <n v="540000"/>
  </r>
  <r>
    <x v="363"/>
    <x v="3"/>
    <m/>
    <x v="0"/>
    <x v="2"/>
    <x v="16"/>
    <n v="200801"/>
    <n v="200801"/>
    <m/>
    <n v="26"/>
    <n v="200801"/>
    <n v="910000"/>
  </r>
  <r>
    <x v="363"/>
    <x v="3"/>
    <m/>
    <x v="0"/>
    <x v="2"/>
    <x v="17"/>
    <n v="200801"/>
    <n v="200801"/>
    <m/>
    <n v="41"/>
    <n v="200801"/>
    <n v="1353000"/>
  </r>
  <r>
    <x v="363"/>
    <x v="3"/>
    <m/>
    <x v="0"/>
    <x v="2"/>
    <x v="19"/>
    <n v="200801"/>
    <n v="200801"/>
    <m/>
    <n v="32"/>
    <n v="200801"/>
    <n v="96000"/>
  </r>
  <r>
    <x v="363"/>
    <x v="3"/>
    <m/>
    <x v="5"/>
    <x v="2"/>
    <x v="28"/>
    <n v="200801"/>
    <n v="200801"/>
    <m/>
    <n v="15"/>
    <n v="200801"/>
    <n v="420000"/>
  </r>
  <r>
    <x v="363"/>
    <x v="3"/>
    <m/>
    <x v="22"/>
    <x v="2"/>
    <x v="29"/>
    <n v="200801"/>
    <n v="200801"/>
    <m/>
    <n v="4"/>
    <n v="200801"/>
    <n v="152000"/>
  </r>
  <r>
    <x v="363"/>
    <x v="3"/>
    <m/>
    <x v="19"/>
    <x v="2"/>
    <x v="22"/>
    <n v="200801"/>
    <n v="200801"/>
    <m/>
    <n v="2"/>
    <n v="200801"/>
    <n v="26000"/>
  </r>
  <r>
    <x v="363"/>
    <x v="3"/>
    <m/>
    <x v="19"/>
    <x v="2"/>
    <x v="23"/>
    <n v="200801"/>
    <n v="200801"/>
    <m/>
    <n v="1"/>
    <n v="200801"/>
    <n v="24000"/>
  </r>
  <r>
    <x v="363"/>
    <x v="3"/>
    <m/>
    <x v="33"/>
    <x v="2"/>
    <x v="92"/>
    <n v="200801"/>
    <n v="200801"/>
    <m/>
    <n v="2"/>
    <n v="200801"/>
    <n v="36400"/>
  </r>
  <r>
    <x v="363"/>
    <x v="3"/>
    <m/>
    <x v="0"/>
    <x v="9"/>
    <x v="15"/>
    <n v="200801"/>
    <n v="200801"/>
    <m/>
    <n v="6"/>
    <n v="200801"/>
    <n v="120000"/>
  </r>
  <r>
    <x v="364"/>
    <x v="4"/>
    <m/>
    <x v="0"/>
    <x v="7"/>
    <x v="15"/>
    <n v="200801"/>
    <n v="200801"/>
    <m/>
    <n v="4"/>
    <n v="200801"/>
    <n v="80000"/>
  </r>
  <r>
    <x v="364"/>
    <x v="4"/>
    <m/>
    <x v="6"/>
    <x v="2"/>
    <x v="37"/>
    <n v="200801"/>
    <n v="200801"/>
    <m/>
    <n v="3"/>
    <n v="200801"/>
    <n v="60000"/>
  </r>
  <r>
    <x v="364"/>
    <x v="4"/>
    <m/>
    <x v="6"/>
    <x v="2"/>
    <x v="42"/>
    <n v="200801"/>
    <n v="200801"/>
    <m/>
    <n v="1"/>
    <n v="200801"/>
    <n v="35000"/>
  </r>
  <r>
    <x v="364"/>
    <x v="4"/>
    <m/>
    <x v="25"/>
    <x v="2"/>
    <x v="34"/>
    <n v="200801"/>
    <n v="200801"/>
    <m/>
    <n v="1"/>
    <n v="200801"/>
    <n v="99000"/>
  </r>
  <r>
    <x v="364"/>
    <x v="4"/>
    <m/>
    <x v="31"/>
    <x v="2"/>
    <x v="95"/>
    <n v="200801"/>
    <n v="200801"/>
    <m/>
    <n v="18"/>
    <n v="200801"/>
    <n v="403200"/>
  </r>
  <r>
    <x v="364"/>
    <x v="4"/>
    <m/>
    <x v="31"/>
    <x v="2"/>
    <x v="96"/>
    <n v="200801"/>
    <n v="200801"/>
    <m/>
    <n v="8"/>
    <n v="200801"/>
    <n v="313600"/>
  </r>
  <r>
    <x v="364"/>
    <x v="4"/>
    <m/>
    <x v="32"/>
    <x v="2"/>
    <x v="97"/>
    <n v="200801"/>
    <n v="200801"/>
    <m/>
    <n v="13"/>
    <n v="200801"/>
    <n v="482300"/>
  </r>
  <r>
    <x v="364"/>
    <x v="4"/>
    <m/>
    <x v="34"/>
    <x v="2"/>
    <x v="105"/>
    <n v="200801"/>
    <n v="200801"/>
    <m/>
    <n v="15"/>
    <n v="200801"/>
    <n v="556500"/>
  </r>
  <r>
    <x v="364"/>
    <x v="4"/>
    <m/>
    <x v="30"/>
    <x v="2"/>
    <x v="99"/>
    <n v="200801"/>
    <n v="200801"/>
    <m/>
    <n v="2"/>
    <n v="200801"/>
    <n v="44800"/>
  </r>
  <r>
    <x v="364"/>
    <x v="4"/>
    <m/>
    <x v="30"/>
    <x v="2"/>
    <x v="100"/>
    <n v="200801"/>
    <n v="200801"/>
    <m/>
    <n v="2"/>
    <n v="200801"/>
    <n v="78400"/>
  </r>
  <r>
    <x v="364"/>
    <x v="4"/>
    <m/>
    <x v="1"/>
    <x v="2"/>
    <x v="18"/>
    <n v="200801"/>
    <n v="200801"/>
    <m/>
    <n v="2"/>
    <n v="200801"/>
    <n v="40000"/>
  </r>
  <r>
    <x v="364"/>
    <x v="4"/>
    <m/>
    <x v="4"/>
    <x v="2"/>
    <x v="26"/>
    <n v="200801"/>
    <n v="200801"/>
    <m/>
    <n v="1"/>
    <n v="200801"/>
    <n v="4000"/>
  </r>
  <r>
    <x v="364"/>
    <x v="4"/>
    <m/>
    <x v="4"/>
    <x v="2"/>
    <x v="27"/>
    <n v="200801"/>
    <n v="200801"/>
    <m/>
    <n v="7"/>
    <n v="200801"/>
    <n v="140000"/>
  </r>
  <r>
    <x v="364"/>
    <x v="4"/>
    <m/>
    <x v="0"/>
    <x v="2"/>
    <x v="15"/>
    <n v="200801"/>
    <n v="200801"/>
    <m/>
    <n v="30"/>
    <n v="200801"/>
    <n v="600000"/>
  </r>
  <r>
    <x v="364"/>
    <x v="4"/>
    <m/>
    <x v="0"/>
    <x v="2"/>
    <x v="16"/>
    <n v="200801"/>
    <n v="200801"/>
    <m/>
    <n v="14"/>
    <n v="200801"/>
    <n v="490000"/>
  </r>
  <r>
    <x v="364"/>
    <x v="4"/>
    <m/>
    <x v="0"/>
    <x v="2"/>
    <x v="17"/>
    <n v="200801"/>
    <n v="200801"/>
    <m/>
    <n v="21"/>
    <n v="200801"/>
    <n v="693000"/>
  </r>
  <r>
    <x v="364"/>
    <x v="4"/>
    <m/>
    <x v="0"/>
    <x v="2"/>
    <x v="19"/>
    <n v="200801"/>
    <n v="200801"/>
    <m/>
    <n v="32"/>
    <n v="200801"/>
    <n v="96000"/>
  </r>
  <r>
    <x v="364"/>
    <x v="4"/>
    <m/>
    <x v="5"/>
    <x v="2"/>
    <x v="28"/>
    <n v="200801"/>
    <n v="200801"/>
    <m/>
    <n v="24"/>
    <n v="200801"/>
    <n v="672000"/>
  </r>
  <r>
    <x v="364"/>
    <x v="4"/>
    <m/>
    <x v="5"/>
    <x v="2"/>
    <x v="69"/>
    <n v="200801"/>
    <n v="200801"/>
    <m/>
    <n v="6"/>
    <n v="200801"/>
    <n v="288000"/>
  </r>
  <r>
    <x v="364"/>
    <x v="4"/>
    <m/>
    <x v="22"/>
    <x v="2"/>
    <x v="29"/>
    <n v="200801"/>
    <n v="200801"/>
    <m/>
    <n v="1"/>
    <n v="200801"/>
    <n v="38000"/>
  </r>
  <r>
    <x v="364"/>
    <x v="4"/>
    <m/>
    <x v="19"/>
    <x v="2"/>
    <x v="22"/>
    <n v="200801"/>
    <n v="200801"/>
    <m/>
    <n v="5"/>
    <n v="200801"/>
    <n v="65000"/>
  </r>
  <r>
    <x v="364"/>
    <x v="4"/>
    <m/>
    <x v="19"/>
    <x v="2"/>
    <x v="23"/>
    <n v="200801"/>
    <n v="200801"/>
    <m/>
    <n v="3"/>
    <n v="200801"/>
    <n v="72000"/>
  </r>
  <r>
    <x v="364"/>
    <x v="4"/>
    <m/>
    <x v="19"/>
    <x v="2"/>
    <x v="24"/>
    <n v="200801"/>
    <n v="200801"/>
    <m/>
    <n v="1"/>
    <n v="200801"/>
    <n v="33000"/>
  </r>
  <r>
    <x v="364"/>
    <x v="4"/>
    <m/>
    <x v="33"/>
    <x v="2"/>
    <x v="92"/>
    <n v="200801"/>
    <n v="200801"/>
    <m/>
    <n v="2"/>
    <n v="200801"/>
    <n v="36400"/>
  </r>
  <r>
    <x v="364"/>
    <x v="4"/>
    <m/>
    <x v="0"/>
    <x v="9"/>
    <x v="15"/>
    <n v="200801"/>
    <n v="200801"/>
    <m/>
    <n v="4"/>
    <n v="200801"/>
    <n v="80000"/>
  </r>
  <r>
    <x v="365"/>
    <x v="1"/>
    <m/>
    <x v="0"/>
    <x v="7"/>
    <x v="15"/>
    <n v="200801"/>
    <n v="200801"/>
    <m/>
    <n v="1"/>
    <n v="200801"/>
    <n v="20000"/>
  </r>
  <r>
    <x v="365"/>
    <x v="1"/>
    <m/>
    <x v="6"/>
    <x v="2"/>
    <x v="37"/>
    <n v="200801"/>
    <n v="200801"/>
    <m/>
    <n v="3"/>
    <n v="200801"/>
    <n v="60000"/>
  </r>
  <r>
    <x v="365"/>
    <x v="1"/>
    <m/>
    <x v="25"/>
    <x v="2"/>
    <x v="34"/>
    <n v="200801"/>
    <n v="200801"/>
    <m/>
    <n v="2"/>
    <n v="200801"/>
    <n v="198000"/>
  </r>
  <r>
    <x v="365"/>
    <x v="1"/>
    <m/>
    <x v="31"/>
    <x v="2"/>
    <x v="95"/>
    <n v="200801"/>
    <n v="200801"/>
    <m/>
    <n v="9"/>
    <n v="200801"/>
    <n v="201600"/>
  </r>
  <r>
    <x v="365"/>
    <x v="1"/>
    <m/>
    <x v="31"/>
    <x v="2"/>
    <x v="96"/>
    <n v="200801"/>
    <n v="200801"/>
    <m/>
    <n v="9"/>
    <n v="200801"/>
    <n v="352800"/>
  </r>
  <r>
    <x v="365"/>
    <x v="1"/>
    <m/>
    <x v="32"/>
    <x v="2"/>
    <x v="97"/>
    <n v="200801"/>
    <n v="200801"/>
    <m/>
    <n v="20"/>
    <n v="200801"/>
    <n v="742000"/>
  </r>
  <r>
    <x v="365"/>
    <x v="1"/>
    <m/>
    <x v="34"/>
    <x v="2"/>
    <x v="105"/>
    <n v="200801"/>
    <n v="200801"/>
    <m/>
    <n v="14"/>
    <n v="200801"/>
    <n v="519400"/>
  </r>
  <r>
    <x v="365"/>
    <x v="1"/>
    <m/>
    <x v="30"/>
    <x v="2"/>
    <x v="99"/>
    <n v="200801"/>
    <n v="200801"/>
    <m/>
    <n v="3"/>
    <n v="200801"/>
    <n v="67200"/>
  </r>
  <r>
    <x v="365"/>
    <x v="1"/>
    <m/>
    <x v="1"/>
    <x v="2"/>
    <x v="18"/>
    <n v="200801"/>
    <n v="200801"/>
    <m/>
    <n v="4"/>
    <n v="200801"/>
    <n v="80000"/>
  </r>
  <r>
    <x v="365"/>
    <x v="1"/>
    <m/>
    <x v="4"/>
    <x v="2"/>
    <x v="26"/>
    <n v="200801"/>
    <n v="200801"/>
    <m/>
    <n v="1"/>
    <n v="200801"/>
    <n v="4000"/>
  </r>
  <r>
    <x v="365"/>
    <x v="1"/>
    <m/>
    <x v="4"/>
    <x v="2"/>
    <x v="27"/>
    <n v="200801"/>
    <n v="200801"/>
    <m/>
    <n v="2"/>
    <n v="200801"/>
    <n v="40000"/>
  </r>
  <r>
    <x v="365"/>
    <x v="1"/>
    <m/>
    <x v="0"/>
    <x v="2"/>
    <x v="15"/>
    <n v="200801"/>
    <n v="200801"/>
    <m/>
    <n v="27"/>
    <n v="200801"/>
    <n v="540000"/>
  </r>
  <r>
    <x v="365"/>
    <x v="1"/>
    <m/>
    <x v="0"/>
    <x v="2"/>
    <x v="16"/>
    <n v="200801"/>
    <n v="200801"/>
    <m/>
    <n v="7"/>
    <n v="200801"/>
    <n v="245000"/>
  </r>
  <r>
    <x v="365"/>
    <x v="1"/>
    <m/>
    <x v="0"/>
    <x v="2"/>
    <x v="17"/>
    <n v="200801"/>
    <n v="200801"/>
    <m/>
    <n v="27"/>
    <n v="200801"/>
    <n v="891000"/>
  </r>
  <r>
    <x v="365"/>
    <x v="1"/>
    <m/>
    <x v="0"/>
    <x v="2"/>
    <x v="19"/>
    <n v="200801"/>
    <n v="200801"/>
    <m/>
    <n v="21"/>
    <n v="200801"/>
    <n v="63000"/>
  </r>
  <r>
    <x v="365"/>
    <x v="1"/>
    <m/>
    <x v="5"/>
    <x v="2"/>
    <x v="28"/>
    <n v="200801"/>
    <n v="200801"/>
    <m/>
    <n v="20"/>
    <n v="200801"/>
    <n v="560000"/>
  </r>
  <r>
    <x v="365"/>
    <x v="1"/>
    <m/>
    <x v="5"/>
    <x v="2"/>
    <x v="69"/>
    <n v="200801"/>
    <n v="200801"/>
    <m/>
    <n v="2"/>
    <n v="200801"/>
    <n v="96000"/>
  </r>
  <r>
    <x v="365"/>
    <x v="1"/>
    <m/>
    <x v="19"/>
    <x v="2"/>
    <x v="22"/>
    <n v="200801"/>
    <n v="200801"/>
    <m/>
    <n v="3"/>
    <n v="200801"/>
    <n v="39000"/>
  </r>
  <r>
    <x v="365"/>
    <x v="1"/>
    <m/>
    <x v="19"/>
    <x v="2"/>
    <x v="23"/>
    <n v="200801"/>
    <n v="200801"/>
    <m/>
    <n v="1"/>
    <n v="200801"/>
    <n v="24000"/>
  </r>
  <r>
    <x v="365"/>
    <x v="1"/>
    <m/>
    <x v="0"/>
    <x v="9"/>
    <x v="15"/>
    <n v="200801"/>
    <n v="200801"/>
    <m/>
    <n v="2"/>
    <n v="200801"/>
    <n v="40000"/>
  </r>
  <r>
    <x v="365"/>
    <x v="1"/>
    <m/>
    <x v="22"/>
    <x v="9"/>
    <x v="29"/>
    <n v="200801"/>
    <n v="200801"/>
    <m/>
    <n v="1"/>
    <n v="200801"/>
    <n v="38000"/>
  </r>
  <r>
    <x v="366"/>
    <x v="0"/>
    <m/>
    <x v="0"/>
    <x v="7"/>
    <x v="15"/>
    <n v="200801"/>
    <n v="200801"/>
    <m/>
    <n v="7"/>
    <n v="200801"/>
    <n v="140000"/>
  </r>
  <r>
    <x v="366"/>
    <x v="0"/>
    <m/>
    <x v="6"/>
    <x v="2"/>
    <x v="37"/>
    <n v="200801"/>
    <n v="200801"/>
    <m/>
    <n v="4"/>
    <n v="200801"/>
    <n v="80000"/>
  </r>
  <r>
    <x v="366"/>
    <x v="0"/>
    <m/>
    <x v="6"/>
    <x v="2"/>
    <x v="42"/>
    <n v="200801"/>
    <n v="200801"/>
    <m/>
    <n v="2"/>
    <n v="200801"/>
    <n v="70000"/>
  </r>
  <r>
    <x v="366"/>
    <x v="0"/>
    <m/>
    <x v="25"/>
    <x v="2"/>
    <x v="34"/>
    <n v="200801"/>
    <n v="200801"/>
    <m/>
    <n v="5"/>
    <n v="200801"/>
    <n v="495000"/>
  </r>
  <r>
    <x v="366"/>
    <x v="0"/>
    <m/>
    <x v="31"/>
    <x v="2"/>
    <x v="95"/>
    <n v="200801"/>
    <n v="200801"/>
    <m/>
    <n v="11"/>
    <n v="200801"/>
    <n v="246400"/>
  </r>
  <r>
    <x v="366"/>
    <x v="0"/>
    <m/>
    <x v="31"/>
    <x v="2"/>
    <x v="96"/>
    <n v="200801"/>
    <n v="200801"/>
    <m/>
    <n v="10"/>
    <n v="200801"/>
    <n v="392000"/>
  </r>
  <r>
    <x v="366"/>
    <x v="0"/>
    <m/>
    <x v="32"/>
    <x v="2"/>
    <x v="97"/>
    <n v="200801"/>
    <n v="200801"/>
    <m/>
    <n v="21"/>
    <n v="200801"/>
    <n v="779100"/>
  </r>
  <r>
    <x v="366"/>
    <x v="0"/>
    <m/>
    <x v="34"/>
    <x v="2"/>
    <x v="105"/>
    <n v="200801"/>
    <n v="200801"/>
    <m/>
    <n v="19"/>
    <n v="200801"/>
    <n v="704900"/>
  </r>
  <r>
    <x v="366"/>
    <x v="0"/>
    <m/>
    <x v="30"/>
    <x v="2"/>
    <x v="99"/>
    <n v="200801"/>
    <n v="200801"/>
    <m/>
    <n v="7"/>
    <n v="200801"/>
    <n v="156800"/>
  </r>
  <r>
    <x v="366"/>
    <x v="0"/>
    <m/>
    <x v="30"/>
    <x v="2"/>
    <x v="100"/>
    <n v="200801"/>
    <n v="200801"/>
    <m/>
    <n v="1"/>
    <n v="200801"/>
    <n v="39200"/>
  </r>
  <r>
    <x v="366"/>
    <x v="0"/>
    <m/>
    <x v="1"/>
    <x v="2"/>
    <x v="18"/>
    <n v="200801"/>
    <n v="200801"/>
    <m/>
    <n v="1"/>
    <n v="200801"/>
    <n v="20000"/>
  </r>
  <r>
    <x v="366"/>
    <x v="0"/>
    <m/>
    <x v="1"/>
    <x v="2"/>
    <x v="21"/>
    <n v="200801"/>
    <n v="200801"/>
    <m/>
    <n v="1"/>
    <n v="200801"/>
    <n v="35000"/>
  </r>
  <r>
    <x v="366"/>
    <x v="0"/>
    <m/>
    <x v="4"/>
    <x v="2"/>
    <x v="27"/>
    <n v="200801"/>
    <n v="200801"/>
    <m/>
    <n v="8"/>
    <n v="200801"/>
    <n v="160000"/>
  </r>
  <r>
    <x v="366"/>
    <x v="0"/>
    <m/>
    <x v="0"/>
    <x v="2"/>
    <x v="15"/>
    <n v="200801"/>
    <n v="200801"/>
    <m/>
    <n v="28"/>
    <n v="200801"/>
    <n v="560000"/>
  </r>
  <r>
    <x v="366"/>
    <x v="0"/>
    <m/>
    <x v="0"/>
    <x v="2"/>
    <x v="16"/>
    <n v="200801"/>
    <n v="200801"/>
    <m/>
    <n v="17"/>
    <n v="200801"/>
    <n v="595000"/>
  </r>
  <r>
    <x v="366"/>
    <x v="0"/>
    <m/>
    <x v="0"/>
    <x v="2"/>
    <x v="17"/>
    <n v="200801"/>
    <n v="200801"/>
    <m/>
    <n v="29"/>
    <n v="200801"/>
    <n v="957000"/>
  </r>
  <r>
    <x v="366"/>
    <x v="0"/>
    <m/>
    <x v="0"/>
    <x v="2"/>
    <x v="19"/>
    <n v="200801"/>
    <n v="200801"/>
    <m/>
    <n v="24"/>
    <n v="200801"/>
    <n v="72000"/>
  </r>
  <r>
    <x v="366"/>
    <x v="0"/>
    <m/>
    <x v="5"/>
    <x v="2"/>
    <x v="28"/>
    <n v="200801"/>
    <n v="200801"/>
    <m/>
    <n v="16"/>
    <n v="200801"/>
    <n v="448000"/>
  </r>
  <r>
    <x v="366"/>
    <x v="0"/>
    <m/>
    <x v="5"/>
    <x v="2"/>
    <x v="69"/>
    <n v="200801"/>
    <n v="200801"/>
    <m/>
    <n v="6"/>
    <n v="200801"/>
    <n v="288000"/>
  </r>
  <r>
    <x v="366"/>
    <x v="0"/>
    <m/>
    <x v="22"/>
    <x v="2"/>
    <x v="29"/>
    <n v="200801"/>
    <n v="200801"/>
    <m/>
    <n v="6"/>
    <n v="200801"/>
    <n v="228000"/>
  </r>
  <r>
    <x v="366"/>
    <x v="0"/>
    <m/>
    <x v="19"/>
    <x v="2"/>
    <x v="22"/>
    <n v="200801"/>
    <n v="200801"/>
    <m/>
    <n v="9"/>
    <n v="200801"/>
    <n v="117000"/>
  </r>
  <r>
    <x v="366"/>
    <x v="0"/>
    <m/>
    <x v="19"/>
    <x v="2"/>
    <x v="23"/>
    <n v="200801"/>
    <n v="200801"/>
    <m/>
    <n v="3"/>
    <n v="200801"/>
    <n v="72000"/>
  </r>
  <r>
    <x v="366"/>
    <x v="0"/>
    <m/>
    <x v="19"/>
    <x v="2"/>
    <x v="24"/>
    <n v="200801"/>
    <n v="200801"/>
    <m/>
    <n v="1"/>
    <n v="200801"/>
    <n v="33000"/>
  </r>
  <r>
    <x v="366"/>
    <x v="0"/>
    <m/>
    <x v="33"/>
    <x v="2"/>
    <x v="92"/>
    <n v="200801"/>
    <n v="200801"/>
    <m/>
    <n v="1"/>
    <n v="200801"/>
    <n v="18200"/>
  </r>
  <r>
    <x v="366"/>
    <x v="0"/>
    <m/>
    <x v="0"/>
    <x v="9"/>
    <x v="15"/>
    <n v="200801"/>
    <n v="200801"/>
    <m/>
    <n v="4"/>
    <n v="200801"/>
    <n v="80000"/>
  </r>
  <r>
    <x v="367"/>
    <x v="2"/>
    <m/>
    <x v="0"/>
    <x v="7"/>
    <x v="15"/>
    <n v="200801"/>
    <n v="200801"/>
    <m/>
    <n v="4"/>
    <n v="200801"/>
    <n v="80000"/>
  </r>
  <r>
    <x v="367"/>
    <x v="2"/>
    <m/>
    <x v="6"/>
    <x v="2"/>
    <x v="37"/>
    <n v="200801"/>
    <n v="200801"/>
    <m/>
    <n v="3"/>
    <n v="200801"/>
    <n v="60000"/>
  </r>
  <r>
    <x v="367"/>
    <x v="2"/>
    <m/>
    <x v="25"/>
    <x v="2"/>
    <x v="34"/>
    <n v="200801"/>
    <n v="200801"/>
    <m/>
    <n v="3"/>
    <n v="200801"/>
    <n v="297000"/>
  </r>
  <r>
    <x v="367"/>
    <x v="2"/>
    <m/>
    <x v="31"/>
    <x v="2"/>
    <x v="95"/>
    <n v="200801"/>
    <n v="200801"/>
    <m/>
    <n v="23"/>
    <n v="200801"/>
    <n v="515200"/>
  </r>
  <r>
    <x v="367"/>
    <x v="2"/>
    <m/>
    <x v="31"/>
    <x v="2"/>
    <x v="96"/>
    <n v="200801"/>
    <n v="200801"/>
    <m/>
    <n v="12"/>
    <n v="200801"/>
    <n v="470400"/>
  </r>
  <r>
    <x v="367"/>
    <x v="2"/>
    <m/>
    <x v="32"/>
    <x v="2"/>
    <x v="97"/>
    <n v="200801"/>
    <n v="200801"/>
    <m/>
    <n v="17"/>
    <n v="200801"/>
    <n v="630700"/>
  </r>
  <r>
    <x v="367"/>
    <x v="2"/>
    <m/>
    <x v="34"/>
    <x v="2"/>
    <x v="105"/>
    <n v="200801"/>
    <n v="200801"/>
    <m/>
    <n v="21"/>
    <n v="200801"/>
    <n v="779100"/>
  </r>
  <r>
    <x v="367"/>
    <x v="2"/>
    <m/>
    <x v="30"/>
    <x v="2"/>
    <x v="99"/>
    <n v="200801"/>
    <n v="200801"/>
    <m/>
    <n v="7"/>
    <n v="200801"/>
    <n v="156800"/>
  </r>
  <r>
    <x v="367"/>
    <x v="2"/>
    <m/>
    <x v="1"/>
    <x v="2"/>
    <x v="18"/>
    <n v="200801"/>
    <n v="200801"/>
    <m/>
    <n v="3"/>
    <n v="200801"/>
    <n v="60000"/>
  </r>
  <r>
    <x v="367"/>
    <x v="2"/>
    <m/>
    <x v="4"/>
    <x v="2"/>
    <x v="27"/>
    <n v="200801"/>
    <n v="200801"/>
    <m/>
    <n v="3"/>
    <n v="200801"/>
    <n v="60000"/>
  </r>
  <r>
    <x v="367"/>
    <x v="2"/>
    <m/>
    <x v="0"/>
    <x v="2"/>
    <x v="15"/>
    <n v="200801"/>
    <n v="200801"/>
    <m/>
    <n v="36"/>
    <n v="200801"/>
    <n v="720000"/>
  </r>
  <r>
    <x v="367"/>
    <x v="2"/>
    <m/>
    <x v="0"/>
    <x v="2"/>
    <x v="16"/>
    <n v="200801"/>
    <n v="200801"/>
    <m/>
    <n v="24"/>
    <n v="200801"/>
    <n v="840000"/>
  </r>
  <r>
    <x v="367"/>
    <x v="2"/>
    <m/>
    <x v="0"/>
    <x v="2"/>
    <x v="17"/>
    <n v="200801"/>
    <n v="200801"/>
    <m/>
    <n v="34"/>
    <n v="200801"/>
    <n v="1122000"/>
  </r>
  <r>
    <x v="367"/>
    <x v="2"/>
    <m/>
    <x v="0"/>
    <x v="2"/>
    <x v="19"/>
    <n v="200801"/>
    <n v="200801"/>
    <m/>
    <n v="37"/>
    <n v="200801"/>
    <n v="111000"/>
  </r>
  <r>
    <x v="367"/>
    <x v="2"/>
    <m/>
    <x v="5"/>
    <x v="2"/>
    <x v="28"/>
    <n v="200801"/>
    <n v="200801"/>
    <m/>
    <n v="15"/>
    <n v="200801"/>
    <n v="420000"/>
  </r>
  <r>
    <x v="367"/>
    <x v="2"/>
    <m/>
    <x v="5"/>
    <x v="2"/>
    <x v="69"/>
    <n v="200801"/>
    <n v="200801"/>
    <m/>
    <n v="4"/>
    <n v="200801"/>
    <n v="192000"/>
  </r>
  <r>
    <x v="367"/>
    <x v="2"/>
    <m/>
    <x v="22"/>
    <x v="2"/>
    <x v="29"/>
    <n v="200801"/>
    <n v="200801"/>
    <m/>
    <n v="6"/>
    <n v="200801"/>
    <n v="228000"/>
  </r>
  <r>
    <x v="367"/>
    <x v="2"/>
    <m/>
    <x v="19"/>
    <x v="2"/>
    <x v="22"/>
    <n v="200801"/>
    <n v="200801"/>
    <m/>
    <n v="4"/>
    <n v="200801"/>
    <n v="52000"/>
  </r>
  <r>
    <x v="367"/>
    <x v="2"/>
    <m/>
    <x v="19"/>
    <x v="2"/>
    <x v="24"/>
    <n v="200801"/>
    <n v="200801"/>
    <m/>
    <n v="1"/>
    <n v="200801"/>
    <n v="33000"/>
  </r>
  <r>
    <x v="367"/>
    <x v="2"/>
    <m/>
    <x v="33"/>
    <x v="2"/>
    <x v="92"/>
    <n v="200801"/>
    <n v="200801"/>
    <m/>
    <n v="2"/>
    <n v="200801"/>
    <n v="36400"/>
  </r>
  <r>
    <x v="367"/>
    <x v="2"/>
    <m/>
    <x v="0"/>
    <x v="9"/>
    <x v="15"/>
    <n v="200801"/>
    <n v="200801"/>
    <m/>
    <n v="4"/>
    <n v="200801"/>
    <n v="80000"/>
  </r>
  <r>
    <x v="368"/>
    <x v="5"/>
    <m/>
    <x v="0"/>
    <x v="7"/>
    <x v="15"/>
    <n v="200801"/>
    <n v="200801"/>
    <m/>
    <n v="8"/>
    <n v="200801"/>
    <n v="160000"/>
  </r>
  <r>
    <x v="368"/>
    <x v="5"/>
    <m/>
    <x v="6"/>
    <x v="2"/>
    <x v="37"/>
    <n v="200801"/>
    <n v="200801"/>
    <m/>
    <n v="2"/>
    <n v="200801"/>
    <n v="40000"/>
  </r>
  <r>
    <x v="368"/>
    <x v="5"/>
    <m/>
    <x v="25"/>
    <x v="2"/>
    <x v="34"/>
    <n v="200801"/>
    <n v="200801"/>
    <m/>
    <n v="5"/>
    <n v="200801"/>
    <n v="495000"/>
  </r>
  <r>
    <x v="368"/>
    <x v="5"/>
    <m/>
    <x v="31"/>
    <x v="2"/>
    <x v="95"/>
    <n v="200801"/>
    <n v="200801"/>
    <m/>
    <n v="24"/>
    <n v="200801"/>
    <n v="537600"/>
  </r>
  <r>
    <x v="368"/>
    <x v="5"/>
    <m/>
    <x v="31"/>
    <x v="2"/>
    <x v="96"/>
    <n v="200801"/>
    <n v="200801"/>
    <m/>
    <n v="19"/>
    <n v="200801"/>
    <n v="744800"/>
  </r>
  <r>
    <x v="368"/>
    <x v="5"/>
    <m/>
    <x v="32"/>
    <x v="2"/>
    <x v="97"/>
    <n v="200801"/>
    <n v="200801"/>
    <m/>
    <n v="22"/>
    <n v="200801"/>
    <n v="816200"/>
  </r>
  <r>
    <x v="368"/>
    <x v="5"/>
    <m/>
    <x v="34"/>
    <x v="2"/>
    <x v="105"/>
    <n v="200801"/>
    <n v="200801"/>
    <m/>
    <n v="21"/>
    <n v="200801"/>
    <n v="779100"/>
  </r>
  <r>
    <x v="368"/>
    <x v="5"/>
    <m/>
    <x v="30"/>
    <x v="2"/>
    <x v="99"/>
    <n v="200801"/>
    <n v="200801"/>
    <m/>
    <n v="3"/>
    <n v="200801"/>
    <n v="67200"/>
  </r>
  <r>
    <x v="368"/>
    <x v="5"/>
    <m/>
    <x v="1"/>
    <x v="2"/>
    <x v="18"/>
    <n v="200801"/>
    <n v="200801"/>
    <m/>
    <n v="6"/>
    <n v="200801"/>
    <n v="120000"/>
  </r>
  <r>
    <x v="368"/>
    <x v="5"/>
    <m/>
    <x v="4"/>
    <x v="2"/>
    <x v="26"/>
    <n v="200801"/>
    <n v="200801"/>
    <m/>
    <n v="4"/>
    <n v="200801"/>
    <n v="16000"/>
  </r>
  <r>
    <x v="368"/>
    <x v="5"/>
    <m/>
    <x v="4"/>
    <x v="2"/>
    <x v="27"/>
    <n v="200801"/>
    <n v="200801"/>
    <m/>
    <n v="3"/>
    <n v="200801"/>
    <n v="60000"/>
  </r>
  <r>
    <x v="368"/>
    <x v="5"/>
    <m/>
    <x v="0"/>
    <x v="2"/>
    <x v="15"/>
    <n v="200801"/>
    <n v="200801"/>
    <m/>
    <n v="48"/>
    <n v="200801"/>
    <n v="960000"/>
  </r>
  <r>
    <x v="368"/>
    <x v="5"/>
    <m/>
    <x v="0"/>
    <x v="2"/>
    <x v="16"/>
    <n v="200801"/>
    <n v="200801"/>
    <m/>
    <n v="33"/>
    <n v="200801"/>
    <n v="1155000"/>
  </r>
  <r>
    <x v="368"/>
    <x v="5"/>
    <m/>
    <x v="0"/>
    <x v="2"/>
    <x v="17"/>
    <n v="200801"/>
    <n v="200801"/>
    <m/>
    <n v="50"/>
    <n v="200801"/>
    <n v="1650000"/>
  </r>
  <r>
    <x v="368"/>
    <x v="5"/>
    <m/>
    <x v="0"/>
    <x v="2"/>
    <x v="19"/>
    <n v="200801"/>
    <n v="200801"/>
    <m/>
    <n v="35"/>
    <n v="200801"/>
    <n v="105000"/>
  </r>
  <r>
    <x v="368"/>
    <x v="5"/>
    <m/>
    <x v="5"/>
    <x v="2"/>
    <x v="28"/>
    <n v="200801"/>
    <n v="200801"/>
    <m/>
    <n v="25"/>
    <n v="200801"/>
    <n v="700000"/>
  </r>
  <r>
    <x v="368"/>
    <x v="5"/>
    <m/>
    <x v="5"/>
    <x v="2"/>
    <x v="69"/>
    <n v="200801"/>
    <n v="200801"/>
    <m/>
    <n v="8"/>
    <n v="200801"/>
    <n v="384000"/>
  </r>
  <r>
    <x v="368"/>
    <x v="5"/>
    <m/>
    <x v="22"/>
    <x v="2"/>
    <x v="29"/>
    <n v="200801"/>
    <n v="200801"/>
    <m/>
    <n v="9"/>
    <n v="200801"/>
    <n v="342000"/>
  </r>
  <r>
    <x v="368"/>
    <x v="5"/>
    <m/>
    <x v="19"/>
    <x v="2"/>
    <x v="22"/>
    <n v="200801"/>
    <n v="200801"/>
    <m/>
    <n v="11"/>
    <n v="200801"/>
    <n v="143000"/>
  </r>
  <r>
    <x v="368"/>
    <x v="5"/>
    <m/>
    <x v="19"/>
    <x v="2"/>
    <x v="23"/>
    <n v="200801"/>
    <n v="200801"/>
    <m/>
    <n v="1"/>
    <n v="200801"/>
    <n v="24000"/>
  </r>
  <r>
    <x v="368"/>
    <x v="5"/>
    <m/>
    <x v="19"/>
    <x v="2"/>
    <x v="24"/>
    <n v="200801"/>
    <n v="200801"/>
    <m/>
    <n v="1"/>
    <n v="200801"/>
    <n v="33000"/>
  </r>
  <r>
    <x v="368"/>
    <x v="5"/>
    <m/>
    <x v="33"/>
    <x v="2"/>
    <x v="92"/>
    <n v="200801"/>
    <n v="200801"/>
    <m/>
    <n v="3"/>
    <n v="200801"/>
    <n v="54600"/>
  </r>
  <r>
    <x v="368"/>
    <x v="5"/>
    <m/>
    <x v="5"/>
    <x v="9"/>
    <x v="28"/>
    <n v="200801"/>
    <n v="200801"/>
    <m/>
    <n v="1"/>
    <n v="200801"/>
    <n v="28000"/>
  </r>
  <r>
    <x v="368"/>
    <x v="5"/>
    <m/>
    <x v="0"/>
    <x v="9"/>
    <x v="15"/>
    <n v="200801"/>
    <n v="200801"/>
    <m/>
    <n v="5"/>
    <n v="200801"/>
    <n v="100000"/>
  </r>
  <r>
    <x v="369"/>
    <x v="6"/>
    <m/>
    <x v="0"/>
    <x v="7"/>
    <x v="15"/>
    <n v="200801"/>
    <n v="200801"/>
    <m/>
    <n v="7"/>
    <n v="200801"/>
    <n v="140000"/>
  </r>
  <r>
    <x v="369"/>
    <x v="6"/>
    <m/>
    <x v="6"/>
    <x v="2"/>
    <x v="37"/>
    <n v="200801"/>
    <n v="200801"/>
    <m/>
    <n v="4"/>
    <n v="200801"/>
    <n v="80000"/>
  </r>
  <r>
    <x v="369"/>
    <x v="6"/>
    <m/>
    <x v="6"/>
    <x v="2"/>
    <x v="42"/>
    <n v="200801"/>
    <n v="200801"/>
    <m/>
    <n v="1"/>
    <n v="200801"/>
    <n v="35000"/>
  </r>
  <r>
    <x v="369"/>
    <x v="6"/>
    <m/>
    <x v="25"/>
    <x v="2"/>
    <x v="34"/>
    <n v="200801"/>
    <n v="200801"/>
    <m/>
    <n v="4"/>
    <n v="200801"/>
    <n v="396000"/>
  </r>
  <r>
    <x v="369"/>
    <x v="6"/>
    <m/>
    <x v="31"/>
    <x v="2"/>
    <x v="95"/>
    <n v="200801"/>
    <n v="200801"/>
    <m/>
    <n v="36"/>
    <n v="200801"/>
    <n v="806400"/>
  </r>
  <r>
    <x v="369"/>
    <x v="6"/>
    <m/>
    <x v="31"/>
    <x v="2"/>
    <x v="96"/>
    <n v="200801"/>
    <n v="200801"/>
    <m/>
    <n v="33"/>
    <n v="200801"/>
    <n v="1293600"/>
  </r>
  <r>
    <x v="369"/>
    <x v="6"/>
    <m/>
    <x v="32"/>
    <x v="2"/>
    <x v="97"/>
    <n v="200801"/>
    <n v="200801"/>
    <m/>
    <n v="44"/>
    <n v="200801"/>
    <n v="1632400"/>
  </r>
  <r>
    <x v="369"/>
    <x v="6"/>
    <m/>
    <x v="34"/>
    <x v="2"/>
    <x v="105"/>
    <n v="200801"/>
    <n v="200801"/>
    <m/>
    <n v="44"/>
    <n v="200801"/>
    <n v="1632400"/>
  </r>
  <r>
    <x v="369"/>
    <x v="6"/>
    <m/>
    <x v="30"/>
    <x v="2"/>
    <x v="99"/>
    <n v="200801"/>
    <n v="200801"/>
    <m/>
    <n v="8"/>
    <n v="200801"/>
    <n v="179200"/>
  </r>
  <r>
    <x v="369"/>
    <x v="6"/>
    <m/>
    <x v="30"/>
    <x v="2"/>
    <x v="100"/>
    <n v="200801"/>
    <n v="200801"/>
    <m/>
    <n v="1"/>
    <n v="200801"/>
    <n v="39200"/>
  </r>
  <r>
    <x v="369"/>
    <x v="6"/>
    <m/>
    <x v="1"/>
    <x v="2"/>
    <x v="18"/>
    <n v="200801"/>
    <n v="200801"/>
    <m/>
    <n v="2"/>
    <n v="200801"/>
    <n v="40000"/>
  </r>
  <r>
    <x v="369"/>
    <x v="6"/>
    <m/>
    <x v="1"/>
    <x v="2"/>
    <x v="21"/>
    <n v="200801"/>
    <n v="200801"/>
    <m/>
    <n v="1"/>
    <n v="200801"/>
    <n v="35000"/>
  </r>
  <r>
    <x v="369"/>
    <x v="6"/>
    <m/>
    <x v="4"/>
    <x v="2"/>
    <x v="26"/>
    <n v="200801"/>
    <n v="200801"/>
    <m/>
    <n v="2"/>
    <n v="200801"/>
    <n v="8000"/>
  </r>
  <r>
    <x v="369"/>
    <x v="6"/>
    <m/>
    <x v="4"/>
    <x v="2"/>
    <x v="27"/>
    <n v="200801"/>
    <n v="200801"/>
    <m/>
    <n v="5"/>
    <n v="200801"/>
    <n v="100000"/>
  </r>
  <r>
    <x v="369"/>
    <x v="6"/>
    <m/>
    <x v="0"/>
    <x v="2"/>
    <x v="15"/>
    <n v="200801"/>
    <n v="200801"/>
    <m/>
    <n v="61"/>
    <n v="200801"/>
    <n v="1220000"/>
  </r>
  <r>
    <x v="369"/>
    <x v="6"/>
    <m/>
    <x v="0"/>
    <x v="2"/>
    <x v="16"/>
    <n v="200801"/>
    <n v="200801"/>
    <m/>
    <n v="46"/>
    <n v="200801"/>
    <n v="1610000"/>
  </r>
  <r>
    <x v="369"/>
    <x v="6"/>
    <m/>
    <x v="0"/>
    <x v="2"/>
    <x v="17"/>
    <n v="200801"/>
    <n v="200801"/>
    <m/>
    <n v="62"/>
    <n v="200801"/>
    <n v="2046000"/>
  </r>
  <r>
    <x v="369"/>
    <x v="6"/>
    <m/>
    <x v="0"/>
    <x v="2"/>
    <x v="19"/>
    <n v="200801"/>
    <n v="200801"/>
    <m/>
    <n v="53"/>
    <n v="200801"/>
    <n v="159000"/>
  </r>
  <r>
    <x v="369"/>
    <x v="6"/>
    <m/>
    <x v="5"/>
    <x v="2"/>
    <x v="28"/>
    <n v="200801"/>
    <n v="200801"/>
    <m/>
    <n v="44"/>
    <n v="200801"/>
    <n v="1232000"/>
  </r>
  <r>
    <x v="369"/>
    <x v="6"/>
    <m/>
    <x v="5"/>
    <x v="2"/>
    <x v="69"/>
    <n v="200801"/>
    <n v="200801"/>
    <m/>
    <n v="9"/>
    <n v="200801"/>
    <n v="432000"/>
  </r>
  <r>
    <x v="369"/>
    <x v="6"/>
    <m/>
    <x v="22"/>
    <x v="2"/>
    <x v="29"/>
    <n v="200801"/>
    <n v="200801"/>
    <m/>
    <n v="14"/>
    <n v="200801"/>
    <n v="532000"/>
  </r>
  <r>
    <x v="369"/>
    <x v="6"/>
    <m/>
    <x v="19"/>
    <x v="2"/>
    <x v="22"/>
    <n v="200801"/>
    <n v="200801"/>
    <m/>
    <n v="9"/>
    <n v="200801"/>
    <n v="117000"/>
  </r>
  <r>
    <x v="369"/>
    <x v="6"/>
    <m/>
    <x v="19"/>
    <x v="2"/>
    <x v="23"/>
    <n v="200801"/>
    <n v="200801"/>
    <m/>
    <n v="2"/>
    <n v="200801"/>
    <n v="48000"/>
  </r>
  <r>
    <x v="369"/>
    <x v="6"/>
    <m/>
    <x v="19"/>
    <x v="2"/>
    <x v="24"/>
    <n v="200801"/>
    <n v="200801"/>
    <m/>
    <n v="3"/>
    <n v="200801"/>
    <n v="99000"/>
  </r>
  <r>
    <x v="369"/>
    <x v="6"/>
    <m/>
    <x v="33"/>
    <x v="2"/>
    <x v="92"/>
    <n v="200801"/>
    <n v="200801"/>
    <m/>
    <n v="3"/>
    <n v="200801"/>
    <n v="54600"/>
  </r>
  <r>
    <x v="369"/>
    <x v="6"/>
    <m/>
    <x v="33"/>
    <x v="2"/>
    <x v="93"/>
    <n v="200801"/>
    <n v="200801"/>
    <m/>
    <n v="1"/>
    <n v="200801"/>
    <n v="33800"/>
  </r>
  <r>
    <x v="369"/>
    <x v="6"/>
    <m/>
    <x v="0"/>
    <x v="9"/>
    <x v="15"/>
    <n v="200801"/>
    <n v="200801"/>
    <m/>
    <n v="12"/>
    <n v="200801"/>
    <n v="240000"/>
  </r>
  <r>
    <x v="369"/>
    <x v="6"/>
    <m/>
    <x v="0"/>
    <x v="6"/>
    <x v="15"/>
    <n v="200801"/>
    <n v="200801"/>
    <m/>
    <n v="479"/>
    <n v="200801"/>
    <n v="4343572"/>
  </r>
  <r>
    <x v="369"/>
    <x v="6"/>
    <m/>
    <x v="0"/>
    <x v="6"/>
    <x v="17"/>
    <n v="200801"/>
    <n v="200801"/>
    <m/>
    <n v="344"/>
    <n v="200801"/>
    <n v="5441392"/>
  </r>
  <r>
    <x v="369"/>
    <x v="6"/>
    <m/>
    <x v="4"/>
    <x v="6"/>
    <x v="26"/>
    <n v="200801"/>
    <n v="200801"/>
    <m/>
    <n v="567"/>
    <n v="200801"/>
    <n v="608391"/>
  </r>
  <r>
    <x v="369"/>
    <x v="6"/>
    <m/>
    <x v="26"/>
    <x v="6"/>
    <x v="35"/>
    <n v="200801"/>
    <n v="200801"/>
    <m/>
    <n v="57"/>
    <n v="200801"/>
    <n v="976467"/>
  </r>
  <r>
    <x v="369"/>
    <x v="6"/>
    <m/>
    <x v="22"/>
    <x v="6"/>
    <x v="29"/>
    <n v="200801"/>
    <n v="200801"/>
    <m/>
    <n v="39"/>
    <n v="200801"/>
    <n v="767949"/>
  </r>
  <r>
    <x v="369"/>
    <x v="6"/>
    <m/>
    <x v="24"/>
    <x v="6"/>
    <x v="31"/>
    <n v="200801"/>
    <n v="200801"/>
    <m/>
    <n v="199"/>
    <n v="200801"/>
    <n v="2960523"/>
  </r>
  <r>
    <x v="369"/>
    <x v="6"/>
    <m/>
    <x v="23"/>
    <x v="6"/>
    <x v="30"/>
    <n v="200801"/>
    <n v="200801"/>
    <m/>
    <n v="17"/>
    <n v="200801"/>
    <n v="118388"/>
  </r>
  <r>
    <x v="369"/>
    <x v="6"/>
    <m/>
    <x v="19"/>
    <x v="6"/>
    <x v="22"/>
    <n v="200801"/>
    <n v="200801"/>
    <m/>
    <n v="68"/>
    <n v="200801"/>
    <n v="461788"/>
  </r>
  <r>
    <x v="369"/>
    <x v="6"/>
    <m/>
    <x v="5"/>
    <x v="6"/>
    <x v="28"/>
    <n v="200801"/>
    <n v="200801"/>
    <m/>
    <n v="5"/>
    <n v="200801"/>
    <n v="73000"/>
  </r>
  <r>
    <x v="369"/>
    <x v="6"/>
    <m/>
    <x v="6"/>
    <x v="6"/>
    <x v="37"/>
    <n v="200801"/>
    <n v="200801"/>
    <m/>
    <n v="30"/>
    <n v="200801"/>
    <n v="300000"/>
  </r>
  <r>
    <x v="369"/>
    <x v="6"/>
    <m/>
    <x v="28"/>
    <x v="6"/>
    <x v="39"/>
    <n v="200801"/>
    <n v="200801"/>
    <m/>
    <n v="7"/>
    <n v="200801"/>
    <n v="110726"/>
  </r>
  <r>
    <x v="369"/>
    <x v="6"/>
    <m/>
    <x v="4"/>
    <x v="6"/>
    <x v="66"/>
    <n v="200801"/>
    <n v="200801"/>
    <m/>
    <n v="80"/>
    <n v="200801"/>
    <n v="447760"/>
  </r>
  <r>
    <x v="369"/>
    <x v="6"/>
    <m/>
    <x v="33"/>
    <x v="6"/>
    <x v="106"/>
    <n v="200801"/>
    <n v="200801"/>
    <m/>
    <n v="4"/>
    <n v="200801"/>
    <n v="39000"/>
  </r>
  <r>
    <x v="369"/>
    <x v="6"/>
    <m/>
    <x v="31"/>
    <x v="6"/>
    <x v="103"/>
    <n v="200801"/>
    <n v="200801"/>
    <m/>
    <n v="105"/>
    <n v="200801"/>
    <n v="1176000"/>
  </r>
  <r>
    <x v="369"/>
    <x v="6"/>
    <m/>
    <x v="30"/>
    <x v="6"/>
    <x v="104"/>
    <n v="200801"/>
    <n v="200801"/>
    <m/>
    <n v="97"/>
    <n v="200801"/>
    <n v="1086400"/>
  </r>
  <r>
    <x v="370"/>
    <x v="3"/>
    <m/>
    <x v="19"/>
    <x v="19"/>
    <x v="22"/>
    <n v="200801"/>
    <n v="200801"/>
    <m/>
    <n v="2"/>
    <n v="200801"/>
    <n v="32000"/>
  </r>
  <r>
    <x v="370"/>
    <x v="3"/>
    <m/>
    <x v="6"/>
    <x v="19"/>
    <x v="37"/>
    <n v="200801"/>
    <n v="200801"/>
    <m/>
    <n v="1"/>
    <n v="200801"/>
    <n v="25000"/>
  </r>
  <r>
    <x v="370"/>
    <x v="3"/>
    <m/>
    <x v="0"/>
    <x v="1"/>
    <x v="15"/>
    <n v="200801"/>
    <n v="200801"/>
    <m/>
    <n v="5"/>
    <n v="200801"/>
    <n v="100000"/>
  </r>
  <r>
    <x v="370"/>
    <x v="3"/>
    <m/>
    <x v="0"/>
    <x v="1"/>
    <x v="16"/>
    <n v="200801"/>
    <n v="200801"/>
    <m/>
    <n v="35"/>
    <n v="200801"/>
    <n v="1225000"/>
  </r>
  <r>
    <x v="370"/>
    <x v="3"/>
    <m/>
    <x v="0"/>
    <x v="7"/>
    <x v="15"/>
    <n v="200801"/>
    <n v="200801"/>
    <m/>
    <n v="12"/>
    <n v="200801"/>
    <n v="240000"/>
  </r>
  <r>
    <x v="370"/>
    <x v="3"/>
    <m/>
    <x v="6"/>
    <x v="2"/>
    <x v="37"/>
    <n v="200801"/>
    <n v="200801"/>
    <m/>
    <n v="8"/>
    <n v="200801"/>
    <n v="160000"/>
  </r>
  <r>
    <x v="370"/>
    <x v="3"/>
    <m/>
    <x v="25"/>
    <x v="2"/>
    <x v="34"/>
    <n v="200801"/>
    <n v="200801"/>
    <m/>
    <n v="7"/>
    <n v="200801"/>
    <n v="693000"/>
  </r>
  <r>
    <x v="370"/>
    <x v="3"/>
    <m/>
    <x v="31"/>
    <x v="2"/>
    <x v="95"/>
    <n v="200801"/>
    <n v="200801"/>
    <m/>
    <n v="49"/>
    <n v="200801"/>
    <n v="1097600"/>
  </r>
  <r>
    <x v="370"/>
    <x v="3"/>
    <m/>
    <x v="31"/>
    <x v="2"/>
    <x v="96"/>
    <n v="200801"/>
    <n v="200801"/>
    <m/>
    <n v="34"/>
    <n v="200801"/>
    <n v="1332800"/>
  </r>
  <r>
    <x v="370"/>
    <x v="3"/>
    <m/>
    <x v="32"/>
    <x v="2"/>
    <x v="97"/>
    <n v="200801"/>
    <n v="200801"/>
    <m/>
    <n v="41"/>
    <n v="200801"/>
    <n v="1521100"/>
  </r>
  <r>
    <x v="370"/>
    <x v="3"/>
    <m/>
    <x v="34"/>
    <x v="2"/>
    <x v="105"/>
    <n v="200801"/>
    <n v="200801"/>
    <m/>
    <n v="53"/>
    <n v="200801"/>
    <n v="1966300"/>
  </r>
  <r>
    <x v="370"/>
    <x v="3"/>
    <m/>
    <x v="30"/>
    <x v="2"/>
    <x v="99"/>
    <n v="200801"/>
    <n v="200801"/>
    <m/>
    <n v="13"/>
    <n v="200801"/>
    <n v="291200"/>
  </r>
  <r>
    <x v="370"/>
    <x v="3"/>
    <m/>
    <x v="30"/>
    <x v="2"/>
    <x v="100"/>
    <n v="200801"/>
    <n v="200801"/>
    <m/>
    <n v="1"/>
    <n v="200801"/>
    <n v="39200"/>
  </r>
  <r>
    <x v="370"/>
    <x v="3"/>
    <m/>
    <x v="1"/>
    <x v="2"/>
    <x v="18"/>
    <n v="200801"/>
    <n v="200801"/>
    <m/>
    <n v="5"/>
    <n v="200801"/>
    <n v="100000"/>
  </r>
  <r>
    <x v="370"/>
    <x v="3"/>
    <m/>
    <x v="1"/>
    <x v="2"/>
    <x v="21"/>
    <n v="200801"/>
    <n v="200801"/>
    <m/>
    <n v="1"/>
    <n v="200801"/>
    <n v="35000"/>
  </r>
  <r>
    <x v="370"/>
    <x v="3"/>
    <m/>
    <x v="4"/>
    <x v="2"/>
    <x v="26"/>
    <n v="200801"/>
    <n v="200801"/>
    <m/>
    <n v="2"/>
    <n v="200801"/>
    <n v="8000"/>
  </r>
  <r>
    <x v="370"/>
    <x v="3"/>
    <m/>
    <x v="4"/>
    <x v="2"/>
    <x v="27"/>
    <n v="200801"/>
    <n v="200801"/>
    <m/>
    <n v="7"/>
    <n v="200801"/>
    <n v="140000"/>
  </r>
  <r>
    <x v="370"/>
    <x v="3"/>
    <m/>
    <x v="0"/>
    <x v="2"/>
    <x v="15"/>
    <n v="200801"/>
    <n v="200801"/>
    <m/>
    <n v="55"/>
    <n v="200801"/>
    <n v="1100000"/>
  </r>
  <r>
    <x v="370"/>
    <x v="3"/>
    <m/>
    <x v="0"/>
    <x v="2"/>
    <x v="16"/>
    <n v="200801"/>
    <n v="200801"/>
    <m/>
    <n v="63"/>
    <n v="200801"/>
    <n v="2205000"/>
  </r>
  <r>
    <x v="370"/>
    <x v="3"/>
    <m/>
    <x v="0"/>
    <x v="2"/>
    <x v="17"/>
    <n v="200801"/>
    <n v="200801"/>
    <m/>
    <n v="80"/>
    <n v="200801"/>
    <n v="2640000"/>
  </r>
  <r>
    <x v="370"/>
    <x v="3"/>
    <m/>
    <x v="0"/>
    <x v="2"/>
    <x v="19"/>
    <n v="200801"/>
    <n v="200801"/>
    <m/>
    <n v="48"/>
    <n v="200801"/>
    <n v="144000"/>
  </r>
  <r>
    <x v="370"/>
    <x v="3"/>
    <m/>
    <x v="5"/>
    <x v="2"/>
    <x v="28"/>
    <n v="200801"/>
    <n v="200801"/>
    <m/>
    <n v="33"/>
    <n v="200801"/>
    <n v="924000"/>
  </r>
  <r>
    <x v="370"/>
    <x v="3"/>
    <m/>
    <x v="5"/>
    <x v="2"/>
    <x v="69"/>
    <n v="200801"/>
    <n v="200801"/>
    <m/>
    <n v="9"/>
    <n v="200801"/>
    <n v="432000"/>
  </r>
  <r>
    <x v="370"/>
    <x v="3"/>
    <m/>
    <x v="22"/>
    <x v="2"/>
    <x v="29"/>
    <n v="200801"/>
    <n v="200801"/>
    <m/>
    <n v="7"/>
    <n v="200801"/>
    <n v="266000"/>
  </r>
  <r>
    <x v="370"/>
    <x v="3"/>
    <m/>
    <x v="19"/>
    <x v="2"/>
    <x v="22"/>
    <n v="200801"/>
    <n v="200801"/>
    <m/>
    <n v="14"/>
    <n v="200801"/>
    <n v="182000"/>
  </r>
  <r>
    <x v="370"/>
    <x v="3"/>
    <m/>
    <x v="19"/>
    <x v="2"/>
    <x v="23"/>
    <n v="200801"/>
    <n v="200801"/>
    <m/>
    <n v="3"/>
    <n v="200801"/>
    <n v="72000"/>
  </r>
  <r>
    <x v="370"/>
    <x v="3"/>
    <m/>
    <x v="0"/>
    <x v="9"/>
    <x v="15"/>
    <n v="200801"/>
    <n v="200801"/>
    <m/>
    <n v="5"/>
    <n v="200801"/>
    <n v="100000"/>
  </r>
  <r>
    <x v="371"/>
    <x v="4"/>
    <m/>
    <x v="0"/>
    <x v="1"/>
    <x v="15"/>
    <n v="200801"/>
    <n v="200801"/>
    <m/>
    <n v="2"/>
    <n v="200801"/>
    <n v="40000"/>
  </r>
  <r>
    <x v="371"/>
    <x v="4"/>
    <m/>
    <x v="0"/>
    <x v="1"/>
    <x v="16"/>
    <n v="200801"/>
    <n v="200801"/>
    <m/>
    <n v="8"/>
    <n v="200801"/>
    <n v="280000"/>
  </r>
  <r>
    <x v="371"/>
    <x v="4"/>
    <m/>
    <x v="0"/>
    <x v="7"/>
    <x v="15"/>
    <n v="200801"/>
    <n v="200801"/>
    <m/>
    <n v="2"/>
    <n v="200801"/>
    <n v="40000"/>
  </r>
  <r>
    <x v="371"/>
    <x v="4"/>
    <m/>
    <x v="6"/>
    <x v="2"/>
    <x v="37"/>
    <n v="200801"/>
    <n v="200801"/>
    <m/>
    <n v="4"/>
    <n v="200801"/>
    <n v="80000"/>
  </r>
  <r>
    <x v="371"/>
    <x v="4"/>
    <m/>
    <x v="25"/>
    <x v="2"/>
    <x v="34"/>
    <n v="200801"/>
    <n v="200801"/>
    <m/>
    <n v="3"/>
    <n v="200801"/>
    <n v="297000"/>
  </r>
  <r>
    <x v="371"/>
    <x v="4"/>
    <m/>
    <x v="31"/>
    <x v="2"/>
    <x v="95"/>
    <n v="200801"/>
    <n v="200801"/>
    <m/>
    <n v="28"/>
    <n v="200801"/>
    <n v="627200"/>
  </r>
  <r>
    <x v="371"/>
    <x v="4"/>
    <m/>
    <x v="31"/>
    <x v="2"/>
    <x v="96"/>
    <n v="200801"/>
    <n v="200801"/>
    <m/>
    <n v="37"/>
    <n v="200801"/>
    <n v="1450400"/>
  </r>
  <r>
    <x v="371"/>
    <x v="4"/>
    <m/>
    <x v="32"/>
    <x v="2"/>
    <x v="97"/>
    <n v="200801"/>
    <n v="200801"/>
    <m/>
    <n v="36"/>
    <n v="200801"/>
    <n v="1335600"/>
  </r>
  <r>
    <x v="371"/>
    <x v="4"/>
    <m/>
    <x v="34"/>
    <x v="2"/>
    <x v="105"/>
    <n v="200801"/>
    <n v="200801"/>
    <m/>
    <n v="53"/>
    <n v="200801"/>
    <n v="1966300"/>
  </r>
  <r>
    <x v="371"/>
    <x v="4"/>
    <m/>
    <x v="30"/>
    <x v="2"/>
    <x v="99"/>
    <n v="200801"/>
    <n v="200801"/>
    <m/>
    <n v="7"/>
    <n v="200801"/>
    <n v="156800"/>
  </r>
  <r>
    <x v="371"/>
    <x v="4"/>
    <m/>
    <x v="30"/>
    <x v="2"/>
    <x v="100"/>
    <n v="200801"/>
    <n v="200801"/>
    <m/>
    <n v="1"/>
    <n v="200801"/>
    <n v="39200"/>
  </r>
  <r>
    <x v="371"/>
    <x v="4"/>
    <m/>
    <x v="1"/>
    <x v="2"/>
    <x v="18"/>
    <n v="200801"/>
    <n v="200801"/>
    <m/>
    <n v="3"/>
    <n v="200801"/>
    <n v="60000"/>
  </r>
  <r>
    <x v="371"/>
    <x v="4"/>
    <m/>
    <x v="1"/>
    <x v="2"/>
    <x v="21"/>
    <n v="200801"/>
    <n v="200801"/>
    <m/>
    <n v="4"/>
    <n v="200801"/>
    <n v="140000"/>
  </r>
  <r>
    <x v="371"/>
    <x v="4"/>
    <m/>
    <x v="4"/>
    <x v="2"/>
    <x v="26"/>
    <n v="200801"/>
    <n v="200801"/>
    <m/>
    <n v="5"/>
    <n v="200801"/>
    <n v="20000"/>
  </r>
  <r>
    <x v="371"/>
    <x v="4"/>
    <m/>
    <x v="4"/>
    <x v="2"/>
    <x v="27"/>
    <n v="200801"/>
    <n v="200801"/>
    <m/>
    <n v="4"/>
    <n v="200801"/>
    <n v="80000"/>
  </r>
  <r>
    <x v="371"/>
    <x v="4"/>
    <m/>
    <x v="0"/>
    <x v="2"/>
    <x v="15"/>
    <n v="200801"/>
    <n v="200801"/>
    <m/>
    <n v="71"/>
    <n v="200801"/>
    <n v="1420000"/>
  </r>
  <r>
    <x v="371"/>
    <x v="4"/>
    <m/>
    <x v="0"/>
    <x v="2"/>
    <x v="16"/>
    <n v="200801"/>
    <n v="200801"/>
    <m/>
    <n v="62"/>
    <n v="200801"/>
    <n v="2170000"/>
  </r>
  <r>
    <x v="371"/>
    <x v="4"/>
    <m/>
    <x v="0"/>
    <x v="2"/>
    <x v="17"/>
    <n v="200801"/>
    <n v="200801"/>
    <m/>
    <n v="85"/>
    <n v="200801"/>
    <n v="2805000"/>
  </r>
  <r>
    <x v="371"/>
    <x v="4"/>
    <m/>
    <x v="0"/>
    <x v="2"/>
    <x v="19"/>
    <n v="200801"/>
    <n v="200801"/>
    <m/>
    <n v="61"/>
    <n v="200801"/>
    <n v="183000"/>
  </r>
  <r>
    <x v="371"/>
    <x v="4"/>
    <m/>
    <x v="5"/>
    <x v="2"/>
    <x v="28"/>
    <n v="200801"/>
    <n v="200801"/>
    <m/>
    <n v="28"/>
    <n v="200801"/>
    <n v="784000"/>
  </r>
  <r>
    <x v="371"/>
    <x v="4"/>
    <m/>
    <x v="5"/>
    <x v="2"/>
    <x v="69"/>
    <n v="200801"/>
    <n v="200801"/>
    <m/>
    <n v="4"/>
    <n v="200801"/>
    <n v="192000"/>
  </r>
  <r>
    <x v="371"/>
    <x v="4"/>
    <m/>
    <x v="22"/>
    <x v="2"/>
    <x v="29"/>
    <n v="200801"/>
    <n v="200801"/>
    <m/>
    <n v="5"/>
    <n v="200801"/>
    <n v="190000"/>
  </r>
  <r>
    <x v="371"/>
    <x v="4"/>
    <m/>
    <x v="19"/>
    <x v="2"/>
    <x v="22"/>
    <n v="200801"/>
    <n v="200801"/>
    <m/>
    <n v="8"/>
    <n v="200801"/>
    <n v="104000"/>
  </r>
  <r>
    <x v="371"/>
    <x v="4"/>
    <m/>
    <x v="19"/>
    <x v="2"/>
    <x v="23"/>
    <n v="200801"/>
    <n v="200801"/>
    <m/>
    <n v="5"/>
    <n v="200801"/>
    <n v="120000"/>
  </r>
  <r>
    <x v="371"/>
    <x v="4"/>
    <m/>
    <x v="33"/>
    <x v="2"/>
    <x v="92"/>
    <n v="200801"/>
    <n v="200801"/>
    <m/>
    <n v="2"/>
    <n v="200801"/>
    <n v="36400"/>
  </r>
  <r>
    <x v="371"/>
    <x v="4"/>
    <m/>
    <x v="0"/>
    <x v="9"/>
    <x v="15"/>
    <n v="200801"/>
    <n v="200801"/>
    <m/>
    <n v="5"/>
    <n v="200801"/>
    <n v="100000"/>
  </r>
  <r>
    <x v="372"/>
    <x v="1"/>
    <m/>
    <x v="0"/>
    <x v="1"/>
    <x v="15"/>
    <n v="200801"/>
    <n v="200801"/>
    <m/>
    <n v="2"/>
    <n v="200801"/>
    <n v="40000"/>
  </r>
  <r>
    <x v="372"/>
    <x v="1"/>
    <m/>
    <x v="0"/>
    <x v="1"/>
    <x v="16"/>
    <n v="200801"/>
    <n v="200801"/>
    <m/>
    <n v="18"/>
    <n v="200801"/>
    <n v="630000"/>
  </r>
  <r>
    <x v="372"/>
    <x v="1"/>
    <m/>
    <x v="5"/>
    <x v="5"/>
    <x v="53"/>
    <n v="200801"/>
    <n v="200801"/>
    <m/>
    <n v="20"/>
    <n v="200801"/>
    <n v="297000"/>
  </r>
  <r>
    <x v="372"/>
    <x v="1"/>
    <m/>
    <x v="22"/>
    <x v="5"/>
    <x v="52"/>
    <n v="200801"/>
    <n v="200801"/>
    <m/>
    <n v="20"/>
    <n v="200801"/>
    <n v="342000"/>
  </r>
  <r>
    <x v="372"/>
    <x v="1"/>
    <m/>
    <x v="0"/>
    <x v="7"/>
    <x v="15"/>
    <n v="200801"/>
    <n v="200801"/>
    <m/>
    <n v="6"/>
    <n v="200801"/>
    <n v="120000"/>
  </r>
  <r>
    <x v="372"/>
    <x v="1"/>
    <m/>
    <x v="6"/>
    <x v="2"/>
    <x v="37"/>
    <n v="200801"/>
    <n v="200801"/>
    <m/>
    <n v="4"/>
    <n v="200801"/>
    <n v="80000"/>
  </r>
  <r>
    <x v="372"/>
    <x v="1"/>
    <m/>
    <x v="6"/>
    <x v="2"/>
    <x v="42"/>
    <n v="200801"/>
    <n v="200801"/>
    <m/>
    <n v="3"/>
    <n v="200801"/>
    <n v="105000"/>
  </r>
  <r>
    <x v="372"/>
    <x v="1"/>
    <m/>
    <x v="25"/>
    <x v="2"/>
    <x v="34"/>
    <n v="200801"/>
    <n v="200801"/>
    <m/>
    <n v="5"/>
    <n v="200801"/>
    <n v="495000"/>
  </r>
  <r>
    <x v="372"/>
    <x v="1"/>
    <m/>
    <x v="31"/>
    <x v="2"/>
    <x v="95"/>
    <n v="200801"/>
    <n v="200801"/>
    <m/>
    <n v="16"/>
    <n v="200801"/>
    <n v="358400"/>
  </r>
  <r>
    <x v="372"/>
    <x v="1"/>
    <m/>
    <x v="31"/>
    <x v="2"/>
    <x v="96"/>
    <n v="200801"/>
    <n v="200801"/>
    <m/>
    <n v="13"/>
    <n v="200801"/>
    <n v="509600"/>
  </r>
  <r>
    <x v="372"/>
    <x v="1"/>
    <m/>
    <x v="32"/>
    <x v="2"/>
    <x v="97"/>
    <n v="200801"/>
    <n v="200801"/>
    <m/>
    <n v="20"/>
    <n v="200801"/>
    <n v="742000"/>
  </r>
  <r>
    <x v="372"/>
    <x v="1"/>
    <m/>
    <x v="34"/>
    <x v="2"/>
    <x v="105"/>
    <n v="200801"/>
    <n v="200801"/>
    <m/>
    <n v="56"/>
    <n v="200801"/>
    <n v="2077600"/>
  </r>
  <r>
    <x v="372"/>
    <x v="1"/>
    <m/>
    <x v="30"/>
    <x v="2"/>
    <x v="99"/>
    <n v="200801"/>
    <n v="200801"/>
    <m/>
    <n v="9"/>
    <n v="200801"/>
    <n v="201600"/>
  </r>
  <r>
    <x v="372"/>
    <x v="1"/>
    <m/>
    <x v="30"/>
    <x v="2"/>
    <x v="100"/>
    <n v="200801"/>
    <n v="200801"/>
    <m/>
    <n v="2"/>
    <n v="200801"/>
    <n v="78400"/>
  </r>
  <r>
    <x v="372"/>
    <x v="1"/>
    <m/>
    <x v="1"/>
    <x v="2"/>
    <x v="18"/>
    <n v="200801"/>
    <n v="200801"/>
    <m/>
    <n v="7"/>
    <n v="200801"/>
    <n v="140000"/>
  </r>
  <r>
    <x v="372"/>
    <x v="1"/>
    <m/>
    <x v="1"/>
    <x v="2"/>
    <x v="21"/>
    <n v="200801"/>
    <n v="200801"/>
    <m/>
    <n v="2"/>
    <n v="200801"/>
    <n v="70000"/>
  </r>
  <r>
    <x v="372"/>
    <x v="1"/>
    <m/>
    <x v="4"/>
    <x v="2"/>
    <x v="26"/>
    <n v="200801"/>
    <n v="200801"/>
    <m/>
    <n v="1"/>
    <n v="200801"/>
    <n v="4000"/>
  </r>
  <r>
    <x v="372"/>
    <x v="1"/>
    <m/>
    <x v="4"/>
    <x v="2"/>
    <x v="27"/>
    <n v="200801"/>
    <n v="200801"/>
    <m/>
    <n v="4"/>
    <n v="200801"/>
    <n v="80000"/>
  </r>
  <r>
    <x v="372"/>
    <x v="1"/>
    <m/>
    <x v="0"/>
    <x v="2"/>
    <x v="15"/>
    <n v="200801"/>
    <n v="200801"/>
    <m/>
    <n v="43"/>
    <n v="200801"/>
    <n v="860000"/>
  </r>
  <r>
    <x v="372"/>
    <x v="1"/>
    <m/>
    <x v="0"/>
    <x v="2"/>
    <x v="16"/>
    <n v="200801"/>
    <n v="200801"/>
    <m/>
    <n v="24"/>
    <n v="200801"/>
    <n v="840000"/>
  </r>
  <r>
    <x v="372"/>
    <x v="1"/>
    <m/>
    <x v="0"/>
    <x v="2"/>
    <x v="17"/>
    <n v="200801"/>
    <n v="200801"/>
    <m/>
    <n v="61"/>
    <n v="200801"/>
    <n v="2013000"/>
  </r>
  <r>
    <x v="372"/>
    <x v="1"/>
    <m/>
    <x v="0"/>
    <x v="2"/>
    <x v="19"/>
    <n v="200801"/>
    <n v="200801"/>
    <m/>
    <n v="35"/>
    <n v="200801"/>
    <n v="105000"/>
  </r>
  <r>
    <x v="372"/>
    <x v="1"/>
    <m/>
    <x v="5"/>
    <x v="2"/>
    <x v="28"/>
    <n v="200801"/>
    <n v="200801"/>
    <m/>
    <n v="29"/>
    <n v="200801"/>
    <n v="812000"/>
  </r>
  <r>
    <x v="372"/>
    <x v="1"/>
    <m/>
    <x v="5"/>
    <x v="2"/>
    <x v="69"/>
    <n v="200801"/>
    <n v="200801"/>
    <m/>
    <n v="4"/>
    <n v="200801"/>
    <n v="192000"/>
  </r>
  <r>
    <x v="372"/>
    <x v="1"/>
    <m/>
    <x v="22"/>
    <x v="2"/>
    <x v="29"/>
    <n v="200801"/>
    <n v="200801"/>
    <m/>
    <n v="5"/>
    <n v="200801"/>
    <n v="190000"/>
  </r>
  <r>
    <x v="372"/>
    <x v="1"/>
    <m/>
    <x v="19"/>
    <x v="2"/>
    <x v="22"/>
    <n v="200801"/>
    <n v="200801"/>
    <m/>
    <n v="13"/>
    <n v="200801"/>
    <n v="169000"/>
  </r>
  <r>
    <x v="372"/>
    <x v="1"/>
    <m/>
    <x v="19"/>
    <x v="2"/>
    <x v="23"/>
    <n v="200801"/>
    <n v="200801"/>
    <m/>
    <n v="4"/>
    <n v="200801"/>
    <n v="96000"/>
  </r>
  <r>
    <x v="372"/>
    <x v="1"/>
    <m/>
    <x v="19"/>
    <x v="2"/>
    <x v="24"/>
    <n v="200801"/>
    <n v="200801"/>
    <m/>
    <n v="1"/>
    <n v="200801"/>
    <n v="33000"/>
  </r>
  <r>
    <x v="372"/>
    <x v="1"/>
    <m/>
    <x v="0"/>
    <x v="9"/>
    <x v="15"/>
    <n v="200801"/>
    <n v="200801"/>
    <m/>
    <n v="2"/>
    <n v="200801"/>
    <n v="40000"/>
  </r>
  <r>
    <x v="373"/>
    <x v="0"/>
    <m/>
    <x v="0"/>
    <x v="1"/>
    <x v="16"/>
    <n v="200801"/>
    <n v="200801"/>
    <m/>
    <n v="10"/>
    <n v="200801"/>
    <n v="350000"/>
  </r>
  <r>
    <x v="373"/>
    <x v="0"/>
    <m/>
    <x v="30"/>
    <x v="5"/>
    <x v="87"/>
    <n v="200801"/>
    <n v="200801"/>
    <m/>
    <n v="5"/>
    <n v="200801"/>
    <n v="57275"/>
  </r>
  <r>
    <x v="373"/>
    <x v="0"/>
    <m/>
    <x v="31"/>
    <x v="5"/>
    <x v="88"/>
    <n v="200801"/>
    <n v="200801"/>
    <m/>
    <n v="5"/>
    <n v="200801"/>
    <n v="57275"/>
  </r>
  <r>
    <x v="373"/>
    <x v="0"/>
    <m/>
    <x v="0"/>
    <x v="7"/>
    <x v="15"/>
    <n v="200801"/>
    <n v="200801"/>
    <m/>
    <n v="5"/>
    <n v="200801"/>
    <n v="100000"/>
  </r>
  <r>
    <x v="373"/>
    <x v="0"/>
    <m/>
    <x v="30"/>
    <x v="3"/>
    <x v="87"/>
    <n v="200801"/>
    <n v="200801"/>
    <m/>
    <n v="20"/>
    <n v="200801"/>
    <n v="0"/>
  </r>
  <r>
    <x v="373"/>
    <x v="0"/>
    <m/>
    <x v="33"/>
    <x v="3"/>
    <x v="94"/>
    <n v="200801"/>
    <n v="200801"/>
    <m/>
    <n v="10"/>
    <n v="200801"/>
    <n v="0"/>
  </r>
  <r>
    <x v="373"/>
    <x v="0"/>
    <m/>
    <x v="0"/>
    <x v="3"/>
    <x v="15"/>
    <n v="200801"/>
    <n v="200801"/>
    <m/>
    <n v="80"/>
    <n v="200801"/>
    <n v="0"/>
  </r>
  <r>
    <x v="373"/>
    <x v="0"/>
    <m/>
    <x v="5"/>
    <x v="3"/>
    <x v="28"/>
    <n v="200801"/>
    <n v="200801"/>
    <m/>
    <n v="70"/>
    <n v="200801"/>
    <n v="0"/>
  </r>
  <r>
    <x v="373"/>
    <x v="0"/>
    <m/>
    <x v="4"/>
    <x v="3"/>
    <x v="26"/>
    <n v="200801"/>
    <n v="200801"/>
    <m/>
    <n v="80"/>
    <n v="200801"/>
    <n v="0"/>
  </r>
  <r>
    <x v="373"/>
    <x v="0"/>
    <m/>
    <x v="6"/>
    <x v="3"/>
    <x v="37"/>
    <n v="200801"/>
    <n v="200801"/>
    <m/>
    <n v="15"/>
    <n v="200801"/>
    <n v="0"/>
  </r>
  <r>
    <x v="373"/>
    <x v="0"/>
    <m/>
    <x v="22"/>
    <x v="3"/>
    <x v="29"/>
    <n v="200801"/>
    <n v="200801"/>
    <m/>
    <n v="20"/>
    <n v="200801"/>
    <n v="0"/>
  </r>
  <r>
    <x v="373"/>
    <x v="0"/>
    <m/>
    <x v="19"/>
    <x v="3"/>
    <x v="22"/>
    <n v="200801"/>
    <n v="200801"/>
    <m/>
    <n v="20"/>
    <n v="200801"/>
    <n v="0"/>
  </r>
  <r>
    <x v="373"/>
    <x v="0"/>
    <m/>
    <x v="1"/>
    <x v="3"/>
    <x v="18"/>
    <n v="200801"/>
    <n v="200801"/>
    <m/>
    <n v="30"/>
    <n v="200801"/>
    <n v="0"/>
  </r>
  <r>
    <x v="373"/>
    <x v="0"/>
    <m/>
    <x v="6"/>
    <x v="2"/>
    <x v="42"/>
    <n v="200801"/>
    <n v="200801"/>
    <m/>
    <n v="1"/>
    <n v="200801"/>
    <n v="35000"/>
  </r>
  <r>
    <x v="373"/>
    <x v="0"/>
    <m/>
    <x v="25"/>
    <x v="2"/>
    <x v="34"/>
    <n v="200801"/>
    <n v="200801"/>
    <m/>
    <n v="5"/>
    <n v="200801"/>
    <n v="495000"/>
  </r>
  <r>
    <x v="373"/>
    <x v="0"/>
    <m/>
    <x v="31"/>
    <x v="2"/>
    <x v="95"/>
    <n v="200801"/>
    <n v="200801"/>
    <m/>
    <n v="8"/>
    <n v="200801"/>
    <n v="179200"/>
  </r>
  <r>
    <x v="373"/>
    <x v="0"/>
    <m/>
    <x v="31"/>
    <x v="2"/>
    <x v="96"/>
    <n v="200801"/>
    <n v="200801"/>
    <m/>
    <n v="8"/>
    <n v="200801"/>
    <n v="313600"/>
  </r>
  <r>
    <x v="373"/>
    <x v="0"/>
    <m/>
    <x v="32"/>
    <x v="2"/>
    <x v="97"/>
    <n v="200801"/>
    <n v="200801"/>
    <m/>
    <n v="26"/>
    <n v="200801"/>
    <n v="964600"/>
  </r>
  <r>
    <x v="373"/>
    <x v="0"/>
    <m/>
    <x v="34"/>
    <x v="2"/>
    <x v="105"/>
    <n v="200801"/>
    <n v="200801"/>
    <m/>
    <n v="32"/>
    <n v="200801"/>
    <n v="1187200"/>
  </r>
  <r>
    <x v="373"/>
    <x v="0"/>
    <m/>
    <x v="30"/>
    <x v="2"/>
    <x v="99"/>
    <n v="200801"/>
    <n v="200801"/>
    <m/>
    <n v="4"/>
    <n v="200801"/>
    <n v="89600"/>
  </r>
  <r>
    <x v="373"/>
    <x v="0"/>
    <m/>
    <x v="1"/>
    <x v="2"/>
    <x v="18"/>
    <n v="200801"/>
    <n v="200801"/>
    <m/>
    <n v="3"/>
    <n v="200801"/>
    <n v="60000"/>
  </r>
  <r>
    <x v="373"/>
    <x v="0"/>
    <m/>
    <x v="1"/>
    <x v="2"/>
    <x v="21"/>
    <n v="200801"/>
    <n v="200801"/>
    <m/>
    <n v="2"/>
    <n v="200801"/>
    <n v="70000"/>
  </r>
  <r>
    <x v="373"/>
    <x v="0"/>
    <m/>
    <x v="4"/>
    <x v="2"/>
    <x v="26"/>
    <n v="200801"/>
    <n v="200801"/>
    <m/>
    <n v="1"/>
    <n v="200801"/>
    <n v="4000"/>
  </r>
  <r>
    <x v="373"/>
    <x v="0"/>
    <m/>
    <x v="4"/>
    <x v="2"/>
    <x v="27"/>
    <n v="200801"/>
    <n v="200801"/>
    <m/>
    <n v="3"/>
    <n v="200801"/>
    <n v="60000"/>
  </r>
  <r>
    <x v="373"/>
    <x v="0"/>
    <m/>
    <x v="0"/>
    <x v="2"/>
    <x v="15"/>
    <n v="200801"/>
    <n v="200801"/>
    <m/>
    <n v="33"/>
    <n v="200801"/>
    <n v="660000"/>
  </r>
  <r>
    <x v="373"/>
    <x v="0"/>
    <m/>
    <x v="0"/>
    <x v="2"/>
    <x v="16"/>
    <n v="200801"/>
    <n v="200801"/>
    <m/>
    <n v="13"/>
    <n v="200801"/>
    <n v="455000"/>
  </r>
  <r>
    <x v="373"/>
    <x v="0"/>
    <m/>
    <x v="0"/>
    <x v="2"/>
    <x v="17"/>
    <n v="200801"/>
    <n v="200801"/>
    <m/>
    <n v="50"/>
    <n v="200801"/>
    <n v="1650000"/>
  </r>
  <r>
    <x v="373"/>
    <x v="0"/>
    <m/>
    <x v="0"/>
    <x v="2"/>
    <x v="19"/>
    <n v="200801"/>
    <n v="200801"/>
    <m/>
    <n v="39"/>
    <n v="200801"/>
    <n v="117000"/>
  </r>
  <r>
    <x v="373"/>
    <x v="0"/>
    <m/>
    <x v="5"/>
    <x v="2"/>
    <x v="28"/>
    <n v="200801"/>
    <n v="200801"/>
    <m/>
    <n v="18"/>
    <n v="200801"/>
    <n v="504000"/>
  </r>
  <r>
    <x v="373"/>
    <x v="0"/>
    <m/>
    <x v="5"/>
    <x v="2"/>
    <x v="69"/>
    <n v="200801"/>
    <n v="200801"/>
    <m/>
    <n v="1"/>
    <n v="200801"/>
    <n v="48000"/>
  </r>
  <r>
    <x v="373"/>
    <x v="0"/>
    <m/>
    <x v="22"/>
    <x v="2"/>
    <x v="29"/>
    <n v="200801"/>
    <n v="200801"/>
    <m/>
    <n v="8"/>
    <n v="200801"/>
    <n v="304000"/>
  </r>
  <r>
    <x v="373"/>
    <x v="0"/>
    <m/>
    <x v="19"/>
    <x v="2"/>
    <x v="22"/>
    <n v="200801"/>
    <n v="200801"/>
    <m/>
    <n v="4"/>
    <n v="200801"/>
    <n v="52000"/>
  </r>
  <r>
    <x v="373"/>
    <x v="0"/>
    <m/>
    <x v="19"/>
    <x v="2"/>
    <x v="23"/>
    <n v="200801"/>
    <n v="200801"/>
    <m/>
    <n v="3"/>
    <n v="200801"/>
    <n v="72000"/>
  </r>
  <r>
    <x v="373"/>
    <x v="0"/>
    <m/>
    <x v="5"/>
    <x v="9"/>
    <x v="28"/>
    <n v="200801"/>
    <n v="200801"/>
    <m/>
    <n v="1"/>
    <n v="200801"/>
    <n v="28000"/>
  </r>
  <r>
    <x v="373"/>
    <x v="0"/>
    <m/>
    <x v="4"/>
    <x v="9"/>
    <x v="26"/>
    <n v="200801"/>
    <n v="200801"/>
    <m/>
    <n v="1"/>
    <n v="200801"/>
    <n v="4000"/>
  </r>
  <r>
    <x v="373"/>
    <x v="0"/>
    <m/>
    <x v="0"/>
    <x v="9"/>
    <x v="15"/>
    <n v="200801"/>
    <n v="200801"/>
    <m/>
    <n v="4"/>
    <n v="200801"/>
    <n v="80000"/>
  </r>
  <r>
    <x v="374"/>
    <x v="2"/>
    <m/>
    <x v="0"/>
    <x v="7"/>
    <x v="15"/>
    <n v="200801"/>
    <n v="200801"/>
    <m/>
    <n v="2"/>
    <n v="200801"/>
    <n v="40000"/>
  </r>
  <r>
    <x v="374"/>
    <x v="2"/>
    <m/>
    <x v="6"/>
    <x v="2"/>
    <x v="37"/>
    <n v="200801"/>
    <n v="200801"/>
    <m/>
    <n v="3"/>
    <n v="200801"/>
    <n v="60000"/>
  </r>
  <r>
    <x v="374"/>
    <x v="2"/>
    <m/>
    <x v="6"/>
    <x v="2"/>
    <x v="42"/>
    <n v="200801"/>
    <n v="200801"/>
    <m/>
    <n v="2"/>
    <n v="200801"/>
    <n v="70000"/>
  </r>
  <r>
    <x v="374"/>
    <x v="2"/>
    <m/>
    <x v="25"/>
    <x v="2"/>
    <x v="34"/>
    <n v="200801"/>
    <n v="200801"/>
    <m/>
    <n v="5"/>
    <n v="200801"/>
    <n v="495000"/>
  </r>
  <r>
    <x v="374"/>
    <x v="2"/>
    <m/>
    <x v="31"/>
    <x v="2"/>
    <x v="95"/>
    <n v="200801"/>
    <n v="200801"/>
    <m/>
    <n v="9"/>
    <n v="200801"/>
    <n v="201600"/>
  </r>
  <r>
    <x v="374"/>
    <x v="2"/>
    <m/>
    <x v="31"/>
    <x v="2"/>
    <x v="96"/>
    <n v="200801"/>
    <n v="200801"/>
    <m/>
    <n v="6"/>
    <n v="200801"/>
    <n v="235200"/>
  </r>
  <r>
    <x v="374"/>
    <x v="2"/>
    <m/>
    <x v="32"/>
    <x v="2"/>
    <x v="97"/>
    <n v="200801"/>
    <n v="200801"/>
    <m/>
    <n v="3"/>
    <n v="200801"/>
    <n v="111300"/>
  </r>
  <r>
    <x v="374"/>
    <x v="2"/>
    <m/>
    <x v="34"/>
    <x v="2"/>
    <x v="105"/>
    <n v="200801"/>
    <n v="200801"/>
    <m/>
    <n v="23"/>
    <n v="200801"/>
    <n v="853300"/>
  </r>
  <r>
    <x v="374"/>
    <x v="2"/>
    <m/>
    <x v="30"/>
    <x v="2"/>
    <x v="99"/>
    <n v="200801"/>
    <n v="200801"/>
    <m/>
    <n v="1"/>
    <n v="200801"/>
    <n v="22400"/>
  </r>
  <r>
    <x v="374"/>
    <x v="2"/>
    <m/>
    <x v="1"/>
    <x v="2"/>
    <x v="18"/>
    <n v="200801"/>
    <n v="200801"/>
    <m/>
    <n v="4"/>
    <n v="200801"/>
    <n v="80000"/>
  </r>
  <r>
    <x v="374"/>
    <x v="2"/>
    <m/>
    <x v="4"/>
    <x v="2"/>
    <x v="27"/>
    <n v="200801"/>
    <n v="200801"/>
    <m/>
    <n v="1"/>
    <n v="200801"/>
    <n v="20000"/>
  </r>
  <r>
    <x v="374"/>
    <x v="2"/>
    <m/>
    <x v="0"/>
    <x v="2"/>
    <x v="15"/>
    <n v="200801"/>
    <n v="200801"/>
    <m/>
    <n v="34"/>
    <n v="200801"/>
    <n v="680000"/>
  </r>
  <r>
    <x v="374"/>
    <x v="2"/>
    <m/>
    <x v="0"/>
    <x v="2"/>
    <x v="16"/>
    <n v="200801"/>
    <n v="200801"/>
    <m/>
    <n v="10"/>
    <n v="200801"/>
    <n v="350000"/>
  </r>
  <r>
    <x v="374"/>
    <x v="2"/>
    <m/>
    <x v="0"/>
    <x v="2"/>
    <x v="17"/>
    <n v="200801"/>
    <n v="200801"/>
    <m/>
    <n v="38"/>
    <n v="200801"/>
    <n v="1254000"/>
  </r>
  <r>
    <x v="374"/>
    <x v="2"/>
    <m/>
    <x v="0"/>
    <x v="2"/>
    <x v="19"/>
    <n v="200801"/>
    <n v="200801"/>
    <m/>
    <n v="17"/>
    <n v="200801"/>
    <n v="51000"/>
  </r>
  <r>
    <x v="374"/>
    <x v="2"/>
    <m/>
    <x v="5"/>
    <x v="2"/>
    <x v="28"/>
    <n v="200801"/>
    <n v="200801"/>
    <m/>
    <n v="16"/>
    <n v="200801"/>
    <n v="448000"/>
  </r>
  <r>
    <x v="374"/>
    <x v="2"/>
    <m/>
    <x v="5"/>
    <x v="2"/>
    <x v="69"/>
    <n v="200801"/>
    <n v="200801"/>
    <m/>
    <n v="4"/>
    <n v="200801"/>
    <n v="192000"/>
  </r>
  <r>
    <x v="374"/>
    <x v="2"/>
    <m/>
    <x v="22"/>
    <x v="2"/>
    <x v="29"/>
    <n v="200801"/>
    <n v="200801"/>
    <m/>
    <n v="5"/>
    <n v="200801"/>
    <n v="190000"/>
  </r>
  <r>
    <x v="374"/>
    <x v="2"/>
    <m/>
    <x v="19"/>
    <x v="2"/>
    <x v="22"/>
    <n v="200801"/>
    <n v="200801"/>
    <m/>
    <n v="7"/>
    <n v="200801"/>
    <n v="91000"/>
  </r>
  <r>
    <x v="374"/>
    <x v="2"/>
    <m/>
    <x v="19"/>
    <x v="2"/>
    <x v="23"/>
    <n v="200801"/>
    <n v="200801"/>
    <m/>
    <n v="2"/>
    <n v="200801"/>
    <n v="48000"/>
  </r>
  <r>
    <x v="374"/>
    <x v="2"/>
    <m/>
    <x v="33"/>
    <x v="2"/>
    <x v="92"/>
    <n v="200801"/>
    <n v="200801"/>
    <m/>
    <n v="1"/>
    <n v="200801"/>
    <n v="18200"/>
  </r>
  <r>
    <x v="374"/>
    <x v="2"/>
    <m/>
    <x v="0"/>
    <x v="9"/>
    <x v="15"/>
    <n v="200801"/>
    <n v="200801"/>
    <m/>
    <n v="6"/>
    <n v="200801"/>
    <n v="120000"/>
  </r>
  <r>
    <x v="375"/>
    <x v="5"/>
    <m/>
    <x v="0"/>
    <x v="7"/>
    <x v="15"/>
    <n v="200801"/>
    <n v="200801"/>
    <m/>
    <n v="7"/>
    <n v="200801"/>
    <n v="140000"/>
  </r>
  <r>
    <x v="375"/>
    <x v="5"/>
    <m/>
    <x v="6"/>
    <x v="2"/>
    <x v="37"/>
    <n v="200801"/>
    <n v="200801"/>
    <m/>
    <n v="2"/>
    <n v="200801"/>
    <n v="40000"/>
  </r>
  <r>
    <x v="375"/>
    <x v="5"/>
    <m/>
    <x v="6"/>
    <x v="2"/>
    <x v="42"/>
    <n v="200801"/>
    <n v="200801"/>
    <m/>
    <n v="2"/>
    <n v="200801"/>
    <n v="70000"/>
  </r>
  <r>
    <x v="375"/>
    <x v="5"/>
    <m/>
    <x v="25"/>
    <x v="2"/>
    <x v="34"/>
    <n v="200801"/>
    <n v="200801"/>
    <m/>
    <n v="1"/>
    <n v="200801"/>
    <n v="99000"/>
  </r>
  <r>
    <x v="375"/>
    <x v="5"/>
    <m/>
    <x v="31"/>
    <x v="2"/>
    <x v="95"/>
    <n v="200801"/>
    <n v="200801"/>
    <m/>
    <n v="12"/>
    <n v="200801"/>
    <n v="268800"/>
  </r>
  <r>
    <x v="375"/>
    <x v="5"/>
    <m/>
    <x v="31"/>
    <x v="2"/>
    <x v="96"/>
    <n v="200801"/>
    <n v="200801"/>
    <m/>
    <n v="1"/>
    <n v="200801"/>
    <n v="39200"/>
  </r>
  <r>
    <x v="375"/>
    <x v="5"/>
    <m/>
    <x v="32"/>
    <x v="2"/>
    <x v="97"/>
    <n v="200801"/>
    <n v="200801"/>
    <m/>
    <n v="4"/>
    <n v="200801"/>
    <n v="148400"/>
  </r>
  <r>
    <x v="375"/>
    <x v="5"/>
    <m/>
    <x v="34"/>
    <x v="2"/>
    <x v="105"/>
    <n v="200801"/>
    <n v="200801"/>
    <m/>
    <n v="19"/>
    <n v="200801"/>
    <n v="704900"/>
  </r>
  <r>
    <x v="375"/>
    <x v="5"/>
    <m/>
    <x v="30"/>
    <x v="2"/>
    <x v="99"/>
    <n v="200801"/>
    <n v="200801"/>
    <m/>
    <n v="5"/>
    <n v="200801"/>
    <n v="112000"/>
  </r>
  <r>
    <x v="375"/>
    <x v="5"/>
    <m/>
    <x v="1"/>
    <x v="2"/>
    <x v="18"/>
    <n v="200801"/>
    <n v="200801"/>
    <m/>
    <n v="4"/>
    <n v="200801"/>
    <n v="80000"/>
  </r>
  <r>
    <x v="375"/>
    <x v="5"/>
    <m/>
    <x v="0"/>
    <x v="2"/>
    <x v="15"/>
    <n v="200801"/>
    <n v="200801"/>
    <m/>
    <n v="21"/>
    <n v="200801"/>
    <n v="420000"/>
  </r>
  <r>
    <x v="375"/>
    <x v="5"/>
    <m/>
    <x v="0"/>
    <x v="2"/>
    <x v="16"/>
    <n v="200801"/>
    <n v="200801"/>
    <m/>
    <n v="10"/>
    <n v="200801"/>
    <n v="350000"/>
  </r>
  <r>
    <x v="375"/>
    <x v="5"/>
    <m/>
    <x v="0"/>
    <x v="2"/>
    <x v="17"/>
    <n v="200801"/>
    <n v="200801"/>
    <m/>
    <n v="42"/>
    <n v="200801"/>
    <n v="1386000"/>
  </r>
  <r>
    <x v="375"/>
    <x v="5"/>
    <m/>
    <x v="0"/>
    <x v="2"/>
    <x v="19"/>
    <n v="200801"/>
    <n v="200801"/>
    <m/>
    <n v="19"/>
    <n v="200801"/>
    <n v="57000"/>
  </r>
  <r>
    <x v="375"/>
    <x v="5"/>
    <m/>
    <x v="5"/>
    <x v="2"/>
    <x v="28"/>
    <n v="200801"/>
    <n v="200801"/>
    <m/>
    <n v="17"/>
    <n v="200801"/>
    <n v="476000"/>
  </r>
  <r>
    <x v="375"/>
    <x v="5"/>
    <m/>
    <x v="5"/>
    <x v="2"/>
    <x v="69"/>
    <n v="200801"/>
    <n v="200801"/>
    <m/>
    <n v="2"/>
    <n v="200801"/>
    <n v="96000"/>
  </r>
  <r>
    <x v="375"/>
    <x v="5"/>
    <m/>
    <x v="22"/>
    <x v="2"/>
    <x v="29"/>
    <n v="200801"/>
    <n v="200801"/>
    <m/>
    <n v="3"/>
    <n v="200801"/>
    <n v="114000"/>
  </r>
  <r>
    <x v="375"/>
    <x v="5"/>
    <m/>
    <x v="19"/>
    <x v="2"/>
    <x v="22"/>
    <n v="200801"/>
    <n v="200801"/>
    <m/>
    <n v="3"/>
    <n v="200801"/>
    <n v="39000"/>
  </r>
  <r>
    <x v="375"/>
    <x v="5"/>
    <m/>
    <x v="19"/>
    <x v="2"/>
    <x v="23"/>
    <n v="200801"/>
    <n v="200801"/>
    <m/>
    <n v="1"/>
    <n v="200801"/>
    <n v="24000"/>
  </r>
  <r>
    <x v="375"/>
    <x v="5"/>
    <m/>
    <x v="0"/>
    <x v="9"/>
    <x v="15"/>
    <n v="200801"/>
    <n v="200801"/>
    <m/>
    <n v="2"/>
    <n v="200801"/>
    <n v="40000"/>
  </r>
  <r>
    <x v="376"/>
    <x v="6"/>
    <m/>
    <x v="0"/>
    <x v="7"/>
    <x v="15"/>
    <n v="200801"/>
    <n v="200801"/>
    <m/>
    <n v="15"/>
    <n v="200801"/>
    <n v="300000"/>
  </r>
  <r>
    <x v="376"/>
    <x v="6"/>
    <m/>
    <x v="6"/>
    <x v="2"/>
    <x v="37"/>
    <n v="200801"/>
    <n v="200801"/>
    <m/>
    <n v="1"/>
    <n v="200801"/>
    <n v="20000"/>
  </r>
  <r>
    <x v="376"/>
    <x v="6"/>
    <m/>
    <x v="25"/>
    <x v="2"/>
    <x v="34"/>
    <n v="200801"/>
    <n v="200801"/>
    <m/>
    <n v="1"/>
    <n v="200801"/>
    <n v="99000"/>
  </r>
  <r>
    <x v="376"/>
    <x v="6"/>
    <m/>
    <x v="31"/>
    <x v="2"/>
    <x v="95"/>
    <n v="200801"/>
    <n v="200801"/>
    <m/>
    <n v="12"/>
    <n v="200801"/>
    <n v="268800"/>
  </r>
  <r>
    <x v="376"/>
    <x v="6"/>
    <m/>
    <x v="31"/>
    <x v="2"/>
    <x v="96"/>
    <n v="200801"/>
    <n v="200801"/>
    <m/>
    <n v="3"/>
    <n v="200801"/>
    <n v="117600"/>
  </r>
  <r>
    <x v="376"/>
    <x v="6"/>
    <m/>
    <x v="32"/>
    <x v="2"/>
    <x v="97"/>
    <n v="200801"/>
    <n v="200801"/>
    <m/>
    <n v="18"/>
    <n v="200801"/>
    <n v="667800"/>
  </r>
  <r>
    <x v="376"/>
    <x v="6"/>
    <m/>
    <x v="34"/>
    <x v="2"/>
    <x v="105"/>
    <n v="200801"/>
    <n v="200801"/>
    <m/>
    <n v="35"/>
    <n v="200801"/>
    <n v="1298500"/>
  </r>
  <r>
    <x v="376"/>
    <x v="6"/>
    <m/>
    <x v="30"/>
    <x v="2"/>
    <x v="99"/>
    <n v="200801"/>
    <n v="200801"/>
    <m/>
    <n v="3"/>
    <n v="200801"/>
    <n v="67200"/>
  </r>
  <r>
    <x v="376"/>
    <x v="6"/>
    <m/>
    <x v="30"/>
    <x v="2"/>
    <x v="100"/>
    <n v="200801"/>
    <n v="200801"/>
    <m/>
    <n v="1"/>
    <n v="200801"/>
    <n v="39200"/>
  </r>
  <r>
    <x v="376"/>
    <x v="6"/>
    <m/>
    <x v="1"/>
    <x v="2"/>
    <x v="18"/>
    <n v="200801"/>
    <n v="200801"/>
    <m/>
    <n v="3"/>
    <n v="200801"/>
    <n v="60000"/>
  </r>
  <r>
    <x v="376"/>
    <x v="6"/>
    <m/>
    <x v="1"/>
    <x v="2"/>
    <x v="21"/>
    <n v="200801"/>
    <n v="200801"/>
    <m/>
    <n v="1"/>
    <n v="200801"/>
    <n v="35000"/>
  </r>
  <r>
    <x v="376"/>
    <x v="6"/>
    <m/>
    <x v="4"/>
    <x v="2"/>
    <x v="26"/>
    <n v="200801"/>
    <n v="200801"/>
    <m/>
    <n v="2"/>
    <n v="200801"/>
    <n v="8000"/>
  </r>
  <r>
    <x v="376"/>
    <x v="6"/>
    <m/>
    <x v="4"/>
    <x v="2"/>
    <x v="27"/>
    <n v="200801"/>
    <n v="200801"/>
    <m/>
    <n v="2"/>
    <n v="200801"/>
    <n v="40000"/>
  </r>
  <r>
    <x v="376"/>
    <x v="6"/>
    <m/>
    <x v="0"/>
    <x v="2"/>
    <x v="15"/>
    <n v="200801"/>
    <n v="200801"/>
    <m/>
    <n v="24"/>
    <n v="200801"/>
    <n v="480000"/>
  </r>
  <r>
    <x v="376"/>
    <x v="6"/>
    <m/>
    <x v="0"/>
    <x v="2"/>
    <x v="16"/>
    <n v="200801"/>
    <n v="200801"/>
    <m/>
    <n v="14"/>
    <n v="200801"/>
    <n v="490000"/>
  </r>
  <r>
    <x v="376"/>
    <x v="6"/>
    <m/>
    <x v="0"/>
    <x v="2"/>
    <x v="17"/>
    <n v="200801"/>
    <n v="200801"/>
    <m/>
    <n v="53"/>
    <n v="200801"/>
    <n v="1749000"/>
  </r>
  <r>
    <x v="376"/>
    <x v="6"/>
    <m/>
    <x v="0"/>
    <x v="2"/>
    <x v="19"/>
    <n v="200801"/>
    <n v="200801"/>
    <m/>
    <n v="34"/>
    <n v="200801"/>
    <n v="102000"/>
  </r>
  <r>
    <x v="376"/>
    <x v="6"/>
    <m/>
    <x v="5"/>
    <x v="2"/>
    <x v="28"/>
    <n v="200801"/>
    <n v="200801"/>
    <m/>
    <n v="21"/>
    <n v="200801"/>
    <n v="588000"/>
  </r>
  <r>
    <x v="376"/>
    <x v="6"/>
    <m/>
    <x v="5"/>
    <x v="2"/>
    <x v="69"/>
    <n v="200801"/>
    <n v="200801"/>
    <m/>
    <n v="9"/>
    <n v="200801"/>
    <n v="432000"/>
  </r>
  <r>
    <x v="376"/>
    <x v="6"/>
    <m/>
    <x v="22"/>
    <x v="2"/>
    <x v="29"/>
    <n v="200801"/>
    <n v="200801"/>
    <m/>
    <n v="3"/>
    <n v="200801"/>
    <n v="114000"/>
  </r>
  <r>
    <x v="376"/>
    <x v="6"/>
    <m/>
    <x v="19"/>
    <x v="2"/>
    <x v="22"/>
    <n v="200801"/>
    <n v="200801"/>
    <m/>
    <n v="7"/>
    <n v="200801"/>
    <n v="91000"/>
  </r>
  <r>
    <x v="376"/>
    <x v="6"/>
    <m/>
    <x v="19"/>
    <x v="2"/>
    <x v="23"/>
    <n v="200801"/>
    <n v="200801"/>
    <m/>
    <n v="1"/>
    <n v="200801"/>
    <n v="24000"/>
  </r>
  <r>
    <x v="376"/>
    <x v="6"/>
    <m/>
    <x v="19"/>
    <x v="2"/>
    <x v="24"/>
    <n v="200801"/>
    <n v="200801"/>
    <m/>
    <n v="1"/>
    <n v="200801"/>
    <n v="33000"/>
  </r>
  <r>
    <x v="376"/>
    <x v="6"/>
    <m/>
    <x v="33"/>
    <x v="2"/>
    <x v="92"/>
    <n v="200801"/>
    <n v="200801"/>
    <m/>
    <n v="1"/>
    <n v="200801"/>
    <n v="18200"/>
  </r>
  <r>
    <x v="376"/>
    <x v="6"/>
    <m/>
    <x v="0"/>
    <x v="9"/>
    <x v="15"/>
    <n v="200801"/>
    <n v="200801"/>
    <m/>
    <n v="4"/>
    <n v="200801"/>
    <n v="80000"/>
  </r>
  <r>
    <x v="376"/>
    <x v="6"/>
    <m/>
    <x v="5"/>
    <x v="9"/>
    <x v="28"/>
    <n v="200801"/>
    <n v="200801"/>
    <m/>
    <n v="1"/>
    <n v="200801"/>
    <n v="28000"/>
  </r>
  <r>
    <x v="376"/>
    <x v="6"/>
    <m/>
    <x v="0"/>
    <x v="6"/>
    <x v="15"/>
    <n v="200801"/>
    <n v="200801"/>
    <m/>
    <n v="370"/>
    <n v="200801"/>
    <n v="3355160"/>
  </r>
  <r>
    <x v="376"/>
    <x v="6"/>
    <m/>
    <x v="0"/>
    <x v="6"/>
    <x v="17"/>
    <n v="200801"/>
    <n v="200801"/>
    <m/>
    <n v="543"/>
    <n v="200801"/>
    <n v="8589174"/>
  </r>
  <r>
    <x v="376"/>
    <x v="6"/>
    <m/>
    <x v="4"/>
    <x v="6"/>
    <x v="26"/>
    <n v="200801"/>
    <n v="200801"/>
    <m/>
    <n v="715"/>
    <n v="200801"/>
    <n v="767195"/>
  </r>
  <r>
    <x v="376"/>
    <x v="6"/>
    <m/>
    <x v="26"/>
    <x v="6"/>
    <x v="35"/>
    <n v="200801"/>
    <n v="200801"/>
    <m/>
    <n v="51"/>
    <n v="200801"/>
    <n v="873681"/>
  </r>
  <r>
    <x v="376"/>
    <x v="6"/>
    <m/>
    <x v="22"/>
    <x v="6"/>
    <x v="29"/>
    <n v="200801"/>
    <n v="200801"/>
    <m/>
    <n v="54"/>
    <n v="200801"/>
    <n v="1063314"/>
  </r>
  <r>
    <x v="376"/>
    <x v="6"/>
    <m/>
    <x v="24"/>
    <x v="6"/>
    <x v="31"/>
    <n v="200801"/>
    <n v="200801"/>
    <m/>
    <n v="231"/>
    <n v="200801"/>
    <n v="3436587"/>
  </r>
  <r>
    <x v="376"/>
    <x v="6"/>
    <m/>
    <x v="23"/>
    <x v="6"/>
    <x v="30"/>
    <n v="200801"/>
    <n v="200801"/>
    <m/>
    <n v="9"/>
    <n v="200801"/>
    <n v="62676"/>
  </r>
  <r>
    <x v="376"/>
    <x v="6"/>
    <m/>
    <x v="19"/>
    <x v="6"/>
    <x v="22"/>
    <n v="200801"/>
    <n v="200801"/>
    <m/>
    <n v="79"/>
    <n v="200801"/>
    <n v="536489"/>
  </r>
  <r>
    <x v="376"/>
    <x v="6"/>
    <m/>
    <x v="6"/>
    <x v="6"/>
    <x v="37"/>
    <n v="200801"/>
    <n v="200801"/>
    <m/>
    <n v="31"/>
    <n v="200801"/>
    <n v="310000"/>
  </r>
  <r>
    <x v="376"/>
    <x v="6"/>
    <m/>
    <x v="28"/>
    <x v="6"/>
    <x v="39"/>
    <n v="200801"/>
    <n v="200801"/>
    <m/>
    <n v="11"/>
    <n v="200801"/>
    <n v="173998"/>
  </r>
  <r>
    <x v="376"/>
    <x v="6"/>
    <m/>
    <x v="4"/>
    <x v="6"/>
    <x v="66"/>
    <n v="200801"/>
    <n v="200801"/>
    <m/>
    <n v="81"/>
    <n v="200801"/>
    <n v="453357"/>
  </r>
  <r>
    <x v="376"/>
    <x v="6"/>
    <m/>
    <x v="33"/>
    <x v="6"/>
    <x v="106"/>
    <n v="200801"/>
    <n v="200801"/>
    <m/>
    <n v="15"/>
    <n v="200801"/>
    <n v="146250"/>
  </r>
  <r>
    <x v="376"/>
    <x v="6"/>
    <m/>
    <x v="31"/>
    <x v="6"/>
    <x v="103"/>
    <n v="200801"/>
    <n v="200801"/>
    <m/>
    <n v="125"/>
    <n v="200801"/>
    <n v="1400000"/>
  </r>
  <r>
    <x v="376"/>
    <x v="6"/>
    <m/>
    <x v="30"/>
    <x v="6"/>
    <x v="104"/>
    <n v="200801"/>
    <n v="200801"/>
    <m/>
    <n v="136"/>
    <n v="200801"/>
    <n v="1523200"/>
  </r>
  <r>
    <x v="376"/>
    <x v="6"/>
    <m/>
    <x v="5"/>
    <x v="6"/>
    <x v="28"/>
    <n v="200801"/>
    <n v="200801"/>
    <m/>
    <n v="2"/>
    <n v="200801"/>
    <n v="29200"/>
  </r>
  <r>
    <x v="377"/>
    <x v="3"/>
    <m/>
    <x v="0"/>
    <x v="1"/>
    <x v="15"/>
    <n v="200801"/>
    <n v="200801"/>
    <m/>
    <n v="10"/>
    <n v="200801"/>
    <n v="200000"/>
  </r>
  <r>
    <x v="377"/>
    <x v="3"/>
    <m/>
    <x v="0"/>
    <x v="1"/>
    <x v="16"/>
    <n v="200801"/>
    <n v="200801"/>
    <m/>
    <n v="37"/>
    <n v="200801"/>
    <n v="1295000"/>
  </r>
  <r>
    <x v="377"/>
    <x v="3"/>
    <m/>
    <x v="0"/>
    <x v="7"/>
    <x v="15"/>
    <n v="200801"/>
    <n v="200801"/>
    <m/>
    <n v="6"/>
    <n v="200801"/>
    <n v="120000"/>
  </r>
  <r>
    <x v="377"/>
    <x v="3"/>
    <m/>
    <x v="6"/>
    <x v="2"/>
    <x v="37"/>
    <n v="200801"/>
    <n v="200801"/>
    <m/>
    <n v="5"/>
    <n v="200801"/>
    <n v="100000"/>
  </r>
  <r>
    <x v="377"/>
    <x v="3"/>
    <m/>
    <x v="25"/>
    <x v="2"/>
    <x v="34"/>
    <n v="200801"/>
    <n v="200801"/>
    <m/>
    <n v="4"/>
    <n v="200801"/>
    <n v="396000"/>
  </r>
  <r>
    <x v="377"/>
    <x v="3"/>
    <m/>
    <x v="31"/>
    <x v="2"/>
    <x v="95"/>
    <n v="200801"/>
    <n v="200801"/>
    <m/>
    <n v="12"/>
    <n v="200801"/>
    <n v="268800"/>
  </r>
  <r>
    <x v="377"/>
    <x v="3"/>
    <m/>
    <x v="31"/>
    <x v="2"/>
    <x v="96"/>
    <n v="200801"/>
    <n v="200801"/>
    <m/>
    <n v="3"/>
    <n v="200801"/>
    <n v="117600"/>
  </r>
  <r>
    <x v="377"/>
    <x v="3"/>
    <m/>
    <x v="32"/>
    <x v="2"/>
    <x v="97"/>
    <n v="200801"/>
    <n v="200801"/>
    <m/>
    <n v="7"/>
    <n v="200801"/>
    <n v="259700"/>
  </r>
  <r>
    <x v="377"/>
    <x v="3"/>
    <m/>
    <x v="34"/>
    <x v="2"/>
    <x v="105"/>
    <n v="200801"/>
    <n v="200801"/>
    <m/>
    <n v="34"/>
    <n v="200801"/>
    <n v="1261400"/>
  </r>
  <r>
    <x v="377"/>
    <x v="3"/>
    <m/>
    <x v="30"/>
    <x v="2"/>
    <x v="99"/>
    <n v="200801"/>
    <n v="200801"/>
    <m/>
    <n v="10"/>
    <n v="200801"/>
    <n v="224000"/>
  </r>
  <r>
    <x v="377"/>
    <x v="3"/>
    <m/>
    <x v="30"/>
    <x v="2"/>
    <x v="100"/>
    <n v="200801"/>
    <n v="200801"/>
    <m/>
    <n v="1"/>
    <n v="200801"/>
    <n v="39200"/>
  </r>
  <r>
    <x v="377"/>
    <x v="3"/>
    <m/>
    <x v="1"/>
    <x v="2"/>
    <x v="18"/>
    <n v="200801"/>
    <n v="200801"/>
    <m/>
    <n v="7"/>
    <n v="200801"/>
    <n v="140000"/>
  </r>
  <r>
    <x v="377"/>
    <x v="3"/>
    <m/>
    <x v="4"/>
    <x v="2"/>
    <x v="27"/>
    <n v="200801"/>
    <n v="200801"/>
    <m/>
    <n v="6"/>
    <n v="200801"/>
    <n v="120000"/>
  </r>
  <r>
    <x v="377"/>
    <x v="3"/>
    <m/>
    <x v="0"/>
    <x v="2"/>
    <x v="15"/>
    <n v="200801"/>
    <n v="200801"/>
    <m/>
    <n v="26"/>
    <n v="200801"/>
    <n v="520000"/>
  </r>
  <r>
    <x v="377"/>
    <x v="3"/>
    <m/>
    <x v="0"/>
    <x v="2"/>
    <x v="16"/>
    <n v="200801"/>
    <n v="200801"/>
    <m/>
    <n v="15"/>
    <n v="200801"/>
    <n v="525000"/>
  </r>
  <r>
    <x v="377"/>
    <x v="3"/>
    <m/>
    <x v="0"/>
    <x v="2"/>
    <x v="17"/>
    <n v="200801"/>
    <n v="200801"/>
    <m/>
    <n v="70"/>
    <n v="200801"/>
    <n v="2310000"/>
  </r>
  <r>
    <x v="377"/>
    <x v="3"/>
    <m/>
    <x v="0"/>
    <x v="2"/>
    <x v="19"/>
    <n v="200801"/>
    <n v="200801"/>
    <m/>
    <n v="20"/>
    <n v="200801"/>
    <n v="60000"/>
  </r>
  <r>
    <x v="377"/>
    <x v="3"/>
    <m/>
    <x v="5"/>
    <x v="2"/>
    <x v="28"/>
    <n v="200801"/>
    <n v="200801"/>
    <m/>
    <n v="29"/>
    <n v="200801"/>
    <n v="812000"/>
  </r>
  <r>
    <x v="377"/>
    <x v="3"/>
    <m/>
    <x v="5"/>
    <x v="2"/>
    <x v="69"/>
    <n v="200801"/>
    <n v="200801"/>
    <m/>
    <n v="2"/>
    <n v="200801"/>
    <n v="96000"/>
  </r>
  <r>
    <x v="377"/>
    <x v="3"/>
    <m/>
    <x v="22"/>
    <x v="2"/>
    <x v="29"/>
    <n v="200801"/>
    <n v="200801"/>
    <m/>
    <n v="6"/>
    <n v="200801"/>
    <n v="228000"/>
  </r>
  <r>
    <x v="377"/>
    <x v="3"/>
    <m/>
    <x v="19"/>
    <x v="2"/>
    <x v="22"/>
    <n v="200801"/>
    <n v="200801"/>
    <m/>
    <n v="14"/>
    <n v="200801"/>
    <n v="182000"/>
  </r>
  <r>
    <x v="377"/>
    <x v="3"/>
    <m/>
    <x v="33"/>
    <x v="2"/>
    <x v="92"/>
    <n v="200801"/>
    <n v="200801"/>
    <m/>
    <n v="1"/>
    <n v="200801"/>
    <n v="18200"/>
  </r>
  <r>
    <x v="377"/>
    <x v="3"/>
    <m/>
    <x v="0"/>
    <x v="9"/>
    <x v="15"/>
    <n v="200801"/>
    <n v="200801"/>
    <m/>
    <n v="3"/>
    <n v="200801"/>
    <n v="60000"/>
  </r>
  <r>
    <x v="378"/>
    <x v="4"/>
    <m/>
    <x v="0"/>
    <x v="1"/>
    <x v="16"/>
    <n v="200801"/>
    <n v="200801"/>
    <m/>
    <n v="6"/>
    <n v="200801"/>
    <n v="210000"/>
  </r>
  <r>
    <x v="378"/>
    <x v="4"/>
    <m/>
    <x v="0"/>
    <x v="7"/>
    <x v="15"/>
    <n v="200801"/>
    <n v="200801"/>
    <m/>
    <n v="6"/>
    <n v="200801"/>
    <n v="120000"/>
  </r>
  <r>
    <x v="378"/>
    <x v="4"/>
    <m/>
    <x v="30"/>
    <x v="3"/>
    <x v="87"/>
    <n v="200801"/>
    <n v="200801"/>
    <m/>
    <n v="1"/>
    <n v="200801"/>
    <n v="0"/>
  </r>
  <r>
    <x v="378"/>
    <x v="4"/>
    <m/>
    <x v="31"/>
    <x v="3"/>
    <x v="88"/>
    <n v="200801"/>
    <n v="200801"/>
    <m/>
    <n v="1"/>
    <n v="200801"/>
    <n v="0"/>
  </r>
  <r>
    <x v="378"/>
    <x v="4"/>
    <m/>
    <x v="33"/>
    <x v="3"/>
    <x v="94"/>
    <n v="200801"/>
    <n v="200801"/>
    <m/>
    <n v="1"/>
    <n v="200801"/>
    <n v="0"/>
  </r>
  <r>
    <x v="378"/>
    <x v="4"/>
    <m/>
    <x v="0"/>
    <x v="3"/>
    <x v="15"/>
    <n v="200801"/>
    <n v="200801"/>
    <m/>
    <n v="1"/>
    <n v="200801"/>
    <n v="0"/>
  </r>
  <r>
    <x v="378"/>
    <x v="4"/>
    <m/>
    <x v="0"/>
    <x v="3"/>
    <x v="17"/>
    <n v="200801"/>
    <n v="200801"/>
    <m/>
    <n v="1"/>
    <n v="200801"/>
    <n v="0"/>
  </r>
  <r>
    <x v="378"/>
    <x v="4"/>
    <m/>
    <x v="18"/>
    <x v="3"/>
    <x v="19"/>
    <n v="200801"/>
    <n v="200801"/>
    <m/>
    <n v="1"/>
    <n v="200801"/>
    <n v="0"/>
  </r>
  <r>
    <x v="378"/>
    <x v="4"/>
    <m/>
    <x v="5"/>
    <x v="3"/>
    <x v="28"/>
    <n v="200801"/>
    <n v="200801"/>
    <m/>
    <n v="1"/>
    <n v="200801"/>
    <n v="0"/>
  </r>
  <r>
    <x v="378"/>
    <x v="4"/>
    <m/>
    <x v="4"/>
    <x v="3"/>
    <x v="27"/>
    <n v="200801"/>
    <n v="200801"/>
    <m/>
    <n v="1"/>
    <n v="200801"/>
    <n v="0"/>
  </r>
  <r>
    <x v="378"/>
    <x v="4"/>
    <m/>
    <x v="22"/>
    <x v="3"/>
    <x v="29"/>
    <n v="200801"/>
    <n v="200801"/>
    <m/>
    <n v="1"/>
    <n v="200801"/>
    <n v="0"/>
  </r>
  <r>
    <x v="378"/>
    <x v="4"/>
    <m/>
    <x v="19"/>
    <x v="3"/>
    <x v="22"/>
    <n v="200801"/>
    <n v="200801"/>
    <m/>
    <n v="1"/>
    <n v="200801"/>
    <n v="0"/>
  </r>
  <r>
    <x v="378"/>
    <x v="4"/>
    <m/>
    <x v="1"/>
    <x v="3"/>
    <x v="18"/>
    <n v="200801"/>
    <n v="200801"/>
    <m/>
    <n v="1"/>
    <n v="200801"/>
    <n v="0"/>
  </r>
  <r>
    <x v="378"/>
    <x v="4"/>
    <m/>
    <x v="6"/>
    <x v="2"/>
    <x v="37"/>
    <n v="200801"/>
    <n v="200801"/>
    <m/>
    <n v="4"/>
    <n v="200801"/>
    <n v="80000"/>
  </r>
  <r>
    <x v="378"/>
    <x v="4"/>
    <m/>
    <x v="25"/>
    <x v="2"/>
    <x v="34"/>
    <n v="200801"/>
    <n v="200801"/>
    <m/>
    <n v="2"/>
    <n v="200801"/>
    <n v="198000"/>
  </r>
  <r>
    <x v="378"/>
    <x v="4"/>
    <m/>
    <x v="31"/>
    <x v="2"/>
    <x v="95"/>
    <n v="200801"/>
    <n v="200801"/>
    <m/>
    <n v="3"/>
    <n v="200801"/>
    <n v="67200"/>
  </r>
  <r>
    <x v="378"/>
    <x v="4"/>
    <m/>
    <x v="31"/>
    <x v="2"/>
    <x v="96"/>
    <n v="200801"/>
    <n v="200801"/>
    <m/>
    <n v="2"/>
    <n v="200801"/>
    <n v="78400"/>
  </r>
  <r>
    <x v="378"/>
    <x v="4"/>
    <m/>
    <x v="32"/>
    <x v="2"/>
    <x v="97"/>
    <n v="200801"/>
    <n v="200801"/>
    <m/>
    <n v="7"/>
    <n v="200801"/>
    <n v="259700"/>
  </r>
  <r>
    <x v="378"/>
    <x v="4"/>
    <m/>
    <x v="34"/>
    <x v="2"/>
    <x v="105"/>
    <n v="200801"/>
    <n v="200801"/>
    <m/>
    <n v="38"/>
    <n v="200801"/>
    <n v="1409800"/>
  </r>
  <r>
    <x v="378"/>
    <x v="4"/>
    <m/>
    <x v="30"/>
    <x v="2"/>
    <x v="99"/>
    <n v="200801"/>
    <n v="200801"/>
    <m/>
    <n v="3"/>
    <n v="200801"/>
    <n v="67200"/>
  </r>
  <r>
    <x v="378"/>
    <x v="4"/>
    <m/>
    <x v="1"/>
    <x v="2"/>
    <x v="18"/>
    <n v="200801"/>
    <n v="200801"/>
    <m/>
    <n v="10"/>
    <n v="200801"/>
    <n v="200000"/>
  </r>
  <r>
    <x v="378"/>
    <x v="4"/>
    <m/>
    <x v="1"/>
    <x v="2"/>
    <x v="21"/>
    <n v="200801"/>
    <n v="200801"/>
    <m/>
    <n v="2"/>
    <n v="200801"/>
    <n v="70000"/>
  </r>
  <r>
    <x v="378"/>
    <x v="4"/>
    <m/>
    <x v="4"/>
    <x v="2"/>
    <x v="26"/>
    <n v="200801"/>
    <n v="200801"/>
    <m/>
    <n v="3"/>
    <n v="200801"/>
    <n v="12000"/>
  </r>
  <r>
    <x v="378"/>
    <x v="4"/>
    <m/>
    <x v="4"/>
    <x v="2"/>
    <x v="27"/>
    <n v="200801"/>
    <n v="200801"/>
    <m/>
    <n v="7"/>
    <n v="200801"/>
    <n v="140000"/>
  </r>
  <r>
    <x v="378"/>
    <x v="4"/>
    <m/>
    <x v="0"/>
    <x v="2"/>
    <x v="15"/>
    <n v="200801"/>
    <n v="200801"/>
    <m/>
    <n v="35"/>
    <n v="200801"/>
    <n v="700000"/>
  </r>
  <r>
    <x v="378"/>
    <x v="4"/>
    <m/>
    <x v="0"/>
    <x v="2"/>
    <x v="16"/>
    <n v="200801"/>
    <n v="200801"/>
    <m/>
    <n v="30"/>
    <n v="200801"/>
    <n v="1050000"/>
  </r>
  <r>
    <x v="378"/>
    <x v="4"/>
    <m/>
    <x v="0"/>
    <x v="2"/>
    <x v="17"/>
    <n v="200801"/>
    <n v="200801"/>
    <m/>
    <n v="65"/>
    <n v="200801"/>
    <n v="2145000"/>
  </r>
  <r>
    <x v="378"/>
    <x v="4"/>
    <m/>
    <x v="0"/>
    <x v="2"/>
    <x v="19"/>
    <n v="200801"/>
    <n v="200801"/>
    <m/>
    <n v="27"/>
    <n v="200801"/>
    <n v="81000"/>
  </r>
  <r>
    <x v="378"/>
    <x v="4"/>
    <m/>
    <x v="5"/>
    <x v="2"/>
    <x v="28"/>
    <n v="200801"/>
    <n v="200801"/>
    <m/>
    <n v="17"/>
    <n v="200801"/>
    <n v="476000"/>
  </r>
  <r>
    <x v="378"/>
    <x v="4"/>
    <m/>
    <x v="5"/>
    <x v="2"/>
    <x v="69"/>
    <n v="200801"/>
    <n v="200801"/>
    <m/>
    <n v="4"/>
    <n v="200801"/>
    <n v="192000"/>
  </r>
  <r>
    <x v="378"/>
    <x v="4"/>
    <m/>
    <x v="22"/>
    <x v="2"/>
    <x v="29"/>
    <n v="200801"/>
    <n v="200801"/>
    <m/>
    <n v="4"/>
    <n v="200801"/>
    <n v="152000"/>
  </r>
  <r>
    <x v="378"/>
    <x v="4"/>
    <m/>
    <x v="19"/>
    <x v="2"/>
    <x v="22"/>
    <n v="200801"/>
    <n v="200801"/>
    <m/>
    <n v="8"/>
    <n v="200801"/>
    <n v="104000"/>
  </r>
  <r>
    <x v="378"/>
    <x v="4"/>
    <m/>
    <x v="19"/>
    <x v="2"/>
    <x v="23"/>
    <n v="200801"/>
    <n v="200801"/>
    <m/>
    <n v="1"/>
    <n v="200801"/>
    <n v="24000"/>
  </r>
  <r>
    <x v="378"/>
    <x v="4"/>
    <m/>
    <x v="33"/>
    <x v="2"/>
    <x v="92"/>
    <n v="200801"/>
    <n v="200801"/>
    <m/>
    <n v="2"/>
    <n v="200801"/>
    <n v="36400"/>
  </r>
  <r>
    <x v="378"/>
    <x v="4"/>
    <m/>
    <x v="33"/>
    <x v="2"/>
    <x v="93"/>
    <n v="200801"/>
    <n v="200801"/>
    <m/>
    <n v="1"/>
    <n v="200801"/>
    <n v="33800"/>
  </r>
  <r>
    <x v="378"/>
    <x v="4"/>
    <m/>
    <x v="0"/>
    <x v="9"/>
    <x v="15"/>
    <n v="200801"/>
    <n v="200801"/>
    <m/>
    <n v="6"/>
    <n v="200801"/>
    <n v="120000"/>
  </r>
  <r>
    <x v="378"/>
    <x v="4"/>
    <m/>
    <x v="1"/>
    <x v="9"/>
    <x v="18"/>
    <n v="200801"/>
    <n v="200801"/>
    <m/>
    <n v="1"/>
    <n v="200801"/>
    <n v="20000"/>
  </r>
  <r>
    <x v="378"/>
    <x v="4"/>
    <m/>
    <x v="31"/>
    <x v="9"/>
    <x v="88"/>
    <n v="200801"/>
    <n v="200801"/>
    <m/>
    <n v="1"/>
    <n v="200801"/>
    <n v="22400"/>
  </r>
  <r>
    <x v="379"/>
    <x v="1"/>
    <m/>
    <x v="0"/>
    <x v="1"/>
    <x v="16"/>
    <n v="200801"/>
    <n v="200801"/>
    <m/>
    <n v="16"/>
    <n v="200801"/>
    <n v="560000"/>
  </r>
  <r>
    <x v="379"/>
    <x v="1"/>
    <m/>
    <x v="22"/>
    <x v="5"/>
    <x v="52"/>
    <n v="200801"/>
    <n v="200801"/>
    <m/>
    <n v="30"/>
    <n v="200801"/>
    <n v="513000"/>
  </r>
  <r>
    <x v="379"/>
    <x v="1"/>
    <m/>
    <x v="19"/>
    <x v="5"/>
    <x v="50"/>
    <n v="200801"/>
    <n v="200801"/>
    <m/>
    <n v="30"/>
    <n v="200801"/>
    <n v="216000"/>
  </r>
  <r>
    <x v="379"/>
    <x v="1"/>
    <m/>
    <x v="4"/>
    <x v="5"/>
    <x v="62"/>
    <n v="200801"/>
    <n v="200801"/>
    <m/>
    <n v="23"/>
    <n v="200801"/>
    <n v="414000"/>
  </r>
  <r>
    <x v="379"/>
    <x v="1"/>
    <m/>
    <x v="6"/>
    <x v="5"/>
    <x v="49"/>
    <n v="200801"/>
    <n v="200801"/>
    <m/>
    <n v="10"/>
    <n v="200801"/>
    <n v="112500"/>
  </r>
  <r>
    <x v="379"/>
    <x v="1"/>
    <m/>
    <x v="0"/>
    <x v="7"/>
    <x v="15"/>
    <n v="200801"/>
    <n v="200801"/>
    <m/>
    <n v="13"/>
    <n v="200801"/>
    <n v="260000"/>
  </r>
  <r>
    <x v="379"/>
    <x v="1"/>
    <m/>
    <x v="6"/>
    <x v="2"/>
    <x v="37"/>
    <n v="200801"/>
    <n v="200801"/>
    <m/>
    <n v="2"/>
    <n v="200801"/>
    <n v="40000"/>
  </r>
  <r>
    <x v="379"/>
    <x v="1"/>
    <m/>
    <x v="6"/>
    <x v="2"/>
    <x v="42"/>
    <n v="200801"/>
    <n v="200801"/>
    <m/>
    <n v="1"/>
    <n v="200801"/>
    <n v="35000"/>
  </r>
  <r>
    <x v="379"/>
    <x v="1"/>
    <m/>
    <x v="25"/>
    <x v="2"/>
    <x v="34"/>
    <n v="200801"/>
    <n v="200801"/>
    <m/>
    <n v="2"/>
    <n v="200801"/>
    <n v="198000"/>
  </r>
  <r>
    <x v="379"/>
    <x v="1"/>
    <m/>
    <x v="32"/>
    <x v="2"/>
    <x v="97"/>
    <n v="200801"/>
    <n v="200801"/>
    <m/>
    <n v="3"/>
    <n v="200801"/>
    <n v="111300"/>
  </r>
  <r>
    <x v="379"/>
    <x v="1"/>
    <m/>
    <x v="34"/>
    <x v="2"/>
    <x v="105"/>
    <n v="200801"/>
    <n v="200801"/>
    <m/>
    <n v="34"/>
    <n v="200801"/>
    <n v="1261400"/>
  </r>
  <r>
    <x v="379"/>
    <x v="1"/>
    <m/>
    <x v="30"/>
    <x v="2"/>
    <x v="99"/>
    <n v="200801"/>
    <n v="200801"/>
    <m/>
    <n v="6"/>
    <n v="200801"/>
    <n v="134400"/>
  </r>
  <r>
    <x v="379"/>
    <x v="1"/>
    <m/>
    <x v="30"/>
    <x v="2"/>
    <x v="100"/>
    <n v="200801"/>
    <n v="200801"/>
    <m/>
    <n v="1"/>
    <n v="200801"/>
    <n v="39200"/>
  </r>
  <r>
    <x v="379"/>
    <x v="1"/>
    <m/>
    <x v="1"/>
    <x v="2"/>
    <x v="18"/>
    <n v="200801"/>
    <n v="200801"/>
    <m/>
    <n v="16"/>
    <n v="200801"/>
    <n v="320000"/>
  </r>
  <r>
    <x v="379"/>
    <x v="1"/>
    <m/>
    <x v="1"/>
    <x v="2"/>
    <x v="21"/>
    <n v="200801"/>
    <n v="200801"/>
    <m/>
    <n v="6"/>
    <n v="200801"/>
    <n v="210000"/>
  </r>
  <r>
    <x v="379"/>
    <x v="1"/>
    <m/>
    <x v="4"/>
    <x v="2"/>
    <x v="26"/>
    <n v="200801"/>
    <n v="200801"/>
    <m/>
    <n v="5"/>
    <n v="200801"/>
    <n v="20000"/>
  </r>
  <r>
    <x v="379"/>
    <x v="1"/>
    <m/>
    <x v="4"/>
    <x v="2"/>
    <x v="27"/>
    <n v="200801"/>
    <n v="200801"/>
    <m/>
    <n v="5"/>
    <n v="200801"/>
    <n v="100000"/>
  </r>
  <r>
    <x v="379"/>
    <x v="1"/>
    <m/>
    <x v="0"/>
    <x v="2"/>
    <x v="15"/>
    <n v="200801"/>
    <n v="200801"/>
    <m/>
    <n v="31"/>
    <n v="200801"/>
    <n v="620000"/>
  </r>
  <r>
    <x v="379"/>
    <x v="1"/>
    <m/>
    <x v="0"/>
    <x v="2"/>
    <x v="16"/>
    <n v="200801"/>
    <n v="200801"/>
    <m/>
    <n v="33"/>
    <n v="200801"/>
    <n v="1155000"/>
  </r>
  <r>
    <x v="379"/>
    <x v="1"/>
    <m/>
    <x v="0"/>
    <x v="2"/>
    <x v="17"/>
    <n v="200801"/>
    <n v="200801"/>
    <m/>
    <n v="56"/>
    <n v="200801"/>
    <n v="1848000"/>
  </r>
  <r>
    <x v="379"/>
    <x v="1"/>
    <m/>
    <x v="0"/>
    <x v="2"/>
    <x v="19"/>
    <n v="200801"/>
    <n v="200801"/>
    <m/>
    <n v="45"/>
    <n v="200801"/>
    <n v="135000"/>
  </r>
  <r>
    <x v="379"/>
    <x v="1"/>
    <m/>
    <x v="5"/>
    <x v="2"/>
    <x v="28"/>
    <n v="200801"/>
    <n v="200801"/>
    <m/>
    <n v="27"/>
    <n v="200801"/>
    <n v="756000"/>
  </r>
  <r>
    <x v="379"/>
    <x v="1"/>
    <m/>
    <x v="5"/>
    <x v="2"/>
    <x v="69"/>
    <n v="200801"/>
    <n v="200801"/>
    <m/>
    <n v="1"/>
    <n v="200801"/>
    <n v="48000"/>
  </r>
  <r>
    <x v="379"/>
    <x v="1"/>
    <m/>
    <x v="22"/>
    <x v="2"/>
    <x v="29"/>
    <n v="200801"/>
    <n v="200801"/>
    <m/>
    <n v="6"/>
    <n v="200801"/>
    <n v="228000"/>
  </r>
  <r>
    <x v="379"/>
    <x v="1"/>
    <m/>
    <x v="19"/>
    <x v="2"/>
    <x v="22"/>
    <n v="200801"/>
    <n v="200801"/>
    <m/>
    <n v="7"/>
    <n v="200801"/>
    <n v="91000"/>
  </r>
  <r>
    <x v="379"/>
    <x v="1"/>
    <m/>
    <x v="19"/>
    <x v="2"/>
    <x v="24"/>
    <n v="200801"/>
    <n v="200801"/>
    <m/>
    <n v="2"/>
    <n v="200801"/>
    <n v="66000"/>
  </r>
  <r>
    <x v="379"/>
    <x v="1"/>
    <m/>
    <x v="33"/>
    <x v="2"/>
    <x v="92"/>
    <n v="200801"/>
    <n v="200801"/>
    <m/>
    <n v="1"/>
    <n v="200801"/>
    <n v="18200"/>
  </r>
  <r>
    <x v="379"/>
    <x v="1"/>
    <m/>
    <x v="33"/>
    <x v="2"/>
    <x v="93"/>
    <n v="200801"/>
    <n v="200801"/>
    <m/>
    <n v="1"/>
    <n v="200801"/>
    <n v="33800"/>
  </r>
  <r>
    <x v="379"/>
    <x v="1"/>
    <m/>
    <x v="0"/>
    <x v="9"/>
    <x v="15"/>
    <n v="200801"/>
    <n v="200801"/>
    <m/>
    <n v="2"/>
    <n v="200801"/>
    <n v="40000"/>
  </r>
  <r>
    <x v="380"/>
    <x v="0"/>
    <m/>
    <x v="0"/>
    <x v="7"/>
    <x v="15"/>
    <n v="200801"/>
    <n v="200801"/>
    <m/>
    <n v="6"/>
    <n v="200801"/>
    <n v="120000"/>
  </r>
  <r>
    <x v="380"/>
    <x v="0"/>
    <m/>
    <x v="0"/>
    <x v="1"/>
    <x v="15"/>
    <n v="200801"/>
    <n v="200801"/>
    <m/>
    <n v="3"/>
    <n v="200801"/>
    <n v="60000"/>
  </r>
  <r>
    <x v="380"/>
    <x v="0"/>
    <m/>
    <x v="0"/>
    <x v="1"/>
    <x v="16"/>
    <n v="200801"/>
    <n v="200801"/>
    <m/>
    <n v="11"/>
    <n v="200801"/>
    <n v="385000"/>
  </r>
  <r>
    <x v="380"/>
    <x v="0"/>
    <m/>
    <x v="6"/>
    <x v="2"/>
    <x v="37"/>
    <n v="200801"/>
    <n v="200801"/>
    <m/>
    <n v="3"/>
    <n v="200801"/>
    <n v="60000"/>
  </r>
  <r>
    <x v="380"/>
    <x v="0"/>
    <m/>
    <x v="6"/>
    <x v="2"/>
    <x v="42"/>
    <n v="200801"/>
    <n v="200801"/>
    <m/>
    <n v="2"/>
    <n v="200801"/>
    <n v="70000"/>
  </r>
  <r>
    <x v="380"/>
    <x v="0"/>
    <m/>
    <x v="25"/>
    <x v="2"/>
    <x v="34"/>
    <n v="200801"/>
    <n v="200801"/>
    <m/>
    <n v="4"/>
    <n v="200801"/>
    <n v="396000"/>
  </r>
  <r>
    <x v="380"/>
    <x v="0"/>
    <m/>
    <x v="34"/>
    <x v="2"/>
    <x v="105"/>
    <n v="200801"/>
    <n v="200801"/>
    <m/>
    <n v="35"/>
    <n v="200801"/>
    <n v="1298500"/>
  </r>
  <r>
    <x v="380"/>
    <x v="0"/>
    <m/>
    <x v="30"/>
    <x v="2"/>
    <x v="99"/>
    <n v="200801"/>
    <n v="200801"/>
    <m/>
    <n v="5"/>
    <n v="200801"/>
    <n v="112000"/>
  </r>
  <r>
    <x v="380"/>
    <x v="0"/>
    <m/>
    <x v="1"/>
    <x v="2"/>
    <x v="18"/>
    <n v="200801"/>
    <n v="200801"/>
    <m/>
    <n v="13"/>
    <n v="200801"/>
    <n v="260000"/>
  </r>
  <r>
    <x v="380"/>
    <x v="0"/>
    <m/>
    <x v="1"/>
    <x v="2"/>
    <x v="21"/>
    <n v="200801"/>
    <n v="200801"/>
    <m/>
    <n v="4"/>
    <n v="200801"/>
    <n v="140000"/>
  </r>
  <r>
    <x v="380"/>
    <x v="0"/>
    <m/>
    <x v="4"/>
    <x v="2"/>
    <x v="27"/>
    <n v="200801"/>
    <n v="200801"/>
    <m/>
    <n v="5"/>
    <n v="200801"/>
    <n v="100000"/>
  </r>
  <r>
    <x v="380"/>
    <x v="0"/>
    <m/>
    <x v="0"/>
    <x v="2"/>
    <x v="15"/>
    <n v="200801"/>
    <n v="200801"/>
    <m/>
    <n v="20"/>
    <n v="200801"/>
    <n v="400000"/>
  </r>
  <r>
    <x v="380"/>
    <x v="0"/>
    <m/>
    <x v="0"/>
    <x v="2"/>
    <x v="16"/>
    <n v="200801"/>
    <n v="200801"/>
    <m/>
    <n v="26"/>
    <n v="200801"/>
    <n v="910000"/>
  </r>
  <r>
    <x v="380"/>
    <x v="0"/>
    <m/>
    <x v="0"/>
    <x v="2"/>
    <x v="17"/>
    <n v="200801"/>
    <n v="200801"/>
    <m/>
    <n v="38"/>
    <n v="200801"/>
    <n v="1254000"/>
  </r>
  <r>
    <x v="380"/>
    <x v="0"/>
    <m/>
    <x v="0"/>
    <x v="2"/>
    <x v="19"/>
    <n v="200801"/>
    <n v="200801"/>
    <m/>
    <n v="14"/>
    <n v="200801"/>
    <n v="42000"/>
  </r>
  <r>
    <x v="380"/>
    <x v="0"/>
    <m/>
    <x v="5"/>
    <x v="2"/>
    <x v="28"/>
    <n v="200801"/>
    <n v="200801"/>
    <m/>
    <n v="11"/>
    <n v="200801"/>
    <n v="308000"/>
  </r>
  <r>
    <x v="380"/>
    <x v="0"/>
    <m/>
    <x v="5"/>
    <x v="2"/>
    <x v="69"/>
    <n v="200801"/>
    <n v="200801"/>
    <m/>
    <n v="7"/>
    <n v="200801"/>
    <n v="336000"/>
  </r>
  <r>
    <x v="380"/>
    <x v="0"/>
    <m/>
    <x v="22"/>
    <x v="2"/>
    <x v="29"/>
    <n v="200801"/>
    <n v="200801"/>
    <m/>
    <n v="2"/>
    <n v="200801"/>
    <n v="76000"/>
  </r>
  <r>
    <x v="380"/>
    <x v="0"/>
    <m/>
    <x v="19"/>
    <x v="2"/>
    <x v="22"/>
    <n v="200801"/>
    <n v="200801"/>
    <m/>
    <n v="4"/>
    <n v="200801"/>
    <n v="52000"/>
  </r>
  <r>
    <x v="380"/>
    <x v="0"/>
    <m/>
    <x v="19"/>
    <x v="2"/>
    <x v="23"/>
    <n v="200801"/>
    <n v="200801"/>
    <m/>
    <n v="2"/>
    <n v="200801"/>
    <n v="48000"/>
  </r>
  <r>
    <x v="380"/>
    <x v="0"/>
    <m/>
    <x v="33"/>
    <x v="2"/>
    <x v="92"/>
    <n v="200801"/>
    <n v="200801"/>
    <m/>
    <n v="1"/>
    <n v="200801"/>
    <n v="18200"/>
  </r>
  <r>
    <x v="380"/>
    <x v="0"/>
    <m/>
    <x v="0"/>
    <x v="9"/>
    <x v="15"/>
    <n v="200801"/>
    <n v="200801"/>
    <m/>
    <n v="4"/>
    <n v="200801"/>
    <n v="80000"/>
  </r>
  <r>
    <x v="381"/>
    <x v="2"/>
    <m/>
    <x v="0"/>
    <x v="7"/>
    <x v="15"/>
    <n v="200801"/>
    <n v="200801"/>
    <m/>
    <n v="5"/>
    <n v="200801"/>
    <n v="100000"/>
  </r>
  <r>
    <x v="381"/>
    <x v="2"/>
    <m/>
    <x v="32"/>
    <x v="2"/>
    <x v="97"/>
    <n v="200801"/>
    <n v="200801"/>
    <m/>
    <n v="1"/>
    <n v="200801"/>
    <n v="37100"/>
  </r>
  <r>
    <x v="381"/>
    <x v="2"/>
    <m/>
    <x v="34"/>
    <x v="2"/>
    <x v="105"/>
    <n v="200801"/>
    <n v="200801"/>
    <m/>
    <n v="25"/>
    <n v="200801"/>
    <n v="927500"/>
  </r>
  <r>
    <x v="381"/>
    <x v="2"/>
    <m/>
    <x v="30"/>
    <x v="2"/>
    <x v="99"/>
    <n v="200801"/>
    <n v="200801"/>
    <m/>
    <n v="3"/>
    <n v="200801"/>
    <n v="67200"/>
  </r>
  <r>
    <x v="381"/>
    <x v="2"/>
    <m/>
    <x v="1"/>
    <x v="2"/>
    <x v="18"/>
    <n v="200801"/>
    <n v="200801"/>
    <m/>
    <n v="7"/>
    <n v="200801"/>
    <n v="140000"/>
  </r>
  <r>
    <x v="381"/>
    <x v="2"/>
    <m/>
    <x v="1"/>
    <x v="2"/>
    <x v="21"/>
    <n v="200801"/>
    <n v="200801"/>
    <m/>
    <n v="3"/>
    <n v="200801"/>
    <n v="105000"/>
  </r>
  <r>
    <x v="381"/>
    <x v="2"/>
    <m/>
    <x v="4"/>
    <x v="2"/>
    <x v="27"/>
    <n v="200801"/>
    <n v="200801"/>
    <m/>
    <n v="5"/>
    <n v="200801"/>
    <n v="100000"/>
  </r>
  <r>
    <x v="381"/>
    <x v="2"/>
    <m/>
    <x v="0"/>
    <x v="2"/>
    <x v="15"/>
    <n v="200801"/>
    <n v="200801"/>
    <m/>
    <n v="14"/>
    <n v="200801"/>
    <n v="280000"/>
  </r>
  <r>
    <x v="381"/>
    <x v="2"/>
    <m/>
    <x v="0"/>
    <x v="2"/>
    <x v="16"/>
    <n v="200801"/>
    <n v="200801"/>
    <m/>
    <n v="17"/>
    <n v="200801"/>
    <n v="595000"/>
  </r>
  <r>
    <x v="381"/>
    <x v="2"/>
    <m/>
    <x v="0"/>
    <x v="2"/>
    <x v="17"/>
    <n v="200801"/>
    <n v="200801"/>
    <m/>
    <n v="49"/>
    <n v="200801"/>
    <n v="1617000"/>
  </r>
  <r>
    <x v="381"/>
    <x v="2"/>
    <m/>
    <x v="0"/>
    <x v="2"/>
    <x v="19"/>
    <n v="200801"/>
    <n v="200801"/>
    <m/>
    <n v="17"/>
    <n v="200801"/>
    <n v="51000"/>
  </r>
  <r>
    <x v="381"/>
    <x v="2"/>
    <m/>
    <x v="5"/>
    <x v="2"/>
    <x v="28"/>
    <n v="200801"/>
    <n v="200801"/>
    <m/>
    <n v="10"/>
    <n v="200801"/>
    <n v="280000"/>
  </r>
  <r>
    <x v="381"/>
    <x v="2"/>
    <m/>
    <x v="5"/>
    <x v="2"/>
    <x v="69"/>
    <n v="200801"/>
    <n v="200801"/>
    <m/>
    <n v="4"/>
    <n v="200801"/>
    <n v="192000"/>
  </r>
  <r>
    <x v="381"/>
    <x v="2"/>
    <m/>
    <x v="22"/>
    <x v="2"/>
    <x v="29"/>
    <n v="200801"/>
    <n v="200801"/>
    <m/>
    <n v="6"/>
    <n v="200801"/>
    <n v="228000"/>
  </r>
  <r>
    <x v="381"/>
    <x v="2"/>
    <m/>
    <x v="19"/>
    <x v="2"/>
    <x v="22"/>
    <n v="200801"/>
    <n v="200801"/>
    <m/>
    <n v="1"/>
    <n v="200801"/>
    <n v="13000"/>
  </r>
  <r>
    <x v="381"/>
    <x v="2"/>
    <m/>
    <x v="19"/>
    <x v="2"/>
    <x v="23"/>
    <n v="200801"/>
    <n v="200801"/>
    <m/>
    <n v="3"/>
    <n v="200801"/>
    <n v="72000"/>
  </r>
  <r>
    <x v="381"/>
    <x v="2"/>
    <m/>
    <x v="0"/>
    <x v="9"/>
    <x v="15"/>
    <n v="200801"/>
    <n v="200801"/>
    <m/>
    <n v="6"/>
    <n v="200801"/>
    <n v="120000"/>
  </r>
  <r>
    <x v="381"/>
    <x v="2"/>
    <m/>
    <x v="1"/>
    <x v="9"/>
    <x v="18"/>
    <n v="200801"/>
    <n v="200801"/>
    <m/>
    <n v="1"/>
    <n v="200801"/>
    <n v="20000"/>
  </r>
  <r>
    <x v="381"/>
    <x v="2"/>
    <m/>
    <x v="1"/>
    <x v="19"/>
    <x v="18"/>
    <n v="200801"/>
    <n v="200801"/>
    <m/>
    <n v="1"/>
    <n v="200801"/>
    <n v="25000"/>
  </r>
  <r>
    <x v="382"/>
    <x v="5"/>
    <m/>
    <x v="0"/>
    <x v="7"/>
    <x v="15"/>
    <n v="200801"/>
    <n v="200801"/>
    <m/>
    <n v="3"/>
    <n v="200801"/>
    <n v="60000"/>
  </r>
  <r>
    <x v="382"/>
    <x v="5"/>
    <m/>
    <x v="32"/>
    <x v="2"/>
    <x v="97"/>
    <n v="200801"/>
    <n v="200801"/>
    <m/>
    <n v="1"/>
    <n v="200801"/>
    <n v="37100"/>
  </r>
  <r>
    <x v="382"/>
    <x v="5"/>
    <m/>
    <x v="34"/>
    <x v="2"/>
    <x v="105"/>
    <n v="200801"/>
    <n v="200801"/>
    <m/>
    <n v="21"/>
    <n v="200801"/>
    <n v="779100"/>
  </r>
  <r>
    <x v="382"/>
    <x v="5"/>
    <m/>
    <x v="30"/>
    <x v="2"/>
    <x v="99"/>
    <n v="200801"/>
    <n v="200801"/>
    <m/>
    <n v="2"/>
    <n v="200801"/>
    <n v="44800"/>
  </r>
  <r>
    <x v="382"/>
    <x v="5"/>
    <m/>
    <x v="30"/>
    <x v="2"/>
    <x v="100"/>
    <n v="200801"/>
    <n v="200801"/>
    <m/>
    <n v="1"/>
    <n v="200801"/>
    <n v="39200"/>
  </r>
  <r>
    <x v="382"/>
    <x v="5"/>
    <m/>
    <x v="1"/>
    <x v="2"/>
    <x v="18"/>
    <n v="200801"/>
    <n v="200801"/>
    <m/>
    <n v="16"/>
    <n v="200801"/>
    <n v="320000"/>
  </r>
  <r>
    <x v="382"/>
    <x v="5"/>
    <m/>
    <x v="1"/>
    <x v="2"/>
    <x v="21"/>
    <n v="200801"/>
    <n v="200801"/>
    <m/>
    <n v="4"/>
    <n v="200801"/>
    <n v="140000"/>
  </r>
  <r>
    <x v="382"/>
    <x v="5"/>
    <m/>
    <x v="4"/>
    <x v="2"/>
    <x v="26"/>
    <n v="200801"/>
    <n v="200801"/>
    <m/>
    <n v="3"/>
    <n v="200801"/>
    <n v="12000"/>
  </r>
  <r>
    <x v="382"/>
    <x v="5"/>
    <m/>
    <x v="4"/>
    <x v="2"/>
    <x v="27"/>
    <n v="200801"/>
    <n v="200801"/>
    <m/>
    <n v="4"/>
    <n v="200801"/>
    <n v="80000"/>
  </r>
  <r>
    <x v="382"/>
    <x v="5"/>
    <m/>
    <x v="0"/>
    <x v="2"/>
    <x v="15"/>
    <n v="200801"/>
    <n v="200801"/>
    <m/>
    <n v="18"/>
    <n v="200801"/>
    <n v="360000"/>
  </r>
  <r>
    <x v="382"/>
    <x v="5"/>
    <m/>
    <x v="0"/>
    <x v="2"/>
    <x v="16"/>
    <n v="200801"/>
    <n v="200801"/>
    <m/>
    <n v="3"/>
    <n v="200801"/>
    <n v="105000"/>
  </r>
  <r>
    <x v="382"/>
    <x v="5"/>
    <m/>
    <x v="0"/>
    <x v="2"/>
    <x v="17"/>
    <n v="200801"/>
    <n v="200801"/>
    <m/>
    <n v="33"/>
    <n v="200801"/>
    <n v="1089000"/>
  </r>
  <r>
    <x v="382"/>
    <x v="5"/>
    <m/>
    <x v="0"/>
    <x v="2"/>
    <x v="19"/>
    <n v="200801"/>
    <n v="200801"/>
    <m/>
    <n v="11"/>
    <n v="200801"/>
    <n v="33000"/>
  </r>
  <r>
    <x v="382"/>
    <x v="5"/>
    <m/>
    <x v="5"/>
    <x v="2"/>
    <x v="28"/>
    <n v="200801"/>
    <n v="200801"/>
    <m/>
    <n v="14"/>
    <n v="200801"/>
    <n v="392000"/>
  </r>
  <r>
    <x v="382"/>
    <x v="5"/>
    <m/>
    <x v="5"/>
    <x v="2"/>
    <x v="69"/>
    <n v="200801"/>
    <n v="200801"/>
    <m/>
    <n v="1"/>
    <n v="200801"/>
    <n v="48000"/>
  </r>
  <r>
    <x v="382"/>
    <x v="5"/>
    <m/>
    <x v="22"/>
    <x v="2"/>
    <x v="29"/>
    <n v="200801"/>
    <n v="200801"/>
    <m/>
    <n v="3"/>
    <n v="200801"/>
    <n v="114000"/>
  </r>
  <r>
    <x v="382"/>
    <x v="5"/>
    <m/>
    <x v="19"/>
    <x v="2"/>
    <x v="22"/>
    <n v="200801"/>
    <n v="200801"/>
    <m/>
    <n v="7"/>
    <n v="200801"/>
    <n v="91000"/>
  </r>
  <r>
    <x v="382"/>
    <x v="5"/>
    <m/>
    <x v="19"/>
    <x v="2"/>
    <x v="23"/>
    <n v="200801"/>
    <n v="200801"/>
    <m/>
    <n v="4"/>
    <n v="200801"/>
    <n v="96000"/>
  </r>
  <r>
    <x v="382"/>
    <x v="5"/>
    <m/>
    <x v="33"/>
    <x v="2"/>
    <x v="92"/>
    <n v="200801"/>
    <n v="200801"/>
    <m/>
    <n v="1"/>
    <n v="200801"/>
    <n v="18200"/>
  </r>
  <r>
    <x v="382"/>
    <x v="5"/>
    <m/>
    <x v="0"/>
    <x v="9"/>
    <x v="15"/>
    <n v="200801"/>
    <n v="200801"/>
    <m/>
    <n v="6"/>
    <n v="200801"/>
    <n v="120000"/>
  </r>
  <r>
    <x v="383"/>
    <x v="6"/>
    <m/>
    <x v="0"/>
    <x v="7"/>
    <x v="15"/>
    <n v="200801"/>
    <n v="200801"/>
    <m/>
    <n v="4"/>
    <n v="200801"/>
    <n v="80000"/>
  </r>
  <r>
    <x v="383"/>
    <x v="6"/>
    <m/>
    <x v="6"/>
    <x v="2"/>
    <x v="37"/>
    <n v="200801"/>
    <n v="200801"/>
    <m/>
    <n v="2"/>
    <n v="200801"/>
    <n v="40000"/>
  </r>
  <r>
    <x v="383"/>
    <x v="6"/>
    <m/>
    <x v="25"/>
    <x v="2"/>
    <x v="34"/>
    <n v="200801"/>
    <n v="200801"/>
    <m/>
    <n v="5"/>
    <n v="200801"/>
    <n v="495000"/>
  </r>
  <r>
    <x v="383"/>
    <x v="6"/>
    <m/>
    <x v="32"/>
    <x v="2"/>
    <x v="97"/>
    <n v="200801"/>
    <n v="200801"/>
    <m/>
    <n v="4"/>
    <n v="200801"/>
    <n v="148400"/>
  </r>
  <r>
    <x v="383"/>
    <x v="6"/>
    <m/>
    <x v="34"/>
    <x v="2"/>
    <x v="105"/>
    <n v="200801"/>
    <n v="200801"/>
    <m/>
    <n v="26"/>
    <n v="200801"/>
    <n v="964600"/>
  </r>
  <r>
    <x v="383"/>
    <x v="6"/>
    <m/>
    <x v="30"/>
    <x v="2"/>
    <x v="99"/>
    <n v="200801"/>
    <n v="200801"/>
    <m/>
    <n v="4"/>
    <n v="200801"/>
    <n v="89600"/>
  </r>
  <r>
    <x v="383"/>
    <x v="6"/>
    <m/>
    <x v="1"/>
    <x v="2"/>
    <x v="18"/>
    <n v="200801"/>
    <n v="200801"/>
    <m/>
    <n v="29"/>
    <n v="200801"/>
    <n v="580000"/>
  </r>
  <r>
    <x v="383"/>
    <x v="6"/>
    <m/>
    <x v="1"/>
    <x v="2"/>
    <x v="21"/>
    <n v="200801"/>
    <n v="200801"/>
    <m/>
    <n v="3"/>
    <n v="200801"/>
    <n v="105000"/>
  </r>
  <r>
    <x v="383"/>
    <x v="6"/>
    <m/>
    <x v="4"/>
    <x v="2"/>
    <x v="26"/>
    <n v="200801"/>
    <n v="200801"/>
    <m/>
    <n v="2"/>
    <n v="200801"/>
    <n v="8000"/>
  </r>
  <r>
    <x v="383"/>
    <x v="6"/>
    <m/>
    <x v="4"/>
    <x v="2"/>
    <x v="27"/>
    <n v="200801"/>
    <n v="200801"/>
    <m/>
    <n v="3"/>
    <n v="200801"/>
    <n v="60000"/>
  </r>
  <r>
    <x v="383"/>
    <x v="6"/>
    <m/>
    <x v="0"/>
    <x v="2"/>
    <x v="15"/>
    <n v="200801"/>
    <n v="200801"/>
    <m/>
    <n v="37"/>
    <n v="200801"/>
    <n v="740000"/>
  </r>
  <r>
    <x v="383"/>
    <x v="6"/>
    <m/>
    <x v="0"/>
    <x v="2"/>
    <x v="16"/>
    <n v="200801"/>
    <n v="200801"/>
    <m/>
    <n v="17"/>
    <n v="200801"/>
    <n v="595000"/>
  </r>
  <r>
    <x v="383"/>
    <x v="6"/>
    <m/>
    <x v="0"/>
    <x v="2"/>
    <x v="17"/>
    <n v="200801"/>
    <n v="200801"/>
    <m/>
    <n v="46"/>
    <n v="200801"/>
    <n v="1518000"/>
  </r>
  <r>
    <x v="383"/>
    <x v="6"/>
    <m/>
    <x v="0"/>
    <x v="2"/>
    <x v="19"/>
    <n v="200801"/>
    <n v="200801"/>
    <m/>
    <n v="38"/>
    <n v="200801"/>
    <n v="114000"/>
  </r>
  <r>
    <x v="383"/>
    <x v="6"/>
    <m/>
    <x v="5"/>
    <x v="2"/>
    <x v="28"/>
    <n v="200801"/>
    <n v="200801"/>
    <m/>
    <n v="19"/>
    <n v="200801"/>
    <n v="532000"/>
  </r>
  <r>
    <x v="383"/>
    <x v="6"/>
    <m/>
    <x v="5"/>
    <x v="2"/>
    <x v="69"/>
    <n v="200801"/>
    <n v="200801"/>
    <m/>
    <n v="4"/>
    <n v="200801"/>
    <n v="192000"/>
  </r>
  <r>
    <x v="383"/>
    <x v="6"/>
    <m/>
    <x v="22"/>
    <x v="2"/>
    <x v="29"/>
    <n v="200801"/>
    <n v="200801"/>
    <m/>
    <n v="4"/>
    <n v="200801"/>
    <n v="152000"/>
  </r>
  <r>
    <x v="383"/>
    <x v="6"/>
    <m/>
    <x v="19"/>
    <x v="2"/>
    <x v="22"/>
    <n v="200801"/>
    <n v="200801"/>
    <m/>
    <n v="11"/>
    <n v="200801"/>
    <n v="143000"/>
  </r>
  <r>
    <x v="383"/>
    <x v="6"/>
    <m/>
    <x v="19"/>
    <x v="2"/>
    <x v="23"/>
    <n v="200801"/>
    <n v="200801"/>
    <m/>
    <n v="1"/>
    <n v="200801"/>
    <n v="24000"/>
  </r>
  <r>
    <x v="383"/>
    <x v="6"/>
    <m/>
    <x v="19"/>
    <x v="2"/>
    <x v="24"/>
    <n v="200801"/>
    <n v="200801"/>
    <m/>
    <n v="5"/>
    <n v="200801"/>
    <n v="165000"/>
  </r>
  <r>
    <x v="383"/>
    <x v="6"/>
    <m/>
    <x v="5"/>
    <x v="9"/>
    <x v="28"/>
    <n v="200801"/>
    <n v="200801"/>
    <m/>
    <n v="2"/>
    <n v="200801"/>
    <n v="56000"/>
  </r>
  <r>
    <x v="383"/>
    <x v="6"/>
    <m/>
    <x v="0"/>
    <x v="9"/>
    <x v="15"/>
    <n v="200801"/>
    <n v="200801"/>
    <m/>
    <n v="10"/>
    <n v="200801"/>
    <n v="200000"/>
  </r>
  <r>
    <x v="383"/>
    <x v="6"/>
    <m/>
    <x v="22"/>
    <x v="9"/>
    <x v="29"/>
    <n v="200801"/>
    <n v="200801"/>
    <m/>
    <n v="1"/>
    <n v="200801"/>
    <n v="38000"/>
  </r>
  <r>
    <x v="383"/>
    <x v="6"/>
    <m/>
    <x v="0"/>
    <x v="6"/>
    <x v="15"/>
    <n v="200801"/>
    <n v="200801"/>
    <m/>
    <n v="97"/>
    <n v="200801"/>
    <n v="879596"/>
  </r>
  <r>
    <x v="383"/>
    <x v="6"/>
    <m/>
    <x v="0"/>
    <x v="6"/>
    <x v="17"/>
    <n v="200801"/>
    <n v="200801"/>
    <m/>
    <n v="470"/>
    <n v="200801"/>
    <n v="7434460"/>
  </r>
  <r>
    <x v="383"/>
    <x v="6"/>
    <m/>
    <x v="4"/>
    <x v="6"/>
    <x v="26"/>
    <n v="200801"/>
    <n v="200801"/>
    <m/>
    <n v="592"/>
    <n v="200801"/>
    <n v="635216"/>
  </r>
  <r>
    <x v="383"/>
    <x v="6"/>
    <m/>
    <x v="26"/>
    <x v="6"/>
    <x v="35"/>
    <n v="200801"/>
    <n v="200801"/>
    <m/>
    <n v="36"/>
    <n v="200801"/>
    <n v="616716"/>
  </r>
  <r>
    <x v="383"/>
    <x v="6"/>
    <m/>
    <x v="22"/>
    <x v="6"/>
    <x v="29"/>
    <n v="200801"/>
    <n v="200801"/>
    <m/>
    <n v="39"/>
    <n v="200801"/>
    <n v="767949"/>
  </r>
  <r>
    <x v="383"/>
    <x v="6"/>
    <m/>
    <x v="24"/>
    <x v="6"/>
    <x v="31"/>
    <n v="200801"/>
    <n v="200801"/>
    <m/>
    <n v="120"/>
    <n v="200801"/>
    <n v="1785240"/>
  </r>
  <r>
    <x v="383"/>
    <x v="6"/>
    <m/>
    <x v="23"/>
    <x v="6"/>
    <x v="30"/>
    <n v="200801"/>
    <n v="200801"/>
    <m/>
    <n v="10"/>
    <n v="200801"/>
    <n v="69640"/>
  </r>
  <r>
    <x v="383"/>
    <x v="6"/>
    <m/>
    <x v="19"/>
    <x v="6"/>
    <x v="22"/>
    <n v="200801"/>
    <n v="200801"/>
    <m/>
    <n v="54"/>
    <n v="200801"/>
    <n v="366714"/>
  </r>
  <r>
    <x v="383"/>
    <x v="6"/>
    <m/>
    <x v="27"/>
    <x v="6"/>
    <x v="36"/>
    <n v="200801"/>
    <n v="200801"/>
    <m/>
    <n v="1"/>
    <n v="200801"/>
    <n v="9457"/>
  </r>
  <r>
    <x v="383"/>
    <x v="6"/>
    <m/>
    <x v="6"/>
    <x v="6"/>
    <x v="37"/>
    <n v="200801"/>
    <n v="200801"/>
    <m/>
    <n v="32"/>
    <n v="200801"/>
    <n v="320000"/>
  </r>
  <r>
    <x v="383"/>
    <x v="6"/>
    <m/>
    <x v="28"/>
    <x v="6"/>
    <x v="39"/>
    <n v="200801"/>
    <n v="200801"/>
    <m/>
    <n v="6"/>
    <n v="200801"/>
    <n v="94908"/>
  </r>
  <r>
    <x v="383"/>
    <x v="6"/>
    <m/>
    <x v="4"/>
    <x v="6"/>
    <x v="66"/>
    <n v="200801"/>
    <n v="200801"/>
    <m/>
    <n v="70"/>
    <n v="200801"/>
    <n v="391790"/>
  </r>
  <r>
    <x v="383"/>
    <x v="6"/>
    <m/>
    <x v="33"/>
    <x v="6"/>
    <x v="106"/>
    <n v="200801"/>
    <n v="200801"/>
    <m/>
    <n v="14"/>
    <n v="200801"/>
    <n v="136500"/>
  </r>
  <r>
    <x v="383"/>
    <x v="6"/>
    <m/>
    <x v="31"/>
    <x v="6"/>
    <x v="103"/>
    <n v="200801"/>
    <n v="200801"/>
    <m/>
    <n v="77"/>
    <n v="200801"/>
    <n v="862400"/>
  </r>
  <r>
    <x v="383"/>
    <x v="6"/>
    <m/>
    <x v="30"/>
    <x v="6"/>
    <x v="104"/>
    <n v="200801"/>
    <n v="200801"/>
    <m/>
    <n v="104"/>
    <n v="200801"/>
    <n v="1164800"/>
  </r>
  <r>
    <x v="383"/>
    <x v="6"/>
    <m/>
    <x v="5"/>
    <x v="6"/>
    <x v="28"/>
    <n v="200801"/>
    <n v="200801"/>
    <m/>
    <n v="5"/>
    <n v="200801"/>
    <n v="73000"/>
  </r>
  <r>
    <x v="384"/>
    <x v="3"/>
    <m/>
    <x v="0"/>
    <x v="1"/>
    <x v="16"/>
    <n v="200801"/>
    <n v="200801"/>
    <m/>
    <n v="3"/>
    <n v="200801"/>
    <n v="105000"/>
  </r>
  <r>
    <x v="384"/>
    <x v="3"/>
    <m/>
    <x v="0"/>
    <x v="7"/>
    <x v="15"/>
    <n v="200801"/>
    <n v="200801"/>
    <m/>
    <n v="6"/>
    <n v="200801"/>
    <n v="120000"/>
  </r>
  <r>
    <x v="384"/>
    <x v="3"/>
    <m/>
    <x v="33"/>
    <x v="3"/>
    <x v="94"/>
    <n v="200801"/>
    <n v="200801"/>
    <m/>
    <n v="35"/>
    <n v="200801"/>
    <n v="0"/>
  </r>
  <r>
    <x v="384"/>
    <x v="3"/>
    <m/>
    <x v="6"/>
    <x v="2"/>
    <x v="42"/>
    <n v="200801"/>
    <n v="200801"/>
    <m/>
    <n v="1"/>
    <n v="200801"/>
    <n v="35000"/>
  </r>
  <r>
    <x v="384"/>
    <x v="3"/>
    <m/>
    <x v="29"/>
    <x v="2"/>
    <x v="41"/>
    <n v="200801"/>
    <n v="200801"/>
    <m/>
    <n v="3"/>
    <n v="200801"/>
    <n v="135000"/>
  </r>
  <r>
    <x v="384"/>
    <x v="3"/>
    <m/>
    <x v="34"/>
    <x v="2"/>
    <x v="105"/>
    <n v="200801"/>
    <n v="200801"/>
    <m/>
    <n v="30"/>
    <n v="200801"/>
    <n v="1113000"/>
  </r>
  <r>
    <x v="384"/>
    <x v="3"/>
    <m/>
    <x v="30"/>
    <x v="2"/>
    <x v="99"/>
    <n v="200801"/>
    <n v="200801"/>
    <m/>
    <n v="4"/>
    <n v="200801"/>
    <n v="89600"/>
  </r>
  <r>
    <x v="384"/>
    <x v="3"/>
    <m/>
    <x v="30"/>
    <x v="2"/>
    <x v="100"/>
    <n v="200801"/>
    <n v="200801"/>
    <m/>
    <n v="1"/>
    <n v="200801"/>
    <n v="39200"/>
  </r>
  <r>
    <x v="384"/>
    <x v="3"/>
    <m/>
    <x v="1"/>
    <x v="2"/>
    <x v="18"/>
    <n v="200801"/>
    <n v="200801"/>
    <m/>
    <n v="46"/>
    <n v="200801"/>
    <n v="920000"/>
  </r>
  <r>
    <x v="384"/>
    <x v="3"/>
    <m/>
    <x v="1"/>
    <x v="2"/>
    <x v="21"/>
    <n v="200801"/>
    <n v="200801"/>
    <m/>
    <n v="23"/>
    <n v="200801"/>
    <n v="805000"/>
  </r>
  <r>
    <x v="384"/>
    <x v="3"/>
    <m/>
    <x v="4"/>
    <x v="2"/>
    <x v="26"/>
    <n v="200801"/>
    <n v="200801"/>
    <m/>
    <n v="2"/>
    <n v="200801"/>
    <n v="8000"/>
  </r>
  <r>
    <x v="384"/>
    <x v="3"/>
    <m/>
    <x v="4"/>
    <x v="2"/>
    <x v="27"/>
    <n v="200801"/>
    <n v="200801"/>
    <m/>
    <n v="3"/>
    <n v="200801"/>
    <n v="60000"/>
  </r>
  <r>
    <x v="384"/>
    <x v="3"/>
    <m/>
    <x v="0"/>
    <x v="2"/>
    <x v="15"/>
    <n v="200801"/>
    <n v="200801"/>
    <m/>
    <n v="42"/>
    <n v="200801"/>
    <n v="840000"/>
  </r>
  <r>
    <x v="384"/>
    <x v="3"/>
    <m/>
    <x v="0"/>
    <x v="2"/>
    <x v="16"/>
    <n v="200801"/>
    <n v="200801"/>
    <m/>
    <n v="58"/>
    <n v="200801"/>
    <n v="2030000"/>
  </r>
  <r>
    <x v="384"/>
    <x v="3"/>
    <m/>
    <x v="0"/>
    <x v="2"/>
    <x v="17"/>
    <n v="200801"/>
    <n v="200801"/>
    <m/>
    <n v="72"/>
    <n v="200801"/>
    <n v="2376000"/>
  </r>
  <r>
    <x v="384"/>
    <x v="3"/>
    <m/>
    <x v="0"/>
    <x v="2"/>
    <x v="19"/>
    <n v="200801"/>
    <n v="200801"/>
    <m/>
    <n v="28"/>
    <n v="200801"/>
    <n v="84000"/>
  </r>
  <r>
    <x v="384"/>
    <x v="3"/>
    <m/>
    <x v="5"/>
    <x v="2"/>
    <x v="28"/>
    <n v="200801"/>
    <n v="200801"/>
    <m/>
    <n v="20"/>
    <n v="200801"/>
    <n v="560000"/>
  </r>
  <r>
    <x v="384"/>
    <x v="3"/>
    <m/>
    <x v="5"/>
    <x v="2"/>
    <x v="69"/>
    <n v="200801"/>
    <n v="200801"/>
    <m/>
    <n v="5"/>
    <n v="200801"/>
    <n v="240000"/>
  </r>
  <r>
    <x v="384"/>
    <x v="3"/>
    <m/>
    <x v="22"/>
    <x v="2"/>
    <x v="29"/>
    <n v="200801"/>
    <n v="200801"/>
    <m/>
    <n v="10"/>
    <n v="200801"/>
    <n v="380000"/>
  </r>
  <r>
    <x v="384"/>
    <x v="3"/>
    <m/>
    <x v="19"/>
    <x v="2"/>
    <x v="22"/>
    <n v="200801"/>
    <n v="200801"/>
    <m/>
    <n v="8"/>
    <n v="200801"/>
    <n v="104000"/>
  </r>
  <r>
    <x v="384"/>
    <x v="3"/>
    <m/>
    <x v="19"/>
    <x v="2"/>
    <x v="23"/>
    <n v="200801"/>
    <n v="200801"/>
    <m/>
    <n v="2"/>
    <n v="200801"/>
    <n v="48000"/>
  </r>
  <r>
    <x v="384"/>
    <x v="3"/>
    <m/>
    <x v="19"/>
    <x v="2"/>
    <x v="24"/>
    <n v="200801"/>
    <n v="200801"/>
    <m/>
    <n v="1"/>
    <n v="200801"/>
    <n v="33000"/>
  </r>
  <r>
    <x v="384"/>
    <x v="3"/>
    <m/>
    <x v="33"/>
    <x v="2"/>
    <x v="92"/>
    <n v="200801"/>
    <n v="200801"/>
    <m/>
    <n v="3"/>
    <n v="200801"/>
    <n v="54600"/>
  </r>
  <r>
    <x v="384"/>
    <x v="3"/>
    <m/>
    <x v="5"/>
    <x v="9"/>
    <x v="28"/>
    <n v="200801"/>
    <n v="200801"/>
    <m/>
    <n v="1"/>
    <n v="200801"/>
    <n v="28000"/>
  </r>
  <r>
    <x v="384"/>
    <x v="3"/>
    <m/>
    <x v="0"/>
    <x v="9"/>
    <x v="15"/>
    <n v="200801"/>
    <n v="200801"/>
    <m/>
    <n v="5"/>
    <n v="200801"/>
    <n v="100000"/>
  </r>
  <r>
    <x v="384"/>
    <x v="3"/>
    <m/>
    <x v="1"/>
    <x v="9"/>
    <x v="18"/>
    <n v="200801"/>
    <n v="200801"/>
    <m/>
    <n v="1"/>
    <n v="200801"/>
    <n v="20000"/>
  </r>
  <r>
    <x v="385"/>
    <x v="4"/>
    <m/>
    <x v="0"/>
    <x v="1"/>
    <x v="15"/>
    <n v="200801"/>
    <n v="200801"/>
    <m/>
    <n v="8"/>
    <n v="200801"/>
    <n v="160000"/>
  </r>
  <r>
    <x v="385"/>
    <x v="4"/>
    <m/>
    <x v="0"/>
    <x v="1"/>
    <x v="16"/>
    <n v="200801"/>
    <n v="200801"/>
    <m/>
    <n v="28"/>
    <n v="200801"/>
    <n v="980000"/>
  </r>
  <r>
    <x v="385"/>
    <x v="4"/>
    <m/>
    <x v="19"/>
    <x v="5"/>
    <x v="50"/>
    <n v="200801"/>
    <n v="200801"/>
    <m/>
    <n v="4"/>
    <n v="200801"/>
    <n v="28800"/>
  </r>
  <r>
    <x v="385"/>
    <x v="4"/>
    <m/>
    <x v="6"/>
    <x v="5"/>
    <x v="49"/>
    <n v="200801"/>
    <n v="200801"/>
    <m/>
    <n v="1"/>
    <n v="200801"/>
    <n v="11250"/>
  </r>
  <r>
    <x v="385"/>
    <x v="4"/>
    <m/>
    <x v="0"/>
    <x v="7"/>
    <x v="15"/>
    <n v="200801"/>
    <n v="200801"/>
    <m/>
    <n v="4"/>
    <n v="200801"/>
    <n v="80000"/>
  </r>
  <r>
    <x v="385"/>
    <x v="4"/>
    <m/>
    <x v="6"/>
    <x v="2"/>
    <x v="37"/>
    <n v="200801"/>
    <n v="200801"/>
    <m/>
    <n v="4"/>
    <n v="200801"/>
    <n v="80000"/>
  </r>
  <r>
    <x v="385"/>
    <x v="4"/>
    <m/>
    <x v="6"/>
    <x v="2"/>
    <x v="42"/>
    <n v="200801"/>
    <n v="200801"/>
    <m/>
    <n v="1"/>
    <n v="200801"/>
    <n v="35000"/>
  </r>
  <r>
    <x v="385"/>
    <x v="4"/>
    <m/>
    <x v="25"/>
    <x v="2"/>
    <x v="34"/>
    <n v="200801"/>
    <n v="200801"/>
    <m/>
    <n v="5"/>
    <n v="200801"/>
    <n v="495000"/>
  </r>
  <r>
    <x v="385"/>
    <x v="4"/>
    <m/>
    <x v="34"/>
    <x v="2"/>
    <x v="105"/>
    <n v="200801"/>
    <n v="200801"/>
    <m/>
    <n v="31"/>
    <n v="200801"/>
    <n v="1150100"/>
  </r>
  <r>
    <x v="385"/>
    <x v="4"/>
    <m/>
    <x v="30"/>
    <x v="2"/>
    <x v="99"/>
    <n v="200801"/>
    <n v="200801"/>
    <m/>
    <n v="7"/>
    <n v="200801"/>
    <n v="156800"/>
  </r>
  <r>
    <x v="385"/>
    <x v="4"/>
    <m/>
    <x v="1"/>
    <x v="2"/>
    <x v="18"/>
    <n v="200801"/>
    <n v="200801"/>
    <m/>
    <n v="41"/>
    <n v="200801"/>
    <n v="820000"/>
  </r>
  <r>
    <x v="385"/>
    <x v="4"/>
    <m/>
    <x v="1"/>
    <x v="2"/>
    <x v="21"/>
    <n v="200801"/>
    <n v="200801"/>
    <m/>
    <n v="14"/>
    <n v="200801"/>
    <n v="490000"/>
  </r>
  <r>
    <x v="385"/>
    <x v="4"/>
    <m/>
    <x v="4"/>
    <x v="2"/>
    <x v="26"/>
    <n v="200801"/>
    <n v="200801"/>
    <m/>
    <n v="2"/>
    <n v="200801"/>
    <n v="8000"/>
  </r>
  <r>
    <x v="385"/>
    <x v="4"/>
    <m/>
    <x v="4"/>
    <x v="2"/>
    <x v="27"/>
    <n v="200801"/>
    <n v="200801"/>
    <m/>
    <n v="2"/>
    <n v="200801"/>
    <n v="40000"/>
  </r>
  <r>
    <x v="385"/>
    <x v="4"/>
    <m/>
    <x v="0"/>
    <x v="2"/>
    <x v="15"/>
    <n v="200801"/>
    <n v="200801"/>
    <m/>
    <n v="40"/>
    <n v="200801"/>
    <n v="800000"/>
  </r>
  <r>
    <x v="385"/>
    <x v="4"/>
    <m/>
    <x v="0"/>
    <x v="2"/>
    <x v="16"/>
    <n v="200801"/>
    <n v="200801"/>
    <m/>
    <n v="20"/>
    <n v="200801"/>
    <n v="700000"/>
  </r>
  <r>
    <x v="385"/>
    <x v="4"/>
    <m/>
    <x v="0"/>
    <x v="2"/>
    <x v="17"/>
    <n v="200801"/>
    <n v="200801"/>
    <m/>
    <n v="70"/>
    <n v="200801"/>
    <n v="2310000"/>
  </r>
  <r>
    <x v="385"/>
    <x v="4"/>
    <m/>
    <x v="0"/>
    <x v="2"/>
    <x v="19"/>
    <n v="200801"/>
    <n v="200801"/>
    <m/>
    <n v="40"/>
    <n v="200801"/>
    <n v="120000"/>
  </r>
  <r>
    <x v="385"/>
    <x v="4"/>
    <m/>
    <x v="5"/>
    <x v="2"/>
    <x v="28"/>
    <n v="200801"/>
    <n v="200801"/>
    <m/>
    <n v="19"/>
    <n v="200801"/>
    <n v="532000"/>
  </r>
  <r>
    <x v="385"/>
    <x v="4"/>
    <m/>
    <x v="5"/>
    <x v="2"/>
    <x v="69"/>
    <n v="200801"/>
    <n v="200801"/>
    <m/>
    <n v="4"/>
    <n v="200801"/>
    <n v="192000"/>
  </r>
  <r>
    <x v="385"/>
    <x v="4"/>
    <m/>
    <x v="22"/>
    <x v="2"/>
    <x v="29"/>
    <n v="200801"/>
    <n v="200801"/>
    <m/>
    <n v="7"/>
    <n v="200801"/>
    <n v="266000"/>
  </r>
  <r>
    <x v="385"/>
    <x v="4"/>
    <m/>
    <x v="19"/>
    <x v="2"/>
    <x v="22"/>
    <n v="200801"/>
    <n v="200801"/>
    <m/>
    <n v="13"/>
    <n v="200801"/>
    <n v="169000"/>
  </r>
  <r>
    <x v="385"/>
    <x v="4"/>
    <m/>
    <x v="19"/>
    <x v="2"/>
    <x v="23"/>
    <n v="200801"/>
    <n v="200801"/>
    <m/>
    <n v="1"/>
    <n v="200801"/>
    <n v="24000"/>
  </r>
  <r>
    <x v="385"/>
    <x v="4"/>
    <m/>
    <x v="19"/>
    <x v="2"/>
    <x v="24"/>
    <n v="200801"/>
    <n v="200801"/>
    <m/>
    <n v="1"/>
    <n v="200801"/>
    <n v="33000"/>
  </r>
  <r>
    <x v="385"/>
    <x v="4"/>
    <m/>
    <x v="33"/>
    <x v="2"/>
    <x v="92"/>
    <n v="200801"/>
    <n v="200801"/>
    <m/>
    <n v="1"/>
    <n v="200801"/>
    <n v="18200"/>
  </r>
  <r>
    <x v="385"/>
    <x v="4"/>
    <m/>
    <x v="0"/>
    <x v="9"/>
    <x v="15"/>
    <n v="200801"/>
    <n v="200801"/>
    <m/>
    <n v="4"/>
    <n v="200801"/>
    <n v="80000"/>
  </r>
  <r>
    <x v="385"/>
    <x v="4"/>
    <m/>
    <x v="1"/>
    <x v="9"/>
    <x v="18"/>
    <n v="200801"/>
    <n v="200801"/>
    <m/>
    <n v="1"/>
    <n v="200801"/>
    <n v="20000"/>
  </r>
  <r>
    <x v="386"/>
    <x v="1"/>
    <m/>
    <x v="0"/>
    <x v="1"/>
    <x v="15"/>
    <n v="200801"/>
    <n v="200801"/>
    <m/>
    <n v="4"/>
    <n v="200801"/>
    <n v="80000"/>
  </r>
  <r>
    <x v="386"/>
    <x v="1"/>
    <m/>
    <x v="0"/>
    <x v="1"/>
    <x v="16"/>
    <n v="200801"/>
    <n v="200801"/>
    <m/>
    <n v="10"/>
    <n v="200801"/>
    <n v="350000"/>
  </r>
  <r>
    <x v="386"/>
    <x v="1"/>
    <m/>
    <x v="0"/>
    <x v="7"/>
    <x v="15"/>
    <n v="200801"/>
    <n v="200801"/>
    <m/>
    <n v="3"/>
    <n v="200801"/>
    <n v="60000"/>
  </r>
  <r>
    <x v="386"/>
    <x v="1"/>
    <m/>
    <x v="33"/>
    <x v="3"/>
    <x v="94"/>
    <n v="200801"/>
    <n v="200801"/>
    <m/>
    <n v="1"/>
    <n v="200801"/>
    <n v="0"/>
  </r>
  <r>
    <x v="386"/>
    <x v="1"/>
    <m/>
    <x v="0"/>
    <x v="3"/>
    <x v="15"/>
    <n v="200801"/>
    <n v="200801"/>
    <m/>
    <n v="1"/>
    <n v="200801"/>
    <n v="0"/>
  </r>
  <r>
    <x v="386"/>
    <x v="1"/>
    <m/>
    <x v="18"/>
    <x v="3"/>
    <x v="19"/>
    <n v="200801"/>
    <n v="200801"/>
    <m/>
    <n v="1"/>
    <n v="200801"/>
    <n v="0"/>
  </r>
  <r>
    <x v="386"/>
    <x v="1"/>
    <m/>
    <x v="5"/>
    <x v="3"/>
    <x v="28"/>
    <n v="200801"/>
    <n v="200801"/>
    <m/>
    <n v="1"/>
    <n v="200801"/>
    <n v="0"/>
  </r>
  <r>
    <x v="386"/>
    <x v="1"/>
    <m/>
    <x v="4"/>
    <x v="3"/>
    <x v="27"/>
    <n v="200801"/>
    <n v="200801"/>
    <m/>
    <n v="1"/>
    <n v="200801"/>
    <n v="0"/>
  </r>
  <r>
    <x v="386"/>
    <x v="1"/>
    <m/>
    <x v="6"/>
    <x v="3"/>
    <x v="37"/>
    <n v="200801"/>
    <n v="200801"/>
    <m/>
    <n v="1"/>
    <n v="200801"/>
    <n v="0"/>
  </r>
  <r>
    <x v="386"/>
    <x v="1"/>
    <m/>
    <x v="22"/>
    <x v="3"/>
    <x v="29"/>
    <n v="200801"/>
    <n v="200801"/>
    <m/>
    <n v="1"/>
    <n v="200801"/>
    <n v="0"/>
  </r>
  <r>
    <x v="386"/>
    <x v="1"/>
    <m/>
    <x v="19"/>
    <x v="3"/>
    <x v="22"/>
    <n v="200801"/>
    <n v="200801"/>
    <m/>
    <n v="1"/>
    <n v="200801"/>
    <n v="0"/>
  </r>
  <r>
    <x v="386"/>
    <x v="1"/>
    <m/>
    <x v="1"/>
    <x v="3"/>
    <x v="18"/>
    <n v="200801"/>
    <n v="200801"/>
    <m/>
    <n v="1"/>
    <n v="200801"/>
    <n v="0"/>
  </r>
  <r>
    <x v="386"/>
    <x v="1"/>
    <m/>
    <x v="6"/>
    <x v="2"/>
    <x v="37"/>
    <n v="200801"/>
    <n v="200801"/>
    <m/>
    <n v="3"/>
    <n v="200801"/>
    <n v="60000"/>
  </r>
  <r>
    <x v="386"/>
    <x v="1"/>
    <m/>
    <x v="6"/>
    <x v="2"/>
    <x v="42"/>
    <n v="200801"/>
    <n v="200801"/>
    <m/>
    <n v="1"/>
    <n v="200801"/>
    <n v="35000"/>
  </r>
  <r>
    <x v="386"/>
    <x v="1"/>
    <m/>
    <x v="25"/>
    <x v="2"/>
    <x v="34"/>
    <n v="200801"/>
    <n v="200801"/>
    <m/>
    <n v="3"/>
    <n v="200801"/>
    <n v="297000"/>
  </r>
  <r>
    <x v="386"/>
    <x v="1"/>
    <m/>
    <x v="34"/>
    <x v="2"/>
    <x v="105"/>
    <n v="200801"/>
    <n v="200801"/>
    <m/>
    <n v="7"/>
    <n v="200801"/>
    <n v="259700"/>
  </r>
  <r>
    <x v="386"/>
    <x v="1"/>
    <m/>
    <x v="30"/>
    <x v="2"/>
    <x v="99"/>
    <n v="200801"/>
    <n v="200801"/>
    <m/>
    <n v="1"/>
    <n v="200801"/>
    <n v="22400"/>
  </r>
  <r>
    <x v="386"/>
    <x v="1"/>
    <m/>
    <x v="1"/>
    <x v="2"/>
    <x v="18"/>
    <n v="200801"/>
    <n v="200801"/>
    <m/>
    <n v="46"/>
    <n v="200801"/>
    <n v="920000"/>
  </r>
  <r>
    <x v="386"/>
    <x v="1"/>
    <m/>
    <x v="1"/>
    <x v="2"/>
    <x v="21"/>
    <n v="200801"/>
    <n v="200801"/>
    <m/>
    <n v="16"/>
    <n v="200801"/>
    <n v="560000"/>
  </r>
  <r>
    <x v="386"/>
    <x v="1"/>
    <m/>
    <x v="4"/>
    <x v="2"/>
    <x v="27"/>
    <n v="200801"/>
    <n v="200801"/>
    <m/>
    <n v="2"/>
    <n v="200801"/>
    <n v="40000"/>
  </r>
  <r>
    <x v="386"/>
    <x v="1"/>
    <m/>
    <x v="0"/>
    <x v="2"/>
    <x v="15"/>
    <n v="200801"/>
    <n v="200801"/>
    <m/>
    <n v="42"/>
    <n v="200801"/>
    <n v="840000"/>
  </r>
  <r>
    <x v="386"/>
    <x v="1"/>
    <m/>
    <x v="0"/>
    <x v="2"/>
    <x v="16"/>
    <n v="200801"/>
    <n v="200801"/>
    <m/>
    <n v="17"/>
    <n v="200801"/>
    <n v="595000"/>
  </r>
  <r>
    <x v="386"/>
    <x v="1"/>
    <m/>
    <x v="0"/>
    <x v="2"/>
    <x v="17"/>
    <n v="200801"/>
    <n v="200801"/>
    <m/>
    <n v="59"/>
    <n v="200801"/>
    <n v="1947000"/>
  </r>
  <r>
    <x v="386"/>
    <x v="1"/>
    <m/>
    <x v="0"/>
    <x v="2"/>
    <x v="19"/>
    <n v="200801"/>
    <n v="200801"/>
    <m/>
    <n v="24"/>
    <n v="200801"/>
    <n v="72000"/>
  </r>
  <r>
    <x v="386"/>
    <x v="1"/>
    <m/>
    <x v="5"/>
    <x v="2"/>
    <x v="28"/>
    <n v="200801"/>
    <n v="200801"/>
    <m/>
    <n v="11"/>
    <n v="200801"/>
    <n v="308000"/>
  </r>
  <r>
    <x v="386"/>
    <x v="1"/>
    <m/>
    <x v="5"/>
    <x v="2"/>
    <x v="69"/>
    <n v="200801"/>
    <n v="200801"/>
    <m/>
    <n v="1"/>
    <n v="200801"/>
    <n v="48000"/>
  </r>
  <r>
    <x v="386"/>
    <x v="1"/>
    <m/>
    <x v="22"/>
    <x v="2"/>
    <x v="29"/>
    <n v="200801"/>
    <n v="200801"/>
    <m/>
    <n v="5"/>
    <n v="200801"/>
    <n v="190000"/>
  </r>
  <r>
    <x v="386"/>
    <x v="1"/>
    <m/>
    <x v="19"/>
    <x v="2"/>
    <x v="22"/>
    <n v="200801"/>
    <n v="200801"/>
    <m/>
    <n v="6"/>
    <n v="200801"/>
    <n v="78000"/>
  </r>
  <r>
    <x v="386"/>
    <x v="1"/>
    <m/>
    <x v="19"/>
    <x v="2"/>
    <x v="23"/>
    <n v="200801"/>
    <n v="200801"/>
    <m/>
    <n v="2"/>
    <n v="200801"/>
    <n v="48000"/>
  </r>
  <r>
    <x v="386"/>
    <x v="1"/>
    <m/>
    <x v="19"/>
    <x v="2"/>
    <x v="24"/>
    <n v="200801"/>
    <n v="200801"/>
    <m/>
    <n v="1"/>
    <n v="200801"/>
    <n v="33000"/>
  </r>
  <r>
    <x v="386"/>
    <x v="1"/>
    <m/>
    <x v="33"/>
    <x v="2"/>
    <x v="92"/>
    <n v="200801"/>
    <n v="200801"/>
    <m/>
    <n v="2"/>
    <n v="200801"/>
    <n v="36400"/>
  </r>
  <r>
    <x v="387"/>
    <x v="0"/>
    <m/>
    <x v="0"/>
    <x v="1"/>
    <x v="16"/>
    <n v="200801"/>
    <n v="200801"/>
    <m/>
    <n v="7"/>
    <n v="200801"/>
    <n v="245000"/>
  </r>
  <r>
    <x v="387"/>
    <x v="0"/>
    <m/>
    <x v="0"/>
    <x v="7"/>
    <x v="15"/>
    <n v="200801"/>
    <n v="200801"/>
    <m/>
    <n v="1"/>
    <n v="200801"/>
    <n v="20000"/>
  </r>
  <r>
    <x v="387"/>
    <x v="0"/>
    <m/>
    <x v="0"/>
    <x v="5"/>
    <x v="51"/>
    <n v="200801"/>
    <n v="200801"/>
    <m/>
    <n v="20"/>
    <n v="200801"/>
    <n v="225000"/>
  </r>
  <r>
    <x v="387"/>
    <x v="0"/>
    <m/>
    <x v="5"/>
    <x v="5"/>
    <x v="53"/>
    <n v="200801"/>
    <n v="200801"/>
    <m/>
    <n v="20"/>
    <n v="200801"/>
    <n v="297000"/>
  </r>
  <r>
    <x v="387"/>
    <x v="0"/>
    <m/>
    <x v="4"/>
    <x v="5"/>
    <x v="62"/>
    <n v="200801"/>
    <n v="200801"/>
    <m/>
    <n v="8"/>
    <n v="200801"/>
    <n v="144000"/>
  </r>
  <r>
    <x v="387"/>
    <x v="0"/>
    <m/>
    <x v="6"/>
    <x v="5"/>
    <x v="49"/>
    <n v="200801"/>
    <n v="200801"/>
    <m/>
    <n v="10"/>
    <n v="200801"/>
    <n v="112500"/>
  </r>
  <r>
    <x v="387"/>
    <x v="0"/>
    <m/>
    <x v="19"/>
    <x v="5"/>
    <x v="50"/>
    <n v="200801"/>
    <n v="200801"/>
    <m/>
    <n v="20"/>
    <n v="200801"/>
    <n v="144000"/>
  </r>
  <r>
    <x v="387"/>
    <x v="0"/>
    <m/>
    <x v="6"/>
    <x v="2"/>
    <x v="37"/>
    <n v="200801"/>
    <n v="200801"/>
    <m/>
    <n v="5"/>
    <n v="200801"/>
    <n v="100000"/>
  </r>
  <r>
    <x v="387"/>
    <x v="0"/>
    <m/>
    <x v="6"/>
    <x v="2"/>
    <x v="42"/>
    <n v="200801"/>
    <n v="200801"/>
    <m/>
    <n v="1"/>
    <n v="200801"/>
    <n v="35000"/>
  </r>
  <r>
    <x v="387"/>
    <x v="0"/>
    <m/>
    <x v="1"/>
    <x v="2"/>
    <x v="18"/>
    <n v="200801"/>
    <n v="200801"/>
    <m/>
    <n v="27"/>
    <n v="200801"/>
    <n v="540000"/>
  </r>
  <r>
    <x v="387"/>
    <x v="0"/>
    <m/>
    <x v="1"/>
    <x v="2"/>
    <x v="21"/>
    <n v="200801"/>
    <n v="200801"/>
    <m/>
    <n v="4"/>
    <n v="200801"/>
    <n v="140000"/>
  </r>
  <r>
    <x v="387"/>
    <x v="0"/>
    <m/>
    <x v="4"/>
    <x v="2"/>
    <x v="26"/>
    <n v="200801"/>
    <n v="200801"/>
    <m/>
    <n v="9"/>
    <n v="200801"/>
    <n v="36000"/>
  </r>
  <r>
    <x v="387"/>
    <x v="0"/>
    <m/>
    <x v="4"/>
    <x v="2"/>
    <x v="27"/>
    <n v="200801"/>
    <n v="200801"/>
    <m/>
    <n v="2"/>
    <n v="200801"/>
    <n v="40000"/>
  </r>
  <r>
    <x v="387"/>
    <x v="0"/>
    <m/>
    <x v="0"/>
    <x v="2"/>
    <x v="15"/>
    <n v="200801"/>
    <n v="200801"/>
    <m/>
    <n v="37"/>
    <n v="200801"/>
    <n v="740000"/>
  </r>
  <r>
    <x v="387"/>
    <x v="0"/>
    <m/>
    <x v="0"/>
    <x v="2"/>
    <x v="16"/>
    <n v="200801"/>
    <n v="200801"/>
    <m/>
    <n v="11"/>
    <n v="200801"/>
    <n v="385000"/>
  </r>
  <r>
    <x v="387"/>
    <x v="0"/>
    <m/>
    <x v="0"/>
    <x v="2"/>
    <x v="17"/>
    <n v="200801"/>
    <n v="200801"/>
    <m/>
    <n v="56"/>
    <n v="200801"/>
    <n v="1848000"/>
  </r>
  <r>
    <x v="387"/>
    <x v="0"/>
    <m/>
    <x v="0"/>
    <x v="2"/>
    <x v="19"/>
    <n v="200801"/>
    <n v="200801"/>
    <m/>
    <n v="28"/>
    <n v="200801"/>
    <n v="84000"/>
  </r>
  <r>
    <x v="387"/>
    <x v="0"/>
    <m/>
    <x v="5"/>
    <x v="2"/>
    <x v="28"/>
    <n v="200801"/>
    <n v="200801"/>
    <m/>
    <n v="13"/>
    <n v="200801"/>
    <n v="364000"/>
  </r>
  <r>
    <x v="387"/>
    <x v="0"/>
    <m/>
    <x v="5"/>
    <x v="2"/>
    <x v="69"/>
    <n v="200801"/>
    <n v="200801"/>
    <m/>
    <n v="6"/>
    <n v="200801"/>
    <n v="288000"/>
  </r>
  <r>
    <x v="387"/>
    <x v="0"/>
    <m/>
    <x v="22"/>
    <x v="2"/>
    <x v="29"/>
    <n v="200801"/>
    <n v="200801"/>
    <m/>
    <n v="1"/>
    <n v="200801"/>
    <n v="38000"/>
  </r>
  <r>
    <x v="387"/>
    <x v="0"/>
    <m/>
    <x v="19"/>
    <x v="2"/>
    <x v="22"/>
    <n v="200801"/>
    <n v="200801"/>
    <m/>
    <n v="9"/>
    <n v="200801"/>
    <n v="117000"/>
  </r>
  <r>
    <x v="387"/>
    <x v="0"/>
    <m/>
    <x v="19"/>
    <x v="2"/>
    <x v="23"/>
    <n v="200801"/>
    <n v="200801"/>
    <m/>
    <n v="2"/>
    <n v="200801"/>
    <n v="48000"/>
  </r>
  <r>
    <x v="387"/>
    <x v="0"/>
    <m/>
    <x v="19"/>
    <x v="2"/>
    <x v="24"/>
    <n v="200801"/>
    <n v="200801"/>
    <m/>
    <n v="1"/>
    <n v="200801"/>
    <n v="33000"/>
  </r>
  <r>
    <x v="387"/>
    <x v="0"/>
    <m/>
    <x v="33"/>
    <x v="2"/>
    <x v="92"/>
    <n v="200801"/>
    <n v="200801"/>
    <m/>
    <n v="1"/>
    <n v="200801"/>
    <n v="18200"/>
  </r>
  <r>
    <x v="387"/>
    <x v="0"/>
    <m/>
    <x v="6"/>
    <x v="9"/>
    <x v="37"/>
    <n v="200801"/>
    <n v="200801"/>
    <m/>
    <n v="1"/>
    <n v="200801"/>
    <n v="20000"/>
  </r>
  <r>
    <x v="390"/>
    <x v="6"/>
    <m/>
    <x v="0"/>
    <x v="6"/>
    <x v="15"/>
    <n v="200801"/>
    <n v="200801"/>
    <m/>
    <n v="92"/>
    <n v="200801"/>
    <n v="834256"/>
  </r>
  <r>
    <x v="390"/>
    <x v="6"/>
    <m/>
    <x v="0"/>
    <x v="6"/>
    <x v="17"/>
    <n v="200801"/>
    <n v="200801"/>
    <m/>
    <n v="432"/>
    <n v="200801"/>
    <n v="6833376"/>
  </r>
  <r>
    <x v="390"/>
    <x v="6"/>
    <m/>
    <x v="4"/>
    <x v="6"/>
    <x v="26"/>
    <n v="200801"/>
    <n v="200801"/>
    <m/>
    <n v="459"/>
    <n v="200801"/>
    <n v="492507"/>
  </r>
  <r>
    <x v="390"/>
    <x v="6"/>
    <m/>
    <x v="26"/>
    <x v="6"/>
    <x v="35"/>
    <n v="200801"/>
    <n v="200801"/>
    <m/>
    <n v="33"/>
    <n v="200801"/>
    <n v="565323"/>
  </r>
  <r>
    <x v="390"/>
    <x v="6"/>
    <m/>
    <x v="22"/>
    <x v="6"/>
    <x v="29"/>
    <n v="200801"/>
    <n v="200801"/>
    <m/>
    <n v="28"/>
    <n v="200801"/>
    <n v="551348"/>
  </r>
  <r>
    <x v="390"/>
    <x v="6"/>
    <m/>
    <x v="24"/>
    <x v="6"/>
    <x v="31"/>
    <n v="200801"/>
    <n v="200801"/>
    <m/>
    <n v="92"/>
    <n v="200801"/>
    <n v="1368684"/>
  </r>
  <r>
    <x v="390"/>
    <x v="6"/>
    <m/>
    <x v="23"/>
    <x v="6"/>
    <x v="30"/>
    <n v="200801"/>
    <n v="200801"/>
    <m/>
    <n v="6"/>
    <n v="200801"/>
    <n v="41784"/>
  </r>
  <r>
    <x v="390"/>
    <x v="6"/>
    <m/>
    <x v="19"/>
    <x v="6"/>
    <x v="22"/>
    <n v="200801"/>
    <n v="200801"/>
    <m/>
    <n v="53"/>
    <n v="200801"/>
    <n v="359923"/>
  </r>
  <r>
    <x v="390"/>
    <x v="6"/>
    <m/>
    <x v="6"/>
    <x v="6"/>
    <x v="37"/>
    <n v="200801"/>
    <n v="200801"/>
    <m/>
    <n v="16"/>
    <n v="200801"/>
    <n v="160000"/>
  </r>
  <r>
    <x v="390"/>
    <x v="6"/>
    <m/>
    <x v="28"/>
    <x v="6"/>
    <x v="39"/>
    <n v="200801"/>
    <n v="200801"/>
    <m/>
    <n v="5"/>
    <n v="200801"/>
    <n v="79090"/>
  </r>
  <r>
    <x v="390"/>
    <x v="6"/>
    <m/>
    <x v="4"/>
    <x v="6"/>
    <x v="66"/>
    <n v="200801"/>
    <n v="200801"/>
    <m/>
    <n v="37"/>
    <n v="200801"/>
    <n v="207089"/>
  </r>
  <r>
    <x v="390"/>
    <x v="6"/>
    <m/>
    <x v="33"/>
    <x v="6"/>
    <x v="106"/>
    <n v="200801"/>
    <n v="200801"/>
    <m/>
    <n v="13"/>
    <n v="200801"/>
    <n v="126750"/>
  </r>
  <r>
    <x v="390"/>
    <x v="6"/>
    <m/>
    <x v="31"/>
    <x v="6"/>
    <x v="103"/>
    <n v="200801"/>
    <n v="200801"/>
    <m/>
    <n v="61"/>
    <n v="200801"/>
    <n v="683200"/>
  </r>
  <r>
    <x v="390"/>
    <x v="6"/>
    <m/>
    <x v="30"/>
    <x v="6"/>
    <x v="104"/>
    <n v="200801"/>
    <n v="200801"/>
    <m/>
    <n v="101"/>
    <n v="200801"/>
    <n v="1131200"/>
  </r>
  <r>
    <x v="390"/>
    <x v="6"/>
    <m/>
    <x v="5"/>
    <x v="6"/>
    <x v="28"/>
    <n v="200801"/>
    <n v="200801"/>
    <m/>
    <n v="13"/>
    <n v="200801"/>
    <n v="189800"/>
  </r>
  <r>
    <x v="388"/>
    <x v="2"/>
    <m/>
    <x v="0"/>
    <x v="1"/>
    <x v="15"/>
    <n v="200801"/>
    <n v="200801"/>
    <m/>
    <n v="1"/>
    <n v="200801"/>
    <n v="20000"/>
  </r>
  <r>
    <x v="388"/>
    <x v="2"/>
    <m/>
    <x v="0"/>
    <x v="1"/>
    <x v="16"/>
    <n v="200801"/>
    <n v="200801"/>
    <m/>
    <n v="3"/>
    <n v="200801"/>
    <n v="105000"/>
  </r>
  <r>
    <x v="388"/>
    <x v="2"/>
    <m/>
    <x v="0"/>
    <x v="7"/>
    <x v="15"/>
    <n v="200801"/>
    <n v="200801"/>
    <m/>
    <n v="1"/>
    <n v="200801"/>
    <n v="20000"/>
  </r>
  <r>
    <x v="388"/>
    <x v="2"/>
    <m/>
    <x v="6"/>
    <x v="2"/>
    <x v="37"/>
    <n v="200801"/>
    <n v="200801"/>
    <m/>
    <n v="2"/>
    <n v="200801"/>
    <n v="40000"/>
  </r>
  <r>
    <x v="388"/>
    <x v="2"/>
    <m/>
    <x v="6"/>
    <x v="2"/>
    <x v="42"/>
    <n v="200801"/>
    <n v="200801"/>
    <m/>
    <n v="1"/>
    <n v="200801"/>
    <n v="35000"/>
  </r>
  <r>
    <x v="388"/>
    <x v="2"/>
    <m/>
    <x v="25"/>
    <x v="2"/>
    <x v="34"/>
    <n v="200801"/>
    <n v="200801"/>
    <m/>
    <n v="1"/>
    <n v="200801"/>
    <n v="99000"/>
  </r>
  <r>
    <x v="388"/>
    <x v="2"/>
    <m/>
    <x v="31"/>
    <x v="2"/>
    <x v="95"/>
    <n v="200801"/>
    <n v="200801"/>
    <m/>
    <n v="11"/>
    <n v="200801"/>
    <n v="246400"/>
  </r>
  <r>
    <x v="388"/>
    <x v="2"/>
    <m/>
    <x v="31"/>
    <x v="2"/>
    <x v="96"/>
    <n v="200801"/>
    <n v="200801"/>
    <m/>
    <n v="8"/>
    <n v="200801"/>
    <n v="313600"/>
  </r>
  <r>
    <x v="388"/>
    <x v="2"/>
    <m/>
    <x v="32"/>
    <x v="2"/>
    <x v="97"/>
    <n v="200801"/>
    <n v="200801"/>
    <m/>
    <n v="5"/>
    <n v="200801"/>
    <n v="185500"/>
  </r>
  <r>
    <x v="388"/>
    <x v="2"/>
    <m/>
    <x v="1"/>
    <x v="2"/>
    <x v="18"/>
    <n v="200801"/>
    <n v="200801"/>
    <m/>
    <n v="12"/>
    <n v="200801"/>
    <n v="240000"/>
  </r>
  <r>
    <x v="388"/>
    <x v="2"/>
    <m/>
    <x v="1"/>
    <x v="2"/>
    <x v="21"/>
    <n v="200801"/>
    <n v="200801"/>
    <m/>
    <n v="3"/>
    <n v="200801"/>
    <n v="105000"/>
  </r>
  <r>
    <x v="388"/>
    <x v="2"/>
    <m/>
    <x v="4"/>
    <x v="2"/>
    <x v="27"/>
    <n v="200801"/>
    <n v="200801"/>
    <m/>
    <n v="3"/>
    <n v="200801"/>
    <n v="60000"/>
  </r>
  <r>
    <x v="388"/>
    <x v="2"/>
    <m/>
    <x v="0"/>
    <x v="2"/>
    <x v="15"/>
    <n v="200801"/>
    <n v="200801"/>
    <m/>
    <n v="20"/>
    <n v="200801"/>
    <n v="400000"/>
  </r>
  <r>
    <x v="388"/>
    <x v="2"/>
    <m/>
    <x v="0"/>
    <x v="2"/>
    <x v="16"/>
    <n v="200801"/>
    <n v="200801"/>
    <m/>
    <n v="31"/>
    <n v="200801"/>
    <n v="1085000"/>
  </r>
  <r>
    <x v="388"/>
    <x v="2"/>
    <m/>
    <x v="0"/>
    <x v="2"/>
    <x v="17"/>
    <n v="200801"/>
    <n v="200801"/>
    <m/>
    <n v="37"/>
    <n v="200801"/>
    <n v="1221000"/>
  </r>
  <r>
    <x v="388"/>
    <x v="2"/>
    <m/>
    <x v="0"/>
    <x v="2"/>
    <x v="19"/>
    <n v="200801"/>
    <n v="200801"/>
    <m/>
    <n v="12"/>
    <n v="200801"/>
    <n v="36000"/>
  </r>
  <r>
    <x v="388"/>
    <x v="2"/>
    <m/>
    <x v="5"/>
    <x v="2"/>
    <x v="28"/>
    <n v="200801"/>
    <n v="200801"/>
    <m/>
    <n v="6"/>
    <n v="200801"/>
    <n v="168000"/>
  </r>
  <r>
    <x v="388"/>
    <x v="2"/>
    <m/>
    <x v="5"/>
    <x v="2"/>
    <x v="69"/>
    <n v="200801"/>
    <n v="200801"/>
    <m/>
    <n v="3"/>
    <n v="200801"/>
    <n v="144000"/>
  </r>
  <r>
    <x v="388"/>
    <x v="2"/>
    <m/>
    <x v="22"/>
    <x v="2"/>
    <x v="29"/>
    <n v="200801"/>
    <n v="200801"/>
    <m/>
    <n v="5"/>
    <n v="200801"/>
    <n v="190000"/>
  </r>
  <r>
    <x v="388"/>
    <x v="2"/>
    <m/>
    <x v="19"/>
    <x v="2"/>
    <x v="22"/>
    <n v="200801"/>
    <n v="200801"/>
    <m/>
    <n v="3"/>
    <n v="200801"/>
    <n v="39000"/>
  </r>
  <r>
    <x v="388"/>
    <x v="2"/>
    <m/>
    <x v="1"/>
    <x v="9"/>
    <x v="18"/>
    <n v="200801"/>
    <n v="200801"/>
    <m/>
    <n v="1"/>
    <n v="200801"/>
    <n v="20000"/>
  </r>
  <r>
    <x v="389"/>
    <x v="5"/>
    <m/>
    <x v="0"/>
    <x v="7"/>
    <x v="15"/>
    <n v="200801"/>
    <n v="200801"/>
    <m/>
    <n v="6"/>
    <n v="200801"/>
    <n v="120000"/>
  </r>
  <r>
    <x v="389"/>
    <x v="5"/>
    <m/>
    <x v="6"/>
    <x v="2"/>
    <x v="37"/>
    <n v="200801"/>
    <n v="200801"/>
    <m/>
    <n v="1"/>
    <n v="200801"/>
    <n v="20000"/>
  </r>
  <r>
    <x v="389"/>
    <x v="5"/>
    <m/>
    <x v="25"/>
    <x v="2"/>
    <x v="34"/>
    <n v="200801"/>
    <n v="200801"/>
    <m/>
    <n v="3"/>
    <n v="200801"/>
    <n v="297000"/>
  </r>
  <r>
    <x v="389"/>
    <x v="5"/>
    <m/>
    <x v="31"/>
    <x v="2"/>
    <x v="95"/>
    <n v="200801"/>
    <n v="200801"/>
    <m/>
    <n v="26"/>
    <n v="200801"/>
    <n v="582400"/>
  </r>
  <r>
    <x v="389"/>
    <x v="5"/>
    <m/>
    <x v="31"/>
    <x v="2"/>
    <x v="96"/>
    <n v="200801"/>
    <n v="200801"/>
    <m/>
    <n v="18"/>
    <n v="200801"/>
    <n v="705600"/>
  </r>
  <r>
    <x v="389"/>
    <x v="5"/>
    <m/>
    <x v="32"/>
    <x v="2"/>
    <x v="97"/>
    <n v="200801"/>
    <n v="200801"/>
    <m/>
    <n v="13"/>
    <n v="200801"/>
    <n v="482300"/>
  </r>
  <r>
    <x v="389"/>
    <x v="5"/>
    <m/>
    <x v="1"/>
    <x v="2"/>
    <x v="18"/>
    <n v="200801"/>
    <n v="200801"/>
    <m/>
    <n v="12"/>
    <n v="200801"/>
    <n v="240000"/>
  </r>
  <r>
    <x v="389"/>
    <x v="5"/>
    <m/>
    <x v="1"/>
    <x v="2"/>
    <x v="21"/>
    <n v="200801"/>
    <n v="200801"/>
    <m/>
    <n v="5"/>
    <n v="200801"/>
    <n v="175000"/>
  </r>
  <r>
    <x v="389"/>
    <x v="5"/>
    <m/>
    <x v="4"/>
    <x v="2"/>
    <x v="26"/>
    <n v="200801"/>
    <n v="200801"/>
    <m/>
    <n v="5"/>
    <n v="200801"/>
    <n v="20000"/>
  </r>
  <r>
    <x v="389"/>
    <x v="5"/>
    <m/>
    <x v="4"/>
    <x v="2"/>
    <x v="27"/>
    <n v="200801"/>
    <n v="200801"/>
    <m/>
    <n v="6"/>
    <n v="200801"/>
    <n v="120000"/>
  </r>
  <r>
    <x v="389"/>
    <x v="5"/>
    <m/>
    <x v="0"/>
    <x v="2"/>
    <x v="15"/>
    <n v="200801"/>
    <n v="200801"/>
    <m/>
    <n v="13"/>
    <n v="200801"/>
    <n v="260000"/>
  </r>
  <r>
    <x v="389"/>
    <x v="5"/>
    <m/>
    <x v="0"/>
    <x v="2"/>
    <x v="16"/>
    <n v="200801"/>
    <n v="200801"/>
    <m/>
    <n v="7"/>
    <n v="200801"/>
    <n v="245000"/>
  </r>
  <r>
    <x v="389"/>
    <x v="5"/>
    <m/>
    <x v="0"/>
    <x v="2"/>
    <x v="17"/>
    <n v="200801"/>
    <n v="200801"/>
    <m/>
    <n v="41"/>
    <n v="200801"/>
    <n v="1353000"/>
  </r>
  <r>
    <x v="389"/>
    <x v="5"/>
    <m/>
    <x v="0"/>
    <x v="2"/>
    <x v="19"/>
    <n v="200801"/>
    <n v="200801"/>
    <m/>
    <n v="21"/>
    <n v="200801"/>
    <n v="63000"/>
  </r>
  <r>
    <x v="389"/>
    <x v="5"/>
    <m/>
    <x v="5"/>
    <x v="2"/>
    <x v="28"/>
    <n v="200801"/>
    <n v="200801"/>
    <m/>
    <n v="17"/>
    <n v="200801"/>
    <n v="476000"/>
  </r>
  <r>
    <x v="389"/>
    <x v="5"/>
    <m/>
    <x v="5"/>
    <x v="2"/>
    <x v="69"/>
    <n v="200801"/>
    <n v="200801"/>
    <m/>
    <n v="3"/>
    <n v="200801"/>
    <n v="144000"/>
  </r>
  <r>
    <x v="389"/>
    <x v="5"/>
    <m/>
    <x v="22"/>
    <x v="2"/>
    <x v="29"/>
    <n v="200801"/>
    <n v="200801"/>
    <m/>
    <n v="5"/>
    <n v="200801"/>
    <n v="190000"/>
  </r>
  <r>
    <x v="389"/>
    <x v="5"/>
    <m/>
    <x v="19"/>
    <x v="2"/>
    <x v="22"/>
    <n v="200801"/>
    <n v="200801"/>
    <m/>
    <n v="10"/>
    <n v="200801"/>
    <n v="130000"/>
  </r>
  <r>
    <x v="389"/>
    <x v="5"/>
    <m/>
    <x v="19"/>
    <x v="2"/>
    <x v="24"/>
    <n v="200801"/>
    <n v="200801"/>
    <m/>
    <n v="2"/>
    <n v="200801"/>
    <n v="66000"/>
  </r>
  <r>
    <x v="389"/>
    <x v="5"/>
    <m/>
    <x v="33"/>
    <x v="2"/>
    <x v="92"/>
    <n v="200801"/>
    <n v="200801"/>
    <m/>
    <n v="2"/>
    <n v="200801"/>
    <n v="36400"/>
  </r>
  <r>
    <x v="389"/>
    <x v="5"/>
    <m/>
    <x v="0"/>
    <x v="9"/>
    <x v="15"/>
    <n v="200801"/>
    <n v="200801"/>
    <m/>
    <n v="2"/>
    <n v="200801"/>
    <n v="40000"/>
  </r>
  <r>
    <x v="390"/>
    <x v="6"/>
    <m/>
    <x v="0"/>
    <x v="7"/>
    <x v="15"/>
    <n v="200801"/>
    <n v="200801"/>
    <m/>
    <n v="2"/>
    <n v="200801"/>
    <n v="40000"/>
  </r>
  <r>
    <x v="390"/>
    <x v="6"/>
    <m/>
    <x v="6"/>
    <x v="2"/>
    <x v="37"/>
    <n v="200801"/>
    <n v="200801"/>
    <m/>
    <n v="5"/>
    <n v="200801"/>
    <n v="100000"/>
  </r>
  <r>
    <x v="390"/>
    <x v="6"/>
    <m/>
    <x v="25"/>
    <x v="2"/>
    <x v="34"/>
    <n v="200801"/>
    <n v="200801"/>
    <m/>
    <n v="5"/>
    <n v="200801"/>
    <n v="495000"/>
  </r>
  <r>
    <x v="390"/>
    <x v="6"/>
    <m/>
    <x v="31"/>
    <x v="2"/>
    <x v="95"/>
    <n v="200801"/>
    <n v="200801"/>
    <m/>
    <n v="22"/>
    <n v="200801"/>
    <n v="492800"/>
  </r>
  <r>
    <x v="390"/>
    <x v="6"/>
    <m/>
    <x v="31"/>
    <x v="2"/>
    <x v="96"/>
    <n v="200801"/>
    <n v="200801"/>
    <m/>
    <n v="17"/>
    <n v="200801"/>
    <n v="666400"/>
  </r>
  <r>
    <x v="390"/>
    <x v="6"/>
    <m/>
    <x v="32"/>
    <x v="2"/>
    <x v="97"/>
    <n v="200801"/>
    <n v="200801"/>
    <m/>
    <n v="17"/>
    <n v="200801"/>
    <n v="630700"/>
  </r>
  <r>
    <x v="390"/>
    <x v="6"/>
    <m/>
    <x v="1"/>
    <x v="2"/>
    <x v="18"/>
    <n v="200801"/>
    <n v="200801"/>
    <m/>
    <n v="8"/>
    <n v="200801"/>
    <n v="160000"/>
  </r>
  <r>
    <x v="390"/>
    <x v="6"/>
    <m/>
    <x v="1"/>
    <x v="2"/>
    <x v="21"/>
    <n v="200801"/>
    <n v="200801"/>
    <m/>
    <n v="1"/>
    <n v="200801"/>
    <n v="35000"/>
  </r>
  <r>
    <x v="390"/>
    <x v="6"/>
    <m/>
    <x v="4"/>
    <x v="2"/>
    <x v="27"/>
    <n v="200801"/>
    <n v="200801"/>
    <m/>
    <n v="4"/>
    <n v="200801"/>
    <n v="80000"/>
  </r>
  <r>
    <x v="390"/>
    <x v="6"/>
    <m/>
    <x v="0"/>
    <x v="2"/>
    <x v="15"/>
    <n v="200801"/>
    <n v="200801"/>
    <m/>
    <n v="38"/>
    <n v="200801"/>
    <n v="760000"/>
  </r>
  <r>
    <x v="390"/>
    <x v="6"/>
    <m/>
    <x v="0"/>
    <x v="2"/>
    <x v="16"/>
    <n v="200801"/>
    <n v="200801"/>
    <m/>
    <n v="3"/>
    <n v="200801"/>
    <n v="105000"/>
  </r>
  <r>
    <x v="390"/>
    <x v="6"/>
    <m/>
    <x v="0"/>
    <x v="2"/>
    <x v="17"/>
    <n v="200801"/>
    <n v="200801"/>
    <m/>
    <n v="55"/>
    <n v="200801"/>
    <n v="1815000"/>
  </r>
  <r>
    <x v="390"/>
    <x v="6"/>
    <m/>
    <x v="0"/>
    <x v="2"/>
    <x v="19"/>
    <n v="200801"/>
    <n v="200801"/>
    <m/>
    <n v="27"/>
    <n v="200801"/>
    <n v="81000"/>
  </r>
  <r>
    <x v="390"/>
    <x v="6"/>
    <m/>
    <x v="5"/>
    <x v="2"/>
    <x v="28"/>
    <n v="200801"/>
    <n v="200801"/>
    <m/>
    <n v="13"/>
    <n v="200801"/>
    <n v="364000"/>
  </r>
  <r>
    <x v="390"/>
    <x v="6"/>
    <m/>
    <x v="5"/>
    <x v="2"/>
    <x v="69"/>
    <n v="200801"/>
    <n v="200801"/>
    <m/>
    <n v="3"/>
    <n v="200801"/>
    <n v="144000"/>
  </r>
  <r>
    <x v="390"/>
    <x v="6"/>
    <m/>
    <x v="22"/>
    <x v="2"/>
    <x v="29"/>
    <n v="200801"/>
    <n v="200801"/>
    <m/>
    <n v="11"/>
    <n v="200801"/>
    <n v="418000"/>
  </r>
  <r>
    <x v="390"/>
    <x v="6"/>
    <m/>
    <x v="19"/>
    <x v="2"/>
    <x v="22"/>
    <n v="200801"/>
    <n v="200801"/>
    <m/>
    <n v="9"/>
    <n v="200801"/>
    <n v="117000"/>
  </r>
  <r>
    <x v="390"/>
    <x v="6"/>
    <m/>
    <x v="19"/>
    <x v="2"/>
    <x v="23"/>
    <n v="200801"/>
    <n v="200801"/>
    <m/>
    <n v="5"/>
    <n v="200801"/>
    <n v="120000"/>
  </r>
  <r>
    <x v="390"/>
    <x v="6"/>
    <m/>
    <x v="19"/>
    <x v="2"/>
    <x v="24"/>
    <n v="200801"/>
    <n v="200801"/>
    <m/>
    <n v="2"/>
    <n v="200801"/>
    <n v="66000"/>
  </r>
  <r>
    <x v="390"/>
    <x v="6"/>
    <m/>
    <x v="33"/>
    <x v="2"/>
    <x v="92"/>
    <n v="200801"/>
    <n v="200801"/>
    <m/>
    <n v="1"/>
    <n v="200801"/>
    <n v="18200"/>
  </r>
  <r>
    <x v="390"/>
    <x v="6"/>
    <m/>
    <x v="33"/>
    <x v="2"/>
    <x v="93"/>
    <n v="200801"/>
    <n v="200801"/>
    <m/>
    <n v="2"/>
    <n v="200801"/>
    <n v="67600"/>
  </r>
  <r>
    <x v="390"/>
    <x v="6"/>
    <m/>
    <x v="5"/>
    <x v="9"/>
    <x v="28"/>
    <n v="200801"/>
    <n v="200801"/>
    <m/>
    <n v="1"/>
    <n v="200801"/>
    <n v="28000"/>
  </r>
  <r>
    <x v="390"/>
    <x v="6"/>
    <m/>
    <x v="0"/>
    <x v="9"/>
    <x v="15"/>
    <n v="200801"/>
    <n v="200801"/>
    <m/>
    <n v="1"/>
    <n v="200801"/>
    <n v="20000"/>
  </r>
  <r>
    <x v="390"/>
    <x v="6"/>
    <m/>
    <x v="19"/>
    <x v="9"/>
    <x v="22"/>
    <n v="200801"/>
    <n v="200801"/>
    <m/>
    <n v="1"/>
    <n v="200801"/>
    <n v="13000"/>
  </r>
  <r>
    <x v="391"/>
    <x v="3"/>
    <m/>
    <x v="0"/>
    <x v="1"/>
    <x v="15"/>
    <n v="200801"/>
    <n v="200801"/>
    <m/>
    <n v="2"/>
    <n v="200801"/>
    <n v="40000"/>
  </r>
  <r>
    <x v="391"/>
    <x v="3"/>
    <m/>
    <x v="0"/>
    <x v="1"/>
    <x v="16"/>
    <n v="200801"/>
    <n v="200801"/>
    <m/>
    <n v="19"/>
    <n v="200801"/>
    <n v="665000"/>
  </r>
  <r>
    <x v="391"/>
    <x v="3"/>
    <m/>
    <x v="0"/>
    <x v="7"/>
    <x v="15"/>
    <n v="200801"/>
    <n v="200801"/>
    <m/>
    <n v="3"/>
    <n v="200801"/>
    <n v="60000"/>
  </r>
  <r>
    <x v="391"/>
    <x v="3"/>
    <m/>
    <x v="31"/>
    <x v="3"/>
    <x v="88"/>
    <n v="200801"/>
    <n v="200801"/>
    <m/>
    <n v="45"/>
    <n v="200801"/>
    <n v="0"/>
  </r>
  <r>
    <x v="391"/>
    <x v="3"/>
    <m/>
    <x v="0"/>
    <x v="3"/>
    <x v="15"/>
    <n v="200801"/>
    <n v="200801"/>
    <m/>
    <n v="25"/>
    <n v="200801"/>
    <n v="0"/>
  </r>
  <r>
    <x v="391"/>
    <x v="3"/>
    <m/>
    <x v="5"/>
    <x v="3"/>
    <x v="28"/>
    <n v="200801"/>
    <n v="200801"/>
    <m/>
    <n v="25"/>
    <n v="200801"/>
    <n v="0"/>
  </r>
  <r>
    <x v="391"/>
    <x v="3"/>
    <m/>
    <x v="22"/>
    <x v="3"/>
    <x v="29"/>
    <n v="200801"/>
    <n v="200801"/>
    <m/>
    <n v="25"/>
    <n v="200801"/>
    <n v="0"/>
  </r>
  <r>
    <x v="391"/>
    <x v="3"/>
    <m/>
    <x v="6"/>
    <x v="2"/>
    <x v="37"/>
    <n v="200801"/>
    <n v="200801"/>
    <m/>
    <n v="6"/>
    <n v="200801"/>
    <n v="120000"/>
  </r>
  <r>
    <x v="391"/>
    <x v="3"/>
    <m/>
    <x v="25"/>
    <x v="2"/>
    <x v="34"/>
    <n v="200801"/>
    <n v="200801"/>
    <m/>
    <n v="4"/>
    <n v="200801"/>
    <n v="396000"/>
  </r>
  <r>
    <x v="391"/>
    <x v="3"/>
    <m/>
    <x v="31"/>
    <x v="2"/>
    <x v="95"/>
    <n v="200801"/>
    <n v="200801"/>
    <m/>
    <n v="45"/>
    <n v="200801"/>
    <n v="1008000"/>
  </r>
  <r>
    <x v="391"/>
    <x v="3"/>
    <m/>
    <x v="31"/>
    <x v="2"/>
    <x v="96"/>
    <n v="200801"/>
    <n v="200801"/>
    <m/>
    <n v="117"/>
    <n v="200801"/>
    <n v="4586400"/>
  </r>
  <r>
    <x v="391"/>
    <x v="3"/>
    <m/>
    <x v="32"/>
    <x v="2"/>
    <x v="97"/>
    <n v="200801"/>
    <n v="200801"/>
    <m/>
    <n v="53"/>
    <n v="200801"/>
    <n v="1966300"/>
  </r>
  <r>
    <x v="391"/>
    <x v="3"/>
    <m/>
    <x v="1"/>
    <x v="2"/>
    <x v="18"/>
    <n v="200801"/>
    <n v="200801"/>
    <m/>
    <n v="13"/>
    <n v="200801"/>
    <n v="260000"/>
  </r>
  <r>
    <x v="391"/>
    <x v="3"/>
    <m/>
    <x v="1"/>
    <x v="2"/>
    <x v="21"/>
    <n v="200801"/>
    <n v="200801"/>
    <m/>
    <n v="6"/>
    <n v="200801"/>
    <n v="210000"/>
  </r>
  <r>
    <x v="391"/>
    <x v="3"/>
    <m/>
    <x v="4"/>
    <x v="2"/>
    <x v="26"/>
    <n v="200801"/>
    <n v="200801"/>
    <m/>
    <n v="5"/>
    <n v="200801"/>
    <n v="20000"/>
  </r>
  <r>
    <x v="391"/>
    <x v="3"/>
    <m/>
    <x v="4"/>
    <x v="2"/>
    <x v="27"/>
    <n v="200801"/>
    <n v="200801"/>
    <m/>
    <n v="14"/>
    <n v="200801"/>
    <n v="280000"/>
  </r>
  <r>
    <x v="391"/>
    <x v="3"/>
    <m/>
    <x v="0"/>
    <x v="2"/>
    <x v="15"/>
    <n v="200801"/>
    <n v="200801"/>
    <m/>
    <n v="35"/>
    <n v="200801"/>
    <n v="700000"/>
  </r>
  <r>
    <x v="391"/>
    <x v="3"/>
    <m/>
    <x v="0"/>
    <x v="2"/>
    <x v="16"/>
    <n v="200801"/>
    <n v="200801"/>
    <m/>
    <n v="17"/>
    <n v="200801"/>
    <n v="595000"/>
  </r>
  <r>
    <x v="391"/>
    <x v="3"/>
    <m/>
    <x v="0"/>
    <x v="2"/>
    <x v="17"/>
    <n v="200801"/>
    <n v="200801"/>
    <m/>
    <n v="73"/>
    <n v="200801"/>
    <n v="2409000"/>
  </r>
  <r>
    <x v="391"/>
    <x v="3"/>
    <m/>
    <x v="0"/>
    <x v="2"/>
    <x v="19"/>
    <n v="200801"/>
    <n v="200801"/>
    <m/>
    <n v="47"/>
    <n v="200801"/>
    <n v="141000"/>
  </r>
  <r>
    <x v="391"/>
    <x v="3"/>
    <m/>
    <x v="5"/>
    <x v="2"/>
    <x v="28"/>
    <n v="200801"/>
    <n v="200801"/>
    <m/>
    <n v="18"/>
    <n v="200801"/>
    <n v="504000"/>
  </r>
  <r>
    <x v="391"/>
    <x v="3"/>
    <m/>
    <x v="5"/>
    <x v="2"/>
    <x v="69"/>
    <n v="200801"/>
    <n v="200801"/>
    <m/>
    <n v="13"/>
    <n v="200801"/>
    <n v="624000"/>
  </r>
  <r>
    <x v="391"/>
    <x v="3"/>
    <m/>
    <x v="22"/>
    <x v="2"/>
    <x v="29"/>
    <n v="200801"/>
    <n v="200801"/>
    <m/>
    <n v="8"/>
    <n v="200801"/>
    <n v="304000"/>
  </r>
  <r>
    <x v="391"/>
    <x v="3"/>
    <m/>
    <x v="19"/>
    <x v="2"/>
    <x v="22"/>
    <n v="200801"/>
    <n v="200801"/>
    <m/>
    <n v="16"/>
    <n v="200801"/>
    <n v="208000"/>
  </r>
  <r>
    <x v="391"/>
    <x v="3"/>
    <m/>
    <x v="19"/>
    <x v="2"/>
    <x v="23"/>
    <n v="200801"/>
    <n v="200801"/>
    <m/>
    <n v="6"/>
    <n v="200801"/>
    <n v="144000"/>
  </r>
  <r>
    <x v="391"/>
    <x v="3"/>
    <m/>
    <x v="19"/>
    <x v="2"/>
    <x v="24"/>
    <n v="200801"/>
    <n v="200801"/>
    <m/>
    <n v="3"/>
    <n v="200801"/>
    <n v="99000"/>
  </r>
  <r>
    <x v="391"/>
    <x v="3"/>
    <m/>
    <x v="33"/>
    <x v="2"/>
    <x v="92"/>
    <n v="200801"/>
    <n v="200801"/>
    <m/>
    <n v="2"/>
    <n v="200801"/>
    <n v="36400"/>
  </r>
  <r>
    <x v="391"/>
    <x v="3"/>
    <m/>
    <x v="5"/>
    <x v="9"/>
    <x v="28"/>
    <n v="200801"/>
    <n v="200801"/>
    <m/>
    <n v="1"/>
    <n v="200801"/>
    <n v="28000"/>
  </r>
  <r>
    <x v="391"/>
    <x v="3"/>
    <m/>
    <x v="0"/>
    <x v="9"/>
    <x v="15"/>
    <n v="200801"/>
    <n v="200801"/>
    <m/>
    <n v="6"/>
    <n v="200801"/>
    <n v="120000"/>
  </r>
  <r>
    <x v="392"/>
    <x v="4"/>
    <m/>
    <x v="0"/>
    <x v="1"/>
    <x v="15"/>
    <n v="200801"/>
    <n v="200801"/>
    <m/>
    <n v="1"/>
    <n v="200801"/>
    <n v="20000"/>
  </r>
  <r>
    <x v="392"/>
    <x v="4"/>
    <m/>
    <x v="0"/>
    <x v="1"/>
    <x v="16"/>
    <n v="200801"/>
    <n v="200801"/>
    <m/>
    <n v="9"/>
    <n v="200801"/>
    <n v="315000"/>
  </r>
  <r>
    <x v="392"/>
    <x v="4"/>
    <m/>
    <x v="0"/>
    <x v="5"/>
    <x v="51"/>
    <n v="200801"/>
    <n v="200801"/>
    <m/>
    <n v="20"/>
    <n v="200801"/>
    <n v="225000"/>
  </r>
  <r>
    <x v="392"/>
    <x v="4"/>
    <m/>
    <x v="5"/>
    <x v="5"/>
    <x v="53"/>
    <n v="200801"/>
    <n v="200801"/>
    <m/>
    <n v="20"/>
    <n v="200801"/>
    <n v="297000"/>
  </r>
  <r>
    <x v="392"/>
    <x v="4"/>
    <m/>
    <x v="1"/>
    <x v="5"/>
    <x v="63"/>
    <n v="200801"/>
    <n v="200801"/>
    <m/>
    <n v="10"/>
    <n v="200801"/>
    <n v="112500"/>
  </r>
  <r>
    <x v="392"/>
    <x v="4"/>
    <m/>
    <x v="4"/>
    <x v="5"/>
    <x v="62"/>
    <n v="200801"/>
    <n v="200801"/>
    <m/>
    <n v="5"/>
    <n v="200801"/>
    <n v="90000"/>
  </r>
  <r>
    <x v="392"/>
    <x v="4"/>
    <m/>
    <x v="0"/>
    <x v="7"/>
    <x v="15"/>
    <n v="200801"/>
    <n v="200801"/>
    <m/>
    <n v="3"/>
    <n v="200801"/>
    <n v="60000"/>
  </r>
  <r>
    <x v="392"/>
    <x v="4"/>
    <m/>
    <x v="6"/>
    <x v="2"/>
    <x v="37"/>
    <n v="200801"/>
    <n v="200801"/>
    <m/>
    <n v="2"/>
    <n v="200801"/>
    <n v="40000"/>
  </r>
  <r>
    <x v="392"/>
    <x v="4"/>
    <m/>
    <x v="6"/>
    <x v="2"/>
    <x v="42"/>
    <n v="200801"/>
    <n v="200801"/>
    <m/>
    <n v="2"/>
    <n v="200801"/>
    <n v="70000"/>
  </r>
  <r>
    <x v="392"/>
    <x v="4"/>
    <m/>
    <x v="25"/>
    <x v="2"/>
    <x v="34"/>
    <n v="200801"/>
    <n v="200801"/>
    <m/>
    <n v="2"/>
    <n v="200801"/>
    <n v="198000"/>
  </r>
  <r>
    <x v="392"/>
    <x v="4"/>
    <m/>
    <x v="31"/>
    <x v="2"/>
    <x v="95"/>
    <n v="200801"/>
    <n v="200801"/>
    <m/>
    <n v="26"/>
    <n v="200801"/>
    <n v="582400"/>
  </r>
  <r>
    <x v="392"/>
    <x v="4"/>
    <m/>
    <x v="31"/>
    <x v="2"/>
    <x v="96"/>
    <n v="200801"/>
    <n v="200801"/>
    <m/>
    <n v="31"/>
    <n v="200801"/>
    <n v="1215200"/>
  </r>
  <r>
    <x v="392"/>
    <x v="4"/>
    <m/>
    <x v="32"/>
    <x v="2"/>
    <x v="97"/>
    <n v="200801"/>
    <n v="200801"/>
    <m/>
    <n v="19"/>
    <n v="200801"/>
    <n v="704900"/>
  </r>
  <r>
    <x v="392"/>
    <x v="4"/>
    <m/>
    <x v="1"/>
    <x v="2"/>
    <x v="18"/>
    <n v="200801"/>
    <n v="200801"/>
    <m/>
    <n v="15"/>
    <n v="200801"/>
    <n v="300000"/>
  </r>
  <r>
    <x v="392"/>
    <x v="4"/>
    <m/>
    <x v="1"/>
    <x v="2"/>
    <x v="21"/>
    <n v="200801"/>
    <n v="200801"/>
    <m/>
    <n v="7"/>
    <n v="200801"/>
    <n v="245000"/>
  </r>
  <r>
    <x v="392"/>
    <x v="4"/>
    <m/>
    <x v="4"/>
    <x v="2"/>
    <x v="26"/>
    <n v="200801"/>
    <n v="200801"/>
    <m/>
    <n v="1"/>
    <n v="200801"/>
    <n v="4000"/>
  </r>
  <r>
    <x v="392"/>
    <x v="4"/>
    <m/>
    <x v="4"/>
    <x v="2"/>
    <x v="27"/>
    <n v="200801"/>
    <n v="200801"/>
    <m/>
    <n v="1"/>
    <n v="200801"/>
    <n v="20000"/>
  </r>
  <r>
    <x v="392"/>
    <x v="4"/>
    <m/>
    <x v="0"/>
    <x v="2"/>
    <x v="15"/>
    <n v="200801"/>
    <n v="200801"/>
    <m/>
    <n v="33"/>
    <n v="200801"/>
    <n v="660000"/>
  </r>
  <r>
    <x v="392"/>
    <x v="4"/>
    <m/>
    <x v="0"/>
    <x v="2"/>
    <x v="16"/>
    <n v="200801"/>
    <n v="200801"/>
    <m/>
    <n v="11"/>
    <n v="200801"/>
    <n v="385000"/>
  </r>
  <r>
    <x v="392"/>
    <x v="4"/>
    <m/>
    <x v="0"/>
    <x v="2"/>
    <x v="17"/>
    <n v="200801"/>
    <n v="200801"/>
    <m/>
    <n v="43"/>
    <n v="200801"/>
    <n v="1419000"/>
  </r>
  <r>
    <x v="392"/>
    <x v="4"/>
    <m/>
    <x v="0"/>
    <x v="2"/>
    <x v="19"/>
    <n v="200801"/>
    <n v="200801"/>
    <m/>
    <n v="33"/>
    <n v="200801"/>
    <n v="99000"/>
  </r>
  <r>
    <x v="392"/>
    <x v="4"/>
    <m/>
    <x v="5"/>
    <x v="2"/>
    <x v="28"/>
    <n v="200801"/>
    <n v="200801"/>
    <m/>
    <n v="14"/>
    <n v="200801"/>
    <n v="392000"/>
  </r>
  <r>
    <x v="392"/>
    <x v="4"/>
    <m/>
    <x v="5"/>
    <x v="2"/>
    <x v="69"/>
    <n v="200801"/>
    <n v="200801"/>
    <m/>
    <n v="4"/>
    <n v="200801"/>
    <n v="192000"/>
  </r>
  <r>
    <x v="392"/>
    <x v="4"/>
    <m/>
    <x v="22"/>
    <x v="2"/>
    <x v="29"/>
    <n v="200801"/>
    <n v="200801"/>
    <m/>
    <n v="7"/>
    <n v="200801"/>
    <n v="266000"/>
  </r>
  <r>
    <x v="392"/>
    <x v="4"/>
    <m/>
    <x v="19"/>
    <x v="2"/>
    <x v="22"/>
    <n v="200801"/>
    <n v="200801"/>
    <m/>
    <n v="8"/>
    <n v="200801"/>
    <n v="104000"/>
  </r>
  <r>
    <x v="392"/>
    <x v="4"/>
    <m/>
    <x v="19"/>
    <x v="2"/>
    <x v="23"/>
    <n v="200801"/>
    <n v="200801"/>
    <m/>
    <n v="1"/>
    <n v="200801"/>
    <n v="24000"/>
  </r>
  <r>
    <x v="392"/>
    <x v="4"/>
    <m/>
    <x v="33"/>
    <x v="2"/>
    <x v="92"/>
    <n v="200801"/>
    <n v="200801"/>
    <m/>
    <n v="1"/>
    <n v="200801"/>
    <n v="18200"/>
  </r>
  <r>
    <x v="392"/>
    <x v="4"/>
    <m/>
    <x v="0"/>
    <x v="9"/>
    <x v="15"/>
    <n v="200801"/>
    <n v="200801"/>
    <m/>
    <n v="2"/>
    <n v="200801"/>
    <n v="40000"/>
  </r>
  <r>
    <x v="393"/>
    <x v="1"/>
    <m/>
    <x v="0"/>
    <x v="1"/>
    <x v="16"/>
    <n v="200801"/>
    <n v="200801"/>
    <m/>
    <n v="7"/>
    <n v="200801"/>
    <n v="245000"/>
  </r>
  <r>
    <x v="393"/>
    <x v="1"/>
    <m/>
    <x v="0"/>
    <x v="7"/>
    <x v="15"/>
    <n v="200801"/>
    <n v="200801"/>
    <m/>
    <n v="3"/>
    <n v="200801"/>
    <n v="60000"/>
  </r>
  <r>
    <x v="393"/>
    <x v="1"/>
    <m/>
    <x v="30"/>
    <x v="3"/>
    <x v="87"/>
    <n v="200801"/>
    <n v="200801"/>
    <m/>
    <n v="8"/>
    <n v="200801"/>
    <n v="0"/>
  </r>
  <r>
    <x v="393"/>
    <x v="1"/>
    <m/>
    <x v="31"/>
    <x v="3"/>
    <x v="88"/>
    <n v="200801"/>
    <n v="200801"/>
    <m/>
    <n v="12"/>
    <n v="200801"/>
    <n v="0"/>
  </r>
  <r>
    <x v="393"/>
    <x v="1"/>
    <m/>
    <x v="33"/>
    <x v="3"/>
    <x v="94"/>
    <n v="200801"/>
    <n v="200801"/>
    <m/>
    <n v="7"/>
    <n v="200801"/>
    <n v="0"/>
  </r>
  <r>
    <x v="393"/>
    <x v="1"/>
    <m/>
    <x v="0"/>
    <x v="3"/>
    <x v="15"/>
    <n v="200801"/>
    <n v="200801"/>
    <m/>
    <n v="12"/>
    <n v="200801"/>
    <n v="0"/>
  </r>
  <r>
    <x v="393"/>
    <x v="1"/>
    <m/>
    <x v="18"/>
    <x v="3"/>
    <x v="19"/>
    <n v="200801"/>
    <n v="200801"/>
    <m/>
    <n v="7"/>
    <n v="200801"/>
    <n v="0"/>
  </r>
  <r>
    <x v="393"/>
    <x v="1"/>
    <m/>
    <x v="5"/>
    <x v="3"/>
    <x v="28"/>
    <n v="200801"/>
    <n v="200801"/>
    <m/>
    <n v="12"/>
    <n v="200801"/>
    <n v="0"/>
  </r>
  <r>
    <x v="393"/>
    <x v="1"/>
    <m/>
    <x v="4"/>
    <x v="3"/>
    <x v="27"/>
    <n v="200801"/>
    <n v="200801"/>
    <m/>
    <n v="12"/>
    <n v="200801"/>
    <n v="0"/>
  </r>
  <r>
    <x v="393"/>
    <x v="1"/>
    <m/>
    <x v="6"/>
    <x v="3"/>
    <x v="37"/>
    <n v="200801"/>
    <n v="200801"/>
    <m/>
    <n v="7"/>
    <n v="200801"/>
    <n v="0"/>
  </r>
  <r>
    <x v="393"/>
    <x v="1"/>
    <m/>
    <x v="22"/>
    <x v="3"/>
    <x v="29"/>
    <n v="200801"/>
    <n v="200801"/>
    <m/>
    <n v="7"/>
    <n v="200801"/>
    <n v="0"/>
  </r>
  <r>
    <x v="393"/>
    <x v="1"/>
    <m/>
    <x v="19"/>
    <x v="3"/>
    <x v="22"/>
    <n v="200801"/>
    <n v="200801"/>
    <m/>
    <n v="10"/>
    <n v="200801"/>
    <n v="0"/>
  </r>
  <r>
    <x v="393"/>
    <x v="1"/>
    <m/>
    <x v="1"/>
    <x v="3"/>
    <x v="18"/>
    <n v="200801"/>
    <n v="200801"/>
    <m/>
    <n v="12"/>
    <n v="200801"/>
    <n v="0"/>
  </r>
  <r>
    <x v="393"/>
    <x v="1"/>
    <m/>
    <x v="6"/>
    <x v="2"/>
    <x v="37"/>
    <n v="200801"/>
    <n v="200801"/>
    <m/>
    <n v="1"/>
    <n v="200801"/>
    <n v="20000"/>
  </r>
  <r>
    <x v="393"/>
    <x v="1"/>
    <m/>
    <x v="6"/>
    <x v="2"/>
    <x v="42"/>
    <n v="200801"/>
    <n v="200801"/>
    <m/>
    <n v="1"/>
    <n v="200801"/>
    <n v="35000"/>
  </r>
  <r>
    <x v="393"/>
    <x v="1"/>
    <m/>
    <x v="25"/>
    <x v="2"/>
    <x v="34"/>
    <n v="200801"/>
    <n v="200801"/>
    <m/>
    <n v="3"/>
    <n v="200801"/>
    <n v="297000"/>
  </r>
  <r>
    <x v="393"/>
    <x v="1"/>
    <m/>
    <x v="31"/>
    <x v="2"/>
    <x v="95"/>
    <n v="200801"/>
    <n v="200801"/>
    <m/>
    <n v="18"/>
    <n v="200801"/>
    <n v="403200"/>
  </r>
  <r>
    <x v="393"/>
    <x v="1"/>
    <m/>
    <x v="31"/>
    <x v="2"/>
    <x v="96"/>
    <n v="200801"/>
    <n v="200801"/>
    <m/>
    <n v="25"/>
    <n v="200801"/>
    <n v="980000"/>
  </r>
  <r>
    <x v="393"/>
    <x v="1"/>
    <m/>
    <x v="32"/>
    <x v="2"/>
    <x v="97"/>
    <n v="200801"/>
    <n v="200801"/>
    <m/>
    <n v="18"/>
    <n v="200801"/>
    <n v="667800"/>
  </r>
  <r>
    <x v="393"/>
    <x v="1"/>
    <m/>
    <x v="1"/>
    <x v="2"/>
    <x v="18"/>
    <n v="200801"/>
    <n v="200801"/>
    <m/>
    <n v="10"/>
    <n v="200801"/>
    <n v="200000"/>
  </r>
  <r>
    <x v="393"/>
    <x v="1"/>
    <m/>
    <x v="1"/>
    <x v="2"/>
    <x v="21"/>
    <n v="200801"/>
    <n v="200801"/>
    <m/>
    <n v="2"/>
    <n v="200801"/>
    <n v="70000"/>
  </r>
  <r>
    <x v="393"/>
    <x v="1"/>
    <m/>
    <x v="4"/>
    <x v="2"/>
    <x v="27"/>
    <n v="200801"/>
    <n v="200801"/>
    <m/>
    <n v="7"/>
    <n v="200801"/>
    <n v="140000"/>
  </r>
  <r>
    <x v="393"/>
    <x v="1"/>
    <m/>
    <x v="0"/>
    <x v="2"/>
    <x v="15"/>
    <n v="200801"/>
    <n v="200801"/>
    <m/>
    <n v="22"/>
    <n v="200801"/>
    <n v="440000"/>
  </r>
  <r>
    <x v="393"/>
    <x v="1"/>
    <m/>
    <x v="0"/>
    <x v="2"/>
    <x v="16"/>
    <n v="200801"/>
    <n v="200801"/>
    <m/>
    <n v="16"/>
    <n v="200801"/>
    <n v="560000"/>
  </r>
  <r>
    <x v="393"/>
    <x v="1"/>
    <m/>
    <x v="0"/>
    <x v="2"/>
    <x v="17"/>
    <n v="200801"/>
    <n v="200801"/>
    <m/>
    <n v="33"/>
    <n v="200801"/>
    <n v="1089000"/>
  </r>
  <r>
    <x v="393"/>
    <x v="1"/>
    <m/>
    <x v="0"/>
    <x v="2"/>
    <x v="19"/>
    <n v="200801"/>
    <n v="200801"/>
    <m/>
    <n v="11"/>
    <n v="200801"/>
    <n v="33000"/>
  </r>
  <r>
    <x v="393"/>
    <x v="1"/>
    <m/>
    <x v="5"/>
    <x v="2"/>
    <x v="28"/>
    <n v="200801"/>
    <n v="200801"/>
    <m/>
    <n v="10"/>
    <n v="200801"/>
    <n v="280000"/>
  </r>
  <r>
    <x v="393"/>
    <x v="1"/>
    <m/>
    <x v="5"/>
    <x v="2"/>
    <x v="69"/>
    <n v="200801"/>
    <n v="200801"/>
    <m/>
    <n v="4"/>
    <n v="200801"/>
    <n v="192000"/>
  </r>
  <r>
    <x v="393"/>
    <x v="1"/>
    <m/>
    <x v="22"/>
    <x v="2"/>
    <x v="29"/>
    <n v="200801"/>
    <n v="200801"/>
    <m/>
    <n v="2"/>
    <n v="200801"/>
    <n v="76000"/>
  </r>
  <r>
    <x v="393"/>
    <x v="1"/>
    <m/>
    <x v="19"/>
    <x v="2"/>
    <x v="22"/>
    <n v="200801"/>
    <n v="200801"/>
    <m/>
    <n v="8"/>
    <n v="200801"/>
    <n v="104000"/>
  </r>
  <r>
    <x v="393"/>
    <x v="1"/>
    <m/>
    <x v="33"/>
    <x v="2"/>
    <x v="92"/>
    <n v="200801"/>
    <n v="200801"/>
    <m/>
    <n v="2"/>
    <n v="200801"/>
    <n v="36400"/>
  </r>
  <r>
    <x v="393"/>
    <x v="1"/>
    <m/>
    <x v="0"/>
    <x v="9"/>
    <x v="15"/>
    <n v="200801"/>
    <n v="200801"/>
    <m/>
    <n v="5"/>
    <n v="200801"/>
    <n v="100000"/>
  </r>
  <r>
    <x v="394"/>
    <x v="0"/>
    <m/>
    <x v="0"/>
    <x v="1"/>
    <x v="16"/>
    <n v="200801"/>
    <n v="200801"/>
    <m/>
    <n v="4"/>
    <n v="200801"/>
    <n v="140000"/>
  </r>
  <r>
    <x v="394"/>
    <x v="0"/>
    <m/>
    <x v="31"/>
    <x v="5"/>
    <x v="88"/>
    <n v="200801"/>
    <n v="200801"/>
    <m/>
    <n v="20"/>
    <n v="200801"/>
    <n v="229100"/>
  </r>
  <r>
    <x v="394"/>
    <x v="0"/>
    <m/>
    <x v="0"/>
    <x v="7"/>
    <x v="15"/>
    <n v="200801"/>
    <n v="200801"/>
    <m/>
    <n v="3"/>
    <n v="200801"/>
    <n v="60000"/>
  </r>
  <r>
    <x v="394"/>
    <x v="0"/>
    <m/>
    <x v="30"/>
    <x v="3"/>
    <x v="87"/>
    <n v="200801"/>
    <n v="200801"/>
    <m/>
    <n v="3"/>
    <n v="200801"/>
    <n v="0"/>
  </r>
  <r>
    <x v="394"/>
    <x v="0"/>
    <m/>
    <x v="31"/>
    <x v="3"/>
    <x v="88"/>
    <n v="200801"/>
    <n v="200801"/>
    <m/>
    <n v="3"/>
    <n v="200801"/>
    <n v="0"/>
  </r>
  <r>
    <x v="394"/>
    <x v="0"/>
    <m/>
    <x v="33"/>
    <x v="3"/>
    <x v="94"/>
    <n v="200801"/>
    <n v="200801"/>
    <m/>
    <n v="3"/>
    <n v="200801"/>
    <n v="0"/>
  </r>
  <r>
    <x v="394"/>
    <x v="0"/>
    <m/>
    <x v="0"/>
    <x v="3"/>
    <x v="15"/>
    <n v="200801"/>
    <n v="200801"/>
    <m/>
    <n v="6"/>
    <n v="200801"/>
    <n v="0"/>
  </r>
  <r>
    <x v="394"/>
    <x v="0"/>
    <m/>
    <x v="18"/>
    <x v="3"/>
    <x v="19"/>
    <n v="200801"/>
    <n v="200801"/>
    <m/>
    <n v="3"/>
    <n v="200801"/>
    <n v="0"/>
  </r>
  <r>
    <x v="394"/>
    <x v="0"/>
    <m/>
    <x v="5"/>
    <x v="3"/>
    <x v="28"/>
    <n v="200801"/>
    <n v="200801"/>
    <m/>
    <n v="4"/>
    <n v="200801"/>
    <n v="0"/>
  </r>
  <r>
    <x v="394"/>
    <x v="0"/>
    <m/>
    <x v="4"/>
    <x v="3"/>
    <x v="27"/>
    <n v="200801"/>
    <n v="200801"/>
    <m/>
    <n v="3"/>
    <n v="200801"/>
    <n v="0"/>
  </r>
  <r>
    <x v="394"/>
    <x v="0"/>
    <m/>
    <x v="6"/>
    <x v="3"/>
    <x v="37"/>
    <n v="200801"/>
    <n v="200801"/>
    <m/>
    <n v="3"/>
    <n v="200801"/>
    <n v="0"/>
  </r>
  <r>
    <x v="394"/>
    <x v="0"/>
    <m/>
    <x v="22"/>
    <x v="3"/>
    <x v="29"/>
    <n v="200801"/>
    <n v="200801"/>
    <m/>
    <n v="4"/>
    <n v="200801"/>
    <n v="0"/>
  </r>
  <r>
    <x v="394"/>
    <x v="0"/>
    <m/>
    <x v="19"/>
    <x v="3"/>
    <x v="22"/>
    <n v="200801"/>
    <n v="200801"/>
    <m/>
    <n v="3"/>
    <n v="200801"/>
    <n v="0"/>
  </r>
  <r>
    <x v="394"/>
    <x v="0"/>
    <m/>
    <x v="1"/>
    <x v="3"/>
    <x v="18"/>
    <n v="200801"/>
    <n v="200801"/>
    <m/>
    <n v="3"/>
    <n v="200801"/>
    <n v="0"/>
  </r>
  <r>
    <x v="394"/>
    <x v="0"/>
    <m/>
    <x v="6"/>
    <x v="2"/>
    <x v="42"/>
    <n v="200801"/>
    <n v="200801"/>
    <m/>
    <n v="2"/>
    <n v="200801"/>
    <n v="70000"/>
  </r>
  <r>
    <x v="394"/>
    <x v="0"/>
    <m/>
    <x v="25"/>
    <x v="2"/>
    <x v="34"/>
    <n v="200801"/>
    <n v="200801"/>
    <m/>
    <n v="4"/>
    <n v="200801"/>
    <n v="396000"/>
  </r>
  <r>
    <x v="394"/>
    <x v="0"/>
    <m/>
    <x v="31"/>
    <x v="2"/>
    <x v="95"/>
    <n v="200801"/>
    <n v="200801"/>
    <m/>
    <n v="24"/>
    <n v="200801"/>
    <n v="537600"/>
  </r>
  <r>
    <x v="394"/>
    <x v="0"/>
    <m/>
    <x v="31"/>
    <x v="2"/>
    <x v="96"/>
    <n v="200801"/>
    <n v="200801"/>
    <m/>
    <n v="19"/>
    <n v="200801"/>
    <n v="744800"/>
  </r>
  <r>
    <x v="394"/>
    <x v="0"/>
    <m/>
    <x v="32"/>
    <x v="2"/>
    <x v="97"/>
    <n v="200801"/>
    <n v="200801"/>
    <m/>
    <n v="15"/>
    <n v="200801"/>
    <n v="556500"/>
  </r>
  <r>
    <x v="394"/>
    <x v="0"/>
    <m/>
    <x v="1"/>
    <x v="2"/>
    <x v="18"/>
    <n v="200801"/>
    <n v="200801"/>
    <m/>
    <n v="6"/>
    <n v="200801"/>
    <n v="120000"/>
  </r>
  <r>
    <x v="394"/>
    <x v="0"/>
    <m/>
    <x v="1"/>
    <x v="2"/>
    <x v="21"/>
    <n v="200801"/>
    <n v="200801"/>
    <m/>
    <n v="3"/>
    <n v="200801"/>
    <n v="105000"/>
  </r>
  <r>
    <x v="394"/>
    <x v="0"/>
    <m/>
    <x v="4"/>
    <x v="2"/>
    <x v="27"/>
    <n v="200801"/>
    <n v="200801"/>
    <m/>
    <n v="4"/>
    <n v="200801"/>
    <n v="80000"/>
  </r>
  <r>
    <x v="394"/>
    <x v="0"/>
    <m/>
    <x v="0"/>
    <x v="2"/>
    <x v="15"/>
    <n v="200801"/>
    <n v="200801"/>
    <m/>
    <n v="24"/>
    <n v="200801"/>
    <n v="480000"/>
  </r>
  <r>
    <x v="394"/>
    <x v="0"/>
    <m/>
    <x v="0"/>
    <x v="2"/>
    <x v="16"/>
    <n v="200801"/>
    <n v="200801"/>
    <m/>
    <n v="14"/>
    <n v="200801"/>
    <n v="490000"/>
  </r>
  <r>
    <x v="394"/>
    <x v="0"/>
    <m/>
    <x v="0"/>
    <x v="2"/>
    <x v="17"/>
    <n v="200801"/>
    <n v="200801"/>
    <m/>
    <n v="36"/>
    <n v="200801"/>
    <n v="1188000"/>
  </r>
  <r>
    <x v="394"/>
    <x v="0"/>
    <m/>
    <x v="0"/>
    <x v="2"/>
    <x v="19"/>
    <n v="200801"/>
    <n v="200801"/>
    <m/>
    <n v="20"/>
    <n v="200801"/>
    <n v="60000"/>
  </r>
  <r>
    <x v="394"/>
    <x v="0"/>
    <m/>
    <x v="5"/>
    <x v="2"/>
    <x v="28"/>
    <n v="200801"/>
    <n v="200801"/>
    <m/>
    <n v="13"/>
    <n v="200801"/>
    <n v="364000"/>
  </r>
  <r>
    <x v="394"/>
    <x v="0"/>
    <m/>
    <x v="5"/>
    <x v="2"/>
    <x v="69"/>
    <n v="200801"/>
    <n v="200801"/>
    <m/>
    <n v="3"/>
    <n v="200801"/>
    <n v="144000"/>
  </r>
  <r>
    <x v="394"/>
    <x v="0"/>
    <m/>
    <x v="19"/>
    <x v="2"/>
    <x v="22"/>
    <n v="200801"/>
    <n v="200801"/>
    <m/>
    <n v="5"/>
    <n v="200801"/>
    <n v="65000"/>
  </r>
  <r>
    <x v="394"/>
    <x v="0"/>
    <m/>
    <x v="19"/>
    <x v="2"/>
    <x v="23"/>
    <n v="200801"/>
    <n v="200801"/>
    <m/>
    <n v="1"/>
    <n v="200801"/>
    <n v="24000"/>
  </r>
  <r>
    <x v="394"/>
    <x v="0"/>
    <m/>
    <x v="19"/>
    <x v="2"/>
    <x v="24"/>
    <n v="200801"/>
    <n v="200801"/>
    <m/>
    <n v="1"/>
    <n v="200801"/>
    <n v="33000"/>
  </r>
  <r>
    <x v="394"/>
    <x v="0"/>
    <m/>
    <x v="33"/>
    <x v="2"/>
    <x v="92"/>
    <n v="200801"/>
    <n v="200801"/>
    <m/>
    <n v="2"/>
    <n v="200801"/>
    <n v="36400"/>
  </r>
  <r>
    <x v="394"/>
    <x v="0"/>
    <m/>
    <x v="33"/>
    <x v="2"/>
    <x v="93"/>
    <n v="200801"/>
    <n v="200801"/>
    <m/>
    <n v="1"/>
    <n v="200801"/>
    <n v="33800"/>
  </r>
  <r>
    <x v="394"/>
    <x v="0"/>
    <m/>
    <x v="0"/>
    <x v="9"/>
    <x v="15"/>
    <n v="200801"/>
    <n v="200801"/>
    <m/>
    <n v="4"/>
    <n v="200801"/>
    <n v="80000"/>
  </r>
  <r>
    <x v="395"/>
    <x v="2"/>
    <m/>
    <x v="0"/>
    <x v="1"/>
    <x v="16"/>
    <n v="200801"/>
    <n v="200801"/>
    <m/>
    <n v="2"/>
    <n v="200801"/>
    <n v="70000"/>
  </r>
  <r>
    <x v="395"/>
    <x v="2"/>
    <m/>
    <x v="0"/>
    <x v="7"/>
    <x v="15"/>
    <n v="200801"/>
    <n v="200801"/>
    <m/>
    <n v="1"/>
    <n v="200801"/>
    <n v="20000"/>
  </r>
  <r>
    <x v="395"/>
    <x v="2"/>
    <m/>
    <x v="30"/>
    <x v="3"/>
    <x v="87"/>
    <n v="200801"/>
    <n v="200801"/>
    <m/>
    <n v="1"/>
    <n v="200801"/>
    <n v="0"/>
  </r>
  <r>
    <x v="395"/>
    <x v="2"/>
    <m/>
    <x v="31"/>
    <x v="3"/>
    <x v="88"/>
    <n v="200801"/>
    <n v="200801"/>
    <m/>
    <n v="40"/>
    <n v="200801"/>
    <n v="0"/>
  </r>
  <r>
    <x v="395"/>
    <x v="2"/>
    <m/>
    <x v="35"/>
    <x v="3"/>
    <x v="107"/>
    <n v="200801"/>
    <n v="200801"/>
    <m/>
    <n v="1"/>
    <n v="200801"/>
    <n v="0"/>
  </r>
  <r>
    <x v="395"/>
    <x v="2"/>
    <m/>
    <x v="31"/>
    <x v="2"/>
    <x v="95"/>
    <n v="200801"/>
    <n v="200801"/>
    <m/>
    <n v="17"/>
    <n v="200801"/>
    <n v="380800"/>
  </r>
  <r>
    <x v="395"/>
    <x v="2"/>
    <m/>
    <x v="31"/>
    <x v="2"/>
    <x v="96"/>
    <n v="200801"/>
    <n v="200801"/>
    <m/>
    <n v="20"/>
    <n v="200801"/>
    <n v="784000"/>
  </r>
  <r>
    <x v="395"/>
    <x v="2"/>
    <m/>
    <x v="32"/>
    <x v="2"/>
    <x v="97"/>
    <n v="200801"/>
    <n v="200801"/>
    <m/>
    <n v="18"/>
    <n v="200801"/>
    <n v="667800"/>
  </r>
  <r>
    <x v="395"/>
    <x v="2"/>
    <m/>
    <x v="34"/>
    <x v="2"/>
    <x v="105"/>
    <n v="200801"/>
    <n v="200801"/>
    <m/>
    <n v="44"/>
    <n v="200801"/>
    <n v="1632400"/>
  </r>
  <r>
    <x v="395"/>
    <x v="2"/>
    <m/>
    <x v="30"/>
    <x v="2"/>
    <x v="99"/>
    <n v="200801"/>
    <n v="200801"/>
    <m/>
    <n v="7"/>
    <n v="200801"/>
    <n v="156800"/>
  </r>
  <r>
    <x v="395"/>
    <x v="2"/>
    <m/>
    <x v="30"/>
    <x v="2"/>
    <x v="100"/>
    <n v="200801"/>
    <n v="200801"/>
    <m/>
    <n v="1"/>
    <n v="200801"/>
    <n v="39200"/>
  </r>
  <r>
    <x v="395"/>
    <x v="2"/>
    <m/>
    <x v="1"/>
    <x v="2"/>
    <x v="18"/>
    <n v="200801"/>
    <n v="200801"/>
    <m/>
    <n v="6"/>
    <n v="200801"/>
    <n v="120000"/>
  </r>
  <r>
    <x v="395"/>
    <x v="2"/>
    <m/>
    <x v="1"/>
    <x v="2"/>
    <x v="21"/>
    <n v="200801"/>
    <n v="200801"/>
    <m/>
    <n v="1"/>
    <n v="200801"/>
    <n v="35000"/>
  </r>
  <r>
    <x v="395"/>
    <x v="2"/>
    <m/>
    <x v="4"/>
    <x v="2"/>
    <x v="26"/>
    <n v="200801"/>
    <n v="200801"/>
    <m/>
    <n v="4"/>
    <n v="200801"/>
    <n v="16000"/>
  </r>
  <r>
    <x v="395"/>
    <x v="2"/>
    <m/>
    <x v="4"/>
    <x v="2"/>
    <x v="27"/>
    <n v="200801"/>
    <n v="200801"/>
    <m/>
    <n v="1"/>
    <n v="200801"/>
    <n v="20000"/>
  </r>
  <r>
    <x v="395"/>
    <x v="2"/>
    <m/>
    <x v="0"/>
    <x v="2"/>
    <x v="15"/>
    <n v="200801"/>
    <n v="200801"/>
    <m/>
    <n v="23"/>
    <n v="200801"/>
    <n v="460000"/>
  </r>
  <r>
    <x v="395"/>
    <x v="2"/>
    <m/>
    <x v="0"/>
    <x v="2"/>
    <x v="16"/>
    <n v="200801"/>
    <n v="200801"/>
    <m/>
    <n v="23"/>
    <n v="200801"/>
    <n v="805000"/>
  </r>
  <r>
    <x v="395"/>
    <x v="2"/>
    <m/>
    <x v="0"/>
    <x v="2"/>
    <x v="17"/>
    <n v="200801"/>
    <n v="200801"/>
    <m/>
    <n v="26"/>
    <n v="200801"/>
    <n v="858000"/>
  </r>
  <r>
    <x v="395"/>
    <x v="2"/>
    <m/>
    <x v="0"/>
    <x v="2"/>
    <x v="19"/>
    <n v="200801"/>
    <n v="200801"/>
    <m/>
    <n v="26"/>
    <n v="200801"/>
    <n v="78000"/>
  </r>
  <r>
    <x v="395"/>
    <x v="2"/>
    <m/>
    <x v="5"/>
    <x v="2"/>
    <x v="28"/>
    <n v="200801"/>
    <n v="200801"/>
    <m/>
    <n v="16"/>
    <n v="200801"/>
    <n v="448000"/>
  </r>
  <r>
    <x v="395"/>
    <x v="2"/>
    <m/>
    <x v="22"/>
    <x v="2"/>
    <x v="29"/>
    <n v="200801"/>
    <n v="200801"/>
    <m/>
    <n v="8"/>
    <n v="200801"/>
    <n v="304000"/>
  </r>
  <r>
    <x v="395"/>
    <x v="2"/>
    <m/>
    <x v="19"/>
    <x v="2"/>
    <x v="22"/>
    <n v="200801"/>
    <n v="200801"/>
    <m/>
    <n v="6"/>
    <n v="200801"/>
    <n v="78000"/>
  </r>
  <r>
    <x v="395"/>
    <x v="2"/>
    <m/>
    <x v="19"/>
    <x v="2"/>
    <x v="23"/>
    <n v="200801"/>
    <n v="200801"/>
    <m/>
    <n v="1"/>
    <n v="200801"/>
    <n v="24000"/>
  </r>
  <r>
    <x v="396"/>
    <x v="5"/>
    <m/>
    <x v="0"/>
    <x v="7"/>
    <x v="15"/>
    <n v="200801"/>
    <n v="200801"/>
    <m/>
    <n v="5"/>
    <n v="200801"/>
    <n v="100000"/>
  </r>
  <r>
    <x v="396"/>
    <x v="5"/>
    <m/>
    <x v="6"/>
    <x v="2"/>
    <x v="37"/>
    <n v="200801"/>
    <n v="200801"/>
    <m/>
    <n v="4"/>
    <n v="200801"/>
    <n v="80000"/>
  </r>
  <r>
    <x v="396"/>
    <x v="5"/>
    <m/>
    <x v="6"/>
    <x v="2"/>
    <x v="42"/>
    <n v="200801"/>
    <n v="200801"/>
    <m/>
    <n v="1"/>
    <n v="200801"/>
    <n v="35000"/>
  </r>
  <r>
    <x v="396"/>
    <x v="5"/>
    <m/>
    <x v="25"/>
    <x v="2"/>
    <x v="34"/>
    <n v="200801"/>
    <n v="200801"/>
    <m/>
    <n v="2"/>
    <n v="200801"/>
    <n v="198000"/>
  </r>
  <r>
    <x v="396"/>
    <x v="5"/>
    <m/>
    <x v="31"/>
    <x v="2"/>
    <x v="95"/>
    <n v="200801"/>
    <n v="200801"/>
    <m/>
    <n v="21"/>
    <n v="200801"/>
    <n v="470400"/>
  </r>
  <r>
    <x v="396"/>
    <x v="5"/>
    <m/>
    <x v="31"/>
    <x v="2"/>
    <x v="96"/>
    <n v="200801"/>
    <n v="200801"/>
    <m/>
    <n v="17"/>
    <n v="200801"/>
    <n v="666400"/>
  </r>
  <r>
    <x v="396"/>
    <x v="5"/>
    <m/>
    <x v="32"/>
    <x v="2"/>
    <x v="97"/>
    <n v="200801"/>
    <n v="200801"/>
    <m/>
    <n v="14"/>
    <n v="200801"/>
    <n v="519400"/>
  </r>
  <r>
    <x v="396"/>
    <x v="5"/>
    <m/>
    <x v="34"/>
    <x v="2"/>
    <x v="105"/>
    <n v="200801"/>
    <n v="200801"/>
    <m/>
    <n v="53"/>
    <n v="200801"/>
    <n v="1966300"/>
  </r>
  <r>
    <x v="396"/>
    <x v="5"/>
    <m/>
    <x v="30"/>
    <x v="2"/>
    <x v="99"/>
    <n v="200801"/>
    <n v="200801"/>
    <m/>
    <n v="6"/>
    <n v="200801"/>
    <n v="134400"/>
  </r>
  <r>
    <x v="396"/>
    <x v="5"/>
    <m/>
    <x v="30"/>
    <x v="2"/>
    <x v="100"/>
    <n v="200801"/>
    <n v="200801"/>
    <m/>
    <n v="1"/>
    <n v="200801"/>
    <n v="39200"/>
  </r>
  <r>
    <x v="396"/>
    <x v="5"/>
    <m/>
    <x v="1"/>
    <x v="2"/>
    <x v="18"/>
    <n v="200801"/>
    <n v="200801"/>
    <m/>
    <n v="3"/>
    <n v="200801"/>
    <n v="60000"/>
  </r>
  <r>
    <x v="396"/>
    <x v="5"/>
    <m/>
    <x v="1"/>
    <x v="2"/>
    <x v="21"/>
    <n v="200801"/>
    <n v="200801"/>
    <m/>
    <n v="4"/>
    <n v="200801"/>
    <n v="140000"/>
  </r>
  <r>
    <x v="396"/>
    <x v="5"/>
    <m/>
    <x v="4"/>
    <x v="2"/>
    <x v="26"/>
    <n v="200801"/>
    <n v="200801"/>
    <m/>
    <n v="4"/>
    <n v="200801"/>
    <n v="16000"/>
  </r>
  <r>
    <x v="396"/>
    <x v="5"/>
    <m/>
    <x v="4"/>
    <x v="2"/>
    <x v="27"/>
    <n v="200801"/>
    <n v="200801"/>
    <m/>
    <n v="4"/>
    <n v="200801"/>
    <n v="80000"/>
  </r>
  <r>
    <x v="396"/>
    <x v="5"/>
    <m/>
    <x v="0"/>
    <x v="2"/>
    <x v="15"/>
    <n v="200801"/>
    <n v="200801"/>
    <m/>
    <n v="19"/>
    <n v="200801"/>
    <n v="380000"/>
  </r>
  <r>
    <x v="396"/>
    <x v="5"/>
    <m/>
    <x v="0"/>
    <x v="2"/>
    <x v="16"/>
    <n v="200801"/>
    <n v="200801"/>
    <m/>
    <n v="13"/>
    <n v="200801"/>
    <n v="455000"/>
  </r>
  <r>
    <x v="396"/>
    <x v="5"/>
    <m/>
    <x v="0"/>
    <x v="2"/>
    <x v="17"/>
    <n v="200801"/>
    <n v="200801"/>
    <m/>
    <n v="26"/>
    <n v="200801"/>
    <n v="858000"/>
  </r>
  <r>
    <x v="396"/>
    <x v="5"/>
    <m/>
    <x v="0"/>
    <x v="2"/>
    <x v="19"/>
    <n v="200801"/>
    <n v="200801"/>
    <m/>
    <n v="24"/>
    <n v="200801"/>
    <n v="72000"/>
  </r>
  <r>
    <x v="396"/>
    <x v="5"/>
    <m/>
    <x v="5"/>
    <x v="2"/>
    <x v="28"/>
    <n v="200801"/>
    <n v="200801"/>
    <m/>
    <n v="11"/>
    <n v="200801"/>
    <n v="308000"/>
  </r>
  <r>
    <x v="396"/>
    <x v="5"/>
    <m/>
    <x v="5"/>
    <x v="2"/>
    <x v="69"/>
    <n v="200801"/>
    <n v="200801"/>
    <m/>
    <n v="2"/>
    <n v="200801"/>
    <n v="96000"/>
  </r>
  <r>
    <x v="396"/>
    <x v="5"/>
    <m/>
    <x v="22"/>
    <x v="2"/>
    <x v="29"/>
    <n v="200801"/>
    <n v="200801"/>
    <m/>
    <n v="12"/>
    <n v="200801"/>
    <n v="456000"/>
  </r>
  <r>
    <x v="396"/>
    <x v="5"/>
    <m/>
    <x v="19"/>
    <x v="2"/>
    <x v="22"/>
    <n v="200801"/>
    <n v="200801"/>
    <m/>
    <n v="8"/>
    <n v="200801"/>
    <n v="104000"/>
  </r>
  <r>
    <x v="396"/>
    <x v="5"/>
    <m/>
    <x v="19"/>
    <x v="2"/>
    <x v="23"/>
    <n v="200801"/>
    <n v="200801"/>
    <m/>
    <n v="1"/>
    <n v="200801"/>
    <n v="24000"/>
  </r>
  <r>
    <x v="396"/>
    <x v="5"/>
    <m/>
    <x v="19"/>
    <x v="2"/>
    <x v="24"/>
    <n v="200801"/>
    <n v="200801"/>
    <m/>
    <n v="1"/>
    <n v="200801"/>
    <n v="33000"/>
  </r>
  <r>
    <x v="396"/>
    <x v="5"/>
    <m/>
    <x v="33"/>
    <x v="2"/>
    <x v="92"/>
    <n v="200801"/>
    <n v="200801"/>
    <m/>
    <n v="3"/>
    <n v="200801"/>
    <n v="54600"/>
  </r>
  <r>
    <x v="396"/>
    <x v="5"/>
    <m/>
    <x v="33"/>
    <x v="2"/>
    <x v="93"/>
    <n v="200801"/>
    <n v="200801"/>
    <m/>
    <n v="1"/>
    <n v="200801"/>
    <n v="33800"/>
  </r>
  <r>
    <x v="396"/>
    <x v="5"/>
    <m/>
    <x v="0"/>
    <x v="9"/>
    <x v="15"/>
    <n v="200801"/>
    <n v="200801"/>
    <m/>
    <n v="1"/>
    <n v="200801"/>
    <n v="20000"/>
  </r>
  <r>
    <x v="397"/>
    <x v="6"/>
    <m/>
    <x v="0"/>
    <x v="6"/>
    <x v="15"/>
    <n v="200801"/>
    <n v="200801"/>
    <m/>
    <n v="293"/>
    <n v="200801"/>
    <n v="2656924"/>
  </r>
  <r>
    <x v="397"/>
    <x v="6"/>
    <m/>
    <x v="0"/>
    <x v="6"/>
    <x v="17"/>
    <n v="200801"/>
    <n v="200801"/>
    <m/>
    <n v="260"/>
    <n v="200801"/>
    <n v="4112680"/>
  </r>
  <r>
    <x v="397"/>
    <x v="6"/>
    <m/>
    <x v="4"/>
    <x v="6"/>
    <x v="26"/>
    <n v="200801"/>
    <n v="200801"/>
    <m/>
    <n v="436"/>
    <n v="200801"/>
    <n v="467828"/>
  </r>
  <r>
    <x v="397"/>
    <x v="6"/>
    <m/>
    <x v="26"/>
    <x v="6"/>
    <x v="35"/>
    <n v="200801"/>
    <n v="200801"/>
    <m/>
    <n v="25"/>
    <n v="200801"/>
    <n v="428275"/>
  </r>
  <r>
    <x v="397"/>
    <x v="6"/>
    <m/>
    <x v="22"/>
    <x v="6"/>
    <x v="29"/>
    <n v="200801"/>
    <n v="200801"/>
    <m/>
    <n v="43"/>
    <n v="200801"/>
    <n v="846713"/>
  </r>
  <r>
    <x v="397"/>
    <x v="6"/>
    <m/>
    <x v="24"/>
    <x v="6"/>
    <x v="31"/>
    <n v="200801"/>
    <n v="200801"/>
    <m/>
    <n v="83"/>
    <n v="200801"/>
    <n v="1234791"/>
  </r>
  <r>
    <x v="397"/>
    <x v="6"/>
    <m/>
    <x v="23"/>
    <x v="6"/>
    <x v="30"/>
    <n v="200801"/>
    <n v="200801"/>
    <m/>
    <n v="5"/>
    <n v="200801"/>
    <n v="34820"/>
  </r>
  <r>
    <x v="397"/>
    <x v="6"/>
    <m/>
    <x v="19"/>
    <x v="6"/>
    <x v="22"/>
    <n v="200801"/>
    <n v="200801"/>
    <m/>
    <n v="45"/>
    <n v="200801"/>
    <n v="305595"/>
  </r>
  <r>
    <x v="397"/>
    <x v="6"/>
    <m/>
    <x v="27"/>
    <x v="6"/>
    <x v="36"/>
    <n v="200801"/>
    <n v="200801"/>
    <m/>
    <n v="1"/>
    <n v="200801"/>
    <n v="9457"/>
  </r>
  <r>
    <x v="397"/>
    <x v="6"/>
    <m/>
    <x v="6"/>
    <x v="6"/>
    <x v="37"/>
    <n v="200801"/>
    <n v="200801"/>
    <m/>
    <n v="11"/>
    <n v="200801"/>
    <n v="110000"/>
  </r>
  <r>
    <x v="397"/>
    <x v="6"/>
    <m/>
    <x v="28"/>
    <x v="6"/>
    <x v="39"/>
    <n v="200801"/>
    <n v="200801"/>
    <m/>
    <n v="1"/>
    <n v="200801"/>
    <n v="15818"/>
  </r>
  <r>
    <x v="397"/>
    <x v="6"/>
    <m/>
    <x v="4"/>
    <x v="6"/>
    <x v="66"/>
    <n v="200801"/>
    <n v="200801"/>
    <m/>
    <n v="268"/>
    <n v="200801"/>
    <n v="1499996"/>
  </r>
  <r>
    <x v="397"/>
    <x v="6"/>
    <m/>
    <x v="33"/>
    <x v="6"/>
    <x v="106"/>
    <n v="200801"/>
    <n v="200801"/>
    <m/>
    <n v="11"/>
    <n v="200801"/>
    <n v="107250"/>
  </r>
  <r>
    <x v="397"/>
    <x v="6"/>
    <m/>
    <x v="31"/>
    <x v="6"/>
    <x v="103"/>
    <n v="200801"/>
    <n v="200801"/>
    <m/>
    <n v="71"/>
    <n v="200801"/>
    <n v="795200"/>
  </r>
  <r>
    <x v="397"/>
    <x v="6"/>
    <m/>
    <x v="30"/>
    <x v="6"/>
    <x v="104"/>
    <n v="200801"/>
    <n v="200801"/>
    <m/>
    <n v="63"/>
    <n v="200801"/>
    <n v="705600"/>
  </r>
  <r>
    <x v="397"/>
    <x v="6"/>
    <m/>
    <x v="35"/>
    <x v="6"/>
    <x v="108"/>
    <n v="200801"/>
    <n v="200801"/>
    <m/>
    <n v="110"/>
    <n v="200801"/>
    <n v="118030"/>
  </r>
  <r>
    <x v="397"/>
    <x v="6"/>
    <m/>
    <x v="5"/>
    <x v="6"/>
    <x v="28"/>
    <n v="200801"/>
    <n v="200801"/>
    <m/>
    <n v="14"/>
    <n v="200801"/>
    <n v="204400"/>
  </r>
  <r>
    <x v="397"/>
    <x v="6"/>
    <m/>
    <x v="6"/>
    <x v="2"/>
    <x v="37"/>
    <n v="200801"/>
    <n v="200801"/>
    <m/>
    <n v="2"/>
    <n v="200801"/>
    <n v="40000"/>
  </r>
  <r>
    <x v="397"/>
    <x v="6"/>
    <m/>
    <x v="25"/>
    <x v="2"/>
    <x v="34"/>
    <n v="200801"/>
    <n v="200801"/>
    <m/>
    <n v="5"/>
    <n v="200801"/>
    <n v="495000"/>
  </r>
  <r>
    <x v="397"/>
    <x v="6"/>
    <m/>
    <x v="31"/>
    <x v="2"/>
    <x v="95"/>
    <n v="200801"/>
    <n v="200801"/>
    <m/>
    <n v="17"/>
    <n v="200801"/>
    <n v="380800"/>
  </r>
  <r>
    <x v="397"/>
    <x v="6"/>
    <m/>
    <x v="31"/>
    <x v="2"/>
    <x v="96"/>
    <n v="200801"/>
    <n v="200801"/>
    <m/>
    <n v="22"/>
    <n v="200801"/>
    <n v="862400"/>
  </r>
  <r>
    <x v="397"/>
    <x v="6"/>
    <m/>
    <x v="32"/>
    <x v="2"/>
    <x v="97"/>
    <n v="200801"/>
    <n v="200801"/>
    <m/>
    <n v="11"/>
    <n v="200801"/>
    <n v="408100"/>
  </r>
  <r>
    <x v="397"/>
    <x v="6"/>
    <m/>
    <x v="34"/>
    <x v="2"/>
    <x v="105"/>
    <n v="200801"/>
    <n v="200801"/>
    <m/>
    <n v="32"/>
    <n v="200801"/>
    <n v="1187200"/>
  </r>
  <r>
    <x v="397"/>
    <x v="6"/>
    <m/>
    <x v="30"/>
    <x v="2"/>
    <x v="99"/>
    <n v="200801"/>
    <n v="200801"/>
    <m/>
    <n v="8"/>
    <n v="200801"/>
    <n v="179200"/>
  </r>
  <r>
    <x v="397"/>
    <x v="6"/>
    <m/>
    <x v="30"/>
    <x v="2"/>
    <x v="100"/>
    <n v="200801"/>
    <n v="200801"/>
    <m/>
    <n v="3"/>
    <n v="200801"/>
    <n v="117600"/>
  </r>
  <r>
    <x v="397"/>
    <x v="6"/>
    <m/>
    <x v="1"/>
    <x v="2"/>
    <x v="18"/>
    <n v="200801"/>
    <n v="200801"/>
    <m/>
    <n v="6"/>
    <n v="200801"/>
    <n v="120000"/>
  </r>
  <r>
    <x v="397"/>
    <x v="6"/>
    <m/>
    <x v="1"/>
    <x v="2"/>
    <x v="21"/>
    <n v="200801"/>
    <n v="200801"/>
    <m/>
    <n v="4"/>
    <n v="200801"/>
    <n v="140000"/>
  </r>
  <r>
    <x v="397"/>
    <x v="6"/>
    <m/>
    <x v="4"/>
    <x v="2"/>
    <x v="26"/>
    <n v="200801"/>
    <n v="200801"/>
    <m/>
    <n v="2"/>
    <n v="200801"/>
    <n v="8000"/>
  </r>
  <r>
    <x v="397"/>
    <x v="6"/>
    <m/>
    <x v="4"/>
    <x v="2"/>
    <x v="27"/>
    <n v="200801"/>
    <n v="200801"/>
    <m/>
    <n v="6"/>
    <n v="200801"/>
    <n v="120000"/>
  </r>
  <r>
    <x v="397"/>
    <x v="6"/>
    <m/>
    <x v="0"/>
    <x v="2"/>
    <x v="15"/>
    <n v="200801"/>
    <n v="200801"/>
    <m/>
    <n v="29"/>
    <n v="200801"/>
    <n v="580000"/>
  </r>
  <r>
    <x v="397"/>
    <x v="6"/>
    <m/>
    <x v="0"/>
    <x v="2"/>
    <x v="16"/>
    <n v="200801"/>
    <n v="200801"/>
    <m/>
    <n v="30"/>
    <n v="200801"/>
    <n v="1050000"/>
  </r>
  <r>
    <x v="397"/>
    <x v="6"/>
    <m/>
    <x v="0"/>
    <x v="2"/>
    <x v="17"/>
    <n v="200801"/>
    <n v="200801"/>
    <m/>
    <n v="41"/>
    <n v="200801"/>
    <n v="1353000"/>
  </r>
  <r>
    <x v="397"/>
    <x v="6"/>
    <m/>
    <x v="0"/>
    <x v="2"/>
    <x v="19"/>
    <n v="200801"/>
    <n v="200801"/>
    <m/>
    <n v="33"/>
    <n v="200801"/>
    <n v="99000"/>
  </r>
  <r>
    <x v="397"/>
    <x v="6"/>
    <m/>
    <x v="5"/>
    <x v="2"/>
    <x v="28"/>
    <n v="200801"/>
    <n v="200801"/>
    <m/>
    <n v="23"/>
    <n v="200801"/>
    <n v="644000"/>
  </r>
  <r>
    <x v="397"/>
    <x v="6"/>
    <m/>
    <x v="5"/>
    <x v="2"/>
    <x v="69"/>
    <n v="200801"/>
    <n v="200801"/>
    <m/>
    <n v="7"/>
    <n v="200801"/>
    <n v="336000"/>
  </r>
  <r>
    <x v="397"/>
    <x v="6"/>
    <m/>
    <x v="22"/>
    <x v="2"/>
    <x v="29"/>
    <n v="200801"/>
    <n v="200801"/>
    <m/>
    <n v="5"/>
    <n v="200801"/>
    <n v="190000"/>
  </r>
  <r>
    <x v="397"/>
    <x v="6"/>
    <m/>
    <x v="19"/>
    <x v="2"/>
    <x v="22"/>
    <n v="200801"/>
    <n v="200801"/>
    <m/>
    <n v="12"/>
    <n v="200801"/>
    <n v="156000"/>
  </r>
  <r>
    <x v="397"/>
    <x v="6"/>
    <m/>
    <x v="19"/>
    <x v="2"/>
    <x v="23"/>
    <n v="200801"/>
    <n v="200801"/>
    <m/>
    <n v="3"/>
    <n v="200801"/>
    <n v="72000"/>
  </r>
  <r>
    <x v="397"/>
    <x v="6"/>
    <m/>
    <x v="33"/>
    <x v="2"/>
    <x v="92"/>
    <n v="200801"/>
    <n v="200801"/>
    <m/>
    <n v="3"/>
    <n v="200801"/>
    <n v="54600"/>
  </r>
  <r>
    <x v="397"/>
    <x v="6"/>
    <m/>
    <x v="0"/>
    <x v="9"/>
    <x v="15"/>
    <n v="200801"/>
    <n v="200801"/>
    <m/>
    <n v="2"/>
    <n v="200801"/>
    <n v="40000"/>
  </r>
  <r>
    <x v="398"/>
    <x v="3"/>
    <m/>
    <x v="0"/>
    <x v="1"/>
    <x v="15"/>
    <n v="200801"/>
    <n v="200801"/>
    <m/>
    <n v="4"/>
    <n v="200801"/>
    <n v="80000"/>
  </r>
  <r>
    <x v="398"/>
    <x v="3"/>
    <m/>
    <x v="0"/>
    <x v="1"/>
    <x v="16"/>
    <n v="200801"/>
    <n v="200801"/>
    <m/>
    <n v="20"/>
    <n v="200801"/>
    <n v="700000"/>
  </r>
  <r>
    <x v="398"/>
    <x v="3"/>
    <m/>
    <x v="0"/>
    <x v="7"/>
    <x v="15"/>
    <n v="200801"/>
    <n v="200801"/>
    <m/>
    <n v="5"/>
    <n v="200801"/>
    <n v="100000"/>
  </r>
  <r>
    <x v="398"/>
    <x v="3"/>
    <m/>
    <x v="30"/>
    <x v="3"/>
    <x v="87"/>
    <n v="200801"/>
    <n v="200801"/>
    <m/>
    <n v="1"/>
    <n v="200801"/>
    <n v="0"/>
  </r>
  <r>
    <x v="398"/>
    <x v="3"/>
    <m/>
    <x v="31"/>
    <x v="3"/>
    <x v="88"/>
    <n v="200801"/>
    <n v="200801"/>
    <m/>
    <n v="1"/>
    <n v="200801"/>
    <n v="0"/>
  </r>
  <r>
    <x v="398"/>
    <x v="3"/>
    <m/>
    <x v="33"/>
    <x v="3"/>
    <x v="94"/>
    <n v="200801"/>
    <n v="200801"/>
    <m/>
    <n v="1"/>
    <n v="200801"/>
    <n v="0"/>
  </r>
  <r>
    <x v="398"/>
    <x v="3"/>
    <m/>
    <x v="0"/>
    <x v="3"/>
    <x v="15"/>
    <n v="200801"/>
    <n v="200801"/>
    <m/>
    <n v="4"/>
    <n v="200801"/>
    <n v="0"/>
  </r>
  <r>
    <x v="398"/>
    <x v="3"/>
    <m/>
    <x v="0"/>
    <x v="3"/>
    <x v="17"/>
    <n v="200801"/>
    <n v="200801"/>
    <m/>
    <n v="3"/>
    <n v="200801"/>
    <n v="0"/>
  </r>
  <r>
    <x v="398"/>
    <x v="3"/>
    <m/>
    <x v="18"/>
    <x v="3"/>
    <x v="19"/>
    <n v="200801"/>
    <n v="200801"/>
    <m/>
    <n v="1"/>
    <n v="200801"/>
    <n v="0"/>
  </r>
  <r>
    <x v="398"/>
    <x v="3"/>
    <m/>
    <x v="5"/>
    <x v="3"/>
    <x v="28"/>
    <n v="200801"/>
    <n v="200801"/>
    <m/>
    <n v="1"/>
    <n v="200801"/>
    <n v="0"/>
  </r>
  <r>
    <x v="398"/>
    <x v="3"/>
    <m/>
    <x v="4"/>
    <x v="3"/>
    <x v="27"/>
    <n v="200801"/>
    <n v="200801"/>
    <m/>
    <n v="1"/>
    <n v="200801"/>
    <n v="0"/>
  </r>
  <r>
    <x v="398"/>
    <x v="3"/>
    <m/>
    <x v="19"/>
    <x v="3"/>
    <x v="22"/>
    <n v="200801"/>
    <n v="200801"/>
    <m/>
    <n v="1"/>
    <n v="200801"/>
    <n v="0"/>
  </r>
  <r>
    <x v="398"/>
    <x v="3"/>
    <m/>
    <x v="1"/>
    <x v="3"/>
    <x v="18"/>
    <n v="200801"/>
    <n v="200801"/>
    <m/>
    <n v="1"/>
    <n v="200801"/>
    <n v="0"/>
  </r>
  <r>
    <x v="398"/>
    <x v="3"/>
    <m/>
    <x v="6"/>
    <x v="2"/>
    <x v="37"/>
    <n v="200801"/>
    <n v="200801"/>
    <m/>
    <n v="2"/>
    <n v="200801"/>
    <n v="40000"/>
  </r>
  <r>
    <x v="398"/>
    <x v="3"/>
    <m/>
    <x v="25"/>
    <x v="2"/>
    <x v="34"/>
    <n v="200801"/>
    <n v="200801"/>
    <m/>
    <n v="3"/>
    <n v="200801"/>
    <n v="297000"/>
  </r>
  <r>
    <x v="398"/>
    <x v="3"/>
    <m/>
    <x v="31"/>
    <x v="2"/>
    <x v="95"/>
    <n v="200801"/>
    <n v="200801"/>
    <m/>
    <n v="32"/>
    <n v="200801"/>
    <n v="716800"/>
  </r>
  <r>
    <x v="398"/>
    <x v="3"/>
    <m/>
    <x v="31"/>
    <x v="2"/>
    <x v="96"/>
    <n v="200801"/>
    <n v="200801"/>
    <m/>
    <n v="29"/>
    <n v="200801"/>
    <n v="1136800"/>
  </r>
  <r>
    <x v="398"/>
    <x v="3"/>
    <m/>
    <x v="32"/>
    <x v="2"/>
    <x v="97"/>
    <n v="200801"/>
    <n v="200801"/>
    <m/>
    <n v="25"/>
    <n v="200801"/>
    <n v="927500"/>
  </r>
  <r>
    <x v="398"/>
    <x v="3"/>
    <m/>
    <x v="34"/>
    <x v="2"/>
    <x v="105"/>
    <n v="200801"/>
    <n v="200801"/>
    <m/>
    <n v="32"/>
    <n v="200801"/>
    <n v="1187200"/>
  </r>
  <r>
    <x v="398"/>
    <x v="3"/>
    <m/>
    <x v="30"/>
    <x v="2"/>
    <x v="99"/>
    <n v="200801"/>
    <n v="200801"/>
    <m/>
    <n v="10"/>
    <n v="200801"/>
    <n v="224000"/>
  </r>
  <r>
    <x v="398"/>
    <x v="3"/>
    <m/>
    <x v="30"/>
    <x v="2"/>
    <x v="100"/>
    <n v="200801"/>
    <n v="200801"/>
    <m/>
    <n v="1"/>
    <n v="200801"/>
    <n v="39200"/>
  </r>
  <r>
    <x v="398"/>
    <x v="3"/>
    <m/>
    <x v="1"/>
    <x v="2"/>
    <x v="18"/>
    <n v="200801"/>
    <n v="200801"/>
    <m/>
    <n v="7"/>
    <n v="200801"/>
    <n v="140000"/>
  </r>
  <r>
    <x v="398"/>
    <x v="3"/>
    <m/>
    <x v="1"/>
    <x v="2"/>
    <x v="21"/>
    <n v="200801"/>
    <n v="200801"/>
    <m/>
    <n v="2"/>
    <n v="200801"/>
    <n v="70000"/>
  </r>
  <r>
    <x v="398"/>
    <x v="3"/>
    <m/>
    <x v="4"/>
    <x v="2"/>
    <x v="26"/>
    <n v="200801"/>
    <n v="200801"/>
    <m/>
    <n v="1"/>
    <n v="200801"/>
    <n v="4000"/>
  </r>
  <r>
    <x v="398"/>
    <x v="3"/>
    <m/>
    <x v="4"/>
    <x v="2"/>
    <x v="27"/>
    <n v="200801"/>
    <n v="200801"/>
    <m/>
    <n v="2"/>
    <n v="200801"/>
    <n v="40000"/>
  </r>
  <r>
    <x v="398"/>
    <x v="3"/>
    <m/>
    <x v="0"/>
    <x v="2"/>
    <x v="15"/>
    <n v="200801"/>
    <n v="200801"/>
    <m/>
    <n v="40"/>
    <n v="200801"/>
    <n v="800000"/>
  </r>
  <r>
    <x v="398"/>
    <x v="3"/>
    <m/>
    <x v="0"/>
    <x v="2"/>
    <x v="16"/>
    <n v="200801"/>
    <n v="200801"/>
    <m/>
    <n v="37"/>
    <n v="200801"/>
    <n v="1295000"/>
  </r>
  <r>
    <x v="398"/>
    <x v="3"/>
    <m/>
    <x v="0"/>
    <x v="2"/>
    <x v="17"/>
    <n v="200801"/>
    <n v="200801"/>
    <m/>
    <n v="51"/>
    <n v="200801"/>
    <n v="1683000"/>
  </r>
  <r>
    <x v="398"/>
    <x v="3"/>
    <m/>
    <x v="0"/>
    <x v="2"/>
    <x v="19"/>
    <n v="200801"/>
    <n v="200801"/>
    <m/>
    <n v="28"/>
    <n v="200801"/>
    <n v="84000"/>
  </r>
  <r>
    <x v="398"/>
    <x v="3"/>
    <m/>
    <x v="5"/>
    <x v="2"/>
    <x v="28"/>
    <n v="200801"/>
    <n v="200801"/>
    <m/>
    <n v="22"/>
    <n v="200801"/>
    <n v="616000"/>
  </r>
  <r>
    <x v="398"/>
    <x v="3"/>
    <m/>
    <x v="5"/>
    <x v="2"/>
    <x v="69"/>
    <n v="200801"/>
    <n v="200801"/>
    <m/>
    <n v="9"/>
    <n v="200801"/>
    <n v="432000"/>
  </r>
  <r>
    <x v="398"/>
    <x v="3"/>
    <m/>
    <x v="22"/>
    <x v="2"/>
    <x v="29"/>
    <n v="200801"/>
    <n v="200801"/>
    <m/>
    <n v="11"/>
    <n v="200801"/>
    <n v="418000"/>
  </r>
  <r>
    <x v="398"/>
    <x v="3"/>
    <m/>
    <x v="19"/>
    <x v="2"/>
    <x v="22"/>
    <n v="200801"/>
    <n v="200801"/>
    <m/>
    <n v="11"/>
    <n v="200801"/>
    <n v="143000"/>
  </r>
  <r>
    <x v="398"/>
    <x v="3"/>
    <m/>
    <x v="19"/>
    <x v="2"/>
    <x v="23"/>
    <n v="200801"/>
    <n v="200801"/>
    <m/>
    <n v="3"/>
    <n v="200801"/>
    <n v="72000"/>
  </r>
  <r>
    <x v="398"/>
    <x v="3"/>
    <m/>
    <x v="19"/>
    <x v="2"/>
    <x v="24"/>
    <n v="200801"/>
    <n v="200801"/>
    <m/>
    <n v="2"/>
    <n v="200801"/>
    <n v="66000"/>
  </r>
  <r>
    <x v="398"/>
    <x v="3"/>
    <m/>
    <x v="33"/>
    <x v="2"/>
    <x v="92"/>
    <n v="200801"/>
    <n v="200801"/>
    <m/>
    <n v="1"/>
    <n v="200801"/>
    <n v="18200"/>
  </r>
  <r>
    <x v="398"/>
    <x v="3"/>
    <m/>
    <x v="33"/>
    <x v="2"/>
    <x v="93"/>
    <n v="200801"/>
    <n v="200801"/>
    <m/>
    <n v="1"/>
    <n v="200801"/>
    <n v="33800"/>
  </r>
  <r>
    <x v="398"/>
    <x v="3"/>
    <m/>
    <x v="0"/>
    <x v="9"/>
    <x v="15"/>
    <n v="200801"/>
    <n v="200801"/>
    <m/>
    <n v="7"/>
    <n v="200801"/>
    <n v="140000"/>
  </r>
  <r>
    <x v="398"/>
    <x v="3"/>
    <m/>
    <x v="31"/>
    <x v="9"/>
    <x v="88"/>
    <n v="200801"/>
    <n v="200801"/>
    <m/>
    <n v="1"/>
    <n v="200801"/>
    <n v="22400"/>
  </r>
  <r>
    <x v="399"/>
    <x v="4"/>
    <m/>
    <x v="0"/>
    <x v="1"/>
    <x v="16"/>
    <n v="200801"/>
    <n v="200801"/>
    <m/>
    <n v="6"/>
    <n v="200801"/>
    <n v="210000"/>
  </r>
  <r>
    <x v="399"/>
    <x v="4"/>
    <m/>
    <x v="0"/>
    <x v="7"/>
    <x v="15"/>
    <n v="200801"/>
    <n v="200801"/>
    <m/>
    <n v="5"/>
    <n v="200801"/>
    <n v="100000"/>
  </r>
  <r>
    <x v="399"/>
    <x v="4"/>
    <m/>
    <x v="30"/>
    <x v="3"/>
    <x v="87"/>
    <n v="200801"/>
    <n v="200801"/>
    <m/>
    <n v="30"/>
    <n v="200801"/>
    <n v="0"/>
  </r>
  <r>
    <x v="399"/>
    <x v="4"/>
    <m/>
    <x v="6"/>
    <x v="2"/>
    <x v="37"/>
    <n v="200801"/>
    <n v="200801"/>
    <m/>
    <n v="4"/>
    <n v="200801"/>
    <n v="80000"/>
  </r>
  <r>
    <x v="399"/>
    <x v="4"/>
    <m/>
    <x v="6"/>
    <x v="2"/>
    <x v="42"/>
    <n v="200801"/>
    <n v="200801"/>
    <m/>
    <n v="1"/>
    <n v="200801"/>
    <n v="35000"/>
  </r>
  <r>
    <x v="399"/>
    <x v="4"/>
    <m/>
    <x v="25"/>
    <x v="2"/>
    <x v="34"/>
    <n v="200801"/>
    <n v="200801"/>
    <m/>
    <n v="3"/>
    <n v="200801"/>
    <n v="297000"/>
  </r>
  <r>
    <x v="399"/>
    <x v="4"/>
    <m/>
    <x v="31"/>
    <x v="2"/>
    <x v="95"/>
    <n v="200801"/>
    <n v="200801"/>
    <m/>
    <n v="20"/>
    <n v="200801"/>
    <n v="448000"/>
  </r>
  <r>
    <x v="399"/>
    <x v="4"/>
    <m/>
    <x v="31"/>
    <x v="2"/>
    <x v="96"/>
    <n v="200801"/>
    <n v="200801"/>
    <m/>
    <n v="33"/>
    <n v="200801"/>
    <n v="1293600"/>
  </r>
  <r>
    <x v="399"/>
    <x v="4"/>
    <m/>
    <x v="32"/>
    <x v="2"/>
    <x v="97"/>
    <n v="200801"/>
    <n v="200801"/>
    <m/>
    <n v="15"/>
    <n v="200801"/>
    <n v="556500"/>
  </r>
  <r>
    <x v="399"/>
    <x v="4"/>
    <m/>
    <x v="34"/>
    <x v="2"/>
    <x v="105"/>
    <n v="200801"/>
    <n v="200801"/>
    <m/>
    <n v="26"/>
    <n v="200801"/>
    <n v="964600"/>
  </r>
  <r>
    <x v="399"/>
    <x v="4"/>
    <m/>
    <x v="30"/>
    <x v="2"/>
    <x v="99"/>
    <n v="200801"/>
    <n v="200801"/>
    <m/>
    <n v="12"/>
    <n v="200801"/>
    <n v="268800"/>
  </r>
  <r>
    <x v="399"/>
    <x v="4"/>
    <m/>
    <x v="1"/>
    <x v="2"/>
    <x v="21"/>
    <n v="200801"/>
    <n v="200801"/>
    <m/>
    <n v="1"/>
    <n v="200801"/>
    <n v="35000"/>
  </r>
  <r>
    <x v="399"/>
    <x v="4"/>
    <m/>
    <x v="4"/>
    <x v="2"/>
    <x v="26"/>
    <n v="200801"/>
    <n v="200801"/>
    <m/>
    <n v="6"/>
    <n v="200801"/>
    <n v="24000"/>
  </r>
  <r>
    <x v="399"/>
    <x v="4"/>
    <m/>
    <x v="4"/>
    <x v="2"/>
    <x v="27"/>
    <n v="200801"/>
    <n v="200801"/>
    <m/>
    <n v="1"/>
    <n v="200801"/>
    <n v="20000"/>
  </r>
  <r>
    <x v="399"/>
    <x v="4"/>
    <m/>
    <x v="0"/>
    <x v="2"/>
    <x v="15"/>
    <n v="200801"/>
    <n v="200801"/>
    <m/>
    <n v="33"/>
    <n v="200801"/>
    <n v="660000"/>
  </r>
  <r>
    <x v="399"/>
    <x v="4"/>
    <m/>
    <x v="0"/>
    <x v="2"/>
    <x v="16"/>
    <n v="200801"/>
    <n v="200801"/>
    <m/>
    <n v="26"/>
    <n v="200801"/>
    <n v="910000"/>
  </r>
  <r>
    <x v="399"/>
    <x v="4"/>
    <m/>
    <x v="0"/>
    <x v="2"/>
    <x v="17"/>
    <n v="200801"/>
    <n v="200801"/>
    <m/>
    <n v="50"/>
    <n v="200801"/>
    <n v="1650000"/>
  </r>
  <r>
    <x v="399"/>
    <x v="4"/>
    <m/>
    <x v="0"/>
    <x v="2"/>
    <x v="19"/>
    <n v="200801"/>
    <n v="200801"/>
    <m/>
    <n v="29"/>
    <n v="200801"/>
    <n v="87000"/>
  </r>
  <r>
    <x v="399"/>
    <x v="4"/>
    <m/>
    <x v="5"/>
    <x v="2"/>
    <x v="28"/>
    <n v="200801"/>
    <n v="200801"/>
    <m/>
    <n v="25"/>
    <n v="200801"/>
    <n v="700000"/>
  </r>
  <r>
    <x v="399"/>
    <x v="4"/>
    <m/>
    <x v="5"/>
    <x v="2"/>
    <x v="69"/>
    <n v="200801"/>
    <n v="200801"/>
    <m/>
    <n v="9"/>
    <n v="200801"/>
    <n v="432000"/>
  </r>
  <r>
    <x v="399"/>
    <x v="4"/>
    <m/>
    <x v="22"/>
    <x v="2"/>
    <x v="29"/>
    <n v="200801"/>
    <n v="200801"/>
    <m/>
    <n v="3"/>
    <n v="200801"/>
    <n v="114000"/>
  </r>
  <r>
    <x v="399"/>
    <x v="4"/>
    <m/>
    <x v="19"/>
    <x v="2"/>
    <x v="22"/>
    <n v="200801"/>
    <n v="200801"/>
    <m/>
    <n v="7"/>
    <n v="200801"/>
    <n v="91000"/>
  </r>
  <r>
    <x v="399"/>
    <x v="4"/>
    <m/>
    <x v="19"/>
    <x v="2"/>
    <x v="23"/>
    <n v="200801"/>
    <n v="200801"/>
    <m/>
    <n v="3"/>
    <n v="200801"/>
    <n v="72000"/>
  </r>
  <r>
    <x v="399"/>
    <x v="4"/>
    <m/>
    <x v="33"/>
    <x v="2"/>
    <x v="92"/>
    <n v="200801"/>
    <n v="200801"/>
    <m/>
    <n v="1"/>
    <n v="200801"/>
    <n v="18200"/>
  </r>
  <r>
    <x v="399"/>
    <x v="4"/>
    <m/>
    <x v="33"/>
    <x v="2"/>
    <x v="93"/>
    <n v="200801"/>
    <n v="200801"/>
    <m/>
    <n v="1"/>
    <n v="200801"/>
    <n v="33800"/>
  </r>
  <r>
    <x v="399"/>
    <x v="4"/>
    <m/>
    <x v="0"/>
    <x v="9"/>
    <x v="15"/>
    <n v="200801"/>
    <n v="200801"/>
    <m/>
    <n v="1"/>
    <n v="200801"/>
    <n v="20000"/>
  </r>
  <r>
    <x v="399"/>
    <x v="4"/>
    <m/>
    <x v="19"/>
    <x v="19"/>
    <x v="22"/>
    <n v="200801"/>
    <n v="200801"/>
    <m/>
    <n v="1"/>
    <n v="200801"/>
    <n v="16000"/>
  </r>
  <r>
    <x v="400"/>
    <x v="1"/>
    <m/>
    <x v="0"/>
    <x v="1"/>
    <x v="15"/>
    <n v="200801"/>
    <n v="200801"/>
    <m/>
    <n v="1"/>
    <n v="200801"/>
    <n v="20000"/>
  </r>
  <r>
    <x v="400"/>
    <x v="1"/>
    <m/>
    <x v="0"/>
    <x v="1"/>
    <x v="16"/>
    <n v="200801"/>
    <n v="200801"/>
    <m/>
    <n v="5"/>
    <n v="200801"/>
    <n v="175000"/>
  </r>
  <r>
    <x v="400"/>
    <x v="1"/>
    <m/>
    <x v="0"/>
    <x v="7"/>
    <x v="15"/>
    <n v="200801"/>
    <n v="200801"/>
    <m/>
    <n v="1"/>
    <n v="200801"/>
    <n v="20000"/>
  </r>
  <r>
    <x v="400"/>
    <x v="1"/>
    <m/>
    <x v="30"/>
    <x v="3"/>
    <x v="87"/>
    <n v="200801"/>
    <n v="200801"/>
    <m/>
    <n v="1"/>
    <n v="200801"/>
    <n v="0"/>
  </r>
  <r>
    <x v="400"/>
    <x v="1"/>
    <m/>
    <x v="31"/>
    <x v="3"/>
    <x v="88"/>
    <n v="200801"/>
    <n v="200801"/>
    <m/>
    <n v="1"/>
    <n v="200801"/>
    <n v="0"/>
  </r>
  <r>
    <x v="400"/>
    <x v="1"/>
    <m/>
    <x v="33"/>
    <x v="3"/>
    <x v="94"/>
    <n v="200801"/>
    <n v="200801"/>
    <m/>
    <n v="1"/>
    <n v="200801"/>
    <n v="0"/>
  </r>
  <r>
    <x v="400"/>
    <x v="1"/>
    <m/>
    <x v="0"/>
    <x v="3"/>
    <x v="15"/>
    <n v="200801"/>
    <n v="200801"/>
    <m/>
    <n v="11"/>
    <n v="200801"/>
    <n v="0"/>
  </r>
  <r>
    <x v="400"/>
    <x v="1"/>
    <m/>
    <x v="18"/>
    <x v="3"/>
    <x v="19"/>
    <n v="200801"/>
    <n v="200801"/>
    <m/>
    <n v="1"/>
    <n v="200801"/>
    <n v="0"/>
  </r>
  <r>
    <x v="400"/>
    <x v="1"/>
    <m/>
    <x v="5"/>
    <x v="3"/>
    <x v="28"/>
    <n v="200801"/>
    <n v="200801"/>
    <m/>
    <n v="1"/>
    <n v="200801"/>
    <n v="0"/>
  </r>
  <r>
    <x v="400"/>
    <x v="1"/>
    <m/>
    <x v="4"/>
    <x v="3"/>
    <x v="27"/>
    <n v="200801"/>
    <n v="200801"/>
    <m/>
    <n v="1"/>
    <n v="200801"/>
    <n v="0"/>
  </r>
  <r>
    <x v="400"/>
    <x v="1"/>
    <m/>
    <x v="6"/>
    <x v="3"/>
    <x v="37"/>
    <n v="200801"/>
    <n v="200801"/>
    <m/>
    <n v="1"/>
    <n v="200801"/>
    <n v="0"/>
  </r>
  <r>
    <x v="400"/>
    <x v="1"/>
    <m/>
    <x v="22"/>
    <x v="3"/>
    <x v="29"/>
    <n v="200801"/>
    <n v="200801"/>
    <m/>
    <n v="1"/>
    <n v="200801"/>
    <n v="0"/>
  </r>
  <r>
    <x v="400"/>
    <x v="1"/>
    <m/>
    <x v="19"/>
    <x v="3"/>
    <x v="22"/>
    <n v="200801"/>
    <n v="200801"/>
    <m/>
    <n v="1"/>
    <n v="200801"/>
    <n v="0"/>
  </r>
  <r>
    <x v="400"/>
    <x v="1"/>
    <m/>
    <x v="1"/>
    <x v="3"/>
    <x v="18"/>
    <n v="200801"/>
    <n v="200801"/>
    <m/>
    <n v="1"/>
    <n v="200801"/>
    <n v="0"/>
  </r>
  <r>
    <x v="400"/>
    <x v="1"/>
    <m/>
    <x v="6"/>
    <x v="2"/>
    <x v="37"/>
    <n v="200801"/>
    <n v="200801"/>
    <m/>
    <n v="2"/>
    <n v="200801"/>
    <n v="40000"/>
  </r>
  <r>
    <x v="400"/>
    <x v="1"/>
    <m/>
    <x v="25"/>
    <x v="2"/>
    <x v="34"/>
    <n v="200801"/>
    <n v="200801"/>
    <m/>
    <n v="1"/>
    <n v="200801"/>
    <n v="99000"/>
  </r>
  <r>
    <x v="400"/>
    <x v="1"/>
    <m/>
    <x v="31"/>
    <x v="2"/>
    <x v="95"/>
    <n v="200801"/>
    <n v="200801"/>
    <m/>
    <n v="24"/>
    <n v="200801"/>
    <n v="537600"/>
  </r>
  <r>
    <x v="400"/>
    <x v="1"/>
    <m/>
    <x v="31"/>
    <x v="2"/>
    <x v="96"/>
    <n v="200801"/>
    <n v="200801"/>
    <m/>
    <n v="33"/>
    <n v="200801"/>
    <n v="1293600"/>
  </r>
  <r>
    <x v="400"/>
    <x v="1"/>
    <m/>
    <x v="32"/>
    <x v="2"/>
    <x v="97"/>
    <n v="200801"/>
    <n v="200801"/>
    <m/>
    <n v="19"/>
    <n v="200801"/>
    <n v="704900"/>
  </r>
  <r>
    <x v="400"/>
    <x v="1"/>
    <m/>
    <x v="34"/>
    <x v="2"/>
    <x v="105"/>
    <n v="200801"/>
    <n v="200801"/>
    <m/>
    <n v="22"/>
    <n v="200801"/>
    <n v="816200"/>
  </r>
  <r>
    <x v="400"/>
    <x v="1"/>
    <m/>
    <x v="30"/>
    <x v="2"/>
    <x v="99"/>
    <n v="200801"/>
    <n v="200801"/>
    <m/>
    <n v="8"/>
    <n v="200801"/>
    <n v="179200"/>
  </r>
  <r>
    <x v="400"/>
    <x v="1"/>
    <m/>
    <x v="30"/>
    <x v="2"/>
    <x v="100"/>
    <n v="200801"/>
    <n v="200801"/>
    <m/>
    <n v="1"/>
    <n v="200801"/>
    <n v="39200"/>
  </r>
  <r>
    <x v="400"/>
    <x v="1"/>
    <m/>
    <x v="1"/>
    <x v="2"/>
    <x v="18"/>
    <n v="200801"/>
    <n v="200801"/>
    <m/>
    <n v="6"/>
    <n v="200801"/>
    <n v="120000"/>
  </r>
  <r>
    <x v="400"/>
    <x v="1"/>
    <m/>
    <x v="1"/>
    <x v="2"/>
    <x v="21"/>
    <n v="200801"/>
    <n v="200801"/>
    <m/>
    <n v="1"/>
    <n v="200801"/>
    <n v="35000"/>
  </r>
  <r>
    <x v="400"/>
    <x v="1"/>
    <m/>
    <x v="4"/>
    <x v="2"/>
    <x v="26"/>
    <n v="200801"/>
    <n v="200801"/>
    <m/>
    <n v="2"/>
    <n v="200801"/>
    <n v="8000"/>
  </r>
  <r>
    <x v="400"/>
    <x v="1"/>
    <m/>
    <x v="4"/>
    <x v="2"/>
    <x v="27"/>
    <n v="200801"/>
    <n v="200801"/>
    <m/>
    <n v="4"/>
    <n v="200801"/>
    <n v="80000"/>
  </r>
  <r>
    <x v="400"/>
    <x v="1"/>
    <m/>
    <x v="0"/>
    <x v="2"/>
    <x v="15"/>
    <n v="200801"/>
    <n v="200801"/>
    <m/>
    <n v="42"/>
    <n v="200801"/>
    <n v="840000"/>
  </r>
  <r>
    <x v="400"/>
    <x v="1"/>
    <m/>
    <x v="0"/>
    <x v="2"/>
    <x v="16"/>
    <n v="200801"/>
    <n v="200801"/>
    <m/>
    <n v="26"/>
    <n v="200801"/>
    <n v="910000"/>
  </r>
  <r>
    <x v="400"/>
    <x v="1"/>
    <m/>
    <x v="0"/>
    <x v="2"/>
    <x v="17"/>
    <n v="200801"/>
    <n v="200801"/>
    <m/>
    <n v="49"/>
    <n v="200801"/>
    <n v="1617000"/>
  </r>
  <r>
    <x v="400"/>
    <x v="1"/>
    <m/>
    <x v="0"/>
    <x v="2"/>
    <x v="19"/>
    <n v="200801"/>
    <n v="200801"/>
    <m/>
    <n v="42"/>
    <n v="200801"/>
    <n v="126000"/>
  </r>
  <r>
    <x v="400"/>
    <x v="1"/>
    <m/>
    <x v="5"/>
    <x v="2"/>
    <x v="28"/>
    <n v="200801"/>
    <n v="200801"/>
    <m/>
    <n v="18"/>
    <n v="200801"/>
    <n v="504000"/>
  </r>
  <r>
    <x v="400"/>
    <x v="1"/>
    <m/>
    <x v="5"/>
    <x v="2"/>
    <x v="69"/>
    <n v="200801"/>
    <n v="200801"/>
    <m/>
    <n v="7"/>
    <n v="200801"/>
    <n v="336000"/>
  </r>
  <r>
    <x v="400"/>
    <x v="1"/>
    <m/>
    <x v="22"/>
    <x v="2"/>
    <x v="29"/>
    <n v="200801"/>
    <n v="200801"/>
    <m/>
    <n v="12"/>
    <n v="200801"/>
    <n v="456000"/>
  </r>
  <r>
    <x v="400"/>
    <x v="1"/>
    <m/>
    <x v="19"/>
    <x v="2"/>
    <x v="22"/>
    <n v="200801"/>
    <n v="200801"/>
    <m/>
    <n v="19"/>
    <n v="200801"/>
    <n v="247000"/>
  </r>
  <r>
    <x v="400"/>
    <x v="1"/>
    <m/>
    <x v="19"/>
    <x v="2"/>
    <x v="23"/>
    <n v="200801"/>
    <n v="200801"/>
    <m/>
    <n v="1"/>
    <n v="200801"/>
    <n v="24000"/>
  </r>
  <r>
    <x v="400"/>
    <x v="1"/>
    <m/>
    <x v="19"/>
    <x v="2"/>
    <x v="24"/>
    <n v="200801"/>
    <n v="200801"/>
    <m/>
    <n v="1"/>
    <n v="200801"/>
    <n v="33000"/>
  </r>
  <r>
    <x v="400"/>
    <x v="1"/>
    <m/>
    <x v="33"/>
    <x v="2"/>
    <x v="92"/>
    <n v="200801"/>
    <n v="200801"/>
    <m/>
    <n v="3"/>
    <n v="200801"/>
    <n v="54600"/>
  </r>
  <r>
    <x v="400"/>
    <x v="1"/>
    <m/>
    <x v="33"/>
    <x v="2"/>
    <x v="93"/>
    <n v="200801"/>
    <n v="200801"/>
    <m/>
    <n v="1"/>
    <n v="200801"/>
    <n v="33800"/>
  </r>
  <r>
    <x v="400"/>
    <x v="1"/>
    <m/>
    <x v="5"/>
    <x v="9"/>
    <x v="28"/>
    <n v="200801"/>
    <n v="200801"/>
    <m/>
    <n v="1"/>
    <n v="200801"/>
    <n v="28000"/>
  </r>
  <r>
    <x v="400"/>
    <x v="1"/>
    <m/>
    <x v="0"/>
    <x v="9"/>
    <x v="15"/>
    <n v="200801"/>
    <n v="200801"/>
    <m/>
    <n v="4"/>
    <n v="200801"/>
    <n v="80000"/>
  </r>
  <r>
    <x v="400"/>
    <x v="1"/>
    <m/>
    <x v="19"/>
    <x v="9"/>
    <x v="22"/>
    <n v="200801"/>
    <n v="200801"/>
    <m/>
    <n v="1"/>
    <n v="200801"/>
    <n v="13000"/>
  </r>
  <r>
    <x v="401"/>
    <x v="0"/>
    <m/>
    <x v="0"/>
    <x v="1"/>
    <x v="15"/>
    <n v="200801"/>
    <n v="200801"/>
    <m/>
    <n v="3"/>
    <n v="200801"/>
    <n v="60000"/>
  </r>
  <r>
    <x v="401"/>
    <x v="0"/>
    <m/>
    <x v="0"/>
    <x v="1"/>
    <x v="16"/>
    <n v="200801"/>
    <n v="200801"/>
    <m/>
    <n v="10"/>
    <n v="200801"/>
    <n v="350000"/>
  </r>
  <r>
    <x v="401"/>
    <x v="0"/>
    <m/>
    <x v="31"/>
    <x v="3"/>
    <x v="88"/>
    <n v="200801"/>
    <n v="200801"/>
    <m/>
    <n v="40"/>
    <n v="200801"/>
    <n v="0"/>
  </r>
  <r>
    <x v="401"/>
    <x v="0"/>
    <m/>
    <x v="6"/>
    <x v="2"/>
    <x v="37"/>
    <n v="200801"/>
    <n v="200801"/>
    <m/>
    <n v="3"/>
    <n v="200801"/>
    <n v="60000"/>
  </r>
  <r>
    <x v="401"/>
    <x v="0"/>
    <m/>
    <x v="6"/>
    <x v="2"/>
    <x v="42"/>
    <n v="200801"/>
    <n v="200801"/>
    <m/>
    <n v="1"/>
    <n v="200801"/>
    <n v="35000"/>
  </r>
  <r>
    <x v="401"/>
    <x v="0"/>
    <m/>
    <x v="31"/>
    <x v="2"/>
    <x v="95"/>
    <n v="200801"/>
    <n v="200801"/>
    <m/>
    <n v="21"/>
    <n v="200801"/>
    <n v="470400"/>
  </r>
  <r>
    <x v="401"/>
    <x v="0"/>
    <m/>
    <x v="31"/>
    <x v="2"/>
    <x v="96"/>
    <n v="200801"/>
    <n v="200801"/>
    <m/>
    <n v="24"/>
    <n v="200801"/>
    <n v="940800"/>
  </r>
  <r>
    <x v="401"/>
    <x v="0"/>
    <m/>
    <x v="32"/>
    <x v="2"/>
    <x v="97"/>
    <n v="200801"/>
    <n v="200801"/>
    <m/>
    <n v="26"/>
    <n v="200801"/>
    <n v="964600"/>
  </r>
  <r>
    <x v="401"/>
    <x v="0"/>
    <m/>
    <x v="34"/>
    <x v="2"/>
    <x v="105"/>
    <n v="200801"/>
    <n v="200801"/>
    <m/>
    <n v="30"/>
    <n v="200801"/>
    <n v="1113000"/>
  </r>
  <r>
    <x v="401"/>
    <x v="0"/>
    <m/>
    <x v="30"/>
    <x v="2"/>
    <x v="99"/>
    <n v="200801"/>
    <n v="200801"/>
    <m/>
    <n v="6"/>
    <n v="200801"/>
    <n v="134400"/>
  </r>
  <r>
    <x v="401"/>
    <x v="0"/>
    <m/>
    <x v="30"/>
    <x v="2"/>
    <x v="100"/>
    <n v="200801"/>
    <n v="200801"/>
    <m/>
    <n v="1"/>
    <n v="200801"/>
    <n v="39200"/>
  </r>
  <r>
    <x v="401"/>
    <x v="0"/>
    <m/>
    <x v="1"/>
    <x v="2"/>
    <x v="18"/>
    <n v="200801"/>
    <n v="200801"/>
    <m/>
    <n v="7"/>
    <n v="200801"/>
    <n v="140000"/>
  </r>
  <r>
    <x v="401"/>
    <x v="0"/>
    <m/>
    <x v="4"/>
    <x v="2"/>
    <x v="26"/>
    <n v="200801"/>
    <n v="200801"/>
    <m/>
    <n v="2"/>
    <n v="200801"/>
    <n v="8000"/>
  </r>
  <r>
    <x v="401"/>
    <x v="0"/>
    <m/>
    <x v="4"/>
    <x v="2"/>
    <x v="27"/>
    <n v="200801"/>
    <n v="200801"/>
    <m/>
    <n v="6"/>
    <n v="200801"/>
    <n v="120000"/>
  </r>
  <r>
    <x v="401"/>
    <x v="0"/>
    <m/>
    <x v="0"/>
    <x v="2"/>
    <x v="15"/>
    <n v="200801"/>
    <n v="200801"/>
    <m/>
    <n v="27"/>
    <n v="200801"/>
    <n v="540000"/>
  </r>
  <r>
    <x v="401"/>
    <x v="0"/>
    <m/>
    <x v="0"/>
    <x v="2"/>
    <x v="16"/>
    <n v="200801"/>
    <n v="200801"/>
    <m/>
    <n v="21"/>
    <n v="200801"/>
    <n v="735000"/>
  </r>
  <r>
    <x v="401"/>
    <x v="0"/>
    <m/>
    <x v="0"/>
    <x v="2"/>
    <x v="17"/>
    <n v="200801"/>
    <n v="200801"/>
    <m/>
    <n v="38"/>
    <n v="200801"/>
    <n v="1254000"/>
  </r>
  <r>
    <x v="401"/>
    <x v="0"/>
    <m/>
    <x v="0"/>
    <x v="2"/>
    <x v="19"/>
    <n v="200801"/>
    <n v="200801"/>
    <m/>
    <n v="37"/>
    <n v="200801"/>
    <n v="111000"/>
  </r>
  <r>
    <x v="401"/>
    <x v="0"/>
    <m/>
    <x v="5"/>
    <x v="2"/>
    <x v="28"/>
    <n v="200801"/>
    <n v="200801"/>
    <m/>
    <n v="21"/>
    <n v="200801"/>
    <n v="588000"/>
  </r>
  <r>
    <x v="401"/>
    <x v="0"/>
    <m/>
    <x v="5"/>
    <x v="2"/>
    <x v="69"/>
    <n v="200801"/>
    <n v="200801"/>
    <m/>
    <n v="10"/>
    <n v="200801"/>
    <n v="480000"/>
  </r>
  <r>
    <x v="401"/>
    <x v="0"/>
    <m/>
    <x v="22"/>
    <x v="2"/>
    <x v="29"/>
    <n v="200801"/>
    <n v="200801"/>
    <m/>
    <n v="9"/>
    <n v="200801"/>
    <n v="342000"/>
  </r>
  <r>
    <x v="401"/>
    <x v="0"/>
    <m/>
    <x v="19"/>
    <x v="2"/>
    <x v="22"/>
    <n v="200801"/>
    <n v="200801"/>
    <m/>
    <n v="11"/>
    <n v="200801"/>
    <n v="143000"/>
  </r>
  <r>
    <x v="401"/>
    <x v="0"/>
    <m/>
    <x v="19"/>
    <x v="2"/>
    <x v="24"/>
    <n v="200801"/>
    <n v="200801"/>
    <m/>
    <n v="1"/>
    <n v="200801"/>
    <n v="33000"/>
  </r>
  <r>
    <x v="401"/>
    <x v="0"/>
    <m/>
    <x v="33"/>
    <x v="2"/>
    <x v="92"/>
    <n v="200801"/>
    <n v="200801"/>
    <m/>
    <n v="1"/>
    <n v="200801"/>
    <n v="18200"/>
  </r>
  <r>
    <x v="401"/>
    <x v="0"/>
    <m/>
    <x v="0"/>
    <x v="9"/>
    <x v="15"/>
    <n v="200801"/>
    <n v="200801"/>
    <m/>
    <n v="5"/>
    <n v="200801"/>
    <n v="100000"/>
  </r>
  <r>
    <x v="402"/>
    <x v="2"/>
    <m/>
    <x v="0"/>
    <x v="1"/>
    <x v="15"/>
    <n v="200801"/>
    <n v="200801"/>
    <m/>
    <n v="1"/>
    <n v="200801"/>
    <n v="20000"/>
  </r>
  <r>
    <x v="402"/>
    <x v="2"/>
    <m/>
    <x v="0"/>
    <x v="1"/>
    <x v="16"/>
    <n v="200801"/>
    <n v="200801"/>
    <m/>
    <n v="4"/>
    <n v="200801"/>
    <n v="140000"/>
  </r>
  <r>
    <x v="402"/>
    <x v="2"/>
    <m/>
    <x v="0"/>
    <x v="7"/>
    <x v="15"/>
    <n v="200801"/>
    <n v="200801"/>
    <m/>
    <n v="3"/>
    <n v="200801"/>
    <n v="60000"/>
  </r>
  <r>
    <x v="402"/>
    <x v="2"/>
    <m/>
    <x v="31"/>
    <x v="3"/>
    <x v="88"/>
    <n v="200801"/>
    <n v="200801"/>
    <m/>
    <n v="1"/>
    <n v="200801"/>
    <n v="0"/>
  </r>
  <r>
    <x v="402"/>
    <x v="2"/>
    <m/>
    <x v="35"/>
    <x v="3"/>
    <x v="107"/>
    <n v="200801"/>
    <n v="200801"/>
    <m/>
    <n v="1"/>
    <n v="200801"/>
    <n v="0"/>
  </r>
  <r>
    <x v="402"/>
    <x v="2"/>
    <m/>
    <x v="0"/>
    <x v="3"/>
    <x v="15"/>
    <n v="200801"/>
    <n v="200801"/>
    <m/>
    <n v="1"/>
    <n v="200801"/>
    <n v="0"/>
  </r>
  <r>
    <x v="402"/>
    <x v="2"/>
    <m/>
    <x v="36"/>
    <x v="3"/>
    <x v="109"/>
    <n v="200801"/>
    <n v="200801"/>
    <m/>
    <n v="1"/>
    <n v="200801"/>
    <n v="0"/>
  </r>
  <r>
    <x v="402"/>
    <x v="2"/>
    <m/>
    <x v="18"/>
    <x v="3"/>
    <x v="19"/>
    <n v="200801"/>
    <n v="200801"/>
    <m/>
    <n v="1"/>
    <n v="200801"/>
    <n v="0"/>
  </r>
  <r>
    <x v="402"/>
    <x v="2"/>
    <m/>
    <x v="6"/>
    <x v="2"/>
    <x v="42"/>
    <n v="200801"/>
    <n v="200801"/>
    <m/>
    <n v="2"/>
    <n v="200801"/>
    <n v="70000"/>
  </r>
  <r>
    <x v="402"/>
    <x v="2"/>
    <m/>
    <x v="31"/>
    <x v="2"/>
    <x v="95"/>
    <n v="200801"/>
    <n v="200801"/>
    <m/>
    <n v="13"/>
    <n v="200801"/>
    <n v="291200"/>
  </r>
  <r>
    <x v="402"/>
    <x v="2"/>
    <m/>
    <x v="31"/>
    <x v="2"/>
    <x v="96"/>
    <n v="200801"/>
    <n v="200801"/>
    <m/>
    <n v="30"/>
    <n v="200801"/>
    <n v="1176000"/>
  </r>
  <r>
    <x v="402"/>
    <x v="2"/>
    <m/>
    <x v="32"/>
    <x v="2"/>
    <x v="97"/>
    <n v="200801"/>
    <n v="200801"/>
    <m/>
    <n v="20"/>
    <n v="200801"/>
    <n v="742000"/>
  </r>
  <r>
    <x v="402"/>
    <x v="2"/>
    <m/>
    <x v="34"/>
    <x v="2"/>
    <x v="105"/>
    <n v="200801"/>
    <n v="200801"/>
    <m/>
    <n v="23"/>
    <n v="200801"/>
    <n v="853300"/>
  </r>
  <r>
    <x v="402"/>
    <x v="2"/>
    <m/>
    <x v="30"/>
    <x v="2"/>
    <x v="99"/>
    <n v="200801"/>
    <n v="200801"/>
    <m/>
    <n v="5"/>
    <n v="200801"/>
    <n v="112000"/>
  </r>
  <r>
    <x v="402"/>
    <x v="2"/>
    <m/>
    <x v="30"/>
    <x v="2"/>
    <x v="100"/>
    <n v="200801"/>
    <n v="200801"/>
    <m/>
    <n v="2"/>
    <n v="200801"/>
    <n v="78400"/>
  </r>
  <r>
    <x v="402"/>
    <x v="2"/>
    <m/>
    <x v="1"/>
    <x v="2"/>
    <x v="18"/>
    <n v="200801"/>
    <n v="200801"/>
    <m/>
    <n v="2"/>
    <n v="200801"/>
    <n v="40000"/>
  </r>
  <r>
    <x v="402"/>
    <x v="2"/>
    <m/>
    <x v="4"/>
    <x v="2"/>
    <x v="26"/>
    <n v="200801"/>
    <n v="200801"/>
    <m/>
    <n v="1"/>
    <n v="200801"/>
    <n v="4000"/>
  </r>
  <r>
    <x v="402"/>
    <x v="2"/>
    <m/>
    <x v="4"/>
    <x v="2"/>
    <x v="27"/>
    <n v="200801"/>
    <n v="200801"/>
    <m/>
    <n v="3"/>
    <n v="200801"/>
    <n v="60000"/>
  </r>
  <r>
    <x v="402"/>
    <x v="2"/>
    <m/>
    <x v="0"/>
    <x v="2"/>
    <x v="15"/>
    <n v="200801"/>
    <n v="200801"/>
    <m/>
    <n v="17"/>
    <n v="200801"/>
    <n v="340000"/>
  </r>
  <r>
    <x v="402"/>
    <x v="2"/>
    <m/>
    <x v="0"/>
    <x v="2"/>
    <x v="16"/>
    <n v="200801"/>
    <n v="200801"/>
    <m/>
    <n v="21"/>
    <n v="200801"/>
    <n v="735000"/>
  </r>
  <r>
    <x v="402"/>
    <x v="2"/>
    <m/>
    <x v="0"/>
    <x v="2"/>
    <x v="17"/>
    <n v="200801"/>
    <n v="200801"/>
    <m/>
    <n v="19"/>
    <n v="200801"/>
    <n v="627000"/>
  </r>
  <r>
    <x v="402"/>
    <x v="2"/>
    <m/>
    <x v="0"/>
    <x v="2"/>
    <x v="19"/>
    <n v="200801"/>
    <n v="200801"/>
    <m/>
    <n v="19"/>
    <n v="200801"/>
    <n v="57000"/>
  </r>
  <r>
    <x v="402"/>
    <x v="2"/>
    <m/>
    <x v="5"/>
    <x v="2"/>
    <x v="28"/>
    <n v="200801"/>
    <n v="200801"/>
    <m/>
    <n v="15"/>
    <n v="200801"/>
    <n v="420000"/>
  </r>
  <r>
    <x v="402"/>
    <x v="2"/>
    <m/>
    <x v="5"/>
    <x v="2"/>
    <x v="69"/>
    <n v="200801"/>
    <n v="200801"/>
    <m/>
    <n v="4"/>
    <n v="200801"/>
    <n v="192000"/>
  </r>
  <r>
    <x v="402"/>
    <x v="2"/>
    <m/>
    <x v="22"/>
    <x v="2"/>
    <x v="29"/>
    <n v="200801"/>
    <n v="200801"/>
    <m/>
    <n v="6"/>
    <n v="200801"/>
    <n v="228000"/>
  </r>
  <r>
    <x v="402"/>
    <x v="2"/>
    <m/>
    <x v="19"/>
    <x v="2"/>
    <x v="22"/>
    <n v="200801"/>
    <n v="200801"/>
    <m/>
    <n v="6"/>
    <n v="200801"/>
    <n v="78000"/>
  </r>
  <r>
    <x v="402"/>
    <x v="2"/>
    <m/>
    <x v="19"/>
    <x v="2"/>
    <x v="23"/>
    <n v="200801"/>
    <n v="200801"/>
    <m/>
    <n v="1"/>
    <n v="200801"/>
    <n v="24000"/>
  </r>
  <r>
    <x v="402"/>
    <x v="2"/>
    <m/>
    <x v="19"/>
    <x v="2"/>
    <x v="24"/>
    <n v="200801"/>
    <n v="200801"/>
    <m/>
    <n v="1"/>
    <n v="200801"/>
    <n v="33000"/>
  </r>
  <r>
    <x v="402"/>
    <x v="2"/>
    <m/>
    <x v="33"/>
    <x v="2"/>
    <x v="92"/>
    <n v="200801"/>
    <n v="200801"/>
    <m/>
    <n v="1"/>
    <n v="200801"/>
    <n v="18200"/>
  </r>
  <r>
    <x v="402"/>
    <x v="2"/>
    <m/>
    <x v="33"/>
    <x v="2"/>
    <x v="93"/>
    <n v="200801"/>
    <n v="200801"/>
    <m/>
    <n v="1"/>
    <n v="200801"/>
    <n v="33800"/>
  </r>
  <r>
    <x v="402"/>
    <x v="2"/>
    <m/>
    <x v="5"/>
    <x v="9"/>
    <x v="28"/>
    <n v="200801"/>
    <n v="200801"/>
    <m/>
    <n v="2"/>
    <n v="200801"/>
    <n v="56000"/>
  </r>
  <r>
    <x v="402"/>
    <x v="2"/>
    <m/>
    <x v="0"/>
    <x v="9"/>
    <x v="15"/>
    <n v="200801"/>
    <n v="200801"/>
    <m/>
    <n v="3"/>
    <n v="200801"/>
    <n v="60000"/>
  </r>
  <r>
    <x v="403"/>
    <x v="5"/>
    <m/>
    <x v="0"/>
    <x v="7"/>
    <x v="15"/>
    <n v="200801"/>
    <n v="200801"/>
    <m/>
    <n v="2"/>
    <n v="200801"/>
    <n v="40000"/>
  </r>
  <r>
    <x v="403"/>
    <x v="5"/>
    <m/>
    <x v="25"/>
    <x v="2"/>
    <x v="34"/>
    <n v="200801"/>
    <n v="200801"/>
    <m/>
    <n v="3"/>
    <n v="200801"/>
    <n v="297000"/>
  </r>
  <r>
    <x v="403"/>
    <x v="5"/>
    <m/>
    <x v="31"/>
    <x v="2"/>
    <x v="95"/>
    <n v="200801"/>
    <n v="200801"/>
    <m/>
    <n v="10"/>
    <n v="200801"/>
    <n v="224000"/>
  </r>
  <r>
    <x v="403"/>
    <x v="5"/>
    <m/>
    <x v="31"/>
    <x v="2"/>
    <x v="96"/>
    <n v="200801"/>
    <n v="200801"/>
    <m/>
    <n v="24"/>
    <n v="200801"/>
    <n v="940800"/>
  </r>
  <r>
    <x v="403"/>
    <x v="5"/>
    <m/>
    <x v="32"/>
    <x v="2"/>
    <x v="97"/>
    <n v="200801"/>
    <n v="200801"/>
    <m/>
    <n v="9"/>
    <n v="200801"/>
    <n v="333900"/>
  </r>
  <r>
    <x v="403"/>
    <x v="5"/>
    <m/>
    <x v="34"/>
    <x v="2"/>
    <x v="105"/>
    <n v="200801"/>
    <n v="200801"/>
    <m/>
    <n v="16"/>
    <n v="200801"/>
    <n v="593600"/>
  </r>
  <r>
    <x v="403"/>
    <x v="5"/>
    <m/>
    <x v="30"/>
    <x v="2"/>
    <x v="99"/>
    <n v="200801"/>
    <n v="200801"/>
    <m/>
    <n v="5"/>
    <n v="200801"/>
    <n v="112000"/>
  </r>
  <r>
    <x v="403"/>
    <x v="5"/>
    <m/>
    <x v="1"/>
    <x v="2"/>
    <x v="18"/>
    <n v="200801"/>
    <n v="200801"/>
    <m/>
    <n v="1"/>
    <n v="200801"/>
    <n v="20000"/>
  </r>
  <r>
    <x v="403"/>
    <x v="5"/>
    <m/>
    <x v="4"/>
    <x v="2"/>
    <x v="26"/>
    <n v="200801"/>
    <n v="200801"/>
    <m/>
    <n v="2"/>
    <n v="200801"/>
    <n v="8000"/>
  </r>
  <r>
    <x v="403"/>
    <x v="5"/>
    <m/>
    <x v="4"/>
    <x v="2"/>
    <x v="27"/>
    <n v="200801"/>
    <n v="200801"/>
    <m/>
    <n v="5"/>
    <n v="200801"/>
    <n v="100000"/>
  </r>
  <r>
    <x v="403"/>
    <x v="5"/>
    <m/>
    <x v="0"/>
    <x v="2"/>
    <x v="15"/>
    <n v="200801"/>
    <n v="200801"/>
    <m/>
    <n v="18"/>
    <n v="200801"/>
    <n v="360000"/>
  </r>
  <r>
    <x v="403"/>
    <x v="5"/>
    <m/>
    <x v="0"/>
    <x v="2"/>
    <x v="16"/>
    <n v="200801"/>
    <n v="200801"/>
    <m/>
    <n v="18"/>
    <n v="200801"/>
    <n v="630000"/>
  </r>
  <r>
    <x v="403"/>
    <x v="5"/>
    <m/>
    <x v="0"/>
    <x v="2"/>
    <x v="17"/>
    <n v="200801"/>
    <n v="200801"/>
    <m/>
    <n v="20"/>
    <n v="200801"/>
    <n v="660000"/>
  </r>
  <r>
    <x v="403"/>
    <x v="5"/>
    <m/>
    <x v="0"/>
    <x v="2"/>
    <x v="19"/>
    <n v="200801"/>
    <n v="200801"/>
    <m/>
    <n v="15"/>
    <n v="200801"/>
    <n v="45000"/>
  </r>
  <r>
    <x v="403"/>
    <x v="5"/>
    <m/>
    <x v="5"/>
    <x v="2"/>
    <x v="28"/>
    <n v="200801"/>
    <n v="200801"/>
    <m/>
    <n v="13"/>
    <n v="200801"/>
    <n v="364000"/>
  </r>
  <r>
    <x v="403"/>
    <x v="5"/>
    <m/>
    <x v="5"/>
    <x v="2"/>
    <x v="69"/>
    <n v="200801"/>
    <n v="200801"/>
    <m/>
    <n v="4"/>
    <n v="200801"/>
    <n v="192000"/>
  </r>
  <r>
    <x v="403"/>
    <x v="5"/>
    <m/>
    <x v="22"/>
    <x v="2"/>
    <x v="29"/>
    <n v="200801"/>
    <n v="200801"/>
    <m/>
    <n v="4"/>
    <n v="200801"/>
    <n v="152000"/>
  </r>
  <r>
    <x v="403"/>
    <x v="5"/>
    <m/>
    <x v="19"/>
    <x v="2"/>
    <x v="22"/>
    <n v="200801"/>
    <n v="200801"/>
    <m/>
    <n v="4"/>
    <n v="200801"/>
    <n v="52000"/>
  </r>
  <r>
    <x v="403"/>
    <x v="5"/>
    <m/>
    <x v="5"/>
    <x v="9"/>
    <x v="28"/>
    <n v="200801"/>
    <n v="200801"/>
    <m/>
    <n v="1"/>
    <n v="200801"/>
    <n v="28000"/>
  </r>
  <r>
    <x v="403"/>
    <x v="5"/>
    <m/>
    <x v="4"/>
    <x v="9"/>
    <x v="27"/>
    <n v="200801"/>
    <n v="200801"/>
    <m/>
    <n v="2"/>
    <n v="200801"/>
    <n v="40000"/>
  </r>
  <r>
    <x v="403"/>
    <x v="5"/>
    <m/>
    <x v="0"/>
    <x v="9"/>
    <x v="15"/>
    <n v="200801"/>
    <n v="200801"/>
    <m/>
    <n v="7"/>
    <n v="200801"/>
    <n v="140000"/>
  </r>
  <r>
    <x v="403"/>
    <x v="5"/>
    <m/>
    <x v="22"/>
    <x v="9"/>
    <x v="29"/>
    <n v="200801"/>
    <n v="200801"/>
    <m/>
    <n v="1"/>
    <n v="200801"/>
    <n v="38000"/>
  </r>
  <r>
    <x v="403"/>
    <x v="5"/>
    <m/>
    <x v="31"/>
    <x v="9"/>
    <x v="88"/>
    <n v="200801"/>
    <n v="200801"/>
    <m/>
    <n v="1"/>
    <n v="200801"/>
    <n v="22400"/>
  </r>
  <r>
    <x v="404"/>
    <x v="6"/>
    <m/>
    <x v="0"/>
    <x v="7"/>
    <x v="15"/>
    <n v="200801"/>
    <n v="200801"/>
    <m/>
    <n v="3"/>
    <n v="200801"/>
    <n v="60000"/>
  </r>
  <r>
    <x v="404"/>
    <x v="6"/>
    <m/>
    <x v="6"/>
    <x v="2"/>
    <x v="37"/>
    <n v="200801"/>
    <n v="200801"/>
    <m/>
    <n v="2"/>
    <n v="200801"/>
    <n v="40000"/>
  </r>
  <r>
    <x v="404"/>
    <x v="6"/>
    <m/>
    <x v="25"/>
    <x v="2"/>
    <x v="34"/>
    <n v="200801"/>
    <n v="200801"/>
    <m/>
    <n v="4"/>
    <n v="200801"/>
    <n v="396000"/>
  </r>
  <r>
    <x v="404"/>
    <x v="6"/>
    <m/>
    <x v="31"/>
    <x v="2"/>
    <x v="95"/>
    <n v="200801"/>
    <n v="200801"/>
    <m/>
    <n v="26"/>
    <n v="200801"/>
    <n v="582400"/>
  </r>
  <r>
    <x v="404"/>
    <x v="6"/>
    <m/>
    <x v="31"/>
    <x v="2"/>
    <x v="96"/>
    <n v="200801"/>
    <n v="200801"/>
    <m/>
    <n v="17"/>
    <n v="200801"/>
    <n v="666400"/>
  </r>
  <r>
    <x v="404"/>
    <x v="6"/>
    <m/>
    <x v="32"/>
    <x v="2"/>
    <x v="97"/>
    <n v="200801"/>
    <n v="200801"/>
    <m/>
    <n v="15"/>
    <n v="200801"/>
    <n v="556500"/>
  </r>
  <r>
    <x v="404"/>
    <x v="6"/>
    <m/>
    <x v="34"/>
    <x v="2"/>
    <x v="105"/>
    <n v="200801"/>
    <n v="200801"/>
    <m/>
    <n v="22"/>
    <n v="200801"/>
    <n v="816200"/>
  </r>
  <r>
    <x v="404"/>
    <x v="6"/>
    <m/>
    <x v="30"/>
    <x v="2"/>
    <x v="99"/>
    <n v="200801"/>
    <n v="200801"/>
    <m/>
    <n v="12"/>
    <n v="200801"/>
    <n v="268800"/>
  </r>
  <r>
    <x v="404"/>
    <x v="6"/>
    <m/>
    <x v="30"/>
    <x v="2"/>
    <x v="100"/>
    <n v="200801"/>
    <n v="200801"/>
    <m/>
    <n v="1"/>
    <n v="200801"/>
    <n v="39200"/>
  </r>
  <r>
    <x v="404"/>
    <x v="6"/>
    <m/>
    <x v="1"/>
    <x v="2"/>
    <x v="18"/>
    <n v="200801"/>
    <n v="200801"/>
    <m/>
    <n v="3"/>
    <n v="200801"/>
    <n v="60000"/>
  </r>
  <r>
    <x v="404"/>
    <x v="6"/>
    <m/>
    <x v="4"/>
    <x v="2"/>
    <x v="27"/>
    <n v="200801"/>
    <n v="200801"/>
    <m/>
    <n v="1"/>
    <n v="200801"/>
    <n v="20000"/>
  </r>
  <r>
    <x v="404"/>
    <x v="6"/>
    <m/>
    <x v="0"/>
    <x v="2"/>
    <x v="15"/>
    <n v="200801"/>
    <n v="200801"/>
    <m/>
    <n v="28"/>
    <n v="200801"/>
    <n v="560000"/>
  </r>
  <r>
    <x v="404"/>
    <x v="6"/>
    <m/>
    <x v="0"/>
    <x v="2"/>
    <x v="16"/>
    <n v="200801"/>
    <n v="200801"/>
    <m/>
    <n v="30"/>
    <n v="200801"/>
    <n v="1050000"/>
  </r>
  <r>
    <x v="404"/>
    <x v="6"/>
    <m/>
    <x v="0"/>
    <x v="2"/>
    <x v="17"/>
    <n v="200801"/>
    <n v="200801"/>
    <m/>
    <n v="31"/>
    <n v="200801"/>
    <n v="1023000"/>
  </r>
  <r>
    <x v="404"/>
    <x v="6"/>
    <m/>
    <x v="0"/>
    <x v="2"/>
    <x v="19"/>
    <n v="200801"/>
    <n v="200801"/>
    <m/>
    <n v="32"/>
    <n v="200801"/>
    <n v="96000"/>
  </r>
  <r>
    <x v="404"/>
    <x v="6"/>
    <m/>
    <x v="5"/>
    <x v="2"/>
    <x v="28"/>
    <n v="200801"/>
    <n v="200801"/>
    <m/>
    <n v="10"/>
    <n v="200801"/>
    <n v="280000"/>
  </r>
  <r>
    <x v="404"/>
    <x v="6"/>
    <m/>
    <x v="5"/>
    <x v="2"/>
    <x v="69"/>
    <n v="200801"/>
    <n v="200801"/>
    <m/>
    <n v="6"/>
    <n v="200801"/>
    <n v="288000"/>
  </r>
  <r>
    <x v="404"/>
    <x v="6"/>
    <m/>
    <x v="22"/>
    <x v="2"/>
    <x v="29"/>
    <n v="200801"/>
    <n v="200801"/>
    <m/>
    <n v="5"/>
    <n v="200801"/>
    <n v="190000"/>
  </r>
  <r>
    <x v="404"/>
    <x v="6"/>
    <m/>
    <x v="19"/>
    <x v="2"/>
    <x v="22"/>
    <n v="200801"/>
    <n v="200801"/>
    <m/>
    <n v="9"/>
    <n v="200801"/>
    <n v="117000"/>
  </r>
  <r>
    <x v="404"/>
    <x v="6"/>
    <m/>
    <x v="19"/>
    <x v="2"/>
    <x v="23"/>
    <n v="200801"/>
    <n v="200801"/>
    <m/>
    <n v="4"/>
    <n v="200801"/>
    <n v="96000"/>
  </r>
  <r>
    <x v="404"/>
    <x v="6"/>
    <m/>
    <x v="19"/>
    <x v="2"/>
    <x v="24"/>
    <n v="200801"/>
    <n v="200801"/>
    <m/>
    <n v="1"/>
    <n v="200801"/>
    <n v="33000"/>
  </r>
  <r>
    <x v="404"/>
    <x v="6"/>
    <m/>
    <x v="33"/>
    <x v="2"/>
    <x v="92"/>
    <n v="200801"/>
    <n v="200801"/>
    <m/>
    <n v="2"/>
    <n v="200801"/>
    <n v="36400"/>
  </r>
  <r>
    <x v="404"/>
    <x v="6"/>
    <m/>
    <x v="33"/>
    <x v="2"/>
    <x v="93"/>
    <n v="200801"/>
    <n v="200801"/>
    <m/>
    <n v="2"/>
    <n v="200801"/>
    <n v="67600"/>
  </r>
  <r>
    <x v="404"/>
    <x v="6"/>
    <m/>
    <x v="0"/>
    <x v="9"/>
    <x v="15"/>
    <n v="200801"/>
    <n v="200801"/>
    <m/>
    <n v="4"/>
    <n v="200801"/>
    <n v="80000"/>
  </r>
  <r>
    <x v="404"/>
    <x v="6"/>
    <m/>
    <x v="0"/>
    <x v="6"/>
    <x v="15"/>
    <n v="200801"/>
    <n v="200801"/>
    <m/>
    <n v="659"/>
    <n v="200801"/>
    <n v="5975812"/>
  </r>
  <r>
    <x v="404"/>
    <x v="6"/>
    <m/>
    <x v="0"/>
    <x v="6"/>
    <x v="17"/>
    <n v="200801"/>
    <n v="200801"/>
    <m/>
    <n v="14"/>
    <n v="200801"/>
    <n v="221452"/>
  </r>
  <r>
    <x v="404"/>
    <x v="6"/>
    <m/>
    <x v="4"/>
    <x v="6"/>
    <x v="26"/>
    <n v="200801"/>
    <n v="200801"/>
    <m/>
    <n v="359"/>
    <n v="200801"/>
    <n v="385207"/>
  </r>
  <r>
    <x v="404"/>
    <x v="6"/>
    <m/>
    <x v="26"/>
    <x v="6"/>
    <x v="35"/>
    <n v="200801"/>
    <n v="200801"/>
    <m/>
    <n v="26"/>
    <n v="200801"/>
    <n v="445406"/>
  </r>
  <r>
    <x v="404"/>
    <x v="6"/>
    <m/>
    <x v="22"/>
    <x v="6"/>
    <x v="29"/>
    <n v="200801"/>
    <n v="200801"/>
    <m/>
    <n v="43"/>
    <n v="200801"/>
    <n v="846713"/>
  </r>
  <r>
    <x v="404"/>
    <x v="6"/>
    <m/>
    <x v="24"/>
    <x v="6"/>
    <x v="31"/>
    <n v="200801"/>
    <n v="200801"/>
    <m/>
    <n v="81"/>
    <n v="200801"/>
    <n v="1205037"/>
  </r>
  <r>
    <x v="404"/>
    <x v="6"/>
    <m/>
    <x v="23"/>
    <x v="6"/>
    <x v="30"/>
    <n v="200801"/>
    <n v="200801"/>
    <m/>
    <n v="4"/>
    <n v="200801"/>
    <n v="27856"/>
  </r>
  <r>
    <x v="404"/>
    <x v="6"/>
    <m/>
    <x v="35"/>
    <x v="6"/>
    <x v="108"/>
    <n v="200801"/>
    <n v="200801"/>
    <m/>
    <n v="312"/>
    <n v="200801"/>
    <n v="334776"/>
  </r>
  <r>
    <x v="404"/>
    <x v="6"/>
    <m/>
    <x v="19"/>
    <x v="6"/>
    <x v="22"/>
    <n v="200801"/>
    <n v="200801"/>
    <m/>
    <n v="59"/>
    <n v="200801"/>
    <n v="400669"/>
  </r>
  <r>
    <x v="404"/>
    <x v="6"/>
    <m/>
    <x v="6"/>
    <x v="6"/>
    <x v="37"/>
    <n v="200801"/>
    <n v="200801"/>
    <m/>
    <n v="22"/>
    <n v="200801"/>
    <n v="220000"/>
  </r>
  <r>
    <x v="404"/>
    <x v="6"/>
    <m/>
    <x v="4"/>
    <x v="6"/>
    <x v="66"/>
    <n v="200801"/>
    <n v="200801"/>
    <m/>
    <n v="449"/>
    <n v="200801"/>
    <n v="2513053"/>
  </r>
  <r>
    <x v="404"/>
    <x v="6"/>
    <m/>
    <x v="33"/>
    <x v="6"/>
    <x v="106"/>
    <n v="200801"/>
    <n v="200801"/>
    <m/>
    <n v="11"/>
    <n v="200801"/>
    <n v="107250"/>
  </r>
  <r>
    <x v="404"/>
    <x v="6"/>
    <m/>
    <x v="31"/>
    <x v="6"/>
    <x v="103"/>
    <n v="200801"/>
    <n v="200801"/>
    <m/>
    <n v="66"/>
    <n v="200801"/>
    <n v="739200"/>
  </r>
  <r>
    <x v="404"/>
    <x v="6"/>
    <m/>
    <x v="30"/>
    <x v="6"/>
    <x v="104"/>
    <n v="200801"/>
    <n v="200801"/>
    <m/>
    <n v="83"/>
    <n v="200801"/>
    <n v="929600"/>
  </r>
  <r>
    <x v="404"/>
    <x v="6"/>
    <m/>
    <x v="5"/>
    <x v="6"/>
    <x v="28"/>
    <n v="200801"/>
    <n v="200801"/>
    <m/>
    <n v="32"/>
    <n v="200801"/>
    <n v="467200"/>
  </r>
  <r>
    <x v="405"/>
    <x v="3"/>
    <m/>
    <x v="0"/>
    <x v="1"/>
    <x v="15"/>
    <n v="200801"/>
    <n v="200801"/>
    <m/>
    <n v="4"/>
    <n v="200801"/>
    <n v="80000"/>
  </r>
  <r>
    <x v="405"/>
    <x v="3"/>
    <m/>
    <x v="0"/>
    <x v="1"/>
    <x v="16"/>
    <n v="200801"/>
    <n v="200801"/>
    <m/>
    <n v="15"/>
    <n v="200801"/>
    <n v="525000"/>
  </r>
  <r>
    <x v="405"/>
    <x v="3"/>
    <m/>
    <x v="0"/>
    <x v="7"/>
    <x v="15"/>
    <n v="200801"/>
    <n v="200801"/>
    <m/>
    <n v="6"/>
    <n v="200801"/>
    <n v="120000"/>
  </r>
  <r>
    <x v="405"/>
    <x v="3"/>
    <m/>
    <x v="6"/>
    <x v="2"/>
    <x v="37"/>
    <n v="200801"/>
    <n v="200801"/>
    <m/>
    <n v="3"/>
    <n v="200801"/>
    <n v="60000"/>
  </r>
  <r>
    <x v="405"/>
    <x v="3"/>
    <m/>
    <x v="6"/>
    <x v="2"/>
    <x v="42"/>
    <n v="200801"/>
    <n v="200801"/>
    <m/>
    <n v="1"/>
    <n v="200801"/>
    <n v="35000"/>
  </r>
  <r>
    <x v="405"/>
    <x v="3"/>
    <m/>
    <x v="25"/>
    <x v="2"/>
    <x v="34"/>
    <n v="200801"/>
    <n v="200801"/>
    <m/>
    <n v="1"/>
    <n v="200801"/>
    <n v="99000"/>
  </r>
  <r>
    <x v="405"/>
    <x v="3"/>
    <m/>
    <x v="31"/>
    <x v="2"/>
    <x v="95"/>
    <n v="200801"/>
    <n v="200801"/>
    <m/>
    <n v="17"/>
    <n v="200801"/>
    <n v="380800"/>
  </r>
  <r>
    <x v="405"/>
    <x v="3"/>
    <m/>
    <x v="31"/>
    <x v="2"/>
    <x v="96"/>
    <n v="200801"/>
    <n v="200801"/>
    <m/>
    <n v="48"/>
    <n v="200801"/>
    <n v="1881600"/>
  </r>
  <r>
    <x v="405"/>
    <x v="3"/>
    <m/>
    <x v="32"/>
    <x v="2"/>
    <x v="97"/>
    <n v="200801"/>
    <n v="200801"/>
    <m/>
    <n v="27"/>
    <n v="200801"/>
    <n v="1001700"/>
  </r>
  <r>
    <x v="405"/>
    <x v="3"/>
    <m/>
    <x v="34"/>
    <x v="2"/>
    <x v="105"/>
    <n v="200801"/>
    <n v="200801"/>
    <m/>
    <n v="23"/>
    <n v="200801"/>
    <n v="853300"/>
  </r>
  <r>
    <x v="405"/>
    <x v="3"/>
    <m/>
    <x v="30"/>
    <x v="2"/>
    <x v="99"/>
    <n v="200801"/>
    <n v="200801"/>
    <m/>
    <n v="7"/>
    <n v="200801"/>
    <n v="156800"/>
  </r>
  <r>
    <x v="405"/>
    <x v="3"/>
    <m/>
    <x v="1"/>
    <x v="2"/>
    <x v="18"/>
    <n v="200801"/>
    <n v="200801"/>
    <m/>
    <n v="1"/>
    <n v="200801"/>
    <n v="20000"/>
  </r>
  <r>
    <x v="405"/>
    <x v="3"/>
    <m/>
    <x v="1"/>
    <x v="2"/>
    <x v="21"/>
    <n v="200801"/>
    <n v="200801"/>
    <m/>
    <n v="1"/>
    <n v="200801"/>
    <n v="35000"/>
  </r>
  <r>
    <x v="405"/>
    <x v="3"/>
    <m/>
    <x v="0"/>
    <x v="2"/>
    <x v="15"/>
    <n v="200801"/>
    <n v="200801"/>
    <m/>
    <n v="35"/>
    <n v="200801"/>
    <n v="700000"/>
  </r>
  <r>
    <x v="405"/>
    <x v="3"/>
    <m/>
    <x v="0"/>
    <x v="2"/>
    <x v="16"/>
    <n v="200801"/>
    <n v="200801"/>
    <m/>
    <n v="26"/>
    <n v="200801"/>
    <n v="910000"/>
  </r>
  <r>
    <x v="405"/>
    <x v="3"/>
    <m/>
    <x v="0"/>
    <x v="2"/>
    <x v="17"/>
    <n v="200801"/>
    <n v="200801"/>
    <m/>
    <n v="36"/>
    <n v="200801"/>
    <n v="1188000"/>
  </r>
  <r>
    <x v="405"/>
    <x v="3"/>
    <m/>
    <x v="0"/>
    <x v="2"/>
    <x v="19"/>
    <n v="200801"/>
    <n v="200801"/>
    <m/>
    <n v="41"/>
    <n v="200801"/>
    <n v="123000"/>
  </r>
  <r>
    <x v="405"/>
    <x v="3"/>
    <m/>
    <x v="5"/>
    <x v="2"/>
    <x v="28"/>
    <n v="200801"/>
    <n v="200801"/>
    <m/>
    <n v="10"/>
    <n v="200801"/>
    <n v="280000"/>
  </r>
  <r>
    <x v="405"/>
    <x v="3"/>
    <m/>
    <x v="5"/>
    <x v="2"/>
    <x v="69"/>
    <n v="200801"/>
    <n v="200801"/>
    <m/>
    <n v="6"/>
    <n v="200801"/>
    <n v="288000"/>
  </r>
  <r>
    <x v="405"/>
    <x v="3"/>
    <m/>
    <x v="22"/>
    <x v="2"/>
    <x v="29"/>
    <n v="200801"/>
    <n v="200801"/>
    <m/>
    <n v="5"/>
    <n v="200801"/>
    <n v="190000"/>
  </r>
  <r>
    <x v="405"/>
    <x v="3"/>
    <m/>
    <x v="19"/>
    <x v="2"/>
    <x v="22"/>
    <n v="200801"/>
    <n v="200801"/>
    <m/>
    <n v="5"/>
    <n v="200801"/>
    <n v="65000"/>
  </r>
  <r>
    <x v="405"/>
    <x v="3"/>
    <m/>
    <x v="19"/>
    <x v="2"/>
    <x v="23"/>
    <n v="200801"/>
    <n v="200801"/>
    <m/>
    <n v="3"/>
    <n v="200801"/>
    <n v="72000"/>
  </r>
  <r>
    <x v="405"/>
    <x v="3"/>
    <m/>
    <x v="19"/>
    <x v="2"/>
    <x v="24"/>
    <n v="200801"/>
    <n v="200801"/>
    <m/>
    <n v="1"/>
    <n v="200801"/>
    <n v="33000"/>
  </r>
  <r>
    <x v="405"/>
    <x v="3"/>
    <m/>
    <x v="33"/>
    <x v="2"/>
    <x v="92"/>
    <n v="200801"/>
    <n v="200801"/>
    <m/>
    <n v="2"/>
    <n v="200801"/>
    <n v="36400"/>
  </r>
  <r>
    <x v="405"/>
    <x v="3"/>
    <m/>
    <x v="0"/>
    <x v="9"/>
    <x v="15"/>
    <n v="200801"/>
    <n v="200801"/>
    <m/>
    <n v="1"/>
    <n v="200801"/>
    <n v="20000"/>
  </r>
  <r>
    <x v="406"/>
    <x v="4"/>
    <m/>
    <x v="0"/>
    <x v="1"/>
    <x v="15"/>
    <n v="200801"/>
    <n v="200801"/>
    <m/>
    <n v="1"/>
    <n v="200801"/>
    <n v="20000"/>
  </r>
  <r>
    <x v="406"/>
    <x v="4"/>
    <m/>
    <x v="0"/>
    <x v="1"/>
    <x v="16"/>
    <n v="200801"/>
    <n v="200801"/>
    <m/>
    <n v="9"/>
    <n v="200801"/>
    <n v="315000"/>
  </r>
  <r>
    <x v="406"/>
    <x v="4"/>
    <m/>
    <x v="0"/>
    <x v="5"/>
    <x v="51"/>
    <n v="200801"/>
    <n v="200801"/>
    <m/>
    <n v="5"/>
    <n v="200801"/>
    <n v="56250"/>
  </r>
  <r>
    <x v="406"/>
    <x v="4"/>
    <m/>
    <x v="5"/>
    <x v="5"/>
    <x v="53"/>
    <n v="200801"/>
    <n v="200801"/>
    <m/>
    <n v="30"/>
    <n v="200801"/>
    <n v="445500"/>
  </r>
  <r>
    <x v="406"/>
    <x v="4"/>
    <m/>
    <x v="22"/>
    <x v="5"/>
    <x v="52"/>
    <n v="200801"/>
    <n v="200801"/>
    <m/>
    <n v="10"/>
    <n v="200801"/>
    <n v="171000"/>
  </r>
  <r>
    <x v="406"/>
    <x v="4"/>
    <m/>
    <x v="31"/>
    <x v="5"/>
    <x v="88"/>
    <n v="200801"/>
    <n v="200801"/>
    <m/>
    <n v="100"/>
    <n v="200801"/>
    <n v="1145500"/>
  </r>
  <r>
    <x v="406"/>
    <x v="4"/>
    <m/>
    <x v="0"/>
    <x v="5"/>
    <x v="78"/>
    <n v="200801"/>
    <n v="200801"/>
    <m/>
    <n v="100"/>
    <n v="200801"/>
    <n v="0"/>
  </r>
  <r>
    <x v="406"/>
    <x v="4"/>
    <m/>
    <x v="4"/>
    <x v="5"/>
    <x v="62"/>
    <n v="200801"/>
    <n v="200801"/>
    <m/>
    <n v="14"/>
    <n v="200801"/>
    <n v="252000"/>
  </r>
  <r>
    <x v="406"/>
    <x v="4"/>
    <m/>
    <x v="0"/>
    <x v="7"/>
    <x v="15"/>
    <n v="200801"/>
    <n v="200801"/>
    <m/>
    <n v="7"/>
    <n v="200801"/>
    <n v="140000"/>
  </r>
  <r>
    <x v="406"/>
    <x v="4"/>
    <m/>
    <x v="25"/>
    <x v="2"/>
    <x v="34"/>
    <n v="200801"/>
    <n v="200801"/>
    <m/>
    <n v="3"/>
    <n v="200801"/>
    <n v="297000"/>
  </r>
  <r>
    <x v="406"/>
    <x v="4"/>
    <m/>
    <x v="31"/>
    <x v="2"/>
    <x v="95"/>
    <n v="200801"/>
    <n v="200801"/>
    <m/>
    <n v="17"/>
    <n v="200801"/>
    <n v="380800"/>
  </r>
  <r>
    <x v="406"/>
    <x v="4"/>
    <m/>
    <x v="31"/>
    <x v="2"/>
    <x v="96"/>
    <n v="200801"/>
    <n v="200801"/>
    <m/>
    <n v="20"/>
    <n v="200801"/>
    <n v="784000"/>
  </r>
  <r>
    <x v="406"/>
    <x v="4"/>
    <m/>
    <x v="32"/>
    <x v="2"/>
    <x v="97"/>
    <n v="200801"/>
    <n v="200801"/>
    <m/>
    <n v="16"/>
    <n v="200801"/>
    <n v="593600"/>
  </r>
  <r>
    <x v="406"/>
    <x v="4"/>
    <m/>
    <x v="34"/>
    <x v="2"/>
    <x v="105"/>
    <n v="200801"/>
    <n v="200801"/>
    <m/>
    <n v="26"/>
    <n v="200801"/>
    <n v="964600"/>
  </r>
  <r>
    <x v="406"/>
    <x v="4"/>
    <m/>
    <x v="30"/>
    <x v="2"/>
    <x v="99"/>
    <n v="200801"/>
    <n v="200801"/>
    <m/>
    <n v="4"/>
    <n v="200801"/>
    <n v="89600"/>
  </r>
  <r>
    <x v="406"/>
    <x v="4"/>
    <m/>
    <x v="30"/>
    <x v="2"/>
    <x v="100"/>
    <n v="200801"/>
    <n v="200801"/>
    <m/>
    <n v="2"/>
    <n v="200801"/>
    <n v="78400"/>
  </r>
  <r>
    <x v="406"/>
    <x v="4"/>
    <m/>
    <x v="1"/>
    <x v="2"/>
    <x v="18"/>
    <n v="200801"/>
    <n v="200801"/>
    <m/>
    <n v="4"/>
    <n v="200801"/>
    <n v="80000"/>
  </r>
  <r>
    <x v="406"/>
    <x v="4"/>
    <m/>
    <x v="1"/>
    <x v="2"/>
    <x v="21"/>
    <n v="200801"/>
    <n v="200801"/>
    <m/>
    <n v="2"/>
    <n v="200801"/>
    <n v="70000"/>
  </r>
  <r>
    <x v="406"/>
    <x v="4"/>
    <m/>
    <x v="4"/>
    <x v="2"/>
    <x v="26"/>
    <n v="200801"/>
    <n v="200801"/>
    <m/>
    <n v="1"/>
    <n v="200801"/>
    <n v="4000"/>
  </r>
  <r>
    <x v="406"/>
    <x v="4"/>
    <m/>
    <x v="4"/>
    <x v="2"/>
    <x v="27"/>
    <n v="200801"/>
    <n v="200801"/>
    <m/>
    <n v="2"/>
    <n v="200801"/>
    <n v="40000"/>
  </r>
  <r>
    <x v="406"/>
    <x v="4"/>
    <m/>
    <x v="0"/>
    <x v="2"/>
    <x v="15"/>
    <n v="200801"/>
    <n v="200801"/>
    <m/>
    <n v="28"/>
    <n v="200801"/>
    <n v="560000"/>
  </r>
  <r>
    <x v="406"/>
    <x v="4"/>
    <m/>
    <x v="0"/>
    <x v="2"/>
    <x v="16"/>
    <n v="200801"/>
    <n v="200801"/>
    <m/>
    <n v="19"/>
    <n v="200801"/>
    <n v="665000"/>
  </r>
  <r>
    <x v="406"/>
    <x v="4"/>
    <m/>
    <x v="0"/>
    <x v="2"/>
    <x v="17"/>
    <n v="200801"/>
    <n v="200801"/>
    <m/>
    <n v="31"/>
    <n v="200801"/>
    <n v="1023000"/>
  </r>
  <r>
    <x v="406"/>
    <x v="4"/>
    <m/>
    <x v="0"/>
    <x v="2"/>
    <x v="19"/>
    <n v="200801"/>
    <n v="200801"/>
    <m/>
    <n v="25"/>
    <n v="200801"/>
    <n v="75000"/>
  </r>
  <r>
    <x v="406"/>
    <x v="4"/>
    <m/>
    <x v="5"/>
    <x v="2"/>
    <x v="28"/>
    <n v="200801"/>
    <n v="200801"/>
    <m/>
    <n v="16"/>
    <n v="200801"/>
    <n v="448000"/>
  </r>
  <r>
    <x v="406"/>
    <x v="4"/>
    <m/>
    <x v="5"/>
    <x v="2"/>
    <x v="69"/>
    <n v="200801"/>
    <n v="200801"/>
    <m/>
    <n v="9"/>
    <n v="200801"/>
    <n v="432000"/>
  </r>
  <r>
    <x v="406"/>
    <x v="4"/>
    <m/>
    <x v="22"/>
    <x v="2"/>
    <x v="29"/>
    <n v="200801"/>
    <n v="200801"/>
    <m/>
    <n v="9"/>
    <n v="200801"/>
    <n v="342000"/>
  </r>
  <r>
    <x v="406"/>
    <x v="4"/>
    <m/>
    <x v="19"/>
    <x v="2"/>
    <x v="22"/>
    <n v="200801"/>
    <n v="200801"/>
    <m/>
    <n v="11"/>
    <n v="200801"/>
    <n v="143000"/>
  </r>
  <r>
    <x v="406"/>
    <x v="4"/>
    <m/>
    <x v="33"/>
    <x v="2"/>
    <x v="92"/>
    <n v="200801"/>
    <n v="200801"/>
    <m/>
    <n v="2"/>
    <n v="200801"/>
    <n v="36400"/>
  </r>
  <r>
    <x v="406"/>
    <x v="4"/>
    <m/>
    <x v="0"/>
    <x v="9"/>
    <x v="15"/>
    <n v="200801"/>
    <n v="200801"/>
    <m/>
    <n v="6"/>
    <n v="200801"/>
    <n v="120000"/>
  </r>
  <r>
    <x v="407"/>
    <x v="1"/>
    <m/>
    <x v="0"/>
    <x v="1"/>
    <x v="16"/>
    <n v="200801"/>
    <n v="200801"/>
    <m/>
    <n v="6"/>
    <n v="200801"/>
    <n v="210000"/>
  </r>
  <r>
    <x v="407"/>
    <x v="1"/>
    <m/>
    <x v="30"/>
    <x v="5"/>
    <x v="87"/>
    <n v="200801"/>
    <n v="200801"/>
    <m/>
    <n v="3"/>
    <n v="200801"/>
    <n v="34365"/>
  </r>
  <r>
    <x v="407"/>
    <x v="1"/>
    <m/>
    <x v="31"/>
    <x v="5"/>
    <x v="88"/>
    <n v="200801"/>
    <n v="200801"/>
    <m/>
    <n v="6"/>
    <n v="200801"/>
    <n v="68730"/>
  </r>
  <r>
    <x v="407"/>
    <x v="1"/>
    <m/>
    <x v="0"/>
    <x v="5"/>
    <x v="51"/>
    <n v="200801"/>
    <n v="200801"/>
    <m/>
    <n v="9"/>
    <n v="200801"/>
    <n v="101250"/>
  </r>
  <r>
    <x v="407"/>
    <x v="1"/>
    <m/>
    <x v="5"/>
    <x v="5"/>
    <x v="53"/>
    <n v="200801"/>
    <n v="200801"/>
    <m/>
    <n v="3"/>
    <n v="200801"/>
    <n v="44550"/>
  </r>
  <r>
    <x v="407"/>
    <x v="1"/>
    <m/>
    <x v="22"/>
    <x v="5"/>
    <x v="52"/>
    <n v="200801"/>
    <n v="200801"/>
    <m/>
    <n v="3"/>
    <n v="200801"/>
    <n v="51300"/>
  </r>
  <r>
    <x v="407"/>
    <x v="1"/>
    <m/>
    <x v="1"/>
    <x v="5"/>
    <x v="63"/>
    <n v="200801"/>
    <n v="200801"/>
    <m/>
    <n v="3"/>
    <n v="200801"/>
    <n v="33750"/>
  </r>
  <r>
    <x v="407"/>
    <x v="1"/>
    <m/>
    <x v="19"/>
    <x v="5"/>
    <x v="50"/>
    <n v="200801"/>
    <n v="200801"/>
    <m/>
    <n v="3"/>
    <n v="200801"/>
    <n v="21600"/>
  </r>
  <r>
    <x v="407"/>
    <x v="1"/>
    <m/>
    <x v="4"/>
    <x v="5"/>
    <x v="62"/>
    <n v="200801"/>
    <n v="200801"/>
    <m/>
    <n v="7"/>
    <n v="200801"/>
    <n v="126000"/>
  </r>
  <r>
    <x v="407"/>
    <x v="1"/>
    <m/>
    <x v="6"/>
    <x v="5"/>
    <x v="49"/>
    <n v="200801"/>
    <n v="200801"/>
    <m/>
    <n v="3"/>
    <n v="200801"/>
    <n v="33750"/>
  </r>
  <r>
    <x v="407"/>
    <x v="1"/>
    <m/>
    <x v="0"/>
    <x v="7"/>
    <x v="15"/>
    <n v="200801"/>
    <n v="200801"/>
    <m/>
    <n v="4"/>
    <n v="200801"/>
    <n v="80000"/>
  </r>
  <r>
    <x v="407"/>
    <x v="1"/>
    <m/>
    <x v="31"/>
    <x v="3"/>
    <x v="88"/>
    <n v="200801"/>
    <n v="200801"/>
    <m/>
    <n v="129"/>
    <n v="200801"/>
    <n v="0"/>
  </r>
  <r>
    <x v="407"/>
    <x v="1"/>
    <m/>
    <x v="6"/>
    <x v="2"/>
    <x v="42"/>
    <n v="200801"/>
    <n v="200801"/>
    <m/>
    <n v="3"/>
    <n v="200801"/>
    <n v="105000"/>
  </r>
  <r>
    <x v="407"/>
    <x v="1"/>
    <m/>
    <x v="25"/>
    <x v="2"/>
    <x v="34"/>
    <n v="200801"/>
    <n v="200801"/>
    <m/>
    <n v="3"/>
    <n v="200801"/>
    <n v="297000"/>
  </r>
  <r>
    <x v="407"/>
    <x v="1"/>
    <m/>
    <x v="31"/>
    <x v="2"/>
    <x v="95"/>
    <n v="200801"/>
    <n v="200801"/>
    <m/>
    <n v="16"/>
    <n v="200801"/>
    <n v="358400"/>
  </r>
  <r>
    <x v="407"/>
    <x v="1"/>
    <m/>
    <x v="31"/>
    <x v="2"/>
    <x v="96"/>
    <n v="200801"/>
    <n v="200801"/>
    <m/>
    <n v="24"/>
    <n v="200801"/>
    <n v="940800"/>
  </r>
  <r>
    <x v="407"/>
    <x v="1"/>
    <m/>
    <x v="32"/>
    <x v="2"/>
    <x v="97"/>
    <n v="200801"/>
    <n v="200801"/>
    <m/>
    <n v="14"/>
    <n v="200801"/>
    <n v="519400"/>
  </r>
  <r>
    <x v="407"/>
    <x v="1"/>
    <m/>
    <x v="34"/>
    <x v="2"/>
    <x v="105"/>
    <n v="200801"/>
    <n v="200801"/>
    <m/>
    <n v="22"/>
    <n v="200801"/>
    <n v="816200"/>
  </r>
  <r>
    <x v="407"/>
    <x v="1"/>
    <m/>
    <x v="30"/>
    <x v="2"/>
    <x v="99"/>
    <n v="200801"/>
    <n v="200801"/>
    <m/>
    <n v="4"/>
    <n v="200801"/>
    <n v="89600"/>
  </r>
  <r>
    <x v="407"/>
    <x v="1"/>
    <m/>
    <x v="1"/>
    <x v="2"/>
    <x v="18"/>
    <n v="200801"/>
    <n v="200801"/>
    <m/>
    <n v="3"/>
    <n v="200801"/>
    <n v="60000"/>
  </r>
  <r>
    <x v="407"/>
    <x v="1"/>
    <m/>
    <x v="4"/>
    <x v="2"/>
    <x v="27"/>
    <n v="200801"/>
    <n v="200801"/>
    <m/>
    <n v="1"/>
    <n v="200801"/>
    <n v="20000"/>
  </r>
  <r>
    <x v="407"/>
    <x v="1"/>
    <m/>
    <x v="0"/>
    <x v="2"/>
    <x v="15"/>
    <n v="200801"/>
    <n v="200801"/>
    <m/>
    <n v="23"/>
    <n v="200801"/>
    <n v="460000"/>
  </r>
  <r>
    <x v="407"/>
    <x v="1"/>
    <m/>
    <x v="0"/>
    <x v="2"/>
    <x v="16"/>
    <n v="200801"/>
    <n v="200801"/>
    <m/>
    <n v="13"/>
    <n v="200801"/>
    <n v="455000"/>
  </r>
  <r>
    <x v="407"/>
    <x v="1"/>
    <m/>
    <x v="0"/>
    <x v="2"/>
    <x v="17"/>
    <n v="200801"/>
    <n v="200801"/>
    <m/>
    <n v="41"/>
    <n v="200801"/>
    <n v="1353000"/>
  </r>
  <r>
    <x v="407"/>
    <x v="1"/>
    <m/>
    <x v="0"/>
    <x v="2"/>
    <x v="19"/>
    <n v="200801"/>
    <n v="200801"/>
    <m/>
    <n v="19"/>
    <n v="200801"/>
    <n v="57000"/>
  </r>
  <r>
    <x v="407"/>
    <x v="1"/>
    <m/>
    <x v="5"/>
    <x v="2"/>
    <x v="28"/>
    <n v="200801"/>
    <n v="200801"/>
    <m/>
    <n v="12"/>
    <n v="200801"/>
    <n v="336000"/>
  </r>
  <r>
    <x v="407"/>
    <x v="1"/>
    <m/>
    <x v="5"/>
    <x v="2"/>
    <x v="69"/>
    <n v="200801"/>
    <n v="200801"/>
    <m/>
    <n v="6"/>
    <n v="200801"/>
    <n v="288000"/>
  </r>
  <r>
    <x v="407"/>
    <x v="1"/>
    <m/>
    <x v="22"/>
    <x v="2"/>
    <x v="29"/>
    <n v="200801"/>
    <n v="200801"/>
    <m/>
    <n v="2"/>
    <n v="200801"/>
    <n v="76000"/>
  </r>
  <r>
    <x v="407"/>
    <x v="1"/>
    <m/>
    <x v="19"/>
    <x v="2"/>
    <x v="22"/>
    <n v="200801"/>
    <n v="200801"/>
    <m/>
    <n v="7"/>
    <n v="200801"/>
    <n v="91000"/>
  </r>
  <r>
    <x v="407"/>
    <x v="1"/>
    <m/>
    <x v="19"/>
    <x v="2"/>
    <x v="23"/>
    <n v="200801"/>
    <n v="200801"/>
    <m/>
    <n v="3"/>
    <n v="200801"/>
    <n v="72000"/>
  </r>
  <r>
    <x v="407"/>
    <x v="1"/>
    <m/>
    <x v="19"/>
    <x v="2"/>
    <x v="24"/>
    <n v="200801"/>
    <n v="200801"/>
    <m/>
    <n v="1"/>
    <n v="200801"/>
    <n v="33000"/>
  </r>
  <r>
    <x v="407"/>
    <x v="1"/>
    <m/>
    <x v="33"/>
    <x v="2"/>
    <x v="92"/>
    <n v="200801"/>
    <n v="200801"/>
    <m/>
    <n v="2"/>
    <n v="200801"/>
    <n v="36400"/>
  </r>
  <r>
    <x v="407"/>
    <x v="1"/>
    <m/>
    <x v="31"/>
    <x v="9"/>
    <x v="88"/>
    <n v="200801"/>
    <n v="200801"/>
    <m/>
    <n v="1"/>
    <n v="200801"/>
    <n v="22400"/>
  </r>
  <r>
    <x v="407"/>
    <x v="1"/>
    <m/>
    <x v="0"/>
    <x v="9"/>
    <x v="15"/>
    <n v="200801"/>
    <n v="200801"/>
    <m/>
    <n v="3"/>
    <n v="200801"/>
    <n v="60000"/>
  </r>
  <r>
    <x v="408"/>
    <x v="0"/>
    <m/>
    <x v="0"/>
    <x v="1"/>
    <x v="16"/>
    <n v="200801"/>
    <n v="200801"/>
    <m/>
    <n v="3"/>
    <n v="200801"/>
    <n v="105000"/>
  </r>
  <r>
    <x v="408"/>
    <x v="0"/>
    <m/>
    <x v="0"/>
    <x v="5"/>
    <x v="51"/>
    <n v="200801"/>
    <n v="200801"/>
    <m/>
    <n v="50"/>
    <n v="200801"/>
    <n v="562500"/>
  </r>
  <r>
    <x v="408"/>
    <x v="0"/>
    <m/>
    <x v="5"/>
    <x v="5"/>
    <x v="53"/>
    <n v="200801"/>
    <n v="200801"/>
    <m/>
    <n v="32"/>
    <n v="200801"/>
    <n v="475200"/>
  </r>
  <r>
    <x v="408"/>
    <x v="0"/>
    <m/>
    <x v="22"/>
    <x v="5"/>
    <x v="52"/>
    <n v="200801"/>
    <n v="200801"/>
    <m/>
    <n v="20"/>
    <n v="200801"/>
    <n v="342000"/>
  </r>
  <r>
    <x v="408"/>
    <x v="0"/>
    <m/>
    <x v="31"/>
    <x v="5"/>
    <x v="88"/>
    <n v="200801"/>
    <n v="200801"/>
    <m/>
    <n v="30"/>
    <n v="200801"/>
    <n v="343650"/>
  </r>
  <r>
    <x v="408"/>
    <x v="0"/>
    <m/>
    <x v="1"/>
    <x v="5"/>
    <x v="63"/>
    <n v="200801"/>
    <n v="200801"/>
    <m/>
    <n v="17"/>
    <n v="200801"/>
    <n v="191250"/>
  </r>
  <r>
    <x v="408"/>
    <x v="0"/>
    <m/>
    <x v="19"/>
    <x v="5"/>
    <x v="50"/>
    <n v="200801"/>
    <n v="200801"/>
    <m/>
    <n v="22"/>
    <n v="200801"/>
    <n v="158400"/>
  </r>
  <r>
    <x v="408"/>
    <x v="0"/>
    <m/>
    <x v="4"/>
    <x v="5"/>
    <x v="62"/>
    <n v="200801"/>
    <n v="200801"/>
    <m/>
    <n v="18"/>
    <n v="200801"/>
    <n v="324000"/>
  </r>
  <r>
    <x v="408"/>
    <x v="0"/>
    <m/>
    <x v="6"/>
    <x v="5"/>
    <x v="49"/>
    <n v="200801"/>
    <n v="200801"/>
    <m/>
    <n v="2"/>
    <n v="200801"/>
    <n v="22500"/>
  </r>
  <r>
    <x v="408"/>
    <x v="0"/>
    <m/>
    <x v="30"/>
    <x v="5"/>
    <x v="87"/>
    <n v="200801"/>
    <n v="200801"/>
    <m/>
    <n v="30"/>
    <n v="200801"/>
    <n v="343650"/>
  </r>
  <r>
    <x v="408"/>
    <x v="0"/>
    <m/>
    <x v="0"/>
    <x v="7"/>
    <x v="15"/>
    <n v="200801"/>
    <n v="200801"/>
    <m/>
    <n v="1"/>
    <n v="200801"/>
    <n v="20000"/>
  </r>
  <r>
    <x v="408"/>
    <x v="0"/>
    <m/>
    <x v="36"/>
    <x v="3"/>
    <x v="109"/>
    <n v="200801"/>
    <n v="200801"/>
    <m/>
    <n v="1"/>
    <n v="200801"/>
    <n v="0"/>
  </r>
  <r>
    <x v="408"/>
    <x v="0"/>
    <m/>
    <x v="35"/>
    <x v="3"/>
    <x v="107"/>
    <n v="200801"/>
    <n v="200801"/>
    <m/>
    <n v="1"/>
    <n v="200801"/>
    <n v="0"/>
  </r>
  <r>
    <x v="408"/>
    <x v="0"/>
    <m/>
    <x v="33"/>
    <x v="3"/>
    <x v="94"/>
    <n v="200801"/>
    <n v="200801"/>
    <m/>
    <n v="15"/>
    <n v="200801"/>
    <n v="0"/>
  </r>
  <r>
    <x v="408"/>
    <x v="0"/>
    <m/>
    <x v="6"/>
    <x v="2"/>
    <x v="37"/>
    <n v="200801"/>
    <n v="200801"/>
    <m/>
    <n v="2"/>
    <n v="200801"/>
    <n v="40000"/>
  </r>
  <r>
    <x v="408"/>
    <x v="0"/>
    <m/>
    <x v="25"/>
    <x v="2"/>
    <x v="34"/>
    <n v="200801"/>
    <n v="200801"/>
    <m/>
    <n v="3"/>
    <n v="200801"/>
    <n v="297000"/>
  </r>
  <r>
    <x v="408"/>
    <x v="0"/>
    <m/>
    <x v="31"/>
    <x v="2"/>
    <x v="95"/>
    <n v="200801"/>
    <n v="200801"/>
    <m/>
    <n v="16"/>
    <n v="200801"/>
    <n v="358400"/>
  </r>
  <r>
    <x v="408"/>
    <x v="0"/>
    <m/>
    <x v="31"/>
    <x v="2"/>
    <x v="96"/>
    <n v="200801"/>
    <n v="200801"/>
    <m/>
    <n v="21"/>
    <n v="200801"/>
    <n v="823200"/>
  </r>
  <r>
    <x v="408"/>
    <x v="0"/>
    <m/>
    <x v="32"/>
    <x v="2"/>
    <x v="97"/>
    <n v="200801"/>
    <n v="200801"/>
    <m/>
    <n v="13"/>
    <n v="200801"/>
    <n v="482300"/>
  </r>
  <r>
    <x v="408"/>
    <x v="0"/>
    <m/>
    <x v="34"/>
    <x v="2"/>
    <x v="105"/>
    <n v="200801"/>
    <n v="200801"/>
    <m/>
    <n v="10"/>
    <n v="200801"/>
    <n v="371000"/>
  </r>
  <r>
    <x v="408"/>
    <x v="0"/>
    <m/>
    <x v="30"/>
    <x v="2"/>
    <x v="99"/>
    <n v="200801"/>
    <n v="200801"/>
    <m/>
    <n v="2"/>
    <n v="200801"/>
    <n v="44800"/>
  </r>
  <r>
    <x v="408"/>
    <x v="0"/>
    <m/>
    <x v="1"/>
    <x v="2"/>
    <x v="18"/>
    <n v="200801"/>
    <n v="200801"/>
    <m/>
    <n v="4"/>
    <n v="200801"/>
    <n v="80000"/>
  </r>
  <r>
    <x v="408"/>
    <x v="0"/>
    <m/>
    <x v="4"/>
    <x v="2"/>
    <x v="26"/>
    <n v="200801"/>
    <n v="200801"/>
    <m/>
    <n v="3"/>
    <n v="200801"/>
    <n v="12000"/>
  </r>
  <r>
    <x v="408"/>
    <x v="0"/>
    <m/>
    <x v="4"/>
    <x v="2"/>
    <x v="27"/>
    <n v="200801"/>
    <n v="200801"/>
    <m/>
    <n v="1"/>
    <n v="200801"/>
    <n v="20000"/>
  </r>
  <r>
    <x v="408"/>
    <x v="0"/>
    <m/>
    <x v="0"/>
    <x v="2"/>
    <x v="15"/>
    <n v="200801"/>
    <n v="200801"/>
    <m/>
    <n v="28"/>
    <n v="200801"/>
    <n v="560000"/>
  </r>
  <r>
    <x v="408"/>
    <x v="0"/>
    <m/>
    <x v="0"/>
    <x v="2"/>
    <x v="16"/>
    <n v="200801"/>
    <n v="200801"/>
    <m/>
    <n v="10"/>
    <n v="200801"/>
    <n v="350000"/>
  </r>
  <r>
    <x v="408"/>
    <x v="0"/>
    <m/>
    <x v="0"/>
    <x v="2"/>
    <x v="17"/>
    <n v="200801"/>
    <n v="200801"/>
    <m/>
    <n v="32"/>
    <n v="200801"/>
    <n v="1056000"/>
  </r>
  <r>
    <x v="408"/>
    <x v="0"/>
    <m/>
    <x v="0"/>
    <x v="2"/>
    <x v="19"/>
    <n v="200801"/>
    <n v="200801"/>
    <m/>
    <n v="25"/>
    <n v="200801"/>
    <n v="75000"/>
  </r>
  <r>
    <x v="408"/>
    <x v="0"/>
    <m/>
    <x v="5"/>
    <x v="2"/>
    <x v="28"/>
    <n v="200801"/>
    <n v="200801"/>
    <m/>
    <n v="10"/>
    <n v="200801"/>
    <n v="280000"/>
  </r>
  <r>
    <x v="408"/>
    <x v="0"/>
    <m/>
    <x v="5"/>
    <x v="2"/>
    <x v="69"/>
    <n v="200801"/>
    <n v="200801"/>
    <m/>
    <n v="5"/>
    <n v="200801"/>
    <n v="240000"/>
  </r>
  <r>
    <x v="408"/>
    <x v="0"/>
    <m/>
    <x v="22"/>
    <x v="2"/>
    <x v="29"/>
    <n v="200801"/>
    <n v="200801"/>
    <m/>
    <n v="2"/>
    <n v="200801"/>
    <n v="76000"/>
  </r>
  <r>
    <x v="408"/>
    <x v="0"/>
    <m/>
    <x v="19"/>
    <x v="2"/>
    <x v="22"/>
    <n v="200801"/>
    <n v="200801"/>
    <m/>
    <n v="5"/>
    <n v="200801"/>
    <n v="65000"/>
  </r>
  <r>
    <x v="408"/>
    <x v="0"/>
    <m/>
    <x v="19"/>
    <x v="2"/>
    <x v="23"/>
    <n v="200801"/>
    <n v="200801"/>
    <m/>
    <n v="1"/>
    <n v="200801"/>
    <n v="24000"/>
  </r>
  <r>
    <x v="408"/>
    <x v="0"/>
    <m/>
    <x v="33"/>
    <x v="2"/>
    <x v="92"/>
    <n v="200801"/>
    <n v="200801"/>
    <m/>
    <n v="1"/>
    <n v="200801"/>
    <n v="18200"/>
  </r>
  <r>
    <x v="408"/>
    <x v="0"/>
    <m/>
    <x v="0"/>
    <x v="9"/>
    <x v="15"/>
    <n v="200801"/>
    <n v="200801"/>
    <m/>
    <n v="2"/>
    <n v="200801"/>
    <n v="40000"/>
  </r>
  <r>
    <x v="409"/>
    <x v="2"/>
    <m/>
    <x v="0"/>
    <x v="1"/>
    <x v="16"/>
    <n v="200801"/>
    <n v="200801"/>
    <m/>
    <n v="3"/>
    <n v="200801"/>
    <n v="105000"/>
  </r>
  <r>
    <x v="409"/>
    <x v="2"/>
    <m/>
    <x v="18"/>
    <x v="3"/>
    <x v="19"/>
    <n v="200801"/>
    <n v="200801"/>
    <m/>
    <n v="5"/>
    <n v="200801"/>
    <n v="0"/>
  </r>
  <r>
    <x v="409"/>
    <x v="2"/>
    <m/>
    <x v="6"/>
    <x v="2"/>
    <x v="37"/>
    <n v="200801"/>
    <n v="200801"/>
    <m/>
    <n v="4"/>
    <n v="200801"/>
    <n v="80000"/>
  </r>
  <r>
    <x v="409"/>
    <x v="2"/>
    <m/>
    <x v="25"/>
    <x v="2"/>
    <x v="34"/>
    <n v="200801"/>
    <n v="200801"/>
    <m/>
    <n v="2"/>
    <n v="200801"/>
    <n v="198000"/>
  </r>
  <r>
    <x v="409"/>
    <x v="2"/>
    <m/>
    <x v="31"/>
    <x v="2"/>
    <x v="95"/>
    <n v="200801"/>
    <n v="200801"/>
    <m/>
    <n v="12"/>
    <n v="200801"/>
    <n v="268800"/>
  </r>
  <r>
    <x v="409"/>
    <x v="2"/>
    <m/>
    <x v="31"/>
    <x v="2"/>
    <x v="96"/>
    <n v="200801"/>
    <n v="200801"/>
    <m/>
    <n v="16"/>
    <n v="200801"/>
    <n v="627200"/>
  </r>
  <r>
    <x v="409"/>
    <x v="2"/>
    <m/>
    <x v="32"/>
    <x v="2"/>
    <x v="97"/>
    <n v="200801"/>
    <n v="200801"/>
    <m/>
    <n v="18"/>
    <n v="200801"/>
    <n v="667800"/>
  </r>
  <r>
    <x v="409"/>
    <x v="2"/>
    <m/>
    <x v="34"/>
    <x v="2"/>
    <x v="105"/>
    <n v="200801"/>
    <n v="200801"/>
    <m/>
    <n v="10"/>
    <n v="200801"/>
    <n v="371000"/>
  </r>
  <r>
    <x v="409"/>
    <x v="2"/>
    <m/>
    <x v="30"/>
    <x v="2"/>
    <x v="99"/>
    <n v="200801"/>
    <n v="200801"/>
    <m/>
    <n v="3"/>
    <n v="200801"/>
    <n v="67200"/>
  </r>
  <r>
    <x v="409"/>
    <x v="2"/>
    <m/>
    <x v="30"/>
    <x v="2"/>
    <x v="100"/>
    <n v="200801"/>
    <n v="200801"/>
    <m/>
    <n v="1"/>
    <n v="200801"/>
    <n v="39200"/>
  </r>
  <r>
    <x v="409"/>
    <x v="2"/>
    <m/>
    <x v="1"/>
    <x v="2"/>
    <x v="18"/>
    <n v="200801"/>
    <n v="200801"/>
    <m/>
    <n v="2"/>
    <n v="200801"/>
    <n v="40000"/>
  </r>
  <r>
    <x v="409"/>
    <x v="2"/>
    <m/>
    <x v="1"/>
    <x v="2"/>
    <x v="21"/>
    <n v="200801"/>
    <n v="200801"/>
    <m/>
    <n v="1"/>
    <n v="200801"/>
    <n v="35000"/>
  </r>
  <r>
    <x v="409"/>
    <x v="2"/>
    <m/>
    <x v="4"/>
    <x v="2"/>
    <x v="27"/>
    <n v="200801"/>
    <n v="200801"/>
    <m/>
    <n v="2"/>
    <n v="200801"/>
    <n v="40000"/>
  </r>
  <r>
    <x v="409"/>
    <x v="2"/>
    <m/>
    <x v="0"/>
    <x v="2"/>
    <x v="15"/>
    <n v="200801"/>
    <n v="200801"/>
    <m/>
    <n v="14"/>
    <n v="200801"/>
    <n v="280000"/>
  </r>
  <r>
    <x v="409"/>
    <x v="2"/>
    <m/>
    <x v="0"/>
    <x v="2"/>
    <x v="16"/>
    <n v="200801"/>
    <n v="200801"/>
    <m/>
    <n v="11"/>
    <n v="200801"/>
    <n v="385000"/>
  </r>
  <r>
    <x v="409"/>
    <x v="2"/>
    <m/>
    <x v="0"/>
    <x v="2"/>
    <x v="17"/>
    <n v="200801"/>
    <n v="200801"/>
    <m/>
    <n v="34"/>
    <n v="200801"/>
    <n v="1122000"/>
  </r>
  <r>
    <x v="409"/>
    <x v="2"/>
    <m/>
    <x v="0"/>
    <x v="2"/>
    <x v="19"/>
    <n v="200801"/>
    <n v="200801"/>
    <m/>
    <n v="10"/>
    <n v="200801"/>
    <n v="30000"/>
  </r>
  <r>
    <x v="409"/>
    <x v="2"/>
    <m/>
    <x v="5"/>
    <x v="2"/>
    <x v="28"/>
    <n v="200801"/>
    <n v="200801"/>
    <m/>
    <n v="11"/>
    <n v="200801"/>
    <n v="308000"/>
  </r>
  <r>
    <x v="409"/>
    <x v="2"/>
    <m/>
    <x v="5"/>
    <x v="2"/>
    <x v="69"/>
    <n v="200801"/>
    <n v="200801"/>
    <m/>
    <n v="4"/>
    <n v="200801"/>
    <n v="192000"/>
  </r>
  <r>
    <x v="409"/>
    <x v="2"/>
    <m/>
    <x v="22"/>
    <x v="2"/>
    <x v="29"/>
    <n v="200801"/>
    <n v="200801"/>
    <m/>
    <n v="3"/>
    <n v="200801"/>
    <n v="114000"/>
  </r>
  <r>
    <x v="409"/>
    <x v="2"/>
    <m/>
    <x v="19"/>
    <x v="2"/>
    <x v="22"/>
    <n v="200801"/>
    <n v="200801"/>
    <m/>
    <n v="9"/>
    <n v="200801"/>
    <n v="117000"/>
  </r>
  <r>
    <x v="409"/>
    <x v="2"/>
    <m/>
    <x v="19"/>
    <x v="2"/>
    <x v="23"/>
    <n v="200801"/>
    <n v="200801"/>
    <m/>
    <n v="1"/>
    <n v="200801"/>
    <n v="24000"/>
  </r>
  <r>
    <x v="409"/>
    <x v="2"/>
    <m/>
    <x v="0"/>
    <x v="9"/>
    <x v="15"/>
    <n v="200801"/>
    <n v="200801"/>
    <m/>
    <n v="3"/>
    <n v="200801"/>
    <n v="60000"/>
  </r>
  <r>
    <x v="410"/>
    <x v="5"/>
    <m/>
    <x v="0"/>
    <x v="7"/>
    <x v="15"/>
    <n v="200801"/>
    <n v="200801"/>
    <m/>
    <n v="2"/>
    <n v="200801"/>
    <n v="40000"/>
  </r>
  <r>
    <x v="410"/>
    <x v="5"/>
    <m/>
    <x v="6"/>
    <x v="2"/>
    <x v="37"/>
    <n v="200801"/>
    <n v="200801"/>
    <m/>
    <n v="2"/>
    <n v="200801"/>
    <n v="40000"/>
  </r>
  <r>
    <x v="410"/>
    <x v="5"/>
    <m/>
    <x v="25"/>
    <x v="2"/>
    <x v="34"/>
    <n v="200801"/>
    <n v="200801"/>
    <m/>
    <n v="1"/>
    <n v="200801"/>
    <n v="99000"/>
  </r>
  <r>
    <x v="410"/>
    <x v="5"/>
    <m/>
    <x v="31"/>
    <x v="2"/>
    <x v="95"/>
    <n v="200801"/>
    <n v="200801"/>
    <m/>
    <n v="15"/>
    <n v="200801"/>
    <n v="336000"/>
  </r>
  <r>
    <x v="410"/>
    <x v="5"/>
    <m/>
    <x v="31"/>
    <x v="2"/>
    <x v="96"/>
    <n v="200801"/>
    <n v="200801"/>
    <m/>
    <n v="21"/>
    <n v="200801"/>
    <n v="823200"/>
  </r>
  <r>
    <x v="410"/>
    <x v="5"/>
    <m/>
    <x v="32"/>
    <x v="2"/>
    <x v="97"/>
    <n v="200801"/>
    <n v="200801"/>
    <m/>
    <n v="15"/>
    <n v="200801"/>
    <n v="556500"/>
  </r>
  <r>
    <x v="410"/>
    <x v="5"/>
    <m/>
    <x v="34"/>
    <x v="2"/>
    <x v="105"/>
    <n v="200801"/>
    <n v="200801"/>
    <m/>
    <n v="12"/>
    <n v="200801"/>
    <n v="445200"/>
  </r>
  <r>
    <x v="410"/>
    <x v="5"/>
    <m/>
    <x v="30"/>
    <x v="2"/>
    <x v="99"/>
    <n v="200801"/>
    <n v="200801"/>
    <m/>
    <n v="3"/>
    <n v="200801"/>
    <n v="67200"/>
  </r>
  <r>
    <x v="410"/>
    <x v="5"/>
    <m/>
    <x v="30"/>
    <x v="2"/>
    <x v="100"/>
    <n v="200801"/>
    <n v="200801"/>
    <m/>
    <n v="2"/>
    <n v="200801"/>
    <n v="78400"/>
  </r>
  <r>
    <x v="410"/>
    <x v="5"/>
    <m/>
    <x v="1"/>
    <x v="2"/>
    <x v="18"/>
    <n v="200801"/>
    <n v="200801"/>
    <m/>
    <n v="1"/>
    <n v="200801"/>
    <n v="20000"/>
  </r>
  <r>
    <x v="410"/>
    <x v="5"/>
    <m/>
    <x v="4"/>
    <x v="2"/>
    <x v="26"/>
    <n v="200801"/>
    <n v="200801"/>
    <m/>
    <n v="3"/>
    <n v="200801"/>
    <n v="12000"/>
  </r>
  <r>
    <x v="410"/>
    <x v="5"/>
    <m/>
    <x v="4"/>
    <x v="2"/>
    <x v="27"/>
    <n v="200801"/>
    <n v="200801"/>
    <m/>
    <n v="2"/>
    <n v="200801"/>
    <n v="40000"/>
  </r>
  <r>
    <x v="410"/>
    <x v="5"/>
    <m/>
    <x v="0"/>
    <x v="2"/>
    <x v="15"/>
    <n v="200801"/>
    <n v="200801"/>
    <m/>
    <n v="17"/>
    <n v="200801"/>
    <n v="340000"/>
  </r>
  <r>
    <x v="410"/>
    <x v="5"/>
    <m/>
    <x v="0"/>
    <x v="2"/>
    <x v="16"/>
    <n v="200801"/>
    <n v="200801"/>
    <m/>
    <n v="15"/>
    <n v="200801"/>
    <n v="525000"/>
  </r>
  <r>
    <x v="410"/>
    <x v="5"/>
    <m/>
    <x v="0"/>
    <x v="2"/>
    <x v="17"/>
    <n v="200801"/>
    <n v="200801"/>
    <m/>
    <n v="29"/>
    <n v="200801"/>
    <n v="957000"/>
  </r>
  <r>
    <x v="410"/>
    <x v="5"/>
    <m/>
    <x v="0"/>
    <x v="2"/>
    <x v="19"/>
    <n v="200801"/>
    <n v="200801"/>
    <m/>
    <n v="24"/>
    <n v="200801"/>
    <n v="72000"/>
  </r>
  <r>
    <x v="410"/>
    <x v="5"/>
    <m/>
    <x v="5"/>
    <x v="2"/>
    <x v="28"/>
    <n v="200801"/>
    <n v="200801"/>
    <m/>
    <n v="8"/>
    <n v="200801"/>
    <n v="224000"/>
  </r>
  <r>
    <x v="410"/>
    <x v="5"/>
    <m/>
    <x v="5"/>
    <x v="2"/>
    <x v="69"/>
    <n v="200801"/>
    <n v="200801"/>
    <m/>
    <n v="3"/>
    <n v="200801"/>
    <n v="144000"/>
  </r>
  <r>
    <x v="410"/>
    <x v="5"/>
    <m/>
    <x v="22"/>
    <x v="2"/>
    <x v="29"/>
    <n v="200801"/>
    <n v="200801"/>
    <m/>
    <n v="4"/>
    <n v="200801"/>
    <n v="152000"/>
  </r>
  <r>
    <x v="410"/>
    <x v="5"/>
    <m/>
    <x v="19"/>
    <x v="2"/>
    <x v="22"/>
    <n v="200801"/>
    <n v="200801"/>
    <m/>
    <n v="6"/>
    <n v="200801"/>
    <n v="78000"/>
  </r>
  <r>
    <x v="410"/>
    <x v="5"/>
    <m/>
    <x v="19"/>
    <x v="2"/>
    <x v="23"/>
    <n v="200801"/>
    <n v="200801"/>
    <m/>
    <n v="1"/>
    <n v="200801"/>
    <n v="24000"/>
  </r>
  <r>
    <x v="410"/>
    <x v="5"/>
    <m/>
    <x v="33"/>
    <x v="2"/>
    <x v="92"/>
    <n v="200801"/>
    <n v="200801"/>
    <m/>
    <n v="2"/>
    <n v="200801"/>
    <n v="36400"/>
  </r>
  <r>
    <x v="410"/>
    <x v="5"/>
    <m/>
    <x v="33"/>
    <x v="2"/>
    <x v="93"/>
    <n v="200801"/>
    <n v="200801"/>
    <m/>
    <n v="1"/>
    <n v="200801"/>
    <n v="33800"/>
  </r>
  <r>
    <x v="410"/>
    <x v="5"/>
    <m/>
    <x v="0"/>
    <x v="9"/>
    <x v="15"/>
    <n v="200801"/>
    <n v="200801"/>
    <m/>
    <n v="6"/>
    <n v="200801"/>
    <n v="120000"/>
  </r>
  <r>
    <x v="411"/>
    <x v="6"/>
    <m/>
    <x v="0"/>
    <x v="7"/>
    <x v="15"/>
    <n v="200801"/>
    <n v="200801"/>
    <m/>
    <n v="2"/>
    <n v="200801"/>
    <n v="40000"/>
  </r>
  <r>
    <x v="411"/>
    <x v="6"/>
    <m/>
    <x v="6"/>
    <x v="2"/>
    <x v="37"/>
    <n v="200801"/>
    <n v="200801"/>
    <m/>
    <n v="1"/>
    <n v="200801"/>
    <n v="20000"/>
  </r>
  <r>
    <x v="411"/>
    <x v="6"/>
    <m/>
    <x v="31"/>
    <x v="2"/>
    <x v="95"/>
    <n v="200801"/>
    <n v="200801"/>
    <m/>
    <n v="20"/>
    <n v="200801"/>
    <n v="448000"/>
  </r>
  <r>
    <x v="411"/>
    <x v="6"/>
    <m/>
    <x v="31"/>
    <x v="2"/>
    <x v="96"/>
    <n v="200801"/>
    <n v="200801"/>
    <m/>
    <n v="19"/>
    <n v="200801"/>
    <n v="744800"/>
  </r>
  <r>
    <x v="411"/>
    <x v="6"/>
    <m/>
    <x v="32"/>
    <x v="2"/>
    <x v="97"/>
    <n v="200801"/>
    <n v="200801"/>
    <m/>
    <n v="19"/>
    <n v="200801"/>
    <n v="704900"/>
  </r>
  <r>
    <x v="411"/>
    <x v="6"/>
    <m/>
    <x v="34"/>
    <x v="2"/>
    <x v="105"/>
    <n v="200801"/>
    <n v="200801"/>
    <m/>
    <n v="19"/>
    <n v="200801"/>
    <n v="704900"/>
  </r>
  <r>
    <x v="411"/>
    <x v="6"/>
    <m/>
    <x v="30"/>
    <x v="2"/>
    <x v="99"/>
    <n v="200801"/>
    <n v="200801"/>
    <m/>
    <n v="5"/>
    <n v="200801"/>
    <n v="112000"/>
  </r>
  <r>
    <x v="411"/>
    <x v="6"/>
    <m/>
    <x v="1"/>
    <x v="2"/>
    <x v="18"/>
    <n v="200801"/>
    <n v="200801"/>
    <m/>
    <n v="3"/>
    <n v="200801"/>
    <n v="60000"/>
  </r>
  <r>
    <x v="411"/>
    <x v="6"/>
    <m/>
    <x v="4"/>
    <x v="2"/>
    <x v="26"/>
    <n v="200801"/>
    <n v="200801"/>
    <m/>
    <n v="3"/>
    <n v="200801"/>
    <n v="12000"/>
  </r>
  <r>
    <x v="411"/>
    <x v="6"/>
    <m/>
    <x v="4"/>
    <x v="2"/>
    <x v="27"/>
    <n v="200801"/>
    <n v="200801"/>
    <m/>
    <n v="9"/>
    <n v="200801"/>
    <n v="180000"/>
  </r>
  <r>
    <x v="411"/>
    <x v="6"/>
    <m/>
    <x v="0"/>
    <x v="2"/>
    <x v="15"/>
    <n v="200801"/>
    <n v="200801"/>
    <m/>
    <n v="20"/>
    <n v="200801"/>
    <n v="400000"/>
  </r>
  <r>
    <x v="411"/>
    <x v="6"/>
    <m/>
    <x v="0"/>
    <x v="2"/>
    <x v="16"/>
    <n v="200801"/>
    <n v="200801"/>
    <m/>
    <n v="12"/>
    <n v="200801"/>
    <n v="420000"/>
  </r>
  <r>
    <x v="411"/>
    <x v="6"/>
    <m/>
    <x v="0"/>
    <x v="2"/>
    <x v="17"/>
    <n v="200801"/>
    <n v="200801"/>
    <m/>
    <n v="39"/>
    <n v="200801"/>
    <n v="1287000"/>
  </r>
  <r>
    <x v="411"/>
    <x v="6"/>
    <m/>
    <x v="0"/>
    <x v="2"/>
    <x v="19"/>
    <n v="200801"/>
    <n v="200801"/>
    <m/>
    <n v="24"/>
    <n v="200801"/>
    <n v="72000"/>
  </r>
  <r>
    <x v="411"/>
    <x v="6"/>
    <m/>
    <x v="5"/>
    <x v="2"/>
    <x v="28"/>
    <n v="200801"/>
    <n v="200801"/>
    <m/>
    <n v="13"/>
    <n v="200801"/>
    <n v="364000"/>
  </r>
  <r>
    <x v="411"/>
    <x v="6"/>
    <m/>
    <x v="5"/>
    <x v="2"/>
    <x v="69"/>
    <n v="200801"/>
    <n v="200801"/>
    <m/>
    <n v="3"/>
    <n v="200801"/>
    <n v="144000"/>
  </r>
  <r>
    <x v="411"/>
    <x v="6"/>
    <m/>
    <x v="22"/>
    <x v="2"/>
    <x v="29"/>
    <n v="200801"/>
    <n v="200801"/>
    <m/>
    <n v="8"/>
    <n v="200801"/>
    <n v="304000"/>
  </r>
  <r>
    <x v="411"/>
    <x v="6"/>
    <m/>
    <x v="19"/>
    <x v="2"/>
    <x v="22"/>
    <n v="200801"/>
    <n v="200801"/>
    <m/>
    <n v="5"/>
    <n v="200801"/>
    <n v="65000"/>
  </r>
  <r>
    <x v="411"/>
    <x v="6"/>
    <m/>
    <x v="19"/>
    <x v="2"/>
    <x v="23"/>
    <n v="200801"/>
    <n v="200801"/>
    <m/>
    <n v="2"/>
    <n v="200801"/>
    <n v="48000"/>
  </r>
  <r>
    <x v="411"/>
    <x v="6"/>
    <m/>
    <x v="19"/>
    <x v="2"/>
    <x v="24"/>
    <n v="200801"/>
    <n v="200801"/>
    <m/>
    <n v="6"/>
    <n v="200801"/>
    <n v="198000"/>
  </r>
  <r>
    <x v="411"/>
    <x v="6"/>
    <m/>
    <x v="33"/>
    <x v="2"/>
    <x v="93"/>
    <n v="200801"/>
    <n v="200801"/>
    <m/>
    <n v="2"/>
    <n v="200801"/>
    <n v="67600"/>
  </r>
  <r>
    <x v="411"/>
    <x v="6"/>
    <m/>
    <x v="0"/>
    <x v="9"/>
    <x v="15"/>
    <n v="200801"/>
    <n v="200801"/>
    <m/>
    <n v="4"/>
    <n v="200801"/>
    <n v="80000"/>
  </r>
  <r>
    <x v="411"/>
    <x v="6"/>
    <m/>
    <x v="0"/>
    <x v="6"/>
    <x v="15"/>
    <n v="200801"/>
    <n v="200801"/>
    <m/>
    <n v="623"/>
    <n v="200801"/>
    <n v="5649364"/>
  </r>
  <r>
    <x v="411"/>
    <x v="6"/>
    <m/>
    <x v="0"/>
    <x v="6"/>
    <x v="17"/>
    <n v="200801"/>
    <n v="200801"/>
    <m/>
    <n v="11"/>
    <n v="200801"/>
    <n v="173998"/>
  </r>
  <r>
    <x v="411"/>
    <x v="6"/>
    <m/>
    <x v="4"/>
    <x v="6"/>
    <x v="26"/>
    <n v="200801"/>
    <n v="200801"/>
    <m/>
    <n v="353"/>
    <n v="200801"/>
    <n v="378769"/>
  </r>
  <r>
    <x v="411"/>
    <x v="6"/>
    <m/>
    <x v="26"/>
    <x v="6"/>
    <x v="35"/>
    <n v="200801"/>
    <n v="200801"/>
    <m/>
    <n v="17"/>
    <n v="200801"/>
    <n v="291227"/>
  </r>
  <r>
    <x v="411"/>
    <x v="6"/>
    <m/>
    <x v="22"/>
    <x v="6"/>
    <x v="29"/>
    <n v="200801"/>
    <n v="200801"/>
    <m/>
    <n v="39"/>
    <n v="200801"/>
    <n v="767949"/>
  </r>
  <r>
    <x v="411"/>
    <x v="6"/>
    <m/>
    <x v="24"/>
    <x v="6"/>
    <x v="31"/>
    <n v="200801"/>
    <n v="200801"/>
    <m/>
    <n v="47"/>
    <n v="200801"/>
    <n v="699219"/>
  </r>
  <r>
    <x v="411"/>
    <x v="6"/>
    <m/>
    <x v="23"/>
    <x v="6"/>
    <x v="30"/>
    <n v="200801"/>
    <n v="200801"/>
    <m/>
    <n v="2"/>
    <n v="200801"/>
    <n v="13928"/>
  </r>
  <r>
    <x v="411"/>
    <x v="6"/>
    <m/>
    <x v="19"/>
    <x v="6"/>
    <x v="22"/>
    <n v="200801"/>
    <n v="200801"/>
    <m/>
    <n v="45"/>
    <n v="200801"/>
    <n v="305595"/>
  </r>
  <r>
    <x v="411"/>
    <x v="6"/>
    <m/>
    <x v="6"/>
    <x v="6"/>
    <x v="37"/>
    <n v="200801"/>
    <n v="200801"/>
    <m/>
    <n v="18"/>
    <n v="200801"/>
    <n v="180000"/>
  </r>
  <r>
    <x v="411"/>
    <x v="6"/>
    <m/>
    <x v="4"/>
    <x v="6"/>
    <x v="66"/>
    <n v="200801"/>
    <n v="200801"/>
    <m/>
    <n v="453"/>
    <n v="200801"/>
    <n v="2535441"/>
  </r>
  <r>
    <x v="411"/>
    <x v="6"/>
    <m/>
    <x v="33"/>
    <x v="6"/>
    <x v="106"/>
    <n v="200801"/>
    <n v="200801"/>
    <m/>
    <n v="10"/>
    <n v="200801"/>
    <n v="97500"/>
  </r>
  <r>
    <x v="411"/>
    <x v="6"/>
    <m/>
    <x v="31"/>
    <x v="6"/>
    <x v="103"/>
    <n v="200801"/>
    <n v="200801"/>
    <m/>
    <n v="78"/>
    <n v="200801"/>
    <n v="873600"/>
  </r>
  <r>
    <x v="411"/>
    <x v="6"/>
    <m/>
    <x v="30"/>
    <x v="6"/>
    <x v="104"/>
    <n v="200801"/>
    <n v="200801"/>
    <m/>
    <n v="81"/>
    <n v="200801"/>
    <n v="907200"/>
  </r>
  <r>
    <x v="411"/>
    <x v="6"/>
    <m/>
    <x v="5"/>
    <x v="6"/>
    <x v="28"/>
    <n v="200801"/>
    <n v="200801"/>
    <m/>
    <n v="43"/>
    <n v="200801"/>
    <n v="627800"/>
  </r>
  <r>
    <x v="411"/>
    <x v="6"/>
    <m/>
    <x v="35"/>
    <x v="6"/>
    <x v="108"/>
    <n v="200801"/>
    <n v="200801"/>
    <m/>
    <n v="265"/>
    <n v="200801"/>
    <n v="284345"/>
  </r>
  <r>
    <x v="412"/>
    <x v="3"/>
    <m/>
    <x v="0"/>
    <x v="1"/>
    <x v="15"/>
    <n v="200801"/>
    <n v="200801"/>
    <m/>
    <n v="1"/>
    <n v="200801"/>
    <n v="20000"/>
  </r>
  <r>
    <x v="412"/>
    <x v="3"/>
    <m/>
    <x v="0"/>
    <x v="1"/>
    <x v="16"/>
    <n v="200801"/>
    <n v="200801"/>
    <m/>
    <n v="23"/>
    <n v="200801"/>
    <n v="805000"/>
  </r>
  <r>
    <x v="412"/>
    <x v="3"/>
    <m/>
    <x v="0"/>
    <x v="7"/>
    <x v="15"/>
    <n v="200801"/>
    <n v="200801"/>
    <m/>
    <n v="4"/>
    <n v="200801"/>
    <n v="80000"/>
  </r>
  <r>
    <x v="412"/>
    <x v="3"/>
    <m/>
    <x v="6"/>
    <x v="2"/>
    <x v="37"/>
    <n v="200801"/>
    <n v="200801"/>
    <m/>
    <n v="2"/>
    <n v="200801"/>
    <n v="40000"/>
  </r>
  <r>
    <x v="412"/>
    <x v="3"/>
    <m/>
    <x v="6"/>
    <x v="2"/>
    <x v="42"/>
    <n v="200801"/>
    <n v="200801"/>
    <m/>
    <n v="1"/>
    <n v="200801"/>
    <n v="35000"/>
  </r>
  <r>
    <x v="412"/>
    <x v="3"/>
    <m/>
    <x v="36"/>
    <x v="2"/>
    <x v="110"/>
    <n v="200801"/>
    <n v="200801"/>
    <m/>
    <n v="19"/>
    <n v="200801"/>
    <n v="532000"/>
  </r>
  <r>
    <x v="412"/>
    <x v="3"/>
    <m/>
    <x v="36"/>
    <x v="2"/>
    <x v="111"/>
    <n v="200801"/>
    <n v="200801"/>
    <m/>
    <n v="2"/>
    <n v="200801"/>
    <n v="98000"/>
  </r>
  <r>
    <x v="412"/>
    <x v="3"/>
    <m/>
    <x v="35"/>
    <x v="2"/>
    <x v="112"/>
    <n v="200801"/>
    <n v="200801"/>
    <m/>
    <n v="13"/>
    <n v="200801"/>
    <n v="26000"/>
  </r>
  <r>
    <x v="412"/>
    <x v="3"/>
    <m/>
    <x v="25"/>
    <x v="2"/>
    <x v="34"/>
    <n v="200801"/>
    <n v="200801"/>
    <m/>
    <n v="2"/>
    <n v="200801"/>
    <n v="198000"/>
  </r>
  <r>
    <x v="412"/>
    <x v="3"/>
    <m/>
    <x v="31"/>
    <x v="2"/>
    <x v="95"/>
    <n v="200801"/>
    <n v="200801"/>
    <m/>
    <n v="41"/>
    <n v="200801"/>
    <n v="918400"/>
  </r>
  <r>
    <x v="412"/>
    <x v="3"/>
    <m/>
    <x v="31"/>
    <x v="2"/>
    <x v="96"/>
    <n v="200801"/>
    <n v="200801"/>
    <m/>
    <n v="37"/>
    <n v="200801"/>
    <n v="1450400"/>
  </r>
  <r>
    <x v="412"/>
    <x v="3"/>
    <m/>
    <x v="32"/>
    <x v="2"/>
    <x v="97"/>
    <n v="200801"/>
    <n v="200801"/>
    <m/>
    <n v="18"/>
    <n v="200801"/>
    <n v="667800"/>
  </r>
  <r>
    <x v="412"/>
    <x v="3"/>
    <m/>
    <x v="34"/>
    <x v="2"/>
    <x v="105"/>
    <n v="200801"/>
    <n v="200801"/>
    <m/>
    <n v="33"/>
    <n v="200801"/>
    <n v="1224300"/>
  </r>
  <r>
    <x v="412"/>
    <x v="3"/>
    <m/>
    <x v="30"/>
    <x v="2"/>
    <x v="99"/>
    <n v="200801"/>
    <n v="200801"/>
    <m/>
    <n v="12"/>
    <n v="200801"/>
    <n v="268800"/>
  </r>
  <r>
    <x v="412"/>
    <x v="3"/>
    <m/>
    <x v="30"/>
    <x v="2"/>
    <x v="100"/>
    <n v="200801"/>
    <n v="200801"/>
    <m/>
    <n v="1"/>
    <n v="200801"/>
    <n v="39200"/>
  </r>
  <r>
    <x v="412"/>
    <x v="3"/>
    <m/>
    <x v="1"/>
    <x v="2"/>
    <x v="18"/>
    <n v="200801"/>
    <n v="200801"/>
    <m/>
    <n v="1"/>
    <n v="200801"/>
    <n v="20000"/>
  </r>
  <r>
    <x v="412"/>
    <x v="3"/>
    <m/>
    <x v="4"/>
    <x v="2"/>
    <x v="26"/>
    <n v="200801"/>
    <n v="200801"/>
    <m/>
    <n v="6"/>
    <n v="200801"/>
    <n v="24000"/>
  </r>
  <r>
    <x v="412"/>
    <x v="3"/>
    <m/>
    <x v="4"/>
    <x v="2"/>
    <x v="27"/>
    <n v="200801"/>
    <n v="200801"/>
    <m/>
    <n v="9"/>
    <n v="200801"/>
    <n v="180000"/>
  </r>
  <r>
    <x v="412"/>
    <x v="3"/>
    <m/>
    <x v="0"/>
    <x v="2"/>
    <x v="15"/>
    <n v="200801"/>
    <n v="200801"/>
    <m/>
    <n v="37"/>
    <n v="200801"/>
    <n v="740000"/>
  </r>
  <r>
    <x v="412"/>
    <x v="3"/>
    <m/>
    <x v="0"/>
    <x v="2"/>
    <x v="16"/>
    <n v="200801"/>
    <n v="200801"/>
    <m/>
    <n v="21"/>
    <n v="200801"/>
    <n v="735000"/>
  </r>
  <r>
    <x v="412"/>
    <x v="3"/>
    <m/>
    <x v="0"/>
    <x v="2"/>
    <x v="17"/>
    <n v="200801"/>
    <n v="200801"/>
    <m/>
    <n v="46"/>
    <n v="200801"/>
    <n v="1518000"/>
  </r>
  <r>
    <x v="412"/>
    <x v="3"/>
    <m/>
    <x v="0"/>
    <x v="2"/>
    <x v="19"/>
    <n v="200801"/>
    <n v="200801"/>
    <m/>
    <n v="34"/>
    <n v="200801"/>
    <n v="102000"/>
  </r>
  <r>
    <x v="412"/>
    <x v="3"/>
    <m/>
    <x v="5"/>
    <x v="2"/>
    <x v="28"/>
    <n v="200801"/>
    <n v="200801"/>
    <m/>
    <n v="22"/>
    <n v="200801"/>
    <n v="616000"/>
  </r>
  <r>
    <x v="412"/>
    <x v="3"/>
    <m/>
    <x v="5"/>
    <x v="2"/>
    <x v="69"/>
    <n v="200801"/>
    <n v="200801"/>
    <m/>
    <n v="8"/>
    <n v="200801"/>
    <n v="384000"/>
  </r>
  <r>
    <x v="412"/>
    <x v="3"/>
    <m/>
    <x v="22"/>
    <x v="2"/>
    <x v="29"/>
    <n v="200801"/>
    <n v="200801"/>
    <m/>
    <n v="10"/>
    <n v="200801"/>
    <n v="380000"/>
  </r>
  <r>
    <x v="412"/>
    <x v="3"/>
    <m/>
    <x v="19"/>
    <x v="2"/>
    <x v="22"/>
    <n v="200801"/>
    <n v="200801"/>
    <m/>
    <n v="9"/>
    <n v="200801"/>
    <n v="117000"/>
  </r>
  <r>
    <x v="412"/>
    <x v="3"/>
    <m/>
    <x v="19"/>
    <x v="2"/>
    <x v="23"/>
    <n v="200801"/>
    <n v="200801"/>
    <m/>
    <n v="5"/>
    <n v="200801"/>
    <n v="120000"/>
  </r>
  <r>
    <x v="412"/>
    <x v="3"/>
    <m/>
    <x v="19"/>
    <x v="2"/>
    <x v="24"/>
    <n v="200801"/>
    <n v="200801"/>
    <m/>
    <n v="2"/>
    <n v="200801"/>
    <n v="66000"/>
  </r>
  <r>
    <x v="412"/>
    <x v="3"/>
    <m/>
    <x v="33"/>
    <x v="2"/>
    <x v="92"/>
    <n v="200801"/>
    <n v="200801"/>
    <m/>
    <n v="3"/>
    <n v="200801"/>
    <n v="54600"/>
  </r>
  <r>
    <x v="412"/>
    <x v="3"/>
    <m/>
    <x v="33"/>
    <x v="2"/>
    <x v="93"/>
    <n v="200801"/>
    <n v="200801"/>
    <m/>
    <n v="1"/>
    <n v="200801"/>
    <n v="33800"/>
  </r>
  <r>
    <x v="412"/>
    <x v="3"/>
    <m/>
    <x v="0"/>
    <x v="19"/>
    <x v="15"/>
    <n v="200801"/>
    <n v="200801"/>
    <m/>
    <n v="1"/>
    <n v="200801"/>
    <n v="25000"/>
  </r>
  <r>
    <x v="412"/>
    <x v="3"/>
    <m/>
    <x v="19"/>
    <x v="19"/>
    <x v="22"/>
    <n v="200801"/>
    <n v="200801"/>
    <m/>
    <n v="1"/>
    <n v="200801"/>
    <n v="16000"/>
  </r>
  <r>
    <x v="412"/>
    <x v="3"/>
    <m/>
    <x v="0"/>
    <x v="9"/>
    <x v="15"/>
    <n v="200801"/>
    <n v="200801"/>
    <m/>
    <n v="1"/>
    <n v="200801"/>
    <n v="20000"/>
  </r>
  <r>
    <x v="412"/>
    <x v="3"/>
    <m/>
    <x v="31"/>
    <x v="9"/>
    <x v="88"/>
    <n v="200801"/>
    <n v="200801"/>
    <m/>
    <n v="1"/>
    <n v="200801"/>
    <n v="22400"/>
  </r>
  <r>
    <x v="413"/>
    <x v="4"/>
    <m/>
    <x v="0"/>
    <x v="1"/>
    <x v="16"/>
    <n v="200801"/>
    <n v="200801"/>
    <m/>
    <n v="4"/>
    <n v="200801"/>
    <n v="140000"/>
  </r>
  <r>
    <x v="413"/>
    <x v="4"/>
    <m/>
    <x v="0"/>
    <x v="5"/>
    <x v="51"/>
    <n v="200801"/>
    <n v="200801"/>
    <m/>
    <n v="1000"/>
    <n v="200801"/>
    <n v="11250000"/>
  </r>
  <r>
    <x v="413"/>
    <x v="4"/>
    <m/>
    <x v="0"/>
    <x v="5"/>
    <x v="51"/>
    <n v="200801"/>
    <n v="200801"/>
    <m/>
    <n v="30"/>
    <n v="200801"/>
    <n v="337500"/>
  </r>
  <r>
    <x v="413"/>
    <x v="4"/>
    <m/>
    <x v="36"/>
    <x v="5"/>
    <x v="109"/>
    <n v="200801"/>
    <n v="200801"/>
    <m/>
    <n v="30"/>
    <n v="200801"/>
    <n v="525000"/>
  </r>
  <r>
    <x v="413"/>
    <x v="4"/>
    <m/>
    <x v="0"/>
    <x v="7"/>
    <x v="15"/>
    <n v="200801"/>
    <n v="200801"/>
    <m/>
    <n v="1"/>
    <n v="200801"/>
    <n v="20000"/>
  </r>
  <r>
    <x v="413"/>
    <x v="4"/>
    <m/>
    <x v="30"/>
    <x v="3"/>
    <x v="87"/>
    <n v="200801"/>
    <n v="200801"/>
    <m/>
    <n v="1"/>
    <n v="200801"/>
    <n v="0"/>
  </r>
  <r>
    <x v="413"/>
    <x v="4"/>
    <m/>
    <x v="31"/>
    <x v="3"/>
    <x v="88"/>
    <n v="200801"/>
    <n v="200801"/>
    <m/>
    <n v="1"/>
    <n v="200801"/>
    <n v="0"/>
  </r>
  <r>
    <x v="413"/>
    <x v="4"/>
    <m/>
    <x v="36"/>
    <x v="3"/>
    <x v="109"/>
    <n v="200801"/>
    <n v="200801"/>
    <m/>
    <n v="18"/>
    <n v="200801"/>
    <n v="0"/>
  </r>
  <r>
    <x v="413"/>
    <x v="4"/>
    <m/>
    <x v="33"/>
    <x v="3"/>
    <x v="94"/>
    <n v="200801"/>
    <n v="200801"/>
    <m/>
    <n v="1"/>
    <n v="200801"/>
    <n v="0"/>
  </r>
  <r>
    <x v="413"/>
    <x v="4"/>
    <m/>
    <x v="0"/>
    <x v="3"/>
    <x v="15"/>
    <n v="200801"/>
    <n v="200801"/>
    <m/>
    <n v="18"/>
    <n v="200801"/>
    <n v="0"/>
  </r>
  <r>
    <x v="413"/>
    <x v="4"/>
    <m/>
    <x v="0"/>
    <x v="3"/>
    <x v="20"/>
    <n v="200801"/>
    <n v="200801"/>
    <m/>
    <n v="25"/>
    <n v="200801"/>
    <n v="0"/>
  </r>
  <r>
    <x v="413"/>
    <x v="4"/>
    <m/>
    <x v="18"/>
    <x v="3"/>
    <x v="19"/>
    <n v="200801"/>
    <n v="200801"/>
    <m/>
    <n v="18"/>
    <n v="200801"/>
    <n v="0"/>
  </r>
  <r>
    <x v="413"/>
    <x v="4"/>
    <m/>
    <x v="5"/>
    <x v="3"/>
    <x v="28"/>
    <n v="200801"/>
    <n v="200801"/>
    <m/>
    <n v="18"/>
    <n v="200801"/>
    <n v="0"/>
  </r>
  <r>
    <x v="413"/>
    <x v="4"/>
    <m/>
    <x v="4"/>
    <x v="3"/>
    <x v="27"/>
    <n v="200801"/>
    <n v="200801"/>
    <m/>
    <n v="1"/>
    <n v="200801"/>
    <n v="0"/>
  </r>
  <r>
    <x v="413"/>
    <x v="4"/>
    <m/>
    <x v="6"/>
    <x v="3"/>
    <x v="37"/>
    <n v="200801"/>
    <n v="200801"/>
    <m/>
    <n v="1"/>
    <n v="200801"/>
    <n v="0"/>
  </r>
  <r>
    <x v="413"/>
    <x v="4"/>
    <m/>
    <x v="19"/>
    <x v="3"/>
    <x v="22"/>
    <n v="200801"/>
    <n v="200801"/>
    <m/>
    <n v="1"/>
    <n v="200801"/>
    <n v="0"/>
  </r>
  <r>
    <x v="413"/>
    <x v="4"/>
    <m/>
    <x v="1"/>
    <x v="3"/>
    <x v="18"/>
    <n v="200801"/>
    <n v="200801"/>
    <m/>
    <n v="1"/>
    <n v="200801"/>
    <n v="0"/>
  </r>
  <r>
    <x v="413"/>
    <x v="4"/>
    <m/>
    <x v="6"/>
    <x v="2"/>
    <x v="37"/>
    <n v="200801"/>
    <n v="200801"/>
    <m/>
    <n v="1"/>
    <n v="200801"/>
    <n v="20000"/>
  </r>
  <r>
    <x v="413"/>
    <x v="4"/>
    <m/>
    <x v="6"/>
    <x v="2"/>
    <x v="42"/>
    <n v="200801"/>
    <n v="200801"/>
    <m/>
    <n v="1"/>
    <n v="200801"/>
    <n v="35000"/>
  </r>
  <r>
    <x v="413"/>
    <x v="4"/>
    <m/>
    <x v="36"/>
    <x v="2"/>
    <x v="110"/>
    <n v="200801"/>
    <n v="200801"/>
    <m/>
    <n v="5"/>
    <n v="200801"/>
    <n v="140000"/>
  </r>
  <r>
    <x v="413"/>
    <x v="4"/>
    <m/>
    <x v="36"/>
    <x v="2"/>
    <x v="111"/>
    <n v="200801"/>
    <n v="200801"/>
    <m/>
    <n v="1"/>
    <n v="200801"/>
    <n v="49000"/>
  </r>
  <r>
    <x v="413"/>
    <x v="4"/>
    <m/>
    <x v="35"/>
    <x v="2"/>
    <x v="112"/>
    <n v="200801"/>
    <n v="200801"/>
    <m/>
    <n v="4"/>
    <n v="200801"/>
    <n v="8000"/>
  </r>
  <r>
    <x v="413"/>
    <x v="4"/>
    <m/>
    <x v="25"/>
    <x v="2"/>
    <x v="34"/>
    <n v="200801"/>
    <n v="200801"/>
    <m/>
    <n v="3"/>
    <n v="200801"/>
    <n v="297000"/>
  </r>
  <r>
    <x v="413"/>
    <x v="4"/>
    <m/>
    <x v="31"/>
    <x v="2"/>
    <x v="95"/>
    <n v="200801"/>
    <n v="200801"/>
    <m/>
    <n v="41"/>
    <n v="200801"/>
    <n v="918400"/>
  </r>
  <r>
    <x v="413"/>
    <x v="4"/>
    <m/>
    <x v="31"/>
    <x v="2"/>
    <x v="96"/>
    <n v="200801"/>
    <n v="200801"/>
    <m/>
    <n v="37"/>
    <n v="200801"/>
    <n v="1450400"/>
  </r>
  <r>
    <x v="413"/>
    <x v="4"/>
    <m/>
    <x v="32"/>
    <x v="2"/>
    <x v="97"/>
    <n v="200801"/>
    <n v="200801"/>
    <m/>
    <n v="30"/>
    <n v="200801"/>
    <n v="1113000"/>
  </r>
  <r>
    <x v="413"/>
    <x v="4"/>
    <m/>
    <x v="34"/>
    <x v="2"/>
    <x v="105"/>
    <n v="200801"/>
    <n v="200801"/>
    <m/>
    <n v="28"/>
    <n v="200801"/>
    <n v="1038800"/>
  </r>
  <r>
    <x v="413"/>
    <x v="4"/>
    <m/>
    <x v="30"/>
    <x v="2"/>
    <x v="99"/>
    <n v="200801"/>
    <n v="200801"/>
    <m/>
    <n v="4"/>
    <n v="200801"/>
    <n v="89600"/>
  </r>
  <r>
    <x v="413"/>
    <x v="4"/>
    <m/>
    <x v="30"/>
    <x v="2"/>
    <x v="100"/>
    <n v="200801"/>
    <n v="200801"/>
    <m/>
    <n v="1"/>
    <n v="200801"/>
    <n v="39200"/>
  </r>
  <r>
    <x v="413"/>
    <x v="4"/>
    <m/>
    <x v="1"/>
    <x v="2"/>
    <x v="18"/>
    <n v="200801"/>
    <n v="200801"/>
    <m/>
    <n v="1"/>
    <n v="200801"/>
    <n v="20000"/>
  </r>
  <r>
    <x v="413"/>
    <x v="4"/>
    <m/>
    <x v="1"/>
    <x v="2"/>
    <x v="21"/>
    <n v="200801"/>
    <n v="200801"/>
    <m/>
    <n v="1"/>
    <n v="200801"/>
    <n v="35000"/>
  </r>
  <r>
    <x v="413"/>
    <x v="4"/>
    <m/>
    <x v="4"/>
    <x v="2"/>
    <x v="26"/>
    <n v="200801"/>
    <n v="200801"/>
    <m/>
    <n v="1"/>
    <n v="200801"/>
    <n v="4000"/>
  </r>
  <r>
    <x v="413"/>
    <x v="4"/>
    <m/>
    <x v="4"/>
    <x v="2"/>
    <x v="27"/>
    <n v="200801"/>
    <n v="200801"/>
    <m/>
    <n v="6"/>
    <n v="200801"/>
    <n v="120000"/>
  </r>
  <r>
    <x v="413"/>
    <x v="4"/>
    <m/>
    <x v="0"/>
    <x v="2"/>
    <x v="15"/>
    <n v="200801"/>
    <n v="200801"/>
    <m/>
    <n v="44"/>
    <n v="200801"/>
    <n v="880000"/>
  </r>
  <r>
    <x v="413"/>
    <x v="4"/>
    <m/>
    <x v="0"/>
    <x v="2"/>
    <x v="16"/>
    <n v="200801"/>
    <n v="200801"/>
    <m/>
    <n v="27"/>
    <n v="200801"/>
    <n v="945000"/>
  </r>
  <r>
    <x v="413"/>
    <x v="4"/>
    <m/>
    <x v="0"/>
    <x v="2"/>
    <x v="17"/>
    <n v="200801"/>
    <n v="200801"/>
    <m/>
    <n v="40"/>
    <n v="200801"/>
    <n v="1320000"/>
  </r>
  <r>
    <x v="413"/>
    <x v="4"/>
    <m/>
    <x v="0"/>
    <x v="2"/>
    <x v="19"/>
    <n v="200801"/>
    <n v="200801"/>
    <m/>
    <n v="38"/>
    <n v="200801"/>
    <n v="114000"/>
  </r>
  <r>
    <x v="413"/>
    <x v="4"/>
    <m/>
    <x v="5"/>
    <x v="2"/>
    <x v="28"/>
    <n v="200801"/>
    <n v="200801"/>
    <m/>
    <n v="16"/>
    <n v="200801"/>
    <n v="448000"/>
  </r>
  <r>
    <x v="413"/>
    <x v="4"/>
    <m/>
    <x v="5"/>
    <x v="2"/>
    <x v="69"/>
    <n v="200801"/>
    <n v="200801"/>
    <m/>
    <n v="2"/>
    <n v="200801"/>
    <n v="96000"/>
  </r>
  <r>
    <x v="413"/>
    <x v="4"/>
    <m/>
    <x v="22"/>
    <x v="2"/>
    <x v="29"/>
    <n v="200801"/>
    <n v="200801"/>
    <m/>
    <n v="8"/>
    <n v="200801"/>
    <n v="304000"/>
  </r>
  <r>
    <x v="413"/>
    <x v="4"/>
    <m/>
    <x v="19"/>
    <x v="2"/>
    <x v="22"/>
    <n v="200801"/>
    <n v="200801"/>
    <m/>
    <n v="10"/>
    <n v="200801"/>
    <n v="130000"/>
  </r>
  <r>
    <x v="413"/>
    <x v="4"/>
    <m/>
    <x v="19"/>
    <x v="2"/>
    <x v="23"/>
    <n v="200801"/>
    <n v="200801"/>
    <m/>
    <n v="2"/>
    <n v="200801"/>
    <n v="48000"/>
  </r>
  <r>
    <x v="413"/>
    <x v="4"/>
    <m/>
    <x v="19"/>
    <x v="2"/>
    <x v="24"/>
    <n v="200801"/>
    <n v="200801"/>
    <m/>
    <n v="1"/>
    <n v="200801"/>
    <n v="33000"/>
  </r>
  <r>
    <x v="413"/>
    <x v="4"/>
    <m/>
    <x v="33"/>
    <x v="2"/>
    <x v="92"/>
    <n v="200801"/>
    <n v="200801"/>
    <m/>
    <n v="2"/>
    <n v="200801"/>
    <n v="36400"/>
  </r>
  <r>
    <x v="413"/>
    <x v="4"/>
    <m/>
    <x v="0"/>
    <x v="9"/>
    <x v="15"/>
    <n v="200801"/>
    <n v="200801"/>
    <m/>
    <n v="6"/>
    <n v="200801"/>
    <n v="120000"/>
  </r>
  <r>
    <x v="414"/>
    <x v="1"/>
    <m/>
    <x v="0"/>
    <x v="1"/>
    <x v="16"/>
    <n v="200801"/>
    <n v="200801"/>
    <m/>
    <n v="3"/>
    <n v="200801"/>
    <n v="105000"/>
  </r>
  <r>
    <x v="414"/>
    <x v="1"/>
    <m/>
    <x v="36"/>
    <x v="5"/>
    <x v="109"/>
    <n v="200801"/>
    <n v="200801"/>
    <m/>
    <n v="3"/>
    <n v="200801"/>
    <n v="52500"/>
  </r>
  <r>
    <x v="414"/>
    <x v="1"/>
    <m/>
    <x v="4"/>
    <x v="5"/>
    <x v="62"/>
    <n v="200801"/>
    <n v="200801"/>
    <m/>
    <n v="3"/>
    <n v="200801"/>
    <n v="54000"/>
  </r>
  <r>
    <x v="414"/>
    <x v="1"/>
    <m/>
    <x v="0"/>
    <x v="7"/>
    <x v="15"/>
    <n v="200801"/>
    <n v="200801"/>
    <m/>
    <n v="1"/>
    <n v="200801"/>
    <n v="20000"/>
  </r>
  <r>
    <x v="414"/>
    <x v="1"/>
    <m/>
    <x v="0"/>
    <x v="3"/>
    <x v="15"/>
    <n v="200801"/>
    <n v="200801"/>
    <m/>
    <n v="3"/>
    <n v="200801"/>
    <n v="0"/>
  </r>
  <r>
    <x v="414"/>
    <x v="1"/>
    <m/>
    <x v="36"/>
    <x v="3"/>
    <x v="109"/>
    <n v="200801"/>
    <n v="200801"/>
    <m/>
    <n v="3"/>
    <n v="200801"/>
    <n v="0"/>
  </r>
  <r>
    <x v="414"/>
    <x v="1"/>
    <m/>
    <x v="18"/>
    <x v="3"/>
    <x v="19"/>
    <n v="200801"/>
    <n v="200801"/>
    <m/>
    <n v="3"/>
    <n v="200801"/>
    <n v="0"/>
  </r>
  <r>
    <x v="414"/>
    <x v="1"/>
    <m/>
    <x v="5"/>
    <x v="3"/>
    <x v="28"/>
    <n v="200801"/>
    <n v="200801"/>
    <m/>
    <n v="3"/>
    <n v="200801"/>
    <n v="0"/>
  </r>
  <r>
    <x v="414"/>
    <x v="1"/>
    <m/>
    <x v="6"/>
    <x v="2"/>
    <x v="37"/>
    <n v="200801"/>
    <n v="200801"/>
    <m/>
    <n v="4"/>
    <n v="200801"/>
    <n v="80000"/>
  </r>
  <r>
    <x v="414"/>
    <x v="1"/>
    <m/>
    <x v="36"/>
    <x v="2"/>
    <x v="110"/>
    <n v="200801"/>
    <n v="200801"/>
    <m/>
    <n v="2"/>
    <n v="200801"/>
    <n v="56000"/>
  </r>
  <r>
    <x v="414"/>
    <x v="1"/>
    <m/>
    <x v="35"/>
    <x v="2"/>
    <x v="112"/>
    <n v="200801"/>
    <n v="200801"/>
    <m/>
    <n v="16"/>
    <n v="200801"/>
    <n v="32000"/>
  </r>
  <r>
    <x v="414"/>
    <x v="1"/>
    <m/>
    <x v="25"/>
    <x v="2"/>
    <x v="34"/>
    <n v="200801"/>
    <n v="200801"/>
    <m/>
    <n v="7"/>
    <n v="200801"/>
    <n v="693000"/>
  </r>
  <r>
    <x v="414"/>
    <x v="1"/>
    <m/>
    <x v="31"/>
    <x v="2"/>
    <x v="95"/>
    <n v="200801"/>
    <n v="200801"/>
    <m/>
    <n v="89"/>
    <n v="200801"/>
    <n v="1993600"/>
  </r>
  <r>
    <x v="414"/>
    <x v="1"/>
    <m/>
    <x v="31"/>
    <x v="2"/>
    <x v="96"/>
    <n v="200801"/>
    <n v="200801"/>
    <m/>
    <n v="122"/>
    <n v="200801"/>
    <n v="4782400"/>
  </r>
  <r>
    <x v="414"/>
    <x v="1"/>
    <m/>
    <x v="32"/>
    <x v="2"/>
    <x v="97"/>
    <n v="200801"/>
    <n v="200801"/>
    <m/>
    <n v="79"/>
    <n v="200801"/>
    <n v="2930900"/>
  </r>
  <r>
    <x v="414"/>
    <x v="1"/>
    <m/>
    <x v="34"/>
    <x v="2"/>
    <x v="105"/>
    <n v="200801"/>
    <n v="200801"/>
    <m/>
    <n v="26"/>
    <n v="200801"/>
    <n v="964600"/>
  </r>
  <r>
    <x v="414"/>
    <x v="1"/>
    <m/>
    <x v="30"/>
    <x v="2"/>
    <x v="99"/>
    <n v="200801"/>
    <n v="200801"/>
    <m/>
    <n v="12"/>
    <n v="200801"/>
    <n v="268800"/>
  </r>
  <r>
    <x v="414"/>
    <x v="1"/>
    <m/>
    <x v="30"/>
    <x v="2"/>
    <x v="100"/>
    <n v="200801"/>
    <n v="200801"/>
    <m/>
    <n v="1"/>
    <n v="200801"/>
    <n v="39200"/>
  </r>
  <r>
    <x v="414"/>
    <x v="1"/>
    <m/>
    <x v="1"/>
    <x v="2"/>
    <x v="18"/>
    <n v="200801"/>
    <n v="200801"/>
    <m/>
    <n v="10"/>
    <n v="200801"/>
    <n v="200000"/>
  </r>
  <r>
    <x v="414"/>
    <x v="1"/>
    <m/>
    <x v="4"/>
    <x v="2"/>
    <x v="26"/>
    <n v="200801"/>
    <n v="200801"/>
    <m/>
    <n v="7"/>
    <n v="200801"/>
    <n v="28000"/>
  </r>
  <r>
    <x v="414"/>
    <x v="1"/>
    <m/>
    <x v="4"/>
    <x v="2"/>
    <x v="27"/>
    <n v="200801"/>
    <n v="200801"/>
    <m/>
    <n v="11"/>
    <n v="200801"/>
    <n v="220000"/>
  </r>
  <r>
    <x v="414"/>
    <x v="1"/>
    <m/>
    <x v="0"/>
    <x v="2"/>
    <x v="15"/>
    <n v="200801"/>
    <n v="200801"/>
    <m/>
    <n v="65"/>
    <n v="200801"/>
    <n v="1300000"/>
  </r>
  <r>
    <x v="414"/>
    <x v="1"/>
    <m/>
    <x v="0"/>
    <x v="2"/>
    <x v="16"/>
    <n v="200801"/>
    <n v="200801"/>
    <m/>
    <n v="37"/>
    <n v="200801"/>
    <n v="1295000"/>
  </r>
  <r>
    <x v="414"/>
    <x v="1"/>
    <m/>
    <x v="0"/>
    <x v="2"/>
    <x v="17"/>
    <n v="200801"/>
    <n v="200801"/>
    <m/>
    <n v="56"/>
    <n v="200801"/>
    <n v="1848000"/>
  </r>
  <r>
    <x v="414"/>
    <x v="1"/>
    <m/>
    <x v="0"/>
    <x v="2"/>
    <x v="19"/>
    <n v="200801"/>
    <n v="200801"/>
    <m/>
    <n v="73"/>
    <n v="200801"/>
    <n v="219000"/>
  </r>
  <r>
    <x v="414"/>
    <x v="1"/>
    <m/>
    <x v="5"/>
    <x v="2"/>
    <x v="28"/>
    <n v="200801"/>
    <n v="200801"/>
    <m/>
    <n v="32"/>
    <n v="200801"/>
    <n v="896000"/>
  </r>
  <r>
    <x v="414"/>
    <x v="1"/>
    <m/>
    <x v="5"/>
    <x v="2"/>
    <x v="69"/>
    <n v="200801"/>
    <n v="200801"/>
    <m/>
    <n v="6"/>
    <n v="200801"/>
    <n v="288000"/>
  </r>
  <r>
    <x v="414"/>
    <x v="1"/>
    <m/>
    <x v="22"/>
    <x v="2"/>
    <x v="29"/>
    <n v="200801"/>
    <n v="200801"/>
    <m/>
    <n v="5"/>
    <n v="200801"/>
    <n v="190000"/>
  </r>
  <r>
    <x v="414"/>
    <x v="1"/>
    <m/>
    <x v="19"/>
    <x v="2"/>
    <x v="22"/>
    <n v="200801"/>
    <n v="200801"/>
    <m/>
    <n v="11"/>
    <n v="200801"/>
    <n v="143000"/>
  </r>
  <r>
    <x v="414"/>
    <x v="1"/>
    <m/>
    <x v="19"/>
    <x v="2"/>
    <x v="23"/>
    <n v="200801"/>
    <n v="200801"/>
    <m/>
    <n v="2"/>
    <n v="200801"/>
    <n v="48000"/>
  </r>
  <r>
    <x v="414"/>
    <x v="1"/>
    <m/>
    <x v="19"/>
    <x v="2"/>
    <x v="24"/>
    <n v="200801"/>
    <n v="200801"/>
    <m/>
    <n v="4"/>
    <n v="200801"/>
    <n v="132000"/>
  </r>
  <r>
    <x v="414"/>
    <x v="1"/>
    <m/>
    <x v="33"/>
    <x v="2"/>
    <x v="92"/>
    <n v="200801"/>
    <n v="200801"/>
    <m/>
    <n v="1"/>
    <n v="200801"/>
    <n v="18200"/>
  </r>
  <r>
    <x v="414"/>
    <x v="1"/>
    <m/>
    <x v="0"/>
    <x v="9"/>
    <x v="15"/>
    <n v="200801"/>
    <n v="200801"/>
    <m/>
    <n v="3"/>
    <n v="200801"/>
    <n v="60000"/>
  </r>
  <r>
    <x v="414"/>
    <x v="1"/>
    <m/>
    <x v="6"/>
    <x v="9"/>
    <x v="37"/>
    <n v="200801"/>
    <n v="200801"/>
    <m/>
    <n v="2"/>
    <n v="200801"/>
    <n v="40000"/>
  </r>
  <r>
    <x v="415"/>
    <x v="0"/>
    <m/>
    <x v="0"/>
    <x v="1"/>
    <x v="16"/>
    <n v="200801"/>
    <n v="200801"/>
    <m/>
    <n v="5"/>
    <n v="200801"/>
    <n v="175000"/>
  </r>
  <r>
    <x v="415"/>
    <x v="0"/>
    <m/>
    <x v="0"/>
    <x v="5"/>
    <x v="51"/>
    <n v="200801"/>
    <n v="200801"/>
    <m/>
    <n v="30"/>
    <n v="200801"/>
    <n v="337500"/>
  </r>
  <r>
    <x v="415"/>
    <x v="0"/>
    <m/>
    <x v="5"/>
    <x v="5"/>
    <x v="53"/>
    <n v="200801"/>
    <n v="200801"/>
    <m/>
    <n v="20"/>
    <n v="200801"/>
    <n v="297000"/>
  </r>
  <r>
    <x v="415"/>
    <x v="0"/>
    <m/>
    <x v="4"/>
    <x v="5"/>
    <x v="62"/>
    <n v="200801"/>
    <n v="200801"/>
    <m/>
    <n v="3"/>
    <n v="200801"/>
    <n v="54000"/>
  </r>
  <r>
    <x v="415"/>
    <x v="0"/>
    <m/>
    <x v="0"/>
    <x v="7"/>
    <x v="15"/>
    <n v="200801"/>
    <n v="200801"/>
    <m/>
    <n v="3"/>
    <n v="200801"/>
    <n v="60000"/>
  </r>
  <r>
    <x v="415"/>
    <x v="0"/>
    <m/>
    <x v="0"/>
    <x v="3"/>
    <x v="15"/>
    <n v="200801"/>
    <n v="200801"/>
    <m/>
    <n v="1"/>
    <n v="200801"/>
    <n v="0"/>
  </r>
  <r>
    <x v="415"/>
    <x v="0"/>
    <m/>
    <x v="18"/>
    <x v="3"/>
    <x v="19"/>
    <n v="200801"/>
    <n v="200801"/>
    <m/>
    <n v="1"/>
    <n v="200801"/>
    <n v="0"/>
  </r>
  <r>
    <x v="415"/>
    <x v="0"/>
    <m/>
    <x v="5"/>
    <x v="3"/>
    <x v="28"/>
    <n v="200801"/>
    <n v="200801"/>
    <m/>
    <n v="1"/>
    <n v="200801"/>
    <n v="0"/>
  </r>
  <r>
    <x v="415"/>
    <x v="0"/>
    <m/>
    <x v="36"/>
    <x v="3"/>
    <x v="109"/>
    <n v="200801"/>
    <n v="200801"/>
    <m/>
    <n v="1"/>
    <n v="200801"/>
    <n v="0"/>
  </r>
  <r>
    <x v="415"/>
    <x v="0"/>
    <m/>
    <x v="6"/>
    <x v="2"/>
    <x v="37"/>
    <n v="200801"/>
    <n v="200801"/>
    <m/>
    <n v="2"/>
    <n v="200801"/>
    <n v="40000"/>
  </r>
  <r>
    <x v="415"/>
    <x v="0"/>
    <m/>
    <x v="36"/>
    <x v="2"/>
    <x v="110"/>
    <n v="200801"/>
    <n v="200801"/>
    <m/>
    <n v="4"/>
    <n v="200801"/>
    <n v="112000"/>
  </r>
  <r>
    <x v="415"/>
    <x v="0"/>
    <m/>
    <x v="35"/>
    <x v="2"/>
    <x v="112"/>
    <n v="200801"/>
    <n v="200801"/>
    <m/>
    <n v="1"/>
    <n v="200801"/>
    <n v="2000"/>
  </r>
  <r>
    <x v="415"/>
    <x v="0"/>
    <m/>
    <x v="25"/>
    <x v="2"/>
    <x v="34"/>
    <n v="200801"/>
    <n v="200801"/>
    <m/>
    <n v="3"/>
    <n v="200801"/>
    <n v="297000"/>
  </r>
  <r>
    <x v="415"/>
    <x v="0"/>
    <m/>
    <x v="31"/>
    <x v="2"/>
    <x v="95"/>
    <n v="200801"/>
    <n v="200801"/>
    <m/>
    <n v="91"/>
    <n v="200801"/>
    <n v="2038400"/>
  </r>
  <r>
    <x v="415"/>
    <x v="0"/>
    <m/>
    <x v="31"/>
    <x v="2"/>
    <x v="96"/>
    <n v="200801"/>
    <n v="200801"/>
    <m/>
    <n v="87"/>
    <n v="200801"/>
    <n v="3410400"/>
  </r>
  <r>
    <x v="415"/>
    <x v="0"/>
    <m/>
    <x v="32"/>
    <x v="2"/>
    <x v="97"/>
    <n v="200801"/>
    <n v="200801"/>
    <m/>
    <n v="72"/>
    <n v="200801"/>
    <n v="2671200"/>
  </r>
  <r>
    <x v="415"/>
    <x v="0"/>
    <m/>
    <x v="34"/>
    <x v="2"/>
    <x v="105"/>
    <n v="200801"/>
    <n v="200801"/>
    <m/>
    <n v="37"/>
    <n v="200801"/>
    <n v="1372700"/>
  </r>
  <r>
    <x v="415"/>
    <x v="0"/>
    <m/>
    <x v="30"/>
    <x v="2"/>
    <x v="99"/>
    <n v="200801"/>
    <n v="200801"/>
    <m/>
    <n v="8"/>
    <n v="200801"/>
    <n v="179200"/>
  </r>
  <r>
    <x v="415"/>
    <x v="0"/>
    <m/>
    <x v="1"/>
    <x v="2"/>
    <x v="18"/>
    <n v="200801"/>
    <n v="200801"/>
    <m/>
    <n v="4"/>
    <n v="200801"/>
    <n v="80000"/>
  </r>
  <r>
    <x v="415"/>
    <x v="0"/>
    <m/>
    <x v="1"/>
    <x v="2"/>
    <x v="21"/>
    <n v="200801"/>
    <n v="200801"/>
    <m/>
    <n v="1"/>
    <n v="200801"/>
    <n v="35000"/>
  </r>
  <r>
    <x v="415"/>
    <x v="0"/>
    <m/>
    <x v="4"/>
    <x v="2"/>
    <x v="26"/>
    <n v="200801"/>
    <n v="200801"/>
    <m/>
    <n v="10"/>
    <n v="200801"/>
    <n v="40000"/>
  </r>
  <r>
    <x v="415"/>
    <x v="0"/>
    <m/>
    <x v="4"/>
    <x v="2"/>
    <x v="27"/>
    <n v="200801"/>
    <n v="200801"/>
    <m/>
    <n v="8"/>
    <n v="200801"/>
    <n v="160000"/>
  </r>
  <r>
    <x v="415"/>
    <x v="0"/>
    <m/>
    <x v="0"/>
    <x v="2"/>
    <x v="15"/>
    <n v="200801"/>
    <n v="200801"/>
    <m/>
    <n v="87"/>
    <n v="200801"/>
    <n v="1740000"/>
  </r>
  <r>
    <x v="415"/>
    <x v="0"/>
    <m/>
    <x v="0"/>
    <x v="2"/>
    <x v="16"/>
    <n v="200801"/>
    <n v="200801"/>
    <m/>
    <n v="37"/>
    <n v="200801"/>
    <n v="1295000"/>
  </r>
  <r>
    <x v="415"/>
    <x v="0"/>
    <m/>
    <x v="0"/>
    <x v="2"/>
    <x v="17"/>
    <n v="200801"/>
    <n v="200801"/>
    <m/>
    <n v="47"/>
    <n v="200801"/>
    <n v="1551000"/>
  </r>
  <r>
    <x v="415"/>
    <x v="0"/>
    <m/>
    <x v="0"/>
    <x v="2"/>
    <x v="19"/>
    <n v="200801"/>
    <n v="200801"/>
    <m/>
    <n v="80"/>
    <n v="200801"/>
    <n v="240000"/>
  </r>
  <r>
    <x v="415"/>
    <x v="0"/>
    <m/>
    <x v="5"/>
    <x v="2"/>
    <x v="28"/>
    <n v="200801"/>
    <n v="200801"/>
    <m/>
    <n v="29"/>
    <n v="200801"/>
    <n v="812000"/>
  </r>
  <r>
    <x v="415"/>
    <x v="0"/>
    <m/>
    <x v="5"/>
    <x v="2"/>
    <x v="69"/>
    <n v="200801"/>
    <n v="200801"/>
    <m/>
    <n v="7"/>
    <n v="200801"/>
    <n v="336000"/>
  </r>
  <r>
    <x v="415"/>
    <x v="0"/>
    <m/>
    <x v="22"/>
    <x v="2"/>
    <x v="29"/>
    <n v="200801"/>
    <n v="200801"/>
    <m/>
    <n v="15"/>
    <n v="200801"/>
    <n v="570000"/>
  </r>
  <r>
    <x v="415"/>
    <x v="0"/>
    <m/>
    <x v="19"/>
    <x v="2"/>
    <x v="22"/>
    <n v="200801"/>
    <n v="200801"/>
    <m/>
    <n v="16"/>
    <n v="200801"/>
    <n v="208000"/>
  </r>
  <r>
    <x v="415"/>
    <x v="0"/>
    <m/>
    <x v="19"/>
    <x v="2"/>
    <x v="23"/>
    <n v="200801"/>
    <n v="200801"/>
    <m/>
    <n v="4"/>
    <n v="200801"/>
    <n v="96000"/>
  </r>
  <r>
    <x v="415"/>
    <x v="0"/>
    <m/>
    <x v="19"/>
    <x v="2"/>
    <x v="24"/>
    <n v="200801"/>
    <n v="200801"/>
    <m/>
    <n v="4"/>
    <n v="200801"/>
    <n v="132000"/>
  </r>
  <r>
    <x v="415"/>
    <x v="0"/>
    <m/>
    <x v="33"/>
    <x v="2"/>
    <x v="92"/>
    <n v="200801"/>
    <n v="200801"/>
    <m/>
    <n v="1"/>
    <n v="200801"/>
    <n v="18200"/>
  </r>
  <r>
    <x v="415"/>
    <x v="0"/>
    <m/>
    <x v="0"/>
    <x v="9"/>
    <x v="15"/>
    <n v="200801"/>
    <n v="200801"/>
    <m/>
    <n v="5"/>
    <n v="200801"/>
    <n v="100000"/>
  </r>
  <r>
    <x v="415"/>
    <x v="0"/>
    <m/>
    <x v="19"/>
    <x v="9"/>
    <x v="22"/>
    <n v="200801"/>
    <n v="200801"/>
    <m/>
    <n v="1"/>
    <n v="200801"/>
    <n v="13000"/>
  </r>
  <r>
    <x v="415"/>
    <x v="0"/>
    <m/>
    <x v="6"/>
    <x v="9"/>
    <x v="37"/>
    <n v="200801"/>
    <n v="200801"/>
    <m/>
    <n v="1"/>
    <n v="200801"/>
    <n v="20000"/>
  </r>
  <r>
    <x v="416"/>
    <x v="2"/>
    <m/>
    <x v="0"/>
    <x v="1"/>
    <x v="16"/>
    <n v="200801"/>
    <n v="200801"/>
    <m/>
    <n v="2"/>
    <n v="200801"/>
    <n v="70000"/>
  </r>
  <r>
    <x v="416"/>
    <x v="2"/>
    <m/>
    <x v="30"/>
    <x v="3"/>
    <x v="87"/>
    <n v="200801"/>
    <n v="200801"/>
    <m/>
    <n v="20"/>
    <n v="200801"/>
    <n v="0"/>
  </r>
  <r>
    <x v="416"/>
    <x v="2"/>
    <m/>
    <x v="0"/>
    <x v="3"/>
    <x v="15"/>
    <n v="200801"/>
    <n v="200801"/>
    <m/>
    <n v="20"/>
    <n v="200801"/>
    <n v="0"/>
  </r>
  <r>
    <x v="416"/>
    <x v="2"/>
    <m/>
    <x v="6"/>
    <x v="2"/>
    <x v="37"/>
    <n v="200801"/>
    <n v="200801"/>
    <m/>
    <n v="5"/>
    <n v="200801"/>
    <n v="100000"/>
  </r>
  <r>
    <x v="416"/>
    <x v="2"/>
    <m/>
    <x v="6"/>
    <x v="2"/>
    <x v="42"/>
    <n v="200801"/>
    <n v="200801"/>
    <m/>
    <n v="1"/>
    <n v="200801"/>
    <n v="35000"/>
  </r>
  <r>
    <x v="416"/>
    <x v="2"/>
    <m/>
    <x v="36"/>
    <x v="2"/>
    <x v="110"/>
    <n v="200801"/>
    <n v="200801"/>
    <m/>
    <n v="3"/>
    <n v="200801"/>
    <n v="84000"/>
  </r>
  <r>
    <x v="416"/>
    <x v="2"/>
    <m/>
    <x v="36"/>
    <x v="2"/>
    <x v="111"/>
    <n v="200801"/>
    <n v="200801"/>
    <m/>
    <n v="4"/>
    <n v="200801"/>
    <n v="196000"/>
  </r>
  <r>
    <x v="416"/>
    <x v="2"/>
    <m/>
    <x v="35"/>
    <x v="2"/>
    <x v="112"/>
    <n v="200801"/>
    <n v="200801"/>
    <m/>
    <n v="13"/>
    <n v="200801"/>
    <n v="26000"/>
  </r>
  <r>
    <x v="416"/>
    <x v="2"/>
    <m/>
    <x v="25"/>
    <x v="2"/>
    <x v="34"/>
    <n v="200801"/>
    <n v="200801"/>
    <m/>
    <n v="4"/>
    <n v="200801"/>
    <n v="396000"/>
  </r>
  <r>
    <x v="416"/>
    <x v="2"/>
    <m/>
    <x v="31"/>
    <x v="2"/>
    <x v="95"/>
    <n v="200801"/>
    <n v="200801"/>
    <m/>
    <n v="65"/>
    <n v="200801"/>
    <n v="1456000"/>
  </r>
  <r>
    <x v="416"/>
    <x v="2"/>
    <m/>
    <x v="31"/>
    <x v="2"/>
    <x v="96"/>
    <n v="200801"/>
    <n v="200801"/>
    <m/>
    <n v="73"/>
    <n v="200801"/>
    <n v="2861600"/>
  </r>
  <r>
    <x v="416"/>
    <x v="2"/>
    <m/>
    <x v="32"/>
    <x v="2"/>
    <x v="97"/>
    <n v="200801"/>
    <n v="200801"/>
    <m/>
    <n v="66"/>
    <n v="200801"/>
    <n v="2448600"/>
  </r>
  <r>
    <x v="416"/>
    <x v="2"/>
    <m/>
    <x v="34"/>
    <x v="2"/>
    <x v="105"/>
    <n v="200801"/>
    <n v="200801"/>
    <m/>
    <n v="33"/>
    <n v="200801"/>
    <n v="1224300"/>
  </r>
  <r>
    <x v="416"/>
    <x v="2"/>
    <m/>
    <x v="30"/>
    <x v="2"/>
    <x v="99"/>
    <n v="200801"/>
    <n v="200801"/>
    <m/>
    <n v="4"/>
    <n v="200801"/>
    <n v="89600"/>
  </r>
  <r>
    <x v="416"/>
    <x v="2"/>
    <m/>
    <x v="1"/>
    <x v="2"/>
    <x v="18"/>
    <n v="200801"/>
    <n v="200801"/>
    <m/>
    <n v="6"/>
    <n v="200801"/>
    <n v="120000"/>
  </r>
  <r>
    <x v="416"/>
    <x v="2"/>
    <m/>
    <x v="1"/>
    <x v="2"/>
    <x v="21"/>
    <n v="200801"/>
    <n v="200801"/>
    <m/>
    <n v="1"/>
    <n v="200801"/>
    <n v="35000"/>
  </r>
  <r>
    <x v="416"/>
    <x v="2"/>
    <m/>
    <x v="4"/>
    <x v="2"/>
    <x v="26"/>
    <n v="200801"/>
    <n v="200801"/>
    <m/>
    <n v="6"/>
    <n v="200801"/>
    <n v="24000"/>
  </r>
  <r>
    <x v="416"/>
    <x v="2"/>
    <m/>
    <x v="4"/>
    <x v="2"/>
    <x v="27"/>
    <n v="200801"/>
    <n v="200801"/>
    <m/>
    <n v="7"/>
    <n v="200801"/>
    <n v="140000"/>
  </r>
  <r>
    <x v="416"/>
    <x v="2"/>
    <m/>
    <x v="0"/>
    <x v="2"/>
    <x v="15"/>
    <n v="200801"/>
    <n v="200801"/>
    <m/>
    <n v="50"/>
    <n v="200801"/>
    <n v="1000000"/>
  </r>
  <r>
    <x v="416"/>
    <x v="2"/>
    <m/>
    <x v="0"/>
    <x v="2"/>
    <x v="16"/>
    <n v="200801"/>
    <n v="200801"/>
    <m/>
    <n v="32"/>
    <n v="200801"/>
    <n v="1120000"/>
  </r>
  <r>
    <x v="416"/>
    <x v="2"/>
    <m/>
    <x v="0"/>
    <x v="2"/>
    <x v="17"/>
    <n v="200801"/>
    <n v="200801"/>
    <m/>
    <n v="44"/>
    <n v="200801"/>
    <n v="1452000"/>
  </r>
  <r>
    <x v="416"/>
    <x v="2"/>
    <m/>
    <x v="0"/>
    <x v="2"/>
    <x v="19"/>
    <n v="200801"/>
    <n v="200801"/>
    <m/>
    <n v="46"/>
    <n v="200801"/>
    <n v="138000"/>
  </r>
  <r>
    <x v="416"/>
    <x v="2"/>
    <m/>
    <x v="5"/>
    <x v="2"/>
    <x v="28"/>
    <n v="200801"/>
    <n v="200801"/>
    <m/>
    <n v="21"/>
    <n v="200801"/>
    <n v="588000"/>
  </r>
  <r>
    <x v="416"/>
    <x v="2"/>
    <m/>
    <x v="5"/>
    <x v="2"/>
    <x v="69"/>
    <n v="200801"/>
    <n v="200801"/>
    <m/>
    <n v="9"/>
    <n v="200801"/>
    <n v="432000"/>
  </r>
  <r>
    <x v="416"/>
    <x v="2"/>
    <m/>
    <x v="22"/>
    <x v="2"/>
    <x v="29"/>
    <n v="200801"/>
    <n v="200801"/>
    <m/>
    <n v="12"/>
    <n v="200801"/>
    <n v="456000"/>
  </r>
  <r>
    <x v="416"/>
    <x v="2"/>
    <m/>
    <x v="19"/>
    <x v="2"/>
    <x v="22"/>
    <n v="200801"/>
    <n v="200801"/>
    <m/>
    <n v="13"/>
    <n v="200801"/>
    <n v="169000"/>
  </r>
  <r>
    <x v="416"/>
    <x v="2"/>
    <m/>
    <x v="19"/>
    <x v="2"/>
    <x v="23"/>
    <n v="200801"/>
    <n v="200801"/>
    <m/>
    <n v="2"/>
    <n v="200801"/>
    <n v="48000"/>
  </r>
  <r>
    <x v="416"/>
    <x v="2"/>
    <m/>
    <x v="19"/>
    <x v="2"/>
    <x v="24"/>
    <n v="200801"/>
    <n v="200801"/>
    <m/>
    <n v="2"/>
    <n v="200801"/>
    <n v="66000"/>
  </r>
  <r>
    <x v="416"/>
    <x v="2"/>
    <m/>
    <x v="33"/>
    <x v="2"/>
    <x v="92"/>
    <n v="200801"/>
    <n v="200801"/>
    <m/>
    <n v="3"/>
    <n v="200801"/>
    <n v="54600"/>
  </r>
  <r>
    <x v="416"/>
    <x v="2"/>
    <m/>
    <x v="0"/>
    <x v="9"/>
    <x v="15"/>
    <n v="200801"/>
    <n v="200801"/>
    <m/>
    <n v="4"/>
    <n v="200801"/>
    <n v="80000"/>
  </r>
  <r>
    <x v="416"/>
    <x v="2"/>
    <m/>
    <x v="30"/>
    <x v="9"/>
    <x v="104"/>
    <n v="200801"/>
    <n v="200801"/>
    <m/>
    <n v="1"/>
    <n v="200801"/>
    <n v="22400"/>
  </r>
  <r>
    <x v="416"/>
    <x v="2"/>
    <m/>
    <x v="0"/>
    <x v="19"/>
    <x v="15"/>
    <n v="200801"/>
    <n v="200801"/>
    <m/>
    <n v="1"/>
    <n v="200801"/>
    <n v="25000"/>
  </r>
  <r>
    <x v="417"/>
    <x v="5"/>
    <m/>
    <x v="0"/>
    <x v="7"/>
    <x v="15"/>
    <n v="200801"/>
    <n v="200801"/>
    <m/>
    <n v="4"/>
    <n v="200801"/>
    <n v="80000"/>
  </r>
  <r>
    <x v="417"/>
    <x v="5"/>
    <m/>
    <x v="6"/>
    <x v="2"/>
    <x v="37"/>
    <n v="200801"/>
    <n v="200801"/>
    <m/>
    <n v="3"/>
    <n v="200801"/>
    <n v="60000"/>
  </r>
  <r>
    <x v="417"/>
    <x v="5"/>
    <m/>
    <x v="36"/>
    <x v="2"/>
    <x v="110"/>
    <n v="200801"/>
    <n v="200801"/>
    <m/>
    <n v="4"/>
    <n v="200801"/>
    <n v="112000"/>
  </r>
  <r>
    <x v="417"/>
    <x v="5"/>
    <m/>
    <x v="35"/>
    <x v="2"/>
    <x v="112"/>
    <n v="200801"/>
    <n v="200801"/>
    <m/>
    <n v="6"/>
    <n v="200801"/>
    <n v="12000"/>
  </r>
  <r>
    <x v="417"/>
    <x v="5"/>
    <m/>
    <x v="25"/>
    <x v="2"/>
    <x v="34"/>
    <n v="200801"/>
    <n v="200801"/>
    <m/>
    <n v="2"/>
    <n v="200801"/>
    <n v="198000"/>
  </r>
  <r>
    <x v="417"/>
    <x v="5"/>
    <m/>
    <x v="31"/>
    <x v="2"/>
    <x v="95"/>
    <n v="200801"/>
    <n v="200801"/>
    <m/>
    <n v="38"/>
    <n v="200801"/>
    <n v="851200"/>
  </r>
  <r>
    <x v="417"/>
    <x v="5"/>
    <m/>
    <x v="31"/>
    <x v="2"/>
    <x v="96"/>
    <n v="200801"/>
    <n v="200801"/>
    <m/>
    <n v="49"/>
    <n v="200801"/>
    <n v="1920800"/>
  </r>
  <r>
    <x v="417"/>
    <x v="5"/>
    <m/>
    <x v="32"/>
    <x v="2"/>
    <x v="97"/>
    <n v="200801"/>
    <n v="200801"/>
    <m/>
    <n v="34"/>
    <n v="200801"/>
    <n v="1261400"/>
  </r>
  <r>
    <x v="417"/>
    <x v="5"/>
    <m/>
    <x v="34"/>
    <x v="2"/>
    <x v="105"/>
    <n v="200801"/>
    <n v="200801"/>
    <m/>
    <n v="16"/>
    <n v="200801"/>
    <n v="593600"/>
  </r>
  <r>
    <x v="417"/>
    <x v="5"/>
    <m/>
    <x v="30"/>
    <x v="2"/>
    <x v="99"/>
    <n v="200801"/>
    <n v="200801"/>
    <m/>
    <n v="6"/>
    <n v="200801"/>
    <n v="134400"/>
  </r>
  <r>
    <x v="417"/>
    <x v="5"/>
    <m/>
    <x v="1"/>
    <x v="2"/>
    <x v="18"/>
    <n v="200801"/>
    <n v="200801"/>
    <m/>
    <n v="3"/>
    <n v="200801"/>
    <n v="60000"/>
  </r>
  <r>
    <x v="417"/>
    <x v="5"/>
    <m/>
    <x v="1"/>
    <x v="2"/>
    <x v="21"/>
    <n v="200801"/>
    <n v="200801"/>
    <m/>
    <n v="1"/>
    <n v="200801"/>
    <n v="35000"/>
  </r>
  <r>
    <x v="417"/>
    <x v="5"/>
    <m/>
    <x v="4"/>
    <x v="2"/>
    <x v="26"/>
    <n v="200801"/>
    <n v="200801"/>
    <m/>
    <n v="6"/>
    <n v="200801"/>
    <n v="24000"/>
  </r>
  <r>
    <x v="417"/>
    <x v="5"/>
    <m/>
    <x v="4"/>
    <x v="2"/>
    <x v="27"/>
    <n v="200801"/>
    <n v="200801"/>
    <m/>
    <n v="5"/>
    <n v="200801"/>
    <n v="100000"/>
  </r>
  <r>
    <x v="417"/>
    <x v="5"/>
    <m/>
    <x v="0"/>
    <x v="2"/>
    <x v="15"/>
    <n v="200801"/>
    <n v="200801"/>
    <m/>
    <n v="23"/>
    <n v="200801"/>
    <n v="460000"/>
  </r>
  <r>
    <x v="417"/>
    <x v="5"/>
    <m/>
    <x v="0"/>
    <x v="2"/>
    <x v="16"/>
    <n v="200801"/>
    <n v="200801"/>
    <m/>
    <n v="8"/>
    <n v="200801"/>
    <n v="280000"/>
  </r>
  <r>
    <x v="417"/>
    <x v="5"/>
    <m/>
    <x v="0"/>
    <x v="2"/>
    <x v="17"/>
    <n v="200801"/>
    <n v="200801"/>
    <m/>
    <n v="30"/>
    <n v="200801"/>
    <n v="990000"/>
  </r>
  <r>
    <x v="417"/>
    <x v="5"/>
    <m/>
    <x v="0"/>
    <x v="2"/>
    <x v="19"/>
    <n v="200801"/>
    <n v="200801"/>
    <m/>
    <n v="22"/>
    <n v="200801"/>
    <n v="66000"/>
  </r>
  <r>
    <x v="417"/>
    <x v="5"/>
    <m/>
    <x v="5"/>
    <x v="2"/>
    <x v="28"/>
    <n v="200801"/>
    <n v="200801"/>
    <m/>
    <n v="11"/>
    <n v="200801"/>
    <n v="308000"/>
  </r>
  <r>
    <x v="417"/>
    <x v="5"/>
    <m/>
    <x v="5"/>
    <x v="2"/>
    <x v="69"/>
    <n v="200801"/>
    <n v="200801"/>
    <m/>
    <n v="4"/>
    <n v="200801"/>
    <n v="192000"/>
  </r>
  <r>
    <x v="417"/>
    <x v="5"/>
    <m/>
    <x v="22"/>
    <x v="2"/>
    <x v="29"/>
    <n v="200801"/>
    <n v="200801"/>
    <m/>
    <n v="3"/>
    <n v="200801"/>
    <n v="114000"/>
  </r>
  <r>
    <x v="417"/>
    <x v="5"/>
    <m/>
    <x v="19"/>
    <x v="2"/>
    <x v="22"/>
    <n v="200801"/>
    <n v="200801"/>
    <m/>
    <n v="8"/>
    <n v="200801"/>
    <n v="104000"/>
  </r>
  <r>
    <x v="417"/>
    <x v="5"/>
    <m/>
    <x v="19"/>
    <x v="2"/>
    <x v="23"/>
    <n v="200801"/>
    <n v="200801"/>
    <m/>
    <n v="2"/>
    <n v="200801"/>
    <n v="48000"/>
  </r>
  <r>
    <x v="417"/>
    <x v="5"/>
    <m/>
    <x v="19"/>
    <x v="2"/>
    <x v="24"/>
    <n v="200801"/>
    <n v="200801"/>
    <m/>
    <n v="1"/>
    <n v="200801"/>
    <n v="33000"/>
  </r>
  <r>
    <x v="417"/>
    <x v="5"/>
    <m/>
    <x v="33"/>
    <x v="2"/>
    <x v="92"/>
    <n v="200801"/>
    <n v="200801"/>
    <m/>
    <n v="2"/>
    <n v="200801"/>
    <n v="36400"/>
  </r>
  <r>
    <x v="417"/>
    <x v="5"/>
    <m/>
    <x v="33"/>
    <x v="2"/>
    <x v="93"/>
    <n v="200801"/>
    <n v="200801"/>
    <m/>
    <n v="1"/>
    <n v="200801"/>
    <n v="33800"/>
  </r>
  <r>
    <x v="417"/>
    <x v="5"/>
    <m/>
    <x v="0"/>
    <x v="9"/>
    <x v="15"/>
    <n v="200801"/>
    <n v="200801"/>
    <m/>
    <n v="5"/>
    <n v="200801"/>
    <n v="100000"/>
  </r>
  <r>
    <x v="418"/>
    <x v="6"/>
    <m/>
    <x v="0"/>
    <x v="7"/>
    <x v="15"/>
    <n v="200801"/>
    <n v="200801"/>
    <m/>
    <n v="9"/>
    <n v="200801"/>
    <n v="180000"/>
  </r>
  <r>
    <x v="418"/>
    <x v="6"/>
    <m/>
    <x v="6"/>
    <x v="2"/>
    <x v="37"/>
    <n v="200801"/>
    <n v="200801"/>
    <m/>
    <n v="7"/>
    <n v="200801"/>
    <n v="140000"/>
  </r>
  <r>
    <x v="418"/>
    <x v="6"/>
    <m/>
    <x v="6"/>
    <x v="2"/>
    <x v="42"/>
    <n v="200801"/>
    <n v="200801"/>
    <m/>
    <n v="1"/>
    <n v="200801"/>
    <n v="35000"/>
  </r>
  <r>
    <x v="418"/>
    <x v="6"/>
    <m/>
    <x v="36"/>
    <x v="2"/>
    <x v="110"/>
    <n v="200801"/>
    <n v="200801"/>
    <m/>
    <n v="2"/>
    <n v="200801"/>
    <n v="56000"/>
  </r>
  <r>
    <x v="418"/>
    <x v="6"/>
    <m/>
    <x v="36"/>
    <x v="2"/>
    <x v="111"/>
    <n v="200801"/>
    <n v="200801"/>
    <m/>
    <n v="1"/>
    <n v="200801"/>
    <n v="49000"/>
  </r>
  <r>
    <x v="418"/>
    <x v="6"/>
    <m/>
    <x v="25"/>
    <x v="2"/>
    <x v="34"/>
    <n v="200801"/>
    <n v="200801"/>
    <m/>
    <n v="7"/>
    <n v="200801"/>
    <n v="693000"/>
  </r>
  <r>
    <x v="418"/>
    <x v="6"/>
    <m/>
    <x v="31"/>
    <x v="2"/>
    <x v="95"/>
    <n v="200801"/>
    <n v="200801"/>
    <m/>
    <n v="82"/>
    <n v="200801"/>
    <n v="1836800"/>
  </r>
  <r>
    <x v="418"/>
    <x v="6"/>
    <m/>
    <x v="31"/>
    <x v="2"/>
    <x v="96"/>
    <n v="200801"/>
    <n v="200801"/>
    <m/>
    <n v="79"/>
    <n v="200801"/>
    <n v="3096800"/>
  </r>
  <r>
    <x v="418"/>
    <x v="6"/>
    <m/>
    <x v="32"/>
    <x v="2"/>
    <x v="97"/>
    <n v="200801"/>
    <n v="200801"/>
    <m/>
    <n v="58"/>
    <n v="200801"/>
    <n v="2151800"/>
  </r>
  <r>
    <x v="418"/>
    <x v="6"/>
    <m/>
    <x v="34"/>
    <x v="2"/>
    <x v="105"/>
    <n v="200801"/>
    <n v="200801"/>
    <m/>
    <n v="42"/>
    <n v="200801"/>
    <n v="1558200"/>
  </r>
  <r>
    <x v="418"/>
    <x v="6"/>
    <m/>
    <x v="30"/>
    <x v="2"/>
    <x v="99"/>
    <n v="200801"/>
    <n v="200801"/>
    <m/>
    <n v="14"/>
    <n v="200801"/>
    <n v="313600"/>
  </r>
  <r>
    <x v="418"/>
    <x v="6"/>
    <m/>
    <x v="30"/>
    <x v="2"/>
    <x v="100"/>
    <n v="200801"/>
    <n v="200801"/>
    <m/>
    <n v="1"/>
    <n v="200801"/>
    <n v="39200"/>
  </r>
  <r>
    <x v="418"/>
    <x v="6"/>
    <m/>
    <x v="1"/>
    <x v="2"/>
    <x v="18"/>
    <n v="200801"/>
    <n v="200801"/>
    <m/>
    <n v="5"/>
    <n v="200801"/>
    <n v="100000"/>
  </r>
  <r>
    <x v="418"/>
    <x v="6"/>
    <m/>
    <x v="4"/>
    <x v="2"/>
    <x v="26"/>
    <n v="200801"/>
    <n v="200801"/>
    <m/>
    <n v="14"/>
    <n v="200801"/>
    <n v="56000"/>
  </r>
  <r>
    <x v="418"/>
    <x v="6"/>
    <m/>
    <x v="4"/>
    <x v="2"/>
    <x v="27"/>
    <n v="200801"/>
    <n v="200801"/>
    <m/>
    <n v="5"/>
    <n v="200801"/>
    <n v="100000"/>
  </r>
  <r>
    <x v="418"/>
    <x v="6"/>
    <m/>
    <x v="0"/>
    <x v="2"/>
    <x v="15"/>
    <n v="200801"/>
    <n v="200801"/>
    <m/>
    <n v="78"/>
    <n v="200801"/>
    <n v="1560000"/>
  </r>
  <r>
    <x v="418"/>
    <x v="6"/>
    <m/>
    <x v="0"/>
    <x v="2"/>
    <x v="16"/>
    <n v="200801"/>
    <n v="200801"/>
    <m/>
    <n v="39"/>
    <n v="200801"/>
    <n v="1365000"/>
  </r>
  <r>
    <x v="418"/>
    <x v="6"/>
    <m/>
    <x v="0"/>
    <x v="2"/>
    <x v="17"/>
    <n v="200801"/>
    <n v="200801"/>
    <m/>
    <n v="52"/>
    <n v="200801"/>
    <n v="1716000"/>
  </r>
  <r>
    <x v="418"/>
    <x v="6"/>
    <m/>
    <x v="0"/>
    <x v="2"/>
    <x v="19"/>
    <n v="200801"/>
    <n v="200801"/>
    <m/>
    <n v="69"/>
    <n v="200801"/>
    <n v="207000"/>
  </r>
  <r>
    <x v="418"/>
    <x v="6"/>
    <m/>
    <x v="5"/>
    <x v="2"/>
    <x v="28"/>
    <n v="200801"/>
    <n v="200801"/>
    <m/>
    <n v="33"/>
    <n v="200801"/>
    <n v="924000"/>
  </r>
  <r>
    <x v="418"/>
    <x v="6"/>
    <m/>
    <x v="5"/>
    <x v="2"/>
    <x v="69"/>
    <n v="200801"/>
    <n v="200801"/>
    <m/>
    <n v="6"/>
    <n v="200801"/>
    <n v="288000"/>
  </r>
  <r>
    <x v="418"/>
    <x v="6"/>
    <m/>
    <x v="22"/>
    <x v="2"/>
    <x v="29"/>
    <n v="200801"/>
    <n v="200801"/>
    <m/>
    <n v="8"/>
    <n v="200801"/>
    <n v="304000"/>
  </r>
  <r>
    <x v="418"/>
    <x v="6"/>
    <m/>
    <x v="19"/>
    <x v="2"/>
    <x v="22"/>
    <n v="200801"/>
    <n v="200801"/>
    <m/>
    <n v="19"/>
    <n v="200801"/>
    <n v="247000"/>
  </r>
  <r>
    <x v="418"/>
    <x v="6"/>
    <m/>
    <x v="19"/>
    <x v="2"/>
    <x v="23"/>
    <n v="200801"/>
    <n v="200801"/>
    <m/>
    <n v="5"/>
    <n v="200801"/>
    <n v="120000"/>
  </r>
  <r>
    <x v="418"/>
    <x v="6"/>
    <m/>
    <x v="33"/>
    <x v="2"/>
    <x v="92"/>
    <n v="200801"/>
    <n v="200801"/>
    <m/>
    <n v="3"/>
    <n v="200801"/>
    <n v="54600"/>
  </r>
  <r>
    <x v="418"/>
    <x v="6"/>
    <m/>
    <x v="0"/>
    <x v="9"/>
    <x v="15"/>
    <n v="200801"/>
    <n v="200801"/>
    <m/>
    <n v="1"/>
    <n v="200801"/>
    <n v="20000"/>
  </r>
  <r>
    <x v="418"/>
    <x v="6"/>
    <m/>
    <x v="30"/>
    <x v="9"/>
    <x v="104"/>
    <n v="200801"/>
    <n v="200801"/>
    <m/>
    <n v="1"/>
    <n v="200801"/>
    <n v="22400"/>
  </r>
  <r>
    <x v="418"/>
    <x v="6"/>
    <m/>
    <x v="6"/>
    <x v="9"/>
    <x v="37"/>
    <n v="200801"/>
    <n v="200801"/>
    <m/>
    <n v="1"/>
    <n v="200801"/>
    <n v="20000"/>
  </r>
  <r>
    <x v="418"/>
    <x v="6"/>
    <m/>
    <x v="31"/>
    <x v="9"/>
    <x v="88"/>
    <n v="200801"/>
    <n v="200801"/>
    <m/>
    <n v="1"/>
    <n v="200801"/>
    <n v="22400"/>
  </r>
  <r>
    <x v="418"/>
    <x v="6"/>
    <m/>
    <x v="0"/>
    <x v="6"/>
    <x v="15"/>
    <n v="200801"/>
    <n v="200801"/>
    <m/>
    <n v="526"/>
    <n v="200801"/>
    <n v="4769768"/>
  </r>
  <r>
    <x v="418"/>
    <x v="6"/>
    <m/>
    <x v="0"/>
    <x v="6"/>
    <x v="17"/>
    <n v="200801"/>
    <n v="200801"/>
    <m/>
    <n v="8"/>
    <n v="200801"/>
    <n v="126544"/>
  </r>
  <r>
    <x v="418"/>
    <x v="6"/>
    <m/>
    <x v="4"/>
    <x v="6"/>
    <x v="26"/>
    <n v="200801"/>
    <n v="200801"/>
    <m/>
    <n v="348"/>
    <n v="200801"/>
    <n v="373404"/>
  </r>
  <r>
    <x v="418"/>
    <x v="6"/>
    <m/>
    <x v="26"/>
    <x v="6"/>
    <x v="35"/>
    <n v="200801"/>
    <n v="200801"/>
    <m/>
    <n v="19"/>
    <n v="200801"/>
    <n v="325489"/>
  </r>
  <r>
    <x v="418"/>
    <x v="6"/>
    <m/>
    <x v="22"/>
    <x v="6"/>
    <x v="29"/>
    <n v="200801"/>
    <n v="200801"/>
    <m/>
    <n v="56"/>
    <n v="200801"/>
    <n v="1102696"/>
  </r>
  <r>
    <x v="418"/>
    <x v="6"/>
    <m/>
    <x v="24"/>
    <x v="6"/>
    <x v="31"/>
    <n v="200801"/>
    <n v="200801"/>
    <m/>
    <n v="46"/>
    <n v="200801"/>
    <n v="684342"/>
  </r>
  <r>
    <x v="418"/>
    <x v="6"/>
    <m/>
    <x v="23"/>
    <x v="6"/>
    <x v="30"/>
    <n v="200801"/>
    <n v="200801"/>
    <m/>
    <n v="3"/>
    <n v="200801"/>
    <n v="20892"/>
  </r>
  <r>
    <x v="418"/>
    <x v="6"/>
    <m/>
    <x v="19"/>
    <x v="6"/>
    <x v="22"/>
    <n v="200801"/>
    <n v="200801"/>
    <m/>
    <n v="41"/>
    <n v="200801"/>
    <n v="278431"/>
  </r>
  <r>
    <x v="418"/>
    <x v="6"/>
    <m/>
    <x v="6"/>
    <x v="6"/>
    <x v="37"/>
    <n v="200801"/>
    <n v="200801"/>
    <m/>
    <n v="11"/>
    <n v="200801"/>
    <n v="110000"/>
  </r>
  <r>
    <x v="418"/>
    <x v="6"/>
    <m/>
    <x v="4"/>
    <x v="6"/>
    <x v="66"/>
    <n v="200801"/>
    <n v="200801"/>
    <m/>
    <n v="348"/>
    <n v="200801"/>
    <n v="1947756"/>
  </r>
  <r>
    <x v="418"/>
    <x v="6"/>
    <m/>
    <x v="33"/>
    <x v="6"/>
    <x v="106"/>
    <n v="200801"/>
    <n v="200801"/>
    <m/>
    <n v="12"/>
    <n v="200801"/>
    <n v="117000"/>
  </r>
  <r>
    <x v="418"/>
    <x v="6"/>
    <m/>
    <x v="31"/>
    <x v="6"/>
    <x v="103"/>
    <n v="200801"/>
    <n v="200801"/>
    <m/>
    <n v="91"/>
    <n v="200801"/>
    <n v="1019200"/>
  </r>
  <r>
    <x v="418"/>
    <x v="6"/>
    <m/>
    <x v="30"/>
    <x v="6"/>
    <x v="104"/>
    <n v="200801"/>
    <n v="200801"/>
    <m/>
    <n v="67"/>
    <n v="200801"/>
    <n v="750400"/>
  </r>
  <r>
    <x v="418"/>
    <x v="6"/>
    <m/>
    <x v="5"/>
    <x v="6"/>
    <x v="28"/>
    <n v="200801"/>
    <n v="200801"/>
    <m/>
    <n v="68"/>
    <n v="200801"/>
    <n v="992800"/>
  </r>
  <r>
    <x v="418"/>
    <x v="6"/>
    <m/>
    <x v="35"/>
    <x v="6"/>
    <x v="108"/>
    <n v="200801"/>
    <n v="200801"/>
    <m/>
    <n v="283"/>
    <n v="200801"/>
    <n v="303659"/>
  </r>
  <r>
    <x v="419"/>
    <x v="3"/>
    <m/>
    <x v="0"/>
    <x v="1"/>
    <x v="16"/>
    <n v="200801"/>
    <n v="200801"/>
    <m/>
    <n v="20"/>
    <n v="200801"/>
    <n v="700000"/>
  </r>
  <r>
    <x v="419"/>
    <x v="3"/>
    <m/>
    <x v="0"/>
    <x v="7"/>
    <x v="15"/>
    <n v="200801"/>
    <n v="200801"/>
    <m/>
    <n v="1"/>
    <n v="200801"/>
    <n v="20000"/>
  </r>
  <r>
    <x v="419"/>
    <x v="3"/>
    <m/>
    <x v="0"/>
    <x v="3"/>
    <x v="17"/>
    <n v="200801"/>
    <n v="200801"/>
    <m/>
    <n v="1"/>
    <n v="200801"/>
    <n v="0"/>
  </r>
  <r>
    <x v="419"/>
    <x v="3"/>
    <m/>
    <x v="18"/>
    <x v="3"/>
    <x v="19"/>
    <n v="200801"/>
    <n v="200801"/>
    <m/>
    <n v="5"/>
    <n v="200801"/>
    <n v="0"/>
  </r>
  <r>
    <x v="419"/>
    <x v="3"/>
    <m/>
    <x v="6"/>
    <x v="2"/>
    <x v="37"/>
    <n v="200801"/>
    <n v="200801"/>
    <m/>
    <n v="3"/>
    <n v="200801"/>
    <n v="60000"/>
  </r>
  <r>
    <x v="419"/>
    <x v="3"/>
    <m/>
    <x v="25"/>
    <x v="2"/>
    <x v="34"/>
    <n v="200801"/>
    <n v="200801"/>
    <m/>
    <n v="1"/>
    <n v="200801"/>
    <n v="99000"/>
  </r>
  <r>
    <x v="419"/>
    <x v="3"/>
    <m/>
    <x v="31"/>
    <x v="2"/>
    <x v="95"/>
    <n v="200801"/>
    <n v="200801"/>
    <m/>
    <n v="89"/>
    <n v="200801"/>
    <n v="1993600"/>
  </r>
  <r>
    <x v="419"/>
    <x v="3"/>
    <m/>
    <x v="31"/>
    <x v="2"/>
    <x v="96"/>
    <n v="200801"/>
    <n v="200801"/>
    <m/>
    <n v="106"/>
    <n v="200801"/>
    <n v="4155200"/>
  </r>
  <r>
    <x v="419"/>
    <x v="3"/>
    <m/>
    <x v="32"/>
    <x v="2"/>
    <x v="97"/>
    <n v="200801"/>
    <n v="200801"/>
    <m/>
    <n v="75"/>
    <n v="200801"/>
    <n v="2782500"/>
  </r>
  <r>
    <x v="419"/>
    <x v="3"/>
    <m/>
    <x v="34"/>
    <x v="2"/>
    <x v="105"/>
    <n v="200801"/>
    <n v="200801"/>
    <m/>
    <n v="34"/>
    <n v="200801"/>
    <n v="1261400"/>
  </r>
  <r>
    <x v="419"/>
    <x v="3"/>
    <m/>
    <x v="30"/>
    <x v="2"/>
    <x v="99"/>
    <n v="200801"/>
    <n v="200801"/>
    <m/>
    <n v="9"/>
    <n v="200801"/>
    <n v="201600"/>
  </r>
  <r>
    <x v="419"/>
    <x v="3"/>
    <m/>
    <x v="30"/>
    <x v="2"/>
    <x v="100"/>
    <n v="200801"/>
    <n v="200801"/>
    <m/>
    <n v="1"/>
    <n v="200801"/>
    <n v="39200"/>
  </r>
  <r>
    <x v="419"/>
    <x v="3"/>
    <m/>
    <x v="1"/>
    <x v="2"/>
    <x v="18"/>
    <n v="200801"/>
    <n v="200801"/>
    <m/>
    <n v="3"/>
    <n v="200801"/>
    <n v="60000"/>
  </r>
  <r>
    <x v="419"/>
    <x v="3"/>
    <m/>
    <x v="1"/>
    <x v="2"/>
    <x v="21"/>
    <n v="200801"/>
    <n v="200801"/>
    <m/>
    <n v="1"/>
    <n v="200801"/>
    <n v="35000"/>
  </r>
  <r>
    <x v="419"/>
    <x v="3"/>
    <m/>
    <x v="4"/>
    <x v="2"/>
    <x v="26"/>
    <n v="200801"/>
    <n v="200801"/>
    <m/>
    <n v="9"/>
    <n v="200801"/>
    <n v="36000"/>
  </r>
  <r>
    <x v="419"/>
    <x v="3"/>
    <m/>
    <x v="4"/>
    <x v="2"/>
    <x v="27"/>
    <n v="200801"/>
    <n v="200801"/>
    <m/>
    <n v="10"/>
    <n v="200801"/>
    <n v="200000"/>
  </r>
  <r>
    <x v="419"/>
    <x v="3"/>
    <m/>
    <x v="0"/>
    <x v="2"/>
    <x v="15"/>
    <n v="200801"/>
    <n v="200801"/>
    <m/>
    <n v="78"/>
    <n v="200801"/>
    <n v="1560000"/>
  </r>
  <r>
    <x v="419"/>
    <x v="3"/>
    <m/>
    <x v="0"/>
    <x v="2"/>
    <x v="16"/>
    <n v="200801"/>
    <n v="200801"/>
    <m/>
    <n v="36"/>
    <n v="200801"/>
    <n v="1260000"/>
  </r>
  <r>
    <x v="419"/>
    <x v="3"/>
    <m/>
    <x v="0"/>
    <x v="2"/>
    <x v="17"/>
    <n v="200801"/>
    <n v="200801"/>
    <m/>
    <n v="44"/>
    <n v="200801"/>
    <n v="1452000"/>
  </r>
  <r>
    <x v="419"/>
    <x v="3"/>
    <m/>
    <x v="0"/>
    <x v="2"/>
    <x v="19"/>
    <n v="200801"/>
    <n v="200801"/>
    <m/>
    <n v="58"/>
    <n v="200801"/>
    <n v="174000"/>
  </r>
  <r>
    <x v="419"/>
    <x v="3"/>
    <m/>
    <x v="5"/>
    <x v="2"/>
    <x v="28"/>
    <n v="200801"/>
    <n v="200801"/>
    <m/>
    <n v="21"/>
    <n v="200801"/>
    <n v="588000"/>
  </r>
  <r>
    <x v="419"/>
    <x v="3"/>
    <m/>
    <x v="5"/>
    <x v="2"/>
    <x v="69"/>
    <n v="200801"/>
    <n v="200801"/>
    <m/>
    <n v="8"/>
    <n v="200801"/>
    <n v="384000"/>
  </r>
  <r>
    <x v="419"/>
    <x v="3"/>
    <m/>
    <x v="22"/>
    <x v="2"/>
    <x v="29"/>
    <n v="200801"/>
    <n v="200801"/>
    <m/>
    <n v="11"/>
    <n v="200801"/>
    <n v="418000"/>
  </r>
  <r>
    <x v="419"/>
    <x v="3"/>
    <m/>
    <x v="19"/>
    <x v="2"/>
    <x v="22"/>
    <n v="200801"/>
    <n v="200801"/>
    <m/>
    <n v="12"/>
    <n v="200801"/>
    <n v="156000"/>
  </r>
  <r>
    <x v="419"/>
    <x v="3"/>
    <m/>
    <x v="19"/>
    <x v="2"/>
    <x v="23"/>
    <n v="200801"/>
    <n v="200801"/>
    <m/>
    <n v="2"/>
    <n v="200801"/>
    <n v="48000"/>
  </r>
  <r>
    <x v="419"/>
    <x v="3"/>
    <m/>
    <x v="19"/>
    <x v="2"/>
    <x v="24"/>
    <n v="200801"/>
    <n v="200801"/>
    <m/>
    <n v="1"/>
    <n v="200801"/>
    <n v="33000"/>
  </r>
  <r>
    <x v="419"/>
    <x v="3"/>
    <m/>
    <x v="33"/>
    <x v="2"/>
    <x v="92"/>
    <n v="200801"/>
    <n v="200801"/>
    <m/>
    <n v="7"/>
    <n v="200801"/>
    <n v="127400"/>
  </r>
  <r>
    <x v="419"/>
    <x v="3"/>
    <m/>
    <x v="33"/>
    <x v="2"/>
    <x v="93"/>
    <n v="200801"/>
    <n v="200801"/>
    <m/>
    <n v="1"/>
    <n v="200801"/>
    <n v="33800"/>
  </r>
  <r>
    <x v="419"/>
    <x v="3"/>
    <m/>
    <x v="0"/>
    <x v="9"/>
    <x v="15"/>
    <n v="200801"/>
    <n v="200801"/>
    <m/>
    <n v="5"/>
    <n v="200801"/>
    <n v="100000"/>
  </r>
  <r>
    <x v="419"/>
    <x v="3"/>
    <m/>
    <x v="6"/>
    <x v="9"/>
    <x v="37"/>
    <n v="200801"/>
    <n v="200801"/>
    <m/>
    <n v="1"/>
    <n v="200801"/>
    <n v="20000"/>
  </r>
  <r>
    <x v="420"/>
    <x v="4"/>
    <m/>
    <x v="0"/>
    <x v="1"/>
    <x v="15"/>
    <n v="200801"/>
    <n v="200801"/>
    <m/>
    <n v="1"/>
    <n v="200801"/>
    <n v="20000"/>
  </r>
  <r>
    <x v="420"/>
    <x v="4"/>
    <m/>
    <x v="0"/>
    <x v="1"/>
    <x v="16"/>
    <n v="200801"/>
    <n v="200801"/>
    <m/>
    <n v="3"/>
    <n v="200801"/>
    <n v="105000"/>
  </r>
  <r>
    <x v="420"/>
    <x v="4"/>
    <m/>
    <x v="0"/>
    <x v="7"/>
    <x v="15"/>
    <n v="200801"/>
    <n v="200801"/>
    <m/>
    <n v="4"/>
    <n v="200801"/>
    <n v="80000"/>
  </r>
  <r>
    <x v="420"/>
    <x v="4"/>
    <m/>
    <x v="30"/>
    <x v="3"/>
    <x v="87"/>
    <n v="200801"/>
    <n v="200801"/>
    <m/>
    <n v="2"/>
    <n v="200801"/>
    <n v="0"/>
  </r>
  <r>
    <x v="420"/>
    <x v="4"/>
    <m/>
    <x v="31"/>
    <x v="3"/>
    <x v="88"/>
    <n v="200801"/>
    <n v="200801"/>
    <m/>
    <n v="3"/>
    <n v="200801"/>
    <n v="0"/>
  </r>
  <r>
    <x v="420"/>
    <x v="4"/>
    <m/>
    <x v="33"/>
    <x v="3"/>
    <x v="94"/>
    <n v="200801"/>
    <n v="200801"/>
    <m/>
    <n v="2"/>
    <n v="200801"/>
    <n v="0"/>
  </r>
  <r>
    <x v="420"/>
    <x v="4"/>
    <m/>
    <x v="0"/>
    <x v="3"/>
    <x v="15"/>
    <n v="200801"/>
    <n v="200801"/>
    <m/>
    <n v="3"/>
    <n v="200801"/>
    <n v="0"/>
  </r>
  <r>
    <x v="420"/>
    <x v="4"/>
    <m/>
    <x v="5"/>
    <x v="3"/>
    <x v="28"/>
    <n v="200801"/>
    <n v="200801"/>
    <m/>
    <n v="2"/>
    <n v="200801"/>
    <n v="0"/>
  </r>
  <r>
    <x v="420"/>
    <x v="4"/>
    <m/>
    <x v="4"/>
    <x v="3"/>
    <x v="27"/>
    <n v="200801"/>
    <n v="200801"/>
    <m/>
    <n v="2"/>
    <n v="200801"/>
    <n v="0"/>
  </r>
  <r>
    <x v="420"/>
    <x v="4"/>
    <m/>
    <x v="6"/>
    <x v="3"/>
    <x v="37"/>
    <n v="200801"/>
    <n v="200801"/>
    <m/>
    <n v="2"/>
    <n v="200801"/>
    <n v="0"/>
  </r>
  <r>
    <x v="420"/>
    <x v="4"/>
    <m/>
    <x v="19"/>
    <x v="3"/>
    <x v="22"/>
    <n v="200801"/>
    <n v="200801"/>
    <m/>
    <n v="2"/>
    <n v="200801"/>
    <n v="0"/>
  </r>
  <r>
    <x v="420"/>
    <x v="4"/>
    <m/>
    <x v="1"/>
    <x v="3"/>
    <x v="18"/>
    <n v="200801"/>
    <n v="200801"/>
    <m/>
    <n v="2"/>
    <n v="200801"/>
    <n v="0"/>
  </r>
  <r>
    <x v="420"/>
    <x v="4"/>
    <m/>
    <x v="36"/>
    <x v="3"/>
    <x v="109"/>
    <n v="200801"/>
    <n v="200801"/>
    <m/>
    <n v="3"/>
    <n v="200801"/>
    <n v="0"/>
  </r>
  <r>
    <x v="420"/>
    <x v="4"/>
    <m/>
    <x v="6"/>
    <x v="2"/>
    <x v="37"/>
    <n v="200801"/>
    <n v="200801"/>
    <m/>
    <n v="10"/>
    <n v="200801"/>
    <n v="200000"/>
  </r>
  <r>
    <x v="420"/>
    <x v="4"/>
    <m/>
    <x v="25"/>
    <x v="2"/>
    <x v="34"/>
    <n v="200801"/>
    <n v="200801"/>
    <m/>
    <n v="6"/>
    <n v="200801"/>
    <n v="594000"/>
  </r>
  <r>
    <x v="420"/>
    <x v="4"/>
    <m/>
    <x v="31"/>
    <x v="2"/>
    <x v="95"/>
    <n v="200801"/>
    <n v="200801"/>
    <m/>
    <n v="65"/>
    <n v="200801"/>
    <n v="1456000"/>
  </r>
  <r>
    <x v="420"/>
    <x v="4"/>
    <m/>
    <x v="31"/>
    <x v="2"/>
    <x v="96"/>
    <n v="200801"/>
    <n v="200801"/>
    <m/>
    <n v="89"/>
    <n v="200801"/>
    <n v="3488800"/>
  </r>
  <r>
    <x v="420"/>
    <x v="4"/>
    <m/>
    <x v="32"/>
    <x v="2"/>
    <x v="97"/>
    <n v="200801"/>
    <n v="200801"/>
    <m/>
    <n v="49"/>
    <n v="200801"/>
    <n v="1817900"/>
  </r>
  <r>
    <x v="420"/>
    <x v="4"/>
    <m/>
    <x v="34"/>
    <x v="2"/>
    <x v="105"/>
    <n v="200801"/>
    <n v="200801"/>
    <m/>
    <n v="32"/>
    <n v="200801"/>
    <n v="1187200"/>
  </r>
  <r>
    <x v="420"/>
    <x v="4"/>
    <m/>
    <x v="30"/>
    <x v="2"/>
    <x v="99"/>
    <n v="200801"/>
    <n v="200801"/>
    <m/>
    <n v="7"/>
    <n v="200801"/>
    <n v="156800"/>
  </r>
  <r>
    <x v="420"/>
    <x v="4"/>
    <m/>
    <x v="1"/>
    <x v="2"/>
    <x v="18"/>
    <n v="200801"/>
    <n v="200801"/>
    <m/>
    <n v="1"/>
    <n v="200801"/>
    <n v="20000"/>
  </r>
  <r>
    <x v="420"/>
    <x v="4"/>
    <m/>
    <x v="4"/>
    <x v="2"/>
    <x v="26"/>
    <n v="200801"/>
    <n v="200801"/>
    <m/>
    <n v="10"/>
    <n v="200801"/>
    <n v="40000"/>
  </r>
  <r>
    <x v="420"/>
    <x v="4"/>
    <m/>
    <x v="4"/>
    <x v="2"/>
    <x v="27"/>
    <n v="200801"/>
    <n v="200801"/>
    <m/>
    <n v="10"/>
    <n v="200801"/>
    <n v="200000"/>
  </r>
  <r>
    <x v="420"/>
    <x v="4"/>
    <m/>
    <x v="0"/>
    <x v="2"/>
    <x v="15"/>
    <n v="200801"/>
    <n v="200801"/>
    <m/>
    <n v="68"/>
    <n v="200801"/>
    <n v="1360000"/>
  </r>
  <r>
    <x v="420"/>
    <x v="4"/>
    <m/>
    <x v="0"/>
    <x v="2"/>
    <x v="16"/>
    <n v="200801"/>
    <n v="200801"/>
    <m/>
    <n v="39"/>
    <n v="200801"/>
    <n v="1365000"/>
  </r>
  <r>
    <x v="420"/>
    <x v="4"/>
    <m/>
    <x v="0"/>
    <x v="2"/>
    <x v="17"/>
    <n v="200801"/>
    <n v="200801"/>
    <m/>
    <n v="27"/>
    <n v="200801"/>
    <n v="891000"/>
  </r>
  <r>
    <x v="420"/>
    <x v="4"/>
    <m/>
    <x v="0"/>
    <x v="2"/>
    <x v="19"/>
    <n v="200801"/>
    <n v="200801"/>
    <m/>
    <n v="61"/>
    <n v="200801"/>
    <n v="183000"/>
  </r>
  <r>
    <x v="420"/>
    <x v="4"/>
    <m/>
    <x v="5"/>
    <x v="2"/>
    <x v="28"/>
    <n v="200801"/>
    <n v="200801"/>
    <m/>
    <n v="25"/>
    <n v="200801"/>
    <n v="700000"/>
  </r>
  <r>
    <x v="420"/>
    <x v="4"/>
    <m/>
    <x v="5"/>
    <x v="2"/>
    <x v="69"/>
    <n v="200801"/>
    <n v="200801"/>
    <m/>
    <n v="9"/>
    <n v="200801"/>
    <n v="432000"/>
  </r>
  <r>
    <x v="420"/>
    <x v="4"/>
    <m/>
    <x v="22"/>
    <x v="2"/>
    <x v="29"/>
    <n v="200801"/>
    <n v="200801"/>
    <m/>
    <n v="8"/>
    <n v="200801"/>
    <n v="304000"/>
  </r>
  <r>
    <x v="420"/>
    <x v="4"/>
    <m/>
    <x v="19"/>
    <x v="2"/>
    <x v="22"/>
    <n v="200801"/>
    <n v="200801"/>
    <m/>
    <n v="16"/>
    <n v="200801"/>
    <n v="208000"/>
  </r>
  <r>
    <x v="420"/>
    <x v="4"/>
    <m/>
    <x v="19"/>
    <x v="2"/>
    <x v="23"/>
    <n v="200801"/>
    <n v="200801"/>
    <m/>
    <n v="6"/>
    <n v="200801"/>
    <n v="144000"/>
  </r>
  <r>
    <x v="420"/>
    <x v="4"/>
    <m/>
    <x v="19"/>
    <x v="2"/>
    <x v="24"/>
    <n v="200801"/>
    <n v="200801"/>
    <m/>
    <n v="1"/>
    <n v="200801"/>
    <n v="33000"/>
  </r>
  <r>
    <x v="420"/>
    <x v="4"/>
    <m/>
    <x v="33"/>
    <x v="2"/>
    <x v="92"/>
    <n v="200801"/>
    <n v="200801"/>
    <m/>
    <n v="3"/>
    <n v="200801"/>
    <n v="54600"/>
  </r>
  <r>
    <x v="420"/>
    <x v="4"/>
    <m/>
    <x v="0"/>
    <x v="9"/>
    <x v="15"/>
    <n v="200801"/>
    <n v="200801"/>
    <m/>
    <n v="1"/>
    <n v="200801"/>
    <n v="20000"/>
  </r>
  <r>
    <x v="420"/>
    <x v="4"/>
    <m/>
    <x v="22"/>
    <x v="9"/>
    <x v="29"/>
    <n v="200801"/>
    <n v="200801"/>
    <m/>
    <n v="1"/>
    <n v="200801"/>
    <n v="38000"/>
  </r>
  <r>
    <x v="421"/>
    <x v="1"/>
    <m/>
    <x v="0"/>
    <x v="1"/>
    <x v="15"/>
    <n v="200801"/>
    <n v="200801"/>
    <m/>
    <n v="2"/>
    <n v="200801"/>
    <n v="40000"/>
  </r>
  <r>
    <x v="421"/>
    <x v="1"/>
    <m/>
    <x v="0"/>
    <x v="1"/>
    <x v="16"/>
    <n v="200801"/>
    <n v="200801"/>
    <m/>
    <n v="10"/>
    <n v="200801"/>
    <n v="350000"/>
  </r>
  <r>
    <x v="421"/>
    <x v="1"/>
    <m/>
    <x v="0"/>
    <x v="7"/>
    <x v="15"/>
    <n v="200801"/>
    <n v="200801"/>
    <m/>
    <n v="3"/>
    <n v="200801"/>
    <n v="60000"/>
  </r>
  <r>
    <x v="421"/>
    <x v="1"/>
    <m/>
    <x v="6"/>
    <x v="2"/>
    <x v="37"/>
    <n v="200801"/>
    <n v="200801"/>
    <m/>
    <n v="2"/>
    <n v="200801"/>
    <n v="40000"/>
  </r>
  <r>
    <x v="421"/>
    <x v="1"/>
    <m/>
    <x v="36"/>
    <x v="2"/>
    <x v="113"/>
    <n v="200801"/>
    <n v="200801"/>
    <m/>
    <n v="1"/>
    <n v="200801"/>
    <n v="42000"/>
  </r>
  <r>
    <x v="421"/>
    <x v="1"/>
    <m/>
    <x v="25"/>
    <x v="2"/>
    <x v="34"/>
    <n v="200801"/>
    <n v="200801"/>
    <m/>
    <n v="5"/>
    <n v="200801"/>
    <n v="495000"/>
  </r>
  <r>
    <x v="421"/>
    <x v="1"/>
    <m/>
    <x v="31"/>
    <x v="2"/>
    <x v="95"/>
    <n v="200801"/>
    <n v="200801"/>
    <m/>
    <n v="68"/>
    <n v="200801"/>
    <n v="1523200"/>
  </r>
  <r>
    <x v="421"/>
    <x v="1"/>
    <m/>
    <x v="31"/>
    <x v="2"/>
    <x v="96"/>
    <n v="200801"/>
    <n v="200801"/>
    <m/>
    <n v="72"/>
    <n v="200801"/>
    <n v="2822400"/>
  </r>
  <r>
    <x v="421"/>
    <x v="1"/>
    <m/>
    <x v="32"/>
    <x v="2"/>
    <x v="97"/>
    <n v="200801"/>
    <n v="200801"/>
    <m/>
    <n v="56"/>
    <n v="200801"/>
    <n v="2077600"/>
  </r>
  <r>
    <x v="421"/>
    <x v="1"/>
    <m/>
    <x v="34"/>
    <x v="2"/>
    <x v="105"/>
    <n v="200801"/>
    <n v="200801"/>
    <m/>
    <n v="34"/>
    <n v="200801"/>
    <n v="1261400"/>
  </r>
  <r>
    <x v="421"/>
    <x v="1"/>
    <m/>
    <x v="30"/>
    <x v="2"/>
    <x v="99"/>
    <n v="200801"/>
    <n v="200801"/>
    <m/>
    <n v="9"/>
    <n v="200801"/>
    <n v="201600"/>
  </r>
  <r>
    <x v="421"/>
    <x v="1"/>
    <m/>
    <x v="30"/>
    <x v="2"/>
    <x v="100"/>
    <n v="200801"/>
    <n v="200801"/>
    <m/>
    <n v="4"/>
    <n v="200801"/>
    <n v="156800"/>
  </r>
  <r>
    <x v="421"/>
    <x v="1"/>
    <m/>
    <x v="1"/>
    <x v="2"/>
    <x v="18"/>
    <n v="200801"/>
    <n v="200801"/>
    <m/>
    <n v="4"/>
    <n v="200801"/>
    <n v="80000"/>
  </r>
  <r>
    <x v="421"/>
    <x v="1"/>
    <m/>
    <x v="1"/>
    <x v="2"/>
    <x v="21"/>
    <n v="200801"/>
    <n v="200801"/>
    <m/>
    <n v="1"/>
    <n v="200801"/>
    <n v="35000"/>
  </r>
  <r>
    <x v="421"/>
    <x v="1"/>
    <m/>
    <x v="4"/>
    <x v="2"/>
    <x v="26"/>
    <n v="200801"/>
    <n v="200801"/>
    <m/>
    <n v="4"/>
    <n v="200801"/>
    <n v="16000"/>
  </r>
  <r>
    <x v="421"/>
    <x v="1"/>
    <m/>
    <x v="4"/>
    <x v="2"/>
    <x v="27"/>
    <n v="200801"/>
    <n v="200801"/>
    <m/>
    <n v="7"/>
    <n v="200801"/>
    <n v="140000"/>
  </r>
  <r>
    <x v="421"/>
    <x v="1"/>
    <m/>
    <x v="0"/>
    <x v="2"/>
    <x v="15"/>
    <n v="200801"/>
    <n v="200801"/>
    <m/>
    <n v="54"/>
    <n v="200801"/>
    <n v="1080000"/>
  </r>
  <r>
    <x v="421"/>
    <x v="1"/>
    <m/>
    <x v="0"/>
    <x v="2"/>
    <x v="16"/>
    <n v="200801"/>
    <n v="200801"/>
    <m/>
    <n v="33"/>
    <n v="200801"/>
    <n v="1155000"/>
  </r>
  <r>
    <x v="421"/>
    <x v="1"/>
    <m/>
    <x v="0"/>
    <x v="2"/>
    <x v="17"/>
    <n v="200801"/>
    <n v="200801"/>
    <m/>
    <n v="37"/>
    <n v="200801"/>
    <n v="1221000"/>
  </r>
  <r>
    <x v="421"/>
    <x v="1"/>
    <m/>
    <x v="0"/>
    <x v="2"/>
    <x v="19"/>
    <n v="200801"/>
    <n v="200801"/>
    <m/>
    <n v="51"/>
    <n v="200801"/>
    <n v="153000"/>
  </r>
  <r>
    <x v="421"/>
    <x v="1"/>
    <m/>
    <x v="5"/>
    <x v="2"/>
    <x v="28"/>
    <n v="200801"/>
    <n v="200801"/>
    <m/>
    <n v="26"/>
    <n v="200801"/>
    <n v="728000"/>
  </r>
  <r>
    <x v="421"/>
    <x v="1"/>
    <m/>
    <x v="5"/>
    <x v="2"/>
    <x v="69"/>
    <n v="200801"/>
    <n v="200801"/>
    <m/>
    <n v="9"/>
    <n v="200801"/>
    <n v="432000"/>
  </r>
  <r>
    <x v="421"/>
    <x v="1"/>
    <m/>
    <x v="22"/>
    <x v="2"/>
    <x v="29"/>
    <n v="200801"/>
    <n v="200801"/>
    <m/>
    <n v="17"/>
    <n v="200801"/>
    <n v="646000"/>
  </r>
  <r>
    <x v="421"/>
    <x v="1"/>
    <m/>
    <x v="19"/>
    <x v="2"/>
    <x v="22"/>
    <n v="200801"/>
    <n v="200801"/>
    <m/>
    <n v="18"/>
    <n v="200801"/>
    <n v="234000"/>
  </r>
  <r>
    <x v="421"/>
    <x v="1"/>
    <m/>
    <x v="19"/>
    <x v="2"/>
    <x v="23"/>
    <n v="200801"/>
    <n v="200801"/>
    <m/>
    <n v="3"/>
    <n v="200801"/>
    <n v="72000"/>
  </r>
  <r>
    <x v="421"/>
    <x v="1"/>
    <m/>
    <x v="19"/>
    <x v="2"/>
    <x v="24"/>
    <n v="200801"/>
    <n v="200801"/>
    <m/>
    <n v="4"/>
    <n v="200801"/>
    <n v="132000"/>
  </r>
  <r>
    <x v="421"/>
    <x v="1"/>
    <m/>
    <x v="33"/>
    <x v="2"/>
    <x v="92"/>
    <n v="200801"/>
    <n v="200801"/>
    <m/>
    <n v="3"/>
    <n v="200801"/>
    <n v="54600"/>
  </r>
  <r>
    <x v="421"/>
    <x v="1"/>
    <m/>
    <x v="5"/>
    <x v="9"/>
    <x v="28"/>
    <n v="200801"/>
    <n v="200801"/>
    <m/>
    <n v="1"/>
    <n v="200801"/>
    <n v="28000"/>
  </r>
  <r>
    <x v="421"/>
    <x v="1"/>
    <m/>
    <x v="0"/>
    <x v="9"/>
    <x v="15"/>
    <n v="200801"/>
    <n v="200801"/>
    <m/>
    <n v="1"/>
    <n v="200801"/>
    <n v="20000"/>
  </r>
  <r>
    <x v="422"/>
    <x v="0"/>
    <m/>
    <x v="0"/>
    <x v="1"/>
    <x v="16"/>
    <n v="200801"/>
    <n v="200801"/>
    <m/>
    <n v="1"/>
    <n v="200801"/>
    <n v="35000"/>
  </r>
  <r>
    <x v="422"/>
    <x v="0"/>
    <m/>
    <x v="0"/>
    <x v="5"/>
    <x v="51"/>
    <n v="200801"/>
    <n v="200801"/>
    <m/>
    <n v="20"/>
    <n v="200801"/>
    <n v="225000"/>
  </r>
  <r>
    <x v="422"/>
    <x v="0"/>
    <m/>
    <x v="19"/>
    <x v="5"/>
    <x v="50"/>
    <n v="200801"/>
    <n v="200801"/>
    <m/>
    <n v="20"/>
    <n v="200801"/>
    <n v="144000"/>
  </r>
  <r>
    <x v="422"/>
    <x v="0"/>
    <m/>
    <x v="4"/>
    <x v="5"/>
    <x v="62"/>
    <n v="200801"/>
    <n v="200801"/>
    <m/>
    <n v="5"/>
    <n v="200801"/>
    <n v="90000"/>
  </r>
  <r>
    <x v="422"/>
    <x v="0"/>
    <m/>
    <x v="0"/>
    <x v="7"/>
    <x v="15"/>
    <n v="200801"/>
    <n v="200801"/>
    <m/>
    <n v="5"/>
    <n v="200801"/>
    <n v="100000"/>
  </r>
  <r>
    <x v="422"/>
    <x v="0"/>
    <m/>
    <x v="6"/>
    <x v="2"/>
    <x v="37"/>
    <n v="200801"/>
    <n v="200801"/>
    <m/>
    <n v="5"/>
    <n v="200801"/>
    <n v="100000"/>
  </r>
  <r>
    <x v="422"/>
    <x v="0"/>
    <m/>
    <x v="36"/>
    <x v="2"/>
    <x v="114"/>
    <n v="200801"/>
    <n v="200801"/>
    <m/>
    <n v="1"/>
    <n v="200801"/>
    <n v="49000"/>
  </r>
  <r>
    <x v="422"/>
    <x v="0"/>
    <m/>
    <x v="35"/>
    <x v="2"/>
    <x v="115"/>
    <n v="200801"/>
    <n v="200801"/>
    <m/>
    <n v="1"/>
    <n v="200801"/>
    <n v="4000"/>
  </r>
  <r>
    <x v="422"/>
    <x v="0"/>
    <m/>
    <x v="25"/>
    <x v="2"/>
    <x v="34"/>
    <n v="200801"/>
    <n v="200801"/>
    <m/>
    <n v="3"/>
    <n v="200801"/>
    <n v="297000"/>
  </r>
  <r>
    <x v="422"/>
    <x v="0"/>
    <m/>
    <x v="31"/>
    <x v="2"/>
    <x v="95"/>
    <n v="200801"/>
    <n v="200801"/>
    <m/>
    <n v="47"/>
    <n v="200801"/>
    <n v="1052800"/>
  </r>
  <r>
    <x v="422"/>
    <x v="0"/>
    <m/>
    <x v="31"/>
    <x v="2"/>
    <x v="96"/>
    <n v="200801"/>
    <n v="200801"/>
    <m/>
    <n v="41"/>
    <n v="200801"/>
    <n v="1607200"/>
  </r>
  <r>
    <x v="422"/>
    <x v="0"/>
    <m/>
    <x v="32"/>
    <x v="2"/>
    <x v="97"/>
    <n v="200801"/>
    <n v="200801"/>
    <m/>
    <n v="37"/>
    <n v="200801"/>
    <n v="1372700"/>
  </r>
  <r>
    <x v="422"/>
    <x v="0"/>
    <m/>
    <x v="34"/>
    <x v="2"/>
    <x v="105"/>
    <n v="200801"/>
    <n v="200801"/>
    <m/>
    <n v="31"/>
    <n v="200801"/>
    <n v="1150100"/>
  </r>
  <r>
    <x v="422"/>
    <x v="0"/>
    <m/>
    <x v="30"/>
    <x v="2"/>
    <x v="99"/>
    <n v="200801"/>
    <n v="200801"/>
    <m/>
    <n v="2"/>
    <n v="200801"/>
    <n v="44800"/>
  </r>
  <r>
    <x v="422"/>
    <x v="0"/>
    <m/>
    <x v="1"/>
    <x v="2"/>
    <x v="18"/>
    <n v="200801"/>
    <n v="200801"/>
    <m/>
    <n v="3"/>
    <n v="200801"/>
    <n v="60000"/>
  </r>
  <r>
    <x v="422"/>
    <x v="0"/>
    <m/>
    <x v="4"/>
    <x v="2"/>
    <x v="26"/>
    <n v="200801"/>
    <n v="200801"/>
    <m/>
    <n v="11"/>
    <n v="200801"/>
    <n v="44000"/>
  </r>
  <r>
    <x v="422"/>
    <x v="0"/>
    <m/>
    <x v="4"/>
    <x v="2"/>
    <x v="27"/>
    <n v="200801"/>
    <n v="200801"/>
    <m/>
    <n v="2"/>
    <n v="200801"/>
    <n v="40000"/>
  </r>
  <r>
    <x v="422"/>
    <x v="0"/>
    <m/>
    <x v="0"/>
    <x v="2"/>
    <x v="15"/>
    <n v="200801"/>
    <n v="200801"/>
    <m/>
    <n v="61"/>
    <n v="200801"/>
    <n v="1220000"/>
  </r>
  <r>
    <x v="422"/>
    <x v="0"/>
    <m/>
    <x v="0"/>
    <x v="2"/>
    <x v="16"/>
    <n v="200801"/>
    <n v="200801"/>
    <m/>
    <n v="20"/>
    <n v="200801"/>
    <n v="700000"/>
  </r>
  <r>
    <x v="422"/>
    <x v="0"/>
    <m/>
    <x v="0"/>
    <x v="2"/>
    <x v="17"/>
    <n v="200801"/>
    <n v="200801"/>
    <m/>
    <n v="41"/>
    <n v="200801"/>
    <n v="1353000"/>
  </r>
  <r>
    <x v="422"/>
    <x v="0"/>
    <m/>
    <x v="0"/>
    <x v="2"/>
    <x v="19"/>
    <n v="200801"/>
    <n v="200801"/>
    <m/>
    <n v="63"/>
    <n v="200801"/>
    <n v="189000"/>
  </r>
  <r>
    <x v="422"/>
    <x v="0"/>
    <m/>
    <x v="5"/>
    <x v="2"/>
    <x v="28"/>
    <n v="200801"/>
    <n v="200801"/>
    <m/>
    <n v="27"/>
    <n v="200801"/>
    <n v="756000"/>
  </r>
  <r>
    <x v="422"/>
    <x v="0"/>
    <m/>
    <x v="5"/>
    <x v="2"/>
    <x v="69"/>
    <n v="200801"/>
    <n v="200801"/>
    <m/>
    <n v="7"/>
    <n v="200801"/>
    <n v="336000"/>
  </r>
  <r>
    <x v="422"/>
    <x v="0"/>
    <m/>
    <x v="22"/>
    <x v="2"/>
    <x v="29"/>
    <n v="200801"/>
    <n v="200801"/>
    <m/>
    <n v="2"/>
    <n v="200801"/>
    <n v="76000"/>
  </r>
  <r>
    <x v="422"/>
    <x v="0"/>
    <m/>
    <x v="19"/>
    <x v="2"/>
    <x v="22"/>
    <n v="200801"/>
    <n v="200801"/>
    <m/>
    <n v="10"/>
    <n v="200801"/>
    <n v="130000"/>
  </r>
  <r>
    <x v="422"/>
    <x v="0"/>
    <m/>
    <x v="19"/>
    <x v="2"/>
    <x v="23"/>
    <n v="200801"/>
    <n v="200801"/>
    <m/>
    <n v="3"/>
    <n v="200801"/>
    <n v="72000"/>
  </r>
  <r>
    <x v="422"/>
    <x v="0"/>
    <m/>
    <x v="33"/>
    <x v="2"/>
    <x v="92"/>
    <n v="200801"/>
    <n v="200801"/>
    <m/>
    <n v="3"/>
    <n v="200801"/>
    <n v="54600"/>
  </r>
  <r>
    <x v="422"/>
    <x v="0"/>
    <m/>
    <x v="33"/>
    <x v="2"/>
    <x v="93"/>
    <n v="200801"/>
    <n v="200801"/>
    <m/>
    <n v="1"/>
    <n v="200801"/>
    <n v="33800"/>
  </r>
  <r>
    <x v="422"/>
    <x v="0"/>
    <m/>
    <x v="0"/>
    <x v="9"/>
    <x v="15"/>
    <n v="200801"/>
    <n v="200801"/>
    <m/>
    <n v="4"/>
    <n v="200801"/>
    <n v="80000"/>
  </r>
  <r>
    <x v="423"/>
    <x v="2"/>
    <m/>
    <x v="0"/>
    <x v="1"/>
    <x v="15"/>
    <n v="200801"/>
    <n v="200801"/>
    <m/>
    <n v="1"/>
    <n v="200801"/>
    <n v="20000"/>
  </r>
  <r>
    <x v="423"/>
    <x v="2"/>
    <m/>
    <x v="0"/>
    <x v="1"/>
    <x v="16"/>
    <n v="200801"/>
    <n v="200801"/>
    <m/>
    <n v="5"/>
    <n v="200801"/>
    <n v="175000"/>
  </r>
  <r>
    <x v="423"/>
    <x v="2"/>
    <m/>
    <x v="0"/>
    <x v="7"/>
    <x v="15"/>
    <n v="200801"/>
    <n v="200801"/>
    <m/>
    <n v="1"/>
    <n v="200801"/>
    <n v="20000"/>
  </r>
  <r>
    <x v="423"/>
    <x v="2"/>
    <m/>
    <x v="6"/>
    <x v="2"/>
    <x v="37"/>
    <n v="200801"/>
    <n v="200801"/>
    <m/>
    <n v="6"/>
    <n v="200801"/>
    <n v="120000"/>
  </r>
  <r>
    <x v="423"/>
    <x v="2"/>
    <m/>
    <x v="6"/>
    <x v="2"/>
    <x v="42"/>
    <n v="200801"/>
    <n v="200801"/>
    <m/>
    <n v="2"/>
    <n v="200801"/>
    <n v="70000"/>
  </r>
  <r>
    <x v="423"/>
    <x v="2"/>
    <m/>
    <x v="36"/>
    <x v="2"/>
    <x v="116"/>
    <n v="200801"/>
    <n v="200801"/>
    <m/>
    <n v="1"/>
    <n v="200801"/>
    <n v="28000"/>
  </r>
  <r>
    <x v="423"/>
    <x v="2"/>
    <m/>
    <x v="36"/>
    <x v="2"/>
    <x v="113"/>
    <n v="200801"/>
    <n v="200801"/>
    <m/>
    <n v="1"/>
    <n v="200801"/>
    <n v="42000"/>
  </r>
  <r>
    <x v="423"/>
    <x v="2"/>
    <m/>
    <x v="35"/>
    <x v="2"/>
    <x v="115"/>
    <n v="200801"/>
    <n v="200801"/>
    <m/>
    <n v="1"/>
    <n v="200801"/>
    <n v="4000"/>
  </r>
  <r>
    <x v="423"/>
    <x v="2"/>
    <m/>
    <x v="35"/>
    <x v="2"/>
    <x v="117"/>
    <n v="200801"/>
    <n v="200801"/>
    <m/>
    <n v="2"/>
    <n v="200801"/>
    <n v="40000"/>
  </r>
  <r>
    <x v="423"/>
    <x v="2"/>
    <m/>
    <x v="25"/>
    <x v="2"/>
    <x v="34"/>
    <n v="200801"/>
    <n v="200801"/>
    <m/>
    <n v="4"/>
    <n v="200801"/>
    <n v="396000"/>
  </r>
  <r>
    <x v="423"/>
    <x v="2"/>
    <m/>
    <x v="31"/>
    <x v="2"/>
    <x v="95"/>
    <n v="200801"/>
    <n v="200801"/>
    <m/>
    <n v="37"/>
    <n v="200801"/>
    <n v="828800"/>
  </r>
  <r>
    <x v="423"/>
    <x v="2"/>
    <m/>
    <x v="31"/>
    <x v="2"/>
    <x v="96"/>
    <n v="200801"/>
    <n v="200801"/>
    <m/>
    <n v="50"/>
    <n v="200801"/>
    <n v="1960000"/>
  </r>
  <r>
    <x v="423"/>
    <x v="2"/>
    <m/>
    <x v="32"/>
    <x v="2"/>
    <x v="97"/>
    <n v="200801"/>
    <n v="200801"/>
    <m/>
    <n v="26"/>
    <n v="200801"/>
    <n v="964600"/>
  </r>
  <r>
    <x v="423"/>
    <x v="2"/>
    <m/>
    <x v="34"/>
    <x v="2"/>
    <x v="105"/>
    <n v="200801"/>
    <n v="200801"/>
    <m/>
    <n v="13"/>
    <n v="200801"/>
    <n v="482300"/>
  </r>
  <r>
    <x v="423"/>
    <x v="2"/>
    <m/>
    <x v="30"/>
    <x v="2"/>
    <x v="99"/>
    <n v="200801"/>
    <n v="200801"/>
    <m/>
    <n v="5"/>
    <n v="200801"/>
    <n v="112000"/>
  </r>
  <r>
    <x v="423"/>
    <x v="2"/>
    <m/>
    <x v="30"/>
    <x v="2"/>
    <x v="100"/>
    <n v="200801"/>
    <n v="200801"/>
    <m/>
    <n v="1"/>
    <n v="200801"/>
    <n v="39200"/>
  </r>
  <r>
    <x v="423"/>
    <x v="2"/>
    <m/>
    <x v="1"/>
    <x v="2"/>
    <x v="18"/>
    <n v="200801"/>
    <n v="200801"/>
    <m/>
    <n v="1"/>
    <n v="200801"/>
    <n v="20000"/>
  </r>
  <r>
    <x v="423"/>
    <x v="2"/>
    <m/>
    <x v="4"/>
    <x v="2"/>
    <x v="26"/>
    <n v="200801"/>
    <n v="200801"/>
    <m/>
    <n v="2"/>
    <n v="200801"/>
    <n v="8000"/>
  </r>
  <r>
    <x v="423"/>
    <x v="2"/>
    <m/>
    <x v="4"/>
    <x v="2"/>
    <x v="27"/>
    <n v="200801"/>
    <n v="200801"/>
    <m/>
    <n v="7"/>
    <n v="200801"/>
    <n v="140000"/>
  </r>
  <r>
    <x v="423"/>
    <x v="2"/>
    <m/>
    <x v="0"/>
    <x v="2"/>
    <x v="15"/>
    <n v="200801"/>
    <n v="200801"/>
    <m/>
    <n v="37"/>
    <n v="200801"/>
    <n v="740000"/>
  </r>
  <r>
    <x v="423"/>
    <x v="2"/>
    <m/>
    <x v="0"/>
    <x v="2"/>
    <x v="16"/>
    <n v="200801"/>
    <n v="200801"/>
    <m/>
    <n v="21"/>
    <n v="200801"/>
    <n v="735000"/>
  </r>
  <r>
    <x v="423"/>
    <x v="2"/>
    <m/>
    <x v="0"/>
    <x v="2"/>
    <x v="17"/>
    <n v="200801"/>
    <n v="200801"/>
    <m/>
    <n v="31"/>
    <n v="200801"/>
    <n v="1023000"/>
  </r>
  <r>
    <x v="423"/>
    <x v="2"/>
    <m/>
    <x v="0"/>
    <x v="2"/>
    <x v="19"/>
    <n v="200801"/>
    <n v="200801"/>
    <m/>
    <n v="48"/>
    <n v="200801"/>
    <n v="144000"/>
  </r>
  <r>
    <x v="423"/>
    <x v="2"/>
    <m/>
    <x v="5"/>
    <x v="2"/>
    <x v="28"/>
    <n v="200801"/>
    <n v="200801"/>
    <m/>
    <n v="17"/>
    <n v="200801"/>
    <n v="476000"/>
  </r>
  <r>
    <x v="423"/>
    <x v="2"/>
    <m/>
    <x v="5"/>
    <x v="2"/>
    <x v="69"/>
    <n v="200801"/>
    <n v="200801"/>
    <m/>
    <n v="7"/>
    <n v="200801"/>
    <n v="336000"/>
  </r>
  <r>
    <x v="423"/>
    <x v="2"/>
    <m/>
    <x v="22"/>
    <x v="2"/>
    <x v="29"/>
    <n v="200801"/>
    <n v="200801"/>
    <m/>
    <n v="7"/>
    <n v="200801"/>
    <n v="266000"/>
  </r>
  <r>
    <x v="423"/>
    <x v="2"/>
    <m/>
    <x v="19"/>
    <x v="2"/>
    <x v="22"/>
    <n v="200801"/>
    <n v="200801"/>
    <m/>
    <n v="7"/>
    <n v="200801"/>
    <n v="91000"/>
  </r>
  <r>
    <x v="423"/>
    <x v="2"/>
    <m/>
    <x v="19"/>
    <x v="2"/>
    <x v="23"/>
    <n v="200801"/>
    <n v="200801"/>
    <m/>
    <n v="2"/>
    <n v="200801"/>
    <n v="48000"/>
  </r>
  <r>
    <x v="423"/>
    <x v="2"/>
    <m/>
    <x v="19"/>
    <x v="2"/>
    <x v="24"/>
    <n v="200801"/>
    <n v="200801"/>
    <m/>
    <n v="1"/>
    <n v="200801"/>
    <n v="33000"/>
  </r>
  <r>
    <x v="423"/>
    <x v="2"/>
    <m/>
    <x v="0"/>
    <x v="9"/>
    <x v="15"/>
    <n v="200801"/>
    <n v="200801"/>
    <m/>
    <n v="5"/>
    <n v="200801"/>
    <n v="100000"/>
  </r>
  <r>
    <x v="423"/>
    <x v="2"/>
    <m/>
    <x v="19"/>
    <x v="9"/>
    <x v="22"/>
    <n v="200801"/>
    <n v="200801"/>
    <m/>
    <n v="1"/>
    <n v="200801"/>
    <n v="13000"/>
  </r>
  <r>
    <x v="424"/>
    <x v="5"/>
    <m/>
    <x v="0"/>
    <x v="7"/>
    <x v="15"/>
    <n v="200801"/>
    <n v="200801"/>
    <m/>
    <n v="3"/>
    <n v="200801"/>
    <n v="60000"/>
  </r>
  <r>
    <x v="424"/>
    <x v="5"/>
    <m/>
    <x v="6"/>
    <x v="2"/>
    <x v="37"/>
    <n v="200801"/>
    <n v="200801"/>
    <m/>
    <n v="3"/>
    <n v="200801"/>
    <n v="60000"/>
  </r>
  <r>
    <x v="424"/>
    <x v="5"/>
    <m/>
    <x v="36"/>
    <x v="2"/>
    <x v="116"/>
    <n v="200801"/>
    <n v="200801"/>
    <m/>
    <n v="1"/>
    <n v="200801"/>
    <n v="28000"/>
  </r>
  <r>
    <x v="424"/>
    <x v="5"/>
    <m/>
    <x v="25"/>
    <x v="2"/>
    <x v="34"/>
    <n v="200801"/>
    <n v="200801"/>
    <m/>
    <n v="2"/>
    <n v="200801"/>
    <n v="198000"/>
  </r>
  <r>
    <x v="424"/>
    <x v="5"/>
    <m/>
    <x v="31"/>
    <x v="2"/>
    <x v="95"/>
    <n v="200801"/>
    <n v="200801"/>
    <m/>
    <n v="30"/>
    <n v="200801"/>
    <n v="672000"/>
  </r>
  <r>
    <x v="424"/>
    <x v="5"/>
    <m/>
    <x v="31"/>
    <x v="2"/>
    <x v="96"/>
    <n v="200801"/>
    <n v="200801"/>
    <m/>
    <n v="31"/>
    <n v="200801"/>
    <n v="1215200"/>
  </r>
  <r>
    <x v="424"/>
    <x v="5"/>
    <m/>
    <x v="32"/>
    <x v="2"/>
    <x v="97"/>
    <n v="200801"/>
    <n v="200801"/>
    <m/>
    <n v="18"/>
    <n v="200801"/>
    <n v="667800"/>
  </r>
  <r>
    <x v="424"/>
    <x v="5"/>
    <m/>
    <x v="34"/>
    <x v="2"/>
    <x v="105"/>
    <n v="200801"/>
    <n v="200801"/>
    <m/>
    <n v="19"/>
    <n v="200801"/>
    <n v="704900"/>
  </r>
  <r>
    <x v="424"/>
    <x v="5"/>
    <m/>
    <x v="30"/>
    <x v="2"/>
    <x v="99"/>
    <n v="200801"/>
    <n v="200801"/>
    <m/>
    <n v="4"/>
    <n v="200801"/>
    <n v="89600"/>
  </r>
  <r>
    <x v="424"/>
    <x v="5"/>
    <m/>
    <x v="1"/>
    <x v="2"/>
    <x v="18"/>
    <n v="200801"/>
    <n v="200801"/>
    <m/>
    <n v="2"/>
    <n v="200801"/>
    <n v="40000"/>
  </r>
  <r>
    <x v="424"/>
    <x v="5"/>
    <m/>
    <x v="4"/>
    <x v="2"/>
    <x v="26"/>
    <n v="200801"/>
    <n v="200801"/>
    <m/>
    <n v="5"/>
    <n v="200801"/>
    <n v="20000"/>
  </r>
  <r>
    <x v="424"/>
    <x v="5"/>
    <m/>
    <x v="4"/>
    <x v="2"/>
    <x v="27"/>
    <n v="200801"/>
    <n v="200801"/>
    <m/>
    <n v="4"/>
    <n v="200801"/>
    <n v="80000"/>
  </r>
  <r>
    <x v="424"/>
    <x v="5"/>
    <m/>
    <x v="0"/>
    <x v="2"/>
    <x v="15"/>
    <n v="200801"/>
    <n v="200801"/>
    <m/>
    <n v="28"/>
    <n v="200801"/>
    <n v="560000"/>
  </r>
  <r>
    <x v="424"/>
    <x v="5"/>
    <m/>
    <x v="0"/>
    <x v="2"/>
    <x v="16"/>
    <n v="200801"/>
    <n v="200801"/>
    <m/>
    <n v="11"/>
    <n v="200801"/>
    <n v="385000"/>
  </r>
  <r>
    <x v="424"/>
    <x v="5"/>
    <m/>
    <x v="0"/>
    <x v="2"/>
    <x v="17"/>
    <n v="200801"/>
    <n v="200801"/>
    <m/>
    <n v="20"/>
    <n v="200801"/>
    <n v="660000"/>
  </r>
  <r>
    <x v="424"/>
    <x v="5"/>
    <m/>
    <x v="0"/>
    <x v="2"/>
    <x v="19"/>
    <n v="200801"/>
    <n v="200801"/>
    <m/>
    <n v="29"/>
    <n v="200801"/>
    <n v="87000"/>
  </r>
  <r>
    <x v="424"/>
    <x v="5"/>
    <m/>
    <x v="5"/>
    <x v="2"/>
    <x v="28"/>
    <n v="200801"/>
    <n v="200801"/>
    <m/>
    <n v="17"/>
    <n v="200801"/>
    <n v="476000"/>
  </r>
  <r>
    <x v="424"/>
    <x v="5"/>
    <m/>
    <x v="5"/>
    <x v="2"/>
    <x v="69"/>
    <n v="200801"/>
    <n v="200801"/>
    <m/>
    <n v="3"/>
    <n v="200801"/>
    <n v="144000"/>
  </r>
  <r>
    <x v="424"/>
    <x v="5"/>
    <m/>
    <x v="22"/>
    <x v="2"/>
    <x v="29"/>
    <n v="200801"/>
    <n v="200801"/>
    <m/>
    <n v="1"/>
    <n v="200801"/>
    <n v="38000"/>
  </r>
  <r>
    <x v="424"/>
    <x v="5"/>
    <m/>
    <x v="19"/>
    <x v="2"/>
    <x v="22"/>
    <n v="200801"/>
    <n v="200801"/>
    <m/>
    <n v="3"/>
    <n v="200801"/>
    <n v="39000"/>
  </r>
  <r>
    <x v="424"/>
    <x v="5"/>
    <m/>
    <x v="19"/>
    <x v="2"/>
    <x v="23"/>
    <n v="200801"/>
    <n v="200801"/>
    <m/>
    <n v="2"/>
    <n v="200801"/>
    <n v="48000"/>
  </r>
  <r>
    <x v="424"/>
    <x v="5"/>
    <m/>
    <x v="0"/>
    <x v="9"/>
    <x v="15"/>
    <n v="200801"/>
    <n v="200801"/>
    <m/>
    <n v="4"/>
    <n v="200801"/>
    <n v="80000"/>
  </r>
  <r>
    <x v="425"/>
    <x v="6"/>
    <m/>
    <x v="0"/>
    <x v="7"/>
    <x v="15"/>
    <n v="200801"/>
    <n v="200801"/>
    <m/>
    <n v="2"/>
    <n v="200801"/>
    <n v="40000"/>
  </r>
  <r>
    <x v="425"/>
    <x v="6"/>
    <m/>
    <x v="6"/>
    <x v="2"/>
    <x v="37"/>
    <n v="200801"/>
    <n v="200801"/>
    <m/>
    <n v="4"/>
    <n v="200801"/>
    <n v="80000"/>
  </r>
  <r>
    <x v="425"/>
    <x v="6"/>
    <m/>
    <x v="6"/>
    <x v="2"/>
    <x v="42"/>
    <n v="200801"/>
    <n v="200801"/>
    <m/>
    <n v="2"/>
    <n v="200801"/>
    <n v="70000"/>
  </r>
  <r>
    <x v="425"/>
    <x v="6"/>
    <m/>
    <x v="35"/>
    <x v="2"/>
    <x v="115"/>
    <n v="200801"/>
    <n v="200801"/>
    <m/>
    <n v="1"/>
    <n v="200801"/>
    <n v="4000"/>
  </r>
  <r>
    <x v="425"/>
    <x v="6"/>
    <m/>
    <x v="35"/>
    <x v="2"/>
    <x v="117"/>
    <n v="200801"/>
    <n v="200801"/>
    <m/>
    <n v="3"/>
    <n v="200801"/>
    <n v="60000"/>
  </r>
  <r>
    <x v="425"/>
    <x v="6"/>
    <m/>
    <x v="36"/>
    <x v="2"/>
    <x v="116"/>
    <n v="200801"/>
    <n v="200801"/>
    <m/>
    <n v="3"/>
    <n v="200801"/>
    <n v="84000"/>
  </r>
  <r>
    <x v="425"/>
    <x v="6"/>
    <m/>
    <x v="31"/>
    <x v="2"/>
    <x v="95"/>
    <n v="200801"/>
    <n v="200801"/>
    <m/>
    <n v="39"/>
    <n v="200801"/>
    <n v="873600"/>
  </r>
  <r>
    <x v="425"/>
    <x v="6"/>
    <m/>
    <x v="31"/>
    <x v="2"/>
    <x v="96"/>
    <n v="200801"/>
    <n v="200801"/>
    <m/>
    <n v="39"/>
    <n v="200801"/>
    <n v="1528800"/>
  </r>
  <r>
    <x v="425"/>
    <x v="6"/>
    <m/>
    <x v="32"/>
    <x v="2"/>
    <x v="97"/>
    <n v="200801"/>
    <n v="200801"/>
    <m/>
    <n v="44"/>
    <n v="200801"/>
    <n v="1632400"/>
  </r>
  <r>
    <x v="425"/>
    <x v="6"/>
    <m/>
    <x v="34"/>
    <x v="2"/>
    <x v="105"/>
    <n v="200801"/>
    <n v="200801"/>
    <m/>
    <n v="37"/>
    <n v="200801"/>
    <n v="1372700"/>
  </r>
  <r>
    <x v="425"/>
    <x v="6"/>
    <m/>
    <x v="30"/>
    <x v="2"/>
    <x v="99"/>
    <n v="200801"/>
    <n v="200801"/>
    <m/>
    <n v="9"/>
    <n v="200801"/>
    <n v="201600"/>
  </r>
  <r>
    <x v="425"/>
    <x v="6"/>
    <m/>
    <x v="30"/>
    <x v="2"/>
    <x v="100"/>
    <n v="200801"/>
    <n v="200801"/>
    <m/>
    <n v="1"/>
    <n v="200801"/>
    <n v="39200"/>
  </r>
  <r>
    <x v="425"/>
    <x v="6"/>
    <m/>
    <x v="1"/>
    <x v="2"/>
    <x v="18"/>
    <n v="200801"/>
    <n v="200801"/>
    <m/>
    <n v="2"/>
    <n v="200801"/>
    <n v="40000"/>
  </r>
  <r>
    <x v="425"/>
    <x v="6"/>
    <m/>
    <x v="4"/>
    <x v="2"/>
    <x v="26"/>
    <n v="200801"/>
    <n v="200801"/>
    <m/>
    <n v="6"/>
    <n v="200801"/>
    <n v="24000"/>
  </r>
  <r>
    <x v="425"/>
    <x v="6"/>
    <m/>
    <x v="4"/>
    <x v="2"/>
    <x v="27"/>
    <n v="200801"/>
    <n v="200801"/>
    <m/>
    <n v="4"/>
    <n v="200801"/>
    <n v="80000"/>
  </r>
  <r>
    <x v="425"/>
    <x v="6"/>
    <m/>
    <x v="0"/>
    <x v="2"/>
    <x v="15"/>
    <n v="200801"/>
    <n v="200801"/>
    <m/>
    <n v="65"/>
    <n v="200801"/>
    <n v="1300000"/>
  </r>
  <r>
    <x v="425"/>
    <x v="6"/>
    <m/>
    <x v="0"/>
    <x v="2"/>
    <x v="16"/>
    <n v="200801"/>
    <n v="200801"/>
    <m/>
    <n v="28"/>
    <n v="200801"/>
    <n v="980000"/>
  </r>
  <r>
    <x v="425"/>
    <x v="6"/>
    <m/>
    <x v="0"/>
    <x v="2"/>
    <x v="17"/>
    <n v="200801"/>
    <n v="200801"/>
    <m/>
    <n v="46"/>
    <n v="200801"/>
    <n v="1518000"/>
  </r>
  <r>
    <x v="425"/>
    <x v="6"/>
    <m/>
    <x v="0"/>
    <x v="2"/>
    <x v="19"/>
    <n v="200801"/>
    <n v="200801"/>
    <m/>
    <n v="56"/>
    <n v="200801"/>
    <n v="168000"/>
  </r>
  <r>
    <x v="425"/>
    <x v="6"/>
    <m/>
    <x v="5"/>
    <x v="2"/>
    <x v="28"/>
    <n v="200801"/>
    <n v="200801"/>
    <m/>
    <n v="33"/>
    <n v="200801"/>
    <n v="924000"/>
  </r>
  <r>
    <x v="425"/>
    <x v="6"/>
    <m/>
    <x v="5"/>
    <x v="2"/>
    <x v="69"/>
    <n v="200801"/>
    <n v="200801"/>
    <m/>
    <n v="5"/>
    <n v="200801"/>
    <n v="240000"/>
  </r>
  <r>
    <x v="425"/>
    <x v="6"/>
    <m/>
    <x v="22"/>
    <x v="2"/>
    <x v="29"/>
    <n v="200801"/>
    <n v="200801"/>
    <m/>
    <n v="13"/>
    <n v="200801"/>
    <n v="494000"/>
  </r>
  <r>
    <x v="425"/>
    <x v="6"/>
    <m/>
    <x v="19"/>
    <x v="2"/>
    <x v="22"/>
    <n v="200801"/>
    <n v="200801"/>
    <m/>
    <n v="17"/>
    <n v="200801"/>
    <n v="221000"/>
  </r>
  <r>
    <x v="425"/>
    <x v="6"/>
    <m/>
    <x v="19"/>
    <x v="2"/>
    <x v="23"/>
    <n v="200801"/>
    <n v="200801"/>
    <m/>
    <n v="2"/>
    <n v="200801"/>
    <n v="48000"/>
  </r>
  <r>
    <x v="425"/>
    <x v="6"/>
    <m/>
    <x v="19"/>
    <x v="2"/>
    <x v="24"/>
    <n v="200801"/>
    <n v="200801"/>
    <m/>
    <n v="1"/>
    <n v="200801"/>
    <n v="33000"/>
  </r>
  <r>
    <x v="425"/>
    <x v="6"/>
    <m/>
    <x v="33"/>
    <x v="2"/>
    <x v="92"/>
    <n v="200801"/>
    <n v="200801"/>
    <m/>
    <n v="5"/>
    <n v="200801"/>
    <n v="91000"/>
  </r>
  <r>
    <x v="425"/>
    <x v="6"/>
    <m/>
    <x v="0"/>
    <x v="9"/>
    <x v="15"/>
    <n v="200801"/>
    <n v="200801"/>
    <m/>
    <n v="4"/>
    <n v="200801"/>
    <n v="80000"/>
  </r>
  <r>
    <x v="425"/>
    <x v="6"/>
    <m/>
    <x v="1"/>
    <x v="9"/>
    <x v="18"/>
    <n v="200801"/>
    <n v="200801"/>
    <m/>
    <n v="1"/>
    <n v="200801"/>
    <n v="20000"/>
  </r>
  <r>
    <x v="425"/>
    <x v="6"/>
    <m/>
    <x v="19"/>
    <x v="9"/>
    <x v="22"/>
    <n v="200801"/>
    <n v="200801"/>
    <m/>
    <n v="1"/>
    <n v="200801"/>
    <n v="13000"/>
  </r>
  <r>
    <x v="425"/>
    <x v="6"/>
    <m/>
    <x v="31"/>
    <x v="9"/>
    <x v="88"/>
    <n v="200801"/>
    <n v="200801"/>
    <m/>
    <n v="3"/>
    <n v="200801"/>
    <n v="67200"/>
  </r>
  <r>
    <x v="426"/>
    <x v="3"/>
    <m/>
    <x v="0"/>
    <x v="1"/>
    <x v="15"/>
    <n v="200801"/>
    <n v="200801"/>
    <m/>
    <n v="1"/>
    <n v="200801"/>
    <n v="20000"/>
  </r>
  <r>
    <x v="426"/>
    <x v="3"/>
    <m/>
    <x v="0"/>
    <x v="1"/>
    <x v="16"/>
    <n v="200801"/>
    <n v="200801"/>
    <m/>
    <n v="20"/>
    <n v="200801"/>
    <n v="700000"/>
  </r>
  <r>
    <x v="426"/>
    <x v="3"/>
    <m/>
    <x v="0"/>
    <x v="7"/>
    <x v="15"/>
    <n v="200801"/>
    <n v="200801"/>
    <m/>
    <n v="6"/>
    <n v="200801"/>
    <n v="120000"/>
  </r>
  <r>
    <x v="426"/>
    <x v="3"/>
    <m/>
    <x v="6"/>
    <x v="2"/>
    <x v="37"/>
    <n v="200801"/>
    <n v="200801"/>
    <m/>
    <n v="4"/>
    <n v="200801"/>
    <n v="80000"/>
  </r>
  <r>
    <x v="426"/>
    <x v="3"/>
    <m/>
    <x v="6"/>
    <x v="2"/>
    <x v="42"/>
    <n v="200801"/>
    <n v="200801"/>
    <m/>
    <n v="2"/>
    <n v="200801"/>
    <n v="70000"/>
  </r>
  <r>
    <x v="426"/>
    <x v="3"/>
    <m/>
    <x v="35"/>
    <x v="2"/>
    <x v="115"/>
    <n v="200801"/>
    <n v="200801"/>
    <m/>
    <n v="3"/>
    <n v="200801"/>
    <n v="12000"/>
  </r>
  <r>
    <x v="426"/>
    <x v="3"/>
    <m/>
    <x v="36"/>
    <x v="2"/>
    <x v="116"/>
    <n v="200801"/>
    <n v="200801"/>
    <m/>
    <n v="5"/>
    <n v="200801"/>
    <n v="140000"/>
  </r>
  <r>
    <x v="426"/>
    <x v="3"/>
    <m/>
    <x v="36"/>
    <x v="2"/>
    <x v="113"/>
    <n v="200801"/>
    <n v="200801"/>
    <m/>
    <n v="2"/>
    <n v="200801"/>
    <n v="84000"/>
  </r>
  <r>
    <x v="426"/>
    <x v="3"/>
    <m/>
    <x v="25"/>
    <x v="2"/>
    <x v="34"/>
    <n v="200801"/>
    <n v="200801"/>
    <m/>
    <n v="4"/>
    <n v="200801"/>
    <n v="396000"/>
  </r>
  <r>
    <x v="426"/>
    <x v="3"/>
    <m/>
    <x v="31"/>
    <x v="2"/>
    <x v="95"/>
    <n v="200801"/>
    <n v="200801"/>
    <m/>
    <n v="62"/>
    <n v="200801"/>
    <n v="1388800"/>
  </r>
  <r>
    <x v="426"/>
    <x v="3"/>
    <m/>
    <x v="31"/>
    <x v="2"/>
    <x v="96"/>
    <n v="200801"/>
    <n v="200801"/>
    <m/>
    <n v="81"/>
    <n v="200801"/>
    <n v="3175200"/>
  </r>
  <r>
    <x v="426"/>
    <x v="3"/>
    <m/>
    <x v="32"/>
    <x v="2"/>
    <x v="97"/>
    <n v="200801"/>
    <n v="200801"/>
    <m/>
    <n v="62"/>
    <n v="200801"/>
    <n v="2300200"/>
  </r>
  <r>
    <x v="426"/>
    <x v="3"/>
    <m/>
    <x v="34"/>
    <x v="2"/>
    <x v="105"/>
    <n v="200801"/>
    <n v="200801"/>
    <m/>
    <n v="36"/>
    <n v="200801"/>
    <n v="1335600"/>
  </r>
  <r>
    <x v="426"/>
    <x v="3"/>
    <m/>
    <x v="30"/>
    <x v="2"/>
    <x v="99"/>
    <n v="200801"/>
    <n v="200801"/>
    <m/>
    <n v="7"/>
    <n v="200801"/>
    <n v="156800"/>
  </r>
  <r>
    <x v="426"/>
    <x v="3"/>
    <m/>
    <x v="30"/>
    <x v="2"/>
    <x v="100"/>
    <n v="200801"/>
    <n v="200801"/>
    <m/>
    <n v="1"/>
    <n v="200801"/>
    <n v="39200"/>
  </r>
  <r>
    <x v="426"/>
    <x v="3"/>
    <m/>
    <x v="1"/>
    <x v="2"/>
    <x v="18"/>
    <n v="200801"/>
    <n v="200801"/>
    <m/>
    <n v="5"/>
    <n v="200801"/>
    <n v="100000"/>
  </r>
  <r>
    <x v="426"/>
    <x v="3"/>
    <m/>
    <x v="1"/>
    <x v="2"/>
    <x v="21"/>
    <n v="200801"/>
    <n v="200801"/>
    <m/>
    <n v="1"/>
    <n v="200801"/>
    <n v="35000"/>
  </r>
  <r>
    <x v="426"/>
    <x v="3"/>
    <m/>
    <x v="4"/>
    <x v="2"/>
    <x v="26"/>
    <n v="200801"/>
    <n v="200801"/>
    <m/>
    <n v="17"/>
    <n v="200801"/>
    <n v="68000"/>
  </r>
  <r>
    <x v="426"/>
    <x v="3"/>
    <m/>
    <x v="4"/>
    <x v="2"/>
    <x v="27"/>
    <n v="200801"/>
    <n v="200801"/>
    <m/>
    <n v="26"/>
    <n v="200801"/>
    <n v="520000"/>
  </r>
  <r>
    <x v="426"/>
    <x v="3"/>
    <m/>
    <x v="0"/>
    <x v="2"/>
    <x v="15"/>
    <n v="200801"/>
    <n v="200801"/>
    <m/>
    <n v="95"/>
    <n v="200801"/>
    <n v="1900000"/>
  </r>
  <r>
    <x v="426"/>
    <x v="3"/>
    <m/>
    <x v="0"/>
    <x v="2"/>
    <x v="16"/>
    <n v="200801"/>
    <n v="200801"/>
    <m/>
    <n v="41"/>
    <n v="200801"/>
    <n v="1435000"/>
  </r>
  <r>
    <x v="426"/>
    <x v="3"/>
    <m/>
    <x v="0"/>
    <x v="2"/>
    <x v="17"/>
    <n v="200801"/>
    <n v="200801"/>
    <m/>
    <n v="59"/>
    <n v="200801"/>
    <n v="1947000"/>
  </r>
  <r>
    <x v="426"/>
    <x v="3"/>
    <m/>
    <x v="0"/>
    <x v="2"/>
    <x v="19"/>
    <n v="200801"/>
    <n v="200801"/>
    <m/>
    <n v="87"/>
    <n v="200801"/>
    <n v="261000"/>
  </r>
  <r>
    <x v="426"/>
    <x v="3"/>
    <m/>
    <x v="5"/>
    <x v="2"/>
    <x v="28"/>
    <n v="200801"/>
    <n v="200801"/>
    <m/>
    <n v="44"/>
    <n v="200801"/>
    <n v="1232000"/>
  </r>
  <r>
    <x v="426"/>
    <x v="3"/>
    <m/>
    <x v="5"/>
    <x v="2"/>
    <x v="69"/>
    <n v="200801"/>
    <n v="200801"/>
    <m/>
    <n v="5"/>
    <n v="200801"/>
    <n v="240000"/>
  </r>
  <r>
    <x v="426"/>
    <x v="3"/>
    <m/>
    <x v="22"/>
    <x v="2"/>
    <x v="29"/>
    <n v="200801"/>
    <n v="200801"/>
    <m/>
    <n v="13"/>
    <n v="200801"/>
    <n v="494000"/>
  </r>
  <r>
    <x v="426"/>
    <x v="3"/>
    <m/>
    <x v="19"/>
    <x v="2"/>
    <x v="22"/>
    <n v="200801"/>
    <n v="200801"/>
    <m/>
    <n v="22"/>
    <n v="200801"/>
    <n v="286000"/>
  </r>
  <r>
    <x v="426"/>
    <x v="3"/>
    <m/>
    <x v="19"/>
    <x v="2"/>
    <x v="23"/>
    <n v="200801"/>
    <n v="200801"/>
    <m/>
    <n v="3"/>
    <n v="200801"/>
    <n v="72000"/>
  </r>
  <r>
    <x v="426"/>
    <x v="3"/>
    <m/>
    <x v="19"/>
    <x v="2"/>
    <x v="24"/>
    <n v="200801"/>
    <n v="200801"/>
    <m/>
    <n v="3"/>
    <n v="200801"/>
    <n v="99000"/>
  </r>
  <r>
    <x v="426"/>
    <x v="3"/>
    <m/>
    <x v="33"/>
    <x v="2"/>
    <x v="92"/>
    <n v="200801"/>
    <n v="200801"/>
    <m/>
    <n v="4"/>
    <n v="200801"/>
    <n v="72800"/>
  </r>
  <r>
    <x v="426"/>
    <x v="3"/>
    <m/>
    <x v="33"/>
    <x v="2"/>
    <x v="93"/>
    <n v="200801"/>
    <n v="200801"/>
    <m/>
    <n v="1"/>
    <n v="200801"/>
    <n v="33800"/>
  </r>
  <r>
    <x v="426"/>
    <x v="3"/>
    <m/>
    <x v="0"/>
    <x v="9"/>
    <x v="15"/>
    <n v="200801"/>
    <n v="200801"/>
    <m/>
    <n v="10"/>
    <n v="200801"/>
    <n v="200000"/>
  </r>
  <r>
    <x v="426"/>
    <x v="3"/>
    <m/>
    <x v="30"/>
    <x v="9"/>
    <x v="104"/>
    <n v="200801"/>
    <n v="200801"/>
    <m/>
    <n v="1"/>
    <n v="200801"/>
    <n v="22400"/>
  </r>
  <r>
    <x v="425"/>
    <x v="6"/>
    <m/>
    <x v="0"/>
    <x v="6"/>
    <x v="15"/>
    <n v="200801"/>
    <n v="200801"/>
    <m/>
    <n v="472"/>
    <n v="200801"/>
    <n v="4280096"/>
  </r>
  <r>
    <x v="425"/>
    <x v="6"/>
    <m/>
    <x v="0"/>
    <x v="6"/>
    <x v="17"/>
    <n v="200801"/>
    <n v="200801"/>
    <m/>
    <n v="22"/>
    <n v="200801"/>
    <n v="347996"/>
  </r>
  <r>
    <x v="425"/>
    <x v="6"/>
    <m/>
    <x v="4"/>
    <x v="6"/>
    <x v="26"/>
    <n v="200801"/>
    <n v="200801"/>
    <m/>
    <n v="485"/>
    <n v="200801"/>
    <n v="520405"/>
  </r>
  <r>
    <x v="425"/>
    <x v="6"/>
    <m/>
    <x v="26"/>
    <x v="6"/>
    <x v="35"/>
    <n v="200801"/>
    <n v="200801"/>
    <m/>
    <n v="14"/>
    <n v="200801"/>
    <n v="239834"/>
  </r>
  <r>
    <x v="425"/>
    <x v="6"/>
    <m/>
    <x v="22"/>
    <x v="6"/>
    <x v="29"/>
    <n v="200801"/>
    <n v="200801"/>
    <m/>
    <n v="60"/>
    <n v="200801"/>
    <n v="1181460"/>
  </r>
  <r>
    <x v="425"/>
    <x v="6"/>
    <m/>
    <x v="24"/>
    <x v="6"/>
    <x v="31"/>
    <n v="200801"/>
    <n v="200801"/>
    <m/>
    <n v="24"/>
    <n v="200801"/>
    <n v="357048"/>
  </r>
  <r>
    <x v="425"/>
    <x v="6"/>
    <m/>
    <x v="23"/>
    <x v="6"/>
    <x v="30"/>
    <n v="200801"/>
    <n v="200801"/>
    <m/>
    <n v="8"/>
    <n v="200801"/>
    <n v="55712"/>
  </r>
  <r>
    <x v="425"/>
    <x v="6"/>
    <m/>
    <x v="20"/>
    <x v="6"/>
    <x v="25"/>
    <n v="200801"/>
    <n v="200801"/>
    <m/>
    <n v="338"/>
    <n v="200801"/>
    <n v="3284008"/>
  </r>
  <r>
    <x v="425"/>
    <x v="6"/>
    <m/>
    <x v="19"/>
    <x v="6"/>
    <x v="22"/>
    <n v="200801"/>
    <n v="200801"/>
    <m/>
    <n v="72"/>
    <n v="200801"/>
    <n v="488952"/>
  </r>
  <r>
    <x v="425"/>
    <x v="6"/>
    <m/>
    <x v="6"/>
    <x v="6"/>
    <x v="37"/>
    <n v="200801"/>
    <n v="200801"/>
    <m/>
    <n v="17"/>
    <n v="200801"/>
    <n v="170000"/>
  </r>
  <r>
    <x v="425"/>
    <x v="6"/>
    <m/>
    <x v="28"/>
    <x v="6"/>
    <x v="39"/>
    <n v="200801"/>
    <n v="200801"/>
    <m/>
    <n v="2"/>
    <n v="200801"/>
    <n v="31636"/>
  </r>
  <r>
    <x v="425"/>
    <x v="6"/>
    <m/>
    <x v="4"/>
    <x v="6"/>
    <x v="66"/>
    <n v="200801"/>
    <n v="200801"/>
    <m/>
    <n v="292"/>
    <n v="200801"/>
    <n v="1634324"/>
  </r>
  <r>
    <x v="425"/>
    <x v="6"/>
    <m/>
    <x v="33"/>
    <x v="6"/>
    <x v="106"/>
    <n v="200801"/>
    <n v="200801"/>
    <m/>
    <n v="8"/>
    <n v="200801"/>
    <n v="78000"/>
  </r>
  <r>
    <x v="425"/>
    <x v="6"/>
    <m/>
    <x v="31"/>
    <x v="6"/>
    <x v="103"/>
    <n v="200801"/>
    <n v="200801"/>
    <m/>
    <n v="53"/>
    <n v="200801"/>
    <n v="593600"/>
  </r>
  <r>
    <x v="425"/>
    <x v="6"/>
    <m/>
    <x v="30"/>
    <x v="6"/>
    <x v="104"/>
    <n v="200801"/>
    <n v="200801"/>
    <m/>
    <n v="63"/>
    <n v="200801"/>
    <n v="705600"/>
  </r>
  <r>
    <x v="425"/>
    <x v="6"/>
    <m/>
    <x v="5"/>
    <x v="6"/>
    <x v="28"/>
    <n v="200801"/>
    <n v="200801"/>
    <m/>
    <n v="51"/>
    <n v="200801"/>
    <n v="744600"/>
  </r>
  <r>
    <x v="425"/>
    <x v="6"/>
    <m/>
    <x v="35"/>
    <x v="6"/>
    <x v="108"/>
    <n v="200801"/>
    <n v="200801"/>
    <m/>
    <n v="303"/>
    <n v="200801"/>
    <n v="325119"/>
  </r>
  <r>
    <x v="425"/>
    <x v="6"/>
    <m/>
    <x v="36"/>
    <x v="6"/>
    <x v="118"/>
    <n v="200801"/>
    <n v="200801"/>
    <m/>
    <n v="25"/>
    <n v="200801"/>
    <n v="350000"/>
  </r>
  <r>
    <x v="425"/>
    <x v="6"/>
    <m/>
    <x v="37"/>
    <x v="6"/>
    <x v="119"/>
    <n v="200801"/>
    <n v="200801"/>
    <m/>
    <n v="123"/>
    <n v="200801"/>
    <n v="2330850"/>
  </r>
  <r>
    <x v="425"/>
    <x v="6"/>
    <m/>
    <x v="38"/>
    <x v="6"/>
    <x v="120"/>
    <n v="200801"/>
    <n v="200801"/>
    <m/>
    <n v="154"/>
    <n v="200801"/>
    <n v="1681680"/>
  </r>
  <r>
    <x v="425"/>
    <x v="6"/>
    <m/>
    <x v="24"/>
    <x v="6"/>
    <x v="121"/>
    <n v="200801"/>
    <n v="200801"/>
    <m/>
    <n v="78"/>
    <n v="200801"/>
    <n v="1013688"/>
  </r>
  <r>
    <x v="427"/>
    <x v="4"/>
    <m/>
    <x v="0"/>
    <x v="1"/>
    <x v="15"/>
    <n v="200801"/>
    <n v="200801"/>
    <m/>
    <n v="1"/>
    <n v="200801"/>
    <n v="20000"/>
  </r>
  <r>
    <x v="427"/>
    <x v="4"/>
    <m/>
    <x v="0"/>
    <x v="1"/>
    <x v="16"/>
    <n v="200801"/>
    <n v="200801"/>
    <m/>
    <n v="3"/>
    <n v="200801"/>
    <n v="105000"/>
  </r>
  <r>
    <x v="427"/>
    <x v="4"/>
    <m/>
    <x v="0"/>
    <x v="7"/>
    <x v="15"/>
    <n v="200801"/>
    <n v="200801"/>
    <m/>
    <n v="2"/>
    <n v="200801"/>
    <n v="40000"/>
  </r>
  <r>
    <x v="427"/>
    <x v="4"/>
    <m/>
    <x v="31"/>
    <x v="3"/>
    <x v="88"/>
    <n v="200801"/>
    <n v="200801"/>
    <m/>
    <n v="1"/>
    <n v="200801"/>
    <n v="0"/>
  </r>
  <r>
    <x v="427"/>
    <x v="4"/>
    <m/>
    <x v="0"/>
    <x v="3"/>
    <x v="15"/>
    <n v="200801"/>
    <n v="200801"/>
    <m/>
    <n v="2"/>
    <n v="200801"/>
    <n v="0"/>
  </r>
  <r>
    <x v="427"/>
    <x v="4"/>
    <m/>
    <x v="18"/>
    <x v="3"/>
    <x v="19"/>
    <n v="200801"/>
    <n v="200801"/>
    <m/>
    <n v="4"/>
    <n v="200801"/>
    <n v="0"/>
  </r>
  <r>
    <x v="427"/>
    <x v="4"/>
    <m/>
    <x v="5"/>
    <x v="3"/>
    <x v="28"/>
    <n v="200801"/>
    <n v="200801"/>
    <m/>
    <n v="2"/>
    <n v="200801"/>
    <n v="0"/>
  </r>
  <r>
    <x v="427"/>
    <x v="4"/>
    <m/>
    <x v="4"/>
    <x v="3"/>
    <x v="26"/>
    <n v="200801"/>
    <n v="200801"/>
    <m/>
    <n v="5"/>
    <n v="200801"/>
    <n v="0"/>
  </r>
  <r>
    <x v="427"/>
    <x v="4"/>
    <m/>
    <x v="4"/>
    <x v="3"/>
    <x v="27"/>
    <n v="200801"/>
    <n v="200801"/>
    <m/>
    <n v="1"/>
    <n v="200801"/>
    <n v="0"/>
  </r>
  <r>
    <x v="427"/>
    <x v="4"/>
    <m/>
    <x v="36"/>
    <x v="3"/>
    <x v="109"/>
    <n v="200801"/>
    <n v="200801"/>
    <m/>
    <n v="2"/>
    <n v="200801"/>
    <n v="0"/>
  </r>
  <r>
    <x v="427"/>
    <x v="4"/>
    <m/>
    <x v="35"/>
    <x v="3"/>
    <x v="122"/>
    <n v="200801"/>
    <n v="200801"/>
    <m/>
    <n v="5"/>
    <n v="200801"/>
    <n v="0"/>
  </r>
  <r>
    <x v="427"/>
    <x v="4"/>
    <m/>
    <x v="35"/>
    <x v="3"/>
    <x v="107"/>
    <n v="200801"/>
    <n v="200801"/>
    <m/>
    <n v="1"/>
    <n v="200801"/>
    <n v="0"/>
  </r>
  <r>
    <x v="427"/>
    <x v="4"/>
    <m/>
    <x v="6"/>
    <x v="2"/>
    <x v="37"/>
    <n v="200801"/>
    <n v="200801"/>
    <m/>
    <n v="4"/>
    <n v="200801"/>
    <n v="80000"/>
  </r>
  <r>
    <x v="427"/>
    <x v="4"/>
    <m/>
    <x v="6"/>
    <x v="2"/>
    <x v="42"/>
    <n v="200801"/>
    <n v="200801"/>
    <m/>
    <n v="1"/>
    <n v="200801"/>
    <n v="35000"/>
  </r>
  <r>
    <x v="427"/>
    <x v="4"/>
    <m/>
    <x v="35"/>
    <x v="2"/>
    <x v="115"/>
    <n v="200801"/>
    <n v="200801"/>
    <m/>
    <n v="1"/>
    <n v="200801"/>
    <n v="4000"/>
  </r>
  <r>
    <x v="427"/>
    <x v="4"/>
    <m/>
    <x v="35"/>
    <x v="2"/>
    <x v="117"/>
    <n v="200801"/>
    <n v="200801"/>
    <m/>
    <n v="3"/>
    <n v="200801"/>
    <n v="60000"/>
  </r>
  <r>
    <x v="427"/>
    <x v="4"/>
    <m/>
    <x v="36"/>
    <x v="2"/>
    <x v="116"/>
    <n v="200801"/>
    <n v="200801"/>
    <m/>
    <n v="9"/>
    <n v="200801"/>
    <n v="252000"/>
  </r>
  <r>
    <x v="427"/>
    <x v="4"/>
    <m/>
    <x v="25"/>
    <x v="2"/>
    <x v="34"/>
    <n v="200801"/>
    <n v="200801"/>
    <m/>
    <n v="3"/>
    <n v="200801"/>
    <n v="297000"/>
  </r>
  <r>
    <x v="427"/>
    <x v="4"/>
    <m/>
    <x v="31"/>
    <x v="2"/>
    <x v="95"/>
    <n v="200801"/>
    <n v="200801"/>
    <m/>
    <n v="70"/>
    <n v="200801"/>
    <n v="1568000"/>
  </r>
  <r>
    <x v="427"/>
    <x v="4"/>
    <m/>
    <x v="31"/>
    <x v="2"/>
    <x v="96"/>
    <n v="200801"/>
    <n v="200801"/>
    <m/>
    <n v="68"/>
    <n v="200801"/>
    <n v="2665600"/>
  </r>
  <r>
    <x v="427"/>
    <x v="4"/>
    <m/>
    <x v="32"/>
    <x v="2"/>
    <x v="97"/>
    <n v="200801"/>
    <n v="200801"/>
    <m/>
    <n v="58"/>
    <n v="200801"/>
    <n v="2151800"/>
  </r>
  <r>
    <x v="427"/>
    <x v="4"/>
    <m/>
    <x v="34"/>
    <x v="2"/>
    <x v="105"/>
    <n v="200801"/>
    <n v="200801"/>
    <m/>
    <n v="48"/>
    <n v="200801"/>
    <n v="1780800"/>
  </r>
  <r>
    <x v="427"/>
    <x v="4"/>
    <m/>
    <x v="30"/>
    <x v="2"/>
    <x v="99"/>
    <n v="200801"/>
    <n v="200801"/>
    <m/>
    <n v="10"/>
    <n v="200801"/>
    <n v="224000"/>
  </r>
  <r>
    <x v="427"/>
    <x v="4"/>
    <m/>
    <x v="30"/>
    <x v="2"/>
    <x v="100"/>
    <n v="200801"/>
    <n v="200801"/>
    <m/>
    <n v="4"/>
    <n v="200801"/>
    <n v="156800"/>
  </r>
  <r>
    <x v="427"/>
    <x v="4"/>
    <m/>
    <x v="1"/>
    <x v="2"/>
    <x v="18"/>
    <n v="200801"/>
    <n v="200801"/>
    <m/>
    <n v="3"/>
    <n v="200801"/>
    <n v="60000"/>
  </r>
  <r>
    <x v="427"/>
    <x v="4"/>
    <m/>
    <x v="4"/>
    <x v="2"/>
    <x v="26"/>
    <n v="200801"/>
    <n v="200801"/>
    <m/>
    <n v="5"/>
    <n v="200801"/>
    <n v="20000"/>
  </r>
  <r>
    <x v="427"/>
    <x v="4"/>
    <m/>
    <x v="4"/>
    <x v="2"/>
    <x v="27"/>
    <n v="200801"/>
    <n v="200801"/>
    <m/>
    <n v="12"/>
    <n v="200801"/>
    <n v="240000"/>
  </r>
  <r>
    <x v="427"/>
    <x v="4"/>
    <m/>
    <x v="0"/>
    <x v="2"/>
    <x v="15"/>
    <n v="200801"/>
    <n v="200801"/>
    <m/>
    <n v="87"/>
    <n v="200801"/>
    <n v="1740000"/>
  </r>
  <r>
    <x v="427"/>
    <x v="4"/>
    <m/>
    <x v="0"/>
    <x v="2"/>
    <x v="16"/>
    <n v="200801"/>
    <n v="200801"/>
    <m/>
    <n v="33"/>
    <n v="200801"/>
    <n v="1155000"/>
  </r>
  <r>
    <x v="427"/>
    <x v="4"/>
    <m/>
    <x v="0"/>
    <x v="2"/>
    <x v="17"/>
    <n v="200801"/>
    <n v="200801"/>
    <m/>
    <n v="50"/>
    <n v="200801"/>
    <n v="1650000"/>
  </r>
  <r>
    <x v="427"/>
    <x v="4"/>
    <m/>
    <x v="0"/>
    <x v="2"/>
    <x v="19"/>
    <n v="200801"/>
    <n v="200801"/>
    <m/>
    <n v="90"/>
    <n v="200801"/>
    <n v="270000"/>
  </r>
  <r>
    <x v="427"/>
    <x v="4"/>
    <m/>
    <x v="5"/>
    <x v="2"/>
    <x v="28"/>
    <n v="200801"/>
    <n v="200801"/>
    <m/>
    <n v="34"/>
    <n v="200801"/>
    <n v="952000"/>
  </r>
  <r>
    <x v="427"/>
    <x v="4"/>
    <m/>
    <x v="5"/>
    <x v="2"/>
    <x v="69"/>
    <n v="200801"/>
    <n v="200801"/>
    <m/>
    <n v="11"/>
    <n v="200801"/>
    <n v="528000"/>
  </r>
  <r>
    <x v="427"/>
    <x v="4"/>
    <m/>
    <x v="22"/>
    <x v="2"/>
    <x v="29"/>
    <n v="200801"/>
    <n v="200801"/>
    <m/>
    <n v="15"/>
    <n v="200801"/>
    <n v="570000"/>
  </r>
  <r>
    <x v="427"/>
    <x v="4"/>
    <m/>
    <x v="19"/>
    <x v="2"/>
    <x v="22"/>
    <n v="200801"/>
    <n v="200801"/>
    <m/>
    <n v="19"/>
    <n v="200801"/>
    <n v="247000"/>
  </r>
  <r>
    <x v="427"/>
    <x v="4"/>
    <m/>
    <x v="19"/>
    <x v="2"/>
    <x v="23"/>
    <n v="200801"/>
    <n v="200801"/>
    <m/>
    <n v="4"/>
    <n v="200801"/>
    <n v="96000"/>
  </r>
  <r>
    <x v="427"/>
    <x v="4"/>
    <m/>
    <x v="19"/>
    <x v="2"/>
    <x v="24"/>
    <n v="200801"/>
    <n v="200801"/>
    <m/>
    <n v="2"/>
    <n v="200801"/>
    <n v="66000"/>
  </r>
  <r>
    <x v="427"/>
    <x v="4"/>
    <m/>
    <x v="33"/>
    <x v="2"/>
    <x v="92"/>
    <n v="200801"/>
    <n v="200801"/>
    <m/>
    <n v="5"/>
    <n v="200801"/>
    <n v="91000"/>
  </r>
  <r>
    <x v="427"/>
    <x v="4"/>
    <m/>
    <x v="5"/>
    <x v="9"/>
    <x v="28"/>
    <n v="200801"/>
    <n v="200801"/>
    <m/>
    <n v="1"/>
    <n v="200801"/>
    <n v="28000"/>
  </r>
  <r>
    <x v="427"/>
    <x v="4"/>
    <m/>
    <x v="0"/>
    <x v="9"/>
    <x v="15"/>
    <n v="200801"/>
    <n v="200801"/>
    <m/>
    <n v="11"/>
    <n v="200801"/>
    <n v="220000"/>
  </r>
  <r>
    <x v="427"/>
    <x v="4"/>
    <m/>
    <x v="22"/>
    <x v="9"/>
    <x v="29"/>
    <n v="200801"/>
    <n v="200801"/>
    <m/>
    <n v="1"/>
    <n v="200801"/>
    <n v="38000"/>
  </r>
  <r>
    <x v="427"/>
    <x v="4"/>
    <m/>
    <x v="19"/>
    <x v="9"/>
    <x v="22"/>
    <n v="200801"/>
    <n v="200801"/>
    <m/>
    <n v="1"/>
    <n v="200801"/>
    <n v="13000"/>
  </r>
  <r>
    <x v="428"/>
    <x v="1"/>
    <m/>
    <x v="0"/>
    <x v="1"/>
    <x v="123"/>
    <m/>
    <m/>
    <m/>
    <n v="9"/>
    <n v="201208"/>
    <n v="315000"/>
  </r>
  <r>
    <x v="428"/>
    <x v="1"/>
    <m/>
    <x v="0"/>
    <x v="1"/>
    <x v="124"/>
    <m/>
    <m/>
    <m/>
    <n v="1"/>
    <n v="201208"/>
    <n v="20000"/>
  </r>
  <r>
    <x v="428"/>
    <x v="1"/>
    <m/>
    <x v="35"/>
    <x v="5"/>
    <x v="107"/>
    <m/>
    <m/>
    <m/>
    <n v="6"/>
    <n v="201208"/>
    <n v="108000"/>
  </r>
  <r>
    <x v="428"/>
    <x v="1"/>
    <m/>
    <x v="18"/>
    <x v="3"/>
    <x v="125"/>
    <m/>
    <m/>
    <m/>
    <n v="1"/>
    <n v="201208"/>
    <n v="0"/>
  </r>
  <r>
    <x v="428"/>
    <x v="1"/>
    <m/>
    <x v="31"/>
    <x v="3"/>
    <x v="88"/>
    <m/>
    <m/>
    <m/>
    <n v="5"/>
    <n v="201208"/>
    <n v="0"/>
  </r>
  <r>
    <x v="428"/>
    <x v="1"/>
    <m/>
    <x v="6"/>
    <x v="2"/>
    <x v="126"/>
    <m/>
    <m/>
    <m/>
    <n v="2"/>
    <n v="201208"/>
    <n v="40000"/>
  </r>
  <r>
    <x v="428"/>
    <x v="1"/>
    <m/>
    <x v="6"/>
    <x v="2"/>
    <x v="127"/>
    <m/>
    <m/>
    <m/>
    <n v="1"/>
    <n v="201208"/>
    <n v="35000"/>
  </r>
  <r>
    <x v="428"/>
    <x v="1"/>
    <m/>
    <x v="34"/>
    <x v="2"/>
    <x v="128"/>
    <m/>
    <m/>
    <m/>
    <n v="38"/>
    <n v="201208"/>
    <n v="1409800"/>
  </r>
  <r>
    <x v="428"/>
    <x v="1"/>
    <m/>
    <x v="25"/>
    <x v="2"/>
    <x v="129"/>
    <m/>
    <m/>
    <m/>
    <n v="2"/>
    <n v="201208"/>
    <n v="198000"/>
  </r>
  <r>
    <x v="428"/>
    <x v="1"/>
    <m/>
    <x v="0"/>
    <x v="2"/>
    <x v="130"/>
    <m/>
    <m/>
    <m/>
    <n v="45"/>
    <n v="201208"/>
    <n v="1485000"/>
  </r>
  <r>
    <x v="428"/>
    <x v="1"/>
    <m/>
    <x v="0"/>
    <x v="2"/>
    <x v="131"/>
    <m/>
    <m/>
    <m/>
    <n v="3"/>
    <n v="201208"/>
    <n v="99000"/>
  </r>
  <r>
    <x v="428"/>
    <x v="1"/>
    <m/>
    <x v="30"/>
    <x v="2"/>
    <x v="132"/>
    <m/>
    <m/>
    <m/>
    <n v="7"/>
    <n v="201208"/>
    <n v="156800"/>
  </r>
  <r>
    <x v="428"/>
    <x v="1"/>
    <m/>
    <x v="30"/>
    <x v="2"/>
    <x v="133"/>
    <m/>
    <m/>
    <m/>
    <n v="1"/>
    <n v="201208"/>
    <n v="39200"/>
  </r>
  <r>
    <x v="428"/>
    <x v="1"/>
    <m/>
    <x v="34"/>
    <x v="2"/>
    <x v="134"/>
    <m/>
    <m/>
    <m/>
    <n v="1"/>
    <n v="201208"/>
    <n v="37100"/>
  </r>
  <r>
    <x v="428"/>
    <x v="1"/>
    <m/>
    <x v="1"/>
    <x v="2"/>
    <x v="135"/>
    <m/>
    <m/>
    <m/>
    <n v="3"/>
    <n v="201208"/>
    <n v="60000"/>
  </r>
  <r>
    <x v="428"/>
    <x v="1"/>
    <m/>
    <x v="36"/>
    <x v="2"/>
    <x v="136"/>
    <m/>
    <m/>
    <m/>
    <n v="5"/>
    <n v="201208"/>
    <n v="140000"/>
  </r>
  <r>
    <x v="428"/>
    <x v="1"/>
    <m/>
    <x v="36"/>
    <x v="2"/>
    <x v="137"/>
    <m/>
    <m/>
    <m/>
    <n v="2"/>
    <n v="201208"/>
    <n v="84000"/>
  </r>
  <r>
    <x v="428"/>
    <x v="1"/>
    <m/>
    <x v="0"/>
    <x v="2"/>
    <x v="138"/>
    <m/>
    <m/>
    <m/>
    <n v="70"/>
    <n v="201208"/>
    <n v="1400000"/>
  </r>
  <r>
    <x v="428"/>
    <x v="1"/>
    <m/>
    <x v="0"/>
    <x v="2"/>
    <x v="139"/>
    <m/>
    <m/>
    <m/>
    <n v="26"/>
    <n v="201208"/>
    <n v="910000"/>
  </r>
  <r>
    <x v="428"/>
    <x v="1"/>
    <m/>
    <x v="32"/>
    <x v="2"/>
    <x v="140"/>
    <m/>
    <m/>
    <m/>
    <n v="13"/>
    <n v="201208"/>
    <n v="482300"/>
  </r>
  <r>
    <x v="428"/>
    <x v="1"/>
    <m/>
    <x v="18"/>
    <x v="2"/>
    <x v="125"/>
    <m/>
    <m/>
    <m/>
    <n v="37"/>
    <n v="201208"/>
    <n v="111000"/>
  </r>
  <r>
    <x v="428"/>
    <x v="1"/>
    <m/>
    <x v="0"/>
    <x v="2"/>
    <x v="138"/>
    <m/>
    <m/>
    <m/>
    <n v="1"/>
    <n v="201208"/>
    <n v="20000"/>
  </r>
  <r>
    <x v="428"/>
    <x v="1"/>
    <m/>
    <x v="0"/>
    <x v="2"/>
    <x v="141"/>
    <m/>
    <m/>
    <m/>
    <n v="3"/>
    <n v="201208"/>
    <n v="99000"/>
  </r>
  <r>
    <x v="428"/>
    <x v="1"/>
    <m/>
    <x v="4"/>
    <x v="2"/>
    <x v="142"/>
    <m/>
    <m/>
    <m/>
    <n v="4"/>
    <n v="201208"/>
    <n v="16000"/>
  </r>
  <r>
    <x v="428"/>
    <x v="1"/>
    <m/>
    <x v="4"/>
    <x v="2"/>
    <x v="143"/>
    <m/>
    <m/>
    <m/>
    <n v="12"/>
    <n v="201208"/>
    <n v="240000"/>
  </r>
  <r>
    <x v="428"/>
    <x v="1"/>
    <m/>
    <x v="4"/>
    <x v="2"/>
    <x v="144"/>
    <m/>
    <m/>
    <m/>
    <n v="9"/>
    <n v="201208"/>
    <n v="36000"/>
  </r>
  <r>
    <x v="428"/>
    <x v="1"/>
    <m/>
    <x v="31"/>
    <x v="2"/>
    <x v="145"/>
    <m/>
    <m/>
    <m/>
    <n v="56"/>
    <n v="201208"/>
    <n v="1254400"/>
  </r>
  <r>
    <x v="428"/>
    <x v="1"/>
    <m/>
    <x v="31"/>
    <x v="2"/>
    <x v="146"/>
    <m/>
    <m/>
    <m/>
    <n v="77"/>
    <n v="201208"/>
    <n v="3018400"/>
  </r>
  <r>
    <x v="428"/>
    <x v="1"/>
    <m/>
    <x v="32"/>
    <x v="2"/>
    <x v="147"/>
    <m/>
    <m/>
    <m/>
    <n v="37"/>
    <n v="201208"/>
    <n v="1372700"/>
  </r>
  <r>
    <x v="428"/>
    <x v="1"/>
    <m/>
    <x v="31"/>
    <x v="2"/>
    <x v="145"/>
    <m/>
    <m/>
    <m/>
    <n v="1"/>
    <n v="201208"/>
    <n v="22400"/>
  </r>
  <r>
    <x v="428"/>
    <x v="1"/>
    <m/>
    <x v="31"/>
    <x v="2"/>
    <x v="146"/>
    <m/>
    <m/>
    <m/>
    <n v="1"/>
    <n v="201208"/>
    <n v="39200"/>
  </r>
  <r>
    <x v="428"/>
    <x v="1"/>
    <m/>
    <x v="0"/>
    <x v="2"/>
    <x v="148"/>
    <m/>
    <m/>
    <m/>
    <n v="4"/>
    <n v="201208"/>
    <n v="80000"/>
  </r>
  <r>
    <x v="428"/>
    <x v="1"/>
    <m/>
    <x v="0"/>
    <x v="2"/>
    <x v="149"/>
    <m/>
    <m/>
    <m/>
    <n v="1"/>
    <n v="201208"/>
    <n v="20000"/>
  </r>
  <r>
    <x v="428"/>
    <x v="1"/>
    <m/>
    <x v="22"/>
    <x v="2"/>
    <x v="150"/>
    <m/>
    <m/>
    <m/>
    <n v="7"/>
    <n v="201208"/>
    <n v="266000"/>
  </r>
  <r>
    <x v="428"/>
    <x v="1"/>
    <m/>
    <x v="22"/>
    <x v="2"/>
    <x v="150"/>
    <m/>
    <m/>
    <m/>
    <n v="2"/>
    <n v="201208"/>
    <n v="76000"/>
  </r>
  <r>
    <x v="428"/>
    <x v="1"/>
    <m/>
    <x v="5"/>
    <x v="2"/>
    <x v="151"/>
    <m/>
    <m/>
    <m/>
    <n v="33"/>
    <n v="201208"/>
    <n v="924000"/>
  </r>
  <r>
    <x v="428"/>
    <x v="1"/>
    <m/>
    <x v="5"/>
    <x v="2"/>
    <x v="152"/>
    <m/>
    <m/>
    <m/>
    <n v="11"/>
    <n v="201208"/>
    <n v="528000"/>
  </r>
  <r>
    <x v="428"/>
    <x v="1"/>
    <m/>
    <x v="5"/>
    <x v="2"/>
    <x v="153"/>
    <m/>
    <m/>
    <m/>
    <n v="2"/>
    <n v="201208"/>
    <n v="56000"/>
  </r>
  <r>
    <x v="428"/>
    <x v="1"/>
    <m/>
    <x v="5"/>
    <x v="2"/>
    <x v="154"/>
    <m/>
    <m/>
    <m/>
    <n v="1"/>
    <n v="201208"/>
    <n v="28000"/>
  </r>
  <r>
    <x v="428"/>
    <x v="1"/>
    <m/>
    <x v="33"/>
    <x v="2"/>
    <x v="155"/>
    <m/>
    <m/>
    <m/>
    <n v="1"/>
    <n v="201208"/>
    <n v="18200"/>
  </r>
  <r>
    <x v="428"/>
    <x v="1"/>
    <m/>
    <x v="33"/>
    <x v="2"/>
    <x v="156"/>
    <m/>
    <m/>
    <m/>
    <n v="3"/>
    <n v="201208"/>
    <n v="101400"/>
  </r>
  <r>
    <x v="428"/>
    <x v="1"/>
    <m/>
    <x v="19"/>
    <x v="2"/>
    <x v="157"/>
    <m/>
    <m/>
    <m/>
    <n v="22"/>
    <n v="201208"/>
    <n v="286000"/>
  </r>
  <r>
    <x v="428"/>
    <x v="1"/>
    <m/>
    <x v="19"/>
    <x v="2"/>
    <x v="158"/>
    <m/>
    <m/>
    <m/>
    <n v="7"/>
    <n v="201208"/>
    <n v="168000"/>
  </r>
  <r>
    <x v="428"/>
    <x v="1"/>
    <m/>
    <x v="19"/>
    <x v="2"/>
    <x v="159"/>
    <m/>
    <m/>
    <m/>
    <n v="2"/>
    <n v="201208"/>
    <n v="66000"/>
  </r>
  <r>
    <x v="428"/>
    <x v="1"/>
    <m/>
    <x v="35"/>
    <x v="2"/>
    <x v="160"/>
    <m/>
    <m/>
    <m/>
    <n v="1"/>
    <n v="201208"/>
    <n v="20000"/>
  </r>
  <r>
    <x v="428"/>
    <x v="1"/>
    <m/>
    <x v="18"/>
    <x v="2"/>
    <x v="161"/>
    <m/>
    <m/>
    <m/>
    <n v="23"/>
    <n v="201208"/>
    <n v="69000"/>
  </r>
  <r>
    <x v="428"/>
    <x v="1"/>
    <m/>
    <x v="18"/>
    <x v="2"/>
    <x v="161"/>
    <m/>
    <m/>
    <m/>
    <n v="1"/>
    <n v="201208"/>
    <n v="3000"/>
  </r>
  <r>
    <x v="428"/>
    <x v="1"/>
    <m/>
    <x v="0"/>
    <x v="9"/>
    <x v="162"/>
    <m/>
    <m/>
    <m/>
    <n v="7"/>
    <n v="201208"/>
    <n v="140000"/>
  </r>
  <r>
    <x v="429"/>
    <x v="0"/>
    <m/>
    <x v="0"/>
    <x v="1"/>
    <x v="123"/>
    <m/>
    <m/>
    <m/>
    <n v="6"/>
    <n v="201208"/>
    <n v="210000"/>
  </r>
  <r>
    <x v="429"/>
    <x v="0"/>
    <m/>
    <x v="0"/>
    <x v="1"/>
    <x v="124"/>
    <m/>
    <m/>
    <m/>
    <n v="2"/>
    <n v="201208"/>
    <n v="40000"/>
  </r>
  <r>
    <x v="429"/>
    <x v="0"/>
    <m/>
    <x v="0"/>
    <x v="7"/>
    <x v="163"/>
    <m/>
    <m/>
    <m/>
    <n v="1"/>
    <n v="201208"/>
    <n v="20000"/>
  </r>
  <r>
    <x v="429"/>
    <x v="0"/>
    <m/>
    <x v="0"/>
    <x v="3"/>
    <x v="164"/>
    <m/>
    <m/>
    <m/>
    <n v="1"/>
    <n v="201208"/>
    <n v="0"/>
  </r>
  <r>
    <x v="429"/>
    <x v="0"/>
    <m/>
    <x v="6"/>
    <x v="2"/>
    <x v="126"/>
    <m/>
    <m/>
    <m/>
    <n v="2"/>
    <n v="201208"/>
    <n v="40000"/>
  </r>
  <r>
    <x v="429"/>
    <x v="0"/>
    <m/>
    <x v="34"/>
    <x v="2"/>
    <x v="128"/>
    <m/>
    <m/>
    <m/>
    <n v="26"/>
    <n v="201208"/>
    <n v="964600"/>
  </r>
  <r>
    <x v="429"/>
    <x v="0"/>
    <m/>
    <x v="25"/>
    <x v="2"/>
    <x v="129"/>
    <m/>
    <m/>
    <m/>
    <n v="6"/>
    <n v="201208"/>
    <n v="594000"/>
  </r>
  <r>
    <x v="429"/>
    <x v="0"/>
    <m/>
    <x v="0"/>
    <x v="2"/>
    <x v="130"/>
    <m/>
    <m/>
    <m/>
    <n v="29"/>
    <n v="201208"/>
    <n v="957000"/>
  </r>
  <r>
    <x v="429"/>
    <x v="0"/>
    <m/>
    <x v="0"/>
    <x v="2"/>
    <x v="131"/>
    <m/>
    <m/>
    <m/>
    <n v="2"/>
    <n v="201208"/>
    <n v="66000"/>
  </r>
  <r>
    <x v="429"/>
    <x v="0"/>
    <m/>
    <x v="30"/>
    <x v="2"/>
    <x v="132"/>
    <m/>
    <m/>
    <m/>
    <n v="6"/>
    <n v="201208"/>
    <n v="134400"/>
  </r>
  <r>
    <x v="429"/>
    <x v="0"/>
    <m/>
    <x v="34"/>
    <x v="2"/>
    <x v="134"/>
    <m/>
    <m/>
    <m/>
    <n v="2"/>
    <n v="201208"/>
    <n v="74200"/>
  </r>
  <r>
    <x v="429"/>
    <x v="0"/>
    <m/>
    <x v="1"/>
    <x v="2"/>
    <x v="135"/>
    <m/>
    <m/>
    <m/>
    <n v="3"/>
    <n v="201208"/>
    <n v="60000"/>
  </r>
  <r>
    <x v="429"/>
    <x v="0"/>
    <m/>
    <x v="1"/>
    <x v="2"/>
    <x v="165"/>
    <m/>
    <m/>
    <m/>
    <n v="2"/>
    <n v="201208"/>
    <n v="70000"/>
  </r>
  <r>
    <x v="429"/>
    <x v="0"/>
    <m/>
    <x v="36"/>
    <x v="2"/>
    <x v="136"/>
    <m/>
    <m/>
    <m/>
    <n v="5"/>
    <n v="201208"/>
    <n v="140000"/>
  </r>
  <r>
    <x v="429"/>
    <x v="0"/>
    <m/>
    <x v="36"/>
    <x v="2"/>
    <x v="137"/>
    <m/>
    <m/>
    <m/>
    <n v="1"/>
    <n v="201208"/>
    <n v="42000"/>
  </r>
  <r>
    <x v="429"/>
    <x v="0"/>
    <m/>
    <x v="0"/>
    <x v="2"/>
    <x v="138"/>
    <m/>
    <m/>
    <m/>
    <n v="51"/>
    <n v="201208"/>
    <n v="1020000"/>
  </r>
  <r>
    <x v="429"/>
    <x v="0"/>
    <m/>
    <x v="0"/>
    <x v="2"/>
    <x v="139"/>
    <m/>
    <m/>
    <m/>
    <n v="24"/>
    <n v="201208"/>
    <n v="840000"/>
  </r>
  <r>
    <x v="429"/>
    <x v="0"/>
    <m/>
    <x v="32"/>
    <x v="2"/>
    <x v="140"/>
    <m/>
    <m/>
    <m/>
    <n v="7"/>
    <n v="201208"/>
    <n v="259700"/>
  </r>
  <r>
    <x v="429"/>
    <x v="0"/>
    <m/>
    <x v="18"/>
    <x v="2"/>
    <x v="125"/>
    <m/>
    <m/>
    <m/>
    <n v="27"/>
    <n v="201208"/>
    <n v="81000"/>
  </r>
  <r>
    <x v="429"/>
    <x v="0"/>
    <m/>
    <x v="0"/>
    <x v="2"/>
    <x v="141"/>
    <m/>
    <m/>
    <m/>
    <n v="1"/>
    <n v="201208"/>
    <n v="33000"/>
  </r>
  <r>
    <x v="429"/>
    <x v="0"/>
    <m/>
    <x v="4"/>
    <x v="2"/>
    <x v="142"/>
    <m/>
    <m/>
    <m/>
    <n v="2"/>
    <n v="201208"/>
    <n v="8000"/>
  </r>
  <r>
    <x v="429"/>
    <x v="0"/>
    <m/>
    <x v="4"/>
    <x v="2"/>
    <x v="143"/>
    <m/>
    <m/>
    <m/>
    <n v="10"/>
    <n v="201208"/>
    <n v="200000"/>
  </r>
  <r>
    <x v="429"/>
    <x v="0"/>
    <m/>
    <x v="4"/>
    <x v="2"/>
    <x v="144"/>
    <m/>
    <m/>
    <m/>
    <n v="4"/>
    <n v="201208"/>
    <n v="16000"/>
  </r>
  <r>
    <x v="429"/>
    <x v="0"/>
    <m/>
    <x v="31"/>
    <x v="2"/>
    <x v="145"/>
    <m/>
    <m/>
    <m/>
    <n v="44"/>
    <n v="201208"/>
    <n v="985600"/>
  </r>
  <r>
    <x v="429"/>
    <x v="0"/>
    <m/>
    <x v="31"/>
    <x v="2"/>
    <x v="146"/>
    <m/>
    <m/>
    <m/>
    <n v="77"/>
    <n v="201208"/>
    <n v="3018400"/>
  </r>
  <r>
    <x v="429"/>
    <x v="0"/>
    <m/>
    <x v="32"/>
    <x v="2"/>
    <x v="147"/>
    <m/>
    <m/>
    <m/>
    <n v="36"/>
    <n v="201208"/>
    <n v="1335600"/>
  </r>
  <r>
    <x v="429"/>
    <x v="0"/>
    <m/>
    <x v="31"/>
    <x v="2"/>
    <x v="146"/>
    <m/>
    <m/>
    <m/>
    <n v="2"/>
    <n v="201208"/>
    <n v="78400"/>
  </r>
  <r>
    <x v="429"/>
    <x v="0"/>
    <m/>
    <x v="0"/>
    <x v="2"/>
    <x v="149"/>
    <m/>
    <m/>
    <m/>
    <n v="2"/>
    <n v="201208"/>
    <n v="40000"/>
  </r>
  <r>
    <x v="429"/>
    <x v="0"/>
    <m/>
    <x v="18"/>
    <x v="2"/>
    <x v="166"/>
    <m/>
    <m/>
    <m/>
    <n v="1"/>
    <n v="201208"/>
    <n v="3000"/>
  </r>
  <r>
    <x v="429"/>
    <x v="0"/>
    <m/>
    <x v="22"/>
    <x v="2"/>
    <x v="150"/>
    <m/>
    <m/>
    <m/>
    <n v="5"/>
    <n v="201208"/>
    <n v="190000"/>
  </r>
  <r>
    <x v="429"/>
    <x v="0"/>
    <m/>
    <x v="22"/>
    <x v="2"/>
    <x v="150"/>
    <m/>
    <m/>
    <m/>
    <n v="1"/>
    <n v="201208"/>
    <n v="38000"/>
  </r>
  <r>
    <x v="429"/>
    <x v="0"/>
    <m/>
    <x v="5"/>
    <x v="2"/>
    <x v="151"/>
    <m/>
    <m/>
    <m/>
    <n v="18"/>
    <n v="201208"/>
    <n v="504000"/>
  </r>
  <r>
    <x v="429"/>
    <x v="0"/>
    <m/>
    <x v="5"/>
    <x v="2"/>
    <x v="152"/>
    <m/>
    <m/>
    <m/>
    <n v="8"/>
    <n v="201208"/>
    <n v="384000"/>
  </r>
  <r>
    <x v="429"/>
    <x v="0"/>
    <m/>
    <x v="5"/>
    <x v="2"/>
    <x v="153"/>
    <m/>
    <m/>
    <m/>
    <n v="3"/>
    <n v="201208"/>
    <n v="84000"/>
  </r>
  <r>
    <x v="429"/>
    <x v="0"/>
    <m/>
    <x v="33"/>
    <x v="2"/>
    <x v="155"/>
    <m/>
    <m/>
    <m/>
    <n v="2"/>
    <n v="201208"/>
    <n v="36400"/>
  </r>
  <r>
    <x v="429"/>
    <x v="0"/>
    <m/>
    <x v="33"/>
    <x v="2"/>
    <x v="156"/>
    <m/>
    <m/>
    <m/>
    <n v="2"/>
    <n v="201208"/>
    <n v="67600"/>
  </r>
  <r>
    <x v="429"/>
    <x v="0"/>
    <m/>
    <x v="19"/>
    <x v="2"/>
    <x v="157"/>
    <m/>
    <m/>
    <m/>
    <n v="11"/>
    <n v="201208"/>
    <n v="143000"/>
  </r>
  <r>
    <x v="429"/>
    <x v="0"/>
    <m/>
    <x v="19"/>
    <x v="2"/>
    <x v="158"/>
    <m/>
    <m/>
    <m/>
    <n v="1"/>
    <n v="201208"/>
    <n v="24000"/>
  </r>
  <r>
    <x v="429"/>
    <x v="0"/>
    <m/>
    <x v="19"/>
    <x v="2"/>
    <x v="159"/>
    <m/>
    <m/>
    <m/>
    <n v="1"/>
    <n v="201208"/>
    <n v="33000"/>
  </r>
  <r>
    <x v="429"/>
    <x v="0"/>
    <m/>
    <x v="35"/>
    <x v="2"/>
    <x v="160"/>
    <m/>
    <m/>
    <m/>
    <n v="5"/>
    <n v="201208"/>
    <n v="100000"/>
  </r>
  <r>
    <x v="429"/>
    <x v="0"/>
    <m/>
    <x v="18"/>
    <x v="2"/>
    <x v="161"/>
    <m/>
    <m/>
    <m/>
    <n v="16"/>
    <n v="201208"/>
    <n v="48000"/>
  </r>
  <r>
    <x v="429"/>
    <x v="0"/>
    <m/>
    <x v="18"/>
    <x v="2"/>
    <x v="161"/>
    <m/>
    <m/>
    <m/>
    <n v="5"/>
    <n v="201208"/>
    <n v="15000"/>
  </r>
  <r>
    <x v="429"/>
    <x v="0"/>
    <m/>
    <x v="31"/>
    <x v="9"/>
    <x v="167"/>
    <m/>
    <m/>
    <m/>
    <n v="1"/>
    <n v="201208"/>
    <n v="22400"/>
  </r>
  <r>
    <x v="429"/>
    <x v="0"/>
    <m/>
    <x v="0"/>
    <x v="9"/>
    <x v="162"/>
    <m/>
    <m/>
    <m/>
    <n v="7"/>
    <n v="201208"/>
    <n v="140000"/>
  </r>
  <r>
    <x v="430"/>
    <x v="2"/>
    <m/>
    <x v="0"/>
    <x v="1"/>
    <x v="123"/>
    <m/>
    <m/>
    <m/>
    <n v="3"/>
    <n v="201208"/>
    <n v="105000"/>
  </r>
  <r>
    <x v="430"/>
    <x v="2"/>
    <m/>
    <x v="0"/>
    <x v="7"/>
    <x v="163"/>
    <m/>
    <m/>
    <m/>
    <n v="1"/>
    <n v="201208"/>
    <n v="20000"/>
  </r>
  <r>
    <x v="430"/>
    <x v="2"/>
    <m/>
    <x v="0"/>
    <x v="3"/>
    <x v="164"/>
    <m/>
    <m/>
    <m/>
    <n v="3"/>
    <n v="201208"/>
    <n v="0"/>
  </r>
  <r>
    <x v="430"/>
    <x v="2"/>
    <m/>
    <x v="6"/>
    <x v="2"/>
    <x v="126"/>
    <m/>
    <m/>
    <m/>
    <n v="4"/>
    <n v="201208"/>
    <n v="80000"/>
  </r>
  <r>
    <x v="430"/>
    <x v="2"/>
    <m/>
    <x v="6"/>
    <x v="2"/>
    <x v="127"/>
    <m/>
    <m/>
    <m/>
    <n v="1"/>
    <n v="201208"/>
    <n v="35000"/>
  </r>
  <r>
    <x v="430"/>
    <x v="2"/>
    <m/>
    <x v="34"/>
    <x v="2"/>
    <x v="128"/>
    <m/>
    <m/>
    <m/>
    <n v="19"/>
    <n v="201208"/>
    <n v="704900"/>
  </r>
  <r>
    <x v="430"/>
    <x v="2"/>
    <m/>
    <x v="25"/>
    <x v="2"/>
    <x v="129"/>
    <m/>
    <m/>
    <m/>
    <n v="2"/>
    <n v="201208"/>
    <n v="198000"/>
  </r>
  <r>
    <x v="430"/>
    <x v="2"/>
    <m/>
    <x v="0"/>
    <x v="2"/>
    <x v="130"/>
    <m/>
    <m/>
    <m/>
    <n v="22"/>
    <n v="201208"/>
    <n v="726000"/>
  </r>
  <r>
    <x v="430"/>
    <x v="2"/>
    <m/>
    <x v="0"/>
    <x v="2"/>
    <x v="131"/>
    <m/>
    <m/>
    <m/>
    <n v="2"/>
    <n v="201208"/>
    <n v="66000"/>
  </r>
  <r>
    <x v="430"/>
    <x v="2"/>
    <m/>
    <x v="0"/>
    <x v="2"/>
    <x v="168"/>
    <m/>
    <m/>
    <m/>
    <n v="1"/>
    <n v="201208"/>
    <n v="20000"/>
  </r>
  <r>
    <x v="430"/>
    <x v="2"/>
    <m/>
    <x v="30"/>
    <x v="2"/>
    <x v="132"/>
    <m/>
    <m/>
    <m/>
    <n v="5"/>
    <n v="201208"/>
    <n v="112000"/>
  </r>
  <r>
    <x v="430"/>
    <x v="2"/>
    <m/>
    <x v="30"/>
    <x v="2"/>
    <x v="133"/>
    <m/>
    <m/>
    <m/>
    <n v="1"/>
    <n v="201208"/>
    <n v="39200"/>
  </r>
  <r>
    <x v="430"/>
    <x v="2"/>
    <m/>
    <x v="36"/>
    <x v="2"/>
    <x v="136"/>
    <m/>
    <m/>
    <m/>
    <n v="4"/>
    <n v="201208"/>
    <n v="112000"/>
  </r>
  <r>
    <x v="430"/>
    <x v="2"/>
    <m/>
    <x v="0"/>
    <x v="2"/>
    <x v="138"/>
    <m/>
    <m/>
    <m/>
    <n v="35"/>
    <n v="201208"/>
    <n v="700000"/>
  </r>
  <r>
    <x v="430"/>
    <x v="2"/>
    <m/>
    <x v="0"/>
    <x v="2"/>
    <x v="139"/>
    <m/>
    <m/>
    <m/>
    <n v="20"/>
    <n v="201208"/>
    <n v="700000"/>
  </r>
  <r>
    <x v="430"/>
    <x v="2"/>
    <m/>
    <x v="32"/>
    <x v="2"/>
    <x v="140"/>
    <m/>
    <m/>
    <m/>
    <n v="11"/>
    <n v="201208"/>
    <n v="408100"/>
  </r>
  <r>
    <x v="430"/>
    <x v="2"/>
    <m/>
    <x v="18"/>
    <x v="2"/>
    <x v="125"/>
    <m/>
    <m/>
    <m/>
    <n v="14"/>
    <n v="201208"/>
    <n v="42000"/>
  </r>
  <r>
    <x v="430"/>
    <x v="2"/>
    <m/>
    <x v="0"/>
    <x v="2"/>
    <x v="139"/>
    <m/>
    <m/>
    <m/>
    <n v="1"/>
    <n v="201208"/>
    <n v="35000"/>
  </r>
  <r>
    <x v="430"/>
    <x v="2"/>
    <m/>
    <x v="0"/>
    <x v="2"/>
    <x v="141"/>
    <m/>
    <m/>
    <m/>
    <n v="2"/>
    <n v="201208"/>
    <n v="66000"/>
  </r>
  <r>
    <x v="430"/>
    <x v="2"/>
    <m/>
    <x v="4"/>
    <x v="2"/>
    <x v="142"/>
    <m/>
    <m/>
    <m/>
    <n v="3"/>
    <n v="201208"/>
    <n v="12000"/>
  </r>
  <r>
    <x v="430"/>
    <x v="2"/>
    <m/>
    <x v="4"/>
    <x v="2"/>
    <x v="143"/>
    <m/>
    <m/>
    <m/>
    <n v="3"/>
    <n v="201208"/>
    <n v="60000"/>
  </r>
  <r>
    <x v="430"/>
    <x v="2"/>
    <m/>
    <x v="4"/>
    <x v="2"/>
    <x v="144"/>
    <m/>
    <m/>
    <m/>
    <n v="3"/>
    <n v="201208"/>
    <n v="12000"/>
  </r>
  <r>
    <x v="430"/>
    <x v="2"/>
    <m/>
    <x v="31"/>
    <x v="2"/>
    <x v="145"/>
    <m/>
    <m/>
    <m/>
    <n v="44"/>
    <n v="201208"/>
    <n v="985600"/>
  </r>
  <r>
    <x v="430"/>
    <x v="2"/>
    <m/>
    <x v="31"/>
    <x v="2"/>
    <x v="146"/>
    <m/>
    <m/>
    <m/>
    <n v="60"/>
    <n v="201208"/>
    <n v="2352000"/>
  </r>
  <r>
    <x v="430"/>
    <x v="2"/>
    <m/>
    <x v="32"/>
    <x v="2"/>
    <x v="147"/>
    <m/>
    <m/>
    <m/>
    <n v="21"/>
    <n v="201208"/>
    <n v="779100"/>
  </r>
  <r>
    <x v="430"/>
    <x v="2"/>
    <m/>
    <x v="31"/>
    <x v="2"/>
    <x v="146"/>
    <m/>
    <m/>
    <m/>
    <n v="1"/>
    <n v="201208"/>
    <n v="39200"/>
  </r>
  <r>
    <x v="430"/>
    <x v="2"/>
    <m/>
    <x v="32"/>
    <x v="2"/>
    <x v="147"/>
    <m/>
    <m/>
    <m/>
    <n v="1"/>
    <n v="201208"/>
    <n v="37100"/>
  </r>
  <r>
    <x v="430"/>
    <x v="2"/>
    <m/>
    <x v="22"/>
    <x v="2"/>
    <x v="150"/>
    <m/>
    <m/>
    <m/>
    <n v="3"/>
    <n v="201208"/>
    <n v="114000"/>
  </r>
  <r>
    <x v="430"/>
    <x v="2"/>
    <m/>
    <x v="22"/>
    <x v="2"/>
    <x v="150"/>
    <m/>
    <m/>
    <m/>
    <n v="2"/>
    <n v="201208"/>
    <n v="76000"/>
  </r>
  <r>
    <x v="430"/>
    <x v="2"/>
    <m/>
    <x v="5"/>
    <x v="2"/>
    <x v="151"/>
    <m/>
    <m/>
    <m/>
    <n v="17"/>
    <n v="201208"/>
    <n v="476000"/>
  </r>
  <r>
    <x v="430"/>
    <x v="2"/>
    <m/>
    <x v="5"/>
    <x v="2"/>
    <x v="152"/>
    <m/>
    <m/>
    <m/>
    <n v="10"/>
    <n v="201208"/>
    <n v="480000"/>
  </r>
  <r>
    <x v="430"/>
    <x v="2"/>
    <m/>
    <x v="5"/>
    <x v="2"/>
    <x v="153"/>
    <m/>
    <m/>
    <m/>
    <n v="1"/>
    <n v="201208"/>
    <n v="28000"/>
  </r>
  <r>
    <x v="430"/>
    <x v="2"/>
    <m/>
    <x v="33"/>
    <x v="2"/>
    <x v="155"/>
    <m/>
    <m/>
    <m/>
    <n v="3"/>
    <n v="201208"/>
    <n v="54600"/>
  </r>
  <r>
    <x v="430"/>
    <x v="2"/>
    <m/>
    <x v="19"/>
    <x v="2"/>
    <x v="157"/>
    <m/>
    <m/>
    <m/>
    <n v="9"/>
    <n v="201208"/>
    <n v="117000"/>
  </r>
  <r>
    <x v="430"/>
    <x v="2"/>
    <m/>
    <x v="19"/>
    <x v="2"/>
    <x v="158"/>
    <m/>
    <m/>
    <m/>
    <n v="3"/>
    <n v="201208"/>
    <n v="72000"/>
  </r>
  <r>
    <x v="430"/>
    <x v="2"/>
    <m/>
    <x v="19"/>
    <x v="2"/>
    <x v="159"/>
    <m/>
    <m/>
    <m/>
    <n v="3"/>
    <n v="201208"/>
    <n v="99000"/>
  </r>
  <r>
    <x v="430"/>
    <x v="2"/>
    <m/>
    <x v="35"/>
    <x v="2"/>
    <x v="160"/>
    <m/>
    <m/>
    <m/>
    <n v="2"/>
    <n v="201208"/>
    <n v="40000"/>
  </r>
  <r>
    <x v="430"/>
    <x v="2"/>
    <m/>
    <x v="18"/>
    <x v="2"/>
    <x v="161"/>
    <m/>
    <m/>
    <m/>
    <n v="27"/>
    <n v="201208"/>
    <n v="81000"/>
  </r>
  <r>
    <x v="430"/>
    <x v="2"/>
    <m/>
    <x v="18"/>
    <x v="2"/>
    <x v="161"/>
    <m/>
    <m/>
    <m/>
    <n v="1"/>
    <n v="201208"/>
    <n v="3000"/>
  </r>
  <r>
    <x v="430"/>
    <x v="2"/>
    <m/>
    <x v="0"/>
    <x v="9"/>
    <x v="162"/>
    <m/>
    <m/>
    <m/>
    <n v="1"/>
    <n v="201208"/>
    <n v="20000"/>
  </r>
  <r>
    <x v="431"/>
    <x v="5"/>
    <m/>
    <x v="0"/>
    <x v="7"/>
    <x v="163"/>
    <m/>
    <m/>
    <m/>
    <n v="2"/>
    <n v="201208"/>
    <n v="40000"/>
  </r>
  <r>
    <x v="431"/>
    <x v="5"/>
    <m/>
    <x v="6"/>
    <x v="2"/>
    <x v="126"/>
    <m/>
    <m/>
    <m/>
    <n v="2"/>
    <n v="201208"/>
    <n v="40000"/>
  </r>
  <r>
    <x v="431"/>
    <x v="5"/>
    <m/>
    <x v="6"/>
    <x v="2"/>
    <x v="127"/>
    <m/>
    <m/>
    <m/>
    <n v="1"/>
    <n v="201208"/>
    <n v="35000"/>
  </r>
  <r>
    <x v="431"/>
    <x v="5"/>
    <m/>
    <x v="34"/>
    <x v="2"/>
    <x v="128"/>
    <m/>
    <m/>
    <m/>
    <n v="16"/>
    <n v="201208"/>
    <n v="593600"/>
  </r>
  <r>
    <x v="431"/>
    <x v="5"/>
    <m/>
    <x v="25"/>
    <x v="2"/>
    <x v="129"/>
    <m/>
    <m/>
    <m/>
    <n v="2"/>
    <n v="201208"/>
    <n v="198000"/>
  </r>
  <r>
    <x v="431"/>
    <x v="5"/>
    <m/>
    <x v="0"/>
    <x v="2"/>
    <x v="130"/>
    <m/>
    <m/>
    <m/>
    <n v="13"/>
    <n v="201208"/>
    <n v="429000"/>
  </r>
  <r>
    <x v="431"/>
    <x v="5"/>
    <m/>
    <x v="0"/>
    <x v="2"/>
    <x v="131"/>
    <m/>
    <m/>
    <m/>
    <n v="2"/>
    <n v="201208"/>
    <n v="66000"/>
  </r>
  <r>
    <x v="431"/>
    <x v="5"/>
    <m/>
    <x v="30"/>
    <x v="2"/>
    <x v="132"/>
    <m/>
    <m/>
    <m/>
    <n v="6"/>
    <n v="201208"/>
    <n v="134400"/>
  </r>
  <r>
    <x v="431"/>
    <x v="5"/>
    <m/>
    <x v="30"/>
    <x v="2"/>
    <x v="133"/>
    <m/>
    <m/>
    <m/>
    <n v="1"/>
    <n v="201208"/>
    <n v="39200"/>
  </r>
  <r>
    <x v="431"/>
    <x v="5"/>
    <m/>
    <x v="1"/>
    <x v="2"/>
    <x v="135"/>
    <m/>
    <m/>
    <m/>
    <n v="3"/>
    <n v="201208"/>
    <n v="60000"/>
  </r>
  <r>
    <x v="431"/>
    <x v="5"/>
    <m/>
    <x v="1"/>
    <x v="2"/>
    <x v="165"/>
    <m/>
    <m/>
    <m/>
    <n v="2"/>
    <n v="201208"/>
    <n v="70000"/>
  </r>
  <r>
    <x v="431"/>
    <x v="5"/>
    <m/>
    <x v="36"/>
    <x v="2"/>
    <x v="136"/>
    <m/>
    <m/>
    <m/>
    <n v="2"/>
    <n v="201208"/>
    <n v="56000"/>
  </r>
  <r>
    <x v="431"/>
    <x v="5"/>
    <m/>
    <x v="36"/>
    <x v="2"/>
    <x v="137"/>
    <m/>
    <m/>
    <m/>
    <n v="3"/>
    <n v="201208"/>
    <n v="126000"/>
  </r>
  <r>
    <x v="431"/>
    <x v="5"/>
    <m/>
    <x v="0"/>
    <x v="2"/>
    <x v="138"/>
    <m/>
    <m/>
    <m/>
    <n v="35"/>
    <n v="201208"/>
    <n v="700000"/>
  </r>
  <r>
    <x v="431"/>
    <x v="5"/>
    <m/>
    <x v="0"/>
    <x v="2"/>
    <x v="139"/>
    <m/>
    <m/>
    <m/>
    <n v="13"/>
    <n v="201208"/>
    <n v="455000"/>
  </r>
  <r>
    <x v="431"/>
    <x v="5"/>
    <m/>
    <x v="32"/>
    <x v="2"/>
    <x v="140"/>
    <m/>
    <m/>
    <m/>
    <n v="7"/>
    <n v="201208"/>
    <n v="259700"/>
  </r>
  <r>
    <x v="431"/>
    <x v="5"/>
    <m/>
    <x v="18"/>
    <x v="2"/>
    <x v="125"/>
    <m/>
    <m/>
    <m/>
    <n v="16"/>
    <n v="201208"/>
    <n v="48000"/>
  </r>
  <r>
    <x v="431"/>
    <x v="5"/>
    <m/>
    <x v="0"/>
    <x v="2"/>
    <x v="138"/>
    <m/>
    <m/>
    <m/>
    <n v="1"/>
    <n v="201208"/>
    <n v="20000"/>
  </r>
  <r>
    <x v="431"/>
    <x v="5"/>
    <m/>
    <x v="32"/>
    <x v="2"/>
    <x v="140"/>
    <m/>
    <m/>
    <m/>
    <n v="1"/>
    <n v="201208"/>
    <n v="37100"/>
  </r>
  <r>
    <x v="431"/>
    <x v="5"/>
    <m/>
    <x v="4"/>
    <x v="2"/>
    <x v="142"/>
    <m/>
    <m/>
    <m/>
    <n v="2"/>
    <n v="201208"/>
    <n v="8000"/>
  </r>
  <r>
    <x v="431"/>
    <x v="5"/>
    <m/>
    <x v="4"/>
    <x v="2"/>
    <x v="143"/>
    <m/>
    <m/>
    <m/>
    <n v="4"/>
    <n v="201208"/>
    <n v="80000"/>
  </r>
  <r>
    <x v="431"/>
    <x v="5"/>
    <m/>
    <x v="31"/>
    <x v="2"/>
    <x v="145"/>
    <m/>
    <m/>
    <m/>
    <n v="39"/>
    <n v="201208"/>
    <n v="873600"/>
  </r>
  <r>
    <x v="431"/>
    <x v="5"/>
    <m/>
    <x v="31"/>
    <x v="2"/>
    <x v="146"/>
    <m/>
    <m/>
    <m/>
    <n v="39"/>
    <n v="201208"/>
    <n v="1528800"/>
  </r>
  <r>
    <x v="431"/>
    <x v="5"/>
    <m/>
    <x v="32"/>
    <x v="2"/>
    <x v="147"/>
    <m/>
    <m/>
    <m/>
    <n v="15"/>
    <n v="201208"/>
    <n v="556500"/>
  </r>
  <r>
    <x v="431"/>
    <x v="5"/>
    <m/>
    <x v="31"/>
    <x v="2"/>
    <x v="146"/>
    <m/>
    <m/>
    <m/>
    <n v="1"/>
    <n v="201208"/>
    <n v="39200"/>
  </r>
  <r>
    <x v="431"/>
    <x v="5"/>
    <m/>
    <x v="0"/>
    <x v="2"/>
    <x v="149"/>
    <m/>
    <m/>
    <m/>
    <n v="1"/>
    <n v="201208"/>
    <n v="20000"/>
  </r>
  <r>
    <x v="431"/>
    <x v="5"/>
    <m/>
    <x v="18"/>
    <x v="2"/>
    <x v="166"/>
    <m/>
    <m/>
    <m/>
    <n v="1"/>
    <n v="201208"/>
    <n v="3000"/>
  </r>
  <r>
    <x v="431"/>
    <x v="5"/>
    <m/>
    <x v="32"/>
    <x v="2"/>
    <x v="169"/>
    <m/>
    <m/>
    <m/>
    <n v="1"/>
    <n v="201208"/>
    <n v="37100"/>
  </r>
  <r>
    <x v="431"/>
    <x v="5"/>
    <m/>
    <x v="22"/>
    <x v="2"/>
    <x v="150"/>
    <m/>
    <m/>
    <m/>
    <n v="4"/>
    <n v="201208"/>
    <n v="152000"/>
  </r>
  <r>
    <x v="431"/>
    <x v="5"/>
    <m/>
    <x v="22"/>
    <x v="2"/>
    <x v="150"/>
    <m/>
    <m/>
    <m/>
    <n v="1"/>
    <n v="201208"/>
    <n v="38000"/>
  </r>
  <r>
    <x v="431"/>
    <x v="5"/>
    <m/>
    <x v="5"/>
    <x v="2"/>
    <x v="151"/>
    <m/>
    <m/>
    <m/>
    <n v="14"/>
    <n v="201208"/>
    <n v="392000"/>
  </r>
  <r>
    <x v="431"/>
    <x v="5"/>
    <m/>
    <x v="5"/>
    <x v="2"/>
    <x v="152"/>
    <m/>
    <m/>
    <m/>
    <n v="4"/>
    <n v="201208"/>
    <n v="192000"/>
  </r>
  <r>
    <x v="431"/>
    <x v="5"/>
    <m/>
    <x v="5"/>
    <x v="2"/>
    <x v="153"/>
    <m/>
    <m/>
    <m/>
    <n v="1"/>
    <n v="201208"/>
    <n v="28000"/>
  </r>
  <r>
    <x v="431"/>
    <x v="5"/>
    <m/>
    <x v="19"/>
    <x v="2"/>
    <x v="157"/>
    <m/>
    <m/>
    <m/>
    <n v="7"/>
    <n v="201208"/>
    <n v="91000"/>
  </r>
  <r>
    <x v="431"/>
    <x v="5"/>
    <m/>
    <x v="19"/>
    <x v="2"/>
    <x v="158"/>
    <m/>
    <m/>
    <m/>
    <n v="4"/>
    <n v="201208"/>
    <n v="96000"/>
  </r>
  <r>
    <x v="431"/>
    <x v="5"/>
    <m/>
    <x v="35"/>
    <x v="2"/>
    <x v="170"/>
    <m/>
    <m/>
    <m/>
    <n v="1"/>
    <n v="201208"/>
    <n v="4000"/>
  </r>
  <r>
    <x v="431"/>
    <x v="5"/>
    <m/>
    <x v="35"/>
    <x v="2"/>
    <x v="160"/>
    <m/>
    <m/>
    <m/>
    <n v="1"/>
    <n v="201208"/>
    <n v="20000"/>
  </r>
  <r>
    <x v="431"/>
    <x v="5"/>
    <m/>
    <x v="18"/>
    <x v="2"/>
    <x v="161"/>
    <m/>
    <m/>
    <m/>
    <n v="20"/>
    <n v="201208"/>
    <n v="60000"/>
  </r>
  <r>
    <x v="431"/>
    <x v="5"/>
    <m/>
    <x v="0"/>
    <x v="9"/>
    <x v="162"/>
    <m/>
    <m/>
    <m/>
    <n v="4"/>
    <n v="201208"/>
    <n v="80000"/>
  </r>
  <r>
    <x v="432"/>
    <x v="6"/>
    <m/>
    <x v="0"/>
    <x v="7"/>
    <x v="163"/>
    <m/>
    <m/>
    <m/>
    <n v="5"/>
    <n v="201208"/>
    <n v="100000"/>
  </r>
  <r>
    <x v="432"/>
    <x v="6"/>
    <m/>
    <x v="6"/>
    <x v="2"/>
    <x v="126"/>
    <m/>
    <m/>
    <m/>
    <n v="4"/>
    <n v="201208"/>
    <n v="80000"/>
  </r>
  <r>
    <x v="432"/>
    <x v="6"/>
    <m/>
    <x v="6"/>
    <x v="2"/>
    <x v="127"/>
    <m/>
    <m/>
    <m/>
    <n v="1"/>
    <n v="201208"/>
    <n v="35000"/>
  </r>
  <r>
    <x v="432"/>
    <x v="6"/>
    <m/>
    <x v="34"/>
    <x v="2"/>
    <x v="128"/>
    <m/>
    <m/>
    <m/>
    <n v="25"/>
    <n v="201208"/>
    <n v="927500"/>
  </r>
  <r>
    <x v="432"/>
    <x v="6"/>
    <m/>
    <x v="25"/>
    <x v="2"/>
    <x v="129"/>
    <m/>
    <m/>
    <m/>
    <n v="5"/>
    <n v="201208"/>
    <n v="495000"/>
  </r>
  <r>
    <x v="432"/>
    <x v="6"/>
    <m/>
    <x v="0"/>
    <x v="2"/>
    <x v="130"/>
    <m/>
    <m/>
    <m/>
    <n v="36"/>
    <n v="201208"/>
    <n v="1188000"/>
  </r>
  <r>
    <x v="432"/>
    <x v="6"/>
    <m/>
    <x v="0"/>
    <x v="2"/>
    <x v="131"/>
    <m/>
    <m/>
    <m/>
    <n v="1"/>
    <n v="201208"/>
    <n v="33000"/>
  </r>
  <r>
    <x v="432"/>
    <x v="6"/>
    <m/>
    <x v="30"/>
    <x v="2"/>
    <x v="132"/>
    <m/>
    <m/>
    <m/>
    <n v="6"/>
    <n v="201208"/>
    <n v="134400"/>
  </r>
  <r>
    <x v="432"/>
    <x v="6"/>
    <m/>
    <x v="34"/>
    <x v="2"/>
    <x v="134"/>
    <m/>
    <m/>
    <m/>
    <n v="2"/>
    <n v="201208"/>
    <n v="74200"/>
  </r>
  <r>
    <x v="432"/>
    <x v="6"/>
    <m/>
    <x v="1"/>
    <x v="2"/>
    <x v="135"/>
    <m/>
    <m/>
    <m/>
    <n v="5"/>
    <n v="201208"/>
    <n v="100000"/>
  </r>
  <r>
    <x v="432"/>
    <x v="6"/>
    <m/>
    <x v="1"/>
    <x v="2"/>
    <x v="165"/>
    <m/>
    <m/>
    <m/>
    <n v="2"/>
    <n v="201208"/>
    <n v="70000"/>
  </r>
  <r>
    <x v="432"/>
    <x v="6"/>
    <m/>
    <x v="36"/>
    <x v="2"/>
    <x v="136"/>
    <m/>
    <m/>
    <m/>
    <n v="5"/>
    <n v="201208"/>
    <n v="140000"/>
  </r>
  <r>
    <x v="432"/>
    <x v="6"/>
    <m/>
    <x v="36"/>
    <x v="2"/>
    <x v="137"/>
    <m/>
    <m/>
    <m/>
    <n v="1"/>
    <n v="201208"/>
    <n v="42000"/>
  </r>
  <r>
    <x v="432"/>
    <x v="6"/>
    <m/>
    <x v="0"/>
    <x v="2"/>
    <x v="138"/>
    <m/>
    <m/>
    <m/>
    <n v="50"/>
    <n v="201208"/>
    <n v="1000000"/>
  </r>
  <r>
    <x v="432"/>
    <x v="6"/>
    <m/>
    <x v="0"/>
    <x v="2"/>
    <x v="139"/>
    <m/>
    <m/>
    <m/>
    <n v="21"/>
    <n v="201208"/>
    <n v="735000"/>
  </r>
  <r>
    <x v="432"/>
    <x v="6"/>
    <m/>
    <x v="32"/>
    <x v="2"/>
    <x v="140"/>
    <m/>
    <m/>
    <m/>
    <n v="11"/>
    <n v="201208"/>
    <n v="408100"/>
  </r>
  <r>
    <x v="432"/>
    <x v="6"/>
    <m/>
    <x v="18"/>
    <x v="2"/>
    <x v="125"/>
    <m/>
    <m/>
    <m/>
    <n v="26"/>
    <n v="201208"/>
    <n v="78000"/>
  </r>
  <r>
    <x v="432"/>
    <x v="6"/>
    <m/>
    <x v="0"/>
    <x v="2"/>
    <x v="138"/>
    <m/>
    <m/>
    <m/>
    <n v="1"/>
    <n v="201208"/>
    <n v="20000"/>
  </r>
  <r>
    <x v="432"/>
    <x v="6"/>
    <m/>
    <x v="0"/>
    <x v="2"/>
    <x v="141"/>
    <m/>
    <m/>
    <m/>
    <n v="1"/>
    <n v="201208"/>
    <n v="33000"/>
  </r>
  <r>
    <x v="432"/>
    <x v="6"/>
    <m/>
    <x v="4"/>
    <x v="2"/>
    <x v="142"/>
    <m/>
    <m/>
    <m/>
    <n v="2"/>
    <n v="201208"/>
    <n v="8000"/>
  </r>
  <r>
    <x v="432"/>
    <x v="6"/>
    <m/>
    <x v="4"/>
    <x v="2"/>
    <x v="143"/>
    <m/>
    <m/>
    <m/>
    <n v="6"/>
    <n v="201208"/>
    <n v="120000"/>
  </r>
  <r>
    <x v="432"/>
    <x v="6"/>
    <m/>
    <x v="4"/>
    <x v="2"/>
    <x v="144"/>
    <m/>
    <m/>
    <m/>
    <n v="5"/>
    <n v="201208"/>
    <n v="20000"/>
  </r>
  <r>
    <x v="432"/>
    <x v="6"/>
    <m/>
    <x v="31"/>
    <x v="2"/>
    <x v="145"/>
    <m/>
    <m/>
    <m/>
    <n v="51"/>
    <n v="201208"/>
    <n v="1142400"/>
  </r>
  <r>
    <x v="432"/>
    <x v="6"/>
    <m/>
    <x v="31"/>
    <x v="2"/>
    <x v="146"/>
    <m/>
    <m/>
    <m/>
    <n v="44"/>
    <n v="201208"/>
    <n v="1724800"/>
  </r>
  <r>
    <x v="432"/>
    <x v="6"/>
    <m/>
    <x v="32"/>
    <x v="2"/>
    <x v="147"/>
    <m/>
    <m/>
    <m/>
    <n v="25"/>
    <n v="201208"/>
    <n v="927500"/>
  </r>
  <r>
    <x v="432"/>
    <x v="6"/>
    <m/>
    <x v="31"/>
    <x v="2"/>
    <x v="145"/>
    <m/>
    <m/>
    <m/>
    <n v="1"/>
    <n v="201208"/>
    <n v="22400"/>
  </r>
  <r>
    <x v="432"/>
    <x v="6"/>
    <m/>
    <x v="32"/>
    <x v="2"/>
    <x v="147"/>
    <m/>
    <m/>
    <m/>
    <n v="1"/>
    <n v="201208"/>
    <n v="37100"/>
  </r>
  <r>
    <x v="432"/>
    <x v="6"/>
    <m/>
    <x v="0"/>
    <x v="2"/>
    <x v="148"/>
    <m/>
    <m/>
    <m/>
    <n v="3"/>
    <n v="201208"/>
    <n v="60000"/>
  </r>
  <r>
    <x v="432"/>
    <x v="6"/>
    <m/>
    <x v="22"/>
    <x v="2"/>
    <x v="150"/>
    <m/>
    <m/>
    <m/>
    <n v="8"/>
    <n v="201208"/>
    <n v="304000"/>
  </r>
  <r>
    <x v="432"/>
    <x v="6"/>
    <m/>
    <x v="22"/>
    <x v="2"/>
    <x v="150"/>
    <m/>
    <m/>
    <m/>
    <n v="4"/>
    <n v="201208"/>
    <n v="152000"/>
  </r>
  <r>
    <x v="432"/>
    <x v="6"/>
    <m/>
    <x v="5"/>
    <x v="2"/>
    <x v="151"/>
    <m/>
    <m/>
    <m/>
    <n v="20"/>
    <n v="201208"/>
    <n v="560000"/>
  </r>
  <r>
    <x v="432"/>
    <x v="6"/>
    <m/>
    <x v="5"/>
    <x v="2"/>
    <x v="152"/>
    <m/>
    <m/>
    <m/>
    <n v="3"/>
    <n v="201208"/>
    <n v="144000"/>
  </r>
  <r>
    <x v="432"/>
    <x v="6"/>
    <m/>
    <x v="5"/>
    <x v="2"/>
    <x v="153"/>
    <m/>
    <m/>
    <m/>
    <n v="4"/>
    <n v="201208"/>
    <n v="112000"/>
  </r>
  <r>
    <x v="432"/>
    <x v="6"/>
    <m/>
    <x v="5"/>
    <x v="2"/>
    <x v="154"/>
    <m/>
    <m/>
    <m/>
    <n v="1"/>
    <n v="201208"/>
    <n v="28000"/>
  </r>
  <r>
    <x v="432"/>
    <x v="6"/>
    <m/>
    <x v="33"/>
    <x v="2"/>
    <x v="155"/>
    <m/>
    <m/>
    <m/>
    <n v="3"/>
    <n v="201208"/>
    <n v="54600"/>
  </r>
  <r>
    <x v="432"/>
    <x v="6"/>
    <m/>
    <x v="33"/>
    <x v="2"/>
    <x v="156"/>
    <m/>
    <m/>
    <m/>
    <n v="2"/>
    <n v="201208"/>
    <n v="67600"/>
  </r>
  <r>
    <x v="432"/>
    <x v="6"/>
    <m/>
    <x v="19"/>
    <x v="2"/>
    <x v="157"/>
    <m/>
    <m/>
    <m/>
    <n v="14"/>
    <n v="201208"/>
    <n v="182000"/>
  </r>
  <r>
    <x v="432"/>
    <x v="6"/>
    <m/>
    <x v="19"/>
    <x v="2"/>
    <x v="158"/>
    <m/>
    <m/>
    <m/>
    <n v="1"/>
    <n v="201208"/>
    <n v="24000"/>
  </r>
  <r>
    <x v="432"/>
    <x v="6"/>
    <m/>
    <x v="19"/>
    <x v="2"/>
    <x v="159"/>
    <m/>
    <m/>
    <m/>
    <n v="1"/>
    <n v="201208"/>
    <n v="33000"/>
  </r>
  <r>
    <x v="432"/>
    <x v="6"/>
    <m/>
    <x v="35"/>
    <x v="2"/>
    <x v="170"/>
    <m/>
    <m/>
    <m/>
    <n v="1"/>
    <n v="201208"/>
    <n v="4000"/>
  </r>
  <r>
    <x v="432"/>
    <x v="6"/>
    <m/>
    <x v="35"/>
    <x v="2"/>
    <x v="160"/>
    <m/>
    <m/>
    <m/>
    <n v="2"/>
    <n v="201208"/>
    <n v="40000"/>
  </r>
  <r>
    <x v="432"/>
    <x v="6"/>
    <m/>
    <x v="18"/>
    <x v="2"/>
    <x v="161"/>
    <m/>
    <m/>
    <m/>
    <n v="36"/>
    <n v="201208"/>
    <n v="108000"/>
  </r>
  <r>
    <x v="432"/>
    <x v="6"/>
    <m/>
    <x v="30"/>
    <x v="9"/>
    <x v="171"/>
    <m/>
    <m/>
    <m/>
    <n v="1"/>
    <n v="201208"/>
    <n v="22400"/>
  </r>
  <r>
    <x v="432"/>
    <x v="6"/>
    <m/>
    <x v="0"/>
    <x v="9"/>
    <x v="162"/>
    <m/>
    <m/>
    <m/>
    <n v="5"/>
    <n v="201208"/>
    <n v="100000"/>
  </r>
  <r>
    <x v="433"/>
    <x v="3"/>
    <m/>
    <x v="0"/>
    <x v="1"/>
    <x v="123"/>
    <m/>
    <m/>
    <m/>
    <n v="8"/>
    <n v="201208"/>
    <n v="280000"/>
  </r>
  <r>
    <x v="433"/>
    <x v="3"/>
    <m/>
    <x v="0"/>
    <x v="1"/>
    <x v="124"/>
    <m/>
    <m/>
    <m/>
    <n v="3"/>
    <n v="201208"/>
    <n v="60000"/>
  </r>
  <r>
    <x v="433"/>
    <x v="3"/>
    <m/>
    <x v="6"/>
    <x v="5"/>
    <x v="172"/>
    <m/>
    <m/>
    <m/>
    <n v="10"/>
    <n v="201208"/>
    <n v="200000"/>
  </r>
  <r>
    <x v="433"/>
    <x v="3"/>
    <m/>
    <x v="0"/>
    <x v="7"/>
    <x v="163"/>
    <m/>
    <m/>
    <m/>
    <n v="4"/>
    <n v="201208"/>
    <n v="80000"/>
  </r>
  <r>
    <x v="433"/>
    <x v="3"/>
    <m/>
    <x v="36"/>
    <x v="3"/>
    <x v="173"/>
    <m/>
    <m/>
    <m/>
    <n v="2"/>
    <n v="201208"/>
    <n v="0"/>
  </r>
  <r>
    <x v="433"/>
    <x v="3"/>
    <m/>
    <x v="0"/>
    <x v="3"/>
    <x v="164"/>
    <m/>
    <m/>
    <m/>
    <n v="10"/>
    <n v="201208"/>
    <n v="0"/>
  </r>
  <r>
    <x v="433"/>
    <x v="3"/>
    <m/>
    <x v="6"/>
    <x v="2"/>
    <x v="126"/>
    <m/>
    <m/>
    <m/>
    <n v="6"/>
    <n v="201208"/>
    <n v="120000"/>
  </r>
  <r>
    <x v="433"/>
    <x v="3"/>
    <m/>
    <x v="34"/>
    <x v="2"/>
    <x v="128"/>
    <m/>
    <m/>
    <m/>
    <n v="37"/>
    <n v="201208"/>
    <n v="1372700"/>
  </r>
  <r>
    <x v="433"/>
    <x v="3"/>
    <m/>
    <x v="25"/>
    <x v="2"/>
    <x v="129"/>
    <m/>
    <m/>
    <m/>
    <n v="7"/>
    <n v="201208"/>
    <n v="693000"/>
  </r>
  <r>
    <x v="433"/>
    <x v="3"/>
    <m/>
    <x v="0"/>
    <x v="2"/>
    <x v="130"/>
    <m/>
    <m/>
    <m/>
    <n v="68"/>
    <n v="201208"/>
    <n v="2244000"/>
  </r>
  <r>
    <x v="433"/>
    <x v="3"/>
    <m/>
    <x v="0"/>
    <x v="2"/>
    <x v="131"/>
    <m/>
    <m/>
    <m/>
    <n v="4"/>
    <n v="201208"/>
    <n v="132000"/>
  </r>
  <r>
    <x v="433"/>
    <x v="3"/>
    <m/>
    <x v="30"/>
    <x v="2"/>
    <x v="132"/>
    <m/>
    <m/>
    <m/>
    <n v="11"/>
    <n v="201208"/>
    <n v="246400"/>
  </r>
  <r>
    <x v="433"/>
    <x v="3"/>
    <m/>
    <x v="34"/>
    <x v="2"/>
    <x v="134"/>
    <m/>
    <m/>
    <m/>
    <n v="1"/>
    <n v="201208"/>
    <n v="37100"/>
  </r>
  <r>
    <x v="433"/>
    <x v="3"/>
    <m/>
    <x v="1"/>
    <x v="2"/>
    <x v="135"/>
    <m/>
    <m/>
    <m/>
    <n v="4"/>
    <n v="201208"/>
    <n v="80000"/>
  </r>
  <r>
    <x v="433"/>
    <x v="3"/>
    <m/>
    <x v="36"/>
    <x v="2"/>
    <x v="136"/>
    <m/>
    <m/>
    <m/>
    <n v="4"/>
    <n v="201208"/>
    <n v="112000"/>
  </r>
  <r>
    <x v="433"/>
    <x v="3"/>
    <m/>
    <x v="0"/>
    <x v="2"/>
    <x v="138"/>
    <m/>
    <m/>
    <m/>
    <n v="98"/>
    <n v="201208"/>
    <n v="1960000"/>
  </r>
  <r>
    <x v="433"/>
    <x v="3"/>
    <m/>
    <x v="0"/>
    <x v="2"/>
    <x v="139"/>
    <m/>
    <m/>
    <m/>
    <n v="51"/>
    <n v="201208"/>
    <n v="1785000"/>
  </r>
  <r>
    <x v="433"/>
    <x v="3"/>
    <m/>
    <x v="32"/>
    <x v="2"/>
    <x v="140"/>
    <m/>
    <m/>
    <m/>
    <n v="17"/>
    <n v="201208"/>
    <n v="630700"/>
  </r>
  <r>
    <x v="433"/>
    <x v="3"/>
    <m/>
    <x v="18"/>
    <x v="2"/>
    <x v="125"/>
    <m/>
    <m/>
    <m/>
    <n v="46"/>
    <n v="201208"/>
    <n v="138000"/>
  </r>
  <r>
    <x v="433"/>
    <x v="3"/>
    <m/>
    <x v="0"/>
    <x v="2"/>
    <x v="138"/>
    <m/>
    <m/>
    <m/>
    <n v="1"/>
    <n v="201208"/>
    <n v="20000"/>
  </r>
  <r>
    <x v="433"/>
    <x v="3"/>
    <m/>
    <x v="0"/>
    <x v="2"/>
    <x v="139"/>
    <m/>
    <m/>
    <m/>
    <n v="2"/>
    <n v="201208"/>
    <n v="70000"/>
  </r>
  <r>
    <x v="433"/>
    <x v="3"/>
    <m/>
    <x v="0"/>
    <x v="2"/>
    <x v="141"/>
    <m/>
    <m/>
    <m/>
    <n v="2"/>
    <n v="201208"/>
    <n v="66000"/>
  </r>
  <r>
    <x v="433"/>
    <x v="3"/>
    <m/>
    <x v="4"/>
    <x v="2"/>
    <x v="143"/>
    <m/>
    <m/>
    <m/>
    <n v="11"/>
    <n v="201208"/>
    <n v="220000"/>
  </r>
  <r>
    <x v="433"/>
    <x v="3"/>
    <m/>
    <x v="4"/>
    <x v="2"/>
    <x v="144"/>
    <m/>
    <m/>
    <m/>
    <n v="7"/>
    <n v="201208"/>
    <n v="28000"/>
  </r>
  <r>
    <x v="433"/>
    <x v="3"/>
    <m/>
    <x v="31"/>
    <x v="2"/>
    <x v="145"/>
    <m/>
    <m/>
    <m/>
    <n v="101"/>
    <n v="201208"/>
    <n v="2262400"/>
  </r>
  <r>
    <x v="433"/>
    <x v="3"/>
    <m/>
    <x v="31"/>
    <x v="2"/>
    <x v="146"/>
    <m/>
    <m/>
    <m/>
    <n v="104"/>
    <n v="201208"/>
    <n v="4076800"/>
  </r>
  <r>
    <x v="433"/>
    <x v="3"/>
    <m/>
    <x v="32"/>
    <x v="2"/>
    <x v="147"/>
    <m/>
    <m/>
    <m/>
    <n v="58"/>
    <n v="201208"/>
    <n v="2151800"/>
  </r>
  <r>
    <x v="433"/>
    <x v="3"/>
    <m/>
    <x v="31"/>
    <x v="2"/>
    <x v="145"/>
    <m/>
    <m/>
    <m/>
    <n v="2"/>
    <n v="201208"/>
    <n v="44800"/>
  </r>
  <r>
    <x v="433"/>
    <x v="3"/>
    <m/>
    <x v="31"/>
    <x v="2"/>
    <x v="146"/>
    <m/>
    <m/>
    <m/>
    <n v="4"/>
    <n v="201208"/>
    <n v="156800"/>
  </r>
  <r>
    <x v="433"/>
    <x v="3"/>
    <m/>
    <x v="0"/>
    <x v="2"/>
    <x v="149"/>
    <m/>
    <m/>
    <m/>
    <n v="4"/>
    <n v="201208"/>
    <n v="80000"/>
  </r>
  <r>
    <x v="433"/>
    <x v="3"/>
    <m/>
    <x v="0"/>
    <x v="2"/>
    <x v="174"/>
    <m/>
    <m/>
    <m/>
    <n v="1"/>
    <n v="201208"/>
    <n v="35000"/>
  </r>
  <r>
    <x v="433"/>
    <x v="3"/>
    <m/>
    <x v="18"/>
    <x v="2"/>
    <x v="166"/>
    <m/>
    <m/>
    <m/>
    <n v="3"/>
    <n v="201208"/>
    <n v="9000"/>
  </r>
  <r>
    <x v="433"/>
    <x v="3"/>
    <m/>
    <x v="31"/>
    <x v="2"/>
    <x v="175"/>
    <m/>
    <m/>
    <m/>
    <n v="1"/>
    <n v="201208"/>
    <n v="39200"/>
  </r>
  <r>
    <x v="433"/>
    <x v="3"/>
    <m/>
    <x v="22"/>
    <x v="2"/>
    <x v="150"/>
    <m/>
    <m/>
    <m/>
    <n v="9"/>
    <n v="201208"/>
    <n v="342000"/>
  </r>
  <r>
    <x v="433"/>
    <x v="3"/>
    <m/>
    <x v="22"/>
    <x v="2"/>
    <x v="150"/>
    <m/>
    <m/>
    <m/>
    <n v="1"/>
    <n v="201208"/>
    <n v="38000"/>
  </r>
  <r>
    <x v="433"/>
    <x v="3"/>
    <m/>
    <x v="5"/>
    <x v="2"/>
    <x v="151"/>
    <m/>
    <m/>
    <m/>
    <n v="42"/>
    <n v="201208"/>
    <n v="1176000"/>
  </r>
  <r>
    <x v="433"/>
    <x v="3"/>
    <m/>
    <x v="5"/>
    <x v="2"/>
    <x v="152"/>
    <m/>
    <m/>
    <m/>
    <n v="13"/>
    <n v="201208"/>
    <n v="624000"/>
  </r>
  <r>
    <x v="433"/>
    <x v="3"/>
    <m/>
    <x v="5"/>
    <x v="2"/>
    <x v="153"/>
    <m/>
    <m/>
    <m/>
    <n v="6"/>
    <n v="201208"/>
    <n v="168000"/>
  </r>
  <r>
    <x v="433"/>
    <x v="3"/>
    <m/>
    <x v="33"/>
    <x v="2"/>
    <x v="155"/>
    <m/>
    <m/>
    <m/>
    <n v="5"/>
    <n v="201208"/>
    <n v="91000"/>
  </r>
  <r>
    <x v="433"/>
    <x v="3"/>
    <m/>
    <x v="33"/>
    <x v="2"/>
    <x v="156"/>
    <m/>
    <m/>
    <m/>
    <n v="2"/>
    <n v="201208"/>
    <n v="67600"/>
  </r>
  <r>
    <x v="433"/>
    <x v="3"/>
    <m/>
    <x v="19"/>
    <x v="2"/>
    <x v="157"/>
    <m/>
    <m/>
    <m/>
    <n v="16"/>
    <n v="201208"/>
    <n v="208000"/>
  </r>
  <r>
    <x v="433"/>
    <x v="3"/>
    <m/>
    <x v="19"/>
    <x v="2"/>
    <x v="159"/>
    <m/>
    <m/>
    <m/>
    <n v="4"/>
    <n v="201208"/>
    <n v="132000"/>
  </r>
  <r>
    <x v="433"/>
    <x v="3"/>
    <m/>
    <x v="35"/>
    <x v="2"/>
    <x v="160"/>
    <m/>
    <m/>
    <m/>
    <n v="5"/>
    <n v="201208"/>
    <n v="100000"/>
  </r>
  <r>
    <x v="433"/>
    <x v="3"/>
    <m/>
    <x v="18"/>
    <x v="2"/>
    <x v="161"/>
    <m/>
    <m/>
    <m/>
    <n v="35"/>
    <n v="201208"/>
    <n v="105000"/>
  </r>
  <r>
    <x v="433"/>
    <x v="3"/>
    <m/>
    <x v="0"/>
    <x v="9"/>
    <x v="162"/>
    <m/>
    <m/>
    <m/>
    <n v="13"/>
    <n v="201208"/>
    <n v="260000"/>
  </r>
  <r>
    <x v="434"/>
    <x v="4"/>
    <m/>
    <x v="0"/>
    <x v="1"/>
    <x v="123"/>
    <m/>
    <m/>
    <m/>
    <n v="1"/>
    <n v="201208"/>
    <n v="35000"/>
  </r>
  <r>
    <x v="434"/>
    <x v="4"/>
    <m/>
    <x v="0"/>
    <x v="7"/>
    <x v="163"/>
    <m/>
    <m/>
    <m/>
    <n v="2"/>
    <n v="201208"/>
    <n v="40000"/>
  </r>
  <r>
    <x v="434"/>
    <x v="4"/>
    <m/>
    <x v="6"/>
    <x v="2"/>
    <x v="126"/>
    <m/>
    <m/>
    <m/>
    <n v="2"/>
    <n v="201208"/>
    <n v="40000"/>
  </r>
  <r>
    <x v="434"/>
    <x v="4"/>
    <m/>
    <x v="34"/>
    <x v="2"/>
    <x v="128"/>
    <m/>
    <m/>
    <m/>
    <n v="21"/>
    <n v="201208"/>
    <n v="779100"/>
  </r>
  <r>
    <x v="434"/>
    <x v="4"/>
    <m/>
    <x v="25"/>
    <x v="2"/>
    <x v="129"/>
    <m/>
    <m/>
    <m/>
    <n v="2"/>
    <n v="201208"/>
    <n v="198000"/>
  </r>
  <r>
    <x v="434"/>
    <x v="4"/>
    <m/>
    <x v="0"/>
    <x v="2"/>
    <x v="130"/>
    <m/>
    <m/>
    <m/>
    <n v="31"/>
    <n v="201208"/>
    <n v="1023000"/>
  </r>
  <r>
    <x v="434"/>
    <x v="4"/>
    <m/>
    <x v="0"/>
    <x v="2"/>
    <x v="131"/>
    <m/>
    <m/>
    <m/>
    <n v="2"/>
    <n v="201208"/>
    <n v="66000"/>
  </r>
  <r>
    <x v="434"/>
    <x v="4"/>
    <m/>
    <x v="30"/>
    <x v="2"/>
    <x v="132"/>
    <m/>
    <m/>
    <m/>
    <n v="2"/>
    <n v="201208"/>
    <n v="44800"/>
  </r>
  <r>
    <x v="434"/>
    <x v="4"/>
    <m/>
    <x v="30"/>
    <x v="2"/>
    <x v="133"/>
    <m/>
    <m/>
    <m/>
    <n v="1"/>
    <n v="201208"/>
    <n v="39200"/>
  </r>
  <r>
    <x v="434"/>
    <x v="4"/>
    <m/>
    <x v="1"/>
    <x v="2"/>
    <x v="135"/>
    <m/>
    <m/>
    <m/>
    <n v="1"/>
    <n v="201208"/>
    <n v="20000"/>
  </r>
  <r>
    <x v="434"/>
    <x v="4"/>
    <m/>
    <x v="1"/>
    <x v="2"/>
    <x v="165"/>
    <m/>
    <m/>
    <m/>
    <n v="1"/>
    <n v="201208"/>
    <n v="35000"/>
  </r>
  <r>
    <x v="434"/>
    <x v="4"/>
    <m/>
    <x v="36"/>
    <x v="2"/>
    <x v="136"/>
    <m/>
    <m/>
    <m/>
    <n v="2"/>
    <n v="201208"/>
    <n v="56000"/>
  </r>
  <r>
    <x v="434"/>
    <x v="4"/>
    <m/>
    <x v="36"/>
    <x v="2"/>
    <x v="176"/>
    <m/>
    <m/>
    <m/>
    <n v="1"/>
    <n v="201208"/>
    <n v="49000"/>
  </r>
  <r>
    <x v="434"/>
    <x v="4"/>
    <m/>
    <x v="0"/>
    <x v="2"/>
    <x v="138"/>
    <m/>
    <m/>
    <m/>
    <n v="44"/>
    <n v="201208"/>
    <n v="880000"/>
  </r>
  <r>
    <x v="434"/>
    <x v="4"/>
    <m/>
    <x v="0"/>
    <x v="2"/>
    <x v="139"/>
    <m/>
    <m/>
    <m/>
    <n v="27"/>
    <n v="201208"/>
    <n v="945000"/>
  </r>
  <r>
    <x v="434"/>
    <x v="4"/>
    <m/>
    <x v="32"/>
    <x v="2"/>
    <x v="140"/>
    <m/>
    <m/>
    <m/>
    <n v="7"/>
    <n v="201208"/>
    <n v="259700"/>
  </r>
  <r>
    <x v="434"/>
    <x v="4"/>
    <m/>
    <x v="18"/>
    <x v="2"/>
    <x v="125"/>
    <m/>
    <m/>
    <m/>
    <n v="25"/>
    <n v="201208"/>
    <n v="75000"/>
  </r>
  <r>
    <x v="434"/>
    <x v="4"/>
    <m/>
    <x v="0"/>
    <x v="2"/>
    <x v="139"/>
    <m/>
    <m/>
    <m/>
    <n v="1"/>
    <n v="201208"/>
    <n v="35000"/>
  </r>
  <r>
    <x v="434"/>
    <x v="4"/>
    <m/>
    <x v="0"/>
    <x v="2"/>
    <x v="141"/>
    <m/>
    <m/>
    <m/>
    <n v="1"/>
    <n v="201208"/>
    <n v="33000"/>
  </r>
  <r>
    <x v="434"/>
    <x v="4"/>
    <m/>
    <x v="4"/>
    <x v="2"/>
    <x v="142"/>
    <m/>
    <m/>
    <m/>
    <n v="3"/>
    <n v="201208"/>
    <n v="12000"/>
  </r>
  <r>
    <x v="434"/>
    <x v="4"/>
    <m/>
    <x v="4"/>
    <x v="2"/>
    <x v="143"/>
    <m/>
    <m/>
    <m/>
    <n v="6"/>
    <n v="201208"/>
    <n v="120000"/>
  </r>
  <r>
    <x v="434"/>
    <x v="4"/>
    <m/>
    <x v="31"/>
    <x v="2"/>
    <x v="145"/>
    <m/>
    <m/>
    <m/>
    <n v="47"/>
    <n v="201208"/>
    <n v="1052800"/>
  </r>
  <r>
    <x v="434"/>
    <x v="4"/>
    <m/>
    <x v="31"/>
    <x v="2"/>
    <x v="146"/>
    <m/>
    <m/>
    <m/>
    <n v="48"/>
    <n v="201208"/>
    <n v="1881600"/>
  </r>
  <r>
    <x v="434"/>
    <x v="4"/>
    <m/>
    <x v="32"/>
    <x v="2"/>
    <x v="147"/>
    <m/>
    <m/>
    <m/>
    <n v="30"/>
    <n v="201208"/>
    <n v="1113000"/>
  </r>
  <r>
    <x v="434"/>
    <x v="4"/>
    <m/>
    <x v="31"/>
    <x v="2"/>
    <x v="145"/>
    <m/>
    <m/>
    <m/>
    <n v="1"/>
    <n v="201208"/>
    <n v="22400"/>
  </r>
  <r>
    <x v="434"/>
    <x v="4"/>
    <m/>
    <x v="31"/>
    <x v="2"/>
    <x v="146"/>
    <m/>
    <m/>
    <m/>
    <n v="3"/>
    <n v="201208"/>
    <n v="117600"/>
  </r>
  <r>
    <x v="434"/>
    <x v="4"/>
    <m/>
    <x v="32"/>
    <x v="2"/>
    <x v="147"/>
    <m/>
    <m/>
    <m/>
    <n v="2"/>
    <n v="201208"/>
    <n v="74200"/>
  </r>
  <r>
    <x v="434"/>
    <x v="4"/>
    <m/>
    <x v="31"/>
    <x v="2"/>
    <x v="146"/>
    <m/>
    <m/>
    <m/>
    <n v="2"/>
    <n v="201208"/>
    <n v="78400"/>
  </r>
  <r>
    <x v="434"/>
    <x v="4"/>
    <m/>
    <x v="0"/>
    <x v="2"/>
    <x v="149"/>
    <m/>
    <m/>
    <m/>
    <n v="1"/>
    <n v="201208"/>
    <n v="20000"/>
  </r>
  <r>
    <x v="434"/>
    <x v="4"/>
    <m/>
    <x v="18"/>
    <x v="2"/>
    <x v="166"/>
    <m/>
    <m/>
    <m/>
    <n v="1"/>
    <n v="201208"/>
    <n v="3000"/>
  </r>
  <r>
    <x v="434"/>
    <x v="4"/>
    <m/>
    <x v="22"/>
    <x v="2"/>
    <x v="150"/>
    <m/>
    <m/>
    <m/>
    <n v="4"/>
    <n v="201208"/>
    <n v="152000"/>
  </r>
  <r>
    <x v="434"/>
    <x v="4"/>
    <m/>
    <x v="5"/>
    <x v="2"/>
    <x v="151"/>
    <m/>
    <m/>
    <m/>
    <n v="23"/>
    <n v="201208"/>
    <n v="644000"/>
  </r>
  <r>
    <x v="434"/>
    <x v="4"/>
    <m/>
    <x v="5"/>
    <x v="2"/>
    <x v="152"/>
    <m/>
    <m/>
    <m/>
    <n v="6"/>
    <n v="201208"/>
    <n v="288000"/>
  </r>
  <r>
    <x v="434"/>
    <x v="4"/>
    <m/>
    <x v="5"/>
    <x v="2"/>
    <x v="153"/>
    <m/>
    <m/>
    <m/>
    <n v="3"/>
    <n v="201208"/>
    <n v="84000"/>
  </r>
  <r>
    <x v="434"/>
    <x v="4"/>
    <m/>
    <x v="33"/>
    <x v="2"/>
    <x v="155"/>
    <m/>
    <m/>
    <m/>
    <n v="4"/>
    <n v="201208"/>
    <n v="72800"/>
  </r>
  <r>
    <x v="434"/>
    <x v="4"/>
    <m/>
    <x v="33"/>
    <x v="2"/>
    <x v="156"/>
    <m/>
    <m/>
    <m/>
    <n v="1"/>
    <n v="201208"/>
    <n v="33800"/>
  </r>
  <r>
    <x v="434"/>
    <x v="4"/>
    <m/>
    <x v="19"/>
    <x v="2"/>
    <x v="157"/>
    <m/>
    <m/>
    <m/>
    <n v="9"/>
    <n v="201208"/>
    <n v="117000"/>
  </r>
  <r>
    <x v="434"/>
    <x v="4"/>
    <m/>
    <x v="19"/>
    <x v="2"/>
    <x v="158"/>
    <m/>
    <m/>
    <m/>
    <n v="2"/>
    <n v="201208"/>
    <n v="48000"/>
  </r>
  <r>
    <x v="434"/>
    <x v="4"/>
    <m/>
    <x v="19"/>
    <x v="2"/>
    <x v="159"/>
    <m/>
    <m/>
    <m/>
    <n v="2"/>
    <n v="201208"/>
    <n v="66000"/>
  </r>
  <r>
    <x v="434"/>
    <x v="4"/>
    <m/>
    <x v="35"/>
    <x v="2"/>
    <x v="170"/>
    <m/>
    <m/>
    <m/>
    <n v="2"/>
    <n v="201208"/>
    <n v="8000"/>
  </r>
  <r>
    <x v="434"/>
    <x v="4"/>
    <m/>
    <x v="35"/>
    <x v="2"/>
    <x v="160"/>
    <m/>
    <m/>
    <m/>
    <n v="4"/>
    <n v="201208"/>
    <n v="80000"/>
  </r>
  <r>
    <x v="434"/>
    <x v="4"/>
    <m/>
    <x v="18"/>
    <x v="2"/>
    <x v="161"/>
    <m/>
    <m/>
    <m/>
    <n v="15"/>
    <n v="201208"/>
    <n v="45000"/>
  </r>
  <r>
    <x v="434"/>
    <x v="4"/>
    <m/>
    <x v="0"/>
    <x v="9"/>
    <x v="162"/>
    <m/>
    <m/>
    <m/>
    <n v="4"/>
    <n v="201208"/>
    <n v="80000"/>
  </r>
  <r>
    <x v="434"/>
    <x v="4"/>
    <m/>
    <x v="5"/>
    <x v="9"/>
    <x v="177"/>
    <m/>
    <m/>
    <m/>
    <n v="2"/>
    <n v="201208"/>
    <n v="56000"/>
  </r>
  <r>
    <x v="435"/>
    <x v="1"/>
    <m/>
    <x v="0"/>
    <x v="1"/>
    <x v="123"/>
    <m/>
    <m/>
    <m/>
    <n v="3"/>
    <n v="201208"/>
    <n v="105000"/>
  </r>
  <r>
    <x v="435"/>
    <x v="1"/>
    <m/>
    <x v="0"/>
    <x v="7"/>
    <x v="163"/>
    <m/>
    <m/>
    <m/>
    <n v="1"/>
    <n v="201208"/>
    <n v="20000"/>
  </r>
  <r>
    <x v="435"/>
    <x v="1"/>
    <m/>
    <x v="0"/>
    <x v="3"/>
    <x v="164"/>
    <m/>
    <m/>
    <m/>
    <n v="1"/>
    <n v="201208"/>
    <n v="0"/>
  </r>
  <r>
    <x v="435"/>
    <x v="1"/>
    <m/>
    <x v="6"/>
    <x v="2"/>
    <x v="126"/>
    <m/>
    <m/>
    <m/>
    <n v="2"/>
    <n v="201208"/>
    <n v="40000"/>
  </r>
  <r>
    <x v="435"/>
    <x v="1"/>
    <m/>
    <x v="6"/>
    <x v="2"/>
    <x v="127"/>
    <m/>
    <m/>
    <m/>
    <n v="1"/>
    <n v="201208"/>
    <n v="35000"/>
  </r>
  <r>
    <x v="435"/>
    <x v="1"/>
    <m/>
    <x v="34"/>
    <x v="2"/>
    <x v="128"/>
    <m/>
    <m/>
    <m/>
    <n v="24"/>
    <n v="201208"/>
    <n v="890400"/>
  </r>
  <r>
    <x v="435"/>
    <x v="1"/>
    <m/>
    <x v="25"/>
    <x v="2"/>
    <x v="129"/>
    <m/>
    <m/>
    <m/>
    <n v="1"/>
    <n v="201208"/>
    <n v="99000"/>
  </r>
  <r>
    <x v="435"/>
    <x v="1"/>
    <m/>
    <x v="0"/>
    <x v="2"/>
    <x v="130"/>
    <m/>
    <m/>
    <m/>
    <n v="22"/>
    <n v="201208"/>
    <n v="726000"/>
  </r>
  <r>
    <x v="435"/>
    <x v="1"/>
    <m/>
    <x v="0"/>
    <x v="2"/>
    <x v="131"/>
    <m/>
    <m/>
    <m/>
    <n v="2"/>
    <n v="201208"/>
    <n v="66000"/>
  </r>
  <r>
    <x v="435"/>
    <x v="1"/>
    <m/>
    <x v="0"/>
    <x v="2"/>
    <x v="168"/>
    <m/>
    <m/>
    <m/>
    <n v="1"/>
    <n v="201208"/>
    <n v="20000"/>
  </r>
  <r>
    <x v="435"/>
    <x v="1"/>
    <m/>
    <x v="30"/>
    <x v="2"/>
    <x v="132"/>
    <m/>
    <m/>
    <m/>
    <n v="2"/>
    <n v="201208"/>
    <n v="44800"/>
  </r>
  <r>
    <x v="435"/>
    <x v="1"/>
    <m/>
    <x v="30"/>
    <x v="2"/>
    <x v="133"/>
    <m/>
    <m/>
    <m/>
    <n v="3"/>
    <n v="201208"/>
    <n v="117600"/>
  </r>
  <r>
    <x v="435"/>
    <x v="1"/>
    <m/>
    <x v="34"/>
    <x v="2"/>
    <x v="134"/>
    <m/>
    <m/>
    <m/>
    <n v="1"/>
    <n v="201208"/>
    <n v="37100"/>
  </r>
  <r>
    <x v="435"/>
    <x v="1"/>
    <m/>
    <x v="1"/>
    <x v="2"/>
    <x v="135"/>
    <m/>
    <m/>
    <m/>
    <n v="1"/>
    <n v="201208"/>
    <n v="20000"/>
  </r>
  <r>
    <x v="435"/>
    <x v="1"/>
    <m/>
    <x v="1"/>
    <x v="2"/>
    <x v="165"/>
    <m/>
    <m/>
    <m/>
    <n v="1"/>
    <n v="201208"/>
    <n v="35000"/>
  </r>
  <r>
    <x v="435"/>
    <x v="1"/>
    <m/>
    <x v="36"/>
    <x v="2"/>
    <x v="136"/>
    <m/>
    <m/>
    <m/>
    <n v="1"/>
    <n v="201208"/>
    <n v="28000"/>
  </r>
  <r>
    <x v="435"/>
    <x v="1"/>
    <m/>
    <x v="36"/>
    <x v="2"/>
    <x v="176"/>
    <m/>
    <m/>
    <m/>
    <n v="2"/>
    <n v="201208"/>
    <n v="98000"/>
  </r>
  <r>
    <x v="435"/>
    <x v="1"/>
    <m/>
    <x v="36"/>
    <x v="2"/>
    <x v="137"/>
    <m/>
    <m/>
    <m/>
    <n v="1"/>
    <n v="201208"/>
    <n v="42000"/>
  </r>
  <r>
    <x v="435"/>
    <x v="1"/>
    <m/>
    <x v="0"/>
    <x v="2"/>
    <x v="138"/>
    <m/>
    <m/>
    <m/>
    <n v="39"/>
    <n v="201208"/>
    <n v="780000"/>
  </r>
  <r>
    <x v="435"/>
    <x v="1"/>
    <m/>
    <x v="0"/>
    <x v="2"/>
    <x v="139"/>
    <m/>
    <m/>
    <m/>
    <n v="22"/>
    <n v="201208"/>
    <n v="770000"/>
  </r>
  <r>
    <x v="435"/>
    <x v="1"/>
    <m/>
    <x v="32"/>
    <x v="2"/>
    <x v="140"/>
    <m/>
    <m/>
    <m/>
    <n v="3"/>
    <n v="201208"/>
    <n v="111300"/>
  </r>
  <r>
    <x v="435"/>
    <x v="1"/>
    <m/>
    <x v="18"/>
    <x v="2"/>
    <x v="125"/>
    <m/>
    <m/>
    <m/>
    <n v="22"/>
    <n v="201208"/>
    <n v="66000"/>
  </r>
  <r>
    <x v="435"/>
    <x v="1"/>
    <m/>
    <x v="4"/>
    <x v="2"/>
    <x v="142"/>
    <m/>
    <m/>
    <m/>
    <n v="2"/>
    <n v="201208"/>
    <n v="8000"/>
  </r>
  <r>
    <x v="435"/>
    <x v="1"/>
    <m/>
    <x v="4"/>
    <x v="2"/>
    <x v="143"/>
    <m/>
    <m/>
    <m/>
    <n v="4"/>
    <n v="201208"/>
    <n v="80000"/>
  </r>
  <r>
    <x v="435"/>
    <x v="1"/>
    <m/>
    <x v="31"/>
    <x v="2"/>
    <x v="145"/>
    <m/>
    <m/>
    <m/>
    <n v="23"/>
    <n v="201208"/>
    <n v="515200"/>
  </r>
  <r>
    <x v="435"/>
    <x v="1"/>
    <m/>
    <x v="31"/>
    <x v="2"/>
    <x v="146"/>
    <m/>
    <m/>
    <m/>
    <n v="37"/>
    <n v="201208"/>
    <n v="1450400"/>
  </r>
  <r>
    <x v="435"/>
    <x v="1"/>
    <m/>
    <x v="32"/>
    <x v="2"/>
    <x v="147"/>
    <m/>
    <m/>
    <m/>
    <n v="28"/>
    <n v="201208"/>
    <n v="1038800"/>
  </r>
  <r>
    <x v="435"/>
    <x v="1"/>
    <m/>
    <x v="31"/>
    <x v="2"/>
    <x v="145"/>
    <m/>
    <m/>
    <m/>
    <n v="1"/>
    <n v="201208"/>
    <n v="22400"/>
  </r>
  <r>
    <x v="435"/>
    <x v="1"/>
    <m/>
    <x v="31"/>
    <x v="2"/>
    <x v="146"/>
    <m/>
    <m/>
    <m/>
    <n v="4"/>
    <n v="201208"/>
    <n v="156800"/>
  </r>
  <r>
    <x v="435"/>
    <x v="1"/>
    <m/>
    <x v="32"/>
    <x v="2"/>
    <x v="147"/>
    <m/>
    <m/>
    <m/>
    <n v="2"/>
    <n v="201208"/>
    <n v="74200"/>
  </r>
  <r>
    <x v="435"/>
    <x v="1"/>
    <m/>
    <x v="22"/>
    <x v="2"/>
    <x v="150"/>
    <m/>
    <m/>
    <m/>
    <n v="2"/>
    <n v="201208"/>
    <n v="76000"/>
  </r>
  <r>
    <x v="435"/>
    <x v="1"/>
    <m/>
    <x v="5"/>
    <x v="2"/>
    <x v="151"/>
    <m/>
    <m/>
    <m/>
    <n v="17"/>
    <n v="201208"/>
    <n v="476000"/>
  </r>
  <r>
    <x v="435"/>
    <x v="1"/>
    <m/>
    <x v="5"/>
    <x v="2"/>
    <x v="152"/>
    <m/>
    <m/>
    <m/>
    <n v="10"/>
    <n v="201208"/>
    <n v="480000"/>
  </r>
  <r>
    <x v="435"/>
    <x v="1"/>
    <m/>
    <x v="5"/>
    <x v="2"/>
    <x v="153"/>
    <m/>
    <m/>
    <m/>
    <n v="2"/>
    <n v="201208"/>
    <n v="56000"/>
  </r>
  <r>
    <x v="435"/>
    <x v="1"/>
    <m/>
    <x v="33"/>
    <x v="2"/>
    <x v="155"/>
    <m/>
    <m/>
    <m/>
    <n v="5"/>
    <n v="201208"/>
    <n v="91000"/>
  </r>
  <r>
    <x v="435"/>
    <x v="1"/>
    <m/>
    <x v="19"/>
    <x v="2"/>
    <x v="157"/>
    <m/>
    <m/>
    <m/>
    <n v="10"/>
    <n v="201208"/>
    <n v="130000"/>
  </r>
  <r>
    <x v="435"/>
    <x v="1"/>
    <m/>
    <x v="19"/>
    <x v="2"/>
    <x v="158"/>
    <m/>
    <m/>
    <m/>
    <n v="1"/>
    <n v="201208"/>
    <n v="24000"/>
  </r>
  <r>
    <x v="435"/>
    <x v="1"/>
    <m/>
    <x v="35"/>
    <x v="2"/>
    <x v="170"/>
    <m/>
    <m/>
    <m/>
    <n v="1"/>
    <n v="201208"/>
    <n v="4000"/>
  </r>
  <r>
    <x v="435"/>
    <x v="1"/>
    <m/>
    <x v="18"/>
    <x v="2"/>
    <x v="161"/>
    <m/>
    <m/>
    <m/>
    <n v="20"/>
    <n v="201208"/>
    <n v="60000"/>
  </r>
  <r>
    <x v="435"/>
    <x v="1"/>
    <m/>
    <x v="0"/>
    <x v="9"/>
    <x v="162"/>
    <m/>
    <m/>
    <m/>
    <n v="1"/>
    <n v="201208"/>
    <n v="20000"/>
  </r>
  <r>
    <x v="435"/>
    <x v="1"/>
    <m/>
    <x v="0"/>
    <x v="2"/>
    <x v="178"/>
    <m/>
    <m/>
    <m/>
    <n v="1"/>
    <n v="201208"/>
    <n v="35000"/>
  </r>
  <r>
    <x v="435"/>
    <x v="1"/>
    <m/>
    <x v="0"/>
    <x v="2"/>
    <x v="179"/>
    <m/>
    <m/>
    <m/>
    <n v="1"/>
    <n v="201208"/>
    <n v="3000"/>
  </r>
  <r>
    <x v="436"/>
    <x v="0"/>
    <m/>
    <x v="0"/>
    <x v="1"/>
    <x v="123"/>
    <m/>
    <m/>
    <m/>
    <n v="1"/>
    <n v="201208"/>
    <n v="35000"/>
  </r>
  <r>
    <x v="436"/>
    <x v="0"/>
    <m/>
    <x v="0"/>
    <x v="7"/>
    <x v="163"/>
    <m/>
    <m/>
    <m/>
    <n v="3"/>
    <n v="201208"/>
    <n v="60000"/>
  </r>
  <r>
    <x v="436"/>
    <x v="0"/>
    <m/>
    <x v="0"/>
    <x v="3"/>
    <x v="164"/>
    <m/>
    <m/>
    <m/>
    <n v="3"/>
    <n v="201208"/>
    <n v="0"/>
  </r>
  <r>
    <x v="436"/>
    <x v="0"/>
    <m/>
    <x v="31"/>
    <x v="3"/>
    <x v="88"/>
    <m/>
    <m/>
    <m/>
    <n v="1"/>
    <n v="201208"/>
    <n v="0"/>
  </r>
  <r>
    <x v="436"/>
    <x v="0"/>
    <m/>
    <x v="6"/>
    <x v="2"/>
    <x v="126"/>
    <m/>
    <m/>
    <m/>
    <n v="1"/>
    <n v="201208"/>
    <n v="20000"/>
  </r>
  <r>
    <x v="436"/>
    <x v="0"/>
    <m/>
    <x v="34"/>
    <x v="2"/>
    <x v="128"/>
    <m/>
    <m/>
    <m/>
    <n v="21"/>
    <n v="201208"/>
    <n v="779100"/>
  </r>
  <r>
    <x v="436"/>
    <x v="0"/>
    <m/>
    <x v="25"/>
    <x v="2"/>
    <x v="129"/>
    <m/>
    <m/>
    <m/>
    <n v="2"/>
    <n v="201208"/>
    <n v="198000"/>
  </r>
  <r>
    <x v="436"/>
    <x v="0"/>
    <m/>
    <x v="0"/>
    <x v="2"/>
    <x v="130"/>
    <m/>
    <m/>
    <m/>
    <n v="39"/>
    <n v="201208"/>
    <n v="1287000"/>
  </r>
  <r>
    <x v="436"/>
    <x v="0"/>
    <m/>
    <x v="0"/>
    <x v="2"/>
    <x v="168"/>
    <m/>
    <m/>
    <m/>
    <n v="2"/>
    <n v="201208"/>
    <n v="40000"/>
  </r>
  <r>
    <x v="436"/>
    <x v="0"/>
    <m/>
    <x v="0"/>
    <x v="2"/>
    <x v="178"/>
    <m/>
    <m/>
    <m/>
    <n v="1"/>
    <n v="201208"/>
    <n v="35000"/>
  </r>
  <r>
    <x v="436"/>
    <x v="0"/>
    <m/>
    <x v="0"/>
    <x v="2"/>
    <x v="179"/>
    <m/>
    <m/>
    <m/>
    <n v="3"/>
    <n v="201208"/>
    <n v="9000"/>
  </r>
  <r>
    <x v="436"/>
    <x v="0"/>
    <m/>
    <x v="30"/>
    <x v="2"/>
    <x v="132"/>
    <m/>
    <m/>
    <m/>
    <n v="8"/>
    <n v="201208"/>
    <n v="179200"/>
  </r>
  <r>
    <x v="436"/>
    <x v="0"/>
    <m/>
    <x v="34"/>
    <x v="2"/>
    <x v="134"/>
    <m/>
    <m/>
    <m/>
    <n v="1"/>
    <n v="201208"/>
    <n v="37100"/>
  </r>
  <r>
    <x v="436"/>
    <x v="0"/>
    <m/>
    <x v="1"/>
    <x v="2"/>
    <x v="135"/>
    <m/>
    <m/>
    <m/>
    <n v="5"/>
    <n v="201208"/>
    <n v="100000"/>
  </r>
  <r>
    <x v="436"/>
    <x v="0"/>
    <m/>
    <x v="36"/>
    <x v="2"/>
    <x v="136"/>
    <m/>
    <m/>
    <m/>
    <n v="2"/>
    <n v="201208"/>
    <n v="56000"/>
  </r>
  <r>
    <x v="436"/>
    <x v="0"/>
    <m/>
    <x v="0"/>
    <x v="2"/>
    <x v="138"/>
    <m/>
    <m/>
    <m/>
    <n v="39"/>
    <n v="201208"/>
    <n v="780000"/>
  </r>
  <r>
    <x v="436"/>
    <x v="0"/>
    <m/>
    <x v="0"/>
    <x v="2"/>
    <x v="139"/>
    <m/>
    <m/>
    <m/>
    <n v="30"/>
    <n v="201208"/>
    <n v="1050000"/>
  </r>
  <r>
    <x v="436"/>
    <x v="0"/>
    <m/>
    <x v="32"/>
    <x v="2"/>
    <x v="140"/>
    <m/>
    <m/>
    <m/>
    <n v="9"/>
    <n v="201208"/>
    <n v="333900"/>
  </r>
  <r>
    <x v="436"/>
    <x v="0"/>
    <m/>
    <x v="18"/>
    <x v="2"/>
    <x v="125"/>
    <m/>
    <m/>
    <m/>
    <n v="25"/>
    <n v="201208"/>
    <n v="75000"/>
  </r>
  <r>
    <x v="436"/>
    <x v="0"/>
    <m/>
    <x v="0"/>
    <x v="2"/>
    <x v="139"/>
    <m/>
    <m/>
    <m/>
    <n v="1"/>
    <n v="201208"/>
    <n v="35000"/>
  </r>
  <r>
    <x v="436"/>
    <x v="0"/>
    <m/>
    <x v="0"/>
    <x v="2"/>
    <x v="141"/>
    <m/>
    <m/>
    <m/>
    <n v="2"/>
    <n v="201208"/>
    <n v="66000"/>
  </r>
  <r>
    <x v="436"/>
    <x v="0"/>
    <m/>
    <x v="4"/>
    <x v="2"/>
    <x v="142"/>
    <m/>
    <m/>
    <m/>
    <n v="2"/>
    <n v="201208"/>
    <n v="8000"/>
  </r>
  <r>
    <x v="436"/>
    <x v="0"/>
    <m/>
    <x v="4"/>
    <x v="2"/>
    <x v="143"/>
    <m/>
    <m/>
    <m/>
    <n v="5"/>
    <n v="201208"/>
    <n v="100000"/>
  </r>
  <r>
    <x v="436"/>
    <x v="0"/>
    <m/>
    <x v="4"/>
    <x v="2"/>
    <x v="144"/>
    <m/>
    <m/>
    <m/>
    <n v="1"/>
    <n v="201208"/>
    <n v="4000"/>
  </r>
  <r>
    <x v="436"/>
    <x v="0"/>
    <m/>
    <x v="31"/>
    <x v="2"/>
    <x v="145"/>
    <m/>
    <m/>
    <m/>
    <n v="43"/>
    <n v="201208"/>
    <n v="963200"/>
  </r>
  <r>
    <x v="436"/>
    <x v="0"/>
    <m/>
    <x v="31"/>
    <x v="2"/>
    <x v="146"/>
    <m/>
    <m/>
    <m/>
    <n v="39"/>
    <n v="201208"/>
    <n v="1528800"/>
  </r>
  <r>
    <x v="436"/>
    <x v="0"/>
    <m/>
    <x v="32"/>
    <x v="2"/>
    <x v="147"/>
    <m/>
    <m/>
    <m/>
    <n v="25"/>
    <n v="201208"/>
    <n v="927500"/>
  </r>
  <r>
    <x v="436"/>
    <x v="0"/>
    <m/>
    <x v="31"/>
    <x v="2"/>
    <x v="145"/>
    <m/>
    <m/>
    <m/>
    <n v="3"/>
    <n v="201208"/>
    <n v="67200"/>
  </r>
  <r>
    <x v="436"/>
    <x v="0"/>
    <m/>
    <x v="31"/>
    <x v="2"/>
    <x v="146"/>
    <m/>
    <m/>
    <m/>
    <n v="1"/>
    <n v="201208"/>
    <n v="39200"/>
  </r>
  <r>
    <x v="436"/>
    <x v="0"/>
    <m/>
    <x v="0"/>
    <x v="2"/>
    <x v="149"/>
    <m/>
    <m/>
    <m/>
    <n v="2"/>
    <n v="201208"/>
    <n v="40000"/>
  </r>
  <r>
    <x v="436"/>
    <x v="0"/>
    <m/>
    <x v="0"/>
    <x v="2"/>
    <x v="174"/>
    <m/>
    <m/>
    <m/>
    <n v="1"/>
    <n v="201208"/>
    <n v="35000"/>
  </r>
  <r>
    <x v="436"/>
    <x v="0"/>
    <m/>
    <x v="22"/>
    <x v="2"/>
    <x v="150"/>
    <m/>
    <m/>
    <m/>
    <n v="5"/>
    <n v="201208"/>
    <n v="190000"/>
  </r>
  <r>
    <x v="436"/>
    <x v="0"/>
    <m/>
    <x v="22"/>
    <x v="2"/>
    <x v="150"/>
    <m/>
    <m/>
    <m/>
    <n v="1"/>
    <n v="201208"/>
    <n v="38000"/>
  </r>
  <r>
    <x v="436"/>
    <x v="0"/>
    <m/>
    <x v="5"/>
    <x v="2"/>
    <x v="151"/>
    <m/>
    <m/>
    <m/>
    <n v="15"/>
    <n v="201208"/>
    <n v="420000"/>
  </r>
  <r>
    <x v="436"/>
    <x v="0"/>
    <m/>
    <x v="5"/>
    <x v="2"/>
    <x v="152"/>
    <m/>
    <m/>
    <m/>
    <n v="2"/>
    <n v="201208"/>
    <n v="96000"/>
  </r>
  <r>
    <x v="436"/>
    <x v="0"/>
    <m/>
    <x v="5"/>
    <x v="2"/>
    <x v="153"/>
    <m/>
    <m/>
    <m/>
    <n v="1"/>
    <n v="201208"/>
    <n v="28000"/>
  </r>
  <r>
    <x v="436"/>
    <x v="0"/>
    <m/>
    <x v="33"/>
    <x v="2"/>
    <x v="155"/>
    <m/>
    <m/>
    <m/>
    <n v="2"/>
    <n v="201208"/>
    <n v="36400"/>
  </r>
  <r>
    <x v="436"/>
    <x v="0"/>
    <m/>
    <x v="33"/>
    <x v="2"/>
    <x v="156"/>
    <m/>
    <m/>
    <m/>
    <n v="1"/>
    <n v="201208"/>
    <n v="33800"/>
  </r>
  <r>
    <x v="436"/>
    <x v="0"/>
    <m/>
    <x v="19"/>
    <x v="2"/>
    <x v="157"/>
    <m/>
    <m/>
    <m/>
    <n v="14"/>
    <n v="201208"/>
    <n v="182000"/>
  </r>
  <r>
    <x v="436"/>
    <x v="0"/>
    <m/>
    <x v="19"/>
    <x v="2"/>
    <x v="158"/>
    <m/>
    <m/>
    <m/>
    <n v="1"/>
    <n v="201208"/>
    <n v="24000"/>
  </r>
  <r>
    <x v="436"/>
    <x v="0"/>
    <m/>
    <x v="35"/>
    <x v="2"/>
    <x v="160"/>
    <m/>
    <m/>
    <m/>
    <n v="5"/>
    <n v="201208"/>
    <n v="100000"/>
  </r>
  <r>
    <x v="436"/>
    <x v="0"/>
    <m/>
    <x v="18"/>
    <x v="2"/>
    <x v="161"/>
    <m/>
    <m/>
    <m/>
    <n v="19"/>
    <n v="201208"/>
    <n v="57000"/>
  </r>
  <r>
    <x v="436"/>
    <x v="0"/>
    <m/>
    <x v="30"/>
    <x v="9"/>
    <x v="171"/>
    <m/>
    <m/>
    <m/>
    <n v="1"/>
    <n v="201208"/>
    <n v="22400"/>
  </r>
  <r>
    <x v="436"/>
    <x v="0"/>
    <m/>
    <x v="0"/>
    <x v="9"/>
    <x v="162"/>
    <m/>
    <m/>
    <m/>
    <n v="1"/>
    <n v="201208"/>
    <n v="20000"/>
  </r>
  <r>
    <x v="436"/>
    <x v="0"/>
    <m/>
    <x v="32"/>
    <x v="2"/>
    <x v="180"/>
    <m/>
    <m/>
    <m/>
    <n v="1"/>
    <n v="201208"/>
    <n v="37100"/>
  </r>
  <r>
    <x v="436"/>
    <x v="0"/>
    <m/>
    <x v="19"/>
    <x v="2"/>
    <x v="181"/>
    <m/>
    <m/>
    <m/>
    <n v="1"/>
    <n v="201208"/>
    <n v="13000"/>
  </r>
  <r>
    <x v="437"/>
    <x v="2"/>
    <m/>
    <x v="0"/>
    <x v="1"/>
    <x v="123"/>
    <m/>
    <m/>
    <m/>
    <n v="6"/>
    <n v="201208"/>
    <n v="210000"/>
  </r>
  <r>
    <x v="437"/>
    <x v="2"/>
    <m/>
    <x v="0"/>
    <x v="7"/>
    <x v="163"/>
    <m/>
    <m/>
    <m/>
    <n v="1"/>
    <n v="201208"/>
    <n v="20000"/>
  </r>
  <r>
    <x v="437"/>
    <x v="2"/>
    <m/>
    <x v="36"/>
    <x v="3"/>
    <x v="173"/>
    <m/>
    <m/>
    <m/>
    <n v="11"/>
    <n v="201208"/>
    <n v="0"/>
  </r>
  <r>
    <x v="437"/>
    <x v="2"/>
    <m/>
    <x v="31"/>
    <x v="3"/>
    <x v="88"/>
    <m/>
    <m/>
    <m/>
    <n v="2"/>
    <n v="201208"/>
    <n v="0"/>
  </r>
  <r>
    <x v="437"/>
    <x v="2"/>
    <m/>
    <x v="6"/>
    <x v="2"/>
    <x v="126"/>
    <m/>
    <m/>
    <m/>
    <n v="3"/>
    <n v="201208"/>
    <n v="60000"/>
  </r>
  <r>
    <x v="437"/>
    <x v="2"/>
    <m/>
    <x v="34"/>
    <x v="2"/>
    <x v="128"/>
    <m/>
    <m/>
    <m/>
    <n v="22"/>
    <n v="201208"/>
    <n v="816200"/>
  </r>
  <r>
    <x v="437"/>
    <x v="2"/>
    <m/>
    <x v="25"/>
    <x v="2"/>
    <x v="129"/>
    <m/>
    <m/>
    <m/>
    <n v="1"/>
    <n v="201208"/>
    <n v="99000"/>
  </r>
  <r>
    <x v="437"/>
    <x v="2"/>
    <m/>
    <x v="0"/>
    <x v="2"/>
    <x v="130"/>
    <m/>
    <m/>
    <m/>
    <n v="32"/>
    <n v="201208"/>
    <n v="1056000"/>
  </r>
  <r>
    <x v="437"/>
    <x v="2"/>
    <m/>
    <x v="0"/>
    <x v="2"/>
    <x v="131"/>
    <m/>
    <m/>
    <m/>
    <n v="1"/>
    <n v="201208"/>
    <n v="33000"/>
  </r>
  <r>
    <x v="437"/>
    <x v="2"/>
    <m/>
    <x v="0"/>
    <x v="2"/>
    <x v="131"/>
    <m/>
    <m/>
    <m/>
    <n v="1"/>
    <n v="201208"/>
    <n v="33000"/>
  </r>
  <r>
    <x v="437"/>
    <x v="2"/>
    <m/>
    <x v="0"/>
    <x v="2"/>
    <x v="168"/>
    <m/>
    <m/>
    <m/>
    <n v="2"/>
    <n v="201208"/>
    <n v="40000"/>
  </r>
  <r>
    <x v="437"/>
    <x v="2"/>
    <m/>
    <x v="0"/>
    <x v="2"/>
    <x v="178"/>
    <m/>
    <m/>
    <m/>
    <n v="3"/>
    <n v="201208"/>
    <n v="105000"/>
  </r>
  <r>
    <x v="437"/>
    <x v="2"/>
    <m/>
    <x v="32"/>
    <x v="2"/>
    <x v="180"/>
    <m/>
    <m/>
    <m/>
    <n v="1"/>
    <n v="201208"/>
    <n v="37100"/>
  </r>
  <r>
    <x v="437"/>
    <x v="2"/>
    <m/>
    <x v="0"/>
    <x v="2"/>
    <x v="179"/>
    <m/>
    <m/>
    <m/>
    <n v="1"/>
    <n v="201208"/>
    <n v="3000"/>
  </r>
  <r>
    <x v="437"/>
    <x v="2"/>
    <m/>
    <x v="30"/>
    <x v="2"/>
    <x v="132"/>
    <m/>
    <m/>
    <m/>
    <n v="2"/>
    <n v="201208"/>
    <n v="44800"/>
  </r>
  <r>
    <x v="437"/>
    <x v="2"/>
    <m/>
    <x v="34"/>
    <x v="2"/>
    <x v="134"/>
    <m/>
    <m/>
    <m/>
    <n v="1"/>
    <n v="201208"/>
    <n v="37100"/>
  </r>
  <r>
    <x v="437"/>
    <x v="2"/>
    <m/>
    <x v="1"/>
    <x v="2"/>
    <x v="135"/>
    <m/>
    <m/>
    <m/>
    <n v="3"/>
    <n v="201208"/>
    <n v="60000"/>
  </r>
  <r>
    <x v="437"/>
    <x v="2"/>
    <m/>
    <x v="1"/>
    <x v="2"/>
    <x v="165"/>
    <m/>
    <m/>
    <m/>
    <n v="1"/>
    <n v="201208"/>
    <n v="35000"/>
  </r>
  <r>
    <x v="437"/>
    <x v="2"/>
    <m/>
    <x v="36"/>
    <x v="2"/>
    <x v="136"/>
    <m/>
    <m/>
    <m/>
    <n v="1"/>
    <n v="201208"/>
    <n v="28000"/>
  </r>
  <r>
    <x v="437"/>
    <x v="2"/>
    <m/>
    <x v="36"/>
    <x v="2"/>
    <x v="176"/>
    <m/>
    <m/>
    <m/>
    <n v="1"/>
    <n v="201208"/>
    <n v="49000"/>
  </r>
  <r>
    <x v="437"/>
    <x v="2"/>
    <m/>
    <x v="0"/>
    <x v="2"/>
    <x v="138"/>
    <m/>
    <m/>
    <m/>
    <n v="20"/>
    <n v="201208"/>
    <n v="400000"/>
  </r>
  <r>
    <x v="437"/>
    <x v="2"/>
    <m/>
    <x v="0"/>
    <x v="2"/>
    <x v="139"/>
    <m/>
    <m/>
    <m/>
    <n v="25"/>
    <n v="201208"/>
    <n v="875000"/>
  </r>
  <r>
    <x v="437"/>
    <x v="2"/>
    <m/>
    <x v="32"/>
    <x v="2"/>
    <x v="140"/>
    <m/>
    <m/>
    <m/>
    <n v="13"/>
    <n v="201208"/>
    <n v="482300"/>
  </r>
  <r>
    <x v="437"/>
    <x v="2"/>
    <m/>
    <x v="18"/>
    <x v="2"/>
    <x v="125"/>
    <m/>
    <m/>
    <m/>
    <n v="20"/>
    <n v="201208"/>
    <n v="60000"/>
  </r>
  <r>
    <x v="437"/>
    <x v="2"/>
    <m/>
    <x v="4"/>
    <x v="2"/>
    <x v="142"/>
    <m/>
    <m/>
    <m/>
    <n v="1"/>
    <n v="201208"/>
    <n v="4000"/>
  </r>
  <r>
    <x v="437"/>
    <x v="2"/>
    <m/>
    <x v="4"/>
    <x v="2"/>
    <x v="143"/>
    <m/>
    <m/>
    <m/>
    <n v="1"/>
    <n v="201208"/>
    <n v="20000"/>
  </r>
  <r>
    <x v="437"/>
    <x v="2"/>
    <m/>
    <x v="4"/>
    <x v="2"/>
    <x v="144"/>
    <m/>
    <m/>
    <m/>
    <n v="2"/>
    <n v="201208"/>
    <n v="8000"/>
  </r>
  <r>
    <x v="437"/>
    <x v="2"/>
    <m/>
    <x v="31"/>
    <x v="2"/>
    <x v="145"/>
    <m/>
    <m/>
    <m/>
    <n v="16"/>
    <n v="201208"/>
    <n v="358400"/>
  </r>
  <r>
    <x v="437"/>
    <x v="2"/>
    <m/>
    <x v="31"/>
    <x v="2"/>
    <x v="146"/>
    <m/>
    <m/>
    <m/>
    <n v="27"/>
    <n v="201208"/>
    <n v="1058400"/>
  </r>
  <r>
    <x v="437"/>
    <x v="2"/>
    <m/>
    <x v="32"/>
    <x v="2"/>
    <x v="147"/>
    <m/>
    <m/>
    <m/>
    <n v="17"/>
    <n v="201208"/>
    <n v="630700"/>
  </r>
  <r>
    <x v="437"/>
    <x v="2"/>
    <m/>
    <x v="31"/>
    <x v="2"/>
    <x v="146"/>
    <m/>
    <m/>
    <m/>
    <n v="9"/>
    <n v="201208"/>
    <n v="352800"/>
  </r>
  <r>
    <x v="437"/>
    <x v="2"/>
    <m/>
    <x v="32"/>
    <x v="2"/>
    <x v="147"/>
    <m/>
    <m/>
    <m/>
    <n v="2"/>
    <n v="201208"/>
    <n v="74200"/>
  </r>
  <r>
    <x v="437"/>
    <x v="2"/>
    <m/>
    <x v="0"/>
    <x v="2"/>
    <x v="174"/>
    <m/>
    <m/>
    <m/>
    <n v="1"/>
    <n v="201208"/>
    <n v="35000"/>
  </r>
  <r>
    <x v="437"/>
    <x v="2"/>
    <m/>
    <x v="22"/>
    <x v="2"/>
    <x v="150"/>
    <m/>
    <m/>
    <m/>
    <n v="3"/>
    <n v="201208"/>
    <n v="114000"/>
  </r>
  <r>
    <x v="437"/>
    <x v="2"/>
    <m/>
    <x v="22"/>
    <x v="2"/>
    <x v="150"/>
    <m/>
    <m/>
    <m/>
    <n v="5"/>
    <n v="201208"/>
    <n v="190000"/>
  </r>
  <r>
    <x v="437"/>
    <x v="2"/>
    <m/>
    <x v="5"/>
    <x v="2"/>
    <x v="151"/>
    <m/>
    <m/>
    <m/>
    <n v="8"/>
    <n v="201208"/>
    <n v="224000"/>
  </r>
  <r>
    <x v="437"/>
    <x v="2"/>
    <m/>
    <x v="5"/>
    <x v="2"/>
    <x v="152"/>
    <m/>
    <m/>
    <m/>
    <n v="6"/>
    <n v="201208"/>
    <n v="288000"/>
  </r>
  <r>
    <x v="437"/>
    <x v="2"/>
    <m/>
    <x v="5"/>
    <x v="2"/>
    <x v="153"/>
    <m/>
    <m/>
    <m/>
    <n v="2"/>
    <n v="201208"/>
    <n v="56000"/>
  </r>
  <r>
    <x v="437"/>
    <x v="2"/>
    <m/>
    <x v="33"/>
    <x v="2"/>
    <x v="156"/>
    <m/>
    <m/>
    <m/>
    <n v="1"/>
    <n v="201208"/>
    <n v="33800"/>
  </r>
  <r>
    <x v="437"/>
    <x v="2"/>
    <m/>
    <x v="19"/>
    <x v="2"/>
    <x v="157"/>
    <m/>
    <m/>
    <m/>
    <n v="2"/>
    <n v="201208"/>
    <n v="26000"/>
  </r>
  <r>
    <x v="437"/>
    <x v="2"/>
    <m/>
    <x v="19"/>
    <x v="2"/>
    <x v="158"/>
    <m/>
    <m/>
    <m/>
    <n v="5"/>
    <n v="201208"/>
    <n v="120000"/>
  </r>
  <r>
    <x v="437"/>
    <x v="2"/>
    <m/>
    <x v="35"/>
    <x v="2"/>
    <x v="170"/>
    <m/>
    <m/>
    <m/>
    <n v="1"/>
    <n v="201208"/>
    <n v="4000"/>
  </r>
  <r>
    <x v="437"/>
    <x v="2"/>
    <m/>
    <x v="35"/>
    <x v="2"/>
    <x v="160"/>
    <m/>
    <m/>
    <m/>
    <n v="2"/>
    <n v="201208"/>
    <n v="40000"/>
  </r>
  <r>
    <x v="437"/>
    <x v="2"/>
    <m/>
    <x v="18"/>
    <x v="2"/>
    <x v="161"/>
    <m/>
    <m/>
    <m/>
    <n v="12"/>
    <n v="201208"/>
    <n v="36000"/>
  </r>
  <r>
    <x v="437"/>
    <x v="2"/>
    <m/>
    <x v="0"/>
    <x v="9"/>
    <x v="162"/>
    <m/>
    <m/>
    <m/>
    <n v="2"/>
    <n v="201208"/>
    <n v="40000"/>
  </r>
  <r>
    <x v="439"/>
    <x v="6"/>
    <m/>
    <x v="0"/>
    <x v="7"/>
    <x v="163"/>
    <m/>
    <m/>
    <m/>
    <n v="3"/>
    <n v="201208"/>
    <n v="60000"/>
  </r>
  <r>
    <x v="439"/>
    <x v="6"/>
    <m/>
    <x v="6"/>
    <x v="2"/>
    <x v="126"/>
    <m/>
    <m/>
    <m/>
    <n v="1"/>
    <n v="201208"/>
    <n v="20000"/>
  </r>
  <r>
    <x v="439"/>
    <x v="6"/>
    <m/>
    <x v="6"/>
    <x v="2"/>
    <x v="127"/>
    <m/>
    <m/>
    <m/>
    <n v="1"/>
    <n v="201208"/>
    <n v="35000"/>
  </r>
  <r>
    <x v="439"/>
    <x v="6"/>
    <m/>
    <x v="34"/>
    <x v="2"/>
    <x v="128"/>
    <m/>
    <m/>
    <m/>
    <n v="23"/>
    <n v="201208"/>
    <n v="853300"/>
  </r>
  <r>
    <x v="439"/>
    <x v="6"/>
    <m/>
    <x v="25"/>
    <x v="2"/>
    <x v="129"/>
    <m/>
    <m/>
    <m/>
    <n v="3"/>
    <n v="201208"/>
    <n v="297000"/>
  </r>
  <r>
    <x v="439"/>
    <x v="6"/>
    <m/>
    <x v="0"/>
    <x v="2"/>
    <x v="130"/>
    <m/>
    <m/>
    <m/>
    <n v="29"/>
    <n v="201208"/>
    <n v="957000"/>
  </r>
  <r>
    <x v="439"/>
    <x v="6"/>
    <m/>
    <x v="0"/>
    <x v="2"/>
    <x v="131"/>
    <m/>
    <m/>
    <m/>
    <n v="1"/>
    <n v="201208"/>
    <n v="33000"/>
  </r>
  <r>
    <x v="439"/>
    <x v="6"/>
    <m/>
    <x v="0"/>
    <x v="2"/>
    <x v="168"/>
    <m/>
    <m/>
    <m/>
    <n v="7"/>
    <n v="201208"/>
    <n v="140000"/>
  </r>
  <r>
    <x v="439"/>
    <x v="6"/>
    <m/>
    <x v="0"/>
    <x v="2"/>
    <x v="178"/>
    <m/>
    <m/>
    <m/>
    <n v="1"/>
    <n v="201208"/>
    <n v="35000"/>
  </r>
  <r>
    <x v="439"/>
    <x v="6"/>
    <m/>
    <x v="32"/>
    <x v="2"/>
    <x v="180"/>
    <m/>
    <m/>
    <m/>
    <n v="1"/>
    <n v="201208"/>
    <n v="37100"/>
  </r>
  <r>
    <x v="439"/>
    <x v="6"/>
    <m/>
    <x v="0"/>
    <x v="2"/>
    <x v="179"/>
    <m/>
    <m/>
    <m/>
    <n v="4"/>
    <n v="201208"/>
    <n v="12000"/>
  </r>
  <r>
    <x v="439"/>
    <x v="6"/>
    <m/>
    <x v="30"/>
    <x v="2"/>
    <x v="132"/>
    <m/>
    <m/>
    <m/>
    <n v="4"/>
    <n v="201208"/>
    <n v="89600"/>
  </r>
  <r>
    <x v="439"/>
    <x v="6"/>
    <m/>
    <x v="30"/>
    <x v="2"/>
    <x v="133"/>
    <m/>
    <m/>
    <m/>
    <n v="2"/>
    <n v="201208"/>
    <n v="78400"/>
  </r>
  <r>
    <x v="439"/>
    <x v="6"/>
    <m/>
    <x v="34"/>
    <x v="2"/>
    <x v="134"/>
    <m/>
    <m/>
    <m/>
    <n v="2"/>
    <n v="201208"/>
    <n v="74200"/>
  </r>
  <r>
    <x v="439"/>
    <x v="6"/>
    <m/>
    <x v="1"/>
    <x v="2"/>
    <x v="135"/>
    <m/>
    <m/>
    <m/>
    <n v="2"/>
    <n v="201208"/>
    <n v="40000"/>
  </r>
  <r>
    <x v="439"/>
    <x v="6"/>
    <m/>
    <x v="36"/>
    <x v="2"/>
    <x v="136"/>
    <m/>
    <m/>
    <m/>
    <n v="4"/>
    <n v="201208"/>
    <n v="112000"/>
  </r>
  <r>
    <x v="439"/>
    <x v="6"/>
    <m/>
    <x v="36"/>
    <x v="2"/>
    <x v="137"/>
    <m/>
    <m/>
    <m/>
    <n v="1"/>
    <n v="201208"/>
    <n v="42000"/>
  </r>
  <r>
    <x v="439"/>
    <x v="6"/>
    <m/>
    <x v="0"/>
    <x v="2"/>
    <x v="138"/>
    <m/>
    <m/>
    <m/>
    <n v="38"/>
    <n v="201208"/>
    <n v="760000"/>
  </r>
  <r>
    <x v="439"/>
    <x v="6"/>
    <m/>
    <x v="0"/>
    <x v="2"/>
    <x v="139"/>
    <m/>
    <m/>
    <m/>
    <n v="13"/>
    <n v="201208"/>
    <n v="455000"/>
  </r>
  <r>
    <x v="439"/>
    <x v="6"/>
    <m/>
    <x v="32"/>
    <x v="2"/>
    <x v="140"/>
    <m/>
    <m/>
    <m/>
    <n v="6"/>
    <n v="201208"/>
    <n v="222600"/>
  </r>
  <r>
    <x v="439"/>
    <x v="6"/>
    <m/>
    <x v="18"/>
    <x v="2"/>
    <x v="125"/>
    <m/>
    <m/>
    <m/>
    <n v="19"/>
    <n v="201208"/>
    <n v="57000"/>
  </r>
  <r>
    <x v="439"/>
    <x v="6"/>
    <m/>
    <x v="0"/>
    <x v="2"/>
    <x v="141"/>
    <m/>
    <m/>
    <m/>
    <n v="3"/>
    <n v="201208"/>
    <n v="99000"/>
  </r>
  <r>
    <x v="439"/>
    <x v="6"/>
    <m/>
    <x v="4"/>
    <x v="2"/>
    <x v="142"/>
    <m/>
    <m/>
    <m/>
    <n v="4"/>
    <n v="201208"/>
    <n v="16000"/>
  </r>
  <r>
    <x v="439"/>
    <x v="6"/>
    <m/>
    <x v="4"/>
    <x v="2"/>
    <x v="143"/>
    <m/>
    <m/>
    <m/>
    <n v="6"/>
    <n v="201208"/>
    <n v="120000"/>
  </r>
  <r>
    <x v="439"/>
    <x v="6"/>
    <m/>
    <x v="4"/>
    <x v="2"/>
    <x v="144"/>
    <m/>
    <m/>
    <m/>
    <n v="1"/>
    <n v="201208"/>
    <n v="4000"/>
  </r>
  <r>
    <x v="439"/>
    <x v="6"/>
    <m/>
    <x v="31"/>
    <x v="2"/>
    <x v="145"/>
    <m/>
    <m/>
    <m/>
    <n v="25"/>
    <n v="201208"/>
    <n v="560000"/>
  </r>
  <r>
    <x v="439"/>
    <x v="6"/>
    <m/>
    <x v="31"/>
    <x v="2"/>
    <x v="146"/>
    <m/>
    <m/>
    <m/>
    <n v="35"/>
    <n v="201208"/>
    <n v="1372000"/>
  </r>
  <r>
    <x v="439"/>
    <x v="6"/>
    <m/>
    <x v="32"/>
    <x v="2"/>
    <x v="147"/>
    <m/>
    <m/>
    <m/>
    <n v="9"/>
    <n v="201208"/>
    <n v="333900"/>
  </r>
  <r>
    <x v="439"/>
    <x v="6"/>
    <m/>
    <x v="31"/>
    <x v="2"/>
    <x v="145"/>
    <m/>
    <m/>
    <m/>
    <n v="2"/>
    <n v="201208"/>
    <n v="44800"/>
  </r>
  <r>
    <x v="439"/>
    <x v="6"/>
    <m/>
    <x v="31"/>
    <x v="2"/>
    <x v="146"/>
    <m/>
    <m/>
    <m/>
    <n v="3"/>
    <n v="201208"/>
    <n v="117600"/>
  </r>
  <r>
    <x v="439"/>
    <x v="6"/>
    <m/>
    <x v="32"/>
    <x v="2"/>
    <x v="147"/>
    <m/>
    <m/>
    <m/>
    <n v="2"/>
    <n v="201208"/>
    <n v="74200"/>
  </r>
  <r>
    <x v="439"/>
    <x v="6"/>
    <m/>
    <x v="0"/>
    <x v="2"/>
    <x v="148"/>
    <m/>
    <m/>
    <m/>
    <n v="1"/>
    <n v="201208"/>
    <n v="20000"/>
  </r>
  <r>
    <x v="439"/>
    <x v="6"/>
    <m/>
    <x v="0"/>
    <x v="2"/>
    <x v="149"/>
    <m/>
    <m/>
    <m/>
    <n v="3"/>
    <n v="201208"/>
    <n v="60000"/>
  </r>
  <r>
    <x v="439"/>
    <x v="6"/>
    <m/>
    <x v="18"/>
    <x v="2"/>
    <x v="166"/>
    <m/>
    <m/>
    <m/>
    <n v="1"/>
    <n v="201208"/>
    <n v="3000"/>
  </r>
  <r>
    <x v="439"/>
    <x v="6"/>
    <m/>
    <x v="22"/>
    <x v="2"/>
    <x v="150"/>
    <m/>
    <m/>
    <m/>
    <n v="4"/>
    <n v="201208"/>
    <n v="152000"/>
  </r>
  <r>
    <x v="439"/>
    <x v="6"/>
    <m/>
    <x v="22"/>
    <x v="2"/>
    <x v="150"/>
    <m/>
    <m/>
    <m/>
    <n v="2"/>
    <n v="201208"/>
    <n v="76000"/>
  </r>
  <r>
    <x v="439"/>
    <x v="6"/>
    <m/>
    <x v="5"/>
    <x v="2"/>
    <x v="151"/>
    <m/>
    <m/>
    <m/>
    <n v="9"/>
    <n v="201208"/>
    <n v="252000"/>
  </r>
  <r>
    <x v="439"/>
    <x v="6"/>
    <m/>
    <x v="5"/>
    <x v="2"/>
    <x v="152"/>
    <m/>
    <m/>
    <m/>
    <n v="4"/>
    <n v="201208"/>
    <n v="192000"/>
  </r>
  <r>
    <x v="439"/>
    <x v="6"/>
    <m/>
    <x v="5"/>
    <x v="2"/>
    <x v="153"/>
    <m/>
    <m/>
    <m/>
    <n v="5"/>
    <n v="201208"/>
    <n v="140000"/>
  </r>
  <r>
    <x v="439"/>
    <x v="6"/>
    <m/>
    <x v="33"/>
    <x v="2"/>
    <x v="156"/>
    <m/>
    <m/>
    <m/>
    <n v="1"/>
    <n v="201208"/>
    <n v="33800"/>
  </r>
  <r>
    <x v="439"/>
    <x v="6"/>
    <m/>
    <x v="19"/>
    <x v="2"/>
    <x v="157"/>
    <m/>
    <m/>
    <m/>
    <n v="12"/>
    <n v="201208"/>
    <n v="156000"/>
  </r>
  <r>
    <x v="439"/>
    <x v="6"/>
    <m/>
    <x v="19"/>
    <x v="2"/>
    <x v="158"/>
    <m/>
    <m/>
    <m/>
    <n v="4"/>
    <n v="201208"/>
    <n v="96000"/>
  </r>
  <r>
    <x v="439"/>
    <x v="6"/>
    <m/>
    <x v="19"/>
    <x v="2"/>
    <x v="159"/>
    <m/>
    <m/>
    <m/>
    <n v="3"/>
    <n v="201208"/>
    <n v="99000"/>
  </r>
  <r>
    <x v="439"/>
    <x v="6"/>
    <m/>
    <x v="19"/>
    <x v="2"/>
    <x v="181"/>
    <m/>
    <m/>
    <m/>
    <n v="2"/>
    <n v="201208"/>
    <n v="26000"/>
  </r>
  <r>
    <x v="439"/>
    <x v="6"/>
    <m/>
    <x v="35"/>
    <x v="2"/>
    <x v="170"/>
    <m/>
    <m/>
    <m/>
    <n v="2"/>
    <n v="201208"/>
    <n v="8000"/>
  </r>
  <r>
    <x v="439"/>
    <x v="6"/>
    <m/>
    <x v="18"/>
    <x v="2"/>
    <x v="161"/>
    <m/>
    <m/>
    <m/>
    <n v="8"/>
    <n v="201208"/>
    <n v="24000"/>
  </r>
  <r>
    <x v="439"/>
    <x v="6"/>
    <m/>
    <x v="18"/>
    <x v="2"/>
    <x v="161"/>
    <m/>
    <m/>
    <m/>
    <n v="1"/>
    <n v="201208"/>
    <n v="3000"/>
  </r>
  <r>
    <x v="438"/>
    <x v="5"/>
    <m/>
    <x v="0"/>
    <x v="7"/>
    <x v="163"/>
    <m/>
    <m/>
    <m/>
    <n v="2"/>
    <n v="201208"/>
    <n v="40000"/>
  </r>
  <r>
    <x v="438"/>
    <x v="5"/>
    <m/>
    <x v="6"/>
    <x v="2"/>
    <x v="126"/>
    <m/>
    <m/>
    <m/>
    <n v="2"/>
    <n v="201208"/>
    <n v="40000"/>
  </r>
  <r>
    <x v="438"/>
    <x v="5"/>
    <m/>
    <x v="34"/>
    <x v="2"/>
    <x v="128"/>
    <m/>
    <m/>
    <m/>
    <n v="13"/>
    <n v="201208"/>
    <n v="482300"/>
  </r>
  <r>
    <x v="438"/>
    <x v="5"/>
    <m/>
    <x v="25"/>
    <x v="2"/>
    <x v="129"/>
    <m/>
    <m/>
    <m/>
    <n v="1"/>
    <n v="201208"/>
    <n v="99000"/>
  </r>
  <r>
    <x v="438"/>
    <x v="5"/>
    <m/>
    <x v="0"/>
    <x v="2"/>
    <x v="130"/>
    <m/>
    <m/>
    <m/>
    <n v="18"/>
    <n v="201208"/>
    <n v="594000"/>
  </r>
  <r>
    <x v="438"/>
    <x v="5"/>
    <m/>
    <x v="0"/>
    <x v="2"/>
    <x v="131"/>
    <m/>
    <m/>
    <m/>
    <n v="3"/>
    <n v="201208"/>
    <n v="99000"/>
  </r>
  <r>
    <x v="438"/>
    <x v="5"/>
    <m/>
    <x v="0"/>
    <x v="2"/>
    <x v="168"/>
    <m/>
    <m/>
    <m/>
    <n v="1"/>
    <n v="201208"/>
    <n v="20000"/>
  </r>
  <r>
    <x v="438"/>
    <x v="5"/>
    <m/>
    <x v="0"/>
    <x v="2"/>
    <x v="178"/>
    <m/>
    <m/>
    <m/>
    <n v="1"/>
    <n v="201208"/>
    <n v="35000"/>
  </r>
  <r>
    <x v="438"/>
    <x v="5"/>
    <m/>
    <x v="0"/>
    <x v="2"/>
    <x v="179"/>
    <m/>
    <m/>
    <m/>
    <n v="1"/>
    <n v="201208"/>
    <n v="3000"/>
  </r>
  <r>
    <x v="438"/>
    <x v="5"/>
    <m/>
    <x v="30"/>
    <x v="2"/>
    <x v="132"/>
    <m/>
    <m/>
    <m/>
    <n v="4"/>
    <n v="201208"/>
    <n v="89600"/>
  </r>
  <r>
    <x v="438"/>
    <x v="5"/>
    <m/>
    <x v="1"/>
    <x v="2"/>
    <x v="135"/>
    <m/>
    <m/>
    <m/>
    <n v="2"/>
    <n v="201208"/>
    <n v="40000"/>
  </r>
  <r>
    <x v="438"/>
    <x v="5"/>
    <m/>
    <x v="36"/>
    <x v="2"/>
    <x v="136"/>
    <m/>
    <m/>
    <m/>
    <n v="5"/>
    <n v="201208"/>
    <n v="140000"/>
  </r>
  <r>
    <x v="438"/>
    <x v="5"/>
    <m/>
    <x v="36"/>
    <x v="2"/>
    <x v="137"/>
    <m/>
    <m/>
    <m/>
    <n v="2"/>
    <n v="201208"/>
    <n v="84000"/>
  </r>
  <r>
    <x v="438"/>
    <x v="5"/>
    <m/>
    <x v="0"/>
    <x v="2"/>
    <x v="138"/>
    <m/>
    <m/>
    <m/>
    <n v="31"/>
    <n v="201208"/>
    <n v="620000"/>
  </r>
  <r>
    <x v="438"/>
    <x v="5"/>
    <m/>
    <x v="0"/>
    <x v="2"/>
    <x v="139"/>
    <m/>
    <m/>
    <m/>
    <n v="17"/>
    <n v="201208"/>
    <n v="595000"/>
  </r>
  <r>
    <x v="438"/>
    <x v="5"/>
    <m/>
    <x v="32"/>
    <x v="2"/>
    <x v="140"/>
    <m/>
    <m/>
    <m/>
    <n v="10"/>
    <n v="201208"/>
    <n v="371000"/>
  </r>
  <r>
    <x v="438"/>
    <x v="5"/>
    <m/>
    <x v="18"/>
    <x v="2"/>
    <x v="125"/>
    <m/>
    <m/>
    <m/>
    <n v="16"/>
    <n v="201208"/>
    <n v="48000"/>
  </r>
  <r>
    <x v="438"/>
    <x v="5"/>
    <m/>
    <x v="0"/>
    <x v="2"/>
    <x v="138"/>
    <m/>
    <m/>
    <m/>
    <n v="1"/>
    <n v="201208"/>
    <n v="20000"/>
  </r>
  <r>
    <x v="438"/>
    <x v="5"/>
    <m/>
    <x v="4"/>
    <x v="2"/>
    <x v="142"/>
    <m/>
    <m/>
    <m/>
    <n v="1"/>
    <n v="201208"/>
    <n v="4000"/>
  </r>
  <r>
    <x v="438"/>
    <x v="5"/>
    <m/>
    <x v="31"/>
    <x v="2"/>
    <x v="145"/>
    <m/>
    <m/>
    <m/>
    <n v="17"/>
    <n v="201208"/>
    <n v="380800"/>
  </r>
  <r>
    <x v="438"/>
    <x v="5"/>
    <m/>
    <x v="31"/>
    <x v="2"/>
    <x v="146"/>
    <m/>
    <m/>
    <m/>
    <n v="19"/>
    <n v="201208"/>
    <n v="744800"/>
  </r>
  <r>
    <x v="438"/>
    <x v="5"/>
    <m/>
    <x v="32"/>
    <x v="2"/>
    <x v="147"/>
    <m/>
    <m/>
    <m/>
    <n v="16"/>
    <n v="201208"/>
    <n v="593600"/>
  </r>
  <r>
    <x v="438"/>
    <x v="5"/>
    <m/>
    <x v="31"/>
    <x v="2"/>
    <x v="145"/>
    <m/>
    <m/>
    <m/>
    <n v="2"/>
    <n v="201208"/>
    <n v="44800"/>
  </r>
  <r>
    <x v="438"/>
    <x v="5"/>
    <m/>
    <x v="31"/>
    <x v="2"/>
    <x v="146"/>
    <m/>
    <m/>
    <m/>
    <n v="5"/>
    <n v="201208"/>
    <n v="196000"/>
  </r>
  <r>
    <x v="438"/>
    <x v="5"/>
    <m/>
    <x v="32"/>
    <x v="2"/>
    <x v="147"/>
    <m/>
    <m/>
    <m/>
    <n v="3"/>
    <n v="201208"/>
    <n v="111300"/>
  </r>
  <r>
    <x v="438"/>
    <x v="5"/>
    <m/>
    <x v="0"/>
    <x v="2"/>
    <x v="148"/>
    <m/>
    <m/>
    <m/>
    <n v="1"/>
    <n v="201208"/>
    <n v="20000"/>
  </r>
  <r>
    <x v="438"/>
    <x v="5"/>
    <m/>
    <x v="22"/>
    <x v="2"/>
    <x v="150"/>
    <m/>
    <m/>
    <m/>
    <n v="4"/>
    <n v="201208"/>
    <n v="152000"/>
  </r>
  <r>
    <x v="438"/>
    <x v="5"/>
    <m/>
    <x v="22"/>
    <x v="2"/>
    <x v="150"/>
    <m/>
    <m/>
    <m/>
    <n v="4"/>
    <n v="201208"/>
    <n v="152000"/>
  </r>
  <r>
    <x v="438"/>
    <x v="5"/>
    <m/>
    <x v="5"/>
    <x v="2"/>
    <x v="151"/>
    <m/>
    <m/>
    <m/>
    <n v="10"/>
    <n v="201208"/>
    <n v="280000"/>
  </r>
  <r>
    <x v="438"/>
    <x v="5"/>
    <m/>
    <x v="5"/>
    <x v="2"/>
    <x v="152"/>
    <m/>
    <m/>
    <m/>
    <n v="5"/>
    <n v="201208"/>
    <n v="240000"/>
  </r>
  <r>
    <x v="438"/>
    <x v="5"/>
    <m/>
    <x v="5"/>
    <x v="2"/>
    <x v="153"/>
    <m/>
    <m/>
    <m/>
    <n v="3"/>
    <n v="201208"/>
    <n v="84000"/>
  </r>
  <r>
    <x v="438"/>
    <x v="5"/>
    <m/>
    <x v="33"/>
    <x v="2"/>
    <x v="156"/>
    <m/>
    <m/>
    <m/>
    <n v="1"/>
    <n v="201208"/>
    <n v="33800"/>
  </r>
  <r>
    <x v="438"/>
    <x v="5"/>
    <m/>
    <x v="19"/>
    <x v="2"/>
    <x v="157"/>
    <m/>
    <m/>
    <m/>
    <n v="10"/>
    <n v="201208"/>
    <n v="130000"/>
  </r>
  <r>
    <x v="438"/>
    <x v="5"/>
    <m/>
    <x v="19"/>
    <x v="2"/>
    <x v="158"/>
    <m/>
    <m/>
    <m/>
    <n v="3"/>
    <n v="201208"/>
    <n v="72000"/>
  </r>
  <r>
    <x v="438"/>
    <x v="5"/>
    <m/>
    <x v="35"/>
    <x v="2"/>
    <x v="160"/>
    <m/>
    <m/>
    <m/>
    <n v="1"/>
    <n v="201208"/>
    <n v="20000"/>
  </r>
  <r>
    <x v="438"/>
    <x v="5"/>
    <m/>
    <x v="18"/>
    <x v="2"/>
    <x v="161"/>
    <m/>
    <m/>
    <m/>
    <n v="8"/>
    <n v="201208"/>
    <n v="24000"/>
  </r>
  <r>
    <x v="438"/>
    <x v="5"/>
    <m/>
    <x v="18"/>
    <x v="2"/>
    <x v="161"/>
    <m/>
    <m/>
    <m/>
    <n v="1"/>
    <n v="201208"/>
    <n v="3000"/>
  </r>
  <r>
    <x v="438"/>
    <x v="5"/>
    <m/>
    <x v="19"/>
    <x v="6"/>
    <x v="181"/>
    <m/>
    <m/>
    <m/>
    <n v="0"/>
    <n v="201208"/>
    <n v="0"/>
  </r>
  <r>
    <x v="440"/>
    <x v="3"/>
    <m/>
    <x v="0"/>
    <x v="1"/>
    <x v="123"/>
    <m/>
    <m/>
    <m/>
    <n v="8"/>
    <n v="201208"/>
    <n v="280000"/>
  </r>
  <r>
    <x v="440"/>
    <x v="3"/>
    <m/>
    <x v="0"/>
    <x v="7"/>
    <x v="163"/>
    <m/>
    <m/>
    <m/>
    <n v="2"/>
    <n v="201208"/>
    <n v="40000"/>
  </r>
  <r>
    <x v="440"/>
    <x v="3"/>
    <m/>
    <x v="0"/>
    <x v="3"/>
    <x v="164"/>
    <m/>
    <m/>
    <m/>
    <n v="3"/>
    <n v="201208"/>
    <n v="0"/>
  </r>
  <r>
    <x v="440"/>
    <x v="3"/>
    <m/>
    <x v="5"/>
    <x v="3"/>
    <x v="182"/>
    <m/>
    <m/>
    <m/>
    <n v="5"/>
    <n v="201208"/>
    <n v="0"/>
  </r>
  <r>
    <x v="440"/>
    <x v="3"/>
    <m/>
    <x v="6"/>
    <x v="2"/>
    <x v="126"/>
    <m/>
    <m/>
    <m/>
    <n v="2"/>
    <n v="201208"/>
    <n v="40000"/>
  </r>
  <r>
    <x v="440"/>
    <x v="3"/>
    <m/>
    <x v="34"/>
    <x v="2"/>
    <x v="128"/>
    <m/>
    <m/>
    <m/>
    <n v="24"/>
    <n v="201208"/>
    <n v="890400"/>
  </r>
  <r>
    <x v="440"/>
    <x v="3"/>
    <m/>
    <x v="25"/>
    <x v="2"/>
    <x v="129"/>
    <m/>
    <m/>
    <m/>
    <n v="1"/>
    <n v="201208"/>
    <n v="99000"/>
  </r>
  <r>
    <x v="440"/>
    <x v="3"/>
    <m/>
    <x v="0"/>
    <x v="2"/>
    <x v="130"/>
    <m/>
    <m/>
    <m/>
    <n v="42"/>
    <n v="201208"/>
    <n v="1386000"/>
  </r>
  <r>
    <x v="440"/>
    <x v="3"/>
    <m/>
    <x v="0"/>
    <x v="2"/>
    <x v="131"/>
    <m/>
    <m/>
    <m/>
    <n v="4"/>
    <n v="201208"/>
    <n v="132000"/>
  </r>
  <r>
    <x v="440"/>
    <x v="3"/>
    <m/>
    <x v="0"/>
    <x v="2"/>
    <x v="168"/>
    <m/>
    <m/>
    <m/>
    <n v="2"/>
    <n v="201208"/>
    <n v="40000"/>
  </r>
  <r>
    <x v="440"/>
    <x v="3"/>
    <m/>
    <x v="0"/>
    <x v="2"/>
    <x v="178"/>
    <m/>
    <m/>
    <m/>
    <n v="1"/>
    <n v="201208"/>
    <n v="35000"/>
  </r>
  <r>
    <x v="440"/>
    <x v="3"/>
    <m/>
    <x v="32"/>
    <x v="2"/>
    <x v="180"/>
    <m/>
    <m/>
    <m/>
    <n v="1"/>
    <n v="201208"/>
    <n v="37100"/>
  </r>
  <r>
    <x v="440"/>
    <x v="3"/>
    <m/>
    <x v="0"/>
    <x v="2"/>
    <x v="179"/>
    <m/>
    <m/>
    <m/>
    <n v="2"/>
    <n v="201208"/>
    <n v="6000"/>
  </r>
  <r>
    <x v="440"/>
    <x v="3"/>
    <m/>
    <x v="30"/>
    <x v="2"/>
    <x v="132"/>
    <m/>
    <m/>
    <m/>
    <n v="8"/>
    <n v="201208"/>
    <n v="179200"/>
  </r>
  <r>
    <x v="440"/>
    <x v="3"/>
    <m/>
    <x v="30"/>
    <x v="2"/>
    <x v="133"/>
    <m/>
    <m/>
    <m/>
    <n v="2"/>
    <n v="201208"/>
    <n v="78400"/>
  </r>
  <r>
    <x v="440"/>
    <x v="3"/>
    <m/>
    <x v="34"/>
    <x v="2"/>
    <x v="134"/>
    <m/>
    <m/>
    <m/>
    <n v="2"/>
    <n v="201208"/>
    <n v="74200"/>
  </r>
  <r>
    <x v="440"/>
    <x v="3"/>
    <m/>
    <x v="1"/>
    <x v="2"/>
    <x v="135"/>
    <m/>
    <m/>
    <m/>
    <n v="1"/>
    <n v="201208"/>
    <n v="20000"/>
  </r>
  <r>
    <x v="440"/>
    <x v="3"/>
    <m/>
    <x v="1"/>
    <x v="2"/>
    <x v="183"/>
    <m/>
    <m/>
    <m/>
    <n v="1"/>
    <n v="201208"/>
    <n v="17500"/>
  </r>
  <r>
    <x v="440"/>
    <x v="3"/>
    <m/>
    <x v="36"/>
    <x v="2"/>
    <x v="136"/>
    <m/>
    <m/>
    <m/>
    <n v="4"/>
    <n v="201208"/>
    <n v="112000"/>
  </r>
  <r>
    <x v="440"/>
    <x v="3"/>
    <m/>
    <x v="36"/>
    <x v="2"/>
    <x v="176"/>
    <m/>
    <m/>
    <m/>
    <n v="1"/>
    <n v="201208"/>
    <n v="49000"/>
  </r>
  <r>
    <x v="440"/>
    <x v="3"/>
    <m/>
    <x v="36"/>
    <x v="2"/>
    <x v="137"/>
    <m/>
    <m/>
    <m/>
    <n v="1"/>
    <n v="201208"/>
    <n v="42000"/>
  </r>
  <r>
    <x v="440"/>
    <x v="3"/>
    <m/>
    <x v="0"/>
    <x v="2"/>
    <x v="138"/>
    <m/>
    <m/>
    <m/>
    <n v="36"/>
    <n v="201208"/>
    <n v="720000"/>
  </r>
  <r>
    <x v="440"/>
    <x v="3"/>
    <m/>
    <x v="0"/>
    <x v="2"/>
    <x v="139"/>
    <m/>
    <m/>
    <m/>
    <n v="25"/>
    <n v="201208"/>
    <n v="875000"/>
  </r>
  <r>
    <x v="440"/>
    <x v="3"/>
    <m/>
    <x v="32"/>
    <x v="2"/>
    <x v="140"/>
    <m/>
    <m/>
    <m/>
    <n v="4"/>
    <n v="201208"/>
    <n v="148400"/>
  </r>
  <r>
    <x v="440"/>
    <x v="3"/>
    <m/>
    <x v="18"/>
    <x v="2"/>
    <x v="125"/>
    <m/>
    <m/>
    <m/>
    <n v="24"/>
    <n v="201208"/>
    <n v="72000"/>
  </r>
  <r>
    <x v="440"/>
    <x v="3"/>
    <m/>
    <x v="0"/>
    <x v="2"/>
    <x v="139"/>
    <m/>
    <m/>
    <m/>
    <n v="1"/>
    <n v="201208"/>
    <n v="35000"/>
  </r>
  <r>
    <x v="440"/>
    <x v="3"/>
    <m/>
    <x v="0"/>
    <x v="2"/>
    <x v="141"/>
    <m/>
    <m/>
    <m/>
    <n v="4"/>
    <n v="201208"/>
    <n v="132000"/>
  </r>
  <r>
    <x v="440"/>
    <x v="3"/>
    <m/>
    <x v="4"/>
    <x v="2"/>
    <x v="142"/>
    <m/>
    <m/>
    <m/>
    <n v="4"/>
    <n v="201208"/>
    <n v="16000"/>
  </r>
  <r>
    <x v="440"/>
    <x v="3"/>
    <m/>
    <x v="4"/>
    <x v="2"/>
    <x v="143"/>
    <m/>
    <m/>
    <m/>
    <n v="6"/>
    <n v="201208"/>
    <n v="120000"/>
  </r>
  <r>
    <x v="440"/>
    <x v="3"/>
    <m/>
    <x v="4"/>
    <x v="2"/>
    <x v="144"/>
    <m/>
    <m/>
    <m/>
    <n v="7"/>
    <n v="201208"/>
    <n v="28000"/>
  </r>
  <r>
    <x v="440"/>
    <x v="3"/>
    <m/>
    <x v="31"/>
    <x v="2"/>
    <x v="145"/>
    <m/>
    <m/>
    <m/>
    <n v="30"/>
    <n v="201208"/>
    <n v="672000"/>
  </r>
  <r>
    <x v="440"/>
    <x v="3"/>
    <m/>
    <x v="31"/>
    <x v="2"/>
    <x v="146"/>
    <m/>
    <m/>
    <m/>
    <n v="22"/>
    <n v="201208"/>
    <n v="862400"/>
  </r>
  <r>
    <x v="440"/>
    <x v="3"/>
    <m/>
    <x v="32"/>
    <x v="2"/>
    <x v="147"/>
    <m/>
    <m/>
    <m/>
    <n v="16"/>
    <n v="201208"/>
    <n v="593600"/>
  </r>
  <r>
    <x v="440"/>
    <x v="3"/>
    <m/>
    <x v="31"/>
    <x v="2"/>
    <x v="145"/>
    <m/>
    <m/>
    <m/>
    <n v="1"/>
    <n v="201208"/>
    <n v="22400"/>
  </r>
  <r>
    <x v="440"/>
    <x v="3"/>
    <m/>
    <x v="31"/>
    <x v="2"/>
    <x v="146"/>
    <m/>
    <m/>
    <m/>
    <n v="4"/>
    <n v="201208"/>
    <n v="156800"/>
  </r>
  <r>
    <x v="440"/>
    <x v="3"/>
    <m/>
    <x v="32"/>
    <x v="2"/>
    <x v="147"/>
    <m/>
    <m/>
    <m/>
    <n v="2"/>
    <n v="201208"/>
    <n v="74200"/>
  </r>
  <r>
    <x v="440"/>
    <x v="3"/>
    <m/>
    <x v="22"/>
    <x v="2"/>
    <x v="150"/>
    <m/>
    <m/>
    <m/>
    <n v="6"/>
    <n v="201208"/>
    <n v="228000"/>
  </r>
  <r>
    <x v="440"/>
    <x v="3"/>
    <m/>
    <x v="22"/>
    <x v="2"/>
    <x v="150"/>
    <m/>
    <m/>
    <m/>
    <n v="2"/>
    <n v="201208"/>
    <n v="76000"/>
  </r>
  <r>
    <x v="440"/>
    <x v="3"/>
    <m/>
    <x v="5"/>
    <x v="2"/>
    <x v="151"/>
    <m/>
    <m/>
    <m/>
    <n v="23"/>
    <n v="201208"/>
    <n v="644000"/>
  </r>
  <r>
    <x v="440"/>
    <x v="3"/>
    <m/>
    <x v="5"/>
    <x v="2"/>
    <x v="152"/>
    <m/>
    <m/>
    <m/>
    <n v="4"/>
    <n v="201208"/>
    <n v="192000"/>
  </r>
  <r>
    <x v="440"/>
    <x v="3"/>
    <m/>
    <x v="5"/>
    <x v="2"/>
    <x v="153"/>
    <m/>
    <m/>
    <m/>
    <n v="1"/>
    <n v="201208"/>
    <n v="28000"/>
  </r>
  <r>
    <x v="440"/>
    <x v="3"/>
    <m/>
    <x v="33"/>
    <x v="2"/>
    <x v="155"/>
    <m/>
    <m/>
    <m/>
    <n v="3"/>
    <n v="201208"/>
    <n v="54600"/>
  </r>
  <r>
    <x v="440"/>
    <x v="3"/>
    <m/>
    <x v="33"/>
    <x v="2"/>
    <x v="156"/>
    <m/>
    <m/>
    <m/>
    <n v="1"/>
    <n v="201208"/>
    <n v="33800"/>
  </r>
  <r>
    <x v="440"/>
    <x v="3"/>
    <m/>
    <x v="19"/>
    <x v="2"/>
    <x v="157"/>
    <m/>
    <m/>
    <m/>
    <n v="11"/>
    <n v="201208"/>
    <n v="143000"/>
  </r>
  <r>
    <x v="440"/>
    <x v="3"/>
    <m/>
    <x v="19"/>
    <x v="2"/>
    <x v="158"/>
    <m/>
    <m/>
    <m/>
    <n v="7"/>
    <n v="201208"/>
    <n v="168000"/>
  </r>
  <r>
    <x v="440"/>
    <x v="3"/>
    <m/>
    <x v="35"/>
    <x v="2"/>
    <x v="170"/>
    <m/>
    <m/>
    <m/>
    <n v="3"/>
    <n v="201208"/>
    <n v="12000"/>
  </r>
  <r>
    <x v="440"/>
    <x v="3"/>
    <m/>
    <x v="35"/>
    <x v="2"/>
    <x v="160"/>
    <m/>
    <m/>
    <m/>
    <n v="3"/>
    <n v="201208"/>
    <n v="60000"/>
  </r>
  <r>
    <x v="440"/>
    <x v="3"/>
    <m/>
    <x v="18"/>
    <x v="2"/>
    <x v="161"/>
    <m/>
    <m/>
    <m/>
    <n v="34"/>
    <n v="201208"/>
    <n v="102000"/>
  </r>
  <r>
    <x v="440"/>
    <x v="3"/>
    <m/>
    <x v="0"/>
    <x v="9"/>
    <x v="162"/>
    <m/>
    <m/>
    <m/>
    <n v="2"/>
    <n v="201208"/>
    <n v="40000"/>
  </r>
  <r>
    <x v="441"/>
    <x v="4"/>
    <m/>
    <x v="0"/>
    <x v="7"/>
    <x v="163"/>
    <m/>
    <m/>
    <m/>
    <n v="5"/>
    <n v="201208"/>
    <n v="100000"/>
  </r>
  <r>
    <x v="441"/>
    <x v="4"/>
    <m/>
    <x v="0"/>
    <x v="3"/>
    <x v="164"/>
    <m/>
    <m/>
    <m/>
    <n v="2"/>
    <n v="201208"/>
    <n v="0"/>
  </r>
  <r>
    <x v="441"/>
    <x v="4"/>
    <m/>
    <x v="6"/>
    <x v="2"/>
    <x v="126"/>
    <m/>
    <m/>
    <m/>
    <n v="2"/>
    <n v="201208"/>
    <n v="40000"/>
  </r>
  <r>
    <x v="441"/>
    <x v="4"/>
    <m/>
    <x v="6"/>
    <x v="2"/>
    <x v="127"/>
    <m/>
    <m/>
    <m/>
    <n v="1"/>
    <n v="201208"/>
    <n v="35000"/>
  </r>
  <r>
    <x v="441"/>
    <x v="4"/>
    <m/>
    <x v="34"/>
    <x v="2"/>
    <x v="128"/>
    <m/>
    <m/>
    <m/>
    <n v="12"/>
    <n v="201208"/>
    <n v="445200"/>
  </r>
  <r>
    <x v="441"/>
    <x v="4"/>
    <m/>
    <x v="25"/>
    <x v="2"/>
    <x v="129"/>
    <m/>
    <m/>
    <m/>
    <n v="5"/>
    <n v="201208"/>
    <n v="495000"/>
  </r>
  <r>
    <x v="441"/>
    <x v="4"/>
    <m/>
    <x v="0"/>
    <x v="2"/>
    <x v="130"/>
    <m/>
    <m/>
    <m/>
    <n v="27"/>
    <n v="201208"/>
    <n v="891000"/>
  </r>
  <r>
    <x v="441"/>
    <x v="4"/>
    <m/>
    <x v="0"/>
    <x v="2"/>
    <x v="131"/>
    <m/>
    <m/>
    <m/>
    <n v="2"/>
    <n v="201208"/>
    <n v="66000"/>
  </r>
  <r>
    <x v="441"/>
    <x v="4"/>
    <m/>
    <x v="0"/>
    <x v="2"/>
    <x v="168"/>
    <m/>
    <m/>
    <m/>
    <n v="4"/>
    <n v="201208"/>
    <n v="80000"/>
  </r>
  <r>
    <x v="441"/>
    <x v="4"/>
    <m/>
    <x v="0"/>
    <x v="2"/>
    <x v="178"/>
    <m/>
    <m/>
    <m/>
    <n v="2"/>
    <n v="201208"/>
    <n v="70000"/>
  </r>
  <r>
    <x v="441"/>
    <x v="4"/>
    <m/>
    <x v="0"/>
    <x v="2"/>
    <x v="179"/>
    <m/>
    <m/>
    <m/>
    <n v="4"/>
    <n v="201208"/>
    <n v="12000"/>
  </r>
  <r>
    <x v="441"/>
    <x v="4"/>
    <m/>
    <x v="30"/>
    <x v="2"/>
    <x v="132"/>
    <m/>
    <m/>
    <m/>
    <n v="1"/>
    <n v="201208"/>
    <n v="22400"/>
  </r>
  <r>
    <x v="441"/>
    <x v="4"/>
    <m/>
    <x v="30"/>
    <x v="2"/>
    <x v="133"/>
    <m/>
    <m/>
    <m/>
    <n v="3"/>
    <n v="201208"/>
    <n v="117600"/>
  </r>
  <r>
    <x v="441"/>
    <x v="4"/>
    <m/>
    <x v="34"/>
    <x v="2"/>
    <x v="134"/>
    <m/>
    <m/>
    <m/>
    <n v="3"/>
    <n v="201208"/>
    <n v="111300"/>
  </r>
  <r>
    <x v="441"/>
    <x v="4"/>
    <m/>
    <x v="1"/>
    <x v="2"/>
    <x v="135"/>
    <m/>
    <m/>
    <m/>
    <n v="4"/>
    <n v="201208"/>
    <n v="80000"/>
  </r>
  <r>
    <x v="441"/>
    <x v="4"/>
    <m/>
    <x v="1"/>
    <x v="2"/>
    <x v="165"/>
    <m/>
    <m/>
    <m/>
    <n v="1"/>
    <n v="201208"/>
    <n v="35000"/>
  </r>
  <r>
    <x v="441"/>
    <x v="4"/>
    <m/>
    <x v="36"/>
    <x v="2"/>
    <x v="136"/>
    <m/>
    <m/>
    <m/>
    <n v="4"/>
    <n v="201208"/>
    <n v="112000"/>
  </r>
  <r>
    <x v="441"/>
    <x v="4"/>
    <m/>
    <x v="36"/>
    <x v="2"/>
    <x v="176"/>
    <m/>
    <m/>
    <m/>
    <n v="2"/>
    <n v="201208"/>
    <n v="98000"/>
  </r>
  <r>
    <x v="441"/>
    <x v="4"/>
    <m/>
    <x v="0"/>
    <x v="2"/>
    <x v="138"/>
    <m/>
    <m/>
    <m/>
    <n v="29"/>
    <n v="201208"/>
    <n v="580000"/>
  </r>
  <r>
    <x v="441"/>
    <x v="4"/>
    <m/>
    <x v="0"/>
    <x v="2"/>
    <x v="139"/>
    <m/>
    <m/>
    <m/>
    <n v="27"/>
    <n v="201208"/>
    <n v="945000"/>
  </r>
  <r>
    <x v="441"/>
    <x v="4"/>
    <m/>
    <x v="32"/>
    <x v="2"/>
    <x v="140"/>
    <m/>
    <m/>
    <m/>
    <n v="4"/>
    <n v="201208"/>
    <n v="148400"/>
  </r>
  <r>
    <x v="441"/>
    <x v="4"/>
    <m/>
    <x v="18"/>
    <x v="2"/>
    <x v="125"/>
    <m/>
    <m/>
    <m/>
    <n v="15"/>
    <n v="201208"/>
    <n v="45000"/>
  </r>
  <r>
    <x v="441"/>
    <x v="4"/>
    <m/>
    <x v="0"/>
    <x v="2"/>
    <x v="139"/>
    <m/>
    <m/>
    <m/>
    <n v="1"/>
    <n v="201208"/>
    <n v="35000"/>
  </r>
  <r>
    <x v="441"/>
    <x v="4"/>
    <m/>
    <x v="0"/>
    <x v="2"/>
    <x v="141"/>
    <m/>
    <m/>
    <m/>
    <n v="2"/>
    <n v="201208"/>
    <n v="66000"/>
  </r>
  <r>
    <x v="441"/>
    <x v="4"/>
    <m/>
    <x v="4"/>
    <x v="2"/>
    <x v="143"/>
    <m/>
    <m/>
    <m/>
    <n v="10"/>
    <n v="201208"/>
    <n v="200000"/>
  </r>
  <r>
    <x v="441"/>
    <x v="4"/>
    <m/>
    <x v="4"/>
    <x v="2"/>
    <x v="144"/>
    <m/>
    <m/>
    <m/>
    <n v="3"/>
    <n v="201208"/>
    <n v="12000"/>
  </r>
  <r>
    <x v="441"/>
    <x v="4"/>
    <m/>
    <x v="31"/>
    <x v="2"/>
    <x v="145"/>
    <m/>
    <m/>
    <m/>
    <n v="23"/>
    <n v="201208"/>
    <n v="515200"/>
  </r>
  <r>
    <x v="441"/>
    <x v="4"/>
    <m/>
    <x v="31"/>
    <x v="2"/>
    <x v="146"/>
    <m/>
    <m/>
    <m/>
    <n v="34"/>
    <n v="201208"/>
    <n v="1332800"/>
  </r>
  <r>
    <x v="441"/>
    <x v="4"/>
    <m/>
    <x v="32"/>
    <x v="2"/>
    <x v="147"/>
    <m/>
    <m/>
    <m/>
    <n v="27"/>
    <n v="201208"/>
    <n v="1001700"/>
  </r>
  <r>
    <x v="441"/>
    <x v="4"/>
    <m/>
    <x v="31"/>
    <x v="2"/>
    <x v="145"/>
    <m/>
    <m/>
    <m/>
    <n v="1"/>
    <n v="201208"/>
    <n v="22400"/>
  </r>
  <r>
    <x v="441"/>
    <x v="4"/>
    <m/>
    <x v="31"/>
    <x v="2"/>
    <x v="146"/>
    <m/>
    <m/>
    <m/>
    <n v="5"/>
    <n v="201208"/>
    <n v="196000"/>
  </r>
  <r>
    <x v="441"/>
    <x v="4"/>
    <m/>
    <x v="32"/>
    <x v="2"/>
    <x v="147"/>
    <m/>
    <m/>
    <m/>
    <n v="1"/>
    <n v="201208"/>
    <n v="37100"/>
  </r>
  <r>
    <x v="441"/>
    <x v="4"/>
    <m/>
    <x v="0"/>
    <x v="2"/>
    <x v="148"/>
    <m/>
    <m/>
    <m/>
    <n v="1"/>
    <n v="201208"/>
    <n v="20000"/>
  </r>
  <r>
    <x v="441"/>
    <x v="4"/>
    <m/>
    <x v="0"/>
    <x v="2"/>
    <x v="149"/>
    <m/>
    <m/>
    <m/>
    <n v="2"/>
    <n v="201208"/>
    <n v="40000"/>
  </r>
  <r>
    <x v="441"/>
    <x v="4"/>
    <m/>
    <x v="22"/>
    <x v="2"/>
    <x v="150"/>
    <m/>
    <m/>
    <m/>
    <n v="5"/>
    <n v="201208"/>
    <n v="190000"/>
  </r>
  <r>
    <x v="441"/>
    <x v="4"/>
    <m/>
    <x v="22"/>
    <x v="2"/>
    <x v="150"/>
    <m/>
    <m/>
    <m/>
    <n v="1"/>
    <n v="201208"/>
    <n v="38000"/>
  </r>
  <r>
    <x v="441"/>
    <x v="4"/>
    <m/>
    <x v="5"/>
    <x v="2"/>
    <x v="151"/>
    <m/>
    <m/>
    <m/>
    <n v="21"/>
    <n v="201208"/>
    <n v="588000"/>
  </r>
  <r>
    <x v="441"/>
    <x v="4"/>
    <m/>
    <x v="5"/>
    <x v="2"/>
    <x v="152"/>
    <m/>
    <m/>
    <m/>
    <n v="5"/>
    <n v="201208"/>
    <n v="240000"/>
  </r>
  <r>
    <x v="441"/>
    <x v="4"/>
    <m/>
    <x v="5"/>
    <x v="2"/>
    <x v="153"/>
    <m/>
    <m/>
    <m/>
    <n v="1"/>
    <n v="201208"/>
    <n v="28000"/>
  </r>
  <r>
    <x v="441"/>
    <x v="4"/>
    <m/>
    <x v="33"/>
    <x v="2"/>
    <x v="155"/>
    <m/>
    <m/>
    <m/>
    <n v="1"/>
    <n v="201208"/>
    <n v="18200"/>
  </r>
  <r>
    <x v="441"/>
    <x v="4"/>
    <m/>
    <x v="33"/>
    <x v="2"/>
    <x v="156"/>
    <m/>
    <m/>
    <m/>
    <n v="1"/>
    <n v="201208"/>
    <n v="33800"/>
  </r>
  <r>
    <x v="441"/>
    <x v="4"/>
    <m/>
    <x v="19"/>
    <x v="2"/>
    <x v="157"/>
    <m/>
    <m/>
    <m/>
    <n v="11"/>
    <n v="201208"/>
    <n v="143000"/>
  </r>
  <r>
    <x v="441"/>
    <x v="4"/>
    <m/>
    <x v="19"/>
    <x v="2"/>
    <x v="158"/>
    <m/>
    <m/>
    <m/>
    <n v="4"/>
    <n v="201208"/>
    <n v="96000"/>
  </r>
  <r>
    <x v="441"/>
    <x v="4"/>
    <m/>
    <x v="35"/>
    <x v="2"/>
    <x v="170"/>
    <m/>
    <m/>
    <m/>
    <n v="1"/>
    <n v="201208"/>
    <n v="4000"/>
  </r>
  <r>
    <x v="441"/>
    <x v="4"/>
    <m/>
    <x v="35"/>
    <x v="2"/>
    <x v="160"/>
    <m/>
    <m/>
    <m/>
    <n v="4"/>
    <n v="201208"/>
    <n v="80000"/>
  </r>
  <r>
    <x v="441"/>
    <x v="4"/>
    <m/>
    <x v="18"/>
    <x v="2"/>
    <x v="161"/>
    <m/>
    <m/>
    <m/>
    <n v="18"/>
    <n v="201208"/>
    <n v="54000"/>
  </r>
  <r>
    <x v="441"/>
    <x v="4"/>
    <m/>
    <x v="18"/>
    <x v="2"/>
    <x v="161"/>
    <m/>
    <m/>
    <m/>
    <n v="1"/>
    <n v="201208"/>
    <n v="3000"/>
  </r>
  <r>
    <x v="441"/>
    <x v="4"/>
    <m/>
    <x v="0"/>
    <x v="9"/>
    <x v="162"/>
    <m/>
    <m/>
    <m/>
    <n v="1"/>
    <n v="201208"/>
    <n v="20000"/>
  </r>
  <r>
    <x v="442"/>
    <x v="1"/>
    <m/>
    <x v="0"/>
    <x v="1"/>
    <x v="123"/>
    <m/>
    <m/>
    <m/>
    <n v="4"/>
    <n v="201208"/>
    <n v="140000"/>
  </r>
  <r>
    <x v="442"/>
    <x v="1"/>
    <m/>
    <x v="0"/>
    <x v="1"/>
    <x v="124"/>
    <m/>
    <m/>
    <m/>
    <n v="1"/>
    <n v="201208"/>
    <n v="20000"/>
  </r>
  <r>
    <x v="442"/>
    <x v="1"/>
    <m/>
    <x v="6"/>
    <x v="5"/>
    <x v="172"/>
    <m/>
    <m/>
    <m/>
    <n v="10"/>
    <n v="201208"/>
    <n v="200000"/>
  </r>
  <r>
    <x v="442"/>
    <x v="1"/>
    <m/>
    <x v="0"/>
    <x v="7"/>
    <x v="163"/>
    <m/>
    <m/>
    <m/>
    <n v="2"/>
    <n v="201208"/>
    <n v="40000"/>
  </r>
  <r>
    <x v="442"/>
    <x v="1"/>
    <m/>
    <x v="0"/>
    <x v="3"/>
    <x v="164"/>
    <m/>
    <m/>
    <m/>
    <n v="1"/>
    <n v="201208"/>
    <n v="0"/>
  </r>
  <r>
    <x v="442"/>
    <x v="1"/>
    <m/>
    <x v="31"/>
    <x v="3"/>
    <x v="88"/>
    <m/>
    <m/>
    <m/>
    <n v="2"/>
    <n v="201208"/>
    <n v="0"/>
  </r>
  <r>
    <x v="442"/>
    <x v="1"/>
    <m/>
    <x v="6"/>
    <x v="2"/>
    <x v="126"/>
    <m/>
    <m/>
    <m/>
    <n v="3"/>
    <n v="201208"/>
    <n v="60000"/>
  </r>
  <r>
    <x v="442"/>
    <x v="1"/>
    <m/>
    <x v="34"/>
    <x v="2"/>
    <x v="128"/>
    <m/>
    <m/>
    <m/>
    <n v="17"/>
    <n v="201208"/>
    <n v="630700"/>
  </r>
  <r>
    <x v="442"/>
    <x v="1"/>
    <m/>
    <x v="25"/>
    <x v="2"/>
    <x v="129"/>
    <m/>
    <m/>
    <m/>
    <n v="1"/>
    <n v="201208"/>
    <n v="99000"/>
  </r>
  <r>
    <x v="442"/>
    <x v="1"/>
    <m/>
    <x v="0"/>
    <x v="2"/>
    <x v="130"/>
    <m/>
    <m/>
    <m/>
    <n v="27"/>
    <n v="201208"/>
    <n v="891000"/>
  </r>
  <r>
    <x v="442"/>
    <x v="1"/>
    <m/>
    <x v="0"/>
    <x v="2"/>
    <x v="168"/>
    <m/>
    <m/>
    <m/>
    <n v="1"/>
    <n v="201208"/>
    <n v="20000"/>
  </r>
  <r>
    <x v="442"/>
    <x v="1"/>
    <m/>
    <x v="0"/>
    <x v="2"/>
    <x v="178"/>
    <m/>
    <m/>
    <m/>
    <n v="1"/>
    <n v="201208"/>
    <n v="35000"/>
  </r>
  <r>
    <x v="442"/>
    <x v="1"/>
    <m/>
    <x v="0"/>
    <x v="2"/>
    <x v="179"/>
    <m/>
    <m/>
    <m/>
    <n v="1"/>
    <n v="201208"/>
    <n v="3000"/>
  </r>
  <r>
    <x v="442"/>
    <x v="1"/>
    <m/>
    <x v="30"/>
    <x v="2"/>
    <x v="132"/>
    <m/>
    <m/>
    <m/>
    <n v="2"/>
    <n v="201208"/>
    <n v="44800"/>
  </r>
  <r>
    <x v="442"/>
    <x v="1"/>
    <m/>
    <x v="30"/>
    <x v="2"/>
    <x v="133"/>
    <m/>
    <m/>
    <m/>
    <n v="2"/>
    <n v="201208"/>
    <n v="78400"/>
  </r>
  <r>
    <x v="442"/>
    <x v="1"/>
    <m/>
    <x v="1"/>
    <x v="2"/>
    <x v="135"/>
    <m/>
    <m/>
    <m/>
    <n v="4"/>
    <n v="201208"/>
    <n v="80000"/>
  </r>
  <r>
    <x v="442"/>
    <x v="1"/>
    <m/>
    <x v="1"/>
    <x v="2"/>
    <x v="165"/>
    <m/>
    <m/>
    <m/>
    <n v="1"/>
    <n v="201208"/>
    <n v="35000"/>
  </r>
  <r>
    <x v="442"/>
    <x v="1"/>
    <m/>
    <x v="1"/>
    <x v="2"/>
    <x v="183"/>
    <m/>
    <m/>
    <m/>
    <n v="1"/>
    <n v="201208"/>
    <n v="17500"/>
  </r>
  <r>
    <x v="442"/>
    <x v="1"/>
    <m/>
    <x v="36"/>
    <x v="2"/>
    <x v="136"/>
    <m/>
    <m/>
    <m/>
    <n v="3"/>
    <n v="201208"/>
    <n v="84000"/>
  </r>
  <r>
    <x v="442"/>
    <x v="1"/>
    <m/>
    <x v="36"/>
    <x v="2"/>
    <x v="137"/>
    <m/>
    <m/>
    <m/>
    <n v="2"/>
    <n v="201208"/>
    <n v="84000"/>
  </r>
  <r>
    <x v="442"/>
    <x v="1"/>
    <m/>
    <x v="0"/>
    <x v="2"/>
    <x v="138"/>
    <m/>
    <m/>
    <m/>
    <n v="27"/>
    <n v="201208"/>
    <n v="540000"/>
  </r>
  <r>
    <x v="442"/>
    <x v="1"/>
    <m/>
    <x v="0"/>
    <x v="2"/>
    <x v="139"/>
    <m/>
    <m/>
    <m/>
    <n v="28"/>
    <n v="201208"/>
    <n v="980000"/>
  </r>
  <r>
    <x v="442"/>
    <x v="1"/>
    <m/>
    <x v="32"/>
    <x v="2"/>
    <x v="140"/>
    <m/>
    <m/>
    <m/>
    <n v="8"/>
    <n v="201208"/>
    <n v="296800"/>
  </r>
  <r>
    <x v="442"/>
    <x v="1"/>
    <m/>
    <x v="18"/>
    <x v="2"/>
    <x v="125"/>
    <m/>
    <m/>
    <m/>
    <n v="20"/>
    <n v="201208"/>
    <n v="60000"/>
  </r>
  <r>
    <x v="442"/>
    <x v="1"/>
    <m/>
    <x v="0"/>
    <x v="2"/>
    <x v="138"/>
    <m/>
    <m/>
    <m/>
    <n v="1"/>
    <n v="201208"/>
    <n v="20000"/>
  </r>
  <r>
    <x v="442"/>
    <x v="1"/>
    <m/>
    <x v="4"/>
    <x v="2"/>
    <x v="143"/>
    <m/>
    <m/>
    <m/>
    <n v="6"/>
    <n v="201208"/>
    <n v="120000"/>
  </r>
  <r>
    <x v="442"/>
    <x v="1"/>
    <m/>
    <x v="4"/>
    <x v="2"/>
    <x v="144"/>
    <m/>
    <m/>
    <m/>
    <n v="3"/>
    <n v="201208"/>
    <n v="12000"/>
  </r>
  <r>
    <x v="442"/>
    <x v="1"/>
    <m/>
    <x v="31"/>
    <x v="2"/>
    <x v="145"/>
    <m/>
    <m/>
    <m/>
    <n v="24"/>
    <n v="201208"/>
    <n v="537600"/>
  </r>
  <r>
    <x v="442"/>
    <x v="1"/>
    <m/>
    <x v="31"/>
    <x v="2"/>
    <x v="146"/>
    <m/>
    <m/>
    <m/>
    <n v="32"/>
    <n v="201208"/>
    <n v="1254400"/>
  </r>
  <r>
    <x v="442"/>
    <x v="1"/>
    <m/>
    <x v="32"/>
    <x v="2"/>
    <x v="147"/>
    <m/>
    <m/>
    <m/>
    <n v="16"/>
    <n v="201208"/>
    <n v="593600"/>
  </r>
  <r>
    <x v="442"/>
    <x v="1"/>
    <m/>
    <x v="31"/>
    <x v="2"/>
    <x v="146"/>
    <m/>
    <m/>
    <m/>
    <n v="3"/>
    <n v="201208"/>
    <n v="117600"/>
  </r>
  <r>
    <x v="442"/>
    <x v="1"/>
    <m/>
    <x v="32"/>
    <x v="2"/>
    <x v="147"/>
    <m/>
    <m/>
    <m/>
    <n v="2"/>
    <n v="201208"/>
    <n v="74200"/>
  </r>
  <r>
    <x v="442"/>
    <x v="1"/>
    <m/>
    <x v="0"/>
    <x v="2"/>
    <x v="149"/>
    <m/>
    <m/>
    <m/>
    <n v="1"/>
    <n v="201208"/>
    <n v="20000"/>
  </r>
  <r>
    <x v="442"/>
    <x v="1"/>
    <m/>
    <x v="31"/>
    <x v="2"/>
    <x v="184"/>
    <m/>
    <m/>
    <m/>
    <n v="1"/>
    <n v="201208"/>
    <n v="39200"/>
  </r>
  <r>
    <x v="442"/>
    <x v="1"/>
    <m/>
    <x v="32"/>
    <x v="2"/>
    <x v="185"/>
    <m/>
    <m/>
    <m/>
    <n v="1"/>
    <n v="201208"/>
    <n v="37100"/>
  </r>
  <r>
    <x v="442"/>
    <x v="1"/>
    <m/>
    <x v="31"/>
    <x v="2"/>
    <x v="186"/>
    <m/>
    <m/>
    <m/>
    <n v="9"/>
    <n v="201208"/>
    <n v="201600"/>
  </r>
  <r>
    <x v="442"/>
    <x v="1"/>
    <m/>
    <x v="31"/>
    <x v="2"/>
    <x v="187"/>
    <m/>
    <m/>
    <m/>
    <n v="10"/>
    <n v="201208"/>
    <n v="392000"/>
  </r>
  <r>
    <x v="442"/>
    <x v="1"/>
    <m/>
    <x v="32"/>
    <x v="2"/>
    <x v="188"/>
    <m/>
    <m/>
    <m/>
    <n v="3"/>
    <n v="201208"/>
    <n v="111300"/>
  </r>
  <r>
    <x v="442"/>
    <x v="1"/>
    <m/>
    <x v="22"/>
    <x v="2"/>
    <x v="150"/>
    <m/>
    <m/>
    <m/>
    <n v="4"/>
    <n v="201208"/>
    <n v="152000"/>
  </r>
  <r>
    <x v="442"/>
    <x v="1"/>
    <m/>
    <x v="5"/>
    <x v="2"/>
    <x v="151"/>
    <m/>
    <m/>
    <m/>
    <n v="14"/>
    <n v="201208"/>
    <n v="392000"/>
  </r>
  <r>
    <x v="442"/>
    <x v="1"/>
    <m/>
    <x v="5"/>
    <x v="2"/>
    <x v="152"/>
    <m/>
    <m/>
    <m/>
    <n v="3"/>
    <n v="201208"/>
    <n v="144000"/>
  </r>
  <r>
    <x v="442"/>
    <x v="1"/>
    <m/>
    <x v="5"/>
    <x v="2"/>
    <x v="153"/>
    <m/>
    <m/>
    <m/>
    <n v="1"/>
    <n v="201208"/>
    <n v="28000"/>
  </r>
  <r>
    <x v="442"/>
    <x v="1"/>
    <m/>
    <x v="33"/>
    <x v="2"/>
    <x v="155"/>
    <m/>
    <m/>
    <m/>
    <n v="1"/>
    <n v="201208"/>
    <n v="18200"/>
  </r>
  <r>
    <x v="442"/>
    <x v="1"/>
    <m/>
    <x v="33"/>
    <x v="2"/>
    <x v="156"/>
    <m/>
    <m/>
    <m/>
    <n v="1"/>
    <n v="201208"/>
    <n v="33800"/>
  </r>
  <r>
    <x v="442"/>
    <x v="1"/>
    <m/>
    <x v="19"/>
    <x v="2"/>
    <x v="157"/>
    <m/>
    <m/>
    <m/>
    <n v="7"/>
    <n v="201208"/>
    <n v="91000"/>
  </r>
  <r>
    <x v="442"/>
    <x v="1"/>
    <m/>
    <x v="19"/>
    <x v="2"/>
    <x v="158"/>
    <m/>
    <m/>
    <m/>
    <n v="3"/>
    <n v="201208"/>
    <n v="72000"/>
  </r>
  <r>
    <x v="442"/>
    <x v="1"/>
    <m/>
    <x v="19"/>
    <x v="2"/>
    <x v="159"/>
    <m/>
    <m/>
    <m/>
    <n v="1"/>
    <n v="201208"/>
    <n v="33000"/>
  </r>
  <r>
    <x v="442"/>
    <x v="1"/>
    <m/>
    <x v="19"/>
    <x v="2"/>
    <x v="181"/>
    <m/>
    <m/>
    <m/>
    <n v="1"/>
    <n v="201208"/>
    <n v="13000"/>
  </r>
  <r>
    <x v="442"/>
    <x v="1"/>
    <m/>
    <x v="35"/>
    <x v="2"/>
    <x v="160"/>
    <m/>
    <m/>
    <m/>
    <n v="6"/>
    <n v="201208"/>
    <n v="120000"/>
  </r>
  <r>
    <x v="442"/>
    <x v="1"/>
    <m/>
    <x v="18"/>
    <x v="2"/>
    <x v="161"/>
    <m/>
    <m/>
    <m/>
    <n v="18"/>
    <n v="201208"/>
    <n v="54000"/>
  </r>
  <r>
    <x v="442"/>
    <x v="1"/>
    <m/>
    <x v="18"/>
    <x v="2"/>
    <x v="161"/>
    <m/>
    <m/>
    <m/>
    <n v="1"/>
    <n v="201208"/>
    <n v="3000"/>
  </r>
  <r>
    <x v="443"/>
    <x v="0"/>
    <m/>
    <x v="0"/>
    <x v="1"/>
    <x v="123"/>
    <m/>
    <m/>
    <m/>
    <n v="1"/>
    <n v="201208"/>
    <n v="35000"/>
  </r>
  <r>
    <x v="443"/>
    <x v="0"/>
    <m/>
    <x v="0"/>
    <x v="1"/>
    <x v="124"/>
    <m/>
    <m/>
    <m/>
    <n v="1"/>
    <n v="201208"/>
    <n v="20000"/>
  </r>
  <r>
    <x v="443"/>
    <x v="0"/>
    <m/>
    <x v="0"/>
    <x v="7"/>
    <x v="163"/>
    <m/>
    <m/>
    <m/>
    <n v="3"/>
    <n v="201208"/>
    <n v="60000"/>
  </r>
  <r>
    <x v="443"/>
    <x v="0"/>
    <m/>
    <x v="0"/>
    <x v="3"/>
    <x v="164"/>
    <m/>
    <m/>
    <m/>
    <n v="31"/>
    <n v="201208"/>
    <n v="0"/>
  </r>
  <r>
    <x v="443"/>
    <x v="0"/>
    <m/>
    <x v="31"/>
    <x v="3"/>
    <x v="88"/>
    <m/>
    <m/>
    <m/>
    <n v="6"/>
    <n v="201208"/>
    <n v="0"/>
  </r>
  <r>
    <x v="443"/>
    <x v="0"/>
    <m/>
    <x v="6"/>
    <x v="2"/>
    <x v="126"/>
    <m/>
    <m/>
    <m/>
    <n v="1"/>
    <n v="201208"/>
    <n v="20000"/>
  </r>
  <r>
    <x v="443"/>
    <x v="0"/>
    <m/>
    <x v="6"/>
    <x v="2"/>
    <x v="127"/>
    <m/>
    <m/>
    <m/>
    <n v="1"/>
    <n v="201208"/>
    <n v="35000"/>
  </r>
  <r>
    <x v="443"/>
    <x v="0"/>
    <m/>
    <x v="34"/>
    <x v="2"/>
    <x v="128"/>
    <m/>
    <m/>
    <m/>
    <n v="19"/>
    <n v="201208"/>
    <n v="704900"/>
  </r>
  <r>
    <x v="443"/>
    <x v="0"/>
    <m/>
    <x v="25"/>
    <x v="2"/>
    <x v="129"/>
    <m/>
    <m/>
    <m/>
    <n v="1"/>
    <n v="201208"/>
    <n v="99000"/>
  </r>
  <r>
    <x v="443"/>
    <x v="0"/>
    <m/>
    <x v="0"/>
    <x v="2"/>
    <x v="130"/>
    <m/>
    <m/>
    <m/>
    <n v="25"/>
    <n v="201208"/>
    <n v="825000"/>
  </r>
  <r>
    <x v="443"/>
    <x v="0"/>
    <m/>
    <x v="0"/>
    <x v="2"/>
    <x v="131"/>
    <m/>
    <m/>
    <m/>
    <n v="2"/>
    <n v="201208"/>
    <n v="66000"/>
  </r>
  <r>
    <x v="443"/>
    <x v="0"/>
    <m/>
    <x v="30"/>
    <x v="2"/>
    <x v="132"/>
    <m/>
    <m/>
    <m/>
    <n v="7"/>
    <n v="201208"/>
    <n v="156800"/>
  </r>
  <r>
    <x v="443"/>
    <x v="0"/>
    <m/>
    <x v="1"/>
    <x v="2"/>
    <x v="135"/>
    <m/>
    <m/>
    <m/>
    <n v="2"/>
    <n v="201208"/>
    <n v="40000"/>
  </r>
  <r>
    <x v="443"/>
    <x v="0"/>
    <m/>
    <x v="36"/>
    <x v="2"/>
    <x v="136"/>
    <m/>
    <m/>
    <m/>
    <n v="2"/>
    <n v="201208"/>
    <n v="56000"/>
  </r>
  <r>
    <x v="443"/>
    <x v="0"/>
    <m/>
    <x v="36"/>
    <x v="2"/>
    <x v="137"/>
    <m/>
    <m/>
    <m/>
    <n v="1"/>
    <n v="201208"/>
    <n v="42000"/>
  </r>
  <r>
    <x v="443"/>
    <x v="0"/>
    <m/>
    <x v="0"/>
    <x v="2"/>
    <x v="138"/>
    <m/>
    <m/>
    <m/>
    <n v="24"/>
    <n v="201208"/>
    <n v="480000"/>
  </r>
  <r>
    <x v="443"/>
    <x v="0"/>
    <m/>
    <x v="0"/>
    <x v="2"/>
    <x v="139"/>
    <m/>
    <m/>
    <m/>
    <n v="28"/>
    <n v="201208"/>
    <n v="980000"/>
  </r>
  <r>
    <x v="443"/>
    <x v="0"/>
    <m/>
    <x v="32"/>
    <x v="2"/>
    <x v="140"/>
    <m/>
    <m/>
    <m/>
    <n v="6"/>
    <n v="201208"/>
    <n v="222600"/>
  </r>
  <r>
    <x v="443"/>
    <x v="0"/>
    <m/>
    <x v="18"/>
    <x v="2"/>
    <x v="125"/>
    <m/>
    <m/>
    <m/>
    <n v="20"/>
    <n v="201208"/>
    <n v="60000"/>
  </r>
  <r>
    <x v="443"/>
    <x v="0"/>
    <m/>
    <x v="0"/>
    <x v="2"/>
    <x v="138"/>
    <m/>
    <m/>
    <m/>
    <n v="1"/>
    <n v="201208"/>
    <n v="20000"/>
  </r>
  <r>
    <x v="443"/>
    <x v="0"/>
    <m/>
    <x v="0"/>
    <x v="2"/>
    <x v="141"/>
    <m/>
    <m/>
    <m/>
    <n v="2"/>
    <n v="201208"/>
    <n v="66000"/>
  </r>
  <r>
    <x v="443"/>
    <x v="0"/>
    <m/>
    <x v="4"/>
    <x v="2"/>
    <x v="143"/>
    <m/>
    <m/>
    <m/>
    <n v="5"/>
    <n v="201208"/>
    <n v="100000"/>
  </r>
  <r>
    <x v="443"/>
    <x v="0"/>
    <m/>
    <x v="4"/>
    <x v="2"/>
    <x v="144"/>
    <m/>
    <m/>
    <m/>
    <n v="7"/>
    <n v="201208"/>
    <n v="28000"/>
  </r>
  <r>
    <x v="443"/>
    <x v="0"/>
    <m/>
    <x v="31"/>
    <x v="2"/>
    <x v="145"/>
    <m/>
    <m/>
    <m/>
    <n v="28"/>
    <n v="201208"/>
    <n v="627200"/>
  </r>
  <r>
    <x v="443"/>
    <x v="0"/>
    <m/>
    <x v="31"/>
    <x v="2"/>
    <x v="146"/>
    <m/>
    <m/>
    <m/>
    <n v="35"/>
    <n v="201208"/>
    <n v="1372000"/>
  </r>
  <r>
    <x v="443"/>
    <x v="0"/>
    <m/>
    <x v="32"/>
    <x v="2"/>
    <x v="147"/>
    <m/>
    <m/>
    <m/>
    <n v="18"/>
    <n v="201208"/>
    <n v="667800"/>
  </r>
  <r>
    <x v="443"/>
    <x v="0"/>
    <m/>
    <x v="0"/>
    <x v="2"/>
    <x v="149"/>
    <m/>
    <m/>
    <m/>
    <n v="1"/>
    <n v="201208"/>
    <n v="20000"/>
  </r>
  <r>
    <x v="443"/>
    <x v="0"/>
    <m/>
    <x v="31"/>
    <x v="2"/>
    <x v="189"/>
    <m/>
    <m/>
    <m/>
    <n v="4"/>
    <n v="201208"/>
    <n v="89600"/>
  </r>
  <r>
    <x v="443"/>
    <x v="0"/>
    <m/>
    <x v="31"/>
    <x v="2"/>
    <x v="184"/>
    <m/>
    <m/>
    <m/>
    <n v="8"/>
    <n v="201208"/>
    <n v="313600"/>
  </r>
  <r>
    <x v="443"/>
    <x v="0"/>
    <m/>
    <x v="32"/>
    <x v="2"/>
    <x v="185"/>
    <m/>
    <m/>
    <m/>
    <n v="3"/>
    <n v="201208"/>
    <n v="111300"/>
  </r>
  <r>
    <x v="443"/>
    <x v="0"/>
    <m/>
    <x v="31"/>
    <x v="2"/>
    <x v="186"/>
    <m/>
    <m/>
    <m/>
    <n v="15"/>
    <n v="201208"/>
    <n v="336000"/>
  </r>
  <r>
    <x v="443"/>
    <x v="0"/>
    <m/>
    <x v="31"/>
    <x v="2"/>
    <x v="187"/>
    <m/>
    <m/>
    <m/>
    <n v="13"/>
    <n v="201208"/>
    <n v="509600"/>
  </r>
  <r>
    <x v="443"/>
    <x v="0"/>
    <m/>
    <x v="32"/>
    <x v="2"/>
    <x v="188"/>
    <m/>
    <m/>
    <m/>
    <n v="12"/>
    <n v="201208"/>
    <n v="445200"/>
  </r>
  <r>
    <x v="443"/>
    <x v="0"/>
    <m/>
    <x v="22"/>
    <x v="2"/>
    <x v="150"/>
    <m/>
    <m/>
    <m/>
    <n v="3"/>
    <n v="201208"/>
    <n v="114000"/>
  </r>
  <r>
    <x v="443"/>
    <x v="0"/>
    <m/>
    <x v="22"/>
    <x v="2"/>
    <x v="150"/>
    <m/>
    <m/>
    <m/>
    <n v="4"/>
    <n v="201208"/>
    <n v="152000"/>
  </r>
  <r>
    <x v="443"/>
    <x v="0"/>
    <m/>
    <x v="5"/>
    <x v="2"/>
    <x v="151"/>
    <m/>
    <m/>
    <m/>
    <n v="13"/>
    <n v="201208"/>
    <n v="364000"/>
  </r>
  <r>
    <x v="443"/>
    <x v="0"/>
    <m/>
    <x v="5"/>
    <x v="2"/>
    <x v="152"/>
    <m/>
    <m/>
    <m/>
    <n v="4"/>
    <n v="201208"/>
    <n v="192000"/>
  </r>
  <r>
    <x v="443"/>
    <x v="0"/>
    <m/>
    <x v="5"/>
    <x v="2"/>
    <x v="153"/>
    <m/>
    <m/>
    <m/>
    <n v="2"/>
    <n v="201208"/>
    <n v="56000"/>
  </r>
  <r>
    <x v="443"/>
    <x v="0"/>
    <m/>
    <x v="33"/>
    <x v="2"/>
    <x v="155"/>
    <m/>
    <m/>
    <m/>
    <n v="3"/>
    <n v="201208"/>
    <n v="54600"/>
  </r>
  <r>
    <x v="443"/>
    <x v="0"/>
    <m/>
    <x v="19"/>
    <x v="2"/>
    <x v="157"/>
    <m/>
    <m/>
    <m/>
    <n v="16"/>
    <n v="201208"/>
    <n v="208000"/>
  </r>
  <r>
    <x v="443"/>
    <x v="0"/>
    <m/>
    <x v="19"/>
    <x v="2"/>
    <x v="158"/>
    <m/>
    <m/>
    <m/>
    <n v="2"/>
    <n v="201208"/>
    <n v="48000"/>
  </r>
  <r>
    <x v="443"/>
    <x v="0"/>
    <m/>
    <x v="19"/>
    <x v="2"/>
    <x v="159"/>
    <m/>
    <m/>
    <m/>
    <n v="1"/>
    <n v="201208"/>
    <n v="33000"/>
  </r>
  <r>
    <x v="443"/>
    <x v="0"/>
    <m/>
    <x v="35"/>
    <x v="2"/>
    <x v="160"/>
    <m/>
    <m/>
    <m/>
    <n v="4"/>
    <n v="201208"/>
    <n v="80000"/>
  </r>
  <r>
    <x v="443"/>
    <x v="0"/>
    <m/>
    <x v="18"/>
    <x v="2"/>
    <x v="161"/>
    <m/>
    <m/>
    <m/>
    <n v="16"/>
    <n v="201208"/>
    <n v="48000"/>
  </r>
  <r>
    <x v="443"/>
    <x v="0"/>
    <m/>
    <x v="0"/>
    <x v="9"/>
    <x v="162"/>
    <m/>
    <m/>
    <m/>
    <n v="4"/>
    <n v="201208"/>
    <n v="80000"/>
  </r>
  <r>
    <x v="444"/>
    <x v="2"/>
    <m/>
    <x v="0"/>
    <x v="1"/>
    <x v="123"/>
    <m/>
    <m/>
    <m/>
    <n v="3"/>
    <n v="201208"/>
    <n v="105000"/>
  </r>
  <r>
    <x v="444"/>
    <x v="2"/>
    <m/>
    <x v="0"/>
    <x v="7"/>
    <x v="163"/>
    <m/>
    <m/>
    <m/>
    <n v="3"/>
    <n v="201208"/>
    <n v="60000"/>
  </r>
  <r>
    <x v="444"/>
    <x v="2"/>
    <m/>
    <x v="0"/>
    <x v="3"/>
    <x v="164"/>
    <m/>
    <m/>
    <m/>
    <n v="1"/>
    <n v="201208"/>
    <n v="0"/>
  </r>
  <r>
    <x v="444"/>
    <x v="2"/>
    <m/>
    <x v="34"/>
    <x v="2"/>
    <x v="128"/>
    <m/>
    <m/>
    <m/>
    <n v="19"/>
    <n v="201208"/>
    <n v="704900"/>
  </r>
  <r>
    <x v="444"/>
    <x v="2"/>
    <m/>
    <x v="25"/>
    <x v="2"/>
    <x v="129"/>
    <m/>
    <m/>
    <m/>
    <n v="1"/>
    <n v="201208"/>
    <n v="99000"/>
  </r>
  <r>
    <x v="444"/>
    <x v="2"/>
    <m/>
    <x v="0"/>
    <x v="2"/>
    <x v="130"/>
    <m/>
    <m/>
    <m/>
    <n v="21"/>
    <n v="201208"/>
    <n v="693000"/>
  </r>
  <r>
    <x v="444"/>
    <x v="2"/>
    <m/>
    <x v="0"/>
    <x v="2"/>
    <x v="131"/>
    <m/>
    <m/>
    <m/>
    <n v="2"/>
    <n v="201208"/>
    <n v="66000"/>
  </r>
  <r>
    <x v="444"/>
    <x v="2"/>
    <m/>
    <x v="0"/>
    <x v="2"/>
    <x v="168"/>
    <m/>
    <m/>
    <m/>
    <n v="1"/>
    <n v="201208"/>
    <n v="20000"/>
  </r>
  <r>
    <x v="444"/>
    <x v="2"/>
    <m/>
    <x v="30"/>
    <x v="2"/>
    <x v="132"/>
    <m/>
    <m/>
    <m/>
    <n v="4"/>
    <n v="201208"/>
    <n v="89600"/>
  </r>
  <r>
    <x v="444"/>
    <x v="2"/>
    <m/>
    <x v="30"/>
    <x v="2"/>
    <x v="133"/>
    <m/>
    <m/>
    <m/>
    <n v="1"/>
    <n v="201208"/>
    <n v="39200"/>
  </r>
  <r>
    <x v="444"/>
    <x v="2"/>
    <m/>
    <x v="34"/>
    <x v="2"/>
    <x v="134"/>
    <m/>
    <m/>
    <m/>
    <n v="1"/>
    <n v="201208"/>
    <n v="37100"/>
  </r>
  <r>
    <x v="444"/>
    <x v="2"/>
    <m/>
    <x v="1"/>
    <x v="2"/>
    <x v="135"/>
    <m/>
    <m/>
    <m/>
    <n v="6"/>
    <n v="201208"/>
    <n v="120000"/>
  </r>
  <r>
    <x v="444"/>
    <x v="2"/>
    <m/>
    <x v="1"/>
    <x v="2"/>
    <x v="165"/>
    <m/>
    <m/>
    <m/>
    <n v="1"/>
    <n v="201208"/>
    <n v="35000"/>
  </r>
  <r>
    <x v="444"/>
    <x v="2"/>
    <m/>
    <x v="36"/>
    <x v="2"/>
    <x v="136"/>
    <m/>
    <m/>
    <m/>
    <n v="3"/>
    <n v="201208"/>
    <n v="84000"/>
  </r>
  <r>
    <x v="444"/>
    <x v="2"/>
    <m/>
    <x v="0"/>
    <x v="2"/>
    <x v="138"/>
    <m/>
    <m/>
    <m/>
    <n v="31"/>
    <n v="201208"/>
    <n v="620000"/>
  </r>
  <r>
    <x v="444"/>
    <x v="2"/>
    <m/>
    <x v="0"/>
    <x v="2"/>
    <x v="139"/>
    <m/>
    <m/>
    <m/>
    <n v="24"/>
    <n v="201208"/>
    <n v="840000"/>
  </r>
  <r>
    <x v="444"/>
    <x v="2"/>
    <m/>
    <x v="32"/>
    <x v="2"/>
    <x v="140"/>
    <m/>
    <m/>
    <m/>
    <n v="8"/>
    <n v="201208"/>
    <n v="296800"/>
  </r>
  <r>
    <x v="444"/>
    <x v="2"/>
    <m/>
    <x v="18"/>
    <x v="2"/>
    <x v="125"/>
    <m/>
    <m/>
    <m/>
    <n v="13"/>
    <n v="201208"/>
    <n v="39000"/>
  </r>
  <r>
    <x v="444"/>
    <x v="2"/>
    <m/>
    <x v="0"/>
    <x v="2"/>
    <x v="138"/>
    <m/>
    <m/>
    <m/>
    <n v="1"/>
    <n v="201208"/>
    <n v="20000"/>
  </r>
  <r>
    <x v="444"/>
    <x v="2"/>
    <m/>
    <x v="0"/>
    <x v="2"/>
    <x v="141"/>
    <m/>
    <m/>
    <m/>
    <n v="2"/>
    <n v="201208"/>
    <n v="66000"/>
  </r>
  <r>
    <x v="444"/>
    <x v="2"/>
    <m/>
    <x v="4"/>
    <x v="2"/>
    <x v="142"/>
    <m/>
    <m/>
    <m/>
    <n v="1"/>
    <n v="201208"/>
    <n v="4000"/>
  </r>
  <r>
    <x v="444"/>
    <x v="2"/>
    <m/>
    <x v="4"/>
    <x v="2"/>
    <x v="143"/>
    <m/>
    <m/>
    <m/>
    <n v="8"/>
    <n v="201208"/>
    <n v="160000"/>
  </r>
  <r>
    <x v="444"/>
    <x v="2"/>
    <m/>
    <x v="4"/>
    <x v="2"/>
    <x v="144"/>
    <m/>
    <m/>
    <m/>
    <n v="1"/>
    <n v="201208"/>
    <n v="4000"/>
  </r>
  <r>
    <x v="444"/>
    <x v="2"/>
    <m/>
    <x v="31"/>
    <x v="2"/>
    <x v="145"/>
    <m/>
    <m/>
    <m/>
    <n v="23"/>
    <n v="201208"/>
    <n v="515200"/>
  </r>
  <r>
    <x v="444"/>
    <x v="2"/>
    <m/>
    <x v="31"/>
    <x v="2"/>
    <x v="146"/>
    <m/>
    <m/>
    <m/>
    <n v="25"/>
    <n v="201208"/>
    <n v="980000"/>
  </r>
  <r>
    <x v="444"/>
    <x v="2"/>
    <m/>
    <x v="32"/>
    <x v="2"/>
    <x v="147"/>
    <m/>
    <m/>
    <m/>
    <n v="33"/>
    <n v="201208"/>
    <n v="1224300"/>
  </r>
  <r>
    <x v="444"/>
    <x v="2"/>
    <m/>
    <x v="31"/>
    <x v="2"/>
    <x v="189"/>
    <m/>
    <m/>
    <m/>
    <n v="3"/>
    <n v="201208"/>
    <n v="67200"/>
  </r>
  <r>
    <x v="444"/>
    <x v="2"/>
    <m/>
    <x v="31"/>
    <x v="2"/>
    <x v="184"/>
    <m/>
    <m/>
    <m/>
    <n v="7"/>
    <n v="201208"/>
    <n v="274400"/>
  </r>
  <r>
    <x v="444"/>
    <x v="2"/>
    <m/>
    <x v="32"/>
    <x v="2"/>
    <x v="185"/>
    <m/>
    <m/>
    <m/>
    <n v="2"/>
    <n v="201208"/>
    <n v="74200"/>
  </r>
  <r>
    <x v="444"/>
    <x v="2"/>
    <m/>
    <x v="31"/>
    <x v="2"/>
    <x v="186"/>
    <m/>
    <m/>
    <m/>
    <n v="42"/>
    <n v="201208"/>
    <n v="940800"/>
  </r>
  <r>
    <x v="444"/>
    <x v="2"/>
    <m/>
    <x v="31"/>
    <x v="2"/>
    <x v="187"/>
    <m/>
    <m/>
    <m/>
    <n v="48"/>
    <n v="201208"/>
    <n v="1881600"/>
  </r>
  <r>
    <x v="444"/>
    <x v="2"/>
    <m/>
    <x v="32"/>
    <x v="2"/>
    <x v="188"/>
    <m/>
    <m/>
    <m/>
    <n v="21"/>
    <n v="201208"/>
    <n v="779100"/>
  </r>
  <r>
    <x v="444"/>
    <x v="2"/>
    <m/>
    <x v="22"/>
    <x v="2"/>
    <x v="150"/>
    <m/>
    <m/>
    <m/>
    <n v="5"/>
    <n v="201208"/>
    <n v="190000"/>
  </r>
  <r>
    <x v="444"/>
    <x v="2"/>
    <m/>
    <x v="22"/>
    <x v="2"/>
    <x v="150"/>
    <m/>
    <m/>
    <m/>
    <n v="1"/>
    <n v="201208"/>
    <n v="38000"/>
  </r>
  <r>
    <x v="444"/>
    <x v="2"/>
    <m/>
    <x v="5"/>
    <x v="2"/>
    <x v="151"/>
    <m/>
    <m/>
    <m/>
    <n v="19"/>
    <n v="201208"/>
    <n v="532000"/>
  </r>
  <r>
    <x v="444"/>
    <x v="2"/>
    <m/>
    <x v="5"/>
    <x v="2"/>
    <x v="152"/>
    <m/>
    <m/>
    <m/>
    <n v="6"/>
    <n v="201208"/>
    <n v="288000"/>
  </r>
  <r>
    <x v="444"/>
    <x v="2"/>
    <m/>
    <x v="5"/>
    <x v="2"/>
    <x v="153"/>
    <m/>
    <m/>
    <m/>
    <n v="1"/>
    <n v="201208"/>
    <n v="28000"/>
  </r>
  <r>
    <x v="444"/>
    <x v="2"/>
    <m/>
    <x v="33"/>
    <x v="2"/>
    <x v="155"/>
    <m/>
    <m/>
    <m/>
    <n v="3"/>
    <n v="201208"/>
    <n v="54600"/>
  </r>
  <r>
    <x v="444"/>
    <x v="2"/>
    <m/>
    <x v="19"/>
    <x v="2"/>
    <x v="157"/>
    <m/>
    <m/>
    <m/>
    <n v="6"/>
    <n v="201208"/>
    <n v="78000"/>
  </r>
  <r>
    <x v="444"/>
    <x v="2"/>
    <m/>
    <x v="19"/>
    <x v="2"/>
    <x v="158"/>
    <m/>
    <m/>
    <m/>
    <n v="2"/>
    <n v="201208"/>
    <n v="48000"/>
  </r>
  <r>
    <x v="444"/>
    <x v="2"/>
    <m/>
    <x v="19"/>
    <x v="2"/>
    <x v="159"/>
    <m/>
    <m/>
    <m/>
    <n v="2"/>
    <n v="201208"/>
    <n v="66000"/>
  </r>
  <r>
    <x v="444"/>
    <x v="2"/>
    <m/>
    <x v="35"/>
    <x v="2"/>
    <x v="160"/>
    <m/>
    <m/>
    <m/>
    <n v="1"/>
    <n v="201208"/>
    <n v="20000"/>
  </r>
  <r>
    <x v="444"/>
    <x v="2"/>
    <m/>
    <x v="18"/>
    <x v="2"/>
    <x v="161"/>
    <m/>
    <m/>
    <m/>
    <n v="13"/>
    <n v="201208"/>
    <n v="39000"/>
  </r>
  <r>
    <x v="444"/>
    <x v="2"/>
    <m/>
    <x v="0"/>
    <x v="9"/>
    <x v="162"/>
    <m/>
    <m/>
    <m/>
    <n v="1"/>
    <n v="201208"/>
    <n v="20000"/>
  </r>
  <r>
    <x v="445"/>
    <x v="5"/>
    <m/>
    <x v="0"/>
    <x v="7"/>
    <x v="163"/>
    <m/>
    <m/>
    <m/>
    <n v="2"/>
    <n v="201208"/>
    <n v="40000"/>
  </r>
  <r>
    <x v="445"/>
    <x v="5"/>
    <m/>
    <x v="6"/>
    <x v="2"/>
    <x v="126"/>
    <m/>
    <m/>
    <m/>
    <n v="1"/>
    <n v="201208"/>
    <n v="20000"/>
  </r>
  <r>
    <x v="445"/>
    <x v="5"/>
    <m/>
    <x v="6"/>
    <x v="2"/>
    <x v="127"/>
    <m/>
    <m/>
    <m/>
    <n v="2"/>
    <n v="201208"/>
    <n v="70000"/>
  </r>
  <r>
    <x v="445"/>
    <x v="5"/>
    <m/>
    <x v="34"/>
    <x v="2"/>
    <x v="128"/>
    <m/>
    <m/>
    <m/>
    <n v="15"/>
    <n v="201208"/>
    <n v="556500"/>
  </r>
  <r>
    <x v="445"/>
    <x v="5"/>
    <m/>
    <x v="0"/>
    <x v="2"/>
    <x v="130"/>
    <m/>
    <m/>
    <m/>
    <n v="17"/>
    <n v="201208"/>
    <n v="561000"/>
  </r>
  <r>
    <x v="445"/>
    <x v="5"/>
    <m/>
    <x v="0"/>
    <x v="2"/>
    <x v="131"/>
    <m/>
    <m/>
    <m/>
    <n v="3"/>
    <n v="201208"/>
    <n v="99000"/>
  </r>
  <r>
    <x v="445"/>
    <x v="5"/>
    <m/>
    <x v="30"/>
    <x v="2"/>
    <x v="132"/>
    <m/>
    <m/>
    <m/>
    <n v="2"/>
    <n v="201208"/>
    <n v="44800"/>
  </r>
  <r>
    <x v="445"/>
    <x v="5"/>
    <m/>
    <x v="30"/>
    <x v="2"/>
    <x v="133"/>
    <m/>
    <m/>
    <m/>
    <n v="2"/>
    <n v="201208"/>
    <n v="78400"/>
  </r>
  <r>
    <x v="445"/>
    <x v="5"/>
    <m/>
    <x v="1"/>
    <x v="2"/>
    <x v="165"/>
    <m/>
    <m/>
    <m/>
    <n v="2"/>
    <n v="201208"/>
    <n v="70000"/>
  </r>
  <r>
    <x v="445"/>
    <x v="5"/>
    <m/>
    <x v="36"/>
    <x v="2"/>
    <x v="136"/>
    <m/>
    <m/>
    <m/>
    <n v="3"/>
    <n v="201208"/>
    <n v="84000"/>
  </r>
  <r>
    <x v="445"/>
    <x v="5"/>
    <m/>
    <x v="36"/>
    <x v="2"/>
    <x v="176"/>
    <m/>
    <m/>
    <m/>
    <n v="1"/>
    <n v="201208"/>
    <n v="49000"/>
  </r>
  <r>
    <x v="445"/>
    <x v="5"/>
    <m/>
    <x v="0"/>
    <x v="2"/>
    <x v="138"/>
    <m/>
    <m/>
    <m/>
    <n v="26"/>
    <n v="201208"/>
    <n v="520000"/>
  </r>
  <r>
    <x v="445"/>
    <x v="5"/>
    <m/>
    <x v="0"/>
    <x v="2"/>
    <x v="139"/>
    <m/>
    <m/>
    <m/>
    <n v="21"/>
    <n v="201208"/>
    <n v="735000"/>
  </r>
  <r>
    <x v="445"/>
    <x v="5"/>
    <m/>
    <x v="32"/>
    <x v="2"/>
    <x v="140"/>
    <m/>
    <m/>
    <m/>
    <n v="6"/>
    <n v="201208"/>
    <n v="222600"/>
  </r>
  <r>
    <x v="445"/>
    <x v="5"/>
    <m/>
    <x v="18"/>
    <x v="2"/>
    <x v="125"/>
    <m/>
    <m/>
    <m/>
    <n v="15"/>
    <n v="201208"/>
    <n v="45000"/>
  </r>
  <r>
    <x v="445"/>
    <x v="5"/>
    <m/>
    <x v="0"/>
    <x v="2"/>
    <x v="139"/>
    <m/>
    <m/>
    <m/>
    <n v="1"/>
    <n v="201208"/>
    <n v="35000"/>
  </r>
  <r>
    <x v="445"/>
    <x v="5"/>
    <m/>
    <x v="0"/>
    <x v="2"/>
    <x v="141"/>
    <m/>
    <m/>
    <m/>
    <n v="1"/>
    <n v="201208"/>
    <n v="33000"/>
  </r>
  <r>
    <x v="445"/>
    <x v="5"/>
    <m/>
    <x v="4"/>
    <x v="2"/>
    <x v="143"/>
    <m/>
    <m/>
    <m/>
    <n v="4"/>
    <n v="201208"/>
    <n v="80000"/>
  </r>
  <r>
    <x v="445"/>
    <x v="5"/>
    <m/>
    <x v="4"/>
    <x v="2"/>
    <x v="144"/>
    <m/>
    <m/>
    <m/>
    <n v="1"/>
    <n v="201208"/>
    <n v="4000"/>
  </r>
  <r>
    <x v="445"/>
    <x v="5"/>
    <m/>
    <x v="31"/>
    <x v="2"/>
    <x v="145"/>
    <m/>
    <m/>
    <m/>
    <n v="10"/>
    <n v="201208"/>
    <n v="224000"/>
  </r>
  <r>
    <x v="445"/>
    <x v="5"/>
    <m/>
    <x v="31"/>
    <x v="2"/>
    <x v="146"/>
    <m/>
    <m/>
    <m/>
    <n v="12"/>
    <n v="201208"/>
    <n v="470400"/>
  </r>
  <r>
    <x v="445"/>
    <x v="5"/>
    <m/>
    <x v="32"/>
    <x v="2"/>
    <x v="147"/>
    <m/>
    <m/>
    <m/>
    <n v="9"/>
    <n v="201208"/>
    <n v="333900"/>
  </r>
  <r>
    <x v="445"/>
    <x v="5"/>
    <m/>
    <x v="0"/>
    <x v="2"/>
    <x v="149"/>
    <m/>
    <m/>
    <m/>
    <n v="2"/>
    <n v="201208"/>
    <n v="40000"/>
  </r>
  <r>
    <x v="445"/>
    <x v="5"/>
    <m/>
    <x v="18"/>
    <x v="2"/>
    <x v="166"/>
    <m/>
    <m/>
    <m/>
    <n v="1"/>
    <n v="201208"/>
    <n v="3000"/>
  </r>
  <r>
    <x v="445"/>
    <x v="5"/>
    <m/>
    <x v="31"/>
    <x v="2"/>
    <x v="189"/>
    <m/>
    <m/>
    <m/>
    <n v="3"/>
    <n v="201208"/>
    <n v="67200"/>
  </r>
  <r>
    <x v="445"/>
    <x v="5"/>
    <m/>
    <x v="31"/>
    <x v="2"/>
    <x v="184"/>
    <m/>
    <m/>
    <m/>
    <n v="2"/>
    <n v="201208"/>
    <n v="78400"/>
  </r>
  <r>
    <x v="445"/>
    <x v="5"/>
    <m/>
    <x v="32"/>
    <x v="2"/>
    <x v="185"/>
    <m/>
    <m/>
    <m/>
    <n v="1"/>
    <n v="201208"/>
    <n v="37100"/>
  </r>
  <r>
    <x v="445"/>
    <x v="5"/>
    <m/>
    <x v="31"/>
    <x v="2"/>
    <x v="186"/>
    <m/>
    <m/>
    <m/>
    <n v="7"/>
    <n v="201208"/>
    <n v="156800"/>
  </r>
  <r>
    <x v="445"/>
    <x v="5"/>
    <m/>
    <x v="31"/>
    <x v="2"/>
    <x v="187"/>
    <m/>
    <m/>
    <m/>
    <n v="5"/>
    <n v="201208"/>
    <n v="196000"/>
  </r>
  <r>
    <x v="445"/>
    <x v="5"/>
    <m/>
    <x v="32"/>
    <x v="2"/>
    <x v="188"/>
    <m/>
    <m/>
    <m/>
    <n v="4"/>
    <n v="201208"/>
    <n v="148400"/>
  </r>
  <r>
    <x v="445"/>
    <x v="5"/>
    <m/>
    <x v="22"/>
    <x v="2"/>
    <x v="150"/>
    <m/>
    <m/>
    <m/>
    <n v="1"/>
    <n v="201208"/>
    <n v="38000"/>
  </r>
  <r>
    <x v="445"/>
    <x v="5"/>
    <m/>
    <x v="5"/>
    <x v="2"/>
    <x v="151"/>
    <m/>
    <m/>
    <m/>
    <n v="10"/>
    <n v="201208"/>
    <n v="280000"/>
  </r>
  <r>
    <x v="445"/>
    <x v="5"/>
    <m/>
    <x v="5"/>
    <x v="2"/>
    <x v="152"/>
    <m/>
    <m/>
    <m/>
    <n v="1"/>
    <n v="201208"/>
    <n v="48000"/>
  </r>
  <r>
    <x v="445"/>
    <x v="5"/>
    <m/>
    <x v="5"/>
    <x v="2"/>
    <x v="153"/>
    <m/>
    <m/>
    <m/>
    <n v="1"/>
    <n v="201208"/>
    <n v="28000"/>
  </r>
  <r>
    <x v="445"/>
    <x v="5"/>
    <m/>
    <x v="19"/>
    <x v="2"/>
    <x v="157"/>
    <m/>
    <m/>
    <m/>
    <n v="2"/>
    <n v="201208"/>
    <n v="26000"/>
  </r>
  <r>
    <x v="445"/>
    <x v="5"/>
    <m/>
    <x v="19"/>
    <x v="2"/>
    <x v="158"/>
    <m/>
    <m/>
    <m/>
    <n v="2"/>
    <n v="201208"/>
    <n v="48000"/>
  </r>
  <r>
    <x v="445"/>
    <x v="5"/>
    <m/>
    <x v="19"/>
    <x v="2"/>
    <x v="159"/>
    <m/>
    <m/>
    <m/>
    <n v="2"/>
    <n v="201208"/>
    <n v="66000"/>
  </r>
  <r>
    <x v="445"/>
    <x v="5"/>
    <m/>
    <x v="35"/>
    <x v="2"/>
    <x v="160"/>
    <m/>
    <m/>
    <m/>
    <n v="3"/>
    <n v="201208"/>
    <n v="60000"/>
  </r>
  <r>
    <x v="445"/>
    <x v="5"/>
    <m/>
    <x v="18"/>
    <x v="2"/>
    <x v="161"/>
    <m/>
    <m/>
    <m/>
    <n v="19"/>
    <n v="201208"/>
    <n v="57000"/>
  </r>
  <r>
    <x v="446"/>
    <x v="6"/>
    <m/>
    <x v="0"/>
    <x v="7"/>
    <x v="163"/>
    <m/>
    <m/>
    <m/>
    <n v="4"/>
    <n v="201208"/>
    <n v="80000"/>
  </r>
  <r>
    <x v="446"/>
    <x v="6"/>
    <m/>
    <x v="6"/>
    <x v="2"/>
    <x v="127"/>
    <m/>
    <m/>
    <m/>
    <n v="1"/>
    <n v="201208"/>
    <n v="35000"/>
  </r>
  <r>
    <x v="446"/>
    <x v="6"/>
    <m/>
    <x v="34"/>
    <x v="2"/>
    <x v="128"/>
    <m/>
    <m/>
    <m/>
    <n v="26"/>
    <n v="201208"/>
    <n v="964600"/>
  </r>
  <r>
    <x v="446"/>
    <x v="6"/>
    <m/>
    <x v="25"/>
    <x v="2"/>
    <x v="129"/>
    <m/>
    <m/>
    <m/>
    <n v="1"/>
    <n v="201208"/>
    <n v="99000"/>
  </r>
  <r>
    <x v="446"/>
    <x v="6"/>
    <m/>
    <x v="0"/>
    <x v="2"/>
    <x v="130"/>
    <m/>
    <m/>
    <m/>
    <n v="29"/>
    <n v="201208"/>
    <n v="957000"/>
  </r>
  <r>
    <x v="446"/>
    <x v="6"/>
    <m/>
    <x v="0"/>
    <x v="2"/>
    <x v="131"/>
    <m/>
    <m/>
    <m/>
    <n v="2"/>
    <n v="201208"/>
    <n v="66000"/>
  </r>
  <r>
    <x v="446"/>
    <x v="6"/>
    <m/>
    <x v="30"/>
    <x v="2"/>
    <x v="132"/>
    <m/>
    <m/>
    <m/>
    <n v="4"/>
    <n v="201208"/>
    <n v="89600"/>
  </r>
  <r>
    <x v="446"/>
    <x v="6"/>
    <m/>
    <x v="30"/>
    <x v="2"/>
    <x v="133"/>
    <m/>
    <m/>
    <m/>
    <n v="2"/>
    <n v="201208"/>
    <n v="78400"/>
  </r>
  <r>
    <x v="446"/>
    <x v="6"/>
    <m/>
    <x v="1"/>
    <x v="2"/>
    <x v="135"/>
    <m/>
    <m/>
    <m/>
    <n v="1"/>
    <n v="201208"/>
    <n v="20000"/>
  </r>
  <r>
    <x v="446"/>
    <x v="6"/>
    <m/>
    <x v="1"/>
    <x v="2"/>
    <x v="165"/>
    <m/>
    <m/>
    <m/>
    <n v="1"/>
    <n v="201208"/>
    <n v="35000"/>
  </r>
  <r>
    <x v="446"/>
    <x v="6"/>
    <m/>
    <x v="36"/>
    <x v="2"/>
    <x v="136"/>
    <m/>
    <m/>
    <m/>
    <n v="4"/>
    <n v="201208"/>
    <n v="112000"/>
  </r>
  <r>
    <x v="446"/>
    <x v="6"/>
    <m/>
    <x v="36"/>
    <x v="2"/>
    <x v="176"/>
    <m/>
    <m/>
    <m/>
    <n v="2"/>
    <n v="201208"/>
    <n v="98000"/>
  </r>
  <r>
    <x v="446"/>
    <x v="6"/>
    <m/>
    <x v="0"/>
    <x v="2"/>
    <x v="138"/>
    <m/>
    <m/>
    <m/>
    <n v="39"/>
    <n v="201208"/>
    <n v="780000"/>
  </r>
  <r>
    <x v="446"/>
    <x v="6"/>
    <m/>
    <x v="0"/>
    <x v="2"/>
    <x v="139"/>
    <m/>
    <m/>
    <m/>
    <n v="22"/>
    <n v="201208"/>
    <n v="770000"/>
  </r>
  <r>
    <x v="446"/>
    <x v="6"/>
    <m/>
    <x v="32"/>
    <x v="2"/>
    <x v="140"/>
    <m/>
    <m/>
    <m/>
    <n v="9"/>
    <n v="201208"/>
    <n v="333900"/>
  </r>
  <r>
    <x v="446"/>
    <x v="6"/>
    <m/>
    <x v="18"/>
    <x v="2"/>
    <x v="125"/>
    <m/>
    <m/>
    <m/>
    <n v="21"/>
    <n v="201208"/>
    <n v="63000"/>
  </r>
  <r>
    <x v="446"/>
    <x v="6"/>
    <m/>
    <x v="0"/>
    <x v="2"/>
    <x v="138"/>
    <m/>
    <m/>
    <m/>
    <n v="1"/>
    <n v="201208"/>
    <n v="20000"/>
  </r>
  <r>
    <x v="446"/>
    <x v="6"/>
    <m/>
    <x v="0"/>
    <x v="2"/>
    <x v="141"/>
    <m/>
    <m/>
    <m/>
    <n v="2"/>
    <n v="201208"/>
    <n v="66000"/>
  </r>
  <r>
    <x v="446"/>
    <x v="6"/>
    <m/>
    <x v="4"/>
    <x v="2"/>
    <x v="143"/>
    <m/>
    <m/>
    <m/>
    <n v="6"/>
    <n v="201208"/>
    <n v="120000"/>
  </r>
  <r>
    <x v="446"/>
    <x v="6"/>
    <m/>
    <x v="4"/>
    <x v="2"/>
    <x v="144"/>
    <m/>
    <m/>
    <m/>
    <n v="3"/>
    <n v="201208"/>
    <n v="12000"/>
  </r>
  <r>
    <x v="446"/>
    <x v="6"/>
    <m/>
    <x v="31"/>
    <x v="2"/>
    <x v="145"/>
    <m/>
    <m/>
    <m/>
    <n v="12"/>
    <n v="201208"/>
    <n v="268800"/>
  </r>
  <r>
    <x v="446"/>
    <x v="6"/>
    <m/>
    <x v="31"/>
    <x v="2"/>
    <x v="146"/>
    <m/>
    <m/>
    <m/>
    <n v="23"/>
    <n v="201208"/>
    <n v="901600"/>
  </r>
  <r>
    <x v="446"/>
    <x v="6"/>
    <m/>
    <x v="32"/>
    <x v="2"/>
    <x v="147"/>
    <m/>
    <m/>
    <m/>
    <n v="16"/>
    <n v="201208"/>
    <n v="593600"/>
  </r>
  <r>
    <x v="446"/>
    <x v="6"/>
    <m/>
    <x v="0"/>
    <x v="2"/>
    <x v="148"/>
    <m/>
    <m/>
    <m/>
    <n v="1"/>
    <n v="201208"/>
    <n v="20000"/>
  </r>
  <r>
    <x v="446"/>
    <x v="6"/>
    <m/>
    <x v="0"/>
    <x v="2"/>
    <x v="149"/>
    <m/>
    <m/>
    <m/>
    <n v="1"/>
    <n v="201208"/>
    <n v="20000"/>
  </r>
  <r>
    <x v="446"/>
    <x v="6"/>
    <m/>
    <x v="0"/>
    <x v="2"/>
    <x v="174"/>
    <m/>
    <m/>
    <m/>
    <n v="1"/>
    <n v="201208"/>
    <n v="35000"/>
  </r>
  <r>
    <x v="446"/>
    <x v="6"/>
    <m/>
    <x v="18"/>
    <x v="2"/>
    <x v="166"/>
    <m/>
    <m/>
    <m/>
    <n v="1"/>
    <n v="201208"/>
    <n v="3000"/>
  </r>
  <r>
    <x v="446"/>
    <x v="6"/>
    <m/>
    <x v="31"/>
    <x v="2"/>
    <x v="189"/>
    <m/>
    <m/>
    <m/>
    <n v="3"/>
    <n v="201208"/>
    <n v="67200"/>
  </r>
  <r>
    <x v="446"/>
    <x v="6"/>
    <m/>
    <x v="31"/>
    <x v="2"/>
    <x v="184"/>
    <m/>
    <m/>
    <m/>
    <n v="11"/>
    <n v="201208"/>
    <n v="431200"/>
  </r>
  <r>
    <x v="446"/>
    <x v="6"/>
    <m/>
    <x v="32"/>
    <x v="2"/>
    <x v="185"/>
    <m/>
    <m/>
    <m/>
    <n v="3"/>
    <n v="201208"/>
    <n v="111300"/>
  </r>
  <r>
    <x v="446"/>
    <x v="6"/>
    <m/>
    <x v="31"/>
    <x v="2"/>
    <x v="186"/>
    <m/>
    <m/>
    <m/>
    <n v="6"/>
    <n v="201208"/>
    <n v="134400"/>
  </r>
  <r>
    <x v="446"/>
    <x v="6"/>
    <m/>
    <x v="31"/>
    <x v="2"/>
    <x v="187"/>
    <m/>
    <m/>
    <m/>
    <n v="4"/>
    <n v="201208"/>
    <n v="156800"/>
  </r>
  <r>
    <x v="446"/>
    <x v="6"/>
    <m/>
    <x v="32"/>
    <x v="2"/>
    <x v="188"/>
    <m/>
    <m/>
    <m/>
    <n v="10"/>
    <n v="201208"/>
    <n v="371000"/>
  </r>
  <r>
    <x v="446"/>
    <x v="6"/>
    <m/>
    <x v="22"/>
    <x v="2"/>
    <x v="150"/>
    <m/>
    <m/>
    <m/>
    <n v="10"/>
    <n v="201208"/>
    <n v="380000"/>
  </r>
  <r>
    <x v="446"/>
    <x v="6"/>
    <m/>
    <x v="22"/>
    <x v="2"/>
    <x v="150"/>
    <m/>
    <m/>
    <m/>
    <n v="1"/>
    <n v="201208"/>
    <n v="38000"/>
  </r>
  <r>
    <x v="446"/>
    <x v="6"/>
    <m/>
    <x v="5"/>
    <x v="2"/>
    <x v="151"/>
    <m/>
    <m/>
    <m/>
    <n v="17"/>
    <n v="201208"/>
    <n v="476000"/>
  </r>
  <r>
    <x v="446"/>
    <x v="6"/>
    <m/>
    <x v="5"/>
    <x v="2"/>
    <x v="152"/>
    <m/>
    <m/>
    <m/>
    <n v="3"/>
    <n v="201208"/>
    <n v="144000"/>
  </r>
  <r>
    <x v="446"/>
    <x v="6"/>
    <m/>
    <x v="5"/>
    <x v="2"/>
    <x v="153"/>
    <m/>
    <m/>
    <m/>
    <n v="3"/>
    <n v="201208"/>
    <n v="84000"/>
  </r>
  <r>
    <x v="446"/>
    <x v="6"/>
    <m/>
    <x v="33"/>
    <x v="2"/>
    <x v="155"/>
    <m/>
    <m/>
    <m/>
    <n v="2"/>
    <n v="201208"/>
    <n v="36400"/>
  </r>
  <r>
    <x v="446"/>
    <x v="6"/>
    <m/>
    <x v="19"/>
    <x v="2"/>
    <x v="157"/>
    <m/>
    <m/>
    <m/>
    <n v="6"/>
    <n v="201208"/>
    <n v="78000"/>
  </r>
  <r>
    <x v="446"/>
    <x v="6"/>
    <m/>
    <x v="19"/>
    <x v="2"/>
    <x v="158"/>
    <m/>
    <m/>
    <m/>
    <n v="4"/>
    <n v="201208"/>
    <n v="96000"/>
  </r>
  <r>
    <x v="446"/>
    <x v="6"/>
    <m/>
    <x v="35"/>
    <x v="2"/>
    <x v="170"/>
    <m/>
    <m/>
    <m/>
    <n v="2"/>
    <n v="201208"/>
    <n v="8000"/>
  </r>
  <r>
    <x v="446"/>
    <x v="6"/>
    <m/>
    <x v="35"/>
    <x v="2"/>
    <x v="160"/>
    <m/>
    <m/>
    <m/>
    <n v="1"/>
    <n v="201208"/>
    <n v="20000"/>
  </r>
  <r>
    <x v="446"/>
    <x v="6"/>
    <m/>
    <x v="18"/>
    <x v="2"/>
    <x v="161"/>
    <m/>
    <m/>
    <m/>
    <n v="8"/>
    <n v="201208"/>
    <n v="24000"/>
  </r>
  <r>
    <x v="447"/>
    <x v="3"/>
    <m/>
    <x v="0"/>
    <x v="1"/>
    <x v="123"/>
    <m/>
    <m/>
    <m/>
    <n v="6"/>
    <n v="201208"/>
    <n v="210000"/>
  </r>
  <r>
    <x v="447"/>
    <x v="3"/>
    <m/>
    <x v="0"/>
    <x v="1"/>
    <x v="124"/>
    <m/>
    <m/>
    <m/>
    <n v="3"/>
    <n v="201208"/>
    <n v="60000"/>
  </r>
  <r>
    <x v="447"/>
    <x v="3"/>
    <m/>
    <x v="0"/>
    <x v="3"/>
    <x v="164"/>
    <m/>
    <m/>
    <m/>
    <n v="3"/>
    <n v="201208"/>
    <n v="0"/>
  </r>
  <r>
    <x v="447"/>
    <x v="3"/>
    <m/>
    <x v="0"/>
    <x v="3"/>
    <x v="190"/>
    <m/>
    <m/>
    <m/>
    <n v="1"/>
    <n v="201208"/>
    <n v="0"/>
  </r>
  <r>
    <x v="447"/>
    <x v="3"/>
    <m/>
    <x v="0"/>
    <x v="5"/>
    <x v="164"/>
    <m/>
    <m/>
    <m/>
    <n v="10"/>
    <n v="201208"/>
    <n v="102270"/>
  </r>
  <r>
    <x v="447"/>
    <x v="3"/>
    <m/>
    <x v="0"/>
    <x v="7"/>
    <x v="163"/>
    <m/>
    <m/>
    <m/>
    <n v="8"/>
    <n v="201208"/>
    <n v="160000"/>
  </r>
  <r>
    <x v="447"/>
    <x v="3"/>
    <m/>
    <x v="6"/>
    <x v="2"/>
    <x v="126"/>
    <m/>
    <m/>
    <m/>
    <n v="3"/>
    <n v="201208"/>
    <n v="60000"/>
  </r>
  <r>
    <x v="447"/>
    <x v="3"/>
    <m/>
    <x v="6"/>
    <x v="2"/>
    <x v="127"/>
    <m/>
    <m/>
    <m/>
    <n v="2"/>
    <n v="201208"/>
    <n v="70000"/>
  </r>
  <r>
    <x v="447"/>
    <x v="3"/>
    <m/>
    <x v="34"/>
    <x v="2"/>
    <x v="128"/>
    <m/>
    <m/>
    <m/>
    <n v="30"/>
    <n v="201208"/>
    <n v="1113000"/>
  </r>
  <r>
    <x v="447"/>
    <x v="3"/>
    <m/>
    <x v="0"/>
    <x v="2"/>
    <x v="130"/>
    <m/>
    <m/>
    <m/>
    <n v="39"/>
    <n v="201208"/>
    <n v="1287000"/>
  </r>
  <r>
    <x v="447"/>
    <x v="3"/>
    <m/>
    <x v="0"/>
    <x v="2"/>
    <x v="131"/>
    <m/>
    <m/>
    <m/>
    <n v="1"/>
    <n v="201208"/>
    <n v="33000"/>
  </r>
  <r>
    <x v="447"/>
    <x v="3"/>
    <m/>
    <x v="30"/>
    <x v="2"/>
    <x v="132"/>
    <m/>
    <m/>
    <m/>
    <n v="7"/>
    <n v="201208"/>
    <n v="156800"/>
  </r>
  <r>
    <x v="447"/>
    <x v="3"/>
    <m/>
    <x v="34"/>
    <x v="2"/>
    <x v="134"/>
    <m/>
    <m/>
    <m/>
    <n v="2"/>
    <n v="201208"/>
    <n v="74200"/>
  </r>
  <r>
    <x v="447"/>
    <x v="3"/>
    <m/>
    <x v="1"/>
    <x v="2"/>
    <x v="135"/>
    <m/>
    <m/>
    <m/>
    <n v="3"/>
    <n v="201208"/>
    <n v="60000"/>
  </r>
  <r>
    <x v="447"/>
    <x v="3"/>
    <m/>
    <x v="1"/>
    <x v="2"/>
    <x v="165"/>
    <m/>
    <m/>
    <m/>
    <n v="1"/>
    <n v="201208"/>
    <n v="35000"/>
  </r>
  <r>
    <x v="447"/>
    <x v="3"/>
    <m/>
    <x v="36"/>
    <x v="2"/>
    <x v="136"/>
    <m/>
    <m/>
    <m/>
    <n v="4"/>
    <n v="201208"/>
    <n v="112000"/>
  </r>
  <r>
    <x v="447"/>
    <x v="3"/>
    <m/>
    <x v="36"/>
    <x v="2"/>
    <x v="137"/>
    <m/>
    <m/>
    <m/>
    <n v="1"/>
    <n v="201208"/>
    <n v="42000"/>
  </r>
  <r>
    <x v="447"/>
    <x v="3"/>
    <m/>
    <x v="0"/>
    <x v="2"/>
    <x v="138"/>
    <m/>
    <m/>
    <m/>
    <n v="51"/>
    <n v="201208"/>
    <n v="1020000"/>
  </r>
  <r>
    <x v="447"/>
    <x v="3"/>
    <m/>
    <x v="0"/>
    <x v="2"/>
    <x v="139"/>
    <m/>
    <m/>
    <m/>
    <n v="29"/>
    <n v="201208"/>
    <n v="1015000"/>
  </r>
  <r>
    <x v="447"/>
    <x v="3"/>
    <m/>
    <x v="32"/>
    <x v="2"/>
    <x v="140"/>
    <m/>
    <m/>
    <m/>
    <n v="13"/>
    <n v="201208"/>
    <n v="482300"/>
  </r>
  <r>
    <x v="447"/>
    <x v="3"/>
    <m/>
    <x v="18"/>
    <x v="2"/>
    <x v="125"/>
    <m/>
    <m/>
    <m/>
    <n v="25"/>
    <n v="201208"/>
    <n v="75000"/>
  </r>
  <r>
    <x v="447"/>
    <x v="3"/>
    <m/>
    <x v="4"/>
    <x v="2"/>
    <x v="143"/>
    <m/>
    <m/>
    <m/>
    <n v="11"/>
    <n v="201208"/>
    <n v="220000"/>
  </r>
  <r>
    <x v="447"/>
    <x v="3"/>
    <m/>
    <x v="31"/>
    <x v="2"/>
    <x v="145"/>
    <m/>
    <m/>
    <m/>
    <n v="24"/>
    <n v="201208"/>
    <n v="537600"/>
  </r>
  <r>
    <x v="447"/>
    <x v="3"/>
    <m/>
    <x v="31"/>
    <x v="2"/>
    <x v="146"/>
    <m/>
    <m/>
    <m/>
    <n v="35"/>
    <n v="201208"/>
    <n v="1372000"/>
  </r>
  <r>
    <x v="447"/>
    <x v="3"/>
    <m/>
    <x v="32"/>
    <x v="2"/>
    <x v="147"/>
    <m/>
    <m/>
    <m/>
    <n v="19"/>
    <n v="201208"/>
    <n v="704900"/>
  </r>
  <r>
    <x v="447"/>
    <x v="3"/>
    <m/>
    <x v="0"/>
    <x v="2"/>
    <x v="149"/>
    <m/>
    <m/>
    <m/>
    <n v="1"/>
    <n v="201208"/>
    <n v="20000"/>
  </r>
  <r>
    <x v="447"/>
    <x v="3"/>
    <m/>
    <x v="31"/>
    <x v="2"/>
    <x v="189"/>
    <m/>
    <m/>
    <m/>
    <n v="8"/>
    <n v="201208"/>
    <n v="179200"/>
  </r>
  <r>
    <x v="447"/>
    <x v="3"/>
    <m/>
    <x v="31"/>
    <x v="2"/>
    <x v="184"/>
    <m/>
    <m/>
    <m/>
    <n v="16"/>
    <n v="201208"/>
    <n v="627200"/>
  </r>
  <r>
    <x v="447"/>
    <x v="3"/>
    <m/>
    <x v="32"/>
    <x v="2"/>
    <x v="185"/>
    <m/>
    <m/>
    <m/>
    <n v="6"/>
    <n v="201208"/>
    <n v="222600"/>
  </r>
  <r>
    <x v="447"/>
    <x v="3"/>
    <m/>
    <x v="31"/>
    <x v="2"/>
    <x v="186"/>
    <m/>
    <m/>
    <m/>
    <n v="18"/>
    <n v="201208"/>
    <n v="403200"/>
  </r>
  <r>
    <x v="447"/>
    <x v="3"/>
    <m/>
    <x v="31"/>
    <x v="2"/>
    <x v="187"/>
    <m/>
    <m/>
    <m/>
    <n v="21"/>
    <n v="201208"/>
    <n v="823200"/>
  </r>
  <r>
    <x v="447"/>
    <x v="3"/>
    <m/>
    <x v="32"/>
    <x v="2"/>
    <x v="188"/>
    <m/>
    <m/>
    <m/>
    <n v="11"/>
    <n v="201208"/>
    <n v="408100"/>
  </r>
  <r>
    <x v="447"/>
    <x v="3"/>
    <m/>
    <x v="22"/>
    <x v="2"/>
    <x v="150"/>
    <m/>
    <m/>
    <m/>
    <n v="7"/>
    <n v="201208"/>
    <n v="266000"/>
  </r>
  <r>
    <x v="447"/>
    <x v="3"/>
    <m/>
    <x v="22"/>
    <x v="2"/>
    <x v="150"/>
    <m/>
    <m/>
    <m/>
    <n v="3"/>
    <n v="201208"/>
    <n v="114000"/>
  </r>
  <r>
    <x v="447"/>
    <x v="3"/>
    <m/>
    <x v="5"/>
    <x v="2"/>
    <x v="151"/>
    <m/>
    <m/>
    <m/>
    <n v="24"/>
    <n v="201208"/>
    <n v="672000"/>
  </r>
  <r>
    <x v="447"/>
    <x v="3"/>
    <m/>
    <x v="5"/>
    <x v="2"/>
    <x v="152"/>
    <m/>
    <m/>
    <m/>
    <n v="7"/>
    <n v="201208"/>
    <n v="336000"/>
  </r>
  <r>
    <x v="447"/>
    <x v="3"/>
    <m/>
    <x v="5"/>
    <x v="2"/>
    <x v="153"/>
    <m/>
    <m/>
    <m/>
    <n v="3"/>
    <n v="201208"/>
    <n v="84000"/>
  </r>
  <r>
    <x v="447"/>
    <x v="3"/>
    <m/>
    <x v="5"/>
    <x v="2"/>
    <x v="154"/>
    <m/>
    <m/>
    <m/>
    <n v="1"/>
    <n v="201208"/>
    <n v="28000"/>
  </r>
  <r>
    <x v="447"/>
    <x v="3"/>
    <m/>
    <x v="33"/>
    <x v="2"/>
    <x v="155"/>
    <m/>
    <m/>
    <m/>
    <n v="6"/>
    <n v="201208"/>
    <n v="109200"/>
  </r>
  <r>
    <x v="447"/>
    <x v="3"/>
    <m/>
    <x v="33"/>
    <x v="2"/>
    <x v="156"/>
    <m/>
    <m/>
    <m/>
    <n v="2"/>
    <n v="201208"/>
    <n v="67600"/>
  </r>
  <r>
    <x v="447"/>
    <x v="3"/>
    <m/>
    <x v="19"/>
    <x v="2"/>
    <x v="157"/>
    <m/>
    <m/>
    <m/>
    <n v="15"/>
    <n v="201208"/>
    <n v="195000"/>
  </r>
  <r>
    <x v="447"/>
    <x v="3"/>
    <m/>
    <x v="19"/>
    <x v="2"/>
    <x v="158"/>
    <m/>
    <m/>
    <m/>
    <n v="2"/>
    <n v="201208"/>
    <n v="48000"/>
  </r>
  <r>
    <x v="447"/>
    <x v="3"/>
    <m/>
    <x v="19"/>
    <x v="2"/>
    <x v="159"/>
    <m/>
    <m/>
    <m/>
    <n v="1"/>
    <n v="201208"/>
    <n v="33000"/>
  </r>
  <r>
    <x v="447"/>
    <x v="3"/>
    <m/>
    <x v="19"/>
    <x v="2"/>
    <x v="181"/>
    <m/>
    <m/>
    <m/>
    <n v="2"/>
    <n v="201208"/>
    <n v="26000"/>
  </r>
  <r>
    <x v="447"/>
    <x v="3"/>
    <m/>
    <x v="35"/>
    <x v="2"/>
    <x v="170"/>
    <m/>
    <m/>
    <m/>
    <n v="2"/>
    <n v="201208"/>
    <n v="8000"/>
  </r>
  <r>
    <x v="447"/>
    <x v="3"/>
    <m/>
    <x v="35"/>
    <x v="2"/>
    <x v="160"/>
    <m/>
    <m/>
    <m/>
    <n v="6"/>
    <n v="201208"/>
    <n v="120000"/>
  </r>
  <r>
    <x v="447"/>
    <x v="3"/>
    <m/>
    <x v="18"/>
    <x v="2"/>
    <x v="161"/>
    <m/>
    <m/>
    <m/>
    <n v="22"/>
    <n v="201208"/>
    <n v="66000"/>
  </r>
  <r>
    <x v="447"/>
    <x v="3"/>
    <m/>
    <x v="18"/>
    <x v="2"/>
    <x v="161"/>
    <m/>
    <m/>
    <m/>
    <n v="2"/>
    <n v="201208"/>
    <n v="6000"/>
  </r>
  <r>
    <x v="448"/>
    <x v="4"/>
    <m/>
    <x v="0"/>
    <x v="1"/>
    <x v="123"/>
    <m/>
    <m/>
    <m/>
    <n v="2"/>
    <n v="201208"/>
    <n v="70000"/>
  </r>
  <r>
    <x v="448"/>
    <x v="4"/>
    <m/>
    <x v="0"/>
    <x v="1"/>
    <x v="124"/>
    <m/>
    <m/>
    <m/>
    <n v="1"/>
    <n v="201208"/>
    <n v="20000"/>
  </r>
  <r>
    <x v="448"/>
    <x v="4"/>
    <m/>
    <x v="4"/>
    <x v="5"/>
    <x v="191"/>
    <m/>
    <m/>
    <m/>
    <n v="5"/>
    <n v="201208"/>
    <n v="81820"/>
  </r>
  <r>
    <x v="448"/>
    <x v="4"/>
    <m/>
    <x v="0"/>
    <x v="7"/>
    <x v="163"/>
    <m/>
    <m/>
    <m/>
    <n v="4"/>
    <n v="201208"/>
    <n v="80000"/>
  </r>
  <r>
    <x v="448"/>
    <x v="4"/>
    <m/>
    <x v="0"/>
    <x v="3"/>
    <x v="164"/>
    <m/>
    <m/>
    <m/>
    <n v="9"/>
    <n v="201208"/>
    <n v="0"/>
  </r>
  <r>
    <x v="448"/>
    <x v="4"/>
    <m/>
    <x v="31"/>
    <x v="3"/>
    <x v="88"/>
    <m/>
    <m/>
    <m/>
    <n v="7"/>
    <n v="201208"/>
    <n v="0"/>
  </r>
  <r>
    <x v="448"/>
    <x v="4"/>
    <m/>
    <x v="6"/>
    <x v="2"/>
    <x v="126"/>
    <m/>
    <m/>
    <m/>
    <n v="2"/>
    <n v="201208"/>
    <n v="40000"/>
  </r>
  <r>
    <x v="448"/>
    <x v="4"/>
    <m/>
    <x v="34"/>
    <x v="2"/>
    <x v="128"/>
    <m/>
    <m/>
    <m/>
    <n v="31"/>
    <n v="201208"/>
    <n v="1150100"/>
  </r>
  <r>
    <x v="448"/>
    <x v="4"/>
    <m/>
    <x v="25"/>
    <x v="2"/>
    <x v="129"/>
    <m/>
    <m/>
    <m/>
    <n v="1"/>
    <n v="201208"/>
    <n v="99000"/>
  </r>
  <r>
    <x v="448"/>
    <x v="4"/>
    <m/>
    <x v="0"/>
    <x v="2"/>
    <x v="130"/>
    <m/>
    <m/>
    <m/>
    <n v="47"/>
    <n v="201208"/>
    <n v="1551000"/>
  </r>
  <r>
    <x v="448"/>
    <x v="4"/>
    <m/>
    <x v="0"/>
    <x v="2"/>
    <x v="131"/>
    <m/>
    <m/>
    <m/>
    <n v="7"/>
    <n v="201208"/>
    <n v="231000"/>
  </r>
  <r>
    <x v="448"/>
    <x v="4"/>
    <m/>
    <x v="30"/>
    <x v="2"/>
    <x v="132"/>
    <m/>
    <m/>
    <m/>
    <n v="16"/>
    <n v="201208"/>
    <n v="358400"/>
  </r>
  <r>
    <x v="448"/>
    <x v="4"/>
    <m/>
    <x v="30"/>
    <x v="2"/>
    <x v="133"/>
    <m/>
    <m/>
    <m/>
    <n v="2"/>
    <n v="201208"/>
    <n v="78400"/>
  </r>
  <r>
    <x v="448"/>
    <x v="4"/>
    <m/>
    <x v="34"/>
    <x v="2"/>
    <x v="134"/>
    <m/>
    <m/>
    <m/>
    <n v="2"/>
    <n v="201208"/>
    <n v="74200"/>
  </r>
  <r>
    <x v="448"/>
    <x v="4"/>
    <m/>
    <x v="1"/>
    <x v="2"/>
    <x v="135"/>
    <m/>
    <m/>
    <m/>
    <n v="3"/>
    <n v="201208"/>
    <n v="60000"/>
  </r>
  <r>
    <x v="448"/>
    <x v="4"/>
    <m/>
    <x v="36"/>
    <x v="2"/>
    <x v="136"/>
    <m/>
    <m/>
    <m/>
    <n v="3"/>
    <n v="201208"/>
    <n v="84000"/>
  </r>
  <r>
    <x v="448"/>
    <x v="4"/>
    <m/>
    <x v="36"/>
    <x v="2"/>
    <x v="176"/>
    <m/>
    <m/>
    <m/>
    <n v="1"/>
    <n v="201208"/>
    <n v="49000"/>
  </r>
  <r>
    <x v="448"/>
    <x v="4"/>
    <m/>
    <x v="0"/>
    <x v="2"/>
    <x v="138"/>
    <m/>
    <m/>
    <m/>
    <n v="46"/>
    <n v="201208"/>
    <n v="920000"/>
  </r>
  <r>
    <x v="448"/>
    <x v="4"/>
    <m/>
    <x v="0"/>
    <x v="2"/>
    <x v="139"/>
    <m/>
    <m/>
    <m/>
    <n v="26"/>
    <n v="201208"/>
    <n v="910000"/>
  </r>
  <r>
    <x v="448"/>
    <x v="4"/>
    <m/>
    <x v="32"/>
    <x v="2"/>
    <x v="140"/>
    <m/>
    <m/>
    <m/>
    <n v="9"/>
    <n v="201208"/>
    <n v="333900"/>
  </r>
  <r>
    <x v="448"/>
    <x v="4"/>
    <m/>
    <x v="18"/>
    <x v="2"/>
    <x v="125"/>
    <m/>
    <m/>
    <m/>
    <n v="23"/>
    <n v="201208"/>
    <n v="69000"/>
  </r>
  <r>
    <x v="448"/>
    <x v="4"/>
    <m/>
    <x v="0"/>
    <x v="2"/>
    <x v="138"/>
    <m/>
    <m/>
    <m/>
    <n v="1"/>
    <n v="201208"/>
    <n v="20000"/>
  </r>
  <r>
    <x v="448"/>
    <x v="4"/>
    <m/>
    <x v="4"/>
    <x v="2"/>
    <x v="142"/>
    <m/>
    <m/>
    <m/>
    <n v="1"/>
    <n v="201208"/>
    <n v="4000"/>
  </r>
  <r>
    <x v="448"/>
    <x v="4"/>
    <m/>
    <x v="4"/>
    <x v="2"/>
    <x v="143"/>
    <m/>
    <m/>
    <m/>
    <n v="2"/>
    <n v="201208"/>
    <n v="40000"/>
  </r>
  <r>
    <x v="448"/>
    <x v="4"/>
    <m/>
    <x v="4"/>
    <x v="2"/>
    <x v="144"/>
    <m/>
    <m/>
    <m/>
    <n v="7"/>
    <n v="201208"/>
    <n v="28000"/>
  </r>
  <r>
    <x v="448"/>
    <x v="4"/>
    <m/>
    <x v="31"/>
    <x v="2"/>
    <x v="145"/>
    <m/>
    <m/>
    <m/>
    <n v="47"/>
    <n v="201208"/>
    <n v="1052800"/>
  </r>
  <r>
    <x v="448"/>
    <x v="4"/>
    <m/>
    <x v="31"/>
    <x v="2"/>
    <x v="146"/>
    <m/>
    <m/>
    <m/>
    <n v="61"/>
    <n v="201208"/>
    <n v="2391200"/>
  </r>
  <r>
    <x v="448"/>
    <x v="4"/>
    <m/>
    <x v="32"/>
    <x v="2"/>
    <x v="147"/>
    <m/>
    <m/>
    <m/>
    <n v="32"/>
    <n v="201208"/>
    <n v="1187200"/>
  </r>
  <r>
    <x v="448"/>
    <x v="4"/>
    <m/>
    <x v="0"/>
    <x v="2"/>
    <x v="148"/>
    <m/>
    <m/>
    <m/>
    <n v="1"/>
    <n v="201208"/>
    <n v="20000"/>
  </r>
  <r>
    <x v="448"/>
    <x v="4"/>
    <m/>
    <x v="0"/>
    <x v="2"/>
    <x v="174"/>
    <m/>
    <m/>
    <m/>
    <n v="1"/>
    <n v="201208"/>
    <n v="35000"/>
  </r>
  <r>
    <x v="448"/>
    <x v="4"/>
    <m/>
    <x v="31"/>
    <x v="2"/>
    <x v="189"/>
    <m/>
    <m/>
    <m/>
    <n v="12"/>
    <n v="201208"/>
    <n v="268800"/>
  </r>
  <r>
    <x v="448"/>
    <x v="4"/>
    <m/>
    <x v="31"/>
    <x v="2"/>
    <x v="184"/>
    <m/>
    <m/>
    <m/>
    <n v="21"/>
    <n v="201208"/>
    <n v="823200"/>
  </r>
  <r>
    <x v="448"/>
    <x v="4"/>
    <m/>
    <x v="32"/>
    <x v="2"/>
    <x v="185"/>
    <m/>
    <m/>
    <m/>
    <n v="6"/>
    <n v="201208"/>
    <n v="222600"/>
  </r>
  <r>
    <x v="448"/>
    <x v="4"/>
    <m/>
    <x v="31"/>
    <x v="2"/>
    <x v="186"/>
    <m/>
    <m/>
    <m/>
    <n v="76"/>
    <n v="201208"/>
    <n v="1702400"/>
  </r>
  <r>
    <x v="448"/>
    <x v="4"/>
    <m/>
    <x v="31"/>
    <x v="2"/>
    <x v="187"/>
    <m/>
    <m/>
    <m/>
    <n v="59"/>
    <n v="201208"/>
    <n v="2312800"/>
  </r>
  <r>
    <x v="448"/>
    <x v="4"/>
    <m/>
    <x v="32"/>
    <x v="2"/>
    <x v="188"/>
    <m/>
    <m/>
    <m/>
    <n v="58"/>
    <n v="201208"/>
    <n v="2151800"/>
  </r>
  <r>
    <x v="448"/>
    <x v="4"/>
    <m/>
    <x v="22"/>
    <x v="2"/>
    <x v="150"/>
    <m/>
    <m/>
    <m/>
    <n v="8"/>
    <n v="201208"/>
    <n v="304000"/>
  </r>
  <r>
    <x v="448"/>
    <x v="4"/>
    <m/>
    <x v="5"/>
    <x v="2"/>
    <x v="151"/>
    <m/>
    <m/>
    <m/>
    <n v="21"/>
    <n v="201208"/>
    <n v="588000"/>
  </r>
  <r>
    <x v="448"/>
    <x v="4"/>
    <m/>
    <x v="5"/>
    <x v="2"/>
    <x v="152"/>
    <m/>
    <m/>
    <m/>
    <n v="5"/>
    <n v="201208"/>
    <n v="240000"/>
  </r>
  <r>
    <x v="448"/>
    <x v="4"/>
    <m/>
    <x v="5"/>
    <x v="2"/>
    <x v="153"/>
    <m/>
    <m/>
    <m/>
    <n v="7"/>
    <n v="201208"/>
    <n v="196000"/>
  </r>
  <r>
    <x v="448"/>
    <x v="4"/>
    <m/>
    <x v="33"/>
    <x v="2"/>
    <x v="155"/>
    <m/>
    <m/>
    <m/>
    <n v="4"/>
    <n v="201208"/>
    <n v="72800"/>
  </r>
  <r>
    <x v="448"/>
    <x v="4"/>
    <m/>
    <x v="19"/>
    <x v="2"/>
    <x v="157"/>
    <m/>
    <m/>
    <m/>
    <n v="22"/>
    <n v="201208"/>
    <n v="286000"/>
  </r>
  <r>
    <x v="448"/>
    <x v="4"/>
    <m/>
    <x v="19"/>
    <x v="2"/>
    <x v="158"/>
    <m/>
    <m/>
    <m/>
    <n v="9"/>
    <n v="201208"/>
    <n v="216000"/>
  </r>
  <r>
    <x v="448"/>
    <x v="4"/>
    <m/>
    <x v="19"/>
    <x v="2"/>
    <x v="159"/>
    <m/>
    <m/>
    <m/>
    <n v="2"/>
    <n v="201208"/>
    <n v="66000"/>
  </r>
  <r>
    <x v="448"/>
    <x v="4"/>
    <m/>
    <x v="35"/>
    <x v="2"/>
    <x v="160"/>
    <m/>
    <m/>
    <m/>
    <n v="3"/>
    <n v="201208"/>
    <n v="60000"/>
  </r>
  <r>
    <x v="448"/>
    <x v="4"/>
    <m/>
    <x v="18"/>
    <x v="2"/>
    <x v="161"/>
    <m/>
    <m/>
    <m/>
    <n v="33"/>
    <n v="201208"/>
    <n v="99000"/>
  </r>
  <r>
    <x v="448"/>
    <x v="4"/>
    <m/>
    <x v="18"/>
    <x v="2"/>
    <x v="161"/>
    <m/>
    <m/>
    <m/>
    <n v="1"/>
    <n v="201208"/>
    <n v="3000"/>
  </r>
  <r>
    <x v="449"/>
    <x v="1"/>
    <m/>
    <x v="0"/>
    <x v="1"/>
    <x v="123"/>
    <m/>
    <m/>
    <m/>
    <n v="3"/>
    <n v="201208"/>
    <n v="105000"/>
  </r>
  <r>
    <x v="449"/>
    <x v="1"/>
    <m/>
    <x v="0"/>
    <x v="7"/>
    <x v="163"/>
    <m/>
    <m/>
    <m/>
    <n v="3"/>
    <n v="201208"/>
    <n v="60000"/>
  </r>
  <r>
    <x v="449"/>
    <x v="1"/>
    <m/>
    <x v="0"/>
    <x v="3"/>
    <x v="164"/>
    <m/>
    <m/>
    <m/>
    <n v="5"/>
    <n v="201208"/>
    <n v="0"/>
  </r>
  <r>
    <x v="449"/>
    <x v="1"/>
    <m/>
    <x v="6"/>
    <x v="2"/>
    <x v="126"/>
    <m/>
    <m/>
    <m/>
    <n v="3"/>
    <n v="201208"/>
    <n v="60000"/>
  </r>
  <r>
    <x v="449"/>
    <x v="1"/>
    <m/>
    <x v="6"/>
    <x v="2"/>
    <x v="127"/>
    <m/>
    <m/>
    <m/>
    <n v="1"/>
    <n v="201208"/>
    <n v="35000"/>
  </r>
  <r>
    <x v="449"/>
    <x v="1"/>
    <m/>
    <x v="34"/>
    <x v="2"/>
    <x v="128"/>
    <m/>
    <m/>
    <m/>
    <n v="30"/>
    <n v="201208"/>
    <n v="1113000"/>
  </r>
  <r>
    <x v="449"/>
    <x v="1"/>
    <m/>
    <x v="25"/>
    <x v="2"/>
    <x v="129"/>
    <m/>
    <m/>
    <m/>
    <n v="3"/>
    <n v="201208"/>
    <n v="297000"/>
  </r>
  <r>
    <x v="449"/>
    <x v="1"/>
    <m/>
    <x v="0"/>
    <x v="2"/>
    <x v="130"/>
    <m/>
    <m/>
    <m/>
    <n v="33"/>
    <n v="201208"/>
    <n v="1089000"/>
  </r>
  <r>
    <x v="449"/>
    <x v="1"/>
    <m/>
    <x v="0"/>
    <x v="2"/>
    <x v="131"/>
    <m/>
    <m/>
    <m/>
    <n v="4"/>
    <n v="201208"/>
    <n v="132000"/>
  </r>
  <r>
    <x v="449"/>
    <x v="1"/>
    <m/>
    <x v="0"/>
    <x v="2"/>
    <x v="168"/>
    <m/>
    <m/>
    <m/>
    <n v="1"/>
    <n v="201208"/>
    <n v="20000"/>
  </r>
  <r>
    <x v="449"/>
    <x v="1"/>
    <m/>
    <x v="32"/>
    <x v="2"/>
    <x v="180"/>
    <m/>
    <m/>
    <m/>
    <n v="1"/>
    <n v="201208"/>
    <n v="37100"/>
  </r>
  <r>
    <x v="449"/>
    <x v="1"/>
    <m/>
    <x v="0"/>
    <x v="2"/>
    <x v="179"/>
    <m/>
    <m/>
    <m/>
    <n v="2"/>
    <n v="201208"/>
    <n v="6000"/>
  </r>
  <r>
    <x v="449"/>
    <x v="1"/>
    <m/>
    <x v="0"/>
    <x v="2"/>
    <x v="178"/>
    <m/>
    <m/>
    <m/>
    <n v="1"/>
    <n v="201208"/>
    <n v="35000"/>
  </r>
  <r>
    <x v="449"/>
    <x v="1"/>
    <m/>
    <x v="30"/>
    <x v="2"/>
    <x v="132"/>
    <m/>
    <m/>
    <m/>
    <n v="10"/>
    <n v="201208"/>
    <n v="224000"/>
  </r>
  <r>
    <x v="449"/>
    <x v="1"/>
    <m/>
    <x v="30"/>
    <x v="2"/>
    <x v="133"/>
    <m/>
    <m/>
    <m/>
    <n v="4"/>
    <n v="201208"/>
    <n v="156800"/>
  </r>
  <r>
    <x v="449"/>
    <x v="1"/>
    <m/>
    <x v="34"/>
    <x v="2"/>
    <x v="134"/>
    <m/>
    <m/>
    <m/>
    <n v="2"/>
    <n v="201208"/>
    <n v="74200"/>
  </r>
  <r>
    <x v="449"/>
    <x v="1"/>
    <m/>
    <x v="1"/>
    <x v="2"/>
    <x v="135"/>
    <m/>
    <m/>
    <m/>
    <n v="2"/>
    <n v="201208"/>
    <n v="40000"/>
  </r>
  <r>
    <x v="449"/>
    <x v="1"/>
    <m/>
    <x v="36"/>
    <x v="2"/>
    <x v="136"/>
    <m/>
    <m/>
    <m/>
    <n v="3"/>
    <n v="201208"/>
    <n v="84000"/>
  </r>
  <r>
    <x v="449"/>
    <x v="1"/>
    <m/>
    <x v="36"/>
    <x v="2"/>
    <x v="176"/>
    <m/>
    <m/>
    <m/>
    <n v="1"/>
    <n v="201208"/>
    <n v="49000"/>
  </r>
  <r>
    <x v="449"/>
    <x v="1"/>
    <m/>
    <x v="0"/>
    <x v="2"/>
    <x v="138"/>
    <m/>
    <m/>
    <m/>
    <n v="45"/>
    <n v="201208"/>
    <n v="900000"/>
  </r>
  <r>
    <x v="449"/>
    <x v="1"/>
    <m/>
    <x v="0"/>
    <x v="2"/>
    <x v="139"/>
    <m/>
    <m/>
    <m/>
    <n v="22"/>
    <n v="201208"/>
    <n v="770000"/>
  </r>
  <r>
    <x v="449"/>
    <x v="1"/>
    <m/>
    <x v="32"/>
    <x v="2"/>
    <x v="140"/>
    <m/>
    <m/>
    <m/>
    <n v="18"/>
    <n v="201208"/>
    <n v="667800"/>
  </r>
  <r>
    <x v="449"/>
    <x v="1"/>
    <m/>
    <x v="18"/>
    <x v="2"/>
    <x v="125"/>
    <m/>
    <m/>
    <m/>
    <n v="29"/>
    <n v="201208"/>
    <n v="87000"/>
  </r>
  <r>
    <x v="449"/>
    <x v="1"/>
    <m/>
    <x v="0"/>
    <x v="2"/>
    <x v="141"/>
    <m/>
    <m/>
    <m/>
    <n v="3"/>
    <n v="201208"/>
    <n v="99000"/>
  </r>
  <r>
    <x v="449"/>
    <x v="1"/>
    <m/>
    <x v="4"/>
    <x v="2"/>
    <x v="143"/>
    <m/>
    <m/>
    <m/>
    <n v="6"/>
    <n v="201208"/>
    <n v="120000"/>
  </r>
  <r>
    <x v="449"/>
    <x v="1"/>
    <m/>
    <x v="4"/>
    <x v="2"/>
    <x v="144"/>
    <m/>
    <m/>
    <m/>
    <n v="5"/>
    <n v="201208"/>
    <n v="20000"/>
  </r>
  <r>
    <x v="449"/>
    <x v="1"/>
    <m/>
    <x v="31"/>
    <x v="2"/>
    <x v="145"/>
    <m/>
    <m/>
    <m/>
    <n v="63"/>
    <n v="201208"/>
    <n v="1411200"/>
  </r>
  <r>
    <x v="449"/>
    <x v="1"/>
    <m/>
    <x v="31"/>
    <x v="2"/>
    <x v="146"/>
    <m/>
    <m/>
    <m/>
    <n v="113"/>
    <n v="201208"/>
    <n v="4429600"/>
  </r>
  <r>
    <x v="449"/>
    <x v="1"/>
    <m/>
    <x v="32"/>
    <x v="2"/>
    <x v="147"/>
    <m/>
    <m/>
    <m/>
    <n v="46"/>
    <n v="201208"/>
    <n v="1706600"/>
  </r>
  <r>
    <x v="449"/>
    <x v="1"/>
    <m/>
    <x v="0"/>
    <x v="2"/>
    <x v="148"/>
    <m/>
    <m/>
    <m/>
    <n v="2"/>
    <n v="201208"/>
    <n v="40000"/>
  </r>
  <r>
    <x v="449"/>
    <x v="1"/>
    <m/>
    <x v="31"/>
    <x v="2"/>
    <x v="189"/>
    <m/>
    <m/>
    <m/>
    <n v="9"/>
    <n v="201208"/>
    <n v="201600"/>
  </r>
  <r>
    <x v="449"/>
    <x v="1"/>
    <m/>
    <x v="31"/>
    <x v="2"/>
    <x v="184"/>
    <m/>
    <m/>
    <m/>
    <n v="11"/>
    <n v="201208"/>
    <n v="431200"/>
  </r>
  <r>
    <x v="449"/>
    <x v="1"/>
    <m/>
    <x v="32"/>
    <x v="2"/>
    <x v="185"/>
    <m/>
    <m/>
    <m/>
    <n v="3"/>
    <n v="201208"/>
    <n v="111300"/>
  </r>
  <r>
    <x v="449"/>
    <x v="1"/>
    <m/>
    <x v="31"/>
    <x v="2"/>
    <x v="186"/>
    <m/>
    <m/>
    <m/>
    <n v="208"/>
    <n v="201208"/>
    <n v="4659200"/>
  </r>
  <r>
    <x v="449"/>
    <x v="1"/>
    <m/>
    <x v="31"/>
    <x v="2"/>
    <x v="187"/>
    <m/>
    <m/>
    <m/>
    <n v="224"/>
    <n v="201208"/>
    <n v="8780800"/>
  </r>
  <r>
    <x v="449"/>
    <x v="1"/>
    <m/>
    <x v="32"/>
    <x v="2"/>
    <x v="188"/>
    <m/>
    <m/>
    <m/>
    <n v="125"/>
    <n v="201208"/>
    <n v="4637500"/>
  </r>
  <r>
    <x v="449"/>
    <x v="1"/>
    <m/>
    <x v="22"/>
    <x v="2"/>
    <x v="150"/>
    <m/>
    <m/>
    <m/>
    <n v="12"/>
    <n v="201208"/>
    <n v="456000"/>
  </r>
  <r>
    <x v="449"/>
    <x v="1"/>
    <m/>
    <x v="22"/>
    <x v="2"/>
    <x v="150"/>
    <m/>
    <m/>
    <m/>
    <n v="2"/>
    <n v="201208"/>
    <n v="76000"/>
  </r>
  <r>
    <x v="449"/>
    <x v="1"/>
    <m/>
    <x v="5"/>
    <x v="2"/>
    <x v="151"/>
    <m/>
    <m/>
    <m/>
    <n v="19"/>
    <n v="201208"/>
    <n v="532000"/>
  </r>
  <r>
    <x v="449"/>
    <x v="1"/>
    <m/>
    <x v="5"/>
    <x v="2"/>
    <x v="152"/>
    <m/>
    <m/>
    <m/>
    <n v="6"/>
    <n v="201208"/>
    <n v="288000"/>
  </r>
  <r>
    <x v="449"/>
    <x v="1"/>
    <m/>
    <x v="5"/>
    <x v="2"/>
    <x v="153"/>
    <m/>
    <m/>
    <m/>
    <n v="4"/>
    <n v="201208"/>
    <n v="112000"/>
  </r>
  <r>
    <x v="449"/>
    <x v="1"/>
    <m/>
    <x v="33"/>
    <x v="2"/>
    <x v="155"/>
    <m/>
    <m/>
    <m/>
    <n v="7"/>
    <n v="201208"/>
    <n v="127400"/>
  </r>
  <r>
    <x v="449"/>
    <x v="1"/>
    <m/>
    <x v="19"/>
    <x v="2"/>
    <x v="157"/>
    <m/>
    <m/>
    <m/>
    <n v="28"/>
    <n v="201208"/>
    <n v="364000"/>
  </r>
  <r>
    <x v="449"/>
    <x v="1"/>
    <m/>
    <x v="19"/>
    <x v="2"/>
    <x v="158"/>
    <m/>
    <m/>
    <m/>
    <n v="6"/>
    <n v="201208"/>
    <n v="144000"/>
  </r>
  <r>
    <x v="449"/>
    <x v="1"/>
    <m/>
    <x v="19"/>
    <x v="2"/>
    <x v="159"/>
    <m/>
    <m/>
    <m/>
    <n v="1"/>
    <n v="201208"/>
    <n v="33000"/>
  </r>
  <r>
    <x v="449"/>
    <x v="1"/>
    <m/>
    <x v="35"/>
    <x v="2"/>
    <x v="160"/>
    <m/>
    <m/>
    <m/>
    <n v="5"/>
    <n v="201208"/>
    <n v="100000"/>
  </r>
  <r>
    <x v="449"/>
    <x v="1"/>
    <m/>
    <x v="18"/>
    <x v="2"/>
    <x v="161"/>
    <m/>
    <m/>
    <m/>
    <n v="23"/>
    <n v="201208"/>
    <n v="69000"/>
  </r>
  <r>
    <x v="449"/>
    <x v="1"/>
    <m/>
    <x v="18"/>
    <x v="2"/>
    <x v="161"/>
    <m/>
    <m/>
    <m/>
    <n v="9"/>
    <n v="201208"/>
    <n v="27000"/>
  </r>
  <r>
    <x v="450"/>
    <x v="0"/>
    <m/>
    <x v="0"/>
    <x v="1"/>
    <x v="123"/>
    <m/>
    <m/>
    <m/>
    <n v="1"/>
    <n v="201208"/>
    <n v="35000"/>
  </r>
  <r>
    <x v="450"/>
    <x v="0"/>
    <m/>
    <x v="0"/>
    <x v="7"/>
    <x v="163"/>
    <m/>
    <m/>
    <m/>
    <n v="1"/>
    <n v="201208"/>
    <n v="20000"/>
  </r>
  <r>
    <x v="450"/>
    <x v="0"/>
    <m/>
    <x v="6"/>
    <x v="2"/>
    <x v="126"/>
    <m/>
    <m/>
    <m/>
    <n v="5"/>
    <n v="201208"/>
    <n v="100000"/>
  </r>
  <r>
    <x v="450"/>
    <x v="0"/>
    <m/>
    <x v="6"/>
    <x v="2"/>
    <x v="127"/>
    <m/>
    <m/>
    <m/>
    <n v="1"/>
    <n v="201208"/>
    <n v="35000"/>
  </r>
  <r>
    <x v="450"/>
    <x v="0"/>
    <m/>
    <x v="34"/>
    <x v="2"/>
    <x v="128"/>
    <m/>
    <m/>
    <m/>
    <n v="48"/>
    <n v="201208"/>
    <n v="1780800"/>
  </r>
  <r>
    <x v="450"/>
    <x v="0"/>
    <m/>
    <x v="25"/>
    <x v="2"/>
    <x v="129"/>
    <m/>
    <m/>
    <m/>
    <n v="3"/>
    <n v="201208"/>
    <n v="297000"/>
  </r>
  <r>
    <x v="450"/>
    <x v="0"/>
    <m/>
    <x v="0"/>
    <x v="2"/>
    <x v="130"/>
    <m/>
    <m/>
    <m/>
    <n v="26"/>
    <n v="201208"/>
    <n v="858000"/>
  </r>
  <r>
    <x v="450"/>
    <x v="0"/>
    <m/>
    <x v="0"/>
    <x v="2"/>
    <x v="131"/>
    <m/>
    <m/>
    <m/>
    <n v="3"/>
    <n v="201208"/>
    <n v="99000"/>
  </r>
  <r>
    <x v="450"/>
    <x v="0"/>
    <m/>
    <x v="0"/>
    <x v="2"/>
    <x v="168"/>
    <m/>
    <m/>
    <m/>
    <n v="2"/>
    <n v="201208"/>
    <n v="40000"/>
  </r>
  <r>
    <x v="450"/>
    <x v="0"/>
    <m/>
    <x v="0"/>
    <x v="2"/>
    <x v="178"/>
    <m/>
    <m/>
    <m/>
    <n v="1"/>
    <n v="201208"/>
    <n v="35000"/>
  </r>
  <r>
    <x v="450"/>
    <x v="0"/>
    <m/>
    <x v="31"/>
    <x v="2"/>
    <x v="192"/>
    <m/>
    <m/>
    <m/>
    <n v="1"/>
    <n v="201208"/>
    <n v="39200"/>
  </r>
  <r>
    <x v="450"/>
    <x v="0"/>
    <m/>
    <x v="30"/>
    <x v="2"/>
    <x v="132"/>
    <m/>
    <m/>
    <m/>
    <n v="6"/>
    <n v="201208"/>
    <n v="134400"/>
  </r>
  <r>
    <x v="450"/>
    <x v="0"/>
    <m/>
    <x v="30"/>
    <x v="2"/>
    <x v="133"/>
    <m/>
    <m/>
    <m/>
    <n v="2"/>
    <n v="201208"/>
    <n v="78400"/>
  </r>
  <r>
    <x v="450"/>
    <x v="0"/>
    <m/>
    <x v="34"/>
    <x v="2"/>
    <x v="134"/>
    <m/>
    <m/>
    <m/>
    <n v="3"/>
    <n v="201208"/>
    <n v="111300"/>
  </r>
  <r>
    <x v="450"/>
    <x v="0"/>
    <m/>
    <x v="1"/>
    <x v="2"/>
    <x v="135"/>
    <m/>
    <m/>
    <m/>
    <n v="2"/>
    <n v="201208"/>
    <n v="40000"/>
  </r>
  <r>
    <x v="450"/>
    <x v="0"/>
    <m/>
    <x v="1"/>
    <x v="2"/>
    <x v="165"/>
    <m/>
    <m/>
    <m/>
    <n v="1"/>
    <n v="201208"/>
    <n v="35000"/>
  </r>
  <r>
    <x v="450"/>
    <x v="0"/>
    <m/>
    <x v="36"/>
    <x v="2"/>
    <x v="136"/>
    <m/>
    <m/>
    <m/>
    <n v="5"/>
    <n v="201208"/>
    <n v="140000"/>
  </r>
  <r>
    <x v="450"/>
    <x v="0"/>
    <m/>
    <x v="36"/>
    <x v="2"/>
    <x v="137"/>
    <m/>
    <m/>
    <m/>
    <n v="1"/>
    <n v="201208"/>
    <n v="42000"/>
  </r>
  <r>
    <x v="450"/>
    <x v="0"/>
    <m/>
    <x v="0"/>
    <x v="2"/>
    <x v="138"/>
    <m/>
    <m/>
    <m/>
    <n v="53"/>
    <n v="201208"/>
    <n v="1060000"/>
  </r>
  <r>
    <x v="450"/>
    <x v="0"/>
    <m/>
    <x v="0"/>
    <x v="2"/>
    <x v="139"/>
    <m/>
    <m/>
    <m/>
    <n v="39"/>
    <n v="201208"/>
    <n v="1365000"/>
  </r>
  <r>
    <x v="450"/>
    <x v="0"/>
    <m/>
    <x v="32"/>
    <x v="2"/>
    <x v="140"/>
    <m/>
    <m/>
    <m/>
    <n v="38"/>
    <n v="201208"/>
    <n v="1409800"/>
  </r>
  <r>
    <x v="450"/>
    <x v="0"/>
    <m/>
    <x v="18"/>
    <x v="2"/>
    <x v="125"/>
    <m/>
    <m/>
    <m/>
    <n v="43"/>
    <n v="201208"/>
    <n v="129000"/>
  </r>
  <r>
    <x v="450"/>
    <x v="0"/>
    <m/>
    <x v="0"/>
    <x v="2"/>
    <x v="138"/>
    <m/>
    <m/>
    <m/>
    <n v="1"/>
    <n v="201208"/>
    <n v="20000"/>
  </r>
  <r>
    <x v="450"/>
    <x v="0"/>
    <m/>
    <x v="4"/>
    <x v="2"/>
    <x v="142"/>
    <m/>
    <m/>
    <m/>
    <n v="3"/>
    <n v="201208"/>
    <n v="12000"/>
  </r>
  <r>
    <x v="450"/>
    <x v="0"/>
    <m/>
    <x v="4"/>
    <x v="2"/>
    <x v="143"/>
    <m/>
    <m/>
    <m/>
    <n v="8"/>
    <n v="201208"/>
    <n v="160000"/>
  </r>
  <r>
    <x v="450"/>
    <x v="0"/>
    <m/>
    <x v="4"/>
    <x v="2"/>
    <x v="144"/>
    <m/>
    <m/>
    <m/>
    <n v="5"/>
    <n v="201208"/>
    <n v="20000"/>
  </r>
  <r>
    <x v="450"/>
    <x v="0"/>
    <m/>
    <x v="31"/>
    <x v="2"/>
    <x v="145"/>
    <m/>
    <m/>
    <m/>
    <n v="81"/>
    <n v="201208"/>
    <n v="1814400"/>
  </r>
  <r>
    <x v="450"/>
    <x v="0"/>
    <m/>
    <x v="31"/>
    <x v="2"/>
    <x v="146"/>
    <m/>
    <m/>
    <m/>
    <n v="86"/>
    <n v="201208"/>
    <n v="3371200"/>
  </r>
  <r>
    <x v="450"/>
    <x v="0"/>
    <m/>
    <x v="32"/>
    <x v="2"/>
    <x v="147"/>
    <m/>
    <m/>
    <m/>
    <n v="68"/>
    <n v="201208"/>
    <n v="2522800"/>
  </r>
  <r>
    <x v="450"/>
    <x v="0"/>
    <m/>
    <x v="0"/>
    <x v="2"/>
    <x v="149"/>
    <m/>
    <m/>
    <m/>
    <n v="3"/>
    <n v="201208"/>
    <n v="60000"/>
  </r>
  <r>
    <x v="450"/>
    <x v="0"/>
    <m/>
    <x v="0"/>
    <x v="2"/>
    <x v="174"/>
    <m/>
    <m/>
    <m/>
    <n v="1"/>
    <n v="201208"/>
    <n v="35000"/>
  </r>
  <r>
    <x v="450"/>
    <x v="0"/>
    <m/>
    <x v="18"/>
    <x v="2"/>
    <x v="166"/>
    <m/>
    <m/>
    <m/>
    <n v="1"/>
    <n v="201208"/>
    <n v="3000"/>
  </r>
  <r>
    <x v="450"/>
    <x v="0"/>
    <m/>
    <x v="31"/>
    <x v="2"/>
    <x v="189"/>
    <m/>
    <m/>
    <m/>
    <n v="42"/>
    <n v="201208"/>
    <n v="940800"/>
  </r>
  <r>
    <x v="450"/>
    <x v="0"/>
    <m/>
    <x v="31"/>
    <x v="2"/>
    <x v="184"/>
    <m/>
    <m/>
    <m/>
    <n v="50"/>
    <n v="201208"/>
    <n v="1960000"/>
  </r>
  <r>
    <x v="450"/>
    <x v="0"/>
    <m/>
    <x v="32"/>
    <x v="2"/>
    <x v="185"/>
    <m/>
    <m/>
    <m/>
    <n v="24"/>
    <n v="201208"/>
    <n v="890400"/>
  </r>
  <r>
    <x v="450"/>
    <x v="0"/>
    <m/>
    <x v="31"/>
    <x v="2"/>
    <x v="186"/>
    <m/>
    <m/>
    <m/>
    <n v="142"/>
    <n v="201208"/>
    <n v="3180800"/>
  </r>
  <r>
    <x v="450"/>
    <x v="0"/>
    <m/>
    <x v="31"/>
    <x v="2"/>
    <x v="187"/>
    <m/>
    <m/>
    <m/>
    <n v="149"/>
    <n v="201208"/>
    <n v="5840800"/>
  </r>
  <r>
    <x v="450"/>
    <x v="0"/>
    <m/>
    <x v="32"/>
    <x v="2"/>
    <x v="188"/>
    <m/>
    <m/>
    <m/>
    <n v="78"/>
    <n v="201208"/>
    <n v="2893800"/>
  </r>
  <r>
    <x v="450"/>
    <x v="0"/>
    <m/>
    <x v="22"/>
    <x v="2"/>
    <x v="150"/>
    <m/>
    <m/>
    <m/>
    <n v="11"/>
    <n v="201208"/>
    <n v="418000"/>
  </r>
  <r>
    <x v="450"/>
    <x v="0"/>
    <m/>
    <x v="22"/>
    <x v="2"/>
    <x v="150"/>
    <m/>
    <m/>
    <m/>
    <n v="5"/>
    <n v="201208"/>
    <n v="190000"/>
  </r>
  <r>
    <x v="450"/>
    <x v="0"/>
    <m/>
    <x v="5"/>
    <x v="2"/>
    <x v="151"/>
    <m/>
    <m/>
    <m/>
    <n v="20"/>
    <n v="201208"/>
    <n v="560000"/>
  </r>
  <r>
    <x v="450"/>
    <x v="0"/>
    <m/>
    <x v="5"/>
    <x v="2"/>
    <x v="152"/>
    <m/>
    <m/>
    <m/>
    <n v="4"/>
    <n v="201208"/>
    <n v="192000"/>
  </r>
  <r>
    <x v="450"/>
    <x v="0"/>
    <m/>
    <x v="5"/>
    <x v="2"/>
    <x v="153"/>
    <m/>
    <m/>
    <m/>
    <n v="2"/>
    <n v="201208"/>
    <n v="56000"/>
  </r>
  <r>
    <x v="450"/>
    <x v="0"/>
    <m/>
    <x v="33"/>
    <x v="2"/>
    <x v="155"/>
    <m/>
    <m/>
    <m/>
    <n v="5"/>
    <n v="201208"/>
    <n v="91000"/>
  </r>
  <r>
    <x v="450"/>
    <x v="0"/>
    <m/>
    <x v="33"/>
    <x v="2"/>
    <x v="156"/>
    <m/>
    <m/>
    <m/>
    <n v="2"/>
    <n v="201208"/>
    <n v="67600"/>
  </r>
  <r>
    <x v="450"/>
    <x v="0"/>
    <m/>
    <x v="19"/>
    <x v="2"/>
    <x v="157"/>
    <m/>
    <m/>
    <m/>
    <n v="18"/>
    <n v="201208"/>
    <n v="234000"/>
  </r>
  <r>
    <x v="450"/>
    <x v="0"/>
    <m/>
    <x v="19"/>
    <x v="2"/>
    <x v="158"/>
    <m/>
    <m/>
    <m/>
    <n v="5"/>
    <n v="201208"/>
    <n v="120000"/>
  </r>
  <r>
    <x v="450"/>
    <x v="0"/>
    <m/>
    <x v="19"/>
    <x v="2"/>
    <x v="159"/>
    <m/>
    <m/>
    <m/>
    <n v="2"/>
    <n v="201208"/>
    <n v="66000"/>
  </r>
  <r>
    <x v="450"/>
    <x v="0"/>
    <m/>
    <x v="19"/>
    <x v="2"/>
    <x v="181"/>
    <m/>
    <m/>
    <m/>
    <n v="1"/>
    <n v="201208"/>
    <n v="13000"/>
  </r>
  <r>
    <x v="450"/>
    <x v="0"/>
    <m/>
    <x v="35"/>
    <x v="2"/>
    <x v="170"/>
    <m/>
    <m/>
    <m/>
    <n v="2"/>
    <n v="201208"/>
    <n v="8000"/>
  </r>
  <r>
    <x v="450"/>
    <x v="0"/>
    <m/>
    <x v="35"/>
    <x v="2"/>
    <x v="160"/>
    <m/>
    <m/>
    <m/>
    <n v="4"/>
    <n v="201208"/>
    <n v="80000"/>
  </r>
  <r>
    <x v="450"/>
    <x v="0"/>
    <m/>
    <x v="18"/>
    <x v="2"/>
    <x v="161"/>
    <m/>
    <m/>
    <m/>
    <n v="25"/>
    <n v="201208"/>
    <n v="75000"/>
  </r>
  <r>
    <x v="450"/>
    <x v="0"/>
    <m/>
    <x v="18"/>
    <x v="2"/>
    <x v="161"/>
    <m/>
    <m/>
    <m/>
    <n v="2"/>
    <n v="201208"/>
    <n v="6000"/>
  </r>
  <r>
    <x v="451"/>
    <x v="2"/>
    <m/>
    <x v="0"/>
    <x v="7"/>
    <x v="163"/>
    <m/>
    <m/>
    <m/>
    <n v="1"/>
    <n v="201208"/>
    <n v="20000"/>
  </r>
  <r>
    <x v="451"/>
    <x v="2"/>
    <m/>
    <x v="6"/>
    <x v="2"/>
    <x v="126"/>
    <m/>
    <m/>
    <m/>
    <n v="5"/>
    <n v="201208"/>
    <n v="100000"/>
  </r>
  <r>
    <x v="451"/>
    <x v="2"/>
    <m/>
    <x v="34"/>
    <x v="2"/>
    <x v="128"/>
    <m/>
    <m/>
    <m/>
    <n v="61"/>
    <n v="201208"/>
    <n v="2263100"/>
  </r>
  <r>
    <x v="451"/>
    <x v="2"/>
    <m/>
    <x v="25"/>
    <x v="2"/>
    <x v="129"/>
    <m/>
    <m/>
    <m/>
    <n v="4"/>
    <n v="201208"/>
    <n v="396000"/>
  </r>
  <r>
    <x v="451"/>
    <x v="2"/>
    <m/>
    <x v="0"/>
    <x v="2"/>
    <x v="130"/>
    <m/>
    <m/>
    <m/>
    <n v="29"/>
    <n v="201208"/>
    <n v="957000"/>
  </r>
  <r>
    <x v="451"/>
    <x v="2"/>
    <m/>
    <x v="0"/>
    <x v="2"/>
    <x v="168"/>
    <m/>
    <m/>
    <m/>
    <n v="2"/>
    <n v="201208"/>
    <n v="40000"/>
  </r>
  <r>
    <x v="451"/>
    <x v="2"/>
    <m/>
    <x v="0"/>
    <x v="2"/>
    <x v="178"/>
    <m/>
    <m/>
    <m/>
    <n v="1"/>
    <n v="201208"/>
    <n v="35000"/>
  </r>
  <r>
    <x v="451"/>
    <x v="2"/>
    <m/>
    <x v="0"/>
    <x v="2"/>
    <x v="179"/>
    <m/>
    <m/>
    <m/>
    <n v="2"/>
    <n v="201208"/>
    <n v="6000"/>
  </r>
  <r>
    <x v="451"/>
    <x v="2"/>
    <m/>
    <x v="30"/>
    <x v="2"/>
    <x v="132"/>
    <m/>
    <m/>
    <m/>
    <n v="14"/>
    <n v="201208"/>
    <n v="313600"/>
  </r>
  <r>
    <x v="451"/>
    <x v="2"/>
    <m/>
    <x v="30"/>
    <x v="2"/>
    <x v="133"/>
    <m/>
    <m/>
    <m/>
    <n v="3"/>
    <n v="201208"/>
    <n v="117600"/>
  </r>
  <r>
    <x v="451"/>
    <x v="2"/>
    <m/>
    <x v="34"/>
    <x v="2"/>
    <x v="134"/>
    <m/>
    <m/>
    <m/>
    <n v="3"/>
    <n v="201208"/>
    <n v="111300"/>
  </r>
  <r>
    <x v="451"/>
    <x v="2"/>
    <m/>
    <x v="1"/>
    <x v="2"/>
    <x v="135"/>
    <m/>
    <m/>
    <m/>
    <n v="4"/>
    <n v="201208"/>
    <n v="80000"/>
  </r>
  <r>
    <x v="451"/>
    <x v="2"/>
    <m/>
    <x v="1"/>
    <x v="2"/>
    <x v="165"/>
    <m/>
    <m/>
    <m/>
    <n v="2"/>
    <n v="201208"/>
    <n v="70000"/>
  </r>
  <r>
    <x v="451"/>
    <x v="2"/>
    <m/>
    <x v="36"/>
    <x v="2"/>
    <x v="136"/>
    <m/>
    <m/>
    <m/>
    <n v="3"/>
    <n v="201208"/>
    <n v="84000"/>
  </r>
  <r>
    <x v="451"/>
    <x v="2"/>
    <m/>
    <x v="0"/>
    <x v="2"/>
    <x v="138"/>
    <m/>
    <m/>
    <m/>
    <n v="104"/>
    <n v="201208"/>
    <n v="2080000"/>
  </r>
  <r>
    <x v="451"/>
    <x v="2"/>
    <m/>
    <x v="0"/>
    <x v="2"/>
    <x v="139"/>
    <m/>
    <m/>
    <m/>
    <n v="67"/>
    <n v="201208"/>
    <n v="2345000"/>
  </r>
  <r>
    <x v="451"/>
    <x v="2"/>
    <m/>
    <x v="32"/>
    <x v="2"/>
    <x v="140"/>
    <m/>
    <m/>
    <m/>
    <n v="76"/>
    <n v="201208"/>
    <n v="2819600"/>
  </r>
  <r>
    <x v="451"/>
    <x v="2"/>
    <m/>
    <x v="18"/>
    <x v="2"/>
    <x v="125"/>
    <m/>
    <m/>
    <m/>
    <n v="92"/>
    <n v="201208"/>
    <n v="276000"/>
  </r>
  <r>
    <x v="451"/>
    <x v="2"/>
    <m/>
    <x v="0"/>
    <x v="2"/>
    <x v="141"/>
    <m/>
    <m/>
    <m/>
    <n v="1"/>
    <n v="201208"/>
    <n v="33000"/>
  </r>
  <r>
    <x v="451"/>
    <x v="2"/>
    <m/>
    <x v="4"/>
    <x v="2"/>
    <x v="142"/>
    <m/>
    <m/>
    <m/>
    <n v="2"/>
    <n v="201208"/>
    <n v="8000"/>
  </r>
  <r>
    <x v="451"/>
    <x v="2"/>
    <m/>
    <x v="4"/>
    <x v="2"/>
    <x v="143"/>
    <m/>
    <m/>
    <m/>
    <n v="12"/>
    <n v="201208"/>
    <n v="240000"/>
  </r>
  <r>
    <x v="451"/>
    <x v="2"/>
    <m/>
    <x v="4"/>
    <x v="2"/>
    <x v="144"/>
    <m/>
    <m/>
    <m/>
    <n v="1"/>
    <n v="201208"/>
    <n v="4000"/>
  </r>
  <r>
    <x v="451"/>
    <x v="2"/>
    <m/>
    <x v="31"/>
    <x v="2"/>
    <x v="145"/>
    <m/>
    <m/>
    <m/>
    <n v="56"/>
    <n v="201208"/>
    <n v="1254400"/>
  </r>
  <r>
    <x v="451"/>
    <x v="2"/>
    <m/>
    <x v="31"/>
    <x v="2"/>
    <x v="146"/>
    <m/>
    <m/>
    <m/>
    <n v="98"/>
    <n v="201208"/>
    <n v="3841600"/>
  </r>
  <r>
    <x v="451"/>
    <x v="2"/>
    <m/>
    <x v="32"/>
    <x v="2"/>
    <x v="147"/>
    <m/>
    <m/>
    <m/>
    <n v="66"/>
    <n v="201208"/>
    <n v="2448600"/>
  </r>
  <r>
    <x v="451"/>
    <x v="2"/>
    <m/>
    <x v="0"/>
    <x v="2"/>
    <x v="148"/>
    <m/>
    <m/>
    <m/>
    <n v="2"/>
    <n v="201208"/>
    <n v="40000"/>
  </r>
  <r>
    <x v="451"/>
    <x v="2"/>
    <m/>
    <x v="32"/>
    <x v="2"/>
    <x v="169"/>
    <m/>
    <m/>
    <m/>
    <n v="1"/>
    <n v="201208"/>
    <n v="37100"/>
  </r>
  <r>
    <x v="451"/>
    <x v="2"/>
    <m/>
    <x v="31"/>
    <x v="2"/>
    <x v="189"/>
    <m/>
    <m/>
    <m/>
    <n v="17"/>
    <n v="201208"/>
    <n v="380800"/>
  </r>
  <r>
    <x v="451"/>
    <x v="2"/>
    <m/>
    <x v="31"/>
    <x v="2"/>
    <x v="184"/>
    <m/>
    <m/>
    <m/>
    <n v="29"/>
    <n v="201208"/>
    <n v="1136800"/>
  </r>
  <r>
    <x v="451"/>
    <x v="2"/>
    <m/>
    <x v="32"/>
    <x v="2"/>
    <x v="185"/>
    <m/>
    <m/>
    <m/>
    <n v="19"/>
    <n v="201208"/>
    <n v="704900"/>
  </r>
  <r>
    <x v="451"/>
    <x v="2"/>
    <m/>
    <x v="31"/>
    <x v="2"/>
    <x v="186"/>
    <m/>
    <m/>
    <m/>
    <n v="146"/>
    <n v="201208"/>
    <n v="3270400"/>
  </r>
  <r>
    <x v="451"/>
    <x v="2"/>
    <m/>
    <x v="31"/>
    <x v="2"/>
    <x v="187"/>
    <m/>
    <m/>
    <m/>
    <n v="146"/>
    <n v="201208"/>
    <n v="5723200"/>
  </r>
  <r>
    <x v="451"/>
    <x v="2"/>
    <m/>
    <x v="32"/>
    <x v="2"/>
    <x v="188"/>
    <m/>
    <m/>
    <m/>
    <n v="99"/>
    <n v="201208"/>
    <n v="3672900"/>
  </r>
  <r>
    <x v="451"/>
    <x v="2"/>
    <m/>
    <x v="22"/>
    <x v="2"/>
    <x v="150"/>
    <m/>
    <m/>
    <m/>
    <n v="10"/>
    <n v="201208"/>
    <n v="380000"/>
  </r>
  <r>
    <x v="451"/>
    <x v="2"/>
    <m/>
    <x v="22"/>
    <x v="2"/>
    <x v="150"/>
    <m/>
    <m/>
    <m/>
    <n v="6"/>
    <n v="201208"/>
    <n v="228000"/>
  </r>
  <r>
    <x v="451"/>
    <x v="2"/>
    <m/>
    <x v="5"/>
    <x v="2"/>
    <x v="151"/>
    <m/>
    <m/>
    <m/>
    <n v="16"/>
    <n v="201208"/>
    <n v="448000"/>
  </r>
  <r>
    <x v="451"/>
    <x v="2"/>
    <m/>
    <x v="5"/>
    <x v="2"/>
    <x v="152"/>
    <m/>
    <m/>
    <m/>
    <n v="7"/>
    <n v="201208"/>
    <n v="336000"/>
  </r>
  <r>
    <x v="451"/>
    <x v="2"/>
    <m/>
    <x v="5"/>
    <x v="2"/>
    <x v="153"/>
    <m/>
    <m/>
    <m/>
    <n v="9"/>
    <n v="201208"/>
    <n v="252000"/>
  </r>
  <r>
    <x v="451"/>
    <x v="2"/>
    <m/>
    <x v="33"/>
    <x v="2"/>
    <x v="155"/>
    <m/>
    <m/>
    <m/>
    <n v="7"/>
    <n v="201208"/>
    <n v="127400"/>
  </r>
  <r>
    <x v="451"/>
    <x v="2"/>
    <m/>
    <x v="33"/>
    <x v="2"/>
    <x v="156"/>
    <m/>
    <m/>
    <m/>
    <n v="2"/>
    <n v="201208"/>
    <n v="67600"/>
  </r>
  <r>
    <x v="451"/>
    <x v="2"/>
    <m/>
    <x v="19"/>
    <x v="2"/>
    <x v="157"/>
    <m/>
    <m/>
    <m/>
    <n v="26"/>
    <n v="201208"/>
    <n v="338000"/>
  </r>
  <r>
    <x v="451"/>
    <x v="2"/>
    <m/>
    <x v="19"/>
    <x v="2"/>
    <x v="158"/>
    <m/>
    <m/>
    <m/>
    <n v="6"/>
    <n v="201208"/>
    <n v="144000"/>
  </r>
  <r>
    <x v="451"/>
    <x v="2"/>
    <m/>
    <x v="19"/>
    <x v="2"/>
    <x v="159"/>
    <m/>
    <m/>
    <m/>
    <n v="5"/>
    <n v="201208"/>
    <n v="165000"/>
  </r>
  <r>
    <x v="451"/>
    <x v="2"/>
    <m/>
    <x v="35"/>
    <x v="2"/>
    <x v="160"/>
    <m/>
    <m/>
    <m/>
    <n v="8"/>
    <n v="201208"/>
    <n v="160000"/>
  </r>
  <r>
    <x v="451"/>
    <x v="2"/>
    <m/>
    <x v="18"/>
    <x v="2"/>
    <x v="161"/>
    <m/>
    <m/>
    <m/>
    <n v="36"/>
    <n v="201208"/>
    <n v="108000"/>
  </r>
  <r>
    <x v="451"/>
    <x v="2"/>
    <m/>
    <x v="18"/>
    <x v="2"/>
    <x v="161"/>
    <m/>
    <m/>
    <m/>
    <n v="1"/>
    <n v="201208"/>
    <n v="3000"/>
  </r>
  <r>
    <x v="452"/>
    <x v="5"/>
    <m/>
    <x v="0"/>
    <x v="7"/>
    <x v="163"/>
    <m/>
    <m/>
    <m/>
    <n v="5"/>
    <n v="201208"/>
    <n v="100000"/>
  </r>
  <r>
    <x v="452"/>
    <x v="5"/>
    <m/>
    <x v="6"/>
    <x v="2"/>
    <x v="126"/>
    <m/>
    <m/>
    <m/>
    <n v="4"/>
    <n v="201208"/>
    <n v="80000"/>
  </r>
  <r>
    <x v="452"/>
    <x v="5"/>
    <m/>
    <x v="6"/>
    <x v="2"/>
    <x v="127"/>
    <m/>
    <m/>
    <m/>
    <n v="2"/>
    <n v="201208"/>
    <n v="70000"/>
  </r>
  <r>
    <x v="452"/>
    <x v="5"/>
    <m/>
    <x v="34"/>
    <x v="2"/>
    <x v="128"/>
    <m/>
    <m/>
    <m/>
    <n v="31"/>
    <n v="201208"/>
    <n v="1150100"/>
  </r>
  <r>
    <x v="452"/>
    <x v="5"/>
    <m/>
    <x v="25"/>
    <x v="2"/>
    <x v="129"/>
    <m/>
    <m/>
    <m/>
    <n v="4"/>
    <n v="201208"/>
    <n v="396000"/>
  </r>
  <r>
    <x v="452"/>
    <x v="5"/>
    <m/>
    <x v="0"/>
    <x v="2"/>
    <x v="130"/>
    <m/>
    <m/>
    <m/>
    <n v="25"/>
    <n v="201208"/>
    <n v="825000"/>
  </r>
  <r>
    <x v="452"/>
    <x v="5"/>
    <m/>
    <x v="0"/>
    <x v="2"/>
    <x v="131"/>
    <m/>
    <m/>
    <m/>
    <n v="2"/>
    <n v="201208"/>
    <n v="66000"/>
  </r>
  <r>
    <x v="452"/>
    <x v="5"/>
    <m/>
    <x v="0"/>
    <x v="2"/>
    <x v="168"/>
    <m/>
    <m/>
    <m/>
    <n v="1"/>
    <n v="201208"/>
    <n v="20000"/>
  </r>
  <r>
    <x v="452"/>
    <x v="5"/>
    <m/>
    <x v="32"/>
    <x v="2"/>
    <x v="180"/>
    <m/>
    <m/>
    <m/>
    <n v="1"/>
    <n v="201208"/>
    <n v="37100"/>
  </r>
  <r>
    <x v="452"/>
    <x v="5"/>
    <m/>
    <x v="0"/>
    <x v="2"/>
    <x v="179"/>
    <m/>
    <m/>
    <m/>
    <n v="1"/>
    <n v="201208"/>
    <n v="3000"/>
  </r>
  <r>
    <x v="452"/>
    <x v="5"/>
    <m/>
    <x v="30"/>
    <x v="2"/>
    <x v="132"/>
    <m/>
    <m/>
    <m/>
    <n v="8"/>
    <n v="201208"/>
    <n v="179200"/>
  </r>
  <r>
    <x v="452"/>
    <x v="5"/>
    <m/>
    <x v="30"/>
    <x v="2"/>
    <x v="133"/>
    <m/>
    <m/>
    <m/>
    <n v="1"/>
    <n v="201208"/>
    <n v="39200"/>
  </r>
  <r>
    <x v="452"/>
    <x v="5"/>
    <m/>
    <x v="34"/>
    <x v="2"/>
    <x v="134"/>
    <m/>
    <m/>
    <m/>
    <n v="4"/>
    <n v="201208"/>
    <n v="148400"/>
  </r>
  <r>
    <x v="452"/>
    <x v="5"/>
    <m/>
    <x v="1"/>
    <x v="2"/>
    <x v="135"/>
    <m/>
    <m/>
    <m/>
    <n v="3"/>
    <n v="201208"/>
    <n v="60000"/>
  </r>
  <r>
    <x v="452"/>
    <x v="5"/>
    <m/>
    <x v="1"/>
    <x v="2"/>
    <x v="165"/>
    <m/>
    <m/>
    <m/>
    <n v="1"/>
    <n v="201208"/>
    <n v="35000"/>
  </r>
  <r>
    <x v="452"/>
    <x v="5"/>
    <m/>
    <x v="36"/>
    <x v="2"/>
    <x v="136"/>
    <m/>
    <m/>
    <m/>
    <n v="2"/>
    <n v="201208"/>
    <n v="56000"/>
  </r>
  <r>
    <x v="452"/>
    <x v="5"/>
    <m/>
    <x v="0"/>
    <x v="2"/>
    <x v="138"/>
    <m/>
    <m/>
    <m/>
    <n v="64"/>
    <n v="201208"/>
    <n v="1280000"/>
  </r>
  <r>
    <x v="452"/>
    <x v="5"/>
    <m/>
    <x v="0"/>
    <x v="2"/>
    <x v="139"/>
    <m/>
    <m/>
    <m/>
    <n v="36"/>
    <n v="201208"/>
    <n v="1260000"/>
  </r>
  <r>
    <x v="452"/>
    <x v="5"/>
    <m/>
    <x v="32"/>
    <x v="2"/>
    <x v="140"/>
    <m/>
    <m/>
    <m/>
    <n v="35"/>
    <n v="201208"/>
    <n v="1298500"/>
  </r>
  <r>
    <x v="452"/>
    <x v="5"/>
    <m/>
    <x v="18"/>
    <x v="2"/>
    <x v="125"/>
    <m/>
    <m/>
    <m/>
    <n v="59"/>
    <n v="201208"/>
    <n v="177000"/>
  </r>
  <r>
    <x v="452"/>
    <x v="5"/>
    <m/>
    <x v="0"/>
    <x v="2"/>
    <x v="138"/>
    <m/>
    <m/>
    <m/>
    <n v="1"/>
    <n v="201208"/>
    <n v="20000"/>
  </r>
  <r>
    <x v="452"/>
    <x v="5"/>
    <m/>
    <x v="0"/>
    <x v="2"/>
    <x v="141"/>
    <m/>
    <m/>
    <m/>
    <n v="1"/>
    <n v="201208"/>
    <n v="33000"/>
  </r>
  <r>
    <x v="452"/>
    <x v="5"/>
    <m/>
    <x v="4"/>
    <x v="2"/>
    <x v="143"/>
    <m/>
    <m/>
    <m/>
    <n v="6"/>
    <n v="201208"/>
    <n v="120000"/>
  </r>
  <r>
    <x v="452"/>
    <x v="5"/>
    <m/>
    <x v="4"/>
    <x v="2"/>
    <x v="144"/>
    <m/>
    <m/>
    <m/>
    <n v="1"/>
    <n v="201208"/>
    <n v="4000"/>
  </r>
  <r>
    <x v="452"/>
    <x v="5"/>
    <m/>
    <x v="31"/>
    <x v="2"/>
    <x v="145"/>
    <m/>
    <m/>
    <m/>
    <n v="59"/>
    <n v="201208"/>
    <n v="1321600"/>
  </r>
  <r>
    <x v="452"/>
    <x v="5"/>
    <m/>
    <x v="31"/>
    <x v="2"/>
    <x v="146"/>
    <m/>
    <m/>
    <m/>
    <n v="74"/>
    <n v="201208"/>
    <n v="2900800"/>
  </r>
  <r>
    <x v="452"/>
    <x v="5"/>
    <m/>
    <x v="32"/>
    <x v="2"/>
    <x v="147"/>
    <m/>
    <m/>
    <m/>
    <n v="62"/>
    <n v="201208"/>
    <n v="2300200"/>
  </r>
  <r>
    <x v="452"/>
    <x v="5"/>
    <m/>
    <x v="0"/>
    <x v="2"/>
    <x v="149"/>
    <m/>
    <m/>
    <m/>
    <n v="1"/>
    <n v="201208"/>
    <n v="20000"/>
  </r>
  <r>
    <x v="452"/>
    <x v="5"/>
    <m/>
    <x v="31"/>
    <x v="2"/>
    <x v="189"/>
    <m/>
    <m/>
    <m/>
    <n v="18"/>
    <n v="201208"/>
    <n v="403200"/>
  </r>
  <r>
    <x v="452"/>
    <x v="5"/>
    <m/>
    <x v="31"/>
    <x v="2"/>
    <x v="184"/>
    <m/>
    <m/>
    <m/>
    <n v="24"/>
    <n v="201208"/>
    <n v="940800"/>
  </r>
  <r>
    <x v="452"/>
    <x v="5"/>
    <m/>
    <x v="32"/>
    <x v="2"/>
    <x v="185"/>
    <m/>
    <m/>
    <m/>
    <n v="12"/>
    <n v="201208"/>
    <n v="445200"/>
  </r>
  <r>
    <x v="452"/>
    <x v="5"/>
    <m/>
    <x v="31"/>
    <x v="2"/>
    <x v="186"/>
    <m/>
    <m/>
    <m/>
    <n v="104"/>
    <n v="201208"/>
    <n v="2329600"/>
  </r>
  <r>
    <x v="452"/>
    <x v="5"/>
    <m/>
    <x v="31"/>
    <x v="2"/>
    <x v="187"/>
    <m/>
    <m/>
    <m/>
    <n v="105"/>
    <n v="201208"/>
    <n v="4116000"/>
  </r>
  <r>
    <x v="452"/>
    <x v="5"/>
    <m/>
    <x v="32"/>
    <x v="2"/>
    <x v="188"/>
    <m/>
    <m/>
    <m/>
    <n v="57"/>
    <n v="201208"/>
    <n v="2114700"/>
  </r>
  <r>
    <x v="452"/>
    <x v="5"/>
    <m/>
    <x v="22"/>
    <x v="2"/>
    <x v="150"/>
    <m/>
    <m/>
    <m/>
    <n v="8"/>
    <n v="201208"/>
    <n v="304000"/>
  </r>
  <r>
    <x v="452"/>
    <x v="5"/>
    <m/>
    <x v="22"/>
    <x v="2"/>
    <x v="150"/>
    <m/>
    <m/>
    <m/>
    <n v="6"/>
    <n v="201208"/>
    <n v="228000"/>
  </r>
  <r>
    <x v="452"/>
    <x v="5"/>
    <m/>
    <x v="5"/>
    <x v="2"/>
    <x v="151"/>
    <m/>
    <m/>
    <m/>
    <n v="19"/>
    <n v="201208"/>
    <n v="532000"/>
  </r>
  <r>
    <x v="452"/>
    <x v="5"/>
    <m/>
    <x v="5"/>
    <x v="2"/>
    <x v="152"/>
    <m/>
    <m/>
    <m/>
    <n v="6"/>
    <n v="201208"/>
    <n v="288000"/>
  </r>
  <r>
    <x v="452"/>
    <x v="5"/>
    <m/>
    <x v="5"/>
    <x v="2"/>
    <x v="153"/>
    <m/>
    <m/>
    <m/>
    <n v="6"/>
    <n v="201208"/>
    <n v="168000"/>
  </r>
  <r>
    <x v="452"/>
    <x v="5"/>
    <m/>
    <x v="33"/>
    <x v="2"/>
    <x v="155"/>
    <m/>
    <m/>
    <m/>
    <n v="1"/>
    <n v="201208"/>
    <n v="18200"/>
  </r>
  <r>
    <x v="452"/>
    <x v="5"/>
    <m/>
    <x v="33"/>
    <x v="2"/>
    <x v="156"/>
    <m/>
    <m/>
    <m/>
    <n v="1"/>
    <n v="201208"/>
    <n v="33800"/>
  </r>
  <r>
    <x v="452"/>
    <x v="5"/>
    <m/>
    <x v="19"/>
    <x v="2"/>
    <x v="157"/>
    <m/>
    <m/>
    <m/>
    <n v="23"/>
    <n v="201208"/>
    <n v="299000"/>
  </r>
  <r>
    <x v="452"/>
    <x v="5"/>
    <m/>
    <x v="19"/>
    <x v="2"/>
    <x v="158"/>
    <m/>
    <m/>
    <m/>
    <n v="2"/>
    <n v="201208"/>
    <n v="48000"/>
  </r>
  <r>
    <x v="452"/>
    <x v="5"/>
    <m/>
    <x v="19"/>
    <x v="2"/>
    <x v="159"/>
    <m/>
    <m/>
    <m/>
    <n v="3"/>
    <n v="201208"/>
    <n v="99000"/>
  </r>
  <r>
    <x v="452"/>
    <x v="5"/>
    <m/>
    <x v="19"/>
    <x v="2"/>
    <x v="181"/>
    <m/>
    <m/>
    <m/>
    <n v="1"/>
    <n v="201208"/>
    <n v="13000"/>
  </r>
  <r>
    <x v="452"/>
    <x v="5"/>
    <m/>
    <x v="35"/>
    <x v="2"/>
    <x v="160"/>
    <m/>
    <m/>
    <m/>
    <n v="1"/>
    <n v="201208"/>
    <n v="20000"/>
  </r>
  <r>
    <x v="452"/>
    <x v="5"/>
    <m/>
    <x v="18"/>
    <x v="2"/>
    <x v="161"/>
    <m/>
    <m/>
    <m/>
    <n v="13"/>
    <n v="201208"/>
    <n v="39000"/>
  </r>
  <r>
    <x v="453"/>
    <x v="6"/>
    <m/>
    <x v="0"/>
    <x v="7"/>
    <x v="163"/>
    <m/>
    <m/>
    <m/>
    <n v="2"/>
    <n v="201208"/>
    <n v="40000"/>
  </r>
  <r>
    <x v="453"/>
    <x v="6"/>
    <m/>
    <x v="6"/>
    <x v="2"/>
    <x v="126"/>
    <m/>
    <m/>
    <m/>
    <n v="1"/>
    <n v="201208"/>
    <n v="20000"/>
  </r>
  <r>
    <x v="453"/>
    <x v="6"/>
    <m/>
    <x v="6"/>
    <x v="2"/>
    <x v="127"/>
    <m/>
    <m/>
    <m/>
    <n v="1"/>
    <n v="201208"/>
    <n v="35000"/>
  </r>
  <r>
    <x v="453"/>
    <x v="6"/>
    <m/>
    <x v="34"/>
    <x v="2"/>
    <x v="128"/>
    <m/>
    <m/>
    <m/>
    <n v="39"/>
    <n v="201208"/>
    <n v="1446900"/>
  </r>
  <r>
    <x v="453"/>
    <x v="6"/>
    <m/>
    <x v="25"/>
    <x v="2"/>
    <x v="129"/>
    <m/>
    <m/>
    <m/>
    <n v="5"/>
    <n v="201208"/>
    <n v="495000"/>
  </r>
  <r>
    <x v="453"/>
    <x v="6"/>
    <m/>
    <x v="0"/>
    <x v="2"/>
    <x v="130"/>
    <m/>
    <m/>
    <m/>
    <n v="32"/>
    <n v="201208"/>
    <n v="1056000"/>
  </r>
  <r>
    <x v="453"/>
    <x v="6"/>
    <m/>
    <x v="0"/>
    <x v="2"/>
    <x v="131"/>
    <m/>
    <m/>
    <m/>
    <n v="1"/>
    <n v="201208"/>
    <n v="33000"/>
  </r>
  <r>
    <x v="453"/>
    <x v="6"/>
    <m/>
    <x v="0"/>
    <x v="2"/>
    <x v="168"/>
    <m/>
    <m/>
    <m/>
    <n v="1"/>
    <n v="201208"/>
    <n v="20000"/>
  </r>
  <r>
    <x v="453"/>
    <x v="6"/>
    <m/>
    <x v="30"/>
    <x v="2"/>
    <x v="132"/>
    <m/>
    <m/>
    <m/>
    <n v="16"/>
    <n v="201208"/>
    <n v="358400"/>
  </r>
  <r>
    <x v="453"/>
    <x v="6"/>
    <m/>
    <x v="30"/>
    <x v="2"/>
    <x v="133"/>
    <m/>
    <m/>
    <m/>
    <n v="3"/>
    <n v="201208"/>
    <n v="117600"/>
  </r>
  <r>
    <x v="453"/>
    <x v="6"/>
    <m/>
    <x v="34"/>
    <x v="2"/>
    <x v="134"/>
    <m/>
    <m/>
    <m/>
    <n v="2"/>
    <n v="201208"/>
    <n v="74200"/>
  </r>
  <r>
    <x v="453"/>
    <x v="6"/>
    <m/>
    <x v="1"/>
    <x v="2"/>
    <x v="135"/>
    <m/>
    <m/>
    <m/>
    <n v="2"/>
    <n v="201208"/>
    <n v="40000"/>
  </r>
  <r>
    <x v="453"/>
    <x v="6"/>
    <m/>
    <x v="1"/>
    <x v="2"/>
    <x v="165"/>
    <m/>
    <m/>
    <m/>
    <n v="1"/>
    <n v="201208"/>
    <n v="35000"/>
  </r>
  <r>
    <x v="453"/>
    <x v="6"/>
    <m/>
    <x v="36"/>
    <x v="2"/>
    <x v="136"/>
    <m/>
    <m/>
    <m/>
    <n v="4"/>
    <n v="201208"/>
    <n v="112000"/>
  </r>
  <r>
    <x v="453"/>
    <x v="6"/>
    <m/>
    <x v="36"/>
    <x v="2"/>
    <x v="176"/>
    <m/>
    <m/>
    <m/>
    <n v="1"/>
    <n v="201208"/>
    <n v="49000"/>
  </r>
  <r>
    <x v="453"/>
    <x v="6"/>
    <m/>
    <x v="36"/>
    <x v="2"/>
    <x v="137"/>
    <m/>
    <m/>
    <m/>
    <n v="1"/>
    <n v="201208"/>
    <n v="42000"/>
  </r>
  <r>
    <x v="453"/>
    <x v="6"/>
    <m/>
    <x v="0"/>
    <x v="2"/>
    <x v="138"/>
    <m/>
    <m/>
    <m/>
    <n v="70"/>
    <n v="201208"/>
    <n v="1400000"/>
  </r>
  <r>
    <x v="453"/>
    <x v="6"/>
    <m/>
    <x v="0"/>
    <x v="2"/>
    <x v="139"/>
    <m/>
    <m/>
    <m/>
    <n v="38"/>
    <n v="201208"/>
    <n v="1330000"/>
  </r>
  <r>
    <x v="453"/>
    <x v="6"/>
    <m/>
    <x v="32"/>
    <x v="2"/>
    <x v="140"/>
    <m/>
    <m/>
    <m/>
    <n v="31"/>
    <n v="201208"/>
    <n v="1150100"/>
  </r>
  <r>
    <x v="453"/>
    <x v="6"/>
    <m/>
    <x v="18"/>
    <x v="2"/>
    <x v="125"/>
    <m/>
    <m/>
    <m/>
    <n v="41"/>
    <n v="201208"/>
    <n v="123000"/>
  </r>
  <r>
    <x v="453"/>
    <x v="6"/>
    <m/>
    <x v="0"/>
    <x v="2"/>
    <x v="139"/>
    <m/>
    <m/>
    <m/>
    <n v="1"/>
    <n v="201208"/>
    <n v="35000"/>
  </r>
  <r>
    <x v="453"/>
    <x v="6"/>
    <m/>
    <x v="4"/>
    <x v="2"/>
    <x v="142"/>
    <m/>
    <m/>
    <m/>
    <n v="1"/>
    <n v="201208"/>
    <n v="4000"/>
  </r>
  <r>
    <x v="453"/>
    <x v="6"/>
    <m/>
    <x v="4"/>
    <x v="2"/>
    <x v="143"/>
    <m/>
    <m/>
    <m/>
    <n v="4"/>
    <n v="201208"/>
    <n v="80000"/>
  </r>
  <r>
    <x v="453"/>
    <x v="6"/>
    <m/>
    <x v="4"/>
    <x v="2"/>
    <x v="144"/>
    <m/>
    <m/>
    <m/>
    <n v="5"/>
    <n v="201208"/>
    <n v="20000"/>
  </r>
  <r>
    <x v="453"/>
    <x v="6"/>
    <m/>
    <x v="31"/>
    <x v="2"/>
    <x v="145"/>
    <m/>
    <m/>
    <m/>
    <n v="62"/>
    <n v="201208"/>
    <n v="1388800"/>
  </r>
  <r>
    <x v="453"/>
    <x v="6"/>
    <m/>
    <x v="31"/>
    <x v="2"/>
    <x v="146"/>
    <m/>
    <m/>
    <m/>
    <n v="88"/>
    <n v="201208"/>
    <n v="3449600"/>
  </r>
  <r>
    <x v="453"/>
    <x v="6"/>
    <m/>
    <x v="32"/>
    <x v="2"/>
    <x v="147"/>
    <m/>
    <m/>
    <m/>
    <n v="57"/>
    <n v="201208"/>
    <n v="2114700"/>
  </r>
  <r>
    <x v="453"/>
    <x v="6"/>
    <m/>
    <x v="0"/>
    <x v="2"/>
    <x v="148"/>
    <m/>
    <m/>
    <m/>
    <n v="1"/>
    <n v="201208"/>
    <n v="20000"/>
  </r>
  <r>
    <x v="453"/>
    <x v="6"/>
    <m/>
    <x v="31"/>
    <x v="2"/>
    <x v="189"/>
    <m/>
    <m/>
    <m/>
    <n v="19"/>
    <n v="201208"/>
    <n v="425600"/>
  </r>
  <r>
    <x v="453"/>
    <x v="6"/>
    <m/>
    <x v="31"/>
    <x v="2"/>
    <x v="184"/>
    <m/>
    <m/>
    <m/>
    <n v="32"/>
    <n v="201208"/>
    <n v="1254400"/>
  </r>
  <r>
    <x v="453"/>
    <x v="6"/>
    <m/>
    <x v="32"/>
    <x v="2"/>
    <x v="185"/>
    <m/>
    <m/>
    <m/>
    <n v="19"/>
    <n v="201208"/>
    <n v="704900"/>
  </r>
  <r>
    <x v="453"/>
    <x v="6"/>
    <m/>
    <x v="31"/>
    <x v="2"/>
    <x v="186"/>
    <m/>
    <m/>
    <m/>
    <n v="103"/>
    <n v="201208"/>
    <n v="2307200"/>
  </r>
  <r>
    <x v="453"/>
    <x v="6"/>
    <m/>
    <x v="31"/>
    <x v="2"/>
    <x v="187"/>
    <m/>
    <m/>
    <m/>
    <n v="101"/>
    <n v="201208"/>
    <n v="3959200"/>
  </r>
  <r>
    <x v="453"/>
    <x v="6"/>
    <m/>
    <x v="32"/>
    <x v="2"/>
    <x v="188"/>
    <m/>
    <m/>
    <m/>
    <n v="61"/>
    <n v="201208"/>
    <n v="2263100"/>
  </r>
  <r>
    <x v="453"/>
    <x v="6"/>
    <m/>
    <x v="22"/>
    <x v="2"/>
    <x v="150"/>
    <m/>
    <m/>
    <m/>
    <n v="5"/>
    <n v="201208"/>
    <n v="190000"/>
  </r>
  <r>
    <x v="453"/>
    <x v="6"/>
    <m/>
    <x v="22"/>
    <x v="2"/>
    <x v="150"/>
    <m/>
    <m/>
    <m/>
    <n v="8"/>
    <n v="201208"/>
    <n v="304000"/>
  </r>
  <r>
    <x v="453"/>
    <x v="6"/>
    <m/>
    <x v="5"/>
    <x v="2"/>
    <x v="151"/>
    <m/>
    <m/>
    <m/>
    <n v="19"/>
    <n v="201208"/>
    <n v="532000"/>
  </r>
  <r>
    <x v="453"/>
    <x v="6"/>
    <m/>
    <x v="5"/>
    <x v="2"/>
    <x v="152"/>
    <m/>
    <m/>
    <m/>
    <n v="8"/>
    <n v="201208"/>
    <n v="384000"/>
  </r>
  <r>
    <x v="453"/>
    <x v="6"/>
    <m/>
    <x v="5"/>
    <x v="2"/>
    <x v="153"/>
    <m/>
    <m/>
    <m/>
    <n v="11"/>
    <n v="201208"/>
    <n v="308000"/>
  </r>
  <r>
    <x v="453"/>
    <x v="6"/>
    <m/>
    <x v="33"/>
    <x v="2"/>
    <x v="155"/>
    <m/>
    <m/>
    <m/>
    <n v="9"/>
    <n v="201208"/>
    <n v="163800"/>
  </r>
  <r>
    <x v="453"/>
    <x v="6"/>
    <m/>
    <x v="33"/>
    <x v="2"/>
    <x v="156"/>
    <m/>
    <m/>
    <m/>
    <n v="1"/>
    <n v="201208"/>
    <n v="33800"/>
  </r>
  <r>
    <x v="453"/>
    <x v="6"/>
    <m/>
    <x v="19"/>
    <x v="2"/>
    <x v="157"/>
    <m/>
    <m/>
    <m/>
    <n v="23"/>
    <n v="201208"/>
    <n v="299000"/>
  </r>
  <r>
    <x v="453"/>
    <x v="6"/>
    <m/>
    <x v="19"/>
    <x v="2"/>
    <x v="158"/>
    <m/>
    <m/>
    <m/>
    <n v="3"/>
    <n v="201208"/>
    <n v="72000"/>
  </r>
  <r>
    <x v="453"/>
    <x v="6"/>
    <m/>
    <x v="19"/>
    <x v="2"/>
    <x v="159"/>
    <m/>
    <m/>
    <m/>
    <n v="2"/>
    <n v="201208"/>
    <n v="66000"/>
  </r>
  <r>
    <x v="453"/>
    <x v="6"/>
    <m/>
    <x v="19"/>
    <x v="2"/>
    <x v="181"/>
    <m/>
    <m/>
    <m/>
    <n v="1"/>
    <n v="201208"/>
    <n v="13000"/>
  </r>
  <r>
    <x v="453"/>
    <x v="6"/>
    <m/>
    <x v="35"/>
    <x v="2"/>
    <x v="170"/>
    <m/>
    <m/>
    <m/>
    <n v="1"/>
    <n v="201208"/>
    <n v="4000"/>
  </r>
  <r>
    <x v="453"/>
    <x v="6"/>
    <m/>
    <x v="35"/>
    <x v="2"/>
    <x v="160"/>
    <m/>
    <m/>
    <m/>
    <n v="3"/>
    <n v="201208"/>
    <n v="60000"/>
  </r>
  <r>
    <x v="453"/>
    <x v="6"/>
    <m/>
    <x v="18"/>
    <x v="2"/>
    <x v="161"/>
    <m/>
    <m/>
    <m/>
    <n v="28"/>
    <n v="201208"/>
    <n v="84000"/>
  </r>
  <r>
    <x v="453"/>
    <x v="6"/>
    <m/>
    <x v="18"/>
    <x v="2"/>
    <x v="161"/>
    <m/>
    <m/>
    <m/>
    <n v="2"/>
    <n v="201208"/>
    <n v="6000"/>
  </r>
  <r>
    <x v="454"/>
    <x v="3"/>
    <m/>
    <x v="0"/>
    <x v="1"/>
    <x v="123"/>
    <m/>
    <m/>
    <m/>
    <n v="7"/>
    <n v="201208"/>
    <n v="245000"/>
  </r>
  <r>
    <x v="454"/>
    <x v="3"/>
    <m/>
    <x v="0"/>
    <x v="1"/>
    <x v="124"/>
    <m/>
    <m/>
    <m/>
    <n v="1"/>
    <n v="201208"/>
    <n v="20000"/>
  </r>
  <r>
    <x v="454"/>
    <x v="3"/>
    <m/>
    <x v="4"/>
    <x v="5"/>
    <x v="191"/>
    <m/>
    <m/>
    <m/>
    <n v="3"/>
    <n v="201208"/>
    <n v="49092"/>
  </r>
  <r>
    <x v="454"/>
    <x v="3"/>
    <m/>
    <x v="0"/>
    <x v="7"/>
    <x v="163"/>
    <m/>
    <m/>
    <m/>
    <n v="6"/>
    <n v="201208"/>
    <n v="120000"/>
  </r>
  <r>
    <x v="454"/>
    <x v="3"/>
    <m/>
    <x v="0"/>
    <x v="3"/>
    <x v="164"/>
    <m/>
    <m/>
    <m/>
    <n v="6"/>
    <n v="201208"/>
    <n v="0"/>
  </r>
  <r>
    <x v="454"/>
    <x v="3"/>
    <m/>
    <x v="6"/>
    <x v="2"/>
    <x v="126"/>
    <m/>
    <m/>
    <m/>
    <n v="3"/>
    <n v="201208"/>
    <n v="60000"/>
  </r>
  <r>
    <x v="454"/>
    <x v="3"/>
    <m/>
    <x v="6"/>
    <x v="2"/>
    <x v="127"/>
    <m/>
    <m/>
    <m/>
    <n v="2"/>
    <n v="201208"/>
    <n v="70000"/>
  </r>
  <r>
    <x v="454"/>
    <x v="3"/>
    <m/>
    <x v="34"/>
    <x v="2"/>
    <x v="128"/>
    <m/>
    <m/>
    <m/>
    <n v="52"/>
    <n v="201208"/>
    <n v="1929200"/>
  </r>
  <r>
    <x v="454"/>
    <x v="3"/>
    <m/>
    <x v="25"/>
    <x v="2"/>
    <x v="129"/>
    <m/>
    <m/>
    <m/>
    <n v="1"/>
    <n v="201208"/>
    <n v="99000"/>
  </r>
  <r>
    <x v="454"/>
    <x v="3"/>
    <m/>
    <x v="0"/>
    <x v="2"/>
    <x v="130"/>
    <m/>
    <m/>
    <m/>
    <n v="59"/>
    <n v="201208"/>
    <n v="1947000"/>
  </r>
  <r>
    <x v="454"/>
    <x v="3"/>
    <m/>
    <x v="0"/>
    <x v="2"/>
    <x v="131"/>
    <m/>
    <m/>
    <m/>
    <n v="3"/>
    <n v="201208"/>
    <n v="99000"/>
  </r>
  <r>
    <x v="454"/>
    <x v="3"/>
    <m/>
    <x v="0"/>
    <x v="2"/>
    <x v="168"/>
    <m/>
    <m/>
    <m/>
    <n v="1"/>
    <n v="201208"/>
    <n v="20000"/>
  </r>
  <r>
    <x v="454"/>
    <x v="3"/>
    <m/>
    <x v="0"/>
    <x v="2"/>
    <x v="178"/>
    <m/>
    <m/>
    <m/>
    <n v="2"/>
    <n v="201208"/>
    <n v="70000"/>
  </r>
  <r>
    <x v="454"/>
    <x v="3"/>
    <m/>
    <x v="32"/>
    <x v="2"/>
    <x v="180"/>
    <m/>
    <m/>
    <m/>
    <n v="1"/>
    <n v="201208"/>
    <n v="37100"/>
  </r>
  <r>
    <x v="454"/>
    <x v="3"/>
    <m/>
    <x v="0"/>
    <x v="2"/>
    <x v="179"/>
    <m/>
    <m/>
    <m/>
    <n v="2"/>
    <n v="201208"/>
    <n v="6000"/>
  </r>
  <r>
    <x v="454"/>
    <x v="3"/>
    <m/>
    <x v="30"/>
    <x v="2"/>
    <x v="132"/>
    <m/>
    <m/>
    <m/>
    <n v="19"/>
    <n v="201208"/>
    <n v="425600"/>
  </r>
  <r>
    <x v="454"/>
    <x v="3"/>
    <m/>
    <x v="30"/>
    <x v="2"/>
    <x v="133"/>
    <m/>
    <m/>
    <m/>
    <n v="2"/>
    <n v="201208"/>
    <n v="78400"/>
  </r>
  <r>
    <x v="454"/>
    <x v="3"/>
    <m/>
    <x v="34"/>
    <x v="2"/>
    <x v="134"/>
    <m/>
    <m/>
    <m/>
    <n v="3"/>
    <n v="201208"/>
    <n v="111300"/>
  </r>
  <r>
    <x v="454"/>
    <x v="3"/>
    <m/>
    <x v="1"/>
    <x v="2"/>
    <x v="135"/>
    <m/>
    <m/>
    <m/>
    <n v="3"/>
    <n v="201208"/>
    <n v="60000"/>
  </r>
  <r>
    <x v="454"/>
    <x v="3"/>
    <m/>
    <x v="1"/>
    <x v="2"/>
    <x v="165"/>
    <m/>
    <m/>
    <m/>
    <n v="2"/>
    <n v="201208"/>
    <n v="70000"/>
  </r>
  <r>
    <x v="454"/>
    <x v="3"/>
    <m/>
    <x v="36"/>
    <x v="2"/>
    <x v="136"/>
    <m/>
    <m/>
    <m/>
    <n v="5"/>
    <n v="201208"/>
    <n v="140000"/>
  </r>
  <r>
    <x v="454"/>
    <x v="3"/>
    <m/>
    <x v="36"/>
    <x v="2"/>
    <x v="176"/>
    <m/>
    <m/>
    <m/>
    <n v="1"/>
    <n v="201208"/>
    <n v="49000"/>
  </r>
  <r>
    <x v="454"/>
    <x v="3"/>
    <m/>
    <x v="0"/>
    <x v="2"/>
    <x v="138"/>
    <m/>
    <m/>
    <m/>
    <n v="82"/>
    <n v="201208"/>
    <n v="1640000"/>
  </r>
  <r>
    <x v="454"/>
    <x v="3"/>
    <m/>
    <x v="0"/>
    <x v="2"/>
    <x v="139"/>
    <m/>
    <m/>
    <m/>
    <n v="34"/>
    <n v="201208"/>
    <n v="1190000"/>
  </r>
  <r>
    <x v="454"/>
    <x v="3"/>
    <m/>
    <x v="32"/>
    <x v="2"/>
    <x v="140"/>
    <m/>
    <m/>
    <m/>
    <n v="31"/>
    <n v="201208"/>
    <n v="1150100"/>
  </r>
  <r>
    <x v="454"/>
    <x v="3"/>
    <m/>
    <x v="18"/>
    <x v="2"/>
    <x v="125"/>
    <m/>
    <m/>
    <m/>
    <n v="47"/>
    <n v="201208"/>
    <n v="141000"/>
  </r>
  <r>
    <x v="454"/>
    <x v="3"/>
    <m/>
    <x v="0"/>
    <x v="2"/>
    <x v="141"/>
    <m/>
    <m/>
    <m/>
    <n v="1"/>
    <n v="201208"/>
    <n v="33000"/>
  </r>
  <r>
    <x v="454"/>
    <x v="3"/>
    <m/>
    <x v="4"/>
    <x v="2"/>
    <x v="142"/>
    <m/>
    <m/>
    <m/>
    <n v="12"/>
    <n v="201208"/>
    <n v="48000"/>
  </r>
  <r>
    <x v="454"/>
    <x v="3"/>
    <m/>
    <x v="4"/>
    <x v="2"/>
    <x v="143"/>
    <m/>
    <m/>
    <m/>
    <n v="8"/>
    <n v="201208"/>
    <n v="160000"/>
  </r>
  <r>
    <x v="454"/>
    <x v="3"/>
    <m/>
    <x v="31"/>
    <x v="2"/>
    <x v="145"/>
    <m/>
    <m/>
    <m/>
    <n v="75"/>
    <n v="201208"/>
    <n v="1680000"/>
  </r>
  <r>
    <x v="454"/>
    <x v="3"/>
    <m/>
    <x v="31"/>
    <x v="2"/>
    <x v="146"/>
    <m/>
    <m/>
    <m/>
    <n v="86"/>
    <n v="201208"/>
    <n v="3371200"/>
  </r>
  <r>
    <x v="454"/>
    <x v="3"/>
    <m/>
    <x v="32"/>
    <x v="2"/>
    <x v="147"/>
    <m/>
    <m/>
    <m/>
    <n v="64"/>
    <n v="201208"/>
    <n v="2374400"/>
  </r>
  <r>
    <x v="454"/>
    <x v="3"/>
    <m/>
    <x v="0"/>
    <x v="2"/>
    <x v="148"/>
    <m/>
    <m/>
    <m/>
    <n v="1"/>
    <n v="201208"/>
    <n v="20000"/>
  </r>
  <r>
    <x v="454"/>
    <x v="3"/>
    <m/>
    <x v="0"/>
    <x v="2"/>
    <x v="149"/>
    <m/>
    <m/>
    <m/>
    <n v="2"/>
    <n v="201208"/>
    <n v="40000"/>
  </r>
  <r>
    <x v="454"/>
    <x v="3"/>
    <m/>
    <x v="31"/>
    <x v="2"/>
    <x v="189"/>
    <m/>
    <m/>
    <m/>
    <n v="16"/>
    <n v="201208"/>
    <n v="358400"/>
  </r>
  <r>
    <x v="454"/>
    <x v="3"/>
    <m/>
    <x v="31"/>
    <x v="2"/>
    <x v="184"/>
    <m/>
    <m/>
    <m/>
    <n v="22"/>
    <n v="201208"/>
    <n v="862400"/>
  </r>
  <r>
    <x v="454"/>
    <x v="3"/>
    <m/>
    <x v="32"/>
    <x v="2"/>
    <x v="185"/>
    <m/>
    <m/>
    <m/>
    <n v="3"/>
    <n v="201208"/>
    <n v="111300"/>
  </r>
  <r>
    <x v="454"/>
    <x v="3"/>
    <m/>
    <x v="31"/>
    <x v="2"/>
    <x v="186"/>
    <m/>
    <m/>
    <m/>
    <n v="116"/>
    <n v="201208"/>
    <n v="2598400"/>
  </r>
  <r>
    <x v="454"/>
    <x v="3"/>
    <m/>
    <x v="31"/>
    <x v="2"/>
    <x v="187"/>
    <m/>
    <m/>
    <m/>
    <n v="134"/>
    <n v="201208"/>
    <n v="5252800"/>
  </r>
  <r>
    <x v="454"/>
    <x v="3"/>
    <m/>
    <x v="32"/>
    <x v="2"/>
    <x v="188"/>
    <m/>
    <m/>
    <m/>
    <n v="71"/>
    <n v="201208"/>
    <n v="2634100"/>
  </r>
  <r>
    <x v="454"/>
    <x v="3"/>
    <m/>
    <x v="22"/>
    <x v="2"/>
    <x v="150"/>
    <m/>
    <m/>
    <m/>
    <n v="8"/>
    <n v="201208"/>
    <n v="304000"/>
  </r>
  <r>
    <x v="454"/>
    <x v="3"/>
    <m/>
    <x v="22"/>
    <x v="2"/>
    <x v="150"/>
    <m/>
    <m/>
    <m/>
    <n v="7"/>
    <n v="201208"/>
    <n v="266000"/>
  </r>
  <r>
    <x v="454"/>
    <x v="3"/>
    <m/>
    <x v="5"/>
    <x v="2"/>
    <x v="151"/>
    <m/>
    <m/>
    <m/>
    <n v="35"/>
    <n v="201208"/>
    <n v="980000"/>
  </r>
  <r>
    <x v="454"/>
    <x v="3"/>
    <m/>
    <x v="5"/>
    <x v="2"/>
    <x v="152"/>
    <m/>
    <m/>
    <m/>
    <n v="6"/>
    <n v="201208"/>
    <n v="288000"/>
  </r>
  <r>
    <x v="454"/>
    <x v="3"/>
    <m/>
    <x v="5"/>
    <x v="2"/>
    <x v="153"/>
    <m/>
    <m/>
    <m/>
    <n v="6"/>
    <n v="201208"/>
    <n v="168000"/>
  </r>
  <r>
    <x v="454"/>
    <x v="3"/>
    <m/>
    <x v="33"/>
    <x v="2"/>
    <x v="155"/>
    <m/>
    <m/>
    <m/>
    <n v="4"/>
    <n v="201208"/>
    <n v="72800"/>
  </r>
  <r>
    <x v="454"/>
    <x v="3"/>
    <m/>
    <x v="33"/>
    <x v="2"/>
    <x v="156"/>
    <m/>
    <m/>
    <m/>
    <n v="1"/>
    <n v="201208"/>
    <n v="33800"/>
  </r>
  <r>
    <x v="454"/>
    <x v="3"/>
    <m/>
    <x v="19"/>
    <x v="2"/>
    <x v="157"/>
    <m/>
    <m/>
    <m/>
    <n v="32"/>
    <n v="201208"/>
    <n v="416000"/>
  </r>
  <r>
    <x v="454"/>
    <x v="3"/>
    <m/>
    <x v="19"/>
    <x v="2"/>
    <x v="158"/>
    <m/>
    <m/>
    <m/>
    <n v="1"/>
    <n v="201208"/>
    <n v="24000"/>
  </r>
  <r>
    <x v="454"/>
    <x v="3"/>
    <m/>
    <x v="19"/>
    <x v="2"/>
    <x v="159"/>
    <m/>
    <m/>
    <m/>
    <n v="1"/>
    <n v="201208"/>
    <n v="33000"/>
  </r>
  <r>
    <x v="454"/>
    <x v="3"/>
    <m/>
    <x v="35"/>
    <x v="2"/>
    <x v="170"/>
    <m/>
    <m/>
    <m/>
    <n v="5"/>
    <n v="201208"/>
    <n v="20000"/>
  </r>
  <r>
    <x v="454"/>
    <x v="3"/>
    <m/>
    <x v="35"/>
    <x v="2"/>
    <x v="160"/>
    <m/>
    <m/>
    <m/>
    <n v="3"/>
    <n v="201208"/>
    <n v="60000"/>
  </r>
  <r>
    <x v="454"/>
    <x v="3"/>
    <m/>
    <x v="18"/>
    <x v="2"/>
    <x v="161"/>
    <m/>
    <m/>
    <m/>
    <n v="31"/>
    <n v="201208"/>
    <n v="93000"/>
  </r>
  <r>
    <x v="454"/>
    <x v="3"/>
    <m/>
    <x v="18"/>
    <x v="2"/>
    <x v="161"/>
    <m/>
    <m/>
    <m/>
    <n v="4"/>
    <n v="201208"/>
    <n v="12000"/>
  </r>
  <r>
    <x v="455"/>
    <x v="4"/>
    <m/>
    <x v="0"/>
    <x v="1"/>
    <x v="123"/>
    <m/>
    <m/>
    <m/>
    <n v="1"/>
    <n v="201208"/>
    <n v="35000"/>
  </r>
  <r>
    <x v="455"/>
    <x v="4"/>
    <m/>
    <x v="4"/>
    <x v="5"/>
    <x v="191"/>
    <m/>
    <m/>
    <m/>
    <n v="3"/>
    <n v="201208"/>
    <n v="49092"/>
  </r>
  <r>
    <x v="455"/>
    <x v="4"/>
    <m/>
    <x v="0"/>
    <x v="7"/>
    <x v="163"/>
    <m/>
    <m/>
    <m/>
    <n v="2"/>
    <n v="201208"/>
    <n v="40000"/>
  </r>
  <r>
    <x v="455"/>
    <x v="4"/>
    <m/>
    <x v="6"/>
    <x v="3"/>
    <x v="172"/>
    <m/>
    <m/>
    <m/>
    <n v="3"/>
    <n v="201208"/>
    <n v="0"/>
  </r>
  <r>
    <x v="455"/>
    <x v="4"/>
    <m/>
    <x v="0"/>
    <x v="3"/>
    <x v="164"/>
    <m/>
    <m/>
    <m/>
    <n v="4"/>
    <n v="201208"/>
    <n v="0"/>
  </r>
  <r>
    <x v="455"/>
    <x v="4"/>
    <m/>
    <x v="6"/>
    <x v="2"/>
    <x v="126"/>
    <m/>
    <m/>
    <m/>
    <n v="2"/>
    <n v="201208"/>
    <n v="40000"/>
  </r>
  <r>
    <x v="455"/>
    <x v="4"/>
    <m/>
    <x v="34"/>
    <x v="2"/>
    <x v="128"/>
    <m/>
    <m/>
    <m/>
    <n v="45"/>
    <n v="201208"/>
    <n v="1669500"/>
  </r>
  <r>
    <x v="455"/>
    <x v="4"/>
    <m/>
    <x v="25"/>
    <x v="2"/>
    <x v="129"/>
    <m/>
    <m/>
    <m/>
    <n v="3"/>
    <n v="201208"/>
    <n v="297000"/>
  </r>
  <r>
    <x v="455"/>
    <x v="4"/>
    <m/>
    <x v="0"/>
    <x v="2"/>
    <x v="130"/>
    <m/>
    <m/>
    <m/>
    <n v="39"/>
    <n v="201208"/>
    <n v="1287000"/>
  </r>
  <r>
    <x v="455"/>
    <x v="4"/>
    <m/>
    <x v="0"/>
    <x v="2"/>
    <x v="131"/>
    <m/>
    <m/>
    <m/>
    <n v="2"/>
    <n v="201208"/>
    <n v="66000"/>
  </r>
  <r>
    <x v="455"/>
    <x v="4"/>
    <m/>
    <x v="0"/>
    <x v="2"/>
    <x v="168"/>
    <m/>
    <m/>
    <m/>
    <n v="2"/>
    <n v="201208"/>
    <n v="40000"/>
  </r>
  <r>
    <x v="455"/>
    <x v="4"/>
    <m/>
    <x v="0"/>
    <x v="2"/>
    <x v="178"/>
    <m/>
    <m/>
    <m/>
    <n v="5"/>
    <n v="201208"/>
    <n v="175000"/>
  </r>
  <r>
    <x v="455"/>
    <x v="4"/>
    <m/>
    <x v="32"/>
    <x v="2"/>
    <x v="180"/>
    <m/>
    <m/>
    <m/>
    <n v="1"/>
    <n v="201208"/>
    <n v="37100"/>
  </r>
  <r>
    <x v="455"/>
    <x v="4"/>
    <m/>
    <x v="0"/>
    <x v="2"/>
    <x v="179"/>
    <m/>
    <m/>
    <m/>
    <n v="8"/>
    <n v="201208"/>
    <n v="24000"/>
  </r>
  <r>
    <x v="455"/>
    <x v="4"/>
    <m/>
    <x v="30"/>
    <x v="2"/>
    <x v="132"/>
    <m/>
    <m/>
    <m/>
    <n v="15"/>
    <n v="201208"/>
    <n v="336000"/>
  </r>
  <r>
    <x v="455"/>
    <x v="4"/>
    <m/>
    <x v="30"/>
    <x v="2"/>
    <x v="133"/>
    <m/>
    <m/>
    <m/>
    <n v="1"/>
    <n v="201208"/>
    <n v="39200"/>
  </r>
  <r>
    <x v="455"/>
    <x v="4"/>
    <m/>
    <x v="34"/>
    <x v="2"/>
    <x v="134"/>
    <m/>
    <m/>
    <m/>
    <n v="1"/>
    <n v="201208"/>
    <n v="37100"/>
  </r>
  <r>
    <x v="455"/>
    <x v="4"/>
    <m/>
    <x v="1"/>
    <x v="2"/>
    <x v="135"/>
    <m/>
    <m/>
    <m/>
    <n v="4"/>
    <n v="201208"/>
    <n v="80000"/>
  </r>
  <r>
    <x v="455"/>
    <x v="4"/>
    <m/>
    <x v="36"/>
    <x v="2"/>
    <x v="136"/>
    <m/>
    <m/>
    <m/>
    <n v="5"/>
    <n v="201208"/>
    <n v="140000"/>
  </r>
  <r>
    <x v="455"/>
    <x v="4"/>
    <m/>
    <x v="36"/>
    <x v="2"/>
    <x v="176"/>
    <m/>
    <m/>
    <m/>
    <n v="1"/>
    <n v="201208"/>
    <n v="49000"/>
  </r>
  <r>
    <x v="455"/>
    <x v="4"/>
    <m/>
    <x v="36"/>
    <x v="2"/>
    <x v="137"/>
    <m/>
    <m/>
    <m/>
    <n v="2"/>
    <n v="201208"/>
    <n v="84000"/>
  </r>
  <r>
    <x v="455"/>
    <x v="4"/>
    <m/>
    <x v="0"/>
    <x v="2"/>
    <x v="138"/>
    <m/>
    <m/>
    <m/>
    <n v="67"/>
    <n v="201208"/>
    <n v="1340000"/>
  </r>
  <r>
    <x v="455"/>
    <x v="4"/>
    <m/>
    <x v="0"/>
    <x v="2"/>
    <x v="139"/>
    <m/>
    <m/>
    <m/>
    <n v="23"/>
    <n v="201208"/>
    <n v="805000"/>
  </r>
  <r>
    <x v="455"/>
    <x v="4"/>
    <m/>
    <x v="32"/>
    <x v="2"/>
    <x v="140"/>
    <m/>
    <m/>
    <m/>
    <n v="29"/>
    <n v="201208"/>
    <n v="1075900"/>
  </r>
  <r>
    <x v="455"/>
    <x v="4"/>
    <m/>
    <x v="18"/>
    <x v="2"/>
    <x v="125"/>
    <m/>
    <m/>
    <m/>
    <n v="40"/>
    <n v="201208"/>
    <n v="120000"/>
  </r>
  <r>
    <x v="455"/>
    <x v="4"/>
    <m/>
    <x v="0"/>
    <x v="2"/>
    <x v="138"/>
    <m/>
    <m/>
    <m/>
    <n v="1"/>
    <n v="201208"/>
    <n v="20000"/>
  </r>
  <r>
    <x v="455"/>
    <x v="4"/>
    <m/>
    <x v="0"/>
    <x v="2"/>
    <x v="141"/>
    <m/>
    <m/>
    <m/>
    <n v="1"/>
    <n v="201208"/>
    <n v="33000"/>
  </r>
  <r>
    <x v="455"/>
    <x v="4"/>
    <m/>
    <x v="4"/>
    <x v="2"/>
    <x v="143"/>
    <m/>
    <m/>
    <m/>
    <n v="12"/>
    <n v="201208"/>
    <n v="240000"/>
  </r>
  <r>
    <x v="455"/>
    <x v="4"/>
    <m/>
    <x v="4"/>
    <x v="2"/>
    <x v="144"/>
    <m/>
    <m/>
    <m/>
    <n v="1"/>
    <n v="201208"/>
    <n v="4000"/>
  </r>
  <r>
    <x v="455"/>
    <x v="4"/>
    <m/>
    <x v="31"/>
    <x v="2"/>
    <x v="145"/>
    <m/>
    <m/>
    <m/>
    <n v="76"/>
    <n v="201208"/>
    <n v="1702400"/>
  </r>
  <r>
    <x v="455"/>
    <x v="4"/>
    <m/>
    <x v="31"/>
    <x v="2"/>
    <x v="146"/>
    <m/>
    <m/>
    <m/>
    <n v="107"/>
    <n v="201208"/>
    <n v="4194400"/>
  </r>
  <r>
    <x v="455"/>
    <x v="4"/>
    <m/>
    <x v="32"/>
    <x v="2"/>
    <x v="147"/>
    <m/>
    <m/>
    <m/>
    <n v="72"/>
    <n v="201208"/>
    <n v="2671200"/>
  </r>
  <r>
    <x v="455"/>
    <x v="4"/>
    <m/>
    <x v="31"/>
    <x v="2"/>
    <x v="189"/>
    <m/>
    <m/>
    <m/>
    <n v="9"/>
    <n v="201208"/>
    <n v="201600"/>
  </r>
  <r>
    <x v="455"/>
    <x v="4"/>
    <m/>
    <x v="31"/>
    <x v="2"/>
    <x v="184"/>
    <m/>
    <m/>
    <m/>
    <n v="21"/>
    <n v="201208"/>
    <n v="823200"/>
  </r>
  <r>
    <x v="455"/>
    <x v="4"/>
    <m/>
    <x v="32"/>
    <x v="2"/>
    <x v="185"/>
    <m/>
    <m/>
    <m/>
    <n v="12"/>
    <n v="201208"/>
    <n v="445200"/>
  </r>
  <r>
    <x v="455"/>
    <x v="4"/>
    <m/>
    <x v="31"/>
    <x v="2"/>
    <x v="186"/>
    <m/>
    <m/>
    <m/>
    <n v="120"/>
    <n v="201208"/>
    <n v="2688000"/>
  </r>
  <r>
    <x v="455"/>
    <x v="4"/>
    <m/>
    <x v="31"/>
    <x v="2"/>
    <x v="187"/>
    <m/>
    <m/>
    <m/>
    <n v="132"/>
    <n v="201208"/>
    <n v="5174400"/>
  </r>
  <r>
    <x v="455"/>
    <x v="4"/>
    <m/>
    <x v="32"/>
    <x v="2"/>
    <x v="188"/>
    <m/>
    <m/>
    <m/>
    <n v="71"/>
    <n v="201208"/>
    <n v="2634100"/>
  </r>
  <r>
    <x v="455"/>
    <x v="4"/>
    <m/>
    <x v="22"/>
    <x v="2"/>
    <x v="150"/>
    <m/>
    <m/>
    <m/>
    <n v="12"/>
    <n v="201208"/>
    <n v="456000"/>
  </r>
  <r>
    <x v="455"/>
    <x v="4"/>
    <m/>
    <x v="22"/>
    <x v="2"/>
    <x v="150"/>
    <m/>
    <m/>
    <m/>
    <n v="4"/>
    <n v="201208"/>
    <n v="152000"/>
  </r>
  <r>
    <x v="455"/>
    <x v="4"/>
    <m/>
    <x v="5"/>
    <x v="2"/>
    <x v="151"/>
    <m/>
    <m/>
    <m/>
    <n v="33"/>
    <n v="201208"/>
    <n v="924000"/>
  </r>
  <r>
    <x v="455"/>
    <x v="4"/>
    <m/>
    <x v="5"/>
    <x v="2"/>
    <x v="152"/>
    <m/>
    <m/>
    <m/>
    <n v="10"/>
    <n v="201208"/>
    <n v="480000"/>
  </r>
  <r>
    <x v="455"/>
    <x v="4"/>
    <m/>
    <x v="5"/>
    <x v="2"/>
    <x v="153"/>
    <m/>
    <m/>
    <m/>
    <n v="4"/>
    <n v="201208"/>
    <n v="112000"/>
  </r>
  <r>
    <x v="455"/>
    <x v="4"/>
    <m/>
    <x v="5"/>
    <x v="2"/>
    <x v="182"/>
    <m/>
    <m/>
    <m/>
    <n v="2"/>
    <n v="201208"/>
    <n v="56000"/>
  </r>
  <r>
    <x v="455"/>
    <x v="4"/>
    <m/>
    <x v="33"/>
    <x v="2"/>
    <x v="155"/>
    <m/>
    <m/>
    <m/>
    <n v="5"/>
    <n v="201208"/>
    <n v="91000"/>
  </r>
  <r>
    <x v="455"/>
    <x v="4"/>
    <m/>
    <x v="33"/>
    <x v="2"/>
    <x v="156"/>
    <m/>
    <m/>
    <m/>
    <n v="2"/>
    <n v="201208"/>
    <n v="67600"/>
  </r>
  <r>
    <x v="455"/>
    <x v="4"/>
    <m/>
    <x v="19"/>
    <x v="2"/>
    <x v="157"/>
    <m/>
    <m/>
    <m/>
    <n v="18"/>
    <n v="201208"/>
    <n v="234000"/>
  </r>
  <r>
    <x v="455"/>
    <x v="4"/>
    <m/>
    <x v="19"/>
    <x v="2"/>
    <x v="158"/>
    <m/>
    <m/>
    <m/>
    <n v="6"/>
    <n v="201208"/>
    <n v="144000"/>
  </r>
  <r>
    <x v="455"/>
    <x v="4"/>
    <m/>
    <x v="19"/>
    <x v="2"/>
    <x v="159"/>
    <m/>
    <m/>
    <m/>
    <n v="3"/>
    <n v="201208"/>
    <n v="99000"/>
  </r>
  <r>
    <x v="455"/>
    <x v="4"/>
    <m/>
    <x v="35"/>
    <x v="2"/>
    <x v="160"/>
    <m/>
    <m/>
    <m/>
    <n v="4"/>
    <n v="201208"/>
    <n v="80000"/>
  </r>
  <r>
    <x v="455"/>
    <x v="4"/>
    <m/>
    <x v="18"/>
    <x v="2"/>
    <x v="161"/>
    <m/>
    <m/>
    <m/>
    <n v="36"/>
    <n v="201208"/>
    <n v="108000"/>
  </r>
  <r>
    <x v="455"/>
    <x v="4"/>
    <m/>
    <x v="18"/>
    <x v="2"/>
    <x v="161"/>
    <m/>
    <m/>
    <m/>
    <n v="2"/>
    <n v="201208"/>
    <n v="6000"/>
  </r>
  <r>
    <x v="456"/>
    <x v="1"/>
    <m/>
    <x v="0"/>
    <x v="7"/>
    <x v="163"/>
    <m/>
    <m/>
    <m/>
    <n v="3"/>
    <n v="201208"/>
    <n v="60000"/>
  </r>
  <r>
    <x v="456"/>
    <x v="1"/>
    <m/>
    <x v="6"/>
    <x v="3"/>
    <x v="172"/>
    <m/>
    <m/>
    <m/>
    <n v="2"/>
    <n v="201208"/>
    <n v="0"/>
  </r>
  <r>
    <x v="456"/>
    <x v="1"/>
    <m/>
    <x v="0"/>
    <x v="3"/>
    <x v="164"/>
    <m/>
    <m/>
    <m/>
    <n v="6"/>
    <n v="201208"/>
    <n v="0"/>
  </r>
  <r>
    <x v="456"/>
    <x v="1"/>
    <m/>
    <x v="31"/>
    <x v="3"/>
    <x v="88"/>
    <m/>
    <m/>
    <m/>
    <n v="2"/>
    <n v="201208"/>
    <n v="0"/>
  </r>
  <r>
    <x v="456"/>
    <x v="1"/>
    <m/>
    <x v="6"/>
    <x v="2"/>
    <x v="126"/>
    <m/>
    <m/>
    <m/>
    <n v="3"/>
    <n v="201208"/>
    <n v="60000"/>
  </r>
  <r>
    <x v="456"/>
    <x v="1"/>
    <m/>
    <x v="34"/>
    <x v="2"/>
    <x v="128"/>
    <m/>
    <m/>
    <m/>
    <n v="47"/>
    <n v="201208"/>
    <n v="1743700"/>
  </r>
  <r>
    <x v="456"/>
    <x v="1"/>
    <m/>
    <x v="25"/>
    <x v="2"/>
    <x v="129"/>
    <m/>
    <m/>
    <m/>
    <n v="4"/>
    <n v="201208"/>
    <n v="396000"/>
  </r>
  <r>
    <x v="456"/>
    <x v="1"/>
    <m/>
    <x v="0"/>
    <x v="2"/>
    <x v="130"/>
    <m/>
    <m/>
    <m/>
    <n v="25"/>
    <n v="201208"/>
    <n v="825000"/>
  </r>
  <r>
    <x v="456"/>
    <x v="1"/>
    <m/>
    <x v="0"/>
    <x v="2"/>
    <x v="131"/>
    <m/>
    <m/>
    <m/>
    <n v="3"/>
    <n v="201208"/>
    <n v="99000"/>
  </r>
  <r>
    <x v="456"/>
    <x v="1"/>
    <m/>
    <x v="0"/>
    <x v="2"/>
    <x v="168"/>
    <m/>
    <m/>
    <m/>
    <n v="4"/>
    <n v="201208"/>
    <n v="80000"/>
  </r>
  <r>
    <x v="456"/>
    <x v="1"/>
    <m/>
    <x v="0"/>
    <x v="2"/>
    <x v="178"/>
    <m/>
    <m/>
    <m/>
    <n v="1"/>
    <n v="201208"/>
    <n v="35000"/>
  </r>
  <r>
    <x v="456"/>
    <x v="1"/>
    <m/>
    <x v="0"/>
    <x v="2"/>
    <x v="179"/>
    <m/>
    <m/>
    <m/>
    <n v="1"/>
    <n v="201208"/>
    <n v="3000"/>
  </r>
  <r>
    <x v="456"/>
    <x v="1"/>
    <m/>
    <x v="30"/>
    <x v="2"/>
    <x v="132"/>
    <m/>
    <m/>
    <m/>
    <n v="10"/>
    <n v="201208"/>
    <n v="224000"/>
  </r>
  <r>
    <x v="456"/>
    <x v="1"/>
    <m/>
    <x v="30"/>
    <x v="2"/>
    <x v="133"/>
    <m/>
    <m/>
    <m/>
    <n v="2"/>
    <n v="201208"/>
    <n v="78400"/>
  </r>
  <r>
    <x v="456"/>
    <x v="1"/>
    <m/>
    <x v="34"/>
    <x v="2"/>
    <x v="134"/>
    <m/>
    <m/>
    <m/>
    <n v="3"/>
    <n v="201208"/>
    <n v="111300"/>
  </r>
  <r>
    <x v="456"/>
    <x v="1"/>
    <m/>
    <x v="1"/>
    <x v="2"/>
    <x v="135"/>
    <m/>
    <m/>
    <m/>
    <n v="4"/>
    <n v="201208"/>
    <n v="80000"/>
  </r>
  <r>
    <x v="456"/>
    <x v="1"/>
    <m/>
    <x v="1"/>
    <x v="2"/>
    <x v="165"/>
    <m/>
    <m/>
    <m/>
    <n v="2"/>
    <n v="201208"/>
    <n v="70000"/>
  </r>
  <r>
    <x v="456"/>
    <x v="1"/>
    <m/>
    <x v="36"/>
    <x v="2"/>
    <x v="136"/>
    <m/>
    <m/>
    <m/>
    <n v="1"/>
    <n v="201208"/>
    <n v="28000"/>
  </r>
  <r>
    <x v="456"/>
    <x v="1"/>
    <m/>
    <x v="36"/>
    <x v="2"/>
    <x v="137"/>
    <m/>
    <m/>
    <m/>
    <n v="1"/>
    <n v="201208"/>
    <n v="42000"/>
  </r>
  <r>
    <x v="456"/>
    <x v="1"/>
    <m/>
    <x v="0"/>
    <x v="2"/>
    <x v="138"/>
    <m/>
    <m/>
    <m/>
    <n v="51"/>
    <n v="201208"/>
    <n v="1020000"/>
  </r>
  <r>
    <x v="456"/>
    <x v="1"/>
    <m/>
    <x v="0"/>
    <x v="2"/>
    <x v="139"/>
    <m/>
    <m/>
    <m/>
    <n v="19"/>
    <n v="201208"/>
    <n v="665000"/>
  </r>
  <r>
    <x v="456"/>
    <x v="1"/>
    <m/>
    <x v="32"/>
    <x v="2"/>
    <x v="140"/>
    <m/>
    <m/>
    <m/>
    <n v="22"/>
    <n v="201208"/>
    <n v="816200"/>
  </r>
  <r>
    <x v="456"/>
    <x v="1"/>
    <m/>
    <x v="18"/>
    <x v="2"/>
    <x v="125"/>
    <m/>
    <m/>
    <m/>
    <n v="23"/>
    <n v="201208"/>
    <n v="69000"/>
  </r>
  <r>
    <x v="456"/>
    <x v="1"/>
    <m/>
    <x v="0"/>
    <x v="2"/>
    <x v="141"/>
    <m/>
    <m/>
    <m/>
    <n v="1"/>
    <n v="201208"/>
    <n v="33000"/>
  </r>
  <r>
    <x v="456"/>
    <x v="1"/>
    <m/>
    <x v="4"/>
    <x v="2"/>
    <x v="142"/>
    <m/>
    <m/>
    <m/>
    <n v="1"/>
    <n v="201208"/>
    <n v="4000"/>
  </r>
  <r>
    <x v="456"/>
    <x v="1"/>
    <m/>
    <x v="4"/>
    <x v="2"/>
    <x v="143"/>
    <m/>
    <m/>
    <m/>
    <n v="7"/>
    <n v="201208"/>
    <n v="140000"/>
  </r>
  <r>
    <x v="456"/>
    <x v="1"/>
    <m/>
    <x v="31"/>
    <x v="2"/>
    <x v="145"/>
    <m/>
    <m/>
    <m/>
    <n v="73"/>
    <n v="201208"/>
    <n v="1635200"/>
  </r>
  <r>
    <x v="456"/>
    <x v="1"/>
    <m/>
    <x v="31"/>
    <x v="2"/>
    <x v="146"/>
    <m/>
    <m/>
    <m/>
    <n v="98"/>
    <n v="201208"/>
    <n v="3841600"/>
  </r>
  <r>
    <x v="456"/>
    <x v="1"/>
    <m/>
    <x v="32"/>
    <x v="2"/>
    <x v="147"/>
    <m/>
    <m/>
    <m/>
    <n v="53"/>
    <n v="201208"/>
    <n v="1966300"/>
  </r>
  <r>
    <x v="456"/>
    <x v="1"/>
    <m/>
    <x v="0"/>
    <x v="2"/>
    <x v="149"/>
    <m/>
    <m/>
    <m/>
    <n v="1"/>
    <n v="201208"/>
    <n v="20000"/>
  </r>
  <r>
    <x v="456"/>
    <x v="1"/>
    <m/>
    <x v="18"/>
    <x v="2"/>
    <x v="166"/>
    <m/>
    <m/>
    <m/>
    <n v="1"/>
    <n v="201208"/>
    <n v="3000"/>
  </r>
  <r>
    <x v="456"/>
    <x v="1"/>
    <m/>
    <x v="31"/>
    <x v="2"/>
    <x v="189"/>
    <m/>
    <m/>
    <m/>
    <n v="6"/>
    <n v="201208"/>
    <n v="134400"/>
  </r>
  <r>
    <x v="456"/>
    <x v="1"/>
    <m/>
    <x v="31"/>
    <x v="2"/>
    <x v="184"/>
    <m/>
    <m/>
    <m/>
    <n v="12"/>
    <n v="201208"/>
    <n v="470400"/>
  </r>
  <r>
    <x v="456"/>
    <x v="1"/>
    <m/>
    <x v="32"/>
    <x v="2"/>
    <x v="185"/>
    <m/>
    <m/>
    <m/>
    <n v="4"/>
    <n v="201208"/>
    <n v="148400"/>
  </r>
  <r>
    <x v="456"/>
    <x v="1"/>
    <m/>
    <x v="31"/>
    <x v="2"/>
    <x v="186"/>
    <m/>
    <m/>
    <m/>
    <n v="95"/>
    <n v="201208"/>
    <n v="2128000"/>
  </r>
  <r>
    <x v="456"/>
    <x v="1"/>
    <m/>
    <x v="31"/>
    <x v="2"/>
    <x v="187"/>
    <m/>
    <m/>
    <m/>
    <n v="97"/>
    <n v="201208"/>
    <n v="3802400"/>
  </r>
  <r>
    <x v="456"/>
    <x v="1"/>
    <m/>
    <x v="32"/>
    <x v="2"/>
    <x v="188"/>
    <m/>
    <m/>
    <m/>
    <n v="48"/>
    <n v="201208"/>
    <n v="1780800"/>
  </r>
  <r>
    <x v="456"/>
    <x v="1"/>
    <m/>
    <x v="22"/>
    <x v="2"/>
    <x v="150"/>
    <m/>
    <m/>
    <m/>
    <n v="8"/>
    <n v="201208"/>
    <n v="304000"/>
  </r>
  <r>
    <x v="456"/>
    <x v="1"/>
    <m/>
    <x v="22"/>
    <x v="2"/>
    <x v="150"/>
    <m/>
    <m/>
    <m/>
    <n v="5"/>
    <n v="201208"/>
    <n v="190000"/>
  </r>
  <r>
    <x v="456"/>
    <x v="1"/>
    <m/>
    <x v="5"/>
    <x v="2"/>
    <x v="151"/>
    <m/>
    <m/>
    <m/>
    <n v="23"/>
    <n v="201208"/>
    <n v="644000"/>
  </r>
  <r>
    <x v="456"/>
    <x v="1"/>
    <m/>
    <x v="5"/>
    <x v="2"/>
    <x v="152"/>
    <m/>
    <m/>
    <m/>
    <n v="4"/>
    <n v="201208"/>
    <n v="192000"/>
  </r>
  <r>
    <x v="456"/>
    <x v="1"/>
    <m/>
    <x v="5"/>
    <x v="2"/>
    <x v="153"/>
    <m/>
    <m/>
    <m/>
    <n v="9"/>
    <n v="201208"/>
    <n v="252000"/>
  </r>
  <r>
    <x v="456"/>
    <x v="1"/>
    <m/>
    <x v="33"/>
    <x v="2"/>
    <x v="155"/>
    <m/>
    <m/>
    <m/>
    <n v="5"/>
    <n v="201208"/>
    <n v="91000"/>
  </r>
  <r>
    <x v="456"/>
    <x v="1"/>
    <m/>
    <x v="33"/>
    <x v="2"/>
    <x v="156"/>
    <m/>
    <m/>
    <m/>
    <n v="2"/>
    <n v="201208"/>
    <n v="67600"/>
  </r>
  <r>
    <x v="456"/>
    <x v="1"/>
    <m/>
    <x v="19"/>
    <x v="2"/>
    <x v="157"/>
    <m/>
    <m/>
    <m/>
    <n v="22"/>
    <n v="201208"/>
    <n v="286000"/>
  </r>
  <r>
    <x v="456"/>
    <x v="1"/>
    <m/>
    <x v="19"/>
    <x v="2"/>
    <x v="158"/>
    <m/>
    <m/>
    <m/>
    <n v="7"/>
    <n v="201208"/>
    <n v="168000"/>
  </r>
  <r>
    <x v="456"/>
    <x v="1"/>
    <m/>
    <x v="35"/>
    <x v="2"/>
    <x v="170"/>
    <m/>
    <m/>
    <m/>
    <n v="1"/>
    <n v="201208"/>
    <n v="4000"/>
  </r>
  <r>
    <x v="456"/>
    <x v="1"/>
    <m/>
    <x v="35"/>
    <x v="2"/>
    <x v="160"/>
    <m/>
    <m/>
    <m/>
    <n v="4"/>
    <n v="201208"/>
    <n v="80000"/>
  </r>
  <r>
    <x v="456"/>
    <x v="1"/>
    <m/>
    <x v="18"/>
    <x v="2"/>
    <x v="161"/>
    <m/>
    <m/>
    <m/>
    <n v="49"/>
    <n v="201208"/>
    <n v="147000"/>
  </r>
  <r>
    <x v="457"/>
    <x v="0"/>
    <m/>
    <x v="0"/>
    <x v="1"/>
    <x v="123"/>
    <m/>
    <m/>
    <m/>
    <n v="2"/>
    <n v="201208"/>
    <n v="70000"/>
  </r>
  <r>
    <x v="457"/>
    <x v="0"/>
    <m/>
    <x v="6"/>
    <x v="3"/>
    <x v="172"/>
    <m/>
    <m/>
    <m/>
    <n v="3"/>
    <n v="201208"/>
    <n v="0"/>
  </r>
  <r>
    <x v="457"/>
    <x v="0"/>
    <m/>
    <x v="0"/>
    <x v="3"/>
    <x v="164"/>
    <m/>
    <m/>
    <m/>
    <n v="1"/>
    <n v="201208"/>
    <n v="0"/>
  </r>
  <r>
    <x v="457"/>
    <x v="0"/>
    <m/>
    <x v="31"/>
    <x v="3"/>
    <x v="88"/>
    <m/>
    <m/>
    <m/>
    <n v="2"/>
    <n v="201208"/>
    <n v="0"/>
  </r>
  <r>
    <x v="457"/>
    <x v="0"/>
    <m/>
    <x v="6"/>
    <x v="2"/>
    <x v="126"/>
    <m/>
    <m/>
    <m/>
    <n v="1"/>
    <n v="201208"/>
    <n v="20000"/>
  </r>
  <r>
    <x v="457"/>
    <x v="0"/>
    <m/>
    <x v="6"/>
    <x v="2"/>
    <x v="127"/>
    <m/>
    <m/>
    <m/>
    <n v="1"/>
    <n v="201208"/>
    <n v="35000"/>
  </r>
  <r>
    <x v="457"/>
    <x v="0"/>
    <m/>
    <x v="34"/>
    <x v="2"/>
    <x v="128"/>
    <m/>
    <m/>
    <m/>
    <n v="22"/>
    <n v="201208"/>
    <n v="816200"/>
  </r>
  <r>
    <x v="457"/>
    <x v="0"/>
    <m/>
    <x v="25"/>
    <x v="2"/>
    <x v="129"/>
    <m/>
    <m/>
    <m/>
    <n v="2"/>
    <n v="201208"/>
    <n v="198000"/>
  </r>
  <r>
    <x v="457"/>
    <x v="0"/>
    <m/>
    <x v="0"/>
    <x v="2"/>
    <x v="130"/>
    <m/>
    <m/>
    <m/>
    <n v="13"/>
    <n v="201208"/>
    <n v="429000"/>
  </r>
  <r>
    <x v="457"/>
    <x v="0"/>
    <m/>
    <x v="0"/>
    <x v="2"/>
    <x v="131"/>
    <m/>
    <m/>
    <m/>
    <n v="3"/>
    <n v="201208"/>
    <n v="99000"/>
  </r>
  <r>
    <x v="457"/>
    <x v="0"/>
    <m/>
    <x v="0"/>
    <x v="2"/>
    <x v="168"/>
    <m/>
    <m/>
    <m/>
    <n v="1"/>
    <n v="201208"/>
    <n v="20000"/>
  </r>
  <r>
    <x v="457"/>
    <x v="0"/>
    <m/>
    <x v="32"/>
    <x v="2"/>
    <x v="180"/>
    <m/>
    <m/>
    <m/>
    <n v="1"/>
    <n v="201208"/>
    <n v="37100"/>
  </r>
  <r>
    <x v="457"/>
    <x v="0"/>
    <m/>
    <x v="0"/>
    <x v="2"/>
    <x v="179"/>
    <m/>
    <m/>
    <m/>
    <n v="1"/>
    <n v="201208"/>
    <n v="3000"/>
  </r>
  <r>
    <x v="457"/>
    <x v="0"/>
    <m/>
    <x v="30"/>
    <x v="2"/>
    <x v="132"/>
    <m/>
    <m/>
    <m/>
    <n v="7"/>
    <n v="201208"/>
    <n v="156800"/>
  </r>
  <r>
    <x v="457"/>
    <x v="0"/>
    <m/>
    <x v="30"/>
    <x v="2"/>
    <x v="133"/>
    <m/>
    <m/>
    <m/>
    <n v="1"/>
    <n v="201208"/>
    <n v="39200"/>
  </r>
  <r>
    <x v="457"/>
    <x v="0"/>
    <m/>
    <x v="34"/>
    <x v="2"/>
    <x v="134"/>
    <m/>
    <m/>
    <m/>
    <n v="1"/>
    <n v="201208"/>
    <n v="37100"/>
  </r>
  <r>
    <x v="457"/>
    <x v="0"/>
    <m/>
    <x v="1"/>
    <x v="2"/>
    <x v="135"/>
    <m/>
    <m/>
    <m/>
    <n v="3"/>
    <n v="201208"/>
    <n v="60000"/>
  </r>
  <r>
    <x v="457"/>
    <x v="0"/>
    <m/>
    <x v="36"/>
    <x v="2"/>
    <x v="136"/>
    <m/>
    <m/>
    <m/>
    <n v="1"/>
    <n v="201208"/>
    <n v="28000"/>
  </r>
  <r>
    <x v="457"/>
    <x v="0"/>
    <m/>
    <x v="0"/>
    <x v="2"/>
    <x v="138"/>
    <m/>
    <m/>
    <m/>
    <n v="30"/>
    <n v="201208"/>
    <n v="600000"/>
  </r>
  <r>
    <x v="457"/>
    <x v="0"/>
    <m/>
    <x v="0"/>
    <x v="2"/>
    <x v="139"/>
    <m/>
    <m/>
    <m/>
    <n v="10"/>
    <n v="201208"/>
    <n v="350000"/>
  </r>
  <r>
    <x v="457"/>
    <x v="0"/>
    <m/>
    <x v="32"/>
    <x v="2"/>
    <x v="140"/>
    <m/>
    <m/>
    <m/>
    <n v="9"/>
    <n v="201208"/>
    <n v="333900"/>
  </r>
  <r>
    <x v="457"/>
    <x v="0"/>
    <m/>
    <x v="18"/>
    <x v="2"/>
    <x v="125"/>
    <m/>
    <m/>
    <m/>
    <n v="17"/>
    <n v="201208"/>
    <n v="51000"/>
  </r>
  <r>
    <x v="457"/>
    <x v="0"/>
    <m/>
    <x v="0"/>
    <x v="2"/>
    <x v="141"/>
    <m/>
    <m/>
    <m/>
    <n v="1"/>
    <n v="201208"/>
    <n v="33000"/>
  </r>
  <r>
    <x v="457"/>
    <x v="0"/>
    <m/>
    <x v="4"/>
    <x v="2"/>
    <x v="143"/>
    <m/>
    <m/>
    <m/>
    <n v="1"/>
    <n v="201208"/>
    <n v="20000"/>
  </r>
  <r>
    <x v="457"/>
    <x v="0"/>
    <m/>
    <x v="31"/>
    <x v="2"/>
    <x v="145"/>
    <m/>
    <m/>
    <m/>
    <n v="34"/>
    <n v="201208"/>
    <n v="761600"/>
  </r>
  <r>
    <x v="457"/>
    <x v="0"/>
    <m/>
    <x v="31"/>
    <x v="2"/>
    <x v="146"/>
    <m/>
    <m/>
    <m/>
    <n v="33"/>
    <n v="201208"/>
    <n v="1293600"/>
  </r>
  <r>
    <x v="457"/>
    <x v="0"/>
    <m/>
    <x v="32"/>
    <x v="2"/>
    <x v="147"/>
    <m/>
    <m/>
    <m/>
    <n v="29"/>
    <n v="201208"/>
    <n v="1075900"/>
  </r>
  <r>
    <x v="457"/>
    <x v="0"/>
    <m/>
    <x v="0"/>
    <x v="2"/>
    <x v="148"/>
    <m/>
    <m/>
    <m/>
    <n v="2"/>
    <n v="201208"/>
    <n v="40000"/>
  </r>
  <r>
    <x v="457"/>
    <x v="0"/>
    <m/>
    <x v="31"/>
    <x v="2"/>
    <x v="189"/>
    <m/>
    <m/>
    <m/>
    <n v="14"/>
    <n v="201208"/>
    <n v="313600"/>
  </r>
  <r>
    <x v="457"/>
    <x v="0"/>
    <m/>
    <x v="31"/>
    <x v="2"/>
    <x v="184"/>
    <m/>
    <m/>
    <m/>
    <n v="29"/>
    <n v="201208"/>
    <n v="1136800"/>
  </r>
  <r>
    <x v="457"/>
    <x v="0"/>
    <m/>
    <x v="32"/>
    <x v="2"/>
    <x v="185"/>
    <m/>
    <m/>
    <m/>
    <n v="17"/>
    <n v="201208"/>
    <n v="630700"/>
  </r>
  <r>
    <x v="457"/>
    <x v="0"/>
    <m/>
    <x v="31"/>
    <x v="2"/>
    <x v="186"/>
    <m/>
    <m/>
    <m/>
    <n v="70"/>
    <n v="201208"/>
    <n v="1568000"/>
  </r>
  <r>
    <x v="457"/>
    <x v="0"/>
    <m/>
    <x v="31"/>
    <x v="2"/>
    <x v="187"/>
    <m/>
    <m/>
    <m/>
    <n v="66"/>
    <n v="201208"/>
    <n v="2587200"/>
  </r>
  <r>
    <x v="457"/>
    <x v="0"/>
    <m/>
    <x v="32"/>
    <x v="2"/>
    <x v="188"/>
    <m/>
    <m/>
    <m/>
    <n v="23"/>
    <n v="201208"/>
    <n v="853300"/>
  </r>
  <r>
    <x v="457"/>
    <x v="0"/>
    <m/>
    <x v="22"/>
    <x v="2"/>
    <x v="150"/>
    <m/>
    <m/>
    <m/>
    <n v="3"/>
    <n v="201208"/>
    <n v="114000"/>
  </r>
  <r>
    <x v="457"/>
    <x v="0"/>
    <m/>
    <x v="22"/>
    <x v="2"/>
    <x v="150"/>
    <m/>
    <m/>
    <m/>
    <n v="1"/>
    <n v="201208"/>
    <n v="38000"/>
  </r>
  <r>
    <x v="457"/>
    <x v="0"/>
    <m/>
    <x v="5"/>
    <x v="2"/>
    <x v="151"/>
    <m/>
    <m/>
    <m/>
    <n v="11"/>
    <n v="201208"/>
    <n v="308000"/>
  </r>
  <r>
    <x v="457"/>
    <x v="0"/>
    <m/>
    <x v="5"/>
    <x v="2"/>
    <x v="152"/>
    <m/>
    <m/>
    <m/>
    <n v="5"/>
    <n v="201208"/>
    <n v="240000"/>
  </r>
  <r>
    <x v="457"/>
    <x v="0"/>
    <m/>
    <x v="5"/>
    <x v="2"/>
    <x v="153"/>
    <m/>
    <m/>
    <m/>
    <n v="4"/>
    <n v="201208"/>
    <n v="112000"/>
  </r>
  <r>
    <x v="457"/>
    <x v="0"/>
    <m/>
    <x v="33"/>
    <x v="2"/>
    <x v="155"/>
    <m/>
    <m/>
    <m/>
    <n v="1"/>
    <n v="201208"/>
    <n v="18200"/>
  </r>
  <r>
    <x v="457"/>
    <x v="0"/>
    <m/>
    <x v="33"/>
    <x v="2"/>
    <x v="156"/>
    <m/>
    <m/>
    <m/>
    <n v="2"/>
    <n v="201208"/>
    <n v="67600"/>
  </r>
  <r>
    <x v="457"/>
    <x v="0"/>
    <m/>
    <x v="19"/>
    <x v="2"/>
    <x v="157"/>
    <m/>
    <m/>
    <m/>
    <n v="12"/>
    <n v="201208"/>
    <n v="156000"/>
  </r>
  <r>
    <x v="457"/>
    <x v="0"/>
    <m/>
    <x v="19"/>
    <x v="2"/>
    <x v="158"/>
    <m/>
    <m/>
    <m/>
    <n v="3"/>
    <n v="201208"/>
    <n v="72000"/>
  </r>
  <r>
    <x v="457"/>
    <x v="0"/>
    <m/>
    <x v="19"/>
    <x v="2"/>
    <x v="159"/>
    <m/>
    <m/>
    <m/>
    <n v="1"/>
    <n v="201208"/>
    <n v="33000"/>
  </r>
  <r>
    <x v="457"/>
    <x v="0"/>
    <m/>
    <x v="35"/>
    <x v="2"/>
    <x v="160"/>
    <m/>
    <m/>
    <m/>
    <n v="1"/>
    <n v="201208"/>
    <n v="20000"/>
  </r>
  <r>
    <x v="457"/>
    <x v="0"/>
    <m/>
    <x v="18"/>
    <x v="2"/>
    <x v="161"/>
    <m/>
    <m/>
    <m/>
    <n v="18"/>
    <n v="201208"/>
    <n v="54000"/>
  </r>
  <r>
    <x v="458"/>
    <x v="2"/>
    <m/>
    <x v="0"/>
    <x v="7"/>
    <x v="193"/>
    <m/>
    <m/>
    <m/>
    <n v="1"/>
    <n v="201208"/>
    <n v="18000"/>
  </r>
  <r>
    <x v="458"/>
    <x v="2"/>
    <m/>
    <x v="34"/>
    <x v="2"/>
    <x v="128"/>
    <m/>
    <m/>
    <m/>
    <n v="33"/>
    <n v="201208"/>
    <n v="1224300"/>
  </r>
  <r>
    <x v="458"/>
    <x v="2"/>
    <m/>
    <x v="25"/>
    <x v="2"/>
    <x v="129"/>
    <m/>
    <m/>
    <m/>
    <n v="1"/>
    <n v="201208"/>
    <n v="99000"/>
  </r>
  <r>
    <x v="458"/>
    <x v="2"/>
    <m/>
    <x v="0"/>
    <x v="2"/>
    <x v="130"/>
    <m/>
    <m/>
    <m/>
    <n v="20"/>
    <n v="201208"/>
    <n v="660000"/>
  </r>
  <r>
    <x v="458"/>
    <x v="2"/>
    <m/>
    <x v="0"/>
    <x v="2"/>
    <x v="131"/>
    <m/>
    <m/>
    <m/>
    <n v="3"/>
    <n v="201208"/>
    <n v="99000"/>
  </r>
  <r>
    <x v="458"/>
    <x v="2"/>
    <m/>
    <x v="0"/>
    <x v="2"/>
    <x v="178"/>
    <m/>
    <m/>
    <m/>
    <n v="1"/>
    <n v="201208"/>
    <n v="35000"/>
  </r>
  <r>
    <x v="458"/>
    <x v="2"/>
    <m/>
    <x v="30"/>
    <x v="2"/>
    <x v="132"/>
    <m/>
    <m/>
    <m/>
    <n v="15"/>
    <n v="201208"/>
    <n v="336000"/>
  </r>
  <r>
    <x v="458"/>
    <x v="2"/>
    <m/>
    <x v="30"/>
    <x v="2"/>
    <x v="133"/>
    <m/>
    <m/>
    <m/>
    <n v="2"/>
    <n v="201208"/>
    <n v="78400"/>
  </r>
  <r>
    <x v="458"/>
    <x v="2"/>
    <m/>
    <x v="34"/>
    <x v="2"/>
    <x v="134"/>
    <m/>
    <m/>
    <m/>
    <n v="4"/>
    <n v="201208"/>
    <n v="148400"/>
  </r>
  <r>
    <x v="458"/>
    <x v="2"/>
    <m/>
    <x v="1"/>
    <x v="2"/>
    <x v="135"/>
    <m/>
    <m/>
    <m/>
    <n v="2"/>
    <n v="201208"/>
    <n v="40000"/>
  </r>
  <r>
    <x v="458"/>
    <x v="2"/>
    <m/>
    <x v="1"/>
    <x v="2"/>
    <x v="165"/>
    <m/>
    <m/>
    <m/>
    <n v="2"/>
    <n v="201208"/>
    <n v="70000"/>
  </r>
  <r>
    <x v="458"/>
    <x v="2"/>
    <m/>
    <x v="36"/>
    <x v="2"/>
    <x v="136"/>
    <m/>
    <m/>
    <m/>
    <n v="5"/>
    <n v="201208"/>
    <n v="140000"/>
  </r>
  <r>
    <x v="458"/>
    <x v="2"/>
    <m/>
    <x v="0"/>
    <x v="2"/>
    <x v="138"/>
    <m/>
    <m/>
    <m/>
    <n v="49"/>
    <n v="201208"/>
    <n v="980000"/>
  </r>
  <r>
    <x v="458"/>
    <x v="2"/>
    <m/>
    <x v="0"/>
    <x v="2"/>
    <x v="139"/>
    <m/>
    <m/>
    <m/>
    <n v="17"/>
    <n v="201208"/>
    <n v="595000"/>
  </r>
  <r>
    <x v="458"/>
    <x v="2"/>
    <m/>
    <x v="32"/>
    <x v="2"/>
    <x v="140"/>
    <m/>
    <m/>
    <m/>
    <n v="15"/>
    <n v="201208"/>
    <n v="556500"/>
  </r>
  <r>
    <x v="458"/>
    <x v="2"/>
    <m/>
    <x v="18"/>
    <x v="2"/>
    <x v="125"/>
    <m/>
    <m/>
    <m/>
    <n v="24"/>
    <n v="201208"/>
    <n v="72000"/>
  </r>
  <r>
    <x v="458"/>
    <x v="2"/>
    <m/>
    <x v="0"/>
    <x v="2"/>
    <x v="141"/>
    <m/>
    <m/>
    <m/>
    <n v="1"/>
    <n v="201208"/>
    <n v="33000"/>
  </r>
  <r>
    <x v="458"/>
    <x v="2"/>
    <m/>
    <x v="4"/>
    <x v="2"/>
    <x v="142"/>
    <m/>
    <m/>
    <m/>
    <n v="2"/>
    <n v="201208"/>
    <n v="8000"/>
  </r>
  <r>
    <x v="458"/>
    <x v="2"/>
    <m/>
    <x v="4"/>
    <x v="2"/>
    <x v="143"/>
    <m/>
    <m/>
    <m/>
    <n v="7"/>
    <n v="201208"/>
    <n v="140000"/>
  </r>
  <r>
    <x v="458"/>
    <x v="2"/>
    <m/>
    <x v="31"/>
    <x v="2"/>
    <x v="145"/>
    <m/>
    <m/>
    <m/>
    <n v="53"/>
    <n v="201208"/>
    <n v="1187200"/>
  </r>
  <r>
    <x v="458"/>
    <x v="2"/>
    <m/>
    <x v="31"/>
    <x v="2"/>
    <x v="146"/>
    <m/>
    <m/>
    <m/>
    <n v="70"/>
    <n v="201208"/>
    <n v="2744000"/>
  </r>
  <r>
    <x v="458"/>
    <x v="2"/>
    <m/>
    <x v="32"/>
    <x v="2"/>
    <x v="147"/>
    <m/>
    <m/>
    <m/>
    <n v="47"/>
    <n v="201208"/>
    <n v="1743700"/>
  </r>
  <r>
    <x v="458"/>
    <x v="2"/>
    <m/>
    <x v="0"/>
    <x v="2"/>
    <x v="149"/>
    <m/>
    <m/>
    <m/>
    <n v="1"/>
    <n v="201208"/>
    <n v="20000"/>
  </r>
  <r>
    <x v="458"/>
    <x v="2"/>
    <m/>
    <x v="31"/>
    <x v="2"/>
    <x v="189"/>
    <m/>
    <m/>
    <m/>
    <n v="9"/>
    <n v="201208"/>
    <n v="201600"/>
  </r>
  <r>
    <x v="458"/>
    <x v="2"/>
    <m/>
    <x v="31"/>
    <x v="2"/>
    <x v="184"/>
    <m/>
    <m/>
    <m/>
    <n v="11"/>
    <n v="201208"/>
    <n v="431200"/>
  </r>
  <r>
    <x v="458"/>
    <x v="2"/>
    <m/>
    <x v="32"/>
    <x v="2"/>
    <x v="185"/>
    <m/>
    <m/>
    <m/>
    <n v="4"/>
    <n v="201208"/>
    <n v="148400"/>
  </r>
  <r>
    <x v="458"/>
    <x v="2"/>
    <m/>
    <x v="31"/>
    <x v="2"/>
    <x v="186"/>
    <m/>
    <m/>
    <m/>
    <n v="162"/>
    <n v="201208"/>
    <n v="3628800"/>
  </r>
  <r>
    <x v="458"/>
    <x v="2"/>
    <m/>
    <x v="31"/>
    <x v="2"/>
    <x v="187"/>
    <m/>
    <m/>
    <m/>
    <n v="142"/>
    <n v="201208"/>
    <n v="5566400"/>
  </r>
  <r>
    <x v="458"/>
    <x v="2"/>
    <m/>
    <x v="32"/>
    <x v="2"/>
    <x v="188"/>
    <m/>
    <m/>
    <m/>
    <n v="77"/>
    <n v="201208"/>
    <n v="2856700"/>
  </r>
  <r>
    <x v="458"/>
    <x v="2"/>
    <m/>
    <x v="22"/>
    <x v="2"/>
    <x v="150"/>
    <m/>
    <m/>
    <m/>
    <n v="5"/>
    <n v="201208"/>
    <n v="190000"/>
  </r>
  <r>
    <x v="458"/>
    <x v="2"/>
    <m/>
    <x v="22"/>
    <x v="2"/>
    <x v="150"/>
    <m/>
    <m/>
    <m/>
    <n v="2"/>
    <n v="201208"/>
    <n v="76000"/>
  </r>
  <r>
    <x v="458"/>
    <x v="2"/>
    <m/>
    <x v="5"/>
    <x v="2"/>
    <x v="151"/>
    <m/>
    <m/>
    <m/>
    <n v="20"/>
    <n v="201208"/>
    <n v="560000"/>
  </r>
  <r>
    <x v="458"/>
    <x v="2"/>
    <m/>
    <x v="5"/>
    <x v="2"/>
    <x v="152"/>
    <m/>
    <m/>
    <m/>
    <n v="10"/>
    <n v="201208"/>
    <n v="480000"/>
  </r>
  <r>
    <x v="458"/>
    <x v="2"/>
    <m/>
    <x v="5"/>
    <x v="2"/>
    <x v="153"/>
    <m/>
    <m/>
    <m/>
    <n v="4"/>
    <n v="201208"/>
    <n v="112000"/>
  </r>
  <r>
    <x v="458"/>
    <x v="2"/>
    <m/>
    <x v="33"/>
    <x v="2"/>
    <x v="155"/>
    <m/>
    <m/>
    <m/>
    <n v="4"/>
    <n v="201208"/>
    <n v="72800"/>
  </r>
  <r>
    <x v="458"/>
    <x v="2"/>
    <m/>
    <x v="33"/>
    <x v="2"/>
    <x v="156"/>
    <m/>
    <m/>
    <m/>
    <n v="3"/>
    <n v="201208"/>
    <n v="101400"/>
  </r>
  <r>
    <x v="458"/>
    <x v="2"/>
    <m/>
    <x v="19"/>
    <x v="2"/>
    <x v="157"/>
    <m/>
    <m/>
    <m/>
    <n v="15"/>
    <n v="201208"/>
    <n v="195000"/>
  </r>
  <r>
    <x v="458"/>
    <x v="2"/>
    <m/>
    <x v="19"/>
    <x v="2"/>
    <x v="158"/>
    <m/>
    <m/>
    <m/>
    <n v="5"/>
    <n v="201208"/>
    <n v="120000"/>
  </r>
  <r>
    <x v="458"/>
    <x v="2"/>
    <m/>
    <x v="19"/>
    <x v="2"/>
    <x v="159"/>
    <m/>
    <m/>
    <m/>
    <n v="3"/>
    <n v="201208"/>
    <n v="99000"/>
  </r>
  <r>
    <x v="458"/>
    <x v="2"/>
    <m/>
    <x v="35"/>
    <x v="2"/>
    <x v="170"/>
    <m/>
    <m/>
    <m/>
    <n v="3"/>
    <n v="201208"/>
    <n v="12000"/>
  </r>
  <r>
    <x v="458"/>
    <x v="2"/>
    <m/>
    <x v="35"/>
    <x v="2"/>
    <x v="160"/>
    <m/>
    <m/>
    <m/>
    <n v="4"/>
    <n v="201208"/>
    <n v="80000"/>
  </r>
  <r>
    <x v="458"/>
    <x v="2"/>
    <m/>
    <x v="18"/>
    <x v="2"/>
    <x v="161"/>
    <m/>
    <m/>
    <m/>
    <n v="20"/>
    <n v="201208"/>
    <n v="60000"/>
  </r>
  <r>
    <x v="459"/>
    <x v="5"/>
    <m/>
    <x v="0"/>
    <x v="7"/>
    <x v="193"/>
    <m/>
    <m/>
    <m/>
    <n v="3"/>
    <n v="201208"/>
    <n v="54000"/>
  </r>
  <r>
    <x v="459"/>
    <x v="5"/>
    <m/>
    <x v="6"/>
    <x v="2"/>
    <x v="126"/>
    <m/>
    <m/>
    <m/>
    <n v="7"/>
    <n v="201208"/>
    <n v="140000"/>
  </r>
  <r>
    <x v="459"/>
    <x v="5"/>
    <m/>
    <x v="34"/>
    <x v="2"/>
    <x v="128"/>
    <m/>
    <m/>
    <m/>
    <n v="28"/>
    <n v="201208"/>
    <n v="1038800"/>
  </r>
  <r>
    <x v="459"/>
    <x v="5"/>
    <m/>
    <x v="25"/>
    <x v="2"/>
    <x v="129"/>
    <m/>
    <m/>
    <m/>
    <n v="2"/>
    <n v="201208"/>
    <n v="198000"/>
  </r>
  <r>
    <x v="459"/>
    <x v="5"/>
    <m/>
    <x v="0"/>
    <x v="2"/>
    <x v="130"/>
    <m/>
    <m/>
    <m/>
    <n v="27"/>
    <n v="201208"/>
    <n v="891000"/>
  </r>
  <r>
    <x v="459"/>
    <x v="5"/>
    <m/>
    <x v="0"/>
    <x v="2"/>
    <x v="131"/>
    <m/>
    <m/>
    <m/>
    <n v="3"/>
    <n v="201208"/>
    <n v="99000"/>
  </r>
  <r>
    <x v="459"/>
    <x v="5"/>
    <m/>
    <x v="0"/>
    <x v="2"/>
    <x v="178"/>
    <m/>
    <m/>
    <m/>
    <n v="1"/>
    <n v="201208"/>
    <n v="35000"/>
  </r>
  <r>
    <x v="459"/>
    <x v="5"/>
    <m/>
    <x v="0"/>
    <x v="2"/>
    <x v="179"/>
    <m/>
    <m/>
    <m/>
    <n v="1"/>
    <n v="201208"/>
    <n v="3000"/>
  </r>
  <r>
    <x v="459"/>
    <x v="5"/>
    <m/>
    <x v="30"/>
    <x v="2"/>
    <x v="132"/>
    <m/>
    <m/>
    <m/>
    <n v="14"/>
    <n v="201208"/>
    <n v="313600"/>
  </r>
  <r>
    <x v="459"/>
    <x v="5"/>
    <m/>
    <x v="30"/>
    <x v="2"/>
    <x v="133"/>
    <m/>
    <m/>
    <m/>
    <n v="3"/>
    <n v="201208"/>
    <n v="117600"/>
  </r>
  <r>
    <x v="459"/>
    <x v="5"/>
    <m/>
    <x v="34"/>
    <x v="2"/>
    <x v="134"/>
    <m/>
    <m/>
    <m/>
    <n v="2"/>
    <n v="201208"/>
    <n v="74200"/>
  </r>
  <r>
    <x v="459"/>
    <x v="5"/>
    <m/>
    <x v="1"/>
    <x v="2"/>
    <x v="135"/>
    <m/>
    <m/>
    <m/>
    <n v="3"/>
    <n v="201208"/>
    <n v="60000"/>
  </r>
  <r>
    <x v="459"/>
    <x v="5"/>
    <m/>
    <x v="36"/>
    <x v="2"/>
    <x v="136"/>
    <m/>
    <m/>
    <m/>
    <n v="3"/>
    <n v="201208"/>
    <n v="84000"/>
  </r>
  <r>
    <x v="459"/>
    <x v="5"/>
    <m/>
    <x v="36"/>
    <x v="2"/>
    <x v="137"/>
    <m/>
    <m/>
    <m/>
    <n v="3"/>
    <n v="201208"/>
    <n v="126000"/>
  </r>
  <r>
    <x v="459"/>
    <x v="5"/>
    <m/>
    <x v="0"/>
    <x v="2"/>
    <x v="138"/>
    <m/>
    <m/>
    <m/>
    <n v="41"/>
    <n v="201208"/>
    <n v="820000"/>
  </r>
  <r>
    <x v="459"/>
    <x v="5"/>
    <m/>
    <x v="0"/>
    <x v="2"/>
    <x v="139"/>
    <m/>
    <m/>
    <m/>
    <n v="20"/>
    <n v="201208"/>
    <n v="700000"/>
  </r>
  <r>
    <x v="459"/>
    <x v="5"/>
    <m/>
    <x v="32"/>
    <x v="2"/>
    <x v="140"/>
    <m/>
    <m/>
    <m/>
    <n v="18"/>
    <n v="201208"/>
    <n v="667800"/>
  </r>
  <r>
    <x v="459"/>
    <x v="5"/>
    <m/>
    <x v="18"/>
    <x v="2"/>
    <x v="125"/>
    <m/>
    <m/>
    <m/>
    <n v="27"/>
    <n v="201208"/>
    <n v="81000"/>
  </r>
  <r>
    <x v="459"/>
    <x v="5"/>
    <m/>
    <x v="0"/>
    <x v="2"/>
    <x v="141"/>
    <m/>
    <m/>
    <m/>
    <n v="2"/>
    <n v="201208"/>
    <n v="66000"/>
  </r>
  <r>
    <x v="459"/>
    <x v="5"/>
    <m/>
    <x v="4"/>
    <x v="2"/>
    <x v="143"/>
    <m/>
    <m/>
    <m/>
    <n v="5"/>
    <n v="201208"/>
    <n v="100000"/>
  </r>
  <r>
    <x v="459"/>
    <x v="5"/>
    <m/>
    <x v="4"/>
    <x v="2"/>
    <x v="144"/>
    <m/>
    <m/>
    <m/>
    <n v="2"/>
    <n v="201208"/>
    <n v="8000"/>
  </r>
  <r>
    <x v="459"/>
    <x v="5"/>
    <m/>
    <x v="31"/>
    <x v="2"/>
    <x v="145"/>
    <m/>
    <m/>
    <m/>
    <n v="49"/>
    <n v="201208"/>
    <n v="1097600"/>
  </r>
  <r>
    <x v="459"/>
    <x v="5"/>
    <m/>
    <x v="31"/>
    <x v="2"/>
    <x v="146"/>
    <m/>
    <m/>
    <m/>
    <n v="66"/>
    <n v="201208"/>
    <n v="2587200"/>
  </r>
  <r>
    <x v="459"/>
    <x v="5"/>
    <m/>
    <x v="32"/>
    <x v="2"/>
    <x v="147"/>
    <m/>
    <m/>
    <m/>
    <n v="47"/>
    <n v="201208"/>
    <n v="1743700"/>
  </r>
  <r>
    <x v="459"/>
    <x v="5"/>
    <m/>
    <x v="0"/>
    <x v="2"/>
    <x v="148"/>
    <m/>
    <m/>
    <m/>
    <n v="1"/>
    <n v="201208"/>
    <n v="20000"/>
  </r>
  <r>
    <x v="459"/>
    <x v="5"/>
    <m/>
    <x v="0"/>
    <x v="2"/>
    <x v="149"/>
    <m/>
    <m/>
    <m/>
    <n v="3"/>
    <n v="201208"/>
    <n v="60000"/>
  </r>
  <r>
    <x v="459"/>
    <x v="5"/>
    <m/>
    <x v="18"/>
    <x v="2"/>
    <x v="166"/>
    <m/>
    <m/>
    <m/>
    <n v="1"/>
    <n v="201208"/>
    <n v="3000"/>
  </r>
  <r>
    <x v="459"/>
    <x v="5"/>
    <m/>
    <x v="31"/>
    <x v="2"/>
    <x v="189"/>
    <m/>
    <m/>
    <m/>
    <n v="1"/>
    <n v="201208"/>
    <n v="22400"/>
  </r>
  <r>
    <x v="459"/>
    <x v="5"/>
    <m/>
    <x v="31"/>
    <x v="2"/>
    <x v="184"/>
    <m/>
    <m/>
    <m/>
    <n v="13"/>
    <n v="201208"/>
    <n v="509600"/>
  </r>
  <r>
    <x v="459"/>
    <x v="5"/>
    <m/>
    <x v="32"/>
    <x v="2"/>
    <x v="185"/>
    <m/>
    <m/>
    <m/>
    <n v="1"/>
    <n v="201208"/>
    <n v="37100"/>
  </r>
  <r>
    <x v="459"/>
    <x v="5"/>
    <m/>
    <x v="31"/>
    <x v="2"/>
    <x v="186"/>
    <m/>
    <m/>
    <m/>
    <n v="108"/>
    <n v="201208"/>
    <n v="2419200"/>
  </r>
  <r>
    <x v="459"/>
    <x v="5"/>
    <m/>
    <x v="31"/>
    <x v="2"/>
    <x v="187"/>
    <m/>
    <m/>
    <m/>
    <n v="115"/>
    <n v="201208"/>
    <n v="4508000"/>
  </r>
  <r>
    <x v="459"/>
    <x v="5"/>
    <m/>
    <x v="32"/>
    <x v="2"/>
    <x v="188"/>
    <m/>
    <m/>
    <m/>
    <n v="66"/>
    <n v="201208"/>
    <n v="2448600"/>
  </r>
  <r>
    <x v="459"/>
    <x v="5"/>
    <m/>
    <x v="22"/>
    <x v="2"/>
    <x v="150"/>
    <m/>
    <m/>
    <m/>
    <n v="8"/>
    <n v="201208"/>
    <n v="304000"/>
  </r>
  <r>
    <x v="459"/>
    <x v="5"/>
    <m/>
    <x v="22"/>
    <x v="2"/>
    <x v="150"/>
    <m/>
    <m/>
    <m/>
    <n v="5"/>
    <n v="201208"/>
    <n v="190000"/>
  </r>
  <r>
    <x v="459"/>
    <x v="5"/>
    <m/>
    <x v="5"/>
    <x v="2"/>
    <x v="151"/>
    <m/>
    <m/>
    <m/>
    <n v="27"/>
    <n v="201208"/>
    <n v="756000"/>
  </r>
  <r>
    <x v="459"/>
    <x v="5"/>
    <m/>
    <x v="5"/>
    <x v="2"/>
    <x v="152"/>
    <m/>
    <m/>
    <m/>
    <n v="4"/>
    <n v="201208"/>
    <n v="192000"/>
  </r>
  <r>
    <x v="459"/>
    <x v="5"/>
    <m/>
    <x v="5"/>
    <x v="2"/>
    <x v="153"/>
    <m/>
    <m/>
    <m/>
    <n v="2"/>
    <n v="201208"/>
    <n v="56000"/>
  </r>
  <r>
    <x v="459"/>
    <x v="5"/>
    <m/>
    <x v="33"/>
    <x v="2"/>
    <x v="155"/>
    <m/>
    <m/>
    <m/>
    <n v="3"/>
    <n v="201208"/>
    <n v="54600"/>
  </r>
  <r>
    <x v="459"/>
    <x v="5"/>
    <m/>
    <x v="19"/>
    <x v="2"/>
    <x v="157"/>
    <m/>
    <m/>
    <m/>
    <n v="24"/>
    <n v="201208"/>
    <n v="312000"/>
  </r>
  <r>
    <x v="459"/>
    <x v="5"/>
    <m/>
    <x v="19"/>
    <x v="2"/>
    <x v="158"/>
    <m/>
    <m/>
    <m/>
    <n v="5"/>
    <n v="201208"/>
    <n v="120000"/>
  </r>
  <r>
    <x v="459"/>
    <x v="5"/>
    <m/>
    <x v="19"/>
    <x v="2"/>
    <x v="159"/>
    <m/>
    <m/>
    <m/>
    <n v="2"/>
    <n v="201208"/>
    <n v="66000"/>
  </r>
  <r>
    <x v="459"/>
    <x v="5"/>
    <m/>
    <x v="35"/>
    <x v="2"/>
    <x v="160"/>
    <m/>
    <m/>
    <m/>
    <n v="3"/>
    <n v="201208"/>
    <n v="60000"/>
  </r>
  <r>
    <x v="459"/>
    <x v="5"/>
    <m/>
    <x v="18"/>
    <x v="2"/>
    <x v="161"/>
    <m/>
    <m/>
    <m/>
    <n v="21"/>
    <n v="201208"/>
    <n v="63000"/>
  </r>
  <r>
    <x v="459"/>
    <x v="5"/>
    <m/>
    <x v="18"/>
    <x v="2"/>
    <x v="161"/>
    <m/>
    <m/>
    <m/>
    <n v="2"/>
    <n v="201208"/>
    <n v="6000"/>
  </r>
  <r>
    <x v="460"/>
    <x v="6"/>
    <m/>
    <x v="0"/>
    <x v="7"/>
    <x v="193"/>
    <m/>
    <m/>
    <m/>
    <n v="4"/>
    <n v="201208"/>
    <n v="72000"/>
  </r>
  <r>
    <x v="460"/>
    <x v="6"/>
    <m/>
    <x v="6"/>
    <x v="2"/>
    <x v="126"/>
    <m/>
    <m/>
    <m/>
    <n v="3"/>
    <n v="201208"/>
    <n v="60000"/>
  </r>
  <r>
    <x v="460"/>
    <x v="6"/>
    <m/>
    <x v="6"/>
    <x v="2"/>
    <x v="127"/>
    <m/>
    <m/>
    <m/>
    <n v="3"/>
    <n v="201208"/>
    <n v="105000"/>
  </r>
  <r>
    <x v="460"/>
    <x v="6"/>
    <m/>
    <x v="34"/>
    <x v="2"/>
    <x v="128"/>
    <m/>
    <m/>
    <m/>
    <n v="47"/>
    <n v="201208"/>
    <n v="1743700"/>
  </r>
  <r>
    <x v="460"/>
    <x v="6"/>
    <m/>
    <x v="0"/>
    <x v="2"/>
    <x v="130"/>
    <m/>
    <m/>
    <m/>
    <n v="32"/>
    <n v="201208"/>
    <n v="1056000"/>
  </r>
  <r>
    <x v="460"/>
    <x v="6"/>
    <m/>
    <x v="0"/>
    <x v="2"/>
    <x v="131"/>
    <m/>
    <m/>
    <m/>
    <n v="1"/>
    <n v="201208"/>
    <n v="33000"/>
  </r>
  <r>
    <x v="460"/>
    <x v="6"/>
    <m/>
    <x v="0"/>
    <x v="2"/>
    <x v="168"/>
    <m/>
    <m/>
    <m/>
    <n v="1"/>
    <n v="201208"/>
    <n v="20000"/>
  </r>
  <r>
    <x v="460"/>
    <x v="6"/>
    <m/>
    <x v="32"/>
    <x v="2"/>
    <x v="180"/>
    <m/>
    <m/>
    <m/>
    <n v="1"/>
    <n v="201208"/>
    <n v="37100"/>
  </r>
  <r>
    <x v="460"/>
    <x v="6"/>
    <m/>
    <x v="0"/>
    <x v="2"/>
    <x v="179"/>
    <m/>
    <m/>
    <m/>
    <n v="1"/>
    <n v="201208"/>
    <n v="3000"/>
  </r>
  <r>
    <x v="460"/>
    <x v="6"/>
    <m/>
    <x v="30"/>
    <x v="2"/>
    <x v="132"/>
    <m/>
    <m/>
    <m/>
    <n v="14"/>
    <n v="201208"/>
    <n v="313600"/>
  </r>
  <r>
    <x v="460"/>
    <x v="6"/>
    <m/>
    <x v="30"/>
    <x v="2"/>
    <x v="133"/>
    <m/>
    <m/>
    <m/>
    <n v="5"/>
    <n v="201208"/>
    <n v="196000"/>
  </r>
  <r>
    <x v="460"/>
    <x v="6"/>
    <m/>
    <x v="34"/>
    <x v="2"/>
    <x v="134"/>
    <m/>
    <m/>
    <m/>
    <n v="3"/>
    <n v="201208"/>
    <n v="111300"/>
  </r>
  <r>
    <x v="460"/>
    <x v="6"/>
    <m/>
    <x v="1"/>
    <x v="2"/>
    <x v="135"/>
    <m/>
    <m/>
    <m/>
    <n v="3"/>
    <n v="201208"/>
    <n v="60000"/>
  </r>
  <r>
    <x v="460"/>
    <x v="6"/>
    <m/>
    <x v="1"/>
    <x v="2"/>
    <x v="165"/>
    <m/>
    <m/>
    <m/>
    <n v="1"/>
    <n v="201208"/>
    <n v="35000"/>
  </r>
  <r>
    <x v="460"/>
    <x v="6"/>
    <m/>
    <x v="36"/>
    <x v="2"/>
    <x v="136"/>
    <m/>
    <m/>
    <m/>
    <n v="9"/>
    <n v="201208"/>
    <n v="252000"/>
  </r>
  <r>
    <x v="460"/>
    <x v="6"/>
    <m/>
    <x v="0"/>
    <x v="2"/>
    <x v="138"/>
    <m/>
    <m/>
    <m/>
    <n v="53"/>
    <n v="201208"/>
    <n v="1060000"/>
  </r>
  <r>
    <x v="460"/>
    <x v="6"/>
    <m/>
    <x v="0"/>
    <x v="2"/>
    <x v="139"/>
    <m/>
    <m/>
    <m/>
    <n v="30"/>
    <n v="201208"/>
    <n v="1050000"/>
  </r>
  <r>
    <x v="460"/>
    <x v="6"/>
    <m/>
    <x v="32"/>
    <x v="2"/>
    <x v="140"/>
    <m/>
    <m/>
    <m/>
    <n v="23"/>
    <n v="201208"/>
    <n v="853300"/>
  </r>
  <r>
    <x v="460"/>
    <x v="6"/>
    <m/>
    <x v="18"/>
    <x v="2"/>
    <x v="125"/>
    <m/>
    <m/>
    <m/>
    <n v="28"/>
    <n v="201208"/>
    <n v="84000"/>
  </r>
  <r>
    <x v="460"/>
    <x v="6"/>
    <m/>
    <x v="0"/>
    <x v="2"/>
    <x v="138"/>
    <m/>
    <m/>
    <m/>
    <n v="1"/>
    <n v="201208"/>
    <n v="20000"/>
  </r>
  <r>
    <x v="460"/>
    <x v="6"/>
    <m/>
    <x v="0"/>
    <x v="2"/>
    <x v="141"/>
    <m/>
    <m/>
    <m/>
    <n v="1"/>
    <n v="201208"/>
    <n v="33000"/>
  </r>
  <r>
    <x v="460"/>
    <x v="6"/>
    <m/>
    <x v="4"/>
    <x v="2"/>
    <x v="142"/>
    <m/>
    <m/>
    <m/>
    <n v="3"/>
    <n v="201208"/>
    <n v="12000"/>
  </r>
  <r>
    <x v="460"/>
    <x v="6"/>
    <m/>
    <x v="4"/>
    <x v="2"/>
    <x v="143"/>
    <m/>
    <m/>
    <m/>
    <n v="4"/>
    <n v="201208"/>
    <n v="80000"/>
  </r>
  <r>
    <x v="460"/>
    <x v="6"/>
    <m/>
    <x v="4"/>
    <x v="2"/>
    <x v="144"/>
    <m/>
    <m/>
    <m/>
    <n v="4"/>
    <n v="201208"/>
    <n v="16000"/>
  </r>
  <r>
    <x v="460"/>
    <x v="6"/>
    <m/>
    <x v="31"/>
    <x v="2"/>
    <x v="145"/>
    <m/>
    <m/>
    <m/>
    <n v="62"/>
    <n v="201208"/>
    <n v="1388800"/>
  </r>
  <r>
    <x v="460"/>
    <x v="6"/>
    <m/>
    <x v="31"/>
    <x v="2"/>
    <x v="146"/>
    <m/>
    <m/>
    <m/>
    <n v="78"/>
    <n v="201208"/>
    <n v="3057600"/>
  </r>
  <r>
    <x v="460"/>
    <x v="6"/>
    <m/>
    <x v="32"/>
    <x v="2"/>
    <x v="147"/>
    <m/>
    <m/>
    <m/>
    <n v="40"/>
    <n v="201208"/>
    <n v="1484000"/>
  </r>
  <r>
    <x v="460"/>
    <x v="6"/>
    <m/>
    <x v="0"/>
    <x v="2"/>
    <x v="149"/>
    <m/>
    <m/>
    <m/>
    <n v="1"/>
    <n v="201208"/>
    <n v="20000"/>
  </r>
  <r>
    <x v="460"/>
    <x v="6"/>
    <m/>
    <x v="31"/>
    <x v="2"/>
    <x v="189"/>
    <m/>
    <m/>
    <m/>
    <n v="10"/>
    <n v="201208"/>
    <n v="224000"/>
  </r>
  <r>
    <x v="460"/>
    <x v="6"/>
    <m/>
    <x v="31"/>
    <x v="2"/>
    <x v="184"/>
    <m/>
    <m/>
    <m/>
    <n v="21"/>
    <n v="201208"/>
    <n v="823200"/>
  </r>
  <r>
    <x v="460"/>
    <x v="6"/>
    <m/>
    <x v="32"/>
    <x v="2"/>
    <x v="185"/>
    <m/>
    <m/>
    <m/>
    <n v="8"/>
    <n v="201208"/>
    <n v="296800"/>
  </r>
  <r>
    <x v="460"/>
    <x v="6"/>
    <m/>
    <x v="31"/>
    <x v="2"/>
    <x v="186"/>
    <m/>
    <m/>
    <m/>
    <n v="158"/>
    <n v="201208"/>
    <n v="3539200"/>
  </r>
  <r>
    <x v="460"/>
    <x v="6"/>
    <m/>
    <x v="31"/>
    <x v="2"/>
    <x v="187"/>
    <m/>
    <m/>
    <m/>
    <n v="155"/>
    <n v="201208"/>
    <n v="6076000"/>
  </r>
  <r>
    <x v="460"/>
    <x v="6"/>
    <m/>
    <x v="32"/>
    <x v="2"/>
    <x v="188"/>
    <m/>
    <m/>
    <m/>
    <n v="69"/>
    <n v="201208"/>
    <n v="2559900"/>
  </r>
  <r>
    <x v="460"/>
    <x v="6"/>
    <m/>
    <x v="22"/>
    <x v="2"/>
    <x v="150"/>
    <m/>
    <m/>
    <m/>
    <n v="11"/>
    <n v="201208"/>
    <n v="418000"/>
  </r>
  <r>
    <x v="460"/>
    <x v="6"/>
    <m/>
    <x v="22"/>
    <x v="2"/>
    <x v="150"/>
    <m/>
    <m/>
    <m/>
    <n v="2"/>
    <n v="201208"/>
    <n v="76000"/>
  </r>
  <r>
    <x v="460"/>
    <x v="6"/>
    <m/>
    <x v="5"/>
    <x v="2"/>
    <x v="151"/>
    <m/>
    <m/>
    <m/>
    <n v="24"/>
    <n v="201208"/>
    <n v="672000"/>
  </r>
  <r>
    <x v="460"/>
    <x v="6"/>
    <m/>
    <x v="5"/>
    <x v="2"/>
    <x v="152"/>
    <m/>
    <m/>
    <m/>
    <n v="6"/>
    <n v="201208"/>
    <n v="288000"/>
  </r>
  <r>
    <x v="460"/>
    <x v="6"/>
    <m/>
    <x v="5"/>
    <x v="2"/>
    <x v="153"/>
    <m/>
    <m/>
    <m/>
    <n v="4"/>
    <n v="201208"/>
    <n v="112000"/>
  </r>
  <r>
    <x v="460"/>
    <x v="6"/>
    <m/>
    <x v="33"/>
    <x v="2"/>
    <x v="155"/>
    <m/>
    <m/>
    <m/>
    <n v="5"/>
    <n v="201208"/>
    <n v="91000"/>
  </r>
  <r>
    <x v="460"/>
    <x v="6"/>
    <m/>
    <x v="33"/>
    <x v="2"/>
    <x v="156"/>
    <m/>
    <m/>
    <m/>
    <n v="3"/>
    <n v="201208"/>
    <n v="101400"/>
  </r>
  <r>
    <x v="460"/>
    <x v="6"/>
    <m/>
    <x v="19"/>
    <x v="2"/>
    <x v="157"/>
    <m/>
    <m/>
    <m/>
    <n v="24"/>
    <n v="201208"/>
    <n v="312000"/>
  </r>
  <r>
    <x v="460"/>
    <x v="6"/>
    <m/>
    <x v="19"/>
    <x v="2"/>
    <x v="158"/>
    <m/>
    <m/>
    <m/>
    <n v="4"/>
    <n v="201208"/>
    <n v="96000"/>
  </r>
  <r>
    <x v="460"/>
    <x v="6"/>
    <m/>
    <x v="19"/>
    <x v="2"/>
    <x v="159"/>
    <m/>
    <m/>
    <m/>
    <n v="3"/>
    <n v="201208"/>
    <n v="99000"/>
  </r>
  <r>
    <x v="460"/>
    <x v="6"/>
    <m/>
    <x v="35"/>
    <x v="2"/>
    <x v="160"/>
    <m/>
    <m/>
    <m/>
    <n v="1"/>
    <n v="201208"/>
    <n v="20000"/>
  </r>
  <r>
    <x v="460"/>
    <x v="6"/>
    <m/>
    <x v="18"/>
    <x v="2"/>
    <x v="161"/>
    <m/>
    <m/>
    <m/>
    <n v="30"/>
    <n v="201208"/>
    <n v="90000"/>
  </r>
  <r>
    <x v="461"/>
    <x v="3"/>
    <m/>
    <x v="0"/>
    <x v="1"/>
    <x v="123"/>
    <m/>
    <m/>
    <m/>
    <n v="6"/>
    <n v="201208"/>
    <n v="210000"/>
  </r>
  <r>
    <x v="461"/>
    <x v="3"/>
    <m/>
    <x v="0"/>
    <x v="1"/>
    <x v="124"/>
    <m/>
    <m/>
    <m/>
    <n v="2"/>
    <n v="201208"/>
    <n v="40000"/>
  </r>
  <r>
    <x v="461"/>
    <x v="3"/>
    <m/>
    <x v="0"/>
    <x v="7"/>
    <x v="163"/>
    <m/>
    <m/>
    <m/>
    <n v="1"/>
    <n v="201208"/>
    <n v="20000"/>
  </r>
  <r>
    <x v="461"/>
    <x v="3"/>
    <m/>
    <x v="6"/>
    <x v="2"/>
    <x v="126"/>
    <m/>
    <m/>
    <m/>
    <n v="3"/>
    <n v="201208"/>
    <n v="60000"/>
  </r>
  <r>
    <x v="461"/>
    <x v="3"/>
    <m/>
    <x v="6"/>
    <x v="2"/>
    <x v="127"/>
    <m/>
    <m/>
    <m/>
    <n v="2"/>
    <n v="201208"/>
    <n v="70000"/>
  </r>
  <r>
    <x v="461"/>
    <x v="3"/>
    <m/>
    <x v="34"/>
    <x v="2"/>
    <x v="128"/>
    <m/>
    <m/>
    <m/>
    <n v="45"/>
    <n v="201208"/>
    <n v="1669500"/>
  </r>
  <r>
    <x v="461"/>
    <x v="3"/>
    <m/>
    <x v="25"/>
    <x v="2"/>
    <x v="129"/>
    <m/>
    <m/>
    <m/>
    <n v="4"/>
    <n v="201208"/>
    <n v="396000"/>
  </r>
  <r>
    <x v="461"/>
    <x v="3"/>
    <m/>
    <x v="0"/>
    <x v="2"/>
    <x v="130"/>
    <m/>
    <m/>
    <m/>
    <n v="51"/>
    <n v="201208"/>
    <n v="1683000"/>
  </r>
  <r>
    <x v="461"/>
    <x v="3"/>
    <m/>
    <x v="0"/>
    <x v="2"/>
    <x v="131"/>
    <m/>
    <m/>
    <m/>
    <n v="7"/>
    <n v="201208"/>
    <n v="231000"/>
  </r>
  <r>
    <x v="461"/>
    <x v="3"/>
    <m/>
    <x v="0"/>
    <x v="2"/>
    <x v="168"/>
    <m/>
    <m/>
    <m/>
    <n v="1"/>
    <n v="201208"/>
    <n v="20000"/>
  </r>
  <r>
    <x v="461"/>
    <x v="3"/>
    <m/>
    <x v="30"/>
    <x v="2"/>
    <x v="132"/>
    <m/>
    <m/>
    <m/>
    <n v="13"/>
    <n v="201208"/>
    <n v="291200"/>
  </r>
  <r>
    <x v="461"/>
    <x v="3"/>
    <m/>
    <x v="30"/>
    <x v="2"/>
    <x v="133"/>
    <m/>
    <m/>
    <m/>
    <n v="4"/>
    <n v="201208"/>
    <n v="156800"/>
  </r>
  <r>
    <x v="461"/>
    <x v="3"/>
    <m/>
    <x v="34"/>
    <x v="2"/>
    <x v="134"/>
    <m/>
    <m/>
    <m/>
    <n v="1"/>
    <n v="201208"/>
    <n v="37100"/>
  </r>
  <r>
    <x v="461"/>
    <x v="3"/>
    <m/>
    <x v="1"/>
    <x v="2"/>
    <x v="135"/>
    <m/>
    <m/>
    <m/>
    <n v="3"/>
    <n v="201208"/>
    <n v="60000"/>
  </r>
  <r>
    <x v="461"/>
    <x v="3"/>
    <m/>
    <x v="1"/>
    <x v="2"/>
    <x v="165"/>
    <m/>
    <m/>
    <m/>
    <n v="1"/>
    <n v="201208"/>
    <n v="35000"/>
  </r>
  <r>
    <x v="461"/>
    <x v="3"/>
    <m/>
    <x v="36"/>
    <x v="2"/>
    <x v="136"/>
    <m/>
    <m/>
    <m/>
    <n v="7"/>
    <n v="201208"/>
    <n v="196000"/>
  </r>
  <r>
    <x v="461"/>
    <x v="3"/>
    <m/>
    <x v="36"/>
    <x v="2"/>
    <x v="176"/>
    <m/>
    <m/>
    <m/>
    <n v="1"/>
    <n v="201208"/>
    <n v="49000"/>
  </r>
  <r>
    <x v="461"/>
    <x v="3"/>
    <m/>
    <x v="0"/>
    <x v="2"/>
    <x v="138"/>
    <m/>
    <m/>
    <m/>
    <n v="12"/>
    <n v="201208"/>
    <n v="240000"/>
  </r>
  <r>
    <x v="461"/>
    <x v="3"/>
    <m/>
    <x v="0"/>
    <x v="2"/>
    <x v="139"/>
    <m/>
    <m/>
    <m/>
    <n v="18"/>
    <n v="201208"/>
    <n v="630000"/>
  </r>
  <r>
    <x v="461"/>
    <x v="3"/>
    <m/>
    <x v="32"/>
    <x v="2"/>
    <x v="140"/>
    <m/>
    <m/>
    <m/>
    <n v="10"/>
    <n v="201208"/>
    <n v="371000"/>
  </r>
  <r>
    <x v="461"/>
    <x v="3"/>
    <m/>
    <x v="18"/>
    <x v="2"/>
    <x v="125"/>
    <m/>
    <m/>
    <m/>
    <n v="14"/>
    <n v="201208"/>
    <n v="42000"/>
  </r>
  <r>
    <x v="461"/>
    <x v="3"/>
    <m/>
    <x v="0"/>
    <x v="2"/>
    <x v="194"/>
    <m/>
    <m/>
    <m/>
    <n v="28"/>
    <n v="201208"/>
    <n v="560000"/>
  </r>
  <r>
    <x v="461"/>
    <x v="3"/>
    <m/>
    <x v="0"/>
    <x v="2"/>
    <x v="195"/>
    <m/>
    <m/>
    <m/>
    <n v="20"/>
    <n v="201208"/>
    <n v="700000"/>
  </r>
  <r>
    <x v="461"/>
    <x v="3"/>
    <m/>
    <x v="32"/>
    <x v="2"/>
    <x v="196"/>
    <m/>
    <m/>
    <m/>
    <n v="10"/>
    <n v="201208"/>
    <n v="371000"/>
  </r>
  <r>
    <x v="461"/>
    <x v="3"/>
    <m/>
    <x v="0"/>
    <x v="2"/>
    <x v="197"/>
    <m/>
    <m/>
    <m/>
    <n v="13"/>
    <n v="201208"/>
    <n v="39000"/>
  </r>
  <r>
    <x v="461"/>
    <x v="3"/>
    <m/>
    <x v="4"/>
    <x v="2"/>
    <x v="143"/>
    <m/>
    <m/>
    <m/>
    <n v="7"/>
    <n v="201208"/>
    <n v="140000"/>
  </r>
  <r>
    <x v="461"/>
    <x v="3"/>
    <m/>
    <x v="31"/>
    <x v="2"/>
    <x v="145"/>
    <m/>
    <m/>
    <m/>
    <n v="23"/>
    <n v="201208"/>
    <n v="515200"/>
  </r>
  <r>
    <x v="461"/>
    <x v="3"/>
    <m/>
    <x v="31"/>
    <x v="2"/>
    <x v="146"/>
    <m/>
    <m/>
    <m/>
    <n v="38"/>
    <n v="201208"/>
    <n v="1489600"/>
  </r>
  <r>
    <x v="461"/>
    <x v="3"/>
    <m/>
    <x v="32"/>
    <x v="2"/>
    <x v="147"/>
    <m/>
    <m/>
    <m/>
    <n v="17"/>
    <n v="201208"/>
    <n v="630700"/>
  </r>
  <r>
    <x v="461"/>
    <x v="3"/>
    <m/>
    <x v="31"/>
    <x v="2"/>
    <x v="198"/>
    <m/>
    <m/>
    <m/>
    <n v="34"/>
    <n v="201208"/>
    <n v="761600"/>
  </r>
  <r>
    <x v="461"/>
    <x v="3"/>
    <m/>
    <x v="31"/>
    <x v="2"/>
    <x v="199"/>
    <m/>
    <m/>
    <m/>
    <n v="50"/>
    <n v="201208"/>
    <n v="1960000"/>
  </r>
  <r>
    <x v="461"/>
    <x v="3"/>
    <m/>
    <x v="32"/>
    <x v="2"/>
    <x v="200"/>
    <m/>
    <m/>
    <m/>
    <n v="22"/>
    <n v="201208"/>
    <n v="816200"/>
  </r>
  <r>
    <x v="461"/>
    <x v="3"/>
    <m/>
    <x v="0"/>
    <x v="2"/>
    <x v="148"/>
    <m/>
    <m/>
    <m/>
    <n v="1"/>
    <n v="201208"/>
    <n v="20000"/>
  </r>
  <r>
    <x v="461"/>
    <x v="3"/>
    <m/>
    <x v="0"/>
    <x v="2"/>
    <x v="149"/>
    <m/>
    <m/>
    <m/>
    <n v="1"/>
    <n v="201208"/>
    <n v="20000"/>
  </r>
  <r>
    <x v="461"/>
    <x v="3"/>
    <m/>
    <x v="32"/>
    <x v="2"/>
    <x v="169"/>
    <m/>
    <m/>
    <m/>
    <n v="1"/>
    <n v="201208"/>
    <n v="37100"/>
  </r>
  <r>
    <x v="461"/>
    <x v="3"/>
    <m/>
    <x v="31"/>
    <x v="2"/>
    <x v="189"/>
    <m/>
    <m/>
    <m/>
    <n v="10"/>
    <n v="201208"/>
    <n v="224000"/>
  </r>
  <r>
    <x v="461"/>
    <x v="3"/>
    <m/>
    <x v="31"/>
    <x v="2"/>
    <x v="184"/>
    <m/>
    <m/>
    <m/>
    <n v="8"/>
    <n v="201208"/>
    <n v="313600"/>
  </r>
  <r>
    <x v="461"/>
    <x v="3"/>
    <m/>
    <x v="32"/>
    <x v="2"/>
    <x v="185"/>
    <m/>
    <m/>
    <m/>
    <n v="1"/>
    <n v="201208"/>
    <n v="37100"/>
  </r>
  <r>
    <x v="461"/>
    <x v="3"/>
    <m/>
    <x v="31"/>
    <x v="2"/>
    <x v="201"/>
    <m/>
    <m/>
    <m/>
    <n v="5"/>
    <n v="201208"/>
    <n v="112000"/>
  </r>
  <r>
    <x v="461"/>
    <x v="3"/>
    <m/>
    <x v="31"/>
    <x v="2"/>
    <x v="202"/>
    <m/>
    <m/>
    <m/>
    <n v="6"/>
    <n v="201208"/>
    <n v="235200"/>
  </r>
  <r>
    <x v="461"/>
    <x v="3"/>
    <m/>
    <x v="32"/>
    <x v="2"/>
    <x v="203"/>
    <m/>
    <m/>
    <m/>
    <n v="2"/>
    <n v="201208"/>
    <n v="74200"/>
  </r>
  <r>
    <x v="461"/>
    <x v="3"/>
    <m/>
    <x v="31"/>
    <x v="2"/>
    <x v="186"/>
    <m/>
    <m/>
    <m/>
    <n v="55"/>
    <n v="201208"/>
    <n v="1232000"/>
  </r>
  <r>
    <x v="461"/>
    <x v="3"/>
    <m/>
    <x v="31"/>
    <x v="2"/>
    <x v="187"/>
    <m/>
    <m/>
    <m/>
    <n v="54"/>
    <n v="201208"/>
    <n v="2116800"/>
  </r>
  <r>
    <x v="461"/>
    <x v="3"/>
    <m/>
    <x v="32"/>
    <x v="2"/>
    <x v="188"/>
    <m/>
    <m/>
    <m/>
    <n v="26"/>
    <n v="201208"/>
    <n v="964600"/>
  </r>
  <r>
    <x v="461"/>
    <x v="3"/>
    <m/>
    <x v="31"/>
    <x v="2"/>
    <x v="204"/>
    <m/>
    <m/>
    <m/>
    <n v="37"/>
    <n v="201208"/>
    <n v="828800"/>
  </r>
  <r>
    <x v="461"/>
    <x v="3"/>
    <m/>
    <x v="31"/>
    <x v="2"/>
    <x v="205"/>
    <m/>
    <m/>
    <m/>
    <n v="33"/>
    <n v="201208"/>
    <n v="1293600"/>
  </r>
  <r>
    <x v="461"/>
    <x v="3"/>
    <m/>
    <x v="32"/>
    <x v="2"/>
    <x v="206"/>
    <m/>
    <m/>
    <m/>
    <n v="24"/>
    <n v="201208"/>
    <n v="890400"/>
  </r>
  <r>
    <x v="461"/>
    <x v="3"/>
    <m/>
    <x v="22"/>
    <x v="2"/>
    <x v="150"/>
    <m/>
    <m/>
    <m/>
    <n v="9"/>
    <n v="201208"/>
    <n v="342000"/>
  </r>
  <r>
    <x v="461"/>
    <x v="3"/>
    <m/>
    <x v="22"/>
    <x v="2"/>
    <x v="150"/>
    <m/>
    <m/>
    <m/>
    <n v="2"/>
    <n v="201208"/>
    <n v="76000"/>
  </r>
  <r>
    <x v="461"/>
    <x v="3"/>
    <m/>
    <x v="5"/>
    <x v="2"/>
    <x v="151"/>
    <m/>
    <m/>
    <m/>
    <n v="34"/>
    <n v="201208"/>
    <n v="952000"/>
  </r>
  <r>
    <x v="461"/>
    <x v="3"/>
    <m/>
    <x v="5"/>
    <x v="2"/>
    <x v="152"/>
    <m/>
    <m/>
    <m/>
    <n v="12"/>
    <n v="201208"/>
    <n v="576000"/>
  </r>
  <r>
    <x v="461"/>
    <x v="3"/>
    <m/>
    <x v="5"/>
    <x v="2"/>
    <x v="153"/>
    <m/>
    <m/>
    <m/>
    <n v="8"/>
    <n v="201208"/>
    <n v="224000"/>
  </r>
  <r>
    <x v="461"/>
    <x v="3"/>
    <m/>
    <x v="33"/>
    <x v="2"/>
    <x v="155"/>
    <m/>
    <m/>
    <m/>
    <n v="5"/>
    <n v="201208"/>
    <n v="91000"/>
  </r>
  <r>
    <x v="461"/>
    <x v="3"/>
    <m/>
    <x v="33"/>
    <x v="2"/>
    <x v="156"/>
    <m/>
    <m/>
    <m/>
    <n v="2"/>
    <n v="201208"/>
    <n v="67600"/>
  </r>
  <r>
    <x v="461"/>
    <x v="3"/>
    <m/>
    <x v="19"/>
    <x v="2"/>
    <x v="157"/>
    <m/>
    <m/>
    <m/>
    <n v="29"/>
    <n v="201208"/>
    <n v="377000"/>
  </r>
  <r>
    <x v="461"/>
    <x v="3"/>
    <m/>
    <x v="19"/>
    <x v="2"/>
    <x v="158"/>
    <m/>
    <m/>
    <m/>
    <n v="4"/>
    <n v="201208"/>
    <n v="96000"/>
  </r>
  <r>
    <x v="461"/>
    <x v="3"/>
    <m/>
    <x v="19"/>
    <x v="2"/>
    <x v="159"/>
    <m/>
    <m/>
    <m/>
    <n v="1"/>
    <n v="201208"/>
    <n v="33000"/>
  </r>
  <r>
    <x v="461"/>
    <x v="3"/>
    <m/>
    <x v="19"/>
    <x v="2"/>
    <x v="181"/>
    <m/>
    <m/>
    <m/>
    <n v="2"/>
    <n v="201208"/>
    <n v="26000"/>
  </r>
  <r>
    <x v="461"/>
    <x v="3"/>
    <m/>
    <x v="35"/>
    <x v="2"/>
    <x v="170"/>
    <m/>
    <m/>
    <m/>
    <n v="3"/>
    <n v="201208"/>
    <n v="12000"/>
  </r>
  <r>
    <x v="461"/>
    <x v="3"/>
    <m/>
    <x v="35"/>
    <x v="2"/>
    <x v="160"/>
    <m/>
    <m/>
    <m/>
    <n v="3"/>
    <n v="201208"/>
    <n v="60000"/>
  </r>
  <r>
    <x v="461"/>
    <x v="3"/>
    <m/>
    <x v="4"/>
    <x v="2"/>
    <x v="207"/>
    <m/>
    <m/>
    <m/>
    <n v="1"/>
    <n v="201208"/>
    <n v="4000"/>
  </r>
  <r>
    <x v="461"/>
    <x v="3"/>
    <m/>
    <x v="4"/>
    <x v="2"/>
    <x v="208"/>
    <m/>
    <m/>
    <m/>
    <n v="1"/>
    <n v="201208"/>
    <n v="20000"/>
  </r>
  <r>
    <x v="461"/>
    <x v="3"/>
    <m/>
    <x v="18"/>
    <x v="2"/>
    <x v="161"/>
    <m/>
    <m/>
    <m/>
    <n v="40"/>
    <n v="201208"/>
    <n v="120000"/>
  </r>
  <r>
    <x v="461"/>
    <x v="3"/>
    <m/>
    <x v="18"/>
    <x v="2"/>
    <x v="161"/>
    <m/>
    <m/>
    <m/>
    <n v="2"/>
    <n v="201208"/>
    <n v="6000"/>
  </r>
  <r>
    <x v="462"/>
    <x v="4"/>
    <m/>
    <x v="0"/>
    <x v="1"/>
    <x v="123"/>
    <m/>
    <m/>
    <m/>
    <n v="3"/>
    <n v="201208"/>
    <n v="105000"/>
  </r>
  <r>
    <x v="462"/>
    <x v="4"/>
    <m/>
    <x v="0"/>
    <x v="1"/>
    <x v="124"/>
    <m/>
    <m/>
    <m/>
    <n v="3"/>
    <n v="201208"/>
    <n v="60000"/>
  </r>
  <r>
    <x v="462"/>
    <x v="4"/>
    <m/>
    <x v="0"/>
    <x v="5"/>
    <x v="164"/>
    <m/>
    <m/>
    <m/>
    <n v="60"/>
    <n v="201208"/>
    <n v="613620"/>
  </r>
  <r>
    <x v="462"/>
    <x v="4"/>
    <m/>
    <x v="0"/>
    <x v="7"/>
    <x v="163"/>
    <m/>
    <m/>
    <m/>
    <n v="2"/>
    <n v="201208"/>
    <n v="40000"/>
  </r>
  <r>
    <x v="462"/>
    <x v="4"/>
    <m/>
    <x v="0"/>
    <x v="3"/>
    <x v="164"/>
    <m/>
    <m/>
    <m/>
    <n v="3"/>
    <n v="201208"/>
    <n v="0"/>
  </r>
  <r>
    <x v="462"/>
    <x v="4"/>
    <m/>
    <x v="6"/>
    <x v="2"/>
    <x v="126"/>
    <m/>
    <m/>
    <m/>
    <n v="2"/>
    <n v="201208"/>
    <n v="40000"/>
  </r>
  <r>
    <x v="462"/>
    <x v="4"/>
    <m/>
    <x v="6"/>
    <x v="2"/>
    <x v="127"/>
    <m/>
    <m/>
    <m/>
    <n v="2"/>
    <n v="201208"/>
    <n v="70000"/>
  </r>
  <r>
    <x v="462"/>
    <x v="4"/>
    <m/>
    <x v="34"/>
    <x v="2"/>
    <x v="128"/>
    <m/>
    <m/>
    <m/>
    <n v="37"/>
    <n v="201208"/>
    <n v="1372700"/>
  </r>
  <r>
    <x v="462"/>
    <x v="4"/>
    <m/>
    <x v="25"/>
    <x v="2"/>
    <x v="129"/>
    <m/>
    <m/>
    <m/>
    <n v="4"/>
    <n v="201208"/>
    <n v="396000"/>
  </r>
  <r>
    <x v="462"/>
    <x v="4"/>
    <m/>
    <x v="0"/>
    <x v="2"/>
    <x v="130"/>
    <m/>
    <m/>
    <m/>
    <n v="24"/>
    <n v="201208"/>
    <n v="792000"/>
  </r>
  <r>
    <x v="462"/>
    <x v="4"/>
    <m/>
    <x v="0"/>
    <x v="2"/>
    <x v="131"/>
    <m/>
    <m/>
    <m/>
    <n v="4"/>
    <n v="201208"/>
    <n v="132000"/>
  </r>
  <r>
    <x v="462"/>
    <x v="4"/>
    <m/>
    <x v="30"/>
    <x v="2"/>
    <x v="132"/>
    <m/>
    <m/>
    <m/>
    <n v="9"/>
    <n v="201208"/>
    <n v="201600"/>
  </r>
  <r>
    <x v="462"/>
    <x v="4"/>
    <m/>
    <x v="30"/>
    <x v="2"/>
    <x v="133"/>
    <m/>
    <m/>
    <m/>
    <n v="4"/>
    <n v="201208"/>
    <n v="156800"/>
  </r>
  <r>
    <x v="462"/>
    <x v="4"/>
    <m/>
    <x v="34"/>
    <x v="2"/>
    <x v="134"/>
    <m/>
    <m/>
    <m/>
    <n v="2"/>
    <n v="201208"/>
    <n v="74200"/>
  </r>
  <r>
    <x v="462"/>
    <x v="4"/>
    <m/>
    <x v="1"/>
    <x v="2"/>
    <x v="135"/>
    <m/>
    <m/>
    <m/>
    <n v="4"/>
    <n v="201208"/>
    <n v="80000"/>
  </r>
  <r>
    <x v="462"/>
    <x v="4"/>
    <m/>
    <x v="1"/>
    <x v="2"/>
    <x v="165"/>
    <m/>
    <m/>
    <m/>
    <n v="2"/>
    <n v="201208"/>
    <n v="70000"/>
  </r>
  <r>
    <x v="462"/>
    <x v="4"/>
    <m/>
    <x v="36"/>
    <x v="2"/>
    <x v="136"/>
    <m/>
    <m/>
    <m/>
    <n v="5"/>
    <n v="201208"/>
    <n v="140000"/>
  </r>
  <r>
    <x v="462"/>
    <x v="4"/>
    <m/>
    <x v="36"/>
    <x v="2"/>
    <x v="137"/>
    <m/>
    <m/>
    <m/>
    <n v="3"/>
    <n v="201208"/>
    <n v="126000"/>
  </r>
  <r>
    <x v="462"/>
    <x v="4"/>
    <m/>
    <x v="0"/>
    <x v="2"/>
    <x v="138"/>
    <m/>
    <m/>
    <m/>
    <n v="1"/>
    <n v="201208"/>
    <n v="20000"/>
  </r>
  <r>
    <x v="462"/>
    <x v="4"/>
    <m/>
    <x v="0"/>
    <x v="2"/>
    <x v="139"/>
    <m/>
    <m/>
    <m/>
    <n v="1"/>
    <n v="201208"/>
    <n v="35000"/>
  </r>
  <r>
    <x v="462"/>
    <x v="4"/>
    <m/>
    <x v="32"/>
    <x v="2"/>
    <x v="140"/>
    <m/>
    <m/>
    <m/>
    <n v="1"/>
    <n v="201208"/>
    <n v="37100"/>
  </r>
  <r>
    <x v="462"/>
    <x v="4"/>
    <m/>
    <x v="18"/>
    <x v="2"/>
    <x v="125"/>
    <m/>
    <m/>
    <m/>
    <n v="1"/>
    <n v="201208"/>
    <n v="3000"/>
  </r>
  <r>
    <x v="462"/>
    <x v="4"/>
    <m/>
    <x v="0"/>
    <x v="2"/>
    <x v="138"/>
    <m/>
    <m/>
    <m/>
    <n v="1"/>
    <n v="201208"/>
    <n v="20000"/>
  </r>
  <r>
    <x v="462"/>
    <x v="4"/>
    <m/>
    <x v="0"/>
    <x v="2"/>
    <x v="139"/>
    <m/>
    <m/>
    <m/>
    <n v="1"/>
    <n v="201208"/>
    <n v="35000"/>
  </r>
  <r>
    <x v="462"/>
    <x v="4"/>
    <m/>
    <x v="0"/>
    <x v="2"/>
    <x v="194"/>
    <m/>
    <m/>
    <m/>
    <n v="63"/>
    <n v="201208"/>
    <n v="1260000"/>
  </r>
  <r>
    <x v="462"/>
    <x v="4"/>
    <m/>
    <x v="0"/>
    <x v="2"/>
    <x v="195"/>
    <m/>
    <m/>
    <m/>
    <n v="46"/>
    <n v="201208"/>
    <n v="1610000"/>
  </r>
  <r>
    <x v="462"/>
    <x v="4"/>
    <m/>
    <x v="32"/>
    <x v="2"/>
    <x v="196"/>
    <m/>
    <m/>
    <m/>
    <n v="32"/>
    <n v="201208"/>
    <n v="1187200"/>
  </r>
  <r>
    <x v="462"/>
    <x v="4"/>
    <m/>
    <x v="0"/>
    <x v="2"/>
    <x v="197"/>
    <m/>
    <m/>
    <m/>
    <n v="49"/>
    <n v="201208"/>
    <n v="147000"/>
  </r>
  <r>
    <x v="462"/>
    <x v="4"/>
    <m/>
    <x v="4"/>
    <x v="2"/>
    <x v="143"/>
    <m/>
    <m/>
    <m/>
    <n v="4"/>
    <n v="201208"/>
    <n v="80000"/>
  </r>
  <r>
    <x v="462"/>
    <x v="4"/>
    <m/>
    <x v="4"/>
    <x v="2"/>
    <x v="144"/>
    <m/>
    <m/>
    <m/>
    <n v="6"/>
    <n v="201208"/>
    <n v="24000"/>
  </r>
  <r>
    <x v="462"/>
    <x v="4"/>
    <m/>
    <x v="31"/>
    <x v="2"/>
    <x v="146"/>
    <m/>
    <m/>
    <m/>
    <n v="1"/>
    <n v="201208"/>
    <n v="39200"/>
  </r>
  <r>
    <x v="462"/>
    <x v="4"/>
    <m/>
    <x v="31"/>
    <x v="2"/>
    <x v="198"/>
    <m/>
    <m/>
    <m/>
    <n v="35"/>
    <n v="201208"/>
    <n v="784000"/>
  </r>
  <r>
    <x v="462"/>
    <x v="4"/>
    <m/>
    <x v="31"/>
    <x v="2"/>
    <x v="199"/>
    <m/>
    <m/>
    <m/>
    <n v="55"/>
    <n v="201208"/>
    <n v="2156000"/>
  </r>
  <r>
    <x v="462"/>
    <x v="4"/>
    <m/>
    <x v="32"/>
    <x v="2"/>
    <x v="200"/>
    <m/>
    <m/>
    <m/>
    <n v="28"/>
    <n v="201208"/>
    <n v="1038800"/>
  </r>
  <r>
    <x v="462"/>
    <x v="4"/>
    <m/>
    <x v="0"/>
    <x v="2"/>
    <x v="148"/>
    <m/>
    <m/>
    <m/>
    <n v="1"/>
    <n v="201208"/>
    <n v="20000"/>
  </r>
  <r>
    <x v="462"/>
    <x v="4"/>
    <m/>
    <x v="0"/>
    <x v="2"/>
    <x v="149"/>
    <m/>
    <m/>
    <m/>
    <n v="1"/>
    <n v="201208"/>
    <n v="20000"/>
  </r>
  <r>
    <x v="462"/>
    <x v="4"/>
    <m/>
    <x v="0"/>
    <x v="2"/>
    <x v="174"/>
    <m/>
    <m/>
    <m/>
    <n v="2"/>
    <n v="201208"/>
    <n v="70000"/>
  </r>
  <r>
    <x v="462"/>
    <x v="4"/>
    <m/>
    <x v="31"/>
    <x v="2"/>
    <x v="201"/>
    <m/>
    <m/>
    <m/>
    <n v="13"/>
    <n v="201208"/>
    <n v="291200"/>
  </r>
  <r>
    <x v="462"/>
    <x v="4"/>
    <m/>
    <x v="31"/>
    <x v="2"/>
    <x v="202"/>
    <m/>
    <m/>
    <m/>
    <n v="1"/>
    <n v="201208"/>
    <n v="39200"/>
  </r>
  <r>
    <x v="462"/>
    <x v="4"/>
    <m/>
    <x v="32"/>
    <x v="2"/>
    <x v="203"/>
    <m/>
    <m/>
    <m/>
    <n v="5"/>
    <n v="201208"/>
    <n v="185500"/>
  </r>
  <r>
    <x v="462"/>
    <x v="4"/>
    <m/>
    <x v="31"/>
    <x v="2"/>
    <x v="186"/>
    <m/>
    <m/>
    <m/>
    <n v="2"/>
    <n v="201208"/>
    <n v="44800"/>
  </r>
  <r>
    <x v="462"/>
    <x v="4"/>
    <m/>
    <x v="31"/>
    <x v="2"/>
    <x v="187"/>
    <m/>
    <m/>
    <m/>
    <n v="1"/>
    <n v="201208"/>
    <n v="39200"/>
  </r>
  <r>
    <x v="462"/>
    <x v="4"/>
    <m/>
    <x v="32"/>
    <x v="2"/>
    <x v="188"/>
    <m/>
    <m/>
    <m/>
    <n v="1"/>
    <n v="201208"/>
    <n v="37100"/>
  </r>
  <r>
    <x v="462"/>
    <x v="4"/>
    <m/>
    <x v="31"/>
    <x v="2"/>
    <x v="204"/>
    <m/>
    <m/>
    <m/>
    <n v="33"/>
    <n v="201208"/>
    <n v="739200"/>
  </r>
  <r>
    <x v="462"/>
    <x v="4"/>
    <m/>
    <x v="31"/>
    <x v="2"/>
    <x v="205"/>
    <m/>
    <m/>
    <m/>
    <n v="21"/>
    <n v="201208"/>
    <n v="823200"/>
  </r>
  <r>
    <x v="462"/>
    <x v="4"/>
    <m/>
    <x v="32"/>
    <x v="2"/>
    <x v="206"/>
    <m/>
    <m/>
    <m/>
    <n v="27"/>
    <n v="201208"/>
    <n v="1001700"/>
  </r>
  <r>
    <x v="462"/>
    <x v="4"/>
    <m/>
    <x v="22"/>
    <x v="2"/>
    <x v="150"/>
    <m/>
    <m/>
    <m/>
    <n v="10"/>
    <n v="201208"/>
    <n v="380000"/>
  </r>
  <r>
    <x v="462"/>
    <x v="4"/>
    <m/>
    <x v="22"/>
    <x v="2"/>
    <x v="150"/>
    <m/>
    <m/>
    <m/>
    <n v="2"/>
    <n v="201208"/>
    <n v="76000"/>
  </r>
  <r>
    <x v="462"/>
    <x v="4"/>
    <m/>
    <x v="5"/>
    <x v="2"/>
    <x v="151"/>
    <m/>
    <m/>
    <m/>
    <n v="14"/>
    <n v="201208"/>
    <n v="392000"/>
  </r>
  <r>
    <x v="462"/>
    <x v="4"/>
    <m/>
    <x v="5"/>
    <x v="2"/>
    <x v="152"/>
    <m/>
    <m/>
    <m/>
    <n v="8"/>
    <n v="201208"/>
    <n v="384000"/>
  </r>
  <r>
    <x v="462"/>
    <x v="4"/>
    <m/>
    <x v="5"/>
    <x v="2"/>
    <x v="153"/>
    <m/>
    <m/>
    <m/>
    <n v="3"/>
    <n v="201208"/>
    <n v="84000"/>
  </r>
  <r>
    <x v="462"/>
    <x v="4"/>
    <m/>
    <x v="5"/>
    <x v="2"/>
    <x v="209"/>
    <m/>
    <m/>
    <m/>
    <n v="1"/>
    <n v="201208"/>
    <n v="48000"/>
  </r>
  <r>
    <x v="462"/>
    <x v="4"/>
    <m/>
    <x v="33"/>
    <x v="2"/>
    <x v="155"/>
    <m/>
    <m/>
    <m/>
    <n v="3"/>
    <n v="201208"/>
    <n v="54600"/>
  </r>
  <r>
    <x v="462"/>
    <x v="4"/>
    <m/>
    <x v="33"/>
    <x v="2"/>
    <x v="156"/>
    <m/>
    <m/>
    <m/>
    <n v="3"/>
    <n v="201208"/>
    <n v="101400"/>
  </r>
  <r>
    <x v="462"/>
    <x v="4"/>
    <m/>
    <x v="19"/>
    <x v="2"/>
    <x v="157"/>
    <m/>
    <m/>
    <m/>
    <n v="17"/>
    <n v="201208"/>
    <n v="221000"/>
  </r>
  <r>
    <x v="462"/>
    <x v="4"/>
    <m/>
    <x v="19"/>
    <x v="2"/>
    <x v="158"/>
    <m/>
    <m/>
    <m/>
    <n v="4"/>
    <n v="201208"/>
    <n v="96000"/>
  </r>
  <r>
    <x v="462"/>
    <x v="4"/>
    <m/>
    <x v="19"/>
    <x v="2"/>
    <x v="159"/>
    <m/>
    <m/>
    <m/>
    <n v="5"/>
    <n v="201208"/>
    <n v="165000"/>
  </r>
  <r>
    <x v="462"/>
    <x v="4"/>
    <m/>
    <x v="35"/>
    <x v="2"/>
    <x v="170"/>
    <m/>
    <m/>
    <m/>
    <n v="1"/>
    <n v="201208"/>
    <n v="4000"/>
  </r>
  <r>
    <x v="462"/>
    <x v="4"/>
    <m/>
    <x v="35"/>
    <x v="2"/>
    <x v="160"/>
    <m/>
    <m/>
    <m/>
    <n v="6"/>
    <n v="201208"/>
    <n v="120000"/>
  </r>
  <r>
    <x v="462"/>
    <x v="4"/>
    <m/>
    <x v="4"/>
    <x v="2"/>
    <x v="208"/>
    <m/>
    <m/>
    <m/>
    <n v="1"/>
    <n v="201208"/>
    <n v="20000"/>
  </r>
  <r>
    <x v="462"/>
    <x v="4"/>
    <m/>
    <x v="18"/>
    <x v="2"/>
    <x v="161"/>
    <m/>
    <m/>
    <m/>
    <n v="30"/>
    <n v="201208"/>
    <n v="90000"/>
  </r>
  <r>
    <x v="462"/>
    <x v="4"/>
    <m/>
    <x v="31"/>
    <x v="9"/>
    <x v="210"/>
    <m/>
    <m/>
    <m/>
    <n v="1"/>
    <n v="201208"/>
    <n v="22400"/>
  </r>
  <r>
    <x v="463"/>
    <x v="1"/>
    <m/>
    <x v="0"/>
    <x v="1"/>
    <x v="123"/>
    <m/>
    <m/>
    <m/>
    <n v="6"/>
    <n v="201208"/>
    <n v="210000"/>
  </r>
  <r>
    <x v="463"/>
    <x v="1"/>
    <m/>
    <x v="0"/>
    <x v="1"/>
    <x v="124"/>
    <m/>
    <m/>
    <m/>
    <n v="2"/>
    <n v="201208"/>
    <n v="40000"/>
  </r>
  <r>
    <x v="463"/>
    <x v="1"/>
    <m/>
    <x v="0"/>
    <x v="7"/>
    <x v="163"/>
    <m/>
    <m/>
    <m/>
    <n v="3"/>
    <n v="201208"/>
    <n v="60000"/>
  </r>
  <r>
    <x v="463"/>
    <x v="1"/>
    <m/>
    <x v="6"/>
    <x v="2"/>
    <x v="126"/>
    <m/>
    <m/>
    <m/>
    <n v="3"/>
    <n v="201208"/>
    <n v="60000"/>
  </r>
  <r>
    <x v="463"/>
    <x v="1"/>
    <m/>
    <x v="34"/>
    <x v="2"/>
    <x v="128"/>
    <m/>
    <m/>
    <m/>
    <n v="44"/>
    <n v="201208"/>
    <n v="1632400"/>
  </r>
  <r>
    <x v="463"/>
    <x v="1"/>
    <m/>
    <x v="25"/>
    <x v="2"/>
    <x v="129"/>
    <m/>
    <m/>
    <m/>
    <n v="2"/>
    <n v="201208"/>
    <n v="198000"/>
  </r>
  <r>
    <x v="463"/>
    <x v="1"/>
    <m/>
    <x v="0"/>
    <x v="2"/>
    <x v="130"/>
    <m/>
    <m/>
    <m/>
    <n v="27"/>
    <n v="201208"/>
    <n v="891000"/>
  </r>
  <r>
    <x v="463"/>
    <x v="1"/>
    <m/>
    <x v="0"/>
    <x v="2"/>
    <x v="131"/>
    <m/>
    <m/>
    <m/>
    <n v="4"/>
    <n v="201208"/>
    <n v="132000"/>
  </r>
  <r>
    <x v="463"/>
    <x v="1"/>
    <m/>
    <x v="30"/>
    <x v="2"/>
    <x v="132"/>
    <m/>
    <m/>
    <m/>
    <n v="12"/>
    <n v="201208"/>
    <n v="268800"/>
  </r>
  <r>
    <x v="463"/>
    <x v="1"/>
    <m/>
    <x v="34"/>
    <x v="2"/>
    <x v="134"/>
    <m/>
    <m/>
    <m/>
    <n v="5"/>
    <n v="201208"/>
    <n v="185500"/>
  </r>
  <r>
    <x v="463"/>
    <x v="1"/>
    <m/>
    <x v="1"/>
    <x v="2"/>
    <x v="135"/>
    <m/>
    <m/>
    <m/>
    <n v="2"/>
    <n v="201208"/>
    <n v="40000"/>
  </r>
  <r>
    <x v="463"/>
    <x v="1"/>
    <m/>
    <x v="36"/>
    <x v="2"/>
    <x v="136"/>
    <m/>
    <m/>
    <m/>
    <n v="6"/>
    <n v="201208"/>
    <n v="168000"/>
  </r>
  <r>
    <x v="463"/>
    <x v="1"/>
    <m/>
    <x v="36"/>
    <x v="2"/>
    <x v="176"/>
    <m/>
    <m/>
    <m/>
    <n v="1"/>
    <n v="201208"/>
    <n v="49000"/>
  </r>
  <r>
    <x v="463"/>
    <x v="1"/>
    <m/>
    <x v="0"/>
    <x v="2"/>
    <x v="138"/>
    <m/>
    <m/>
    <m/>
    <n v="1"/>
    <n v="201208"/>
    <n v="20000"/>
  </r>
  <r>
    <x v="463"/>
    <x v="1"/>
    <m/>
    <x v="18"/>
    <x v="2"/>
    <x v="125"/>
    <m/>
    <m/>
    <m/>
    <n v="1"/>
    <n v="201208"/>
    <n v="3000"/>
  </r>
  <r>
    <x v="463"/>
    <x v="1"/>
    <m/>
    <x v="0"/>
    <x v="2"/>
    <x v="194"/>
    <m/>
    <m/>
    <m/>
    <n v="85"/>
    <n v="201208"/>
    <n v="1700000"/>
  </r>
  <r>
    <x v="463"/>
    <x v="1"/>
    <m/>
    <x v="0"/>
    <x v="2"/>
    <x v="195"/>
    <m/>
    <m/>
    <m/>
    <n v="57"/>
    <n v="201208"/>
    <n v="1995000"/>
  </r>
  <r>
    <x v="463"/>
    <x v="1"/>
    <m/>
    <x v="32"/>
    <x v="2"/>
    <x v="196"/>
    <m/>
    <m/>
    <m/>
    <n v="28"/>
    <n v="201208"/>
    <n v="1038800"/>
  </r>
  <r>
    <x v="463"/>
    <x v="1"/>
    <m/>
    <x v="0"/>
    <x v="2"/>
    <x v="197"/>
    <m/>
    <m/>
    <m/>
    <n v="66"/>
    <n v="201208"/>
    <n v="198000"/>
  </r>
  <r>
    <x v="463"/>
    <x v="1"/>
    <m/>
    <x v="4"/>
    <x v="2"/>
    <x v="143"/>
    <m/>
    <m/>
    <m/>
    <n v="7"/>
    <n v="201208"/>
    <n v="140000"/>
  </r>
  <r>
    <x v="463"/>
    <x v="1"/>
    <m/>
    <x v="4"/>
    <x v="2"/>
    <x v="144"/>
    <m/>
    <m/>
    <m/>
    <n v="3"/>
    <n v="201208"/>
    <n v="12000"/>
  </r>
  <r>
    <x v="463"/>
    <x v="1"/>
    <m/>
    <x v="31"/>
    <x v="2"/>
    <x v="145"/>
    <m/>
    <m/>
    <m/>
    <n v="1"/>
    <n v="201208"/>
    <n v="22400"/>
  </r>
  <r>
    <x v="463"/>
    <x v="1"/>
    <m/>
    <x v="31"/>
    <x v="2"/>
    <x v="198"/>
    <m/>
    <m/>
    <m/>
    <n v="37"/>
    <n v="201208"/>
    <n v="828800"/>
  </r>
  <r>
    <x v="463"/>
    <x v="1"/>
    <m/>
    <x v="31"/>
    <x v="2"/>
    <x v="199"/>
    <m/>
    <m/>
    <m/>
    <n v="70"/>
    <n v="201208"/>
    <n v="2744000"/>
  </r>
  <r>
    <x v="463"/>
    <x v="1"/>
    <m/>
    <x v="32"/>
    <x v="2"/>
    <x v="200"/>
    <m/>
    <m/>
    <m/>
    <n v="48"/>
    <n v="201208"/>
    <n v="1780800"/>
  </r>
  <r>
    <x v="463"/>
    <x v="1"/>
    <m/>
    <x v="0"/>
    <x v="2"/>
    <x v="148"/>
    <m/>
    <m/>
    <m/>
    <n v="1"/>
    <n v="201208"/>
    <n v="20000"/>
  </r>
  <r>
    <x v="463"/>
    <x v="1"/>
    <m/>
    <x v="0"/>
    <x v="2"/>
    <x v="149"/>
    <m/>
    <m/>
    <m/>
    <n v="1"/>
    <n v="201208"/>
    <n v="20000"/>
  </r>
  <r>
    <x v="463"/>
    <x v="1"/>
    <m/>
    <x v="31"/>
    <x v="2"/>
    <x v="201"/>
    <m/>
    <m/>
    <m/>
    <n v="11"/>
    <n v="201208"/>
    <n v="246400"/>
  </r>
  <r>
    <x v="463"/>
    <x v="1"/>
    <m/>
    <x v="31"/>
    <x v="2"/>
    <x v="202"/>
    <m/>
    <m/>
    <m/>
    <n v="9"/>
    <n v="201208"/>
    <n v="352800"/>
  </r>
  <r>
    <x v="463"/>
    <x v="1"/>
    <m/>
    <x v="32"/>
    <x v="2"/>
    <x v="203"/>
    <m/>
    <m/>
    <m/>
    <n v="4"/>
    <n v="201208"/>
    <n v="148400"/>
  </r>
  <r>
    <x v="463"/>
    <x v="1"/>
    <m/>
    <x v="31"/>
    <x v="2"/>
    <x v="186"/>
    <m/>
    <m/>
    <m/>
    <n v="1"/>
    <n v="201208"/>
    <n v="22400"/>
  </r>
  <r>
    <x v="463"/>
    <x v="1"/>
    <m/>
    <x v="31"/>
    <x v="2"/>
    <x v="187"/>
    <m/>
    <m/>
    <m/>
    <n v="1"/>
    <n v="201208"/>
    <n v="39200"/>
  </r>
  <r>
    <x v="463"/>
    <x v="1"/>
    <m/>
    <x v="31"/>
    <x v="2"/>
    <x v="204"/>
    <m/>
    <m/>
    <m/>
    <n v="17"/>
    <n v="201208"/>
    <n v="380800"/>
  </r>
  <r>
    <x v="463"/>
    <x v="1"/>
    <m/>
    <x v="31"/>
    <x v="2"/>
    <x v="205"/>
    <m/>
    <m/>
    <m/>
    <n v="22"/>
    <n v="201208"/>
    <n v="862400"/>
  </r>
  <r>
    <x v="463"/>
    <x v="1"/>
    <m/>
    <x v="32"/>
    <x v="2"/>
    <x v="206"/>
    <m/>
    <m/>
    <m/>
    <n v="9"/>
    <n v="201208"/>
    <n v="333900"/>
  </r>
  <r>
    <x v="463"/>
    <x v="1"/>
    <m/>
    <x v="22"/>
    <x v="2"/>
    <x v="150"/>
    <m/>
    <m/>
    <m/>
    <n v="13"/>
    <n v="201208"/>
    <n v="494000"/>
  </r>
  <r>
    <x v="463"/>
    <x v="1"/>
    <m/>
    <x v="22"/>
    <x v="2"/>
    <x v="150"/>
    <m/>
    <m/>
    <m/>
    <n v="5"/>
    <n v="201208"/>
    <n v="190000"/>
  </r>
  <r>
    <x v="463"/>
    <x v="1"/>
    <m/>
    <x v="5"/>
    <x v="2"/>
    <x v="151"/>
    <m/>
    <m/>
    <m/>
    <n v="12"/>
    <n v="201208"/>
    <n v="336000"/>
  </r>
  <r>
    <x v="463"/>
    <x v="1"/>
    <m/>
    <x v="5"/>
    <x v="2"/>
    <x v="152"/>
    <m/>
    <m/>
    <m/>
    <n v="4"/>
    <n v="201208"/>
    <n v="192000"/>
  </r>
  <r>
    <x v="463"/>
    <x v="1"/>
    <m/>
    <x v="5"/>
    <x v="2"/>
    <x v="153"/>
    <m/>
    <m/>
    <m/>
    <n v="4"/>
    <n v="201208"/>
    <n v="112000"/>
  </r>
  <r>
    <x v="463"/>
    <x v="1"/>
    <m/>
    <x v="33"/>
    <x v="2"/>
    <x v="155"/>
    <m/>
    <m/>
    <m/>
    <n v="4"/>
    <n v="201208"/>
    <n v="72800"/>
  </r>
  <r>
    <x v="463"/>
    <x v="1"/>
    <m/>
    <x v="19"/>
    <x v="2"/>
    <x v="157"/>
    <m/>
    <m/>
    <m/>
    <n v="12"/>
    <n v="201208"/>
    <n v="156000"/>
  </r>
  <r>
    <x v="463"/>
    <x v="1"/>
    <m/>
    <x v="19"/>
    <x v="2"/>
    <x v="158"/>
    <m/>
    <m/>
    <m/>
    <n v="2"/>
    <n v="201208"/>
    <n v="48000"/>
  </r>
  <r>
    <x v="463"/>
    <x v="1"/>
    <m/>
    <x v="19"/>
    <x v="2"/>
    <x v="159"/>
    <m/>
    <m/>
    <m/>
    <n v="4"/>
    <n v="201208"/>
    <n v="132000"/>
  </r>
  <r>
    <x v="463"/>
    <x v="1"/>
    <m/>
    <x v="4"/>
    <x v="2"/>
    <x v="208"/>
    <m/>
    <m/>
    <m/>
    <n v="5"/>
    <n v="201208"/>
    <n v="100000"/>
  </r>
  <r>
    <x v="463"/>
    <x v="1"/>
    <m/>
    <x v="18"/>
    <x v="2"/>
    <x v="161"/>
    <m/>
    <m/>
    <m/>
    <n v="26"/>
    <n v="201208"/>
    <n v="78000"/>
  </r>
  <r>
    <x v="463"/>
    <x v="1"/>
    <m/>
    <x v="18"/>
    <x v="2"/>
    <x v="161"/>
    <m/>
    <m/>
    <m/>
    <n v="1"/>
    <n v="201208"/>
    <n v="3000"/>
  </r>
  <r>
    <x v="464"/>
    <x v="0"/>
    <m/>
    <x v="0"/>
    <x v="1"/>
    <x v="123"/>
    <m/>
    <m/>
    <m/>
    <n v="3"/>
    <n v="201208"/>
    <n v="105000"/>
  </r>
  <r>
    <x v="464"/>
    <x v="0"/>
    <m/>
    <x v="4"/>
    <x v="5"/>
    <x v="191"/>
    <m/>
    <m/>
    <m/>
    <n v="2"/>
    <n v="201208"/>
    <n v="32728"/>
  </r>
  <r>
    <x v="464"/>
    <x v="0"/>
    <m/>
    <x v="5"/>
    <x v="5"/>
    <x v="182"/>
    <m/>
    <m/>
    <m/>
    <n v="3"/>
    <n v="201208"/>
    <n v="84000"/>
  </r>
  <r>
    <x v="464"/>
    <x v="0"/>
    <m/>
    <x v="0"/>
    <x v="7"/>
    <x v="163"/>
    <m/>
    <m/>
    <m/>
    <n v="1"/>
    <n v="201208"/>
    <n v="20000"/>
  </r>
  <r>
    <x v="464"/>
    <x v="0"/>
    <m/>
    <x v="0"/>
    <x v="3"/>
    <x v="164"/>
    <m/>
    <m/>
    <m/>
    <n v="2"/>
    <n v="201208"/>
    <n v="0"/>
  </r>
  <r>
    <x v="464"/>
    <x v="0"/>
    <m/>
    <x v="6"/>
    <x v="2"/>
    <x v="126"/>
    <m/>
    <m/>
    <m/>
    <n v="3"/>
    <n v="201208"/>
    <n v="60000"/>
  </r>
  <r>
    <x v="464"/>
    <x v="0"/>
    <m/>
    <x v="6"/>
    <x v="2"/>
    <x v="127"/>
    <m/>
    <m/>
    <m/>
    <n v="1"/>
    <n v="201208"/>
    <n v="35000"/>
  </r>
  <r>
    <x v="464"/>
    <x v="0"/>
    <m/>
    <x v="34"/>
    <x v="2"/>
    <x v="128"/>
    <m/>
    <m/>
    <m/>
    <n v="41"/>
    <n v="201208"/>
    <n v="1521100"/>
  </r>
  <r>
    <x v="464"/>
    <x v="0"/>
    <m/>
    <x v="25"/>
    <x v="2"/>
    <x v="129"/>
    <m/>
    <m/>
    <m/>
    <n v="6"/>
    <n v="201208"/>
    <n v="594000"/>
  </r>
  <r>
    <x v="464"/>
    <x v="0"/>
    <m/>
    <x v="0"/>
    <x v="2"/>
    <x v="130"/>
    <m/>
    <m/>
    <m/>
    <n v="37"/>
    <n v="201208"/>
    <n v="1221000"/>
  </r>
  <r>
    <x v="464"/>
    <x v="0"/>
    <m/>
    <x v="0"/>
    <x v="2"/>
    <x v="131"/>
    <m/>
    <m/>
    <m/>
    <n v="1"/>
    <n v="201208"/>
    <n v="33000"/>
  </r>
  <r>
    <x v="464"/>
    <x v="0"/>
    <m/>
    <x v="30"/>
    <x v="2"/>
    <x v="132"/>
    <m/>
    <m/>
    <m/>
    <n v="10"/>
    <n v="201208"/>
    <n v="224000"/>
  </r>
  <r>
    <x v="464"/>
    <x v="0"/>
    <m/>
    <x v="30"/>
    <x v="2"/>
    <x v="133"/>
    <m/>
    <m/>
    <m/>
    <n v="3"/>
    <n v="201208"/>
    <n v="117600"/>
  </r>
  <r>
    <x v="464"/>
    <x v="0"/>
    <m/>
    <x v="34"/>
    <x v="2"/>
    <x v="134"/>
    <m/>
    <m/>
    <m/>
    <n v="3"/>
    <n v="201208"/>
    <n v="111300"/>
  </r>
  <r>
    <x v="464"/>
    <x v="0"/>
    <m/>
    <x v="1"/>
    <x v="2"/>
    <x v="135"/>
    <m/>
    <m/>
    <m/>
    <n v="3"/>
    <n v="201208"/>
    <n v="60000"/>
  </r>
  <r>
    <x v="464"/>
    <x v="0"/>
    <m/>
    <x v="1"/>
    <x v="2"/>
    <x v="165"/>
    <m/>
    <m/>
    <m/>
    <n v="2"/>
    <n v="201208"/>
    <n v="70000"/>
  </r>
  <r>
    <x v="464"/>
    <x v="0"/>
    <m/>
    <x v="36"/>
    <x v="2"/>
    <x v="136"/>
    <m/>
    <m/>
    <m/>
    <n v="3"/>
    <n v="201208"/>
    <n v="84000"/>
  </r>
  <r>
    <x v="464"/>
    <x v="0"/>
    <m/>
    <x v="36"/>
    <x v="2"/>
    <x v="176"/>
    <m/>
    <m/>
    <m/>
    <n v="2"/>
    <n v="201208"/>
    <n v="98000"/>
  </r>
  <r>
    <x v="464"/>
    <x v="0"/>
    <m/>
    <x v="36"/>
    <x v="2"/>
    <x v="137"/>
    <m/>
    <m/>
    <m/>
    <n v="1"/>
    <n v="201208"/>
    <n v="42000"/>
  </r>
  <r>
    <x v="464"/>
    <x v="0"/>
    <m/>
    <x v="0"/>
    <x v="2"/>
    <x v="194"/>
    <m/>
    <m/>
    <m/>
    <n v="63"/>
    <n v="201208"/>
    <n v="1260000"/>
  </r>
  <r>
    <x v="464"/>
    <x v="0"/>
    <m/>
    <x v="0"/>
    <x v="2"/>
    <x v="195"/>
    <m/>
    <m/>
    <m/>
    <n v="51"/>
    <n v="201208"/>
    <n v="1785000"/>
  </r>
  <r>
    <x v="464"/>
    <x v="0"/>
    <m/>
    <x v="32"/>
    <x v="2"/>
    <x v="196"/>
    <m/>
    <m/>
    <m/>
    <n v="39"/>
    <n v="201208"/>
    <n v="1446900"/>
  </r>
  <r>
    <x v="464"/>
    <x v="0"/>
    <m/>
    <x v="0"/>
    <x v="2"/>
    <x v="197"/>
    <m/>
    <m/>
    <m/>
    <n v="56"/>
    <n v="201208"/>
    <n v="168000"/>
  </r>
  <r>
    <x v="464"/>
    <x v="0"/>
    <m/>
    <x v="4"/>
    <x v="2"/>
    <x v="143"/>
    <m/>
    <m/>
    <m/>
    <n v="6"/>
    <n v="201208"/>
    <n v="120000"/>
  </r>
  <r>
    <x v="464"/>
    <x v="0"/>
    <m/>
    <x v="4"/>
    <x v="2"/>
    <x v="144"/>
    <m/>
    <m/>
    <m/>
    <n v="5"/>
    <n v="201208"/>
    <n v="20000"/>
  </r>
  <r>
    <x v="464"/>
    <x v="0"/>
    <m/>
    <x v="31"/>
    <x v="2"/>
    <x v="198"/>
    <m/>
    <m/>
    <m/>
    <n v="37"/>
    <n v="201208"/>
    <n v="828800"/>
  </r>
  <r>
    <x v="464"/>
    <x v="0"/>
    <m/>
    <x v="31"/>
    <x v="2"/>
    <x v="199"/>
    <m/>
    <m/>
    <m/>
    <n v="61"/>
    <n v="201208"/>
    <n v="2391200"/>
  </r>
  <r>
    <x v="464"/>
    <x v="0"/>
    <m/>
    <x v="32"/>
    <x v="2"/>
    <x v="200"/>
    <m/>
    <m/>
    <m/>
    <n v="34"/>
    <n v="201208"/>
    <n v="1261400"/>
  </r>
  <r>
    <x v="464"/>
    <x v="0"/>
    <m/>
    <x v="0"/>
    <x v="2"/>
    <x v="148"/>
    <m/>
    <m/>
    <m/>
    <n v="1"/>
    <n v="201208"/>
    <n v="20000"/>
  </r>
  <r>
    <x v="464"/>
    <x v="0"/>
    <m/>
    <x v="31"/>
    <x v="2"/>
    <x v="201"/>
    <m/>
    <m/>
    <m/>
    <n v="8"/>
    <n v="201208"/>
    <n v="179200"/>
  </r>
  <r>
    <x v="464"/>
    <x v="0"/>
    <m/>
    <x v="31"/>
    <x v="2"/>
    <x v="202"/>
    <m/>
    <m/>
    <m/>
    <n v="6"/>
    <n v="201208"/>
    <n v="235200"/>
  </r>
  <r>
    <x v="464"/>
    <x v="0"/>
    <m/>
    <x v="32"/>
    <x v="2"/>
    <x v="203"/>
    <m/>
    <m/>
    <m/>
    <n v="2"/>
    <n v="201208"/>
    <n v="74200"/>
  </r>
  <r>
    <x v="464"/>
    <x v="0"/>
    <m/>
    <x v="31"/>
    <x v="2"/>
    <x v="204"/>
    <m/>
    <m/>
    <m/>
    <n v="48"/>
    <n v="201208"/>
    <n v="1075200"/>
  </r>
  <r>
    <x v="464"/>
    <x v="0"/>
    <m/>
    <x v="31"/>
    <x v="2"/>
    <x v="205"/>
    <m/>
    <m/>
    <m/>
    <n v="37"/>
    <n v="201208"/>
    <n v="1450400"/>
  </r>
  <r>
    <x v="464"/>
    <x v="0"/>
    <m/>
    <x v="32"/>
    <x v="2"/>
    <x v="206"/>
    <m/>
    <m/>
    <m/>
    <n v="22"/>
    <n v="201208"/>
    <n v="816200"/>
  </r>
  <r>
    <x v="464"/>
    <x v="0"/>
    <m/>
    <x v="22"/>
    <x v="2"/>
    <x v="150"/>
    <m/>
    <m/>
    <m/>
    <n v="7"/>
    <n v="201208"/>
    <n v="266000"/>
  </r>
  <r>
    <x v="464"/>
    <x v="0"/>
    <m/>
    <x v="22"/>
    <x v="2"/>
    <x v="150"/>
    <m/>
    <m/>
    <m/>
    <n v="5"/>
    <n v="201208"/>
    <n v="190000"/>
  </r>
  <r>
    <x v="464"/>
    <x v="0"/>
    <m/>
    <x v="5"/>
    <x v="2"/>
    <x v="151"/>
    <m/>
    <m/>
    <m/>
    <n v="12"/>
    <n v="201208"/>
    <n v="336000"/>
  </r>
  <r>
    <x v="464"/>
    <x v="0"/>
    <m/>
    <x v="5"/>
    <x v="2"/>
    <x v="152"/>
    <m/>
    <m/>
    <m/>
    <n v="7"/>
    <n v="201208"/>
    <n v="336000"/>
  </r>
  <r>
    <x v="464"/>
    <x v="0"/>
    <m/>
    <x v="5"/>
    <x v="2"/>
    <x v="153"/>
    <m/>
    <m/>
    <m/>
    <n v="7"/>
    <n v="201208"/>
    <n v="196000"/>
  </r>
  <r>
    <x v="464"/>
    <x v="0"/>
    <m/>
    <x v="33"/>
    <x v="2"/>
    <x v="155"/>
    <m/>
    <m/>
    <m/>
    <n v="3"/>
    <n v="201208"/>
    <n v="54600"/>
  </r>
  <r>
    <x v="464"/>
    <x v="0"/>
    <m/>
    <x v="33"/>
    <x v="2"/>
    <x v="156"/>
    <m/>
    <m/>
    <m/>
    <n v="2"/>
    <n v="201208"/>
    <n v="67600"/>
  </r>
  <r>
    <x v="464"/>
    <x v="0"/>
    <m/>
    <x v="19"/>
    <x v="2"/>
    <x v="157"/>
    <m/>
    <m/>
    <m/>
    <n v="14"/>
    <n v="201208"/>
    <n v="182000"/>
  </r>
  <r>
    <x v="464"/>
    <x v="0"/>
    <m/>
    <x v="19"/>
    <x v="2"/>
    <x v="158"/>
    <m/>
    <m/>
    <m/>
    <n v="7"/>
    <n v="201208"/>
    <n v="168000"/>
  </r>
  <r>
    <x v="464"/>
    <x v="0"/>
    <m/>
    <x v="19"/>
    <x v="2"/>
    <x v="159"/>
    <m/>
    <m/>
    <m/>
    <n v="2"/>
    <n v="201208"/>
    <n v="66000"/>
  </r>
  <r>
    <x v="464"/>
    <x v="0"/>
    <m/>
    <x v="35"/>
    <x v="2"/>
    <x v="160"/>
    <m/>
    <m/>
    <m/>
    <n v="2"/>
    <n v="201208"/>
    <n v="40000"/>
  </r>
  <r>
    <x v="464"/>
    <x v="0"/>
    <m/>
    <x v="4"/>
    <x v="2"/>
    <x v="207"/>
    <m/>
    <m/>
    <m/>
    <n v="1"/>
    <n v="201208"/>
    <n v="4000"/>
  </r>
  <r>
    <x v="464"/>
    <x v="0"/>
    <m/>
    <x v="4"/>
    <x v="2"/>
    <x v="208"/>
    <m/>
    <m/>
    <m/>
    <n v="2"/>
    <n v="201208"/>
    <n v="40000"/>
  </r>
  <r>
    <x v="464"/>
    <x v="0"/>
    <m/>
    <x v="18"/>
    <x v="2"/>
    <x v="161"/>
    <m/>
    <m/>
    <m/>
    <n v="20"/>
    <n v="201208"/>
    <n v="60000"/>
  </r>
  <r>
    <x v="464"/>
    <x v="0"/>
    <m/>
    <x v="18"/>
    <x v="2"/>
    <x v="161"/>
    <m/>
    <m/>
    <m/>
    <n v="12"/>
    <n v="201208"/>
    <n v="36000"/>
  </r>
  <r>
    <x v="465"/>
    <x v="2"/>
    <m/>
    <x v="0"/>
    <x v="1"/>
    <x v="123"/>
    <m/>
    <m/>
    <m/>
    <n v="1"/>
    <n v="201208"/>
    <n v="35000"/>
  </r>
  <r>
    <x v="465"/>
    <x v="2"/>
    <m/>
    <x v="0"/>
    <x v="1"/>
    <x v="124"/>
    <m/>
    <m/>
    <m/>
    <n v="1"/>
    <n v="201208"/>
    <n v="20000"/>
  </r>
  <r>
    <x v="465"/>
    <x v="2"/>
    <m/>
    <x v="0"/>
    <x v="7"/>
    <x v="163"/>
    <m/>
    <m/>
    <m/>
    <n v="4"/>
    <n v="201208"/>
    <n v="80000"/>
  </r>
  <r>
    <x v="465"/>
    <x v="2"/>
    <m/>
    <x v="0"/>
    <x v="3"/>
    <x v="164"/>
    <m/>
    <m/>
    <m/>
    <n v="2"/>
    <n v="201208"/>
    <n v="0"/>
  </r>
  <r>
    <x v="465"/>
    <x v="2"/>
    <m/>
    <x v="6"/>
    <x v="2"/>
    <x v="126"/>
    <m/>
    <m/>
    <m/>
    <n v="3"/>
    <n v="201208"/>
    <n v="60000"/>
  </r>
  <r>
    <x v="465"/>
    <x v="2"/>
    <m/>
    <x v="34"/>
    <x v="2"/>
    <x v="128"/>
    <m/>
    <m/>
    <m/>
    <n v="34"/>
    <n v="201208"/>
    <n v="1261400"/>
  </r>
  <r>
    <x v="465"/>
    <x v="2"/>
    <m/>
    <x v="25"/>
    <x v="2"/>
    <x v="129"/>
    <m/>
    <m/>
    <m/>
    <n v="5"/>
    <n v="201208"/>
    <n v="495000"/>
  </r>
  <r>
    <x v="465"/>
    <x v="2"/>
    <m/>
    <x v="0"/>
    <x v="2"/>
    <x v="130"/>
    <m/>
    <m/>
    <m/>
    <n v="30"/>
    <n v="201208"/>
    <n v="990000"/>
  </r>
  <r>
    <x v="465"/>
    <x v="2"/>
    <m/>
    <x v="30"/>
    <x v="2"/>
    <x v="132"/>
    <m/>
    <m/>
    <m/>
    <n v="13"/>
    <n v="201208"/>
    <n v="291200"/>
  </r>
  <r>
    <x v="465"/>
    <x v="2"/>
    <m/>
    <x v="30"/>
    <x v="2"/>
    <x v="133"/>
    <m/>
    <m/>
    <m/>
    <n v="1"/>
    <n v="201208"/>
    <n v="39200"/>
  </r>
  <r>
    <x v="465"/>
    <x v="2"/>
    <m/>
    <x v="34"/>
    <x v="2"/>
    <x v="134"/>
    <m/>
    <m/>
    <m/>
    <n v="1"/>
    <n v="201208"/>
    <n v="37100"/>
  </r>
  <r>
    <x v="465"/>
    <x v="2"/>
    <m/>
    <x v="1"/>
    <x v="2"/>
    <x v="135"/>
    <m/>
    <m/>
    <m/>
    <n v="2"/>
    <n v="201208"/>
    <n v="40000"/>
  </r>
  <r>
    <x v="465"/>
    <x v="2"/>
    <m/>
    <x v="36"/>
    <x v="2"/>
    <x v="136"/>
    <m/>
    <m/>
    <m/>
    <n v="2"/>
    <n v="201208"/>
    <n v="56000"/>
  </r>
  <r>
    <x v="465"/>
    <x v="2"/>
    <m/>
    <x v="36"/>
    <x v="2"/>
    <x v="137"/>
    <m/>
    <m/>
    <m/>
    <n v="1"/>
    <n v="201208"/>
    <n v="42000"/>
  </r>
  <r>
    <x v="465"/>
    <x v="2"/>
    <m/>
    <x v="0"/>
    <x v="2"/>
    <x v="138"/>
    <m/>
    <m/>
    <m/>
    <n v="1"/>
    <n v="201208"/>
    <n v="20000"/>
  </r>
  <r>
    <x v="465"/>
    <x v="2"/>
    <m/>
    <x v="0"/>
    <x v="2"/>
    <x v="211"/>
    <m/>
    <m/>
    <m/>
    <n v="35"/>
    <n v="201208"/>
    <n v="700000"/>
  </r>
  <r>
    <x v="465"/>
    <x v="2"/>
    <m/>
    <x v="0"/>
    <x v="2"/>
    <x v="194"/>
    <m/>
    <m/>
    <m/>
    <n v="22"/>
    <n v="201208"/>
    <n v="440000"/>
  </r>
  <r>
    <x v="465"/>
    <x v="2"/>
    <m/>
    <x v="0"/>
    <x v="2"/>
    <x v="212"/>
    <m/>
    <m/>
    <m/>
    <n v="21"/>
    <n v="201208"/>
    <n v="735000"/>
  </r>
  <r>
    <x v="465"/>
    <x v="2"/>
    <m/>
    <x v="0"/>
    <x v="2"/>
    <x v="195"/>
    <m/>
    <m/>
    <m/>
    <n v="10"/>
    <n v="201208"/>
    <n v="350000"/>
  </r>
  <r>
    <x v="465"/>
    <x v="2"/>
    <m/>
    <x v="32"/>
    <x v="2"/>
    <x v="213"/>
    <m/>
    <m/>
    <m/>
    <n v="30"/>
    <n v="201208"/>
    <n v="1113000"/>
  </r>
  <r>
    <x v="465"/>
    <x v="2"/>
    <m/>
    <x v="32"/>
    <x v="2"/>
    <x v="196"/>
    <m/>
    <m/>
    <m/>
    <n v="12"/>
    <n v="201208"/>
    <n v="445200"/>
  </r>
  <r>
    <x v="465"/>
    <x v="2"/>
    <m/>
    <x v="0"/>
    <x v="2"/>
    <x v="197"/>
    <m/>
    <m/>
    <m/>
    <n v="53"/>
    <n v="201208"/>
    <n v="159000"/>
  </r>
  <r>
    <x v="465"/>
    <x v="2"/>
    <m/>
    <x v="4"/>
    <x v="2"/>
    <x v="142"/>
    <m/>
    <m/>
    <m/>
    <n v="1"/>
    <n v="201208"/>
    <n v="4000"/>
  </r>
  <r>
    <x v="465"/>
    <x v="2"/>
    <m/>
    <x v="4"/>
    <x v="2"/>
    <x v="143"/>
    <m/>
    <m/>
    <m/>
    <n v="7"/>
    <n v="201208"/>
    <n v="140000"/>
  </r>
  <r>
    <x v="465"/>
    <x v="2"/>
    <m/>
    <x v="4"/>
    <x v="2"/>
    <x v="144"/>
    <m/>
    <m/>
    <m/>
    <n v="2"/>
    <n v="201208"/>
    <n v="8000"/>
  </r>
  <r>
    <x v="465"/>
    <x v="2"/>
    <m/>
    <x v="31"/>
    <x v="2"/>
    <x v="198"/>
    <m/>
    <m/>
    <m/>
    <n v="39"/>
    <n v="201208"/>
    <n v="873600"/>
  </r>
  <r>
    <x v="465"/>
    <x v="2"/>
    <m/>
    <x v="31"/>
    <x v="2"/>
    <x v="199"/>
    <m/>
    <m/>
    <m/>
    <n v="51"/>
    <n v="201208"/>
    <n v="1999200"/>
  </r>
  <r>
    <x v="465"/>
    <x v="2"/>
    <m/>
    <x v="31"/>
    <x v="2"/>
    <x v="214"/>
    <m/>
    <m/>
    <m/>
    <n v="3"/>
    <n v="201208"/>
    <n v="163800"/>
  </r>
  <r>
    <x v="465"/>
    <x v="2"/>
    <m/>
    <x v="32"/>
    <x v="2"/>
    <x v="200"/>
    <m/>
    <m/>
    <m/>
    <n v="17"/>
    <n v="201208"/>
    <n v="630700"/>
  </r>
  <r>
    <x v="465"/>
    <x v="2"/>
    <m/>
    <x v="32"/>
    <x v="2"/>
    <x v="200"/>
    <m/>
    <m/>
    <m/>
    <n v="6"/>
    <n v="201208"/>
    <n v="222600"/>
  </r>
  <r>
    <x v="465"/>
    <x v="2"/>
    <m/>
    <x v="0"/>
    <x v="2"/>
    <x v="148"/>
    <m/>
    <m/>
    <m/>
    <n v="1"/>
    <n v="201208"/>
    <n v="20000"/>
  </r>
  <r>
    <x v="465"/>
    <x v="2"/>
    <m/>
    <x v="31"/>
    <x v="2"/>
    <x v="201"/>
    <m/>
    <m/>
    <m/>
    <n v="5"/>
    <n v="201208"/>
    <n v="112000"/>
  </r>
  <r>
    <x v="465"/>
    <x v="2"/>
    <m/>
    <x v="31"/>
    <x v="2"/>
    <x v="202"/>
    <m/>
    <m/>
    <m/>
    <n v="9"/>
    <n v="201208"/>
    <n v="352800"/>
  </r>
  <r>
    <x v="465"/>
    <x v="2"/>
    <m/>
    <x v="31"/>
    <x v="2"/>
    <x v="215"/>
    <m/>
    <m/>
    <m/>
    <n v="1"/>
    <n v="201208"/>
    <n v="54600"/>
  </r>
  <r>
    <x v="465"/>
    <x v="2"/>
    <m/>
    <x v="32"/>
    <x v="2"/>
    <x v="203"/>
    <m/>
    <m/>
    <m/>
    <n v="3"/>
    <n v="201208"/>
    <n v="111300"/>
  </r>
  <r>
    <x v="465"/>
    <x v="2"/>
    <m/>
    <x v="31"/>
    <x v="2"/>
    <x v="204"/>
    <m/>
    <m/>
    <m/>
    <n v="44"/>
    <n v="201208"/>
    <n v="985600"/>
  </r>
  <r>
    <x v="465"/>
    <x v="2"/>
    <m/>
    <x v="31"/>
    <x v="2"/>
    <x v="205"/>
    <m/>
    <m/>
    <m/>
    <n v="59"/>
    <n v="201208"/>
    <n v="2312800"/>
  </r>
  <r>
    <x v="465"/>
    <x v="2"/>
    <m/>
    <x v="31"/>
    <x v="2"/>
    <x v="216"/>
    <m/>
    <m/>
    <m/>
    <n v="4"/>
    <n v="201208"/>
    <n v="218400"/>
  </r>
  <r>
    <x v="465"/>
    <x v="2"/>
    <m/>
    <x v="32"/>
    <x v="2"/>
    <x v="206"/>
    <m/>
    <m/>
    <m/>
    <n v="21"/>
    <n v="201208"/>
    <n v="779100"/>
  </r>
  <r>
    <x v="465"/>
    <x v="2"/>
    <m/>
    <x v="32"/>
    <x v="2"/>
    <x v="206"/>
    <m/>
    <m/>
    <m/>
    <n v="4"/>
    <n v="201208"/>
    <n v="148400"/>
  </r>
  <r>
    <x v="465"/>
    <x v="2"/>
    <m/>
    <x v="22"/>
    <x v="2"/>
    <x v="150"/>
    <m/>
    <m/>
    <m/>
    <n v="9"/>
    <n v="201208"/>
    <n v="342000"/>
  </r>
  <r>
    <x v="465"/>
    <x v="2"/>
    <m/>
    <x v="22"/>
    <x v="2"/>
    <x v="150"/>
    <m/>
    <m/>
    <m/>
    <n v="1"/>
    <n v="201208"/>
    <n v="38000"/>
  </r>
  <r>
    <x v="465"/>
    <x v="2"/>
    <m/>
    <x v="5"/>
    <x v="2"/>
    <x v="151"/>
    <m/>
    <m/>
    <m/>
    <n v="18"/>
    <n v="201208"/>
    <n v="504000"/>
  </r>
  <r>
    <x v="465"/>
    <x v="2"/>
    <m/>
    <x v="5"/>
    <x v="2"/>
    <x v="152"/>
    <m/>
    <m/>
    <m/>
    <n v="2"/>
    <n v="201208"/>
    <n v="96000"/>
  </r>
  <r>
    <x v="465"/>
    <x v="2"/>
    <m/>
    <x v="5"/>
    <x v="2"/>
    <x v="153"/>
    <m/>
    <m/>
    <m/>
    <n v="1"/>
    <n v="201208"/>
    <n v="28000"/>
  </r>
  <r>
    <x v="465"/>
    <x v="2"/>
    <m/>
    <x v="33"/>
    <x v="2"/>
    <x v="155"/>
    <m/>
    <m/>
    <m/>
    <n v="7"/>
    <n v="201208"/>
    <n v="127400"/>
  </r>
  <r>
    <x v="465"/>
    <x v="2"/>
    <m/>
    <x v="33"/>
    <x v="2"/>
    <x v="156"/>
    <m/>
    <m/>
    <m/>
    <n v="1"/>
    <n v="201208"/>
    <n v="33800"/>
  </r>
  <r>
    <x v="465"/>
    <x v="2"/>
    <m/>
    <x v="19"/>
    <x v="2"/>
    <x v="157"/>
    <m/>
    <m/>
    <m/>
    <n v="28"/>
    <n v="201208"/>
    <n v="364000"/>
  </r>
  <r>
    <x v="465"/>
    <x v="2"/>
    <m/>
    <x v="19"/>
    <x v="2"/>
    <x v="158"/>
    <m/>
    <m/>
    <m/>
    <n v="1"/>
    <n v="201208"/>
    <n v="24000"/>
  </r>
  <r>
    <x v="465"/>
    <x v="2"/>
    <m/>
    <x v="19"/>
    <x v="2"/>
    <x v="159"/>
    <m/>
    <m/>
    <m/>
    <n v="3"/>
    <n v="201208"/>
    <n v="99000"/>
  </r>
  <r>
    <x v="465"/>
    <x v="2"/>
    <m/>
    <x v="35"/>
    <x v="2"/>
    <x v="160"/>
    <m/>
    <m/>
    <m/>
    <n v="1"/>
    <n v="201208"/>
    <n v="20000"/>
  </r>
  <r>
    <x v="465"/>
    <x v="2"/>
    <m/>
    <x v="4"/>
    <x v="2"/>
    <x v="207"/>
    <m/>
    <m/>
    <m/>
    <n v="1"/>
    <n v="201208"/>
    <n v="4000"/>
  </r>
  <r>
    <x v="465"/>
    <x v="2"/>
    <m/>
    <x v="4"/>
    <x v="2"/>
    <x v="208"/>
    <m/>
    <m/>
    <m/>
    <n v="2"/>
    <n v="201208"/>
    <n v="40000"/>
  </r>
  <r>
    <x v="465"/>
    <x v="2"/>
    <m/>
    <x v="18"/>
    <x v="2"/>
    <x v="161"/>
    <m/>
    <m/>
    <m/>
    <n v="26"/>
    <n v="201208"/>
    <n v="78000"/>
  </r>
  <r>
    <x v="466"/>
    <x v="5"/>
    <m/>
    <x v="0"/>
    <x v="7"/>
    <x v="163"/>
    <m/>
    <m/>
    <m/>
    <n v="4"/>
    <n v="201208"/>
    <n v="80000"/>
  </r>
  <r>
    <x v="466"/>
    <x v="5"/>
    <m/>
    <x v="6"/>
    <x v="2"/>
    <x v="126"/>
    <m/>
    <m/>
    <m/>
    <n v="5"/>
    <n v="201208"/>
    <n v="100000"/>
  </r>
  <r>
    <x v="466"/>
    <x v="5"/>
    <m/>
    <x v="6"/>
    <x v="2"/>
    <x v="127"/>
    <m/>
    <m/>
    <m/>
    <n v="2"/>
    <n v="201208"/>
    <n v="70000"/>
  </r>
  <r>
    <x v="466"/>
    <x v="5"/>
    <m/>
    <x v="34"/>
    <x v="2"/>
    <x v="128"/>
    <m/>
    <m/>
    <m/>
    <n v="37"/>
    <n v="201208"/>
    <n v="1372700"/>
  </r>
  <r>
    <x v="466"/>
    <x v="5"/>
    <m/>
    <x v="25"/>
    <x v="2"/>
    <x v="129"/>
    <m/>
    <m/>
    <m/>
    <n v="2"/>
    <n v="201208"/>
    <n v="198000"/>
  </r>
  <r>
    <x v="466"/>
    <x v="5"/>
    <m/>
    <x v="0"/>
    <x v="2"/>
    <x v="130"/>
    <m/>
    <m/>
    <m/>
    <n v="29"/>
    <n v="201208"/>
    <n v="957000"/>
  </r>
  <r>
    <x v="466"/>
    <x v="5"/>
    <m/>
    <x v="0"/>
    <x v="2"/>
    <x v="131"/>
    <m/>
    <m/>
    <m/>
    <n v="1"/>
    <n v="201208"/>
    <n v="33000"/>
  </r>
  <r>
    <x v="466"/>
    <x v="5"/>
    <m/>
    <x v="0"/>
    <x v="2"/>
    <x v="168"/>
    <m/>
    <m/>
    <m/>
    <n v="3"/>
    <n v="201208"/>
    <n v="60000"/>
  </r>
  <r>
    <x v="466"/>
    <x v="5"/>
    <m/>
    <x v="0"/>
    <x v="2"/>
    <x v="178"/>
    <m/>
    <m/>
    <m/>
    <n v="1"/>
    <n v="201208"/>
    <n v="35000"/>
  </r>
  <r>
    <x v="466"/>
    <x v="5"/>
    <m/>
    <x v="0"/>
    <x v="2"/>
    <x v="179"/>
    <m/>
    <m/>
    <m/>
    <n v="2"/>
    <n v="201208"/>
    <n v="6000"/>
  </r>
  <r>
    <x v="466"/>
    <x v="5"/>
    <m/>
    <x v="30"/>
    <x v="2"/>
    <x v="132"/>
    <m/>
    <m/>
    <m/>
    <n v="9"/>
    <n v="201208"/>
    <n v="201600"/>
  </r>
  <r>
    <x v="466"/>
    <x v="5"/>
    <m/>
    <x v="30"/>
    <x v="2"/>
    <x v="133"/>
    <m/>
    <m/>
    <m/>
    <n v="1"/>
    <n v="201208"/>
    <n v="39200"/>
  </r>
  <r>
    <x v="466"/>
    <x v="5"/>
    <m/>
    <x v="34"/>
    <x v="2"/>
    <x v="134"/>
    <m/>
    <m/>
    <m/>
    <n v="2"/>
    <n v="201208"/>
    <n v="74200"/>
  </r>
  <r>
    <x v="466"/>
    <x v="5"/>
    <m/>
    <x v="1"/>
    <x v="2"/>
    <x v="135"/>
    <m/>
    <m/>
    <m/>
    <n v="5"/>
    <n v="201208"/>
    <n v="100000"/>
  </r>
  <r>
    <x v="466"/>
    <x v="5"/>
    <m/>
    <x v="1"/>
    <x v="2"/>
    <x v="165"/>
    <m/>
    <m/>
    <m/>
    <n v="1"/>
    <n v="201208"/>
    <n v="35000"/>
  </r>
  <r>
    <x v="466"/>
    <x v="5"/>
    <m/>
    <x v="36"/>
    <x v="2"/>
    <x v="136"/>
    <m/>
    <m/>
    <m/>
    <n v="3"/>
    <n v="201208"/>
    <n v="84000"/>
  </r>
  <r>
    <x v="466"/>
    <x v="5"/>
    <m/>
    <x v="36"/>
    <x v="2"/>
    <x v="176"/>
    <m/>
    <m/>
    <m/>
    <n v="1"/>
    <n v="201208"/>
    <n v="49000"/>
  </r>
  <r>
    <x v="466"/>
    <x v="5"/>
    <m/>
    <x v="36"/>
    <x v="2"/>
    <x v="137"/>
    <m/>
    <m/>
    <m/>
    <n v="1"/>
    <n v="201208"/>
    <n v="42000"/>
  </r>
  <r>
    <x v="466"/>
    <x v="5"/>
    <m/>
    <x v="0"/>
    <x v="2"/>
    <x v="138"/>
    <m/>
    <m/>
    <m/>
    <n v="2"/>
    <n v="201208"/>
    <n v="40000"/>
  </r>
  <r>
    <x v="466"/>
    <x v="5"/>
    <m/>
    <x v="32"/>
    <x v="2"/>
    <x v="140"/>
    <m/>
    <m/>
    <m/>
    <n v="1"/>
    <n v="201208"/>
    <n v="37100"/>
  </r>
  <r>
    <x v="466"/>
    <x v="5"/>
    <m/>
    <x v="0"/>
    <x v="2"/>
    <x v="211"/>
    <m/>
    <m/>
    <m/>
    <n v="65"/>
    <n v="201208"/>
    <n v="1300000"/>
  </r>
  <r>
    <x v="466"/>
    <x v="5"/>
    <m/>
    <x v="0"/>
    <x v="2"/>
    <x v="212"/>
    <m/>
    <m/>
    <m/>
    <n v="46"/>
    <n v="201208"/>
    <n v="1610000"/>
  </r>
  <r>
    <x v="466"/>
    <x v="5"/>
    <m/>
    <x v="32"/>
    <x v="2"/>
    <x v="213"/>
    <m/>
    <m/>
    <m/>
    <n v="31"/>
    <n v="201208"/>
    <n v="1150100"/>
  </r>
  <r>
    <x v="466"/>
    <x v="5"/>
    <m/>
    <x v="32"/>
    <x v="2"/>
    <x v="196"/>
    <m/>
    <m/>
    <m/>
    <n v="1"/>
    <n v="201208"/>
    <n v="37100"/>
  </r>
  <r>
    <x v="466"/>
    <x v="5"/>
    <m/>
    <x v="0"/>
    <x v="2"/>
    <x v="197"/>
    <m/>
    <m/>
    <m/>
    <n v="55"/>
    <n v="201208"/>
    <n v="165000"/>
  </r>
  <r>
    <x v="466"/>
    <x v="5"/>
    <m/>
    <x v="4"/>
    <x v="2"/>
    <x v="142"/>
    <m/>
    <m/>
    <m/>
    <n v="1"/>
    <n v="201208"/>
    <n v="4000"/>
  </r>
  <r>
    <x v="466"/>
    <x v="5"/>
    <m/>
    <x v="4"/>
    <x v="2"/>
    <x v="143"/>
    <m/>
    <m/>
    <m/>
    <n v="6"/>
    <n v="201208"/>
    <n v="120000"/>
  </r>
  <r>
    <x v="466"/>
    <x v="5"/>
    <m/>
    <x v="4"/>
    <x v="2"/>
    <x v="144"/>
    <m/>
    <m/>
    <m/>
    <n v="3"/>
    <n v="201208"/>
    <n v="12000"/>
  </r>
  <r>
    <x v="466"/>
    <x v="5"/>
    <m/>
    <x v="31"/>
    <x v="2"/>
    <x v="198"/>
    <m/>
    <m/>
    <m/>
    <n v="40"/>
    <n v="201208"/>
    <n v="896000"/>
  </r>
  <r>
    <x v="466"/>
    <x v="5"/>
    <m/>
    <x v="31"/>
    <x v="2"/>
    <x v="199"/>
    <m/>
    <m/>
    <m/>
    <n v="45"/>
    <n v="201208"/>
    <n v="1764000"/>
  </r>
  <r>
    <x v="466"/>
    <x v="5"/>
    <m/>
    <x v="31"/>
    <x v="2"/>
    <x v="214"/>
    <m/>
    <m/>
    <m/>
    <n v="14"/>
    <n v="201208"/>
    <n v="764400"/>
  </r>
  <r>
    <x v="466"/>
    <x v="5"/>
    <m/>
    <x v="32"/>
    <x v="2"/>
    <x v="200"/>
    <m/>
    <m/>
    <m/>
    <n v="11"/>
    <n v="201208"/>
    <n v="408100"/>
  </r>
  <r>
    <x v="466"/>
    <x v="5"/>
    <m/>
    <x v="0"/>
    <x v="2"/>
    <x v="148"/>
    <m/>
    <m/>
    <m/>
    <n v="1"/>
    <n v="201208"/>
    <n v="20000"/>
  </r>
  <r>
    <x v="466"/>
    <x v="5"/>
    <m/>
    <x v="31"/>
    <x v="2"/>
    <x v="201"/>
    <m/>
    <m/>
    <m/>
    <n v="12"/>
    <n v="201208"/>
    <n v="268800"/>
  </r>
  <r>
    <x v="466"/>
    <x v="5"/>
    <m/>
    <x v="31"/>
    <x v="2"/>
    <x v="202"/>
    <m/>
    <m/>
    <m/>
    <n v="7"/>
    <n v="201208"/>
    <n v="274400"/>
  </r>
  <r>
    <x v="466"/>
    <x v="5"/>
    <m/>
    <x v="31"/>
    <x v="2"/>
    <x v="215"/>
    <m/>
    <m/>
    <m/>
    <n v="3"/>
    <n v="201208"/>
    <n v="163800"/>
  </r>
  <r>
    <x v="466"/>
    <x v="5"/>
    <m/>
    <x v="32"/>
    <x v="2"/>
    <x v="203"/>
    <m/>
    <m/>
    <m/>
    <n v="1"/>
    <n v="201208"/>
    <n v="37100"/>
  </r>
  <r>
    <x v="466"/>
    <x v="5"/>
    <m/>
    <x v="31"/>
    <x v="2"/>
    <x v="204"/>
    <m/>
    <m/>
    <m/>
    <n v="32"/>
    <n v="201208"/>
    <n v="716800"/>
  </r>
  <r>
    <x v="466"/>
    <x v="5"/>
    <m/>
    <x v="31"/>
    <x v="2"/>
    <x v="205"/>
    <m/>
    <m/>
    <m/>
    <n v="42"/>
    <n v="201208"/>
    <n v="1646400"/>
  </r>
  <r>
    <x v="466"/>
    <x v="5"/>
    <m/>
    <x v="31"/>
    <x v="2"/>
    <x v="216"/>
    <m/>
    <m/>
    <m/>
    <n v="8"/>
    <n v="201208"/>
    <n v="436800"/>
  </r>
  <r>
    <x v="466"/>
    <x v="5"/>
    <m/>
    <x v="32"/>
    <x v="2"/>
    <x v="206"/>
    <m/>
    <m/>
    <m/>
    <n v="1"/>
    <n v="201208"/>
    <n v="37100"/>
  </r>
  <r>
    <x v="466"/>
    <x v="5"/>
    <m/>
    <x v="32"/>
    <x v="2"/>
    <x v="206"/>
    <m/>
    <m/>
    <m/>
    <n v="21"/>
    <n v="201208"/>
    <n v="779100"/>
  </r>
  <r>
    <x v="466"/>
    <x v="5"/>
    <m/>
    <x v="22"/>
    <x v="2"/>
    <x v="150"/>
    <m/>
    <m/>
    <m/>
    <n v="3"/>
    <n v="201208"/>
    <n v="114000"/>
  </r>
  <r>
    <x v="466"/>
    <x v="5"/>
    <m/>
    <x v="22"/>
    <x v="2"/>
    <x v="150"/>
    <m/>
    <m/>
    <m/>
    <n v="5"/>
    <n v="201208"/>
    <n v="190000"/>
  </r>
  <r>
    <x v="466"/>
    <x v="5"/>
    <m/>
    <x v="5"/>
    <x v="2"/>
    <x v="151"/>
    <m/>
    <m/>
    <m/>
    <n v="14"/>
    <n v="201208"/>
    <n v="392000"/>
  </r>
  <r>
    <x v="466"/>
    <x v="5"/>
    <m/>
    <x v="5"/>
    <x v="2"/>
    <x v="152"/>
    <m/>
    <m/>
    <m/>
    <n v="6"/>
    <n v="201208"/>
    <n v="288000"/>
  </r>
  <r>
    <x v="466"/>
    <x v="5"/>
    <m/>
    <x v="5"/>
    <x v="2"/>
    <x v="153"/>
    <m/>
    <m/>
    <m/>
    <n v="8"/>
    <n v="201208"/>
    <n v="224000"/>
  </r>
  <r>
    <x v="466"/>
    <x v="5"/>
    <m/>
    <x v="33"/>
    <x v="2"/>
    <x v="156"/>
    <m/>
    <m/>
    <m/>
    <n v="3"/>
    <n v="201208"/>
    <n v="101400"/>
  </r>
  <r>
    <x v="466"/>
    <x v="5"/>
    <m/>
    <x v="19"/>
    <x v="2"/>
    <x v="157"/>
    <m/>
    <m/>
    <m/>
    <n v="15"/>
    <n v="201208"/>
    <n v="195000"/>
  </r>
  <r>
    <x v="466"/>
    <x v="5"/>
    <m/>
    <x v="19"/>
    <x v="2"/>
    <x v="158"/>
    <m/>
    <m/>
    <m/>
    <n v="6"/>
    <n v="201208"/>
    <n v="144000"/>
  </r>
  <r>
    <x v="466"/>
    <x v="5"/>
    <m/>
    <x v="19"/>
    <x v="2"/>
    <x v="159"/>
    <m/>
    <m/>
    <m/>
    <n v="1"/>
    <n v="201208"/>
    <n v="33000"/>
  </r>
  <r>
    <x v="466"/>
    <x v="5"/>
    <m/>
    <x v="19"/>
    <x v="2"/>
    <x v="181"/>
    <m/>
    <m/>
    <m/>
    <n v="1"/>
    <n v="201208"/>
    <n v="13000"/>
  </r>
  <r>
    <x v="466"/>
    <x v="5"/>
    <m/>
    <x v="35"/>
    <x v="2"/>
    <x v="170"/>
    <m/>
    <m/>
    <m/>
    <n v="1"/>
    <n v="201208"/>
    <n v="4000"/>
  </r>
  <r>
    <x v="466"/>
    <x v="5"/>
    <m/>
    <x v="35"/>
    <x v="2"/>
    <x v="160"/>
    <m/>
    <m/>
    <m/>
    <n v="4"/>
    <n v="201208"/>
    <n v="80000"/>
  </r>
  <r>
    <x v="466"/>
    <x v="5"/>
    <m/>
    <x v="4"/>
    <x v="2"/>
    <x v="208"/>
    <m/>
    <m/>
    <m/>
    <n v="1"/>
    <n v="201208"/>
    <n v="20000"/>
  </r>
  <r>
    <x v="466"/>
    <x v="5"/>
    <m/>
    <x v="18"/>
    <x v="2"/>
    <x v="161"/>
    <m/>
    <m/>
    <m/>
    <n v="29"/>
    <n v="201208"/>
    <n v="87000"/>
  </r>
  <r>
    <x v="466"/>
    <x v="5"/>
    <m/>
    <x v="18"/>
    <x v="2"/>
    <x v="161"/>
    <m/>
    <m/>
    <m/>
    <n v="2"/>
    <n v="201208"/>
    <n v="6000"/>
  </r>
  <r>
    <x v="467"/>
    <x v="6"/>
    <m/>
    <x v="0"/>
    <x v="7"/>
    <x v="163"/>
    <m/>
    <m/>
    <m/>
    <n v="3"/>
    <n v="201208"/>
    <n v="60000"/>
  </r>
  <r>
    <x v="467"/>
    <x v="6"/>
    <m/>
    <x v="6"/>
    <x v="2"/>
    <x v="126"/>
    <m/>
    <m/>
    <m/>
    <n v="1"/>
    <n v="201208"/>
    <n v="20000"/>
  </r>
  <r>
    <x v="467"/>
    <x v="6"/>
    <m/>
    <x v="34"/>
    <x v="2"/>
    <x v="128"/>
    <m/>
    <m/>
    <m/>
    <n v="44"/>
    <n v="201208"/>
    <n v="1632400"/>
  </r>
  <r>
    <x v="467"/>
    <x v="6"/>
    <m/>
    <x v="25"/>
    <x v="2"/>
    <x v="129"/>
    <m/>
    <m/>
    <m/>
    <n v="2"/>
    <n v="201208"/>
    <n v="198000"/>
  </r>
  <r>
    <x v="467"/>
    <x v="6"/>
    <m/>
    <x v="0"/>
    <x v="2"/>
    <x v="130"/>
    <m/>
    <m/>
    <m/>
    <n v="35"/>
    <n v="201208"/>
    <n v="1155000"/>
  </r>
  <r>
    <x v="467"/>
    <x v="6"/>
    <m/>
    <x v="0"/>
    <x v="2"/>
    <x v="168"/>
    <m/>
    <m/>
    <m/>
    <n v="3"/>
    <n v="201208"/>
    <n v="60000"/>
  </r>
  <r>
    <x v="467"/>
    <x v="6"/>
    <m/>
    <x v="0"/>
    <x v="2"/>
    <x v="178"/>
    <m/>
    <m/>
    <m/>
    <n v="1"/>
    <n v="201208"/>
    <n v="35000"/>
  </r>
  <r>
    <x v="467"/>
    <x v="6"/>
    <m/>
    <x v="30"/>
    <x v="2"/>
    <x v="132"/>
    <m/>
    <m/>
    <m/>
    <n v="19"/>
    <n v="201208"/>
    <n v="425600"/>
  </r>
  <r>
    <x v="467"/>
    <x v="6"/>
    <m/>
    <x v="30"/>
    <x v="2"/>
    <x v="133"/>
    <m/>
    <m/>
    <m/>
    <n v="2"/>
    <n v="201208"/>
    <n v="78400"/>
  </r>
  <r>
    <x v="467"/>
    <x v="6"/>
    <m/>
    <x v="34"/>
    <x v="2"/>
    <x v="134"/>
    <m/>
    <m/>
    <m/>
    <n v="1"/>
    <n v="201208"/>
    <n v="37100"/>
  </r>
  <r>
    <x v="467"/>
    <x v="6"/>
    <m/>
    <x v="1"/>
    <x v="2"/>
    <x v="135"/>
    <m/>
    <m/>
    <m/>
    <n v="3"/>
    <n v="201208"/>
    <n v="60000"/>
  </r>
  <r>
    <x v="467"/>
    <x v="6"/>
    <m/>
    <x v="36"/>
    <x v="2"/>
    <x v="136"/>
    <m/>
    <m/>
    <m/>
    <n v="8"/>
    <n v="201208"/>
    <n v="224000"/>
  </r>
  <r>
    <x v="467"/>
    <x v="6"/>
    <m/>
    <x v="36"/>
    <x v="2"/>
    <x v="176"/>
    <m/>
    <m/>
    <m/>
    <n v="1"/>
    <n v="201208"/>
    <n v="49000"/>
  </r>
  <r>
    <x v="467"/>
    <x v="6"/>
    <m/>
    <x v="0"/>
    <x v="2"/>
    <x v="139"/>
    <m/>
    <m/>
    <m/>
    <n v="1"/>
    <n v="201208"/>
    <n v="35000"/>
  </r>
  <r>
    <x v="467"/>
    <x v="6"/>
    <m/>
    <x v="0"/>
    <x v="2"/>
    <x v="141"/>
    <m/>
    <m/>
    <m/>
    <n v="1"/>
    <n v="201208"/>
    <n v="33000"/>
  </r>
  <r>
    <x v="467"/>
    <x v="6"/>
    <m/>
    <x v="0"/>
    <x v="2"/>
    <x v="211"/>
    <m/>
    <m/>
    <m/>
    <n v="71"/>
    <n v="201208"/>
    <n v="1420000"/>
  </r>
  <r>
    <x v="467"/>
    <x v="6"/>
    <m/>
    <x v="0"/>
    <x v="2"/>
    <x v="212"/>
    <m/>
    <m/>
    <m/>
    <n v="55"/>
    <n v="201208"/>
    <n v="1925000"/>
  </r>
  <r>
    <x v="467"/>
    <x v="6"/>
    <m/>
    <x v="0"/>
    <x v="2"/>
    <x v="195"/>
    <m/>
    <m/>
    <m/>
    <n v="1"/>
    <n v="201208"/>
    <n v="35000"/>
  </r>
  <r>
    <x v="467"/>
    <x v="6"/>
    <m/>
    <x v="32"/>
    <x v="2"/>
    <x v="213"/>
    <m/>
    <m/>
    <m/>
    <n v="58"/>
    <n v="201208"/>
    <n v="2151800"/>
  </r>
  <r>
    <x v="467"/>
    <x v="6"/>
    <m/>
    <x v="0"/>
    <x v="2"/>
    <x v="197"/>
    <m/>
    <m/>
    <m/>
    <n v="49"/>
    <n v="201208"/>
    <n v="147000"/>
  </r>
  <r>
    <x v="467"/>
    <x v="6"/>
    <m/>
    <x v="4"/>
    <x v="2"/>
    <x v="143"/>
    <m/>
    <m/>
    <m/>
    <n v="6"/>
    <n v="201208"/>
    <n v="120000"/>
  </r>
  <r>
    <x v="467"/>
    <x v="6"/>
    <m/>
    <x v="4"/>
    <x v="2"/>
    <x v="144"/>
    <m/>
    <m/>
    <m/>
    <n v="5"/>
    <n v="201208"/>
    <n v="20000"/>
  </r>
  <r>
    <x v="467"/>
    <x v="6"/>
    <m/>
    <x v="31"/>
    <x v="2"/>
    <x v="198"/>
    <m/>
    <m/>
    <m/>
    <n v="59"/>
    <n v="201208"/>
    <n v="1321600"/>
  </r>
  <r>
    <x v="467"/>
    <x v="6"/>
    <m/>
    <x v="31"/>
    <x v="2"/>
    <x v="199"/>
    <m/>
    <m/>
    <m/>
    <n v="74"/>
    <n v="201208"/>
    <n v="2900800"/>
  </r>
  <r>
    <x v="467"/>
    <x v="6"/>
    <m/>
    <x v="31"/>
    <x v="2"/>
    <x v="214"/>
    <m/>
    <m/>
    <m/>
    <n v="6"/>
    <n v="201208"/>
    <n v="327600"/>
  </r>
  <r>
    <x v="467"/>
    <x v="6"/>
    <m/>
    <x v="32"/>
    <x v="2"/>
    <x v="200"/>
    <m/>
    <m/>
    <m/>
    <n v="1"/>
    <n v="201208"/>
    <n v="37100"/>
  </r>
  <r>
    <x v="467"/>
    <x v="6"/>
    <m/>
    <x v="32"/>
    <x v="2"/>
    <x v="200"/>
    <m/>
    <m/>
    <m/>
    <n v="18"/>
    <n v="201208"/>
    <n v="667800"/>
  </r>
  <r>
    <x v="467"/>
    <x v="6"/>
    <m/>
    <x v="0"/>
    <x v="2"/>
    <x v="148"/>
    <m/>
    <m/>
    <m/>
    <n v="2"/>
    <n v="201208"/>
    <n v="40000"/>
  </r>
  <r>
    <x v="467"/>
    <x v="6"/>
    <m/>
    <x v="31"/>
    <x v="2"/>
    <x v="201"/>
    <m/>
    <m/>
    <m/>
    <n v="9"/>
    <n v="201208"/>
    <n v="201600"/>
  </r>
  <r>
    <x v="467"/>
    <x v="6"/>
    <m/>
    <x v="31"/>
    <x v="2"/>
    <x v="202"/>
    <m/>
    <m/>
    <m/>
    <n v="10"/>
    <n v="201208"/>
    <n v="392000"/>
  </r>
  <r>
    <x v="467"/>
    <x v="6"/>
    <m/>
    <x v="32"/>
    <x v="2"/>
    <x v="203"/>
    <m/>
    <m/>
    <m/>
    <n v="1"/>
    <n v="201208"/>
    <n v="37100"/>
  </r>
  <r>
    <x v="467"/>
    <x v="6"/>
    <m/>
    <x v="31"/>
    <x v="2"/>
    <x v="204"/>
    <m/>
    <m/>
    <m/>
    <n v="51"/>
    <n v="201208"/>
    <n v="1142400"/>
  </r>
  <r>
    <x v="467"/>
    <x v="6"/>
    <m/>
    <x v="31"/>
    <x v="2"/>
    <x v="205"/>
    <m/>
    <m/>
    <m/>
    <n v="75"/>
    <n v="201208"/>
    <n v="2940000"/>
  </r>
  <r>
    <x v="467"/>
    <x v="6"/>
    <m/>
    <x v="31"/>
    <x v="2"/>
    <x v="216"/>
    <m/>
    <m/>
    <m/>
    <n v="12"/>
    <n v="201208"/>
    <n v="655200"/>
  </r>
  <r>
    <x v="467"/>
    <x v="6"/>
    <m/>
    <x v="32"/>
    <x v="2"/>
    <x v="206"/>
    <m/>
    <m/>
    <m/>
    <n v="22"/>
    <n v="201208"/>
    <n v="816200"/>
  </r>
  <r>
    <x v="467"/>
    <x v="6"/>
    <m/>
    <x v="22"/>
    <x v="2"/>
    <x v="150"/>
    <m/>
    <m/>
    <m/>
    <n v="11"/>
    <n v="201208"/>
    <n v="418000"/>
  </r>
  <r>
    <x v="467"/>
    <x v="6"/>
    <m/>
    <x v="22"/>
    <x v="2"/>
    <x v="150"/>
    <m/>
    <m/>
    <m/>
    <n v="4"/>
    <n v="201208"/>
    <n v="152000"/>
  </r>
  <r>
    <x v="467"/>
    <x v="6"/>
    <m/>
    <x v="5"/>
    <x v="2"/>
    <x v="151"/>
    <m/>
    <m/>
    <m/>
    <n v="29"/>
    <n v="201208"/>
    <n v="812000"/>
  </r>
  <r>
    <x v="467"/>
    <x v="6"/>
    <m/>
    <x v="5"/>
    <x v="2"/>
    <x v="152"/>
    <m/>
    <m/>
    <m/>
    <n v="6"/>
    <n v="201208"/>
    <n v="288000"/>
  </r>
  <r>
    <x v="467"/>
    <x v="6"/>
    <m/>
    <x v="5"/>
    <x v="2"/>
    <x v="153"/>
    <m/>
    <m/>
    <m/>
    <n v="7"/>
    <n v="201208"/>
    <n v="196000"/>
  </r>
  <r>
    <x v="467"/>
    <x v="6"/>
    <m/>
    <x v="33"/>
    <x v="2"/>
    <x v="155"/>
    <m/>
    <m/>
    <m/>
    <n v="5"/>
    <n v="201208"/>
    <n v="91000"/>
  </r>
  <r>
    <x v="467"/>
    <x v="6"/>
    <m/>
    <x v="33"/>
    <x v="2"/>
    <x v="156"/>
    <m/>
    <m/>
    <m/>
    <n v="1"/>
    <n v="201208"/>
    <n v="33800"/>
  </r>
  <r>
    <x v="467"/>
    <x v="6"/>
    <m/>
    <x v="19"/>
    <x v="2"/>
    <x v="157"/>
    <m/>
    <m/>
    <m/>
    <n v="30"/>
    <n v="201208"/>
    <n v="390000"/>
  </r>
  <r>
    <x v="467"/>
    <x v="6"/>
    <m/>
    <x v="19"/>
    <x v="2"/>
    <x v="158"/>
    <m/>
    <m/>
    <m/>
    <n v="7"/>
    <n v="201208"/>
    <n v="168000"/>
  </r>
  <r>
    <x v="467"/>
    <x v="6"/>
    <m/>
    <x v="19"/>
    <x v="2"/>
    <x v="159"/>
    <m/>
    <m/>
    <m/>
    <n v="2"/>
    <n v="201208"/>
    <n v="66000"/>
  </r>
  <r>
    <x v="467"/>
    <x v="6"/>
    <m/>
    <x v="35"/>
    <x v="2"/>
    <x v="170"/>
    <m/>
    <m/>
    <m/>
    <n v="1"/>
    <n v="201208"/>
    <n v="4000"/>
  </r>
  <r>
    <x v="467"/>
    <x v="6"/>
    <m/>
    <x v="35"/>
    <x v="2"/>
    <x v="160"/>
    <m/>
    <m/>
    <m/>
    <n v="6"/>
    <n v="201208"/>
    <n v="120000"/>
  </r>
  <r>
    <x v="467"/>
    <x v="6"/>
    <m/>
    <x v="4"/>
    <x v="2"/>
    <x v="208"/>
    <m/>
    <m/>
    <m/>
    <n v="4"/>
    <n v="201208"/>
    <n v="80000"/>
  </r>
  <r>
    <x v="467"/>
    <x v="6"/>
    <m/>
    <x v="18"/>
    <x v="2"/>
    <x v="161"/>
    <m/>
    <m/>
    <m/>
    <n v="23"/>
    <n v="201208"/>
    <n v="69000"/>
  </r>
  <r>
    <x v="467"/>
    <x v="6"/>
    <m/>
    <x v="18"/>
    <x v="2"/>
    <x v="161"/>
    <m/>
    <m/>
    <m/>
    <n v="2"/>
    <n v="201208"/>
    <n v="6000"/>
  </r>
  <r>
    <x v="468"/>
    <x v="3"/>
    <m/>
    <x v="0"/>
    <x v="1"/>
    <x v="123"/>
    <m/>
    <m/>
    <m/>
    <n v="5"/>
    <n v="201208"/>
    <n v="175000"/>
  </r>
  <r>
    <x v="468"/>
    <x v="3"/>
    <m/>
    <x v="0"/>
    <x v="7"/>
    <x v="163"/>
    <m/>
    <m/>
    <m/>
    <n v="2"/>
    <n v="201208"/>
    <n v="40000"/>
  </r>
  <r>
    <x v="468"/>
    <x v="3"/>
    <m/>
    <x v="19"/>
    <x v="3"/>
    <x v="217"/>
    <m/>
    <m/>
    <m/>
    <n v="2"/>
    <n v="201208"/>
    <n v="40000"/>
  </r>
  <r>
    <x v="468"/>
    <x v="3"/>
    <m/>
    <x v="6"/>
    <x v="2"/>
    <x v="126"/>
    <m/>
    <m/>
    <m/>
    <n v="2"/>
    <n v="201208"/>
    <n v="40000"/>
  </r>
  <r>
    <x v="468"/>
    <x v="3"/>
    <m/>
    <x v="6"/>
    <x v="2"/>
    <x v="127"/>
    <m/>
    <m/>
    <m/>
    <n v="4"/>
    <n v="201208"/>
    <n v="140000"/>
  </r>
  <r>
    <x v="468"/>
    <x v="3"/>
    <m/>
    <x v="34"/>
    <x v="2"/>
    <x v="128"/>
    <m/>
    <m/>
    <m/>
    <n v="69"/>
    <n v="201208"/>
    <n v="2559900"/>
  </r>
  <r>
    <x v="468"/>
    <x v="3"/>
    <m/>
    <x v="25"/>
    <x v="2"/>
    <x v="129"/>
    <m/>
    <m/>
    <m/>
    <n v="3"/>
    <n v="201208"/>
    <n v="297000"/>
  </r>
  <r>
    <x v="468"/>
    <x v="3"/>
    <m/>
    <x v="0"/>
    <x v="2"/>
    <x v="130"/>
    <m/>
    <m/>
    <m/>
    <n v="39"/>
    <n v="201208"/>
    <n v="1287000"/>
  </r>
  <r>
    <x v="468"/>
    <x v="3"/>
    <m/>
    <x v="30"/>
    <x v="2"/>
    <x v="132"/>
    <m/>
    <m/>
    <m/>
    <n v="13"/>
    <n v="201208"/>
    <n v="291200"/>
  </r>
  <r>
    <x v="468"/>
    <x v="3"/>
    <m/>
    <x v="30"/>
    <x v="2"/>
    <x v="133"/>
    <m/>
    <m/>
    <m/>
    <n v="6"/>
    <n v="201208"/>
    <n v="235200"/>
  </r>
  <r>
    <x v="468"/>
    <x v="3"/>
    <m/>
    <x v="34"/>
    <x v="2"/>
    <x v="134"/>
    <m/>
    <m/>
    <m/>
    <n v="5"/>
    <n v="201208"/>
    <n v="185500"/>
  </r>
  <r>
    <x v="468"/>
    <x v="3"/>
    <m/>
    <x v="1"/>
    <x v="2"/>
    <x v="135"/>
    <m/>
    <m/>
    <m/>
    <n v="4"/>
    <n v="201208"/>
    <n v="80000"/>
  </r>
  <r>
    <x v="468"/>
    <x v="3"/>
    <m/>
    <x v="36"/>
    <x v="2"/>
    <x v="136"/>
    <m/>
    <m/>
    <m/>
    <n v="4"/>
    <n v="201208"/>
    <n v="112000"/>
  </r>
  <r>
    <x v="468"/>
    <x v="3"/>
    <m/>
    <x v="36"/>
    <x v="2"/>
    <x v="176"/>
    <m/>
    <m/>
    <m/>
    <n v="2"/>
    <n v="201208"/>
    <n v="98000"/>
  </r>
  <r>
    <x v="468"/>
    <x v="3"/>
    <m/>
    <x v="0"/>
    <x v="2"/>
    <x v="211"/>
    <m/>
    <m/>
    <m/>
    <n v="68"/>
    <n v="201208"/>
    <n v="1360000"/>
  </r>
  <r>
    <x v="468"/>
    <x v="3"/>
    <m/>
    <x v="0"/>
    <x v="2"/>
    <x v="212"/>
    <m/>
    <m/>
    <m/>
    <n v="49"/>
    <n v="201208"/>
    <n v="1715000"/>
  </r>
  <r>
    <x v="468"/>
    <x v="3"/>
    <m/>
    <x v="32"/>
    <x v="2"/>
    <x v="213"/>
    <m/>
    <m/>
    <m/>
    <n v="69"/>
    <n v="201208"/>
    <n v="2559900"/>
  </r>
  <r>
    <x v="468"/>
    <x v="3"/>
    <m/>
    <x v="0"/>
    <x v="2"/>
    <x v="197"/>
    <m/>
    <m/>
    <m/>
    <n v="53"/>
    <n v="201208"/>
    <n v="159000"/>
  </r>
  <r>
    <x v="468"/>
    <x v="3"/>
    <m/>
    <x v="4"/>
    <x v="2"/>
    <x v="142"/>
    <m/>
    <m/>
    <m/>
    <n v="1"/>
    <n v="201208"/>
    <n v="4000"/>
  </r>
  <r>
    <x v="468"/>
    <x v="3"/>
    <m/>
    <x v="4"/>
    <x v="2"/>
    <x v="143"/>
    <m/>
    <m/>
    <m/>
    <n v="8"/>
    <n v="201208"/>
    <n v="160000"/>
  </r>
  <r>
    <x v="468"/>
    <x v="3"/>
    <m/>
    <x v="4"/>
    <x v="2"/>
    <x v="144"/>
    <m/>
    <m/>
    <m/>
    <n v="4"/>
    <n v="201208"/>
    <n v="16000"/>
  </r>
  <r>
    <x v="468"/>
    <x v="3"/>
    <m/>
    <x v="31"/>
    <x v="2"/>
    <x v="198"/>
    <m/>
    <m/>
    <m/>
    <n v="74"/>
    <n v="201208"/>
    <n v="1657600"/>
  </r>
  <r>
    <x v="468"/>
    <x v="3"/>
    <m/>
    <x v="31"/>
    <x v="2"/>
    <x v="199"/>
    <m/>
    <m/>
    <m/>
    <n v="105"/>
    <n v="201208"/>
    <n v="4116000"/>
  </r>
  <r>
    <x v="468"/>
    <x v="3"/>
    <m/>
    <x v="31"/>
    <x v="2"/>
    <x v="214"/>
    <m/>
    <m/>
    <m/>
    <n v="21"/>
    <n v="201208"/>
    <n v="1146600"/>
  </r>
  <r>
    <x v="468"/>
    <x v="3"/>
    <m/>
    <x v="32"/>
    <x v="2"/>
    <x v="200"/>
    <m/>
    <m/>
    <m/>
    <n v="1"/>
    <n v="201208"/>
    <n v="37100"/>
  </r>
  <r>
    <x v="468"/>
    <x v="3"/>
    <m/>
    <x v="32"/>
    <x v="2"/>
    <x v="200"/>
    <m/>
    <m/>
    <m/>
    <n v="34"/>
    <n v="201208"/>
    <n v="1261400"/>
  </r>
  <r>
    <x v="468"/>
    <x v="3"/>
    <m/>
    <x v="31"/>
    <x v="2"/>
    <x v="201"/>
    <m/>
    <m/>
    <m/>
    <n v="7"/>
    <n v="201208"/>
    <n v="156800"/>
  </r>
  <r>
    <x v="468"/>
    <x v="3"/>
    <m/>
    <x v="31"/>
    <x v="2"/>
    <x v="202"/>
    <m/>
    <m/>
    <m/>
    <n v="9"/>
    <n v="201208"/>
    <n v="352800"/>
  </r>
  <r>
    <x v="468"/>
    <x v="3"/>
    <m/>
    <x v="31"/>
    <x v="2"/>
    <x v="215"/>
    <m/>
    <m/>
    <m/>
    <n v="3"/>
    <n v="201208"/>
    <n v="163800"/>
  </r>
  <r>
    <x v="468"/>
    <x v="3"/>
    <m/>
    <x v="31"/>
    <x v="2"/>
    <x v="204"/>
    <m/>
    <m/>
    <m/>
    <n v="89"/>
    <n v="201208"/>
    <n v="1993600"/>
  </r>
  <r>
    <x v="468"/>
    <x v="3"/>
    <m/>
    <x v="31"/>
    <x v="2"/>
    <x v="205"/>
    <m/>
    <m/>
    <m/>
    <n v="117"/>
    <n v="201208"/>
    <n v="4586400"/>
  </r>
  <r>
    <x v="468"/>
    <x v="3"/>
    <m/>
    <x v="31"/>
    <x v="2"/>
    <x v="216"/>
    <m/>
    <m/>
    <m/>
    <n v="18"/>
    <n v="201208"/>
    <n v="982800"/>
  </r>
  <r>
    <x v="468"/>
    <x v="3"/>
    <m/>
    <x v="32"/>
    <x v="2"/>
    <x v="206"/>
    <m/>
    <m/>
    <m/>
    <n v="29"/>
    <n v="201208"/>
    <n v="1075900"/>
  </r>
  <r>
    <x v="468"/>
    <x v="3"/>
    <m/>
    <x v="22"/>
    <x v="2"/>
    <x v="150"/>
    <m/>
    <m/>
    <m/>
    <n v="13"/>
    <n v="201208"/>
    <n v="494000"/>
  </r>
  <r>
    <x v="468"/>
    <x v="3"/>
    <m/>
    <x v="22"/>
    <x v="2"/>
    <x v="150"/>
    <m/>
    <m/>
    <m/>
    <n v="9"/>
    <n v="201208"/>
    <n v="342000"/>
  </r>
  <r>
    <x v="468"/>
    <x v="3"/>
    <m/>
    <x v="5"/>
    <x v="2"/>
    <x v="151"/>
    <m/>
    <m/>
    <m/>
    <n v="19"/>
    <n v="201208"/>
    <n v="532000"/>
  </r>
  <r>
    <x v="468"/>
    <x v="3"/>
    <m/>
    <x v="5"/>
    <x v="2"/>
    <x v="152"/>
    <m/>
    <m/>
    <m/>
    <n v="6"/>
    <n v="201208"/>
    <n v="288000"/>
  </r>
  <r>
    <x v="468"/>
    <x v="3"/>
    <m/>
    <x v="5"/>
    <x v="2"/>
    <x v="153"/>
    <m/>
    <m/>
    <m/>
    <n v="6"/>
    <n v="201208"/>
    <n v="168000"/>
  </r>
  <r>
    <x v="468"/>
    <x v="3"/>
    <m/>
    <x v="5"/>
    <x v="2"/>
    <x v="154"/>
    <m/>
    <m/>
    <m/>
    <n v="1"/>
    <n v="201208"/>
    <n v="28000"/>
  </r>
  <r>
    <x v="468"/>
    <x v="3"/>
    <m/>
    <x v="33"/>
    <x v="2"/>
    <x v="155"/>
    <m/>
    <m/>
    <m/>
    <n v="5"/>
    <n v="201208"/>
    <n v="91000"/>
  </r>
  <r>
    <x v="468"/>
    <x v="3"/>
    <m/>
    <x v="33"/>
    <x v="2"/>
    <x v="156"/>
    <m/>
    <m/>
    <m/>
    <n v="3"/>
    <n v="201208"/>
    <n v="101400"/>
  </r>
  <r>
    <x v="468"/>
    <x v="3"/>
    <m/>
    <x v="19"/>
    <x v="2"/>
    <x v="157"/>
    <m/>
    <m/>
    <m/>
    <n v="29"/>
    <n v="201208"/>
    <n v="377000"/>
  </r>
  <r>
    <x v="468"/>
    <x v="3"/>
    <m/>
    <x v="19"/>
    <x v="2"/>
    <x v="158"/>
    <m/>
    <m/>
    <m/>
    <n v="7"/>
    <n v="201208"/>
    <n v="168000"/>
  </r>
  <r>
    <x v="468"/>
    <x v="3"/>
    <m/>
    <x v="19"/>
    <x v="2"/>
    <x v="159"/>
    <m/>
    <m/>
    <m/>
    <n v="4"/>
    <n v="201208"/>
    <n v="132000"/>
  </r>
  <r>
    <x v="468"/>
    <x v="3"/>
    <m/>
    <x v="19"/>
    <x v="2"/>
    <x v="181"/>
    <m/>
    <m/>
    <m/>
    <n v="1"/>
    <n v="201208"/>
    <n v="13000"/>
  </r>
  <r>
    <x v="468"/>
    <x v="3"/>
    <m/>
    <x v="35"/>
    <x v="2"/>
    <x v="170"/>
    <m/>
    <m/>
    <m/>
    <n v="1"/>
    <n v="201208"/>
    <n v="4000"/>
  </r>
  <r>
    <x v="468"/>
    <x v="3"/>
    <m/>
    <x v="4"/>
    <x v="2"/>
    <x v="208"/>
    <m/>
    <m/>
    <m/>
    <n v="3"/>
    <n v="201208"/>
    <n v="60000"/>
  </r>
  <r>
    <x v="468"/>
    <x v="3"/>
    <m/>
    <x v="18"/>
    <x v="2"/>
    <x v="161"/>
    <m/>
    <m/>
    <m/>
    <n v="24"/>
    <n v="201208"/>
    <n v="72000"/>
  </r>
  <r>
    <x v="468"/>
    <x v="3"/>
    <m/>
    <x v="18"/>
    <x v="2"/>
    <x v="161"/>
    <m/>
    <m/>
    <m/>
    <n v="1"/>
    <n v="201208"/>
    <n v="3000"/>
  </r>
  <r>
    <x v="469"/>
    <x v="4"/>
    <m/>
    <x v="6"/>
    <x v="2"/>
    <x v="126"/>
    <m/>
    <m/>
    <m/>
    <n v="3"/>
    <n v="201208"/>
    <n v="60000"/>
  </r>
  <r>
    <x v="469"/>
    <x v="4"/>
    <m/>
    <x v="6"/>
    <x v="2"/>
    <x v="127"/>
    <m/>
    <m/>
    <m/>
    <n v="1"/>
    <n v="201208"/>
    <n v="35000"/>
  </r>
  <r>
    <x v="469"/>
    <x v="4"/>
    <m/>
    <x v="34"/>
    <x v="2"/>
    <x v="128"/>
    <m/>
    <m/>
    <m/>
    <n v="66"/>
    <n v="201208"/>
    <n v="2448600"/>
  </r>
  <r>
    <x v="469"/>
    <x v="4"/>
    <m/>
    <x v="25"/>
    <x v="2"/>
    <x v="129"/>
    <m/>
    <m/>
    <m/>
    <n v="3"/>
    <n v="201208"/>
    <n v="297000"/>
  </r>
  <r>
    <x v="469"/>
    <x v="4"/>
    <m/>
    <x v="0"/>
    <x v="2"/>
    <x v="130"/>
    <m/>
    <m/>
    <m/>
    <n v="46"/>
    <n v="201208"/>
    <n v="1518000"/>
  </r>
  <r>
    <x v="469"/>
    <x v="4"/>
    <m/>
    <x v="0"/>
    <x v="2"/>
    <x v="131"/>
    <m/>
    <m/>
    <m/>
    <n v="1"/>
    <n v="201208"/>
    <n v="33000"/>
  </r>
  <r>
    <x v="469"/>
    <x v="4"/>
    <m/>
    <x v="0"/>
    <x v="2"/>
    <x v="168"/>
    <m/>
    <m/>
    <m/>
    <n v="1"/>
    <n v="201208"/>
    <n v="20000"/>
  </r>
  <r>
    <x v="469"/>
    <x v="4"/>
    <m/>
    <x v="30"/>
    <x v="2"/>
    <x v="132"/>
    <m/>
    <m/>
    <m/>
    <n v="18"/>
    <n v="201208"/>
    <n v="403200"/>
  </r>
  <r>
    <x v="469"/>
    <x v="4"/>
    <m/>
    <x v="30"/>
    <x v="2"/>
    <x v="133"/>
    <m/>
    <m/>
    <m/>
    <n v="3"/>
    <n v="201208"/>
    <n v="117600"/>
  </r>
  <r>
    <x v="469"/>
    <x v="4"/>
    <m/>
    <x v="34"/>
    <x v="2"/>
    <x v="134"/>
    <m/>
    <m/>
    <m/>
    <n v="2"/>
    <n v="201208"/>
    <n v="74200"/>
  </r>
  <r>
    <x v="469"/>
    <x v="4"/>
    <m/>
    <x v="1"/>
    <x v="2"/>
    <x v="135"/>
    <m/>
    <m/>
    <m/>
    <n v="2"/>
    <n v="201208"/>
    <n v="40000"/>
  </r>
  <r>
    <x v="469"/>
    <x v="4"/>
    <m/>
    <x v="1"/>
    <x v="2"/>
    <x v="165"/>
    <m/>
    <m/>
    <m/>
    <n v="1"/>
    <n v="201208"/>
    <n v="35000"/>
  </r>
  <r>
    <x v="469"/>
    <x v="4"/>
    <m/>
    <x v="36"/>
    <x v="2"/>
    <x v="136"/>
    <m/>
    <m/>
    <m/>
    <n v="2"/>
    <n v="201208"/>
    <n v="56000"/>
  </r>
  <r>
    <x v="469"/>
    <x v="4"/>
    <m/>
    <x v="36"/>
    <x v="2"/>
    <x v="176"/>
    <m/>
    <m/>
    <m/>
    <n v="1"/>
    <n v="201208"/>
    <n v="49000"/>
  </r>
  <r>
    <x v="469"/>
    <x v="4"/>
    <m/>
    <x v="0"/>
    <x v="2"/>
    <x v="218"/>
    <m/>
    <m/>
    <m/>
    <n v="16"/>
    <n v="201208"/>
    <n v="320000"/>
  </r>
  <r>
    <x v="469"/>
    <x v="4"/>
    <m/>
    <x v="0"/>
    <x v="2"/>
    <x v="219"/>
    <m/>
    <m/>
    <m/>
    <n v="17"/>
    <n v="201208"/>
    <n v="595000"/>
  </r>
  <r>
    <x v="469"/>
    <x v="4"/>
    <m/>
    <x v="32"/>
    <x v="2"/>
    <x v="220"/>
    <m/>
    <m/>
    <m/>
    <n v="19"/>
    <n v="201208"/>
    <n v="704900"/>
  </r>
  <r>
    <x v="469"/>
    <x v="4"/>
    <m/>
    <x v="18"/>
    <x v="2"/>
    <x v="125"/>
    <m/>
    <m/>
    <m/>
    <n v="9"/>
    <n v="201208"/>
    <n v="27000"/>
  </r>
  <r>
    <x v="469"/>
    <x v="4"/>
    <m/>
    <x v="0"/>
    <x v="2"/>
    <x v="138"/>
    <m/>
    <m/>
    <m/>
    <n v="2"/>
    <n v="201208"/>
    <n v="40000"/>
  </r>
  <r>
    <x v="469"/>
    <x v="4"/>
    <m/>
    <x v="0"/>
    <x v="2"/>
    <x v="141"/>
    <m/>
    <m/>
    <m/>
    <n v="1"/>
    <n v="201208"/>
    <n v="33000"/>
  </r>
  <r>
    <x v="469"/>
    <x v="4"/>
    <m/>
    <x v="0"/>
    <x v="2"/>
    <x v="211"/>
    <m/>
    <m/>
    <m/>
    <n v="78"/>
    <n v="201208"/>
    <n v="1560000"/>
  </r>
  <r>
    <x v="469"/>
    <x v="4"/>
    <m/>
    <x v="0"/>
    <x v="2"/>
    <x v="212"/>
    <m/>
    <m/>
    <m/>
    <n v="57"/>
    <n v="201208"/>
    <n v="1995000"/>
  </r>
  <r>
    <x v="469"/>
    <x v="4"/>
    <m/>
    <x v="32"/>
    <x v="2"/>
    <x v="213"/>
    <m/>
    <m/>
    <m/>
    <n v="48"/>
    <n v="201208"/>
    <n v="1780800"/>
  </r>
  <r>
    <x v="469"/>
    <x v="4"/>
    <m/>
    <x v="0"/>
    <x v="2"/>
    <x v="197"/>
    <m/>
    <m/>
    <m/>
    <n v="64"/>
    <n v="201208"/>
    <n v="192000"/>
  </r>
  <r>
    <x v="469"/>
    <x v="4"/>
    <m/>
    <x v="4"/>
    <x v="2"/>
    <x v="142"/>
    <m/>
    <m/>
    <m/>
    <n v="2"/>
    <n v="201208"/>
    <n v="8000"/>
  </r>
  <r>
    <x v="469"/>
    <x v="4"/>
    <m/>
    <x v="4"/>
    <x v="2"/>
    <x v="143"/>
    <m/>
    <m/>
    <m/>
    <n v="4"/>
    <n v="201208"/>
    <n v="80000"/>
  </r>
  <r>
    <x v="469"/>
    <x v="4"/>
    <m/>
    <x v="4"/>
    <x v="2"/>
    <x v="144"/>
    <m/>
    <m/>
    <m/>
    <n v="2"/>
    <n v="201208"/>
    <n v="8000"/>
  </r>
  <r>
    <x v="469"/>
    <x v="4"/>
    <m/>
    <x v="31"/>
    <x v="2"/>
    <x v="145"/>
    <m/>
    <m/>
    <m/>
    <n v="31"/>
    <n v="201208"/>
    <n v="694400"/>
  </r>
  <r>
    <x v="469"/>
    <x v="4"/>
    <m/>
    <x v="31"/>
    <x v="2"/>
    <x v="146"/>
    <m/>
    <m/>
    <m/>
    <n v="32"/>
    <n v="201208"/>
    <n v="1254400"/>
  </r>
  <r>
    <x v="469"/>
    <x v="4"/>
    <m/>
    <x v="31"/>
    <x v="2"/>
    <x v="221"/>
    <m/>
    <m/>
    <m/>
    <n v="4"/>
    <n v="201208"/>
    <n v="218400"/>
  </r>
  <r>
    <x v="469"/>
    <x v="4"/>
    <m/>
    <x v="32"/>
    <x v="2"/>
    <x v="147"/>
    <m/>
    <m/>
    <m/>
    <n v="6"/>
    <n v="201208"/>
    <n v="222600"/>
  </r>
  <r>
    <x v="469"/>
    <x v="4"/>
    <m/>
    <x v="31"/>
    <x v="2"/>
    <x v="198"/>
    <m/>
    <m/>
    <m/>
    <n v="39"/>
    <n v="201208"/>
    <n v="873600"/>
  </r>
  <r>
    <x v="469"/>
    <x v="4"/>
    <m/>
    <x v="31"/>
    <x v="2"/>
    <x v="199"/>
    <m/>
    <m/>
    <m/>
    <n v="74"/>
    <n v="201208"/>
    <n v="2900800"/>
  </r>
  <r>
    <x v="469"/>
    <x v="4"/>
    <m/>
    <x v="31"/>
    <x v="2"/>
    <x v="214"/>
    <m/>
    <m/>
    <m/>
    <n v="15"/>
    <n v="201208"/>
    <n v="819000"/>
  </r>
  <r>
    <x v="469"/>
    <x v="4"/>
    <m/>
    <x v="32"/>
    <x v="2"/>
    <x v="200"/>
    <m/>
    <m/>
    <m/>
    <n v="14"/>
    <n v="201208"/>
    <n v="519400"/>
  </r>
  <r>
    <x v="469"/>
    <x v="4"/>
    <m/>
    <x v="0"/>
    <x v="2"/>
    <x v="148"/>
    <m/>
    <m/>
    <m/>
    <n v="2"/>
    <n v="201208"/>
    <n v="40000"/>
  </r>
  <r>
    <x v="469"/>
    <x v="4"/>
    <m/>
    <x v="31"/>
    <x v="2"/>
    <x v="189"/>
    <m/>
    <m/>
    <m/>
    <n v="5"/>
    <n v="201208"/>
    <n v="112000"/>
  </r>
  <r>
    <x v="469"/>
    <x v="4"/>
    <m/>
    <x v="31"/>
    <x v="2"/>
    <x v="184"/>
    <m/>
    <m/>
    <m/>
    <n v="3"/>
    <n v="201208"/>
    <n v="117600"/>
  </r>
  <r>
    <x v="469"/>
    <x v="4"/>
    <m/>
    <x v="31"/>
    <x v="2"/>
    <x v="201"/>
    <m/>
    <m/>
    <m/>
    <n v="7"/>
    <n v="201208"/>
    <n v="156800"/>
  </r>
  <r>
    <x v="469"/>
    <x v="4"/>
    <m/>
    <x v="31"/>
    <x v="2"/>
    <x v="202"/>
    <m/>
    <m/>
    <m/>
    <n v="9"/>
    <n v="201208"/>
    <n v="352800"/>
  </r>
  <r>
    <x v="469"/>
    <x v="4"/>
    <m/>
    <x v="31"/>
    <x v="2"/>
    <x v="215"/>
    <m/>
    <m/>
    <m/>
    <n v="2"/>
    <n v="201208"/>
    <n v="109200"/>
  </r>
  <r>
    <x v="469"/>
    <x v="4"/>
    <m/>
    <x v="32"/>
    <x v="2"/>
    <x v="203"/>
    <m/>
    <m/>
    <m/>
    <n v="4"/>
    <n v="201208"/>
    <n v="148400"/>
  </r>
  <r>
    <x v="469"/>
    <x v="4"/>
    <m/>
    <x v="31"/>
    <x v="2"/>
    <x v="186"/>
    <m/>
    <m/>
    <m/>
    <n v="35"/>
    <n v="201208"/>
    <n v="784000"/>
  </r>
  <r>
    <x v="469"/>
    <x v="4"/>
    <m/>
    <x v="31"/>
    <x v="2"/>
    <x v="187"/>
    <m/>
    <m/>
    <m/>
    <n v="22"/>
    <n v="201208"/>
    <n v="862400"/>
  </r>
  <r>
    <x v="469"/>
    <x v="4"/>
    <m/>
    <x v="31"/>
    <x v="2"/>
    <x v="222"/>
    <m/>
    <m/>
    <m/>
    <n v="2"/>
    <n v="201208"/>
    <n v="109200"/>
  </r>
  <r>
    <x v="469"/>
    <x v="4"/>
    <m/>
    <x v="32"/>
    <x v="2"/>
    <x v="188"/>
    <m/>
    <m/>
    <m/>
    <n v="8"/>
    <n v="201208"/>
    <n v="296800"/>
  </r>
  <r>
    <x v="469"/>
    <x v="4"/>
    <m/>
    <x v="31"/>
    <x v="2"/>
    <x v="204"/>
    <m/>
    <m/>
    <m/>
    <n v="48"/>
    <n v="201208"/>
    <n v="1075200"/>
  </r>
  <r>
    <x v="469"/>
    <x v="4"/>
    <m/>
    <x v="31"/>
    <x v="2"/>
    <x v="205"/>
    <m/>
    <m/>
    <m/>
    <n v="60"/>
    <n v="201208"/>
    <n v="2352000"/>
  </r>
  <r>
    <x v="469"/>
    <x v="4"/>
    <m/>
    <x v="31"/>
    <x v="2"/>
    <x v="216"/>
    <m/>
    <m/>
    <m/>
    <n v="5"/>
    <n v="201208"/>
    <n v="273000"/>
  </r>
  <r>
    <x v="469"/>
    <x v="4"/>
    <m/>
    <x v="32"/>
    <x v="2"/>
    <x v="206"/>
    <m/>
    <m/>
    <m/>
    <n v="24"/>
    <n v="201208"/>
    <n v="890400"/>
  </r>
  <r>
    <x v="469"/>
    <x v="4"/>
    <m/>
    <x v="22"/>
    <x v="2"/>
    <x v="150"/>
    <m/>
    <m/>
    <m/>
    <n v="9"/>
    <n v="201208"/>
    <n v="342000"/>
  </r>
  <r>
    <x v="469"/>
    <x v="4"/>
    <m/>
    <x v="22"/>
    <x v="2"/>
    <x v="150"/>
    <m/>
    <m/>
    <m/>
    <n v="7"/>
    <n v="201208"/>
    <n v="266000"/>
  </r>
  <r>
    <x v="469"/>
    <x v="4"/>
    <m/>
    <x v="5"/>
    <x v="2"/>
    <x v="151"/>
    <m/>
    <m/>
    <m/>
    <n v="22"/>
    <n v="201208"/>
    <n v="616000"/>
  </r>
  <r>
    <x v="469"/>
    <x v="4"/>
    <m/>
    <x v="5"/>
    <x v="2"/>
    <x v="152"/>
    <m/>
    <m/>
    <m/>
    <n v="7"/>
    <n v="201208"/>
    <n v="336000"/>
  </r>
  <r>
    <x v="469"/>
    <x v="4"/>
    <m/>
    <x v="5"/>
    <x v="2"/>
    <x v="153"/>
    <m/>
    <m/>
    <m/>
    <n v="13"/>
    <n v="201208"/>
    <n v="364000"/>
  </r>
  <r>
    <x v="469"/>
    <x v="4"/>
    <m/>
    <x v="5"/>
    <x v="2"/>
    <x v="209"/>
    <m/>
    <m/>
    <m/>
    <n v="1"/>
    <n v="201208"/>
    <n v="48000"/>
  </r>
  <r>
    <x v="469"/>
    <x v="4"/>
    <m/>
    <x v="33"/>
    <x v="2"/>
    <x v="155"/>
    <m/>
    <m/>
    <m/>
    <n v="9"/>
    <n v="201208"/>
    <n v="163800"/>
  </r>
  <r>
    <x v="469"/>
    <x v="4"/>
    <m/>
    <x v="33"/>
    <x v="2"/>
    <x v="156"/>
    <m/>
    <m/>
    <m/>
    <n v="3"/>
    <n v="201208"/>
    <n v="101400"/>
  </r>
  <r>
    <x v="469"/>
    <x v="4"/>
    <m/>
    <x v="19"/>
    <x v="2"/>
    <x v="157"/>
    <m/>
    <m/>
    <m/>
    <n v="31"/>
    <n v="201208"/>
    <n v="403000"/>
  </r>
  <r>
    <x v="469"/>
    <x v="4"/>
    <m/>
    <x v="19"/>
    <x v="2"/>
    <x v="158"/>
    <m/>
    <m/>
    <m/>
    <n v="6"/>
    <n v="201208"/>
    <n v="144000"/>
  </r>
  <r>
    <x v="469"/>
    <x v="4"/>
    <m/>
    <x v="19"/>
    <x v="2"/>
    <x v="159"/>
    <m/>
    <m/>
    <m/>
    <n v="2"/>
    <n v="201208"/>
    <n v="66000"/>
  </r>
  <r>
    <x v="469"/>
    <x v="4"/>
    <m/>
    <x v="19"/>
    <x v="2"/>
    <x v="181"/>
    <m/>
    <m/>
    <m/>
    <n v="2"/>
    <n v="201208"/>
    <n v="26000"/>
  </r>
  <r>
    <x v="469"/>
    <x v="4"/>
    <m/>
    <x v="35"/>
    <x v="2"/>
    <x v="170"/>
    <m/>
    <m/>
    <m/>
    <n v="1"/>
    <n v="201208"/>
    <n v="4000"/>
  </r>
  <r>
    <x v="469"/>
    <x v="4"/>
    <m/>
    <x v="35"/>
    <x v="2"/>
    <x v="160"/>
    <m/>
    <m/>
    <m/>
    <n v="3"/>
    <n v="201208"/>
    <n v="60000"/>
  </r>
  <r>
    <x v="469"/>
    <x v="4"/>
    <m/>
    <x v="4"/>
    <x v="2"/>
    <x v="208"/>
    <m/>
    <m/>
    <m/>
    <n v="2"/>
    <n v="201208"/>
    <n v="40000"/>
  </r>
  <r>
    <x v="469"/>
    <x v="4"/>
    <m/>
    <x v="18"/>
    <x v="2"/>
    <x v="161"/>
    <m/>
    <m/>
    <m/>
    <n v="41"/>
    <n v="201208"/>
    <n v="123000"/>
  </r>
  <r>
    <x v="470"/>
    <x v="1"/>
    <m/>
    <x v="0"/>
    <x v="1"/>
    <x v="123"/>
    <m/>
    <m/>
    <m/>
    <n v="3"/>
    <n v="201208"/>
    <n v="105000"/>
  </r>
  <r>
    <x v="470"/>
    <x v="1"/>
    <m/>
    <x v="0"/>
    <x v="7"/>
    <x v="163"/>
    <m/>
    <m/>
    <m/>
    <n v="3"/>
    <n v="201208"/>
    <n v="60000"/>
  </r>
  <r>
    <x v="470"/>
    <x v="1"/>
    <m/>
    <x v="6"/>
    <x v="2"/>
    <x v="126"/>
    <m/>
    <m/>
    <m/>
    <n v="3"/>
    <n v="201208"/>
    <n v="60000"/>
  </r>
  <r>
    <x v="470"/>
    <x v="1"/>
    <m/>
    <x v="34"/>
    <x v="2"/>
    <x v="128"/>
    <m/>
    <m/>
    <m/>
    <n v="60"/>
    <n v="201208"/>
    <n v="2226000"/>
  </r>
  <r>
    <x v="470"/>
    <x v="1"/>
    <m/>
    <x v="25"/>
    <x v="2"/>
    <x v="129"/>
    <m/>
    <m/>
    <m/>
    <n v="3"/>
    <n v="201208"/>
    <n v="297000"/>
  </r>
  <r>
    <x v="470"/>
    <x v="1"/>
    <m/>
    <x v="0"/>
    <x v="2"/>
    <x v="130"/>
    <m/>
    <m/>
    <m/>
    <n v="47"/>
    <n v="201208"/>
    <n v="1551000"/>
  </r>
  <r>
    <x v="470"/>
    <x v="1"/>
    <m/>
    <x v="0"/>
    <x v="2"/>
    <x v="168"/>
    <m/>
    <m/>
    <m/>
    <n v="2"/>
    <n v="201208"/>
    <n v="40000"/>
  </r>
  <r>
    <x v="470"/>
    <x v="1"/>
    <m/>
    <x v="30"/>
    <x v="2"/>
    <x v="132"/>
    <m/>
    <m/>
    <m/>
    <n v="20"/>
    <n v="201208"/>
    <n v="448000"/>
  </r>
  <r>
    <x v="470"/>
    <x v="1"/>
    <m/>
    <x v="30"/>
    <x v="2"/>
    <x v="133"/>
    <m/>
    <m/>
    <m/>
    <n v="1"/>
    <n v="201208"/>
    <n v="39200"/>
  </r>
  <r>
    <x v="470"/>
    <x v="1"/>
    <m/>
    <x v="1"/>
    <x v="2"/>
    <x v="135"/>
    <m/>
    <m/>
    <m/>
    <n v="6"/>
    <n v="201208"/>
    <n v="120000"/>
  </r>
  <r>
    <x v="470"/>
    <x v="1"/>
    <m/>
    <x v="36"/>
    <x v="2"/>
    <x v="136"/>
    <m/>
    <m/>
    <m/>
    <n v="2"/>
    <n v="201208"/>
    <n v="56000"/>
  </r>
  <r>
    <x v="470"/>
    <x v="1"/>
    <m/>
    <x v="36"/>
    <x v="2"/>
    <x v="176"/>
    <m/>
    <m/>
    <m/>
    <n v="1"/>
    <n v="201208"/>
    <n v="49000"/>
  </r>
  <r>
    <x v="470"/>
    <x v="1"/>
    <m/>
    <x v="36"/>
    <x v="2"/>
    <x v="137"/>
    <m/>
    <m/>
    <m/>
    <n v="1"/>
    <n v="201208"/>
    <n v="42000"/>
  </r>
  <r>
    <x v="470"/>
    <x v="1"/>
    <m/>
    <x v="0"/>
    <x v="2"/>
    <x v="218"/>
    <m/>
    <m/>
    <m/>
    <n v="78"/>
    <n v="201208"/>
    <n v="1560000"/>
  </r>
  <r>
    <x v="470"/>
    <x v="1"/>
    <m/>
    <x v="0"/>
    <x v="2"/>
    <x v="219"/>
    <m/>
    <m/>
    <m/>
    <n v="57"/>
    <n v="201208"/>
    <n v="1995000"/>
  </r>
  <r>
    <x v="470"/>
    <x v="1"/>
    <m/>
    <x v="32"/>
    <x v="2"/>
    <x v="220"/>
    <m/>
    <m/>
    <m/>
    <n v="52"/>
    <n v="201208"/>
    <n v="1929200"/>
  </r>
  <r>
    <x v="470"/>
    <x v="1"/>
    <m/>
    <x v="18"/>
    <x v="2"/>
    <x v="125"/>
    <m/>
    <m/>
    <m/>
    <n v="63"/>
    <n v="201208"/>
    <n v="189000"/>
  </r>
  <r>
    <x v="470"/>
    <x v="1"/>
    <m/>
    <x v="0"/>
    <x v="2"/>
    <x v="138"/>
    <m/>
    <m/>
    <m/>
    <n v="2"/>
    <n v="201208"/>
    <n v="40000"/>
  </r>
  <r>
    <x v="470"/>
    <x v="1"/>
    <m/>
    <x v="0"/>
    <x v="2"/>
    <x v="211"/>
    <m/>
    <m/>
    <m/>
    <n v="1"/>
    <n v="201208"/>
    <n v="20000"/>
  </r>
  <r>
    <x v="470"/>
    <x v="1"/>
    <m/>
    <x v="0"/>
    <x v="2"/>
    <x v="197"/>
    <m/>
    <m/>
    <m/>
    <n v="1"/>
    <n v="201208"/>
    <n v="3000"/>
  </r>
  <r>
    <x v="470"/>
    <x v="1"/>
    <m/>
    <x v="4"/>
    <x v="2"/>
    <x v="143"/>
    <m/>
    <m/>
    <m/>
    <n v="6"/>
    <n v="201208"/>
    <n v="120000"/>
  </r>
  <r>
    <x v="470"/>
    <x v="1"/>
    <m/>
    <x v="4"/>
    <x v="2"/>
    <x v="144"/>
    <m/>
    <m/>
    <m/>
    <n v="10"/>
    <n v="201208"/>
    <n v="40000"/>
  </r>
  <r>
    <x v="470"/>
    <x v="1"/>
    <m/>
    <x v="31"/>
    <x v="2"/>
    <x v="145"/>
    <m/>
    <m/>
    <m/>
    <n v="80"/>
    <n v="201208"/>
    <n v="1792000"/>
  </r>
  <r>
    <x v="470"/>
    <x v="1"/>
    <m/>
    <x v="31"/>
    <x v="2"/>
    <x v="146"/>
    <m/>
    <m/>
    <m/>
    <n v="99"/>
    <n v="201208"/>
    <n v="3880800"/>
  </r>
  <r>
    <x v="470"/>
    <x v="1"/>
    <m/>
    <x v="31"/>
    <x v="2"/>
    <x v="221"/>
    <m/>
    <m/>
    <m/>
    <n v="18"/>
    <n v="201208"/>
    <n v="982800"/>
  </r>
  <r>
    <x v="470"/>
    <x v="1"/>
    <m/>
    <x v="32"/>
    <x v="2"/>
    <x v="147"/>
    <m/>
    <m/>
    <m/>
    <n v="23"/>
    <n v="201208"/>
    <n v="853300"/>
  </r>
  <r>
    <x v="470"/>
    <x v="1"/>
    <m/>
    <x v="31"/>
    <x v="2"/>
    <x v="198"/>
    <m/>
    <m/>
    <m/>
    <n v="1"/>
    <n v="201208"/>
    <n v="22400"/>
  </r>
  <r>
    <x v="470"/>
    <x v="1"/>
    <m/>
    <x v="31"/>
    <x v="2"/>
    <x v="199"/>
    <m/>
    <m/>
    <m/>
    <n v="2"/>
    <n v="201208"/>
    <n v="78400"/>
  </r>
  <r>
    <x v="470"/>
    <x v="1"/>
    <m/>
    <x v="32"/>
    <x v="2"/>
    <x v="200"/>
    <m/>
    <m/>
    <m/>
    <n v="1"/>
    <n v="201208"/>
    <n v="37100"/>
  </r>
  <r>
    <x v="470"/>
    <x v="1"/>
    <m/>
    <x v="0"/>
    <x v="2"/>
    <x v="148"/>
    <m/>
    <m/>
    <m/>
    <n v="1"/>
    <n v="201208"/>
    <n v="20000"/>
  </r>
  <r>
    <x v="470"/>
    <x v="1"/>
    <m/>
    <x v="31"/>
    <x v="2"/>
    <x v="189"/>
    <m/>
    <m/>
    <m/>
    <n v="5"/>
    <n v="201208"/>
    <n v="112000"/>
  </r>
  <r>
    <x v="470"/>
    <x v="1"/>
    <m/>
    <x v="31"/>
    <x v="2"/>
    <x v="184"/>
    <m/>
    <m/>
    <m/>
    <n v="14"/>
    <n v="201208"/>
    <n v="548800"/>
  </r>
  <r>
    <x v="470"/>
    <x v="1"/>
    <m/>
    <x v="31"/>
    <x v="2"/>
    <x v="223"/>
    <m/>
    <m/>
    <m/>
    <n v="5"/>
    <n v="201208"/>
    <n v="273000"/>
  </r>
  <r>
    <x v="470"/>
    <x v="1"/>
    <m/>
    <x v="32"/>
    <x v="2"/>
    <x v="185"/>
    <m/>
    <m/>
    <m/>
    <n v="1"/>
    <n v="201208"/>
    <n v="37100"/>
  </r>
  <r>
    <x v="470"/>
    <x v="1"/>
    <m/>
    <x v="31"/>
    <x v="2"/>
    <x v="186"/>
    <m/>
    <m/>
    <m/>
    <n v="86"/>
    <n v="201208"/>
    <n v="1926400"/>
  </r>
  <r>
    <x v="470"/>
    <x v="1"/>
    <m/>
    <x v="31"/>
    <x v="2"/>
    <x v="187"/>
    <m/>
    <m/>
    <m/>
    <n v="81"/>
    <n v="201208"/>
    <n v="3175200"/>
  </r>
  <r>
    <x v="470"/>
    <x v="1"/>
    <m/>
    <x v="31"/>
    <x v="2"/>
    <x v="222"/>
    <m/>
    <m/>
    <m/>
    <n v="6"/>
    <n v="201208"/>
    <n v="327600"/>
  </r>
  <r>
    <x v="470"/>
    <x v="1"/>
    <m/>
    <x v="32"/>
    <x v="2"/>
    <x v="188"/>
    <m/>
    <m/>
    <m/>
    <n v="17"/>
    <n v="201208"/>
    <n v="630700"/>
  </r>
  <r>
    <x v="470"/>
    <x v="1"/>
    <m/>
    <x v="22"/>
    <x v="2"/>
    <x v="150"/>
    <m/>
    <m/>
    <m/>
    <n v="8"/>
    <n v="201208"/>
    <n v="304000"/>
  </r>
  <r>
    <x v="470"/>
    <x v="1"/>
    <m/>
    <x v="22"/>
    <x v="2"/>
    <x v="150"/>
    <m/>
    <m/>
    <m/>
    <n v="8"/>
    <n v="201208"/>
    <n v="304000"/>
  </r>
  <r>
    <x v="470"/>
    <x v="1"/>
    <m/>
    <x v="5"/>
    <x v="2"/>
    <x v="151"/>
    <m/>
    <m/>
    <m/>
    <n v="22"/>
    <n v="201208"/>
    <n v="616000"/>
  </r>
  <r>
    <x v="470"/>
    <x v="1"/>
    <m/>
    <x v="5"/>
    <x v="2"/>
    <x v="152"/>
    <m/>
    <m/>
    <m/>
    <n v="10"/>
    <n v="201208"/>
    <n v="480000"/>
  </r>
  <r>
    <x v="470"/>
    <x v="1"/>
    <m/>
    <x v="5"/>
    <x v="2"/>
    <x v="153"/>
    <m/>
    <m/>
    <m/>
    <n v="5"/>
    <n v="201208"/>
    <n v="140000"/>
  </r>
  <r>
    <x v="470"/>
    <x v="1"/>
    <m/>
    <x v="33"/>
    <x v="2"/>
    <x v="155"/>
    <m/>
    <m/>
    <m/>
    <n v="4"/>
    <n v="201208"/>
    <n v="72800"/>
  </r>
  <r>
    <x v="470"/>
    <x v="1"/>
    <m/>
    <x v="33"/>
    <x v="2"/>
    <x v="156"/>
    <m/>
    <m/>
    <m/>
    <n v="4"/>
    <n v="201208"/>
    <n v="135200"/>
  </r>
  <r>
    <x v="470"/>
    <x v="1"/>
    <m/>
    <x v="19"/>
    <x v="2"/>
    <x v="157"/>
    <m/>
    <m/>
    <m/>
    <n v="27"/>
    <n v="201208"/>
    <n v="351000"/>
  </r>
  <r>
    <x v="470"/>
    <x v="1"/>
    <m/>
    <x v="19"/>
    <x v="2"/>
    <x v="158"/>
    <m/>
    <m/>
    <m/>
    <n v="6"/>
    <n v="201208"/>
    <n v="144000"/>
  </r>
  <r>
    <x v="470"/>
    <x v="1"/>
    <m/>
    <x v="19"/>
    <x v="2"/>
    <x v="159"/>
    <m/>
    <m/>
    <m/>
    <n v="3"/>
    <n v="201208"/>
    <n v="99000"/>
  </r>
  <r>
    <x v="470"/>
    <x v="1"/>
    <m/>
    <x v="35"/>
    <x v="2"/>
    <x v="170"/>
    <m/>
    <m/>
    <m/>
    <n v="1"/>
    <n v="201208"/>
    <n v="4000"/>
  </r>
  <r>
    <x v="470"/>
    <x v="1"/>
    <m/>
    <x v="35"/>
    <x v="2"/>
    <x v="160"/>
    <m/>
    <m/>
    <m/>
    <n v="2"/>
    <n v="201208"/>
    <n v="40000"/>
  </r>
  <r>
    <x v="470"/>
    <x v="1"/>
    <m/>
    <x v="4"/>
    <x v="2"/>
    <x v="208"/>
    <m/>
    <m/>
    <m/>
    <n v="8"/>
    <n v="201208"/>
    <n v="160000"/>
  </r>
  <r>
    <x v="470"/>
    <x v="1"/>
    <m/>
    <x v="18"/>
    <x v="2"/>
    <x v="161"/>
    <m/>
    <m/>
    <m/>
    <n v="46"/>
    <n v="201208"/>
    <n v="138000"/>
  </r>
  <r>
    <x v="470"/>
    <x v="1"/>
    <m/>
    <x v="18"/>
    <x v="2"/>
    <x v="161"/>
    <m/>
    <m/>
    <m/>
    <n v="1"/>
    <n v="201208"/>
    <n v="3000"/>
  </r>
  <r>
    <x v="471"/>
    <x v="0"/>
    <m/>
    <x v="0"/>
    <x v="1"/>
    <x v="124"/>
    <m/>
    <m/>
    <m/>
    <n v="1"/>
    <n v="201208"/>
    <n v="20000"/>
  </r>
  <r>
    <x v="471"/>
    <x v="0"/>
    <m/>
    <x v="0"/>
    <x v="3"/>
    <x v="164"/>
    <m/>
    <m/>
    <m/>
    <n v="6"/>
    <n v="201208"/>
    <n v="0"/>
  </r>
  <r>
    <x v="471"/>
    <x v="0"/>
    <m/>
    <x v="6"/>
    <x v="2"/>
    <x v="126"/>
    <m/>
    <m/>
    <m/>
    <n v="2"/>
    <n v="201208"/>
    <n v="40000"/>
  </r>
  <r>
    <x v="471"/>
    <x v="0"/>
    <m/>
    <x v="34"/>
    <x v="2"/>
    <x v="128"/>
    <m/>
    <m/>
    <m/>
    <n v="72"/>
    <n v="201208"/>
    <n v="2671200"/>
  </r>
  <r>
    <x v="471"/>
    <x v="0"/>
    <m/>
    <x v="25"/>
    <x v="2"/>
    <x v="129"/>
    <m/>
    <m/>
    <m/>
    <n v="2"/>
    <n v="201208"/>
    <n v="198000"/>
  </r>
  <r>
    <x v="471"/>
    <x v="0"/>
    <m/>
    <x v="0"/>
    <x v="2"/>
    <x v="130"/>
    <m/>
    <m/>
    <m/>
    <n v="28"/>
    <n v="201208"/>
    <n v="924000"/>
  </r>
  <r>
    <x v="471"/>
    <x v="0"/>
    <m/>
    <x v="0"/>
    <x v="2"/>
    <x v="224"/>
    <m/>
    <m/>
    <m/>
    <n v="10"/>
    <n v="201208"/>
    <n v="330000"/>
  </r>
  <r>
    <x v="471"/>
    <x v="0"/>
    <m/>
    <x v="0"/>
    <x v="2"/>
    <x v="225"/>
    <m/>
    <m/>
    <m/>
    <n v="1"/>
    <n v="201208"/>
    <n v="38000"/>
  </r>
  <r>
    <x v="471"/>
    <x v="0"/>
    <m/>
    <x v="0"/>
    <x v="2"/>
    <x v="178"/>
    <m/>
    <m/>
    <m/>
    <n v="2"/>
    <n v="201208"/>
    <n v="70000"/>
  </r>
  <r>
    <x v="471"/>
    <x v="0"/>
    <m/>
    <x v="0"/>
    <x v="2"/>
    <x v="179"/>
    <m/>
    <m/>
    <m/>
    <n v="1"/>
    <n v="201208"/>
    <n v="3000"/>
  </r>
  <r>
    <x v="471"/>
    <x v="0"/>
    <m/>
    <x v="30"/>
    <x v="2"/>
    <x v="132"/>
    <m/>
    <m/>
    <m/>
    <n v="12"/>
    <n v="201208"/>
    <n v="268800"/>
  </r>
  <r>
    <x v="471"/>
    <x v="0"/>
    <m/>
    <x v="30"/>
    <x v="2"/>
    <x v="133"/>
    <m/>
    <m/>
    <m/>
    <n v="5"/>
    <n v="201208"/>
    <n v="196000"/>
  </r>
  <r>
    <x v="471"/>
    <x v="0"/>
    <m/>
    <x v="34"/>
    <x v="2"/>
    <x v="134"/>
    <m/>
    <m/>
    <m/>
    <n v="4"/>
    <n v="201208"/>
    <n v="148400"/>
  </r>
  <r>
    <x v="471"/>
    <x v="0"/>
    <m/>
    <x v="1"/>
    <x v="2"/>
    <x v="135"/>
    <m/>
    <m/>
    <m/>
    <n v="4"/>
    <n v="201208"/>
    <n v="80000"/>
  </r>
  <r>
    <x v="471"/>
    <x v="0"/>
    <m/>
    <x v="36"/>
    <x v="2"/>
    <x v="136"/>
    <m/>
    <m/>
    <m/>
    <n v="1"/>
    <n v="201208"/>
    <n v="28000"/>
  </r>
  <r>
    <x v="471"/>
    <x v="0"/>
    <m/>
    <x v="36"/>
    <x v="2"/>
    <x v="176"/>
    <m/>
    <m/>
    <m/>
    <n v="2"/>
    <n v="201208"/>
    <n v="98000"/>
  </r>
  <r>
    <x v="471"/>
    <x v="0"/>
    <m/>
    <x v="0"/>
    <x v="2"/>
    <x v="218"/>
    <m/>
    <m/>
    <m/>
    <n v="74"/>
    <n v="201208"/>
    <n v="1480000"/>
  </r>
  <r>
    <x v="471"/>
    <x v="0"/>
    <m/>
    <x v="0"/>
    <x v="2"/>
    <x v="219"/>
    <m/>
    <m/>
    <m/>
    <n v="58"/>
    <n v="201208"/>
    <n v="2030000"/>
  </r>
  <r>
    <x v="471"/>
    <x v="0"/>
    <m/>
    <x v="32"/>
    <x v="2"/>
    <x v="220"/>
    <m/>
    <m/>
    <m/>
    <n v="39"/>
    <n v="201208"/>
    <n v="1446900"/>
  </r>
  <r>
    <x v="471"/>
    <x v="0"/>
    <m/>
    <x v="18"/>
    <x v="2"/>
    <x v="125"/>
    <m/>
    <m/>
    <m/>
    <n v="60"/>
    <n v="201208"/>
    <n v="180000"/>
  </r>
  <r>
    <x v="471"/>
    <x v="0"/>
    <m/>
    <x v="0"/>
    <x v="2"/>
    <x v="141"/>
    <m/>
    <m/>
    <m/>
    <n v="2"/>
    <n v="201208"/>
    <n v="66000"/>
  </r>
  <r>
    <x v="471"/>
    <x v="0"/>
    <m/>
    <x v="4"/>
    <x v="2"/>
    <x v="143"/>
    <m/>
    <m/>
    <m/>
    <n v="4"/>
    <n v="201208"/>
    <n v="80000"/>
  </r>
  <r>
    <x v="471"/>
    <x v="0"/>
    <m/>
    <x v="4"/>
    <x v="2"/>
    <x v="144"/>
    <m/>
    <m/>
    <m/>
    <n v="1"/>
    <n v="201208"/>
    <n v="4000"/>
  </r>
  <r>
    <x v="471"/>
    <x v="0"/>
    <m/>
    <x v="31"/>
    <x v="2"/>
    <x v="145"/>
    <m/>
    <m/>
    <m/>
    <n v="70"/>
    <n v="201208"/>
    <n v="1568000"/>
  </r>
  <r>
    <x v="471"/>
    <x v="0"/>
    <m/>
    <x v="31"/>
    <x v="2"/>
    <x v="146"/>
    <m/>
    <m/>
    <m/>
    <n v="87"/>
    <n v="201208"/>
    <n v="3410400"/>
  </r>
  <r>
    <x v="471"/>
    <x v="0"/>
    <m/>
    <x v="31"/>
    <x v="2"/>
    <x v="221"/>
    <m/>
    <m/>
    <m/>
    <n v="18"/>
    <n v="201208"/>
    <n v="982800"/>
  </r>
  <r>
    <x v="471"/>
    <x v="0"/>
    <m/>
    <x v="32"/>
    <x v="2"/>
    <x v="147"/>
    <m/>
    <m/>
    <m/>
    <n v="25"/>
    <n v="201208"/>
    <n v="927500"/>
  </r>
  <r>
    <x v="471"/>
    <x v="0"/>
    <m/>
    <x v="31"/>
    <x v="2"/>
    <x v="198"/>
    <m/>
    <m/>
    <m/>
    <n v="1"/>
    <n v="201208"/>
    <n v="22400"/>
  </r>
  <r>
    <x v="471"/>
    <x v="0"/>
    <m/>
    <x v="31"/>
    <x v="2"/>
    <x v="189"/>
    <m/>
    <m/>
    <m/>
    <n v="7"/>
    <n v="201208"/>
    <n v="156800"/>
  </r>
  <r>
    <x v="471"/>
    <x v="0"/>
    <m/>
    <x v="31"/>
    <x v="2"/>
    <x v="184"/>
    <m/>
    <m/>
    <m/>
    <n v="11"/>
    <n v="201208"/>
    <n v="431200"/>
  </r>
  <r>
    <x v="471"/>
    <x v="0"/>
    <m/>
    <x v="31"/>
    <x v="2"/>
    <x v="223"/>
    <m/>
    <m/>
    <m/>
    <n v="3"/>
    <n v="201208"/>
    <n v="163800"/>
  </r>
  <r>
    <x v="471"/>
    <x v="0"/>
    <m/>
    <x v="32"/>
    <x v="2"/>
    <x v="185"/>
    <m/>
    <m/>
    <m/>
    <n v="2"/>
    <n v="201208"/>
    <n v="74200"/>
  </r>
  <r>
    <x v="471"/>
    <x v="0"/>
    <m/>
    <x v="31"/>
    <x v="2"/>
    <x v="186"/>
    <m/>
    <m/>
    <m/>
    <n v="70"/>
    <n v="201208"/>
    <n v="1568000"/>
  </r>
  <r>
    <x v="471"/>
    <x v="0"/>
    <m/>
    <x v="31"/>
    <x v="2"/>
    <x v="187"/>
    <m/>
    <m/>
    <m/>
    <n v="77"/>
    <n v="201208"/>
    <n v="3018400"/>
  </r>
  <r>
    <x v="471"/>
    <x v="0"/>
    <m/>
    <x v="31"/>
    <x v="2"/>
    <x v="222"/>
    <m/>
    <m/>
    <m/>
    <n v="8"/>
    <n v="201208"/>
    <n v="436800"/>
  </r>
  <r>
    <x v="471"/>
    <x v="0"/>
    <m/>
    <x v="32"/>
    <x v="2"/>
    <x v="188"/>
    <m/>
    <m/>
    <m/>
    <n v="21"/>
    <n v="201208"/>
    <n v="779100"/>
  </r>
  <r>
    <x v="471"/>
    <x v="0"/>
    <m/>
    <x v="31"/>
    <x v="2"/>
    <x v="204"/>
    <m/>
    <m/>
    <m/>
    <n v="1"/>
    <n v="201208"/>
    <n v="22400"/>
  </r>
  <r>
    <x v="471"/>
    <x v="0"/>
    <m/>
    <x v="31"/>
    <x v="2"/>
    <x v="216"/>
    <m/>
    <m/>
    <m/>
    <n v="1"/>
    <n v="201208"/>
    <n v="54600"/>
  </r>
  <r>
    <x v="471"/>
    <x v="0"/>
    <m/>
    <x v="22"/>
    <x v="2"/>
    <x v="150"/>
    <m/>
    <m/>
    <m/>
    <n v="9"/>
    <n v="201208"/>
    <n v="342000"/>
  </r>
  <r>
    <x v="471"/>
    <x v="0"/>
    <m/>
    <x v="22"/>
    <x v="2"/>
    <x v="150"/>
    <m/>
    <m/>
    <m/>
    <n v="8"/>
    <n v="201208"/>
    <n v="304000"/>
  </r>
  <r>
    <x v="471"/>
    <x v="0"/>
    <m/>
    <x v="5"/>
    <x v="2"/>
    <x v="151"/>
    <m/>
    <m/>
    <m/>
    <n v="21"/>
    <n v="201208"/>
    <n v="588000"/>
  </r>
  <r>
    <x v="471"/>
    <x v="0"/>
    <m/>
    <x v="5"/>
    <x v="2"/>
    <x v="152"/>
    <m/>
    <m/>
    <m/>
    <n v="10"/>
    <n v="201208"/>
    <n v="480000"/>
  </r>
  <r>
    <x v="471"/>
    <x v="0"/>
    <m/>
    <x v="5"/>
    <x v="2"/>
    <x v="153"/>
    <m/>
    <m/>
    <m/>
    <n v="6"/>
    <n v="201208"/>
    <n v="168000"/>
  </r>
  <r>
    <x v="471"/>
    <x v="0"/>
    <m/>
    <x v="5"/>
    <x v="2"/>
    <x v="209"/>
    <m/>
    <m/>
    <m/>
    <n v="1"/>
    <n v="201208"/>
    <n v="48000"/>
  </r>
  <r>
    <x v="471"/>
    <x v="0"/>
    <m/>
    <x v="33"/>
    <x v="2"/>
    <x v="155"/>
    <m/>
    <m/>
    <m/>
    <n v="2"/>
    <n v="201208"/>
    <n v="36400"/>
  </r>
  <r>
    <x v="471"/>
    <x v="0"/>
    <m/>
    <x v="19"/>
    <x v="2"/>
    <x v="157"/>
    <m/>
    <m/>
    <m/>
    <n v="28"/>
    <n v="201208"/>
    <n v="364000"/>
  </r>
  <r>
    <x v="471"/>
    <x v="0"/>
    <m/>
    <x v="19"/>
    <x v="2"/>
    <x v="158"/>
    <m/>
    <m/>
    <m/>
    <n v="5"/>
    <n v="201208"/>
    <n v="120000"/>
  </r>
  <r>
    <x v="471"/>
    <x v="0"/>
    <m/>
    <x v="19"/>
    <x v="2"/>
    <x v="159"/>
    <m/>
    <m/>
    <m/>
    <n v="5"/>
    <n v="201208"/>
    <n v="165000"/>
  </r>
  <r>
    <x v="471"/>
    <x v="0"/>
    <m/>
    <x v="19"/>
    <x v="2"/>
    <x v="181"/>
    <m/>
    <m/>
    <m/>
    <n v="3"/>
    <n v="201208"/>
    <n v="39000"/>
  </r>
  <r>
    <x v="471"/>
    <x v="0"/>
    <m/>
    <x v="35"/>
    <x v="2"/>
    <x v="160"/>
    <m/>
    <m/>
    <m/>
    <n v="2"/>
    <n v="201208"/>
    <n v="40000"/>
  </r>
  <r>
    <x v="471"/>
    <x v="0"/>
    <m/>
    <x v="4"/>
    <x v="2"/>
    <x v="207"/>
    <m/>
    <m/>
    <m/>
    <n v="1"/>
    <n v="201208"/>
    <n v="4000"/>
  </r>
  <r>
    <x v="471"/>
    <x v="0"/>
    <m/>
    <x v="4"/>
    <x v="2"/>
    <x v="208"/>
    <m/>
    <m/>
    <m/>
    <n v="3"/>
    <n v="201208"/>
    <n v="60000"/>
  </r>
  <r>
    <x v="471"/>
    <x v="0"/>
    <m/>
    <x v="18"/>
    <x v="2"/>
    <x v="161"/>
    <m/>
    <m/>
    <m/>
    <n v="18"/>
    <n v="201208"/>
    <n v="54000"/>
  </r>
  <r>
    <x v="471"/>
    <x v="0"/>
    <m/>
    <x v="18"/>
    <x v="2"/>
    <x v="161"/>
    <m/>
    <m/>
    <m/>
    <n v="4"/>
    <n v="201208"/>
    <n v="12000"/>
  </r>
  <r>
    <x v="471"/>
    <x v="0"/>
    <m/>
    <x v="31"/>
    <x v="9"/>
    <x v="167"/>
    <m/>
    <m/>
    <m/>
    <n v="1"/>
    <n v="201208"/>
    <n v="22400"/>
  </r>
  <r>
    <x v="471"/>
    <x v="0"/>
    <m/>
    <x v="39"/>
    <x v="9"/>
    <x v="226"/>
    <m/>
    <m/>
    <m/>
    <n v="1"/>
    <n v="201208"/>
    <n v="38000"/>
  </r>
  <r>
    <x v="472"/>
    <x v="2"/>
    <m/>
    <x v="0"/>
    <x v="1"/>
    <x v="123"/>
    <m/>
    <m/>
    <m/>
    <n v="2"/>
    <n v="201208"/>
    <n v="70000"/>
  </r>
  <r>
    <x v="472"/>
    <x v="2"/>
    <m/>
    <x v="0"/>
    <x v="7"/>
    <x v="163"/>
    <m/>
    <m/>
    <m/>
    <n v="1"/>
    <n v="201208"/>
    <n v="20000"/>
  </r>
  <r>
    <x v="472"/>
    <x v="2"/>
    <m/>
    <x v="6"/>
    <x v="2"/>
    <x v="126"/>
    <m/>
    <m/>
    <m/>
    <n v="1"/>
    <n v="201208"/>
    <n v="20000"/>
  </r>
  <r>
    <x v="472"/>
    <x v="2"/>
    <m/>
    <x v="6"/>
    <x v="2"/>
    <x v="127"/>
    <m/>
    <m/>
    <m/>
    <n v="2"/>
    <n v="201208"/>
    <n v="70000"/>
  </r>
  <r>
    <x v="472"/>
    <x v="2"/>
    <m/>
    <x v="31"/>
    <x v="2"/>
    <x v="227"/>
    <m/>
    <m/>
    <m/>
    <n v="22"/>
    <n v="201208"/>
    <n v="492800"/>
  </r>
  <r>
    <x v="472"/>
    <x v="2"/>
    <m/>
    <x v="31"/>
    <x v="2"/>
    <x v="228"/>
    <m/>
    <m/>
    <m/>
    <n v="11"/>
    <n v="201208"/>
    <n v="431200"/>
  </r>
  <r>
    <x v="472"/>
    <x v="2"/>
    <m/>
    <x v="31"/>
    <x v="2"/>
    <x v="229"/>
    <m/>
    <m/>
    <m/>
    <n v="10"/>
    <n v="201208"/>
    <n v="546000"/>
  </r>
  <r>
    <x v="472"/>
    <x v="2"/>
    <m/>
    <x v="32"/>
    <x v="2"/>
    <x v="230"/>
    <m/>
    <m/>
    <m/>
    <n v="7"/>
    <n v="201208"/>
    <n v="259700"/>
  </r>
  <r>
    <x v="472"/>
    <x v="2"/>
    <m/>
    <x v="31"/>
    <x v="2"/>
    <x v="231"/>
    <m/>
    <m/>
    <m/>
    <n v="1"/>
    <n v="201208"/>
    <n v="22400"/>
  </r>
  <r>
    <x v="472"/>
    <x v="2"/>
    <m/>
    <x v="31"/>
    <x v="2"/>
    <x v="232"/>
    <m/>
    <m/>
    <m/>
    <n v="2"/>
    <n v="201208"/>
    <n v="78400"/>
  </r>
  <r>
    <x v="472"/>
    <x v="2"/>
    <m/>
    <x v="31"/>
    <x v="2"/>
    <x v="233"/>
    <m/>
    <m/>
    <m/>
    <n v="1"/>
    <n v="201208"/>
    <n v="54600"/>
  </r>
  <r>
    <x v="472"/>
    <x v="2"/>
    <m/>
    <x v="32"/>
    <x v="2"/>
    <x v="234"/>
    <m/>
    <m/>
    <m/>
    <n v="1"/>
    <n v="201208"/>
    <n v="37100"/>
  </r>
  <r>
    <x v="472"/>
    <x v="2"/>
    <m/>
    <x v="31"/>
    <x v="2"/>
    <x v="235"/>
    <m/>
    <m/>
    <m/>
    <n v="9"/>
    <n v="201208"/>
    <n v="201600"/>
  </r>
  <r>
    <x v="472"/>
    <x v="2"/>
    <m/>
    <x v="31"/>
    <x v="2"/>
    <x v="236"/>
    <m/>
    <m/>
    <m/>
    <n v="14"/>
    <n v="201208"/>
    <n v="548800"/>
  </r>
  <r>
    <x v="472"/>
    <x v="2"/>
    <m/>
    <x v="31"/>
    <x v="2"/>
    <x v="237"/>
    <m/>
    <m/>
    <m/>
    <n v="7"/>
    <n v="201208"/>
    <n v="382200"/>
  </r>
  <r>
    <x v="472"/>
    <x v="2"/>
    <m/>
    <x v="32"/>
    <x v="2"/>
    <x v="238"/>
    <m/>
    <m/>
    <m/>
    <n v="6"/>
    <n v="201208"/>
    <n v="222600"/>
  </r>
  <r>
    <x v="472"/>
    <x v="2"/>
    <m/>
    <x v="34"/>
    <x v="2"/>
    <x v="128"/>
    <m/>
    <m/>
    <m/>
    <n v="52"/>
    <n v="201208"/>
    <n v="1929200"/>
  </r>
  <r>
    <x v="472"/>
    <x v="2"/>
    <m/>
    <x v="25"/>
    <x v="2"/>
    <x v="129"/>
    <m/>
    <m/>
    <m/>
    <n v="3"/>
    <n v="201208"/>
    <n v="297000"/>
  </r>
  <r>
    <x v="472"/>
    <x v="2"/>
    <m/>
    <x v="0"/>
    <x v="2"/>
    <x v="224"/>
    <m/>
    <m/>
    <m/>
    <n v="37"/>
    <n v="201208"/>
    <n v="1221000"/>
  </r>
  <r>
    <x v="472"/>
    <x v="2"/>
    <m/>
    <x v="0"/>
    <x v="2"/>
    <x v="225"/>
    <m/>
    <m/>
    <m/>
    <n v="12"/>
    <n v="201208"/>
    <n v="456000"/>
  </r>
  <r>
    <x v="472"/>
    <x v="2"/>
    <m/>
    <x v="0"/>
    <x v="2"/>
    <x v="168"/>
    <m/>
    <m/>
    <m/>
    <n v="1"/>
    <n v="201208"/>
    <n v="20000"/>
  </r>
  <r>
    <x v="472"/>
    <x v="2"/>
    <m/>
    <x v="0"/>
    <x v="2"/>
    <x v="179"/>
    <m/>
    <m/>
    <m/>
    <n v="2"/>
    <n v="201208"/>
    <n v="6000"/>
  </r>
  <r>
    <x v="472"/>
    <x v="2"/>
    <m/>
    <x v="30"/>
    <x v="2"/>
    <x v="132"/>
    <m/>
    <m/>
    <m/>
    <n v="13"/>
    <n v="201208"/>
    <n v="291200"/>
  </r>
  <r>
    <x v="472"/>
    <x v="2"/>
    <m/>
    <x v="30"/>
    <x v="2"/>
    <x v="133"/>
    <m/>
    <m/>
    <m/>
    <n v="7"/>
    <n v="201208"/>
    <n v="274400"/>
  </r>
  <r>
    <x v="472"/>
    <x v="2"/>
    <m/>
    <x v="34"/>
    <x v="2"/>
    <x v="134"/>
    <m/>
    <m/>
    <m/>
    <n v="2"/>
    <n v="201208"/>
    <n v="74200"/>
  </r>
  <r>
    <x v="472"/>
    <x v="2"/>
    <m/>
    <x v="1"/>
    <x v="2"/>
    <x v="135"/>
    <m/>
    <m/>
    <m/>
    <n v="3"/>
    <n v="201208"/>
    <n v="60000"/>
  </r>
  <r>
    <x v="472"/>
    <x v="2"/>
    <m/>
    <x v="1"/>
    <x v="2"/>
    <x v="165"/>
    <m/>
    <m/>
    <m/>
    <n v="1"/>
    <n v="201208"/>
    <n v="35000"/>
  </r>
  <r>
    <x v="472"/>
    <x v="2"/>
    <m/>
    <x v="36"/>
    <x v="2"/>
    <x v="136"/>
    <m/>
    <m/>
    <m/>
    <n v="5"/>
    <n v="201208"/>
    <n v="140000"/>
  </r>
  <r>
    <x v="472"/>
    <x v="2"/>
    <m/>
    <x v="36"/>
    <x v="2"/>
    <x v="176"/>
    <m/>
    <m/>
    <m/>
    <n v="1"/>
    <n v="201208"/>
    <n v="49000"/>
  </r>
  <r>
    <x v="472"/>
    <x v="2"/>
    <m/>
    <x v="0"/>
    <x v="2"/>
    <x v="218"/>
    <m/>
    <m/>
    <m/>
    <n v="68"/>
    <n v="201208"/>
    <n v="1360000"/>
  </r>
  <r>
    <x v="472"/>
    <x v="2"/>
    <m/>
    <x v="0"/>
    <x v="2"/>
    <x v="239"/>
    <m/>
    <m/>
    <m/>
    <n v="11"/>
    <n v="201208"/>
    <n v="220000"/>
  </r>
  <r>
    <x v="472"/>
    <x v="2"/>
    <m/>
    <x v="0"/>
    <x v="2"/>
    <x v="240"/>
    <m/>
    <m/>
    <m/>
    <n v="15"/>
    <n v="201208"/>
    <n v="525000"/>
  </r>
  <r>
    <x v="472"/>
    <x v="2"/>
    <m/>
    <x v="0"/>
    <x v="2"/>
    <x v="219"/>
    <m/>
    <m/>
    <m/>
    <n v="31"/>
    <n v="201208"/>
    <n v="1085000"/>
  </r>
  <r>
    <x v="472"/>
    <x v="2"/>
    <m/>
    <x v="32"/>
    <x v="2"/>
    <x v="220"/>
    <m/>
    <m/>
    <m/>
    <n v="41"/>
    <n v="201208"/>
    <n v="1521100"/>
  </r>
  <r>
    <x v="472"/>
    <x v="2"/>
    <m/>
    <x v="18"/>
    <x v="2"/>
    <x v="125"/>
    <m/>
    <m/>
    <m/>
    <n v="63"/>
    <n v="201208"/>
    <n v="189000"/>
  </r>
  <r>
    <x v="472"/>
    <x v="2"/>
    <m/>
    <x v="0"/>
    <x v="2"/>
    <x v="138"/>
    <m/>
    <m/>
    <m/>
    <n v="1"/>
    <n v="201208"/>
    <n v="20000"/>
  </r>
  <r>
    <x v="472"/>
    <x v="2"/>
    <m/>
    <x v="0"/>
    <x v="2"/>
    <x v="141"/>
    <m/>
    <m/>
    <m/>
    <n v="2"/>
    <n v="201208"/>
    <n v="66000"/>
  </r>
  <r>
    <x v="472"/>
    <x v="2"/>
    <m/>
    <x v="32"/>
    <x v="2"/>
    <x v="213"/>
    <m/>
    <m/>
    <m/>
    <n v="2"/>
    <n v="201208"/>
    <n v="74200"/>
  </r>
  <r>
    <x v="472"/>
    <x v="2"/>
    <m/>
    <x v="0"/>
    <x v="2"/>
    <x v="197"/>
    <m/>
    <m/>
    <m/>
    <n v="1"/>
    <n v="201208"/>
    <n v="3000"/>
  </r>
  <r>
    <x v="472"/>
    <x v="2"/>
    <m/>
    <x v="4"/>
    <x v="2"/>
    <x v="142"/>
    <m/>
    <m/>
    <m/>
    <n v="1"/>
    <n v="201208"/>
    <n v="4000"/>
  </r>
  <r>
    <x v="472"/>
    <x v="2"/>
    <m/>
    <x v="4"/>
    <x v="2"/>
    <x v="143"/>
    <m/>
    <m/>
    <m/>
    <n v="4"/>
    <n v="201208"/>
    <n v="80000"/>
  </r>
  <r>
    <x v="472"/>
    <x v="2"/>
    <m/>
    <x v="4"/>
    <x v="2"/>
    <x v="144"/>
    <m/>
    <m/>
    <m/>
    <n v="8"/>
    <n v="201208"/>
    <n v="32000"/>
  </r>
  <r>
    <x v="472"/>
    <x v="2"/>
    <m/>
    <x v="31"/>
    <x v="2"/>
    <x v="145"/>
    <m/>
    <m/>
    <m/>
    <n v="36"/>
    <n v="201208"/>
    <n v="806400"/>
  </r>
  <r>
    <x v="472"/>
    <x v="2"/>
    <m/>
    <x v="31"/>
    <x v="2"/>
    <x v="146"/>
    <m/>
    <m/>
    <m/>
    <n v="34"/>
    <n v="201208"/>
    <n v="1332800"/>
  </r>
  <r>
    <x v="472"/>
    <x v="2"/>
    <m/>
    <x v="31"/>
    <x v="2"/>
    <x v="221"/>
    <m/>
    <m/>
    <m/>
    <n v="5"/>
    <n v="201208"/>
    <n v="273000"/>
  </r>
  <r>
    <x v="472"/>
    <x v="2"/>
    <m/>
    <x v="32"/>
    <x v="2"/>
    <x v="147"/>
    <m/>
    <m/>
    <m/>
    <n v="15"/>
    <n v="201208"/>
    <n v="556500"/>
  </r>
  <r>
    <x v="472"/>
    <x v="2"/>
    <m/>
    <x v="31"/>
    <x v="2"/>
    <x v="198"/>
    <m/>
    <m/>
    <m/>
    <n v="1"/>
    <n v="201208"/>
    <n v="22400"/>
  </r>
  <r>
    <x v="472"/>
    <x v="2"/>
    <m/>
    <x v="0"/>
    <x v="2"/>
    <x v="148"/>
    <m/>
    <m/>
    <m/>
    <n v="2"/>
    <n v="201208"/>
    <n v="40000"/>
  </r>
  <r>
    <x v="472"/>
    <x v="2"/>
    <m/>
    <x v="31"/>
    <x v="2"/>
    <x v="189"/>
    <m/>
    <m/>
    <m/>
    <n v="3"/>
    <n v="201208"/>
    <n v="67200"/>
  </r>
  <r>
    <x v="472"/>
    <x v="2"/>
    <m/>
    <x v="31"/>
    <x v="2"/>
    <x v="184"/>
    <m/>
    <m/>
    <m/>
    <n v="4"/>
    <n v="201208"/>
    <n v="156800"/>
  </r>
  <r>
    <x v="472"/>
    <x v="2"/>
    <m/>
    <x v="31"/>
    <x v="2"/>
    <x v="186"/>
    <m/>
    <m/>
    <m/>
    <n v="35"/>
    <n v="201208"/>
    <n v="784000"/>
  </r>
  <r>
    <x v="472"/>
    <x v="2"/>
    <m/>
    <x v="31"/>
    <x v="2"/>
    <x v="187"/>
    <m/>
    <m/>
    <m/>
    <n v="27"/>
    <n v="201208"/>
    <n v="1058400"/>
  </r>
  <r>
    <x v="472"/>
    <x v="2"/>
    <m/>
    <x v="31"/>
    <x v="2"/>
    <x v="222"/>
    <m/>
    <m/>
    <m/>
    <n v="4"/>
    <n v="201208"/>
    <n v="218400"/>
  </r>
  <r>
    <x v="472"/>
    <x v="2"/>
    <m/>
    <x v="32"/>
    <x v="2"/>
    <x v="188"/>
    <m/>
    <m/>
    <m/>
    <n v="13"/>
    <n v="201208"/>
    <n v="482300"/>
  </r>
  <r>
    <x v="472"/>
    <x v="2"/>
    <m/>
    <x v="22"/>
    <x v="2"/>
    <x v="150"/>
    <m/>
    <m/>
    <m/>
    <n v="9"/>
    <n v="201208"/>
    <n v="342000"/>
  </r>
  <r>
    <x v="472"/>
    <x v="2"/>
    <m/>
    <x v="22"/>
    <x v="2"/>
    <x v="150"/>
    <m/>
    <m/>
    <m/>
    <n v="7"/>
    <n v="201208"/>
    <n v="266000"/>
  </r>
  <r>
    <x v="472"/>
    <x v="2"/>
    <m/>
    <x v="5"/>
    <x v="2"/>
    <x v="151"/>
    <m/>
    <m/>
    <m/>
    <n v="24"/>
    <n v="201208"/>
    <n v="672000"/>
  </r>
  <r>
    <x v="472"/>
    <x v="2"/>
    <m/>
    <x v="5"/>
    <x v="2"/>
    <x v="152"/>
    <m/>
    <m/>
    <m/>
    <n v="5"/>
    <n v="201208"/>
    <n v="240000"/>
  </r>
  <r>
    <x v="472"/>
    <x v="2"/>
    <m/>
    <x v="5"/>
    <x v="2"/>
    <x v="153"/>
    <m/>
    <m/>
    <m/>
    <n v="13"/>
    <n v="201208"/>
    <n v="364000"/>
  </r>
  <r>
    <x v="472"/>
    <x v="2"/>
    <m/>
    <x v="33"/>
    <x v="2"/>
    <x v="155"/>
    <m/>
    <m/>
    <m/>
    <n v="2"/>
    <n v="201208"/>
    <n v="36400"/>
  </r>
  <r>
    <x v="472"/>
    <x v="2"/>
    <m/>
    <x v="33"/>
    <x v="2"/>
    <x v="156"/>
    <m/>
    <m/>
    <m/>
    <n v="2"/>
    <n v="201208"/>
    <n v="67600"/>
  </r>
  <r>
    <x v="472"/>
    <x v="2"/>
    <m/>
    <x v="19"/>
    <x v="2"/>
    <x v="157"/>
    <m/>
    <m/>
    <m/>
    <n v="19"/>
    <n v="201208"/>
    <n v="247000"/>
  </r>
  <r>
    <x v="472"/>
    <x v="2"/>
    <m/>
    <x v="19"/>
    <x v="2"/>
    <x v="158"/>
    <m/>
    <m/>
    <m/>
    <n v="7"/>
    <n v="201208"/>
    <n v="168000"/>
  </r>
  <r>
    <x v="472"/>
    <x v="2"/>
    <m/>
    <x v="19"/>
    <x v="2"/>
    <x v="159"/>
    <m/>
    <m/>
    <m/>
    <n v="3"/>
    <n v="201208"/>
    <n v="99000"/>
  </r>
  <r>
    <x v="472"/>
    <x v="2"/>
    <m/>
    <x v="19"/>
    <x v="2"/>
    <x v="181"/>
    <m/>
    <m/>
    <m/>
    <n v="1"/>
    <n v="201208"/>
    <n v="13000"/>
  </r>
  <r>
    <x v="472"/>
    <x v="2"/>
    <m/>
    <x v="35"/>
    <x v="2"/>
    <x v="170"/>
    <m/>
    <m/>
    <m/>
    <n v="1"/>
    <n v="201208"/>
    <n v="4000"/>
  </r>
  <r>
    <x v="472"/>
    <x v="2"/>
    <m/>
    <x v="35"/>
    <x v="2"/>
    <x v="160"/>
    <m/>
    <m/>
    <m/>
    <n v="4"/>
    <n v="201208"/>
    <n v="80000"/>
  </r>
  <r>
    <x v="472"/>
    <x v="2"/>
    <m/>
    <x v="4"/>
    <x v="2"/>
    <x v="241"/>
    <m/>
    <m/>
    <m/>
    <n v="1"/>
    <n v="201208"/>
    <n v="20000"/>
  </r>
  <r>
    <x v="472"/>
    <x v="2"/>
    <m/>
    <x v="4"/>
    <x v="2"/>
    <x v="208"/>
    <m/>
    <m/>
    <m/>
    <n v="1"/>
    <n v="201208"/>
    <n v="20000"/>
  </r>
  <r>
    <x v="472"/>
    <x v="2"/>
    <m/>
    <x v="18"/>
    <x v="2"/>
    <x v="161"/>
    <m/>
    <m/>
    <m/>
    <n v="16"/>
    <n v="201208"/>
    <n v="48000"/>
  </r>
  <r>
    <x v="472"/>
    <x v="2"/>
    <m/>
    <x v="18"/>
    <x v="2"/>
    <x v="161"/>
    <m/>
    <m/>
    <m/>
    <n v="1"/>
    <n v="201208"/>
    <n v="3000"/>
  </r>
  <r>
    <x v="473"/>
    <x v="5"/>
    <m/>
    <x v="0"/>
    <x v="7"/>
    <x v="163"/>
    <m/>
    <m/>
    <m/>
    <n v="3"/>
    <n v="201208"/>
    <n v="60000"/>
  </r>
  <r>
    <x v="473"/>
    <x v="5"/>
    <m/>
    <x v="6"/>
    <x v="2"/>
    <x v="126"/>
    <m/>
    <m/>
    <m/>
    <n v="1"/>
    <n v="201208"/>
    <n v="20000"/>
  </r>
  <r>
    <x v="473"/>
    <x v="5"/>
    <m/>
    <x v="6"/>
    <x v="2"/>
    <x v="127"/>
    <m/>
    <m/>
    <m/>
    <n v="2"/>
    <n v="201208"/>
    <n v="70000"/>
  </r>
  <r>
    <x v="473"/>
    <x v="5"/>
    <m/>
    <x v="31"/>
    <x v="2"/>
    <x v="227"/>
    <m/>
    <m/>
    <m/>
    <n v="31"/>
    <n v="201208"/>
    <n v="694400"/>
  </r>
  <r>
    <x v="473"/>
    <x v="5"/>
    <m/>
    <x v="31"/>
    <x v="2"/>
    <x v="228"/>
    <m/>
    <m/>
    <m/>
    <n v="35"/>
    <n v="201208"/>
    <n v="1372000"/>
  </r>
  <r>
    <x v="473"/>
    <x v="5"/>
    <m/>
    <x v="31"/>
    <x v="2"/>
    <x v="229"/>
    <m/>
    <m/>
    <m/>
    <n v="28"/>
    <n v="201208"/>
    <n v="1528800"/>
  </r>
  <r>
    <x v="473"/>
    <x v="5"/>
    <m/>
    <x v="32"/>
    <x v="2"/>
    <x v="230"/>
    <m/>
    <m/>
    <m/>
    <n v="10"/>
    <n v="201208"/>
    <n v="371000"/>
  </r>
  <r>
    <x v="473"/>
    <x v="5"/>
    <m/>
    <x v="31"/>
    <x v="2"/>
    <x v="231"/>
    <m/>
    <m/>
    <m/>
    <n v="6"/>
    <n v="201208"/>
    <n v="134400"/>
  </r>
  <r>
    <x v="473"/>
    <x v="5"/>
    <m/>
    <x v="31"/>
    <x v="2"/>
    <x v="232"/>
    <m/>
    <m/>
    <m/>
    <n v="4"/>
    <n v="201208"/>
    <n v="156800"/>
  </r>
  <r>
    <x v="473"/>
    <x v="5"/>
    <m/>
    <x v="31"/>
    <x v="2"/>
    <x v="233"/>
    <m/>
    <m/>
    <m/>
    <n v="3"/>
    <n v="201208"/>
    <n v="163800"/>
  </r>
  <r>
    <x v="473"/>
    <x v="5"/>
    <m/>
    <x v="32"/>
    <x v="2"/>
    <x v="234"/>
    <m/>
    <m/>
    <m/>
    <n v="2"/>
    <n v="201208"/>
    <n v="74200"/>
  </r>
  <r>
    <x v="473"/>
    <x v="5"/>
    <m/>
    <x v="31"/>
    <x v="2"/>
    <x v="235"/>
    <m/>
    <m/>
    <m/>
    <n v="37"/>
    <n v="201208"/>
    <n v="828800"/>
  </r>
  <r>
    <x v="473"/>
    <x v="5"/>
    <m/>
    <x v="31"/>
    <x v="2"/>
    <x v="236"/>
    <m/>
    <m/>
    <m/>
    <n v="25"/>
    <n v="201208"/>
    <n v="980000"/>
  </r>
  <r>
    <x v="473"/>
    <x v="5"/>
    <m/>
    <x v="31"/>
    <x v="2"/>
    <x v="237"/>
    <m/>
    <m/>
    <m/>
    <n v="21"/>
    <n v="201208"/>
    <n v="1146600"/>
  </r>
  <r>
    <x v="473"/>
    <x v="5"/>
    <m/>
    <x v="32"/>
    <x v="2"/>
    <x v="238"/>
    <m/>
    <m/>
    <m/>
    <n v="10"/>
    <n v="201208"/>
    <n v="371000"/>
  </r>
  <r>
    <x v="473"/>
    <x v="5"/>
    <m/>
    <x v="34"/>
    <x v="2"/>
    <x v="128"/>
    <m/>
    <m/>
    <m/>
    <n v="35"/>
    <n v="201208"/>
    <n v="1298500"/>
  </r>
  <r>
    <x v="473"/>
    <x v="5"/>
    <m/>
    <x v="25"/>
    <x v="2"/>
    <x v="129"/>
    <m/>
    <m/>
    <m/>
    <n v="3"/>
    <n v="201208"/>
    <n v="297000"/>
  </r>
  <r>
    <x v="473"/>
    <x v="5"/>
    <m/>
    <x v="0"/>
    <x v="2"/>
    <x v="224"/>
    <m/>
    <m/>
    <m/>
    <n v="21"/>
    <n v="201208"/>
    <n v="693000"/>
  </r>
  <r>
    <x v="473"/>
    <x v="5"/>
    <m/>
    <x v="0"/>
    <x v="2"/>
    <x v="225"/>
    <m/>
    <m/>
    <m/>
    <n v="6"/>
    <n v="201208"/>
    <n v="228000"/>
  </r>
  <r>
    <x v="473"/>
    <x v="5"/>
    <m/>
    <x v="0"/>
    <x v="2"/>
    <x v="178"/>
    <m/>
    <m/>
    <m/>
    <n v="1"/>
    <n v="201208"/>
    <n v="35000"/>
  </r>
  <r>
    <x v="473"/>
    <x v="5"/>
    <m/>
    <x v="30"/>
    <x v="2"/>
    <x v="132"/>
    <m/>
    <m/>
    <m/>
    <n v="11"/>
    <n v="201208"/>
    <n v="246400"/>
  </r>
  <r>
    <x v="473"/>
    <x v="5"/>
    <m/>
    <x v="34"/>
    <x v="2"/>
    <x v="134"/>
    <m/>
    <m/>
    <m/>
    <n v="3"/>
    <n v="201208"/>
    <n v="111300"/>
  </r>
  <r>
    <x v="473"/>
    <x v="5"/>
    <m/>
    <x v="1"/>
    <x v="2"/>
    <x v="135"/>
    <m/>
    <m/>
    <m/>
    <n v="2"/>
    <n v="201208"/>
    <n v="40000"/>
  </r>
  <r>
    <x v="473"/>
    <x v="5"/>
    <m/>
    <x v="1"/>
    <x v="2"/>
    <x v="165"/>
    <m/>
    <m/>
    <m/>
    <n v="1"/>
    <n v="201208"/>
    <n v="35000"/>
  </r>
  <r>
    <x v="473"/>
    <x v="5"/>
    <m/>
    <x v="36"/>
    <x v="2"/>
    <x v="136"/>
    <m/>
    <m/>
    <m/>
    <n v="2"/>
    <n v="201208"/>
    <n v="56000"/>
  </r>
  <r>
    <x v="473"/>
    <x v="5"/>
    <m/>
    <x v="0"/>
    <x v="2"/>
    <x v="218"/>
    <m/>
    <m/>
    <m/>
    <n v="48"/>
    <n v="201208"/>
    <n v="960000"/>
  </r>
  <r>
    <x v="473"/>
    <x v="5"/>
    <m/>
    <x v="0"/>
    <x v="2"/>
    <x v="239"/>
    <m/>
    <m/>
    <m/>
    <n v="18"/>
    <n v="201208"/>
    <n v="360000"/>
  </r>
  <r>
    <x v="473"/>
    <x v="5"/>
    <m/>
    <x v="0"/>
    <x v="2"/>
    <x v="240"/>
    <m/>
    <m/>
    <m/>
    <n v="25"/>
    <n v="201208"/>
    <n v="875000"/>
  </r>
  <r>
    <x v="473"/>
    <x v="5"/>
    <m/>
    <x v="32"/>
    <x v="2"/>
    <x v="220"/>
    <m/>
    <m/>
    <m/>
    <n v="12"/>
    <n v="201208"/>
    <n v="445200"/>
  </r>
  <r>
    <x v="473"/>
    <x v="5"/>
    <m/>
    <x v="18"/>
    <x v="2"/>
    <x v="125"/>
    <m/>
    <m/>
    <m/>
    <n v="20"/>
    <n v="201208"/>
    <n v="60000"/>
  </r>
  <r>
    <x v="473"/>
    <x v="5"/>
    <m/>
    <x v="0"/>
    <x v="2"/>
    <x v="139"/>
    <m/>
    <m/>
    <m/>
    <n v="1"/>
    <n v="201208"/>
    <n v="35000"/>
  </r>
  <r>
    <x v="473"/>
    <x v="5"/>
    <m/>
    <x v="4"/>
    <x v="2"/>
    <x v="143"/>
    <m/>
    <m/>
    <m/>
    <n v="6"/>
    <n v="201208"/>
    <n v="120000"/>
  </r>
  <r>
    <x v="473"/>
    <x v="5"/>
    <m/>
    <x v="4"/>
    <x v="2"/>
    <x v="144"/>
    <m/>
    <m/>
    <m/>
    <n v="12"/>
    <n v="201208"/>
    <n v="48000"/>
  </r>
  <r>
    <x v="473"/>
    <x v="5"/>
    <m/>
    <x v="31"/>
    <x v="2"/>
    <x v="145"/>
    <m/>
    <m/>
    <m/>
    <n v="3"/>
    <n v="201208"/>
    <n v="67200"/>
  </r>
  <r>
    <x v="473"/>
    <x v="5"/>
    <m/>
    <x v="22"/>
    <x v="2"/>
    <x v="150"/>
    <m/>
    <m/>
    <m/>
    <n v="9"/>
    <n v="201208"/>
    <n v="342000"/>
  </r>
  <r>
    <x v="473"/>
    <x v="5"/>
    <m/>
    <x v="22"/>
    <x v="2"/>
    <x v="150"/>
    <m/>
    <m/>
    <m/>
    <n v="4"/>
    <n v="201208"/>
    <n v="152000"/>
  </r>
  <r>
    <x v="473"/>
    <x v="5"/>
    <m/>
    <x v="5"/>
    <x v="2"/>
    <x v="151"/>
    <m/>
    <m/>
    <m/>
    <n v="19"/>
    <n v="201208"/>
    <n v="532000"/>
  </r>
  <r>
    <x v="473"/>
    <x v="5"/>
    <m/>
    <x v="5"/>
    <x v="2"/>
    <x v="152"/>
    <m/>
    <m/>
    <m/>
    <n v="2"/>
    <n v="201208"/>
    <n v="96000"/>
  </r>
  <r>
    <x v="473"/>
    <x v="5"/>
    <m/>
    <x v="5"/>
    <x v="2"/>
    <x v="153"/>
    <m/>
    <m/>
    <m/>
    <n v="2"/>
    <n v="201208"/>
    <n v="56000"/>
  </r>
  <r>
    <x v="473"/>
    <x v="5"/>
    <m/>
    <x v="33"/>
    <x v="2"/>
    <x v="155"/>
    <m/>
    <m/>
    <m/>
    <n v="3"/>
    <n v="201208"/>
    <n v="54600"/>
  </r>
  <r>
    <x v="473"/>
    <x v="5"/>
    <m/>
    <x v="33"/>
    <x v="2"/>
    <x v="156"/>
    <m/>
    <m/>
    <m/>
    <n v="1"/>
    <n v="201208"/>
    <n v="33800"/>
  </r>
  <r>
    <x v="473"/>
    <x v="5"/>
    <m/>
    <x v="19"/>
    <x v="2"/>
    <x v="157"/>
    <m/>
    <m/>
    <m/>
    <n v="16"/>
    <n v="201208"/>
    <n v="208000"/>
  </r>
  <r>
    <x v="473"/>
    <x v="5"/>
    <m/>
    <x v="19"/>
    <x v="2"/>
    <x v="158"/>
    <m/>
    <m/>
    <m/>
    <n v="3"/>
    <n v="201208"/>
    <n v="72000"/>
  </r>
  <r>
    <x v="473"/>
    <x v="5"/>
    <m/>
    <x v="19"/>
    <x v="2"/>
    <x v="159"/>
    <m/>
    <m/>
    <m/>
    <n v="2"/>
    <n v="201208"/>
    <n v="66000"/>
  </r>
  <r>
    <x v="473"/>
    <x v="5"/>
    <m/>
    <x v="4"/>
    <x v="2"/>
    <x v="242"/>
    <m/>
    <m/>
    <m/>
    <n v="1"/>
    <n v="201208"/>
    <n v="20000"/>
  </r>
  <r>
    <x v="473"/>
    <x v="5"/>
    <m/>
    <x v="4"/>
    <x v="2"/>
    <x v="241"/>
    <m/>
    <m/>
    <m/>
    <n v="1"/>
    <n v="201208"/>
    <n v="20000"/>
  </r>
  <r>
    <x v="473"/>
    <x v="5"/>
    <m/>
    <x v="18"/>
    <x v="2"/>
    <x v="161"/>
    <m/>
    <m/>
    <m/>
    <n v="21"/>
    <n v="201208"/>
    <n v="63000"/>
  </r>
  <r>
    <x v="473"/>
    <x v="5"/>
    <m/>
    <x v="18"/>
    <x v="2"/>
    <x v="161"/>
    <m/>
    <m/>
    <m/>
    <n v="2"/>
    <n v="201208"/>
    <n v="6000"/>
  </r>
  <r>
    <x v="474"/>
    <x v="6"/>
    <m/>
    <x v="0"/>
    <x v="7"/>
    <x v="163"/>
    <m/>
    <m/>
    <m/>
    <n v="2"/>
    <n v="201208"/>
    <n v="40000"/>
  </r>
  <r>
    <x v="474"/>
    <x v="6"/>
    <m/>
    <x v="6"/>
    <x v="2"/>
    <x v="126"/>
    <m/>
    <m/>
    <m/>
    <n v="2"/>
    <n v="201208"/>
    <n v="40000"/>
  </r>
  <r>
    <x v="474"/>
    <x v="6"/>
    <m/>
    <x v="6"/>
    <x v="2"/>
    <x v="127"/>
    <m/>
    <m/>
    <m/>
    <n v="1"/>
    <n v="201208"/>
    <n v="35000"/>
  </r>
  <r>
    <x v="474"/>
    <x v="6"/>
    <m/>
    <x v="31"/>
    <x v="2"/>
    <x v="227"/>
    <m/>
    <m/>
    <m/>
    <n v="37"/>
    <n v="201208"/>
    <n v="828800"/>
  </r>
  <r>
    <x v="474"/>
    <x v="6"/>
    <m/>
    <x v="31"/>
    <x v="2"/>
    <x v="228"/>
    <m/>
    <m/>
    <m/>
    <n v="38"/>
    <n v="201208"/>
    <n v="1489600"/>
  </r>
  <r>
    <x v="474"/>
    <x v="6"/>
    <m/>
    <x v="31"/>
    <x v="2"/>
    <x v="229"/>
    <m/>
    <m/>
    <m/>
    <n v="31"/>
    <n v="201208"/>
    <n v="1692600"/>
  </r>
  <r>
    <x v="474"/>
    <x v="6"/>
    <m/>
    <x v="32"/>
    <x v="2"/>
    <x v="230"/>
    <m/>
    <m/>
    <m/>
    <n v="16"/>
    <n v="201208"/>
    <n v="593600"/>
  </r>
  <r>
    <x v="474"/>
    <x v="6"/>
    <m/>
    <x v="31"/>
    <x v="2"/>
    <x v="231"/>
    <m/>
    <m/>
    <m/>
    <n v="6"/>
    <n v="201208"/>
    <n v="134400"/>
  </r>
  <r>
    <x v="474"/>
    <x v="6"/>
    <m/>
    <x v="31"/>
    <x v="2"/>
    <x v="232"/>
    <m/>
    <m/>
    <m/>
    <n v="7"/>
    <n v="201208"/>
    <n v="274400"/>
  </r>
  <r>
    <x v="474"/>
    <x v="6"/>
    <m/>
    <x v="31"/>
    <x v="2"/>
    <x v="233"/>
    <m/>
    <m/>
    <m/>
    <n v="4"/>
    <n v="201208"/>
    <n v="218400"/>
  </r>
  <r>
    <x v="474"/>
    <x v="6"/>
    <m/>
    <x v="32"/>
    <x v="2"/>
    <x v="234"/>
    <m/>
    <m/>
    <m/>
    <n v="3"/>
    <n v="201208"/>
    <n v="111300"/>
  </r>
  <r>
    <x v="474"/>
    <x v="6"/>
    <m/>
    <x v="31"/>
    <x v="2"/>
    <x v="235"/>
    <m/>
    <m/>
    <m/>
    <n v="36"/>
    <n v="201208"/>
    <n v="806400"/>
  </r>
  <r>
    <x v="474"/>
    <x v="6"/>
    <m/>
    <x v="31"/>
    <x v="2"/>
    <x v="236"/>
    <m/>
    <m/>
    <m/>
    <n v="26"/>
    <n v="201208"/>
    <n v="1019200"/>
  </r>
  <r>
    <x v="474"/>
    <x v="6"/>
    <m/>
    <x v="31"/>
    <x v="2"/>
    <x v="237"/>
    <m/>
    <m/>
    <m/>
    <n v="23"/>
    <n v="201208"/>
    <n v="1255800"/>
  </r>
  <r>
    <x v="474"/>
    <x v="6"/>
    <m/>
    <x v="32"/>
    <x v="2"/>
    <x v="238"/>
    <m/>
    <m/>
    <m/>
    <n v="11"/>
    <n v="201208"/>
    <n v="408100"/>
  </r>
  <r>
    <x v="474"/>
    <x v="6"/>
    <m/>
    <x v="34"/>
    <x v="2"/>
    <x v="128"/>
    <m/>
    <m/>
    <m/>
    <n v="45"/>
    <n v="201208"/>
    <n v="1669500"/>
  </r>
  <r>
    <x v="474"/>
    <x v="6"/>
    <m/>
    <x v="25"/>
    <x v="2"/>
    <x v="129"/>
    <m/>
    <m/>
    <m/>
    <n v="4"/>
    <n v="201208"/>
    <n v="396000"/>
  </r>
  <r>
    <x v="474"/>
    <x v="6"/>
    <m/>
    <x v="0"/>
    <x v="2"/>
    <x v="224"/>
    <m/>
    <m/>
    <m/>
    <n v="42"/>
    <n v="201208"/>
    <n v="1386000"/>
  </r>
  <r>
    <x v="474"/>
    <x v="6"/>
    <m/>
    <x v="0"/>
    <x v="2"/>
    <x v="225"/>
    <m/>
    <m/>
    <m/>
    <n v="10"/>
    <n v="201208"/>
    <n v="380000"/>
  </r>
  <r>
    <x v="474"/>
    <x v="6"/>
    <m/>
    <x v="0"/>
    <x v="2"/>
    <x v="168"/>
    <m/>
    <m/>
    <m/>
    <n v="1"/>
    <n v="201208"/>
    <n v="20000"/>
  </r>
  <r>
    <x v="474"/>
    <x v="6"/>
    <m/>
    <x v="0"/>
    <x v="2"/>
    <x v="179"/>
    <m/>
    <m/>
    <m/>
    <n v="1"/>
    <n v="201208"/>
    <n v="3000"/>
  </r>
  <r>
    <x v="474"/>
    <x v="6"/>
    <m/>
    <x v="30"/>
    <x v="2"/>
    <x v="132"/>
    <m/>
    <m/>
    <m/>
    <n v="10"/>
    <n v="201208"/>
    <n v="224000"/>
  </r>
  <r>
    <x v="474"/>
    <x v="6"/>
    <m/>
    <x v="30"/>
    <x v="2"/>
    <x v="133"/>
    <m/>
    <m/>
    <m/>
    <n v="4"/>
    <n v="201208"/>
    <n v="156800"/>
  </r>
  <r>
    <x v="474"/>
    <x v="6"/>
    <m/>
    <x v="34"/>
    <x v="2"/>
    <x v="134"/>
    <m/>
    <m/>
    <m/>
    <n v="1"/>
    <n v="201208"/>
    <n v="37100"/>
  </r>
  <r>
    <x v="474"/>
    <x v="6"/>
    <m/>
    <x v="1"/>
    <x v="2"/>
    <x v="135"/>
    <m/>
    <m/>
    <m/>
    <n v="6"/>
    <n v="201208"/>
    <n v="120000"/>
  </r>
  <r>
    <x v="474"/>
    <x v="6"/>
    <m/>
    <x v="36"/>
    <x v="2"/>
    <x v="136"/>
    <m/>
    <m/>
    <m/>
    <n v="5"/>
    <n v="201208"/>
    <n v="140000"/>
  </r>
  <r>
    <x v="474"/>
    <x v="6"/>
    <m/>
    <x v="0"/>
    <x v="2"/>
    <x v="218"/>
    <m/>
    <m/>
    <m/>
    <n v="65"/>
    <n v="201208"/>
    <n v="1300000"/>
  </r>
  <r>
    <x v="474"/>
    <x v="6"/>
    <m/>
    <x v="0"/>
    <x v="2"/>
    <x v="239"/>
    <m/>
    <m/>
    <m/>
    <n v="20"/>
    <n v="201208"/>
    <n v="400000"/>
  </r>
  <r>
    <x v="474"/>
    <x v="6"/>
    <m/>
    <x v="0"/>
    <x v="2"/>
    <x v="240"/>
    <m/>
    <m/>
    <m/>
    <n v="32"/>
    <n v="201208"/>
    <n v="1120000"/>
  </r>
  <r>
    <x v="474"/>
    <x v="6"/>
    <m/>
    <x v="32"/>
    <x v="2"/>
    <x v="220"/>
    <m/>
    <m/>
    <m/>
    <n v="30"/>
    <n v="201208"/>
    <n v="1113000"/>
  </r>
  <r>
    <x v="474"/>
    <x v="6"/>
    <m/>
    <x v="18"/>
    <x v="2"/>
    <x v="125"/>
    <m/>
    <m/>
    <m/>
    <n v="52"/>
    <n v="201208"/>
    <n v="156000"/>
  </r>
  <r>
    <x v="474"/>
    <x v="6"/>
    <m/>
    <x v="4"/>
    <x v="2"/>
    <x v="142"/>
    <m/>
    <m/>
    <m/>
    <n v="2"/>
    <n v="201208"/>
    <n v="8000"/>
  </r>
  <r>
    <x v="474"/>
    <x v="6"/>
    <m/>
    <x v="4"/>
    <x v="2"/>
    <x v="143"/>
    <m/>
    <m/>
    <m/>
    <n v="5"/>
    <n v="201208"/>
    <n v="100000"/>
  </r>
  <r>
    <x v="474"/>
    <x v="6"/>
    <m/>
    <x v="4"/>
    <x v="2"/>
    <x v="144"/>
    <m/>
    <m/>
    <m/>
    <n v="5"/>
    <n v="201208"/>
    <n v="20000"/>
  </r>
  <r>
    <x v="474"/>
    <x v="6"/>
    <m/>
    <x v="31"/>
    <x v="2"/>
    <x v="146"/>
    <m/>
    <m/>
    <m/>
    <n v="1"/>
    <n v="201208"/>
    <n v="39200"/>
  </r>
  <r>
    <x v="474"/>
    <x v="6"/>
    <m/>
    <x v="22"/>
    <x v="2"/>
    <x v="150"/>
    <m/>
    <m/>
    <m/>
    <n v="9"/>
    <n v="201208"/>
    <n v="342000"/>
  </r>
  <r>
    <x v="474"/>
    <x v="6"/>
    <m/>
    <x v="22"/>
    <x v="2"/>
    <x v="150"/>
    <m/>
    <m/>
    <m/>
    <n v="4"/>
    <n v="201208"/>
    <n v="152000"/>
  </r>
  <r>
    <x v="474"/>
    <x v="6"/>
    <m/>
    <x v="5"/>
    <x v="2"/>
    <x v="151"/>
    <m/>
    <m/>
    <m/>
    <n v="21"/>
    <n v="201208"/>
    <n v="588000"/>
  </r>
  <r>
    <x v="474"/>
    <x v="6"/>
    <m/>
    <x v="5"/>
    <x v="2"/>
    <x v="152"/>
    <m/>
    <m/>
    <m/>
    <n v="13"/>
    <n v="201208"/>
    <n v="624000"/>
  </r>
  <r>
    <x v="474"/>
    <x v="6"/>
    <m/>
    <x v="5"/>
    <x v="2"/>
    <x v="153"/>
    <m/>
    <m/>
    <m/>
    <n v="6"/>
    <n v="201208"/>
    <n v="168000"/>
  </r>
  <r>
    <x v="474"/>
    <x v="6"/>
    <m/>
    <x v="33"/>
    <x v="2"/>
    <x v="155"/>
    <m/>
    <m/>
    <m/>
    <n v="2"/>
    <n v="201208"/>
    <n v="36400"/>
  </r>
  <r>
    <x v="474"/>
    <x v="6"/>
    <m/>
    <x v="33"/>
    <x v="2"/>
    <x v="156"/>
    <m/>
    <m/>
    <m/>
    <n v="2"/>
    <n v="201208"/>
    <n v="67600"/>
  </r>
  <r>
    <x v="474"/>
    <x v="6"/>
    <m/>
    <x v="19"/>
    <x v="2"/>
    <x v="157"/>
    <m/>
    <m/>
    <m/>
    <n v="18"/>
    <n v="201208"/>
    <n v="234000"/>
  </r>
  <r>
    <x v="474"/>
    <x v="6"/>
    <m/>
    <x v="19"/>
    <x v="2"/>
    <x v="158"/>
    <m/>
    <m/>
    <m/>
    <n v="7"/>
    <n v="201208"/>
    <n v="168000"/>
  </r>
  <r>
    <x v="474"/>
    <x v="6"/>
    <m/>
    <x v="19"/>
    <x v="2"/>
    <x v="159"/>
    <m/>
    <m/>
    <m/>
    <n v="2"/>
    <n v="201208"/>
    <n v="66000"/>
  </r>
  <r>
    <x v="474"/>
    <x v="6"/>
    <m/>
    <x v="35"/>
    <x v="2"/>
    <x v="170"/>
    <m/>
    <m/>
    <m/>
    <n v="2"/>
    <n v="201208"/>
    <n v="8000"/>
  </r>
  <r>
    <x v="474"/>
    <x v="6"/>
    <m/>
    <x v="4"/>
    <x v="2"/>
    <x v="242"/>
    <m/>
    <m/>
    <m/>
    <n v="1"/>
    <n v="201208"/>
    <n v="20000"/>
  </r>
  <r>
    <x v="474"/>
    <x v="6"/>
    <m/>
    <x v="4"/>
    <x v="2"/>
    <x v="241"/>
    <m/>
    <m/>
    <m/>
    <n v="4"/>
    <n v="201208"/>
    <n v="80000"/>
  </r>
  <r>
    <x v="474"/>
    <x v="6"/>
    <m/>
    <x v="18"/>
    <x v="2"/>
    <x v="161"/>
    <m/>
    <m/>
    <m/>
    <n v="15"/>
    <n v="201208"/>
    <n v="45000"/>
  </r>
  <r>
    <x v="475"/>
    <x v="3"/>
    <m/>
    <x v="0"/>
    <x v="1"/>
    <x v="123"/>
    <m/>
    <m/>
    <m/>
    <n v="3"/>
    <n v="201208"/>
    <n v="105000"/>
  </r>
  <r>
    <x v="475"/>
    <x v="3"/>
    <m/>
    <x v="0"/>
    <x v="1"/>
    <x v="124"/>
    <m/>
    <m/>
    <m/>
    <n v="2"/>
    <n v="201208"/>
    <n v="40000"/>
  </r>
  <r>
    <x v="475"/>
    <x v="3"/>
    <m/>
    <x v="0"/>
    <x v="7"/>
    <x v="163"/>
    <m/>
    <m/>
    <m/>
    <n v="2"/>
    <n v="201208"/>
    <n v="40000"/>
  </r>
  <r>
    <x v="475"/>
    <x v="3"/>
    <m/>
    <x v="31"/>
    <x v="3"/>
    <x v="88"/>
    <m/>
    <m/>
    <m/>
    <n v="1"/>
    <n v="201208"/>
    <n v="0"/>
  </r>
  <r>
    <x v="475"/>
    <x v="3"/>
    <m/>
    <x v="6"/>
    <x v="2"/>
    <x v="126"/>
    <m/>
    <m/>
    <m/>
    <n v="3"/>
    <n v="201208"/>
    <n v="60000"/>
  </r>
  <r>
    <x v="475"/>
    <x v="3"/>
    <m/>
    <x v="6"/>
    <x v="2"/>
    <x v="127"/>
    <m/>
    <m/>
    <m/>
    <n v="1"/>
    <n v="201208"/>
    <n v="35000"/>
  </r>
  <r>
    <x v="475"/>
    <x v="3"/>
    <m/>
    <x v="31"/>
    <x v="2"/>
    <x v="227"/>
    <m/>
    <m/>
    <m/>
    <n v="39"/>
    <n v="201208"/>
    <n v="873600"/>
  </r>
  <r>
    <x v="475"/>
    <x v="3"/>
    <m/>
    <x v="31"/>
    <x v="2"/>
    <x v="228"/>
    <m/>
    <m/>
    <m/>
    <n v="27"/>
    <n v="201208"/>
    <n v="1058400"/>
  </r>
  <r>
    <x v="475"/>
    <x v="3"/>
    <m/>
    <x v="31"/>
    <x v="2"/>
    <x v="229"/>
    <m/>
    <m/>
    <m/>
    <n v="24"/>
    <n v="201208"/>
    <n v="1310400"/>
  </r>
  <r>
    <x v="475"/>
    <x v="3"/>
    <m/>
    <x v="32"/>
    <x v="2"/>
    <x v="230"/>
    <m/>
    <m/>
    <m/>
    <n v="10"/>
    <n v="201208"/>
    <n v="371000"/>
  </r>
  <r>
    <x v="475"/>
    <x v="3"/>
    <m/>
    <x v="31"/>
    <x v="2"/>
    <x v="231"/>
    <m/>
    <m/>
    <m/>
    <n v="6"/>
    <n v="201208"/>
    <n v="134400"/>
  </r>
  <r>
    <x v="475"/>
    <x v="3"/>
    <m/>
    <x v="31"/>
    <x v="2"/>
    <x v="232"/>
    <m/>
    <m/>
    <m/>
    <n v="4"/>
    <n v="201208"/>
    <n v="156800"/>
  </r>
  <r>
    <x v="475"/>
    <x v="3"/>
    <m/>
    <x v="31"/>
    <x v="2"/>
    <x v="233"/>
    <m/>
    <m/>
    <m/>
    <n v="7"/>
    <n v="201208"/>
    <n v="382200"/>
  </r>
  <r>
    <x v="475"/>
    <x v="3"/>
    <m/>
    <x v="32"/>
    <x v="2"/>
    <x v="234"/>
    <m/>
    <m/>
    <m/>
    <n v="1"/>
    <n v="201208"/>
    <n v="37100"/>
  </r>
  <r>
    <x v="475"/>
    <x v="3"/>
    <m/>
    <x v="31"/>
    <x v="2"/>
    <x v="235"/>
    <m/>
    <m/>
    <m/>
    <n v="21"/>
    <n v="201208"/>
    <n v="470400"/>
  </r>
  <r>
    <x v="475"/>
    <x v="3"/>
    <m/>
    <x v="31"/>
    <x v="2"/>
    <x v="236"/>
    <m/>
    <m/>
    <m/>
    <n v="17"/>
    <n v="201208"/>
    <n v="666400"/>
  </r>
  <r>
    <x v="475"/>
    <x v="3"/>
    <m/>
    <x v="31"/>
    <x v="2"/>
    <x v="237"/>
    <m/>
    <m/>
    <m/>
    <n v="8"/>
    <n v="201208"/>
    <n v="436800"/>
  </r>
  <r>
    <x v="475"/>
    <x v="3"/>
    <m/>
    <x v="32"/>
    <x v="2"/>
    <x v="238"/>
    <m/>
    <m/>
    <m/>
    <n v="9"/>
    <n v="201208"/>
    <n v="333900"/>
  </r>
  <r>
    <x v="475"/>
    <x v="3"/>
    <m/>
    <x v="34"/>
    <x v="2"/>
    <x v="128"/>
    <m/>
    <m/>
    <m/>
    <n v="57"/>
    <n v="201208"/>
    <n v="2114700"/>
  </r>
  <r>
    <x v="475"/>
    <x v="3"/>
    <m/>
    <x v="25"/>
    <x v="2"/>
    <x v="129"/>
    <m/>
    <m/>
    <m/>
    <n v="6"/>
    <n v="201208"/>
    <n v="594000"/>
  </r>
  <r>
    <x v="475"/>
    <x v="3"/>
    <m/>
    <x v="0"/>
    <x v="2"/>
    <x v="224"/>
    <m/>
    <m/>
    <m/>
    <n v="45"/>
    <n v="201208"/>
    <n v="1485000"/>
  </r>
  <r>
    <x v="475"/>
    <x v="3"/>
    <m/>
    <x v="0"/>
    <x v="2"/>
    <x v="225"/>
    <m/>
    <m/>
    <m/>
    <n v="18"/>
    <n v="201208"/>
    <n v="684000"/>
  </r>
  <r>
    <x v="475"/>
    <x v="3"/>
    <m/>
    <x v="0"/>
    <x v="2"/>
    <x v="131"/>
    <m/>
    <m/>
    <m/>
    <n v="2"/>
    <n v="201208"/>
    <n v="66000"/>
  </r>
  <r>
    <x v="475"/>
    <x v="3"/>
    <m/>
    <x v="30"/>
    <x v="2"/>
    <x v="132"/>
    <m/>
    <m/>
    <m/>
    <n v="13"/>
    <n v="201208"/>
    <n v="291200"/>
  </r>
  <r>
    <x v="475"/>
    <x v="3"/>
    <m/>
    <x v="30"/>
    <x v="2"/>
    <x v="133"/>
    <m/>
    <m/>
    <m/>
    <n v="2"/>
    <n v="201208"/>
    <n v="78400"/>
  </r>
  <r>
    <x v="475"/>
    <x v="3"/>
    <m/>
    <x v="34"/>
    <x v="2"/>
    <x v="134"/>
    <m/>
    <m/>
    <m/>
    <n v="2"/>
    <n v="201208"/>
    <n v="74200"/>
  </r>
  <r>
    <x v="475"/>
    <x v="3"/>
    <m/>
    <x v="1"/>
    <x v="2"/>
    <x v="135"/>
    <m/>
    <m/>
    <m/>
    <n v="2"/>
    <n v="201208"/>
    <n v="40000"/>
  </r>
  <r>
    <x v="475"/>
    <x v="3"/>
    <m/>
    <x v="36"/>
    <x v="2"/>
    <x v="136"/>
    <m/>
    <m/>
    <m/>
    <n v="4"/>
    <n v="201208"/>
    <n v="112000"/>
  </r>
  <r>
    <x v="475"/>
    <x v="3"/>
    <m/>
    <x v="0"/>
    <x v="2"/>
    <x v="218"/>
    <m/>
    <m/>
    <m/>
    <n v="73"/>
    <n v="201208"/>
    <n v="1460000"/>
  </r>
  <r>
    <x v="475"/>
    <x v="3"/>
    <m/>
    <x v="0"/>
    <x v="2"/>
    <x v="239"/>
    <m/>
    <m/>
    <m/>
    <n v="36"/>
    <n v="201208"/>
    <n v="720000"/>
  </r>
  <r>
    <x v="475"/>
    <x v="3"/>
    <m/>
    <x v="0"/>
    <x v="2"/>
    <x v="240"/>
    <m/>
    <m/>
    <m/>
    <n v="48"/>
    <n v="201208"/>
    <n v="1680000"/>
  </r>
  <r>
    <x v="475"/>
    <x v="3"/>
    <m/>
    <x v="0"/>
    <x v="2"/>
    <x v="219"/>
    <m/>
    <m/>
    <m/>
    <n v="1"/>
    <n v="201208"/>
    <n v="35000"/>
  </r>
  <r>
    <x v="475"/>
    <x v="3"/>
    <m/>
    <x v="32"/>
    <x v="2"/>
    <x v="220"/>
    <m/>
    <m/>
    <m/>
    <n v="47"/>
    <n v="201208"/>
    <n v="1743700"/>
  </r>
  <r>
    <x v="475"/>
    <x v="3"/>
    <m/>
    <x v="18"/>
    <x v="2"/>
    <x v="125"/>
    <m/>
    <m/>
    <m/>
    <n v="54"/>
    <n v="201208"/>
    <n v="162000"/>
  </r>
  <r>
    <x v="475"/>
    <x v="3"/>
    <m/>
    <x v="0"/>
    <x v="2"/>
    <x v="138"/>
    <m/>
    <m/>
    <m/>
    <n v="1"/>
    <n v="201208"/>
    <n v="20000"/>
  </r>
  <r>
    <x v="475"/>
    <x v="3"/>
    <m/>
    <x v="4"/>
    <x v="2"/>
    <x v="143"/>
    <m/>
    <m/>
    <m/>
    <n v="12"/>
    <n v="201208"/>
    <n v="240000"/>
  </r>
  <r>
    <x v="475"/>
    <x v="3"/>
    <m/>
    <x v="31"/>
    <x v="2"/>
    <x v="145"/>
    <m/>
    <m/>
    <m/>
    <n v="1"/>
    <n v="201208"/>
    <n v="22400"/>
  </r>
  <r>
    <x v="475"/>
    <x v="3"/>
    <m/>
    <x v="0"/>
    <x v="2"/>
    <x v="148"/>
    <m/>
    <m/>
    <m/>
    <n v="1"/>
    <n v="201208"/>
    <n v="20000"/>
  </r>
  <r>
    <x v="475"/>
    <x v="3"/>
    <m/>
    <x v="22"/>
    <x v="2"/>
    <x v="150"/>
    <m/>
    <m/>
    <m/>
    <n v="10"/>
    <n v="201208"/>
    <n v="380000"/>
  </r>
  <r>
    <x v="475"/>
    <x v="3"/>
    <m/>
    <x v="22"/>
    <x v="2"/>
    <x v="150"/>
    <m/>
    <m/>
    <m/>
    <n v="5"/>
    <n v="201208"/>
    <n v="190000"/>
  </r>
  <r>
    <x v="475"/>
    <x v="3"/>
    <m/>
    <x v="5"/>
    <x v="2"/>
    <x v="151"/>
    <m/>
    <m/>
    <m/>
    <n v="17"/>
    <n v="201208"/>
    <n v="476000"/>
  </r>
  <r>
    <x v="475"/>
    <x v="3"/>
    <m/>
    <x v="5"/>
    <x v="2"/>
    <x v="152"/>
    <m/>
    <m/>
    <m/>
    <n v="4"/>
    <n v="201208"/>
    <n v="192000"/>
  </r>
  <r>
    <x v="475"/>
    <x v="3"/>
    <m/>
    <x v="5"/>
    <x v="2"/>
    <x v="153"/>
    <m/>
    <m/>
    <m/>
    <n v="13"/>
    <n v="201208"/>
    <n v="364000"/>
  </r>
  <r>
    <x v="475"/>
    <x v="3"/>
    <m/>
    <x v="33"/>
    <x v="2"/>
    <x v="155"/>
    <m/>
    <m/>
    <m/>
    <n v="3"/>
    <n v="201208"/>
    <n v="54600"/>
  </r>
  <r>
    <x v="475"/>
    <x v="3"/>
    <m/>
    <x v="33"/>
    <x v="2"/>
    <x v="156"/>
    <m/>
    <m/>
    <m/>
    <n v="1"/>
    <n v="201208"/>
    <n v="33800"/>
  </r>
  <r>
    <x v="475"/>
    <x v="3"/>
    <m/>
    <x v="19"/>
    <x v="2"/>
    <x v="157"/>
    <m/>
    <m/>
    <m/>
    <n v="24"/>
    <n v="201208"/>
    <n v="312000"/>
  </r>
  <r>
    <x v="475"/>
    <x v="3"/>
    <m/>
    <x v="19"/>
    <x v="2"/>
    <x v="158"/>
    <m/>
    <m/>
    <m/>
    <n v="5"/>
    <n v="201208"/>
    <n v="120000"/>
  </r>
  <r>
    <x v="475"/>
    <x v="3"/>
    <m/>
    <x v="19"/>
    <x v="2"/>
    <x v="159"/>
    <m/>
    <m/>
    <m/>
    <n v="4"/>
    <n v="201208"/>
    <n v="132000"/>
  </r>
  <r>
    <x v="475"/>
    <x v="3"/>
    <m/>
    <x v="35"/>
    <x v="2"/>
    <x v="160"/>
    <m/>
    <m/>
    <m/>
    <n v="3"/>
    <n v="201208"/>
    <n v="60000"/>
  </r>
  <r>
    <x v="475"/>
    <x v="3"/>
    <m/>
    <x v="4"/>
    <x v="2"/>
    <x v="243"/>
    <m/>
    <m/>
    <m/>
    <n v="2"/>
    <n v="201208"/>
    <n v="8000"/>
  </r>
  <r>
    <x v="475"/>
    <x v="3"/>
    <m/>
    <x v="4"/>
    <x v="2"/>
    <x v="242"/>
    <m/>
    <m/>
    <m/>
    <n v="2"/>
    <n v="201208"/>
    <n v="40000"/>
  </r>
  <r>
    <x v="475"/>
    <x v="3"/>
    <m/>
    <x v="4"/>
    <x v="2"/>
    <x v="207"/>
    <m/>
    <m/>
    <m/>
    <n v="2"/>
    <n v="201208"/>
    <n v="8000"/>
  </r>
  <r>
    <x v="475"/>
    <x v="3"/>
    <m/>
    <x v="4"/>
    <x v="2"/>
    <x v="241"/>
    <m/>
    <m/>
    <m/>
    <n v="4"/>
    <n v="201208"/>
    <n v="80000"/>
  </r>
  <r>
    <x v="475"/>
    <x v="3"/>
    <m/>
    <x v="18"/>
    <x v="2"/>
    <x v="161"/>
    <m/>
    <m/>
    <m/>
    <n v="22"/>
    <n v="201208"/>
    <n v="66000"/>
  </r>
  <r>
    <x v="475"/>
    <x v="3"/>
    <m/>
    <x v="33"/>
    <x v="9"/>
    <x v="244"/>
    <m/>
    <m/>
    <m/>
    <n v="1"/>
    <n v="201208"/>
    <n v="18200"/>
  </r>
  <r>
    <x v="476"/>
    <x v="4"/>
    <m/>
    <x v="0"/>
    <x v="1"/>
    <x v="123"/>
    <m/>
    <m/>
    <m/>
    <n v="2"/>
    <n v="201208"/>
    <n v="70000"/>
  </r>
  <r>
    <x v="476"/>
    <x v="4"/>
    <m/>
    <x v="0"/>
    <x v="7"/>
    <x v="163"/>
    <m/>
    <m/>
    <m/>
    <n v="4"/>
    <n v="201208"/>
    <n v="80000"/>
  </r>
  <r>
    <x v="476"/>
    <x v="4"/>
    <m/>
    <x v="0"/>
    <x v="3"/>
    <x v="164"/>
    <m/>
    <m/>
    <m/>
    <n v="4"/>
    <n v="201208"/>
    <n v="0"/>
  </r>
  <r>
    <x v="476"/>
    <x v="4"/>
    <m/>
    <x v="6"/>
    <x v="2"/>
    <x v="126"/>
    <m/>
    <m/>
    <m/>
    <n v="4"/>
    <n v="201208"/>
    <n v="80000"/>
  </r>
  <r>
    <x v="476"/>
    <x v="4"/>
    <m/>
    <x v="6"/>
    <x v="2"/>
    <x v="127"/>
    <m/>
    <m/>
    <m/>
    <n v="1"/>
    <n v="201208"/>
    <n v="35000"/>
  </r>
  <r>
    <x v="476"/>
    <x v="4"/>
    <m/>
    <x v="31"/>
    <x v="2"/>
    <x v="227"/>
    <m/>
    <m/>
    <m/>
    <n v="30"/>
    <n v="201208"/>
    <n v="672000"/>
  </r>
  <r>
    <x v="476"/>
    <x v="4"/>
    <m/>
    <x v="31"/>
    <x v="2"/>
    <x v="228"/>
    <m/>
    <m/>
    <m/>
    <n v="26"/>
    <n v="201208"/>
    <n v="1019200"/>
  </r>
  <r>
    <x v="476"/>
    <x v="4"/>
    <m/>
    <x v="31"/>
    <x v="2"/>
    <x v="229"/>
    <m/>
    <m/>
    <m/>
    <n v="26"/>
    <n v="201208"/>
    <n v="1419600"/>
  </r>
  <r>
    <x v="476"/>
    <x v="4"/>
    <m/>
    <x v="32"/>
    <x v="2"/>
    <x v="230"/>
    <m/>
    <m/>
    <m/>
    <n v="8"/>
    <n v="201208"/>
    <n v="296800"/>
  </r>
  <r>
    <x v="476"/>
    <x v="4"/>
    <m/>
    <x v="31"/>
    <x v="2"/>
    <x v="231"/>
    <m/>
    <m/>
    <m/>
    <n v="4"/>
    <n v="201208"/>
    <n v="89600"/>
  </r>
  <r>
    <x v="476"/>
    <x v="4"/>
    <m/>
    <x v="31"/>
    <x v="2"/>
    <x v="232"/>
    <m/>
    <m/>
    <m/>
    <n v="1"/>
    <n v="201208"/>
    <n v="39200"/>
  </r>
  <r>
    <x v="476"/>
    <x v="4"/>
    <m/>
    <x v="31"/>
    <x v="2"/>
    <x v="233"/>
    <m/>
    <m/>
    <m/>
    <n v="5"/>
    <n v="201208"/>
    <n v="273000"/>
  </r>
  <r>
    <x v="476"/>
    <x v="4"/>
    <m/>
    <x v="31"/>
    <x v="2"/>
    <x v="235"/>
    <m/>
    <m/>
    <m/>
    <n v="15"/>
    <n v="201208"/>
    <n v="336000"/>
  </r>
  <r>
    <x v="476"/>
    <x v="4"/>
    <m/>
    <x v="31"/>
    <x v="2"/>
    <x v="236"/>
    <m/>
    <m/>
    <m/>
    <n v="18"/>
    <n v="201208"/>
    <n v="705600"/>
  </r>
  <r>
    <x v="476"/>
    <x v="4"/>
    <m/>
    <x v="31"/>
    <x v="2"/>
    <x v="237"/>
    <m/>
    <m/>
    <m/>
    <n v="10"/>
    <n v="201208"/>
    <n v="546000"/>
  </r>
  <r>
    <x v="476"/>
    <x v="4"/>
    <m/>
    <x v="32"/>
    <x v="2"/>
    <x v="238"/>
    <m/>
    <m/>
    <m/>
    <n v="4"/>
    <n v="201208"/>
    <n v="148400"/>
  </r>
  <r>
    <x v="476"/>
    <x v="4"/>
    <m/>
    <x v="34"/>
    <x v="2"/>
    <x v="128"/>
    <m/>
    <m/>
    <m/>
    <n v="40"/>
    <n v="201208"/>
    <n v="1484000"/>
  </r>
  <r>
    <x v="476"/>
    <x v="4"/>
    <m/>
    <x v="25"/>
    <x v="2"/>
    <x v="129"/>
    <m/>
    <m/>
    <m/>
    <n v="3"/>
    <n v="201208"/>
    <n v="297000"/>
  </r>
  <r>
    <x v="476"/>
    <x v="4"/>
    <m/>
    <x v="0"/>
    <x v="2"/>
    <x v="224"/>
    <m/>
    <m/>
    <m/>
    <n v="42"/>
    <n v="201208"/>
    <n v="1386000"/>
  </r>
  <r>
    <x v="476"/>
    <x v="4"/>
    <m/>
    <x v="0"/>
    <x v="2"/>
    <x v="225"/>
    <m/>
    <m/>
    <m/>
    <n v="12"/>
    <n v="201208"/>
    <n v="456000"/>
  </r>
  <r>
    <x v="476"/>
    <x v="4"/>
    <m/>
    <x v="0"/>
    <x v="2"/>
    <x v="131"/>
    <m/>
    <m/>
    <m/>
    <n v="1"/>
    <n v="201208"/>
    <n v="33000"/>
  </r>
  <r>
    <x v="476"/>
    <x v="4"/>
    <m/>
    <x v="0"/>
    <x v="2"/>
    <x v="168"/>
    <m/>
    <m/>
    <m/>
    <n v="1"/>
    <n v="201208"/>
    <n v="20000"/>
  </r>
  <r>
    <x v="476"/>
    <x v="4"/>
    <m/>
    <x v="0"/>
    <x v="2"/>
    <x v="178"/>
    <m/>
    <m/>
    <m/>
    <n v="1"/>
    <n v="201208"/>
    <n v="35000"/>
  </r>
  <r>
    <x v="476"/>
    <x v="4"/>
    <m/>
    <x v="0"/>
    <x v="2"/>
    <x v="179"/>
    <m/>
    <m/>
    <m/>
    <n v="1"/>
    <n v="201208"/>
    <n v="3000"/>
  </r>
  <r>
    <x v="476"/>
    <x v="4"/>
    <m/>
    <x v="30"/>
    <x v="2"/>
    <x v="132"/>
    <m/>
    <m/>
    <m/>
    <n v="7"/>
    <n v="201208"/>
    <n v="156800"/>
  </r>
  <r>
    <x v="476"/>
    <x v="4"/>
    <m/>
    <x v="30"/>
    <x v="2"/>
    <x v="133"/>
    <m/>
    <m/>
    <m/>
    <n v="3"/>
    <n v="201208"/>
    <n v="117600"/>
  </r>
  <r>
    <x v="476"/>
    <x v="4"/>
    <m/>
    <x v="34"/>
    <x v="2"/>
    <x v="134"/>
    <m/>
    <m/>
    <m/>
    <n v="3"/>
    <n v="201208"/>
    <n v="111300"/>
  </r>
  <r>
    <x v="476"/>
    <x v="4"/>
    <m/>
    <x v="1"/>
    <x v="2"/>
    <x v="135"/>
    <m/>
    <m/>
    <m/>
    <n v="5"/>
    <n v="201208"/>
    <n v="100000"/>
  </r>
  <r>
    <x v="476"/>
    <x v="4"/>
    <m/>
    <x v="1"/>
    <x v="2"/>
    <x v="165"/>
    <m/>
    <m/>
    <m/>
    <n v="1"/>
    <n v="201208"/>
    <n v="35000"/>
  </r>
  <r>
    <x v="476"/>
    <x v="4"/>
    <m/>
    <x v="36"/>
    <x v="2"/>
    <x v="136"/>
    <m/>
    <m/>
    <m/>
    <n v="2"/>
    <n v="201208"/>
    <n v="56000"/>
  </r>
  <r>
    <x v="476"/>
    <x v="4"/>
    <m/>
    <x v="36"/>
    <x v="2"/>
    <x v="176"/>
    <m/>
    <m/>
    <m/>
    <n v="2"/>
    <n v="201208"/>
    <n v="98000"/>
  </r>
  <r>
    <x v="476"/>
    <x v="4"/>
    <m/>
    <x v="36"/>
    <x v="2"/>
    <x v="137"/>
    <m/>
    <m/>
    <m/>
    <n v="2"/>
    <n v="201208"/>
    <n v="84000"/>
  </r>
  <r>
    <x v="476"/>
    <x v="4"/>
    <m/>
    <x v="0"/>
    <x v="2"/>
    <x v="218"/>
    <m/>
    <m/>
    <m/>
    <n v="62"/>
    <n v="201208"/>
    <n v="1240000"/>
  </r>
  <r>
    <x v="476"/>
    <x v="4"/>
    <m/>
    <x v="0"/>
    <x v="2"/>
    <x v="239"/>
    <m/>
    <m/>
    <m/>
    <n v="9"/>
    <n v="201208"/>
    <n v="180000"/>
  </r>
  <r>
    <x v="476"/>
    <x v="4"/>
    <m/>
    <x v="0"/>
    <x v="2"/>
    <x v="240"/>
    <m/>
    <m/>
    <m/>
    <n v="32"/>
    <n v="201208"/>
    <n v="1120000"/>
  </r>
  <r>
    <x v="476"/>
    <x v="4"/>
    <m/>
    <x v="32"/>
    <x v="2"/>
    <x v="220"/>
    <m/>
    <m/>
    <m/>
    <n v="18"/>
    <n v="201208"/>
    <n v="667800"/>
  </r>
  <r>
    <x v="476"/>
    <x v="4"/>
    <m/>
    <x v="18"/>
    <x v="2"/>
    <x v="125"/>
    <m/>
    <m/>
    <m/>
    <n v="32"/>
    <n v="201208"/>
    <n v="96000"/>
  </r>
  <r>
    <x v="476"/>
    <x v="4"/>
    <m/>
    <x v="4"/>
    <x v="2"/>
    <x v="143"/>
    <m/>
    <m/>
    <m/>
    <n v="1"/>
    <n v="201208"/>
    <n v="20000"/>
  </r>
  <r>
    <x v="476"/>
    <x v="4"/>
    <m/>
    <x v="4"/>
    <x v="2"/>
    <x v="144"/>
    <m/>
    <m/>
    <m/>
    <n v="3"/>
    <n v="201208"/>
    <n v="12000"/>
  </r>
  <r>
    <x v="476"/>
    <x v="4"/>
    <m/>
    <x v="22"/>
    <x v="2"/>
    <x v="150"/>
    <m/>
    <m/>
    <m/>
    <n v="8"/>
    <n v="201208"/>
    <n v="304000"/>
  </r>
  <r>
    <x v="476"/>
    <x v="4"/>
    <m/>
    <x v="22"/>
    <x v="2"/>
    <x v="150"/>
    <m/>
    <m/>
    <m/>
    <n v="3"/>
    <n v="201208"/>
    <n v="114000"/>
  </r>
  <r>
    <x v="476"/>
    <x v="4"/>
    <m/>
    <x v="5"/>
    <x v="2"/>
    <x v="151"/>
    <m/>
    <m/>
    <m/>
    <n v="12"/>
    <n v="201208"/>
    <n v="336000"/>
  </r>
  <r>
    <x v="476"/>
    <x v="4"/>
    <m/>
    <x v="5"/>
    <x v="2"/>
    <x v="152"/>
    <m/>
    <m/>
    <m/>
    <n v="7"/>
    <n v="201208"/>
    <n v="336000"/>
  </r>
  <r>
    <x v="476"/>
    <x v="4"/>
    <m/>
    <x v="5"/>
    <x v="2"/>
    <x v="153"/>
    <m/>
    <m/>
    <m/>
    <n v="3"/>
    <n v="201208"/>
    <n v="84000"/>
  </r>
  <r>
    <x v="476"/>
    <x v="4"/>
    <m/>
    <x v="33"/>
    <x v="2"/>
    <x v="155"/>
    <m/>
    <m/>
    <m/>
    <n v="3"/>
    <n v="201208"/>
    <n v="54600"/>
  </r>
  <r>
    <x v="476"/>
    <x v="4"/>
    <m/>
    <x v="33"/>
    <x v="2"/>
    <x v="156"/>
    <m/>
    <m/>
    <m/>
    <n v="2"/>
    <n v="201208"/>
    <n v="67600"/>
  </r>
  <r>
    <x v="476"/>
    <x v="4"/>
    <m/>
    <x v="19"/>
    <x v="2"/>
    <x v="157"/>
    <m/>
    <m/>
    <m/>
    <n v="20"/>
    <n v="201208"/>
    <n v="260000"/>
  </r>
  <r>
    <x v="476"/>
    <x v="4"/>
    <m/>
    <x v="19"/>
    <x v="2"/>
    <x v="158"/>
    <m/>
    <m/>
    <m/>
    <n v="5"/>
    <n v="201208"/>
    <n v="120000"/>
  </r>
  <r>
    <x v="476"/>
    <x v="4"/>
    <m/>
    <x v="19"/>
    <x v="2"/>
    <x v="159"/>
    <m/>
    <m/>
    <m/>
    <n v="3"/>
    <n v="201208"/>
    <n v="99000"/>
  </r>
  <r>
    <x v="476"/>
    <x v="4"/>
    <m/>
    <x v="35"/>
    <x v="2"/>
    <x v="160"/>
    <m/>
    <m/>
    <m/>
    <n v="2"/>
    <n v="201208"/>
    <n v="40000"/>
  </r>
  <r>
    <x v="476"/>
    <x v="4"/>
    <m/>
    <x v="4"/>
    <x v="2"/>
    <x v="242"/>
    <m/>
    <m/>
    <m/>
    <n v="2"/>
    <n v="201208"/>
    <n v="40000"/>
  </r>
  <r>
    <x v="476"/>
    <x v="4"/>
    <m/>
    <x v="18"/>
    <x v="2"/>
    <x v="161"/>
    <m/>
    <m/>
    <m/>
    <n v="9"/>
    <n v="201208"/>
    <n v="27000"/>
  </r>
  <r>
    <x v="477"/>
    <x v="1"/>
    <m/>
    <x v="0"/>
    <x v="1"/>
    <x v="124"/>
    <m/>
    <m/>
    <m/>
    <n v="2"/>
    <n v="201208"/>
    <n v="40000"/>
  </r>
  <r>
    <x v="477"/>
    <x v="1"/>
    <m/>
    <x v="6"/>
    <x v="5"/>
    <x v="172"/>
    <m/>
    <m/>
    <m/>
    <n v="20"/>
    <n v="201208"/>
    <n v="400000"/>
  </r>
  <r>
    <x v="477"/>
    <x v="1"/>
    <m/>
    <x v="0"/>
    <x v="7"/>
    <x v="163"/>
    <m/>
    <m/>
    <m/>
    <n v="6"/>
    <n v="201208"/>
    <n v="120000"/>
  </r>
  <r>
    <x v="477"/>
    <x v="1"/>
    <m/>
    <x v="31"/>
    <x v="3"/>
    <x v="245"/>
    <m/>
    <m/>
    <m/>
    <n v="900"/>
    <n v="201208"/>
    <n v="0"/>
  </r>
  <r>
    <x v="477"/>
    <x v="1"/>
    <m/>
    <x v="6"/>
    <x v="2"/>
    <x v="126"/>
    <m/>
    <m/>
    <m/>
    <n v="2"/>
    <n v="201208"/>
    <n v="40000"/>
  </r>
  <r>
    <x v="477"/>
    <x v="1"/>
    <m/>
    <x v="6"/>
    <x v="2"/>
    <x v="127"/>
    <m/>
    <m/>
    <m/>
    <n v="2"/>
    <n v="201208"/>
    <n v="70000"/>
  </r>
  <r>
    <x v="477"/>
    <x v="1"/>
    <m/>
    <x v="31"/>
    <x v="2"/>
    <x v="227"/>
    <m/>
    <m/>
    <m/>
    <n v="39"/>
    <n v="201208"/>
    <n v="873600"/>
  </r>
  <r>
    <x v="477"/>
    <x v="1"/>
    <m/>
    <x v="31"/>
    <x v="2"/>
    <x v="228"/>
    <m/>
    <m/>
    <m/>
    <n v="23"/>
    <n v="201208"/>
    <n v="901600"/>
  </r>
  <r>
    <x v="477"/>
    <x v="1"/>
    <m/>
    <x v="31"/>
    <x v="2"/>
    <x v="229"/>
    <m/>
    <m/>
    <m/>
    <n v="28"/>
    <n v="201208"/>
    <n v="1528800"/>
  </r>
  <r>
    <x v="477"/>
    <x v="1"/>
    <m/>
    <x v="32"/>
    <x v="2"/>
    <x v="230"/>
    <m/>
    <m/>
    <m/>
    <n v="8"/>
    <n v="201208"/>
    <n v="296800"/>
  </r>
  <r>
    <x v="477"/>
    <x v="1"/>
    <m/>
    <x v="31"/>
    <x v="2"/>
    <x v="231"/>
    <m/>
    <m/>
    <m/>
    <n v="1"/>
    <n v="201208"/>
    <n v="22400"/>
  </r>
  <r>
    <x v="477"/>
    <x v="1"/>
    <m/>
    <x v="31"/>
    <x v="2"/>
    <x v="232"/>
    <m/>
    <m/>
    <m/>
    <n v="4"/>
    <n v="201208"/>
    <n v="156800"/>
  </r>
  <r>
    <x v="477"/>
    <x v="1"/>
    <m/>
    <x v="31"/>
    <x v="2"/>
    <x v="233"/>
    <m/>
    <m/>
    <m/>
    <n v="5"/>
    <n v="201208"/>
    <n v="273000"/>
  </r>
  <r>
    <x v="477"/>
    <x v="1"/>
    <m/>
    <x v="32"/>
    <x v="2"/>
    <x v="234"/>
    <m/>
    <m/>
    <m/>
    <n v="1"/>
    <n v="201208"/>
    <n v="37100"/>
  </r>
  <r>
    <x v="477"/>
    <x v="1"/>
    <m/>
    <x v="31"/>
    <x v="2"/>
    <x v="235"/>
    <m/>
    <m/>
    <m/>
    <n v="15"/>
    <n v="201208"/>
    <n v="336000"/>
  </r>
  <r>
    <x v="477"/>
    <x v="1"/>
    <m/>
    <x v="31"/>
    <x v="2"/>
    <x v="236"/>
    <m/>
    <m/>
    <m/>
    <n v="15"/>
    <n v="201208"/>
    <n v="588000"/>
  </r>
  <r>
    <x v="477"/>
    <x v="1"/>
    <m/>
    <x v="31"/>
    <x v="2"/>
    <x v="237"/>
    <m/>
    <m/>
    <m/>
    <n v="8"/>
    <n v="201208"/>
    <n v="436800"/>
  </r>
  <r>
    <x v="477"/>
    <x v="1"/>
    <m/>
    <x v="32"/>
    <x v="2"/>
    <x v="238"/>
    <m/>
    <m/>
    <m/>
    <n v="5"/>
    <n v="201208"/>
    <n v="185500"/>
  </r>
  <r>
    <x v="477"/>
    <x v="1"/>
    <m/>
    <x v="34"/>
    <x v="2"/>
    <x v="128"/>
    <m/>
    <m/>
    <m/>
    <n v="60"/>
    <n v="201208"/>
    <n v="2226000"/>
  </r>
  <r>
    <x v="477"/>
    <x v="1"/>
    <m/>
    <x v="25"/>
    <x v="2"/>
    <x v="129"/>
    <m/>
    <m/>
    <m/>
    <n v="2"/>
    <n v="201208"/>
    <n v="198000"/>
  </r>
  <r>
    <x v="477"/>
    <x v="1"/>
    <m/>
    <x v="5"/>
    <x v="2"/>
    <x v="246"/>
    <m/>
    <m/>
    <m/>
    <n v="55"/>
    <n v="201208"/>
    <n v="1540000"/>
  </r>
  <r>
    <x v="477"/>
    <x v="1"/>
    <m/>
    <x v="5"/>
    <x v="2"/>
    <x v="247"/>
    <m/>
    <m/>
    <m/>
    <n v="81"/>
    <n v="201208"/>
    <n v="2268000"/>
  </r>
  <r>
    <x v="477"/>
    <x v="1"/>
    <m/>
    <x v="0"/>
    <x v="2"/>
    <x v="224"/>
    <m/>
    <m/>
    <m/>
    <n v="64"/>
    <n v="201208"/>
    <n v="2112000"/>
  </r>
  <r>
    <x v="477"/>
    <x v="1"/>
    <m/>
    <x v="0"/>
    <x v="2"/>
    <x v="225"/>
    <m/>
    <m/>
    <m/>
    <n v="25"/>
    <n v="201208"/>
    <n v="950000"/>
  </r>
  <r>
    <x v="477"/>
    <x v="1"/>
    <m/>
    <x v="0"/>
    <x v="2"/>
    <x v="168"/>
    <m/>
    <m/>
    <m/>
    <n v="2"/>
    <n v="201208"/>
    <n v="40000"/>
  </r>
  <r>
    <x v="477"/>
    <x v="1"/>
    <m/>
    <x v="0"/>
    <x v="2"/>
    <x v="179"/>
    <m/>
    <m/>
    <m/>
    <n v="1"/>
    <n v="201208"/>
    <n v="3000"/>
  </r>
  <r>
    <x v="477"/>
    <x v="1"/>
    <m/>
    <x v="30"/>
    <x v="2"/>
    <x v="132"/>
    <m/>
    <m/>
    <m/>
    <n v="13"/>
    <n v="201208"/>
    <n v="291200"/>
  </r>
  <r>
    <x v="477"/>
    <x v="1"/>
    <m/>
    <x v="30"/>
    <x v="2"/>
    <x v="133"/>
    <m/>
    <m/>
    <m/>
    <n v="2"/>
    <n v="201208"/>
    <n v="78400"/>
  </r>
  <r>
    <x v="477"/>
    <x v="1"/>
    <m/>
    <x v="34"/>
    <x v="2"/>
    <x v="134"/>
    <m/>
    <m/>
    <m/>
    <n v="6"/>
    <n v="201208"/>
    <n v="222600"/>
  </r>
  <r>
    <x v="477"/>
    <x v="1"/>
    <m/>
    <x v="1"/>
    <x v="2"/>
    <x v="135"/>
    <m/>
    <m/>
    <m/>
    <n v="5"/>
    <n v="201208"/>
    <n v="100000"/>
  </r>
  <r>
    <x v="477"/>
    <x v="1"/>
    <m/>
    <x v="36"/>
    <x v="2"/>
    <x v="136"/>
    <m/>
    <m/>
    <m/>
    <n v="10"/>
    <n v="201208"/>
    <n v="280000"/>
  </r>
  <r>
    <x v="477"/>
    <x v="1"/>
    <m/>
    <x v="36"/>
    <x v="2"/>
    <x v="137"/>
    <m/>
    <m/>
    <m/>
    <n v="2"/>
    <n v="201208"/>
    <n v="84000"/>
  </r>
  <r>
    <x v="477"/>
    <x v="1"/>
    <m/>
    <x v="0"/>
    <x v="2"/>
    <x v="218"/>
    <m/>
    <m/>
    <m/>
    <n v="71"/>
    <n v="201208"/>
    <n v="1420000"/>
  </r>
  <r>
    <x v="477"/>
    <x v="1"/>
    <m/>
    <x v="0"/>
    <x v="2"/>
    <x v="240"/>
    <m/>
    <m/>
    <m/>
    <n v="61"/>
    <n v="201208"/>
    <n v="2135000"/>
  </r>
  <r>
    <x v="477"/>
    <x v="1"/>
    <m/>
    <x v="32"/>
    <x v="2"/>
    <x v="220"/>
    <m/>
    <m/>
    <m/>
    <n v="29"/>
    <n v="201208"/>
    <n v="1075900"/>
  </r>
  <r>
    <x v="477"/>
    <x v="1"/>
    <m/>
    <x v="18"/>
    <x v="2"/>
    <x v="125"/>
    <m/>
    <m/>
    <m/>
    <n v="55"/>
    <n v="201208"/>
    <n v="165000"/>
  </r>
  <r>
    <x v="477"/>
    <x v="1"/>
    <m/>
    <x v="0"/>
    <x v="2"/>
    <x v="141"/>
    <m/>
    <m/>
    <m/>
    <n v="3"/>
    <n v="201208"/>
    <n v="99000"/>
  </r>
  <r>
    <x v="477"/>
    <x v="1"/>
    <m/>
    <x v="4"/>
    <x v="2"/>
    <x v="142"/>
    <m/>
    <m/>
    <m/>
    <n v="1"/>
    <n v="201208"/>
    <n v="4000"/>
  </r>
  <r>
    <x v="477"/>
    <x v="1"/>
    <m/>
    <x v="4"/>
    <x v="2"/>
    <x v="143"/>
    <m/>
    <m/>
    <m/>
    <n v="19"/>
    <n v="201208"/>
    <n v="380000"/>
  </r>
  <r>
    <x v="477"/>
    <x v="1"/>
    <m/>
    <x v="0"/>
    <x v="2"/>
    <x v="164"/>
    <m/>
    <m/>
    <m/>
    <n v="1"/>
    <n v="201208"/>
    <n v="20000"/>
  </r>
  <r>
    <x v="477"/>
    <x v="1"/>
    <m/>
    <x v="22"/>
    <x v="2"/>
    <x v="150"/>
    <m/>
    <m/>
    <m/>
    <n v="15"/>
    <n v="201208"/>
    <n v="570000"/>
  </r>
  <r>
    <x v="477"/>
    <x v="1"/>
    <m/>
    <x v="22"/>
    <x v="2"/>
    <x v="150"/>
    <m/>
    <m/>
    <m/>
    <n v="8"/>
    <n v="201208"/>
    <n v="304000"/>
  </r>
  <r>
    <x v="477"/>
    <x v="1"/>
    <m/>
    <x v="5"/>
    <x v="2"/>
    <x v="151"/>
    <m/>
    <m/>
    <m/>
    <n v="28"/>
    <n v="201208"/>
    <n v="784000"/>
  </r>
  <r>
    <x v="477"/>
    <x v="1"/>
    <m/>
    <x v="5"/>
    <x v="2"/>
    <x v="152"/>
    <m/>
    <m/>
    <m/>
    <n v="16"/>
    <n v="201208"/>
    <n v="768000"/>
  </r>
  <r>
    <x v="477"/>
    <x v="1"/>
    <m/>
    <x v="5"/>
    <x v="2"/>
    <x v="153"/>
    <m/>
    <m/>
    <m/>
    <n v="8"/>
    <n v="201208"/>
    <n v="224000"/>
  </r>
  <r>
    <x v="477"/>
    <x v="1"/>
    <m/>
    <x v="33"/>
    <x v="2"/>
    <x v="155"/>
    <m/>
    <m/>
    <m/>
    <n v="6"/>
    <n v="201208"/>
    <n v="109200"/>
  </r>
  <r>
    <x v="477"/>
    <x v="1"/>
    <m/>
    <x v="19"/>
    <x v="2"/>
    <x v="157"/>
    <m/>
    <m/>
    <m/>
    <n v="26"/>
    <n v="201208"/>
    <n v="338000"/>
  </r>
  <r>
    <x v="477"/>
    <x v="1"/>
    <m/>
    <x v="19"/>
    <x v="2"/>
    <x v="158"/>
    <m/>
    <m/>
    <m/>
    <n v="6"/>
    <n v="201208"/>
    <n v="144000"/>
  </r>
  <r>
    <x v="477"/>
    <x v="1"/>
    <m/>
    <x v="19"/>
    <x v="2"/>
    <x v="159"/>
    <m/>
    <m/>
    <m/>
    <n v="5"/>
    <n v="201208"/>
    <n v="165000"/>
  </r>
  <r>
    <x v="477"/>
    <x v="1"/>
    <m/>
    <x v="35"/>
    <x v="2"/>
    <x v="170"/>
    <m/>
    <m/>
    <m/>
    <n v="3"/>
    <n v="201208"/>
    <n v="12000"/>
  </r>
  <r>
    <x v="477"/>
    <x v="1"/>
    <m/>
    <x v="35"/>
    <x v="2"/>
    <x v="160"/>
    <m/>
    <m/>
    <m/>
    <n v="2"/>
    <n v="201208"/>
    <n v="40000"/>
  </r>
  <r>
    <x v="477"/>
    <x v="1"/>
    <m/>
    <x v="4"/>
    <x v="2"/>
    <x v="243"/>
    <m/>
    <m/>
    <m/>
    <n v="4"/>
    <n v="201208"/>
    <n v="16000"/>
  </r>
  <r>
    <x v="477"/>
    <x v="1"/>
    <m/>
    <x v="4"/>
    <x v="2"/>
    <x v="242"/>
    <m/>
    <m/>
    <m/>
    <n v="1"/>
    <n v="201208"/>
    <n v="20000"/>
  </r>
  <r>
    <x v="477"/>
    <x v="1"/>
    <m/>
    <x v="4"/>
    <x v="2"/>
    <x v="207"/>
    <m/>
    <m/>
    <m/>
    <n v="6"/>
    <n v="201208"/>
    <n v="24000"/>
  </r>
  <r>
    <x v="477"/>
    <x v="1"/>
    <m/>
    <x v="4"/>
    <x v="2"/>
    <x v="241"/>
    <m/>
    <m/>
    <m/>
    <n v="4"/>
    <n v="201208"/>
    <n v="80000"/>
  </r>
  <r>
    <x v="477"/>
    <x v="1"/>
    <m/>
    <x v="18"/>
    <x v="2"/>
    <x v="161"/>
    <m/>
    <m/>
    <m/>
    <n v="34"/>
    <n v="201208"/>
    <n v="102000"/>
  </r>
  <r>
    <x v="477"/>
    <x v="1"/>
    <m/>
    <x v="18"/>
    <x v="2"/>
    <x v="161"/>
    <m/>
    <m/>
    <m/>
    <n v="6"/>
    <n v="201208"/>
    <n v="18000"/>
  </r>
  <r>
    <x v="478"/>
    <x v="0"/>
    <m/>
    <x v="0"/>
    <x v="7"/>
    <x v="163"/>
    <m/>
    <m/>
    <m/>
    <n v="3"/>
    <n v="201208"/>
    <n v="60000"/>
  </r>
  <r>
    <x v="478"/>
    <x v="0"/>
    <m/>
    <x v="6"/>
    <x v="2"/>
    <x v="126"/>
    <m/>
    <m/>
    <m/>
    <n v="7"/>
    <n v="201208"/>
    <n v="140000"/>
  </r>
  <r>
    <x v="478"/>
    <x v="0"/>
    <m/>
    <x v="31"/>
    <x v="2"/>
    <x v="227"/>
    <m/>
    <m/>
    <m/>
    <n v="28"/>
    <n v="201208"/>
    <n v="627200"/>
  </r>
  <r>
    <x v="478"/>
    <x v="0"/>
    <m/>
    <x v="31"/>
    <x v="2"/>
    <x v="228"/>
    <m/>
    <m/>
    <m/>
    <n v="32"/>
    <n v="201208"/>
    <n v="1254400"/>
  </r>
  <r>
    <x v="478"/>
    <x v="0"/>
    <m/>
    <x v="31"/>
    <x v="2"/>
    <x v="229"/>
    <m/>
    <m/>
    <m/>
    <n v="27"/>
    <n v="201208"/>
    <n v="1474200"/>
  </r>
  <r>
    <x v="478"/>
    <x v="0"/>
    <m/>
    <x v="32"/>
    <x v="2"/>
    <x v="230"/>
    <m/>
    <m/>
    <m/>
    <n v="13"/>
    <n v="201208"/>
    <n v="482300"/>
  </r>
  <r>
    <x v="478"/>
    <x v="0"/>
    <m/>
    <x v="31"/>
    <x v="2"/>
    <x v="231"/>
    <m/>
    <m/>
    <m/>
    <n v="3"/>
    <n v="201208"/>
    <n v="67200"/>
  </r>
  <r>
    <x v="478"/>
    <x v="0"/>
    <m/>
    <x v="31"/>
    <x v="2"/>
    <x v="232"/>
    <m/>
    <m/>
    <m/>
    <n v="6"/>
    <n v="201208"/>
    <n v="235200"/>
  </r>
  <r>
    <x v="478"/>
    <x v="0"/>
    <m/>
    <x v="31"/>
    <x v="2"/>
    <x v="233"/>
    <m/>
    <m/>
    <m/>
    <n v="1"/>
    <n v="201208"/>
    <n v="54600"/>
  </r>
  <r>
    <x v="478"/>
    <x v="0"/>
    <m/>
    <x v="31"/>
    <x v="2"/>
    <x v="235"/>
    <m/>
    <m/>
    <m/>
    <n v="13"/>
    <n v="201208"/>
    <n v="291200"/>
  </r>
  <r>
    <x v="478"/>
    <x v="0"/>
    <m/>
    <x v="31"/>
    <x v="2"/>
    <x v="236"/>
    <m/>
    <m/>
    <m/>
    <n v="9"/>
    <n v="201208"/>
    <n v="352800"/>
  </r>
  <r>
    <x v="478"/>
    <x v="0"/>
    <m/>
    <x v="31"/>
    <x v="2"/>
    <x v="237"/>
    <m/>
    <m/>
    <m/>
    <n v="9"/>
    <n v="201208"/>
    <n v="491400"/>
  </r>
  <r>
    <x v="478"/>
    <x v="0"/>
    <m/>
    <x v="32"/>
    <x v="2"/>
    <x v="238"/>
    <m/>
    <m/>
    <m/>
    <n v="8"/>
    <n v="201208"/>
    <n v="296800"/>
  </r>
  <r>
    <x v="478"/>
    <x v="0"/>
    <m/>
    <x v="34"/>
    <x v="2"/>
    <x v="128"/>
    <m/>
    <m/>
    <m/>
    <n v="53"/>
    <n v="201208"/>
    <n v="1966300"/>
  </r>
  <r>
    <x v="478"/>
    <x v="0"/>
    <m/>
    <x v="25"/>
    <x v="2"/>
    <x v="129"/>
    <m/>
    <m/>
    <m/>
    <n v="6"/>
    <n v="201208"/>
    <n v="594000"/>
  </r>
  <r>
    <x v="478"/>
    <x v="0"/>
    <m/>
    <x v="5"/>
    <x v="2"/>
    <x v="246"/>
    <m/>
    <m/>
    <m/>
    <n v="12"/>
    <n v="201208"/>
    <n v="336000"/>
  </r>
  <r>
    <x v="478"/>
    <x v="0"/>
    <m/>
    <x v="5"/>
    <x v="2"/>
    <x v="247"/>
    <m/>
    <m/>
    <m/>
    <n v="19"/>
    <n v="201208"/>
    <n v="532000"/>
  </r>
  <r>
    <x v="478"/>
    <x v="0"/>
    <m/>
    <x v="0"/>
    <x v="2"/>
    <x v="224"/>
    <m/>
    <m/>
    <m/>
    <n v="30"/>
    <n v="201208"/>
    <n v="990000"/>
  </r>
  <r>
    <x v="478"/>
    <x v="0"/>
    <m/>
    <x v="0"/>
    <x v="2"/>
    <x v="225"/>
    <m/>
    <m/>
    <m/>
    <n v="10"/>
    <n v="201208"/>
    <n v="380000"/>
  </r>
  <r>
    <x v="478"/>
    <x v="0"/>
    <m/>
    <x v="0"/>
    <x v="2"/>
    <x v="178"/>
    <m/>
    <m/>
    <m/>
    <n v="1"/>
    <n v="201208"/>
    <n v="35000"/>
  </r>
  <r>
    <x v="478"/>
    <x v="0"/>
    <m/>
    <x v="30"/>
    <x v="2"/>
    <x v="132"/>
    <m/>
    <m/>
    <m/>
    <n v="14"/>
    <n v="201208"/>
    <n v="313600"/>
  </r>
  <r>
    <x v="478"/>
    <x v="0"/>
    <m/>
    <x v="34"/>
    <x v="2"/>
    <x v="134"/>
    <m/>
    <m/>
    <m/>
    <n v="2"/>
    <n v="201208"/>
    <n v="74200"/>
  </r>
  <r>
    <x v="478"/>
    <x v="0"/>
    <m/>
    <x v="1"/>
    <x v="2"/>
    <x v="135"/>
    <m/>
    <m/>
    <m/>
    <n v="1"/>
    <n v="201208"/>
    <n v="20000"/>
  </r>
  <r>
    <x v="478"/>
    <x v="0"/>
    <m/>
    <x v="1"/>
    <x v="2"/>
    <x v="165"/>
    <m/>
    <m/>
    <m/>
    <n v="1"/>
    <n v="201208"/>
    <n v="35000"/>
  </r>
  <r>
    <x v="478"/>
    <x v="0"/>
    <m/>
    <x v="36"/>
    <x v="2"/>
    <x v="136"/>
    <m/>
    <m/>
    <m/>
    <n v="6"/>
    <n v="201208"/>
    <n v="168000"/>
  </r>
  <r>
    <x v="478"/>
    <x v="0"/>
    <m/>
    <x v="36"/>
    <x v="2"/>
    <x v="176"/>
    <m/>
    <m/>
    <m/>
    <n v="2"/>
    <n v="201208"/>
    <n v="98000"/>
  </r>
  <r>
    <x v="478"/>
    <x v="0"/>
    <m/>
    <x v="0"/>
    <x v="2"/>
    <x v="218"/>
    <m/>
    <m/>
    <m/>
    <n v="71"/>
    <n v="201208"/>
    <n v="1420000"/>
  </r>
  <r>
    <x v="478"/>
    <x v="0"/>
    <m/>
    <x v="0"/>
    <x v="2"/>
    <x v="240"/>
    <m/>
    <m/>
    <m/>
    <n v="46"/>
    <n v="201208"/>
    <n v="1610000"/>
  </r>
  <r>
    <x v="478"/>
    <x v="0"/>
    <m/>
    <x v="0"/>
    <x v="2"/>
    <x v="219"/>
    <m/>
    <m/>
    <m/>
    <n v="1"/>
    <n v="201208"/>
    <n v="35000"/>
  </r>
  <r>
    <x v="478"/>
    <x v="0"/>
    <m/>
    <x v="32"/>
    <x v="2"/>
    <x v="220"/>
    <m/>
    <m/>
    <m/>
    <n v="21"/>
    <n v="201208"/>
    <n v="779100"/>
  </r>
  <r>
    <x v="478"/>
    <x v="0"/>
    <m/>
    <x v="18"/>
    <x v="2"/>
    <x v="125"/>
    <m/>
    <m/>
    <m/>
    <n v="49"/>
    <n v="201208"/>
    <n v="147000"/>
  </r>
  <r>
    <x v="478"/>
    <x v="0"/>
    <m/>
    <x v="4"/>
    <x v="2"/>
    <x v="142"/>
    <m/>
    <m/>
    <m/>
    <n v="4"/>
    <n v="201208"/>
    <n v="16000"/>
  </r>
  <r>
    <x v="478"/>
    <x v="0"/>
    <m/>
    <x v="4"/>
    <x v="2"/>
    <x v="143"/>
    <m/>
    <m/>
    <m/>
    <n v="4"/>
    <n v="201208"/>
    <n v="80000"/>
  </r>
  <r>
    <x v="478"/>
    <x v="0"/>
    <m/>
    <x v="4"/>
    <x v="2"/>
    <x v="144"/>
    <m/>
    <m/>
    <m/>
    <n v="8"/>
    <n v="201208"/>
    <n v="32000"/>
  </r>
  <r>
    <x v="478"/>
    <x v="0"/>
    <m/>
    <x v="0"/>
    <x v="2"/>
    <x v="148"/>
    <m/>
    <m/>
    <m/>
    <n v="1"/>
    <n v="201208"/>
    <n v="20000"/>
  </r>
  <r>
    <x v="478"/>
    <x v="0"/>
    <m/>
    <x v="22"/>
    <x v="2"/>
    <x v="150"/>
    <m/>
    <m/>
    <m/>
    <n v="5"/>
    <n v="201208"/>
    <n v="190000"/>
  </r>
  <r>
    <x v="478"/>
    <x v="0"/>
    <m/>
    <x v="22"/>
    <x v="2"/>
    <x v="150"/>
    <m/>
    <m/>
    <m/>
    <n v="4"/>
    <n v="201208"/>
    <n v="152000"/>
  </r>
  <r>
    <x v="478"/>
    <x v="0"/>
    <m/>
    <x v="5"/>
    <x v="2"/>
    <x v="151"/>
    <m/>
    <m/>
    <m/>
    <n v="19"/>
    <n v="201208"/>
    <n v="532000"/>
  </r>
  <r>
    <x v="478"/>
    <x v="0"/>
    <m/>
    <x v="5"/>
    <x v="2"/>
    <x v="152"/>
    <m/>
    <m/>
    <m/>
    <n v="4"/>
    <n v="201208"/>
    <n v="192000"/>
  </r>
  <r>
    <x v="478"/>
    <x v="0"/>
    <m/>
    <x v="5"/>
    <x v="2"/>
    <x v="153"/>
    <m/>
    <m/>
    <m/>
    <n v="3"/>
    <n v="201208"/>
    <n v="84000"/>
  </r>
  <r>
    <x v="478"/>
    <x v="0"/>
    <m/>
    <x v="33"/>
    <x v="2"/>
    <x v="155"/>
    <m/>
    <m/>
    <m/>
    <n v="3"/>
    <n v="201208"/>
    <n v="54600"/>
  </r>
  <r>
    <x v="478"/>
    <x v="0"/>
    <m/>
    <x v="19"/>
    <x v="2"/>
    <x v="157"/>
    <m/>
    <m/>
    <m/>
    <n v="16"/>
    <n v="201208"/>
    <n v="208000"/>
  </r>
  <r>
    <x v="478"/>
    <x v="0"/>
    <m/>
    <x v="19"/>
    <x v="2"/>
    <x v="158"/>
    <m/>
    <m/>
    <m/>
    <n v="9"/>
    <n v="201208"/>
    <n v="216000"/>
  </r>
  <r>
    <x v="478"/>
    <x v="0"/>
    <m/>
    <x v="19"/>
    <x v="2"/>
    <x v="159"/>
    <m/>
    <m/>
    <m/>
    <n v="2"/>
    <n v="201208"/>
    <n v="66000"/>
  </r>
  <r>
    <x v="478"/>
    <x v="0"/>
    <m/>
    <x v="35"/>
    <x v="2"/>
    <x v="170"/>
    <m/>
    <m/>
    <m/>
    <n v="2"/>
    <n v="201208"/>
    <n v="8000"/>
  </r>
  <r>
    <x v="478"/>
    <x v="0"/>
    <m/>
    <x v="35"/>
    <x v="2"/>
    <x v="160"/>
    <m/>
    <m/>
    <m/>
    <n v="3"/>
    <n v="201208"/>
    <n v="60000"/>
  </r>
  <r>
    <x v="478"/>
    <x v="0"/>
    <m/>
    <x v="4"/>
    <x v="2"/>
    <x v="242"/>
    <m/>
    <m/>
    <m/>
    <n v="1"/>
    <n v="201208"/>
    <n v="20000"/>
  </r>
  <r>
    <x v="478"/>
    <x v="0"/>
    <m/>
    <x v="4"/>
    <x v="2"/>
    <x v="207"/>
    <m/>
    <m/>
    <m/>
    <n v="4"/>
    <n v="201208"/>
    <n v="16000"/>
  </r>
  <r>
    <x v="478"/>
    <x v="0"/>
    <m/>
    <x v="4"/>
    <x v="2"/>
    <x v="241"/>
    <m/>
    <m/>
    <m/>
    <n v="2"/>
    <n v="201208"/>
    <n v="40000"/>
  </r>
  <r>
    <x v="478"/>
    <x v="0"/>
    <m/>
    <x v="18"/>
    <x v="2"/>
    <x v="161"/>
    <m/>
    <m/>
    <m/>
    <n v="21"/>
    <n v="201208"/>
    <n v="63000"/>
  </r>
  <r>
    <x v="478"/>
    <x v="0"/>
    <m/>
    <x v="18"/>
    <x v="2"/>
    <x v="161"/>
    <m/>
    <m/>
    <m/>
    <n v="4"/>
    <n v="201208"/>
    <n v="12000"/>
  </r>
  <r>
    <x v="478"/>
    <x v="0"/>
    <m/>
    <x v="6"/>
    <x v="9"/>
    <x v="248"/>
    <m/>
    <m/>
    <m/>
    <n v="1"/>
    <n v="201208"/>
    <n v="20000"/>
  </r>
  <r>
    <x v="479"/>
    <x v="2"/>
    <m/>
    <x v="0"/>
    <x v="1"/>
    <x v="123"/>
    <m/>
    <m/>
    <m/>
    <n v="1"/>
    <n v="201208"/>
    <n v="35000"/>
  </r>
  <r>
    <x v="479"/>
    <x v="2"/>
    <m/>
    <x v="0"/>
    <x v="1"/>
    <x v="124"/>
    <m/>
    <m/>
    <m/>
    <n v="1"/>
    <n v="201208"/>
    <n v="20000"/>
  </r>
  <r>
    <x v="479"/>
    <x v="2"/>
    <m/>
    <x v="0"/>
    <x v="7"/>
    <x v="163"/>
    <m/>
    <m/>
    <m/>
    <n v="1"/>
    <n v="201208"/>
    <n v="20000"/>
  </r>
  <r>
    <x v="479"/>
    <x v="2"/>
    <m/>
    <x v="6"/>
    <x v="2"/>
    <x v="126"/>
    <m/>
    <m/>
    <m/>
    <n v="1"/>
    <n v="201208"/>
    <n v="20000"/>
  </r>
  <r>
    <x v="479"/>
    <x v="2"/>
    <m/>
    <x v="6"/>
    <x v="2"/>
    <x v="127"/>
    <m/>
    <m/>
    <m/>
    <n v="1"/>
    <n v="201208"/>
    <n v="35000"/>
  </r>
  <r>
    <x v="479"/>
    <x v="2"/>
    <m/>
    <x v="31"/>
    <x v="2"/>
    <x v="227"/>
    <m/>
    <m/>
    <m/>
    <n v="34"/>
    <n v="201208"/>
    <n v="761600"/>
  </r>
  <r>
    <x v="479"/>
    <x v="2"/>
    <m/>
    <x v="31"/>
    <x v="2"/>
    <x v="228"/>
    <m/>
    <m/>
    <m/>
    <n v="31"/>
    <n v="201208"/>
    <n v="1215200"/>
  </r>
  <r>
    <x v="479"/>
    <x v="2"/>
    <m/>
    <x v="31"/>
    <x v="2"/>
    <x v="229"/>
    <m/>
    <m/>
    <m/>
    <n v="28"/>
    <n v="201208"/>
    <n v="1528800"/>
  </r>
  <r>
    <x v="479"/>
    <x v="2"/>
    <m/>
    <x v="32"/>
    <x v="2"/>
    <x v="230"/>
    <m/>
    <m/>
    <m/>
    <n v="15"/>
    <n v="201208"/>
    <n v="556500"/>
  </r>
  <r>
    <x v="479"/>
    <x v="2"/>
    <m/>
    <x v="31"/>
    <x v="2"/>
    <x v="231"/>
    <m/>
    <m/>
    <m/>
    <n v="1"/>
    <n v="201208"/>
    <n v="22400"/>
  </r>
  <r>
    <x v="479"/>
    <x v="2"/>
    <m/>
    <x v="31"/>
    <x v="2"/>
    <x v="232"/>
    <m/>
    <m/>
    <m/>
    <n v="1"/>
    <n v="201208"/>
    <n v="39200"/>
  </r>
  <r>
    <x v="479"/>
    <x v="2"/>
    <m/>
    <x v="31"/>
    <x v="2"/>
    <x v="233"/>
    <m/>
    <m/>
    <m/>
    <n v="2"/>
    <n v="201208"/>
    <n v="109200"/>
  </r>
  <r>
    <x v="479"/>
    <x v="2"/>
    <m/>
    <x v="32"/>
    <x v="2"/>
    <x v="234"/>
    <m/>
    <m/>
    <m/>
    <n v="1"/>
    <n v="201208"/>
    <n v="37100"/>
  </r>
  <r>
    <x v="479"/>
    <x v="2"/>
    <m/>
    <x v="31"/>
    <x v="2"/>
    <x v="235"/>
    <m/>
    <m/>
    <m/>
    <n v="12"/>
    <n v="201208"/>
    <n v="268800"/>
  </r>
  <r>
    <x v="479"/>
    <x v="2"/>
    <m/>
    <x v="31"/>
    <x v="2"/>
    <x v="236"/>
    <m/>
    <m/>
    <m/>
    <n v="7"/>
    <n v="201208"/>
    <n v="274400"/>
  </r>
  <r>
    <x v="479"/>
    <x v="2"/>
    <m/>
    <x v="31"/>
    <x v="2"/>
    <x v="237"/>
    <m/>
    <m/>
    <m/>
    <n v="5"/>
    <n v="201208"/>
    <n v="273000"/>
  </r>
  <r>
    <x v="479"/>
    <x v="2"/>
    <m/>
    <x v="32"/>
    <x v="2"/>
    <x v="238"/>
    <m/>
    <m/>
    <m/>
    <n v="4"/>
    <n v="201208"/>
    <n v="148400"/>
  </r>
  <r>
    <x v="479"/>
    <x v="2"/>
    <m/>
    <x v="34"/>
    <x v="2"/>
    <x v="128"/>
    <m/>
    <m/>
    <m/>
    <n v="38"/>
    <n v="201208"/>
    <n v="1409800"/>
  </r>
  <r>
    <x v="479"/>
    <x v="2"/>
    <m/>
    <x v="25"/>
    <x v="2"/>
    <x v="129"/>
    <m/>
    <m/>
    <m/>
    <n v="2"/>
    <n v="201208"/>
    <n v="198000"/>
  </r>
  <r>
    <x v="479"/>
    <x v="2"/>
    <m/>
    <x v="5"/>
    <x v="2"/>
    <x v="246"/>
    <m/>
    <m/>
    <m/>
    <n v="13"/>
    <n v="201208"/>
    <n v="364000"/>
  </r>
  <r>
    <x v="479"/>
    <x v="2"/>
    <m/>
    <x v="5"/>
    <x v="2"/>
    <x v="247"/>
    <m/>
    <m/>
    <m/>
    <n v="5"/>
    <n v="201208"/>
    <n v="140000"/>
  </r>
  <r>
    <x v="479"/>
    <x v="2"/>
    <m/>
    <x v="0"/>
    <x v="2"/>
    <x v="224"/>
    <m/>
    <m/>
    <m/>
    <n v="24"/>
    <n v="201208"/>
    <n v="792000"/>
  </r>
  <r>
    <x v="479"/>
    <x v="2"/>
    <m/>
    <x v="0"/>
    <x v="2"/>
    <x v="225"/>
    <m/>
    <m/>
    <m/>
    <n v="12"/>
    <n v="201208"/>
    <n v="456000"/>
  </r>
  <r>
    <x v="479"/>
    <x v="2"/>
    <m/>
    <x v="30"/>
    <x v="2"/>
    <x v="132"/>
    <m/>
    <m/>
    <m/>
    <n v="10"/>
    <n v="201208"/>
    <n v="224000"/>
  </r>
  <r>
    <x v="479"/>
    <x v="2"/>
    <m/>
    <x v="30"/>
    <x v="2"/>
    <x v="133"/>
    <m/>
    <m/>
    <m/>
    <n v="1"/>
    <n v="201208"/>
    <n v="39200"/>
  </r>
  <r>
    <x v="479"/>
    <x v="2"/>
    <m/>
    <x v="34"/>
    <x v="2"/>
    <x v="134"/>
    <m/>
    <m/>
    <m/>
    <n v="1"/>
    <n v="201208"/>
    <n v="37100"/>
  </r>
  <r>
    <x v="479"/>
    <x v="2"/>
    <m/>
    <x v="1"/>
    <x v="2"/>
    <x v="135"/>
    <m/>
    <m/>
    <m/>
    <n v="4"/>
    <n v="201208"/>
    <n v="80000"/>
  </r>
  <r>
    <x v="479"/>
    <x v="2"/>
    <m/>
    <x v="36"/>
    <x v="2"/>
    <x v="136"/>
    <m/>
    <m/>
    <m/>
    <n v="3"/>
    <n v="201208"/>
    <n v="84000"/>
  </r>
  <r>
    <x v="479"/>
    <x v="2"/>
    <m/>
    <x v="36"/>
    <x v="2"/>
    <x v="137"/>
    <m/>
    <m/>
    <m/>
    <n v="2"/>
    <n v="201208"/>
    <n v="84000"/>
  </r>
  <r>
    <x v="479"/>
    <x v="2"/>
    <m/>
    <x v="0"/>
    <x v="2"/>
    <x v="218"/>
    <m/>
    <m/>
    <m/>
    <n v="39"/>
    <n v="201208"/>
    <n v="780000"/>
  </r>
  <r>
    <x v="479"/>
    <x v="2"/>
    <m/>
    <x v="0"/>
    <x v="2"/>
    <x v="240"/>
    <m/>
    <m/>
    <m/>
    <n v="42"/>
    <n v="201208"/>
    <n v="1470000"/>
  </r>
  <r>
    <x v="479"/>
    <x v="2"/>
    <m/>
    <x v="32"/>
    <x v="2"/>
    <x v="220"/>
    <m/>
    <m/>
    <m/>
    <n v="14"/>
    <n v="201208"/>
    <n v="519400"/>
  </r>
  <r>
    <x v="479"/>
    <x v="2"/>
    <m/>
    <x v="18"/>
    <x v="2"/>
    <x v="125"/>
    <m/>
    <m/>
    <m/>
    <n v="32"/>
    <n v="201208"/>
    <n v="96000"/>
  </r>
  <r>
    <x v="479"/>
    <x v="2"/>
    <m/>
    <x v="0"/>
    <x v="2"/>
    <x v="141"/>
    <m/>
    <m/>
    <m/>
    <n v="1"/>
    <n v="201208"/>
    <n v="33000"/>
  </r>
  <r>
    <x v="479"/>
    <x v="2"/>
    <m/>
    <x v="4"/>
    <x v="2"/>
    <x v="142"/>
    <m/>
    <m/>
    <m/>
    <n v="3"/>
    <n v="201208"/>
    <n v="12000"/>
  </r>
  <r>
    <x v="479"/>
    <x v="2"/>
    <m/>
    <x v="4"/>
    <x v="2"/>
    <x v="143"/>
    <m/>
    <m/>
    <m/>
    <n v="14"/>
    <n v="201208"/>
    <n v="280000"/>
  </r>
  <r>
    <x v="479"/>
    <x v="2"/>
    <m/>
    <x v="0"/>
    <x v="2"/>
    <x v="148"/>
    <m/>
    <m/>
    <m/>
    <n v="1"/>
    <n v="201208"/>
    <n v="20000"/>
  </r>
  <r>
    <x v="479"/>
    <x v="2"/>
    <m/>
    <x v="22"/>
    <x v="2"/>
    <x v="150"/>
    <m/>
    <m/>
    <m/>
    <n v="6"/>
    <n v="201208"/>
    <n v="228000"/>
  </r>
  <r>
    <x v="479"/>
    <x v="2"/>
    <m/>
    <x v="22"/>
    <x v="2"/>
    <x v="150"/>
    <m/>
    <m/>
    <m/>
    <n v="1"/>
    <n v="201208"/>
    <n v="38000"/>
  </r>
  <r>
    <x v="479"/>
    <x v="2"/>
    <m/>
    <x v="5"/>
    <x v="2"/>
    <x v="151"/>
    <m/>
    <m/>
    <m/>
    <n v="29"/>
    <n v="201208"/>
    <n v="812000"/>
  </r>
  <r>
    <x v="479"/>
    <x v="2"/>
    <m/>
    <x v="5"/>
    <x v="2"/>
    <x v="152"/>
    <m/>
    <m/>
    <m/>
    <n v="5"/>
    <n v="201208"/>
    <n v="240000"/>
  </r>
  <r>
    <x v="479"/>
    <x v="2"/>
    <m/>
    <x v="5"/>
    <x v="2"/>
    <x v="153"/>
    <m/>
    <m/>
    <m/>
    <n v="4"/>
    <n v="201208"/>
    <n v="112000"/>
  </r>
  <r>
    <x v="479"/>
    <x v="2"/>
    <m/>
    <x v="33"/>
    <x v="2"/>
    <x v="155"/>
    <m/>
    <m/>
    <m/>
    <n v="4"/>
    <n v="201208"/>
    <n v="72800"/>
  </r>
  <r>
    <x v="479"/>
    <x v="2"/>
    <m/>
    <x v="19"/>
    <x v="2"/>
    <x v="157"/>
    <m/>
    <m/>
    <m/>
    <n v="20"/>
    <n v="201208"/>
    <n v="260000"/>
  </r>
  <r>
    <x v="479"/>
    <x v="2"/>
    <m/>
    <x v="19"/>
    <x v="2"/>
    <x v="158"/>
    <m/>
    <m/>
    <m/>
    <n v="4"/>
    <n v="201208"/>
    <n v="96000"/>
  </r>
  <r>
    <x v="479"/>
    <x v="2"/>
    <m/>
    <x v="19"/>
    <x v="2"/>
    <x v="159"/>
    <m/>
    <m/>
    <m/>
    <n v="2"/>
    <n v="201208"/>
    <n v="66000"/>
  </r>
  <r>
    <x v="479"/>
    <x v="2"/>
    <m/>
    <x v="19"/>
    <x v="2"/>
    <x v="181"/>
    <m/>
    <m/>
    <m/>
    <n v="1"/>
    <n v="201208"/>
    <n v="13000"/>
  </r>
  <r>
    <x v="479"/>
    <x v="2"/>
    <m/>
    <x v="35"/>
    <x v="2"/>
    <x v="160"/>
    <m/>
    <m/>
    <m/>
    <n v="4"/>
    <n v="201208"/>
    <n v="80000"/>
  </r>
  <r>
    <x v="479"/>
    <x v="2"/>
    <m/>
    <x v="4"/>
    <x v="2"/>
    <x v="241"/>
    <m/>
    <m/>
    <m/>
    <n v="3"/>
    <n v="201208"/>
    <n v="60000"/>
  </r>
  <r>
    <x v="479"/>
    <x v="2"/>
    <m/>
    <x v="18"/>
    <x v="2"/>
    <x v="161"/>
    <m/>
    <m/>
    <m/>
    <n v="17"/>
    <n v="201208"/>
    <n v="51000"/>
  </r>
  <r>
    <x v="479"/>
    <x v="2"/>
    <m/>
    <x v="18"/>
    <x v="2"/>
    <x v="161"/>
    <m/>
    <m/>
    <m/>
    <n v="2"/>
    <n v="201208"/>
    <n v="6000"/>
  </r>
  <r>
    <x v="480"/>
    <x v="5"/>
    <m/>
    <x v="0"/>
    <x v="7"/>
    <x v="163"/>
    <m/>
    <m/>
    <m/>
    <n v="4"/>
    <n v="201208"/>
    <n v="80000"/>
  </r>
  <r>
    <x v="480"/>
    <x v="5"/>
    <m/>
    <x v="31"/>
    <x v="2"/>
    <x v="227"/>
    <m/>
    <m/>
    <m/>
    <n v="32"/>
    <n v="201208"/>
    <n v="716800"/>
  </r>
  <r>
    <x v="480"/>
    <x v="5"/>
    <m/>
    <x v="31"/>
    <x v="2"/>
    <x v="228"/>
    <m/>
    <m/>
    <m/>
    <n v="25"/>
    <n v="201208"/>
    <n v="980000"/>
  </r>
  <r>
    <x v="480"/>
    <x v="5"/>
    <m/>
    <x v="31"/>
    <x v="2"/>
    <x v="229"/>
    <m/>
    <m/>
    <m/>
    <n v="26"/>
    <n v="201208"/>
    <n v="1419600"/>
  </r>
  <r>
    <x v="480"/>
    <x v="5"/>
    <m/>
    <x v="32"/>
    <x v="2"/>
    <x v="230"/>
    <m/>
    <m/>
    <m/>
    <n v="8"/>
    <n v="201208"/>
    <n v="296800"/>
  </r>
  <r>
    <x v="480"/>
    <x v="5"/>
    <m/>
    <x v="31"/>
    <x v="2"/>
    <x v="232"/>
    <m/>
    <m/>
    <m/>
    <n v="2"/>
    <n v="201208"/>
    <n v="78400"/>
  </r>
  <r>
    <x v="480"/>
    <x v="5"/>
    <m/>
    <x v="31"/>
    <x v="2"/>
    <x v="233"/>
    <m/>
    <m/>
    <m/>
    <n v="3"/>
    <n v="201208"/>
    <n v="163800"/>
  </r>
  <r>
    <x v="480"/>
    <x v="5"/>
    <m/>
    <x v="32"/>
    <x v="2"/>
    <x v="234"/>
    <m/>
    <m/>
    <m/>
    <n v="1"/>
    <n v="201208"/>
    <n v="37100"/>
  </r>
  <r>
    <x v="480"/>
    <x v="5"/>
    <m/>
    <x v="31"/>
    <x v="2"/>
    <x v="235"/>
    <m/>
    <m/>
    <m/>
    <n v="15"/>
    <n v="201208"/>
    <n v="336000"/>
  </r>
  <r>
    <x v="480"/>
    <x v="5"/>
    <m/>
    <x v="31"/>
    <x v="2"/>
    <x v="236"/>
    <m/>
    <m/>
    <m/>
    <n v="16"/>
    <n v="201208"/>
    <n v="627200"/>
  </r>
  <r>
    <x v="480"/>
    <x v="5"/>
    <m/>
    <x v="31"/>
    <x v="2"/>
    <x v="237"/>
    <m/>
    <m/>
    <m/>
    <n v="12"/>
    <n v="201208"/>
    <n v="655200"/>
  </r>
  <r>
    <x v="480"/>
    <x v="5"/>
    <m/>
    <x v="32"/>
    <x v="2"/>
    <x v="238"/>
    <m/>
    <m/>
    <m/>
    <n v="9"/>
    <n v="201208"/>
    <n v="333900"/>
  </r>
  <r>
    <x v="480"/>
    <x v="5"/>
    <m/>
    <x v="34"/>
    <x v="2"/>
    <x v="128"/>
    <m/>
    <m/>
    <m/>
    <n v="23"/>
    <n v="201208"/>
    <n v="853300"/>
  </r>
  <r>
    <x v="480"/>
    <x v="5"/>
    <m/>
    <x v="25"/>
    <x v="2"/>
    <x v="129"/>
    <m/>
    <m/>
    <m/>
    <n v="5"/>
    <n v="201208"/>
    <n v="495000"/>
  </r>
  <r>
    <x v="480"/>
    <x v="5"/>
    <m/>
    <x v="5"/>
    <x v="2"/>
    <x v="246"/>
    <m/>
    <m/>
    <m/>
    <n v="4"/>
    <n v="201208"/>
    <n v="112000"/>
  </r>
  <r>
    <x v="480"/>
    <x v="5"/>
    <m/>
    <x v="5"/>
    <x v="2"/>
    <x v="247"/>
    <m/>
    <m/>
    <m/>
    <n v="3"/>
    <n v="201208"/>
    <n v="84000"/>
  </r>
  <r>
    <x v="480"/>
    <x v="5"/>
    <m/>
    <x v="0"/>
    <x v="2"/>
    <x v="224"/>
    <m/>
    <m/>
    <m/>
    <n v="20"/>
    <n v="201208"/>
    <n v="660000"/>
  </r>
  <r>
    <x v="480"/>
    <x v="5"/>
    <m/>
    <x v="0"/>
    <x v="2"/>
    <x v="225"/>
    <m/>
    <m/>
    <m/>
    <n v="7"/>
    <n v="201208"/>
    <n v="266000"/>
  </r>
  <r>
    <x v="480"/>
    <x v="5"/>
    <m/>
    <x v="30"/>
    <x v="2"/>
    <x v="132"/>
    <m/>
    <m/>
    <m/>
    <n v="6"/>
    <n v="201208"/>
    <n v="134400"/>
  </r>
  <r>
    <x v="480"/>
    <x v="5"/>
    <m/>
    <x v="30"/>
    <x v="2"/>
    <x v="133"/>
    <m/>
    <m/>
    <m/>
    <n v="3"/>
    <n v="201208"/>
    <n v="117600"/>
  </r>
  <r>
    <x v="480"/>
    <x v="5"/>
    <m/>
    <x v="1"/>
    <x v="2"/>
    <x v="135"/>
    <m/>
    <m/>
    <m/>
    <n v="1"/>
    <n v="201208"/>
    <n v="20000"/>
  </r>
  <r>
    <x v="480"/>
    <x v="5"/>
    <m/>
    <x v="1"/>
    <x v="2"/>
    <x v="165"/>
    <m/>
    <m/>
    <m/>
    <n v="1"/>
    <n v="201208"/>
    <n v="35000"/>
  </r>
  <r>
    <x v="480"/>
    <x v="5"/>
    <m/>
    <x v="1"/>
    <x v="2"/>
    <x v="183"/>
    <m/>
    <m/>
    <m/>
    <n v="1"/>
    <n v="201208"/>
    <n v="17500"/>
  </r>
  <r>
    <x v="480"/>
    <x v="5"/>
    <m/>
    <x v="36"/>
    <x v="2"/>
    <x v="136"/>
    <m/>
    <m/>
    <m/>
    <n v="2"/>
    <n v="201208"/>
    <n v="56000"/>
  </r>
  <r>
    <x v="480"/>
    <x v="5"/>
    <m/>
    <x v="0"/>
    <x v="2"/>
    <x v="218"/>
    <m/>
    <m/>
    <m/>
    <n v="40"/>
    <n v="201208"/>
    <n v="800000"/>
  </r>
  <r>
    <x v="480"/>
    <x v="5"/>
    <m/>
    <x v="0"/>
    <x v="2"/>
    <x v="240"/>
    <m/>
    <m/>
    <m/>
    <n v="36"/>
    <n v="201208"/>
    <n v="1260000"/>
  </r>
  <r>
    <x v="480"/>
    <x v="5"/>
    <m/>
    <x v="32"/>
    <x v="2"/>
    <x v="220"/>
    <m/>
    <m/>
    <m/>
    <n v="11"/>
    <n v="201208"/>
    <n v="408100"/>
  </r>
  <r>
    <x v="480"/>
    <x v="5"/>
    <m/>
    <x v="18"/>
    <x v="2"/>
    <x v="125"/>
    <m/>
    <m/>
    <m/>
    <n v="22"/>
    <n v="201208"/>
    <n v="66000"/>
  </r>
  <r>
    <x v="480"/>
    <x v="5"/>
    <m/>
    <x v="0"/>
    <x v="2"/>
    <x v="138"/>
    <m/>
    <m/>
    <m/>
    <n v="1"/>
    <n v="201208"/>
    <n v="20000"/>
  </r>
  <r>
    <x v="480"/>
    <x v="5"/>
    <m/>
    <x v="4"/>
    <x v="2"/>
    <x v="142"/>
    <m/>
    <m/>
    <m/>
    <n v="2"/>
    <n v="201208"/>
    <n v="8000"/>
  </r>
  <r>
    <x v="480"/>
    <x v="5"/>
    <m/>
    <x v="4"/>
    <x v="2"/>
    <x v="143"/>
    <m/>
    <m/>
    <m/>
    <n v="6"/>
    <n v="201208"/>
    <n v="120000"/>
  </r>
  <r>
    <x v="480"/>
    <x v="5"/>
    <m/>
    <x v="4"/>
    <x v="2"/>
    <x v="144"/>
    <m/>
    <m/>
    <m/>
    <n v="2"/>
    <n v="201208"/>
    <n v="8000"/>
  </r>
  <r>
    <x v="480"/>
    <x v="5"/>
    <m/>
    <x v="22"/>
    <x v="2"/>
    <x v="150"/>
    <m/>
    <m/>
    <m/>
    <n v="5"/>
    <n v="201208"/>
    <n v="190000"/>
  </r>
  <r>
    <x v="480"/>
    <x v="5"/>
    <m/>
    <x v="22"/>
    <x v="2"/>
    <x v="150"/>
    <m/>
    <m/>
    <m/>
    <n v="8"/>
    <n v="201208"/>
    <n v="304000"/>
  </r>
  <r>
    <x v="480"/>
    <x v="5"/>
    <m/>
    <x v="5"/>
    <x v="2"/>
    <x v="151"/>
    <m/>
    <m/>
    <m/>
    <n v="12"/>
    <n v="201208"/>
    <n v="336000"/>
  </r>
  <r>
    <x v="480"/>
    <x v="5"/>
    <m/>
    <x v="5"/>
    <x v="2"/>
    <x v="152"/>
    <m/>
    <m/>
    <m/>
    <n v="4"/>
    <n v="201208"/>
    <n v="192000"/>
  </r>
  <r>
    <x v="480"/>
    <x v="5"/>
    <m/>
    <x v="5"/>
    <x v="2"/>
    <x v="153"/>
    <m/>
    <m/>
    <m/>
    <n v="7"/>
    <n v="201208"/>
    <n v="196000"/>
  </r>
  <r>
    <x v="480"/>
    <x v="5"/>
    <m/>
    <x v="33"/>
    <x v="2"/>
    <x v="156"/>
    <m/>
    <m/>
    <m/>
    <n v="3"/>
    <n v="201208"/>
    <n v="101400"/>
  </r>
  <r>
    <x v="480"/>
    <x v="5"/>
    <m/>
    <x v="19"/>
    <x v="2"/>
    <x v="157"/>
    <m/>
    <m/>
    <m/>
    <n v="12"/>
    <n v="201208"/>
    <n v="156000"/>
  </r>
  <r>
    <x v="480"/>
    <x v="5"/>
    <m/>
    <x v="19"/>
    <x v="2"/>
    <x v="158"/>
    <m/>
    <m/>
    <m/>
    <n v="1"/>
    <n v="201208"/>
    <n v="24000"/>
  </r>
  <r>
    <x v="480"/>
    <x v="5"/>
    <m/>
    <x v="19"/>
    <x v="2"/>
    <x v="159"/>
    <m/>
    <m/>
    <m/>
    <n v="2"/>
    <n v="201208"/>
    <n v="66000"/>
  </r>
  <r>
    <x v="480"/>
    <x v="5"/>
    <m/>
    <x v="35"/>
    <x v="2"/>
    <x v="160"/>
    <m/>
    <m/>
    <m/>
    <n v="3"/>
    <n v="201208"/>
    <n v="60000"/>
  </r>
  <r>
    <x v="480"/>
    <x v="5"/>
    <m/>
    <x v="18"/>
    <x v="2"/>
    <x v="161"/>
    <m/>
    <m/>
    <m/>
    <n v="4"/>
    <n v="201208"/>
    <n v="12000"/>
  </r>
  <r>
    <x v="481"/>
    <x v="6"/>
    <m/>
    <x v="0"/>
    <x v="7"/>
    <x v="163"/>
    <m/>
    <m/>
    <m/>
    <n v="4"/>
    <n v="201208"/>
    <n v="80000"/>
  </r>
  <r>
    <x v="481"/>
    <x v="6"/>
    <m/>
    <x v="6"/>
    <x v="2"/>
    <x v="126"/>
    <m/>
    <m/>
    <m/>
    <n v="3"/>
    <n v="201208"/>
    <n v="60000"/>
  </r>
  <r>
    <x v="481"/>
    <x v="6"/>
    <m/>
    <x v="31"/>
    <x v="2"/>
    <x v="227"/>
    <m/>
    <m/>
    <m/>
    <n v="34"/>
    <n v="201208"/>
    <n v="761600"/>
  </r>
  <r>
    <x v="481"/>
    <x v="6"/>
    <m/>
    <x v="31"/>
    <x v="2"/>
    <x v="228"/>
    <m/>
    <m/>
    <m/>
    <n v="33"/>
    <n v="201208"/>
    <n v="1293600"/>
  </r>
  <r>
    <x v="481"/>
    <x v="6"/>
    <m/>
    <x v="31"/>
    <x v="2"/>
    <x v="229"/>
    <m/>
    <m/>
    <m/>
    <n v="33"/>
    <n v="201208"/>
    <n v="1801800"/>
  </r>
  <r>
    <x v="481"/>
    <x v="6"/>
    <m/>
    <x v="32"/>
    <x v="2"/>
    <x v="230"/>
    <m/>
    <m/>
    <m/>
    <n v="5"/>
    <n v="201208"/>
    <n v="185500"/>
  </r>
  <r>
    <x v="481"/>
    <x v="6"/>
    <m/>
    <x v="31"/>
    <x v="2"/>
    <x v="231"/>
    <m/>
    <m/>
    <m/>
    <n v="5"/>
    <n v="201208"/>
    <n v="112000"/>
  </r>
  <r>
    <x v="481"/>
    <x v="6"/>
    <m/>
    <x v="31"/>
    <x v="2"/>
    <x v="232"/>
    <m/>
    <m/>
    <m/>
    <n v="1"/>
    <n v="201208"/>
    <n v="39200"/>
  </r>
  <r>
    <x v="481"/>
    <x v="6"/>
    <m/>
    <x v="32"/>
    <x v="2"/>
    <x v="234"/>
    <m/>
    <m/>
    <m/>
    <n v="1"/>
    <n v="201208"/>
    <n v="37100"/>
  </r>
  <r>
    <x v="481"/>
    <x v="6"/>
    <m/>
    <x v="31"/>
    <x v="2"/>
    <x v="235"/>
    <m/>
    <m/>
    <m/>
    <n v="21"/>
    <n v="201208"/>
    <n v="470400"/>
  </r>
  <r>
    <x v="481"/>
    <x v="6"/>
    <m/>
    <x v="31"/>
    <x v="2"/>
    <x v="236"/>
    <m/>
    <m/>
    <m/>
    <n v="17"/>
    <n v="201208"/>
    <n v="666400"/>
  </r>
  <r>
    <x v="481"/>
    <x v="6"/>
    <m/>
    <x v="31"/>
    <x v="2"/>
    <x v="237"/>
    <m/>
    <m/>
    <m/>
    <n v="28"/>
    <n v="201208"/>
    <n v="1528800"/>
  </r>
  <r>
    <x v="481"/>
    <x v="6"/>
    <m/>
    <x v="32"/>
    <x v="2"/>
    <x v="238"/>
    <m/>
    <m/>
    <m/>
    <n v="7"/>
    <n v="201208"/>
    <n v="259700"/>
  </r>
  <r>
    <x v="481"/>
    <x v="6"/>
    <m/>
    <x v="34"/>
    <x v="2"/>
    <x v="128"/>
    <m/>
    <m/>
    <m/>
    <n v="55"/>
    <n v="201208"/>
    <n v="2040500"/>
  </r>
  <r>
    <x v="481"/>
    <x v="6"/>
    <m/>
    <x v="25"/>
    <x v="2"/>
    <x v="129"/>
    <m/>
    <m/>
    <m/>
    <n v="1"/>
    <n v="201208"/>
    <n v="99000"/>
  </r>
  <r>
    <x v="481"/>
    <x v="6"/>
    <m/>
    <x v="5"/>
    <x v="2"/>
    <x v="246"/>
    <m/>
    <m/>
    <m/>
    <n v="48"/>
    <n v="201208"/>
    <n v="1344000"/>
  </r>
  <r>
    <x v="481"/>
    <x v="6"/>
    <m/>
    <x v="5"/>
    <x v="2"/>
    <x v="247"/>
    <m/>
    <m/>
    <m/>
    <n v="62"/>
    <n v="201208"/>
    <n v="1736000"/>
  </r>
  <r>
    <x v="481"/>
    <x v="6"/>
    <m/>
    <x v="0"/>
    <x v="2"/>
    <x v="224"/>
    <m/>
    <m/>
    <m/>
    <n v="42"/>
    <n v="201208"/>
    <n v="1386000"/>
  </r>
  <r>
    <x v="481"/>
    <x v="6"/>
    <m/>
    <x v="0"/>
    <x v="2"/>
    <x v="225"/>
    <m/>
    <m/>
    <m/>
    <n v="10"/>
    <n v="201208"/>
    <n v="380000"/>
  </r>
  <r>
    <x v="481"/>
    <x v="6"/>
    <m/>
    <x v="30"/>
    <x v="2"/>
    <x v="132"/>
    <m/>
    <m/>
    <m/>
    <n v="17"/>
    <n v="201208"/>
    <n v="380800"/>
  </r>
  <r>
    <x v="481"/>
    <x v="6"/>
    <m/>
    <x v="30"/>
    <x v="2"/>
    <x v="133"/>
    <m/>
    <m/>
    <m/>
    <n v="3"/>
    <n v="201208"/>
    <n v="117600"/>
  </r>
  <r>
    <x v="481"/>
    <x v="6"/>
    <m/>
    <x v="34"/>
    <x v="2"/>
    <x v="134"/>
    <m/>
    <m/>
    <m/>
    <n v="7"/>
    <n v="201208"/>
    <n v="259700"/>
  </r>
  <r>
    <x v="481"/>
    <x v="6"/>
    <m/>
    <x v="1"/>
    <x v="2"/>
    <x v="135"/>
    <m/>
    <m/>
    <m/>
    <n v="4"/>
    <n v="201208"/>
    <n v="80000"/>
  </r>
  <r>
    <x v="481"/>
    <x v="6"/>
    <m/>
    <x v="36"/>
    <x v="2"/>
    <x v="136"/>
    <m/>
    <m/>
    <m/>
    <n v="4"/>
    <n v="201208"/>
    <n v="112000"/>
  </r>
  <r>
    <x v="481"/>
    <x v="6"/>
    <m/>
    <x v="36"/>
    <x v="2"/>
    <x v="137"/>
    <m/>
    <m/>
    <m/>
    <n v="2"/>
    <n v="201208"/>
    <n v="84000"/>
  </r>
  <r>
    <x v="481"/>
    <x v="6"/>
    <m/>
    <x v="0"/>
    <x v="2"/>
    <x v="218"/>
    <m/>
    <m/>
    <m/>
    <n v="67"/>
    <n v="201208"/>
    <n v="1340000"/>
  </r>
  <r>
    <x v="481"/>
    <x v="6"/>
    <m/>
    <x v="0"/>
    <x v="2"/>
    <x v="240"/>
    <m/>
    <m/>
    <m/>
    <n v="45"/>
    <n v="201208"/>
    <n v="1575000"/>
  </r>
  <r>
    <x v="481"/>
    <x v="6"/>
    <m/>
    <x v="32"/>
    <x v="2"/>
    <x v="220"/>
    <m/>
    <m/>
    <m/>
    <n v="23"/>
    <n v="201208"/>
    <n v="853300"/>
  </r>
  <r>
    <x v="481"/>
    <x v="6"/>
    <m/>
    <x v="18"/>
    <x v="2"/>
    <x v="125"/>
    <m/>
    <m/>
    <m/>
    <n v="26"/>
    <n v="201208"/>
    <n v="78000"/>
  </r>
  <r>
    <x v="481"/>
    <x v="6"/>
    <m/>
    <x v="0"/>
    <x v="2"/>
    <x v="141"/>
    <m/>
    <m/>
    <m/>
    <n v="1"/>
    <n v="201208"/>
    <n v="33000"/>
  </r>
  <r>
    <x v="481"/>
    <x v="6"/>
    <m/>
    <x v="4"/>
    <x v="2"/>
    <x v="142"/>
    <m/>
    <m/>
    <m/>
    <n v="2"/>
    <n v="201208"/>
    <n v="8000"/>
  </r>
  <r>
    <x v="481"/>
    <x v="6"/>
    <m/>
    <x v="4"/>
    <x v="2"/>
    <x v="143"/>
    <m/>
    <m/>
    <m/>
    <n v="10"/>
    <n v="201208"/>
    <n v="200000"/>
  </r>
  <r>
    <x v="481"/>
    <x v="6"/>
    <m/>
    <x v="4"/>
    <x v="2"/>
    <x v="144"/>
    <m/>
    <m/>
    <m/>
    <n v="1"/>
    <n v="201208"/>
    <n v="4000"/>
  </r>
  <r>
    <x v="481"/>
    <x v="6"/>
    <m/>
    <x v="0"/>
    <x v="2"/>
    <x v="148"/>
    <m/>
    <m/>
    <m/>
    <n v="1"/>
    <n v="201208"/>
    <n v="20000"/>
  </r>
  <r>
    <x v="481"/>
    <x v="6"/>
    <m/>
    <x v="22"/>
    <x v="2"/>
    <x v="150"/>
    <m/>
    <m/>
    <m/>
    <n v="9"/>
    <n v="201208"/>
    <n v="342000"/>
  </r>
  <r>
    <x v="481"/>
    <x v="6"/>
    <m/>
    <x v="22"/>
    <x v="2"/>
    <x v="150"/>
    <m/>
    <m/>
    <m/>
    <n v="3"/>
    <n v="201208"/>
    <n v="114000"/>
  </r>
  <r>
    <x v="481"/>
    <x v="6"/>
    <m/>
    <x v="5"/>
    <x v="2"/>
    <x v="151"/>
    <m/>
    <m/>
    <m/>
    <n v="35"/>
    <n v="201208"/>
    <n v="980000"/>
  </r>
  <r>
    <x v="481"/>
    <x v="6"/>
    <m/>
    <x v="5"/>
    <x v="2"/>
    <x v="152"/>
    <m/>
    <m/>
    <m/>
    <n v="9"/>
    <n v="201208"/>
    <n v="432000"/>
  </r>
  <r>
    <x v="481"/>
    <x v="6"/>
    <m/>
    <x v="5"/>
    <x v="2"/>
    <x v="153"/>
    <m/>
    <m/>
    <m/>
    <n v="2"/>
    <n v="201208"/>
    <n v="56000"/>
  </r>
  <r>
    <x v="481"/>
    <x v="6"/>
    <m/>
    <x v="33"/>
    <x v="2"/>
    <x v="155"/>
    <m/>
    <m/>
    <m/>
    <n v="5"/>
    <n v="201208"/>
    <n v="91000"/>
  </r>
  <r>
    <x v="481"/>
    <x v="6"/>
    <m/>
    <x v="33"/>
    <x v="2"/>
    <x v="156"/>
    <m/>
    <m/>
    <m/>
    <n v="3"/>
    <n v="201208"/>
    <n v="101400"/>
  </r>
  <r>
    <x v="481"/>
    <x v="6"/>
    <m/>
    <x v="19"/>
    <x v="2"/>
    <x v="157"/>
    <m/>
    <m/>
    <m/>
    <n v="23"/>
    <n v="201208"/>
    <n v="299000"/>
  </r>
  <r>
    <x v="481"/>
    <x v="6"/>
    <m/>
    <x v="19"/>
    <x v="2"/>
    <x v="158"/>
    <m/>
    <m/>
    <m/>
    <n v="5"/>
    <n v="201208"/>
    <n v="120000"/>
  </r>
  <r>
    <x v="481"/>
    <x v="6"/>
    <m/>
    <x v="19"/>
    <x v="2"/>
    <x v="159"/>
    <m/>
    <m/>
    <m/>
    <n v="2"/>
    <n v="201208"/>
    <n v="66000"/>
  </r>
  <r>
    <x v="481"/>
    <x v="6"/>
    <m/>
    <x v="19"/>
    <x v="2"/>
    <x v="181"/>
    <m/>
    <m/>
    <m/>
    <n v="2"/>
    <n v="201208"/>
    <n v="26000"/>
  </r>
  <r>
    <x v="481"/>
    <x v="6"/>
    <m/>
    <x v="35"/>
    <x v="2"/>
    <x v="170"/>
    <m/>
    <m/>
    <m/>
    <n v="1"/>
    <n v="201208"/>
    <n v="4000"/>
  </r>
  <r>
    <x v="481"/>
    <x v="6"/>
    <m/>
    <x v="35"/>
    <x v="2"/>
    <x v="160"/>
    <m/>
    <m/>
    <m/>
    <n v="1"/>
    <n v="201208"/>
    <n v="20000"/>
  </r>
  <r>
    <x v="481"/>
    <x v="6"/>
    <m/>
    <x v="4"/>
    <x v="2"/>
    <x v="243"/>
    <m/>
    <m/>
    <m/>
    <n v="4"/>
    <n v="201208"/>
    <n v="16000"/>
  </r>
  <r>
    <x v="481"/>
    <x v="6"/>
    <m/>
    <x v="4"/>
    <x v="2"/>
    <x v="241"/>
    <m/>
    <m/>
    <m/>
    <n v="7"/>
    <n v="201208"/>
    <n v="140000"/>
  </r>
  <r>
    <x v="481"/>
    <x v="6"/>
    <m/>
    <x v="18"/>
    <x v="2"/>
    <x v="161"/>
    <m/>
    <m/>
    <m/>
    <n v="28"/>
    <n v="201208"/>
    <n v="84000"/>
  </r>
  <r>
    <x v="481"/>
    <x v="6"/>
    <m/>
    <x v="18"/>
    <x v="2"/>
    <x v="161"/>
    <m/>
    <m/>
    <m/>
    <n v="2"/>
    <n v="201208"/>
    <n v="6000"/>
  </r>
  <r>
    <x v="482"/>
    <x v="3"/>
    <m/>
    <x v="0"/>
    <x v="1"/>
    <x v="123"/>
    <m/>
    <m/>
    <m/>
    <n v="2"/>
    <n v="201208"/>
    <n v="70000"/>
  </r>
  <r>
    <x v="482"/>
    <x v="3"/>
    <m/>
    <x v="0"/>
    <x v="7"/>
    <x v="163"/>
    <m/>
    <m/>
    <m/>
    <n v="9"/>
    <n v="201208"/>
    <n v="180000"/>
  </r>
  <r>
    <x v="482"/>
    <x v="3"/>
    <m/>
    <x v="18"/>
    <x v="3"/>
    <x v="19"/>
    <m/>
    <m/>
    <m/>
    <n v="250"/>
    <n v="201208"/>
    <n v="0"/>
  </r>
  <r>
    <x v="482"/>
    <x v="3"/>
    <m/>
    <x v="36"/>
    <x v="3"/>
    <x v="173"/>
    <m/>
    <m/>
    <m/>
    <n v="1"/>
    <n v="201208"/>
    <n v="0"/>
  </r>
  <r>
    <x v="482"/>
    <x v="3"/>
    <m/>
    <x v="6"/>
    <x v="2"/>
    <x v="126"/>
    <m/>
    <m/>
    <m/>
    <n v="3"/>
    <n v="201208"/>
    <n v="60000"/>
  </r>
  <r>
    <x v="482"/>
    <x v="3"/>
    <m/>
    <x v="31"/>
    <x v="2"/>
    <x v="227"/>
    <m/>
    <m/>
    <m/>
    <n v="50"/>
    <n v="201208"/>
    <n v="1120000"/>
  </r>
  <r>
    <x v="482"/>
    <x v="3"/>
    <m/>
    <x v="31"/>
    <x v="2"/>
    <x v="228"/>
    <m/>
    <m/>
    <m/>
    <n v="32"/>
    <n v="201208"/>
    <n v="1254400"/>
  </r>
  <r>
    <x v="482"/>
    <x v="3"/>
    <m/>
    <x v="31"/>
    <x v="2"/>
    <x v="229"/>
    <m/>
    <m/>
    <m/>
    <n v="35"/>
    <n v="201208"/>
    <n v="1911000"/>
  </r>
  <r>
    <x v="482"/>
    <x v="3"/>
    <m/>
    <x v="32"/>
    <x v="2"/>
    <x v="230"/>
    <m/>
    <m/>
    <m/>
    <n v="17"/>
    <n v="201208"/>
    <n v="630700"/>
  </r>
  <r>
    <x v="482"/>
    <x v="3"/>
    <m/>
    <x v="31"/>
    <x v="2"/>
    <x v="232"/>
    <m/>
    <m/>
    <m/>
    <n v="1"/>
    <n v="201208"/>
    <n v="39200"/>
  </r>
  <r>
    <x v="482"/>
    <x v="3"/>
    <m/>
    <x v="32"/>
    <x v="2"/>
    <x v="234"/>
    <m/>
    <m/>
    <m/>
    <n v="1"/>
    <n v="201208"/>
    <n v="37100"/>
  </r>
  <r>
    <x v="482"/>
    <x v="3"/>
    <m/>
    <x v="31"/>
    <x v="2"/>
    <x v="235"/>
    <m/>
    <m/>
    <m/>
    <n v="38"/>
    <n v="201208"/>
    <n v="851200"/>
  </r>
  <r>
    <x v="482"/>
    <x v="3"/>
    <m/>
    <x v="31"/>
    <x v="2"/>
    <x v="236"/>
    <m/>
    <m/>
    <m/>
    <n v="39"/>
    <n v="201208"/>
    <n v="1528800"/>
  </r>
  <r>
    <x v="482"/>
    <x v="3"/>
    <m/>
    <x v="31"/>
    <x v="2"/>
    <x v="237"/>
    <m/>
    <m/>
    <m/>
    <n v="20"/>
    <n v="201208"/>
    <n v="1092000"/>
  </r>
  <r>
    <x v="482"/>
    <x v="3"/>
    <m/>
    <x v="32"/>
    <x v="2"/>
    <x v="238"/>
    <m/>
    <m/>
    <m/>
    <n v="15"/>
    <n v="201208"/>
    <n v="556500"/>
  </r>
  <r>
    <x v="482"/>
    <x v="3"/>
    <m/>
    <x v="34"/>
    <x v="2"/>
    <x v="128"/>
    <m/>
    <m/>
    <m/>
    <n v="48"/>
    <n v="201208"/>
    <n v="1780800"/>
  </r>
  <r>
    <x v="482"/>
    <x v="3"/>
    <m/>
    <x v="25"/>
    <x v="2"/>
    <x v="129"/>
    <m/>
    <m/>
    <m/>
    <n v="6"/>
    <n v="201208"/>
    <n v="594000"/>
  </r>
  <r>
    <x v="482"/>
    <x v="3"/>
    <m/>
    <x v="5"/>
    <x v="2"/>
    <x v="246"/>
    <m/>
    <m/>
    <m/>
    <n v="7"/>
    <n v="201208"/>
    <n v="196000"/>
  </r>
  <r>
    <x v="482"/>
    <x v="3"/>
    <m/>
    <x v="5"/>
    <x v="2"/>
    <x v="247"/>
    <m/>
    <m/>
    <m/>
    <n v="11"/>
    <n v="201208"/>
    <n v="308000"/>
  </r>
  <r>
    <x v="482"/>
    <x v="3"/>
    <m/>
    <x v="0"/>
    <x v="2"/>
    <x v="224"/>
    <m/>
    <m/>
    <m/>
    <n v="47"/>
    <n v="201208"/>
    <n v="1551000"/>
  </r>
  <r>
    <x v="482"/>
    <x v="3"/>
    <m/>
    <x v="0"/>
    <x v="2"/>
    <x v="225"/>
    <m/>
    <m/>
    <m/>
    <n v="15"/>
    <n v="201208"/>
    <n v="570000"/>
  </r>
  <r>
    <x v="482"/>
    <x v="3"/>
    <m/>
    <x v="0"/>
    <x v="2"/>
    <x v="131"/>
    <m/>
    <m/>
    <m/>
    <n v="1"/>
    <n v="201208"/>
    <n v="33000"/>
  </r>
  <r>
    <x v="482"/>
    <x v="3"/>
    <m/>
    <x v="30"/>
    <x v="2"/>
    <x v="132"/>
    <m/>
    <m/>
    <m/>
    <n v="13"/>
    <n v="201208"/>
    <n v="291200"/>
  </r>
  <r>
    <x v="482"/>
    <x v="3"/>
    <m/>
    <x v="30"/>
    <x v="2"/>
    <x v="133"/>
    <m/>
    <m/>
    <m/>
    <n v="3"/>
    <n v="201208"/>
    <n v="117600"/>
  </r>
  <r>
    <x v="482"/>
    <x v="3"/>
    <m/>
    <x v="34"/>
    <x v="2"/>
    <x v="134"/>
    <m/>
    <m/>
    <m/>
    <n v="1"/>
    <n v="201208"/>
    <n v="37100"/>
  </r>
  <r>
    <x v="482"/>
    <x v="3"/>
    <m/>
    <x v="1"/>
    <x v="2"/>
    <x v="135"/>
    <m/>
    <m/>
    <m/>
    <n v="1"/>
    <n v="201208"/>
    <n v="20000"/>
  </r>
  <r>
    <x v="482"/>
    <x v="3"/>
    <m/>
    <x v="1"/>
    <x v="2"/>
    <x v="165"/>
    <m/>
    <m/>
    <m/>
    <n v="1"/>
    <n v="201208"/>
    <n v="35000"/>
  </r>
  <r>
    <x v="482"/>
    <x v="3"/>
    <m/>
    <x v="36"/>
    <x v="2"/>
    <x v="136"/>
    <m/>
    <m/>
    <m/>
    <n v="4"/>
    <n v="201208"/>
    <n v="112000"/>
  </r>
  <r>
    <x v="482"/>
    <x v="3"/>
    <m/>
    <x v="36"/>
    <x v="2"/>
    <x v="176"/>
    <m/>
    <m/>
    <m/>
    <n v="2"/>
    <n v="201208"/>
    <n v="98000"/>
  </r>
  <r>
    <x v="482"/>
    <x v="3"/>
    <m/>
    <x v="36"/>
    <x v="2"/>
    <x v="137"/>
    <m/>
    <m/>
    <m/>
    <n v="2"/>
    <n v="201208"/>
    <n v="84000"/>
  </r>
  <r>
    <x v="482"/>
    <x v="3"/>
    <m/>
    <x v="0"/>
    <x v="2"/>
    <x v="218"/>
    <m/>
    <m/>
    <m/>
    <n v="76"/>
    <n v="201208"/>
    <n v="1520000"/>
  </r>
  <r>
    <x v="482"/>
    <x v="3"/>
    <m/>
    <x v="0"/>
    <x v="2"/>
    <x v="240"/>
    <m/>
    <m/>
    <m/>
    <n v="55"/>
    <n v="201208"/>
    <n v="1925000"/>
  </r>
  <r>
    <x v="482"/>
    <x v="3"/>
    <m/>
    <x v="32"/>
    <x v="2"/>
    <x v="220"/>
    <m/>
    <m/>
    <m/>
    <n v="29"/>
    <n v="201208"/>
    <n v="1075900"/>
  </r>
  <r>
    <x v="482"/>
    <x v="3"/>
    <m/>
    <x v="18"/>
    <x v="2"/>
    <x v="125"/>
    <m/>
    <m/>
    <m/>
    <n v="54"/>
    <n v="201208"/>
    <n v="162000"/>
  </r>
  <r>
    <x v="482"/>
    <x v="3"/>
    <m/>
    <x v="4"/>
    <x v="2"/>
    <x v="142"/>
    <m/>
    <m/>
    <m/>
    <n v="4"/>
    <n v="201208"/>
    <n v="16000"/>
  </r>
  <r>
    <x v="482"/>
    <x v="3"/>
    <m/>
    <x v="4"/>
    <x v="2"/>
    <x v="143"/>
    <m/>
    <m/>
    <m/>
    <n v="6"/>
    <n v="201208"/>
    <n v="120000"/>
  </r>
  <r>
    <x v="482"/>
    <x v="3"/>
    <m/>
    <x v="4"/>
    <x v="2"/>
    <x v="144"/>
    <m/>
    <m/>
    <m/>
    <n v="22"/>
    <n v="201208"/>
    <n v="88000"/>
  </r>
  <r>
    <x v="482"/>
    <x v="3"/>
    <m/>
    <x v="0"/>
    <x v="2"/>
    <x v="148"/>
    <m/>
    <m/>
    <m/>
    <n v="1"/>
    <n v="201208"/>
    <n v="20000"/>
  </r>
  <r>
    <x v="482"/>
    <x v="3"/>
    <m/>
    <x v="22"/>
    <x v="2"/>
    <x v="150"/>
    <m/>
    <m/>
    <m/>
    <n v="11"/>
    <n v="201208"/>
    <n v="418000"/>
  </r>
  <r>
    <x v="482"/>
    <x v="3"/>
    <m/>
    <x v="22"/>
    <x v="2"/>
    <x v="150"/>
    <m/>
    <m/>
    <m/>
    <n v="4"/>
    <n v="201208"/>
    <n v="152000"/>
  </r>
  <r>
    <x v="482"/>
    <x v="3"/>
    <m/>
    <x v="5"/>
    <x v="2"/>
    <x v="151"/>
    <m/>
    <m/>
    <m/>
    <n v="27"/>
    <n v="201208"/>
    <n v="756000"/>
  </r>
  <r>
    <x v="482"/>
    <x v="3"/>
    <m/>
    <x v="5"/>
    <x v="2"/>
    <x v="152"/>
    <m/>
    <m/>
    <m/>
    <n v="8"/>
    <n v="201208"/>
    <n v="384000"/>
  </r>
  <r>
    <x v="482"/>
    <x v="3"/>
    <m/>
    <x v="5"/>
    <x v="2"/>
    <x v="153"/>
    <m/>
    <m/>
    <m/>
    <n v="10"/>
    <n v="201208"/>
    <n v="280000"/>
  </r>
  <r>
    <x v="482"/>
    <x v="3"/>
    <m/>
    <x v="33"/>
    <x v="2"/>
    <x v="155"/>
    <m/>
    <m/>
    <m/>
    <n v="1"/>
    <n v="201208"/>
    <n v="18200"/>
  </r>
  <r>
    <x v="482"/>
    <x v="3"/>
    <m/>
    <x v="19"/>
    <x v="2"/>
    <x v="157"/>
    <m/>
    <m/>
    <m/>
    <n v="21"/>
    <n v="201208"/>
    <n v="273000"/>
  </r>
  <r>
    <x v="482"/>
    <x v="3"/>
    <m/>
    <x v="19"/>
    <x v="2"/>
    <x v="158"/>
    <m/>
    <m/>
    <m/>
    <n v="5"/>
    <n v="201208"/>
    <n v="120000"/>
  </r>
  <r>
    <x v="482"/>
    <x v="3"/>
    <m/>
    <x v="19"/>
    <x v="2"/>
    <x v="159"/>
    <m/>
    <m/>
    <m/>
    <n v="7"/>
    <n v="201208"/>
    <n v="231000"/>
  </r>
  <r>
    <x v="482"/>
    <x v="3"/>
    <m/>
    <x v="19"/>
    <x v="2"/>
    <x v="181"/>
    <m/>
    <m/>
    <m/>
    <n v="1"/>
    <n v="201208"/>
    <n v="13000"/>
  </r>
  <r>
    <x v="482"/>
    <x v="3"/>
    <m/>
    <x v="35"/>
    <x v="2"/>
    <x v="160"/>
    <m/>
    <m/>
    <m/>
    <n v="1"/>
    <n v="201208"/>
    <n v="20000"/>
  </r>
  <r>
    <x v="482"/>
    <x v="3"/>
    <m/>
    <x v="4"/>
    <x v="2"/>
    <x v="242"/>
    <m/>
    <m/>
    <m/>
    <n v="2"/>
    <n v="201208"/>
    <n v="40000"/>
  </r>
  <r>
    <x v="482"/>
    <x v="3"/>
    <m/>
    <x v="4"/>
    <x v="2"/>
    <x v="241"/>
    <m/>
    <m/>
    <m/>
    <n v="4"/>
    <n v="201208"/>
    <n v="80000"/>
  </r>
  <r>
    <x v="482"/>
    <x v="3"/>
    <m/>
    <x v="18"/>
    <x v="2"/>
    <x v="161"/>
    <m/>
    <m/>
    <m/>
    <n v="18"/>
    <n v="201208"/>
    <n v="54000"/>
  </r>
  <r>
    <x v="482"/>
    <x v="3"/>
    <m/>
    <x v="18"/>
    <x v="2"/>
    <x v="161"/>
    <m/>
    <m/>
    <m/>
    <n v="1"/>
    <n v="201208"/>
    <n v="3000"/>
  </r>
  <r>
    <x v="483"/>
    <x v="4"/>
    <m/>
    <x v="0"/>
    <x v="1"/>
    <x v="123"/>
    <m/>
    <m/>
    <m/>
    <n v="2"/>
    <n v="201208"/>
    <n v="70000"/>
  </r>
  <r>
    <x v="483"/>
    <x v="4"/>
    <m/>
    <x v="0"/>
    <x v="1"/>
    <x v="124"/>
    <m/>
    <m/>
    <m/>
    <n v="1"/>
    <n v="201208"/>
    <n v="20000"/>
  </r>
  <r>
    <x v="483"/>
    <x v="4"/>
    <m/>
    <x v="0"/>
    <x v="7"/>
    <x v="163"/>
    <m/>
    <m/>
    <m/>
    <n v="3"/>
    <n v="201208"/>
    <n v="60000"/>
  </r>
  <r>
    <x v="483"/>
    <x v="4"/>
    <m/>
    <x v="0"/>
    <x v="3"/>
    <x v="164"/>
    <m/>
    <m/>
    <m/>
    <n v="1"/>
    <n v="201208"/>
    <n v="0"/>
  </r>
  <r>
    <x v="483"/>
    <x v="4"/>
    <m/>
    <x v="6"/>
    <x v="2"/>
    <x v="126"/>
    <m/>
    <m/>
    <m/>
    <n v="5"/>
    <n v="201208"/>
    <n v="100000"/>
  </r>
  <r>
    <x v="483"/>
    <x v="4"/>
    <m/>
    <x v="6"/>
    <x v="2"/>
    <x v="127"/>
    <m/>
    <m/>
    <m/>
    <n v="2"/>
    <n v="201208"/>
    <n v="70000"/>
  </r>
  <r>
    <x v="483"/>
    <x v="4"/>
    <m/>
    <x v="31"/>
    <x v="2"/>
    <x v="227"/>
    <m/>
    <m/>
    <m/>
    <n v="54"/>
    <n v="201208"/>
    <n v="1209600"/>
  </r>
  <r>
    <x v="483"/>
    <x v="4"/>
    <m/>
    <x v="31"/>
    <x v="2"/>
    <x v="228"/>
    <m/>
    <m/>
    <m/>
    <n v="38"/>
    <n v="201208"/>
    <n v="1489600"/>
  </r>
  <r>
    <x v="483"/>
    <x v="4"/>
    <m/>
    <x v="31"/>
    <x v="2"/>
    <x v="229"/>
    <m/>
    <m/>
    <m/>
    <n v="35"/>
    <n v="201208"/>
    <n v="1911000"/>
  </r>
  <r>
    <x v="483"/>
    <x v="4"/>
    <m/>
    <x v="32"/>
    <x v="2"/>
    <x v="230"/>
    <m/>
    <m/>
    <m/>
    <n v="30"/>
    <n v="201208"/>
    <n v="1113000"/>
  </r>
  <r>
    <x v="483"/>
    <x v="4"/>
    <m/>
    <x v="31"/>
    <x v="2"/>
    <x v="231"/>
    <m/>
    <m/>
    <m/>
    <n v="1"/>
    <n v="201208"/>
    <n v="22400"/>
  </r>
  <r>
    <x v="483"/>
    <x v="4"/>
    <m/>
    <x v="31"/>
    <x v="2"/>
    <x v="232"/>
    <m/>
    <m/>
    <m/>
    <n v="1"/>
    <n v="201208"/>
    <n v="39200"/>
  </r>
  <r>
    <x v="483"/>
    <x v="4"/>
    <m/>
    <x v="31"/>
    <x v="2"/>
    <x v="235"/>
    <m/>
    <m/>
    <m/>
    <n v="49"/>
    <n v="201208"/>
    <n v="1097600"/>
  </r>
  <r>
    <x v="483"/>
    <x v="4"/>
    <m/>
    <x v="31"/>
    <x v="2"/>
    <x v="236"/>
    <m/>
    <m/>
    <m/>
    <n v="48"/>
    <n v="201208"/>
    <n v="1881600"/>
  </r>
  <r>
    <x v="483"/>
    <x v="4"/>
    <m/>
    <x v="31"/>
    <x v="2"/>
    <x v="237"/>
    <m/>
    <m/>
    <m/>
    <n v="32"/>
    <n v="201208"/>
    <n v="1747200"/>
  </r>
  <r>
    <x v="483"/>
    <x v="4"/>
    <m/>
    <x v="32"/>
    <x v="2"/>
    <x v="238"/>
    <m/>
    <m/>
    <m/>
    <n v="8"/>
    <n v="201208"/>
    <n v="296800"/>
  </r>
  <r>
    <x v="483"/>
    <x v="4"/>
    <m/>
    <x v="34"/>
    <x v="2"/>
    <x v="128"/>
    <m/>
    <m/>
    <m/>
    <n v="38"/>
    <n v="201208"/>
    <n v="1409800"/>
  </r>
  <r>
    <x v="483"/>
    <x v="4"/>
    <m/>
    <x v="25"/>
    <x v="2"/>
    <x v="129"/>
    <m/>
    <m/>
    <m/>
    <n v="4"/>
    <n v="201208"/>
    <n v="396000"/>
  </r>
  <r>
    <x v="483"/>
    <x v="4"/>
    <m/>
    <x v="5"/>
    <x v="2"/>
    <x v="247"/>
    <m/>
    <m/>
    <m/>
    <n v="1"/>
    <n v="201208"/>
    <n v="28000"/>
  </r>
  <r>
    <x v="483"/>
    <x v="4"/>
    <m/>
    <x v="0"/>
    <x v="2"/>
    <x v="224"/>
    <m/>
    <m/>
    <m/>
    <n v="27"/>
    <n v="201208"/>
    <n v="891000"/>
  </r>
  <r>
    <x v="483"/>
    <x v="4"/>
    <m/>
    <x v="0"/>
    <x v="2"/>
    <x v="225"/>
    <m/>
    <m/>
    <m/>
    <n v="7"/>
    <n v="201208"/>
    <n v="266000"/>
  </r>
  <r>
    <x v="483"/>
    <x v="4"/>
    <m/>
    <x v="0"/>
    <x v="2"/>
    <x v="168"/>
    <m/>
    <m/>
    <m/>
    <n v="1"/>
    <n v="201208"/>
    <n v="20000"/>
  </r>
  <r>
    <x v="483"/>
    <x v="4"/>
    <m/>
    <x v="30"/>
    <x v="2"/>
    <x v="132"/>
    <m/>
    <m/>
    <m/>
    <n v="17"/>
    <n v="201208"/>
    <n v="380800"/>
  </r>
  <r>
    <x v="483"/>
    <x v="4"/>
    <m/>
    <x v="30"/>
    <x v="2"/>
    <x v="133"/>
    <m/>
    <m/>
    <m/>
    <n v="3"/>
    <n v="201208"/>
    <n v="117600"/>
  </r>
  <r>
    <x v="483"/>
    <x v="4"/>
    <m/>
    <x v="34"/>
    <x v="2"/>
    <x v="134"/>
    <m/>
    <m/>
    <m/>
    <n v="3"/>
    <n v="201208"/>
    <n v="111300"/>
  </r>
  <r>
    <x v="483"/>
    <x v="4"/>
    <m/>
    <x v="1"/>
    <x v="2"/>
    <x v="135"/>
    <m/>
    <m/>
    <m/>
    <n v="1"/>
    <n v="201208"/>
    <n v="20000"/>
  </r>
  <r>
    <x v="483"/>
    <x v="4"/>
    <m/>
    <x v="1"/>
    <x v="2"/>
    <x v="165"/>
    <m/>
    <m/>
    <m/>
    <n v="2"/>
    <n v="201208"/>
    <n v="70000"/>
  </r>
  <r>
    <x v="483"/>
    <x v="4"/>
    <m/>
    <x v="36"/>
    <x v="2"/>
    <x v="136"/>
    <m/>
    <m/>
    <m/>
    <n v="8"/>
    <n v="201208"/>
    <n v="224000"/>
  </r>
  <r>
    <x v="483"/>
    <x v="4"/>
    <m/>
    <x v="36"/>
    <x v="2"/>
    <x v="137"/>
    <m/>
    <m/>
    <m/>
    <n v="2"/>
    <n v="201208"/>
    <n v="84000"/>
  </r>
  <r>
    <x v="483"/>
    <x v="4"/>
    <m/>
    <x v="0"/>
    <x v="2"/>
    <x v="218"/>
    <m/>
    <m/>
    <m/>
    <n v="78"/>
    <n v="201208"/>
    <n v="1560000"/>
  </r>
  <r>
    <x v="483"/>
    <x v="4"/>
    <m/>
    <x v="0"/>
    <x v="2"/>
    <x v="240"/>
    <m/>
    <m/>
    <m/>
    <n v="67"/>
    <n v="201208"/>
    <n v="2345000"/>
  </r>
  <r>
    <x v="483"/>
    <x v="4"/>
    <m/>
    <x v="32"/>
    <x v="2"/>
    <x v="220"/>
    <m/>
    <m/>
    <m/>
    <n v="27"/>
    <n v="201208"/>
    <n v="1001700"/>
  </r>
  <r>
    <x v="483"/>
    <x v="4"/>
    <m/>
    <x v="18"/>
    <x v="2"/>
    <x v="125"/>
    <m/>
    <m/>
    <m/>
    <n v="54"/>
    <n v="201208"/>
    <n v="162000"/>
  </r>
  <r>
    <x v="483"/>
    <x v="4"/>
    <m/>
    <x v="0"/>
    <x v="2"/>
    <x v="141"/>
    <m/>
    <m/>
    <m/>
    <n v="1"/>
    <n v="201208"/>
    <n v="33000"/>
  </r>
  <r>
    <x v="483"/>
    <x v="4"/>
    <m/>
    <x v="4"/>
    <x v="2"/>
    <x v="142"/>
    <m/>
    <m/>
    <m/>
    <n v="2"/>
    <n v="201208"/>
    <n v="8000"/>
  </r>
  <r>
    <x v="483"/>
    <x v="4"/>
    <m/>
    <x v="4"/>
    <x v="2"/>
    <x v="143"/>
    <m/>
    <m/>
    <m/>
    <n v="9"/>
    <n v="201208"/>
    <n v="180000"/>
  </r>
  <r>
    <x v="483"/>
    <x v="4"/>
    <m/>
    <x v="4"/>
    <x v="2"/>
    <x v="144"/>
    <m/>
    <m/>
    <m/>
    <n v="5"/>
    <n v="201208"/>
    <n v="20000"/>
  </r>
  <r>
    <x v="483"/>
    <x v="4"/>
    <m/>
    <x v="0"/>
    <x v="2"/>
    <x v="148"/>
    <m/>
    <m/>
    <m/>
    <n v="2"/>
    <n v="201208"/>
    <n v="40000"/>
  </r>
  <r>
    <x v="483"/>
    <x v="4"/>
    <m/>
    <x v="22"/>
    <x v="2"/>
    <x v="150"/>
    <m/>
    <m/>
    <m/>
    <n v="12"/>
    <n v="201208"/>
    <n v="456000"/>
  </r>
  <r>
    <x v="483"/>
    <x v="4"/>
    <m/>
    <x v="22"/>
    <x v="2"/>
    <x v="150"/>
    <m/>
    <m/>
    <m/>
    <n v="4"/>
    <n v="201208"/>
    <n v="152000"/>
  </r>
  <r>
    <x v="483"/>
    <x v="4"/>
    <m/>
    <x v="5"/>
    <x v="2"/>
    <x v="151"/>
    <m/>
    <m/>
    <m/>
    <n v="21"/>
    <n v="201208"/>
    <n v="588000"/>
  </r>
  <r>
    <x v="483"/>
    <x v="4"/>
    <m/>
    <x v="5"/>
    <x v="2"/>
    <x v="152"/>
    <m/>
    <m/>
    <m/>
    <n v="11"/>
    <n v="201208"/>
    <n v="528000"/>
  </r>
  <r>
    <x v="483"/>
    <x v="4"/>
    <m/>
    <x v="5"/>
    <x v="2"/>
    <x v="153"/>
    <m/>
    <m/>
    <m/>
    <n v="4"/>
    <n v="201208"/>
    <n v="112000"/>
  </r>
  <r>
    <x v="483"/>
    <x v="4"/>
    <m/>
    <x v="33"/>
    <x v="2"/>
    <x v="155"/>
    <m/>
    <m/>
    <m/>
    <n v="7"/>
    <n v="201208"/>
    <n v="127400"/>
  </r>
  <r>
    <x v="483"/>
    <x v="4"/>
    <m/>
    <x v="33"/>
    <x v="2"/>
    <x v="156"/>
    <m/>
    <m/>
    <m/>
    <n v="3"/>
    <n v="201208"/>
    <n v="101400"/>
  </r>
  <r>
    <x v="483"/>
    <x v="4"/>
    <m/>
    <x v="19"/>
    <x v="2"/>
    <x v="157"/>
    <m/>
    <m/>
    <m/>
    <n v="24"/>
    <n v="201208"/>
    <n v="312000"/>
  </r>
  <r>
    <x v="483"/>
    <x v="4"/>
    <m/>
    <x v="19"/>
    <x v="2"/>
    <x v="158"/>
    <m/>
    <m/>
    <m/>
    <n v="6"/>
    <n v="201208"/>
    <n v="144000"/>
  </r>
  <r>
    <x v="483"/>
    <x v="4"/>
    <m/>
    <x v="19"/>
    <x v="2"/>
    <x v="159"/>
    <m/>
    <m/>
    <m/>
    <n v="4"/>
    <n v="201208"/>
    <n v="132000"/>
  </r>
  <r>
    <x v="483"/>
    <x v="4"/>
    <m/>
    <x v="35"/>
    <x v="2"/>
    <x v="160"/>
    <m/>
    <m/>
    <m/>
    <n v="2"/>
    <n v="201208"/>
    <n v="40000"/>
  </r>
  <r>
    <x v="483"/>
    <x v="4"/>
    <m/>
    <x v="4"/>
    <x v="2"/>
    <x v="242"/>
    <m/>
    <m/>
    <m/>
    <n v="1"/>
    <n v="201208"/>
    <n v="20000"/>
  </r>
  <r>
    <x v="483"/>
    <x v="4"/>
    <m/>
    <x v="4"/>
    <x v="2"/>
    <x v="207"/>
    <m/>
    <m/>
    <m/>
    <n v="2"/>
    <n v="201208"/>
    <n v="8000"/>
  </r>
  <r>
    <x v="483"/>
    <x v="4"/>
    <m/>
    <x v="4"/>
    <x v="2"/>
    <x v="241"/>
    <m/>
    <m/>
    <m/>
    <n v="10"/>
    <n v="201208"/>
    <n v="200000"/>
  </r>
  <r>
    <x v="483"/>
    <x v="4"/>
    <m/>
    <x v="18"/>
    <x v="2"/>
    <x v="161"/>
    <m/>
    <m/>
    <m/>
    <n v="24"/>
    <n v="201208"/>
    <n v="72000"/>
  </r>
  <r>
    <x v="484"/>
    <x v="1"/>
    <m/>
    <x v="0"/>
    <x v="1"/>
    <x v="123"/>
    <m/>
    <m/>
    <m/>
    <n v="1"/>
    <n v="201208"/>
    <n v="35000"/>
  </r>
  <r>
    <x v="484"/>
    <x v="1"/>
    <m/>
    <x v="0"/>
    <x v="1"/>
    <x v="124"/>
    <m/>
    <m/>
    <m/>
    <n v="2"/>
    <n v="201208"/>
    <n v="40000"/>
  </r>
  <r>
    <x v="484"/>
    <x v="1"/>
    <m/>
    <x v="0"/>
    <x v="7"/>
    <x v="163"/>
    <m/>
    <m/>
    <m/>
    <n v="2"/>
    <n v="201208"/>
    <n v="40000"/>
  </r>
  <r>
    <x v="484"/>
    <x v="1"/>
    <m/>
    <x v="0"/>
    <x v="3"/>
    <x v="164"/>
    <m/>
    <m/>
    <m/>
    <n v="162"/>
    <n v="201208"/>
    <n v="0"/>
  </r>
  <r>
    <x v="484"/>
    <x v="1"/>
    <m/>
    <x v="31"/>
    <x v="3"/>
    <x v="88"/>
    <m/>
    <m/>
    <m/>
    <n v="40"/>
    <n v="201208"/>
    <n v="0"/>
  </r>
  <r>
    <x v="484"/>
    <x v="1"/>
    <m/>
    <x v="6"/>
    <x v="2"/>
    <x v="126"/>
    <m/>
    <m/>
    <m/>
    <n v="5"/>
    <n v="201208"/>
    <n v="100000"/>
  </r>
  <r>
    <x v="484"/>
    <x v="1"/>
    <m/>
    <x v="6"/>
    <x v="2"/>
    <x v="127"/>
    <m/>
    <m/>
    <m/>
    <n v="3"/>
    <n v="201208"/>
    <n v="105000"/>
  </r>
  <r>
    <x v="484"/>
    <x v="1"/>
    <m/>
    <x v="31"/>
    <x v="2"/>
    <x v="227"/>
    <m/>
    <m/>
    <m/>
    <n v="32"/>
    <n v="201208"/>
    <n v="716800"/>
  </r>
  <r>
    <x v="484"/>
    <x v="1"/>
    <m/>
    <x v="31"/>
    <x v="2"/>
    <x v="228"/>
    <m/>
    <m/>
    <m/>
    <n v="33"/>
    <n v="201208"/>
    <n v="1293600"/>
  </r>
  <r>
    <x v="484"/>
    <x v="1"/>
    <m/>
    <x v="31"/>
    <x v="2"/>
    <x v="229"/>
    <m/>
    <m/>
    <m/>
    <n v="15"/>
    <n v="201208"/>
    <n v="819000"/>
  </r>
  <r>
    <x v="484"/>
    <x v="1"/>
    <m/>
    <x v="32"/>
    <x v="2"/>
    <x v="230"/>
    <m/>
    <m/>
    <m/>
    <n v="12"/>
    <n v="201208"/>
    <n v="445200"/>
  </r>
  <r>
    <x v="484"/>
    <x v="1"/>
    <m/>
    <x v="31"/>
    <x v="2"/>
    <x v="233"/>
    <m/>
    <m/>
    <m/>
    <n v="1"/>
    <n v="201208"/>
    <n v="54600"/>
  </r>
  <r>
    <x v="484"/>
    <x v="1"/>
    <m/>
    <x v="31"/>
    <x v="2"/>
    <x v="235"/>
    <m/>
    <m/>
    <m/>
    <n v="51"/>
    <n v="201208"/>
    <n v="1142400"/>
  </r>
  <r>
    <x v="484"/>
    <x v="1"/>
    <m/>
    <x v="31"/>
    <x v="2"/>
    <x v="236"/>
    <m/>
    <m/>
    <m/>
    <n v="28"/>
    <n v="201208"/>
    <n v="1097600"/>
  </r>
  <r>
    <x v="484"/>
    <x v="1"/>
    <m/>
    <x v="31"/>
    <x v="2"/>
    <x v="237"/>
    <m/>
    <m/>
    <m/>
    <n v="18"/>
    <n v="201208"/>
    <n v="982800"/>
  </r>
  <r>
    <x v="484"/>
    <x v="1"/>
    <m/>
    <x v="32"/>
    <x v="2"/>
    <x v="238"/>
    <m/>
    <m/>
    <m/>
    <n v="8"/>
    <n v="201208"/>
    <n v="296800"/>
  </r>
  <r>
    <x v="484"/>
    <x v="1"/>
    <m/>
    <x v="34"/>
    <x v="2"/>
    <x v="128"/>
    <m/>
    <m/>
    <m/>
    <n v="64"/>
    <n v="201208"/>
    <n v="2374400"/>
  </r>
  <r>
    <x v="484"/>
    <x v="1"/>
    <m/>
    <x v="25"/>
    <x v="2"/>
    <x v="129"/>
    <m/>
    <m/>
    <m/>
    <n v="3"/>
    <n v="201208"/>
    <n v="297000"/>
  </r>
  <r>
    <x v="484"/>
    <x v="1"/>
    <m/>
    <x v="0"/>
    <x v="2"/>
    <x v="224"/>
    <m/>
    <m/>
    <m/>
    <n v="36"/>
    <n v="201208"/>
    <n v="1188000"/>
  </r>
  <r>
    <x v="484"/>
    <x v="1"/>
    <m/>
    <x v="0"/>
    <x v="2"/>
    <x v="225"/>
    <m/>
    <m/>
    <m/>
    <n v="17"/>
    <n v="201208"/>
    <n v="646000"/>
  </r>
  <r>
    <x v="484"/>
    <x v="1"/>
    <m/>
    <x v="30"/>
    <x v="2"/>
    <x v="132"/>
    <m/>
    <m/>
    <m/>
    <n v="13"/>
    <n v="201208"/>
    <n v="291200"/>
  </r>
  <r>
    <x v="484"/>
    <x v="1"/>
    <m/>
    <x v="34"/>
    <x v="2"/>
    <x v="134"/>
    <m/>
    <m/>
    <m/>
    <n v="1"/>
    <n v="201208"/>
    <n v="37100"/>
  </r>
  <r>
    <x v="484"/>
    <x v="1"/>
    <m/>
    <x v="1"/>
    <x v="2"/>
    <x v="165"/>
    <m/>
    <m/>
    <m/>
    <n v="2"/>
    <n v="201208"/>
    <n v="70000"/>
  </r>
  <r>
    <x v="484"/>
    <x v="1"/>
    <m/>
    <x v="36"/>
    <x v="2"/>
    <x v="136"/>
    <m/>
    <m/>
    <m/>
    <n v="8"/>
    <n v="201208"/>
    <n v="224000"/>
  </r>
  <r>
    <x v="484"/>
    <x v="1"/>
    <m/>
    <x v="0"/>
    <x v="2"/>
    <x v="218"/>
    <m/>
    <m/>
    <m/>
    <n v="117"/>
    <n v="201208"/>
    <n v="2340000"/>
  </r>
  <r>
    <x v="484"/>
    <x v="1"/>
    <m/>
    <x v="0"/>
    <x v="2"/>
    <x v="240"/>
    <m/>
    <m/>
    <m/>
    <n v="60"/>
    <n v="201208"/>
    <n v="2100000"/>
  </r>
  <r>
    <x v="484"/>
    <x v="1"/>
    <m/>
    <x v="32"/>
    <x v="2"/>
    <x v="220"/>
    <m/>
    <m/>
    <m/>
    <n v="41"/>
    <n v="201208"/>
    <n v="1521100"/>
  </r>
  <r>
    <x v="484"/>
    <x v="1"/>
    <m/>
    <x v="18"/>
    <x v="2"/>
    <x v="125"/>
    <m/>
    <m/>
    <m/>
    <n v="67"/>
    <n v="201208"/>
    <n v="201000"/>
  </r>
  <r>
    <x v="484"/>
    <x v="1"/>
    <m/>
    <x v="0"/>
    <x v="2"/>
    <x v="138"/>
    <m/>
    <m/>
    <m/>
    <n v="1"/>
    <n v="201208"/>
    <n v="20000"/>
  </r>
  <r>
    <x v="484"/>
    <x v="1"/>
    <m/>
    <x v="0"/>
    <x v="2"/>
    <x v="139"/>
    <m/>
    <m/>
    <m/>
    <n v="1"/>
    <n v="201208"/>
    <n v="35000"/>
  </r>
  <r>
    <x v="484"/>
    <x v="1"/>
    <m/>
    <x v="0"/>
    <x v="2"/>
    <x v="141"/>
    <m/>
    <m/>
    <m/>
    <n v="1"/>
    <n v="201208"/>
    <n v="33000"/>
  </r>
  <r>
    <x v="484"/>
    <x v="1"/>
    <m/>
    <x v="4"/>
    <x v="2"/>
    <x v="142"/>
    <m/>
    <m/>
    <m/>
    <n v="2"/>
    <n v="201208"/>
    <n v="8000"/>
  </r>
  <r>
    <x v="484"/>
    <x v="1"/>
    <m/>
    <x v="4"/>
    <x v="2"/>
    <x v="143"/>
    <m/>
    <m/>
    <m/>
    <n v="7"/>
    <n v="201208"/>
    <n v="140000"/>
  </r>
  <r>
    <x v="484"/>
    <x v="1"/>
    <m/>
    <x v="4"/>
    <x v="2"/>
    <x v="144"/>
    <m/>
    <m/>
    <m/>
    <n v="18"/>
    <n v="201208"/>
    <n v="72000"/>
  </r>
  <r>
    <x v="484"/>
    <x v="1"/>
    <m/>
    <x v="31"/>
    <x v="2"/>
    <x v="145"/>
    <m/>
    <m/>
    <m/>
    <n v="23"/>
    <n v="201208"/>
    <n v="515200"/>
  </r>
  <r>
    <x v="484"/>
    <x v="1"/>
    <m/>
    <x v="31"/>
    <x v="2"/>
    <x v="146"/>
    <m/>
    <m/>
    <m/>
    <n v="20"/>
    <n v="201208"/>
    <n v="784000"/>
  </r>
  <r>
    <x v="484"/>
    <x v="1"/>
    <m/>
    <x v="31"/>
    <x v="2"/>
    <x v="249"/>
    <m/>
    <m/>
    <m/>
    <n v="9"/>
    <n v="201208"/>
    <n v="491400"/>
  </r>
  <r>
    <x v="484"/>
    <x v="1"/>
    <m/>
    <x v="32"/>
    <x v="2"/>
    <x v="147"/>
    <m/>
    <m/>
    <m/>
    <n v="3"/>
    <n v="201208"/>
    <n v="111300"/>
  </r>
  <r>
    <x v="484"/>
    <x v="1"/>
    <m/>
    <x v="0"/>
    <x v="2"/>
    <x v="148"/>
    <m/>
    <m/>
    <m/>
    <n v="1"/>
    <n v="201208"/>
    <n v="20000"/>
  </r>
  <r>
    <x v="484"/>
    <x v="1"/>
    <m/>
    <x v="0"/>
    <x v="2"/>
    <x v="250"/>
    <m/>
    <m/>
    <m/>
    <n v="4"/>
    <n v="201208"/>
    <n v="80000"/>
  </r>
  <r>
    <x v="484"/>
    <x v="1"/>
    <m/>
    <x v="0"/>
    <x v="2"/>
    <x v="251"/>
    <m/>
    <m/>
    <m/>
    <n v="2"/>
    <n v="201208"/>
    <n v="70000"/>
  </r>
  <r>
    <x v="484"/>
    <x v="1"/>
    <m/>
    <x v="18"/>
    <x v="2"/>
    <x v="252"/>
    <m/>
    <m/>
    <m/>
    <n v="3"/>
    <n v="201208"/>
    <n v="9000"/>
  </r>
  <r>
    <x v="484"/>
    <x v="1"/>
    <m/>
    <x v="31"/>
    <x v="2"/>
    <x v="186"/>
    <m/>
    <m/>
    <m/>
    <n v="12"/>
    <n v="201208"/>
    <n v="268800"/>
  </r>
  <r>
    <x v="484"/>
    <x v="1"/>
    <m/>
    <x v="31"/>
    <x v="2"/>
    <x v="187"/>
    <m/>
    <m/>
    <m/>
    <n v="13"/>
    <n v="201208"/>
    <n v="509600"/>
  </r>
  <r>
    <x v="484"/>
    <x v="1"/>
    <m/>
    <x v="32"/>
    <x v="2"/>
    <x v="188"/>
    <m/>
    <m/>
    <m/>
    <n v="3"/>
    <n v="201208"/>
    <n v="111300"/>
  </r>
  <r>
    <x v="484"/>
    <x v="1"/>
    <m/>
    <x v="22"/>
    <x v="2"/>
    <x v="150"/>
    <m/>
    <m/>
    <m/>
    <n v="5"/>
    <n v="201208"/>
    <n v="190000"/>
  </r>
  <r>
    <x v="484"/>
    <x v="1"/>
    <m/>
    <x v="22"/>
    <x v="2"/>
    <x v="150"/>
    <m/>
    <m/>
    <m/>
    <n v="10"/>
    <n v="201208"/>
    <n v="380000"/>
  </r>
  <r>
    <x v="484"/>
    <x v="1"/>
    <m/>
    <x v="5"/>
    <x v="2"/>
    <x v="151"/>
    <m/>
    <m/>
    <m/>
    <n v="25"/>
    <n v="201208"/>
    <n v="700000"/>
  </r>
  <r>
    <x v="484"/>
    <x v="1"/>
    <m/>
    <x v="5"/>
    <x v="2"/>
    <x v="152"/>
    <m/>
    <m/>
    <m/>
    <n v="9"/>
    <n v="201208"/>
    <n v="432000"/>
  </r>
  <r>
    <x v="484"/>
    <x v="1"/>
    <m/>
    <x v="5"/>
    <x v="2"/>
    <x v="153"/>
    <m/>
    <m/>
    <m/>
    <n v="14"/>
    <n v="201208"/>
    <n v="392000"/>
  </r>
  <r>
    <x v="484"/>
    <x v="1"/>
    <m/>
    <x v="33"/>
    <x v="2"/>
    <x v="155"/>
    <m/>
    <m/>
    <m/>
    <n v="2"/>
    <n v="201208"/>
    <n v="36400"/>
  </r>
  <r>
    <x v="484"/>
    <x v="1"/>
    <m/>
    <x v="33"/>
    <x v="2"/>
    <x v="156"/>
    <m/>
    <m/>
    <m/>
    <n v="3"/>
    <n v="201208"/>
    <n v="101400"/>
  </r>
  <r>
    <x v="484"/>
    <x v="1"/>
    <m/>
    <x v="19"/>
    <x v="2"/>
    <x v="157"/>
    <m/>
    <m/>
    <m/>
    <n v="19"/>
    <n v="201208"/>
    <n v="247000"/>
  </r>
  <r>
    <x v="484"/>
    <x v="1"/>
    <m/>
    <x v="19"/>
    <x v="2"/>
    <x v="158"/>
    <m/>
    <m/>
    <m/>
    <n v="5"/>
    <n v="201208"/>
    <n v="120000"/>
  </r>
  <r>
    <x v="484"/>
    <x v="1"/>
    <m/>
    <x v="35"/>
    <x v="2"/>
    <x v="170"/>
    <m/>
    <m/>
    <m/>
    <n v="1"/>
    <n v="201208"/>
    <n v="4000"/>
  </r>
  <r>
    <x v="484"/>
    <x v="1"/>
    <m/>
    <x v="4"/>
    <x v="2"/>
    <x v="243"/>
    <m/>
    <m/>
    <m/>
    <n v="2"/>
    <n v="201208"/>
    <n v="8000"/>
  </r>
  <r>
    <x v="484"/>
    <x v="1"/>
    <m/>
    <x v="4"/>
    <x v="2"/>
    <x v="242"/>
    <m/>
    <m/>
    <m/>
    <n v="2"/>
    <n v="201208"/>
    <n v="40000"/>
  </r>
  <r>
    <x v="484"/>
    <x v="1"/>
    <m/>
    <x v="4"/>
    <x v="2"/>
    <x v="207"/>
    <m/>
    <m/>
    <m/>
    <n v="2"/>
    <n v="201208"/>
    <n v="8000"/>
  </r>
  <r>
    <x v="484"/>
    <x v="1"/>
    <m/>
    <x v="18"/>
    <x v="2"/>
    <x v="161"/>
    <m/>
    <m/>
    <m/>
    <n v="16"/>
    <n v="201208"/>
    <n v="48000"/>
  </r>
  <r>
    <x v="484"/>
    <x v="1"/>
    <m/>
    <x v="18"/>
    <x v="2"/>
    <x v="161"/>
    <m/>
    <m/>
    <m/>
    <n v="1"/>
    <n v="201208"/>
    <n v="3000"/>
  </r>
  <r>
    <x v="485"/>
    <x v="0"/>
    <m/>
    <x v="0"/>
    <x v="1"/>
    <x v="123"/>
    <m/>
    <m/>
    <m/>
    <n v="1"/>
    <n v="201208"/>
    <n v="35000"/>
  </r>
  <r>
    <x v="485"/>
    <x v="0"/>
    <m/>
    <x v="6"/>
    <x v="2"/>
    <x v="126"/>
    <m/>
    <m/>
    <m/>
    <n v="4"/>
    <n v="201208"/>
    <n v="80000"/>
  </r>
  <r>
    <x v="485"/>
    <x v="0"/>
    <m/>
    <x v="6"/>
    <x v="2"/>
    <x v="127"/>
    <m/>
    <m/>
    <m/>
    <n v="1"/>
    <n v="201208"/>
    <n v="35000"/>
  </r>
  <r>
    <x v="485"/>
    <x v="0"/>
    <m/>
    <x v="32"/>
    <x v="2"/>
    <x v="230"/>
    <m/>
    <m/>
    <m/>
    <n v="1"/>
    <n v="201208"/>
    <n v="37100"/>
  </r>
  <r>
    <x v="485"/>
    <x v="0"/>
    <m/>
    <x v="31"/>
    <x v="2"/>
    <x v="235"/>
    <m/>
    <m/>
    <m/>
    <n v="1"/>
    <n v="201208"/>
    <n v="22400"/>
  </r>
  <r>
    <x v="485"/>
    <x v="0"/>
    <m/>
    <x v="31"/>
    <x v="2"/>
    <x v="237"/>
    <m/>
    <m/>
    <m/>
    <n v="1"/>
    <n v="201208"/>
    <n v="54600"/>
  </r>
  <r>
    <x v="485"/>
    <x v="0"/>
    <m/>
    <x v="34"/>
    <x v="2"/>
    <x v="128"/>
    <m/>
    <m/>
    <m/>
    <n v="59"/>
    <n v="201208"/>
    <n v="2188900"/>
  </r>
  <r>
    <x v="485"/>
    <x v="0"/>
    <m/>
    <x v="25"/>
    <x v="2"/>
    <x v="129"/>
    <m/>
    <m/>
    <m/>
    <n v="5"/>
    <n v="201208"/>
    <n v="495000"/>
  </r>
  <r>
    <x v="485"/>
    <x v="0"/>
    <m/>
    <x v="5"/>
    <x v="2"/>
    <x v="246"/>
    <m/>
    <m/>
    <m/>
    <n v="1"/>
    <n v="201208"/>
    <n v="28000"/>
  </r>
  <r>
    <x v="485"/>
    <x v="0"/>
    <m/>
    <x v="0"/>
    <x v="2"/>
    <x v="224"/>
    <m/>
    <m/>
    <m/>
    <n v="40"/>
    <n v="201208"/>
    <n v="1320000"/>
  </r>
  <r>
    <x v="485"/>
    <x v="0"/>
    <m/>
    <x v="0"/>
    <x v="2"/>
    <x v="225"/>
    <m/>
    <m/>
    <m/>
    <n v="9"/>
    <n v="201208"/>
    <n v="342000"/>
  </r>
  <r>
    <x v="485"/>
    <x v="0"/>
    <m/>
    <x v="30"/>
    <x v="2"/>
    <x v="132"/>
    <m/>
    <m/>
    <m/>
    <n v="10"/>
    <n v="201208"/>
    <n v="224000"/>
  </r>
  <r>
    <x v="485"/>
    <x v="0"/>
    <m/>
    <x v="30"/>
    <x v="2"/>
    <x v="133"/>
    <m/>
    <m/>
    <m/>
    <n v="2"/>
    <n v="201208"/>
    <n v="78400"/>
  </r>
  <r>
    <x v="485"/>
    <x v="0"/>
    <m/>
    <x v="34"/>
    <x v="2"/>
    <x v="134"/>
    <m/>
    <m/>
    <m/>
    <n v="3"/>
    <n v="201208"/>
    <n v="111300"/>
  </r>
  <r>
    <x v="485"/>
    <x v="0"/>
    <m/>
    <x v="1"/>
    <x v="2"/>
    <x v="135"/>
    <m/>
    <m/>
    <m/>
    <n v="3"/>
    <n v="201208"/>
    <n v="60000"/>
  </r>
  <r>
    <x v="485"/>
    <x v="0"/>
    <m/>
    <x v="36"/>
    <x v="2"/>
    <x v="136"/>
    <m/>
    <m/>
    <m/>
    <n v="4"/>
    <n v="201208"/>
    <n v="112000"/>
  </r>
  <r>
    <x v="485"/>
    <x v="0"/>
    <m/>
    <x v="36"/>
    <x v="2"/>
    <x v="176"/>
    <m/>
    <m/>
    <m/>
    <n v="2"/>
    <n v="201208"/>
    <n v="98000"/>
  </r>
  <r>
    <x v="485"/>
    <x v="0"/>
    <m/>
    <x v="36"/>
    <x v="2"/>
    <x v="137"/>
    <m/>
    <m/>
    <m/>
    <n v="2"/>
    <n v="201208"/>
    <n v="84000"/>
  </r>
  <r>
    <x v="485"/>
    <x v="0"/>
    <m/>
    <x v="0"/>
    <x v="2"/>
    <x v="218"/>
    <m/>
    <m/>
    <m/>
    <n v="112"/>
    <n v="201208"/>
    <n v="2240000"/>
  </r>
  <r>
    <x v="485"/>
    <x v="0"/>
    <m/>
    <x v="0"/>
    <x v="2"/>
    <x v="240"/>
    <m/>
    <m/>
    <m/>
    <n v="91"/>
    <n v="201208"/>
    <n v="3185000"/>
  </r>
  <r>
    <x v="485"/>
    <x v="0"/>
    <m/>
    <x v="32"/>
    <x v="2"/>
    <x v="220"/>
    <m/>
    <m/>
    <m/>
    <n v="46"/>
    <n v="201208"/>
    <n v="1706600"/>
  </r>
  <r>
    <x v="485"/>
    <x v="0"/>
    <m/>
    <x v="18"/>
    <x v="2"/>
    <x v="125"/>
    <m/>
    <m/>
    <m/>
    <n v="86"/>
    <n v="201208"/>
    <n v="258000"/>
  </r>
  <r>
    <x v="485"/>
    <x v="0"/>
    <m/>
    <x v="0"/>
    <x v="2"/>
    <x v="139"/>
    <m/>
    <m/>
    <m/>
    <n v="1"/>
    <n v="201208"/>
    <n v="35000"/>
  </r>
  <r>
    <x v="485"/>
    <x v="0"/>
    <m/>
    <x v="0"/>
    <x v="2"/>
    <x v="141"/>
    <m/>
    <m/>
    <m/>
    <n v="1"/>
    <n v="201208"/>
    <n v="33000"/>
  </r>
  <r>
    <x v="485"/>
    <x v="0"/>
    <m/>
    <x v="4"/>
    <x v="2"/>
    <x v="142"/>
    <m/>
    <m/>
    <m/>
    <n v="5"/>
    <n v="201208"/>
    <n v="20000"/>
  </r>
  <r>
    <x v="485"/>
    <x v="0"/>
    <m/>
    <x v="4"/>
    <x v="2"/>
    <x v="143"/>
    <m/>
    <m/>
    <m/>
    <n v="8"/>
    <n v="201208"/>
    <n v="160000"/>
  </r>
  <r>
    <x v="485"/>
    <x v="0"/>
    <m/>
    <x v="4"/>
    <x v="2"/>
    <x v="144"/>
    <m/>
    <m/>
    <m/>
    <n v="7"/>
    <n v="201208"/>
    <n v="28000"/>
  </r>
  <r>
    <x v="485"/>
    <x v="0"/>
    <m/>
    <x v="31"/>
    <x v="2"/>
    <x v="145"/>
    <m/>
    <m/>
    <m/>
    <n v="43"/>
    <n v="201208"/>
    <n v="963200"/>
  </r>
  <r>
    <x v="485"/>
    <x v="0"/>
    <m/>
    <x v="31"/>
    <x v="2"/>
    <x v="146"/>
    <m/>
    <m/>
    <m/>
    <n v="40"/>
    <n v="201208"/>
    <n v="1568000"/>
  </r>
  <r>
    <x v="485"/>
    <x v="0"/>
    <m/>
    <x v="31"/>
    <x v="2"/>
    <x v="249"/>
    <m/>
    <m/>
    <m/>
    <n v="37"/>
    <n v="201208"/>
    <n v="2020200"/>
  </r>
  <r>
    <x v="485"/>
    <x v="0"/>
    <m/>
    <x v="32"/>
    <x v="2"/>
    <x v="147"/>
    <m/>
    <m/>
    <m/>
    <n v="11"/>
    <n v="201208"/>
    <n v="408100"/>
  </r>
  <r>
    <x v="485"/>
    <x v="0"/>
    <m/>
    <x v="0"/>
    <x v="2"/>
    <x v="148"/>
    <m/>
    <m/>
    <m/>
    <n v="1"/>
    <n v="201208"/>
    <n v="20000"/>
  </r>
  <r>
    <x v="485"/>
    <x v="0"/>
    <m/>
    <x v="31"/>
    <x v="2"/>
    <x v="189"/>
    <m/>
    <m/>
    <m/>
    <n v="1"/>
    <n v="201208"/>
    <n v="22400"/>
  </r>
  <r>
    <x v="485"/>
    <x v="0"/>
    <m/>
    <x v="31"/>
    <x v="2"/>
    <x v="253"/>
    <m/>
    <m/>
    <m/>
    <n v="1"/>
    <n v="201208"/>
    <n v="54600"/>
  </r>
  <r>
    <x v="485"/>
    <x v="0"/>
    <m/>
    <x v="0"/>
    <x v="2"/>
    <x v="250"/>
    <m/>
    <m/>
    <m/>
    <n v="7"/>
    <n v="201208"/>
    <n v="140000"/>
  </r>
  <r>
    <x v="485"/>
    <x v="0"/>
    <m/>
    <x v="0"/>
    <x v="2"/>
    <x v="251"/>
    <m/>
    <m/>
    <m/>
    <n v="3"/>
    <n v="201208"/>
    <n v="105000"/>
  </r>
  <r>
    <x v="485"/>
    <x v="0"/>
    <m/>
    <x v="32"/>
    <x v="2"/>
    <x v="254"/>
    <m/>
    <m/>
    <m/>
    <n v="2"/>
    <n v="201208"/>
    <n v="74200"/>
  </r>
  <r>
    <x v="485"/>
    <x v="0"/>
    <m/>
    <x v="18"/>
    <x v="2"/>
    <x v="252"/>
    <m/>
    <m/>
    <m/>
    <n v="4"/>
    <n v="201208"/>
    <n v="12000"/>
  </r>
  <r>
    <x v="485"/>
    <x v="0"/>
    <m/>
    <x v="31"/>
    <x v="2"/>
    <x v="186"/>
    <m/>
    <m/>
    <m/>
    <n v="46"/>
    <n v="201208"/>
    <n v="1030400"/>
  </r>
  <r>
    <x v="485"/>
    <x v="0"/>
    <m/>
    <x v="31"/>
    <x v="2"/>
    <x v="187"/>
    <m/>
    <m/>
    <m/>
    <n v="35"/>
    <n v="201208"/>
    <n v="1372000"/>
  </r>
  <r>
    <x v="485"/>
    <x v="0"/>
    <m/>
    <x v="31"/>
    <x v="2"/>
    <x v="255"/>
    <m/>
    <m/>
    <m/>
    <n v="27"/>
    <n v="201208"/>
    <n v="1474200"/>
  </r>
  <r>
    <x v="485"/>
    <x v="0"/>
    <m/>
    <x v="32"/>
    <x v="2"/>
    <x v="188"/>
    <m/>
    <m/>
    <m/>
    <n v="14"/>
    <n v="201208"/>
    <n v="519400"/>
  </r>
  <r>
    <x v="485"/>
    <x v="0"/>
    <m/>
    <x v="22"/>
    <x v="2"/>
    <x v="150"/>
    <m/>
    <m/>
    <m/>
    <n v="8"/>
    <n v="201208"/>
    <n v="304000"/>
  </r>
  <r>
    <x v="485"/>
    <x v="0"/>
    <m/>
    <x v="22"/>
    <x v="2"/>
    <x v="150"/>
    <m/>
    <m/>
    <m/>
    <n v="11"/>
    <n v="201208"/>
    <n v="418000"/>
  </r>
  <r>
    <x v="485"/>
    <x v="0"/>
    <m/>
    <x v="5"/>
    <x v="2"/>
    <x v="151"/>
    <m/>
    <m/>
    <m/>
    <n v="23"/>
    <n v="201208"/>
    <n v="644000"/>
  </r>
  <r>
    <x v="485"/>
    <x v="0"/>
    <m/>
    <x v="5"/>
    <x v="2"/>
    <x v="152"/>
    <m/>
    <m/>
    <m/>
    <n v="7"/>
    <n v="201208"/>
    <n v="336000"/>
  </r>
  <r>
    <x v="485"/>
    <x v="0"/>
    <m/>
    <x v="5"/>
    <x v="2"/>
    <x v="153"/>
    <m/>
    <m/>
    <m/>
    <n v="11"/>
    <n v="201208"/>
    <n v="308000"/>
  </r>
  <r>
    <x v="485"/>
    <x v="0"/>
    <m/>
    <x v="33"/>
    <x v="2"/>
    <x v="155"/>
    <m/>
    <m/>
    <m/>
    <n v="5"/>
    <n v="201208"/>
    <n v="91000"/>
  </r>
  <r>
    <x v="485"/>
    <x v="0"/>
    <m/>
    <x v="33"/>
    <x v="2"/>
    <x v="156"/>
    <m/>
    <m/>
    <m/>
    <n v="1"/>
    <n v="201208"/>
    <n v="33800"/>
  </r>
  <r>
    <x v="485"/>
    <x v="0"/>
    <m/>
    <x v="19"/>
    <x v="2"/>
    <x v="157"/>
    <m/>
    <m/>
    <m/>
    <n v="31"/>
    <n v="201208"/>
    <n v="403000"/>
  </r>
  <r>
    <x v="485"/>
    <x v="0"/>
    <m/>
    <x v="19"/>
    <x v="2"/>
    <x v="158"/>
    <m/>
    <m/>
    <m/>
    <n v="8"/>
    <n v="201208"/>
    <n v="192000"/>
  </r>
  <r>
    <x v="485"/>
    <x v="0"/>
    <m/>
    <x v="19"/>
    <x v="2"/>
    <x v="159"/>
    <m/>
    <m/>
    <m/>
    <n v="3"/>
    <n v="201208"/>
    <n v="99000"/>
  </r>
  <r>
    <x v="485"/>
    <x v="0"/>
    <m/>
    <x v="19"/>
    <x v="2"/>
    <x v="181"/>
    <m/>
    <m/>
    <m/>
    <n v="1"/>
    <n v="201208"/>
    <n v="13000"/>
  </r>
  <r>
    <x v="485"/>
    <x v="0"/>
    <m/>
    <x v="35"/>
    <x v="2"/>
    <x v="160"/>
    <m/>
    <m/>
    <m/>
    <n v="1"/>
    <n v="201208"/>
    <n v="20000"/>
  </r>
  <r>
    <x v="485"/>
    <x v="0"/>
    <m/>
    <x v="4"/>
    <x v="2"/>
    <x v="241"/>
    <m/>
    <m/>
    <m/>
    <n v="3"/>
    <n v="201208"/>
    <n v="60000"/>
  </r>
  <r>
    <x v="485"/>
    <x v="0"/>
    <m/>
    <x v="18"/>
    <x v="2"/>
    <x v="161"/>
    <m/>
    <m/>
    <m/>
    <n v="32"/>
    <n v="201208"/>
    <n v="96000"/>
  </r>
  <r>
    <x v="485"/>
    <x v="0"/>
    <m/>
    <x v="18"/>
    <x v="2"/>
    <x v="161"/>
    <m/>
    <m/>
    <m/>
    <n v="1"/>
    <n v="201208"/>
    <n v="3000"/>
  </r>
  <r>
    <x v="486"/>
    <x v="2"/>
    <m/>
    <x v="0"/>
    <x v="7"/>
    <x v="163"/>
    <m/>
    <m/>
    <m/>
    <n v="6"/>
    <n v="201208"/>
    <n v="120000"/>
  </r>
  <r>
    <x v="486"/>
    <x v="2"/>
    <m/>
    <x v="6"/>
    <x v="2"/>
    <x v="126"/>
    <m/>
    <m/>
    <m/>
    <n v="3"/>
    <n v="201208"/>
    <n v="60000"/>
  </r>
  <r>
    <x v="486"/>
    <x v="2"/>
    <m/>
    <x v="32"/>
    <x v="2"/>
    <x v="230"/>
    <m/>
    <m/>
    <m/>
    <n v="1"/>
    <n v="201208"/>
    <n v="37100"/>
  </r>
  <r>
    <x v="486"/>
    <x v="2"/>
    <m/>
    <x v="34"/>
    <x v="2"/>
    <x v="128"/>
    <m/>
    <m/>
    <m/>
    <n v="57"/>
    <n v="201208"/>
    <n v="2114700"/>
  </r>
  <r>
    <x v="486"/>
    <x v="2"/>
    <m/>
    <x v="25"/>
    <x v="2"/>
    <x v="129"/>
    <m/>
    <m/>
    <m/>
    <n v="5"/>
    <n v="201208"/>
    <n v="495000"/>
  </r>
  <r>
    <x v="486"/>
    <x v="2"/>
    <m/>
    <x v="0"/>
    <x v="2"/>
    <x v="224"/>
    <m/>
    <m/>
    <m/>
    <n v="47"/>
    <n v="201208"/>
    <n v="1551000"/>
  </r>
  <r>
    <x v="486"/>
    <x v="2"/>
    <m/>
    <x v="0"/>
    <x v="2"/>
    <x v="225"/>
    <m/>
    <m/>
    <m/>
    <n v="15"/>
    <n v="201208"/>
    <n v="570000"/>
  </r>
  <r>
    <x v="486"/>
    <x v="2"/>
    <m/>
    <x v="30"/>
    <x v="2"/>
    <x v="132"/>
    <m/>
    <m/>
    <m/>
    <n v="10"/>
    <n v="201208"/>
    <n v="224000"/>
  </r>
  <r>
    <x v="486"/>
    <x v="2"/>
    <m/>
    <x v="30"/>
    <x v="2"/>
    <x v="133"/>
    <m/>
    <m/>
    <m/>
    <n v="3"/>
    <n v="201208"/>
    <n v="117600"/>
  </r>
  <r>
    <x v="486"/>
    <x v="2"/>
    <m/>
    <x v="34"/>
    <x v="2"/>
    <x v="134"/>
    <m/>
    <m/>
    <m/>
    <n v="3"/>
    <n v="201208"/>
    <n v="111300"/>
  </r>
  <r>
    <x v="486"/>
    <x v="2"/>
    <m/>
    <x v="1"/>
    <x v="2"/>
    <x v="135"/>
    <m/>
    <m/>
    <m/>
    <n v="5"/>
    <n v="201208"/>
    <n v="100000"/>
  </r>
  <r>
    <x v="486"/>
    <x v="2"/>
    <m/>
    <x v="1"/>
    <x v="2"/>
    <x v="165"/>
    <m/>
    <m/>
    <m/>
    <n v="1"/>
    <n v="201208"/>
    <n v="35000"/>
  </r>
  <r>
    <x v="486"/>
    <x v="2"/>
    <m/>
    <x v="1"/>
    <x v="2"/>
    <x v="183"/>
    <m/>
    <m/>
    <m/>
    <n v="1"/>
    <n v="201208"/>
    <n v="17500"/>
  </r>
  <r>
    <x v="486"/>
    <x v="2"/>
    <m/>
    <x v="36"/>
    <x v="2"/>
    <x v="136"/>
    <m/>
    <m/>
    <m/>
    <n v="10"/>
    <n v="201208"/>
    <n v="280000"/>
  </r>
  <r>
    <x v="486"/>
    <x v="2"/>
    <m/>
    <x v="36"/>
    <x v="2"/>
    <x v="137"/>
    <m/>
    <m/>
    <m/>
    <n v="3"/>
    <n v="201208"/>
    <n v="126000"/>
  </r>
  <r>
    <x v="486"/>
    <x v="2"/>
    <m/>
    <x v="0"/>
    <x v="2"/>
    <x v="218"/>
    <m/>
    <m/>
    <m/>
    <n v="127"/>
    <n v="201208"/>
    <n v="2540000"/>
  </r>
  <r>
    <x v="486"/>
    <x v="2"/>
    <m/>
    <x v="0"/>
    <x v="2"/>
    <x v="240"/>
    <m/>
    <m/>
    <m/>
    <n v="73"/>
    <n v="201208"/>
    <n v="2555000"/>
  </r>
  <r>
    <x v="486"/>
    <x v="2"/>
    <m/>
    <x v="32"/>
    <x v="2"/>
    <x v="220"/>
    <m/>
    <m/>
    <m/>
    <n v="33"/>
    <n v="201208"/>
    <n v="1224300"/>
  </r>
  <r>
    <x v="486"/>
    <x v="2"/>
    <m/>
    <x v="18"/>
    <x v="2"/>
    <x v="125"/>
    <m/>
    <m/>
    <m/>
    <n v="82"/>
    <n v="201208"/>
    <n v="246000"/>
  </r>
  <r>
    <x v="486"/>
    <x v="2"/>
    <m/>
    <x v="0"/>
    <x v="2"/>
    <x v="138"/>
    <m/>
    <m/>
    <m/>
    <n v="1"/>
    <n v="201208"/>
    <n v="20000"/>
  </r>
  <r>
    <x v="486"/>
    <x v="2"/>
    <m/>
    <x v="4"/>
    <x v="2"/>
    <x v="142"/>
    <m/>
    <m/>
    <m/>
    <n v="3"/>
    <n v="201208"/>
    <n v="12000"/>
  </r>
  <r>
    <x v="486"/>
    <x v="2"/>
    <m/>
    <x v="4"/>
    <x v="2"/>
    <x v="143"/>
    <m/>
    <m/>
    <m/>
    <n v="16"/>
    <n v="201208"/>
    <n v="320000"/>
  </r>
  <r>
    <x v="486"/>
    <x v="2"/>
    <m/>
    <x v="31"/>
    <x v="2"/>
    <x v="145"/>
    <m/>
    <m/>
    <m/>
    <n v="43"/>
    <n v="201208"/>
    <n v="963200"/>
  </r>
  <r>
    <x v="486"/>
    <x v="2"/>
    <m/>
    <x v="31"/>
    <x v="2"/>
    <x v="146"/>
    <m/>
    <m/>
    <m/>
    <n v="39"/>
    <n v="201208"/>
    <n v="1528800"/>
  </r>
  <r>
    <x v="486"/>
    <x v="2"/>
    <m/>
    <x v="31"/>
    <x v="2"/>
    <x v="249"/>
    <m/>
    <m/>
    <m/>
    <n v="23"/>
    <n v="201208"/>
    <n v="1255800"/>
  </r>
  <r>
    <x v="486"/>
    <x v="2"/>
    <m/>
    <x v="32"/>
    <x v="2"/>
    <x v="147"/>
    <m/>
    <m/>
    <m/>
    <n v="19"/>
    <n v="201208"/>
    <n v="704900"/>
  </r>
  <r>
    <x v="486"/>
    <x v="2"/>
    <m/>
    <x v="31"/>
    <x v="2"/>
    <x v="184"/>
    <m/>
    <m/>
    <m/>
    <n v="1"/>
    <n v="201208"/>
    <n v="39200"/>
  </r>
  <r>
    <x v="486"/>
    <x v="2"/>
    <m/>
    <x v="31"/>
    <x v="2"/>
    <x v="253"/>
    <m/>
    <m/>
    <m/>
    <n v="1"/>
    <n v="201208"/>
    <n v="54600"/>
  </r>
  <r>
    <x v="486"/>
    <x v="2"/>
    <m/>
    <x v="0"/>
    <x v="2"/>
    <x v="250"/>
    <m/>
    <m/>
    <m/>
    <n v="3"/>
    <n v="201208"/>
    <n v="60000"/>
  </r>
  <r>
    <x v="486"/>
    <x v="2"/>
    <m/>
    <x v="0"/>
    <x v="2"/>
    <x v="251"/>
    <m/>
    <m/>
    <m/>
    <n v="8"/>
    <n v="201208"/>
    <n v="280000"/>
  </r>
  <r>
    <x v="486"/>
    <x v="2"/>
    <m/>
    <x v="32"/>
    <x v="2"/>
    <x v="254"/>
    <m/>
    <m/>
    <m/>
    <n v="1"/>
    <n v="201208"/>
    <n v="37100"/>
  </r>
  <r>
    <x v="486"/>
    <x v="2"/>
    <m/>
    <x v="18"/>
    <x v="2"/>
    <x v="252"/>
    <m/>
    <m/>
    <m/>
    <n v="3"/>
    <n v="201208"/>
    <n v="9000"/>
  </r>
  <r>
    <x v="486"/>
    <x v="2"/>
    <m/>
    <x v="31"/>
    <x v="2"/>
    <x v="186"/>
    <m/>
    <m/>
    <m/>
    <n v="38"/>
    <n v="201208"/>
    <n v="851200"/>
  </r>
  <r>
    <x v="486"/>
    <x v="2"/>
    <m/>
    <x v="31"/>
    <x v="2"/>
    <x v="187"/>
    <m/>
    <m/>
    <m/>
    <n v="22"/>
    <n v="201208"/>
    <n v="862400"/>
  </r>
  <r>
    <x v="486"/>
    <x v="2"/>
    <m/>
    <x v="31"/>
    <x v="2"/>
    <x v="255"/>
    <m/>
    <m/>
    <m/>
    <n v="9"/>
    <n v="201208"/>
    <n v="491400"/>
  </r>
  <r>
    <x v="486"/>
    <x v="2"/>
    <m/>
    <x v="32"/>
    <x v="2"/>
    <x v="188"/>
    <m/>
    <m/>
    <m/>
    <n v="7"/>
    <n v="201208"/>
    <n v="259700"/>
  </r>
  <r>
    <x v="486"/>
    <x v="2"/>
    <m/>
    <x v="22"/>
    <x v="2"/>
    <x v="150"/>
    <m/>
    <m/>
    <m/>
    <n v="11"/>
    <n v="201208"/>
    <n v="418000"/>
  </r>
  <r>
    <x v="486"/>
    <x v="2"/>
    <m/>
    <x v="22"/>
    <x v="2"/>
    <x v="150"/>
    <m/>
    <m/>
    <m/>
    <n v="9"/>
    <n v="201208"/>
    <n v="342000"/>
  </r>
  <r>
    <x v="486"/>
    <x v="2"/>
    <m/>
    <x v="5"/>
    <x v="2"/>
    <x v="151"/>
    <m/>
    <m/>
    <m/>
    <n v="22"/>
    <n v="201208"/>
    <n v="616000"/>
  </r>
  <r>
    <x v="486"/>
    <x v="2"/>
    <m/>
    <x v="5"/>
    <x v="2"/>
    <x v="152"/>
    <m/>
    <m/>
    <m/>
    <n v="10"/>
    <n v="201208"/>
    <n v="480000"/>
  </r>
  <r>
    <x v="486"/>
    <x v="2"/>
    <m/>
    <x v="5"/>
    <x v="2"/>
    <x v="153"/>
    <m/>
    <m/>
    <m/>
    <n v="9"/>
    <n v="201208"/>
    <n v="252000"/>
  </r>
  <r>
    <x v="486"/>
    <x v="2"/>
    <m/>
    <x v="33"/>
    <x v="2"/>
    <x v="155"/>
    <m/>
    <m/>
    <m/>
    <n v="4"/>
    <n v="201208"/>
    <n v="72800"/>
  </r>
  <r>
    <x v="486"/>
    <x v="2"/>
    <m/>
    <x v="19"/>
    <x v="2"/>
    <x v="157"/>
    <m/>
    <m/>
    <m/>
    <n v="31"/>
    <n v="201208"/>
    <n v="403000"/>
  </r>
  <r>
    <x v="486"/>
    <x v="2"/>
    <m/>
    <x v="19"/>
    <x v="2"/>
    <x v="158"/>
    <m/>
    <m/>
    <m/>
    <n v="4"/>
    <n v="201208"/>
    <n v="96000"/>
  </r>
  <r>
    <x v="486"/>
    <x v="2"/>
    <m/>
    <x v="19"/>
    <x v="2"/>
    <x v="159"/>
    <m/>
    <m/>
    <m/>
    <n v="3"/>
    <n v="201208"/>
    <n v="99000"/>
  </r>
  <r>
    <x v="486"/>
    <x v="2"/>
    <m/>
    <x v="19"/>
    <x v="2"/>
    <x v="181"/>
    <m/>
    <m/>
    <m/>
    <n v="2"/>
    <n v="201208"/>
    <n v="26000"/>
  </r>
  <r>
    <x v="486"/>
    <x v="2"/>
    <m/>
    <x v="35"/>
    <x v="2"/>
    <x v="160"/>
    <m/>
    <m/>
    <m/>
    <n v="3"/>
    <n v="201208"/>
    <n v="60000"/>
  </r>
  <r>
    <x v="486"/>
    <x v="2"/>
    <m/>
    <x v="4"/>
    <x v="2"/>
    <x v="241"/>
    <m/>
    <m/>
    <m/>
    <n v="3"/>
    <n v="201208"/>
    <n v="60000"/>
  </r>
  <r>
    <x v="486"/>
    <x v="2"/>
    <m/>
    <x v="18"/>
    <x v="2"/>
    <x v="161"/>
    <m/>
    <m/>
    <m/>
    <n v="26"/>
    <n v="201208"/>
    <n v="78000"/>
  </r>
  <r>
    <x v="486"/>
    <x v="2"/>
    <m/>
    <x v="18"/>
    <x v="2"/>
    <x v="161"/>
    <m/>
    <m/>
    <m/>
    <n v="3"/>
    <n v="201208"/>
    <n v="9000"/>
  </r>
  <r>
    <x v="487"/>
    <x v="5"/>
    <m/>
    <x v="0"/>
    <x v="7"/>
    <x v="163"/>
    <m/>
    <m/>
    <m/>
    <n v="3"/>
    <n v="201208"/>
    <n v="60000"/>
  </r>
  <r>
    <x v="487"/>
    <x v="5"/>
    <m/>
    <x v="6"/>
    <x v="2"/>
    <x v="126"/>
    <m/>
    <m/>
    <m/>
    <n v="2"/>
    <n v="201208"/>
    <n v="40000"/>
  </r>
  <r>
    <x v="487"/>
    <x v="5"/>
    <m/>
    <x v="6"/>
    <x v="2"/>
    <x v="127"/>
    <m/>
    <m/>
    <m/>
    <n v="1"/>
    <n v="201208"/>
    <n v="35000"/>
  </r>
  <r>
    <x v="487"/>
    <x v="5"/>
    <m/>
    <x v="34"/>
    <x v="2"/>
    <x v="128"/>
    <m/>
    <m/>
    <m/>
    <n v="74"/>
    <n v="201208"/>
    <n v="2745400"/>
  </r>
  <r>
    <x v="487"/>
    <x v="5"/>
    <m/>
    <x v="25"/>
    <x v="2"/>
    <x v="129"/>
    <m/>
    <m/>
    <m/>
    <n v="4"/>
    <n v="201208"/>
    <n v="396000"/>
  </r>
  <r>
    <x v="487"/>
    <x v="5"/>
    <m/>
    <x v="0"/>
    <x v="2"/>
    <x v="224"/>
    <m/>
    <m/>
    <m/>
    <n v="39"/>
    <n v="201208"/>
    <n v="1287000"/>
  </r>
  <r>
    <x v="487"/>
    <x v="5"/>
    <m/>
    <x v="0"/>
    <x v="2"/>
    <x v="225"/>
    <m/>
    <m/>
    <m/>
    <n v="18"/>
    <n v="201208"/>
    <n v="684000"/>
  </r>
  <r>
    <x v="487"/>
    <x v="5"/>
    <m/>
    <x v="30"/>
    <x v="2"/>
    <x v="132"/>
    <m/>
    <m/>
    <m/>
    <n v="17"/>
    <n v="201208"/>
    <n v="380800"/>
  </r>
  <r>
    <x v="487"/>
    <x v="5"/>
    <m/>
    <x v="30"/>
    <x v="2"/>
    <x v="133"/>
    <m/>
    <m/>
    <m/>
    <n v="3"/>
    <n v="201208"/>
    <n v="117600"/>
  </r>
  <r>
    <x v="487"/>
    <x v="5"/>
    <m/>
    <x v="34"/>
    <x v="2"/>
    <x v="134"/>
    <m/>
    <m/>
    <m/>
    <n v="5"/>
    <n v="201208"/>
    <n v="185500"/>
  </r>
  <r>
    <x v="487"/>
    <x v="5"/>
    <m/>
    <x v="1"/>
    <x v="2"/>
    <x v="135"/>
    <m/>
    <m/>
    <m/>
    <n v="3"/>
    <n v="201208"/>
    <n v="60000"/>
  </r>
  <r>
    <x v="487"/>
    <x v="5"/>
    <m/>
    <x v="36"/>
    <x v="2"/>
    <x v="136"/>
    <m/>
    <m/>
    <m/>
    <n v="6"/>
    <n v="201208"/>
    <n v="168000"/>
  </r>
  <r>
    <x v="487"/>
    <x v="5"/>
    <m/>
    <x v="36"/>
    <x v="2"/>
    <x v="137"/>
    <m/>
    <m/>
    <m/>
    <n v="2"/>
    <n v="201208"/>
    <n v="84000"/>
  </r>
  <r>
    <x v="487"/>
    <x v="5"/>
    <m/>
    <x v="0"/>
    <x v="2"/>
    <x v="218"/>
    <m/>
    <m/>
    <m/>
    <n v="143"/>
    <n v="201208"/>
    <n v="2860000"/>
  </r>
  <r>
    <x v="487"/>
    <x v="5"/>
    <m/>
    <x v="0"/>
    <x v="2"/>
    <x v="240"/>
    <m/>
    <m/>
    <m/>
    <n v="92"/>
    <n v="201208"/>
    <n v="3220000"/>
  </r>
  <r>
    <x v="487"/>
    <x v="5"/>
    <m/>
    <x v="32"/>
    <x v="2"/>
    <x v="220"/>
    <m/>
    <m/>
    <m/>
    <n v="42"/>
    <n v="201208"/>
    <n v="1558200"/>
  </r>
  <r>
    <x v="487"/>
    <x v="5"/>
    <m/>
    <x v="18"/>
    <x v="2"/>
    <x v="125"/>
    <m/>
    <m/>
    <m/>
    <n v="101"/>
    <n v="201208"/>
    <n v="303000"/>
  </r>
  <r>
    <x v="487"/>
    <x v="5"/>
    <m/>
    <x v="4"/>
    <x v="2"/>
    <x v="142"/>
    <m/>
    <m/>
    <m/>
    <n v="1"/>
    <n v="201208"/>
    <n v="4000"/>
  </r>
  <r>
    <x v="487"/>
    <x v="5"/>
    <m/>
    <x v="4"/>
    <x v="2"/>
    <x v="143"/>
    <m/>
    <m/>
    <m/>
    <n v="5"/>
    <n v="201208"/>
    <n v="100000"/>
  </r>
  <r>
    <x v="487"/>
    <x v="5"/>
    <m/>
    <x v="4"/>
    <x v="2"/>
    <x v="144"/>
    <m/>
    <m/>
    <m/>
    <n v="6"/>
    <n v="201208"/>
    <n v="24000"/>
  </r>
  <r>
    <x v="487"/>
    <x v="5"/>
    <m/>
    <x v="31"/>
    <x v="2"/>
    <x v="145"/>
    <m/>
    <m/>
    <m/>
    <n v="49"/>
    <n v="201208"/>
    <n v="1097600"/>
  </r>
  <r>
    <x v="487"/>
    <x v="5"/>
    <m/>
    <x v="31"/>
    <x v="2"/>
    <x v="146"/>
    <m/>
    <m/>
    <m/>
    <n v="35"/>
    <n v="201208"/>
    <n v="1372000"/>
  </r>
  <r>
    <x v="487"/>
    <x v="5"/>
    <m/>
    <x v="31"/>
    <x v="2"/>
    <x v="249"/>
    <m/>
    <m/>
    <m/>
    <n v="26"/>
    <n v="201208"/>
    <n v="1419600"/>
  </r>
  <r>
    <x v="487"/>
    <x v="5"/>
    <m/>
    <x v="32"/>
    <x v="2"/>
    <x v="147"/>
    <m/>
    <m/>
    <m/>
    <n v="10"/>
    <n v="201208"/>
    <n v="371000"/>
  </r>
  <r>
    <x v="487"/>
    <x v="5"/>
    <m/>
    <x v="0"/>
    <x v="2"/>
    <x v="148"/>
    <m/>
    <m/>
    <m/>
    <n v="3"/>
    <n v="201208"/>
    <n v="60000"/>
  </r>
  <r>
    <x v="487"/>
    <x v="5"/>
    <m/>
    <x v="0"/>
    <x v="2"/>
    <x v="250"/>
    <m/>
    <m/>
    <m/>
    <n v="3"/>
    <n v="201208"/>
    <n v="60000"/>
  </r>
  <r>
    <x v="487"/>
    <x v="5"/>
    <m/>
    <x v="0"/>
    <x v="2"/>
    <x v="251"/>
    <m/>
    <m/>
    <m/>
    <n v="6"/>
    <n v="201208"/>
    <n v="210000"/>
  </r>
  <r>
    <x v="487"/>
    <x v="5"/>
    <m/>
    <x v="32"/>
    <x v="2"/>
    <x v="254"/>
    <m/>
    <m/>
    <m/>
    <n v="3"/>
    <n v="201208"/>
    <n v="111300"/>
  </r>
  <r>
    <x v="487"/>
    <x v="5"/>
    <m/>
    <x v="18"/>
    <x v="2"/>
    <x v="252"/>
    <m/>
    <m/>
    <m/>
    <n v="5"/>
    <n v="201208"/>
    <n v="15000"/>
  </r>
  <r>
    <x v="487"/>
    <x v="5"/>
    <m/>
    <x v="31"/>
    <x v="2"/>
    <x v="186"/>
    <m/>
    <m/>
    <m/>
    <n v="46"/>
    <n v="201208"/>
    <n v="1030400"/>
  </r>
  <r>
    <x v="487"/>
    <x v="5"/>
    <m/>
    <x v="31"/>
    <x v="2"/>
    <x v="187"/>
    <m/>
    <m/>
    <m/>
    <n v="39"/>
    <n v="201208"/>
    <n v="1528800"/>
  </r>
  <r>
    <x v="487"/>
    <x v="5"/>
    <m/>
    <x v="31"/>
    <x v="2"/>
    <x v="255"/>
    <m/>
    <m/>
    <m/>
    <n v="24"/>
    <n v="201208"/>
    <n v="1310400"/>
  </r>
  <r>
    <x v="487"/>
    <x v="5"/>
    <m/>
    <x v="32"/>
    <x v="2"/>
    <x v="188"/>
    <m/>
    <m/>
    <m/>
    <n v="15"/>
    <n v="201208"/>
    <n v="556500"/>
  </r>
  <r>
    <x v="487"/>
    <x v="5"/>
    <m/>
    <x v="22"/>
    <x v="2"/>
    <x v="150"/>
    <m/>
    <m/>
    <m/>
    <n v="9"/>
    <n v="201208"/>
    <n v="342000"/>
  </r>
  <r>
    <x v="487"/>
    <x v="5"/>
    <m/>
    <x v="22"/>
    <x v="2"/>
    <x v="150"/>
    <m/>
    <m/>
    <m/>
    <n v="21"/>
    <n v="201208"/>
    <n v="798000"/>
  </r>
  <r>
    <x v="487"/>
    <x v="5"/>
    <m/>
    <x v="5"/>
    <x v="2"/>
    <x v="151"/>
    <m/>
    <m/>
    <m/>
    <n v="24"/>
    <n v="201208"/>
    <n v="672000"/>
  </r>
  <r>
    <x v="487"/>
    <x v="5"/>
    <m/>
    <x v="5"/>
    <x v="2"/>
    <x v="152"/>
    <m/>
    <m/>
    <m/>
    <n v="9"/>
    <n v="201208"/>
    <n v="432000"/>
  </r>
  <r>
    <x v="487"/>
    <x v="5"/>
    <m/>
    <x v="5"/>
    <x v="2"/>
    <x v="153"/>
    <m/>
    <m/>
    <m/>
    <n v="14"/>
    <n v="201208"/>
    <n v="392000"/>
  </r>
  <r>
    <x v="487"/>
    <x v="5"/>
    <m/>
    <x v="33"/>
    <x v="2"/>
    <x v="155"/>
    <m/>
    <m/>
    <m/>
    <n v="3"/>
    <n v="201208"/>
    <n v="54600"/>
  </r>
  <r>
    <x v="487"/>
    <x v="5"/>
    <m/>
    <x v="33"/>
    <x v="2"/>
    <x v="156"/>
    <m/>
    <m/>
    <m/>
    <n v="2"/>
    <n v="201208"/>
    <n v="67600"/>
  </r>
  <r>
    <x v="487"/>
    <x v="5"/>
    <m/>
    <x v="19"/>
    <x v="2"/>
    <x v="157"/>
    <m/>
    <m/>
    <m/>
    <n v="33"/>
    <n v="201208"/>
    <n v="429000"/>
  </r>
  <r>
    <x v="487"/>
    <x v="5"/>
    <m/>
    <x v="19"/>
    <x v="2"/>
    <x v="158"/>
    <m/>
    <m/>
    <m/>
    <n v="6"/>
    <n v="201208"/>
    <n v="144000"/>
  </r>
  <r>
    <x v="487"/>
    <x v="5"/>
    <m/>
    <x v="19"/>
    <x v="2"/>
    <x v="159"/>
    <m/>
    <m/>
    <m/>
    <n v="3"/>
    <n v="201208"/>
    <n v="99000"/>
  </r>
  <r>
    <x v="487"/>
    <x v="5"/>
    <m/>
    <x v="19"/>
    <x v="2"/>
    <x v="181"/>
    <m/>
    <m/>
    <m/>
    <n v="1"/>
    <n v="201208"/>
    <n v="13000"/>
  </r>
  <r>
    <x v="487"/>
    <x v="5"/>
    <m/>
    <x v="4"/>
    <x v="2"/>
    <x v="207"/>
    <m/>
    <m/>
    <m/>
    <n v="1"/>
    <n v="201208"/>
    <n v="4000"/>
  </r>
  <r>
    <x v="487"/>
    <x v="5"/>
    <m/>
    <x v="4"/>
    <x v="2"/>
    <x v="241"/>
    <m/>
    <m/>
    <m/>
    <n v="1"/>
    <n v="201208"/>
    <n v="20000"/>
  </r>
  <r>
    <x v="487"/>
    <x v="5"/>
    <m/>
    <x v="18"/>
    <x v="2"/>
    <x v="161"/>
    <m/>
    <m/>
    <m/>
    <n v="17"/>
    <n v="201208"/>
    <n v="51000"/>
  </r>
  <r>
    <x v="487"/>
    <x v="5"/>
    <m/>
    <x v="18"/>
    <x v="2"/>
    <x v="161"/>
    <m/>
    <m/>
    <m/>
    <n v="1"/>
    <n v="201208"/>
    <n v="3000"/>
  </r>
  <r>
    <x v="488"/>
    <x v="6"/>
    <m/>
    <x v="0"/>
    <x v="7"/>
    <x v="163"/>
    <m/>
    <m/>
    <m/>
    <n v="4"/>
    <n v="201208"/>
    <n v="80000"/>
  </r>
  <r>
    <x v="488"/>
    <x v="6"/>
    <m/>
    <x v="6"/>
    <x v="2"/>
    <x v="126"/>
    <m/>
    <m/>
    <m/>
    <n v="6"/>
    <n v="201208"/>
    <n v="120000"/>
  </r>
  <r>
    <x v="488"/>
    <x v="6"/>
    <m/>
    <x v="34"/>
    <x v="2"/>
    <x v="128"/>
    <m/>
    <m/>
    <m/>
    <n v="82"/>
    <n v="201208"/>
    <n v="3042200"/>
  </r>
  <r>
    <x v="488"/>
    <x v="6"/>
    <m/>
    <x v="25"/>
    <x v="2"/>
    <x v="129"/>
    <m/>
    <m/>
    <m/>
    <n v="6"/>
    <n v="201208"/>
    <n v="594000"/>
  </r>
  <r>
    <x v="488"/>
    <x v="6"/>
    <m/>
    <x v="0"/>
    <x v="2"/>
    <x v="224"/>
    <m/>
    <m/>
    <m/>
    <n v="41"/>
    <n v="201208"/>
    <n v="1353000"/>
  </r>
  <r>
    <x v="488"/>
    <x v="6"/>
    <m/>
    <x v="0"/>
    <x v="2"/>
    <x v="225"/>
    <m/>
    <m/>
    <m/>
    <n v="6"/>
    <n v="201208"/>
    <n v="228000"/>
  </r>
  <r>
    <x v="488"/>
    <x v="6"/>
    <m/>
    <x v="30"/>
    <x v="2"/>
    <x v="132"/>
    <m/>
    <m/>
    <m/>
    <n v="12"/>
    <n v="201208"/>
    <n v="268800"/>
  </r>
  <r>
    <x v="488"/>
    <x v="6"/>
    <m/>
    <x v="30"/>
    <x v="2"/>
    <x v="133"/>
    <m/>
    <m/>
    <m/>
    <n v="1"/>
    <n v="201208"/>
    <n v="39200"/>
  </r>
  <r>
    <x v="488"/>
    <x v="6"/>
    <m/>
    <x v="34"/>
    <x v="2"/>
    <x v="134"/>
    <m/>
    <m/>
    <m/>
    <n v="2"/>
    <n v="201208"/>
    <n v="74200"/>
  </r>
  <r>
    <x v="488"/>
    <x v="6"/>
    <m/>
    <x v="1"/>
    <x v="2"/>
    <x v="135"/>
    <m/>
    <m/>
    <m/>
    <n v="33"/>
    <n v="201208"/>
    <n v="660000"/>
  </r>
  <r>
    <x v="488"/>
    <x v="6"/>
    <m/>
    <x v="1"/>
    <x v="2"/>
    <x v="165"/>
    <m/>
    <m/>
    <m/>
    <n v="32"/>
    <n v="201208"/>
    <n v="1120000"/>
  </r>
  <r>
    <x v="488"/>
    <x v="6"/>
    <m/>
    <x v="1"/>
    <x v="2"/>
    <x v="183"/>
    <m/>
    <m/>
    <m/>
    <n v="3"/>
    <n v="201208"/>
    <n v="52500"/>
  </r>
  <r>
    <x v="488"/>
    <x v="6"/>
    <m/>
    <x v="36"/>
    <x v="2"/>
    <x v="136"/>
    <m/>
    <m/>
    <m/>
    <n v="3"/>
    <n v="201208"/>
    <n v="84000"/>
  </r>
  <r>
    <x v="488"/>
    <x v="6"/>
    <m/>
    <x v="0"/>
    <x v="2"/>
    <x v="218"/>
    <m/>
    <m/>
    <m/>
    <n v="113"/>
    <n v="201208"/>
    <n v="2260000"/>
  </r>
  <r>
    <x v="488"/>
    <x v="6"/>
    <m/>
    <x v="0"/>
    <x v="2"/>
    <x v="240"/>
    <m/>
    <m/>
    <m/>
    <n v="74"/>
    <n v="201208"/>
    <n v="2590000"/>
  </r>
  <r>
    <x v="488"/>
    <x v="6"/>
    <m/>
    <x v="32"/>
    <x v="2"/>
    <x v="220"/>
    <m/>
    <m/>
    <m/>
    <n v="28"/>
    <n v="201208"/>
    <n v="1038800"/>
  </r>
  <r>
    <x v="488"/>
    <x v="6"/>
    <m/>
    <x v="18"/>
    <x v="2"/>
    <x v="125"/>
    <m/>
    <m/>
    <m/>
    <n v="60"/>
    <n v="201208"/>
    <n v="180000"/>
  </r>
  <r>
    <x v="488"/>
    <x v="6"/>
    <m/>
    <x v="0"/>
    <x v="2"/>
    <x v="139"/>
    <m/>
    <m/>
    <m/>
    <n v="1"/>
    <n v="201208"/>
    <n v="35000"/>
  </r>
  <r>
    <x v="488"/>
    <x v="6"/>
    <m/>
    <x v="4"/>
    <x v="2"/>
    <x v="142"/>
    <m/>
    <m/>
    <m/>
    <n v="2"/>
    <n v="201208"/>
    <n v="8000"/>
  </r>
  <r>
    <x v="488"/>
    <x v="6"/>
    <m/>
    <x v="4"/>
    <x v="2"/>
    <x v="143"/>
    <m/>
    <m/>
    <m/>
    <n v="7"/>
    <n v="201208"/>
    <n v="140000"/>
  </r>
  <r>
    <x v="488"/>
    <x v="6"/>
    <m/>
    <x v="4"/>
    <x v="2"/>
    <x v="144"/>
    <m/>
    <m/>
    <m/>
    <n v="2"/>
    <n v="201208"/>
    <n v="8000"/>
  </r>
  <r>
    <x v="488"/>
    <x v="6"/>
    <m/>
    <x v="31"/>
    <x v="2"/>
    <x v="145"/>
    <m/>
    <m/>
    <m/>
    <n v="45"/>
    <n v="201208"/>
    <n v="1008000"/>
  </r>
  <r>
    <x v="488"/>
    <x v="6"/>
    <m/>
    <x v="31"/>
    <x v="2"/>
    <x v="146"/>
    <m/>
    <m/>
    <m/>
    <n v="40"/>
    <n v="201208"/>
    <n v="1568000"/>
  </r>
  <r>
    <x v="488"/>
    <x v="6"/>
    <m/>
    <x v="31"/>
    <x v="2"/>
    <x v="249"/>
    <m/>
    <m/>
    <m/>
    <n v="34"/>
    <n v="201208"/>
    <n v="1856400"/>
  </r>
  <r>
    <x v="488"/>
    <x v="6"/>
    <m/>
    <x v="32"/>
    <x v="2"/>
    <x v="147"/>
    <m/>
    <m/>
    <m/>
    <n v="16"/>
    <n v="201208"/>
    <n v="593600"/>
  </r>
  <r>
    <x v="488"/>
    <x v="6"/>
    <m/>
    <x v="0"/>
    <x v="2"/>
    <x v="148"/>
    <m/>
    <m/>
    <m/>
    <n v="2"/>
    <n v="201208"/>
    <n v="40000"/>
  </r>
  <r>
    <x v="488"/>
    <x v="6"/>
    <m/>
    <x v="31"/>
    <x v="2"/>
    <x v="189"/>
    <m/>
    <m/>
    <m/>
    <n v="1"/>
    <n v="201208"/>
    <n v="22400"/>
  </r>
  <r>
    <x v="488"/>
    <x v="6"/>
    <m/>
    <x v="31"/>
    <x v="2"/>
    <x v="184"/>
    <m/>
    <m/>
    <m/>
    <n v="1"/>
    <n v="201208"/>
    <n v="39200"/>
  </r>
  <r>
    <x v="488"/>
    <x v="6"/>
    <m/>
    <x v="0"/>
    <x v="2"/>
    <x v="250"/>
    <m/>
    <m/>
    <m/>
    <n v="3"/>
    <n v="201208"/>
    <n v="60000"/>
  </r>
  <r>
    <x v="488"/>
    <x v="6"/>
    <m/>
    <x v="0"/>
    <x v="2"/>
    <x v="251"/>
    <m/>
    <m/>
    <m/>
    <n v="5"/>
    <n v="201208"/>
    <n v="175000"/>
  </r>
  <r>
    <x v="488"/>
    <x v="6"/>
    <m/>
    <x v="32"/>
    <x v="2"/>
    <x v="254"/>
    <m/>
    <m/>
    <m/>
    <n v="1"/>
    <n v="201208"/>
    <n v="37100"/>
  </r>
  <r>
    <x v="488"/>
    <x v="6"/>
    <m/>
    <x v="18"/>
    <x v="2"/>
    <x v="252"/>
    <m/>
    <m/>
    <m/>
    <n v="3"/>
    <n v="201208"/>
    <n v="9000"/>
  </r>
  <r>
    <x v="488"/>
    <x v="6"/>
    <m/>
    <x v="31"/>
    <x v="2"/>
    <x v="186"/>
    <m/>
    <m/>
    <m/>
    <n v="38"/>
    <n v="201208"/>
    <n v="851200"/>
  </r>
  <r>
    <x v="488"/>
    <x v="6"/>
    <m/>
    <x v="31"/>
    <x v="2"/>
    <x v="187"/>
    <m/>
    <m/>
    <m/>
    <n v="35"/>
    <n v="201208"/>
    <n v="1372000"/>
  </r>
  <r>
    <x v="488"/>
    <x v="6"/>
    <m/>
    <x v="31"/>
    <x v="2"/>
    <x v="255"/>
    <m/>
    <m/>
    <m/>
    <n v="14"/>
    <n v="201208"/>
    <n v="764400"/>
  </r>
  <r>
    <x v="488"/>
    <x v="6"/>
    <m/>
    <x v="32"/>
    <x v="2"/>
    <x v="188"/>
    <m/>
    <m/>
    <m/>
    <n v="9"/>
    <n v="201208"/>
    <n v="333900"/>
  </r>
  <r>
    <x v="488"/>
    <x v="6"/>
    <m/>
    <x v="22"/>
    <x v="2"/>
    <x v="150"/>
    <m/>
    <m/>
    <m/>
    <n v="7"/>
    <n v="201208"/>
    <n v="266000"/>
  </r>
  <r>
    <x v="488"/>
    <x v="6"/>
    <m/>
    <x v="22"/>
    <x v="2"/>
    <x v="150"/>
    <m/>
    <m/>
    <m/>
    <n v="8"/>
    <n v="201208"/>
    <n v="304000"/>
  </r>
  <r>
    <x v="488"/>
    <x v="6"/>
    <m/>
    <x v="5"/>
    <x v="2"/>
    <x v="151"/>
    <m/>
    <m/>
    <m/>
    <n v="25"/>
    <n v="201208"/>
    <n v="700000"/>
  </r>
  <r>
    <x v="488"/>
    <x v="6"/>
    <m/>
    <x v="5"/>
    <x v="2"/>
    <x v="152"/>
    <m/>
    <m/>
    <m/>
    <n v="6"/>
    <n v="201208"/>
    <n v="288000"/>
  </r>
  <r>
    <x v="488"/>
    <x v="6"/>
    <m/>
    <x v="5"/>
    <x v="2"/>
    <x v="153"/>
    <m/>
    <m/>
    <m/>
    <n v="11"/>
    <n v="201208"/>
    <n v="308000"/>
  </r>
  <r>
    <x v="488"/>
    <x v="6"/>
    <m/>
    <x v="33"/>
    <x v="2"/>
    <x v="155"/>
    <m/>
    <m/>
    <m/>
    <n v="2"/>
    <n v="201208"/>
    <n v="36400"/>
  </r>
  <r>
    <x v="488"/>
    <x v="6"/>
    <m/>
    <x v="19"/>
    <x v="2"/>
    <x v="157"/>
    <m/>
    <m/>
    <m/>
    <n v="28"/>
    <n v="201208"/>
    <n v="364000"/>
  </r>
  <r>
    <x v="488"/>
    <x v="6"/>
    <m/>
    <x v="19"/>
    <x v="2"/>
    <x v="158"/>
    <m/>
    <m/>
    <m/>
    <n v="3"/>
    <n v="201208"/>
    <n v="72000"/>
  </r>
  <r>
    <x v="488"/>
    <x v="6"/>
    <m/>
    <x v="19"/>
    <x v="2"/>
    <x v="159"/>
    <m/>
    <m/>
    <m/>
    <n v="1"/>
    <n v="201208"/>
    <n v="33000"/>
  </r>
  <r>
    <x v="488"/>
    <x v="6"/>
    <m/>
    <x v="19"/>
    <x v="2"/>
    <x v="181"/>
    <m/>
    <m/>
    <m/>
    <n v="2"/>
    <n v="201208"/>
    <n v="26000"/>
  </r>
  <r>
    <x v="488"/>
    <x v="6"/>
    <m/>
    <x v="35"/>
    <x v="2"/>
    <x v="170"/>
    <m/>
    <m/>
    <m/>
    <n v="4"/>
    <n v="201208"/>
    <n v="16000"/>
  </r>
  <r>
    <x v="488"/>
    <x v="6"/>
    <m/>
    <x v="35"/>
    <x v="2"/>
    <x v="160"/>
    <m/>
    <m/>
    <m/>
    <n v="2"/>
    <n v="201208"/>
    <n v="40000"/>
  </r>
  <r>
    <x v="488"/>
    <x v="6"/>
    <m/>
    <x v="4"/>
    <x v="2"/>
    <x v="243"/>
    <m/>
    <m/>
    <m/>
    <n v="1"/>
    <n v="201208"/>
    <n v="4000"/>
  </r>
  <r>
    <x v="488"/>
    <x v="6"/>
    <m/>
    <x v="4"/>
    <x v="2"/>
    <x v="207"/>
    <m/>
    <m/>
    <m/>
    <n v="1"/>
    <n v="201208"/>
    <n v="4000"/>
  </r>
  <r>
    <x v="488"/>
    <x v="6"/>
    <m/>
    <x v="4"/>
    <x v="2"/>
    <x v="241"/>
    <m/>
    <m/>
    <m/>
    <n v="2"/>
    <n v="201208"/>
    <n v="40000"/>
  </r>
  <r>
    <x v="488"/>
    <x v="6"/>
    <m/>
    <x v="18"/>
    <x v="2"/>
    <x v="161"/>
    <m/>
    <m/>
    <m/>
    <n v="14"/>
    <n v="201208"/>
    <n v="42000"/>
  </r>
  <r>
    <x v="488"/>
    <x v="6"/>
    <m/>
    <x v="18"/>
    <x v="2"/>
    <x v="161"/>
    <m/>
    <m/>
    <m/>
    <n v="1"/>
    <n v="201208"/>
    <n v="3000"/>
  </r>
  <r>
    <x v="489"/>
    <x v="3"/>
    <m/>
    <x v="0"/>
    <x v="1"/>
    <x v="123"/>
    <m/>
    <m/>
    <m/>
    <n v="12"/>
    <n v="201208"/>
    <n v="420000"/>
  </r>
  <r>
    <x v="489"/>
    <x v="3"/>
    <m/>
    <x v="0"/>
    <x v="1"/>
    <x v="124"/>
    <m/>
    <m/>
    <m/>
    <n v="4"/>
    <n v="201208"/>
    <n v="80000"/>
  </r>
  <r>
    <x v="489"/>
    <x v="3"/>
    <m/>
    <x v="0"/>
    <x v="7"/>
    <x v="163"/>
    <m/>
    <m/>
    <m/>
    <n v="3"/>
    <n v="201208"/>
    <n v="60000"/>
  </r>
  <r>
    <x v="489"/>
    <x v="3"/>
    <m/>
    <x v="0"/>
    <x v="3"/>
    <x v="164"/>
    <m/>
    <m/>
    <m/>
    <n v="2"/>
    <n v="201208"/>
    <n v="0"/>
  </r>
  <r>
    <x v="489"/>
    <x v="3"/>
    <m/>
    <x v="0"/>
    <x v="3"/>
    <x v="256"/>
    <m/>
    <m/>
    <m/>
    <n v="2"/>
    <n v="201208"/>
    <n v="0"/>
  </r>
  <r>
    <x v="489"/>
    <x v="3"/>
    <m/>
    <x v="31"/>
    <x v="3"/>
    <x v="88"/>
    <m/>
    <m/>
    <m/>
    <n v="1"/>
    <n v="201208"/>
    <n v="0"/>
  </r>
  <r>
    <x v="489"/>
    <x v="3"/>
    <m/>
    <x v="6"/>
    <x v="2"/>
    <x v="126"/>
    <m/>
    <m/>
    <m/>
    <n v="8"/>
    <n v="201208"/>
    <n v="160000"/>
  </r>
  <r>
    <x v="489"/>
    <x v="3"/>
    <m/>
    <x v="6"/>
    <x v="2"/>
    <x v="127"/>
    <m/>
    <m/>
    <m/>
    <n v="2"/>
    <n v="201208"/>
    <n v="70000"/>
  </r>
  <r>
    <x v="489"/>
    <x v="3"/>
    <m/>
    <x v="34"/>
    <x v="2"/>
    <x v="128"/>
    <m/>
    <m/>
    <m/>
    <n v="102"/>
    <n v="201208"/>
    <n v="3784200"/>
  </r>
  <r>
    <x v="489"/>
    <x v="3"/>
    <m/>
    <x v="25"/>
    <x v="2"/>
    <x v="129"/>
    <m/>
    <m/>
    <m/>
    <n v="5"/>
    <n v="201208"/>
    <n v="495000"/>
  </r>
  <r>
    <x v="489"/>
    <x v="3"/>
    <m/>
    <x v="0"/>
    <x v="2"/>
    <x v="224"/>
    <m/>
    <m/>
    <m/>
    <n v="70"/>
    <n v="201208"/>
    <n v="2310000"/>
  </r>
  <r>
    <x v="489"/>
    <x v="3"/>
    <m/>
    <x v="0"/>
    <x v="2"/>
    <x v="225"/>
    <m/>
    <m/>
    <m/>
    <n v="15"/>
    <n v="201208"/>
    <n v="570000"/>
  </r>
  <r>
    <x v="489"/>
    <x v="3"/>
    <m/>
    <x v="0"/>
    <x v="2"/>
    <x v="131"/>
    <m/>
    <m/>
    <m/>
    <n v="2"/>
    <n v="201208"/>
    <n v="66000"/>
  </r>
  <r>
    <x v="489"/>
    <x v="3"/>
    <m/>
    <x v="30"/>
    <x v="2"/>
    <x v="132"/>
    <m/>
    <m/>
    <m/>
    <n v="18"/>
    <n v="201208"/>
    <n v="403200"/>
  </r>
  <r>
    <x v="489"/>
    <x v="3"/>
    <m/>
    <x v="30"/>
    <x v="2"/>
    <x v="133"/>
    <m/>
    <m/>
    <m/>
    <n v="6"/>
    <n v="201208"/>
    <n v="235200"/>
  </r>
  <r>
    <x v="489"/>
    <x v="3"/>
    <m/>
    <x v="34"/>
    <x v="2"/>
    <x v="134"/>
    <m/>
    <m/>
    <m/>
    <n v="4"/>
    <n v="201208"/>
    <n v="148400"/>
  </r>
  <r>
    <x v="489"/>
    <x v="3"/>
    <m/>
    <x v="1"/>
    <x v="2"/>
    <x v="135"/>
    <m/>
    <m/>
    <m/>
    <n v="49"/>
    <n v="201208"/>
    <n v="980000"/>
  </r>
  <r>
    <x v="489"/>
    <x v="3"/>
    <m/>
    <x v="1"/>
    <x v="2"/>
    <x v="165"/>
    <m/>
    <m/>
    <m/>
    <n v="52"/>
    <n v="201208"/>
    <n v="1820000"/>
  </r>
  <r>
    <x v="489"/>
    <x v="3"/>
    <m/>
    <x v="1"/>
    <x v="2"/>
    <x v="183"/>
    <m/>
    <m/>
    <m/>
    <n v="1"/>
    <n v="201208"/>
    <n v="17500"/>
  </r>
  <r>
    <x v="489"/>
    <x v="3"/>
    <m/>
    <x v="36"/>
    <x v="2"/>
    <x v="136"/>
    <m/>
    <m/>
    <m/>
    <n v="13"/>
    <n v="201208"/>
    <n v="364000"/>
  </r>
  <r>
    <x v="489"/>
    <x v="3"/>
    <m/>
    <x v="36"/>
    <x v="2"/>
    <x v="176"/>
    <m/>
    <m/>
    <m/>
    <n v="1"/>
    <n v="201208"/>
    <n v="49000"/>
  </r>
  <r>
    <x v="489"/>
    <x v="3"/>
    <m/>
    <x v="36"/>
    <x v="2"/>
    <x v="137"/>
    <m/>
    <m/>
    <m/>
    <n v="1"/>
    <n v="201208"/>
    <n v="42000"/>
  </r>
  <r>
    <x v="489"/>
    <x v="3"/>
    <m/>
    <x v="0"/>
    <x v="2"/>
    <x v="218"/>
    <m/>
    <m/>
    <m/>
    <n v="121"/>
    <n v="201208"/>
    <n v="2420000"/>
  </r>
  <r>
    <x v="489"/>
    <x v="3"/>
    <m/>
    <x v="0"/>
    <x v="2"/>
    <x v="240"/>
    <m/>
    <m/>
    <m/>
    <n v="101"/>
    <n v="201208"/>
    <n v="3535000"/>
  </r>
  <r>
    <x v="489"/>
    <x v="3"/>
    <m/>
    <x v="32"/>
    <x v="2"/>
    <x v="220"/>
    <m/>
    <m/>
    <m/>
    <n v="47"/>
    <n v="201208"/>
    <n v="1743700"/>
  </r>
  <r>
    <x v="489"/>
    <x v="3"/>
    <m/>
    <x v="18"/>
    <x v="2"/>
    <x v="125"/>
    <m/>
    <m/>
    <m/>
    <n v="83"/>
    <n v="201208"/>
    <n v="249000"/>
  </r>
  <r>
    <x v="489"/>
    <x v="3"/>
    <m/>
    <x v="0"/>
    <x v="2"/>
    <x v="138"/>
    <m/>
    <m/>
    <m/>
    <n v="2"/>
    <n v="201208"/>
    <n v="40000"/>
  </r>
  <r>
    <x v="489"/>
    <x v="3"/>
    <m/>
    <x v="4"/>
    <x v="2"/>
    <x v="142"/>
    <m/>
    <m/>
    <m/>
    <n v="2"/>
    <n v="201208"/>
    <n v="8000"/>
  </r>
  <r>
    <x v="489"/>
    <x v="3"/>
    <m/>
    <x v="4"/>
    <x v="2"/>
    <x v="143"/>
    <m/>
    <m/>
    <m/>
    <n v="18"/>
    <n v="201208"/>
    <n v="360000"/>
  </r>
  <r>
    <x v="489"/>
    <x v="3"/>
    <m/>
    <x v="4"/>
    <x v="2"/>
    <x v="144"/>
    <m/>
    <m/>
    <m/>
    <n v="8"/>
    <n v="201208"/>
    <n v="32000"/>
  </r>
  <r>
    <x v="489"/>
    <x v="3"/>
    <m/>
    <x v="31"/>
    <x v="2"/>
    <x v="145"/>
    <m/>
    <m/>
    <m/>
    <n v="72"/>
    <n v="201208"/>
    <n v="1612800"/>
  </r>
  <r>
    <x v="489"/>
    <x v="3"/>
    <m/>
    <x v="31"/>
    <x v="2"/>
    <x v="146"/>
    <m/>
    <m/>
    <m/>
    <n v="78"/>
    <n v="201208"/>
    <n v="3057600"/>
  </r>
  <r>
    <x v="489"/>
    <x v="3"/>
    <m/>
    <x v="31"/>
    <x v="2"/>
    <x v="249"/>
    <m/>
    <m/>
    <m/>
    <n v="44"/>
    <n v="201208"/>
    <n v="2402400"/>
  </r>
  <r>
    <x v="489"/>
    <x v="3"/>
    <m/>
    <x v="32"/>
    <x v="2"/>
    <x v="147"/>
    <m/>
    <m/>
    <m/>
    <n v="23"/>
    <n v="201208"/>
    <n v="853300"/>
  </r>
  <r>
    <x v="489"/>
    <x v="3"/>
    <m/>
    <x v="0"/>
    <x v="2"/>
    <x v="148"/>
    <m/>
    <m/>
    <m/>
    <n v="6"/>
    <n v="201208"/>
    <n v="120000"/>
  </r>
  <r>
    <x v="489"/>
    <x v="3"/>
    <m/>
    <x v="31"/>
    <x v="2"/>
    <x v="189"/>
    <m/>
    <m/>
    <m/>
    <n v="1"/>
    <n v="201208"/>
    <n v="22400"/>
  </r>
  <r>
    <x v="489"/>
    <x v="3"/>
    <m/>
    <x v="31"/>
    <x v="2"/>
    <x v="184"/>
    <m/>
    <m/>
    <m/>
    <n v="1"/>
    <n v="201208"/>
    <n v="39200"/>
  </r>
  <r>
    <x v="489"/>
    <x v="3"/>
    <m/>
    <x v="31"/>
    <x v="2"/>
    <x v="253"/>
    <m/>
    <m/>
    <m/>
    <n v="1"/>
    <n v="201208"/>
    <n v="54600"/>
  </r>
  <r>
    <x v="489"/>
    <x v="3"/>
    <m/>
    <x v="0"/>
    <x v="2"/>
    <x v="250"/>
    <m/>
    <m/>
    <m/>
    <n v="3"/>
    <n v="201208"/>
    <n v="60000"/>
  </r>
  <r>
    <x v="489"/>
    <x v="3"/>
    <m/>
    <x v="0"/>
    <x v="2"/>
    <x v="251"/>
    <m/>
    <m/>
    <m/>
    <n v="1"/>
    <n v="201208"/>
    <n v="35000"/>
  </r>
  <r>
    <x v="489"/>
    <x v="3"/>
    <m/>
    <x v="31"/>
    <x v="2"/>
    <x v="186"/>
    <m/>
    <m/>
    <m/>
    <n v="41"/>
    <n v="201208"/>
    <n v="918400"/>
  </r>
  <r>
    <x v="489"/>
    <x v="3"/>
    <m/>
    <x v="31"/>
    <x v="2"/>
    <x v="187"/>
    <m/>
    <m/>
    <m/>
    <n v="53"/>
    <n v="201208"/>
    <n v="2077600"/>
  </r>
  <r>
    <x v="489"/>
    <x v="3"/>
    <m/>
    <x v="31"/>
    <x v="2"/>
    <x v="255"/>
    <m/>
    <m/>
    <m/>
    <n v="27"/>
    <n v="201208"/>
    <n v="1474200"/>
  </r>
  <r>
    <x v="489"/>
    <x v="3"/>
    <m/>
    <x v="32"/>
    <x v="2"/>
    <x v="188"/>
    <m/>
    <m/>
    <m/>
    <n v="16"/>
    <n v="201208"/>
    <n v="593600"/>
  </r>
  <r>
    <x v="489"/>
    <x v="3"/>
    <m/>
    <x v="22"/>
    <x v="2"/>
    <x v="150"/>
    <m/>
    <m/>
    <m/>
    <n v="10"/>
    <n v="201208"/>
    <n v="380000"/>
  </r>
  <r>
    <x v="489"/>
    <x v="3"/>
    <m/>
    <x v="22"/>
    <x v="2"/>
    <x v="150"/>
    <m/>
    <m/>
    <m/>
    <n v="12"/>
    <n v="201208"/>
    <n v="456000"/>
  </r>
  <r>
    <x v="489"/>
    <x v="3"/>
    <m/>
    <x v="5"/>
    <x v="2"/>
    <x v="151"/>
    <m/>
    <m/>
    <m/>
    <n v="42"/>
    <n v="201208"/>
    <n v="1176000"/>
  </r>
  <r>
    <x v="489"/>
    <x v="3"/>
    <m/>
    <x v="5"/>
    <x v="2"/>
    <x v="152"/>
    <m/>
    <m/>
    <m/>
    <n v="11"/>
    <n v="201208"/>
    <n v="528000"/>
  </r>
  <r>
    <x v="489"/>
    <x v="3"/>
    <m/>
    <x v="5"/>
    <x v="2"/>
    <x v="153"/>
    <m/>
    <m/>
    <m/>
    <n v="10"/>
    <n v="201208"/>
    <n v="280000"/>
  </r>
  <r>
    <x v="489"/>
    <x v="3"/>
    <m/>
    <x v="33"/>
    <x v="2"/>
    <x v="155"/>
    <m/>
    <m/>
    <m/>
    <n v="6"/>
    <n v="201208"/>
    <n v="109200"/>
  </r>
  <r>
    <x v="489"/>
    <x v="3"/>
    <m/>
    <x v="33"/>
    <x v="2"/>
    <x v="156"/>
    <m/>
    <m/>
    <m/>
    <n v="3"/>
    <n v="201208"/>
    <n v="101400"/>
  </r>
  <r>
    <x v="489"/>
    <x v="3"/>
    <m/>
    <x v="19"/>
    <x v="2"/>
    <x v="157"/>
    <m/>
    <m/>
    <m/>
    <n v="26"/>
    <n v="201208"/>
    <n v="338000"/>
  </r>
  <r>
    <x v="489"/>
    <x v="3"/>
    <m/>
    <x v="19"/>
    <x v="2"/>
    <x v="158"/>
    <m/>
    <m/>
    <m/>
    <n v="9"/>
    <n v="201208"/>
    <n v="216000"/>
  </r>
  <r>
    <x v="489"/>
    <x v="3"/>
    <m/>
    <x v="19"/>
    <x v="2"/>
    <x v="159"/>
    <m/>
    <m/>
    <m/>
    <n v="8"/>
    <n v="201208"/>
    <n v="264000"/>
  </r>
  <r>
    <x v="489"/>
    <x v="3"/>
    <m/>
    <x v="19"/>
    <x v="2"/>
    <x v="181"/>
    <m/>
    <m/>
    <m/>
    <n v="2"/>
    <n v="201208"/>
    <n v="26000"/>
  </r>
  <r>
    <x v="489"/>
    <x v="3"/>
    <m/>
    <x v="35"/>
    <x v="2"/>
    <x v="170"/>
    <m/>
    <m/>
    <m/>
    <n v="2"/>
    <n v="201208"/>
    <n v="8000"/>
  </r>
  <r>
    <x v="489"/>
    <x v="3"/>
    <m/>
    <x v="35"/>
    <x v="2"/>
    <x v="160"/>
    <m/>
    <m/>
    <m/>
    <n v="4"/>
    <n v="201208"/>
    <n v="80000"/>
  </r>
  <r>
    <x v="489"/>
    <x v="3"/>
    <m/>
    <x v="4"/>
    <x v="2"/>
    <x v="242"/>
    <m/>
    <m/>
    <m/>
    <n v="4"/>
    <n v="201208"/>
    <n v="80000"/>
  </r>
  <r>
    <x v="489"/>
    <x v="3"/>
    <m/>
    <x v="4"/>
    <x v="2"/>
    <x v="207"/>
    <m/>
    <m/>
    <m/>
    <n v="1"/>
    <n v="201208"/>
    <n v="4000"/>
  </r>
  <r>
    <x v="489"/>
    <x v="3"/>
    <m/>
    <x v="4"/>
    <x v="2"/>
    <x v="241"/>
    <m/>
    <m/>
    <m/>
    <n v="4"/>
    <n v="201208"/>
    <n v="80000"/>
  </r>
  <r>
    <x v="489"/>
    <x v="3"/>
    <m/>
    <x v="18"/>
    <x v="2"/>
    <x v="161"/>
    <m/>
    <m/>
    <m/>
    <n v="47"/>
    <n v="201208"/>
    <n v="141000"/>
  </r>
  <r>
    <x v="489"/>
    <x v="3"/>
    <m/>
    <x v="18"/>
    <x v="2"/>
    <x v="161"/>
    <m/>
    <m/>
    <m/>
    <n v="6"/>
    <n v="201208"/>
    <n v="18000"/>
  </r>
  <r>
    <x v="489"/>
    <x v="3"/>
    <m/>
    <x v="4"/>
    <x v="9"/>
    <x v="257"/>
    <m/>
    <m/>
    <m/>
    <n v="2"/>
    <n v="201208"/>
    <n v="8000"/>
  </r>
  <r>
    <x v="489"/>
    <x v="3"/>
    <m/>
    <x v="31"/>
    <x v="9"/>
    <x v="167"/>
    <m/>
    <m/>
    <m/>
    <n v="1"/>
    <n v="201208"/>
    <n v="22400"/>
  </r>
  <r>
    <x v="490"/>
    <x v="4"/>
    <m/>
    <x v="0"/>
    <x v="1"/>
    <x v="123"/>
    <m/>
    <m/>
    <m/>
    <n v="3"/>
    <n v="201208"/>
    <n v="105000"/>
  </r>
  <r>
    <x v="490"/>
    <x v="4"/>
    <m/>
    <x v="0"/>
    <x v="1"/>
    <x v="124"/>
    <m/>
    <m/>
    <m/>
    <n v="1"/>
    <n v="201208"/>
    <n v="20000"/>
  </r>
  <r>
    <x v="490"/>
    <x v="4"/>
    <m/>
    <x v="0"/>
    <x v="7"/>
    <x v="163"/>
    <m/>
    <m/>
    <m/>
    <n v="1"/>
    <n v="201208"/>
    <n v="20000"/>
  </r>
  <r>
    <x v="490"/>
    <x v="4"/>
    <m/>
    <x v="0"/>
    <x v="3"/>
    <x v="256"/>
    <m/>
    <m/>
    <m/>
    <n v="2"/>
    <n v="201208"/>
    <n v="0"/>
  </r>
  <r>
    <x v="490"/>
    <x v="4"/>
    <m/>
    <x v="6"/>
    <x v="2"/>
    <x v="126"/>
    <m/>
    <m/>
    <m/>
    <n v="5"/>
    <n v="201208"/>
    <n v="100000"/>
  </r>
  <r>
    <x v="490"/>
    <x v="4"/>
    <m/>
    <x v="34"/>
    <x v="2"/>
    <x v="128"/>
    <m/>
    <m/>
    <m/>
    <n v="60"/>
    <n v="201208"/>
    <n v="2226000"/>
  </r>
  <r>
    <x v="490"/>
    <x v="4"/>
    <m/>
    <x v="25"/>
    <x v="2"/>
    <x v="129"/>
    <m/>
    <m/>
    <m/>
    <n v="1"/>
    <n v="201208"/>
    <n v="99000"/>
  </r>
  <r>
    <x v="490"/>
    <x v="4"/>
    <m/>
    <x v="0"/>
    <x v="2"/>
    <x v="224"/>
    <m/>
    <m/>
    <m/>
    <n v="36"/>
    <n v="201208"/>
    <n v="1188000"/>
  </r>
  <r>
    <x v="490"/>
    <x v="4"/>
    <m/>
    <x v="0"/>
    <x v="2"/>
    <x v="225"/>
    <m/>
    <m/>
    <m/>
    <n v="10"/>
    <n v="201208"/>
    <n v="380000"/>
  </r>
  <r>
    <x v="490"/>
    <x v="4"/>
    <m/>
    <x v="30"/>
    <x v="2"/>
    <x v="132"/>
    <m/>
    <m/>
    <m/>
    <n v="11"/>
    <n v="201208"/>
    <n v="246400"/>
  </r>
  <r>
    <x v="490"/>
    <x v="4"/>
    <m/>
    <x v="30"/>
    <x v="2"/>
    <x v="133"/>
    <m/>
    <m/>
    <m/>
    <n v="2"/>
    <n v="201208"/>
    <n v="78400"/>
  </r>
  <r>
    <x v="490"/>
    <x v="4"/>
    <m/>
    <x v="34"/>
    <x v="2"/>
    <x v="134"/>
    <m/>
    <m/>
    <m/>
    <n v="3"/>
    <n v="201208"/>
    <n v="111300"/>
  </r>
  <r>
    <x v="490"/>
    <x v="4"/>
    <m/>
    <x v="1"/>
    <x v="2"/>
    <x v="135"/>
    <m/>
    <m/>
    <m/>
    <n v="25"/>
    <n v="201208"/>
    <n v="500000"/>
  </r>
  <r>
    <x v="490"/>
    <x v="4"/>
    <m/>
    <x v="1"/>
    <x v="2"/>
    <x v="165"/>
    <m/>
    <m/>
    <m/>
    <n v="17"/>
    <n v="201208"/>
    <n v="595000"/>
  </r>
  <r>
    <x v="490"/>
    <x v="4"/>
    <m/>
    <x v="36"/>
    <x v="2"/>
    <x v="136"/>
    <m/>
    <m/>
    <m/>
    <n v="8"/>
    <n v="201208"/>
    <n v="224000"/>
  </r>
  <r>
    <x v="490"/>
    <x v="4"/>
    <m/>
    <x v="36"/>
    <x v="2"/>
    <x v="176"/>
    <m/>
    <m/>
    <m/>
    <n v="2"/>
    <n v="201208"/>
    <n v="98000"/>
  </r>
  <r>
    <x v="490"/>
    <x v="4"/>
    <m/>
    <x v="0"/>
    <x v="2"/>
    <x v="218"/>
    <m/>
    <m/>
    <m/>
    <n v="50"/>
    <n v="201208"/>
    <n v="1000000"/>
  </r>
  <r>
    <x v="490"/>
    <x v="4"/>
    <m/>
    <x v="0"/>
    <x v="2"/>
    <x v="240"/>
    <m/>
    <m/>
    <m/>
    <n v="46"/>
    <n v="201208"/>
    <n v="1610000"/>
  </r>
  <r>
    <x v="490"/>
    <x v="4"/>
    <m/>
    <x v="32"/>
    <x v="2"/>
    <x v="220"/>
    <m/>
    <m/>
    <m/>
    <n v="16"/>
    <n v="201208"/>
    <n v="593600"/>
  </r>
  <r>
    <x v="490"/>
    <x v="4"/>
    <m/>
    <x v="18"/>
    <x v="2"/>
    <x v="125"/>
    <m/>
    <m/>
    <m/>
    <n v="45"/>
    <n v="201208"/>
    <n v="135000"/>
  </r>
  <r>
    <x v="490"/>
    <x v="4"/>
    <m/>
    <x v="0"/>
    <x v="2"/>
    <x v="138"/>
    <m/>
    <m/>
    <m/>
    <n v="1"/>
    <n v="201208"/>
    <n v="20000"/>
  </r>
  <r>
    <x v="490"/>
    <x v="4"/>
    <m/>
    <x v="0"/>
    <x v="2"/>
    <x v="139"/>
    <m/>
    <m/>
    <m/>
    <n v="1"/>
    <n v="201208"/>
    <n v="35000"/>
  </r>
  <r>
    <x v="490"/>
    <x v="4"/>
    <m/>
    <x v="0"/>
    <x v="2"/>
    <x v="141"/>
    <m/>
    <m/>
    <m/>
    <n v="1"/>
    <n v="201208"/>
    <n v="33000"/>
  </r>
  <r>
    <x v="490"/>
    <x v="4"/>
    <m/>
    <x v="4"/>
    <x v="2"/>
    <x v="143"/>
    <m/>
    <m/>
    <m/>
    <n v="9"/>
    <n v="201208"/>
    <n v="180000"/>
  </r>
  <r>
    <x v="490"/>
    <x v="4"/>
    <m/>
    <x v="4"/>
    <x v="2"/>
    <x v="144"/>
    <m/>
    <m/>
    <m/>
    <n v="3"/>
    <n v="201208"/>
    <n v="12000"/>
  </r>
  <r>
    <x v="490"/>
    <x v="4"/>
    <m/>
    <x v="0"/>
    <x v="2"/>
    <x v="258"/>
    <m/>
    <m/>
    <m/>
    <n v="31"/>
    <n v="201208"/>
    <n v="620000"/>
  </r>
  <r>
    <x v="490"/>
    <x v="4"/>
    <m/>
    <x v="0"/>
    <x v="2"/>
    <x v="259"/>
    <m/>
    <m/>
    <m/>
    <n v="40"/>
    <n v="201208"/>
    <n v="1400000"/>
  </r>
  <r>
    <x v="490"/>
    <x v="4"/>
    <m/>
    <x v="32"/>
    <x v="2"/>
    <x v="260"/>
    <m/>
    <m/>
    <m/>
    <n v="17"/>
    <n v="201208"/>
    <n v="630700"/>
  </r>
  <r>
    <x v="490"/>
    <x v="4"/>
    <m/>
    <x v="18"/>
    <x v="2"/>
    <x v="261"/>
    <m/>
    <m/>
    <m/>
    <n v="22"/>
    <n v="201208"/>
    <n v="66000"/>
  </r>
  <r>
    <x v="490"/>
    <x v="4"/>
    <m/>
    <x v="31"/>
    <x v="2"/>
    <x v="145"/>
    <m/>
    <m/>
    <m/>
    <n v="49"/>
    <n v="201208"/>
    <n v="1097600"/>
  </r>
  <r>
    <x v="490"/>
    <x v="4"/>
    <m/>
    <x v="31"/>
    <x v="2"/>
    <x v="146"/>
    <m/>
    <m/>
    <m/>
    <n v="49"/>
    <n v="201208"/>
    <n v="1920800"/>
  </r>
  <r>
    <x v="490"/>
    <x v="4"/>
    <m/>
    <x v="31"/>
    <x v="2"/>
    <x v="249"/>
    <m/>
    <m/>
    <m/>
    <n v="35"/>
    <n v="201208"/>
    <n v="1911000"/>
  </r>
  <r>
    <x v="490"/>
    <x v="4"/>
    <m/>
    <x v="32"/>
    <x v="2"/>
    <x v="147"/>
    <m/>
    <m/>
    <m/>
    <n v="18"/>
    <n v="201208"/>
    <n v="667800"/>
  </r>
  <r>
    <x v="490"/>
    <x v="4"/>
    <m/>
    <x v="0"/>
    <x v="2"/>
    <x v="148"/>
    <m/>
    <m/>
    <m/>
    <n v="2"/>
    <n v="201208"/>
    <n v="40000"/>
  </r>
  <r>
    <x v="490"/>
    <x v="4"/>
    <m/>
    <x v="31"/>
    <x v="2"/>
    <x v="189"/>
    <m/>
    <m/>
    <m/>
    <n v="1"/>
    <n v="201208"/>
    <n v="22400"/>
  </r>
  <r>
    <x v="490"/>
    <x v="4"/>
    <m/>
    <x v="31"/>
    <x v="2"/>
    <x v="184"/>
    <m/>
    <m/>
    <m/>
    <n v="1"/>
    <n v="201208"/>
    <n v="39200"/>
  </r>
  <r>
    <x v="490"/>
    <x v="4"/>
    <m/>
    <x v="31"/>
    <x v="2"/>
    <x v="186"/>
    <m/>
    <m/>
    <m/>
    <n v="34"/>
    <n v="201208"/>
    <n v="761600"/>
  </r>
  <r>
    <x v="490"/>
    <x v="4"/>
    <m/>
    <x v="31"/>
    <x v="2"/>
    <x v="187"/>
    <m/>
    <m/>
    <m/>
    <n v="32"/>
    <n v="201208"/>
    <n v="1254400"/>
  </r>
  <r>
    <x v="490"/>
    <x v="4"/>
    <m/>
    <x v="31"/>
    <x v="2"/>
    <x v="255"/>
    <m/>
    <m/>
    <m/>
    <n v="19"/>
    <n v="201208"/>
    <n v="1037400"/>
  </r>
  <r>
    <x v="490"/>
    <x v="4"/>
    <m/>
    <x v="32"/>
    <x v="2"/>
    <x v="188"/>
    <m/>
    <m/>
    <m/>
    <n v="12"/>
    <n v="201208"/>
    <n v="445200"/>
  </r>
  <r>
    <x v="490"/>
    <x v="4"/>
    <m/>
    <x v="22"/>
    <x v="2"/>
    <x v="150"/>
    <m/>
    <m/>
    <m/>
    <n v="14"/>
    <n v="201208"/>
    <n v="532000"/>
  </r>
  <r>
    <x v="490"/>
    <x v="4"/>
    <m/>
    <x v="22"/>
    <x v="2"/>
    <x v="150"/>
    <m/>
    <m/>
    <m/>
    <n v="6"/>
    <n v="201208"/>
    <n v="228000"/>
  </r>
  <r>
    <x v="490"/>
    <x v="4"/>
    <m/>
    <x v="5"/>
    <x v="2"/>
    <x v="151"/>
    <m/>
    <m/>
    <m/>
    <n v="27"/>
    <n v="201208"/>
    <n v="756000"/>
  </r>
  <r>
    <x v="490"/>
    <x v="4"/>
    <m/>
    <x v="5"/>
    <x v="2"/>
    <x v="152"/>
    <m/>
    <m/>
    <m/>
    <n v="5"/>
    <n v="201208"/>
    <n v="240000"/>
  </r>
  <r>
    <x v="490"/>
    <x v="4"/>
    <m/>
    <x v="5"/>
    <x v="2"/>
    <x v="153"/>
    <m/>
    <m/>
    <m/>
    <n v="6"/>
    <n v="201208"/>
    <n v="168000"/>
  </r>
  <r>
    <x v="490"/>
    <x v="4"/>
    <m/>
    <x v="33"/>
    <x v="2"/>
    <x v="155"/>
    <m/>
    <m/>
    <m/>
    <n v="4"/>
    <n v="201208"/>
    <n v="72800"/>
  </r>
  <r>
    <x v="490"/>
    <x v="4"/>
    <m/>
    <x v="33"/>
    <x v="2"/>
    <x v="156"/>
    <m/>
    <m/>
    <m/>
    <n v="1"/>
    <n v="201208"/>
    <n v="33800"/>
  </r>
  <r>
    <x v="490"/>
    <x v="4"/>
    <m/>
    <x v="19"/>
    <x v="2"/>
    <x v="157"/>
    <m/>
    <m/>
    <m/>
    <n v="23"/>
    <n v="201208"/>
    <n v="299000"/>
  </r>
  <r>
    <x v="490"/>
    <x v="4"/>
    <m/>
    <x v="19"/>
    <x v="2"/>
    <x v="158"/>
    <m/>
    <m/>
    <m/>
    <n v="8"/>
    <n v="201208"/>
    <n v="192000"/>
  </r>
  <r>
    <x v="490"/>
    <x v="4"/>
    <m/>
    <x v="19"/>
    <x v="2"/>
    <x v="159"/>
    <m/>
    <m/>
    <m/>
    <n v="5"/>
    <n v="201208"/>
    <n v="165000"/>
  </r>
  <r>
    <x v="490"/>
    <x v="4"/>
    <m/>
    <x v="19"/>
    <x v="2"/>
    <x v="181"/>
    <m/>
    <m/>
    <m/>
    <n v="2"/>
    <n v="201208"/>
    <n v="26000"/>
  </r>
  <r>
    <x v="490"/>
    <x v="4"/>
    <m/>
    <x v="35"/>
    <x v="2"/>
    <x v="170"/>
    <m/>
    <m/>
    <m/>
    <n v="1"/>
    <n v="201208"/>
    <n v="4000"/>
  </r>
  <r>
    <x v="490"/>
    <x v="4"/>
    <m/>
    <x v="35"/>
    <x v="2"/>
    <x v="160"/>
    <m/>
    <m/>
    <m/>
    <n v="1"/>
    <n v="201208"/>
    <n v="20000"/>
  </r>
  <r>
    <x v="490"/>
    <x v="4"/>
    <m/>
    <x v="4"/>
    <x v="2"/>
    <x v="243"/>
    <m/>
    <m/>
    <m/>
    <n v="2"/>
    <n v="201208"/>
    <n v="8000"/>
  </r>
  <r>
    <x v="490"/>
    <x v="4"/>
    <m/>
    <x v="4"/>
    <x v="2"/>
    <x v="242"/>
    <m/>
    <m/>
    <m/>
    <n v="1"/>
    <n v="201208"/>
    <n v="20000"/>
  </r>
  <r>
    <x v="490"/>
    <x v="4"/>
    <m/>
    <x v="4"/>
    <x v="2"/>
    <x v="207"/>
    <m/>
    <m/>
    <m/>
    <n v="4"/>
    <n v="201208"/>
    <n v="16000"/>
  </r>
  <r>
    <x v="490"/>
    <x v="4"/>
    <m/>
    <x v="4"/>
    <x v="2"/>
    <x v="241"/>
    <m/>
    <m/>
    <m/>
    <n v="3"/>
    <n v="201208"/>
    <n v="60000"/>
  </r>
  <r>
    <x v="490"/>
    <x v="4"/>
    <m/>
    <x v="18"/>
    <x v="2"/>
    <x v="161"/>
    <m/>
    <m/>
    <m/>
    <n v="26"/>
    <n v="201208"/>
    <n v="78000"/>
  </r>
  <r>
    <x v="490"/>
    <x v="4"/>
    <m/>
    <x v="1"/>
    <x v="9"/>
    <x v="262"/>
    <m/>
    <m/>
    <m/>
    <n v="1"/>
    <n v="201208"/>
    <n v="20000"/>
  </r>
  <r>
    <x v="490"/>
    <x v="4"/>
    <m/>
    <x v="31"/>
    <x v="9"/>
    <x v="167"/>
    <m/>
    <m/>
    <m/>
    <n v="1"/>
    <n v="201208"/>
    <n v="22400"/>
  </r>
  <r>
    <x v="491"/>
    <x v="1"/>
    <m/>
    <x v="0"/>
    <x v="1"/>
    <x v="123"/>
    <m/>
    <m/>
    <m/>
    <n v="5"/>
    <n v="201208"/>
    <n v="175000"/>
  </r>
  <r>
    <x v="491"/>
    <x v="1"/>
    <m/>
    <x v="0"/>
    <x v="7"/>
    <x v="163"/>
    <m/>
    <m/>
    <m/>
    <n v="1"/>
    <n v="201208"/>
    <n v="20000"/>
  </r>
  <r>
    <x v="491"/>
    <x v="1"/>
    <m/>
    <x v="0"/>
    <x v="3"/>
    <x v="256"/>
    <m/>
    <m/>
    <m/>
    <n v="3"/>
    <n v="201208"/>
    <n v="0"/>
  </r>
  <r>
    <x v="491"/>
    <x v="1"/>
    <m/>
    <x v="6"/>
    <x v="2"/>
    <x v="126"/>
    <m/>
    <m/>
    <m/>
    <n v="2"/>
    <n v="201208"/>
    <n v="40000"/>
  </r>
  <r>
    <x v="491"/>
    <x v="1"/>
    <m/>
    <x v="6"/>
    <x v="2"/>
    <x v="127"/>
    <m/>
    <m/>
    <m/>
    <n v="1"/>
    <n v="201208"/>
    <n v="35000"/>
  </r>
  <r>
    <x v="491"/>
    <x v="1"/>
    <m/>
    <x v="34"/>
    <x v="2"/>
    <x v="128"/>
    <m/>
    <m/>
    <m/>
    <n v="62"/>
    <n v="201208"/>
    <n v="2300200"/>
  </r>
  <r>
    <x v="491"/>
    <x v="1"/>
    <m/>
    <x v="25"/>
    <x v="2"/>
    <x v="129"/>
    <m/>
    <m/>
    <m/>
    <n v="1"/>
    <n v="201208"/>
    <n v="99000"/>
  </r>
  <r>
    <x v="491"/>
    <x v="1"/>
    <m/>
    <x v="0"/>
    <x v="2"/>
    <x v="224"/>
    <m/>
    <m/>
    <m/>
    <n v="30"/>
    <n v="201208"/>
    <n v="990000"/>
  </r>
  <r>
    <x v="491"/>
    <x v="1"/>
    <m/>
    <x v="0"/>
    <x v="2"/>
    <x v="225"/>
    <m/>
    <m/>
    <m/>
    <n v="4"/>
    <n v="201208"/>
    <n v="152000"/>
  </r>
  <r>
    <x v="491"/>
    <x v="1"/>
    <m/>
    <x v="0"/>
    <x v="2"/>
    <x v="131"/>
    <m/>
    <m/>
    <m/>
    <n v="1"/>
    <n v="201208"/>
    <n v="33000"/>
  </r>
  <r>
    <x v="491"/>
    <x v="1"/>
    <m/>
    <x v="30"/>
    <x v="2"/>
    <x v="132"/>
    <m/>
    <m/>
    <m/>
    <n v="9"/>
    <n v="201208"/>
    <n v="201600"/>
  </r>
  <r>
    <x v="491"/>
    <x v="1"/>
    <m/>
    <x v="30"/>
    <x v="2"/>
    <x v="133"/>
    <m/>
    <m/>
    <m/>
    <n v="4"/>
    <n v="201208"/>
    <n v="156800"/>
  </r>
  <r>
    <x v="491"/>
    <x v="1"/>
    <m/>
    <x v="34"/>
    <x v="2"/>
    <x v="134"/>
    <m/>
    <m/>
    <m/>
    <n v="3"/>
    <n v="201208"/>
    <n v="111300"/>
  </r>
  <r>
    <x v="491"/>
    <x v="1"/>
    <m/>
    <x v="1"/>
    <x v="2"/>
    <x v="135"/>
    <m/>
    <m/>
    <m/>
    <n v="9"/>
    <n v="201208"/>
    <n v="180000"/>
  </r>
  <r>
    <x v="491"/>
    <x v="1"/>
    <m/>
    <x v="1"/>
    <x v="2"/>
    <x v="165"/>
    <m/>
    <m/>
    <m/>
    <n v="12"/>
    <n v="201208"/>
    <n v="420000"/>
  </r>
  <r>
    <x v="491"/>
    <x v="1"/>
    <m/>
    <x v="36"/>
    <x v="2"/>
    <x v="136"/>
    <m/>
    <m/>
    <m/>
    <n v="5"/>
    <n v="201208"/>
    <n v="140000"/>
  </r>
  <r>
    <x v="491"/>
    <x v="1"/>
    <m/>
    <x v="36"/>
    <x v="2"/>
    <x v="137"/>
    <m/>
    <m/>
    <m/>
    <n v="1"/>
    <n v="201208"/>
    <n v="42000"/>
  </r>
  <r>
    <x v="491"/>
    <x v="1"/>
    <m/>
    <x v="0"/>
    <x v="2"/>
    <x v="240"/>
    <m/>
    <m/>
    <m/>
    <n v="3"/>
    <n v="201208"/>
    <n v="105000"/>
  </r>
  <r>
    <x v="491"/>
    <x v="1"/>
    <m/>
    <x v="18"/>
    <x v="2"/>
    <x v="125"/>
    <m/>
    <m/>
    <m/>
    <n v="2"/>
    <n v="201208"/>
    <n v="6000"/>
  </r>
  <r>
    <x v="491"/>
    <x v="1"/>
    <m/>
    <x v="0"/>
    <x v="2"/>
    <x v="138"/>
    <m/>
    <m/>
    <m/>
    <n v="1"/>
    <n v="201208"/>
    <n v="20000"/>
  </r>
  <r>
    <x v="491"/>
    <x v="1"/>
    <m/>
    <x v="0"/>
    <x v="2"/>
    <x v="141"/>
    <m/>
    <m/>
    <m/>
    <n v="2"/>
    <n v="201208"/>
    <n v="66000"/>
  </r>
  <r>
    <x v="491"/>
    <x v="1"/>
    <m/>
    <x v="4"/>
    <x v="2"/>
    <x v="142"/>
    <m/>
    <m/>
    <m/>
    <n v="1"/>
    <n v="201208"/>
    <n v="4000"/>
  </r>
  <r>
    <x v="491"/>
    <x v="1"/>
    <m/>
    <x v="4"/>
    <x v="2"/>
    <x v="143"/>
    <m/>
    <m/>
    <m/>
    <n v="10"/>
    <n v="201208"/>
    <n v="200000"/>
  </r>
  <r>
    <x v="491"/>
    <x v="1"/>
    <m/>
    <x v="0"/>
    <x v="2"/>
    <x v="258"/>
    <m/>
    <m/>
    <m/>
    <n v="55"/>
    <n v="201208"/>
    <n v="1100000"/>
  </r>
  <r>
    <x v="491"/>
    <x v="1"/>
    <m/>
    <x v="0"/>
    <x v="2"/>
    <x v="259"/>
    <m/>
    <m/>
    <m/>
    <n v="83"/>
    <n v="201208"/>
    <n v="2905000"/>
  </r>
  <r>
    <x v="491"/>
    <x v="1"/>
    <m/>
    <x v="32"/>
    <x v="2"/>
    <x v="260"/>
    <m/>
    <m/>
    <m/>
    <n v="34"/>
    <n v="201208"/>
    <n v="1261400"/>
  </r>
  <r>
    <x v="491"/>
    <x v="1"/>
    <m/>
    <x v="18"/>
    <x v="2"/>
    <x v="261"/>
    <m/>
    <m/>
    <m/>
    <n v="44"/>
    <n v="201208"/>
    <n v="132000"/>
  </r>
  <r>
    <x v="491"/>
    <x v="1"/>
    <m/>
    <x v="31"/>
    <x v="2"/>
    <x v="145"/>
    <m/>
    <m/>
    <m/>
    <n v="53"/>
    <n v="201208"/>
    <n v="1187200"/>
  </r>
  <r>
    <x v="491"/>
    <x v="1"/>
    <m/>
    <x v="31"/>
    <x v="2"/>
    <x v="146"/>
    <m/>
    <m/>
    <m/>
    <n v="46"/>
    <n v="201208"/>
    <n v="1803200"/>
  </r>
  <r>
    <x v="491"/>
    <x v="1"/>
    <m/>
    <x v="31"/>
    <x v="2"/>
    <x v="249"/>
    <m/>
    <m/>
    <m/>
    <n v="29"/>
    <n v="201208"/>
    <n v="1583400"/>
  </r>
  <r>
    <x v="491"/>
    <x v="1"/>
    <m/>
    <x v="32"/>
    <x v="2"/>
    <x v="147"/>
    <m/>
    <m/>
    <m/>
    <n v="15"/>
    <n v="201208"/>
    <n v="556500"/>
  </r>
  <r>
    <x v="491"/>
    <x v="1"/>
    <m/>
    <x v="32"/>
    <x v="2"/>
    <x v="254"/>
    <m/>
    <m/>
    <m/>
    <n v="1"/>
    <n v="201208"/>
    <n v="37100"/>
  </r>
  <r>
    <x v="491"/>
    <x v="1"/>
    <m/>
    <x v="18"/>
    <x v="2"/>
    <x v="252"/>
    <m/>
    <m/>
    <m/>
    <n v="1"/>
    <n v="201208"/>
    <n v="3000"/>
  </r>
  <r>
    <x v="491"/>
    <x v="1"/>
    <m/>
    <x v="31"/>
    <x v="2"/>
    <x v="186"/>
    <m/>
    <m/>
    <m/>
    <n v="27"/>
    <n v="201208"/>
    <n v="604800"/>
  </r>
  <r>
    <x v="491"/>
    <x v="1"/>
    <m/>
    <x v="31"/>
    <x v="2"/>
    <x v="187"/>
    <m/>
    <m/>
    <m/>
    <n v="32"/>
    <n v="201208"/>
    <n v="1254400"/>
  </r>
  <r>
    <x v="491"/>
    <x v="1"/>
    <m/>
    <x v="31"/>
    <x v="2"/>
    <x v="255"/>
    <m/>
    <m/>
    <m/>
    <n v="10"/>
    <n v="201208"/>
    <n v="546000"/>
  </r>
  <r>
    <x v="491"/>
    <x v="1"/>
    <m/>
    <x v="32"/>
    <x v="2"/>
    <x v="188"/>
    <m/>
    <m/>
    <m/>
    <n v="3"/>
    <n v="201208"/>
    <n v="111300"/>
  </r>
  <r>
    <x v="491"/>
    <x v="1"/>
    <m/>
    <x v="22"/>
    <x v="2"/>
    <x v="150"/>
    <m/>
    <m/>
    <m/>
    <n v="6"/>
    <n v="201208"/>
    <n v="228000"/>
  </r>
  <r>
    <x v="491"/>
    <x v="1"/>
    <m/>
    <x v="22"/>
    <x v="2"/>
    <x v="150"/>
    <m/>
    <m/>
    <m/>
    <n v="6"/>
    <n v="201208"/>
    <n v="228000"/>
  </r>
  <r>
    <x v="491"/>
    <x v="1"/>
    <m/>
    <x v="5"/>
    <x v="2"/>
    <x v="151"/>
    <m/>
    <m/>
    <m/>
    <n v="23"/>
    <n v="201208"/>
    <n v="644000"/>
  </r>
  <r>
    <x v="491"/>
    <x v="1"/>
    <m/>
    <x v="5"/>
    <x v="2"/>
    <x v="152"/>
    <m/>
    <m/>
    <m/>
    <n v="6"/>
    <n v="201208"/>
    <n v="288000"/>
  </r>
  <r>
    <x v="491"/>
    <x v="1"/>
    <m/>
    <x v="5"/>
    <x v="2"/>
    <x v="153"/>
    <m/>
    <m/>
    <m/>
    <n v="6"/>
    <n v="201208"/>
    <n v="168000"/>
  </r>
  <r>
    <x v="491"/>
    <x v="1"/>
    <m/>
    <x v="33"/>
    <x v="2"/>
    <x v="155"/>
    <m/>
    <m/>
    <m/>
    <n v="2"/>
    <n v="201208"/>
    <n v="36400"/>
  </r>
  <r>
    <x v="491"/>
    <x v="1"/>
    <m/>
    <x v="19"/>
    <x v="2"/>
    <x v="157"/>
    <m/>
    <m/>
    <m/>
    <n v="19"/>
    <n v="201208"/>
    <n v="247000"/>
  </r>
  <r>
    <x v="491"/>
    <x v="1"/>
    <m/>
    <x v="19"/>
    <x v="2"/>
    <x v="158"/>
    <m/>
    <m/>
    <m/>
    <n v="6"/>
    <n v="201208"/>
    <n v="144000"/>
  </r>
  <r>
    <x v="491"/>
    <x v="1"/>
    <m/>
    <x v="19"/>
    <x v="2"/>
    <x v="159"/>
    <m/>
    <m/>
    <m/>
    <n v="4"/>
    <n v="201208"/>
    <n v="132000"/>
  </r>
  <r>
    <x v="491"/>
    <x v="1"/>
    <m/>
    <x v="19"/>
    <x v="2"/>
    <x v="181"/>
    <m/>
    <m/>
    <m/>
    <n v="1"/>
    <n v="201208"/>
    <n v="13000"/>
  </r>
  <r>
    <x v="491"/>
    <x v="1"/>
    <m/>
    <x v="35"/>
    <x v="2"/>
    <x v="170"/>
    <m/>
    <m/>
    <m/>
    <n v="1"/>
    <n v="201208"/>
    <n v="4000"/>
  </r>
  <r>
    <x v="491"/>
    <x v="1"/>
    <m/>
    <x v="35"/>
    <x v="2"/>
    <x v="160"/>
    <m/>
    <m/>
    <m/>
    <n v="1"/>
    <n v="201208"/>
    <n v="20000"/>
  </r>
  <r>
    <x v="491"/>
    <x v="1"/>
    <m/>
    <x v="4"/>
    <x v="2"/>
    <x v="241"/>
    <m/>
    <m/>
    <m/>
    <n v="1"/>
    <n v="201208"/>
    <n v="20000"/>
  </r>
  <r>
    <x v="491"/>
    <x v="1"/>
    <m/>
    <x v="18"/>
    <x v="2"/>
    <x v="161"/>
    <m/>
    <m/>
    <m/>
    <n v="22"/>
    <n v="201208"/>
    <n v="66000"/>
  </r>
  <r>
    <x v="491"/>
    <x v="1"/>
    <m/>
    <x v="18"/>
    <x v="2"/>
    <x v="161"/>
    <m/>
    <m/>
    <m/>
    <n v="3"/>
    <n v="201208"/>
    <n v="9000"/>
  </r>
  <r>
    <x v="491"/>
    <x v="1"/>
    <m/>
    <x v="1"/>
    <x v="9"/>
    <x v="262"/>
    <m/>
    <m/>
    <m/>
    <n v="1"/>
    <n v="201208"/>
    <n v="20000"/>
  </r>
  <r>
    <x v="491"/>
    <x v="1"/>
    <m/>
    <x v="19"/>
    <x v="9"/>
    <x v="263"/>
    <m/>
    <m/>
    <m/>
    <n v="2"/>
    <n v="201208"/>
    <n v="26000"/>
  </r>
  <r>
    <x v="492"/>
    <x v="0"/>
    <m/>
    <x v="0"/>
    <x v="1"/>
    <x v="123"/>
    <m/>
    <m/>
    <m/>
    <n v="8"/>
    <n v="201208"/>
    <n v="280000"/>
  </r>
  <r>
    <x v="492"/>
    <x v="0"/>
    <m/>
    <x v="30"/>
    <x v="5"/>
    <x v="264"/>
    <m/>
    <m/>
    <m/>
    <n v="40"/>
    <n v="201208"/>
    <n v="458200"/>
  </r>
  <r>
    <x v="492"/>
    <x v="0"/>
    <m/>
    <x v="0"/>
    <x v="7"/>
    <x v="163"/>
    <m/>
    <m/>
    <m/>
    <n v="3"/>
    <n v="201208"/>
    <n v="60000"/>
  </r>
  <r>
    <x v="492"/>
    <x v="0"/>
    <m/>
    <x v="0"/>
    <x v="3"/>
    <x v="164"/>
    <m/>
    <m/>
    <m/>
    <n v="10"/>
    <n v="201208"/>
    <n v="0"/>
  </r>
  <r>
    <x v="492"/>
    <x v="0"/>
    <m/>
    <x v="6"/>
    <x v="2"/>
    <x v="126"/>
    <m/>
    <m/>
    <m/>
    <n v="3"/>
    <n v="201208"/>
    <n v="60000"/>
  </r>
  <r>
    <x v="492"/>
    <x v="0"/>
    <m/>
    <x v="34"/>
    <x v="2"/>
    <x v="128"/>
    <m/>
    <m/>
    <m/>
    <n v="54"/>
    <n v="201208"/>
    <n v="2003400"/>
  </r>
  <r>
    <x v="492"/>
    <x v="0"/>
    <m/>
    <x v="25"/>
    <x v="2"/>
    <x v="129"/>
    <m/>
    <m/>
    <m/>
    <n v="1"/>
    <n v="201208"/>
    <n v="99000"/>
  </r>
  <r>
    <x v="492"/>
    <x v="0"/>
    <m/>
    <x v="0"/>
    <x v="2"/>
    <x v="224"/>
    <m/>
    <m/>
    <m/>
    <n v="34"/>
    <n v="201208"/>
    <n v="1122000"/>
  </r>
  <r>
    <x v="492"/>
    <x v="0"/>
    <m/>
    <x v="0"/>
    <x v="2"/>
    <x v="225"/>
    <m/>
    <m/>
    <m/>
    <n v="9"/>
    <n v="201208"/>
    <n v="342000"/>
  </r>
  <r>
    <x v="492"/>
    <x v="0"/>
    <m/>
    <x v="30"/>
    <x v="2"/>
    <x v="132"/>
    <m/>
    <m/>
    <m/>
    <n v="14"/>
    <n v="201208"/>
    <n v="313600"/>
  </r>
  <r>
    <x v="492"/>
    <x v="0"/>
    <m/>
    <x v="30"/>
    <x v="2"/>
    <x v="133"/>
    <m/>
    <m/>
    <m/>
    <n v="3"/>
    <n v="201208"/>
    <n v="117600"/>
  </r>
  <r>
    <x v="492"/>
    <x v="0"/>
    <m/>
    <x v="34"/>
    <x v="2"/>
    <x v="134"/>
    <m/>
    <m/>
    <m/>
    <n v="1"/>
    <n v="201208"/>
    <n v="37100"/>
  </r>
  <r>
    <x v="492"/>
    <x v="0"/>
    <m/>
    <x v="1"/>
    <x v="2"/>
    <x v="135"/>
    <m/>
    <m/>
    <m/>
    <n v="15"/>
    <n v="201208"/>
    <n v="300000"/>
  </r>
  <r>
    <x v="492"/>
    <x v="0"/>
    <m/>
    <x v="1"/>
    <x v="2"/>
    <x v="165"/>
    <m/>
    <m/>
    <m/>
    <n v="12"/>
    <n v="201208"/>
    <n v="420000"/>
  </r>
  <r>
    <x v="492"/>
    <x v="0"/>
    <m/>
    <x v="1"/>
    <x v="2"/>
    <x v="183"/>
    <m/>
    <m/>
    <m/>
    <n v="1"/>
    <n v="201208"/>
    <n v="17500"/>
  </r>
  <r>
    <x v="492"/>
    <x v="0"/>
    <m/>
    <x v="36"/>
    <x v="2"/>
    <x v="136"/>
    <m/>
    <m/>
    <m/>
    <n v="7"/>
    <n v="201208"/>
    <n v="196000"/>
  </r>
  <r>
    <x v="492"/>
    <x v="0"/>
    <m/>
    <x v="0"/>
    <x v="2"/>
    <x v="218"/>
    <m/>
    <m/>
    <m/>
    <n v="2"/>
    <n v="201208"/>
    <n v="40000"/>
  </r>
  <r>
    <x v="492"/>
    <x v="0"/>
    <m/>
    <x v="18"/>
    <x v="2"/>
    <x v="125"/>
    <m/>
    <m/>
    <m/>
    <n v="1"/>
    <n v="201208"/>
    <n v="3000"/>
  </r>
  <r>
    <x v="492"/>
    <x v="0"/>
    <m/>
    <x v="0"/>
    <x v="2"/>
    <x v="141"/>
    <m/>
    <m/>
    <m/>
    <n v="1"/>
    <n v="201208"/>
    <n v="33000"/>
  </r>
  <r>
    <x v="492"/>
    <x v="0"/>
    <m/>
    <x v="4"/>
    <x v="2"/>
    <x v="142"/>
    <m/>
    <m/>
    <m/>
    <n v="3"/>
    <n v="201208"/>
    <n v="12000"/>
  </r>
  <r>
    <x v="492"/>
    <x v="0"/>
    <m/>
    <x v="4"/>
    <x v="2"/>
    <x v="143"/>
    <m/>
    <m/>
    <m/>
    <n v="5"/>
    <n v="201208"/>
    <n v="100000"/>
  </r>
  <r>
    <x v="492"/>
    <x v="0"/>
    <m/>
    <x v="4"/>
    <x v="2"/>
    <x v="144"/>
    <m/>
    <m/>
    <m/>
    <n v="6"/>
    <n v="201208"/>
    <n v="24000"/>
  </r>
  <r>
    <x v="492"/>
    <x v="0"/>
    <m/>
    <x v="0"/>
    <x v="2"/>
    <x v="258"/>
    <m/>
    <m/>
    <m/>
    <n v="47"/>
    <n v="201208"/>
    <n v="940000"/>
  </r>
  <r>
    <x v="492"/>
    <x v="0"/>
    <m/>
    <x v="0"/>
    <x v="2"/>
    <x v="259"/>
    <m/>
    <m/>
    <m/>
    <n v="54"/>
    <n v="201208"/>
    <n v="1890000"/>
  </r>
  <r>
    <x v="492"/>
    <x v="0"/>
    <m/>
    <x v="32"/>
    <x v="2"/>
    <x v="260"/>
    <m/>
    <m/>
    <m/>
    <n v="24"/>
    <n v="201208"/>
    <n v="890400"/>
  </r>
  <r>
    <x v="492"/>
    <x v="0"/>
    <m/>
    <x v="18"/>
    <x v="2"/>
    <x v="261"/>
    <m/>
    <m/>
    <m/>
    <n v="30"/>
    <n v="201208"/>
    <n v="90000"/>
  </r>
  <r>
    <x v="492"/>
    <x v="0"/>
    <m/>
    <x v="31"/>
    <x v="2"/>
    <x v="145"/>
    <m/>
    <m/>
    <m/>
    <n v="51"/>
    <n v="201208"/>
    <n v="1142400"/>
  </r>
  <r>
    <x v="492"/>
    <x v="0"/>
    <m/>
    <x v="31"/>
    <x v="2"/>
    <x v="146"/>
    <m/>
    <m/>
    <m/>
    <n v="52"/>
    <n v="201208"/>
    <n v="2038400"/>
  </r>
  <r>
    <x v="492"/>
    <x v="0"/>
    <m/>
    <x v="31"/>
    <x v="2"/>
    <x v="249"/>
    <m/>
    <m/>
    <m/>
    <n v="38"/>
    <n v="201208"/>
    <n v="2074800"/>
  </r>
  <r>
    <x v="492"/>
    <x v="0"/>
    <m/>
    <x v="32"/>
    <x v="2"/>
    <x v="147"/>
    <m/>
    <m/>
    <m/>
    <n v="13"/>
    <n v="201208"/>
    <n v="482300"/>
  </r>
  <r>
    <x v="492"/>
    <x v="0"/>
    <m/>
    <x v="31"/>
    <x v="2"/>
    <x v="184"/>
    <m/>
    <m/>
    <m/>
    <n v="1"/>
    <n v="201208"/>
    <n v="39200"/>
  </r>
  <r>
    <x v="492"/>
    <x v="0"/>
    <m/>
    <x v="31"/>
    <x v="2"/>
    <x v="186"/>
    <m/>
    <m/>
    <m/>
    <n v="43"/>
    <n v="201208"/>
    <n v="963200"/>
  </r>
  <r>
    <x v="492"/>
    <x v="0"/>
    <m/>
    <x v="31"/>
    <x v="2"/>
    <x v="187"/>
    <m/>
    <m/>
    <m/>
    <n v="37"/>
    <n v="201208"/>
    <n v="1450400"/>
  </r>
  <r>
    <x v="492"/>
    <x v="0"/>
    <m/>
    <x v="31"/>
    <x v="2"/>
    <x v="255"/>
    <m/>
    <m/>
    <m/>
    <n v="25"/>
    <n v="201208"/>
    <n v="1365000"/>
  </r>
  <r>
    <x v="492"/>
    <x v="0"/>
    <m/>
    <x v="32"/>
    <x v="2"/>
    <x v="188"/>
    <m/>
    <m/>
    <m/>
    <n v="19"/>
    <n v="201208"/>
    <n v="704900"/>
  </r>
  <r>
    <x v="492"/>
    <x v="0"/>
    <m/>
    <x v="22"/>
    <x v="2"/>
    <x v="150"/>
    <m/>
    <m/>
    <m/>
    <n v="6"/>
    <n v="201208"/>
    <n v="228000"/>
  </r>
  <r>
    <x v="492"/>
    <x v="0"/>
    <m/>
    <x v="22"/>
    <x v="2"/>
    <x v="150"/>
    <m/>
    <m/>
    <m/>
    <n v="3"/>
    <n v="201208"/>
    <n v="114000"/>
  </r>
  <r>
    <x v="492"/>
    <x v="0"/>
    <m/>
    <x v="5"/>
    <x v="2"/>
    <x v="151"/>
    <m/>
    <m/>
    <m/>
    <n v="11"/>
    <n v="201208"/>
    <n v="308000"/>
  </r>
  <r>
    <x v="492"/>
    <x v="0"/>
    <m/>
    <x v="5"/>
    <x v="2"/>
    <x v="152"/>
    <m/>
    <m/>
    <m/>
    <n v="8"/>
    <n v="201208"/>
    <n v="384000"/>
  </r>
  <r>
    <x v="492"/>
    <x v="0"/>
    <m/>
    <x v="5"/>
    <x v="2"/>
    <x v="153"/>
    <m/>
    <m/>
    <m/>
    <n v="6"/>
    <n v="201208"/>
    <n v="168000"/>
  </r>
  <r>
    <x v="492"/>
    <x v="0"/>
    <m/>
    <x v="33"/>
    <x v="2"/>
    <x v="155"/>
    <m/>
    <m/>
    <m/>
    <n v="2"/>
    <n v="201208"/>
    <n v="36400"/>
  </r>
  <r>
    <x v="492"/>
    <x v="0"/>
    <m/>
    <x v="33"/>
    <x v="2"/>
    <x v="156"/>
    <m/>
    <m/>
    <m/>
    <n v="1"/>
    <n v="201208"/>
    <n v="33800"/>
  </r>
  <r>
    <x v="492"/>
    <x v="0"/>
    <m/>
    <x v="19"/>
    <x v="2"/>
    <x v="157"/>
    <m/>
    <m/>
    <m/>
    <n v="18"/>
    <n v="201208"/>
    <n v="234000"/>
  </r>
  <r>
    <x v="492"/>
    <x v="0"/>
    <m/>
    <x v="19"/>
    <x v="2"/>
    <x v="158"/>
    <m/>
    <m/>
    <m/>
    <n v="4"/>
    <n v="201208"/>
    <n v="96000"/>
  </r>
  <r>
    <x v="492"/>
    <x v="0"/>
    <m/>
    <x v="19"/>
    <x v="2"/>
    <x v="159"/>
    <m/>
    <m/>
    <m/>
    <n v="5"/>
    <n v="201208"/>
    <n v="165000"/>
  </r>
  <r>
    <x v="492"/>
    <x v="0"/>
    <m/>
    <x v="35"/>
    <x v="2"/>
    <x v="170"/>
    <m/>
    <m/>
    <m/>
    <n v="3"/>
    <n v="201208"/>
    <n v="12000"/>
  </r>
  <r>
    <x v="492"/>
    <x v="0"/>
    <m/>
    <x v="35"/>
    <x v="2"/>
    <x v="160"/>
    <m/>
    <m/>
    <m/>
    <n v="2"/>
    <n v="201208"/>
    <n v="40000"/>
  </r>
  <r>
    <x v="492"/>
    <x v="0"/>
    <m/>
    <x v="4"/>
    <x v="2"/>
    <x v="207"/>
    <m/>
    <m/>
    <m/>
    <n v="2"/>
    <n v="201208"/>
    <n v="8000"/>
  </r>
  <r>
    <x v="492"/>
    <x v="0"/>
    <m/>
    <x v="4"/>
    <x v="2"/>
    <x v="241"/>
    <m/>
    <m/>
    <m/>
    <n v="1"/>
    <n v="201208"/>
    <n v="20000"/>
  </r>
  <r>
    <x v="492"/>
    <x v="0"/>
    <m/>
    <x v="18"/>
    <x v="2"/>
    <x v="161"/>
    <m/>
    <m/>
    <m/>
    <n v="20"/>
    <n v="201208"/>
    <n v="60000"/>
  </r>
  <r>
    <x v="492"/>
    <x v="0"/>
    <m/>
    <x v="18"/>
    <x v="2"/>
    <x v="161"/>
    <m/>
    <m/>
    <m/>
    <n v="2"/>
    <n v="201208"/>
    <n v="6000"/>
  </r>
  <r>
    <x v="492"/>
    <x v="0"/>
    <m/>
    <x v="30"/>
    <x v="9"/>
    <x v="171"/>
    <m/>
    <m/>
    <m/>
    <n v="1"/>
    <n v="201208"/>
    <n v="22400"/>
  </r>
  <r>
    <x v="492"/>
    <x v="0"/>
    <m/>
    <x v="31"/>
    <x v="9"/>
    <x v="167"/>
    <m/>
    <m/>
    <m/>
    <n v="1"/>
    <n v="201208"/>
    <n v="22400"/>
  </r>
  <r>
    <x v="493"/>
    <x v="2"/>
    <m/>
    <x v="0"/>
    <x v="1"/>
    <x v="123"/>
    <m/>
    <m/>
    <m/>
    <n v="7"/>
    <n v="201208"/>
    <n v="245000"/>
  </r>
  <r>
    <x v="493"/>
    <x v="2"/>
    <m/>
    <x v="6"/>
    <x v="2"/>
    <x v="126"/>
    <m/>
    <m/>
    <m/>
    <n v="6"/>
    <n v="201208"/>
    <n v="120000"/>
  </r>
  <r>
    <x v="493"/>
    <x v="2"/>
    <m/>
    <x v="34"/>
    <x v="2"/>
    <x v="128"/>
    <m/>
    <m/>
    <m/>
    <n v="41"/>
    <n v="201208"/>
    <n v="1521100"/>
  </r>
  <r>
    <x v="493"/>
    <x v="2"/>
    <m/>
    <x v="0"/>
    <x v="2"/>
    <x v="224"/>
    <m/>
    <m/>
    <m/>
    <n v="28"/>
    <n v="201208"/>
    <n v="924000"/>
  </r>
  <r>
    <x v="493"/>
    <x v="2"/>
    <m/>
    <x v="0"/>
    <x v="2"/>
    <x v="225"/>
    <m/>
    <m/>
    <m/>
    <n v="6"/>
    <n v="201208"/>
    <n v="228000"/>
  </r>
  <r>
    <x v="493"/>
    <x v="2"/>
    <m/>
    <x v="30"/>
    <x v="2"/>
    <x v="132"/>
    <m/>
    <m/>
    <m/>
    <n v="12"/>
    <n v="201208"/>
    <n v="268800"/>
  </r>
  <r>
    <x v="493"/>
    <x v="2"/>
    <m/>
    <x v="30"/>
    <x v="2"/>
    <x v="133"/>
    <m/>
    <m/>
    <m/>
    <n v="3"/>
    <n v="201208"/>
    <n v="117600"/>
  </r>
  <r>
    <x v="493"/>
    <x v="2"/>
    <m/>
    <x v="1"/>
    <x v="2"/>
    <x v="135"/>
    <m/>
    <m/>
    <m/>
    <n v="12"/>
    <n v="201208"/>
    <n v="240000"/>
  </r>
  <r>
    <x v="493"/>
    <x v="2"/>
    <m/>
    <x v="1"/>
    <x v="2"/>
    <x v="165"/>
    <m/>
    <m/>
    <m/>
    <n v="10"/>
    <n v="201208"/>
    <n v="350000"/>
  </r>
  <r>
    <x v="493"/>
    <x v="2"/>
    <m/>
    <x v="36"/>
    <x v="2"/>
    <x v="136"/>
    <m/>
    <m/>
    <m/>
    <n v="7"/>
    <n v="201208"/>
    <n v="196000"/>
  </r>
  <r>
    <x v="493"/>
    <x v="2"/>
    <m/>
    <x v="0"/>
    <x v="2"/>
    <x v="218"/>
    <m/>
    <m/>
    <m/>
    <n v="1"/>
    <n v="201208"/>
    <n v="20000"/>
  </r>
  <r>
    <x v="493"/>
    <x v="2"/>
    <m/>
    <x v="4"/>
    <x v="2"/>
    <x v="142"/>
    <m/>
    <m/>
    <m/>
    <n v="3"/>
    <n v="201208"/>
    <n v="12000"/>
  </r>
  <r>
    <x v="493"/>
    <x v="2"/>
    <m/>
    <x v="4"/>
    <x v="2"/>
    <x v="143"/>
    <m/>
    <m/>
    <m/>
    <n v="7"/>
    <n v="201208"/>
    <n v="140000"/>
  </r>
  <r>
    <x v="493"/>
    <x v="2"/>
    <m/>
    <x v="4"/>
    <x v="2"/>
    <x v="144"/>
    <m/>
    <m/>
    <m/>
    <n v="4"/>
    <n v="201208"/>
    <n v="16000"/>
  </r>
  <r>
    <x v="493"/>
    <x v="2"/>
    <m/>
    <x v="0"/>
    <x v="2"/>
    <x v="258"/>
    <m/>
    <m/>
    <m/>
    <n v="35"/>
    <n v="201208"/>
    <n v="700000"/>
  </r>
  <r>
    <x v="493"/>
    <x v="2"/>
    <m/>
    <x v="0"/>
    <x v="2"/>
    <x v="259"/>
    <m/>
    <m/>
    <m/>
    <n v="20"/>
    <n v="201208"/>
    <n v="700000"/>
  </r>
  <r>
    <x v="493"/>
    <x v="2"/>
    <m/>
    <x v="32"/>
    <x v="2"/>
    <x v="260"/>
    <m/>
    <m/>
    <m/>
    <n v="20"/>
    <n v="201208"/>
    <n v="742000"/>
  </r>
  <r>
    <x v="493"/>
    <x v="2"/>
    <m/>
    <x v="18"/>
    <x v="2"/>
    <x v="261"/>
    <m/>
    <m/>
    <m/>
    <n v="18"/>
    <n v="201208"/>
    <n v="54000"/>
  </r>
  <r>
    <x v="493"/>
    <x v="2"/>
    <m/>
    <x v="31"/>
    <x v="2"/>
    <x v="145"/>
    <m/>
    <m/>
    <m/>
    <n v="37"/>
    <n v="201208"/>
    <n v="828800"/>
  </r>
  <r>
    <x v="493"/>
    <x v="2"/>
    <m/>
    <x v="31"/>
    <x v="2"/>
    <x v="146"/>
    <m/>
    <m/>
    <m/>
    <n v="28"/>
    <n v="201208"/>
    <n v="1097600"/>
  </r>
  <r>
    <x v="493"/>
    <x v="2"/>
    <m/>
    <x v="31"/>
    <x v="2"/>
    <x v="249"/>
    <m/>
    <m/>
    <m/>
    <n v="28"/>
    <n v="201208"/>
    <n v="1528800"/>
  </r>
  <r>
    <x v="493"/>
    <x v="2"/>
    <m/>
    <x v="32"/>
    <x v="2"/>
    <x v="147"/>
    <m/>
    <m/>
    <m/>
    <n v="12"/>
    <n v="201208"/>
    <n v="445200"/>
  </r>
  <r>
    <x v="493"/>
    <x v="2"/>
    <m/>
    <x v="0"/>
    <x v="2"/>
    <x v="148"/>
    <m/>
    <m/>
    <m/>
    <n v="1"/>
    <n v="201208"/>
    <n v="20000"/>
  </r>
  <r>
    <x v="493"/>
    <x v="2"/>
    <m/>
    <x v="31"/>
    <x v="2"/>
    <x v="189"/>
    <m/>
    <m/>
    <m/>
    <n v="1"/>
    <n v="201208"/>
    <n v="22400"/>
  </r>
  <r>
    <x v="493"/>
    <x v="2"/>
    <m/>
    <x v="31"/>
    <x v="2"/>
    <x v="186"/>
    <m/>
    <m/>
    <m/>
    <n v="23"/>
    <n v="201208"/>
    <n v="515200"/>
  </r>
  <r>
    <x v="493"/>
    <x v="2"/>
    <m/>
    <x v="31"/>
    <x v="2"/>
    <x v="187"/>
    <m/>
    <m/>
    <m/>
    <n v="25"/>
    <n v="201208"/>
    <n v="980000"/>
  </r>
  <r>
    <x v="493"/>
    <x v="2"/>
    <m/>
    <x v="31"/>
    <x v="2"/>
    <x v="255"/>
    <m/>
    <m/>
    <m/>
    <n v="18"/>
    <n v="201208"/>
    <n v="982800"/>
  </r>
  <r>
    <x v="493"/>
    <x v="2"/>
    <m/>
    <x v="32"/>
    <x v="2"/>
    <x v="188"/>
    <m/>
    <m/>
    <m/>
    <n v="15"/>
    <n v="201208"/>
    <n v="556500"/>
  </r>
  <r>
    <x v="493"/>
    <x v="2"/>
    <m/>
    <x v="22"/>
    <x v="2"/>
    <x v="150"/>
    <m/>
    <m/>
    <m/>
    <n v="9"/>
    <n v="201208"/>
    <n v="342000"/>
  </r>
  <r>
    <x v="493"/>
    <x v="2"/>
    <m/>
    <x v="22"/>
    <x v="2"/>
    <x v="150"/>
    <m/>
    <m/>
    <m/>
    <n v="5"/>
    <n v="201208"/>
    <n v="190000"/>
  </r>
  <r>
    <x v="493"/>
    <x v="2"/>
    <m/>
    <x v="5"/>
    <x v="2"/>
    <x v="151"/>
    <m/>
    <m/>
    <m/>
    <n v="22"/>
    <n v="201208"/>
    <n v="616000"/>
  </r>
  <r>
    <x v="493"/>
    <x v="2"/>
    <m/>
    <x v="5"/>
    <x v="2"/>
    <x v="152"/>
    <m/>
    <m/>
    <m/>
    <n v="4"/>
    <n v="201208"/>
    <n v="192000"/>
  </r>
  <r>
    <x v="493"/>
    <x v="2"/>
    <m/>
    <x v="5"/>
    <x v="2"/>
    <x v="153"/>
    <m/>
    <m/>
    <m/>
    <n v="3"/>
    <n v="201208"/>
    <n v="84000"/>
  </r>
  <r>
    <x v="493"/>
    <x v="2"/>
    <m/>
    <x v="33"/>
    <x v="2"/>
    <x v="155"/>
    <m/>
    <m/>
    <m/>
    <n v="3"/>
    <n v="201208"/>
    <n v="54600"/>
  </r>
  <r>
    <x v="493"/>
    <x v="2"/>
    <m/>
    <x v="19"/>
    <x v="2"/>
    <x v="157"/>
    <m/>
    <m/>
    <m/>
    <n v="18"/>
    <n v="201208"/>
    <n v="234000"/>
  </r>
  <r>
    <x v="493"/>
    <x v="2"/>
    <m/>
    <x v="19"/>
    <x v="2"/>
    <x v="158"/>
    <m/>
    <m/>
    <m/>
    <n v="4"/>
    <n v="201208"/>
    <n v="96000"/>
  </r>
  <r>
    <x v="493"/>
    <x v="2"/>
    <m/>
    <x v="19"/>
    <x v="2"/>
    <x v="159"/>
    <m/>
    <m/>
    <m/>
    <n v="1"/>
    <n v="201208"/>
    <n v="33000"/>
  </r>
  <r>
    <x v="493"/>
    <x v="2"/>
    <m/>
    <x v="19"/>
    <x v="2"/>
    <x v="181"/>
    <m/>
    <m/>
    <m/>
    <n v="2"/>
    <n v="201208"/>
    <n v="26000"/>
  </r>
  <r>
    <x v="493"/>
    <x v="2"/>
    <m/>
    <x v="35"/>
    <x v="2"/>
    <x v="170"/>
    <m/>
    <m/>
    <m/>
    <n v="4"/>
    <n v="201208"/>
    <n v="16000"/>
  </r>
  <r>
    <x v="493"/>
    <x v="2"/>
    <m/>
    <x v="35"/>
    <x v="2"/>
    <x v="160"/>
    <m/>
    <m/>
    <m/>
    <n v="4"/>
    <n v="201208"/>
    <n v="80000"/>
  </r>
  <r>
    <x v="493"/>
    <x v="2"/>
    <m/>
    <x v="4"/>
    <x v="2"/>
    <x v="243"/>
    <m/>
    <m/>
    <m/>
    <n v="4"/>
    <n v="201208"/>
    <n v="16000"/>
  </r>
  <r>
    <x v="493"/>
    <x v="2"/>
    <m/>
    <x v="4"/>
    <x v="2"/>
    <x v="207"/>
    <m/>
    <m/>
    <m/>
    <n v="2"/>
    <n v="201208"/>
    <n v="8000"/>
  </r>
  <r>
    <x v="493"/>
    <x v="2"/>
    <m/>
    <x v="4"/>
    <x v="2"/>
    <x v="241"/>
    <m/>
    <m/>
    <m/>
    <n v="2"/>
    <n v="201208"/>
    <n v="40000"/>
  </r>
  <r>
    <x v="493"/>
    <x v="2"/>
    <m/>
    <x v="18"/>
    <x v="2"/>
    <x v="161"/>
    <m/>
    <m/>
    <m/>
    <n v="12"/>
    <n v="201208"/>
    <n v="36000"/>
  </r>
  <r>
    <x v="494"/>
    <x v="5"/>
    <m/>
    <x v="0"/>
    <x v="7"/>
    <x v="163"/>
    <m/>
    <m/>
    <m/>
    <n v="4"/>
    <n v="201208"/>
    <n v="80000"/>
  </r>
  <r>
    <x v="494"/>
    <x v="5"/>
    <m/>
    <x v="6"/>
    <x v="2"/>
    <x v="126"/>
    <m/>
    <m/>
    <m/>
    <n v="1"/>
    <n v="201208"/>
    <n v="20000"/>
  </r>
  <r>
    <x v="494"/>
    <x v="5"/>
    <m/>
    <x v="6"/>
    <x v="2"/>
    <x v="127"/>
    <m/>
    <m/>
    <m/>
    <n v="1"/>
    <n v="201208"/>
    <n v="35000"/>
  </r>
  <r>
    <x v="494"/>
    <x v="5"/>
    <m/>
    <x v="34"/>
    <x v="2"/>
    <x v="128"/>
    <m/>
    <m/>
    <m/>
    <n v="33"/>
    <n v="201208"/>
    <n v="1224300"/>
  </r>
  <r>
    <x v="494"/>
    <x v="5"/>
    <m/>
    <x v="0"/>
    <x v="2"/>
    <x v="224"/>
    <m/>
    <m/>
    <m/>
    <n v="21"/>
    <n v="201208"/>
    <n v="693000"/>
  </r>
  <r>
    <x v="494"/>
    <x v="5"/>
    <m/>
    <x v="0"/>
    <x v="2"/>
    <x v="225"/>
    <m/>
    <m/>
    <m/>
    <n v="8"/>
    <n v="201208"/>
    <n v="304000"/>
  </r>
  <r>
    <x v="494"/>
    <x v="5"/>
    <m/>
    <x v="30"/>
    <x v="2"/>
    <x v="132"/>
    <m/>
    <m/>
    <m/>
    <n v="7"/>
    <n v="201208"/>
    <n v="156800"/>
  </r>
  <r>
    <x v="494"/>
    <x v="5"/>
    <m/>
    <x v="30"/>
    <x v="2"/>
    <x v="133"/>
    <m/>
    <m/>
    <m/>
    <n v="1"/>
    <n v="201208"/>
    <n v="39200"/>
  </r>
  <r>
    <x v="494"/>
    <x v="5"/>
    <m/>
    <x v="34"/>
    <x v="2"/>
    <x v="134"/>
    <m/>
    <m/>
    <m/>
    <n v="1"/>
    <n v="201208"/>
    <n v="37100"/>
  </r>
  <r>
    <x v="494"/>
    <x v="5"/>
    <m/>
    <x v="1"/>
    <x v="2"/>
    <x v="135"/>
    <m/>
    <m/>
    <m/>
    <n v="8"/>
    <n v="201208"/>
    <n v="160000"/>
  </r>
  <r>
    <x v="494"/>
    <x v="5"/>
    <m/>
    <x v="1"/>
    <x v="2"/>
    <x v="165"/>
    <m/>
    <m/>
    <m/>
    <n v="5"/>
    <n v="201208"/>
    <n v="175000"/>
  </r>
  <r>
    <x v="494"/>
    <x v="5"/>
    <m/>
    <x v="36"/>
    <x v="2"/>
    <x v="136"/>
    <m/>
    <m/>
    <m/>
    <n v="3"/>
    <n v="201208"/>
    <n v="84000"/>
  </r>
  <r>
    <x v="494"/>
    <x v="5"/>
    <m/>
    <x v="0"/>
    <x v="2"/>
    <x v="139"/>
    <m/>
    <m/>
    <m/>
    <n v="1"/>
    <n v="201208"/>
    <n v="35000"/>
  </r>
  <r>
    <x v="494"/>
    <x v="5"/>
    <m/>
    <x v="4"/>
    <x v="2"/>
    <x v="143"/>
    <m/>
    <m/>
    <m/>
    <n v="4"/>
    <n v="201208"/>
    <n v="80000"/>
  </r>
  <r>
    <x v="494"/>
    <x v="5"/>
    <m/>
    <x v="0"/>
    <x v="2"/>
    <x v="258"/>
    <m/>
    <m/>
    <m/>
    <n v="23"/>
    <n v="201208"/>
    <n v="460000"/>
  </r>
  <r>
    <x v="494"/>
    <x v="5"/>
    <m/>
    <x v="0"/>
    <x v="2"/>
    <x v="259"/>
    <m/>
    <m/>
    <m/>
    <n v="14"/>
    <n v="201208"/>
    <n v="490000"/>
  </r>
  <r>
    <x v="494"/>
    <x v="5"/>
    <m/>
    <x v="32"/>
    <x v="2"/>
    <x v="260"/>
    <m/>
    <m/>
    <m/>
    <n v="11"/>
    <n v="201208"/>
    <n v="408100"/>
  </r>
  <r>
    <x v="494"/>
    <x v="5"/>
    <m/>
    <x v="18"/>
    <x v="2"/>
    <x v="261"/>
    <m/>
    <m/>
    <m/>
    <n v="10"/>
    <n v="201208"/>
    <n v="30000"/>
  </r>
  <r>
    <x v="494"/>
    <x v="5"/>
    <m/>
    <x v="31"/>
    <x v="2"/>
    <x v="145"/>
    <m/>
    <m/>
    <m/>
    <n v="24"/>
    <n v="201208"/>
    <n v="537600"/>
  </r>
  <r>
    <x v="494"/>
    <x v="5"/>
    <m/>
    <x v="31"/>
    <x v="2"/>
    <x v="146"/>
    <m/>
    <m/>
    <m/>
    <n v="25"/>
    <n v="201208"/>
    <n v="980000"/>
  </r>
  <r>
    <x v="494"/>
    <x v="5"/>
    <m/>
    <x v="31"/>
    <x v="2"/>
    <x v="249"/>
    <m/>
    <m/>
    <m/>
    <n v="27"/>
    <n v="201208"/>
    <n v="1474200"/>
  </r>
  <r>
    <x v="494"/>
    <x v="5"/>
    <m/>
    <x v="32"/>
    <x v="2"/>
    <x v="147"/>
    <m/>
    <m/>
    <m/>
    <n v="15"/>
    <n v="201208"/>
    <n v="556500"/>
  </r>
  <r>
    <x v="494"/>
    <x v="5"/>
    <m/>
    <x v="0"/>
    <x v="2"/>
    <x v="148"/>
    <m/>
    <m/>
    <m/>
    <n v="2"/>
    <n v="201208"/>
    <n v="40000"/>
  </r>
  <r>
    <x v="494"/>
    <x v="5"/>
    <m/>
    <x v="31"/>
    <x v="2"/>
    <x v="186"/>
    <m/>
    <m/>
    <m/>
    <n v="17"/>
    <n v="201208"/>
    <n v="380800"/>
  </r>
  <r>
    <x v="494"/>
    <x v="5"/>
    <m/>
    <x v="31"/>
    <x v="2"/>
    <x v="187"/>
    <m/>
    <m/>
    <m/>
    <n v="23"/>
    <n v="201208"/>
    <n v="901600"/>
  </r>
  <r>
    <x v="494"/>
    <x v="5"/>
    <m/>
    <x v="31"/>
    <x v="2"/>
    <x v="255"/>
    <m/>
    <m/>
    <m/>
    <n v="15"/>
    <n v="201208"/>
    <n v="819000"/>
  </r>
  <r>
    <x v="494"/>
    <x v="5"/>
    <m/>
    <x v="32"/>
    <x v="2"/>
    <x v="188"/>
    <m/>
    <m/>
    <m/>
    <n v="8"/>
    <n v="201208"/>
    <n v="296800"/>
  </r>
  <r>
    <x v="494"/>
    <x v="5"/>
    <m/>
    <x v="22"/>
    <x v="2"/>
    <x v="150"/>
    <m/>
    <m/>
    <m/>
    <n v="2"/>
    <n v="201208"/>
    <n v="76000"/>
  </r>
  <r>
    <x v="494"/>
    <x v="5"/>
    <m/>
    <x v="22"/>
    <x v="2"/>
    <x v="150"/>
    <m/>
    <m/>
    <m/>
    <n v="1"/>
    <n v="201208"/>
    <n v="38000"/>
  </r>
  <r>
    <x v="494"/>
    <x v="5"/>
    <m/>
    <x v="5"/>
    <x v="2"/>
    <x v="151"/>
    <m/>
    <m/>
    <m/>
    <n v="16"/>
    <n v="201208"/>
    <n v="448000"/>
  </r>
  <r>
    <x v="494"/>
    <x v="5"/>
    <m/>
    <x v="5"/>
    <x v="2"/>
    <x v="152"/>
    <m/>
    <m/>
    <m/>
    <n v="6"/>
    <n v="201208"/>
    <n v="288000"/>
  </r>
  <r>
    <x v="494"/>
    <x v="5"/>
    <m/>
    <x v="5"/>
    <x v="2"/>
    <x v="153"/>
    <m/>
    <m/>
    <m/>
    <n v="1"/>
    <n v="201208"/>
    <n v="28000"/>
  </r>
  <r>
    <x v="494"/>
    <x v="5"/>
    <m/>
    <x v="33"/>
    <x v="2"/>
    <x v="155"/>
    <m/>
    <m/>
    <m/>
    <n v="5"/>
    <n v="201208"/>
    <n v="91000"/>
  </r>
  <r>
    <x v="494"/>
    <x v="5"/>
    <m/>
    <x v="19"/>
    <x v="2"/>
    <x v="157"/>
    <m/>
    <m/>
    <m/>
    <n v="14"/>
    <n v="201208"/>
    <n v="182000"/>
  </r>
  <r>
    <x v="494"/>
    <x v="5"/>
    <m/>
    <x v="19"/>
    <x v="2"/>
    <x v="158"/>
    <m/>
    <m/>
    <m/>
    <n v="2"/>
    <n v="201208"/>
    <n v="48000"/>
  </r>
  <r>
    <x v="494"/>
    <x v="5"/>
    <m/>
    <x v="19"/>
    <x v="2"/>
    <x v="159"/>
    <m/>
    <m/>
    <m/>
    <n v="2"/>
    <n v="201208"/>
    <n v="66000"/>
  </r>
  <r>
    <x v="494"/>
    <x v="5"/>
    <m/>
    <x v="35"/>
    <x v="2"/>
    <x v="160"/>
    <m/>
    <m/>
    <m/>
    <n v="1"/>
    <n v="201208"/>
    <n v="20000"/>
  </r>
  <r>
    <x v="494"/>
    <x v="5"/>
    <m/>
    <x v="4"/>
    <x v="2"/>
    <x v="242"/>
    <m/>
    <m/>
    <m/>
    <n v="1"/>
    <n v="201208"/>
    <n v="20000"/>
  </r>
  <r>
    <x v="494"/>
    <x v="5"/>
    <m/>
    <x v="4"/>
    <x v="2"/>
    <x v="241"/>
    <m/>
    <m/>
    <m/>
    <n v="2"/>
    <n v="201208"/>
    <n v="40000"/>
  </r>
  <r>
    <x v="494"/>
    <x v="5"/>
    <m/>
    <x v="18"/>
    <x v="2"/>
    <x v="161"/>
    <m/>
    <m/>
    <m/>
    <n v="16"/>
    <n v="201208"/>
    <n v="48000"/>
  </r>
  <r>
    <x v="494"/>
    <x v="5"/>
    <m/>
    <x v="18"/>
    <x v="2"/>
    <x v="161"/>
    <m/>
    <m/>
    <m/>
    <n v="1"/>
    <n v="201208"/>
    <n v="3000"/>
  </r>
  <r>
    <x v="495"/>
    <x v="6"/>
    <m/>
    <x v="0"/>
    <x v="7"/>
    <x v="163"/>
    <m/>
    <m/>
    <m/>
    <n v="1"/>
    <n v="201208"/>
    <n v="20000"/>
  </r>
  <r>
    <x v="495"/>
    <x v="6"/>
    <m/>
    <x v="6"/>
    <x v="2"/>
    <x v="126"/>
    <m/>
    <m/>
    <m/>
    <n v="1"/>
    <n v="201208"/>
    <n v="20000"/>
  </r>
  <r>
    <x v="495"/>
    <x v="6"/>
    <m/>
    <x v="6"/>
    <x v="2"/>
    <x v="127"/>
    <m/>
    <m/>
    <m/>
    <n v="2"/>
    <n v="201208"/>
    <n v="70000"/>
  </r>
  <r>
    <x v="495"/>
    <x v="6"/>
    <m/>
    <x v="34"/>
    <x v="2"/>
    <x v="128"/>
    <m/>
    <m/>
    <m/>
    <n v="40"/>
    <n v="201208"/>
    <n v="1484000"/>
  </r>
  <r>
    <x v="495"/>
    <x v="6"/>
    <m/>
    <x v="25"/>
    <x v="2"/>
    <x v="129"/>
    <m/>
    <m/>
    <m/>
    <n v="2"/>
    <n v="201208"/>
    <n v="198000"/>
  </r>
  <r>
    <x v="495"/>
    <x v="6"/>
    <m/>
    <x v="0"/>
    <x v="2"/>
    <x v="224"/>
    <m/>
    <m/>
    <m/>
    <n v="21"/>
    <n v="201208"/>
    <n v="693000"/>
  </r>
  <r>
    <x v="495"/>
    <x v="6"/>
    <m/>
    <x v="0"/>
    <x v="2"/>
    <x v="225"/>
    <m/>
    <m/>
    <m/>
    <n v="8"/>
    <n v="201208"/>
    <n v="304000"/>
  </r>
  <r>
    <x v="495"/>
    <x v="6"/>
    <m/>
    <x v="30"/>
    <x v="2"/>
    <x v="132"/>
    <m/>
    <m/>
    <m/>
    <n v="6"/>
    <n v="201208"/>
    <n v="134400"/>
  </r>
  <r>
    <x v="495"/>
    <x v="6"/>
    <m/>
    <x v="30"/>
    <x v="2"/>
    <x v="133"/>
    <m/>
    <m/>
    <m/>
    <n v="3"/>
    <n v="201208"/>
    <n v="117600"/>
  </r>
  <r>
    <x v="495"/>
    <x v="6"/>
    <m/>
    <x v="34"/>
    <x v="2"/>
    <x v="134"/>
    <m/>
    <m/>
    <m/>
    <n v="1"/>
    <n v="201208"/>
    <n v="37100"/>
  </r>
  <r>
    <x v="495"/>
    <x v="6"/>
    <m/>
    <x v="1"/>
    <x v="2"/>
    <x v="135"/>
    <m/>
    <m/>
    <m/>
    <n v="5"/>
    <n v="201208"/>
    <n v="100000"/>
  </r>
  <r>
    <x v="495"/>
    <x v="6"/>
    <m/>
    <x v="1"/>
    <x v="2"/>
    <x v="165"/>
    <m/>
    <m/>
    <m/>
    <n v="7"/>
    <n v="201208"/>
    <n v="245000"/>
  </r>
  <r>
    <x v="495"/>
    <x v="6"/>
    <m/>
    <x v="36"/>
    <x v="2"/>
    <x v="136"/>
    <m/>
    <m/>
    <m/>
    <n v="1"/>
    <n v="201208"/>
    <n v="28000"/>
  </r>
  <r>
    <x v="495"/>
    <x v="6"/>
    <m/>
    <x v="36"/>
    <x v="2"/>
    <x v="176"/>
    <m/>
    <m/>
    <m/>
    <n v="1"/>
    <n v="201208"/>
    <n v="49000"/>
  </r>
  <r>
    <x v="495"/>
    <x v="6"/>
    <m/>
    <x v="4"/>
    <x v="2"/>
    <x v="142"/>
    <m/>
    <m/>
    <m/>
    <n v="2"/>
    <n v="201208"/>
    <n v="8000"/>
  </r>
  <r>
    <x v="495"/>
    <x v="6"/>
    <m/>
    <x v="4"/>
    <x v="2"/>
    <x v="143"/>
    <m/>
    <m/>
    <m/>
    <n v="4"/>
    <n v="201208"/>
    <n v="80000"/>
  </r>
  <r>
    <x v="495"/>
    <x v="6"/>
    <m/>
    <x v="0"/>
    <x v="2"/>
    <x v="258"/>
    <m/>
    <m/>
    <m/>
    <n v="23"/>
    <n v="201208"/>
    <n v="460000"/>
  </r>
  <r>
    <x v="495"/>
    <x v="6"/>
    <m/>
    <x v="0"/>
    <x v="2"/>
    <x v="259"/>
    <m/>
    <m/>
    <m/>
    <n v="45"/>
    <n v="201208"/>
    <n v="1575000"/>
  </r>
  <r>
    <x v="495"/>
    <x v="6"/>
    <m/>
    <x v="32"/>
    <x v="2"/>
    <x v="260"/>
    <m/>
    <m/>
    <m/>
    <n v="24"/>
    <n v="201208"/>
    <n v="890400"/>
  </r>
  <r>
    <x v="495"/>
    <x v="6"/>
    <m/>
    <x v="18"/>
    <x v="2"/>
    <x v="261"/>
    <m/>
    <m/>
    <m/>
    <n v="26"/>
    <n v="201208"/>
    <n v="78000"/>
  </r>
  <r>
    <x v="495"/>
    <x v="6"/>
    <m/>
    <x v="31"/>
    <x v="2"/>
    <x v="145"/>
    <m/>
    <m/>
    <m/>
    <n v="25"/>
    <n v="201208"/>
    <n v="560000"/>
  </r>
  <r>
    <x v="495"/>
    <x v="6"/>
    <m/>
    <x v="31"/>
    <x v="2"/>
    <x v="146"/>
    <m/>
    <m/>
    <m/>
    <n v="23"/>
    <n v="201208"/>
    <n v="901600"/>
  </r>
  <r>
    <x v="495"/>
    <x v="6"/>
    <m/>
    <x v="31"/>
    <x v="2"/>
    <x v="249"/>
    <m/>
    <m/>
    <m/>
    <n v="25"/>
    <n v="201208"/>
    <n v="1365000"/>
  </r>
  <r>
    <x v="495"/>
    <x v="6"/>
    <m/>
    <x v="32"/>
    <x v="2"/>
    <x v="147"/>
    <m/>
    <m/>
    <m/>
    <n v="11"/>
    <n v="201208"/>
    <n v="408100"/>
  </r>
  <r>
    <x v="495"/>
    <x v="6"/>
    <m/>
    <x v="0"/>
    <x v="2"/>
    <x v="148"/>
    <m/>
    <m/>
    <m/>
    <n v="2"/>
    <n v="201208"/>
    <n v="40000"/>
  </r>
  <r>
    <x v="495"/>
    <x v="6"/>
    <m/>
    <x v="31"/>
    <x v="2"/>
    <x v="186"/>
    <m/>
    <m/>
    <m/>
    <n v="16"/>
    <n v="201208"/>
    <n v="358400"/>
  </r>
  <r>
    <x v="495"/>
    <x v="6"/>
    <m/>
    <x v="31"/>
    <x v="2"/>
    <x v="187"/>
    <m/>
    <m/>
    <m/>
    <n v="25"/>
    <n v="201208"/>
    <n v="980000"/>
  </r>
  <r>
    <x v="495"/>
    <x v="6"/>
    <m/>
    <x v="31"/>
    <x v="2"/>
    <x v="255"/>
    <m/>
    <m/>
    <m/>
    <n v="18"/>
    <n v="201208"/>
    <n v="982800"/>
  </r>
  <r>
    <x v="495"/>
    <x v="6"/>
    <m/>
    <x v="32"/>
    <x v="2"/>
    <x v="188"/>
    <m/>
    <m/>
    <m/>
    <n v="9"/>
    <n v="201208"/>
    <n v="333900"/>
  </r>
  <r>
    <x v="495"/>
    <x v="6"/>
    <m/>
    <x v="22"/>
    <x v="2"/>
    <x v="150"/>
    <m/>
    <m/>
    <m/>
    <n v="6"/>
    <n v="201208"/>
    <n v="228000"/>
  </r>
  <r>
    <x v="495"/>
    <x v="6"/>
    <m/>
    <x v="22"/>
    <x v="2"/>
    <x v="150"/>
    <m/>
    <m/>
    <m/>
    <n v="4"/>
    <n v="201208"/>
    <n v="152000"/>
  </r>
  <r>
    <x v="495"/>
    <x v="6"/>
    <m/>
    <x v="5"/>
    <x v="2"/>
    <x v="151"/>
    <m/>
    <m/>
    <m/>
    <n v="16"/>
    <n v="201208"/>
    <n v="448000"/>
  </r>
  <r>
    <x v="495"/>
    <x v="6"/>
    <m/>
    <x v="5"/>
    <x v="2"/>
    <x v="152"/>
    <m/>
    <m/>
    <m/>
    <n v="8"/>
    <n v="201208"/>
    <n v="384000"/>
  </r>
  <r>
    <x v="495"/>
    <x v="6"/>
    <m/>
    <x v="5"/>
    <x v="2"/>
    <x v="153"/>
    <m/>
    <m/>
    <m/>
    <n v="6"/>
    <n v="201208"/>
    <n v="168000"/>
  </r>
  <r>
    <x v="495"/>
    <x v="6"/>
    <m/>
    <x v="33"/>
    <x v="2"/>
    <x v="155"/>
    <m/>
    <m/>
    <m/>
    <n v="1"/>
    <n v="201208"/>
    <n v="18200"/>
  </r>
  <r>
    <x v="495"/>
    <x v="6"/>
    <m/>
    <x v="33"/>
    <x v="2"/>
    <x v="156"/>
    <m/>
    <m/>
    <m/>
    <n v="1"/>
    <n v="201208"/>
    <n v="33800"/>
  </r>
  <r>
    <x v="495"/>
    <x v="6"/>
    <m/>
    <x v="19"/>
    <x v="2"/>
    <x v="157"/>
    <m/>
    <m/>
    <m/>
    <n v="10"/>
    <n v="201208"/>
    <n v="130000"/>
  </r>
  <r>
    <x v="495"/>
    <x v="6"/>
    <m/>
    <x v="19"/>
    <x v="2"/>
    <x v="158"/>
    <m/>
    <m/>
    <m/>
    <n v="2"/>
    <n v="201208"/>
    <n v="48000"/>
  </r>
  <r>
    <x v="495"/>
    <x v="6"/>
    <m/>
    <x v="19"/>
    <x v="2"/>
    <x v="159"/>
    <m/>
    <m/>
    <m/>
    <n v="3"/>
    <n v="201208"/>
    <n v="99000"/>
  </r>
  <r>
    <x v="495"/>
    <x v="6"/>
    <m/>
    <x v="35"/>
    <x v="2"/>
    <x v="170"/>
    <m/>
    <m/>
    <m/>
    <n v="1"/>
    <n v="201208"/>
    <n v="4000"/>
  </r>
  <r>
    <x v="495"/>
    <x v="6"/>
    <m/>
    <x v="35"/>
    <x v="2"/>
    <x v="160"/>
    <m/>
    <m/>
    <m/>
    <n v="4"/>
    <n v="201208"/>
    <n v="80000"/>
  </r>
  <r>
    <x v="495"/>
    <x v="6"/>
    <m/>
    <x v="4"/>
    <x v="2"/>
    <x v="241"/>
    <m/>
    <m/>
    <m/>
    <n v="1"/>
    <n v="201208"/>
    <n v="20000"/>
  </r>
  <r>
    <x v="495"/>
    <x v="6"/>
    <m/>
    <x v="18"/>
    <x v="2"/>
    <x v="161"/>
    <m/>
    <m/>
    <m/>
    <n v="19"/>
    <n v="201208"/>
    <n v="57000"/>
  </r>
  <r>
    <x v="497"/>
    <x v="7"/>
    <m/>
    <x v="10"/>
    <x v="0"/>
    <x v="0"/>
    <m/>
    <m/>
    <m/>
    <m/>
    <m/>
    <m/>
  </r>
  <r>
    <x v="496"/>
    <x v="3"/>
    <m/>
    <x v="0"/>
    <x v="1"/>
    <x v="123"/>
    <m/>
    <m/>
    <m/>
    <n v="27"/>
    <n v="201208"/>
    <n v="945000"/>
  </r>
  <r>
    <x v="496"/>
    <x v="3"/>
    <m/>
    <x v="0"/>
    <x v="1"/>
    <x v="124"/>
    <m/>
    <m/>
    <m/>
    <n v="1"/>
    <n v="201208"/>
    <n v="20000"/>
  </r>
  <r>
    <x v="496"/>
    <x v="3"/>
    <m/>
    <x v="0"/>
    <x v="7"/>
    <x v="163"/>
    <m/>
    <m/>
    <m/>
    <n v="6"/>
    <n v="201208"/>
    <n v="120000"/>
  </r>
  <r>
    <x v="496"/>
    <x v="3"/>
    <m/>
    <x v="6"/>
    <x v="2"/>
    <x v="126"/>
    <m/>
    <m/>
    <m/>
    <n v="4"/>
    <n v="201208"/>
    <n v="80000"/>
  </r>
  <r>
    <x v="496"/>
    <x v="3"/>
    <m/>
    <x v="6"/>
    <x v="2"/>
    <x v="127"/>
    <m/>
    <m/>
    <m/>
    <n v="2"/>
    <n v="201208"/>
    <n v="70000"/>
  </r>
  <r>
    <x v="496"/>
    <x v="3"/>
    <m/>
    <x v="34"/>
    <x v="2"/>
    <x v="128"/>
    <m/>
    <m/>
    <m/>
    <n v="37"/>
    <n v="201208"/>
    <n v="1372700"/>
  </r>
  <r>
    <x v="496"/>
    <x v="3"/>
    <m/>
    <x v="25"/>
    <x v="2"/>
    <x v="129"/>
    <m/>
    <m/>
    <m/>
    <n v="1"/>
    <n v="201208"/>
    <n v="99000"/>
  </r>
  <r>
    <x v="496"/>
    <x v="3"/>
    <m/>
    <x v="0"/>
    <x v="2"/>
    <x v="224"/>
    <m/>
    <m/>
    <m/>
    <n v="6"/>
    <n v="201208"/>
    <n v="198000"/>
  </r>
  <r>
    <x v="496"/>
    <x v="3"/>
    <m/>
    <x v="0"/>
    <x v="2"/>
    <x v="225"/>
    <m/>
    <m/>
    <m/>
    <n v="6"/>
    <n v="201208"/>
    <n v="228000"/>
  </r>
  <r>
    <x v="496"/>
    <x v="3"/>
    <m/>
    <x v="0"/>
    <x v="2"/>
    <x v="265"/>
    <m/>
    <m/>
    <m/>
    <n v="12"/>
    <n v="201208"/>
    <n v="396000"/>
  </r>
  <r>
    <x v="496"/>
    <x v="3"/>
    <m/>
    <x v="0"/>
    <x v="2"/>
    <x v="266"/>
    <m/>
    <m/>
    <m/>
    <n v="6"/>
    <n v="201208"/>
    <n v="198000"/>
  </r>
  <r>
    <x v="496"/>
    <x v="3"/>
    <m/>
    <x v="30"/>
    <x v="2"/>
    <x v="132"/>
    <m/>
    <m/>
    <m/>
    <n v="7"/>
    <n v="201208"/>
    <n v="156800"/>
  </r>
  <r>
    <x v="496"/>
    <x v="3"/>
    <m/>
    <x v="30"/>
    <x v="2"/>
    <x v="133"/>
    <m/>
    <m/>
    <m/>
    <n v="5"/>
    <n v="201208"/>
    <n v="196000"/>
  </r>
  <r>
    <x v="496"/>
    <x v="3"/>
    <m/>
    <x v="1"/>
    <x v="2"/>
    <x v="135"/>
    <m/>
    <m/>
    <m/>
    <n v="13"/>
    <n v="201208"/>
    <n v="260000"/>
  </r>
  <r>
    <x v="496"/>
    <x v="3"/>
    <m/>
    <x v="1"/>
    <x v="2"/>
    <x v="165"/>
    <m/>
    <m/>
    <m/>
    <n v="8"/>
    <n v="201208"/>
    <n v="280000"/>
  </r>
  <r>
    <x v="496"/>
    <x v="3"/>
    <m/>
    <x v="36"/>
    <x v="2"/>
    <x v="136"/>
    <m/>
    <m/>
    <m/>
    <n v="7"/>
    <n v="201208"/>
    <n v="196000"/>
  </r>
  <r>
    <x v="496"/>
    <x v="3"/>
    <m/>
    <x v="36"/>
    <x v="2"/>
    <x v="137"/>
    <m/>
    <m/>
    <m/>
    <n v="2"/>
    <n v="201208"/>
    <n v="84000"/>
  </r>
  <r>
    <x v="496"/>
    <x v="3"/>
    <m/>
    <x v="4"/>
    <x v="2"/>
    <x v="142"/>
    <m/>
    <m/>
    <m/>
    <n v="2"/>
    <n v="201208"/>
    <n v="8000"/>
  </r>
  <r>
    <x v="496"/>
    <x v="3"/>
    <m/>
    <x v="4"/>
    <x v="2"/>
    <x v="143"/>
    <m/>
    <m/>
    <m/>
    <n v="1"/>
    <n v="201208"/>
    <n v="20000"/>
  </r>
  <r>
    <x v="496"/>
    <x v="3"/>
    <m/>
    <x v="4"/>
    <x v="2"/>
    <x v="144"/>
    <m/>
    <m/>
    <m/>
    <n v="10"/>
    <n v="201208"/>
    <n v="40000"/>
  </r>
  <r>
    <x v="496"/>
    <x v="3"/>
    <m/>
    <x v="0"/>
    <x v="2"/>
    <x v="258"/>
    <m/>
    <m/>
    <m/>
    <n v="34"/>
    <n v="201208"/>
    <n v="680000"/>
  </r>
  <r>
    <x v="496"/>
    <x v="3"/>
    <m/>
    <x v="0"/>
    <x v="2"/>
    <x v="259"/>
    <m/>
    <m/>
    <m/>
    <n v="19"/>
    <n v="201208"/>
    <n v="665000"/>
  </r>
  <r>
    <x v="496"/>
    <x v="3"/>
    <m/>
    <x v="32"/>
    <x v="2"/>
    <x v="260"/>
    <m/>
    <m/>
    <m/>
    <n v="18"/>
    <n v="201208"/>
    <n v="667800"/>
  </r>
  <r>
    <x v="496"/>
    <x v="3"/>
    <m/>
    <x v="18"/>
    <x v="2"/>
    <x v="261"/>
    <m/>
    <m/>
    <m/>
    <n v="19"/>
    <n v="201208"/>
    <n v="57000"/>
  </r>
  <r>
    <x v="496"/>
    <x v="3"/>
    <m/>
    <x v="31"/>
    <x v="2"/>
    <x v="145"/>
    <m/>
    <m/>
    <m/>
    <n v="30"/>
    <n v="201208"/>
    <n v="672000"/>
  </r>
  <r>
    <x v="496"/>
    <x v="3"/>
    <m/>
    <x v="31"/>
    <x v="2"/>
    <x v="146"/>
    <m/>
    <m/>
    <m/>
    <n v="41"/>
    <n v="201208"/>
    <n v="1607200"/>
  </r>
  <r>
    <x v="496"/>
    <x v="3"/>
    <m/>
    <x v="31"/>
    <x v="2"/>
    <x v="249"/>
    <m/>
    <m/>
    <m/>
    <n v="21"/>
    <n v="201208"/>
    <n v="1146600"/>
  </r>
  <r>
    <x v="496"/>
    <x v="3"/>
    <m/>
    <x v="32"/>
    <x v="2"/>
    <x v="147"/>
    <m/>
    <m/>
    <m/>
    <n v="4"/>
    <n v="201208"/>
    <n v="148400"/>
  </r>
  <r>
    <x v="496"/>
    <x v="3"/>
    <m/>
    <x v="0"/>
    <x v="2"/>
    <x v="148"/>
    <m/>
    <m/>
    <m/>
    <n v="1"/>
    <n v="201208"/>
    <n v="20000"/>
  </r>
  <r>
    <x v="496"/>
    <x v="3"/>
    <m/>
    <x v="31"/>
    <x v="2"/>
    <x v="184"/>
    <m/>
    <m/>
    <m/>
    <n v="1"/>
    <n v="201208"/>
    <n v="39200"/>
  </r>
  <r>
    <x v="496"/>
    <x v="3"/>
    <m/>
    <x v="31"/>
    <x v="2"/>
    <x v="186"/>
    <m/>
    <m/>
    <m/>
    <n v="26"/>
    <n v="201208"/>
    <n v="582400"/>
  </r>
  <r>
    <x v="496"/>
    <x v="3"/>
    <m/>
    <x v="31"/>
    <x v="2"/>
    <x v="187"/>
    <m/>
    <m/>
    <m/>
    <n v="24"/>
    <n v="201208"/>
    <n v="940800"/>
  </r>
  <r>
    <x v="496"/>
    <x v="3"/>
    <m/>
    <x v="31"/>
    <x v="2"/>
    <x v="255"/>
    <m/>
    <m/>
    <m/>
    <n v="16"/>
    <n v="201208"/>
    <n v="873600"/>
  </r>
  <r>
    <x v="496"/>
    <x v="3"/>
    <m/>
    <x v="32"/>
    <x v="2"/>
    <x v="188"/>
    <m/>
    <m/>
    <m/>
    <n v="7"/>
    <n v="201208"/>
    <n v="259700"/>
  </r>
  <r>
    <x v="496"/>
    <x v="3"/>
    <m/>
    <x v="22"/>
    <x v="2"/>
    <x v="150"/>
    <m/>
    <m/>
    <m/>
    <n v="10"/>
    <n v="201208"/>
    <n v="380000"/>
  </r>
  <r>
    <x v="496"/>
    <x v="3"/>
    <m/>
    <x v="22"/>
    <x v="2"/>
    <x v="150"/>
    <m/>
    <m/>
    <m/>
    <n v="7"/>
    <n v="201208"/>
    <n v="266000"/>
  </r>
  <r>
    <x v="496"/>
    <x v="3"/>
    <m/>
    <x v="5"/>
    <x v="2"/>
    <x v="151"/>
    <m/>
    <m/>
    <m/>
    <n v="13"/>
    <n v="201208"/>
    <n v="364000"/>
  </r>
  <r>
    <x v="496"/>
    <x v="3"/>
    <m/>
    <x v="5"/>
    <x v="2"/>
    <x v="152"/>
    <m/>
    <m/>
    <m/>
    <n v="15"/>
    <n v="201208"/>
    <n v="720000"/>
  </r>
  <r>
    <x v="496"/>
    <x v="3"/>
    <m/>
    <x v="5"/>
    <x v="2"/>
    <x v="153"/>
    <m/>
    <m/>
    <m/>
    <n v="4"/>
    <n v="201208"/>
    <n v="112000"/>
  </r>
  <r>
    <x v="496"/>
    <x v="3"/>
    <m/>
    <x v="33"/>
    <x v="2"/>
    <x v="155"/>
    <m/>
    <m/>
    <m/>
    <n v="5"/>
    <n v="201208"/>
    <n v="91000"/>
  </r>
  <r>
    <x v="496"/>
    <x v="3"/>
    <m/>
    <x v="19"/>
    <x v="2"/>
    <x v="157"/>
    <m/>
    <m/>
    <m/>
    <n v="10"/>
    <n v="201208"/>
    <n v="130000"/>
  </r>
  <r>
    <x v="496"/>
    <x v="3"/>
    <m/>
    <x v="19"/>
    <x v="2"/>
    <x v="158"/>
    <m/>
    <m/>
    <m/>
    <n v="5"/>
    <n v="201208"/>
    <n v="120000"/>
  </r>
  <r>
    <x v="496"/>
    <x v="3"/>
    <m/>
    <x v="19"/>
    <x v="2"/>
    <x v="159"/>
    <m/>
    <m/>
    <m/>
    <n v="3"/>
    <n v="201208"/>
    <n v="99000"/>
  </r>
  <r>
    <x v="496"/>
    <x v="3"/>
    <m/>
    <x v="35"/>
    <x v="2"/>
    <x v="170"/>
    <m/>
    <m/>
    <m/>
    <n v="1"/>
    <n v="201208"/>
    <n v="4000"/>
  </r>
  <r>
    <x v="496"/>
    <x v="3"/>
    <m/>
    <x v="35"/>
    <x v="2"/>
    <x v="160"/>
    <m/>
    <m/>
    <m/>
    <n v="3"/>
    <n v="201208"/>
    <n v="60000"/>
  </r>
  <r>
    <x v="496"/>
    <x v="3"/>
    <m/>
    <x v="4"/>
    <x v="2"/>
    <x v="242"/>
    <m/>
    <m/>
    <m/>
    <n v="1"/>
    <n v="201208"/>
    <n v="20000"/>
  </r>
  <r>
    <x v="496"/>
    <x v="3"/>
    <m/>
    <x v="4"/>
    <x v="2"/>
    <x v="207"/>
    <m/>
    <m/>
    <m/>
    <n v="3"/>
    <n v="201208"/>
    <n v="12000"/>
  </r>
  <r>
    <x v="496"/>
    <x v="3"/>
    <m/>
    <x v="4"/>
    <x v="2"/>
    <x v="241"/>
    <m/>
    <m/>
    <m/>
    <n v="1"/>
    <n v="201208"/>
    <n v="20000"/>
  </r>
  <r>
    <x v="496"/>
    <x v="3"/>
    <m/>
    <x v="18"/>
    <x v="2"/>
    <x v="161"/>
    <m/>
    <m/>
    <m/>
    <n v="11"/>
    <n v="201208"/>
    <n v="33000"/>
  </r>
  <r>
    <x v="496"/>
    <x v="3"/>
    <m/>
    <x v="18"/>
    <x v="2"/>
    <x v="161"/>
    <m/>
    <m/>
    <m/>
    <n v="3"/>
    <n v="201208"/>
    <n v="9000"/>
  </r>
  <r>
    <x v="497"/>
    <x v="7"/>
    <m/>
    <x v="10"/>
    <x v="0"/>
    <x v="0"/>
    <m/>
    <m/>
    <m/>
    <m/>
    <m/>
    <m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2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피벗 테이블3" cacheId="45" dataOnRows="0" dataCaption="값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16" fieldListSortAscending="0" mdxSubqueries="0" applyNumberFormats="0" applyBorderFormats="0" applyFontFormats="0" applyPatternFormats="0" applyAlignmentFormats="0" applyWidthHeightFormats="1" r:id="rId1">
  <location ref="B3:BZ14" firstHeaderRow="1" firstDataRow="3" firstDataCol="2" rowPageCount="1" colPageCount="1"/>
  <pivotFields count="12">
    <pivotField axis="axisRow" showDropDowns="1" compact="0" outline="0" subtotalTop="1" dragToRow="1" dragToCol="1" dragToPage="1" dragToData="1" dragOff="1" showAll="0" topAutoShow="1" itemPageCount="10" sortType="ascending" defaultSubtotal="0">
      <items count="558">
        <item t="data" sd="1" m="1" x="529"/>
        <item t="data" sd="1" m="1" x="530"/>
        <item t="data" sd="1" m="1" x="503"/>
        <item t="data" sd="1" m="1" x="531"/>
        <item t="data" sd="1" m="1" x="504"/>
        <item t="data" sd="1" m="1" x="532"/>
        <item t="data" sd="1" m="1" x="505"/>
        <item t="data" sd="1" m="1" x="534"/>
        <item t="data" sd="1" m="1" x="507"/>
        <item t="data" sd="1" m="1" x="536"/>
        <item t="data" sd="1" m="1" x="509"/>
        <item t="data" sd="1" m="1" x="538"/>
        <item t="data" sd="1" m="1" x="511"/>
        <item t="data" sd="1" m="1" x="540"/>
        <item t="data" sd="1" m="1" x="513"/>
        <item t="data" sd="1" m="1" x="542"/>
        <item t="data" sd="1" m="1" x="515"/>
        <item t="data" sd="1" m="1" x="544"/>
        <item t="data" sd="1" m="1" x="517"/>
        <item t="data" sd="1" m="1" x="546"/>
        <item t="data" sd="1" m="1" x="519"/>
        <item t="data" sd="1" m="1" x="548"/>
        <item t="data" sd="1" m="1" x="521"/>
        <item t="data" sd="1" m="1" x="550"/>
        <item t="data" sd="1" m="1" x="523"/>
        <item t="data" sd="1" m="1" x="552"/>
        <item t="data" sd="1" m="1" x="525"/>
        <item t="data" sd="1" m="1" x="554"/>
        <item t="data" sd="1" m="1" x="527"/>
        <item t="data" sd="1" m="1" x="556"/>
        <item t="data" sd="1" m="1" x="528"/>
        <item t="data" sd="1" m="1" x="557"/>
        <item t="data" sd="1" m="1" x="533"/>
        <item t="data" sd="1" m="1" x="506"/>
        <item t="data" sd="1" m="1" x="535"/>
        <item t="data" sd="1" m="1" x="508"/>
        <item t="data" sd="1" m="1" x="537"/>
        <item t="data" sd="1" m="1" x="510"/>
        <item t="data" sd="1" m="1" x="539"/>
        <item t="data" sd="1" m="1" x="512"/>
        <item t="data" sd="1" m="1" x="541"/>
        <item t="data" sd="1" m="1" x="514"/>
        <item t="data" sd="1" m="1" x="543"/>
        <item t="data" sd="1" m="1" x="516"/>
        <item t="data" sd="1" m="1" x="545"/>
        <item t="data" sd="1" m="1" x="518"/>
        <item t="data" sd="1" m="1" x="547"/>
        <item t="data" sd="1" m="1" x="520"/>
        <item t="data" sd="1" m="1" x="549"/>
        <item t="data" sd="1" m="1" x="522"/>
        <item t="data" sd="1" m="1" x="551"/>
        <item t="data" sd="1" m="1" x="524"/>
        <item t="data" sd="1" m="1" x="553"/>
        <item t="data" sd="1" m="1" x="526"/>
        <item t="data" sd="1" m="1" x="555"/>
        <item t="data" sd="1" x="498"/>
        <item t="data" sd="1" x="499"/>
        <item t="data" sd="1" x="500"/>
        <item t="data" sd="1" x="501"/>
        <item t="data" sd="1" x="502"/>
        <item t="data" sd="1" x="25"/>
        <item t="data" sd="1" x="26"/>
        <item t="data" sd="1" x="27"/>
        <item t="data" sd="1" x="28"/>
        <item t="data" sd="1" x="29"/>
        <item t="data" sd="1" x="30"/>
        <item t="data" sd="1" x="4"/>
        <item t="data" sd="1" x="5"/>
        <item t="data" sd="1" x="6"/>
        <item t="data" sd="1" x="31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0"/>
        <item t="data" sd="1" x="20"/>
        <item t="data" sd="1" x="21"/>
        <item t="data" sd="1" x="22"/>
        <item t="data" sd="1" x="23"/>
        <item t="data" sd="1" x="24"/>
        <item t="data" sd="1" x="1"/>
        <item t="data" sd="1" x="2"/>
        <item t="data" sd="1" x="3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44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7"/>
        <item t="data" sd="1" x="318"/>
        <item t="data" sd="1" x="315"/>
        <item t="data" sd="1" x="316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36"/>
        <item t="data" sd="1" x="337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245"/>
        <item t="data" sd="1" x="334"/>
        <item t="data" sd="1" x="335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ata" sd="1" x="497"/>
      </items>
    </pivotField>
    <pivotField axis="axisRow" showDropDowns="1" compact="0" outline="0" subtotalTop="1" dragToRow="1" dragToCol="1" dragToPage="1" dragToData="1" dragOff="1" showAll="0" topAutoShow="1" itemPageCount="10" sortType="manual" defaultSubtotal="1">
      <items count="9">
        <item t="data" sd="1" x="4"/>
        <item t="data" sd="1" x="1"/>
        <item t="data" sd="1" x="0"/>
        <item t="data" sd="1" x="7"/>
        <item t="data" sd="1" x="3"/>
        <item t="data" sd="1" x="2"/>
        <item t="data" sd="1" x="5"/>
        <item t="data" sd="1" x="6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0">
      <items count="40">
        <item t="data" sd="1" x="10"/>
        <item t="data" sd="1" x="0"/>
        <item t="data" sd="1" x="1"/>
        <item t="data" sd="1" x="2"/>
        <item t="data" sd="0" x="18"/>
        <item t="data" sd="1" x="5"/>
        <item t="data" sd="1" x="3"/>
        <item t="data" sd="1" x="19"/>
        <item t="data" sd="1" x="20"/>
        <item t="data" sd="1" x="4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6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7"/>
        <item t="data" sd="1" x="8"/>
        <item t="data" sd="1" x="9"/>
        <item t="data" sd="1" x="11"/>
        <item t="data" sd="1" x="12"/>
        <item t="data" sd="1" x="13"/>
        <item t="data" sd="1" x="14"/>
        <item t="data" sd="1" x="35"/>
        <item t="data" sd="1" x="36"/>
        <item t="data" sd="1" x="37"/>
        <item t="data" sd="1" x="38"/>
        <item t="data" sd="1" x="15"/>
        <item t="data" sd="1" x="16"/>
        <item t="data" sd="1" x="39"/>
        <item t="data" sd="1" x="17"/>
      </items>
    </pivotField>
    <pivotField axis="axisPage" showDropDowns="1" compact="0" outline="0" subtotalTop="1" dragToRow="1" dragToCol="1" multipleItemSelectionAllowed="1" dragToPage="1" dragToData="1" dragOff="1" showAll="0" topAutoShow="1" itemPageCount="10" sortType="manual" defaultSubtotal="1">
      <items count="39">
        <item t="data" sd="1" m="1" x="20"/>
        <item t="data" sd="1" m="1" x="37"/>
        <item t="data" sd="1" m="1" x="23"/>
        <item t="data" sd="1" m="1" x="30"/>
        <item t="data" sd="1" m="1" x="35"/>
        <item t="data" sd="1" m="1" x="25"/>
        <item t="data" sd="1" m="1" x="26"/>
        <item t="data" sd="1" m="1" x="27"/>
        <item t="data" sd="1" m="1" x="24"/>
        <item t="data" sd="1" m="1" x="21"/>
        <item t="data" sd="1" m="1" x="34"/>
        <item t="data" sd="1" m="1" x="32"/>
        <item t="data" h="1" sd="1" m="1" x="33"/>
        <item t="data" sd="1" m="1" x="31"/>
        <item t="data" sd="1" m="1" x="36"/>
        <item t="data" sd="1" m="1" x="28"/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h="1" sd="1" x="8"/>
        <item t="data" h="1" sd="1" x="9"/>
        <item t="data" h="1" sd="1" x="10"/>
        <item t="data" h="1" sd="1" m="1" x="22"/>
        <item t="data" h="1" sd="1" m="1" x="29"/>
        <item t="data" h="1" sd="1" x="13"/>
        <item t="data" h="1" sd="1" x="12"/>
        <item t="data" h="1" sd="1" x="11"/>
        <item t="data" h="1" sd="1" x="14"/>
        <item t="data" h="1" sd="1" x="15"/>
        <item t="data" h="1" sd="1" x="16"/>
        <item t="data" h="1" sd="1" x="17"/>
        <item t="data" h="1" sd="1" x="18"/>
        <item t="data" h="1" sd="1" x="19"/>
        <item t="default" sd="1"/>
      </items>
    </pivotField>
    <pivotField axis="axisCol" showDropDowns="1" compact="0" outline="0" subtotalTop="1" dragToRow="1" dragToCol="1" dragToPage="1" dragToData="1" dragOff="1" showAll="0" topAutoShow="1" itemPageCount="10" sortType="manual" defaultSubtotal="1">
      <items count="322">
        <item t="data" sd="1" m="1" x="281"/>
        <item t="data" sd="1" x="15"/>
        <item t="data" sd="1" x="16"/>
        <item t="data" sd="1" x="20"/>
        <item t="data" sd="1" x="17"/>
        <item t="data" sd="1" m="1" x="286"/>
        <item t="data" sd="1" m="1" x="316"/>
        <item t="data" sd="1" m="1" x="278"/>
        <item t="data" sd="1" m="1" x="300"/>
        <item t="data" sd="1" m="1" x="269"/>
        <item t="data" sd="1" m="1" x="320"/>
        <item t="data" sd="1" m="1" x="283"/>
        <item t="data" sd="1" m="1" x="301"/>
        <item t="data" sd="1" m="1" x="296"/>
        <item t="data" sd="1" m="1" x="288"/>
        <item t="data" sd="1" m="1" x="307"/>
        <item t="data" sd="1" m="1" x="279"/>
        <item t="data" sd="1" m="1" x="276"/>
        <item t="data" sd="1" x="3"/>
        <item t="data" sd="1" x="7"/>
        <item t="data" sd="1" m="1" x="284"/>
        <item t="data" sd="1" x="9"/>
        <item t="data" sd="1" x="10"/>
        <item t="data" sd="1" m="1" x="274"/>
        <item t="data" sd="1" m="1" x="273"/>
        <item t="data" sd="1" m="1" x="310"/>
        <item t="data" sd="1" m="1" x="311"/>
        <item t="data" sd="1" m="1" x="306"/>
        <item t="data" sd="1" m="1" x="291"/>
        <item t="data" sd="1" m="1" x="294"/>
        <item t="data" sd="1" m="1" x="299"/>
        <item t="data" sd="1" m="1" x="290"/>
        <item t="data" sd="1" m="1" x="289"/>
        <item t="data" sd="1" m="1" x="305"/>
        <item t="data" sd="1" m="1" x="282"/>
        <item t="data" sd="1" m="1" x="275"/>
        <item t="data" sd="1" m="1" x="295"/>
        <item t="data" sd="1" m="1" x="314"/>
        <item t="data" sd="1" m="1" x="319"/>
        <item t="data" sd="1" x="11"/>
        <item t="data" sd="1" x="18"/>
        <item t="data" sd="1" x="5"/>
        <item t="data" sd="1" x="4"/>
        <item t="data" sd="1" x="8"/>
        <item t="data" sd="1" m="1" x="272"/>
        <item t="data" sd="1" m="1" x="270"/>
        <item t="data" sd="1" x="6"/>
        <item t="data" sd="1" m="1" x="303"/>
        <item t="data" sd="1" x="19"/>
        <item t="data" sd="1" m="1" x="318"/>
        <item t="data" sd="1" m="1" x="267"/>
        <item t="data" sd="1" m="1" x="313"/>
        <item t="data" sd="1" m="1" x="277"/>
        <item t="data" sd="1" m="1" x="304"/>
        <item t="data" sd="1" x="1"/>
        <item t="data" sd="1" x="2"/>
        <item t="data" sd="1" m="1" x="287"/>
        <item t="data" sd="1" m="1" x="308"/>
        <item t="data" sd="1" m="1" x="312"/>
        <item t="data" sd="1" x="0"/>
        <item t="data" sd="1" x="12"/>
        <item t="data" sd="1" x="13"/>
        <item t="data" sd="1" x="14"/>
        <item t="data" sd="1" m="1" x="268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m="1" x="317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m="1" x="298"/>
        <item t="data" sd="1" m="1" x="309"/>
        <item t="data" sd="1" m="1" x="293"/>
        <item t="data" sd="1" m="1" x="297"/>
        <item t="data" sd="1" m="1" x="285"/>
        <item t="data" sd="1" m="1" x="271"/>
        <item t="data" sd="1" x="47"/>
        <item t="data" sd="1" x="48"/>
        <item t="data" sd="1" x="44"/>
        <item t="data" sd="1" x="43"/>
        <item t="data" sd="1" x="45"/>
        <item t="data" sd="1" m="1" x="302"/>
        <item t="data" sd="1" x="46"/>
        <item t="data" sd="1" m="1" x="292"/>
        <item t="data" sd="1" m="1" x="280"/>
        <item t="data" sd="1" x="50"/>
        <item t="data" sd="1" x="49"/>
        <item t="data" sd="1" x="52"/>
        <item t="data" sd="1" x="51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53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m="1" x="315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88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</pivotFields>
  <rowFields count="2">
    <field x="0"/>
    <field x="1"/>
  </rowFields>
  <rowItems count="9">
    <i t="data" r="0" i="0">
      <x v="549"/>
      <x v="4"/>
    </i>
    <i t="data" r="0" i="0">
      <x v="550"/>
      <x v="0"/>
    </i>
    <i t="data" r="0" i="0">
      <x v="551"/>
      <x v="1"/>
    </i>
    <i t="data" r="0" i="0">
      <x v="552"/>
      <x v="2"/>
    </i>
    <i t="data" r="0" i="0">
      <x v="553"/>
      <x v="5"/>
    </i>
    <i t="data" r="0" i="0">
      <x v="554"/>
      <x v="6"/>
    </i>
    <i t="data" r="0" i="0">
      <x v="555"/>
      <x v="7"/>
    </i>
    <i t="data" r="0" i="0">
      <x v="556"/>
      <x v="4"/>
    </i>
    <i t="grand" r="0" i="0">
      <x v="0"/>
    </i>
  </rowItems>
  <colFields count="2">
    <field x="3"/>
    <field x="5"/>
  </colFields>
  <colItems count="75">
    <i t="data" r="0" i="0">
      <x v="0"/>
      <x v="59"/>
    </i>
    <i t="data" r="0" i="0">
      <x v="1"/>
      <x v="59"/>
    </i>
    <i t="data" r="1" i="0">
      <x v="177"/>
    </i>
    <i t="data" r="1" i="0">
      <x v="178"/>
    </i>
    <i t="data" r="1" i="0">
      <x v="185"/>
    </i>
    <i t="data" r="1" i="0">
      <x v="192"/>
    </i>
    <i t="data" r="1" i="0">
      <x v="193"/>
    </i>
    <i t="data" r="1" i="0">
      <x v="195"/>
    </i>
    <i t="data" r="1" i="0">
      <x v="202"/>
    </i>
    <i t="data" r="1" i="0">
      <x v="217"/>
    </i>
    <i t="data" r="1" i="0">
      <x v="218"/>
    </i>
    <i t="data" r="1" i="0">
      <x v="272"/>
    </i>
    <i t="data" r="1" i="0">
      <x v="278"/>
    </i>
    <i t="data" r="1" i="0">
      <x v="279"/>
    </i>
    <i t="data" r="1" i="0">
      <x v="294"/>
    </i>
    <i t="data" r="1" i="0">
      <x v="304"/>
    </i>
    <i t="data" r="1" i="0">
      <x v="305"/>
    </i>
    <i t="data" r="1" i="0">
      <x v="310"/>
    </i>
    <i t="data" r="1" i="0">
      <x v="312"/>
    </i>
    <i t="data" r="1" i="0">
      <x v="313"/>
    </i>
    <i t="data" r="1" i="0">
      <x v="319"/>
    </i>
    <i t="data" r="1" i="0">
      <x v="320"/>
    </i>
    <i t="data" r="0" i="0">
      <x v="2"/>
      <x v="189"/>
    </i>
    <i t="data" r="1" i="0">
      <x v="219"/>
    </i>
    <i t="data" r="1" i="0">
      <x v="237"/>
    </i>
    <i t="data" r="0" i="0">
      <x v="4"/>
    </i>
    <i t="data" r="0" i="0">
      <x v="5"/>
      <x v="205"/>
    </i>
    <i t="data" r="1" i="0">
      <x v="206"/>
    </i>
    <i t="data" r="1" i="0">
      <x v="207"/>
    </i>
    <i t="data" r="0" i="0">
      <x v="7"/>
      <x v="211"/>
    </i>
    <i t="data" r="1" i="0">
      <x v="212"/>
    </i>
    <i t="data" r="1" i="0">
      <x v="213"/>
    </i>
    <i t="data" r="1" i="0">
      <x v="235"/>
    </i>
    <i t="data" r="0" i="0">
      <x v="9"/>
      <x v="196"/>
    </i>
    <i t="data" r="1" i="0">
      <x v="197"/>
    </i>
    <i t="data" r="1" i="0">
      <x v="198"/>
    </i>
    <i t="data" r="1" i="0">
      <x v="261"/>
    </i>
    <i t="data" r="1" i="0">
      <x v="295"/>
    </i>
    <i t="data" r="1" i="0">
      <x v="296"/>
    </i>
    <i t="data" r="1" i="0">
      <x v="297"/>
    </i>
    <i t="data" r="0" i="0">
      <x v="11"/>
      <x v="204"/>
    </i>
    <i t="data" r="0" i="0">
      <x v="14"/>
      <x v="183"/>
    </i>
    <i t="data" r="0" i="0">
      <x v="17"/>
      <x v="180"/>
    </i>
    <i t="data" r="1" i="0">
      <x v="181"/>
    </i>
    <i t="data" r="0" i="0">
      <x v="20"/>
      <x v="186"/>
    </i>
    <i t="data" r="1" i="0">
      <x v="187"/>
    </i>
    <i t="data" r="1" i="0">
      <x v="318"/>
    </i>
    <i t="data" r="0" i="0">
      <x v="21"/>
      <x v="156"/>
    </i>
    <i t="data" r="1" i="0">
      <x v="199"/>
    </i>
    <i t="data" r="1" i="0">
      <x v="200"/>
    </i>
    <i t="data" r="1" i="0">
      <x v="238"/>
    </i>
    <i t="data" r="1" i="0">
      <x v="240"/>
    </i>
    <i t="data" r="1" i="0">
      <x v="241"/>
    </i>
    <i t="data" r="1" i="0">
      <x v="243"/>
    </i>
    <i t="data" r="1" i="0">
      <x v="303"/>
    </i>
    <i t="data" r="1" i="0">
      <x v="307"/>
    </i>
    <i t="data" r="1" i="0">
      <x v="309"/>
    </i>
    <i t="data" r="0" i="0">
      <x v="22"/>
      <x v="201"/>
    </i>
    <i t="data" r="1" i="0">
      <x v="242"/>
    </i>
    <i t="data" r="1" i="0">
      <x v="274"/>
    </i>
    <i t="data" r="1" i="0">
      <x v="308"/>
    </i>
    <i t="data" r="1" i="0">
      <x v="314"/>
    </i>
    <i t="data" r="0" i="0">
      <x v="23"/>
      <x v="209"/>
    </i>
    <i t="data" r="1" i="0">
      <x v="210"/>
    </i>
    <i t="data" r="0" i="0">
      <x v="24"/>
      <x v="182"/>
    </i>
    <i t="data" r="1" i="0">
      <x v="188"/>
    </i>
    <i t="data" r="0" i="0">
      <x v="25"/>
      <x v="59"/>
    </i>
    <i t="data" r="0" i="0">
      <x v="30"/>
      <x v="59"/>
    </i>
    <i t="data" r="0" i="0">
      <x v="32"/>
      <x v="214"/>
    </i>
    <i t="data" r="1" i="0">
      <x v="224"/>
    </i>
    <i t="data" r="0" i="0">
      <x v="33"/>
      <x v="190"/>
    </i>
    <i t="data" r="1" i="0">
      <x v="191"/>
    </i>
    <i t="data" r="1" i="0">
      <x v="230"/>
    </i>
    <i t="data" r="0" i="0">
      <x v="39"/>
      <x v="59"/>
    </i>
    <i t="grand" r="0" i="0">
      <x v="0"/>
    </i>
  </colItems>
  <pageFields count="1">
    <pageField fld="4" hier="-1"/>
  </pageFields>
  <dataFields count="1">
    <dataField name="합계 : 판매액" fld="11" subtotal="sum" showDataAs="normal" baseField="0" baseItem="0" numFmtId="187"/>
  </dataFields>
  <formats count="1">
    <format action="formatting" dxfId="1">
      <pivotArea type="normal" dataOnly="1" outline="0" collapsedLevelsAreSubtotals="1" fieldPosition="0"/>
    </format>
  </formats>
  <chartFormats count="9">
    <chartFormat chart="12" format="15" series="1">
      <pivotArea type="data" dataOnly="1" outline="0" fieldPosition="0">
        <references count="1">
          <reference field="3" selected="0">
            <x v="1"/>
          </reference>
        </references>
      </pivotArea>
    </chartFormat>
    <chartFormat chart="12" format="16" series="1">
      <pivotArea type="data" dataOnly="1" outline="0" fieldPosition="0">
        <references count="2">
          <reference field="4294967294" selected="0">
            <x v="0"/>
          </reference>
          <reference field="3" selected="0">
            <x v="1"/>
          </reference>
        </references>
      </pivotArea>
    </chartFormat>
    <chartFormat chart="12" format="17" series="1">
      <pivotArea type="data" dataOnly="1" outline="0" fieldPosition="0">
        <references count="2">
          <reference field="4294967294" selected="0">
            <x v="0"/>
          </reference>
          <reference field="3" selected="0">
            <x v="2"/>
          </reference>
        </references>
      </pivotArea>
    </chartFormat>
    <chartFormat chart="12" format="18" series="1">
      <pivotArea type="data" dataOnly="1" outline="0" fieldPosition="0">
        <references count="2">
          <reference field="4294967294" selected="0">
            <x v="0"/>
          </reference>
          <reference field="3" selected="0">
            <x v="4"/>
          </reference>
        </references>
      </pivotArea>
    </chartFormat>
    <chartFormat chart="12" format="19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1"/>
          </reference>
        </references>
      </pivotArea>
    </chartFormat>
    <chartFormat chart="12" format="20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2"/>
          </reference>
        </references>
      </pivotArea>
    </chartFormat>
    <chartFormat chart="12" format="21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3"/>
          </reference>
        </references>
      </pivotArea>
    </chartFormat>
    <chartFormat chart="12" format="22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4"/>
          </reference>
        </references>
      </pivotArea>
    </chartFormat>
    <chartFormat chart="12" format="23" series="1">
      <pivotArea type="data" dataOnly="1" outline="0" fieldPosition="0">
        <references count="3">
          <reference field="4294967294" selected="0">
            <x v="0"/>
          </reference>
          <reference field="3" selected="0">
            <x v="1"/>
          </reference>
          <reference field="5" selected="0">
            <x v="48"/>
          </reference>
        </references>
      </pivotArea>
    </chartFormat>
  </chartFormats>
  <pivotTableStyleInfo name="PivotStyleLight8" showRowHeaders="1" showColHeaders="1" showRowStripes="0" showColStripes="0" showLastColumn="1"/>
  <filters count="1">
    <filter fld="0" type="thisMonth" evalOrder="-1" id="10">
      <autoFilter ref="A1">
        <filterColumn colId="0">
          <dynamicFilter type="thisMonth" val="44228" maxVal="44256"/>
        </filterColumn>
      </autoFilter>
    </filter>
  </filters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피벗 테이블2" cacheId="46" dataOnRows="0" dataCaption="값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0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4:B36" firstHeaderRow="1" firstDataRow="1" firstDataCol="1"/>
  <pivotFields count="15">
    <pivotField axis="axisRow" showDropDowns="1" compact="0" numFmtId="188" outline="0" subtotalTop="1" dragToRow="1" dragToCol="1" dragToPage="1" dragToData="1" dragOff="1" showAll="0" topAutoShow="1" itemPageCount="10" sortType="manual" defaultSubtotal="1">
      <items count="505">
        <item t="data" sd="1" x="498"/>
        <item t="data" sd="1" x="499"/>
        <item t="data" sd="1" x="500"/>
        <item t="data" sd="1" x="501"/>
        <item t="data" sd="1" x="502"/>
        <item t="data" sd="1" x="25"/>
        <item t="data" sd="1" x="26"/>
        <item t="data" sd="1" x="27"/>
        <item t="data" sd="1" x="28"/>
        <item t="data" sd="1" x="29"/>
        <item t="data" sd="1" x="30"/>
        <item t="data" sd="1" x="4"/>
        <item t="data" sd="1" x="5"/>
        <item t="data" sd="1" x="6"/>
        <item t="data" sd="1" x="31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0"/>
        <item t="data" sd="1" x="20"/>
        <item t="data" sd="1" x="21"/>
        <item t="data" sd="1" x="22"/>
        <item t="data" sd="1" x="23"/>
        <item t="data" sd="1" x="24"/>
        <item t="data" sd="1" x="1"/>
        <item t="data" sd="1" x="2"/>
        <item t="data" sd="1" x="3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44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7"/>
        <item t="data" sd="1" x="318"/>
        <item t="data" sd="1" x="315"/>
        <item t="data" sd="1" x="316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36"/>
        <item t="data" sd="1" x="337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245"/>
        <item t="data" sd="1" x="334"/>
        <item t="data" sd="1" x="335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97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m="1" x="503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multipleItemSelectionAllowed="1" dragToPage="1" dragToData="1" dragOff="1" showAll="0" topAutoShow="1" itemPageCount="10" sortType="manual" defaultSubtotal="1"/>
    <pivotField showDropDowns="1" compact="0" outline="0" subtotalTop="1" dragToRow="1" dragToCol="1" multipleItemSelectionAllowed="1" dragToPage="1" dragToData="1" dragOff="1" showAll="0" topAutoShow="1" itemPageCount="10" sortType="descending" defaultSubtotal="1">
      <autoSortScope>
        <pivotArea type="normal" dataOnly="0" outline="0" fieldPosition="0">
          <references count="1">
            <reference field="4294967294" selected="0">
              <x v="0"/>
            </reference>
          </references>
        </pivotArea>
      </autoSortScope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</pivotFields>
  <rowFields count="1">
    <field x="0"/>
  </rowFields>
  <rowItems count="32">
    <i t="data" r="0" i="0">
      <x v="310"/>
    </i>
    <i t="data" r="0" i="0">
      <x v="311"/>
    </i>
    <i t="data" r="0" i="0">
      <x v="312"/>
    </i>
    <i t="data" r="0" i="0">
      <x v="313"/>
    </i>
    <i t="data" r="0" i="0">
      <x v="314"/>
    </i>
    <i t="data" r="0" i="0">
      <x v="315"/>
    </i>
    <i t="data" r="0" i="0">
      <x v="316"/>
    </i>
    <i t="data" r="0" i="0">
      <x v="317"/>
    </i>
    <i t="data" r="0" i="0">
      <x v="318"/>
    </i>
    <i t="data" r="0" i="0">
      <x v="319"/>
    </i>
    <i t="data" r="0" i="0">
      <x v="320"/>
    </i>
    <i t="data" r="0" i="0">
      <x v="321"/>
    </i>
    <i t="data" r="0" i="0">
      <x v="322"/>
    </i>
    <i t="data" r="0" i="0">
      <x v="323"/>
    </i>
    <i t="data" r="0" i="0">
      <x v="324"/>
    </i>
    <i t="data" r="0" i="0">
      <x v="325"/>
    </i>
    <i t="data" r="0" i="0">
      <x v="326"/>
    </i>
    <i t="data" r="0" i="0">
      <x v="327"/>
    </i>
    <i t="data" r="0" i="0">
      <x v="328"/>
    </i>
    <i t="data" r="0" i="0">
      <x v="329"/>
    </i>
    <i t="data" r="0" i="0">
      <x v="330"/>
    </i>
    <i t="data" r="0" i="0">
      <x v="331"/>
    </i>
    <i t="data" r="0" i="0">
      <x v="332"/>
    </i>
    <i t="data" r="0" i="0">
      <x v="333"/>
    </i>
    <i t="data" r="0" i="0">
      <x v="334"/>
    </i>
    <i t="data" r="0" i="0">
      <x v="335"/>
    </i>
    <i t="data" r="0" i="0">
      <x v="336"/>
    </i>
    <i t="data" r="0" i="0">
      <x v="337"/>
    </i>
    <i t="data" r="0" i="0">
      <x v="338"/>
    </i>
    <i t="data" r="0" i="0">
      <x v="339"/>
    </i>
    <i t="data" r="0" i="0">
      <x v="340"/>
    </i>
    <i t="grand" r="0" i="0">
      <x v="0"/>
    </i>
  </rowItems>
  <colItems count="1">
    <i t="data" r="0" i="0"/>
  </colItems>
  <dataFields count="1">
    <dataField name="합계 : 판매액" fld="11" subtotal="sum" showDataAs="normal" baseField="0" baseItem="0"/>
  </dataFields>
  <formats count="1">
    <format action="formatting" dxfId="0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dateBetween" evalOrder="-1" id="223" name="일자">
      <autoFilter ref="A1">
        <filterColumn colId="0">
          <customFilters and="1">
            <customFilter operator="greaterThanOrEqual" val="44044"/>
            <customFilter operator="lessThanOrEqual" val="44074"/>
          </customFilters>
        </filterColumn>
      </autoFilter>
    </filter>
  </filters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2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tabColor theme="1"/>
    <outlinePr summaryBelow="1" summaryRight="1"/>
    <pageSetUpPr/>
  </sheetPr>
  <dimension ref="B1:BZ14"/>
  <sheetViews>
    <sheetView showGridLines="0" topLeftCell="J1" zoomScale="70" zoomScaleNormal="70" workbookViewId="0">
      <selection activeCell="D18" sqref="D18"/>
    </sheetView>
  </sheetViews>
  <sheetFormatPr baseColWidth="8" defaultColWidth="9" defaultRowHeight="17.4"/>
  <cols>
    <col width="1.59765625" customWidth="1" style="94" min="1" max="1"/>
    <col width="18.09765625" bestFit="1" customWidth="1" style="94" min="2" max="2"/>
    <col width="13.3984375" bestFit="1" customWidth="1" style="94" min="3" max="3"/>
    <col width="83.3984375" bestFit="1" customWidth="1" style="94" min="4" max="28"/>
    <col width="12.19921875" bestFit="1" customWidth="1" style="94" min="29" max="29"/>
    <col width="107.796875" bestFit="1" customWidth="1" style="94" min="30" max="77"/>
    <col width="14.796875" bestFit="1" customWidth="1" style="94" min="78" max="78"/>
    <col width="132.5" bestFit="1" customWidth="1" style="94" min="79" max="130"/>
    <col width="14.796875" bestFit="1" customWidth="1" style="94" min="131" max="131"/>
    <col width="9" customWidth="1" style="94" min="132" max="132"/>
    <col width="9" customWidth="1" style="94" min="133" max="16384"/>
  </cols>
  <sheetData>
    <row r="1">
      <c r="B1" s="1" t="inlineStr">
        <is>
          <t>채널</t>
        </is>
      </c>
      <c r="C1" s="94" t="inlineStr">
        <is>
          <t>(다중 항목)</t>
        </is>
      </c>
    </row>
    <row r="2">
      <c r="H2" s="3" t="n"/>
      <c r="I2" s="3" t="inlineStr">
        <is>
          <t>▼토너 합계</t>
        </is>
      </c>
    </row>
    <row r="3">
      <c r="B3" s="1" t="inlineStr">
        <is>
          <t>합계 : 판매액</t>
        </is>
      </c>
      <c r="D3" s="1" t="inlineStr">
        <is>
          <t>상품1</t>
        </is>
      </c>
      <c r="E3" s="1" t="inlineStr">
        <is>
          <t>상품2</t>
        </is>
      </c>
    </row>
    <row r="4">
      <c r="D4" s="94" t="inlineStr">
        <is>
          <t>(비어 있음)</t>
        </is>
      </c>
      <c r="E4" s="94" t="inlineStr">
        <is>
          <t>토너</t>
        </is>
      </c>
      <c r="Z4" s="94" t="inlineStr">
        <is>
          <t>머드크림마스크</t>
        </is>
      </c>
      <c r="AC4" s="94" t="inlineStr">
        <is>
          <t>화장솜</t>
        </is>
      </c>
      <c r="AD4" s="94" t="inlineStr">
        <is>
          <t>앰플</t>
        </is>
      </c>
      <c r="AG4" s="94" t="inlineStr">
        <is>
          <t>클렌징폼</t>
        </is>
      </c>
      <c r="AK4" s="94" t="inlineStr">
        <is>
          <t>마스크팩</t>
        </is>
      </c>
      <c r="AR4" s="94" t="inlineStr">
        <is>
          <t>수딩크림</t>
        </is>
      </c>
      <c r="AS4" s="94" t="inlineStr">
        <is>
          <t>어성초진정패키지</t>
        </is>
      </c>
      <c r="AT4" s="94" t="inlineStr">
        <is>
          <t>선크림</t>
        </is>
      </c>
      <c r="AV4" s="94" t="inlineStr">
        <is>
          <t>로션</t>
        </is>
      </c>
      <c r="AY4" s="94" t="inlineStr">
        <is>
          <t>클리어 패드</t>
        </is>
      </c>
      <c r="BI4" s="94" t="inlineStr">
        <is>
          <t>토너+패드 세트</t>
        </is>
      </c>
      <c r="BN4" s="94" t="inlineStr">
        <is>
          <t>바디워시</t>
        </is>
      </c>
      <c r="BP4" s="94" t="inlineStr">
        <is>
          <t>수분 보충 세트</t>
        </is>
      </c>
      <c r="BR4" s="94" t="inlineStr">
        <is>
          <t>토너패드</t>
        </is>
      </c>
      <c r="BS4" s="94" t="inlineStr">
        <is>
          <t>랄라블라</t>
        </is>
      </c>
      <c r="BT4" s="94" t="inlineStr">
        <is>
          <t>크림마스크</t>
        </is>
      </c>
      <c r="BV4" s="94" t="inlineStr">
        <is>
          <t>카밍크림</t>
        </is>
      </c>
      <c r="BY4" s="94" t="inlineStr">
        <is>
          <t>패드</t>
        </is>
      </c>
      <c r="BZ4" s="94" t="inlineStr">
        <is>
          <t>총합계</t>
        </is>
      </c>
    </row>
    <row r="5">
      <c r="B5" s="1" t="inlineStr">
        <is>
          <t>일자</t>
        </is>
      </c>
      <c r="C5" s="1" t="inlineStr">
        <is>
          <t>요일</t>
        </is>
      </c>
      <c r="D5" s="94" t="inlineStr">
        <is>
          <t>(비어 있음)</t>
        </is>
      </c>
      <c r="E5" s="94" t="inlineStr">
        <is>
          <t>(비어 있음)</t>
        </is>
      </c>
      <c r="F5" s="94" t="inlineStr">
        <is>
          <t>어성초 77토너 (2 SET) HEARTLEAF 77% SOOTHING TONER 250ml250ml 2set</t>
        </is>
      </c>
      <c r="G5" s="94" t="inlineStr">
        <is>
          <t>어성초 77토너 HEARTLEAF 77% SOOTHING TONER 250ml250ml</t>
        </is>
      </c>
      <c r="H5" s="94" t="inlineStr">
        <is>
          <t>대용량 어성초 77 토너 500ml</t>
        </is>
      </c>
      <c r="I5" s="94" t="inlineStr">
        <is>
          <t>어성초 77 수딩 토너토너(필수)=어성초 77 토너 1개-20% off</t>
        </is>
      </c>
      <c r="J5" s="94" t="inlineStr">
        <is>
          <t>어성초 77 수딩 토너토너(필수)=어성초 77 토너 2개-30% off (무료배송)</t>
        </is>
      </c>
      <c r="K5" s="94" t="inlineStr">
        <is>
          <t>어성초 77 수딩 토너토너(필수)=(대용량) 어성초 77 토너 500ml (무료배송)</t>
        </is>
      </c>
      <c r="L5" s="94" t="inlineStr">
        <is>
          <t>어성초 77 토너</t>
        </is>
      </c>
      <c r="M5" s="94" t="inlineStr">
        <is>
          <t>아누아 어성초 77 토너 250ml</t>
        </is>
      </c>
      <c r="N5" s="94" t="inlineStr">
        <is>
          <t>어성초 77 토너 250ml</t>
        </is>
      </c>
      <c r="O5" s="94" t="inlineStr">
        <is>
          <t>어성초 77 수딩 토너옵션=어성초 77 토너 1개-20% off</t>
        </is>
      </c>
      <c r="P5" s="94" t="inlineStr">
        <is>
          <t>대용량 어성초 77 수딩 토너 500ml옵션=대용량 어성초 77 토너 1개 - 27% OFF</t>
        </is>
      </c>
      <c r="Q5" s="94" t="inlineStr">
        <is>
          <t>대용량 어성초 77 수딩 토너 500ml화장솜(선택)=촉촉 스킨팩 화장솜</t>
        </is>
      </c>
      <c r="R5" s="94" t="inlineStr">
        <is>
          <t>어성초 77 수딩 토너옵션=BEST어성초 77 토너 2개-30% off (무료배송)</t>
        </is>
      </c>
      <c r="S5" s="94" t="inlineStr">
        <is>
          <t>어성초 77% 수딩 토너토너(필수)=어성초 77 토너 1개-20% off</t>
        </is>
      </c>
      <c r="T5" s="94" t="inlineStr">
        <is>
          <t>어성초 77% 수딩 토너토너(필수)=어성초 77 토너 2개-30% off (무료배송)</t>
        </is>
      </c>
      <c r="U5" s="94" t="inlineStr">
        <is>
          <t>어성초 77 토너 350ml</t>
        </is>
      </c>
      <c r="V5" s="94" t="inlineStr">
        <is>
          <t>어성초 77 진정 토너옵션=어성초 77 토너 1개-20% off</t>
        </is>
      </c>
      <c r="W5" s="94" t="inlineStr">
        <is>
          <t>어성초 77 진정 토너옵션=BEST어성초 77 토너 2개-30% off (무료배송)</t>
        </is>
      </c>
      <c r="X5" s="94" t="inlineStr">
        <is>
          <t>대용량 어성초 77 토너 500ml옵션=대용량 어성초 77 토너 1개 - 27% OFF</t>
        </is>
      </c>
      <c r="Y5" s="94" t="inlineStr">
        <is>
          <t>대용량 어성초 77 토너 500ml화장솜(선택)=촉촉 스킨팩 화장솜</t>
        </is>
      </c>
      <c r="Z5" s="94" t="inlineStr">
        <is>
          <t>어성초 70 머드 크림 마스크옵션=어성초 70 머드 크림 마스크-20% off</t>
        </is>
      </c>
      <c r="AA5" s="94" t="inlineStr">
        <is>
          <t>어성초 70 머드 크림 마스크옵션=어성초 70 머드 크림 마스크 2개-30% off (무료배송)</t>
        </is>
      </c>
      <c r="AB5" s="94" t="inlineStr">
        <is>
          <t>어성초 70 머드 크림 마스크</t>
        </is>
      </c>
      <c r="AD5" s="94" t="inlineStr">
        <is>
          <t>어성초 80 수분 진정 앰플앰플=어성초 80 앰플 1개-15%off</t>
        </is>
      </c>
      <c r="AE5" s="94" t="inlineStr">
        <is>
          <t>어성초 80 수분 진정 앰플앰플=어성초 80 앰플 2개-27%off (무료배송)</t>
        </is>
      </c>
      <c r="AF5" s="94" t="inlineStr">
        <is>
          <t>어성초 80 수분 진정 앰플</t>
        </is>
      </c>
      <c r="AG5" s="94" t="inlineStr">
        <is>
          <t>어성초 약산성 클렌징폼클렌징폼=어성초 약산성 클렌징폼 1개 -19%off</t>
        </is>
      </c>
      <c r="AH5" s="94" t="inlineStr">
        <is>
          <t>어성초 약산성 클렌징폼클렌징폼=어성초 약산성 클렌징폼 2개 -25%off</t>
        </is>
      </c>
      <c r="AI5" s="94" t="inlineStr">
        <is>
          <t>어성초 약산성 클렌징폼클렌징폼=어성초 약산성 클렌징폼 3개 -31%off (무료배송)</t>
        </is>
      </c>
      <c r="AJ5" s="94" t="inlineStr">
        <is>
          <t>어성초 약산성 클렌징폼</t>
        </is>
      </c>
      <c r="AK5" s="94" t="inlineStr">
        <is>
          <t>어성초 77 진정 마스크옵션=어성초 77 진정 마스크팩 1장</t>
        </is>
      </c>
      <c r="AL5" s="94" t="inlineStr">
        <is>
          <t>어성초 77 진정 마스크옵션=어성초 77 진정 마스크팩 10장-50% off</t>
        </is>
      </c>
      <c r="AM5" s="94" t="inlineStr">
        <is>
          <t>어성초 77 진정 마스크</t>
        </is>
      </c>
      <c r="AN5" s="94" t="inlineStr">
        <is>
          <t>청귤 비타 잡티 마스크옵션=청귤 비타 잡티 마스크 1장</t>
        </is>
      </c>
      <c r="AO5" s="94" t="inlineStr">
        <is>
          <t>청귤 비타 잡티 마스크옵션=청귤 비타 잡티 마스크 10장 (50% off)</t>
        </is>
      </c>
      <c r="AP5" s="94" t="inlineStr">
        <is>
          <t>자작나무 수분 마스크옵션=자작나무 수분 마스크 10장 (50% off)</t>
        </is>
      </c>
      <c r="AQ5" s="94" t="inlineStr">
        <is>
          <t>자작나무 수분 마스크옵션=자작나무 수분 마스크 1장</t>
        </is>
      </c>
      <c r="AR5" s="94" t="inlineStr">
        <is>
          <t>어성초 78 수딩 크림</t>
        </is>
      </c>
      <c r="AS5" s="94" t="inlineStr">
        <is>
          <t>[어성초 진정 패키지 세트] 대용량 토너 + 앰플 + 수딩 크림 + 마스크팩 10장</t>
        </is>
      </c>
      <c r="AT5" s="94" t="inlineStr">
        <is>
          <t>5 제로 무기자차 선크림옵션=5제로 무기자차 선크림 1개-20% off</t>
        </is>
      </c>
      <c r="AU5" s="94" t="inlineStr">
        <is>
          <t>5 제로 무기자차 선크림옵션=5제로 무기자차 선크림 2개-30% off (무료배송)</t>
        </is>
      </c>
      <c r="AV5" s="94" t="inlineStr">
        <is>
          <t>어성초 70 데일리 릴리프 로션로션=어성초 70 데일리 릴리프 로션 1개 -20% off</t>
        </is>
      </c>
      <c r="AW5" s="94" t="inlineStr">
        <is>
          <t>어성초 70 데일리 릴리프 로션로션=어성초 70 데일리 릴리프 로션 2개 -30% off</t>
        </is>
      </c>
      <c r="AX5" s="94" t="inlineStr">
        <is>
          <t>어성초 70 로션 200ml</t>
        </is>
      </c>
      <c r="AY5" s="94" t="inlineStr">
        <is>
          <t>어성초 클리어패드 70P</t>
        </is>
      </c>
      <c r="AZ5" s="94" t="inlineStr">
        <is>
          <t>어성초 77 클리어 패드옵션=어성초 77 클리어 패드 1개-20% off</t>
        </is>
      </c>
      <c r="BA5" s="94" t="inlineStr">
        <is>
          <t>어성초 77 클리어 패드옵션=어성초 77 클리어 패드 2개-30% off (무료배송)</t>
        </is>
      </c>
      <c r="BB5" s="94" t="inlineStr">
        <is>
          <t>어성초 77 포어 클리어 패드옵션=어성초 77 클리어 패드 2개-30% off (무료배송)</t>
        </is>
      </c>
      <c r="BC5" s="94" t="inlineStr">
        <is>
          <t>어성초 77% 패드옵션=어성초 77 클리어 패드 1개-20% off</t>
        </is>
      </c>
      <c r="BD5" s="94" t="inlineStr">
        <is>
          <t>어성초 77% 패드옵션=어성초 77 클리어 패드 2개-30% off (무료배송)</t>
        </is>
      </c>
      <c r="BE5" s="94" t="inlineStr">
        <is>
          <t>어성초 77 포어 클리어 패드옵션=어성초 77 클리어 패드 1개-20% off</t>
        </is>
      </c>
      <c r="BF5" s="94" t="inlineStr">
        <is>
          <t>어성초 77 클리어 패드옵션=어성초 77 클리어 패드 2+1 EVENT (무료배송)</t>
        </is>
      </c>
      <c r="BG5" s="94" t="inlineStr">
        <is>
          <t>어성초 77 포어 클리어 패드옵션=어성초 77 클리어 패드 2+1 EVENT (무료배송)</t>
        </is>
      </c>
      <c r="BH5" s="94" t="inlineStr">
        <is>
          <t>어성초 77% 패드옵션=어성초 77 클리어 패드 2+1 EVENT (무료배송)</t>
        </is>
      </c>
      <c r="BI5" s="94" t="inlineStr">
        <is>
          <t>어성초 77 클리어 패드옵션=어성초77토너1개+어성초77패드1개-30% off (무료배송)</t>
        </is>
      </c>
      <c r="BJ5" s="94" t="inlineStr">
        <is>
          <t>어성초 77% 패드옵션=어성초77토너1개+어성초77패드1개-30% off (무료배송)</t>
        </is>
      </c>
      <c r="BK5" s="94" t="inlineStr">
        <is>
          <t>어성초 77 수딩 토너옵션=어성초 77토너1개 + 어성초77패드1개 -30% off (무료배송)</t>
        </is>
      </c>
      <c r="BL5" s="94" t="inlineStr">
        <is>
          <t>어성초 77% 수딩 토너토너(필수)=어성초77토너1개 + 어성초77패드1개 -30% off (무료배송)</t>
        </is>
      </c>
      <c r="BM5" s="94" t="inlineStr">
        <is>
          <t>어성초 77 진정 토너옵션=어성초 77토너1개 + 어성초77패드1개 -30% off (무료배송)</t>
        </is>
      </c>
      <c r="BN5" s="94" t="inlineStr">
        <is>
          <t>어성초 아크네 바디워시옵션=어성초 아크네 바디워시 1개 -30% off</t>
        </is>
      </c>
      <c r="BO5" s="94" t="inlineStr">
        <is>
          <t>어성초 아크네 바디워시옵션=어성초 아크네 바디워시 2개 -35% off (무료배송)</t>
        </is>
      </c>
      <c r="BP5" s="94" t="inlineStr">
        <is>
          <t>[수분 보충 세트] 어성초 77 토너 + 어성초 70 로션옵션=어성초 77 토너 250ml + 어성초 70 로션 200ml -30%</t>
        </is>
      </c>
      <c r="BQ5" s="94" t="inlineStr">
        <is>
          <t>어성초 70 데일리 릴리프 로션로션=어성초 77토너 + 어성초 70 로션 수분 보충 세트 -30% off</t>
        </is>
      </c>
      <c r="BR5" s="94" t="inlineStr">
        <is>
          <t>(비어 있음)</t>
        </is>
      </c>
      <c r="BS5" s="94" t="inlineStr">
        <is>
          <t>(비어 있음)</t>
        </is>
      </c>
      <c r="BT5" s="94" t="inlineStr">
        <is>
          <t>어성초 크림마스크 나이트 솔루션옵션=어성초 크림마스크 나이트 솔루션 10장 (-50%)</t>
        </is>
      </c>
      <c r="BU5" s="94" t="inlineStr">
        <is>
          <t>어성초 크림마스크 나이트 솔루션옵션=어성초 크림마스크 나이트 솔루션 1장</t>
        </is>
      </c>
      <c r="BV5" s="94" t="inlineStr">
        <is>
          <t>어성초 70 인텐스 카밍 크림크림=어성초 70 인텐스 카밍 크림 1개 (-20%)</t>
        </is>
      </c>
      <c r="BW5" s="94" t="inlineStr">
        <is>
          <t>어성초 70 인텐스 카밍 크림크림=어성초 토너 250ml + 카밍 크림 50ml (-30%)</t>
        </is>
      </c>
      <c r="BX5" s="94" t="inlineStr">
        <is>
          <t>어성초 70 인텐스 카밍 크림크림=어성초 70 인텐스 카밍 크림 2개 (-30%)</t>
        </is>
      </c>
      <c r="BY5" s="94" t="inlineStr">
        <is>
          <t>(비어 있음)</t>
        </is>
      </c>
    </row>
    <row r="6">
      <c r="B6" s="96" t="n">
        <v>44228</v>
      </c>
      <c r="C6" s="94" t="inlineStr">
        <is>
          <t>월</t>
        </is>
      </c>
      <c r="D6" s="127" t="n"/>
      <c r="E6" s="127" t="n"/>
      <c r="F6" s="127" t="n">
        <v>420000</v>
      </c>
      <c r="G6" s="127" t="n">
        <v>80000</v>
      </c>
      <c r="H6" s="127" t="n">
        <v>66000</v>
      </c>
      <c r="I6" s="127" t="n">
        <v>40000</v>
      </c>
      <c r="J6" s="127" t="n"/>
      <c r="K6" s="127" t="n"/>
      <c r="L6" s="127" t="n">
        <v>120000</v>
      </c>
      <c r="M6" s="127" t="n">
        <v>60000</v>
      </c>
      <c r="N6" s="127" t="n">
        <v>0</v>
      </c>
      <c r="O6" s="127" t="n">
        <v>2420000</v>
      </c>
      <c r="P6" s="127" t="n">
        <v>2310000</v>
      </c>
      <c r="Q6" s="127" t="n">
        <v>570000</v>
      </c>
      <c r="R6" s="127" t="n">
        <v>3535000</v>
      </c>
      <c r="S6" s="127" t="n">
        <v>60000</v>
      </c>
      <c r="T6" s="127" t="n">
        <v>35000</v>
      </c>
      <c r="U6" s="127" t="n">
        <v>0</v>
      </c>
      <c r="V6" s="127" t="n"/>
      <c r="W6" s="127" t="n"/>
      <c r="X6" s="127" t="n"/>
      <c r="Y6" s="127" t="n"/>
      <c r="Z6" s="127" t="n">
        <v>980000</v>
      </c>
      <c r="AA6" s="127" t="n">
        <v>1820000</v>
      </c>
      <c r="AB6" s="127" t="n">
        <v>17500</v>
      </c>
      <c r="AC6" s="127" t="n">
        <v>408000</v>
      </c>
      <c r="AD6" s="127" t="n">
        <v>1176000</v>
      </c>
      <c r="AE6" s="127" t="n">
        <v>528000</v>
      </c>
      <c r="AF6" s="127" t="n">
        <v>280000</v>
      </c>
      <c r="AG6" s="127" t="n">
        <v>338000</v>
      </c>
      <c r="AH6" s="127" t="n">
        <v>216000</v>
      </c>
      <c r="AI6" s="127" t="n">
        <v>264000</v>
      </c>
      <c r="AJ6" s="127" t="n">
        <v>26000</v>
      </c>
      <c r="AK6" s="127" t="n">
        <v>8000</v>
      </c>
      <c r="AL6" s="127" t="n">
        <v>360000</v>
      </c>
      <c r="AM6" s="127" t="n">
        <v>32000</v>
      </c>
      <c r="AN6" s="127" t="n">
        <v>4000</v>
      </c>
      <c r="AO6" s="127" t="n">
        <v>80000</v>
      </c>
      <c r="AP6" s="127" t="n">
        <v>80000</v>
      </c>
      <c r="AQ6" s="127" t="n"/>
      <c r="AR6" s="127" t="n">
        <v>836000</v>
      </c>
      <c r="AS6" s="127" t="n">
        <v>495000</v>
      </c>
      <c r="AT6" s="127" t="n">
        <v>160000</v>
      </c>
      <c r="AU6" s="127" t="n">
        <v>70000</v>
      </c>
      <c r="AV6" s="127" t="n">
        <v>403200</v>
      </c>
      <c r="AW6" s="127" t="n">
        <v>235200</v>
      </c>
      <c r="AX6" s="127" t="n"/>
      <c r="AY6" s="127" t="n">
        <v>0</v>
      </c>
      <c r="AZ6" s="127" t="n">
        <v>1612800</v>
      </c>
      <c r="BA6" s="127" t="n">
        <v>3057600</v>
      </c>
      <c r="BB6" s="127" t="n">
        <v>39200</v>
      </c>
      <c r="BC6" s="127" t="n">
        <v>918400</v>
      </c>
      <c r="BD6" s="127" t="n">
        <v>2077600</v>
      </c>
      <c r="BE6" s="127" t="n">
        <v>22400</v>
      </c>
      <c r="BF6" s="127" t="n">
        <v>2402400</v>
      </c>
      <c r="BG6" s="127" t="n">
        <v>54600</v>
      </c>
      <c r="BH6" s="127" t="n">
        <v>1474200</v>
      </c>
      <c r="BI6" s="127" t="n">
        <v>853300</v>
      </c>
      <c r="BJ6" s="127" t="n">
        <v>593600</v>
      </c>
      <c r="BK6" s="127" t="n">
        <v>1743700</v>
      </c>
      <c r="BL6" s="127" t="n"/>
      <c r="BM6" s="127" t="n"/>
      <c r="BN6" s="127" t="n">
        <v>109200</v>
      </c>
      <c r="BO6" s="127" t="n">
        <v>101400</v>
      </c>
      <c r="BP6" s="127" t="n">
        <v>3784200</v>
      </c>
      <c r="BQ6" s="127" t="n">
        <v>148400</v>
      </c>
      <c r="BR6" s="127" t="n"/>
      <c r="BS6" s="127" t="n"/>
      <c r="BT6" s="127" t="n">
        <v>80000</v>
      </c>
      <c r="BU6" s="127" t="n">
        <v>8000</v>
      </c>
      <c r="BV6" s="127" t="n">
        <v>364000</v>
      </c>
      <c r="BW6" s="127" t="n">
        <v>42000</v>
      </c>
      <c r="BX6" s="127" t="n">
        <v>49000</v>
      </c>
      <c r="BY6" s="127" t="n"/>
      <c r="BZ6" s="127" t="n">
        <v>38068900</v>
      </c>
    </row>
    <row r="7">
      <c r="B7" s="96" t="n">
        <v>44229</v>
      </c>
      <c r="C7" s="94" t="inlineStr">
        <is>
          <t>화</t>
        </is>
      </c>
      <c r="D7" s="127" t="n"/>
      <c r="E7" s="127" t="n"/>
      <c r="F7" s="127" t="n">
        <v>105000</v>
      </c>
      <c r="G7" s="127" t="n">
        <v>20000</v>
      </c>
      <c r="H7" s="127" t="n"/>
      <c r="I7" s="127" t="n">
        <v>20000</v>
      </c>
      <c r="J7" s="127" t="n">
        <v>35000</v>
      </c>
      <c r="K7" s="127" t="n">
        <v>33000</v>
      </c>
      <c r="L7" s="127" t="n">
        <v>40000</v>
      </c>
      <c r="M7" s="127" t="n">
        <v>20000</v>
      </c>
      <c r="N7" s="127" t="n"/>
      <c r="O7" s="127" t="n">
        <v>1000000</v>
      </c>
      <c r="P7" s="127" t="n">
        <v>1188000</v>
      </c>
      <c r="Q7" s="127" t="n">
        <v>380000</v>
      </c>
      <c r="R7" s="127" t="n">
        <v>1610000</v>
      </c>
      <c r="S7" s="127" t="n"/>
      <c r="T7" s="127" t="n"/>
      <c r="U7" s="127" t="n">
        <v>0</v>
      </c>
      <c r="V7" s="127" t="n">
        <v>620000</v>
      </c>
      <c r="W7" s="127" t="n">
        <v>1400000</v>
      </c>
      <c r="X7" s="127" t="n"/>
      <c r="Y7" s="127" t="n"/>
      <c r="Z7" s="127" t="n">
        <v>500000</v>
      </c>
      <c r="AA7" s="127" t="n">
        <v>595000</v>
      </c>
      <c r="AB7" s="127" t="n"/>
      <c r="AC7" s="127" t="n">
        <v>279000</v>
      </c>
      <c r="AD7" s="127" t="n">
        <v>756000</v>
      </c>
      <c r="AE7" s="127" t="n">
        <v>240000</v>
      </c>
      <c r="AF7" s="127" t="n">
        <v>168000</v>
      </c>
      <c r="AG7" s="127" t="n">
        <v>299000</v>
      </c>
      <c r="AH7" s="127" t="n">
        <v>192000</v>
      </c>
      <c r="AI7" s="127" t="n">
        <v>165000</v>
      </c>
      <c r="AJ7" s="127" t="n">
        <v>26000</v>
      </c>
      <c r="AK7" s="127" t="n"/>
      <c r="AL7" s="127" t="n">
        <v>180000</v>
      </c>
      <c r="AM7" s="127" t="n">
        <v>12000</v>
      </c>
      <c r="AN7" s="127" t="n">
        <v>16000</v>
      </c>
      <c r="AO7" s="127" t="n">
        <v>60000</v>
      </c>
      <c r="AP7" s="127" t="n">
        <v>20000</v>
      </c>
      <c r="AQ7" s="127" t="n">
        <v>8000</v>
      </c>
      <c r="AR7" s="127" t="n">
        <v>760000</v>
      </c>
      <c r="AS7" s="127" t="n">
        <v>99000</v>
      </c>
      <c r="AT7" s="127" t="n">
        <v>100000</v>
      </c>
      <c r="AU7" s="127" t="n"/>
      <c r="AV7" s="127" t="n">
        <v>246400</v>
      </c>
      <c r="AW7" s="127" t="n">
        <v>78400</v>
      </c>
      <c r="AX7" s="127" t="n"/>
      <c r="AY7" s="127" t="n"/>
      <c r="AZ7" s="127" t="n">
        <v>1097600</v>
      </c>
      <c r="BA7" s="127" t="n">
        <v>1920800</v>
      </c>
      <c r="BB7" s="127" t="n">
        <v>39200</v>
      </c>
      <c r="BC7" s="127" t="n">
        <v>761600</v>
      </c>
      <c r="BD7" s="127" t="n">
        <v>1254400</v>
      </c>
      <c r="BE7" s="127" t="n">
        <v>22400</v>
      </c>
      <c r="BF7" s="127" t="n">
        <v>1911000</v>
      </c>
      <c r="BG7" s="127" t="n"/>
      <c r="BH7" s="127" t="n">
        <v>1037400</v>
      </c>
      <c r="BI7" s="127" t="n">
        <v>667800</v>
      </c>
      <c r="BJ7" s="127" t="n">
        <v>445200</v>
      </c>
      <c r="BK7" s="127" t="n">
        <v>593600</v>
      </c>
      <c r="BL7" s="127" t="n"/>
      <c r="BM7" s="127" t="n">
        <v>630700</v>
      </c>
      <c r="BN7" s="127" t="n">
        <v>72800</v>
      </c>
      <c r="BO7" s="127" t="n">
        <v>33800</v>
      </c>
      <c r="BP7" s="127" t="n">
        <v>2226000</v>
      </c>
      <c r="BQ7" s="127" t="n">
        <v>111300</v>
      </c>
      <c r="BR7" s="127" t="n"/>
      <c r="BS7" s="127" t="n"/>
      <c r="BT7" s="127" t="n">
        <v>20000</v>
      </c>
      <c r="BU7" s="127" t="n">
        <v>4000</v>
      </c>
      <c r="BV7" s="127" t="n">
        <v>224000</v>
      </c>
      <c r="BW7" s="127" t="n"/>
      <c r="BX7" s="127" t="n">
        <v>98000</v>
      </c>
      <c r="BY7" s="127" t="n"/>
      <c r="BZ7" s="127" t="n">
        <v>24442400</v>
      </c>
    </row>
    <row r="8">
      <c r="B8" s="96" t="n">
        <v>44230</v>
      </c>
      <c r="C8" s="94" t="inlineStr">
        <is>
          <t>수</t>
        </is>
      </c>
      <c r="D8" s="127" t="n"/>
      <c r="E8" s="127" t="n"/>
      <c r="F8" s="127" t="n">
        <v>175000</v>
      </c>
      <c r="G8" s="127" t="n"/>
      <c r="H8" s="127" t="n">
        <v>33000</v>
      </c>
      <c r="I8" s="127" t="n">
        <v>20000</v>
      </c>
      <c r="J8" s="127" t="n"/>
      <c r="K8" s="127" t="n">
        <v>66000</v>
      </c>
      <c r="L8" s="127" t="n"/>
      <c r="M8" s="127" t="n">
        <v>20000</v>
      </c>
      <c r="N8" s="127" t="n"/>
      <c r="O8" s="127" t="n"/>
      <c r="P8" s="127" t="n">
        <v>990000</v>
      </c>
      <c r="Q8" s="127" t="n">
        <v>152000</v>
      </c>
      <c r="R8" s="127" t="n">
        <v>105000</v>
      </c>
      <c r="S8" s="127" t="n"/>
      <c r="T8" s="127" t="n"/>
      <c r="U8" s="127" t="n">
        <v>0</v>
      </c>
      <c r="V8" s="127" t="n">
        <v>1100000</v>
      </c>
      <c r="W8" s="127" t="n">
        <v>2905000</v>
      </c>
      <c r="X8" s="127" t="n"/>
      <c r="Y8" s="127" t="n"/>
      <c r="Z8" s="127" t="n">
        <v>180000</v>
      </c>
      <c r="AA8" s="127" t="n">
        <v>420000</v>
      </c>
      <c r="AB8" s="127" t="n"/>
      <c r="AC8" s="127" t="n">
        <v>216000</v>
      </c>
      <c r="AD8" s="127" t="n">
        <v>644000</v>
      </c>
      <c r="AE8" s="127" t="n">
        <v>288000</v>
      </c>
      <c r="AF8" s="127" t="n">
        <v>168000</v>
      </c>
      <c r="AG8" s="127" t="n">
        <v>247000</v>
      </c>
      <c r="AH8" s="127" t="n">
        <v>144000</v>
      </c>
      <c r="AI8" s="127" t="n">
        <v>132000</v>
      </c>
      <c r="AJ8" s="127" t="n">
        <v>13000</v>
      </c>
      <c r="AK8" s="127" t="n">
        <v>4000</v>
      </c>
      <c r="AL8" s="127" t="n">
        <v>200000</v>
      </c>
      <c r="AM8" s="127" t="n"/>
      <c r="AN8" s="127" t="n"/>
      <c r="AO8" s="127" t="n">
        <v>20000</v>
      </c>
      <c r="AP8" s="127" t="n"/>
      <c r="AQ8" s="127" t="n"/>
      <c r="AR8" s="127" t="n">
        <v>456000</v>
      </c>
      <c r="AS8" s="127" t="n">
        <v>99000</v>
      </c>
      <c r="AT8" s="127" t="n">
        <v>40000</v>
      </c>
      <c r="AU8" s="127" t="n">
        <v>35000</v>
      </c>
      <c r="AV8" s="127" t="n">
        <v>201600</v>
      </c>
      <c r="AW8" s="127" t="n">
        <v>156800</v>
      </c>
      <c r="AX8" s="127" t="n"/>
      <c r="AY8" s="127" t="n"/>
      <c r="AZ8" s="127" t="n">
        <v>1187200</v>
      </c>
      <c r="BA8" s="127" t="n">
        <v>1803200</v>
      </c>
      <c r="BB8" s="127" t="n"/>
      <c r="BC8" s="127" t="n">
        <v>604800</v>
      </c>
      <c r="BD8" s="127" t="n">
        <v>1254400</v>
      </c>
      <c r="BE8" s="127" t="n"/>
      <c r="BF8" s="127" t="n">
        <v>1583400</v>
      </c>
      <c r="BG8" s="127" t="n"/>
      <c r="BH8" s="127" t="n">
        <v>546000</v>
      </c>
      <c r="BI8" s="127" t="n">
        <v>556500</v>
      </c>
      <c r="BJ8" s="127" t="n">
        <v>111300</v>
      </c>
      <c r="BK8" s="127" t="n"/>
      <c r="BL8" s="127" t="n">
        <v>37100</v>
      </c>
      <c r="BM8" s="127" t="n">
        <v>1261400</v>
      </c>
      <c r="BN8" s="127" t="n">
        <v>36400</v>
      </c>
      <c r="BO8" s="127" t="n"/>
      <c r="BP8" s="127" t="n">
        <v>2300200</v>
      </c>
      <c r="BQ8" s="127" t="n">
        <v>111300</v>
      </c>
      <c r="BR8" s="127" t="n"/>
      <c r="BS8" s="127" t="n"/>
      <c r="BT8" s="127" t="n">
        <v>20000</v>
      </c>
      <c r="BU8" s="127" t="n">
        <v>4000</v>
      </c>
      <c r="BV8" s="127" t="n">
        <v>140000</v>
      </c>
      <c r="BW8" s="127" t="n">
        <v>42000</v>
      </c>
      <c r="BX8" s="127" t="n"/>
      <c r="BY8" s="127" t="n"/>
      <c r="BZ8" s="127" t="n">
        <v>20829600</v>
      </c>
    </row>
    <row r="9">
      <c r="B9" s="96" t="n">
        <v>44231</v>
      </c>
      <c r="C9" s="94" t="inlineStr">
        <is>
          <t>목</t>
        </is>
      </c>
      <c r="D9" s="127" t="n"/>
      <c r="E9" s="127" t="n"/>
      <c r="F9" s="127" t="n">
        <v>280000</v>
      </c>
      <c r="G9" s="127" t="n"/>
      <c r="H9" s="127" t="n"/>
      <c r="I9" s="127" t="n"/>
      <c r="J9" s="127" t="n"/>
      <c r="K9" s="127" t="n">
        <v>33000</v>
      </c>
      <c r="L9" s="127" t="n"/>
      <c r="M9" s="127" t="n">
        <v>60000</v>
      </c>
      <c r="N9" s="127" t="n">
        <v>0</v>
      </c>
      <c r="O9" s="127" t="n">
        <v>40000</v>
      </c>
      <c r="P9" s="127" t="n">
        <v>1122000</v>
      </c>
      <c r="Q9" s="127" t="n">
        <v>342000</v>
      </c>
      <c r="R9" s="127" t="n"/>
      <c r="S9" s="127" t="n"/>
      <c r="T9" s="127" t="n"/>
      <c r="U9" s="127" t="n"/>
      <c r="V9" s="127" t="n">
        <v>940000</v>
      </c>
      <c r="W9" s="127" t="n">
        <v>1890000</v>
      </c>
      <c r="X9" s="127" t="n"/>
      <c r="Y9" s="127" t="n"/>
      <c r="Z9" s="127" t="n">
        <v>300000</v>
      </c>
      <c r="AA9" s="127" t="n">
        <v>420000</v>
      </c>
      <c r="AB9" s="127" t="n">
        <v>17500</v>
      </c>
      <c r="AC9" s="127" t="n">
        <v>159000</v>
      </c>
      <c r="AD9" s="127" t="n">
        <v>308000</v>
      </c>
      <c r="AE9" s="127" t="n">
        <v>384000</v>
      </c>
      <c r="AF9" s="127" t="n">
        <v>168000</v>
      </c>
      <c r="AG9" s="127" t="n">
        <v>234000</v>
      </c>
      <c r="AH9" s="127" t="n">
        <v>96000</v>
      </c>
      <c r="AI9" s="127" t="n">
        <v>165000</v>
      </c>
      <c r="AJ9" s="127" t="n"/>
      <c r="AK9" s="127" t="n">
        <v>12000</v>
      </c>
      <c r="AL9" s="127" t="n">
        <v>100000</v>
      </c>
      <c r="AM9" s="127" t="n">
        <v>24000</v>
      </c>
      <c r="AN9" s="127" t="n">
        <v>8000</v>
      </c>
      <c r="AO9" s="127" t="n">
        <v>20000</v>
      </c>
      <c r="AP9" s="127" t="n"/>
      <c r="AQ9" s="127" t="n"/>
      <c r="AR9" s="127" t="n">
        <v>342000</v>
      </c>
      <c r="AS9" s="127" t="n">
        <v>99000</v>
      </c>
      <c r="AT9" s="127" t="n">
        <v>60000</v>
      </c>
      <c r="AU9" s="127" t="n"/>
      <c r="AV9" s="127" t="n">
        <v>313600</v>
      </c>
      <c r="AW9" s="127" t="n">
        <v>117600</v>
      </c>
      <c r="AX9" s="127" t="n">
        <v>458200</v>
      </c>
      <c r="AY9" s="127" t="n"/>
      <c r="AZ9" s="127" t="n">
        <v>1142400</v>
      </c>
      <c r="BA9" s="127" t="n">
        <v>2038400</v>
      </c>
      <c r="BB9" s="127" t="n">
        <v>39200</v>
      </c>
      <c r="BC9" s="127" t="n">
        <v>963200</v>
      </c>
      <c r="BD9" s="127" t="n">
        <v>1450400</v>
      </c>
      <c r="BE9" s="127" t="n"/>
      <c r="BF9" s="127" t="n">
        <v>2074800</v>
      </c>
      <c r="BG9" s="127" t="n"/>
      <c r="BH9" s="127" t="n">
        <v>1365000</v>
      </c>
      <c r="BI9" s="127" t="n">
        <v>482300</v>
      </c>
      <c r="BJ9" s="127" t="n">
        <v>704900</v>
      </c>
      <c r="BK9" s="127" t="n"/>
      <c r="BL9" s="127" t="n"/>
      <c r="BM9" s="127" t="n">
        <v>890400</v>
      </c>
      <c r="BN9" s="127" t="n">
        <v>36400</v>
      </c>
      <c r="BO9" s="127" t="n">
        <v>33800</v>
      </c>
      <c r="BP9" s="127" t="n">
        <v>2003400</v>
      </c>
      <c r="BQ9" s="127" t="n">
        <v>37100</v>
      </c>
      <c r="BR9" s="127" t="n"/>
      <c r="BS9" s="127" t="n"/>
      <c r="BT9" s="127" t="n">
        <v>40000</v>
      </c>
      <c r="BU9" s="127" t="n">
        <v>12000</v>
      </c>
      <c r="BV9" s="127" t="n">
        <v>196000</v>
      </c>
      <c r="BW9" s="127" t="n"/>
      <c r="BX9" s="127" t="n"/>
      <c r="BY9" s="127" t="n"/>
      <c r="BZ9" s="127" t="n">
        <v>22022600</v>
      </c>
    </row>
    <row r="10">
      <c r="B10" s="96" t="n">
        <v>44232</v>
      </c>
      <c r="C10" s="94" t="inlineStr">
        <is>
          <t>금</t>
        </is>
      </c>
      <c r="D10" s="127" t="n"/>
      <c r="E10" s="127" t="n"/>
      <c r="F10" s="127" t="n">
        <v>245000</v>
      </c>
      <c r="G10" s="127" t="n"/>
      <c r="H10" s="127" t="n"/>
      <c r="I10" s="127" t="n"/>
      <c r="J10" s="127" t="n"/>
      <c r="K10" s="127" t="n"/>
      <c r="L10" s="127" t="n">
        <v>20000</v>
      </c>
      <c r="M10" s="127" t="n"/>
      <c r="N10" s="127" t="n"/>
      <c r="O10" s="127" t="n">
        <v>20000</v>
      </c>
      <c r="P10" s="127" t="n">
        <v>924000</v>
      </c>
      <c r="Q10" s="127" t="n">
        <v>228000</v>
      </c>
      <c r="R10" s="127" t="n"/>
      <c r="S10" s="127" t="n"/>
      <c r="T10" s="127" t="n"/>
      <c r="U10" s="127" t="n"/>
      <c r="V10" s="127" t="n">
        <v>700000</v>
      </c>
      <c r="W10" s="127" t="n">
        <v>700000</v>
      </c>
      <c r="X10" s="127" t="n"/>
      <c r="Y10" s="127" t="n"/>
      <c r="Z10" s="127" t="n">
        <v>240000</v>
      </c>
      <c r="AA10" s="127" t="n">
        <v>350000</v>
      </c>
      <c r="AB10" s="127" t="n"/>
      <c r="AC10" s="127" t="n">
        <v>90000</v>
      </c>
      <c r="AD10" s="127" t="n">
        <v>616000</v>
      </c>
      <c r="AE10" s="127" t="n">
        <v>192000</v>
      </c>
      <c r="AF10" s="127" t="n">
        <v>84000</v>
      </c>
      <c r="AG10" s="127" t="n">
        <v>234000</v>
      </c>
      <c r="AH10" s="127" t="n">
        <v>96000</v>
      </c>
      <c r="AI10" s="127" t="n">
        <v>33000</v>
      </c>
      <c r="AJ10" s="127" t="n">
        <v>26000</v>
      </c>
      <c r="AK10" s="127" t="n">
        <v>12000</v>
      </c>
      <c r="AL10" s="127" t="n">
        <v>140000</v>
      </c>
      <c r="AM10" s="127" t="n">
        <v>16000</v>
      </c>
      <c r="AN10" s="127" t="n">
        <v>8000</v>
      </c>
      <c r="AO10" s="127" t="n">
        <v>40000</v>
      </c>
      <c r="AP10" s="127" t="n"/>
      <c r="AQ10" s="127" t="n">
        <v>16000</v>
      </c>
      <c r="AR10" s="127" t="n">
        <v>532000</v>
      </c>
      <c r="AS10" s="127" t="n"/>
      <c r="AT10" s="127" t="n">
        <v>120000</v>
      </c>
      <c r="AU10" s="127" t="n"/>
      <c r="AV10" s="127" t="n">
        <v>268800</v>
      </c>
      <c r="AW10" s="127" t="n">
        <v>117600</v>
      </c>
      <c r="AX10" s="127" t="n"/>
      <c r="AY10" s="127" t="n"/>
      <c r="AZ10" s="127" t="n">
        <v>828800</v>
      </c>
      <c r="BA10" s="127" t="n">
        <v>1097600</v>
      </c>
      <c r="BB10" s="127" t="n"/>
      <c r="BC10" s="127" t="n">
        <v>515200</v>
      </c>
      <c r="BD10" s="127" t="n">
        <v>980000</v>
      </c>
      <c r="BE10" s="127" t="n">
        <v>22400</v>
      </c>
      <c r="BF10" s="127" t="n">
        <v>1528800</v>
      </c>
      <c r="BG10" s="127" t="n"/>
      <c r="BH10" s="127" t="n">
        <v>982800</v>
      </c>
      <c r="BI10" s="127" t="n">
        <v>445200</v>
      </c>
      <c r="BJ10" s="127" t="n">
        <v>556500</v>
      </c>
      <c r="BK10" s="127" t="n"/>
      <c r="BL10" s="127" t="n"/>
      <c r="BM10" s="127" t="n">
        <v>742000</v>
      </c>
      <c r="BN10" s="127" t="n">
        <v>54600</v>
      </c>
      <c r="BO10" s="127" t="n"/>
      <c r="BP10" s="127" t="n">
        <v>1521100</v>
      </c>
      <c r="BQ10" s="127" t="n"/>
      <c r="BR10" s="127" t="n"/>
      <c r="BS10" s="127" t="n"/>
      <c r="BT10" s="127" t="n">
        <v>80000</v>
      </c>
      <c r="BU10" s="127" t="n">
        <v>16000</v>
      </c>
      <c r="BV10" s="127" t="n">
        <v>196000</v>
      </c>
      <c r="BW10" s="127" t="n"/>
      <c r="BX10" s="127" t="n"/>
      <c r="BY10" s="127" t="n"/>
      <c r="BZ10" s="127" t="n">
        <v>15635400</v>
      </c>
    </row>
    <row r="11">
      <c r="B11" s="96" t="n">
        <v>44233</v>
      </c>
      <c r="C11" s="94" t="inlineStr">
        <is>
          <t>토</t>
        </is>
      </c>
      <c r="D11" s="127" t="n"/>
      <c r="E11" s="127" t="n"/>
      <c r="F11" s="127" t="n"/>
      <c r="G11" s="127" t="n"/>
      <c r="H11" s="127" t="n"/>
      <c r="I11" s="127" t="n"/>
      <c r="J11" s="127" t="n">
        <v>35000</v>
      </c>
      <c r="K11" s="127" t="n"/>
      <c r="L11" s="127" t="n">
        <v>40000</v>
      </c>
      <c r="M11" s="127" t="n">
        <v>80000</v>
      </c>
      <c r="N11" s="127" t="n"/>
      <c r="O11" s="127" t="n"/>
      <c r="P11" s="127" t="n">
        <v>693000</v>
      </c>
      <c r="Q11" s="127" t="n">
        <v>304000</v>
      </c>
      <c r="R11" s="127" t="n"/>
      <c r="S11" s="127" t="n"/>
      <c r="T11" s="127" t="n"/>
      <c r="U11" s="127" t="n"/>
      <c r="V11" s="127" t="n">
        <v>460000</v>
      </c>
      <c r="W11" s="127" t="n">
        <v>490000</v>
      </c>
      <c r="X11" s="127" t="n"/>
      <c r="Y11" s="127" t="n"/>
      <c r="Z11" s="127" t="n">
        <v>160000</v>
      </c>
      <c r="AA11" s="127" t="n">
        <v>175000</v>
      </c>
      <c r="AB11" s="127" t="n"/>
      <c r="AC11" s="127" t="n">
        <v>81000</v>
      </c>
      <c r="AD11" s="127" t="n">
        <v>448000</v>
      </c>
      <c r="AE11" s="127" t="n">
        <v>288000</v>
      </c>
      <c r="AF11" s="127" t="n">
        <v>28000</v>
      </c>
      <c r="AG11" s="127" t="n">
        <v>182000</v>
      </c>
      <c r="AH11" s="127" t="n">
        <v>48000</v>
      </c>
      <c r="AI11" s="127" t="n">
        <v>66000</v>
      </c>
      <c r="AJ11" s="127" t="n"/>
      <c r="AK11" s="127" t="n"/>
      <c r="AL11" s="127" t="n">
        <v>80000</v>
      </c>
      <c r="AM11" s="127" t="n"/>
      <c r="AN11" s="127" t="n"/>
      <c r="AO11" s="127" t="n">
        <v>40000</v>
      </c>
      <c r="AP11" s="127" t="n">
        <v>20000</v>
      </c>
      <c r="AQ11" s="127" t="n"/>
      <c r="AR11" s="127" t="n">
        <v>114000</v>
      </c>
      <c r="AS11" s="127" t="n"/>
      <c r="AT11" s="127" t="n">
        <v>20000</v>
      </c>
      <c r="AU11" s="127" t="n">
        <v>35000</v>
      </c>
      <c r="AV11" s="127" t="n">
        <v>156800</v>
      </c>
      <c r="AW11" s="127" t="n">
        <v>39200</v>
      </c>
      <c r="AX11" s="127" t="n"/>
      <c r="AY11" s="127" t="n"/>
      <c r="AZ11" s="127" t="n">
        <v>537600</v>
      </c>
      <c r="BA11" s="127" t="n">
        <v>980000</v>
      </c>
      <c r="BB11" s="127" t="n"/>
      <c r="BC11" s="127" t="n">
        <v>380800</v>
      </c>
      <c r="BD11" s="127" t="n">
        <v>901600</v>
      </c>
      <c r="BE11" s="127" t="n"/>
      <c r="BF11" s="127" t="n">
        <v>1474200</v>
      </c>
      <c r="BG11" s="127" t="n"/>
      <c r="BH11" s="127" t="n">
        <v>819000</v>
      </c>
      <c r="BI11" s="127" t="n">
        <v>556500</v>
      </c>
      <c r="BJ11" s="127" t="n">
        <v>296800</v>
      </c>
      <c r="BK11" s="127" t="n"/>
      <c r="BL11" s="127" t="n"/>
      <c r="BM11" s="127" t="n">
        <v>408100</v>
      </c>
      <c r="BN11" s="127" t="n">
        <v>91000</v>
      </c>
      <c r="BO11" s="127" t="n"/>
      <c r="BP11" s="127" t="n">
        <v>1224300</v>
      </c>
      <c r="BQ11" s="127" t="n">
        <v>37100</v>
      </c>
      <c r="BR11" s="127" t="n"/>
      <c r="BS11" s="127" t="n"/>
      <c r="BT11" s="127" t="n">
        <v>20000</v>
      </c>
      <c r="BU11" s="127" t="n"/>
      <c r="BV11" s="127" t="n">
        <v>84000</v>
      </c>
      <c r="BW11" s="127" t="n"/>
      <c r="BX11" s="127" t="n"/>
      <c r="BY11" s="127" t="n"/>
      <c r="BZ11" s="127" t="n">
        <v>11894000</v>
      </c>
    </row>
    <row r="12">
      <c r="B12" s="96" t="n">
        <v>44234</v>
      </c>
      <c r="C12" s="94" t="inlineStr">
        <is>
          <t>일</t>
        </is>
      </c>
      <c r="D12" s="127" t="n"/>
      <c r="E12" s="127" t="n"/>
      <c r="F12" s="127" t="n"/>
      <c r="G12" s="127" t="n"/>
      <c r="H12" s="127" t="n"/>
      <c r="I12" s="127" t="n"/>
      <c r="J12" s="127" t="n"/>
      <c r="K12" s="127" t="n"/>
      <c r="L12" s="127" t="n">
        <v>40000</v>
      </c>
      <c r="M12" s="127" t="n">
        <v>20000</v>
      </c>
      <c r="N12" s="127" t="n"/>
      <c r="O12" s="127" t="n"/>
      <c r="P12" s="127" t="n">
        <v>693000</v>
      </c>
      <c r="Q12" s="127" t="n">
        <v>304000</v>
      </c>
      <c r="R12" s="127" t="n"/>
      <c r="S12" s="127" t="n"/>
      <c r="T12" s="127" t="n"/>
      <c r="U12" s="127" t="n"/>
      <c r="V12" s="127" t="n">
        <v>460000</v>
      </c>
      <c r="W12" s="127" t="n">
        <v>1575000</v>
      </c>
      <c r="X12" s="127" t="n"/>
      <c r="Y12" s="127" t="n"/>
      <c r="Z12" s="127" t="n">
        <v>100000</v>
      </c>
      <c r="AA12" s="127" t="n">
        <v>245000</v>
      </c>
      <c r="AB12" s="127" t="n"/>
      <c r="AC12" s="127" t="n">
        <v>135000</v>
      </c>
      <c r="AD12" s="127" t="n">
        <v>448000</v>
      </c>
      <c r="AE12" s="127" t="n">
        <v>384000</v>
      </c>
      <c r="AF12" s="127" t="n">
        <v>168000</v>
      </c>
      <c r="AG12" s="127" t="n">
        <v>130000</v>
      </c>
      <c r="AH12" s="127" t="n">
        <v>48000</v>
      </c>
      <c r="AI12" s="127" t="n">
        <v>99000</v>
      </c>
      <c r="AJ12" s="127" t="n"/>
      <c r="AK12" s="127" t="n">
        <v>8000</v>
      </c>
      <c r="AL12" s="127" t="n">
        <v>80000</v>
      </c>
      <c r="AM12" s="127" t="n"/>
      <c r="AN12" s="127" t="n"/>
      <c r="AO12" s="127" t="n">
        <v>20000</v>
      </c>
      <c r="AP12" s="127" t="n"/>
      <c r="AQ12" s="127" t="n"/>
      <c r="AR12" s="127" t="n">
        <v>380000</v>
      </c>
      <c r="AS12" s="127" t="n">
        <v>198000</v>
      </c>
      <c r="AT12" s="127" t="n">
        <v>20000</v>
      </c>
      <c r="AU12" s="127" t="n">
        <v>70000</v>
      </c>
      <c r="AV12" s="127" t="n">
        <v>134400</v>
      </c>
      <c r="AW12" s="127" t="n">
        <v>117600</v>
      </c>
      <c r="AX12" s="127" t="n"/>
      <c r="AY12" s="127" t="n"/>
      <c r="AZ12" s="127" t="n">
        <v>560000</v>
      </c>
      <c r="BA12" s="127" t="n">
        <v>901600</v>
      </c>
      <c r="BB12" s="127" t="n"/>
      <c r="BC12" s="127" t="n">
        <v>358400</v>
      </c>
      <c r="BD12" s="127" t="n">
        <v>980000</v>
      </c>
      <c r="BE12" s="127" t="n"/>
      <c r="BF12" s="127" t="n">
        <v>1365000</v>
      </c>
      <c r="BG12" s="127" t="n"/>
      <c r="BH12" s="127" t="n">
        <v>982800</v>
      </c>
      <c r="BI12" s="127" t="n">
        <v>408100</v>
      </c>
      <c r="BJ12" s="127" t="n">
        <v>333900</v>
      </c>
      <c r="BK12" s="127" t="n"/>
      <c r="BL12" s="127" t="n"/>
      <c r="BM12" s="127" t="n">
        <v>890400</v>
      </c>
      <c r="BN12" s="127" t="n">
        <v>18200</v>
      </c>
      <c r="BO12" s="127" t="n">
        <v>33800</v>
      </c>
      <c r="BP12" s="127" t="n">
        <v>1484000</v>
      </c>
      <c r="BQ12" s="127" t="n">
        <v>37100</v>
      </c>
      <c r="BR12" s="127" t="n"/>
      <c r="BS12" s="127" t="n"/>
      <c r="BT12" s="127" t="n">
        <v>80000</v>
      </c>
      <c r="BU12" s="127" t="n">
        <v>4000</v>
      </c>
      <c r="BV12" s="127" t="n">
        <v>28000</v>
      </c>
      <c r="BW12" s="127" t="n"/>
      <c r="BX12" s="127" t="n">
        <v>49000</v>
      </c>
      <c r="BY12" s="127" t="n"/>
      <c r="BZ12" s="127" t="n">
        <v>14391300</v>
      </c>
    </row>
    <row r="13">
      <c r="B13" s="96" t="n">
        <v>44235</v>
      </c>
      <c r="C13" s="94" t="inlineStr">
        <is>
          <t>월</t>
        </is>
      </c>
      <c r="D13" s="127" t="n"/>
      <c r="E13" s="127" t="n"/>
      <c r="F13" s="127" t="n">
        <v>945000</v>
      </c>
      <c r="G13" s="127" t="n">
        <v>20000</v>
      </c>
      <c r="H13" s="127" t="n"/>
      <c r="I13" s="127" t="n"/>
      <c r="J13" s="127" t="n"/>
      <c r="K13" s="127" t="n"/>
      <c r="L13" s="127" t="n">
        <v>20000</v>
      </c>
      <c r="M13" s="127" t="n">
        <v>120000</v>
      </c>
      <c r="N13" s="127" t="n"/>
      <c r="O13" s="127" t="n"/>
      <c r="P13" s="127" t="n">
        <v>198000</v>
      </c>
      <c r="Q13" s="127" t="n">
        <v>228000</v>
      </c>
      <c r="R13" s="127" t="n"/>
      <c r="S13" s="127" t="n"/>
      <c r="T13" s="127" t="n"/>
      <c r="U13" s="127" t="n"/>
      <c r="V13" s="127" t="n">
        <v>680000</v>
      </c>
      <c r="W13" s="127" t="n">
        <v>665000</v>
      </c>
      <c r="X13" s="127" t="n">
        <v>396000</v>
      </c>
      <c r="Y13" s="127" t="n">
        <v>198000</v>
      </c>
      <c r="Z13" s="127" t="n">
        <v>260000</v>
      </c>
      <c r="AA13" s="127" t="n">
        <v>280000</v>
      </c>
      <c r="AB13" s="127" t="n"/>
      <c r="AC13" s="127" t="n">
        <v>99000</v>
      </c>
      <c r="AD13" s="127" t="n">
        <v>364000</v>
      </c>
      <c r="AE13" s="127" t="n">
        <v>720000</v>
      </c>
      <c r="AF13" s="127" t="n">
        <v>112000</v>
      </c>
      <c r="AG13" s="127" t="n">
        <v>130000</v>
      </c>
      <c r="AH13" s="127" t="n">
        <v>120000</v>
      </c>
      <c r="AI13" s="127" t="n">
        <v>99000</v>
      </c>
      <c r="AJ13" s="127" t="n"/>
      <c r="AK13" s="127" t="n">
        <v>8000</v>
      </c>
      <c r="AL13" s="127" t="n">
        <v>20000</v>
      </c>
      <c r="AM13" s="127" t="n">
        <v>40000</v>
      </c>
      <c r="AN13" s="127" t="n">
        <v>12000</v>
      </c>
      <c r="AO13" s="127" t="n">
        <v>20000</v>
      </c>
      <c r="AP13" s="127" t="n">
        <v>20000</v>
      </c>
      <c r="AQ13" s="127" t="n"/>
      <c r="AR13" s="127" t="n">
        <v>646000</v>
      </c>
      <c r="AS13" s="127" t="n">
        <v>99000</v>
      </c>
      <c r="AT13" s="127" t="n">
        <v>80000</v>
      </c>
      <c r="AU13" s="127" t="n">
        <v>70000</v>
      </c>
      <c r="AV13" s="127" t="n">
        <v>156800</v>
      </c>
      <c r="AW13" s="127" t="n">
        <v>196000</v>
      </c>
      <c r="AX13" s="127" t="n"/>
      <c r="AY13" s="127" t="n"/>
      <c r="AZ13" s="127" t="n">
        <v>672000</v>
      </c>
      <c r="BA13" s="127" t="n">
        <v>1607200</v>
      </c>
      <c r="BB13" s="127" t="n">
        <v>39200</v>
      </c>
      <c r="BC13" s="127" t="n">
        <v>582400</v>
      </c>
      <c r="BD13" s="127" t="n">
        <v>940800</v>
      </c>
      <c r="BE13" s="127" t="n"/>
      <c r="BF13" s="127" t="n">
        <v>1146600</v>
      </c>
      <c r="BG13" s="127" t="n"/>
      <c r="BH13" s="127" t="n">
        <v>873600</v>
      </c>
      <c r="BI13" s="127" t="n">
        <v>148400</v>
      </c>
      <c r="BJ13" s="127" t="n">
        <v>259700</v>
      </c>
      <c r="BK13" s="127" t="n"/>
      <c r="BL13" s="127" t="n"/>
      <c r="BM13" s="127" t="n">
        <v>667800</v>
      </c>
      <c r="BN13" s="127" t="n">
        <v>91000</v>
      </c>
      <c r="BO13" s="127" t="n"/>
      <c r="BP13" s="127" t="n">
        <v>1372700</v>
      </c>
      <c r="BQ13" s="127" t="n"/>
      <c r="BR13" s="127" t="n"/>
      <c r="BS13" s="127" t="n"/>
      <c r="BT13" s="127" t="n">
        <v>60000</v>
      </c>
      <c r="BU13" s="127" t="n">
        <v>4000</v>
      </c>
      <c r="BV13" s="127" t="n">
        <v>196000</v>
      </c>
      <c r="BW13" s="127" t="n">
        <v>84000</v>
      </c>
      <c r="BX13" s="127" t="n"/>
      <c r="BY13" s="127" t="n"/>
      <c r="BZ13" s="127" t="n">
        <v>15767200</v>
      </c>
    </row>
    <row r="14">
      <c r="B14" s="94" t="inlineStr">
        <is>
          <t>총합계</t>
        </is>
      </c>
      <c r="D14" s="127" t="n"/>
      <c r="E14" s="127" t="n"/>
      <c r="F14" s="127" t="n">
        <v>2170000</v>
      </c>
      <c r="G14" s="127" t="n">
        <v>120000</v>
      </c>
      <c r="H14" s="127" t="n">
        <v>99000</v>
      </c>
      <c r="I14" s="127" t="n">
        <v>80000</v>
      </c>
      <c r="J14" s="127" t="n">
        <v>70000</v>
      </c>
      <c r="K14" s="127" t="n">
        <v>132000</v>
      </c>
      <c r="L14" s="127" t="n">
        <v>280000</v>
      </c>
      <c r="M14" s="127" t="n">
        <v>380000</v>
      </c>
      <c r="N14" s="127" t="n">
        <v>0</v>
      </c>
      <c r="O14" s="127" t="n">
        <v>3480000</v>
      </c>
      <c r="P14" s="127" t="n">
        <v>8118000</v>
      </c>
      <c r="Q14" s="127" t="n">
        <v>2508000</v>
      </c>
      <c r="R14" s="127" t="n">
        <v>5250000</v>
      </c>
      <c r="S14" s="127" t="n">
        <v>60000</v>
      </c>
      <c r="T14" s="127" t="n">
        <v>35000</v>
      </c>
      <c r="U14" s="127" t="n">
        <v>0</v>
      </c>
      <c r="V14" s="127" t="n">
        <v>4960000</v>
      </c>
      <c r="W14" s="127" t="n">
        <v>9625000</v>
      </c>
      <c r="X14" s="127" t="n">
        <v>396000</v>
      </c>
      <c r="Y14" s="127" t="n">
        <v>198000</v>
      </c>
      <c r="Z14" s="127" t="n">
        <v>2720000</v>
      </c>
      <c r="AA14" s="127" t="n">
        <v>4305000</v>
      </c>
      <c r="AB14" s="127" t="n">
        <v>35000</v>
      </c>
      <c r="AC14" s="127" t="n">
        <v>1467000</v>
      </c>
      <c r="AD14" s="127" t="n">
        <v>4760000</v>
      </c>
      <c r="AE14" s="127" t="n">
        <v>3024000</v>
      </c>
      <c r="AF14" s="127" t="n">
        <v>1176000</v>
      </c>
      <c r="AG14" s="127" t="n">
        <v>1794000</v>
      </c>
      <c r="AH14" s="127" t="n">
        <v>960000</v>
      </c>
      <c r="AI14" s="127" t="n">
        <v>1023000</v>
      </c>
      <c r="AJ14" s="127" t="n">
        <v>91000</v>
      </c>
      <c r="AK14" s="127" t="n">
        <v>52000</v>
      </c>
      <c r="AL14" s="127" t="n">
        <v>1160000</v>
      </c>
      <c r="AM14" s="127" t="n">
        <v>124000</v>
      </c>
      <c r="AN14" s="127" t="n">
        <v>48000</v>
      </c>
      <c r="AO14" s="127" t="n">
        <v>300000</v>
      </c>
      <c r="AP14" s="127" t="n">
        <v>140000</v>
      </c>
      <c r="AQ14" s="127" t="n">
        <v>24000</v>
      </c>
      <c r="AR14" s="127" t="n">
        <v>4066000</v>
      </c>
      <c r="AS14" s="127" t="n">
        <v>1089000</v>
      </c>
      <c r="AT14" s="127" t="n">
        <v>600000</v>
      </c>
      <c r="AU14" s="127" t="n">
        <v>280000</v>
      </c>
      <c r="AV14" s="127" t="n">
        <v>1881600</v>
      </c>
      <c r="AW14" s="127" t="n">
        <v>1058400</v>
      </c>
      <c r="AX14" s="127" t="n">
        <v>458200</v>
      </c>
      <c r="AY14" s="127" t="n">
        <v>0</v>
      </c>
      <c r="AZ14" s="127" t="n">
        <v>7638400</v>
      </c>
      <c r="BA14" s="127" t="n">
        <v>13406400</v>
      </c>
      <c r="BB14" s="127" t="n">
        <v>156800</v>
      </c>
      <c r="BC14" s="127" t="n">
        <v>5084800</v>
      </c>
      <c r="BD14" s="127" t="n">
        <v>9839200</v>
      </c>
      <c r="BE14" s="127" t="n">
        <v>67200</v>
      </c>
      <c r="BF14" s="127" t="n">
        <v>13486200</v>
      </c>
      <c r="BG14" s="127" t="n">
        <v>54600</v>
      </c>
      <c r="BH14" s="127" t="n">
        <v>8080800</v>
      </c>
      <c r="BI14" s="127" t="n">
        <v>4118100</v>
      </c>
      <c r="BJ14" s="127" t="n">
        <v>3301900</v>
      </c>
      <c r="BK14" s="127" t="n">
        <v>2337300</v>
      </c>
      <c r="BL14" s="127" t="n">
        <v>37100</v>
      </c>
      <c r="BM14" s="127" t="n">
        <v>5490800</v>
      </c>
      <c r="BN14" s="127" t="n">
        <v>509600</v>
      </c>
      <c r="BO14" s="127" t="n">
        <v>202800</v>
      </c>
      <c r="BP14" s="127" t="n">
        <v>15915900</v>
      </c>
      <c r="BQ14" s="127" t="n">
        <v>482300</v>
      </c>
      <c r="BR14" s="127" t="n"/>
      <c r="BS14" s="127" t="n"/>
      <c r="BT14" s="127" t="n">
        <v>400000</v>
      </c>
      <c r="BU14" s="127" t="n">
        <v>52000</v>
      </c>
      <c r="BV14" s="127" t="n">
        <v>1428000</v>
      </c>
      <c r="BW14" s="127" t="n">
        <v>168000</v>
      </c>
      <c r="BX14" s="127" t="n">
        <v>196000</v>
      </c>
      <c r="BY14" s="127" t="n"/>
      <c r="BZ14" s="127" t="n">
        <v>163051400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34"/>
  <sheetViews>
    <sheetView showGridLines="0" workbookViewId="0">
      <selection activeCell="B16" sqref="B16"/>
    </sheetView>
  </sheetViews>
  <sheetFormatPr baseColWidth="8" defaultRowHeight="17.4"/>
  <cols>
    <col width="9.59765625" bestFit="1" customWidth="1" style="93" min="1" max="1"/>
    <col width="12.796875" bestFit="1" customWidth="1" style="93" min="2" max="2"/>
    <col width="13.19921875" bestFit="1" customWidth="1" style="93" min="3" max="3"/>
    <col width="13.19921875" bestFit="1" customWidth="1" style="19" min="4" max="4"/>
    <col width="20.19921875" bestFit="1" customWidth="1" style="19" min="5" max="5"/>
    <col width="12" bestFit="1" customWidth="1" style="19" min="6" max="6"/>
    <col width="12" bestFit="1" customWidth="1" style="93" min="7" max="8"/>
    <col width="10.19921875" bestFit="1" customWidth="1" style="93" min="9" max="9"/>
    <col width="11.19921875" bestFit="1" customWidth="1" style="93" min="10" max="11"/>
    <col width="15.3984375" bestFit="1" customWidth="1" style="93" min="12" max="12"/>
    <col width="9.09765625" bestFit="1" customWidth="1" style="93" min="13" max="13"/>
    <col width="15.3984375" bestFit="1" customWidth="1" style="93" min="14" max="14"/>
    <col width="11.19921875" bestFit="1" customWidth="1" style="93" min="15" max="15"/>
    <col width="13.19921875" bestFit="1" customWidth="1" style="93" min="16" max="16"/>
    <col width="10.19921875" bestFit="1" customWidth="1" style="93" min="17" max="17"/>
    <col width="11.19921875" bestFit="1" customWidth="1" style="93" min="18" max="19"/>
    <col width="15.5" bestFit="1" customWidth="1" style="93" min="20" max="20"/>
    <col width="10.19921875" bestFit="1" customWidth="1" style="93" min="21" max="21"/>
    <col width="14.59765625" bestFit="1" customWidth="1" style="93" min="22" max="22"/>
  </cols>
  <sheetData>
    <row r="1">
      <c r="A1" s="94" t="n"/>
      <c r="B1" s="94" t="n"/>
      <c r="C1" s="94" t="n"/>
      <c r="G1" s="94" t="n"/>
    </row>
    <row r="2">
      <c r="A2" s="94" t="n"/>
      <c r="B2" s="94" t="n"/>
      <c r="C2" s="94" t="n"/>
      <c r="G2" s="94" t="n"/>
    </row>
    <row r="3">
      <c r="A3" s="94" t="n"/>
      <c r="B3" s="94" t="n"/>
      <c r="C3" s="94" t="n"/>
      <c r="D3" s="94" t="n"/>
      <c r="E3" s="94" t="n"/>
      <c r="F3" s="94" t="n"/>
      <c r="G3" s="94" t="n"/>
    </row>
    <row r="4">
      <c r="A4" s="1" t="inlineStr">
        <is>
          <t>일자</t>
        </is>
      </c>
      <c r="B4" s="94" t="inlineStr">
        <is>
          <t>합계 : 판매액</t>
        </is>
      </c>
      <c r="C4" s="94" t="n"/>
      <c r="D4" s="94" t="n"/>
      <c r="E4" s="94" t="n"/>
      <c r="F4" s="94" t="n"/>
      <c r="G4" s="94" t="n"/>
    </row>
    <row r="5">
      <c r="A5" s="128" t="n">
        <v>44044</v>
      </c>
      <c r="B5" s="127" t="n">
        <v>8755000</v>
      </c>
      <c r="C5" s="94" t="n"/>
      <c r="D5" s="94" t="n"/>
      <c r="E5" s="94" t="n"/>
      <c r="F5" s="94" t="n"/>
      <c r="G5" s="94" t="n"/>
    </row>
    <row r="6">
      <c r="A6" s="128" t="n">
        <v>44045</v>
      </c>
      <c r="B6" s="127" t="n">
        <v>28840636</v>
      </c>
      <c r="C6" s="94" t="n"/>
      <c r="D6" s="94" t="n"/>
      <c r="E6" s="94" t="n"/>
      <c r="F6" s="94" t="n"/>
      <c r="G6" s="94" t="n"/>
    </row>
    <row r="7">
      <c r="A7" s="128" t="n">
        <v>44046</v>
      </c>
      <c r="B7" s="127" t="n">
        <v>16104981</v>
      </c>
      <c r="C7" s="94" t="n"/>
      <c r="D7" s="94" t="n"/>
      <c r="E7" s="94" t="n"/>
      <c r="F7" s="94" t="n"/>
      <c r="G7" s="94" t="n"/>
    </row>
    <row r="8">
      <c r="A8" s="128" t="n">
        <v>44047</v>
      </c>
      <c r="B8" s="127" t="n">
        <v>10664000</v>
      </c>
      <c r="C8" s="94" t="n"/>
      <c r="D8" s="94" t="n"/>
      <c r="E8" s="94" t="n"/>
      <c r="F8" s="94" t="n"/>
      <c r="G8" s="94" t="n"/>
    </row>
    <row r="9">
      <c r="A9" s="128" t="n">
        <v>44048</v>
      </c>
      <c r="B9" s="127" t="n">
        <v>7668078</v>
      </c>
      <c r="C9" s="94" t="n"/>
      <c r="D9" s="94" t="n"/>
      <c r="E9" s="94" t="n"/>
      <c r="F9" s="94" t="n"/>
      <c r="G9" s="94" t="n"/>
    </row>
    <row r="10">
      <c r="A10" s="128" t="n">
        <v>44049</v>
      </c>
      <c r="B10" s="127" t="n">
        <v>6511000</v>
      </c>
      <c r="C10" s="94" t="n"/>
      <c r="D10" s="94" t="n"/>
      <c r="E10" s="94" t="n"/>
      <c r="F10" s="94" t="n"/>
      <c r="G10" s="94" t="n"/>
    </row>
    <row r="11">
      <c r="A11" s="128" t="n">
        <v>44050</v>
      </c>
      <c r="B11" s="127" t="n">
        <v>5769063</v>
      </c>
      <c r="C11" s="94" t="n"/>
      <c r="D11" s="94" t="n"/>
      <c r="E11" s="94" t="n"/>
      <c r="F11" s="94" t="n"/>
      <c r="G11" s="94" t="n"/>
    </row>
    <row r="12">
      <c r="A12" s="128" t="n">
        <v>44051</v>
      </c>
      <c r="B12" s="127" t="n">
        <v>4551000</v>
      </c>
      <c r="C12" s="94" t="n"/>
      <c r="D12" s="94" t="n"/>
      <c r="E12" s="94" t="n"/>
      <c r="F12" s="94" t="n"/>
      <c r="G12" s="94" t="n"/>
    </row>
    <row r="13">
      <c r="A13" s="128" t="n">
        <v>44052</v>
      </c>
      <c r="B13" s="127" t="n">
        <v>22529196</v>
      </c>
      <c r="C13" s="94" t="n"/>
      <c r="D13" s="94" t="n"/>
      <c r="E13" s="94" t="n"/>
      <c r="F13" s="94" t="n"/>
      <c r="G13" s="94" t="n"/>
    </row>
    <row r="14">
      <c r="A14" s="128" t="n">
        <v>44053</v>
      </c>
      <c r="B14" s="127" t="n">
        <v>10447000</v>
      </c>
      <c r="C14" s="94" t="n"/>
      <c r="D14" s="94" t="n"/>
      <c r="E14" s="94" t="n"/>
      <c r="F14" s="94" t="n"/>
      <c r="G14" s="94" t="n"/>
    </row>
    <row r="15">
      <c r="A15" s="128" t="n">
        <v>44054</v>
      </c>
      <c r="B15" s="127" t="n">
        <v>10290377</v>
      </c>
      <c r="C15" s="94" t="n"/>
      <c r="D15" s="94" t="n"/>
      <c r="E15" s="94" t="n"/>
      <c r="F15" s="94" t="n"/>
      <c r="G15" s="94" t="n"/>
    </row>
    <row r="16">
      <c r="A16" s="128" t="n">
        <v>44055</v>
      </c>
      <c r="B16" s="127" t="n">
        <v>8727000</v>
      </c>
      <c r="C16" s="94" t="n"/>
      <c r="D16" s="94" t="n"/>
      <c r="E16" s="94" t="n"/>
      <c r="F16" s="94" t="n"/>
      <c r="G16" s="94" t="n"/>
    </row>
    <row r="17">
      <c r="A17" s="128" t="n">
        <v>44056</v>
      </c>
      <c r="B17" s="127" t="n">
        <v>6491853</v>
      </c>
      <c r="C17" s="94" t="n"/>
      <c r="D17" s="94" t="n"/>
      <c r="E17" s="94" t="n"/>
      <c r="F17" s="94" t="n"/>
    </row>
    <row r="18">
      <c r="A18" s="128" t="n">
        <v>44057</v>
      </c>
      <c r="B18" s="127" t="n">
        <v>8231000</v>
      </c>
      <c r="C18" s="94" t="n"/>
      <c r="D18" s="94" t="n"/>
      <c r="E18" s="94" t="n"/>
      <c r="F18" s="94" t="n"/>
    </row>
    <row r="19">
      <c r="A19" s="128" t="n">
        <v>44058</v>
      </c>
      <c r="B19" s="127" t="n">
        <v>4552000</v>
      </c>
      <c r="C19" s="94" t="n"/>
      <c r="D19" s="94" t="n"/>
      <c r="E19" s="94" t="n"/>
      <c r="F19" s="94" t="n"/>
    </row>
    <row r="20">
      <c r="A20" s="128" t="n">
        <v>44059</v>
      </c>
      <c r="B20" s="127" t="n">
        <v>20869705</v>
      </c>
      <c r="C20" s="94" t="n"/>
      <c r="D20" s="94" t="n"/>
      <c r="E20" s="94" t="n"/>
      <c r="F20" s="94" t="n"/>
    </row>
    <row r="21">
      <c r="A21" s="128" t="n">
        <v>44060</v>
      </c>
      <c r="B21" s="127" t="n">
        <v>8365000</v>
      </c>
      <c r="C21" s="94" t="n"/>
      <c r="D21" s="94" t="n"/>
      <c r="E21" s="94" t="n"/>
      <c r="F21" s="94" t="n"/>
    </row>
    <row r="22">
      <c r="A22" s="128" t="n">
        <v>44061</v>
      </c>
      <c r="B22" s="127" t="n">
        <v>9369818</v>
      </c>
      <c r="C22" s="94" t="n"/>
      <c r="D22" s="94" t="n"/>
      <c r="E22" s="94" t="n"/>
      <c r="F22" s="94" t="n"/>
    </row>
    <row r="23">
      <c r="A23" s="128" t="n">
        <v>44062</v>
      </c>
      <c r="B23" s="127" t="n">
        <v>17537589</v>
      </c>
      <c r="C23" s="94" t="n"/>
      <c r="D23" s="94" t="n"/>
      <c r="E23" s="94" t="n"/>
      <c r="F23" s="94" t="n"/>
    </row>
    <row r="24">
      <c r="A24" s="128" t="n">
        <v>44063</v>
      </c>
      <c r="B24" s="127" t="n">
        <v>8140959</v>
      </c>
      <c r="C24" s="94" t="n"/>
      <c r="D24" s="94" t="n"/>
      <c r="E24" s="94" t="n"/>
      <c r="F24" s="94" t="n"/>
    </row>
    <row r="25">
      <c r="A25" s="128" t="n">
        <v>44064</v>
      </c>
      <c r="B25" s="127" t="n">
        <v>6372914</v>
      </c>
      <c r="C25" s="94" t="n"/>
      <c r="D25" s="94" t="n"/>
      <c r="E25" s="94" t="n"/>
      <c r="F25" s="94" t="n"/>
    </row>
    <row r="26">
      <c r="A26" s="128" t="n">
        <v>44065</v>
      </c>
      <c r="B26" s="127" t="n">
        <v>4168000</v>
      </c>
      <c r="C26" s="94" t="n"/>
      <c r="D26" s="94" t="n"/>
      <c r="E26" s="94" t="n"/>
      <c r="F26" s="94" t="n"/>
    </row>
    <row r="27">
      <c r="A27" s="128" t="n">
        <v>44066</v>
      </c>
      <c r="B27" s="127" t="n">
        <v>19760211</v>
      </c>
      <c r="C27" s="94" t="n"/>
      <c r="D27" s="94" t="n"/>
      <c r="E27" s="94" t="n"/>
      <c r="F27" s="94" t="n"/>
    </row>
    <row r="28">
      <c r="A28" s="128" t="n">
        <v>44067</v>
      </c>
      <c r="B28" s="127" t="n">
        <v>11934344</v>
      </c>
      <c r="C28" s="94" t="n"/>
      <c r="D28" s="94" t="n"/>
      <c r="E28" s="94" t="n"/>
      <c r="F28" s="94" t="n"/>
    </row>
    <row r="29">
      <c r="A29" s="128" t="n">
        <v>44068</v>
      </c>
      <c r="B29" s="127" t="n">
        <v>10450764</v>
      </c>
      <c r="C29" s="94" t="n"/>
      <c r="D29" s="94" t="n"/>
      <c r="E29" s="94" t="n"/>
      <c r="F29" s="94" t="n"/>
    </row>
    <row r="30">
      <c r="A30" s="128" t="n">
        <v>44069</v>
      </c>
      <c r="B30" s="127" t="n">
        <v>9516000</v>
      </c>
      <c r="C30" s="94" t="n"/>
      <c r="D30" s="94" t="n"/>
      <c r="E30" s="94" t="n"/>
      <c r="F30" s="94" t="n"/>
    </row>
    <row r="31">
      <c r="A31" s="128" t="n">
        <v>44070</v>
      </c>
      <c r="B31" s="127" t="n">
        <v>9574560</v>
      </c>
      <c r="C31" s="94" t="n"/>
      <c r="D31" s="94" t="n"/>
      <c r="E31" s="94" t="n"/>
      <c r="F31" s="94" t="n"/>
    </row>
    <row r="32">
      <c r="A32" s="128" t="n">
        <v>44071</v>
      </c>
      <c r="B32" s="127" t="n">
        <v>8050984</v>
      </c>
      <c r="C32" s="94" t="n"/>
      <c r="D32" s="94" t="n"/>
      <c r="E32" s="94" t="n"/>
      <c r="F32" s="94" t="n"/>
    </row>
    <row r="33">
      <c r="A33" s="128" t="n">
        <v>44072</v>
      </c>
      <c r="B33" s="127" t="n">
        <v>5548000</v>
      </c>
      <c r="C33" s="94" t="n"/>
      <c r="D33" s="94" t="n"/>
      <c r="E33" s="94" t="n"/>
      <c r="F33" s="94" t="n"/>
    </row>
    <row r="34">
      <c r="A34" s="128" t="n">
        <v>44073</v>
      </c>
      <c r="B34" s="127" t="n">
        <v>19652736</v>
      </c>
      <c r="C34" s="94" t="n"/>
      <c r="D34" s="94" t="n"/>
      <c r="E34" s="94" t="n"/>
      <c r="F34" s="94" t="n"/>
    </row>
    <row r="35">
      <c r="A35" s="128" t="n">
        <v>44074</v>
      </c>
      <c r="B35" s="127" t="n">
        <v>9570008</v>
      </c>
      <c r="C35" s="94" t="n"/>
      <c r="D35" s="94" t="n"/>
      <c r="E35" s="94" t="n"/>
      <c r="F35" s="94" t="n"/>
    </row>
    <row r="36">
      <c r="A36" s="128" t="inlineStr">
        <is>
          <t>총합계</t>
        </is>
      </c>
      <c r="B36" s="127" t="n">
        <v>339013776</v>
      </c>
      <c r="C36" s="94" t="n"/>
      <c r="D36" s="94" t="n"/>
      <c r="E36" s="94" t="n"/>
      <c r="F36" s="94" t="n"/>
    </row>
    <row r="37">
      <c r="A37" s="94" t="n"/>
      <c r="B37" s="94" t="n"/>
      <c r="C37" s="94" t="n"/>
      <c r="D37" s="94" t="n"/>
      <c r="E37" s="94" t="n"/>
      <c r="F37" s="94" t="n"/>
    </row>
    <row r="38">
      <c r="A38" s="94" t="n"/>
      <c r="B38" s="94" t="n"/>
      <c r="C38" s="94" t="n"/>
      <c r="D38" s="94" t="n"/>
      <c r="E38" s="94" t="n"/>
      <c r="F38" s="94" t="n"/>
    </row>
    <row r="39">
      <c r="A39" s="94" t="n"/>
      <c r="B39" s="94" t="n"/>
      <c r="C39" s="94" t="n"/>
      <c r="D39" s="94" t="n"/>
      <c r="E39" s="94" t="n"/>
      <c r="F39" s="94" t="n"/>
    </row>
    <row r="40">
      <c r="A40" s="94" t="n"/>
      <c r="B40" s="94" t="n"/>
      <c r="C40" s="94" t="n"/>
      <c r="D40" s="94" t="n"/>
      <c r="E40" s="94" t="n"/>
      <c r="F40" s="94" t="n"/>
    </row>
    <row r="41">
      <c r="A41" s="94" t="n"/>
      <c r="B41" s="94" t="n"/>
      <c r="C41" s="94" t="n"/>
      <c r="D41" s="94" t="n"/>
      <c r="E41" s="94" t="n"/>
      <c r="F41" s="94" t="n"/>
    </row>
    <row r="42">
      <c r="A42" s="94" t="n"/>
      <c r="B42" s="94" t="n"/>
      <c r="C42" s="94" t="n"/>
      <c r="D42" s="94" t="n"/>
      <c r="E42" s="94" t="n"/>
      <c r="F42" s="94" t="n"/>
    </row>
    <row r="43">
      <c r="A43" s="94" t="n"/>
      <c r="B43" s="94" t="n"/>
      <c r="C43" s="94" t="n"/>
      <c r="D43" s="94" t="n"/>
      <c r="E43" s="94" t="n"/>
      <c r="F43" s="94" t="n"/>
    </row>
    <row r="44">
      <c r="A44" s="94" t="n"/>
      <c r="B44" s="94" t="n"/>
      <c r="C44" s="94" t="n"/>
      <c r="D44" s="94" t="n"/>
      <c r="E44" s="94" t="n"/>
      <c r="F44" s="94" t="n"/>
    </row>
    <row r="45">
      <c r="A45" s="94" t="n"/>
      <c r="B45" s="94" t="n"/>
      <c r="C45" s="94" t="n"/>
      <c r="D45" s="94" t="n"/>
      <c r="E45" s="94" t="n"/>
      <c r="F45" s="94" t="n"/>
    </row>
    <row r="46">
      <c r="A46" s="94" t="n"/>
      <c r="B46" s="94" t="n"/>
      <c r="C46" s="94" t="n"/>
      <c r="D46" s="94" t="n"/>
      <c r="E46" s="94" t="n"/>
      <c r="F46" s="94" t="n"/>
    </row>
    <row r="47">
      <c r="A47" s="94" t="n"/>
      <c r="B47" s="94" t="n"/>
      <c r="C47" s="94" t="n"/>
      <c r="D47" s="94" t="n"/>
      <c r="E47" s="94" t="n"/>
      <c r="F47" s="94" t="n"/>
    </row>
    <row r="48">
      <c r="A48" s="94" t="n"/>
      <c r="B48" s="94" t="n"/>
      <c r="C48" s="94" t="n"/>
      <c r="D48" s="94" t="n"/>
      <c r="E48" s="94" t="n"/>
      <c r="F48" s="94" t="n"/>
    </row>
    <row r="49">
      <c r="A49" s="94" t="n"/>
      <c r="B49" s="94" t="n"/>
      <c r="C49" s="94" t="n"/>
      <c r="D49" s="94" t="n"/>
      <c r="E49" s="94" t="n"/>
      <c r="F49" s="94" t="n"/>
      <c r="G49" s="94" t="n"/>
    </row>
    <row r="50">
      <c r="A50" s="94" t="n"/>
      <c r="B50" s="94" t="n"/>
      <c r="C50" s="94" t="n"/>
      <c r="D50" s="94" t="n"/>
      <c r="E50" s="94" t="n"/>
      <c r="F50" s="94" t="n"/>
      <c r="G50" s="94" t="n"/>
    </row>
    <row r="51">
      <c r="A51" s="94" t="n"/>
      <c r="B51" s="94" t="n"/>
      <c r="C51" s="94" t="n"/>
      <c r="D51" s="94" t="n"/>
      <c r="E51" s="94" t="n"/>
      <c r="F51" s="94" t="n"/>
      <c r="G51" s="94" t="n"/>
    </row>
    <row r="52">
      <c r="A52" s="94" t="n"/>
      <c r="B52" s="94" t="n"/>
      <c r="C52" s="94" t="n"/>
      <c r="D52" s="94" t="n"/>
      <c r="E52" s="94" t="n"/>
      <c r="F52" s="94" t="n"/>
      <c r="G52" s="94" t="n"/>
    </row>
    <row r="53">
      <c r="A53" s="94" t="n"/>
      <c r="B53" s="94" t="n"/>
      <c r="C53" s="94" t="n"/>
      <c r="D53" s="94" t="n"/>
      <c r="E53" s="94" t="n"/>
      <c r="F53" s="94" t="n"/>
      <c r="G53" s="94" t="n"/>
    </row>
    <row r="54">
      <c r="A54" s="94" t="n"/>
      <c r="B54" s="94" t="n"/>
      <c r="C54" s="94" t="n"/>
      <c r="D54" s="94" t="n"/>
      <c r="E54" s="94" t="n"/>
      <c r="F54" s="94" t="n"/>
      <c r="G54" s="94" t="n"/>
    </row>
    <row r="55">
      <c r="A55" s="94" t="n"/>
      <c r="B55" s="94" t="n"/>
      <c r="C55" s="94" t="n"/>
      <c r="D55" s="94" t="n"/>
      <c r="E55" s="94" t="n"/>
      <c r="F55" s="94" t="n"/>
      <c r="G55" s="94" t="n"/>
    </row>
    <row r="56">
      <c r="A56" s="94" t="n"/>
      <c r="B56" s="94" t="n"/>
      <c r="C56" s="94" t="n"/>
      <c r="D56" s="94" t="n"/>
      <c r="E56" s="94" t="n"/>
      <c r="F56" s="94" t="n"/>
      <c r="G56" s="94" t="n"/>
    </row>
    <row r="57">
      <c r="A57" s="94" t="n"/>
      <c r="B57" s="94" t="n"/>
      <c r="C57" s="94" t="n"/>
      <c r="D57" s="94" t="n"/>
      <c r="E57" s="94" t="n"/>
      <c r="F57" s="94" t="n"/>
      <c r="G57" s="94" t="n"/>
    </row>
    <row r="58">
      <c r="A58" s="94" t="n"/>
      <c r="B58" s="94" t="n"/>
      <c r="C58" s="94" t="n"/>
      <c r="D58" s="94" t="n"/>
      <c r="E58" s="94" t="n"/>
      <c r="F58" s="94" t="n"/>
      <c r="G58" s="94" t="n"/>
    </row>
    <row r="59">
      <c r="A59" s="94" t="n"/>
      <c r="B59" s="94" t="n"/>
      <c r="C59" s="94" t="n"/>
      <c r="D59" s="94" t="n"/>
      <c r="E59" s="94" t="n"/>
      <c r="F59" s="94" t="n"/>
      <c r="G59" s="94" t="n"/>
    </row>
    <row r="60">
      <c r="A60" s="94" t="n"/>
      <c r="B60" s="94" t="n"/>
      <c r="C60" s="94" t="n"/>
      <c r="D60" s="94" t="n"/>
      <c r="E60" s="94" t="n"/>
      <c r="F60" s="94" t="n"/>
      <c r="G60" s="94" t="n"/>
    </row>
    <row r="61">
      <c r="A61" s="94" t="n"/>
      <c r="B61" s="94" t="n"/>
      <c r="C61" s="94" t="n"/>
      <c r="D61" s="94" t="n"/>
      <c r="E61" s="94" t="n"/>
      <c r="F61" s="94" t="n"/>
      <c r="G61" s="94" t="n"/>
    </row>
    <row r="62">
      <c r="A62" s="94" t="n"/>
      <c r="B62" s="94" t="n"/>
      <c r="C62" s="94" t="n"/>
      <c r="D62" s="94" t="n"/>
      <c r="G62" s="94" t="n"/>
    </row>
    <row r="63">
      <c r="A63" s="94" t="n"/>
      <c r="B63" s="94" t="n"/>
      <c r="C63" s="94" t="n"/>
      <c r="D63" s="94" t="n"/>
      <c r="G63" s="94" t="n"/>
    </row>
    <row r="64">
      <c r="A64" s="94" t="n"/>
      <c r="B64" s="94" t="n"/>
      <c r="C64" s="94" t="n"/>
      <c r="D64" s="94" t="n"/>
      <c r="G64" s="94" t="n"/>
    </row>
    <row r="65">
      <c r="D65" s="94" t="n"/>
    </row>
    <row r="66">
      <c r="D66" s="94" t="n"/>
    </row>
    <row r="67">
      <c r="D67" s="94" t="n"/>
    </row>
    <row r="68">
      <c r="D68" s="94" t="n"/>
    </row>
    <row r="69">
      <c r="D69" s="94" t="n"/>
    </row>
    <row r="70">
      <c r="D70" s="94" t="n"/>
    </row>
    <row r="71">
      <c r="D71" s="94" t="n"/>
    </row>
    <row r="72">
      <c r="D72" s="94" t="n"/>
    </row>
    <row r="73">
      <c r="D73" s="94" t="n"/>
    </row>
    <row r="74">
      <c r="D74" s="94" t="n"/>
    </row>
    <row r="75">
      <c r="D75" s="94" t="n"/>
    </row>
    <row r="76">
      <c r="D76" s="94" t="n"/>
    </row>
    <row r="77">
      <c r="D77" s="94" t="n"/>
    </row>
    <row r="78">
      <c r="D78" s="94" t="n"/>
    </row>
    <row r="79">
      <c r="D79" s="94" t="n"/>
    </row>
    <row r="80">
      <c r="D80" s="94" t="n"/>
    </row>
    <row r="81">
      <c r="D81" s="94" t="n"/>
    </row>
    <row r="82">
      <c r="D82" s="94" t="n"/>
    </row>
    <row r="83">
      <c r="D83" s="94" t="n"/>
    </row>
    <row r="84">
      <c r="D84" s="94" t="n"/>
    </row>
    <row r="85">
      <c r="D85" s="94" t="n"/>
    </row>
    <row r="86">
      <c r="D86" s="94" t="n"/>
    </row>
    <row r="87">
      <c r="D87" s="94" t="n"/>
    </row>
    <row r="88">
      <c r="D88" s="94" t="n"/>
    </row>
    <row r="89">
      <c r="D89" s="94" t="n"/>
    </row>
    <row r="90">
      <c r="D90" s="94" t="n"/>
    </row>
    <row r="91">
      <c r="D91" s="94" t="n"/>
    </row>
    <row r="92">
      <c r="D92" s="94" t="n"/>
    </row>
    <row r="93">
      <c r="D93" s="94" t="n"/>
    </row>
    <row r="94">
      <c r="D94" s="94" t="n"/>
    </row>
    <row r="95">
      <c r="D95" s="94" t="n"/>
    </row>
    <row r="96">
      <c r="D96" s="94" t="n"/>
    </row>
    <row r="97">
      <c r="D97" s="94" t="n"/>
    </row>
    <row r="98">
      <c r="D98" s="94" t="n"/>
    </row>
    <row r="99">
      <c r="D99" s="94" t="n"/>
    </row>
    <row r="100">
      <c r="D100" s="94" t="n"/>
    </row>
    <row r="101">
      <c r="D101" s="94" t="n"/>
    </row>
    <row r="102">
      <c r="D102" s="94" t="n"/>
    </row>
    <row r="103">
      <c r="D103" s="94" t="n"/>
    </row>
    <row r="104">
      <c r="D104" s="94" t="n"/>
    </row>
    <row r="105">
      <c r="D105" s="94" t="n"/>
    </row>
    <row r="106">
      <c r="D106" s="94" t="n"/>
    </row>
    <row r="107">
      <c r="D107" s="94" t="n"/>
    </row>
    <row r="108">
      <c r="D108" s="94" t="n"/>
    </row>
    <row r="109">
      <c r="D109" s="94" t="n"/>
    </row>
    <row r="110">
      <c r="D110" s="94" t="n"/>
    </row>
    <row r="111">
      <c r="D111" s="94" t="n"/>
    </row>
    <row r="112">
      <c r="D112" s="94" t="n"/>
    </row>
    <row r="113">
      <c r="D113" s="94" t="n"/>
    </row>
    <row r="114">
      <c r="D114" s="94" t="n"/>
    </row>
    <row r="115">
      <c r="D115" s="94" t="n"/>
    </row>
    <row r="116">
      <c r="D116" s="94" t="n"/>
    </row>
    <row r="117">
      <c r="D117" s="94" t="n"/>
    </row>
    <row r="118">
      <c r="D118" s="94" t="n"/>
    </row>
    <row r="119">
      <c r="D119" s="94" t="n"/>
    </row>
    <row r="120">
      <c r="D120" s="94" t="n"/>
    </row>
    <row r="121">
      <c r="D121" s="94" t="n"/>
    </row>
    <row r="122">
      <c r="D122" s="94" t="n"/>
    </row>
    <row r="123">
      <c r="D123" s="94" t="n"/>
    </row>
    <row r="124">
      <c r="D124" s="94" t="n"/>
    </row>
    <row r="125">
      <c r="D125" s="94" t="n"/>
    </row>
    <row r="126">
      <c r="D126" s="94" t="n"/>
    </row>
    <row r="127">
      <c r="D127" s="94" t="n"/>
    </row>
    <row r="128">
      <c r="D128" s="94" t="n"/>
    </row>
    <row r="129">
      <c r="D129" s="94" t="n"/>
    </row>
    <row r="130">
      <c r="D130" s="94" t="n"/>
    </row>
    <row r="131">
      <c r="D131" s="94" t="n"/>
    </row>
    <row r="132">
      <c r="D132" s="94" t="n"/>
    </row>
    <row r="133">
      <c r="D133" s="94" t="n"/>
    </row>
    <row r="134">
      <c r="D134" s="94" t="n"/>
    </row>
    <row r="135">
      <c r="D135" s="94" t="n"/>
    </row>
    <row r="136">
      <c r="D136" s="94" t="n"/>
    </row>
    <row r="137">
      <c r="D137" s="94" t="n"/>
    </row>
    <row r="138">
      <c r="D138" s="94" t="n"/>
    </row>
    <row r="139">
      <c r="D139" s="94" t="n"/>
    </row>
    <row r="140">
      <c r="D140" s="94" t="n"/>
    </row>
    <row r="141">
      <c r="D141" s="94" t="n"/>
    </row>
    <row r="142">
      <c r="D142" s="94" t="n"/>
    </row>
    <row r="143">
      <c r="D143" s="94" t="n"/>
    </row>
    <row r="144">
      <c r="D144" s="94" t="n"/>
    </row>
    <row r="145">
      <c r="D145" s="94" t="n"/>
    </row>
    <row r="146">
      <c r="D146" s="94" t="n"/>
    </row>
    <row r="147">
      <c r="D147" s="94" t="n"/>
    </row>
    <row r="148">
      <c r="D148" s="94" t="n"/>
    </row>
    <row r="149">
      <c r="D149" s="94" t="n"/>
    </row>
    <row r="150">
      <c r="D150" s="94" t="n"/>
    </row>
    <row r="151">
      <c r="D151" s="94" t="n"/>
    </row>
    <row r="152">
      <c r="D152" s="94" t="n"/>
    </row>
    <row r="153">
      <c r="D153" s="94" t="n"/>
    </row>
    <row r="154">
      <c r="D154" s="94" t="n"/>
    </row>
    <row r="155">
      <c r="D155" s="94" t="n"/>
    </row>
    <row r="156">
      <c r="D156" s="94" t="n"/>
    </row>
    <row r="157">
      <c r="D157" s="94" t="n"/>
    </row>
    <row r="158">
      <c r="D158" s="94" t="n"/>
    </row>
    <row r="159">
      <c r="D159" s="94" t="n"/>
    </row>
    <row r="160">
      <c r="D160" s="94" t="n"/>
    </row>
    <row r="161">
      <c r="D161" s="94" t="n"/>
    </row>
    <row r="162">
      <c r="D162" s="94" t="n"/>
    </row>
    <row r="163">
      <c r="D163" s="94" t="n"/>
    </row>
    <row r="164">
      <c r="D164" s="94" t="n"/>
    </row>
    <row r="165">
      <c r="D165" s="94" t="n"/>
    </row>
    <row r="166">
      <c r="D166" s="94" t="n"/>
    </row>
    <row r="167">
      <c r="D167" s="94" t="n"/>
    </row>
    <row r="168">
      <c r="D168" s="94" t="n"/>
    </row>
    <row r="169">
      <c r="D169" s="94" t="n"/>
    </row>
    <row r="170">
      <c r="D170" s="94" t="n"/>
    </row>
    <row r="171">
      <c r="D171" s="94" t="n"/>
    </row>
    <row r="172">
      <c r="D172" s="94" t="n"/>
    </row>
    <row r="173">
      <c r="D173" s="94" t="n"/>
    </row>
    <row r="174">
      <c r="D174" s="94" t="n"/>
    </row>
    <row r="175">
      <c r="D175" s="94" t="n"/>
    </row>
    <row r="176">
      <c r="D176" s="94" t="n"/>
    </row>
    <row r="177">
      <c r="D177" s="94" t="n"/>
    </row>
    <row r="178">
      <c r="D178" s="94" t="n"/>
    </row>
    <row r="179">
      <c r="D179" s="94" t="n"/>
    </row>
    <row r="180">
      <c r="D180" s="94" t="n"/>
    </row>
    <row r="181">
      <c r="D181" s="94" t="n"/>
    </row>
    <row r="182">
      <c r="D182" s="94" t="n"/>
    </row>
    <row r="183">
      <c r="D183" s="94" t="n"/>
    </row>
    <row r="184">
      <c r="D184" s="94" t="n"/>
    </row>
    <row r="185">
      <c r="D185" s="94" t="n"/>
    </row>
    <row r="186">
      <c r="D186" s="94" t="n"/>
    </row>
    <row r="187">
      <c r="D187" s="94" t="n"/>
    </row>
    <row r="188">
      <c r="D188" s="94" t="n"/>
    </row>
    <row r="189">
      <c r="D189" s="94" t="n"/>
    </row>
    <row r="190">
      <c r="D190" s="94" t="n"/>
    </row>
    <row r="191">
      <c r="D191" s="94" t="n"/>
    </row>
    <row r="192">
      <c r="D192" s="94" t="n"/>
    </row>
    <row r="193">
      <c r="D193" s="94" t="n"/>
    </row>
    <row r="194">
      <c r="D194" s="94" t="n"/>
    </row>
    <row r="195">
      <c r="D195" s="94" t="n"/>
    </row>
    <row r="196">
      <c r="D196" s="94" t="n"/>
    </row>
    <row r="197">
      <c r="D197" s="94" t="n"/>
    </row>
    <row r="198">
      <c r="D198" s="94" t="n"/>
    </row>
    <row r="199">
      <c r="D199" s="94" t="n"/>
    </row>
    <row r="200">
      <c r="D200" s="94" t="n"/>
    </row>
    <row r="201">
      <c r="D201" s="94" t="n"/>
    </row>
    <row r="202">
      <c r="D202" s="94" t="n"/>
    </row>
    <row r="203">
      <c r="D203" s="94" t="n"/>
    </row>
    <row r="204">
      <c r="D204" s="94" t="n"/>
    </row>
    <row r="205">
      <c r="D205" s="94" t="n"/>
    </row>
    <row r="206">
      <c r="D206" s="94" t="n"/>
    </row>
    <row r="207">
      <c r="D207" s="94" t="n"/>
    </row>
    <row r="208">
      <c r="D208" s="94" t="n"/>
    </row>
    <row r="209">
      <c r="D209" s="94" t="n"/>
    </row>
    <row r="210">
      <c r="D210" s="94" t="n"/>
    </row>
    <row r="211">
      <c r="D211" s="94" t="n"/>
    </row>
    <row r="212">
      <c r="D212" s="94" t="n"/>
    </row>
    <row r="213">
      <c r="D213" s="94" t="n"/>
    </row>
    <row r="214">
      <c r="D214" s="94" t="n"/>
    </row>
    <row r="215">
      <c r="D215" s="94" t="n"/>
    </row>
    <row r="216">
      <c r="D216" s="94" t="n"/>
    </row>
    <row r="217">
      <c r="D217" s="94" t="n"/>
    </row>
    <row r="218">
      <c r="D218" s="94" t="n"/>
    </row>
    <row r="219">
      <c r="D219" s="94" t="n"/>
    </row>
    <row r="220">
      <c r="D220" s="94" t="n"/>
    </row>
    <row r="221">
      <c r="D221" s="94" t="n"/>
    </row>
    <row r="222">
      <c r="D222" s="94" t="n"/>
    </row>
    <row r="223">
      <c r="D223" s="94" t="n"/>
    </row>
    <row r="224">
      <c r="D224" s="94" t="n"/>
    </row>
    <row r="225">
      <c r="D225" s="94" t="n"/>
    </row>
    <row r="226">
      <c r="D226" s="94" t="n"/>
    </row>
    <row r="227">
      <c r="D227" s="94" t="n"/>
    </row>
    <row r="228">
      <c r="D228" s="94" t="n"/>
    </row>
    <row r="229">
      <c r="D229" s="94" t="n"/>
    </row>
    <row r="230">
      <c r="D230" s="94" t="n"/>
    </row>
    <row r="231">
      <c r="D231" s="94" t="n"/>
    </row>
    <row r="232">
      <c r="D232" s="94" t="n"/>
    </row>
    <row r="233">
      <c r="D233" s="94" t="n"/>
    </row>
    <row r="234">
      <c r="D234" s="9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3:C1834"/>
  <sheetViews>
    <sheetView topLeftCell="A4" workbookViewId="0">
      <selection activeCell="D18" sqref="D18"/>
    </sheetView>
  </sheetViews>
  <sheetFormatPr baseColWidth="8" defaultRowHeight="17.4"/>
  <cols>
    <col width="18.8984375" bestFit="1" customWidth="1" style="93" min="1" max="1"/>
    <col width="14.5" bestFit="1" customWidth="1" style="93" min="2" max="2"/>
    <col width="14.5" bestFit="1" customWidth="1" style="129" min="3" max="3"/>
    <col width="14.5" bestFit="1" customWidth="1" style="93" min="4" max="11"/>
    <col width="11.19921875" bestFit="1" customWidth="1" style="93" min="12" max="12"/>
    <col width="13.19921875" bestFit="1" customWidth="1" style="93" min="13" max="13"/>
    <col width="10.19921875" bestFit="1" customWidth="1" style="93" min="14" max="14"/>
    <col width="16.3984375" bestFit="1" customWidth="1" style="93" min="15" max="15"/>
    <col width="14.5" bestFit="1" customWidth="1" style="93" min="16" max="16"/>
    <col width="11.19921875" bestFit="1" customWidth="1" style="93" min="17" max="17"/>
    <col width="13.19921875" bestFit="1" customWidth="1" style="93" min="18" max="18"/>
    <col width="12" bestFit="1" customWidth="1" style="93" min="19" max="19"/>
    <col width="13.19921875" bestFit="1" customWidth="1" style="93" min="20" max="20"/>
    <col width="11.19921875" bestFit="1" customWidth="1" style="93" min="21" max="21"/>
  </cols>
  <sheetData>
    <row r="3">
      <c r="A3" s="1" t="inlineStr">
        <is>
          <t>일자</t>
        </is>
      </c>
      <c r="B3" s="94" t="inlineStr">
        <is>
          <t>(모두)</t>
        </is>
      </c>
    </row>
    <row r="5">
      <c r="A5" s="1" t="inlineStr">
        <is>
          <t>채널</t>
        </is>
      </c>
      <c r="B5" s="94" t="inlineStr">
        <is>
          <t>합계 : 판매액</t>
        </is>
      </c>
      <c r="C5" s="94" t="n"/>
    </row>
    <row r="6">
      <c r="A6" s="94" t="inlineStr">
        <is>
          <t>W컨셉</t>
        </is>
      </c>
      <c r="B6" s="127" t="n">
        <v>146010000</v>
      </c>
      <c r="C6" s="94" t="n"/>
    </row>
    <row r="7">
      <c r="A7" s="94" t="inlineStr">
        <is>
          <t>굿닥</t>
        </is>
      </c>
      <c r="B7" s="127" t="n">
        <v>314000</v>
      </c>
      <c r="C7" s="94" t="n"/>
    </row>
    <row r="8">
      <c r="A8" s="94" t="inlineStr">
        <is>
          <t>글로우데이즈 시코르</t>
        </is>
      </c>
      <c r="B8" s="127" t="n">
        <v>72834514</v>
      </c>
      <c r="C8" s="94" t="n"/>
    </row>
    <row r="9">
      <c r="A9" s="94" t="inlineStr">
        <is>
          <t>라자다싱가폴</t>
        </is>
      </c>
      <c r="B9" s="127" t="n">
        <v>24309</v>
      </c>
      <c r="C9" s="94" t="n"/>
    </row>
    <row r="10">
      <c r="A10" s="94" t="inlineStr">
        <is>
          <t>랄라블라</t>
        </is>
      </c>
      <c r="B10" s="127" t="n">
        <v>694451555</v>
      </c>
      <c r="C10" s="94" t="n"/>
    </row>
    <row r="11">
      <c r="A11" s="94" t="inlineStr">
        <is>
          <t>쇼피대만</t>
        </is>
      </c>
      <c r="B11" s="127" t="n">
        <v>35455</v>
      </c>
      <c r="C11" s="94" t="n"/>
    </row>
    <row r="12">
      <c r="A12" s="94" t="inlineStr">
        <is>
          <t>쇼피말레이시아</t>
        </is>
      </c>
      <c r="B12" s="127" t="n">
        <v>104928</v>
      </c>
      <c r="C12" s="94" t="n"/>
    </row>
    <row r="13">
      <c r="A13" s="94" t="inlineStr">
        <is>
          <t>쇼피싱가폴</t>
        </is>
      </c>
      <c r="B13" s="127" t="n">
        <v>142792</v>
      </c>
      <c r="C13" s="94" t="n"/>
    </row>
    <row r="14">
      <c r="A14" s="94" t="inlineStr">
        <is>
          <t>쇼피인도네시아</t>
        </is>
      </c>
      <c r="B14" s="127" t="n">
        <v>107546</v>
      </c>
      <c r="C14" s="94" t="n"/>
    </row>
    <row r="15">
      <c r="A15" s="94" t="inlineStr">
        <is>
          <t>쇼피태국</t>
        </is>
      </c>
      <c r="B15" s="127" t="n">
        <v>2255784</v>
      </c>
      <c r="C15" s="94" t="n"/>
    </row>
    <row r="16">
      <c r="A16" s="94" t="inlineStr">
        <is>
          <t>쇼피필리핀</t>
        </is>
      </c>
      <c r="B16" s="127" t="n">
        <v>206697</v>
      </c>
      <c r="C16" s="94" t="n"/>
    </row>
    <row r="17">
      <c r="A17" s="94" t="inlineStr">
        <is>
          <t>스타일쉐어</t>
        </is>
      </c>
      <c r="B17" s="127" t="n">
        <v>51704000</v>
      </c>
      <c r="C17" s="94" t="n"/>
    </row>
    <row r="18">
      <c r="A18" s="94" t="inlineStr">
        <is>
          <t>아누아 CS</t>
        </is>
      </c>
      <c r="B18" s="127" t="n">
        <v>40000</v>
      </c>
      <c r="C18" s="94" t="n"/>
    </row>
    <row r="19">
      <c r="A19" s="94" t="inlineStr">
        <is>
          <t>카페24</t>
        </is>
      </c>
      <c r="B19" s="127" t="n">
        <v>4100601100</v>
      </c>
      <c r="C19" s="94" t="n"/>
    </row>
    <row r="20">
      <c r="A20" s="94" t="inlineStr">
        <is>
          <t>큐텐</t>
        </is>
      </c>
      <c r="B20" s="127" t="n">
        <v>168820000</v>
      </c>
      <c r="C20" s="94" t="n"/>
    </row>
    <row r="21">
      <c r="A21" s="94" t="inlineStr">
        <is>
          <t>큐텐싱가폴</t>
        </is>
      </c>
      <c r="B21" s="127" t="n">
        <v>101141</v>
      </c>
      <c r="C21" s="94" t="n"/>
    </row>
    <row r="22">
      <c r="A22" s="94" t="inlineStr">
        <is>
          <t>큐텐재팬</t>
        </is>
      </c>
      <c r="B22" s="127" t="n">
        <v>48959500</v>
      </c>
      <c r="C22" s="94" t="n"/>
    </row>
    <row r="23">
      <c r="A23" s="94" t="inlineStr">
        <is>
          <t>현대면세점</t>
        </is>
      </c>
      <c r="B23" s="127" t="n">
        <v>3087000</v>
      </c>
      <c r="C23" s="94" t="n"/>
    </row>
    <row r="24">
      <c r="A24" s="94" t="inlineStr">
        <is>
          <t>화해</t>
        </is>
      </c>
      <c r="B24" s="127" t="n">
        <v>15801100</v>
      </c>
      <c r="C24" s="94" t="n"/>
    </row>
    <row r="25">
      <c r="A25" s="94" t="inlineStr">
        <is>
          <t>(비어 있음)</t>
        </is>
      </c>
      <c r="B25" s="127" t="n"/>
      <c r="C25" s="94" t="n"/>
    </row>
    <row r="26">
      <c r="A26" s="94" t="inlineStr">
        <is>
          <t>총합계</t>
        </is>
      </c>
      <c r="B26" s="127" t="n">
        <v>5305601421</v>
      </c>
      <c r="C26" s="94" t="n"/>
    </row>
    <row r="27">
      <c r="C27" s="94" t="n"/>
    </row>
    <row r="28">
      <c r="C28" s="94" t="n"/>
    </row>
    <row r="29">
      <c r="C29" s="94" t="n"/>
    </row>
    <row r="30">
      <c r="C30" s="94" t="n"/>
    </row>
    <row r="31">
      <c r="C31" s="94" t="n"/>
    </row>
    <row r="32">
      <c r="C32" s="94" t="n"/>
    </row>
    <row r="33">
      <c r="C33" s="94" t="n"/>
    </row>
    <row r="34">
      <c r="C34" s="94" t="n"/>
    </row>
    <row r="35">
      <c r="C35" s="94" t="n"/>
    </row>
    <row r="36">
      <c r="C36" s="94" t="n"/>
    </row>
    <row r="37">
      <c r="C37" s="94" t="n"/>
    </row>
    <row r="38">
      <c r="C38" s="94" t="n"/>
    </row>
    <row r="39">
      <c r="C39" s="94" t="n"/>
    </row>
    <row r="40">
      <c r="C40" s="94" t="n"/>
    </row>
    <row r="41">
      <c r="C41" s="94" t="n"/>
    </row>
    <row r="42">
      <c r="C42" s="94" t="n"/>
    </row>
    <row r="43">
      <c r="C43" s="94" t="n"/>
    </row>
    <row r="44">
      <c r="C44" s="94" t="n"/>
    </row>
    <row r="45">
      <c r="C45" s="94" t="n"/>
    </row>
    <row r="46">
      <c r="C46" s="94" t="n"/>
    </row>
    <row r="47">
      <c r="C47" s="94" t="n"/>
    </row>
    <row r="48">
      <c r="C48" s="94" t="n"/>
    </row>
    <row r="49">
      <c r="C49" s="94" t="n"/>
    </row>
    <row r="50">
      <c r="C50" s="94" t="n"/>
    </row>
    <row r="51">
      <c r="C51" s="94" t="n"/>
    </row>
    <row r="52">
      <c r="C52" s="94" t="n"/>
    </row>
    <row r="53">
      <c r="C53" s="94" t="n"/>
    </row>
    <row r="54">
      <c r="C54" s="94" t="n"/>
    </row>
    <row r="55">
      <c r="C55" s="94" t="n"/>
    </row>
    <row r="56">
      <c r="C56" s="94" t="n"/>
    </row>
    <row r="57">
      <c r="C57" s="94" t="n"/>
    </row>
    <row r="58">
      <c r="C58" s="94" t="n"/>
    </row>
    <row r="59">
      <c r="C59" s="94" t="n"/>
    </row>
    <row r="60">
      <c r="C60" s="94" t="n"/>
    </row>
    <row r="61">
      <c r="C61" s="94" t="n"/>
    </row>
    <row r="62">
      <c r="C62" s="94" t="n"/>
    </row>
    <row r="63">
      <c r="C63" s="94" t="n"/>
    </row>
    <row r="64">
      <c r="C64" s="94" t="n"/>
    </row>
    <row r="65">
      <c r="C65" s="94" t="n"/>
    </row>
    <row r="66">
      <c r="C66" s="94" t="n"/>
    </row>
    <row r="67">
      <c r="C67" s="94" t="n"/>
    </row>
    <row r="68">
      <c r="C68" s="94" t="n"/>
    </row>
    <row r="69">
      <c r="C69" s="94" t="n"/>
    </row>
    <row r="70">
      <c r="C70" s="94" t="n"/>
    </row>
    <row r="71">
      <c r="C71" s="94" t="n"/>
    </row>
    <row r="72">
      <c r="C72" s="94" t="n"/>
    </row>
    <row r="73">
      <c r="C73" s="94" t="n"/>
    </row>
    <row r="74">
      <c r="C74" s="94" t="n"/>
    </row>
    <row r="75">
      <c r="C75" s="94" t="n"/>
    </row>
    <row r="76">
      <c r="C76" s="94" t="n"/>
    </row>
    <row r="77">
      <c r="C77" s="94" t="n"/>
    </row>
    <row r="78">
      <c r="C78" s="94" t="n"/>
    </row>
    <row r="79">
      <c r="C79" s="94" t="n"/>
    </row>
    <row r="80">
      <c r="C80" s="94" t="n"/>
    </row>
    <row r="81">
      <c r="C81" s="94" t="n"/>
    </row>
    <row r="82">
      <c r="C82" s="94" t="n"/>
    </row>
    <row r="83">
      <c r="C83" s="94" t="n"/>
    </row>
    <row r="84">
      <c r="C84" s="94" t="n"/>
    </row>
    <row r="85">
      <c r="C85" s="94" t="n"/>
    </row>
    <row r="86">
      <c r="C86" s="94" t="n"/>
    </row>
    <row r="87">
      <c r="C87" s="94" t="n"/>
    </row>
    <row r="88">
      <c r="C88" s="94" t="n"/>
    </row>
    <row r="89">
      <c r="C89" s="94" t="n"/>
    </row>
    <row r="90">
      <c r="C90" s="94" t="n"/>
    </row>
    <row r="91">
      <c r="C91" s="94" t="n"/>
    </row>
    <row r="92">
      <c r="C92" s="94" t="n"/>
    </row>
    <row r="93">
      <c r="C93" s="94" t="n"/>
    </row>
    <row r="94">
      <c r="C94" s="94" t="n"/>
    </row>
    <row r="95">
      <c r="C95" s="94" t="n"/>
    </row>
    <row r="96">
      <c r="C96" s="94" t="n"/>
    </row>
    <row r="97">
      <c r="C97" s="94" t="n"/>
    </row>
    <row r="98">
      <c r="C98" s="94" t="n"/>
    </row>
    <row r="99">
      <c r="C99" s="94" t="n"/>
    </row>
    <row r="100">
      <c r="C100" s="94" t="n"/>
    </row>
    <row r="101">
      <c r="C101" s="94" t="n"/>
    </row>
    <row r="102">
      <c r="C102" s="94" t="n"/>
    </row>
    <row r="103">
      <c r="C103" s="94" t="n"/>
    </row>
    <row r="104">
      <c r="C104" s="94" t="n"/>
    </row>
    <row r="105">
      <c r="C105" s="94" t="n"/>
    </row>
    <row r="106">
      <c r="C106" s="94" t="n"/>
    </row>
    <row r="107">
      <c r="C107" s="94" t="n"/>
    </row>
    <row r="108">
      <c r="C108" s="94" t="n"/>
    </row>
    <row r="109">
      <c r="C109" s="94" t="n"/>
    </row>
    <row r="110">
      <c r="C110" s="94" t="n"/>
    </row>
    <row r="111">
      <c r="C111" s="94" t="n"/>
    </row>
    <row r="112">
      <c r="C112" s="94" t="n"/>
    </row>
    <row r="113">
      <c r="C113" s="94" t="n"/>
    </row>
    <row r="114">
      <c r="C114" s="94" t="n"/>
    </row>
    <row r="115">
      <c r="C115" s="94" t="n"/>
    </row>
    <row r="116">
      <c r="C116" s="94" t="n"/>
    </row>
    <row r="117">
      <c r="C117" s="94" t="n"/>
    </row>
    <row r="118">
      <c r="C118" s="94" t="n"/>
    </row>
    <row r="119">
      <c r="C119" s="94" t="n"/>
    </row>
    <row r="120">
      <c r="C120" s="94" t="n"/>
    </row>
    <row r="121">
      <c r="C121" s="94" t="n"/>
    </row>
    <row r="122">
      <c r="C122" s="94" t="n"/>
    </row>
    <row r="123">
      <c r="C123" s="94" t="n"/>
    </row>
    <row r="124">
      <c r="C124" s="94" t="n"/>
    </row>
    <row r="125">
      <c r="C125" s="94" t="n"/>
    </row>
    <row r="126">
      <c r="C126" s="94" t="n"/>
    </row>
    <row r="127">
      <c r="C127" s="94" t="n"/>
    </row>
    <row r="128">
      <c r="C128" s="94" t="n"/>
    </row>
    <row r="129">
      <c r="C129" s="94" t="n"/>
    </row>
    <row r="130">
      <c r="C130" s="94" t="n"/>
    </row>
    <row r="131">
      <c r="C131" s="94" t="n"/>
    </row>
    <row r="132">
      <c r="C132" s="94" t="n"/>
    </row>
    <row r="133">
      <c r="C133" s="94" t="n"/>
    </row>
    <row r="134">
      <c r="C134" s="94" t="n"/>
    </row>
    <row r="135">
      <c r="C135" s="94" t="n"/>
    </row>
    <row r="136">
      <c r="C136" s="94" t="n"/>
    </row>
    <row r="137">
      <c r="C137" s="94" t="n"/>
    </row>
    <row r="138">
      <c r="C138" s="94" t="n"/>
    </row>
    <row r="139">
      <c r="C139" s="94" t="n"/>
    </row>
    <row r="140">
      <c r="C140" s="94" t="n"/>
    </row>
    <row r="141">
      <c r="C141" s="94" t="n"/>
    </row>
    <row r="142">
      <c r="C142" s="94" t="n"/>
    </row>
    <row r="143">
      <c r="C143" s="94" t="n"/>
    </row>
    <row r="144">
      <c r="C144" s="94" t="n"/>
    </row>
    <row r="145">
      <c r="C145" s="94" t="n"/>
    </row>
    <row r="146">
      <c r="C146" s="94" t="n"/>
    </row>
    <row r="147">
      <c r="C147" s="94" t="n"/>
    </row>
    <row r="148">
      <c r="C148" s="94" t="n"/>
    </row>
    <row r="149">
      <c r="C149" s="94" t="n"/>
    </row>
    <row r="150">
      <c r="C150" s="94" t="n"/>
    </row>
    <row r="151">
      <c r="C151" s="94" t="n"/>
    </row>
    <row r="152">
      <c r="C152" s="94" t="n"/>
    </row>
    <row r="153">
      <c r="C153" s="94" t="n"/>
    </row>
    <row r="154">
      <c r="C154" s="94" t="n"/>
    </row>
    <row r="155">
      <c r="C155" s="94" t="n"/>
    </row>
    <row r="156">
      <c r="C156" s="94" t="n"/>
    </row>
    <row r="157">
      <c r="C157" s="94" t="n"/>
    </row>
    <row r="158">
      <c r="C158" s="94" t="n"/>
    </row>
    <row r="159">
      <c r="C159" s="94" t="n"/>
    </row>
    <row r="160">
      <c r="C160" s="94" t="n"/>
    </row>
    <row r="161">
      <c r="C161" s="94" t="n"/>
    </row>
    <row r="162">
      <c r="C162" s="94" t="n"/>
    </row>
    <row r="163">
      <c r="C163" s="94" t="n"/>
    </row>
    <row r="164">
      <c r="C164" s="94" t="n"/>
    </row>
    <row r="165">
      <c r="C165" s="94" t="n"/>
    </row>
    <row r="166">
      <c r="C166" s="94" t="n"/>
    </row>
    <row r="167">
      <c r="C167" s="94" t="n"/>
    </row>
    <row r="168">
      <c r="C168" s="94" t="n"/>
    </row>
    <row r="169">
      <c r="C169" s="94" t="n"/>
    </row>
    <row r="170">
      <c r="C170" s="94" t="n"/>
    </row>
    <row r="171">
      <c r="C171" s="94" t="n"/>
    </row>
    <row r="172">
      <c r="C172" s="94" t="n"/>
    </row>
    <row r="173">
      <c r="C173" s="94" t="n"/>
    </row>
    <row r="174">
      <c r="C174" s="94" t="n"/>
    </row>
    <row r="175">
      <c r="C175" s="94" t="n"/>
    </row>
    <row r="176">
      <c r="C176" s="94" t="n"/>
    </row>
    <row r="177">
      <c r="C177" s="94" t="n"/>
    </row>
    <row r="178">
      <c r="C178" s="94" t="n"/>
    </row>
    <row r="179">
      <c r="C179" s="94" t="n"/>
    </row>
    <row r="180">
      <c r="C180" s="94" t="n"/>
    </row>
    <row r="181">
      <c r="C181" s="94" t="n"/>
    </row>
    <row r="182">
      <c r="C182" s="94" t="n"/>
    </row>
    <row r="183">
      <c r="C183" s="94" t="n"/>
    </row>
    <row r="184">
      <c r="C184" s="94" t="n"/>
    </row>
    <row r="185">
      <c r="C185" s="94" t="n"/>
    </row>
    <row r="186">
      <c r="C186" s="94" t="n"/>
    </row>
    <row r="187">
      <c r="C187" s="94" t="n"/>
    </row>
    <row r="188">
      <c r="C188" s="94" t="n"/>
    </row>
    <row r="189">
      <c r="C189" s="94" t="n"/>
    </row>
    <row r="190">
      <c r="C190" s="94" t="n"/>
    </row>
    <row r="191">
      <c r="C191" s="94" t="n"/>
    </row>
    <row r="192">
      <c r="C192" s="94" t="n"/>
    </row>
    <row r="193">
      <c r="C193" s="94" t="n"/>
    </row>
    <row r="194">
      <c r="C194" s="94" t="n"/>
    </row>
    <row r="195">
      <c r="C195" s="94" t="n"/>
    </row>
    <row r="196">
      <c r="C196" s="94" t="n"/>
    </row>
    <row r="197">
      <c r="C197" s="94" t="n"/>
    </row>
    <row r="198">
      <c r="C198" s="94" t="n"/>
    </row>
    <row r="199">
      <c r="C199" s="94" t="n"/>
    </row>
    <row r="200">
      <c r="C200" s="94" t="n"/>
    </row>
    <row r="201">
      <c r="C201" s="94" t="n"/>
    </row>
    <row r="202">
      <c r="C202" s="94" t="n"/>
    </row>
    <row r="203">
      <c r="C203" s="94" t="n"/>
    </row>
    <row r="204">
      <c r="C204" s="94" t="n"/>
    </row>
    <row r="205">
      <c r="C205" s="94" t="n"/>
    </row>
    <row r="206">
      <c r="C206" s="94" t="n"/>
    </row>
    <row r="207">
      <c r="C207" s="94" t="n"/>
    </row>
    <row r="208">
      <c r="C208" s="94" t="n"/>
    </row>
    <row r="209">
      <c r="C209" s="94" t="n"/>
    </row>
    <row r="210">
      <c r="C210" s="94" t="n"/>
    </row>
    <row r="211">
      <c r="C211" s="94" t="n"/>
    </row>
    <row r="212">
      <c r="C212" s="94" t="n"/>
    </row>
    <row r="213">
      <c r="C213" s="94" t="n"/>
    </row>
    <row r="214">
      <c r="C214" s="94" t="n"/>
    </row>
    <row r="215">
      <c r="C215" s="94" t="n"/>
    </row>
    <row r="216">
      <c r="C216" s="94" t="n"/>
    </row>
    <row r="217">
      <c r="C217" s="94" t="n"/>
    </row>
    <row r="218">
      <c r="C218" s="94" t="n"/>
    </row>
    <row r="219">
      <c r="C219" s="94" t="n"/>
    </row>
    <row r="220">
      <c r="C220" s="94" t="n"/>
    </row>
    <row r="221">
      <c r="C221" s="94" t="n"/>
    </row>
    <row r="222">
      <c r="C222" s="94" t="n"/>
    </row>
    <row r="223">
      <c r="C223" s="94" t="n"/>
    </row>
    <row r="224">
      <c r="C224" s="94" t="n"/>
    </row>
    <row r="225">
      <c r="C225" s="94" t="n"/>
    </row>
    <row r="226">
      <c r="C226" s="94" t="n"/>
    </row>
    <row r="227">
      <c r="C227" s="94" t="n"/>
    </row>
    <row r="228">
      <c r="C228" s="94" t="n"/>
    </row>
    <row r="229">
      <c r="C229" s="94" t="n"/>
    </row>
    <row r="230">
      <c r="C230" s="94" t="n"/>
    </row>
    <row r="231">
      <c r="C231" s="94" t="n"/>
    </row>
    <row r="232">
      <c r="C232" s="94" t="n"/>
    </row>
    <row r="233">
      <c r="C233" s="94" t="n"/>
    </row>
    <row r="234">
      <c r="C234" s="94" t="n"/>
    </row>
    <row r="235">
      <c r="C235" s="94" t="n"/>
    </row>
    <row r="236">
      <c r="C236" s="94" t="n"/>
    </row>
    <row r="237">
      <c r="C237" s="94" t="n"/>
    </row>
    <row r="238">
      <c r="C238" s="94" t="n"/>
    </row>
    <row r="239">
      <c r="C239" s="94" t="n"/>
    </row>
    <row r="240">
      <c r="C240" s="94" t="n"/>
    </row>
    <row r="241">
      <c r="C241" s="94" t="n"/>
    </row>
    <row r="242">
      <c r="C242" s="94" t="n"/>
    </row>
    <row r="243">
      <c r="C243" s="94" t="n"/>
    </row>
    <row r="244">
      <c r="C244" s="94" t="n"/>
    </row>
    <row r="245">
      <c r="C245" s="94" t="n"/>
    </row>
    <row r="246">
      <c r="C246" s="94" t="n"/>
    </row>
    <row r="247">
      <c r="C247" s="94" t="n"/>
    </row>
    <row r="248">
      <c r="C248" s="94" t="n"/>
    </row>
    <row r="249">
      <c r="C249" s="94" t="n"/>
    </row>
    <row r="250">
      <c r="C250" s="94" t="n"/>
    </row>
    <row r="251">
      <c r="C251" s="94" t="n"/>
    </row>
    <row r="252">
      <c r="C252" s="94" t="n"/>
    </row>
    <row r="253">
      <c r="C253" s="94" t="n"/>
    </row>
    <row r="254">
      <c r="C254" s="94" t="n"/>
    </row>
    <row r="255">
      <c r="C255" s="94" t="n"/>
    </row>
    <row r="256">
      <c r="C256" s="94" t="n"/>
    </row>
    <row r="257">
      <c r="C257" s="94" t="n"/>
    </row>
    <row r="258">
      <c r="C258" s="94" t="n"/>
    </row>
    <row r="259">
      <c r="C259" s="94" t="n"/>
    </row>
    <row r="260">
      <c r="C260" s="94" t="n"/>
    </row>
    <row r="261">
      <c r="C261" s="94" t="n"/>
    </row>
    <row r="262">
      <c r="C262" s="94" t="n"/>
    </row>
    <row r="263">
      <c r="C263" s="94" t="n"/>
    </row>
    <row r="264">
      <c r="C264" s="94" t="n"/>
    </row>
    <row r="265">
      <c r="C265" s="94" t="n"/>
    </row>
    <row r="266">
      <c r="C266" s="94" t="n"/>
    </row>
    <row r="267">
      <c r="C267" s="94" t="n"/>
    </row>
    <row r="268">
      <c r="C268" s="94" t="n"/>
    </row>
    <row r="269">
      <c r="C269" s="94" t="n"/>
    </row>
    <row r="270">
      <c r="C270" s="94" t="n"/>
    </row>
    <row r="271">
      <c r="C271" s="94" t="n"/>
    </row>
    <row r="272">
      <c r="C272" s="94" t="n"/>
    </row>
    <row r="273">
      <c r="C273" s="94" t="n"/>
    </row>
    <row r="274">
      <c r="C274" s="94" t="n"/>
    </row>
    <row r="275">
      <c r="C275" s="94" t="n"/>
    </row>
    <row r="276">
      <c r="C276" s="94" t="n"/>
    </row>
    <row r="277">
      <c r="C277" s="94" t="n"/>
    </row>
    <row r="278">
      <c r="C278" s="94" t="n"/>
    </row>
    <row r="279">
      <c r="C279" s="94" t="n"/>
    </row>
    <row r="280">
      <c r="C280" s="94" t="n"/>
    </row>
    <row r="281">
      <c r="C281" s="94" t="n"/>
    </row>
    <row r="282">
      <c r="C282" s="94" t="n"/>
    </row>
    <row r="283">
      <c r="C283" s="94" t="n"/>
    </row>
    <row r="284">
      <c r="C284" s="94" t="n"/>
    </row>
    <row r="285">
      <c r="C285" s="94" t="n"/>
    </row>
    <row r="286">
      <c r="C286" s="94" t="n"/>
    </row>
    <row r="287">
      <c r="C287" s="94" t="n"/>
    </row>
    <row r="288">
      <c r="C288" s="94" t="n"/>
    </row>
    <row r="289">
      <c r="C289" s="94" t="n"/>
    </row>
    <row r="290">
      <c r="C290" s="94" t="n"/>
    </row>
    <row r="291">
      <c r="C291" s="94" t="n"/>
    </row>
    <row r="292">
      <c r="C292" s="94" t="n"/>
    </row>
    <row r="293">
      <c r="C293" s="94" t="n"/>
    </row>
    <row r="294">
      <c r="C294" s="94" t="n"/>
    </row>
    <row r="295">
      <c r="C295" s="94" t="n"/>
    </row>
    <row r="296">
      <c r="C296" s="94" t="n"/>
    </row>
    <row r="297">
      <c r="C297" s="94" t="n"/>
    </row>
    <row r="298">
      <c r="C298" s="94" t="n"/>
    </row>
    <row r="299">
      <c r="C299" s="94" t="n"/>
    </row>
    <row r="300">
      <c r="C300" s="94" t="n"/>
    </row>
    <row r="301">
      <c r="C301" s="94" t="n"/>
    </row>
    <row r="302">
      <c r="C302" s="94" t="n"/>
    </row>
    <row r="303">
      <c r="C303" s="94" t="n"/>
    </row>
    <row r="304">
      <c r="C304" s="94" t="n"/>
    </row>
    <row r="305">
      <c r="C305" s="94" t="n"/>
    </row>
    <row r="306">
      <c r="C306" s="94" t="n"/>
    </row>
    <row r="307">
      <c r="C307" s="94" t="n"/>
    </row>
    <row r="308">
      <c r="C308" s="94" t="n"/>
    </row>
    <row r="309">
      <c r="C309" s="94" t="n"/>
    </row>
    <row r="310">
      <c r="C310" s="94" t="n"/>
    </row>
    <row r="311">
      <c r="C311" s="94" t="n"/>
    </row>
    <row r="312">
      <c r="C312" s="94" t="n"/>
    </row>
    <row r="313">
      <c r="C313" s="94" t="n"/>
    </row>
    <row r="314">
      <c r="C314" s="94" t="n"/>
    </row>
    <row r="315">
      <c r="C315" s="94" t="n"/>
    </row>
    <row r="316">
      <c r="C316" s="94" t="n"/>
    </row>
    <row r="317">
      <c r="C317" s="94" t="n"/>
    </row>
    <row r="318">
      <c r="C318" s="94" t="n"/>
    </row>
    <row r="319">
      <c r="C319" s="94" t="n"/>
    </row>
    <row r="320">
      <c r="C320" s="94" t="n"/>
    </row>
    <row r="321">
      <c r="C321" s="94" t="n"/>
    </row>
    <row r="322">
      <c r="C322" s="94" t="n"/>
    </row>
    <row r="323">
      <c r="C323" s="94" t="n"/>
    </row>
    <row r="324">
      <c r="C324" s="94" t="n"/>
    </row>
    <row r="325">
      <c r="C325" s="94" t="n"/>
    </row>
    <row r="326">
      <c r="C326" s="94" t="n"/>
    </row>
    <row r="327">
      <c r="C327" s="94" t="n"/>
    </row>
    <row r="328">
      <c r="C328" s="94" t="n"/>
    </row>
    <row r="329">
      <c r="C329" s="94" t="n"/>
    </row>
    <row r="330">
      <c r="C330" s="94" t="n"/>
    </row>
    <row r="331">
      <c r="C331" s="94" t="n"/>
    </row>
    <row r="332">
      <c r="C332" s="94" t="n"/>
    </row>
    <row r="333">
      <c r="C333" s="94" t="n"/>
    </row>
    <row r="334">
      <c r="C334" s="94" t="n"/>
    </row>
    <row r="335">
      <c r="C335" s="94" t="n"/>
    </row>
    <row r="336">
      <c r="C336" s="94" t="n"/>
    </row>
    <row r="337">
      <c r="C337" s="94" t="n"/>
    </row>
    <row r="338">
      <c r="C338" s="94" t="n"/>
    </row>
    <row r="339">
      <c r="C339" s="94" t="n"/>
    </row>
    <row r="340">
      <c r="C340" s="94" t="n"/>
    </row>
    <row r="341">
      <c r="C341" s="94" t="n"/>
    </row>
    <row r="342">
      <c r="C342" s="94" t="n"/>
    </row>
    <row r="343">
      <c r="C343" s="94" t="n"/>
    </row>
    <row r="344">
      <c r="C344" s="94" t="n"/>
    </row>
    <row r="345">
      <c r="C345" s="94" t="n"/>
    </row>
    <row r="346">
      <c r="C346" s="94" t="n"/>
    </row>
    <row r="347">
      <c r="C347" s="94" t="n"/>
    </row>
    <row r="348">
      <c r="C348" s="94" t="n"/>
    </row>
    <row r="349">
      <c r="C349" s="94" t="n"/>
    </row>
    <row r="350">
      <c r="C350" s="94" t="n"/>
    </row>
    <row r="351">
      <c r="C351" s="94" t="n"/>
    </row>
    <row r="352">
      <c r="C352" s="94" t="n"/>
    </row>
    <row r="353">
      <c r="C353" s="94" t="n"/>
    </row>
    <row r="354">
      <c r="C354" s="94" t="n"/>
    </row>
    <row r="355">
      <c r="C355" s="94" t="n"/>
    </row>
    <row r="356">
      <c r="C356" s="94" t="n"/>
    </row>
    <row r="357">
      <c r="C357" s="94" t="n"/>
    </row>
    <row r="358">
      <c r="C358" s="94" t="n"/>
    </row>
    <row r="359">
      <c r="C359" s="94" t="n"/>
    </row>
    <row r="360">
      <c r="C360" s="94" t="n"/>
    </row>
    <row r="361">
      <c r="C361" s="94" t="n"/>
    </row>
    <row r="362">
      <c r="C362" s="94" t="n"/>
    </row>
    <row r="363">
      <c r="C363" s="94" t="n"/>
    </row>
    <row r="364">
      <c r="C364" s="94" t="n"/>
    </row>
    <row r="365">
      <c r="C365" s="94" t="n"/>
    </row>
    <row r="366">
      <c r="C366" s="94" t="n"/>
    </row>
    <row r="367">
      <c r="C367" s="94" t="n"/>
    </row>
    <row r="368">
      <c r="C368" s="94" t="n"/>
    </row>
    <row r="369">
      <c r="C369" s="94" t="n"/>
    </row>
    <row r="370">
      <c r="C370" s="94" t="n"/>
    </row>
    <row r="371">
      <c r="C371" s="94" t="n"/>
    </row>
    <row r="372">
      <c r="C372" s="94" t="n"/>
    </row>
    <row r="373">
      <c r="C373" s="94" t="n"/>
    </row>
    <row r="374">
      <c r="C374" s="94" t="n"/>
    </row>
    <row r="375">
      <c r="C375" s="94" t="n"/>
    </row>
    <row r="376">
      <c r="C376" s="94" t="n"/>
    </row>
    <row r="377">
      <c r="C377" s="94" t="n"/>
    </row>
    <row r="378">
      <c r="C378" s="94" t="n"/>
    </row>
    <row r="379">
      <c r="C379" s="94" t="n"/>
    </row>
    <row r="380">
      <c r="C380" s="94" t="n"/>
    </row>
    <row r="381">
      <c r="C381" s="94" t="n"/>
    </row>
    <row r="382">
      <c r="C382" s="94" t="n"/>
    </row>
    <row r="383">
      <c r="C383" s="94" t="n"/>
    </row>
    <row r="384">
      <c r="C384" s="94" t="n"/>
    </row>
    <row r="385">
      <c r="C385" s="94" t="n"/>
    </row>
    <row r="386">
      <c r="C386" s="94" t="n"/>
    </row>
    <row r="387">
      <c r="C387" s="94" t="n"/>
    </row>
    <row r="388">
      <c r="C388" s="94" t="n"/>
    </row>
    <row r="389">
      <c r="C389" s="94" t="n"/>
    </row>
    <row r="390">
      <c r="C390" s="94" t="n"/>
    </row>
    <row r="391">
      <c r="C391" s="94" t="n"/>
    </row>
    <row r="392">
      <c r="C392" s="94" t="n"/>
    </row>
    <row r="393">
      <c r="C393" s="94" t="n"/>
    </row>
    <row r="394">
      <c r="C394" s="94" t="n"/>
    </row>
    <row r="395">
      <c r="C395" s="94" t="n"/>
    </row>
    <row r="396">
      <c r="C396" s="94" t="n"/>
    </row>
    <row r="397">
      <c r="C397" s="94" t="n"/>
    </row>
    <row r="398">
      <c r="C398" s="94" t="n"/>
    </row>
    <row r="399">
      <c r="C399" s="94" t="n"/>
    </row>
    <row r="400">
      <c r="C400" s="94" t="n"/>
    </row>
    <row r="401">
      <c r="C401" s="94" t="n"/>
    </row>
    <row r="402">
      <c r="C402" s="94" t="n"/>
    </row>
    <row r="403">
      <c r="C403" s="94" t="n"/>
    </row>
    <row r="404">
      <c r="C404" s="94" t="n"/>
    </row>
    <row r="405">
      <c r="C405" s="94" t="n"/>
    </row>
    <row r="406">
      <c r="C406" s="94" t="n"/>
    </row>
    <row r="407">
      <c r="C407" s="94" t="n"/>
    </row>
    <row r="408">
      <c r="C408" s="94" t="n"/>
    </row>
    <row r="409">
      <c r="C409" s="94" t="n"/>
    </row>
    <row r="410">
      <c r="C410" s="94" t="n"/>
    </row>
    <row r="411">
      <c r="C411" s="94" t="n"/>
    </row>
    <row r="412">
      <c r="C412" s="94" t="n"/>
    </row>
    <row r="413">
      <c r="C413" s="94" t="n"/>
    </row>
    <row r="414">
      <c r="C414" s="94" t="n"/>
    </row>
    <row r="415">
      <c r="C415" s="94" t="n"/>
    </row>
    <row r="416">
      <c r="C416" s="94" t="n"/>
    </row>
    <row r="417">
      <c r="C417" s="94" t="n"/>
    </row>
    <row r="418">
      <c r="C418" s="94" t="n"/>
    </row>
    <row r="419">
      <c r="C419" s="94" t="n"/>
    </row>
    <row r="420">
      <c r="C420" s="94" t="n"/>
    </row>
    <row r="421">
      <c r="C421" s="94" t="n"/>
    </row>
    <row r="422">
      <c r="C422" s="94" t="n"/>
    </row>
    <row r="423">
      <c r="C423" s="94" t="n"/>
    </row>
    <row r="424">
      <c r="C424" s="94" t="n"/>
    </row>
    <row r="425">
      <c r="C425" s="94" t="n"/>
    </row>
    <row r="426">
      <c r="C426" s="94" t="n"/>
    </row>
    <row r="427">
      <c r="C427" s="94" t="n"/>
    </row>
    <row r="428">
      <c r="C428" s="94" t="n"/>
    </row>
    <row r="429">
      <c r="C429" s="94" t="n"/>
    </row>
    <row r="430">
      <c r="C430" s="94" t="n"/>
    </row>
    <row r="431">
      <c r="C431" s="94" t="n"/>
    </row>
    <row r="432">
      <c r="C432" s="94" t="n"/>
    </row>
    <row r="433">
      <c r="C433" s="94" t="n"/>
    </row>
    <row r="434">
      <c r="C434" s="94" t="n"/>
    </row>
    <row r="435">
      <c r="C435" s="94" t="n"/>
    </row>
    <row r="436">
      <c r="C436" s="94" t="n"/>
    </row>
    <row r="437">
      <c r="C437" s="94" t="n"/>
    </row>
    <row r="438">
      <c r="C438" s="94" t="n"/>
    </row>
    <row r="439">
      <c r="C439" s="94" t="n"/>
    </row>
    <row r="440">
      <c r="C440" s="94" t="n"/>
    </row>
    <row r="441">
      <c r="C441" s="94" t="n"/>
    </row>
    <row r="442">
      <c r="C442" s="94" t="n"/>
    </row>
    <row r="443">
      <c r="C443" s="94" t="n"/>
    </row>
    <row r="444">
      <c r="C444" s="94" t="n"/>
    </row>
    <row r="445">
      <c r="C445" s="94" t="n"/>
    </row>
    <row r="446">
      <c r="C446" s="94" t="n"/>
    </row>
    <row r="447">
      <c r="C447" s="94" t="n"/>
    </row>
    <row r="448">
      <c r="C448" s="94" t="n"/>
    </row>
    <row r="449">
      <c r="C449" s="94" t="n"/>
    </row>
    <row r="450">
      <c r="C450" s="94" t="n"/>
    </row>
    <row r="451">
      <c r="C451" s="94" t="n"/>
    </row>
    <row r="452">
      <c r="C452" s="94" t="n"/>
    </row>
    <row r="453">
      <c r="C453" s="94" t="n"/>
    </row>
    <row r="454">
      <c r="C454" s="94" t="n"/>
    </row>
    <row r="455">
      <c r="C455" s="94" t="n"/>
    </row>
    <row r="456">
      <c r="C456" s="94" t="n"/>
    </row>
    <row r="457">
      <c r="C457" s="94" t="n"/>
    </row>
    <row r="458">
      <c r="C458" s="94" t="n"/>
    </row>
    <row r="459">
      <c r="C459" s="94" t="n"/>
    </row>
    <row r="460">
      <c r="C460" s="94" t="n"/>
    </row>
    <row r="461">
      <c r="C461" s="94" t="n"/>
    </row>
    <row r="462">
      <c r="C462" s="94" t="n"/>
    </row>
    <row r="463">
      <c r="C463" s="94" t="n"/>
    </row>
    <row r="464">
      <c r="C464" s="94" t="n"/>
    </row>
    <row r="465">
      <c r="C465" s="94" t="n"/>
    </row>
    <row r="466">
      <c r="C466" s="94" t="n"/>
    </row>
    <row r="467">
      <c r="C467" s="94" t="n"/>
    </row>
    <row r="468">
      <c r="C468" s="94" t="n"/>
    </row>
    <row r="469">
      <c r="C469" s="94" t="n"/>
    </row>
    <row r="470">
      <c r="C470" s="94" t="n"/>
    </row>
    <row r="471">
      <c r="C471" s="94" t="n"/>
    </row>
    <row r="472">
      <c r="C472" s="94" t="n"/>
    </row>
    <row r="473">
      <c r="C473" s="94" t="n"/>
    </row>
    <row r="474">
      <c r="C474" s="94" t="n"/>
    </row>
    <row r="475">
      <c r="C475" s="94" t="n"/>
    </row>
    <row r="476">
      <c r="C476" s="94" t="n"/>
    </row>
    <row r="477">
      <c r="C477" s="94" t="n"/>
    </row>
    <row r="478">
      <c r="C478" s="94" t="n"/>
    </row>
    <row r="479">
      <c r="C479" s="94" t="n"/>
    </row>
    <row r="480">
      <c r="C480" s="94" t="n"/>
    </row>
    <row r="481">
      <c r="C481" s="94" t="n"/>
    </row>
    <row r="482">
      <c r="C482" s="94" t="n"/>
    </row>
    <row r="483">
      <c r="C483" s="94" t="n"/>
    </row>
    <row r="484">
      <c r="C484" s="94" t="n"/>
    </row>
    <row r="485">
      <c r="C485" s="94" t="n"/>
    </row>
    <row r="486">
      <c r="C486" s="94" t="n"/>
    </row>
    <row r="487">
      <c r="C487" s="94" t="n"/>
    </row>
    <row r="488">
      <c r="C488" s="94" t="n"/>
    </row>
    <row r="489">
      <c r="C489" s="94" t="n"/>
    </row>
    <row r="490">
      <c r="C490" s="94" t="n"/>
    </row>
    <row r="491">
      <c r="C491" s="94" t="n"/>
    </row>
    <row r="492">
      <c r="C492" s="94" t="n"/>
    </row>
    <row r="493">
      <c r="C493" s="94" t="n"/>
    </row>
    <row r="494">
      <c r="C494" s="94" t="n"/>
    </row>
    <row r="495">
      <c r="C495" s="94" t="n"/>
    </row>
    <row r="496">
      <c r="C496" s="94" t="n"/>
    </row>
    <row r="497">
      <c r="C497" s="94" t="n"/>
    </row>
    <row r="498">
      <c r="C498" s="94" t="n"/>
    </row>
    <row r="499">
      <c r="C499" s="94" t="n"/>
    </row>
    <row r="500">
      <c r="C500" s="94" t="n"/>
    </row>
    <row r="501">
      <c r="C501" s="94" t="n"/>
    </row>
    <row r="502">
      <c r="C502" s="94" t="n"/>
    </row>
    <row r="503">
      <c r="C503" s="94" t="n"/>
    </row>
    <row r="504">
      <c r="C504" s="94" t="n"/>
    </row>
    <row r="505">
      <c r="C505" s="94" t="n"/>
    </row>
    <row r="506">
      <c r="C506" s="94" t="n"/>
    </row>
    <row r="507">
      <c r="C507" s="94" t="n"/>
    </row>
    <row r="508">
      <c r="C508" s="94" t="n"/>
    </row>
    <row r="509">
      <c r="C509" s="94" t="n"/>
    </row>
    <row r="510">
      <c r="C510" s="94" t="n"/>
    </row>
    <row r="511">
      <c r="C511" s="94" t="n"/>
    </row>
    <row r="512">
      <c r="C512" s="94" t="n"/>
    </row>
    <row r="513">
      <c r="C513" s="94" t="n"/>
    </row>
    <row r="514">
      <c r="C514" s="94" t="n"/>
    </row>
    <row r="515">
      <c r="C515" s="94" t="n"/>
    </row>
    <row r="516">
      <c r="C516" s="94" t="n"/>
    </row>
    <row r="517">
      <c r="C517" s="94" t="n"/>
    </row>
    <row r="518">
      <c r="C518" s="94" t="n"/>
    </row>
    <row r="519">
      <c r="C519" s="94" t="n"/>
    </row>
    <row r="520">
      <c r="C520" s="94" t="n"/>
    </row>
    <row r="521">
      <c r="C521" s="94" t="n"/>
    </row>
    <row r="522">
      <c r="C522" s="94" t="n"/>
    </row>
    <row r="523">
      <c r="C523" s="94" t="n"/>
    </row>
    <row r="524">
      <c r="C524" s="94" t="n"/>
    </row>
    <row r="525">
      <c r="C525" s="94" t="n"/>
    </row>
    <row r="526">
      <c r="C526" s="94" t="n"/>
    </row>
    <row r="527">
      <c r="C527" s="94" t="n"/>
    </row>
    <row r="528">
      <c r="C528" s="94" t="n"/>
    </row>
    <row r="529">
      <c r="C529" s="94" t="n"/>
    </row>
    <row r="530">
      <c r="C530" s="94" t="n"/>
    </row>
    <row r="531">
      <c r="C531" s="94" t="n"/>
    </row>
    <row r="532">
      <c r="C532" s="94" t="n"/>
    </row>
    <row r="533">
      <c r="C533" s="94" t="n"/>
    </row>
    <row r="534">
      <c r="C534" s="94" t="n"/>
    </row>
    <row r="535">
      <c r="C535" s="94" t="n"/>
    </row>
    <row r="536">
      <c r="C536" s="94" t="n"/>
    </row>
    <row r="537">
      <c r="C537" s="94" t="n"/>
    </row>
    <row r="538">
      <c r="C538" s="94" t="n"/>
    </row>
    <row r="539">
      <c r="C539" s="94" t="n"/>
    </row>
    <row r="540">
      <c r="C540" s="94" t="n"/>
    </row>
    <row r="541">
      <c r="C541" s="94" t="n"/>
    </row>
    <row r="542">
      <c r="C542" s="94" t="n"/>
    </row>
    <row r="543">
      <c r="C543" s="94" t="n"/>
    </row>
    <row r="544">
      <c r="C544" s="94" t="n"/>
    </row>
    <row r="545">
      <c r="C545" s="94" t="n"/>
    </row>
    <row r="546">
      <c r="C546" s="94" t="n"/>
    </row>
    <row r="547">
      <c r="C547" s="94" t="n"/>
    </row>
    <row r="548">
      <c r="C548" s="94" t="n"/>
    </row>
    <row r="549">
      <c r="C549" s="94" t="n"/>
    </row>
    <row r="550">
      <c r="C550" s="94" t="n"/>
    </row>
    <row r="551">
      <c r="C551" s="94" t="n"/>
    </row>
    <row r="552">
      <c r="C552" s="94" t="n"/>
    </row>
    <row r="553">
      <c r="C553" s="94" t="n"/>
    </row>
    <row r="554">
      <c r="C554" s="94" t="n"/>
    </row>
    <row r="555">
      <c r="C555" s="94" t="n"/>
    </row>
    <row r="556">
      <c r="C556" s="94" t="n"/>
    </row>
    <row r="557">
      <c r="C557" s="94" t="n"/>
    </row>
    <row r="558">
      <c r="C558" s="94" t="n"/>
    </row>
    <row r="559">
      <c r="C559" s="94" t="n"/>
    </row>
    <row r="560">
      <c r="C560" s="94" t="n"/>
    </row>
    <row r="561">
      <c r="C561" s="94" t="n"/>
    </row>
    <row r="562">
      <c r="C562" s="94" t="n"/>
    </row>
    <row r="563">
      <c r="C563" s="94" t="n"/>
    </row>
    <row r="564">
      <c r="C564" s="94" t="n"/>
    </row>
    <row r="565">
      <c r="C565" s="94" t="n"/>
    </row>
    <row r="566">
      <c r="C566" s="94" t="n"/>
    </row>
    <row r="567">
      <c r="C567" s="94" t="n"/>
    </row>
    <row r="568">
      <c r="C568" s="94" t="n"/>
    </row>
    <row r="569">
      <c r="C569" s="94" t="n"/>
    </row>
    <row r="570">
      <c r="C570" s="94" t="n"/>
    </row>
    <row r="571">
      <c r="C571" s="94" t="n"/>
    </row>
    <row r="572">
      <c r="C572" s="94" t="n"/>
    </row>
    <row r="573">
      <c r="C573" s="94" t="n"/>
    </row>
    <row r="574">
      <c r="C574" s="94" t="n"/>
    </row>
    <row r="575">
      <c r="C575" s="94" t="n"/>
    </row>
    <row r="576">
      <c r="C576" s="94" t="n"/>
    </row>
    <row r="577">
      <c r="C577" s="94" t="n"/>
    </row>
    <row r="578">
      <c r="C578" s="94" t="n"/>
    </row>
    <row r="579">
      <c r="C579" s="94" t="n"/>
    </row>
    <row r="580">
      <c r="C580" s="94" t="n"/>
    </row>
    <row r="581">
      <c r="C581" s="94" t="n"/>
    </row>
    <row r="582">
      <c r="C582" s="94" t="n"/>
    </row>
    <row r="583">
      <c r="C583" s="94" t="n"/>
    </row>
    <row r="584">
      <c r="C584" s="94" t="n"/>
    </row>
    <row r="585">
      <c r="C585" s="94" t="n"/>
    </row>
    <row r="586">
      <c r="C586" s="94" t="n"/>
    </row>
    <row r="587">
      <c r="C587" s="94" t="n"/>
    </row>
    <row r="588">
      <c r="C588" s="94" t="n"/>
    </row>
    <row r="589">
      <c r="C589" s="94" t="n"/>
    </row>
    <row r="590">
      <c r="C590" s="94" t="n"/>
    </row>
    <row r="591">
      <c r="C591" s="94" t="n"/>
    </row>
    <row r="592">
      <c r="C592" s="94" t="n"/>
    </row>
    <row r="593">
      <c r="C593" s="94" t="n"/>
    </row>
    <row r="594">
      <c r="C594" s="94" t="n"/>
    </row>
    <row r="595">
      <c r="C595" s="94" t="n"/>
    </row>
    <row r="596">
      <c r="C596" s="94" t="n"/>
    </row>
    <row r="597">
      <c r="C597" s="94" t="n"/>
    </row>
    <row r="598">
      <c r="C598" s="94" t="n"/>
    </row>
    <row r="599">
      <c r="C599" s="94" t="n"/>
    </row>
    <row r="600">
      <c r="C600" s="94" t="n"/>
    </row>
    <row r="601">
      <c r="C601" s="94" t="n"/>
    </row>
    <row r="602">
      <c r="C602" s="94" t="n"/>
    </row>
    <row r="603">
      <c r="C603" s="94" t="n"/>
    </row>
    <row r="604">
      <c r="C604" s="94" t="n"/>
    </row>
    <row r="605">
      <c r="C605" s="94" t="n"/>
    </row>
    <row r="606">
      <c r="C606" s="94" t="n"/>
    </row>
    <row r="607">
      <c r="C607" s="94" t="n"/>
    </row>
    <row r="608">
      <c r="C608" s="94" t="n"/>
    </row>
    <row r="609">
      <c r="C609" s="94" t="n"/>
    </row>
    <row r="610">
      <c r="C610" s="94" t="n"/>
    </row>
    <row r="611">
      <c r="C611" s="94" t="n"/>
    </row>
    <row r="612">
      <c r="C612" s="94" t="n"/>
    </row>
    <row r="613">
      <c r="C613" s="94" t="n"/>
    </row>
    <row r="614">
      <c r="C614" s="94" t="n"/>
    </row>
    <row r="615">
      <c r="C615" s="94" t="n"/>
    </row>
    <row r="616">
      <c r="C616" s="94" t="n"/>
    </row>
    <row r="617">
      <c r="C617" s="94" t="n"/>
    </row>
    <row r="618">
      <c r="C618" s="94" t="n"/>
    </row>
    <row r="619">
      <c r="C619" s="94" t="n"/>
    </row>
    <row r="620">
      <c r="C620" s="94" t="n"/>
    </row>
    <row r="621">
      <c r="C621" s="94" t="n"/>
    </row>
    <row r="622">
      <c r="C622" s="94" t="n"/>
    </row>
    <row r="623">
      <c r="C623" s="94" t="n"/>
    </row>
    <row r="624">
      <c r="C624" s="94" t="n"/>
    </row>
    <row r="625">
      <c r="C625" s="94" t="n"/>
    </row>
    <row r="626">
      <c r="C626" s="94" t="n"/>
    </row>
    <row r="627">
      <c r="C627" s="94" t="n"/>
    </row>
    <row r="628">
      <c r="C628" s="94" t="n"/>
    </row>
    <row r="629">
      <c r="C629" s="94" t="n"/>
    </row>
    <row r="630">
      <c r="C630" s="94" t="n"/>
    </row>
    <row r="631">
      <c r="C631" s="94" t="n"/>
    </row>
    <row r="632">
      <c r="C632" s="94" t="n"/>
    </row>
    <row r="633">
      <c r="C633" s="94" t="n"/>
    </row>
    <row r="634">
      <c r="C634" s="94" t="n"/>
    </row>
    <row r="635">
      <c r="C635" s="94" t="n"/>
    </row>
    <row r="636">
      <c r="C636" s="94" t="n"/>
    </row>
    <row r="637">
      <c r="C637" s="94" t="n"/>
    </row>
    <row r="638">
      <c r="C638" s="94" t="n"/>
    </row>
    <row r="639">
      <c r="C639" s="94" t="n"/>
    </row>
    <row r="640">
      <c r="C640" s="94" t="n"/>
    </row>
    <row r="641">
      <c r="C641" s="94" t="n"/>
    </row>
    <row r="642">
      <c r="C642" s="94" t="n"/>
    </row>
    <row r="643">
      <c r="C643" s="94" t="n"/>
    </row>
    <row r="644">
      <c r="C644" s="94" t="n"/>
    </row>
    <row r="645">
      <c r="C645" s="94" t="n"/>
    </row>
    <row r="646">
      <c r="C646" s="94" t="n"/>
    </row>
    <row r="647">
      <c r="C647" s="94" t="n"/>
    </row>
    <row r="648">
      <c r="C648" s="94" t="n"/>
    </row>
    <row r="649">
      <c r="C649" s="94" t="n"/>
    </row>
    <row r="650">
      <c r="C650" s="94" t="n"/>
    </row>
    <row r="651">
      <c r="C651" s="94" t="n"/>
    </row>
    <row r="652">
      <c r="C652" s="94" t="n"/>
    </row>
    <row r="653">
      <c r="C653" s="94" t="n"/>
    </row>
    <row r="654">
      <c r="C654" s="94" t="n"/>
    </row>
    <row r="655">
      <c r="C655" s="94" t="n"/>
    </row>
    <row r="656">
      <c r="C656" s="94" t="n"/>
    </row>
    <row r="657">
      <c r="C657" s="94" t="n"/>
    </row>
    <row r="658">
      <c r="C658" s="94" t="n"/>
    </row>
    <row r="659">
      <c r="C659" s="94" t="n"/>
    </row>
    <row r="660">
      <c r="C660" s="94" t="n"/>
    </row>
    <row r="661">
      <c r="C661" s="94" t="n"/>
    </row>
    <row r="662">
      <c r="C662" s="94" t="n"/>
    </row>
    <row r="663">
      <c r="C663" s="94" t="n"/>
    </row>
    <row r="664">
      <c r="C664" s="94" t="n"/>
    </row>
    <row r="665">
      <c r="C665" s="94" t="n"/>
    </row>
    <row r="666">
      <c r="C666" s="94" t="n"/>
    </row>
    <row r="667">
      <c r="C667" s="94" t="n"/>
    </row>
    <row r="668">
      <c r="C668" s="94" t="n"/>
    </row>
    <row r="669">
      <c r="C669" s="94" t="n"/>
    </row>
    <row r="670">
      <c r="C670" s="94" t="n"/>
    </row>
    <row r="671">
      <c r="C671" s="94" t="n"/>
    </row>
    <row r="672">
      <c r="C672" s="94" t="n"/>
    </row>
    <row r="673">
      <c r="C673" s="94" t="n"/>
    </row>
    <row r="674">
      <c r="C674" s="94" t="n"/>
    </row>
    <row r="675">
      <c r="C675" s="94" t="n"/>
    </row>
    <row r="676">
      <c r="C676" s="94" t="n"/>
    </row>
    <row r="677">
      <c r="C677" s="94" t="n"/>
    </row>
    <row r="678">
      <c r="C678" s="94" t="n"/>
    </row>
    <row r="679">
      <c r="C679" s="94" t="n"/>
    </row>
    <row r="680">
      <c r="C680" s="94" t="n"/>
    </row>
    <row r="681">
      <c r="C681" s="94" t="n"/>
    </row>
    <row r="682">
      <c r="C682" s="94" t="n"/>
    </row>
    <row r="683">
      <c r="C683" s="94" t="n"/>
    </row>
    <row r="684">
      <c r="C684" s="94" t="n"/>
    </row>
    <row r="685">
      <c r="C685" s="94" t="n"/>
    </row>
    <row r="686">
      <c r="C686" s="94" t="n"/>
    </row>
    <row r="687">
      <c r="C687" s="94" t="n"/>
    </row>
    <row r="688">
      <c r="C688" s="94" t="n"/>
    </row>
    <row r="689">
      <c r="C689" s="94" t="n"/>
    </row>
    <row r="690">
      <c r="C690" s="94" t="n"/>
    </row>
    <row r="691">
      <c r="C691" s="94" t="n"/>
    </row>
    <row r="692">
      <c r="C692" s="94" t="n"/>
    </row>
    <row r="693">
      <c r="C693" s="94" t="n"/>
    </row>
    <row r="694">
      <c r="C694" s="94" t="n"/>
    </row>
    <row r="695">
      <c r="C695" s="94" t="n"/>
    </row>
    <row r="696">
      <c r="C696" s="94" t="n"/>
    </row>
    <row r="697">
      <c r="C697" s="94" t="n"/>
    </row>
    <row r="698">
      <c r="C698" s="94" t="n"/>
    </row>
    <row r="699">
      <c r="C699" s="94" t="n"/>
    </row>
    <row r="700">
      <c r="C700" s="94" t="n"/>
    </row>
    <row r="701">
      <c r="C701" s="94" t="n"/>
    </row>
    <row r="702">
      <c r="C702" s="94" t="n"/>
    </row>
    <row r="703">
      <c r="C703" s="94" t="n"/>
    </row>
    <row r="704">
      <c r="C704" s="94" t="n"/>
    </row>
    <row r="705">
      <c r="C705" s="94" t="n"/>
    </row>
    <row r="706">
      <c r="C706" s="94" t="n"/>
    </row>
    <row r="707">
      <c r="C707" s="94" t="n"/>
    </row>
    <row r="708">
      <c r="C708" s="94" t="n"/>
    </row>
    <row r="709">
      <c r="C709" s="94" t="n"/>
    </row>
    <row r="710">
      <c r="C710" s="94" t="n"/>
    </row>
    <row r="711">
      <c r="C711" s="94" t="n"/>
    </row>
    <row r="712">
      <c r="C712" s="94" t="n"/>
    </row>
    <row r="713">
      <c r="C713" s="94" t="n"/>
    </row>
    <row r="714">
      <c r="C714" s="94" t="n"/>
    </row>
    <row r="715">
      <c r="C715" s="94" t="n"/>
    </row>
    <row r="716">
      <c r="C716" s="94" t="n"/>
    </row>
    <row r="717">
      <c r="C717" s="94" t="n"/>
    </row>
    <row r="718">
      <c r="C718" s="94" t="n"/>
    </row>
    <row r="719">
      <c r="C719" s="94" t="n"/>
    </row>
    <row r="720">
      <c r="C720" s="94" t="n"/>
    </row>
    <row r="721">
      <c r="C721" s="94" t="n"/>
    </row>
    <row r="722">
      <c r="C722" s="94" t="n"/>
    </row>
    <row r="723">
      <c r="C723" s="94" t="n"/>
    </row>
    <row r="724">
      <c r="C724" s="94" t="n"/>
    </row>
    <row r="725">
      <c r="C725" s="94" t="n"/>
    </row>
    <row r="726">
      <c r="C726" s="94" t="n"/>
    </row>
    <row r="727">
      <c r="C727" s="94" t="n"/>
    </row>
    <row r="728">
      <c r="C728" s="94" t="n"/>
    </row>
    <row r="729">
      <c r="C729" s="94" t="n"/>
    </row>
    <row r="730">
      <c r="C730" s="94" t="n"/>
    </row>
    <row r="731">
      <c r="C731" s="94" t="n"/>
    </row>
    <row r="732">
      <c r="C732" s="94" t="n"/>
    </row>
    <row r="733">
      <c r="C733" s="94" t="n"/>
    </row>
    <row r="734">
      <c r="C734" s="94" t="n"/>
    </row>
    <row r="735">
      <c r="C735" s="94" t="n"/>
    </row>
    <row r="736">
      <c r="C736" s="94" t="n"/>
    </row>
    <row r="737">
      <c r="C737" s="94" t="n"/>
    </row>
    <row r="738">
      <c r="C738" s="94" t="n"/>
    </row>
    <row r="739">
      <c r="C739" s="94" t="n"/>
    </row>
    <row r="740">
      <c r="C740" s="94" t="n"/>
    </row>
    <row r="741">
      <c r="C741" s="94" t="n"/>
    </row>
    <row r="742">
      <c r="C742" s="94" t="n"/>
    </row>
    <row r="743">
      <c r="C743" s="94" t="n"/>
    </row>
    <row r="744">
      <c r="C744" s="94" t="n"/>
    </row>
    <row r="745">
      <c r="C745" s="94" t="n"/>
    </row>
    <row r="746">
      <c r="C746" s="94" t="n"/>
    </row>
    <row r="747">
      <c r="C747" s="94" t="n"/>
    </row>
    <row r="748">
      <c r="C748" s="94" t="n"/>
    </row>
    <row r="749">
      <c r="C749" s="94" t="n"/>
    </row>
    <row r="750">
      <c r="C750" s="94" t="n"/>
    </row>
    <row r="751">
      <c r="C751" s="94" t="n"/>
    </row>
    <row r="752">
      <c r="C752" s="94" t="n"/>
    </row>
    <row r="753">
      <c r="C753" s="94" t="n"/>
    </row>
    <row r="754">
      <c r="C754" s="94" t="n"/>
    </row>
    <row r="755">
      <c r="C755" s="94" t="n"/>
    </row>
    <row r="756">
      <c r="C756" s="94" t="n"/>
    </row>
    <row r="757">
      <c r="C757" s="94" t="n"/>
    </row>
    <row r="758">
      <c r="C758" s="94" t="n"/>
    </row>
    <row r="759">
      <c r="C759" s="94" t="n"/>
    </row>
    <row r="760">
      <c r="C760" s="94" t="n"/>
    </row>
    <row r="761">
      <c r="C761" s="94" t="n"/>
    </row>
    <row r="762">
      <c r="C762" s="94" t="n"/>
    </row>
    <row r="763">
      <c r="C763" s="94" t="n"/>
    </row>
    <row r="764">
      <c r="C764" s="94" t="n"/>
    </row>
    <row r="765">
      <c r="C765" s="94" t="n"/>
    </row>
    <row r="766">
      <c r="C766" s="94" t="n"/>
    </row>
    <row r="767">
      <c r="C767" s="94" t="n"/>
    </row>
    <row r="768">
      <c r="C768" s="94" t="n"/>
    </row>
    <row r="769">
      <c r="C769" s="94" t="n"/>
    </row>
    <row r="770">
      <c r="C770" s="94" t="n"/>
    </row>
    <row r="771">
      <c r="C771" s="94" t="n"/>
    </row>
    <row r="772">
      <c r="C772" s="94" t="n"/>
    </row>
    <row r="773">
      <c r="C773" s="94" t="n"/>
    </row>
    <row r="774">
      <c r="C774" s="94" t="n"/>
    </row>
    <row r="775">
      <c r="C775" s="94" t="n"/>
    </row>
    <row r="776">
      <c r="C776" s="94" t="n"/>
    </row>
    <row r="777">
      <c r="C777" s="94" t="n"/>
    </row>
    <row r="778">
      <c r="C778" s="94" t="n"/>
    </row>
    <row r="779">
      <c r="C779" s="94" t="n"/>
    </row>
    <row r="780">
      <c r="C780" s="94" t="n"/>
    </row>
    <row r="781">
      <c r="C781" s="94" t="n"/>
    </row>
    <row r="782">
      <c r="C782" s="94" t="n"/>
    </row>
    <row r="783">
      <c r="C783" s="94" t="n"/>
    </row>
    <row r="784">
      <c r="C784" s="94" t="n"/>
    </row>
    <row r="785">
      <c r="C785" s="94" t="n"/>
    </row>
    <row r="786">
      <c r="C786" s="94" t="n"/>
    </row>
    <row r="787">
      <c r="C787" s="94" t="n"/>
    </row>
    <row r="788">
      <c r="C788" s="94" t="n"/>
    </row>
    <row r="789">
      <c r="C789" s="94" t="n"/>
    </row>
    <row r="790">
      <c r="C790" s="94" t="n"/>
    </row>
    <row r="791">
      <c r="C791" s="94" t="n"/>
    </row>
    <row r="792">
      <c r="C792" s="94" t="n"/>
    </row>
    <row r="793">
      <c r="C793" s="94" t="n"/>
    </row>
    <row r="794">
      <c r="C794" s="94" t="n"/>
    </row>
    <row r="795">
      <c r="C795" s="94" t="n"/>
    </row>
    <row r="796">
      <c r="C796" s="94" t="n"/>
    </row>
    <row r="797">
      <c r="C797" s="94" t="n"/>
    </row>
    <row r="798">
      <c r="C798" s="94" t="n"/>
    </row>
    <row r="799">
      <c r="C799" s="94" t="n"/>
    </row>
    <row r="800">
      <c r="C800" s="94" t="n"/>
    </row>
    <row r="801">
      <c r="C801" s="94" t="n"/>
    </row>
    <row r="802">
      <c r="C802" s="94" t="n"/>
    </row>
    <row r="803">
      <c r="C803" s="94" t="n"/>
    </row>
    <row r="804">
      <c r="C804" s="94" t="n"/>
    </row>
    <row r="805">
      <c r="C805" s="94" t="n"/>
    </row>
    <row r="806">
      <c r="C806" s="94" t="n"/>
    </row>
    <row r="807">
      <c r="C807" s="94" t="n"/>
    </row>
    <row r="808">
      <c r="C808" s="94" t="n"/>
    </row>
    <row r="809">
      <c r="C809" s="94" t="n"/>
    </row>
    <row r="810">
      <c r="C810" s="94" t="n"/>
    </row>
    <row r="811">
      <c r="C811" s="94" t="n"/>
    </row>
    <row r="812">
      <c r="C812" s="94" t="n"/>
    </row>
    <row r="813">
      <c r="C813" s="94" t="n"/>
    </row>
    <row r="814">
      <c r="C814" s="94" t="n"/>
    </row>
    <row r="815">
      <c r="C815" s="94" t="n"/>
    </row>
    <row r="816">
      <c r="C816" s="94" t="n"/>
    </row>
    <row r="817">
      <c r="C817" s="94" t="n"/>
    </row>
    <row r="818">
      <c r="C818" s="94" t="n"/>
    </row>
    <row r="819">
      <c r="C819" s="94" t="n"/>
    </row>
    <row r="820">
      <c r="C820" s="94" t="n"/>
    </row>
    <row r="821">
      <c r="C821" s="94" t="n"/>
    </row>
    <row r="822">
      <c r="C822" s="94" t="n"/>
    </row>
    <row r="823">
      <c r="C823" s="94" t="n"/>
    </row>
    <row r="824">
      <c r="C824" s="94" t="n"/>
    </row>
    <row r="825">
      <c r="C825" s="94" t="n"/>
    </row>
    <row r="826">
      <c r="C826" s="94" t="n"/>
    </row>
    <row r="827">
      <c r="C827" s="94" t="n"/>
    </row>
    <row r="828">
      <c r="C828" s="94" t="n"/>
    </row>
    <row r="829">
      <c r="C829" s="94" t="n"/>
    </row>
    <row r="830">
      <c r="C830" s="94" t="n"/>
    </row>
    <row r="831">
      <c r="C831" s="94" t="n"/>
    </row>
    <row r="832">
      <c r="C832" s="94" t="n"/>
    </row>
    <row r="833">
      <c r="C833" s="94" t="n"/>
    </row>
    <row r="834">
      <c r="C834" s="94" t="n"/>
    </row>
    <row r="835">
      <c r="C835" s="94" t="n"/>
    </row>
    <row r="836">
      <c r="C836" s="94" t="n"/>
    </row>
    <row r="837">
      <c r="C837" s="94" t="n"/>
    </row>
    <row r="838">
      <c r="C838" s="94" t="n"/>
    </row>
    <row r="839">
      <c r="C839" s="94" t="n"/>
    </row>
    <row r="840">
      <c r="C840" s="94" t="n"/>
    </row>
    <row r="841">
      <c r="C841" s="94" t="n"/>
    </row>
    <row r="842">
      <c r="C842" s="94" t="n"/>
    </row>
    <row r="843">
      <c r="C843" s="94" t="n"/>
    </row>
    <row r="844">
      <c r="C844" s="94" t="n"/>
    </row>
    <row r="845">
      <c r="C845" s="94" t="n"/>
    </row>
    <row r="846">
      <c r="C846" s="94" t="n"/>
    </row>
    <row r="847">
      <c r="C847" s="94" t="n"/>
    </row>
    <row r="848">
      <c r="C848" s="94" t="n"/>
    </row>
    <row r="849">
      <c r="C849" s="94" t="n"/>
    </row>
    <row r="850">
      <c r="C850" s="94" t="n"/>
    </row>
    <row r="851">
      <c r="C851" s="94" t="n"/>
    </row>
    <row r="852">
      <c r="C852" s="94" t="n"/>
    </row>
    <row r="853">
      <c r="C853" s="94" t="n"/>
    </row>
    <row r="854">
      <c r="C854" s="94" t="n"/>
    </row>
    <row r="855">
      <c r="C855" s="94" t="n"/>
    </row>
    <row r="856">
      <c r="C856" s="94" t="n"/>
    </row>
    <row r="857">
      <c r="C857" s="94" t="n"/>
    </row>
    <row r="858">
      <c r="C858" s="94" t="n"/>
    </row>
    <row r="859">
      <c r="C859" s="94" t="n"/>
    </row>
    <row r="860">
      <c r="C860" s="94" t="n"/>
    </row>
    <row r="861">
      <c r="C861" s="94" t="n"/>
    </row>
    <row r="862">
      <c r="C862" s="94" t="n"/>
    </row>
    <row r="863">
      <c r="C863" s="94" t="n"/>
    </row>
    <row r="864">
      <c r="C864" s="94" t="n"/>
    </row>
    <row r="865">
      <c r="C865" s="94" t="n"/>
    </row>
    <row r="866">
      <c r="C866" s="94" t="n"/>
    </row>
    <row r="867">
      <c r="C867" s="94" t="n"/>
    </row>
    <row r="868">
      <c r="C868" s="94" t="n"/>
    </row>
    <row r="869">
      <c r="C869" s="94" t="n"/>
    </row>
    <row r="870">
      <c r="C870" s="94" t="n"/>
    </row>
    <row r="871">
      <c r="C871" s="94" t="n"/>
    </row>
    <row r="872">
      <c r="C872" s="94" t="n"/>
    </row>
    <row r="873">
      <c r="C873" s="94" t="n"/>
    </row>
    <row r="874">
      <c r="C874" s="94" t="n"/>
    </row>
    <row r="875">
      <c r="C875" s="94" t="n"/>
    </row>
    <row r="876">
      <c r="C876" s="94" t="n"/>
    </row>
    <row r="877">
      <c r="C877" s="94" t="n"/>
    </row>
    <row r="878">
      <c r="C878" s="94" t="n"/>
    </row>
    <row r="879">
      <c r="C879" s="94" t="n"/>
    </row>
    <row r="880">
      <c r="C880" s="94" t="n"/>
    </row>
    <row r="881">
      <c r="C881" s="94" t="n"/>
    </row>
    <row r="882">
      <c r="C882" s="94" t="n"/>
    </row>
    <row r="883">
      <c r="C883" s="94" t="n"/>
    </row>
    <row r="884">
      <c r="C884" s="94" t="n"/>
    </row>
    <row r="885">
      <c r="C885" s="94" t="n"/>
    </row>
    <row r="886">
      <c r="C886" s="94" t="n"/>
    </row>
    <row r="887">
      <c r="C887" s="94" t="n"/>
    </row>
    <row r="888">
      <c r="C888" s="94" t="n"/>
    </row>
    <row r="889">
      <c r="C889" s="94" t="n"/>
    </row>
    <row r="890">
      <c r="C890" s="94" t="n"/>
    </row>
    <row r="891">
      <c r="C891" s="94" t="n"/>
    </row>
    <row r="892">
      <c r="C892" s="94" t="n"/>
    </row>
    <row r="893">
      <c r="C893" s="94" t="n"/>
    </row>
    <row r="894">
      <c r="C894" s="94" t="n"/>
    </row>
    <row r="895">
      <c r="C895" s="94" t="n"/>
    </row>
    <row r="896">
      <c r="C896" s="94" t="n"/>
    </row>
    <row r="897">
      <c r="C897" s="94" t="n"/>
    </row>
    <row r="898">
      <c r="C898" s="94" t="n"/>
    </row>
    <row r="899">
      <c r="C899" s="94" t="n"/>
    </row>
    <row r="900">
      <c r="C900" s="94" t="n"/>
    </row>
    <row r="901">
      <c r="C901" s="94" t="n"/>
    </row>
    <row r="902">
      <c r="C902" s="94" t="n"/>
    </row>
    <row r="903">
      <c r="C903" s="94" t="n"/>
    </row>
    <row r="904">
      <c r="C904" s="94" t="n"/>
    </row>
    <row r="905">
      <c r="C905" s="94" t="n"/>
    </row>
    <row r="906">
      <c r="C906" s="94" t="n"/>
    </row>
    <row r="907">
      <c r="C907" s="94" t="n"/>
    </row>
    <row r="908">
      <c r="C908" s="94" t="n"/>
    </row>
    <row r="909">
      <c r="C909" s="94" t="n"/>
    </row>
    <row r="910">
      <c r="C910" s="94" t="n"/>
    </row>
    <row r="911">
      <c r="C911" s="94" t="n"/>
    </row>
    <row r="912">
      <c r="C912" s="94" t="n"/>
    </row>
    <row r="913">
      <c r="C913" s="94" t="n"/>
    </row>
    <row r="914">
      <c r="C914" s="94" t="n"/>
    </row>
    <row r="915">
      <c r="C915" s="94" t="n"/>
    </row>
    <row r="916">
      <c r="C916" s="94" t="n"/>
    </row>
    <row r="917">
      <c r="C917" s="94" t="n"/>
    </row>
    <row r="918">
      <c r="C918" s="94" t="n"/>
    </row>
    <row r="919">
      <c r="C919" s="94" t="n"/>
    </row>
    <row r="920">
      <c r="C920" s="94" t="n"/>
    </row>
    <row r="921">
      <c r="C921" s="94" t="n"/>
    </row>
    <row r="922">
      <c r="C922" s="94" t="n"/>
    </row>
    <row r="923">
      <c r="C923" s="94" t="n"/>
    </row>
    <row r="924">
      <c r="C924" s="94" t="n"/>
    </row>
    <row r="925">
      <c r="C925" s="94" t="n"/>
    </row>
    <row r="926">
      <c r="C926" s="94" t="n"/>
    </row>
    <row r="927">
      <c r="C927" s="94" t="n"/>
    </row>
    <row r="928">
      <c r="C928" s="94" t="n"/>
    </row>
    <row r="929">
      <c r="C929" s="94" t="n"/>
    </row>
    <row r="930">
      <c r="C930" s="94" t="n"/>
    </row>
    <row r="931">
      <c r="C931" s="94" t="n"/>
    </row>
    <row r="932">
      <c r="C932" s="94" t="n"/>
    </row>
    <row r="933">
      <c r="C933" s="94" t="n"/>
    </row>
    <row r="934">
      <c r="C934" s="94" t="n"/>
    </row>
    <row r="935">
      <c r="C935" s="94" t="n"/>
    </row>
    <row r="936">
      <c r="C936" s="94" t="n"/>
    </row>
    <row r="937">
      <c r="C937" s="94" t="n"/>
    </row>
    <row r="938">
      <c r="C938" s="94" t="n"/>
    </row>
    <row r="939">
      <c r="C939" s="94" t="n"/>
    </row>
    <row r="940">
      <c r="C940" s="94" t="n"/>
    </row>
    <row r="941">
      <c r="C941" s="94" t="n"/>
    </row>
    <row r="942">
      <c r="C942" s="94" t="n"/>
    </row>
    <row r="943">
      <c r="C943" s="94" t="n"/>
    </row>
    <row r="944">
      <c r="C944" s="94" t="n"/>
    </row>
    <row r="945">
      <c r="C945" s="94" t="n"/>
    </row>
    <row r="946">
      <c r="C946" s="94" t="n"/>
    </row>
    <row r="947">
      <c r="C947" s="94" t="n"/>
    </row>
    <row r="948">
      <c r="C948" s="94" t="n"/>
    </row>
    <row r="949">
      <c r="C949" s="94" t="n"/>
    </row>
    <row r="950">
      <c r="C950" s="94" t="n"/>
    </row>
    <row r="951">
      <c r="C951" s="94" t="n"/>
    </row>
    <row r="952">
      <c r="C952" s="94" t="n"/>
    </row>
    <row r="953">
      <c r="C953" s="94" t="n"/>
    </row>
    <row r="954">
      <c r="C954" s="94" t="n"/>
    </row>
    <row r="955">
      <c r="C955" s="94" t="n"/>
    </row>
    <row r="956">
      <c r="C956" s="94" t="n"/>
    </row>
    <row r="957">
      <c r="C957" s="94" t="n"/>
    </row>
    <row r="958">
      <c r="C958" s="94" t="n"/>
    </row>
    <row r="959">
      <c r="C959" s="94" t="n"/>
    </row>
    <row r="960">
      <c r="C960" s="94" t="n"/>
    </row>
    <row r="961">
      <c r="C961" s="94" t="n"/>
    </row>
    <row r="962">
      <c r="C962" s="94" t="n"/>
    </row>
    <row r="963">
      <c r="C963" s="94" t="n"/>
    </row>
    <row r="964">
      <c r="C964" s="94" t="n"/>
    </row>
    <row r="965">
      <c r="C965" s="94" t="n"/>
    </row>
    <row r="966">
      <c r="C966" s="94" t="n"/>
    </row>
    <row r="967">
      <c r="C967" s="94" t="n"/>
    </row>
    <row r="968">
      <c r="C968" s="94" t="n"/>
    </row>
    <row r="969">
      <c r="C969" s="94" t="n"/>
    </row>
    <row r="970">
      <c r="C970" s="94" t="n"/>
    </row>
    <row r="971">
      <c r="C971" s="94" t="n"/>
    </row>
    <row r="972">
      <c r="C972" s="94" t="n"/>
    </row>
    <row r="973">
      <c r="C973" s="94" t="n"/>
    </row>
    <row r="974">
      <c r="C974" s="94" t="n"/>
    </row>
    <row r="975">
      <c r="C975" s="94" t="n"/>
    </row>
    <row r="976">
      <c r="C976" s="94" t="n"/>
    </row>
    <row r="977">
      <c r="C977" s="94" t="n"/>
    </row>
    <row r="978">
      <c r="C978" s="94" t="n"/>
    </row>
    <row r="979">
      <c r="C979" s="94" t="n"/>
    </row>
    <row r="980">
      <c r="C980" s="94" t="n"/>
    </row>
    <row r="981">
      <c r="C981" s="94" t="n"/>
    </row>
    <row r="982">
      <c r="C982" s="94" t="n"/>
    </row>
    <row r="983">
      <c r="C983" s="94" t="n"/>
    </row>
    <row r="984">
      <c r="C984" s="94" t="n"/>
    </row>
    <row r="985">
      <c r="C985" s="94" t="n"/>
    </row>
    <row r="986">
      <c r="C986" s="94" t="n"/>
    </row>
    <row r="987">
      <c r="C987" s="94" t="n"/>
    </row>
    <row r="988">
      <c r="C988" s="94" t="n"/>
    </row>
    <row r="989">
      <c r="C989" s="94" t="n"/>
    </row>
    <row r="990">
      <c r="C990" s="94" t="n"/>
    </row>
    <row r="991">
      <c r="C991" s="94" t="n"/>
    </row>
    <row r="992">
      <c r="C992" s="94" t="n"/>
    </row>
    <row r="993">
      <c r="C993" s="94" t="n"/>
    </row>
    <row r="994">
      <c r="C994" s="94" t="n"/>
    </row>
    <row r="995">
      <c r="C995" s="94" t="n"/>
    </row>
    <row r="996">
      <c r="C996" s="94" t="n"/>
    </row>
    <row r="997">
      <c r="C997" s="94" t="n"/>
    </row>
    <row r="998">
      <c r="C998" s="94" t="n"/>
    </row>
    <row r="999">
      <c r="C999" s="94" t="n"/>
    </row>
    <row r="1000">
      <c r="C1000" s="94" t="n"/>
    </row>
    <row r="1001">
      <c r="C1001" s="94" t="n"/>
    </row>
    <row r="1002">
      <c r="C1002" s="94" t="n"/>
    </row>
    <row r="1003">
      <c r="C1003" s="94" t="n"/>
    </row>
    <row r="1004">
      <c r="C1004" s="94" t="n"/>
    </row>
    <row r="1005">
      <c r="C1005" s="94" t="n"/>
    </row>
    <row r="1006">
      <c r="C1006" s="94" t="n"/>
    </row>
    <row r="1007">
      <c r="C1007" s="94" t="n"/>
    </row>
    <row r="1008">
      <c r="C1008" s="94" t="n"/>
    </row>
    <row r="1009">
      <c r="C1009" s="94" t="n"/>
    </row>
    <row r="1010">
      <c r="C1010" s="94" t="n"/>
    </row>
    <row r="1011">
      <c r="C1011" s="94" t="n"/>
    </row>
    <row r="1012">
      <c r="C1012" s="94" t="n"/>
    </row>
    <row r="1013">
      <c r="C1013" s="94" t="n"/>
    </row>
    <row r="1014">
      <c r="C1014" s="94" t="n"/>
    </row>
    <row r="1015">
      <c r="C1015" s="94" t="n"/>
    </row>
    <row r="1016">
      <c r="C1016" s="94" t="n"/>
    </row>
    <row r="1017">
      <c r="C1017" s="94" t="n"/>
    </row>
    <row r="1018">
      <c r="C1018" s="94" t="n"/>
    </row>
    <row r="1019">
      <c r="C1019" s="94" t="n"/>
    </row>
    <row r="1020">
      <c r="C1020" s="94" t="n"/>
    </row>
    <row r="1021">
      <c r="C1021" s="94" t="n"/>
    </row>
    <row r="1022">
      <c r="C1022" s="94" t="n"/>
    </row>
    <row r="1023">
      <c r="C1023" s="94" t="n"/>
    </row>
    <row r="1024">
      <c r="C1024" s="94" t="n"/>
    </row>
    <row r="1025">
      <c r="C1025" s="94" t="n"/>
    </row>
    <row r="1026">
      <c r="C1026" s="94" t="n"/>
    </row>
    <row r="1027">
      <c r="C1027" s="94" t="n"/>
    </row>
    <row r="1028">
      <c r="C1028" s="94" t="n"/>
    </row>
    <row r="1029">
      <c r="C1029" s="94" t="n"/>
    </row>
    <row r="1030">
      <c r="C1030" s="94" t="n"/>
    </row>
    <row r="1031">
      <c r="C1031" s="94" t="n"/>
    </row>
    <row r="1032">
      <c r="C1032" s="94" t="n"/>
    </row>
    <row r="1033">
      <c r="C1033" s="94" t="n"/>
    </row>
    <row r="1034">
      <c r="C1034" s="94" t="n"/>
    </row>
    <row r="1035">
      <c r="C1035" s="94" t="n"/>
    </row>
    <row r="1036">
      <c r="C1036" s="94" t="n"/>
    </row>
    <row r="1037">
      <c r="C1037" s="94" t="n"/>
    </row>
    <row r="1038">
      <c r="C1038" s="94" t="n"/>
    </row>
    <row r="1039">
      <c r="C1039" s="94" t="n"/>
    </row>
    <row r="1040">
      <c r="C1040" s="94" t="n"/>
    </row>
    <row r="1041">
      <c r="C1041" s="94" t="n"/>
    </row>
    <row r="1042">
      <c r="C1042" s="94" t="n"/>
    </row>
    <row r="1043">
      <c r="C1043" s="94" t="n"/>
    </row>
    <row r="1044">
      <c r="C1044" s="94" t="n"/>
    </row>
    <row r="1045">
      <c r="C1045" s="94" t="n"/>
    </row>
    <row r="1046">
      <c r="C1046" s="94" t="n"/>
    </row>
    <row r="1047">
      <c r="C1047" s="94" t="n"/>
    </row>
    <row r="1048">
      <c r="C1048" s="94" t="n"/>
    </row>
    <row r="1049">
      <c r="C1049" s="94" t="n"/>
    </row>
    <row r="1050">
      <c r="C1050" s="94" t="n"/>
    </row>
    <row r="1051">
      <c r="C1051" s="94" t="n"/>
    </row>
    <row r="1052">
      <c r="C1052" s="94" t="n"/>
    </row>
    <row r="1053">
      <c r="C1053" s="94" t="n"/>
    </row>
    <row r="1054">
      <c r="C1054" s="94" t="n"/>
    </row>
    <row r="1055">
      <c r="C1055" s="94" t="n"/>
    </row>
    <row r="1056">
      <c r="C1056" s="94" t="n"/>
    </row>
    <row r="1057">
      <c r="C1057" s="94" t="n"/>
    </row>
    <row r="1058">
      <c r="C1058" s="94" t="n"/>
    </row>
    <row r="1059">
      <c r="C1059" s="94" t="n"/>
    </row>
    <row r="1060">
      <c r="C1060" s="94" t="n"/>
    </row>
    <row r="1061">
      <c r="C1061" s="94" t="n"/>
    </row>
    <row r="1062">
      <c r="C1062" s="94" t="n"/>
    </row>
    <row r="1063">
      <c r="C1063" s="94" t="n"/>
    </row>
    <row r="1064">
      <c r="C1064" s="94" t="n"/>
    </row>
    <row r="1065">
      <c r="C1065" s="94" t="n"/>
    </row>
    <row r="1066">
      <c r="C1066" s="94" t="n"/>
    </row>
    <row r="1067">
      <c r="C1067" s="94" t="n"/>
    </row>
    <row r="1068">
      <c r="C1068" s="94" t="n"/>
    </row>
    <row r="1069">
      <c r="C1069" s="94" t="n"/>
    </row>
    <row r="1070">
      <c r="C1070" s="94" t="n"/>
    </row>
    <row r="1071">
      <c r="C1071" s="94" t="n"/>
    </row>
    <row r="1072">
      <c r="C1072" s="94" t="n"/>
    </row>
    <row r="1073">
      <c r="C1073" s="94" t="n"/>
    </row>
    <row r="1074">
      <c r="C1074" s="94" t="n"/>
    </row>
    <row r="1075">
      <c r="C1075" s="94" t="n"/>
    </row>
    <row r="1076">
      <c r="C1076" s="94" t="n"/>
    </row>
    <row r="1077">
      <c r="C1077" s="94" t="n"/>
    </row>
    <row r="1078">
      <c r="C1078" s="94" t="n"/>
    </row>
    <row r="1079">
      <c r="C1079" s="94" t="n"/>
    </row>
    <row r="1080">
      <c r="C1080" s="94" t="n"/>
    </row>
    <row r="1081">
      <c r="C1081" s="94" t="n"/>
    </row>
    <row r="1082">
      <c r="C1082" s="94" t="n"/>
    </row>
    <row r="1083">
      <c r="C1083" s="94" t="n"/>
    </row>
    <row r="1084">
      <c r="C1084" s="94" t="n"/>
    </row>
    <row r="1085">
      <c r="C1085" s="94" t="n"/>
    </row>
    <row r="1086">
      <c r="C1086" s="94" t="n"/>
    </row>
    <row r="1087">
      <c r="C1087" s="94" t="n"/>
    </row>
    <row r="1088">
      <c r="C1088" s="94" t="n"/>
    </row>
    <row r="1089">
      <c r="C1089" s="94" t="n"/>
    </row>
    <row r="1090">
      <c r="C1090" s="94" t="n"/>
    </row>
    <row r="1091">
      <c r="C1091" s="94" t="n"/>
    </row>
    <row r="1092">
      <c r="C1092" s="94" t="n"/>
    </row>
    <row r="1093">
      <c r="C1093" s="94" t="n"/>
    </row>
    <row r="1094">
      <c r="C1094" s="94" t="n"/>
    </row>
    <row r="1095">
      <c r="C1095" s="94" t="n"/>
    </row>
    <row r="1096">
      <c r="C1096" s="94" t="n"/>
    </row>
    <row r="1097">
      <c r="C1097" s="94" t="n"/>
    </row>
    <row r="1098">
      <c r="C1098" s="94" t="n"/>
    </row>
    <row r="1099">
      <c r="C1099" s="94" t="n"/>
    </row>
    <row r="1100">
      <c r="C1100" s="94" t="n"/>
    </row>
    <row r="1101">
      <c r="C1101" s="94" t="n"/>
    </row>
    <row r="1102">
      <c r="C1102" s="94" t="n"/>
    </row>
    <row r="1103">
      <c r="C1103" s="94" t="n"/>
    </row>
    <row r="1104">
      <c r="C1104" s="94" t="n"/>
    </row>
    <row r="1105">
      <c r="C1105" s="94" t="n"/>
    </row>
    <row r="1106">
      <c r="C1106" s="94" t="n"/>
    </row>
    <row r="1107">
      <c r="C1107" s="94" t="n"/>
    </row>
    <row r="1108">
      <c r="C1108" s="94" t="n"/>
    </row>
    <row r="1109">
      <c r="C1109" s="94" t="n"/>
    </row>
    <row r="1110">
      <c r="C1110" s="94" t="n"/>
    </row>
    <row r="1111">
      <c r="C1111" s="94" t="n"/>
    </row>
    <row r="1112">
      <c r="C1112" s="94" t="n"/>
    </row>
    <row r="1113">
      <c r="C1113" s="94" t="n"/>
    </row>
    <row r="1114">
      <c r="C1114" s="94" t="n"/>
    </row>
    <row r="1115">
      <c r="C1115" s="94" t="n"/>
    </row>
    <row r="1116">
      <c r="C1116" s="94" t="n"/>
    </row>
    <row r="1117">
      <c r="C1117" s="94" t="n"/>
    </row>
    <row r="1118">
      <c r="C1118" s="94" t="n"/>
    </row>
    <row r="1119">
      <c r="C1119" s="94" t="n"/>
    </row>
    <row r="1120">
      <c r="C1120" s="94" t="n"/>
    </row>
    <row r="1121">
      <c r="C1121" s="94" t="n"/>
    </row>
    <row r="1122">
      <c r="C1122" s="94" t="n"/>
    </row>
    <row r="1123">
      <c r="C1123" s="94" t="n"/>
    </row>
    <row r="1124">
      <c r="C1124" s="94" t="n"/>
    </row>
    <row r="1125">
      <c r="C1125" s="94" t="n"/>
    </row>
    <row r="1126">
      <c r="C1126" s="94" t="n"/>
    </row>
    <row r="1127">
      <c r="C1127" s="94" t="n"/>
    </row>
    <row r="1128">
      <c r="C1128" s="94" t="n"/>
    </row>
    <row r="1129">
      <c r="C1129" s="94" t="n"/>
    </row>
    <row r="1130">
      <c r="C1130" s="94" t="n"/>
    </row>
    <row r="1131">
      <c r="C1131" s="94" t="n"/>
    </row>
    <row r="1132">
      <c r="C1132" s="94" t="n"/>
    </row>
    <row r="1133">
      <c r="C1133" s="94" t="n"/>
    </row>
    <row r="1134">
      <c r="C1134" s="94" t="n"/>
    </row>
    <row r="1135">
      <c r="C1135" s="94" t="n"/>
    </row>
    <row r="1136">
      <c r="C1136" s="94" t="n"/>
    </row>
    <row r="1137">
      <c r="C1137" s="94" t="n"/>
    </row>
    <row r="1138">
      <c r="C1138" s="94" t="n"/>
    </row>
    <row r="1139">
      <c r="C1139" s="94" t="n"/>
    </row>
    <row r="1140">
      <c r="C1140" s="94" t="n"/>
    </row>
    <row r="1141">
      <c r="C1141" s="94" t="n"/>
    </row>
    <row r="1142">
      <c r="C1142" s="94" t="n"/>
    </row>
    <row r="1143">
      <c r="C1143" s="94" t="n"/>
    </row>
    <row r="1144">
      <c r="C1144" s="94" t="n"/>
    </row>
    <row r="1145">
      <c r="C1145" s="94" t="n"/>
    </row>
    <row r="1146">
      <c r="C1146" s="94" t="n"/>
    </row>
    <row r="1147">
      <c r="C1147" s="94" t="n"/>
    </row>
    <row r="1148">
      <c r="C1148" s="94" t="n"/>
    </row>
    <row r="1149">
      <c r="C1149" s="94" t="n"/>
    </row>
    <row r="1150">
      <c r="C1150" s="94" t="n"/>
    </row>
    <row r="1151">
      <c r="C1151" s="94" t="n"/>
    </row>
    <row r="1152">
      <c r="C1152" s="94" t="n"/>
    </row>
    <row r="1153">
      <c r="C1153" s="94" t="n"/>
    </row>
    <row r="1154">
      <c r="C1154" s="94" t="n"/>
    </row>
    <row r="1155">
      <c r="C1155" s="94" t="n"/>
    </row>
    <row r="1156">
      <c r="C1156" s="94" t="n"/>
    </row>
    <row r="1157">
      <c r="C1157" s="94" t="n"/>
    </row>
    <row r="1158">
      <c r="C1158" s="94" t="n"/>
    </row>
    <row r="1159">
      <c r="C1159" s="94" t="n"/>
    </row>
    <row r="1160">
      <c r="C1160" s="94" t="n"/>
    </row>
    <row r="1161">
      <c r="C1161" s="94" t="n"/>
    </row>
    <row r="1162">
      <c r="C1162" s="94" t="n"/>
    </row>
    <row r="1163">
      <c r="C1163" s="94" t="n"/>
    </row>
    <row r="1164">
      <c r="C1164" s="94" t="n"/>
    </row>
    <row r="1165">
      <c r="C1165" s="94" t="n"/>
    </row>
    <row r="1166">
      <c r="C1166" s="94" t="n"/>
    </row>
    <row r="1167">
      <c r="C1167" s="94" t="n"/>
    </row>
    <row r="1168">
      <c r="C1168" s="94" t="n"/>
    </row>
    <row r="1169">
      <c r="C1169" s="94" t="n"/>
    </row>
    <row r="1170">
      <c r="C1170" s="94" t="n"/>
    </row>
    <row r="1171">
      <c r="C1171" s="94" t="n"/>
    </row>
    <row r="1172">
      <c r="C1172" s="94" t="n"/>
    </row>
    <row r="1173">
      <c r="C1173" s="94" t="n"/>
    </row>
    <row r="1174">
      <c r="C1174" s="94" t="n"/>
    </row>
    <row r="1175">
      <c r="C1175" s="94" t="n"/>
    </row>
    <row r="1176">
      <c r="C1176" s="94" t="n"/>
    </row>
    <row r="1177">
      <c r="C1177" s="94" t="n"/>
    </row>
    <row r="1178">
      <c r="C1178" s="94" t="n"/>
    </row>
    <row r="1179">
      <c r="C1179" s="94" t="n"/>
    </row>
    <row r="1180">
      <c r="C1180" s="94" t="n"/>
    </row>
    <row r="1181">
      <c r="C1181" s="94" t="n"/>
    </row>
    <row r="1182">
      <c r="C1182" s="94" t="n"/>
    </row>
    <row r="1183">
      <c r="C1183" s="94" t="n"/>
    </row>
    <row r="1184">
      <c r="C1184" s="94" t="n"/>
    </row>
    <row r="1185">
      <c r="C1185" s="94" t="n"/>
    </row>
    <row r="1186">
      <c r="C1186" s="94" t="n"/>
    </row>
    <row r="1187">
      <c r="C1187" s="94" t="n"/>
    </row>
    <row r="1188">
      <c r="C1188" s="94" t="n"/>
    </row>
    <row r="1189">
      <c r="C1189" s="94" t="n"/>
    </row>
    <row r="1190">
      <c r="C1190" s="94" t="n"/>
    </row>
    <row r="1191">
      <c r="C1191" s="94" t="n"/>
    </row>
    <row r="1192">
      <c r="C1192" s="94" t="n"/>
    </row>
    <row r="1193">
      <c r="C1193" s="94" t="n"/>
    </row>
    <row r="1194">
      <c r="C1194" s="94" t="n"/>
    </row>
    <row r="1195">
      <c r="C1195" s="94" t="n"/>
    </row>
    <row r="1196">
      <c r="C1196" s="94" t="n"/>
    </row>
    <row r="1197">
      <c r="C1197" s="94" t="n"/>
    </row>
    <row r="1198">
      <c r="C1198" s="94" t="n"/>
    </row>
    <row r="1199">
      <c r="C1199" s="94" t="n"/>
    </row>
    <row r="1200">
      <c r="C1200" s="94" t="n"/>
    </row>
    <row r="1201">
      <c r="C1201" s="94" t="n"/>
    </row>
    <row r="1202">
      <c r="C1202" s="94" t="n"/>
    </row>
    <row r="1203">
      <c r="C1203" s="94" t="n"/>
    </row>
    <row r="1204">
      <c r="C1204" s="94" t="n"/>
    </row>
    <row r="1205">
      <c r="C1205" s="94" t="n"/>
    </row>
    <row r="1206">
      <c r="C1206" s="94" t="n"/>
    </row>
    <row r="1207">
      <c r="C1207" s="94" t="n"/>
    </row>
    <row r="1208">
      <c r="C1208" s="94" t="n"/>
    </row>
    <row r="1209">
      <c r="C1209" s="94" t="n"/>
    </row>
    <row r="1210">
      <c r="C1210" s="94" t="n"/>
    </row>
    <row r="1211">
      <c r="C1211" s="94" t="n"/>
    </row>
    <row r="1212">
      <c r="C1212" s="94" t="n"/>
    </row>
    <row r="1213">
      <c r="C1213" s="94" t="n"/>
    </row>
    <row r="1214">
      <c r="C1214" s="94" t="n"/>
    </row>
    <row r="1215">
      <c r="C1215" s="94" t="n"/>
    </row>
    <row r="1216">
      <c r="C1216" s="94" t="n"/>
    </row>
    <row r="1217">
      <c r="C1217" s="94" t="n"/>
    </row>
    <row r="1218">
      <c r="C1218" s="94" t="n"/>
    </row>
    <row r="1219">
      <c r="C1219" s="94" t="n"/>
    </row>
    <row r="1220">
      <c r="C1220" s="94" t="n"/>
    </row>
    <row r="1221">
      <c r="C1221" s="94" t="n"/>
    </row>
    <row r="1222">
      <c r="C1222" s="94" t="n"/>
    </row>
    <row r="1223">
      <c r="C1223" s="94" t="n"/>
    </row>
    <row r="1224">
      <c r="C1224" s="94" t="n"/>
    </row>
    <row r="1225">
      <c r="C1225" s="94" t="n"/>
    </row>
    <row r="1226">
      <c r="C1226" s="94" t="n"/>
    </row>
    <row r="1227">
      <c r="C1227" s="94" t="n"/>
    </row>
    <row r="1228">
      <c r="C1228" s="94" t="n"/>
    </row>
    <row r="1229">
      <c r="C1229" s="94" t="n"/>
    </row>
    <row r="1230">
      <c r="C1230" s="94" t="n"/>
    </row>
    <row r="1231">
      <c r="C1231" s="94" t="n"/>
    </row>
    <row r="1232">
      <c r="C1232" s="94" t="n"/>
    </row>
    <row r="1233">
      <c r="C1233" s="94" t="n"/>
    </row>
    <row r="1234">
      <c r="C1234" s="94" t="n"/>
    </row>
    <row r="1235">
      <c r="C1235" s="94" t="n"/>
    </row>
    <row r="1236">
      <c r="C1236" s="94" t="n"/>
    </row>
    <row r="1237">
      <c r="C1237" s="94" t="n"/>
    </row>
    <row r="1238">
      <c r="C1238" s="94" t="n"/>
    </row>
    <row r="1239">
      <c r="C1239" s="94" t="n"/>
    </row>
    <row r="1240">
      <c r="C1240" s="94" t="n"/>
    </row>
    <row r="1241">
      <c r="C1241" s="94" t="n"/>
    </row>
    <row r="1242">
      <c r="C1242" s="94" t="n"/>
    </row>
    <row r="1243">
      <c r="C1243" s="94" t="n"/>
    </row>
    <row r="1244">
      <c r="C1244" s="94" t="n"/>
    </row>
    <row r="1245">
      <c r="C1245" s="94" t="n"/>
    </row>
    <row r="1246">
      <c r="C1246" s="94" t="n"/>
    </row>
    <row r="1247">
      <c r="C1247" s="94" t="n"/>
    </row>
    <row r="1248">
      <c r="C1248" s="94" t="n"/>
    </row>
    <row r="1249">
      <c r="C1249" s="94" t="n"/>
    </row>
    <row r="1250">
      <c r="C1250" s="94" t="n"/>
    </row>
    <row r="1251">
      <c r="C1251" s="94" t="n"/>
    </row>
    <row r="1252">
      <c r="C1252" s="94" t="n"/>
    </row>
    <row r="1253">
      <c r="C1253" s="94" t="n"/>
    </row>
    <row r="1254">
      <c r="C1254" s="94" t="n"/>
    </row>
    <row r="1255">
      <c r="C1255" s="94" t="n"/>
    </row>
    <row r="1256">
      <c r="C1256" s="94" t="n"/>
    </row>
    <row r="1257">
      <c r="C1257" s="94" t="n"/>
    </row>
    <row r="1258">
      <c r="C1258" s="94" t="n"/>
    </row>
    <row r="1259">
      <c r="C1259" s="94" t="n"/>
    </row>
    <row r="1260">
      <c r="C1260" s="94" t="n"/>
    </row>
    <row r="1261">
      <c r="C1261" s="94" t="n"/>
    </row>
    <row r="1262">
      <c r="C1262" s="94" t="n"/>
    </row>
    <row r="1263">
      <c r="C1263" s="94" t="n"/>
    </row>
    <row r="1264">
      <c r="C1264" s="94" t="n"/>
    </row>
    <row r="1265">
      <c r="C1265" s="94" t="n"/>
    </row>
    <row r="1266">
      <c r="C1266" s="94" t="n"/>
    </row>
    <row r="1267">
      <c r="C1267" s="94" t="n"/>
    </row>
    <row r="1268">
      <c r="C1268" s="94" t="n"/>
    </row>
    <row r="1269">
      <c r="C1269" s="94" t="n"/>
    </row>
    <row r="1270">
      <c r="C1270" s="94" t="n"/>
    </row>
    <row r="1271">
      <c r="C1271" s="94" t="n"/>
    </row>
    <row r="1272">
      <c r="C1272" s="94" t="n"/>
    </row>
    <row r="1273">
      <c r="C1273" s="94" t="n"/>
    </row>
    <row r="1274">
      <c r="C1274" s="94" t="n"/>
    </row>
    <row r="1275">
      <c r="C1275" s="94" t="n"/>
    </row>
    <row r="1276">
      <c r="C1276" s="94" t="n"/>
    </row>
    <row r="1277">
      <c r="C1277" s="94" t="n"/>
    </row>
    <row r="1278">
      <c r="C1278" s="94" t="n"/>
    </row>
    <row r="1279">
      <c r="C1279" s="94" t="n"/>
    </row>
    <row r="1280">
      <c r="C1280" s="94" t="n"/>
    </row>
    <row r="1281">
      <c r="C1281" s="94" t="n"/>
    </row>
    <row r="1282">
      <c r="C1282" s="94" t="n"/>
    </row>
    <row r="1283">
      <c r="C1283" s="94" t="n"/>
    </row>
    <row r="1284">
      <c r="C1284" s="94" t="n"/>
    </row>
    <row r="1285">
      <c r="C1285" s="94" t="n"/>
    </row>
    <row r="1286">
      <c r="C1286" s="94" t="n"/>
    </row>
    <row r="1287">
      <c r="C1287" s="94" t="n"/>
    </row>
    <row r="1288">
      <c r="C1288" s="94" t="n"/>
    </row>
    <row r="1289">
      <c r="C1289" s="94" t="n"/>
    </row>
    <row r="1290">
      <c r="C1290" s="94" t="n"/>
    </row>
    <row r="1291">
      <c r="C1291" s="94" t="n"/>
    </row>
    <row r="1292">
      <c r="C1292" s="94" t="n"/>
    </row>
    <row r="1293">
      <c r="C1293" s="94" t="n"/>
    </row>
    <row r="1294">
      <c r="C1294" s="94" t="n"/>
    </row>
    <row r="1295">
      <c r="C1295" s="94" t="n"/>
    </row>
    <row r="1296">
      <c r="C1296" s="94" t="n"/>
    </row>
    <row r="1297">
      <c r="C1297" s="94" t="n"/>
    </row>
    <row r="1298">
      <c r="C1298" s="94" t="n"/>
    </row>
    <row r="1299">
      <c r="C1299" s="94" t="n"/>
    </row>
    <row r="1300">
      <c r="C1300" s="94" t="n"/>
    </row>
    <row r="1301">
      <c r="C1301" s="94" t="n"/>
    </row>
    <row r="1302">
      <c r="C1302" s="94" t="n"/>
    </row>
    <row r="1303">
      <c r="C1303" s="94" t="n"/>
    </row>
    <row r="1304">
      <c r="C1304" s="94" t="n"/>
    </row>
    <row r="1305">
      <c r="C1305" s="94" t="n"/>
    </row>
    <row r="1306">
      <c r="C1306" s="94" t="n"/>
    </row>
    <row r="1307">
      <c r="C1307" s="94" t="n"/>
    </row>
    <row r="1308">
      <c r="C1308" s="94" t="n"/>
    </row>
    <row r="1309">
      <c r="C1309" s="94" t="n"/>
    </row>
    <row r="1310">
      <c r="C1310" s="94" t="n"/>
    </row>
    <row r="1311">
      <c r="C1311" s="94" t="n"/>
    </row>
    <row r="1312">
      <c r="C1312" s="94" t="n"/>
    </row>
    <row r="1313">
      <c r="C1313" s="94" t="n"/>
    </row>
    <row r="1314">
      <c r="C1314" s="94" t="n"/>
    </row>
    <row r="1315">
      <c r="C1315" s="94" t="n"/>
    </row>
    <row r="1316">
      <c r="C1316" s="94" t="n"/>
    </row>
    <row r="1317">
      <c r="C1317" s="94" t="n"/>
    </row>
    <row r="1318">
      <c r="C1318" s="94" t="n"/>
    </row>
    <row r="1319">
      <c r="C1319" s="94" t="n"/>
    </row>
    <row r="1320">
      <c r="C1320" s="94" t="n"/>
    </row>
    <row r="1321">
      <c r="C1321" s="94" t="n"/>
    </row>
    <row r="1322">
      <c r="C1322" s="94" t="n"/>
    </row>
    <row r="1323">
      <c r="C1323" s="94" t="n"/>
    </row>
    <row r="1324">
      <c r="C1324" s="94" t="n"/>
    </row>
    <row r="1325">
      <c r="C1325" s="94" t="n"/>
    </row>
    <row r="1326">
      <c r="C1326" s="94" t="n"/>
    </row>
    <row r="1327">
      <c r="C1327" s="94" t="n"/>
    </row>
    <row r="1328">
      <c r="C1328" s="94" t="n"/>
    </row>
    <row r="1329">
      <c r="C1329" s="94" t="n"/>
    </row>
    <row r="1330">
      <c r="C1330" s="94" t="n"/>
    </row>
    <row r="1331">
      <c r="C1331" s="94" t="n"/>
    </row>
    <row r="1332">
      <c r="C1332" s="94" t="n"/>
    </row>
    <row r="1333">
      <c r="C1333" s="94" t="n"/>
    </row>
    <row r="1334">
      <c r="C1334" s="94" t="n"/>
    </row>
    <row r="1335">
      <c r="C1335" s="94" t="n"/>
    </row>
    <row r="1336">
      <c r="C1336" s="94" t="n"/>
    </row>
    <row r="1337">
      <c r="C1337" s="94" t="n"/>
    </row>
    <row r="1338">
      <c r="C1338" s="94" t="n"/>
    </row>
    <row r="1339">
      <c r="C1339" s="94" t="n"/>
    </row>
    <row r="1340">
      <c r="C1340" s="94" t="n"/>
    </row>
    <row r="1341">
      <c r="C1341" s="94" t="n"/>
    </row>
    <row r="1342">
      <c r="C1342" s="94" t="n"/>
    </row>
    <row r="1343">
      <c r="C1343" s="94" t="n"/>
    </row>
    <row r="1344">
      <c r="C1344" s="94" t="n"/>
    </row>
    <row r="1345">
      <c r="C1345" s="94" t="n"/>
    </row>
    <row r="1346">
      <c r="C1346" s="94" t="n"/>
    </row>
    <row r="1347">
      <c r="C1347" s="94" t="n"/>
    </row>
    <row r="1348">
      <c r="C1348" s="94" t="n"/>
    </row>
    <row r="1349">
      <c r="C1349" s="94" t="n"/>
    </row>
    <row r="1350">
      <c r="C1350" s="94" t="n"/>
    </row>
    <row r="1351">
      <c r="C1351" s="94" t="n"/>
    </row>
    <row r="1352">
      <c r="C1352" s="94" t="n"/>
    </row>
    <row r="1353">
      <c r="C1353" s="94" t="n"/>
    </row>
    <row r="1354">
      <c r="C1354" s="94" t="n"/>
    </row>
    <row r="1355">
      <c r="C1355" s="94" t="n"/>
    </row>
    <row r="1356">
      <c r="C1356" s="94" t="n"/>
    </row>
    <row r="1357">
      <c r="C1357" s="94" t="n"/>
    </row>
    <row r="1358">
      <c r="C1358" s="94" t="n"/>
    </row>
    <row r="1359">
      <c r="C1359" s="94" t="n"/>
    </row>
    <row r="1360">
      <c r="C1360" s="94" t="n"/>
    </row>
    <row r="1361">
      <c r="C1361" s="94" t="n"/>
    </row>
    <row r="1362">
      <c r="C1362" s="94" t="n"/>
    </row>
    <row r="1363">
      <c r="C1363" s="94" t="n"/>
    </row>
    <row r="1364">
      <c r="C1364" s="94" t="n"/>
    </row>
    <row r="1365">
      <c r="C1365" s="94" t="n"/>
    </row>
    <row r="1366">
      <c r="C1366" s="94" t="n"/>
    </row>
    <row r="1367">
      <c r="C1367" s="94" t="n"/>
    </row>
    <row r="1368">
      <c r="C1368" s="94" t="n"/>
    </row>
    <row r="1369">
      <c r="C1369" s="94" t="n"/>
    </row>
    <row r="1370">
      <c r="C1370" s="94" t="n"/>
    </row>
    <row r="1371">
      <c r="C1371" s="94" t="n"/>
    </row>
    <row r="1372">
      <c r="C1372" s="94" t="n"/>
    </row>
    <row r="1373">
      <c r="C1373" s="94" t="n"/>
    </row>
    <row r="1374">
      <c r="C1374" s="94" t="n"/>
    </row>
    <row r="1375">
      <c r="C1375" s="94" t="n"/>
    </row>
    <row r="1376">
      <c r="C1376" s="94" t="n"/>
    </row>
    <row r="1377">
      <c r="C1377" s="94" t="n"/>
    </row>
    <row r="1378">
      <c r="C1378" s="94" t="n"/>
    </row>
    <row r="1379">
      <c r="C1379" s="94" t="n"/>
    </row>
    <row r="1380">
      <c r="C1380" s="94" t="n"/>
    </row>
    <row r="1381">
      <c r="C1381" s="94" t="n"/>
    </row>
    <row r="1382">
      <c r="C1382" s="94" t="n"/>
    </row>
    <row r="1383">
      <c r="C1383" s="94" t="n"/>
    </row>
    <row r="1384">
      <c r="C1384" s="94" t="n"/>
    </row>
    <row r="1385">
      <c r="C1385" s="94" t="n"/>
    </row>
    <row r="1386">
      <c r="C1386" s="94" t="n"/>
    </row>
    <row r="1387">
      <c r="C1387" s="94" t="n"/>
    </row>
    <row r="1388">
      <c r="C1388" s="94" t="n"/>
    </row>
    <row r="1389">
      <c r="C1389" s="94" t="n"/>
    </row>
    <row r="1390">
      <c r="C1390" s="94" t="n"/>
    </row>
    <row r="1391">
      <c r="C1391" s="94" t="n"/>
    </row>
    <row r="1392">
      <c r="C1392" s="94" t="n"/>
    </row>
    <row r="1393">
      <c r="C1393" s="94" t="n"/>
    </row>
    <row r="1394">
      <c r="C1394" s="94" t="n"/>
    </row>
    <row r="1395">
      <c r="C1395" s="94" t="n"/>
    </row>
    <row r="1396">
      <c r="C1396" s="94" t="n"/>
    </row>
    <row r="1397">
      <c r="C1397" s="94" t="n"/>
    </row>
    <row r="1398">
      <c r="C1398" s="94" t="n"/>
    </row>
    <row r="1399">
      <c r="C1399" s="94" t="n"/>
    </row>
    <row r="1400">
      <c r="C1400" s="94" t="n"/>
    </row>
    <row r="1401">
      <c r="C1401" s="94" t="n"/>
    </row>
    <row r="1402">
      <c r="C1402" s="94" t="n"/>
    </row>
    <row r="1403">
      <c r="C1403" s="94" t="n"/>
    </row>
    <row r="1404">
      <c r="C1404" s="94" t="n"/>
    </row>
    <row r="1405">
      <c r="C1405" s="94" t="n"/>
    </row>
    <row r="1406">
      <c r="C1406" s="94" t="n"/>
    </row>
    <row r="1407">
      <c r="C1407" s="94" t="n"/>
    </row>
    <row r="1408">
      <c r="C1408" s="94" t="n"/>
    </row>
    <row r="1409">
      <c r="C1409" s="94" t="n"/>
    </row>
    <row r="1410">
      <c r="C1410" s="94" t="n"/>
    </row>
    <row r="1411">
      <c r="C1411" s="94" t="n"/>
    </row>
    <row r="1412">
      <c r="C1412" s="94" t="n"/>
    </row>
    <row r="1413">
      <c r="C1413" s="94" t="n"/>
    </row>
    <row r="1414">
      <c r="C1414" s="94" t="n"/>
    </row>
    <row r="1415">
      <c r="C1415" s="94" t="n"/>
    </row>
    <row r="1416">
      <c r="C1416" s="94" t="n"/>
    </row>
    <row r="1417">
      <c r="C1417" s="94" t="n"/>
    </row>
    <row r="1418">
      <c r="C1418" s="94" t="n"/>
    </row>
    <row r="1419">
      <c r="C1419" s="94" t="n"/>
    </row>
    <row r="1420">
      <c r="C1420" s="94" t="n"/>
    </row>
    <row r="1421">
      <c r="C1421" s="94" t="n"/>
    </row>
    <row r="1422">
      <c r="C1422" s="94" t="n"/>
    </row>
    <row r="1423">
      <c r="C1423" s="94" t="n"/>
    </row>
    <row r="1424">
      <c r="C1424" s="94" t="n"/>
    </row>
    <row r="1425">
      <c r="C1425" s="94" t="n"/>
    </row>
    <row r="1426">
      <c r="C1426" s="94" t="n"/>
    </row>
    <row r="1427">
      <c r="C1427" s="94" t="n"/>
    </row>
    <row r="1428">
      <c r="C1428" s="94" t="n"/>
    </row>
    <row r="1429">
      <c r="C1429" s="94" t="n"/>
    </row>
    <row r="1430">
      <c r="C1430" s="94" t="n"/>
    </row>
    <row r="1431">
      <c r="C1431" s="94" t="n"/>
    </row>
    <row r="1432">
      <c r="C1432" s="94" t="n"/>
    </row>
    <row r="1433">
      <c r="C1433" s="94" t="n"/>
    </row>
    <row r="1434">
      <c r="C1434" s="94" t="n"/>
    </row>
    <row r="1435">
      <c r="C1435" s="94" t="n"/>
    </row>
    <row r="1436">
      <c r="C1436" s="94" t="n"/>
    </row>
    <row r="1437">
      <c r="C1437" s="94" t="n"/>
    </row>
    <row r="1438">
      <c r="C1438" s="94" t="n"/>
    </row>
    <row r="1439">
      <c r="C1439" s="94" t="n"/>
    </row>
    <row r="1440">
      <c r="C1440" s="94" t="n"/>
    </row>
    <row r="1441">
      <c r="C1441" s="94" t="n"/>
    </row>
    <row r="1442">
      <c r="C1442" s="94" t="n"/>
    </row>
    <row r="1443">
      <c r="C1443" s="94" t="n"/>
    </row>
    <row r="1444">
      <c r="C1444" s="94" t="n"/>
    </row>
    <row r="1445">
      <c r="C1445" s="94" t="n"/>
    </row>
    <row r="1446">
      <c r="C1446" s="94" t="n"/>
    </row>
    <row r="1447">
      <c r="C1447" s="94" t="n"/>
    </row>
    <row r="1448">
      <c r="C1448" s="94" t="n"/>
    </row>
    <row r="1449">
      <c r="C1449" s="94" t="n"/>
    </row>
    <row r="1450">
      <c r="C1450" s="94" t="n"/>
    </row>
    <row r="1451">
      <c r="C1451" s="94" t="n"/>
    </row>
    <row r="1452">
      <c r="C1452" s="94" t="n"/>
    </row>
    <row r="1453">
      <c r="C1453" s="94" t="n"/>
    </row>
    <row r="1454">
      <c r="C1454" s="94" t="n"/>
    </row>
    <row r="1455">
      <c r="C1455" s="94" t="n"/>
    </row>
    <row r="1456">
      <c r="C1456" s="94" t="n"/>
    </row>
    <row r="1457">
      <c r="C1457" s="94" t="n"/>
    </row>
    <row r="1458">
      <c r="C1458" s="94" t="n"/>
    </row>
    <row r="1459">
      <c r="C1459" s="94" t="n"/>
    </row>
    <row r="1460">
      <c r="C1460" s="94" t="n"/>
    </row>
    <row r="1461">
      <c r="C1461" s="94" t="n"/>
    </row>
    <row r="1462">
      <c r="C1462" s="94" t="n"/>
    </row>
    <row r="1463">
      <c r="C1463" s="94" t="n"/>
    </row>
    <row r="1464">
      <c r="C1464" s="94" t="n"/>
    </row>
    <row r="1465">
      <c r="C1465" s="94" t="n"/>
    </row>
    <row r="1466">
      <c r="C1466" s="94" t="n"/>
    </row>
    <row r="1467">
      <c r="C1467" s="94" t="n"/>
    </row>
    <row r="1468">
      <c r="C1468" s="94" t="n"/>
    </row>
    <row r="1469">
      <c r="C1469" s="94" t="n"/>
    </row>
    <row r="1470">
      <c r="C1470" s="94" t="n"/>
    </row>
    <row r="1471">
      <c r="C1471" s="94" t="n"/>
    </row>
    <row r="1472">
      <c r="C1472" s="94" t="n"/>
    </row>
    <row r="1473">
      <c r="C1473" s="94" t="n"/>
    </row>
    <row r="1474">
      <c r="C1474" s="94" t="n"/>
    </row>
    <row r="1475">
      <c r="C1475" s="94" t="n"/>
    </row>
    <row r="1476">
      <c r="C1476" s="94" t="n"/>
    </row>
    <row r="1477">
      <c r="C1477" s="94" t="n"/>
    </row>
    <row r="1478">
      <c r="C1478" s="94" t="n"/>
    </row>
    <row r="1479">
      <c r="C1479" s="94" t="n"/>
    </row>
    <row r="1480">
      <c r="C1480" s="94" t="n"/>
    </row>
    <row r="1481">
      <c r="C1481" s="94" t="n"/>
    </row>
    <row r="1482">
      <c r="C1482" s="94" t="n"/>
    </row>
    <row r="1483">
      <c r="C1483" s="94" t="n"/>
    </row>
    <row r="1484">
      <c r="C1484" s="94" t="n"/>
    </row>
    <row r="1485">
      <c r="C1485" s="94" t="n"/>
    </row>
    <row r="1486">
      <c r="C1486" s="94" t="n"/>
    </row>
    <row r="1487">
      <c r="C1487" s="94" t="n"/>
    </row>
    <row r="1488">
      <c r="C1488" s="94" t="n"/>
    </row>
    <row r="1489">
      <c r="C1489" s="94" t="n"/>
    </row>
    <row r="1490">
      <c r="C1490" s="94" t="n"/>
    </row>
    <row r="1491">
      <c r="C1491" s="94" t="n"/>
    </row>
    <row r="1492">
      <c r="C1492" s="94" t="n"/>
    </row>
    <row r="1493">
      <c r="C1493" s="94" t="n"/>
    </row>
    <row r="1494">
      <c r="C1494" s="94" t="n"/>
    </row>
    <row r="1495">
      <c r="C1495" s="94" t="n"/>
    </row>
    <row r="1496">
      <c r="C1496" s="94" t="n"/>
    </row>
    <row r="1497">
      <c r="C1497" s="94" t="n"/>
    </row>
    <row r="1498">
      <c r="C1498" s="94" t="n"/>
    </row>
    <row r="1499">
      <c r="C1499" s="94" t="n"/>
    </row>
    <row r="1500">
      <c r="C1500" s="94" t="n"/>
    </row>
    <row r="1501">
      <c r="C1501" s="94" t="n"/>
    </row>
    <row r="1502">
      <c r="C1502" s="94" t="n"/>
    </row>
    <row r="1503">
      <c r="C1503" s="94" t="n"/>
    </row>
    <row r="1504">
      <c r="C1504" s="94" t="n"/>
    </row>
    <row r="1505">
      <c r="C1505" s="94" t="n"/>
    </row>
    <row r="1506">
      <c r="C1506" s="94" t="n"/>
    </row>
    <row r="1507">
      <c r="C1507" s="94" t="n"/>
    </row>
    <row r="1508">
      <c r="C1508" s="94" t="n"/>
    </row>
    <row r="1509">
      <c r="C1509" s="94" t="n"/>
    </row>
    <row r="1510">
      <c r="C1510" s="94" t="n"/>
    </row>
    <row r="1511">
      <c r="C1511" s="94" t="n"/>
    </row>
    <row r="1512">
      <c r="C1512" s="94" t="n"/>
    </row>
    <row r="1513">
      <c r="C1513" s="94" t="n"/>
    </row>
    <row r="1514">
      <c r="C1514" s="94" t="n"/>
    </row>
    <row r="1515">
      <c r="C1515" s="94" t="n"/>
    </row>
    <row r="1516">
      <c r="C1516" s="94" t="n"/>
    </row>
    <row r="1517">
      <c r="C1517" s="94" t="n"/>
    </row>
    <row r="1518">
      <c r="C1518" s="94" t="n"/>
    </row>
    <row r="1519">
      <c r="C1519" s="94" t="n"/>
    </row>
    <row r="1520">
      <c r="C1520" s="94" t="n"/>
    </row>
    <row r="1521">
      <c r="C1521" s="94" t="n"/>
    </row>
    <row r="1522">
      <c r="C1522" s="94" t="n"/>
    </row>
    <row r="1523">
      <c r="C1523" s="94" t="n"/>
    </row>
    <row r="1524">
      <c r="C1524" s="94" t="n"/>
    </row>
    <row r="1525">
      <c r="C1525" s="94" t="n"/>
    </row>
    <row r="1526">
      <c r="C1526" s="94" t="n"/>
    </row>
    <row r="1527">
      <c r="C1527" s="94" t="n"/>
    </row>
    <row r="1528">
      <c r="C1528" s="94" t="n"/>
    </row>
    <row r="1529">
      <c r="C1529" s="94" t="n"/>
    </row>
    <row r="1530">
      <c r="C1530" s="94" t="n"/>
    </row>
    <row r="1531">
      <c r="C1531" s="94" t="n"/>
    </row>
    <row r="1532">
      <c r="C1532" s="94" t="n"/>
    </row>
    <row r="1533">
      <c r="C1533" s="94" t="n"/>
    </row>
    <row r="1534">
      <c r="C1534" s="94" t="n"/>
    </row>
    <row r="1535">
      <c r="C1535" s="94" t="n"/>
    </row>
    <row r="1536">
      <c r="C1536" s="94" t="n"/>
    </row>
    <row r="1537">
      <c r="C1537" s="94" t="n"/>
    </row>
    <row r="1538">
      <c r="C1538" s="94" t="n"/>
    </row>
    <row r="1539">
      <c r="C1539" s="94" t="n"/>
    </row>
    <row r="1540">
      <c r="C1540" s="94" t="n"/>
    </row>
    <row r="1541">
      <c r="C1541" s="94" t="n"/>
    </row>
    <row r="1542">
      <c r="C1542" s="94" t="n"/>
    </row>
    <row r="1543">
      <c r="C1543" s="94" t="n"/>
    </row>
    <row r="1544">
      <c r="C1544" s="94" t="n"/>
    </row>
    <row r="1545">
      <c r="C1545" s="94" t="n"/>
    </row>
    <row r="1546">
      <c r="C1546" s="94" t="n"/>
    </row>
    <row r="1547">
      <c r="C1547" s="94" t="n"/>
    </row>
    <row r="1548">
      <c r="C1548" s="94" t="n"/>
    </row>
    <row r="1549">
      <c r="C1549" s="94" t="n"/>
    </row>
    <row r="1550">
      <c r="C1550" s="94" t="n"/>
    </row>
    <row r="1551">
      <c r="C1551" s="94" t="n"/>
    </row>
    <row r="1552">
      <c r="C1552" s="94" t="n"/>
    </row>
    <row r="1553">
      <c r="C1553" s="94" t="n"/>
    </row>
    <row r="1554">
      <c r="C1554" s="94" t="n"/>
    </row>
    <row r="1555">
      <c r="C1555" s="94" t="n"/>
    </row>
    <row r="1556">
      <c r="C1556" s="94" t="n"/>
    </row>
    <row r="1557">
      <c r="C1557" s="94" t="n"/>
    </row>
    <row r="1558">
      <c r="C1558" s="94" t="n"/>
    </row>
    <row r="1559">
      <c r="C1559" s="94" t="n"/>
    </row>
    <row r="1560">
      <c r="C1560" s="94" t="n"/>
    </row>
    <row r="1561">
      <c r="C1561" s="94" t="n"/>
    </row>
    <row r="1562">
      <c r="C1562" s="94" t="n"/>
    </row>
    <row r="1563">
      <c r="C1563" s="94" t="n"/>
    </row>
    <row r="1564">
      <c r="C1564" s="94" t="n"/>
    </row>
    <row r="1565">
      <c r="C1565" s="94" t="n"/>
    </row>
    <row r="1566">
      <c r="C1566" s="94" t="n"/>
    </row>
    <row r="1567">
      <c r="C1567" s="94" t="n"/>
    </row>
    <row r="1568">
      <c r="C1568" s="94" t="n"/>
    </row>
    <row r="1569">
      <c r="C1569" s="94" t="n"/>
    </row>
    <row r="1570">
      <c r="C1570" s="94" t="n"/>
    </row>
    <row r="1571">
      <c r="C1571" s="94" t="n"/>
    </row>
    <row r="1572">
      <c r="C1572" s="94" t="n"/>
    </row>
    <row r="1573">
      <c r="C1573" s="94" t="n"/>
    </row>
    <row r="1574">
      <c r="C1574" s="94" t="n"/>
    </row>
    <row r="1575">
      <c r="C1575" s="94" t="n"/>
    </row>
    <row r="1576">
      <c r="C1576" s="94" t="n"/>
    </row>
    <row r="1577">
      <c r="C1577" s="94" t="n"/>
    </row>
    <row r="1578">
      <c r="C1578" s="94" t="n"/>
    </row>
    <row r="1579">
      <c r="C1579" s="94" t="n"/>
    </row>
    <row r="1580">
      <c r="C1580" s="94" t="n"/>
    </row>
    <row r="1581">
      <c r="C1581" s="94" t="n"/>
    </row>
    <row r="1582">
      <c r="C1582" s="94" t="n"/>
    </row>
    <row r="1583">
      <c r="C1583" s="94" t="n"/>
    </row>
    <row r="1584">
      <c r="C1584" s="94" t="n"/>
    </row>
    <row r="1585">
      <c r="C1585" s="94" t="n"/>
    </row>
    <row r="1586">
      <c r="C1586" s="94" t="n"/>
    </row>
    <row r="1587">
      <c r="C1587" s="94" t="n"/>
    </row>
    <row r="1588">
      <c r="C1588" s="94" t="n"/>
    </row>
    <row r="1589">
      <c r="C1589" s="94" t="n"/>
    </row>
    <row r="1590">
      <c r="C1590" s="94" t="n"/>
    </row>
    <row r="1591">
      <c r="C1591" s="94" t="n"/>
    </row>
    <row r="1592">
      <c r="C1592" s="94" t="n"/>
    </row>
    <row r="1593">
      <c r="C1593" s="94" t="n"/>
    </row>
    <row r="1594">
      <c r="C1594" s="94" t="n"/>
    </row>
    <row r="1595">
      <c r="C1595" s="94" t="n"/>
    </row>
    <row r="1596">
      <c r="C1596" s="94" t="n"/>
    </row>
    <row r="1597">
      <c r="C1597" s="94" t="n"/>
    </row>
    <row r="1598">
      <c r="C1598" s="94" t="n"/>
    </row>
    <row r="1599">
      <c r="C1599" s="94" t="n"/>
    </row>
    <row r="1600">
      <c r="C1600" s="94" t="n"/>
    </row>
    <row r="1601">
      <c r="C1601" s="94" t="n"/>
    </row>
    <row r="1602">
      <c r="C1602" s="94" t="n"/>
    </row>
    <row r="1603">
      <c r="C1603" s="94" t="n"/>
    </row>
    <row r="1604">
      <c r="C1604" s="94" t="n"/>
    </row>
    <row r="1605">
      <c r="C1605" s="94" t="n"/>
    </row>
    <row r="1606">
      <c r="C1606" s="94" t="n"/>
    </row>
    <row r="1607">
      <c r="C1607" s="94" t="n"/>
    </row>
    <row r="1608">
      <c r="C1608" s="94" t="n"/>
    </row>
    <row r="1609">
      <c r="C1609" s="94" t="n"/>
    </row>
    <row r="1610">
      <c r="C1610" s="94" t="n"/>
    </row>
    <row r="1611">
      <c r="C1611" s="94" t="n"/>
    </row>
    <row r="1612">
      <c r="C1612" s="94" t="n"/>
    </row>
    <row r="1613">
      <c r="C1613" s="94" t="n"/>
    </row>
    <row r="1614">
      <c r="C1614" s="94" t="n"/>
    </row>
    <row r="1615">
      <c r="C1615" s="94" t="n"/>
    </row>
    <row r="1616">
      <c r="C1616" s="94" t="n"/>
    </row>
    <row r="1617">
      <c r="C1617" s="94" t="n"/>
    </row>
    <row r="1618">
      <c r="C1618" s="94" t="n"/>
    </row>
    <row r="1619">
      <c r="C1619" s="94" t="n"/>
    </row>
    <row r="1620">
      <c r="C1620" s="94" t="n"/>
    </row>
    <row r="1621">
      <c r="C1621" s="94" t="n"/>
    </row>
    <row r="1622">
      <c r="C1622" s="94" t="n"/>
    </row>
    <row r="1623">
      <c r="C1623" s="94" t="n"/>
    </row>
    <row r="1624">
      <c r="C1624" s="94" t="n"/>
    </row>
    <row r="1625">
      <c r="C1625" s="94" t="n"/>
    </row>
    <row r="1626">
      <c r="C1626" s="94" t="n"/>
    </row>
    <row r="1627">
      <c r="C1627" s="94" t="n"/>
    </row>
    <row r="1628">
      <c r="C1628" s="94" t="n"/>
    </row>
    <row r="1629">
      <c r="C1629" s="94" t="n"/>
    </row>
    <row r="1630">
      <c r="C1630" s="94" t="n"/>
    </row>
    <row r="1631">
      <c r="C1631" s="94" t="n"/>
    </row>
    <row r="1632">
      <c r="C1632" s="94" t="n"/>
    </row>
    <row r="1633">
      <c r="C1633" s="94" t="n"/>
    </row>
    <row r="1634">
      <c r="C1634" s="94" t="n"/>
    </row>
    <row r="1635">
      <c r="C1635" s="94" t="n"/>
    </row>
    <row r="1636">
      <c r="C1636" s="94" t="n"/>
    </row>
    <row r="1637">
      <c r="C1637" s="94" t="n"/>
    </row>
    <row r="1638">
      <c r="C1638" s="94" t="n"/>
    </row>
    <row r="1639">
      <c r="C1639" s="94" t="n"/>
    </row>
    <row r="1640">
      <c r="C1640" s="94" t="n"/>
    </row>
    <row r="1641">
      <c r="C1641" s="94" t="n"/>
    </row>
    <row r="1642">
      <c r="C1642" s="94" t="n"/>
    </row>
    <row r="1643">
      <c r="C1643" s="94" t="n"/>
    </row>
    <row r="1644">
      <c r="C1644" s="94" t="n"/>
    </row>
    <row r="1645">
      <c r="C1645" s="94" t="n"/>
    </row>
    <row r="1646">
      <c r="C1646" s="94" t="n"/>
    </row>
    <row r="1647">
      <c r="C1647" s="94" t="n"/>
    </row>
    <row r="1648">
      <c r="C1648" s="94" t="n"/>
    </row>
    <row r="1649">
      <c r="C1649" s="94" t="n"/>
    </row>
    <row r="1650">
      <c r="C1650" s="94" t="n"/>
    </row>
    <row r="1651">
      <c r="C1651" s="94" t="n"/>
    </row>
    <row r="1652">
      <c r="C1652" s="94" t="n"/>
    </row>
    <row r="1653">
      <c r="C1653" s="94" t="n"/>
    </row>
    <row r="1654">
      <c r="C1654" s="94" t="n"/>
    </row>
    <row r="1655">
      <c r="C1655" s="94" t="n"/>
    </row>
    <row r="1656">
      <c r="C1656" s="94" t="n"/>
    </row>
    <row r="1657">
      <c r="C1657" s="94" t="n"/>
    </row>
    <row r="1658">
      <c r="C1658" s="94" t="n"/>
    </row>
    <row r="1659">
      <c r="C1659" s="94" t="n"/>
    </row>
    <row r="1660">
      <c r="C1660" s="94" t="n"/>
    </row>
    <row r="1661">
      <c r="C1661" s="94" t="n"/>
    </row>
    <row r="1662">
      <c r="C1662" s="94" t="n"/>
    </row>
    <row r="1663">
      <c r="C1663" s="94" t="n"/>
    </row>
    <row r="1664">
      <c r="C1664" s="94" t="n"/>
    </row>
    <row r="1665">
      <c r="C1665" s="94" t="n"/>
    </row>
    <row r="1666">
      <c r="C1666" s="94" t="n"/>
    </row>
    <row r="1667">
      <c r="C1667" s="94" t="n"/>
    </row>
    <row r="1668">
      <c r="C1668" s="94" t="n"/>
    </row>
    <row r="1669">
      <c r="C1669" s="94" t="n"/>
    </row>
    <row r="1670">
      <c r="C1670" s="94" t="n"/>
    </row>
    <row r="1671">
      <c r="C1671" s="94" t="n"/>
    </row>
    <row r="1672">
      <c r="C1672" s="94" t="n"/>
    </row>
    <row r="1673">
      <c r="C1673" s="94" t="n"/>
    </row>
    <row r="1674">
      <c r="C1674" s="94" t="n"/>
    </row>
    <row r="1675">
      <c r="C1675" s="94" t="n"/>
    </row>
    <row r="1676">
      <c r="C1676" s="94" t="n"/>
    </row>
    <row r="1677">
      <c r="C1677" s="94" t="n"/>
    </row>
    <row r="1678">
      <c r="C1678" s="94" t="n"/>
    </row>
    <row r="1679">
      <c r="C1679" s="94" t="n"/>
    </row>
    <row r="1680">
      <c r="C1680" s="94" t="n"/>
    </row>
    <row r="1681">
      <c r="C1681" s="94" t="n"/>
    </row>
    <row r="1682">
      <c r="C1682" s="94" t="n"/>
    </row>
    <row r="1683">
      <c r="C1683" s="94" t="n"/>
    </row>
    <row r="1684">
      <c r="C1684" s="94" t="n"/>
    </row>
    <row r="1685">
      <c r="C1685" s="94" t="n"/>
    </row>
    <row r="1686">
      <c r="C1686" s="94" t="n"/>
    </row>
    <row r="1687">
      <c r="C1687" s="94" t="n"/>
    </row>
    <row r="1688">
      <c r="C1688" s="94" t="n"/>
    </row>
    <row r="1689">
      <c r="C1689" s="94" t="n"/>
    </row>
    <row r="1690">
      <c r="C1690" s="94" t="n"/>
    </row>
    <row r="1691">
      <c r="C1691" s="94" t="n"/>
    </row>
    <row r="1692">
      <c r="C1692" s="94" t="n"/>
    </row>
    <row r="1693">
      <c r="C1693" s="94" t="n"/>
    </row>
    <row r="1694">
      <c r="C1694" s="94" t="n"/>
    </row>
    <row r="1695">
      <c r="C1695" s="94" t="n"/>
    </row>
    <row r="1696">
      <c r="C1696" s="94" t="n"/>
    </row>
    <row r="1697">
      <c r="C1697" s="94" t="n"/>
    </row>
    <row r="1698">
      <c r="C1698" s="94" t="n"/>
    </row>
    <row r="1699">
      <c r="C1699" s="94" t="n"/>
    </row>
    <row r="1700">
      <c r="C1700" s="94" t="n"/>
    </row>
    <row r="1701">
      <c r="C1701" s="94" t="n"/>
    </row>
    <row r="1702">
      <c r="C1702" s="94" t="n"/>
    </row>
    <row r="1703">
      <c r="C1703" s="94" t="n"/>
    </row>
    <row r="1704">
      <c r="C1704" s="94" t="n"/>
    </row>
    <row r="1705">
      <c r="C1705" s="94" t="n"/>
    </row>
    <row r="1706">
      <c r="C1706" s="94" t="n"/>
    </row>
    <row r="1707">
      <c r="C1707" s="94" t="n"/>
    </row>
    <row r="1708">
      <c r="C1708" s="94" t="n"/>
    </row>
    <row r="1709">
      <c r="C1709" s="94" t="n"/>
    </row>
    <row r="1710">
      <c r="C1710" s="94" t="n"/>
    </row>
    <row r="1711">
      <c r="C1711" s="94" t="n"/>
    </row>
    <row r="1712">
      <c r="C1712" s="94" t="n"/>
    </row>
    <row r="1713">
      <c r="C1713" s="94" t="n"/>
    </row>
    <row r="1714">
      <c r="C1714" s="94" t="n"/>
    </row>
    <row r="1715">
      <c r="C1715" s="94" t="n"/>
    </row>
    <row r="1716">
      <c r="C1716" s="94" t="n"/>
    </row>
    <row r="1717">
      <c r="C1717" s="94" t="n"/>
    </row>
    <row r="1718">
      <c r="C1718" s="94" t="n"/>
    </row>
    <row r="1719">
      <c r="C1719" s="94" t="n"/>
    </row>
    <row r="1720">
      <c r="C1720" s="94" t="n"/>
    </row>
    <row r="1721">
      <c r="C1721" s="94" t="n"/>
    </row>
    <row r="1722">
      <c r="C1722" s="94" t="n"/>
    </row>
    <row r="1723">
      <c r="C1723" s="94" t="n"/>
    </row>
    <row r="1724">
      <c r="C1724" s="94" t="n"/>
    </row>
    <row r="1725">
      <c r="C1725" s="94" t="n"/>
    </row>
    <row r="1726">
      <c r="C1726" s="94" t="n"/>
    </row>
    <row r="1727">
      <c r="C1727" s="94" t="n"/>
    </row>
    <row r="1728">
      <c r="C1728" s="94" t="n"/>
    </row>
    <row r="1729">
      <c r="C1729" s="94" t="n"/>
    </row>
    <row r="1730">
      <c r="C1730" s="94" t="n"/>
    </row>
    <row r="1731">
      <c r="C1731" s="94" t="n"/>
    </row>
    <row r="1732">
      <c r="C1732" s="94" t="n"/>
    </row>
    <row r="1733">
      <c r="C1733" s="94" t="n"/>
    </row>
    <row r="1734">
      <c r="C1734" s="94" t="n"/>
    </row>
    <row r="1735">
      <c r="C1735" s="94" t="n"/>
    </row>
    <row r="1736">
      <c r="C1736" s="94" t="n"/>
    </row>
    <row r="1737">
      <c r="C1737" s="94" t="n"/>
    </row>
    <row r="1738">
      <c r="C1738" s="94" t="n"/>
    </row>
    <row r="1739">
      <c r="C1739" s="94" t="n"/>
    </row>
    <row r="1740">
      <c r="C1740" s="94" t="n"/>
    </row>
    <row r="1741">
      <c r="C1741" s="94" t="n"/>
    </row>
    <row r="1742">
      <c r="C1742" s="94" t="n"/>
    </row>
    <row r="1743">
      <c r="C1743" s="94" t="n"/>
    </row>
    <row r="1744">
      <c r="C1744" s="94" t="n"/>
    </row>
    <row r="1745">
      <c r="C1745" s="94" t="n"/>
    </row>
    <row r="1746">
      <c r="C1746" s="94" t="n"/>
    </row>
    <row r="1747">
      <c r="C1747" s="94" t="n"/>
    </row>
    <row r="1748">
      <c r="C1748" s="94" t="n"/>
    </row>
    <row r="1749">
      <c r="C1749" s="94" t="n"/>
    </row>
    <row r="1750">
      <c r="C1750" s="94" t="n"/>
    </row>
    <row r="1751">
      <c r="C1751" s="94" t="n"/>
    </row>
    <row r="1752">
      <c r="C1752" s="94" t="n"/>
    </row>
    <row r="1753">
      <c r="C1753" s="94" t="n"/>
    </row>
    <row r="1754">
      <c r="C1754" s="94" t="n"/>
    </row>
    <row r="1755">
      <c r="C1755" s="94" t="n"/>
    </row>
    <row r="1756">
      <c r="C1756" s="94" t="n"/>
    </row>
    <row r="1757">
      <c r="C1757" s="94" t="n"/>
    </row>
    <row r="1758">
      <c r="C1758" s="94" t="n"/>
    </row>
    <row r="1759">
      <c r="C1759" s="94" t="n"/>
    </row>
    <row r="1760">
      <c r="C1760" s="94" t="n"/>
    </row>
    <row r="1761">
      <c r="C1761" s="94" t="n"/>
    </row>
    <row r="1762">
      <c r="C1762" s="94" t="n"/>
    </row>
    <row r="1763">
      <c r="C1763" s="94" t="n"/>
    </row>
    <row r="1764">
      <c r="C1764" s="94" t="n"/>
    </row>
    <row r="1765">
      <c r="C1765" s="94" t="n"/>
    </row>
    <row r="1766">
      <c r="C1766" s="94" t="n"/>
    </row>
    <row r="1767">
      <c r="C1767" s="94" t="n"/>
    </row>
    <row r="1768">
      <c r="C1768" s="94" t="n"/>
    </row>
    <row r="1769">
      <c r="C1769" s="94" t="n"/>
    </row>
    <row r="1770">
      <c r="C1770" s="94" t="n"/>
    </row>
    <row r="1771">
      <c r="C1771" s="94" t="n"/>
    </row>
    <row r="1772">
      <c r="C1772" s="94" t="n"/>
    </row>
    <row r="1773">
      <c r="C1773" s="94" t="n"/>
    </row>
    <row r="1774">
      <c r="C1774" s="94" t="n"/>
    </row>
    <row r="1775">
      <c r="C1775" s="94" t="n"/>
    </row>
    <row r="1776">
      <c r="C1776" s="94" t="n"/>
    </row>
    <row r="1777">
      <c r="C1777" s="94" t="n"/>
    </row>
    <row r="1778">
      <c r="C1778" s="94" t="n"/>
    </row>
    <row r="1779">
      <c r="C1779" s="94" t="n"/>
    </row>
    <row r="1780">
      <c r="C1780" s="94" t="n"/>
    </row>
    <row r="1781">
      <c r="C1781" s="94" t="n"/>
    </row>
    <row r="1782">
      <c r="C1782" s="94" t="n"/>
    </row>
    <row r="1783">
      <c r="C1783" s="94" t="n"/>
    </row>
    <row r="1784">
      <c r="C1784" s="94" t="n"/>
    </row>
    <row r="1785">
      <c r="C1785" s="94" t="n"/>
    </row>
    <row r="1786">
      <c r="C1786" s="94" t="n"/>
    </row>
    <row r="1787">
      <c r="C1787" s="94" t="n"/>
    </row>
    <row r="1788">
      <c r="C1788" s="94" t="n"/>
    </row>
    <row r="1789">
      <c r="C1789" s="94" t="n"/>
    </row>
    <row r="1790">
      <c r="C1790" s="94" t="n"/>
    </row>
    <row r="1791">
      <c r="C1791" s="94" t="n"/>
    </row>
    <row r="1792">
      <c r="C1792" s="94" t="n"/>
    </row>
    <row r="1793">
      <c r="C1793" s="94" t="n"/>
    </row>
    <row r="1794">
      <c r="C1794" s="94" t="n"/>
    </row>
    <row r="1795">
      <c r="C1795" s="94" t="n"/>
    </row>
    <row r="1796">
      <c r="C1796" s="94" t="n"/>
    </row>
    <row r="1797">
      <c r="C1797" s="94" t="n"/>
    </row>
    <row r="1798">
      <c r="C1798" s="94" t="n"/>
    </row>
    <row r="1799">
      <c r="C1799" s="94" t="n"/>
    </row>
    <row r="1800">
      <c r="C1800" s="94" t="n"/>
    </row>
    <row r="1801">
      <c r="C1801" s="94" t="n"/>
    </row>
    <row r="1802">
      <c r="C1802" s="94" t="n"/>
    </row>
    <row r="1803">
      <c r="C1803" s="94" t="n"/>
    </row>
    <row r="1804">
      <c r="C1804" s="94" t="n"/>
    </row>
    <row r="1805">
      <c r="C1805" s="94" t="n"/>
    </row>
    <row r="1806">
      <c r="C1806" s="94" t="n"/>
    </row>
    <row r="1807">
      <c r="C1807" s="94" t="n"/>
    </row>
    <row r="1808">
      <c r="C1808" s="94" t="n"/>
    </row>
    <row r="1809">
      <c r="C1809" s="94" t="n"/>
    </row>
    <row r="1810">
      <c r="C1810" s="94" t="n"/>
    </row>
    <row r="1811">
      <c r="C1811" s="94" t="n"/>
    </row>
    <row r="1812">
      <c r="C1812" s="94" t="n"/>
    </row>
    <row r="1813">
      <c r="C1813" s="94" t="n"/>
    </row>
    <row r="1814">
      <c r="C1814" s="94" t="n"/>
    </row>
    <row r="1815">
      <c r="C1815" s="94" t="n"/>
    </row>
    <row r="1816">
      <c r="C1816" s="94" t="n"/>
    </row>
    <row r="1817">
      <c r="C1817" s="94" t="n"/>
    </row>
    <row r="1818">
      <c r="C1818" s="94" t="n"/>
    </row>
    <row r="1819">
      <c r="C1819" s="94" t="n"/>
    </row>
    <row r="1820">
      <c r="C1820" s="94" t="n"/>
    </row>
    <row r="1821">
      <c r="C1821" s="94" t="n"/>
    </row>
    <row r="1822">
      <c r="C1822" s="94" t="n"/>
    </row>
    <row r="1823">
      <c r="C1823" s="94" t="n"/>
    </row>
    <row r="1824">
      <c r="C1824" s="94" t="n"/>
    </row>
    <row r="1825">
      <c r="C1825" s="94" t="n"/>
    </row>
    <row r="1826">
      <c r="C1826" s="94" t="n"/>
    </row>
    <row r="1827">
      <c r="C1827" s="94" t="n"/>
    </row>
    <row r="1828">
      <c r="C1828" s="94" t="n"/>
    </row>
    <row r="1829">
      <c r="C1829" s="94" t="n"/>
    </row>
    <row r="1830">
      <c r="C1830" s="94" t="n"/>
    </row>
    <row r="1831">
      <c r="C1831" s="94" t="n"/>
    </row>
    <row r="1832">
      <c r="C1832" s="94" t="n"/>
    </row>
    <row r="1833">
      <c r="C1833" s="94" t="n"/>
    </row>
    <row r="1834">
      <c r="C1834" s="94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2:I15"/>
  <sheetViews>
    <sheetView showGridLines="0" topLeftCell="A4" zoomScale="70" zoomScaleNormal="70" workbookViewId="0">
      <selection activeCell="J28" sqref="J28"/>
    </sheetView>
  </sheetViews>
  <sheetFormatPr baseColWidth="8" defaultColWidth="9" defaultRowHeight="17.4"/>
  <cols>
    <col width="9" customWidth="1" style="94" min="1" max="1"/>
    <col width="25.19921875" bestFit="1" customWidth="1" style="94" min="2" max="2"/>
    <col width="20.3984375" bestFit="1" customWidth="1" style="94" min="3" max="3"/>
    <col width="13.5" bestFit="1" customWidth="1" style="94" min="4" max="4"/>
    <col width="12.19921875" bestFit="1" customWidth="1" style="94" min="5" max="5"/>
    <col width="18.09765625" bestFit="1" customWidth="1" style="94" min="6" max="6"/>
    <col width="16.09765625" bestFit="1" customWidth="1" style="94" min="7" max="7"/>
    <col width="11.3984375" bestFit="1" customWidth="1" style="94" min="8" max="8"/>
    <col width="13.5" bestFit="1" customWidth="1" style="94" min="9" max="9"/>
    <col width="14.796875" bestFit="1" customWidth="1" style="94" min="10" max="10"/>
    <col width="11.09765625" bestFit="1" customWidth="1" style="94" min="11" max="11"/>
    <col width="11" bestFit="1" customWidth="1" style="94" min="12" max="12"/>
    <col width="10.3984375" bestFit="1" customWidth="1" style="94" min="13" max="13"/>
    <col width="14.69921875" bestFit="1" customWidth="1" style="94" min="14" max="14"/>
    <col width="12.19921875" bestFit="1" customWidth="1" style="94" min="15" max="15"/>
    <col width="14.09765625" bestFit="1" customWidth="1" style="94" min="16" max="17"/>
    <col width="12.19921875" bestFit="1" customWidth="1" style="94" min="18" max="18"/>
    <col width="18.19921875" bestFit="1" customWidth="1" style="94" min="19" max="19"/>
    <col width="12.19921875" bestFit="1" customWidth="1" style="94" min="20" max="20"/>
    <col width="14.09765625" bestFit="1" customWidth="1" style="94" min="21" max="21"/>
    <col width="16.19921875" bestFit="1" customWidth="1" style="94" min="22" max="22"/>
    <col width="12" bestFit="1" customWidth="1" style="94" min="23" max="24"/>
    <col width="14.09765625" bestFit="1" customWidth="1" style="94" min="25" max="25"/>
    <col width="15.3984375" bestFit="1" customWidth="1" style="94" min="26" max="26"/>
    <col width="21" bestFit="1" customWidth="1" style="94" min="27" max="27"/>
    <col width="26" bestFit="1" customWidth="1" style="94" min="28" max="28"/>
    <col width="19" bestFit="1" customWidth="1" style="94" min="29" max="29"/>
    <col width="24" bestFit="1" customWidth="1" style="94" min="30" max="30"/>
    <col width="23.09765625" bestFit="1" customWidth="1" style="94" min="31" max="31"/>
    <col width="22" bestFit="1" customWidth="1" style="94" min="32" max="33"/>
    <col width="16.69921875" bestFit="1" customWidth="1" style="94" min="34" max="34"/>
    <col width="27" bestFit="1" customWidth="1" style="94" min="35" max="36"/>
    <col width="16.69921875" bestFit="1" customWidth="1" style="94" min="37" max="37"/>
    <col width="16.09765625" bestFit="1" customWidth="1" style="94" min="38" max="38"/>
    <col width="12.69921875" bestFit="1" customWidth="1" style="94" min="39" max="39"/>
    <col width="17.69921875" bestFit="1" customWidth="1" style="94" min="40" max="40"/>
    <col width="14.69921875" bestFit="1" customWidth="1" style="94" min="41" max="41"/>
    <col width="11.3984375" bestFit="1" customWidth="1" style="94" min="42" max="42"/>
    <col width="11.09765625" bestFit="1" customWidth="1" style="94" min="43" max="44"/>
    <col width="10.3984375" bestFit="1" customWidth="1" style="94" min="45" max="46"/>
    <col width="14.69921875" bestFit="1" customWidth="1" style="94" min="47" max="47"/>
    <col width="9" customWidth="1" style="94" min="48" max="48"/>
    <col width="9" customWidth="1" style="94" min="49" max="16384"/>
  </cols>
  <sheetData>
    <row r="2">
      <c r="B2" s="1" t="inlineStr">
        <is>
          <t>연</t>
        </is>
      </c>
      <c r="C2" s="94" t="inlineStr">
        <is>
          <t>2021년</t>
        </is>
      </c>
    </row>
    <row r="3">
      <c r="B3" s="1" t="inlineStr">
        <is>
          <t>월</t>
        </is>
      </c>
      <c r="C3" s="94" t="inlineStr">
        <is>
          <t>2월</t>
        </is>
      </c>
    </row>
    <row r="4">
      <c r="D4" s="94" t="inlineStr">
        <is>
          <t>기타</t>
        </is>
      </c>
    </row>
    <row r="5">
      <c r="B5" s="1" t="inlineStr">
        <is>
          <t>합계 : 광고비(VAT미포함)</t>
        </is>
      </c>
      <c r="C5" s="1" t="inlineStr">
        <is>
          <t>열 레이블</t>
        </is>
      </c>
    </row>
    <row r="6">
      <c r="B6" s="1" t="inlineStr">
        <is>
          <t>행 레이블</t>
        </is>
      </c>
      <c r="C6" s="94" t="inlineStr">
        <is>
          <t>페이스북/인스타그램</t>
        </is>
      </c>
      <c r="D6" s="94" t="inlineStr">
        <is>
          <t>네이버 GFA</t>
        </is>
      </c>
      <c r="E6" s="94" t="inlineStr">
        <is>
          <t>카카오광고</t>
        </is>
      </c>
      <c r="F6" s="94" t="inlineStr">
        <is>
          <t>유튜브 디스커버리</t>
        </is>
      </c>
      <c r="G6" s="94" t="inlineStr">
        <is>
          <t>네이버 쇼핑검색</t>
        </is>
      </c>
      <c r="H6" s="94" t="inlineStr">
        <is>
          <t>(비어 있음)</t>
        </is>
      </c>
      <c r="I6" s="94" t="inlineStr">
        <is>
          <t>총합계</t>
        </is>
      </c>
    </row>
    <row r="7">
      <c r="B7" s="98" t="inlineStr">
        <is>
          <t>2월1일</t>
        </is>
      </c>
      <c r="C7" s="127" t="n">
        <v>1953054</v>
      </c>
      <c r="D7" s="127" t="n">
        <v>3113627.272727272</v>
      </c>
      <c r="E7" s="127" t="n">
        <v>1323260</v>
      </c>
      <c r="F7" s="127" t="n">
        <v>1933623.636363636</v>
      </c>
      <c r="G7" s="127" t="n">
        <v>68529.99999999999</v>
      </c>
      <c r="H7" s="127" t="n"/>
      <c r="I7" s="127" t="n">
        <v>8392094.909090908</v>
      </c>
    </row>
    <row r="8">
      <c r="B8" s="98" t="inlineStr">
        <is>
          <t>2월2일</t>
        </is>
      </c>
      <c r="C8" s="127" t="n">
        <v>1288033</v>
      </c>
      <c r="D8" s="127" t="n">
        <v>5075753.636363636</v>
      </c>
      <c r="E8" s="127" t="n">
        <v>215355</v>
      </c>
      <c r="F8" s="127" t="n">
        <v>1707931</v>
      </c>
      <c r="G8" s="127" t="n">
        <v>57419.99999999999</v>
      </c>
      <c r="H8" s="127" t="n"/>
      <c r="I8" s="127" t="n">
        <v>8344492.636363636</v>
      </c>
    </row>
    <row r="9">
      <c r="B9" s="98" t="inlineStr">
        <is>
          <t>2월3일</t>
        </is>
      </c>
      <c r="C9" s="127" t="n">
        <v>1073093</v>
      </c>
      <c r="D9" s="127" t="n">
        <v>6163600</v>
      </c>
      <c r="E9" s="127" t="n">
        <v>116450</v>
      </c>
      <c r="F9" s="127" t="n">
        <v>1760139</v>
      </c>
      <c r="G9" s="127" t="n">
        <v>55389.99999999999</v>
      </c>
      <c r="H9" s="127" t="n"/>
      <c r="I9" s="127" t="n">
        <v>9168672</v>
      </c>
    </row>
    <row r="10">
      <c r="B10" s="98" t="inlineStr">
        <is>
          <t>2월4일</t>
        </is>
      </c>
      <c r="C10" s="127" t="n">
        <v>992064</v>
      </c>
      <c r="D10" s="127" t="n">
        <v>3672834.545454544</v>
      </c>
      <c r="E10" s="127" t="n">
        <v>163470</v>
      </c>
      <c r="F10" s="127" t="n">
        <v>1999781</v>
      </c>
      <c r="G10" s="127" t="n">
        <v>67169.99999999999</v>
      </c>
      <c r="H10" s="127" t="n"/>
      <c r="I10" s="127" t="n">
        <v>6895319.545454545</v>
      </c>
    </row>
    <row r="11">
      <c r="B11" s="98" t="inlineStr">
        <is>
          <t>2월5일</t>
        </is>
      </c>
      <c r="C11" s="127" t="n">
        <v>839423</v>
      </c>
      <c r="D11" s="127" t="n">
        <v>2402694.545454545</v>
      </c>
      <c r="E11" s="127" t="n">
        <v>387044.9999999999</v>
      </c>
      <c r="F11" s="127" t="n">
        <v>1315339</v>
      </c>
      <c r="G11" s="127" t="n"/>
      <c r="H11" s="127" t="n"/>
      <c r="I11" s="127" t="n">
        <v>4944501.545454545</v>
      </c>
    </row>
    <row r="12">
      <c r="B12" s="98" t="inlineStr">
        <is>
          <t>2월6일</t>
        </is>
      </c>
      <c r="C12" s="127" t="n">
        <v>612011</v>
      </c>
      <c r="D12" s="127" t="n">
        <v>2785872.727272728</v>
      </c>
      <c r="E12" s="127" t="n">
        <v>423749.9999999999</v>
      </c>
      <c r="F12" s="127" t="n">
        <v>1174866</v>
      </c>
      <c r="G12" s="127" t="n"/>
      <c r="H12" s="127" t="n"/>
      <c r="I12" s="127" t="n">
        <v>4996499.727272728</v>
      </c>
    </row>
    <row r="13">
      <c r="B13" s="98" t="inlineStr">
        <is>
          <t>2월7일</t>
        </is>
      </c>
      <c r="C13" s="127" t="n">
        <v>742121</v>
      </c>
      <c r="D13" s="127" t="n">
        <v>2773500</v>
      </c>
      <c r="E13" s="127" t="n">
        <v>384624.9999999999</v>
      </c>
      <c r="F13" s="127" t="n">
        <v>2895133</v>
      </c>
      <c r="G13" s="127" t="n"/>
      <c r="H13" s="127" t="n"/>
      <c r="I13" s="127" t="n">
        <v>6795379</v>
      </c>
    </row>
    <row r="14">
      <c r="B14" s="98" t="inlineStr">
        <is>
          <t>2월8일</t>
        </is>
      </c>
      <c r="C14" s="127" t="n">
        <v>1133700</v>
      </c>
      <c r="D14" s="127" t="n">
        <v>2563464.545454545</v>
      </c>
      <c r="E14" s="127" t="n">
        <v>373920</v>
      </c>
      <c r="F14" s="127" t="n">
        <v>1935861</v>
      </c>
      <c r="G14" s="127" t="n"/>
      <c r="H14" s="127" t="n"/>
      <c r="I14" s="127" t="n">
        <v>6006945.545454545</v>
      </c>
    </row>
    <row r="15">
      <c r="B15" s="98" t="inlineStr">
        <is>
          <t>총합계</t>
        </is>
      </c>
      <c r="C15" s="127" t="n">
        <v>8633499</v>
      </c>
      <c r="D15" s="127" t="n">
        <v>28551347.27272727</v>
      </c>
      <c r="E15" s="127" t="n">
        <v>3387875</v>
      </c>
      <c r="F15" s="127" t="n">
        <v>14722673.63636364</v>
      </c>
      <c r="G15" s="127" t="n">
        <v>248509.9999999999</v>
      </c>
      <c r="H15" s="127" t="n"/>
      <c r="I15" s="127" t="n">
        <v>55543904.90909091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2:R94"/>
  <sheetViews>
    <sheetView showGridLines="0" tabSelected="1" zoomScale="70" zoomScaleNormal="70" workbookViewId="0">
      <pane xSplit="2" ySplit="5" topLeftCell="C27" activePane="bottomRight" state="frozen"/>
      <selection pane="topRight" activeCell="C1" sqref="C1"/>
      <selection pane="bottomLeft" activeCell="A6" sqref="A6"/>
      <selection pane="bottomRight" activeCell="C46" sqref="C46:D46"/>
    </sheetView>
  </sheetViews>
  <sheetFormatPr baseColWidth="8" defaultRowHeight="17.4"/>
  <cols>
    <col width="8.69921875" customWidth="1" style="94" min="1" max="1"/>
    <col width="13.09765625" bestFit="1" customWidth="1" style="93" min="2" max="2"/>
    <col width="13.3984375" bestFit="1" customWidth="1" style="93" min="3" max="3"/>
    <col width="14.796875" bestFit="1" customWidth="1" style="93" min="4" max="4"/>
    <col width="20.19921875" bestFit="1" customWidth="1" style="93" min="5" max="5"/>
    <col width="12.19921875" bestFit="1" customWidth="1" style="93" min="6" max="6"/>
    <col width="10.3984375" bestFit="1" customWidth="1" style="93" min="7" max="7"/>
    <col width="14.796875" bestFit="1" customWidth="1" style="93" min="8" max="8"/>
    <col width="16.5" bestFit="1" customWidth="1" style="93" min="9" max="11"/>
    <col width="14.796875" bestFit="1" customWidth="1" style="93" min="12" max="12"/>
    <col width="16.796875" bestFit="1" customWidth="1" style="93" min="13" max="13"/>
    <col width="20.3984375" bestFit="1" customWidth="1" style="93" min="14" max="14"/>
    <col width="14.796875" bestFit="1" customWidth="1" style="93" min="15" max="15"/>
    <col width="14.59765625" bestFit="1" customWidth="1" style="93" min="16" max="16"/>
    <col width="15.5" bestFit="1" customWidth="1" style="93" min="17" max="17"/>
    <col width="12.19921875" bestFit="1" customWidth="1" style="93" min="18" max="18"/>
    <col width="14.59765625" bestFit="1" customWidth="1" style="93" min="19" max="19"/>
    <col width="12.19921875" bestFit="1" customWidth="1" style="93" min="20" max="20"/>
    <col width="13.5" bestFit="1" customWidth="1" style="93" min="21" max="21"/>
    <col width="11.3984375" bestFit="1" customWidth="1" style="93" min="22" max="22"/>
    <col width="16.5" bestFit="1" customWidth="1" style="93" min="23" max="23"/>
  </cols>
  <sheetData>
    <row r="1" customFormat="1" s="94"/>
    <row r="2">
      <c r="B2" s="1" t="inlineStr">
        <is>
          <t>월</t>
        </is>
      </c>
      <c r="C2" s="94" t="inlineStr">
        <is>
          <t>(다중 항목)</t>
        </is>
      </c>
      <c r="L2" s="94" t="n"/>
      <c r="M2" s="94" t="n"/>
      <c r="N2" s="94" t="n"/>
      <c r="O2" s="94" t="n"/>
      <c r="P2" s="94" t="n"/>
      <c r="Q2" s="94" t="n"/>
      <c r="R2" s="94" t="n"/>
    </row>
    <row r="3">
      <c r="B3" s="1" t="inlineStr">
        <is>
          <t>상품1</t>
        </is>
      </c>
      <c r="C3" s="94" t="inlineStr">
        <is>
          <t>(모두)</t>
        </is>
      </c>
      <c r="L3" s="94" t="n"/>
      <c r="M3" s="94" t="n"/>
      <c r="N3" s="94" t="n"/>
      <c r="O3" s="94" t="n"/>
      <c r="P3" s="94" t="n"/>
      <c r="Q3" s="94" t="n"/>
      <c r="R3" s="94" t="n"/>
    </row>
    <row r="5">
      <c r="B5" s="1" t="inlineStr">
        <is>
          <t>합계 : 판매액</t>
        </is>
      </c>
      <c r="C5" s="1" t="inlineStr">
        <is>
          <t>열 레이블</t>
        </is>
      </c>
    </row>
    <row r="6">
      <c r="B6" s="1" t="inlineStr">
        <is>
          <t>행 레이블</t>
        </is>
      </c>
      <c r="C6" s="94" t="inlineStr">
        <is>
          <t>W컨셉</t>
        </is>
      </c>
      <c r="D6" s="94" t="inlineStr">
        <is>
          <t>카페24</t>
        </is>
      </c>
      <c r="E6" s="94" t="inlineStr">
        <is>
          <t>글로우데이즈 시코르</t>
        </is>
      </c>
      <c r="F6" s="94" t="inlineStr">
        <is>
          <t>스타일쉐어</t>
        </is>
      </c>
      <c r="G6" s="94" t="inlineStr">
        <is>
          <t>화해</t>
        </is>
      </c>
      <c r="H6" s="94" t="inlineStr">
        <is>
          <t>총합계</t>
        </is>
      </c>
    </row>
    <row r="7">
      <c r="B7" s="98" t="inlineStr">
        <is>
          <t>2021년</t>
        </is>
      </c>
      <c r="C7" s="127" t="n">
        <v>4065000</v>
      </c>
      <c r="D7" s="127" t="n">
        <v>855102100</v>
      </c>
      <c r="E7" s="127" t="n">
        <v>1588548</v>
      </c>
      <c r="F7" s="127" t="n">
        <v>2124000</v>
      </c>
      <c r="G7" s="127" t="n">
        <v>284600</v>
      </c>
      <c r="H7" s="127" t="n">
        <v>863164248</v>
      </c>
    </row>
    <row r="8">
      <c r="B8" s="85" t="inlineStr">
        <is>
          <t>1월1일</t>
        </is>
      </c>
      <c r="C8" s="127" t="n"/>
      <c r="D8" s="130" t="n">
        <v>26000800</v>
      </c>
      <c r="E8" s="127" t="n"/>
      <c r="F8" s="127" t="n">
        <v>18000</v>
      </c>
      <c r="G8" s="127" t="n"/>
      <c r="H8" s="127" t="n">
        <v>26018800</v>
      </c>
    </row>
    <row r="9">
      <c r="B9" s="85" t="inlineStr">
        <is>
          <t>1월2일</t>
        </is>
      </c>
      <c r="C9" s="127" t="n"/>
      <c r="D9" s="130" t="n">
        <v>23259000</v>
      </c>
      <c r="E9" s="127" t="n"/>
      <c r="F9" s="127" t="n">
        <v>54000</v>
      </c>
      <c r="G9" s="127" t="n"/>
      <c r="H9" s="127" t="n">
        <v>23313000</v>
      </c>
    </row>
    <row r="10">
      <c r="B10" s="85" t="inlineStr">
        <is>
          <t>1월3일</t>
        </is>
      </c>
      <c r="C10" s="127" t="n"/>
      <c r="D10" s="130" t="n">
        <v>29078900</v>
      </c>
      <c r="E10" s="127" t="n"/>
      <c r="F10" s="127" t="n">
        <v>72000</v>
      </c>
      <c r="G10" s="127" t="n"/>
      <c r="H10" s="127" t="n">
        <v>29150900</v>
      </c>
    </row>
    <row r="11">
      <c r="B11" s="85" t="inlineStr">
        <is>
          <t>1월4일</t>
        </is>
      </c>
      <c r="C11" s="127" t="n">
        <v>250000</v>
      </c>
      <c r="D11" s="127" t="n">
        <v>25702900</v>
      </c>
      <c r="E11" s="127" t="n"/>
      <c r="F11" s="127" t="n">
        <v>20000</v>
      </c>
      <c r="G11" s="127" t="n"/>
      <c r="H11" s="127" t="n">
        <v>25972900</v>
      </c>
    </row>
    <row r="12">
      <c r="B12" s="85" t="inlineStr">
        <is>
          <t>1월5일</t>
        </is>
      </c>
      <c r="C12" s="127" t="n">
        <v>165000</v>
      </c>
      <c r="D12" s="127" t="n">
        <v>17674700</v>
      </c>
      <c r="E12" s="127" t="n">
        <v>613620</v>
      </c>
      <c r="F12" s="127" t="n">
        <v>40000</v>
      </c>
      <c r="G12" s="127" t="n">
        <v>22400</v>
      </c>
      <c r="H12" s="127" t="n">
        <v>18515720</v>
      </c>
    </row>
    <row r="13">
      <c r="B13" s="85" t="inlineStr">
        <is>
          <t>1월6일</t>
        </is>
      </c>
      <c r="C13" s="127" t="n">
        <v>250000</v>
      </c>
      <c r="D13" s="127" t="n">
        <v>18447600</v>
      </c>
      <c r="E13" s="127" t="n"/>
      <c r="F13" s="127" t="n">
        <v>60000</v>
      </c>
      <c r="G13" s="127" t="n"/>
      <c r="H13" s="127" t="n">
        <v>18757600</v>
      </c>
    </row>
    <row r="14">
      <c r="B14" s="85" t="inlineStr">
        <is>
          <t>1월7일</t>
        </is>
      </c>
      <c r="C14" s="127" t="n">
        <v>105000</v>
      </c>
      <c r="D14" s="127" t="n">
        <v>19444900</v>
      </c>
      <c r="E14" s="127" t="n">
        <v>116728</v>
      </c>
      <c r="F14" s="127" t="n">
        <v>20000</v>
      </c>
      <c r="G14" s="127" t="n"/>
      <c r="H14" s="127" t="n">
        <v>19686628</v>
      </c>
    </row>
    <row r="15">
      <c r="B15" s="85" t="inlineStr">
        <is>
          <t>1월8일</t>
        </is>
      </c>
      <c r="C15" s="127" t="n">
        <v>55000</v>
      </c>
      <c r="D15" s="127" t="n">
        <v>18209200</v>
      </c>
      <c r="E15" s="127" t="n"/>
      <c r="F15" s="127" t="n">
        <v>80000</v>
      </c>
      <c r="G15" s="127" t="n"/>
      <c r="H15" s="127" t="n">
        <v>18344200</v>
      </c>
    </row>
    <row r="16">
      <c r="B16" s="85" t="inlineStr">
        <is>
          <t>1월9일</t>
        </is>
      </c>
      <c r="C16" s="127" t="n"/>
      <c r="D16" s="127" t="n">
        <v>18036200</v>
      </c>
      <c r="E16" s="127" t="n"/>
      <c r="F16" s="127" t="n">
        <v>80000</v>
      </c>
      <c r="G16" s="127" t="n"/>
      <c r="H16" s="127" t="n">
        <v>18116200</v>
      </c>
    </row>
    <row r="17">
      <c r="B17" s="85" t="inlineStr">
        <is>
          <t>1월10일</t>
        </is>
      </c>
      <c r="C17" s="127" t="n"/>
      <c r="D17" s="127" t="n">
        <v>24234500</v>
      </c>
      <c r="E17" s="127" t="n"/>
      <c r="F17" s="127" t="n">
        <v>60000</v>
      </c>
      <c r="G17" s="127" t="n"/>
      <c r="H17" s="127" t="n">
        <v>24294500</v>
      </c>
    </row>
    <row r="18">
      <c r="B18" s="85" t="inlineStr">
        <is>
          <t>1월11일</t>
        </is>
      </c>
      <c r="C18" s="127" t="n">
        <v>175000</v>
      </c>
      <c r="D18" s="127" t="n">
        <v>31703900</v>
      </c>
      <c r="E18" s="127" t="n"/>
      <c r="F18" s="127" t="n">
        <v>40000</v>
      </c>
      <c r="G18" s="127" t="n"/>
      <c r="H18" s="127" t="n">
        <v>31918900</v>
      </c>
    </row>
    <row r="19">
      <c r="B19" s="85" t="inlineStr">
        <is>
          <t>1월12일</t>
        </is>
      </c>
      <c r="C19" s="127" t="n"/>
      <c r="D19" s="127" t="n">
        <v>30815900</v>
      </c>
      <c r="E19" s="127" t="n"/>
      <c r="F19" s="127" t="n"/>
      <c r="G19" s="127" t="n"/>
      <c r="H19" s="127" t="n">
        <v>30815900</v>
      </c>
    </row>
    <row r="20">
      <c r="B20" s="85" t="inlineStr">
        <is>
          <t>1월13일</t>
        </is>
      </c>
      <c r="C20" s="127" t="n">
        <v>105000</v>
      </c>
      <c r="D20" s="127" t="n">
        <v>28513000</v>
      </c>
      <c r="E20" s="127" t="n"/>
      <c r="F20" s="127" t="n">
        <v>60000</v>
      </c>
      <c r="G20" s="127" t="n"/>
      <c r="H20" s="127" t="n">
        <v>28678000</v>
      </c>
    </row>
    <row r="21">
      <c r="B21" s="85" t="inlineStr">
        <is>
          <t>1월14일</t>
        </is>
      </c>
      <c r="C21" s="127" t="n">
        <v>20000</v>
      </c>
      <c r="D21" s="127" t="n">
        <v>26821100</v>
      </c>
      <c r="E21" s="127" t="n"/>
      <c r="F21" s="127" t="n"/>
      <c r="G21" s="127" t="n">
        <v>60400</v>
      </c>
      <c r="H21" s="127" t="n">
        <v>26901500</v>
      </c>
    </row>
    <row r="22">
      <c r="B22" s="85" t="inlineStr">
        <is>
          <t>1월15일</t>
        </is>
      </c>
      <c r="C22" s="127" t="n">
        <v>70000</v>
      </c>
      <c r="D22" s="127" t="n">
        <v>21887900</v>
      </c>
      <c r="E22" s="127" t="n"/>
      <c r="F22" s="127" t="n">
        <v>20000</v>
      </c>
      <c r="G22" s="127" t="n"/>
      <c r="H22" s="127" t="n">
        <v>21977900</v>
      </c>
    </row>
    <row r="23">
      <c r="B23" s="85" t="inlineStr">
        <is>
          <t>1월16일</t>
        </is>
      </c>
      <c r="C23" s="127" t="n"/>
      <c r="D23" s="127" t="n">
        <v>15643800</v>
      </c>
      <c r="E23" s="127" t="n"/>
      <c r="F23" s="127" t="n">
        <v>60000</v>
      </c>
      <c r="G23" s="127" t="n"/>
      <c r="H23" s="127" t="n">
        <v>15703800</v>
      </c>
    </row>
    <row r="24">
      <c r="B24" s="85" t="inlineStr">
        <is>
          <t>1월17일</t>
        </is>
      </c>
      <c r="C24" s="127" t="n"/>
      <c r="D24" s="127" t="n">
        <v>20295200</v>
      </c>
      <c r="E24" s="127" t="n"/>
      <c r="F24" s="127" t="n">
        <v>40000</v>
      </c>
      <c r="G24" s="127" t="n"/>
      <c r="H24" s="127" t="n">
        <v>20335200</v>
      </c>
    </row>
    <row r="25">
      <c r="B25" s="85" t="inlineStr">
        <is>
          <t>1월18일</t>
        </is>
      </c>
      <c r="C25" s="127" t="n">
        <v>145000</v>
      </c>
      <c r="D25" s="127" t="n">
        <v>20485400</v>
      </c>
      <c r="E25" s="127" t="n"/>
      <c r="F25" s="127" t="n">
        <v>40000</v>
      </c>
      <c r="G25" s="127" t="n">
        <v>18200</v>
      </c>
      <c r="H25" s="127" t="n">
        <v>20688600</v>
      </c>
    </row>
    <row r="26">
      <c r="B26" s="85" t="inlineStr">
        <is>
          <t>1월19일</t>
        </is>
      </c>
      <c r="C26" s="127" t="n">
        <v>70000</v>
      </c>
      <c r="D26" s="127" t="n">
        <v>15351100</v>
      </c>
      <c r="E26" s="127" t="n"/>
      <c r="F26" s="127" t="n">
        <v>80000</v>
      </c>
      <c r="G26" s="127" t="n"/>
      <c r="H26" s="127" t="n">
        <v>15501100</v>
      </c>
    </row>
    <row r="27">
      <c r="B27" s="85" t="inlineStr">
        <is>
          <t>1월20일</t>
        </is>
      </c>
      <c r="C27" s="127" t="n">
        <v>40000</v>
      </c>
      <c r="D27" s="127" t="n">
        <v>25156700</v>
      </c>
      <c r="E27" s="127" t="n">
        <v>400000</v>
      </c>
      <c r="F27" s="127" t="n">
        <v>120000</v>
      </c>
      <c r="G27" s="127" t="n"/>
      <c r="H27" s="127" t="n">
        <v>25716700</v>
      </c>
    </row>
    <row r="28">
      <c r="B28" s="85" t="inlineStr">
        <is>
          <t>1월21일</t>
        </is>
      </c>
      <c r="C28" s="127" t="n"/>
      <c r="D28" s="127" t="n">
        <v>17362100</v>
      </c>
      <c r="E28" s="127" t="n"/>
      <c r="F28" s="127" t="n">
        <v>60000</v>
      </c>
      <c r="G28" s="127" t="n">
        <v>20000</v>
      </c>
      <c r="H28" s="127" t="n">
        <v>17442100</v>
      </c>
    </row>
    <row r="29">
      <c r="B29" s="85" t="inlineStr">
        <is>
          <t>1월22일</t>
        </is>
      </c>
      <c r="C29" s="127" t="n">
        <v>55000</v>
      </c>
      <c r="D29" s="127" t="n">
        <v>14542900</v>
      </c>
      <c r="E29" s="127" t="n"/>
      <c r="F29" s="127" t="n">
        <v>20000</v>
      </c>
      <c r="G29" s="127" t="n"/>
      <c r="H29" s="127" t="n">
        <v>14617900</v>
      </c>
    </row>
    <row r="30">
      <c r="B30" s="85" t="inlineStr">
        <is>
          <t>1월23일</t>
        </is>
      </c>
      <c r="C30" s="127" t="n"/>
      <c r="D30" s="127" t="n">
        <v>12823100</v>
      </c>
      <c r="E30" s="127" t="n"/>
      <c r="F30" s="127" t="n">
        <v>80000</v>
      </c>
      <c r="G30" s="127" t="n"/>
      <c r="H30" s="127" t="n">
        <v>12903100</v>
      </c>
    </row>
    <row r="31">
      <c r="B31" s="85" t="inlineStr">
        <is>
          <t>1월24일</t>
        </is>
      </c>
      <c r="C31" s="127" t="n"/>
      <c r="D31" s="127" t="n">
        <v>22244400</v>
      </c>
      <c r="E31" s="127" t="n"/>
      <c r="F31" s="127" t="n">
        <v>80000</v>
      </c>
      <c r="G31" s="127" t="n"/>
      <c r="H31" s="127" t="n">
        <v>22324400</v>
      </c>
    </row>
    <row r="32">
      <c r="B32" s="85" t="inlineStr">
        <is>
          <t>1월25일</t>
        </is>
      </c>
      <c r="C32" s="127" t="n">
        <v>70000</v>
      </c>
      <c r="D32" s="127" t="n">
        <v>22677700</v>
      </c>
      <c r="E32" s="127" t="n"/>
      <c r="F32" s="127" t="n">
        <v>180000</v>
      </c>
      <c r="G32" s="127" t="n"/>
      <c r="H32" s="127" t="n">
        <v>22927700</v>
      </c>
    </row>
    <row r="33">
      <c r="B33" s="85" t="inlineStr">
        <is>
          <t>1월26일</t>
        </is>
      </c>
      <c r="C33" s="127" t="n">
        <v>90000</v>
      </c>
      <c r="D33" s="127" t="n">
        <v>23339000</v>
      </c>
      <c r="E33" s="127" t="n"/>
      <c r="F33" s="127" t="n">
        <v>60000</v>
      </c>
      <c r="G33" s="127" t="n"/>
      <c r="H33" s="127" t="n">
        <v>23489000</v>
      </c>
    </row>
    <row r="34">
      <c r="B34" s="85" t="inlineStr">
        <is>
          <t>1월27일</t>
        </is>
      </c>
      <c r="C34" s="127" t="n">
        <v>75000</v>
      </c>
      <c r="D34" s="127" t="n">
        <v>24332000</v>
      </c>
      <c r="E34" s="127" t="n"/>
      <c r="F34" s="127" t="n">
        <v>40000</v>
      </c>
      <c r="G34" s="127" t="n"/>
      <c r="H34" s="127" t="n">
        <v>24447000</v>
      </c>
    </row>
    <row r="35">
      <c r="B35" s="85" t="inlineStr">
        <is>
          <t>1월28일</t>
        </is>
      </c>
      <c r="C35" s="127" t="n">
        <v>35000</v>
      </c>
      <c r="D35" s="127" t="n">
        <v>25840800</v>
      </c>
      <c r="E35" s="127" t="n"/>
      <c r="F35" s="127" t="n"/>
      <c r="G35" s="127" t="n"/>
      <c r="H35" s="127" t="n">
        <v>25875800</v>
      </c>
    </row>
    <row r="36">
      <c r="B36" s="85" t="inlineStr">
        <is>
          <t>1월29일</t>
        </is>
      </c>
      <c r="C36" s="127" t="n"/>
      <c r="D36" s="127" t="n">
        <v>23165600</v>
      </c>
      <c r="E36" s="127" t="n"/>
      <c r="F36" s="127" t="n">
        <v>120000</v>
      </c>
      <c r="G36" s="127" t="n"/>
      <c r="H36" s="127" t="n">
        <v>23285600</v>
      </c>
    </row>
    <row r="37">
      <c r="B37" s="85" t="inlineStr">
        <is>
          <t>1월30일</t>
        </is>
      </c>
      <c r="C37" s="127" t="n"/>
      <c r="D37" s="127" t="n">
        <v>26916300</v>
      </c>
      <c r="E37" s="127" t="n"/>
      <c r="F37" s="127" t="n">
        <v>60000</v>
      </c>
      <c r="G37" s="127" t="n"/>
      <c r="H37" s="127" t="n">
        <v>26976300</v>
      </c>
    </row>
    <row r="38">
      <c r="B38" s="85" t="inlineStr">
        <is>
          <t>1월31일</t>
        </is>
      </c>
      <c r="C38" s="127" t="n"/>
      <c r="D38" s="127" t="n">
        <v>25172300</v>
      </c>
      <c r="E38" s="127" t="n"/>
      <c r="F38" s="127" t="n">
        <v>80000</v>
      </c>
      <c r="G38" s="127" t="n"/>
      <c r="H38" s="127" t="n">
        <v>25252300</v>
      </c>
    </row>
    <row r="39">
      <c r="B39" s="85" t="inlineStr">
        <is>
          <t>2월1일</t>
        </is>
      </c>
      <c r="C39" s="127" t="n">
        <v>500000</v>
      </c>
      <c r="D39" s="127" t="n">
        <v>37508900</v>
      </c>
      <c r="E39" s="127" t="n"/>
      <c r="F39" s="127" t="n">
        <v>60000</v>
      </c>
      <c r="G39" s="127" t="n">
        <v>30400</v>
      </c>
      <c r="H39" s="127" t="n">
        <v>38099300</v>
      </c>
    </row>
    <row r="40">
      <c r="B40" s="85" t="inlineStr">
        <is>
          <t>2월2일</t>
        </is>
      </c>
      <c r="C40" s="127" t="n">
        <v>125000</v>
      </c>
      <c r="D40" s="127" t="n">
        <v>24297400</v>
      </c>
      <c r="E40" s="127" t="n"/>
      <c r="F40" s="127" t="n">
        <v>20000</v>
      </c>
      <c r="G40" s="127" t="n">
        <v>42400</v>
      </c>
      <c r="H40" s="127" t="n">
        <v>24484800</v>
      </c>
    </row>
    <row r="41">
      <c r="B41" s="85" t="inlineStr">
        <is>
          <t>2월3일</t>
        </is>
      </c>
      <c r="C41" s="127" t="n">
        <v>175000</v>
      </c>
      <c r="D41" s="127" t="n">
        <v>20634600</v>
      </c>
      <c r="E41" s="127" t="n"/>
      <c r="F41" s="127" t="n">
        <v>20000</v>
      </c>
      <c r="G41" s="127" t="n">
        <v>46000</v>
      </c>
      <c r="H41" s="127" t="n">
        <v>20875600</v>
      </c>
    </row>
    <row r="42">
      <c r="B42" s="85" t="inlineStr">
        <is>
          <t>2월4일</t>
        </is>
      </c>
      <c r="C42" s="127" t="n">
        <v>280000</v>
      </c>
      <c r="D42" s="127" t="n">
        <v>21224400</v>
      </c>
      <c r="E42" s="127" t="n">
        <v>458200</v>
      </c>
      <c r="F42" s="127" t="n">
        <v>60000</v>
      </c>
      <c r="G42" s="127" t="n">
        <v>44800</v>
      </c>
      <c r="H42" s="127" t="n">
        <v>22067400</v>
      </c>
    </row>
    <row r="43">
      <c r="B43" s="85" t="inlineStr">
        <is>
          <t>2월5일</t>
        </is>
      </c>
      <c r="C43" s="127" t="n">
        <v>245000</v>
      </c>
      <c r="D43" s="127" t="n">
        <v>15390400</v>
      </c>
      <c r="E43" s="127" t="n"/>
      <c r="F43" s="127" t="n"/>
      <c r="G43" s="127" t="n"/>
      <c r="H43" s="127" t="n">
        <v>15635400</v>
      </c>
    </row>
    <row r="44">
      <c r="B44" s="85" t="inlineStr">
        <is>
          <t>2월6일</t>
        </is>
      </c>
      <c r="C44" s="127" t="n"/>
      <c r="D44" s="127" t="n">
        <v>11814000</v>
      </c>
      <c r="E44" s="127" t="n"/>
      <c r="F44" s="127" t="n">
        <v>80000</v>
      </c>
      <c r="G44" s="127" t="n"/>
      <c r="H44" s="127" t="n">
        <v>11894000</v>
      </c>
    </row>
    <row r="45">
      <c r="B45" s="85" t="inlineStr">
        <is>
          <t>2월7일</t>
        </is>
      </c>
      <c r="C45" s="127" t="n"/>
      <c r="D45" s="127" t="n">
        <v>14371300</v>
      </c>
      <c r="E45" s="127" t="n"/>
      <c r="F45" s="127" t="n">
        <v>20000</v>
      </c>
      <c r="G45" s="127" t="n"/>
      <c r="H45" s="127" t="n">
        <v>14391300</v>
      </c>
    </row>
    <row r="46">
      <c r="B46" s="85" t="inlineStr">
        <is>
          <t>2월8일</t>
        </is>
      </c>
      <c r="C46" s="127" t="n">
        <v>965000</v>
      </c>
      <c r="D46" s="127" t="n">
        <v>14682200</v>
      </c>
      <c r="E46" s="127" t="n"/>
      <c r="F46" s="127" t="n">
        <v>120000</v>
      </c>
      <c r="G46" s="127" t="n"/>
      <c r="H46" s="127" t="n">
        <v>15767200</v>
      </c>
    </row>
    <row r="47">
      <c r="B47" s="98" t="inlineStr">
        <is>
          <t>총합계</t>
        </is>
      </c>
      <c r="C47" s="127" t="n">
        <v>4065000</v>
      </c>
      <c r="D47" s="127" t="n">
        <v>855102100</v>
      </c>
      <c r="E47" s="127" t="n">
        <v>1588548</v>
      </c>
      <c r="F47" s="127" t="n">
        <v>2124000</v>
      </c>
      <c r="G47" s="127" t="n">
        <v>284600</v>
      </c>
      <c r="H47" s="127" t="n">
        <v>863164248</v>
      </c>
    </row>
    <row r="83">
      <c r="J83" s="131" t="n"/>
    </row>
    <row r="85">
      <c r="K85" s="131">
        <f>I85/1.1</f>
        <v/>
      </c>
    </row>
    <row r="86">
      <c r="K86" s="131">
        <f>I86/1.1</f>
        <v/>
      </c>
    </row>
    <row r="87">
      <c r="K87" s="131">
        <f>I87/1.1</f>
        <v/>
      </c>
    </row>
    <row r="88">
      <c r="K88" s="131">
        <f>I88/1.1</f>
        <v/>
      </c>
    </row>
    <row r="89">
      <c r="K89" s="131">
        <f>I89/1.1</f>
        <v/>
      </c>
    </row>
    <row r="90">
      <c r="K90" s="131">
        <f>I90/1.1</f>
        <v/>
      </c>
    </row>
    <row r="91">
      <c r="K91" s="131">
        <f>I91/1.1</f>
        <v/>
      </c>
    </row>
    <row r="92">
      <c r="K92" s="131">
        <f>I92/1.1</f>
        <v/>
      </c>
    </row>
    <row r="93">
      <c r="K93" s="131">
        <f>I93/1.1</f>
        <v/>
      </c>
    </row>
    <row r="94">
      <c r="K94" s="131">
        <f>I94/1.1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 filterMode="1">
    <tabColor theme="7" tint="0.7999816888943144"/>
    <outlinePr summaryBelow="1" summaryRight="1"/>
    <pageSetUpPr/>
  </sheetPr>
  <dimension ref="A1:L918"/>
  <sheetViews>
    <sheetView zoomScale="70" zoomScaleNormal="70" workbookViewId="0">
      <pane ySplit="1" topLeftCell="A767" activePane="bottomLeft" state="frozen"/>
      <selection pane="bottomLeft" activeCell="G784" sqref="G784"/>
    </sheetView>
  </sheetViews>
  <sheetFormatPr baseColWidth="8" defaultColWidth="9" defaultRowHeight="17.4"/>
  <cols>
    <col width="1.59765625" customWidth="1" style="6" min="1" max="1"/>
    <col width="36.19921875" customWidth="1" style="6" min="2" max="2"/>
    <col width="21.19921875" customWidth="1" style="6" min="3" max="3"/>
    <col width="101.59765625" customWidth="1" style="6" min="4" max="4"/>
    <col width="9.69921875" customWidth="1" style="6" min="5" max="5"/>
    <col width="22.09765625" customWidth="1" style="6" min="6" max="6"/>
    <col width="9" customWidth="1" style="6" min="7" max="7"/>
    <col width="14.69921875" customWidth="1" style="86" min="8" max="8"/>
    <col width="9" customWidth="1" style="6" min="9" max="9"/>
    <col width="12.19921875" bestFit="1" customWidth="1" style="6" min="10" max="10"/>
    <col width="9" customWidth="1" style="87" min="11" max="11"/>
    <col width="9" customWidth="1" style="6" min="12" max="12"/>
    <col width="9" customWidth="1" style="6" min="13" max="16384"/>
  </cols>
  <sheetData>
    <row r="1" ht="18.6" customHeight="1" s="93" thickBot="1" thickTop="1">
      <c r="B1" s="40" t="inlineStr">
        <is>
          <t>`</t>
        </is>
      </c>
      <c r="C1" s="40" t="inlineStr">
        <is>
          <t>상품1</t>
        </is>
      </c>
      <c r="D1" s="40" t="inlineStr">
        <is>
          <t>상품2</t>
        </is>
      </c>
      <c r="E1" s="40" t="inlineStr">
        <is>
          <t>구분(판매가)</t>
        </is>
      </c>
      <c r="F1" s="40" t="inlineStr">
        <is>
          <t>구분값</t>
        </is>
      </c>
      <c r="G1" s="40" t="inlineStr">
        <is>
          <t>판매가</t>
        </is>
      </c>
      <c r="H1" s="41" t="inlineStr">
        <is>
          <t>수수료</t>
        </is>
      </c>
      <c r="I1" s="40" t="inlineStr">
        <is>
          <t>원가</t>
        </is>
      </c>
      <c r="J1" s="42" t="inlineStr">
        <is>
          <t>-</t>
        </is>
      </c>
      <c r="K1" s="42" t="inlineStr">
        <is>
          <t>-</t>
        </is>
      </c>
    </row>
    <row r="2" ht="18" customHeight="1" s="93" thickTop="1">
      <c r="B2" s="6" t="inlineStr">
        <is>
          <t>카페24</t>
        </is>
      </c>
      <c r="C2" s="6" t="inlineStr">
        <is>
          <t>토너</t>
        </is>
      </c>
      <c r="D2" s="6" t="inlineStr">
        <is>
          <t>250ml</t>
        </is>
      </c>
      <c r="E2" s="7" t="n">
        <v>190801</v>
      </c>
      <c r="F2" s="7">
        <f>B2&amp;C2&amp;D2&amp;E2</f>
        <v/>
      </c>
      <c r="G2" s="6" t="n">
        <v>20000</v>
      </c>
      <c r="H2" s="30" t="n">
        <v>0.0585</v>
      </c>
      <c r="I2" s="6" t="n">
        <v>3260</v>
      </c>
    </row>
    <row r="3">
      <c r="B3" s="6" t="inlineStr">
        <is>
          <t>카페24</t>
        </is>
      </c>
      <c r="C3" s="6" t="inlineStr">
        <is>
          <t>토너</t>
        </is>
      </c>
      <c r="D3" s="6" t="inlineStr">
        <is>
          <t>250ml 2set</t>
        </is>
      </c>
      <c r="E3" s="7" t="n">
        <v>190801</v>
      </c>
      <c r="F3" s="7">
        <f>B3&amp;C3&amp;D3&amp;E3</f>
        <v/>
      </c>
      <c r="G3" s="6" t="n">
        <v>35000</v>
      </c>
      <c r="H3" s="30" t="n">
        <v>0.0585</v>
      </c>
      <c r="I3" s="6" t="n">
        <v>6520</v>
      </c>
    </row>
    <row r="4">
      <c r="B4" s="6" t="inlineStr">
        <is>
          <t>W컨셉</t>
        </is>
      </c>
      <c r="C4" s="6" t="inlineStr">
        <is>
          <t>토너</t>
        </is>
      </c>
      <c r="D4" s="6" t="inlineStr">
        <is>
          <t>250ml</t>
        </is>
      </c>
      <c r="E4" s="7" t="n">
        <v>190801</v>
      </c>
      <c r="F4" s="7">
        <f>B4&amp;C4&amp;D4&amp;E4</f>
        <v/>
      </c>
      <c r="G4" s="6" t="n">
        <v>20000</v>
      </c>
      <c r="H4" s="27" t="n">
        <v>0.28</v>
      </c>
      <c r="I4" s="6" t="n">
        <v>3260</v>
      </c>
    </row>
    <row r="5">
      <c r="B5" s="6" t="inlineStr">
        <is>
          <t>W컨셉</t>
        </is>
      </c>
      <c r="C5" s="6" t="inlineStr">
        <is>
          <t>토너</t>
        </is>
      </c>
      <c r="D5" s="6" t="inlineStr">
        <is>
          <t>250ml 2set</t>
        </is>
      </c>
      <c r="E5" s="7" t="n">
        <v>190801</v>
      </c>
      <c r="F5" s="7">
        <f>B5&amp;C5&amp;D5&amp;E5</f>
        <v/>
      </c>
      <c r="G5" s="6" t="n">
        <v>35000</v>
      </c>
      <c r="H5" s="27" t="n">
        <v>0.27</v>
      </c>
      <c r="I5" s="6" t="n">
        <v>6520</v>
      </c>
    </row>
    <row r="6">
      <c r="B6" s="6" t="inlineStr">
        <is>
          <t>아누아 CS</t>
        </is>
      </c>
      <c r="C6" s="6" t="inlineStr">
        <is>
          <t>토너</t>
        </is>
      </c>
      <c r="D6" s="6" t="inlineStr">
        <is>
          <t>250ml</t>
        </is>
      </c>
      <c r="E6" s="7" t="n">
        <v>190801</v>
      </c>
      <c r="F6" s="7">
        <f>B6&amp;C6&amp;D6&amp;E6</f>
        <v/>
      </c>
      <c r="G6" s="6" t="n">
        <v>0</v>
      </c>
      <c r="H6" s="27" t="n">
        <v>0</v>
      </c>
      <c r="I6" s="6" t="n">
        <v>3260</v>
      </c>
    </row>
    <row r="7">
      <c r="B7" s="6" t="inlineStr">
        <is>
          <t>아누아 CS</t>
        </is>
      </c>
      <c r="C7" s="6" t="inlineStr">
        <is>
          <t>토너</t>
        </is>
      </c>
      <c r="D7" s="6" t="inlineStr">
        <is>
          <t>250ml 2set</t>
        </is>
      </c>
      <c r="E7" s="7" t="n">
        <v>190801</v>
      </c>
      <c r="F7" s="7">
        <f>B7&amp;C7&amp;D7&amp;E7</f>
        <v/>
      </c>
      <c r="G7" s="6" t="n">
        <v>0</v>
      </c>
      <c r="H7" s="27" t="n">
        <v>0</v>
      </c>
      <c r="I7" s="6" t="n">
        <v>6520</v>
      </c>
    </row>
    <row r="8">
      <c r="B8" s="6" t="inlineStr">
        <is>
          <t>카페24</t>
        </is>
      </c>
      <c r="C8" s="6" t="inlineStr">
        <is>
          <t>토너</t>
        </is>
      </c>
      <c r="D8" s="6" t="inlineStr">
        <is>
          <t>500ml</t>
        </is>
      </c>
      <c r="E8" s="7" t="n">
        <v>190801</v>
      </c>
      <c r="F8" s="7">
        <f>B8&amp;C8&amp;D8&amp;E8</f>
        <v/>
      </c>
      <c r="G8" s="6" t="n">
        <v>33000</v>
      </c>
      <c r="H8" s="30" t="n">
        <v>0.0585</v>
      </c>
      <c r="I8" s="6" t="n">
        <v>4725</v>
      </c>
    </row>
    <row r="9">
      <c r="B9" s="6" t="inlineStr">
        <is>
          <t>아누아 CS</t>
        </is>
      </c>
      <c r="C9" s="6" t="inlineStr">
        <is>
          <t>토너</t>
        </is>
      </c>
      <c r="D9" s="6" t="inlineStr">
        <is>
          <t>500ml</t>
        </is>
      </c>
      <c r="E9" s="7" t="n">
        <v>190801</v>
      </c>
      <c r="F9" s="7">
        <f>B9&amp;C9&amp;D9&amp;E9</f>
        <v/>
      </c>
      <c r="G9" s="6" t="n">
        <v>0</v>
      </c>
      <c r="H9" s="27" t="n">
        <v>0</v>
      </c>
      <c r="I9" s="6" t="n">
        <v>4725</v>
      </c>
    </row>
    <row r="10" hidden="1" s="93">
      <c r="B10" s="6" t="inlineStr">
        <is>
          <t>큐텐</t>
        </is>
      </c>
      <c r="C10" s="6" t="inlineStr">
        <is>
          <t>토너</t>
        </is>
      </c>
      <c r="D10" s="6" t="inlineStr">
        <is>
          <t>250ml</t>
        </is>
      </c>
      <c r="E10" s="7" t="n">
        <v>190801</v>
      </c>
      <c r="F10" s="7">
        <f>B10&amp;C10&amp;D10&amp;E10</f>
        <v/>
      </c>
      <c r="G10" s="6" t="n">
        <v>31500</v>
      </c>
      <c r="H10" s="27" t="n">
        <v>0.11</v>
      </c>
      <c r="I10" s="6" t="n">
        <v>3260</v>
      </c>
    </row>
    <row r="11" hidden="1" s="93">
      <c r="B11" s="6" t="inlineStr">
        <is>
          <t>큐텐</t>
        </is>
      </c>
      <c r="C11" s="6" t="inlineStr">
        <is>
          <t>토너</t>
        </is>
      </c>
      <c r="D11" s="6" t="inlineStr">
        <is>
          <t>250ml 2set</t>
        </is>
      </c>
      <c r="E11" s="7" t="n">
        <v>190801</v>
      </c>
      <c r="F11" s="7">
        <f>B11&amp;C11&amp;D11&amp;E11</f>
        <v/>
      </c>
      <c r="G11" s="6" t="n">
        <v>44000</v>
      </c>
      <c r="H11" s="27" t="n">
        <v>0.11</v>
      </c>
      <c r="I11" s="6" t="n">
        <v>6520</v>
      </c>
    </row>
    <row r="12">
      <c r="B12" s="6" t="inlineStr">
        <is>
          <t>아누아 CS</t>
        </is>
      </c>
      <c r="C12" s="6" t="inlineStr">
        <is>
          <t>머드크림마스크</t>
        </is>
      </c>
      <c r="D12" s="6" t="inlineStr">
        <is>
          <t>머드크림마스크 100ml</t>
        </is>
      </c>
      <c r="E12" s="6" t="n">
        <v>190801</v>
      </c>
      <c r="F12" s="7">
        <f>B12&amp;C12&amp;D12&amp;E12</f>
        <v/>
      </c>
      <c r="G12" s="6" t="n">
        <v>0</v>
      </c>
      <c r="H12" s="27" t="n">
        <v>0</v>
      </c>
      <c r="I12" s="6" t="n">
        <v>1442</v>
      </c>
    </row>
    <row r="13">
      <c r="B13" s="6" t="inlineStr">
        <is>
          <t>아누아 CS</t>
        </is>
      </c>
      <c r="C13" s="6" t="inlineStr">
        <is>
          <t>화장솜</t>
        </is>
      </c>
      <c r="D13" s="6" t="inlineStr">
        <is>
          <t>스킨팩 화장솜 60P</t>
        </is>
      </c>
      <c r="E13" s="6" t="n">
        <v>190801</v>
      </c>
      <c r="F13" s="7">
        <f>B13&amp;C13&amp;D13&amp;E13</f>
        <v/>
      </c>
      <c r="G13" s="6" t="n">
        <v>0</v>
      </c>
      <c r="H13" s="27" t="n">
        <v>0</v>
      </c>
      <c r="I13" s="6" t="n">
        <v>1110</v>
      </c>
    </row>
    <row r="14">
      <c r="B14" s="6" t="inlineStr">
        <is>
          <t>카페24</t>
        </is>
      </c>
      <c r="C14" s="6" t="inlineStr">
        <is>
          <t>머드크림마스크</t>
        </is>
      </c>
      <c r="D14" s="6" t="inlineStr">
        <is>
          <t>머드크림마스크 100ml</t>
        </is>
      </c>
      <c r="E14" s="6" t="n">
        <v>190801</v>
      </c>
      <c r="F14" s="7">
        <f>B14&amp;C14&amp;D14&amp;E14</f>
        <v/>
      </c>
      <c r="G14" s="6" t="n">
        <v>20000</v>
      </c>
      <c r="H14" s="30" t="n">
        <v>0.0585</v>
      </c>
      <c r="I14" s="6" t="n">
        <v>1442</v>
      </c>
    </row>
    <row r="15">
      <c r="B15" s="6" t="inlineStr">
        <is>
          <t>글로우데이즈 시코르</t>
        </is>
      </c>
      <c r="C15" s="6" t="inlineStr">
        <is>
          <t>토너</t>
        </is>
      </c>
      <c r="D15" s="6" t="inlineStr">
        <is>
          <t>250ml</t>
        </is>
      </c>
      <c r="E15" s="7" t="n">
        <v>190801</v>
      </c>
      <c r="F15" s="7">
        <f>B15&amp;C15&amp;D15&amp;E15</f>
        <v/>
      </c>
      <c r="G15" s="6" t="n">
        <v>10227</v>
      </c>
      <c r="H15" s="27" t="n">
        <v>0</v>
      </c>
      <c r="I15" s="6" t="n">
        <v>3260</v>
      </c>
    </row>
    <row r="16">
      <c r="B16" s="6" t="inlineStr">
        <is>
          <t>아누아 CS</t>
        </is>
      </c>
      <c r="C16" s="6" t="inlineStr">
        <is>
          <t>토너</t>
        </is>
      </c>
      <c r="D16" s="6" t="inlineStr">
        <is>
          <t>40ml</t>
        </is>
      </c>
      <c r="E16" s="6" t="n">
        <v>190801</v>
      </c>
      <c r="F16" s="7">
        <f>B16&amp;C16&amp;D16&amp;E16</f>
        <v/>
      </c>
      <c r="G16" s="6" t="n">
        <v>0</v>
      </c>
      <c r="H16" s="27" t="n">
        <v>0</v>
      </c>
      <c r="I16" s="6" t="n">
        <v>1230</v>
      </c>
    </row>
    <row r="17">
      <c r="B17" s="6" t="inlineStr">
        <is>
          <t>카페24</t>
        </is>
      </c>
      <c r="C17" s="6" t="inlineStr">
        <is>
          <t>화장솜</t>
        </is>
      </c>
      <c r="D17" s="6" t="inlineStr">
        <is>
          <t>스킨팩 화장솜 60P</t>
        </is>
      </c>
      <c r="E17" s="6" t="n">
        <v>190801</v>
      </c>
      <c r="F17" s="7">
        <f>B17&amp;C17&amp;D17&amp;E17</f>
        <v/>
      </c>
      <c r="G17" s="6" t="n">
        <v>4000</v>
      </c>
      <c r="H17" s="30" t="n">
        <v>0.0585</v>
      </c>
      <c r="I17" s="6" t="n">
        <v>1110</v>
      </c>
    </row>
    <row r="18">
      <c r="B18" s="6" t="inlineStr">
        <is>
          <t>카페24</t>
        </is>
      </c>
      <c r="C18" s="6" t="inlineStr">
        <is>
          <t>토너</t>
        </is>
      </c>
      <c r="D18" s="6" t="inlineStr">
        <is>
          <t>스킨팩 화장솜 60P</t>
        </is>
      </c>
      <c r="E18" s="6" t="n">
        <v>190801</v>
      </c>
      <c r="F18" s="7">
        <f>B18&amp;C18&amp;D18&amp;E18</f>
        <v/>
      </c>
      <c r="G18" s="6" t="n">
        <v>3000</v>
      </c>
      <c r="H18" s="30" t="n">
        <v>0.0585</v>
      </c>
      <c r="I18" s="6" t="n">
        <v>1110</v>
      </c>
    </row>
    <row r="19">
      <c r="B19" s="6" t="inlineStr">
        <is>
          <t>랄라블라</t>
        </is>
      </c>
      <c r="C19" s="6" t="inlineStr">
        <is>
          <t>토너</t>
        </is>
      </c>
      <c r="D19" s="6" t="inlineStr">
        <is>
          <t>250ml</t>
        </is>
      </c>
      <c r="E19" s="7" t="n">
        <v>190801</v>
      </c>
      <c r="F19" s="7">
        <f>B19&amp;C19&amp;D19&amp;E19</f>
        <v/>
      </c>
      <c r="G19" s="6" t="n">
        <v>9068</v>
      </c>
      <c r="H19" s="27" t="n">
        <v>0</v>
      </c>
      <c r="I19" s="6" t="n">
        <v>3260</v>
      </c>
    </row>
    <row r="20">
      <c r="B20" s="6" t="inlineStr">
        <is>
          <t>아누아 CS</t>
        </is>
      </c>
      <c r="C20" s="6" t="inlineStr">
        <is>
          <t>클렌징폼</t>
        </is>
      </c>
      <c r="D20" s="6" t="inlineStr">
        <is>
          <t>클렌징폼 120ml</t>
        </is>
      </c>
      <c r="E20" s="7" t="n">
        <v>190801</v>
      </c>
      <c r="F20" s="7">
        <f>B20&amp;C20&amp;D20&amp;E20</f>
        <v/>
      </c>
      <c r="G20" s="6" t="n">
        <v>0</v>
      </c>
      <c r="H20" s="27" t="n">
        <v>0</v>
      </c>
      <c r="I20" s="6" t="n">
        <v>2750</v>
      </c>
    </row>
    <row r="21">
      <c r="B21" s="6" t="inlineStr">
        <is>
          <t>카페24</t>
        </is>
      </c>
      <c r="C21" s="6" t="inlineStr">
        <is>
          <t>클렌징폼</t>
        </is>
      </c>
      <c r="D21" s="6" t="inlineStr">
        <is>
          <t>클렌징폼 120ml</t>
        </is>
      </c>
      <c r="E21" s="7" t="n">
        <v>190801</v>
      </c>
      <c r="F21" s="7">
        <f>B21&amp;C21&amp;D21&amp;E21</f>
        <v/>
      </c>
      <c r="G21" s="6" t="n">
        <v>13000</v>
      </c>
      <c r="H21" s="30" t="n">
        <v>0.0585</v>
      </c>
      <c r="I21" s="6" t="n">
        <v>2750</v>
      </c>
    </row>
    <row r="22">
      <c r="B22" s="6" t="inlineStr">
        <is>
          <t>카페24</t>
        </is>
      </c>
      <c r="C22" s="6" t="inlineStr">
        <is>
          <t>머드크림마스크</t>
        </is>
      </c>
      <c r="D22" s="6" t="inlineStr">
        <is>
          <t>머드크림마스크 100ml 2set</t>
        </is>
      </c>
      <c r="E22" s="7" t="n">
        <v>190801</v>
      </c>
      <c r="F22" s="7">
        <f>B22&amp;C22&amp;D22&amp;E22</f>
        <v/>
      </c>
      <c r="G22" s="6" t="n">
        <v>35000</v>
      </c>
      <c r="H22" s="30" t="n">
        <v>0.0585</v>
      </c>
      <c r="I22" s="6" t="n">
        <v>2884</v>
      </c>
    </row>
    <row r="23">
      <c r="B23" s="6" t="inlineStr">
        <is>
          <t>카페24</t>
        </is>
      </c>
      <c r="C23" s="6" t="inlineStr">
        <is>
          <t>클렌징폼</t>
        </is>
      </c>
      <c r="D23" s="6" t="inlineStr">
        <is>
          <t>클렌징폼 120ml 2set</t>
        </is>
      </c>
      <c r="E23" s="7" t="n">
        <v>190801</v>
      </c>
      <c r="F23" s="7">
        <f>B23&amp;C23&amp;D23&amp;E23</f>
        <v/>
      </c>
      <c r="G23" s="6" t="n">
        <v>24000</v>
      </c>
      <c r="H23" s="30" t="n">
        <v>0.0585</v>
      </c>
      <c r="I23" s="6" t="n">
        <v>2460</v>
      </c>
    </row>
    <row r="24">
      <c r="B24" s="6" t="inlineStr">
        <is>
          <t>카페24</t>
        </is>
      </c>
      <c r="C24" s="6" t="inlineStr">
        <is>
          <t>클렌징폼</t>
        </is>
      </c>
      <c r="D24" s="6" t="inlineStr">
        <is>
          <t>클렌징폼 120ml 3set</t>
        </is>
      </c>
      <c r="E24" s="7" t="n">
        <v>190801</v>
      </c>
      <c r="F24" s="7">
        <f>B24&amp;C24&amp;D24&amp;E24</f>
        <v/>
      </c>
      <c r="G24" s="6" t="n">
        <v>33000</v>
      </c>
      <c r="H24" s="30" t="n">
        <v>0.0585</v>
      </c>
      <c r="I24" s="6" t="n">
        <v>3690</v>
      </c>
    </row>
    <row r="25">
      <c r="B25" s="6" t="inlineStr">
        <is>
          <t>스타일쉐어</t>
        </is>
      </c>
      <c r="C25" s="6" t="inlineStr">
        <is>
          <t>토너</t>
        </is>
      </c>
      <c r="D25" s="6" t="inlineStr">
        <is>
          <t>250ml</t>
        </is>
      </c>
      <c r="E25" s="7" t="n">
        <v>190801</v>
      </c>
      <c r="F25" s="7">
        <f>B25&amp;C25&amp;D25&amp;E25</f>
        <v/>
      </c>
      <c r="G25" s="6" t="n">
        <v>20000</v>
      </c>
      <c r="H25" s="27" t="n">
        <v>0.25</v>
      </c>
      <c r="I25" s="6" t="n">
        <v>3260</v>
      </c>
    </row>
    <row r="26">
      <c r="B26" s="6" t="inlineStr">
        <is>
          <t>스타일쉐어</t>
        </is>
      </c>
      <c r="C26" s="6" t="inlineStr">
        <is>
          <t>토너</t>
        </is>
      </c>
      <c r="D26" s="6" t="inlineStr">
        <is>
          <t>250ml 2set</t>
        </is>
      </c>
      <c r="E26" s="7" t="n">
        <v>190801</v>
      </c>
      <c r="F26" s="7">
        <f>B26&amp;C26&amp;D26&amp;E26</f>
        <v/>
      </c>
      <c r="G26" s="6" t="n">
        <v>35000</v>
      </c>
      <c r="H26" s="27" t="n">
        <v>0.25</v>
      </c>
      <c r="I26" s="6" t="n">
        <v>6520</v>
      </c>
    </row>
    <row r="27">
      <c r="B27" s="6" t="inlineStr">
        <is>
          <t>스타일쉐어</t>
        </is>
      </c>
      <c r="C27" s="6" t="inlineStr">
        <is>
          <t>토너</t>
        </is>
      </c>
      <c r="D27" s="6" t="inlineStr">
        <is>
          <t>500ml</t>
        </is>
      </c>
      <c r="E27" s="7" t="n">
        <v>190801</v>
      </c>
      <c r="F27" s="7">
        <f>B27&amp;C27&amp;D27&amp;E27</f>
        <v/>
      </c>
      <c r="G27" s="6" t="n">
        <v>33000</v>
      </c>
      <c r="H27" s="27" t="n">
        <v>0.25</v>
      </c>
      <c r="I27" s="6" t="n">
        <v>4725</v>
      </c>
    </row>
    <row r="28">
      <c r="B28" s="6" t="inlineStr">
        <is>
          <t>스타일쉐어</t>
        </is>
      </c>
      <c r="C28" s="6" t="inlineStr">
        <is>
          <t>머드크림마스크</t>
        </is>
      </c>
      <c r="D28" s="6" t="inlineStr">
        <is>
          <t>머드크림마스크 100ml</t>
        </is>
      </c>
      <c r="E28" s="6" t="n">
        <v>190801</v>
      </c>
      <c r="F28" s="7">
        <f>B28&amp;C28&amp;D28&amp;E28</f>
        <v/>
      </c>
      <c r="G28" s="6" t="n">
        <v>20000</v>
      </c>
      <c r="H28" s="27" t="n">
        <v>0.25</v>
      </c>
      <c r="I28" s="6" t="n">
        <v>1442</v>
      </c>
    </row>
    <row r="29">
      <c r="B29" s="6" t="inlineStr">
        <is>
          <t>스타일쉐어</t>
        </is>
      </c>
      <c r="C29" s="6" t="inlineStr">
        <is>
          <t>화장솜</t>
        </is>
      </c>
      <c r="D29" s="6" t="inlineStr">
        <is>
          <t>스킨팩 화장솜 60P</t>
        </is>
      </c>
      <c r="E29" s="6" t="n">
        <v>190801</v>
      </c>
      <c r="F29" s="7">
        <f>B29&amp;C29&amp;D29&amp;E29</f>
        <v/>
      </c>
      <c r="G29" s="6" t="n">
        <v>4000</v>
      </c>
      <c r="H29" s="27" t="n">
        <v>0.25</v>
      </c>
      <c r="I29" s="6" t="n">
        <v>1110</v>
      </c>
    </row>
    <row r="30">
      <c r="B30" s="6" t="inlineStr">
        <is>
          <t>스타일쉐어</t>
        </is>
      </c>
      <c r="C30" s="6" t="inlineStr">
        <is>
          <t>토너</t>
        </is>
      </c>
      <c r="D30" s="6" t="inlineStr">
        <is>
          <t>스킨팩 화장솜 60P</t>
        </is>
      </c>
      <c r="E30" s="6" t="n">
        <v>190801</v>
      </c>
      <c r="F30" s="7">
        <f>B30&amp;C30&amp;D30&amp;E30</f>
        <v/>
      </c>
      <c r="G30" s="6" t="n">
        <v>3000</v>
      </c>
      <c r="H30" s="27" t="n">
        <v>0.25</v>
      </c>
      <c r="I30" s="6" t="n">
        <v>1110</v>
      </c>
    </row>
    <row r="31">
      <c r="B31" s="6" t="inlineStr">
        <is>
          <t>스타일쉐어</t>
        </is>
      </c>
      <c r="C31" s="6" t="inlineStr">
        <is>
          <t>클렌징폼</t>
        </is>
      </c>
      <c r="D31" s="6" t="inlineStr">
        <is>
          <t>클렌징폼 120ml</t>
        </is>
      </c>
      <c r="E31" s="7" t="n">
        <v>190801</v>
      </c>
      <c r="F31" s="7">
        <f>B31&amp;C31&amp;D31&amp;E31</f>
        <v/>
      </c>
      <c r="G31" s="6" t="n">
        <v>13000</v>
      </c>
      <c r="H31" s="27" t="n">
        <v>0.25</v>
      </c>
      <c r="I31" s="6" t="n">
        <v>2750</v>
      </c>
    </row>
    <row r="32">
      <c r="B32" s="6" t="inlineStr">
        <is>
          <t>스타일쉐어</t>
        </is>
      </c>
      <c r="C32" s="6" t="inlineStr">
        <is>
          <t>머드크림마스크</t>
        </is>
      </c>
      <c r="D32" s="6" t="inlineStr">
        <is>
          <t>머드크림마스크 100ml 2set</t>
        </is>
      </c>
      <c r="E32" s="7" t="n">
        <v>190801</v>
      </c>
      <c r="F32" s="7">
        <f>B32&amp;C32&amp;D32&amp;E32</f>
        <v/>
      </c>
      <c r="G32" s="6" t="n">
        <v>35000</v>
      </c>
      <c r="H32" s="27" t="n">
        <v>0.25</v>
      </c>
      <c r="I32" s="6" t="n">
        <v>2884</v>
      </c>
    </row>
    <row r="33">
      <c r="B33" s="6" t="inlineStr">
        <is>
          <t>스타일쉐어</t>
        </is>
      </c>
      <c r="C33" s="6" t="inlineStr">
        <is>
          <t>클렌징폼</t>
        </is>
      </c>
      <c r="D33" s="6" t="inlineStr">
        <is>
          <t>클렌징폼 120ml 2set</t>
        </is>
      </c>
      <c r="E33" s="7" t="n">
        <v>190801</v>
      </c>
      <c r="F33" s="7">
        <f>B33&amp;C33&amp;D33&amp;E33</f>
        <v/>
      </c>
      <c r="G33" s="6" t="n">
        <v>24000</v>
      </c>
      <c r="H33" s="27" t="n">
        <v>0.25</v>
      </c>
      <c r="I33" s="6" t="n">
        <v>2460</v>
      </c>
    </row>
    <row r="34">
      <c r="B34" s="6" t="inlineStr">
        <is>
          <t>스타일쉐어</t>
        </is>
      </c>
      <c r="C34" s="6" t="inlineStr">
        <is>
          <t>클렌징폼</t>
        </is>
      </c>
      <c r="D34" s="6" t="inlineStr">
        <is>
          <t>클렌징폼 120ml 3set</t>
        </is>
      </c>
      <c r="E34" s="7" t="n">
        <v>190801</v>
      </c>
      <c r="F34" s="7">
        <f>B34&amp;C34&amp;D34&amp;E34</f>
        <v/>
      </c>
      <c r="G34" s="6" t="n">
        <v>33000</v>
      </c>
      <c r="H34" s="27" t="n">
        <v>0.25</v>
      </c>
      <c r="I34" s="6" t="n">
        <v>3690</v>
      </c>
    </row>
    <row r="35">
      <c r="B35" s="5" t="inlineStr">
        <is>
          <t>랄라블라</t>
        </is>
      </c>
      <c r="C35" s="6" t="inlineStr">
        <is>
          <t>클렌징폼</t>
        </is>
      </c>
      <c r="D35" s="6" t="inlineStr">
        <is>
          <t>클렌징폼 120ml</t>
        </is>
      </c>
      <c r="E35" s="7" t="n">
        <v>190801</v>
      </c>
      <c r="F35" s="7">
        <f>B35&amp;C35&amp;D35&amp;E35</f>
        <v/>
      </c>
      <c r="G35" s="6" t="n">
        <v>6791</v>
      </c>
      <c r="H35" s="27" t="n">
        <v>0</v>
      </c>
      <c r="I35" s="6" t="n">
        <v>2750</v>
      </c>
    </row>
    <row r="36">
      <c r="B36" s="5" t="inlineStr">
        <is>
          <t>랄라블라</t>
        </is>
      </c>
      <c r="C36" s="6" t="inlineStr">
        <is>
          <t>머드크림마스크</t>
        </is>
      </c>
      <c r="D36" s="6" t="inlineStr">
        <is>
          <t>머드크림마스크 100ml</t>
        </is>
      </c>
      <c r="E36" s="6" t="n">
        <v>190801</v>
      </c>
      <c r="F36" s="7">
        <f>B36&amp;C36&amp;D36&amp;E36</f>
        <v/>
      </c>
      <c r="G36" s="6" t="n">
        <v>9205</v>
      </c>
      <c r="H36" s="27" t="n">
        <v>0</v>
      </c>
      <c r="I36" s="6" t="n">
        <v>1442</v>
      </c>
    </row>
    <row r="37">
      <c r="B37" s="6" t="inlineStr">
        <is>
          <t>아누아 CS</t>
        </is>
      </c>
      <c r="C37" s="6" t="inlineStr">
        <is>
          <t>토너</t>
        </is>
      </c>
      <c r="D37" s="6" t="inlineStr">
        <is>
          <t>스킨팩 화장솜 60P</t>
        </is>
      </c>
      <c r="E37" s="7" t="n">
        <v>190801</v>
      </c>
      <c r="F37" s="7">
        <f>B37&amp;C37&amp;D37&amp;E37</f>
        <v/>
      </c>
      <c r="G37" s="6" t="n">
        <v>0</v>
      </c>
      <c r="H37" s="27" t="n">
        <v>0</v>
      </c>
      <c r="I37" s="6" t="n">
        <v>1110</v>
      </c>
    </row>
    <row r="38" hidden="1" s="93">
      <c r="B38" s="6" t="inlineStr">
        <is>
          <t>큐텐</t>
        </is>
      </c>
      <c r="C38" s="6" t="inlineStr">
        <is>
          <t>머드크림마스크</t>
        </is>
      </c>
      <c r="D38" s="6" t="inlineStr">
        <is>
          <t>머드크림마스크 100ml</t>
        </is>
      </c>
      <c r="E38" s="7" t="n">
        <v>190801</v>
      </c>
      <c r="F38" s="7">
        <f>B38&amp;C38&amp;D38&amp;E38</f>
        <v/>
      </c>
      <c r="G38" s="6" t="n">
        <v>31500</v>
      </c>
      <c r="H38" s="27" t="n">
        <v>0.11</v>
      </c>
      <c r="I38" s="6" t="n">
        <v>1442</v>
      </c>
    </row>
    <row r="39">
      <c r="B39" s="6" t="inlineStr">
        <is>
          <t>랄라블라</t>
        </is>
      </c>
      <c r="C39" s="6" t="inlineStr">
        <is>
          <t>토너 기획세트</t>
        </is>
      </c>
      <c r="D39" s="6" t="inlineStr">
        <is>
          <t>토너 기획세트</t>
        </is>
      </c>
      <c r="E39" s="6" t="n">
        <v>190801</v>
      </c>
      <c r="F39" s="7">
        <f>B39&amp;C39&amp;D39&amp;E39</f>
        <v/>
      </c>
      <c r="G39" s="6" t="n">
        <v>9716</v>
      </c>
      <c r="H39" s="27" t="n">
        <v>0</v>
      </c>
      <c r="I39" s="6" t="n">
        <v>5600</v>
      </c>
    </row>
    <row r="40">
      <c r="B40" s="6" t="inlineStr">
        <is>
          <t>아누아 CS</t>
        </is>
      </c>
      <c r="C40" s="6" t="inlineStr">
        <is>
          <t>마스크팩</t>
        </is>
      </c>
      <c r="D40" s="6" t="inlineStr">
        <is>
          <t>마스크팩 1매</t>
        </is>
      </c>
      <c r="E40" s="6" t="n">
        <v>190801</v>
      </c>
      <c r="F40" s="7">
        <f>B40&amp;C40&amp;D40&amp;E40</f>
        <v/>
      </c>
      <c r="G40" s="6" t="n">
        <v>0</v>
      </c>
      <c r="H40" s="27" t="n">
        <v>0</v>
      </c>
      <c r="I40" s="6" t="n">
        <v>397</v>
      </c>
    </row>
    <row r="41">
      <c r="B41" s="6" t="inlineStr">
        <is>
          <t>아누아 CS</t>
        </is>
      </c>
      <c r="C41" s="6" t="inlineStr">
        <is>
          <t>마스크팩</t>
        </is>
      </c>
      <c r="D41" s="6" t="inlineStr">
        <is>
          <t>마스크팩 10매</t>
        </is>
      </c>
      <c r="E41" s="6" t="n">
        <v>190801</v>
      </c>
      <c r="F41" s="7">
        <f>B41&amp;C41&amp;D41&amp;E41</f>
        <v/>
      </c>
      <c r="G41" s="6" t="n">
        <v>0</v>
      </c>
      <c r="H41" s="27" t="n">
        <v>0</v>
      </c>
      <c r="I41" s="6" t="n">
        <v>3970</v>
      </c>
    </row>
    <row r="42" hidden="1" s="93">
      <c r="B42" s="6" t="inlineStr">
        <is>
          <t>큐텐</t>
        </is>
      </c>
      <c r="C42" s="6" t="inlineStr">
        <is>
          <t>클렌징폼</t>
        </is>
      </c>
      <c r="D42" s="6" t="inlineStr">
        <is>
          <t>클렌징폼 120ml</t>
        </is>
      </c>
      <c r="E42" s="7" t="n">
        <v>190801</v>
      </c>
      <c r="F42" s="7">
        <f>B42&amp;C42&amp;D42&amp;E42</f>
        <v/>
      </c>
      <c r="G42" s="6" t="n">
        <v>25000</v>
      </c>
      <c r="H42" s="27" t="n">
        <v>0.11</v>
      </c>
      <c r="I42" s="6" t="n">
        <v>2750</v>
      </c>
    </row>
    <row r="43">
      <c r="B43" s="6" t="inlineStr">
        <is>
          <t>카페24</t>
        </is>
      </c>
      <c r="C43" s="6" t="inlineStr">
        <is>
          <t>마스크팩</t>
        </is>
      </c>
      <c r="D43" s="6" t="inlineStr">
        <is>
          <t>마스크팩 1매</t>
        </is>
      </c>
      <c r="E43" s="6" t="n">
        <v>190801</v>
      </c>
      <c r="F43" s="7">
        <f>B43&amp;C43&amp;D43&amp;E43</f>
        <v/>
      </c>
      <c r="G43" s="6" t="n">
        <v>4000</v>
      </c>
      <c r="H43" s="30" t="n">
        <v>0.0585</v>
      </c>
      <c r="I43" s="6" t="n">
        <v>397</v>
      </c>
    </row>
    <row r="44">
      <c r="B44" s="6" t="inlineStr">
        <is>
          <t>카페24</t>
        </is>
      </c>
      <c r="C44" s="6" t="inlineStr">
        <is>
          <t>마스크팩</t>
        </is>
      </c>
      <c r="D44" s="6" t="inlineStr">
        <is>
          <t>마스크팩 10매</t>
        </is>
      </c>
      <c r="E44" s="6" t="n">
        <v>190801</v>
      </c>
      <c r="F44" s="7">
        <f>B44&amp;C44&amp;D44&amp;E44</f>
        <v/>
      </c>
      <c r="G44" s="6" t="n">
        <v>20000</v>
      </c>
      <c r="H44" s="30" t="n">
        <v>0.0585</v>
      </c>
      <c r="I44" s="6" t="n">
        <v>3970</v>
      </c>
    </row>
    <row r="45">
      <c r="B45" s="6" t="inlineStr">
        <is>
          <t>카페24</t>
        </is>
      </c>
      <c r="C45" s="6" t="inlineStr">
        <is>
          <t>토너+머드크림세트</t>
        </is>
      </c>
      <c r="D45" s="6" t="inlineStr">
        <is>
          <t>250ml</t>
        </is>
      </c>
      <c r="E45" s="6" t="n">
        <v>190801</v>
      </c>
      <c r="F45" s="7">
        <f>B45&amp;C45&amp;D45&amp;E45</f>
        <v/>
      </c>
      <c r="G45" s="6" t="n">
        <v>17500</v>
      </c>
      <c r="H45" s="30" t="n">
        <v>0.0585</v>
      </c>
      <c r="I45" s="6" t="n">
        <v>3260</v>
      </c>
    </row>
    <row r="46">
      <c r="B46" s="6" t="inlineStr">
        <is>
          <t>카페24</t>
        </is>
      </c>
      <c r="C46" s="6" t="inlineStr">
        <is>
          <t>토너+머드크림세트</t>
        </is>
      </c>
      <c r="D46" s="6" t="inlineStr">
        <is>
          <t>머드크림마스크 100ml</t>
        </is>
      </c>
      <c r="E46" s="6" t="n">
        <v>190801</v>
      </c>
      <c r="F46" s="7">
        <f>B46&amp;C46&amp;D46&amp;E46</f>
        <v/>
      </c>
      <c r="G46" s="6" t="n">
        <v>17500</v>
      </c>
      <c r="H46" s="30" t="n">
        <v>0.0585</v>
      </c>
      <c r="I46" s="6" t="n">
        <v>1442</v>
      </c>
    </row>
    <row r="47">
      <c r="B47" s="5" t="inlineStr">
        <is>
          <t>랄라블라</t>
        </is>
      </c>
      <c r="C47" s="6" t="inlineStr">
        <is>
          <t>마스크팩</t>
        </is>
      </c>
      <c r="D47" s="6" t="inlineStr">
        <is>
          <t>마스크팩 1매</t>
        </is>
      </c>
      <c r="E47" s="6" t="n">
        <v>190801</v>
      </c>
      <c r="F47" s="7">
        <f>B47&amp;C47&amp;D47&amp;E47</f>
        <v/>
      </c>
      <c r="G47" s="6" t="n">
        <v>1073</v>
      </c>
      <c r="H47" s="27" t="n">
        <v>0</v>
      </c>
      <c r="I47" s="6" t="n">
        <v>397</v>
      </c>
    </row>
    <row r="48">
      <c r="B48" s="6" t="inlineStr">
        <is>
          <t>아누아 CS</t>
        </is>
      </c>
      <c r="C48" s="6" t="inlineStr">
        <is>
          <t>앰플</t>
        </is>
      </c>
      <c r="D48" s="6" t="inlineStr">
        <is>
          <t>앰플 30ml</t>
        </is>
      </c>
      <c r="E48" s="6" t="n">
        <v>190801</v>
      </c>
      <c r="F48" s="7">
        <f>B48&amp;C48&amp;D48&amp;E48</f>
        <v/>
      </c>
      <c r="G48" s="6" t="n">
        <v>0</v>
      </c>
      <c r="H48" s="27" t="n">
        <v>0</v>
      </c>
      <c r="I48" s="6" t="n">
        <v>3397</v>
      </c>
    </row>
    <row r="49">
      <c r="B49" s="6" t="inlineStr">
        <is>
          <t>아누아 CS</t>
        </is>
      </c>
      <c r="C49" s="6" t="inlineStr">
        <is>
          <t>수딩크림</t>
        </is>
      </c>
      <c r="D49" s="6" t="inlineStr">
        <is>
          <t>수딩크림 100ml</t>
        </is>
      </c>
      <c r="E49" s="6" t="n">
        <v>190801</v>
      </c>
      <c r="F49" s="7">
        <f>B49&amp;C49&amp;D49&amp;E49</f>
        <v/>
      </c>
      <c r="G49" s="6" t="n">
        <v>0</v>
      </c>
      <c r="H49" s="27" t="n">
        <v>0</v>
      </c>
      <c r="I49" s="6" t="n">
        <v>3045</v>
      </c>
    </row>
    <row r="50">
      <c r="B50" s="6" t="inlineStr">
        <is>
          <t>랄라블라</t>
        </is>
      </c>
      <c r="C50" s="6" t="inlineStr">
        <is>
          <t>토너</t>
        </is>
      </c>
      <c r="D50" s="6" t="inlineStr">
        <is>
          <t>250ml</t>
        </is>
      </c>
      <c r="E50" s="6" t="n">
        <v>190802</v>
      </c>
      <c r="F50" s="7">
        <f>B50&amp;C50&amp;D50&amp;E50</f>
        <v/>
      </c>
      <c r="G50" s="6" t="n">
        <v>10364</v>
      </c>
      <c r="H50" s="27" t="n">
        <v>0</v>
      </c>
      <c r="I50" s="6" t="n">
        <v>3260</v>
      </c>
    </row>
    <row r="51">
      <c r="B51" s="6" t="inlineStr">
        <is>
          <t>랄라블라</t>
        </is>
      </c>
      <c r="C51" s="6" t="inlineStr">
        <is>
          <t>앰플</t>
        </is>
      </c>
      <c r="D51" s="6" t="inlineStr">
        <is>
          <t>앰플 30ml</t>
        </is>
      </c>
      <c r="E51" s="6" t="n">
        <v>190801</v>
      </c>
      <c r="F51" s="7">
        <f>B51&amp;C51&amp;D51&amp;E51</f>
        <v/>
      </c>
      <c r="G51" s="6" t="n">
        <v>14600</v>
      </c>
      <c r="H51" s="27" t="n">
        <v>0</v>
      </c>
      <c r="I51" s="6" t="n">
        <v>3397</v>
      </c>
    </row>
    <row r="52">
      <c r="B52" s="6" t="inlineStr">
        <is>
          <t>랄라블라</t>
        </is>
      </c>
      <c r="C52" s="6" t="inlineStr">
        <is>
          <t>수딩크림</t>
        </is>
      </c>
      <c r="D52" s="6" t="inlineStr">
        <is>
          <t>수딩크림 100ml</t>
        </is>
      </c>
      <c r="E52" s="6" t="n">
        <v>190801</v>
      </c>
      <c r="F52" s="7">
        <f>B52&amp;C52&amp;D52&amp;E52</f>
        <v/>
      </c>
      <c r="G52" s="6" t="n">
        <v>19691</v>
      </c>
      <c r="H52" s="27" t="n">
        <v>0</v>
      </c>
      <c r="I52" s="6" t="n">
        <v>3045</v>
      </c>
    </row>
    <row r="53">
      <c r="B53" s="6" t="inlineStr">
        <is>
          <t>랄라블라</t>
        </is>
      </c>
      <c r="C53" s="6" t="inlineStr">
        <is>
          <t>토너</t>
        </is>
      </c>
      <c r="D53" s="6" t="inlineStr">
        <is>
          <t>500ml</t>
        </is>
      </c>
      <c r="E53" s="7" t="n">
        <v>190801</v>
      </c>
      <c r="F53" s="7">
        <f>B53&amp;C53&amp;D53&amp;E53</f>
        <v/>
      </c>
      <c r="G53" s="6" t="n">
        <v>15818</v>
      </c>
      <c r="H53" s="27" t="n">
        <v>0</v>
      </c>
      <c r="I53" s="6" t="n">
        <v>4725</v>
      </c>
    </row>
    <row r="54">
      <c r="B54" s="6" t="inlineStr">
        <is>
          <t>랄라블라</t>
        </is>
      </c>
      <c r="C54" s="6" t="inlineStr">
        <is>
          <t>앰플 기획세트</t>
        </is>
      </c>
      <c r="D54" s="6" t="inlineStr">
        <is>
          <t>앰플 기획세트</t>
        </is>
      </c>
      <c r="E54" s="7" t="n">
        <v>190801</v>
      </c>
      <c r="F54" s="7">
        <f>B54&amp;C54&amp;D54&amp;E54</f>
        <v/>
      </c>
      <c r="G54" s="6" t="n">
        <v>14877</v>
      </c>
      <c r="H54" s="27" t="n">
        <v>0</v>
      </c>
      <c r="I54" s="6" t="n">
        <v>14877</v>
      </c>
    </row>
    <row r="55">
      <c r="B55" s="6" t="inlineStr">
        <is>
          <t>랄라블라</t>
        </is>
      </c>
      <c r="C55" s="6" t="inlineStr">
        <is>
          <t>클렌징폼 기획세트</t>
        </is>
      </c>
      <c r="D55" s="6" t="inlineStr">
        <is>
          <t>클렌징폼 기획세트</t>
        </is>
      </c>
      <c r="E55" s="7" t="n">
        <v>190801</v>
      </c>
      <c r="F55" s="7">
        <f>B55&amp;C55&amp;D55&amp;E55</f>
        <v/>
      </c>
      <c r="G55" s="6" t="n">
        <v>6964</v>
      </c>
      <c r="H55" s="27" t="n">
        <v>0</v>
      </c>
      <c r="I55" s="6" t="n">
        <v>6964</v>
      </c>
    </row>
    <row r="56">
      <c r="B56" s="6" t="inlineStr">
        <is>
          <t>카페24</t>
        </is>
      </c>
      <c r="C56" s="6" t="inlineStr">
        <is>
          <t>앰플</t>
        </is>
      </c>
      <c r="D56" s="6" t="inlineStr">
        <is>
          <t>앰플 30ml</t>
        </is>
      </c>
      <c r="E56" s="6" t="n">
        <v>190801</v>
      </c>
      <c r="F56" s="7">
        <f>B56&amp;C56&amp;D56&amp;E56</f>
        <v/>
      </c>
      <c r="G56" s="6" t="n">
        <v>28000</v>
      </c>
      <c r="H56" s="30" t="n">
        <v>0.0585</v>
      </c>
      <c r="I56" s="6" t="n">
        <v>3397</v>
      </c>
    </row>
    <row r="57">
      <c r="B57" s="6" t="inlineStr">
        <is>
          <t>카페24</t>
        </is>
      </c>
      <c r="C57" s="6" t="inlineStr">
        <is>
          <t>수딩크림</t>
        </is>
      </c>
      <c r="D57" s="6" t="inlineStr">
        <is>
          <t>수딩크림 100ml</t>
        </is>
      </c>
      <c r="E57" s="6" t="n">
        <v>190801</v>
      </c>
      <c r="F57" s="7">
        <f>B57&amp;C57&amp;D57&amp;E57</f>
        <v/>
      </c>
      <c r="G57" s="6" t="n">
        <v>38000</v>
      </c>
      <c r="H57" s="30" t="n">
        <v>0.0585</v>
      </c>
      <c r="I57" s="6" t="n">
        <v>3045</v>
      </c>
    </row>
    <row r="58">
      <c r="B58" s="6" t="inlineStr">
        <is>
          <t>글로우데이즈 시코르</t>
        </is>
      </c>
      <c r="C58" s="6" t="inlineStr">
        <is>
          <t>앰플</t>
        </is>
      </c>
      <c r="D58" s="6" t="inlineStr">
        <is>
          <t>앰플 30ml</t>
        </is>
      </c>
      <c r="E58" s="6" t="n">
        <v>190801</v>
      </c>
      <c r="F58" s="7">
        <f>B58&amp;C58&amp;D58&amp;E58</f>
        <v/>
      </c>
      <c r="G58" s="6" t="n">
        <v>13500</v>
      </c>
      <c r="H58" s="27" t="n">
        <v>0</v>
      </c>
      <c r="I58" s="6" t="n">
        <v>3397</v>
      </c>
    </row>
    <row r="59">
      <c r="B59" s="6" t="inlineStr">
        <is>
          <t>글로우데이즈 시코르</t>
        </is>
      </c>
      <c r="C59" s="6" t="inlineStr">
        <is>
          <t>수딩크림</t>
        </is>
      </c>
      <c r="D59" s="6" t="inlineStr">
        <is>
          <t>수딩크림 100ml</t>
        </is>
      </c>
      <c r="E59" s="6" t="n">
        <v>190801</v>
      </c>
      <c r="F59" s="7">
        <f>B59&amp;C59&amp;D59&amp;E59</f>
        <v/>
      </c>
      <c r="G59" s="6" t="n">
        <v>15545</v>
      </c>
      <c r="H59" s="27" t="n">
        <v>0</v>
      </c>
      <c r="I59" s="6" t="n">
        <v>3045</v>
      </c>
    </row>
    <row r="60">
      <c r="B60" s="6" t="inlineStr">
        <is>
          <t>글로우데이즈 시코르</t>
        </is>
      </c>
      <c r="C60" s="6" t="inlineStr">
        <is>
          <t>마스크팩</t>
        </is>
      </c>
      <c r="D60" s="6" t="inlineStr">
        <is>
          <t>마스크팩 1매</t>
        </is>
      </c>
      <c r="E60" s="6" t="n">
        <v>190801</v>
      </c>
      <c r="F60" s="7">
        <f>B60&amp;C60&amp;D60&amp;E60</f>
        <v/>
      </c>
      <c r="G60" s="6" t="n">
        <v>1636</v>
      </c>
      <c r="H60" s="27" t="n">
        <v>0</v>
      </c>
      <c r="I60" s="6" t="n">
        <v>397</v>
      </c>
    </row>
    <row r="61">
      <c r="B61" s="6" t="inlineStr">
        <is>
          <t>글로우데이즈 시코르</t>
        </is>
      </c>
      <c r="C61" s="6" t="inlineStr">
        <is>
          <t>머드크림마스크</t>
        </is>
      </c>
      <c r="D61" s="6" t="inlineStr">
        <is>
          <t>머드크림마스크 100ml</t>
        </is>
      </c>
      <c r="E61" s="7" t="n">
        <v>190801</v>
      </c>
      <c r="F61" s="7">
        <f>B61&amp;C61&amp;D61&amp;E61</f>
        <v/>
      </c>
      <c r="G61" s="6" t="n">
        <v>10227</v>
      </c>
      <c r="H61" s="27" t="n">
        <v>0</v>
      </c>
      <c r="I61" s="6" t="n">
        <v>1442</v>
      </c>
    </row>
    <row r="62">
      <c r="B62" s="6" t="inlineStr">
        <is>
          <t>글로우데이즈 시코르</t>
        </is>
      </c>
      <c r="C62" s="6" t="inlineStr">
        <is>
          <t>클렌징폼</t>
        </is>
      </c>
      <c r="D62" s="6" t="inlineStr">
        <is>
          <t>클렌징폼 120ml</t>
        </is>
      </c>
      <c r="E62" s="7" t="n">
        <v>190801</v>
      </c>
      <c r="F62" s="7">
        <f>B62&amp;C62&amp;D62&amp;E62</f>
        <v/>
      </c>
      <c r="G62" s="6" t="n">
        <v>6545</v>
      </c>
      <c r="H62" s="27" t="n">
        <v>0</v>
      </c>
      <c r="I62" s="6" t="n">
        <v>2750</v>
      </c>
    </row>
    <row r="63">
      <c r="B63" s="6" t="inlineStr">
        <is>
          <t>글로우데이즈 시코르</t>
        </is>
      </c>
      <c r="C63" s="6" t="inlineStr">
        <is>
          <t>마스크팩</t>
        </is>
      </c>
      <c r="D63" s="6" t="inlineStr">
        <is>
          <t>마스크팩 10매</t>
        </is>
      </c>
      <c r="E63" s="6" t="n">
        <v>190801</v>
      </c>
      <c r="F63" s="7">
        <f>B63&amp;C63&amp;D63&amp;E63</f>
        <v/>
      </c>
      <c r="G63" s="6" t="n">
        <v>16364</v>
      </c>
      <c r="H63" s="27" t="n">
        <v>0</v>
      </c>
      <c r="I63" s="6" t="n">
        <v>3970</v>
      </c>
    </row>
    <row r="64">
      <c r="B64" s="6" t="inlineStr">
        <is>
          <t>글로우데이즈 시코르</t>
        </is>
      </c>
      <c r="C64" s="6" t="inlineStr">
        <is>
          <t>토너</t>
        </is>
      </c>
      <c r="D64" s="5" t="inlineStr">
        <is>
          <t>500ml</t>
        </is>
      </c>
      <c r="E64" s="7" t="n">
        <v>190801</v>
      </c>
      <c r="F64" s="7">
        <f>B64&amp;C64&amp;D64&amp;E64</f>
        <v/>
      </c>
      <c r="G64" s="6" t="n">
        <v>20250</v>
      </c>
      <c r="H64" s="27" t="n">
        <v>0</v>
      </c>
      <c r="I64" s="6" t="n">
        <v>4725</v>
      </c>
    </row>
    <row r="65">
      <c r="B65" s="6" t="inlineStr">
        <is>
          <t>카페24</t>
        </is>
      </c>
      <c r="C65" s="6" t="inlineStr">
        <is>
          <t>수딩크림</t>
        </is>
      </c>
      <c r="D65" s="6" t="inlineStr">
        <is>
          <t>[플친 단독 30% off] 어성초 78 수딩 크림</t>
        </is>
      </c>
      <c r="E65" s="7" t="n">
        <v>190801</v>
      </c>
      <c r="F65" s="7">
        <f>B65&amp;C65&amp;D65&amp;E65</f>
        <v/>
      </c>
      <c r="G65" s="6" t="n">
        <v>26600</v>
      </c>
      <c r="H65" s="30" t="n">
        <v>0.0585</v>
      </c>
      <c r="I65" s="6" t="n">
        <v>3045</v>
      </c>
    </row>
    <row r="66">
      <c r="B66" s="6" t="inlineStr">
        <is>
          <t>카페24</t>
        </is>
      </c>
      <c r="C66" s="6" t="inlineStr">
        <is>
          <t>앰플</t>
        </is>
      </c>
      <c r="D66" s="6" t="inlineStr">
        <is>
          <t>[플친 단독 30% off] 어성초 80 수분 진정 앰플</t>
        </is>
      </c>
      <c r="E66" s="7" t="n">
        <v>190801</v>
      </c>
      <c r="F66" s="7">
        <f>B66&amp;C66&amp;D66&amp;E66</f>
        <v/>
      </c>
      <c r="G66" s="6" t="n">
        <v>23000</v>
      </c>
      <c r="H66" s="30" t="n">
        <v>0.0585</v>
      </c>
      <c r="I66" s="6" t="n">
        <v>3397</v>
      </c>
    </row>
    <row r="67">
      <c r="B67" s="6" t="inlineStr">
        <is>
          <t>카페24</t>
        </is>
      </c>
      <c r="C67" s="6" t="inlineStr">
        <is>
          <t>앰플+수딩크림세트</t>
        </is>
      </c>
      <c r="D67" s="6" t="inlineStr">
        <is>
          <t>[플친 단독 30% off][무료배송] 어성초 앰플 + 수딩 크림 세트</t>
        </is>
      </c>
      <c r="E67" s="7" t="n">
        <v>190801</v>
      </c>
      <c r="F67" s="7">
        <f>B67&amp;C67&amp;D67&amp;E67</f>
        <v/>
      </c>
      <c r="G67" s="6" t="n">
        <v>49600</v>
      </c>
      <c r="H67" s="30" t="n">
        <v>0.0585</v>
      </c>
      <c r="I67" s="6" t="n">
        <v>6442</v>
      </c>
    </row>
    <row r="68" hidden="1" s="93">
      <c r="B68" s="6" t="inlineStr">
        <is>
          <t>큐텐</t>
        </is>
      </c>
      <c r="C68" s="6" t="inlineStr">
        <is>
          <t>앰플</t>
        </is>
      </c>
      <c r="D68" s="6" t="inlineStr">
        <is>
          <t>앰플 30ml</t>
        </is>
      </c>
      <c r="E68" s="6" t="n">
        <v>190801</v>
      </c>
      <c r="F68" s="7">
        <f>B68&amp;C68&amp;D68&amp;E68</f>
        <v/>
      </c>
      <c r="G68" s="6" t="n">
        <v>38000</v>
      </c>
      <c r="H68" s="27" t="n">
        <v>0.11</v>
      </c>
      <c r="I68" s="6" t="n">
        <v>3397</v>
      </c>
    </row>
    <row r="69" hidden="1" s="93">
      <c r="B69" s="6" t="inlineStr">
        <is>
          <t>큐텐</t>
        </is>
      </c>
      <c r="C69" s="6" t="inlineStr">
        <is>
          <t>마스크팩</t>
        </is>
      </c>
      <c r="D69" s="6" t="inlineStr">
        <is>
          <t>마스크팩 10매</t>
        </is>
      </c>
      <c r="E69" s="6" t="n">
        <v>190801</v>
      </c>
      <c r="F69" s="7">
        <f>B69&amp;C69&amp;D69&amp;E69</f>
        <v/>
      </c>
      <c r="G69" s="6" t="n">
        <v>36000</v>
      </c>
      <c r="H69" s="27" t="n">
        <v>0.11</v>
      </c>
      <c r="I69" s="6" t="n">
        <v>3970</v>
      </c>
    </row>
    <row r="70">
      <c r="B70" s="6" t="inlineStr">
        <is>
          <t>카페24</t>
        </is>
      </c>
      <c r="C70" s="6" t="inlineStr">
        <is>
          <t>어성초진정패키지</t>
        </is>
      </c>
      <c r="D70" s="6" t="inlineStr">
        <is>
          <t>어성초 진정패키지세트</t>
        </is>
      </c>
      <c r="E70" s="6" t="n">
        <v>190801</v>
      </c>
      <c r="F70" s="7">
        <f>B70&amp;C70&amp;D70&amp;E70</f>
        <v/>
      </c>
      <c r="G70" s="6" t="n">
        <v>99000</v>
      </c>
      <c r="H70" s="30" t="n">
        <v>0.0585</v>
      </c>
      <c r="I70" s="6" t="n">
        <v>15137</v>
      </c>
    </row>
    <row r="71">
      <c r="B71" s="6" t="inlineStr">
        <is>
          <t>랄라블라</t>
        </is>
      </c>
      <c r="C71" s="6" t="inlineStr">
        <is>
          <t>토너 증정기획</t>
        </is>
      </c>
      <c r="D71" s="6" t="inlineStr">
        <is>
          <t>토너 증정기획</t>
        </is>
      </c>
      <c r="E71" s="6" t="n">
        <v>190801</v>
      </c>
      <c r="F71" s="7">
        <f>B71&amp;C71&amp;D71&amp;E71</f>
        <v/>
      </c>
      <c r="G71" s="6" t="n">
        <v>9457</v>
      </c>
      <c r="H71" s="27" t="n">
        <v>0</v>
      </c>
      <c r="I71" s="6" t="n">
        <v>4490</v>
      </c>
    </row>
    <row r="72">
      <c r="B72" s="6" t="inlineStr">
        <is>
          <t>랄라블라</t>
        </is>
      </c>
      <c r="C72" s="6" t="inlineStr">
        <is>
          <t>수딩크림 증정기획</t>
        </is>
      </c>
      <c r="D72" s="6" t="inlineStr">
        <is>
          <t>수딩크림 증정기획</t>
        </is>
      </c>
      <c r="E72" s="6" t="n">
        <v>190801</v>
      </c>
      <c r="F72" s="7">
        <f>B72&amp;C72&amp;D72&amp;E72</f>
        <v/>
      </c>
      <c r="G72" s="6" t="n">
        <v>17131</v>
      </c>
      <c r="H72" s="27" t="n">
        <v>0</v>
      </c>
      <c r="I72" s="6" t="n">
        <v>4275</v>
      </c>
    </row>
    <row r="73">
      <c r="B73" s="6" t="inlineStr">
        <is>
          <t>랄라블라</t>
        </is>
      </c>
      <c r="C73" s="6" t="inlineStr">
        <is>
          <t>선크림</t>
        </is>
      </c>
      <c r="D73" s="6" t="inlineStr">
        <is>
          <t>선크림 50ml</t>
        </is>
      </c>
      <c r="E73" s="6" t="n">
        <v>190801</v>
      </c>
      <c r="F73" s="7">
        <f>B73&amp;C73&amp;D73&amp;E73</f>
        <v/>
      </c>
      <c r="G73" s="6" t="n">
        <v>10000</v>
      </c>
      <c r="H73" s="27" t="n">
        <v>0</v>
      </c>
      <c r="I73" s="6" t="n">
        <v>2345</v>
      </c>
    </row>
    <row r="74" hidden="1" s="93">
      <c r="B74" s="6" t="inlineStr">
        <is>
          <t>현대면세점</t>
        </is>
      </c>
      <c r="C74" s="6" t="inlineStr">
        <is>
          <t>토너</t>
        </is>
      </c>
      <c r="D74" s="6" t="inlineStr">
        <is>
          <t>250ml</t>
        </is>
      </c>
      <c r="E74" s="6" t="n">
        <v>190801</v>
      </c>
      <c r="F74" s="7">
        <f>B74&amp;C74&amp;D74&amp;E74</f>
        <v/>
      </c>
      <c r="G74" s="6" t="n">
        <v>6300</v>
      </c>
      <c r="H74" s="27" t="n">
        <v>0</v>
      </c>
      <c r="I74" s="6" t="n">
        <v>3260</v>
      </c>
    </row>
    <row r="75" hidden="1" s="93">
      <c r="B75" s="6" t="inlineStr">
        <is>
          <t>현대면세점</t>
        </is>
      </c>
      <c r="C75" s="6" t="inlineStr">
        <is>
          <t>앰플</t>
        </is>
      </c>
      <c r="D75" s="6" t="inlineStr">
        <is>
          <t>앰플 30ml</t>
        </is>
      </c>
      <c r="E75" s="6" t="n">
        <v>190801</v>
      </c>
      <c r="F75" s="7">
        <f>B75&amp;C75&amp;D75&amp;E75</f>
        <v/>
      </c>
      <c r="G75" s="6" t="n">
        <v>8820</v>
      </c>
      <c r="H75" s="27" t="n">
        <v>0</v>
      </c>
      <c r="I75" s="6" t="n">
        <v>3397</v>
      </c>
    </row>
    <row r="76" hidden="1" s="93">
      <c r="B76" s="6" t="inlineStr">
        <is>
          <t>현대면세점</t>
        </is>
      </c>
      <c r="C76" s="6" t="inlineStr">
        <is>
          <t>토너</t>
        </is>
      </c>
      <c r="D76" s="6" t="inlineStr">
        <is>
          <t>500ml</t>
        </is>
      </c>
      <c r="E76" s="6" t="n">
        <v>190801</v>
      </c>
      <c r="F76" s="7">
        <f>B76&amp;C76&amp;D76&amp;E76</f>
        <v/>
      </c>
      <c r="G76" s="6" t="n">
        <v>10500</v>
      </c>
      <c r="H76" s="27" t="n">
        <v>0</v>
      </c>
      <c r="I76" s="6" t="n">
        <v>4725</v>
      </c>
    </row>
    <row r="77" hidden="1" s="93">
      <c r="B77" s="6" t="inlineStr">
        <is>
          <t>현대면세점</t>
        </is>
      </c>
      <c r="C77" s="6" t="inlineStr">
        <is>
          <t>클렌징폼</t>
        </is>
      </c>
      <c r="D77" s="6" t="inlineStr">
        <is>
          <t>클렌징폼 120ml</t>
        </is>
      </c>
      <c r="E77" s="7" t="n">
        <v>190801</v>
      </c>
      <c r="F77" s="7">
        <f>B77&amp;C77&amp;D77&amp;E77</f>
        <v/>
      </c>
      <c r="G77" s="6" t="n">
        <v>4900</v>
      </c>
      <c r="H77" s="27" t="n">
        <v>0</v>
      </c>
      <c r="I77" s="6" t="n">
        <v>2750</v>
      </c>
    </row>
    <row r="78" hidden="1" s="93">
      <c r="B78" s="6" t="inlineStr">
        <is>
          <t>현대면세점</t>
        </is>
      </c>
      <c r="C78" s="6" t="inlineStr">
        <is>
          <t>머드크림마스크</t>
        </is>
      </c>
      <c r="D78" s="6" t="inlineStr">
        <is>
          <t>머드크림마스크 100ml</t>
        </is>
      </c>
      <c r="E78" s="6" t="n">
        <v>190801</v>
      </c>
      <c r="F78" s="7">
        <f>B78&amp;C78&amp;D78&amp;E78</f>
        <v/>
      </c>
      <c r="G78" s="6" t="n">
        <v>6300</v>
      </c>
      <c r="H78" s="27" t="n">
        <v>0</v>
      </c>
      <c r="I78" s="6" t="n">
        <v>1442</v>
      </c>
    </row>
    <row r="79" hidden="1" s="93">
      <c r="B79" s="6" t="inlineStr">
        <is>
          <t>현대면세점</t>
        </is>
      </c>
      <c r="C79" s="6" t="inlineStr">
        <is>
          <t>마스크팩</t>
        </is>
      </c>
      <c r="D79" s="6" t="inlineStr">
        <is>
          <t>마스크팩 1매</t>
        </is>
      </c>
      <c r="E79" s="6" t="n">
        <v>190801</v>
      </c>
      <c r="F79" s="7">
        <f>B79&amp;C79&amp;D79&amp;E79</f>
        <v/>
      </c>
      <c r="G79" s="6" t="n">
        <v>10500</v>
      </c>
      <c r="H79" s="27" t="n">
        <v>0</v>
      </c>
      <c r="I79" s="6" t="n">
        <v>397</v>
      </c>
    </row>
    <row r="80">
      <c r="B80" s="6" t="inlineStr">
        <is>
          <t>카페24</t>
        </is>
      </c>
      <c r="C80" s="6" t="inlineStr">
        <is>
          <t>선크림</t>
        </is>
      </c>
      <c r="D80" s="6" t="inlineStr">
        <is>
          <t>선크림 50ml</t>
        </is>
      </c>
      <c r="E80" s="6" t="n">
        <v>190801</v>
      </c>
      <c r="F80" s="7">
        <f>B80&amp;C80&amp;D80&amp;E80</f>
        <v/>
      </c>
      <c r="G80" s="6" t="n">
        <v>20000</v>
      </c>
      <c r="H80" s="30" t="n">
        <v>0.0585</v>
      </c>
      <c r="I80" s="6" t="n">
        <v>2345</v>
      </c>
    </row>
    <row r="81">
      <c r="B81" s="6" t="inlineStr">
        <is>
          <t>카페24</t>
        </is>
      </c>
      <c r="C81" s="6" t="inlineStr">
        <is>
          <t>클렌징폼</t>
        </is>
      </c>
      <c r="D81" s="6" t="inlineStr">
        <is>
          <t>클렌징폼 120ml(선크림할인)</t>
        </is>
      </c>
      <c r="E81" s="6" t="n">
        <v>190801</v>
      </c>
      <c r="F81" s="7">
        <f>B81&amp;C81&amp;D81&amp;E81</f>
        <v/>
      </c>
      <c r="G81" s="6" t="n">
        <v>10000</v>
      </c>
      <c r="H81" s="30" t="n">
        <v>0.0585</v>
      </c>
      <c r="I81" s="6" t="n">
        <v>2750</v>
      </c>
    </row>
    <row r="82">
      <c r="B82" s="6" t="inlineStr">
        <is>
          <t>랄라블라</t>
        </is>
      </c>
      <c r="C82" s="6" t="inlineStr">
        <is>
          <t>대용량 기획세트</t>
        </is>
      </c>
      <c r="D82" s="6" t="inlineStr">
        <is>
          <t>대용량 기획세트</t>
        </is>
      </c>
      <c r="E82" s="6" t="n">
        <v>190801</v>
      </c>
      <c r="F82" s="7">
        <f>B82&amp;C82&amp;D82&amp;E82</f>
        <v/>
      </c>
      <c r="G82" s="6" t="n">
        <v>15818</v>
      </c>
      <c r="H82" s="27" t="n">
        <v>0</v>
      </c>
      <c r="I82" s="6" t="n">
        <v>5835</v>
      </c>
    </row>
    <row r="83">
      <c r="B83" s="5" t="inlineStr">
        <is>
          <t>아누아 CS</t>
        </is>
      </c>
      <c r="C83" s="6" t="inlineStr">
        <is>
          <t>선크림</t>
        </is>
      </c>
      <c r="D83" s="6" t="inlineStr">
        <is>
          <t>선크림 50ml</t>
        </is>
      </c>
      <c r="E83" s="7" t="n">
        <v>190801</v>
      </c>
      <c r="F83" s="7">
        <f>B83&amp;C83&amp;D83&amp;E83</f>
        <v/>
      </c>
      <c r="G83" s="6" t="n">
        <v>0</v>
      </c>
      <c r="H83" s="27" t="n">
        <v>0</v>
      </c>
      <c r="I83" s="6" t="n">
        <v>2345</v>
      </c>
    </row>
    <row r="84">
      <c r="B84" s="6" t="inlineStr">
        <is>
          <t>카페24</t>
        </is>
      </c>
      <c r="C84" s="6" t="inlineStr">
        <is>
          <t>여름 한정 진정세트</t>
        </is>
      </c>
      <c r="D84" s="6" t="inlineStr">
        <is>
          <t>여름 한정 진정세트</t>
        </is>
      </c>
      <c r="E84" s="6" t="n">
        <v>190801</v>
      </c>
      <c r="F84" s="7">
        <f>B84&amp;C84&amp;D84&amp;E84</f>
        <v/>
      </c>
      <c r="G84" s="6" t="n">
        <v>35000</v>
      </c>
      <c r="H84" s="30" t="n">
        <v>0.0585</v>
      </c>
      <c r="I84" s="6" t="n">
        <v>5605</v>
      </c>
    </row>
    <row r="85">
      <c r="B85" s="6" t="inlineStr">
        <is>
          <t>카페24</t>
        </is>
      </c>
      <c r="C85" s="6" t="inlineStr">
        <is>
          <t>여름 한정 진정세트</t>
        </is>
      </c>
      <c r="D85" s="6" t="inlineStr">
        <is>
          <t>여름 한정 진정세트 (대용량)</t>
        </is>
      </c>
      <c r="E85" s="6" t="n">
        <v>190801</v>
      </c>
      <c r="F85" s="7">
        <f>B85&amp;C85&amp;D85&amp;E85</f>
        <v/>
      </c>
      <c r="G85" s="6" t="n">
        <v>45000</v>
      </c>
      <c r="H85" s="30" t="n">
        <v>0.0585</v>
      </c>
      <c r="I85" s="6" t="n">
        <v>7070</v>
      </c>
    </row>
    <row r="86">
      <c r="B86" s="5" t="inlineStr">
        <is>
          <t>화해</t>
        </is>
      </c>
      <c r="C86" s="6" t="inlineStr">
        <is>
          <t>앰플</t>
        </is>
      </c>
      <c r="D86" s="6" t="inlineStr">
        <is>
          <t>[200618-22] 앰플 30ml</t>
        </is>
      </c>
      <c r="E86" s="6" t="n">
        <v>200618</v>
      </c>
      <c r="F86" s="7">
        <f>B86&amp;C86&amp;D86&amp;E86</f>
        <v/>
      </c>
      <c r="G86" s="6" t="n">
        <v>21000</v>
      </c>
      <c r="H86" s="27" t="n">
        <v>0.28</v>
      </c>
      <c r="I86" s="6" t="n">
        <v>3397</v>
      </c>
      <c r="J86" s="87" t="inlineStr">
        <is>
          <t>21일까지</t>
        </is>
      </c>
      <c r="K86" s="87" t="inlineStr">
        <is>
          <t>끝</t>
        </is>
      </c>
    </row>
    <row r="87">
      <c r="B87" s="5" t="inlineStr">
        <is>
          <t>화해</t>
        </is>
      </c>
      <c r="C87" s="6" t="inlineStr">
        <is>
          <t>마스크팩</t>
        </is>
      </c>
      <c r="D87" s="6" t="inlineStr">
        <is>
          <t>[200618-22] 마스크팩 3매</t>
        </is>
      </c>
      <c r="E87" s="6" t="n">
        <v>200618</v>
      </c>
      <c r="F87" s="7">
        <f>B87&amp;C87&amp;D87&amp;E87</f>
        <v/>
      </c>
      <c r="G87" s="6" t="n">
        <v>4000</v>
      </c>
      <c r="H87" s="27" t="n">
        <v>0.28</v>
      </c>
      <c r="I87" s="6" t="n">
        <v>1191</v>
      </c>
      <c r="J87" s="87" t="inlineStr">
        <is>
          <t>21일까지</t>
        </is>
      </c>
      <c r="K87" s="87" t="inlineStr">
        <is>
          <t>끝</t>
        </is>
      </c>
    </row>
    <row r="88">
      <c r="B88" s="5" t="inlineStr">
        <is>
          <t>화해</t>
        </is>
      </c>
      <c r="C88" s="6" t="inlineStr">
        <is>
          <t>토너</t>
        </is>
      </c>
      <c r="D88" s="5" t="inlineStr">
        <is>
          <t>[200618-22] 250ml (화장솜 증정)</t>
        </is>
      </c>
      <c r="E88" s="6" t="n">
        <v>200618</v>
      </c>
      <c r="F88" s="7">
        <f>B88&amp;C88&amp;D88&amp;E88</f>
        <v/>
      </c>
      <c r="G88" s="6" t="n">
        <v>17500</v>
      </c>
      <c r="H88" s="27" t="n">
        <v>0.28</v>
      </c>
      <c r="I88" s="6" t="n">
        <v>4370</v>
      </c>
      <c r="J88" s="87" t="inlineStr">
        <is>
          <t>21일까지</t>
        </is>
      </c>
      <c r="K88" s="87" t="inlineStr">
        <is>
          <t>끝</t>
        </is>
      </c>
    </row>
    <row r="89">
      <c r="B89" s="5" t="inlineStr">
        <is>
          <t>화해</t>
        </is>
      </c>
      <c r="C89" s="6" t="inlineStr">
        <is>
          <t>토너</t>
        </is>
      </c>
      <c r="D89" s="5" t="inlineStr">
        <is>
          <t>[200618-22] 250ml 2set</t>
        </is>
      </c>
      <c r="E89" s="6" t="n">
        <v>200618</v>
      </c>
      <c r="F89" s="7">
        <f>B89&amp;C89&amp;D89&amp;E89</f>
        <v/>
      </c>
      <c r="G89" s="6" t="n">
        <v>32000</v>
      </c>
      <c r="H89" s="27" t="n">
        <v>0.28</v>
      </c>
      <c r="I89" s="6" t="n">
        <v>6520</v>
      </c>
      <c r="J89" s="87" t="inlineStr">
        <is>
          <t>21일까지</t>
        </is>
      </c>
      <c r="K89" s="87" t="inlineStr">
        <is>
          <t>끝</t>
        </is>
      </c>
    </row>
    <row r="90">
      <c r="B90" s="5" t="inlineStr">
        <is>
          <t>화해</t>
        </is>
      </c>
      <c r="C90" s="6" t="inlineStr">
        <is>
          <t>머드크림마스크</t>
        </is>
      </c>
      <c r="D90" s="6" t="inlineStr">
        <is>
          <t>[200618-22] 머드크림마스크 100ml</t>
        </is>
      </c>
      <c r="E90" s="6" t="n">
        <v>200618</v>
      </c>
      <c r="F90" s="7">
        <f>B90&amp;C90&amp;D90&amp;E90</f>
        <v/>
      </c>
      <c r="G90" s="6" t="n">
        <v>20000</v>
      </c>
      <c r="H90" s="27" t="n">
        <v>0.28</v>
      </c>
      <c r="I90" s="6" t="n">
        <v>1442</v>
      </c>
      <c r="J90" s="87" t="inlineStr">
        <is>
          <t>21일까지</t>
        </is>
      </c>
      <c r="K90" s="87" t="inlineStr">
        <is>
          <t>끝</t>
        </is>
      </c>
    </row>
    <row r="91">
      <c r="B91" s="5" t="inlineStr">
        <is>
          <t>화해</t>
        </is>
      </c>
      <c r="C91" s="6" t="inlineStr">
        <is>
          <t>수딩크림</t>
        </is>
      </c>
      <c r="D91" s="6" t="inlineStr">
        <is>
          <t>[200618-22] 수딩크림 100ml</t>
        </is>
      </c>
      <c r="E91" s="6" t="n">
        <v>200618</v>
      </c>
      <c r="F91" s="7">
        <f>B91&amp;C91&amp;D91&amp;E91</f>
        <v/>
      </c>
      <c r="G91" s="6" t="n">
        <v>30000</v>
      </c>
      <c r="H91" s="27" t="n">
        <v>0.28</v>
      </c>
      <c r="I91" s="6" t="n">
        <v>3045</v>
      </c>
      <c r="J91" s="87" t="inlineStr">
        <is>
          <t>21일까지</t>
        </is>
      </c>
      <c r="K91" s="87" t="inlineStr">
        <is>
          <t>끝</t>
        </is>
      </c>
    </row>
    <row r="92">
      <c r="B92" s="5" t="inlineStr">
        <is>
          <t>화해</t>
        </is>
      </c>
      <c r="C92" s="6" t="inlineStr">
        <is>
          <t>클렌징폼</t>
        </is>
      </c>
      <c r="D92" s="6" t="inlineStr">
        <is>
          <t>[200618-22] 클렌징폼 120ml</t>
        </is>
      </c>
      <c r="E92" s="6" t="n">
        <v>200618</v>
      </c>
      <c r="F92" s="7">
        <f>B92&amp;C92&amp;D92&amp;E92</f>
        <v/>
      </c>
      <c r="G92" s="6" t="n">
        <v>12000</v>
      </c>
      <c r="H92" s="27" t="n">
        <v>0.28</v>
      </c>
      <c r="I92" s="6" t="n">
        <v>2750</v>
      </c>
      <c r="J92" s="87" t="inlineStr">
        <is>
          <t>21일까지</t>
        </is>
      </c>
      <c r="K92" s="87" t="inlineStr">
        <is>
          <t>끝</t>
        </is>
      </c>
    </row>
    <row r="93">
      <c r="B93" s="5" t="inlineStr">
        <is>
          <t>화해</t>
        </is>
      </c>
      <c r="C93" s="6" t="inlineStr">
        <is>
          <t>선크림</t>
        </is>
      </c>
      <c r="D93" s="6" t="inlineStr">
        <is>
          <t>[200618-22] 선크림 50ml</t>
        </is>
      </c>
      <c r="E93" s="6" t="n">
        <v>200618</v>
      </c>
      <c r="F93" s="7">
        <f>B93&amp;C93&amp;D93&amp;E93</f>
        <v/>
      </c>
      <c r="G93" s="6" t="n">
        <v>18000</v>
      </c>
      <c r="H93" s="27" t="n">
        <v>0.28</v>
      </c>
      <c r="I93" s="6" t="n">
        <v>2345</v>
      </c>
      <c r="J93" s="87" t="inlineStr">
        <is>
          <t>21일까지</t>
        </is>
      </c>
      <c r="K93" s="87" t="inlineStr">
        <is>
          <t>끝</t>
        </is>
      </c>
    </row>
    <row r="94">
      <c r="B94" s="8" t="inlineStr">
        <is>
          <t>화해</t>
        </is>
      </c>
      <c r="C94" s="9" t="inlineStr">
        <is>
          <t>앰플</t>
        </is>
      </c>
      <c r="D94" s="9" t="inlineStr">
        <is>
          <t>앰플 30ml</t>
        </is>
      </c>
      <c r="E94" s="9" t="n">
        <v>190801</v>
      </c>
      <c r="F94" s="28">
        <f>B94&amp;C94&amp;D94&amp;E94</f>
        <v/>
      </c>
      <c r="G94" s="29" t="n">
        <v>28000</v>
      </c>
      <c r="H94" s="22" t="n">
        <v>0.28</v>
      </c>
      <c r="I94" s="9" t="n">
        <v>3397</v>
      </c>
      <c r="J94" s="17" t="inlineStr">
        <is>
          <t>22일부터</t>
        </is>
      </c>
    </row>
    <row r="95">
      <c r="B95" s="8" t="inlineStr">
        <is>
          <t>화해</t>
        </is>
      </c>
      <c r="C95" s="9" t="inlineStr">
        <is>
          <t>마스크팩</t>
        </is>
      </c>
      <c r="D95" s="9" t="inlineStr">
        <is>
          <t>마스크팩 1매</t>
        </is>
      </c>
      <c r="E95" s="9" t="n">
        <v>190801</v>
      </c>
      <c r="F95" s="28">
        <f>B95&amp;C95&amp;D95&amp;E95</f>
        <v/>
      </c>
      <c r="G95" s="29" t="n">
        <v>4000</v>
      </c>
      <c r="H95" s="22" t="n">
        <v>0.3</v>
      </c>
      <c r="I95" s="9" t="n">
        <v>397</v>
      </c>
      <c r="J95" s="17" t="inlineStr">
        <is>
          <t>22일부터</t>
        </is>
      </c>
    </row>
    <row r="96">
      <c r="B96" s="8" t="inlineStr">
        <is>
          <t>화해</t>
        </is>
      </c>
      <c r="C96" s="9" t="inlineStr">
        <is>
          <t>토너</t>
        </is>
      </c>
      <c r="D96" s="8" t="inlineStr">
        <is>
          <t>250ml</t>
        </is>
      </c>
      <c r="E96" s="9" t="n">
        <v>190801</v>
      </c>
      <c r="F96" s="28">
        <f>B96&amp;C96&amp;D96&amp;E96</f>
        <v/>
      </c>
      <c r="G96" s="29" t="n">
        <v>20000</v>
      </c>
      <c r="H96" s="22" t="n">
        <v>0.28</v>
      </c>
      <c r="I96" s="9" t="n">
        <v>3260</v>
      </c>
      <c r="J96" s="17" t="inlineStr">
        <is>
          <t>22일부터</t>
        </is>
      </c>
    </row>
    <row r="97">
      <c r="B97" s="8" t="inlineStr">
        <is>
          <t>화해</t>
        </is>
      </c>
      <c r="C97" s="9" t="inlineStr">
        <is>
          <t>머드크림마스크</t>
        </is>
      </c>
      <c r="D97" s="9" t="inlineStr">
        <is>
          <t>머드크림마스크 100ml</t>
        </is>
      </c>
      <c r="E97" s="9" t="n">
        <v>190801</v>
      </c>
      <c r="F97" s="28">
        <f>B97&amp;C97&amp;D97&amp;E97</f>
        <v/>
      </c>
      <c r="G97" s="29" t="n">
        <v>20000</v>
      </c>
      <c r="H97" s="22" t="n">
        <v>0.28</v>
      </c>
      <c r="I97" s="9" t="n">
        <v>1442</v>
      </c>
      <c r="J97" s="17" t="inlineStr">
        <is>
          <t>22일부터</t>
        </is>
      </c>
    </row>
    <row r="98">
      <c r="B98" s="8" t="inlineStr">
        <is>
          <t>화해</t>
        </is>
      </c>
      <c r="C98" s="9" t="inlineStr">
        <is>
          <t>수딩크림</t>
        </is>
      </c>
      <c r="D98" s="9" t="inlineStr">
        <is>
          <t>수딩크림 100ml</t>
        </is>
      </c>
      <c r="E98" s="9" t="n">
        <v>190801</v>
      </c>
      <c r="F98" s="28">
        <f>B98&amp;C98&amp;D98&amp;E98</f>
        <v/>
      </c>
      <c r="G98" s="29" t="n">
        <v>38000</v>
      </c>
      <c r="H98" s="22" t="n">
        <v>0.28</v>
      </c>
      <c r="I98" s="9" t="n">
        <v>3045</v>
      </c>
      <c r="J98" s="17" t="inlineStr">
        <is>
          <t>22일부터</t>
        </is>
      </c>
    </row>
    <row r="99">
      <c r="B99" s="8" t="inlineStr">
        <is>
          <t>화해</t>
        </is>
      </c>
      <c r="C99" s="9" t="inlineStr">
        <is>
          <t>클렌징폼</t>
        </is>
      </c>
      <c r="D99" s="9" t="inlineStr">
        <is>
          <t>클렌징폼 120ml</t>
        </is>
      </c>
      <c r="E99" s="9" t="n">
        <v>190801</v>
      </c>
      <c r="F99" s="28">
        <f>B99&amp;C99&amp;D99&amp;E99</f>
        <v/>
      </c>
      <c r="G99" s="29" t="n">
        <v>13000</v>
      </c>
      <c r="H99" s="22" t="n">
        <v>0.28</v>
      </c>
      <c r="I99" s="9" t="n">
        <v>2750</v>
      </c>
      <c r="J99" s="17" t="inlineStr">
        <is>
          <t>22일부터</t>
        </is>
      </c>
    </row>
    <row r="100">
      <c r="B100" s="8" t="inlineStr">
        <is>
          <t>화해</t>
        </is>
      </c>
      <c r="C100" s="9" t="inlineStr">
        <is>
          <t>선크림</t>
        </is>
      </c>
      <c r="D100" s="9" t="inlineStr">
        <is>
          <t>선크림 50ml</t>
        </is>
      </c>
      <c r="E100" s="9" t="n">
        <v>190801</v>
      </c>
      <c r="F100" s="28">
        <f>B100&amp;C100&amp;D100&amp;E100</f>
        <v/>
      </c>
      <c r="G100" s="29" t="n">
        <v>20000</v>
      </c>
      <c r="H100" s="22" t="n">
        <v>0.28</v>
      </c>
      <c r="I100" s="9" t="n">
        <v>2345</v>
      </c>
      <c r="J100" s="17" t="inlineStr">
        <is>
          <t>22일부터</t>
        </is>
      </c>
    </row>
    <row r="101">
      <c r="B101" s="6" t="inlineStr">
        <is>
          <t>카페24</t>
        </is>
      </c>
      <c r="C101" s="6" t="inlineStr">
        <is>
          <t>선크림</t>
        </is>
      </c>
      <c r="D101" s="6" t="inlineStr">
        <is>
          <t>선크림 50ml  2set</t>
        </is>
      </c>
      <c r="E101" s="6" t="n">
        <v>190801</v>
      </c>
      <c r="F101" s="7">
        <f>B101&amp;C101&amp;D101&amp;E101</f>
        <v/>
      </c>
      <c r="G101" s="6" t="n">
        <v>35000</v>
      </c>
      <c r="H101" s="30" t="n">
        <v>0.0585</v>
      </c>
      <c r="I101" s="6" t="n">
        <v>4690</v>
      </c>
    </row>
    <row r="102" hidden="1" s="93">
      <c r="B102" s="5" t="inlineStr">
        <is>
          <t>큐텐재팬</t>
        </is>
      </c>
      <c r="C102" s="6" t="inlineStr">
        <is>
          <t>토너</t>
        </is>
      </c>
      <c r="D102" s="5" t="inlineStr">
        <is>
          <t>250ml</t>
        </is>
      </c>
      <c r="E102" s="7" t="n">
        <v>190801</v>
      </c>
      <c r="F102" s="7">
        <f>B102&amp;C102&amp;D102&amp;E102</f>
        <v/>
      </c>
      <c r="G102" s="6" t="n">
        <v>31500</v>
      </c>
      <c r="H102" s="27" t="n">
        <v>0.11</v>
      </c>
      <c r="I102" s="6" t="n">
        <v>3260</v>
      </c>
    </row>
    <row r="103" hidden="1" s="93">
      <c r="B103" s="5" t="inlineStr">
        <is>
          <t>큐텐재팬</t>
        </is>
      </c>
      <c r="C103" s="6" t="inlineStr">
        <is>
          <t>토너</t>
        </is>
      </c>
      <c r="D103" s="5" t="inlineStr">
        <is>
          <t>250ml 2set</t>
        </is>
      </c>
      <c r="E103" s="7" t="n">
        <v>190801</v>
      </c>
      <c r="F103" s="7">
        <f>B103&amp;C103&amp;D103&amp;E103</f>
        <v/>
      </c>
      <c r="G103" s="6" t="n">
        <v>44000</v>
      </c>
      <c r="H103" s="27" t="n">
        <v>0.11</v>
      </c>
      <c r="I103" s="6" t="n">
        <v>6520</v>
      </c>
    </row>
    <row r="104" hidden="1" s="93">
      <c r="B104" s="5" t="inlineStr">
        <is>
          <t>큐텐재팬</t>
        </is>
      </c>
      <c r="C104" s="6" t="inlineStr">
        <is>
          <t>앰플</t>
        </is>
      </c>
      <c r="D104" s="6" t="inlineStr">
        <is>
          <t>앰플 30ml</t>
        </is>
      </c>
      <c r="E104" s="6" t="n">
        <v>190801</v>
      </c>
      <c r="F104" s="7">
        <f>B104&amp;C104&amp;D104&amp;E104</f>
        <v/>
      </c>
      <c r="G104" s="6" t="n">
        <v>38000</v>
      </c>
      <c r="H104" s="27" t="n">
        <v>0.11</v>
      </c>
      <c r="I104" s="6" t="n">
        <v>3397</v>
      </c>
    </row>
    <row r="105" hidden="1" s="93">
      <c r="B105" s="5" t="inlineStr">
        <is>
          <t>큐텐재팬</t>
        </is>
      </c>
      <c r="C105" s="6" t="inlineStr">
        <is>
          <t>머드크림마스크</t>
        </is>
      </c>
      <c r="D105" s="6" t="inlineStr">
        <is>
          <t>머드크림마스크 100ml</t>
        </is>
      </c>
      <c r="E105" s="7" t="n">
        <v>190801</v>
      </c>
      <c r="F105" s="7">
        <f>B105&amp;C105&amp;D105&amp;E105</f>
        <v/>
      </c>
      <c r="G105" s="6" t="n">
        <v>31500</v>
      </c>
      <c r="H105" s="27" t="n">
        <v>0.11</v>
      </c>
      <c r="I105" s="6" t="n">
        <v>1442</v>
      </c>
    </row>
    <row r="106" hidden="1" s="93">
      <c r="B106" s="5" t="inlineStr">
        <is>
          <t>큐텐재팬</t>
        </is>
      </c>
      <c r="C106" s="6" t="inlineStr">
        <is>
          <t>마스크팩</t>
        </is>
      </c>
      <c r="D106" s="6" t="inlineStr">
        <is>
          <t>마스크팩 10매</t>
        </is>
      </c>
      <c r="E106" s="6" t="n">
        <v>190801</v>
      </c>
      <c r="F106" s="7">
        <f>B106&amp;C106&amp;D106&amp;E106</f>
        <v/>
      </c>
      <c r="G106" s="6" t="n">
        <v>36000</v>
      </c>
      <c r="H106" s="27" t="n">
        <v>0.11</v>
      </c>
      <c r="I106" s="6" t="n">
        <v>3970</v>
      </c>
    </row>
    <row r="107" hidden="1" s="93">
      <c r="B107" s="5" t="inlineStr">
        <is>
          <t>큐텐재팬</t>
        </is>
      </c>
      <c r="C107" s="6" t="inlineStr">
        <is>
          <t>클렌징폼</t>
        </is>
      </c>
      <c r="D107" s="6" t="inlineStr">
        <is>
          <t>클렌징폼 120ml</t>
        </is>
      </c>
      <c r="E107" s="7" t="n">
        <v>190801</v>
      </c>
      <c r="F107" s="7">
        <f>B107&amp;C107&amp;D107&amp;E107</f>
        <v/>
      </c>
      <c r="G107" s="6" t="n">
        <v>25000</v>
      </c>
      <c r="H107" s="27" t="n">
        <v>0.11</v>
      </c>
      <c r="I107" s="6" t="n">
        <v>2750</v>
      </c>
    </row>
    <row r="108" hidden="1" s="93">
      <c r="B108" s="5" t="inlineStr">
        <is>
          <t>큐텐재팬</t>
        </is>
      </c>
      <c r="C108" s="6" t="inlineStr">
        <is>
          <t>수딩크림</t>
        </is>
      </c>
      <c r="D108" s="6" t="inlineStr">
        <is>
          <t>수딩크림 100ml</t>
        </is>
      </c>
      <c r="E108" s="7" t="n">
        <v>190801</v>
      </c>
      <c r="F108" s="7">
        <f>B108&amp;C108&amp;D108&amp;E108</f>
        <v/>
      </c>
      <c r="G108" s="6" t="n">
        <v>43000</v>
      </c>
      <c r="H108" s="27" t="n">
        <v>0.11</v>
      </c>
      <c r="I108" s="6" t="n">
        <v>3045</v>
      </c>
    </row>
    <row r="109" hidden="1" s="93">
      <c r="B109" s="6" t="inlineStr">
        <is>
          <t>현대면세점</t>
        </is>
      </c>
      <c r="C109" s="6" t="inlineStr">
        <is>
          <t>선크림</t>
        </is>
      </c>
      <c r="D109" s="6" t="inlineStr">
        <is>
          <t>선크림 50ml</t>
        </is>
      </c>
      <c r="E109" s="6" t="n">
        <v>190801</v>
      </c>
      <c r="F109" s="7">
        <f>B109&amp;C109&amp;D109&amp;E109</f>
        <v/>
      </c>
      <c r="G109" s="6" t="n">
        <v>6300</v>
      </c>
      <c r="H109" s="27" t="n">
        <v>0</v>
      </c>
      <c r="I109" s="6" t="n">
        <v>2345</v>
      </c>
    </row>
    <row r="110" hidden="1" s="93">
      <c r="B110" s="6" t="inlineStr">
        <is>
          <t>현대면세점</t>
        </is>
      </c>
      <c r="C110" s="6" t="inlineStr">
        <is>
          <t>수딩크림</t>
        </is>
      </c>
      <c r="D110" s="6" t="inlineStr">
        <is>
          <t>수딩크림 100ml</t>
        </is>
      </c>
      <c r="E110" s="6" t="n">
        <v>190801</v>
      </c>
      <c r="F110" s="7">
        <f>B110&amp;C110&amp;D110&amp;E110</f>
        <v/>
      </c>
      <c r="G110" s="6" t="n">
        <v>11970</v>
      </c>
      <c r="H110" s="27" t="n">
        <v>0</v>
      </c>
      <c r="I110" s="6" t="n">
        <v>3045</v>
      </c>
    </row>
    <row r="111" hidden="1" s="93">
      <c r="B111" s="6" t="inlineStr">
        <is>
          <t>현대면세점</t>
        </is>
      </c>
      <c r="C111" s="6" t="inlineStr">
        <is>
          <t>화장솜</t>
        </is>
      </c>
      <c r="D111" s="6" t="inlineStr">
        <is>
          <t>스킨팩 화장솜 60P</t>
        </is>
      </c>
      <c r="E111" s="6" t="n">
        <v>190801</v>
      </c>
      <c r="F111" s="7">
        <f>B111&amp;C111&amp;D111&amp;E111</f>
        <v/>
      </c>
      <c r="G111" s="6" t="n">
        <v>1250</v>
      </c>
      <c r="H111" s="27" t="n">
        <v>0</v>
      </c>
      <c r="I111" s="6" t="n">
        <v>1110</v>
      </c>
    </row>
    <row r="112" hidden="1" s="93">
      <c r="B112" s="6" t="inlineStr">
        <is>
          <t>쇼피필리핀</t>
        </is>
      </c>
      <c r="C112" s="6" t="inlineStr">
        <is>
          <t>토너</t>
        </is>
      </c>
      <c r="D112" s="6" t="inlineStr">
        <is>
          <t>250ml</t>
        </is>
      </c>
      <c r="E112" s="6" t="n">
        <v>190801</v>
      </c>
      <c r="F112" s="7">
        <f>B112&amp;C112&amp;D112&amp;E112</f>
        <v/>
      </c>
      <c r="G112" s="6" t="n">
        <v>26200</v>
      </c>
      <c r="H112" s="27" t="n">
        <v>0.06</v>
      </c>
      <c r="I112" s="6" t="n">
        <v>3260</v>
      </c>
    </row>
    <row r="113">
      <c r="A113" s="9" t="n"/>
      <c r="B113" s="8" t="inlineStr">
        <is>
          <t>글로우데이즈 시코르</t>
        </is>
      </c>
      <c r="C113" s="9" t="inlineStr">
        <is>
          <t>토너</t>
        </is>
      </c>
      <c r="D113" s="9" t="inlineStr">
        <is>
          <t>토너=250ml</t>
        </is>
      </c>
      <c r="E113" s="9" t="n">
        <v>190801</v>
      </c>
      <c r="F113" s="28">
        <f>B113&amp;C113&amp;D113&amp;E113</f>
        <v/>
      </c>
      <c r="G113" s="9" t="n">
        <v>11250</v>
      </c>
      <c r="H113" s="22" t="n">
        <v>0</v>
      </c>
      <c r="I113" s="9" t="n">
        <v>3260</v>
      </c>
      <c r="J113" s="17" t="inlineStr">
        <is>
          <t>(45%)납품가</t>
        </is>
      </c>
    </row>
    <row r="114">
      <c r="A114" s="9" t="n"/>
      <c r="B114" s="8" t="inlineStr">
        <is>
          <t>글로우데이즈 시코르</t>
        </is>
      </c>
      <c r="C114" s="9" t="inlineStr">
        <is>
          <t>앰플</t>
        </is>
      </c>
      <c r="D114" s="9" t="inlineStr">
        <is>
          <t>앰플=앰플 30ml</t>
        </is>
      </c>
      <c r="E114" s="9" t="n">
        <v>190801</v>
      </c>
      <c r="F114" s="28">
        <f>B114&amp;C114&amp;D114&amp;E114</f>
        <v/>
      </c>
      <c r="G114" s="9" t="n">
        <v>14850</v>
      </c>
      <c r="H114" s="22" t="n">
        <v>0</v>
      </c>
      <c r="I114" s="9" t="n">
        <v>3397</v>
      </c>
      <c r="J114" s="17" t="inlineStr">
        <is>
          <t>(45%)납품가</t>
        </is>
      </c>
    </row>
    <row r="115">
      <c r="A115" s="9" t="n"/>
      <c r="B115" s="8" t="inlineStr">
        <is>
          <t>글로우데이즈 시코르</t>
        </is>
      </c>
      <c r="C115" s="9" t="inlineStr">
        <is>
          <t>수딩크림</t>
        </is>
      </c>
      <c r="D115" s="9" t="inlineStr">
        <is>
          <t>수딩크림=수딩크림 100ml</t>
        </is>
      </c>
      <c r="E115" s="9" t="n">
        <v>190801</v>
      </c>
      <c r="F115" s="28">
        <f>B115&amp;C115&amp;D115&amp;E115</f>
        <v/>
      </c>
      <c r="G115" s="9" t="n">
        <v>17100</v>
      </c>
      <c r="H115" s="22" t="n">
        <v>0</v>
      </c>
      <c r="I115" s="9" t="n">
        <v>3045</v>
      </c>
      <c r="J115" s="17" t="inlineStr">
        <is>
          <t>(45%)납품가</t>
        </is>
      </c>
    </row>
    <row r="116">
      <c r="A116" s="9" t="n"/>
      <c r="B116" s="8" t="inlineStr">
        <is>
          <t>글로우데이즈 시코르</t>
        </is>
      </c>
      <c r="C116" s="9" t="inlineStr">
        <is>
          <t>마스크팩</t>
        </is>
      </c>
      <c r="D116" s="9" t="inlineStr">
        <is>
          <t>마스크팩=마스크팩 1매</t>
        </is>
      </c>
      <c r="E116" s="9" t="n">
        <v>190801</v>
      </c>
      <c r="F116" s="28">
        <f>B116&amp;C116&amp;D116&amp;E116</f>
        <v/>
      </c>
      <c r="G116" s="9" t="n">
        <v>1800</v>
      </c>
      <c r="H116" s="22" t="n">
        <v>0</v>
      </c>
      <c r="I116" s="9" t="n">
        <v>397</v>
      </c>
      <c r="J116" s="17" t="inlineStr">
        <is>
          <t>(45%)납품가</t>
        </is>
      </c>
    </row>
    <row r="117">
      <c r="A117" s="9" t="n"/>
      <c r="B117" s="8" t="inlineStr">
        <is>
          <t>글로우데이즈 시코르</t>
        </is>
      </c>
      <c r="C117" s="9" t="inlineStr">
        <is>
          <t>머드크림마스크</t>
        </is>
      </c>
      <c r="D117" s="9" t="inlineStr">
        <is>
          <t>머드크림마스크=머드크림마스크 100ml</t>
        </is>
      </c>
      <c r="E117" s="9" t="n">
        <v>190801</v>
      </c>
      <c r="F117" s="28">
        <f>B117&amp;C117&amp;D117&amp;E117</f>
        <v/>
      </c>
      <c r="G117" s="9" t="n">
        <v>11250</v>
      </c>
      <c r="H117" s="22" t="n">
        <v>0</v>
      </c>
      <c r="I117" s="9" t="n">
        <v>1442</v>
      </c>
      <c r="J117" s="17" t="inlineStr">
        <is>
          <t>(45%)납품가</t>
        </is>
      </c>
    </row>
    <row r="118">
      <c r="A118" s="9" t="n"/>
      <c r="B118" s="8" t="inlineStr">
        <is>
          <t>글로우데이즈 시코르</t>
        </is>
      </c>
      <c r="C118" s="9" t="inlineStr">
        <is>
          <t>클렌징폼</t>
        </is>
      </c>
      <c r="D118" s="9" t="inlineStr">
        <is>
          <t>클렌징폼=클렌징폼 120ml</t>
        </is>
      </c>
      <c r="E118" s="9" t="n">
        <v>190801</v>
      </c>
      <c r="F118" s="28">
        <f>B118&amp;C118&amp;D118&amp;E118</f>
        <v/>
      </c>
      <c r="G118" s="9" t="n">
        <v>7200</v>
      </c>
      <c r="H118" s="22" t="n">
        <v>0</v>
      </c>
      <c r="I118" s="9" t="n">
        <v>2750</v>
      </c>
      <c r="J118" s="17" t="inlineStr">
        <is>
          <t>(45%)납품가</t>
        </is>
      </c>
    </row>
    <row r="119">
      <c r="A119" s="9" t="n"/>
      <c r="B119" s="8" t="inlineStr">
        <is>
          <t>글로우데이즈 시코르</t>
        </is>
      </c>
      <c r="C119" s="9" t="inlineStr">
        <is>
          <t>마스크팩</t>
        </is>
      </c>
      <c r="D119" s="9" t="inlineStr">
        <is>
          <t>마스크팩=마스크팩 10매</t>
        </is>
      </c>
      <c r="E119" s="9" t="n">
        <v>190801</v>
      </c>
      <c r="F119" s="28">
        <f>B119&amp;C119&amp;D119&amp;E119</f>
        <v/>
      </c>
      <c r="G119" s="9" t="n">
        <v>18000</v>
      </c>
      <c r="H119" s="22" t="n">
        <v>0</v>
      </c>
      <c r="I119" s="9" t="n">
        <v>3970</v>
      </c>
      <c r="J119" s="17" t="inlineStr">
        <is>
          <t>(45%)납품가</t>
        </is>
      </c>
    </row>
    <row r="120" hidden="1" s="93">
      <c r="B120" s="5" t="inlineStr">
        <is>
          <t>쇼피태국</t>
        </is>
      </c>
      <c r="C120" s="6" t="inlineStr">
        <is>
          <t>수딩크림</t>
        </is>
      </c>
      <c r="D120" s="6" t="inlineStr">
        <is>
          <t>수딩크림 100ml</t>
        </is>
      </c>
      <c r="E120" s="6" t="n">
        <v>190801</v>
      </c>
      <c r="F120" s="7">
        <f>B120&amp;C120&amp;D120&amp;E120</f>
        <v/>
      </c>
      <c r="G120" s="6" t="n">
        <v>37780</v>
      </c>
      <c r="H120" s="27" t="n">
        <v>0.03</v>
      </c>
      <c r="I120" s="6" t="n">
        <v>3045</v>
      </c>
      <c r="J120" s="87" t="inlineStr">
        <is>
          <t>฿1,000</t>
        </is>
      </c>
    </row>
    <row r="121" hidden="1" s="93">
      <c r="B121" s="5" t="inlineStr">
        <is>
          <t>쇼피태국</t>
        </is>
      </c>
      <c r="C121" s="6" t="inlineStr">
        <is>
          <t>앰플</t>
        </is>
      </c>
      <c r="D121" s="6" t="inlineStr">
        <is>
          <t>앰플 30ml</t>
        </is>
      </c>
      <c r="E121" s="6" t="n">
        <v>190801</v>
      </c>
      <c r="F121" s="7">
        <f>B121&amp;C121&amp;D121&amp;E121</f>
        <v/>
      </c>
      <c r="G121" s="6" t="n">
        <v>32900</v>
      </c>
      <c r="H121" s="27" t="n">
        <v>0.03</v>
      </c>
      <c r="I121" s="6" t="n">
        <v>3397</v>
      </c>
      <c r="J121" s="87" t="inlineStr">
        <is>
          <t>฿870</t>
        </is>
      </c>
    </row>
    <row r="122" hidden="1" s="93">
      <c r="B122" s="5" t="inlineStr">
        <is>
          <t>큐텐싱가폴</t>
        </is>
      </c>
      <c r="C122" s="6" t="inlineStr">
        <is>
          <t>토너</t>
        </is>
      </c>
      <c r="D122" s="6" t="inlineStr">
        <is>
          <t>500ml</t>
        </is>
      </c>
      <c r="E122" s="6" t="n">
        <v>190801</v>
      </c>
      <c r="F122" s="7">
        <f>B122&amp;C122&amp;D122&amp;E122</f>
        <v/>
      </c>
      <c r="G122" s="6" t="n">
        <v>44900</v>
      </c>
      <c r="H122" s="27" t="n">
        <v>0.11</v>
      </c>
      <c r="I122" s="6" t="n">
        <v>4725</v>
      </c>
      <c r="J122" s="87" t="inlineStr">
        <is>
          <t>S$51.9</t>
        </is>
      </c>
    </row>
    <row r="123" hidden="1" s="93">
      <c r="B123" s="5" t="inlineStr">
        <is>
          <t>큐텐싱가폴</t>
        </is>
      </c>
      <c r="C123" s="6" t="inlineStr">
        <is>
          <t>머드크림마스크</t>
        </is>
      </c>
      <c r="D123" s="6" t="inlineStr">
        <is>
          <t>머드크림마스크 100ml</t>
        </is>
      </c>
      <c r="E123" s="6" t="n">
        <v>190801</v>
      </c>
      <c r="F123" s="7">
        <f>B123&amp;C123&amp;D123&amp;E123</f>
        <v/>
      </c>
      <c r="G123" s="6" t="n">
        <v>25900</v>
      </c>
      <c r="H123" s="27" t="n">
        <v>0.11</v>
      </c>
      <c r="I123" s="6" t="n">
        <v>1442</v>
      </c>
      <c r="J123" s="87" t="inlineStr">
        <is>
          <t>S$29.9</t>
        </is>
      </c>
    </row>
    <row r="124">
      <c r="A124" s="9" t="n"/>
      <c r="B124" s="8" t="inlineStr">
        <is>
          <t>글로우데이즈 시코르</t>
        </is>
      </c>
      <c r="C124" s="9" t="inlineStr">
        <is>
          <t>선크림</t>
        </is>
      </c>
      <c r="D124" s="9" t="inlineStr">
        <is>
          <t>선크림=선크림 50ml</t>
        </is>
      </c>
      <c r="E124" s="9" t="n">
        <v>190801</v>
      </c>
      <c r="F124" s="28">
        <f>B124&amp;C124&amp;D124&amp;E124</f>
        <v/>
      </c>
      <c r="G124" s="9" t="n">
        <v>11250</v>
      </c>
      <c r="H124" s="22" t="n">
        <v>0</v>
      </c>
      <c r="I124" s="9" t="n">
        <v>2345</v>
      </c>
      <c r="J124" s="17" t="inlineStr">
        <is>
          <t>(45%)납품가</t>
        </is>
      </c>
    </row>
    <row r="125" hidden="1" s="93">
      <c r="B125" s="10" t="inlineStr">
        <is>
          <t>큐텐재팬</t>
        </is>
      </c>
      <c r="C125" s="18" t="inlineStr">
        <is>
          <t>토너</t>
        </is>
      </c>
      <c r="D125" s="18" t="inlineStr">
        <is>
          <t>200726=250ml</t>
        </is>
      </c>
      <c r="E125" s="18" t="n">
        <v>190801</v>
      </c>
      <c r="F125" s="7">
        <f>B125&amp;C125&amp;D125&amp;E125</f>
        <v/>
      </c>
      <c r="G125" s="18" t="n">
        <v>33000</v>
      </c>
      <c r="H125" s="27" t="n">
        <v>0.11</v>
      </c>
      <c r="I125" s="6" t="n">
        <v>3260</v>
      </c>
      <c r="J125" s="87" t="inlineStr">
        <is>
          <t>2,950円</t>
        </is>
      </c>
    </row>
    <row r="126" hidden="1" s="93">
      <c r="B126" s="10" t="inlineStr">
        <is>
          <t>큐텐재팬</t>
        </is>
      </c>
      <c r="C126" s="18" t="inlineStr">
        <is>
          <t>마스크팩</t>
        </is>
      </c>
      <c r="D126" s="18" t="inlineStr">
        <is>
          <t>200726=마스크팩 10매</t>
        </is>
      </c>
      <c r="E126" s="18" t="n">
        <v>190801</v>
      </c>
      <c r="F126" s="7">
        <f>B126&amp;C126&amp;D126&amp;E126</f>
        <v/>
      </c>
      <c r="G126" s="18" t="n">
        <v>36000</v>
      </c>
      <c r="H126" s="27" t="n">
        <v>0.11</v>
      </c>
      <c r="I126" s="6" t="n">
        <v>3970</v>
      </c>
      <c r="J126" s="87" t="inlineStr">
        <is>
          <t>3,178円</t>
        </is>
      </c>
    </row>
    <row r="127" hidden="1" s="93">
      <c r="B127" s="10" t="inlineStr">
        <is>
          <t>큐텐재팬</t>
        </is>
      </c>
      <c r="C127" s="18" t="inlineStr">
        <is>
          <t>수딩크림</t>
        </is>
      </c>
      <c r="D127" s="18" t="inlineStr">
        <is>
          <t>200726=수딩크림 100ml</t>
        </is>
      </c>
      <c r="E127" s="18" t="n">
        <v>190801</v>
      </c>
      <c r="F127" s="7">
        <f>B127&amp;C127&amp;D127&amp;E127</f>
        <v/>
      </c>
      <c r="G127" s="18" t="n">
        <v>44000</v>
      </c>
      <c r="H127" s="27" t="n">
        <v>0.11</v>
      </c>
      <c r="I127" s="6" t="n">
        <v>4275</v>
      </c>
      <c r="J127" s="87" t="inlineStr">
        <is>
          <t>3,865円</t>
        </is>
      </c>
    </row>
    <row r="128" hidden="1" s="93">
      <c r="B128" s="10" t="inlineStr">
        <is>
          <t>큐텐재팬</t>
        </is>
      </c>
      <c r="C128" s="18" t="inlineStr">
        <is>
          <t>머드크림마스크</t>
        </is>
      </c>
      <c r="D128" s="18" t="inlineStr">
        <is>
          <t>200726=머드크림마스크 100ml</t>
        </is>
      </c>
      <c r="E128" s="18" t="n">
        <v>190801</v>
      </c>
      <c r="F128" s="7">
        <f>B128&amp;C128&amp;D128&amp;E128</f>
        <v/>
      </c>
      <c r="G128" s="18" t="n">
        <v>36000</v>
      </c>
      <c r="H128" s="27" t="n">
        <v>0.11</v>
      </c>
      <c r="I128" s="6" t="n">
        <v>1442</v>
      </c>
      <c r="J128" s="87" t="inlineStr">
        <is>
          <t>3,178円</t>
        </is>
      </c>
    </row>
    <row r="129" hidden="1" s="93">
      <c r="B129" s="10" t="inlineStr">
        <is>
          <t>큐텐재팬</t>
        </is>
      </c>
      <c r="C129" s="18" t="inlineStr">
        <is>
          <t>클렌징폼</t>
        </is>
      </c>
      <c r="D129" s="18" t="inlineStr">
        <is>
          <t>200726=클렌징폼 120ml</t>
        </is>
      </c>
      <c r="E129" s="18" t="n">
        <v>190801</v>
      </c>
      <c r="F129" s="7">
        <f>B129&amp;C129&amp;D129&amp;E129</f>
        <v/>
      </c>
      <c r="G129" s="18" t="n">
        <v>30000</v>
      </c>
      <c r="H129" s="27" t="n">
        <v>0.11</v>
      </c>
      <c r="I129" s="6" t="n">
        <v>2750</v>
      </c>
      <c r="J129" s="87" t="inlineStr">
        <is>
          <t>2,650円</t>
        </is>
      </c>
    </row>
    <row r="130" hidden="1" s="93">
      <c r="B130" s="10" t="inlineStr">
        <is>
          <t>큐텐재팬</t>
        </is>
      </c>
      <c r="C130" s="18" t="inlineStr">
        <is>
          <t>앰플</t>
        </is>
      </c>
      <c r="D130" s="18" t="inlineStr">
        <is>
          <t>200726=앰플 30ml</t>
        </is>
      </c>
      <c r="E130" s="18" t="n">
        <v>190801</v>
      </c>
      <c r="F130" s="7">
        <f>B130&amp;C130&amp;D130&amp;E130</f>
        <v/>
      </c>
      <c r="G130" s="18" t="n">
        <v>39000</v>
      </c>
      <c r="H130" s="27" t="n">
        <v>0.11</v>
      </c>
      <c r="I130" s="6" t="n">
        <v>3397</v>
      </c>
      <c r="J130" s="87" t="inlineStr">
        <is>
          <t>3,433円</t>
        </is>
      </c>
    </row>
    <row r="131" hidden="1" s="93">
      <c r="B131" s="10" t="inlineStr">
        <is>
          <t>큐텐재팬</t>
        </is>
      </c>
      <c r="C131" s="18" t="inlineStr">
        <is>
          <t>선크림</t>
        </is>
      </c>
      <c r="D131" s="18" t="inlineStr">
        <is>
          <t>200726=선크림 50ml</t>
        </is>
      </c>
      <c r="E131" s="18" t="n">
        <v>190801</v>
      </c>
      <c r="F131" s="7">
        <f>B131&amp;C131&amp;D131&amp;E131</f>
        <v/>
      </c>
      <c r="G131" s="18" t="n">
        <v>36000</v>
      </c>
      <c r="H131" s="27" t="n">
        <v>0.11</v>
      </c>
      <c r="I131" s="6" t="n">
        <v>2345</v>
      </c>
      <c r="J131" s="87" t="inlineStr">
        <is>
          <t>3,178円</t>
        </is>
      </c>
    </row>
    <row r="132" hidden="1" s="93">
      <c r="B132" s="10" t="inlineStr">
        <is>
          <t>큐텐재팬</t>
        </is>
      </c>
      <c r="C132" s="18" t="inlineStr">
        <is>
          <t>토너</t>
        </is>
      </c>
      <c r="D132" s="18" t="inlineStr">
        <is>
          <t>200726=250ml 2set</t>
        </is>
      </c>
      <c r="E132" s="18" t="n">
        <v>190801</v>
      </c>
      <c r="F132" s="7">
        <f>B132&amp;C132&amp;D132&amp;E132</f>
        <v/>
      </c>
      <c r="G132" s="18" t="n">
        <v>53000</v>
      </c>
      <c r="H132" s="27" t="n">
        <v>0.11</v>
      </c>
      <c r="I132" s="6" t="n">
        <v>6520</v>
      </c>
      <c r="J132" s="87" t="inlineStr">
        <is>
          <t>4,700円</t>
        </is>
      </c>
    </row>
    <row r="133" hidden="1" s="93">
      <c r="B133" s="10" t="inlineStr">
        <is>
          <t>큐텐싱가폴</t>
        </is>
      </c>
      <c r="C133" s="18" t="inlineStr">
        <is>
          <t>토너</t>
        </is>
      </c>
      <c r="D133" s="18" t="inlineStr">
        <is>
          <t>200726=250ml</t>
        </is>
      </c>
      <c r="E133" s="18" t="n">
        <v>190801</v>
      </c>
      <c r="F133" s="7">
        <f>B133&amp;C133&amp;D133&amp;E133</f>
        <v/>
      </c>
      <c r="G133" s="18" t="n">
        <v>26000</v>
      </c>
      <c r="H133" s="27" t="n">
        <v>0.11</v>
      </c>
      <c r="I133" s="6" t="n">
        <v>3260</v>
      </c>
      <c r="J133" s="87" t="inlineStr">
        <is>
          <t>S$29.9</t>
        </is>
      </c>
    </row>
    <row r="134" hidden="1" s="93">
      <c r="B134" s="10" t="inlineStr">
        <is>
          <t>큐텐싱가폴</t>
        </is>
      </c>
      <c r="C134" s="18" t="inlineStr">
        <is>
          <t>토너</t>
        </is>
      </c>
      <c r="D134" s="18" t="inlineStr">
        <is>
          <t>200726=500ml</t>
        </is>
      </c>
      <c r="E134" s="18" t="n">
        <v>190801</v>
      </c>
      <c r="F134" s="7">
        <f>B134&amp;C134&amp;D134&amp;E134</f>
        <v/>
      </c>
      <c r="G134" s="18" t="n">
        <v>45062</v>
      </c>
      <c r="H134" s="27" t="n">
        <v>0.11</v>
      </c>
      <c r="I134" s="6" t="n">
        <v>4725</v>
      </c>
      <c r="J134" s="87" t="inlineStr">
        <is>
          <t>S$51.9</t>
        </is>
      </c>
    </row>
    <row r="135" hidden="1" s="93">
      <c r="B135" s="10" t="inlineStr">
        <is>
          <t>큐텐싱가폴</t>
        </is>
      </c>
      <c r="C135" s="18" t="inlineStr">
        <is>
          <t>마스크팩</t>
        </is>
      </c>
      <c r="D135" s="18" t="inlineStr">
        <is>
          <t>200726=마스크팩 10매</t>
        </is>
      </c>
      <c r="E135" s="18" t="n">
        <v>190801</v>
      </c>
      <c r="F135" s="7">
        <f>B135&amp;C135&amp;D135&amp;E135</f>
        <v/>
      </c>
      <c r="G135" s="18" t="n">
        <v>103469</v>
      </c>
      <c r="H135" s="27" t="n">
        <v>0.11</v>
      </c>
      <c r="I135" s="6" t="n">
        <v>3970</v>
      </c>
      <c r="J135" s="87" t="inlineStr">
        <is>
          <t>S$119.17</t>
        </is>
      </c>
    </row>
    <row r="136" hidden="1" s="93">
      <c r="B136" s="10" t="inlineStr">
        <is>
          <t>큐텐싱가폴</t>
        </is>
      </c>
      <c r="C136" s="18" t="inlineStr">
        <is>
          <t>수딩크림</t>
        </is>
      </c>
      <c r="D136" s="18" t="inlineStr">
        <is>
          <t>200726=수딩크림 100ml</t>
        </is>
      </c>
      <c r="E136" s="18" t="n">
        <v>190801</v>
      </c>
      <c r="F136" s="7">
        <f>B136&amp;C136&amp;D136&amp;E136</f>
        <v/>
      </c>
      <c r="G136" s="18" t="n">
        <v>38984</v>
      </c>
      <c r="H136" s="27" t="n">
        <v>0.11</v>
      </c>
      <c r="I136" s="6" t="n">
        <v>4275</v>
      </c>
      <c r="J136" s="87" t="inlineStr">
        <is>
          <t>S$44.9</t>
        </is>
      </c>
    </row>
    <row r="137" hidden="1" s="93">
      <c r="B137" s="10" t="inlineStr">
        <is>
          <t>큐텐싱가폴</t>
        </is>
      </c>
      <c r="C137" s="18" t="inlineStr">
        <is>
          <t>머드크림마스크</t>
        </is>
      </c>
      <c r="D137" s="18" t="inlineStr">
        <is>
          <t>200726=머드크림마스크 100ml</t>
        </is>
      </c>
      <c r="E137" s="18" t="n">
        <v>190801</v>
      </c>
      <c r="F137" s="7">
        <f>B137&amp;C137&amp;D137&amp;E137</f>
        <v/>
      </c>
      <c r="G137" s="18" t="n">
        <v>25960</v>
      </c>
      <c r="H137" s="27" t="n">
        <v>0.11</v>
      </c>
      <c r="I137" s="6" t="n">
        <v>1442</v>
      </c>
      <c r="J137" s="87" t="inlineStr">
        <is>
          <t>S$29.9</t>
        </is>
      </c>
    </row>
    <row r="138" hidden="1" s="93">
      <c r="B138" s="10" t="inlineStr">
        <is>
          <t>큐텐싱가폴</t>
        </is>
      </c>
      <c r="C138" s="18" t="inlineStr">
        <is>
          <t>클렌징폼</t>
        </is>
      </c>
      <c r="D138" s="18" t="inlineStr">
        <is>
          <t>200726=클렌징폼 120ml</t>
        </is>
      </c>
      <c r="E138" s="18" t="n">
        <v>190801</v>
      </c>
      <c r="F138" s="7">
        <f>B138&amp;C138&amp;D138&amp;E138</f>
        <v/>
      </c>
      <c r="G138" s="18" t="n">
        <v>16409</v>
      </c>
      <c r="H138" s="27" t="n">
        <v>0.11</v>
      </c>
      <c r="I138" s="6" t="n">
        <v>2750</v>
      </c>
      <c r="J138" s="87" t="inlineStr">
        <is>
          <t>S$18.9</t>
        </is>
      </c>
    </row>
    <row r="139" hidden="1" s="93">
      <c r="B139" s="10" t="inlineStr">
        <is>
          <t>큐텐싱가폴</t>
        </is>
      </c>
      <c r="C139" s="18" t="inlineStr">
        <is>
          <t>앰플</t>
        </is>
      </c>
      <c r="D139" s="18" t="inlineStr">
        <is>
          <t>200726=앰플 30ml</t>
        </is>
      </c>
      <c r="E139" s="18" t="n">
        <v>190801</v>
      </c>
      <c r="F139" s="7">
        <f>B139&amp;C139&amp;D139&amp;E139</f>
        <v/>
      </c>
      <c r="G139" s="18" t="n">
        <v>33774</v>
      </c>
      <c r="H139" s="27" t="n">
        <v>0.11</v>
      </c>
      <c r="I139" s="6" t="n">
        <v>3397</v>
      </c>
      <c r="J139" s="87" t="inlineStr">
        <is>
          <t>S$38.9</t>
        </is>
      </c>
    </row>
    <row r="140" hidden="1" s="93">
      <c r="B140" s="10" t="inlineStr">
        <is>
          <t>큐텐싱가폴</t>
        </is>
      </c>
      <c r="C140" s="18" t="inlineStr">
        <is>
          <t>선크림</t>
        </is>
      </c>
      <c r="D140" s="18" t="inlineStr">
        <is>
          <t>200726=선크림 50ml</t>
        </is>
      </c>
      <c r="E140" s="18" t="n">
        <v>190801</v>
      </c>
      <c r="F140" s="7">
        <f>B140&amp;C140&amp;D140&amp;E140</f>
        <v/>
      </c>
      <c r="G140" s="18" t="n">
        <v>25960</v>
      </c>
      <c r="H140" s="27" t="n">
        <v>0.11</v>
      </c>
      <c r="I140" s="6" t="n">
        <v>2345</v>
      </c>
      <c r="J140" s="87" t="inlineStr">
        <is>
          <t>S$29.9</t>
        </is>
      </c>
    </row>
    <row r="141" hidden="1" s="93">
      <c r="B141" s="10" t="inlineStr">
        <is>
          <t>쇼피태국</t>
        </is>
      </c>
      <c r="C141" s="18" t="inlineStr">
        <is>
          <t>토너</t>
        </is>
      </c>
      <c r="D141" s="18" t="inlineStr">
        <is>
          <t>200726=250ml</t>
        </is>
      </c>
      <c r="E141" s="18" t="n">
        <v>190801</v>
      </c>
      <c r="F141" s="7">
        <f>B141&amp;C141&amp;D141&amp;E141</f>
        <v/>
      </c>
      <c r="G141" s="18" t="n">
        <v>25053</v>
      </c>
      <c r="H141" s="27" t="n">
        <v>0.03</v>
      </c>
      <c r="I141" s="6" t="n">
        <v>3260</v>
      </c>
      <c r="J141" s="87" t="inlineStr">
        <is>
          <t>฿660</t>
        </is>
      </c>
    </row>
    <row r="142" hidden="1" s="93">
      <c r="B142" s="10" t="inlineStr">
        <is>
          <t>쇼피태국</t>
        </is>
      </c>
      <c r="C142" s="18" t="inlineStr">
        <is>
          <t>토너</t>
        </is>
      </c>
      <c r="D142" s="18" t="inlineStr">
        <is>
          <t>200726=500ml</t>
        </is>
      </c>
      <c r="E142" s="18" t="n">
        <v>190801</v>
      </c>
      <c r="F142" s="7">
        <f>B142&amp;C142&amp;D142&amp;E142</f>
        <v/>
      </c>
      <c r="G142" s="18" t="n">
        <v>44792</v>
      </c>
      <c r="H142" s="27" t="n">
        <v>0.03</v>
      </c>
      <c r="I142" s="6" t="n">
        <v>4725</v>
      </c>
      <c r="J142" s="87" t="inlineStr">
        <is>
          <t>฿1,180</t>
        </is>
      </c>
    </row>
    <row r="143" hidden="1" s="93">
      <c r="B143" s="10" t="inlineStr">
        <is>
          <t>쇼피태국</t>
        </is>
      </c>
      <c r="C143" s="18" t="inlineStr">
        <is>
          <t>마스크팩</t>
        </is>
      </c>
      <c r="D143" s="18" t="inlineStr">
        <is>
          <t>200726=마스크팩 10매</t>
        </is>
      </c>
      <c r="E143" s="18" t="n">
        <v>190801</v>
      </c>
      <c r="F143" s="7">
        <f>B143&amp;C143&amp;D143&amp;E143</f>
        <v/>
      </c>
      <c r="G143" s="18" t="n">
        <v>39858</v>
      </c>
      <c r="H143" s="27" t="n">
        <v>0.03</v>
      </c>
      <c r="I143" s="6" t="n">
        <v>3970</v>
      </c>
      <c r="J143" s="87" t="inlineStr">
        <is>
          <t>฿1,050</t>
        </is>
      </c>
    </row>
    <row r="144" hidden="1" s="93">
      <c r="B144" s="10" t="inlineStr">
        <is>
          <t>쇼피태국</t>
        </is>
      </c>
      <c r="C144" s="18" t="inlineStr">
        <is>
          <t>수딩크림</t>
        </is>
      </c>
      <c r="D144" s="18" t="inlineStr">
        <is>
          <t>200726=수딩크림 100ml</t>
        </is>
      </c>
      <c r="E144" s="18" t="n">
        <v>190801</v>
      </c>
      <c r="F144" s="7">
        <f>B144&amp;C144&amp;D144&amp;E144</f>
        <v/>
      </c>
      <c r="G144" s="18" t="n">
        <v>37960</v>
      </c>
      <c r="H144" s="27" t="n">
        <v>0.03</v>
      </c>
      <c r="I144" s="6" t="n">
        <v>4275</v>
      </c>
      <c r="J144" s="87" t="inlineStr">
        <is>
          <t>฿1,000</t>
        </is>
      </c>
    </row>
    <row r="145" hidden="1" s="93">
      <c r="B145" s="10" t="inlineStr">
        <is>
          <t>쇼피태국</t>
        </is>
      </c>
      <c r="C145" s="18" t="inlineStr">
        <is>
          <t>머드크림마스크</t>
        </is>
      </c>
      <c r="D145" s="18" t="inlineStr">
        <is>
          <t>200726=머드크림마스크 100ml</t>
        </is>
      </c>
      <c r="E145" s="18" t="n">
        <v>190801</v>
      </c>
      <c r="F145" s="7">
        <f>B145&amp;C145&amp;D145&amp;E145</f>
        <v/>
      </c>
      <c r="G145" s="18" t="n">
        <v>25053</v>
      </c>
      <c r="H145" s="27" t="n">
        <v>0.03</v>
      </c>
      <c r="I145" s="6" t="n">
        <v>1442</v>
      </c>
      <c r="J145" s="87" t="inlineStr">
        <is>
          <t>฿660</t>
        </is>
      </c>
    </row>
    <row r="146" hidden="1" s="93">
      <c r="B146" s="10" t="inlineStr">
        <is>
          <t>쇼피태국</t>
        </is>
      </c>
      <c r="C146" s="18" t="inlineStr">
        <is>
          <t>클렌징폼</t>
        </is>
      </c>
      <c r="D146" s="18" t="inlineStr">
        <is>
          <t>200726=클렌징폼 120ml</t>
        </is>
      </c>
      <c r="E146" s="18" t="n">
        <v>190801</v>
      </c>
      <c r="F146" s="7">
        <f>B146&amp;C146&amp;D146&amp;E146</f>
        <v/>
      </c>
      <c r="G146" s="18" t="n">
        <v>15943</v>
      </c>
      <c r="H146" s="27" t="n">
        <v>0.03</v>
      </c>
      <c r="I146" s="6" t="n">
        <v>2750</v>
      </c>
      <c r="J146" s="87" t="inlineStr">
        <is>
          <t>฿420</t>
        </is>
      </c>
    </row>
    <row r="147" hidden="1" s="93">
      <c r="B147" s="10" t="inlineStr">
        <is>
          <t>쇼피태국</t>
        </is>
      </c>
      <c r="C147" s="18" t="inlineStr">
        <is>
          <t>앰플</t>
        </is>
      </c>
      <c r="D147" s="18" t="inlineStr">
        <is>
          <t>200726=앰플 30ml</t>
        </is>
      </c>
      <c r="E147" s="18" t="n">
        <v>190801</v>
      </c>
      <c r="F147" s="7">
        <f>B147&amp;C147&amp;D147&amp;E147</f>
        <v/>
      </c>
      <c r="G147" s="18" t="n">
        <v>33025</v>
      </c>
      <c r="H147" s="27" t="n">
        <v>0.03</v>
      </c>
      <c r="I147" s="6" t="n">
        <v>3397</v>
      </c>
      <c r="J147" s="87" t="inlineStr">
        <is>
          <t>฿870</t>
        </is>
      </c>
    </row>
    <row r="148" hidden="1" s="93">
      <c r="B148" s="10" t="inlineStr">
        <is>
          <t>쇼피태국</t>
        </is>
      </c>
      <c r="C148" s="18" t="inlineStr">
        <is>
          <t>선크림</t>
        </is>
      </c>
      <c r="D148" s="18" t="inlineStr">
        <is>
          <t>200726=선크림 50ml</t>
        </is>
      </c>
      <c r="E148" s="18" t="n">
        <v>190801</v>
      </c>
      <c r="F148" s="7">
        <f>B148&amp;C148&amp;D148&amp;E148</f>
        <v/>
      </c>
      <c r="G148" s="18" t="n">
        <v>25053</v>
      </c>
      <c r="H148" s="27" t="n">
        <v>0.03</v>
      </c>
      <c r="I148" s="6" t="n">
        <v>2345</v>
      </c>
      <c r="J148" s="87" t="inlineStr">
        <is>
          <t>฿660</t>
        </is>
      </c>
    </row>
    <row r="149" hidden="1" s="93">
      <c r="B149" s="10" t="inlineStr">
        <is>
          <t>쇼피태국</t>
        </is>
      </c>
      <c r="C149" s="18" t="inlineStr">
        <is>
          <t>토너</t>
        </is>
      </c>
      <c r="D149" s="18" t="inlineStr">
        <is>
          <t>200726=250ml 2set</t>
        </is>
      </c>
      <c r="E149" s="18" t="n">
        <v>190801</v>
      </c>
      <c r="F149" s="7">
        <f>B149&amp;C149&amp;D149&amp;E149</f>
        <v/>
      </c>
      <c r="G149" s="18" t="n">
        <v>47829</v>
      </c>
      <c r="H149" s="27" t="n">
        <v>0.03</v>
      </c>
      <c r="I149" s="6" t="n">
        <v>6520</v>
      </c>
      <c r="J149" s="87" t="inlineStr">
        <is>
          <t>฿1,260</t>
        </is>
      </c>
      <c r="L149" s="31" t="n"/>
    </row>
    <row r="150" hidden="1" s="93">
      <c r="B150" s="10" t="inlineStr">
        <is>
          <t>쇼피필리핀</t>
        </is>
      </c>
      <c r="C150" s="18" t="inlineStr">
        <is>
          <t>토너</t>
        </is>
      </c>
      <c r="D150" s="18" t="inlineStr">
        <is>
          <t>200726=250ml</t>
        </is>
      </c>
      <c r="E150" s="18" t="n">
        <v>190801</v>
      </c>
      <c r="F150" s="7">
        <f>B150&amp;C150&amp;D150&amp;E150</f>
        <v/>
      </c>
      <c r="G150" s="18" t="n">
        <v>26341</v>
      </c>
      <c r="H150" s="27" t="n">
        <v>0.06</v>
      </c>
      <c r="I150" s="6" t="n">
        <v>3260</v>
      </c>
      <c r="J150" s="32" t="inlineStr">
        <is>
          <t>₱1,080</t>
        </is>
      </c>
      <c r="K150" s="132" t="n"/>
      <c r="L150" s="31" t="n"/>
    </row>
    <row r="151" hidden="1" s="93">
      <c r="B151" s="10" t="inlineStr">
        <is>
          <t>쇼피필리핀</t>
        </is>
      </c>
      <c r="C151" s="18" t="inlineStr">
        <is>
          <t>토너</t>
        </is>
      </c>
      <c r="D151" s="18" t="inlineStr">
        <is>
          <t>200726=500ml</t>
        </is>
      </c>
      <c r="E151" s="18" t="n">
        <v>190801</v>
      </c>
      <c r="F151" s="7">
        <f>B151&amp;C151&amp;D151&amp;E151</f>
        <v/>
      </c>
      <c r="G151" s="18" t="n">
        <v>45853</v>
      </c>
      <c r="H151" s="27" t="n">
        <v>0.06</v>
      </c>
      <c r="I151" s="6" t="n">
        <v>4725</v>
      </c>
      <c r="J151" s="32" t="inlineStr">
        <is>
          <t>₱1,880</t>
        </is>
      </c>
      <c r="K151" s="132" t="n"/>
      <c r="L151" s="31" t="n"/>
    </row>
    <row r="152" hidden="1" s="93">
      <c r="B152" s="10" t="inlineStr">
        <is>
          <t>쇼피필리핀</t>
        </is>
      </c>
      <c r="C152" s="18" t="inlineStr">
        <is>
          <t>마스크팩</t>
        </is>
      </c>
      <c r="D152" s="18" t="inlineStr">
        <is>
          <t>200726=마스크팩 10매</t>
        </is>
      </c>
      <c r="E152" s="18" t="n">
        <v>190801</v>
      </c>
      <c r="F152" s="7">
        <f>B152&amp;C152&amp;D152&amp;E152</f>
        <v/>
      </c>
      <c r="G152" s="18" t="n">
        <v>44877</v>
      </c>
      <c r="H152" s="27" t="n">
        <v>0.06</v>
      </c>
      <c r="I152" s="6" t="n">
        <v>3970</v>
      </c>
      <c r="J152" s="32" t="inlineStr">
        <is>
          <t>₱1,840</t>
        </is>
      </c>
      <c r="K152" s="132" t="n"/>
      <c r="L152" s="31" t="n"/>
    </row>
    <row r="153" hidden="1" s="93">
      <c r="B153" s="10" t="inlineStr">
        <is>
          <t>쇼피필리핀</t>
        </is>
      </c>
      <c r="C153" s="18" t="inlineStr">
        <is>
          <t>수딩크림</t>
        </is>
      </c>
      <c r="D153" s="18" t="inlineStr">
        <is>
          <t>200726=수딩크림 100ml</t>
        </is>
      </c>
      <c r="E153" s="18" t="n">
        <v>190801</v>
      </c>
      <c r="F153" s="7">
        <f>B153&amp;C153&amp;D153&amp;E153</f>
        <v/>
      </c>
      <c r="G153" s="18" t="n">
        <v>39024</v>
      </c>
      <c r="H153" s="27" t="n">
        <v>0.06</v>
      </c>
      <c r="I153" s="6" t="n">
        <v>4275</v>
      </c>
      <c r="J153" s="32" t="inlineStr">
        <is>
          <t>₱1,600</t>
        </is>
      </c>
      <c r="K153" s="132" t="n"/>
      <c r="L153" s="31" t="n"/>
    </row>
    <row r="154" hidden="1" s="93">
      <c r="B154" s="10" t="inlineStr">
        <is>
          <t>쇼피필리핀</t>
        </is>
      </c>
      <c r="C154" s="18" t="inlineStr">
        <is>
          <t>머드크림마스크</t>
        </is>
      </c>
      <c r="D154" s="18" t="inlineStr">
        <is>
          <t>200726=머드크림마스크 100ml</t>
        </is>
      </c>
      <c r="E154" s="18" t="n">
        <v>190801</v>
      </c>
      <c r="F154" s="7">
        <f>B154&amp;C154&amp;D154&amp;E154</f>
        <v/>
      </c>
      <c r="G154" s="18" t="n">
        <v>26097</v>
      </c>
      <c r="H154" s="27" t="n">
        <v>0.06</v>
      </c>
      <c r="I154" s="6" t="n">
        <v>1442</v>
      </c>
      <c r="J154" s="32" t="inlineStr">
        <is>
          <t>₱1,070</t>
        </is>
      </c>
      <c r="K154" s="132" t="n"/>
    </row>
    <row r="155" hidden="1" s="93">
      <c r="B155" s="10" t="inlineStr">
        <is>
          <t>쇼피필리핀</t>
        </is>
      </c>
      <c r="C155" s="18" t="inlineStr">
        <is>
          <t>클렌징폼</t>
        </is>
      </c>
      <c r="D155" s="18" t="inlineStr">
        <is>
          <t>200726=클렌징폼 120ml</t>
        </is>
      </c>
      <c r="E155" s="18" t="n">
        <v>190801</v>
      </c>
      <c r="F155" s="7">
        <f>B155&amp;C155&amp;D155&amp;E155</f>
        <v/>
      </c>
      <c r="G155" s="18" t="n">
        <v>16829</v>
      </c>
      <c r="H155" s="27" t="n">
        <v>0.06</v>
      </c>
      <c r="I155" s="6" t="n">
        <v>2750</v>
      </c>
      <c r="J155" s="32" t="inlineStr">
        <is>
          <t>₱690</t>
        </is>
      </c>
      <c r="K155" s="132" t="n"/>
    </row>
    <row r="156" hidden="1" s="93">
      <c r="B156" s="10" t="inlineStr">
        <is>
          <t>쇼피필리핀</t>
        </is>
      </c>
      <c r="C156" s="18" t="inlineStr">
        <is>
          <t>앰플</t>
        </is>
      </c>
      <c r="D156" s="18" t="inlineStr">
        <is>
          <t>200726=앰플 30ml</t>
        </is>
      </c>
      <c r="E156" s="18" t="n">
        <v>190801</v>
      </c>
      <c r="F156" s="7">
        <f>B156&amp;C156&amp;D156&amp;E156</f>
        <v/>
      </c>
      <c r="G156" s="18" t="n">
        <v>34146</v>
      </c>
      <c r="H156" s="27" t="n">
        <v>0.06</v>
      </c>
      <c r="I156" s="6" t="n">
        <v>3397</v>
      </c>
      <c r="J156" s="32" t="inlineStr">
        <is>
          <t>₱1,400</t>
        </is>
      </c>
      <c r="K156" s="132" t="n"/>
    </row>
    <row r="157" hidden="1" s="93">
      <c r="B157" s="10" t="inlineStr">
        <is>
          <t>쇼피필리핀</t>
        </is>
      </c>
      <c r="C157" s="18" t="inlineStr">
        <is>
          <t>선크림</t>
        </is>
      </c>
      <c r="D157" s="18" t="inlineStr">
        <is>
          <t>200726=선크림 50ml</t>
        </is>
      </c>
      <c r="E157" s="18" t="n">
        <v>190801</v>
      </c>
      <c r="F157" s="7">
        <f>B157&amp;C157&amp;D157&amp;E157</f>
        <v/>
      </c>
      <c r="G157" s="18" t="n">
        <v>26097</v>
      </c>
      <c r="H157" s="27" t="n">
        <v>0.06</v>
      </c>
      <c r="I157" s="6" t="n">
        <v>2345</v>
      </c>
      <c r="J157" s="32" t="inlineStr">
        <is>
          <t>₱1,070</t>
        </is>
      </c>
      <c r="K157" s="132" t="n"/>
    </row>
    <row r="158" hidden="1" s="93">
      <c r="B158" s="10" t="inlineStr">
        <is>
          <t>쇼피필리핀</t>
        </is>
      </c>
      <c r="C158" s="18" t="inlineStr">
        <is>
          <t>토너</t>
        </is>
      </c>
      <c r="D158" s="18" t="inlineStr">
        <is>
          <t>200726=250ml 2set</t>
        </is>
      </c>
      <c r="E158" s="18" t="n">
        <v>190801</v>
      </c>
      <c r="F158" s="7">
        <f>B158&amp;C158&amp;D158&amp;E158</f>
        <v/>
      </c>
      <c r="G158" s="18" t="n">
        <v>45853</v>
      </c>
      <c r="H158" s="27" t="n">
        <v>0.06</v>
      </c>
      <c r="I158" s="6" t="n">
        <v>6520</v>
      </c>
      <c r="J158" s="32" t="inlineStr">
        <is>
          <t>₱1,880</t>
        </is>
      </c>
      <c r="K158" s="132" t="n"/>
    </row>
    <row r="159" hidden="1" s="93">
      <c r="B159" s="10" t="inlineStr">
        <is>
          <t>쇼피필리핀</t>
        </is>
      </c>
      <c r="C159" s="18" t="inlineStr">
        <is>
          <t>토너</t>
        </is>
      </c>
      <c r="D159" s="18" t="inlineStr">
        <is>
          <t>200726=500ml 2set</t>
        </is>
      </c>
      <c r="E159" s="18" t="n">
        <v>190801</v>
      </c>
      <c r="F159" s="7">
        <f>B159&amp;C159&amp;D159&amp;E159</f>
        <v/>
      </c>
      <c r="G159" s="18" t="n">
        <v>82926</v>
      </c>
      <c r="H159" s="27" t="n">
        <v>0.06</v>
      </c>
      <c r="I159" s="6" t="n">
        <v>9450</v>
      </c>
      <c r="J159" s="32" t="inlineStr">
        <is>
          <t>₱3,400</t>
        </is>
      </c>
      <c r="K159" s="132" t="n"/>
    </row>
    <row r="160" hidden="1" s="93">
      <c r="B160" s="33" t="inlineStr">
        <is>
          <t>쇼피태국</t>
        </is>
      </c>
      <c r="C160" s="24" t="inlineStr">
        <is>
          <t>토너</t>
        </is>
      </c>
      <c r="D160" s="26" t="inlineStr">
        <is>
          <t>200728=250ml = 화장솜 60P</t>
        </is>
      </c>
      <c r="E160" s="25" t="n">
        <v>190801</v>
      </c>
      <c r="F160" s="7">
        <f>B160&amp;C160&amp;D160&amp;E160</f>
        <v/>
      </c>
      <c r="G160" s="133" t="n">
        <v>3000</v>
      </c>
      <c r="H160" s="27" t="n">
        <v>0.03</v>
      </c>
      <c r="I160" s="6" t="n">
        <v>1110</v>
      </c>
      <c r="J160" s="32" t="inlineStr">
        <is>
          <t>฿80</t>
        </is>
      </c>
      <c r="K160" s="132" t="n"/>
    </row>
    <row r="161" hidden="1" s="93">
      <c r="B161" s="33" t="inlineStr">
        <is>
          <t>쇼피태국</t>
        </is>
      </c>
      <c r="C161" s="24" t="inlineStr">
        <is>
          <t>토너</t>
        </is>
      </c>
      <c r="D161" s="26" t="inlineStr">
        <is>
          <t>200728=250ml = 화장솜 60P X 2</t>
        </is>
      </c>
      <c r="E161" s="25" t="n">
        <v>190801</v>
      </c>
      <c r="F161" s="7">
        <f>B161&amp;C161&amp;D161&amp;E161</f>
        <v/>
      </c>
      <c r="G161" s="133" t="n">
        <v>7200</v>
      </c>
      <c r="H161" s="27" t="n">
        <v>0.03</v>
      </c>
      <c r="I161" s="6" t="n">
        <v>2220</v>
      </c>
      <c r="J161" s="32" t="inlineStr">
        <is>
          <t>฿190</t>
        </is>
      </c>
      <c r="K161" s="132" t="n"/>
    </row>
    <row r="162" hidden="1" s="93">
      <c r="B162" s="33" t="inlineStr">
        <is>
          <t>쇼피태국</t>
        </is>
      </c>
      <c r="C162" s="24" t="inlineStr">
        <is>
          <t>토너</t>
        </is>
      </c>
      <c r="D162" s="26" t="inlineStr">
        <is>
          <t>200728=250ml 2set = 화장솜 60P</t>
        </is>
      </c>
      <c r="E162" s="25" t="n">
        <v>190801</v>
      </c>
      <c r="F162" s="7">
        <f>B162&amp;C162&amp;D162&amp;E162</f>
        <v/>
      </c>
      <c r="G162" s="133" t="n">
        <v>4200</v>
      </c>
      <c r="H162" s="27" t="n">
        <v>0.03</v>
      </c>
      <c r="I162" s="6" t="n">
        <v>1110</v>
      </c>
      <c r="J162" s="32" t="inlineStr">
        <is>
          <t>฿110</t>
        </is>
      </c>
      <c r="K162" s="132" t="n"/>
    </row>
    <row r="163" hidden="1" s="93">
      <c r="B163" s="33" t="inlineStr">
        <is>
          <t>쇼피태국</t>
        </is>
      </c>
      <c r="C163" s="24" t="inlineStr">
        <is>
          <t>토너</t>
        </is>
      </c>
      <c r="D163" s="26" t="inlineStr">
        <is>
          <t>200728=250ml 2set = 화장솜 60P X 2</t>
        </is>
      </c>
      <c r="E163" s="25" t="n">
        <v>190801</v>
      </c>
      <c r="F163" s="7">
        <f>B163&amp;C163&amp;D163&amp;E163</f>
        <v/>
      </c>
      <c r="G163" s="133" t="n">
        <v>8400</v>
      </c>
      <c r="H163" s="27" t="n">
        <v>0.03</v>
      </c>
      <c r="I163" s="6" t="n">
        <v>2220</v>
      </c>
      <c r="J163" s="32" t="inlineStr">
        <is>
          <t>฿220</t>
        </is>
      </c>
      <c r="K163" s="132" t="n"/>
    </row>
    <row r="164" hidden="1" s="93">
      <c r="B164" s="33" t="inlineStr">
        <is>
          <t>쇼피태국</t>
        </is>
      </c>
      <c r="C164" s="24" t="inlineStr">
        <is>
          <t>토너</t>
        </is>
      </c>
      <c r="D164" s="26" t="inlineStr">
        <is>
          <t>200728=500ml = 화장솜 60P</t>
        </is>
      </c>
      <c r="E164" s="25" t="n">
        <v>190801</v>
      </c>
      <c r="F164" s="7">
        <f>B164&amp;C164&amp;D164&amp;E164</f>
        <v/>
      </c>
      <c r="G164" s="133" t="n">
        <v>4200</v>
      </c>
      <c r="H164" s="27" t="n">
        <v>0.03</v>
      </c>
      <c r="I164" s="6" t="n">
        <v>1110</v>
      </c>
      <c r="J164" s="32" t="inlineStr">
        <is>
          <t>฿110</t>
        </is>
      </c>
      <c r="K164" s="132" t="n"/>
    </row>
    <row r="165" hidden="1" s="93">
      <c r="B165" s="33" t="inlineStr">
        <is>
          <t>쇼피태국</t>
        </is>
      </c>
      <c r="C165" s="24" t="inlineStr">
        <is>
          <t>토너</t>
        </is>
      </c>
      <c r="D165" s="26" t="inlineStr">
        <is>
          <t>200728=500ml = 화장솜 60P X 2</t>
        </is>
      </c>
      <c r="E165" s="25" t="n">
        <v>190801</v>
      </c>
      <c r="F165" s="7">
        <f>B165&amp;C165&amp;D165&amp;E165</f>
        <v/>
      </c>
      <c r="G165" s="133" t="n">
        <v>8400</v>
      </c>
      <c r="H165" s="27" t="n">
        <v>0.03</v>
      </c>
      <c r="I165" s="6" t="n">
        <v>2220</v>
      </c>
      <c r="J165" s="32" t="inlineStr">
        <is>
          <t>฿220</t>
        </is>
      </c>
      <c r="K165" s="132" t="n"/>
    </row>
    <row r="166">
      <c r="B166" s="6" t="inlineStr">
        <is>
          <t>랄라블라</t>
        </is>
      </c>
      <c r="C166" s="6" t="inlineStr">
        <is>
          <t>마스크팩</t>
        </is>
      </c>
      <c r="D166" s="6" t="inlineStr">
        <is>
          <t>마스크 5+1 기획세트</t>
        </is>
      </c>
      <c r="E166" s="6" t="n">
        <v>190801</v>
      </c>
      <c r="F166" s="7">
        <f>B166&amp;C166&amp;D166&amp;E166</f>
        <v/>
      </c>
      <c r="G166" s="6" t="n">
        <v>5597</v>
      </c>
      <c r="H166" s="27" t="n">
        <v>0</v>
      </c>
      <c r="I166" s="6" t="n">
        <v>2660</v>
      </c>
    </row>
    <row r="167" hidden="1" s="93">
      <c r="B167" s="34" t="inlineStr">
        <is>
          <t>큐텐싱가폴</t>
        </is>
      </c>
      <c r="C167" s="20" t="inlineStr">
        <is>
          <t>토너</t>
        </is>
      </c>
      <c r="D167" s="23" t="inlineStr">
        <is>
          <t>200726=250ml = 화장솜 60P</t>
        </is>
      </c>
      <c r="E167" s="21" t="n">
        <v>190801</v>
      </c>
      <c r="F167" s="7">
        <f>B167&amp;C167&amp;D167&amp;E167</f>
        <v/>
      </c>
      <c r="G167" s="134" t="n">
        <v>4341</v>
      </c>
      <c r="H167" s="27" t="n">
        <v>0.11</v>
      </c>
      <c r="I167" s="6" t="n">
        <v>1110</v>
      </c>
      <c r="J167" s="32" t="inlineStr">
        <is>
          <t>S$5</t>
        </is>
      </c>
      <c r="K167" s="132" t="n"/>
    </row>
    <row r="168" hidden="1" s="93">
      <c r="B168" s="35" t="inlineStr">
        <is>
          <t>쇼피말레이시아</t>
        </is>
      </c>
      <c r="C168" s="36" t="inlineStr">
        <is>
          <t>토너</t>
        </is>
      </c>
      <c r="D168" s="37" t="inlineStr">
        <is>
          <t>200812=250ml</t>
        </is>
      </c>
      <c r="E168" s="38" t="n">
        <v>190801</v>
      </c>
      <c r="F168" s="7">
        <f>B168&amp;C168&amp;D168&amp;E168</f>
        <v/>
      </c>
      <c r="G168" s="38" t="n">
        <v>22593</v>
      </c>
      <c r="H168" s="27" t="n">
        <v>0.06</v>
      </c>
      <c r="I168" s="135" t="n">
        <v>3260</v>
      </c>
      <c r="J168" s="32" t="inlineStr">
        <is>
          <t>RM 79.99</t>
        </is>
      </c>
      <c r="K168" s="132" t="n"/>
    </row>
    <row r="169" hidden="1" s="93">
      <c r="B169" s="35" t="inlineStr">
        <is>
          <t>쇼피말레이시아</t>
        </is>
      </c>
      <c r="C169" s="36" t="inlineStr">
        <is>
          <t>토너</t>
        </is>
      </c>
      <c r="D169" s="37" t="inlineStr">
        <is>
          <t>200812=500ml</t>
        </is>
      </c>
      <c r="E169" s="38" t="n">
        <v>190801</v>
      </c>
      <c r="F169" s="7">
        <f>B169&amp;C169&amp;D169&amp;E169</f>
        <v/>
      </c>
      <c r="G169" s="38" t="n">
        <v>45189</v>
      </c>
      <c r="H169" s="27" t="n">
        <v>0.06</v>
      </c>
      <c r="I169" s="135" t="n">
        <v>4725</v>
      </c>
      <c r="J169" s="32" t="inlineStr">
        <is>
          <t>RM 159.99</t>
        </is>
      </c>
      <c r="K169" s="132" t="n"/>
    </row>
    <row r="170" hidden="1" s="93">
      <c r="B170" s="35" t="inlineStr">
        <is>
          <t>쇼피말레이시아</t>
        </is>
      </c>
      <c r="C170" s="36" t="inlineStr">
        <is>
          <t>마스크팩</t>
        </is>
      </c>
      <c r="D170" s="36" t="inlineStr">
        <is>
          <t>200812=마스크팩 10매</t>
        </is>
      </c>
      <c r="E170" s="38" t="n">
        <v>190801</v>
      </c>
      <c r="F170" s="7">
        <f>B170&amp;C170&amp;D170&amp;E170</f>
        <v/>
      </c>
      <c r="G170" s="38" t="n">
        <v>39540</v>
      </c>
      <c r="H170" s="27" t="n">
        <v>0.06</v>
      </c>
      <c r="I170" s="135" t="n">
        <v>3970</v>
      </c>
      <c r="J170" s="32" t="inlineStr">
        <is>
          <t>RM 139.99</t>
        </is>
      </c>
      <c r="K170" s="132" t="n"/>
    </row>
    <row r="171" hidden="1" s="93">
      <c r="B171" s="35" t="inlineStr">
        <is>
          <t>쇼피말레이시아</t>
        </is>
      </c>
      <c r="C171" s="36" t="inlineStr">
        <is>
          <t>수딩크림</t>
        </is>
      </c>
      <c r="D171" s="36" t="inlineStr">
        <is>
          <t>200812=수딩크림 100ml</t>
        </is>
      </c>
      <c r="E171" s="38" t="n">
        <v>190801</v>
      </c>
      <c r="F171" s="7">
        <f>B171&amp;C171&amp;D171&amp;E171</f>
        <v/>
      </c>
      <c r="G171" s="38" t="n">
        <v>36715</v>
      </c>
      <c r="H171" s="27" t="n">
        <v>0.06</v>
      </c>
      <c r="I171" s="135" t="n">
        <v>4275</v>
      </c>
      <c r="J171" s="32" t="inlineStr">
        <is>
          <t>RM 129.99</t>
        </is>
      </c>
      <c r="K171" s="132" t="n"/>
    </row>
    <row r="172" hidden="1" s="93">
      <c r="B172" s="35" t="inlineStr">
        <is>
          <t>쇼피말레이시아</t>
        </is>
      </c>
      <c r="C172" s="36" t="inlineStr">
        <is>
          <t>머드크림마스크</t>
        </is>
      </c>
      <c r="D172" s="36" t="inlineStr">
        <is>
          <t>200812=머드크림마스크 100ml</t>
        </is>
      </c>
      <c r="E172" s="38" t="n">
        <v>190801</v>
      </c>
      <c r="F172" s="7">
        <f>B172&amp;C172&amp;D172&amp;E172</f>
        <v/>
      </c>
      <c r="G172" s="38" t="n">
        <v>24005</v>
      </c>
      <c r="H172" s="27" t="n">
        <v>0.06</v>
      </c>
      <c r="I172" s="135" t="n">
        <v>1442</v>
      </c>
      <c r="J172" s="32" t="inlineStr">
        <is>
          <t>RM 84.99</t>
        </is>
      </c>
      <c r="K172" s="132" t="n"/>
    </row>
    <row r="173" hidden="1" s="93">
      <c r="B173" s="35" t="inlineStr">
        <is>
          <t>쇼피말레이시아</t>
        </is>
      </c>
      <c r="C173" s="36" t="inlineStr">
        <is>
          <t>앰플</t>
        </is>
      </c>
      <c r="D173" s="36" t="inlineStr">
        <is>
          <t>200812=앰플 30ml</t>
        </is>
      </c>
      <c r="E173" s="38" t="n">
        <v>190801</v>
      </c>
      <c r="F173" s="7">
        <f>B173&amp;C173&amp;D173&amp;E173</f>
        <v/>
      </c>
      <c r="G173" s="38" t="n">
        <v>31066</v>
      </c>
      <c r="H173" s="27" t="n">
        <v>0.06</v>
      </c>
      <c r="I173" s="135" t="n">
        <v>3397</v>
      </c>
      <c r="J173" s="32" t="inlineStr">
        <is>
          <t>RM 109.99</t>
        </is>
      </c>
      <c r="K173" s="132" t="n"/>
    </row>
    <row r="174" hidden="1" s="93">
      <c r="B174" s="35" t="inlineStr">
        <is>
          <t>쇼피말레이시아</t>
        </is>
      </c>
      <c r="C174" s="36" t="inlineStr">
        <is>
          <t>선크림</t>
        </is>
      </c>
      <c r="D174" s="36" t="inlineStr">
        <is>
          <t>200812=선크림 50ml</t>
        </is>
      </c>
      <c r="E174" s="38" t="n">
        <v>190801</v>
      </c>
      <c r="F174" s="7">
        <f>B174&amp;C174&amp;D174&amp;E174</f>
        <v/>
      </c>
      <c r="G174" s="38" t="n">
        <v>25417</v>
      </c>
      <c r="H174" s="27" t="n">
        <v>0.06</v>
      </c>
      <c r="I174" s="135" t="n">
        <v>2345</v>
      </c>
      <c r="J174" s="32" t="inlineStr">
        <is>
          <t>RM 89.99</t>
        </is>
      </c>
      <c r="K174" s="132" t="n"/>
    </row>
    <row r="175" hidden="1" s="93">
      <c r="B175" s="35" t="inlineStr">
        <is>
          <t>쇼피태국</t>
        </is>
      </c>
      <c r="C175" s="36" t="inlineStr">
        <is>
          <t>토너</t>
        </is>
      </c>
      <c r="D175" s="36" t="inlineStr">
        <is>
          <t>200812=250ml</t>
        </is>
      </c>
      <c r="E175" s="38" t="n">
        <v>190801</v>
      </c>
      <c r="F175" s="7">
        <f>B175&amp;C175&amp;D175&amp;E175</f>
        <v/>
      </c>
      <c r="G175" s="136" t="n">
        <v>24771</v>
      </c>
      <c r="H175" s="27" t="n">
        <v>0.03</v>
      </c>
      <c r="I175" s="135" t="n">
        <v>3260</v>
      </c>
      <c r="J175" s="32" t="inlineStr">
        <is>
          <t>฿650</t>
        </is>
      </c>
      <c r="K175" s="132" t="n"/>
    </row>
    <row r="176" hidden="1" s="93">
      <c r="B176" s="35" t="inlineStr">
        <is>
          <t>쇼피태국</t>
        </is>
      </c>
      <c r="C176" s="36" t="inlineStr">
        <is>
          <t>토너</t>
        </is>
      </c>
      <c r="D176" s="36" t="inlineStr">
        <is>
          <t>200812=500ml</t>
        </is>
      </c>
      <c r="E176" s="38" t="n">
        <v>190801</v>
      </c>
      <c r="F176" s="7">
        <f>B176&amp;C176&amp;D176&amp;E176</f>
        <v/>
      </c>
      <c r="G176" s="136" t="n">
        <v>44969</v>
      </c>
      <c r="H176" s="27" t="n">
        <v>0.03</v>
      </c>
      <c r="I176" s="135" t="n">
        <v>4725</v>
      </c>
      <c r="J176" s="32" t="inlineStr">
        <is>
          <t>฿1,180</t>
        </is>
      </c>
      <c r="K176" s="132" t="n"/>
    </row>
    <row r="177" hidden="1" s="93">
      <c r="B177" s="35" t="inlineStr">
        <is>
          <t>쇼피태국</t>
        </is>
      </c>
      <c r="C177" s="36" t="inlineStr">
        <is>
          <t>마스크팩</t>
        </is>
      </c>
      <c r="D177" s="36" t="inlineStr">
        <is>
          <t>200812=마스크팩 10매</t>
        </is>
      </c>
      <c r="E177" s="38" t="n">
        <v>190801</v>
      </c>
      <c r="F177" s="7">
        <f>B177&amp;C177&amp;D177&amp;E177</f>
        <v/>
      </c>
      <c r="G177" s="136" t="n">
        <v>40015</v>
      </c>
      <c r="H177" s="27" t="n">
        <v>0.03</v>
      </c>
      <c r="I177" s="135" t="n">
        <v>3970</v>
      </c>
      <c r="J177" s="32" t="inlineStr">
        <is>
          <t>฿1,050</t>
        </is>
      </c>
      <c r="K177" s="132" t="n"/>
    </row>
    <row r="178" hidden="1" s="93">
      <c r="B178" s="35" t="inlineStr">
        <is>
          <t>쇼피태국</t>
        </is>
      </c>
      <c r="C178" s="36" t="inlineStr">
        <is>
          <t>수딩크림</t>
        </is>
      </c>
      <c r="D178" s="36" t="inlineStr">
        <is>
          <t>200812=수딩크림 100ml</t>
        </is>
      </c>
      <c r="E178" s="38" t="n">
        <v>190801</v>
      </c>
      <c r="F178" s="7">
        <f>B178&amp;C178&amp;D178&amp;E178</f>
        <v/>
      </c>
      <c r="G178" s="136" t="n">
        <v>38110</v>
      </c>
      <c r="H178" s="27" t="n">
        <v>0.03</v>
      </c>
      <c r="I178" s="135" t="n">
        <v>4275</v>
      </c>
      <c r="J178" s="32" t="inlineStr">
        <is>
          <t>฿1,000</t>
        </is>
      </c>
      <c r="K178" s="132" t="n"/>
    </row>
    <row r="179" hidden="1" s="93">
      <c r="B179" s="35" t="inlineStr">
        <is>
          <t>쇼피태국</t>
        </is>
      </c>
      <c r="C179" s="36" t="inlineStr">
        <is>
          <t>머드크림마스크</t>
        </is>
      </c>
      <c r="D179" s="36" t="inlineStr">
        <is>
          <t>200812=머드크림마스크 100ml</t>
        </is>
      </c>
      <c r="E179" s="38" t="n">
        <v>190801</v>
      </c>
      <c r="F179" s="7">
        <f>B179&amp;C179&amp;D179&amp;E179</f>
        <v/>
      </c>
      <c r="G179" s="136" t="n">
        <v>22866</v>
      </c>
      <c r="H179" s="27" t="n">
        <v>0.03</v>
      </c>
      <c r="I179" s="135" t="n">
        <v>1442</v>
      </c>
      <c r="J179" s="32" t="inlineStr">
        <is>
          <t>฿600</t>
        </is>
      </c>
      <c r="K179" s="132" t="n"/>
    </row>
    <row r="180" hidden="1" s="93">
      <c r="B180" s="35" t="inlineStr">
        <is>
          <t>쇼피태국</t>
        </is>
      </c>
      <c r="C180" s="36" t="inlineStr">
        <is>
          <t>클렌징폼</t>
        </is>
      </c>
      <c r="D180" s="36" t="inlineStr">
        <is>
          <t>200812=클렌징폼 120ml</t>
        </is>
      </c>
      <c r="E180" s="38" t="n">
        <v>190801</v>
      </c>
      <c r="F180" s="7">
        <f>B180&amp;C180&amp;D180&amp;E180</f>
        <v/>
      </c>
      <c r="G180" s="136" t="n">
        <v>16006</v>
      </c>
      <c r="H180" s="27" t="n">
        <v>0.03</v>
      </c>
      <c r="I180" s="135" t="n">
        <v>2750</v>
      </c>
      <c r="J180" s="32" t="inlineStr">
        <is>
          <t>฿420</t>
        </is>
      </c>
      <c r="K180" s="132" t="n"/>
    </row>
    <row r="181" hidden="1" s="93">
      <c r="B181" s="35" t="inlineStr">
        <is>
          <t>쇼피태국</t>
        </is>
      </c>
      <c r="C181" s="36" t="inlineStr">
        <is>
          <t>앰플</t>
        </is>
      </c>
      <c r="D181" s="36" t="inlineStr">
        <is>
          <t>200812=앰플 30ml</t>
        </is>
      </c>
      <c r="E181" s="38" t="n">
        <v>190801</v>
      </c>
      <c r="F181" s="7">
        <f>B181&amp;C181&amp;D181&amp;E181</f>
        <v/>
      </c>
      <c r="G181" s="136" t="n">
        <v>32355</v>
      </c>
      <c r="H181" s="27" t="n">
        <v>0.03</v>
      </c>
      <c r="I181" s="135" t="n">
        <v>3397</v>
      </c>
      <c r="J181" s="32" t="inlineStr">
        <is>
          <t>฿849</t>
        </is>
      </c>
      <c r="K181" s="132" t="n"/>
    </row>
    <row r="182" hidden="1" s="93">
      <c r="B182" s="35" t="inlineStr">
        <is>
          <t>쇼피태국</t>
        </is>
      </c>
      <c r="C182" s="36" t="inlineStr">
        <is>
          <t>선크림</t>
        </is>
      </c>
      <c r="D182" s="36" t="inlineStr">
        <is>
          <t>200812=선크림 50ml</t>
        </is>
      </c>
      <c r="E182" s="38" t="n">
        <v>190801</v>
      </c>
      <c r="F182" s="7">
        <f>B182&amp;C182&amp;D182&amp;E182</f>
        <v/>
      </c>
      <c r="G182" s="136" t="n">
        <v>22866</v>
      </c>
      <c r="H182" s="27" t="n">
        <v>0.03</v>
      </c>
      <c r="I182" s="135" t="n">
        <v>2345</v>
      </c>
      <c r="J182" s="32" t="inlineStr">
        <is>
          <t>฿600</t>
        </is>
      </c>
      <c r="K182" s="132" t="n"/>
    </row>
    <row r="183" hidden="1" s="93">
      <c r="B183" s="35" t="inlineStr">
        <is>
          <t>쇼피필리핀</t>
        </is>
      </c>
      <c r="C183" s="36" t="inlineStr">
        <is>
          <t>토너</t>
        </is>
      </c>
      <c r="D183" s="36" t="inlineStr">
        <is>
          <t>200812=250ml</t>
        </is>
      </c>
      <c r="E183" s="38" t="n">
        <v>190801</v>
      </c>
      <c r="F183" s="7">
        <f>B183&amp;C183&amp;D183&amp;E183</f>
        <v/>
      </c>
      <c r="G183" s="136" t="n">
        <v>24185</v>
      </c>
      <c r="H183" s="27" t="n">
        <v>0.06</v>
      </c>
      <c r="I183" s="135" t="n">
        <v>3260</v>
      </c>
      <c r="J183" s="32" t="inlineStr">
        <is>
          <t>₱999</t>
        </is>
      </c>
      <c r="K183" s="132" t="n"/>
    </row>
    <row r="184" hidden="1" s="93">
      <c r="B184" s="35" t="inlineStr">
        <is>
          <t>쇼피필리핀</t>
        </is>
      </c>
      <c r="C184" s="36" t="inlineStr">
        <is>
          <t>토너</t>
        </is>
      </c>
      <c r="D184" s="36" t="inlineStr">
        <is>
          <t>200812=500ml</t>
        </is>
      </c>
      <c r="E184" s="38" t="n">
        <v>190801</v>
      </c>
      <c r="F184" s="7">
        <f>B184&amp;C184&amp;D184&amp;E184</f>
        <v/>
      </c>
      <c r="G184" s="136" t="n">
        <v>43553</v>
      </c>
      <c r="H184" s="27" t="n">
        <v>0.06</v>
      </c>
      <c r="I184" s="135" t="n">
        <v>4725</v>
      </c>
      <c r="J184" s="32" t="inlineStr">
        <is>
          <t>₱1,799</t>
        </is>
      </c>
      <c r="K184" s="132" t="n"/>
    </row>
    <row r="185" hidden="1" s="93">
      <c r="B185" s="35" t="inlineStr">
        <is>
          <t>쇼피필리핀</t>
        </is>
      </c>
      <c r="C185" s="36" t="inlineStr">
        <is>
          <t>마스크팩</t>
        </is>
      </c>
      <c r="D185" s="36" t="inlineStr">
        <is>
          <t>200812=마스크팩 10매</t>
        </is>
      </c>
      <c r="E185" s="38" t="n">
        <v>190801</v>
      </c>
      <c r="F185" s="7">
        <f>B185&amp;C185&amp;D185&amp;E185</f>
        <v/>
      </c>
      <c r="G185" s="136" t="n">
        <v>43553</v>
      </c>
      <c r="H185" s="27" t="n">
        <v>0.06</v>
      </c>
      <c r="I185" s="135" t="n">
        <v>3970</v>
      </c>
      <c r="J185" s="32" t="inlineStr">
        <is>
          <t>₱1,799</t>
        </is>
      </c>
      <c r="K185" s="132" t="n"/>
    </row>
    <row r="186" hidden="1" s="93">
      <c r="B186" s="35" t="inlineStr">
        <is>
          <t>쇼피필리핀</t>
        </is>
      </c>
      <c r="C186" s="36" t="inlineStr">
        <is>
          <t>수딩크림</t>
        </is>
      </c>
      <c r="D186" s="36" t="inlineStr">
        <is>
          <t>200812=수딩크림 100ml</t>
        </is>
      </c>
      <c r="E186" s="38" t="n">
        <v>190801</v>
      </c>
      <c r="F186" s="7">
        <f>B186&amp;C186&amp;D186&amp;E186</f>
        <v/>
      </c>
      <c r="G186" s="136" t="n">
        <v>38711</v>
      </c>
      <c r="H186" s="27" t="n">
        <v>0.06</v>
      </c>
      <c r="I186" s="135" t="n">
        <v>4275</v>
      </c>
      <c r="J186" s="32" t="inlineStr">
        <is>
          <t>₱1,599</t>
        </is>
      </c>
      <c r="K186" s="132" t="n"/>
    </row>
    <row r="187" hidden="1" s="93">
      <c r="B187" s="35" t="inlineStr">
        <is>
          <t>쇼피필리핀</t>
        </is>
      </c>
      <c r="C187" s="36" t="inlineStr">
        <is>
          <t>머드크림마스크</t>
        </is>
      </c>
      <c r="D187" s="36" t="inlineStr">
        <is>
          <t>200812=머드크림마스크 100ml</t>
        </is>
      </c>
      <c r="E187" s="38" t="n">
        <v>190801</v>
      </c>
      <c r="F187" s="7">
        <f>B187&amp;C187&amp;D187&amp;E187</f>
        <v/>
      </c>
      <c r="G187" s="136" t="n">
        <v>24185</v>
      </c>
      <c r="H187" s="27" t="n">
        <v>0.06</v>
      </c>
      <c r="I187" s="135" t="n">
        <v>1442</v>
      </c>
      <c r="J187" s="32" t="inlineStr">
        <is>
          <t>₱999</t>
        </is>
      </c>
      <c r="K187" s="132" t="n"/>
    </row>
    <row r="188" hidden="1" s="93">
      <c r="B188" s="35" t="inlineStr">
        <is>
          <t>쇼피필리핀</t>
        </is>
      </c>
      <c r="C188" s="36" t="inlineStr">
        <is>
          <t>클렌징폼</t>
        </is>
      </c>
      <c r="D188" s="36" t="inlineStr">
        <is>
          <t>200812=클렌징폼 120ml</t>
        </is>
      </c>
      <c r="E188" s="38" t="n">
        <v>190801</v>
      </c>
      <c r="F188" s="7">
        <f>B188&amp;C188&amp;D188&amp;E188</f>
        <v/>
      </c>
      <c r="G188" s="136" t="n">
        <v>16704</v>
      </c>
      <c r="H188" s="27" t="n">
        <v>0.06</v>
      </c>
      <c r="I188" s="135" t="n">
        <v>2750</v>
      </c>
      <c r="J188" s="32" t="inlineStr">
        <is>
          <t>₱690</t>
        </is>
      </c>
      <c r="K188" s="132" t="n"/>
    </row>
    <row r="189" hidden="1" s="93">
      <c r="B189" s="35" t="inlineStr">
        <is>
          <t>쇼피필리핀</t>
        </is>
      </c>
      <c r="C189" s="36" t="inlineStr">
        <is>
          <t>앰플</t>
        </is>
      </c>
      <c r="D189" s="36" t="inlineStr">
        <is>
          <t>200812=앰플 30ml</t>
        </is>
      </c>
      <c r="E189" s="38" t="n">
        <v>190801</v>
      </c>
      <c r="F189" s="7">
        <f>B189&amp;C189&amp;D189&amp;E189</f>
        <v/>
      </c>
      <c r="G189" s="136" t="n">
        <v>31957</v>
      </c>
      <c r="H189" s="27" t="n">
        <v>0.06</v>
      </c>
      <c r="I189" s="135" t="n">
        <v>3397</v>
      </c>
      <c r="J189" s="32" t="inlineStr">
        <is>
          <t>₱1,320</t>
        </is>
      </c>
      <c r="K189" s="132" t="n"/>
    </row>
    <row r="190" hidden="1" s="93">
      <c r="B190" s="35" t="inlineStr">
        <is>
          <t>쇼피필리핀</t>
        </is>
      </c>
      <c r="C190" s="36" t="inlineStr">
        <is>
          <t>선크림</t>
        </is>
      </c>
      <c r="D190" s="36" t="inlineStr">
        <is>
          <t>200812=선크림 50ml</t>
        </is>
      </c>
      <c r="E190" s="38" t="n">
        <v>190801</v>
      </c>
      <c r="F190" s="7">
        <f>B190&amp;C190&amp;D190&amp;E190</f>
        <v/>
      </c>
      <c r="G190" s="136" t="n">
        <v>24185</v>
      </c>
      <c r="H190" s="27" t="n">
        <v>0.06</v>
      </c>
      <c r="I190" s="135" t="n">
        <v>2345</v>
      </c>
      <c r="J190" s="32" t="inlineStr">
        <is>
          <t>₱999</t>
        </is>
      </c>
      <c r="K190" s="132" t="n"/>
    </row>
    <row r="191">
      <c r="B191" s="6" t="inlineStr">
        <is>
          <t>카페24</t>
        </is>
      </c>
      <c r="C191" s="6" t="inlineStr">
        <is>
          <t>앰플</t>
        </is>
      </c>
      <c r="D191" s="6" t="inlineStr">
        <is>
          <t>앰플 30ml  2set</t>
        </is>
      </c>
      <c r="E191" s="6" t="n">
        <v>190801</v>
      </c>
      <c r="F191" s="7">
        <f>B191&amp;C191&amp;D191&amp;E191</f>
        <v/>
      </c>
      <c r="G191" s="6" t="n">
        <v>48000</v>
      </c>
      <c r="H191" s="30" t="n">
        <v>0.0585</v>
      </c>
      <c r="I191" s="6" t="n">
        <v>6794</v>
      </c>
    </row>
    <row r="192">
      <c r="B192" s="5" t="inlineStr">
        <is>
          <t>화해</t>
        </is>
      </c>
      <c r="C192" s="6" t="inlineStr">
        <is>
          <t>마스크팩</t>
        </is>
      </c>
      <c r="D192" s="6" t="inlineStr">
        <is>
          <t>마스크팩 10매</t>
        </is>
      </c>
      <c r="E192" s="6" t="n">
        <v>190801</v>
      </c>
      <c r="F192" s="7">
        <f>B192&amp;C192&amp;D192&amp;E192</f>
        <v/>
      </c>
      <c r="G192" s="43" t="n">
        <v>20000</v>
      </c>
      <c r="H192" s="27" t="n">
        <v>0.25</v>
      </c>
      <c r="I192" s="6" t="n">
        <v>3970</v>
      </c>
      <c r="J192" s="32" t="n"/>
      <c r="K192" s="132" t="n"/>
    </row>
    <row r="193" hidden="1" s="93">
      <c r="B193" s="39" t="inlineStr">
        <is>
          <t>쇼피태국</t>
        </is>
      </c>
      <c r="C193" s="20" t="inlineStr">
        <is>
          <t>토너</t>
        </is>
      </c>
      <c r="D193" s="23" t="inlineStr">
        <is>
          <t>200820=250ml</t>
        </is>
      </c>
      <c r="E193" s="39" t="n">
        <v>190801</v>
      </c>
      <c r="F193" s="7">
        <f>B193&amp;C193&amp;D193&amp;E193</f>
        <v/>
      </c>
      <c r="G193" s="137" t="n">
        <v>24602</v>
      </c>
      <c r="H193" s="27" t="n">
        <v>0.03</v>
      </c>
      <c r="I193" s="135" t="n">
        <v>3260</v>
      </c>
      <c r="J193" s="32" t="inlineStr">
        <is>
          <t>฿650</t>
        </is>
      </c>
      <c r="K193" s="132" t="n"/>
    </row>
    <row r="194" hidden="1" s="93">
      <c r="B194" s="39" t="inlineStr">
        <is>
          <t>쇼피태국</t>
        </is>
      </c>
      <c r="C194" s="20" t="inlineStr">
        <is>
          <t>토너</t>
        </is>
      </c>
      <c r="D194" s="23" t="inlineStr">
        <is>
          <t>200820=500ml</t>
        </is>
      </c>
      <c r="E194" s="39" t="n">
        <v>190801</v>
      </c>
      <c r="F194" s="7">
        <f>B194&amp;C194&amp;D194&amp;E194</f>
        <v/>
      </c>
      <c r="G194" s="137" t="n">
        <v>44663</v>
      </c>
      <c r="H194" s="27" t="n">
        <v>0.03</v>
      </c>
      <c r="I194" s="135" t="n">
        <v>4725</v>
      </c>
      <c r="J194" s="32" t="inlineStr">
        <is>
          <t>฿1,180</t>
        </is>
      </c>
      <c r="K194" s="132" t="n"/>
    </row>
    <row r="195" hidden="1" s="93">
      <c r="B195" s="39" t="inlineStr">
        <is>
          <t>쇼피태국</t>
        </is>
      </c>
      <c r="C195" s="20" t="inlineStr">
        <is>
          <t>마스크팩</t>
        </is>
      </c>
      <c r="D195" s="20" t="inlineStr">
        <is>
          <t>200820=마스크팩 10매</t>
        </is>
      </c>
      <c r="E195" s="39" t="n">
        <v>190801</v>
      </c>
      <c r="F195" s="7">
        <f>B195&amp;C195&amp;D195&amp;E195</f>
        <v/>
      </c>
      <c r="G195" s="137" t="n">
        <v>39742</v>
      </c>
      <c r="H195" s="27" t="n">
        <v>0.03</v>
      </c>
      <c r="I195" s="135" t="n">
        <v>3970</v>
      </c>
      <c r="J195" s="32" t="inlineStr">
        <is>
          <t>฿1,050</t>
        </is>
      </c>
      <c r="K195" s="132" t="n"/>
    </row>
    <row r="196" hidden="1" s="93">
      <c r="B196" s="39" t="inlineStr">
        <is>
          <t>쇼피태국</t>
        </is>
      </c>
      <c r="C196" s="20" t="inlineStr">
        <is>
          <t>수딩크림</t>
        </is>
      </c>
      <c r="D196" s="20" t="inlineStr">
        <is>
          <t>200820=수딩크림 100ml</t>
        </is>
      </c>
      <c r="E196" s="39" t="n">
        <v>190801</v>
      </c>
      <c r="F196" s="7">
        <f>B196&amp;C196&amp;D196&amp;E196</f>
        <v/>
      </c>
      <c r="G196" s="137" t="n">
        <v>37850</v>
      </c>
      <c r="H196" s="27" t="n">
        <v>0.03</v>
      </c>
      <c r="I196" s="135" t="n">
        <v>4275</v>
      </c>
      <c r="J196" s="32" t="inlineStr">
        <is>
          <t>฿1,000</t>
        </is>
      </c>
      <c r="K196" s="132" t="n"/>
    </row>
    <row r="197" hidden="1" s="93">
      <c r="B197" s="39" t="inlineStr">
        <is>
          <t>쇼피태국</t>
        </is>
      </c>
      <c r="C197" s="20" t="inlineStr">
        <is>
          <t>머드크림마스크</t>
        </is>
      </c>
      <c r="D197" s="20" t="inlineStr">
        <is>
          <t>200820=머드크림마스크 100ml</t>
        </is>
      </c>
      <c r="E197" s="39" t="n">
        <v>190801</v>
      </c>
      <c r="F197" s="7">
        <f>B197&amp;C197&amp;D197&amp;E197</f>
        <v/>
      </c>
      <c r="G197" s="137" t="n">
        <v>22710</v>
      </c>
      <c r="H197" s="27" t="n">
        <v>0.03</v>
      </c>
      <c r="I197" s="135" t="n">
        <v>1442</v>
      </c>
      <c r="J197" s="32" t="inlineStr">
        <is>
          <t>฿600</t>
        </is>
      </c>
      <c r="K197" s="132" t="n"/>
    </row>
    <row r="198" hidden="1" s="93">
      <c r="B198" s="39" t="inlineStr">
        <is>
          <t>쇼피태국</t>
        </is>
      </c>
      <c r="C198" s="20" t="inlineStr">
        <is>
          <t>클렌징폼</t>
        </is>
      </c>
      <c r="D198" s="20" t="inlineStr">
        <is>
          <t>200820=클렌징폼 120ml</t>
        </is>
      </c>
      <c r="E198" s="39" t="n">
        <v>190801</v>
      </c>
      <c r="F198" s="7">
        <f>B198&amp;C198&amp;D198&amp;E198</f>
        <v/>
      </c>
      <c r="G198" s="137" t="n">
        <v>15897</v>
      </c>
      <c r="H198" s="27" t="n">
        <v>0.03</v>
      </c>
      <c r="I198" s="135" t="n">
        <v>2750</v>
      </c>
      <c r="J198" s="32" t="inlineStr">
        <is>
          <t>฿420</t>
        </is>
      </c>
      <c r="K198" s="132" t="n"/>
    </row>
    <row r="199" hidden="1" s="93">
      <c r="B199" s="39" t="inlineStr">
        <is>
          <t>쇼피태국</t>
        </is>
      </c>
      <c r="C199" s="20" t="inlineStr">
        <is>
          <t>앰플</t>
        </is>
      </c>
      <c r="D199" s="20" t="inlineStr">
        <is>
          <t>200820=앰플 30ml</t>
        </is>
      </c>
      <c r="E199" s="39" t="n">
        <v>190801</v>
      </c>
      <c r="F199" s="7">
        <f>B199&amp;C199&amp;D199&amp;E199</f>
        <v/>
      </c>
      <c r="G199" s="137" t="n">
        <v>32134</v>
      </c>
      <c r="H199" s="27" t="n">
        <v>0.03</v>
      </c>
      <c r="I199" s="135" t="n">
        <v>3397</v>
      </c>
      <c r="J199" s="32" t="inlineStr">
        <is>
          <t>฿849</t>
        </is>
      </c>
      <c r="K199" s="132" t="n"/>
    </row>
    <row r="200" hidden="1" s="93">
      <c r="B200" s="39" t="inlineStr">
        <is>
          <t>쇼피태국</t>
        </is>
      </c>
      <c r="C200" s="20" t="inlineStr">
        <is>
          <t>선크림</t>
        </is>
      </c>
      <c r="D200" s="20" t="inlineStr">
        <is>
          <t>200820=선크림 50ml</t>
        </is>
      </c>
      <c r="E200" s="39" t="n">
        <v>190801</v>
      </c>
      <c r="F200" s="7">
        <f>B200&amp;C200&amp;D200&amp;E200</f>
        <v/>
      </c>
      <c r="G200" s="137" t="n">
        <v>22710</v>
      </c>
      <c r="H200" s="27" t="n">
        <v>0.03</v>
      </c>
      <c r="I200" s="135" t="n">
        <v>2345</v>
      </c>
      <c r="J200" s="32" t="inlineStr">
        <is>
          <t>฿600</t>
        </is>
      </c>
      <c r="K200" s="132" t="n"/>
    </row>
    <row r="201" hidden="1" s="93">
      <c r="B201" s="39" t="inlineStr">
        <is>
          <t>쇼피태국</t>
        </is>
      </c>
      <c r="C201" s="20" t="inlineStr">
        <is>
          <t>토너</t>
        </is>
      </c>
      <c r="D201" s="20" t="inlineStr">
        <is>
          <t>200820=250ml 2set</t>
        </is>
      </c>
      <c r="E201" s="39" t="n">
        <v>190801</v>
      </c>
      <c r="F201" s="7">
        <f>B201&amp;C201&amp;D201&amp;E201</f>
        <v/>
      </c>
      <c r="G201" s="137" t="n">
        <v>47691</v>
      </c>
      <c r="H201" s="27" t="n">
        <v>0.03</v>
      </c>
      <c r="I201" s="135" t="n">
        <v>6520</v>
      </c>
      <c r="J201" s="32" t="inlineStr">
        <is>
          <t>฿1,260</t>
        </is>
      </c>
      <c r="K201" s="132" t="n"/>
    </row>
    <row r="202" hidden="1" s="93">
      <c r="B202" s="33" t="inlineStr">
        <is>
          <t>쇼피태국</t>
        </is>
      </c>
      <c r="C202" s="24" t="inlineStr">
        <is>
          <t>토너</t>
        </is>
      </c>
      <c r="D202" s="26" t="inlineStr">
        <is>
          <t>200820=250ml = 화장솜 60P</t>
        </is>
      </c>
      <c r="E202" s="25" t="n">
        <v>190801</v>
      </c>
      <c r="F202" s="7">
        <f>B202&amp;C202&amp;D202&amp;E202</f>
        <v/>
      </c>
      <c r="G202" s="137" t="n">
        <v>3974</v>
      </c>
      <c r="H202" s="27" t="n">
        <v>0.03</v>
      </c>
      <c r="I202" s="135" t="n">
        <v>1110</v>
      </c>
      <c r="J202" s="32" t="inlineStr">
        <is>
          <t>฿105</t>
        </is>
      </c>
      <c r="K202" s="132" t="n"/>
    </row>
    <row r="203" hidden="1" s="93">
      <c r="B203" s="33" t="inlineStr">
        <is>
          <t>쇼피태국</t>
        </is>
      </c>
      <c r="C203" s="24" t="inlineStr">
        <is>
          <t>토너</t>
        </is>
      </c>
      <c r="D203" s="26" t="inlineStr">
        <is>
          <t>200820=250ml = 화장솜 60P X 2</t>
        </is>
      </c>
      <c r="E203" s="25" t="n">
        <v>190801</v>
      </c>
      <c r="F203" s="7">
        <f>B203&amp;C203&amp;D203&amp;E203</f>
        <v/>
      </c>
      <c r="G203" s="137" t="n">
        <v>7759</v>
      </c>
      <c r="H203" s="27" t="n">
        <v>0.03</v>
      </c>
      <c r="I203" s="135" t="n">
        <v>2220</v>
      </c>
      <c r="J203" s="32" t="inlineStr">
        <is>
          <t>฿205</t>
        </is>
      </c>
      <c r="K203" s="132" t="n"/>
    </row>
    <row r="204" hidden="1" s="93">
      <c r="B204" s="33" t="inlineStr">
        <is>
          <t>쇼피태국</t>
        </is>
      </c>
      <c r="C204" s="24" t="inlineStr">
        <is>
          <t>토너</t>
        </is>
      </c>
      <c r="D204" s="26" t="inlineStr">
        <is>
          <t>200820=250ml 2set = 화장솜 60P</t>
        </is>
      </c>
      <c r="E204" s="25" t="n">
        <v>190801</v>
      </c>
      <c r="F204" s="7">
        <f>B204&amp;C204&amp;D204&amp;E204</f>
        <v/>
      </c>
      <c r="G204" s="137" t="n">
        <v>3974</v>
      </c>
      <c r="H204" s="27" t="n">
        <v>0.03</v>
      </c>
      <c r="I204" s="135" t="n">
        <v>1110</v>
      </c>
      <c r="J204" s="32" t="inlineStr">
        <is>
          <t>฿105</t>
        </is>
      </c>
      <c r="K204" s="132" t="n"/>
    </row>
    <row r="205" hidden="1" s="93">
      <c r="B205" s="33" t="inlineStr">
        <is>
          <t>쇼피태국</t>
        </is>
      </c>
      <c r="C205" s="24" t="inlineStr">
        <is>
          <t>토너</t>
        </is>
      </c>
      <c r="D205" s="26" t="inlineStr">
        <is>
          <t>200820=250ml 2set = 화장솜 60P X 2</t>
        </is>
      </c>
      <c r="E205" s="25" t="n">
        <v>190801</v>
      </c>
      <c r="F205" s="7">
        <f>B205&amp;C205&amp;D205&amp;E205</f>
        <v/>
      </c>
      <c r="G205" s="137" t="n">
        <v>7759</v>
      </c>
      <c r="H205" s="27" t="n">
        <v>0.03</v>
      </c>
      <c r="I205" s="135" t="n">
        <v>2220</v>
      </c>
      <c r="J205" s="32" t="inlineStr">
        <is>
          <t>฿205</t>
        </is>
      </c>
      <c r="K205" s="132" t="n"/>
    </row>
    <row r="206" hidden="1" s="93">
      <c r="B206" s="33" t="inlineStr">
        <is>
          <t>쇼피태국</t>
        </is>
      </c>
      <c r="C206" s="24" t="inlineStr">
        <is>
          <t>토너</t>
        </is>
      </c>
      <c r="D206" s="26" t="inlineStr">
        <is>
          <t>200820=500ml = 화장솜 60P</t>
        </is>
      </c>
      <c r="E206" s="25" t="n">
        <v>190801</v>
      </c>
      <c r="F206" s="7">
        <f>B206&amp;C206&amp;D206&amp;E206</f>
        <v/>
      </c>
      <c r="G206" s="137" t="n">
        <v>3974</v>
      </c>
      <c r="H206" s="27" t="n">
        <v>0.03</v>
      </c>
      <c r="I206" s="135" t="n">
        <v>1110</v>
      </c>
      <c r="J206" s="32" t="inlineStr">
        <is>
          <t>฿105</t>
        </is>
      </c>
      <c r="K206" s="132" t="n"/>
    </row>
    <row r="207" hidden="1" s="93">
      <c r="B207" s="33" t="inlineStr">
        <is>
          <t>쇼피태국</t>
        </is>
      </c>
      <c r="C207" s="24" t="inlineStr">
        <is>
          <t>토너</t>
        </is>
      </c>
      <c r="D207" s="26" t="inlineStr">
        <is>
          <t>200820=500ml = 화장솜 60P X 2</t>
        </is>
      </c>
      <c r="E207" s="25" t="n">
        <v>190801</v>
      </c>
      <c r="F207" s="7">
        <f>B207&amp;C207&amp;D207&amp;E207</f>
        <v/>
      </c>
      <c r="G207" s="137" t="n">
        <v>7759</v>
      </c>
      <c r="H207" s="27" t="n">
        <v>0.03</v>
      </c>
      <c r="I207" s="135" t="n">
        <v>2220</v>
      </c>
      <c r="J207" s="32" t="inlineStr">
        <is>
          <t>฿205</t>
        </is>
      </c>
      <c r="K207" s="132" t="n"/>
    </row>
    <row r="208" hidden="1" s="93">
      <c r="B208" s="39" t="inlineStr">
        <is>
          <t>쇼피필리핀</t>
        </is>
      </c>
      <c r="C208" s="20" t="inlineStr">
        <is>
          <t>토너</t>
        </is>
      </c>
      <c r="D208" s="20" t="inlineStr">
        <is>
          <t>200820=250ml</t>
        </is>
      </c>
      <c r="E208" s="21" t="n">
        <v>190801</v>
      </c>
      <c r="F208" s="7">
        <f>B208&amp;C208&amp;D208&amp;E208</f>
        <v/>
      </c>
      <c r="G208" s="137" t="n">
        <v>24375</v>
      </c>
      <c r="H208" s="27" t="n">
        <v>0.06</v>
      </c>
      <c r="I208" s="135" t="n">
        <v>3260</v>
      </c>
      <c r="J208" s="32" t="inlineStr">
        <is>
          <t>₱999</t>
        </is>
      </c>
    </row>
    <row r="209" hidden="1" s="93">
      <c r="B209" s="39" t="inlineStr">
        <is>
          <t>쇼피필리핀</t>
        </is>
      </c>
      <c r="C209" s="20" t="inlineStr">
        <is>
          <t>토너</t>
        </is>
      </c>
      <c r="D209" s="20" t="inlineStr">
        <is>
          <t>200820=500ml</t>
        </is>
      </c>
      <c r="E209" s="21" t="n">
        <v>190801</v>
      </c>
      <c r="F209" s="7">
        <f>B209&amp;C209&amp;D209&amp;E209</f>
        <v/>
      </c>
      <c r="G209" s="137" t="n">
        <v>43895</v>
      </c>
      <c r="H209" s="27" t="n">
        <v>0.06</v>
      </c>
      <c r="I209" s="135" t="n">
        <v>4725</v>
      </c>
      <c r="J209" s="32" t="inlineStr">
        <is>
          <t>₱1,799</t>
        </is>
      </c>
    </row>
    <row r="210" hidden="1" s="93">
      <c r="B210" s="39" t="inlineStr">
        <is>
          <t>쇼피필리핀</t>
        </is>
      </c>
      <c r="C210" s="20" t="inlineStr">
        <is>
          <t>마스크팩</t>
        </is>
      </c>
      <c r="D210" s="20" t="inlineStr">
        <is>
          <t>200820=마스크팩 10매</t>
        </is>
      </c>
      <c r="E210" s="21" t="n">
        <v>190801</v>
      </c>
      <c r="F210" s="7">
        <f>B210&amp;C210&amp;D210&amp;E210</f>
        <v/>
      </c>
      <c r="G210" s="137" t="n">
        <v>43895</v>
      </c>
      <c r="H210" s="27" t="n">
        <v>0.06</v>
      </c>
      <c r="I210" s="135" t="n">
        <v>3970</v>
      </c>
      <c r="J210" s="32" t="inlineStr">
        <is>
          <t>₱1,799</t>
        </is>
      </c>
    </row>
    <row r="211" hidden="1" s="93">
      <c r="B211" s="39" t="inlineStr">
        <is>
          <t>쇼피필리핀</t>
        </is>
      </c>
      <c r="C211" s="20" t="inlineStr">
        <is>
          <t>수딩크림</t>
        </is>
      </c>
      <c r="D211" s="20" t="inlineStr">
        <is>
          <t>200820=수딩크림 100ml</t>
        </is>
      </c>
      <c r="E211" s="21" t="n">
        <v>190801</v>
      </c>
      <c r="F211" s="7">
        <f>B211&amp;C211&amp;D211&amp;E211</f>
        <v/>
      </c>
      <c r="G211" s="137" t="n">
        <v>39015</v>
      </c>
      <c r="H211" s="27" t="n">
        <v>0.06</v>
      </c>
      <c r="I211" s="135" t="n">
        <v>4275</v>
      </c>
      <c r="J211" s="32" t="inlineStr">
        <is>
          <t>₱1,599</t>
        </is>
      </c>
    </row>
    <row r="212" hidden="1" s="93">
      <c r="B212" s="39" t="inlineStr">
        <is>
          <t>쇼피필리핀</t>
        </is>
      </c>
      <c r="C212" s="20" t="inlineStr">
        <is>
          <t>머드크림마스크</t>
        </is>
      </c>
      <c r="D212" s="20" t="inlineStr">
        <is>
          <t>200820=머드크림마스크 100ml</t>
        </is>
      </c>
      <c r="E212" s="21" t="n">
        <v>190801</v>
      </c>
      <c r="F212" s="7">
        <f>B212&amp;C212&amp;D212&amp;E212</f>
        <v/>
      </c>
      <c r="G212" s="137" t="n">
        <v>24375</v>
      </c>
      <c r="H212" s="27" t="n">
        <v>0.06</v>
      </c>
      <c r="I212" s="135" t="n">
        <v>1442</v>
      </c>
      <c r="J212" s="32" t="inlineStr">
        <is>
          <t>₱999</t>
        </is>
      </c>
    </row>
    <row r="213" hidden="1" s="93">
      <c r="B213" s="39" t="inlineStr">
        <is>
          <t>쇼피필리핀</t>
        </is>
      </c>
      <c r="C213" s="20" t="inlineStr">
        <is>
          <t>클렌징폼</t>
        </is>
      </c>
      <c r="D213" s="20" t="inlineStr">
        <is>
          <t>200820=클렌징폼 120ml</t>
        </is>
      </c>
      <c r="E213" s="21" t="n">
        <v>190801</v>
      </c>
      <c r="F213" s="7">
        <f>B213&amp;C213&amp;D213&amp;E213</f>
        <v/>
      </c>
      <c r="G213" s="137" t="n">
        <v>16836</v>
      </c>
      <c r="H213" s="27" t="n">
        <v>0.06</v>
      </c>
      <c r="I213" s="135" t="n">
        <v>2750</v>
      </c>
      <c r="J213" s="32" t="inlineStr">
        <is>
          <t>₱690</t>
        </is>
      </c>
    </row>
    <row r="214" hidden="1" s="93">
      <c r="B214" s="39" t="inlineStr">
        <is>
          <t>쇼피필리핀</t>
        </is>
      </c>
      <c r="C214" s="20" t="inlineStr">
        <is>
          <t>앰플</t>
        </is>
      </c>
      <c r="D214" s="20" t="inlineStr">
        <is>
          <t>200820=앰플 30ml</t>
        </is>
      </c>
      <c r="E214" s="21" t="n">
        <v>190801</v>
      </c>
      <c r="F214" s="7">
        <f>B214&amp;C214&amp;D214&amp;E214</f>
        <v/>
      </c>
      <c r="G214" s="137" t="n">
        <v>32208</v>
      </c>
      <c r="H214" s="27" t="n">
        <v>0.06</v>
      </c>
      <c r="I214" s="135" t="n">
        <v>3397</v>
      </c>
      <c r="J214" s="32" t="inlineStr">
        <is>
          <t>₱1,320</t>
        </is>
      </c>
    </row>
    <row r="215" hidden="1" s="93">
      <c r="B215" s="39" t="inlineStr">
        <is>
          <t>쇼피필리핀</t>
        </is>
      </c>
      <c r="C215" s="20" t="inlineStr">
        <is>
          <t>토너</t>
        </is>
      </c>
      <c r="D215" s="20" t="inlineStr">
        <is>
          <t>200820=250ml 2set</t>
        </is>
      </c>
      <c r="E215" s="21" t="n">
        <v>190801</v>
      </c>
      <c r="F215" s="7">
        <f>B215&amp;C215&amp;D215&amp;E215</f>
        <v/>
      </c>
      <c r="G215" s="137" t="n">
        <v>43895</v>
      </c>
      <c r="H215" s="27" t="n">
        <v>0.06</v>
      </c>
      <c r="I215" s="135" t="n">
        <v>6520</v>
      </c>
      <c r="J215" s="32" t="inlineStr">
        <is>
          <t>₱1799</t>
        </is>
      </c>
    </row>
    <row r="216" hidden="1" s="93">
      <c r="B216" s="33" t="inlineStr">
        <is>
          <t>쇼피필리핀</t>
        </is>
      </c>
      <c r="C216" s="24" t="inlineStr">
        <is>
          <t>토너</t>
        </is>
      </c>
      <c r="D216" s="24" t="inlineStr">
        <is>
          <t>200820=250ml = 화장솜 60P</t>
        </is>
      </c>
      <c r="E216" s="25" t="n">
        <v>190801</v>
      </c>
      <c r="F216" s="7">
        <f>B216&amp;C216&amp;D216&amp;E216</f>
        <v/>
      </c>
      <c r="G216" s="137" t="n">
        <v>4048</v>
      </c>
      <c r="H216" s="27" t="n">
        <v>0.06</v>
      </c>
      <c r="I216" s="135" t="n">
        <v>1110</v>
      </c>
      <c r="J216" s="32" t="inlineStr">
        <is>
          <t>₱166</t>
        </is>
      </c>
    </row>
    <row r="217" hidden="1" s="93">
      <c r="B217" s="33" t="inlineStr">
        <is>
          <t>쇼피필리핀</t>
        </is>
      </c>
      <c r="C217" s="24" t="inlineStr">
        <is>
          <t>토너</t>
        </is>
      </c>
      <c r="D217" s="24" t="inlineStr">
        <is>
          <t>200820=250ml 2set = 화장솜 60P</t>
        </is>
      </c>
      <c r="E217" s="25" t="n">
        <v>190801</v>
      </c>
      <c r="F217" s="7">
        <f>B217&amp;C217&amp;D217&amp;E217</f>
        <v/>
      </c>
      <c r="G217" s="137" t="n">
        <v>4048</v>
      </c>
      <c r="H217" s="27" t="n">
        <v>0.06</v>
      </c>
      <c r="I217" s="135" t="n">
        <v>1110</v>
      </c>
      <c r="J217" s="32" t="inlineStr">
        <is>
          <t>₱166</t>
        </is>
      </c>
    </row>
    <row r="218" hidden="1" s="93">
      <c r="B218" s="33" t="inlineStr">
        <is>
          <t>쇼피필리핀</t>
        </is>
      </c>
      <c r="C218" s="24" t="inlineStr">
        <is>
          <t>토너</t>
        </is>
      </c>
      <c r="D218" s="24" t="inlineStr">
        <is>
          <t>200820=250ml 2set = 화장솜 60P X 2</t>
        </is>
      </c>
      <c r="E218" s="25" t="n">
        <v>190801</v>
      </c>
      <c r="F218" s="7">
        <f>B218&amp;C218&amp;D218&amp;E218</f>
        <v/>
      </c>
      <c r="G218" s="137" t="n">
        <v>7707</v>
      </c>
      <c r="H218" s="27" t="n">
        <v>0.06</v>
      </c>
      <c r="I218" s="135" t="n">
        <v>2220</v>
      </c>
      <c r="J218" s="32" t="inlineStr">
        <is>
          <t>₱316</t>
        </is>
      </c>
    </row>
    <row r="219" hidden="1" s="93">
      <c r="B219" s="33" t="inlineStr">
        <is>
          <t>쇼피필리핀</t>
        </is>
      </c>
      <c r="C219" s="24" t="inlineStr">
        <is>
          <t>토너</t>
        </is>
      </c>
      <c r="D219" s="24" t="inlineStr">
        <is>
          <t>200820=500ml = 화장솜 60P</t>
        </is>
      </c>
      <c r="E219" s="25" t="n">
        <v>190801</v>
      </c>
      <c r="F219" s="7">
        <f>B219&amp;C219&amp;D219&amp;E219</f>
        <v/>
      </c>
      <c r="G219" s="137" t="n">
        <v>4048</v>
      </c>
      <c r="H219" s="27" t="n">
        <v>0.06</v>
      </c>
      <c r="I219" s="135" t="n">
        <v>1110</v>
      </c>
      <c r="J219" s="32" t="inlineStr">
        <is>
          <t>₱166</t>
        </is>
      </c>
    </row>
    <row r="220" hidden="1" s="93">
      <c r="B220" s="33" t="inlineStr">
        <is>
          <t>쇼피필리핀</t>
        </is>
      </c>
      <c r="C220" s="24" t="inlineStr">
        <is>
          <t>토너</t>
        </is>
      </c>
      <c r="D220" s="24" t="inlineStr">
        <is>
          <t>200820=500ml = 화장솜 60P X 2</t>
        </is>
      </c>
      <c r="E220" s="25" t="n">
        <v>190801</v>
      </c>
      <c r="F220" s="7">
        <f>B220&amp;C220&amp;D220&amp;E220</f>
        <v/>
      </c>
      <c r="G220" s="137" t="n">
        <v>7707</v>
      </c>
      <c r="H220" s="27" t="n">
        <v>0.06</v>
      </c>
      <c r="I220" s="135" t="n">
        <v>2220</v>
      </c>
      <c r="J220" s="32" t="inlineStr">
        <is>
          <t>₱316</t>
        </is>
      </c>
    </row>
    <row r="221" hidden="1" s="93">
      <c r="B221" s="34" t="inlineStr">
        <is>
          <t>쇼피말레이시아</t>
        </is>
      </c>
      <c r="C221" s="20" t="inlineStr">
        <is>
          <t>토너</t>
        </is>
      </c>
      <c r="D221" s="20" t="inlineStr">
        <is>
          <t>200820=250ml</t>
        </is>
      </c>
      <c r="E221" s="21" t="n">
        <v>190801</v>
      </c>
      <c r="F221" s="7">
        <f>B221&amp;C221&amp;D221&amp;E221</f>
        <v/>
      </c>
      <c r="G221" s="137" t="n">
        <v>19914</v>
      </c>
      <c r="H221" s="27" t="n">
        <v>0.06</v>
      </c>
      <c r="I221" s="135" t="n">
        <v>3260</v>
      </c>
      <c r="J221" s="32" t="inlineStr">
        <is>
          <t>RM 69.99</t>
        </is>
      </c>
    </row>
    <row r="222" hidden="1" s="93">
      <c r="B222" s="34" t="inlineStr">
        <is>
          <t>쇼피말레이시아</t>
        </is>
      </c>
      <c r="C222" s="20" t="inlineStr">
        <is>
          <t>토너</t>
        </is>
      </c>
      <c r="D222" s="20" t="inlineStr">
        <is>
          <t>200820=500ml</t>
        </is>
      </c>
      <c r="E222" s="21" t="n">
        <v>190801</v>
      </c>
      <c r="F222" s="7">
        <f>B222&amp;C222&amp;D222&amp;E222</f>
        <v/>
      </c>
      <c r="G222" s="137" t="n">
        <v>36992</v>
      </c>
      <c r="H222" s="27" t="n">
        <v>0.06</v>
      </c>
      <c r="I222" s="135" t="n">
        <v>4725</v>
      </c>
      <c r="J222" s="32" t="inlineStr">
        <is>
          <t>RM 129.99</t>
        </is>
      </c>
    </row>
    <row r="223" hidden="1" s="93">
      <c r="B223" s="34" t="inlineStr">
        <is>
          <t>쇼피말레이시아</t>
        </is>
      </c>
      <c r="C223" s="20" t="inlineStr">
        <is>
          <t>마스크팩</t>
        </is>
      </c>
      <c r="D223" s="20" t="inlineStr">
        <is>
          <t>200820=마스크팩 10매</t>
        </is>
      </c>
      <c r="E223" s="21" t="n">
        <v>190801</v>
      </c>
      <c r="F223" s="7">
        <f>B223&amp;C223&amp;D223&amp;E223</f>
        <v/>
      </c>
      <c r="G223" s="137" t="n">
        <v>39831</v>
      </c>
      <c r="H223" s="27" t="n">
        <v>0.06</v>
      </c>
      <c r="I223" s="135" t="n">
        <v>3970</v>
      </c>
      <c r="J223" s="32" t="inlineStr">
        <is>
          <t>RM 139.99</t>
        </is>
      </c>
    </row>
    <row r="224" hidden="1" s="93">
      <c r="B224" s="34" t="inlineStr">
        <is>
          <t>쇼피말레이시아</t>
        </is>
      </c>
      <c r="C224" s="20" t="inlineStr">
        <is>
          <t>수딩크림</t>
        </is>
      </c>
      <c r="D224" s="20" t="inlineStr">
        <is>
          <t>200820=수딩크림 100ml</t>
        </is>
      </c>
      <c r="E224" s="21" t="n">
        <v>190801</v>
      </c>
      <c r="F224" s="7">
        <f>B224&amp;C224&amp;D224&amp;E224</f>
        <v/>
      </c>
      <c r="G224" s="137" t="n">
        <v>36992</v>
      </c>
      <c r="H224" s="27" t="n">
        <v>0.06</v>
      </c>
      <c r="I224" s="135" t="n">
        <v>4275</v>
      </c>
      <c r="J224" s="32" t="inlineStr">
        <is>
          <t>RM 129.99</t>
        </is>
      </c>
    </row>
    <row r="225" hidden="1" s="93">
      <c r="B225" s="34" t="inlineStr">
        <is>
          <t>쇼피말레이시아</t>
        </is>
      </c>
      <c r="C225" s="20" t="inlineStr">
        <is>
          <t>머드크림마스크</t>
        </is>
      </c>
      <c r="D225" s="20" t="inlineStr">
        <is>
          <t>200820=머드크림마스크 100ml</t>
        </is>
      </c>
      <c r="E225" s="21" t="n">
        <v>190801</v>
      </c>
      <c r="F225" s="7">
        <f>B225&amp;C225&amp;D225&amp;E225</f>
        <v/>
      </c>
      <c r="G225" s="137" t="n">
        <v>24182</v>
      </c>
      <c r="H225" s="27" t="n">
        <v>0.06</v>
      </c>
      <c r="I225" s="135" t="n">
        <v>1442</v>
      </c>
      <c r="J225" s="32" t="inlineStr">
        <is>
          <t>RM 84.99</t>
        </is>
      </c>
    </row>
    <row r="226" hidden="1" s="93">
      <c r="B226" s="34" t="inlineStr">
        <is>
          <t>쇼피말레이시아</t>
        </is>
      </c>
      <c r="C226" s="20" t="inlineStr">
        <is>
          <t>앰플</t>
        </is>
      </c>
      <c r="D226" s="20" t="inlineStr">
        <is>
          <t>200820=앰플 30ml</t>
        </is>
      </c>
      <c r="E226" s="21" t="n">
        <v>190801</v>
      </c>
      <c r="F226" s="7">
        <f>B226&amp;C226&amp;D226&amp;E226</f>
        <v/>
      </c>
      <c r="G226" s="137" t="n">
        <v>31295</v>
      </c>
      <c r="H226" s="27" t="n">
        <v>0.06</v>
      </c>
      <c r="I226" s="135" t="n">
        <v>3397</v>
      </c>
      <c r="J226" s="32" t="inlineStr">
        <is>
          <t>RM 109.99</t>
        </is>
      </c>
    </row>
    <row r="227" hidden="1" s="93">
      <c r="B227" s="34" t="inlineStr">
        <is>
          <t>쇼피말레이시아</t>
        </is>
      </c>
      <c r="C227" s="20" t="inlineStr">
        <is>
          <t>선크림</t>
        </is>
      </c>
      <c r="D227" s="20" t="inlineStr">
        <is>
          <t>200820=선크림 50ml</t>
        </is>
      </c>
      <c r="E227" s="21" t="n">
        <v>190801</v>
      </c>
      <c r="F227" s="7">
        <f>B227&amp;C227&amp;D227&amp;E227</f>
        <v/>
      </c>
      <c r="G227" s="137" t="n">
        <v>25604</v>
      </c>
      <c r="H227" s="27" t="n">
        <v>0.06</v>
      </c>
      <c r="I227" s="135" t="n">
        <v>2345</v>
      </c>
      <c r="J227" s="32" t="inlineStr">
        <is>
          <t>RM 89.99</t>
        </is>
      </c>
    </row>
    <row r="228" hidden="1" s="93">
      <c r="B228" s="44" t="inlineStr">
        <is>
          <t>쇼피말레이시아</t>
        </is>
      </c>
      <c r="C228" s="24" t="inlineStr">
        <is>
          <t>토너</t>
        </is>
      </c>
      <c r="D228" s="24" t="inlineStr">
        <is>
          <t>200820=250ml = 화장솜 60P</t>
        </is>
      </c>
      <c r="E228" s="25" t="n">
        <v>190801</v>
      </c>
      <c r="F228" s="7">
        <f>B228&amp;C228&amp;D228&amp;E228</f>
        <v/>
      </c>
      <c r="G228" s="137" t="n">
        <v>4267</v>
      </c>
      <c r="H228" s="27" t="n">
        <v>0.06</v>
      </c>
      <c r="I228" s="135" t="n">
        <v>1110</v>
      </c>
      <c r="J228" s="32" t="inlineStr">
        <is>
          <t>RM 15</t>
        </is>
      </c>
    </row>
    <row r="229" hidden="1" s="93">
      <c r="B229" s="44" t="inlineStr">
        <is>
          <t>쇼피말레이시아</t>
        </is>
      </c>
      <c r="C229" s="24" t="inlineStr">
        <is>
          <t>토너</t>
        </is>
      </c>
      <c r="D229" s="24" t="inlineStr">
        <is>
          <t>200820=250ml = 화장솜 60P X 2</t>
        </is>
      </c>
      <c r="E229" s="25" t="n">
        <v>190801</v>
      </c>
      <c r="F229" s="7">
        <f>B229&amp;C229&amp;D229&amp;E229</f>
        <v/>
      </c>
      <c r="G229" s="137" t="n">
        <v>7113</v>
      </c>
      <c r="H229" s="27" t="n">
        <v>0.06</v>
      </c>
      <c r="I229" s="135" t="n">
        <v>2220</v>
      </c>
      <c r="J229" s="32" t="inlineStr">
        <is>
          <t>RM 25</t>
        </is>
      </c>
    </row>
    <row r="230" hidden="1" s="93">
      <c r="B230" s="44" t="inlineStr">
        <is>
          <t>쇼피말레이시아</t>
        </is>
      </c>
      <c r="C230" s="24" t="inlineStr">
        <is>
          <t>토너</t>
        </is>
      </c>
      <c r="D230" s="24" t="inlineStr">
        <is>
          <t>200820=500ml = 화장솜 60P</t>
        </is>
      </c>
      <c r="E230" s="25" t="n">
        <v>190801</v>
      </c>
      <c r="F230" s="7">
        <f>B230&amp;C230&amp;D230&amp;E230</f>
        <v/>
      </c>
      <c r="G230" s="137" t="n">
        <v>4267</v>
      </c>
      <c r="H230" s="27" t="n">
        <v>0.06</v>
      </c>
      <c r="I230" s="135" t="n">
        <v>1110</v>
      </c>
      <c r="J230" s="32" t="inlineStr">
        <is>
          <t>RM 15</t>
        </is>
      </c>
    </row>
    <row r="231" hidden="1" s="93">
      <c r="B231" s="44" t="inlineStr">
        <is>
          <t>쇼피말레이시아</t>
        </is>
      </c>
      <c r="C231" s="24" t="inlineStr">
        <is>
          <t>토너</t>
        </is>
      </c>
      <c r="D231" s="24" t="inlineStr">
        <is>
          <t>200820=500ml = 화장솜 60P X 2</t>
        </is>
      </c>
      <c r="E231" s="25" t="n">
        <v>190801</v>
      </c>
      <c r="F231" s="7">
        <f>B231&amp;C231&amp;D231&amp;E231</f>
        <v/>
      </c>
      <c r="G231" s="137" t="n">
        <v>7113</v>
      </c>
      <c r="H231" s="27" t="n">
        <v>0.06</v>
      </c>
      <c r="I231" s="135" t="n">
        <v>2220</v>
      </c>
      <c r="J231" s="32" t="inlineStr">
        <is>
          <t>RM 25</t>
        </is>
      </c>
    </row>
    <row r="232">
      <c r="B232" s="6" t="inlineStr">
        <is>
          <t>카페24</t>
        </is>
      </c>
      <c r="C232" s="94" t="inlineStr">
        <is>
          <t>토너</t>
        </is>
      </c>
      <c r="D232" s="94" t="inlineStr">
        <is>
          <t>[재구매전용특가] 250ml</t>
        </is>
      </c>
      <c r="E232" s="6" t="n">
        <v>190801</v>
      </c>
      <c r="F232" s="7">
        <f>B232&amp;C232&amp;D232&amp;E232</f>
        <v/>
      </c>
      <c r="G232" s="6" t="n">
        <v>17000</v>
      </c>
      <c r="H232" s="30" t="n">
        <v>0.0585</v>
      </c>
      <c r="I232" s="6" t="n">
        <v>3260</v>
      </c>
    </row>
    <row r="233">
      <c r="B233" s="6" t="inlineStr">
        <is>
          <t>카페24</t>
        </is>
      </c>
      <c r="C233" s="94" t="inlineStr">
        <is>
          <t>토너</t>
        </is>
      </c>
      <c r="D233" s="94" t="inlineStr">
        <is>
          <t>[재구매전용특가] 250ml 2set</t>
        </is>
      </c>
      <c r="E233" s="6" t="n">
        <v>190801</v>
      </c>
      <c r="F233" s="7">
        <f>B233&amp;C233&amp;D233&amp;E233</f>
        <v/>
      </c>
      <c r="G233" s="6" t="n">
        <v>30000</v>
      </c>
      <c r="H233" s="30" t="n">
        <v>0.0585</v>
      </c>
      <c r="I233" s="6" t="n">
        <v>6520</v>
      </c>
    </row>
    <row r="234" hidden="1" s="93">
      <c r="B234" s="5" t="inlineStr">
        <is>
          <t>현대면세점</t>
        </is>
      </c>
      <c r="C234" s="94" t="inlineStr">
        <is>
          <t>토너</t>
        </is>
      </c>
      <c r="D234" s="94" t="inlineStr">
        <is>
          <t>40ml(증정)</t>
        </is>
      </c>
      <c r="E234" s="6" t="n">
        <v>190801</v>
      </c>
      <c r="F234" s="7">
        <f>B234&amp;C234&amp;D234&amp;E234</f>
        <v/>
      </c>
      <c r="G234" s="6" t="n">
        <v>0</v>
      </c>
      <c r="H234" s="27" t="n">
        <v>0</v>
      </c>
      <c r="I234" s="6" t="n">
        <v>1230</v>
      </c>
    </row>
    <row r="235" hidden="1" s="93">
      <c r="B235" s="5" t="inlineStr">
        <is>
          <t>라자다싱가폴</t>
        </is>
      </c>
      <c r="C235" s="94" t="inlineStr">
        <is>
          <t>토너</t>
        </is>
      </c>
      <c r="D235" s="94" t="inlineStr">
        <is>
          <t>200821=250ml</t>
        </is>
      </c>
      <c r="E235" s="6" t="n">
        <v>190801</v>
      </c>
      <c r="F235" s="7">
        <f>B235&amp;C235&amp;D235&amp;E235</f>
        <v/>
      </c>
      <c r="G235" s="6" t="n">
        <v>24309</v>
      </c>
      <c r="H235" s="27" t="n">
        <v>0.07000000000000001</v>
      </c>
      <c r="I235" s="6" t="n">
        <v>3260</v>
      </c>
      <c r="J235" s="32" t="inlineStr">
        <is>
          <t>S$28</t>
        </is>
      </c>
    </row>
    <row r="236" hidden="1" s="93">
      <c r="B236" s="5" t="inlineStr">
        <is>
          <t>쇼피인도네시아</t>
        </is>
      </c>
      <c r="C236" s="94" t="inlineStr">
        <is>
          <t>토너</t>
        </is>
      </c>
      <c r="D236" s="94" t="inlineStr">
        <is>
          <t>200831=250ml</t>
        </is>
      </c>
      <c r="E236" s="6" t="n">
        <v>190801</v>
      </c>
      <c r="F236" s="7">
        <f>B236&amp;C236&amp;D236&amp;E236</f>
        <v/>
      </c>
      <c r="G236" s="6" t="n">
        <v>21978</v>
      </c>
      <c r="H236" s="27" t="n">
        <v>0.06</v>
      </c>
      <c r="I236" s="6" t="n">
        <v>3260</v>
      </c>
      <c r="J236" s="138" t="n">
        <v>270000</v>
      </c>
    </row>
    <row r="237" hidden="1" s="93">
      <c r="B237" s="5" t="inlineStr">
        <is>
          <t>쇼피인도네시아</t>
        </is>
      </c>
      <c r="C237" s="94" t="inlineStr">
        <is>
          <t>토너</t>
        </is>
      </c>
      <c r="D237" s="94" t="inlineStr">
        <is>
          <t>200831=500ml</t>
        </is>
      </c>
      <c r="E237" s="6" t="n">
        <v>190801</v>
      </c>
      <c r="F237" s="7">
        <f>B237&amp;C237&amp;D237&amp;E237</f>
        <v/>
      </c>
      <c r="G237" s="6" t="n">
        <v>39935</v>
      </c>
      <c r="H237" s="27" t="n">
        <v>0.06</v>
      </c>
      <c r="I237" s="6" t="n">
        <v>4725</v>
      </c>
      <c r="J237" s="138" t="n">
        <v>490000</v>
      </c>
    </row>
    <row r="238" hidden="1" s="93">
      <c r="B238" s="5" t="inlineStr">
        <is>
          <t>쇼피인도네시아</t>
        </is>
      </c>
      <c r="C238" s="94" t="inlineStr">
        <is>
          <t>마스크팩</t>
        </is>
      </c>
      <c r="D238" s="94" t="inlineStr">
        <is>
          <t>200831=마스크팩 10매</t>
        </is>
      </c>
      <c r="E238" s="6" t="n">
        <v>190801</v>
      </c>
      <c r="F238" s="7">
        <f>B238&amp;C238&amp;D238&amp;E238</f>
        <v/>
      </c>
      <c r="G238" s="6" t="n">
        <v>35045</v>
      </c>
      <c r="H238" s="27" t="n">
        <v>0.06</v>
      </c>
      <c r="I238" s="6" t="n">
        <v>3970</v>
      </c>
      <c r="J238" s="138" t="n">
        <v>430000</v>
      </c>
    </row>
    <row r="239" hidden="1" s="93">
      <c r="B239" s="5" t="inlineStr">
        <is>
          <t>쇼피인도네시아</t>
        </is>
      </c>
      <c r="C239" s="94" t="inlineStr">
        <is>
          <t>수딩크림</t>
        </is>
      </c>
      <c r="D239" s="94" t="inlineStr">
        <is>
          <t>200831=수딩크림 100ml</t>
        </is>
      </c>
      <c r="E239" s="6" t="n">
        <v>190801</v>
      </c>
      <c r="F239" s="7">
        <f>B239&amp;C239&amp;D239&amp;E239</f>
        <v/>
      </c>
      <c r="G239" s="6" t="n">
        <v>33415</v>
      </c>
      <c r="H239" s="27" t="n">
        <v>0.06</v>
      </c>
      <c r="I239" s="6" t="n">
        <v>4275</v>
      </c>
      <c r="J239" s="138" t="n">
        <v>410000</v>
      </c>
    </row>
    <row r="240" hidden="1" s="93">
      <c r="B240" s="5" t="inlineStr">
        <is>
          <t>쇼피인도네시아</t>
        </is>
      </c>
      <c r="C240" s="94" t="inlineStr">
        <is>
          <t>머드크림마스크</t>
        </is>
      </c>
      <c r="D240" s="94" t="inlineStr">
        <is>
          <t>200831=머드크림마스크 100ml</t>
        </is>
      </c>
      <c r="E240" s="6" t="n">
        <v>190801</v>
      </c>
      <c r="F240" s="7">
        <f>B240&amp;C240&amp;D240&amp;E240</f>
        <v/>
      </c>
      <c r="G240" s="6" t="n">
        <v>21978</v>
      </c>
      <c r="H240" s="27" t="n">
        <v>0.06</v>
      </c>
      <c r="I240" s="6" t="n">
        <v>1442</v>
      </c>
      <c r="J240" s="138" t="n">
        <v>270000</v>
      </c>
    </row>
    <row r="241" hidden="1" s="93">
      <c r="B241" s="5" t="inlineStr">
        <is>
          <t>쇼피인도네시아</t>
        </is>
      </c>
      <c r="C241" s="94" t="inlineStr">
        <is>
          <t>클렌징폼</t>
        </is>
      </c>
      <c r="D241" s="94" t="inlineStr">
        <is>
          <t>200831=클렌징폼 120ml</t>
        </is>
      </c>
      <c r="E241" s="6" t="n">
        <v>190801</v>
      </c>
      <c r="F241" s="7">
        <f>B241&amp;C241&amp;D241&amp;E241</f>
        <v/>
      </c>
      <c r="G241" s="6" t="n">
        <v>13838</v>
      </c>
      <c r="H241" s="27" t="n">
        <v>0.06</v>
      </c>
      <c r="I241" s="6" t="n">
        <v>2750</v>
      </c>
      <c r="J241" s="138" t="n">
        <v>170000</v>
      </c>
    </row>
    <row r="242" hidden="1" s="93">
      <c r="B242" s="5" t="inlineStr">
        <is>
          <t>쇼피인도네시아</t>
        </is>
      </c>
      <c r="C242" s="94" t="inlineStr">
        <is>
          <t>앰플</t>
        </is>
      </c>
      <c r="D242" s="94" t="inlineStr">
        <is>
          <t>200831=앰플 30ml</t>
        </is>
      </c>
      <c r="E242" s="6" t="n">
        <v>190801</v>
      </c>
      <c r="F242" s="7">
        <f>B242&amp;C242&amp;D242&amp;E242</f>
        <v/>
      </c>
      <c r="G242" s="6" t="n">
        <v>29304</v>
      </c>
      <c r="H242" s="27" t="n">
        <v>0.06</v>
      </c>
      <c r="I242" s="6" t="n">
        <v>3397</v>
      </c>
      <c r="J242" s="138" t="n">
        <v>360000</v>
      </c>
    </row>
    <row r="243" hidden="1" s="93">
      <c r="B243" s="5" t="inlineStr">
        <is>
          <t>쇼피인도네시아</t>
        </is>
      </c>
      <c r="C243" s="94" t="inlineStr">
        <is>
          <t>선크림</t>
        </is>
      </c>
      <c r="D243" s="94" t="inlineStr">
        <is>
          <t>200831=선크림 50ml</t>
        </is>
      </c>
      <c r="E243" s="6" t="n">
        <v>190801</v>
      </c>
      <c r="F243" s="7">
        <f>B243&amp;C243&amp;D243&amp;E243</f>
        <v/>
      </c>
      <c r="G243" s="6" t="n">
        <v>21978</v>
      </c>
      <c r="H243" s="27" t="n">
        <v>0.06</v>
      </c>
      <c r="I243" s="6" t="n">
        <v>2345</v>
      </c>
      <c r="J243" s="138" t="n">
        <v>270000</v>
      </c>
    </row>
    <row r="244" hidden="1" s="93">
      <c r="B244" s="5" t="inlineStr">
        <is>
          <t>쇼피인도네시아</t>
        </is>
      </c>
      <c r="C244" s="94" t="inlineStr">
        <is>
          <t>토너</t>
        </is>
      </c>
      <c r="D244" s="94" t="inlineStr">
        <is>
          <t>200831=250ml = 화장솜 60P</t>
        </is>
      </c>
      <c r="E244" s="6" t="n">
        <v>190801</v>
      </c>
      <c r="F244" s="7">
        <f>B244&amp;C244&amp;D244&amp;E244</f>
        <v/>
      </c>
      <c r="G244" s="6" t="n">
        <v>5698</v>
      </c>
      <c r="H244" s="27" t="n">
        <v>0.06</v>
      </c>
      <c r="I244" s="6" t="n">
        <v>1110</v>
      </c>
      <c r="J244" s="138" t="n">
        <v>70000</v>
      </c>
    </row>
    <row r="245" hidden="1" s="93">
      <c r="B245" s="5" t="inlineStr">
        <is>
          <t>쇼피인도네시아</t>
        </is>
      </c>
      <c r="C245" s="94" t="inlineStr">
        <is>
          <t>토너</t>
        </is>
      </c>
      <c r="D245" s="94" t="inlineStr">
        <is>
          <t>200831=250ml = 화장솜 60P X 2</t>
        </is>
      </c>
      <c r="E245" s="6" t="n">
        <v>190801</v>
      </c>
      <c r="F245" s="7">
        <f>B245&amp;C245&amp;D245&amp;E245</f>
        <v/>
      </c>
      <c r="G245" s="6" t="n">
        <v>8954</v>
      </c>
      <c r="H245" s="27" t="n">
        <v>0.06</v>
      </c>
      <c r="I245" s="6" t="n">
        <v>2220</v>
      </c>
      <c r="J245" s="138" t="n">
        <v>110000</v>
      </c>
    </row>
    <row r="246" hidden="1" s="93">
      <c r="B246" s="5" t="inlineStr">
        <is>
          <t>쇼피대만</t>
        </is>
      </c>
      <c r="C246" s="94" t="inlineStr">
        <is>
          <t>토너</t>
        </is>
      </c>
      <c r="D246" s="94" t="inlineStr">
        <is>
          <t>200831=250ml</t>
        </is>
      </c>
      <c r="E246" s="6" t="n">
        <v>190801</v>
      </c>
      <c r="F246" s="7">
        <f>B246&amp;C246&amp;D246&amp;E246</f>
        <v/>
      </c>
      <c r="G246" s="6" t="n">
        <v>19978</v>
      </c>
      <c r="H246" s="139" t="n">
        <v>0.092</v>
      </c>
      <c r="I246" s="6" t="n">
        <v>3260</v>
      </c>
      <c r="J246" s="140" t="n">
        <v>496</v>
      </c>
    </row>
    <row r="247" hidden="1" s="93">
      <c r="B247" s="5" t="inlineStr">
        <is>
          <t>쇼피대만</t>
        </is>
      </c>
      <c r="C247" s="94" t="inlineStr">
        <is>
          <t>토너</t>
        </is>
      </c>
      <c r="D247" s="94" t="inlineStr">
        <is>
          <t>200831=500ml</t>
        </is>
      </c>
      <c r="E247" s="6" t="n">
        <v>190801</v>
      </c>
      <c r="F247" s="7">
        <f>B247&amp;C247&amp;D247&amp;E247</f>
        <v/>
      </c>
      <c r="G247" s="6" t="n">
        <v>35455</v>
      </c>
      <c r="H247" s="139" t="n">
        <v>0.092</v>
      </c>
      <c r="I247" s="6" t="n">
        <v>4725</v>
      </c>
      <c r="J247" s="140" t="n">
        <v>880</v>
      </c>
    </row>
    <row r="248" hidden="1" s="93">
      <c r="B248" s="5" t="inlineStr">
        <is>
          <t>쇼피대만</t>
        </is>
      </c>
      <c r="C248" s="94" t="inlineStr">
        <is>
          <t>마스크팩</t>
        </is>
      </c>
      <c r="D248" s="94" t="inlineStr">
        <is>
          <t>200831=마스크팩 10매</t>
        </is>
      </c>
      <c r="E248" s="6" t="n">
        <v>190801</v>
      </c>
      <c r="F248" s="7">
        <f>B248&amp;C248&amp;D248&amp;E248</f>
        <v/>
      </c>
      <c r="G248" s="6" t="n">
        <v>31901</v>
      </c>
      <c r="H248" s="139" t="n">
        <v>0.092</v>
      </c>
      <c r="I248" s="6" t="n">
        <v>3970</v>
      </c>
      <c r="J248" s="140" t="n">
        <v>792</v>
      </c>
    </row>
    <row r="249" hidden="1" s="93">
      <c r="B249" s="5" t="inlineStr">
        <is>
          <t>쇼피대만</t>
        </is>
      </c>
      <c r="C249" s="94" t="inlineStr">
        <is>
          <t>수딩크림</t>
        </is>
      </c>
      <c r="D249" s="94" t="inlineStr">
        <is>
          <t>200831=수딩크림 100ml</t>
        </is>
      </c>
      <c r="E249" s="6" t="n">
        <v>190801</v>
      </c>
      <c r="F249" s="7">
        <f>B249&amp;C249&amp;D249&amp;E249</f>
        <v/>
      </c>
      <c r="G249" s="6" t="n">
        <v>30290</v>
      </c>
      <c r="H249" s="139" t="n">
        <v>0.092</v>
      </c>
      <c r="I249" s="6" t="n">
        <v>4275</v>
      </c>
      <c r="J249" s="140" t="n">
        <v>752</v>
      </c>
    </row>
    <row r="250" hidden="1" s="93">
      <c r="B250" s="5" t="inlineStr">
        <is>
          <t>쇼피대만</t>
        </is>
      </c>
      <c r="C250" s="94" t="inlineStr">
        <is>
          <t>머드크림마스크</t>
        </is>
      </c>
      <c r="D250" s="94" t="inlineStr">
        <is>
          <t>200831=머드크림마스크 100ml</t>
        </is>
      </c>
      <c r="E250" s="6" t="n">
        <v>190801</v>
      </c>
      <c r="F250" s="7">
        <f>B250&amp;C250&amp;D250&amp;E250</f>
        <v/>
      </c>
      <c r="G250" s="6" t="n">
        <v>19978</v>
      </c>
      <c r="H250" s="139" t="n">
        <v>0.092</v>
      </c>
      <c r="I250" s="6" t="n">
        <v>1442</v>
      </c>
      <c r="J250" s="140" t="n">
        <v>496</v>
      </c>
    </row>
    <row r="251" hidden="1" s="93">
      <c r="B251" s="5" t="inlineStr">
        <is>
          <t>쇼피대만</t>
        </is>
      </c>
      <c r="C251" s="94" t="inlineStr">
        <is>
          <t>클렌징폼</t>
        </is>
      </c>
      <c r="D251" s="94" t="inlineStr">
        <is>
          <t>200831=클렌징폼 120ml</t>
        </is>
      </c>
      <c r="E251" s="6" t="n">
        <v>190801</v>
      </c>
      <c r="F251" s="7">
        <f>B251&amp;C251&amp;D251&amp;E251</f>
        <v/>
      </c>
      <c r="G251" s="6" t="n">
        <v>12567</v>
      </c>
      <c r="H251" s="139" t="n">
        <v>0.092</v>
      </c>
      <c r="I251" s="6" t="n">
        <v>2750</v>
      </c>
      <c r="J251" s="140" t="n">
        <v>312</v>
      </c>
    </row>
    <row r="252" hidden="1" s="93">
      <c r="B252" s="5" t="inlineStr">
        <is>
          <t>쇼피대만</t>
        </is>
      </c>
      <c r="C252" s="94" t="inlineStr">
        <is>
          <t>앰플</t>
        </is>
      </c>
      <c r="D252" s="94" t="inlineStr">
        <is>
          <t>200831=앰플 30ml</t>
        </is>
      </c>
      <c r="E252" s="6" t="n">
        <v>190801</v>
      </c>
      <c r="F252" s="7">
        <f>B252&amp;C252&amp;D252&amp;E252</f>
        <v/>
      </c>
      <c r="G252" s="6" t="n">
        <v>26101</v>
      </c>
      <c r="H252" s="139" t="n">
        <v>0.092</v>
      </c>
      <c r="I252" s="6" t="n">
        <v>3397</v>
      </c>
      <c r="J252" s="140" t="n">
        <v>648</v>
      </c>
    </row>
    <row r="253" hidden="1" s="93">
      <c r="B253" s="5" t="inlineStr">
        <is>
          <t>쇼피대만</t>
        </is>
      </c>
      <c r="C253" s="94" t="inlineStr">
        <is>
          <t>선크림</t>
        </is>
      </c>
      <c r="D253" s="94" t="inlineStr">
        <is>
          <t>200831=선크림 50ml</t>
        </is>
      </c>
      <c r="E253" s="6" t="n">
        <v>190801</v>
      </c>
      <c r="F253" s="7">
        <f>B253&amp;C253&amp;D253&amp;E253</f>
        <v/>
      </c>
      <c r="G253" s="6" t="n">
        <v>19978</v>
      </c>
      <c r="H253" s="139" t="n">
        <v>0.092</v>
      </c>
      <c r="I253" s="6" t="n">
        <v>2345</v>
      </c>
      <c r="J253" s="140" t="n">
        <v>496</v>
      </c>
    </row>
    <row r="254" hidden="1" s="93">
      <c r="B254" s="5" t="inlineStr">
        <is>
          <t>쇼피대만</t>
        </is>
      </c>
      <c r="C254" s="94" t="inlineStr">
        <is>
          <t>토너</t>
        </is>
      </c>
      <c r="D254" s="94" t="inlineStr">
        <is>
          <t>200831=250ml = 화장솜 60P</t>
        </is>
      </c>
      <c r="E254" s="6" t="n">
        <v>190801</v>
      </c>
      <c r="F254" s="7">
        <f>B254&amp;C254&amp;D254&amp;E254</f>
        <v/>
      </c>
      <c r="G254" s="6" t="n">
        <v>2497</v>
      </c>
      <c r="H254" s="139" t="n">
        <v>0.092</v>
      </c>
      <c r="I254" s="6" t="n">
        <v>1110</v>
      </c>
      <c r="J254" s="141" t="n">
        <v>62</v>
      </c>
    </row>
    <row r="255" hidden="1" s="93">
      <c r="B255" s="5" t="inlineStr">
        <is>
          <t>쇼피대만</t>
        </is>
      </c>
      <c r="C255" s="94" t="inlineStr">
        <is>
          <t>토너</t>
        </is>
      </c>
      <c r="D255" s="94" t="inlineStr">
        <is>
          <t>200831=250ml = 화장솜 60P X 2</t>
        </is>
      </c>
      <c r="E255" s="6" t="n">
        <v>190801</v>
      </c>
      <c r="F255" s="7">
        <f>B255&amp;C255&amp;D255&amp;E255</f>
        <v/>
      </c>
      <c r="G255" s="6" t="n">
        <v>3544</v>
      </c>
      <c r="H255" s="139" t="n">
        <v>0.092</v>
      </c>
      <c r="I255" s="6" t="n">
        <v>2220</v>
      </c>
      <c r="J255" s="141" t="n">
        <v>88</v>
      </c>
    </row>
    <row r="256" hidden="1" s="93">
      <c r="B256" s="5" t="inlineStr">
        <is>
          <t>쇼피베트남</t>
        </is>
      </c>
      <c r="C256" s="94" t="inlineStr">
        <is>
          <t>토너</t>
        </is>
      </c>
      <c r="D256" s="94" t="inlineStr">
        <is>
          <t>200831=250ml</t>
        </is>
      </c>
      <c r="E256" s="6" t="n">
        <v>190801</v>
      </c>
      <c r="F256" s="7">
        <f>B256&amp;C256&amp;D256&amp;E256</f>
        <v/>
      </c>
      <c r="G256" s="6" t="n">
        <v>25296</v>
      </c>
      <c r="H256" s="27" t="n">
        <v>0.08</v>
      </c>
      <c r="I256" s="6" t="n">
        <v>3260</v>
      </c>
      <c r="J256" s="142" t="n">
        <v>496000</v>
      </c>
    </row>
    <row r="257" hidden="1" s="93">
      <c r="B257" s="5" t="inlineStr">
        <is>
          <t>쇼피베트남</t>
        </is>
      </c>
      <c r="C257" s="94" t="inlineStr">
        <is>
          <t>토너</t>
        </is>
      </c>
      <c r="D257" s="94" t="inlineStr">
        <is>
          <t>200831=500ml</t>
        </is>
      </c>
      <c r="E257" s="6" t="n">
        <v>190801</v>
      </c>
      <c r="F257" s="7">
        <f>B257&amp;C257&amp;D257&amp;E257</f>
        <v/>
      </c>
      <c r="G257" s="6" t="n">
        <v>44880</v>
      </c>
      <c r="H257" s="27" t="n">
        <v>0.08</v>
      </c>
      <c r="I257" s="6" t="n">
        <v>4725</v>
      </c>
      <c r="J257" s="142" t="n">
        <v>880000</v>
      </c>
    </row>
    <row r="258" hidden="1" s="93">
      <c r="B258" s="5" t="inlineStr">
        <is>
          <t>쇼피베트남</t>
        </is>
      </c>
      <c r="C258" s="94" t="inlineStr">
        <is>
          <t>마스크팩</t>
        </is>
      </c>
      <c r="D258" s="94" t="inlineStr">
        <is>
          <t>200831=마스크팩 10매</t>
        </is>
      </c>
      <c r="E258" s="6" t="n">
        <v>190801</v>
      </c>
      <c r="F258" s="7">
        <f>B258&amp;C258&amp;D258&amp;E258</f>
        <v/>
      </c>
      <c r="G258" s="6" t="n">
        <v>40392</v>
      </c>
      <c r="H258" s="27" t="n">
        <v>0.08</v>
      </c>
      <c r="I258" s="6" t="n">
        <v>3970</v>
      </c>
      <c r="J258" s="142" t="n">
        <v>792000</v>
      </c>
    </row>
    <row r="259" hidden="1" s="93">
      <c r="B259" s="5" t="inlineStr">
        <is>
          <t>쇼피베트남</t>
        </is>
      </c>
      <c r="C259" s="94" t="inlineStr">
        <is>
          <t>수딩크림</t>
        </is>
      </c>
      <c r="D259" s="94" t="inlineStr">
        <is>
          <t>200831=수딩크림 100ml</t>
        </is>
      </c>
      <c r="E259" s="6" t="n">
        <v>190801</v>
      </c>
      <c r="F259" s="7">
        <f>B259&amp;C259&amp;D259&amp;E259</f>
        <v/>
      </c>
      <c r="G259" s="6" t="n">
        <v>38352</v>
      </c>
      <c r="H259" s="27" t="n">
        <v>0.08</v>
      </c>
      <c r="I259" s="6" t="n">
        <v>4275</v>
      </c>
      <c r="J259" s="142" t="n">
        <v>752000</v>
      </c>
    </row>
    <row r="260" hidden="1" s="93">
      <c r="B260" s="5" t="inlineStr">
        <is>
          <t>쇼피베트남</t>
        </is>
      </c>
      <c r="C260" s="94" t="inlineStr">
        <is>
          <t>머드크림마스크</t>
        </is>
      </c>
      <c r="D260" s="94" t="inlineStr">
        <is>
          <t>200831=머드크림마스크 100ml</t>
        </is>
      </c>
      <c r="E260" s="6" t="n">
        <v>190801</v>
      </c>
      <c r="F260" s="7">
        <f>B260&amp;C260&amp;D260&amp;E260</f>
        <v/>
      </c>
      <c r="G260" s="6" t="n">
        <v>25296</v>
      </c>
      <c r="H260" s="27" t="n">
        <v>0.08</v>
      </c>
      <c r="I260" s="6" t="n">
        <v>1442</v>
      </c>
      <c r="J260" s="142" t="n">
        <v>496000</v>
      </c>
    </row>
    <row r="261" hidden="1" s="93">
      <c r="B261" s="5" t="inlineStr">
        <is>
          <t>쇼피베트남</t>
        </is>
      </c>
      <c r="C261" s="94" t="inlineStr">
        <is>
          <t>클렌징폼</t>
        </is>
      </c>
      <c r="D261" s="94" t="inlineStr">
        <is>
          <t>200831=클렌징폼 120ml</t>
        </is>
      </c>
      <c r="E261" s="6" t="n">
        <v>190801</v>
      </c>
      <c r="F261" s="7">
        <f>B261&amp;C261&amp;D261&amp;E261</f>
        <v/>
      </c>
      <c r="G261" s="6" t="n">
        <v>15912</v>
      </c>
      <c r="H261" s="27" t="n">
        <v>0.08</v>
      </c>
      <c r="I261" s="6" t="n">
        <v>2750</v>
      </c>
      <c r="J261" s="142" t="n">
        <v>312000</v>
      </c>
    </row>
    <row r="262" hidden="1" s="93">
      <c r="B262" s="5" t="inlineStr">
        <is>
          <t>쇼피베트남</t>
        </is>
      </c>
      <c r="C262" s="94" t="inlineStr">
        <is>
          <t>앰플</t>
        </is>
      </c>
      <c r="D262" s="94" t="inlineStr">
        <is>
          <t>200831=앰플 30ml</t>
        </is>
      </c>
      <c r="E262" s="6" t="n">
        <v>190801</v>
      </c>
      <c r="F262" s="7">
        <f>B262&amp;C262&amp;D262&amp;E262</f>
        <v/>
      </c>
      <c r="G262" s="6" t="n">
        <v>33048</v>
      </c>
      <c r="H262" s="27" t="n">
        <v>0.08</v>
      </c>
      <c r="I262" s="6" t="n">
        <v>3397</v>
      </c>
      <c r="J262" s="142" t="n">
        <v>648000</v>
      </c>
    </row>
    <row r="263" hidden="1" s="93">
      <c r="B263" s="5" t="inlineStr">
        <is>
          <t>쇼피베트남</t>
        </is>
      </c>
      <c r="C263" s="94" t="inlineStr">
        <is>
          <t>선크림</t>
        </is>
      </c>
      <c r="D263" s="94" t="inlineStr">
        <is>
          <t>200831=선크림 50ml</t>
        </is>
      </c>
      <c r="E263" s="6" t="n">
        <v>190801</v>
      </c>
      <c r="F263" s="7">
        <f>B263&amp;C263&amp;D263&amp;E263</f>
        <v/>
      </c>
      <c r="G263" s="6" t="n">
        <v>25296</v>
      </c>
      <c r="H263" s="27" t="n">
        <v>0.08</v>
      </c>
      <c r="I263" s="6" t="n">
        <v>2345</v>
      </c>
      <c r="J263" s="142" t="n">
        <v>496000</v>
      </c>
    </row>
    <row r="264" hidden="1" s="93">
      <c r="B264" s="5" t="inlineStr">
        <is>
          <t>쇼피베트남</t>
        </is>
      </c>
      <c r="C264" s="94" t="inlineStr">
        <is>
          <t>토너</t>
        </is>
      </c>
      <c r="D264" s="94" t="inlineStr">
        <is>
          <t>200831=250ml = 화장솜 60P</t>
        </is>
      </c>
      <c r="E264" s="6" t="n">
        <v>190801</v>
      </c>
      <c r="F264" s="7">
        <f>B264&amp;C264&amp;D264&amp;E264</f>
        <v/>
      </c>
      <c r="G264" s="6" t="n">
        <v>3162</v>
      </c>
      <c r="H264" s="27" t="n">
        <v>0.08</v>
      </c>
      <c r="I264" s="6" t="n">
        <v>1110</v>
      </c>
      <c r="J264" s="142" t="n">
        <v>62000</v>
      </c>
    </row>
    <row r="265" hidden="1" s="93">
      <c r="B265" s="5" t="inlineStr">
        <is>
          <t>쇼피베트남</t>
        </is>
      </c>
      <c r="C265" s="94" t="inlineStr">
        <is>
          <t>토너</t>
        </is>
      </c>
      <c r="D265" s="94" t="inlineStr">
        <is>
          <t>200831=250ml = 화장솜 60P X 2</t>
        </is>
      </c>
      <c r="E265" s="6" t="n">
        <v>190801</v>
      </c>
      <c r="F265" s="7">
        <f>B265&amp;C265&amp;D265&amp;E265</f>
        <v/>
      </c>
      <c r="G265" s="6" t="n">
        <v>4488</v>
      </c>
      <c r="H265" s="27" t="n">
        <v>0.08</v>
      </c>
      <c r="I265" s="6" t="n">
        <v>2220</v>
      </c>
      <c r="J265" s="142" t="n">
        <v>88000</v>
      </c>
    </row>
    <row r="266" hidden="1" s="93">
      <c r="B266" s="5" t="inlineStr">
        <is>
          <t>쇼피싱가폴</t>
        </is>
      </c>
      <c r="C266" s="94" t="inlineStr">
        <is>
          <t>토너</t>
        </is>
      </c>
      <c r="D266" s="94" t="inlineStr">
        <is>
          <t>200831=250ml</t>
        </is>
      </c>
      <c r="E266" s="6" t="n">
        <v>190801</v>
      </c>
      <c r="F266" s="7">
        <f>B266&amp;C266&amp;D266&amp;E266</f>
        <v/>
      </c>
      <c r="G266" s="6" t="n">
        <v>23073</v>
      </c>
      <c r="H266" s="30" t="n">
        <v>0.07140000000000001</v>
      </c>
      <c r="I266" s="6" t="n">
        <v>3260</v>
      </c>
      <c r="J266" s="143" t="inlineStr">
        <is>
          <t>S$26.5</t>
        </is>
      </c>
    </row>
    <row r="267" hidden="1" s="93">
      <c r="B267" s="5" t="inlineStr">
        <is>
          <t>쇼피싱가폴</t>
        </is>
      </c>
      <c r="C267" s="94" t="inlineStr">
        <is>
          <t>토너</t>
        </is>
      </c>
      <c r="D267" s="94" t="inlineStr">
        <is>
          <t>200831=500ml</t>
        </is>
      </c>
      <c r="E267" s="6" t="n">
        <v>190801</v>
      </c>
      <c r="F267" s="7">
        <f>B267&amp;C267&amp;D267&amp;E267</f>
        <v/>
      </c>
      <c r="G267" s="6" t="n">
        <v>44841</v>
      </c>
      <c r="H267" s="30" t="n">
        <v>0.07140000000000001</v>
      </c>
      <c r="I267" s="6" t="n">
        <v>4725</v>
      </c>
      <c r="J267" s="143" t="inlineStr">
        <is>
          <t>S$51.5</t>
        </is>
      </c>
    </row>
    <row r="268" hidden="1" s="93">
      <c r="B268" s="5" t="inlineStr">
        <is>
          <t>쇼피싱가폴</t>
        </is>
      </c>
      <c r="C268" s="94" t="inlineStr">
        <is>
          <t>마스크팩</t>
        </is>
      </c>
      <c r="D268" s="94" t="inlineStr">
        <is>
          <t>200831=마스크팩 10매</t>
        </is>
      </c>
      <c r="E268" s="6" t="n">
        <v>190801</v>
      </c>
      <c r="F268" s="7">
        <f>B268&amp;C268&amp;D268&amp;E268</f>
        <v/>
      </c>
      <c r="G268" s="6" t="n">
        <v>40052</v>
      </c>
      <c r="H268" s="30" t="n">
        <v>0.07140000000000001</v>
      </c>
      <c r="I268" s="6" t="n">
        <v>3970</v>
      </c>
      <c r="J268" s="143" t="inlineStr">
        <is>
          <t>S$46</t>
        </is>
      </c>
    </row>
    <row r="269" hidden="1" s="93">
      <c r="B269" s="5" t="inlineStr">
        <is>
          <t>쇼피싱가폴</t>
        </is>
      </c>
      <c r="C269" s="94" t="inlineStr">
        <is>
          <t>수딩크림</t>
        </is>
      </c>
      <c r="D269" s="94" t="inlineStr">
        <is>
          <t>200831=수딩크림 100ml</t>
        </is>
      </c>
      <c r="E269" s="6" t="n">
        <v>190801</v>
      </c>
      <c r="F269" s="7">
        <f>B269&amp;C269&amp;D269&amp;E269</f>
        <v/>
      </c>
      <c r="G269" s="6" t="n">
        <v>36569</v>
      </c>
      <c r="H269" s="30" t="n">
        <v>0.07140000000000001</v>
      </c>
      <c r="I269" s="6" t="n">
        <v>4275</v>
      </c>
      <c r="J269" s="143" t="inlineStr">
        <is>
          <t>S$42</t>
        </is>
      </c>
    </row>
    <row r="270" hidden="1" s="93">
      <c r="B270" s="5" t="inlineStr">
        <is>
          <t>쇼피싱가폴</t>
        </is>
      </c>
      <c r="C270" s="94" t="inlineStr">
        <is>
          <t>머드크림마스크</t>
        </is>
      </c>
      <c r="D270" s="94" t="inlineStr">
        <is>
          <t>200831=머드크림마스크 100ml</t>
        </is>
      </c>
      <c r="E270" s="6" t="n">
        <v>190801</v>
      </c>
      <c r="F270" s="7">
        <f>B270&amp;C270&amp;D270&amp;E270</f>
        <v/>
      </c>
      <c r="G270" s="6" t="n">
        <v>24379</v>
      </c>
      <c r="H270" s="30" t="n">
        <v>0.07140000000000001</v>
      </c>
      <c r="I270" s="6" t="n">
        <v>1442</v>
      </c>
      <c r="J270" s="143" t="inlineStr">
        <is>
          <t>S$28</t>
        </is>
      </c>
    </row>
    <row r="271" hidden="1" s="93">
      <c r="B271" s="5" t="inlineStr">
        <is>
          <t>쇼피싱가폴</t>
        </is>
      </c>
      <c r="C271" s="94" t="inlineStr">
        <is>
          <t>클렌징폼</t>
        </is>
      </c>
      <c r="D271" s="94" t="inlineStr">
        <is>
          <t>200831=클렌징폼 120ml</t>
        </is>
      </c>
      <c r="E271" s="6" t="n">
        <v>190801</v>
      </c>
      <c r="F271" s="7">
        <f>B271&amp;C271&amp;D271&amp;E271</f>
        <v/>
      </c>
      <c r="G271" s="6" t="n">
        <v>16108</v>
      </c>
      <c r="H271" s="30" t="n">
        <v>0.07140000000000001</v>
      </c>
      <c r="I271" s="6" t="n">
        <v>2750</v>
      </c>
      <c r="J271" s="143" t="inlineStr">
        <is>
          <t>S$18.5</t>
        </is>
      </c>
    </row>
    <row r="272" hidden="1" s="93">
      <c r="B272" s="5" t="inlineStr">
        <is>
          <t>쇼피싱가폴</t>
        </is>
      </c>
      <c r="C272" s="94" t="inlineStr">
        <is>
          <t>앰플</t>
        </is>
      </c>
      <c r="D272" s="94" t="inlineStr">
        <is>
          <t>200831=앰플 30ml</t>
        </is>
      </c>
      <c r="E272" s="6" t="n">
        <v>190801</v>
      </c>
      <c r="F272" s="7">
        <f>B272&amp;C272&amp;D272&amp;E272</f>
        <v/>
      </c>
      <c r="G272" s="6" t="n">
        <v>33086</v>
      </c>
      <c r="H272" s="30" t="n">
        <v>0.07140000000000001</v>
      </c>
      <c r="I272" s="6" t="n">
        <v>3397</v>
      </c>
      <c r="J272" s="143" t="inlineStr">
        <is>
          <t>S$38</t>
        </is>
      </c>
    </row>
    <row r="273" hidden="1" s="93">
      <c r="B273" s="5" t="inlineStr">
        <is>
          <t>쇼피싱가폴</t>
        </is>
      </c>
      <c r="C273" s="94" t="inlineStr">
        <is>
          <t>선크림</t>
        </is>
      </c>
      <c r="D273" s="94" t="inlineStr">
        <is>
          <t>200831=선크림 50ml</t>
        </is>
      </c>
      <c r="E273" s="6" t="n">
        <v>190801</v>
      </c>
      <c r="F273" s="7">
        <f>B273&amp;C273&amp;D273&amp;E273</f>
        <v/>
      </c>
      <c r="G273" s="6" t="n">
        <v>24379</v>
      </c>
      <c r="H273" s="30" t="n">
        <v>0.07140000000000001</v>
      </c>
      <c r="I273" s="6" t="n">
        <v>2345</v>
      </c>
      <c r="J273" s="143" t="inlineStr">
        <is>
          <t>S$28</t>
        </is>
      </c>
    </row>
    <row r="274" hidden="1" s="93">
      <c r="B274" s="5" t="inlineStr">
        <is>
          <t>쇼피싱가폴</t>
        </is>
      </c>
      <c r="C274" s="94" t="inlineStr">
        <is>
          <t>토너</t>
        </is>
      </c>
      <c r="D274" s="94" t="inlineStr">
        <is>
          <t>200831=250ml = 화장솜 60P</t>
        </is>
      </c>
      <c r="E274" s="6" t="n">
        <v>190801</v>
      </c>
      <c r="F274" s="7">
        <f>B274&amp;C274&amp;D274&amp;E274</f>
        <v/>
      </c>
      <c r="G274" s="6" t="n">
        <v>4788</v>
      </c>
      <c r="H274" s="30" t="n">
        <v>0.07140000000000001</v>
      </c>
      <c r="I274" s="6" t="n">
        <v>1110</v>
      </c>
      <c r="J274" s="144" t="inlineStr">
        <is>
          <t>S$5.5</t>
        </is>
      </c>
    </row>
    <row r="275" hidden="1" s="93">
      <c r="B275" s="5" t="inlineStr">
        <is>
          <t>쇼피싱가폴</t>
        </is>
      </c>
      <c r="C275" s="94" t="inlineStr">
        <is>
          <t>토너</t>
        </is>
      </c>
      <c r="D275" s="94" t="inlineStr">
        <is>
          <t>200831=250ml = 화장솜 60P X 2</t>
        </is>
      </c>
      <c r="E275" s="6" t="n">
        <v>190801</v>
      </c>
      <c r="F275" s="7">
        <f>B275&amp;C275&amp;D275&amp;E275</f>
        <v/>
      </c>
      <c r="G275" s="6" t="n">
        <v>7401</v>
      </c>
      <c r="H275" s="30" t="n">
        <v>0.07140000000000001</v>
      </c>
      <c r="I275" s="6" t="n">
        <v>2220</v>
      </c>
      <c r="J275" s="144" t="inlineStr">
        <is>
          <t>S$8.5</t>
        </is>
      </c>
    </row>
    <row r="276" hidden="1" s="93">
      <c r="B276" s="5" t="inlineStr">
        <is>
          <t>쇼피싱가폴</t>
        </is>
      </c>
      <c r="C276" s="94" t="inlineStr">
        <is>
          <t>토너</t>
        </is>
      </c>
      <c r="D276" s="94" t="inlineStr">
        <is>
          <t>200831=500ml = 화장솜 60P</t>
        </is>
      </c>
      <c r="E276" s="6" t="n">
        <v>190801</v>
      </c>
      <c r="F276" s="7">
        <f>B276&amp;C276&amp;D276&amp;E276</f>
        <v/>
      </c>
      <c r="G276" s="6" t="n">
        <v>3047</v>
      </c>
      <c r="H276" s="30" t="n">
        <v>0.07140000000000001</v>
      </c>
      <c r="I276" s="6" t="n">
        <v>1110</v>
      </c>
      <c r="J276" s="144" t="inlineStr">
        <is>
          <t>S$3.5</t>
        </is>
      </c>
    </row>
    <row r="277" hidden="1" s="93">
      <c r="B277" s="5" t="inlineStr">
        <is>
          <t>쇼피싱가폴</t>
        </is>
      </c>
      <c r="C277" s="94" t="inlineStr">
        <is>
          <t>토너</t>
        </is>
      </c>
      <c r="D277" s="94" t="inlineStr">
        <is>
          <t>200831=500ml = 화장솜 60P X 2</t>
        </is>
      </c>
      <c r="E277" s="6" t="n">
        <v>190801</v>
      </c>
      <c r="F277" s="7">
        <f>B277&amp;C277&amp;D277&amp;E277</f>
        <v/>
      </c>
      <c r="G277" s="6" t="n">
        <v>6530</v>
      </c>
      <c r="H277" s="30" t="n">
        <v>0.07140000000000001</v>
      </c>
      <c r="I277" s="6" t="n">
        <v>2220</v>
      </c>
      <c r="J277" s="144" t="inlineStr">
        <is>
          <t>S$7.5</t>
        </is>
      </c>
    </row>
    <row r="278" hidden="1" s="93">
      <c r="B278" s="5" t="inlineStr">
        <is>
          <t>라자다싱가폴</t>
        </is>
      </c>
      <c r="C278" s="94" t="inlineStr">
        <is>
          <t>토너</t>
        </is>
      </c>
      <c r="D278" s="94" t="inlineStr">
        <is>
          <t>200831=250ml</t>
        </is>
      </c>
      <c r="E278" s="6" t="n">
        <v>190801</v>
      </c>
      <c r="F278" s="7">
        <f>B278&amp;C278&amp;D278&amp;E278</f>
        <v/>
      </c>
      <c r="G278" s="6" t="n">
        <v>24383</v>
      </c>
      <c r="H278" s="27" t="n">
        <v>0.07000000000000001</v>
      </c>
      <c r="I278" s="6" t="n">
        <v>3260</v>
      </c>
      <c r="J278" s="45" t="inlineStr">
        <is>
          <t>S$28</t>
        </is>
      </c>
    </row>
    <row r="279" hidden="1" s="93">
      <c r="B279" s="5" t="inlineStr">
        <is>
          <t>라자다싱가폴</t>
        </is>
      </c>
      <c r="C279" s="94" t="inlineStr">
        <is>
          <t>토너</t>
        </is>
      </c>
      <c r="D279" s="94" t="inlineStr">
        <is>
          <t>200831=500ml</t>
        </is>
      </c>
      <c r="E279" s="6" t="n">
        <v>190801</v>
      </c>
      <c r="F279" s="7">
        <f>B279&amp;C279&amp;D279&amp;E279</f>
        <v/>
      </c>
      <c r="G279" s="6" t="n">
        <v>45283</v>
      </c>
      <c r="H279" s="27" t="n">
        <v>0.07000000000000001</v>
      </c>
      <c r="I279" s="6" t="n">
        <v>4725</v>
      </c>
      <c r="J279" s="45" t="inlineStr">
        <is>
          <t>S$52</t>
        </is>
      </c>
    </row>
    <row r="280" hidden="1" s="93">
      <c r="B280" s="5" t="inlineStr">
        <is>
          <t>라자다싱가폴</t>
        </is>
      </c>
      <c r="C280" s="94" t="inlineStr">
        <is>
          <t>마스크팩</t>
        </is>
      </c>
      <c r="D280" s="94" t="inlineStr">
        <is>
          <t>200831=마스크팩 10매</t>
        </is>
      </c>
      <c r="E280" s="6" t="n">
        <v>190801</v>
      </c>
      <c r="F280" s="7">
        <f>B280&amp;C280&amp;D280&amp;E280</f>
        <v/>
      </c>
      <c r="G280" s="6" t="n">
        <v>39187</v>
      </c>
      <c r="H280" s="27" t="n">
        <v>0.07000000000000001</v>
      </c>
      <c r="I280" s="6" t="n">
        <v>3970</v>
      </c>
      <c r="J280" s="45" t="inlineStr">
        <is>
          <t>S$45</t>
        </is>
      </c>
    </row>
    <row r="281" hidden="1" s="93">
      <c r="B281" s="5" t="inlineStr">
        <is>
          <t>라자다싱가폴</t>
        </is>
      </c>
      <c r="C281" s="94" t="inlineStr">
        <is>
          <t>수딩크림</t>
        </is>
      </c>
      <c r="D281" s="94" t="inlineStr">
        <is>
          <t>200831=수딩크림 100ml</t>
        </is>
      </c>
      <c r="E281" s="6" t="n">
        <v>190801</v>
      </c>
      <c r="F281" s="7">
        <f>B281&amp;C281&amp;D281&amp;E281</f>
        <v/>
      </c>
      <c r="G281" s="6" t="n">
        <v>38316</v>
      </c>
      <c r="H281" s="27" t="n">
        <v>0.07000000000000001</v>
      </c>
      <c r="I281" s="6" t="n">
        <v>4275</v>
      </c>
      <c r="J281" s="45" t="inlineStr">
        <is>
          <t>S$44</t>
        </is>
      </c>
    </row>
    <row r="282" hidden="1" s="93">
      <c r="B282" s="5" t="inlineStr">
        <is>
          <t>라자다싱가폴</t>
        </is>
      </c>
      <c r="C282" s="94" t="inlineStr">
        <is>
          <t>머드크림마스크</t>
        </is>
      </c>
      <c r="D282" s="94" t="inlineStr">
        <is>
          <t>200831=머드크림마스크 100ml</t>
        </is>
      </c>
      <c r="E282" s="6" t="n">
        <v>190801</v>
      </c>
      <c r="F282" s="7">
        <f>B282&amp;C282&amp;D282&amp;E282</f>
        <v/>
      </c>
      <c r="G282" s="6" t="n">
        <v>24383</v>
      </c>
      <c r="H282" s="27" t="n">
        <v>0.07000000000000001</v>
      </c>
      <c r="I282" s="6" t="n">
        <v>1442</v>
      </c>
      <c r="J282" s="45" t="inlineStr">
        <is>
          <t>S$28</t>
        </is>
      </c>
    </row>
    <row r="283" hidden="1" s="93">
      <c r="B283" s="5" t="inlineStr">
        <is>
          <t>라자다싱가폴</t>
        </is>
      </c>
      <c r="C283" s="94" t="inlineStr">
        <is>
          <t>클렌징폼</t>
        </is>
      </c>
      <c r="D283" s="94" t="inlineStr">
        <is>
          <t>200831=클렌징폼 120ml</t>
        </is>
      </c>
      <c r="E283" s="6" t="n">
        <v>190801</v>
      </c>
      <c r="F283" s="7">
        <f>B283&amp;C283&amp;D283&amp;E283</f>
        <v/>
      </c>
      <c r="G283" s="6" t="n">
        <v>16110</v>
      </c>
      <c r="H283" s="27" t="n">
        <v>0.07000000000000001</v>
      </c>
      <c r="I283" s="6" t="n">
        <v>2750</v>
      </c>
      <c r="J283" s="45" t="inlineStr">
        <is>
          <t>S$18.5</t>
        </is>
      </c>
    </row>
    <row r="284" hidden="1" s="93">
      <c r="B284" s="5" t="inlineStr">
        <is>
          <t>라자다싱가폴</t>
        </is>
      </c>
      <c r="C284" s="94" t="inlineStr">
        <is>
          <t>앰플</t>
        </is>
      </c>
      <c r="D284" s="94" t="inlineStr">
        <is>
          <t>200831=앰플 30ml</t>
        </is>
      </c>
      <c r="E284" s="6" t="n">
        <v>190801</v>
      </c>
      <c r="F284" s="7">
        <f>B284&amp;C284&amp;D284&amp;E284</f>
        <v/>
      </c>
      <c r="G284" s="6" t="n">
        <v>33091</v>
      </c>
      <c r="H284" s="27" t="n">
        <v>0.07000000000000001</v>
      </c>
      <c r="I284" s="6" t="n">
        <v>3397</v>
      </c>
      <c r="J284" s="45" t="inlineStr">
        <is>
          <t>S$38</t>
        </is>
      </c>
    </row>
    <row r="285" hidden="1" s="93">
      <c r="B285" s="5" t="inlineStr">
        <is>
          <t>라자다싱가폴</t>
        </is>
      </c>
      <c r="C285" s="94" t="inlineStr">
        <is>
          <t>선크림</t>
        </is>
      </c>
      <c r="D285" s="94" t="inlineStr">
        <is>
          <t>200831=선크림 50ml</t>
        </is>
      </c>
      <c r="E285" s="6" t="n">
        <v>190801</v>
      </c>
      <c r="F285" s="7">
        <f>B285&amp;C285&amp;D285&amp;E285</f>
        <v/>
      </c>
      <c r="G285" s="6" t="n">
        <v>25254</v>
      </c>
      <c r="H285" s="27" t="n">
        <v>0.07000000000000001</v>
      </c>
      <c r="I285" s="6" t="n">
        <v>2345</v>
      </c>
      <c r="J285" s="45" t="inlineStr">
        <is>
          <t>S$29</t>
        </is>
      </c>
    </row>
    <row r="286">
      <c r="B286" s="5" t="inlineStr">
        <is>
          <t>굿닥</t>
        </is>
      </c>
      <c r="C286" s="94" t="inlineStr">
        <is>
          <t>토너</t>
        </is>
      </c>
      <c r="D286" s="94" t="inlineStr">
        <is>
          <t>250ml</t>
        </is>
      </c>
      <c r="E286" s="6" t="n">
        <v>190801</v>
      </c>
      <c r="F286" s="7">
        <f>B286&amp;C286&amp;D286&amp;E286</f>
        <v/>
      </c>
      <c r="G286" s="6" t="n">
        <v>25000</v>
      </c>
      <c r="H286" s="27" t="n">
        <v>0.3</v>
      </c>
      <c r="I286" s="6" t="n">
        <v>3260</v>
      </c>
      <c r="J286" s="45" t="n"/>
    </row>
    <row r="287">
      <c r="B287" s="5" t="inlineStr">
        <is>
          <t>굿닥</t>
        </is>
      </c>
      <c r="C287" s="94" t="inlineStr">
        <is>
          <t>머드크림마스크</t>
        </is>
      </c>
      <c r="D287" s="94" t="inlineStr">
        <is>
          <t>머드크림마스크 100ml</t>
        </is>
      </c>
      <c r="E287" s="6" t="n">
        <v>190801</v>
      </c>
      <c r="F287" s="7">
        <f>B287&amp;C287&amp;D287&amp;E287</f>
        <v/>
      </c>
      <c r="G287" s="6" t="n">
        <v>25000</v>
      </c>
      <c r="H287" s="27" t="n">
        <v>0.3</v>
      </c>
      <c r="I287" s="6" t="n">
        <v>1442</v>
      </c>
      <c r="J287" s="45" t="n"/>
    </row>
    <row r="288">
      <c r="B288" s="5" t="inlineStr">
        <is>
          <t>굿닥</t>
        </is>
      </c>
      <c r="C288" s="94" t="inlineStr">
        <is>
          <t>클렌징폼</t>
        </is>
      </c>
      <c r="D288" s="94" t="inlineStr">
        <is>
          <t>클렌징폼 120ml</t>
        </is>
      </c>
      <c r="E288" s="6" t="n">
        <v>190801</v>
      </c>
      <c r="F288" s="7">
        <f>B288&amp;C288&amp;D288&amp;E288</f>
        <v/>
      </c>
      <c r="G288" s="6" t="n">
        <v>16000</v>
      </c>
      <c r="H288" s="27" t="n">
        <v>0.3</v>
      </c>
      <c r="I288" s="6" t="n">
        <v>2750</v>
      </c>
      <c r="J288" s="45" t="n"/>
    </row>
    <row r="289">
      <c r="B289" s="5" t="inlineStr">
        <is>
          <t>굿닥</t>
        </is>
      </c>
      <c r="C289" s="94" t="inlineStr">
        <is>
          <t>마스크팩</t>
        </is>
      </c>
      <c r="D289" s="94" t="inlineStr">
        <is>
          <t>마스크팩 1매</t>
        </is>
      </c>
      <c r="E289" s="6" t="n">
        <v>190801</v>
      </c>
      <c r="F289" s="7">
        <f>B289&amp;C289&amp;D289&amp;E289</f>
        <v/>
      </c>
      <c r="G289" s="6" t="n">
        <v>4000</v>
      </c>
      <c r="H289" s="27" t="n">
        <v>0.3</v>
      </c>
      <c r="I289" s="6" t="n">
        <v>397</v>
      </c>
      <c r="J289" s="45" t="n"/>
    </row>
    <row r="290">
      <c r="B290" s="5" t="inlineStr">
        <is>
          <t>굿닥</t>
        </is>
      </c>
      <c r="C290" s="94" t="inlineStr">
        <is>
          <t>마스크팩</t>
        </is>
      </c>
      <c r="D290" s="94" t="inlineStr">
        <is>
          <t>마스크팩 10매</t>
        </is>
      </c>
      <c r="E290" s="6" t="n">
        <v>190801</v>
      </c>
      <c r="F290" s="7">
        <f>B290&amp;C290&amp;D290&amp;E290</f>
        <v/>
      </c>
      <c r="G290" s="6" t="n">
        <v>40000</v>
      </c>
      <c r="H290" s="27" t="n">
        <v>0.3</v>
      </c>
      <c r="I290" s="6" t="n">
        <v>3970</v>
      </c>
      <c r="J290" s="45" t="n"/>
    </row>
    <row r="291">
      <c r="B291" s="5" t="inlineStr">
        <is>
          <t>굿닥</t>
        </is>
      </c>
      <c r="C291" s="94" t="inlineStr">
        <is>
          <t>앰플</t>
        </is>
      </c>
      <c r="D291" s="94" t="inlineStr">
        <is>
          <t>앰플 30ml</t>
        </is>
      </c>
      <c r="E291" s="6" t="n">
        <v>190801</v>
      </c>
      <c r="F291" s="7">
        <f>B291&amp;C291&amp;D291&amp;E291</f>
        <v/>
      </c>
      <c r="G291" s="6" t="n">
        <v>33000</v>
      </c>
      <c r="H291" s="27" t="n">
        <v>0.3</v>
      </c>
      <c r="I291" s="6" t="n">
        <v>3397</v>
      </c>
      <c r="J291" s="45" t="n"/>
    </row>
    <row r="292">
      <c r="B292" s="5" t="inlineStr">
        <is>
          <t>굿닥</t>
        </is>
      </c>
      <c r="C292" s="94" t="inlineStr">
        <is>
          <t>수딩크림</t>
        </is>
      </c>
      <c r="D292" s="94" t="inlineStr">
        <is>
          <t>수딩크림 100ml</t>
        </is>
      </c>
      <c r="E292" s="6" t="n">
        <v>190801</v>
      </c>
      <c r="F292" s="7">
        <f>B292&amp;C292&amp;D292&amp;E292</f>
        <v/>
      </c>
      <c r="G292" s="6" t="n">
        <v>38000</v>
      </c>
      <c r="H292" s="27" t="n">
        <v>0.3</v>
      </c>
      <c r="I292" s="6" t="n">
        <v>3045</v>
      </c>
      <c r="J292" s="45" t="n"/>
    </row>
    <row r="293" ht="18" customHeight="1" s="93" thickBot="1">
      <c r="B293" s="5" t="inlineStr">
        <is>
          <t>굿닥</t>
        </is>
      </c>
      <c r="C293" s="94" t="inlineStr">
        <is>
          <t>선크림</t>
        </is>
      </c>
      <c r="D293" s="94" t="inlineStr">
        <is>
          <t>선크림 50ml</t>
        </is>
      </c>
      <c r="E293" s="6" t="n">
        <v>190801</v>
      </c>
      <c r="F293" s="7">
        <f>B293&amp;C293&amp;D293&amp;E293</f>
        <v/>
      </c>
      <c r="G293" s="6" t="n">
        <v>25000</v>
      </c>
      <c r="H293" s="27" t="n">
        <v>0.3</v>
      </c>
      <c r="I293" s="6" t="n">
        <v>2345</v>
      </c>
      <c r="J293" s="45" t="n"/>
    </row>
    <row r="294" ht="18" customFormat="1" customHeight="1" s="49" thickTop="1">
      <c r="B294" s="49" t="inlineStr">
        <is>
          <t>카페24</t>
        </is>
      </c>
      <c r="C294" s="49" t="inlineStr">
        <is>
          <t>토너</t>
        </is>
      </c>
      <c r="D294" s="49" t="inlineStr">
        <is>
          <t>250ml</t>
        </is>
      </c>
      <c r="E294" s="52" t="n">
        <v>200801</v>
      </c>
      <c r="F294" s="52">
        <f>B294&amp;C294&amp;D294&amp;E294</f>
        <v/>
      </c>
      <c r="G294" s="49" t="n">
        <v>20000</v>
      </c>
      <c r="H294" s="50" t="n">
        <v>0.0585</v>
      </c>
      <c r="I294" s="49" t="n">
        <v>3080</v>
      </c>
      <c r="K294" s="51" t="n"/>
    </row>
    <row r="295">
      <c r="B295" s="6" t="inlineStr">
        <is>
          <t>카페24</t>
        </is>
      </c>
      <c r="C295" s="6" t="inlineStr">
        <is>
          <t>토너</t>
        </is>
      </c>
      <c r="D295" s="6" t="inlineStr">
        <is>
          <t>250ml 2set</t>
        </is>
      </c>
      <c r="E295" s="7" t="n">
        <v>200801</v>
      </c>
      <c r="F295" s="7">
        <f>B295&amp;C295&amp;D295&amp;E295</f>
        <v/>
      </c>
      <c r="G295" s="6" t="n">
        <v>35000</v>
      </c>
      <c r="H295" s="30" t="n">
        <v>0.0585</v>
      </c>
      <c r="I295" s="6" t="n">
        <v>6160</v>
      </c>
    </row>
    <row r="296">
      <c r="B296" s="6" t="inlineStr">
        <is>
          <t>W컨셉</t>
        </is>
      </c>
      <c r="C296" s="6" t="inlineStr">
        <is>
          <t>토너</t>
        </is>
      </c>
      <c r="D296" s="6" t="inlineStr">
        <is>
          <t>250ml</t>
        </is>
      </c>
      <c r="E296" s="7" t="n">
        <v>200801</v>
      </c>
      <c r="F296" s="7">
        <f>B296&amp;C296&amp;D296&amp;E296</f>
        <v/>
      </c>
      <c r="G296" s="6" t="n">
        <v>20000</v>
      </c>
      <c r="H296" s="27" t="n">
        <v>0.28</v>
      </c>
      <c r="I296" s="6" t="n">
        <v>3080</v>
      </c>
    </row>
    <row r="297">
      <c r="B297" s="6" t="inlineStr">
        <is>
          <t>W컨셉</t>
        </is>
      </c>
      <c r="C297" s="6" t="inlineStr">
        <is>
          <t>토너</t>
        </is>
      </c>
      <c r="D297" s="6" t="inlineStr">
        <is>
          <t>250ml 2set</t>
        </is>
      </c>
      <c r="E297" s="7" t="n">
        <v>200801</v>
      </c>
      <c r="F297" s="7">
        <f>B297&amp;C297&amp;D297&amp;E297</f>
        <v/>
      </c>
      <c r="G297" s="6" t="n">
        <v>35000</v>
      </c>
      <c r="H297" s="27" t="n">
        <v>0.28</v>
      </c>
      <c r="I297" s="6" t="n">
        <v>6160</v>
      </c>
    </row>
    <row r="298">
      <c r="B298" s="6" t="inlineStr">
        <is>
          <t>아누아 CS</t>
        </is>
      </c>
      <c r="C298" s="6" t="inlineStr">
        <is>
          <t>토너</t>
        </is>
      </c>
      <c r="D298" s="6" t="inlineStr">
        <is>
          <t>250ml</t>
        </is>
      </c>
      <c r="E298" s="7" t="n">
        <v>200801</v>
      </c>
      <c r="F298" s="7">
        <f>B298&amp;C298&amp;D298&amp;E298</f>
        <v/>
      </c>
      <c r="G298" s="6" t="n">
        <v>0</v>
      </c>
      <c r="H298" s="27" t="n">
        <v>0</v>
      </c>
      <c r="I298" s="6" t="n">
        <v>3080</v>
      </c>
    </row>
    <row r="299">
      <c r="B299" s="6" t="inlineStr">
        <is>
          <t>아누아 CS</t>
        </is>
      </c>
      <c r="C299" s="6" t="inlineStr">
        <is>
          <t>토너</t>
        </is>
      </c>
      <c r="D299" s="6" t="inlineStr">
        <is>
          <t>250ml 2set</t>
        </is>
      </c>
      <c r="E299" s="7" t="n">
        <v>200801</v>
      </c>
      <c r="F299" s="7">
        <f>B299&amp;C299&amp;D299&amp;E299</f>
        <v/>
      </c>
      <c r="G299" s="6" t="n">
        <v>0</v>
      </c>
      <c r="H299" s="27" t="n">
        <v>0</v>
      </c>
      <c r="I299" s="6" t="n">
        <v>6160</v>
      </c>
    </row>
    <row r="300">
      <c r="B300" s="6" t="inlineStr">
        <is>
          <t>카페24</t>
        </is>
      </c>
      <c r="C300" s="6" t="inlineStr">
        <is>
          <t>토너</t>
        </is>
      </c>
      <c r="D300" s="6" t="inlineStr">
        <is>
          <t>500ml</t>
        </is>
      </c>
      <c r="E300" s="7" t="n">
        <v>200801</v>
      </c>
      <c r="F300" s="7">
        <f>B300&amp;C300&amp;D300&amp;E300</f>
        <v/>
      </c>
      <c r="G300" s="6" t="n">
        <v>33000</v>
      </c>
      <c r="H300" s="30" t="n">
        <v>0.0585</v>
      </c>
      <c r="I300" s="6" t="n">
        <v>4330</v>
      </c>
    </row>
    <row r="301">
      <c r="B301" s="6" t="inlineStr">
        <is>
          <t>아누아 CS</t>
        </is>
      </c>
      <c r="C301" s="6" t="inlineStr">
        <is>
          <t>토너</t>
        </is>
      </c>
      <c r="D301" s="6" t="inlineStr">
        <is>
          <t>500ml</t>
        </is>
      </c>
      <c r="E301" s="7" t="n">
        <v>200801</v>
      </c>
      <c r="F301" s="7">
        <f>B301&amp;C301&amp;D301&amp;E301</f>
        <v/>
      </c>
      <c r="G301" s="6" t="n">
        <v>0</v>
      </c>
      <c r="H301" s="27" t="n">
        <v>0</v>
      </c>
      <c r="I301" s="6" t="n">
        <v>4330</v>
      </c>
    </row>
    <row r="302" hidden="1" s="93">
      <c r="B302" s="6" t="inlineStr">
        <is>
          <t>큐텐</t>
        </is>
      </c>
      <c r="C302" s="6" t="inlineStr">
        <is>
          <t>토너</t>
        </is>
      </c>
      <c r="D302" s="6" t="inlineStr">
        <is>
          <t>250ml</t>
        </is>
      </c>
      <c r="E302" s="7" t="n">
        <v>200801</v>
      </c>
      <c r="F302" s="7">
        <f>B302&amp;C302&amp;D302&amp;E302</f>
        <v/>
      </c>
      <c r="G302" s="6" t="n">
        <v>31500</v>
      </c>
      <c r="H302" s="27" t="n">
        <v>0.11</v>
      </c>
      <c r="I302" s="6" t="n">
        <v>3080</v>
      </c>
    </row>
    <row r="303" hidden="1" s="93">
      <c r="B303" s="6" t="inlineStr">
        <is>
          <t>큐텐</t>
        </is>
      </c>
      <c r="C303" s="6" t="inlineStr">
        <is>
          <t>토너</t>
        </is>
      </c>
      <c r="D303" s="6" t="inlineStr">
        <is>
          <t>250ml 2set</t>
        </is>
      </c>
      <c r="E303" s="7" t="n">
        <v>200801</v>
      </c>
      <c r="F303" s="7">
        <f>B303&amp;C303&amp;D303&amp;E303</f>
        <v/>
      </c>
      <c r="G303" s="6" t="n">
        <v>44000</v>
      </c>
      <c r="H303" s="27" t="n">
        <v>0.11</v>
      </c>
      <c r="I303" s="6" t="n">
        <v>6160</v>
      </c>
    </row>
    <row r="304">
      <c r="B304" s="6" t="inlineStr">
        <is>
          <t>아누아 CS</t>
        </is>
      </c>
      <c r="C304" s="6" t="inlineStr">
        <is>
          <t>머드크림마스크</t>
        </is>
      </c>
      <c r="D304" s="6" t="inlineStr">
        <is>
          <t>머드크림마스크 100ml</t>
        </is>
      </c>
      <c r="E304" s="6" t="n">
        <v>200801</v>
      </c>
      <c r="F304" s="7">
        <f>B304&amp;C304&amp;D304&amp;E304</f>
        <v/>
      </c>
      <c r="G304" s="6" t="n">
        <v>0</v>
      </c>
      <c r="H304" s="27" t="n">
        <v>0</v>
      </c>
      <c r="I304" s="6" t="n">
        <v>1442</v>
      </c>
    </row>
    <row r="305">
      <c r="B305" s="6" t="inlineStr">
        <is>
          <t>아누아 CS</t>
        </is>
      </c>
      <c r="C305" s="6" t="inlineStr">
        <is>
          <t>화장솜</t>
        </is>
      </c>
      <c r="D305" s="6" t="inlineStr">
        <is>
          <t>스킨팩 화장솜 60P</t>
        </is>
      </c>
      <c r="E305" s="6" t="n">
        <v>200801</v>
      </c>
      <c r="F305" s="7">
        <f>B305&amp;C305&amp;D305&amp;E305</f>
        <v/>
      </c>
      <c r="G305" s="6" t="n">
        <v>0</v>
      </c>
      <c r="H305" s="27" t="n">
        <v>0</v>
      </c>
      <c r="I305" s="6" t="n">
        <v>1110</v>
      </c>
    </row>
    <row r="306">
      <c r="B306" s="6" t="inlineStr">
        <is>
          <t>카페24</t>
        </is>
      </c>
      <c r="C306" s="6" t="inlineStr">
        <is>
          <t>머드크림마스크</t>
        </is>
      </c>
      <c r="D306" s="6" t="inlineStr">
        <is>
          <t>머드크림마스크 100ml</t>
        </is>
      </c>
      <c r="E306" s="6" t="n">
        <v>200801</v>
      </c>
      <c r="F306" s="7">
        <f>B306&amp;C306&amp;D306&amp;E306</f>
        <v/>
      </c>
      <c r="G306" s="6" t="n">
        <v>20000</v>
      </c>
      <c r="H306" s="30" t="n">
        <v>0.0585</v>
      </c>
      <c r="I306" s="6" t="n">
        <v>1442</v>
      </c>
    </row>
    <row r="307">
      <c r="B307" s="6" t="inlineStr">
        <is>
          <t>글로우데이즈 시코르</t>
        </is>
      </c>
      <c r="C307" s="6" t="inlineStr">
        <is>
          <t>토너</t>
        </is>
      </c>
      <c r="D307" s="6" t="inlineStr">
        <is>
          <t>250ml</t>
        </is>
      </c>
      <c r="E307" s="7" t="n">
        <v>200801</v>
      </c>
      <c r="F307" s="7">
        <f>B307&amp;C307&amp;D307&amp;E307</f>
        <v/>
      </c>
      <c r="G307" s="6" t="n">
        <v>10227</v>
      </c>
      <c r="H307" s="27" t="n">
        <v>0</v>
      </c>
      <c r="I307" s="6" t="n">
        <v>3080</v>
      </c>
    </row>
    <row r="308">
      <c r="B308" s="6" t="inlineStr">
        <is>
          <t>아누아 CS</t>
        </is>
      </c>
      <c r="C308" s="6" t="inlineStr">
        <is>
          <t>토너</t>
        </is>
      </c>
      <c r="D308" s="6" t="inlineStr">
        <is>
          <t>40ml</t>
        </is>
      </c>
      <c r="E308" s="6" t="n">
        <v>200801</v>
      </c>
      <c r="F308" s="7">
        <f>B308&amp;C308&amp;D308&amp;E308</f>
        <v/>
      </c>
      <c r="G308" s="6" t="n">
        <v>0</v>
      </c>
      <c r="H308" s="27" t="n">
        <v>0</v>
      </c>
      <c r="I308" s="6" t="n">
        <v>1230</v>
      </c>
    </row>
    <row r="309">
      <c r="B309" s="6" t="inlineStr">
        <is>
          <t>카페24</t>
        </is>
      </c>
      <c r="C309" s="6" t="inlineStr">
        <is>
          <t>화장솜</t>
        </is>
      </c>
      <c r="D309" s="6" t="inlineStr">
        <is>
          <t>스킨팩 화장솜 60P</t>
        </is>
      </c>
      <c r="E309" s="6" t="n">
        <v>200801</v>
      </c>
      <c r="F309" s="7">
        <f>B309&amp;C309&amp;D309&amp;E309</f>
        <v/>
      </c>
      <c r="G309" s="6" t="n">
        <v>4000</v>
      </c>
      <c r="H309" s="30" t="n">
        <v>0.0585</v>
      </c>
      <c r="I309" s="6" t="n">
        <v>1110</v>
      </c>
    </row>
    <row r="310">
      <c r="B310" s="6" t="inlineStr">
        <is>
          <t>카페24</t>
        </is>
      </c>
      <c r="C310" s="6" t="inlineStr">
        <is>
          <t>토너</t>
        </is>
      </c>
      <c r="D310" s="6" t="inlineStr">
        <is>
          <t>스킨팩 화장솜 60P</t>
        </is>
      </c>
      <c r="E310" s="6" t="n">
        <v>200801</v>
      </c>
      <c r="F310" s="7">
        <f>B310&amp;C310&amp;D310&amp;E310</f>
        <v/>
      </c>
      <c r="G310" s="6" t="n">
        <v>3000</v>
      </c>
      <c r="H310" s="30" t="n">
        <v>0.0585</v>
      </c>
      <c r="I310" s="6" t="n">
        <v>1110</v>
      </c>
    </row>
    <row r="311">
      <c r="B311" s="6" t="inlineStr">
        <is>
          <t>랄라블라</t>
        </is>
      </c>
      <c r="C311" s="6" t="inlineStr">
        <is>
          <t>토너</t>
        </is>
      </c>
      <c r="D311" s="6" t="inlineStr">
        <is>
          <t>250ml</t>
        </is>
      </c>
      <c r="E311" s="7" t="n">
        <v>200801</v>
      </c>
      <c r="F311" s="7">
        <f>B311&amp;C311&amp;D311&amp;E311</f>
        <v/>
      </c>
      <c r="G311" s="6" t="n">
        <v>9068</v>
      </c>
      <c r="H311" s="27" t="n">
        <v>0</v>
      </c>
      <c r="I311" s="61" t="n">
        <v>3080</v>
      </c>
    </row>
    <row r="312">
      <c r="B312" s="6" t="inlineStr">
        <is>
          <t>아누아 CS</t>
        </is>
      </c>
      <c r="C312" s="6" t="inlineStr">
        <is>
          <t>클렌징폼</t>
        </is>
      </c>
      <c r="D312" s="6" t="inlineStr">
        <is>
          <t>클렌징폼 120ml</t>
        </is>
      </c>
      <c r="E312" s="7" t="n">
        <v>200801</v>
      </c>
      <c r="F312" s="7">
        <f>B312&amp;C312&amp;D312&amp;E312</f>
        <v/>
      </c>
      <c r="G312" s="6" t="n">
        <v>0</v>
      </c>
      <c r="H312" s="27" t="n">
        <v>0</v>
      </c>
      <c r="I312" s="6" t="n">
        <v>2750</v>
      </c>
    </row>
    <row r="313">
      <c r="B313" s="6" t="inlineStr">
        <is>
          <t>카페24</t>
        </is>
      </c>
      <c r="C313" s="6" t="inlineStr">
        <is>
          <t>클렌징폼</t>
        </is>
      </c>
      <c r="D313" s="6" t="inlineStr">
        <is>
          <t>클렌징폼 120ml</t>
        </is>
      </c>
      <c r="E313" s="7" t="n">
        <v>200801</v>
      </c>
      <c r="F313" s="7">
        <f>B313&amp;C313&amp;D313&amp;E313</f>
        <v/>
      </c>
      <c r="G313" s="6" t="n">
        <v>13000</v>
      </c>
      <c r="H313" s="30" t="n">
        <v>0.0585</v>
      </c>
      <c r="I313" s="6" t="n">
        <v>2750</v>
      </c>
    </row>
    <row r="314">
      <c r="B314" s="6" t="inlineStr">
        <is>
          <t>카페24</t>
        </is>
      </c>
      <c r="C314" s="6" t="inlineStr">
        <is>
          <t>머드크림마스크</t>
        </is>
      </c>
      <c r="D314" s="6" t="inlineStr">
        <is>
          <t>머드크림마스크 100ml 2set</t>
        </is>
      </c>
      <c r="E314" s="7" t="n">
        <v>200801</v>
      </c>
      <c r="F314" s="7">
        <f>B314&amp;C314&amp;D314&amp;E314</f>
        <v/>
      </c>
      <c r="G314" s="6" t="n">
        <v>35000</v>
      </c>
      <c r="H314" s="30" t="n">
        <v>0.0585</v>
      </c>
      <c r="I314" s="6" t="n">
        <v>2884</v>
      </c>
    </row>
    <row r="315">
      <c r="B315" s="6" t="inlineStr">
        <is>
          <t>카페24</t>
        </is>
      </c>
      <c r="C315" s="6" t="inlineStr">
        <is>
          <t>클렌징폼</t>
        </is>
      </c>
      <c r="D315" s="6" t="inlineStr">
        <is>
          <t>클렌징폼 120ml 2set</t>
        </is>
      </c>
      <c r="E315" s="7" t="n">
        <v>200801</v>
      </c>
      <c r="F315" s="7">
        <f>B315&amp;C315&amp;D315&amp;E315</f>
        <v/>
      </c>
      <c r="G315" s="6" t="n">
        <v>24000</v>
      </c>
      <c r="H315" s="30" t="n">
        <v>0.0585</v>
      </c>
      <c r="I315" s="6" t="n">
        <v>2460</v>
      </c>
    </row>
    <row r="316">
      <c r="B316" s="6" t="inlineStr">
        <is>
          <t>카페24</t>
        </is>
      </c>
      <c r="C316" s="6" t="inlineStr">
        <is>
          <t>클렌징폼</t>
        </is>
      </c>
      <c r="D316" s="6" t="inlineStr">
        <is>
          <t>클렌징폼 120ml 3set</t>
        </is>
      </c>
      <c r="E316" s="7" t="n">
        <v>200801</v>
      </c>
      <c r="F316" s="7">
        <f>B316&amp;C316&amp;D316&amp;E316</f>
        <v/>
      </c>
      <c r="G316" s="6" t="n">
        <v>33000</v>
      </c>
      <c r="H316" s="30" t="n">
        <v>0.0585</v>
      </c>
      <c r="I316" s="6" t="n">
        <v>3690</v>
      </c>
    </row>
    <row r="317">
      <c r="B317" s="6" t="inlineStr">
        <is>
          <t>스타일쉐어</t>
        </is>
      </c>
      <c r="C317" s="6" t="inlineStr">
        <is>
          <t>토너</t>
        </is>
      </c>
      <c r="D317" s="6" t="inlineStr">
        <is>
          <t>250ml</t>
        </is>
      </c>
      <c r="E317" s="7" t="n">
        <v>200801</v>
      </c>
      <c r="F317" s="7">
        <f>B317&amp;C317&amp;D317&amp;E317</f>
        <v/>
      </c>
      <c r="G317" s="6" t="n">
        <v>20000</v>
      </c>
      <c r="H317" s="27" t="n">
        <v>0.25</v>
      </c>
      <c r="I317" s="6" t="n">
        <v>3080</v>
      </c>
    </row>
    <row r="318">
      <c r="B318" s="6" t="inlineStr">
        <is>
          <t>스타일쉐어</t>
        </is>
      </c>
      <c r="C318" s="6" t="inlineStr">
        <is>
          <t>토너</t>
        </is>
      </c>
      <c r="D318" s="6" t="inlineStr">
        <is>
          <t>250ml 2set</t>
        </is>
      </c>
      <c r="E318" s="7" t="n">
        <v>200801</v>
      </c>
      <c r="F318" s="7">
        <f>B318&amp;C318&amp;D318&amp;E318</f>
        <v/>
      </c>
      <c r="G318" s="6" t="n">
        <v>35000</v>
      </c>
      <c r="H318" s="27" t="n">
        <v>0.25</v>
      </c>
      <c r="I318" s="6" t="n">
        <v>6160</v>
      </c>
    </row>
    <row r="319">
      <c r="B319" s="6" t="inlineStr">
        <is>
          <t>스타일쉐어</t>
        </is>
      </c>
      <c r="C319" s="6" t="inlineStr">
        <is>
          <t>토너</t>
        </is>
      </c>
      <c r="D319" s="6" t="inlineStr">
        <is>
          <t>500ml</t>
        </is>
      </c>
      <c r="E319" s="7" t="n">
        <v>200801</v>
      </c>
      <c r="F319" s="7">
        <f>B319&amp;C319&amp;D319&amp;E319</f>
        <v/>
      </c>
      <c r="G319" s="6" t="n">
        <v>33000</v>
      </c>
      <c r="H319" s="27" t="n">
        <v>0.25</v>
      </c>
      <c r="I319" s="6" t="n">
        <v>4330</v>
      </c>
    </row>
    <row r="320">
      <c r="B320" s="6" t="inlineStr">
        <is>
          <t>스타일쉐어</t>
        </is>
      </c>
      <c r="C320" s="6" t="inlineStr">
        <is>
          <t>머드크림마스크</t>
        </is>
      </c>
      <c r="D320" s="6" t="inlineStr">
        <is>
          <t>머드크림마스크 100ml</t>
        </is>
      </c>
      <c r="E320" s="6" t="n">
        <v>200801</v>
      </c>
      <c r="F320" s="7">
        <f>B320&amp;C320&amp;D320&amp;E320</f>
        <v/>
      </c>
      <c r="G320" s="6" t="n">
        <v>20000</v>
      </c>
      <c r="H320" s="27" t="n">
        <v>0.25</v>
      </c>
      <c r="I320" s="6" t="n">
        <v>1442</v>
      </c>
    </row>
    <row r="321">
      <c r="B321" s="6" t="inlineStr">
        <is>
          <t>스타일쉐어</t>
        </is>
      </c>
      <c r="C321" s="6" t="inlineStr">
        <is>
          <t>화장솜</t>
        </is>
      </c>
      <c r="D321" s="6" t="inlineStr">
        <is>
          <t>스킨팩 화장솜 60P</t>
        </is>
      </c>
      <c r="E321" s="6" t="n">
        <v>200801</v>
      </c>
      <c r="F321" s="7">
        <f>B321&amp;C321&amp;D321&amp;E321</f>
        <v/>
      </c>
      <c r="G321" s="6" t="n">
        <v>4000</v>
      </c>
      <c r="H321" s="27" t="n">
        <v>0.25</v>
      </c>
      <c r="I321" s="6" t="n">
        <v>1110</v>
      </c>
    </row>
    <row r="322">
      <c r="B322" s="6" t="inlineStr">
        <is>
          <t>스타일쉐어</t>
        </is>
      </c>
      <c r="C322" s="6" t="inlineStr">
        <is>
          <t>토너</t>
        </is>
      </c>
      <c r="D322" s="6" t="inlineStr">
        <is>
          <t>스킨팩 화장솜 60P</t>
        </is>
      </c>
      <c r="E322" s="6" t="n">
        <v>200801</v>
      </c>
      <c r="F322" s="7">
        <f>B322&amp;C322&amp;D322&amp;E322</f>
        <v/>
      </c>
      <c r="G322" s="6" t="n">
        <v>3000</v>
      </c>
      <c r="H322" s="27" t="n">
        <v>0.25</v>
      </c>
      <c r="I322" s="6" t="n">
        <v>1110</v>
      </c>
    </row>
    <row r="323">
      <c r="B323" s="6" t="inlineStr">
        <is>
          <t>스타일쉐어</t>
        </is>
      </c>
      <c r="C323" s="6" t="inlineStr">
        <is>
          <t>클렌징폼</t>
        </is>
      </c>
      <c r="D323" s="6" t="inlineStr">
        <is>
          <t>클렌징폼 120ml</t>
        </is>
      </c>
      <c r="E323" s="7" t="n">
        <v>200801</v>
      </c>
      <c r="F323" s="7">
        <f>B323&amp;C323&amp;D323&amp;E323</f>
        <v/>
      </c>
      <c r="G323" s="6" t="n">
        <v>13000</v>
      </c>
      <c r="H323" s="27" t="n">
        <v>0.25</v>
      </c>
      <c r="I323" s="6" t="n">
        <v>2750</v>
      </c>
    </row>
    <row r="324">
      <c r="B324" s="6" t="inlineStr">
        <is>
          <t>스타일쉐어</t>
        </is>
      </c>
      <c r="C324" s="6" t="inlineStr">
        <is>
          <t>머드크림마스크</t>
        </is>
      </c>
      <c r="D324" s="6" t="inlineStr">
        <is>
          <t>머드크림마스크 100ml 2set</t>
        </is>
      </c>
      <c r="E324" s="7" t="n">
        <v>200801</v>
      </c>
      <c r="F324" s="7">
        <f>B324&amp;C324&amp;D324&amp;E324</f>
        <v/>
      </c>
      <c r="G324" s="6" t="n">
        <v>35000</v>
      </c>
      <c r="H324" s="27" t="n">
        <v>0.25</v>
      </c>
      <c r="I324" s="6" t="n">
        <v>2884</v>
      </c>
    </row>
    <row r="325">
      <c r="B325" s="6" t="inlineStr">
        <is>
          <t>스타일쉐어</t>
        </is>
      </c>
      <c r="C325" s="6" t="inlineStr">
        <is>
          <t>클렌징폼</t>
        </is>
      </c>
      <c r="D325" s="6" t="inlineStr">
        <is>
          <t>클렌징폼 120ml 2set</t>
        </is>
      </c>
      <c r="E325" s="7" t="n">
        <v>200801</v>
      </c>
      <c r="F325" s="7">
        <f>B325&amp;C325&amp;D325&amp;E325</f>
        <v/>
      </c>
      <c r="G325" s="6" t="n">
        <v>24000</v>
      </c>
      <c r="H325" s="27" t="n">
        <v>0.25</v>
      </c>
      <c r="I325" s="6" t="n">
        <v>2460</v>
      </c>
    </row>
    <row r="326">
      <c r="B326" s="6" t="inlineStr">
        <is>
          <t>스타일쉐어</t>
        </is>
      </c>
      <c r="C326" s="6" t="inlineStr">
        <is>
          <t>클렌징폼</t>
        </is>
      </c>
      <c r="D326" s="6" t="inlineStr">
        <is>
          <t>클렌징폼 120ml 3set</t>
        </is>
      </c>
      <c r="E326" s="7" t="n">
        <v>200801</v>
      </c>
      <c r="F326" s="7">
        <f>B326&amp;C326&amp;D326&amp;E326</f>
        <v/>
      </c>
      <c r="G326" s="6" t="n">
        <v>33000</v>
      </c>
      <c r="H326" s="27" t="n">
        <v>0.25</v>
      </c>
      <c r="I326" s="6" t="n">
        <v>3690</v>
      </c>
    </row>
    <row r="327">
      <c r="B327" s="5" t="inlineStr">
        <is>
          <t>랄라블라</t>
        </is>
      </c>
      <c r="C327" s="6" t="inlineStr">
        <is>
          <t>클렌징폼</t>
        </is>
      </c>
      <c r="D327" s="6" t="inlineStr">
        <is>
          <t>클렌징폼 120ml</t>
        </is>
      </c>
      <c r="E327" s="7" t="n">
        <v>200801</v>
      </c>
      <c r="F327" s="7">
        <f>B327&amp;C327&amp;D327&amp;E327</f>
        <v/>
      </c>
      <c r="G327" s="6" t="n">
        <v>6791</v>
      </c>
      <c r="H327" s="27" t="n">
        <v>0</v>
      </c>
      <c r="I327" s="61" t="n">
        <v>2750</v>
      </c>
    </row>
    <row r="328">
      <c r="B328" s="5" t="inlineStr">
        <is>
          <t>랄라블라</t>
        </is>
      </c>
      <c r="C328" s="6" t="inlineStr">
        <is>
          <t>머드크림마스크</t>
        </is>
      </c>
      <c r="D328" s="6" t="inlineStr">
        <is>
          <t>머드크림마스크 100ml</t>
        </is>
      </c>
      <c r="E328" s="6" t="n">
        <v>200801</v>
      </c>
      <c r="F328" s="7">
        <f>B328&amp;C328&amp;D328&amp;E328</f>
        <v/>
      </c>
      <c r="G328" s="6" t="n">
        <v>9205</v>
      </c>
      <c r="H328" s="27" t="n">
        <v>0</v>
      </c>
      <c r="I328" s="61" t="n">
        <v>1442</v>
      </c>
    </row>
    <row r="329">
      <c r="B329" s="6" t="inlineStr">
        <is>
          <t>아누아 CS</t>
        </is>
      </c>
      <c r="C329" s="6" t="inlineStr">
        <is>
          <t>토너</t>
        </is>
      </c>
      <c r="D329" s="6" t="inlineStr">
        <is>
          <t>스킨팩 화장솜 60P</t>
        </is>
      </c>
      <c r="E329" s="7" t="n">
        <v>200801</v>
      </c>
      <c r="F329" s="7">
        <f>B329&amp;C329&amp;D329&amp;E329</f>
        <v/>
      </c>
      <c r="G329" s="6" t="n">
        <v>0</v>
      </c>
      <c r="H329" s="27" t="n">
        <v>0</v>
      </c>
      <c r="I329" s="6" t="n">
        <v>1110</v>
      </c>
    </row>
    <row r="330" hidden="1" s="93">
      <c r="B330" s="6" t="inlineStr">
        <is>
          <t>큐텐</t>
        </is>
      </c>
      <c r="C330" s="6" t="inlineStr">
        <is>
          <t>머드크림마스크</t>
        </is>
      </c>
      <c r="D330" s="6" t="inlineStr">
        <is>
          <t>머드크림마스크 100ml</t>
        </is>
      </c>
      <c r="E330" s="7" t="n">
        <v>200801</v>
      </c>
      <c r="F330" s="7">
        <f>B330&amp;C330&amp;D330&amp;E330</f>
        <v/>
      </c>
      <c r="G330" s="6" t="n">
        <v>31500</v>
      </c>
      <c r="H330" s="27" t="n">
        <v>0.11</v>
      </c>
      <c r="I330" s="6" t="n">
        <v>1442</v>
      </c>
    </row>
    <row r="331">
      <c r="B331" s="6" t="inlineStr">
        <is>
          <t>랄라블라</t>
        </is>
      </c>
      <c r="C331" s="6" t="inlineStr">
        <is>
          <t>토너 기획세트</t>
        </is>
      </c>
      <c r="D331" s="6" t="inlineStr">
        <is>
          <t>토너 기획세트</t>
        </is>
      </c>
      <c r="E331" s="6" t="n">
        <v>200801</v>
      </c>
      <c r="F331" s="7">
        <f>B331&amp;C331&amp;D331&amp;E331</f>
        <v/>
      </c>
      <c r="G331" s="6" t="n">
        <v>9716</v>
      </c>
      <c r="H331" s="27" t="n">
        <v>0</v>
      </c>
      <c r="I331" s="62" t="n">
        <v>5705</v>
      </c>
    </row>
    <row r="332">
      <c r="B332" s="6" t="inlineStr">
        <is>
          <t>아누아 CS</t>
        </is>
      </c>
      <c r="C332" s="6" t="inlineStr">
        <is>
          <t>마스크팩</t>
        </is>
      </c>
      <c r="D332" s="6" t="inlineStr">
        <is>
          <t>마스크팩 1매</t>
        </is>
      </c>
      <c r="E332" s="6" t="n">
        <v>200801</v>
      </c>
      <c r="F332" s="7">
        <f>B332&amp;C332&amp;D332&amp;E332</f>
        <v/>
      </c>
      <c r="G332" s="6" t="n">
        <v>0</v>
      </c>
      <c r="H332" s="27" t="n">
        <v>0</v>
      </c>
      <c r="I332" s="6" t="n">
        <v>397</v>
      </c>
    </row>
    <row r="333">
      <c r="B333" s="6" t="inlineStr">
        <is>
          <t>아누아 CS</t>
        </is>
      </c>
      <c r="C333" s="6" t="inlineStr">
        <is>
          <t>마스크팩</t>
        </is>
      </c>
      <c r="D333" s="6" t="inlineStr">
        <is>
          <t>마스크팩 10매</t>
        </is>
      </c>
      <c r="E333" s="6" t="n">
        <v>200801</v>
      </c>
      <c r="F333" s="7">
        <f>B333&amp;C333&amp;D333&amp;E333</f>
        <v/>
      </c>
      <c r="G333" s="6" t="n">
        <v>0</v>
      </c>
      <c r="H333" s="27" t="n">
        <v>0</v>
      </c>
      <c r="I333" s="6" t="n">
        <v>3970</v>
      </c>
    </row>
    <row r="334" hidden="1" s="93">
      <c r="B334" s="6" t="inlineStr">
        <is>
          <t>큐텐</t>
        </is>
      </c>
      <c r="C334" s="6" t="inlineStr">
        <is>
          <t>클렌징폼</t>
        </is>
      </c>
      <c r="D334" s="6" t="inlineStr">
        <is>
          <t>클렌징폼 120ml</t>
        </is>
      </c>
      <c r="E334" s="7" t="n">
        <v>200801</v>
      </c>
      <c r="F334" s="7">
        <f>B334&amp;C334&amp;D334&amp;E334</f>
        <v/>
      </c>
      <c r="G334" s="6" t="n">
        <v>25000</v>
      </c>
      <c r="H334" s="27" t="n">
        <v>0.11</v>
      </c>
      <c r="I334" s="6" t="n">
        <v>2750</v>
      </c>
    </row>
    <row r="335">
      <c r="B335" s="6" t="inlineStr">
        <is>
          <t>카페24</t>
        </is>
      </c>
      <c r="C335" s="6" t="inlineStr">
        <is>
          <t>마스크팩</t>
        </is>
      </c>
      <c r="D335" s="6" t="inlineStr">
        <is>
          <t>마스크팩 1매</t>
        </is>
      </c>
      <c r="E335" s="6" t="n">
        <v>200801</v>
      </c>
      <c r="F335" s="7">
        <f>B335&amp;C335&amp;D335&amp;E335</f>
        <v/>
      </c>
      <c r="G335" s="6" t="n">
        <v>4000</v>
      </c>
      <c r="H335" s="30" t="n">
        <v>0.0585</v>
      </c>
      <c r="I335" s="6" t="n">
        <v>397</v>
      </c>
    </row>
    <row r="336">
      <c r="B336" s="6" t="inlineStr">
        <is>
          <t>카페24</t>
        </is>
      </c>
      <c r="C336" s="6" t="inlineStr">
        <is>
          <t>마스크팩</t>
        </is>
      </c>
      <c r="D336" s="6" t="inlineStr">
        <is>
          <t>마스크팩 10매</t>
        </is>
      </c>
      <c r="E336" s="6" t="n">
        <v>200801</v>
      </c>
      <c r="F336" s="7">
        <f>B336&amp;C336&amp;D336&amp;E336</f>
        <v/>
      </c>
      <c r="G336" s="6" t="n">
        <v>20000</v>
      </c>
      <c r="H336" s="30" t="n">
        <v>0.0585</v>
      </c>
      <c r="I336" s="6" t="n">
        <v>3970</v>
      </c>
    </row>
    <row r="337">
      <c r="B337" s="6" t="inlineStr">
        <is>
          <t>카페24</t>
        </is>
      </c>
      <c r="C337" s="6" t="inlineStr">
        <is>
          <t>토너+머드크림세트</t>
        </is>
      </c>
      <c r="D337" s="6" t="inlineStr">
        <is>
          <t>250ml</t>
        </is>
      </c>
      <c r="E337" s="6" t="n">
        <v>200801</v>
      </c>
      <c r="F337" s="7">
        <f>B337&amp;C337&amp;D337&amp;E337</f>
        <v/>
      </c>
      <c r="G337" s="6" t="n">
        <v>17500</v>
      </c>
      <c r="H337" s="30" t="n">
        <v>0.0585</v>
      </c>
      <c r="I337" s="6" t="n">
        <v>3080</v>
      </c>
    </row>
    <row r="338">
      <c r="B338" s="6" t="inlineStr">
        <is>
          <t>카페24</t>
        </is>
      </c>
      <c r="C338" s="6" t="inlineStr">
        <is>
          <t>토너+머드크림세트</t>
        </is>
      </c>
      <c r="D338" s="6" t="inlineStr">
        <is>
          <t>머드크림마스크 100ml</t>
        </is>
      </c>
      <c r="E338" s="6" t="n">
        <v>200801</v>
      </c>
      <c r="F338" s="7">
        <f>B338&amp;C338&amp;D338&amp;E338</f>
        <v/>
      </c>
      <c r="G338" s="6" t="n">
        <v>17500</v>
      </c>
      <c r="H338" s="30" t="n">
        <v>0.0585</v>
      </c>
      <c r="I338" s="6" t="n">
        <v>1442</v>
      </c>
    </row>
    <row r="339">
      <c r="B339" s="5" t="inlineStr">
        <is>
          <t>랄라블라</t>
        </is>
      </c>
      <c r="C339" s="6" t="inlineStr">
        <is>
          <t>마스크팩</t>
        </is>
      </c>
      <c r="D339" s="6" t="inlineStr">
        <is>
          <t>마스크팩 1매</t>
        </is>
      </c>
      <c r="E339" s="6" t="n">
        <v>200801</v>
      </c>
      <c r="F339" s="7">
        <f>B339&amp;C339&amp;D339&amp;E339</f>
        <v/>
      </c>
      <c r="G339" s="6" t="n">
        <v>1073</v>
      </c>
      <c r="H339" s="27" t="n">
        <v>0</v>
      </c>
      <c r="I339" s="61" t="n">
        <v>397</v>
      </c>
    </row>
    <row r="340">
      <c r="B340" s="6" t="inlineStr">
        <is>
          <t>아누아 CS</t>
        </is>
      </c>
      <c r="C340" s="6" t="inlineStr">
        <is>
          <t>앰플</t>
        </is>
      </c>
      <c r="D340" s="6" t="inlineStr">
        <is>
          <t>앰플 30ml</t>
        </is>
      </c>
      <c r="E340" s="6" t="n">
        <v>200801</v>
      </c>
      <c r="F340" s="7">
        <f>B340&amp;C340&amp;D340&amp;E340</f>
        <v/>
      </c>
      <c r="G340" s="6" t="n">
        <v>0</v>
      </c>
      <c r="H340" s="27" t="n">
        <v>0</v>
      </c>
      <c r="I340" s="6" t="n">
        <v>3397</v>
      </c>
    </row>
    <row r="341">
      <c r="B341" s="6" t="inlineStr">
        <is>
          <t>아누아 CS</t>
        </is>
      </c>
      <c r="C341" s="6" t="inlineStr">
        <is>
          <t>수딩크림</t>
        </is>
      </c>
      <c r="D341" s="6" t="inlineStr">
        <is>
          <t>수딩크림 100ml</t>
        </is>
      </c>
      <c r="E341" s="6" t="n">
        <v>200801</v>
      </c>
      <c r="F341" s="7">
        <f>B341&amp;C341&amp;D341&amp;E341</f>
        <v/>
      </c>
      <c r="G341" s="6" t="n">
        <v>0</v>
      </c>
      <c r="H341" s="27" t="n">
        <v>0</v>
      </c>
      <c r="I341" s="6" t="n">
        <v>3045</v>
      </c>
    </row>
    <row r="342">
      <c r="B342" s="6" t="inlineStr">
        <is>
          <t>랄라블라</t>
        </is>
      </c>
      <c r="C342" s="6" t="inlineStr">
        <is>
          <t>앰플</t>
        </is>
      </c>
      <c r="D342" s="6" t="inlineStr">
        <is>
          <t>앰플 30ml</t>
        </is>
      </c>
      <c r="E342" s="6" t="n">
        <v>200801</v>
      </c>
      <c r="F342" s="7">
        <f>B342&amp;C342&amp;D342&amp;E342</f>
        <v/>
      </c>
      <c r="G342" s="6" t="n">
        <v>14600</v>
      </c>
      <c r="H342" s="27" t="n">
        <v>0</v>
      </c>
      <c r="I342" s="61" t="n">
        <v>3397</v>
      </c>
    </row>
    <row r="343">
      <c r="B343" s="6" t="inlineStr">
        <is>
          <t>랄라블라</t>
        </is>
      </c>
      <c r="C343" s="6" t="inlineStr">
        <is>
          <t>수딩크림</t>
        </is>
      </c>
      <c r="D343" s="6" t="inlineStr">
        <is>
          <t>수딩크림 100ml</t>
        </is>
      </c>
      <c r="E343" s="6" t="n">
        <v>200801</v>
      </c>
      <c r="F343" s="7">
        <f>B343&amp;C343&amp;D343&amp;E343</f>
        <v/>
      </c>
      <c r="G343" s="6" t="n">
        <v>19691</v>
      </c>
      <c r="H343" s="27" t="n">
        <v>0</v>
      </c>
      <c r="I343" s="61" t="n">
        <v>3045</v>
      </c>
    </row>
    <row r="344">
      <c r="B344" s="6" t="inlineStr">
        <is>
          <t>랄라블라</t>
        </is>
      </c>
      <c r="C344" s="6" t="inlineStr">
        <is>
          <t>토너</t>
        </is>
      </c>
      <c r="D344" s="6" t="inlineStr">
        <is>
          <t>500ml</t>
        </is>
      </c>
      <c r="E344" s="6" t="n">
        <v>200801</v>
      </c>
      <c r="F344" s="7">
        <f>B344&amp;C344&amp;D344&amp;E344</f>
        <v/>
      </c>
      <c r="G344" s="6" t="n">
        <v>15818</v>
      </c>
      <c r="H344" s="27" t="n">
        <v>0</v>
      </c>
      <c r="I344" s="61" t="n">
        <v>4330</v>
      </c>
    </row>
    <row r="345">
      <c r="B345" s="6" t="inlineStr">
        <is>
          <t>랄라블라</t>
        </is>
      </c>
      <c r="C345" s="6" t="inlineStr">
        <is>
          <t>앰플 기획세트</t>
        </is>
      </c>
      <c r="D345" s="6" t="inlineStr">
        <is>
          <t>앰플 기획세트</t>
        </is>
      </c>
      <c r="E345" s="7" t="n">
        <v>200801</v>
      </c>
      <c r="F345" s="7">
        <f>B345&amp;C345&amp;D345&amp;E345</f>
        <v/>
      </c>
      <c r="G345" s="6" t="n">
        <v>14877</v>
      </c>
      <c r="H345" s="27" t="n">
        <v>0</v>
      </c>
      <c r="I345" s="62" t="n">
        <v>3240</v>
      </c>
      <c r="J345" s="6" t="inlineStr">
        <is>
          <t>끝</t>
        </is>
      </c>
    </row>
    <row r="346">
      <c r="B346" s="6" t="inlineStr">
        <is>
          <t>랄라블라</t>
        </is>
      </c>
      <c r="C346" s="6" t="inlineStr">
        <is>
          <t>클렌징폼 기획세트</t>
        </is>
      </c>
      <c r="D346" s="6" t="inlineStr">
        <is>
          <t>클렌징폼 기획세트</t>
        </is>
      </c>
      <c r="E346" s="7" t="n">
        <v>200801</v>
      </c>
      <c r="F346" s="7">
        <f>B346&amp;C346&amp;D346&amp;E346</f>
        <v/>
      </c>
      <c r="G346" s="6" t="n">
        <v>6964</v>
      </c>
      <c r="H346" s="27" t="n">
        <v>0</v>
      </c>
      <c r="I346" s="62" t="n">
        <v>3348</v>
      </c>
    </row>
    <row r="347">
      <c r="B347" s="6" t="inlineStr">
        <is>
          <t>카페24</t>
        </is>
      </c>
      <c r="C347" s="6" t="inlineStr">
        <is>
          <t>앰플</t>
        </is>
      </c>
      <c r="D347" s="6" t="inlineStr">
        <is>
          <t>앰플 30ml</t>
        </is>
      </c>
      <c r="E347" s="6" t="n">
        <v>200801</v>
      </c>
      <c r="F347" s="7">
        <f>B347&amp;C347&amp;D347&amp;E347</f>
        <v/>
      </c>
      <c r="G347" s="6" t="n">
        <v>28000</v>
      </c>
      <c r="H347" s="30" t="n">
        <v>0.0585</v>
      </c>
      <c r="I347" s="6" t="n">
        <v>3397</v>
      </c>
    </row>
    <row r="348">
      <c r="B348" s="6" t="inlineStr">
        <is>
          <t>카페24</t>
        </is>
      </c>
      <c r="C348" s="6" t="inlineStr">
        <is>
          <t>수딩크림</t>
        </is>
      </c>
      <c r="D348" s="6" t="inlineStr">
        <is>
          <t>수딩크림 100ml</t>
        </is>
      </c>
      <c r="E348" s="6" t="n">
        <v>200801</v>
      </c>
      <c r="F348" s="7">
        <f>B348&amp;C348&amp;D348&amp;E348</f>
        <v/>
      </c>
      <c r="G348" s="6" t="n">
        <v>38000</v>
      </c>
      <c r="H348" s="30" t="n">
        <v>0.0585</v>
      </c>
      <c r="I348" s="6" t="n">
        <v>3045</v>
      </c>
    </row>
    <row r="349">
      <c r="B349" s="6" t="inlineStr">
        <is>
          <t>글로우데이즈 시코르</t>
        </is>
      </c>
      <c r="C349" s="6" t="inlineStr">
        <is>
          <t>앰플</t>
        </is>
      </c>
      <c r="D349" s="6" t="inlineStr">
        <is>
          <t>앰플 30ml</t>
        </is>
      </c>
      <c r="E349" s="6" t="n">
        <v>200801</v>
      </c>
      <c r="F349" s="7">
        <f>B349&amp;C349&amp;D349&amp;E349</f>
        <v/>
      </c>
      <c r="G349" s="6" t="n">
        <v>13500</v>
      </c>
      <c r="H349" s="27" t="n">
        <v>0</v>
      </c>
      <c r="I349" s="6" t="n">
        <v>3397</v>
      </c>
    </row>
    <row r="350">
      <c r="B350" s="6" t="inlineStr">
        <is>
          <t>글로우데이즈 시코르</t>
        </is>
      </c>
      <c r="C350" s="6" t="inlineStr">
        <is>
          <t>수딩크림</t>
        </is>
      </c>
      <c r="D350" s="6" t="inlineStr">
        <is>
          <t>수딩크림 100ml</t>
        </is>
      </c>
      <c r="E350" s="6" t="n">
        <v>200801</v>
      </c>
      <c r="F350" s="7">
        <f>B350&amp;C350&amp;D350&amp;E350</f>
        <v/>
      </c>
      <c r="G350" s="6" t="n">
        <v>15545</v>
      </c>
      <c r="H350" s="27" t="n">
        <v>0</v>
      </c>
      <c r="I350" s="6" t="n">
        <v>3045</v>
      </c>
    </row>
    <row r="351">
      <c r="B351" s="6" t="inlineStr">
        <is>
          <t>글로우데이즈 시코르</t>
        </is>
      </c>
      <c r="C351" s="6" t="inlineStr">
        <is>
          <t>마스크팩</t>
        </is>
      </c>
      <c r="D351" s="6" t="inlineStr">
        <is>
          <t>마스크팩 1매</t>
        </is>
      </c>
      <c r="E351" s="6" t="n">
        <v>200801</v>
      </c>
      <c r="F351" s="7">
        <f>B351&amp;C351&amp;D351&amp;E351</f>
        <v/>
      </c>
      <c r="G351" s="6" t="n">
        <v>1636</v>
      </c>
      <c r="H351" s="27" t="n">
        <v>0</v>
      </c>
      <c r="I351" s="6" t="n">
        <v>397</v>
      </c>
    </row>
    <row r="352">
      <c r="B352" s="6" t="inlineStr">
        <is>
          <t>글로우데이즈 시코르</t>
        </is>
      </c>
      <c r="C352" s="6" t="inlineStr">
        <is>
          <t>머드크림마스크</t>
        </is>
      </c>
      <c r="D352" s="6" t="inlineStr">
        <is>
          <t>머드크림마스크 100ml</t>
        </is>
      </c>
      <c r="E352" s="7" t="n">
        <v>200801</v>
      </c>
      <c r="F352" s="7">
        <f>B352&amp;C352&amp;D352&amp;E352</f>
        <v/>
      </c>
      <c r="G352" s="6" t="n">
        <v>10227</v>
      </c>
      <c r="H352" s="27" t="n">
        <v>0</v>
      </c>
      <c r="I352" s="6" t="n">
        <v>1442</v>
      </c>
    </row>
    <row r="353">
      <c r="B353" s="6" t="inlineStr">
        <is>
          <t>글로우데이즈 시코르</t>
        </is>
      </c>
      <c r="C353" s="6" t="inlineStr">
        <is>
          <t>클렌징폼</t>
        </is>
      </c>
      <c r="D353" s="6" t="inlineStr">
        <is>
          <t>클렌징폼 120ml</t>
        </is>
      </c>
      <c r="E353" s="7" t="n">
        <v>200801</v>
      </c>
      <c r="F353" s="7">
        <f>B353&amp;C353&amp;D353&amp;E353</f>
        <v/>
      </c>
      <c r="G353" s="6" t="n">
        <v>6545</v>
      </c>
      <c r="H353" s="27" t="n">
        <v>0</v>
      </c>
      <c r="I353" s="6" t="n">
        <v>2750</v>
      </c>
    </row>
    <row r="354">
      <c r="B354" s="6" t="inlineStr">
        <is>
          <t>글로우데이즈 시코르</t>
        </is>
      </c>
      <c r="C354" s="6" t="inlineStr">
        <is>
          <t>마스크팩</t>
        </is>
      </c>
      <c r="D354" s="6" t="inlineStr">
        <is>
          <t>마스크팩 10매</t>
        </is>
      </c>
      <c r="E354" s="6" t="n">
        <v>200801</v>
      </c>
      <c r="F354" s="7">
        <f>B354&amp;C354&amp;D354&amp;E354</f>
        <v/>
      </c>
      <c r="G354" s="6" t="n">
        <v>16364</v>
      </c>
      <c r="H354" s="27" t="n">
        <v>0</v>
      </c>
      <c r="I354" s="6" t="n">
        <v>3970</v>
      </c>
    </row>
    <row r="355">
      <c r="B355" s="6" t="inlineStr">
        <is>
          <t>글로우데이즈 시코르</t>
        </is>
      </c>
      <c r="C355" s="6" t="inlineStr">
        <is>
          <t>토너</t>
        </is>
      </c>
      <c r="D355" s="5" t="inlineStr">
        <is>
          <t>500ml</t>
        </is>
      </c>
      <c r="E355" s="7" t="n">
        <v>200801</v>
      </c>
      <c r="F355" s="7">
        <f>B355&amp;C355&amp;D355&amp;E355</f>
        <v/>
      </c>
      <c r="G355" s="6" t="n">
        <v>20250</v>
      </c>
      <c r="H355" s="27" t="n">
        <v>0</v>
      </c>
      <c r="I355" s="6" t="n">
        <v>4330</v>
      </c>
    </row>
    <row r="356">
      <c r="B356" s="6" t="inlineStr">
        <is>
          <t>카페24</t>
        </is>
      </c>
      <c r="C356" s="6" t="inlineStr">
        <is>
          <t>수딩크림</t>
        </is>
      </c>
      <c r="D356" s="6" t="inlineStr">
        <is>
          <t>[플친 단독 30% off] 어성초 78 수딩 크림</t>
        </is>
      </c>
      <c r="E356" s="7" t="n">
        <v>200801</v>
      </c>
      <c r="F356" s="7">
        <f>B356&amp;C356&amp;D356&amp;E356</f>
        <v/>
      </c>
      <c r="G356" s="6" t="n">
        <v>26600</v>
      </c>
      <c r="H356" s="30" t="n">
        <v>0.0585</v>
      </c>
      <c r="I356" s="6" t="n">
        <v>3045</v>
      </c>
    </row>
    <row r="357">
      <c r="B357" s="6" t="inlineStr">
        <is>
          <t>카페24</t>
        </is>
      </c>
      <c r="C357" s="6" t="inlineStr">
        <is>
          <t>앰플</t>
        </is>
      </c>
      <c r="D357" s="6" t="inlineStr">
        <is>
          <t>[플친 단독 30% off] 어성초 80 수분 진정 앰플</t>
        </is>
      </c>
      <c r="E357" s="7" t="n">
        <v>200801</v>
      </c>
      <c r="F357" s="7">
        <f>B357&amp;C357&amp;D357&amp;E357</f>
        <v/>
      </c>
      <c r="G357" s="6" t="n">
        <v>23000</v>
      </c>
      <c r="H357" s="30" t="n">
        <v>0.0585</v>
      </c>
      <c r="I357" s="6" t="n">
        <v>3397</v>
      </c>
    </row>
    <row r="358">
      <c r="B358" s="6" t="inlineStr">
        <is>
          <t>카페24</t>
        </is>
      </c>
      <c r="C358" s="6" t="inlineStr">
        <is>
          <t>앰플+수딩크림세트</t>
        </is>
      </c>
      <c r="D358" s="6" t="inlineStr">
        <is>
          <t>[플친 단독 30% off][무료배송] 어성초 앰플 + 수딩 크림 세트</t>
        </is>
      </c>
      <c r="E358" s="7" t="n">
        <v>200801</v>
      </c>
      <c r="F358" s="7">
        <f>B358&amp;C358&amp;D358&amp;E358</f>
        <v/>
      </c>
      <c r="G358" s="6" t="n">
        <v>49600</v>
      </c>
      <c r="H358" s="30" t="n">
        <v>0.0585</v>
      </c>
      <c r="I358" s="6" t="n">
        <v>6442</v>
      </c>
    </row>
    <row r="359" hidden="1" s="93">
      <c r="B359" s="6" t="inlineStr">
        <is>
          <t>큐텐</t>
        </is>
      </c>
      <c r="C359" s="6" t="inlineStr">
        <is>
          <t>앰플</t>
        </is>
      </c>
      <c r="D359" s="6" t="inlineStr">
        <is>
          <t>앰플 30ml</t>
        </is>
      </c>
      <c r="E359" s="6" t="n">
        <v>200801</v>
      </c>
      <c r="F359" s="7">
        <f>B359&amp;C359&amp;D359&amp;E359</f>
        <v/>
      </c>
      <c r="G359" s="6" t="n">
        <v>38000</v>
      </c>
      <c r="H359" s="27" t="n">
        <v>0.11</v>
      </c>
      <c r="I359" s="6" t="n">
        <v>3397</v>
      </c>
    </row>
    <row r="360" hidden="1" s="93">
      <c r="B360" s="6" t="inlineStr">
        <is>
          <t>큐텐</t>
        </is>
      </c>
      <c r="C360" s="6" t="inlineStr">
        <is>
          <t>마스크팩</t>
        </is>
      </c>
      <c r="D360" s="6" t="inlineStr">
        <is>
          <t>마스크팩 10매</t>
        </is>
      </c>
      <c r="E360" s="6" t="n">
        <v>200801</v>
      </c>
      <c r="F360" s="7">
        <f>B360&amp;C360&amp;D360&amp;E360</f>
        <v/>
      </c>
      <c r="G360" s="6" t="n">
        <v>36000</v>
      </c>
      <c r="H360" s="27" t="n">
        <v>0.11</v>
      </c>
      <c r="I360" s="6" t="n">
        <v>3970</v>
      </c>
    </row>
    <row r="361">
      <c r="B361" s="6" t="inlineStr">
        <is>
          <t>카페24</t>
        </is>
      </c>
      <c r="C361" s="6" t="inlineStr">
        <is>
          <t>어성초진정패키지</t>
        </is>
      </c>
      <c r="D361" s="6" t="inlineStr">
        <is>
          <t>어성초 진정패키지세트</t>
        </is>
      </c>
      <c r="E361" s="6" t="n">
        <v>200801</v>
      </c>
      <c r="F361" s="7">
        <f>B361&amp;C361&amp;D361&amp;E361</f>
        <v/>
      </c>
      <c r="G361" s="6" t="n">
        <v>99000</v>
      </c>
      <c r="H361" s="30" t="n">
        <v>0.0585</v>
      </c>
      <c r="I361" s="6" t="n">
        <v>15137</v>
      </c>
    </row>
    <row r="362">
      <c r="B362" s="6" t="inlineStr">
        <is>
          <t>랄라블라</t>
        </is>
      </c>
      <c r="C362" s="6" t="inlineStr">
        <is>
          <t>토너 증정기획</t>
        </is>
      </c>
      <c r="D362" s="6" t="inlineStr">
        <is>
          <t>토너 증정기획</t>
        </is>
      </c>
      <c r="E362" s="6" t="n">
        <v>200801</v>
      </c>
      <c r="F362" s="7">
        <f>B362&amp;C362&amp;D362&amp;E362</f>
        <v/>
      </c>
      <c r="G362" s="6" t="n">
        <v>9457</v>
      </c>
      <c r="H362" s="27" t="n">
        <v>0</v>
      </c>
      <c r="I362" s="62" t="n">
        <v>4440</v>
      </c>
    </row>
    <row r="363">
      <c r="B363" s="6" t="inlineStr">
        <is>
          <t>랄라블라</t>
        </is>
      </c>
      <c r="C363" s="6" t="inlineStr">
        <is>
          <t>수딩크림 증정기획</t>
        </is>
      </c>
      <c r="D363" s="6" t="inlineStr">
        <is>
          <t>수딩크림 증정기획</t>
        </is>
      </c>
      <c r="E363" s="6" t="n">
        <v>200801</v>
      </c>
      <c r="F363" s="7">
        <f>B363&amp;C363&amp;D363&amp;E363</f>
        <v/>
      </c>
      <c r="G363" s="6" t="n">
        <v>17131</v>
      </c>
      <c r="H363" s="27" t="n">
        <v>0</v>
      </c>
      <c r="I363" s="62" t="n">
        <v>4095</v>
      </c>
    </row>
    <row r="364">
      <c r="B364" s="6" t="inlineStr">
        <is>
          <t>랄라블라</t>
        </is>
      </c>
      <c r="C364" s="6" t="inlineStr">
        <is>
          <t>선크림</t>
        </is>
      </c>
      <c r="D364" s="6" t="inlineStr">
        <is>
          <t>선크림 50ml</t>
        </is>
      </c>
      <c r="E364" s="6" t="n">
        <v>200801</v>
      </c>
      <c r="F364" s="7">
        <f>B364&amp;C364&amp;D364&amp;E364</f>
        <v/>
      </c>
      <c r="G364" s="6" t="n">
        <v>10000</v>
      </c>
      <c r="H364" s="27" t="n">
        <v>0</v>
      </c>
      <c r="I364" s="61" t="n">
        <v>2345</v>
      </c>
    </row>
    <row r="365" hidden="1" s="93">
      <c r="B365" s="6" t="inlineStr">
        <is>
          <t>현대면세점</t>
        </is>
      </c>
      <c r="C365" s="6" t="inlineStr">
        <is>
          <t>토너</t>
        </is>
      </c>
      <c r="D365" s="6" t="inlineStr">
        <is>
          <t>250ml</t>
        </is>
      </c>
      <c r="E365" s="6" t="n">
        <v>200801</v>
      </c>
      <c r="F365" s="7">
        <f>B365&amp;C365&amp;D365&amp;E365</f>
        <v/>
      </c>
      <c r="G365" s="6" t="n">
        <v>6300</v>
      </c>
      <c r="H365" s="27" t="n">
        <v>0</v>
      </c>
      <c r="I365" s="6" t="n">
        <v>3080</v>
      </c>
    </row>
    <row r="366" hidden="1" s="93">
      <c r="B366" s="6" t="inlineStr">
        <is>
          <t>현대면세점</t>
        </is>
      </c>
      <c r="C366" s="6" t="inlineStr">
        <is>
          <t>앰플</t>
        </is>
      </c>
      <c r="D366" s="6" t="inlineStr">
        <is>
          <t>앰플 30ml</t>
        </is>
      </c>
      <c r="E366" s="6" t="n">
        <v>200801</v>
      </c>
      <c r="F366" s="7">
        <f>B366&amp;C366&amp;D366&amp;E366</f>
        <v/>
      </c>
      <c r="G366" s="6" t="n">
        <v>8820</v>
      </c>
      <c r="H366" s="27" t="n">
        <v>0</v>
      </c>
      <c r="I366" s="6" t="n">
        <v>3397</v>
      </c>
    </row>
    <row r="367" hidden="1" s="93">
      <c r="B367" s="6" t="inlineStr">
        <is>
          <t>현대면세점</t>
        </is>
      </c>
      <c r="C367" s="6" t="inlineStr">
        <is>
          <t>토너</t>
        </is>
      </c>
      <c r="D367" s="6" t="inlineStr">
        <is>
          <t>500ml</t>
        </is>
      </c>
      <c r="E367" s="6" t="n">
        <v>200801</v>
      </c>
      <c r="F367" s="7">
        <f>B367&amp;C367&amp;D367&amp;E367</f>
        <v/>
      </c>
      <c r="G367" s="6" t="n">
        <v>10500</v>
      </c>
      <c r="H367" s="27" t="n">
        <v>0</v>
      </c>
      <c r="I367" s="6" t="n">
        <v>4330</v>
      </c>
    </row>
    <row r="368" hidden="1" s="93">
      <c r="B368" s="6" t="inlineStr">
        <is>
          <t>현대면세점</t>
        </is>
      </c>
      <c r="C368" s="6" t="inlineStr">
        <is>
          <t>클렌징폼</t>
        </is>
      </c>
      <c r="D368" s="6" t="inlineStr">
        <is>
          <t>클렌징폼 120ml</t>
        </is>
      </c>
      <c r="E368" s="7" t="n">
        <v>200801</v>
      </c>
      <c r="F368" s="7">
        <f>B368&amp;C368&amp;D368&amp;E368</f>
        <v/>
      </c>
      <c r="G368" s="6" t="n">
        <v>4900</v>
      </c>
      <c r="H368" s="27" t="n">
        <v>0</v>
      </c>
      <c r="I368" s="6" t="n">
        <v>2750</v>
      </c>
    </row>
    <row r="369" hidden="1" s="93">
      <c r="B369" s="6" t="inlineStr">
        <is>
          <t>현대면세점</t>
        </is>
      </c>
      <c r="C369" s="6" t="inlineStr">
        <is>
          <t>머드크림마스크</t>
        </is>
      </c>
      <c r="D369" s="6" t="inlineStr">
        <is>
          <t>머드크림마스크 100ml</t>
        </is>
      </c>
      <c r="E369" s="6" t="n">
        <v>200801</v>
      </c>
      <c r="F369" s="7">
        <f>B369&amp;C369&amp;D369&amp;E369</f>
        <v/>
      </c>
      <c r="G369" s="6" t="n">
        <v>6300</v>
      </c>
      <c r="H369" s="27" t="n">
        <v>0</v>
      </c>
      <c r="I369" s="6" t="n">
        <v>1442</v>
      </c>
    </row>
    <row r="370" hidden="1" s="93">
      <c r="B370" s="6" t="inlineStr">
        <is>
          <t>현대면세점</t>
        </is>
      </c>
      <c r="C370" s="6" t="inlineStr">
        <is>
          <t>마스크팩</t>
        </is>
      </c>
      <c r="D370" s="6" t="inlineStr">
        <is>
          <t>마스크팩 1매</t>
        </is>
      </c>
      <c r="E370" s="6" t="n">
        <v>200801</v>
      </c>
      <c r="F370" s="7">
        <f>B370&amp;C370&amp;D370&amp;E370</f>
        <v/>
      </c>
      <c r="G370" s="6" t="n">
        <v>10500</v>
      </c>
      <c r="H370" s="27" t="n">
        <v>0</v>
      </c>
      <c r="I370" s="6" t="n">
        <v>397</v>
      </c>
    </row>
    <row r="371">
      <c r="B371" s="6" t="inlineStr">
        <is>
          <t>카페24</t>
        </is>
      </c>
      <c r="C371" s="6" t="inlineStr">
        <is>
          <t>선크림</t>
        </is>
      </c>
      <c r="D371" s="6" t="inlineStr">
        <is>
          <t>선크림 50ml</t>
        </is>
      </c>
      <c r="E371" s="6" t="n">
        <v>200801</v>
      </c>
      <c r="F371" s="7">
        <f>B371&amp;C371&amp;D371&amp;E371</f>
        <v/>
      </c>
      <c r="G371" s="6" t="n">
        <v>20000</v>
      </c>
      <c r="H371" s="30" t="n">
        <v>0.0585</v>
      </c>
      <c r="I371" s="6" t="n">
        <v>2345</v>
      </c>
    </row>
    <row r="372">
      <c r="B372" s="6" t="inlineStr">
        <is>
          <t>카페24</t>
        </is>
      </c>
      <c r="C372" s="6" t="inlineStr">
        <is>
          <t>클렌징폼</t>
        </is>
      </c>
      <c r="D372" s="6" t="inlineStr">
        <is>
          <t>클렌징폼 120ml(선크림할인)</t>
        </is>
      </c>
      <c r="E372" s="6" t="n">
        <v>200801</v>
      </c>
      <c r="F372" s="7">
        <f>B372&amp;C372&amp;D372&amp;E372</f>
        <v/>
      </c>
      <c r="G372" s="6" t="n">
        <v>10000</v>
      </c>
      <c r="H372" s="30" t="n">
        <v>0.0585</v>
      </c>
      <c r="I372" s="6" t="n">
        <v>2750</v>
      </c>
    </row>
    <row r="373">
      <c r="B373" s="6" t="inlineStr">
        <is>
          <t>랄라블라</t>
        </is>
      </c>
      <c r="C373" s="6" t="inlineStr">
        <is>
          <t>대용량 기획세트</t>
        </is>
      </c>
      <c r="D373" s="6" t="inlineStr">
        <is>
          <t>대용량 기획세트</t>
        </is>
      </c>
      <c r="E373" s="6" t="n">
        <v>200801</v>
      </c>
      <c r="F373" s="7">
        <f>B373&amp;C373&amp;D373&amp;E373</f>
        <v/>
      </c>
      <c r="G373" s="6" t="n">
        <v>15818</v>
      </c>
      <c r="H373" s="27" t="n">
        <v>0</v>
      </c>
      <c r="I373" s="62" t="n">
        <v>5640</v>
      </c>
    </row>
    <row r="374">
      <c r="B374" s="5" t="inlineStr">
        <is>
          <t>아누아 CS</t>
        </is>
      </c>
      <c r="C374" s="6" t="inlineStr">
        <is>
          <t>선크림</t>
        </is>
      </c>
      <c r="D374" s="6" t="inlineStr">
        <is>
          <t>선크림 50ml</t>
        </is>
      </c>
      <c r="E374" s="7" t="n">
        <v>200801</v>
      </c>
      <c r="F374" s="7">
        <f>B374&amp;C374&amp;D374&amp;E374</f>
        <v/>
      </c>
      <c r="G374" s="6" t="n">
        <v>0</v>
      </c>
      <c r="H374" s="27" t="n">
        <v>0</v>
      </c>
      <c r="I374" s="6" t="n">
        <v>2345</v>
      </c>
    </row>
    <row r="375">
      <c r="B375" s="6" t="inlineStr">
        <is>
          <t>카페24</t>
        </is>
      </c>
      <c r="C375" s="6" t="inlineStr">
        <is>
          <t>여름 한정 진정세트</t>
        </is>
      </c>
      <c r="D375" s="6" t="inlineStr">
        <is>
          <t>여름 한정 진정세트</t>
        </is>
      </c>
      <c r="E375" s="6" t="n">
        <v>200801</v>
      </c>
      <c r="F375" s="7">
        <f>B375&amp;C375&amp;D375&amp;E375</f>
        <v/>
      </c>
      <c r="G375" s="6" t="n">
        <v>35000</v>
      </c>
      <c r="H375" s="30" t="n">
        <v>0.0585</v>
      </c>
      <c r="I375" s="6" t="n">
        <v>5605</v>
      </c>
    </row>
    <row r="376">
      <c r="B376" s="6" t="inlineStr">
        <is>
          <t>카페24</t>
        </is>
      </c>
      <c r="C376" s="6" t="inlineStr">
        <is>
          <t>여름 한정 진정세트</t>
        </is>
      </c>
      <c r="D376" s="6" t="inlineStr">
        <is>
          <t>여름 한정 진정세트 (대용량)</t>
        </is>
      </c>
      <c r="E376" s="6" t="n">
        <v>200801</v>
      </c>
      <c r="F376" s="7">
        <f>B376&amp;C376&amp;D376&amp;E376</f>
        <v/>
      </c>
      <c r="G376" s="6" t="n">
        <v>45000</v>
      </c>
      <c r="H376" s="30" t="n">
        <v>0.0585</v>
      </c>
      <c r="I376" s="6" t="n">
        <v>7070</v>
      </c>
    </row>
    <row r="377">
      <c r="B377" s="8" t="inlineStr">
        <is>
          <t>화해</t>
        </is>
      </c>
      <c r="C377" s="9" t="inlineStr">
        <is>
          <t>앰플</t>
        </is>
      </c>
      <c r="D377" s="9" t="inlineStr">
        <is>
          <t>앰플 30ml</t>
        </is>
      </c>
      <c r="E377" s="9" t="n">
        <v>200801</v>
      </c>
      <c r="F377" s="7">
        <f>B377&amp;C377&amp;D377&amp;E377</f>
        <v/>
      </c>
      <c r="G377" s="72" t="n">
        <v>28000</v>
      </c>
      <c r="H377" s="22" t="n">
        <v>0.28</v>
      </c>
      <c r="I377" s="9" t="n">
        <v>3397</v>
      </c>
      <c r="J377" s="17" t="inlineStr">
        <is>
          <t>22일부터</t>
        </is>
      </c>
    </row>
    <row r="378">
      <c r="B378" s="8" t="inlineStr">
        <is>
          <t>화해</t>
        </is>
      </c>
      <c r="C378" s="9" t="inlineStr">
        <is>
          <t>마스크팩</t>
        </is>
      </c>
      <c r="D378" s="9" t="inlineStr">
        <is>
          <t>마스크팩 1매</t>
        </is>
      </c>
      <c r="E378" s="9" t="n">
        <v>200801</v>
      </c>
      <c r="F378" s="7">
        <f>B378&amp;C378&amp;D378&amp;E378</f>
        <v/>
      </c>
      <c r="G378" s="72" t="n">
        <v>4000</v>
      </c>
      <c r="H378" s="22" t="n">
        <v>0.3</v>
      </c>
      <c r="I378" s="9" t="n">
        <v>397</v>
      </c>
      <c r="J378" s="17" t="inlineStr">
        <is>
          <t>22일부터</t>
        </is>
      </c>
    </row>
    <row r="379">
      <c r="B379" s="8" t="inlineStr">
        <is>
          <t>화해</t>
        </is>
      </c>
      <c r="C379" s="9" t="inlineStr">
        <is>
          <t>토너</t>
        </is>
      </c>
      <c r="D379" s="8" t="inlineStr">
        <is>
          <t>250ml</t>
        </is>
      </c>
      <c r="E379" s="9" t="n">
        <v>200801</v>
      </c>
      <c r="F379" s="7">
        <f>B379&amp;C379&amp;D379&amp;E379</f>
        <v/>
      </c>
      <c r="G379" s="72" t="n">
        <v>20000</v>
      </c>
      <c r="H379" s="22" t="n">
        <v>0.28</v>
      </c>
      <c r="I379" s="6" t="n">
        <v>3080</v>
      </c>
      <c r="J379" s="17" t="inlineStr">
        <is>
          <t>22일부터</t>
        </is>
      </c>
    </row>
    <row r="380">
      <c r="B380" s="8" t="inlineStr">
        <is>
          <t>화해</t>
        </is>
      </c>
      <c r="C380" s="9" t="inlineStr">
        <is>
          <t>머드크림마스크</t>
        </is>
      </c>
      <c r="D380" s="9" t="inlineStr">
        <is>
          <t>머드크림마스크 100ml</t>
        </is>
      </c>
      <c r="E380" s="9" t="n">
        <v>200801</v>
      </c>
      <c r="F380" s="7">
        <f>B380&amp;C380&amp;D380&amp;E380</f>
        <v/>
      </c>
      <c r="G380" s="72" t="n">
        <v>20000</v>
      </c>
      <c r="H380" s="22" t="n">
        <v>0.28</v>
      </c>
      <c r="I380" s="9" t="n">
        <v>1442</v>
      </c>
      <c r="J380" s="17" t="inlineStr">
        <is>
          <t>22일부터</t>
        </is>
      </c>
    </row>
    <row r="381">
      <c r="B381" s="8" t="inlineStr">
        <is>
          <t>화해</t>
        </is>
      </c>
      <c r="C381" s="9" t="inlineStr">
        <is>
          <t>수딩크림</t>
        </is>
      </c>
      <c r="D381" s="9" t="inlineStr">
        <is>
          <t>수딩크림 100ml</t>
        </is>
      </c>
      <c r="E381" s="9" t="n">
        <v>200801</v>
      </c>
      <c r="F381" s="7">
        <f>B381&amp;C381&amp;D381&amp;E381</f>
        <v/>
      </c>
      <c r="G381" s="72" t="n">
        <v>38000</v>
      </c>
      <c r="H381" s="22" t="n">
        <v>0.3</v>
      </c>
      <c r="I381" s="9" t="n">
        <v>3045</v>
      </c>
      <c r="J381" s="17" t="inlineStr">
        <is>
          <t>22일부터</t>
        </is>
      </c>
    </row>
    <row r="382">
      <c r="B382" s="8" t="inlineStr">
        <is>
          <t>화해</t>
        </is>
      </c>
      <c r="C382" s="9" t="inlineStr">
        <is>
          <t>클렌징폼</t>
        </is>
      </c>
      <c r="D382" s="9" t="inlineStr">
        <is>
          <t>클렌징폼 120ml</t>
        </is>
      </c>
      <c r="E382" s="9" t="n">
        <v>200801</v>
      </c>
      <c r="F382" s="7">
        <f>B382&amp;C382&amp;D382&amp;E382</f>
        <v/>
      </c>
      <c r="G382" s="72" t="n">
        <v>13000</v>
      </c>
      <c r="H382" s="22" t="n">
        <v>0.29</v>
      </c>
      <c r="I382" s="9" t="n">
        <v>2750</v>
      </c>
      <c r="J382" s="17" t="inlineStr">
        <is>
          <t>22일부터</t>
        </is>
      </c>
    </row>
    <row r="383">
      <c r="B383" s="8" t="inlineStr">
        <is>
          <t>화해</t>
        </is>
      </c>
      <c r="C383" s="9" t="inlineStr">
        <is>
          <t>선크림</t>
        </is>
      </c>
      <c r="D383" s="9" t="inlineStr">
        <is>
          <t>선크림 50ml</t>
        </is>
      </c>
      <c r="E383" s="9" t="n">
        <v>200801</v>
      </c>
      <c r="F383" s="7">
        <f>B383&amp;C383&amp;D383&amp;E383</f>
        <v/>
      </c>
      <c r="G383" s="72" t="n">
        <v>20000</v>
      </c>
      <c r="H383" s="22" t="n">
        <v>0.28</v>
      </c>
      <c r="I383" s="9" t="n">
        <v>2345</v>
      </c>
      <c r="J383" s="17" t="inlineStr">
        <is>
          <t>22일부터</t>
        </is>
      </c>
    </row>
    <row r="384">
      <c r="B384" s="6" t="inlineStr">
        <is>
          <t>카페24</t>
        </is>
      </c>
      <c r="C384" s="6" t="inlineStr">
        <is>
          <t>선크림</t>
        </is>
      </c>
      <c r="D384" s="6" t="inlineStr">
        <is>
          <t>선크림 50ml  2set</t>
        </is>
      </c>
      <c r="E384" s="6" t="n">
        <v>200801</v>
      </c>
      <c r="F384" s="7">
        <f>B384&amp;C384&amp;D384&amp;E384</f>
        <v/>
      </c>
      <c r="G384" s="6" t="n">
        <v>35000</v>
      </c>
      <c r="H384" s="30" t="n">
        <v>0.0585</v>
      </c>
      <c r="I384" s="6" t="n">
        <v>4690</v>
      </c>
    </row>
    <row r="385" hidden="1" s="93">
      <c r="B385" s="5" t="inlineStr">
        <is>
          <t>큐텐재팬</t>
        </is>
      </c>
      <c r="C385" s="6" t="inlineStr">
        <is>
          <t>토너</t>
        </is>
      </c>
      <c r="D385" s="5" t="inlineStr">
        <is>
          <t>250ml</t>
        </is>
      </c>
      <c r="E385" s="7" t="n">
        <v>200801</v>
      </c>
      <c r="F385" s="7">
        <f>B385&amp;C385&amp;D385&amp;E385</f>
        <v/>
      </c>
      <c r="G385" s="6" t="n">
        <v>31500</v>
      </c>
      <c r="H385" s="27" t="n">
        <v>0.11</v>
      </c>
      <c r="I385" s="6" t="n">
        <v>3080</v>
      </c>
    </row>
    <row r="386" hidden="1" s="93">
      <c r="B386" s="5" t="inlineStr">
        <is>
          <t>큐텐재팬</t>
        </is>
      </c>
      <c r="C386" s="6" t="inlineStr">
        <is>
          <t>토너</t>
        </is>
      </c>
      <c r="D386" s="5" t="inlineStr">
        <is>
          <t>250ml 2set</t>
        </is>
      </c>
      <c r="E386" s="7" t="n">
        <v>200801</v>
      </c>
      <c r="F386" s="7">
        <f>B386&amp;C386&amp;D386&amp;E386</f>
        <v/>
      </c>
      <c r="G386" s="6" t="n">
        <v>44000</v>
      </c>
      <c r="H386" s="27" t="n">
        <v>0.11</v>
      </c>
      <c r="I386" s="6" t="n">
        <v>6160</v>
      </c>
    </row>
    <row r="387" hidden="1" s="93">
      <c r="B387" s="5" t="inlineStr">
        <is>
          <t>큐텐재팬</t>
        </is>
      </c>
      <c r="C387" s="6" t="inlineStr">
        <is>
          <t>앰플</t>
        </is>
      </c>
      <c r="D387" s="6" t="inlineStr">
        <is>
          <t>앰플 30ml</t>
        </is>
      </c>
      <c r="E387" s="6" t="n">
        <v>200801</v>
      </c>
      <c r="F387" s="7">
        <f>B387&amp;C387&amp;D387&amp;E387</f>
        <v/>
      </c>
      <c r="G387" s="6" t="n">
        <v>38000</v>
      </c>
      <c r="H387" s="27" t="n">
        <v>0.11</v>
      </c>
      <c r="I387" s="6" t="n">
        <v>3397</v>
      </c>
    </row>
    <row r="388" hidden="1" s="93">
      <c r="B388" s="5" t="inlineStr">
        <is>
          <t>큐텐재팬</t>
        </is>
      </c>
      <c r="C388" s="6" t="inlineStr">
        <is>
          <t>머드크림마스크</t>
        </is>
      </c>
      <c r="D388" s="6" t="inlineStr">
        <is>
          <t>머드크림마스크 100ml</t>
        </is>
      </c>
      <c r="E388" s="7" t="n">
        <v>200801</v>
      </c>
      <c r="F388" s="7">
        <f>B388&amp;C388&amp;D388&amp;E388</f>
        <v/>
      </c>
      <c r="G388" s="6" t="n">
        <v>31500</v>
      </c>
      <c r="H388" s="27" t="n">
        <v>0.11</v>
      </c>
      <c r="I388" s="6" t="n">
        <v>1442</v>
      </c>
    </row>
    <row r="389" hidden="1" s="93">
      <c r="B389" s="5" t="inlineStr">
        <is>
          <t>큐텐재팬</t>
        </is>
      </c>
      <c r="C389" s="6" t="inlineStr">
        <is>
          <t>마스크팩</t>
        </is>
      </c>
      <c r="D389" s="6" t="inlineStr">
        <is>
          <t>마스크팩 10매</t>
        </is>
      </c>
      <c r="E389" s="6" t="n">
        <v>200801</v>
      </c>
      <c r="F389" s="7">
        <f>B389&amp;C389&amp;D389&amp;E389</f>
        <v/>
      </c>
      <c r="G389" s="6" t="n">
        <v>36000</v>
      </c>
      <c r="H389" s="27" t="n">
        <v>0.11</v>
      </c>
      <c r="I389" s="6" t="n">
        <v>3970</v>
      </c>
    </row>
    <row r="390" hidden="1" s="93">
      <c r="B390" s="5" t="inlineStr">
        <is>
          <t>큐텐재팬</t>
        </is>
      </c>
      <c r="C390" s="6" t="inlineStr">
        <is>
          <t>클렌징폼</t>
        </is>
      </c>
      <c r="D390" s="6" t="inlineStr">
        <is>
          <t>클렌징폼 120ml</t>
        </is>
      </c>
      <c r="E390" s="7" t="n">
        <v>200801</v>
      </c>
      <c r="F390" s="7">
        <f>B390&amp;C390&amp;D390&amp;E390</f>
        <v/>
      </c>
      <c r="G390" s="6" t="n">
        <v>25000</v>
      </c>
      <c r="H390" s="27" t="n">
        <v>0.11</v>
      </c>
      <c r="I390" s="6" t="n">
        <v>2750</v>
      </c>
    </row>
    <row r="391" hidden="1" s="93">
      <c r="B391" s="5" t="inlineStr">
        <is>
          <t>큐텐재팬</t>
        </is>
      </c>
      <c r="C391" s="6" t="inlineStr">
        <is>
          <t>수딩크림</t>
        </is>
      </c>
      <c r="D391" s="6" t="inlineStr">
        <is>
          <t>수딩크림 100ml</t>
        </is>
      </c>
      <c r="E391" s="7" t="n">
        <v>200801</v>
      </c>
      <c r="F391" s="7">
        <f>B391&amp;C391&amp;D391&amp;E391</f>
        <v/>
      </c>
      <c r="G391" s="6" t="n">
        <v>43000</v>
      </c>
      <c r="H391" s="27" t="n">
        <v>0.11</v>
      </c>
      <c r="I391" s="6" t="n">
        <v>3045</v>
      </c>
    </row>
    <row r="392" hidden="1" s="93">
      <c r="B392" s="6" t="inlineStr">
        <is>
          <t>현대면세점</t>
        </is>
      </c>
      <c r="C392" s="6" t="inlineStr">
        <is>
          <t>선크림</t>
        </is>
      </c>
      <c r="D392" s="6" t="inlineStr">
        <is>
          <t>선크림 50ml</t>
        </is>
      </c>
      <c r="E392" s="6" t="n">
        <v>200801</v>
      </c>
      <c r="F392" s="7">
        <f>B392&amp;C392&amp;D392&amp;E392</f>
        <v/>
      </c>
      <c r="G392" s="6" t="n">
        <v>6300</v>
      </c>
      <c r="H392" s="27" t="n">
        <v>0</v>
      </c>
      <c r="I392" s="6" t="n">
        <v>2345</v>
      </c>
    </row>
    <row r="393" hidden="1" s="93">
      <c r="B393" s="6" t="inlineStr">
        <is>
          <t>현대면세점</t>
        </is>
      </c>
      <c r="C393" s="6" t="inlineStr">
        <is>
          <t>수딩크림</t>
        </is>
      </c>
      <c r="D393" s="6" t="inlineStr">
        <is>
          <t>수딩크림 100ml</t>
        </is>
      </c>
      <c r="E393" s="6" t="n">
        <v>200801</v>
      </c>
      <c r="F393" s="7">
        <f>B393&amp;C393&amp;D393&amp;E393</f>
        <v/>
      </c>
      <c r="G393" s="6" t="n">
        <v>11970</v>
      </c>
      <c r="H393" s="27" t="n">
        <v>0</v>
      </c>
      <c r="I393" s="6" t="n">
        <v>3045</v>
      </c>
    </row>
    <row r="394" hidden="1" s="93">
      <c r="B394" s="6" t="inlineStr">
        <is>
          <t>현대면세점</t>
        </is>
      </c>
      <c r="C394" s="6" t="inlineStr">
        <is>
          <t>화장솜</t>
        </is>
      </c>
      <c r="D394" s="6" t="inlineStr">
        <is>
          <t>스킨팩 화장솜 60P</t>
        </is>
      </c>
      <c r="E394" s="6" t="n">
        <v>200801</v>
      </c>
      <c r="F394" s="7">
        <f>B394&amp;C394&amp;D394&amp;E394</f>
        <v/>
      </c>
      <c r="G394" s="6" t="n">
        <v>1250</v>
      </c>
      <c r="H394" s="27" t="n">
        <v>0</v>
      </c>
      <c r="I394" s="6" t="n">
        <v>1110</v>
      </c>
    </row>
    <row r="395" hidden="1" s="93">
      <c r="B395" s="6" t="inlineStr">
        <is>
          <t>쇼피필리핀</t>
        </is>
      </c>
      <c r="C395" s="6" t="inlineStr">
        <is>
          <t>토너</t>
        </is>
      </c>
      <c r="D395" s="6" t="inlineStr">
        <is>
          <t>250ml</t>
        </is>
      </c>
      <c r="E395" s="6" t="n">
        <v>200801</v>
      </c>
      <c r="F395" s="7">
        <f>B395&amp;C395&amp;D395&amp;E395</f>
        <v/>
      </c>
      <c r="G395" s="6" t="n">
        <v>26200</v>
      </c>
      <c r="H395" s="27" t="n">
        <v>0.06</v>
      </c>
      <c r="I395" s="6" t="n">
        <v>3080</v>
      </c>
    </row>
    <row r="396">
      <c r="A396" s="9" t="n"/>
      <c r="B396" s="8" t="inlineStr">
        <is>
          <t>글로우데이즈 시코르</t>
        </is>
      </c>
      <c r="C396" s="9" t="inlineStr">
        <is>
          <t>토너</t>
        </is>
      </c>
      <c r="D396" s="9" t="inlineStr">
        <is>
          <t>토너=250ml</t>
        </is>
      </c>
      <c r="E396" s="9" t="n">
        <v>200801</v>
      </c>
      <c r="F396" s="7">
        <f>B396&amp;C396&amp;D396&amp;E396</f>
        <v/>
      </c>
      <c r="G396" s="9" t="n">
        <v>11250</v>
      </c>
      <c r="H396" s="22" t="n">
        <v>0</v>
      </c>
      <c r="I396" s="9" t="n">
        <v>3080</v>
      </c>
      <c r="J396" s="17" t="inlineStr">
        <is>
          <t>(45%)납품가</t>
        </is>
      </c>
    </row>
    <row r="397">
      <c r="A397" s="9" t="n"/>
      <c r="B397" s="8" t="inlineStr">
        <is>
          <t>글로우데이즈 시코르</t>
        </is>
      </c>
      <c r="C397" s="9" t="inlineStr">
        <is>
          <t>앰플</t>
        </is>
      </c>
      <c r="D397" s="9" t="inlineStr">
        <is>
          <t>앰플=앰플 30ml</t>
        </is>
      </c>
      <c r="E397" s="9" t="n">
        <v>200801</v>
      </c>
      <c r="F397" s="7">
        <f>B397&amp;C397&amp;D397&amp;E397</f>
        <v/>
      </c>
      <c r="G397" s="9" t="n">
        <v>14850</v>
      </c>
      <c r="H397" s="22" t="n">
        <v>0</v>
      </c>
      <c r="I397" s="9" t="n">
        <v>3397</v>
      </c>
      <c r="J397" s="17" t="inlineStr">
        <is>
          <t>(45%)납품가</t>
        </is>
      </c>
    </row>
    <row r="398">
      <c r="A398" s="9" t="n"/>
      <c r="B398" s="8" t="inlineStr">
        <is>
          <t>글로우데이즈 시코르</t>
        </is>
      </c>
      <c r="C398" s="9" t="inlineStr">
        <is>
          <t>수딩크림</t>
        </is>
      </c>
      <c r="D398" s="9" t="inlineStr">
        <is>
          <t>수딩크림=수딩크림 100ml</t>
        </is>
      </c>
      <c r="E398" s="9" t="n">
        <v>200801</v>
      </c>
      <c r="F398" s="7">
        <f>B398&amp;C398&amp;D398&amp;E398</f>
        <v/>
      </c>
      <c r="G398" s="9" t="n">
        <v>17100</v>
      </c>
      <c r="H398" s="22" t="n">
        <v>0</v>
      </c>
      <c r="I398" s="9" t="n">
        <v>3045</v>
      </c>
      <c r="J398" s="17" t="inlineStr">
        <is>
          <t>(45%)납품가</t>
        </is>
      </c>
    </row>
    <row r="399">
      <c r="A399" s="9" t="n"/>
      <c r="B399" s="8" t="inlineStr">
        <is>
          <t>글로우데이즈 시코르</t>
        </is>
      </c>
      <c r="C399" s="9" t="inlineStr">
        <is>
          <t>마스크팩</t>
        </is>
      </c>
      <c r="D399" s="9" t="inlineStr">
        <is>
          <t>마스크팩=마스크팩 1매</t>
        </is>
      </c>
      <c r="E399" s="9" t="n">
        <v>200801</v>
      </c>
      <c r="F399" s="7">
        <f>B399&amp;C399&amp;D399&amp;E399</f>
        <v/>
      </c>
      <c r="G399" s="9" t="n">
        <v>1800</v>
      </c>
      <c r="H399" s="22" t="n">
        <v>0</v>
      </c>
      <c r="I399" s="9" t="n">
        <v>397</v>
      </c>
      <c r="J399" s="17" t="inlineStr">
        <is>
          <t>(45%)납품가</t>
        </is>
      </c>
    </row>
    <row r="400">
      <c r="A400" s="9" t="n"/>
      <c r="B400" s="8" t="inlineStr">
        <is>
          <t>글로우데이즈 시코르</t>
        </is>
      </c>
      <c r="C400" s="9" t="inlineStr">
        <is>
          <t>머드크림마스크</t>
        </is>
      </c>
      <c r="D400" s="9" t="inlineStr">
        <is>
          <t>머드크림마스크=머드크림마스크 100ml</t>
        </is>
      </c>
      <c r="E400" s="9" t="n">
        <v>200801</v>
      </c>
      <c r="F400" s="7">
        <f>B400&amp;C400&amp;D400&amp;E400</f>
        <v/>
      </c>
      <c r="G400" s="9" t="n">
        <v>11250</v>
      </c>
      <c r="H400" s="22" t="n">
        <v>0</v>
      </c>
      <c r="I400" s="9" t="n">
        <v>1442</v>
      </c>
      <c r="J400" s="17" t="inlineStr">
        <is>
          <t>(45%)납품가</t>
        </is>
      </c>
    </row>
    <row r="401">
      <c r="A401" s="9" t="n"/>
      <c r="B401" s="8" t="inlineStr">
        <is>
          <t>글로우데이즈 시코르</t>
        </is>
      </c>
      <c r="C401" s="9" t="inlineStr">
        <is>
          <t>클렌징폼</t>
        </is>
      </c>
      <c r="D401" s="9" t="inlineStr">
        <is>
          <t>클렌징폼=클렌징폼 120ml</t>
        </is>
      </c>
      <c r="E401" s="9" t="n">
        <v>200801</v>
      </c>
      <c r="F401" s="7">
        <f>B401&amp;C401&amp;D401&amp;E401</f>
        <v/>
      </c>
      <c r="G401" s="9" t="n">
        <v>7200</v>
      </c>
      <c r="H401" s="22" t="n">
        <v>0</v>
      </c>
      <c r="I401" s="9" t="n">
        <v>2750</v>
      </c>
      <c r="J401" s="17" t="inlineStr">
        <is>
          <t>(45%)납품가</t>
        </is>
      </c>
    </row>
    <row r="402">
      <c r="A402" s="9" t="n"/>
      <c r="B402" s="8" t="inlineStr">
        <is>
          <t>글로우데이즈 시코르</t>
        </is>
      </c>
      <c r="C402" s="9" t="inlineStr">
        <is>
          <t>마스크팩</t>
        </is>
      </c>
      <c r="D402" s="9" t="inlineStr">
        <is>
          <t>마스크팩=마스크팩 10매</t>
        </is>
      </c>
      <c r="E402" s="9" t="n">
        <v>200801</v>
      </c>
      <c r="F402" s="7">
        <f>B402&amp;C402&amp;D402&amp;E402</f>
        <v/>
      </c>
      <c r="G402" s="9" t="n">
        <v>18000</v>
      </c>
      <c r="H402" s="22" t="n">
        <v>0</v>
      </c>
      <c r="I402" s="9" t="n">
        <v>3970</v>
      </c>
      <c r="J402" s="17" t="inlineStr">
        <is>
          <t>(45%)납품가</t>
        </is>
      </c>
    </row>
    <row r="403" hidden="1" s="93">
      <c r="B403" s="5" t="inlineStr">
        <is>
          <t>쇼피태국</t>
        </is>
      </c>
      <c r="C403" s="6" t="inlineStr">
        <is>
          <t>수딩크림</t>
        </is>
      </c>
      <c r="D403" s="6" t="inlineStr">
        <is>
          <t>수딩크림 100ml</t>
        </is>
      </c>
      <c r="E403" s="6" t="n">
        <v>200801</v>
      </c>
      <c r="F403" s="7">
        <f>B403&amp;C403&amp;D403&amp;E403</f>
        <v/>
      </c>
      <c r="G403" s="6" t="n">
        <v>37780</v>
      </c>
      <c r="H403" s="27" t="n">
        <v>0.03</v>
      </c>
      <c r="I403" s="6" t="n">
        <v>3045</v>
      </c>
      <c r="J403" s="87" t="inlineStr">
        <is>
          <t>฿1,000</t>
        </is>
      </c>
    </row>
    <row r="404" hidden="1" s="93">
      <c r="B404" s="5" t="inlineStr">
        <is>
          <t>쇼피태국</t>
        </is>
      </c>
      <c r="C404" s="6" t="inlineStr">
        <is>
          <t>앰플</t>
        </is>
      </c>
      <c r="D404" s="6" t="inlineStr">
        <is>
          <t>앰플 30ml</t>
        </is>
      </c>
      <c r="E404" s="6" t="n">
        <v>200801</v>
      </c>
      <c r="F404" s="7">
        <f>B404&amp;C404&amp;D404&amp;E404</f>
        <v/>
      </c>
      <c r="G404" s="6" t="n">
        <v>32900</v>
      </c>
      <c r="H404" s="27" t="n">
        <v>0.03</v>
      </c>
      <c r="I404" s="6" t="n">
        <v>3397</v>
      </c>
      <c r="J404" s="87" t="inlineStr">
        <is>
          <t>฿870</t>
        </is>
      </c>
    </row>
    <row r="405" hidden="1" s="93">
      <c r="B405" s="5" t="inlineStr">
        <is>
          <t>큐텐싱가폴</t>
        </is>
      </c>
      <c r="C405" s="6" t="inlineStr">
        <is>
          <t>토너</t>
        </is>
      </c>
      <c r="D405" s="6" t="inlineStr">
        <is>
          <t>500ml</t>
        </is>
      </c>
      <c r="E405" s="6" t="n">
        <v>200801</v>
      </c>
      <c r="F405" s="7">
        <f>B405&amp;C405&amp;D405&amp;E405</f>
        <v/>
      </c>
      <c r="G405" s="6" t="n">
        <v>44900</v>
      </c>
      <c r="H405" s="27" t="n">
        <v>0.11</v>
      </c>
      <c r="I405" s="6" t="n">
        <v>4330</v>
      </c>
      <c r="J405" s="87" t="inlineStr">
        <is>
          <t>S$51.9</t>
        </is>
      </c>
    </row>
    <row r="406" hidden="1" s="93">
      <c r="B406" s="5" t="inlineStr">
        <is>
          <t>큐텐싱가폴</t>
        </is>
      </c>
      <c r="C406" s="6" t="inlineStr">
        <is>
          <t>머드크림마스크</t>
        </is>
      </c>
      <c r="D406" s="6" t="inlineStr">
        <is>
          <t>머드크림마스크 100ml</t>
        </is>
      </c>
      <c r="E406" s="6" t="n">
        <v>200801</v>
      </c>
      <c r="F406" s="7">
        <f>B406&amp;C406&amp;D406&amp;E406</f>
        <v/>
      </c>
      <c r="G406" s="6" t="n">
        <v>25900</v>
      </c>
      <c r="H406" s="27" t="n">
        <v>0.11</v>
      </c>
      <c r="I406" s="6" t="n">
        <v>1442</v>
      </c>
      <c r="J406" s="87" t="inlineStr">
        <is>
          <t>S$29.9</t>
        </is>
      </c>
    </row>
    <row r="407">
      <c r="A407" s="9" t="n"/>
      <c r="B407" s="8" t="inlineStr">
        <is>
          <t>글로우데이즈 시코르</t>
        </is>
      </c>
      <c r="C407" s="9" t="inlineStr">
        <is>
          <t>선크림</t>
        </is>
      </c>
      <c r="D407" s="9" t="inlineStr">
        <is>
          <t>선크림=선크림 50ml</t>
        </is>
      </c>
      <c r="E407" s="9" t="n">
        <v>200801</v>
      </c>
      <c r="F407" s="7">
        <f>B407&amp;C407&amp;D407&amp;E407</f>
        <v/>
      </c>
      <c r="G407" s="9" t="n">
        <v>11250</v>
      </c>
      <c r="H407" s="22" t="n">
        <v>0</v>
      </c>
      <c r="I407" s="9" t="n">
        <v>2345</v>
      </c>
      <c r="J407" s="17" t="inlineStr">
        <is>
          <t>(45%)납품가</t>
        </is>
      </c>
    </row>
    <row r="408" hidden="1" s="93">
      <c r="B408" s="10" t="inlineStr">
        <is>
          <t>큐텐재팬</t>
        </is>
      </c>
      <c r="C408" s="18" t="inlineStr">
        <is>
          <t>토너</t>
        </is>
      </c>
      <c r="D408" s="18" t="inlineStr">
        <is>
          <t>200726=250ml</t>
        </is>
      </c>
      <c r="E408" s="18" t="n">
        <v>200801</v>
      </c>
      <c r="F408" s="7">
        <f>B408&amp;C408&amp;D408&amp;E408</f>
        <v/>
      </c>
      <c r="G408" s="18" t="n">
        <v>33000</v>
      </c>
      <c r="H408" s="27" t="n">
        <v>0.11</v>
      </c>
      <c r="I408" s="6" t="n">
        <v>3080</v>
      </c>
      <c r="J408" s="87" t="inlineStr">
        <is>
          <t>2,950円</t>
        </is>
      </c>
    </row>
    <row r="409" hidden="1" s="93">
      <c r="B409" s="10" t="inlineStr">
        <is>
          <t>큐텐재팬</t>
        </is>
      </c>
      <c r="C409" s="18" t="inlineStr">
        <is>
          <t>마스크팩</t>
        </is>
      </c>
      <c r="D409" s="18" t="inlineStr">
        <is>
          <t>200726=마스크팩 10매</t>
        </is>
      </c>
      <c r="E409" s="18" t="n">
        <v>200801</v>
      </c>
      <c r="F409" s="7">
        <f>B409&amp;C409&amp;D409&amp;E409</f>
        <v/>
      </c>
      <c r="G409" s="18" t="n">
        <v>36000</v>
      </c>
      <c r="H409" s="27" t="n">
        <v>0.11</v>
      </c>
      <c r="I409" s="6" t="n">
        <v>3970</v>
      </c>
      <c r="J409" s="87" t="inlineStr">
        <is>
          <t>3,178円</t>
        </is>
      </c>
    </row>
    <row r="410" hidden="1" s="93">
      <c r="B410" s="10" t="inlineStr">
        <is>
          <t>큐텐재팬</t>
        </is>
      </c>
      <c r="C410" s="18" t="inlineStr">
        <is>
          <t>수딩크림</t>
        </is>
      </c>
      <c r="D410" s="18" t="inlineStr">
        <is>
          <t>200726=수딩크림 100ml</t>
        </is>
      </c>
      <c r="E410" s="18" t="n">
        <v>200801</v>
      </c>
      <c r="F410" s="7">
        <f>B410&amp;C410&amp;D410&amp;E410</f>
        <v/>
      </c>
      <c r="G410" s="18" t="n">
        <v>44000</v>
      </c>
      <c r="H410" s="27" t="n">
        <v>0.11</v>
      </c>
      <c r="I410" s="6" t="n">
        <v>4275</v>
      </c>
      <c r="J410" s="87" t="inlineStr">
        <is>
          <t>3,865円</t>
        </is>
      </c>
    </row>
    <row r="411" hidden="1" s="93">
      <c r="B411" s="10" t="inlineStr">
        <is>
          <t>큐텐재팬</t>
        </is>
      </c>
      <c r="C411" s="18" t="inlineStr">
        <is>
          <t>머드크림마스크</t>
        </is>
      </c>
      <c r="D411" s="18" t="inlineStr">
        <is>
          <t>200726=머드크림마스크 100ml</t>
        </is>
      </c>
      <c r="E411" s="18" t="n">
        <v>200801</v>
      </c>
      <c r="F411" s="7">
        <f>B411&amp;C411&amp;D411&amp;E411</f>
        <v/>
      </c>
      <c r="G411" s="18" t="n">
        <v>36000</v>
      </c>
      <c r="H411" s="27" t="n">
        <v>0.11</v>
      </c>
      <c r="I411" s="6" t="n">
        <v>1442</v>
      </c>
      <c r="J411" s="87" t="inlineStr">
        <is>
          <t>3,178円</t>
        </is>
      </c>
    </row>
    <row r="412" hidden="1" s="93">
      <c r="B412" s="10" t="inlineStr">
        <is>
          <t>큐텐재팬</t>
        </is>
      </c>
      <c r="C412" s="18" t="inlineStr">
        <is>
          <t>클렌징폼</t>
        </is>
      </c>
      <c r="D412" s="18" t="inlineStr">
        <is>
          <t>200726=클렌징폼 120ml</t>
        </is>
      </c>
      <c r="E412" s="18" t="n">
        <v>200801</v>
      </c>
      <c r="F412" s="7">
        <f>B412&amp;C412&amp;D412&amp;E412</f>
        <v/>
      </c>
      <c r="G412" s="18" t="n">
        <v>30000</v>
      </c>
      <c r="H412" s="27" t="n">
        <v>0.11</v>
      </c>
      <c r="I412" s="6" t="n">
        <v>2750</v>
      </c>
      <c r="J412" s="87" t="inlineStr">
        <is>
          <t>2,650円</t>
        </is>
      </c>
    </row>
    <row r="413" hidden="1" s="93">
      <c r="B413" s="10" t="inlineStr">
        <is>
          <t>큐텐재팬</t>
        </is>
      </c>
      <c r="C413" s="18" t="inlineStr">
        <is>
          <t>앰플</t>
        </is>
      </c>
      <c r="D413" s="18" t="inlineStr">
        <is>
          <t>200726=앰플 30ml</t>
        </is>
      </c>
      <c r="E413" s="18" t="n">
        <v>200801</v>
      </c>
      <c r="F413" s="7">
        <f>B413&amp;C413&amp;D413&amp;E413</f>
        <v/>
      </c>
      <c r="G413" s="18" t="n">
        <v>39000</v>
      </c>
      <c r="H413" s="27" t="n">
        <v>0.11</v>
      </c>
      <c r="I413" s="6" t="n">
        <v>3397</v>
      </c>
      <c r="J413" s="87" t="inlineStr">
        <is>
          <t>3,433円</t>
        </is>
      </c>
    </row>
    <row r="414" hidden="1" s="93">
      <c r="B414" s="10" t="inlineStr">
        <is>
          <t>큐텐재팬</t>
        </is>
      </c>
      <c r="C414" s="18" t="inlineStr">
        <is>
          <t>선크림</t>
        </is>
      </c>
      <c r="D414" s="18" t="inlineStr">
        <is>
          <t>200726=선크림 50ml</t>
        </is>
      </c>
      <c r="E414" s="18" t="n">
        <v>200801</v>
      </c>
      <c r="F414" s="7">
        <f>B414&amp;C414&amp;D414&amp;E414</f>
        <v/>
      </c>
      <c r="G414" s="18" t="n">
        <v>36000</v>
      </c>
      <c r="H414" s="27" t="n">
        <v>0.11</v>
      </c>
      <c r="I414" s="6" t="n">
        <v>2345</v>
      </c>
      <c r="J414" s="87" t="inlineStr">
        <is>
          <t>3,178円</t>
        </is>
      </c>
    </row>
    <row r="415" hidden="1" s="93">
      <c r="B415" s="10" t="inlineStr">
        <is>
          <t>큐텐재팬</t>
        </is>
      </c>
      <c r="C415" s="18" t="inlineStr">
        <is>
          <t>토너</t>
        </is>
      </c>
      <c r="D415" s="18" t="inlineStr">
        <is>
          <t>200726=250ml 2set</t>
        </is>
      </c>
      <c r="E415" s="18" t="n">
        <v>200801</v>
      </c>
      <c r="F415" s="7">
        <f>B415&amp;C415&amp;D415&amp;E415</f>
        <v/>
      </c>
      <c r="G415" s="18" t="n">
        <v>53000</v>
      </c>
      <c r="H415" s="27" t="n">
        <v>0.11</v>
      </c>
      <c r="I415" s="6" t="n">
        <v>6160</v>
      </c>
      <c r="J415" s="87" t="inlineStr">
        <is>
          <t>4,700円</t>
        </is>
      </c>
    </row>
    <row r="416" hidden="1" s="93">
      <c r="B416" s="10" t="inlineStr">
        <is>
          <t>큐텐싱가폴</t>
        </is>
      </c>
      <c r="C416" s="18" t="inlineStr">
        <is>
          <t>토너</t>
        </is>
      </c>
      <c r="D416" s="18" t="inlineStr">
        <is>
          <t>200726=250ml</t>
        </is>
      </c>
      <c r="E416" s="18" t="n">
        <v>200801</v>
      </c>
      <c r="F416" s="7">
        <f>B416&amp;C416&amp;D416&amp;E416</f>
        <v/>
      </c>
      <c r="G416" s="18" t="n">
        <v>26000</v>
      </c>
      <c r="H416" s="27" t="n">
        <v>0.11</v>
      </c>
      <c r="I416" s="6" t="n">
        <v>3080</v>
      </c>
      <c r="J416" s="87" t="inlineStr">
        <is>
          <t>S$29.9</t>
        </is>
      </c>
    </row>
    <row r="417" hidden="1" s="93">
      <c r="B417" s="10" t="inlineStr">
        <is>
          <t>큐텐싱가폴</t>
        </is>
      </c>
      <c r="C417" s="18" t="inlineStr">
        <is>
          <t>토너</t>
        </is>
      </c>
      <c r="D417" s="18" t="inlineStr">
        <is>
          <t>200726=500ml</t>
        </is>
      </c>
      <c r="E417" s="18" t="n">
        <v>200801</v>
      </c>
      <c r="F417" s="7">
        <f>B417&amp;C417&amp;D417&amp;E417</f>
        <v/>
      </c>
      <c r="G417" s="18" t="n">
        <v>45062</v>
      </c>
      <c r="H417" s="27" t="n">
        <v>0.11</v>
      </c>
      <c r="I417" s="6" t="n">
        <v>4330</v>
      </c>
      <c r="J417" s="87" t="inlineStr">
        <is>
          <t>S$51.9</t>
        </is>
      </c>
    </row>
    <row r="418" hidden="1" s="93">
      <c r="B418" s="10" t="inlineStr">
        <is>
          <t>큐텐싱가폴</t>
        </is>
      </c>
      <c r="C418" s="18" t="inlineStr">
        <is>
          <t>마스크팩</t>
        </is>
      </c>
      <c r="D418" s="18" t="inlineStr">
        <is>
          <t>200726=마스크팩 10매</t>
        </is>
      </c>
      <c r="E418" s="18" t="n">
        <v>200801</v>
      </c>
      <c r="F418" s="7">
        <f>B418&amp;C418&amp;D418&amp;E418</f>
        <v/>
      </c>
      <c r="G418" s="18" t="n">
        <v>103469</v>
      </c>
      <c r="H418" s="27" t="n">
        <v>0.11</v>
      </c>
      <c r="I418" s="6" t="n">
        <v>3970</v>
      </c>
      <c r="J418" s="87" t="inlineStr">
        <is>
          <t>S$119.17</t>
        </is>
      </c>
    </row>
    <row r="419" hidden="1" s="93">
      <c r="B419" s="10" t="inlineStr">
        <is>
          <t>큐텐싱가폴</t>
        </is>
      </c>
      <c r="C419" s="18" t="inlineStr">
        <is>
          <t>수딩크림</t>
        </is>
      </c>
      <c r="D419" s="18" t="inlineStr">
        <is>
          <t>200726=수딩크림 100ml</t>
        </is>
      </c>
      <c r="E419" s="18" t="n">
        <v>200801</v>
      </c>
      <c r="F419" s="7">
        <f>B419&amp;C419&amp;D419&amp;E419</f>
        <v/>
      </c>
      <c r="G419" s="18" t="n">
        <v>38984</v>
      </c>
      <c r="H419" s="27" t="n">
        <v>0.11</v>
      </c>
      <c r="I419" s="6" t="n">
        <v>4275</v>
      </c>
      <c r="J419" s="87" t="inlineStr">
        <is>
          <t>S$44.9</t>
        </is>
      </c>
    </row>
    <row r="420" hidden="1" s="93">
      <c r="B420" s="10" t="inlineStr">
        <is>
          <t>큐텐싱가폴</t>
        </is>
      </c>
      <c r="C420" s="18" t="inlineStr">
        <is>
          <t>머드크림마스크</t>
        </is>
      </c>
      <c r="D420" s="18" t="inlineStr">
        <is>
          <t>200726=머드크림마스크 100ml</t>
        </is>
      </c>
      <c r="E420" s="18" t="n">
        <v>200801</v>
      </c>
      <c r="F420" s="7">
        <f>B420&amp;C420&amp;D420&amp;E420</f>
        <v/>
      </c>
      <c r="G420" s="18" t="n">
        <v>25960</v>
      </c>
      <c r="H420" s="27" t="n">
        <v>0.11</v>
      </c>
      <c r="I420" s="6" t="n">
        <v>1442</v>
      </c>
      <c r="J420" s="87" t="inlineStr">
        <is>
          <t>S$29.9</t>
        </is>
      </c>
    </row>
    <row r="421" hidden="1" s="93">
      <c r="B421" s="10" t="inlineStr">
        <is>
          <t>큐텐싱가폴</t>
        </is>
      </c>
      <c r="C421" s="18" t="inlineStr">
        <is>
          <t>클렌징폼</t>
        </is>
      </c>
      <c r="D421" s="18" t="inlineStr">
        <is>
          <t>200726=클렌징폼 120ml</t>
        </is>
      </c>
      <c r="E421" s="18" t="n">
        <v>200801</v>
      </c>
      <c r="F421" s="7">
        <f>B421&amp;C421&amp;D421&amp;E421</f>
        <v/>
      </c>
      <c r="G421" s="18" t="n">
        <v>16409</v>
      </c>
      <c r="H421" s="27" t="n">
        <v>0.11</v>
      </c>
      <c r="I421" s="6" t="n">
        <v>2750</v>
      </c>
      <c r="J421" s="87" t="inlineStr">
        <is>
          <t>S$18.9</t>
        </is>
      </c>
    </row>
    <row r="422" hidden="1" s="93">
      <c r="B422" s="10" t="inlineStr">
        <is>
          <t>큐텐싱가폴</t>
        </is>
      </c>
      <c r="C422" s="18" t="inlineStr">
        <is>
          <t>앰플</t>
        </is>
      </c>
      <c r="D422" s="18" t="inlineStr">
        <is>
          <t>200726=앰플 30ml</t>
        </is>
      </c>
      <c r="E422" s="18" t="n">
        <v>200801</v>
      </c>
      <c r="F422" s="7">
        <f>B422&amp;C422&amp;D422&amp;E422</f>
        <v/>
      </c>
      <c r="G422" s="18" t="n">
        <v>33774</v>
      </c>
      <c r="H422" s="27" t="n">
        <v>0.11</v>
      </c>
      <c r="I422" s="6" t="n">
        <v>3397</v>
      </c>
      <c r="J422" s="87" t="inlineStr">
        <is>
          <t>S$38.9</t>
        </is>
      </c>
    </row>
    <row r="423" hidden="1" s="93">
      <c r="B423" s="10" t="inlineStr">
        <is>
          <t>큐텐싱가폴</t>
        </is>
      </c>
      <c r="C423" s="18" t="inlineStr">
        <is>
          <t>선크림</t>
        </is>
      </c>
      <c r="D423" s="18" t="inlineStr">
        <is>
          <t>200726=선크림 50ml</t>
        </is>
      </c>
      <c r="E423" s="18" t="n">
        <v>200801</v>
      </c>
      <c r="F423" s="7">
        <f>B423&amp;C423&amp;D423&amp;E423</f>
        <v/>
      </c>
      <c r="G423" s="18" t="n">
        <v>25960</v>
      </c>
      <c r="H423" s="27" t="n">
        <v>0.11</v>
      </c>
      <c r="I423" s="6" t="n">
        <v>2345</v>
      </c>
      <c r="J423" s="87" t="inlineStr">
        <is>
          <t>S$29.9</t>
        </is>
      </c>
    </row>
    <row r="424" hidden="1" s="93">
      <c r="B424" s="10" t="inlineStr">
        <is>
          <t>쇼피태국</t>
        </is>
      </c>
      <c r="C424" s="18" t="inlineStr">
        <is>
          <t>토너</t>
        </is>
      </c>
      <c r="D424" s="18" t="inlineStr">
        <is>
          <t>200726=250ml</t>
        </is>
      </c>
      <c r="E424" s="18" t="n">
        <v>200801</v>
      </c>
      <c r="F424" s="7">
        <f>B424&amp;C424&amp;D424&amp;E424</f>
        <v/>
      </c>
      <c r="G424" s="18" t="n">
        <v>25053</v>
      </c>
      <c r="H424" s="27" t="n">
        <v>0.03</v>
      </c>
      <c r="I424" s="6" t="n">
        <v>3080</v>
      </c>
      <c r="J424" s="87" t="inlineStr">
        <is>
          <t>฿660</t>
        </is>
      </c>
    </row>
    <row r="425" hidden="1" s="93">
      <c r="B425" s="10" t="inlineStr">
        <is>
          <t>쇼피태국</t>
        </is>
      </c>
      <c r="C425" s="18" t="inlineStr">
        <is>
          <t>토너</t>
        </is>
      </c>
      <c r="D425" s="18" t="inlineStr">
        <is>
          <t>200726=500ml</t>
        </is>
      </c>
      <c r="E425" s="18" t="n">
        <v>200801</v>
      </c>
      <c r="F425" s="7">
        <f>B425&amp;C425&amp;D425&amp;E425</f>
        <v/>
      </c>
      <c r="G425" s="18" t="n">
        <v>44792</v>
      </c>
      <c r="H425" s="27" t="n">
        <v>0.03</v>
      </c>
      <c r="I425" s="6" t="n">
        <v>4330</v>
      </c>
      <c r="J425" s="87" t="inlineStr">
        <is>
          <t>฿1,180</t>
        </is>
      </c>
    </row>
    <row r="426" hidden="1" s="93">
      <c r="B426" s="10" t="inlineStr">
        <is>
          <t>쇼피태국</t>
        </is>
      </c>
      <c r="C426" s="18" t="inlineStr">
        <is>
          <t>마스크팩</t>
        </is>
      </c>
      <c r="D426" s="18" t="inlineStr">
        <is>
          <t>200726=마스크팩 10매</t>
        </is>
      </c>
      <c r="E426" s="18" t="n">
        <v>200801</v>
      </c>
      <c r="F426" s="7">
        <f>B426&amp;C426&amp;D426&amp;E426</f>
        <v/>
      </c>
      <c r="G426" s="18" t="n">
        <v>39858</v>
      </c>
      <c r="H426" s="27" t="n">
        <v>0.03</v>
      </c>
      <c r="I426" s="6" t="n">
        <v>3970</v>
      </c>
      <c r="J426" s="87" t="inlineStr">
        <is>
          <t>฿1,050</t>
        </is>
      </c>
    </row>
    <row r="427" hidden="1" s="93">
      <c r="B427" s="10" t="inlineStr">
        <is>
          <t>쇼피태국</t>
        </is>
      </c>
      <c r="C427" s="18" t="inlineStr">
        <is>
          <t>수딩크림</t>
        </is>
      </c>
      <c r="D427" s="18" t="inlineStr">
        <is>
          <t>200726=수딩크림 100ml</t>
        </is>
      </c>
      <c r="E427" s="18" t="n">
        <v>200801</v>
      </c>
      <c r="F427" s="7">
        <f>B427&amp;C427&amp;D427&amp;E427</f>
        <v/>
      </c>
      <c r="G427" s="18" t="n">
        <v>37960</v>
      </c>
      <c r="H427" s="27" t="n">
        <v>0.03</v>
      </c>
      <c r="I427" s="6" t="n">
        <v>4275</v>
      </c>
      <c r="J427" s="87" t="inlineStr">
        <is>
          <t>฿1,000</t>
        </is>
      </c>
    </row>
    <row r="428" hidden="1" s="93">
      <c r="B428" s="10" t="inlineStr">
        <is>
          <t>쇼피태국</t>
        </is>
      </c>
      <c r="C428" s="18" t="inlineStr">
        <is>
          <t>머드크림마스크</t>
        </is>
      </c>
      <c r="D428" s="18" t="inlineStr">
        <is>
          <t>200726=머드크림마스크 100ml</t>
        </is>
      </c>
      <c r="E428" s="18" t="n">
        <v>200801</v>
      </c>
      <c r="F428" s="7">
        <f>B428&amp;C428&amp;D428&amp;E428</f>
        <v/>
      </c>
      <c r="G428" s="18" t="n">
        <v>25053</v>
      </c>
      <c r="H428" s="27" t="n">
        <v>0.03</v>
      </c>
      <c r="I428" s="6" t="n">
        <v>1442</v>
      </c>
      <c r="J428" s="87" t="inlineStr">
        <is>
          <t>฿660</t>
        </is>
      </c>
    </row>
    <row r="429" hidden="1" s="93">
      <c r="B429" s="10" t="inlineStr">
        <is>
          <t>쇼피태국</t>
        </is>
      </c>
      <c r="C429" s="18" t="inlineStr">
        <is>
          <t>클렌징폼</t>
        </is>
      </c>
      <c r="D429" s="18" t="inlineStr">
        <is>
          <t>200726=클렌징폼 120ml</t>
        </is>
      </c>
      <c r="E429" s="18" t="n">
        <v>200801</v>
      </c>
      <c r="F429" s="7">
        <f>B429&amp;C429&amp;D429&amp;E429</f>
        <v/>
      </c>
      <c r="G429" s="18" t="n">
        <v>15943</v>
      </c>
      <c r="H429" s="27" t="n">
        <v>0.03</v>
      </c>
      <c r="I429" s="6" t="n">
        <v>2750</v>
      </c>
      <c r="J429" s="87" t="inlineStr">
        <is>
          <t>฿420</t>
        </is>
      </c>
    </row>
    <row r="430" hidden="1" s="93">
      <c r="B430" s="10" t="inlineStr">
        <is>
          <t>쇼피태국</t>
        </is>
      </c>
      <c r="C430" s="18" t="inlineStr">
        <is>
          <t>앰플</t>
        </is>
      </c>
      <c r="D430" s="18" t="inlineStr">
        <is>
          <t>200726=앰플 30ml</t>
        </is>
      </c>
      <c r="E430" s="18" t="n">
        <v>200801</v>
      </c>
      <c r="F430" s="7">
        <f>B430&amp;C430&amp;D430&amp;E430</f>
        <v/>
      </c>
      <c r="G430" s="18" t="n">
        <v>33025</v>
      </c>
      <c r="H430" s="27" t="n">
        <v>0.03</v>
      </c>
      <c r="I430" s="6" t="n">
        <v>3397</v>
      </c>
      <c r="J430" s="87" t="inlineStr">
        <is>
          <t>฿870</t>
        </is>
      </c>
    </row>
    <row r="431" hidden="1" s="93">
      <c r="B431" s="10" t="inlineStr">
        <is>
          <t>쇼피태국</t>
        </is>
      </c>
      <c r="C431" s="18" t="inlineStr">
        <is>
          <t>선크림</t>
        </is>
      </c>
      <c r="D431" s="18" t="inlineStr">
        <is>
          <t>200726=선크림 50ml</t>
        </is>
      </c>
      <c r="E431" s="18" t="n">
        <v>200801</v>
      </c>
      <c r="F431" s="7">
        <f>B431&amp;C431&amp;D431&amp;E431</f>
        <v/>
      </c>
      <c r="G431" s="18" t="n">
        <v>25053</v>
      </c>
      <c r="H431" s="27" t="n">
        <v>0.03</v>
      </c>
      <c r="I431" s="6" t="n">
        <v>2345</v>
      </c>
      <c r="J431" s="87" t="inlineStr">
        <is>
          <t>฿660</t>
        </is>
      </c>
    </row>
    <row r="432" hidden="1" s="93">
      <c r="B432" s="10" t="inlineStr">
        <is>
          <t>쇼피태국</t>
        </is>
      </c>
      <c r="C432" s="18" t="inlineStr">
        <is>
          <t>토너</t>
        </is>
      </c>
      <c r="D432" s="18" t="inlineStr">
        <is>
          <t>200726=250ml 2set</t>
        </is>
      </c>
      <c r="E432" s="18" t="n">
        <v>200801</v>
      </c>
      <c r="F432" s="7">
        <f>B432&amp;C432&amp;D432&amp;E432</f>
        <v/>
      </c>
      <c r="G432" s="18" t="n">
        <v>47829</v>
      </c>
      <c r="H432" s="27" t="n">
        <v>0.03</v>
      </c>
      <c r="I432" s="6" t="n">
        <v>6160</v>
      </c>
      <c r="J432" s="87" t="inlineStr">
        <is>
          <t>฿1,260</t>
        </is>
      </c>
      <c r="L432" s="31" t="n"/>
    </row>
    <row r="433" hidden="1" s="93">
      <c r="B433" s="10" t="inlineStr">
        <is>
          <t>쇼피필리핀</t>
        </is>
      </c>
      <c r="C433" s="18" t="inlineStr">
        <is>
          <t>토너</t>
        </is>
      </c>
      <c r="D433" s="18" t="inlineStr">
        <is>
          <t>200726=250ml</t>
        </is>
      </c>
      <c r="E433" s="18" t="n">
        <v>200801</v>
      </c>
      <c r="F433" s="7">
        <f>B433&amp;C433&amp;D433&amp;E433</f>
        <v/>
      </c>
      <c r="G433" s="18" t="n">
        <v>26341</v>
      </c>
      <c r="H433" s="27" t="n">
        <v>0.06</v>
      </c>
      <c r="I433" s="6" t="n">
        <v>3080</v>
      </c>
      <c r="J433" s="32" t="inlineStr">
        <is>
          <t>₱1,080</t>
        </is>
      </c>
      <c r="K433" s="132" t="n"/>
      <c r="L433" s="31" t="n"/>
    </row>
    <row r="434" hidden="1" s="93">
      <c r="B434" s="10" t="inlineStr">
        <is>
          <t>쇼피필리핀</t>
        </is>
      </c>
      <c r="C434" s="18" t="inlineStr">
        <is>
          <t>토너</t>
        </is>
      </c>
      <c r="D434" s="18" t="inlineStr">
        <is>
          <t>200726=500ml</t>
        </is>
      </c>
      <c r="E434" s="18" t="n">
        <v>200801</v>
      </c>
      <c r="F434" s="7">
        <f>B434&amp;C434&amp;D434&amp;E434</f>
        <v/>
      </c>
      <c r="G434" s="18" t="n">
        <v>45853</v>
      </c>
      <c r="H434" s="27" t="n">
        <v>0.06</v>
      </c>
      <c r="I434" s="6" t="n">
        <v>4330</v>
      </c>
      <c r="J434" s="32" t="inlineStr">
        <is>
          <t>₱1,880</t>
        </is>
      </c>
      <c r="K434" s="132" t="n"/>
      <c r="L434" s="31" t="n"/>
    </row>
    <row r="435" hidden="1" s="93">
      <c r="B435" s="10" t="inlineStr">
        <is>
          <t>쇼피필리핀</t>
        </is>
      </c>
      <c r="C435" s="18" t="inlineStr">
        <is>
          <t>마스크팩</t>
        </is>
      </c>
      <c r="D435" s="18" t="inlineStr">
        <is>
          <t>200726=마스크팩 10매</t>
        </is>
      </c>
      <c r="E435" s="18" t="n">
        <v>200801</v>
      </c>
      <c r="F435" s="7">
        <f>B435&amp;C435&amp;D435&amp;E435</f>
        <v/>
      </c>
      <c r="G435" s="18" t="n">
        <v>44877</v>
      </c>
      <c r="H435" s="27" t="n">
        <v>0.06</v>
      </c>
      <c r="I435" s="6" t="n">
        <v>3970</v>
      </c>
      <c r="J435" s="32" t="inlineStr">
        <is>
          <t>₱1,840</t>
        </is>
      </c>
      <c r="K435" s="132" t="n"/>
      <c r="L435" s="31" t="n"/>
    </row>
    <row r="436" hidden="1" s="93">
      <c r="B436" s="10" t="inlineStr">
        <is>
          <t>쇼피필리핀</t>
        </is>
      </c>
      <c r="C436" s="18" t="inlineStr">
        <is>
          <t>수딩크림</t>
        </is>
      </c>
      <c r="D436" s="18" t="inlineStr">
        <is>
          <t>200726=수딩크림 100ml</t>
        </is>
      </c>
      <c r="E436" s="18" t="n">
        <v>200801</v>
      </c>
      <c r="F436" s="7">
        <f>B436&amp;C436&amp;D436&amp;E436</f>
        <v/>
      </c>
      <c r="G436" s="18" t="n">
        <v>39024</v>
      </c>
      <c r="H436" s="27" t="n">
        <v>0.06</v>
      </c>
      <c r="I436" s="6" t="n">
        <v>4275</v>
      </c>
      <c r="J436" s="32" t="inlineStr">
        <is>
          <t>₱1,600</t>
        </is>
      </c>
      <c r="K436" s="132" t="n"/>
      <c r="L436" s="31" t="n"/>
    </row>
    <row r="437" hidden="1" s="93">
      <c r="B437" s="10" t="inlineStr">
        <is>
          <t>쇼피필리핀</t>
        </is>
      </c>
      <c r="C437" s="18" t="inlineStr">
        <is>
          <t>머드크림마스크</t>
        </is>
      </c>
      <c r="D437" s="18" t="inlineStr">
        <is>
          <t>200726=머드크림마스크 100ml</t>
        </is>
      </c>
      <c r="E437" s="18" t="n">
        <v>200801</v>
      </c>
      <c r="F437" s="7">
        <f>B437&amp;C437&amp;D437&amp;E437</f>
        <v/>
      </c>
      <c r="G437" s="18" t="n">
        <v>26097</v>
      </c>
      <c r="H437" s="27" t="n">
        <v>0.06</v>
      </c>
      <c r="I437" s="6" t="n">
        <v>1442</v>
      </c>
      <c r="J437" s="32" t="inlineStr">
        <is>
          <t>₱1,070</t>
        </is>
      </c>
      <c r="K437" s="132" t="n"/>
    </row>
    <row r="438" hidden="1" s="93">
      <c r="B438" s="10" t="inlineStr">
        <is>
          <t>쇼피필리핀</t>
        </is>
      </c>
      <c r="C438" s="18" t="inlineStr">
        <is>
          <t>클렌징폼</t>
        </is>
      </c>
      <c r="D438" s="18" t="inlineStr">
        <is>
          <t>200726=클렌징폼 120ml</t>
        </is>
      </c>
      <c r="E438" s="18" t="n">
        <v>200801</v>
      </c>
      <c r="F438" s="7">
        <f>B438&amp;C438&amp;D438&amp;E438</f>
        <v/>
      </c>
      <c r="G438" s="18" t="n">
        <v>16829</v>
      </c>
      <c r="H438" s="27" t="n">
        <v>0.06</v>
      </c>
      <c r="I438" s="6" t="n">
        <v>2750</v>
      </c>
      <c r="J438" s="32" t="inlineStr">
        <is>
          <t>₱690</t>
        </is>
      </c>
      <c r="K438" s="132" t="n"/>
    </row>
    <row r="439" hidden="1" s="93">
      <c r="B439" s="10" t="inlineStr">
        <is>
          <t>쇼피필리핀</t>
        </is>
      </c>
      <c r="C439" s="18" t="inlineStr">
        <is>
          <t>앰플</t>
        </is>
      </c>
      <c r="D439" s="18" t="inlineStr">
        <is>
          <t>200726=앰플 30ml</t>
        </is>
      </c>
      <c r="E439" s="18" t="n">
        <v>200801</v>
      </c>
      <c r="F439" s="7">
        <f>B439&amp;C439&amp;D439&amp;E439</f>
        <v/>
      </c>
      <c r="G439" s="18" t="n">
        <v>34146</v>
      </c>
      <c r="H439" s="27" t="n">
        <v>0.06</v>
      </c>
      <c r="I439" s="6" t="n">
        <v>3397</v>
      </c>
      <c r="J439" s="32" t="inlineStr">
        <is>
          <t>₱1,400</t>
        </is>
      </c>
      <c r="K439" s="132" t="n"/>
    </row>
    <row r="440" hidden="1" s="93">
      <c r="B440" s="10" t="inlineStr">
        <is>
          <t>쇼피필리핀</t>
        </is>
      </c>
      <c r="C440" s="18" t="inlineStr">
        <is>
          <t>선크림</t>
        </is>
      </c>
      <c r="D440" s="18" t="inlineStr">
        <is>
          <t>200726=선크림 50ml</t>
        </is>
      </c>
      <c r="E440" s="18" t="n">
        <v>200801</v>
      </c>
      <c r="F440" s="7">
        <f>B440&amp;C440&amp;D440&amp;E440</f>
        <v/>
      </c>
      <c r="G440" s="18" t="n">
        <v>26097</v>
      </c>
      <c r="H440" s="27" t="n">
        <v>0.06</v>
      </c>
      <c r="I440" s="6" t="n">
        <v>2345</v>
      </c>
      <c r="J440" s="32" t="inlineStr">
        <is>
          <t>₱1,070</t>
        </is>
      </c>
      <c r="K440" s="132" t="n"/>
    </row>
    <row r="441" hidden="1" s="93">
      <c r="B441" s="10" t="inlineStr">
        <is>
          <t>쇼피필리핀</t>
        </is>
      </c>
      <c r="C441" s="18" t="inlineStr">
        <is>
          <t>토너</t>
        </is>
      </c>
      <c r="D441" s="18" t="inlineStr">
        <is>
          <t>200726=250ml 2set</t>
        </is>
      </c>
      <c r="E441" s="18" t="n">
        <v>200801</v>
      </c>
      <c r="F441" s="7">
        <f>B441&amp;C441&amp;D441&amp;E441</f>
        <v/>
      </c>
      <c r="G441" s="18" t="n">
        <v>45853</v>
      </c>
      <c r="H441" s="27" t="n">
        <v>0.06</v>
      </c>
      <c r="I441" s="6" t="n">
        <v>6160</v>
      </c>
      <c r="J441" s="32" t="inlineStr">
        <is>
          <t>₱1,880</t>
        </is>
      </c>
      <c r="K441" s="132" t="n"/>
    </row>
    <row r="442" hidden="1" s="93">
      <c r="B442" s="10" t="inlineStr">
        <is>
          <t>쇼피필리핀</t>
        </is>
      </c>
      <c r="C442" s="18" t="inlineStr">
        <is>
          <t>토너</t>
        </is>
      </c>
      <c r="D442" s="18" t="inlineStr">
        <is>
          <t>200726=500ml 2set</t>
        </is>
      </c>
      <c r="E442" s="18" t="n">
        <v>200801</v>
      </c>
      <c r="F442" s="7">
        <f>B442&amp;C442&amp;D442&amp;E442</f>
        <v/>
      </c>
      <c r="G442" s="18" t="n">
        <v>82926</v>
      </c>
      <c r="H442" s="27" t="n">
        <v>0.06</v>
      </c>
      <c r="I442" s="6" t="n">
        <v>8660</v>
      </c>
      <c r="J442" s="32" t="inlineStr">
        <is>
          <t>₱3,400</t>
        </is>
      </c>
      <c r="K442" s="132" t="n"/>
    </row>
    <row r="443" hidden="1" s="93">
      <c r="B443" s="33" t="inlineStr">
        <is>
          <t>쇼피태국</t>
        </is>
      </c>
      <c r="C443" s="24" t="inlineStr">
        <is>
          <t>토너</t>
        </is>
      </c>
      <c r="D443" s="26" t="inlineStr">
        <is>
          <t>200728=250ml = 화장솜 60P</t>
        </is>
      </c>
      <c r="E443" s="25" t="n">
        <v>200801</v>
      </c>
      <c r="F443" s="7">
        <f>B443&amp;C443&amp;D443&amp;E443</f>
        <v/>
      </c>
      <c r="G443" s="133" t="n">
        <v>3000</v>
      </c>
      <c r="H443" s="27" t="n">
        <v>0.03</v>
      </c>
      <c r="I443" s="6" t="n">
        <v>1110</v>
      </c>
      <c r="J443" s="32" t="inlineStr">
        <is>
          <t>฿80</t>
        </is>
      </c>
      <c r="K443" s="132" t="n"/>
    </row>
    <row r="444" hidden="1" s="93">
      <c r="B444" s="33" t="inlineStr">
        <is>
          <t>쇼피태국</t>
        </is>
      </c>
      <c r="C444" s="24" t="inlineStr">
        <is>
          <t>토너</t>
        </is>
      </c>
      <c r="D444" s="26" t="inlineStr">
        <is>
          <t>200728=250ml = 화장솜 60P X 2</t>
        </is>
      </c>
      <c r="E444" s="25" t="n">
        <v>200801</v>
      </c>
      <c r="F444" s="7">
        <f>B444&amp;C444&amp;D444&amp;E444</f>
        <v/>
      </c>
      <c r="G444" s="133" t="n">
        <v>7200</v>
      </c>
      <c r="H444" s="27" t="n">
        <v>0.03</v>
      </c>
      <c r="I444" s="6" t="n">
        <v>2220</v>
      </c>
      <c r="J444" s="32" t="inlineStr">
        <is>
          <t>฿190</t>
        </is>
      </c>
      <c r="K444" s="132" t="n"/>
    </row>
    <row r="445" hidden="1" s="93">
      <c r="B445" s="33" t="inlineStr">
        <is>
          <t>쇼피태국</t>
        </is>
      </c>
      <c r="C445" s="24" t="inlineStr">
        <is>
          <t>토너</t>
        </is>
      </c>
      <c r="D445" s="26" t="inlineStr">
        <is>
          <t>200728=250ml 2set = 화장솜 60P</t>
        </is>
      </c>
      <c r="E445" s="25" t="n">
        <v>200801</v>
      </c>
      <c r="F445" s="7">
        <f>B445&amp;C445&amp;D445&amp;E445</f>
        <v/>
      </c>
      <c r="G445" s="133" t="n">
        <v>4200</v>
      </c>
      <c r="H445" s="27" t="n">
        <v>0.03</v>
      </c>
      <c r="I445" s="6" t="n">
        <v>1110</v>
      </c>
      <c r="J445" s="32" t="inlineStr">
        <is>
          <t>฿110</t>
        </is>
      </c>
      <c r="K445" s="132" t="n"/>
    </row>
    <row r="446" hidden="1" s="93">
      <c r="B446" s="33" t="inlineStr">
        <is>
          <t>쇼피태국</t>
        </is>
      </c>
      <c r="C446" s="24" t="inlineStr">
        <is>
          <t>토너</t>
        </is>
      </c>
      <c r="D446" s="26" t="inlineStr">
        <is>
          <t>200728=250ml 2set = 화장솜 60P X 2</t>
        </is>
      </c>
      <c r="E446" s="25" t="n">
        <v>200801</v>
      </c>
      <c r="F446" s="7">
        <f>B446&amp;C446&amp;D446&amp;E446</f>
        <v/>
      </c>
      <c r="G446" s="133" t="n">
        <v>8400</v>
      </c>
      <c r="H446" s="27" t="n">
        <v>0.03</v>
      </c>
      <c r="I446" s="6" t="n">
        <v>2220</v>
      </c>
      <c r="J446" s="32" t="inlineStr">
        <is>
          <t>฿220</t>
        </is>
      </c>
      <c r="K446" s="132" t="n"/>
    </row>
    <row r="447" hidden="1" s="93">
      <c r="B447" s="33" t="inlineStr">
        <is>
          <t>쇼피태국</t>
        </is>
      </c>
      <c r="C447" s="24" t="inlineStr">
        <is>
          <t>토너</t>
        </is>
      </c>
      <c r="D447" s="26" t="inlineStr">
        <is>
          <t>200728=500ml = 화장솜 60P</t>
        </is>
      </c>
      <c r="E447" s="25" t="n">
        <v>200801</v>
      </c>
      <c r="F447" s="7">
        <f>B447&amp;C447&amp;D447&amp;E447</f>
        <v/>
      </c>
      <c r="G447" s="133" t="n">
        <v>4200</v>
      </c>
      <c r="H447" s="27" t="n">
        <v>0.03</v>
      </c>
      <c r="I447" s="6" t="n">
        <v>1110</v>
      </c>
      <c r="J447" s="32" t="inlineStr">
        <is>
          <t>฿110</t>
        </is>
      </c>
      <c r="K447" s="132" t="n"/>
    </row>
    <row r="448" hidden="1" s="93">
      <c r="B448" s="33" t="inlineStr">
        <is>
          <t>쇼피태국</t>
        </is>
      </c>
      <c r="C448" s="24" t="inlineStr">
        <is>
          <t>토너</t>
        </is>
      </c>
      <c r="D448" s="26" t="inlineStr">
        <is>
          <t>200728=500ml = 화장솜 60P X 2</t>
        </is>
      </c>
      <c r="E448" s="25" t="n">
        <v>200801</v>
      </c>
      <c r="F448" s="7">
        <f>B448&amp;C448&amp;D448&amp;E448</f>
        <v/>
      </c>
      <c r="G448" s="133" t="n">
        <v>8400</v>
      </c>
      <c r="H448" s="27" t="n">
        <v>0.03</v>
      </c>
      <c r="I448" s="6" t="n">
        <v>2220</v>
      </c>
      <c r="J448" s="32" t="inlineStr">
        <is>
          <t>฿220</t>
        </is>
      </c>
      <c r="K448" s="132" t="n"/>
    </row>
    <row r="449">
      <c r="B449" s="6" t="inlineStr">
        <is>
          <t>랄라블라</t>
        </is>
      </c>
      <c r="C449" s="6" t="inlineStr">
        <is>
          <t>마스크팩</t>
        </is>
      </c>
      <c r="D449" s="6" t="inlineStr">
        <is>
          <t>마스크 5+1 기획세트</t>
        </is>
      </c>
      <c r="E449" s="6" t="n">
        <v>200801</v>
      </c>
      <c r="F449" s="7">
        <f>B449&amp;C449&amp;D449&amp;E449</f>
        <v/>
      </c>
      <c r="G449" s="6" t="n">
        <v>5597</v>
      </c>
      <c r="H449" s="27" t="n">
        <v>0</v>
      </c>
      <c r="I449" s="62" t="n">
        <v>2660</v>
      </c>
    </row>
    <row r="450" hidden="1" s="93">
      <c r="B450" s="34" t="inlineStr">
        <is>
          <t>큐텐싱가폴</t>
        </is>
      </c>
      <c r="C450" s="20" t="inlineStr">
        <is>
          <t>토너</t>
        </is>
      </c>
      <c r="D450" s="23" t="inlineStr">
        <is>
          <t>200726=250ml = 화장솜 60P</t>
        </is>
      </c>
      <c r="E450" s="21" t="n">
        <v>200801</v>
      </c>
      <c r="F450" s="7">
        <f>B450&amp;C450&amp;D450&amp;E450</f>
        <v/>
      </c>
      <c r="G450" s="134" t="n">
        <v>4341</v>
      </c>
      <c r="H450" s="27" t="n">
        <v>0.11</v>
      </c>
      <c r="I450" s="6" t="n">
        <v>1110</v>
      </c>
      <c r="J450" s="32" t="inlineStr">
        <is>
          <t>S$5</t>
        </is>
      </c>
      <c r="K450" s="132" t="n"/>
    </row>
    <row r="451" hidden="1" s="93">
      <c r="B451" s="35" t="inlineStr">
        <is>
          <t>쇼피말레이시아</t>
        </is>
      </c>
      <c r="C451" s="36" t="inlineStr">
        <is>
          <t>토너</t>
        </is>
      </c>
      <c r="D451" s="37" t="inlineStr">
        <is>
          <t>200812=250ml</t>
        </is>
      </c>
      <c r="E451" s="38" t="n">
        <v>200801</v>
      </c>
      <c r="F451" s="7">
        <f>B451&amp;C451&amp;D451&amp;E451</f>
        <v/>
      </c>
      <c r="G451" s="38" t="n">
        <v>22593</v>
      </c>
      <c r="H451" s="27" t="n">
        <v>0.06</v>
      </c>
      <c r="I451" s="6" t="n">
        <v>3080</v>
      </c>
      <c r="J451" s="32" t="inlineStr">
        <is>
          <t>RM 79.99</t>
        </is>
      </c>
      <c r="K451" s="132" t="n"/>
    </row>
    <row r="452" hidden="1" s="93">
      <c r="B452" s="35" t="inlineStr">
        <is>
          <t>쇼피말레이시아</t>
        </is>
      </c>
      <c r="C452" s="36" t="inlineStr">
        <is>
          <t>토너</t>
        </is>
      </c>
      <c r="D452" s="37" t="inlineStr">
        <is>
          <t>200812=500ml</t>
        </is>
      </c>
      <c r="E452" s="38" t="n">
        <v>200801</v>
      </c>
      <c r="F452" s="7">
        <f>B452&amp;C452&amp;D452&amp;E452</f>
        <v/>
      </c>
      <c r="G452" s="38" t="n">
        <v>45189</v>
      </c>
      <c r="H452" s="27" t="n">
        <v>0.06</v>
      </c>
      <c r="I452" s="6" t="n">
        <v>4330</v>
      </c>
      <c r="J452" s="32" t="inlineStr">
        <is>
          <t>RM 159.99</t>
        </is>
      </c>
      <c r="K452" s="132" t="n"/>
    </row>
    <row r="453" hidden="1" s="93">
      <c r="B453" s="35" t="inlineStr">
        <is>
          <t>쇼피말레이시아</t>
        </is>
      </c>
      <c r="C453" s="36" t="inlineStr">
        <is>
          <t>마스크팩</t>
        </is>
      </c>
      <c r="D453" s="36" t="inlineStr">
        <is>
          <t>200812=마스크팩 10매</t>
        </is>
      </c>
      <c r="E453" s="38" t="n">
        <v>200801</v>
      </c>
      <c r="F453" s="7">
        <f>B453&amp;C453&amp;D453&amp;E453</f>
        <v/>
      </c>
      <c r="G453" s="38" t="n">
        <v>39540</v>
      </c>
      <c r="H453" s="27" t="n">
        <v>0.06</v>
      </c>
      <c r="I453" s="135" t="n">
        <v>3970</v>
      </c>
      <c r="J453" s="32" t="inlineStr">
        <is>
          <t>RM 139.99</t>
        </is>
      </c>
      <c r="K453" s="132" t="n"/>
    </row>
    <row r="454" hidden="1" s="93">
      <c r="B454" s="35" t="inlineStr">
        <is>
          <t>쇼피말레이시아</t>
        </is>
      </c>
      <c r="C454" s="36" t="inlineStr">
        <is>
          <t>수딩크림</t>
        </is>
      </c>
      <c r="D454" s="36" t="inlineStr">
        <is>
          <t>200812=수딩크림 100ml</t>
        </is>
      </c>
      <c r="E454" s="38" t="n">
        <v>200801</v>
      </c>
      <c r="F454" s="7">
        <f>B454&amp;C454&amp;D454&amp;E454</f>
        <v/>
      </c>
      <c r="G454" s="38" t="n">
        <v>36715</v>
      </c>
      <c r="H454" s="27" t="n">
        <v>0.06</v>
      </c>
      <c r="I454" s="135" t="n">
        <v>4275</v>
      </c>
      <c r="J454" s="32" t="inlineStr">
        <is>
          <t>RM 129.99</t>
        </is>
      </c>
      <c r="K454" s="132" t="n"/>
    </row>
    <row r="455" hidden="1" s="93">
      <c r="B455" s="35" t="inlineStr">
        <is>
          <t>쇼피말레이시아</t>
        </is>
      </c>
      <c r="C455" s="36" t="inlineStr">
        <is>
          <t>머드크림마스크</t>
        </is>
      </c>
      <c r="D455" s="36" t="inlineStr">
        <is>
          <t>200812=머드크림마스크 100ml</t>
        </is>
      </c>
      <c r="E455" s="38" t="n">
        <v>200801</v>
      </c>
      <c r="F455" s="7">
        <f>B455&amp;C455&amp;D455&amp;E455</f>
        <v/>
      </c>
      <c r="G455" s="38" t="n">
        <v>24005</v>
      </c>
      <c r="H455" s="27" t="n">
        <v>0.06</v>
      </c>
      <c r="I455" s="135" t="n">
        <v>1442</v>
      </c>
      <c r="J455" s="32" t="inlineStr">
        <is>
          <t>RM 84.99</t>
        </is>
      </c>
      <c r="K455" s="132" t="n"/>
    </row>
    <row r="456" hidden="1" s="93">
      <c r="B456" s="35" t="inlineStr">
        <is>
          <t>쇼피말레이시아</t>
        </is>
      </c>
      <c r="C456" s="36" t="inlineStr">
        <is>
          <t>앰플</t>
        </is>
      </c>
      <c r="D456" s="36" t="inlineStr">
        <is>
          <t>200812=앰플 30ml</t>
        </is>
      </c>
      <c r="E456" s="38" t="n">
        <v>200801</v>
      </c>
      <c r="F456" s="7">
        <f>B456&amp;C456&amp;D456&amp;E456</f>
        <v/>
      </c>
      <c r="G456" s="38" t="n">
        <v>31066</v>
      </c>
      <c r="H456" s="27" t="n">
        <v>0.06</v>
      </c>
      <c r="I456" s="135" t="n">
        <v>3397</v>
      </c>
      <c r="J456" s="32" t="inlineStr">
        <is>
          <t>RM 109.99</t>
        </is>
      </c>
      <c r="K456" s="132" t="n"/>
    </row>
    <row r="457" hidden="1" s="93">
      <c r="B457" s="35" t="inlineStr">
        <is>
          <t>쇼피말레이시아</t>
        </is>
      </c>
      <c r="C457" s="36" t="inlineStr">
        <is>
          <t>선크림</t>
        </is>
      </c>
      <c r="D457" s="36" t="inlineStr">
        <is>
          <t>200812=선크림 50ml</t>
        </is>
      </c>
      <c r="E457" s="38" t="n">
        <v>200801</v>
      </c>
      <c r="F457" s="7">
        <f>B457&amp;C457&amp;D457&amp;E457</f>
        <v/>
      </c>
      <c r="G457" s="38" t="n">
        <v>25417</v>
      </c>
      <c r="H457" s="27" t="n">
        <v>0.06</v>
      </c>
      <c r="I457" s="135" t="n">
        <v>2345</v>
      </c>
      <c r="J457" s="32" t="inlineStr">
        <is>
          <t>RM 89.99</t>
        </is>
      </c>
      <c r="K457" s="132" t="n"/>
    </row>
    <row r="458" hidden="1" s="93">
      <c r="B458" s="35" t="inlineStr">
        <is>
          <t>쇼피태국</t>
        </is>
      </c>
      <c r="C458" s="36" t="inlineStr">
        <is>
          <t>토너</t>
        </is>
      </c>
      <c r="D458" s="36" t="inlineStr">
        <is>
          <t>200812=250ml</t>
        </is>
      </c>
      <c r="E458" s="38" t="n">
        <v>200801</v>
      </c>
      <c r="F458" s="7">
        <f>B458&amp;C458&amp;D458&amp;E458</f>
        <v/>
      </c>
      <c r="G458" s="136" t="n">
        <v>24771</v>
      </c>
      <c r="H458" s="27" t="n">
        <v>0.03</v>
      </c>
      <c r="I458" s="6" t="n">
        <v>3080</v>
      </c>
      <c r="J458" s="32" t="inlineStr">
        <is>
          <t>฿650</t>
        </is>
      </c>
      <c r="K458" s="132" t="n"/>
    </row>
    <row r="459" hidden="1" s="93">
      <c r="B459" s="35" t="inlineStr">
        <is>
          <t>쇼피태국</t>
        </is>
      </c>
      <c r="C459" s="36" t="inlineStr">
        <is>
          <t>토너</t>
        </is>
      </c>
      <c r="D459" s="36" t="inlineStr">
        <is>
          <t>200812=500ml</t>
        </is>
      </c>
      <c r="E459" s="38" t="n">
        <v>200801</v>
      </c>
      <c r="F459" s="7">
        <f>B459&amp;C459&amp;D459&amp;E459</f>
        <v/>
      </c>
      <c r="G459" s="136" t="n">
        <v>44969</v>
      </c>
      <c r="H459" s="27" t="n">
        <v>0.03</v>
      </c>
      <c r="I459" s="6" t="n">
        <v>4330</v>
      </c>
      <c r="J459" s="32" t="inlineStr">
        <is>
          <t>฿1,180</t>
        </is>
      </c>
      <c r="K459" s="132" t="n"/>
    </row>
    <row r="460" hidden="1" s="93">
      <c r="B460" s="35" t="inlineStr">
        <is>
          <t>쇼피태국</t>
        </is>
      </c>
      <c r="C460" s="36" t="inlineStr">
        <is>
          <t>마스크팩</t>
        </is>
      </c>
      <c r="D460" s="36" t="inlineStr">
        <is>
          <t>200812=마스크팩 10매</t>
        </is>
      </c>
      <c r="E460" s="38" t="n">
        <v>200801</v>
      </c>
      <c r="F460" s="7">
        <f>B460&amp;C460&amp;D460&amp;E460</f>
        <v/>
      </c>
      <c r="G460" s="136" t="n">
        <v>40015</v>
      </c>
      <c r="H460" s="27" t="n">
        <v>0.03</v>
      </c>
      <c r="I460" s="135" t="n">
        <v>3970</v>
      </c>
      <c r="J460" s="32" t="inlineStr">
        <is>
          <t>฿1,050</t>
        </is>
      </c>
      <c r="K460" s="132" t="n"/>
    </row>
    <row r="461" hidden="1" s="93">
      <c r="B461" s="35" t="inlineStr">
        <is>
          <t>쇼피태국</t>
        </is>
      </c>
      <c r="C461" s="36" t="inlineStr">
        <is>
          <t>수딩크림</t>
        </is>
      </c>
      <c r="D461" s="36" t="inlineStr">
        <is>
          <t>200812=수딩크림 100ml</t>
        </is>
      </c>
      <c r="E461" s="38" t="n">
        <v>200801</v>
      </c>
      <c r="F461" s="7">
        <f>B461&amp;C461&amp;D461&amp;E461</f>
        <v/>
      </c>
      <c r="G461" s="136" t="n">
        <v>38110</v>
      </c>
      <c r="H461" s="27" t="n">
        <v>0.03</v>
      </c>
      <c r="I461" s="135" t="n">
        <v>4275</v>
      </c>
      <c r="J461" s="32" t="inlineStr">
        <is>
          <t>฿1,000</t>
        </is>
      </c>
      <c r="K461" s="132" t="n"/>
    </row>
    <row r="462" hidden="1" s="93">
      <c r="B462" s="35" t="inlineStr">
        <is>
          <t>쇼피태국</t>
        </is>
      </c>
      <c r="C462" s="36" t="inlineStr">
        <is>
          <t>머드크림마스크</t>
        </is>
      </c>
      <c r="D462" s="36" t="inlineStr">
        <is>
          <t>200812=머드크림마스크 100ml</t>
        </is>
      </c>
      <c r="E462" s="38" t="n">
        <v>200801</v>
      </c>
      <c r="F462" s="7">
        <f>B462&amp;C462&amp;D462&amp;E462</f>
        <v/>
      </c>
      <c r="G462" s="136" t="n">
        <v>22866</v>
      </c>
      <c r="H462" s="27" t="n">
        <v>0.03</v>
      </c>
      <c r="I462" s="135" t="n">
        <v>1442</v>
      </c>
      <c r="J462" s="32" t="inlineStr">
        <is>
          <t>฿600</t>
        </is>
      </c>
      <c r="K462" s="132" t="n"/>
    </row>
    <row r="463" hidden="1" s="93">
      <c r="B463" s="35" t="inlineStr">
        <is>
          <t>쇼피태국</t>
        </is>
      </c>
      <c r="C463" s="36" t="inlineStr">
        <is>
          <t>클렌징폼</t>
        </is>
      </c>
      <c r="D463" s="36" t="inlineStr">
        <is>
          <t>200812=클렌징폼 120ml</t>
        </is>
      </c>
      <c r="E463" s="38" t="n">
        <v>200801</v>
      </c>
      <c r="F463" s="7">
        <f>B463&amp;C463&amp;D463&amp;E463</f>
        <v/>
      </c>
      <c r="G463" s="136" t="n">
        <v>16006</v>
      </c>
      <c r="H463" s="27" t="n">
        <v>0.03</v>
      </c>
      <c r="I463" s="135" t="n">
        <v>2750</v>
      </c>
      <c r="J463" s="32" t="inlineStr">
        <is>
          <t>฿420</t>
        </is>
      </c>
      <c r="K463" s="132" t="n"/>
    </row>
    <row r="464" hidden="1" s="93">
      <c r="B464" s="35" t="inlineStr">
        <is>
          <t>쇼피태국</t>
        </is>
      </c>
      <c r="C464" s="36" t="inlineStr">
        <is>
          <t>앰플</t>
        </is>
      </c>
      <c r="D464" s="36" t="inlineStr">
        <is>
          <t>200812=앰플 30ml</t>
        </is>
      </c>
      <c r="E464" s="38" t="n">
        <v>200801</v>
      </c>
      <c r="F464" s="7">
        <f>B464&amp;C464&amp;D464&amp;E464</f>
        <v/>
      </c>
      <c r="G464" s="136" t="n">
        <v>32355</v>
      </c>
      <c r="H464" s="27" t="n">
        <v>0.03</v>
      </c>
      <c r="I464" s="135" t="n">
        <v>3397</v>
      </c>
      <c r="J464" s="32" t="inlineStr">
        <is>
          <t>฿849</t>
        </is>
      </c>
      <c r="K464" s="132" t="n"/>
    </row>
    <row r="465" hidden="1" s="93">
      <c r="B465" s="35" t="inlineStr">
        <is>
          <t>쇼피태국</t>
        </is>
      </c>
      <c r="C465" s="36" t="inlineStr">
        <is>
          <t>선크림</t>
        </is>
      </c>
      <c r="D465" s="36" t="inlineStr">
        <is>
          <t>200812=선크림 50ml</t>
        </is>
      </c>
      <c r="E465" s="38" t="n">
        <v>200801</v>
      </c>
      <c r="F465" s="7">
        <f>B465&amp;C465&amp;D465&amp;E465</f>
        <v/>
      </c>
      <c r="G465" s="136" t="n">
        <v>22866</v>
      </c>
      <c r="H465" s="27" t="n">
        <v>0.03</v>
      </c>
      <c r="I465" s="135" t="n">
        <v>2345</v>
      </c>
      <c r="J465" s="32" t="inlineStr">
        <is>
          <t>฿600</t>
        </is>
      </c>
      <c r="K465" s="132" t="n"/>
    </row>
    <row r="466" hidden="1" s="93">
      <c r="B466" s="35" t="inlineStr">
        <is>
          <t>쇼피필리핀</t>
        </is>
      </c>
      <c r="C466" s="36" t="inlineStr">
        <is>
          <t>토너</t>
        </is>
      </c>
      <c r="D466" s="36" t="inlineStr">
        <is>
          <t>200812=250ml</t>
        </is>
      </c>
      <c r="E466" s="38" t="n">
        <v>200801</v>
      </c>
      <c r="F466" s="7">
        <f>B466&amp;C466&amp;D466&amp;E466</f>
        <v/>
      </c>
      <c r="G466" s="136" t="n">
        <v>24185</v>
      </c>
      <c r="H466" s="27" t="n">
        <v>0.06</v>
      </c>
      <c r="I466" s="6" t="n">
        <v>3080</v>
      </c>
      <c r="J466" s="32" t="inlineStr">
        <is>
          <t>₱999</t>
        </is>
      </c>
      <c r="K466" s="132" t="n"/>
    </row>
    <row r="467" hidden="1" s="93">
      <c r="B467" s="35" t="inlineStr">
        <is>
          <t>쇼피필리핀</t>
        </is>
      </c>
      <c r="C467" s="36" t="inlineStr">
        <is>
          <t>토너</t>
        </is>
      </c>
      <c r="D467" s="36" t="inlineStr">
        <is>
          <t>200812=500ml</t>
        </is>
      </c>
      <c r="E467" s="38" t="n">
        <v>200801</v>
      </c>
      <c r="F467" s="7">
        <f>B467&amp;C467&amp;D467&amp;E467</f>
        <v/>
      </c>
      <c r="G467" s="136" t="n">
        <v>43553</v>
      </c>
      <c r="H467" s="27" t="n">
        <v>0.06</v>
      </c>
      <c r="I467" s="6" t="n">
        <v>4330</v>
      </c>
      <c r="J467" s="32" t="inlineStr">
        <is>
          <t>₱1,799</t>
        </is>
      </c>
      <c r="K467" s="132" t="n"/>
    </row>
    <row r="468" hidden="1" s="93">
      <c r="B468" s="35" t="inlineStr">
        <is>
          <t>쇼피필리핀</t>
        </is>
      </c>
      <c r="C468" s="36" t="inlineStr">
        <is>
          <t>마스크팩</t>
        </is>
      </c>
      <c r="D468" s="36" t="inlineStr">
        <is>
          <t>200812=마스크팩 10매</t>
        </is>
      </c>
      <c r="E468" s="38" t="n">
        <v>200801</v>
      </c>
      <c r="F468" s="7">
        <f>B468&amp;C468&amp;D468&amp;E468</f>
        <v/>
      </c>
      <c r="G468" s="136" t="n">
        <v>43553</v>
      </c>
      <c r="H468" s="27" t="n">
        <v>0.06</v>
      </c>
      <c r="I468" s="135" t="n">
        <v>3970</v>
      </c>
      <c r="J468" s="32" t="inlineStr">
        <is>
          <t>₱1,799</t>
        </is>
      </c>
      <c r="K468" s="132" t="n"/>
    </row>
    <row r="469" hidden="1" s="93">
      <c r="B469" s="35" t="inlineStr">
        <is>
          <t>쇼피필리핀</t>
        </is>
      </c>
      <c r="C469" s="36" t="inlineStr">
        <is>
          <t>수딩크림</t>
        </is>
      </c>
      <c r="D469" s="36" t="inlineStr">
        <is>
          <t>200812=수딩크림 100ml</t>
        </is>
      </c>
      <c r="E469" s="38" t="n">
        <v>200801</v>
      </c>
      <c r="F469" s="7">
        <f>B469&amp;C469&amp;D469&amp;E469</f>
        <v/>
      </c>
      <c r="G469" s="136" t="n">
        <v>38711</v>
      </c>
      <c r="H469" s="27" t="n">
        <v>0.06</v>
      </c>
      <c r="I469" s="135" t="n">
        <v>4275</v>
      </c>
      <c r="J469" s="32" t="inlineStr">
        <is>
          <t>₱1,599</t>
        </is>
      </c>
      <c r="K469" s="132" t="n"/>
    </row>
    <row r="470" hidden="1" s="93">
      <c r="B470" s="35" t="inlineStr">
        <is>
          <t>쇼피필리핀</t>
        </is>
      </c>
      <c r="C470" s="36" t="inlineStr">
        <is>
          <t>머드크림마스크</t>
        </is>
      </c>
      <c r="D470" s="36" t="inlineStr">
        <is>
          <t>200812=머드크림마스크 100ml</t>
        </is>
      </c>
      <c r="E470" s="38" t="n">
        <v>200801</v>
      </c>
      <c r="F470" s="7">
        <f>B470&amp;C470&amp;D470&amp;E470</f>
        <v/>
      </c>
      <c r="G470" s="136" t="n">
        <v>24185</v>
      </c>
      <c r="H470" s="27" t="n">
        <v>0.06</v>
      </c>
      <c r="I470" s="135" t="n">
        <v>1442</v>
      </c>
      <c r="J470" s="32" t="inlineStr">
        <is>
          <t>₱999</t>
        </is>
      </c>
      <c r="K470" s="132" t="n"/>
    </row>
    <row r="471" hidden="1" s="93">
      <c r="B471" s="35" t="inlineStr">
        <is>
          <t>쇼피필리핀</t>
        </is>
      </c>
      <c r="C471" s="36" t="inlineStr">
        <is>
          <t>클렌징폼</t>
        </is>
      </c>
      <c r="D471" s="36" t="inlineStr">
        <is>
          <t>200812=클렌징폼 120ml</t>
        </is>
      </c>
      <c r="E471" s="38" t="n">
        <v>200801</v>
      </c>
      <c r="F471" s="7">
        <f>B471&amp;C471&amp;D471&amp;E471</f>
        <v/>
      </c>
      <c r="G471" s="136" t="n">
        <v>16704</v>
      </c>
      <c r="H471" s="27" t="n">
        <v>0.06</v>
      </c>
      <c r="I471" s="135" t="n">
        <v>2750</v>
      </c>
      <c r="J471" s="32" t="inlineStr">
        <is>
          <t>₱690</t>
        </is>
      </c>
      <c r="K471" s="132" t="n"/>
    </row>
    <row r="472" hidden="1" s="93">
      <c r="B472" s="35" t="inlineStr">
        <is>
          <t>쇼피필리핀</t>
        </is>
      </c>
      <c r="C472" s="36" t="inlineStr">
        <is>
          <t>앰플</t>
        </is>
      </c>
      <c r="D472" s="36" t="inlineStr">
        <is>
          <t>200812=앰플 30ml</t>
        </is>
      </c>
      <c r="E472" s="38" t="n">
        <v>200801</v>
      </c>
      <c r="F472" s="7">
        <f>B472&amp;C472&amp;D472&amp;E472</f>
        <v/>
      </c>
      <c r="G472" s="136" t="n">
        <v>31957</v>
      </c>
      <c r="H472" s="27" t="n">
        <v>0.06</v>
      </c>
      <c r="I472" s="135" t="n">
        <v>3397</v>
      </c>
      <c r="J472" s="32" t="inlineStr">
        <is>
          <t>₱1,320</t>
        </is>
      </c>
      <c r="K472" s="132" t="n"/>
    </row>
    <row r="473" hidden="1" s="93">
      <c r="B473" s="35" t="inlineStr">
        <is>
          <t>쇼피필리핀</t>
        </is>
      </c>
      <c r="C473" s="36" t="inlineStr">
        <is>
          <t>선크림</t>
        </is>
      </c>
      <c r="D473" s="36" t="inlineStr">
        <is>
          <t>200812=선크림 50ml</t>
        </is>
      </c>
      <c r="E473" s="38" t="n">
        <v>200801</v>
      </c>
      <c r="F473" s="7">
        <f>B473&amp;C473&amp;D473&amp;E473</f>
        <v/>
      </c>
      <c r="G473" s="136" t="n">
        <v>24185</v>
      </c>
      <c r="H473" s="27" t="n">
        <v>0.06</v>
      </c>
      <c r="I473" s="135" t="n">
        <v>2345</v>
      </c>
      <c r="J473" s="32" t="inlineStr">
        <is>
          <t>₱999</t>
        </is>
      </c>
      <c r="K473" s="132" t="n"/>
    </row>
    <row r="474">
      <c r="B474" s="6" t="inlineStr">
        <is>
          <t>카페24</t>
        </is>
      </c>
      <c r="C474" s="6" t="inlineStr">
        <is>
          <t>앰플</t>
        </is>
      </c>
      <c r="D474" s="6" t="inlineStr">
        <is>
          <t>앰플 30ml  2set</t>
        </is>
      </c>
      <c r="E474" s="6" t="n">
        <v>200801</v>
      </c>
      <c r="F474" s="7">
        <f>B474&amp;C474&amp;D474&amp;E474</f>
        <v/>
      </c>
      <c r="G474" s="6" t="n">
        <v>48000</v>
      </c>
      <c r="H474" s="30" t="n">
        <v>0.0585</v>
      </c>
      <c r="I474" s="6" t="n">
        <v>6794</v>
      </c>
    </row>
    <row r="475">
      <c r="B475" s="5" t="inlineStr">
        <is>
          <t>화해</t>
        </is>
      </c>
      <c r="C475" s="6" t="inlineStr">
        <is>
          <t>마스크팩</t>
        </is>
      </c>
      <c r="D475" s="6" t="inlineStr">
        <is>
          <t>마스크팩 10매</t>
        </is>
      </c>
      <c r="E475" s="6" t="n">
        <v>200801</v>
      </c>
      <c r="F475" s="7">
        <f>B475&amp;C475&amp;D475&amp;E475</f>
        <v/>
      </c>
      <c r="G475" s="43" t="n">
        <v>20000</v>
      </c>
      <c r="H475" s="27" t="n">
        <v>0.25</v>
      </c>
      <c r="I475" s="6" t="n">
        <v>3970</v>
      </c>
      <c r="J475" s="32" t="n"/>
      <c r="K475" s="132" t="n"/>
    </row>
    <row r="476" hidden="1" s="93">
      <c r="B476" s="39" t="inlineStr">
        <is>
          <t>쇼피태국</t>
        </is>
      </c>
      <c r="C476" s="20" t="inlineStr">
        <is>
          <t>토너</t>
        </is>
      </c>
      <c r="D476" s="23" t="inlineStr">
        <is>
          <t>200820=250ml</t>
        </is>
      </c>
      <c r="E476" s="39" t="n">
        <v>200801</v>
      </c>
      <c r="F476" s="7">
        <f>B476&amp;C476&amp;D476&amp;E476</f>
        <v/>
      </c>
      <c r="G476" s="137" t="n">
        <v>24602</v>
      </c>
      <c r="H476" s="27" t="n">
        <v>0.03</v>
      </c>
      <c r="I476" s="6" t="n">
        <v>3080</v>
      </c>
      <c r="J476" s="32" t="inlineStr">
        <is>
          <t>฿650</t>
        </is>
      </c>
      <c r="K476" s="132" t="n"/>
    </row>
    <row r="477" hidden="1" s="93">
      <c r="B477" s="39" t="inlineStr">
        <is>
          <t>쇼피태국</t>
        </is>
      </c>
      <c r="C477" s="20" t="inlineStr">
        <is>
          <t>토너</t>
        </is>
      </c>
      <c r="D477" s="23" t="inlineStr">
        <is>
          <t>200820=500ml</t>
        </is>
      </c>
      <c r="E477" s="39" t="n">
        <v>200801</v>
      </c>
      <c r="F477" s="7">
        <f>B477&amp;C477&amp;D477&amp;E477</f>
        <v/>
      </c>
      <c r="G477" s="137" t="n">
        <v>44663</v>
      </c>
      <c r="H477" s="27" t="n">
        <v>0.03</v>
      </c>
      <c r="I477" s="6" t="n">
        <v>4330</v>
      </c>
      <c r="J477" s="32" t="inlineStr">
        <is>
          <t>฿1,180</t>
        </is>
      </c>
      <c r="K477" s="132" t="n"/>
    </row>
    <row r="478" hidden="1" s="93">
      <c r="B478" s="39" t="inlineStr">
        <is>
          <t>쇼피태국</t>
        </is>
      </c>
      <c r="C478" s="20" t="inlineStr">
        <is>
          <t>마스크팩</t>
        </is>
      </c>
      <c r="D478" s="20" t="inlineStr">
        <is>
          <t>200820=마스크팩 10매</t>
        </is>
      </c>
      <c r="E478" s="39" t="n">
        <v>200801</v>
      </c>
      <c r="F478" s="7">
        <f>B478&amp;C478&amp;D478&amp;E478</f>
        <v/>
      </c>
      <c r="G478" s="137" t="n">
        <v>39742</v>
      </c>
      <c r="H478" s="27" t="n">
        <v>0.03</v>
      </c>
      <c r="I478" s="135" t="n">
        <v>3970</v>
      </c>
      <c r="J478" s="32" t="inlineStr">
        <is>
          <t>฿1,050</t>
        </is>
      </c>
      <c r="K478" s="132" t="n"/>
    </row>
    <row r="479" hidden="1" s="93">
      <c r="B479" s="39" t="inlineStr">
        <is>
          <t>쇼피태국</t>
        </is>
      </c>
      <c r="C479" s="20" t="inlineStr">
        <is>
          <t>수딩크림</t>
        </is>
      </c>
      <c r="D479" s="20" t="inlineStr">
        <is>
          <t>200820=수딩크림 100ml</t>
        </is>
      </c>
      <c r="E479" s="39" t="n">
        <v>200801</v>
      </c>
      <c r="F479" s="7">
        <f>B479&amp;C479&amp;D479&amp;E479</f>
        <v/>
      </c>
      <c r="G479" s="137" t="n">
        <v>37850</v>
      </c>
      <c r="H479" s="27" t="n">
        <v>0.03</v>
      </c>
      <c r="I479" s="135" t="n">
        <v>4275</v>
      </c>
      <c r="J479" s="32" t="inlineStr">
        <is>
          <t>฿1,000</t>
        </is>
      </c>
      <c r="K479" s="132" t="n"/>
    </row>
    <row r="480" hidden="1" s="93">
      <c r="B480" s="39" t="inlineStr">
        <is>
          <t>쇼피태국</t>
        </is>
      </c>
      <c r="C480" s="20" t="inlineStr">
        <is>
          <t>머드크림마스크</t>
        </is>
      </c>
      <c r="D480" s="20" t="inlineStr">
        <is>
          <t>200820=머드크림마스크 100ml</t>
        </is>
      </c>
      <c r="E480" s="39" t="n">
        <v>200801</v>
      </c>
      <c r="F480" s="7">
        <f>B480&amp;C480&amp;D480&amp;E480</f>
        <v/>
      </c>
      <c r="G480" s="137" t="n">
        <v>22710</v>
      </c>
      <c r="H480" s="27" t="n">
        <v>0.03</v>
      </c>
      <c r="I480" s="135" t="n">
        <v>1442</v>
      </c>
      <c r="J480" s="32" t="inlineStr">
        <is>
          <t>฿600</t>
        </is>
      </c>
      <c r="K480" s="132" t="n"/>
    </row>
    <row r="481" hidden="1" s="93">
      <c r="B481" s="39" t="inlineStr">
        <is>
          <t>쇼피태국</t>
        </is>
      </c>
      <c r="C481" s="20" t="inlineStr">
        <is>
          <t>클렌징폼</t>
        </is>
      </c>
      <c r="D481" s="20" t="inlineStr">
        <is>
          <t>200820=클렌징폼 120ml</t>
        </is>
      </c>
      <c r="E481" s="39" t="n">
        <v>200801</v>
      </c>
      <c r="F481" s="7">
        <f>B481&amp;C481&amp;D481&amp;E481</f>
        <v/>
      </c>
      <c r="G481" s="137" t="n">
        <v>15897</v>
      </c>
      <c r="H481" s="27" t="n">
        <v>0.03</v>
      </c>
      <c r="I481" s="135" t="n">
        <v>2750</v>
      </c>
      <c r="J481" s="32" t="inlineStr">
        <is>
          <t>฿420</t>
        </is>
      </c>
      <c r="K481" s="132" t="n"/>
    </row>
    <row r="482" hidden="1" s="93">
      <c r="B482" s="39" t="inlineStr">
        <is>
          <t>쇼피태국</t>
        </is>
      </c>
      <c r="C482" s="20" t="inlineStr">
        <is>
          <t>앰플</t>
        </is>
      </c>
      <c r="D482" s="20" t="inlineStr">
        <is>
          <t>200820=앰플 30ml</t>
        </is>
      </c>
      <c r="E482" s="39" t="n">
        <v>200801</v>
      </c>
      <c r="F482" s="7">
        <f>B482&amp;C482&amp;D482&amp;E482</f>
        <v/>
      </c>
      <c r="G482" s="137" t="n">
        <v>32134</v>
      </c>
      <c r="H482" s="27" t="n">
        <v>0.03</v>
      </c>
      <c r="I482" s="135" t="n">
        <v>3397</v>
      </c>
      <c r="J482" s="32" t="inlineStr">
        <is>
          <t>฿849</t>
        </is>
      </c>
      <c r="K482" s="132" t="n"/>
    </row>
    <row r="483" hidden="1" s="93">
      <c r="B483" s="39" t="inlineStr">
        <is>
          <t>쇼피태국</t>
        </is>
      </c>
      <c r="C483" s="20" t="inlineStr">
        <is>
          <t>선크림</t>
        </is>
      </c>
      <c r="D483" s="20" t="inlineStr">
        <is>
          <t>200820=선크림 50ml</t>
        </is>
      </c>
      <c r="E483" s="39" t="n">
        <v>200801</v>
      </c>
      <c r="F483" s="7">
        <f>B483&amp;C483&amp;D483&amp;E483</f>
        <v/>
      </c>
      <c r="G483" s="137" t="n">
        <v>22710</v>
      </c>
      <c r="H483" s="27" t="n">
        <v>0.03</v>
      </c>
      <c r="I483" s="135" t="n">
        <v>2345</v>
      </c>
      <c r="J483" s="32" t="inlineStr">
        <is>
          <t>฿600</t>
        </is>
      </c>
      <c r="K483" s="132" t="n"/>
    </row>
    <row r="484" hidden="1" s="93">
      <c r="B484" s="39" t="inlineStr">
        <is>
          <t>쇼피태국</t>
        </is>
      </c>
      <c r="C484" s="20" t="inlineStr">
        <is>
          <t>토너</t>
        </is>
      </c>
      <c r="D484" s="20" t="inlineStr">
        <is>
          <t>200820=250ml 2set</t>
        </is>
      </c>
      <c r="E484" s="39" t="n">
        <v>200801</v>
      </c>
      <c r="F484" s="7">
        <f>B484&amp;C484&amp;D484&amp;E484</f>
        <v/>
      </c>
      <c r="G484" s="137" t="n">
        <v>47691</v>
      </c>
      <c r="H484" s="27" t="n">
        <v>0.03</v>
      </c>
      <c r="I484" s="6" t="n">
        <v>6160</v>
      </c>
      <c r="J484" s="32" t="inlineStr">
        <is>
          <t>฿1,260</t>
        </is>
      </c>
      <c r="K484" s="132" t="n"/>
    </row>
    <row r="485" hidden="1" s="93">
      <c r="B485" s="33" t="inlineStr">
        <is>
          <t>쇼피태국</t>
        </is>
      </c>
      <c r="C485" s="24" t="inlineStr">
        <is>
          <t>토너</t>
        </is>
      </c>
      <c r="D485" s="26" t="inlineStr">
        <is>
          <t>200820=250ml = 화장솜 60P</t>
        </is>
      </c>
      <c r="E485" s="25" t="n">
        <v>200801</v>
      </c>
      <c r="F485" s="7">
        <f>B485&amp;C485&amp;D485&amp;E485</f>
        <v/>
      </c>
      <c r="G485" s="137" t="n">
        <v>3974</v>
      </c>
      <c r="H485" s="27" t="n">
        <v>0.03</v>
      </c>
      <c r="I485" s="135" t="n">
        <v>1110</v>
      </c>
      <c r="J485" s="32" t="inlineStr">
        <is>
          <t>฿105</t>
        </is>
      </c>
      <c r="K485" s="132" t="n"/>
    </row>
    <row r="486" hidden="1" s="93">
      <c r="B486" s="33" t="inlineStr">
        <is>
          <t>쇼피태국</t>
        </is>
      </c>
      <c r="C486" s="24" t="inlineStr">
        <is>
          <t>토너</t>
        </is>
      </c>
      <c r="D486" s="26" t="inlineStr">
        <is>
          <t>200820=250ml = 화장솜 60P X 2</t>
        </is>
      </c>
      <c r="E486" s="25" t="n">
        <v>200801</v>
      </c>
      <c r="F486" s="7">
        <f>B486&amp;C486&amp;D486&amp;E486</f>
        <v/>
      </c>
      <c r="G486" s="137" t="n">
        <v>7759</v>
      </c>
      <c r="H486" s="27" t="n">
        <v>0.03</v>
      </c>
      <c r="I486" s="135" t="n">
        <v>2220</v>
      </c>
      <c r="J486" s="32" t="inlineStr">
        <is>
          <t>฿205</t>
        </is>
      </c>
      <c r="K486" s="132" t="n"/>
    </row>
    <row r="487" hidden="1" s="93">
      <c r="B487" s="33" t="inlineStr">
        <is>
          <t>쇼피태국</t>
        </is>
      </c>
      <c r="C487" s="24" t="inlineStr">
        <is>
          <t>토너</t>
        </is>
      </c>
      <c r="D487" s="26" t="inlineStr">
        <is>
          <t>200820=250ml 2set = 화장솜 60P</t>
        </is>
      </c>
      <c r="E487" s="25" t="n">
        <v>200801</v>
      </c>
      <c r="F487" s="7">
        <f>B487&amp;C487&amp;D487&amp;E487</f>
        <v/>
      </c>
      <c r="G487" s="137" t="n">
        <v>3974</v>
      </c>
      <c r="H487" s="27" t="n">
        <v>0.03</v>
      </c>
      <c r="I487" s="135" t="n">
        <v>1110</v>
      </c>
      <c r="J487" s="32" t="inlineStr">
        <is>
          <t>฿105</t>
        </is>
      </c>
      <c r="K487" s="132" t="n"/>
    </row>
    <row r="488" hidden="1" s="93">
      <c r="B488" s="33" t="inlineStr">
        <is>
          <t>쇼피태국</t>
        </is>
      </c>
      <c r="C488" s="24" t="inlineStr">
        <is>
          <t>토너</t>
        </is>
      </c>
      <c r="D488" s="26" t="inlineStr">
        <is>
          <t>200820=250ml 2set = 화장솜 60P X 2</t>
        </is>
      </c>
      <c r="E488" s="25" t="n">
        <v>200801</v>
      </c>
      <c r="F488" s="7">
        <f>B488&amp;C488&amp;D488&amp;E488</f>
        <v/>
      </c>
      <c r="G488" s="137" t="n">
        <v>7759</v>
      </c>
      <c r="H488" s="27" t="n">
        <v>0.03</v>
      </c>
      <c r="I488" s="135" t="n">
        <v>2220</v>
      </c>
      <c r="J488" s="32" t="inlineStr">
        <is>
          <t>฿205</t>
        </is>
      </c>
      <c r="K488" s="132" t="n"/>
    </row>
    <row r="489" hidden="1" s="93">
      <c r="B489" s="33" t="inlineStr">
        <is>
          <t>쇼피태국</t>
        </is>
      </c>
      <c r="C489" s="24" t="inlineStr">
        <is>
          <t>토너</t>
        </is>
      </c>
      <c r="D489" s="26" t="inlineStr">
        <is>
          <t>200820=500ml = 화장솜 60P</t>
        </is>
      </c>
      <c r="E489" s="25" t="n">
        <v>200801</v>
      </c>
      <c r="F489" s="7">
        <f>B489&amp;C489&amp;D489&amp;E489</f>
        <v/>
      </c>
      <c r="G489" s="137" t="n">
        <v>3974</v>
      </c>
      <c r="H489" s="27" t="n">
        <v>0.03</v>
      </c>
      <c r="I489" s="135" t="n">
        <v>1110</v>
      </c>
      <c r="J489" s="32" t="inlineStr">
        <is>
          <t>฿105</t>
        </is>
      </c>
      <c r="K489" s="132" t="n"/>
    </row>
    <row r="490" hidden="1" s="93">
      <c r="B490" s="33" t="inlineStr">
        <is>
          <t>쇼피태국</t>
        </is>
      </c>
      <c r="C490" s="24" t="inlineStr">
        <is>
          <t>토너</t>
        </is>
      </c>
      <c r="D490" s="26" t="inlineStr">
        <is>
          <t>200820=500ml = 화장솜 60P X 2</t>
        </is>
      </c>
      <c r="E490" s="25" t="n">
        <v>200801</v>
      </c>
      <c r="F490" s="7">
        <f>B490&amp;C490&amp;D490&amp;E490</f>
        <v/>
      </c>
      <c r="G490" s="137" t="n">
        <v>7759</v>
      </c>
      <c r="H490" s="27" t="n">
        <v>0.03</v>
      </c>
      <c r="I490" s="135" t="n">
        <v>2220</v>
      </c>
      <c r="J490" s="32" t="inlineStr">
        <is>
          <t>฿205</t>
        </is>
      </c>
      <c r="K490" s="132" t="n"/>
    </row>
    <row r="491" hidden="1" s="93">
      <c r="B491" s="39" t="inlineStr">
        <is>
          <t>쇼피필리핀</t>
        </is>
      </c>
      <c r="C491" s="20" t="inlineStr">
        <is>
          <t>토너</t>
        </is>
      </c>
      <c r="D491" s="20" t="inlineStr">
        <is>
          <t>200820=250ml</t>
        </is>
      </c>
      <c r="E491" s="21" t="n">
        <v>200801</v>
      </c>
      <c r="F491" s="7">
        <f>B491&amp;C491&amp;D491&amp;E491</f>
        <v/>
      </c>
      <c r="G491" s="137" t="n">
        <v>24375</v>
      </c>
      <c r="H491" s="27" t="n">
        <v>0.06</v>
      </c>
      <c r="I491" s="6" t="n">
        <v>3080</v>
      </c>
      <c r="J491" s="32" t="inlineStr">
        <is>
          <t>₱999</t>
        </is>
      </c>
    </row>
    <row r="492" hidden="1" s="93">
      <c r="B492" s="39" t="inlineStr">
        <is>
          <t>쇼피필리핀</t>
        </is>
      </c>
      <c r="C492" s="20" t="inlineStr">
        <is>
          <t>토너</t>
        </is>
      </c>
      <c r="D492" s="20" t="inlineStr">
        <is>
          <t>200820=500ml</t>
        </is>
      </c>
      <c r="E492" s="21" t="n">
        <v>200801</v>
      </c>
      <c r="F492" s="7">
        <f>B492&amp;C492&amp;D492&amp;E492</f>
        <v/>
      </c>
      <c r="G492" s="137" t="n">
        <v>43895</v>
      </c>
      <c r="H492" s="27" t="n">
        <v>0.06</v>
      </c>
      <c r="I492" s="6" t="n">
        <v>4330</v>
      </c>
      <c r="J492" s="32" t="inlineStr">
        <is>
          <t>₱1,799</t>
        </is>
      </c>
    </row>
    <row r="493" hidden="1" s="93">
      <c r="B493" s="39" t="inlineStr">
        <is>
          <t>쇼피필리핀</t>
        </is>
      </c>
      <c r="C493" s="20" t="inlineStr">
        <is>
          <t>마스크팩</t>
        </is>
      </c>
      <c r="D493" s="20" t="inlineStr">
        <is>
          <t>200820=마스크팩 10매</t>
        </is>
      </c>
      <c r="E493" s="21" t="n">
        <v>200801</v>
      </c>
      <c r="F493" s="7">
        <f>B493&amp;C493&amp;D493&amp;E493</f>
        <v/>
      </c>
      <c r="G493" s="137" t="n">
        <v>43895</v>
      </c>
      <c r="H493" s="27" t="n">
        <v>0.06</v>
      </c>
      <c r="I493" s="135" t="n">
        <v>3970</v>
      </c>
      <c r="J493" s="32" t="inlineStr">
        <is>
          <t>₱1,799</t>
        </is>
      </c>
    </row>
    <row r="494" hidden="1" s="93">
      <c r="B494" s="39" t="inlineStr">
        <is>
          <t>쇼피필리핀</t>
        </is>
      </c>
      <c r="C494" s="20" t="inlineStr">
        <is>
          <t>수딩크림</t>
        </is>
      </c>
      <c r="D494" s="20" t="inlineStr">
        <is>
          <t>200820=수딩크림 100ml</t>
        </is>
      </c>
      <c r="E494" s="21" t="n">
        <v>200801</v>
      </c>
      <c r="F494" s="7">
        <f>B494&amp;C494&amp;D494&amp;E494</f>
        <v/>
      </c>
      <c r="G494" s="137" t="n">
        <v>39015</v>
      </c>
      <c r="H494" s="27" t="n">
        <v>0.06</v>
      </c>
      <c r="I494" s="135" t="n">
        <v>4275</v>
      </c>
      <c r="J494" s="32" t="inlineStr">
        <is>
          <t>₱1,599</t>
        </is>
      </c>
    </row>
    <row r="495" hidden="1" s="93">
      <c r="B495" s="39" t="inlineStr">
        <is>
          <t>쇼피필리핀</t>
        </is>
      </c>
      <c r="C495" s="20" t="inlineStr">
        <is>
          <t>머드크림마스크</t>
        </is>
      </c>
      <c r="D495" s="20" t="inlineStr">
        <is>
          <t>200820=머드크림마스크 100ml</t>
        </is>
      </c>
      <c r="E495" s="21" t="n">
        <v>200801</v>
      </c>
      <c r="F495" s="7">
        <f>B495&amp;C495&amp;D495&amp;E495</f>
        <v/>
      </c>
      <c r="G495" s="137" t="n">
        <v>24375</v>
      </c>
      <c r="H495" s="27" t="n">
        <v>0.06</v>
      </c>
      <c r="I495" s="135" t="n">
        <v>1442</v>
      </c>
      <c r="J495" s="32" t="inlineStr">
        <is>
          <t>₱999</t>
        </is>
      </c>
    </row>
    <row r="496" hidden="1" s="93">
      <c r="B496" s="39" t="inlineStr">
        <is>
          <t>쇼피필리핀</t>
        </is>
      </c>
      <c r="C496" s="20" t="inlineStr">
        <is>
          <t>클렌징폼</t>
        </is>
      </c>
      <c r="D496" s="20" t="inlineStr">
        <is>
          <t>200820=클렌징폼 120ml</t>
        </is>
      </c>
      <c r="E496" s="21" t="n">
        <v>200801</v>
      </c>
      <c r="F496" s="7">
        <f>B496&amp;C496&amp;D496&amp;E496</f>
        <v/>
      </c>
      <c r="G496" s="137" t="n">
        <v>16836</v>
      </c>
      <c r="H496" s="27" t="n">
        <v>0.06</v>
      </c>
      <c r="I496" s="135" t="n">
        <v>2750</v>
      </c>
      <c r="J496" s="32" t="inlineStr">
        <is>
          <t>₱690</t>
        </is>
      </c>
    </row>
    <row r="497" hidden="1" s="93">
      <c r="B497" s="39" t="inlineStr">
        <is>
          <t>쇼피필리핀</t>
        </is>
      </c>
      <c r="C497" s="20" t="inlineStr">
        <is>
          <t>앰플</t>
        </is>
      </c>
      <c r="D497" s="20" t="inlineStr">
        <is>
          <t>200820=앰플 30ml</t>
        </is>
      </c>
      <c r="E497" s="21" t="n">
        <v>200801</v>
      </c>
      <c r="F497" s="7">
        <f>B497&amp;C497&amp;D497&amp;E497</f>
        <v/>
      </c>
      <c r="G497" s="137" t="n">
        <v>32208</v>
      </c>
      <c r="H497" s="27" t="n">
        <v>0.06</v>
      </c>
      <c r="I497" s="135" t="n">
        <v>3397</v>
      </c>
      <c r="J497" s="32" t="inlineStr">
        <is>
          <t>₱1,320</t>
        </is>
      </c>
    </row>
    <row r="498" hidden="1" s="93">
      <c r="B498" s="39" t="inlineStr">
        <is>
          <t>쇼피필리핀</t>
        </is>
      </c>
      <c r="C498" s="20" t="inlineStr">
        <is>
          <t>토너</t>
        </is>
      </c>
      <c r="D498" s="20" t="inlineStr">
        <is>
          <t>200820=250ml 2set</t>
        </is>
      </c>
      <c r="E498" s="21" t="n">
        <v>200801</v>
      </c>
      <c r="F498" s="7">
        <f>B498&amp;C498&amp;D498&amp;E498</f>
        <v/>
      </c>
      <c r="G498" s="137" t="n">
        <v>43895</v>
      </c>
      <c r="H498" s="27" t="n">
        <v>0.06</v>
      </c>
      <c r="I498" s="6" t="n">
        <v>6160</v>
      </c>
      <c r="J498" s="32" t="inlineStr">
        <is>
          <t>₱1799</t>
        </is>
      </c>
    </row>
    <row r="499" hidden="1" s="93">
      <c r="B499" s="33" t="inlineStr">
        <is>
          <t>쇼피필리핀</t>
        </is>
      </c>
      <c r="C499" s="24" t="inlineStr">
        <is>
          <t>토너</t>
        </is>
      </c>
      <c r="D499" s="24" t="inlineStr">
        <is>
          <t>200820=250ml = 화장솜 60P</t>
        </is>
      </c>
      <c r="E499" s="25" t="n">
        <v>200801</v>
      </c>
      <c r="F499" s="7">
        <f>B499&amp;C499&amp;D499&amp;E499</f>
        <v/>
      </c>
      <c r="G499" s="137" t="n">
        <v>4048</v>
      </c>
      <c r="H499" s="27" t="n">
        <v>0.06</v>
      </c>
      <c r="I499" s="135" t="n">
        <v>1110</v>
      </c>
      <c r="J499" s="32" t="inlineStr">
        <is>
          <t>₱166</t>
        </is>
      </c>
    </row>
    <row r="500" hidden="1" s="93">
      <c r="B500" s="33" t="inlineStr">
        <is>
          <t>쇼피필리핀</t>
        </is>
      </c>
      <c r="C500" s="24" t="inlineStr">
        <is>
          <t>토너</t>
        </is>
      </c>
      <c r="D500" s="24" t="inlineStr">
        <is>
          <t>200820=250ml 2set = 화장솜 60P</t>
        </is>
      </c>
      <c r="E500" s="25" t="n">
        <v>200801</v>
      </c>
      <c r="F500" s="7">
        <f>B500&amp;C500&amp;D500&amp;E500</f>
        <v/>
      </c>
      <c r="G500" s="137" t="n">
        <v>4048</v>
      </c>
      <c r="H500" s="27" t="n">
        <v>0.06</v>
      </c>
      <c r="I500" s="135" t="n">
        <v>1110</v>
      </c>
      <c r="J500" s="32" t="inlineStr">
        <is>
          <t>₱166</t>
        </is>
      </c>
    </row>
    <row r="501" hidden="1" s="93">
      <c r="B501" s="33" t="inlineStr">
        <is>
          <t>쇼피필리핀</t>
        </is>
      </c>
      <c r="C501" s="24" t="inlineStr">
        <is>
          <t>토너</t>
        </is>
      </c>
      <c r="D501" s="24" t="inlineStr">
        <is>
          <t>200820=250ml 2set = 화장솜 60P X 2</t>
        </is>
      </c>
      <c r="E501" s="25" t="n">
        <v>200801</v>
      </c>
      <c r="F501" s="7">
        <f>B501&amp;C501&amp;D501&amp;E501</f>
        <v/>
      </c>
      <c r="G501" s="137" t="n">
        <v>7707</v>
      </c>
      <c r="H501" s="27" t="n">
        <v>0.06</v>
      </c>
      <c r="I501" s="135" t="n">
        <v>2220</v>
      </c>
      <c r="J501" s="32" t="inlineStr">
        <is>
          <t>₱316</t>
        </is>
      </c>
    </row>
    <row r="502" hidden="1" s="93">
      <c r="B502" s="33" t="inlineStr">
        <is>
          <t>쇼피필리핀</t>
        </is>
      </c>
      <c r="C502" s="24" t="inlineStr">
        <is>
          <t>토너</t>
        </is>
      </c>
      <c r="D502" s="24" t="inlineStr">
        <is>
          <t>200820=500ml = 화장솜 60P</t>
        </is>
      </c>
      <c r="E502" s="25" t="n">
        <v>200801</v>
      </c>
      <c r="F502" s="7">
        <f>B502&amp;C502&amp;D502&amp;E502</f>
        <v/>
      </c>
      <c r="G502" s="137" t="n">
        <v>4048</v>
      </c>
      <c r="H502" s="27" t="n">
        <v>0.06</v>
      </c>
      <c r="I502" s="135" t="n">
        <v>1110</v>
      </c>
      <c r="J502" s="32" t="inlineStr">
        <is>
          <t>₱166</t>
        </is>
      </c>
    </row>
    <row r="503" hidden="1" s="93">
      <c r="B503" s="33" t="inlineStr">
        <is>
          <t>쇼피필리핀</t>
        </is>
      </c>
      <c r="C503" s="24" t="inlineStr">
        <is>
          <t>토너</t>
        </is>
      </c>
      <c r="D503" s="24" t="inlineStr">
        <is>
          <t>200820=500ml = 화장솜 60P X 2</t>
        </is>
      </c>
      <c r="E503" s="25" t="n">
        <v>200801</v>
      </c>
      <c r="F503" s="7">
        <f>B503&amp;C503&amp;D503&amp;E503</f>
        <v/>
      </c>
      <c r="G503" s="137" t="n">
        <v>7707</v>
      </c>
      <c r="H503" s="27" t="n">
        <v>0.06</v>
      </c>
      <c r="I503" s="135" t="n">
        <v>2220</v>
      </c>
      <c r="J503" s="32" t="inlineStr">
        <is>
          <t>₱316</t>
        </is>
      </c>
    </row>
    <row r="504" hidden="1" s="93">
      <c r="B504" s="34" t="inlineStr">
        <is>
          <t>쇼피말레이시아</t>
        </is>
      </c>
      <c r="C504" s="20" t="inlineStr">
        <is>
          <t>토너</t>
        </is>
      </c>
      <c r="D504" s="20" t="inlineStr">
        <is>
          <t>200820=250ml</t>
        </is>
      </c>
      <c r="E504" s="21" t="n">
        <v>200801</v>
      </c>
      <c r="F504" s="7">
        <f>B504&amp;C504&amp;D504&amp;E504</f>
        <v/>
      </c>
      <c r="G504" s="137" t="n">
        <v>19914</v>
      </c>
      <c r="H504" s="27" t="n">
        <v>0.06</v>
      </c>
      <c r="I504" s="6" t="n">
        <v>3080</v>
      </c>
      <c r="J504" s="32" t="inlineStr">
        <is>
          <t>RM 69.99</t>
        </is>
      </c>
    </row>
    <row r="505" hidden="1" s="93">
      <c r="B505" s="34" t="inlineStr">
        <is>
          <t>쇼피말레이시아</t>
        </is>
      </c>
      <c r="C505" s="20" t="inlineStr">
        <is>
          <t>토너</t>
        </is>
      </c>
      <c r="D505" s="20" t="inlineStr">
        <is>
          <t>200820=500ml</t>
        </is>
      </c>
      <c r="E505" s="21" t="n">
        <v>200801</v>
      </c>
      <c r="F505" s="7">
        <f>B505&amp;C505&amp;D505&amp;E505</f>
        <v/>
      </c>
      <c r="G505" s="137" t="n">
        <v>36992</v>
      </c>
      <c r="H505" s="27" t="n">
        <v>0.06</v>
      </c>
      <c r="I505" s="6" t="n">
        <v>4330</v>
      </c>
      <c r="J505" s="32" t="inlineStr">
        <is>
          <t>RM 129.99</t>
        </is>
      </c>
    </row>
    <row r="506" hidden="1" s="93">
      <c r="B506" s="34" t="inlineStr">
        <is>
          <t>쇼피말레이시아</t>
        </is>
      </c>
      <c r="C506" s="20" t="inlineStr">
        <is>
          <t>마스크팩</t>
        </is>
      </c>
      <c r="D506" s="20" t="inlineStr">
        <is>
          <t>200820=마스크팩 10매</t>
        </is>
      </c>
      <c r="E506" s="21" t="n">
        <v>200801</v>
      </c>
      <c r="F506" s="7">
        <f>B506&amp;C506&amp;D506&amp;E506</f>
        <v/>
      </c>
      <c r="G506" s="137" t="n">
        <v>39831</v>
      </c>
      <c r="H506" s="27" t="n">
        <v>0.06</v>
      </c>
      <c r="I506" s="135" t="n">
        <v>3970</v>
      </c>
      <c r="J506" s="32" t="inlineStr">
        <is>
          <t>RM 139.99</t>
        </is>
      </c>
    </row>
    <row r="507" hidden="1" s="93">
      <c r="B507" s="34" t="inlineStr">
        <is>
          <t>쇼피말레이시아</t>
        </is>
      </c>
      <c r="C507" s="20" t="inlineStr">
        <is>
          <t>수딩크림</t>
        </is>
      </c>
      <c r="D507" s="20" t="inlineStr">
        <is>
          <t>200820=수딩크림 100ml</t>
        </is>
      </c>
      <c r="E507" s="21" t="n">
        <v>200801</v>
      </c>
      <c r="F507" s="7">
        <f>B507&amp;C507&amp;D507&amp;E507</f>
        <v/>
      </c>
      <c r="G507" s="137" t="n">
        <v>36992</v>
      </c>
      <c r="H507" s="27" t="n">
        <v>0.06</v>
      </c>
      <c r="I507" s="135" t="n">
        <v>4275</v>
      </c>
      <c r="J507" s="32" t="inlineStr">
        <is>
          <t>RM 129.99</t>
        </is>
      </c>
    </row>
    <row r="508" hidden="1" s="93">
      <c r="B508" s="34" t="inlineStr">
        <is>
          <t>쇼피말레이시아</t>
        </is>
      </c>
      <c r="C508" s="20" t="inlineStr">
        <is>
          <t>머드크림마스크</t>
        </is>
      </c>
      <c r="D508" s="20" t="inlineStr">
        <is>
          <t>200820=머드크림마스크 100ml</t>
        </is>
      </c>
      <c r="E508" s="21" t="n">
        <v>200801</v>
      </c>
      <c r="F508" s="7">
        <f>B508&amp;C508&amp;D508&amp;E508</f>
        <v/>
      </c>
      <c r="G508" s="137" t="n">
        <v>24182</v>
      </c>
      <c r="H508" s="27" t="n">
        <v>0.06</v>
      </c>
      <c r="I508" s="135" t="n">
        <v>1442</v>
      </c>
      <c r="J508" s="32" t="inlineStr">
        <is>
          <t>RM 84.99</t>
        </is>
      </c>
    </row>
    <row r="509" hidden="1" s="93">
      <c r="B509" s="34" t="inlineStr">
        <is>
          <t>쇼피말레이시아</t>
        </is>
      </c>
      <c r="C509" s="20" t="inlineStr">
        <is>
          <t>앰플</t>
        </is>
      </c>
      <c r="D509" s="20" t="inlineStr">
        <is>
          <t>200820=앰플 30ml</t>
        </is>
      </c>
      <c r="E509" s="21" t="n">
        <v>200801</v>
      </c>
      <c r="F509" s="7">
        <f>B509&amp;C509&amp;D509&amp;E509</f>
        <v/>
      </c>
      <c r="G509" s="137" t="n">
        <v>31295</v>
      </c>
      <c r="H509" s="27" t="n">
        <v>0.06</v>
      </c>
      <c r="I509" s="135" t="n">
        <v>3397</v>
      </c>
      <c r="J509" s="32" t="inlineStr">
        <is>
          <t>RM 109.99</t>
        </is>
      </c>
    </row>
    <row r="510" hidden="1" s="93">
      <c r="B510" s="34" t="inlineStr">
        <is>
          <t>쇼피말레이시아</t>
        </is>
      </c>
      <c r="C510" s="20" t="inlineStr">
        <is>
          <t>선크림</t>
        </is>
      </c>
      <c r="D510" s="20" t="inlineStr">
        <is>
          <t>200820=선크림 50ml</t>
        </is>
      </c>
      <c r="E510" s="21" t="n">
        <v>200801</v>
      </c>
      <c r="F510" s="7">
        <f>B510&amp;C510&amp;D510&amp;E510</f>
        <v/>
      </c>
      <c r="G510" s="137" t="n">
        <v>25604</v>
      </c>
      <c r="H510" s="27" t="n">
        <v>0.06</v>
      </c>
      <c r="I510" s="135" t="n">
        <v>2345</v>
      </c>
      <c r="J510" s="32" t="inlineStr">
        <is>
          <t>RM 89.99</t>
        </is>
      </c>
    </row>
    <row r="511" hidden="1" s="93">
      <c r="B511" s="44" t="inlineStr">
        <is>
          <t>쇼피말레이시아</t>
        </is>
      </c>
      <c r="C511" s="24" t="inlineStr">
        <is>
          <t>토너</t>
        </is>
      </c>
      <c r="D511" s="24" t="inlineStr">
        <is>
          <t>200820=250ml = 화장솜 60P</t>
        </is>
      </c>
      <c r="E511" s="25" t="n">
        <v>200801</v>
      </c>
      <c r="F511" s="7">
        <f>B511&amp;C511&amp;D511&amp;E511</f>
        <v/>
      </c>
      <c r="G511" s="137" t="n">
        <v>4267</v>
      </c>
      <c r="H511" s="27" t="n">
        <v>0.06</v>
      </c>
      <c r="I511" s="135" t="n">
        <v>1110</v>
      </c>
      <c r="J511" s="32" t="inlineStr">
        <is>
          <t>RM 15</t>
        </is>
      </c>
    </row>
    <row r="512" hidden="1" s="93">
      <c r="B512" s="44" t="inlineStr">
        <is>
          <t>쇼피말레이시아</t>
        </is>
      </c>
      <c r="C512" s="24" t="inlineStr">
        <is>
          <t>토너</t>
        </is>
      </c>
      <c r="D512" s="24" t="inlineStr">
        <is>
          <t>200820=250ml = 화장솜 60P X 2</t>
        </is>
      </c>
      <c r="E512" s="25" t="n">
        <v>200801</v>
      </c>
      <c r="F512" s="7">
        <f>B512&amp;C512&amp;D512&amp;E512</f>
        <v/>
      </c>
      <c r="G512" s="137" t="n">
        <v>7113</v>
      </c>
      <c r="H512" s="27" t="n">
        <v>0.06</v>
      </c>
      <c r="I512" s="135" t="n">
        <v>2220</v>
      </c>
      <c r="J512" s="32" t="inlineStr">
        <is>
          <t>RM 25</t>
        </is>
      </c>
    </row>
    <row r="513" hidden="1" s="93">
      <c r="B513" s="44" t="inlineStr">
        <is>
          <t>쇼피말레이시아</t>
        </is>
      </c>
      <c r="C513" s="24" t="inlineStr">
        <is>
          <t>토너</t>
        </is>
      </c>
      <c r="D513" s="24" t="inlineStr">
        <is>
          <t>200820=500ml = 화장솜 60P</t>
        </is>
      </c>
      <c r="E513" s="25" t="n">
        <v>200801</v>
      </c>
      <c r="F513" s="7">
        <f>B513&amp;C513&amp;D513&amp;E513</f>
        <v/>
      </c>
      <c r="G513" s="137" t="n">
        <v>4267</v>
      </c>
      <c r="H513" s="27" t="n">
        <v>0.06</v>
      </c>
      <c r="I513" s="135" t="n">
        <v>1110</v>
      </c>
      <c r="J513" s="32" t="inlineStr">
        <is>
          <t>RM 15</t>
        </is>
      </c>
    </row>
    <row r="514" hidden="1" s="93">
      <c r="B514" s="44" t="inlineStr">
        <is>
          <t>쇼피말레이시아</t>
        </is>
      </c>
      <c r="C514" s="24" t="inlineStr">
        <is>
          <t>토너</t>
        </is>
      </c>
      <c r="D514" s="24" t="inlineStr">
        <is>
          <t>200820=500ml = 화장솜 60P X 2</t>
        </is>
      </c>
      <c r="E514" s="25" t="n">
        <v>200801</v>
      </c>
      <c r="F514" s="7">
        <f>B514&amp;C514&amp;D514&amp;E514</f>
        <v/>
      </c>
      <c r="G514" s="137" t="n">
        <v>7113</v>
      </c>
      <c r="H514" s="27" t="n">
        <v>0.06</v>
      </c>
      <c r="I514" s="135" t="n">
        <v>2220</v>
      </c>
      <c r="J514" s="32" t="inlineStr">
        <is>
          <t>RM 25</t>
        </is>
      </c>
    </row>
    <row r="515">
      <c r="B515" s="6" t="inlineStr">
        <is>
          <t>카페24</t>
        </is>
      </c>
      <c r="C515" s="94" t="inlineStr">
        <is>
          <t>토너</t>
        </is>
      </c>
      <c r="D515" s="94" t="inlineStr">
        <is>
          <t>[재구매전용특가] 250ml</t>
        </is>
      </c>
      <c r="E515" s="6" t="n">
        <v>200801</v>
      </c>
      <c r="F515" s="7">
        <f>B515&amp;C515&amp;D515&amp;E515</f>
        <v/>
      </c>
      <c r="G515" s="6" t="n">
        <v>17000</v>
      </c>
      <c r="H515" s="30" t="n">
        <v>0.0585</v>
      </c>
      <c r="I515" s="6" t="n">
        <v>3080</v>
      </c>
    </row>
    <row r="516">
      <c r="B516" s="6" t="inlineStr">
        <is>
          <t>카페24</t>
        </is>
      </c>
      <c r="C516" s="94" t="inlineStr">
        <is>
          <t>토너</t>
        </is>
      </c>
      <c r="D516" s="94" t="inlineStr">
        <is>
          <t>[재구매전용특가] 250ml 2set</t>
        </is>
      </c>
      <c r="E516" s="6" t="n">
        <v>200801</v>
      </c>
      <c r="F516" s="7">
        <f>B516&amp;C516&amp;D516&amp;E516</f>
        <v/>
      </c>
      <c r="G516" s="6" t="n">
        <v>30000</v>
      </c>
      <c r="H516" s="30" t="n">
        <v>0.0585</v>
      </c>
      <c r="I516" s="6" t="n">
        <v>6160</v>
      </c>
    </row>
    <row r="517" hidden="1" s="93">
      <c r="B517" s="5" t="inlineStr">
        <is>
          <t>현대면세점</t>
        </is>
      </c>
      <c r="C517" s="94" t="inlineStr">
        <is>
          <t>토너</t>
        </is>
      </c>
      <c r="D517" s="94" t="inlineStr">
        <is>
          <t>40ml(증정)</t>
        </is>
      </c>
      <c r="E517" s="6" t="n">
        <v>200801</v>
      </c>
      <c r="F517" s="7">
        <f>B517&amp;C517&amp;D517&amp;E517</f>
        <v/>
      </c>
      <c r="G517" s="6" t="n">
        <v>0</v>
      </c>
      <c r="H517" s="27" t="n">
        <v>0</v>
      </c>
      <c r="I517" s="6" t="n">
        <v>1230</v>
      </c>
    </row>
    <row r="518" hidden="1" s="93">
      <c r="B518" s="5" t="inlineStr">
        <is>
          <t>라자다싱가폴</t>
        </is>
      </c>
      <c r="C518" s="94" t="inlineStr">
        <is>
          <t>토너</t>
        </is>
      </c>
      <c r="D518" s="94" t="inlineStr">
        <is>
          <t>200821=250ml</t>
        </is>
      </c>
      <c r="E518" s="6" t="n">
        <v>200801</v>
      </c>
      <c r="F518" s="7">
        <f>B518&amp;C518&amp;D518&amp;E518</f>
        <v/>
      </c>
      <c r="G518" s="6" t="n">
        <v>24309</v>
      </c>
      <c r="H518" s="27" t="n">
        <v>0.07000000000000001</v>
      </c>
      <c r="I518" s="6" t="n">
        <v>3080</v>
      </c>
      <c r="J518" s="32" t="inlineStr">
        <is>
          <t>S$28</t>
        </is>
      </c>
    </row>
    <row r="519" hidden="1" s="93">
      <c r="B519" s="5" t="inlineStr">
        <is>
          <t>쇼피인도네시아</t>
        </is>
      </c>
      <c r="C519" s="94" t="inlineStr">
        <is>
          <t>토너</t>
        </is>
      </c>
      <c r="D519" s="94" t="inlineStr">
        <is>
          <t>200831=250ml</t>
        </is>
      </c>
      <c r="E519" s="6" t="n">
        <v>200801</v>
      </c>
      <c r="F519" s="7">
        <f>B519&amp;C519&amp;D519&amp;E519</f>
        <v/>
      </c>
      <c r="G519" s="6" t="n">
        <v>21978</v>
      </c>
      <c r="H519" s="27" t="n">
        <v>0.06</v>
      </c>
      <c r="I519" s="6" t="n">
        <v>3080</v>
      </c>
      <c r="J519" s="138" t="n">
        <v>270000</v>
      </c>
    </row>
    <row r="520" hidden="1" s="93">
      <c r="B520" s="5" t="inlineStr">
        <is>
          <t>쇼피인도네시아</t>
        </is>
      </c>
      <c r="C520" s="94" t="inlineStr">
        <is>
          <t>토너</t>
        </is>
      </c>
      <c r="D520" s="94" t="inlineStr">
        <is>
          <t>200831=500ml</t>
        </is>
      </c>
      <c r="E520" s="6" t="n">
        <v>200801</v>
      </c>
      <c r="F520" s="7">
        <f>B520&amp;C520&amp;D520&amp;E520</f>
        <v/>
      </c>
      <c r="G520" s="6" t="n">
        <v>39935</v>
      </c>
      <c r="H520" s="27" t="n">
        <v>0.06</v>
      </c>
      <c r="I520" s="6" t="n">
        <v>4330</v>
      </c>
      <c r="J520" s="138" t="n">
        <v>490000</v>
      </c>
    </row>
    <row r="521" hidden="1" s="93">
      <c r="B521" s="5" t="inlineStr">
        <is>
          <t>쇼피인도네시아</t>
        </is>
      </c>
      <c r="C521" s="94" t="inlineStr">
        <is>
          <t>마스크팩</t>
        </is>
      </c>
      <c r="D521" s="94" t="inlineStr">
        <is>
          <t>200831=마스크팩 10매</t>
        </is>
      </c>
      <c r="E521" s="6" t="n">
        <v>200801</v>
      </c>
      <c r="F521" s="7">
        <f>B521&amp;C521&amp;D521&amp;E521</f>
        <v/>
      </c>
      <c r="G521" s="6" t="n">
        <v>35045</v>
      </c>
      <c r="H521" s="27" t="n">
        <v>0.06</v>
      </c>
      <c r="I521" s="6" t="n">
        <v>3970</v>
      </c>
      <c r="J521" s="138" t="n">
        <v>430000</v>
      </c>
    </row>
    <row r="522" hidden="1" s="93">
      <c r="B522" s="5" t="inlineStr">
        <is>
          <t>쇼피인도네시아</t>
        </is>
      </c>
      <c r="C522" s="94" t="inlineStr">
        <is>
          <t>수딩크림</t>
        </is>
      </c>
      <c r="D522" s="94" t="inlineStr">
        <is>
          <t>200831=수딩크림 100ml</t>
        </is>
      </c>
      <c r="E522" s="6" t="n">
        <v>200801</v>
      </c>
      <c r="F522" s="7">
        <f>B522&amp;C522&amp;D522&amp;E522</f>
        <v/>
      </c>
      <c r="G522" s="6" t="n">
        <v>33415</v>
      </c>
      <c r="H522" s="27" t="n">
        <v>0.06</v>
      </c>
      <c r="I522" s="6" t="n">
        <v>4275</v>
      </c>
      <c r="J522" s="138" t="n">
        <v>410000</v>
      </c>
    </row>
    <row r="523" hidden="1" s="93">
      <c r="B523" s="5" t="inlineStr">
        <is>
          <t>쇼피인도네시아</t>
        </is>
      </c>
      <c r="C523" s="94" t="inlineStr">
        <is>
          <t>머드크림마스크</t>
        </is>
      </c>
      <c r="D523" s="94" t="inlineStr">
        <is>
          <t>200831=머드크림마스크 100ml</t>
        </is>
      </c>
      <c r="E523" s="6" t="n">
        <v>200801</v>
      </c>
      <c r="F523" s="7">
        <f>B523&amp;C523&amp;D523&amp;E523</f>
        <v/>
      </c>
      <c r="G523" s="6" t="n">
        <v>21978</v>
      </c>
      <c r="H523" s="27" t="n">
        <v>0.06</v>
      </c>
      <c r="I523" s="6" t="n">
        <v>1442</v>
      </c>
      <c r="J523" s="138" t="n">
        <v>270000</v>
      </c>
    </row>
    <row r="524" hidden="1" s="93">
      <c r="B524" s="5" t="inlineStr">
        <is>
          <t>쇼피인도네시아</t>
        </is>
      </c>
      <c r="C524" s="94" t="inlineStr">
        <is>
          <t>클렌징폼</t>
        </is>
      </c>
      <c r="D524" s="94" t="inlineStr">
        <is>
          <t>200831=클렌징폼 120ml</t>
        </is>
      </c>
      <c r="E524" s="6" t="n">
        <v>200801</v>
      </c>
      <c r="F524" s="7">
        <f>B524&amp;C524&amp;D524&amp;E524</f>
        <v/>
      </c>
      <c r="G524" s="6" t="n">
        <v>13838</v>
      </c>
      <c r="H524" s="27" t="n">
        <v>0.06</v>
      </c>
      <c r="I524" s="6" t="n">
        <v>2750</v>
      </c>
      <c r="J524" s="138" t="n">
        <v>170000</v>
      </c>
    </row>
    <row r="525" hidden="1" s="93">
      <c r="B525" s="5" t="inlineStr">
        <is>
          <t>쇼피인도네시아</t>
        </is>
      </c>
      <c r="C525" s="94" t="inlineStr">
        <is>
          <t>앰플</t>
        </is>
      </c>
      <c r="D525" s="94" t="inlineStr">
        <is>
          <t>200831=앰플 30ml</t>
        </is>
      </c>
      <c r="E525" s="6" t="n">
        <v>200801</v>
      </c>
      <c r="F525" s="7">
        <f>B525&amp;C525&amp;D525&amp;E525</f>
        <v/>
      </c>
      <c r="G525" s="6" t="n">
        <v>29304</v>
      </c>
      <c r="H525" s="27" t="n">
        <v>0.06</v>
      </c>
      <c r="I525" s="6" t="n">
        <v>3397</v>
      </c>
      <c r="J525" s="138" t="n">
        <v>360000</v>
      </c>
    </row>
    <row r="526" hidden="1" s="93">
      <c r="B526" s="5" t="inlineStr">
        <is>
          <t>쇼피인도네시아</t>
        </is>
      </c>
      <c r="C526" s="94" t="inlineStr">
        <is>
          <t>선크림</t>
        </is>
      </c>
      <c r="D526" s="94" t="inlineStr">
        <is>
          <t>200831=선크림 50ml</t>
        </is>
      </c>
      <c r="E526" s="6" t="n">
        <v>200801</v>
      </c>
      <c r="F526" s="7">
        <f>B526&amp;C526&amp;D526&amp;E526</f>
        <v/>
      </c>
      <c r="G526" s="6" t="n">
        <v>21978</v>
      </c>
      <c r="H526" s="27" t="n">
        <v>0.06</v>
      </c>
      <c r="I526" s="6" t="n">
        <v>2345</v>
      </c>
      <c r="J526" s="138" t="n">
        <v>270000</v>
      </c>
    </row>
    <row r="527" hidden="1" s="93">
      <c r="B527" s="5" t="inlineStr">
        <is>
          <t>쇼피인도네시아</t>
        </is>
      </c>
      <c r="C527" s="94" t="inlineStr">
        <is>
          <t>토너</t>
        </is>
      </c>
      <c r="D527" s="94" t="inlineStr">
        <is>
          <t>200831=250ml = 화장솜 60P</t>
        </is>
      </c>
      <c r="E527" s="6" t="n">
        <v>200801</v>
      </c>
      <c r="F527" s="7">
        <f>B527&amp;C527&amp;D527&amp;E527</f>
        <v/>
      </c>
      <c r="G527" s="6" t="n">
        <v>5698</v>
      </c>
      <c r="H527" s="27" t="n">
        <v>0.06</v>
      </c>
      <c r="I527" s="6" t="n">
        <v>1110</v>
      </c>
      <c r="J527" s="138" t="n">
        <v>70000</v>
      </c>
    </row>
    <row r="528" hidden="1" s="93">
      <c r="B528" s="5" t="inlineStr">
        <is>
          <t>쇼피인도네시아</t>
        </is>
      </c>
      <c r="C528" s="94" t="inlineStr">
        <is>
          <t>토너</t>
        </is>
      </c>
      <c r="D528" s="94" t="inlineStr">
        <is>
          <t>200831=250ml = 화장솜 60P X 2</t>
        </is>
      </c>
      <c r="E528" s="6" t="n">
        <v>200801</v>
      </c>
      <c r="F528" s="7">
        <f>B528&amp;C528&amp;D528&amp;E528</f>
        <v/>
      </c>
      <c r="G528" s="6" t="n">
        <v>8954</v>
      </c>
      <c r="H528" s="27" t="n">
        <v>0.06</v>
      </c>
      <c r="I528" s="6" t="n">
        <v>2220</v>
      </c>
      <c r="J528" s="138" t="n">
        <v>110000</v>
      </c>
    </row>
    <row r="529" hidden="1" s="93">
      <c r="B529" s="5" t="inlineStr">
        <is>
          <t>쇼피대만</t>
        </is>
      </c>
      <c r="C529" s="94" t="inlineStr">
        <is>
          <t>토너</t>
        </is>
      </c>
      <c r="D529" s="94" t="inlineStr">
        <is>
          <t>200831=250ml</t>
        </is>
      </c>
      <c r="E529" s="6" t="n">
        <v>200801</v>
      </c>
      <c r="F529" s="7">
        <f>B529&amp;C529&amp;D529&amp;E529</f>
        <v/>
      </c>
      <c r="G529" s="6" t="n">
        <v>19978</v>
      </c>
      <c r="H529" s="139" t="n">
        <v>0.092</v>
      </c>
      <c r="I529" s="6" t="n">
        <v>3080</v>
      </c>
      <c r="J529" s="140" t="n">
        <v>496</v>
      </c>
    </row>
    <row r="530" hidden="1" s="93">
      <c r="B530" s="5" t="inlineStr">
        <is>
          <t>쇼피대만</t>
        </is>
      </c>
      <c r="C530" s="94" t="inlineStr">
        <is>
          <t>토너</t>
        </is>
      </c>
      <c r="D530" s="94" t="inlineStr">
        <is>
          <t>200831=500ml</t>
        </is>
      </c>
      <c r="E530" s="6" t="n">
        <v>200801</v>
      </c>
      <c r="F530" s="7">
        <f>B530&amp;C530&amp;D530&amp;E530</f>
        <v/>
      </c>
      <c r="G530" s="6" t="n">
        <v>35455</v>
      </c>
      <c r="H530" s="139" t="n">
        <v>0.092</v>
      </c>
      <c r="I530" s="6" t="n">
        <v>4330</v>
      </c>
      <c r="J530" s="140" t="n">
        <v>880</v>
      </c>
    </row>
    <row r="531" hidden="1" s="93">
      <c r="B531" s="5" t="inlineStr">
        <is>
          <t>쇼피대만</t>
        </is>
      </c>
      <c r="C531" s="94" t="inlineStr">
        <is>
          <t>마스크팩</t>
        </is>
      </c>
      <c r="D531" s="94" t="inlineStr">
        <is>
          <t>200831=마스크팩 10매</t>
        </is>
      </c>
      <c r="E531" s="6" t="n">
        <v>200801</v>
      </c>
      <c r="F531" s="7">
        <f>B531&amp;C531&amp;D531&amp;E531</f>
        <v/>
      </c>
      <c r="G531" s="6" t="n">
        <v>31901</v>
      </c>
      <c r="H531" s="139" t="n">
        <v>0.092</v>
      </c>
      <c r="I531" s="6" t="n">
        <v>3970</v>
      </c>
      <c r="J531" s="140" t="n">
        <v>792</v>
      </c>
    </row>
    <row r="532" hidden="1" s="93">
      <c r="B532" s="5" t="inlineStr">
        <is>
          <t>쇼피대만</t>
        </is>
      </c>
      <c r="C532" s="94" t="inlineStr">
        <is>
          <t>수딩크림</t>
        </is>
      </c>
      <c r="D532" s="94" t="inlineStr">
        <is>
          <t>200831=수딩크림 100ml</t>
        </is>
      </c>
      <c r="E532" s="6" t="n">
        <v>200801</v>
      </c>
      <c r="F532" s="7">
        <f>B532&amp;C532&amp;D532&amp;E532</f>
        <v/>
      </c>
      <c r="G532" s="6" t="n">
        <v>30290</v>
      </c>
      <c r="H532" s="139" t="n">
        <v>0.092</v>
      </c>
      <c r="I532" s="6" t="n">
        <v>4275</v>
      </c>
      <c r="J532" s="140" t="n">
        <v>752</v>
      </c>
    </row>
    <row r="533" hidden="1" s="93">
      <c r="B533" s="5" t="inlineStr">
        <is>
          <t>쇼피대만</t>
        </is>
      </c>
      <c r="C533" s="94" t="inlineStr">
        <is>
          <t>머드크림마스크</t>
        </is>
      </c>
      <c r="D533" s="94" t="inlineStr">
        <is>
          <t>200831=머드크림마스크 100ml</t>
        </is>
      </c>
      <c r="E533" s="6" t="n">
        <v>200801</v>
      </c>
      <c r="F533" s="7">
        <f>B533&amp;C533&amp;D533&amp;E533</f>
        <v/>
      </c>
      <c r="G533" s="6" t="n">
        <v>19978</v>
      </c>
      <c r="H533" s="139" t="n">
        <v>0.092</v>
      </c>
      <c r="I533" s="6" t="n">
        <v>1442</v>
      </c>
      <c r="J533" s="140" t="n">
        <v>496</v>
      </c>
    </row>
    <row r="534" hidden="1" s="93">
      <c r="B534" s="5" t="inlineStr">
        <is>
          <t>쇼피대만</t>
        </is>
      </c>
      <c r="C534" s="94" t="inlineStr">
        <is>
          <t>클렌징폼</t>
        </is>
      </c>
      <c r="D534" s="94" t="inlineStr">
        <is>
          <t>200831=클렌징폼 120ml</t>
        </is>
      </c>
      <c r="E534" s="6" t="n">
        <v>200801</v>
      </c>
      <c r="F534" s="7">
        <f>B534&amp;C534&amp;D534&amp;E534</f>
        <v/>
      </c>
      <c r="G534" s="6" t="n">
        <v>12567</v>
      </c>
      <c r="H534" s="139" t="n">
        <v>0.092</v>
      </c>
      <c r="I534" s="6" t="n">
        <v>2750</v>
      </c>
      <c r="J534" s="140" t="n">
        <v>312</v>
      </c>
    </row>
    <row r="535" hidden="1" s="93">
      <c r="B535" s="5" t="inlineStr">
        <is>
          <t>쇼피대만</t>
        </is>
      </c>
      <c r="C535" s="94" t="inlineStr">
        <is>
          <t>앰플</t>
        </is>
      </c>
      <c r="D535" s="94" t="inlineStr">
        <is>
          <t>200831=앰플 30ml</t>
        </is>
      </c>
      <c r="E535" s="6" t="n">
        <v>200801</v>
      </c>
      <c r="F535" s="7">
        <f>B535&amp;C535&amp;D535&amp;E535</f>
        <v/>
      </c>
      <c r="G535" s="6" t="n">
        <v>26101</v>
      </c>
      <c r="H535" s="139" t="n">
        <v>0.092</v>
      </c>
      <c r="I535" s="6" t="n">
        <v>3397</v>
      </c>
      <c r="J535" s="140" t="n">
        <v>648</v>
      </c>
    </row>
    <row r="536" hidden="1" s="93">
      <c r="B536" s="5" t="inlineStr">
        <is>
          <t>쇼피대만</t>
        </is>
      </c>
      <c r="C536" s="94" t="inlineStr">
        <is>
          <t>선크림</t>
        </is>
      </c>
      <c r="D536" s="94" t="inlineStr">
        <is>
          <t>200831=선크림 50ml</t>
        </is>
      </c>
      <c r="E536" s="6" t="n">
        <v>200801</v>
      </c>
      <c r="F536" s="7">
        <f>B536&amp;C536&amp;D536&amp;E536</f>
        <v/>
      </c>
      <c r="G536" s="6" t="n">
        <v>19978</v>
      </c>
      <c r="H536" s="139" t="n">
        <v>0.092</v>
      </c>
      <c r="I536" s="6" t="n">
        <v>2345</v>
      </c>
      <c r="J536" s="140" t="n">
        <v>496</v>
      </c>
    </row>
    <row r="537" hidden="1" s="93">
      <c r="B537" s="5" t="inlineStr">
        <is>
          <t>쇼피대만</t>
        </is>
      </c>
      <c r="C537" s="94" t="inlineStr">
        <is>
          <t>토너</t>
        </is>
      </c>
      <c r="D537" s="94" t="inlineStr">
        <is>
          <t>200831=250ml = 화장솜 60P</t>
        </is>
      </c>
      <c r="E537" s="6" t="n">
        <v>200801</v>
      </c>
      <c r="F537" s="7">
        <f>B537&amp;C537&amp;D537&amp;E537</f>
        <v/>
      </c>
      <c r="G537" s="6" t="n">
        <v>2497</v>
      </c>
      <c r="H537" s="139" t="n">
        <v>0.092</v>
      </c>
      <c r="I537" s="6" t="n">
        <v>1110</v>
      </c>
      <c r="J537" s="141" t="n">
        <v>62</v>
      </c>
    </row>
    <row r="538" hidden="1" s="93">
      <c r="B538" s="5" t="inlineStr">
        <is>
          <t>쇼피대만</t>
        </is>
      </c>
      <c r="C538" s="94" t="inlineStr">
        <is>
          <t>토너</t>
        </is>
      </c>
      <c r="D538" s="94" t="inlineStr">
        <is>
          <t>200831=250ml = 화장솜 60P X 2</t>
        </is>
      </c>
      <c r="E538" s="6" t="n">
        <v>200801</v>
      </c>
      <c r="F538" s="7">
        <f>B538&amp;C538&amp;D538&amp;E538</f>
        <v/>
      </c>
      <c r="G538" s="6" t="n">
        <v>3544</v>
      </c>
      <c r="H538" s="139" t="n">
        <v>0.092</v>
      </c>
      <c r="I538" s="6" t="n">
        <v>2220</v>
      </c>
      <c r="J538" s="141" t="n">
        <v>88</v>
      </c>
    </row>
    <row r="539" hidden="1" s="93">
      <c r="B539" s="5" t="inlineStr">
        <is>
          <t>쇼피베트남</t>
        </is>
      </c>
      <c r="C539" s="94" t="inlineStr">
        <is>
          <t>토너</t>
        </is>
      </c>
      <c r="D539" s="94" t="inlineStr">
        <is>
          <t>200831=250ml</t>
        </is>
      </c>
      <c r="E539" s="6" t="n">
        <v>200801</v>
      </c>
      <c r="F539" s="7">
        <f>B539&amp;C539&amp;D539&amp;E539</f>
        <v/>
      </c>
      <c r="G539" s="6" t="n">
        <v>25296</v>
      </c>
      <c r="H539" s="27" t="n">
        <v>0.08</v>
      </c>
      <c r="I539" s="6" t="n">
        <v>3080</v>
      </c>
      <c r="J539" s="142" t="n">
        <v>496000</v>
      </c>
    </row>
    <row r="540" hidden="1" s="93">
      <c r="B540" s="5" t="inlineStr">
        <is>
          <t>쇼피베트남</t>
        </is>
      </c>
      <c r="C540" s="94" t="inlineStr">
        <is>
          <t>토너</t>
        </is>
      </c>
      <c r="D540" s="94" t="inlineStr">
        <is>
          <t>200831=500ml</t>
        </is>
      </c>
      <c r="E540" s="6" t="n">
        <v>200801</v>
      </c>
      <c r="F540" s="7">
        <f>B540&amp;C540&amp;D540&amp;E540</f>
        <v/>
      </c>
      <c r="G540" s="6" t="n">
        <v>44880</v>
      </c>
      <c r="H540" s="27" t="n">
        <v>0.08</v>
      </c>
      <c r="I540" s="6" t="n">
        <v>4330</v>
      </c>
      <c r="J540" s="142" t="n">
        <v>880000</v>
      </c>
    </row>
    <row r="541" hidden="1" s="93">
      <c r="B541" s="5" t="inlineStr">
        <is>
          <t>쇼피베트남</t>
        </is>
      </c>
      <c r="C541" s="94" t="inlineStr">
        <is>
          <t>마스크팩</t>
        </is>
      </c>
      <c r="D541" s="94" t="inlineStr">
        <is>
          <t>200831=마스크팩 10매</t>
        </is>
      </c>
      <c r="E541" s="6" t="n">
        <v>200801</v>
      </c>
      <c r="F541" s="7">
        <f>B541&amp;C541&amp;D541&amp;E541</f>
        <v/>
      </c>
      <c r="G541" s="6" t="n">
        <v>40392</v>
      </c>
      <c r="H541" s="27" t="n">
        <v>0.08</v>
      </c>
      <c r="I541" s="6" t="n">
        <v>3970</v>
      </c>
      <c r="J541" s="142" t="n">
        <v>792000</v>
      </c>
    </row>
    <row r="542" hidden="1" s="93">
      <c r="B542" s="5" t="inlineStr">
        <is>
          <t>쇼피베트남</t>
        </is>
      </c>
      <c r="C542" s="94" t="inlineStr">
        <is>
          <t>수딩크림</t>
        </is>
      </c>
      <c r="D542" s="94" t="inlineStr">
        <is>
          <t>200831=수딩크림 100ml</t>
        </is>
      </c>
      <c r="E542" s="6" t="n">
        <v>200801</v>
      </c>
      <c r="F542" s="7">
        <f>B542&amp;C542&amp;D542&amp;E542</f>
        <v/>
      </c>
      <c r="G542" s="6" t="n">
        <v>38352</v>
      </c>
      <c r="H542" s="27" t="n">
        <v>0.08</v>
      </c>
      <c r="I542" s="6" t="n">
        <v>4275</v>
      </c>
      <c r="J542" s="142" t="n">
        <v>752000</v>
      </c>
    </row>
    <row r="543" hidden="1" s="93">
      <c r="B543" s="5" t="inlineStr">
        <is>
          <t>쇼피베트남</t>
        </is>
      </c>
      <c r="C543" s="94" t="inlineStr">
        <is>
          <t>머드크림마스크</t>
        </is>
      </c>
      <c r="D543" s="94" t="inlineStr">
        <is>
          <t>200831=머드크림마스크 100ml</t>
        </is>
      </c>
      <c r="E543" s="6" t="n">
        <v>200801</v>
      </c>
      <c r="F543" s="7">
        <f>B543&amp;C543&amp;D543&amp;E543</f>
        <v/>
      </c>
      <c r="G543" s="6" t="n">
        <v>25296</v>
      </c>
      <c r="H543" s="27" t="n">
        <v>0.08</v>
      </c>
      <c r="I543" s="6" t="n">
        <v>1442</v>
      </c>
      <c r="J543" s="142" t="n">
        <v>496000</v>
      </c>
    </row>
    <row r="544" hidden="1" s="93">
      <c r="B544" s="5" t="inlineStr">
        <is>
          <t>쇼피베트남</t>
        </is>
      </c>
      <c r="C544" s="94" t="inlineStr">
        <is>
          <t>클렌징폼</t>
        </is>
      </c>
      <c r="D544" s="94" t="inlineStr">
        <is>
          <t>200831=클렌징폼 120ml</t>
        </is>
      </c>
      <c r="E544" s="6" t="n">
        <v>200801</v>
      </c>
      <c r="F544" s="7">
        <f>B544&amp;C544&amp;D544&amp;E544</f>
        <v/>
      </c>
      <c r="G544" s="6" t="n">
        <v>15912</v>
      </c>
      <c r="H544" s="27" t="n">
        <v>0.08</v>
      </c>
      <c r="I544" s="6" t="n">
        <v>2750</v>
      </c>
      <c r="J544" s="142" t="n">
        <v>312000</v>
      </c>
    </row>
    <row r="545" hidden="1" s="93">
      <c r="B545" s="5" t="inlineStr">
        <is>
          <t>쇼피베트남</t>
        </is>
      </c>
      <c r="C545" s="94" t="inlineStr">
        <is>
          <t>앰플</t>
        </is>
      </c>
      <c r="D545" s="94" t="inlineStr">
        <is>
          <t>200831=앰플 30ml</t>
        </is>
      </c>
      <c r="E545" s="6" t="n">
        <v>200801</v>
      </c>
      <c r="F545" s="7">
        <f>B545&amp;C545&amp;D545&amp;E545</f>
        <v/>
      </c>
      <c r="G545" s="6" t="n">
        <v>33048</v>
      </c>
      <c r="H545" s="27" t="n">
        <v>0.08</v>
      </c>
      <c r="I545" s="6" t="n">
        <v>3397</v>
      </c>
      <c r="J545" s="142" t="n">
        <v>648000</v>
      </c>
    </row>
    <row r="546" hidden="1" s="93">
      <c r="B546" s="5" t="inlineStr">
        <is>
          <t>쇼피베트남</t>
        </is>
      </c>
      <c r="C546" s="94" t="inlineStr">
        <is>
          <t>선크림</t>
        </is>
      </c>
      <c r="D546" s="94" t="inlineStr">
        <is>
          <t>200831=선크림 50ml</t>
        </is>
      </c>
      <c r="E546" s="6" t="n">
        <v>200801</v>
      </c>
      <c r="F546" s="7">
        <f>B546&amp;C546&amp;D546&amp;E546</f>
        <v/>
      </c>
      <c r="G546" s="6" t="n">
        <v>25296</v>
      </c>
      <c r="H546" s="27" t="n">
        <v>0.08</v>
      </c>
      <c r="I546" s="6" t="n">
        <v>2345</v>
      </c>
      <c r="J546" s="142" t="n">
        <v>496000</v>
      </c>
    </row>
    <row r="547" hidden="1" s="93">
      <c r="B547" s="5" t="inlineStr">
        <is>
          <t>쇼피베트남</t>
        </is>
      </c>
      <c r="C547" s="94" t="inlineStr">
        <is>
          <t>토너</t>
        </is>
      </c>
      <c r="D547" s="94" t="inlineStr">
        <is>
          <t>200831=250ml = 화장솜 60P</t>
        </is>
      </c>
      <c r="E547" s="6" t="n">
        <v>200801</v>
      </c>
      <c r="F547" s="7">
        <f>B547&amp;C547&amp;D547&amp;E547</f>
        <v/>
      </c>
      <c r="G547" s="6" t="n">
        <v>3162</v>
      </c>
      <c r="H547" s="27" t="n">
        <v>0.08</v>
      </c>
      <c r="I547" s="6" t="n">
        <v>1110</v>
      </c>
      <c r="J547" s="142" t="n">
        <v>62000</v>
      </c>
    </row>
    <row r="548" hidden="1" s="93">
      <c r="B548" s="5" t="inlineStr">
        <is>
          <t>쇼피베트남</t>
        </is>
      </c>
      <c r="C548" s="94" t="inlineStr">
        <is>
          <t>토너</t>
        </is>
      </c>
      <c r="D548" s="94" t="inlineStr">
        <is>
          <t>200831=250ml = 화장솜 60P X 2</t>
        </is>
      </c>
      <c r="E548" s="6" t="n">
        <v>200801</v>
      </c>
      <c r="F548" s="7">
        <f>B548&amp;C548&amp;D548&amp;E548</f>
        <v/>
      </c>
      <c r="G548" s="6" t="n">
        <v>4488</v>
      </c>
      <c r="H548" s="27" t="n">
        <v>0.08</v>
      </c>
      <c r="I548" s="6" t="n">
        <v>2220</v>
      </c>
      <c r="J548" s="142" t="n">
        <v>88000</v>
      </c>
    </row>
    <row r="549" hidden="1" s="93">
      <c r="B549" s="5" t="inlineStr">
        <is>
          <t>쇼피싱가폴</t>
        </is>
      </c>
      <c r="C549" s="94" t="inlineStr">
        <is>
          <t>토너</t>
        </is>
      </c>
      <c r="D549" s="94" t="inlineStr">
        <is>
          <t>200831=250ml</t>
        </is>
      </c>
      <c r="E549" s="6" t="n">
        <v>200801</v>
      </c>
      <c r="F549" s="7">
        <f>B549&amp;C549&amp;D549&amp;E549</f>
        <v/>
      </c>
      <c r="G549" s="6" t="n">
        <v>23073</v>
      </c>
      <c r="H549" s="30" t="n">
        <v>0.07140000000000001</v>
      </c>
      <c r="I549" s="6" t="n">
        <v>3080</v>
      </c>
      <c r="J549" s="143" t="inlineStr">
        <is>
          <t>S$26.5</t>
        </is>
      </c>
    </row>
    <row r="550" hidden="1" s="93">
      <c r="B550" s="5" t="inlineStr">
        <is>
          <t>쇼피싱가폴</t>
        </is>
      </c>
      <c r="C550" s="94" t="inlineStr">
        <is>
          <t>토너</t>
        </is>
      </c>
      <c r="D550" s="94" t="inlineStr">
        <is>
          <t>200831=500ml</t>
        </is>
      </c>
      <c r="E550" s="6" t="n">
        <v>200801</v>
      </c>
      <c r="F550" s="7">
        <f>B550&amp;C550&amp;D550&amp;E550</f>
        <v/>
      </c>
      <c r="G550" s="6" t="n">
        <v>44841</v>
      </c>
      <c r="H550" s="30" t="n">
        <v>0.07140000000000001</v>
      </c>
      <c r="I550" s="6" t="n">
        <v>4330</v>
      </c>
      <c r="J550" s="143" t="inlineStr">
        <is>
          <t>S$51.5</t>
        </is>
      </c>
    </row>
    <row r="551" hidden="1" s="93">
      <c r="B551" s="5" t="inlineStr">
        <is>
          <t>쇼피싱가폴</t>
        </is>
      </c>
      <c r="C551" s="94" t="inlineStr">
        <is>
          <t>마스크팩</t>
        </is>
      </c>
      <c r="D551" s="94" t="inlineStr">
        <is>
          <t>200831=마스크팩 10매</t>
        </is>
      </c>
      <c r="E551" s="6" t="n">
        <v>200801</v>
      </c>
      <c r="F551" s="7">
        <f>B551&amp;C551&amp;D551&amp;E551</f>
        <v/>
      </c>
      <c r="G551" s="6" t="n">
        <v>40052</v>
      </c>
      <c r="H551" s="30" t="n">
        <v>0.07140000000000001</v>
      </c>
      <c r="I551" s="6" t="n">
        <v>3970</v>
      </c>
      <c r="J551" s="143" t="inlineStr">
        <is>
          <t>S$46</t>
        </is>
      </c>
    </row>
    <row r="552" hidden="1" s="93">
      <c r="B552" s="5" t="inlineStr">
        <is>
          <t>쇼피싱가폴</t>
        </is>
      </c>
      <c r="C552" s="94" t="inlineStr">
        <is>
          <t>수딩크림</t>
        </is>
      </c>
      <c r="D552" s="94" t="inlineStr">
        <is>
          <t>200831=수딩크림 100ml</t>
        </is>
      </c>
      <c r="E552" s="6" t="n">
        <v>200801</v>
      </c>
      <c r="F552" s="7">
        <f>B552&amp;C552&amp;D552&amp;E552</f>
        <v/>
      </c>
      <c r="G552" s="6" t="n">
        <v>36569</v>
      </c>
      <c r="H552" s="30" t="n">
        <v>0.07140000000000001</v>
      </c>
      <c r="I552" s="6" t="n">
        <v>4275</v>
      </c>
      <c r="J552" s="143" t="inlineStr">
        <is>
          <t>S$42</t>
        </is>
      </c>
    </row>
    <row r="553" hidden="1" s="93">
      <c r="B553" s="5" t="inlineStr">
        <is>
          <t>쇼피싱가폴</t>
        </is>
      </c>
      <c r="C553" s="94" t="inlineStr">
        <is>
          <t>머드크림마스크</t>
        </is>
      </c>
      <c r="D553" s="94" t="inlineStr">
        <is>
          <t>200831=머드크림마스크 100ml</t>
        </is>
      </c>
      <c r="E553" s="6" t="n">
        <v>200801</v>
      </c>
      <c r="F553" s="7">
        <f>B553&amp;C553&amp;D553&amp;E553</f>
        <v/>
      </c>
      <c r="G553" s="6" t="n">
        <v>24379</v>
      </c>
      <c r="H553" s="30" t="n">
        <v>0.07140000000000001</v>
      </c>
      <c r="I553" s="6" t="n">
        <v>1442</v>
      </c>
      <c r="J553" s="143" t="inlineStr">
        <is>
          <t>S$28</t>
        </is>
      </c>
    </row>
    <row r="554" hidden="1" s="93">
      <c r="B554" s="5" t="inlineStr">
        <is>
          <t>쇼피싱가폴</t>
        </is>
      </c>
      <c r="C554" s="94" t="inlineStr">
        <is>
          <t>클렌징폼</t>
        </is>
      </c>
      <c r="D554" s="94" t="inlineStr">
        <is>
          <t>200831=클렌징폼 120ml</t>
        </is>
      </c>
      <c r="E554" s="6" t="n">
        <v>200801</v>
      </c>
      <c r="F554" s="7">
        <f>B554&amp;C554&amp;D554&amp;E554</f>
        <v/>
      </c>
      <c r="G554" s="6" t="n">
        <v>16108</v>
      </c>
      <c r="H554" s="30" t="n">
        <v>0.07140000000000001</v>
      </c>
      <c r="I554" s="6" t="n">
        <v>2750</v>
      </c>
      <c r="J554" s="143" t="inlineStr">
        <is>
          <t>S$18.5</t>
        </is>
      </c>
    </row>
    <row r="555" hidden="1" s="93">
      <c r="B555" s="5" t="inlineStr">
        <is>
          <t>쇼피싱가폴</t>
        </is>
      </c>
      <c r="C555" s="94" t="inlineStr">
        <is>
          <t>앰플</t>
        </is>
      </c>
      <c r="D555" s="94" t="inlineStr">
        <is>
          <t>200831=앰플 30ml</t>
        </is>
      </c>
      <c r="E555" s="6" t="n">
        <v>200801</v>
      </c>
      <c r="F555" s="7">
        <f>B555&amp;C555&amp;D555&amp;E555</f>
        <v/>
      </c>
      <c r="G555" s="6" t="n">
        <v>33086</v>
      </c>
      <c r="H555" s="30" t="n">
        <v>0.07140000000000001</v>
      </c>
      <c r="I555" s="6" t="n">
        <v>3397</v>
      </c>
      <c r="J555" s="143" t="inlineStr">
        <is>
          <t>S$38</t>
        </is>
      </c>
    </row>
    <row r="556" hidden="1" s="93">
      <c r="B556" s="5" t="inlineStr">
        <is>
          <t>쇼피싱가폴</t>
        </is>
      </c>
      <c r="C556" s="94" t="inlineStr">
        <is>
          <t>선크림</t>
        </is>
      </c>
      <c r="D556" s="94" t="inlineStr">
        <is>
          <t>200831=선크림 50ml</t>
        </is>
      </c>
      <c r="E556" s="6" t="n">
        <v>200801</v>
      </c>
      <c r="F556" s="7">
        <f>B556&amp;C556&amp;D556&amp;E556</f>
        <v/>
      </c>
      <c r="G556" s="6" t="n">
        <v>24379</v>
      </c>
      <c r="H556" s="30" t="n">
        <v>0.07140000000000001</v>
      </c>
      <c r="I556" s="6" t="n">
        <v>2345</v>
      </c>
      <c r="J556" s="143" t="inlineStr">
        <is>
          <t>S$28</t>
        </is>
      </c>
    </row>
    <row r="557" hidden="1" s="93">
      <c r="B557" s="5" t="inlineStr">
        <is>
          <t>쇼피싱가폴</t>
        </is>
      </c>
      <c r="C557" s="94" t="inlineStr">
        <is>
          <t>토너</t>
        </is>
      </c>
      <c r="D557" s="94" t="inlineStr">
        <is>
          <t>200831=250ml = 화장솜 60P</t>
        </is>
      </c>
      <c r="E557" s="6" t="n">
        <v>200801</v>
      </c>
      <c r="F557" s="7">
        <f>B557&amp;C557&amp;D557&amp;E557</f>
        <v/>
      </c>
      <c r="G557" s="6" t="n">
        <v>4788</v>
      </c>
      <c r="H557" s="30" t="n">
        <v>0.07140000000000001</v>
      </c>
      <c r="I557" s="6" t="n">
        <v>1110</v>
      </c>
      <c r="J557" s="144" t="inlineStr">
        <is>
          <t>S$5.5</t>
        </is>
      </c>
    </row>
    <row r="558" hidden="1" s="93">
      <c r="B558" s="5" t="inlineStr">
        <is>
          <t>쇼피싱가폴</t>
        </is>
      </c>
      <c r="C558" s="94" t="inlineStr">
        <is>
          <t>토너</t>
        </is>
      </c>
      <c r="D558" s="94" t="inlineStr">
        <is>
          <t>200831=250ml = 화장솜 60P X 2</t>
        </is>
      </c>
      <c r="E558" s="6" t="n">
        <v>200801</v>
      </c>
      <c r="F558" s="7">
        <f>B558&amp;C558&amp;D558&amp;E558</f>
        <v/>
      </c>
      <c r="G558" s="6" t="n">
        <v>7401</v>
      </c>
      <c r="H558" s="30" t="n">
        <v>0.07140000000000001</v>
      </c>
      <c r="I558" s="6" t="n">
        <v>2220</v>
      </c>
      <c r="J558" s="144" t="inlineStr">
        <is>
          <t>S$8.5</t>
        </is>
      </c>
    </row>
    <row r="559" hidden="1" s="93">
      <c r="B559" s="5" t="inlineStr">
        <is>
          <t>쇼피싱가폴</t>
        </is>
      </c>
      <c r="C559" s="94" t="inlineStr">
        <is>
          <t>토너</t>
        </is>
      </c>
      <c r="D559" s="94" t="inlineStr">
        <is>
          <t>200831=500ml = 화장솜 60P</t>
        </is>
      </c>
      <c r="E559" s="6" t="n">
        <v>200801</v>
      </c>
      <c r="F559" s="7">
        <f>B559&amp;C559&amp;D559&amp;E559</f>
        <v/>
      </c>
      <c r="G559" s="6" t="n">
        <v>3047</v>
      </c>
      <c r="H559" s="30" t="n">
        <v>0.07140000000000001</v>
      </c>
      <c r="I559" s="6" t="n">
        <v>1110</v>
      </c>
      <c r="J559" s="144" t="inlineStr">
        <is>
          <t>S$3.5</t>
        </is>
      </c>
    </row>
    <row r="560" hidden="1" s="93">
      <c r="B560" s="5" t="inlineStr">
        <is>
          <t>쇼피싱가폴</t>
        </is>
      </c>
      <c r="C560" s="94" t="inlineStr">
        <is>
          <t>토너</t>
        </is>
      </c>
      <c r="D560" s="94" t="inlineStr">
        <is>
          <t>200831=500ml = 화장솜 60P X 2</t>
        </is>
      </c>
      <c r="E560" s="6" t="n">
        <v>200801</v>
      </c>
      <c r="F560" s="7">
        <f>B560&amp;C560&amp;D560&amp;E560</f>
        <v/>
      </c>
      <c r="G560" s="6" t="n">
        <v>6530</v>
      </c>
      <c r="H560" s="30" t="n">
        <v>0.07140000000000001</v>
      </c>
      <c r="I560" s="6" t="n">
        <v>2220</v>
      </c>
      <c r="J560" s="144" t="inlineStr">
        <is>
          <t>S$7.5</t>
        </is>
      </c>
    </row>
    <row r="561" hidden="1" s="93">
      <c r="B561" s="5" t="inlineStr">
        <is>
          <t>라자다싱가폴</t>
        </is>
      </c>
      <c r="C561" s="94" t="inlineStr">
        <is>
          <t>토너</t>
        </is>
      </c>
      <c r="D561" s="94" t="inlineStr">
        <is>
          <t>200831=250ml</t>
        </is>
      </c>
      <c r="E561" s="6" t="n">
        <v>200801</v>
      </c>
      <c r="F561" s="7">
        <f>B561&amp;C561&amp;D561&amp;E561</f>
        <v/>
      </c>
      <c r="G561" s="6" t="n">
        <v>24383</v>
      </c>
      <c r="H561" s="27" t="n">
        <v>0.07000000000000001</v>
      </c>
      <c r="I561" s="6" t="n">
        <v>3080</v>
      </c>
      <c r="J561" s="45" t="inlineStr">
        <is>
          <t>S$28</t>
        </is>
      </c>
    </row>
    <row r="562" hidden="1" s="93">
      <c r="B562" s="5" t="inlineStr">
        <is>
          <t>라자다싱가폴</t>
        </is>
      </c>
      <c r="C562" s="94" t="inlineStr">
        <is>
          <t>토너</t>
        </is>
      </c>
      <c r="D562" s="94" t="inlineStr">
        <is>
          <t>200831=500ml</t>
        </is>
      </c>
      <c r="E562" s="6" t="n">
        <v>200801</v>
      </c>
      <c r="F562" s="7">
        <f>B562&amp;C562&amp;D562&amp;E562</f>
        <v/>
      </c>
      <c r="G562" s="6" t="n">
        <v>45283</v>
      </c>
      <c r="H562" s="27" t="n">
        <v>0.07000000000000001</v>
      </c>
      <c r="I562" s="6" t="n">
        <v>4330</v>
      </c>
      <c r="J562" s="45" t="inlineStr">
        <is>
          <t>S$52</t>
        </is>
      </c>
    </row>
    <row r="563" hidden="1" s="93">
      <c r="B563" s="5" t="inlineStr">
        <is>
          <t>라자다싱가폴</t>
        </is>
      </c>
      <c r="C563" s="94" t="inlineStr">
        <is>
          <t>마스크팩</t>
        </is>
      </c>
      <c r="D563" s="94" t="inlineStr">
        <is>
          <t>200831=마스크팩 10매</t>
        </is>
      </c>
      <c r="E563" s="6" t="n">
        <v>200801</v>
      </c>
      <c r="F563" s="7">
        <f>B563&amp;C563&amp;D563&amp;E563</f>
        <v/>
      </c>
      <c r="G563" s="6" t="n">
        <v>39187</v>
      </c>
      <c r="H563" s="27" t="n">
        <v>0.07000000000000001</v>
      </c>
      <c r="I563" s="6" t="n">
        <v>3970</v>
      </c>
      <c r="J563" s="45" t="inlineStr">
        <is>
          <t>S$45</t>
        </is>
      </c>
    </row>
    <row r="564" hidden="1" s="93">
      <c r="B564" s="5" t="inlineStr">
        <is>
          <t>라자다싱가폴</t>
        </is>
      </c>
      <c r="C564" s="94" t="inlineStr">
        <is>
          <t>수딩크림</t>
        </is>
      </c>
      <c r="D564" s="94" t="inlineStr">
        <is>
          <t>200831=수딩크림 100ml</t>
        </is>
      </c>
      <c r="E564" s="6" t="n">
        <v>200801</v>
      </c>
      <c r="F564" s="7">
        <f>B564&amp;C564&amp;D564&amp;E564</f>
        <v/>
      </c>
      <c r="G564" s="6" t="n">
        <v>38316</v>
      </c>
      <c r="H564" s="27" t="n">
        <v>0.07000000000000001</v>
      </c>
      <c r="I564" s="6" t="n">
        <v>4275</v>
      </c>
      <c r="J564" s="45" t="inlineStr">
        <is>
          <t>S$44</t>
        </is>
      </c>
    </row>
    <row r="565" hidden="1" s="93">
      <c r="B565" s="5" t="inlineStr">
        <is>
          <t>라자다싱가폴</t>
        </is>
      </c>
      <c r="C565" s="94" t="inlineStr">
        <is>
          <t>머드크림마스크</t>
        </is>
      </c>
      <c r="D565" s="94" t="inlineStr">
        <is>
          <t>200831=머드크림마스크 100ml</t>
        </is>
      </c>
      <c r="E565" s="6" t="n">
        <v>200801</v>
      </c>
      <c r="F565" s="7">
        <f>B565&amp;C565&amp;D565&amp;E565</f>
        <v/>
      </c>
      <c r="G565" s="6" t="n">
        <v>24383</v>
      </c>
      <c r="H565" s="27" t="n">
        <v>0.07000000000000001</v>
      </c>
      <c r="I565" s="6" t="n">
        <v>1442</v>
      </c>
      <c r="J565" s="45" t="inlineStr">
        <is>
          <t>S$28</t>
        </is>
      </c>
    </row>
    <row r="566" hidden="1" s="93">
      <c r="B566" s="5" t="inlineStr">
        <is>
          <t>라자다싱가폴</t>
        </is>
      </c>
      <c r="C566" s="94" t="inlineStr">
        <is>
          <t>클렌징폼</t>
        </is>
      </c>
      <c r="D566" s="94" t="inlineStr">
        <is>
          <t>200831=클렌징폼 120ml</t>
        </is>
      </c>
      <c r="E566" s="6" t="n">
        <v>200801</v>
      </c>
      <c r="F566" s="7">
        <f>B566&amp;C566&amp;D566&amp;E566</f>
        <v/>
      </c>
      <c r="G566" s="6" t="n">
        <v>16110</v>
      </c>
      <c r="H566" s="27" t="n">
        <v>0.07000000000000001</v>
      </c>
      <c r="I566" s="6" t="n">
        <v>2750</v>
      </c>
      <c r="J566" s="45" t="inlineStr">
        <is>
          <t>S$18.5</t>
        </is>
      </c>
    </row>
    <row r="567" hidden="1" s="93">
      <c r="B567" s="5" t="inlineStr">
        <is>
          <t>라자다싱가폴</t>
        </is>
      </c>
      <c r="C567" s="94" t="inlineStr">
        <is>
          <t>앰플</t>
        </is>
      </c>
      <c r="D567" s="94" t="inlineStr">
        <is>
          <t>200831=앰플 30ml</t>
        </is>
      </c>
      <c r="E567" s="6" t="n">
        <v>200801</v>
      </c>
      <c r="F567" s="7">
        <f>B567&amp;C567&amp;D567&amp;E567</f>
        <v/>
      </c>
      <c r="G567" s="6" t="n">
        <v>33091</v>
      </c>
      <c r="H567" s="27" t="n">
        <v>0.07000000000000001</v>
      </c>
      <c r="I567" s="6" t="n">
        <v>3397</v>
      </c>
      <c r="J567" s="45" t="inlineStr">
        <is>
          <t>S$38</t>
        </is>
      </c>
    </row>
    <row r="568" hidden="1" s="93">
      <c r="B568" s="5" t="inlineStr">
        <is>
          <t>라자다싱가폴</t>
        </is>
      </c>
      <c r="C568" s="94" t="inlineStr">
        <is>
          <t>선크림</t>
        </is>
      </c>
      <c r="D568" s="94" t="inlineStr">
        <is>
          <t>200831=선크림 50ml</t>
        </is>
      </c>
      <c r="E568" s="6" t="n">
        <v>200801</v>
      </c>
      <c r="F568" s="7">
        <f>B568&amp;C568&amp;D568&amp;E568</f>
        <v/>
      </c>
      <c r="G568" s="6" t="n">
        <v>25254</v>
      </c>
      <c r="H568" s="27" t="n">
        <v>0.07000000000000001</v>
      </c>
      <c r="I568" s="6" t="n">
        <v>2345</v>
      </c>
      <c r="J568" s="45" t="inlineStr">
        <is>
          <t>S$29</t>
        </is>
      </c>
    </row>
    <row r="569">
      <c r="B569" s="5" t="inlineStr">
        <is>
          <t>굿닥</t>
        </is>
      </c>
      <c r="C569" s="94" t="inlineStr">
        <is>
          <t>토너</t>
        </is>
      </c>
      <c r="D569" s="94" t="inlineStr">
        <is>
          <t>250ml</t>
        </is>
      </c>
      <c r="E569" s="6" t="n">
        <v>200801</v>
      </c>
      <c r="F569" s="7">
        <f>B569&amp;C569&amp;D569&amp;E569</f>
        <v/>
      </c>
      <c r="G569" s="6" t="n">
        <v>25000</v>
      </c>
      <c r="H569" s="27" t="n">
        <v>0.3</v>
      </c>
      <c r="I569" s="6" t="n">
        <v>3080</v>
      </c>
      <c r="J569" s="45" t="n"/>
    </row>
    <row r="570">
      <c r="B570" s="5" t="inlineStr">
        <is>
          <t>굿닥</t>
        </is>
      </c>
      <c r="C570" s="94" t="inlineStr">
        <is>
          <t>머드크림마스크</t>
        </is>
      </c>
      <c r="D570" s="94" t="inlineStr">
        <is>
          <t>머드크림마스크 100ml</t>
        </is>
      </c>
      <c r="E570" s="6" t="n">
        <v>200801</v>
      </c>
      <c r="F570" s="7">
        <f>B570&amp;C570&amp;D570&amp;E570</f>
        <v/>
      </c>
      <c r="G570" s="6" t="n">
        <v>25000</v>
      </c>
      <c r="H570" s="27" t="n">
        <v>0.3</v>
      </c>
      <c r="I570" s="6" t="n">
        <v>1442</v>
      </c>
      <c r="J570" s="45" t="n"/>
    </row>
    <row r="571">
      <c r="B571" s="5" t="inlineStr">
        <is>
          <t>굿닥</t>
        </is>
      </c>
      <c r="C571" s="94" t="inlineStr">
        <is>
          <t>클렌징폼</t>
        </is>
      </c>
      <c r="D571" s="94" t="inlineStr">
        <is>
          <t>클렌징폼 120ml</t>
        </is>
      </c>
      <c r="E571" s="6" t="n">
        <v>200801</v>
      </c>
      <c r="F571" s="7">
        <f>B571&amp;C571&amp;D571&amp;E571</f>
        <v/>
      </c>
      <c r="G571" s="6" t="n">
        <v>16000</v>
      </c>
      <c r="H571" s="27" t="n">
        <v>0.3</v>
      </c>
      <c r="I571" s="6" t="n">
        <v>2750</v>
      </c>
      <c r="J571" s="45" t="n"/>
    </row>
    <row r="572">
      <c r="B572" s="5" t="inlineStr">
        <is>
          <t>굿닥</t>
        </is>
      </c>
      <c r="C572" s="94" t="inlineStr">
        <is>
          <t>마스크팩</t>
        </is>
      </c>
      <c r="D572" s="94" t="inlineStr">
        <is>
          <t>마스크팩 1매</t>
        </is>
      </c>
      <c r="E572" s="6" t="n">
        <v>200801</v>
      </c>
      <c r="F572" s="7">
        <f>B572&amp;C572&amp;D572&amp;E572</f>
        <v/>
      </c>
      <c r="G572" s="6" t="n">
        <v>4000</v>
      </c>
      <c r="H572" s="27" t="n">
        <v>0.3</v>
      </c>
      <c r="I572" s="6" t="n">
        <v>397</v>
      </c>
      <c r="J572" s="45" t="n"/>
    </row>
    <row r="573">
      <c r="B573" s="5" t="inlineStr">
        <is>
          <t>굿닥</t>
        </is>
      </c>
      <c r="C573" s="94" t="inlineStr">
        <is>
          <t>마스크팩</t>
        </is>
      </c>
      <c r="D573" s="94" t="inlineStr">
        <is>
          <t>마스크팩 10매</t>
        </is>
      </c>
      <c r="E573" s="6" t="n">
        <v>200801</v>
      </c>
      <c r="F573" s="7">
        <f>B573&amp;C573&amp;D573&amp;E573</f>
        <v/>
      </c>
      <c r="G573" s="6" t="n">
        <v>40000</v>
      </c>
      <c r="H573" s="27" t="n">
        <v>0.3</v>
      </c>
      <c r="I573" s="6" t="n">
        <v>3970</v>
      </c>
      <c r="J573" s="45" t="n"/>
    </row>
    <row r="574">
      <c r="B574" s="5" t="inlineStr">
        <is>
          <t>굿닥</t>
        </is>
      </c>
      <c r="C574" s="94" t="inlineStr">
        <is>
          <t>앰플</t>
        </is>
      </c>
      <c r="D574" s="94" t="inlineStr">
        <is>
          <t>앰플 30ml</t>
        </is>
      </c>
      <c r="E574" s="6" t="n">
        <v>200801</v>
      </c>
      <c r="F574" s="7">
        <f>B574&amp;C574&amp;D574&amp;E574</f>
        <v/>
      </c>
      <c r="G574" s="6" t="n">
        <v>33000</v>
      </c>
      <c r="H574" s="27" t="n">
        <v>0.3</v>
      </c>
      <c r="I574" s="6" t="n">
        <v>3397</v>
      </c>
      <c r="J574" s="45" t="n"/>
    </row>
    <row r="575">
      <c r="B575" s="5" t="inlineStr">
        <is>
          <t>굿닥</t>
        </is>
      </c>
      <c r="C575" s="94" t="inlineStr">
        <is>
          <t>수딩크림</t>
        </is>
      </c>
      <c r="D575" s="94" t="inlineStr">
        <is>
          <t>수딩크림 100ml</t>
        </is>
      </c>
      <c r="E575" s="6" t="n">
        <v>200801</v>
      </c>
      <c r="F575" s="7">
        <f>B575&amp;C575&amp;D575&amp;E575</f>
        <v/>
      </c>
      <c r="G575" s="6" t="n">
        <v>38000</v>
      </c>
      <c r="H575" s="27" t="n">
        <v>0.3</v>
      </c>
      <c r="I575" s="6" t="n">
        <v>3045</v>
      </c>
      <c r="J575" s="45" t="n"/>
    </row>
    <row r="576">
      <c r="B576" s="5" t="inlineStr">
        <is>
          <t>굿닥</t>
        </is>
      </c>
      <c r="C576" s="94" t="inlineStr">
        <is>
          <t>선크림</t>
        </is>
      </c>
      <c r="D576" s="94" t="inlineStr">
        <is>
          <t>선크림 50ml</t>
        </is>
      </c>
      <c r="E576" s="6" t="n">
        <v>200801</v>
      </c>
      <c r="F576" s="7">
        <f>B576&amp;C576&amp;D576&amp;E576</f>
        <v/>
      </c>
      <c r="G576" s="6" t="n">
        <v>25000</v>
      </c>
      <c r="H576" s="27" t="n">
        <v>0.3</v>
      </c>
      <c r="I576" s="6" t="n">
        <v>2345</v>
      </c>
      <c r="J576" s="45" t="n"/>
    </row>
    <row r="577">
      <c r="B577" s="5" t="inlineStr">
        <is>
          <t>카페24</t>
        </is>
      </c>
      <c r="C577" s="94" t="inlineStr">
        <is>
          <t>클리어 패드</t>
        </is>
      </c>
      <c r="D577" s="94" t="inlineStr">
        <is>
          <t>[플친단독할인] 어성초 77 클리어 패드 1개-29% off</t>
        </is>
      </c>
      <c r="E577" s="6" t="n">
        <v>200801</v>
      </c>
      <c r="F577" s="7">
        <f>B577&amp;C577&amp;D577&amp;E577</f>
        <v/>
      </c>
      <c r="G577" s="6" t="n">
        <v>19900</v>
      </c>
      <c r="H577" s="30" t="n">
        <v>0.0585</v>
      </c>
      <c r="I577" s="59" t="n">
        <v>5012</v>
      </c>
      <c r="J577" s="45" t="n"/>
    </row>
    <row r="578" ht="16.95" customHeight="1" s="93">
      <c r="B578" s="5" t="inlineStr">
        <is>
          <t>카페24</t>
        </is>
      </c>
      <c r="C578" s="94" t="inlineStr">
        <is>
          <t>클리어 패드</t>
        </is>
      </c>
      <c r="D578" s="94" t="inlineStr">
        <is>
          <t>[플친단독할인] 어성초 77 클리어 패드 2개-30% off</t>
        </is>
      </c>
      <c r="E578" s="6" t="n">
        <v>200801</v>
      </c>
      <c r="F578" s="7">
        <f>B578&amp;C578&amp;D578&amp;E578</f>
        <v/>
      </c>
      <c r="G578" s="6" t="n">
        <v>39200</v>
      </c>
      <c r="H578" s="30" t="n">
        <v>0.0585</v>
      </c>
      <c r="I578" s="59" t="n">
        <v>10024</v>
      </c>
      <c r="J578" s="45" t="n"/>
    </row>
    <row r="579">
      <c r="B579" s="5" t="inlineStr">
        <is>
          <t>카페24</t>
        </is>
      </c>
      <c r="C579" s="94" t="inlineStr">
        <is>
          <t>토너+패드 세트</t>
        </is>
      </c>
      <c r="D579" s="94" t="inlineStr">
        <is>
          <t>[플친단독할인] 좁쌀 진정 세트 토너+클리어 패드-30% off</t>
        </is>
      </c>
      <c r="E579" s="6" t="n">
        <v>200801</v>
      </c>
      <c r="F579" s="7">
        <f>B579&amp;C579&amp;D579&amp;E579</f>
        <v/>
      </c>
      <c r="G579" s="6" t="n">
        <v>37100</v>
      </c>
      <c r="H579" s="30" t="n">
        <v>0.0585</v>
      </c>
      <c r="I579" s="59" t="n">
        <v>8092</v>
      </c>
      <c r="J579" s="45" t="n"/>
    </row>
    <row r="580">
      <c r="B580" s="5" t="inlineStr">
        <is>
          <t>아누아 CS</t>
        </is>
      </c>
      <c r="C580" s="94" t="inlineStr">
        <is>
          <t>로션</t>
        </is>
      </c>
      <c r="D580" s="94" t="inlineStr">
        <is>
          <t>로션 200ml</t>
        </is>
      </c>
      <c r="E580" s="6" t="n">
        <v>200801</v>
      </c>
      <c r="F580" s="7">
        <f>B580&amp;C580&amp;D580&amp;E580</f>
        <v/>
      </c>
      <c r="G580" s="6" t="n">
        <v>0</v>
      </c>
      <c r="H580" s="27" t="n">
        <v>0</v>
      </c>
      <c r="I580" s="59" t="n">
        <v>4338</v>
      </c>
      <c r="J580" s="45" t="n"/>
    </row>
    <row r="581">
      <c r="B581" s="5" t="inlineStr">
        <is>
          <t>아누아 CS</t>
        </is>
      </c>
      <c r="C581" s="94" t="inlineStr">
        <is>
          <t>클리어 패드</t>
        </is>
      </c>
      <c r="D581" s="94" t="inlineStr">
        <is>
          <t>어성초 클리어패드 70P</t>
        </is>
      </c>
      <c r="E581" s="6" t="n">
        <v>200801</v>
      </c>
      <c r="F581" s="7">
        <f>B581&amp;C581&amp;D581&amp;E581</f>
        <v/>
      </c>
      <c r="G581" s="6" t="n">
        <v>0</v>
      </c>
      <c r="H581" s="27" t="n">
        <v>0</v>
      </c>
      <c r="I581" s="59" t="n">
        <v>5012</v>
      </c>
      <c r="J581" s="45" t="n"/>
    </row>
    <row r="582">
      <c r="B582" s="5" t="inlineStr">
        <is>
          <t>아누아 CS</t>
        </is>
      </c>
      <c r="C582" s="94" t="inlineStr">
        <is>
          <t>바디워시</t>
        </is>
      </c>
      <c r="D582" s="94" t="inlineStr">
        <is>
          <t>바디워시 500ml</t>
        </is>
      </c>
      <c r="E582" s="6" t="n">
        <v>200801</v>
      </c>
      <c r="F582" s="7">
        <f>B582&amp;C582&amp;D582&amp;E582</f>
        <v/>
      </c>
      <c r="G582" s="6" t="n">
        <v>0</v>
      </c>
      <c r="H582" s="27" t="n">
        <v>0</v>
      </c>
      <c r="I582" s="59" t="n">
        <v>4085</v>
      </c>
      <c r="J582" s="45" t="n"/>
    </row>
    <row r="583" customFormat="1" s="18">
      <c r="B583" s="10" t="inlineStr">
        <is>
          <t>카페24</t>
        </is>
      </c>
      <c r="C583" s="57" t="inlineStr">
        <is>
          <t>클리어 패드</t>
        </is>
      </c>
      <c r="D583" s="57" t="inlineStr">
        <is>
          <t>어성초 77 클리어 패드 1개-20% off</t>
        </is>
      </c>
      <c r="E583" s="18" t="n">
        <v>200801</v>
      </c>
      <c r="F583" s="53">
        <f>B583&amp;C583&amp;D583&amp;E583</f>
        <v/>
      </c>
      <c r="G583" s="59" t="n">
        <v>22400</v>
      </c>
      <c r="H583" s="54" t="n">
        <v>0.0585</v>
      </c>
      <c r="I583" s="59" t="n">
        <v>5012</v>
      </c>
      <c r="J583" s="55" t="n"/>
      <c r="K583" s="56" t="n"/>
    </row>
    <row r="584" customFormat="1" s="18">
      <c r="B584" s="10" t="inlineStr">
        <is>
          <t>카페24</t>
        </is>
      </c>
      <c r="C584" s="57" t="inlineStr">
        <is>
          <t>클리어 패드</t>
        </is>
      </c>
      <c r="D584" s="57" t="inlineStr">
        <is>
          <t>어성초 77 클리어 패드 2개-30% off</t>
        </is>
      </c>
      <c r="E584" s="18" t="n">
        <v>200801</v>
      </c>
      <c r="F584" s="53">
        <f>B584&amp;C584&amp;D584&amp;E584</f>
        <v/>
      </c>
      <c r="G584" s="59" t="n">
        <v>39200</v>
      </c>
      <c r="H584" s="54" t="n">
        <v>0.0585</v>
      </c>
      <c r="I584" s="59" t="n">
        <v>10024</v>
      </c>
      <c r="J584" s="55" t="n"/>
      <c r="K584" s="56" t="n"/>
    </row>
    <row r="585" customFormat="1" s="18">
      <c r="B585" s="10" t="inlineStr">
        <is>
          <t>카페24</t>
        </is>
      </c>
      <c r="C585" s="57" t="inlineStr">
        <is>
          <t>토너+패드 세트</t>
        </is>
      </c>
      <c r="D585" s="57" t="inlineStr">
        <is>
          <t>좁쌀 진정 세트 토너+클리어 패드-30% off</t>
        </is>
      </c>
      <c r="E585" s="18" t="n">
        <v>200801</v>
      </c>
      <c r="F585" s="53">
        <f>B585&amp;C585&amp;D585&amp;E585</f>
        <v/>
      </c>
      <c r="G585" s="59" t="n">
        <v>37100</v>
      </c>
      <c r="H585" s="54" t="n">
        <v>0.0585</v>
      </c>
      <c r="I585" s="59" t="n">
        <v>8092</v>
      </c>
      <c r="J585" s="55" t="n"/>
      <c r="K585" s="56" t="n"/>
    </row>
    <row r="586" customFormat="1" s="18">
      <c r="B586" s="10" t="inlineStr">
        <is>
          <t>카페24</t>
        </is>
      </c>
      <c r="C586" s="57" t="inlineStr">
        <is>
          <t>수분 보충 세트</t>
        </is>
      </c>
      <c r="D586" s="58" t="inlineStr">
        <is>
          <t>어성초 77 토너 250ml + 어성초 70 로션 200ml -30%</t>
        </is>
      </c>
      <c r="E586" s="18" t="n">
        <v>200801</v>
      </c>
      <c r="F586" s="53">
        <f>B586&amp;C586&amp;D586&amp;E586</f>
        <v/>
      </c>
      <c r="G586" s="59" t="n">
        <v>35000</v>
      </c>
      <c r="H586" s="54" t="n">
        <v>0.0585</v>
      </c>
      <c r="I586" s="59" t="n">
        <v>7418</v>
      </c>
      <c r="K586" s="56" t="n"/>
    </row>
    <row r="587" customFormat="1" s="63">
      <c r="B587" s="64" t="inlineStr">
        <is>
          <t>카페24</t>
        </is>
      </c>
      <c r="C587" s="65" t="inlineStr">
        <is>
          <t>수분 보충 세트</t>
        </is>
      </c>
      <c r="D587" s="66" t="inlineStr">
        <is>
          <t>[20/09/28 부터] 어성초 77 토너 250ml + 어성초 70 로션 200ml -30%</t>
        </is>
      </c>
      <c r="E587" s="63" t="n">
        <v>200801</v>
      </c>
      <c r="F587" s="67">
        <f>B587&amp;C587&amp;D587&amp;E587</f>
        <v/>
      </c>
      <c r="G587" s="63" t="n">
        <v>37100</v>
      </c>
      <c r="H587" s="68" t="n">
        <v>0.0585</v>
      </c>
      <c r="I587" s="63" t="n">
        <v>7418</v>
      </c>
      <c r="K587" s="69" t="n"/>
    </row>
    <row r="588" customFormat="1" s="18">
      <c r="B588" s="10" t="inlineStr">
        <is>
          <t>카페24</t>
        </is>
      </c>
      <c r="C588" s="57" t="inlineStr">
        <is>
          <t>로션</t>
        </is>
      </c>
      <c r="D588" s="57" t="inlineStr">
        <is>
          <t>어성초 70 데일리 릴리프 로션 1개 -20% off</t>
        </is>
      </c>
      <c r="E588" s="18" t="n">
        <v>200801</v>
      </c>
      <c r="F588" s="53">
        <f>B588&amp;C588&amp;D588&amp;E588</f>
        <v/>
      </c>
      <c r="G588" s="59" t="n">
        <v>22400</v>
      </c>
      <c r="H588" s="54" t="n">
        <v>0.0585</v>
      </c>
      <c r="I588" s="59" t="n">
        <v>4338</v>
      </c>
      <c r="K588" s="56" t="n"/>
    </row>
    <row r="589" customFormat="1" s="18">
      <c r="B589" s="10" t="inlineStr">
        <is>
          <t>카페24</t>
        </is>
      </c>
      <c r="C589" s="57" t="inlineStr">
        <is>
          <t>로션</t>
        </is>
      </c>
      <c r="D589" s="57" t="inlineStr">
        <is>
          <t>어성초 70 데일리 릴리프 로션 2개 -30% off</t>
        </is>
      </c>
      <c r="E589" s="18" t="n">
        <v>200801</v>
      </c>
      <c r="F589" s="53">
        <f>B589&amp;C589&amp;D589&amp;E589</f>
        <v/>
      </c>
      <c r="G589" s="59" t="n">
        <v>39200</v>
      </c>
      <c r="H589" s="54" t="n">
        <v>0.0585</v>
      </c>
      <c r="I589" s="59" t="n">
        <v>8676</v>
      </c>
      <c r="K589" s="56" t="n"/>
    </row>
    <row r="590" customFormat="1" s="18">
      <c r="B590" s="10" t="inlineStr">
        <is>
          <t>카페24</t>
        </is>
      </c>
      <c r="C590" s="57" t="inlineStr">
        <is>
          <t>바디워시</t>
        </is>
      </c>
      <c r="D590" s="57" t="inlineStr">
        <is>
          <t>바디워시 1개 -30% off</t>
        </is>
      </c>
      <c r="E590" s="18" t="n">
        <v>200801</v>
      </c>
      <c r="F590" s="53">
        <f>B590&amp;C590&amp;D590&amp;E590</f>
        <v/>
      </c>
      <c r="G590" s="59" t="n">
        <v>18200</v>
      </c>
      <c r="H590" s="54" t="n">
        <v>0.0585</v>
      </c>
      <c r="I590" s="59" t="n">
        <v>4085</v>
      </c>
      <c r="K590" s="56" t="n"/>
    </row>
    <row r="591" customFormat="1" s="18">
      <c r="B591" s="10" t="inlineStr">
        <is>
          <t>카페24</t>
        </is>
      </c>
      <c r="C591" s="57" t="inlineStr">
        <is>
          <t>바디워시</t>
        </is>
      </c>
      <c r="D591" s="57" t="inlineStr">
        <is>
          <t>바디워시 2개 -35% off (무료배송)</t>
        </is>
      </c>
      <c r="E591" s="18" t="n">
        <v>200801</v>
      </c>
      <c r="F591" s="53">
        <f>B591&amp;C591&amp;D591&amp;E591</f>
        <v/>
      </c>
      <c r="G591" s="59" t="n">
        <v>33800</v>
      </c>
      <c r="H591" s="54" t="n">
        <v>0.0585</v>
      </c>
      <c r="I591" s="59" t="n">
        <v>8170</v>
      </c>
      <c r="K591" s="56" t="n"/>
    </row>
    <row r="592">
      <c r="B592" s="94" t="inlineStr">
        <is>
          <t>랄라블라</t>
        </is>
      </c>
      <c r="C592" s="94" t="inlineStr">
        <is>
          <t>클리어 패드</t>
        </is>
      </c>
      <c r="D592" s="94" t="inlineStr">
        <is>
          <t>아누아 어성초77 클리어 패드</t>
        </is>
      </c>
      <c r="E592" s="6" t="n">
        <v>200801</v>
      </c>
      <c r="F592" s="7">
        <f>B592&amp;C592&amp;D592&amp;E592</f>
        <v/>
      </c>
      <c r="G592" s="6" t="n">
        <v>11200</v>
      </c>
      <c r="H592" s="27" t="n">
        <v>0</v>
      </c>
      <c r="I592" s="6" t="n">
        <v>5012</v>
      </c>
      <c r="J592" s="87" t="inlineStr">
        <is>
          <t>납품가</t>
        </is>
      </c>
    </row>
    <row r="593">
      <c r="B593" s="94" t="inlineStr">
        <is>
          <t>랄라블라</t>
        </is>
      </c>
      <c r="C593" s="94" t="inlineStr">
        <is>
          <t>로션</t>
        </is>
      </c>
      <c r="D593" s="94" t="inlineStr">
        <is>
          <t>아누아 어성초70 로션 200ml</t>
        </is>
      </c>
      <c r="E593" s="6" t="n">
        <v>200801</v>
      </c>
      <c r="F593" s="7">
        <f>B593&amp;C593&amp;D593&amp;E593</f>
        <v/>
      </c>
      <c r="G593" s="6" t="n">
        <v>11200</v>
      </c>
      <c r="H593" s="27" t="n">
        <v>0</v>
      </c>
      <c r="I593" s="6" t="n">
        <v>4338</v>
      </c>
      <c r="J593" s="87" t="inlineStr">
        <is>
          <t>납품가</t>
        </is>
      </c>
    </row>
    <row r="594">
      <c r="B594" s="94" t="inlineStr">
        <is>
          <t>랄라블라</t>
        </is>
      </c>
      <c r="C594" s="94" t="inlineStr">
        <is>
          <t>바디워시</t>
        </is>
      </c>
      <c r="D594" s="94" t="inlineStr">
        <is>
          <t>아누아 어성초 아크네 바디워시 500ml</t>
        </is>
      </c>
      <c r="E594" s="6" t="n">
        <v>200801</v>
      </c>
      <c r="F594" s="7">
        <f>B594&amp;C594&amp;D594&amp;E594</f>
        <v/>
      </c>
      <c r="G594" s="6" t="n">
        <v>9750</v>
      </c>
      <c r="H594" s="27" t="n">
        <v>0</v>
      </c>
      <c r="I594" s="6" t="n">
        <v>4085</v>
      </c>
      <c r="J594" s="87" t="inlineStr">
        <is>
          <t>납품가</t>
        </is>
      </c>
    </row>
    <row r="595">
      <c r="B595" s="8" t="inlineStr">
        <is>
          <t>글로우데이즈 시코르</t>
        </is>
      </c>
      <c r="C595" s="9" t="inlineStr">
        <is>
          <t>로션</t>
        </is>
      </c>
      <c r="D595" s="9" t="inlineStr">
        <is>
          <t>로션 200ml</t>
        </is>
      </c>
      <c r="E595" s="9" t="n">
        <v>200801</v>
      </c>
      <c r="F595" s="7">
        <f>B595&amp;C595&amp;D595&amp;E595</f>
        <v/>
      </c>
      <c r="G595" s="9" t="n">
        <v>11455</v>
      </c>
      <c r="H595" s="22" t="n">
        <v>0</v>
      </c>
      <c r="I595" s="9" t="n">
        <v>4338</v>
      </c>
      <c r="J595" s="17" t="inlineStr">
        <is>
          <t>(45%)납품가</t>
        </is>
      </c>
    </row>
    <row r="596">
      <c r="B596" s="8" t="inlineStr">
        <is>
          <t>글로우데이즈 시코르</t>
        </is>
      </c>
      <c r="C596" s="9" t="inlineStr">
        <is>
          <t>클리어 패드</t>
        </is>
      </c>
      <c r="D596" s="9" t="inlineStr">
        <is>
          <t>어성초 클리어패드 70P</t>
        </is>
      </c>
      <c r="E596" s="9" t="n">
        <v>200801</v>
      </c>
      <c r="F596" s="7">
        <f>B596&amp;C596&amp;D596&amp;E596</f>
        <v/>
      </c>
      <c r="G596" s="9" t="n">
        <v>11455</v>
      </c>
      <c r="H596" s="22" t="n">
        <v>0</v>
      </c>
      <c r="I596" s="9" t="n">
        <v>5012</v>
      </c>
      <c r="J596" s="17" t="inlineStr">
        <is>
          <t>(45%)납품가</t>
        </is>
      </c>
    </row>
    <row r="597">
      <c r="B597" s="5" t="inlineStr">
        <is>
          <t>화해</t>
        </is>
      </c>
      <c r="C597" s="94" t="inlineStr">
        <is>
          <t>클리어 패드</t>
        </is>
      </c>
      <c r="D597" s="94" t="inlineStr">
        <is>
          <t>어성초 클리어패드 70P</t>
        </is>
      </c>
      <c r="E597" s="6" t="n">
        <v>200801</v>
      </c>
      <c r="F597" s="7">
        <f>B597&amp;C597&amp;D597&amp;E597</f>
        <v/>
      </c>
      <c r="G597" s="6" t="n">
        <v>22400</v>
      </c>
      <c r="H597" s="27" t="n">
        <v>0.27</v>
      </c>
      <c r="I597" s="6" t="n">
        <v>5012</v>
      </c>
    </row>
    <row r="598">
      <c r="B598" s="5" t="inlineStr">
        <is>
          <t>화해</t>
        </is>
      </c>
      <c r="C598" s="94" t="inlineStr">
        <is>
          <t>로션</t>
        </is>
      </c>
      <c r="D598" s="94" t="inlineStr">
        <is>
          <t>아누아 어성초70 로션 200ml</t>
        </is>
      </c>
      <c r="E598" s="6" t="n">
        <v>200801</v>
      </c>
      <c r="F598" s="7">
        <f>B598&amp;C598&amp;D598&amp;E598</f>
        <v/>
      </c>
      <c r="G598" s="6" t="n">
        <v>22400</v>
      </c>
      <c r="H598" s="27" t="n">
        <v>0.27</v>
      </c>
      <c r="I598" s="6" t="n">
        <v>4338</v>
      </c>
    </row>
    <row r="599" ht="18" customHeight="1" s="93">
      <c r="B599" s="5" t="inlineStr">
        <is>
          <t>화해</t>
        </is>
      </c>
      <c r="C599" s="94" t="inlineStr">
        <is>
          <t>바디워시</t>
        </is>
      </c>
      <c r="D599" s="94" t="inlineStr">
        <is>
          <t>아누아 어성초 아크네 바디워시 500ml</t>
        </is>
      </c>
      <c r="E599" s="6" t="n">
        <v>200801</v>
      </c>
      <c r="F599" s="7">
        <f>B599&amp;C599&amp;D599&amp;E599</f>
        <v/>
      </c>
      <c r="G599" s="6" t="n">
        <v>18200</v>
      </c>
      <c r="H599" s="27" t="n">
        <v>0.27</v>
      </c>
      <c r="I599" s="6" t="n">
        <v>4085</v>
      </c>
    </row>
    <row r="600">
      <c r="B600" s="5" t="inlineStr">
        <is>
          <t>아누아 CS</t>
        </is>
      </c>
      <c r="C600" s="94" t="inlineStr">
        <is>
          <t>크림마스크</t>
        </is>
      </c>
      <c r="D600" s="94" t="inlineStr">
        <is>
          <t>어성초 크림마스크 나이트 솔루션 10매</t>
        </is>
      </c>
      <c r="E600" s="6" t="n">
        <v>200801</v>
      </c>
      <c r="F600" s="7">
        <f>B600&amp;C600&amp;D600&amp;E600</f>
        <v/>
      </c>
      <c r="G600" s="6" t="n">
        <v>0</v>
      </c>
      <c r="H600" s="27" t="n">
        <v>0</v>
      </c>
      <c r="I600" s="6" t="n">
        <v>3107</v>
      </c>
    </row>
    <row r="601">
      <c r="B601" s="5" t="inlineStr">
        <is>
          <t>랄라블라</t>
        </is>
      </c>
      <c r="C601" s="94" t="inlineStr">
        <is>
          <t>크림마스크</t>
        </is>
      </c>
      <c r="D601" s="94" t="inlineStr">
        <is>
          <t>아누아 어성초 크림 마스크</t>
        </is>
      </c>
      <c r="E601" s="6" t="n">
        <v>200801</v>
      </c>
      <c r="F601" s="7">
        <f>B601&amp;C601&amp;D601&amp;E601</f>
        <v/>
      </c>
      <c r="G601" s="6" t="n">
        <v>1073</v>
      </c>
      <c r="H601" s="27" t="n">
        <v>0</v>
      </c>
      <c r="I601" s="6" t="n">
        <v>310</v>
      </c>
    </row>
    <row r="602">
      <c r="B602" s="5" t="inlineStr">
        <is>
          <t>아누아 CS</t>
        </is>
      </c>
      <c r="C602" s="94" t="inlineStr">
        <is>
          <t>카밍크림</t>
        </is>
      </c>
      <c r="D602" s="94" t="inlineStr">
        <is>
          <t xml:space="preserve">	어성초 70 인텐스 카밍 크림 50ml</t>
        </is>
      </c>
      <c r="E602" s="6" t="n">
        <v>200801</v>
      </c>
      <c r="F602" s="7">
        <f>B602&amp;C602&amp;D602&amp;E602</f>
        <v/>
      </c>
      <c r="G602" s="6" t="n">
        <v>0</v>
      </c>
      <c r="H602" s="27" t="n">
        <v>0</v>
      </c>
      <c r="I602" s="6" t="n">
        <v>3882</v>
      </c>
    </row>
    <row r="603">
      <c r="B603" s="5" t="inlineStr">
        <is>
          <t>글로우데이즈 시코르</t>
        </is>
      </c>
      <c r="C603" s="94" t="inlineStr">
        <is>
          <t>토너</t>
        </is>
      </c>
      <c r="D603" s="94" t="inlineStr">
        <is>
          <t>40ml(증정)</t>
        </is>
      </c>
      <c r="E603" s="6" t="n">
        <v>200801</v>
      </c>
      <c r="F603" s="6">
        <f>B603&amp;C603&amp;D603&amp;E603</f>
        <v/>
      </c>
      <c r="G603" s="6" t="n">
        <v>0</v>
      </c>
      <c r="H603" s="27" t="n">
        <v>0</v>
      </c>
      <c r="I603" s="6" t="n">
        <v>1230</v>
      </c>
    </row>
    <row r="604">
      <c r="B604" s="5" t="inlineStr">
        <is>
          <t>카페24</t>
        </is>
      </c>
      <c r="C604" s="94" t="inlineStr">
        <is>
          <t>카밍크림</t>
        </is>
      </c>
      <c r="D604" s="94" t="inlineStr">
        <is>
          <t>[플친 단독 (11/16-11/20)] 크림(필수)=어성초 70 인텐스 카밍 크림 1개-20% off</t>
        </is>
      </c>
      <c r="E604" s="75" t="n">
        <v>200801</v>
      </c>
      <c r="F604" s="7">
        <f>B604&amp;C604&amp;D604&amp;E604</f>
        <v/>
      </c>
      <c r="G604" s="6" t="n">
        <v>28000</v>
      </c>
      <c r="H604" s="30" t="n">
        <v>0.0585</v>
      </c>
      <c r="I604" s="6" t="n">
        <v>3882</v>
      </c>
    </row>
    <row r="605">
      <c r="B605" s="5" t="inlineStr">
        <is>
          <t>카페24</t>
        </is>
      </c>
      <c r="C605" s="94" t="inlineStr">
        <is>
          <t>카밍크림</t>
        </is>
      </c>
      <c r="D605" s="94" t="inlineStr">
        <is>
          <t>[플친 단독 (11/16-11/20)] 크림(필수)=어성초 70 인텐스 카밍 크림 2개-30% off (무료배송)</t>
        </is>
      </c>
      <c r="E605" s="6" t="n">
        <v>200801</v>
      </c>
      <c r="F605" s="7">
        <f>B605&amp;C605&amp;D605&amp;E605</f>
        <v/>
      </c>
      <c r="G605" s="6" t="n">
        <v>49000</v>
      </c>
      <c r="H605" s="30" t="n">
        <v>0.0585</v>
      </c>
      <c r="I605" s="6" t="n">
        <v>7764</v>
      </c>
    </row>
    <row r="606">
      <c r="B606" s="5" t="inlineStr">
        <is>
          <t>카페24</t>
        </is>
      </c>
      <c r="C606" s="94" t="inlineStr">
        <is>
          <t>크림마스크</t>
        </is>
      </c>
      <c r="D606" s="94" t="inlineStr">
        <is>
          <t>[플친 단독 (11/16-11/20)] 크림마스크팩(선택)=크림마스크팩 1장-50% off</t>
        </is>
      </c>
      <c r="E606" s="6" t="n">
        <v>200801</v>
      </c>
      <c r="F606" s="7">
        <f>B606&amp;C606&amp;D606&amp;E606</f>
        <v/>
      </c>
      <c r="G606" s="6" t="n">
        <v>2000</v>
      </c>
      <c r="H606" s="30" t="n">
        <v>0.0585</v>
      </c>
      <c r="I606" s="6" t="n">
        <v>310</v>
      </c>
    </row>
    <row r="607">
      <c r="B607" s="94" t="inlineStr">
        <is>
          <t>글로우데이즈 시코르</t>
        </is>
      </c>
      <c r="C607" s="94" t="inlineStr">
        <is>
          <t>카밍크림</t>
        </is>
      </c>
      <c r="D607" s="94" t="inlineStr">
        <is>
          <t xml:space="preserve">	어성초 70 인텐스 카밍 크림 50ml</t>
        </is>
      </c>
      <c r="E607" s="6" t="n">
        <v>200801</v>
      </c>
      <c r="F607" s="7">
        <f>B607&amp;C607&amp;D607&amp;E607</f>
        <v/>
      </c>
      <c r="G607" s="9" t="n">
        <v>17500</v>
      </c>
      <c r="H607" s="22" t="n">
        <v>0</v>
      </c>
      <c r="I607" s="6" t="n">
        <v>3882</v>
      </c>
      <c r="J607" s="17" t="inlineStr">
        <is>
          <t>(45%)납품가</t>
        </is>
      </c>
    </row>
    <row r="608">
      <c r="B608" s="94" t="inlineStr">
        <is>
          <t>글로우데이즈 시코르</t>
        </is>
      </c>
      <c r="C608" s="94" t="inlineStr">
        <is>
          <t>크림마스크</t>
        </is>
      </c>
      <c r="D608" s="94" t="inlineStr">
        <is>
          <t>아누아 어성초 크림 마스크</t>
        </is>
      </c>
      <c r="E608" s="6" t="n">
        <v>200801</v>
      </c>
      <c r="F608" s="7">
        <f>B608&amp;C608&amp;D608&amp;E608</f>
        <v/>
      </c>
      <c r="G608" s="9" t="n">
        <v>1636</v>
      </c>
      <c r="H608" s="22" t="n">
        <v>0</v>
      </c>
      <c r="I608" s="6" t="n">
        <v>310</v>
      </c>
      <c r="J608" s="17" t="inlineStr">
        <is>
          <t>(45%)납품가</t>
        </is>
      </c>
    </row>
    <row r="609">
      <c r="B609" s="5" t="inlineStr">
        <is>
          <t>카페24</t>
        </is>
      </c>
      <c r="C609" s="94" t="inlineStr">
        <is>
          <t>카밍크림</t>
        </is>
      </c>
      <c r="D609" s="94" t="inlineStr">
        <is>
          <t>크림=어성초 70 인텐스 카밍 크림 1개 (-20%)</t>
        </is>
      </c>
      <c r="E609" s="6" t="n">
        <v>200801</v>
      </c>
      <c r="F609" s="7">
        <f>B609&amp;C609&amp;D609&amp;E609</f>
        <v/>
      </c>
      <c r="G609" s="6" t="n">
        <v>28000</v>
      </c>
      <c r="H609" s="30" t="n">
        <v>0.0585</v>
      </c>
      <c r="I609" s="6" t="n">
        <v>3882</v>
      </c>
    </row>
    <row r="610">
      <c r="B610" s="5" t="inlineStr">
        <is>
          <t>카페24</t>
        </is>
      </c>
      <c r="C610" s="94" t="inlineStr">
        <is>
          <t>카밍크림</t>
        </is>
      </c>
      <c r="D610" s="6" t="inlineStr">
        <is>
          <t>크림=어성초 70 인텐스 카밍 크림 2개 (-30%)</t>
        </is>
      </c>
      <c r="E610" s="6" t="n">
        <v>200801</v>
      </c>
      <c r="F610" s="7">
        <f>B610&amp;C610&amp;D610&amp;E610</f>
        <v/>
      </c>
      <c r="G610" s="6" t="n">
        <v>49000</v>
      </c>
      <c r="H610" s="30" t="n">
        <v>0.0585</v>
      </c>
      <c r="I610" s="6" t="n">
        <v>7764</v>
      </c>
    </row>
    <row r="611">
      <c r="B611" s="5" t="inlineStr">
        <is>
          <t>카페24</t>
        </is>
      </c>
      <c r="C611" s="94" t="inlineStr">
        <is>
          <t>카밍크림</t>
        </is>
      </c>
      <c r="D611" s="6" t="inlineStr">
        <is>
          <t>크림=어성초 토너 250ml + 카밍 크림 50ml (-30%)</t>
        </is>
      </c>
      <c r="E611" s="6" t="n">
        <v>200801</v>
      </c>
      <c r="F611" s="7">
        <f>B611&amp;C611&amp;D611&amp;E611</f>
        <v/>
      </c>
      <c r="G611" s="6" t="n">
        <v>42000</v>
      </c>
      <c r="H611" s="30" t="n">
        <v>0.0585</v>
      </c>
      <c r="I611" s="6" t="n">
        <v>6962</v>
      </c>
    </row>
    <row r="612">
      <c r="B612" s="94" t="inlineStr">
        <is>
          <t>카페24</t>
        </is>
      </c>
      <c r="C612" s="94" t="inlineStr">
        <is>
          <t>크림마스크</t>
        </is>
      </c>
      <c r="D612" s="94" t="inlineStr">
        <is>
          <t>옵션=어성초 크림마스크 나이트 솔루션 1장</t>
        </is>
      </c>
      <c r="E612" s="6" t="n">
        <v>200801</v>
      </c>
      <c r="F612" s="7">
        <f>B612&amp;C612&amp;D612&amp;E612</f>
        <v/>
      </c>
      <c r="G612" s="6" t="n">
        <v>4000</v>
      </c>
      <c r="H612" s="30" t="n">
        <v>0.0585</v>
      </c>
      <c r="I612" s="6" t="n">
        <v>310</v>
      </c>
    </row>
    <row r="613">
      <c r="B613" s="76" t="inlineStr">
        <is>
          <t>랄라블라</t>
        </is>
      </c>
      <c r="C613" s="77" t="inlineStr">
        <is>
          <t>카밍크림</t>
        </is>
      </c>
      <c r="D613" s="78" t="inlineStr">
        <is>
          <t>아누아 어성초70 크림 50ml</t>
        </is>
      </c>
      <c r="E613" s="77" t="n">
        <v>200801</v>
      </c>
      <c r="F613" s="77">
        <f>B613&amp;C613&amp;D613&amp;E613</f>
        <v/>
      </c>
      <c r="G613" s="77" t="n">
        <v>14000</v>
      </c>
      <c r="H613" s="79" t="n">
        <v>0</v>
      </c>
      <c r="I613" s="61" t="n">
        <v>3882</v>
      </c>
      <c r="J613" s="87" t="inlineStr">
        <is>
          <t>확인하기</t>
        </is>
      </c>
    </row>
    <row r="614">
      <c r="B614" s="76" t="inlineStr">
        <is>
          <t>랄라블라</t>
        </is>
      </c>
      <c r="C614" s="77" t="inlineStr">
        <is>
          <t>토너 기획세트</t>
        </is>
      </c>
      <c r="D614" s="78" t="inlineStr">
        <is>
          <t>아누아 어성초77 수딩 토너 기획세트</t>
        </is>
      </c>
      <c r="E614" s="77" t="n">
        <v>200801</v>
      </c>
      <c r="F614" s="77">
        <f>B614&amp;C614&amp;D614&amp;E614</f>
        <v/>
      </c>
      <c r="G614" s="77" t="n">
        <v>16089</v>
      </c>
      <c r="H614" s="79" t="n">
        <v>0</v>
      </c>
      <c r="I614" s="61" t="n"/>
      <c r="J614" s="87" t="inlineStr">
        <is>
          <t>확인하기</t>
        </is>
      </c>
    </row>
    <row r="615">
      <c r="B615" s="76" t="inlineStr">
        <is>
          <t>랄라블라</t>
        </is>
      </c>
      <c r="C615" s="77" t="inlineStr">
        <is>
          <t>토너로션 기획세트</t>
        </is>
      </c>
      <c r="D615" s="78" t="inlineStr">
        <is>
          <t>아누아 어성초77 수딩 토너&amp;로션 기획세트</t>
        </is>
      </c>
      <c r="E615" s="77" t="n">
        <v>200801</v>
      </c>
      <c r="F615" s="77">
        <f>B615&amp;C615&amp;D615&amp;E615</f>
        <v/>
      </c>
      <c r="G615" s="77" t="n">
        <v>18950</v>
      </c>
      <c r="H615" s="79" t="n">
        <v>0</v>
      </c>
      <c r="I615" s="61" t="n"/>
      <c r="J615" s="87" t="inlineStr">
        <is>
          <t>확인하기</t>
        </is>
      </c>
    </row>
    <row r="616">
      <c r="B616" s="76" t="inlineStr">
        <is>
          <t>랄라블라</t>
        </is>
      </c>
      <c r="C616" s="77" t="inlineStr">
        <is>
          <t>패드 기획세트</t>
        </is>
      </c>
      <c r="D616" s="78" t="inlineStr">
        <is>
          <t>아누아 어성초77 클리어 패드 기획세트</t>
        </is>
      </c>
      <c r="E616" s="77" t="n">
        <v>200801</v>
      </c>
      <c r="F616" s="77">
        <f>B616&amp;C616&amp;D616&amp;E616</f>
        <v/>
      </c>
      <c r="G616" s="77" t="n">
        <v>10920</v>
      </c>
      <c r="H616" s="79" t="n">
        <v>0</v>
      </c>
      <c r="I616" s="61" t="n"/>
      <c r="J616" s="87" t="inlineStr">
        <is>
          <t>확인하기</t>
        </is>
      </c>
    </row>
    <row r="617">
      <c r="B617" s="76" t="inlineStr">
        <is>
          <t>랄라블라</t>
        </is>
      </c>
      <c r="C617" s="77" t="inlineStr">
        <is>
          <t>앰플 기획세트</t>
        </is>
      </c>
      <c r="D617" s="78" t="inlineStr">
        <is>
          <t>아누아 어성초80 앰플 기획세트 (NEW)</t>
        </is>
      </c>
      <c r="E617" s="77" t="n">
        <v>200801</v>
      </c>
      <c r="F617" s="77">
        <f>B617&amp;C617&amp;D617&amp;E617</f>
        <v/>
      </c>
      <c r="G617" s="77" t="n">
        <v>12996</v>
      </c>
      <c r="H617" s="79" t="n">
        <v>0</v>
      </c>
      <c r="I617" s="61" t="n"/>
      <c r="J617" s="87" t="inlineStr">
        <is>
          <t>확인하기</t>
        </is>
      </c>
    </row>
    <row r="618">
      <c r="B618" s="94" t="inlineStr">
        <is>
          <t>카페24</t>
        </is>
      </c>
      <c r="C618" s="94" t="inlineStr">
        <is>
          <t>크림마스크</t>
        </is>
      </c>
      <c r="D618" s="94" t="inlineStr">
        <is>
          <t>옵션=어성초 크림마스크 나이트 솔루션 10장</t>
        </is>
      </c>
      <c r="E618" s="6" t="n">
        <v>200801</v>
      </c>
      <c r="F618" s="7">
        <f>B618&amp;C618&amp;D618&amp;E618</f>
        <v/>
      </c>
      <c r="G618" s="6" t="n">
        <v>20000</v>
      </c>
      <c r="H618" s="30" t="n">
        <v>0.0585</v>
      </c>
      <c r="I618" s="6" t="n">
        <v>3107</v>
      </c>
    </row>
    <row r="619">
      <c r="B619" s="5" t="inlineStr">
        <is>
          <t>아누아 CS</t>
        </is>
      </c>
      <c r="C619" s="94" t="inlineStr">
        <is>
          <t>크림마스크</t>
        </is>
      </c>
      <c r="D619" s="94" t="inlineStr">
        <is>
          <t>어성초 크림마스크 나이트 솔루션 1매</t>
        </is>
      </c>
      <c r="E619" s="6" t="n">
        <v>200801</v>
      </c>
      <c r="F619" s="7">
        <f>B619&amp;C619&amp;D619&amp;E619</f>
        <v/>
      </c>
      <c r="G619" s="6" t="n">
        <v>0</v>
      </c>
      <c r="H619" s="27" t="n">
        <v>0</v>
      </c>
      <c r="I619" s="6" t="n">
        <v>310</v>
      </c>
    </row>
    <row r="620" customFormat="1" s="87">
      <c r="A620" s="6" t="n"/>
      <c r="B620" s="6" t="inlineStr">
        <is>
          <t>W컨셉</t>
        </is>
      </c>
      <c r="C620" s="6" t="inlineStr">
        <is>
          <t>토너</t>
        </is>
      </c>
      <c r="D620" s="6" t="inlineStr">
        <is>
          <t>어성초 77토너 (2 SET) HEARTLEAF 77% SOOTHING TONER 250ml250ml 2set</t>
        </is>
      </c>
      <c r="E620" s="6" t="n">
        <v>201208</v>
      </c>
      <c r="F620" s="6">
        <f>B620&amp;C620&amp;D620&amp;E620</f>
        <v/>
      </c>
      <c r="G620" s="6" t="n">
        <v>35000</v>
      </c>
      <c r="H620" s="86" t="n">
        <v>0.28</v>
      </c>
      <c r="I620" s="6" t="n">
        <v>6160</v>
      </c>
      <c r="J620" s="6" t="n"/>
      <c r="L620" s="6" t="n"/>
    </row>
    <row r="621" customFormat="1" s="87">
      <c r="A621" s="6" t="n"/>
      <c r="B621" s="6" t="inlineStr">
        <is>
          <t>W컨셉</t>
        </is>
      </c>
      <c r="C621" s="6" t="inlineStr">
        <is>
          <t>토너</t>
        </is>
      </c>
      <c r="D621" s="6" t="inlineStr">
        <is>
          <t>어성초 77토너 HEARTLEAF 77% SOOTHING TONER 250ml250ml</t>
        </is>
      </c>
      <c r="E621" s="6" t="n">
        <v>201208</v>
      </c>
      <c r="F621" s="6">
        <f>B621&amp;C621&amp;D621&amp;E621</f>
        <v/>
      </c>
      <c r="G621" s="6" t="n">
        <v>20000</v>
      </c>
      <c r="H621" s="86" t="n">
        <v>0.28</v>
      </c>
      <c r="I621" s="6" t="n">
        <v>3080</v>
      </c>
      <c r="J621" s="6" t="n"/>
      <c r="L621" s="6" t="n"/>
    </row>
    <row r="622">
      <c r="B622" s="6" t="inlineStr">
        <is>
          <t>글로우데이즈 시코르</t>
        </is>
      </c>
      <c r="C622" s="94" t="inlineStr">
        <is>
          <t>크림마스크</t>
        </is>
      </c>
      <c r="D622" s="6" t="inlineStr">
        <is>
          <t>어성초 크림마스크 나이트 솔루션 10매</t>
        </is>
      </c>
      <c r="E622" s="6" t="n">
        <v>201208</v>
      </c>
      <c r="F622" s="6">
        <f>B622&amp;C622&amp;D622&amp;E622</f>
        <v/>
      </c>
      <c r="G622" s="9" t="n">
        <v>18000</v>
      </c>
      <c r="H622" s="22" t="n">
        <v>0</v>
      </c>
      <c r="I622" s="9" t="n">
        <v>3970</v>
      </c>
      <c r="J622" s="17" t="inlineStr">
        <is>
          <t>(45%)납품가</t>
        </is>
      </c>
    </row>
    <row r="623">
      <c r="B623" s="6" t="inlineStr">
        <is>
          <t>카페24</t>
        </is>
      </c>
      <c r="C623" s="6" t="inlineStr">
        <is>
          <t>선크림</t>
        </is>
      </c>
      <c r="D623" s="6" t="inlineStr">
        <is>
          <t>5 제로 무기자차 선크림옵션=5제로 무기자차 선크림 1개-20% off</t>
        </is>
      </c>
      <c r="E623" s="6" t="n">
        <v>201208</v>
      </c>
      <c r="F623" s="6">
        <f>B623&amp;C623&amp;D623&amp;E623</f>
        <v/>
      </c>
      <c r="G623" s="6" t="n">
        <v>20000</v>
      </c>
      <c r="H623" s="30" t="n">
        <v>0.0585</v>
      </c>
      <c r="I623" s="6" t="n">
        <v>2345</v>
      </c>
    </row>
    <row r="624">
      <c r="B624" s="6" t="inlineStr">
        <is>
          <t>카페24</t>
        </is>
      </c>
      <c r="C624" s="6" t="inlineStr">
        <is>
          <t>선크림</t>
        </is>
      </c>
      <c r="D624" s="6" t="inlineStr">
        <is>
          <t>5 제로 무기자차 선크림옵션=5제로 무기자차 선크림 2개-30% off (무료배송)</t>
        </is>
      </c>
      <c r="E624" s="6" t="n">
        <v>201208</v>
      </c>
      <c r="F624" s="6">
        <f>B624&amp;C624&amp;D624&amp;E624</f>
        <v/>
      </c>
      <c r="G624" s="6" t="n">
        <v>35000</v>
      </c>
      <c r="H624" s="30" t="n">
        <v>0.0585</v>
      </c>
      <c r="I624" s="6" t="n">
        <v>4690</v>
      </c>
    </row>
    <row r="625">
      <c r="B625" s="6" t="inlineStr">
        <is>
          <t>카페24</t>
        </is>
      </c>
      <c r="C625" s="6" t="inlineStr">
        <is>
          <t>수분 보충 세트</t>
        </is>
      </c>
      <c r="D625" s="6" t="inlineStr">
        <is>
          <t>[수분 보충 세트] 어성초 77 토너 + 어성초 70 로션옵션=어성초 77 토너 250ml + 어성초 70 로션 200ml -30%</t>
        </is>
      </c>
      <c r="E625" s="6" t="n">
        <v>201208</v>
      </c>
      <c r="F625" s="6">
        <f>B625&amp;C625&amp;D625&amp;E625</f>
        <v/>
      </c>
      <c r="G625" s="6" t="n">
        <v>37100</v>
      </c>
      <c r="H625" s="30" t="n">
        <v>0.0585</v>
      </c>
      <c r="I625" s="6" t="n">
        <v>7418</v>
      </c>
    </row>
    <row r="626">
      <c r="B626" s="6" t="inlineStr">
        <is>
          <t>카페24</t>
        </is>
      </c>
      <c r="C626" s="6" t="inlineStr">
        <is>
          <t>어성초진정패키지</t>
        </is>
      </c>
      <c r="D626" s="6" t="inlineStr">
        <is>
          <t>[어성초 진정 패키지 세트] 대용량 토너 + 앰플 + 수딩 크림 + 마스크팩 10장</t>
        </is>
      </c>
      <c r="E626" s="6" t="n">
        <v>201208</v>
      </c>
      <c r="F626" s="6">
        <f>B626&amp;C626&amp;D626&amp;E626</f>
        <v/>
      </c>
      <c r="G626" s="6" t="n">
        <v>99000</v>
      </c>
      <c r="H626" s="30" t="n">
        <v>0.0585</v>
      </c>
      <c r="I626" s="6" t="n">
        <v>15137</v>
      </c>
    </row>
    <row r="627">
      <c r="B627" s="6" t="inlineStr">
        <is>
          <t>카페24</t>
        </is>
      </c>
      <c r="C627" s="6" t="inlineStr">
        <is>
          <t>토너</t>
        </is>
      </c>
      <c r="D627" s="6" t="inlineStr">
        <is>
          <t>대용량 어성초 77 수딩 토너 500ml</t>
        </is>
      </c>
      <c r="E627" s="6" t="n">
        <v>201208</v>
      </c>
      <c r="F627" s="6">
        <f>B627&amp;C627&amp;D627&amp;E627</f>
        <v/>
      </c>
      <c r="G627" s="6" t="n">
        <v>33000</v>
      </c>
      <c r="H627" s="30" t="n">
        <v>0.0585</v>
      </c>
      <c r="I627" s="6" t="n">
        <v>4330</v>
      </c>
    </row>
    <row r="628">
      <c r="B628" s="6" t="inlineStr">
        <is>
          <t>카페24</t>
        </is>
      </c>
      <c r="C628" s="6" t="inlineStr">
        <is>
          <t>토너</t>
        </is>
      </c>
      <c r="D628" s="6" t="inlineStr">
        <is>
          <t>대용량 어성초 77 토너 500ml</t>
        </is>
      </c>
      <c r="E628" s="6" t="n">
        <v>201208</v>
      </c>
      <c r="F628" s="6">
        <f>B628&amp;C628&amp;D628&amp;E628</f>
        <v/>
      </c>
      <c r="G628" s="6" t="n">
        <v>33000</v>
      </c>
      <c r="H628" s="30" t="n">
        <v>0.0585</v>
      </c>
      <c r="I628" s="6" t="n">
        <v>4330</v>
      </c>
    </row>
    <row r="629">
      <c r="B629" s="6" t="inlineStr">
        <is>
          <t>카페24</t>
        </is>
      </c>
      <c r="C629" s="6" t="inlineStr">
        <is>
          <t>로션</t>
        </is>
      </c>
      <c r="D629" s="6" t="inlineStr">
        <is>
          <t>어성초 70 데일리 릴리프 로션로션=어성초 70 데일리 릴리프 로션 1개 -20% off</t>
        </is>
      </c>
      <c r="E629" s="6" t="n">
        <v>201208</v>
      </c>
      <c r="F629" s="6">
        <f>B629&amp;C629&amp;D629&amp;E629</f>
        <v/>
      </c>
      <c r="G629" s="6" t="n">
        <v>22400</v>
      </c>
      <c r="H629" s="30" t="n">
        <v>0.0585</v>
      </c>
      <c r="I629" s="6" t="n">
        <v>4338</v>
      </c>
    </row>
    <row r="630">
      <c r="B630" s="6" t="inlineStr">
        <is>
          <t>카페24</t>
        </is>
      </c>
      <c r="C630" s="6" t="inlineStr">
        <is>
          <t>로션</t>
        </is>
      </c>
      <c r="D630" s="6" t="inlineStr">
        <is>
          <t>어성초 70 데일리 릴리프 로션로션=어성초 70 데일리 릴리프 로션 2개 -30% off</t>
        </is>
      </c>
      <c r="E630" s="6" t="n">
        <v>201208</v>
      </c>
      <c r="F630" s="6">
        <f>B630&amp;C630&amp;D630&amp;E630</f>
        <v/>
      </c>
      <c r="G630" s="6" t="n">
        <v>39200</v>
      </c>
      <c r="H630" s="30" t="n">
        <v>0.0585</v>
      </c>
      <c r="I630" s="6" t="n">
        <v>8676</v>
      </c>
    </row>
    <row r="631">
      <c r="B631" s="6" t="inlineStr">
        <is>
          <t>카페24</t>
        </is>
      </c>
      <c r="C631" s="6" t="inlineStr">
        <is>
          <t>수분 보충 세트</t>
        </is>
      </c>
      <c r="D631" s="6" t="inlineStr">
        <is>
          <t>어성초 70 데일리 릴리프 로션로션=어성초 77토너 + 어성초 70 로션 수분 보충 세트 -30% off</t>
        </is>
      </c>
      <c r="E631" s="6" t="n">
        <v>201208</v>
      </c>
      <c r="F631" s="6">
        <f>B631&amp;C631&amp;D631&amp;E631</f>
        <v/>
      </c>
      <c r="G631" s="6" t="n">
        <v>37100</v>
      </c>
      <c r="H631" s="30" t="n">
        <v>0.0585</v>
      </c>
      <c r="I631" s="6" t="n">
        <v>7418</v>
      </c>
    </row>
    <row r="632">
      <c r="B632" s="6" t="inlineStr">
        <is>
          <t>카페24</t>
        </is>
      </c>
      <c r="C632" s="94" t="inlineStr">
        <is>
          <t>머드크림마스크</t>
        </is>
      </c>
      <c r="D632" s="6" t="inlineStr">
        <is>
          <t>어성초 70 머드 크림 마스크옵션=어성초 70 머드 크림 마스크-20% off</t>
        </is>
      </c>
      <c r="E632" s="6" t="n">
        <v>201208</v>
      </c>
      <c r="F632" s="6">
        <f>B632&amp;C632&amp;D632&amp;E632</f>
        <v/>
      </c>
      <c r="G632" s="6" t="n">
        <v>20000</v>
      </c>
      <c r="H632" s="30" t="n">
        <v>0.0585</v>
      </c>
      <c r="I632" s="6" t="n">
        <v>1442</v>
      </c>
    </row>
    <row r="633">
      <c r="B633" s="6" t="inlineStr">
        <is>
          <t>카페24</t>
        </is>
      </c>
      <c r="C633" s="94" t="inlineStr">
        <is>
          <t>카밍크림</t>
        </is>
      </c>
      <c r="D633" s="6" t="inlineStr">
        <is>
          <t>어성초 70 인텐스 카밍 크림크림=어성초 70 인텐스 카밍 크림 1개 (-20%)</t>
        </is>
      </c>
      <c r="E633" s="6" t="n">
        <v>201208</v>
      </c>
      <c r="F633" s="6">
        <f>B633&amp;C633&amp;D633&amp;E633</f>
        <v/>
      </c>
      <c r="G633" s="6" t="n">
        <v>28000</v>
      </c>
      <c r="H633" s="30" t="n">
        <v>0.0585</v>
      </c>
      <c r="I633" s="6" t="n">
        <v>3882</v>
      </c>
    </row>
    <row r="634">
      <c r="B634" s="6" t="inlineStr">
        <is>
          <t>카페24</t>
        </is>
      </c>
      <c r="C634" s="94" t="inlineStr">
        <is>
          <t>카밍크림</t>
        </is>
      </c>
      <c r="D634" s="6" t="inlineStr">
        <is>
          <t>어성초 70 인텐스 카밍 크림크림=어성초 토너 250ml + 카밍 크림 50ml (-30%)</t>
        </is>
      </c>
      <c r="E634" s="6" t="n">
        <v>201208</v>
      </c>
      <c r="F634" s="6">
        <f>B634&amp;C634&amp;D634&amp;E634</f>
        <v/>
      </c>
      <c r="G634" s="6" t="n">
        <v>42000</v>
      </c>
      <c r="H634" s="30" t="n">
        <v>0.0585</v>
      </c>
      <c r="I634" s="6" t="n">
        <v>6962</v>
      </c>
    </row>
    <row r="635">
      <c r="B635" s="6" t="inlineStr">
        <is>
          <t>카페24</t>
        </is>
      </c>
      <c r="C635" s="6" t="inlineStr">
        <is>
          <t>토너</t>
        </is>
      </c>
      <c r="D635" s="6" t="inlineStr">
        <is>
          <t>어성초 77 수딩 토너토너(필수)=어성초 77 토너 1개-20% off</t>
        </is>
      </c>
      <c r="E635" s="6" t="n">
        <v>201208</v>
      </c>
      <c r="F635" s="6">
        <f>B635&amp;C635&amp;D635&amp;E635</f>
        <v/>
      </c>
      <c r="G635" s="6" t="n">
        <v>20000</v>
      </c>
      <c r="H635" s="30" t="n">
        <v>0.0585</v>
      </c>
      <c r="I635" s="6" t="n">
        <v>3080</v>
      </c>
    </row>
    <row r="636">
      <c r="B636" s="6" t="inlineStr">
        <is>
          <t>카페24</t>
        </is>
      </c>
      <c r="C636" s="6" t="inlineStr">
        <is>
          <t>토너</t>
        </is>
      </c>
      <c r="D636" s="6" t="inlineStr">
        <is>
          <t>어성초 77 수딩 토너토너(필수)=어성초 77 토너 2개-30% off (무료배송)</t>
        </is>
      </c>
      <c r="E636" s="6" t="n">
        <v>201208</v>
      </c>
      <c r="F636" s="6">
        <f>B636&amp;C636&amp;D636&amp;E636</f>
        <v/>
      </c>
      <c r="G636" s="6" t="n">
        <v>35000</v>
      </c>
      <c r="H636" s="30" t="n">
        <v>0.0585</v>
      </c>
      <c r="I636" s="6" t="n">
        <v>6160</v>
      </c>
    </row>
    <row r="637">
      <c r="B637" s="6" t="inlineStr">
        <is>
          <t>카페24</t>
        </is>
      </c>
      <c r="C637" s="6" t="inlineStr">
        <is>
          <t>토너+패드 세트</t>
        </is>
      </c>
      <c r="D637" s="6" t="inlineStr">
        <is>
          <t>어성초 77 수딩 토너토너(필수)=어성초77토너1개 + 어성초77패드1개 -30% off (무료배송)</t>
        </is>
      </c>
      <c r="E637" s="6" t="n">
        <v>201208</v>
      </c>
      <c r="F637" s="6">
        <f>B637&amp;C637&amp;D637&amp;E637</f>
        <v/>
      </c>
      <c r="G637" s="6" t="n">
        <v>37100</v>
      </c>
      <c r="H637" s="30" t="n">
        <v>0.0585</v>
      </c>
      <c r="I637" s="6" t="n">
        <v>8092</v>
      </c>
    </row>
    <row r="638">
      <c r="B638" s="6" t="inlineStr">
        <is>
          <t>카페24</t>
        </is>
      </c>
      <c r="C638" s="6" t="inlineStr">
        <is>
          <t>화장솜</t>
        </is>
      </c>
      <c r="D638" s="6" t="inlineStr">
        <is>
          <t>어성초 77 수딩 토너화장솜(선택)=촉촉 스킨팩 화장솜</t>
        </is>
      </c>
      <c r="E638" s="6" t="n">
        <v>201208</v>
      </c>
      <c r="F638" s="6">
        <f>B638&amp;C638&amp;D638&amp;E638</f>
        <v/>
      </c>
      <c r="G638" s="6" t="n">
        <v>3000</v>
      </c>
      <c r="H638" s="30" t="n">
        <v>0.0585</v>
      </c>
      <c r="I638" s="6" t="n">
        <v>1110</v>
      </c>
    </row>
    <row r="639">
      <c r="B639" s="6" t="inlineStr">
        <is>
          <t>카페24</t>
        </is>
      </c>
      <c r="C639" s="6" t="inlineStr">
        <is>
          <t>토너</t>
        </is>
      </c>
      <c r="D639" s="6" t="inlineStr">
        <is>
          <t>어성초 77 수딩 토너토너(필수)=어성초 77 토너 1개-20% off</t>
        </is>
      </c>
      <c r="E639" s="6" t="n">
        <v>201208</v>
      </c>
      <c r="F639" s="6">
        <f>B639&amp;C639&amp;D639&amp;E639</f>
        <v/>
      </c>
      <c r="G639" s="6" t="n">
        <v>20000</v>
      </c>
      <c r="H639" s="30" t="n">
        <v>0.0585</v>
      </c>
      <c r="I639" s="6" t="n">
        <v>3080</v>
      </c>
    </row>
    <row r="640">
      <c r="B640" s="6" t="inlineStr">
        <is>
          <t>카페24</t>
        </is>
      </c>
      <c r="C640" s="6" t="inlineStr">
        <is>
          <t>토너</t>
        </is>
      </c>
      <c r="D640" s="6" t="inlineStr">
        <is>
          <t>어성초 77 수딩 토너토너(필수)=(대용량) 어성초 77 토너 500ml (무료배송)</t>
        </is>
      </c>
      <c r="E640" s="6" t="n">
        <v>201208</v>
      </c>
      <c r="F640" s="6">
        <f>B640&amp;C640&amp;D640&amp;E640</f>
        <v/>
      </c>
      <c r="G640" s="6" t="n">
        <v>33000</v>
      </c>
      <c r="H640" s="30" t="n">
        <v>0.0585</v>
      </c>
      <c r="I640" s="6" t="n">
        <v>4330</v>
      </c>
    </row>
    <row r="641">
      <c r="B641" s="6" t="inlineStr">
        <is>
          <t>카페24</t>
        </is>
      </c>
      <c r="C641" s="6" t="inlineStr">
        <is>
          <t>마스크팩</t>
        </is>
      </c>
      <c r="D641" s="6" t="inlineStr">
        <is>
          <t>어성초 77 진정 마스크옵션=어성초 77 진정 마스크팩 1장</t>
        </is>
      </c>
      <c r="E641" s="6" t="n">
        <v>201208</v>
      </c>
      <c r="F641" s="6">
        <f>B641&amp;C641&amp;D641&amp;E641</f>
        <v/>
      </c>
      <c r="G641" s="6" t="n">
        <v>4000</v>
      </c>
      <c r="H641" s="30" t="n">
        <v>0.0585</v>
      </c>
      <c r="I641" s="6" t="n">
        <v>397</v>
      </c>
    </row>
    <row r="642">
      <c r="B642" s="6" t="inlineStr">
        <is>
          <t>카페24</t>
        </is>
      </c>
      <c r="C642" s="6" t="inlineStr">
        <is>
          <t>마스크팩</t>
        </is>
      </c>
      <c r="D642" s="6" t="inlineStr">
        <is>
          <t>어성초 77 진정 마스크옵션=어성초 77 진정 마스크팩 10장-50% off</t>
        </is>
      </c>
      <c r="E642" s="6" t="n">
        <v>201208</v>
      </c>
      <c r="F642" s="6">
        <f>B642&amp;C642&amp;D642&amp;E642</f>
        <v/>
      </c>
      <c r="G642" s="6" t="n">
        <v>20000</v>
      </c>
      <c r="H642" s="30" t="n">
        <v>0.0585</v>
      </c>
      <c r="I642" s="6" t="n">
        <v>3970</v>
      </c>
    </row>
    <row r="643">
      <c r="B643" s="6" t="inlineStr">
        <is>
          <t>카페24</t>
        </is>
      </c>
      <c r="C643" s="6" t="inlineStr">
        <is>
          <t>마스크팩</t>
        </is>
      </c>
      <c r="D643" s="6" t="inlineStr">
        <is>
          <t>어성초 77 진정 마스크</t>
        </is>
      </c>
      <c r="E643" s="6" t="n">
        <v>201208</v>
      </c>
      <c r="F643" s="6">
        <f>B643&amp;C643&amp;D643&amp;E643</f>
        <v/>
      </c>
      <c r="G643" s="6" t="n">
        <v>4000</v>
      </c>
      <c r="H643" s="30" t="n">
        <v>0.0585</v>
      </c>
      <c r="I643" s="6" t="n">
        <v>397</v>
      </c>
    </row>
    <row r="644">
      <c r="B644" s="6" t="inlineStr">
        <is>
          <t>카페24</t>
        </is>
      </c>
      <c r="C644" s="6" t="inlineStr">
        <is>
          <t>클리어 패드</t>
        </is>
      </c>
      <c r="D644" s="6" t="inlineStr">
        <is>
          <t>어성초 77 클리어 패드옵션=어성초 77 클리어 패드 1개-20% off</t>
        </is>
      </c>
      <c r="E644" s="6" t="n">
        <v>201208</v>
      </c>
      <c r="F644" s="6">
        <f>B644&amp;C644&amp;D644&amp;E644</f>
        <v/>
      </c>
      <c r="G644" s="6" t="n">
        <v>22400</v>
      </c>
      <c r="H644" s="30" t="n">
        <v>0.0585</v>
      </c>
      <c r="I644" s="6" t="n">
        <v>5012</v>
      </c>
    </row>
    <row r="645">
      <c r="B645" s="6" t="inlineStr">
        <is>
          <t>카페24</t>
        </is>
      </c>
      <c r="C645" s="6" t="inlineStr">
        <is>
          <t>클리어 패드</t>
        </is>
      </c>
      <c r="D645" s="6" t="inlineStr">
        <is>
          <t>어성초 77 클리어 패드옵션=어성초 77 클리어 패드 2개-30% off (무료배송)</t>
        </is>
      </c>
      <c r="E645" s="6" t="n">
        <v>201208</v>
      </c>
      <c r="F645" s="6">
        <f>B645&amp;C645&amp;D645&amp;E645</f>
        <v/>
      </c>
      <c r="G645" s="6" t="n">
        <v>39200</v>
      </c>
      <c r="H645" s="30" t="n">
        <v>0.0585</v>
      </c>
      <c r="I645" s="6" t="n">
        <v>10024</v>
      </c>
    </row>
    <row r="646">
      <c r="B646" s="6" t="inlineStr">
        <is>
          <t>카페24</t>
        </is>
      </c>
      <c r="C646" s="6" t="inlineStr">
        <is>
          <t>토너+패드 세트</t>
        </is>
      </c>
      <c r="D646" s="6" t="inlineStr">
        <is>
          <t>어성초 77 클리어 패드옵션=어성초77토너1개+어성초77패드1개-30% off (무료배송)</t>
        </is>
      </c>
      <c r="E646" s="6" t="n">
        <v>201208</v>
      </c>
      <c r="F646" s="6">
        <f>B646&amp;C646&amp;D646&amp;E646</f>
        <v/>
      </c>
      <c r="G646" s="6" t="n">
        <v>37100</v>
      </c>
      <c r="H646" s="30" t="n">
        <v>0.0585</v>
      </c>
      <c r="I646" s="6" t="n">
        <v>8092</v>
      </c>
    </row>
    <row r="647">
      <c r="B647" s="6" t="inlineStr">
        <is>
          <t>카페24</t>
        </is>
      </c>
      <c r="C647" s="6" t="inlineStr">
        <is>
          <t>클리어 패드</t>
        </is>
      </c>
      <c r="D647" s="6" t="inlineStr">
        <is>
          <t>어성초 77 클리어 패드옵션=어성초 77 클리어 패드 1개-20% off</t>
        </is>
      </c>
      <c r="E647" s="6" t="n">
        <v>201208</v>
      </c>
      <c r="F647" s="6">
        <f>B647&amp;C647&amp;D647&amp;E647</f>
        <v/>
      </c>
      <c r="G647" s="6" t="n">
        <v>22400</v>
      </c>
      <c r="H647" s="30" t="n">
        <v>0.0585</v>
      </c>
      <c r="I647" s="6" t="n">
        <v>5012</v>
      </c>
    </row>
    <row r="648">
      <c r="B648" s="6" t="inlineStr">
        <is>
          <t>카페24</t>
        </is>
      </c>
      <c r="C648" s="6" t="inlineStr">
        <is>
          <t>클리어 패드</t>
        </is>
      </c>
      <c r="D648" s="6" t="inlineStr">
        <is>
          <t>어성초 77 클리어 패드옵션=어성초 77 클리어 패드 2개-30% off (무료배송)</t>
        </is>
      </c>
      <c r="E648" s="6" t="n">
        <v>201208</v>
      </c>
      <c r="F648" s="6">
        <f>B648&amp;C648&amp;D648&amp;E648</f>
        <v/>
      </c>
      <c r="G648" s="6" t="n">
        <v>39200</v>
      </c>
      <c r="H648" s="30" t="n">
        <v>0.0585</v>
      </c>
      <c r="I648" s="6" t="n">
        <v>10024</v>
      </c>
    </row>
    <row r="649">
      <c r="B649" s="6" t="inlineStr">
        <is>
          <t>카페24</t>
        </is>
      </c>
      <c r="C649" s="6" t="inlineStr">
        <is>
          <t>토너</t>
        </is>
      </c>
      <c r="D649" s="6" t="inlineStr">
        <is>
          <t>어성초 77 토너</t>
        </is>
      </c>
      <c r="E649" s="6" t="n">
        <v>201208</v>
      </c>
      <c r="F649" s="6">
        <f>B649&amp;C649&amp;D649&amp;E649</f>
        <v/>
      </c>
      <c r="G649" s="6" t="n">
        <v>20000</v>
      </c>
      <c r="H649" s="30" t="n">
        <v>0.0585</v>
      </c>
      <c r="I649" s="6" t="n">
        <v>3080</v>
      </c>
    </row>
    <row r="650">
      <c r="B650" s="6" t="inlineStr">
        <is>
          <t>카페24</t>
        </is>
      </c>
      <c r="C650" s="6" t="inlineStr">
        <is>
          <t>토너</t>
        </is>
      </c>
      <c r="D650" s="6" t="inlineStr">
        <is>
          <t>어성초 77 토너토너(필수)=어성초 77 토너 1개-20% off</t>
        </is>
      </c>
      <c r="E650" s="6" t="n">
        <v>201208</v>
      </c>
      <c r="F650" s="6">
        <f>B650&amp;C650&amp;D650&amp;E650</f>
        <v/>
      </c>
      <c r="G650" s="6" t="n">
        <v>20000</v>
      </c>
      <c r="H650" s="30" t="n">
        <v>0.0585</v>
      </c>
      <c r="I650" s="6" t="n">
        <v>3080</v>
      </c>
    </row>
    <row r="651">
      <c r="B651" s="6" t="inlineStr">
        <is>
          <t>카페24</t>
        </is>
      </c>
      <c r="C651" s="6" t="inlineStr">
        <is>
          <t>수딩크림</t>
        </is>
      </c>
      <c r="D651" s="6" t="inlineStr">
        <is>
          <t>어성초 78 수딩 크림</t>
        </is>
      </c>
      <c r="E651" s="6" t="n">
        <v>201208</v>
      </c>
      <c r="F651" s="6">
        <f>B651&amp;C651&amp;D651&amp;E651</f>
        <v/>
      </c>
      <c r="G651" s="6" t="n">
        <v>38000</v>
      </c>
      <c r="H651" s="30" t="n">
        <v>0.0585</v>
      </c>
      <c r="I651" s="6" t="n">
        <v>3045</v>
      </c>
    </row>
    <row r="652">
      <c r="B652" s="6" t="inlineStr">
        <is>
          <t>카페24</t>
        </is>
      </c>
      <c r="C652" s="6" t="inlineStr">
        <is>
          <t>수딩크림</t>
        </is>
      </c>
      <c r="D652" s="6" t="inlineStr">
        <is>
          <t>어성초 78 수딩 크림</t>
        </is>
      </c>
      <c r="E652" s="6" t="n">
        <v>201208</v>
      </c>
      <c r="F652" s="6">
        <f>B652&amp;C652&amp;D652&amp;E652</f>
        <v/>
      </c>
      <c r="G652" s="6" t="n">
        <v>38000</v>
      </c>
      <c r="H652" s="30" t="n">
        <v>0.0585</v>
      </c>
      <c r="I652" s="6" t="n">
        <v>3045</v>
      </c>
    </row>
    <row r="653">
      <c r="B653" s="6" t="inlineStr">
        <is>
          <t>카페24</t>
        </is>
      </c>
      <c r="C653" s="6" t="inlineStr">
        <is>
          <t>앰플</t>
        </is>
      </c>
      <c r="D653" s="6" t="inlineStr">
        <is>
          <t>어성초 80 수분 진정 앰플앰플=어성초 80 앰플 1개-15%off</t>
        </is>
      </c>
      <c r="E653" s="6" t="n">
        <v>201208</v>
      </c>
      <c r="F653" s="6">
        <f>B653&amp;C653&amp;D653&amp;E653</f>
        <v/>
      </c>
      <c r="G653" s="6" t="n">
        <v>28000</v>
      </c>
      <c r="H653" s="30" t="n">
        <v>0.0585</v>
      </c>
      <c r="I653" s="6" t="n">
        <v>3397</v>
      </c>
    </row>
    <row r="654">
      <c r="B654" s="6" t="inlineStr">
        <is>
          <t>카페24</t>
        </is>
      </c>
      <c r="C654" s="6" t="inlineStr">
        <is>
          <t>앰플</t>
        </is>
      </c>
      <c r="D654" s="6" t="inlineStr">
        <is>
          <t>어성초 80 수분 진정 앰플앰플=어성초 80 앰플 2개-27%off (무료배송)</t>
        </is>
      </c>
      <c r="E654" s="6" t="n">
        <v>201208</v>
      </c>
      <c r="F654" s="6">
        <f>B654&amp;C654&amp;D654&amp;E654</f>
        <v/>
      </c>
      <c r="G654" s="6" t="n">
        <v>48000</v>
      </c>
      <c r="H654" s="30" t="n">
        <v>0.0585</v>
      </c>
      <c r="I654" s="6" t="n">
        <v>6794</v>
      </c>
    </row>
    <row r="655">
      <c r="B655" s="6" t="inlineStr">
        <is>
          <t>카페24</t>
        </is>
      </c>
      <c r="C655" s="6" t="inlineStr">
        <is>
          <t>앰플</t>
        </is>
      </c>
      <c r="D655" s="6" t="inlineStr">
        <is>
          <t>어성초 80 수분 진정 앰플</t>
        </is>
      </c>
      <c r="E655" s="6" t="n">
        <v>201208</v>
      </c>
      <c r="F655" s="6">
        <f>B655&amp;C655&amp;D655&amp;E655</f>
        <v/>
      </c>
      <c r="G655" s="6" t="n">
        <v>28000</v>
      </c>
      <c r="H655" s="30" t="n">
        <v>0.0585</v>
      </c>
      <c r="I655" s="6" t="n">
        <v>3397</v>
      </c>
    </row>
    <row r="656">
      <c r="B656" s="6" t="inlineStr">
        <is>
          <t>카페24</t>
        </is>
      </c>
      <c r="C656" s="6" t="inlineStr">
        <is>
          <t>앰플</t>
        </is>
      </c>
      <c r="D656" s="6" t="inlineStr">
        <is>
          <t>어성초 80 수분 진정 앰플옵션=어성초 80 앰플 1개 - 15%off</t>
        </is>
      </c>
      <c r="E656" s="6" t="n">
        <v>201208</v>
      </c>
      <c r="F656" s="6">
        <f>B656&amp;C656&amp;D656&amp;E656</f>
        <v/>
      </c>
      <c r="G656" s="6" t="n">
        <v>28000</v>
      </c>
      <c r="H656" s="30" t="n">
        <v>0.0585</v>
      </c>
      <c r="I656" s="6" t="n">
        <v>3397</v>
      </c>
    </row>
    <row r="657">
      <c r="B657" s="6" t="inlineStr">
        <is>
          <t>카페24</t>
        </is>
      </c>
      <c r="C657" s="94" t="inlineStr">
        <is>
          <t>바디워시</t>
        </is>
      </c>
      <c r="D657" s="6" t="inlineStr">
        <is>
          <t>어성초 아크네 바디워시옵션=어성초 아크네 바디워시 1개 -30% off</t>
        </is>
      </c>
      <c r="E657" s="6" t="n">
        <v>201208</v>
      </c>
      <c r="F657" s="6">
        <f>B657&amp;C657&amp;D657&amp;E657</f>
        <v/>
      </c>
      <c r="G657" s="6" t="n">
        <v>18200</v>
      </c>
      <c r="H657" s="30" t="n">
        <v>0.0585</v>
      </c>
      <c r="I657" s="6" t="n">
        <v>4085</v>
      </c>
    </row>
    <row r="658">
      <c r="B658" s="6" t="inlineStr">
        <is>
          <t>카페24</t>
        </is>
      </c>
      <c r="C658" s="94" t="inlineStr">
        <is>
          <t>바디워시</t>
        </is>
      </c>
      <c r="D658" s="6" t="inlineStr">
        <is>
          <t>어성초 아크네 바디워시옵션=어성초 아크네 바디워시 2개 -35% off (무료배송)</t>
        </is>
      </c>
      <c r="E658" s="6" t="n">
        <v>201208</v>
      </c>
      <c r="F658" s="6">
        <f>B658&amp;C658&amp;D658&amp;E658</f>
        <v/>
      </c>
      <c r="G658" s="6" t="n">
        <v>33800</v>
      </c>
      <c r="H658" s="30" t="n">
        <v>0.0585</v>
      </c>
      <c r="I658" s="6" t="n">
        <v>8170</v>
      </c>
    </row>
    <row r="659">
      <c r="B659" s="6" t="inlineStr">
        <is>
          <t>카페24</t>
        </is>
      </c>
      <c r="C659" s="6" t="inlineStr">
        <is>
          <t>클렌징폼</t>
        </is>
      </c>
      <c r="D659" s="6" t="inlineStr">
        <is>
          <t>어성초 약산성 클렌징폼클렌징폼=어성초 약산성 클렌징폼 1개 -19%off</t>
        </is>
      </c>
      <c r="E659" s="6" t="n">
        <v>201208</v>
      </c>
      <c r="F659" s="6">
        <f>B659&amp;C659&amp;D659&amp;E659</f>
        <v/>
      </c>
      <c r="G659" s="6" t="n">
        <v>13000</v>
      </c>
      <c r="H659" s="30" t="n">
        <v>0.0585</v>
      </c>
      <c r="I659" s="6" t="n">
        <v>2750</v>
      </c>
    </row>
    <row r="660">
      <c r="B660" s="6" t="inlineStr">
        <is>
          <t>카페24</t>
        </is>
      </c>
      <c r="C660" s="6" t="inlineStr">
        <is>
          <t>클렌징폼</t>
        </is>
      </c>
      <c r="D660" s="6" t="inlineStr">
        <is>
          <t>어성초 약산성 클렌징폼클렌징폼=어성초 약산성 클렌징폼 2개 -25%off</t>
        </is>
      </c>
      <c r="E660" s="6" t="n">
        <v>201208</v>
      </c>
      <c r="F660" s="6">
        <f>B660&amp;C660&amp;D660&amp;E660</f>
        <v/>
      </c>
      <c r="G660" s="6" t="n">
        <v>24000</v>
      </c>
      <c r="H660" s="30" t="n">
        <v>0.0585</v>
      </c>
      <c r="I660" s="6" t="n">
        <v>2460</v>
      </c>
    </row>
    <row r="661">
      <c r="B661" s="6" t="inlineStr">
        <is>
          <t>카페24</t>
        </is>
      </c>
      <c r="C661" s="6" t="inlineStr">
        <is>
          <t>클렌징폼</t>
        </is>
      </c>
      <c r="D661" s="6" t="inlineStr">
        <is>
          <t>어성초 약산성 클렌징폼클렌징폼=어성초 약산성 클렌징폼 3개 -31%off (무료배송)</t>
        </is>
      </c>
      <c r="E661" s="6" t="n">
        <v>201208</v>
      </c>
      <c r="F661" s="6">
        <f>B661&amp;C661&amp;D661&amp;E661</f>
        <v/>
      </c>
      <c r="G661" s="6" t="n">
        <v>33000</v>
      </c>
      <c r="H661" s="30" t="n">
        <v>0.0585</v>
      </c>
      <c r="I661" s="6" t="n">
        <v>3690</v>
      </c>
    </row>
    <row r="662">
      <c r="B662" s="6" t="inlineStr">
        <is>
          <t>카페24</t>
        </is>
      </c>
      <c r="C662" s="94" t="inlineStr">
        <is>
          <t>크림마스크</t>
        </is>
      </c>
      <c r="D662" s="6" t="inlineStr">
        <is>
          <t>어성초 크림마스크 나이트 솔루션옵션=어성초 크림마스크 나이트 솔루션 10장 (-50%)</t>
        </is>
      </c>
      <c r="E662" s="6" t="n">
        <v>201208</v>
      </c>
      <c r="F662" s="6">
        <f>B662&amp;C662&amp;D662&amp;E662</f>
        <v/>
      </c>
      <c r="G662" s="6" t="n">
        <v>20000</v>
      </c>
      <c r="H662" s="30" t="n">
        <v>0.0585</v>
      </c>
      <c r="I662" s="6" t="n">
        <v>3107</v>
      </c>
    </row>
    <row r="663">
      <c r="B663" s="6" t="inlineStr">
        <is>
          <t>카페24</t>
        </is>
      </c>
      <c r="C663" s="6" t="inlineStr">
        <is>
          <t>화장솜</t>
        </is>
      </c>
      <c r="D663" s="6" t="inlineStr">
        <is>
          <t>촉촉 스킨팩 화장솜</t>
        </is>
      </c>
      <c r="E663" s="6" t="n">
        <v>201208</v>
      </c>
      <c r="F663" s="6">
        <f>B663&amp;C663&amp;D663&amp;E663</f>
        <v/>
      </c>
      <c r="G663" s="6" t="n">
        <v>3000</v>
      </c>
      <c r="H663" s="30" t="n">
        <v>0.0585</v>
      </c>
      <c r="I663" s="6" t="n">
        <v>1110</v>
      </c>
    </row>
    <row r="664">
      <c r="B664" s="6" t="inlineStr">
        <is>
          <t>카페24</t>
        </is>
      </c>
      <c r="C664" s="6" t="inlineStr">
        <is>
          <t>화장솜</t>
        </is>
      </c>
      <c r="D664" s="6" t="inlineStr">
        <is>
          <t>촉촉 스킨팩 화장솜</t>
        </is>
      </c>
      <c r="E664" s="6" t="n">
        <v>201208</v>
      </c>
      <c r="F664" s="6">
        <f>B664&amp;C664&amp;D664&amp;E664</f>
        <v/>
      </c>
      <c r="G664" s="6" t="n">
        <v>3000</v>
      </c>
      <c r="H664" s="30" t="n">
        <v>0.0585</v>
      </c>
      <c r="I664" s="6" t="n">
        <v>1110</v>
      </c>
    </row>
    <row r="665">
      <c r="B665" s="6" t="inlineStr">
        <is>
          <t>화해</t>
        </is>
      </c>
      <c r="C665" s="6" t="inlineStr">
        <is>
          <t>토너</t>
        </is>
      </c>
      <c r="D665" s="6" t="inlineStr">
        <is>
          <t>어성초 77 토너 250ml어성초 77 토너 250ml</t>
        </is>
      </c>
      <c r="E665" s="6" t="n">
        <v>201208</v>
      </c>
      <c r="F665" s="6">
        <f>B665&amp;C665&amp;D665&amp;E665</f>
        <v/>
      </c>
      <c r="G665" s="6" t="n">
        <v>20000</v>
      </c>
      <c r="H665" s="86" t="n">
        <v>0.28</v>
      </c>
      <c r="I665" s="6" t="n">
        <v>3080</v>
      </c>
      <c r="J665" s="6" t="inlineStr">
        <is>
          <t>22일부터</t>
        </is>
      </c>
    </row>
    <row r="666">
      <c r="B666" s="6" t="inlineStr">
        <is>
          <t>아누아 CS</t>
        </is>
      </c>
      <c r="C666" s="6" t="inlineStr">
        <is>
          <t>화장솜</t>
        </is>
      </c>
      <c r="D666" s="6" t="inlineStr">
        <is>
          <t>어성초 77 수딩 토너화장솜(선택)=촉촉 스킨팩 화장솜</t>
        </is>
      </c>
      <c r="E666" s="6" t="n">
        <v>201208</v>
      </c>
      <c r="F666" s="6">
        <f>B666&amp;C666&amp;D666&amp;E666</f>
        <v/>
      </c>
      <c r="G666" s="6" t="n">
        <v>0</v>
      </c>
      <c r="H666" s="27" t="n">
        <v>0</v>
      </c>
      <c r="I666" s="6" t="n">
        <v>1110</v>
      </c>
    </row>
    <row r="667">
      <c r="B667" s="6" t="inlineStr">
        <is>
          <t>아누아 CS</t>
        </is>
      </c>
      <c r="C667" s="6" t="inlineStr">
        <is>
          <t>클리어 패드</t>
        </is>
      </c>
      <c r="D667" s="6" t="inlineStr">
        <is>
          <t>어성초 클리어패드 70P</t>
        </is>
      </c>
      <c r="E667" s="6" t="n">
        <v>201208</v>
      </c>
      <c r="F667" s="6">
        <f>B667&amp;C667&amp;D667&amp;E667</f>
        <v/>
      </c>
      <c r="G667" s="6" t="n">
        <v>0</v>
      </c>
      <c r="H667" s="27" t="n">
        <v>0</v>
      </c>
      <c r="I667" s="6" t="n">
        <v>5012</v>
      </c>
    </row>
    <row r="668">
      <c r="B668" s="6" t="inlineStr">
        <is>
          <t>스타일쉐어</t>
        </is>
      </c>
      <c r="C668" s="6" t="inlineStr">
        <is>
          <t>토너</t>
        </is>
      </c>
      <c r="D668" s="6" t="inlineStr">
        <is>
          <t>아누아 어성초 77 토너 250ml</t>
        </is>
      </c>
      <c r="E668" s="6" t="n">
        <v>201208</v>
      </c>
      <c r="F668" s="7">
        <f>B668&amp;C668&amp;D668&amp;E668</f>
        <v/>
      </c>
      <c r="G668" s="6" t="n">
        <v>20000</v>
      </c>
      <c r="H668" s="86" t="n">
        <v>0.25</v>
      </c>
      <c r="I668" s="6" t="n">
        <v>3260</v>
      </c>
    </row>
    <row r="669">
      <c r="B669" s="6" t="inlineStr">
        <is>
          <t>아누아 CS</t>
        </is>
      </c>
      <c r="C669" s="6" t="inlineStr">
        <is>
          <t>토너</t>
        </is>
      </c>
      <c r="D669" s="6" t="inlineStr">
        <is>
          <t>어성초 77 토너 250ml</t>
        </is>
      </c>
      <c r="E669" s="6" t="n">
        <v>201208</v>
      </c>
      <c r="F669" s="7">
        <f>B669&amp;C669&amp;D669&amp;E669</f>
        <v/>
      </c>
      <c r="G669" s="6" t="n">
        <v>0</v>
      </c>
      <c r="H669" s="86" t="n">
        <v>0</v>
      </c>
      <c r="I669" s="6" t="n">
        <v>3260</v>
      </c>
    </row>
    <row r="670">
      <c r="B670" s="6" t="inlineStr">
        <is>
          <t>카페24</t>
        </is>
      </c>
      <c r="C670" s="6" t="inlineStr">
        <is>
          <t>머드크림마스크</t>
        </is>
      </c>
      <c r="D670" s="6" t="inlineStr">
        <is>
          <t>어성초 70 머드 크림 마스크옵션=어성초 70 머드 크림 마스크 2개-30% off (무료배송)</t>
        </is>
      </c>
      <c r="E670" s="6" t="n">
        <v>201208</v>
      </c>
      <c r="F670" s="6">
        <f>B670&amp;C670&amp;D670&amp;E670</f>
        <v/>
      </c>
      <c r="G670" s="6" t="n">
        <v>35000</v>
      </c>
      <c r="H670" s="30" t="n">
        <v>0.0585</v>
      </c>
      <c r="I670" s="6" t="n">
        <v>2884</v>
      </c>
    </row>
    <row r="671">
      <c r="B671" s="6" t="inlineStr">
        <is>
          <t>카페24</t>
        </is>
      </c>
      <c r="C671" s="6" t="inlineStr">
        <is>
          <t>화장솜</t>
        </is>
      </c>
      <c r="D671" s="6" t="inlineStr">
        <is>
          <t>어성초 77 토너화장솜(선택)=촉촉 스킨팩 화장솜</t>
        </is>
      </c>
      <c r="E671" s="6" t="n">
        <v>201208</v>
      </c>
      <c r="F671" s="6">
        <f>B671&amp;C671&amp;D671&amp;E671</f>
        <v/>
      </c>
      <c r="G671" s="6" t="n">
        <v>3000</v>
      </c>
      <c r="H671" s="30" t="n">
        <v>0.0585</v>
      </c>
      <c r="I671" s="6" t="n">
        <v>1110</v>
      </c>
    </row>
    <row r="672">
      <c r="B672" s="6" t="inlineStr">
        <is>
          <t>화해</t>
        </is>
      </c>
      <c r="C672" s="6" t="inlineStr">
        <is>
          <t>클리어 패드</t>
        </is>
      </c>
      <c r="D672" s="6" t="inlineStr">
        <is>
          <t>어성초 77 클리어 패드 70매어성초 77 클리어 패드 70매</t>
        </is>
      </c>
      <c r="E672" s="6" t="n">
        <v>201208</v>
      </c>
      <c r="F672" s="6">
        <f>B672&amp;C672&amp;D672&amp;E672</f>
        <v/>
      </c>
      <c r="G672" s="6" t="n">
        <v>22400</v>
      </c>
      <c r="H672" s="27" t="n">
        <v>0.27</v>
      </c>
      <c r="I672" s="6" t="n">
        <v>5012</v>
      </c>
    </row>
    <row r="673">
      <c r="B673" s="6" t="inlineStr">
        <is>
          <t>카페24</t>
        </is>
      </c>
      <c r="C673" s="6" t="inlineStr">
        <is>
          <t>토너</t>
        </is>
      </c>
      <c r="D673" s="6" t="inlineStr">
        <is>
          <t>아누아 어성초 77 수딩 토너토너(필수)=어성초 77 토너 1개-20% off</t>
        </is>
      </c>
      <c r="E673" s="6" t="n">
        <v>201208</v>
      </c>
      <c r="F673" s="6">
        <f>B673&amp;C673&amp;D673&amp;E673</f>
        <v/>
      </c>
      <c r="G673" s="6" t="n">
        <v>20000</v>
      </c>
      <c r="H673" s="30" t="n">
        <v>0.0585</v>
      </c>
      <c r="I673" s="6" t="n">
        <v>3080</v>
      </c>
    </row>
    <row r="674">
      <c r="B674" s="6" t="inlineStr">
        <is>
          <t>카페24</t>
        </is>
      </c>
      <c r="C674" s="6" t="inlineStr">
        <is>
          <t>토너+패드 세트</t>
        </is>
      </c>
      <c r="D674" s="6" t="inlineStr">
        <is>
          <t>어성초 77 토너토너(필수)=어성초77토너1개 + 어성초77패드1개 -30% off (무료배송)</t>
        </is>
      </c>
      <c r="E674" s="6" t="n">
        <v>201208</v>
      </c>
      <c r="F674" s="6">
        <f>B674&amp;C674&amp;D674&amp;E674</f>
        <v/>
      </c>
      <c r="G674" s="6" t="n">
        <v>37100</v>
      </c>
      <c r="H674" s="30" t="n">
        <v>0.0585</v>
      </c>
      <c r="I674" s="6" t="n">
        <v>8092</v>
      </c>
    </row>
    <row r="675">
      <c r="B675" s="6" t="inlineStr">
        <is>
          <t>카페24</t>
        </is>
      </c>
      <c r="C675" s="6" t="inlineStr">
        <is>
          <t>크림마스크</t>
        </is>
      </c>
      <c r="D675" s="6" t="inlineStr">
        <is>
          <t>어성초 크림마스크 나이트 솔루션옵션=어성초 크림마스크 나이트 솔루션 1장</t>
        </is>
      </c>
      <c r="E675" s="6" t="n">
        <v>201208</v>
      </c>
      <c r="F675" s="6">
        <f>B675&amp;C675&amp;D675&amp;E675</f>
        <v/>
      </c>
      <c r="G675" s="6" t="n">
        <v>4000</v>
      </c>
      <c r="H675" s="30" t="n">
        <v>0.0585</v>
      </c>
      <c r="I675" s="6" t="n">
        <v>310</v>
      </c>
    </row>
    <row r="676">
      <c r="B676" s="6" t="inlineStr">
        <is>
          <t>화해</t>
        </is>
      </c>
      <c r="C676" s="6" t="inlineStr">
        <is>
          <t>로션</t>
        </is>
      </c>
      <c r="D676" s="6" t="inlineStr">
        <is>
          <t>어성초 70 데일리 릴리프 로션 200ml어성초 70 데일리 릴리프 로션 200ml</t>
        </is>
      </c>
      <c r="E676" s="6" t="n">
        <v>201208</v>
      </c>
      <c r="F676" s="6">
        <f>B676&amp;C676&amp;D676&amp;E676</f>
        <v/>
      </c>
      <c r="G676" s="6" t="n">
        <v>22400</v>
      </c>
      <c r="H676" s="27" t="n">
        <v>0.27</v>
      </c>
      <c r="I676" s="6" t="n">
        <v>4338</v>
      </c>
    </row>
    <row r="677">
      <c r="B677" s="6" t="inlineStr">
        <is>
          <t>카페24</t>
        </is>
      </c>
      <c r="C677" s="6" t="inlineStr">
        <is>
          <t>카밍크림</t>
        </is>
      </c>
      <c r="D677" s="6" t="inlineStr">
        <is>
          <t>어성초 70 인텐스 카밍 크림크림=어성초 70 인텐스 카밍 크림 2개 (-30%)</t>
        </is>
      </c>
      <c r="E677" s="6" t="n">
        <v>201208</v>
      </c>
      <c r="F677" s="6">
        <f>B677&amp;C677&amp;D677&amp;E677</f>
        <v/>
      </c>
      <c r="G677" s="6" t="n">
        <v>49000</v>
      </c>
      <c r="H677" s="30" t="n">
        <v>0.0585</v>
      </c>
      <c r="I677" s="6" t="n">
        <v>7764</v>
      </c>
    </row>
    <row r="678">
      <c r="B678" s="6" t="inlineStr">
        <is>
          <t>글로우데이즈 시코르</t>
        </is>
      </c>
      <c r="C678" s="6" t="inlineStr">
        <is>
          <t>선크림</t>
        </is>
      </c>
      <c r="D678" s="6" t="inlineStr">
        <is>
          <t>5제로 무기자차 선크림 50ml</t>
        </is>
      </c>
      <c r="E678" s="6" t="n">
        <v>201208</v>
      </c>
      <c r="F678" s="6">
        <f>B678&amp;C678&amp;D678&amp;E678</f>
        <v/>
      </c>
      <c r="G678" s="6" t="n">
        <v>20000</v>
      </c>
      <c r="H678" s="30" t="n">
        <v>0</v>
      </c>
      <c r="I678" s="6" t="n">
        <v>2345</v>
      </c>
    </row>
    <row r="679">
      <c r="B679" s="6" t="inlineStr">
        <is>
          <t>아누아 CS</t>
        </is>
      </c>
      <c r="C679" s="6" t="inlineStr">
        <is>
          <t>카밍크림</t>
        </is>
      </c>
      <c r="D679" s="6" t="inlineStr">
        <is>
          <t>어성초 70 인텐스 카밍 크림 50ml</t>
        </is>
      </c>
      <c r="E679" s="6" t="n">
        <v>201208</v>
      </c>
      <c r="F679" s="6">
        <f>B679&amp;C679&amp;D679&amp;E679</f>
        <v/>
      </c>
      <c r="G679" s="6" t="n">
        <v>0</v>
      </c>
      <c r="H679" s="30" t="n">
        <v>0</v>
      </c>
      <c r="I679" s="6" t="n">
        <v>3882</v>
      </c>
    </row>
    <row r="680">
      <c r="B680" s="6" t="inlineStr">
        <is>
          <t>카페24</t>
        </is>
      </c>
      <c r="C680" s="6" t="inlineStr">
        <is>
          <t>토너</t>
        </is>
      </c>
      <c r="D680" s="6" t="inlineStr">
        <is>
          <t>어성초 77 토너토너(필수)=어성초 77 토너 2개-30% off (무료배송)</t>
        </is>
      </c>
      <c r="E680" s="6" t="n">
        <v>201208</v>
      </c>
      <c r="F680" s="6">
        <f>B680&amp;C680&amp;D680&amp;E680</f>
        <v/>
      </c>
      <c r="G680" s="6" t="n">
        <v>35000</v>
      </c>
      <c r="H680" s="30" t="n">
        <v>0.0585</v>
      </c>
      <c r="I680" s="6" t="n">
        <v>6160</v>
      </c>
    </row>
    <row r="681">
      <c r="B681" s="6" t="inlineStr">
        <is>
          <t>카페24</t>
        </is>
      </c>
      <c r="C681" s="6" t="inlineStr">
        <is>
          <t>클리어 패드</t>
        </is>
      </c>
      <c r="D681" s="6" t="inlineStr">
        <is>
          <t>어성초 77 패드옵션=어성초 77 클리어 패드 1개-29% off (무료배송)</t>
        </is>
      </c>
      <c r="E681" s="6" t="n">
        <v>201208</v>
      </c>
      <c r="F681" s="6">
        <f>B681&amp;C681&amp;D681&amp;E681</f>
        <v/>
      </c>
      <c r="G681" s="6" t="n">
        <v>19900</v>
      </c>
      <c r="H681" s="30" t="n">
        <v>0.0585</v>
      </c>
      <c r="I681" s="6" t="n">
        <v>5012</v>
      </c>
    </row>
    <row r="682">
      <c r="B682" s="6" t="inlineStr">
        <is>
          <t>카페24</t>
        </is>
      </c>
      <c r="C682" s="6" t="inlineStr">
        <is>
          <t>클리어 패드</t>
        </is>
      </c>
      <c r="D682" s="6" t="inlineStr">
        <is>
          <t>어성초 77 패드옵션=어성초 77 클리어 패드 2개-30% off (무료배송)</t>
        </is>
      </c>
      <c r="E682" s="6" t="n">
        <v>201208</v>
      </c>
      <c r="F682" s="6">
        <f>B682&amp;C682&amp;D682&amp;E682</f>
        <v/>
      </c>
      <c r="G682" s="6" t="n">
        <v>39200</v>
      </c>
      <c r="H682" s="30" t="n">
        <v>0.0585</v>
      </c>
      <c r="I682" s="6" t="n">
        <v>10024</v>
      </c>
    </row>
    <row r="683">
      <c r="B683" s="6" t="inlineStr">
        <is>
          <t>화해</t>
        </is>
      </c>
      <c r="C683" s="6" t="inlineStr">
        <is>
          <t>앰플</t>
        </is>
      </c>
      <c r="D683" s="6" t="inlineStr">
        <is>
          <t>어성초 80 수분 진정 앰플 30ml어성초 80 수분 진정 앰플 30ml</t>
        </is>
      </c>
      <c r="E683" s="6" t="n">
        <v>201208</v>
      </c>
      <c r="F683" s="6">
        <f>B683&amp;C683&amp;D683&amp;E683</f>
        <v/>
      </c>
      <c r="G683" s="6" t="n">
        <v>28000</v>
      </c>
      <c r="H683" s="30" t="n">
        <v>0.29</v>
      </c>
      <c r="I683" s="6" t="n">
        <v>3397</v>
      </c>
    </row>
    <row r="684">
      <c r="B684" s="6" t="inlineStr">
        <is>
          <t>카페24</t>
        </is>
      </c>
      <c r="C684" s="6" t="inlineStr">
        <is>
          <t>토너</t>
        </is>
      </c>
      <c r="D684" s="6" t="inlineStr">
        <is>
          <t>아누아 어성초 77 수딩 토너토너(필수)=어성초 77 토너 2개-30% off (무료배송)</t>
        </is>
      </c>
      <c r="E684" s="6" t="n">
        <v>201208</v>
      </c>
      <c r="F684" s="6">
        <f>B684&amp;C684&amp;D684&amp;E684</f>
        <v/>
      </c>
      <c r="G684" s="6" t="n">
        <v>35000</v>
      </c>
      <c r="H684" s="30" t="n">
        <v>0.0585</v>
      </c>
      <c r="I684" s="6" t="n">
        <v>6160</v>
      </c>
    </row>
    <row r="685">
      <c r="B685" s="6" t="inlineStr">
        <is>
          <t>카페24</t>
        </is>
      </c>
      <c r="C685" s="6" t="inlineStr">
        <is>
          <t>토너</t>
        </is>
      </c>
      <c r="D685" s="6" t="inlineStr">
        <is>
          <t>아누아 어성초 77 수딩 토너화장솜(선택)=촉촉 스킨팩 화장솜</t>
        </is>
      </c>
      <c r="E685" s="6" t="n">
        <v>201208</v>
      </c>
      <c r="F685" s="6">
        <f>B685&amp;C685&amp;D685&amp;E685</f>
        <v/>
      </c>
      <c r="G685" s="6" t="n">
        <v>3000</v>
      </c>
      <c r="H685" s="30" t="n">
        <v>0.0585</v>
      </c>
      <c r="I685" s="6" t="n">
        <v>1110</v>
      </c>
    </row>
    <row r="686">
      <c r="B686" s="6" t="inlineStr">
        <is>
          <t>카페24</t>
        </is>
      </c>
      <c r="C686" s="6" t="inlineStr">
        <is>
          <t>토너+패드 세트</t>
        </is>
      </c>
      <c r="D686" s="6" t="inlineStr">
        <is>
          <t>아누아 어성초 77 수딩 토너토너(필수)=어성초77토너1개 + 어성초77패드1개 -30% off (무료배송)</t>
        </is>
      </c>
      <c r="E686" s="6" t="n">
        <v>201208</v>
      </c>
      <c r="F686" s="6">
        <f>B686&amp;C686&amp;D686&amp;E686</f>
        <v/>
      </c>
      <c r="G686" s="6" t="n">
        <v>37100</v>
      </c>
      <c r="H686" s="30" t="n">
        <v>0.0585</v>
      </c>
      <c r="I686" s="6" t="n">
        <v>8092</v>
      </c>
    </row>
    <row r="687">
      <c r="B687" s="6" t="inlineStr">
        <is>
          <t>카페24</t>
        </is>
      </c>
      <c r="C687" s="6" t="inlineStr">
        <is>
          <t>클렌징폼</t>
        </is>
      </c>
      <c r="D687" s="6" t="inlineStr">
        <is>
          <t>어성초 약산성 클렌징폼</t>
        </is>
      </c>
      <c r="E687" s="6" t="n">
        <v>201208</v>
      </c>
      <c r="F687" s="6">
        <f>B687&amp;C687&amp;D687&amp;E687</f>
        <v/>
      </c>
      <c r="G687" s="6" t="n">
        <v>13000</v>
      </c>
      <c r="H687" s="30" t="n">
        <v>0.0585</v>
      </c>
      <c r="I687" s="6" t="n">
        <v>2750</v>
      </c>
    </row>
    <row r="688">
      <c r="B688" s="6" t="inlineStr">
        <is>
          <t>랄라블라</t>
        </is>
      </c>
      <c r="C688" s="6" t="inlineStr">
        <is>
          <t>클렌징폼</t>
        </is>
      </c>
      <c r="D688" s="6" t="inlineStr">
        <is>
          <t>어성초 약산성 클렌징폼</t>
        </is>
      </c>
      <c r="E688" s="6" t="n">
        <v>201208</v>
      </c>
      <c r="F688" s="6">
        <f>B688&amp;C688&amp;D688&amp;E688</f>
        <v/>
      </c>
      <c r="G688" s="6" t="n">
        <v>13000</v>
      </c>
      <c r="H688" s="30" t="n">
        <v>0.0585</v>
      </c>
      <c r="I688" s="6" t="n">
        <v>2750</v>
      </c>
    </row>
    <row r="689">
      <c r="B689" s="6" t="inlineStr">
        <is>
          <t>아누아 CS</t>
        </is>
      </c>
      <c r="C689" s="6" t="inlineStr">
        <is>
          <t>선크림</t>
        </is>
      </c>
      <c r="D689" s="6" t="inlineStr">
        <is>
          <t>5 제로 무기자차 선크림옵션=5제로 무기자차 선크림 1개-20% off</t>
        </is>
      </c>
      <c r="E689" s="6" t="n">
        <v>201208</v>
      </c>
      <c r="F689" s="6">
        <f>B689&amp;C689&amp;D689&amp;E689</f>
        <v/>
      </c>
      <c r="G689" s="6" t="n">
        <v>0</v>
      </c>
      <c r="H689" s="30" t="n">
        <v>0</v>
      </c>
      <c r="I689" s="6" t="n">
        <v>2345</v>
      </c>
    </row>
    <row r="690">
      <c r="B690" s="6" t="inlineStr">
        <is>
          <t>아누아 CS</t>
        </is>
      </c>
      <c r="C690" s="6" t="inlineStr">
        <is>
          <t>앰플</t>
        </is>
      </c>
      <c r="D690" s="6" t="inlineStr">
        <is>
          <t>어성초 80 앰플 30ml</t>
        </is>
      </c>
      <c r="E690" s="6" t="n">
        <v>201208</v>
      </c>
      <c r="F690" s="6">
        <f>B690&amp;C690&amp;D690&amp;E690</f>
        <v/>
      </c>
      <c r="G690" s="6" t="n">
        <v>0</v>
      </c>
      <c r="H690" s="30" t="n">
        <v>0</v>
      </c>
      <c r="I690" s="6" t="n">
        <v>3397</v>
      </c>
    </row>
    <row r="691">
      <c r="B691" s="6" t="inlineStr">
        <is>
          <t>아누아 CS</t>
        </is>
      </c>
      <c r="C691" s="6" t="inlineStr">
        <is>
          <t>토너</t>
        </is>
      </c>
      <c r="D691" s="6" t="inlineStr">
        <is>
          <t>어성초 77 토너 500ml</t>
        </is>
      </c>
      <c r="E691" s="6" t="n">
        <v>201208</v>
      </c>
      <c r="F691" s="7">
        <f>B691&amp;C691&amp;D691&amp;E691</f>
        <v/>
      </c>
      <c r="G691" s="6" t="n">
        <v>0</v>
      </c>
      <c r="H691" s="30" t="n">
        <v>0</v>
      </c>
      <c r="I691" s="6" t="n">
        <v>4330</v>
      </c>
    </row>
    <row r="692">
      <c r="B692" s="6" t="inlineStr">
        <is>
          <t>카페24</t>
        </is>
      </c>
      <c r="C692" s="6" t="inlineStr">
        <is>
          <t>머드크림마스크</t>
        </is>
      </c>
      <c r="D692" s="6" t="inlineStr">
        <is>
          <t>어성초 70 머드 크림 마스크</t>
        </is>
      </c>
      <c r="E692" s="6" t="n">
        <v>201208</v>
      </c>
      <c r="F692" s="6">
        <f>B692&amp;C692&amp;D692&amp;E692</f>
        <v/>
      </c>
      <c r="G692" s="6" t="n">
        <v>17500</v>
      </c>
      <c r="H692" s="30" t="n">
        <v>0.0585</v>
      </c>
      <c r="I692" s="6" t="n">
        <v>1442</v>
      </c>
    </row>
    <row r="693">
      <c r="B693" s="6" t="inlineStr">
        <is>
          <t>카페24</t>
        </is>
      </c>
      <c r="C693" s="6" t="inlineStr">
        <is>
          <t>토너</t>
        </is>
      </c>
      <c r="D693" s="6" t="inlineStr">
        <is>
          <t>어성초 77 토너 250ml어성초 77 토너 250ml</t>
        </is>
      </c>
      <c r="E693" s="6" t="n">
        <v>201208</v>
      </c>
      <c r="F693" s="6">
        <f>B693&amp;C693&amp;D693&amp;E693</f>
        <v/>
      </c>
      <c r="G693" s="6" t="n">
        <v>20000</v>
      </c>
      <c r="H693" s="30" t="n">
        <v>0.0585</v>
      </c>
      <c r="I693" s="6" t="n">
        <v>3080</v>
      </c>
    </row>
    <row r="694">
      <c r="B694" s="6" t="inlineStr">
        <is>
          <t>W컨셉</t>
        </is>
      </c>
      <c r="C694" s="6" t="inlineStr">
        <is>
          <t>토너</t>
        </is>
      </c>
      <c r="D694" s="6" t="inlineStr">
        <is>
          <t>아누아 어성초 77 토너 250ml</t>
        </is>
      </c>
      <c r="E694" s="6" t="n">
        <v>201208</v>
      </c>
      <c r="F694" s="6">
        <f>B694&amp;C694&amp;D694&amp;E694</f>
        <v/>
      </c>
      <c r="G694" s="6" t="n">
        <v>20000</v>
      </c>
      <c r="H694" s="30" t="n">
        <v>0.28</v>
      </c>
      <c r="I694" s="6" t="n">
        <v>3260</v>
      </c>
    </row>
    <row r="695">
      <c r="B695" s="6" t="inlineStr">
        <is>
          <t>스타일쉐어</t>
        </is>
      </c>
      <c r="C695" s="6" t="inlineStr">
        <is>
          <t>토너</t>
        </is>
      </c>
      <c r="D695" s="6" t="inlineStr">
        <is>
          <t>어성초 77 토너 250ml</t>
        </is>
      </c>
      <c r="E695" s="6" t="n">
        <v>201208</v>
      </c>
      <c r="F695" s="6">
        <f>B695&amp;C695&amp;D695&amp;E695</f>
        <v/>
      </c>
      <c r="G695" s="6" t="n">
        <v>20000</v>
      </c>
      <c r="H695" s="30" t="n">
        <v>0.25</v>
      </c>
      <c r="I695" s="6" t="n">
        <v>3080</v>
      </c>
    </row>
    <row r="696">
      <c r="B696" s="6" t="inlineStr">
        <is>
          <t>카페24</t>
        </is>
      </c>
      <c r="C696" s="6" t="inlineStr">
        <is>
          <t>클리어 패드</t>
        </is>
      </c>
      <c r="D696" s="6" t="inlineStr">
        <is>
          <t>어성초 77 포어 클리어 패드옵션=어성초 77 클리어 패드 2개-30% off (무료배송)</t>
        </is>
      </c>
      <c r="E696" s="6" t="n">
        <v>201208</v>
      </c>
      <c r="F696" s="6">
        <f>B696&amp;C696&amp;D696&amp;E696</f>
        <v/>
      </c>
      <c r="G696" s="6" t="n">
        <v>39200</v>
      </c>
      <c r="H696" s="86" t="n">
        <v>0.0585</v>
      </c>
      <c r="I696" s="6" t="n">
        <v>10024</v>
      </c>
    </row>
    <row r="697">
      <c r="B697" s="6" t="inlineStr">
        <is>
          <t>카페24</t>
        </is>
      </c>
      <c r="C697" s="6" t="inlineStr">
        <is>
          <t>토너+패드 세트</t>
        </is>
      </c>
      <c r="D697" s="6" t="inlineStr">
        <is>
          <t>어성초 77 포어 클리어 패드옵션=어성초77토너1개+어성초77패드1개-30% off (무료배송)</t>
        </is>
      </c>
      <c r="E697" s="6" t="n">
        <v>201208</v>
      </c>
      <c r="F697" s="6">
        <f>B697&amp;C697&amp;D697&amp;E697</f>
        <v/>
      </c>
      <c r="G697" s="6" t="n">
        <v>37100</v>
      </c>
      <c r="H697" s="30" t="n">
        <v>0.0585</v>
      </c>
      <c r="I697" s="6" t="n">
        <v>8092</v>
      </c>
    </row>
    <row r="698">
      <c r="B698" s="6" t="inlineStr">
        <is>
          <t>카페24</t>
        </is>
      </c>
      <c r="C698" s="6" t="inlineStr">
        <is>
          <t>클리어 패드</t>
        </is>
      </c>
      <c r="D698" s="6" t="inlineStr">
        <is>
          <t>어성초 77% 패드옵션=어성초 77 클리어 패드 1개-20% off</t>
        </is>
      </c>
      <c r="E698" s="6" t="n">
        <v>201208</v>
      </c>
      <c r="F698" s="6">
        <f>B698&amp;C698&amp;D698&amp;E698</f>
        <v/>
      </c>
      <c r="G698" s="6" t="n">
        <v>22400</v>
      </c>
      <c r="H698" s="86" t="n">
        <v>0.0585</v>
      </c>
      <c r="I698" s="6" t="n">
        <v>5012</v>
      </c>
    </row>
    <row r="699">
      <c r="B699" s="6" t="inlineStr">
        <is>
          <t>카페24</t>
        </is>
      </c>
      <c r="C699" s="6" t="inlineStr">
        <is>
          <t>클리어 패드</t>
        </is>
      </c>
      <c r="D699" s="6" t="inlineStr">
        <is>
          <t>어성초 77% 패드옵션=어성초 77 클리어 패드 2개-30% off (무료배송)</t>
        </is>
      </c>
      <c r="E699" s="6" t="n">
        <v>201208</v>
      </c>
      <c r="F699" s="6">
        <f>B699&amp;C699&amp;D699&amp;E699</f>
        <v/>
      </c>
      <c r="G699" s="6" t="n">
        <v>39200</v>
      </c>
      <c r="H699" s="86" t="n">
        <v>0.0585</v>
      </c>
      <c r="I699" s="6" t="n">
        <v>10024</v>
      </c>
    </row>
    <row r="700">
      <c r="B700" s="6" t="inlineStr">
        <is>
          <t>카페24</t>
        </is>
      </c>
      <c r="C700" s="6" t="inlineStr">
        <is>
          <t>토너+패드 세트</t>
        </is>
      </c>
      <c r="D700" s="6" t="inlineStr">
        <is>
          <t>어성초 77% 패드옵션=어성초77토너1개+어성초77패드1개-30% off (무료배송)</t>
        </is>
      </c>
      <c r="E700" s="6" t="n">
        <v>201208</v>
      </c>
      <c r="F700" s="6">
        <f>B700&amp;C700&amp;D700&amp;E700</f>
        <v/>
      </c>
      <c r="G700" s="6" t="n">
        <v>37100</v>
      </c>
      <c r="H700" s="30" t="n">
        <v>0.0585</v>
      </c>
      <c r="I700" s="6" t="n">
        <v>8092</v>
      </c>
    </row>
    <row r="701">
      <c r="B701" s="6" t="inlineStr">
        <is>
          <t>카페24</t>
        </is>
      </c>
      <c r="C701" s="6" t="inlineStr">
        <is>
          <t>클리어 패드</t>
        </is>
      </c>
      <c r="D701" s="6" t="inlineStr">
        <is>
          <t>어성초 77 포어 클리어 패드옵션=어성초 77 클리어 패드 1개-20% off</t>
        </is>
      </c>
      <c r="E701" s="6" t="n">
        <v>201208</v>
      </c>
      <c r="F701" s="6">
        <f>B701&amp;C701&amp;D701&amp;E701</f>
        <v/>
      </c>
      <c r="G701" s="6" t="n">
        <v>22400</v>
      </c>
      <c r="H701" s="86" t="n">
        <v>0.0585</v>
      </c>
      <c r="I701" s="6" t="n">
        <v>5012</v>
      </c>
    </row>
    <row r="702">
      <c r="B702" s="6" t="inlineStr">
        <is>
          <t>카페24</t>
        </is>
      </c>
      <c r="C702" s="6" t="inlineStr">
        <is>
          <t>클리어 패드</t>
        </is>
      </c>
      <c r="D702" s="6" t="inlineStr">
        <is>
          <t>아누아 어성초 77 클리어 패드옵션=어성초 77 클리어 패드 2개-30% off (무료배송)</t>
        </is>
      </c>
      <c r="E702" s="6" t="n">
        <v>201208</v>
      </c>
      <c r="F702" s="6">
        <f>B702&amp;C702&amp;D702&amp;E702</f>
        <v/>
      </c>
      <c r="G702" s="6" t="n">
        <v>39200</v>
      </c>
      <c r="H702" s="86" t="n">
        <v>0.0585</v>
      </c>
      <c r="I702" s="6" t="n">
        <v>10024</v>
      </c>
    </row>
    <row r="703">
      <c r="B703" s="6" t="inlineStr">
        <is>
          <t>글로우데이즈 시코르</t>
        </is>
      </c>
      <c r="C703" s="6" t="inlineStr">
        <is>
          <t>토너</t>
        </is>
      </c>
      <c r="D703" s="6" t="inlineStr">
        <is>
          <t>어성초 77 토너 250ml</t>
        </is>
      </c>
      <c r="E703" s="6" t="n">
        <v>201208</v>
      </c>
      <c r="F703" s="7">
        <f>B703&amp;C703&amp;D703&amp;E703</f>
        <v/>
      </c>
      <c r="G703" s="6" t="n">
        <v>10227</v>
      </c>
      <c r="H703" s="27" t="n">
        <v>0</v>
      </c>
      <c r="I703" s="6" t="n">
        <v>3080</v>
      </c>
    </row>
    <row r="704">
      <c r="B704" s="6" t="inlineStr">
        <is>
          <t>글로우데이즈 시코르</t>
        </is>
      </c>
      <c r="C704" s="6" t="inlineStr">
        <is>
          <t>마스크팩</t>
        </is>
      </c>
      <c r="D704" s="6" t="inlineStr">
        <is>
          <t>어성초 77 마스크팩 10매</t>
        </is>
      </c>
      <c r="E704" s="6" t="n">
        <v>201208</v>
      </c>
      <c r="F704" s="7">
        <f>B704&amp;C704&amp;D704&amp;E704</f>
        <v/>
      </c>
      <c r="G704" s="6" t="n">
        <v>16364</v>
      </c>
      <c r="H704" s="86" t="n">
        <v>0</v>
      </c>
      <c r="I704" s="6" t="n">
        <v>3970</v>
      </c>
    </row>
    <row r="705">
      <c r="B705" s="6" t="inlineStr">
        <is>
          <t>아누아 CS</t>
        </is>
      </c>
      <c r="C705" s="6" t="inlineStr">
        <is>
          <t>선크림</t>
        </is>
      </c>
      <c r="D705" s="6" t="inlineStr">
        <is>
          <t>5제로 무기자차 선크림 50ml</t>
        </is>
      </c>
      <c r="E705" s="6" t="n">
        <v>201208</v>
      </c>
      <c r="F705" s="7">
        <f>B705&amp;C705&amp;D705&amp;E705</f>
        <v/>
      </c>
      <c r="G705" s="6" t="n">
        <v>0</v>
      </c>
      <c r="H705" s="86" t="n">
        <v>0</v>
      </c>
      <c r="I705" s="6" t="n">
        <v>2345</v>
      </c>
    </row>
    <row r="706">
      <c r="B706" s="6" t="inlineStr">
        <is>
          <t>카페24</t>
        </is>
      </c>
      <c r="C706" s="6" t="inlineStr">
        <is>
          <t>앰플</t>
        </is>
      </c>
      <c r="D706" s="6" t="inlineStr">
        <is>
          <t>어성초 80 앰플 30ml</t>
        </is>
      </c>
      <c r="E706" s="6" t="n">
        <v>201208</v>
      </c>
      <c r="F706" s="7">
        <f>B706&amp;C706&amp;D706&amp;E706</f>
        <v/>
      </c>
      <c r="G706" s="6" t="n">
        <v>28000</v>
      </c>
      <c r="H706" s="30" t="n">
        <v>0.0585</v>
      </c>
      <c r="I706" s="6" t="n">
        <v>3397</v>
      </c>
    </row>
    <row r="707">
      <c r="B707" s="6" t="inlineStr">
        <is>
          <t>스타일쉐어</t>
        </is>
      </c>
      <c r="C707" s="6" t="inlineStr">
        <is>
          <t>토너</t>
        </is>
      </c>
      <c r="D707" s="6" t="inlineStr">
        <is>
          <t>[연휴특가]아누아 어성초 77 토너 250ml</t>
        </is>
      </c>
      <c r="E707" s="6" t="n">
        <v>201208</v>
      </c>
      <c r="F707" s="6">
        <f>B707&amp;C707&amp;D707&amp;E707</f>
        <v/>
      </c>
      <c r="G707" s="6" t="n">
        <v>18000</v>
      </c>
      <c r="H707" s="30" t="n">
        <v>0.25</v>
      </c>
      <c r="I707" s="6" t="n">
        <v>3080</v>
      </c>
    </row>
    <row r="708">
      <c r="B708" s="94" t="inlineStr">
        <is>
          <t>글로우데이즈 시코르</t>
        </is>
      </c>
      <c r="C708" s="6" t="inlineStr">
        <is>
          <t>앰플</t>
        </is>
      </c>
      <c r="D708" s="94" t="inlineStr">
        <is>
          <t>어성초 80 앰플 30ml</t>
        </is>
      </c>
      <c r="E708" s="6" t="n">
        <v>201208</v>
      </c>
      <c r="F708" s="6">
        <f>B708&amp;C708&amp;D708&amp;E708</f>
        <v/>
      </c>
      <c r="G708" s="6" t="n">
        <v>28000</v>
      </c>
      <c r="H708" s="30" t="n">
        <v>0</v>
      </c>
      <c r="I708" s="6" t="n">
        <v>3397</v>
      </c>
    </row>
    <row r="709">
      <c r="B709" s="94" t="inlineStr">
        <is>
          <t>카페24</t>
        </is>
      </c>
      <c r="C709" s="6" t="inlineStr">
        <is>
          <t>토너</t>
        </is>
      </c>
      <c r="D709" s="94" t="inlineStr">
        <is>
          <t>어성초 77 수딩 토너 (클리어패드 세트 구매시 1/11 순차발송 예정)토너(필수)=어성초 77 토너 1개-20% off</t>
        </is>
      </c>
      <c r="E709" s="6" t="n">
        <v>201208</v>
      </c>
      <c r="F709" s="6">
        <f>B709&amp;C709&amp;D709&amp;E709</f>
        <v/>
      </c>
      <c r="G709" s="6" t="n">
        <v>20000</v>
      </c>
      <c r="H709" s="30" t="n">
        <v>0.0585</v>
      </c>
      <c r="I709" s="6" t="n">
        <v>3080</v>
      </c>
    </row>
    <row r="710">
      <c r="B710" s="94" t="inlineStr">
        <is>
          <t>카페24</t>
        </is>
      </c>
      <c r="C710" s="6" t="inlineStr">
        <is>
          <t>토너</t>
        </is>
      </c>
      <c r="D710" s="94" t="inlineStr">
        <is>
          <t>어성초 77 수딩 토너 (클리어패드 세트 구매시 1/11 순차발송 예정)토너(필수)=어성초 77 토너 2개-30% off (무료배송)</t>
        </is>
      </c>
      <c r="E710" s="6" t="n">
        <v>201208</v>
      </c>
      <c r="F710" s="6">
        <f>B710&amp;C710&amp;D710&amp;E710</f>
        <v/>
      </c>
      <c r="G710" s="6" t="n">
        <v>35000</v>
      </c>
      <c r="H710" s="30" t="n">
        <v>0.0585</v>
      </c>
      <c r="I710" s="6" t="n">
        <v>6160</v>
      </c>
    </row>
    <row r="711">
      <c r="B711" s="94" t="inlineStr">
        <is>
          <t>카페24</t>
        </is>
      </c>
      <c r="C711" s="6" t="inlineStr">
        <is>
          <t>토너+패드 세트</t>
        </is>
      </c>
      <c r="D711" s="94" t="inlineStr">
        <is>
          <t>어성초 77 수딩 토너 (클리어패드 세트 구매시 1/11 순차발송 예정)토너(필수)=어성초77토너1개 + 어성초77패드1개 -30% off (무료배송)</t>
        </is>
      </c>
      <c r="E711" s="6" t="n">
        <v>201208</v>
      </c>
      <c r="F711" s="6">
        <f>B711&amp;C711&amp;D711&amp;E711</f>
        <v/>
      </c>
      <c r="G711" s="6" t="n">
        <v>37100</v>
      </c>
      <c r="H711" s="30" t="n">
        <v>0.0585</v>
      </c>
      <c r="I711" s="6" t="n">
        <v>8092</v>
      </c>
    </row>
    <row r="712">
      <c r="B712" s="94" t="inlineStr">
        <is>
          <t>카페24</t>
        </is>
      </c>
      <c r="C712" s="6" t="inlineStr">
        <is>
          <t>토너</t>
        </is>
      </c>
      <c r="D712" s="94" t="inlineStr">
        <is>
          <t>어성초 77 수딩 토너 (클리어패드 세트 구매시 1/11 순차발송 예정)화장솜(선택)=촉촉 스킨팩 화장솜</t>
        </is>
      </c>
      <c r="E712" s="6" t="n">
        <v>201208</v>
      </c>
      <c r="F712" s="6">
        <f>B712&amp;C712&amp;D712&amp;E712</f>
        <v/>
      </c>
      <c r="G712" s="6" t="n">
        <v>3000</v>
      </c>
      <c r="H712" s="30" t="n">
        <v>0.0585</v>
      </c>
      <c r="I712" s="6" t="n">
        <v>1110</v>
      </c>
    </row>
    <row r="713">
      <c r="B713" s="94" t="inlineStr">
        <is>
          <t>카페24</t>
        </is>
      </c>
      <c r="C713" s="6" t="inlineStr">
        <is>
          <t>클리어 패드</t>
        </is>
      </c>
      <c r="D713" s="94" t="inlineStr">
        <is>
          <t>어성초 77 클리어 패드 (1/11 순차발송 예정)옵션=어성초 77 클리어 패드 1개-20% off</t>
        </is>
      </c>
      <c r="E713" s="6" t="n">
        <v>201208</v>
      </c>
      <c r="F713" s="6">
        <f>B713&amp;C713&amp;D713&amp;E713</f>
        <v/>
      </c>
      <c r="G713" s="6" t="n">
        <v>22400</v>
      </c>
      <c r="H713" s="86" t="n">
        <v>0.0585</v>
      </c>
      <c r="I713" s="6" t="n">
        <v>5012</v>
      </c>
    </row>
    <row r="714">
      <c r="B714" s="94" t="inlineStr">
        <is>
          <t>카페24</t>
        </is>
      </c>
      <c r="C714" s="6" t="inlineStr">
        <is>
          <t>클리어 패드</t>
        </is>
      </c>
      <c r="D714" s="94" t="inlineStr">
        <is>
          <t>어성초 77 클리어 패드 (1/11 순차발송 예정)옵션=어성초 77 클리어 패드 2개-30% off (무료배송)</t>
        </is>
      </c>
      <c r="E714" s="6" t="n">
        <v>201208</v>
      </c>
      <c r="F714" s="6">
        <f>B714&amp;C714&amp;D714&amp;E714</f>
        <v/>
      </c>
      <c r="G714" s="6" t="n">
        <v>39200</v>
      </c>
      <c r="H714" s="86" t="n">
        <v>0.0585</v>
      </c>
      <c r="I714" s="6" t="n">
        <v>10024</v>
      </c>
    </row>
    <row r="715">
      <c r="B715" s="94" t="inlineStr">
        <is>
          <t>카페24</t>
        </is>
      </c>
      <c r="C715" s="6" t="inlineStr">
        <is>
          <t>토너+패드 세트</t>
        </is>
      </c>
      <c r="D715" s="94" t="inlineStr">
        <is>
          <t>어성초 77 클리어 패드 (1/11 순차발송 예정)옵션=어성초77토너1개+어성초77패드1개-30% off (무료배송)</t>
        </is>
      </c>
      <c r="E715" s="6" t="n">
        <v>201208</v>
      </c>
      <c r="F715" s="6">
        <f>B715&amp;C715&amp;D715&amp;E715</f>
        <v/>
      </c>
      <c r="G715" s="6" t="n">
        <v>37100</v>
      </c>
      <c r="H715" s="30" t="n">
        <v>0.0585</v>
      </c>
      <c r="I715" s="6" t="n">
        <v>8092</v>
      </c>
    </row>
    <row r="716">
      <c r="B716" s="94" t="inlineStr">
        <is>
          <t>카페24</t>
        </is>
      </c>
      <c r="C716" s="6" t="inlineStr">
        <is>
          <t>클리어 패드</t>
        </is>
      </c>
      <c r="D716" s="94" t="inlineStr">
        <is>
          <t>어성초 77 포어 클리어 패드 (1/11 순차발송 예정)옵션=어성초 77 클리어 패드 1개-20% off</t>
        </is>
      </c>
      <c r="E716" s="6" t="n">
        <v>201208</v>
      </c>
      <c r="F716" s="6">
        <f>B716&amp;C716&amp;D716&amp;E716</f>
        <v/>
      </c>
      <c r="G716" s="6" t="n">
        <v>22400</v>
      </c>
      <c r="H716" s="86" t="n">
        <v>0.0585</v>
      </c>
      <c r="I716" s="6" t="n">
        <v>5012</v>
      </c>
    </row>
    <row r="717">
      <c r="B717" s="94" t="inlineStr">
        <is>
          <t>카페24</t>
        </is>
      </c>
      <c r="C717" s="6" t="inlineStr">
        <is>
          <t>클리어 패드</t>
        </is>
      </c>
      <c r="D717" s="94" t="inlineStr">
        <is>
          <t>어성초 77 포어 클리어 패드 (1/11 순차발송 예정)옵션=어성초 77 클리어 패드 2개-30% off (무료배송)</t>
        </is>
      </c>
      <c r="E717" s="6" t="n">
        <v>201208</v>
      </c>
      <c r="F717" s="6">
        <f>B717&amp;C717&amp;D717&amp;E717</f>
        <v/>
      </c>
      <c r="G717" s="6" t="n">
        <v>39200</v>
      </c>
      <c r="H717" s="86" t="n">
        <v>0.0585</v>
      </c>
      <c r="I717" s="6" t="n">
        <v>10024</v>
      </c>
    </row>
    <row r="718">
      <c r="B718" s="94" t="inlineStr">
        <is>
          <t>카페24</t>
        </is>
      </c>
      <c r="C718" s="6" t="inlineStr">
        <is>
          <t>토너+패드 세트</t>
        </is>
      </c>
      <c r="D718" s="94" t="inlineStr">
        <is>
          <t>어성초 77 포어 클리어 패드 (1/11 순차발송 예정)옵션=어성초77토너1개+어성초77패드1개-30% off (무료배송)</t>
        </is>
      </c>
      <c r="E718" s="6" t="n">
        <v>201208</v>
      </c>
      <c r="F718" s="6">
        <f>B718&amp;C718&amp;D718&amp;E718</f>
        <v/>
      </c>
      <c r="G718" s="6" t="n">
        <v>37100</v>
      </c>
      <c r="H718" s="30" t="n">
        <v>0.0585</v>
      </c>
      <c r="I718" s="6" t="n">
        <v>8092</v>
      </c>
    </row>
    <row r="719">
      <c r="B719" s="94" t="inlineStr">
        <is>
          <t>카페24</t>
        </is>
      </c>
      <c r="C719" s="6" t="inlineStr">
        <is>
          <t>클리어 패드</t>
        </is>
      </c>
      <c r="D719" s="94" t="inlineStr">
        <is>
          <t>어성초 77% 패드 (1/11 순차발송 예정)옵션=어성초 77 클리어 패드 1개-20% off</t>
        </is>
      </c>
      <c r="E719" s="6" t="n">
        <v>201208</v>
      </c>
      <c r="F719" s="6">
        <f>B719&amp;C719&amp;D719&amp;E719</f>
        <v/>
      </c>
      <c r="G719" s="6" t="n">
        <v>22400</v>
      </c>
      <c r="H719" s="86" t="n">
        <v>0.0585</v>
      </c>
      <c r="I719" s="6" t="n">
        <v>5012</v>
      </c>
    </row>
    <row r="720">
      <c r="B720" s="94" t="inlineStr">
        <is>
          <t>카페24</t>
        </is>
      </c>
      <c r="C720" s="6" t="inlineStr">
        <is>
          <t>클리어 패드</t>
        </is>
      </c>
      <c r="D720" s="94" t="inlineStr">
        <is>
          <t>어성초 77% 패드 (1/11 순차발송 예정)옵션=어성초 77 클리어 패드 2개-30% off (무료배송)</t>
        </is>
      </c>
      <c r="E720" s="6" t="n">
        <v>201208</v>
      </c>
      <c r="F720" s="6">
        <f>B720&amp;C720&amp;D720&amp;E720</f>
        <v/>
      </c>
      <c r="G720" s="6" t="n">
        <v>39200</v>
      </c>
      <c r="H720" s="86" t="n">
        <v>0.0585</v>
      </c>
      <c r="I720" s="6" t="n">
        <v>10024</v>
      </c>
    </row>
    <row r="721">
      <c r="B721" s="94" t="inlineStr">
        <is>
          <t>카페24</t>
        </is>
      </c>
      <c r="C721" s="6" t="inlineStr">
        <is>
          <t>토너+패드 세트</t>
        </is>
      </c>
      <c r="D721" s="94" t="inlineStr">
        <is>
          <t>어성초 77% 패드 (1/11 순차발송 예정)옵션=어성초77토너1개+어성초77패드1개-30% off (무료배송)</t>
        </is>
      </c>
      <c r="E721" s="6" t="n">
        <v>201208</v>
      </c>
      <c r="F721" s="6">
        <f>B721&amp;C721&amp;D721&amp;E721</f>
        <v/>
      </c>
      <c r="G721" s="6" t="n">
        <v>37100</v>
      </c>
      <c r="H721" s="30" t="n">
        <v>0.0585</v>
      </c>
      <c r="I721" s="6" t="n">
        <v>8092</v>
      </c>
    </row>
    <row r="722">
      <c r="B722" s="94" t="inlineStr">
        <is>
          <t>카페24</t>
        </is>
      </c>
      <c r="C722" s="6" t="inlineStr">
        <is>
          <t>마스크팩</t>
        </is>
      </c>
      <c r="D722" s="94" t="inlineStr">
        <is>
          <t>청귤 비타 잡티 마스크옵션=청귤 비타 잡티 마스크 1장</t>
        </is>
      </c>
      <c r="E722" s="6" t="n">
        <v>201208</v>
      </c>
      <c r="F722" s="6">
        <f>B722&amp;C722&amp;D722&amp;E722</f>
        <v/>
      </c>
      <c r="G722" s="6" t="n">
        <v>4000</v>
      </c>
      <c r="H722" s="30" t="n">
        <v>0.0585</v>
      </c>
      <c r="I722" s="6" t="n">
        <v>317</v>
      </c>
    </row>
    <row r="723">
      <c r="B723" s="94" t="inlineStr">
        <is>
          <t>카페24</t>
        </is>
      </c>
      <c r="C723" s="6" t="inlineStr">
        <is>
          <t>마스크팩</t>
        </is>
      </c>
      <c r="D723" s="94" t="inlineStr">
        <is>
          <t>청귤 비타 잡티 마스크옵션=청귤 비타 잡티 마스크 10장(50% off)</t>
        </is>
      </c>
      <c r="E723" s="6" t="n">
        <v>201208</v>
      </c>
      <c r="F723" s="6">
        <f>B723&amp;C723&amp;D723&amp;E723</f>
        <v/>
      </c>
      <c r="G723" s="6" t="n">
        <v>20000</v>
      </c>
      <c r="H723" s="30" t="n">
        <v>0.0585</v>
      </c>
      <c r="I723" s="6" t="n">
        <v>3167</v>
      </c>
    </row>
    <row r="724">
      <c r="B724" s="6" t="inlineStr">
        <is>
          <t>카페24</t>
        </is>
      </c>
      <c r="C724" s="6" t="inlineStr">
        <is>
          <t>앰플</t>
        </is>
      </c>
      <c r="D724" s="94" t="inlineStr">
        <is>
          <t>어성초 80 수분 진정 앰플옵션=어성초 80 앰플 2개 - 27%off (무료배송)</t>
        </is>
      </c>
      <c r="E724" s="6" t="n">
        <v>201208</v>
      </c>
      <c r="F724" s="6">
        <f>B724&amp;C724&amp;D724&amp;E724</f>
        <v/>
      </c>
      <c r="G724" s="6" t="n">
        <v>48000</v>
      </c>
      <c r="H724" s="30" t="n">
        <v>0.0585</v>
      </c>
      <c r="I724" s="6" t="n">
        <v>6794</v>
      </c>
    </row>
    <row r="725">
      <c r="B725" s="94" t="inlineStr">
        <is>
          <t>카페24</t>
        </is>
      </c>
      <c r="C725" s="6" t="inlineStr">
        <is>
          <t>토너</t>
        </is>
      </c>
      <c r="D725" s="94" t="inlineStr">
        <is>
          <t>어성초 77 수딩 토너 (클리어패드 세트 구매시 1/11 순차발송 예정)옵션=어성초 77 토너 1개-20% off</t>
        </is>
      </c>
      <c r="E725" s="6" t="n">
        <v>201208</v>
      </c>
      <c r="F725" s="6">
        <f>B725&amp;C725&amp;D725&amp;E725</f>
        <v/>
      </c>
      <c r="G725" s="6" t="n">
        <v>20000</v>
      </c>
      <c r="H725" s="30" t="n">
        <v>0.0585</v>
      </c>
      <c r="I725" s="6" t="n">
        <v>3080</v>
      </c>
    </row>
    <row r="726">
      <c r="B726" s="94" t="inlineStr">
        <is>
          <t>카페24</t>
        </is>
      </c>
      <c r="C726" s="6" t="inlineStr">
        <is>
          <t>토너</t>
        </is>
      </c>
      <c r="D726" s="94" t="inlineStr">
        <is>
          <t>어성초 77 수딩 토너 (클리어패드 세트 구매시 1/11 순차발송 예정)옵션=어성초 77 토너 2개-30% off (무료배송)</t>
        </is>
      </c>
      <c r="E726" s="6" t="n">
        <v>201208</v>
      </c>
      <c r="F726" s="6">
        <f>B726&amp;C726&amp;D726&amp;E726</f>
        <v/>
      </c>
      <c r="G726" s="6" t="n">
        <v>35000</v>
      </c>
      <c r="H726" s="30" t="n">
        <v>0.0585</v>
      </c>
      <c r="I726" s="6" t="n">
        <v>6160</v>
      </c>
    </row>
    <row r="727">
      <c r="B727" s="94" t="inlineStr">
        <is>
          <t>카페24</t>
        </is>
      </c>
      <c r="C727" s="6" t="inlineStr">
        <is>
          <t>토너+패드 세트</t>
        </is>
      </c>
      <c r="D727" s="94" t="inlineStr">
        <is>
          <t>어성초 77 수딩 토너 (클리어패드 세트 구매시 1/11 순차발송 예정)옵션=어성초 77토너1개 + 어성초77패드1개 -30% off (무료배송)</t>
        </is>
      </c>
      <c r="E727" s="6" t="n">
        <v>201208</v>
      </c>
      <c r="F727" s="6">
        <f>B727&amp;C727&amp;D727&amp;E727</f>
        <v/>
      </c>
      <c r="G727" s="6" t="n">
        <v>37100</v>
      </c>
      <c r="H727" s="30" t="n">
        <v>0.0585</v>
      </c>
      <c r="I727" s="6" t="n">
        <v>8092</v>
      </c>
    </row>
    <row r="728">
      <c r="B728" s="94" t="inlineStr">
        <is>
          <t>카페24</t>
        </is>
      </c>
      <c r="C728" s="6" t="inlineStr">
        <is>
          <t>클리어 패드</t>
        </is>
      </c>
      <c r="D728" s="94" t="inlineStr">
        <is>
          <t>어성초 77 클리어 패드 (1/11 순차발송 예정)옵션=어성초 77 클리어 패드 3개-35% off (무료배송)</t>
        </is>
      </c>
      <c r="E728" s="6" t="n">
        <v>201208</v>
      </c>
      <c r="F728" s="6">
        <f>B728&amp;C728&amp;D728&amp;E728</f>
        <v/>
      </c>
      <c r="G728" s="6" t="n">
        <v>54600</v>
      </c>
      <c r="H728" s="30" t="n">
        <v>0.0585</v>
      </c>
      <c r="I728" s="6" t="n">
        <v>9240</v>
      </c>
    </row>
    <row r="729">
      <c r="B729" s="94" t="inlineStr">
        <is>
          <t>카페24</t>
        </is>
      </c>
      <c r="C729" s="6" t="inlineStr">
        <is>
          <t>클리어 패드</t>
        </is>
      </c>
      <c r="D729" s="94" t="inlineStr">
        <is>
          <t>어성초 77 포어 클리어 패드 (1/11 순차발송 예정)옵션=어성초 77 클리어 패드 3개-35% off (무료배송)</t>
        </is>
      </c>
      <c r="E729" s="6" t="n">
        <v>201208</v>
      </c>
      <c r="F729" s="6">
        <f>B729&amp;C729&amp;D729&amp;E729</f>
        <v/>
      </c>
      <c r="G729" s="6" t="n">
        <v>54600</v>
      </c>
      <c r="H729" s="30" t="n">
        <v>0.0585</v>
      </c>
      <c r="I729" s="6" t="n">
        <v>9240</v>
      </c>
    </row>
    <row r="730">
      <c r="B730" s="94" t="inlineStr">
        <is>
          <t>카페24</t>
        </is>
      </c>
      <c r="C730" s="6" t="inlineStr">
        <is>
          <t>클리어 패드</t>
        </is>
      </c>
      <c r="D730" s="94" t="inlineStr">
        <is>
          <t>어성초 77% 패드 (1/11 순차발송 예정)옵션=어성초 77 클리어 패드 3개-35% off (무료배송)</t>
        </is>
      </c>
      <c r="E730" s="6" t="n">
        <v>201208</v>
      </c>
      <c r="F730" s="6">
        <f>B730&amp;C730&amp;D730&amp;E730</f>
        <v/>
      </c>
      <c r="G730" s="6" t="n">
        <v>54600</v>
      </c>
      <c r="H730" s="30" t="n">
        <v>0.0585</v>
      </c>
      <c r="I730" s="6" t="n">
        <v>9240</v>
      </c>
    </row>
    <row r="731">
      <c r="B731" s="94" t="inlineStr">
        <is>
          <t>아누아 CS</t>
        </is>
      </c>
      <c r="C731" s="6" t="inlineStr">
        <is>
          <t>클렌징폼</t>
        </is>
      </c>
      <c r="D731" s="94" t="inlineStr">
        <is>
          <t>어성초 클렌징폼 120ml</t>
        </is>
      </c>
      <c r="E731" s="6" t="n">
        <v>201208</v>
      </c>
      <c r="F731" s="6">
        <f>B731&amp;C731&amp;D731&amp;E731</f>
        <v/>
      </c>
      <c r="G731" s="6" t="n">
        <v>20000</v>
      </c>
      <c r="H731" s="30" t="n">
        <v>0</v>
      </c>
      <c r="I731" s="6" t="n">
        <v>2750</v>
      </c>
    </row>
    <row r="732">
      <c r="B732" s="94" t="inlineStr">
        <is>
          <t>카페24</t>
        </is>
      </c>
      <c r="C732" s="6" t="inlineStr">
        <is>
          <t>토너</t>
        </is>
      </c>
      <c r="D732" s="94" t="inlineStr">
        <is>
          <t>어성초 77 수딩 토너옵션=어성초 77 토너 1개-20% off</t>
        </is>
      </c>
      <c r="E732" s="6" t="n">
        <v>201208</v>
      </c>
      <c r="F732" s="6">
        <f>B732&amp;C732&amp;D732&amp;E732</f>
        <v/>
      </c>
      <c r="G732" s="6" t="n">
        <v>20000</v>
      </c>
      <c r="H732" s="30" t="n">
        <v>0.0585</v>
      </c>
      <c r="I732" s="6" t="n">
        <v>3080</v>
      </c>
    </row>
    <row r="733">
      <c r="B733" s="94" t="inlineStr">
        <is>
          <t>카페24</t>
        </is>
      </c>
      <c r="C733" s="6" t="inlineStr">
        <is>
          <t>토너</t>
        </is>
      </c>
      <c r="D733" s="94" t="inlineStr">
        <is>
          <t>어성초 77 수딩 토너옵션=어성초 77 토너 2개-30% off (무료배송)</t>
        </is>
      </c>
      <c r="E733" s="6" t="n">
        <v>201208</v>
      </c>
      <c r="F733" s="6">
        <f>B733&amp;C733&amp;D733&amp;E733</f>
        <v/>
      </c>
      <c r="G733" s="6" t="n">
        <v>35000</v>
      </c>
      <c r="H733" s="30" t="n">
        <v>0.0585</v>
      </c>
      <c r="I733" s="6" t="n">
        <v>6160</v>
      </c>
    </row>
    <row r="734">
      <c r="B734" s="94" t="inlineStr">
        <is>
          <t>카페24</t>
        </is>
      </c>
      <c r="C734" s="6" t="inlineStr">
        <is>
          <t>토너+패드 세트</t>
        </is>
      </c>
      <c r="D734" s="94" t="inlineStr">
        <is>
          <t>어성초 77 수딩 토너옵션=어성초 77토너1개 + 어성초77패드1개 -30% off (무료배송)</t>
        </is>
      </c>
      <c r="E734" s="6" t="n">
        <v>201208</v>
      </c>
      <c r="F734" s="6">
        <f>B734&amp;C734&amp;D734&amp;E734</f>
        <v/>
      </c>
      <c r="G734" s="6" t="n">
        <v>37100</v>
      </c>
      <c r="H734" s="30" t="n">
        <v>0.0585</v>
      </c>
      <c r="I734" s="6" t="n">
        <v>8092</v>
      </c>
    </row>
    <row r="735">
      <c r="B735" s="94" t="inlineStr">
        <is>
          <t>카페24</t>
        </is>
      </c>
      <c r="C735" s="6" t="inlineStr">
        <is>
          <t>클리어 패드</t>
        </is>
      </c>
      <c r="D735" s="94" t="inlineStr">
        <is>
          <t>어성초 77 클리어 패드옵션=어성초 77 클리어 패드 3개-35% off (무료배송)</t>
        </is>
      </c>
      <c r="E735" s="6" t="n">
        <v>201208</v>
      </c>
      <c r="F735" s="6">
        <f>B735&amp;C735&amp;D735&amp;E735</f>
        <v/>
      </c>
      <c r="G735" s="6" t="n">
        <v>54600</v>
      </c>
      <c r="H735" s="30" t="n">
        <v>0.0585</v>
      </c>
      <c r="I735" s="6" t="n">
        <v>9240</v>
      </c>
    </row>
    <row r="736">
      <c r="B736" s="94" t="inlineStr">
        <is>
          <t>카페24</t>
        </is>
      </c>
      <c r="C736" s="6" t="inlineStr">
        <is>
          <t>클리어 패드</t>
        </is>
      </c>
      <c r="D736" s="94" t="inlineStr">
        <is>
          <t>어성초 77% 패드옵션=어성초 77 클리어 패드 3개-35% off (무료배송)</t>
        </is>
      </c>
      <c r="E736" s="6" t="n">
        <v>201208</v>
      </c>
      <c r="F736" s="6">
        <f>B736&amp;C736&amp;D736&amp;E736</f>
        <v/>
      </c>
      <c r="G736" s="6" t="n">
        <v>54600</v>
      </c>
      <c r="H736" s="30" t="n">
        <v>0.0585</v>
      </c>
      <c r="I736" s="6" t="n">
        <v>9240</v>
      </c>
    </row>
    <row r="737">
      <c r="B737" s="94" t="inlineStr">
        <is>
          <t>카페24</t>
        </is>
      </c>
      <c r="C737" s="6" t="inlineStr">
        <is>
          <t>클리어 패드</t>
        </is>
      </c>
      <c r="D737" s="94" t="inlineStr">
        <is>
          <t>어성초 77 포어 클리어 패드옵션=어성초 77 클리어 패드 3개-35% off (무료배송)</t>
        </is>
      </c>
      <c r="E737" s="6" t="n">
        <v>201208</v>
      </c>
      <c r="F737" s="6">
        <f>B737&amp;C737&amp;D737&amp;E737</f>
        <v/>
      </c>
      <c r="G737" s="6" t="n">
        <v>54600</v>
      </c>
      <c r="H737" s="30" t="n">
        <v>0.0585</v>
      </c>
      <c r="I737" s="6" t="n">
        <v>9240</v>
      </c>
    </row>
    <row r="738">
      <c r="B738" s="94" t="inlineStr">
        <is>
          <t>카페24</t>
        </is>
      </c>
      <c r="C738" s="6" t="inlineStr">
        <is>
          <t>토너</t>
        </is>
      </c>
      <c r="D738" s="94" t="inlineStr">
        <is>
          <t>대용량 어성초 77 수딩 토너 500ml옵션=대용량 어성초 77 토너 1개 - 27% OFF</t>
        </is>
      </c>
      <c r="E738" s="6" t="n">
        <v>201208</v>
      </c>
      <c r="F738" s="6">
        <f>B738&amp;C738&amp;D738&amp;E738</f>
        <v/>
      </c>
      <c r="G738" s="6" t="n">
        <v>33000</v>
      </c>
      <c r="H738" s="30" t="n">
        <v>0.0585</v>
      </c>
      <c r="I738" s="6" t="n">
        <v>4330</v>
      </c>
    </row>
    <row r="739">
      <c r="B739" s="94" t="inlineStr">
        <is>
          <t>카페24</t>
        </is>
      </c>
      <c r="C739" s="6" t="inlineStr">
        <is>
          <t>토너</t>
        </is>
      </c>
      <c r="D739" s="94" t="inlineStr">
        <is>
          <t>대용량 어성초 77 수딩 토너 500ml화장솜(선택)=촉촉 스킨팩 화장솜</t>
        </is>
      </c>
      <c r="E739" s="6" t="n">
        <v>201208</v>
      </c>
      <c r="F739" s="6">
        <f>B739&amp;C739&amp;D739&amp;E739</f>
        <v/>
      </c>
      <c r="G739" s="6" t="n">
        <v>38000</v>
      </c>
      <c r="H739" s="30" t="n">
        <v>0.0585</v>
      </c>
      <c r="I739" s="6" t="n">
        <v>1110</v>
      </c>
    </row>
    <row r="740">
      <c r="B740" s="94" t="inlineStr">
        <is>
          <t>카페24</t>
        </is>
      </c>
      <c r="C740" s="6" t="inlineStr">
        <is>
          <t>클리어 패드</t>
        </is>
      </c>
      <c r="D740" s="94" t="inlineStr">
        <is>
          <t>[01/27 순차발송] 어성초 77 클리어 패드옵션=어성초 77 클리어 패드 1개-20% off</t>
        </is>
      </c>
      <c r="E740" s="6" t="n">
        <v>201208</v>
      </c>
      <c r="F740" s="6">
        <f>B740&amp;C740&amp;D740&amp;E740</f>
        <v/>
      </c>
      <c r="G740" s="6" t="n">
        <v>22400</v>
      </c>
      <c r="H740" s="86" t="n">
        <v>0.0585</v>
      </c>
      <c r="I740" s="6" t="n">
        <v>5012</v>
      </c>
    </row>
    <row r="741">
      <c r="B741" s="94" t="inlineStr">
        <is>
          <t>카페24</t>
        </is>
      </c>
      <c r="C741" s="6" t="inlineStr">
        <is>
          <t>클리어 패드</t>
        </is>
      </c>
      <c r="D741" s="94" t="inlineStr">
        <is>
          <t>[01/27 순차발송] 어성초 77 클리어 패드옵션=어성초 77 클리어 패드 2개-30% off (무료배송)</t>
        </is>
      </c>
      <c r="E741" s="6" t="n">
        <v>201208</v>
      </c>
      <c r="F741" s="6">
        <f>B741&amp;C741&amp;D741&amp;E741</f>
        <v/>
      </c>
      <c r="G741" s="6" t="n">
        <v>39200</v>
      </c>
      <c r="H741" s="86" t="n">
        <v>0.0585</v>
      </c>
      <c r="I741" s="6" t="n">
        <v>10024</v>
      </c>
    </row>
    <row r="742">
      <c r="B742" s="94" t="inlineStr">
        <is>
          <t>카페24</t>
        </is>
      </c>
      <c r="C742" s="6" t="inlineStr">
        <is>
          <t>클리어 패드</t>
        </is>
      </c>
      <c r="D742" s="94" t="inlineStr">
        <is>
          <t>[01/27 순차발송] 어성초 77 클리어 패드옵션=어성초 77 클리어 패드 2+1 EVENT (무료배송)</t>
        </is>
      </c>
      <c r="E742" s="6" t="n">
        <v>201208</v>
      </c>
      <c r="F742" s="6">
        <f>B742&amp;C742&amp;D742&amp;E742</f>
        <v/>
      </c>
      <c r="G742" s="6" t="n">
        <v>54600</v>
      </c>
      <c r="H742" s="86" t="n">
        <v>0.0585</v>
      </c>
      <c r="I742" s="6" t="n">
        <v>9240</v>
      </c>
    </row>
    <row r="743">
      <c r="B743" s="94" t="inlineStr">
        <is>
          <t>카페24</t>
        </is>
      </c>
      <c r="C743" s="6" t="inlineStr">
        <is>
          <t>토너+패드 세트</t>
        </is>
      </c>
      <c r="D743" s="94" t="inlineStr">
        <is>
          <t>[01/27 순차발송] 어성초 77 클리어 패드옵션=어성초77토너1개+어성초77패드1개-30% off (무료배송)</t>
        </is>
      </c>
      <c r="E743" s="6" t="n">
        <v>201208</v>
      </c>
      <c r="F743" s="6">
        <f>B743&amp;C743&amp;D743&amp;E743</f>
        <v/>
      </c>
      <c r="G743" s="6" t="n">
        <v>37100</v>
      </c>
      <c r="H743" s="30" t="n">
        <v>0.0585</v>
      </c>
      <c r="I743" s="6" t="n">
        <v>8092</v>
      </c>
    </row>
    <row r="744">
      <c r="B744" s="94" t="inlineStr">
        <is>
          <t>카페24</t>
        </is>
      </c>
      <c r="C744" s="6" t="inlineStr">
        <is>
          <t>클리어 패드</t>
        </is>
      </c>
      <c r="D744" s="94" t="inlineStr">
        <is>
          <t>[01/27 순차발송] 어성초 77 포어 클리어 패드옵션=어성초 77 클리어 패드 1개-20% off</t>
        </is>
      </c>
      <c r="E744" s="6" t="n">
        <v>201208</v>
      </c>
      <c r="F744" s="6">
        <f>B744&amp;C744&amp;D744&amp;E744</f>
        <v/>
      </c>
      <c r="G744" s="6" t="n">
        <v>22400</v>
      </c>
      <c r="H744" s="86" t="n">
        <v>0.0585</v>
      </c>
      <c r="I744" s="6" t="n">
        <v>5012</v>
      </c>
    </row>
    <row r="745">
      <c r="B745" s="94" t="inlineStr">
        <is>
          <t>카페24</t>
        </is>
      </c>
      <c r="C745" s="6" t="inlineStr">
        <is>
          <t>클리어 패드</t>
        </is>
      </c>
      <c r="D745" s="94" t="inlineStr">
        <is>
          <t>[01/27 순차발송] 어성초 77 포어 클리어 패드옵션=어성초 77 클리어 패드 2개-30% off (무료배송)</t>
        </is>
      </c>
      <c r="E745" s="6" t="n">
        <v>201208</v>
      </c>
      <c r="F745" s="6">
        <f>B745&amp;C745&amp;D745&amp;E745</f>
        <v/>
      </c>
      <c r="G745" s="6" t="n">
        <v>39200</v>
      </c>
      <c r="H745" s="86" t="n">
        <v>0.0585</v>
      </c>
      <c r="I745" s="6" t="n">
        <v>10024</v>
      </c>
    </row>
    <row r="746">
      <c r="B746" s="94" t="inlineStr">
        <is>
          <t>카페24</t>
        </is>
      </c>
      <c r="C746" s="6" t="inlineStr">
        <is>
          <t>클리어 패드</t>
        </is>
      </c>
      <c r="D746" s="94" t="inlineStr">
        <is>
          <t>[01/27 순차발송] 어성초 77 포어 클리어 패드옵션=어성초 77 클리어 패드 2+1 EVENT (무료배송)</t>
        </is>
      </c>
      <c r="E746" s="6" t="n">
        <v>201208</v>
      </c>
      <c r="F746" s="6">
        <f>B746&amp;C746&amp;D746&amp;E746</f>
        <v/>
      </c>
      <c r="G746" s="6" t="n">
        <v>54600</v>
      </c>
      <c r="H746" s="86" t="n">
        <v>0.0585</v>
      </c>
      <c r="I746" s="6" t="n">
        <v>9240</v>
      </c>
    </row>
    <row r="747">
      <c r="B747" s="94" t="inlineStr">
        <is>
          <t>카페24</t>
        </is>
      </c>
      <c r="C747" s="6" t="inlineStr">
        <is>
          <t>토너+패드 세트</t>
        </is>
      </c>
      <c r="D747" s="94" t="inlineStr">
        <is>
          <t>[01/27 순차발송] 어성초 77 포어 클리어 패드옵션=어성초77토너1개+어성초77패드1개-30% off (무료배송)</t>
        </is>
      </c>
      <c r="E747" s="6" t="n">
        <v>201208</v>
      </c>
      <c r="F747" s="6">
        <f>B747&amp;C747&amp;D747&amp;E747</f>
        <v/>
      </c>
      <c r="G747" s="6" t="n">
        <v>37100</v>
      </c>
      <c r="H747" s="30" t="n">
        <v>0.0585</v>
      </c>
      <c r="I747" s="6" t="n">
        <v>8092</v>
      </c>
    </row>
    <row r="748">
      <c r="B748" s="94" t="inlineStr">
        <is>
          <t>카페24</t>
        </is>
      </c>
      <c r="C748" s="6" t="inlineStr">
        <is>
          <t>클리어 패드</t>
        </is>
      </c>
      <c r="D748" s="94" t="inlineStr">
        <is>
          <t>[01/27 순차발송] 어성초 77% 패드옵션=어성초 77 클리어 패드 1개-20% off</t>
        </is>
      </c>
      <c r="E748" s="6" t="n">
        <v>201208</v>
      </c>
      <c r="F748" s="6">
        <f>B748&amp;C748&amp;D748&amp;E748</f>
        <v/>
      </c>
      <c r="G748" s="6" t="n">
        <v>22400</v>
      </c>
      <c r="H748" s="86" t="n">
        <v>0.0585</v>
      </c>
      <c r="I748" s="6" t="n">
        <v>5012</v>
      </c>
    </row>
    <row r="749">
      <c r="B749" s="94" t="inlineStr">
        <is>
          <t>카페24</t>
        </is>
      </c>
      <c r="C749" s="6" t="inlineStr">
        <is>
          <t>클리어 패드</t>
        </is>
      </c>
      <c r="D749" s="94" t="inlineStr">
        <is>
          <t>[01/27 순차발송] 어성초 77% 패드옵션=어성초 77 클리어 패드 2개-30% off (무료배송)</t>
        </is>
      </c>
      <c r="E749" s="6" t="n">
        <v>201208</v>
      </c>
      <c r="F749" s="6">
        <f>B749&amp;C749&amp;D749&amp;E749</f>
        <v/>
      </c>
      <c r="G749" s="6" t="n">
        <v>39200</v>
      </c>
      <c r="H749" s="86" t="n">
        <v>0.0585</v>
      </c>
      <c r="I749" s="6" t="n">
        <v>10024</v>
      </c>
    </row>
    <row r="750">
      <c r="B750" s="94" t="inlineStr">
        <is>
          <t>카페24</t>
        </is>
      </c>
      <c r="C750" s="6" t="inlineStr">
        <is>
          <t>클리어 패드</t>
        </is>
      </c>
      <c r="D750" s="94" t="inlineStr">
        <is>
          <t>[01/27 순차발송] 어성초 77% 패드옵션=어성초 77 클리어 패드 2+1 EVENT (무료배송)</t>
        </is>
      </c>
      <c r="E750" s="6" t="n">
        <v>201208</v>
      </c>
      <c r="F750" s="6">
        <f>B750&amp;C750&amp;D750&amp;E750</f>
        <v/>
      </c>
      <c r="G750" s="6" t="n">
        <v>54600</v>
      </c>
      <c r="H750" s="86" t="n">
        <v>0.0585</v>
      </c>
      <c r="I750" s="6" t="n">
        <v>9240</v>
      </c>
    </row>
    <row r="751">
      <c r="B751" s="94" t="inlineStr">
        <is>
          <t>카페24</t>
        </is>
      </c>
      <c r="C751" s="6" t="inlineStr">
        <is>
          <t>토너+패드 세트</t>
        </is>
      </c>
      <c r="D751" s="94" t="inlineStr">
        <is>
          <t>[01/27 순차발송] 어성초 77% 패드옵션=어성초77토너1개+어성초77패드1개-30% off (무료배송)</t>
        </is>
      </c>
      <c r="E751" s="6" t="n">
        <v>201208</v>
      </c>
      <c r="F751" s="6">
        <f>B751&amp;C751&amp;D751&amp;E751</f>
        <v/>
      </c>
      <c r="G751" s="6" t="n">
        <v>37100</v>
      </c>
      <c r="H751" s="30" t="n">
        <v>0.0585</v>
      </c>
      <c r="I751" s="6" t="n">
        <v>8092</v>
      </c>
    </row>
    <row r="752">
      <c r="B752" s="94" t="inlineStr">
        <is>
          <t>카페24</t>
        </is>
      </c>
      <c r="C752" s="6" t="inlineStr">
        <is>
          <t>토너</t>
        </is>
      </c>
      <c r="D752" s="94" t="inlineStr">
        <is>
          <t>어성초 77 수딩 토너옵션=</t>
        </is>
      </c>
      <c r="E752" s="6" t="n">
        <v>201208</v>
      </c>
      <c r="F752" s="6">
        <f>B752&amp;C752&amp;D752&amp;E752</f>
        <v/>
      </c>
      <c r="G752" s="6" t="n">
        <v>20000</v>
      </c>
      <c r="H752" s="30" t="n">
        <v>0.0585</v>
      </c>
      <c r="I752" s="6" t="n">
        <v>3080</v>
      </c>
    </row>
    <row r="753">
      <c r="B753" s="94" t="inlineStr">
        <is>
          <t>카페24</t>
        </is>
      </c>
      <c r="C753" s="6" t="inlineStr">
        <is>
          <t>토너</t>
        </is>
      </c>
      <c r="D753" s="94" t="inlineStr">
        <is>
          <t>어성초 77 수딩 토너옵션=BEST어성초 77 토너 2개-30% off (무료배송)</t>
        </is>
      </c>
      <c r="E753" s="6" t="n">
        <v>201208</v>
      </c>
      <c r="F753" s="6">
        <f>B753&amp;C753&amp;D753&amp;E753</f>
        <v/>
      </c>
      <c r="G753" s="6" t="n">
        <v>35000</v>
      </c>
      <c r="H753" s="30" t="n">
        <v>0.0585</v>
      </c>
      <c r="I753" s="6" t="n">
        <v>6160</v>
      </c>
    </row>
    <row r="754">
      <c r="B754" s="94" t="inlineStr">
        <is>
          <t>카페24</t>
        </is>
      </c>
      <c r="C754" s="6" t="inlineStr">
        <is>
          <t>마스크팩</t>
        </is>
      </c>
      <c r="D754" s="94" t="inlineStr">
        <is>
          <t>청귤 비타 잡티 마스크옵션=청귤 비타 잡티 마스크 10장 (50% off)</t>
        </is>
      </c>
      <c r="E754" s="6" t="n">
        <v>201208</v>
      </c>
      <c r="F754" s="6">
        <f>B754&amp;C754&amp;D754&amp;E754</f>
        <v/>
      </c>
      <c r="G754" s="6" t="n">
        <v>20000</v>
      </c>
      <c r="H754" s="30" t="n">
        <v>0.0585</v>
      </c>
      <c r="I754" s="6" t="n">
        <v>3167</v>
      </c>
    </row>
    <row r="755">
      <c r="B755" s="94" t="inlineStr">
        <is>
          <t>카페24</t>
        </is>
      </c>
      <c r="C755" s="6" t="inlineStr">
        <is>
          <t>마스크팩</t>
        </is>
      </c>
      <c r="D755" s="94" t="inlineStr">
        <is>
          <t>자작나무 수분 마스크옵션=자작나무 수분 마스크 10장 (50% off)</t>
        </is>
      </c>
      <c r="E755" s="6" t="n">
        <v>201208</v>
      </c>
      <c r="F755" s="6">
        <f>B755&amp;C755&amp;D755&amp;E755</f>
        <v/>
      </c>
      <c r="G755" s="6" t="n">
        <v>20000</v>
      </c>
      <c r="H755" s="30" t="n">
        <v>0.0585</v>
      </c>
      <c r="I755" s="6" t="n">
        <v>3187</v>
      </c>
    </row>
    <row r="756">
      <c r="B756" s="94" t="inlineStr">
        <is>
          <t>카페24</t>
        </is>
      </c>
      <c r="C756" s="6" t="inlineStr">
        <is>
          <t>마스크팩</t>
        </is>
      </c>
      <c r="D756" s="94" t="inlineStr">
        <is>
          <t>자작나무 수분 마스크옵션=자작나무 수분 마스크 1장</t>
        </is>
      </c>
      <c r="E756" s="6" t="n">
        <v>201208</v>
      </c>
      <c r="F756" s="6">
        <f>B756&amp;C756&amp;D756&amp;E756</f>
        <v/>
      </c>
      <c r="G756" s="6" t="n">
        <v>4000</v>
      </c>
      <c r="H756" s="30" t="n">
        <v>0.0585</v>
      </c>
      <c r="I756" s="6" t="n">
        <v>319</v>
      </c>
    </row>
    <row r="757">
      <c r="B757" s="94" t="inlineStr">
        <is>
          <t>카페24</t>
        </is>
      </c>
      <c r="C757" s="6" t="inlineStr">
        <is>
          <t>앰플</t>
        </is>
      </c>
      <c r="D757" s="94" t="inlineStr">
        <is>
          <t>[플친단독] 어성초 80 수분 진정 앰플옵션=어성초 80 앰플 1개 - 28%off</t>
        </is>
      </c>
      <c r="E757" s="6" t="n">
        <v>201208</v>
      </c>
      <c r="F757" s="6">
        <f>B757&amp;C757&amp;D757&amp;E757</f>
        <v/>
      </c>
      <c r="G757" s="6" t="n">
        <v>28000</v>
      </c>
      <c r="H757" s="30" t="n">
        <v>0.0585</v>
      </c>
      <c r="I757" s="6" t="n">
        <v>3397</v>
      </c>
    </row>
    <row r="758">
      <c r="B758" s="94" t="inlineStr">
        <is>
          <t>카페24</t>
        </is>
      </c>
      <c r="C758" s="6" t="inlineStr">
        <is>
          <t>앰플</t>
        </is>
      </c>
      <c r="D758" s="94" t="inlineStr">
        <is>
          <t>[플친단독] 어성초 80 수분 진정 앰플옵션=어성초 80 앰플 2+1 EVENT (무료배송)</t>
        </is>
      </c>
      <c r="E758" s="6" t="n">
        <v>201208</v>
      </c>
      <c r="F758" s="6">
        <f>B758&amp;C758&amp;D758&amp;E758</f>
        <v/>
      </c>
      <c r="G758" s="6" t="n">
        <v>28000</v>
      </c>
      <c r="H758" s="30" t="n">
        <v>0.0585</v>
      </c>
      <c r="I758" s="6" t="n">
        <v>3397</v>
      </c>
    </row>
    <row r="759">
      <c r="B759" s="94" t="inlineStr">
        <is>
          <t>카페24</t>
        </is>
      </c>
      <c r="C759" s="6" t="inlineStr">
        <is>
          <t>토너</t>
        </is>
      </c>
      <c r="D759" s="94" t="inlineStr">
        <is>
          <t>어성초 77 토너 250ml</t>
        </is>
      </c>
      <c r="E759" s="6" t="n">
        <v>201208</v>
      </c>
      <c r="F759" s="6">
        <f>B759&amp;C759&amp;D759&amp;E759</f>
        <v/>
      </c>
      <c r="G759" s="6" t="n">
        <v>20000</v>
      </c>
      <c r="H759" s="30" t="n">
        <v>0.0585</v>
      </c>
      <c r="I759" s="6" t="n">
        <v>3080</v>
      </c>
    </row>
    <row r="760">
      <c r="B760" s="94" t="inlineStr">
        <is>
          <t>화해</t>
        </is>
      </c>
      <c r="C760" s="6" t="inlineStr">
        <is>
          <t>바디워시</t>
        </is>
      </c>
      <c r="D760" s="94" t="inlineStr">
        <is>
          <t>어성초 아크네 바디워시 500ml어성초 아크네 바디워시 500ml</t>
        </is>
      </c>
      <c r="E760" s="6" t="n">
        <v>201208</v>
      </c>
      <c r="F760" s="7">
        <f>B760&amp;C760&amp;D760&amp;E760</f>
        <v/>
      </c>
      <c r="G760" s="6" t="n">
        <v>18200</v>
      </c>
      <c r="H760" s="27" t="n">
        <v>0.27</v>
      </c>
      <c r="I760" s="6" t="n">
        <v>4085</v>
      </c>
    </row>
    <row r="761">
      <c r="B761" s="94" t="inlineStr">
        <is>
          <t>화해</t>
        </is>
      </c>
      <c r="C761" s="6" t="inlineStr">
        <is>
          <t>수딩 크림</t>
        </is>
      </c>
      <c r="D761" s="94" t="inlineStr">
        <is>
          <t>어성초 78 수딩 크림 100ml어성초 78 수딩 크림 100ml</t>
        </is>
      </c>
      <c r="E761" s="6" t="n">
        <v>201208</v>
      </c>
      <c r="F761" s="6">
        <f>B761&amp;C761&amp;D761&amp;E761</f>
        <v/>
      </c>
      <c r="G761" s="6" t="n">
        <v>38000</v>
      </c>
      <c r="H761" s="30" t="n">
        <v>0.3</v>
      </c>
      <c r="I761" s="6" t="n">
        <v>3045</v>
      </c>
    </row>
    <row r="762">
      <c r="B762" s="6" t="inlineStr">
        <is>
          <t>화해</t>
        </is>
      </c>
      <c r="C762" s="6" t="inlineStr">
        <is>
          <t>클리어 패드</t>
        </is>
      </c>
      <c r="D762" s="94" t="inlineStr">
        <is>
          <t>어성초 클리어패드 70P_CS</t>
        </is>
      </c>
      <c r="E762" s="6" t="n">
        <v>201208</v>
      </c>
      <c r="F762" s="6">
        <f>B762&amp;C762&amp;D762&amp;E762</f>
        <v/>
      </c>
      <c r="G762" s="6" t="n">
        <v>22400</v>
      </c>
      <c r="H762" s="86" t="n">
        <v>0.27</v>
      </c>
      <c r="I762" s="6" t="n">
        <v>5012</v>
      </c>
    </row>
    <row r="763">
      <c r="B763" s="94" t="inlineStr">
        <is>
          <t>화해</t>
        </is>
      </c>
      <c r="C763" s="6" t="inlineStr">
        <is>
          <t>선크림</t>
        </is>
      </c>
      <c r="D763" s="94" t="inlineStr">
        <is>
          <t>5 제로 무기자차 선크림 50ml5 제로 무기자차 선크림 50ml</t>
        </is>
      </c>
      <c r="E763" s="6" t="n">
        <v>201208</v>
      </c>
      <c r="F763" s="6">
        <f>B763&amp;C763&amp;D763&amp;E763</f>
        <v/>
      </c>
      <c r="G763" s="6" t="n">
        <v>20000</v>
      </c>
      <c r="H763" s="30" t="n">
        <v>0.28</v>
      </c>
      <c r="I763" s="6" t="n">
        <v>2345</v>
      </c>
    </row>
    <row r="764">
      <c r="B764" s="94" t="inlineStr">
        <is>
          <t>아누아 CS</t>
        </is>
      </c>
      <c r="C764" s="6" t="inlineStr">
        <is>
          <t>클리어 패드</t>
        </is>
      </c>
      <c r="D764" s="94" t="inlineStr">
        <is>
          <t>어성초 클리어패드 2P</t>
        </is>
      </c>
      <c r="E764" s="6" t="n">
        <v>201208</v>
      </c>
      <c r="F764" s="6">
        <f>B764&amp;C764&amp;D764&amp;E764</f>
        <v/>
      </c>
      <c r="G764" s="6" t="n">
        <v>0</v>
      </c>
      <c r="H764" s="86" t="n">
        <v>0.0585</v>
      </c>
      <c r="I764" s="6" t="n">
        <v>5012</v>
      </c>
    </row>
    <row r="765">
      <c r="B765" s="94" t="inlineStr">
        <is>
          <t>아누아 CS</t>
        </is>
      </c>
      <c r="C765" s="6" t="inlineStr">
        <is>
          <t>화장솜</t>
        </is>
      </c>
      <c r="D765" s="94" t="inlineStr">
        <is>
          <t>스킨팩 화장솜 60P</t>
        </is>
      </c>
      <c r="E765" s="6" t="n">
        <v>201208</v>
      </c>
      <c r="F765" s="6">
        <f>B765&amp;C765&amp;D765&amp;E765</f>
        <v/>
      </c>
      <c r="G765" s="6" t="n">
        <v>0</v>
      </c>
      <c r="H765" s="27" t="n">
        <v>0</v>
      </c>
      <c r="I765" s="6" t="n">
        <v>1110</v>
      </c>
    </row>
    <row r="766">
      <c r="B766" s="94" t="inlineStr">
        <is>
          <t>카페24</t>
        </is>
      </c>
      <c r="C766" s="6" t="inlineStr">
        <is>
          <t>클리어 패드</t>
        </is>
      </c>
      <c r="D766" s="94" t="inlineStr">
        <is>
          <t>어성초 77 클리어 패드옵션=어성초 77 클리어 패드 2+1 EVENT (무료배송)</t>
        </is>
      </c>
      <c r="E766" s="6" t="n">
        <v>201208</v>
      </c>
      <c r="F766" s="6">
        <f>B766&amp;C766&amp;D766&amp;E766</f>
        <v/>
      </c>
      <c r="G766" s="6" t="n">
        <v>54600</v>
      </c>
      <c r="H766" s="86" t="n">
        <v>0.0585</v>
      </c>
      <c r="I766" s="6" t="n">
        <v>9240</v>
      </c>
    </row>
    <row r="767">
      <c r="B767" s="94" t="inlineStr">
        <is>
          <t>카페24</t>
        </is>
      </c>
      <c r="C767" s="6" t="inlineStr">
        <is>
          <t>토너</t>
        </is>
      </c>
      <c r="D767" s="94" t="inlineStr">
        <is>
          <t>어성초 77% 수딩 토너토너(필수)=어성초 77 토너 1개-20% off</t>
        </is>
      </c>
      <c r="E767" s="6" t="n">
        <v>201208</v>
      </c>
      <c r="F767" s="6">
        <f>B767&amp;C767&amp;D767&amp;E767</f>
        <v/>
      </c>
      <c r="G767" s="6" t="n">
        <v>20000</v>
      </c>
      <c r="H767" s="30" t="n">
        <v>0.0585</v>
      </c>
      <c r="I767" s="6" t="n">
        <v>3080</v>
      </c>
    </row>
    <row r="768">
      <c r="B768" s="94" t="inlineStr">
        <is>
          <t>카페24</t>
        </is>
      </c>
      <c r="C768" s="6" t="inlineStr">
        <is>
          <t>토너</t>
        </is>
      </c>
      <c r="D768" s="94" t="inlineStr">
        <is>
          <t>어성초 77% 수딩 토너토너(필수)=어성초 77 토너 2개-30% off (무료배송)</t>
        </is>
      </c>
      <c r="E768" s="6" t="n">
        <v>201208</v>
      </c>
      <c r="F768" s="6">
        <f>B768&amp;C768&amp;D768&amp;E768</f>
        <v/>
      </c>
      <c r="G768" s="6" t="n">
        <v>35000</v>
      </c>
      <c r="H768" s="30" t="n">
        <v>0.0585</v>
      </c>
      <c r="I768" s="6" t="n">
        <v>6160</v>
      </c>
    </row>
    <row r="769">
      <c r="B769" s="94" t="inlineStr">
        <is>
          <t>카페24</t>
        </is>
      </c>
      <c r="C769" s="6" t="inlineStr">
        <is>
          <t>화장솜</t>
        </is>
      </c>
      <c r="D769" s="94" t="inlineStr">
        <is>
          <t>어성초 77% 수딩 토너화장솜(선택)=촉촉 스킨팩 화장솜</t>
        </is>
      </c>
      <c r="E769" s="6" t="n">
        <v>201208</v>
      </c>
      <c r="F769" s="6">
        <f>B769&amp;C769&amp;D769&amp;E769</f>
        <v/>
      </c>
      <c r="G769" s="6" t="n">
        <v>3000</v>
      </c>
      <c r="H769" s="30" t="n">
        <v>0.0585</v>
      </c>
      <c r="I769" s="6" t="n">
        <v>1110</v>
      </c>
    </row>
    <row r="770">
      <c r="B770" s="94" t="inlineStr">
        <is>
          <t>카페24</t>
        </is>
      </c>
      <c r="C770" s="6" t="inlineStr">
        <is>
          <t>클리어 패드</t>
        </is>
      </c>
      <c r="D770" s="94" t="inlineStr">
        <is>
          <t>어성초 77 포어 클리어 패드옵션=어성초 77 클리어 패드 2+1 EVENT (무료배송)</t>
        </is>
      </c>
      <c r="E770" s="6" t="n">
        <v>201208</v>
      </c>
      <c r="F770" s="6">
        <f>B770&amp;C770&amp;D770&amp;E770</f>
        <v/>
      </c>
      <c r="G770" s="6" t="n">
        <v>54600</v>
      </c>
      <c r="H770" s="86" t="n">
        <v>0.0585</v>
      </c>
      <c r="I770" s="6" t="n">
        <v>9240</v>
      </c>
    </row>
    <row r="771">
      <c r="B771" s="94" t="inlineStr">
        <is>
          <t>카페24</t>
        </is>
      </c>
      <c r="C771" s="6" t="inlineStr">
        <is>
          <t>토너+패드 세트</t>
        </is>
      </c>
      <c r="D771" s="94" t="inlineStr">
        <is>
          <t>어성초 77% 수딩 토너토너(필수)=어성초77토너1개 + 어성초77패드1개 -30% off (무료배송)</t>
        </is>
      </c>
      <c r="E771" s="6" t="n">
        <v>201208</v>
      </c>
      <c r="F771" s="6">
        <f>B771&amp;C771&amp;D771&amp;E771</f>
        <v/>
      </c>
      <c r="G771" s="6" t="n">
        <v>37100</v>
      </c>
      <c r="H771" s="30" t="n">
        <v>0.0585</v>
      </c>
      <c r="I771" s="6" t="n">
        <v>8092</v>
      </c>
    </row>
    <row r="772">
      <c r="B772" s="94" t="inlineStr">
        <is>
          <t>카페24</t>
        </is>
      </c>
      <c r="C772" s="6" t="inlineStr">
        <is>
          <t>클리어 패드</t>
        </is>
      </c>
      <c r="D772" s="94" t="inlineStr">
        <is>
          <t>어성초 77% 패드옵션=어성초 77 클리어 패드 2+1 EVENT (무료배송)</t>
        </is>
      </c>
      <c r="E772" s="6" t="n">
        <v>201208</v>
      </c>
      <c r="F772" s="6">
        <f>B772&amp;C772&amp;D772&amp;E772</f>
        <v/>
      </c>
      <c r="G772" s="6" t="n">
        <v>54600</v>
      </c>
      <c r="H772" s="86" t="n">
        <v>0.0585</v>
      </c>
      <c r="I772" s="6" t="n">
        <v>9240</v>
      </c>
    </row>
    <row r="773">
      <c r="B773" s="94" t="inlineStr">
        <is>
          <t>아누아 CS</t>
        </is>
      </c>
      <c r="C773" s="6" t="inlineStr">
        <is>
          <t>토너</t>
        </is>
      </c>
      <c r="D773" s="94" t="inlineStr">
        <is>
          <t>어성초 77 토너 350ml</t>
        </is>
      </c>
      <c r="E773" s="6" t="n">
        <v>201208</v>
      </c>
      <c r="F773" s="6">
        <f>B773&amp;C773&amp;D773&amp;E773</f>
        <v/>
      </c>
      <c r="G773" s="6" t="n">
        <v>0</v>
      </c>
      <c r="H773" s="86" t="n">
        <v>0.0585</v>
      </c>
      <c r="I773" s="6" t="n">
        <v>3700</v>
      </c>
    </row>
    <row r="774">
      <c r="B774" s="94" t="inlineStr">
        <is>
          <t>화해</t>
        </is>
      </c>
      <c r="C774" s="6" t="inlineStr">
        <is>
          <t>마스크팩</t>
        </is>
      </c>
      <c r="D774" s="94" t="inlineStr">
        <is>
          <t>어성초 77 진정 마스크 25ml 1매/10매1매어성초 77 진정 마스크 25ml 1매/10매1매</t>
        </is>
      </c>
      <c r="E774" s="6" t="n">
        <v>201208</v>
      </c>
      <c r="F774" s="6">
        <f>B774&amp;C774&amp;D774&amp;E774</f>
        <v/>
      </c>
      <c r="G774" s="6" t="n">
        <v>4000</v>
      </c>
      <c r="H774" s="30" t="n">
        <v>0</v>
      </c>
      <c r="I774" s="6" t="n">
        <v>397</v>
      </c>
    </row>
    <row r="775">
      <c r="B775" s="94" t="inlineStr">
        <is>
          <t>카페24</t>
        </is>
      </c>
      <c r="C775" s="6" t="inlineStr">
        <is>
          <t>토너</t>
        </is>
      </c>
      <c r="D775" s="94" t="inlineStr">
        <is>
          <t>어성초 77 진정 토너옵션=어성초 77 토너 1개-20% off</t>
        </is>
      </c>
      <c r="E775" s="6" t="n">
        <v>201208</v>
      </c>
      <c r="F775" s="6">
        <f>B775&amp;C775&amp;D775&amp;E775</f>
        <v/>
      </c>
      <c r="G775" s="6" t="n">
        <v>20000</v>
      </c>
      <c r="H775" s="30" t="n">
        <v>0.0585</v>
      </c>
      <c r="I775" s="6" t="n">
        <v>3080</v>
      </c>
    </row>
    <row r="776">
      <c r="B776" s="94" t="inlineStr">
        <is>
          <t>카페24</t>
        </is>
      </c>
      <c r="C776" s="6" t="inlineStr">
        <is>
          <t>토너</t>
        </is>
      </c>
      <c r="D776" s="94" t="inlineStr">
        <is>
          <t>어성초 77 진정 토너옵션=BEST어성초 77 토너 2개-30% off (무료배송)</t>
        </is>
      </c>
      <c r="E776" s="6" t="n">
        <v>201208</v>
      </c>
      <c r="F776" s="6">
        <f>B776&amp;C776&amp;D776&amp;E776</f>
        <v/>
      </c>
      <c r="G776" s="6" t="n">
        <v>35000</v>
      </c>
      <c r="H776" s="30" t="n">
        <v>0.0585</v>
      </c>
      <c r="I776" s="6" t="n">
        <v>6160</v>
      </c>
    </row>
    <row r="777">
      <c r="B777" s="94" t="inlineStr">
        <is>
          <t>카페24</t>
        </is>
      </c>
      <c r="C777" s="6" t="inlineStr">
        <is>
          <t>토너+패드 세트</t>
        </is>
      </c>
      <c r="D777" s="94" t="inlineStr">
        <is>
          <t>어성초 77 진정 토너옵션=어성초 77토너1개 + 어성초77패드1개 -30% off (무료배송)</t>
        </is>
      </c>
      <c r="E777" s="6" t="n">
        <v>201208</v>
      </c>
      <c r="F777" s="6">
        <f>B777&amp;C777&amp;D777&amp;E777</f>
        <v/>
      </c>
      <c r="G777" s="6" t="n">
        <v>37100</v>
      </c>
      <c r="H777" s="30" t="n">
        <v>0.0585</v>
      </c>
      <c r="I777" s="6" t="n">
        <v>8092</v>
      </c>
    </row>
    <row r="778">
      <c r="B778" s="94" t="inlineStr">
        <is>
          <t>카페24</t>
        </is>
      </c>
      <c r="C778" s="6" t="inlineStr">
        <is>
          <t>화장솜</t>
        </is>
      </c>
      <c r="D778" s="94" t="inlineStr">
        <is>
          <t>어성초 77 진정 토너화장솜(선택)=촉촉 스킨팩 화장솜</t>
        </is>
      </c>
      <c r="E778" s="6" t="n">
        <v>201208</v>
      </c>
      <c r="F778" s="6">
        <f>B778&amp;C778&amp;D778&amp;E778</f>
        <v/>
      </c>
      <c r="G778" s="6" t="n">
        <v>3000</v>
      </c>
      <c r="H778" s="30" t="n">
        <v>0.0585</v>
      </c>
      <c r="I778" s="6" t="n">
        <v>1110</v>
      </c>
    </row>
    <row r="779">
      <c r="B779" s="94" t="inlineStr">
        <is>
          <t>화해</t>
        </is>
      </c>
      <c r="C779" s="6" t="inlineStr">
        <is>
          <t>머드크림마스크</t>
        </is>
      </c>
      <c r="D779" s="94" t="inlineStr">
        <is>
          <t>어성초 70 머드크림 마스크 100ml어성초 70 머드크림 마스크 100ml</t>
        </is>
      </c>
      <c r="E779" s="6" t="n">
        <v>201208</v>
      </c>
      <c r="F779" s="6">
        <f>B779&amp;C779&amp;D779&amp;E779</f>
        <v/>
      </c>
      <c r="G779" s="6" t="n">
        <v>20000</v>
      </c>
      <c r="H779" s="30" t="n">
        <v>0.28</v>
      </c>
      <c r="I779" s="6" t="n">
        <v>1696</v>
      </c>
    </row>
    <row r="780">
      <c r="B780" s="94" t="inlineStr">
        <is>
          <t>화해</t>
        </is>
      </c>
      <c r="C780" s="6" t="inlineStr">
        <is>
          <t>클렌징폼</t>
        </is>
      </c>
      <c r="D780" s="94" t="inlineStr">
        <is>
          <t>어성초 약산성 클렌징폼 120ml어성초 약산성 클렌징폼 120ml</t>
        </is>
      </c>
      <c r="E780" s="6" t="n">
        <v>201208</v>
      </c>
      <c r="F780" s="6">
        <f>B780&amp;C780&amp;D780&amp;E780</f>
        <v/>
      </c>
      <c r="G780" s="6" t="n">
        <v>13000</v>
      </c>
      <c r="H780" s="30" t="n">
        <v>0.29</v>
      </c>
      <c r="I780" s="6" t="n">
        <v>2750</v>
      </c>
    </row>
    <row r="781">
      <c r="B781" s="94" t="n"/>
      <c r="D781" s="94" t="n"/>
      <c r="H781" s="30" t="n"/>
    </row>
    <row r="782">
      <c r="B782" s="94" t="inlineStr">
        <is>
          <t>글로우데이즈 시코르</t>
        </is>
      </c>
      <c r="C782" s="6" t="inlineStr">
        <is>
          <t>로션</t>
        </is>
      </c>
      <c r="D782" s="94" t="inlineStr">
        <is>
          <t>어성초 70 로션 200ml</t>
        </is>
      </c>
      <c r="E782" s="6" t="n">
        <v>201208</v>
      </c>
      <c r="F782" s="6">
        <f>B782&amp;C782&amp;D782&amp;E782</f>
        <v/>
      </c>
      <c r="G782" s="9" t="n">
        <v>11455</v>
      </c>
      <c r="H782" s="22" t="n">
        <v>0</v>
      </c>
      <c r="I782" s="9" t="n">
        <v>4338</v>
      </c>
    </row>
    <row r="783">
      <c r="B783" s="94" t="inlineStr">
        <is>
          <t>카페24</t>
        </is>
      </c>
      <c r="C783" s="6" t="inlineStr">
        <is>
          <t>토너</t>
        </is>
      </c>
      <c r="D783" s="94" t="inlineStr">
        <is>
          <t>대용량 어성초 77 토너 500ml옵션=대용량 어성초 77 토너 1개 - 27% OFF</t>
        </is>
      </c>
      <c r="E783" s="6" t="n">
        <v>201208</v>
      </c>
      <c r="F783" s="6">
        <f>B783&amp;C783&amp;D783&amp;E783</f>
        <v/>
      </c>
      <c r="G783" s="6" t="n">
        <v>33000</v>
      </c>
      <c r="H783" s="30" t="n">
        <v>0.0585</v>
      </c>
      <c r="I783" s="6" t="n">
        <v>4330</v>
      </c>
    </row>
    <row r="784">
      <c r="B784" s="94" t="inlineStr">
        <is>
          <t>카페24</t>
        </is>
      </c>
      <c r="C784" s="6" t="inlineStr">
        <is>
          <t>토너</t>
        </is>
      </c>
      <c r="D784" s="94" t="inlineStr">
        <is>
          <t>대용량 어성초 77 토너 500ml화장솜(선택)=촉촉 스킨팩 화장솜</t>
        </is>
      </c>
      <c r="E784" s="6" t="n">
        <v>201208</v>
      </c>
      <c r="F784" s="6">
        <f>B784&amp;C784&amp;D784&amp;E784</f>
        <v/>
      </c>
      <c r="G784" s="6" t="n">
        <v>33000</v>
      </c>
      <c r="H784" s="30" t="n">
        <v>0.0585</v>
      </c>
      <c r="I784" s="6" t="n">
        <v>4330</v>
      </c>
    </row>
    <row r="785">
      <c r="B785" s="94" t="n"/>
      <c r="D785" s="94" t="n"/>
      <c r="H785" s="30" t="n"/>
    </row>
    <row r="786">
      <c r="B786" s="94" t="n"/>
      <c r="D786" s="94" t="n"/>
      <c r="H786" s="30" t="n"/>
    </row>
    <row r="787">
      <c r="B787" s="94" t="n"/>
      <c r="D787" s="94" t="n"/>
      <c r="H787" s="30" t="n"/>
    </row>
    <row r="788">
      <c r="B788" s="94" t="n"/>
      <c r="D788" s="94" t="n"/>
      <c r="H788" s="30" t="n"/>
    </row>
    <row r="789">
      <c r="B789" s="94" t="n"/>
      <c r="D789" s="94" t="n"/>
      <c r="H789" s="30" t="n"/>
    </row>
    <row r="790">
      <c r="B790" s="94" t="n"/>
      <c r="D790" s="94" t="n"/>
      <c r="H790" s="30" t="n"/>
    </row>
    <row r="791">
      <c r="B791" s="94" t="n"/>
      <c r="D791" s="94" t="n"/>
      <c r="H791" s="30" t="n"/>
    </row>
    <row r="792"/>
    <row r="793" customFormat="1" s="80">
      <c r="C793" s="83" t="inlineStr">
        <is>
          <t>광고비 매칭</t>
        </is>
      </c>
      <c r="H793" s="81" t="n"/>
      <c r="K793" s="82" t="n"/>
    </row>
    <row r="794"/>
    <row r="795">
      <c r="B795" s="6" t="inlineStr">
        <is>
          <t>전환</t>
        </is>
      </c>
      <c r="C795" s="6" t="inlineStr">
        <is>
          <t>페이스북/인스타그램</t>
        </is>
      </c>
      <c r="D795" s="6" t="inlineStr">
        <is>
          <t>토너</t>
        </is>
      </c>
    </row>
    <row r="796">
      <c r="B796" s="6" t="inlineStr">
        <is>
          <t>도달_랄라블라</t>
        </is>
      </c>
      <c r="C796" s="6" t="inlineStr">
        <is>
          <t>페이스북/인스타그램</t>
        </is>
      </c>
      <c r="D796" s="6" t="inlineStr">
        <is>
          <t>랄라블라</t>
        </is>
      </c>
    </row>
    <row r="797">
      <c r="B797" s="6" t="inlineStr">
        <is>
          <t>전환_토너패드</t>
        </is>
      </c>
      <c r="C797" s="6" t="inlineStr">
        <is>
          <t>페이스북/인스타그램</t>
        </is>
      </c>
      <c r="D797" s="6" t="inlineStr">
        <is>
          <t>토너패드</t>
        </is>
      </c>
    </row>
    <row r="798">
      <c r="B798" s="6" t="inlineStr">
        <is>
          <t>전환_토너_트러블</t>
        </is>
      </c>
      <c r="C798" s="6" t="inlineStr">
        <is>
          <t>페이스북/인스타그램</t>
        </is>
      </c>
      <c r="D798" s="6" t="inlineStr">
        <is>
          <t>토너</t>
        </is>
      </c>
    </row>
    <row r="799">
      <c r="B799" s="97" t="inlineStr">
        <is>
          <t>도달_올리브영</t>
        </is>
      </c>
      <c r="C799" s="6" t="inlineStr">
        <is>
          <t>페이스북/인스타그램</t>
        </is>
      </c>
      <c r="D799" s="6" t="inlineStr">
        <is>
          <t>토너</t>
        </is>
      </c>
    </row>
    <row r="800">
      <c r="B800" s="97" t="n"/>
    </row>
    <row r="801">
      <c r="B801" s="6" t="inlineStr">
        <is>
          <t>디스커버리_채우</t>
        </is>
      </c>
      <c r="C801" s="6" t="inlineStr">
        <is>
          <t>유튜브 디스커버리</t>
        </is>
      </c>
      <c r="D801" s="6" t="inlineStr">
        <is>
          <t>토너</t>
        </is>
      </c>
    </row>
    <row r="802">
      <c r="B802" s="6" t="inlineStr">
        <is>
          <t>디스커버리_천서영님_썸네일테스트 #3</t>
        </is>
      </c>
      <c r="C802" s="6" t="inlineStr">
        <is>
          <t>유튜브 디스커버리</t>
        </is>
      </c>
      <c r="D802" s="6" t="inlineStr">
        <is>
          <t>토너</t>
        </is>
      </c>
    </row>
    <row r="803">
      <c r="B803" s="6" t="inlineStr">
        <is>
          <t>디스커버리_이든크림스킨팩</t>
        </is>
      </c>
      <c r="C803" s="6" t="inlineStr">
        <is>
          <t>유튜브 디스커버리</t>
        </is>
      </c>
      <c r="D803" s="6" t="inlineStr">
        <is>
          <t>토너</t>
        </is>
      </c>
    </row>
    <row r="804">
      <c r="B804" s="94" t="inlineStr">
        <is>
          <t>디스커버리_혜오니</t>
        </is>
      </c>
      <c r="C804" s="6" t="inlineStr">
        <is>
          <t>유튜브 디스커버리</t>
        </is>
      </c>
      <c r="D804" s="6" t="inlineStr">
        <is>
          <t>토너</t>
        </is>
      </c>
    </row>
    <row r="805">
      <c r="B805" s="94" t="inlineStr">
        <is>
          <t>디스커버리_소히방2</t>
        </is>
      </c>
      <c r="C805" s="6" t="inlineStr">
        <is>
          <t>유튜브 디스커버리</t>
        </is>
      </c>
      <c r="D805" s="6" t="inlineStr">
        <is>
          <t>토너</t>
        </is>
      </c>
    </row>
    <row r="806">
      <c r="B806" s="94" t="inlineStr">
        <is>
          <t>디스커버리_DP_B&amp;A #2</t>
        </is>
      </c>
      <c r="C806" s="6" t="inlineStr">
        <is>
          <t>유튜브 디스커버리</t>
        </is>
      </c>
      <c r="D806" s="6" t="inlineStr">
        <is>
          <t>토너</t>
        </is>
      </c>
    </row>
    <row r="807">
      <c r="B807" s="94" t="inlineStr">
        <is>
          <t>디스커버리_DP_B&amp;A #2</t>
        </is>
      </c>
      <c r="C807" s="6" t="inlineStr">
        <is>
          <t>유튜브 디스커버리</t>
        </is>
      </c>
      <c r="D807" s="6" t="inlineStr">
        <is>
          <t>토너</t>
        </is>
      </c>
    </row>
    <row r="808">
      <c r="B808" s="94" t="inlineStr">
        <is>
          <t>디스커버리_DP_B&amp;A #2</t>
        </is>
      </c>
      <c r="C808" s="6" t="inlineStr">
        <is>
          <t>유튜브 디스커버리</t>
        </is>
      </c>
      <c r="D808" s="6" t="inlineStr">
        <is>
          <t>토너</t>
        </is>
      </c>
    </row>
    <row r="809">
      <c r="B809" s="94" t="inlineStr">
        <is>
          <t>디스커버리_미닝님</t>
        </is>
      </c>
      <c r="C809" s="6" t="inlineStr">
        <is>
          <t>유튜브 디스커버리</t>
        </is>
      </c>
      <c r="D809" s="6" t="inlineStr">
        <is>
          <t>토너</t>
        </is>
      </c>
    </row>
    <row r="810">
      <c r="B810" s="94" t="inlineStr">
        <is>
          <t>디스커버리_DP_B&amp;A_판매</t>
        </is>
      </c>
      <c r="C810" s="6" t="inlineStr">
        <is>
          <t>유튜브 디스커버리</t>
        </is>
      </c>
      <c r="D810" s="6" t="inlineStr">
        <is>
          <t>토너</t>
        </is>
      </c>
    </row>
    <row r="811">
      <c r="B811" s="94" t="inlineStr">
        <is>
          <t>디스커버리_DP_B&amp;A</t>
        </is>
      </c>
      <c r="C811" s="6" t="inlineStr">
        <is>
          <t>유튜브 디스커버리</t>
        </is>
      </c>
      <c r="D811" s="6" t="inlineStr">
        <is>
          <t>토너</t>
        </is>
      </c>
    </row>
    <row r="812">
      <c r="B812" s="94" t="inlineStr">
        <is>
          <t>동영상_반응형_카드뉴스</t>
        </is>
      </c>
      <c r="C812" s="6" t="inlineStr">
        <is>
          <t>유튜브 디스커버리</t>
        </is>
      </c>
      <c r="D812" s="6" t="inlineStr">
        <is>
          <t>토너</t>
        </is>
      </c>
    </row>
    <row r="813">
      <c r="B813" s="94" t="inlineStr">
        <is>
          <t>동영상_맞춤_태국 카드뉴스</t>
        </is>
      </c>
      <c r="C813" s="6" t="inlineStr">
        <is>
          <t>유튜브 디스커버리</t>
        </is>
      </c>
      <c r="D813" s="6" t="inlineStr">
        <is>
          <t>토너</t>
        </is>
      </c>
    </row>
    <row r="814">
      <c r="B814" s="94" t="inlineStr">
        <is>
          <t>디스커버리_미닝님_4554알수없음</t>
        </is>
      </c>
      <c r="C814" s="6" t="inlineStr">
        <is>
          <t>유튜브 디스커버리</t>
        </is>
      </c>
      <c r="D814" s="6" t="inlineStr">
        <is>
          <t>토너</t>
        </is>
      </c>
    </row>
    <row r="815">
      <c r="B815" s="94" t="inlineStr">
        <is>
          <t>디스커버리_DP_B&amp;A #3</t>
        </is>
      </c>
      <c r="C815" s="6" t="inlineStr">
        <is>
          <t>유튜브 디스커버리</t>
        </is>
      </c>
      <c r="D815" s="6" t="inlineStr">
        <is>
          <t>토너</t>
        </is>
      </c>
    </row>
    <row r="816">
      <c r="B816" s="90" t="inlineStr">
        <is>
          <t>디스커버리_DP_관심사</t>
        </is>
      </c>
      <c r="C816" s="6" t="inlineStr">
        <is>
          <t>유튜브 디스커버리</t>
        </is>
      </c>
      <c r="D816" s="6" t="inlineStr">
        <is>
          <t>토너</t>
        </is>
      </c>
    </row>
    <row r="817">
      <c r="B817" s="90" t="inlineStr">
        <is>
          <t>동영상_반응형</t>
        </is>
      </c>
      <c r="C817" s="6" t="inlineStr">
        <is>
          <t>유튜브 디스커버리</t>
        </is>
      </c>
      <c r="D817" s="6" t="inlineStr">
        <is>
          <t>토너</t>
        </is>
      </c>
    </row>
    <row r="818">
      <c r="B818" s="90" t="inlineStr">
        <is>
          <t>디스커버리_DP_관심사1_소재테스트 #3</t>
        </is>
      </c>
      <c r="C818" s="6" t="inlineStr">
        <is>
          <t>유튜브 디스커버리</t>
        </is>
      </c>
      <c r="D818" s="6" t="inlineStr">
        <is>
          <t>토너</t>
        </is>
      </c>
    </row>
    <row r="819">
      <c r="B819" s="90" t="inlineStr">
        <is>
          <t>동영상_디스커버리_0121</t>
        </is>
      </c>
      <c r="C819" s="6" t="inlineStr">
        <is>
          <t>유튜브 디스커버리</t>
        </is>
      </c>
      <c r="D819" s="6" t="inlineStr">
        <is>
          <t>토너</t>
        </is>
      </c>
    </row>
    <row r="820">
      <c r="B820" s="90" t="inlineStr">
        <is>
          <t>디스커버리_DP_관심사1테스트</t>
        </is>
      </c>
      <c r="C820" s="6" t="inlineStr">
        <is>
          <t>유튜브 디스커버리</t>
        </is>
      </c>
      <c r="D820" s="6" t="inlineStr">
        <is>
          <t>토너</t>
        </is>
      </c>
    </row>
    <row r="821">
      <c r="B821" s="90" t="inlineStr">
        <is>
          <t>디스커버리_DP_관심사1_소재테스트 #2</t>
        </is>
      </c>
      <c r="C821" s="6" t="inlineStr">
        <is>
          <t>유튜브 디스커버리</t>
        </is>
      </c>
      <c r="D821" s="6" t="inlineStr">
        <is>
          <t>토너</t>
        </is>
      </c>
    </row>
    <row r="822">
      <c r="B822" s="95" t="inlineStr">
        <is>
          <t>디스커버리_DP_패드관심사1_소재1(아들)</t>
        </is>
      </c>
      <c r="C822" s="6" t="inlineStr">
        <is>
          <t>유튜브 디스커버리</t>
        </is>
      </c>
      <c r="D822" s="6" t="inlineStr">
        <is>
          <t>패드</t>
        </is>
      </c>
    </row>
    <row r="823">
      <c r="B823" s="95" t="inlineStr">
        <is>
          <t>디스커버리_DP_패드관심사1_소재1(딸)</t>
        </is>
      </c>
      <c r="C823" s="6" t="inlineStr">
        <is>
          <t>유튜브 디스커버리</t>
        </is>
      </c>
      <c r="D823" s="6" t="inlineStr">
        <is>
          <t>패드</t>
        </is>
      </c>
    </row>
    <row r="824">
      <c r="B824" s="95" t="inlineStr">
        <is>
          <t>디스커버리_DP_관심사1테스트 #2</t>
        </is>
      </c>
      <c r="C824" s="6" t="inlineStr">
        <is>
          <t>유튜브 디스커버리</t>
        </is>
      </c>
      <c r="D824" s="6" t="inlineStr">
        <is>
          <t>토너</t>
        </is>
      </c>
    </row>
    <row r="825">
      <c r="B825" s="95" t="inlineStr">
        <is>
          <t>디스커버리_케이린</t>
        </is>
      </c>
      <c r="C825" s="6" t="inlineStr">
        <is>
          <t>유튜브 디스커버리</t>
        </is>
      </c>
      <c r="D825" s="6" t="inlineStr">
        <is>
          <t>토너</t>
        </is>
      </c>
    </row>
    <row r="826">
      <c r="B826" s="94" t="inlineStr">
        <is>
          <t>토너_관심사3_반반</t>
        </is>
      </c>
      <c r="C826" s="6" t="inlineStr">
        <is>
          <t>유튜브 디스커버리</t>
        </is>
      </c>
      <c r="D826" s="6" t="inlineStr">
        <is>
          <t>토너</t>
        </is>
      </c>
    </row>
    <row r="827">
      <c r="B827" s="94" t="inlineStr">
        <is>
          <t>디스커버리_DP_관심사2_동글소재</t>
        </is>
      </c>
      <c r="C827" s="6" t="inlineStr">
        <is>
          <t>유튜브 디스커버리</t>
        </is>
      </c>
      <c r="D827" s="6" t="inlineStr">
        <is>
          <t>토너</t>
        </is>
      </c>
    </row>
    <row r="828">
      <c r="B828" s="94" t="inlineStr">
        <is>
          <t>토너_논타겟_엄마잘컨</t>
        </is>
      </c>
      <c r="C828" s="6" t="inlineStr">
        <is>
          <t>유튜브 디스커버리</t>
        </is>
      </c>
      <c r="D828" s="6" t="inlineStr">
        <is>
          <t>토너</t>
        </is>
      </c>
    </row>
    <row r="829">
      <c r="B829" s="94" t="inlineStr">
        <is>
          <t>토너_관심사1_엄마잘컨</t>
        </is>
      </c>
      <c r="C829" s="6" t="inlineStr">
        <is>
          <t>유튜브 디스커버리</t>
        </is>
      </c>
      <c r="D829" s="6" t="inlineStr">
        <is>
          <t>토너</t>
        </is>
      </c>
    </row>
    <row r="830">
      <c r="B830" s="94" t="inlineStr">
        <is>
          <t>토너_구매의도만_동글2</t>
        </is>
      </c>
      <c r="C830" s="6" t="inlineStr">
        <is>
          <t>유튜브 디스커버리</t>
        </is>
      </c>
      <c r="D830" s="6" t="inlineStr">
        <is>
          <t>토너</t>
        </is>
      </c>
    </row>
    <row r="831">
      <c r="B831" s="94" t="inlineStr">
        <is>
          <t>디스커버리_DP_관심사0_기존잘컨</t>
        </is>
      </c>
      <c r="C831" s="6" t="inlineStr">
        <is>
          <t>유튜브 디스커버리</t>
        </is>
      </c>
      <c r="D831" s="6" t="inlineStr">
        <is>
          <t>토너</t>
        </is>
      </c>
    </row>
    <row r="832">
      <c r="B832" s="94" t="inlineStr">
        <is>
          <t>디스커버리_DP_관심사1_소재테스트</t>
        </is>
      </c>
      <c r="C832" s="6" t="inlineStr">
        <is>
          <t>유튜브 디스커버리</t>
        </is>
      </c>
      <c r="D832" s="6" t="inlineStr">
        <is>
          <t>토너</t>
        </is>
      </c>
    </row>
    <row r="833">
      <c r="B833" s="94" t="inlineStr">
        <is>
          <t>인스트림_토너_집콕</t>
        </is>
      </c>
      <c r="C833" s="6" t="inlineStr">
        <is>
          <t>유튜브 디스커버리</t>
        </is>
      </c>
      <c r="D833" s="6" t="inlineStr">
        <is>
          <t>토너</t>
        </is>
      </c>
    </row>
    <row r="834">
      <c r="B834" s="94" t="inlineStr">
        <is>
          <t>토너_관심사1_엄마소재베리</t>
        </is>
      </c>
      <c r="C834" s="6" t="inlineStr">
        <is>
          <t>유튜브 디스커버리</t>
        </is>
      </c>
      <c r="D834" s="6" t="inlineStr">
        <is>
          <t>토너</t>
        </is>
      </c>
    </row>
    <row r="835">
      <c r="B835" s="94" t="inlineStr">
        <is>
          <t>디스커버리_관심사세팅_후기</t>
        </is>
      </c>
      <c r="C835" s="6" t="inlineStr">
        <is>
          <t>유튜브 디스커버리</t>
        </is>
      </c>
      <c r="D835" s="6" t="inlineStr">
        <is>
          <t>토너</t>
        </is>
      </c>
    </row>
    <row r="836">
      <c r="B836" s="94" t="inlineStr">
        <is>
          <t>인스트림_논타겟_토너_집콕</t>
        </is>
      </c>
      <c r="C836" s="6" t="inlineStr">
        <is>
          <t>유튜브 디스커버리</t>
        </is>
      </c>
      <c r="D836" s="6" t="inlineStr">
        <is>
          <t>토너</t>
        </is>
      </c>
    </row>
    <row r="837">
      <c r="B837" s="94" t="inlineStr">
        <is>
          <t>토너_관심사1_이미지베리</t>
        </is>
      </c>
      <c r="C837" s="6" t="inlineStr">
        <is>
          <t>유튜브 디스커버리</t>
        </is>
      </c>
      <c r="D837" s="6" t="inlineStr">
        <is>
          <t>토너</t>
        </is>
      </c>
    </row>
    <row r="838">
      <c r="B838" s="94" t="inlineStr">
        <is>
          <t>토너_관심사1_이미지베리_딸+bna</t>
        </is>
      </c>
      <c r="C838" s="6" t="inlineStr">
        <is>
          <t>유튜브 디스커버리</t>
        </is>
      </c>
      <c r="D838" s="6" t="inlineStr">
        <is>
          <t>토너</t>
        </is>
      </c>
    </row>
    <row r="839">
      <c r="B839" s="94" t="inlineStr">
        <is>
          <t>인스트림_키워드_토너_집콕</t>
        </is>
      </c>
      <c r="C839" s="6" t="inlineStr">
        <is>
          <t>유튜브 디스커버리</t>
        </is>
      </c>
      <c r="D839" s="6" t="inlineStr">
        <is>
          <t>토너</t>
        </is>
      </c>
    </row>
    <row r="840">
      <c r="B840" s="94" t="inlineStr">
        <is>
          <t>동영상_디스커버리_좁쌀가시</t>
        </is>
      </c>
      <c r="C840" s="6" t="inlineStr">
        <is>
          <t>유튜브 디스커버리</t>
        </is>
      </c>
      <c r="D840" s="6" t="inlineStr">
        <is>
          <t>토너</t>
        </is>
      </c>
    </row>
    <row r="841">
      <c r="B841" s="94" t="inlineStr">
        <is>
          <t>디스커버리_토너_집콕</t>
        </is>
      </c>
      <c r="C841" s="6" t="inlineStr">
        <is>
          <t>유튜브 디스커버리</t>
        </is>
      </c>
      <c r="D841" s="6" t="inlineStr">
        <is>
          <t>토너</t>
        </is>
      </c>
    </row>
    <row r="842">
      <c r="B842" s="94" t="inlineStr">
        <is>
          <t>디스커버리_빛이나</t>
        </is>
      </c>
      <c r="C842" s="6" t="inlineStr">
        <is>
          <t>유튜브 디스커버리</t>
        </is>
      </c>
      <c r="D842" s="6" t="inlineStr">
        <is>
          <t>토너</t>
        </is>
      </c>
    </row>
    <row r="843">
      <c r="B843" s="94" t="inlineStr">
        <is>
          <t>디스커버리_최모나토너편집</t>
        </is>
      </c>
      <c r="C843" s="6" t="inlineStr">
        <is>
          <t>유튜브 디스커버리</t>
        </is>
      </c>
      <c r="D843" s="6" t="inlineStr">
        <is>
          <t>토너</t>
        </is>
      </c>
    </row>
    <row r="844">
      <c r="B844" s="94" t="inlineStr">
        <is>
          <t>디스커버리_티벳동생ppl</t>
        </is>
      </c>
      <c r="C844" s="6" t="inlineStr">
        <is>
          <t>유튜브 디스커버리</t>
        </is>
      </c>
      <c r="D844" s="6" t="inlineStr">
        <is>
          <t>토너</t>
        </is>
      </c>
    </row>
    <row r="845">
      <c r="B845" s="94" t="inlineStr">
        <is>
          <t>동영상_반응형_좁쌀가시</t>
        </is>
      </c>
      <c r="C845" s="6" t="inlineStr">
        <is>
          <t>유튜브 디스커버리</t>
        </is>
      </c>
      <c r="D845" s="6" t="inlineStr">
        <is>
          <t>토너</t>
        </is>
      </c>
    </row>
    <row r="846">
      <c r="B846" s="94" t="inlineStr">
        <is>
          <t>디스커버리_DP_관심사2_2+1강조</t>
        </is>
      </c>
      <c r="C846" s="6" t="inlineStr">
        <is>
          <t>유튜브 디스커버리</t>
        </is>
      </c>
      <c r="D846" s="6" t="inlineStr">
        <is>
          <t>토너패드</t>
        </is>
      </c>
    </row>
    <row r="847">
      <c r="B847" s="94" t="inlineStr">
        <is>
          <t>동영상_디스커버리_좁쌀가시_서브영상</t>
        </is>
      </c>
      <c r="C847" s="6" t="inlineStr">
        <is>
          <t>유튜브 디스커버리</t>
        </is>
      </c>
      <c r="D847" s="6" t="inlineStr">
        <is>
          <t>토너</t>
        </is>
      </c>
    </row>
    <row r="848">
      <c r="B848" s="94" t="inlineStr">
        <is>
          <t>동영상_디스커버리_좁쌀가시 2차</t>
        </is>
      </c>
      <c r="C848" s="6" t="inlineStr">
        <is>
          <t>유튜브 디스커버리</t>
        </is>
      </c>
      <c r="D848" s="6" t="inlineStr">
        <is>
          <t>토너</t>
        </is>
      </c>
    </row>
    <row r="849">
      <c r="B849" s="94" t="inlineStr">
        <is>
          <t>동영상_디스커버리_좁쌀가시_서브영상#1</t>
        </is>
      </c>
      <c r="C849" s="6" t="inlineStr">
        <is>
          <t>유튜브 디스커버리</t>
        </is>
      </c>
      <c r="D849" s="6" t="inlineStr">
        <is>
          <t>토너</t>
        </is>
      </c>
    </row>
    <row r="850">
      <c r="B850" s="94" t="inlineStr">
        <is>
          <t>GDN_토너로션</t>
        </is>
      </c>
      <c r="C850" s="6" t="inlineStr">
        <is>
          <t>유튜브 디스커버리</t>
        </is>
      </c>
      <c r="D850" s="6" t="inlineStr">
        <is>
          <t>토너</t>
        </is>
      </c>
    </row>
    <row r="851">
      <c r="B851" s="94" t="inlineStr">
        <is>
          <t>동영상_디스커버리_좁쌀가시_3차</t>
        </is>
      </c>
      <c r="C851" s="6" t="inlineStr">
        <is>
          <t>유튜브 디스커버리</t>
        </is>
      </c>
      <c r="D851" s="6" t="inlineStr">
        <is>
          <t>토너</t>
        </is>
      </c>
    </row>
    <row r="852">
      <c r="B852" s="94" t="inlineStr">
        <is>
          <t>동영상_디스커버리_좁쌀가시_2차</t>
        </is>
      </c>
      <c r="C852" s="6" t="inlineStr">
        <is>
          <t>유튜브 디스커버리</t>
        </is>
      </c>
      <c r="D852" s="6" t="inlineStr">
        <is>
          <t>토너</t>
        </is>
      </c>
    </row>
    <row r="853">
      <c r="B853" s="94" t="inlineStr">
        <is>
          <t>동영상_반응형_좁쌀가시 #1</t>
        </is>
      </c>
      <c r="C853" s="6" t="inlineStr">
        <is>
          <t>유튜브 디스커버리</t>
        </is>
      </c>
      <c r="D853" s="6" t="inlineStr">
        <is>
          <t>토너</t>
        </is>
      </c>
    </row>
    <row r="854">
      <c r="B854" s="94" t="inlineStr">
        <is>
          <t>동영상_디스커버리_좁쌀가시_고정</t>
        </is>
      </c>
      <c r="C854" s="6" t="inlineStr">
        <is>
          <t>유튜브 디스커버리</t>
        </is>
      </c>
      <c r="D854" s="6" t="inlineStr">
        <is>
          <t>토너</t>
        </is>
      </c>
    </row>
    <row r="855">
      <c r="B855" s="94" t="inlineStr">
        <is>
          <t>올리브영_자사랜딩</t>
        </is>
      </c>
      <c r="C855" s="6" t="inlineStr">
        <is>
          <t>유튜브 디스커버리</t>
        </is>
      </c>
      <c r="D855" s="6" t="inlineStr">
        <is>
          <t>토너</t>
        </is>
      </c>
    </row>
    <row r="856">
      <c r="B856" s="94" t="inlineStr">
        <is>
          <t>동영상_판매인스트림_올영애니2</t>
        </is>
      </c>
      <c r="C856" s="6" t="inlineStr">
        <is>
          <t>유튜브 디스커버리</t>
        </is>
      </c>
      <c r="D856" s="6" t="inlineStr">
        <is>
          <t>토너</t>
        </is>
      </c>
    </row>
    <row r="857">
      <c r="B857" s="94" t="inlineStr">
        <is>
          <t>동영상_인스트림_올영애니</t>
        </is>
      </c>
      <c r="C857" s="6" t="inlineStr">
        <is>
          <t>유튜브 디스커버리</t>
        </is>
      </c>
      <c r="D857" s="6" t="inlineStr">
        <is>
          <t>토너</t>
        </is>
      </c>
    </row>
    <row r="858">
      <c r="B858" s="94" t="inlineStr">
        <is>
          <t>동영상_반응형_올영애니_1</t>
        </is>
      </c>
      <c r="C858" s="6" t="inlineStr">
        <is>
          <t>유튜브 디스커버리</t>
        </is>
      </c>
      <c r="D858" s="6" t="inlineStr">
        <is>
          <t>토너</t>
        </is>
      </c>
    </row>
    <row r="859">
      <c r="B859" s="94" t="inlineStr">
        <is>
          <t>GDN_토너로션_리타게팅</t>
        </is>
      </c>
      <c r="C859" s="6" t="inlineStr">
        <is>
          <t>유튜브 디스커버리</t>
        </is>
      </c>
      <c r="D859" s="6" t="inlineStr">
        <is>
          <t>토너</t>
        </is>
      </c>
    </row>
    <row r="860">
      <c r="B860" s="94" t="inlineStr">
        <is>
          <t>동영상_디스커버리_올영애니 피드</t>
        </is>
      </c>
      <c r="C860" s="6" t="inlineStr">
        <is>
          <t>유튜브 디스커버리</t>
        </is>
      </c>
      <c r="D860" s="6" t="inlineStr">
        <is>
          <t>토너</t>
        </is>
      </c>
    </row>
    <row r="861">
      <c r="B861" s="94" t="inlineStr">
        <is>
          <t>디스커버리_채우ppl</t>
        </is>
      </c>
      <c r="C861" s="6" t="inlineStr">
        <is>
          <t>유튜브 디스커버리</t>
        </is>
      </c>
      <c r="D861" s="6" t="inlineStr">
        <is>
          <t>토너</t>
        </is>
      </c>
    </row>
    <row r="862">
      <c r="B862" s="94" t="n"/>
    </row>
    <row r="863">
      <c r="B863" s="94" t="n"/>
    </row>
    <row r="864">
      <c r="B864" s="94" t="n"/>
    </row>
    <row r="865">
      <c r="B865" s="94" t="n"/>
    </row>
    <row r="866">
      <c r="B866" s="94" t="n"/>
    </row>
    <row r="867">
      <c r="B867" s="6" t="inlineStr">
        <is>
          <t>아누아_쇼핑M</t>
        </is>
      </c>
      <c r="C867" s="6" t="inlineStr">
        <is>
          <t>네이버 쇼핑검색</t>
        </is>
      </c>
    </row>
    <row r="868">
      <c r="B868" s="6" t="inlineStr">
        <is>
          <t>아누아_쇼핑PC</t>
        </is>
      </c>
      <c r="C868" s="6" t="inlineStr">
        <is>
          <t>네이버 쇼핑검색</t>
        </is>
      </c>
    </row>
    <row r="869"/>
    <row r="870">
      <c r="B870" s="6" t="inlineStr">
        <is>
          <t>아누아_리타게팅(전체지면)</t>
        </is>
      </c>
      <c r="C870" s="6" t="inlineStr">
        <is>
          <t>카카오모먼트(리타게팅)</t>
        </is>
      </c>
      <c r="D870" s="6" t="inlineStr">
        <is>
          <t>토너</t>
        </is>
      </c>
    </row>
    <row r="871">
      <c r="B871" s="94" t="inlineStr">
        <is>
          <t>아누아_비즈보드_도전_1231</t>
        </is>
      </c>
      <c r="C871" s="6" t="inlineStr">
        <is>
          <t>카카오모먼트(리타게팅)</t>
        </is>
      </c>
      <c r="D871" s="6" t="inlineStr">
        <is>
          <t>토너</t>
        </is>
      </c>
    </row>
    <row r="872">
      <c r="B872" s="94" t="inlineStr">
        <is>
          <t>아누아_청귤마스크팩_품평단모집_0104</t>
        </is>
      </c>
      <c r="C872" s="6" t="inlineStr">
        <is>
          <t>카카오모먼트(리타게팅)</t>
        </is>
      </c>
      <c r="D872" s="6" t="inlineStr">
        <is>
          <t>마스크팩</t>
        </is>
      </c>
    </row>
    <row r="873">
      <c r="B873" s="94" t="inlineStr">
        <is>
          <t>토너_도전_0105</t>
        </is>
      </c>
      <c r="C873" s="6" t="inlineStr">
        <is>
          <t>카카오모먼트(리타게팅)</t>
        </is>
      </c>
      <c r="D873" s="6" t="inlineStr">
        <is>
          <t>토너</t>
        </is>
      </c>
    </row>
    <row r="874">
      <c r="B874" s="94" t="inlineStr">
        <is>
          <t>아누아_비즈보드_리타게팅</t>
        </is>
      </c>
      <c r="C874" s="6" t="inlineStr">
        <is>
          <t>카카오모먼트(리타게팅)</t>
        </is>
      </c>
      <c r="D874" s="6" t="inlineStr">
        <is>
          <t>토너</t>
        </is>
      </c>
    </row>
    <row r="875">
      <c r="B875" s="94" t="inlineStr">
        <is>
          <t>카카오 비즈보드_방문_210111</t>
        </is>
      </c>
      <c r="C875" s="6" t="inlineStr">
        <is>
          <t>카카오모먼트(리타게팅)</t>
        </is>
      </c>
      <c r="D875" s="6" t="inlineStr">
        <is>
          <t>토너</t>
        </is>
      </c>
    </row>
    <row r="876">
      <c r="B876" s="94" t="inlineStr">
        <is>
          <t>아누아_수분마스크팩_210118</t>
        </is>
      </c>
      <c r="C876" s="6" t="inlineStr">
        <is>
          <t>카카오모먼트(리타게팅)</t>
        </is>
      </c>
      <c r="D876" s="6" t="inlineStr">
        <is>
          <t>마스크팩</t>
        </is>
      </c>
    </row>
    <row r="877">
      <c r="B877" s="90" t="inlineStr">
        <is>
          <t>아누아_앰플_플친대상메시지_재발송_210120</t>
        </is>
      </c>
      <c r="C877" s="6" t="inlineStr">
        <is>
          <t>카카오모먼트(리타게팅)</t>
        </is>
      </c>
      <c r="D877" s="6" t="inlineStr">
        <is>
          <t>앰플</t>
        </is>
      </c>
    </row>
    <row r="878">
      <c r="B878" s="90" t="inlineStr">
        <is>
          <t>아누아_앰플_시크릿이벤트_리마인드_210122</t>
        </is>
      </c>
      <c r="C878" s="6" t="inlineStr">
        <is>
          <t>카카오모먼트(리타게팅)</t>
        </is>
      </c>
      <c r="D878" s="6" t="inlineStr">
        <is>
          <t>앰플</t>
        </is>
      </c>
    </row>
    <row r="879">
      <c r="B879" s="94" t="inlineStr">
        <is>
          <t>아누아_토너_관심사1_초4소재_1200x628</t>
        </is>
      </c>
      <c r="C879" s="6" t="inlineStr">
        <is>
          <t>카카오모먼트(리타게팅)</t>
        </is>
      </c>
      <c r="D879" s="6" t="inlineStr">
        <is>
          <t>토너</t>
        </is>
      </c>
    </row>
    <row r="880">
      <c r="B880" s="94" t="inlineStr">
        <is>
          <t>아누아_올영입점이벤트_플친발송_210201</t>
        </is>
      </c>
      <c r="C880" s="6" t="inlineStr">
        <is>
          <t>카카오모먼트(리타게팅)</t>
        </is>
      </c>
      <c r="D880" s="6" t="inlineStr">
        <is>
          <t>토너</t>
        </is>
      </c>
    </row>
    <row r="881">
      <c r="B881" s="94" t="inlineStr">
        <is>
          <t>아누아_토너_관심사1_초4소재_1200x600</t>
        </is>
      </c>
      <c r="C881" s="6" t="inlineStr">
        <is>
          <t>카카오모먼트(리타게팅)</t>
        </is>
      </c>
      <c r="D881" s="6" t="inlineStr">
        <is>
          <t>토너</t>
        </is>
      </c>
    </row>
    <row r="882">
      <c r="B882" s="94" t="inlineStr">
        <is>
          <t>도달_올리브영소재</t>
        </is>
      </c>
      <c r="C882" s="6" t="inlineStr">
        <is>
          <t>카카오모먼트(리타게팅)</t>
        </is>
      </c>
      <c r="D882" s="6" t="inlineStr">
        <is>
          <t>토너</t>
        </is>
      </c>
    </row>
    <row r="883">
      <c r="B883" s="94" t="inlineStr">
        <is>
          <t>아누아_패드_지면테스트</t>
        </is>
      </c>
      <c r="C883" s="6" t="inlineStr">
        <is>
          <t>카카오모먼트(리타게팅)</t>
        </is>
      </c>
      <c r="D883" s="6" t="inlineStr">
        <is>
          <t>패드</t>
        </is>
      </c>
    </row>
    <row r="884">
      <c r="B884" s="94" t="n"/>
    </row>
    <row r="885">
      <c r="B885" s="94" t="n"/>
    </row>
    <row r="886">
      <c r="B886" s="94" t="n"/>
    </row>
    <row r="887">
      <c r="B887" s="94" t="n"/>
    </row>
    <row r="888">
      <c r="B888" s="94" t="n"/>
    </row>
    <row r="889">
      <c r="B889" s="94" t="n"/>
    </row>
    <row r="890">
      <c r="B890" s="6" t="inlineStr">
        <is>
          <t>아누아_토너_트러블타겟</t>
        </is>
      </c>
      <c r="C890" s="6" t="inlineStr">
        <is>
          <t>네이버 GFA</t>
        </is>
      </c>
      <c r="D890" s="6" t="inlineStr">
        <is>
          <t>토너</t>
        </is>
      </c>
    </row>
    <row r="891">
      <c r="B891" s="6" t="inlineStr">
        <is>
          <t>T_아누아_패드_메인</t>
        </is>
      </c>
      <c r="C891" s="6" t="inlineStr">
        <is>
          <t>네이버 GFA</t>
        </is>
      </c>
      <c r="D891" s="6" t="inlineStr">
        <is>
          <t>토너패드</t>
        </is>
      </c>
    </row>
    <row r="892">
      <c r="B892" s="6" t="inlineStr">
        <is>
          <t>T_아누아_토너_메인지면</t>
        </is>
      </c>
      <c r="C892" s="6" t="inlineStr">
        <is>
          <t>네이버 GFA</t>
        </is>
      </c>
      <c r="D892" s="6" t="inlineStr">
        <is>
          <t>토너</t>
        </is>
      </c>
    </row>
    <row r="893">
      <c r="B893" s="94" t="inlineStr">
        <is>
          <t>T_아누아_패드_서브</t>
        </is>
      </c>
      <c r="C893" s="6" t="inlineStr">
        <is>
          <t>네이버 GFA</t>
        </is>
      </c>
      <c r="D893" s="6" t="inlineStr">
        <is>
          <t>토너패드</t>
        </is>
      </c>
    </row>
    <row r="894">
      <c r="B894" s="94" t="inlineStr">
        <is>
          <t>T_아누아_패드모공_메인</t>
        </is>
      </c>
      <c r="C894" s="6" t="inlineStr">
        <is>
          <t>네이버 GFA</t>
        </is>
      </c>
      <c r="D894" s="6" t="inlineStr">
        <is>
          <t>토너패드</t>
        </is>
      </c>
    </row>
    <row r="895">
      <c r="B895" s="94" t="inlineStr">
        <is>
          <t>T_아누아_토너_스마트채널</t>
        </is>
      </c>
      <c r="C895" s="6" t="inlineStr">
        <is>
          <t>네이버 GFA</t>
        </is>
      </c>
      <c r="D895" s="6" t="inlineStr">
        <is>
          <t>토너</t>
        </is>
      </c>
    </row>
    <row r="896">
      <c r="B896" s="94" t="inlineStr">
        <is>
          <t>T_아누아_토너로션_메인</t>
        </is>
      </c>
      <c r="C896" s="6" t="inlineStr">
        <is>
          <t>네이버 GFA</t>
        </is>
      </c>
      <c r="D896" s="6" t="inlineStr">
        <is>
          <t>토너</t>
        </is>
      </c>
    </row>
    <row r="897">
      <c r="B897" s="94" t="inlineStr">
        <is>
          <t>T_토너_후기형 테스트_메인</t>
        </is>
      </c>
      <c r="C897" s="6" t="inlineStr">
        <is>
          <t>네이버 GFA</t>
        </is>
      </c>
      <c r="D897" s="6" t="inlineStr">
        <is>
          <t>토너</t>
        </is>
      </c>
    </row>
    <row r="898">
      <c r="B898" s="94" t="inlineStr">
        <is>
          <t>T_토너_키워드테스트_메인</t>
        </is>
      </c>
      <c r="C898" s="6" t="inlineStr">
        <is>
          <t>네이버 GFA</t>
        </is>
      </c>
      <c r="D898" s="6" t="inlineStr">
        <is>
          <t>토너</t>
        </is>
      </c>
    </row>
    <row r="899">
      <c r="B899" s="94" t="inlineStr">
        <is>
          <t>아누아_77%패드_청소년관심사_메인</t>
        </is>
      </c>
      <c r="C899" s="6" t="inlineStr">
        <is>
          <t>네이버 GFA</t>
        </is>
      </c>
      <c r="D899" s="6" t="inlineStr">
        <is>
          <t>토너패드</t>
        </is>
      </c>
    </row>
    <row r="900">
      <c r="B900" s="94" t="inlineStr">
        <is>
          <t>T_토너_테스트</t>
        </is>
      </c>
      <c r="C900" s="6" t="inlineStr">
        <is>
          <t>네이버 GFA</t>
        </is>
      </c>
      <c r="D900" s="6" t="inlineStr">
        <is>
          <t>토너</t>
        </is>
      </c>
    </row>
    <row r="901">
      <c r="B901" s="94" t="inlineStr">
        <is>
          <t>토너_메인_기존소재</t>
        </is>
      </c>
      <c r="C901" s="6" t="inlineStr">
        <is>
          <t>네이버 GFA</t>
        </is>
      </c>
      <c r="D901" s="6" t="inlineStr">
        <is>
          <t>토너</t>
        </is>
      </c>
    </row>
    <row r="902">
      <c r="B902" s="94" t="inlineStr">
        <is>
          <t>T_토너_테스트_여드름 서브지면</t>
        </is>
      </c>
      <c r="C902" s="6" t="inlineStr">
        <is>
          <t>네이버 GFA</t>
        </is>
      </c>
      <c r="D902" s="6" t="inlineStr">
        <is>
          <t>토너</t>
        </is>
      </c>
    </row>
    <row r="903">
      <c r="B903" s="94" t="inlineStr">
        <is>
          <t>T_토너_구매의도테스트</t>
        </is>
      </c>
      <c r="C903" s="6" t="inlineStr">
        <is>
          <t>네이버 GFA</t>
        </is>
      </c>
      <c r="D903" s="6" t="inlineStr">
        <is>
          <t>토너</t>
        </is>
      </c>
    </row>
    <row r="904">
      <c r="B904" s="94" t="inlineStr">
        <is>
          <t>아누아_77%패드_신규소구점테스트</t>
        </is>
      </c>
      <c r="C904" s="6" t="inlineStr">
        <is>
          <t>네이버 GFA</t>
        </is>
      </c>
      <c r="D904" s="6" t="inlineStr">
        <is>
          <t>토너패드</t>
        </is>
      </c>
    </row>
    <row r="905">
      <c r="B905" s="94" t="inlineStr">
        <is>
          <t>올리브영 랜딩</t>
        </is>
      </c>
      <c r="C905" s="6" t="inlineStr">
        <is>
          <t>네이버 GFA</t>
        </is>
      </c>
      <c r="D905" s="6" t="inlineStr">
        <is>
          <t>토너</t>
        </is>
      </c>
    </row>
    <row r="906">
      <c r="B906" s="94" t="inlineStr">
        <is>
          <t>패드_신규소구점테스트_메인</t>
        </is>
      </c>
      <c r="C906" s="6" t="inlineStr">
        <is>
          <t>네이버 GFA</t>
        </is>
      </c>
      <c r="D906" s="6" t="inlineStr">
        <is>
          <t>토너패드</t>
        </is>
      </c>
    </row>
    <row r="907">
      <c r="B907" s="94" t="inlineStr">
        <is>
          <t>패드_청소년관심사_메인</t>
        </is>
      </c>
      <c r="C907" s="6" t="inlineStr">
        <is>
          <t>네이버 GFA</t>
        </is>
      </c>
      <c r="D907" s="6" t="inlineStr">
        <is>
          <t>토너패드</t>
        </is>
      </c>
    </row>
    <row r="908">
      <c r="B908" s="94" t="inlineStr">
        <is>
          <t>패드_메인</t>
        </is>
      </c>
      <c r="C908" s="6" t="inlineStr">
        <is>
          <t>네이버 GFA</t>
        </is>
      </c>
      <c r="D908" s="6" t="inlineStr">
        <is>
          <t>토너패드</t>
        </is>
      </c>
    </row>
    <row r="909"/>
    <row r="910"/>
    <row r="911"/>
    <row r="912"/>
    <row r="913"/>
    <row r="914"/>
    <row r="915"/>
    <row r="916"/>
    <row r="917"/>
    <row r="918">
      <c r="B918" s="94" t="inlineStr">
        <is>
          <t>아누아_쇼핑박스</t>
        </is>
      </c>
      <c r="C918" s="128" t="inlineStr">
        <is>
          <t>네이버 쇼핑박스</t>
        </is>
      </c>
      <c r="D918" s="6" t="inlineStr">
        <is>
          <t>토너패드</t>
        </is>
      </c>
    </row>
  </sheetData>
  <autoFilter ref="B1:K780">
    <filterColumn colId="0">
      <filters>
        <filter val="W컨셉"/>
        <filter val="굿닥"/>
        <filter val="글로우데이즈 시코르"/>
        <filter val="랄라블라"/>
        <filter val="스타일쉐어"/>
        <filter val="아누아 CS"/>
        <filter val="카페24"/>
        <filter val="화해"/>
      </filters>
    </filterColumn>
  </autoFilter>
  <pageMargins left="0.7" right="0.7" top="0.75" bottom="0.75" header="0.3" footer="0.3"/>
  <pageSetup orientation="portrait" paperSize="9"/>
</worksheet>
</file>

<file path=xl/worksheets/sheet7.xml><?xml version="1.0" encoding="utf-8"?>
<worksheet xmlns:r="http://schemas.openxmlformats.org/officeDocument/2006/relationships" xmlns="http://schemas.openxmlformats.org/spreadsheetml/2006/main">
  <sheetPr filterMode="1">
    <tabColor theme="0" tint="-0.3499862666707358"/>
    <outlinePr summaryBelow="1" summaryRight="1"/>
    <pageSetUpPr/>
  </sheetPr>
  <dimension ref="A1:Q15143"/>
  <sheetViews>
    <sheetView zoomScale="70" zoomScaleNormal="70" workbookViewId="0">
      <pane ySplit="1" topLeftCell="A14974" activePane="bottomLeft" state="frozen"/>
      <selection pane="bottomLeft" activeCell="F14957" sqref="F14957:G14958"/>
    </sheetView>
  </sheetViews>
  <sheetFormatPr baseColWidth="8" defaultRowHeight="17.4"/>
  <cols>
    <col width="29.3984375" customWidth="1" style="93" min="1" max="1"/>
    <col width="11.09765625" customWidth="1" style="93" min="2" max="2"/>
    <col width="9.8984375" customWidth="1" style="93" min="3" max="3"/>
    <col width="15.09765625" customWidth="1" style="93" min="4" max="4"/>
    <col width="19" bestFit="1" customWidth="1" style="93" min="5" max="5"/>
    <col width="14.59765625" customWidth="1" style="93" min="6" max="6"/>
    <col width="67.59765625" bestFit="1" customWidth="1" style="93" min="7" max="7"/>
    <col width="9.69921875" customWidth="1" style="93" min="8" max="9"/>
    <col width="16.5" customWidth="1" style="93" min="10" max="10"/>
    <col width="16.59765625" customWidth="1" style="93" min="11" max="11"/>
    <col width="9.69921875" customWidth="1" style="93" min="12" max="12"/>
    <col width="18" customWidth="1" style="93" min="13" max="13"/>
    <col width="18.19921875" customWidth="1" style="93" min="14" max="14"/>
    <col width="18.69921875" customWidth="1" style="94" min="16" max="16"/>
  </cols>
  <sheetData>
    <row r="1">
      <c r="B1" s="91" t="inlineStr">
        <is>
          <t>일자</t>
        </is>
      </c>
      <c r="C1" s="91" t="inlineStr">
        <is>
          <t>요일</t>
        </is>
      </c>
      <c r="D1" s="94" t="inlineStr">
        <is>
          <t>미디어</t>
        </is>
      </c>
      <c r="E1" s="91" t="inlineStr">
        <is>
          <t>상품1</t>
        </is>
      </c>
      <c r="F1" s="91" t="inlineStr">
        <is>
          <t>채널</t>
        </is>
      </c>
      <c r="G1" s="91" t="inlineStr">
        <is>
          <t>상품2</t>
        </is>
      </c>
      <c r="H1" s="91" t="inlineStr">
        <is>
          <t>구분(수수료)</t>
        </is>
      </c>
      <c r="I1" s="91" t="inlineStr">
        <is>
          <t>구분(원가)</t>
        </is>
      </c>
      <c r="J1" s="94" t="inlineStr">
        <is>
          <t>광고비(VAT미포함)</t>
        </is>
      </c>
      <c r="K1" s="91" t="inlineStr">
        <is>
          <t>판매수량</t>
        </is>
      </c>
      <c r="L1" s="91" t="inlineStr">
        <is>
          <t>구분(판매가)</t>
        </is>
      </c>
      <c r="M1" s="91" t="inlineStr">
        <is>
          <t>판매액</t>
        </is>
      </c>
      <c r="N1" s="91" t="inlineStr">
        <is>
          <t>판매액(수수료제외)</t>
        </is>
      </c>
      <c r="O1" s="91" t="inlineStr">
        <is>
          <t>원가</t>
        </is>
      </c>
      <c r="P1" s="91" t="inlineStr">
        <is>
          <t>판매액(VAT미포함)</t>
        </is>
      </c>
      <c r="Q1" s="91" t="inlineStr">
        <is>
          <t>매칭</t>
        </is>
      </c>
    </row>
    <row r="2" customFormat="1" s="94">
      <c r="B2" s="128" t="n">
        <v>43762</v>
      </c>
      <c r="C2" s="94">
        <f>TEXT(B2,"aaa")</f>
        <v/>
      </c>
      <c r="D2" s="94" t="inlineStr">
        <is>
          <t>카카오광고</t>
        </is>
      </c>
      <c r="E2" s="94" t="inlineStr">
        <is>
          <t>토너</t>
        </is>
      </c>
      <c r="J2" s="129" t="n">
        <v>52249.99999999999</v>
      </c>
    </row>
    <row r="3" customFormat="1" s="94">
      <c r="B3" s="128" t="n">
        <v>43768</v>
      </c>
      <c r="C3" s="94">
        <f>TEXT(B3,"aaa")</f>
        <v/>
      </c>
      <c r="D3" s="94" t="inlineStr">
        <is>
          <t>카카오광고</t>
        </is>
      </c>
      <c r="E3" s="94" t="inlineStr">
        <is>
          <t>토너</t>
        </is>
      </c>
      <c r="J3" s="129" t="n">
        <v>127120</v>
      </c>
    </row>
    <row r="4" customFormat="1" s="94">
      <c r="B4" s="128" t="n">
        <v>43769</v>
      </c>
      <c r="C4" s="94">
        <f>TEXT(B4,"aaa")</f>
        <v/>
      </c>
      <c r="D4" s="94" t="inlineStr">
        <is>
          <t>카카오광고</t>
        </is>
      </c>
      <c r="E4" s="94" t="inlineStr">
        <is>
          <t>토너</t>
        </is>
      </c>
      <c r="J4" s="129" t="n">
        <v>101030</v>
      </c>
    </row>
    <row r="5" customFormat="1" s="94">
      <c r="B5" s="128" t="n">
        <v>43770</v>
      </c>
      <c r="C5" s="94">
        <f>TEXT(B5,"aaa")</f>
        <v/>
      </c>
      <c r="D5" s="94" t="inlineStr">
        <is>
          <t>카카오광고</t>
        </is>
      </c>
      <c r="E5" s="94" t="inlineStr">
        <is>
          <t>토너</t>
        </is>
      </c>
      <c r="J5" s="129" t="n">
        <v>114860</v>
      </c>
    </row>
    <row r="6" hidden="1" customFormat="1" s="94">
      <c r="B6" s="128" t="n">
        <v>43745</v>
      </c>
      <c r="C6" s="94" t="inlineStr">
        <is>
          <t>월</t>
        </is>
      </c>
      <c r="D6" s="94" t="inlineStr">
        <is>
          <t>네이버 쇼핑검색</t>
        </is>
      </c>
      <c r="E6" s="94" t="inlineStr">
        <is>
          <t>토너</t>
        </is>
      </c>
      <c r="J6" s="129" t="n">
        <v>749.9999999999999</v>
      </c>
    </row>
    <row r="7" hidden="1" customFormat="1" s="94">
      <c r="B7" s="128" t="n">
        <v>43746</v>
      </c>
      <c r="C7" s="94" t="inlineStr">
        <is>
          <t>화</t>
        </is>
      </c>
      <c r="D7" s="94" t="inlineStr">
        <is>
          <t>네이버 쇼핑검색</t>
        </is>
      </c>
      <c r="E7" s="94" t="inlineStr">
        <is>
          <t>토너</t>
        </is>
      </c>
      <c r="J7" s="129" t="n">
        <v>499.9999999999999</v>
      </c>
    </row>
    <row r="8" hidden="1" customFormat="1" s="94">
      <c r="B8" s="128" t="n">
        <v>43747</v>
      </c>
      <c r="C8" s="94">
        <f>TEXT(B8,"aaa")</f>
        <v/>
      </c>
      <c r="D8" s="94" t="inlineStr">
        <is>
          <t>네이버 쇼핑검색</t>
        </is>
      </c>
      <c r="E8" s="94" t="inlineStr">
        <is>
          <t>토너</t>
        </is>
      </c>
      <c r="J8" s="129" t="n">
        <v>2560</v>
      </c>
    </row>
    <row r="9" hidden="1" customFormat="1" s="94">
      <c r="B9" s="128" t="n">
        <v>43749</v>
      </c>
      <c r="C9" s="94" t="inlineStr">
        <is>
          <t>금</t>
        </is>
      </c>
      <c r="D9" s="94" t="inlineStr">
        <is>
          <t>네이버 쇼핑검색</t>
        </is>
      </c>
      <c r="E9" s="94" t="inlineStr">
        <is>
          <t>토너</t>
        </is>
      </c>
      <c r="J9" s="129" t="n">
        <v>4650</v>
      </c>
    </row>
    <row r="10" hidden="1" customFormat="1" s="94">
      <c r="B10" s="128" t="n">
        <v>43750</v>
      </c>
      <c r="C10" s="94" t="inlineStr">
        <is>
          <t>토</t>
        </is>
      </c>
      <c r="D10" s="94" t="inlineStr">
        <is>
          <t>네이버 쇼핑검색</t>
        </is>
      </c>
      <c r="E10" s="94" t="inlineStr">
        <is>
          <t>토너</t>
        </is>
      </c>
      <c r="J10" s="129" t="n">
        <v>4350</v>
      </c>
    </row>
    <row r="11" hidden="1" customFormat="1" s="94">
      <c r="B11" s="128" t="n">
        <v>43751</v>
      </c>
      <c r="C11" s="94" t="inlineStr">
        <is>
          <t>일</t>
        </is>
      </c>
      <c r="D11" s="94" t="inlineStr">
        <is>
          <t>네이버 쇼핑검색</t>
        </is>
      </c>
      <c r="E11" s="94" t="inlineStr">
        <is>
          <t>토너</t>
        </is>
      </c>
      <c r="J11" s="129" t="n">
        <v>5400</v>
      </c>
    </row>
    <row r="12" hidden="1" customFormat="1" s="94">
      <c r="B12" s="128" t="n">
        <v>43752</v>
      </c>
      <c r="C12" s="94" t="inlineStr">
        <is>
          <t>월</t>
        </is>
      </c>
      <c r="D12" s="94" t="inlineStr">
        <is>
          <t>네이버 쇼핑검색</t>
        </is>
      </c>
      <c r="E12" s="94" t="inlineStr">
        <is>
          <t>토너</t>
        </is>
      </c>
      <c r="J12" s="129" t="n">
        <v>4980</v>
      </c>
    </row>
    <row r="13" hidden="1" customFormat="1" s="94">
      <c r="B13" s="128" t="n">
        <v>43753</v>
      </c>
      <c r="C13" s="94" t="inlineStr">
        <is>
          <t>화</t>
        </is>
      </c>
      <c r="D13" s="94" t="inlineStr">
        <is>
          <t>네이버 쇼핑검색</t>
        </is>
      </c>
      <c r="E13" s="94" t="inlineStr">
        <is>
          <t>토너</t>
        </is>
      </c>
      <c r="J13" s="129" t="n">
        <v>3910</v>
      </c>
    </row>
    <row r="14" hidden="1" customFormat="1" s="94">
      <c r="B14" s="128" t="n">
        <v>43754</v>
      </c>
      <c r="C14" s="94" t="inlineStr">
        <is>
          <t>수</t>
        </is>
      </c>
      <c r="D14" s="94" t="inlineStr">
        <is>
          <t>네이버 쇼핑검색</t>
        </is>
      </c>
      <c r="E14" s="94" t="inlineStr">
        <is>
          <t>토너</t>
        </is>
      </c>
      <c r="J14" s="129" t="n">
        <v>3060</v>
      </c>
    </row>
    <row r="15" hidden="1" customFormat="1" s="94">
      <c r="B15" s="128" t="n">
        <v>43755</v>
      </c>
      <c r="C15" s="94" t="inlineStr">
        <is>
          <t>목</t>
        </is>
      </c>
      <c r="D15" s="94" t="inlineStr">
        <is>
          <t>네이버 쇼핑검색</t>
        </is>
      </c>
      <c r="E15" s="94" t="inlineStr">
        <is>
          <t>토너</t>
        </is>
      </c>
      <c r="J15" s="129" t="n">
        <v>3400</v>
      </c>
    </row>
    <row r="16" hidden="1" customFormat="1" s="94">
      <c r="B16" s="128" t="n">
        <v>43756</v>
      </c>
      <c r="C16" s="94" t="inlineStr">
        <is>
          <t>금</t>
        </is>
      </c>
      <c r="D16" s="94" t="inlineStr">
        <is>
          <t>네이버 쇼핑검색</t>
        </is>
      </c>
      <c r="E16" s="94" t="inlineStr">
        <is>
          <t>토너</t>
        </is>
      </c>
      <c r="J16" s="129" t="n">
        <v>5300</v>
      </c>
    </row>
    <row r="17" hidden="1" customFormat="1" s="94">
      <c r="B17" s="128" t="n">
        <v>43757</v>
      </c>
      <c r="C17" s="94" t="inlineStr">
        <is>
          <t>토</t>
        </is>
      </c>
      <c r="D17" s="94" t="inlineStr">
        <is>
          <t>네이버 쇼핑검색</t>
        </is>
      </c>
      <c r="E17" s="94" t="inlineStr">
        <is>
          <t>토너</t>
        </is>
      </c>
      <c r="J17" s="129" t="n">
        <v>5280</v>
      </c>
    </row>
    <row r="18" hidden="1" customFormat="1" s="94">
      <c r="B18" s="128" t="n">
        <v>43758</v>
      </c>
      <c r="C18" s="94" t="inlineStr">
        <is>
          <t>일</t>
        </is>
      </c>
      <c r="D18" s="94" t="inlineStr">
        <is>
          <t>네이버 쇼핑검색</t>
        </is>
      </c>
      <c r="E18" s="94" t="inlineStr">
        <is>
          <t>토너</t>
        </is>
      </c>
      <c r="J18" s="129" t="n">
        <v>6079.999999999999</v>
      </c>
    </row>
    <row r="19" hidden="1" customFormat="1" s="94">
      <c r="B19" s="128" t="n">
        <v>43759</v>
      </c>
      <c r="C19" s="94" t="inlineStr">
        <is>
          <t>월</t>
        </is>
      </c>
      <c r="D19" s="94" t="inlineStr">
        <is>
          <t>네이버 쇼핑검색</t>
        </is>
      </c>
      <c r="E19" s="94" t="inlineStr">
        <is>
          <t>토너</t>
        </is>
      </c>
      <c r="J19" s="129" t="n">
        <v>3680</v>
      </c>
    </row>
    <row r="20" hidden="1" customFormat="1" s="94">
      <c r="B20" s="128" t="n">
        <v>43760</v>
      </c>
      <c r="C20" s="94" t="inlineStr">
        <is>
          <t>화</t>
        </is>
      </c>
      <c r="D20" s="94" t="inlineStr">
        <is>
          <t>네이버 쇼핑검색</t>
        </is>
      </c>
      <c r="E20" s="94" t="inlineStr">
        <is>
          <t>토너</t>
        </is>
      </c>
      <c r="J20" s="129" t="n">
        <v>4090</v>
      </c>
    </row>
    <row r="21" hidden="1" customFormat="1" s="94">
      <c r="B21" s="128" t="n">
        <v>43761</v>
      </c>
      <c r="C21" s="94" t="inlineStr">
        <is>
          <t>수</t>
        </is>
      </c>
      <c r="D21" s="94" t="inlineStr">
        <is>
          <t>네이버 쇼핑검색</t>
        </is>
      </c>
      <c r="E21" s="94" t="inlineStr">
        <is>
          <t>토너</t>
        </is>
      </c>
      <c r="J21" s="129" t="n">
        <v>4240</v>
      </c>
    </row>
    <row r="22" hidden="1" customFormat="1" s="94">
      <c r="B22" s="128" t="n">
        <v>43762</v>
      </c>
      <c r="C22" s="94" t="inlineStr">
        <is>
          <t>목</t>
        </is>
      </c>
      <c r="D22" s="94" t="inlineStr">
        <is>
          <t>네이버 쇼핑검색</t>
        </is>
      </c>
      <c r="E22" s="94" t="inlineStr">
        <is>
          <t>토너</t>
        </is>
      </c>
      <c r="J22" s="129" t="n">
        <v>3320</v>
      </c>
    </row>
    <row r="23" hidden="1" customFormat="1" s="94">
      <c r="B23" s="128" t="n">
        <v>43763</v>
      </c>
      <c r="C23" s="94" t="inlineStr">
        <is>
          <t>금</t>
        </is>
      </c>
      <c r="D23" s="94" t="inlineStr">
        <is>
          <t>네이버 쇼핑검색</t>
        </is>
      </c>
      <c r="E23" s="94" t="inlineStr">
        <is>
          <t>토너</t>
        </is>
      </c>
      <c r="J23" s="129" t="n">
        <v>4750</v>
      </c>
    </row>
    <row r="24" hidden="1" customFormat="1" s="94">
      <c r="B24" s="128" t="n">
        <v>43764</v>
      </c>
      <c r="C24" s="94" t="inlineStr">
        <is>
          <t>토</t>
        </is>
      </c>
      <c r="D24" s="94" t="inlineStr">
        <is>
          <t>네이버 쇼핑검색</t>
        </is>
      </c>
      <c r="E24" s="94" t="inlineStr">
        <is>
          <t>토너</t>
        </is>
      </c>
      <c r="J24" s="129" t="n">
        <v>3810</v>
      </c>
    </row>
    <row r="25" hidden="1" customFormat="1" s="94">
      <c r="B25" s="128" t="n">
        <v>43765</v>
      </c>
      <c r="C25" s="94" t="inlineStr">
        <is>
          <t>일</t>
        </is>
      </c>
      <c r="D25" s="94" t="inlineStr">
        <is>
          <t>네이버 쇼핑검색</t>
        </is>
      </c>
      <c r="E25" s="94" t="inlineStr">
        <is>
          <t>토너</t>
        </is>
      </c>
      <c r="J25" s="129" t="n">
        <v>4080</v>
      </c>
    </row>
    <row r="26" hidden="1" customFormat="1" s="94">
      <c r="B26" s="128" t="n">
        <v>43766</v>
      </c>
      <c r="C26" s="94" t="inlineStr">
        <is>
          <t>월</t>
        </is>
      </c>
      <c r="D26" s="94" t="inlineStr">
        <is>
          <t>네이버 쇼핑검색</t>
        </is>
      </c>
      <c r="E26" s="94" t="inlineStr">
        <is>
          <t>토너</t>
        </is>
      </c>
      <c r="J26" s="129" t="n">
        <v>3600</v>
      </c>
    </row>
    <row r="27" hidden="1" customFormat="1" s="94">
      <c r="B27" s="128" t="n">
        <v>43767</v>
      </c>
      <c r="C27" s="94" t="inlineStr">
        <is>
          <t>화</t>
        </is>
      </c>
      <c r="D27" s="94" t="inlineStr">
        <is>
          <t>네이버 쇼핑검색</t>
        </is>
      </c>
      <c r="E27" s="94" t="inlineStr">
        <is>
          <t>토너</t>
        </is>
      </c>
      <c r="J27" s="129" t="n">
        <v>2300</v>
      </c>
    </row>
    <row r="28" hidden="1" customFormat="1" s="94">
      <c r="B28" s="128" t="n">
        <v>43768</v>
      </c>
      <c r="C28" s="94" t="inlineStr">
        <is>
          <t>수</t>
        </is>
      </c>
      <c r="D28" s="94" t="inlineStr">
        <is>
          <t>네이버 쇼핑검색</t>
        </is>
      </c>
      <c r="E28" s="94" t="inlineStr">
        <is>
          <t>토너</t>
        </is>
      </c>
      <c r="J28" s="129" t="n">
        <v>2660</v>
      </c>
    </row>
    <row r="29" hidden="1" customFormat="1" s="94">
      <c r="B29" s="128" t="n">
        <v>43769</v>
      </c>
      <c r="C29" s="94" t="inlineStr">
        <is>
          <t>목</t>
        </is>
      </c>
      <c r="D29" s="94" t="inlineStr">
        <is>
          <t>네이버 쇼핑검색</t>
        </is>
      </c>
      <c r="E29" s="94" t="inlineStr">
        <is>
          <t>토너</t>
        </is>
      </c>
      <c r="J29" s="129" t="n">
        <v>2100</v>
      </c>
    </row>
    <row r="30" hidden="1" customFormat="1" s="94">
      <c r="B30" s="128" t="n">
        <v>43749</v>
      </c>
      <c r="C30" s="94" t="inlineStr">
        <is>
          <t>금</t>
        </is>
      </c>
      <c r="D30" s="94" t="inlineStr">
        <is>
          <t>네이버 브랜드검색</t>
        </is>
      </c>
      <c r="E30" s="94" t="inlineStr">
        <is>
          <t>토너</t>
        </is>
      </c>
      <c r="J30" s="129" t="n">
        <v>20000</v>
      </c>
    </row>
    <row r="31" hidden="1" customFormat="1" s="94">
      <c r="B31" s="128" t="n">
        <v>43750</v>
      </c>
      <c r="C31" s="94" t="inlineStr">
        <is>
          <t>토</t>
        </is>
      </c>
      <c r="D31" s="94" t="inlineStr">
        <is>
          <t>네이버 브랜드검색</t>
        </is>
      </c>
      <c r="E31" s="94" t="inlineStr">
        <is>
          <t>토너</t>
        </is>
      </c>
      <c r="J31" s="129" t="n">
        <v>20000</v>
      </c>
    </row>
    <row r="32" hidden="1" customFormat="1" s="94">
      <c r="B32" s="128" t="n">
        <v>43751</v>
      </c>
      <c r="C32" s="94" t="inlineStr">
        <is>
          <t>일</t>
        </is>
      </c>
      <c r="D32" s="94" t="inlineStr">
        <is>
          <t>네이버 브랜드검색</t>
        </is>
      </c>
      <c r="E32" s="94" t="inlineStr">
        <is>
          <t>토너</t>
        </is>
      </c>
      <c r="J32" s="129" t="n">
        <v>20000</v>
      </c>
    </row>
    <row r="33" hidden="1" customFormat="1" s="94">
      <c r="B33" s="128" t="n">
        <v>43752</v>
      </c>
      <c r="C33" s="94" t="inlineStr">
        <is>
          <t>월</t>
        </is>
      </c>
      <c r="D33" s="94" t="inlineStr">
        <is>
          <t>네이버 브랜드검색</t>
        </is>
      </c>
      <c r="E33" s="94" t="inlineStr">
        <is>
          <t>토너</t>
        </is>
      </c>
      <c r="J33" s="129" t="n">
        <v>20000</v>
      </c>
    </row>
    <row r="34" hidden="1" customFormat="1" s="94">
      <c r="B34" s="128" t="n">
        <v>43753</v>
      </c>
      <c r="C34" s="94" t="inlineStr">
        <is>
          <t>화</t>
        </is>
      </c>
      <c r="D34" s="94" t="inlineStr">
        <is>
          <t>네이버 브랜드검색</t>
        </is>
      </c>
      <c r="E34" s="94" t="inlineStr">
        <is>
          <t>토너</t>
        </is>
      </c>
      <c r="J34" s="129" t="n">
        <v>20000</v>
      </c>
    </row>
    <row r="35" hidden="1" customFormat="1" s="94">
      <c r="B35" s="128" t="n">
        <v>43754</v>
      </c>
      <c r="C35" s="94" t="inlineStr">
        <is>
          <t>수</t>
        </is>
      </c>
      <c r="D35" s="94" t="inlineStr">
        <is>
          <t>네이버 브랜드검색</t>
        </is>
      </c>
      <c r="E35" s="94" t="inlineStr">
        <is>
          <t>토너</t>
        </is>
      </c>
      <c r="J35" s="129" t="n">
        <v>20000</v>
      </c>
    </row>
    <row r="36" hidden="1" customFormat="1" s="94">
      <c r="B36" s="128" t="n">
        <v>43755</v>
      </c>
      <c r="C36" s="94" t="inlineStr">
        <is>
          <t>목</t>
        </is>
      </c>
      <c r="D36" s="94" t="inlineStr">
        <is>
          <t>네이버 브랜드검색</t>
        </is>
      </c>
      <c r="E36" s="94" t="inlineStr">
        <is>
          <t>토너</t>
        </is>
      </c>
      <c r="J36" s="129" t="n">
        <v>20000</v>
      </c>
    </row>
    <row r="37" hidden="1" customFormat="1" s="94">
      <c r="B37" s="128" t="n">
        <v>43756</v>
      </c>
      <c r="C37" s="94" t="inlineStr">
        <is>
          <t>금</t>
        </is>
      </c>
      <c r="D37" s="94" t="inlineStr">
        <is>
          <t>네이버 브랜드검색</t>
        </is>
      </c>
      <c r="E37" s="94" t="inlineStr">
        <is>
          <t>토너</t>
        </is>
      </c>
      <c r="J37" s="129" t="n">
        <v>20000</v>
      </c>
    </row>
    <row r="38" hidden="1" customFormat="1" s="94">
      <c r="B38" s="128" t="n">
        <v>43757</v>
      </c>
      <c r="C38" s="94" t="inlineStr">
        <is>
          <t>토</t>
        </is>
      </c>
      <c r="D38" s="94" t="inlineStr">
        <is>
          <t>네이버 브랜드검색</t>
        </is>
      </c>
      <c r="E38" s="94" t="inlineStr">
        <is>
          <t>토너</t>
        </is>
      </c>
      <c r="J38" s="129" t="n">
        <v>20000</v>
      </c>
    </row>
    <row r="39" hidden="1" customFormat="1" s="94">
      <c r="B39" s="128" t="n">
        <v>43758</v>
      </c>
      <c r="C39" s="94" t="inlineStr">
        <is>
          <t>일</t>
        </is>
      </c>
      <c r="D39" s="94" t="inlineStr">
        <is>
          <t>네이버 브랜드검색</t>
        </is>
      </c>
      <c r="E39" s="94" t="inlineStr">
        <is>
          <t>토너</t>
        </is>
      </c>
      <c r="J39" s="129" t="n">
        <v>20000</v>
      </c>
    </row>
    <row r="40" hidden="1" customFormat="1" s="94">
      <c r="B40" s="128" t="n">
        <v>43759</v>
      </c>
      <c r="C40" s="94" t="inlineStr">
        <is>
          <t>월</t>
        </is>
      </c>
      <c r="D40" s="94" t="inlineStr">
        <is>
          <t>네이버 브랜드검색</t>
        </is>
      </c>
      <c r="E40" s="94" t="inlineStr">
        <is>
          <t>토너</t>
        </is>
      </c>
      <c r="J40" s="129" t="n">
        <v>20000</v>
      </c>
    </row>
    <row r="41" hidden="1" customFormat="1" s="94">
      <c r="B41" s="128" t="n">
        <v>43760</v>
      </c>
      <c r="C41" s="94" t="inlineStr">
        <is>
          <t>화</t>
        </is>
      </c>
      <c r="D41" s="94" t="inlineStr">
        <is>
          <t>네이버 브랜드검색</t>
        </is>
      </c>
      <c r="E41" s="94" t="inlineStr">
        <is>
          <t>토너</t>
        </is>
      </c>
      <c r="J41" s="129" t="n">
        <v>20000</v>
      </c>
    </row>
    <row r="42" hidden="1" customFormat="1" s="94">
      <c r="B42" s="128" t="n">
        <v>43761</v>
      </c>
      <c r="C42" s="94" t="inlineStr">
        <is>
          <t>수</t>
        </is>
      </c>
      <c r="D42" s="94" t="inlineStr">
        <is>
          <t>네이버 브랜드검색</t>
        </is>
      </c>
      <c r="E42" s="94" t="inlineStr">
        <is>
          <t>토너</t>
        </is>
      </c>
      <c r="J42" s="129" t="n">
        <v>20000</v>
      </c>
    </row>
    <row r="43" hidden="1" customFormat="1" s="94">
      <c r="B43" s="128" t="n">
        <v>43762</v>
      </c>
      <c r="C43" s="94" t="inlineStr">
        <is>
          <t>목</t>
        </is>
      </c>
      <c r="D43" s="94" t="inlineStr">
        <is>
          <t>네이버 브랜드검색</t>
        </is>
      </c>
      <c r="E43" s="94" t="inlineStr">
        <is>
          <t>토너</t>
        </is>
      </c>
      <c r="J43" s="129" t="n">
        <v>20000</v>
      </c>
    </row>
    <row r="44" hidden="1" customFormat="1" s="94">
      <c r="B44" s="128" t="n">
        <v>43763</v>
      </c>
      <c r="C44" s="94" t="inlineStr">
        <is>
          <t>금</t>
        </is>
      </c>
      <c r="D44" s="94" t="inlineStr">
        <is>
          <t>네이버 브랜드검색</t>
        </is>
      </c>
      <c r="E44" s="94" t="inlineStr">
        <is>
          <t>토너</t>
        </is>
      </c>
      <c r="J44" s="129" t="n">
        <v>20000</v>
      </c>
    </row>
    <row r="45" hidden="1" customFormat="1" s="94">
      <c r="B45" s="128" t="n">
        <v>43764</v>
      </c>
      <c r="C45" s="94" t="inlineStr">
        <is>
          <t>토</t>
        </is>
      </c>
      <c r="D45" s="94" t="inlineStr">
        <is>
          <t>네이버 브랜드검색</t>
        </is>
      </c>
      <c r="E45" s="94" t="inlineStr">
        <is>
          <t>토너</t>
        </is>
      </c>
      <c r="J45" s="129" t="n">
        <v>20000</v>
      </c>
    </row>
    <row r="46" hidden="1" customFormat="1" s="94">
      <c r="B46" s="128" t="n">
        <v>43765</v>
      </c>
      <c r="C46" s="94" t="inlineStr">
        <is>
          <t>일</t>
        </is>
      </c>
      <c r="D46" s="94" t="inlineStr">
        <is>
          <t>네이버 브랜드검색</t>
        </is>
      </c>
      <c r="E46" s="94" t="inlineStr">
        <is>
          <t>토너</t>
        </is>
      </c>
      <c r="J46" s="129" t="n">
        <v>20000</v>
      </c>
    </row>
    <row r="47" hidden="1" customFormat="1" s="94">
      <c r="B47" s="128" t="n">
        <v>43766</v>
      </c>
      <c r="C47" s="94" t="inlineStr">
        <is>
          <t>월</t>
        </is>
      </c>
      <c r="D47" s="94" t="inlineStr">
        <is>
          <t>네이버 브랜드검색</t>
        </is>
      </c>
      <c r="E47" s="94" t="inlineStr">
        <is>
          <t>토너</t>
        </is>
      </c>
      <c r="J47" s="129" t="n">
        <v>20000</v>
      </c>
    </row>
    <row r="48" hidden="1" customFormat="1" s="94">
      <c r="B48" s="128" t="n">
        <v>43767</v>
      </c>
      <c r="C48" s="94" t="inlineStr">
        <is>
          <t>화</t>
        </is>
      </c>
      <c r="D48" s="94" t="inlineStr">
        <is>
          <t>네이버 브랜드검색</t>
        </is>
      </c>
      <c r="E48" s="94" t="inlineStr">
        <is>
          <t>토너</t>
        </is>
      </c>
      <c r="J48" s="129" t="n">
        <v>20000</v>
      </c>
    </row>
    <row r="49" hidden="1" customFormat="1" s="94">
      <c r="B49" s="128" t="n">
        <v>43768</v>
      </c>
      <c r="C49" s="94" t="inlineStr">
        <is>
          <t>수</t>
        </is>
      </c>
      <c r="D49" s="94" t="inlineStr">
        <is>
          <t>네이버 브랜드검색</t>
        </is>
      </c>
      <c r="E49" s="94" t="inlineStr">
        <is>
          <t>토너</t>
        </is>
      </c>
      <c r="J49" s="129" t="n">
        <v>20000</v>
      </c>
    </row>
    <row r="50" hidden="1" customFormat="1" s="94">
      <c r="B50" s="128" t="n">
        <v>43769</v>
      </c>
      <c r="C50" s="94" t="inlineStr">
        <is>
          <t>목</t>
        </is>
      </c>
      <c r="D50" s="94" t="inlineStr">
        <is>
          <t>네이버 브랜드검색</t>
        </is>
      </c>
      <c r="E50" s="94" t="inlineStr">
        <is>
          <t>토너</t>
        </is>
      </c>
      <c r="J50" s="129" t="n">
        <v>20000</v>
      </c>
    </row>
    <row r="51" hidden="1" customFormat="1" s="94">
      <c r="B51" s="128" t="n">
        <v>43763</v>
      </c>
      <c r="C51" s="94">
        <f>TEXT(B51,"aaa")</f>
        <v/>
      </c>
      <c r="D51" s="94" t="inlineStr">
        <is>
          <t>인스타그램(랄라블라)</t>
        </is>
      </c>
      <c r="E51" s="94" t="inlineStr">
        <is>
          <t>토너</t>
        </is>
      </c>
      <c r="J51" s="129" t="n">
        <v>55923</v>
      </c>
    </row>
    <row r="52" hidden="1" customFormat="1" s="94">
      <c r="B52" s="128" t="n">
        <v>43764</v>
      </c>
      <c r="C52" s="94">
        <f>TEXT(B52,"aaa")</f>
        <v/>
      </c>
      <c r="D52" s="94" t="inlineStr">
        <is>
          <t>인스타그램(랄라블라)</t>
        </is>
      </c>
      <c r="E52" s="94" t="inlineStr">
        <is>
          <t>토너</t>
        </is>
      </c>
      <c r="J52" s="129" t="n">
        <v>57647</v>
      </c>
    </row>
    <row r="53" hidden="1" customFormat="1" s="94">
      <c r="B53" s="128" t="n">
        <v>43765</v>
      </c>
      <c r="C53" s="94">
        <f>TEXT(B53,"aaa")</f>
        <v/>
      </c>
      <c r="D53" s="94" t="inlineStr">
        <is>
          <t>인스타그램(랄라블라)</t>
        </is>
      </c>
      <c r="E53" s="94" t="inlineStr">
        <is>
          <t>토너</t>
        </is>
      </c>
      <c r="J53" s="129" t="n">
        <v>50514</v>
      </c>
    </row>
    <row r="54" hidden="1" customFormat="1" s="94">
      <c r="B54" s="128" t="n">
        <v>43766</v>
      </c>
      <c r="C54" s="94">
        <f>TEXT(B54,"aaa")</f>
        <v/>
      </c>
      <c r="D54" s="94" t="inlineStr">
        <is>
          <t>인스타그램(랄라블라)</t>
        </is>
      </c>
      <c r="E54" s="94" t="inlineStr">
        <is>
          <t>토너</t>
        </is>
      </c>
      <c r="J54" s="129" t="n">
        <v>46315</v>
      </c>
    </row>
    <row r="55" hidden="1" customFormat="1" s="94">
      <c r="B55" s="128" t="n">
        <v>43767</v>
      </c>
      <c r="C55" s="94">
        <f>TEXT(B55,"aaa")</f>
        <v/>
      </c>
      <c r="D55" s="94" t="inlineStr">
        <is>
          <t>인스타그램(랄라블라)</t>
        </is>
      </c>
      <c r="E55" s="94" t="inlineStr">
        <is>
          <t>토너</t>
        </is>
      </c>
      <c r="J55" s="129" t="n">
        <v>46910</v>
      </c>
    </row>
    <row r="56" hidden="1" customFormat="1" s="94">
      <c r="B56" s="128" t="n">
        <v>43768</v>
      </c>
      <c r="C56" s="94">
        <f>TEXT(B56,"aaa")</f>
        <v/>
      </c>
      <c r="D56" s="94" t="inlineStr">
        <is>
          <t>인스타그램(랄라블라)</t>
        </is>
      </c>
      <c r="E56" s="94" t="inlineStr">
        <is>
          <t>토너</t>
        </is>
      </c>
      <c r="J56" s="129" t="n">
        <v>49688</v>
      </c>
    </row>
    <row r="57" hidden="1" customFormat="1" s="94">
      <c r="B57" s="128" t="n">
        <v>43769</v>
      </c>
      <c r="C57" s="94">
        <f>TEXT(B57,"aaa")</f>
        <v/>
      </c>
      <c r="D57" s="94" t="inlineStr">
        <is>
          <t>인스타그램(랄라블라)</t>
        </is>
      </c>
      <c r="E57" s="94" t="inlineStr">
        <is>
          <t>토너</t>
        </is>
      </c>
      <c r="J57" s="129" t="n">
        <v>52405</v>
      </c>
    </row>
    <row r="58" hidden="1" customFormat="1" s="94">
      <c r="B58" s="128" t="n">
        <v>43739</v>
      </c>
      <c r="C58" s="94">
        <f>TEXT(B58,"aaa")</f>
        <v/>
      </c>
      <c r="D58" s="94" t="inlineStr">
        <is>
          <t>인스타그램(전환)</t>
        </is>
      </c>
      <c r="E58" s="94" t="inlineStr">
        <is>
          <t>토너</t>
        </is>
      </c>
      <c r="J58" s="129" t="n">
        <v>962876</v>
      </c>
    </row>
    <row r="59" hidden="1" customFormat="1" s="94">
      <c r="B59" s="128" t="n">
        <v>43740</v>
      </c>
      <c r="C59" s="94">
        <f>TEXT(B59,"aaa")</f>
        <v/>
      </c>
      <c r="D59" s="94" t="inlineStr">
        <is>
          <t>인스타그램(전환)</t>
        </is>
      </c>
      <c r="E59" s="94" t="inlineStr">
        <is>
          <t>토너</t>
        </is>
      </c>
      <c r="J59" s="129" t="n">
        <v>952678</v>
      </c>
    </row>
    <row r="60" hidden="1" customFormat="1" s="94">
      <c r="B60" s="128" t="n">
        <v>43741</v>
      </c>
      <c r="C60" s="94">
        <f>TEXT(B60,"aaa")</f>
        <v/>
      </c>
      <c r="D60" s="94" t="inlineStr">
        <is>
          <t>인스타그램(전환)</t>
        </is>
      </c>
      <c r="E60" s="94" t="inlineStr">
        <is>
          <t>토너</t>
        </is>
      </c>
      <c r="J60" s="129" t="n">
        <v>848492</v>
      </c>
    </row>
    <row r="61" hidden="1" customFormat="1" s="94">
      <c r="B61" s="128" t="n">
        <v>43742</v>
      </c>
      <c r="C61" s="94">
        <f>TEXT(B61,"aaa")</f>
        <v/>
      </c>
      <c r="D61" s="94" t="inlineStr">
        <is>
          <t>인스타그램(전환)</t>
        </is>
      </c>
      <c r="E61" s="94" t="inlineStr">
        <is>
          <t>토너</t>
        </is>
      </c>
      <c r="J61" s="129" t="n">
        <v>658633</v>
      </c>
    </row>
    <row r="62" hidden="1" customFormat="1" s="94">
      <c r="B62" s="128" t="n">
        <v>43743</v>
      </c>
      <c r="C62" s="94">
        <f>TEXT(B62,"aaa")</f>
        <v/>
      </c>
      <c r="D62" s="94" t="inlineStr">
        <is>
          <t>인스타그램(전환)</t>
        </is>
      </c>
      <c r="E62" s="94" t="inlineStr">
        <is>
          <t>토너</t>
        </is>
      </c>
      <c r="J62" s="129" t="n">
        <v>715729</v>
      </c>
    </row>
    <row r="63" hidden="1" customFormat="1" s="94">
      <c r="B63" s="128" t="n">
        <v>43744</v>
      </c>
      <c r="C63" s="94">
        <f>TEXT(B63,"aaa")</f>
        <v/>
      </c>
      <c r="D63" s="94" t="inlineStr">
        <is>
          <t>인스타그램(전환)</t>
        </is>
      </c>
      <c r="E63" s="94" t="inlineStr">
        <is>
          <t>토너</t>
        </is>
      </c>
      <c r="J63" s="129" t="n">
        <v>701516</v>
      </c>
    </row>
    <row r="64" hidden="1" customFormat="1" s="94">
      <c r="B64" s="128" t="n">
        <v>43745</v>
      </c>
      <c r="C64" s="94">
        <f>TEXT(B64,"aaa")</f>
        <v/>
      </c>
      <c r="D64" s="94" t="inlineStr">
        <is>
          <t>인스타그램(전환)</t>
        </is>
      </c>
      <c r="E64" s="94" t="inlineStr">
        <is>
          <t>토너</t>
        </is>
      </c>
      <c r="J64" s="129" t="n">
        <v>679664</v>
      </c>
    </row>
    <row r="65" hidden="1" customFormat="1" s="94">
      <c r="B65" s="128" t="n">
        <v>43746</v>
      </c>
      <c r="C65" s="94">
        <f>TEXT(B65,"aaa")</f>
        <v/>
      </c>
      <c r="D65" s="94" t="inlineStr">
        <is>
          <t>인스타그램(전환)</t>
        </is>
      </c>
      <c r="E65" s="94" t="inlineStr">
        <is>
          <t>토너</t>
        </is>
      </c>
      <c r="J65" s="129" t="n">
        <v>680421</v>
      </c>
    </row>
    <row r="66" hidden="1" customFormat="1" s="94">
      <c r="B66" s="128" t="n">
        <v>43747</v>
      </c>
      <c r="C66" s="94">
        <f>TEXT(B66,"aaa")</f>
        <v/>
      </c>
      <c r="D66" s="94" t="inlineStr">
        <is>
          <t>인스타그램(전환)</t>
        </is>
      </c>
      <c r="E66" s="94" t="inlineStr">
        <is>
          <t>토너</t>
        </is>
      </c>
      <c r="J66" s="129" t="n">
        <v>711011</v>
      </c>
    </row>
    <row r="67" hidden="1" customFormat="1" s="94">
      <c r="B67" s="128" t="n">
        <v>43748</v>
      </c>
      <c r="C67" s="94">
        <f>TEXT(B67,"aaa")</f>
        <v/>
      </c>
      <c r="D67" s="94" t="inlineStr">
        <is>
          <t>인스타그램(전환)</t>
        </is>
      </c>
      <c r="E67" s="94" t="inlineStr">
        <is>
          <t>토너</t>
        </is>
      </c>
      <c r="J67" s="129" t="n">
        <v>801407</v>
      </c>
    </row>
    <row r="68" hidden="1" customFormat="1" s="94">
      <c r="B68" s="128" t="n">
        <v>43749</v>
      </c>
      <c r="C68" s="94">
        <f>TEXT(B68,"aaa")</f>
        <v/>
      </c>
      <c r="D68" s="94" t="inlineStr">
        <is>
          <t>인스타그램(전환)</t>
        </is>
      </c>
      <c r="E68" s="94" t="inlineStr">
        <is>
          <t>토너</t>
        </is>
      </c>
      <c r="J68" s="129" t="n">
        <v>839323</v>
      </c>
    </row>
    <row r="69" hidden="1" customFormat="1" s="94">
      <c r="B69" s="128" t="n">
        <v>43750</v>
      </c>
      <c r="C69" s="94">
        <f>TEXT(B69,"aaa")</f>
        <v/>
      </c>
      <c r="D69" s="94" t="inlineStr">
        <is>
          <t>인스타그램(전환)</t>
        </is>
      </c>
      <c r="E69" s="94" t="inlineStr">
        <is>
          <t>토너</t>
        </is>
      </c>
      <c r="J69" s="129" t="n">
        <v>888039</v>
      </c>
    </row>
    <row r="70" hidden="1" customFormat="1" s="94">
      <c r="B70" s="128" t="n">
        <v>43751</v>
      </c>
      <c r="C70" s="94">
        <f>TEXT(B70,"aaa")</f>
        <v/>
      </c>
      <c r="D70" s="94" t="inlineStr">
        <is>
          <t>인스타그램(전환)</t>
        </is>
      </c>
      <c r="E70" s="94" t="inlineStr">
        <is>
          <t>토너</t>
        </is>
      </c>
      <c r="J70" s="129" t="n">
        <v>991477</v>
      </c>
    </row>
    <row r="71" hidden="1" customFormat="1" s="94">
      <c r="B71" s="128" t="n">
        <v>43752</v>
      </c>
      <c r="C71" s="94">
        <f>TEXT(B71,"aaa")</f>
        <v/>
      </c>
      <c r="D71" s="94" t="inlineStr">
        <is>
          <t>인스타그램(전환)</t>
        </is>
      </c>
      <c r="E71" s="94" t="inlineStr">
        <is>
          <t>토너</t>
        </is>
      </c>
      <c r="J71" s="129" t="n">
        <v>1448244</v>
      </c>
    </row>
    <row r="72" hidden="1" customFormat="1" s="94">
      <c r="B72" s="128" t="n">
        <v>43753</v>
      </c>
      <c r="C72" s="94">
        <f>TEXT(B72,"aaa")</f>
        <v/>
      </c>
      <c r="D72" s="94" t="inlineStr">
        <is>
          <t>인스타그램(전환)</t>
        </is>
      </c>
      <c r="E72" s="94" t="inlineStr">
        <is>
          <t>토너</t>
        </is>
      </c>
      <c r="J72" s="129" t="n">
        <v>1095944</v>
      </c>
    </row>
    <row r="73" hidden="1" customFormat="1" s="94">
      <c r="B73" s="128" t="n">
        <v>43754</v>
      </c>
      <c r="C73" s="94">
        <f>TEXT(B73,"aaa")</f>
        <v/>
      </c>
      <c r="D73" s="94" t="inlineStr">
        <is>
          <t>인스타그램(전환)</t>
        </is>
      </c>
      <c r="E73" s="94" t="inlineStr">
        <is>
          <t>토너</t>
        </is>
      </c>
      <c r="J73" s="129" t="n">
        <v>1062483</v>
      </c>
    </row>
    <row r="74" hidden="1" customFormat="1" s="94">
      <c r="B74" s="128" t="n">
        <v>43755</v>
      </c>
      <c r="C74" s="94">
        <f>TEXT(B74,"aaa")</f>
        <v/>
      </c>
      <c r="D74" s="94" t="inlineStr">
        <is>
          <t>인스타그램(전환)</t>
        </is>
      </c>
      <c r="E74" s="94" t="inlineStr">
        <is>
          <t>토너</t>
        </is>
      </c>
      <c r="J74" s="129" t="n">
        <v>1231696</v>
      </c>
    </row>
    <row r="75" hidden="1" customFormat="1" s="94">
      <c r="B75" s="128" t="n">
        <v>43756</v>
      </c>
      <c r="C75" s="94">
        <f>TEXT(B75,"aaa")</f>
        <v/>
      </c>
      <c r="D75" s="94" t="inlineStr">
        <is>
          <t>인스타그램(전환)</t>
        </is>
      </c>
      <c r="E75" s="94" t="inlineStr">
        <is>
          <t>토너</t>
        </is>
      </c>
      <c r="J75" s="129" t="n">
        <v>1242437</v>
      </c>
    </row>
    <row r="76" hidden="1" customFormat="1" s="94">
      <c r="B76" s="128" t="n">
        <v>43757</v>
      </c>
      <c r="C76" s="94">
        <f>TEXT(B76,"aaa")</f>
        <v/>
      </c>
      <c r="D76" s="94" t="inlineStr">
        <is>
          <t>인스타그램(전환)</t>
        </is>
      </c>
      <c r="E76" s="94" t="inlineStr">
        <is>
          <t>토너</t>
        </is>
      </c>
      <c r="J76" s="129" t="n">
        <v>1327349</v>
      </c>
    </row>
    <row r="77" hidden="1" customFormat="1" s="94">
      <c r="B77" s="128" t="n">
        <v>43758</v>
      </c>
      <c r="C77" s="94">
        <f>TEXT(B77,"aaa")</f>
        <v/>
      </c>
      <c r="D77" s="94" t="inlineStr">
        <is>
          <t>인스타그램(전환)</t>
        </is>
      </c>
      <c r="E77" s="94" t="inlineStr">
        <is>
          <t>토너</t>
        </is>
      </c>
      <c r="J77" s="129" t="n">
        <v>1302895</v>
      </c>
    </row>
    <row r="78" hidden="1" customFormat="1" s="94">
      <c r="B78" s="128" t="n">
        <v>43759</v>
      </c>
      <c r="C78" s="94">
        <f>TEXT(B78,"aaa")</f>
        <v/>
      </c>
      <c r="D78" s="94" t="inlineStr">
        <is>
          <t>인스타그램(전환)</t>
        </is>
      </c>
      <c r="E78" s="94" t="inlineStr">
        <is>
          <t>토너</t>
        </is>
      </c>
      <c r="J78" s="129" t="n">
        <v>1256239</v>
      </c>
    </row>
    <row r="79" hidden="1" customFormat="1" s="94">
      <c r="B79" s="128" t="n">
        <v>43760</v>
      </c>
      <c r="C79" s="94">
        <f>TEXT(B79,"aaa")</f>
        <v/>
      </c>
      <c r="D79" s="94" t="inlineStr">
        <is>
          <t>인스타그램(전환)</t>
        </is>
      </c>
      <c r="E79" s="94" t="inlineStr">
        <is>
          <t>토너</t>
        </is>
      </c>
      <c r="J79" s="129" t="n">
        <v>972541</v>
      </c>
    </row>
    <row r="80" hidden="1" customFormat="1" s="94">
      <c r="B80" s="128" t="n">
        <v>43761</v>
      </c>
      <c r="C80" s="94">
        <f>TEXT(B80,"aaa")</f>
        <v/>
      </c>
      <c r="D80" s="94" t="inlineStr">
        <is>
          <t>인스타그램(전환)</t>
        </is>
      </c>
      <c r="E80" s="94" t="inlineStr">
        <is>
          <t>토너</t>
        </is>
      </c>
      <c r="J80" s="129" t="n">
        <v>950442</v>
      </c>
    </row>
    <row r="81" hidden="1" customFormat="1" s="94">
      <c r="B81" s="128" t="n">
        <v>43762</v>
      </c>
      <c r="C81" s="94">
        <f>TEXT(B81,"aaa")</f>
        <v/>
      </c>
      <c r="D81" s="94" t="inlineStr">
        <is>
          <t>인스타그램(전환)</t>
        </is>
      </c>
      <c r="E81" s="94" t="inlineStr">
        <is>
          <t>토너</t>
        </is>
      </c>
      <c r="J81" s="129" t="n">
        <v>959391</v>
      </c>
    </row>
    <row r="82" hidden="1" customFormat="1" s="94">
      <c r="B82" s="128" t="n">
        <v>43763</v>
      </c>
      <c r="C82" s="94">
        <f>TEXT(B82,"aaa")</f>
        <v/>
      </c>
      <c r="D82" s="94" t="inlineStr">
        <is>
          <t>인스타그램(전환)</t>
        </is>
      </c>
      <c r="E82" s="94" t="inlineStr">
        <is>
          <t>토너</t>
        </is>
      </c>
      <c r="J82" s="129" t="n">
        <v>973744</v>
      </c>
    </row>
    <row r="83" hidden="1" customFormat="1" s="94">
      <c r="B83" s="128" t="n">
        <v>43764</v>
      </c>
      <c r="C83" s="94">
        <f>TEXT(B83,"aaa")</f>
        <v/>
      </c>
      <c r="D83" s="94" t="inlineStr">
        <is>
          <t>인스타그램(전환)</t>
        </is>
      </c>
      <c r="E83" s="94" t="inlineStr">
        <is>
          <t>토너</t>
        </is>
      </c>
      <c r="J83" s="129" t="n">
        <v>1033779</v>
      </c>
    </row>
    <row r="84" hidden="1" customFormat="1" s="94">
      <c r="B84" s="128" t="n">
        <v>43765</v>
      </c>
      <c r="C84" s="94">
        <f>TEXT(B84,"aaa")</f>
        <v/>
      </c>
      <c r="D84" s="94" t="inlineStr">
        <is>
          <t>인스타그램(전환)</t>
        </is>
      </c>
      <c r="E84" s="94" t="inlineStr">
        <is>
          <t>토너</t>
        </is>
      </c>
      <c r="J84" s="129" t="n">
        <v>1006539</v>
      </c>
    </row>
    <row r="85" hidden="1" customFormat="1" s="94">
      <c r="B85" s="128" t="n">
        <v>43766</v>
      </c>
      <c r="C85" s="94">
        <f>TEXT(B85,"aaa")</f>
        <v/>
      </c>
      <c r="D85" s="94" t="inlineStr">
        <is>
          <t>인스타그램(전환)</t>
        </is>
      </c>
      <c r="E85" s="94" t="inlineStr">
        <is>
          <t>토너</t>
        </is>
      </c>
      <c r="J85" s="129" t="n">
        <v>965223</v>
      </c>
    </row>
    <row r="86" hidden="1" customFormat="1" s="94">
      <c r="B86" s="128" t="n">
        <v>43767</v>
      </c>
      <c r="C86" s="94">
        <f>TEXT(B86,"aaa")</f>
        <v/>
      </c>
      <c r="D86" s="94" t="inlineStr">
        <is>
          <t>인스타그램(전환)</t>
        </is>
      </c>
      <c r="E86" s="94" t="inlineStr">
        <is>
          <t>토너</t>
        </is>
      </c>
      <c r="J86" s="129" t="n">
        <v>874147</v>
      </c>
    </row>
    <row r="87" hidden="1" customFormat="1" s="94">
      <c r="B87" s="128" t="n">
        <v>43768</v>
      </c>
      <c r="C87" s="94">
        <f>TEXT(B87,"aaa")</f>
        <v/>
      </c>
      <c r="D87" s="94" t="inlineStr">
        <is>
          <t>인스타그램(전환)</t>
        </is>
      </c>
      <c r="E87" s="94" t="inlineStr">
        <is>
          <t>토너</t>
        </is>
      </c>
      <c r="J87" s="129" t="n">
        <v>779088</v>
      </c>
    </row>
    <row r="88" hidden="1" customFormat="1" s="94">
      <c r="B88" s="128" t="n">
        <v>43769</v>
      </c>
      <c r="C88" s="94">
        <f>TEXT(B88,"aaa")</f>
        <v/>
      </c>
      <c r="D88" s="94" t="inlineStr">
        <is>
          <t>인스타그램(전환)</t>
        </is>
      </c>
      <c r="E88" s="94" t="inlineStr">
        <is>
          <t>토너</t>
        </is>
      </c>
      <c r="J88" s="129" t="n">
        <v>768209</v>
      </c>
    </row>
    <row r="89" hidden="1" customFormat="1" s="94">
      <c r="B89" s="128" t="n">
        <v>43752</v>
      </c>
      <c r="C89" s="94">
        <f>TEXT(B89,"aaa")</f>
        <v/>
      </c>
      <c r="D89" s="94" t="inlineStr">
        <is>
          <t>인스타그램(전환)</t>
        </is>
      </c>
      <c r="E89" s="94" t="inlineStr">
        <is>
          <t>토너</t>
        </is>
      </c>
      <c r="J89" s="129" t="n">
        <v>54560</v>
      </c>
    </row>
    <row r="90" hidden="1" customFormat="1" s="94">
      <c r="B90" s="128" t="n">
        <v>43753</v>
      </c>
      <c r="C90" s="94">
        <f>TEXT(B90,"aaa")</f>
        <v/>
      </c>
      <c r="D90" s="94" t="inlineStr">
        <is>
          <t>인스타그램(전환)</t>
        </is>
      </c>
      <c r="E90" s="94" t="inlineStr">
        <is>
          <t>토너</t>
        </is>
      </c>
      <c r="J90" s="129" t="n">
        <v>98976</v>
      </c>
    </row>
    <row r="91" hidden="1" customFormat="1" s="94">
      <c r="B91" s="128" t="n">
        <v>43754</v>
      </c>
      <c r="C91" s="94">
        <f>TEXT(B91,"aaa")</f>
        <v/>
      </c>
      <c r="D91" s="94" t="inlineStr">
        <is>
          <t>인스타그램(전환)</t>
        </is>
      </c>
      <c r="E91" s="94" t="inlineStr">
        <is>
          <t>토너</t>
        </is>
      </c>
      <c r="J91" s="129" t="n">
        <v>95090</v>
      </c>
    </row>
    <row r="92" hidden="1" customFormat="1" s="94">
      <c r="B92" s="128" t="n">
        <v>43755</v>
      </c>
      <c r="C92" s="94">
        <f>TEXT(B92,"aaa")</f>
        <v/>
      </c>
      <c r="D92" s="94" t="inlineStr">
        <is>
          <t>인스타그램(전환)</t>
        </is>
      </c>
      <c r="E92" s="94" t="inlineStr">
        <is>
          <t>토너</t>
        </is>
      </c>
      <c r="J92" s="129" t="n">
        <v>42439</v>
      </c>
    </row>
    <row r="93" hidden="1" customFormat="1" s="94">
      <c r="B93" s="128" t="n">
        <v>43761</v>
      </c>
      <c r="C93" s="94">
        <f>TEXT(B93,"aaa")</f>
        <v/>
      </c>
      <c r="D93" s="94" t="inlineStr">
        <is>
          <t>인스타그램(전환)</t>
        </is>
      </c>
      <c r="E93" s="94" t="inlineStr">
        <is>
          <t>토너</t>
        </is>
      </c>
      <c r="J93" s="129" t="n">
        <v>94502</v>
      </c>
    </row>
    <row r="94" hidden="1" customFormat="1" s="94">
      <c r="B94" s="128" t="n">
        <v>43762</v>
      </c>
      <c r="C94" s="94">
        <f>TEXT(B94,"aaa")</f>
        <v/>
      </c>
      <c r="D94" s="94" t="inlineStr">
        <is>
          <t>인스타그램(전환)</t>
        </is>
      </c>
      <c r="E94" s="94" t="inlineStr">
        <is>
          <t>토너</t>
        </is>
      </c>
      <c r="J94" s="129" t="n">
        <v>113465</v>
      </c>
    </row>
    <row r="95" hidden="1" customFormat="1" s="94">
      <c r="B95" s="128" t="n">
        <v>43763</v>
      </c>
      <c r="C95" s="94">
        <f>TEXT(B95,"aaa")</f>
        <v/>
      </c>
      <c r="D95" s="94" t="inlineStr">
        <is>
          <t>인스타그램(전환)</t>
        </is>
      </c>
      <c r="E95" s="94" t="inlineStr">
        <is>
          <t>토너</t>
        </is>
      </c>
      <c r="J95" s="129" t="n">
        <v>76761</v>
      </c>
    </row>
    <row r="96" hidden="1" customFormat="1" s="94">
      <c r="B96" s="128" t="n">
        <v>43768</v>
      </c>
      <c r="C96" s="94">
        <f>TEXT(B96,"aaa")</f>
        <v/>
      </c>
      <c r="D96" s="94" t="inlineStr">
        <is>
          <t>페이스북(전환)</t>
        </is>
      </c>
      <c r="E96" s="94" t="inlineStr">
        <is>
          <t>토너</t>
        </is>
      </c>
      <c r="J96" s="129" t="n">
        <v>93017</v>
      </c>
    </row>
    <row r="97" hidden="1" customFormat="1" s="94">
      <c r="B97" s="128" t="n">
        <v>43769</v>
      </c>
      <c r="C97" s="94">
        <f>TEXT(B97,"aaa")</f>
        <v/>
      </c>
      <c r="D97" s="94" t="inlineStr">
        <is>
          <t>페이스북(전환)</t>
        </is>
      </c>
      <c r="E97" s="94" t="inlineStr">
        <is>
          <t>토너</t>
        </is>
      </c>
      <c r="J97" s="129" t="n">
        <v>191158</v>
      </c>
    </row>
    <row r="98" hidden="1" customFormat="1" s="94">
      <c r="B98" s="128" t="n">
        <v>43739</v>
      </c>
      <c r="C98" s="94">
        <f>TEXT(B98,"aaa")</f>
        <v/>
      </c>
      <c r="D98" s="94" t="inlineStr">
        <is>
          <t>인스타그램(블로그)</t>
        </is>
      </c>
      <c r="E98" s="94" t="inlineStr">
        <is>
          <t>토너</t>
        </is>
      </c>
      <c r="J98" s="129" t="n">
        <v>49774</v>
      </c>
    </row>
    <row r="99" hidden="1" customFormat="1" s="94">
      <c r="B99" s="128" t="n">
        <v>43740</v>
      </c>
      <c r="C99" s="94">
        <f>TEXT(B99,"aaa")</f>
        <v/>
      </c>
      <c r="D99" s="94" t="inlineStr">
        <is>
          <t>인스타그램(블로그)</t>
        </is>
      </c>
      <c r="E99" s="94" t="inlineStr">
        <is>
          <t>토너</t>
        </is>
      </c>
      <c r="J99" s="129" t="n">
        <v>50726</v>
      </c>
    </row>
    <row r="100" hidden="1" customFormat="1" s="94">
      <c r="B100" s="128" t="n">
        <v>43741</v>
      </c>
      <c r="C100" s="94">
        <f>TEXT(B100,"aaa")</f>
        <v/>
      </c>
      <c r="D100" s="94" t="inlineStr">
        <is>
          <t>인스타그램(블로그)</t>
        </is>
      </c>
      <c r="E100" s="94" t="inlineStr">
        <is>
          <t>토너</t>
        </is>
      </c>
      <c r="J100" s="129" t="n">
        <v>50497</v>
      </c>
    </row>
    <row r="101" hidden="1" customFormat="1" s="94">
      <c r="B101" s="128" t="n">
        <v>43742</v>
      </c>
      <c r="C101" s="94">
        <f>TEXT(B101,"aaa")</f>
        <v/>
      </c>
      <c r="D101" s="94" t="inlineStr">
        <is>
          <t>인스타그램(블로그)</t>
        </is>
      </c>
      <c r="E101" s="94" t="inlineStr">
        <is>
          <t>토너</t>
        </is>
      </c>
      <c r="J101" s="129" t="n">
        <v>49298</v>
      </c>
    </row>
    <row r="102" hidden="1" customFormat="1" s="94">
      <c r="B102" s="128" t="n">
        <v>43743</v>
      </c>
      <c r="C102" s="94">
        <f>TEXT(B102,"aaa")</f>
        <v/>
      </c>
      <c r="D102" s="94" t="inlineStr">
        <is>
          <t>인스타그램(블로그)</t>
        </is>
      </c>
      <c r="E102" s="94" t="inlineStr">
        <is>
          <t>토너</t>
        </is>
      </c>
      <c r="J102" s="129" t="n">
        <v>51462</v>
      </c>
    </row>
    <row r="103" hidden="1" customFormat="1" s="94">
      <c r="B103" s="128" t="n">
        <v>43744</v>
      </c>
      <c r="C103" s="94">
        <f>TEXT(B103,"aaa")</f>
        <v/>
      </c>
      <c r="D103" s="94" t="inlineStr">
        <is>
          <t>인스타그램(블로그)</t>
        </is>
      </c>
      <c r="E103" s="94" t="inlineStr">
        <is>
          <t>토너</t>
        </is>
      </c>
      <c r="J103" s="129" t="n">
        <v>50117</v>
      </c>
    </row>
    <row r="104" hidden="1" customFormat="1" s="94">
      <c r="B104" s="128" t="n">
        <v>43745</v>
      </c>
      <c r="C104" s="94">
        <f>TEXT(B104,"aaa")</f>
        <v/>
      </c>
      <c r="D104" s="94" t="inlineStr">
        <is>
          <t>인스타그램(블로그)</t>
        </is>
      </c>
      <c r="E104" s="94" t="inlineStr">
        <is>
          <t>토너</t>
        </is>
      </c>
      <c r="J104" s="129" t="n">
        <v>48825</v>
      </c>
    </row>
    <row r="105" hidden="1" customFormat="1" s="94">
      <c r="B105" s="128" t="n">
        <v>43746</v>
      </c>
      <c r="C105" s="94">
        <f>TEXT(B105,"aaa")</f>
        <v/>
      </c>
      <c r="D105" s="94" t="inlineStr">
        <is>
          <t>인스타그램(블로그)</t>
        </is>
      </c>
      <c r="E105" s="94" t="inlineStr">
        <is>
          <t>토너</t>
        </is>
      </c>
      <c r="J105" s="129" t="n">
        <v>48567</v>
      </c>
    </row>
    <row r="106" hidden="1" customFormat="1" s="94">
      <c r="B106" s="128" t="n">
        <v>43747</v>
      </c>
      <c r="C106" s="94">
        <f>TEXT(B106,"aaa")</f>
        <v/>
      </c>
      <c r="D106" s="94" t="inlineStr">
        <is>
          <t>인스타그램(블로그)</t>
        </is>
      </c>
      <c r="E106" s="94" t="inlineStr">
        <is>
          <t>토너</t>
        </is>
      </c>
      <c r="J106" s="129" t="n">
        <v>50934</v>
      </c>
    </row>
    <row r="107" hidden="1" customFormat="1" s="94">
      <c r="B107" s="128" t="n">
        <v>43748</v>
      </c>
      <c r="C107" s="94">
        <f>TEXT(B107,"aaa")</f>
        <v/>
      </c>
      <c r="D107" s="94" t="inlineStr">
        <is>
          <t>인스타그램(블로그)</t>
        </is>
      </c>
      <c r="E107" s="94" t="inlineStr">
        <is>
          <t>토너</t>
        </is>
      </c>
      <c r="J107" s="129" t="n">
        <v>48326</v>
      </c>
    </row>
    <row r="108" hidden="1" customFormat="1" s="94">
      <c r="B108" s="128" t="n">
        <v>43749</v>
      </c>
      <c r="C108" s="94">
        <f>TEXT(B108,"aaa")</f>
        <v/>
      </c>
      <c r="D108" s="94" t="inlineStr">
        <is>
          <t>인스타그램(블로그)</t>
        </is>
      </c>
      <c r="E108" s="94" t="inlineStr">
        <is>
          <t>토너</t>
        </is>
      </c>
      <c r="J108" s="129" t="n">
        <v>50887</v>
      </c>
    </row>
    <row r="109" hidden="1" customFormat="1" s="94">
      <c r="B109" s="128" t="n">
        <v>43750</v>
      </c>
      <c r="C109" s="94">
        <f>TEXT(B109,"aaa")</f>
        <v/>
      </c>
      <c r="D109" s="94" t="inlineStr">
        <is>
          <t>인스타그램(블로그)</t>
        </is>
      </c>
      <c r="E109" s="94" t="inlineStr">
        <is>
          <t>토너</t>
        </is>
      </c>
      <c r="J109" s="129" t="n">
        <v>52340</v>
      </c>
    </row>
    <row r="110" hidden="1" customFormat="1" s="94">
      <c r="B110" s="128" t="n">
        <v>43751</v>
      </c>
      <c r="C110" s="94">
        <f>TEXT(B110,"aaa")</f>
        <v/>
      </c>
      <c r="D110" s="94" t="inlineStr">
        <is>
          <t>인스타그램(블로그)</t>
        </is>
      </c>
      <c r="E110" s="94" t="inlineStr">
        <is>
          <t>토너</t>
        </is>
      </c>
      <c r="J110" s="129" t="n">
        <v>50374</v>
      </c>
    </row>
    <row r="111" hidden="1" customFormat="1" s="94">
      <c r="B111" s="128" t="n">
        <v>43752</v>
      </c>
      <c r="C111" s="94">
        <f>TEXT(B111,"aaa")</f>
        <v/>
      </c>
      <c r="D111" s="94" t="inlineStr">
        <is>
          <t>인스타그램(블로그)</t>
        </is>
      </c>
      <c r="E111" s="94" t="inlineStr">
        <is>
          <t>토너</t>
        </is>
      </c>
      <c r="J111" s="129" t="n">
        <v>48341</v>
      </c>
    </row>
    <row r="112" hidden="1" customFormat="1" s="94">
      <c r="B112" s="128" t="n">
        <v>43753</v>
      </c>
      <c r="C112" s="94">
        <f>TEXT(B112,"aaa")</f>
        <v/>
      </c>
      <c r="D112" s="94" t="inlineStr">
        <is>
          <t>인스타그램(블로그)</t>
        </is>
      </c>
      <c r="E112" s="94" t="inlineStr">
        <is>
          <t>토너</t>
        </is>
      </c>
      <c r="J112" s="129" t="n">
        <v>50532</v>
      </c>
    </row>
    <row r="113" hidden="1" customFormat="1" s="94">
      <c r="B113" s="128" t="n">
        <v>43754</v>
      </c>
      <c r="C113" s="94">
        <f>TEXT(B113,"aaa")</f>
        <v/>
      </c>
      <c r="D113" s="94" t="inlineStr">
        <is>
          <t>인스타그램(블로그)</t>
        </is>
      </c>
      <c r="E113" s="94" t="inlineStr">
        <is>
          <t>토너</t>
        </is>
      </c>
      <c r="J113" s="129" t="n">
        <v>49563</v>
      </c>
    </row>
    <row r="114" hidden="1" customFormat="1" s="94">
      <c r="B114" s="128" t="n">
        <v>43755</v>
      </c>
      <c r="C114" s="94">
        <f>TEXT(B114,"aaa")</f>
        <v/>
      </c>
      <c r="D114" s="94" t="inlineStr">
        <is>
          <t>인스타그램(블로그)</t>
        </is>
      </c>
      <c r="E114" s="94" t="inlineStr">
        <is>
          <t>토너</t>
        </is>
      </c>
      <c r="J114" s="129" t="n">
        <v>48582</v>
      </c>
    </row>
    <row r="115" hidden="1" customFormat="1" s="94">
      <c r="B115" s="128" t="n">
        <v>43756</v>
      </c>
      <c r="C115" s="94">
        <f>TEXT(B115,"aaa")</f>
        <v/>
      </c>
      <c r="D115" s="94" t="inlineStr">
        <is>
          <t>인스타그램(블로그)</t>
        </is>
      </c>
      <c r="E115" s="94" t="inlineStr">
        <is>
          <t>토너</t>
        </is>
      </c>
      <c r="J115" s="129" t="n">
        <v>49537</v>
      </c>
    </row>
    <row r="116" hidden="1" customFormat="1" s="94">
      <c r="B116" s="128" t="n">
        <v>43757</v>
      </c>
      <c r="C116" s="94">
        <f>TEXT(B116,"aaa")</f>
        <v/>
      </c>
      <c r="D116" s="94" t="inlineStr">
        <is>
          <t>인스타그램(블로그)</t>
        </is>
      </c>
      <c r="E116" s="94" t="inlineStr">
        <is>
          <t>토너</t>
        </is>
      </c>
      <c r="J116" s="129" t="n">
        <v>53066</v>
      </c>
    </row>
    <row r="117" hidden="1" customFormat="1" s="94">
      <c r="B117" s="128" t="n">
        <v>43758</v>
      </c>
      <c r="C117" s="94">
        <f>TEXT(B117,"aaa")</f>
        <v/>
      </c>
      <c r="D117" s="94" t="inlineStr">
        <is>
          <t>인스타그램(블로그)</t>
        </is>
      </c>
      <c r="E117" s="94" t="inlineStr">
        <is>
          <t>토너</t>
        </is>
      </c>
      <c r="J117" s="129" t="n">
        <v>50474</v>
      </c>
    </row>
    <row r="118" hidden="1" customFormat="1" s="94">
      <c r="B118" s="128" t="n">
        <v>43759</v>
      </c>
      <c r="C118" s="94">
        <f>TEXT(B118,"aaa")</f>
        <v/>
      </c>
      <c r="D118" s="94" t="inlineStr">
        <is>
          <t>인스타그램(블로그)</t>
        </is>
      </c>
      <c r="E118" s="94" t="inlineStr">
        <is>
          <t>토너</t>
        </is>
      </c>
      <c r="J118" s="129" t="n">
        <v>48652</v>
      </c>
    </row>
    <row r="119" hidden="1" customFormat="1" s="94">
      <c r="B119" s="128" t="n">
        <v>43760</v>
      </c>
      <c r="C119" s="94">
        <f>TEXT(B119,"aaa")</f>
        <v/>
      </c>
      <c r="D119" s="94" t="inlineStr">
        <is>
          <t>인스타그램(블로그)</t>
        </is>
      </c>
      <c r="E119" s="94" t="inlineStr">
        <is>
          <t>토너</t>
        </is>
      </c>
      <c r="J119" s="129" t="n">
        <v>50035</v>
      </c>
    </row>
    <row r="120" hidden="1" customFormat="1" s="94">
      <c r="B120" s="128" t="n">
        <v>43761</v>
      </c>
      <c r="C120" s="94">
        <f>TEXT(B120,"aaa")</f>
        <v/>
      </c>
      <c r="D120" s="94" t="inlineStr">
        <is>
          <t>인스타그램(블로그)</t>
        </is>
      </c>
      <c r="E120" s="94" t="inlineStr">
        <is>
          <t>토너</t>
        </is>
      </c>
      <c r="J120" s="129" t="n">
        <v>48896</v>
      </c>
    </row>
    <row r="121" hidden="1" customFormat="1" s="94">
      <c r="B121" s="128" t="n">
        <v>43762</v>
      </c>
      <c r="C121" s="94">
        <f>TEXT(B121,"aaa")</f>
        <v/>
      </c>
      <c r="D121" s="94" t="inlineStr">
        <is>
          <t>인스타그램(블로그)</t>
        </is>
      </c>
      <c r="E121" s="94" t="inlineStr">
        <is>
          <t>토너</t>
        </is>
      </c>
      <c r="J121" s="129" t="n">
        <v>50890</v>
      </c>
    </row>
    <row r="122" hidden="1" customFormat="1" s="94">
      <c r="B122" s="128" t="n">
        <v>43763</v>
      </c>
      <c r="C122" s="94">
        <f>TEXT(B122,"aaa")</f>
        <v/>
      </c>
      <c r="D122" s="94" t="inlineStr">
        <is>
          <t>인스타그램(블로그)</t>
        </is>
      </c>
      <c r="E122" s="94" t="inlineStr">
        <is>
          <t>토너</t>
        </is>
      </c>
      <c r="J122" s="129" t="n">
        <v>48343</v>
      </c>
    </row>
    <row r="123" hidden="1" customFormat="1" s="94">
      <c r="B123" s="128" t="n">
        <v>43764</v>
      </c>
      <c r="C123" s="94">
        <f>TEXT(B123,"aaa")</f>
        <v/>
      </c>
      <c r="D123" s="94" t="inlineStr">
        <is>
          <t>인스타그램(블로그)</t>
        </is>
      </c>
      <c r="E123" s="94" t="inlineStr">
        <is>
          <t>토너</t>
        </is>
      </c>
      <c r="J123" s="129" t="n">
        <v>52710</v>
      </c>
    </row>
    <row r="124" hidden="1" customFormat="1" s="94">
      <c r="B124" s="128" t="n">
        <v>43765</v>
      </c>
      <c r="C124" s="94">
        <f>TEXT(B124,"aaa")</f>
        <v/>
      </c>
      <c r="D124" s="94" t="inlineStr">
        <is>
          <t>인스타그램(블로그)</t>
        </is>
      </c>
      <c r="E124" s="94" t="inlineStr">
        <is>
          <t>토너</t>
        </is>
      </c>
      <c r="J124" s="129" t="n">
        <v>50207</v>
      </c>
    </row>
    <row r="125" hidden="1" customFormat="1" s="94">
      <c r="B125" s="128" t="n">
        <v>43766</v>
      </c>
      <c r="C125" s="94">
        <f>TEXT(B125,"aaa")</f>
        <v/>
      </c>
      <c r="D125" s="94" t="inlineStr">
        <is>
          <t>인스타그램(블로그)</t>
        </is>
      </c>
      <c r="E125" s="94" t="inlineStr">
        <is>
          <t>토너</t>
        </is>
      </c>
      <c r="J125" s="129" t="n">
        <v>49578</v>
      </c>
    </row>
    <row r="126" hidden="1" customFormat="1" s="94">
      <c r="B126" s="128" t="n">
        <v>43767</v>
      </c>
      <c r="C126" s="94">
        <f>TEXT(B126,"aaa")</f>
        <v/>
      </c>
      <c r="D126" s="94" t="inlineStr">
        <is>
          <t>인스타그램(블로그)</t>
        </is>
      </c>
      <c r="E126" s="94" t="inlineStr">
        <is>
          <t>토너</t>
        </is>
      </c>
      <c r="J126" s="129" t="n">
        <v>48347</v>
      </c>
    </row>
    <row r="127" hidden="1" customFormat="1" s="94">
      <c r="B127" s="128" t="n">
        <v>43768</v>
      </c>
      <c r="C127" s="94">
        <f>TEXT(B127,"aaa")</f>
        <v/>
      </c>
      <c r="D127" s="94" t="inlineStr">
        <is>
          <t>인스타그램(블로그)</t>
        </is>
      </c>
      <c r="E127" s="94" t="inlineStr">
        <is>
          <t>토너</t>
        </is>
      </c>
      <c r="J127" s="129" t="n">
        <v>49943</v>
      </c>
    </row>
    <row r="128" hidden="1" customFormat="1" s="94">
      <c r="B128" s="128" t="n">
        <v>43769</v>
      </c>
      <c r="C128" s="94">
        <f>TEXT(B128,"aaa")</f>
        <v/>
      </c>
      <c r="D128" s="94" t="inlineStr">
        <is>
          <t>인스타그램(블로그)</t>
        </is>
      </c>
      <c r="E128" s="94" t="inlineStr">
        <is>
          <t>토너</t>
        </is>
      </c>
      <c r="J128" s="129" t="n">
        <v>50434</v>
      </c>
    </row>
    <row r="129" hidden="1" customFormat="1" s="94">
      <c r="B129" s="128" t="n">
        <v>43770</v>
      </c>
      <c r="C129" s="94">
        <f>TEXT(B129,"aaa")</f>
        <v/>
      </c>
      <c r="D129" s="94" t="inlineStr">
        <is>
          <t>인스타그램(전환)</t>
        </is>
      </c>
      <c r="E129" s="94" t="inlineStr">
        <is>
          <t>토너</t>
        </is>
      </c>
      <c r="J129" s="94" t="n">
        <v>802115</v>
      </c>
    </row>
    <row r="130" hidden="1" customFormat="1" s="94">
      <c r="B130" s="128" t="n">
        <v>43771</v>
      </c>
      <c r="C130" s="94">
        <f>TEXT(B130,"aaa")</f>
        <v/>
      </c>
      <c r="D130" s="94" t="inlineStr">
        <is>
          <t>인스타그램(전환)</t>
        </is>
      </c>
      <c r="E130" s="94" t="inlineStr">
        <is>
          <t>토너</t>
        </is>
      </c>
      <c r="J130" s="94" t="n">
        <v>667446</v>
      </c>
    </row>
    <row r="131" hidden="1" customFormat="1" s="94">
      <c r="B131" s="128" t="n">
        <v>43772</v>
      </c>
      <c r="C131" s="94">
        <f>TEXT(B131,"aaa")</f>
        <v/>
      </c>
      <c r="D131" s="94" t="inlineStr">
        <is>
          <t>인스타그램(전환)</t>
        </is>
      </c>
      <c r="E131" s="94" t="inlineStr">
        <is>
          <t>토너</t>
        </is>
      </c>
      <c r="J131" s="94" t="n">
        <v>601447</v>
      </c>
    </row>
    <row r="132" hidden="1" customFormat="1" s="94">
      <c r="B132" s="128" t="n">
        <v>43773</v>
      </c>
      <c r="C132" s="94">
        <f>TEXT(B132,"aaa")</f>
        <v/>
      </c>
      <c r="D132" s="94" t="inlineStr">
        <is>
          <t>인스타그램(전환)</t>
        </is>
      </c>
      <c r="E132" s="94" t="inlineStr">
        <is>
          <t>토너</t>
        </is>
      </c>
      <c r="J132" s="94" t="n">
        <v>693226</v>
      </c>
    </row>
    <row r="133" hidden="1" customFormat="1" s="94">
      <c r="B133" s="128" t="n">
        <v>43774</v>
      </c>
      <c r="C133" s="94">
        <f>TEXT(B133,"aaa")</f>
        <v/>
      </c>
      <c r="D133" s="94" t="inlineStr">
        <is>
          <t>인스타그램(전환)</t>
        </is>
      </c>
      <c r="E133" s="94" t="inlineStr">
        <is>
          <t>토너</t>
        </is>
      </c>
      <c r="J133" s="94" t="n">
        <v>621868</v>
      </c>
    </row>
    <row r="134" hidden="1" customFormat="1" s="94">
      <c r="B134" s="128" t="n">
        <v>43775</v>
      </c>
      <c r="C134" s="94">
        <f>TEXT(B134,"aaa")</f>
        <v/>
      </c>
      <c r="D134" s="94" t="inlineStr">
        <is>
          <t>인스타그램(전환)</t>
        </is>
      </c>
      <c r="E134" s="94" t="inlineStr">
        <is>
          <t>토너</t>
        </is>
      </c>
      <c r="J134" s="94" t="n">
        <v>569821</v>
      </c>
    </row>
    <row r="135" hidden="1" customFormat="1" s="94">
      <c r="B135" s="128" t="n">
        <v>43776</v>
      </c>
      <c r="C135" s="94">
        <f>TEXT(B135,"aaa")</f>
        <v/>
      </c>
      <c r="D135" s="94" t="inlineStr">
        <is>
          <t>인스타그램(전환)</t>
        </is>
      </c>
      <c r="E135" s="94" t="inlineStr">
        <is>
          <t>토너</t>
        </is>
      </c>
      <c r="J135" s="94" t="n">
        <v>578903</v>
      </c>
    </row>
    <row r="136" hidden="1" customFormat="1" s="94">
      <c r="B136" s="128" t="n">
        <v>43777</v>
      </c>
      <c r="C136" s="94">
        <f>TEXT(B136,"aaa")</f>
        <v/>
      </c>
      <c r="D136" s="94" t="inlineStr">
        <is>
          <t>인스타그램(전환)</t>
        </is>
      </c>
      <c r="E136" s="94" t="inlineStr">
        <is>
          <t>토너</t>
        </is>
      </c>
      <c r="J136" s="94" t="n">
        <v>577486</v>
      </c>
    </row>
    <row r="137" hidden="1" customFormat="1" s="94">
      <c r="B137" s="128" t="n">
        <v>43778</v>
      </c>
      <c r="C137" s="94">
        <f>TEXT(B137,"aaa")</f>
        <v/>
      </c>
      <c r="D137" s="94" t="inlineStr">
        <is>
          <t>인스타그램(전환)</t>
        </is>
      </c>
      <c r="E137" s="94" t="inlineStr">
        <is>
          <t>토너</t>
        </is>
      </c>
      <c r="J137" s="94" t="n">
        <v>621286</v>
      </c>
    </row>
    <row r="138" hidden="1" customFormat="1" s="94">
      <c r="B138" s="128" t="n">
        <v>43779</v>
      </c>
      <c r="C138" s="94">
        <f>TEXT(B138,"aaa")</f>
        <v/>
      </c>
      <c r="D138" s="94" t="inlineStr">
        <is>
          <t>인스타그램(전환)</t>
        </is>
      </c>
      <c r="E138" s="94" t="inlineStr">
        <is>
          <t>토너</t>
        </is>
      </c>
      <c r="J138" s="94" t="n">
        <v>601372</v>
      </c>
    </row>
    <row r="139" hidden="1" customFormat="1" s="94">
      <c r="B139" s="128" t="n">
        <v>43780</v>
      </c>
      <c r="C139" s="94">
        <f>TEXT(B139,"aaa")</f>
        <v/>
      </c>
      <c r="D139" s="94" t="inlineStr">
        <is>
          <t>인스타그램(전환)</t>
        </is>
      </c>
      <c r="E139" s="94" t="inlineStr">
        <is>
          <t>토너</t>
        </is>
      </c>
      <c r="J139" s="94" t="n">
        <v>577770</v>
      </c>
    </row>
    <row r="140" hidden="1" customFormat="1" s="94">
      <c r="B140" s="128" t="n">
        <v>43781</v>
      </c>
      <c r="C140" s="94">
        <f>TEXT(B140,"aaa")</f>
        <v/>
      </c>
      <c r="D140" s="94" t="inlineStr">
        <is>
          <t>인스타그램(전환)</t>
        </is>
      </c>
      <c r="E140" s="94" t="inlineStr">
        <is>
          <t>토너</t>
        </is>
      </c>
      <c r="J140" s="94" t="n">
        <v>595670</v>
      </c>
    </row>
    <row r="141" hidden="1" customFormat="1" s="94">
      <c r="B141" s="128" t="n">
        <v>43782</v>
      </c>
      <c r="C141" s="94">
        <f>TEXT(B141,"aaa")</f>
        <v/>
      </c>
      <c r="D141" s="94" t="inlineStr">
        <is>
          <t>인스타그램(전환)</t>
        </is>
      </c>
      <c r="E141" s="94" t="inlineStr">
        <is>
          <t>토너</t>
        </is>
      </c>
      <c r="J141" s="94" t="n">
        <v>608592</v>
      </c>
    </row>
    <row r="142" hidden="1" customFormat="1" s="94">
      <c r="B142" s="128" t="n">
        <v>43783</v>
      </c>
      <c r="C142" s="94">
        <f>TEXT(B142,"aaa")</f>
        <v/>
      </c>
      <c r="D142" s="94" t="inlineStr">
        <is>
          <t>인스타그램(전환)</t>
        </is>
      </c>
      <c r="E142" s="94" t="inlineStr">
        <is>
          <t>토너</t>
        </is>
      </c>
      <c r="J142" s="94" t="n">
        <v>587517</v>
      </c>
    </row>
    <row r="143" hidden="1" customFormat="1" s="94">
      <c r="B143" s="128" t="n">
        <v>43784</v>
      </c>
      <c r="C143" s="94">
        <f>TEXT(B143,"aaa")</f>
        <v/>
      </c>
      <c r="D143" s="94" t="inlineStr">
        <is>
          <t>인스타그램(전환)</t>
        </is>
      </c>
      <c r="E143" s="94" t="inlineStr">
        <is>
          <t>토너</t>
        </is>
      </c>
      <c r="J143" s="94" t="n">
        <v>616005</v>
      </c>
    </row>
    <row r="144" hidden="1" customFormat="1" s="94">
      <c r="B144" s="128" t="n">
        <v>43785</v>
      </c>
      <c r="C144" s="94">
        <f>TEXT(B144,"aaa")</f>
        <v/>
      </c>
      <c r="D144" s="94" t="inlineStr">
        <is>
          <t>인스타그램(전환)</t>
        </is>
      </c>
      <c r="E144" s="94" t="inlineStr">
        <is>
          <t>토너</t>
        </is>
      </c>
      <c r="J144" s="94" t="n">
        <v>455656</v>
      </c>
    </row>
    <row r="145" hidden="1" customFormat="1" s="94">
      <c r="B145" s="128" t="n">
        <v>43786</v>
      </c>
      <c r="C145" s="94">
        <f>TEXT(B145,"aaa")</f>
        <v/>
      </c>
      <c r="D145" s="94" t="inlineStr">
        <is>
          <t>인스타그램(전환)</t>
        </is>
      </c>
      <c r="E145" s="94" t="inlineStr">
        <is>
          <t>토너</t>
        </is>
      </c>
      <c r="J145" s="94" t="n">
        <v>501264</v>
      </c>
    </row>
    <row r="146" hidden="1" customFormat="1" s="94">
      <c r="B146" s="128" t="n">
        <v>43787</v>
      </c>
      <c r="C146" s="94">
        <f>TEXT(B146,"aaa")</f>
        <v/>
      </c>
      <c r="D146" s="94" t="inlineStr">
        <is>
          <t>인스타그램(전환)</t>
        </is>
      </c>
      <c r="E146" s="94" t="inlineStr">
        <is>
          <t>토너</t>
        </is>
      </c>
      <c r="J146" s="94" t="n">
        <v>499673</v>
      </c>
    </row>
    <row r="147" hidden="1" customFormat="1" s="94">
      <c r="B147" s="128" t="n">
        <v>43788</v>
      </c>
      <c r="C147" s="94">
        <f>TEXT(B147,"aaa")</f>
        <v/>
      </c>
      <c r="D147" s="94" t="inlineStr">
        <is>
          <t>인스타그램(전환)</t>
        </is>
      </c>
      <c r="E147" s="94" t="inlineStr">
        <is>
          <t>토너</t>
        </is>
      </c>
      <c r="J147" s="94" t="n">
        <v>482970</v>
      </c>
    </row>
    <row r="148" hidden="1" customFormat="1" s="94">
      <c r="B148" s="128" t="n">
        <v>43789</v>
      </c>
      <c r="C148" s="94">
        <f>TEXT(B148,"aaa")</f>
        <v/>
      </c>
      <c r="D148" s="94" t="inlineStr">
        <is>
          <t>인스타그램(전환)</t>
        </is>
      </c>
      <c r="E148" s="94" t="inlineStr">
        <is>
          <t>토너</t>
        </is>
      </c>
      <c r="J148" s="94" t="n">
        <v>490600</v>
      </c>
    </row>
    <row r="149" hidden="1" customFormat="1" s="94">
      <c r="B149" s="128" t="n">
        <v>43790</v>
      </c>
      <c r="C149" s="94">
        <f>TEXT(B149,"aaa")</f>
        <v/>
      </c>
      <c r="D149" s="94" t="inlineStr">
        <is>
          <t>인스타그램(전환)</t>
        </is>
      </c>
      <c r="E149" s="94" t="inlineStr">
        <is>
          <t>토너</t>
        </is>
      </c>
      <c r="J149" s="94" t="n">
        <v>498482</v>
      </c>
    </row>
    <row r="150" hidden="1" customFormat="1" s="94">
      <c r="B150" s="128" t="n">
        <v>43791</v>
      </c>
      <c r="C150" s="94">
        <f>TEXT(B150,"aaa")</f>
        <v/>
      </c>
      <c r="D150" s="94" t="inlineStr">
        <is>
          <t>인스타그램(전환)</t>
        </is>
      </c>
      <c r="E150" s="94" t="inlineStr">
        <is>
          <t>토너</t>
        </is>
      </c>
      <c r="J150" s="94" t="n">
        <v>497099</v>
      </c>
    </row>
    <row r="151" hidden="1" customFormat="1" s="94">
      <c r="B151" s="128" t="n">
        <v>43792</v>
      </c>
      <c r="C151" s="94">
        <f>TEXT(B151,"aaa")</f>
        <v/>
      </c>
      <c r="D151" s="94" t="inlineStr">
        <is>
          <t>인스타그램(전환)</t>
        </is>
      </c>
      <c r="E151" s="94" t="inlineStr">
        <is>
          <t>토너</t>
        </is>
      </c>
      <c r="J151" s="94" t="n">
        <v>529912</v>
      </c>
    </row>
    <row r="152" hidden="1" customFormat="1" s="94">
      <c r="B152" s="128" t="n">
        <v>43793</v>
      </c>
      <c r="C152" s="94">
        <f>TEXT(B152,"aaa")</f>
        <v/>
      </c>
      <c r="D152" s="94" t="inlineStr">
        <is>
          <t>인스타그램(전환)</t>
        </is>
      </c>
      <c r="E152" s="94" t="inlineStr">
        <is>
          <t>토너</t>
        </is>
      </c>
      <c r="J152" s="94" t="n">
        <v>501169</v>
      </c>
    </row>
    <row r="153" hidden="1" customFormat="1" s="94">
      <c r="B153" s="128" t="n">
        <v>43794</v>
      </c>
      <c r="C153" s="94">
        <f>TEXT(B153,"aaa")</f>
        <v/>
      </c>
      <c r="D153" s="94" t="inlineStr">
        <is>
          <t>인스타그램(전환)</t>
        </is>
      </c>
      <c r="E153" s="94" t="inlineStr">
        <is>
          <t>토너</t>
        </is>
      </c>
      <c r="J153" s="94" t="n">
        <v>480687</v>
      </c>
    </row>
    <row r="154" hidden="1" customFormat="1" s="94">
      <c r="B154" s="128" t="n">
        <v>43795</v>
      </c>
      <c r="C154" s="94">
        <f>TEXT(B154,"aaa")</f>
        <v/>
      </c>
      <c r="D154" s="94" t="inlineStr">
        <is>
          <t>인스타그램(전환)</t>
        </is>
      </c>
      <c r="E154" s="94" t="inlineStr">
        <is>
          <t>토너</t>
        </is>
      </c>
      <c r="J154" s="94" t="n">
        <v>498963</v>
      </c>
    </row>
    <row r="155" hidden="1" customFormat="1" s="94">
      <c r="B155" s="128" t="n">
        <v>43796</v>
      </c>
      <c r="C155" s="94">
        <f>TEXT(B155,"aaa")</f>
        <v/>
      </c>
      <c r="D155" s="94" t="inlineStr">
        <is>
          <t>인스타그램(전환)</t>
        </is>
      </c>
      <c r="E155" s="94" t="inlineStr">
        <is>
          <t>토너</t>
        </is>
      </c>
      <c r="J155" s="94" t="n">
        <v>490233</v>
      </c>
    </row>
    <row r="156" hidden="1" customFormat="1" s="94">
      <c r="B156" s="128" t="n">
        <v>43797</v>
      </c>
      <c r="C156" s="94">
        <f>TEXT(B156,"aaa")</f>
        <v/>
      </c>
      <c r="D156" s="94" t="inlineStr">
        <is>
          <t>인스타그램(전환)</t>
        </is>
      </c>
      <c r="E156" s="94" t="inlineStr">
        <is>
          <t>토너</t>
        </is>
      </c>
      <c r="J156" s="94" t="n">
        <v>488641</v>
      </c>
    </row>
    <row r="157" hidden="1" customFormat="1" s="94">
      <c r="B157" s="128" t="n">
        <v>43798</v>
      </c>
      <c r="C157" s="94">
        <f>TEXT(B157,"aaa")</f>
        <v/>
      </c>
      <c r="D157" s="94" t="inlineStr">
        <is>
          <t>인스타그램(전환)</t>
        </is>
      </c>
      <c r="E157" s="94" t="inlineStr">
        <is>
          <t>토너</t>
        </is>
      </c>
      <c r="J157" s="94" t="n">
        <v>511305</v>
      </c>
    </row>
    <row r="158" hidden="1" customFormat="1" s="94">
      <c r="B158" s="128" t="n">
        <v>43799</v>
      </c>
      <c r="C158" s="94">
        <f>TEXT(B158,"aaa")</f>
        <v/>
      </c>
      <c r="D158" s="94" t="inlineStr">
        <is>
          <t>인스타그램(전환)</t>
        </is>
      </c>
      <c r="E158" s="94" t="inlineStr">
        <is>
          <t>토너</t>
        </is>
      </c>
      <c r="J158" s="94" t="n">
        <v>529002</v>
      </c>
    </row>
    <row r="159" hidden="1" customFormat="1" s="94">
      <c r="B159" s="128" t="n">
        <v>43770</v>
      </c>
      <c r="C159" s="94">
        <f>TEXT(B159,"aaa")</f>
        <v/>
      </c>
      <c r="D159" s="94" t="inlineStr">
        <is>
          <t>인스타그램(랄라블라)</t>
        </is>
      </c>
      <c r="E159" s="94" t="inlineStr">
        <is>
          <t>토너</t>
        </is>
      </c>
      <c r="J159" s="94" t="n">
        <v>52275</v>
      </c>
    </row>
    <row r="160" hidden="1" customFormat="1" s="94">
      <c r="B160" s="128" t="n">
        <v>43771</v>
      </c>
      <c r="C160" s="94">
        <f>TEXT(B160,"aaa")</f>
        <v/>
      </c>
      <c r="D160" s="94" t="inlineStr">
        <is>
          <t>인스타그램(랄라블라)</t>
        </is>
      </c>
      <c r="E160" s="94" t="inlineStr">
        <is>
          <t>토너</t>
        </is>
      </c>
      <c r="J160" s="94" t="n">
        <v>51893</v>
      </c>
    </row>
    <row r="161" hidden="1" customFormat="1" s="94">
      <c r="B161" s="128" t="n">
        <v>43772</v>
      </c>
      <c r="C161" s="94">
        <f>TEXT(B161,"aaa")</f>
        <v/>
      </c>
      <c r="D161" s="94" t="inlineStr">
        <is>
          <t>인스타그램(랄라블라)</t>
        </is>
      </c>
      <c r="E161" s="94" t="inlineStr">
        <is>
          <t>토너</t>
        </is>
      </c>
      <c r="J161" s="94" t="n">
        <v>50491</v>
      </c>
    </row>
    <row r="162" hidden="1" customFormat="1" s="94">
      <c r="B162" s="128" t="n">
        <v>43773</v>
      </c>
      <c r="C162" s="94">
        <f>TEXT(B162,"aaa")</f>
        <v/>
      </c>
      <c r="D162" s="94" t="inlineStr">
        <is>
          <t>인스타그램(랄라블라)</t>
        </is>
      </c>
      <c r="E162" s="94" t="inlineStr">
        <is>
          <t>토너</t>
        </is>
      </c>
      <c r="J162" s="94" t="n">
        <v>12046</v>
      </c>
    </row>
    <row r="163" hidden="1" customFormat="1" s="94">
      <c r="B163" s="128" t="n">
        <v>43774</v>
      </c>
      <c r="C163" s="94">
        <f>TEXT(B163,"aaa")</f>
        <v/>
      </c>
      <c r="D163" s="94" t="inlineStr">
        <is>
          <t>인스타그램(랄라블라)</t>
        </is>
      </c>
      <c r="E163" s="94" t="inlineStr">
        <is>
          <t>토너</t>
        </is>
      </c>
      <c r="J163" s="94" t="n">
        <v>54874</v>
      </c>
    </row>
    <row r="164" hidden="1" customFormat="1" s="94">
      <c r="B164" s="128" t="n">
        <v>43775</v>
      </c>
      <c r="C164" s="94">
        <f>TEXT(B164,"aaa")</f>
        <v/>
      </c>
      <c r="D164" s="94" t="inlineStr">
        <is>
          <t>인스타그램(랄라블라)</t>
        </is>
      </c>
      <c r="E164" s="94" t="inlineStr">
        <is>
          <t>토너</t>
        </is>
      </c>
      <c r="J164" s="94" t="n">
        <v>57633</v>
      </c>
    </row>
    <row r="165" hidden="1" customFormat="1" s="94">
      <c r="B165" s="128" t="n">
        <v>43776</v>
      </c>
      <c r="C165" s="94">
        <f>TEXT(B165,"aaa")</f>
        <v/>
      </c>
      <c r="D165" s="94" t="inlineStr">
        <is>
          <t>인스타그램(랄라블라)</t>
        </is>
      </c>
      <c r="E165" s="94" t="inlineStr">
        <is>
          <t>토너</t>
        </is>
      </c>
      <c r="J165" s="94" t="n">
        <v>57304</v>
      </c>
    </row>
    <row r="166" hidden="1" customFormat="1" s="94">
      <c r="B166" s="128" t="n">
        <v>43777</v>
      </c>
      <c r="C166" s="94">
        <f>TEXT(B166,"aaa")</f>
        <v/>
      </c>
      <c r="D166" s="94" t="inlineStr">
        <is>
          <t>인스타그램(랄라블라)</t>
        </is>
      </c>
      <c r="E166" s="94" t="inlineStr">
        <is>
          <t>토너</t>
        </is>
      </c>
      <c r="J166" s="94" t="n">
        <v>57666</v>
      </c>
    </row>
    <row r="167" hidden="1" customFormat="1" s="94">
      <c r="B167" s="128" t="n">
        <v>43778</v>
      </c>
      <c r="C167" s="94">
        <f>TEXT(B167,"aaa")</f>
        <v/>
      </c>
      <c r="D167" s="94" t="inlineStr">
        <is>
          <t>인스타그램(랄라블라)</t>
        </is>
      </c>
      <c r="E167" s="94" t="inlineStr">
        <is>
          <t>토너</t>
        </is>
      </c>
      <c r="J167" s="94" t="n">
        <v>57655</v>
      </c>
    </row>
    <row r="168" hidden="1" customFormat="1" s="94">
      <c r="B168" s="128" t="n">
        <v>43779</v>
      </c>
      <c r="C168" s="94">
        <f>TEXT(B168,"aaa")</f>
        <v/>
      </c>
      <c r="D168" s="94" t="inlineStr">
        <is>
          <t>인스타그램(랄라블라)</t>
        </is>
      </c>
      <c r="E168" s="94" t="inlineStr">
        <is>
          <t>토너</t>
        </is>
      </c>
      <c r="J168" s="94" t="n">
        <v>50134</v>
      </c>
    </row>
    <row r="169" hidden="1" customFormat="1" s="94">
      <c r="B169" s="128" t="n">
        <v>43780</v>
      </c>
      <c r="C169" s="94">
        <f>TEXT(B169,"aaa")</f>
        <v/>
      </c>
      <c r="D169" s="94" t="inlineStr">
        <is>
          <t>인스타그램(랄라블라)</t>
        </is>
      </c>
      <c r="E169" s="94" t="inlineStr">
        <is>
          <t>토너</t>
        </is>
      </c>
      <c r="J169" s="94" t="n">
        <v>34293</v>
      </c>
    </row>
    <row r="170" hidden="1" customFormat="1" s="94">
      <c r="B170" s="128" t="n">
        <v>43781</v>
      </c>
      <c r="C170" s="94">
        <f>TEXT(B170,"aaa")</f>
        <v/>
      </c>
      <c r="D170" s="94" t="inlineStr">
        <is>
          <t>인스타그램(랄라블라)</t>
        </is>
      </c>
      <c r="E170" s="94" t="inlineStr">
        <is>
          <t>토너</t>
        </is>
      </c>
      <c r="J170" s="94" t="n">
        <v>24871</v>
      </c>
    </row>
    <row r="171" hidden="1" customFormat="1" s="94">
      <c r="B171" s="128" t="n">
        <v>43782</v>
      </c>
      <c r="C171" s="94">
        <f>TEXT(B171,"aaa")</f>
        <v/>
      </c>
      <c r="D171" s="94" t="inlineStr">
        <is>
          <t>인스타그램(랄라블라)</t>
        </is>
      </c>
      <c r="E171" s="94" t="inlineStr">
        <is>
          <t>토너</t>
        </is>
      </c>
      <c r="J171" s="94" t="n">
        <v>23891</v>
      </c>
    </row>
    <row r="172" hidden="1" customFormat="1" s="94">
      <c r="B172" s="128" t="n">
        <v>43783</v>
      </c>
      <c r="C172" s="94">
        <f>TEXT(B172,"aaa")</f>
        <v/>
      </c>
      <c r="D172" s="94" t="inlineStr">
        <is>
          <t>인스타그램(랄라블라)</t>
        </is>
      </c>
      <c r="E172" s="94" t="inlineStr">
        <is>
          <t>토너</t>
        </is>
      </c>
      <c r="J172" s="94" t="n">
        <v>24721</v>
      </c>
    </row>
    <row r="173" hidden="1" customFormat="1" s="94">
      <c r="B173" s="128" t="n">
        <v>43784</v>
      </c>
      <c r="C173" s="94">
        <f>TEXT(B173,"aaa")</f>
        <v/>
      </c>
      <c r="D173" s="94" t="inlineStr">
        <is>
          <t>인스타그램(랄라블라)</t>
        </is>
      </c>
      <c r="E173" s="94" t="inlineStr">
        <is>
          <t>토너</t>
        </is>
      </c>
      <c r="J173" s="94" t="n">
        <v>25411</v>
      </c>
    </row>
    <row r="174" hidden="1" customFormat="1" s="94">
      <c r="B174" s="128" t="n">
        <v>43785</v>
      </c>
      <c r="C174" s="94">
        <f>TEXT(B174,"aaa")</f>
        <v/>
      </c>
      <c r="D174" s="94" t="inlineStr">
        <is>
          <t>인스타그램(랄라블라)</t>
        </is>
      </c>
      <c r="E174" s="94" t="inlineStr">
        <is>
          <t>토너</t>
        </is>
      </c>
      <c r="J174" s="94" t="n">
        <v>25174</v>
      </c>
    </row>
    <row r="175" hidden="1" customFormat="1" s="94">
      <c r="B175" s="128" t="n">
        <v>43786</v>
      </c>
      <c r="C175" s="94">
        <f>TEXT(B175,"aaa")</f>
        <v/>
      </c>
      <c r="D175" s="94" t="inlineStr">
        <is>
          <t>인스타그램(랄라블라)</t>
        </is>
      </c>
      <c r="E175" s="94" t="inlineStr">
        <is>
          <t>토너</t>
        </is>
      </c>
      <c r="J175" s="94" t="n">
        <v>25041</v>
      </c>
    </row>
    <row r="176" hidden="1" customFormat="1" s="94">
      <c r="B176" s="128" t="n">
        <v>43787</v>
      </c>
      <c r="C176" s="94">
        <f>TEXT(B176,"aaa")</f>
        <v/>
      </c>
      <c r="D176" s="94" t="inlineStr">
        <is>
          <t>인스타그램(랄라블라)</t>
        </is>
      </c>
      <c r="E176" s="94" t="inlineStr">
        <is>
          <t>토너</t>
        </is>
      </c>
      <c r="J176" s="94" t="n">
        <v>24011</v>
      </c>
    </row>
    <row r="177" hidden="1" customFormat="1" s="94">
      <c r="B177" s="128" t="n">
        <v>43788</v>
      </c>
      <c r="C177" s="94">
        <f>TEXT(B177,"aaa")</f>
        <v/>
      </c>
      <c r="D177" s="94" t="inlineStr">
        <is>
          <t>인스타그램(랄라블라)</t>
        </is>
      </c>
      <c r="E177" s="94" t="inlineStr">
        <is>
          <t>토너</t>
        </is>
      </c>
      <c r="J177" s="94" t="n">
        <v>25223</v>
      </c>
    </row>
    <row r="178" hidden="1" customFormat="1" s="94">
      <c r="B178" s="128" t="n">
        <v>43789</v>
      </c>
      <c r="C178" s="94">
        <f>TEXT(B178,"aaa")</f>
        <v/>
      </c>
      <c r="D178" s="94" t="inlineStr">
        <is>
          <t>인스타그램(랄라블라)</t>
        </is>
      </c>
      <c r="E178" s="94" t="inlineStr">
        <is>
          <t>토너</t>
        </is>
      </c>
      <c r="J178" s="94" t="n">
        <v>24434</v>
      </c>
    </row>
    <row r="179" hidden="1" customFormat="1" s="94">
      <c r="B179" s="128" t="n">
        <v>43790</v>
      </c>
      <c r="C179" s="94">
        <f>TEXT(B179,"aaa")</f>
        <v/>
      </c>
      <c r="D179" s="94" t="inlineStr">
        <is>
          <t>인스타그램(랄라블라)</t>
        </is>
      </c>
      <c r="E179" s="94" t="inlineStr">
        <is>
          <t>토너</t>
        </is>
      </c>
      <c r="J179" s="94" t="n">
        <v>25463</v>
      </c>
    </row>
    <row r="180" hidden="1" customFormat="1" s="94">
      <c r="B180" s="128" t="n">
        <v>43791</v>
      </c>
      <c r="C180" s="94">
        <f>TEXT(B180,"aaa")</f>
        <v/>
      </c>
      <c r="D180" s="94" t="inlineStr">
        <is>
          <t>인스타그램(랄라블라)</t>
        </is>
      </c>
      <c r="E180" s="94" t="inlineStr">
        <is>
          <t>토너</t>
        </is>
      </c>
      <c r="J180" s="94" t="n">
        <v>25474</v>
      </c>
    </row>
    <row r="181" hidden="1" customFormat="1" s="94">
      <c r="B181" s="128" t="n">
        <v>43792</v>
      </c>
      <c r="C181" s="94">
        <f>TEXT(B181,"aaa")</f>
        <v/>
      </c>
      <c r="D181" s="94" t="inlineStr">
        <is>
          <t>인스타그램(랄라블라)</t>
        </is>
      </c>
      <c r="E181" s="94" t="inlineStr">
        <is>
          <t>토너</t>
        </is>
      </c>
      <c r="J181" s="94" t="n">
        <v>25354</v>
      </c>
    </row>
    <row r="182" hidden="1" customFormat="1" s="94">
      <c r="B182" s="128" t="n">
        <v>43793</v>
      </c>
      <c r="C182" s="94">
        <f>TEXT(B182,"aaa")</f>
        <v/>
      </c>
      <c r="D182" s="94" t="inlineStr">
        <is>
          <t>인스타그램(랄라블라)</t>
        </is>
      </c>
      <c r="E182" s="94" t="inlineStr">
        <is>
          <t>토너</t>
        </is>
      </c>
      <c r="J182" s="94" t="n">
        <v>25051</v>
      </c>
    </row>
    <row r="183" hidden="1" customFormat="1" s="94">
      <c r="B183" s="128" t="n">
        <v>43794</v>
      </c>
      <c r="C183" s="94">
        <f>TEXT(B183,"aaa")</f>
        <v/>
      </c>
      <c r="D183" s="94" t="inlineStr">
        <is>
          <t>인스타그램(랄라블라)</t>
        </is>
      </c>
      <c r="E183" s="94" t="inlineStr">
        <is>
          <t>토너</t>
        </is>
      </c>
      <c r="J183" s="94" t="n">
        <v>24121</v>
      </c>
    </row>
    <row r="184" hidden="1" customFormat="1" s="94">
      <c r="B184" s="128" t="n">
        <v>43795</v>
      </c>
      <c r="C184" s="94">
        <f>TEXT(B184,"aaa")</f>
        <v/>
      </c>
      <c r="D184" s="94" t="inlineStr">
        <is>
          <t>인스타그램(랄라블라)</t>
        </is>
      </c>
      <c r="E184" s="94" t="inlineStr">
        <is>
          <t>토너</t>
        </is>
      </c>
      <c r="J184" s="94" t="n">
        <v>25156</v>
      </c>
    </row>
    <row r="185" hidden="1" customFormat="1" s="94">
      <c r="B185" s="128" t="n">
        <v>43796</v>
      </c>
      <c r="C185" s="94">
        <f>TEXT(B185,"aaa")</f>
        <v/>
      </c>
      <c r="D185" s="94" t="inlineStr">
        <is>
          <t>인스타그램(랄라블라)</t>
        </is>
      </c>
      <c r="E185" s="94" t="inlineStr">
        <is>
          <t>토너</t>
        </is>
      </c>
      <c r="J185" s="94" t="n">
        <v>25190</v>
      </c>
    </row>
    <row r="186" hidden="1" customFormat="1" s="94">
      <c r="B186" s="128" t="n">
        <v>43797</v>
      </c>
      <c r="C186" s="94">
        <f>TEXT(B186,"aaa")</f>
        <v/>
      </c>
      <c r="D186" s="94" t="inlineStr">
        <is>
          <t>인스타그램(랄라블라)</t>
        </is>
      </c>
      <c r="E186" s="94" t="inlineStr">
        <is>
          <t>토너</t>
        </is>
      </c>
      <c r="J186" s="94" t="n">
        <v>24853</v>
      </c>
    </row>
    <row r="187" hidden="1" customFormat="1" s="94">
      <c r="B187" s="128" t="n">
        <v>43798</v>
      </c>
      <c r="C187" s="94">
        <f>TEXT(B187,"aaa")</f>
        <v/>
      </c>
      <c r="D187" s="94" t="inlineStr">
        <is>
          <t>인스타그램(랄라블라)</t>
        </is>
      </c>
      <c r="E187" s="94" t="inlineStr">
        <is>
          <t>토너</t>
        </is>
      </c>
      <c r="J187" s="94" t="n">
        <v>25392</v>
      </c>
    </row>
    <row r="188" hidden="1" customFormat="1" s="94">
      <c r="B188" s="128" t="n">
        <v>43799</v>
      </c>
      <c r="C188" s="94">
        <f>TEXT(B188,"aaa")</f>
        <v/>
      </c>
      <c r="D188" s="94" t="inlineStr">
        <is>
          <t>인스타그램(랄라블라)</t>
        </is>
      </c>
      <c r="E188" s="94" t="inlineStr">
        <is>
          <t>토너</t>
        </is>
      </c>
      <c r="J188" s="94" t="n">
        <v>25237</v>
      </c>
    </row>
    <row r="189" hidden="1" customFormat="1" s="94">
      <c r="B189" s="128" t="n">
        <v>43770</v>
      </c>
      <c r="C189" s="94">
        <f>TEXT(B189,"aaa")</f>
        <v/>
      </c>
      <c r="D189" s="94" t="inlineStr">
        <is>
          <t>페이스북(전환)</t>
        </is>
      </c>
      <c r="E189" s="94" t="inlineStr">
        <is>
          <t>토너</t>
        </is>
      </c>
      <c r="J189" s="94" t="n">
        <v>195181</v>
      </c>
    </row>
    <row r="190" hidden="1" customFormat="1" s="94">
      <c r="B190" s="128" t="n">
        <v>43771</v>
      </c>
      <c r="C190" s="94">
        <f>TEXT(B190,"aaa")</f>
        <v/>
      </c>
      <c r="D190" s="94" t="inlineStr">
        <is>
          <t>페이스북(전환)</t>
        </is>
      </c>
      <c r="E190" s="94" t="inlineStr">
        <is>
          <t>토너</t>
        </is>
      </c>
      <c r="J190" s="94" t="n">
        <v>122294</v>
      </c>
    </row>
    <row r="191" hidden="1" customFormat="1" s="94">
      <c r="B191" s="128" t="n">
        <v>43770</v>
      </c>
      <c r="C191" s="94">
        <f>TEXT(B191,"aaa")</f>
        <v/>
      </c>
      <c r="D191" s="94" t="inlineStr">
        <is>
          <t>인스타그램(블로그)</t>
        </is>
      </c>
      <c r="E191" s="94" t="inlineStr">
        <is>
          <t>토너</t>
        </is>
      </c>
      <c r="J191" s="94" t="n">
        <v>50491</v>
      </c>
    </row>
    <row r="192" hidden="1" customFormat="1" s="94">
      <c r="B192" s="128" t="n">
        <v>43771</v>
      </c>
      <c r="C192" s="94">
        <f>TEXT(B192,"aaa")</f>
        <v/>
      </c>
      <c r="D192" s="94" t="inlineStr">
        <is>
          <t>인스타그램(블로그)</t>
        </is>
      </c>
      <c r="E192" s="94" t="inlineStr">
        <is>
          <t>토너</t>
        </is>
      </c>
      <c r="J192" s="94" t="n">
        <v>51000</v>
      </c>
    </row>
    <row r="193" hidden="1" customFormat="1" s="94">
      <c r="B193" s="128" t="n">
        <v>43772</v>
      </c>
      <c r="C193" s="94">
        <f>TEXT(B193,"aaa")</f>
        <v/>
      </c>
      <c r="D193" s="94" t="inlineStr">
        <is>
          <t>인스타그램(블로그)</t>
        </is>
      </c>
      <c r="E193" s="94" t="inlineStr">
        <is>
          <t>토너</t>
        </is>
      </c>
      <c r="J193" s="94" t="n">
        <v>50259</v>
      </c>
    </row>
    <row r="194" hidden="1" customFormat="1" s="94">
      <c r="B194" s="128" t="n">
        <v>43773</v>
      </c>
      <c r="C194" s="94">
        <f>TEXT(B194,"aaa")</f>
        <v/>
      </c>
      <c r="D194" s="94" t="inlineStr">
        <is>
          <t>인스타그램(블로그)</t>
        </is>
      </c>
      <c r="E194" s="94" t="inlineStr">
        <is>
          <t>토너</t>
        </is>
      </c>
      <c r="J194" s="94" t="n">
        <v>48151</v>
      </c>
    </row>
    <row r="195" hidden="1" customFormat="1" s="94">
      <c r="B195" s="128" t="n">
        <v>43774</v>
      </c>
      <c r="C195" s="94">
        <f>TEXT(B195,"aaa")</f>
        <v/>
      </c>
      <c r="D195" s="94" t="inlineStr">
        <is>
          <t>인스타그램(블로그)</t>
        </is>
      </c>
      <c r="E195" s="94" t="inlineStr">
        <is>
          <t>토너</t>
        </is>
      </c>
      <c r="J195" s="94" t="n">
        <v>50427</v>
      </c>
    </row>
    <row r="196" hidden="1" customFormat="1" s="94">
      <c r="B196" s="128" t="n">
        <v>43775</v>
      </c>
      <c r="C196" s="94">
        <f>TEXT(B196,"aaa")</f>
        <v/>
      </c>
      <c r="D196" s="94" t="inlineStr">
        <is>
          <t>인스타그램(블로그)</t>
        </is>
      </c>
      <c r="E196" s="94" t="inlineStr">
        <is>
          <t>토너</t>
        </is>
      </c>
      <c r="J196" s="94" t="n">
        <v>49368</v>
      </c>
    </row>
    <row r="197" hidden="1" customFormat="1" s="94">
      <c r="B197" s="128" t="n">
        <v>43776</v>
      </c>
      <c r="C197" s="94">
        <f>TEXT(B197,"aaa")</f>
        <v/>
      </c>
      <c r="D197" s="94" t="inlineStr">
        <is>
          <t>인스타그램(블로그)</t>
        </is>
      </c>
      <c r="E197" s="94" t="inlineStr">
        <is>
          <t>토너</t>
        </is>
      </c>
      <c r="J197" s="94" t="n">
        <v>50701</v>
      </c>
    </row>
    <row r="198" hidden="1" customFormat="1" s="94">
      <c r="B198" s="128" t="n">
        <v>43777</v>
      </c>
      <c r="C198" s="94">
        <f>TEXT(B198,"aaa")</f>
        <v/>
      </c>
      <c r="D198" s="94" t="inlineStr">
        <is>
          <t>인스타그램(블로그)</t>
        </is>
      </c>
      <c r="E198" s="94" t="inlineStr">
        <is>
          <t>토너</t>
        </is>
      </c>
      <c r="J198" s="94" t="n">
        <v>48869</v>
      </c>
    </row>
    <row r="199" hidden="1" customFormat="1" s="94">
      <c r="B199" s="128" t="n">
        <v>43778</v>
      </c>
      <c r="C199" s="94">
        <f>TEXT(B199,"aaa")</f>
        <v/>
      </c>
      <c r="D199" s="94" t="inlineStr">
        <is>
          <t>인스타그램(블로그)</t>
        </is>
      </c>
      <c r="E199" s="94" t="inlineStr">
        <is>
          <t>토너</t>
        </is>
      </c>
      <c r="J199" s="94" t="n">
        <v>52197</v>
      </c>
    </row>
    <row r="200" hidden="1" customFormat="1" s="94">
      <c r="B200" s="128" t="n">
        <v>43779</v>
      </c>
      <c r="C200" s="94">
        <f>TEXT(B200,"aaa")</f>
        <v/>
      </c>
      <c r="D200" s="94" t="inlineStr">
        <is>
          <t>인스타그램(블로그)</t>
        </is>
      </c>
      <c r="E200" s="94" t="inlineStr">
        <is>
          <t>토너</t>
        </is>
      </c>
      <c r="J200" s="94" t="n">
        <v>50252</v>
      </c>
    </row>
    <row r="201" hidden="1" customFormat="1" s="94">
      <c r="B201" s="128" t="n">
        <v>43780</v>
      </c>
      <c r="C201" s="94">
        <f>TEXT(B201,"aaa")</f>
        <v/>
      </c>
      <c r="D201" s="94" t="inlineStr">
        <is>
          <t>인스타그램(블로그)</t>
        </is>
      </c>
      <c r="E201" s="94" t="inlineStr">
        <is>
          <t>토너</t>
        </is>
      </c>
      <c r="J201" s="94" t="n">
        <v>48298</v>
      </c>
    </row>
    <row r="202" hidden="1" customFormat="1" s="94">
      <c r="B202" s="128" t="n">
        <v>43781</v>
      </c>
      <c r="C202" s="94">
        <f>TEXT(B202,"aaa")</f>
        <v/>
      </c>
      <c r="D202" s="94" t="inlineStr">
        <is>
          <t>인스타그램(블로그)</t>
        </is>
      </c>
      <c r="E202" s="94" t="inlineStr">
        <is>
          <t>토너</t>
        </is>
      </c>
      <c r="J202" s="94" t="n">
        <v>50619</v>
      </c>
    </row>
    <row r="203" hidden="1" customFormat="1" s="94">
      <c r="B203" s="128" t="n">
        <v>43782</v>
      </c>
      <c r="C203" s="94">
        <f>TEXT(B203,"aaa")</f>
        <v/>
      </c>
      <c r="D203" s="94" t="inlineStr">
        <is>
          <t>인스타그램(블로그)</t>
        </is>
      </c>
      <c r="E203" s="94" t="inlineStr">
        <is>
          <t>토너</t>
        </is>
      </c>
      <c r="J203" s="94" t="n">
        <v>50372</v>
      </c>
    </row>
    <row r="204" hidden="1" customFormat="1" s="94">
      <c r="B204" s="128" t="n">
        <v>43783</v>
      </c>
      <c r="C204" s="94">
        <f>TEXT(B204,"aaa")</f>
        <v/>
      </c>
      <c r="D204" s="94" t="inlineStr">
        <is>
          <t>인스타그램(블로그)</t>
        </is>
      </c>
      <c r="E204" s="94" t="inlineStr">
        <is>
          <t>토너</t>
        </is>
      </c>
      <c r="J204" s="94" t="n">
        <v>49210</v>
      </c>
    </row>
    <row r="205" hidden="1" customFormat="1" s="94">
      <c r="B205" s="128" t="n">
        <v>43784</v>
      </c>
      <c r="C205" s="94">
        <f>TEXT(B205,"aaa")</f>
        <v/>
      </c>
      <c r="D205" s="94" t="inlineStr">
        <is>
          <t>인스타그램(블로그)</t>
        </is>
      </c>
      <c r="E205" s="94" t="inlineStr">
        <is>
          <t>토너</t>
        </is>
      </c>
      <c r="J205" s="94" t="n">
        <v>50263</v>
      </c>
    </row>
    <row r="206" hidden="1" customFormat="1" s="94">
      <c r="B206" s="128" t="n">
        <v>43785</v>
      </c>
      <c r="C206" s="94">
        <f>TEXT(B206,"aaa")</f>
        <v/>
      </c>
      <c r="D206" s="94" t="inlineStr">
        <is>
          <t>인스타그램(블로그)</t>
        </is>
      </c>
      <c r="E206" s="94" t="inlineStr">
        <is>
          <t>토너</t>
        </is>
      </c>
      <c r="J206" s="94" t="n">
        <v>50957</v>
      </c>
    </row>
    <row r="207" hidden="1" customFormat="1" s="94">
      <c r="B207" s="128" t="n">
        <v>43786</v>
      </c>
      <c r="C207" s="94">
        <f>TEXT(B207,"aaa")</f>
        <v/>
      </c>
      <c r="D207" s="94" t="inlineStr">
        <is>
          <t>인스타그램(블로그)</t>
        </is>
      </c>
      <c r="E207" s="94" t="inlineStr">
        <is>
          <t>토너</t>
        </is>
      </c>
      <c r="J207" s="94" t="n">
        <v>50130</v>
      </c>
    </row>
    <row r="208" hidden="1" customFormat="1" s="94">
      <c r="B208" s="128" t="n">
        <v>43787</v>
      </c>
      <c r="C208" s="94">
        <f>TEXT(B208,"aaa")</f>
        <v/>
      </c>
      <c r="D208" s="94" t="inlineStr">
        <is>
          <t>인스타그램(블로그)</t>
        </is>
      </c>
      <c r="E208" s="94" t="inlineStr">
        <is>
          <t>토너</t>
        </is>
      </c>
      <c r="J208" s="94" t="n">
        <v>48778</v>
      </c>
    </row>
    <row r="209" hidden="1" customFormat="1" s="94">
      <c r="B209" s="128" t="n">
        <v>43788</v>
      </c>
      <c r="C209" s="94">
        <f>TEXT(B209,"aaa")</f>
        <v/>
      </c>
      <c r="D209" s="94" t="inlineStr">
        <is>
          <t>인스타그램(블로그)</t>
        </is>
      </c>
      <c r="E209" s="94" t="inlineStr">
        <is>
          <t>토너</t>
        </is>
      </c>
      <c r="J209" s="94" t="n">
        <v>48602</v>
      </c>
    </row>
    <row r="210" hidden="1" customFormat="1" s="94">
      <c r="B210" s="128" t="n">
        <v>43789</v>
      </c>
      <c r="C210" s="94">
        <f>TEXT(B210,"aaa")</f>
        <v/>
      </c>
      <c r="D210" s="94" t="inlineStr">
        <is>
          <t>인스타그램(블로그)</t>
        </is>
      </c>
      <c r="E210" s="94" t="inlineStr">
        <is>
          <t>토너</t>
        </is>
      </c>
      <c r="J210" s="94" t="n">
        <v>49190</v>
      </c>
    </row>
    <row r="211" hidden="1" customFormat="1" s="94">
      <c r="B211" s="128" t="n">
        <v>43790</v>
      </c>
      <c r="C211" s="94">
        <f>TEXT(B211,"aaa")</f>
        <v/>
      </c>
      <c r="D211" s="94" t="inlineStr">
        <is>
          <t>인스타그램(블로그)</t>
        </is>
      </c>
      <c r="E211" s="94" t="inlineStr">
        <is>
          <t>토너</t>
        </is>
      </c>
      <c r="J211" s="94" t="n">
        <v>50596</v>
      </c>
    </row>
    <row r="212" hidden="1" customFormat="1" s="94">
      <c r="B212" s="128" t="n">
        <v>43791</v>
      </c>
      <c r="C212" s="94">
        <f>TEXT(B212,"aaa")</f>
        <v/>
      </c>
      <c r="D212" s="94" t="inlineStr">
        <is>
          <t>인스타그램(블로그)</t>
        </is>
      </c>
      <c r="E212" s="94" t="inlineStr">
        <is>
          <t>토너</t>
        </is>
      </c>
      <c r="J212" s="94" t="n">
        <v>50082</v>
      </c>
    </row>
    <row r="213" hidden="1" customFormat="1" s="94">
      <c r="B213" s="128" t="n">
        <v>43792</v>
      </c>
      <c r="C213" s="94">
        <f>TEXT(B213,"aaa")</f>
        <v/>
      </c>
      <c r="D213" s="94" t="inlineStr">
        <is>
          <t>인스타그램(블로그)</t>
        </is>
      </c>
      <c r="E213" s="94" t="inlineStr">
        <is>
          <t>토너</t>
        </is>
      </c>
      <c r="J213" s="94" t="n">
        <v>52622</v>
      </c>
    </row>
    <row r="214" hidden="1" customFormat="1" s="94">
      <c r="B214" s="128" t="n">
        <v>43793</v>
      </c>
      <c r="C214" s="94">
        <f>TEXT(B214,"aaa")</f>
        <v/>
      </c>
      <c r="D214" s="94" t="inlineStr">
        <is>
          <t>인스타그램(블로그)</t>
        </is>
      </c>
      <c r="E214" s="94" t="inlineStr">
        <is>
          <t>토너</t>
        </is>
      </c>
      <c r="J214" s="94" t="n">
        <v>50158</v>
      </c>
    </row>
    <row r="215" hidden="1" customFormat="1" s="94">
      <c r="B215" s="128" t="n">
        <v>43794</v>
      </c>
      <c r="C215" s="94">
        <f>TEXT(B215,"aaa")</f>
        <v/>
      </c>
      <c r="D215" s="94" t="inlineStr">
        <is>
          <t>인스타그램(블로그)</t>
        </is>
      </c>
      <c r="E215" s="94" t="inlineStr">
        <is>
          <t>토너</t>
        </is>
      </c>
      <c r="J215" s="94" t="n">
        <v>48491</v>
      </c>
    </row>
    <row r="216" hidden="1" customFormat="1" s="94">
      <c r="B216" s="128" t="n">
        <v>43795</v>
      </c>
      <c r="C216" s="94">
        <f>TEXT(B216,"aaa")</f>
        <v/>
      </c>
      <c r="D216" s="94" t="inlineStr">
        <is>
          <t>인스타그램(블로그)</t>
        </is>
      </c>
      <c r="E216" s="94" t="inlineStr">
        <is>
          <t>토너</t>
        </is>
      </c>
      <c r="J216" s="94" t="n">
        <v>49023</v>
      </c>
    </row>
    <row r="217" hidden="1" customFormat="1" s="94">
      <c r="B217" s="128" t="n">
        <v>43796</v>
      </c>
      <c r="C217" s="94">
        <f>TEXT(B217,"aaa")</f>
        <v/>
      </c>
      <c r="D217" s="94" t="inlineStr">
        <is>
          <t>인스타그램(블로그)</t>
        </is>
      </c>
      <c r="E217" s="94" t="inlineStr">
        <is>
          <t>토너</t>
        </is>
      </c>
      <c r="J217" s="94" t="n">
        <v>49431</v>
      </c>
    </row>
    <row r="218" hidden="1" customFormat="1" s="94">
      <c r="B218" s="128" t="n">
        <v>43797</v>
      </c>
      <c r="C218" s="94">
        <f>TEXT(B218,"aaa")</f>
        <v/>
      </c>
      <c r="D218" s="94" t="inlineStr">
        <is>
          <t>인스타그램(블로그)</t>
        </is>
      </c>
      <c r="E218" s="94" t="inlineStr">
        <is>
          <t>토너</t>
        </is>
      </c>
      <c r="J218" s="94" t="n">
        <v>48688</v>
      </c>
    </row>
    <row r="219" hidden="1" customFormat="1" s="94">
      <c r="B219" s="128" t="n">
        <v>43798</v>
      </c>
      <c r="C219" s="94">
        <f>TEXT(B219,"aaa")</f>
        <v/>
      </c>
      <c r="D219" s="94" t="inlineStr">
        <is>
          <t>인스타그램(블로그)</t>
        </is>
      </c>
      <c r="E219" s="94" t="inlineStr">
        <is>
          <t>토너</t>
        </is>
      </c>
      <c r="J219" s="94" t="n">
        <v>51824</v>
      </c>
    </row>
    <row r="220" hidden="1" customFormat="1" s="94">
      <c r="B220" s="128" t="n">
        <v>43799</v>
      </c>
      <c r="C220" s="94">
        <f>TEXT(B220,"aaa")</f>
        <v/>
      </c>
      <c r="D220" s="94" t="inlineStr">
        <is>
          <t>인스타그램(블로그)</t>
        </is>
      </c>
      <c r="E220" s="94" t="inlineStr">
        <is>
          <t>토너</t>
        </is>
      </c>
      <c r="J220" s="94" t="n">
        <v>52385</v>
      </c>
    </row>
    <row r="221" hidden="1" customFormat="1" s="94">
      <c r="B221" s="128" t="n">
        <v>43770</v>
      </c>
      <c r="C221" s="94">
        <f>TEXT(B221,"aaa")</f>
        <v/>
      </c>
      <c r="D221" s="94" t="inlineStr">
        <is>
          <t>네이버 쇼핑검색</t>
        </is>
      </c>
      <c r="E221" s="94" t="inlineStr">
        <is>
          <t>토너</t>
        </is>
      </c>
      <c r="J221" s="94" t="n">
        <v>3900</v>
      </c>
    </row>
    <row r="222" hidden="1" customFormat="1" s="94">
      <c r="B222" s="128" t="n">
        <v>43771</v>
      </c>
      <c r="C222" s="94">
        <f>TEXT(B222,"aaa")</f>
        <v/>
      </c>
      <c r="D222" s="94" t="inlineStr">
        <is>
          <t>네이버 쇼핑검색</t>
        </is>
      </c>
      <c r="E222" s="94" t="inlineStr">
        <is>
          <t>토너</t>
        </is>
      </c>
      <c r="J222" s="94" t="n">
        <v>3110</v>
      </c>
    </row>
    <row r="223" hidden="1" customFormat="1" s="94">
      <c r="B223" s="128" t="n">
        <v>43772</v>
      </c>
      <c r="C223" s="94">
        <f>TEXT(B223,"aaa")</f>
        <v/>
      </c>
      <c r="D223" s="94" t="inlineStr">
        <is>
          <t>네이버 쇼핑검색</t>
        </is>
      </c>
      <c r="E223" s="94" t="inlineStr">
        <is>
          <t>토너</t>
        </is>
      </c>
      <c r="J223" s="94" t="n">
        <v>4670</v>
      </c>
    </row>
    <row r="224" hidden="1" customFormat="1" s="94">
      <c r="B224" s="128" t="n">
        <v>43773</v>
      </c>
      <c r="C224" s="94">
        <f>TEXT(B224,"aaa")</f>
        <v/>
      </c>
      <c r="D224" s="94" t="inlineStr">
        <is>
          <t>네이버 쇼핑검색</t>
        </is>
      </c>
      <c r="E224" s="94" t="inlineStr">
        <is>
          <t>토너</t>
        </is>
      </c>
      <c r="J224" s="94" t="n">
        <v>2640</v>
      </c>
    </row>
    <row r="225" hidden="1" customFormat="1" s="94">
      <c r="B225" s="128" t="n">
        <v>43774</v>
      </c>
      <c r="C225" s="94">
        <f>TEXT(B225,"aaa")</f>
        <v/>
      </c>
      <c r="D225" s="94" t="inlineStr">
        <is>
          <t>네이버 쇼핑검색</t>
        </is>
      </c>
      <c r="E225" s="94" t="inlineStr">
        <is>
          <t>토너</t>
        </is>
      </c>
      <c r="J225" s="94" t="n">
        <v>3990</v>
      </c>
    </row>
    <row r="226" hidden="1" customFormat="1" s="94">
      <c r="B226" s="128" t="n">
        <v>43775</v>
      </c>
      <c r="C226" s="94">
        <f>TEXT(B226,"aaa")</f>
        <v/>
      </c>
      <c r="D226" s="94" t="inlineStr">
        <is>
          <t>네이버 쇼핑검색</t>
        </is>
      </c>
      <c r="E226" s="94" t="inlineStr">
        <is>
          <t>토너</t>
        </is>
      </c>
      <c r="J226" s="94" t="n">
        <v>4940</v>
      </c>
    </row>
    <row r="227" hidden="1" customFormat="1" s="94">
      <c r="B227" s="128" t="n">
        <v>43776</v>
      </c>
      <c r="C227" s="94">
        <f>TEXT(B227,"aaa")</f>
        <v/>
      </c>
      <c r="D227" s="94" t="inlineStr">
        <is>
          <t>네이버 쇼핑검색</t>
        </is>
      </c>
      <c r="E227" s="94" t="inlineStr">
        <is>
          <t>토너</t>
        </is>
      </c>
      <c r="J227" s="94" t="n">
        <v>3990</v>
      </c>
    </row>
    <row r="228" hidden="1" customFormat="1" s="94">
      <c r="B228" s="128" t="n">
        <v>43777</v>
      </c>
      <c r="C228" s="94">
        <f>TEXT(B228,"aaa")</f>
        <v/>
      </c>
      <c r="D228" s="94" t="inlineStr">
        <is>
          <t>네이버 쇼핑검색</t>
        </is>
      </c>
      <c r="E228" s="94" t="inlineStr">
        <is>
          <t>토너</t>
        </is>
      </c>
      <c r="J228" s="94" t="n">
        <v>4550</v>
      </c>
    </row>
    <row r="229" hidden="1" customFormat="1" s="94">
      <c r="B229" s="128" t="n">
        <v>43778</v>
      </c>
      <c r="C229" s="94">
        <f>TEXT(B229,"aaa")</f>
        <v/>
      </c>
      <c r="D229" s="94" t="inlineStr">
        <is>
          <t>네이버 쇼핑검색</t>
        </is>
      </c>
      <c r="E229" s="94" t="inlineStr">
        <is>
          <t>토너</t>
        </is>
      </c>
      <c r="J229" s="94" t="n">
        <v>4020</v>
      </c>
    </row>
    <row r="230" hidden="1" customFormat="1" s="94">
      <c r="B230" s="128" t="n">
        <v>43779</v>
      </c>
      <c r="C230" s="94">
        <f>TEXT(B230,"aaa")</f>
        <v/>
      </c>
      <c r="D230" s="94" t="inlineStr">
        <is>
          <t>네이버 쇼핑검색</t>
        </is>
      </c>
      <c r="E230" s="94" t="inlineStr">
        <is>
          <t>토너</t>
        </is>
      </c>
      <c r="J230" s="94" t="n">
        <v>4750</v>
      </c>
    </row>
    <row r="231" hidden="1" customFormat="1" s="94">
      <c r="B231" s="128" t="n">
        <v>43780</v>
      </c>
      <c r="C231" s="94">
        <f>TEXT(B231,"aaa")</f>
        <v/>
      </c>
      <c r="D231" s="94" t="inlineStr">
        <is>
          <t>네이버 쇼핑검색</t>
        </is>
      </c>
      <c r="E231" s="94" t="inlineStr">
        <is>
          <t>토너</t>
        </is>
      </c>
      <c r="J231" s="94" t="n">
        <v>4560</v>
      </c>
    </row>
    <row r="232" hidden="1" customFormat="1" s="94">
      <c r="B232" s="128" t="n">
        <v>43781</v>
      </c>
      <c r="C232" s="94">
        <f>TEXT(B232,"aaa")</f>
        <v/>
      </c>
      <c r="D232" s="94" t="inlineStr">
        <is>
          <t>네이버 쇼핑검색</t>
        </is>
      </c>
      <c r="E232" s="94" t="inlineStr">
        <is>
          <t>토너</t>
        </is>
      </c>
      <c r="J232" s="94" t="n">
        <v>12350</v>
      </c>
    </row>
    <row r="233" hidden="1" customFormat="1" s="94">
      <c r="B233" s="128" t="n">
        <v>43782</v>
      </c>
      <c r="C233" s="94">
        <f>TEXT(B233,"aaa")</f>
        <v/>
      </c>
      <c r="D233" s="94" t="inlineStr">
        <is>
          <t>네이버 쇼핑검색</t>
        </is>
      </c>
      <c r="E233" s="94" t="inlineStr">
        <is>
          <t>토너</t>
        </is>
      </c>
      <c r="J233" s="94" t="n">
        <v>6509.999999999999</v>
      </c>
    </row>
    <row r="234" hidden="1" customFormat="1" s="94">
      <c r="B234" s="128" t="n">
        <v>43783</v>
      </c>
      <c r="C234" s="94">
        <f>TEXT(B234,"aaa")</f>
        <v/>
      </c>
      <c r="D234" s="94" t="inlineStr">
        <is>
          <t>네이버 쇼핑검색</t>
        </is>
      </c>
      <c r="E234" s="94" t="inlineStr">
        <is>
          <t>토너</t>
        </is>
      </c>
      <c r="J234" s="94" t="n">
        <v>4990</v>
      </c>
    </row>
    <row r="235" hidden="1" customFormat="1" s="94">
      <c r="B235" s="128" t="n">
        <v>43784</v>
      </c>
      <c r="C235" s="94">
        <f>TEXT(B235,"aaa")</f>
        <v/>
      </c>
      <c r="D235" s="94" t="inlineStr">
        <is>
          <t>네이버 쇼핑검색</t>
        </is>
      </c>
      <c r="E235" s="94" t="inlineStr">
        <is>
          <t>토너</t>
        </is>
      </c>
      <c r="J235" s="94" t="n">
        <v>5400</v>
      </c>
    </row>
    <row r="236" hidden="1" customFormat="1" s="94">
      <c r="B236" s="128" t="n">
        <v>43785</v>
      </c>
      <c r="C236" s="94">
        <f>TEXT(B236,"aaa")</f>
        <v/>
      </c>
      <c r="D236" s="94" t="inlineStr">
        <is>
          <t>네이버 쇼핑검색</t>
        </is>
      </c>
      <c r="E236" s="94" t="inlineStr">
        <is>
          <t>토너</t>
        </is>
      </c>
      <c r="J236" s="94" t="n">
        <v>4600</v>
      </c>
    </row>
    <row r="237" hidden="1" customFormat="1" s="94">
      <c r="B237" s="128" t="n">
        <v>43786</v>
      </c>
      <c r="C237" s="94">
        <f>TEXT(B237,"aaa")</f>
        <v/>
      </c>
      <c r="D237" s="94" t="inlineStr">
        <is>
          <t>네이버 쇼핑검색</t>
        </is>
      </c>
      <c r="E237" s="94" t="inlineStr">
        <is>
          <t>토너</t>
        </is>
      </c>
      <c r="J237" s="94" t="n">
        <v>6199.999999999999</v>
      </c>
    </row>
    <row r="238" hidden="1" customFormat="1" s="94">
      <c r="B238" s="128" t="n">
        <v>43787</v>
      </c>
      <c r="C238" s="94">
        <f>TEXT(B238,"aaa")</f>
        <v/>
      </c>
      <c r="D238" s="94" t="inlineStr">
        <is>
          <t>네이버 쇼핑검색</t>
        </is>
      </c>
      <c r="E238" s="94" t="inlineStr">
        <is>
          <t>토너</t>
        </is>
      </c>
      <c r="J238" s="94" t="n">
        <v>3980</v>
      </c>
    </row>
    <row r="239" hidden="1" customFormat="1" s="94">
      <c r="B239" s="128" t="n">
        <v>43788</v>
      </c>
      <c r="C239" s="94">
        <f>TEXT(B239,"aaa")</f>
        <v/>
      </c>
      <c r="D239" s="94" t="inlineStr">
        <is>
          <t>네이버 쇼핑검색</t>
        </is>
      </c>
      <c r="E239" s="94" t="inlineStr">
        <is>
          <t>토너</t>
        </is>
      </c>
      <c r="J239" s="94" t="n">
        <v>8800</v>
      </c>
    </row>
    <row r="240" hidden="1" customFormat="1" s="94">
      <c r="B240" s="128" t="n">
        <v>43789</v>
      </c>
      <c r="C240" s="94">
        <f>TEXT(B240,"aaa")</f>
        <v/>
      </c>
      <c r="D240" s="94" t="inlineStr">
        <is>
          <t>네이버 쇼핑검색</t>
        </is>
      </c>
      <c r="E240" s="94" t="inlineStr">
        <is>
          <t>토너</t>
        </is>
      </c>
      <c r="J240" s="94" t="n">
        <v>5799.999999999999</v>
      </c>
    </row>
    <row r="241" hidden="1" customFormat="1" s="94">
      <c r="B241" s="128" t="n">
        <v>43790</v>
      </c>
      <c r="C241" s="94">
        <f>TEXT(B241,"aaa")</f>
        <v/>
      </c>
      <c r="D241" s="94" t="inlineStr">
        <is>
          <t>네이버 쇼핑검색</t>
        </is>
      </c>
      <c r="E241" s="94" t="inlineStr">
        <is>
          <t>토너</t>
        </is>
      </c>
      <c r="J241" s="94" t="n">
        <v>5590</v>
      </c>
    </row>
    <row r="242" hidden="1" customFormat="1" s="94">
      <c r="B242" s="128" t="n">
        <v>43791</v>
      </c>
      <c r="C242" s="94">
        <f>TEXT(B242,"aaa")</f>
        <v/>
      </c>
      <c r="D242" s="94" t="inlineStr">
        <is>
          <t>네이버 쇼핑검색</t>
        </is>
      </c>
      <c r="E242" s="94" t="inlineStr">
        <is>
          <t>토너</t>
        </is>
      </c>
      <c r="J242" s="94" t="n">
        <v>5350</v>
      </c>
    </row>
    <row r="243" hidden="1" customFormat="1" s="94">
      <c r="B243" s="128" t="n">
        <v>43792</v>
      </c>
      <c r="C243" s="94">
        <f>TEXT(B243,"aaa")</f>
        <v/>
      </c>
      <c r="D243" s="94" t="inlineStr">
        <is>
          <t>네이버 쇼핑검색</t>
        </is>
      </c>
      <c r="E243" s="94" t="inlineStr">
        <is>
          <t>토너</t>
        </is>
      </c>
      <c r="J243" s="94" t="n">
        <v>5200</v>
      </c>
    </row>
    <row r="244" hidden="1" customFormat="1" s="94">
      <c r="B244" s="128" t="n">
        <v>43793</v>
      </c>
      <c r="C244" s="94">
        <f>TEXT(B244,"aaa")</f>
        <v/>
      </c>
      <c r="D244" s="94" t="inlineStr">
        <is>
          <t>네이버 쇼핑검색</t>
        </is>
      </c>
      <c r="E244" s="94" t="inlineStr">
        <is>
          <t>토너</t>
        </is>
      </c>
      <c r="J244" s="94" t="n">
        <v>6799.999999999999</v>
      </c>
    </row>
    <row r="245" hidden="1" customFormat="1" s="94">
      <c r="B245" s="128" t="n">
        <v>43794</v>
      </c>
      <c r="C245" s="94">
        <f>TEXT(B245,"aaa")</f>
        <v/>
      </c>
      <c r="D245" s="94" t="inlineStr">
        <is>
          <t>네이버 쇼핑검색</t>
        </is>
      </c>
      <c r="E245" s="94" t="inlineStr">
        <is>
          <t>토너</t>
        </is>
      </c>
      <c r="J245" s="94" t="n">
        <v>6199.999999999999</v>
      </c>
    </row>
    <row r="246" hidden="1" customFormat="1" s="94">
      <c r="B246" s="128" t="n">
        <v>43795</v>
      </c>
      <c r="C246" s="94">
        <f>TEXT(B246,"aaa")</f>
        <v/>
      </c>
      <c r="D246" s="94" t="inlineStr">
        <is>
          <t>네이버 쇼핑검색</t>
        </is>
      </c>
      <c r="E246" s="94" t="inlineStr">
        <is>
          <t>토너</t>
        </is>
      </c>
      <c r="J246" s="94" t="n">
        <v>5350</v>
      </c>
    </row>
    <row r="247" hidden="1" customFormat="1" s="94">
      <c r="B247" s="128" t="n">
        <v>43796</v>
      </c>
      <c r="C247" s="94">
        <f>TEXT(B247,"aaa")</f>
        <v/>
      </c>
      <c r="D247" s="94" t="inlineStr">
        <is>
          <t>네이버 쇼핑검색</t>
        </is>
      </c>
      <c r="E247" s="94" t="inlineStr">
        <is>
          <t>토너</t>
        </is>
      </c>
      <c r="J247" s="94" t="n">
        <v>3600</v>
      </c>
    </row>
    <row r="248" hidden="1" customFormat="1" s="94">
      <c r="B248" s="128" t="n">
        <v>43797</v>
      </c>
      <c r="C248" s="94">
        <f>TEXT(B248,"aaa")</f>
        <v/>
      </c>
      <c r="D248" s="94" t="inlineStr">
        <is>
          <t>네이버 쇼핑검색</t>
        </is>
      </c>
      <c r="E248" s="94" t="inlineStr">
        <is>
          <t>토너</t>
        </is>
      </c>
      <c r="J248" s="94" t="n">
        <v>3390</v>
      </c>
    </row>
    <row r="249" hidden="1" customFormat="1" s="94">
      <c r="B249" s="128" t="n">
        <v>43798</v>
      </c>
      <c r="C249" s="94">
        <f>TEXT(B249,"aaa")</f>
        <v/>
      </c>
      <c r="D249" s="94" t="inlineStr">
        <is>
          <t>네이버 쇼핑검색</t>
        </is>
      </c>
      <c r="E249" s="94" t="inlineStr">
        <is>
          <t>토너</t>
        </is>
      </c>
      <c r="J249" s="94" t="n">
        <v>4550</v>
      </c>
    </row>
    <row r="250" hidden="1" customFormat="1" s="94">
      <c r="B250" s="128" t="n">
        <v>43799</v>
      </c>
      <c r="C250" s="94">
        <f>TEXT(B250,"aaa")</f>
        <v/>
      </c>
      <c r="D250" s="94" t="inlineStr">
        <is>
          <t>네이버 쇼핑검색</t>
        </is>
      </c>
      <c r="E250" s="94" t="inlineStr">
        <is>
          <t>토너</t>
        </is>
      </c>
      <c r="J250" s="94" t="n">
        <v>3600</v>
      </c>
    </row>
    <row r="251" hidden="1" customFormat="1" s="94">
      <c r="B251" s="128" t="n">
        <v>43770</v>
      </c>
      <c r="C251" s="94">
        <f>TEXT(B251,"aaa")</f>
        <v/>
      </c>
      <c r="D251" s="94" t="inlineStr">
        <is>
          <t>네이버 브랜드검색</t>
        </is>
      </c>
      <c r="E251" s="94" t="inlineStr">
        <is>
          <t>토너</t>
        </is>
      </c>
      <c r="J251" s="94" t="n">
        <v>20000</v>
      </c>
    </row>
    <row r="252" hidden="1" customFormat="1" s="94">
      <c r="B252" s="128" t="n">
        <v>43771</v>
      </c>
      <c r="C252" s="94">
        <f>TEXT(B252,"aaa")</f>
        <v/>
      </c>
      <c r="D252" s="94" t="inlineStr">
        <is>
          <t>네이버 브랜드검색</t>
        </is>
      </c>
      <c r="E252" s="94" t="inlineStr">
        <is>
          <t>토너</t>
        </is>
      </c>
      <c r="J252" s="94" t="n">
        <v>20000</v>
      </c>
    </row>
    <row r="253" hidden="1" customFormat="1" s="94">
      <c r="B253" s="128" t="n">
        <v>43772</v>
      </c>
      <c r="C253" s="94">
        <f>TEXT(B253,"aaa")</f>
        <v/>
      </c>
      <c r="D253" s="94" t="inlineStr">
        <is>
          <t>네이버 브랜드검색</t>
        </is>
      </c>
      <c r="E253" s="94" t="inlineStr">
        <is>
          <t>토너</t>
        </is>
      </c>
      <c r="J253" s="94" t="n">
        <v>20000</v>
      </c>
    </row>
    <row r="254" hidden="1" customFormat="1" s="94">
      <c r="B254" s="128" t="n">
        <v>43773</v>
      </c>
      <c r="C254" s="94">
        <f>TEXT(B254,"aaa")</f>
        <v/>
      </c>
      <c r="D254" s="94" t="inlineStr">
        <is>
          <t>네이버 브랜드검색</t>
        </is>
      </c>
      <c r="E254" s="94" t="inlineStr">
        <is>
          <t>토너</t>
        </is>
      </c>
      <c r="J254" s="94" t="n">
        <v>20000</v>
      </c>
    </row>
    <row r="255" hidden="1" customFormat="1" s="94">
      <c r="B255" s="128" t="n">
        <v>43774</v>
      </c>
      <c r="C255" s="94">
        <f>TEXT(B255,"aaa")</f>
        <v/>
      </c>
      <c r="D255" s="94" t="inlineStr">
        <is>
          <t>네이버 브랜드검색</t>
        </is>
      </c>
      <c r="E255" s="94" t="inlineStr">
        <is>
          <t>토너</t>
        </is>
      </c>
      <c r="J255" s="94" t="n">
        <v>20000</v>
      </c>
    </row>
    <row r="256" hidden="1" customFormat="1" s="94">
      <c r="B256" s="128" t="n">
        <v>43775</v>
      </c>
      <c r="C256" s="94">
        <f>TEXT(B256,"aaa")</f>
        <v/>
      </c>
      <c r="D256" s="94" t="inlineStr">
        <is>
          <t>네이버 브랜드검색</t>
        </is>
      </c>
      <c r="E256" s="94" t="inlineStr">
        <is>
          <t>토너</t>
        </is>
      </c>
      <c r="J256" s="94" t="n">
        <v>20000</v>
      </c>
    </row>
    <row r="257" hidden="1" customFormat="1" s="94">
      <c r="B257" s="128" t="n">
        <v>43776</v>
      </c>
      <c r="C257" s="94">
        <f>TEXT(B257,"aaa")</f>
        <v/>
      </c>
      <c r="D257" s="94" t="inlineStr">
        <is>
          <t>네이버 브랜드검색</t>
        </is>
      </c>
      <c r="E257" s="94" t="inlineStr">
        <is>
          <t>토너</t>
        </is>
      </c>
      <c r="J257" s="94" t="n">
        <v>20000</v>
      </c>
    </row>
    <row r="258" hidden="1" customFormat="1" s="94">
      <c r="B258" s="128" t="n">
        <v>43777</v>
      </c>
      <c r="C258" s="94">
        <f>TEXT(B258,"aaa")</f>
        <v/>
      </c>
      <c r="D258" s="94" t="inlineStr">
        <is>
          <t>네이버 브랜드검색</t>
        </is>
      </c>
      <c r="E258" s="94" t="inlineStr">
        <is>
          <t>토너</t>
        </is>
      </c>
      <c r="J258" s="94" t="n">
        <v>20000</v>
      </c>
    </row>
    <row r="259" hidden="1" customFormat="1" s="94">
      <c r="B259" s="128" t="n">
        <v>43778</v>
      </c>
      <c r="C259" s="94">
        <f>TEXT(B259,"aaa")</f>
        <v/>
      </c>
      <c r="D259" s="94" t="inlineStr">
        <is>
          <t>네이버 브랜드검색</t>
        </is>
      </c>
      <c r="E259" s="94" t="inlineStr">
        <is>
          <t>토너</t>
        </is>
      </c>
      <c r="J259" s="94" t="n">
        <v>20000</v>
      </c>
    </row>
    <row r="260" hidden="1" customFormat="1" s="94">
      <c r="B260" s="128" t="n">
        <v>43779</v>
      </c>
      <c r="C260" s="94">
        <f>TEXT(B260,"aaa")</f>
        <v/>
      </c>
      <c r="D260" s="94" t="inlineStr">
        <is>
          <t>네이버 브랜드검색</t>
        </is>
      </c>
      <c r="E260" s="94" t="inlineStr">
        <is>
          <t>토너</t>
        </is>
      </c>
      <c r="J260" s="94" t="n">
        <v>20000</v>
      </c>
    </row>
    <row r="261" hidden="1" customFormat="1" s="94">
      <c r="B261" s="128" t="n">
        <v>43780</v>
      </c>
      <c r="C261" s="94">
        <f>TEXT(B261,"aaa")</f>
        <v/>
      </c>
      <c r="D261" s="94" t="inlineStr">
        <is>
          <t>네이버 브랜드검색</t>
        </is>
      </c>
      <c r="E261" s="94" t="inlineStr">
        <is>
          <t>토너</t>
        </is>
      </c>
      <c r="J261" s="94" t="n">
        <v>20000</v>
      </c>
    </row>
    <row r="262" hidden="1" customFormat="1" s="94">
      <c r="B262" s="128" t="n">
        <v>43781</v>
      </c>
      <c r="C262" s="94">
        <f>TEXT(B262,"aaa")</f>
        <v/>
      </c>
      <c r="D262" s="94" t="inlineStr">
        <is>
          <t>네이버 브랜드검색</t>
        </is>
      </c>
      <c r="E262" s="94" t="inlineStr">
        <is>
          <t>토너</t>
        </is>
      </c>
      <c r="J262" s="94" t="n">
        <v>20000</v>
      </c>
    </row>
    <row r="263" hidden="1" customFormat="1" s="94">
      <c r="B263" s="128" t="n">
        <v>43782</v>
      </c>
      <c r="C263" s="94">
        <f>TEXT(B263,"aaa")</f>
        <v/>
      </c>
      <c r="D263" s="94" t="inlineStr">
        <is>
          <t>네이버 브랜드검색</t>
        </is>
      </c>
      <c r="E263" s="94" t="inlineStr">
        <is>
          <t>토너</t>
        </is>
      </c>
      <c r="J263" s="94" t="n">
        <v>20000</v>
      </c>
    </row>
    <row r="264" hidden="1" customFormat="1" s="94">
      <c r="B264" s="128" t="n">
        <v>43783</v>
      </c>
      <c r="C264" s="94">
        <f>TEXT(B264,"aaa")</f>
        <v/>
      </c>
      <c r="D264" s="94" t="inlineStr">
        <is>
          <t>네이버 브랜드검색</t>
        </is>
      </c>
      <c r="E264" s="94" t="inlineStr">
        <is>
          <t>토너</t>
        </is>
      </c>
      <c r="J264" s="94" t="n">
        <v>20000</v>
      </c>
    </row>
    <row r="265" hidden="1" customFormat="1" s="94">
      <c r="B265" s="128" t="n">
        <v>43784</v>
      </c>
      <c r="C265" s="94">
        <f>TEXT(B265,"aaa")</f>
        <v/>
      </c>
      <c r="D265" s="94" t="inlineStr">
        <is>
          <t>네이버 브랜드검색</t>
        </is>
      </c>
      <c r="E265" s="94" t="inlineStr">
        <is>
          <t>토너</t>
        </is>
      </c>
      <c r="J265" s="94" t="n">
        <v>20000</v>
      </c>
    </row>
    <row r="266" hidden="1" customFormat="1" s="94">
      <c r="B266" s="128" t="n">
        <v>43785</v>
      </c>
      <c r="C266" s="94">
        <f>TEXT(B266,"aaa")</f>
        <v/>
      </c>
      <c r="D266" s="94" t="inlineStr">
        <is>
          <t>네이버 브랜드검색</t>
        </is>
      </c>
      <c r="E266" s="94" t="inlineStr">
        <is>
          <t>토너</t>
        </is>
      </c>
      <c r="J266" s="94" t="n">
        <v>20000</v>
      </c>
    </row>
    <row r="267" hidden="1" customFormat="1" s="94">
      <c r="B267" s="128" t="n">
        <v>43786</v>
      </c>
      <c r="C267" s="94">
        <f>TEXT(B267,"aaa")</f>
        <v/>
      </c>
      <c r="D267" s="94" t="inlineStr">
        <is>
          <t>네이버 브랜드검색</t>
        </is>
      </c>
      <c r="E267" s="94" t="inlineStr">
        <is>
          <t>토너</t>
        </is>
      </c>
      <c r="J267" s="94" t="n">
        <v>20000</v>
      </c>
    </row>
    <row r="268" hidden="1" customFormat="1" s="94">
      <c r="B268" s="128" t="n">
        <v>43787</v>
      </c>
      <c r="C268" s="94">
        <f>TEXT(B268,"aaa")</f>
        <v/>
      </c>
      <c r="D268" s="94" t="inlineStr">
        <is>
          <t>네이버 브랜드검색</t>
        </is>
      </c>
      <c r="E268" s="94" t="inlineStr">
        <is>
          <t>토너</t>
        </is>
      </c>
      <c r="J268" s="94" t="n">
        <v>20000</v>
      </c>
    </row>
    <row r="269" hidden="1" customFormat="1" s="94">
      <c r="B269" s="128" t="n">
        <v>43788</v>
      </c>
      <c r="C269" s="94">
        <f>TEXT(B269,"aaa")</f>
        <v/>
      </c>
      <c r="D269" s="94" t="inlineStr">
        <is>
          <t>네이버 브랜드검색</t>
        </is>
      </c>
      <c r="E269" s="94" t="inlineStr">
        <is>
          <t>토너</t>
        </is>
      </c>
      <c r="J269" s="94" t="n">
        <v>20000</v>
      </c>
    </row>
    <row r="270" hidden="1" customFormat="1" s="94">
      <c r="B270" s="128" t="n">
        <v>43789</v>
      </c>
      <c r="C270" s="94">
        <f>TEXT(B270,"aaa")</f>
        <v/>
      </c>
      <c r="D270" s="94" t="inlineStr">
        <is>
          <t>네이버 브랜드검색</t>
        </is>
      </c>
      <c r="E270" s="94" t="inlineStr">
        <is>
          <t>토너</t>
        </is>
      </c>
      <c r="J270" s="94" t="n">
        <v>20000</v>
      </c>
    </row>
    <row r="271" hidden="1" customFormat="1" s="94">
      <c r="B271" s="128" t="n">
        <v>43790</v>
      </c>
      <c r="C271" s="94">
        <f>TEXT(B271,"aaa")</f>
        <v/>
      </c>
      <c r="D271" s="94" t="inlineStr">
        <is>
          <t>네이버 브랜드검색</t>
        </is>
      </c>
      <c r="E271" s="94" t="inlineStr">
        <is>
          <t>토너</t>
        </is>
      </c>
      <c r="J271" s="94" t="n">
        <v>20000</v>
      </c>
    </row>
    <row r="272" hidden="1" customFormat="1" s="94">
      <c r="B272" s="128" t="n">
        <v>43791</v>
      </c>
      <c r="C272" s="94">
        <f>TEXT(B272,"aaa")</f>
        <v/>
      </c>
      <c r="D272" s="94" t="inlineStr">
        <is>
          <t>네이버 브랜드검색</t>
        </is>
      </c>
      <c r="E272" s="94" t="inlineStr">
        <is>
          <t>토너</t>
        </is>
      </c>
      <c r="J272" s="94" t="n">
        <v>20000</v>
      </c>
    </row>
    <row r="273" hidden="1" customFormat="1" s="94">
      <c r="B273" s="128" t="n">
        <v>43792</v>
      </c>
      <c r="C273" s="94">
        <f>TEXT(B273,"aaa")</f>
        <v/>
      </c>
      <c r="D273" s="94" t="inlineStr">
        <is>
          <t>네이버 브랜드검색</t>
        </is>
      </c>
      <c r="E273" s="94" t="inlineStr">
        <is>
          <t>토너</t>
        </is>
      </c>
      <c r="J273" s="94" t="n">
        <v>20000</v>
      </c>
    </row>
    <row r="274" hidden="1" customFormat="1" s="94">
      <c r="B274" s="128" t="n">
        <v>43793</v>
      </c>
      <c r="C274" s="94">
        <f>TEXT(B274,"aaa")</f>
        <v/>
      </c>
      <c r="D274" s="94" t="inlineStr">
        <is>
          <t>네이버 브랜드검색</t>
        </is>
      </c>
      <c r="E274" s="94" t="inlineStr">
        <is>
          <t>토너</t>
        </is>
      </c>
      <c r="J274" s="94" t="n">
        <v>20000</v>
      </c>
    </row>
    <row r="275" hidden="1" customFormat="1" s="94">
      <c r="B275" s="128" t="n">
        <v>43794</v>
      </c>
      <c r="C275" s="94">
        <f>TEXT(B275,"aaa")</f>
        <v/>
      </c>
      <c r="D275" s="94" t="inlineStr">
        <is>
          <t>네이버 브랜드검색</t>
        </is>
      </c>
      <c r="E275" s="94" t="inlineStr">
        <is>
          <t>토너</t>
        </is>
      </c>
      <c r="J275" s="94" t="n">
        <v>20000</v>
      </c>
    </row>
    <row r="276" hidden="1" customFormat="1" s="94">
      <c r="B276" s="128" t="n">
        <v>43795</v>
      </c>
      <c r="C276" s="94">
        <f>TEXT(B276,"aaa")</f>
        <v/>
      </c>
      <c r="D276" s="94" t="inlineStr">
        <is>
          <t>네이버 브랜드검색</t>
        </is>
      </c>
      <c r="E276" s="94" t="inlineStr">
        <is>
          <t>토너</t>
        </is>
      </c>
      <c r="J276" s="94" t="n">
        <v>20000</v>
      </c>
    </row>
    <row r="277" hidden="1" customFormat="1" s="94">
      <c r="B277" s="128" t="n">
        <v>43796</v>
      </c>
      <c r="C277" s="94">
        <f>TEXT(B277,"aaa")</f>
        <v/>
      </c>
      <c r="D277" s="94" t="inlineStr">
        <is>
          <t>네이버 브랜드검색</t>
        </is>
      </c>
      <c r="E277" s="94" t="inlineStr">
        <is>
          <t>토너</t>
        </is>
      </c>
      <c r="J277" s="94" t="n">
        <v>20000</v>
      </c>
    </row>
    <row r="278" hidden="1" customFormat="1" s="94">
      <c r="B278" s="128" t="n">
        <v>43797</v>
      </c>
      <c r="C278" s="94">
        <f>TEXT(B278,"aaa")</f>
        <v/>
      </c>
      <c r="D278" s="94" t="inlineStr">
        <is>
          <t>네이버 브랜드검색</t>
        </is>
      </c>
      <c r="E278" s="94" t="inlineStr">
        <is>
          <t>토너</t>
        </is>
      </c>
      <c r="J278" s="94" t="n">
        <v>20000</v>
      </c>
    </row>
    <row r="279" hidden="1" customFormat="1" s="94">
      <c r="B279" s="128" t="n">
        <v>43798</v>
      </c>
      <c r="C279" s="94">
        <f>TEXT(B279,"aaa")</f>
        <v/>
      </c>
      <c r="D279" s="94" t="inlineStr">
        <is>
          <t>네이버 브랜드검색</t>
        </is>
      </c>
      <c r="E279" s="94" t="inlineStr">
        <is>
          <t>토너</t>
        </is>
      </c>
      <c r="J279" s="94" t="n">
        <v>20000</v>
      </c>
    </row>
    <row r="280" hidden="1" customFormat="1" s="94">
      <c r="B280" s="128" t="n">
        <v>43799</v>
      </c>
      <c r="C280" s="94">
        <f>TEXT(B280,"aaa")</f>
        <v/>
      </c>
      <c r="D280" s="94" t="inlineStr">
        <is>
          <t>네이버 브랜드검색</t>
        </is>
      </c>
      <c r="E280" s="94" t="inlineStr">
        <is>
          <t>토너</t>
        </is>
      </c>
      <c r="J280" s="94" t="n">
        <v>20000</v>
      </c>
    </row>
    <row r="281" hidden="1" customFormat="1" s="94">
      <c r="B281" s="128" t="n">
        <v>43783</v>
      </c>
      <c r="C281" s="94">
        <f>TEXT(B281,"aaa")</f>
        <v/>
      </c>
      <c r="D281" s="94" t="inlineStr">
        <is>
          <t>네이버 무상캐시</t>
        </is>
      </c>
      <c r="E281" s="94" t="inlineStr">
        <is>
          <t>토너</t>
        </is>
      </c>
      <c r="J281" s="94" t="n">
        <v>-2400</v>
      </c>
    </row>
    <row r="282" hidden="1" customFormat="1" s="94">
      <c r="B282" s="128" t="n">
        <v>43784</v>
      </c>
      <c r="C282" s="94">
        <f>TEXT(B282,"aaa")</f>
        <v/>
      </c>
      <c r="D282" s="94" t="inlineStr">
        <is>
          <t>네이버 무상캐시</t>
        </is>
      </c>
      <c r="E282" s="94" t="inlineStr">
        <is>
          <t>토너</t>
        </is>
      </c>
      <c r="J282" s="94" t="n">
        <v>-4260</v>
      </c>
    </row>
    <row r="283" hidden="1" customFormat="1" s="94">
      <c r="B283" s="128" t="n">
        <v>43748</v>
      </c>
      <c r="C283" s="94">
        <f>TEXT(B283,"aaa")</f>
        <v/>
      </c>
      <c r="D283" s="94" t="inlineStr">
        <is>
          <t>유튜브(지안씨_일반)</t>
        </is>
      </c>
      <c r="E283" s="94" t="inlineStr">
        <is>
          <t>토너</t>
        </is>
      </c>
      <c r="J283" s="129" t="n">
        <v>2500000</v>
      </c>
    </row>
    <row r="284" hidden="1" customFormat="1" s="94">
      <c r="B284" s="128" t="n">
        <v>43750</v>
      </c>
      <c r="C284" s="94">
        <f>TEXT(B284,"aaa")</f>
        <v/>
      </c>
      <c r="D284" s="94" t="inlineStr">
        <is>
          <t>네이버(어성초토너)</t>
        </is>
      </c>
      <c r="E284" s="94" t="inlineStr">
        <is>
          <t>토너</t>
        </is>
      </c>
      <c r="J284" s="94" t="n">
        <v>1000000</v>
      </c>
    </row>
    <row r="285" hidden="1" customFormat="1" s="94">
      <c r="B285" s="128" t="n">
        <v>43774</v>
      </c>
      <c r="C285" s="94">
        <f>TEXT(B285,"aaa")</f>
        <v/>
      </c>
      <c r="D285" s="94" t="inlineStr">
        <is>
          <t>유튜브(챙잇_브랜디드)</t>
        </is>
      </c>
      <c r="E285" s="94" t="inlineStr">
        <is>
          <t>토너</t>
        </is>
      </c>
      <c r="J285" s="129" t="n">
        <v>6000000</v>
      </c>
    </row>
    <row r="286" hidden="1" customFormat="1" s="94">
      <c r="B286" s="128" t="n">
        <v>43776</v>
      </c>
      <c r="C286" s="94">
        <f>TEXT(B286,"aaa")</f>
        <v/>
      </c>
      <c r="D286" s="94" t="inlineStr">
        <is>
          <t>유튜브(단미_반기획)</t>
        </is>
      </c>
      <c r="E286" s="94" t="inlineStr">
        <is>
          <t>토너</t>
        </is>
      </c>
      <c r="J286" s="129" t="n">
        <v>4500000</v>
      </c>
    </row>
    <row r="287" hidden="1" customFormat="1" s="94">
      <c r="B287" s="128" t="n">
        <v>43780</v>
      </c>
      <c r="C287" s="94">
        <f>TEXT(B287,"aaa")</f>
        <v/>
      </c>
      <c r="D287" s="94" t="inlineStr">
        <is>
          <t>커뮤니티(쭉빵카페)</t>
        </is>
      </c>
      <c r="E287" s="94" t="inlineStr">
        <is>
          <t>토너</t>
        </is>
      </c>
      <c r="J287" s="94" t="n">
        <v>1500000</v>
      </c>
    </row>
    <row r="288" hidden="1" customFormat="1" s="94">
      <c r="B288" s="128" t="n">
        <v>43800</v>
      </c>
      <c r="C288" s="94">
        <f>TEXT(B288,"aaa")</f>
        <v/>
      </c>
      <c r="D288" s="94" t="inlineStr">
        <is>
          <t>인스타그램(랄라블라)</t>
        </is>
      </c>
      <c r="E288" s="94" t="inlineStr">
        <is>
          <t>토너</t>
        </is>
      </c>
      <c r="J288" s="89" t="n">
        <v>25050</v>
      </c>
    </row>
    <row r="289" hidden="1" customFormat="1" s="94">
      <c r="B289" s="128" t="n">
        <v>43800</v>
      </c>
      <c r="C289" s="94">
        <f>TEXT(B289,"aaa")</f>
        <v/>
      </c>
      <c r="D289" s="94" t="inlineStr">
        <is>
          <t>인스타그램(블로그)</t>
        </is>
      </c>
      <c r="E289" s="94" t="inlineStr">
        <is>
          <t>토너</t>
        </is>
      </c>
      <c r="J289" s="89" t="n">
        <v>50064</v>
      </c>
    </row>
    <row r="290" hidden="1" customFormat="1" s="94">
      <c r="B290" s="128" t="n">
        <v>43800</v>
      </c>
      <c r="C290" s="94">
        <f>TEXT(B290,"aaa")</f>
        <v/>
      </c>
      <c r="D290" s="94" t="inlineStr">
        <is>
          <t>인스타그램(전환)</t>
        </is>
      </c>
      <c r="E290" s="94" t="inlineStr">
        <is>
          <t>토너</t>
        </is>
      </c>
      <c r="J290" s="89" t="n">
        <v>501023</v>
      </c>
    </row>
    <row r="291" hidden="1" customFormat="1" s="94">
      <c r="B291" s="128" t="n">
        <v>43800</v>
      </c>
      <c r="C291" s="94">
        <f>TEXT(B291,"aaa")</f>
        <v/>
      </c>
      <c r="D291" s="94" t="inlineStr">
        <is>
          <t>네이버 브랜드검색</t>
        </is>
      </c>
      <c r="E291" s="94" t="inlineStr">
        <is>
          <t>토너</t>
        </is>
      </c>
      <c r="J291" s="89" t="n">
        <v>20000</v>
      </c>
    </row>
    <row r="292" hidden="1" customFormat="1" s="94">
      <c r="B292" s="128" t="n">
        <v>43800</v>
      </c>
      <c r="C292" s="94">
        <f>TEXT(B292,"aaa")</f>
        <v/>
      </c>
      <c r="D292" s="94" t="inlineStr">
        <is>
          <t>네이버 쇼핑검색</t>
        </is>
      </c>
      <c r="E292" s="94" t="inlineStr">
        <is>
          <t>토너</t>
        </is>
      </c>
      <c r="J292" s="89" t="n">
        <v>6599.999999999999</v>
      </c>
    </row>
    <row r="293" hidden="1" customFormat="1" s="94">
      <c r="B293" s="128" t="n">
        <v>43801</v>
      </c>
      <c r="C293" s="94">
        <f>TEXT(B293,"aaa")</f>
        <v/>
      </c>
      <c r="D293" s="94" t="inlineStr">
        <is>
          <t>인스타그램(랄라블라)</t>
        </is>
      </c>
      <c r="E293" s="94" t="inlineStr">
        <is>
          <t>토너</t>
        </is>
      </c>
      <c r="J293" s="89" t="n">
        <v>23962</v>
      </c>
    </row>
    <row r="294" hidden="1" customFormat="1" s="94">
      <c r="B294" s="128" t="n">
        <v>43801</v>
      </c>
      <c r="C294" s="94">
        <f>TEXT(B294,"aaa")</f>
        <v/>
      </c>
      <c r="D294" s="94" t="inlineStr">
        <is>
          <t>인스타그램(블로그)</t>
        </is>
      </c>
      <c r="E294" s="94" t="inlineStr">
        <is>
          <t>토너</t>
        </is>
      </c>
      <c r="J294" s="89" t="n">
        <v>48392</v>
      </c>
    </row>
    <row r="295" hidden="1" customFormat="1" s="94">
      <c r="B295" s="128" t="n">
        <v>43801</v>
      </c>
      <c r="C295" s="94">
        <f>TEXT(B295,"aaa")</f>
        <v/>
      </c>
      <c r="D295" s="94" t="inlineStr">
        <is>
          <t>인스타그램(전환)</t>
        </is>
      </c>
      <c r="E295" s="94" t="inlineStr">
        <is>
          <t>토너</t>
        </is>
      </c>
      <c r="J295" s="89" t="n">
        <v>483331</v>
      </c>
    </row>
    <row r="296" hidden="1" customFormat="1" s="94">
      <c r="B296" s="128" t="n">
        <v>43801</v>
      </c>
      <c r="C296" s="94">
        <f>TEXT(B296,"aaa")</f>
        <v/>
      </c>
      <c r="D296" s="94" t="inlineStr">
        <is>
          <t>네이버 브랜드검색</t>
        </is>
      </c>
      <c r="E296" s="94" t="inlineStr">
        <is>
          <t>토너</t>
        </is>
      </c>
      <c r="J296" s="89" t="n">
        <v>20000</v>
      </c>
    </row>
    <row r="297" hidden="1" customFormat="1" s="94">
      <c r="B297" s="128" t="n">
        <v>43801</v>
      </c>
      <c r="C297" s="94">
        <f>TEXT(B297,"aaa")</f>
        <v/>
      </c>
      <c r="D297" s="94" t="inlineStr">
        <is>
          <t>네이버 쇼핑검색</t>
        </is>
      </c>
      <c r="E297" s="94" t="inlineStr">
        <is>
          <t>토너</t>
        </is>
      </c>
      <c r="J297" s="94" t="n">
        <v>4360</v>
      </c>
    </row>
    <row r="298" hidden="1" customFormat="1" s="94">
      <c r="B298" s="128" t="n">
        <v>43802</v>
      </c>
      <c r="C298" s="94">
        <f>TEXT(B298,"aaa")</f>
        <v/>
      </c>
      <c r="D298" s="94" t="inlineStr">
        <is>
          <t>인스타그램(랄라블라)</t>
        </is>
      </c>
      <c r="E298" s="94" t="inlineStr">
        <is>
          <t>토너</t>
        </is>
      </c>
      <c r="J298" s="89" t="n">
        <v>25278</v>
      </c>
    </row>
    <row r="299" hidden="1" customFormat="1" s="94">
      <c r="B299" s="128" t="n">
        <v>43802</v>
      </c>
      <c r="C299" s="94">
        <f>TEXT(B299,"aaa")</f>
        <v/>
      </c>
      <c r="D299" s="94" t="inlineStr">
        <is>
          <t>인스타그램(블로그)</t>
        </is>
      </c>
      <c r="E299" s="94" t="inlineStr">
        <is>
          <t>토너</t>
        </is>
      </c>
      <c r="J299" s="89" t="n">
        <v>50330</v>
      </c>
    </row>
    <row r="300" hidden="1" customFormat="1" s="94">
      <c r="B300" s="128" t="n">
        <v>43802</v>
      </c>
      <c r="C300" s="94">
        <f>TEXT(B300,"aaa")</f>
        <v/>
      </c>
      <c r="D300" s="94" t="inlineStr">
        <is>
          <t>인스타그램(전환)</t>
        </is>
      </c>
      <c r="E300" s="94" t="inlineStr">
        <is>
          <t>토너</t>
        </is>
      </c>
      <c r="J300" s="89" t="n">
        <v>499445</v>
      </c>
    </row>
    <row r="301" hidden="1" customFormat="1" s="94">
      <c r="B301" s="128" t="n">
        <v>43802</v>
      </c>
      <c r="C301" s="94">
        <f>TEXT(B301,"aaa")</f>
        <v/>
      </c>
      <c r="D301" s="94" t="inlineStr">
        <is>
          <t>네이버 브랜드검색</t>
        </is>
      </c>
      <c r="E301" s="94" t="inlineStr">
        <is>
          <t>토너</t>
        </is>
      </c>
      <c r="J301" s="89" t="n">
        <v>20000</v>
      </c>
    </row>
    <row r="302" hidden="1" customFormat="1" s="94">
      <c r="B302" s="128" t="n">
        <v>43802</v>
      </c>
      <c r="C302" s="94">
        <f>TEXT(B302,"aaa")</f>
        <v/>
      </c>
      <c r="D302" s="94" t="inlineStr">
        <is>
          <t>네이버 쇼핑검색</t>
        </is>
      </c>
      <c r="E302" s="94" t="inlineStr">
        <is>
          <t>토너</t>
        </is>
      </c>
      <c r="J302" s="89">
        <f>238000/1.1</f>
        <v/>
      </c>
    </row>
    <row r="303" hidden="1" customFormat="1" s="94">
      <c r="B303" s="128" t="n">
        <v>43803</v>
      </c>
      <c r="C303" s="94">
        <f>TEXT(B303,"aaa")</f>
        <v/>
      </c>
      <c r="D303" s="94" t="inlineStr">
        <is>
          <t>인스타그램(랄라블라)</t>
        </is>
      </c>
      <c r="E303" s="94" t="inlineStr">
        <is>
          <t>토너</t>
        </is>
      </c>
      <c r="J303" s="89" t="n">
        <v>25144</v>
      </c>
    </row>
    <row r="304" hidden="1" customFormat="1" s="94">
      <c r="B304" s="128" t="n">
        <v>43803</v>
      </c>
      <c r="C304" s="94">
        <f>TEXT(B304,"aaa")</f>
        <v/>
      </c>
      <c r="D304" s="94" t="inlineStr">
        <is>
          <t>인스타그램(블로그)</t>
        </is>
      </c>
      <c r="E304" s="94" t="inlineStr">
        <is>
          <t>토너</t>
        </is>
      </c>
      <c r="J304" s="89" t="n">
        <v>48615</v>
      </c>
    </row>
    <row r="305" hidden="1" customFormat="1" s="94">
      <c r="B305" s="128" t="n">
        <v>43803</v>
      </c>
      <c r="C305" s="94">
        <f>TEXT(B305,"aaa")</f>
        <v/>
      </c>
      <c r="D305" s="94" t="inlineStr">
        <is>
          <t>인스타그램(전환)</t>
        </is>
      </c>
      <c r="E305" s="94" t="inlineStr">
        <is>
          <t>토너</t>
        </is>
      </c>
      <c r="J305" s="89" t="n">
        <v>484160</v>
      </c>
    </row>
    <row r="306" hidden="1" customFormat="1" s="94">
      <c r="B306" s="128" t="n">
        <v>43803</v>
      </c>
      <c r="C306" s="94">
        <f>TEXT(B306,"aaa")</f>
        <v/>
      </c>
      <c r="D306" s="94" t="inlineStr">
        <is>
          <t>네이버 브랜드검색</t>
        </is>
      </c>
      <c r="E306" s="94" t="inlineStr">
        <is>
          <t>토너</t>
        </is>
      </c>
      <c r="J306" s="89" t="n">
        <v>20000</v>
      </c>
    </row>
    <row r="307" hidden="1" customFormat="1" s="94">
      <c r="B307" s="128" t="n">
        <v>43803</v>
      </c>
      <c r="C307" s="94">
        <f>TEXT(B307,"aaa")</f>
        <v/>
      </c>
      <c r="D307" s="94" t="inlineStr">
        <is>
          <t>네이버 쇼핑검색</t>
        </is>
      </c>
      <c r="E307" s="94" t="inlineStr">
        <is>
          <t>토너</t>
        </is>
      </c>
      <c r="J307" s="89">
        <f>6160/1.1</f>
        <v/>
      </c>
    </row>
    <row r="308" hidden="1" customFormat="1" s="94">
      <c r="B308" s="128" t="n">
        <v>43804</v>
      </c>
      <c r="C308" s="94">
        <f>TEXT(B308,"aaa")</f>
        <v/>
      </c>
      <c r="D308" s="94" t="inlineStr">
        <is>
          <t>인스타그램(랄라블라)</t>
        </is>
      </c>
      <c r="E308" s="94" t="inlineStr">
        <is>
          <t>토너</t>
        </is>
      </c>
      <c r="J308" s="89" t="n">
        <v>24640</v>
      </c>
    </row>
    <row r="309" hidden="1" customFormat="1" s="94">
      <c r="B309" s="128" t="n">
        <v>43804</v>
      </c>
      <c r="C309" s="94">
        <f>TEXT(B309,"aaa")</f>
        <v/>
      </c>
      <c r="D309" s="94" t="inlineStr">
        <is>
          <t>인스타그램(블로그)</t>
        </is>
      </c>
      <c r="E309" s="94" t="inlineStr">
        <is>
          <t>토너</t>
        </is>
      </c>
      <c r="J309" s="89" t="n">
        <v>50478</v>
      </c>
    </row>
    <row r="310" hidden="1" customFormat="1" s="94">
      <c r="B310" s="128" t="n">
        <v>43804</v>
      </c>
      <c r="C310" s="94">
        <f>TEXT(B310,"aaa")</f>
        <v/>
      </c>
      <c r="D310" s="94" t="inlineStr">
        <is>
          <t>인스타그램(전환)</t>
        </is>
      </c>
      <c r="E310" s="94" t="inlineStr">
        <is>
          <t>토너</t>
        </is>
      </c>
      <c r="J310" s="89" t="n">
        <v>497363</v>
      </c>
    </row>
    <row r="311" hidden="1" customFormat="1" s="94">
      <c r="B311" s="128" t="n">
        <v>43804</v>
      </c>
      <c r="C311" s="94">
        <f>TEXT(B311,"aaa")</f>
        <v/>
      </c>
      <c r="D311" s="94" t="inlineStr">
        <is>
          <t>네이버 브랜드검색</t>
        </is>
      </c>
      <c r="E311" s="94" t="inlineStr">
        <is>
          <t>토너</t>
        </is>
      </c>
      <c r="J311" s="89" t="n">
        <v>20000</v>
      </c>
    </row>
    <row r="312" hidden="1" customFormat="1" s="94">
      <c r="B312" s="128" t="n">
        <v>43804</v>
      </c>
      <c r="C312" s="94">
        <f>TEXT(B312,"aaa")</f>
        <v/>
      </c>
      <c r="D312" s="94" t="inlineStr">
        <is>
          <t>네이버 쇼핑검색</t>
        </is>
      </c>
      <c r="E312" s="94" t="inlineStr">
        <is>
          <t>토너</t>
        </is>
      </c>
      <c r="J312" s="89">
        <f>5478/1.1</f>
        <v/>
      </c>
    </row>
    <row r="313" hidden="1" customFormat="1" s="94">
      <c r="B313" s="128" t="n">
        <v>43805</v>
      </c>
      <c r="C313" s="94">
        <f>TEXT(B313,"aaa")</f>
        <v/>
      </c>
      <c r="D313" s="94" t="inlineStr">
        <is>
          <t>인스타그램(랄라블라)</t>
        </is>
      </c>
      <c r="E313" s="94" t="inlineStr">
        <is>
          <t>토너</t>
        </is>
      </c>
      <c r="J313" s="89" t="n">
        <v>25591</v>
      </c>
    </row>
    <row r="314" hidden="1" customFormat="1" s="94">
      <c r="B314" s="128" t="n">
        <v>43805</v>
      </c>
      <c r="C314" s="94">
        <f>TEXT(B314,"aaa")</f>
        <v/>
      </c>
      <c r="D314" s="94" t="inlineStr">
        <is>
          <t>인스타그램(블로그)</t>
        </is>
      </c>
      <c r="E314" s="94" t="inlineStr">
        <is>
          <t>토너</t>
        </is>
      </c>
      <c r="J314" s="89" t="n">
        <v>49603</v>
      </c>
    </row>
    <row r="315" hidden="1" customFormat="1" s="94">
      <c r="B315" s="128" t="n">
        <v>43805</v>
      </c>
      <c r="C315" s="94">
        <f>TEXT(B315,"aaa")</f>
        <v/>
      </c>
      <c r="D315" s="94" t="inlineStr">
        <is>
          <t>인스타그램(전환)</t>
        </is>
      </c>
      <c r="E315" s="94" t="inlineStr">
        <is>
          <t>토너</t>
        </is>
      </c>
      <c r="J315" s="89" t="n">
        <v>498941</v>
      </c>
    </row>
    <row r="316" hidden="1" customFormat="1" s="94">
      <c r="B316" s="128" t="n">
        <v>43805</v>
      </c>
      <c r="C316" s="94">
        <f>TEXT(B316,"aaa")</f>
        <v/>
      </c>
      <c r="D316" s="94" t="inlineStr">
        <is>
          <t>네이버 브랜드검색</t>
        </is>
      </c>
      <c r="E316" s="94" t="inlineStr">
        <is>
          <t>토너</t>
        </is>
      </c>
      <c r="J316" s="89" t="n">
        <v>20000</v>
      </c>
    </row>
    <row r="317" hidden="1" customFormat="1" s="94">
      <c r="B317" s="128" t="n">
        <v>43805</v>
      </c>
      <c r="C317" s="94">
        <f>TEXT(B317,"aaa")</f>
        <v/>
      </c>
      <c r="D317" s="94" t="inlineStr">
        <is>
          <t>네이버 쇼핑검색</t>
        </is>
      </c>
      <c r="E317" s="94" t="inlineStr">
        <is>
          <t>토너</t>
        </is>
      </c>
      <c r="J317" s="89">
        <f>5720/1.1</f>
        <v/>
      </c>
    </row>
    <row r="318" hidden="1" customFormat="1" s="94">
      <c r="B318" s="128" t="n">
        <v>43806</v>
      </c>
      <c r="C318" s="94">
        <f>TEXT(B318,"aaa")</f>
        <v/>
      </c>
      <c r="D318" s="94" t="inlineStr">
        <is>
          <t>인스타그램(랄라블라)</t>
        </is>
      </c>
      <c r="E318" s="94" t="inlineStr">
        <is>
          <t>토너</t>
        </is>
      </c>
      <c r="J318" s="89" t="n">
        <v>25335</v>
      </c>
    </row>
    <row r="319" hidden="1" customFormat="1" s="94">
      <c r="B319" s="128" t="n">
        <v>43806</v>
      </c>
      <c r="C319" s="94">
        <f>TEXT(B319,"aaa")</f>
        <v/>
      </c>
      <c r="D319" s="94" t="inlineStr">
        <is>
          <t>인스타그램(블로그)</t>
        </is>
      </c>
      <c r="E319" s="94" t="inlineStr">
        <is>
          <t>토너</t>
        </is>
      </c>
      <c r="J319" s="89" t="n">
        <v>52518</v>
      </c>
    </row>
    <row r="320" hidden="1" customFormat="1" s="94">
      <c r="B320" s="128" t="n">
        <v>43806</v>
      </c>
      <c r="C320" s="94">
        <f>TEXT(B320,"aaa")</f>
        <v/>
      </c>
      <c r="D320" s="94" t="inlineStr">
        <is>
          <t>인스타그램(전환)</t>
        </is>
      </c>
      <c r="E320" s="94" t="inlineStr">
        <is>
          <t>토너</t>
        </is>
      </c>
      <c r="J320" s="89" t="n">
        <v>535722</v>
      </c>
    </row>
    <row r="321" hidden="1" customFormat="1" s="94">
      <c r="B321" s="128" t="n">
        <v>43806</v>
      </c>
      <c r="C321" s="94">
        <f>TEXT(B321,"aaa")</f>
        <v/>
      </c>
      <c r="D321" s="94" t="inlineStr">
        <is>
          <t>네이버 브랜드검색</t>
        </is>
      </c>
      <c r="E321" s="94" t="inlineStr">
        <is>
          <t>토너</t>
        </is>
      </c>
      <c r="J321" s="89" t="n">
        <v>20000</v>
      </c>
    </row>
    <row r="322" hidden="1" customFormat="1" s="94">
      <c r="B322" s="128" t="n">
        <v>43806</v>
      </c>
      <c r="C322" s="94">
        <f>TEXT(B322,"aaa")</f>
        <v/>
      </c>
      <c r="D322" s="94" t="inlineStr">
        <is>
          <t>네이버 쇼핑검색</t>
        </is>
      </c>
      <c r="E322" s="94" t="inlineStr">
        <is>
          <t>토너</t>
        </is>
      </c>
      <c r="J322" s="89">
        <f>4620/1.1</f>
        <v/>
      </c>
    </row>
    <row r="323" hidden="1" customFormat="1" s="94">
      <c r="B323" s="128" t="n">
        <v>43807</v>
      </c>
      <c r="C323" s="94">
        <f>TEXT(B323,"aaa")</f>
        <v/>
      </c>
      <c r="D323" s="94" t="inlineStr">
        <is>
          <t>인스타그램(랄라블라)</t>
        </is>
      </c>
      <c r="E323" s="94" t="inlineStr">
        <is>
          <t>토너</t>
        </is>
      </c>
      <c r="J323" s="89" t="n">
        <v>25053</v>
      </c>
    </row>
    <row r="324" hidden="1" customFormat="1" s="94">
      <c r="B324" s="128" t="n">
        <v>43807</v>
      </c>
      <c r="C324" s="94">
        <f>TEXT(B324,"aaa")</f>
        <v/>
      </c>
      <c r="D324" s="94" t="inlineStr">
        <is>
          <t>인스타그램(블로그)</t>
        </is>
      </c>
      <c r="E324" s="94" t="inlineStr">
        <is>
          <t>토너</t>
        </is>
      </c>
      <c r="J324" s="89" t="n">
        <v>50474</v>
      </c>
    </row>
    <row r="325" hidden="1" customFormat="1" s="94">
      <c r="B325" s="128" t="n">
        <v>43807</v>
      </c>
      <c r="C325" s="94">
        <f>TEXT(B325,"aaa")</f>
        <v/>
      </c>
      <c r="D325" s="94" t="inlineStr">
        <is>
          <t>인스타그램(전환)</t>
        </is>
      </c>
      <c r="E325" s="94" t="inlineStr">
        <is>
          <t>토너</t>
        </is>
      </c>
      <c r="J325" s="89" t="n">
        <v>501350</v>
      </c>
    </row>
    <row r="326" hidden="1" customFormat="1" s="94">
      <c r="B326" s="128" t="n">
        <v>43807</v>
      </c>
      <c r="C326" s="94">
        <f>TEXT(B326,"aaa")</f>
        <v/>
      </c>
      <c r="D326" s="94" t="inlineStr">
        <is>
          <t>네이버 브랜드검색</t>
        </is>
      </c>
      <c r="E326" s="94" t="inlineStr">
        <is>
          <t>토너</t>
        </is>
      </c>
      <c r="J326" s="89" t="n">
        <v>20000</v>
      </c>
    </row>
    <row r="327" hidden="1" customFormat="1" s="94">
      <c r="B327" s="128" t="n">
        <v>43807</v>
      </c>
      <c r="C327" s="94">
        <f>TEXT(B327,"aaa")</f>
        <v/>
      </c>
      <c r="D327" s="94" t="inlineStr">
        <is>
          <t>네이버 쇼핑검색</t>
        </is>
      </c>
      <c r="E327" s="94" t="inlineStr">
        <is>
          <t>토너</t>
        </is>
      </c>
      <c r="J327" s="89">
        <f>6380/1.1</f>
        <v/>
      </c>
    </row>
    <row r="328" hidden="1" customFormat="1" s="94">
      <c r="B328" s="128" t="n">
        <v>43808</v>
      </c>
      <c r="C328" s="94">
        <f>TEXT(B328,"aaa")</f>
        <v/>
      </c>
      <c r="D328" s="94" t="inlineStr">
        <is>
          <t>인스타그램(랄라블라)</t>
        </is>
      </c>
      <c r="E328" s="94" t="inlineStr">
        <is>
          <t>토너</t>
        </is>
      </c>
      <c r="J328" s="89" t="n">
        <v>24046</v>
      </c>
    </row>
    <row r="329" hidden="1" customFormat="1" s="94">
      <c r="B329" s="128" t="n">
        <v>43808</v>
      </c>
      <c r="C329" s="94">
        <f>TEXT(B329,"aaa")</f>
        <v/>
      </c>
      <c r="D329" s="94" t="inlineStr">
        <is>
          <t>인스타그램(블로그)</t>
        </is>
      </c>
      <c r="E329" s="94" t="inlineStr">
        <is>
          <t>토너</t>
        </is>
      </c>
      <c r="J329" s="89" t="n">
        <v>49038</v>
      </c>
    </row>
    <row r="330" hidden="1" customFormat="1" s="94">
      <c r="B330" s="128" t="n">
        <v>43808</v>
      </c>
      <c r="C330" s="94">
        <f>TEXT(B330,"aaa")</f>
        <v/>
      </c>
      <c r="D330" s="94" t="inlineStr">
        <is>
          <t>인스타그램(전환)</t>
        </is>
      </c>
      <c r="E330" s="94" t="inlineStr">
        <is>
          <t>토너</t>
        </is>
      </c>
      <c r="J330" s="89" t="n">
        <v>488953</v>
      </c>
    </row>
    <row r="331" hidden="1" customFormat="1" s="94">
      <c r="B331" s="128" t="n">
        <v>43808</v>
      </c>
      <c r="C331" s="94">
        <f>TEXT(B331,"aaa")</f>
        <v/>
      </c>
      <c r="D331" s="94" t="inlineStr">
        <is>
          <t>네이버 브랜드검색</t>
        </is>
      </c>
      <c r="E331" s="94" t="inlineStr">
        <is>
          <t>토너</t>
        </is>
      </c>
      <c r="J331" s="89" t="n">
        <v>20000</v>
      </c>
    </row>
    <row r="332" hidden="1" customFormat="1" s="94">
      <c r="B332" s="128" t="n">
        <v>43808</v>
      </c>
      <c r="C332" s="94">
        <f>TEXT(B332,"aaa")</f>
        <v/>
      </c>
      <c r="D332" s="94" t="inlineStr">
        <is>
          <t>네이버 쇼핑검색</t>
        </is>
      </c>
      <c r="E332" s="94" t="inlineStr">
        <is>
          <t>토너</t>
        </is>
      </c>
      <c r="J332" s="89">
        <f>5500/1.1</f>
        <v/>
      </c>
    </row>
    <row r="333" hidden="1" customFormat="1" s="94">
      <c r="B333" s="128" t="n">
        <v>43809</v>
      </c>
      <c r="C333" s="94">
        <f>TEXT(B333,"aaa")</f>
        <v/>
      </c>
      <c r="D333" s="94" t="inlineStr">
        <is>
          <t>인스타그램(랄라블라)</t>
        </is>
      </c>
      <c r="E333" s="94" t="inlineStr">
        <is>
          <t>토너</t>
        </is>
      </c>
      <c r="J333" s="89" t="n">
        <v>25294</v>
      </c>
    </row>
    <row r="334" hidden="1" customFormat="1" s="94">
      <c r="B334" s="128" t="n">
        <v>43809</v>
      </c>
      <c r="C334" s="94">
        <f>TEXT(B334,"aaa")</f>
        <v/>
      </c>
      <c r="D334" s="94" t="inlineStr">
        <is>
          <t>인스타그램(블로그)</t>
        </is>
      </c>
      <c r="E334" s="94" t="inlineStr">
        <is>
          <t>토너</t>
        </is>
      </c>
      <c r="J334" s="89" t="n">
        <v>48642</v>
      </c>
    </row>
    <row r="335" hidden="1" customFormat="1" s="94">
      <c r="B335" s="128" t="n">
        <v>43809</v>
      </c>
      <c r="C335" s="94">
        <f>TEXT(B335,"aaa")</f>
        <v/>
      </c>
      <c r="D335" s="94" t="inlineStr">
        <is>
          <t>인스타그램(전환)</t>
        </is>
      </c>
      <c r="E335" s="94" t="inlineStr">
        <is>
          <t>토너</t>
        </is>
      </c>
      <c r="J335" s="89" t="n">
        <v>492391</v>
      </c>
    </row>
    <row r="336" hidden="1" customFormat="1" s="94">
      <c r="B336" s="128" t="n">
        <v>43809</v>
      </c>
      <c r="C336" s="94">
        <f>TEXT(B336,"aaa")</f>
        <v/>
      </c>
      <c r="D336" s="94" t="inlineStr">
        <is>
          <t>네이버 브랜드검색</t>
        </is>
      </c>
      <c r="E336" s="94" t="inlineStr">
        <is>
          <t>토너</t>
        </is>
      </c>
      <c r="J336" s="89" t="n">
        <v>20000</v>
      </c>
    </row>
    <row r="337" hidden="1" customFormat="1" s="94">
      <c r="B337" s="128" t="n">
        <v>43809</v>
      </c>
      <c r="C337" s="94">
        <f>TEXT(B337,"aaa")</f>
        <v/>
      </c>
      <c r="D337" s="94" t="inlineStr">
        <is>
          <t>네이버 쇼핑검색</t>
        </is>
      </c>
      <c r="E337" s="94" t="inlineStr">
        <is>
          <t>토너</t>
        </is>
      </c>
      <c r="J337" s="89">
        <f>7920/1.1</f>
        <v/>
      </c>
    </row>
    <row r="338" hidden="1" customFormat="1" s="94">
      <c r="B338" s="128" t="n">
        <v>43810</v>
      </c>
      <c r="C338" s="94">
        <f>TEXT(B338,"aaa")</f>
        <v/>
      </c>
      <c r="D338" s="94" t="inlineStr">
        <is>
          <t>인스타그램(랄라블라)</t>
        </is>
      </c>
      <c r="E338" s="94" t="inlineStr">
        <is>
          <t>토너</t>
        </is>
      </c>
      <c r="J338" s="89" t="n">
        <v>25143</v>
      </c>
    </row>
    <row r="339" hidden="1" customFormat="1" s="94">
      <c r="B339" s="128" t="n">
        <v>43810</v>
      </c>
      <c r="C339" s="94">
        <f>TEXT(B339,"aaa")</f>
        <v/>
      </c>
      <c r="D339" s="94" t="inlineStr">
        <is>
          <t>인스타그램(블로그)</t>
        </is>
      </c>
      <c r="E339" s="94" t="inlineStr">
        <is>
          <t>토너</t>
        </is>
      </c>
      <c r="J339" s="89" t="n">
        <v>50353</v>
      </c>
    </row>
    <row r="340" hidden="1" customFormat="1" s="94">
      <c r="B340" s="128" t="n">
        <v>43810</v>
      </c>
      <c r="C340" s="94">
        <f>TEXT(B340,"aaa")</f>
        <v/>
      </c>
      <c r="D340" s="94" t="inlineStr">
        <is>
          <t>인스타그램(전환)</t>
        </is>
      </c>
      <c r="E340" s="94" t="inlineStr">
        <is>
          <t>토너</t>
        </is>
      </c>
      <c r="J340" s="89" t="n">
        <v>501665</v>
      </c>
    </row>
    <row r="341" hidden="1" customFormat="1" s="94">
      <c r="B341" s="128" t="n">
        <v>43810</v>
      </c>
      <c r="C341" s="94">
        <f>TEXT(B341,"aaa")</f>
        <v/>
      </c>
      <c r="D341" s="94" t="inlineStr">
        <is>
          <t>네이버 브랜드검색</t>
        </is>
      </c>
      <c r="E341" s="94" t="inlineStr">
        <is>
          <t>토너</t>
        </is>
      </c>
      <c r="J341" s="89" t="n">
        <v>20000</v>
      </c>
    </row>
    <row r="342" hidden="1" customFormat="1" s="94">
      <c r="B342" s="128" t="n">
        <v>43810</v>
      </c>
      <c r="C342" s="94">
        <f>TEXT(B342,"aaa")</f>
        <v/>
      </c>
      <c r="D342" s="94" t="inlineStr">
        <is>
          <t>네이버 쇼핑검색</t>
        </is>
      </c>
      <c r="E342" s="94" t="inlineStr">
        <is>
          <t>토너</t>
        </is>
      </c>
      <c r="J342" s="89">
        <f>5720/1.1</f>
        <v/>
      </c>
    </row>
    <row r="343" hidden="1" customFormat="1" s="94">
      <c r="B343" s="128" t="n">
        <v>43811</v>
      </c>
      <c r="C343" s="94">
        <f>TEXT(B343,"aaa")</f>
        <v/>
      </c>
      <c r="D343" s="94" t="inlineStr">
        <is>
          <t>인스타그램(랄라블라)</t>
        </is>
      </c>
      <c r="E343" s="94" t="inlineStr">
        <is>
          <t>토너</t>
        </is>
      </c>
      <c r="J343" s="89" t="n">
        <v>24502</v>
      </c>
    </row>
    <row r="344" hidden="1" customFormat="1" s="94">
      <c r="B344" s="128" t="n">
        <v>43811</v>
      </c>
      <c r="C344" s="94">
        <f>TEXT(B344,"aaa")</f>
        <v/>
      </c>
      <c r="D344" s="94" t="inlineStr">
        <is>
          <t>인스타그램(블로그)</t>
        </is>
      </c>
      <c r="E344" s="94" t="inlineStr">
        <is>
          <t>토너</t>
        </is>
      </c>
      <c r="J344" s="89" t="n">
        <v>49344</v>
      </c>
    </row>
    <row r="345" hidden="1" customFormat="1" s="94">
      <c r="B345" s="128" t="n">
        <v>43811</v>
      </c>
      <c r="C345" s="94">
        <f>TEXT(B345,"aaa")</f>
        <v/>
      </c>
      <c r="D345" s="94" t="inlineStr">
        <is>
          <t>인스타그램(전환)</t>
        </is>
      </c>
      <c r="E345" s="94" t="inlineStr">
        <is>
          <t>토너</t>
        </is>
      </c>
      <c r="J345" s="89" t="n">
        <v>535379</v>
      </c>
    </row>
    <row r="346" hidden="1" customFormat="1" s="94">
      <c r="B346" s="128" t="n">
        <v>43811</v>
      </c>
      <c r="C346" s="94">
        <f>TEXT(B346,"aaa")</f>
        <v/>
      </c>
      <c r="D346" s="94" t="inlineStr">
        <is>
          <t>네이버 브랜드검색</t>
        </is>
      </c>
      <c r="E346" s="94" t="inlineStr">
        <is>
          <t>토너</t>
        </is>
      </c>
      <c r="J346" s="89" t="n">
        <v>20000</v>
      </c>
    </row>
    <row r="347" hidden="1" customFormat="1" s="94">
      <c r="B347" s="128" t="n">
        <v>43811</v>
      </c>
      <c r="C347" s="94">
        <f>TEXT(B347,"aaa")</f>
        <v/>
      </c>
      <c r="D347" s="94" t="inlineStr">
        <is>
          <t>네이버 쇼핑검색</t>
        </is>
      </c>
      <c r="E347" s="94" t="inlineStr">
        <is>
          <t>토너</t>
        </is>
      </c>
      <c r="J347" s="89">
        <f>5060/1.1</f>
        <v/>
      </c>
    </row>
    <row r="348" hidden="1" customFormat="1" s="94">
      <c r="B348" s="128" t="n">
        <v>43812</v>
      </c>
      <c r="C348" s="94">
        <f>TEXT(B348,"aaa")</f>
        <v/>
      </c>
      <c r="D348" s="94" t="inlineStr">
        <is>
          <t>인스타그램(랄라블라)</t>
        </is>
      </c>
      <c r="E348" s="94" t="inlineStr">
        <is>
          <t>토너</t>
        </is>
      </c>
      <c r="J348" s="89" t="n">
        <v>25527</v>
      </c>
    </row>
    <row r="349" hidden="1" customFormat="1" s="94">
      <c r="B349" s="128" t="n">
        <v>43812</v>
      </c>
      <c r="C349" s="94">
        <f>TEXT(B349,"aaa")</f>
        <v/>
      </c>
      <c r="D349" s="94" t="inlineStr">
        <is>
          <t>인스타그램(블로그)</t>
        </is>
      </c>
      <c r="E349" s="94" t="inlineStr">
        <is>
          <t>토너</t>
        </is>
      </c>
      <c r="J349" s="89" t="n">
        <v>49212</v>
      </c>
    </row>
    <row r="350" hidden="1" customFormat="1" s="94">
      <c r="B350" s="128" t="n">
        <v>43812</v>
      </c>
      <c r="C350" s="94">
        <f>TEXT(B350,"aaa")</f>
        <v/>
      </c>
      <c r="D350" s="94" t="inlineStr">
        <is>
          <t>인스타그램(전환)</t>
        </is>
      </c>
      <c r="E350" s="94" t="inlineStr">
        <is>
          <t>토너</t>
        </is>
      </c>
      <c r="J350" s="89" t="n">
        <v>660359</v>
      </c>
    </row>
    <row r="351" hidden="1" customFormat="1" s="94">
      <c r="B351" s="128" t="n">
        <v>43812</v>
      </c>
      <c r="C351" s="94">
        <f>TEXT(B351,"aaa")</f>
        <v/>
      </c>
      <c r="D351" s="94" t="inlineStr">
        <is>
          <t>네이버 브랜드검색</t>
        </is>
      </c>
      <c r="E351" s="94" t="inlineStr">
        <is>
          <t>토너</t>
        </is>
      </c>
      <c r="J351" s="89" t="n">
        <v>20000</v>
      </c>
    </row>
    <row r="352" hidden="1" customFormat="1" s="94">
      <c r="B352" s="128" t="n">
        <v>43812</v>
      </c>
      <c r="C352" s="94">
        <f>TEXT(B352,"aaa")</f>
        <v/>
      </c>
      <c r="D352" s="94" t="inlineStr">
        <is>
          <t>네이버 쇼핑검색</t>
        </is>
      </c>
      <c r="E352" s="94" t="inlineStr">
        <is>
          <t>토너</t>
        </is>
      </c>
      <c r="J352" s="89">
        <f>5687/1.1</f>
        <v/>
      </c>
    </row>
    <row r="353" hidden="1" customFormat="1" s="94">
      <c r="B353" s="128" t="n">
        <v>43813</v>
      </c>
      <c r="C353" s="94">
        <f>TEXT(B353,"aaa")</f>
        <v/>
      </c>
      <c r="D353" s="94" t="inlineStr">
        <is>
          <t>인스타그램(랄라블라)</t>
        </is>
      </c>
      <c r="E353" s="94" t="inlineStr">
        <is>
          <t>토너</t>
        </is>
      </c>
      <c r="J353" s="89" t="n">
        <v>25435</v>
      </c>
    </row>
    <row r="354" hidden="1" customFormat="1" s="94">
      <c r="B354" s="128" t="n">
        <v>43813</v>
      </c>
      <c r="C354" s="94">
        <f>TEXT(B354,"aaa")</f>
        <v/>
      </c>
      <c r="D354" s="94" t="inlineStr">
        <is>
          <t>인스타그램(블로그)</t>
        </is>
      </c>
      <c r="E354" s="94" t="inlineStr">
        <is>
          <t>토너</t>
        </is>
      </c>
      <c r="J354" s="89" t="n">
        <v>52937</v>
      </c>
    </row>
    <row r="355" hidden="1" customFormat="1" s="94">
      <c r="B355" s="128" t="n">
        <v>43813</v>
      </c>
      <c r="C355" s="94">
        <f>TEXT(B355,"aaa")</f>
        <v/>
      </c>
      <c r="D355" s="94" t="inlineStr">
        <is>
          <t>인스타그램(전환)</t>
        </is>
      </c>
      <c r="E355" s="94" t="inlineStr">
        <is>
          <t>토너</t>
        </is>
      </c>
      <c r="J355" s="89" t="n">
        <v>505800</v>
      </c>
    </row>
    <row r="356" hidden="1" customFormat="1" s="94">
      <c r="B356" s="128" t="n">
        <v>43813</v>
      </c>
      <c r="C356" s="94">
        <f>TEXT(B356,"aaa")</f>
        <v/>
      </c>
      <c r="D356" s="94" t="inlineStr">
        <is>
          <t>네이버 브랜드검색</t>
        </is>
      </c>
      <c r="E356" s="94" t="inlineStr">
        <is>
          <t>토너</t>
        </is>
      </c>
      <c r="J356" s="89" t="n">
        <v>20000</v>
      </c>
    </row>
    <row r="357" hidden="1" customFormat="1" s="94">
      <c r="B357" s="128" t="n">
        <v>43813</v>
      </c>
      <c r="C357" s="94">
        <f>TEXT(B357,"aaa")</f>
        <v/>
      </c>
      <c r="D357" s="94" t="inlineStr">
        <is>
          <t>네이버 쇼핑검색</t>
        </is>
      </c>
      <c r="E357" s="94" t="inlineStr">
        <is>
          <t>토너</t>
        </is>
      </c>
      <c r="J357" s="89">
        <f>34199/1.1</f>
        <v/>
      </c>
    </row>
    <row r="358" hidden="1" customFormat="1" s="94">
      <c r="B358" s="128" t="n">
        <v>43814</v>
      </c>
      <c r="C358" s="94">
        <f>TEXT(B358,"aaa")</f>
        <v/>
      </c>
      <c r="D358" s="94" t="inlineStr">
        <is>
          <t>인스타그램(랄라블라)</t>
        </is>
      </c>
      <c r="E358" s="94" t="inlineStr">
        <is>
          <t>토너</t>
        </is>
      </c>
      <c r="J358" s="89" t="n">
        <v>25029</v>
      </c>
    </row>
    <row r="359" hidden="1" customFormat="1" s="94">
      <c r="B359" s="128" t="n">
        <v>43814</v>
      </c>
      <c r="C359" s="94">
        <f>TEXT(B359,"aaa")</f>
        <v/>
      </c>
      <c r="D359" s="94" t="inlineStr">
        <is>
          <t>인스타그램(블로그)</t>
        </is>
      </c>
      <c r="E359" s="94" t="inlineStr">
        <is>
          <t>토너</t>
        </is>
      </c>
      <c r="J359" s="89" t="n">
        <v>50268</v>
      </c>
    </row>
    <row r="360" hidden="1" customFormat="1" s="94">
      <c r="B360" s="128" t="n">
        <v>43814</v>
      </c>
      <c r="C360" s="94">
        <f>TEXT(B360,"aaa")</f>
        <v/>
      </c>
      <c r="D360" s="94" t="inlineStr">
        <is>
          <t>인스타그램(전환)</t>
        </is>
      </c>
      <c r="E360" s="94" t="inlineStr">
        <is>
          <t>토너</t>
        </is>
      </c>
      <c r="J360" s="89" t="n">
        <v>501303</v>
      </c>
    </row>
    <row r="361" hidden="1" customFormat="1" s="94">
      <c r="B361" s="128" t="n">
        <v>43814</v>
      </c>
      <c r="C361" s="94">
        <f>TEXT(B361,"aaa")</f>
        <v/>
      </c>
      <c r="D361" s="94" t="inlineStr">
        <is>
          <t>네이버 브랜드검색</t>
        </is>
      </c>
      <c r="E361" s="94" t="inlineStr">
        <is>
          <t>토너</t>
        </is>
      </c>
      <c r="J361" s="89" t="n">
        <v>20000</v>
      </c>
    </row>
    <row r="362" hidden="1" customFormat="1" s="94">
      <c r="B362" s="128" t="n">
        <v>43814</v>
      </c>
      <c r="C362" s="94">
        <f>TEXT(B362,"aaa")</f>
        <v/>
      </c>
      <c r="D362" s="94" t="inlineStr">
        <is>
          <t>네이버 쇼핑검색</t>
        </is>
      </c>
      <c r="E362" s="94" t="inlineStr">
        <is>
          <t>토너</t>
        </is>
      </c>
      <c r="J362" s="89">
        <f>73029/1.1</f>
        <v/>
      </c>
    </row>
    <row r="363" hidden="1" customFormat="1" s="94">
      <c r="B363" s="128" t="n">
        <v>43815</v>
      </c>
      <c r="C363" s="94">
        <f>TEXT(B363,"aaa")</f>
        <v/>
      </c>
      <c r="D363" s="94" t="inlineStr">
        <is>
          <t>인스타그램(랄라블라)</t>
        </is>
      </c>
      <c r="E363" s="94" t="inlineStr">
        <is>
          <t>토너</t>
        </is>
      </c>
      <c r="J363" s="89" t="n">
        <v>24111</v>
      </c>
    </row>
    <row r="364" hidden="1" customFormat="1" s="94">
      <c r="B364" s="128" t="n">
        <v>43815</v>
      </c>
      <c r="C364" s="94">
        <f>TEXT(B364,"aaa")</f>
        <v/>
      </c>
      <c r="D364" s="94" t="inlineStr">
        <is>
          <t>인스타그램(블로그)</t>
        </is>
      </c>
      <c r="E364" s="94" t="inlineStr">
        <is>
          <t>토너</t>
        </is>
      </c>
      <c r="J364" s="89" t="n">
        <v>48303</v>
      </c>
    </row>
    <row r="365" hidden="1" customFormat="1" s="94">
      <c r="B365" s="128" t="n">
        <v>43815</v>
      </c>
      <c r="C365" s="94">
        <f>TEXT(B365,"aaa")</f>
        <v/>
      </c>
      <c r="D365" s="94" t="inlineStr">
        <is>
          <t>인스타그램(전환)</t>
        </is>
      </c>
      <c r="E365" s="94" t="inlineStr">
        <is>
          <t>토너</t>
        </is>
      </c>
      <c r="J365" s="89" t="n">
        <v>483008</v>
      </c>
    </row>
    <row r="366" hidden="1" customFormat="1" s="94">
      <c r="B366" s="128" t="n">
        <v>43815</v>
      </c>
      <c r="C366" s="94">
        <f>TEXT(B366,"aaa")</f>
        <v/>
      </c>
      <c r="D366" s="94" t="inlineStr">
        <is>
          <t>네이버 브랜드검색</t>
        </is>
      </c>
      <c r="E366" s="94" t="inlineStr">
        <is>
          <t>토너</t>
        </is>
      </c>
      <c r="J366" s="89" t="n">
        <v>20000</v>
      </c>
    </row>
    <row r="367" hidden="1" customFormat="1" s="94">
      <c r="B367" s="128" t="n">
        <v>43815</v>
      </c>
      <c r="C367" s="94">
        <f>TEXT(B367,"aaa")</f>
        <v/>
      </c>
      <c r="D367" s="94" t="inlineStr">
        <is>
          <t>네이버 쇼핑검색</t>
        </is>
      </c>
      <c r="E367" s="94" t="inlineStr">
        <is>
          <t>토너</t>
        </is>
      </c>
      <c r="J367" s="89">
        <f>14872/1.1</f>
        <v/>
      </c>
    </row>
    <row r="368" hidden="1" customFormat="1" s="94">
      <c r="B368" s="128" t="n">
        <v>43816</v>
      </c>
      <c r="C368" s="94">
        <f>TEXT(B368,"aaa")</f>
        <v/>
      </c>
      <c r="D368" s="94" t="inlineStr">
        <is>
          <t>인스타그램(랄라블라)</t>
        </is>
      </c>
      <c r="E368" s="94" t="inlineStr">
        <is>
          <t>토너</t>
        </is>
      </c>
      <c r="J368" s="89" t="n">
        <v>24294</v>
      </c>
    </row>
    <row r="369" hidden="1" customFormat="1" s="94">
      <c r="B369" s="128" t="n">
        <v>43816</v>
      </c>
      <c r="C369" s="94">
        <f>TEXT(B369,"aaa")</f>
        <v/>
      </c>
      <c r="D369" s="94" t="inlineStr">
        <is>
          <t>인스타그램(블로그)</t>
        </is>
      </c>
      <c r="E369" s="94" t="inlineStr">
        <is>
          <t>토너</t>
        </is>
      </c>
      <c r="J369" s="89" t="n">
        <v>49118</v>
      </c>
    </row>
    <row r="370" hidden="1" customFormat="1" s="94">
      <c r="B370" s="128" t="n">
        <v>43816</v>
      </c>
      <c r="C370" s="94">
        <f>TEXT(B370,"aaa")</f>
        <v/>
      </c>
      <c r="D370" s="94" t="inlineStr">
        <is>
          <t>인스타그램(전환)</t>
        </is>
      </c>
      <c r="E370" s="94" t="inlineStr">
        <is>
          <t>토너</t>
        </is>
      </c>
      <c r="J370" s="89" t="n">
        <v>496204</v>
      </c>
    </row>
    <row r="371" hidden="1" customFormat="1" s="94">
      <c r="B371" s="128" t="n">
        <v>43816</v>
      </c>
      <c r="C371" s="94">
        <f>TEXT(B371,"aaa")</f>
        <v/>
      </c>
      <c r="D371" s="94" t="inlineStr">
        <is>
          <t>네이버 브랜드검색</t>
        </is>
      </c>
      <c r="E371" s="94" t="inlineStr">
        <is>
          <t>토너</t>
        </is>
      </c>
      <c r="J371" s="89" t="n">
        <v>20000</v>
      </c>
    </row>
    <row r="372" hidden="1" customFormat="1" s="94">
      <c r="B372" s="128" t="n">
        <v>43816</v>
      </c>
      <c r="C372" s="94">
        <f>TEXT(B372,"aaa")</f>
        <v/>
      </c>
      <c r="D372" s="94" t="inlineStr">
        <is>
          <t>네이버 쇼핑검색</t>
        </is>
      </c>
      <c r="E372" s="94" t="inlineStr">
        <is>
          <t>토너</t>
        </is>
      </c>
      <c r="J372" s="89">
        <f>9020/1.1</f>
        <v/>
      </c>
    </row>
    <row r="373" hidden="1" customFormat="1" s="94">
      <c r="B373" s="128" t="n">
        <v>43817</v>
      </c>
      <c r="C373" s="94">
        <f>TEXT(B373,"aaa")</f>
        <v/>
      </c>
      <c r="D373" s="94" t="inlineStr">
        <is>
          <t>인스타그램(랄라블라)</t>
        </is>
      </c>
      <c r="E373" s="94" t="inlineStr">
        <is>
          <t>토너</t>
        </is>
      </c>
      <c r="J373" s="89" t="n">
        <v>24611</v>
      </c>
    </row>
    <row r="374" hidden="1" customFormat="1" s="94">
      <c r="B374" s="128" t="n">
        <v>43817</v>
      </c>
      <c r="C374" s="94">
        <f>TEXT(B374,"aaa")</f>
        <v/>
      </c>
      <c r="D374" s="94" t="inlineStr">
        <is>
          <t>인스타그램(블로그)</t>
        </is>
      </c>
      <c r="E374" s="94" t="inlineStr">
        <is>
          <t>토너</t>
        </is>
      </c>
      <c r="J374" s="89" t="n">
        <v>48682</v>
      </c>
    </row>
    <row r="375" hidden="1" customFormat="1" s="94">
      <c r="B375" s="128" t="n">
        <v>43817</v>
      </c>
      <c r="C375" s="94">
        <f>TEXT(B375,"aaa")</f>
        <v/>
      </c>
      <c r="D375" s="94" t="inlineStr">
        <is>
          <t>인스타그램(전환)</t>
        </is>
      </c>
      <c r="E375" s="94" t="inlineStr">
        <is>
          <t>토너</t>
        </is>
      </c>
      <c r="J375" s="89" t="n">
        <v>493802</v>
      </c>
    </row>
    <row r="376" hidden="1" customFormat="1" s="94">
      <c r="B376" s="128" t="n">
        <v>43817</v>
      </c>
      <c r="C376" s="94">
        <f>TEXT(B376,"aaa")</f>
        <v/>
      </c>
      <c r="D376" s="94" t="inlineStr">
        <is>
          <t>네이버 브랜드검색</t>
        </is>
      </c>
      <c r="E376" s="94" t="inlineStr">
        <is>
          <t>토너</t>
        </is>
      </c>
      <c r="J376" s="89" t="n">
        <v>20000</v>
      </c>
    </row>
    <row r="377" hidden="1" customFormat="1" s="94">
      <c r="B377" s="128" t="n">
        <v>43817</v>
      </c>
      <c r="C377" s="94">
        <f>TEXT(B377,"aaa")</f>
        <v/>
      </c>
      <c r="D377" s="94" t="inlineStr">
        <is>
          <t>네이버 쇼핑검색</t>
        </is>
      </c>
      <c r="E377" s="94" t="inlineStr">
        <is>
          <t>토너</t>
        </is>
      </c>
      <c r="J377" s="89">
        <f>10560/1.1</f>
        <v/>
      </c>
    </row>
    <row r="378" hidden="1" customFormat="1" s="94">
      <c r="B378" s="128" t="n">
        <v>43817</v>
      </c>
      <c r="C378" s="94">
        <f>TEXT(B378,"aaa")</f>
        <v/>
      </c>
      <c r="D378" s="94" t="inlineStr">
        <is>
          <t>속닥</t>
        </is>
      </c>
      <c r="E378" s="94" t="inlineStr">
        <is>
          <t>토너</t>
        </is>
      </c>
      <c r="J378" s="89" t="n">
        <v>1500000</v>
      </c>
    </row>
    <row r="379" hidden="1" customFormat="1" s="94">
      <c r="B379" s="128" t="n">
        <v>43818</v>
      </c>
      <c r="C379" s="94">
        <f>TEXT(B379,"aaa")</f>
        <v/>
      </c>
      <c r="D379" s="94" t="inlineStr">
        <is>
          <t>인스타그램(랄라블라)</t>
        </is>
      </c>
      <c r="E379" s="94" t="inlineStr">
        <is>
          <t>토너</t>
        </is>
      </c>
      <c r="J379" s="89" t="n">
        <v>24707</v>
      </c>
    </row>
    <row r="380" hidden="1" customFormat="1" s="94">
      <c r="B380" s="128" t="n">
        <v>43818</v>
      </c>
      <c r="C380" s="94">
        <f>TEXT(B380,"aaa")</f>
        <v/>
      </c>
      <c r="D380" s="94" t="inlineStr">
        <is>
          <t>인스타그램(블로그)</t>
        </is>
      </c>
      <c r="E380" s="94" t="inlineStr">
        <is>
          <t>토너</t>
        </is>
      </c>
      <c r="J380" s="89" t="n">
        <v>50103</v>
      </c>
    </row>
    <row r="381" hidden="1" customFormat="1" s="94">
      <c r="B381" s="128" t="n">
        <v>43818</v>
      </c>
      <c r="C381" s="94">
        <f>TEXT(B381,"aaa")</f>
        <v/>
      </c>
      <c r="D381" s="94" t="inlineStr">
        <is>
          <t>인스타그램(전환)</t>
        </is>
      </c>
      <c r="E381" s="94" t="inlineStr">
        <is>
          <t>토너</t>
        </is>
      </c>
      <c r="J381" s="89" t="n">
        <v>495558</v>
      </c>
    </row>
    <row r="382" hidden="1" customFormat="1" s="94">
      <c r="B382" s="128" t="n">
        <v>43818</v>
      </c>
      <c r="C382" s="94">
        <f>TEXT(B382,"aaa")</f>
        <v/>
      </c>
      <c r="D382" s="94" t="inlineStr">
        <is>
          <t>네이버 브랜드검색</t>
        </is>
      </c>
      <c r="E382" s="94" t="inlineStr">
        <is>
          <t>토너</t>
        </is>
      </c>
      <c r="J382" s="89" t="n">
        <v>20000</v>
      </c>
    </row>
    <row r="383" hidden="1" customFormat="1" s="94">
      <c r="B383" s="128" t="n">
        <v>43818</v>
      </c>
      <c r="C383" s="94">
        <f>TEXT(B383,"aaa")</f>
        <v/>
      </c>
      <c r="D383" s="94" t="inlineStr">
        <is>
          <t>네이버 쇼핑검색</t>
        </is>
      </c>
      <c r="E383" s="94" t="inlineStr">
        <is>
          <t>토너</t>
        </is>
      </c>
      <c r="J383" s="89">
        <f>13860/1.1</f>
        <v/>
      </c>
    </row>
    <row r="384" hidden="1" customFormat="1" s="94">
      <c r="B384" s="128" t="n">
        <v>43819</v>
      </c>
      <c r="C384" s="94">
        <f>TEXT(B384,"aaa")</f>
        <v/>
      </c>
      <c r="D384" s="94" t="inlineStr">
        <is>
          <t>인스타그램(랄라블라)</t>
        </is>
      </c>
      <c r="E384" s="94" t="inlineStr">
        <is>
          <t>토너</t>
        </is>
      </c>
      <c r="J384" s="89" t="n">
        <v>26167</v>
      </c>
    </row>
    <row r="385" hidden="1" customFormat="1" s="94">
      <c r="B385" s="128" t="n">
        <v>43819</v>
      </c>
      <c r="C385" s="94">
        <f>TEXT(B385,"aaa")</f>
        <v/>
      </c>
      <c r="D385" s="94" t="inlineStr">
        <is>
          <t>인스타그램(블로그)</t>
        </is>
      </c>
      <c r="E385" s="94" t="inlineStr">
        <is>
          <t>토너</t>
        </is>
      </c>
      <c r="J385" s="89" t="n">
        <v>49883</v>
      </c>
    </row>
    <row r="386" hidden="1" customFormat="1" s="94">
      <c r="B386" s="128" t="n">
        <v>43819</v>
      </c>
      <c r="C386" s="94">
        <f>TEXT(B386,"aaa")</f>
        <v/>
      </c>
      <c r="D386" s="94" t="inlineStr">
        <is>
          <t>인스타그램(전환)</t>
        </is>
      </c>
      <c r="E386" s="94" t="inlineStr">
        <is>
          <t>토너</t>
        </is>
      </c>
      <c r="J386" s="89" t="n">
        <v>495653</v>
      </c>
    </row>
    <row r="387" hidden="1" customFormat="1" s="94">
      <c r="B387" s="128" t="n">
        <v>43819</v>
      </c>
      <c r="C387" s="94">
        <f>TEXT(B387,"aaa")</f>
        <v/>
      </c>
      <c r="D387" s="94" t="inlineStr">
        <is>
          <t>네이버 브랜드검색</t>
        </is>
      </c>
      <c r="E387" s="94" t="inlineStr">
        <is>
          <t>토너</t>
        </is>
      </c>
      <c r="J387" s="89" t="n">
        <v>20000</v>
      </c>
    </row>
    <row r="388" hidden="1" customFormat="1" s="94">
      <c r="B388" s="128" t="n">
        <v>43819</v>
      </c>
      <c r="C388" s="94">
        <f>TEXT(B388,"aaa")</f>
        <v/>
      </c>
      <c r="D388" s="94" t="inlineStr">
        <is>
          <t>네이버 쇼핑검색</t>
        </is>
      </c>
      <c r="E388" s="94" t="inlineStr">
        <is>
          <t>토너</t>
        </is>
      </c>
      <c r="J388" s="89">
        <f>8580/1.1</f>
        <v/>
      </c>
    </row>
    <row r="389" hidden="1" customFormat="1" s="94">
      <c r="B389" s="128" t="n">
        <v>43819</v>
      </c>
      <c r="C389" s="94">
        <f>TEXT(B389,"aaa")</f>
        <v/>
      </c>
      <c r="D389" s="94" t="inlineStr">
        <is>
          <t>카카오톡 메시지</t>
        </is>
      </c>
      <c r="E389" s="94" t="inlineStr">
        <is>
          <t>머드크림마스크</t>
        </is>
      </c>
      <c r="J389" s="89">
        <f>1033*15</f>
        <v/>
      </c>
    </row>
    <row r="390" hidden="1" customFormat="1" s="94">
      <c r="B390" s="128" t="n">
        <v>43819</v>
      </c>
      <c r="C390" s="94">
        <f>TEXT(B390,"aaa")</f>
        <v/>
      </c>
      <c r="D390" s="94" t="inlineStr">
        <is>
          <t>카카오톡 메시지</t>
        </is>
      </c>
      <c r="E390" s="94" t="inlineStr">
        <is>
          <t>머드크림마스크</t>
        </is>
      </c>
      <c r="G390" s="94" t="inlineStr">
        <is>
          <t>테스트</t>
        </is>
      </c>
      <c r="J390" s="89">
        <f>1*20</f>
        <v/>
      </c>
    </row>
    <row r="391" hidden="1" customFormat="1" s="94">
      <c r="B391" s="128" t="n">
        <v>43817</v>
      </c>
      <c r="C391" s="94">
        <f>TEXT(B391,"aaa")</f>
        <v/>
      </c>
      <c r="D391" s="94" t="inlineStr">
        <is>
          <t>SMS</t>
        </is>
      </c>
      <c r="E391" s="94" t="inlineStr">
        <is>
          <t>앰플 사전 체험단</t>
        </is>
      </c>
      <c r="G391" s="94" t="inlineStr">
        <is>
          <t>테스트</t>
        </is>
      </c>
      <c r="J391" s="89">
        <f>(9+5+9+3+9+4)*100</f>
        <v/>
      </c>
    </row>
    <row r="392" hidden="1" customFormat="1" s="94">
      <c r="B392" s="128" t="n">
        <v>43817</v>
      </c>
      <c r="C392" s="94">
        <f>TEXT(B392,"aaa")</f>
        <v/>
      </c>
      <c r="D392" s="94" t="inlineStr">
        <is>
          <t>SMS</t>
        </is>
      </c>
      <c r="E392" s="94" t="inlineStr">
        <is>
          <t>앰플 사전 체험단</t>
        </is>
      </c>
      <c r="J392" s="89">
        <f>10*100</f>
        <v/>
      </c>
    </row>
    <row r="393" hidden="1" customFormat="1" s="94">
      <c r="B393" s="128" t="n">
        <v>43818</v>
      </c>
      <c r="C393" s="94">
        <f>TEXT(B393,"aaa")</f>
        <v/>
      </c>
      <c r="D393" s="94" t="inlineStr">
        <is>
          <t>SMS</t>
        </is>
      </c>
      <c r="E393" s="94" t="inlineStr">
        <is>
          <t>앰플 사전 체험단</t>
        </is>
      </c>
      <c r="J393" s="89">
        <f>(9+1+25)*100</f>
        <v/>
      </c>
    </row>
    <row r="394" hidden="1" customFormat="1" s="94">
      <c r="B394" s="128" t="n">
        <v>43818</v>
      </c>
      <c r="C394" s="94">
        <f>TEXT(B394,"aaa")</f>
        <v/>
      </c>
      <c r="D394" s="94" t="inlineStr">
        <is>
          <t>SMS</t>
        </is>
      </c>
      <c r="E394" s="94" t="inlineStr">
        <is>
          <t>머드크림마스크</t>
        </is>
      </c>
      <c r="G394" s="94" t="inlineStr">
        <is>
          <t>테스트</t>
        </is>
      </c>
      <c r="J394" s="89">
        <f>(2+2)*100</f>
        <v/>
      </c>
    </row>
    <row r="395" hidden="1" customFormat="1" s="94">
      <c r="B395" s="128" t="n">
        <v>43818</v>
      </c>
      <c r="C395" s="94">
        <f>TEXT(B395,"aaa")</f>
        <v/>
      </c>
      <c r="D395" s="94" t="inlineStr">
        <is>
          <t>SMS</t>
        </is>
      </c>
      <c r="E395" s="94" t="inlineStr">
        <is>
          <t>머드크림마스크</t>
        </is>
      </c>
      <c r="G395" s="94" t="inlineStr">
        <is>
          <t>테스트-장문</t>
        </is>
      </c>
      <c r="J395" s="89">
        <f>4*30</f>
        <v/>
      </c>
    </row>
    <row r="396" hidden="1" customFormat="1" s="94">
      <c r="B396" s="128" t="n">
        <v>43819</v>
      </c>
      <c r="C396" s="94">
        <f>TEXT(B396,"aaa")</f>
        <v/>
      </c>
      <c r="D396" s="94" t="inlineStr">
        <is>
          <t>SMS</t>
        </is>
      </c>
      <c r="E396" s="94" t="inlineStr">
        <is>
          <t>머드크림마스크</t>
        </is>
      </c>
      <c r="J396" s="89">
        <f>169*100</f>
        <v/>
      </c>
    </row>
    <row r="397" hidden="1" customFormat="1" s="94">
      <c r="B397" s="128" t="n">
        <v>43819</v>
      </c>
      <c r="C397" s="94">
        <f>TEXT(B397,"aaa")</f>
        <v/>
      </c>
      <c r="D397" s="94" t="inlineStr">
        <is>
          <t>SMS</t>
        </is>
      </c>
      <c r="E397" s="94" t="inlineStr">
        <is>
          <t>머드크림마스크</t>
        </is>
      </c>
      <c r="G397" s="94" t="inlineStr">
        <is>
          <t>테스트</t>
        </is>
      </c>
      <c r="J397" s="89">
        <f>1*100</f>
        <v/>
      </c>
    </row>
    <row r="398" hidden="1" customFormat="1" s="94">
      <c r="B398" s="128" t="n">
        <v>43820</v>
      </c>
      <c r="C398" s="94">
        <f>TEXT(B398,"aaa")</f>
        <v/>
      </c>
      <c r="D398" s="94" t="inlineStr">
        <is>
          <t>인스타그램(랄라블라)</t>
        </is>
      </c>
      <c r="E398" s="94" t="inlineStr">
        <is>
          <t>토너</t>
        </is>
      </c>
      <c r="J398" s="89" t="n">
        <v>26081</v>
      </c>
    </row>
    <row r="399" hidden="1" customFormat="1" s="94">
      <c r="B399" s="128" t="n">
        <v>43820</v>
      </c>
      <c r="C399" s="94">
        <f>TEXT(B399,"aaa")</f>
        <v/>
      </c>
      <c r="D399" s="94" t="inlineStr">
        <is>
          <t>인스타그램(블로그)</t>
        </is>
      </c>
      <c r="E399" s="94" t="inlineStr">
        <is>
          <t>토너</t>
        </is>
      </c>
      <c r="J399" s="89" t="n">
        <v>53643</v>
      </c>
    </row>
    <row r="400" hidden="1" customFormat="1" s="94">
      <c r="B400" s="128" t="n">
        <v>43820</v>
      </c>
      <c r="C400" s="94">
        <f>TEXT(B400,"aaa")</f>
        <v/>
      </c>
      <c r="D400" s="94" t="inlineStr">
        <is>
          <t>인스타그램(전환)</t>
        </is>
      </c>
      <c r="E400" s="94" t="inlineStr">
        <is>
          <t>토너</t>
        </is>
      </c>
      <c r="J400" s="89" t="n">
        <v>534472</v>
      </c>
    </row>
    <row r="401" hidden="1" customFormat="1" s="94">
      <c r="B401" s="128" t="n">
        <v>43820</v>
      </c>
      <c r="C401" s="94">
        <f>TEXT(B401,"aaa")</f>
        <v/>
      </c>
      <c r="D401" s="94" t="inlineStr">
        <is>
          <t>네이버 브랜드검색</t>
        </is>
      </c>
      <c r="E401" s="94" t="inlineStr">
        <is>
          <t>토너</t>
        </is>
      </c>
      <c r="J401" s="89" t="n">
        <v>20000</v>
      </c>
    </row>
    <row r="402" hidden="1" customFormat="1" s="94">
      <c r="B402" s="128" t="n">
        <v>43820</v>
      </c>
      <c r="C402" s="94">
        <f>TEXT(B402,"aaa")</f>
        <v/>
      </c>
      <c r="D402" s="94" t="inlineStr">
        <is>
          <t>네이버 쇼핑검색</t>
        </is>
      </c>
      <c r="E402" s="94" t="inlineStr">
        <is>
          <t>토너</t>
        </is>
      </c>
      <c r="J402" s="89">
        <f>7040/1.1</f>
        <v/>
      </c>
    </row>
    <row r="403" hidden="1" customFormat="1" s="94">
      <c r="B403" s="128" t="n">
        <v>43821</v>
      </c>
      <c r="C403" s="94">
        <f>TEXT(B403,"aaa")</f>
        <v/>
      </c>
      <c r="D403" s="94" t="inlineStr">
        <is>
          <t>인스타그램(랄라블라)</t>
        </is>
      </c>
      <c r="E403" s="94" t="inlineStr">
        <is>
          <t>토너</t>
        </is>
      </c>
      <c r="J403" s="89" t="n">
        <v>25023</v>
      </c>
    </row>
    <row r="404" hidden="1" customFormat="1" s="94">
      <c r="B404" s="128" t="n">
        <v>43821</v>
      </c>
      <c r="C404" s="94">
        <f>TEXT(B404,"aaa")</f>
        <v/>
      </c>
      <c r="D404" s="94" t="inlineStr">
        <is>
          <t>인스타그램(블로그)</t>
        </is>
      </c>
      <c r="E404" s="94" t="inlineStr">
        <is>
          <t>토너</t>
        </is>
      </c>
      <c r="J404" s="89" t="n">
        <v>50131</v>
      </c>
    </row>
    <row r="405" hidden="1" customFormat="1" s="94">
      <c r="B405" s="128" t="n">
        <v>43821</v>
      </c>
      <c r="C405" s="94">
        <f>TEXT(B405,"aaa")</f>
        <v/>
      </c>
      <c r="D405" s="94" t="inlineStr">
        <is>
          <t>인스타그램(전환)</t>
        </is>
      </c>
      <c r="E405" s="94" t="inlineStr">
        <is>
          <t>토너</t>
        </is>
      </c>
      <c r="J405" s="89" t="n">
        <v>500422</v>
      </c>
    </row>
    <row r="406" hidden="1" customFormat="1" s="94">
      <c r="B406" s="128" t="n">
        <v>43821</v>
      </c>
      <c r="C406" s="94">
        <f>TEXT(B406,"aaa")</f>
        <v/>
      </c>
      <c r="D406" s="94" t="inlineStr">
        <is>
          <t>네이버 브랜드검색</t>
        </is>
      </c>
      <c r="E406" s="94" t="inlineStr">
        <is>
          <t>토너</t>
        </is>
      </c>
      <c r="J406" s="89" t="n">
        <v>20000</v>
      </c>
    </row>
    <row r="407" hidden="1" customFormat="1" s="94">
      <c r="B407" s="128" t="n">
        <v>43821</v>
      </c>
      <c r="C407" s="94">
        <f>TEXT(B407,"aaa")</f>
        <v/>
      </c>
      <c r="D407" s="94" t="inlineStr">
        <is>
          <t>네이버 쇼핑검색</t>
        </is>
      </c>
      <c r="E407" s="94" t="inlineStr">
        <is>
          <t>토너</t>
        </is>
      </c>
      <c r="J407" s="89">
        <f>8140/1.1</f>
        <v/>
      </c>
    </row>
    <row r="408" hidden="1" customFormat="1" s="94">
      <c r="B408" s="128" t="n">
        <v>43822</v>
      </c>
      <c r="C408" s="94">
        <f>TEXT(B408,"aaa")</f>
        <v/>
      </c>
      <c r="D408" s="94" t="inlineStr">
        <is>
          <t>인스타그램(랄라블라)</t>
        </is>
      </c>
      <c r="E408" s="94" t="inlineStr">
        <is>
          <t>토너</t>
        </is>
      </c>
      <c r="J408" s="89" t="n">
        <v>24146</v>
      </c>
    </row>
    <row r="409" hidden="1" customFormat="1" s="94">
      <c r="B409" s="128" t="n">
        <v>43822</v>
      </c>
      <c r="C409" s="94">
        <f>TEXT(B409,"aaa")</f>
        <v/>
      </c>
      <c r="D409" s="94" t="inlineStr">
        <is>
          <t>인스타그램(블로그)</t>
        </is>
      </c>
      <c r="E409" s="94" t="inlineStr">
        <is>
          <t>토너</t>
        </is>
      </c>
      <c r="J409" s="89" t="n">
        <v>48348</v>
      </c>
    </row>
    <row r="410" hidden="1" customFormat="1" s="94">
      <c r="B410" s="128" t="n">
        <v>43822</v>
      </c>
      <c r="C410" s="94">
        <f>TEXT(B410,"aaa")</f>
        <v/>
      </c>
      <c r="D410" s="94" t="inlineStr">
        <is>
          <t>인스타그램(전환)</t>
        </is>
      </c>
      <c r="E410" s="94" t="inlineStr">
        <is>
          <t>토너</t>
        </is>
      </c>
      <c r="J410" s="89" t="n">
        <v>482007</v>
      </c>
    </row>
    <row r="411" hidden="1" customFormat="1" s="94">
      <c r="B411" s="128" t="n">
        <v>43822</v>
      </c>
      <c r="C411" s="94">
        <f>TEXT(B411,"aaa")</f>
        <v/>
      </c>
      <c r="D411" s="94" t="inlineStr">
        <is>
          <t>네이버 브랜드검색</t>
        </is>
      </c>
      <c r="E411" s="94" t="inlineStr">
        <is>
          <t>토너</t>
        </is>
      </c>
      <c r="J411" s="89" t="n">
        <v>20000</v>
      </c>
    </row>
    <row r="412" hidden="1" customFormat="1" s="94">
      <c r="B412" s="128" t="n">
        <v>43822</v>
      </c>
      <c r="C412" s="94">
        <f>TEXT(B412,"aaa")</f>
        <v/>
      </c>
      <c r="D412" s="94" t="inlineStr">
        <is>
          <t>네이버 쇼핑검색</t>
        </is>
      </c>
      <c r="E412" s="94" t="inlineStr">
        <is>
          <t>토너</t>
        </is>
      </c>
      <c r="J412" s="89">
        <f>5500/1.1</f>
        <v/>
      </c>
    </row>
    <row r="413" hidden="1" customFormat="1" s="94">
      <c r="B413" s="128" t="n">
        <v>43822</v>
      </c>
      <c r="C413" s="94">
        <f>TEXT(B413,"aaa")</f>
        <v/>
      </c>
      <c r="D413" s="94" t="inlineStr">
        <is>
          <t>카카오톡 메시지</t>
        </is>
      </c>
      <c r="E413" s="94" t="inlineStr">
        <is>
          <t>머드크림마스크</t>
        </is>
      </c>
      <c r="G413" s="94" t="inlineStr">
        <is>
          <t>당첨</t>
        </is>
      </c>
      <c r="J413" s="89">
        <f>30*20</f>
        <v/>
      </c>
    </row>
    <row r="414" hidden="1" customFormat="1" s="94">
      <c r="B414" s="128" t="n">
        <v>43822</v>
      </c>
      <c r="C414" s="94">
        <f>TEXT(B414,"aaa")</f>
        <v/>
      </c>
      <c r="D414" s="94" t="inlineStr">
        <is>
          <t>카카오톡 메시지</t>
        </is>
      </c>
      <c r="E414" s="94" t="inlineStr">
        <is>
          <t>머드크림마스크</t>
        </is>
      </c>
      <c r="G414" s="94" t="inlineStr">
        <is>
          <t>비당첨</t>
        </is>
      </c>
      <c r="J414" s="89">
        <f>91*20</f>
        <v/>
      </c>
    </row>
    <row r="415" hidden="1" customFormat="1" s="94">
      <c r="B415" s="128" t="n">
        <v>43822</v>
      </c>
      <c r="C415" s="94">
        <f>TEXT(B415,"aaa")</f>
        <v/>
      </c>
      <c r="D415" s="94" t="inlineStr">
        <is>
          <t>SMS</t>
        </is>
      </c>
      <c r="E415" s="94" t="inlineStr">
        <is>
          <t>머드크림마스크</t>
        </is>
      </c>
      <c r="G415" s="94" t="inlineStr">
        <is>
          <t>테스트</t>
        </is>
      </c>
      <c r="J415" s="89">
        <f>1*30</f>
        <v/>
      </c>
    </row>
    <row r="416" hidden="1" customFormat="1" s="94">
      <c r="B416" s="128" t="n">
        <v>43822</v>
      </c>
      <c r="C416" s="94">
        <f>TEXT(B416,"aaa")</f>
        <v/>
      </c>
      <c r="D416" s="94" t="inlineStr">
        <is>
          <t>SMS</t>
        </is>
      </c>
      <c r="E416" s="94" t="inlineStr">
        <is>
          <t>머드크림마스크</t>
        </is>
      </c>
      <c r="G416" s="94" t="inlineStr">
        <is>
          <t>테스트</t>
        </is>
      </c>
      <c r="J416" s="89">
        <f>1*70</f>
        <v/>
      </c>
    </row>
    <row r="417" hidden="1" customFormat="1" s="94">
      <c r="B417" s="128" t="n">
        <v>43822</v>
      </c>
      <c r="C417" s="94">
        <f>TEXT(B417,"aaa")</f>
        <v/>
      </c>
      <c r="D417" s="94" t="inlineStr">
        <is>
          <t>SMS</t>
        </is>
      </c>
      <c r="E417" s="94" t="inlineStr">
        <is>
          <t>머드크림마스크</t>
        </is>
      </c>
      <c r="G417" s="94" t="inlineStr">
        <is>
          <t>당첨</t>
        </is>
      </c>
      <c r="J417" s="89">
        <f>24*70</f>
        <v/>
      </c>
    </row>
    <row r="418" hidden="1" customFormat="1" s="94">
      <c r="B418" s="128" t="n">
        <v>43822</v>
      </c>
      <c r="C418" s="94">
        <f>TEXT(B418,"aaa")</f>
        <v/>
      </c>
      <c r="D418" s="94" t="inlineStr">
        <is>
          <t>SMS</t>
        </is>
      </c>
      <c r="E418" s="94" t="inlineStr">
        <is>
          <t>머드크림마스크</t>
        </is>
      </c>
      <c r="G418" s="94" t="inlineStr">
        <is>
          <t>비당첨</t>
        </is>
      </c>
      <c r="J418" s="89">
        <f>10*30</f>
        <v/>
      </c>
    </row>
    <row r="419" hidden="1" customFormat="1" s="94">
      <c r="B419" s="128" t="n">
        <v>43822</v>
      </c>
      <c r="C419" s="94">
        <f>TEXT(B419,"aaa")</f>
        <v/>
      </c>
      <c r="D419" s="94" t="inlineStr">
        <is>
          <t>SMS</t>
        </is>
      </c>
      <c r="E419" s="94" t="inlineStr">
        <is>
          <t>토너</t>
        </is>
      </c>
      <c r="G419" s="94" t="inlineStr">
        <is>
          <t>블로그 작성 유도</t>
        </is>
      </c>
      <c r="J419" s="89">
        <f>5*70</f>
        <v/>
      </c>
    </row>
    <row r="420" hidden="1" customFormat="1" s="94">
      <c r="B420" s="128" t="n">
        <v>43823</v>
      </c>
      <c r="C420" s="94">
        <f>TEXT(B420,"aaa")</f>
        <v/>
      </c>
      <c r="D420" s="94" t="inlineStr">
        <is>
          <t>인스타그램(랄라블라)</t>
        </is>
      </c>
      <c r="E420" s="94" t="inlineStr">
        <is>
          <t>토너</t>
        </is>
      </c>
      <c r="J420" s="89" t="n">
        <v>25209</v>
      </c>
    </row>
    <row r="421" hidden="1" customFormat="1" s="94">
      <c r="B421" s="128" t="n">
        <v>43823</v>
      </c>
      <c r="C421" s="94">
        <f>TEXT(B421,"aaa")</f>
        <v/>
      </c>
      <c r="D421" s="94" t="inlineStr">
        <is>
          <t>인스타그램(블로그)</t>
        </is>
      </c>
      <c r="E421" s="94" t="inlineStr">
        <is>
          <t>토너</t>
        </is>
      </c>
      <c r="J421" s="89" t="n">
        <v>48581</v>
      </c>
    </row>
    <row r="422" hidden="1" customFormat="1" s="94">
      <c r="B422" s="128" t="n">
        <v>43823</v>
      </c>
      <c r="C422" s="94">
        <f>TEXT(B422,"aaa")</f>
        <v/>
      </c>
      <c r="D422" s="94" t="inlineStr">
        <is>
          <t>인스타그램(전환)</t>
        </is>
      </c>
      <c r="E422" s="94" t="inlineStr">
        <is>
          <t>토너</t>
        </is>
      </c>
      <c r="J422" s="89" t="n">
        <v>487985</v>
      </c>
    </row>
    <row r="423" hidden="1" customFormat="1" s="94">
      <c r="B423" s="128" t="n">
        <v>43823</v>
      </c>
      <c r="C423" s="94">
        <f>TEXT(B423,"aaa")</f>
        <v/>
      </c>
      <c r="D423" s="94" t="inlineStr">
        <is>
          <t>네이버 브랜드검색</t>
        </is>
      </c>
      <c r="E423" s="94" t="inlineStr">
        <is>
          <t>토너</t>
        </is>
      </c>
      <c r="J423" s="89" t="n">
        <v>20000</v>
      </c>
    </row>
    <row r="424" hidden="1" customFormat="1" s="94">
      <c r="B424" s="128" t="n">
        <v>43823</v>
      </c>
      <c r="C424" s="94">
        <f>TEXT(B424,"aaa")</f>
        <v/>
      </c>
      <c r="D424" s="94" t="inlineStr">
        <is>
          <t>네이버 쇼핑검색</t>
        </is>
      </c>
      <c r="E424" s="94" t="inlineStr">
        <is>
          <t>토너</t>
        </is>
      </c>
      <c r="J424" s="89">
        <f>5940/1.1</f>
        <v/>
      </c>
    </row>
    <row r="425" hidden="1" customFormat="1" s="94">
      <c r="B425" s="128" t="n">
        <v>43823</v>
      </c>
      <c r="C425" s="94">
        <f>TEXT(B425,"aaa")</f>
        <v/>
      </c>
      <c r="D425" s="94" t="inlineStr">
        <is>
          <t>카카오톡 메시지</t>
        </is>
      </c>
      <c r="E425" s="94" t="inlineStr">
        <is>
          <t>앰플 사전 체험단</t>
        </is>
      </c>
      <c r="G425" s="94" t="inlineStr">
        <is>
          <t>설문지 전달</t>
        </is>
      </c>
      <c r="J425" s="89">
        <f>3*20</f>
        <v/>
      </c>
    </row>
    <row r="426" hidden="1" customFormat="1" s="94">
      <c r="B426" s="128" t="n">
        <v>43823</v>
      </c>
      <c r="C426" s="94">
        <f>TEXT(B426,"aaa")</f>
        <v/>
      </c>
      <c r="D426" s="94" t="inlineStr">
        <is>
          <t>SMS</t>
        </is>
      </c>
      <c r="E426" s="94" t="inlineStr">
        <is>
          <t>앰플 사전 체험단</t>
        </is>
      </c>
      <c r="G426" s="94" t="inlineStr">
        <is>
          <t>테스트</t>
        </is>
      </c>
      <c r="J426" s="89">
        <f>1*30</f>
        <v/>
      </c>
    </row>
    <row r="427" hidden="1" customFormat="1" s="94">
      <c r="B427" s="128" t="n">
        <v>43823</v>
      </c>
      <c r="C427" s="94">
        <f>TEXT(B427,"aaa")</f>
        <v/>
      </c>
      <c r="D427" s="94" t="inlineStr">
        <is>
          <t>SMS</t>
        </is>
      </c>
      <c r="E427" s="94" t="inlineStr">
        <is>
          <t>앰플 사전 체험단</t>
        </is>
      </c>
      <c r="G427" s="94" t="inlineStr">
        <is>
          <t>설문지 전달</t>
        </is>
      </c>
      <c r="J427" s="89">
        <f>13*30</f>
        <v/>
      </c>
    </row>
    <row r="428" hidden="1" customFormat="1" s="94">
      <c r="B428" s="128" t="n">
        <v>43823</v>
      </c>
      <c r="C428" s="94">
        <f>TEXT(B428,"aaa")</f>
        <v/>
      </c>
      <c r="D428" s="94" t="inlineStr">
        <is>
          <t>SMS</t>
        </is>
      </c>
      <c r="E428" s="94" t="inlineStr">
        <is>
          <t>머드크림마스크</t>
        </is>
      </c>
      <c r="G428" s="94" t="inlineStr">
        <is>
          <t>당첨자 안내(URL누락)</t>
        </is>
      </c>
      <c r="J428" s="89">
        <f>24*70</f>
        <v/>
      </c>
    </row>
    <row r="429" hidden="1" customFormat="1" s="94">
      <c r="B429" s="128" t="n">
        <v>43823</v>
      </c>
      <c r="C429" s="94">
        <f>TEXT(B429,"aaa")</f>
        <v/>
      </c>
      <c r="D429" s="94" t="inlineStr">
        <is>
          <t>홈페이지 스킨 구매</t>
        </is>
      </c>
      <c r="E429" s="94" t="inlineStr">
        <is>
          <t>브랜드</t>
        </is>
      </c>
      <c r="J429" s="89">
        <f>250000/1.1</f>
        <v/>
      </c>
    </row>
    <row r="430" hidden="1" customFormat="1" s="94">
      <c r="B430" s="128" t="n">
        <v>43824</v>
      </c>
      <c r="C430" s="94">
        <f>TEXT(B430,"aaa")</f>
        <v/>
      </c>
      <c r="D430" s="94" t="inlineStr">
        <is>
          <t>인스타그램(랄라블라)</t>
        </is>
      </c>
      <c r="E430" s="94" t="inlineStr">
        <is>
          <t>토너</t>
        </is>
      </c>
      <c r="J430" s="89" t="n">
        <v>25202</v>
      </c>
    </row>
    <row r="431" hidden="1" customFormat="1" s="94">
      <c r="B431" s="128" t="n">
        <v>43824</v>
      </c>
      <c r="C431" s="94">
        <f>TEXT(B431,"aaa")</f>
        <v/>
      </c>
      <c r="D431" s="94" t="inlineStr">
        <is>
          <t>인스타그램(블로그)</t>
        </is>
      </c>
      <c r="E431" s="94" t="inlineStr">
        <is>
          <t>토너</t>
        </is>
      </c>
      <c r="J431" s="89" t="n">
        <v>50805</v>
      </c>
    </row>
    <row r="432" hidden="1" customFormat="1" s="94">
      <c r="B432" s="128" t="n">
        <v>43824</v>
      </c>
      <c r="C432" s="94">
        <f>TEXT(B432,"aaa")</f>
        <v/>
      </c>
      <c r="D432" s="94" t="inlineStr">
        <is>
          <t>인스타그램(전환)</t>
        </is>
      </c>
      <c r="E432" s="94" t="inlineStr">
        <is>
          <t>토너</t>
        </is>
      </c>
      <c r="J432" s="89" t="n">
        <v>509049</v>
      </c>
    </row>
    <row r="433" hidden="1" customFormat="1" s="94">
      <c r="B433" s="128" t="n">
        <v>43824</v>
      </c>
      <c r="C433" s="94">
        <f>TEXT(B433,"aaa")</f>
        <v/>
      </c>
      <c r="D433" s="94" t="inlineStr">
        <is>
          <t>네이버 브랜드검색</t>
        </is>
      </c>
      <c r="E433" s="94" t="inlineStr">
        <is>
          <t>토너</t>
        </is>
      </c>
      <c r="J433" s="89" t="n">
        <v>20000</v>
      </c>
    </row>
    <row r="434" hidden="1" customFormat="1" s="94">
      <c r="B434" s="128" t="n">
        <v>43824</v>
      </c>
      <c r="C434" s="94">
        <f>TEXT(B434,"aaa")</f>
        <v/>
      </c>
      <c r="D434" s="94" t="inlineStr">
        <is>
          <t>네이버 쇼핑검색</t>
        </is>
      </c>
      <c r="E434" s="94" t="inlineStr">
        <is>
          <t>토너</t>
        </is>
      </c>
      <c r="J434" s="89">
        <f>6380/1.1</f>
        <v/>
      </c>
    </row>
    <row r="435" hidden="1" customFormat="1" s="94">
      <c r="B435" s="128" t="n">
        <v>43825</v>
      </c>
      <c r="C435" s="94">
        <f>TEXT(B435,"aaa")</f>
        <v/>
      </c>
      <c r="D435" s="94" t="inlineStr">
        <is>
          <t>인스타그램(랄라블라)</t>
        </is>
      </c>
      <c r="E435" s="94" t="inlineStr">
        <is>
          <t>토너</t>
        </is>
      </c>
      <c r="J435" s="89" t="n">
        <v>24384</v>
      </c>
    </row>
    <row r="436" hidden="1" customFormat="1" s="94">
      <c r="B436" s="128" t="n">
        <v>43825</v>
      </c>
      <c r="C436" s="94">
        <f>TEXT(B436,"aaa")</f>
        <v/>
      </c>
      <c r="D436" s="94" t="inlineStr">
        <is>
          <t>인스타그램(블로그)</t>
        </is>
      </c>
      <c r="E436" s="94" t="inlineStr">
        <is>
          <t>토너</t>
        </is>
      </c>
      <c r="J436" s="89" t="n">
        <v>49397</v>
      </c>
    </row>
    <row r="437" hidden="1" customFormat="1" s="94">
      <c r="B437" s="128" t="n">
        <v>43825</v>
      </c>
      <c r="C437" s="94">
        <f>TEXT(B437,"aaa")</f>
        <v/>
      </c>
      <c r="D437" s="94" t="inlineStr">
        <is>
          <t>인스타그램(전환)</t>
        </is>
      </c>
      <c r="E437" s="94" t="inlineStr">
        <is>
          <t>토너</t>
        </is>
      </c>
      <c r="J437" s="89" t="n">
        <v>506898</v>
      </c>
    </row>
    <row r="438" hidden="1" customFormat="1" s="94">
      <c r="B438" s="128" t="n">
        <v>43825</v>
      </c>
      <c r="C438" s="94">
        <f>TEXT(B438,"aaa")</f>
        <v/>
      </c>
      <c r="D438" s="94" t="inlineStr">
        <is>
          <t>네이버 브랜드검색</t>
        </is>
      </c>
      <c r="E438" s="94" t="inlineStr">
        <is>
          <t>토너</t>
        </is>
      </c>
      <c r="J438" s="89" t="n">
        <v>20000</v>
      </c>
    </row>
    <row r="439" hidden="1" customFormat="1" s="94">
      <c r="B439" s="128" t="n">
        <v>43825</v>
      </c>
      <c r="C439" s="94">
        <f>TEXT(B439,"aaa")</f>
        <v/>
      </c>
      <c r="D439" s="94" t="inlineStr">
        <is>
          <t>네이버 쇼핑검색</t>
        </is>
      </c>
      <c r="E439" s="94" t="inlineStr">
        <is>
          <t>토너</t>
        </is>
      </c>
      <c r="J439" s="89">
        <f>9680/1.1</f>
        <v/>
      </c>
    </row>
    <row r="440" hidden="1" customFormat="1" s="94">
      <c r="B440" s="128" t="n">
        <v>43825</v>
      </c>
      <c r="C440" s="94">
        <f>TEXT(B440,"aaa")</f>
        <v/>
      </c>
      <c r="D440" s="94" t="inlineStr">
        <is>
          <t>카카오톡 메시지</t>
        </is>
      </c>
      <c r="E440" s="94" t="inlineStr">
        <is>
          <t>머드크림마스크</t>
        </is>
      </c>
      <c r="G440" s="94" t="inlineStr">
        <is>
          <t>사용방법팁</t>
        </is>
      </c>
      <c r="J440" s="89">
        <f>33*20</f>
        <v/>
      </c>
    </row>
    <row r="441" hidden="1" customFormat="1" s="94">
      <c r="B441" s="128" t="n">
        <v>43825</v>
      </c>
      <c r="C441" s="94">
        <f>TEXT(B441,"aaa")</f>
        <v/>
      </c>
      <c r="D441" s="94" t="inlineStr">
        <is>
          <t>SMS</t>
        </is>
      </c>
      <c r="E441" s="94" t="inlineStr">
        <is>
          <t>머드크림마스크</t>
        </is>
      </c>
      <c r="G441" s="94" t="inlineStr">
        <is>
          <t>테스트</t>
        </is>
      </c>
      <c r="J441" s="89">
        <f>1*30+1*70</f>
        <v/>
      </c>
    </row>
    <row r="442" hidden="1" customFormat="1" s="94">
      <c r="B442" s="128" t="n">
        <v>43825</v>
      </c>
      <c r="C442" s="94">
        <f>TEXT(B442,"aaa")</f>
        <v/>
      </c>
      <c r="D442" s="94" t="inlineStr">
        <is>
          <t>SMS</t>
        </is>
      </c>
      <c r="E442" s="94" t="inlineStr">
        <is>
          <t>머드크림마스크</t>
        </is>
      </c>
      <c r="G442" s="94" t="inlineStr">
        <is>
          <t>사용방법팁</t>
        </is>
      </c>
      <c r="J442" s="89">
        <f>21*70</f>
        <v/>
      </c>
    </row>
    <row r="443" hidden="1" customFormat="1" s="94">
      <c r="B443" s="128" t="n">
        <v>43826</v>
      </c>
      <c r="C443" s="94">
        <f>TEXT(B443,"aaa")</f>
        <v/>
      </c>
      <c r="D443" s="94" t="inlineStr">
        <is>
          <t>인스타그램(랄라블라)</t>
        </is>
      </c>
      <c r="E443" s="94" t="inlineStr">
        <is>
          <t>토너</t>
        </is>
      </c>
      <c r="J443" s="89" t="n">
        <v>24523</v>
      </c>
    </row>
    <row r="444" hidden="1" customFormat="1" s="94">
      <c r="B444" s="128" t="n">
        <v>43826</v>
      </c>
      <c r="C444" s="94">
        <f>TEXT(B444,"aaa")</f>
        <v/>
      </c>
      <c r="D444" s="94" t="inlineStr">
        <is>
          <t>인스타그램(블로그)</t>
        </is>
      </c>
      <c r="E444" s="94" t="inlineStr">
        <is>
          <t>토너</t>
        </is>
      </c>
      <c r="J444" s="89" t="n">
        <v>49321</v>
      </c>
    </row>
    <row r="445" hidden="1" customFormat="1" s="94">
      <c r="B445" s="128" t="n">
        <v>43826</v>
      </c>
      <c r="C445" s="94">
        <f>TEXT(B445,"aaa")</f>
        <v/>
      </c>
      <c r="D445" s="94" t="inlineStr">
        <is>
          <t>인스타그램(전환)</t>
        </is>
      </c>
      <c r="E445" s="94" t="inlineStr">
        <is>
          <t>토너</t>
        </is>
      </c>
      <c r="J445" s="89" t="n">
        <v>490909</v>
      </c>
    </row>
    <row r="446" hidden="1" customFormat="1" s="94">
      <c r="B446" s="128" t="n">
        <v>43826</v>
      </c>
      <c r="C446" s="94">
        <f>TEXT(B446,"aaa")</f>
        <v/>
      </c>
      <c r="D446" s="94" t="inlineStr">
        <is>
          <t>네이버 브랜드검색</t>
        </is>
      </c>
      <c r="E446" s="94" t="inlineStr">
        <is>
          <t>토너</t>
        </is>
      </c>
      <c r="J446" s="89" t="n">
        <v>20000</v>
      </c>
    </row>
    <row r="447" hidden="1" customFormat="1" s="94">
      <c r="B447" s="128" t="n">
        <v>43826</v>
      </c>
      <c r="C447" s="94">
        <f>TEXT(B447,"aaa")</f>
        <v/>
      </c>
      <c r="D447" s="94" t="inlineStr">
        <is>
          <t>네이버 쇼핑검색</t>
        </is>
      </c>
      <c r="E447" s="94" t="inlineStr">
        <is>
          <t>토너</t>
        </is>
      </c>
      <c r="J447" s="89">
        <f>11440/1.1</f>
        <v/>
      </c>
    </row>
    <row r="448" hidden="1" customFormat="1" s="94">
      <c r="B448" s="128" t="n">
        <v>43826</v>
      </c>
      <c r="C448" s="94">
        <f>TEXT(B448,"aaa")</f>
        <v/>
      </c>
      <c r="D448" s="94" t="inlineStr">
        <is>
          <t>카카오톡 메시지</t>
        </is>
      </c>
      <c r="E448" s="94" t="inlineStr">
        <is>
          <t>앰플 사전 체험단</t>
        </is>
      </c>
      <c r="G448" s="94" t="inlineStr">
        <is>
          <t>리마인드</t>
        </is>
      </c>
      <c r="J448" s="89">
        <f>2*20</f>
        <v/>
      </c>
    </row>
    <row r="449" hidden="1" customFormat="1" s="94">
      <c r="B449" s="128" t="n">
        <v>43826</v>
      </c>
      <c r="C449" s="94">
        <f>TEXT(B449,"aaa")</f>
        <v/>
      </c>
      <c r="D449" s="94" t="inlineStr">
        <is>
          <t>SMS</t>
        </is>
      </c>
      <c r="E449" s="94" t="inlineStr">
        <is>
          <t>앰플 사전 체험단</t>
        </is>
      </c>
      <c r="G449" s="94" t="inlineStr">
        <is>
          <t>테스트</t>
        </is>
      </c>
      <c r="J449" s="89">
        <f>1*70</f>
        <v/>
      </c>
    </row>
    <row r="450" hidden="1" customFormat="1" s="94">
      <c r="B450" s="128" t="n">
        <v>43826</v>
      </c>
      <c r="C450" s="94">
        <f>TEXT(B450,"aaa")</f>
        <v/>
      </c>
      <c r="D450" s="94" t="inlineStr">
        <is>
          <t>SMS</t>
        </is>
      </c>
      <c r="E450" s="94" t="inlineStr">
        <is>
          <t>앰플 사전 체험단</t>
        </is>
      </c>
      <c r="G450" s="94" t="inlineStr">
        <is>
          <t>리마인드</t>
        </is>
      </c>
      <c r="J450" s="89">
        <f>6*70</f>
        <v/>
      </c>
    </row>
    <row r="451" hidden="1" customFormat="1" s="94">
      <c r="B451" s="128" t="n">
        <v>43826</v>
      </c>
      <c r="C451" s="94">
        <f>TEXT(B451,"aaa")</f>
        <v/>
      </c>
      <c r="D451" s="94" t="inlineStr">
        <is>
          <t>제품 촬영</t>
        </is>
      </c>
      <c r="E451" s="94" t="inlineStr">
        <is>
          <t>머드크림마스크</t>
        </is>
      </c>
      <c r="J451" s="89">
        <f>2805000/1.1</f>
        <v/>
      </c>
    </row>
    <row r="452" hidden="1" customFormat="1" s="94">
      <c r="B452" s="128" t="n">
        <v>43827</v>
      </c>
      <c r="C452" s="94">
        <f>TEXT(B452,"aaa")</f>
        <v/>
      </c>
      <c r="D452" s="94" t="inlineStr">
        <is>
          <t>인스타그램(랄라블라)</t>
        </is>
      </c>
      <c r="E452" s="94" t="inlineStr">
        <is>
          <t>토너</t>
        </is>
      </c>
      <c r="J452" s="89" t="n">
        <v>26513</v>
      </c>
    </row>
    <row r="453" hidden="1" customFormat="1" s="94">
      <c r="B453" s="128" t="n">
        <v>43827</v>
      </c>
      <c r="C453" s="94">
        <f>TEXT(B453,"aaa")</f>
        <v/>
      </c>
      <c r="D453" s="94" t="inlineStr">
        <is>
          <t>인스타그램(블로그)</t>
        </is>
      </c>
      <c r="E453" s="94" t="inlineStr">
        <is>
          <t>토너</t>
        </is>
      </c>
      <c r="J453" s="89" t="n">
        <v>53417</v>
      </c>
    </row>
    <row r="454" hidden="1" customFormat="1" s="94">
      <c r="B454" s="128" t="n">
        <v>43827</v>
      </c>
      <c r="C454" s="94">
        <f>TEXT(B454,"aaa")</f>
        <v/>
      </c>
      <c r="D454" s="94" t="inlineStr">
        <is>
          <t>인스타그램(전환)</t>
        </is>
      </c>
      <c r="E454" s="94" t="inlineStr">
        <is>
          <t>토너</t>
        </is>
      </c>
      <c r="J454" s="89" t="n">
        <v>522730</v>
      </c>
    </row>
    <row r="455" hidden="1" customFormat="1" s="94">
      <c r="B455" s="128" t="n">
        <v>43827</v>
      </c>
      <c r="C455" s="94">
        <f>TEXT(B455,"aaa")</f>
        <v/>
      </c>
      <c r="D455" s="94" t="inlineStr">
        <is>
          <t>네이버 브랜드검색</t>
        </is>
      </c>
      <c r="E455" s="94" t="inlineStr">
        <is>
          <t>토너</t>
        </is>
      </c>
      <c r="J455" s="89" t="n">
        <v>20000</v>
      </c>
    </row>
    <row r="456" hidden="1" customFormat="1" s="94">
      <c r="B456" s="128" t="n">
        <v>43827</v>
      </c>
      <c r="C456" s="94">
        <f>TEXT(B456,"aaa")</f>
        <v/>
      </c>
      <c r="D456" s="94" t="inlineStr">
        <is>
          <t>네이버 쇼핑검색</t>
        </is>
      </c>
      <c r="E456" s="94" t="inlineStr">
        <is>
          <t>토너</t>
        </is>
      </c>
      <c r="J456" s="89">
        <f>8800/1.1</f>
        <v/>
      </c>
    </row>
    <row r="457" hidden="1" customFormat="1" s="94">
      <c r="B457" s="128" t="n">
        <v>43828</v>
      </c>
      <c r="C457" s="94">
        <f>TEXT(B457,"aaa")</f>
        <v/>
      </c>
      <c r="D457" s="94" t="inlineStr">
        <is>
          <t>인스타그램(랄라블라)</t>
        </is>
      </c>
      <c r="E457" s="94" t="inlineStr">
        <is>
          <t>토너</t>
        </is>
      </c>
      <c r="J457" s="89" t="n">
        <v>25038</v>
      </c>
    </row>
    <row r="458" hidden="1" customFormat="1" s="94">
      <c r="B458" s="128" t="n">
        <v>43828</v>
      </c>
      <c r="C458" s="94">
        <f>TEXT(B458,"aaa")</f>
        <v/>
      </c>
      <c r="D458" s="94" t="inlineStr">
        <is>
          <t>인스타그램(블로그)</t>
        </is>
      </c>
      <c r="E458" s="94" t="inlineStr">
        <is>
          <t>토너</t>
        </is>
      </c>
      <c r="J458" s="89" t="n">
        <v>50087</v>
      </c>
    </row>
    <row r="459" hidden="1" customFormat="1" s="94">
      <c r="B459" s="128" t="n">
        <v>43828</v>
      </c>
      <c r="C459" s="94">
        <f>TEXT(B459,"aaa")</f>
        <v/>
      </c>
      <c r="D459" s="94" t="inlineStr">
        <is>
          <t>인스타그램(전환)</t>
        </is>
      </c>
      <c r="E459" s="94" t="inlineStr">
        <is>
          <t>토너</t>
        </is>
      </c>
      <c r="J459" s="89" t="n">
        <v>500903</v>
      </c>
    </row>
    <row r="460" hidden="1" customFormat="1" s="94">
      <c r="B460" s="128" t="n">
        <v>43828</v>
      </c>
      <c r="C460" s="94">
        <f>TEXT(B460,"aaa")</f>
        <v/>
      </c>
      <c r="D460" s="94" t="inlineStr">
        <is>
          <t>네이버 브랜드검색</t>
        </is>
      </c>
      <c r="E460" s="94" t="inlineStr">
        <is>
          <t>토너</t>
        </is>
      </c>
      <c r="J460" s="89" t="n">
        <v>20000</v>
      </c>
    </row>
    <row r="461" hidden="1" customFormat="1" s="94">
      <c r="B461" s="128" t="n">
        <v>43828</v>
      </c>
      <c r="C461" s="94">
        <f>TEXT(B461,"aaa")</f>
        <v/>
      </c>
      <c r="D461" s="94" t="inlineStr">
        <is>
          <t>네이버 쇼핑검색</t>
        </is>
      </c>
      <c r="E461" s="94" t="inlineStr">
        <is>
          <t>토너</t>
        </is>
      </c>
      <c r="J461" s="89">
        <f>9460/1.1</f>
        <v/>
      </c>
    </row>
    <row r="462" hidden="1" customFormat="1" s="94">
      <c r="B462" s="128" t="n">
        <v>43829</v>
      </c>
      <c r="C462" s="94">
        <f>TEXT(B462,"aaa")</f>
        <v/>
      </c>
      <c r="D462" s="94" t="inlineStr">
        <is>
          <t>인스타그램(랄라블라)</t>
        </is>
      </c>
      <c r="E462" s="94" t="inlineStr">
        <is>
          <t>토너</t>
        </is>
      </c>
      <c r="J462" s="89" t="n">
        <v>25008</v>
      </c>
    </row>
    <row r="463" hidden="1" customFormat="1" s="94">
      <c r="B463" s="128" t="n">
        <v>43829</v>
      </c>
      <c r="C463" s="94">
        <f>TEXT(B463,"aaa")</f>
        <v/>
      </c>
      <c r="D463" s="94" t="inlineStr">
        <is>
          <t>인스타그램(블로그)</t>
        </is>
      </c>
      <c r="E463" s="94" t="inlineStr">
        <is>
          <t>토너</t>
        </is>
      </c>
      <c r="J463" s="89" t="n">
        <v>48434</v>
      </c>
    </row>
    <row r="464" hidden="1" customFormat="1" s="94">
      <c r="B464" s="128" t="n">
        <v>43829</v>
      </c>
      <c r="C464" s="94">
        <f>TEXT(B464,"aaa")</f>
        <v/>
      </c>
      <c r="D464" s="94" t="inlineStr">
        <is>
          <t>인스타그램(전환)</t>
        </is>
      </c>
      <c r="E464" s="94" t="inlineStr">
        <is>
          <t>토너</t>
        </is>
      </c>
      <c r="J464" s="89" t="n">
        <v>491635</v>
      </c>
    </row>
    <row r="465" hidden="1" customFormat="1" s="94">
      <c r="B465" s="128" t="n">
        <v>43829</v>
      </c>
      <c r="C465" s="94">
        <f>TEXT(B465,"aaa")</f>
        <v/>
      </c>
      <c r="D465" s="94" t="inlineStr">
        <is>
          <t>네이버 브랜드검색</t>
        </is>
      </c>
      <c r="E465" s="94" t="inlineStr">
        <is>
          <t>토너</t>
        </is>
      </c>
      <c r="J465" s="89" t="n">
        <v>20000</v>
      </c>
    </row>
    <row r="466" hidden="1" customFormat="1" s="94">
      <c r="B466" s="128" t="n">
        <v>43829</v>
      </c>
      <c r="C466" s="94">
        <f>TEXT(B466,"aaa")</f>
        <v/>
      </c>
      <c r="D466" s="94" t="inlineStr">
        <is>
          <t>네이버 쇼핑검색</t>
        </is>
      </c>
      <c r="E466" s="94" t="inlineStr">
        <is>
          <t>토너</t>
        </is>
      </c>
      <c r="J466" s="89">
        <f>8580/1.1</f>
        <v/>
      </c>
    </row>
    <row r="467" hidden="1" customFormat="1" s="94">
      <c r="B467" s="128" t="n">
        <v>43830</v>
      </c>
      <c r="C467" s="94">
        <f>TEXT(B467,"aaa")</f>
        <v/>
      </c>
      <c r="D467" s="94" t="inlineStr">
        <is>
          <t>인스타그램(랄라블라)</t>
        </is>
      </c>
      <c r="E467" s="94" t="inlineStr">
        <is>
          <t>토너</t>
        </is>
      </c>
      <c r="J467" s="89" t="n">
        <v>25025</v>
      </c>
    </row>
    <row r="468" hidden="1" customFormat="1" s="94">
      <c r="B468" s="128" t="n">
        <v>43830</v>
      </c>
      <c r="C468" s="94">
        <f>TEXT(B468,"aaa")</f>
        <v/>
      </c>
      <c r="D468" s="94" t="inlineStr">
        <is>
          <t>인스타그램(블로그)</t>
        </is>
      </c>
      <c r="E468" s="94" t="inlineStr">
        <is>
          <t>토너</t>
        </is>
      </c>
      <c r="J468" s="89" t="n">
        <v>48488</v>
      </c>
    </row>
    <row r="469" hidden="1" customFormat="1" s="94">
      <c r="B469" s="128" t="n">
        <v>43830</v>
      </c>
      <c r="C469" s="94">
        <f>TEXT(B469,"aaa")</f>
        <v/>
      </c>
      <c r="D469" s="94" t="inlineStr">
        <is>
          <t>인스타그램(전환)</t>
        </is>
      </c>
      <c r="E469" s="94" t="inlineStr">
        <is>
          <t>토너</t>
        </is>
      </c>
      <c r="J469" s="89" t="n">
        <v>482471</v>
      </c>
    </row>
    <row r="470" hidden="1" customFormat="1" s="94">
      <c r="B470" s="128" t="n">
        <v>43830</v>
      </c>
      <c r="C470" s="94">
        <f>TEXT(B470,"aaa")</f>
        <v/>
      </c>
      <c r="D470" s="94" t="inlineStr">
        <is>
          <t>네이버 브랜드검색</t>
        </is>
      </c>
      <c r="E470" s="94" t="inlineStr">
        <is>
          <t>토너</t>
        </is>
      </c>
      <c r="J470" s="89" t="n">
        <v>20000</v>
      </c>
    </row>
    <row r="471" hidden="1" customFormat="1" s="94">
      <c r="B471" s="128" t="n">
        <v>43830</v>
      </c>
      <c r="C471" s="94">
        <f>TEXT(B471,"aaa")</f>
        <v/>
      </c>
      <c r="D471" s="94" t="inlineStr">
        <is>
          <t>네이버 쇼핑검색</t>
        </is>
      </c>
      <c r="E471" s="94" t="inlineStr">
        <is>
          <t>토너</t>
        </is>
      </c>
      <c r="J471" s="89">
        <f>4972/1.1</f>
        <v/>
      </c>
    </row>
    <row r="472" hidden="1" customFormat="1" s="94">
      <c r="B472" s="128" t="n">
        <v>43831</v>
      </c>
      <c r="C472" s="94">
        <f>TEXT(B472,"aaa")</f>
        <v/>
      </c>
      <c r="D472" s="94" t="inlineStr">
        <is>
          <t>인스타그램(랄라블라)</t>
        </is>
      </c>
      <c r="E472" s="94" t="inlineStr">
        <is>
          <t>토너</t>
        </is>
      </c>
      <c r="J472" s="89" t="n">
        <v>24210</v>
      </c>
    </row>
    <row r="473" hidden="1" customFormat="1" s="94">
      <c r="B473" s="128" t="n">
        <v>43831</v>
      </c>
      <c r="C473" s="94">
        <f>TEXT(B473,"aaa")</f>
        <v/>
      </c>
      <c r="D473" s="94" t="inlineStr">
        <is>
          <t>인스타그램(블로그)</t>
        </is>
      </c>
      <c r="E473" s="94" t="inlineStr">
        <is>
          <t>토너</t>
        </is>
      </c>
      <c r="J473" s="89" t="n">
        <v>50968</v>
      </c>
    </row>
    <row r="474" hidden="1" customFormat="1" s="94">
      <c r="B474" s="128" t="n">
        <v>43831</v>
      </c>
      <c r="C474" s="94">
        <f>TEXT(B474,"aaa")</f>
        <v/>
      </c>
      <c r="D474" s="94" t="inlineStr">
        <is>
          <t>인스타그램(전환)</t>
        </is>
      </c>
      <c r="E474" s="94" t="inlineStr">
        <is>
          <t>토너</t>
        </is>
      </c>
      <c r="J474" s="89" t="n">
        <v>507324</v>
      </c>
    </row>
    <row r="475" hidden="1" customFormat="1" s="94">
      <c r="B475" s="128" t="n">
        <v>43831</v>
      </c>
      <c r="C475" s="94">
        <f>TEXT(B475,"aaa")</f>
        <v/>
      </c>
      <c r="D475" s="94" t="inlineStr">
        <is>
          <t>네이버 브랜드검색</t>
        </is>
      </c>
      <c r="E475" s="94" t="inlineStr">
        <is>
          <t>토너</t>
        </is>
      </c>
      <c r="J475" s="89" t="n">
        <v>20000</v>
      </c>
    </row>
    <row r="476" hidden="1" customFormat="1" s="94">
      <c r="B476" s="128" t="n">
        <v>43831</v>
      </c>
      <c r="C476" s="94">
        <f>TEXT(B476,"aaa")</f>
        <v/>
      </c>
      <c r="D476" s="94" t="inlineStr">
        <is>
          <t>네이버 쇼핑검색</t>
        </is>
      </c>
      <c r="E476" s="94" t="inlineStr">
        <is>
          <t>토너</t>
        </is>
      </c>
      <c r="J476" s="89">
        <f>6600/1.1</f>
        <v/>
      </c>
    </row>
    <row r="477" hidden="1" customFormat="1" s="94">
      <c r="B477" s="128" t="n">
        <v>43832</v>
      </c>
      <c r="C477" s="94">
        <f>TEXT(B477,"aaa")</f>
        <v/>
      </c>
      <c r="D477" s="94" t="inlineStr">
        <is>
          <t>인스타그램(랄라블라)</t>
        </is>
      </c>
      <c r="E477" s="94" t="inlineStr">
        <is>
          <t>토너</t>
        </is>
      </c>
      <c r="J477" s="89" t="n">
        <v>25247</v>
      </c>
    </row>
    <row r="478" hidden="1" customFormat="1" s="94">
      <c r="B478" s="128" t="n">
        <v>43832</v>
      </c>
      <c r="C478" s="94">
        <f>TEXT(B478,"aaa")</f>
        <v/>
      </c>
      <c r="D478" s="94" t="inlineStr">
        <is>
          <t>인스타그램(블로그)</t>
        </is>
      </c>
      <c r="E478" s="94" t="inlineStr">
        <is>
          <t>토너</t>
        </is>
      </c>
      <c r="J478" s="89" t="n">
        <v>49752</v>
      </c>
    </row>
    <row r="479" hidden="1" customFormat="1" s="94">
      <c r="B479" s="128" t="n">
        <v>43832</v>
      </c>
      <c r="C479" s="94">
        <f>TEXT(B479,"aaa")</f>
        <v/>
      </c>
      <c r="D479" s="94" t="inlineStr">
        <is>
          <t>인스타그램(전환)</t>
        </is>
      </c>
      <c r="E479" s="94" t="inlineStr">
        <is>
          <t>토너</t>
        </is>
      </c>
      <c r="J479" s="89" t="n">
        <v>506596</v>
      </c>
    </row>
    <row r="480" hidden="1" customFormat="1" s="94">
      <c r="B480" s="128" t="n">
        <v>43832</v>
      </c>
      <c r="C480" s="94">
        <f>TEXT(B480,"aaa")</f>
        <v/>
      </c>
      <c r="D480" s="94" t="inlineStr">
        <is>
          <t>네이버 브랜드검색</t>
        </is>
      </c>
      <c r="E480" s="94" t="inlineStr">
        <is>
          <t>토너</t>
        </is>
      </c>
      <c r="J480" s="89" t="n">
        <v>20000</v>
      </c>
    </row>
    <row r="481" hidden="1" customFormat="1" s="94">
      <c r="B481" s="128" t="n">
        <v>43832</v>
      </c>
      <c r="C481" s="94">
        <f>TEXT(B481,"aaa")</f>
        <v/>
      </c>
      <c r="D481" s="94" t="inlineStr">
        <is>
          <t>네이버 쇼핑검색</t>
        </is>
      </c>
      <c r="E481" s="94" t="inlineStr">
        <is>
          <t>토너</t>
        </is>
      </c>
      <c r="J481" s="89">
        <f>7700/1.1</f>
        <v/>
      </c>
    </row>
    <row r="482" hidden="1" customFormat="1" s="94">
      <c r="B482" s="128" t="n">
        <v>43832</v>
      </c>
      <c r="C482" s="94">
        <f>TEXT(B482,"aaa")</f>
        <v/>
      </c>
      <c r="D482" s="94" t="inlineStr">
        <is>
          <t>SMS</t>
        </is>
      </c>
      <c r="E482" s="94" t="inlineStr">
        <is>
          <t>머드크림마스크</t>
        </is>
      </c>
      <c r="G482" s="94" t="inlineStr">
        <is>
          <t>리마인드(테스트)</t>
        </is>
      </c>
      <c r="J482" s="89">
        <f>2*70</f>
        <v/>
      </c>
    </row>
    <row r="483" hidden="1" customFormat="1" s="94">
      <c r="B483" s="128" t="n">
        <v>43832</v>
      </c>
      <c r="C483" s="94">
        <f>TEXT(B483,"aaa")</f>
        <v/>
      </c>
      <c r="D483" s="94" t="inlineStr">
        <is>
          <t>SMS</t>
        </is>
      </c>
      <c r="E483" s="94" t="inlineStr">
        <is>
          <t>머드크림마스크</t>
        </is>
      </c>
      <c r="G483" s="94" t="inlineStr">
        <is>
          <t>리마인드</t>
        </is>
      </c>
      <c r="J483" s="89">
        <f>14*70</f>
        <v/>
      </c>
    </row>
    <row r="484" hidden="1" customFormat="1" s="94">
      <c r="B484" s="128" t="n">
        <v>43832</v>
      </c>
      <c r="C484" s="94">
        <f>TEXT(B484,"aaa")</f>
        <v/>
      </c>
      <c r="D484" s="94" t="inlineStr">
        <is>
          <t>카카오톡 메시지</t>
        </is>
      </c>
      <c r="E484" s="94" t="inlineStr">
        <is>
          <t>머드크림마스크</t>
        </is>
      </c>
      <c r="G484" s="94" t="inlineStr">
        <is>
          <t>리마인드</t>
        </is>
      </c>
      <c r="J484" s="89">
        <f>22*20</f>
        <v/>
      </c>
    </row>
    <row r="485" hidden="1" customFormat="1" s="94">
      <c r="B485" s="128" t="n">
        <v>43833</v>
      </c>
      <c r="C485" s="94">
        <f>TEXT(B485,"aaa")</f>
        <v/>
      </c>
      <c r="D485" s="94" t="inlineStr">
        <is>
          <t>인스타그램(랄라블라)</t>
        </is>
      </c>
      <c r="E485" s="94" t="inlineStr">
        <is>
          <t>토너</t>
        </is>
      </c>
      <c r="J485" s="89" t="n">
        <v>25155</v>
      </c>
    </row>
    <row r="486" hidden="1" customFormat="1" s="94">
      <c r="B486" s="128" t="n">
        <v>43833</v>
      </c>
      <c r="C486" s="94">
        <f>TEXT(B486,"aaa")</f>
        <v/>
      </c>
      <c r="D486" s="94" t="inlineStr">
        <is>
          <t>인스타그램(블로그)</t>
        </is>
      </c>
      <c r="E486" s="94" t="inlineStr">
        <is>
          <t>토너</t>
        </is>
      </c>
      <c r="J486" s="89" t="n">
        <v>49100</v>
      </c>
    </row>
    <row r="487" hidden="1" customFormat="1" s="94">
      <c r="B487" s="128" t="n">
        <v>43833</v>
      </c>
      <c r="C487" s="94">
        <f>TEXT(B487,"aaa")</f>
        <v/>
      </c>
      <c r="D487" s="94" t="inlineStr">
        <is>
          <t>인스타그램(전환)</t>
        </is>
      </c>
      <c r="E487" s="94" t="inlineStr">
        <is>
          <t>토너</t>
        </is>
      </c>
      <c r="J487" s="89" t="n">
        <v>486203</v>
      </c>
    </row>
    <row r="488" hidden="1" customFormat="1" s="94">
      <c r="B488" s="128" t="n">
        <v>43833</v>
      </c>
      <c r="C488" s="94">
        <f>TEXT(B488,"aaa")</f>
        <v/>
      </c>
      <c r="D488" s="94" t="inlineStr">
        <is>
          <t>네이버 브랜드검색</t>
        </is>
      </c>
      <c r="E488" s="94" t="inlineStr">
        <is>
          <t>토너</t>
        </is>
      </c>
      <c r="J488" s="89" t="n">
        <v>20000</v>
      </c>
    </row>
    <row r="489" hidden="1" customFormat="1" s="94">
      <c r="B489" s="128" t="n">
        <v>43833</v>
      </c>
      <c r="C489" s="94">
        <f>TEXT(B489,"aaa")</f>
        <v/>
      </c>
      <c r="D489" s="94" t="inlineStr">
        <is>
          <t>네이버 쇼핑검색</t>
        </is>
      </c>
      <c r="E489" s="94" t="inlineStr">
        <is>
          <t>토너</t>
        </is>
      </c>
      <c r="J489" s="89">
        <f>11220/1.1</f>
        <v/>
      </c>
    </row>
    <row r="490" hidden="1" customFormat="1" s="94">
      <c r="B490" s="128" t="n">
        <v>43833</v>
      </c>
      <c r="C490" s="94">
        <f>TEXT(B490,"aaa")</f>
        <v/>
      </c>
      <c r="D490" s="94" t="inlineStr">
        <is>
          <t>기획사이다</t>
        </is>
      </c>
      <c r="E490" s="94" t="inlineStr">
        <is>
          <t>토너</t>
        </is>
      </c>
      <c r="J490" s="89">
        <f>5523000/1.1</f>
        <v/>
      </c>
    </row>
    <row r="491" hidden="1" customFormat="1" s="94">
      <c r="B491" s="128" t="n">
        <v>43834</v>
      </c>
      <c r="C491" s="94">
        <f>TEXT(B491,"aaa")</f>
        <v/>
      </c>
      <c r="D491" s="94" t="inlineStr">
        <is>
          <t>인스타그램(랄라블라)</t>
        </is>
      </c>
      <c r="E491" s="94" t="inlineStr">
        <is>
          <t>토너</t>
        </is>
      </c>
      <c r="J491" s="89" t="n">
        <v>25317</v>
      </c>
    </row>
    <row r="492" hidden="1" customFormat="1" s="94">
      <c r="B492" s="128" t="n">
        <v>43834</v>
      </c>
      <c r="C492" s="94">
        <f>TEXT(B492,"aaa")</f>
        <v/>
      </c>
      <c r="D492" s="94" t="inlineStr">
        <is>
          <t>인스타그램(블로그)</t>
        </is>
      </c>
      <c r="E492" s="94" t="inlineStr">
        <is>
          <t>토너</t>
        </is>
      </c>
      <c r="J492" s="89" t="n">
        <v>53171</v>
      </c>
    </row>
    <row r="493" hidden="1" customFormat="1" s="94">
      <c r="B493" s="128" t="n">
        <v>43834</v>
      </c>
      <c r="C493" s="94">
        <f>TEXT(B493,"aaa")</f>
        <v/>
      </c>
      <c r="D493" s="94" t="inlineStr">
        <is>
          <t>인스타그램(전환)</t>
        </is>
      </c>
      <c r="E493" s="94" t="inlineStr">
        <is>
          <t>토너</t>
        </is>
      </c>
      <c r="J493" s="89" t="n">
        <v>524868</v>
      </c>
    </row>
    <row r="494" hidden="1" customFormat="1" s="94">
      <c r="B494" s="128" t="n">
        <v>43834</v>
      </c>
      <c r="C494" s="94">
        <f>TEXT(B494,"aaa")</f>
        <v/>
      </c>
      <c r="D494" s="94" t="inlineStr">
        <is>
          <t>네이버 브랜드검색</t>
        </is>
      </c>
      <c r="E494" s="94" t="inlineStr">
        <is>
          <t>토너</t>
        </is>
      </c>
      <c r="J494" s="89" t="n">
        <v>20000</v>
      </c>
    </row>
    <row r="495" hidden="1" customFormat="1" s="94">
      <c r="B495" s="128" t="n">
        <v>43834</v>
      </c>
      <c r="C495" s="94">
        <f>TEXT(B495,"aaa")</f>
        <v/>
      </c>
      <c r="D495" s="94" t="inlineStr">
        <is>
          <t>네이버 쇼핑검색</t>
        </is>
      </c>
      <c r="E495" s="94" t="inlineStr">
        <is>
          <t>토너</t>
        </is>
      </c>
      <c r="J495" s="89">
        <f>8976/1.1</f>
        <v/>
      </c>
    </row>
    <row r="496" hidden="1" customFormat="1" s="94">
      <c r="B496" s="128" t="n">
        <v>43835</v>
      </c>
      <c r="C496" s="94">
        <f>TEXT(B496,"aaa")</f>
        <v/>
      </c>
      <c r="D496" s="94" t="inlineStr">
        <is>
          <t>인스타그램(랄라블라)</t>
        </is>
      </c>
      <c r="E496" s="94" t="inlineStr">
        <is>
          <t>토너</t>
        </is>
      </c>
      <c r="J496" s="89" t="n">
        <v>25019</v>
      </c>
    </row>
    <row r="497" hidden="1" customFormat="1" s="94">
      <c r="B497" s="128" t="n">
        <v>43835</v>
      </c>
      <c r="C497" s="94">
        <f>TEXT(B497,"aaa")</f>
        <v/>
      </c>
      <c r="D497" s="94" t="inlineStr">
        <is>
          <t>인스타그램(블로그)</t>
        </is>
      </c>
      <c r="E497" s="94" t="inlineStr">
        <is>
          <t>토너</t>
        </is>
      </c>
      <c r="J497" s="89" t="n">
        <v>50056</v>
      </c>
    </row>
    <row r="498" hidden="1" customFormat="1" s="94">
      <c r="B498" s="128" t="n">
        <v>43835</v>
      </c>
      <c r="C498" s="94">
        <f>TEXT(B498,"aaa")</f>
        <v/>
      </c>
      <c r="D498" s="94" t="inlineStr">
        <is>
          <t>인스타그램(전환)</t>
        </is>
      </c>
      <c r="E498" s="94" t="inlineStr">
        <is>
          <t>토너</t>
        </is>
      </c>
      <c r="J498" s="89" t="n">
        <v>500863</v>
      </c>
    </row>
    <row r="499" hidden="1" customFormat="1" s="94">
      <c r="B499" s="128" t="n">
        <v>43835</v>
      </c>
      <c r="C499" s="94">
        <f>TEXT(B499,"aaa")</f>
        <v/>
      </c>
      <c r="D499" s="94" t="inlineStr">
        <is>
          <t>네이버 브랜드검색</t>
        </is>
      </c>
      <c r="E499" s="94" t="inlineStr">
        <is>
          <t>토너</t>
        </is>
      </c>
      <c r="J499" s="89" t="n">
        <v>20000</v>
      </c>
    </row>
    <row r="500" hidden="1" customFormat="1" s="94">
      <c r="B500" s="128" t="n">
        <v>43835</v>
      </c>
      <c r="C500" s="94">
        <f>TEXT(B500,"aaa")</f>
        <v/>
      </c>
      <c r="D500" s="94" t="inlineStr">
        <is>
          <t>네이버 쇼핑검색</t>
        </is>
      </c>
      <c r="E500" s="94" t="inlineStr">
        <is>
          <t>토너</t>
        </is>
      </c>
      <c r="J500" s="89">
        <f>9020/1.1</f>
        <v/>
      </c>
    </row>
    <row r="501" hidden="1" customFormat="1" s="94">
      <c r="B501" s="128" t="n">
        <v>43835</v>
      </c>
      <c r="C501" s="94">
        <f>TEXT(B501,"aaa")</f>
        <v/>
      </c>
      <c r="D501" s="94" t="inlineStr">
        <is>
          <t>SMS</t>
        </is>
      </c>
      <c r="E501" s="94" t="inlineStr">
        <is>
          <t>머드크림마스크</t>
        </is>
      </c>
      <c r="G501" s="94" t="inlineStr">
        <is>
          <t>마지막날 리마인드</t>
        </is>
      </c>
      <c r="J501" s="89">
        <f>9*30</f>
        <v/>
      </c>
    </row>
    <row r="502" hidden="1" customFormat="1" s="94">
      <c r="B502" s="128" t="n">
        <v>43835</v>
      </c>
      <c r="C502" s="94">
        <f>TEXT(B502,"aaa")</f>
        <v/>
      </c>
      <c r="D502" s="94" t="inlineStr">
        <is>
          <t>카카오톡 메시지</t>
        </is>
      </c>
      <c r="E502" s="94" t="inlineStr">
        <is>
          <t>머드크림마스크</t>
        </is>
      </c>
      <c r="G502" s="94" t="inlineStr">
        <is>
          <t>마지막날 리마인드</t>
        </is>
      </c>
      <c r="J502" s="89">
        <f>15*20</f>
        <v/>
      </c>
    </row>
    <row r="503" hidden="1" customFormat="1" s="94">
      <c r="B503" s="128" t="n">
        <v>43836</v>
      </c>
      <c r="C503" s="94">
        <f>TEXT(B503,"aaa")</f>
        <v/>
      </c>
      <c r="D503" s="94" t="inlineStr">
        <is>
          <t>인스타그램(랄라블라)</t>
        </is>
      </c>
      <c r="E503" s="94" t="inlineStr">
        <is>
          <t>토너</t>
        </is>
      </c>
      <c r="J503" s="89" t="n">
        <v>24361</v>
      </c>
    </row>
    <row r="504" hidden="1" customFormat="1" s="94">
      <c r="B504" s="128" t="n">
        <v>43836</v>
      </c>
      <c r="C504" s="94">
        <f>TEXT(B504,"aaa")</f>
        <v/>
      </c>
      <c r="D504" s="94" t="inlineStr">
        <is>
          <t>인스타그램(블로그)</t>
        </is>
      </c>
      <c r="E504" s="94" t="inlineStr">
        <is>
          <t>토너</t>
        </is>
      </c>
      <c r="J504" s="89" t="n">
        <v>48648</v>
      </c>
    </row>
    <row r="505" hidden="1" customFormat="1" s="94">
      <c r="B505" s="128" t="n">
        <v>43836</v>
      </c>
      <c r="C505" s="94">
        <f>TEXT(B505,"aaa")</f>
        <v/>
      </c>
      <c r="D505" s="94" t="inlineStr">
        <is>
          <t>인스타그램(전환)</t>
        </is>
      </c>
      <c r="E505" s="94" t="inlineStr">
        <is>
          <t>토너</t>
        </is>
      </c>
      <c r="J505" s="89" t="n">
        <v>489928</v>
      </c>
    </row>
    <row r="506" hidden="1" customFormat="1" s="94">
      <c r="B506" s="128" t="n">
        <v>43836</v>
      </c>
      <c r="C506" s="94">
        <f>TEXT(B506,"aaa")</f>
        <v/>
      </c>
      <c r="D506" s="94" t="inlineStr">
        <is>
          <t>네이버 브랜드검색</t>
        </is>
      </c>
      <c r="E506" s="94" t="inlineStr">
        <is>
          <t>토너</t>
        </is>
      </c>
      <c r="J506" s="89" t="n">
        <v>20000</v>
      </c>
    </row>
    <row r="507" hidden="1" customFormat="1" s="94">
      <c r="B507" s="128" t="n">
        <v>43836</v>
      </c>
      <c r="C507" s="94">
        <f>TEXT(B507,"aaa")</f>
        <v/>
      </c>
      <c r="D507" s="94" t="inlineStr">
        <is>
          <t>네이버 쇼핑검색</t>
        </is>
      </c>
      <c r="E507" s="94" t="inlineStr">
        <is>
          <t>토너</t>
        </is>
      </c>
      <c r="J507" s="89">
        <f>9460/1.1</f>
        <v/>
      </c>
    </row>
    <row r="508" hidden="1" customFormat="1" s="94">
      <c r="B508" s="128" t="n">
        <v>43836</v>
      </c>
      <c r="C508" s="94">
        <f>TEXT(B508,"aaa")</f>
        <v/>
      </c>
      <c r="D508" s="94" t="inlineStr">
        <is>
          <t>SMS</t>
        </is>
      </c>
      <c r="E508" s="94" t="inlineStr">
        <is>
          <t>토너</t>
        </is>
      </c>
      <c r="G508" s="94" t="inlineStr">
        <is>
          <t>블로그 작성 유도</t>
        </is>
      </c>
      <c r="J508" s="89">
        <f>6*70</f>
        <v/>
      </c>
    </row>
    <row r="509" hidden="1" customFormat="1" s="94">
      <c r="B509" s="128" t="n">
        <v>43836</v>
      </c>
      <c r="C509" s="94">
        <f>TEXT(B509,"aaa")</f>
        <v/>
      </c>
      <c r="D509" s="94" t="inlineStr">
        <is>
          <t>자사몰 스킨 교체</t>
        </is>
      </c>
      <c r="E509" s="94" t="inlineStr">
        <is>
          <t>브랜드</t>
        </is>
      </c>
      <c r="J509" s="89">
        <f>250000/1.1</f>
        <v/>
      </c>
    </row>
    <row r="510" hidden="1" customFormat="1" s="94">
      <c r="B510" s="128" t="n">
        <v>43837</v>
      </c>
      <c r="C510" s="94">
        <f>TEXT(B510,"aaa")</f>
        <v/>
      </c>
      <c r="D510" s="94" t="inlineStr">
        <is>
          <t>인스타그램(랄라블라)</t>
        </is>
      </c>
      <c r="E510" s="94" t="inlineStr">
        <is>
          <t>토너</t>
        </is>
      </c>
      <c r="J510" s="89" t="n">
        <v>25136</v>
      </c>
    </row>
    <row r="511" hidden="1" customFormat="1" s="94">
      <c r="B511" s="128" t="n">
        <v>43837</v>
      </c>
      <c r="C511" s="94">
        <f>TEXT(B511,"aaa")</f>
        <v/>
      </c>
      <c r="D511" s="94" t="inlineStr">
        <is>
          <t>인스타그램(블로그)</t>
        </is>
      </c>
      <c r="E511" s="94" t="inlineStr">
        <is>
          <t>토너</t>
        </is>
      </c>
      <c r="J511" s="89" t="n">
        <v>50327</v>
      </c>
    </row>
    <row r="512" hidden="1" customFormat="1" s="94">
      <c r="B512" s="128" t="n">
        <v>43837</v>
      </c>
      <c r="C512" s="94">
        <f>TEXT(B512,"aaa")</f>
        <v/>
      </c>
      <c r="D512" s="94" t="inlineStr">
        <is>
          <t>인스타그램(전환)</t>
        </is>
      </c>
      <c r="E512" s="94" t="inlineStr">
        <is>
          <t>토너</t>
        </is>
      </c>
      <c r="J512" s="89" t="n">
        <v>489707</v>
      </c>
    </row>
    <row r="513" hidden="1" customFormat="1" s="94">
      <c r="B513" s="128" t="n">
        <v>43837</v>
      </c>
      <c r="C513" s="94">
        <f>TEXT(B513,"aaa")</f>
        <v/>
      </c>
      <c r="D513" s="94" t="inlineStr">
        <is>
          <t>네이버 브랜드검색</t>
        </is>
      </c>
      <c r="E513" s="94" t="inlineStr">
        <is>
          <t>토너</t>
        </is>
      </c>
      <c r="J513" s="89" t="n">
        <v>20000</v>
      </c>
    </row>
    <row r="514" hidden="1" customFormat="1" s="94">
      <c r="B514" s="128" t="n">
        <v>43837</v>
      </c>
      <c r="C514" s="94">
        <f>TEXT(B514,"aaa")</f>
        <v/>
      </c>
      <c r="D514" s="94" t="inlineStr">
        <is>
          <t>네이버 쇼핑검색</t>
        </is>
      </c>
      <c r="E514" s="94" t="inlineStr">
        <is>
          <t>토너</t>
        </is>
      </c>
      <c r="J514" s="89">
        <f>8250/1.1</f>
        <v/>
      </c>
    </row>
    <row r="515" hidden="1" customFormat="1" s="94">
      <c r="B515" s="128" t="n">
        <v>43838</v>
      </c>
      <c r="C515" s="94">
        <f>TEXT(B515,"aaa")</f>
        <v/>
      </c>
      <c r="D515" s="94" t="inlineStr">
        <is>
          <t>인스타그램(랄라블라)</t>
        </is>
      </c>
      <c r="E515" s="94" t="inlineStr">
        <is>
          <t>토너</t>
        </is>
      </c>
      <c r="J515" s="89" t="n">
        <v>24838</v>
      </c>
    </row>
    <row r="516" hidden="1" customFormat="1" s="94">
      <c r="B516" s="128" t="n">
        <v>43838</v>
      </c>
      <c r="C516" s="94">
        <f>TEXT(B516,"aaa")</f>
        <v/>
      </c>
      <c r="D516" s="94" t="inlineStr">
        <is>
          <t>인스타그램(블로그)</t>
        </is>
      </c>
      <c r="E516" s="94" t="inlineStr">
        <is>
          <t>토너</t>
        </is>
      </c>
      <c r="J516" s="89" t="n">
        <v>48829</v>
      </c>
    </row>
    <row r="517" hidden="1" customFormat="1" s="94">
      <c r="B517" s="128" t="n">
        <v>43838</v>
      </c>
      <c r="C517" s="94">
        <f>TEXT(B517,"aaa")</f>
        <v/>
      </c>
      <c r="D517" s="94" t="inlineStr">
        <is>
          <t>인스타그램(전환)</t>
        </is>
      </c>
      <c r="E517" s="94" t="inlineStr">
        <is>
          <t>토너</t>
        </is>
      </c>
      <c r="J517" s="89" t="n">
        <v>495239</v>
      </c>
    </row>
    <row r="518" hidden="1" customFormat="1" s="94">
      <c r="B518" s="128" t="n">
        <v>43838</v>
      </c>
      <c r="C518" s="94">
        <f>TEXT(B518,"aaa")</f>
        <v/>
      </c>
      <c r="D518" s="94" t="inlineStr">
        <is>
          <t>네이버 브랜드검색</t>
        </is>
      </c>
      <c r="E518" s="94" t="inlineStr">
        <is>
          <t>토너</t>
        </is>
      </c>
      <c r="J518" s="89" t="n">
        <v>20000</v>
      </c>
    </row>
    <row r="519" hidden="1" customFormat="1" s="94">
      <c r="B519" s="128" t="n">
        <v>43838</v>
      </c>
      <c r="C519" s="94">
        <f>TEXT(B519,"aaa")</f>
        <v/>
      </c>
      <c r="D519" s="94" t="inlineStr">
        <is>
          <t>네이버 쇼핑검색</t>
        </is>
      </c>
      <c r="E519" s="94" t="inlineStr">
        <is>
          <t>토너</t>
        </is>
      </c>
      <c r="J519" s="89">
        <f>9680/1.1</f>
        <v/>
      </c>
    </row>
    <row r="520" hidden="1" customFormat="1" s="94">
      <c r="B520" s="128" t="n">
        <v>43839</v>
      </c>
      <c r="C520" s="94">
        <f>TEXT(B520,"aaa")</f>
        <v/>
      </c>
      <c r="D520" s="94" t="inlineStr">
        <is>
          <t>인스타그램(랄라블라)</t>
        </is>
      </c>
      <c r="E520" s="94" t="inlineStr">
        <is>
          <t>토너</t>
        </is>
      </c>
      <c r="J520" s="89" t="n">
        <v>25030</v>
      </c>
    </row>
    <row r="521" hidden="1" customFormat="1" s="94">
      <c r="B521" s="128" t="n">
        <v>43839</v>
      </c>
      <c r="C521" s="94">
        <f>TEXT(B521,"aaa")</f>
        <v/>
      </c>
      <c r="D521" s="94" t="inlineStr">
        <is>
          <t>인스타그램(블로그)</t>
        </is>
      </c>
      <c r="E521" s="94" t="inlineStr">
        <is>
          <t>토너</t>
        </is>
      </c>
      <c r="J521" s="89" t="n">
        <v>49879</v>
      </c>
    </row>
    <row r="522" hidden="1" customFormat="1" s="94">
      <c r="B522" s="128" t="n">
        <v>43839</v>
      </c>
      <c r="C522" s="94">
        <f>TEXT(B522,"aaa")</f>
        <v/>
      </c>
      <c r="D522" s="94" t="inlineStr">
        <is>
          <t>인스타그램(전환)</t>
        </is>
      </c>
      <c r="E522" s="94" t="inlineStr">
        <is>
          <t>토너</t>
        </is>
      </c>
      <c r="J522" s="89" t="n">
        <v>491968</v>
      </c>
    </row>
    <row r="523" hidden="1" customFormat="1" s="94">
      <c r="B523" s="128" t="n">
        <v>43839</v>
      </c>
      <c r="C523" s="94">
        <f>TEXT(B523,"aaa")</f>
        <v/>
      </c>
      <c r="D523" s="94" t="inlineStr">
        <is>
          <t>네이버 쇼핑검색</t>
        </is>
      </c>
      <c r="E523" s="94" t="inlineStr">
        <is>
          <t>토너</t>
        </is>
      </c>
      <c r="J523" s="89">
        <f>28600/1.1</f>
        <v/>
      </c>
    </row>
    <row r="524" hidden="1" customFormat="1" s="94">
      <c r="B524" s="128" t="n">
        <v>43840</v>
      </c>
      <c r="C524" s="94">
        <f>TEXT(B524,"aaa")</f>
        <v/>
      </c>
      <c r="D524" s="94" t="inlineStr">
        <is>
          <t>인스타그램(랄라블라)</t>
        </is>
      </c>
      <c r="E524" s="94" t="inlineStr">
        <is>
          <t>토너</t>
        </is>
      </c>
      <c r="J524" s="89" t="n">
        <v>25323</v>
      </c>
    </row>
    <row r="525" hidden="1" customFormat="1" s="94">
      <c r="B525" s="128" t="n">
        <v>43840</v>
      </c>
      <c r="C525" s="94">
        <f>TEXT(B525,"aaa")</f>
        <v/>
      </c>
      <c r="D525" s="94" t="inlineStr">
        <is>
          <t>인스타그램(블로그)</t>
        </is>
      </c>
      <c r="E525" s="94" t="inlineStr">
        <is>
          <t>토너</t>
        </is>
      </c>
      <c r="J525" s="89" t="n">
        <v>49081</v>
      </c>
    </row>
    <row r="526" hidden="1" customFormat="1" s="94">
      <c r="B526" s="128" t="n">
        <v>43840</v>
      </c>
      <c r="C526" s="94">
        <f>TEXT(B526,"aaa")</f>
        <v/>
      </c>
      <c r="D526" s="94" t="inlineStr">
        <is>
          <t>인스타그램(전환)</t>
        </is>
      </c>
      <c r="E526" s="94" t="inlineStr">
        <is>
          <t>토너</t>
        </is>
      </c>
      <c r="J526" s="89" t="n">
        <v>496107</v>
      </c>
    </row>
    <row r="527" hidden="1" customFormat="1" s="94">
      <c r="B527" s="128" t="n">
        <v>43840</v>
      </c>
      <c r="C527" s="94">
        <f>TEXT(B527,"aaa")</f>
        <v/>
      </c>
      <c r="D527" s="94" t="inlineStr">
        <is>
          <t>네이버 브랜드검색</t>
        </is>
      </c>
      <c r="E527" s="94" t="inlineStr">
        <is>
          <t>토너</t>
        </is>
      </c>
      <c r="J527" s="89" t="n">
        <v>40000</v>
      </c>
    </row>
    <row r="528" hidden="1" customFormat="1" s="94">
      <c r="B528" s="128" t="n">
        <v>43840</v>
      </c>
      <c r="C528" s="94">
        <f>TEXT(B528,"aaa")</f>
        <v/>
      </c>
      <c r="D528" s="94" t="inlineStr">
        <is>
          <t>네이버 쇼핑검색</t>
        </is>
      </c>
      <c r="E528" s="94" t="inlineStr">
        <is>
          <t>토너</t>
        </is>
      </c>
      <c r="J528" s="89">
        <f>17820/1.1</f>
        <v/>
      </c>
    </row>
    <row r="529" hidden="1" customFormat="1" s="94">
      <c r="B529" s="128" t="n">
        <v>43840</v>
      </c>
      <c r="C529" s="94">
        <f>TEXT(B529,"aaa")</f>
        <v/>
      </c>
      <c r="D529" s="94" t="inlineStr">
        <is>
          <t>SMS</t>
        </is>
      </c>
      <c r="E529" s="94" t="inlineStr">
        <is>
          <t>토너</t>
        </is>
      </c>
      <c r="G529" s="94" t="inlineStr">
        <is>
          <t>재구매의사 테스트</t>
        </is>
      </c>
      <c r="J529" s="89">
        <f>70</f>
        <v/>
      </c>
    </row>
    <row r="530" hidden="1" customFormat="1" s="94">
      <c r="B530" s="128" t="n">
        <v>43840</v>
      </c>
      <c r="C530" s="94">
        <f>TEXT(B530,"aaa")</f>
        <v/>
      </c>
      <c r="D530" s="94" t="inlineStr">
        <is>
          <t>SMS</t>
        </is>
      </c>
      <c r="E530" s="94" t="inlineStr">
        <is>
          <t>토너</t>
        </is>
      </c>
      <c r="G530" s="94" t="inlineStr">
        <is>
          <t>재구매의사</t>
        </is>
      </c>
      <c r="J530" s="89">
        <f>(16+12)*70</f>
        <v/>
      </c>
    </row>
    <row r="531" hidden="1" customFormat="1" s="94">
      <c r="B531" s="128" t="n">
        <v>43840</v>
      </c>
      <c r="C531" s="94">
        <f>TEXT(B531,"aaa")</f>
        <v/>
      </c>
      <c r="D531" s="94" t="inlineStr">
        <is>
          <t>카카오톡 메시지</t>
        </is>
      </c>
      <c r="E531" s="94" t="inlineStr">
        <is>
          <t>토너</t>
        </is>
      </c>
      <c r="G531" s="94" t="inlineStr">
        <is>
          <t>재구매의사</t>
        </is>
      </c>
      <c r="J531" s="89">
        <f>(550+66)/1.1</f>
        <v/>
      </c>
    </row>
    <row r="532" hidden="1" customFormat="1" s="94">
      <c r="B532" s="128" t="n">
        <v>43841</v>
      </c>
      <c r="C532" s="94">
        <f>TEXT(B532,"aaa")</f>
        <v/>
      </c>
      <c r="D532" s="94" t="inlineStr">
        <is>
          <t>인스타그램(랄라블라)</t>
        </is>
      </c>
      <c r="E532" s="94" t="inlineStr">
        <is>
          <t>토너</t>
        </is>
      </c>
      <c r="J532" s="89" t="n">
        <v>25293</v>
      </c>
    </row>
    <row r="533" hidden="1" customFormat="1" s="94">
      <c r="B533" s="128" t="n">
        <v>43841</v>
      </c>
      <c r="C533" s="94">
        <f>TEXT(B533,"aaa")</f>
        <v/>
      </c>
      <c r="D533" s="94" t="inlineStr">
        <is>
          <t>인스타그램(블로그)</t>
        </is>
      </c>
      <c r="E533" s="94" t="inlineStr">
        <is>
          <t>토너</t>
        </is>
      </c>
      <c r="J533" s="89" t="n">
        <v>53180</v>
      </c>
    </row>
    <row r="534" hidden="1" customFormat="1" s="94">
      <c r="B534" s="128" t="n">
        <v>43841</v>
      </c>
      <c r="C534" s="94">
        <f>TEXT(B534,"aaa")</f>
        <v/>
      </c>
      <c r="D534" s="94" t="inlineStr">
        <is>
          <t>인스타그램(전환)</t>
        </is>
      </c>
      <c r="E534" s="94" t="inlineStr">
        <is>
          <t>토너</t>
        </is>
      </c>
      <c r="J534" s="89" t="n">
        <v>536188</v>
      </c>
    </row>
    <row r="535" hidden="1" customFormat="1" s="94">
      <c r="B535" s="128" t="n">
        <v>43841</v>
      </c>
      <c r="C535" s="94">
        <f>TEXT(B535,"aaa")</f>
        <v/>
      </c>
      <c r="D535" s="94" t="inlineStr">
        <is>
          <t>네이버 브랜드검색</t>
        </is>
      </c>
      <c r="E535" s="94" t="inlineStr">
        <is>
          <t>토너</t>
        </is>
      </c>
      <c r="J535" s="89" t="n">
        <v>40000</v>
      </c>
    </row>
    <row r="536" hidden="1" customFormat="1" s="94">
      <c r="B536" s="128" t="n">
        <v>43841</v>
      </c>
      <c r="C536" s="94">
        <f>TEXT(B536,"aaa")</f>
        <v/>
      </c>
      <c r="D536" s="94" t="inlineStr">
        <is>
          <t>네이버 쇼핑검색</t>
        </is>
      </c>
      <c r="E536" s="94" t="inlineStr">
        <is>
          <t>토너</t>
        </is>
      </c>
      <c r="J536" s="89">
        <f>16269/1.1</f>
        <v/>
      </c>
    </row>
    <row r="537" hidden="1" customFormat="1" s="94">
      <c r="B537" s="128" t="n">
        <v>43842</v>
      </c>
      <c r="C537" s="94">
        <f>TEXT(B537,"aaa")</f>
        <v/>
      </c>
      <c r="D537" s="94" t="inlineStr">
        <is>
          <t>인스타그램(랄라블라)</t>
        </is>
      </c>
      <c r="E537" s="94" t="inlineStr">
        <is>
          <t>토너</t>
        </is>
      </c>
      <c r="J537" s="89" t="n">
        <v>25102</v>
      </c>
    </row>
    <row r="538" hidden="1" customFormat="1" s="94">
      <c r="B538" s="128" t="n">
        <v>43842</v>
      </c>
      <c r="C538" s="94">
        <f>TEXT(B538,"aaa")</f>
        <v/>
      </c>
      <c r="D538" s="94" t="inlineStr">
        <is>
          <t>인스타그램(블로그)</t>
        </is>
      </c>
      <c r="E538" s="94" t="inlineStr">
        <is>
          <t>토너</t>
        </is>
      </c>
      <c r="J538" s="89" t="n">
        <v>50229</v>
      </c>
    </row>
    <row r="539" hidden="1" customFormat="1" s="94">
      <c r="B539" s="128" t="n">
        <v>43842</v>
      </c>
      <c r="C539" s="94">
        <f>TEXT(B539,"aaa")</f>
        <v/>
      </c>
      <c r="D539" s="94" t="inlineStr">
        <is>
          <t>인스타그램(전환)</t>
        </is>
      </c>
      <c r="E539" s="94" t="inlineStr">
        <is>
          <t>토너</t>
        </is>
      </c>
      <c r="J539" s="89" t="n">
        <v>502252</v>
      </c>
    </row>
    <row r="540" hidden="1" customFormat="1" s="94">
      <c r="B540" s="128" t="n">
        <v>43842</v>
      </c>
      <c r="C540" s="94">
        <f>TEXT(B540,"aaa")</f>
        <v/>
      </c>
      <c r="D540" s="94" t="inlineStr">
        <is>
          <t>네이버 브랜드검색</t>
        </is>
      </c>
      <c r="E540" s="94" t="inlineStr">
        <is>
          <t>토너</t>
        </is>
      </c>
      <c r="J540" s="89" t="n">
        <v>40000</v>
      </c>
    </row>
    <row r="541" hidden="1" customFormat="1" s="94">
      <c r="B541" s="128" t="n">
        <v>43842</v>
      </c>
      <c r="C541" s="94">
        <f>TEXT(B541,"aaa")</f>
        <v/>
      </c>
      <c r="D541" s="94" t="inlineStr">
        <is>
          <t>네이버 쇼핑검색</t>
        </is>
      </c>
      <c r="E541" s="94" t="inlineStr">
        <is>
          <t>토너</t>
        </is>
      </c>
      <c r="J541" s="89">
        <f>36300/1.1</f>
        <v/>
      </c>
    </row>
    <row r="542" hidden="1" customFormat="1" s="94">
      <c r="B542" s="128" t="n">
        <v>43843</v>
      </c>
      <c r="C542" s="94">
        <f>TEXT(B542,"aaa")</f>
        <v/>
      </c>
      <c r="D542" s="94" t="inlineStr">
        <is>
          <t>인스타그램(랄라블라)</t>
        </is>
      </c>
      <c r="E542" s="94" t="inlineStr">
        <is>
          <t>토너</t>
        </is>
      </c>
      <c r="J542" s="89" t="n">
        <v>24749</v>
      </c>
    </row>
    <row r="543" hidden="1" customFormat="1" s="94">
      <c r="B543" s="128" t="n">
        <v>43843</v>
      </c>
      <c r="C543" s="94">
        <f>TEXT(B543,"aaa")</f>
        <v/>
      </c>
      <c r="D543" s="94" t="inlineStr">
        <is>
          <t>인스타그램(블로그)</t>
        </is>
      </c>
      <c r="E543" s="94" t="inlineStr">
        <is>
          <t>토너</t>
        </is>
      </c>
      <c r="J543" s="89" t="n">
        <v>48691</v>
      </c>
    </row>
    <row r="544" hidden="1" customFormat="1" s="94">
      <c r="B544" s="128" t="n">
        <v>43843</v>
      </c>
      <c r="C544" s="94">
        <f>TEXT(B544,"aaa")</f>
        <v/>
      </c>
      <c r="D544" s="94" t="inlineStr">
        <is>
          <t>인스타그램(전환)</t>
        </is>
      </c>
      <c r="E544" s="94" t="inlineStr">
        <is>
          <t>토너</t>
        </is>
      </c>
      <c r="J544" s="89" t="n">
        <v>481370</v>
      </c>
    </row>
    <row r="545" hidden="1" customFormat="1" s="94">
      <c r="B545" s="128" t="n">
        <v>43843</v>
      </c>
      <c r="C545" s="94">
        <f>TEXT(B545,"aaa")</f>
        <v/>
      </c>
      <c r="D545" s="94" t="inlineStr">
        <is>
          <t>네이버 브랜드검색</t>
        </is>
      </c>
      <c r="E545" s="94" t="inlineStr">
        <is>
          <t>토너</t>
        </is>
      </c>
      <c r="J545" s="89" t="n">
        <v>40000</v>
      </c>
    </row>
    <row r="546" hidden="1" customFormat="1" s="94">
      <c r="B546" s="128" t="n">
        <v>43843</v>
      </c>
      <c r="C546" s="94">
        <f>TEXT(B546,"aaa")</f>
        <v/>
      </c>
      <c r="D546" s="94" t="inlineStr">
        <is>
          <t>네이버 쇼핑검색</t>
        </is>
      </c>
      <c r="E546" s="94" t="inlineStr">
        <is>
          <t>토너</t>
        </is>
      </c>
      <c r="J546" s="89">
        <f>89980/1.1</f>
        <v/>
      </c>
    </row>
    <row r="547" hidden="1" customFormat="1" s="94">
      <c r="B547" s="128" t="n">
        <v>43843</v>
      </c>
      <c r="C547" s="94">
        <f>TEXT(B547,"aaa")</f>
        <v/>
      </c>
      <c r="D547" s="94" t="inlineStr">
        <is>
          <t>SMS</t>
        </is>
      </c>
      <c r="E547" s="94" t="inlineStr">
        <is>
          <t>토너</t>
        </is>
      </c>
      <c r="G547" s="94" t="inlineStr">
        <is>
          <t>재구매의사 테스트</t>
        </is>
      </c>
      <c r="J547" s="89">
        <f>70</f>
        <v/>
      </c>
    </row>
    <row r="548" hidden="1" customFormat="1" s="94">
      <c r="B548" s="128" t="n">
        <v>43843</v>
      </c>
      <c r="C548" s="94">
        <f>TEXT(B548,"aaa")</f>
        <v/>
      </c>
      <c r="D548" s="94" t="inlineStr">
        <is>
          <t>SMS</t>
        </is>
      </c>
      <c r="E548" s="94" t="inlineStr">
        <is>
          <t>토너</t>
        </is>
      </c>
      <c r="G548" s="94" t="inlineStr">
        <is>
          <t>재구매의사</t>
        </is>
      </c>
      <c r="J548" s="89">
        <f>243*70</f>
        <v/>
      </c>
    </row>
    <row r="549" hidden="1" customFormat="1" s="94">
      <c r="B549" s="128" t="n">
        <v>43844</v>
      </c>
      <c r="C549" s="94">
        <f>TEXT(B549,"aaa")</f>
        <v/>
      </c>
      <c r="D549" s="94" t="inlineStr">
        <is>
          <t>인스타그램(랄라블라)</t>
        </is>
      </c>
      <c r="E549" s="94" t="inlineStr">
        <is>
          <t>토너</t>
        </is>
      </c>
      <c r="J549" s="89" t="n">
        <v>24810</v>
      </c>
    </row>
    <row r="550" hidden="1" customFormat="1" s="94">
      <c r="B550" s="128" t="n">
        <v>43844</v>
      </c>
      <c r="C550" s="94">
        <f>TEXT(B550,"aaa")</f>
        <v/>
      </c>
      <c r="D550" s="94" t="inlineStr">
        <is>
          <t>인스타그램(블로그)</t>
        </is>
      </c>
      <c r="E550" s="94" t="inlineStr">
        <is>
          <t>토너</t>
        </is>
      </c>
      <c r="J550" s="89" t="n">
        <v>49247</v>
      </c>
    </row>
    <row r="551" hidden="1" customFormat="1" s="94">
      <c r="B551" s="128" t="n">
        <v>43844</v>
      </c>
      <c r="C551" s="94">
        <f>TEXT(B551,"aaa")</f>
        <v/>
      </c>
      <c r="D551" s="94" t="inlineStr">
        <is>
          <t>인스타그램(전환)</t>
        </is>
      </c>
      <c r="E551" s="94" t="inlineStr">
        <is>
          <t>토너</t>
        </is>
      </c>
      <c r="J551" s="89" t="n">
        <v>604360</v>
      </c>
    </row>
    <row r="552" hidden="1" customFormat="1" s="94">
      <c r="B552" s="128" t="n">
        <v>43844</v>
      </c>
      <c r="C552" s="94">
        <f>TEXT(B552,"aaa")</f>
        <v/>
      </c>
      <c r="D552" s="94" t="inlineStr">
        <is>
          <t>네이버 브랜드검색</t>
        </is>
      </c>
      <c r="E552" s="94" t="inlineStr">
        <is>
          <t>토너</t>
        </is>
      </c>
      <c r="J552" s="89" t="n">
        <v>40000</v>
      </c>
    </row>
    <row r="553" hidden="1" customFormat="1" s="94">
      <c r="B553" s="128" t="n">
        <v>43844</v>
      </c>
      <c r="C553" s="94">
        <f>TEXT(B553,"aaa")</f>
        <v/>
      </c>
      <c r="D553" s="94" t="inlineStr">
        <is>
          <t>네이버 쇼핑검색</t>
        </is>
      </c>
      <c r="E553" s="94" t="inlineStr">
        <is>
          <t>토너</t>
        </is>
      </c>
      <c r="J553" s="89">
        <f>33880/1.1</f>
        <v/>
      </c>
    </row>
    <row r="554" hidden="1" customFormat="1" s="94">
      <c r="B554" s="128" t="n">
        <v>43844</v>
      </c>
      <c r="C554" s="94">
        <f>TEXT(B554,"aaa")</f>
        <v/>
      </c>
      <c r="D554" s="94" t="inlineStr">
        <is>
          <t>SMS</t>
        </is>
      </c>
      <c r="E554" s="94" t="inlineStr">
        <is>
          <t>토너</t>
        </is>
      </c>
      <c r="G554" s="94" t="inlineStr">
        <is>
          <t>재구매의사</t>
        </is>
      </c>
      <c r="J554" s="89">
        <f>332*70</f>
        <v/>
      </c>
    </row>
    <row r="555" hidden="1" customFormat="1" s="94">
      <c r="B555" s="128" t="n">
        <v>43844</v>
      </c>
      <c r="C555" s="94">
        <f>TEXT(B555,"aaa")</f>
        <v/>
      </c>
      <c r="D555" s="94" t="inlineStr">
        <is>
          <t>SMS</t>
        </is>
      </c>
      <c r="E555" s="94" t="inlineStr">
        <is>
          <t>토너</t>
        </is>
      </c>
      <c r="G555" s="94" t="inlineStr">
        <is>
          <t>블로그 작성 유도</t>
        </is>
      </c>
      <c r="J555" s="89">
        <f>11*70</f>
        <v/>
      </c>
    </row>
    <row r="556" hidden="1" customFormat="1" s="94">
      <c r="B556" s="128" t="n">
        <v>43845</v>
      </c>
      <c r="C556" s="94">
        <f>TEXT(B556,"aaa")</f>
        <v/>
      </c>
      <c r="D556" s="94" t="inlineStr">
        <is>
          <t>인스타그램(랄라블라)</t>
        </is>
      </c>
      <c r="E556" s="94" t="inlineStr">
        <is>
          <t>토너</t>
        </is>
      </c>
      <c r="J556" s="89" t="n">
        <v>24404</v>
      </c>
    </row>
    <row r="557" hidden="1" customFormat="1" s="94">
      <c r="B557" s="128" t="n">
        <v>43845</v>
      </c>
      <c r="C557" s="94">
        <f>TEXT(B557,"aaa")</f>
        <v/>
      </c>
      <c r="D557" s="94" t="inlineStr">
        <is>
          <t>인스타그램(블로그)</t>
        </is>
      </c>
      <c r="E557" s="94" t="inlineStr">
        <is>
          <t>토너</t>
        </is>
      </c>
      <c r="J557" s="89" t="n">
        <v>50234</v>
      </c>
    </row>
    <row r="558" hidden="1" customFormat="1" s="94">
      <c r="B558" s="128" t="n">
        <v>43845</v>
      </c>
      <c r="C558" s="94">
        <f>TEXT(B558,"aaa")</f>
        <v/>
      </c>
      <c r="D558" s="94" t="inlineStr">
        <is>
          <t>인스타그램(전환)</t>
        </is>
      </c>
      <c r="E558" s="94" t="inlineStr">
        <is>
          <t>토너</t>
        </is>
      </c>
      <c r="J558" s="89" t="n">
        <v>684990</v>
      </c>
    </row>
    <row r="559" hidden="1" customFormat="1" s="94">
      <c r="B559" s="128" t="n">
        <v>43845</v>
      </c>
      <c r="C559" s="94">
        <f>TEXT(B559,"aaa")</f>
        <v/>
      </c>
      <c r="D559" s="94" t="inlineStr">
        <is>
          <t>네이버 브랜드검색</t>
        </is>
      </c>
      <c r="E559" s="94" t="inlineStr">
        <is>
          <t>토너</t>
        </is>
      </c>
      <c r="J559" s="89" t="n">
        <v>40000</v>
      </c>
    </row>
    <row r="560" hidden="1" customFormat="1" s="94">
      <c r="B560" s="128" t="n">
        <v>43845</v>
      </c>
      <c r="C560" s="94">
        <f>TEXT(B560,"aaa")</f>
        <v/>
      </c>
      <c r="D560" s="94" t="inlineStr">
        <is>
          <t>네이버 쇼핑검색</t>
        </is>
      </c>
      <c r="E560" s="94" t="inlineStr">
        <is>
          <t>토너</t>
        </is>
      </c>
      <c r="J560" s="89">
        <f>19140/1.1</f>
        <v/>
      </c>
    </row>
    <row r="561" hidden="1" customFormat="1" s="94">
      <c r="B561" s="128" t="n">
        <v>43846</v>
      </c>
      <c r="C561" s="94">
        <f>TEXT(B561,"aaa")</f>
        <v/>
      </c>
      <c r="D561" s="94" t="inlineStr">
        <is>
          <t>인스타그램(랄라블라)</t>
        </is>
      </c>
      <c r="E561" s="94" t="inlineStr">
        <is>
          <t>토너</t>
        </is>
      </c>
      <c r="J561" s="89" t="n">
        <v>25351</v>
      </c>
    </row>
    <row r="562" hidden="1" customFormat="1" s="94">
      <c r="B562" s="128" t="n">
        <v>43846</v>
      </c>
      <c r="C562" s="94">
        <f>TEXT(B562,"aaa")</f>
        <v/>
      </c>
      <c r="D562" s="94" t="inlineStr">
        <is>
          <t>인스타그램(블로그)</t>
        </is>
      </c>
      <c r="E562" s="94" t="inlineStr">
        <is>
          <t>토너</t>
        </is>
      </c>
      <c r="J562" s="89" t="n">
        <v>49365</v>
      </c>
    </row>
    <row r="563" hidden="1" customFormat="1" s="94">
      <c r="B563" s="128" t="n">
        <v>43846</v>
      </c>
      <c r="C563" s="94">
        <f>TEXT(B563,"aaa")</f>
        <v/>
      </c>
      <c r="D563" s="94" t="inlineStr">
        <is>
          <t>인스타그램(전환)</t>
        </is>
      </c>
      <c r="E563" s="94" t="inlineStr">
        <is>
          <t>토너</t>
        </is>
      </c>
      <c r="J563" s="89" t="n">
        <v>553775</v>
      </c>
    </row>
    <row r="564" hidden="1" customFormat="1" s="94">
      <c r="B564" s="128" t="n">
        <v>43846</v>
      </c>
      <c r="C564" s="94">
        <f>TEXT(B564,"aaa")</f>
        <v/>
      </c>
      <c r="D564" s="94" t="inlineStr">
        <is>
          <t>네이버 브랜드검색</t>
        </is>
      </c>
      <c r="E564" s="94" t="inlineStr">
        <is>
          <t>토너</t>
        </is>
      </c>
      <c r="J564" s="89" t="n">
        <v>40000</v>
      </c>
    </row>
    <row r="565" hidden="1" customFormat="1" s="94">
      <c r="B565" s="128" t="n">
        <v>43846</v>
      </c>
      <c r="C565" s="94">
        <f>TEXT(B565,"aaa")</f>
        <v/>
      </c>
      <c r="D565" s="94" t="inlineStr">
        <is>
          <t>네이버 쇼핑검색</t>
        </is>
      </c>
      <c r="E565" s="94" t="inlineStr">
        <is>
          <t>토너</t>
        </is>
      </c>
      <c r="J565" s="89">
        <f>14520/1.1</f>
        <v/>
      </c>
    </row>
    <row r="566" hidden="1" customFormat="1" s="94">
      <c r="B566" s="128" t="n">
        <v>43847</v>
      </c>
      <c r="C566" s="94">
        <f>TEXT(B566,"aaa")</f>
        <v/>
      </c>
      <c r="D566" s="94" t="inlineStr">
        <is>
          <t>인스타그램(랄라블라)</t>
        </is>
      </c>
      <c r="E566" s="94" t="inlineStr">
        <is>
          <t>토너</t>
        </is>
      </c>
      <c r="J566" s="89" t="n">
        <v>25200</v>
      </c>
    </row>
    <row r="567" hidden="1" customFormat="1" s="94">
      <c r="B567" s="128" t="n">
        <v>43847</v>
      </c>
      <c r="C567" s="94">
        <f>TEXT(B567,"aaa")</f>
        <v/>
      </c>
      <c r="D567" s="94" t="inlineStr">
        <is>
          <t>인스타그램(블로그)</t>
        </is>
      </c>
      <c r="E567" s="94" t="inlineStr">
        <is>
          <t>토너</t>
        </is>
      </c>
      <c r="J567" s="89" t="n">
        <v>49280</v>
      </c>
    </row>
    <row r="568" hidden="1" customFormat="1" s="94">
      <c r="B568" s="128" t="n">
        <v>43847</v>
      </c>
      <c r="C568" s="94">
        <f>TEXT(B568,"aaa")</f>
        <v/>
      </c>
      <c r="D568" s="94" t="inlineStr">
        <is>
          <t>인스타그램(전환)</t>
        </is>
      </c>
      <c r="E568" s="94" t="inlineStr">
        <is>
          <t>토너</t>
        </is>
      </c>
      <c r="J568" s="89" t="n">
        <v>465220</v>
      </c>
    </row>
    <row r="569" hidden="1" customFormat="1" s="94">
      <c r="B569" s="128" t="n">
        <v>43847</v>
      </c>
      <c r="C569" s="94">
        <f>TEXT(B569,"aaa")</f>
        <v/>
      </c>
      <c r="D569" s="94" t="inlineStr">
        <is>
          <t>네이버 브랜드검색</t>
        </is>
      </c>
      <c r="E569" s="94" t="inlineStr">
        <is>
          <t>토너</t>
        </is>
      </c>
      <c r="J569" s="89" t="n">
        <v>40000</v>
      </c>
    </row>
    <row r="570" hidden="1" customFormat="1" s="94">
      <c r="B570" s="128" t="n">
        <v>43847</v>
      </c>
      <c r="C570" s="94">
        <f>TEXT(B570,"aaa")</f>
        <v/>
      </c>
      <c r="D570" s="94" t="inlineStr">
        <is>
          <t>네이버 쇼핑검색</t>
        </is>
      </c>
      <c r="E570" s="94" t="inlineStr">
        <is>
          <t>토너</t>
        </is>
      </c>
      <c r="J570" s="89">
        <f>15620/1.1</f>
        <v/>
      </c>
    </row>
    <row r="571" hidden="1" customFormat="1" s="94">
      <c r="B571" s="128" t="n">
        <v>43848</v>
      </c>
      <c r="C571" s="94">
        <f>TEXT(B571,"aaa")</f>
        <v/>
      </c>
      <c r="D571" s="94" t="inlineStr">
        <is>
          <t>인스타그램(랄라블라)</t>
        </is>
      </c>
      <c r="E571" s="94" t="inlineStr">
        <is>
          <t>토너</t>
        </is>
      </c>
      <c r="J571" s="89" t="n">
        <v>25384</v>
      </c>
    </row>
    <row r="572" hidden="1" customFormat="1" s="94">
      <c r="B572" s="128" t="n">
        <v>43848</v>
      </c>
      <c r="C572" s="94">
        <f>TEXT(B572,"aaa")</f>
        <v/>
      </c>
      <c r="D572" s="94" t="inlineStr">
        <is>
          <t>인스타그램(블로그)</t>
        </is>
      </c>
      <c r="E572" s="94" t="inlineStr">
        <is>
          <t>토너</t>
        </is>
      </c>
      <c r="J572" s="89" t="n">
        <v>52954</v>
      </c>
    </row>
    <row r="573" hidden="1" customFormat="1" s="94">
      <c r="B573" s="128" t="n">
        <v>43848</v>
      </c>
      <c r="C573" s="94">
        <f>TEXT(B573,"aaa")</f>
        <v/>
      </c>
      <c r="D573" s="94" t="inlineStr">
        <is>
          <t>인스타그램(전환)</t>
        </is>
      </c>
      <c r="E573" s="94" t="inlineStr">
        <is>
          <t>토너</t>
        </is>
      </c>
      <c r="J573" s="89" t="n">
        <v>498379</v>
      </c>
    </row>
    <row r="574" hidden="1" customFormat="1" s="94">
      <c r="B574" s="128" t="n">
        <v>43848</v>
      </c>
      <c r="C574" s="94">
        <f>TEXT(B574,"aaa")</f>
        <v/>
      </c>
      <c r="D574" s="94" t="inlineStr">
        <is>
          <t>네이버 브랜드검색</t>
        </is>
      </c>
      <c r="E574" s="94" t="inlineStr">
        <is>
          <t>토너</t>
        </is>
      </c>
      <c r="J574" s="89" t="n">
        <v>40000</v>
      </c>
    </row>
    <row r="575" hidden="1" customFormat="1" s="94">
      <c r="B575" s="128" t="n">
        <v>43848</v>
      </c>
      <c r="C575" s="94">
        <f>TEXT(B575,"aaa")</f>
        <v/>
      </c>
      <c r="D575" s="94" t="inlineStr">
        <is>
          <t>네이버 쇼핑검색</t>
        </is>
      </c>
      <c r="E575" s="94" t="inlineStr">
        <is>
          <t>토너</t>
        </is>
      </c>
      <c r="J575" s="89">
        <f>9900/1.1</f>
        <v/>
      </c>
    </row>
    <row r="576" hidden="1" customFormat="1" s="94">
      <c r="B576" s="128" t="n">
        <v>43849</v>
      </c>
      <c r="C576" s="94">
        <f>TEXT(B576,"aaa")</f>
        <v/>
      </c>
      <c r="D576" s="94" t="inlineStr">
        <is>
          <t>인스타그램(랄라블라)</t>
        </is>
      </c>
      <c r="E576" s="94" t="inlineStr">
        <is>
          <t>토너</t>
        </is>
      </c>
      <c r="J576" s="89" t="n">
        <v>25032</v>
      </c>
    </row>
    <row r="577" hidden="1" customFormat="1" s="94">
      <c r="B577" s="128" t="n">
        <v>43849</v>
      </c>
      <c r="C577" s="94">
        <f>TEXT(B577,"aaa")</f>
        <v/>
      </c>
      <c r="D577" s="94" t="inlineStr">
        <is>
          <t>인스타그램(블로그)</t>
        </is>
      </c>
      <c r="E577" s="94" t="inlineStr">
        <is>
          <t>토너</t>
        </is>
      </c>
      <c r="J577" s="89" t="n">
        <v>50287</v>
      </c>
    </row>
    <row r="578" hidden="1" customFormat="1" s="94">
      <c r="B578" s="128" t="n">
        <v>43849</v>
      </c>
      <c r="C578" s="94">
        <f>TEXT(B578,"aaa")</f>
        <v/>
      </c>
      <c r="D578" s="94" t="inlineStr">
        <is>
          <t>인스타그램(전환)</t>
        </is>
      </c>
      <c r="E578" s="94" t="inlineStr">
        <is>
          <t>토너</t>
        </is>
      </c>
      <c r="J578" s="89" t="n">
        <v>501252</v>
      </c>
    </row>
    <row r="579" hidden="1" customFormat="1" s="94">
      <c r="B579" s="128" t="n">
        <v>43849</v>
      </c>
      <c r="C579" s="94">
        <f>TEXT(B579,"aaa")</f>
        <v/>
      </c>
      <c r="D579" s="94" t="inlineStr">
        <is>
          <t>네이버 브랜드검색</t>
        </is>
      </c>
      <c r="E579" s="94" t="inlineStr">
        <is>
          <t>토너</t>
        </is>
      </c>
      <c r="J579" s="89" t="n">
        <v>40000</v>
      </c>
    </row>
    <row r="580" hidden="1" customFormat="1" s="94">
      <c r="B580" s="128" t="n">
        <v>43849</v>
      </c>
      <c r="C580" s="94">
        <f>TEXT(B580,"aaa")</f>
        <v/>
      </c>
      <c r="D580" s="94" t="inlineStr">
        <is>
          <t>네이버 쇼핑검색</t>
        </is>
      </c>
      <c r="E580" s="94" t="inlineStr">
        <is>
          <t>토너</t>
        </is>
      </c>
      <c r="J580" s="89">
        <f>9680/1.1</f>
        <v/>
      </c>
    </row>
    <row r="581" hidden="1" customFormat="1" s="94">
      <c r="B581" s="128" t="n">
        <v>43850</v>
      </c>
      <c r="C581" s="94">
        <f>TEXT(B581,"aaa")</f>
        <v/>
      </c>
      <c r="D581" s="94" t="inlineStr">
        <is>
          <t>인스타그램(랄라블라)</t>
        </is>
      </c>
      <c r="E581" s="94" t="inlineStr">
        <is>
          <t>토너</t>
        </is>
      </c>
      <c r="J581" s="89" t="n">
        <v>24943</v>
      </c>
    </row>
    <row r="582" hidden="1" customFormat="1" s="94">
      <c r="B582" s="128" t="n">
        <v>43850</v>
      </c>
      <c r="C582" s="94">
        <f>TEXT(B582,"aaa")</f>
        <v/>
      </c>
      <c r="D582" s="94" t="inlineStr">
        <is>
          <t>인스타그램(블로그)</t>
        </is>
      </c>
      <c r="E582" s="94" t="inlineStr">
        <is>
          <t>토너</t>
        </is>
      </c>
      <c r="J582" s="89" t="n">
        <v>48673</v>
      </c>
    </row>
    <row r="583" hidden="1" customFormat="1" s="94">
      <c r="B583" s="128" t="n">
        <v>43850</v>
      </c>
      <c r="C583" s="94">
        <f>TEXT(B583,"aaa")</f>
        <v/>
      </c>
      <c r="D583" s="94" t="inlineStr">
        <is>
          <t>인스타그램(전환)</t>
        </is>
      </c>
      <c r="E583" s="94" t="inlineStr">
        <is>
          <t>토너</t>
        </is>
      </c>
      <c r="J583" s="89" t="n">
        <v>480127</v>
      </c>
    </row>
    <row r="584" hidden="1" customFormat="1" s="94">
      <c r="B584" s="128" t="n">
        <v>43850</v>
      </c>
      <c r="C584" s="94">
        <f>TEXT(B584,"aaa")</f>
        <v/>
      </c>
      <c r="D584" s="94" t="inlineStr">
        <is>
          <t>네이버 브랜드검색</t>
        </is>
      </c>
      <c r="E584" s="94" t="inlineStr">
        <is>
          <t>토너</t>
        </is>
      </c>
      <c r="J584" s="89" t="n">
        <v>40000</v>
      </c>
    </row>
    <row r="585" hidden="1" customFormat="1" s="94">
      <c r="B585" s="128" t="n">
        <v>43850</v>
      </c>
      <c r="C585" s="94">
        <f>TEXT(B585,"aaa")</f>
        <v/>
      </c>
      <c r="D585" s="94" t="inlineStr">
        <is>
          <t>네이버 쇼핑검색</t>
        </is>
      </c>
      <c r="E585" s="94" t="inlineStr">
        <is>
          <t>토너</t>
        </is>
      </c>
      <c r="J585" s="89">
        <f>8327/1.1</f>
        <v/>
      </c>
    </row>
    <row r="586" hidden="1" customFormat="1" s="94">
      <c r="B586" s="128" t="n">
        <v>43851</v>
      </c>
      <c r="C586" s="94">
        <f>TEXT(B586,"aaa")</f>
        <v/>
      </c>
      <c r="D586" s="94" t="inlineStr">
        <is>
          <t>인스타그램(랄라블라)</t>
        </is>
      </c>
      <c r="E586" s="94" t="inlineStr">
        <is>
          <t>토너</t>
        </is>
      </c>
      <c r="J586" s="89" t="n">
        <v>25062</v>
      </c>
    </row>
    <row r="587" hidden="1" customFormat="1" s="94">
      <c r="B587" s="128" t="n">
        <v>43851</v>
      </c>
      <c r="C587" s="94">
        <f>TEXT(B587,"aaa")</f>
        <v/>
      </c>
      <c r="D587" s="94" t="inlineStr">
        <is>
          <t>인스타그램(블로그)</t>
        </is>
      </c>
      <c r="E587" s="94" t="inlineStr">
        <is>
          <t>토너</t>
        </is>
      </c>
      <c r="J587" s="89" t="n">
        <v>48795</v>
      </c>
    </row>
    <row r="588" hidden="1" customFormat="1" s="94">
      <c r="B588" s="128" t="n">
        <v>43851</v>
      </c>
      <c r="C588" s="94">
        <f>TEXT(B588,"aaa")</f>
        <v/>
      </c>
      <c r="D588" s="94" t="inlineStr">
        <is>
          <t>인스타그램(전환)</t>
        </is>
      </c>
      <c r="E588" s="94" t="inlineStr">
        <is>
          <t>토너</t>
        </is>
      </c>
      <c r="J588" s="89" t="n">
        <v>499793</v>
      </c>
    </row>
    <row r="589" hidden="1" customFormat="1" s="94">
      <c r="B589" s="128" t="n">
        <v>43851</v>
      </c>
      <c r="C589" s="94">
        <f>TEXT(B589,"aaa")</f>
        <v/>
      </c>
      <c r="D589" s="94" t="inlineStr">
        <is>
          <t>네이버 브랜드검색</t>
        </is>
      </c>
      <c r="E589" s="94" t="inlineStr">
        <is>
          <t>토너</t>
        </is>
      </c>
      <c r="J589" s="89" t="n">
        <v>40000</v>
      </c>
    </row>
    <row r="590" hidden="1" customFormat="1" s="94">
      <c r="B590" s="128" t="n">
        <v>43851</v>
      </c>
      <c r="C590" s="94">
        <f>TEXT(B590,"aaa")</f>
        <v/>
      </c>
      <c r="D590" s="94" t="inlineStr">
        <is>
          <t>네이버 쇼핑검색</t>
        </is>
      </c>
      <c r="E590" s="94" t="inlineStr">
        <is>
          <t>토너</t>
        </is>
      </c>
      <c r="J590" s="89">
        <f>2794/1.1</f>
        <v/>
      </c>
    </row>
    <row r="591" hidden="1" customFormat="1" s="94">
      <c r="B591" s="128" t="n">
        <v>43851</v>
      </c>
      <c r="C591" s="94">
        <f>TEXT(B591,"aaa")</f>
        <v/>
      </c>
      <c r="D591" s="94" t="inlineStr">
        <is>
          <t>SMS</t>
        </is>
      </c>
      <c r="E591" s="94" t="inlineStr">
        <is>
          <t>토너</t>
        </is>
      </c>
      <c r="G591" s="94" t="inlineStr">
        <is>
          <t>블로그 작성 유도</t>
        </is>
      </c>
      <c r="J591" s="89">
        <f>7*70</f>
        <v/>
      </c>
    </row>
    <row r="592" hidden="1" customFormat="1" s="94">
      <c r="B592" s="128" t="n">
        <v>43852</v>
      </c>
      <c r="C592" s="94">
        <f>TEXT(B592,"aaa")</f>
        <v/>
      </c>
      <c r="D592" s="94" t="inlineStr">
        <is>
          <t>인스타그램(랄라블라)</t>
        </is>
      </c>
      <c r="E592" s="94" t="inlineStr">
        <is>
          <t>토너</t>
        </is>
      </c>
      <c r="J592" s="89" t="n">
        <v>24888</v>
      </c>
    </row>
    <row r="593" hidden="1" customFormat="1" s="94">
      <c r="B593" s="128" t="n">
        <v>43852</v>
      </c>
      <c r="C593" s="94">
        <f>TEXT(B593,"aaa")</f>
        <v/>
      </c>
      <c r="D593" s="94" t="inlineStr">
        <is>
          <t>인스타그램(블로그)</t>
        </is>
      </c>
      <c r="E593" s="94" t="inlineStr">
        <is>
          <t>토너</t>
        </is>
      </c>
      <c r="J593" s="89" t="n">
        <v>48827</v>
      </c>
    </row>
    <row r="594" hidden="1" customFormat="1" s="94">
      <c r="B594" s="128" t="n">
        <v>43852</v>
      </c>
      <c r="C594" s="94">
        <f>TEXT(B594,"aaa")</f>
        <v/>
      </c>
      <c r="D594" s="94" t="inlineStr">
        <is>
          <t>인스타그램(전환)</t>
        </is>
      </c>
      <c r="E594" s="94" t="inlineStr">
        <is>
          <t>토너</t>
        </is>
      </c>
      <c r="J594" s="89" t="n">
        <v>490496</v>
      </c>
    </row>
    <row r="595" hidden="1" customFormat="1" s="94">
      <c r="B595" s="128" t="n">
        <v>43852</v>
      </c>
      <c r="C595" s="94">
        <f>TEXT(B595,"aaa")</f>
        <v/>
      </c>
      <c r="D595" s="94" t="inlineStr">
        <is>
          <t>네이버 브랜드검색</t>
        </is>
      </c>
      <c r="E595" s="94" t="inlineStr">
        <is>
          <t>토너</t>
        </is>
      </c>
      <c r="J595" s="89" t="n">
        <v>40000</v>
      </c>
    </row>
    <row r="596" hidden="1" customFormat="1" s="94">
      <c r="B596" s="128" t="n">
        <v>43852</v>
      </c>
      <c r="C596" s="94">
        <f>TEXT(B596,"aaa")</f>
        <v/>
      </c>
      <c r="D596" s="94" t="inlineStr">
        <is>
          <t>네이버 쇼핑검색</t>
        </is>
      </c>
      <c r="E596" s="94" t="inlineStr">
        <is>
          <t>토너</t>
        </is>
      </c>
      <c r="J596" s="89">
        <f>1826/1.1</f>
        <v/>
      </c>
    </row>
    <row r="597" hidden="1" customFormat="1" s="94">
      <c r="B597" s="128" t="n">
        <v>43853</v>
      </c>
      <c r="C597" s="94">
        <f>TEXT(B597,"aaa")</f>
        <v/>
      </c>
      <c r="D597" s="94" t="inlineStr">
        <is>
          <t>인스타그램(랄라블라)</t>
        </is>
      </c>
      <c r="E597" s="94" t="inlineStr">
        <is>
          <t>토너</t>
        </is>
      </c>
      <c r="J597" s="89" t="n">
        <v>25051</v>
      </c>
    </row>
    <row r="598" hidden="1" customFormat="1" s="94">
      <c r="B598" s="128" t="n">
        <v>43853</v>
      </c>
      <c r="C598" s="94">
        <f>TEXT(B598,"aaa")</f>
        <v/>
      </c>
      <c r="D598" s="94" t="inlineStr">
        <is>
          <t>인스타그램(블로그)</t>
        </is>
      </c>
      <c r="E598" s="94" t="inlineStr">
        <is>
          <t>토너</t>
        </is>
      </c>
      <c r="J598" s="89" t="n">
        <v>50576</v>
      </c>
    </row>
    <row r="599" hidden="1" customFormat="1" s="94">
      <c r="B599" s="128" t="n">
        <v>43853</v>
      </c>
      <c r="C599" s="94">
        <f>TEXT(B599,"aaa")</f>
        <v/>
      </c>
      <c r="D599" s="94" t="inlineStr">
        <is>
          <t>인스타그램(전환)</t>
        </is>
      </c>
      <c r="E599" s="94" t="inlineStr">
        <is>
          <t>토너</t>
        </is>
      </c>
      <c r="J599" s="89" t="n">
        <v>494002</v>
      </c>
    </row>
    <row r="600" hidden="1" customFormat="1" s="94">
      <c r="B600" s="128" t="n">
        <v>43853</v>
      </c>
      <c r="C600" s="94">
        <f>TEXT(B600,"aaa")</f>
        <v/>
      </c>
      <c r="D600" s="94" t="inlineStr">
        <is>
          <t>네이버 브랜드검색</t>
        </is>
      </c>
      <c r="E600" s="94" t="inlineStr">
        <is>
          <t>토너</t>
        </is>
      </c>
      <c r="J600" s="89" t="n">
        <v>40000</v>
      </c>
    </row>
    <row r="601" hidden="1" customFormat="1" s="94">
      <c r="B601" s="128" t="n">
        <v>43853</v>
      </c>
      <c r="C601" s="94">
        <f>TEXT(B601,"aaa")</f>
        <v/>
      </c>
      <c r="D601" s="94" t="inlineStr">
        <is>
          <t>네이버 쇼핑검색</t>
        </is>
      </c>
      <c r="E601" s="94" t="inlineStr">
        <is>
          <t>토너</t>
        </is>
      </c>
      <c r="J601" s="89">
        <f>1331/1.1</f>
        <v/>
      </c>
    </row>
    <row r="602" hidden="1" customFormat="1" s="94">
      <c r="B602" s="128" t="n">
        <v>43854</v>
      </c>
      <c r="C602" s="94">
        <f>TEXT(B602,"aaa")</f>
        <v/>
      </c>
      <c r="D602" s="94" t="inlineStr">
        <is>
          <t>인스타그램(랄라블라)</t>
        </is>
      </c>
      <c r="E602" s="94" t="inlineStr">
        <is>
          <t>토너</t>
        </is>
      </c>
      <c r="J602" s="89" t="n">
        <v>24730</v>
      </c>
    </row>
    <row r="603" hidden="1" customFormat="1" s="94">
      <c r="B603" s="128" t="n">
        <v>43854</v>
      </c>
      <c r="C603" s="94">
        <f>TEXT(B603,"aaa")</f>
        <v/>
      </c>
      <c r="D603" s="94" t="inlineStr">
        <is>
          <t>인스타그램(블로그)</t>
        </is>
      </c>
      <c r="E603" s="94" t="inlineStr">
        <is>
          <t>토너</t>
        </is>
      </c>
      <c r="J603" s="89" t="n">
        <v>51482</v>
      </c>
    </row>
    <row r="604" hidden="1" customFormat="1" s="94">
      <c r="B604" s="128" t="n">
        <v>43854</v>
      </c>
      <c r="C604" s="94">
        <f>TEXT(B604,"aaa")</f>
        <v/>
      </c>
      <c r="D604" s="94" t="inlineStr">
        <is>
          <t>인스타그램(전환)</t>
        </is>
      </c>
      <c r="E604" s="94" t="inlineStr">
        <is>
          <t>토너</t>
        </is>
      </c>
      <c r="J604" s="89" t="n">
        <v>517886</v>
      </c>
    </row>
    <row r="605" hidden="1" customFormat="1" s="94">
      <c r="B605" s="128" t="n">
        <v>43854</v>
      </c>
      <c r="C605" s="94">
        <f>TEXT(B605,"aaa")</f>
        <v/>
      </c>
      <c r="D605" s="94" t="inlineStr">
        <is>
          <t>네이버 브랜드검색</t>
        </is>
      </c>
      <c r="E605" s="94" t="inlineStr">
        <is>
          <t>토너</t>
        </is>
      </c>
      <c r="J605" s="89" t="n">
        <v>40000</v>
      </c>
    </row>
    <row r="606" hidden="1" customFormat="1" s="94">
      <c r="B606" s="128" t="n">
        <v>43854</v>
      </c>
      <c r="C606" s="94">
        <f>TEXT(B606,"aaa")</f>
        <v/>
      </c>
      <c r="D606" s="94" t="inlineStr">
        <is>
          <t>네이버 쇼핑검색</t>
        </is>
      </c>
      <c r="E606" s="94" t="inlineStr">
        <is>
          <t>토너</t>
        </is>
      </c>
      <c r="J606" s="89">
        <f>3476/1.1</f>
        <v/>
      </c>
    </row>
    <row r="607" hidden="1" customFormat="1" s="94">
      <c r="B607" s="128" t="n">
        <v>43855</v>
      </c>
      <c r="C607" s="94">
        <f>TEXT(B607,"aaa")</f>
        <v/>
      </c>
      <c r="D607" s="94" t="inlineStr">
        <is>
          <t>인스타그램(랄라블라)</t>
        </is>
      </c>
      <c r="E607" s="94" t="inlineStr">
        <is>
          <t>토너</t>
        </is>
      </c>
      <c r="J607" s="89" t="n">
        <v>25293</v>
      </c>
    </row>
    <row r="608" hidden="1" customFormat="1" s="94">
      <c r="B608" s="128" t="n">
        <v>43855</v>
      </c>
      <c r="C608" s="94">
        <f>TEXT(B608,"aaa")</f>
        <v/>
      </c>
      <c r="D608" s="94" t="inlineStr">
        <is>
          <t>인스타그램(블로그)</t>
        </is>
      </c>
      <c r="E608" s="94" t="inlineStr">
        <is>
          <t>토너</t>
        </is>
      </c>
      <c r="J608" s="89" t="n">
        <v>51360</v>
      </c>
    </row>
    <row r="609" hidden="1" customFormat="1" s="94">
      <c r="B609" s="128" t="n">
        <v>43855</v>
      </c>
      <c r="C609" s="94">
        <f>TEXT(B609,"aaa")</f>
        <v/>
      </c>
      <c r="D609" s="94" t="inlineStr">
        <is>
          <t>인스타그램(전환)</t>
        </is>
      </c>
      <c r="E609" s="94" t="inlineStr">
        <is>
          <t>토너</t>
        </is>
      </c>
      <c r="J609" s="89" t="n">
        <v>516444</v>
      </c>
    </row>
    <row r="610" hidden="1" customFormat="1" s="94">
      <c r="B610" s="128" t="n">
        <v>43855</v>
      </c>
      <c r="C610" s="94">
        <f>TEXT(B610,"aaa")</f>
        <v/>
      </c>
      <c r="D610" s="94" t="inlineStr">
        <is>
          <t>네이버 브랜드검색</t>
        </is>
      </c>
      <c r="E610" s="94" t="inlineStr">
        <is>
          <t>토너</t>
        </is>
      </c>
      <c r="J610" s="89" t="n">
        <v>40000</v>
      </c>
    </row>
    <row r="611" hidden="1" customFormat="1" s="94">
      <c r="B611" s="128" t="n">
        <v>43855</v>
      </c>
      <c r="C611" s="94">
        <f>TEXT(B611,"aaa")</f>
        <v/>
      </c>
      <c r="D611" s="94" t="inlineStr">
        <is>
          <t>네이버 쇼핑검색</t>
        </is>
      </c>
      <c r="E611" s="94" t="inlineStr">
        <is>
          <t>토너</t>
        </is>
      </c>
      <c r="J611" s="89">
        <f>4092/1.1</f>
        <v/>
      </c>
    </row>
    <row r="612" hidden="1" customFormat="1" s="94">
      <c r="B612" s="128" t="n">
        <v>43856</v>
      </c>
      <c r="C612" s="94">
        <f>TEXT(B612,"aaa")</f>
        <v/>
      </c>
      <c r="D612" s="94" t="inlineStr">
        <is>
          <t>인스타그램(랄라블라)</t>
        </is>
      </c>
      <c r="E612" s="94" t="inlineStr">
        <is>
          <t>토너</t>
        </is>
      </c>
      <c r="J612" s="89" t="n">
        <v>25052</v>
      </c>
    </row>
    <row r="613" hidden="1" customFormat="1" s="94">
      <c r="B613" s="128" t="n">
        <v>43856</v>
      </c>
      <c r="C613" s="94">
        <f>TEXT(B613,"aaa")</f>
        <v/>
      </c>
      <c r="D613" s="94" t="inlineStr">
        <is>
          <t>인스타그램(블로그)</t>
        </is>
      </c>
      <c r="E613" s="94" t="inlineStr">
        <is>
          <t>토너</t>
        </is>
      </c>
      <c r="J613" s="89" t="n">
        <v>50159</v>
      </c>
    </row>
    <row r="614" hidden="1" customFormat="1" s="94">
      <c r="B614" s="128" t="n">
        <v>43856</v>
      </c>
      <c r="C614" s="94">
        <f>TEXT(B614,"aaa")</f>
        <v/>
      </c>
      <c r="D614" s="94" t="inlineStr">
        <is>
          <t>인스타그램(전환)</t>
        </is>
      </c>
      <c r="E614" s="94" t="inlineStr">
        <is>
          <t>토너</t>
        </is>
      </c>
      <c r="J614" s="89" t="n">
        <v>593910</v>
      </c>
    </row>
    <row r="615" hidden="1" customFormat="1" s="94">
      <c r="B615" s="128" t="n">
        <v>43856</v>
      </c>
      <c r="C615" s="94">
        <f>TEXT(B615,"aaa")</f>
        <v/>
      </c>
      <c r="D615" s="94" t="inlineStr">
        <is>
          <t>네이버 브랜드검색</t>
        </is>
      </c>
      <c r="E615" s="94" t="inlineStr">
        <is>
          <t>토너</t>
        </is>
      </c>
      <c r="J615" s="89" t="n">
        <v>40000</v>
      </c>
    </row>
    <row r="616" hidden="1" customFormat="1" s="94">
      <c r="B616" s="128" t="n">
        <v>43856</v>
      </c>
      <c r="C616" s="94">
        <f>TEXT(B616,"aaa")</f>
        <v/>
      </c>
      <c r="D616" s="94" t="inlineStr">
        <is>
          <t>네이버 쇼핑검색</t>
        </is>
      </c>
      <c r="E616" s="94" t="inlineStr">
        <is>
          <t>토너</t>
        </is>
      </c>
      <c r="J616" s="89">
        <f>4246/1.1</f>
        <v/>
      </c>
    </row>
    <row r="617" hidden="1" customFormat="1" s="94">
      <c r="B617" s="128" t="n">
        <v>43857</v>
      </c>
      <c r="C617" s="94">
        <f>TEXT(B617,"aaa")</f>
        <v/>
      </c>
      <c r="D617" s="94" t="inlineStr">
        <is>
          <t>인스타그램(랄라블라)</t>
        </is>
      </c>
      <c r="E617" s="94" t="inlineStr">
        <is>
          <t>토너</t>
        </is>
      </c>
      <c r="J617" s="89" t="n">
        <v>25045</v>
      </c>
    </row>
    <row r="618" hidden="1" customFormat="1" s="94">
      <c r="B618" s="128" t="n">
        <v>43857</v>
      </c>
      <c r="C618" s="94">
        <f>TEXT(B618,"aaa")</f>
        <v/>
      </c>
      <c r="D618" s="94" t="inlineStr">
        <is>
          <t>인스타그램(블로그)</t>
        </is>
      </c>
      <c r="E618" s="94" t="inlineStr">
        <is>
          <t>토너</t>
        </is>
      </c>
      <c r="J618" s="89" t="n">
        <v>50158</v>
      </c>
    </row>
    <row r="619" hidden="1" customFormat="1" s="94">
      <c r="B619" s="128" t="n">
        <v>43857</v>
      </c>
      <c r="C619" s="94">
        <f>TEXT(B619,"aaa")</f>
        <v/>
      </c>
      <c r="D619" s="94" t="inlineStr">
        <is>
          <t>인스타그램(전환)</t>
        </is>
      </c>
      <c r="E619" s="94" t="inlineStr">
        <is>
          <t>토너</t>
        </is>
      </c>
      <c r="J619" s="89" t="n">
        <v>600972</v>
      </c>
    </row>
    <row r="620" hidden="1" customFormat="1" s="94">
      <c r="B620" s="128" t="n">
        <v>43857</v>
      </c>
      <c r="C620" s="94">
        <f>TEXT(B620,"aaa")</f>
        <v/>
      </c>
      <c r="D620" s="94" t="inlineStr">
        <is>
          <t>네이버 브랜드검색</t>
        </is>
      </c>
      <c r="E620" s="94" t="inlineStr">
        <is>
          <t>토너</t>
        </is>
      </c>
      <c r="J620" s="89" t="n">
        <v>40000</v>
      </c>
    </row>
    <row r="621" hidden="1" customFormat="1" s="94">
      <c r="B621" s="128" t="n">
        <v>43857</v>
      </c>
      <c r="C621" s="94">
        <f>TEXT(B621,"aaa")</f>
        <v/>
      </c>
      <c r="D621" s="94" t="inlineStr">
        <is>
          <t>네이버 쇼핑검색</t>
        </is>
      </c>
      <c r="E621" s="94" t="inlineStr">
        <is>
          <t>토너</t>
        </is>
      </c>
      <c r="J621" s="89">
        <f>5687/1.1</f>
        <v/>
      </c>
    </row>
    <row r="622" hidden="1" customFormat="1" s="94">
      <c r="B622" s="128" t="n">
        <v>43858</v>
      </c>
      <c r="C622" s="94">
        <f>TEXT(B622,"aaa")</f>
        <v/>
      </c>
      <c r="D622" s="94" t="inlineStr">
        <is>
          <t>인스타그램(랄라블라)</t>
        </is>
      </c>
      <c r="E622" s="94" t="inlineStr">
        <is>
          <t>토너</t>
        </is>
      </c>
      <c r="J622" s="89" t="n">
        <v>24487</v>
      </c>
    </row>
    <row r="623" hidden="1" customFormat="1" s="94">
      <c r="B623" s="128" t="n">
        <v>43858</v>
      </c>
      <c r="C623" s="94">
        <f>TEXT(B623,"aaa")</f>
        <v/>
      </c>
      <c r="D623" s="94" t="inlineStr">
        <is>
          <t>인스타그램(블로그)</t>
        </is>
      </c>
      <c r="E623" s="94" t="inlineStr">
        <is>
          <t>토너</t>
        </is>
      </c>
      <c r="J623" s="89" t="n">
        <v>48587</v>
      </c>
    </row>
    <row r="624" hidden="1" customFormat="1" s="94">
      <c r="B624" s="128" t="n">
        <v>43858</v>
      </c>
      <c r="C624" s="94">
        <f>TEXT(B624,"aaa")</f>
        <v/>
      </c>
      <c r="D624" s="94" t="inlineStr">
        <is>
          <t>인스타그램(전환)</t>
        </is>
      </c>
      <c r="E624" s="94" t="inlineStr">
        <is>
          <t>토너</t>
        </is>
      </c>
      <c r="J624" s="89" t="n">
        <v>686218</v>
      </c>
    </row>
    <row r="625" hidden="1" customFormat="1" s="94">
      <c r="B625" s="128" t="n">
        <v>43858</v>
      </c>
      <c r="C625" s="94">
        <f>TEXT(B625,"aaa")</f>
        <v/>
      </c>
      <c r="D625" s="94" t="inlineStr">
        <is>
          <t>네이버 브랜드검색</t>
        </is>
      </c>
      <c r="E625" s="94" t="inlineStr">
        <is>
          <t>토너</t>
        </is>
      </c>
      <c r="J625" s="89" t="n">
        <v>40000</v>
      </c>
    </row>
    <row r="626" hidden="1" customFormat="1" s="94">
      <c r="B626" s="128" t="n">
        <v>43858</v>
      </c>
      <c r="C626" s="94">
        <f>TEXT(B626,"aaa")</f>
        <v/>
      </c>
      <c r="D626" s="94" t="inlineStr">
        <is>
          <t>네이버 쇼핑검색</t>
        </is>
      </c>
      <c r="E626" s="94" t="inlineStr">
        <is>
          <t>토너</t>
        </is>
      </c>
      <c r="J626" s="89">
        <f>6281/1.1</f>
        <v/>
      </c>
    </row>
    <row r="627" hidden="1" customFormat="1" s="94">
      <c r="B627" s="128" t="n">
        <v>43858</v>
      </c>
      <c r="C627" s="94">
        <f>TEXT(B627,"aaa")</f>
        <v/>
      </c>
      <c r="D627" s="94" t="inlineStr">
        <is>
          <t>SMS</t>
        </is>
      </c>
      <c r="E627" s="94" t="inlineStr">
        <is>
          <t>토너</t>
        </is>
      </c>
      <c r="G627" s="94" t="inlineStr">
        <is>
          <t>블로그 작성 유도</t>
        </is>
      </c>
      <c r="J627" s="89">
        <f>4*70</f>
        <v/>
      </c>
    </row>
    <row r="628" hidden="1" customFormat="1" s="94">
      <c r="B628" s="128" t="n">
        <v>43859</v>
      </c>
      <c r="C628" s="94">
        <f>TEXT(B628,"aaa")</f>
        <v/>
      </c>
      <c r="D628" s="94" t="inlineStr">
        <is>
          <t>인스타그램(랄라블라)</t>
        </is>
      </c>
      <c r="E628" s="94" t="inlineStr">
        <is>
          <t>토너</t>
        </is>
      </c>
      <c r="J628" s="89" t="n">
        <v>25154</v>
      </c>
    </row>
    <row r="629" hidden="1" customFormat="1" s="94">
      <c r="B629" s="128" t="n">
        <v>43859</v>
      </c>
      <c r="C629" s="94">
        <f>TEXT(B629,"aaa")</f>
        <v/>
      </c>
      <c r="D629" s="94" t="inlineStr">
        <is>
          <t>인스타그램(블로그)</t>
        </is>
      </c>
      <c r="E629" s="94" t="inlineStr">
        <is>
          <t>토너</t>
        </is>
      </c>
      <c r="J629" s="89" t="n">
        <v>49075</v>
      </c>
    </row>
    <row r="630" hidden="1" customFormat="1" s="94">
      <c r="B630" s="128" t="n">
        <v>43859</v>
      </c>
      <c r="C630" s="94">
        <f>TEXT(B630,"aaa")</f>
        <v/>
      </c>
      <c r="D630" s="94" t="inlineStr">
        <is>
          <t>인스타그램(전환)</t>
        </is>
      </c>
      <c r="E630" s="94" t="inlineStr">
        <is>
          <t>토너</t>
        </is>
      </c>
      <c r="J630" s="89" t="n">
        <v>886929</v>
      </c>
    </row>
    <row r="631" hidden="1" customFormat="1" s="94">
      <c r="B631" s="128" t="n">
        <v>43859</v>
      </c>
      <c r="C631" s="94">
        <f>TEXT(B631,"aaa")</f>
        <v/>
      </c>
      <c r="D631" s="94" t="inlineStr">
        <is>
          <t>네이버 브랜드검색</t>
        </is>
      </c>
      <c r="E631" s="94" t="inlineStr">
        <is>
          <t>토너</t>
        </is>
      </c>
      <c r="J631" s="89" t="n">
        <v>40000</v>
      </c>
    </row>
    <row r="632" hidden="1" customFormat="1" s="94">
      <c r="B632" s="128" t="n">
        <v>43859</v>
      </c>
      <c r="C632" s="94">
        <f>TEXT(B632,"aaa")</f>
        <v/>
      </c>
      <c r="D632" s="94" t="inlineStr">
        <is>
          <t>네이버 쇼핑검색</t>
        </is>
      </c>
      <c r="E632" s="94" t="inlineStr">
        <is>
          <t>토너</t>
        </is>
      </c>
      <c r="J632" s="89">
        <f>10736/1.1</f>
        <v/>
      </c>
    </row>
    <row r="633" hidden="1" customFormat="1" s="94">
      <c r="B633" s="128" t="n">
        <v>43860</v>
      </c>
      <c r="C633" s="94">
        <f>TEXT(B633,"aaa")</f>
        <v/>
      </c>
      <c r="D633" s="94" t="inlineStr">
        <is>
          <t>인스타그램(랄라블라)</t>
        </is>
      </c>
      <c r="E633" s="94" t="inlineStr">
        <is>
          <t>토너</t>
        </is>
      </c>
      <c r="J633" s="89" t="n">
        <v>25112</v>
      </c>
    </row>
    <row r="634" hidden="1" customFormat="1" s="94">
      <c r="B634" s="128" t="n">
        <v>43860</v>
      </c>
      <c r="C634" s="94">
        <f>TEXT(B634,"aaa")</f>
        <v/>
      </c>
      <c r="D634" s="94" t="inlineStr">
        <is>
          <t>인스타그램(블로그)</t>
        </is>
      </c>
      <c r="E634" s="94" t="inlineStr">
        <is>
          <t>토너</t>
        </is>
      </c>
      <c r="J634" s="89" t="n">
        <v>50557</v>
      </c>
    </row>
    <row r="635" hidden="1" customFormat="1" s="94">
      <c r="B635" s="128" t="n">
        <v>43860</v>
      </c>
      <c r="C635" s="94">
        <f>TEXT(B635,"aaa")</f>
        <v/>
      </c>
      <c r="D635" s="94" t="inlineStr">
        <is>
          <t>인스타그램(전환)</t>
        </is>
      </c>
      <c r="E635" s="94" t="inlineStr">
        <is>
          <t>토너</t>
        </is>
      </c>
      <c r="J635" s="89" t="n">
        <v>877355</v>
      </c>
    </row>
    <row r="636" hidden="1" customFormat="1" s="94">
      <c r="B636" s="128" t="n">
        <v>43860</v>
      </c>
      <c r="C636" s="94">
        <f>TEXT(B636,"aaa")</f>
        <v/>
      </c>
      <c r="D636" s="94" t="inlineStr">
        <is>
          <t>인스타그램(소재 테스트)</t>
        </is>
      </c>
      <c r="E636" s="94" t="inlineStr">
        <is>
          <t>머드크림마스크</t>
        </is>
      </c>
      <c r="G636" s="94" t="inlineStr">
        <is>
          <t>키워드 발굴</t>
        </is>
      </c>
      <c r="J636" s="89" t="n">
        <v>20906</v>
      </c>
    </row>
    <row r="637" hidden="1" customFormat="1" s="94">
      <c r="B637" s="128" t="n">
        <v>43860</v>
      </c>
      <c r="C637" s="94">
        <f>TEXT(B637,"aaa")</f>
        <v/>
      </c>
      <c r="D637" s="94" t="inlineStr">
        <is>
          <t>네이버 브랜드검색</t>
        </is>
      </c>
      <c r="E637" s="94" t="inlineStr">
        <is>
          <t>토너</t>
        </is>
      </c>
      <c r="J637" s="89" t="n">
        <v>40000</v>
      </c>
    </row>
    <row r="638" hidden="1" customFormat="1" s="94">
      <c r="B638" s="128" t="n">
        <v>43860</v>
      </c>
      <c r="C638" s="94">
        <f>TEXT(B638,"aaa")</f>
        <v/>
      </c>
      <c r="D638" s="94" t="inlineStr">
        <is>
          <t>네이버 쇼핑검색</t>
        </is>
      </c>
      <c r="E638" s="94" t="inlineStr">
        <is>
          <t>토너</t>
        </is>
      </c>
      <c r="J638" s="89">
        <f>9746/1.1</f>
        <v/>
      </c>
    </row>
    <row r="639" hidden="1" customFormat="1" s="94">
      <c r="B639" s="128" t="n">
        <v>43861</v>
      </c>
      <c r="C639" s="94">
        <f>TEXT(B639,"aaa")</f>
        <v/>
      </c>
      <c r="D639" s="94" t="inlineStr">
        <is>
          <t>인스타그램(랄라블라)</t>
        </is>
      </c>
      <c r="E639" s="94" t="inlineStr">
        <is>
          <t>토너</t>
        </is>
      </c>
      <c r="J639" s="89" t="n">
        <v>24943</v>
      </c>
    </row>
    <row r="640" hidden="1" customFormat="1" s="94">
      <c r="B640" s="128" t="n">
        <v>43861</v>
      </c>
      <c r="C640" s="94">
        <f>TEXT(B640,"aaa")</f>
        <v/>
      </c>
      <c r="D640" s="94" t="inlineStr">
        <is>
          <t>인스타그램(블로그)</t>
        </is>
      </c>
      <c r="E640" s="94" t="inlineStr">
        <is>
          <t>토너</t>
        </is>
      </c>
      <c r="J640" s="89" t="n">
        <v>49605</v>
      </c>
    </row>
    <row r="641" hidden="1" customFormat="1" s="94">
      <c r="B641" s="128" t="n">
        <v>43861</v>
      </c>
      <c r="C641" s="94">
        <f>TEXT(B641,"aaa")</f>
        <v/>
      </c>
      <c r="D641" s="94" t="inlineStr">
        <is>
          <t>인스타그램(전환)</t>
        </is>
      </c>
      <c r="E641" s="94" t="inlineStr">
        <is>
          <t>토너</t>
        </is>
      </c>
      <c r="J641" s="89" t="n">
        <v>884997</v>
      </c>
    </row>
    <row r="642" hidden="1" customFormat="1" s="94">
      <c r="B642" s="128" t="n">
        <v>43861</v>
      </c>
      <c r="C642" s="94">
        <f>TEXT(B642,"aaa")</f>
        <v/>
      </c>
      <c r="D642" s="94" t="inlineStr">
        <is>
          <t>인스타그램(소재 테스트)</t>
        </is>
      </c>
      <c r="E642" s="94" t="inlineStr">
        <is>
          <t>머드크림마스크</t>
        </is>
      </c>
      <c r="G642" s="94" t="inlineStr">
        <is>
          <t>키워드 발굴</t>
        </is>
      </c>
      <c r="J642" s="89" t="n">
        <v>22089</v>
      </c>
    </row>
    <row r="643" hidden="1" customFormat="1" s="94">
      <c r="B643" s="128" t="n">
        <v>43861</v>
      </c>
      <c r="C643" s="94">
        <f>TEXT(B643,"aaa")</f>
        <v/>
      </c>
      <c r="D643" s="94" t="inlineStr">
        <is>
          <t>네이버 브랜드검색</t>
        </is>
      </c>
      <c r="E643" s="94" t="inlineStr">
        <is>
          <t>토너</t>
        </is>
      </c>
      <c r="J643" s="89" t="n">
        <v>40000</v>
      </c>
    </row>
    <row r="644" hidden="1" customFormat="1" s="94">
      <c r="B644" s="128" t="n">
        <v>43861</v>
      </c>
      <c r="C644" s="94">
        <f>TEXT(B644,"aaa")</f>
        <v/>
      </c>
      <c r="D644" s="94" t="inlineStr">
        <is>
          <t>네이버 쇼핑검색</t>
        </is>
      </c>
      <c r="E644" s="94" t="inlineStr">
        <is>
          <t>토너</t>
        </is>
      </c>
      <c r="J644" s="89">
        <f>5621/1.1</f>
        <v/>
      </c>
    </row>
    <row r="645" hidden="1" customFormat="1" s="94">
      <c r="B645" s="128" t="n">
        <v>43862</v>
      </c>
      <c r="C645" s="94">
        <f>TEXT(B645,"aaa")</f>
        <v/>
      </c>
      <c r="D645" s="94" t="inlineStr">
        <is>
          <t>인스타그램(랄라블라)</t>
        </is>
      </c>
      <c r="E645" s="94" t="inlineStr">
        <is>
          <t>토너</t>
        </is>
      </c>
      <c r="J645" s="89" t="n">
        <v>25207</v>
      </c>
    </row>
    <row r="646" hidden="1" customFormat="1" s="94">
      <c r="B646" s="128" t="n">
        <v>43862</v>
      </c>
      <c r="C646" s="94">
        <f>TEXT(B646,"aaa")</f>
        <v/>
      </c>
      <c r="D646" s="94" t="inlineStr">
        <is>
          <t>인스타그램(블로그)</t>
        </is>
      </c>
      <c r="E646" s="94" t="inlineStr">
        <is>
          <t>토너</t>
        </is>
      </c>
      <c r="J646" s="89" t="n">
        <v>51859</v>
      </c>
    </row>
    <row r="647" hidden="1" customFormat="1" s="94">
      <c r="B647" s="128" t="n">
        <v>43862</v>
      </c>
      <c r="C647" s="94">
        <f>TEXT(B647,"aaa")</f>
        <v/>
      </c>
      <c r="D647" s="94" t="inlineStr">
        <is>
          <t>인스타그램(전환)</t>
        </is>
      </c>
      <c r="E647" s="94" t="inlineStr">
        <is>
          <t>토너</t>
        </is>
      </c>
      <c r="J647" s="89" t="n">
        <v>943975</v>
      </c>
    </row>
    <row r="648" hidden="1" customFormat="1" s="94">
      <c r="B648" s="128" t="n">
        <v>43862</v>
      </c>
      <c r="C648" s="94">
        <f>TEXT(B648,"aaa")</f>
        <v/>
      </c>
      <c r="D648" s="94" t="inlineStr">
        <is>
          <t>네이버 브랜드검색</t>
        </is>
      </c>
      <c r="E648" s="94" t="inlineStr">
        <is>
          <t>토너</t>
        </is>
      </c>
      <c r="J648" s="89" t="n">
        <v>40000</v>
      </c>
    </row>
    <row r="649" hidden="1" customFormat="1" s="94">
      <c r="B649" s="128" t="n">
        <v>43862</v>
      </c>
      <c r="C649" s="94">
        <f>TEXT(B649,"aaa")</f>
        <v/>
      </c>
      <c r="D649" s="94" t="inlineStr">
        <is>
          <t>네이버 쇼핑검색</t>
        </is>
      </c>
      <c r="E649" s="94" t="inlineStr">
        <is>
          <t>토너</t>
        </is>
      </c>
      <c r="J649" s="89">
        <f>5038/1.1</f>
        <v/>
      </c>
    </row>
    <row r="650" hidden="1" customFormat="1" s="94">
      <c r="B650" s="128" t="n">
        <v>43863</v>
      </c>
      <c r="C650" s="94">
        <f>TEXT(B650,"aaa")</f>
        <v/>
      </c>
      <c r="D650" s="94" t="inlineStr">
        <is>
          <t>인스타그램(랄라블라)</t>
        </is>
      </c>
      <c r="E650" s="94" t="inlineStr">
        <is>
          <t>토너</t>
        </is>
      </c>
      <c r="J650" s="89" t="n">
        <v>25051</v>
      </c>
    </row>
    <row r="651" hidden="1" customFormat="1" s="94">
      <c r="B651" s="128" t="n">
        <v>43863</v>
      </c>
      <c r="C651" s="94">
        <f>TEXT(B651,"aaa")</f>
        <v/>
      </c>
      <c r="D651" s="94" t="inlineStr">
        <is>
          <t>인스타그램(블로그)</t>
        </is>
      </c>
      <c r="E651" s="94" t="inlineStr">
        <is>
          <t>토너</t>
        </is>
      </c>
      <c r="J651" s="89" t="n">
        <v>50262</v>
      </c>
    </row>
    <row r="652" hidden="1" customFormat="1" s="94">
      <c r="B652" s="128" t="n">
        <v>43863</v>
      </c>
      <c r="C652" s="94">
        <f>TEXT(B652,"aaa")</f>
        <v/>
      </c>
      <c r="D652" s="94" t="inlineStr">
        <is>
          <t>인스타그램(전환)</t>
        </is>
      </c>
      <c r="E652" s="94" t="inlineStr">
        <is>
          <t>토너</t>
        </is>
      </c>
      <c r="J652" s="89" t="n">
        <v>940952</v>
      </c>
    </row>
    <row r="653" hidden="1" customFormat="1" s="94">
      <c r="B653" s="128" t="n">
        <v>43863</v>
      </c>
      <c r="C653" s="94">
        <f>TEXT(B653,"aaa")</f>
        <v/>
      </c>
      <c r="D653" s="94" t="inlineStr">
        <is>
          <t>네이버 브랜드검색</t>
        </is>
      </c>
      <c r="E653" s="94" t="inlineStr">
        <is>
          <t>토너</t>
        </is>
      </c>
      <c r="J653" s="89" t="n">
        <v>40000</v>
      </c>
    </row>
    <row r="654" hidden="1" customFormat="1" s="94">
      <c r="B654" s="128" t="n">
        <v>43863</v>
      </c>
      <c r="C654" s="94">
        <f>TEXT(B654,"aaa")</f>
        <v/>
      </c>
      <c r="D654" s="94" t="inlineStr">
        <is>
          <t>네이버 쇼핑검색</t>
        </is>
      </c>
      <c r="E654" s="94" t="inlineStr">
        <is>
          <t>토너</t>
        </is>
      </c>
      <c r="J654" s="89">
        <f>5929/1.1</f>
        <v/>
      </c>
    </row>
    <row r="655" hidden="1" customFormat="1" s="94">
      <c r="B655" s="128" t="n">
        <v>43864</v>
      </c>
      <c r="C655" s="94">
        <f>TEXT(B655,"aaa")</f>
        <v/>
      </c>
      <c r="D655" s="94" t="inlineStr">
        <is>
          <t>인스타그램(랄라블라)</t>
        </is>
      </c>
      <c r="E655" s="94" t="inlineStr">
        <is>
          <t>토너</t>
        </is>
      </c>
      <c r="J655" s="89" t="n">
        <v>24985</v>
      </c>
    </row>
    <row r="656" hidden="1" customFormat="1" s="94">
      <c r="B656" s="128" t="n">
        <v>43864</v>
      </c>
      <c r="C656" s="94">
        <f>TEXT(B656,"aaa")</f>
        <v/>
      </c>
      <c r="D656" s="94" t="inlineStr">
        <is>
          <t>인스타그램(블로그)</t>
        </is>
      </c>
      <c r="E656" s="94" t="inlineStr">
        <is>
          <t>토너</t>
        </is>
      </c>
      <c r="J656" s="89" t="n">
        <v>48641</v>
      </c>
    </row>
    <row r="657" hidden="1" customFormat="1" s="94">
      <c r="B657" s="128" t="n">
        <v>43864</v>
      </c>
      <c r="C657" s="94">
        <f>TEXT(B657,"aaa")</f>
        <v/>
      </c>
      <c r="D657" s="94" t="inlineStr">
        <is>
          <t>인스타그램(전환)</t>
        </is>
      </c>
      <c r="E657" s="94" t="inlineStr">
        <is>
          <t>토너</t>
        </is>
      </c>
      <c r="J657" s="89" t="n">
        <v>967479</v>
      </c>
    </row>
    <row r="658" hidden="1" customFormat="1" s="94">
      <c r="B658" s="128" t="n">
        <v>43864</v>
      </c>
      <c r="C658" s="94">
        <f>TEXT(B658,"aaa")</f>
        <v/>
      </c>
      <c r="D658" s="94" t="inlineStr">
        <is>
          <t>네이버 브랜드검색</t>
        </is>
      </c>
      <c r="E658" s="94" t="inlineStr">
        <is>
          <t>토너</t>
        </is>
      </c>
      <c r="J658" s="89" t="n">
        <v>40000</v>
      </c>
    </row>
    <row r="659" hidden="1" customFormat="1" s="94">
      <c r="B659" s="128" t="n">
        <v>43864</v>
      </c>
      <c r="C659" s="94">
        <f>TEXT(B659,"aaa")</f>
        <v/>
      </c>
      <c r="D659" s="94" t="inlineStr">
        <is>
          <t>네이버 쇼핑검색</t>
        </is>
      </c>
      <c r="E659" s="94" t="inlineStr">
        <is>
          <t>토너</t>
        </is>
      </c>
      <c r="J659" s="89" t="n">
        <v>3770</v>
      </c>
    </row>
    <row r="660" hidden="1" customFormat="1" s="94">
      <c r="B660" s="128" t="n">
        <v>43865</v>
      </c>
      <c r="C660" s="94">
        <f>TEXT(B660,"aaa")</f>
        <v/>
      </c>
      <c r="D660" s="94" t="inlineStr">
        <is>
          <t>인스타그램(랄라블라)</t>
        </is>
      </c>
      <c r="E660" s="94" t="inlineStr">
        <is>
          <t>토너</t>
        </is>
      </c>
      <c r="J660" s="89" t="n">
        <v>24994</v>
      </c>
    </row>
    <row r="661" hidden="1" customFormat="1" s="94">
      <c r="B661" s="128" t="n">
        <v>43865</v>
      </c>
      <c r="C661" s="94">
        <f>TEXT(B661,"aaa")</f>
        <v/>
      </c>
      <c r="D661" s="94" t="inlineStr">
        <is>
          <t>인스타그램(블로그)</t>
        </is>
      </c>
      <c r="E661" s="94" t="inlineStr">
        <is>
          <t>토너</t>
        </is>
      </c>
      <c r="J661" s="89" t="n">
        <v>49541</v>
      </c>
    </row>
    <row r="662" hidden="1" customFormat="1" s="94">
      <c r="B662" s="128" t="n">
        <v>43865</v>
      </c>
      <c r="C662" s="94">
        <f>TEXT(B662,"aaa")</f>
        <v/>
      </c>
      <c r="D662" s="94" t="inlineStr">
        <is>
          <t>인스타그램(전환)</t>
        </is>
      </c>
      <c r="E662" s="94" t="inlineStr">
        <is>
          <t>토너</t>
        </is>
      </c>
      <c r="J662" s="89" t="n">
        <v>778733</v>
      </c>
    </row>
    <row r="663" hidden="1" customFormat="1" s="94">
      <c r="B663" s="128" t="n">
        <v>43865</v>
      </c>
      <c r="C663" s="94">
        <f>TEXT(B663,"aaa")</f>
        <v/>
      </c>
      <c r="D663" s="94" t="inlineStr">
        <is>
          <t>네이버 브랜드검색</t>
        </is>
      </c>
      <c r="E663" s="94" t="inlineStr">
        <is>
          <t>토너</t>
        </is>
      </c>
      <c r="J663" s="89" t="n">
        <v>40000</v>
      </c>
    </row>
    <row r="664" hidden="1" customFormat="1" s="94">
      <c r="B664" s="128" t="n">
        <v>43865</v>
      </c>
      <c r="C664" s="94">
        <f>TEXT(B664,"aaa")</f>
        <v/>
      </c>
      <c r="D664" s="94" t="inlineStr">
        <is>
          <t>네이버 쇼핑검색</t>
        </is>
      </c>
      <c r="E664" s="94" t="inlineStr">
        <is>
          <t>토너</t>
        </is>
      </c>
      <c r="J664" s="89" t="n">
        <v>2760</v>
      </c>
    </row>
    <row r="665" hidden="1" customFormat="1" s="94">
      <c r="B665" s="128" t="n">
        <v>43866</v>
      </c>
      <c r="C665" s="94">
        <f>TEXT(B665,"aaa")</f>
        <v/>
      </c>
      <c r="D665" s="94" t="inlineStr">
        <is>
          <t>인스타그램(랄라블라)</t>
        </is>
      </c>
      <c r="E665" s="94" t="inlineStr">
        <is>
          <t>토너</t>
        </is>
      </c>
      <c r="J665" s="89" t="n">
        <v>24996</v>
      </c>
    </row>
    <row r="666" hidden="1" customFormat="1" s="94">
      <c r="B666" s="128" t="n">
        <v>43866</v>
      </c>
      <c r="C666" s="94">
        <f>TEXT(B666,"aaa")</f>
        <v/>
      </c>
      <c r="D666" s="94" t="inlineStr">
        <is>
          <t>인스타그램(블로그)</t>
        </is>
      </c>
      <c r="E666" s="94" t="inlineStr">
        <is>
          <t>토너</t>
        </is>
      </c>
      <c r="J666" s="89" t="n">
        <v>49920</v>
      </c>
    </row>
    <row r="667" hidden="1" customFormat="1" s="94">
      <c r="B667" s="128" t="n">
        <v>43866</v>
      </c>
      <c r="C667" s="94">
        <f>TEXT(B667,"aaa")</f>
        <v/>
      </c>
      <c r="D667" s="94" t="inlineStr">
        <is>
          <t>인스타그램(전환)</t>
        </is>
      </c>
      <c r="E667" s="94" t="inlineStr">
        <is>
          <t>토너</t>
        </is>
      </c>
      <c r="J667" s="89" t="n">
        <v>783943</v>
      </c>
    </row>
    <row r="668" hidden="1" customFormat="1" s="94">
      <c r="B668" s="128" t="n">
        <v>43866</v>
      </c>
      <c r="C668" s="94">
        <f>TEXT(B668,"aaa")</f>
        <v/>
      </c>
      <c r="D668" s="94" t="inlineStr">
        <is>
          <t>네이버 브랜드검색</t>
        </is>
      </c>
      <c r="E668" s="94" t="inlineStr">
        <is>
          <t>토너</t>
        </is>
      </c>
      <c r="J668" s="89" t="n">
        <v>40000</v>
      </c>
    </row>
    <row r="669" hidden="1" customFormat="1" s="94">
      <c r="B669" s="128" t="n">
        <v>43866</v>
      </c>
      <c r="C669" s="94">
        <f>TEXT(B669,"aaa")</f>
        <v/>
      </c>
      <c r="D669" s="94" t="inlineStr">
        <is>
          <t>네이버 쇼핑검색</t>
        </is>
      </c>
      <c r="E669" s="94" t="inlineStr">
        <is>
          <t>토너</t>
        </is>
      </c>
      <c r="J669" s="89" t="n">
        <v>2300</v>
      </c>
    </row>
    <row r="670" hidden="1" customFormat="1" s="94">
      <c r="B670" s="128" t="n">
        <v>43867</v>
      </c>
      <c r="C670" s="94">
        <f>TEXT(B670,"aaa")</f>
        <v/>
      </c>
      <c r="D670" s="94" t="inlineStr">
        <is>
          <t>인스타그램(랄라블라)</t>
        </is>
      </c>
      <c r="E670" s="94" t="inlineStr">
        <is>
          <t>토너</t>
        </is>
      </c>
      <c r="J670" s="89" t="n">
        <v>23266</v>
      </c>
    </row>
    <row r="671" hidden="1" customFormat="1" s="94">
      <c r="B671" s="128" t="n">
        <v>43867</v>
      </c>
      <c r="C671" s="94">
        <f>TEXT(B671,"aaa")</f>
        <v/>
      </c>
      <c r="D671" s="94" t="inlineStr">
        <is>
          <t>인스타그램(블로그)</t>
        </is>
      </c>
      <c r="E671" s="94" t="inlineStr">
        <is>
          <t>토너</t>
        </is>
      </c>
      <c r="J671" s="89" t="n">
        <v>49386</v>
      </c>
    </row>
    <row r="672" hidden="1" customFormat="1" s="94">
      <c r="B672" s="128" t="n">
        <v>43867</v>
      </c>
      <c r="C672" s="94">
        <f>TEXT(B672,"aaa")</f>
        <v/>
      </c>
      <c r="D672" s="94" t="inlineStr">
        <is>
          <t>인스타그램(전환)</t>
        </is>
      </c>
      <c r="E672" s="94" t="inlineStr">
        <is>
          <t>토너</t>
        </is>
      </c>
      <c r="J672" s="89" t="n">
        <v>783018</v>
      </c>
    </row>
    <row r="673" hidden="1" customFormat="1" s="94">
      <c r="B673" s="128" t="n">
        <v>43867</v>
      </c>
      <c r="C673" s="94">
        <f>TEXT(B673,"aaa")</f>
        <v/>
      </c>
      <c r="D673" s="94" t="inlineStr">
        <is>
          <t>네이버 브랜드검색</t>
        </is>
      </c>
      <c r="E673" s="94" t="inlineStr">
        <is>
          <t>토너</t>
        </is>
      </c>
      <c r="J673" s="89" t="n">
        <v>40000</v>
      </c>
    </row>
    <row r="674" hidden="1" customFormat="1" s="94">
      <c r="B674" s="128" t="n">
        <v>43867</v>
      </c>
      <c r="C674" s="94">
        <f>TEXT(B674,"aaa")</f>
        <v/>
      </c>
      <c r="D674" s="94" t="inlineStr">
        <is>
          <t>네이버 쇼핑검색</t>
        </is>
      </c>
      <c r="E674" s="94" t="inlineStr">
        <is>
          <t>토너</t>
        </is>
      </c>
      <c r="J674" s="89" t="n">
        <v>1420</v>
      </c>
    </row>
    <row r="675" hidden="1" customFormat="1" s="94">
      <c r="B675" s="128" t="n">
        <v>43868</v>
      </c>
      <c r="C675" s="94">
        <f>TEXT(B675,"aaa")</f>
        <v/>
      </c>
      <c r="D675" s="94" t="inlineStr">
        <is>
          <t>인스타그램(랄라블라)</t>
        </is>
      </c>
      <c r="E675" s="94" t="inlineStr">
        <is>
          <t>토너</t>
        </is>
      </c>
      <c r="J675" s="89" t="n">
        <v>25901</v>
      </c>
    </row>
    <row r="676" hidden="1" customFormat="1" s="94">
      <c r="B676" s="128" t="n">
        <v>43868</v>
      </c>
      <c r="C676" s="94">
        <f>TEXT(B676,"aaa")</f>
        <v/>
      </c>
      <c r="D676" s="94" t="inlineStr">
        <is>
          <t>인스타그램(블로그)</t>
        </is>
      </c>
      <c r="E676" s="94" t="inlineStr">
        <is>
          <t>토너</t>
        </is>
      </c>
      <c r="J676" s="89" t="n">
        <v>49270</v>
      </c>
    </row>
    <row r="677" hidden="1" customFormat="1" s="94">
      <c r="B677" s="128" t="n">
        <v>43868</v>
      </c>
      <c r="C677" s="94">
        <f>TEXT(B677,"aaa")</f>
        <v/>
      </c>
      <c r="D677" s="94" t="inlineStr">
        <is>
          <t>인스타그램(전환)</t>
        </is>
      </c>
      <c r="E677" s="94" t="inlineStr">
        <is>
          <t>머드크림마스크</t>
        </is>
      </c>
      <c r="J677" s="89" t="n">
        <v>67166</v>
      </c>
    </row>
    <row r="678" hidden="1" customFormat="1" s="94">
      <c r="B678" s="128" t="n">
        <v>43868</v>
      </c>
      <c r="C678" s="94">
        <f>TEXT(B678,"aaa")</f>
        <v/>
      </c>
      <c r="D678" s="94" t="inlineStr">
        <is>
          <t>인스타그램(리타게팅 전환)</t>
        </is>
      </c>
      <c r="E678" s="94" t="inlineStr">
        <is>
          <t>머드크림마스크</t>
        </is>
      </c>
      <c r="J678" s="89" t="n">
        <v>32275</v>
      </c>
    </row>
    <row r="679" hidden="1" customFormat="1" s="94">
      <c r="B679" s="128" t="n">
        <v>43868</v>
      </c>
      <c r="C679" s="94">
        <f>TEXT(B679,"aaa")</f>
        <v/>
      </c>
      <c r="D679" s="94" t="inlineStr">
        <is>
          <t>인스타그램(전환)</t>
        </is>
      </c>
      <c r="E679" s="94" t="inlineStr">
        <is>
          <t>토너</t>
        </is>
      </c>
      <c r="J679" s="89" t="n">
        <v>810349</v>
      </c>
    </row>
    <row r="680" hidden="1" customFormat="1" s="94">
      <c r="B680" s="128" t="n">
        <v>43868</v>
      </c>
      <c r="C680" s="94">
        <f>TEXT(B680,"aaa")</f>
        <v/>
      </c>
      <c r="D680" s="94" t="inlineStr">
        <is>
          <t>네이버 브랜드검색</t>
        </is>
      </c>
      <c r="E680" s="94" t="inlineStr">
        <is>
          <t>토너</t>
        </is>
      </c>
      <c r="J680" s="89" t="n">
        <v>40000</v>
      </c>
    </row>
    <row r="681" hidden="1" customFormat="1" s="94">
      <c r="B681" s="128" t="n">
        <v>43868</v>
      </c>
      <c r="C681" s="94">
        <f>TEXT(B681,"aaa")</f>
        <v/>
      </c>
      <c r="D681" s="94" t="inlineStr">
        <is>
          <t>네이버 쇼핑검색</t>
        </is>
      </c>
      <c r="E681" s="94" t="inlineStr">
        <is>
          <t>토너</t>
        </is>
      </c>
      <c r="J681" s="89" t="n">
        <v>2900</v>
      </c>
    </row>
    <row r="682" hidden="1" customFormat="1" s="94">
      <c r="B682" s="128" t="n">
        <v>43869</v>
      </c>
      <c r="C682" s="94">
        <f>TEXT(B682,"aaa")</f>
        <v/>
      </c>
      <c r="D682" s="94" t="inlineStr">
        <is>
          <t>인스타그램(랄라블라)</t>
        </is>
      </c>
      <c r="E682" s="94" t="inlineStr">
        <is>
          <t>토너</t>
        </is>
      </c>
      <c r="J682" s="89" t="n">
        <v>25807</v>
      </c>
    </row>
    <row r="683" hidden="1" customFormat="1" s="94">
      <c r="B683" s="128" t="n">
        <v>43869</v>
      </c>
      <c r="C683" s="94">
        <f>TEXT(B683,"aaa")</f>
        <v/>
      </c>
      <c r="D683" s="94" t="inlineStr">
        <is>
          <t>인스타그램(블로그)</t>
        </is>
      </c>
      <c r="E683" s="94" t="inlineStr">
        <is>
          <t>토너</t>
        </is>
      </c>
      <c r="J683" s="89" t="n">
        <v>52980</v>
      </c>
    </row>
    <row r="684" hidden="1" customFormat="1" s="94">
      <c r="B684" s="128" t="n">
        <v>43869</v>
      </c>
      <c r="C684" s="94">
        <f>TEXT(B684,"aaa")</f>
        <v/>
      </c>
      <c r="D684" s="94" t="inlineStr">
        <is>
          <t>인스타그램(전환)</t>
        </is>
      </c>
      <c r="E684" s="94" t="inlineStr">
        <is>
          <t>토너</t>
        </is>
      </c>
      <c r="J684" s="89" t="n">
        <v>834251</v>
      </c>
    </row>
    <row r="685" hidden="1" customFormat="1" s="94">
      <c r="B685" s="128" t="n">
        <v>43869</v>
      </c>
      <c r="C685" s="94">
        <f>TEXT(B685,"aaa")</f>
        <v/>
      </c>
      <c r="D685" s="94" t="inlineStr">
        <is>
          <t>네이버 브랜드검색</t>
        </is>
      </c>
      <c r="E685" s="94" t="inlineStr">
        <is>
          <t>토너</t>
        </is>
      </c>
      <c r="J685" s="89" t="n">
        <v>40000</v>
      </c>
    </row>
    <row r="686" hidden="1" customFormat="1" s="94">
      <c r="B686" s="128" t="n">
        <v>43869</v>
      </c>
      <c r="C686" s="94">
        <f>TEXT(B686,"aaa")</f>
        <v/>
      </c>
      <c r="D686" s="94" t="inlineStr">
        <is>
          <t>네이버 쇼핑검색</t>
        </is>
      </c>
      <c r="E686" s="94" t="inlineStr">
        <is>
          <t>토너</t>
        </is>
      </c>
      <c r="J686" s="89" t="n">
        <v>3510</v>
      </c>
    </row>
    <row r="687" hidden="1" customFormat="1" s="94">
      <c r="B687" s="128" t="n">
        <v>43870</v>
      </c>
      <c r="C687" s="94">
        <f>TEXT(B687,"aaa")</f>
        <v/>
      </c>
      <c r="D687" s="94" t="inlineStr">
        <is>
          <t>인스타그램(랄라블라)</t>
        </is>
      </c>
      <c r="E687" s="94" t="inlineStr">
        <is>
          <t>토너</t>
        </is>
      </c>
      <c r="J687" s="89" t="n">
        <v>25052</v>
      </c>
    </row>
    <row r="688" hidden="1" customFormat="1" s="94">
      <c r="B688" s="128" t="n">
        <v>43870</v>
      </c>
      <c r="C688" s="94">
        <f>TEXT(B688,"aaa")</f>
        <v/>
      </c>
      <c r="D688" s="94" t="inlineStr">
        <is>
          <t>인스타그램(블로그)</t>
        </is>
      </c>
      <c r="E688" s="94" t="inlineStr">
        <is>
          <t>토너</t>
        </is>
      </c>
      <c r="J688" s="89" t="n">
        <v>50187</v>
      </c>
    </row>
    <row r="689" hidden="1" customFormat="1" s="94">
      <c r="B689" s="128" t="n">
        <v>43870</v>
      </c>
      <c r="C689" s="94">
        <f>TEXT(B689,"aaa")</f>
        <v/>
      </c>
      <c r="D689" s="94" t="inlineStr">
        <is>
          <t>인스타그램(전환)</t>
        </is>
      </c>
      <c r="E689" s="94" t="inlineStr">
        <is>
          <t>토너</t>
        </is>
      </c>
      <c r="J689" s="89" t="n">
        <v>948018</v>
      </c>
    </row>
    <row r="690" hidden="1" customFormat="1" s="94">
      <c r="B690" s="128" t="n">
        <v>43870</v>
      </c>
      <c r="C690" s="94">
        <f>TEXT(B690,"aaa")</f>
        <v/>
      </c>
      <c r="D690" s="94" t="inlineStr">
        <is>
          <t>네이버 브랜드검색</t>
        </is>
      </c>
      <c r="E690" s="94" t="inlineStr">
        <is>
          <t>토너</t>
        </is>
      </c>
      <c r="J690" s="89" t="n">
        <v>40000</v>
      </c>
    </row>
    <row r="691" hidden="1" customFormat="1" s="94">
      <c r="B691" s="128" t="n">
        <v>43870</v>
      </c>
      <c r="C691" s="94">
        <f>TEXT(B691,"aaa")</f>
        <v/>
      </c>
      <c r="D691" s="94" t="inlineStr">
        <is>
          <t>네이버 쇼핑검색</t>
        </is>
      </c>
      <c r="E691" s="94" t="inlineStr">
        <is>
          <t>토너</t>
        </is>
      </c>
      <c r="J691" s="89" t="n">
        <v>1890</v>
      </c>
    </row>
    <row r="692" hidden="1" customFormat="1" s="94">
      <c r="B692" s="128" t="n">
        <v>43871</v>
      </c>
      <c r="C692" s="94">
        <f>TEXT(B692,"aaa")</f>
        <v/>
      </c>
      <c r="D692" s="94" t="inlineStr">
        <is>
          <t>인스타그램(랄라블라)</t>
        </is>
      </c>
      <c r="E692" s="94" t="inlineStr">
        <is>
          <t>토너</t>
        </is>
      </c>
      <c r="J692" s="89" t="n">
        <v>25007</v>
      </c>
    </row>
    <row r="693" hidden="1" customFormat="1" s="94">
      <c r="B693" s="128" t="n">
        <v>43871</v>
      </c>
      <c r="C693" s="94">
        <f>TEXT(B693,"aaa")</f>
        <v/>
      </c>
      <c r="D693" s="94" t="inlineStr">
        <is>
          <t>인스타그램(블로그)</t>
        </is>
      </c>
      <c r="E693" s="94" t="inlineStr">
        <is>
          <t>토너</t>
        </is>
      </c>
      <c r="J693" s="89" t="n">
        <v>48782</v>
      </c>
    </row>
    <row r="694" hidden="1" customFormat="1" s="94">
      <c r="B694" s="128" t="n">
        <v>43871</v>
      </c>
      <c r="C694" s="94">
        <f>TEXT(B694,"aaa")</f>
        <v/>
      </c>
      <c r="D694" s="94" t="inlineStr">
        <is>
          <t>인스타그램(전환)</t>
        </is>
      </c>
      <c r="E694" s="94" t="inlineStr">
        <is>
          <t>머드크림마스크</t>
        </is>
      </c>
      <c r="J694" s="89" t="n">
        <v>113411</v>
      </c>
    </row>
    <row r="695" hidden="1" customFormat="1" s="94">
      <c r="B695" s="128" t="n">
        <v>43871</v>
      </c>
      <c r="C695" s="94">
        <f>TEXT(B695,"aaa")</f>
        <v/>
      </c>
      <c r="D695" s="94" t="inlineStr">
        <is>
          <t>인스타그램(리타게팅 전환)</t>
        </is>
      </c>
      <c r="E695" s="94" t="inlineStr">
        <is>
          <t>머드크림마스크</t>
        </is>
      </c>
      <c r="J695" s="89" t="n">
        <v>57142</v>
      </c>
    </row>
    <row r="696" hidden="1" customFormat="1" s="94">
      <c r="B696" s="128" t="n">
        <v>43871</v>
      </c>
      <c r="C696" s="94">
        <f>TEXT(B696,"aaa")</f>
        <v/>
      </c>
      <c r="D696" s="94" t="inlineStr">
        <is>
          <t>인스타그램(전환)</t>
        </is>
      </c>
      <c r="E696" s="94" t="inlineStr">
        <is>
          <t>토너</t>
        </is>
      </c>
      <c r="J696" s="89" t="n">
        <v>861713</v>
      </c>
    </row>
    <row r="697" hidden="1" customFormat="1" s="94">
      <c r="B697" s="128" t="n">
        <v>43871</v>
      </c>
      <c r="C697" s="94">
        <f>TEXT(B697,"aaa")</f>
        <v/>
      </c>
      <c r="D697" s="94" t="inlineStr">
        <is>
          <t>네이버 브랜드검색</t>
        </is>
      </c>
      <c r="E697" s="94" t="inlineStr">
        <is>
          <t>토너</t>
        </is>
      </c>
      <c r="J697" s="89" t="n">
        <v>40000</v>
      </c>
    </row>
    <row r="698" hidden="1" customFormat="1" s="94">
      <c r="B698" s="128" t="n">
        <v>43871</v>
      </c>
      <c r="C698" s="94">
        <f>TEXT(B698,"aaa")</f>
        <v/>
      </c>
      <c r="D698" s="94" t="inlineStr">
        <is>
          <t>네이버 쇼핑검색</t>
        </is>
      </c>
      <c r="E698" s="94" t="inlineStr">
        <is>
          <t>토너</t>
        </is>
      </c>
      <c r="J698" s="89" t="n">
        <v>5060</v>
      </c>
    </row>
    <row r="699" hidden="1" customFormat="1" s="94">
      <c r="B699" s="128" t="n">
        <v>43872</v>
      </c>
      <c r="C699" s="94">
        <f>TEXT(B699,"aaa")</f>
        <v/>
      </c>
      <c r="D699" s="94" t="inlineStr">
        <is>
          <t>인스타그램(랄라블라)</t>
        </is>
      </c>
      <c r="E699" s="94" t="inlineStr">
        <is>
          <t>토너</t>
        </is>
      </c>
      <c r="J699" s="89" t="n">
        <v>25031</v>
      </c>
    </row>
    <row r="700" hidden="1" customFormat="1" s="94">
      <c r="B700" s="128" t="n">
        <v>43872</v>
      </c>
      <c r="C700" s="94">
        <f>TEXT(B700,"aaa")</f>
        <v/>
      </c>
      <c r="D700" s="94" t="inlineStr">
        <is>
          <t>인스타그램(블로그)</t>
        </is>
      </c>
      <c r="E700" s="94" t="inlineStr">
        <is>
          <t>토너</t>
        </is>
      </c>
      <c r="J700" s="89" t="n">
        <v>50367</v>
      </c>
    </row>
    <row r="701" hidden="1" customFormat="1" s="94">
      <c r="B701" s="128" t="n">
        <v>43872</v>
      </c>
      <c r="C701" s="94">
        <f>TEXT(B701,"aaa")</f>
        <v/>
      </c>
      <c r="D701" s="94" t="inlineStr">
        <is>
          <t>인스타그램(전환)</t>
        </is>
      </c>
      <c r="E701" s="94" t="inlineStr">
        <is>
          <t>머드크림마스크</t>
        </is>
      </c>
      <c r="J701" s="89" t="n">
        <v>115027</v>
      </c>
    </row>
    <row r="702" hidden="1" customFormat="1" s="94">
      <c r="B702" s="128" t="n">
        <v>43872</v>
      </c>
      <c r="C702" s="94">
        <f>TEXT(B702,"aaa")</f>
        <v/>
      </c>
      <c r="D702" s="94" t="inlineStr">
        <is>
          <t>인스타그램(리타게팅 전환)</t>
        </is>
      </c>
      <c r="E702" s="94" t="inlineStr">
        <is>
          <t>머드크림마스크</t>
        </is>
      </c>
      <c r="J702" s="89" t="n">
        <v>79711</v>
      </c>
    </row>
    <row r="703" hidden="1" customFormat="1" s="94">
      <c r="B703" s="128" t="n">
        <v>43872</v>
      </c>
      <c r="C703" s="94">
        <f>TEXT(B703,"aaa")</f>
        <v/>
      </c>
      <c r="D703" s="94" t="inlineStr">
        <is>
          <t>인스타그램(전환)</t>
        </is>
      </c>
      <c r="E703" s="94" t="inlineStr">
        <is>
          <t>토너</t>
        </is>
      </c>
      <c r="J703" s="89" t="n">
        <v>1046622</v>
      </c>
    </row>
    <row r="704" hidden="1" customFormat="1" s="94">
      <c r="B704" s="128" t="n">
        <v>43872</v>
      </c>
      <c r="C704" s="94">
        <f>TEXT(B704,"aaa")</f>
        <v/>
      </c>
      <c r="D704" s="94" t="inlineStr">
        <is>
          <t>네이버 브랜드검색</t>
        </is>
      </c>
      <c r="E704" s="94" t="inlineStr">
        <is>
          <t>토너</t>
        </is>
      </c>
      <c r="J704" s="89" t="n">
        <v>40000</v>
      </c>
    </row>
    <row r="705" hidden="1" customFormat="1" s="94">
      <c r="B705" s="128" t="n">
        <v>43872</v>
      </c>
      <c r="C705" s="94">
        <f>TEXT(B705,"aaa")</f>
        <v/>
      </c>
      <c r="D705" s="94" t="inlineStr">
        <is>
          <t>네이버 쇼핑검색</t>
        </is>
      </c>
      <c r="E705" s="94" t="inlineStr">
        <is>
          <t>토너</t>
        </is>
      </c>
      <c r="J705" s="89" t="n">
        <v>7399.999999999999</v>
      </c>
    </row>
    <row r="706" hidden="1" customFormat="1" s="94">
      <c r="B706" s="128" t="n">
        <v>43873</v>
      </c>
      <c r="C706" s="94">
        <f>TEXT(B706,"aaa")</f>
        <v/>
      </c>
      <c r="D706" s="94" t="inlineStr">
        <is>
          <t>인스타그램(랄라블라)</t>
        </is>
      </c>
      <c r="E706" s="94" t="inlineStr">
        <is>
          <t>토너</t>
        </is>
      </c>
      <c r="J706" s="89" t="n">
        <v>24956</v>
      </c>
    </row>
    <row r="707" hidden="1" customFormat="1" s="94">
      <c r="B707" s="128" t="n">
        <v>43873</v>
      </c>
      <c r="C707" s="94">
        <f>TEXT(B707,"aaa")</f>
        <v/>
      </c>
      <c r="D707" s="94" t="inlineStr">
        <is>
          <t>인스타그램(블로그)</t>
        </is>
      </c>
      <c r="E707" s="94" t="inlineStr">
        <is>
          <t>토너</t>
        </is>
      </c>
      <c r="J707" s="89" t="n">
        <v>49536</v>
      </c>
    </row>
    <row r="708" hidden="1" customFormat="1" s="94">
      <c r="B708" s="128" t="n">
        <v>43873</v>
      </c>
      <c r="C708" s="94">
        <f>TEXT(B708,"aaa")</f>
        <v/>
      </c>
      <c r="D708" s="94" t="inlineStr">
        <is>
          <t>인스타그램(전환)</t>
        </is>
      </c>
      <c r="E708" s="94" t="inlineStr">
        <is>
          <t>머드크림마스크</t>
        </is>
      </c>
      <c r="J708" s="89" t="n">
        <v>128474</v>
      </c>
    </row>
    <row r="709" hidden="1" customFormat="1" s="94">
      <c r="B709" s="128" t="n">
        <v>43873</v>
      </c>
      <c r="C709" s="94">
        <f>TEXT(B709,"aaa")</f>
        <v/>
      </c>
      <c r="D709" s="94" t="inlineStr">
        <is>
          <t>인스타그램(리타게팅 전환)</t>
        </is>
      </c>
      <c r="E709" s="94" t="inlineStr">
        <is>
          <t>머드크림마스크</t>
        </is>
      </c>
      <c r="J709" s="89" t="n">
        <v>95244</v>
      </c>
    </row>
    <row r="710" hidden="1" customFormat="1" s="94">
      <c r="B710" s="128" t="n">
        <v>43873</v>
      </c>
      <c r="C710" s="94">
        <f>TEXT(B710,"aaa")</f>
        <v/>
      </c>
      <c r="D710" s="94" t="inlineStr">
        <is>
          <t>인스타그램(전환)</t>
        </is>
      </c>
      <c r="E710" s="94" t="inlineStr">
        <is>
          <t>토너</t>
        </is>
      </c>
      <c r="J710" s="89" t="n">
        <v>1273431</v>
      </c>
    </row>
    <row r="711" hidden="1" customFormat="1" s="94">
      <c r="B711" s="128" t="n">
        <v>43873</v>
      </c>
      <c r="C711" s="94">
        <f>TEXT(B711,"aaa")</f>
        <v/>
      </c>
      <c r="D711" s="94" t="inlineStr">
        <is>
          <t>네이버 브랜드검색</t>
        </is>
      </c>
      <c r="E711" s="94" t="inlineStr">
        <is>
          <t>토너</t>
        </is>
      </c>
      <c r="J711" s="89" t="n">
        <v>40000</v>
      </c>
    </row>
    <row r="712" hidden="1" customFormat="1" s="94">
      <c r="B712" s="128" t="n">
        <v>43873</v>
      </c>
      <c r="C712" s="94">
        <f>TEXT(B712,"aaa")</f>
        <v/>
      </c>
      <c r="D712" s="94" t="inlineStr">
        <is>
          <t>네이버 쇼핑검색</t>
        </is>
      </c>
      <c r="E712" s="94" t="inlineStr">
        <is>
          <t>토너</t>
        </is>
      </c>
      <c r="J712" s="89" t="n">
        <v>6149.999999999999</v>
      </c>
    </row>
    <row r="713" hidden="1" customFormat="1" s="94">
      <c r="B713" s="128" t="n">
        <v>43874</v>
      </c>
      <c r="C713" s="94">
        <f>TEXT(B713,"aaa")</f>
        <v/>
      </c>
      <c r="D713" s="94" t="inlineStr">
        <is>
          <t>인스타그램(랄라블라)</t>
        </is>
      </c>
      <c r="E713" s="94" t="inlineStr">
        <is>
          <t>토너</t>
        </is>
      </c>
      <c r="J713" s="89" t="n">
        <v>24314</v>
      </c>
    </row>
    <row r="714" hidden="1" customFormat="1" s="94">
      <c r="B714" s="128" t="n">
        <v>43874</v>
      </c>
      <c r="C714" s="94">
        <f>TEXT(B714,"aaa")</f>
        <v/>
      </c>
      <c r="D714" s="94" t="inlineStr">
        <is>
          <t>인스타그램(블로그)</t>
        </is>
      </c>
      <c r="E714" s="94" t="inlineStr">
        <is>
          <t>토너</t>
        </is>
      </c>
      <c r="J714" s="89" t="n">
        <v>48891</v>
      </c>
    </row>
    <row r="715" hidden="1" customFormat="1" s="94">
      <c r="B715" s="128" t="n">
        <v>43874</v>
      </c>
      <c r="C715" s="94">
        <f>TEXT(B715,"aaa")</f>
        <v/>
      </c>
      <c r="D715" s="94" t="inlineStr">
        <is>
          <t>인스타그램(전환)</t>
        </is>
      </c>
      <c r="E715" s="94" t="inlineStr">
        <is>
          <t>머드크림마스크</t>
        </is>
      </c>
      <c r="J715" s="89" t="n">
        <v>141392</v>
      </c>
    </row>
    <row r="716" hidden="1" customFormat="1" s="94">
      <c r="B716" s="128" t="n">
        <v>43874</v>
      </c>
      <c r="C716" s="94">
        <f>TEXT(B716,"aaa")</f>
        <v/>
      </c>
      <c r="D716" s="94" t="inlineStr">
        <is>
          <t>인스타그램(리타게팅 전환)</t>
        </is>
      </c>
      <c r="E716" s="94" t="inlineStr">
        <is>
          <t>머드크림마스크</t>
        </is>
      </c>
      <c r="J716" s="89" t="n">
        <v>96100</v>
      </c>
    </row>
    <row r="717" hidden="1" customFormat="1" s="94">
      <c r="B717" s="128" t="n">
        <v>43874</v>
      </c>
      <c r="C717" s="94">
        <f>TEXT(B717,"aaa")</f>
        <v/>
      </c>
      <c r="D717" s="94" t="inlineStr">
        <is>
          <t>인스타그램(전환)</t>
        </is>
      </c>
      <c r="E717" s="94" t="inlineStr">
        <is>
          <t>토너</t>
        </is>
      </c>
      <c r="J717" s="89" t="n">
        <v>977869</v>
      </c>
    </row>
    <row r="718" hidden="1" customFormat="1" s="94">
      <c r="B718" s="128" t="n">
        <v>43874</v>
      </c>
      <c r="C718" s="94">
        <f>TEXT(B718,"aaa")</f>
        <v/>
      </c>
      <c r="D718" s="94" t="inlineStr">
        <is>
          <t>네이버 브랜드검색</t>
        </is>
      </c>
      <c r="E718" s="94" t="inlineStr">
        <is>
          <t>토너</t>
        </is>
      </c>
      <c r="J718" s="89" t="n">
        <v>40000</v>
      </c>
    </row>
    <row r="719" hidden="1" customFormat="1" s="94">
      <c r="B719" s="128" t="n">
        <v>43874</v>
      </c>
      <c r="C719" s="94">
        <f>TEXT(B719,"aaa")</f>
        <v/>
      </c>
      <c r="D719" s="94" t="inlineStr">
        <is>
          <t>네이버 쇼핑검색</t>
        </is>
      </c>
      <c r="E719" s="94" t="inlineStr">
        <is>
          <t>토너</t>
        </is>
      </c>
      <c r="J719" s="89" t="n">
        <v>7049.999999999999</v>
      </c>
    </row>
    <row r="720" hidden="1" customFormat="1" s="94">
      <c r="B720" s="128" t="n">
        <v>43875</v>
      </c>
      <c r="C720" s="94">
        <f>TEXT(B720,"aaa")</f>
        <v/>
      </c>
      <c r="D720" s="94" t="inlineStr">
        <is>
          <t>인스타그램(랄라블라)</t>
        </is>
      </c>
      <c r="E720" s="94" t="inlineStr">
        <is>
          <t>토너</t>
        </is>
      </c>
      <c r="J720" s="89" t="n">
        <v>25092</v>
      </c>
    </row>
    <row r="721" hidden="1" customFormat="1" s="94">
      <c r="B721" s="128" t="n">
        <v>43875</v>
      </c>
      <c r="C721" s="94">
        <f>TEXT(B721,"aaa")</f>
        <v/>
      </c>
      <c r="D721" s="94" t="inlineStr">
        <is>
          <t>인스타그램(블로그)</t>
        </is>
      </c>
      <c r="E721" s="94" t="inlineStr">
        <is>
          <t>토너</t>
        </is>
      </c>
      <c r="J721" s="89" t="n">
        <v>49140</v>
      </c>
    </row>
    <row r="722" hidden="1" customFormat="1" s="94">
      <c r="B722" s="128" t="n">
        <v>43875</v>
      </c>
      <c r="C722" s="94">
        <f>TEXT(B722,"aaa")</f>
        <v/>
      </c>
      <c r="D722" s="94" t="inlineStr">
        <is>
          <t>인스타그램(전환)</t>
        </is>
      </c>
      <c r="E722" s="94" t="inlineStr">
        <is>
          <t>머드크림마스크</t>
        </is>
      </c>
      <c r="J722" s="89" t="n">
        <v>141363</v>
      </c>
    </row>
    <row r="723" hidden="1" customFormat="1" s="94">
      <c r="B723" s="128" t="n">
        <v>43875</v>
      </c>
      <c r="C723" s="94">
        <f>TEXT(B723,"aaa")</f>
        <v/>
      </c>
      <c r="D723" s="94" t="inlineStr">
        <is>
          <t>인스타그램(리타게팅 전환)</t>
        </is>
      </c>
      <c r="E723" s="94" t="inlineStr">
        <is>
          <t>머드크림마스크</t>
        </is>
      </c>
      <c r="J723" s="89" t="n">
        <v>97370</v>
      </c>
    </row>
    <row r="724" hidden="1" customFormat="1" s="94">
      <c r="B724" s="128" t="n">
        <v>43875</v>
      </c>
      <c r="C724" s="94">
        <f>TEXT(B724,"aaa")</f>
        <v/>
      </c>
      <c r="D724" s="94" t="inlineStr">
        <is>
          <t>인스타그램(전환)</t>
        </is>
      </c>
      <c r="E724" s="94" t="inlineStr">
        <is>
          <t>토너</t>
        </is>
      </c>
      <c r="J724" s="89" t="n">
        <v>915783</v>
      </c>
    </row>
    <row r="725" hidden="1" customFormat="1" s="94">
      <c r="B725" s="128" t="n">
        <v>43875</v>
      </c>
      <c r="C725" s="94">
        <f>TEXT(B725,"aaa")</f>
        <v/>
      </c>
      <c r="D725" s="94" t="inlineStr">
        <is>
          <t>네이버 브랜드검색</t>
        </is>
      </c>
      <c r="E725" s="94" t="inlineStr">
        <is>
          <t>토너</t>
        </is>
      </c>
      <c r="J725" s="89" t="n">
        <v>40000</v>
      </c>
    </row>
    <row r="726" hidden="1" customFormat="1" s="94">
      <c r="B726" s="128" t="n">
        <v>43875</v>
      </c>
      <c r="C726" s="94">
        <f>TEXT(B726,"aaa")</f>
        <v/>
      </c>
      <c r="D726" s="94" t="inlineStr">
        <is>
          <t>네이버 쇼핑검색</t>
        </is>
      </c>
      <c r="E726" s="94" t="inlineStr">
        <is>
          <t>토너</t>
        </is>
      </c>
      <c r="J726" s="89" t="n">
        <v>4470</v>
      </c>
    </row>
    <row r="727" hidden="1" customFormat="1" s="94">
      <c r="B727" s="128" t="n">
        <v>43876</v>
      </c>
      <c r="C727" s="94">
        <f>TEXT(B727,"aaa")</f>
        <v/>
      </c>
      <c r="D727" s="94" t="inlineStr">
        <is>
          <t>인스타그램(랄라블라)</t>
        </is>
      </c>
      <c r="E727" s="94" t="inlineStr">
        <is>
          <t>토너</t>
        </is>
      </c>
      <c r="J727" s="89" t="n">
        <v>25548</v>
      </c>
    </row>
    <row r="728" hidden="1" customFormat="1" s="94">
      <c r="B728" s="128" t="n">
        <v>43876</v>
      </c>
      <c r="C728" s="94">
        <f>TEXT(B728,"aaa")</f>
        <v/>
      </c>
      <c r="D728" s="94" t="inlineStr">
        <is>
          <t>인스타그램(블로그)</t>
        </is>
      </c>
      <c r="E728" s="94" t="inlineStr">
        <is>
          <t>토너</t>
        </is>
      </c>
      <c r="J728" s="89" t="n">
        <v>53097</v>
      </c>
    </row>
    <row r="729" hidden="1" customFormat="1" s="94">
      <c r="B729" s="128" t="n">
        <v>43876</v>
      </c>
      <c r="C729" s="94">
        <f>TEXT(B729,"aaa")</f>
        <v/>
      </c>
      <c r="D729" s="94" t="inlineStr">
        <is>
          <t>인스타그램(전환)</t>
        </is>
      </c>
      <c r="E729" s="94" t="inlineStr">
        <is>
          <t>머드크림마스크</t>
        </is>
      </c>
      <c r="J729" s="89" t="n">
        <v>154516</v>
      </c>
    </row>
    <row r="730" hidden="1" customFormat="1" s="94">
      <c r="B730" s="128" t="n">
        <v>43876</v>
      </c>
      <c r="C730" s="94">
        <f>TEXT(B730,"aaa")</f>
        <v/>
      </c>
      <c r="D730" s="94" t="inlineStr">
        <is>
          <t>인스타그램(리타게팅 전환)</t>
        </is>
      </c>
      <c r="E730" s="94" t="inlineStr">
        <is>
          <t>머드크림마스크</t>
        </is>
      </c>
      <c r="J730" s="89" t="n">
        <v>104333</v>
      </c>
    </row>
    <row r="731" hidden="1" customFormat="1" s="94">
      <c r="B731" s="128" t="n">
        <v>43876</v>
      </c>
      <c r="C731" s="94">
        <f>TEXT(B731,"aaa")</f>
        <v/>
      </c>
      <c r="D731" s="94" t="inlineStr">
        <is>
          <t>인스타그램(전환)</t>
        </is>
      </c>
      <c r="E731" s="94" t="inlineStr">
        <is>
          <t>토너</t>
        </is>
      </c>
      <c r="J731" s="89" t="n">
        <v>860913</v>
      </c>
    </row>
    <row r="732" hidden="1" customFormat="1" s="94">
      <c r="B732" s="128" t="n">
        <v>43876</v>
      </c>
      <c r="C732" s="94">
        <f>TEXT(B732,"aaa")</f>
        <v/>
      </c>
      <c r="D732" s="94" t="inlineStr">
        <is>
          <t>네이버 브랜드검색</t>
        </is>
      </c>
      <c r="E732" s="94" t="inlineStr">
        <is>
          <t>토너</t>
        </is>
      </c>
      <c r="J732" s="89" t="n">
        <v>40000</v>
      </c>
    </row>
    <row r="733" hidden="1" customFormat="1" s="94">
      <c r="B733" s="128" t="n">
        <v>43876</v>
      </c>
      <c r="C733" s="94">
        <f>TEXT(B733,"aaa")</f>
        <v/>
      </c>
      <c r="D733" s="94" t="inlineStr">
        <is>
          <t>네이버 쇼핑검색</t>
        </is>
      </c>
      <c r="E733" s="94" t="inlineStr">
        <is>
          <t>토너</t>
        </is>
      </c>
      <c r="J733" s="89" t="n">
        <v>4030</v>
      </c>
    </row>
    <row r="734" hidden="1" customFormat="1" s="94">
      <c r="B734" s="128" t="n">
        <v>43877</v>
      </c>
      <c r="C734" s="94">
        <f>TEXT(B734,"aaa")</f>
        <v/>
      </c>
      <c r="D734" s="94" t="inlineStr">
        <is>
          <t>인스타그램(랄라블라)</t>
        </is>
      </c>
      <c r="E734" s="94" t="inlineStr">
        <is>
          <t>토너</t>
        </is>
      </c>
      <c r="J734" s="89" t="n">
        <v>25036</v>
      </c>
    </row>
    <row r="735" hidden="1" customFormat="1" s="94">
      <c r="B735" s="128" t="n">
        <v>43877</v>
      </c>
      <c r="C735" s="94">
        <f>TEXT(B735,"aaa")</f>
        <v/>
      </c>
      <c r="D735" s="94" t="inlineStr">
        <is>
          <t>인스타그램(블로그)</t>
        </is>
      </c>
      <c r="E735" s="94" t="inlineStr">
        <is>
          <t>토너</t>
        </is>
      </c>
      <c r="J735" s="89" t="n">
        <v>50151</v>
      </c>
    </row>
    <row r="736" hidden="1" customFormat="1" s="94">
      <c r="B736" s="128" t="n">
        <v>43877</v>
      </c>
      <c r="C736" s="94">
        <f>TEXT(B736,"aaa")</f>
        <v/>
      </c>
      <c r="D736" s="94" t="inlineStr">
        <is>
          <t>인스타그램(전환)</t>
        </is>
      </c>
      <c r="E736" s="94" t="inlineStr">
        <is>
          <t>머드크림마스크</t>
        </is>
      </c>
      <c r="J736" s="89" t="n">
        <v>150810</v>
      </c>
    </row>
    <row r="737" hidden="1" customFormat="1" s="94">
      <c r="B737" s="128" t="n">
        <v>43877</v>
      </c>
      <c r="C737" s="94">
        <f>TEXT(B737,"aaa")</f>
        <v/>
      </c>
      <c r="D737" s="94" t="inlineStr">
        <is>
          <t>인스타그램(리타게팅 전환)</t>
        </is>
      </c>
      <c r="E737" s="94" t="inlineStr">
        <is>
          <t>머드크림마스크</t>
        </is>
      </c>
      <c r="J737" s="89" t="n">
        <v>100567</v>
      </c>
    </row>
    <row r="738" hidden="1" customFormat="1" s="94">
      <c r="B738" s="128" t="n">
        <v>43877</v>
      </c>
      <c r="C738" s="94">
        <f>TEXT(B738,"aaa")</f>
        <v/>
      </c>
      <c r="D738" s="94" t="inlineStr">
        <is>
          <t>인스타그램(전환)</t>
        </is>
      </c>
      <c r="E738" s="94" t="inlineStr">
        <is>
          <t>토너</t>
        </is>
      </c>
      <c r="J738" s="89" t="n">
        <v>801780</v>
      </c>
    </row>
    <row r="739" hidden="1" customFormat="1" s="94">
      <c r="B739" s="128" t="n">
        <v>43877</v>
      </c>
      <c r="C739" s="94">
        <f>TEXT(B739,"aaa")</f>
        <v/>
      </c>
      <c r="D739" s="94" t="inlineStr">
        <is>
          <t>네이버 브랜드검색</t>
        </is>
      </c>
      <c r="E739" s="94" t="inlineStr">
        <is>
          <t>토너</t>
        </is>
      </c>
      <c r="J739" s="89" t="n">
        <v>40000</v>
      </c>
    </row>
    <row r="740" hidden="1" customFormat="1" s="94">
      <c r="B740" s="128" t="n">
        <v>43877</v>
      </c>
      <c r="C740" s="94">
        <f>TEXT(B740,"aaa")</f>
        <v/>
      </c>
      <c r="D740" s="94" t="inlineStr">
        <is>
          <t>네이버 쇼핑검색</t>
        </is>
      </c>
      <c r="E740" s="94" t="inlineStr">
        <is>
          <t>토너</t>
        </is>
      </c>
      <c r="J740" s="89" t="n">
        <v>3150</v>
      </c>
    </row>
    <row r="741" hidden="1" customFormat="1" s="94">
      <c r="B741" s="128" t="n">
        <v>43878</v>
      </c>
      <c r="C741" s="94">
        <f>TEXT(B741,"aaa")</f>
        <v/>
      </c>
      <c r="D741" s="94" t="inlineStr">
        <is>
          <t>인스타그램(랄라블라)</t>
        </is>
      </c>
      <c r="E741" s="94" t="inlineStr">
        <is>
          <t>토너</t>
        </is>
      </c>
      <c r="J741" s="89" t="n">
        <v>25062</v>
      </c>
    </row>
    <row r="742" hidden="1" customFormat="1" s="94">
      <c r="B742" s="128" t="n">
        <v>43878</v>
      </c>
      <c r="C742" s="94">
        <f>TEXT(B742,"aaa")</f>
        <v/>
      </c>
      <c r="D742" s="94" t="inlineStr">
        <is>
          <t>인스타그램(블로그)</t>
        </is>
      </c>
      <c r="E742" s="94" t="inlineStr">
        <is>
          <t>토너</t>
        </is>
      </c>
      <c r="J742" s="89" t="n">
        <v>48554</v>
      </c>
    </row>
    <row r="743" hidden="1" customFormat="1" s="94">
      <c r="B743" s="128" t="n">
        <v>43878</v>
      </c>
      <c r="C743" s="94">
        <f>TEXT(B743,"aaa")</f>
        <v/>
      </c>
      <c r="D743" s="94" t="inlineStr">
        <is>
          <t>인스타그램(전환)</t>
        </is>
      </c>
      <c r="E743" s="94" t="inlineStr">
        <is>
          <t>머드크림마스크</t>
        </is>
      </c>
      <c r="J743" s="89" t="n">
        <v>145221</v>
      </c>
    </row>
    <row r="744" hidden="1" customFormat="1" s="94">
      <c r="B744" s="128" t="n">
        <v>43878</v>
      </c>
      <c r="C744" s="94">
        <f>TEXT(B744,"aaa")</f>
        <v/>
      </c>
      <c r="D744" s="94" t="inlineStr">
        <is>
          <t>인스타그램(리타게팅 전환)</t>
        </is>
      </c>
      <c r="E744" s="94" t="inlineStr">
        <is>
          <t>머드크림마스크</t>
        </is>
      </c>
      <c r="J744" s="89" t="n">
        <v>97916</v>
      </c>
    </row>
    <row r="745" hidden="1" customFormat="1" s="94">
      <c r="B745" s="128" t="n">
        <v>43878</v>
      </c>
      <c r="C745" s="94">
        <f>TEXT(B745,"aaa")</f>
        <v/>
      </c>
      <c r="D745" s="94" t="inlineStr">
        <is>
          <t>인스타그램(전환)</t>
        </is>
      </c>
      <c r="E745" s="94" t="inlineStr">
        <is>
          <t>토너</t>
        </is>
      </c>
      <c r="J745" s="89" t="n">
        <v>785804</v>
      </c>
    </row>
    <row r="746" hidden="1" customFormat="1" s="94">
      <c r="B746" s="128" t="n">
        <v>43878</v>
      </c>
      <c r="C746" s="94">
        <f>TEXT(B746,"aaa")</f>
        <v/>
      </c>
      <c r="D746" s="94" t="inlineStr">
        <is>
          <t>네이버 브랜드검색</t>
        </is>
      </c>
      <c r="E746" s="94" t="inlineStr">
        <is>
          <t>토너</t>
        </is>
      </c>
      <c r="J746" s="89" t="n">
        <v>40000</v>
      </c>
    </row>
    <row r="747" hidden="1" customFormat="1" s="94">
      <c r="B747" s="128" t="n">
        <v>43878</v>
      </c>
      <c r="C747" s="94">
        <f>TEXT(B747,"aaa")</f>
        <v/>
      </c>
      <c r="D747" s="94" t="inlineStr">
        <is>
          <t>네이버 쇼핑검색</t>
        </is>
      </c>
      <c r="E747" s="94" t="inlineStr">
        <is>
          <t>토너</t>
        </is>
      </c>
      <c r="J747" s="89" t="n">
        <v>2980</v>
      </c>
    </row>
    <row r="748" hidden="1" customFormat="1" s="94">
      <c r="B748" s="128" t="n">
        <v>43879</v>
      </c>
      <c r="C748" s="94">
        <f>TEXT(B748,"aaa")</f>
        <v/>
      </c>
      <c r="D748" s="94" t="inlineStr">
        <is>
          <t>인스타그램(랄라블라)</t>
        </is>
      </c>
      <c r="E748" s="94" t="inlineStr">
        <is>
          <t>토너</t>
        </is>
      </c>
      <c r="J748" s="89" t="n">
        <v>24148</v>
      </c>
    </row>
    <row r="749" hidden="1" customFormat="1" s="94">
      <c r="B749" s="128" t="n">
        <v>43879</v>
      </c>
      <c r="C749" s="94">
        <f>TEXT(B749,"aaa")</f>
        <v/>
      </c>
      <c r="D749" s="94" t="inlineStr">
        <is>
          <t>인스타그램(블로그)</t>
        </is>
      </c>
      <c r="E749" s="94" t="inlineStr">
        <is>
          <t>토너</t>
        </is>
      </c>
      <c r="J749" s="89" t="n">
        <v>49801</v>
      </c>
    </row>
    <row r="750" hidden="1" customFormat="1" s="94">
      <c r="B750" s="128" t="n">
        <v>43879</v>
      </c>
      <c r="C750" s="94">
        <f>TEXT(B750,"aaa")</f>
        <v/>
      </c>
      <c r="D750" s="94" t="inlineStr">
        <is>
          <t>인스타그램(전환)</t>
        </is>
      </c>
      <c r="E750" s="94" t="inlineStr">
        <is>
          <t>머드크림마스크</t>
        </is>
      </c>
      <c r="J750" s="89" t="n">
        <v>148874</v>
      </c>
    </row>
    <row r="751" hidden="1" customFormat="1" s="94">
      <c r="B751" s="128" t="n">
        <v>43879</v>
      </c>
      <c r="C751" s="94">
        <f>TEXT(B751,"aaa")</f>
        <v/>
      </c>
      <c r="D751" s="94" t="inlineStr">
        <is>
          <t>인스타그램(리타게팅 전환)</t>
        </is>
      </c>
      <c r="E751" s="94" t="inlineStr">
        <is>
          <t>머드크림마스크</t>
        </is>
      </c>
      <c r="J751" s="89" t="n">
        <v>99182</v>
      </c>
    </row>
    <row r="752" hidden="1" customFormat="1" s="94">
      <c r="B752" s="128" t="n">
        <v>43879</v>
      </c>
      <c r="C752" s="94">
        <f>TEXT(B752,"aaa")</f>
        <v/>
      </c>
      <c r="D752" s="94" t="inlineStr">
        <is>
          <t>인스타그램(전환)</t>
        </is>
      </c>
      <c r="E752" s="94" t="inlineStr">
        <is>
          <t>토너</t>
        </is>
      </c>
      <c r="J752" s="89" t="n">
        <v>816053</v>
      </c>
    </row>
    <row r="753" hidden="1" customFormat="1" s="94">
      <c r="B753" s="128" t="n">
        <v>43879</v>
      </c>
      <c r="C753" s="94">
        <f>TEXT(B753,"aaa")</f>
        <v/>
      </c>
      <c r="D753" s="94" t="inlineStr">
        <is>
          <t>네이버 브랜드검색</t>
        </is>
      </c>
      <c r="E753" s="94" t="inlineStr">
        <is>
          <t>토너</t>
        </is>
      </c>
      <c r="J753" s="89" t="n">
        <v>40000</v>
      </c>
    </row>
    <row r="754" hidden="1" customFormat="1" s="94">
      <c r="B754" s="128" t="n">
        <v>43879</v>
      </c>
      <c r="C754" s="94">
        <f>TEXT(B754,"aaa")</f>
        <v/>
      </c>
      <c r="D754" s="94" t="inlineStr">
        <is>
          <t>네이버 쇼핑검색</t>
        </is>
      </c>
      <c r="E754" s="94" t="inlineStr">
        <is>
          <t>토너</t>
        </is>
      </c>
      <c r="J754" s="89" t="n">
        <v>11840</v>
      </c>
    </row>
    <row r="755" hidden="1" customFormat="1" s="94">
      <c r="B755" s="128" t="n">
        <v>43880</v>
      </c>
      <c r="C755" s="94">
        <f>TEXT(B755,"aaa")</f>
        <v/>
      </c>
      <c r="D755" s="94" t="inlineStr">
        <is>
          <t>인스타그램(랄라블라)</t>
        </is>
      </c>
      <c r="E755" s="94" t="inlineStr">
        <is>
          <t>토너</t>
        </is>
      </c>
      <c r="J755" s="89" t="n">
        <v>24705</v>
      </c>
    </row>
    <row r="756" hidden="1" customFormat="1" s="94">
      <c r="B756" s="128" t="n">
        <v>43880</v>
      </c>
      <c r="C756" s="94">
        <f>TEXT(B756,"aaa")</f>
        <v/>
      </c>
      <c r="D756" s="94" t="inlineStr">
        <is>
          <t>인스타그램(블로그)</t>
        </is>
      </c>
      <c r="E756" s="94" t="inlineStr">
        <is>
          <t>토너</t>
        </is>
      </c>
      <c r="J756" s="89" t="n">
        <v>49139</v>
      </c>
    </row>
    <row r="757" hidden="1" customFormat="1" s="94">
      <c r="B757" s="128" t="n">
        <v>43880</v>
      </c>
      <c r="C757" s="94">
        <f>TEXT(B757,"aaa")</f>
        <v/>
      </c>
      <c r="D757" s="94" t="inlineStr">
        <is>
          <t>인스타그램(전환)</t>
        </is>
      </c>
      <c r="E757" s="94" t="inlineStr">
        <is>
          <t>머드크림마스크</t>
        </is>
      </c>
      <c r="J757" s="89" t="n">
        <v>147403</v>
      </c>
    </row>
    <row r="758" hidden="1" customFormat="1" s="94">
      <c r="B758" s="128" t="n">
        <v>43880</v>
      </c>
      <c r="C758" s="94">
        <f>TEXT(B758,"aaa")</f>
        <v/>
      </c>
      <c r="D758" s="94" t="inlineStr">
        <is>
          <t>인스타그램(리타게팅 전환)</t>
        </is>
      </c>
      <c r="E758" s="94" t="inlineStr">
        <is>
          <t>머드크림마스크</t>
        </is>
      </c>
      <c r="J758" s="89" t="n">
        <v>98531</v>
      </c>
    </row>
    <row r="759" hidden="1" customFormat="1" s="94">
      <c r="B759" s="128" t="n">
        <v>43880</v>
      </c>
      <c r="C759" s="94">
        <f>TEXT(B759,"aaa")</f>
        <v/>
      </c>
      <c r="D759" s="94" t="inlineStr">
        <is>
          <t>인스타그램(전환)</t>
        </is>
      </c>
      <c r="E759" s="94" t="inlineStr">
        <is>
          <t>토너</t>
        </is>
      </c>
      <c r="J759" s="89" t="n">
        <v>955570</v>
      </c>
    </row>
    <row r="760" hidden="1" customFormat="1" s="94">
      <c r="B760" s="128" t="n">
        <v>43880</v>
      </c>
      <c r="C760" s="94">
        <f>TEXT(B760,"aaa")</f>
        <v/>
      </c>
      <c r="D760" s="94" t="inlineStr">
        <is>
          <t>네이버 브랜드검색</t>
        </is>
      </c>
      <c r="E760" s="94" t="inlineStr">
        <is>
          <t>토너</t>
        </is>
      </c>
      <c r="J760" s="89" t="n">
        <v>40000</v>
      </c>
    </row>
    <row r="761" hidden="1" customFormat="1" s="94">
      <c r="B761" s="128" t="n">
        <v>43880</v>
      </c>
      <c r="C761" s="94">
        <f>TEXT(B761,"aaa")</f>
        <v/>
      </c>
      <c r="D761" s="94" t="inlineStr">
        <is>
          <t>네이버 쇼핑검색</t>
        </is>
      </c>
      <c r="E761" s="94" t="inlineStr">
        <is>
          <t>토너</t>
        </is>
      </c>
      <c r="J761" s="89" t="n">
        <v>12530</v>
      </c>
    </row>
    <row r="762" hidden="1" customFormat="1" s="94">
      <c r="B762" s="128" t="n">
        <v>43881</v>
      </c>
      <c r="C762" s="94">
        <f>TEXT(B762,"aaa")</f>
        <v/>
      </c>
      <c r="D762" s="94" t="inlineStr">
        <is>
          <t>인스타그램(랄라블라)</t>
        </is>
      </c>
      <c r="E762" s="94" t="inlineStr">
        <is>
          <t>토너</t>
        </is>
      </c>
      <c r="J762" s="89" t="n">
        <v>25396</v>
      </c>
    </row>
    <row r="763" hidden="1" customFormat="1" s="94">
      <c r="B763" s="128" t="n">
        <v>43881</v>
      </c>
      <c r="C763" s="94">
        <f>TEXT(B763,"aaa")</f>
        <v/>
      </c>
      <c r="D763" s="94" t="inlineStr">
        <is>
          <t>인스타그램(블로그)</t>
        </is>
      </c>
      <c r="E763" s="94" t="inlineStr">
        <is>
          <t>토너</t>
        </is>
      </c>
      <c r="J763" s="89" t="n">
        <v>49969</v>
      </c>
    </row>
    <row r="764" hidden="1" customFormat="1" s="94">
      <c r="B764" s="128" t="n">
        <v>43881</v>
      </c>
      <c r="C764" s="94">
        <f>TEXT(B764,"aaa")</f>
        <v/>
      </c>
      <c r="D764" s="94" t="inlineStr">
        <is>
          <t>인스타그램(전환)</t>
        </is>
      </c>
      <c r="E764" s="94" t="inlineStr">
        <is>
          <t>머드크림마스크</t>
        </is>
      </c>
      <c r="J764" s="89" t="n">
        <v>152714</v>
      </c>
    </row>
    <row r="765" hidden="1" customFormat="1" s="94">
      <c r="B765" s="128" t="n">
        <v>43881</v>
      </c>
      <c r="C765" s="94">
        <f>TEXT(B765,"aaa")</f>
        <v/>
      </c>
      <c r="D765" s="94" t="inlineStr">
        <is>
          <t>인스타그램(리타게팅 전환)</t>
        </is>
      </c>
      <c r="E765" s="94" t="inlineStr">
        <is>
          <t>머드크림마스크</t>
        </is>
      </c>
      <c r="J765" s="89" t="n">
        <v>100943</v>
      </c>
    </row>
    <row r="766" hidden="1" customFormat="1" s="94">
      <c r="B766" s="128" t="n">
        <v>43881</v>
      </c>
      <c r="C766" s="94">
        <f>TEXT(B766,"aaa")</f>
        <v/>
      </c>
      <c r="D766" s="94" t="inlineStr">
        <is>
          <t>페이스북(전환)</t>
        </is>
      </c>
      <c r="E766" s="94" t="inlineStr">
        <is>
          <t>토너</t>
        </is>
      </c>
      <c r="J766" s="89" t="n">
        <v>117740</v>
      </c>
    </row>
    <row r="767" hidden="1" customFormat="1" s="94">
      <c r="B767" s="128" t="n">
        <v>43881</v>
      </c>
      <c r="C767" s="94">
        <f>TEXT(B767,"aaa")</f>
        <v/>
      </c>
      <c r="D767" s="94" t="inlineStr">
        <is>
          <t>인스타그램(전환)</t>
        </is>
      </c>
      <c r="E767" s="94" t="inlineStr">
        <is>
          <t>토너</t>
        </is>
      </c>
      <c r="J767" s="89" t="n">
        <v>986135</v>
      </c>
    </row>
    <row r="768" hidden="1" customFormat="1" s="94">
      <c r="B768" s="128" t="n">
        <v>43881</v>
      </c>
      <c r="C768" s="94">
        <f>TEXT(B768,"aaa")</f>
        <v/>
      </c>
      <c r="D768" s="94" t="inlineStr">
        <is>
          <t>네이버 브랜드검색</t>
        </is>
      </c>
      <c r="E768" s="94" t="inlineStr">
        <is>
          <t>토너</t>
        </is>
      </c>
      <c r="J768" s="89" t="n">
        <v>40000</v>
      </c>
    </row>
    <row r="769" hidden="1" customFormat="1" s="94">
      <c r="B769" s="128" t="n">
        <v>43881</v>
      </c>
      <c r="C769" s="94">
        <f>TEXT(B769,"aaa")</f>
        <v/>
      </c>
      <c r="D769" s="94" t="inlineStr">
        <is>
          <t>네이버 쇼핑검색</t>
        </is>
      </c>
      <c r="E769" s="94" t="inlineStr">
        <is>
          <t>토너</t>
        </is>
      </c>
      <c r="J769" s="89" t="n">
        <v>8520</v>
      </c>
    </row>
    <row r="770" hidden="1" customFormat="1" s="94">
      <c r="B770" s="128" t="n">
        <v>43882</v>
      </c>
      <c r="C770" s="94">
        <f>TEXT(B770,"aaa")</f>
        <v/>
      </c>
      <c r="D770" s="94" t="inlineStr">
        <is>
          <t>인스타그램(랄라블라)</t>
        </is>
      </c>
      <c r="E770" s="94" t="inlineStr">
        <is>
          <t>토너</t>
        </is>
      </c>
      <c r="J770" s="89" t="n">
        <v>23660</v>
      </c>
    </row>
    <row r="771" hidden="1" customFormat="1" s="94">
      <c r="B771" s="128" t="n">
        <v>43882</v>
      </c>
      <c r="C771" s="94">
        <f>TEXT(B771,"aaa")</f>
        <v/>
      </c>
      <c r="D771" s="94" t="inlineStr">
        <is>
          <t>인스타그램(블로그)</t>
        </is>
      </c>
      <c r="E771" s="94" t="inlineStr">
        <is>
          <t>토너</t>
        </is>
      </c>
      <c r="J771" s="89" t="n">
        <v>49631</v>
      </c>
    </row>
    <row r="772" hidden="1" customFormat="1" s="94">
      <c r="B772" s="128" t="n">
        <v>43882</v>
      </c>
      <c r="C772" s="94">
        <f>TEXT(B772,"aaa")</f>
        <v/>
      </c>
      <c r="D772" s="94" t="inlineStr">
        <is>
          <t>인스타그램(전환)</t>
        </is>
      </c>
      <c r="E772" s="94" t="inlineStr">
        <is>
          <t>머드크림마스크</t>
        </is>
      </c>
      <c r="J772" s="89" t="n">
        <v>148239</v>
      </c>
    </row>
    <row r="773" hidden="1" customFormat="1" s="94">
      <c r="B773" s="128" t="n">
        <v>43882</v>
      </c>
      <c r="C773" s="94">
        <f>TEXT(B773,"aaa")</f>
        <v/>
      </c>
      <c r="D773" s="94" t="inlineStr">
        <is>
          <t>인스타그램(리타게팅 전환)</t>
        </is>
      </c>
      <c r="E773" s="94" t="inlineStr">
        <is>
          <t>머드크림마스크</t>
        </is>
      </c>
      <c r="J773" s="89" t="n">
        <v>99950</v>
      </c>
    </row>
    <row r="774" hidden="1" customFormat="1" s="94">
      <c r="B774" s="128" t="n">
        <v>43882</v>
      </c>
      <c r="C774" s="94">
        <f>TEXT(B774,"aaa")</f>
        <v/>
      </c>
      <c r="D774" s="94" t="inlineStr">
        <is>
          <t>페이스북(전환)</t>
        </is>
      </c>
      <c r="E774" s="94" t="inlineStr">
        <is>
          <t>토너</t>
        </is>
      </c>
      <c r="J774" s="89" t="n">
        <v>116341</v>
      </c>
    </row>
    <row r="775" hidden="1" customFormat="1" s="94">
      <c r="B775" s="128" t="n">
        <v>43882</v>
      </c>
      <c r="C775" s="94">
        <f>TEXT(B775,"aaa")</f>
        <v/>
      </c>
      <c r="D775" s="94" t="inlineStr">
        <is>
          <t>인스타그램(전환)</t>
        </is>
      </c>
      <c r="E775" s="94" t="inlineStr">
        <is>
          <t>토너</t>
        </is>
      </c>
      <c r="J775" s="89" t="n">
        <v>977618</v>
      </c>
    </row>
    <row r="776" hidden="1" customFormat="1" s="94">
      <c r="B776" s="128" t="n">
        <v>43882</v>
      </c>
      <c r="C776" s="94">
        <f>TEXT(B776,"aaa")</f>
        <v/>
      </c>
      <c r="D776" s="94" t="inlineStr">
        <is>
          <t>네이버 브랜드검색</t>
        </is>
      </c>
      <c r="E776" s="94" t="inlineStr">
        <is>
          <t>토너</t>
        </is>
      </c>
      <c r="J776" s="89" t="n">
        <v>40000</v>
      </c>
    </row>
    <row r="777" hidden="1" customFormat="1" s="94">
      <c r="B777" s="128" t="n">
        <v>43882</v>
      </c>
      <c r="C777" s="94">
        <f>TEXT(B777,"aaa")</f>
        <v/>
      </c>
      <c r="D777" s="94" t="inlineStr">
        <is>
          <t>네이버 쇼핑검색</t>
        </is>
      </c>
      <c r="E777" s="94" t="inlineStr">
        <is>
          <t>토너</t>
        </is>
      </c>
      <c r="J777" s="89" t="n">
        <v>4580</v>
      </c>
    </row>
    <row r="778" hidden="1" customFormat="1" s="94">
      <c r="B778" s="128" t="n">
        <v>43883</v>
      </c>
      <c r="C778" s="94">
        <f>TEXT(B778,"aaa")</f>
        <v/>
      </c>
      <c r="D778" s="94" t="inlineStr">
        <is>
          <t>인스타그램(랄라블라)</t>
        </is>
      </c>
      <c r="E778" s="94" t="inlineStr">
        <is>
          <t>토너</t>
        </is>
      </c>
      <c r="J778" s="89" t="n">
        <v>26992</v>
      </c>
    </row>
    <row r="779" hidden="1" customFormat="1" s="94">
      <c r="B779" s="128" t="n">
        <v>43883</v>
      </c>
      <c r="C779" s="94">
        <f>TEXT(B779,"aaa")</f>
        <v/>
      </c>
      <c r="D779" s="94" t="inlineStr">
        <is>
          <t>인스타그램(블로그)</t>
        </is>
      </c>
      <c r="E779" s="94" t="inlineStr">
        <is>
          <t>토너</t>
        </is>
      </c>
      <c r="J779" s="89" t="n">
        <v>52753</v>
      </c>
    </row>
    <row r="780" hidden="1" customFormat="1" s="94">
      <c r="B780" s="128" t="n">
        <v>43883</v>
      </c>
      <c r="C780" s="94">
        <f>TEXT(B780,"aaa")</f>
        <v/>
      </c>
      <c r="D780" s="94" t="inlineStr">
        <is>
          <t>인스타그램(전환)</t>
        </is>
      </c>
      <c r="E780" s="94" t="inlineStr">
        <is>
          <t>머드크림마스크</t>
        </is>
      </c>
      <c r="J780" s="89" t="n">
        <v>156739</v>
      </c>
    </row>
    <row r="781" hidden="1" customFormat="1" s="94">
      <c r="B781" s="128" t="n">
        <v>43883</v>
      </c>
      <c r="C781" s="94">
        <f>TEXT(B781,"aaa")</f>
        <v/>
      </c>
      <c r="D781" s="94" t="inlineStr">
        <is>
          <t>인스타그램(리타게팅 전환)</t>
        </is>
      </c>
      <c r="E781" s="94" t="inlineStr">
        <is>
          <t>머드크림마스크</t>
        </is>
      </c>
      <c r="J781" s="89" t="n">
        <v>102911</v>
      </c>
    </row>
    <row r="782" hidden="1" customFormat="1" s="94">
      <c r="B782" s="128" t="n">
        <v>43883</v>
      </c>
      <c r="C782" s="94">
        <f>TEXT(B782,"aaa")</f>
        <v/>
      </c>
      <c r="D782" s="94" t="inlineStr">
        <is>
          <t>페이스북(전환)</t>
        </is>
      </c>
      <c r="E782" s="94" t="inlineStr">
        <is>
          <t>토너</t>
        </is>
      </c>
      <c r="J782" s="89" t="n">
        <v>116977</v>
      </c>
    </row>
    <row r="783" hidden="1" customFormat="1" s="94">
      <c r="B783" s="128" t="n">
        <v>43883</v>
      </c>
      <c r="C783" s="94">
        <f>TEXT(B783,"aaa")</f>
        <v/>
      </c>
      <c r="D783" s="94" t="inlineStr">
        <is>
          <t>인스타그램(전환)</t>
        </is>
      </c>
      <c r="E783" s="94" t="inlineStr">
        <is>
          <t>토너</t>
        </is>
      </c>
      <c r="J783" s="89" t="n">
        <v>1038014</v>
      </c>
    </row>
    <row r="784" hidden="1" customFormat="1" s="94">
      <c r="B784" s="128" t="n">
        <v>43883</v>
      </c>
      <c r="C784" s="94">
        <f>TEXT(B784,"aaa")</f>
        <v/>
      </c>
      <c r="D784" s="94" t="inlineStr">
        <is>
          <t>네이버 브랜드검색</t>
        </is>
      </c>
      <c r="E784" s="94" t="inlineStr">
        <is>
          <t>토너</t>
        </is>
      </c>
      <c r="J784" s="89" t="n">
        <v>40000</v>
      </c>
    </row>
    <row r="785" hidden="1" customFormat="1" s="94">
      <c r="B785" s="128" t="n">
        <v>43883</v>
      </c>
      <c r="C785" s="94">
        <f>TEXT(B785,"aaa")</f>
        <v/>
      </c>
      <c r="D785" s="94" t="inlineStr">
        <is>
          <t>네이버 쇼핑검색</t>
        </is>
      </c>
      <c r="E785" s="94" t="inlineStr">
        <is>
          <t>토너</t>
        </is>
      </c>
      <c r="J785" s="89" t="n">
        <v>4530</v>
      </c>
    </row>
    <row r="786" hidden="1" customFormat="1" s="94">
      <c r="B786" s="128" t="n">
        <v>43884</v>
      </c>
      <c r="C786" s="94">
        <f>TEXT(B786,"aaa")</f>
        <v/>
      </c>
      <c r="D786" s="94" t="inlineStr">
        <is>
          <t>인스타그램(랄라블라)</t>
        </is>
      </c>
      <c r="E786" s="94" t="inlineStr">
        <is>
          <t>토너</t>
        </is>
      </c>
      <c r="J786" s="89" t="n">
        <v>25049</v>
      </c>
    </row>
    <row r="787" hidden="1" customFormat="1" s="94">
      <c r="B787" s="128" t="n">
        <v>43884</v>
      </c>
      <c r="C787" s="94">
        <f>TEXT(B787,"aaa")</f>
        <v/>
      </c>
      <c r="D787" s="94" t="inlineStr">
        <is>
          <t>인스타그램(블로그)</t>
        </is>
      </c>
      <c r="E787" s="94" t="inlineStr">
        <is>
          <t>토너</t>
        </is>
      </c>
      <c r="J787" s="89" t="n">
        <v>50231</v>
      </c>
    </row>
    <row r="788" hidden="1" customFormat="1" s="94">
      <c r="B788" s="128" t="n">
        <v>43884</v>
      </c>
      <c r="C788" s="94">
        <f>TEXT(B788,"aaa")</f>
        <v/>
      </c>
      <c r="D788" s="94" t="inlineStr">
        <is>
          <t>인스타그램(전환)</t>
        </is>
      </c>
      <c r="E788" s="94" t="inlineStr">
        <is>
          <t>머드크림마스크</t>
        </is>
      </c>
      <c r="J788" s="89" t="n">
        <v>150432</v>
      </c>
    </row>
    <row r="789" hidden="1" customFormat="1" s="94">
      <c r="B789" s="128" t="n">
        <v>43884</v>
      </c>
      <c r="C789" s="94">
        <f>TEXT(B789,"aaa")</f>
        <v/>
      </c>
      <c r="D789" s="94" t="inlineStr">
        <is>
          <t>인스타그램(리타게팅 전환)</t>
        </is>
      </c>
      <c r="E789" s="94" t="inlineStr">
        <is>
          <t>머드크림마스크</t>
        </is>
      </c>
      <c r="J789" s="89" t="n">
        <v>100276</v>
      </c>
    </row>
    <row r="790" hidden="1" customFormat="1" s="94">
      <c r="B790" s="128" t="n">
        <v>43884</v>
      </c>
      <c r="C790" s="94">
        <f>TEXT(B790,"aaa")</f>
        <v/>
      </c>
      <c r="D790" s="94" t="inlineStr">
        <is>
          <t>페이스북(전환)</t>
        </is>
      </c>
      <c r="E790" s="94" t="inlineStr">
        <is>
          <t>토너</t>
        </is>
      </c>
      <c r="J790" s="89" t="n">
        <v>102044</v>
      </c>
    </row>
    <row r="791" hidden="1" customFormat="1" s="94">
      <c r="B791" s="128" t="n">
        <v>43884</v>
      </c>
      <c r="C791" s="94">
        <f>TEXT(B791,"aaa")</f>
        <v/>
      </c>
      <c r="D791" s="94" t="inlineStr">
        <is>
          <t>인스타그램(전환)</t>
        </is>
      </c>
      <c r="E791" s="94" t="inlineStr">
        <is>
          <t>토너</t>
        </is>
      </c>
      <c r="J791" s="89" t="n">
        <v>1156344</v>
      </c>
    </row>
    <row r="792" hidden="1" customFormat="1" s="94">
      <c r="B792" s="128" t="n">
        <v>43884</v>
      </c>
      <c r="C792" s="94">
        <f>TEXT(B792,"aaa")</f>
        <v/>
      </c>
      <c r="D792" s="94" t="inlineStr">
        <is>
          <t>네이버 브랜드검색</t>
        </is>
      </c>
      <c r="E792" s="94" t="inlineStr">
        <is>
          <t>토너</t>
        </is>
      </c>
      <c r="J792" s="89" t="n">
        <v>40000</v>
      </c>
    </row>
    <row r="793" hidden="1" customFormat="1" s="94">
      <c r="B793" s="128" t="n">
        <v>43884</v>
      </c>
      <c r="C793" s="94">
        <f>TEXT(B793,"aaa")</f>
        <v/>
      </c>
      <c r="D793" s="94" t="inlineStr">
        <is>
          <t>네이버 쇼핑검색</t>
        </is>
      </c>
      <c r="E793" s="94" t="inlineStr">
        <is>
          <t>토너</t>
        </is>
      </c>
      <c r="J793" s="89" t="n">
        <v>8410</v>
      </c>
    </row>
    <row r="794" hidden="1" customFormat="1" s="94">
      <c r="B794" s="128" t="n">
        <v>43885</v>
      </c>
      <c r="C794" s="94">
        <f>TEXT(B794,"aaa")</f>
        <v/>
      </c>
      <c r="D794" s="94" t="inlineStr">
        <is>
          <t>인스타그램(랄라블라)</t>
        </is>
      </c>
      <c r="E794" s="94" t="inlineStr">
        <is>
          <t>토너</t>
        </is>
      </c>
      <c r="J794" s="89" t="n">
        <v>25019</v>
      </c>
    </row>
    <row r="795" hidden="1" customFormat="1" s="94">
      <c r="B795" s="128" t="n">
        <v>43885</v>
      </c>
      <c r="C795" s="94">
        <f>TEXT(B795,"aaa")</f>
        <v/>
      </c>
      <c r="D795" s="94" t="inlineStr">
        <is>
          <t>인스타그램(블로그)</t>
        </is>
      </c>
      <c r="E795" s="94" t="inlineStr">
        <is>
          <t>토너</t>
        </is>
      </c>
      <c r="J795" s="89" t="n">
        <v>49616</v>
      </c>
    </row>
    <row r="796" hidden="1" customFormat="1" s="94">
      <c r="B796" s="128" t="n">
        <v>43885</v>
      </c>
      <c r="C796" s="94">
        <f>TEXT(B796,"aaa")</f>
        <v/>
      </c>
      <c r="D796" s="94" t="inlineStr">
        <is>
          <t>인스타그램(전환)</t>
        </is>
      </c>
      <c r="E796" s="94" t="inlineStr">
        <is>
          <t>머드크림마스크</t>
        </is>
      </c>
      <c r="J796" s="89" t="n">
        <v>145106</v>
      </c>
    </row>
    <row r="797" hidden="1" customFormat="1" s="94">
      <c r="B797" s="128" t="n">
        <v>43885</v>
      </c>
      <c r="C797" s="94">
        <f>TEXT(B797,"aaa")</f>
        <v/>
      </c>
      <c r="D797" s="94" t="inlineStr">
        <is>
          <t>인스타그램(리타게팅 전환)</t>
        </is>
      </c>
      <c r="E797" s="94" t="inlineStr">
        <is>
          <t>머드크림마스크</t>
        </is>
      </c>
      <c r="J797" s="89" t="n">
        <v>96801</v>
      </c>
    </row>
    <row r="798" hidden="1" customFormat="1" s="94">
      <c r="B798" s="128" t="n">
        <v>43885</v>
      </c>
      <c r="C798" s="94">
        <f>TEXT(B798,"aaa")</f>
        <v/>
      </c>
      <c r="D798" s="94" t="inlineStr">
        <is>
          <t>페이스북(전환)</t>
        </is>
      </c>
      <c r="E798" s="94" t="inlineStr">
        <is>
          <t>토너</t>
        </is>
      </c>
      <c r="J798" s="89" t="n">
        <v>97792</v>
      </c>
    </row>
    <row r="799" hidden="1" customFormat="1" s="94">
      <c r="B799" s="128" t="n">
        <v>43885</v>
      </c>
      <c r="C799" s="94">
        <f>TEXT(B799,"aaa")</f>
        <v/>
      </c>
      <c r="D799" s="94" t="inlineStr">
        <is>
          <t>인스타그램(전환)</t>
        </is>
      </c>
      <c r="E799" s="94" t="inlineStr">
        <is>
          <t>토너</t>
        </is>
      </c>
      <c r="J799" s="89" t="n">
        <v>1577445</v>
      </c>
    </row>
    <row r="800" hidden="1" customFormat="1" s="94">
      <c r="B800" s="128" t="n">
        <v>43885</v>
      </c>
      <c r="C800" s="94">
        <f>TEXT(B800,"aaa")</f>
        <v/>
      </c>
      <c r="D800" s="94" t="inlineStr">
        <is>
          <t>네이버 브랜드검색</t>
        </is>
      </c>
      <c r="E800" s="94" t="inlineStr">
        <is>
          <t>토너</t>
        </is>
      </c>
      <c r="J800" s="89" t="n">
        <v>40000</v>
      </c>
    </row>
    <row r="801" hidden="1" customFormat="1" s="94">
      <c r="B801" s="128" t="n">
        <v>43885</v>
      </c>
      <c r="C801" s="94">
        <f>TEXT(B801,"aaa")</f>
        <v/>
      </c>
      <c r="D801" s="94" t="inlineStr">
        <is>
          <t>네이버 쇼핑검색</t>
        </is>
      </c>
      <c r="E801" s="94" t="inlineStr">
        <is>
          <t>토너</t>
        </is>
      </c>
      <c r="J801" s="89" t="n">
        <v>9170</v>
      </c>
    </row>
    <row r="802" hidden="1" customFormat="1" s="94">
      <c r="B802" s="128" t="n">
        <v>43886</v>
      </c>
      <c r="C802" s="94">
        <f>TEXT(B802,"aaa")</f>
        <v/>
      </c>
      <c r="D802" s="94" t="inlineStr">
        <is>
          <t>인스타그램(랄라블라)</t>
        </is>
      </c>
      <c r="E802" s="94" t="inlineStr">
        <is>
          <t>토너</t>
        </is>
      </c>
      <c r="J802" s="89" t="n">
        <v>21776</v>
      </c>
    </row>
    <row r="803" hidden="1" customFormat="1" s="94">
      <c r="B803" s="128" t="n">
        <v>43886</v>
      </c>
      <c r="C803" s="94">
        <f>TEXT(B803,"aaa")</f>
        <v/>
      </c>
      <c r="D803" s="94" t="inlineStr">
        <is>
          <t>인스타그램(블로그)</t>
        </is>
      </c>
      <c r="E803" s="94" t="inlineStr">
        <is>
          <t>토너</t>
        </is>
      </c>
      <c r="J803" s="89" t="n">
        <v>50163</v>
      </c>
    </row>
    <row r="804" hidden="1" customFormat="1" s="94">
      <c r="B804" s="128" t="n">
        <v>43886</v>
      </c>
      <c r="C804" s="94">
        <f>TEXT(B804,"aaa")</f>
        <v/>
      </c>
      <c r="D804" s="94" t="inlineStr">
        <is>
          <t>인스타그램(전환)</t>
        </is>
      </c>
      <c r="E804" s="94" t="inlineStr">
        <is>
          <t>머드크림마스크</t>
        </is>
      </c>
      <c r="J804" s="89" t="n">
        <v>151239</v>
      </c>
    </row>
    <row r="805" hidden="1" customFormat="1" s="94">
      <c r="B805" s="128" t="n">
        <v>43886</v>
      </c>
      <c r="C805" s="94">
        <f>TEXT(B805,"aaa")</f>
        <v/>
      </c>
      <c r="D805" s="94" t="inlineStr">
        <is>
          <t>인스타그램(리타게팅 전환)</t>
        </is>
      </c>
      <c r="E805" s="94" t="inlineStr">
        <is>
          <t>머드크림마스크</t>
        </is>
      </c>
      <c r="J805" s="89" t="n">
        <v>100980</v>
      </c>
    </row>
    <row r="806" hidden="1" customFormat="1" s="94">
      <c r="B806" s="128" t="n">
        <v>43886</v>
      </c>
      <c r="C806" s="94">
        <f>TEXT(B806,"aaa")</f>
        <v/>
      </c>
      <c r="D806" s="94" t="inlineStr">
        <is>
          <t>페이스북(전환)</t>
        </is>
      </c>
      <c r="E806" s="94" t="inlineStr">
        <is>
          <t>토너</t>
        </is>
      </c>
      <c r="J806" s="89" t="n">
        <v>46828</v>
      </c>
    </row>
    <row r="807" hidden="1" customFormat="1" s="94">
      <c r="B807" s="128" t="n">
        <v>43886</v>
      </c>
      <c r="C807" s="94">
        <f>TEXT(B807,"aaa")</f>
        <v/>
      </c>
      <c r="D807" s="94" t="inlineStr">
        <is>
          <t>인스타그램(전환)</t>
        </is>
      </c>
      <c r="E807" s="94" t="inlineStr">
        <is>
          <t>토너</t>
        </is>
      </c>
      <c r="J807" s="89" t="n">
        <v>1981573</v>
      </c>
    </row>
    <row r="808" hidden="1" customFormat="1" s="94">
      <c r="B808" s="128" t="n">
        <v>43886</v>
      </c>
      <c r="C808" s="94">
        <f>TEXT(B808,"aaa")</f>
        <v/>
      </c>
      <c r="D808" s="94" t="inlineStr">
        <is>
          <t>네이버 브랜드검색</t>
        </is>
      </c>
      <c r="E808" s="94" t="inlineStr">
        <is>
          <t>토너</t>
        </is>
      </c>
      <c r="J808" s="89" t="n">
        <v>40000</v>
      </c>
    </row>
    <row r="809" hidden="1" customFormat="1" s="94">
      <c r="B809" s="128" t="n">
        <v>43886</v>
      </c>
      <c r="C809" s="94">
        <f>TEXT(B809,"aaa")</f>
        <v/>
      </c>
      <c r="D809" s="94" t="inlineStr">
        <is>
          <t>네이버 쇼핑검색</t>
        </is>
      </c>
      <c r="E809" s="94" t="inlineStr">
        <is>
          <t>토너</t>
        </is>
      </c>
      <c r="J809" s="89" t="n">
        <v>11300</v>
      </c>
    </row>
    <row r="810" hidden="1" customFormat="1" s="94">
      <c r="B810" s="128" t="n">
        <v>43887</v>
      </c>
      <c r="C810" s="94">
        <f>TEXT(B810,"aaa")</f>
        <v/>
      </c>
      <c r="D810" s="94" t="inlineStr">
        <is>
          <t>인스타그램(랄라블라)</t>
        </is>
      </c>
      <c r="E810" s="94" t="inlineStr">
        <is>
          <t>토너</t>
        </is>
      </c>
      <c r="J810" s="89" t="n">
        <v>24653</v>
      </c>
    </row>
    <row r="811" hidden="1" customFormat="1" s="94">
      <c r="B811" s="128" t="n">
        <v>43887</v>
      </c>
      <c r="C811" s="94">
        <f>TEXT(B811,"aaa")</f>
        <v/>
      </c>
      <c r="D811" s="94" t="inlineStr">
        <is>
          <t>인스타그램(블로그)</t>
        </is>
      </c>
      <c r="E811" s="94" t="inlineStr">
        <is>
          <t>토너</t>
        </is>
      </c>
      <c r="J811" s="89" t="n">
        <v>49299</v>
      </c>
    </row>
    <row r="812" hidden="1" customFormat="1" s="94">
      <c r="B812" s="128" t="n">
        <v>43887</v>
      </c>
      <c r="C812" s="94">
        <f>TEXT(B812,"aaa")</f>
        <v/>
      </c>
      <c r="D812" s="94" t="inlineStr">
        <is>
          <t>인스타그램(전환)</t>
        </is>
      </c>
      <c r="E812" s="94" t="inlineStr">
        <is>
          <t>머드크림마스크</t>
        </is>
      </c>
      <c r="J812" s="89" t="n">
        <v>150159</v>
      </c>
    </row>
    <row r="813" hidden="1" customFormat="1" s="94">
      <c r="B813" s="128" t="n">
        <v>43887</v>
      </c>
      <c r="C813" s="94">
        <f>TEXT(B813,"aaa")</f>
        <v/>
      </c>
      <c r="D813" s="94" t="inlineStr">
        <is>
          <t>인스타그램(리타게팅 전환)</t>
        </is>
      </c>
      <c r="E813" s="94" t="inlineStr">
        <is>
          <t>머드크림마스크</t>
        </is>
      </c>
      <c r="J813" s="89" t="n">
        <v>100641</v>
      </c>
    </row>
    <row r="814" hidden="1" customFormat="1" s="94">
      <c r="B814" s="128" t="n">
        <v>43887</v>
      </c>
      <c r="C814" s="94">
        <f>TEXT(B814,"aaa")</f>
        <v/>
      </c>
      <c r="D814" s="94" t="inlineStr">
        <is>
          <t>인스타그램(리타게팅 전환)</t>
        </is>
      </c>
      <c r="E814" s="94" t="inlineStr">
        <is>
          <t>토너</t>
        </is>
      </c>
      <c r="J814" s="89" t="n">
        <v>111254</v>
      </c>
    </row>
    <row r="815" hidden="1" customFormat="1" s="94">
      <c r="B815" s="128" t="n">
        <v>43887</v>
      </c>
      <c r="C815" s="94">
        <f>TEXT(B815,"aaa")</f>
        <v/>
      </c>
      <c r="D815" s="94" t="inlineStr">
        <is>
          <t>페이스북(전환)</t>
        </is>
      </c>
      <c r="E815" s="94" t="inlineStr">
        <is>
          <t>토너</t>
        </is>
      </c>
      <c r="J815" s="89" t="n">
        <v>113862</v>
      </c>
    </row>
    <row r="816" hidden="1" customFormat="1" s="94">
      <c r="B816" s="128" t="n">
        <v>43887</v>
      </c>
      <c r="C816" s="94">
        <f>TEXT(B816,"aaa")</f>
        <v/>
      </c>
      <c r="D816" s="94" t="inlineStr">
        <is>
          <t>인스타그램(전환)</t>
        </is>
      </c>
      <c r="E816" s="94" t="inlineStr">
        <is>
          <t>토너</t>
        </is>
      </c>
      <c r="J816" s="89" t="n">
        <v>1508890</v>
      </c>
    </row>
    <row r="817" hidden="1" customFormat="1" s="94">
      <c r="B817" s="128" t="n">
        <v>43887</v>
      </c>
      <c r="C817" s="94">
        <f>TEXT(B817,"aaa")</f>
        <v/>
      </c>
      <c r="D817" s="94" t="inlineStr">
        <is>
          <t>네이버 브랜드검색</t>
        </is>
      </c>
      <c r="E817" s="94" t="inlineStr">
        <is>
          <t>토너</t>
        </is>
      </c>
      <c r="J817" s="89" t="n">
        <v>40000</v>
      </c>
    </row>
    <row r="818" hidden="1" customFormat="1" s="94">
      <c r="B818" s="128" t="n">
        <v>43887</v>
      </c>
      <c r="C818" s="94">
        <f>TEXT(B818,"aaa")</f>
        <v/>
      </c>
      <c r="D818" s="94" t="inlineStr">
        <is>
          <t>네이버 쇼핑검색</t>
        </is>
      </c>
      <c r="E818" s="94" t="inlineStr">
        <is>
          <t>토너</t>
        </is>
      </c>
      <c r="J818" s="89" t="n">
        <v>10180</v>
      </c>
    </row>
    <row r="819" hidden="1" customFormat="1" s="94">
      <c r="B819" s="128" t="n">
        <v>43888</v>
      </c>
      <c r="C819" s="94">
        <f>TEXT(B819,"aaa")</f>
        <v/>
      </c>
      <c r="D819" s="94" t="inlineStr">
        <is>
          <t>인스타그램(랄라블라)</t>
        </is>
      </c>
      <c r="E819" s="94" t="inlineStr">
        <is>
          <t>토너</t>
        </is>
      </c>
      <c r="J819" s="89" t="n">
        <v>23750</v>
      </c>
    </row>
    <row r="820" hidden="1" customFormat="1" s="94">
      <c r="B820" s="128" t="n">
        <v>43888</v>
      </c>
      <c r="C820" s="94">
        <f>TEXT(B820,"aaa")</f>
        <v/>
      </c>
      <c r="D820" s="94" t="inlineStr">
        <is>
          <t>인스타그램(블로그)</t>
        </is>
      </c>
      <c r="E820" s="94" t="inlineStr">
        <is>
          <t>토너</t>
        </is>
      </c>
      <c r="J820" s="89" t="n">
        <v>50451</v>
      </c>
    </row>
    <row r="821" hidden="1" customFormat="1" s="94">
      <c r="B821" s="128" t="n">
        <v>43888</v>
      </c>
      <c r="C821" s="94">
        <f>TEXT(B821,"aaa")</f>
        <v/>
      </c>
      <c r="D821" s="94" t="inlineStr">
        <is>
          <t>인스타그램(리타게팅 전환)</t>
        </is>
      </c>
      <c r="E821" s="94" t="inlineStr">
        <is>
          <t>토너</t>
        </is>
      </c>
      <c r="J821" s="89" t="n">
        <v>182686</v>
      </c>
    </row>
    <row r="822" hidden="1" customFormat="1" s="94">
      <c r="B822" s="128" t="n">
        <v>43888</v>
      </c>
      <c r="C822" s="94">
        <f>TEXT(B822,"aaa")</f>
        <v/>
      </c>
      <c r="D822" s="94" t="inlineStr">
        <is>
          <t>인스타그램(전환)</t>
        </is>
      </c>
      <c r="E822" s="94" t="inlineStr">
        <is>
          <t>머드크림마스크</t>
        </is>
      </c>
      <c r="J822" s="89" t="n">
        <v>151008</v>
      </c>
    </row>
    <row r="823" hidden="1" customFormat="1" s="94">
      <c r="B823" s="128" t="n">
        <v>43888</v>
      </c>
      <c r="C823" s="94">
        <f>TEXT(B823,"aaa")</f>
        <v/>
      </c>
      <c r="D823" s="94" t="inlineStr">
        <is>
          <t>인스타그램(리타게팅 전환)</t>
        </is>
      </c>
      <c r="E823" s="94" t="inlineStr">
        <is>
          <t>머드크림마스크</t>
        </is>
      </c>
      <c r="J823" s="89" t="n">
        <v>98364</v>
      </c>
    </row>
    <row r="824" hidden="1" customFormat="1" s="94">
      <c r="B824" s="128" t="n">
        <v>43888</v>
      </c>
      <c r="C824" s="94">
        <f>TEXT(B824,"aaa")</f>
        <v/>
      </c>
      <c r="D824" s="94" t="inlineStr">
        <is>
          <t>페이스북(전환)</t>
        </is>
      </c>
      <c r="E824" s="94" t="inlineStr">
        <is>
          <t>토너</t>
        </is>
      </c>
      <c r="J824" s="89" t="n">
        <v>114945</v>
      </c>
    </row>
    <row r="825" hidden="1" customFormat="1" s="94">
      <c r="B825" s="128" t="n">
        <v>43888</v>
      </c>
      <c r="C825" s="94">
        <f>TEXT(B825,"aaa")</f>
        <v/>
      </c>
      <c r="D825" s="94" t="inlineStr">
        <is>
          <t>인스타그램(전환)</t>
        </is>
      </c>
      <c r="E825" s="94" t="inlineStr">
        <is>
          <t>토너</t>
        </is>
      </c>
      <c r="J825" s="89" t="n">
        <v>1429646</v>
      </c>
    </row>
    <row r="826" hidden="1" customFormat="1" s="94">
      <c r="B826" s="128" t="n">
        <v>43888</v>
      </c>
      <c r="C826" s="94">
        <f>TEXT(B826,"aaa")</f>
        <v/>
      </c>
      <c r="D826" s="94" t="inlineStr">
        <is>
          <t>일본 인스타그램(1324참여)</t>
        </is>
      </c>
      <c r="E826" s="94" t="inlineStr">
        <is>
          <t>토너</t>
        </is>
      </c>
      <c r="J826" s="89" t="n">
        <v>30625</v>
      </c>
    </row>
    <row r="827" hidden="1" customFormat="1" s="94">
      <c r="B827" s="128" t="n">
        <v>43888</v>
      </c>
      <c r="C827" s="94">
        <f>TEXT(B827,"aaa")</f>
        <v/>
      </c>
      <c r="D827" s="94" t="inlineStr">
        <is>
          <t>일본 인스타그램(2540참여)</t>
        </is>
      </c>
      <c r="E827" s="94" t="inlineStr">
        <is>
          <t>토너</t>
        </is>
      </c>
      <c r="J827" s="89" t="n">
        <v>30561</v>
      </c>
    </row>
    <row r="828" hidden="1" customFormat="1" s="94">
      <c r="B828" s="128" t="n">
        <v>43888</v>
      </c>
      <c r="C828" s="94">
        <f>TEXT(B828,"aaa")</f>
        <v/>
      </c>
      <c r="D828" s="94" t="inlineStr">
        <is>
          <t>네이버 브랜드검색</t>
        </is>
      </c>
      <c r="E828" s="94" t="inlineStr">
        <is>
          <t>토너</t>
        </is>
      </c>
      <c r="J828" s="89" t="n">
        <v>40000</v>
      </c>
    </row>
    <row r="829" hidden="1" customFormat="1" s="94">
      <c r="B829" s="128" t="n">
        <v>43888</v>
      </c>
      <c r="C829" s="94">
        <f>TEXT(B829,"aaa")</f>
        <v/>
      </c>
      <c r="D829" s="94" t="inlineStr">
        <is>
          <t>네이버 쇼핑검색</t>
        </is>
      </c>
      <c r="E829" s="94" t="inlineStr">
        <is>
          <t>토너</t>
        </is>
      </c>
      <c r="J829" s="89" t="n">
        <v>5060</v>
      </c>
    </row>
    <row r="830" hidden="1" customFormat="1" s="94">
      <c r="B830" s="128" t="n">
        <v>43889</v>
      </c>
      <c r="C830" s="94">
        <f>TEXT(B830,"aaa")</f>
        <v/>
      </c>
      <c r="D830" s="94" t="inlineStr">
        <is>
          <t>인스타그램(랄라블라)</t>
        </is>
      </c>
      <c r="E830" s="94" t="inlineStr">
        <is>
          <t>토너</t>
        </is>
      </c>
      <c r="J830" s="89" t="n">
        <v>24049</v>
      </c>
    </row>
    <row r="831" hidden="1" customFormat="1" s="94">
      <c r="B831" s="128" t="n">
        <v>43889</v>
      </c>
      <c r="C831" s="94">
        <f>TEXT(B831,"aaa")</f>
        <v/>
      </c>
      <c r="D831" s="94" t="inlineStr">
        <is>
          <t>인스타그램(블로그)</t>
        </is>
      </c>
      <c r="E831" s="94" t="inlineStr">
        <is>
          <t>토너</t>
        </is>
      </c>
      <c r="J831" s="89" t="n">
        <v>49602</v>
      </c>
    </row>
    <row r="832" hidden="1" customFormat="1" s="94">
      <c r="B832" s="128" t="n">
        <v>43889</v>
      </c>
      <c r="C832" s="94">
        <f>TEXT(B832,"aaa")</f>
        <v/>
      </c>
      <c r="D832" s="94" t="inlineStr">
        <is>
          <t>인스타그램(리타게팅 전환)</t>
        </is>
      </c>
      <c r="E832" s="94" t="inlineStr">
        <is>
          <t>토너</t>
        </is>
      </c>
      <c r="J832" s="89" t="n">
        <v>232179</v>
      </c>
    </row>
    <row r="833" hidden="1" customFormat="1" s="94">
      <c r="B833" s="128" t="n">
        <v>43889</v>
      </c>
      <c r="C833" s="94">
        <f>TEXT(B833,"aaa")</f>
        <v/>
      </c>
      <c r="D833" s="94" t="inlineStr">
        <is>
          <t>인스타그램(전환)</t>
        </is>
      </c>
      <c r="E833" s="94" t="inlineStr">
        <is>
          <t>머드크림마스크</t>
        </is>
      </c>
      <c r="J833" s="89" t="n">
        <v>146465</v>
      </c>
    </row>
    <row r="834" hidden="1" customFormat="1" s="94">
      <c r="B834" s="128" t="n">
        <v>43889</v>
      </c>
      <c r="C834" s="94">
        <f>TEXT(B834,"aaa")</f>
        <v/>
      </c>
      <c r="D834" s="94" t="inlineStr">
        <is>
          <t>인스타그램(리타게팅 전환)</t>
        </is>
      </c>
      <c r="E834" s="94" t="inlineStr">
        <is>
          <t>머드크림마스크</t>
        </is>
      </c>
      <c r="J834" s="89" t="n">
        <v>97845</v>
      </c>
    </row>
    <row r="835" hidden="1" customFormat="1" s="94">
      <c r="B835" s="128" t="n">
        <v>43889</v>
      </c>
      <c r="C835" s="94">
        <f>TEXT(B835,"aaa")</f>
        <v/>
      </c>
      <c r="D835" s="94" t="inlineStr">
        <is>
          <t>페이스북(전환)</t>
        </is>
      </c>
      <c r="E835" s="94" t="inlineStr">
        <is>
          <t>토너</t>
        </is>
      </c>
      <c r="J835" s="89" t="n">
        <v>113615</v>
      </c>
    </row>
    <row r="836" hidden="1" customFormat="1" s="94">
      <c r="B836" s="128" t="n">
        <v>43889</v>
      </c>
      <c r="C836" s="94">
        <f>TEXT(B836,"aaa")</f>
        <v/>
      </c>
      <c r="D836" s="94" t="inlineStr">
        <is>
          <t>인스타그램(전환)</t>
        </is>
      </c>
      <c r="E836" s="94" t="inlineStr">
        <is>
          <t>토너</t>
        </is>
      </c>
      <c r="J836" s="89" t="n">
        <v>1415107</v>
      </c>
    </row>
    <row r="837" hidden="1" customFormat="1" s="94">
      <c r="B837" s="128" t="n">
        <v>43889</v>
      </c>
      <c r="C837" s="94">
        <f>TEXT(B837,"aaa")</f>
        <v/>
      </c>
      <c r="D837" s="94" t="inlineStr">
        <is>
          <t>일본 인스타그램(1324참여)</t>
        </is>
      </c>
      <c r="E837" s="94" t="inlineStr">
        <is>
          <t>토너</t>
        </is>
      </c>
      <c r="J837" s="89" t="n">
        <v>7192</v>
      </c>
    </row>
    <row r="838" hidden="1" customFormat="1" s="94">
      <c r="B838" s="128" t="n">
        <v>43889</v>
      </c>
      <c r="C838" s="94">
        <f>TEXT(B838,"aaa")</f>
        <v/>
      </c>
      <c r="D838" s="94" t="inlineStr">
        <is>
          <t>일본 인스타그램(2540참여)</t>
        </is>
      </c>
      <c r="E838" s="94" t="inlineStr">
        <is>
          <t>토너</t>
        </is>
      </c>
      <c r="J838" s="89" t="n">
        <v>9003</v>
      </c>
    </row>
    <row r="839" hidden="1" customFormat="1" s="94">
      <c r="B839" s="128" t="n">
        <v>43889</v>
      </c>
      <c r="C839" s="94">
        <f>TEXT(B839,"aaa")</f>
        <v/>
      </c>
      <c r="D839" s="94" t="inlineStr">
        <is>
          <t>네이버 브랜드검색</t>
        </is>
      </c>
      <c r="E839" s="94" t="inlineStr">
        <is>
          <t>토너</t>
        </is>
      </c>
      <c r="J839" s="89" t="n">
        <v>40000</v>
      </c>
    </row>
    <row r="840" hidden="1" customFormat="1" s="94">
      <c r="B840" s="128" t="n">
        <v>43889</v>
      </c>
      <c r="C840" s="94">
        <f>TEXT(B840,"aaa")</f>
        <v/>
      </c>
      <c r="D840" s="94" t="inlineStr">
        <is>
          <t>네이버 쇼핑검색</t>
        </is>
      </c>
      <c r="E840" s="94" t="inlineStr">
        <is>
          <t>토너</t>
        </is>
      </c>
      <c r="J840" s="89" t="n">
        <v>4630</v>
      </c>
    </row>
    <row r="841" hidden="1" customFormat="1" s="94">
      <c r="B841" s="128" t="n">
        <v>43890</v>
      </c>
      <c r="C841" s="94">
        <f>TEXT(B841,"aaa")</f>
        <v/>
      </c>
      <c r="D841" s="94" t="inlineStr">
        <is>
          <t>인스타그램(랄라블라)</t>
        </is>
      </c>
      <c r="E841" s="94" t="inlineStr">
        <is>
          <t>토너</t>
        </is>
      </c>
      <c r="J841" s="89" t="n">
        <v>26181</v>
      </c>
    </row>
    <row r="842" hidden="1" customFormat="1" s="94">
      <c r="B842" s="128" t="n">
        <v>43890</v>
      </c>
      <c r="C842" s="94">
        <f>TEXT(B842,"aaa")</f>
        <v/>
      </c>
      <c r="D842" s="94" t="inlineStr">
        <is>
          <t>인스타그램(블로그)</t>
        </is>
      </c>
      <c r="E842" s="94" t="inlineStr">
        <is>
          <t>토너</t>
        </is>
      </c>
      <c r="J842" s="89" t="n">
        <v>50630</v>
      </c>
    </row>
    <row r="843" hidden="1" customFormat="1" s="94">
      <c r="B843" s="128" t="n">
        <v>43890</v>
      </c>
      <c r="C843" s="94">
        <f>TEXT(B843,"aaa")</f>
        <v/>
      </c>
      <c r="D843" s="94" t="inlineStr">
        <is>
          <t>인스타그램(리타게팅 전환)</t>
        </is>
      </c>
      <c r="E843" s="94" t="inlineStr">
        <is>
          <t>토너</t>
        </is>
      </c>
      <c r="J843" s="89" t="n">
        <v>249525</v>
      </c>
    </row>
    <row r="844" hidden="1" customFormat="1" s="94">
      <c r="B844" s="128" t="n">
        <v>43890</v>
      </c>
      <c r="C844" s="94">
        <f>TEXT(B844,"aaa")</f>
        <v/>
      </c>
      <c r="D844" s="94" t="inlineStr">
        <is>
          <t>인스타그램(전환)</t>
        </is>
      </c>
      <c r="E844" s="94" t="inlineStr">
        <is>
          <t>머드크림마스크</t>
        </is>
      </c>
      <c r="J844" s="89" t="n">
        <v>83388</v>
      </c>
    </row>
    <row r="845" hidden="1" customFormat="1" s="94">
      <c r="B845" s="128" t="n">
        <v>43890</v>
      </c>
      <c r="C845" s="94">
        <f>TEXT(B845,"aaa")</f>
        <v/>
      </c>
      <c r="D845" s="94" t="inlineStr">
        <is>
          <t>인스타그램(리타게팅 전환)</t>
        </is>
      </c>
      <c r="E845" s="94" t="inlineStr">
        <is>
          <t>머드크림마스크</t>
        </is>
      </c>
      <c r="J845" s="89" t="n">
        <v>68204</v>
      </c>
    </row>
    <row r="846" hidden="1" customFormat="1" s="94">
      <c r="B846" s="128" t="n">
        <v>43890</v>
      </c>
      <c r="C846" s="94">
        <f>TEXT(B846,"aaa")</f>
        <v/>
      </c>
      <c r="D846" s="94" t="inlineStr">
        <is>
          <t>페이스북(전환)</t>
        </is>
      </c>
      <c r="E846" s="94" t="inlineStr">
        <is>
          <t>토너</t>
        </is>
      </c>
      <c r="J846" s="89" t="n">
        <v>42732</v>
      </c>
    </row>
    <row r="847" hidden="1" customFormat="1" s="94">
      <c r="B847" s="128" t="n">
        <v>43890</v>
      </c>
      <c r="C847" s="94">
        <f>TEXT(B847,"aaa")</f>
        <v/>
      </c>
      <c r="D847" s="94" t="inlineStr">
        <is>
          <t>인스타그램(전환)</t>
        </is>
      </c>
      <c r="E847" s="94" t="inlineStr">
        <is>
          <t>토너</t>
        </is>
      </c>
      <c r="J847" s="89" t="n">
        <v>1239708</v>
      </c>
    </row>
    <row r="848" hidden="1" customFormat="1" s="94">
      <c r="B848" s="128" t="n">
        <v>43890</v>
      </c>
      <c r="C848" s="94">
        <f>TEXT(B848,"aaa")</f>
        <v/>
      </c>
      <c r="D848" s="94" t="inlineStr">
        <is>
          <t>네이버 브랜드검색</t>
        </is>
      </c>
      <c r="E848" s="94" t="inlineStr">
        <is>
          <t>토너</t>
        </is>
      </c>
      <c r="J848" s="89" t="n">
        <v>40000</v>
      </c>
    </row>
    <row r="849" hidden="1" customFormat="1" s="94">
      <c r="B849" s="128" t="n">
        <v>43890</v>
      </c>
      <c r="C849" s="94">
        <f>TEXT(B849,"aaa")</f>
        <v/>
      </c>
      <c r="D849" s="94" t="inlineStr">
        <is>
          <t>네이버 쇼핑검색</t>
        </is>
      </c>
      <c r="E849" s="94" t="inlineStr">
        <is>
          <t>토너</t>
        </is>
      </c>
      <c r="J849" s="89" t="n">
        <v>3630</v>
      </c>
    </row>
    <row r="850" hidden="1" customFormat="1" s="94">
      <c r="B850" s="128" t="n">
        <v>43891</v>
      </c>
      <c r="C850" s="94">
        <f>TEXT(B850,"aaa")</f>
        <v/>
      </c>
      <c r="D850" s="94" t="inlineStr">
        <is>
          <t>인스타그램(랄라블라)</t>
        </is>
      </c>
      <c r="E850" s="94" t="inlineStr">
        <is>
          <t>토너</t>
        </is>
      </c>
      <c r="J850" s="89" t="n">
        <v>24896</v>
      </c>
    </row>
    <row r="851" hidden="1" customFormat="1" s="94">
      <c r="B851" s="128" t="n">
        <v>43891</v>
      </c>
      <c r="C851" s="94">
        <f>TEXT(B851,"aaa")</f>
        <v/>
      </c>
      <c r="D851" s="94" t="inlineStr">
        <is>
          <t>인스타그램(블로그)</t>
        </is>
      </c>
      <c r="E851" s="94" t="inlineStr">
        <is>
          <t>토너</t>
        </is>
      </c>
      <c r="J851" s="89" t="n">
        <v>50142</v>
      </c>
    </row>
    <row r="852" hidden="1" customFormat="1" s="94">
      <c r="B852" s="128" t="n">
        <v>43891</v>
      </c>
      <c r="C852" s="94">
        <f>TEXT(B852,"aaa")</f>
        <v/>
      </c>
      <c r="D852" s="94" t="inlineStr">
        <is>
          <t>인스타그램(리타게팅 전환)</t>
        </is>
      </c>
      <c r="E852" s="94" t="inlineStr">
        <is>
          <t>토너</t>
        </is>
      </c>
      <c r="J852" s="89" t="n">
        <v>250875</v>
      </c>
    </row>
    <row r="853" hidden="1" customFormat="1" s="94">
      <c r="B853" s="128" t="n">
        <v>43891</v>
      </c>
      <c r="C853" s="94">
        <f>TEXT(B853,"aaa")</f>
        <v/>
      </c>
      <c r="D853" s="94" t="inlineStr">
        <is>
          <t>인스타그램(전환)</t>
        </is>
      </c>
      <c r="E853" s="94" t="inlineStr">
        <is>
          <t>토너</t>
        </is>
      </c>
      <c r="J853" s="89" t="n">
        <v>1202324</v>
      </c>
    </row>
    <row r="854" hidden="1" customFormat="1" s="94">
      <c r="B854" s="128" t="n">
        <v>43891</v>
      </c>
      <c r="C854" s="94">
        <f>TEXT(B854,"aaa")</f>
        <v/>
      </c>
      <c r="D854" s="94" t="inlineStr">
        <is>
          <t>네이버 브랜드검색</t>
        </is>
      </c>
      <c r="E854" s="94" t="inlineStr">
        <is>
          <t>토너</t>
        </is>
      </c>
      <c r="J854" s="89" t="n">
        <v>40000</v>
      </c>
    </row>
    <row r="855" hidden="1" customFormat="1" s="94">
      <c r="B855" s="128" t="n">
        <v>43891</v>
      </c>
      <c r="C855" s="94">
        <f>TEXT(B855,"aaa")</f>
        <v/>
      </c>
      <c r="D855" s="94" t="inlineStr">
        <is>
          <t>네이버 쇼핑검색</t>
        </is>
      </c>
      <c r="E855" s="94" t="inlineStr">
        <is>
          <t>토너</t>
        </is>
      </c>
      <c r="J855" s="89" t="n">
        <v>3790</v>
      </c>
    </row>
    <row r="856" hidden="1" customFormat="1" s="94">
      <c r="B856" s="128" t="n">
        <v>43892</v>
      </c>
      <c r="C856" s="94">
        <f>TEXT(B856,"aaa")</f>
        <v/>
      </c>
      <c r="D856" s="94" t="inlineStr">
        <is>
          <t>인스타그램(랄라블라)</t>
        </is>
      </c>
      <c r="E856" s="94" t="inlineStr">
        <is>
          <t>토너</t>
        </is>
      </c>
      <c r="J856" s="89" t="n">
        <v>23767</v>
      </c>
    </row>
    <row r="857" hidden="1" customFormat="1" s="94">
      <c r="B857" s="128" t="n">
        <v>43892</v>
      </c>
      <c r="C857" s="94">
        <f>TEXT(B857,"aaa")</f>
        <v/>
      </c>
      <c r="D857" s="94" t="inlineStr">
        <is>
          <t>인스타그램(블로그)</t>
        </is>
      </c>
      <c r="E857" s="94" t="inlineStr">
        <is>
          <t>토너</t>
        </is>
      </c>
      <c r="J857" s="89" t="n">
        <v>48538</v>
      </c>
    </row>
    <row r="858" hidden="1" customFormat="1" s="94">
      <c r="B858" s="128" t="n">
        <v>43892</v>
      </c>
      <c r="C858" s="94">
        <f>TEXT(B858,"aaa")</f>
        <v/>
      </c>
      <c r="D858" s="94" t="inlineStr">
        <is>
          <t>인스타그램(리타게팅 전환)</t>
        </is>
      </c>
      <c r="E858" s="94" t="inlineStr">
        <is>
          <t>토너</t>
        </is>
      </c>
      <c r="J858" s="89" t="n">
        <v>243451</v>
      </c>
    </row>
    <row r="859" hidden="1" customFormat="1" s="94">
      <c r="B859" s="128" t="n">
        <v>43892</v>
      </c>
      <c r="C859" s="94">
        <f>TEXT(B859,"aaa")</f>
        <v/>
      </c>
      <c r="D859" s="94" t="inlineStr">
        <is>
          <t>인스타그램(전환)</t>
        </is>
      </c>
      <c r="E859" s="94" t="inlineStr">
        <is>
          <t>토너</t>
        </is>
      </c>
      <c r="J859" s="89" t="n">
        <v>1168022</v>
      </c>
    </row>
    <row r="860" hidden="1" customFormat="1" s="94">
      <c r="B860" s="128" t="n">
        <v>43892</v>
      </c>
      <c r="C860" s="94">
        <f>TEXT(B860,"aaa")</f>
        <v/>
      </c>
      <c r="D860" s="94" t="inlineStr">
        <is>
          <t>네이버 브랜드검색</t>
        </is>
      </c>
      <c r="E860" s="94" t="inlineStr">
        <is>
          <t>토너</t>
        </is>
      </c>
      <c r="J860" s="89" t="n">
        <v>40000</v>
      </c>
    </row>
    <row r="861" hidden="1" customFormat="1" s="94">
      <c r="B861" s="128" t="n">
        <v>43892</v>
      </c>
      <c r="C861" s="94">
        <f>TEXT(B861,"aaa")</f>
        <v/>
      </c>
      <c r="D861" s="94" t="inlineStr">
        <is>
          <t>네이버 쇼핑검색</t>
        </is>
      </c>
      <c r="E861" s="94" t="inlineStr">
        <is>
          <t>토너</t>
        </is>
      </c>
      <c r="J861" s="89" t="n">
        <v>2970</v>
      </c>
    </row>
    <row r="862" hidden="1" customFormat="1" s="94">
      <c r="B862" s="128" t="n">
        <v>43893</v>
      </c>
      <c r="C862" s="94">
        <f>TEXT(B862,"aaa")</f>
        <v/>
      </c>
      <c r="D862" s="94" t="inlineStr">
        <is>
          <t>인스타그램(랄라블라)</t>
        </is>
      </c>
      <c r="E862" s="94" t="inlineStr">
        <is>
          <t>토너</t>
        </is>
      </c>
      <c r="J862" s="89" t="n">
        <v>23871</v>
      </c>
    </row>
    <row r="863" hidden="1" customFormat="1" s="94">
      <c r="B863" s="128" t="n">
        <v>43893</v>
      </c>
      <c r="C863" s="94">
        <f>TEXT(B863,"aaa")</f>
        <v/>
      </c>
      <c r="D863" s="94" t="inlineStr">
        <is>
          <t>인스타그램(블로그)</t>
        </is>
      </c>
      <c r="E863" s="94" t="inlineStr">
        <is>
          <t>토너</t>
        </is>
      </c>
      <c r="J863" s="89" t="n">
        <v>50217</v>
      </c>
    </row>
    <row r="864" hidden="1" customFormat="1" s="94">
      <c r="B864" s="128" t="n">
        <v>43893</v>
      </c>
      <c r="C864" s="94">
        <f>TEXT(B864,"aaa")</f>
        <v/>
      </c>
      <c r="D864" s="94" t="inlineStr">
        <is>
          <t>인스타그램(리타게팅 전환)</t>
        </is>
      </c>
      <c r="E864" s="94" t="inlineStr">
        <is>
          <t>토너</t>
        </is>
      </c>
      <c r="J864" s="89" t="n">
        <v>251796</v>
      </c>
    </row>
    <row r="865" hidden="1" customFormat="1" s="94">
      <c r="B865" s="128" t="n">
        <v>43893</v>
      </c>
      <c r="C865" s="94">
        <f>TEXT(B865,"aaa")</f>
        <v/>
      </c>
      <c r="D865" s="94" t="inlineStr">
        <is>
          <t>인스타그램(전환)</t>
        </is>
      </c>
      <c r="E865" s="94" t="inlineStr">
        <is>
          <t>머드크림마스크</t>
        </is>
      </c>
      <c r="J865" s="89" t="n">
        <v>90511</v>
      </c>
    </row>
    <row r="866" hidden="1" customFormat="1" s="94">
      <c r="B866" s="128" t="n">
        <v>43893</v>
      </c>
      <c r="C866" s="94">
        <f>TEXT(B866,"aaa")</f>
        <v/>
      </c>
      <c r="D866" s="94" t="inlineStr">
        <is>
          <t>인스타그램(전환)</t>
        </is>
      </c>
      <c r="E866" s="94" t="inlineStr">
        <is>
          <t>토너</t>
        </is>
      </c>
      <c r="J866" s="89" t="n">
        <v>1165707</v>
      </c>
    </row>
    <row r="867" hidden="1" customFormat="1" s="94">
      <c r="B867" s="128" t="n">
        <v>43893</v>
      </c>
      <c r="C867" s="94">
        <f>TEXT(B867,"aaa")</f>
        <v/>
      </c>
      <c r="D867" s="94" t="inlineStr">
        <is>
          <t>네이버 브랜드검색</t>
        </is>
      </c>
      <c r="E867" s="94" t="inlineStr">
        <is>
          <t>토너</t>
        </is>
      </c>
      <c r="J867" s="89" t="n">
        <v>40000</v>
      </c>
    </row>
    <row r="868" hidden="1" customFormat="1" s="94">
      <c r="B868" s="128" t="n">
        <v>43893</v>
      </c>
      <c r="C868" s="94">
        <f>TEXT(B868,"aaa")</f>
        <v/>
      </c>
      <c r="D868" s="94" t="inlineStr">
        <is>
          <t>네이버 쇼핑검색</t>
        </is>
      </c>
      <c r="E868" s="94" t="inlineStr">
        <is>
          <t>토너</t>
        </is>
      </c>
      <c r="J868" s="89" t="n">
        <v>3800</v>
      </c>
    </row>
    <row r="869" hidden="1" customFormat="1" s="94">
      <c r="B869" s="128" t="n">
        <v>43894</v>
      </c>
      <c r="C869" s="94">
        <f>TEXT(B869,"aaa")</f>
        <v/>
      </c>
      <c r="D869" s="94" t="inlineStr">
        <is>
          <t>인스타그램(랄라블라)</t>
        </is>
      </c>
      <c r="E869" s="94" t="inlineStr">
        <is>
          <t>토너</t>
        </is>
      </c>
      <c r="J869" s="89" t="n">
        <v>25685</v>
      </c>
    </row>
    <row r="870" hidden="1" customFormat="1" s="94">
      <c r="B870" s="128" t="n">
        <v>43894</v>
      </c>
      <c r="C870" s="94">
        <f>TEXT(B870,"aaa")</f>
        <v/>
      </c>
      <c r="D870" s="94" t="inlineStr">
        <is>
          <t>인스타그램(블로그)</t>
        </is>
      </c>
      <c r="E870" s="94" t="inlineStr">
        <is>
          <t>토너</t>
        </is>
      </c>
      <c r="J870" s="89" t="n">
        <v>48430</v>
      </c>
    </row>
    <row r="871" hidden="1" customFormat="1" s="94">
      <c r="B871" s="128" t="n">
        <v>43894</v>
      </c>
      <c r="C871" s="94">
        <f>TEXT(B871,"aaa")</f>
        <v/>
      </c>
      <c r="D871" s="94" t="inlineStr">
        <is>
          <t>인스타그램(리타게팅 전환)</t>
        </is>
      </c>
      <c r="E871" s="94" t="inlineStr">
        <is>
          <t>토너</t>
        </is>
      </c>
      <c r="J871" s="89" t="n">
        <v>244644</v>
      </c>
    </row>
    <row r="872" hidden="1" customFormat="1" s="94">
      <c r="B872" s="128" t="n">
        <v>43894</v>
      </c>
      <c r="C872" s="94">
        <f>TEXT(B872,"aaa")</f>
        <v/>
      </c>
      <c r="D872" s="94" t="inlineStr">
        <is>
          <t>인스타그램(전환)</t>
        </is>
      </c>
      <c r="E872" s="94" t="inlineStr">
        <is>
          <t>머드크림마스크</t>
        </is>
      </c>
      <c r="J872" s="89" t="n">
        <v>91027</v>
      </c>
    </row>
    <row r="873" hidden="1" customFormat="1" s="94">
      <c r="B873" s="128" t="n">
        <v>43894</v>
      </c>
      <c r="C873" s="94">
        <f>TEXT(B873,"aaa")</f>
        <v/>
      </c>
      <c r="D873" s="94" t="inlineStr">
        <is>
          <t>인스타그램(리타게팅 전환)</t>
        </is>
      </c>
      <c r="E873" s="94" t="inlineStr">
        <is>
          <t>머드크림마스크</t>
        </is>
      </c>
      <c r="J873" s="89" t="n">
        <v>113126</v>
      </c>
    </row>
    <row r="874" hidden="1" customFormat="1" s="94">
      <c r="B874" s="128" t="n">
        <v>43894</v>
      </c>
      <c r="C874" s="94">
        <f>TEXT(B874,"aaa")</f>
        <v/>
      </c>
      <c r="D874" s="94" t="inlineStr">
        <is>
          <t>인스타그램(전환)</t>
        </is>
      </c>
      <c r="E874" s="94" t="inlineStr">
        <is>
          <t>토너</t>
        </is>
      </c>
      <c r="J874" s="89" t="n">
        <v>847988</v>
      </c>
    </row>
    <row r="875" hidden="1" customFormat="1" s="94">
      <c r="B875" s="128" t="n">
        <v>43894</v>
      </c>
      <c r="C875" s="94">
        <f>TEXT(B875,"aaa")</f>
        <v/>
      </c>
      <c r="D875" s="94" t="inlineStr">
        <is>
          <t>네이버 브랜드검색</t>
        </is>
      </c>
      <c r="E875" s="94" t="inlineStr">
        <is>
          <t>토너</t>
        </is>
      </c>
      <c r="J875" s="89" t="n">
        <v>40000</v>
      </c>
    </row>
    <row r="876" hidden="1" customFormat="1" s="94">
      <c r="B876" s="128" t="n">
        <v>43894</v>
      </c>
      <c r="C876" s="94">
        <f>TEXT(B876,"aaa")</f>
        <v/>
      </c>
      <c r="D876" s="94" t="inlineStr">
        <is>
          <t>네이버 쇼핑검색</t>
        </is>
      </c>
      <c r="E876" s="94" t="inlineStr">
        <is>
          <t>토너</t>
        </is>
      </c>
      <c r="J876" s="89" t="n">
        <v>6549.999999999999</v>
      </c>
    </row>
    <row r="877" hidden="1" customFormat="1" s="94">
      <c r="B877" s="128" t="n">
        <v>43895</v>
      </c>
      <c r="C877" s="94">
        <f>TEXT(B877,"aaa")</f>
        <v/>
      </c>
      <c r="D877" s="94" t="inlineStr">
        <is>
          <t>인스타그램(랄라블라)</t>
        </is>
      </c>
      <c r="E877" s="94" t="inlineStr">
        <is>
          <t>토너</t>
        </is>
      </c>
      <c r="J877" s="89" t="n">
        <v>24511</v>
      </c>
    </row>
    <row r="878" hidden="1" customFormat="1" s="94">
      <c r="B878" s="128" t="n">
        <v>43895</v>
      </c>
      <c r="C878" s="94">
        <f>TEXT(B878,"aaa")</f>
        <v/>
      </c>
      <c r="D878" s="94" t="inlineStr">
        <is>
          <t>인스타그램(블로그)</t>
        </is>
      </c>
      <c r="E878" s="94" t="inlineStr">
        <is>
          <t>토너</t>
        </is>
      </c>
      <c r="J878" s="89" t="n">
        <v>49318</v>
      </c>
    </row>
    <row r="879" hidden="1" customFormat="1" s="94">
      <c r="B879" s="128" t="n">
        <v>43895</v>
      </c>
      <c r="C879" s="94">
        <f>TEXT(B879,"aaa")</f>
        <v/>
      </c>
      <c r="D879" s="94" t="inlineStr">
        <is>
          <t>인스타그램(리타게팅 전환)</t>
        </is>
      </c>
      <c r="E879" s="94" t="inlineStr">
        <is>
          <t>토너</t>
        </is>
      </c>
      <c r="J879" s="89" t="n">
        <v>247808</v>
      </c>
    </row>
    <row r="880" hidden="1" customFormat="1" s="94">
      <c r="B880" s="128" t="n">
        <v>43895</v>
      </c>
      <c r="C880" s="94">
        <f>TEXT(B880,"aaa")</f>
        <v/>
      </c>
      <c r="D880" s="94" t="inlineStr">
        <is>
          <t>인스타그램(전환)</t>
        </is>
      </c>
      <c r="E880" s="94" t="inlineStr">
        <is>
          <t>머드크림마스크</t>
        </is>
      </c>
      <c r="J880" s="89" t="n">
        <v>91488</v>
      </c>
    </row>
    <row r="881" hidden="1" customFormat="1" s="94">
      <c r="B881" s="128" t="n">
        <v>43895</v>
      </c>
      <c r="C881" s="94">
        <f>TEXT(B881,"aaa")</f>
        <v/>
      </c>
      <c r="D881" s="94" t="inlineStr">
        <is>
          <t>인스타그램(리타게팅 전환)</t>
        </is>
      </c>
      <c r="E881" s="94" t="inlineStr">
        <is>
          <t>머드크림마스크</t>
        </is>
      </c>
      <c r="J881" s="89" t="n">
        <v>113952</v>
      </c>
    </row>
    <row r="882" hidden="1" customFormat="1" s="94">
      <c r="B882" s="128" t="n">
        <v>43895</v>
      </c>
      <c r="C882" s="94">
        <f>TEXT(B882,"aaa")</f>
        <v/>
      </c>
      <c r="D882" s="94" t="inlineStr">
        <is>
          <t>인스타그램(전환)</t>
        </is>
      </c>
      <c r="E882" s="94" t="inlineStr">
        <is>
          <t>토너</t>
        </is>
      </c>
      <c r="J882" s="89" t="n">
        <v>751846</v>
      </c>
    </row>
    <row r="883" hidden="1" customFormat="1" s="94">
      <c r="B883" s="128" t="n">
        <v>43895</v>
      </c>
      <c r="C883" s="94">
        <f>TEXT(B883,"aaa")</f>
        <v/>
      </c>
      <c r="D883" s="94" t="inlineStr">
        <is>
          <t>네이버 브랜드검색</t>
        </is>
      </c>
      <c r="E883" s="94" t="inlineStr">
        <is>
          <t>토너</t>
        </is>
      </c>
      <c r="J883" s="89" t="n">
        <v>40000</v>
      </c>
    </row>
    <row r="884" hidden="1" customFormat="1" s="94">
      <c r="B884" s="128" t="n">
        <v>43895</v>
      </c>
      <c r="C884" s="94">
        <f>TEXT(B884,"aaa")</f>
        <v/>
      </c>
      <c r="D884" s="94" t="inlineStr">
        <is>
          <t>네이버 쇼핑검색</t>
        </is>
      </c>
      <c r="E884" s="94" t="inlineStr">
        <is>
          <t>토너</t>
        </is>
      </c>
      <c r="J884" s="89" t="n">
        <v>5300</v>
      </c>
    </row>
    <row r="885" hidden="1" customFormat="1" s="94">
      <c r="B885" s="128" t="n">
        <v>43896</v>
      </c>
      <c r="C885" s="94">
        <f>TEXT(B885,"aaa")</f>
        <v/>
      </c>
      <c r="D885" s="94" t="inlineStr">
        <is>
          <t>인스타그램(랄라블라)</t>
        </is>
      </c>
      <c r="E885" s="94" t="inlineStr">
        <is>
          <t>토너</t>
        </is>
      </c>
      <c r="J885" s="89" t="n">
        <v>26202</v>
      </c>
    </row>
    <row r="886" hidden="1" customFormat="1" s="94">
      <c r="B886" s="128" t="n">
        <v>43896</v>
      </c>
      <c r="C886" s="94">
        <f>TEXT(B886,"aaa")</f>
        <v/>
      </c>
      <c r="D886" s="94" t="inlineStr">
        <is>
          <t>인스타그램(블로그)</t>
        </is>
      </c>
      <c r="E886" s="94" t="inlineStr">
        <is>
          <t>토너</t>
        </is>
      </c>
      <c r="J886" s="89" t="n">
        <v>50108</v>
      </c>
    </row>
    <row r="887" hidden="1" customFormat="1" s="94">
      <c r="B887" s="128" t="n">
        <v>43896</v>
      </c>
      <c r="C887" s="94">
        <f>TEXT(B887,"aaa")</f>
        <v/>
      </c>
      <c r="D887" s="94" t="inlineStr">
        <is>
          <t>인스타그램(리타게팅 전환)</t>
        </is>
      </c>
      <c r="E887" s="94" t="inlineStr">
        <is>
          <t>토너</t>
        </is>
      </c>
      <c r="J887" s="89" t="n">
        <v>167196</v>
      </c>
    </row>
    <row r="888" hidden="1" customFormat="1" s="94">
      <c r="B888" s="128" t="n">
        <v>43896</v>
      </c>
      <c r="C888" s="94">
        <f>TEXT(B888,"aaa")</f>
        <v/>
      </c>
      <c r="D888" s="94" t="inlineStr">
        <is>
          <t>인스타그램(전환)</t>
        </is>
      </c>
      <c r="E888" s="94" t="inlineStr">
        <is>
          <t>머드크림마스크</t>
        </is>
      </c>
      <c r="J888" s="89" t="n">
        <v>91068</v>
      </c>
    </row>
    <row r="889" hidden="1" customFormat="1" s="94">
      <c r="B889" s="128" t="n">
        <v>43896</v>
      </c>
      <c r="C889" s="94">
        <f>TEXT(B889,"aaa")</f>
        <v/>
      </c>
      <c r="D889" s="94" t="inlineStr">
        <is>
          <t>인스타그램(리타게팅 전환)</t>
        </is>
      </c>
      <c r="E889" s="94" t="inlineStr">
        <is>
          <t>머드크림마스크</t>
        </is>
      </c>
      <c r="J889" s="89" t="n">
        <v>114351</v>
      </c>
    </row>
    <row r="890" hidden="1" customFormat="1" s="94">
      <c r="B890" s="128" t="n">
        <v>43896</v>
      </c>
      <c r="C890" s="94">
        <f>TEXT(B890,"aaa")</f>
        <v/>
      </c>
      <c r="D890" s="94" t="inlineStr">
        <is>
          <t>인스타그램(전환)</t>
        </is>
      </c>
      <c r="E890" s="94" t="inlineStr">
        <is>
          <t>토너</t>
        </is>
      </c>
      <c r="J890" s="89" t="n">
        <v>762515</v>
      </c>
    </row>
    <row r="891" hidden="1" customFormat="1" s="94">
      <c r="B891" s="128" t="n">
        <v>43896</v>
      </c>
      <c r="C891" s="94">
        <f>TEXT(B891,"aaa")</f>
        <v/>
      </c>
      <c r="D891" s="94" t="inlineStr">
        <is>
          <t>네이버 브랜드검색</t>
        </is>
      </c>
      <c r="E891" s="94" t="inlineStr">
        <is>
          <t>토너</t>
        </is>
      </c>
      <c r="J891" s="89" t="n">
        <v>40000</v>
      </c>
    </row>
    <row r="892" hidden="1" customFormat="1" s="94">
      <c r="B892" s="128" t="n">
        <v>43896</v>
      </c>
      <c r="C892" s="94">
        <f>TEXT(B892,"aaa")</f>
        <v/>
      </c>
      <c r="D892" s="94" t="inlineStr">
        <is>
          <t>네이버 쇼핑검색</t>
        </is>
      </c>
      <c r="E892" s="94" t="inlineStr">
        <is>
          <t>토너</t>
        </is>
      </c>
      <c r="J892" s="89" t="n">
        <v>4390</v>
      </c>
    </row>
    <row r="893" hidden="1" customFormat="1" s="94">
      <c r="B893" s="128" t="n">
        <v>43897</v>
      </c>
      <c r="C893" s="94">
        <f>TEXT(B893,"aaa")</f>
        <v/>
      </c>
      <c r="D893" s="94" t="inlineStr">
        <is>
          <t>인스타그램(랄라블라)</t>
        </is>
      </c>
      <c r="E893" s="94" t="inlineStr">
        <is>
          <t>토너</t>
        </is>
      </c>
      <c r="J893" s="89" t="n">
        <v>26068</v>
      </c>
    </row>
    <row r="894" hidden="1" customFormat="1" s="94">
      <c r="B894" s="128" t="n">
        <v>43897</v>
      </c>
      <c r="C894" s="94">
        <f>TEXT(B894,"aaa")</f>
        <v/>
      </c>
      <c r="D894" s="94" t="inlineStr">
        <is>
          <t>인스타그램(블로그)</t>
        </is>
      </c>
      <c r="E894" s="94" t="inlineStr">
        <is>
          <t>토너</t>
        </is>
      </c>
      <c r="J894" s="89" t="n">
        <v>53236</v>
      </c>
    </row>
    <row r="895" hidden="1" customFormat="1" s="94">
      <c r="B895" s="128" t="n">
        <v>43897</v>
      </c>
      <c r="C895" s="94">
        <f>TEXT(B895,"aaa")</f>
        <v/>
      </c>
      <c r="D895" s="94" t="inlineStr">
        <is>
          <t>인스타그램(리타게팅 전환)</t>
        </is>
      </c>
      <c r="E895" s="94" t="inlineStr">
        <is>
          <t>토너</t>
        </is>
      </c>
      <c r="J895" s="89" t="n">
        <v>94855</v>
      </c>
    </row>
    <row r="896" hidden="1" customFormat="1" s="94">
      <c r="B896" s="128" t="n">
        <v>43897</v>
      </c>
      <c r="C896" s="94">
        <f>TEXT(B896,"aaa")</f>
        <v/>
      </c>
      <c r="D896" s="94" t="inlineStr">
        <is>
          <t>인스타그램(전환)</t>
        </is>
      </c>
      <c r="E896" s="94" t="inlineStr">
        <is>
          <t>머드크림마스크</t>
        </is>
      </c>
      <c r="J896" s="89" t="n">
        <v>92091</v>
      </c>
    </row>
    <row r="897" hidden="1" customFormat="1" s="94">
      <c r="B897" s="128" t="n">
        <v>43897</v>
      </c>
      <c r="C897" s="94">
        <f>TEXT(B897,"aaa")</f>
        <v/>
      </c>
      <c r="D897" s="94" t="inlineStr">
        <is>
          <t>인스타그램(리타게팅 전환)</t>
        </is>
      </c>
      <c r="E897" s="94" t="inlineStr">
        <is>
          <t>머드크림마스크</t>
        </is>
      </c>
      <c r="J897" s="89" t="n">
        <v>115321</v>
      </c>
    </row>
    <row r="898" hidden="1" customFormat="1" s="94">
      <c r="B898" s="128" t="n">
        <v>43897</v>
      </c>
      <c r="C898" s="94">
        <f>TEXT(B898,"aaa")</f>
        <v/>
      </c>
      <c r="D898" s="94" t="inlineStr">
        <is>
          <t>인스타그램(전환)</t>
        </is>
      </c>
      <c r="E898" s="94" t="inlineStr">
        <is>
          <t>토너</t>
        </is>
      </c>
      <c r="J898" s="89" t="n">
        <v>818350</v>
      </c>
    </row>
    <row r="899" hidden="1" customFormat="1" s="94">
      <c r="B899" s="128" t="n">
        <v>43897</v>
      </c>
      <c r="C899" s="94">
        <f>TEXT(B899,"aaa")</f>
        <v/>
      </c>
      <c r="D899" s="94" t="inlineStr">
        <is>
          <t>네이버 브랜드검색</t>
        </is>
      </c>
      <c r="E899" s="94" t="inlineStr">
        <is>
          <t>토너</t>
        </is>
      </c>
      <c r="J899" s="89" t="n">
        <v>40000</v>
      </c>
    </row>
    <row r="900" hidden="1" customFormat="1" s="94">
      <c r="B900" s="128" t="n">
        <v>43897</v>
      </c>
      <c r="C900" s="94">
        <f>TEXT(B900,"aaa")</f>
        <v/>
      </c>
      <c r="D900" s="94" t="inlineStr">
        <is>
          <t>네이버 쇼핑검색</t>
        </is>
      </c>
      <c r="E900" s="94" t="inlineStr">
        <is>
          <t>토너</t>
        </is>
      </c>
      <c r="J900" s="89" t="n">
        <v>6169.999999999999</v>
      </c>
    </row>
    <row r="901" hidden="1" customFormat="1" s="94">
      <c r="B901" s="128" t="n">
        <v>43898</v>
      </c>
      <c r="C901" s="94">
        <f>TEXT(B901,"aaa")</f>
        <v/>
      </c>
      <c r="D901" s="94" t="inlineStr">
        <is>
          <t>인스타그램(랄라블라)</t>
        </is>
      </c>
      <c r="E901" s="94" t="inlineStr">
        <is>
          <t>토너</t>
        </is>
      </c>
      <c r="J901" s="89" t="n">
        <v>23918</v>
      </c>
    </row>
    <row r="902" hidden="1" customFormat="1" s="94">
      <c r="B902" s="128" t="n">
        <v>43898</v>
      </c>
      <c r="C902" s="94">
        <f>TEXT(B902,"aaa")</f>
        <v/>
      </c>
      <c r="D902" s="94" t="inlineStr">
        <is>
          <t>인스타그램(블로그)</t>
        </is>
      </c>
      <c r="E902" s="94" t="inlineStr">
        <is>
          <t>토너</t>
        </is>
      </c>
      <c r="J902" s="89" t="n">
        <v>50203</v>
      </c>
    </row>
    <row r="903" hidden="1" customFormat="1" s="94">
      <c r="B903" s="128" t="n">
        <v>43898</v>
      </c>
      <c r="C903" s="94">
        <f>TEXT(B903,"aaa")</f>
        <v/>
      </c>
      <c r="D903" s="94" t="inlineStr">
        <is>
          <t>인스타그램(리타게팅 전환)</t>
        </is>
      </c>
      <c r="E903" s="94" t="inlineStr">
        <is>
          <t>토너</t>
        </is>
      </c>
      <c r="J903" s="89" t="n">
        <v>100479</v>
      </c>
    </row>
    <row r="904" hidden="1" customFormat="1" s="94">
      <c r="B904" s="128" t="n">
        <v>43898</v>
      </c>
      <c r="C904" s="94">
        <f>TEXT(B904,"aaa")</f>
        <v/>
      </c>
      <c r="D904" s="94" t="inlineStr">
        <is>
          <t>인스타그램(전환)</t>
        </is>
      </c>
      <c r="E904" s="94" t="inlineStr">
        <is>
          <t>머드크림마스크</t>
        </is>
      </c>
      <c r="J904" s="89" t="n">
        <v>80228</v>
      </c>
    </row>
    <row r="905" hidden="1" customFormat="1" s="94">
      <c r="B905" s="128" t="n">
        <v>43898</v>
      </c>
      <c r="C905" s="94">
        <f>TEXT(B905,"aaa")</f>
        <v/>
      </c>
      <c r="D905" s="94" t="inlineStr">
        <is>
          <t>인스타그램(리타게팅 전환)</t>
        </is>
      </c>
      <c r="E905" s="94" t="inlineStr">
        <is>
          <t>머드크림마스크</t>
        </is>
      </c>
      <c r="J905" s="89" t="n">
        <v>100457</v>
      </c>
    </row>
    <row r="906" hidden="1" customFormat="1" s="94">
      <c r="B906" s="128" t="n">
        <v>43898</v>
      </c>
      <c r="C906" s="94">
        <f>TEXT(B906,"aaa")</f>
        <v/>
      </c>
      <c r="D906" s="94" t="inlineStr">
        <is>
          <t>인스타그램(전환)</t>
        </is>
      </c>
      <c r="E906" s="94" t="inlineStr">
        <is>
          <t>토너</t>
        </is>
      </c>
      <c r="J906" s="89" t="n">
        <v>801211</v>
      </c>
    </row>
    <row r="907" hidden="1" customFormat="1" s="94">
      <c r="B907" s="128" t="n">
        <v>43898</v>
      </c>
      <c r="C907" s="94">
        <f>TEXT(B907,"aaa")</f>
        <v/>
      </c>
      <c r="D907" s="94" t="inlineStr">
        <is>
          <t>네이버 브랜드검색</t>
        </is>
      </c>
      <c r="E907" s="94" t="inlineStr">
        <is>
          <t>토너</t>
        </is>
      </c>
      <c r="J907" s="89" t="n">
        <v>40000</v>
      </c>
    </row>
    <row r="908" hidden="1" customFormat="1" s="94">
      <c r="B908" s="128" t="n">
        <v>43898</v>
      </c>
      <c r="C908" s="94">
        <f>TEXT(B908,"aaa")</f>
        <v/>
      </c>
      <c r="D908" s="94" t="inlineStr">
        <is>
          <t>네이버 쇼핑검색</t>
        </is>
      </c>
      <c r="E908" s="94" t="inlineStr">
        <is>
          <t>토너</t>
        </is>
      </c>
      <c r="J908" s="89" t="n">
        <v>4060</v>
      </c>
    </row>
    <row r="909" hidden="1" customFormat="1" s="94">
      <c r="B909" s="128" t="n">
        <v>43899</v>
      </c>
      <c r="C909" s="94">
        <f>TEXT(B909,"aaa")</f>
        <v/>
      </c>
      <c r="D909" s="94" t="inlineStr">
        <is>
          <t>인스타그램(랄라블라)</t>
        </is>
      </c>
      <c r="E909" s="94" t="inlineStr">
        <is>
          <t>토너</t>
        </is>
      </c>
      <c r="J909" s="89" t="n">
        <v>23906</v>
      </c>
    </row>
    <row r="910" hidden="1" customFormat="1" s="94">
      <c r="B910" s="128" t="n">
        <v>43899</v>
      </c>
      <c r="C910" s="94">
        <f>TEXT(B910,"aaa")</f>
        <v/>
      </c>
      <c r="D910" s="94" t="inlineStr">
        <is>
          <t>인스타그램(블로그)</t>
        </is>
      </c>
      <c r="E910" s="94" t="inlineStr">
        <is>
          <t>토너</t>
        </is>
      </c>
      <c r="J910" s="89" t="n">
        <v>48783</v>
      </c>
    </row>
    <row r="911" hidden="1" customFormat="1" s="94">
      <c r="B911" s="128" t="n">
        <v>43899</v>
      </c>
      <c r="C911" s="94">
        <f>TEXT(B911,"aaa")</f>
        <v/>
      </c>
      <c r="D911" s="94" t="inlineStr">
        <is>
          <t>인스타그램(리타게팅 전환)</t>
        </is>
      </c>
      <c r="E911" s="94" t="inlineStr">
        <is>
          <t>토너</t>
        </is>
      </c>
      <c r="J911" s="89" t="n">
        <v>98877</v>
      </c>
    </row>
    <row r="912" hidden="1" customFormat="1" s="94">
      <c r="B912" s="128" t="n">
        <v>43899</v>
      </c>
      <c r="C912" s="94">
        <f>TEXT(B912,"aaa")</f>
        <v/>
      </c>
      <c r="D912" s="94" t="inlineStr">
        <is>
          <t>인스타그램(전환)</t>
        </is>
      </c>
      <c r="E912" s="94" t="inlineStr">
        <is>
          <t>머드크림마스크</t>
        </is>
      </c>
      <c r="J912" s="89" t="n">
        <v>45752</v>
      </c>
    </row>
    <row r="913" hidden="1" customFormat="1" s="94">
      <c r="B913" s="128" t="n">
        <v>43899</v>
      </c>
      <c r="C913" s="94">
        <f>TEXT(B913,"aaa")</f>
        <v/>
      </c>
      <c r="D913" s="94" t="inlineStr">
        <is>
          <t>인스타그램(리타게팅 전환)</t>
        </is>
      </c>
      <c r="E913" s="94" t="inlineStr">
        <is>
          <t>머드크림마스크</t>
        </is>
      </c>
      <c r="J913" s="89" t="n">
        <v>60474</v>
      </c>
    </row>
    <row r="914" hidden="1" customFormat="1" s="94">
      <c r="B914" s="128" t="n">
        <v>43899</v>
      </c>
      <c r="C914" s="94">
        <f>TEXT(B914,"aaa")</f>
        <v/>
      </c>
      <c r="D914" s="94" t="inlineStr">
        <is>
          <t>인스타그램(전환)</t>
        </is>
      </c>
      <c r="E914" s="94" t="inlineStr">
        <is>
          <t>토너</t>
        </is>
      </c>
      <c r="J914" s="89" t="n">
        <v>776856</v>
      </c>
    </row>
    <row r="915" hidden="1" customFormat="1" s="94">
      <c r="B915" s="128" t="n">
        <v>43899</v>
      </c>
      <c r="C915" s="94">
        <f>TEXT(B915,"aaa")</f>
        <v/>
      </c>
      <c r="D915" s="94" t="inlineStr">
        <is>
          <t>네이버 브랜드검색</t>
        </is>
      </c>
      <c r="E915" s="94" t="inlineStr">
        <is>
          <t>토너</t>
        </is>
      </c>
      <c r="J915" s="89" t="n">
        <v>40000</v>
      </c>
    </row>
    <row r="916" hidden="1" customFormat="1" s="94">
      <c r="B916" s="128" t="n">
        <v>43899</v>
      </c>
      <c r="C916" s="94">
        <f>TEXT(B916,"aaa")</f>
        <v/>
      </c>
      <c r="D916" s="94" t="inlineStr">
        <is>
          <t>네이버 쇼핑검색</t>
        </is>
      </c>
      <c r="E916" s="94" t="inlineStr">
        <is>
          <t>토너</t>
        </is>
      </c>
      <c r="J916" s="89" t="n">
        <v>6669.999999999999</v>
      </c>
    </row>
    <row r="917" hidden="1" customFormat="1" s="94">
      <c r="B917" s="128" t="n">
        <v>43900</v>
      </c>
      <c r="C917" s="94">
        <f>TEXT(B917,"aaa")</f>
        <v/>
      </c>
      <c r="D917" s="94" t="inlineStr">
        <is>
          <t>인스타그램(랄라블라)</t>
        </is>
      </c>
      <c r="E917" s="94" t="inlineStr">
        <is>
          <t>토너</t>
        </is>
      </c>
      <c r="J917" s="89" t="n">
        <v>24385</v>
      </c>
    </row>
    <row r="918" hidden="1" customFormat="1" s="94">
      <c r="B918" s="128" t="n">
        <v>43900</v>
      </c>
      <c r="C918" s="94">
        <f>TEXT(B918,"aaa")</f>
        <v/>
      </c>
      <c r="D918" s="94" t="inlineStr">
        <is>
          <t>인스타그램(블로그)</t>
        </is>
      </c>
      <c r="E918" s="94" t="inlineStr">
        <is>
          <t>토너</t>
        </is>
      </c>
      <c r="J918" s="89" t="n">
        <v>49892</v>
      </c>
    </row>
    <row r="919" hidden="1" customFormat="1" s="94">
      <c r="B919" s="128" t="n">
        <v>43900</v>
      </c>
      <c r="C919" s="94">
        <f>TEXT(B919,"aaa")</f>
        <v/>
      </c>
      <c r="D919" s="94" t="inlineStr">
        <is>
          <t>인스타그램(리타게팅 전환)</t>
        </is>
      </c>
      <c r="E919" s="94" t="inlineStr">
        <is>
          <t>토너</t>
        </is>
      </c>
      <c r="J919" s="89" t="n">
        <v>100905</v>
      </c>
    </row>
    <row r="920" hidden="1" customFormat="1" s="94">
      <c r="B920" s="128" t="n">
        <v>43900</v>
      </c>
      <c r="C920" s="94">
        <f>TEXT(B920,"aaa")</f>
        <v/>
      </c>
      <c r="D920" s="94" t="inlineStr">
        <is>
          <t>인스타그램(전환)</t>
        </is>
      </c>
      <c r="E920" s="94" t="inlineStr">
        <is>
          <t>토너</t>
        </is>
      </c>
      <c r="J920" s="89" t="n">
        <v>800054</v>
      </c>
    </row>
    <row r="921" hidden="1" customFormat="1" s="94">
      <c r="B921" s="128" t="n">
        <v>43900</v>
      </c>
      <c r="C921" s="94">
        <f>TEXT(B921,"aaa")</f>
        <v/>
      </c>
      <c r="D921" s="94" t="inlineStr">
        <is>
          <t>네이버 브랜드검색</t>
        </is>
      </c>
      <c r="E921" s="94" t="inlineStr">
        <is>
          <t>토너</t>
        </is>
      </c>
      <c r="J921" s="89" t="n">
        <v>40000</v>
      </c>
    </row>
    <row r="922" hidden="1" customFormat="1" s="94">
      <c r="B922" s="128" t="n">
        <v>43900</v>
      </c>
      <c r="C922" s="94">
        <f>TEXT(B922,"aaa")</f>
        <v/>
      </c>
      <c r="D922" s="94" t="inlineStr">
        <is>
          <t>네이버 쇼핑검색</t>
        </is>
      </c>
      <c r="E922" s="94" t="inlineStr">
        <is>
          <t>토너</t>
        </is>
      </c>
      <c r="J922" s="89" t="n">
        <v>57869.99999999999</v>
      </c>
    </row>
    <row r="923" hidden="1" customFormat="1" s="94">
      <c r="B923" s="128" t="n">
        <v>43900</v>
      </c>
      <c r="C923" s="94">
        <f>TEXT(B923,"aaa")</f>
        <v/>
      </c>
      <c r="D923" s="94" t="inlineStr">
        <is>
          <t>유튜브(최모나)</t>
        </is>
      </c>
      <c r="E923" s="94" t="inlineStr">
        <is>
          <t>토너</t>
        </is>
      </c>
      <c r="J923" s="89">
        <f>900000/1.1</f>
        <v/>
      </c>
    </row>
    <row r="924" hidden="1" customFormat="1" s="94">
      <c r="B924" s="128" t="n">
        <v>43901</v>
      </c>
      <c r="C924" s="94">
        <f>TEXT(B924,"aaa")</f>
        <v/>
      </c>
      <c r="D924" s="94" t="inlineStr">
        <is>
          <t>인스타그램(랄라블라)</t>
        </is>
      </c>
      <c r="E924" s="94" t="inlineStr">
        <is>
          <t>토너</t>
        </is>
      </c>
      <c r="J924" s="89" t="n">
        <v>24884</v>
      </c>
    </row>
    <row r="925" hidden="1" customFormat="1" s="94">
      <c r="B925" s="128" t="n">
        <v>43901</v>
      </c>
      <c r="C925" s="94">
        <f>TEXT(B925,"aaa")</f>
        <v/>
      </c>
      <c r="D925" s="94" t="inlineStr">
        <is>
          <t>인스타그램(블로그)</t>
        </is>
      </c>
      <c r="E925" s="94" t="inlineStr">
        <is>
          <t>토너</t>
        </is>
      </c>
      <c r="J925" s="89" t="n">
        <v>48955</v>
      </c>
    </row>
    <row r="926" hidden="1" customFormat="1" s="94">
      <c r="B926" s="128" t="n">
        <v>43901</v>
      </c>
      <c r="C926" s="94">
        <f>TEXT(B926,"aaa")</f>
        <v/>
      </c>
      <c r="D926" s="94" t="inlineStr">
        <is>
          <t>인스타그램(리타게팅 전환)</t>
        </is>
      </c>
      <c r="E926" s="94" t="inlineStr">
        <is>
          <t>토너</t>
        </is>
      </c>
      <c r="J926" s="89" t="n">
        <v>96615</v>
      </c>
    </row>
    <row r="927" hidden="1" customFormat="1" s="94">
      <c r="B927" s="128" t="n">
        <v>43901</v>
      </c>
      <c r="C927" s="94">
        <f>TEXT(B927,"aaa")</f>
        <v/>
      </c>
      <c r="D927" s="94" t="inlineStr">
        <is>
          <t>인스타그램(전환)</t>
        </is>
      </c>
      <c r="E927" s="94" t="inlineStr">
        <is>
          <t>토너</t>
        </is>
      </c>
      <c r="J927" s="89" t="n">
        <v>787574</v>
      </c>
    </row>
    <row r="928" hidden="1" customFormat="1" s="94">
      <c r="B928" s="128" t="n">
        <v>43901</v>
      </c>
      <c r="C928" s="94">
        <f>TEXT(B928,"aaa")</f>
        <v/>
      </c>
      <c r="D928" s="94" t="inlineStr">
        <is>
          <t>네이버 브랜드검색</t>
        </is>
      </c>
      <c r="E928" s="94" t="inlineStr">
        <is>
          <t>토너</t>
        </is>
      </c>
      <c r="J928" s="89" t="n">
        <v>40000</v>
      </c>
    </row>
    <row r="929" hidden="1" customFormat="1" s="94">
      <c r="B929" s="128" t="n">
        <v>43901</v>
      </c>
      <c r="C929" s="94">
        <f>TEXT(B929,"aaa")</f>
        <v/>
      </c>
      <c r="D929" s="94" t="inlineStr">
        <is>
          <t>네이버 쇼핑검색</t>
        </is>
      </c>
      <c r="E929" s="94" t="inlineStr">
        <is>
          <t>토너</t>
        </is>
      </c>
      <c r="J929" s="89" t="n">
        <v>67250</v>
      </c>
    </row>
    <row r="930" hidden="1" customFormat="1" s="94">
      <c r="B930" s="128" t="n">
        <v>43890</v>
      </c>
      <c r="C930" s="94">
        <f>TEXT(B930,"aaa")</f>
        <v/>
      </c>
      <c r="D930" s="94" t="inlineStr">
        <is>
          <t>기획사이다</t>
        </is>
      </c>
      <c r="E930" s="94" t="inlineStr">
        <is>
          <t>토너</t>
        </is>
      </c>
      <c r="J930" s="89">
        <f>6000000+15909</f>
        <v/>
      </c>
    </row>
    <row r="931" hidden="1" customFormat="1" s="94">
      <c r="B931" s="128" t="n">
        <v>43890</v>
      </c>
      <c r="C931" s="94">
        <f>TEXT(B931,"aaa")</f>
        <v/>
      </c>
      <c r="D931" s="94" t="inlineStr">
        <is>
          <t>기획사이다</t>
        </is>
      </c>
      <c r="E931" s="94" t="inlineStr">
        <is>
          <t>토너</t>
        </is>
      </c>
      <c r="J931" s="89" t="n">
        <v>2400000</v>
      </c>
    </row>
    <row r="932" hidden="1" customFormat="1" s="94">
      <c r="B932" s="128" t="n">
        <v>43895</v>
      </c>
      <c r="C932" s="94">
        <f>TEXT(B932,"aaa")</f>
        <v/>
      </c>
      <c r="D932" s="94" t="inlineStr">
        <is>
          <t>트위터(일본)</t>
        </is>
      </c>
      <c r="E932" s="94" t="inlineStr">
        <is>
          <t>토너</t>
        </is>
      </c>
      <c r="J932" s="89" t="n">
        <v>29801</v>
      </c>
    </row>
    <row r="933" hidden="1" customFormat="1" s="94">
      <c r="B933" s="128" t="n">
        <v>43885</v>
      </c>
      <c r="C933" s="94">
        <f>TEXT(B933,"aaa")</f>
        <v/>
      </c>
      <c r="D933" s="94" t="inlineStr">
        <is>
          <t>트위터(일본)</t>
        </is>
      </c>
      <c r="E933" s="94" t="inlineStr">
        <is>
          <t>토너</t>
        </is>
      </c>
      <c r="J933" s="89" t="n">
        <v>39251</v>
      </c>
    </row>
    <row r="934" hidden="1" customFormat="1" s="94">
      <c r="B934" s="128" t="n">
        <v>43887</v>
      </c>
      <c r="C934" s="94">
        <f>TEXT(B934,"aaa")</f>
        <v/>
      </c>
      <c r="D934" s="94" t="inlineStr">
        <is>
          <t>트위터(일본)</t>
        </is>
      </c>
      <c r="E934" s="94" t="inlineStr">
        <is>
          <t>토너</t>
        </is>
      </c>
      <c r="J934" s="89" t="n">
        <v>50000</v>
      </c>
    </row>
    <row r="935" hidden="1" customFormat="1" s="94">
      <c r="B935" s="128" t="n">
        <v>43888</v>
      </c>
      <c r="C935" s="94">
        <f>TEXT(B935,"aaa")</f>
        <v/>
      </c>
      <c r="D935" s="94" t="inlineStr">
        <is>
          <t>트위터(일본)</t>
        </is>
      </c>
      <c r="E935" s="94" t="inlineStr">
        <is>
          <t>토너</t>
        </is>
      </c>
      <c r="J935" s="89" t="n">
        <v>50000</v>
      </c>
    </row>
    <row r="936" hidden="1" customFormat="1" s="94">
      <c r="B936" s="128" t="n">
        <v>43889</v>
      </c>
      <c r="C936" s="94">
        <f>TEXT(B936,"aaa")</f>
        <v/>
      </c>
      <c r="D936" s="94" t="inlineStr">
        <is>
          <t>트위터(일본)</t>
        </is>
      </c>
      <c r="E936" s="94" t="inlineStr">
        <is>
          <t>토너</t>
        </is>
      </c>
      <c r="J936" s="89" t="n">
        <v>35283</v>
      </c>
    </row>
    <row r="937" hidden="1" customFormat="1" s="94">
      <c r="B937" s="128" t="n">
        <v>43902</v>
      </c>
      <c r="C937" s="94">
        <f>TEXT(B937,"aaa")</f>
        <v/>
      </c>
      <c r="D937" s="94" t="inlineStr">
        <is>
          <t>인스타그램(랄라블라)</t>
        </is>
      </c>
      <c r="E937" s="94" t="inlineStr">
        <is>
          <t>토너</t>
        </is>
      </c>
      <c r="J937" s="89" t="n">
        <v>18412</v>
      </c>
    </row>
    <row r="938" hidden="1" customFormat="1" s="94">
      <c r="B938" s="128" t="n">
        <v>43902</v>
      </c>
      <c r="C938" s="94">
        <f>TEXT(B938,"aaa")</f>
        <v/>
      </c>
      <c r="D938" s="94" t="inlineStr">
        <is>
          <t>인스타그램(블로그)</t>
        </is>
      </c>
      <c r="E938" s="94" t="inlineStr">
        <is>
          <t>토너</t>
        </is>
      </c>
      <c r="J938" s="89" t="n">
        <v>36663</v>
      </c>
    </row>
    <row r="939" hidden="1" customFormat="1" s="94">
      <c r="B939" s="128" t="n">
        <v>43902</v>
      </c>
      <c r="C939" s="94">
        <f>TEXT(B939,"aaa")</f>
        <v/>
      </c>
      <c r="D939" s="94" t="inlineStr">
        <is>
          <t>인스타그램(리타게팅 전환)</t>
        </is>
      </c>
      <c r="E939" s="94" t="inlineStr">
        <is>
          <t>토너</t>
        </is>
      </c>
      <c r="J939" s="89" t="n">
        <v>73400</v>
      </c>
    </row>
    <row r="940" hidden="1" customFormat="1" s="94">
      <c r="B940" s="128" t="n">
        <v>43902</v>
      </c>
      <c r="C940" s="94">
        <f>TEXT(B940,"aaa")</f>
        <v/>
      </c>
      <c r="D940" s="94" t="inlineStr">
        <is>
          <t>인스타그램(전환)</t>
        </is>
      </c>
      <c r="E940" s="94" t="inlineStr">
        <is>
          <t>토너</t>
        </is>
      </c>
      <c r="J940" s="89" t="n">
        <v>646600</v>
      </c>
    </row>
    <row r="941" hidden="1" customFormat="1" s="94">
      <c r="B941" s="128" t="n">
        <v>43902</v>
      </c>
      <c r="C941" s="94">
        <f>TEXT(B941,"aaa")</f>
        <v/>
      </c>
      <c r="D941" s="94" t="inlineStr">
        <is>
          <t>페북/인스타(전환)</t>
        </is>
      </c>
      <c r="E941" s="94" t="inlineStr">
        <is>
          <t>토너</t>
        </is>
      </c>
      <c r="J941" s="89" t="n">
        <v>107518</v>
      </c>
    </row>
    <row r="942" hidden="1" customFormat="1" s="94">
      <c r="B942" s="128" t="n">
        <v>43902</v>
      </c>
      <c r="C942" s="94">
        <f>TEXT(B942,"aaa")</f>
        <v/>
      </c>
      <c r="D942" s="94" t="inlineStr">
        <is>
          <t>네이버 브랜드검색</t>
        </is>
      </c>
      <c r="E942" s="94" t="inlineStr">
        <is>
          <t>토너</t>
        </is>
      </c>
      <c r="J942" s="89" t="n">
        <v>40000</v>
      </c>
    </row>
    <row r="943" hidden="1" customFormat="1" s="94">
      <c r="B943" s="128" t="n">
        <v>43902</v>
      </c>
      <c r="C943" s="94">
        <f>TEXT(B943,"aaa")</f>
        <v/>
      </c>
      <c r="D943" s="94" t="inlineStr">
        <is>
          <t>네이버 쇼핑검색</t>
        </is>
      </c>
      <c r="E943" s="94" t="inlineStr">
        <is>
          <t>토너</t>
        </is>
      </c>
      <c r="J943" s="89" t="n">
        <v>43180</v>
      </c>
    </row>
    <row r="944" hidden="1" customFormat="1" s="94">
      <c r="B944" s="128" t="n">
        <v>43903</v>
      </c>
      <c r="C944" s="94">
        <f>TEXT(B944,"aaa")</f>
        <v/>
      </c>
      <c r="D944" s="94" t="inlineStr">
        <is>
          <t>인스타그램(전환)</t>
        </is>
      </c>
      <c r="E944" s="94" t="inlineStr">
        <is>
          <t>토너</t>
        </is>
      </c>
      <c r="J944" s="89" t="n">
        <v>285531</v>
      </c>
    </row>
    <row r="945" hidden="1" customFormat="1" s="94">
      <c r="B945" s="128" t="n">
        <v>43903</v>
      </c>
      <c r="C945" s="94">
        <f>TEXT(B945,"aaa")</f>
        <v/>
      </c>
      <c r="D945" s="94" t="inlineStr">
        <is>
          <t>페북/인스타(전환)</t>
        </is>
      </c>
      <c r="E945" s="94" t="inlineStr">
        <is>
          <t>토너</t>
        </is>
      </c>
      <c r="J945" s="89" t="n">
        <v>108058</v>
      </c>
    </row>
    <row r="946" hidden="1" customFormat="1" s="94">
      <c r="B946" s="128" t="n">
        <v>43903</v>
      </c>
      <c r="C946" s="94">
        <f>TEXT(B946,"aaa")</f>
        <v/>
      </c>
      <c r="D946" s="94" t="inlineStr">
        <is>
          <t>네이버 브랜드검색</t>
        </is>
      </c>
      <c r="E946" s="94" t="inlineStr">
        <is>
          <t>토너</t>
        </is>
      </c>
      <c r="J946" s="89" t="n">
        <v>40000</v>
      </c>
    </row>
    <row r="947" hidden="1" customFormat="1" s="94">
      <c r="B947" s="128" t="n">
        <v>43903</v>
      </c>
      <c r="C947" s="94">
        <f>TEXT(B947,"aaa")</f>
        <v/>
      </c>
      <c r="D947" s="94" t="inlineStr">
        <is>
          <t>네이버 쇼핑검색</t>
        </is>
      </c>
      <c r="E947" s="94" t="inlineStr">
        <is>
          <t>토너</t>
        </is>
      </c>
      <c r="J947" s="89" t="n">
        <v>29000</v>
      </c>
    </row>
    <row r="948" hidden="1" customFormat="1" s="94">
      <c r="B948" s="128" t="n">
        <v>43904</v>
      </c>
      <c r="C948" s="94">
        <f>TEXT(B948,"aaa")</f>
        <v/>
      </c>
      <c r="D948" s="94" t="inlineStr">
        <is>
          <t>인스타그램(전환)</t>
        </is>
      </c>
      <c r="E948" s="94" t="inlineStr">
        <is>
          <t>토너</t>
        </is>
      </c>
      <c r="J948" s="89" t="n">
        <v>308193</v>
      </c>
    </row>
    <row r="949" hidden="1" customFormat="1" s="94">
      <c r="B949" s="128" t="n">
        <v>43904</v>
      </c>
      <c r="C949" s="94">
        <f>TEXT(B949,"aaa")</f>
        <v/>
      </c>
      <c r="D949" s="94" t="inlineStr">
        <is>
          <t>페북/인스타(전환)</t>
        </is>
      </c>
      <c r="E949" s="94" t="inlineStr">
        <is>
          <t>토너</t>
        </is>
      </c>
      <c r="J949" s="89" t="n">
        <v>112509</v>
      </c>
    </row>
    <row r="950" hidden="1" customFormat="1" s="94">
      <c r="B950" s="128" t="n">
        <v>43904</v>
      </c>
      <c r="C950" s="94">
        <f>TEXT(B950,"aaa")</f>
        <v/>
      </c>
      <c r="D950" s="94" t="inlineStr">
        <is>
          <t>네이버 브랜드검색</t>
        </is>
      </c>
      <c r="E950" s="94" t="inlineStr">
        <is>
          <t>토너</t>
        </is>
      </c>
      <c r="J950" s="89" t="n">
        <v>40000</v>
      </c>
    </row>
    <row r="951" hidden="1" customFormat="1" s="94">
      <c r="B951" s="128" t="n">
        <v>43904</v>
      </c>
      <c r="C951" s="94">
        <f>TEXT(B951,"aaa")</f>
        <v/>
      </c>
      <c r="D951" s="94" t="inlineStr">
        <is>
          <t>네이버 쇼핑검색</t>
        </is>
      </c>
      <c r="E951" s="94" t="inlineStr">
        <is>
          <t>토너</t>
        </is>
      </c>
      <c r="J951" s="89" t="n">
        <v>31590</v>
      </c>
    </row>
    <row r="952" hidden="1" customFormat="1" s="94">
      <c r="B952" s="128" t="n">
        <v>43905</v>
      </c>
      <c r="C952" s="94">
        <f>TEXT(B952,"aaa")</f>
        <v/>
      </c>
      <c r="D952" s="94" t="inlineStr">
        <is>
          <t>인스타그램(전환)</t>
        </is>
      </c>
      <c r="E952" s="94" t="inlineStr">
        <is>
          <t>토너</t>
        </is>
      </c>
      <c r="J952" s="89" t="n">
        <v>300794</v>
      </c>
    </row>
    <row r="953" hidden="1" customFormat="1" s="94">
      <c r="B953" s="128" t="n">
        <v>43905</v>
      </c>
      <c r="C953" s="94">
        <f>TEXT(B953,"aaa")</f>
        <v/>
      </c>
      <c r="D953" s="94" t="inlineStr">
        <is>
          <t>페북/인스타(전환)</t>
        </is>
      </c>
      <c r="E953" s="94" t="inlineStr">
        <is>
          <t>토너</t>
        </is>
      </c>
      <c r="J953" s="89" t="n">
        <v>100404</v>
      </c>
    </row>
    <row r="954" hidden="1" customFormat="1" s="94">
      <c r="B954" s="128" t="n">
        <v>43905</v>
      </c>
      <c r="C954" s="94">
        <f>TEXT(B954,"aaa")</f>
        <v/>
      </c>
      <c r="D954" s="94" t="inlineStr">
        <is>
          <t>네이버 브랜드검색</t>
        </is>
      </c>
      <c r="E954" s="94" t="inlineStr">
        <is>
          <t>토너</t>
        </is>
      </c>
      <c r="J954" s="89" t="n">
        <v>40000</v>
      </c>
    </row>
    <row r="955" hidden="1" customFormat="1" s="94">
      <c r="B955" s="128" t="n">
        <v>43905</v>
      </c>
      <c r="C955" s="94">
        <f>TEXT(B955,"aaa")</f>
        <v/>
      </c>
      <c r="D955" s="94" t="inlineStr">
        <is>
          <t>네이버 쇼핑검색</t>
        </is>
      </c>
      <c r="E955" s="94" t="inlineStr">
        <is>
          <t>토너</t>
        </is>
      </c>
      <c r="J955" s="89" t="n">
        <v>32670</v>
      </c>
    </row>
    <row r="956" hidden="1" customFormat="1" s="94">
      <c r="B956" s="128" t="n">
        <v>43906</v>
      </c>
      <c r="C956" s="94">
        <f>TEXT(B956,"aaa")</f>
        <v/>
      </c>
      <c r="D956" s="94" t="inlineStr">
        <is>
          <t>인스타그램(전환)</t>
        </is>
      </c>
      <c r="E956" s="94" t="inlineStr">
        <is>
          <t>토너</t>
        </is>
      </c>
      <c r="J956" s="89" t="n">
        <v>291717</v>
      </c>
    </row>
    <row r="957" hidden="1" customFormat="1" s="94">
      <c r="B957" s="128" t="n">
        <v>43906</v>
      </c>
      <c r="C957" s="94">
        <f>TEXT(B957,"aaa")</f>
        <v/>
      </c>
      <c r="D957" s="94" t="inlineStr">
        <is>
          <t>페북/인스타(전환)</t>
        </is>
      </c>
      <c r="E957" s="94" t="inlineStr">
        <is>
          <t>토너</t>
        </is>
      </c>
      <c r="J957" s="89" t="n">
        <v>96289</v>
      </c>
    </row>
    <row r="958" hidden="1" customFormat="1" s="94">
      <c r="B958" s="128" t="n">
        <v>43906</v>
      </c>
      <c r="C958" s="94">
        <f>TEXT(B958,"aaa")</f>
        <v/>
      </c>
      <c r="D958" s="94" t="inlineStr">
        <is>
          <t>네이버 브랜드검색</t>
        </is>
      </c>
      <c r="E958" s="94" t="inlineStr">
        <is>
          <t>토너</t>
        </is>
      </c>
      <c r="J958" s="89" t="n">
        <v>40000</v>
      </c>
    </row>
    <row r="959" hidden="1" customFormat="1" s="94">
      <c r="B959" s="128" t="n">
        <v>43906</v>
      </c>
      <c r="C959" s="94">
        <f>TEXT(B959,"aaa")</f>
        <v/>
      </c>
      <c r="D959" s="94" t="inlineStr">
        <is>
          <t>네이버 쇼핑검색</t>
        </is>
      </c>
      <c r="E959" s="94" t="inlineStr">
        <is>
          <t>토너</t>
        </is>
      </c>
      <c r="J959" s="89" t="n">
        <v>32680</v>
      </c>
    </row>
    <row r="960" hidden="1" customFormat="1" s="94">
      <c r="B960" s="128" t="n">
        <v>43907</v>
      </c>
      <c r="C960" s="94">
        <f>TEXT(B960,"aaa")</f>
        <v/>
      </c>
      <c r="D960" s="94" t="inlineStr">
        <is>
          <t>인스타그램(전환)</t>
        </is>
      </c>
      <c r="E960" s="94" t="inlineStr">
        <is>
          <t>토너</t>
        </is>
      </c>
      <c r="J960" s="89" t="n">
        <v>297007</v>
      </c>
    </row>
    <row r="961" hidden="1" customFormat="1" s="94">
      <c r="B961" s="128" t="n">
        <v>43907</v>
      </c>
      <c r="C961" s="94">
        <f>TEXT(B961,"aaa")</f>
        <v/>
      </c>
      <c r="D961" s="94" t="inlineStr">
        <is>
          <t>페북/인스타(전환)</t>
        </is>
      </c>
      <c r="E961" s="94" t="inlineStr">
        <is>
          <t>토너</t>
        </is>
      </c>
      <c r="J961" s="89" t="n">
        <v>100970</v>
      </c>
    </row>
    <row r="962" hidden="1" customFormat="1" s="94">
      <c r="B962" s="128" t="n">
        <v>43907</v>
      </c>
      <c r="C962" s="94">
        <f>TEXT(B962,"aaa")</f>
        <v/>
      </c>
      <c r="D962" s="94" t="inlineStr">
        <is>
          <t>네이버 브랜드검색</t>
        </is>
      </c>
      <c r="E962" s="94" t="inlineStr">
        <is>
          <t>토너</t>
        </is>
      </c>
      <c r="J962" s="89" t="n">
        <v>40000</v>
      </c>
    </row>
    <row r="963" hidden="1" customFormat="1" s="94">
      <c r="B963" s="128" t="n">
        <v>43907</v>
      </c>
      <c r="C963" s="94">
        <f>TEXT(B963,"aaa")</f>
        <v/>
      </c>
      <c r="D963" s="94" t="inlineStr">
        <is>
          <t>네이버 쇼핑검색</t>
        </is>
      </c>
      <c r="E963" s="94" t="inlineStr">
        <is>
          <t>토너</t>
        </is>
      </c>
      <c r="J963" s="89" t="n">
        <v>35400</v>
      </c>
    </row>
    <row r="964" hidden="1" customFormat="1" s="94">
      <c r="B964" s="128" t="n">
        <v>43908</v>
      </c>
      <c r="C964" s="94">
        <f>TEXT(B964,"aaa")</f>
        <v/>
      </c>
      <c r="D964" s="94" t="inlineStr">
        <is>
          <t>인스타그램(리타게팅 전환)</t>
        </is>
      </c>
      <c r="E964" s="94" t="inlineStr">
        <is>
          <t>토너</t>
        </is>
      </c>
      <c r="J964" s="89" t="n">
        <v>114819</v>
      </c>
    </row>
    <row r="965" hidden="1" customFormat="1" s="94">
      <c r="B965" s="128" t="n">
        <v>43908</v>
      </c>
      <c r="C965" s="94">
        <f>TEXT(B965,"aaa")</f>
        <v/>
      </c>
      <c r="D965" s="94" t="inlineStr">
        <is>
          <t>인스타그램(전환)</t>
        </is>
      </c>
      <c r="E965" s="94" t="inlineStr">
        <is>
          <t>토너</t>
        </is>
      </c>
      <c r="J965" s="89" t="n">
        <v>582410</v>
      </c>
    </row>
    <row r="966" hidden="1" customFormat="1" s="94">
      <c r="B966" s="128" t="n">
        <v>43908</v>
      </c>
      <c r="C966" s="94">
        <f>TEXT(B966,"aaa")</f>
        <v/>
      </c>
      <c r="D966" s="94" t="inlineStr">
        <is>
          <t>페북/인스타(전환)</t>
        </is>
      </c>
      <c r="E966" s="94" t="inlineStr">
        <is>
          <t>토너</t>
        </is>
      </c>
      <c r="J966" s="89" t="n">
        <v>527873</v>
      </c>
    </row>
    <row r="967" hidden="1" customFormat="1" s="94">
      <c r="B967" s="128" t="n">
        <v>43908</v>
      </c>
      <c r="C967" s="94">
        <f>TEXT(B967,"aaa")</f>
        <v/>
      </c>
      <c r="D967" s="94" t="inlineStr">
        <is>
          <t>네이버 브랜드검색</t>
        </is>
      </c>
      <c r="E967" s="94" t="inlineStr">
        <is>
          <t>토너</t>
        </is>
      </c>
      <c r="J967" s="89" t="n">
        <v>40000</v>
      </c>
    </row>
    <row r="968" hidden="1" customFormat="1" s="94">
      <c r="B968" s="128" t="n">
        <v>43908</v>
      </c>
      <c r="C968" s="94">
        <f>TEXT(B968,"aaa")</f>
        <v/>
      </c>
      <c r="D968" s="94" t="inlineStr">
        <is>
          <t>네이버 쇼핑검색</t>
        </is>
      </c>
      <c r="E968" s="94" t="inlineStr">
        <is>
          <t>토너</t>
        </is>
      </c>
      <c r="J968" s="89" t="n">
        <v>33440</v>
      </c>
    </row>
    <row r="969" hidden="1" customFormat="1" s="94">
      <c r="B969" s="128" t="n">
        <v>43909</v>
      </c>
      <c r="C969" s="94">
        <f>TEXT(B969,"aaa")</f>
        <v/>
      </c>
      <c r="D969" s="94" t="inlineStr">
        <is>
          <t>인스타그램(리타게팅 전환)</t>
        </is>
      </c>
      <c r="E969" s="94" t="inlineStr">
        <is>
          <t>토너</t>
        </is>
      </c>
      <c r="J969" s="89" t="n">
        <v>115219</v>
      </c>
    </row>
    <row r="970" hidden="1" customFormat="1" s="94">
      <c r="B970" s="128" t="n">
        <v>43909</v>
      </c>
      <c r="C970" s="94">
        <f>TEXT(B970,"aaa")</f>
        <v/>
      </c>
      <c r="D970" s="94" t="inlineStr">
        <is>
          <t>인스타그램(전환)</t>
        </is>
      </c>
      <c r="E970" s="94" t="inlineStr">
        <is>
          <t>토너</t>
        </is>
      </c>
      <c r="J970" s="89" t="n">
        <v>973333</v>
      </c>
    </row>
    <row r="971" hidden="1" customFormat="1" s="94">
      <c r="B971" s="128" t="n">
        <v>43909</v>
      </c>
      <c r="C971" s="94">
        <f>TEXT(B971,"aaa")</f>
        <v/>
      </c>
      <c r="D971" s="94" t="inlineStr">
        <is>
          <t>페북/인스타(전환)</t>
        </is>
      </c>
      <c r="E971" s="94" t="inlineStr">
        <is>
          <t>토너</t>
        </is>
      </c>
      <c r="J971" s="89" t="n">
        <v>966267</v>
      </c>
    </row>
    <row r="972" hidden="1" customFormat="1" s="94">
      <c r="B972" s="128" t="n">
        <v>43909</v>
      </c>
      <c r="C972" s="94">
        <f>TEXT(B972,"aaa")</f>
        <v/>
      </c>
      <c r="D972" s="94" t="inlineStr">
        <is>
          <t>네이버 브랜드검색</t>
        </is>
      </c>
      <c r="E972" s="94" t="inlineStr">
        <is>
          <t>토너</t>
        </is>
      </c>
      <c r="J972" s="89" t="n">
        <v>40000</v>
      </c>
    </row>
    <row r="973" hidden="1" customFormat="1" s="94">
      <c r="B973" s="128" t="n">
        <v>43909</v>
      </c>
      <c r="C973" s="94">
        <f>TEXT(B973,"aaa")</f>
        <v/>
      </c>
      <c r="D973" s="94" t="inlineStr">
        <is>
          <t>네이버 쇼핑검색</t>
        </is>
      </c>
      <c r="E973" s="94" t="inlineStr">
        <is>
          <t>토너</t>
        </is>
      </c>
      <c r="J973" s="89" t="n">
        <v>32450</v>
      </c>
    </row>
    <row r="974" hidden="1" customFormat="1" s="94">
      <c r="B974" s="128" t="n">
        <v>43910</v>
      </c>
      <c r="C974" s="94">
        <f>TEXT(B974,"aaa")</f>
        <v/>
      </c>
      <c r="D974" s="94" t="inlineStr">
        <is>
          <t>인스타그램(랄라블라)</t>
        </is>
      </c>
      <c r="E974" s="94" t="inlineStr">
        <is>
          <t>토너</t>
        </is>
      </c>
      <c r="J974" s="89" t="n">
        <v>38071</v>
      </c>
    </row>
    <row r="975" hidden="1" customFormat="1" s="94">
      <c r="B975" s="128" t="n">
        <v>43910</v>
      </c>
      <c r="C975" s="94">
        <f>TEXT(B975,"aaa")</f>
        <v/>
      </c>
      <c r="D975" s="94" t="inlineStr">
        <is>
          <t>인스타그램(리타게팅 전환)</t>
        </is>
      </c>
      <c r="E975" s="94" t="inlineStr">
        <is>
          <t>토너</t>
        </is>
      </c>
      <c r="J975" s="89" t="n">
        <v>113974</v>
      </c>
    </row>
    <row r="976" hidden="1" customFormat="1" s="94">
      <c r="B976" s="128" t="n">
        <v>43910</v>
      </c>
      <c r="C976" s="94">
        <f>TEXT(B976,"aaa")</f>
        <v/>
      </c>
      <c r="D976" s="94" t="inlineStr">
        <is>
          <t>인스타그램(전환)</t>
        </is>
      </c>
      <c r="E976" s="94" t="inlineStr">
        <is>
          <t>토너</t>
        </is>
      </c>
      <c r="J976" s="89" t="n">
        <v>954284</v>
      </c>
    </row>
    <row r="977" hidden="1" customFormat="1" s="94">
      <c r="B977" s="128" t="n">
        <v>43910</v>
      </c>
      <c r="C977" s="94">
        <f>TEXT(B977,"aaa")</f>
        <v/>
      </c>
      <c r="D977" s="94" t="inlineStr">
        <is>
          <t>페북/인스타(전환)</t>
        </is>
      </c>
      <c r="E977" s="94" t="inlineStr">
        <is>
          <t>토너</t>
        </is>
      </c>
      <c r="J977" s="89" t="n">
        <v>964493</v>
      </c>
    </row>
    <row r="978" hidden="1" customFormat="1" s="94">
      <c r="B978" s="128" t="n">
        <v>43910</v>
      </c>
      <c r="C978" s="94">
        <f>TEXT(B978,"aaa")</f>
        <v/>
      </c>
      <c r="D978" s="94" t="inlineStr">
        <is>
          <t>네이버 브랜드검색</t>
        </is>
      </c>
      <c r="E978" s="94" t="inlineStr">
        <is>
          <t>토너</t>
        </is>
      </c>
      <c r="J978" s="89" t="n">
        <v>40000</v>
      </c>
    </row>
    <row r="979" hidden="1" customFormat="1" s="94">
      <c r="B979" s="128" t="n">
        <v>43910</v>
      </c>
      <c r="C979" s="94">
        <f>TEXT(B979,"aaa")</f>
        <v/>
      </c>
      <c r="D979" s="94" t="inlineStr">
        <is>
          <t>네이버 쇼핑검색</t>
        </is>
      </c>
      <c r="E979" s="94" t="inlineStr">
        <is>
          <t>토너</t>
        </is>
      </c>
      <c r="J979" s="89" t="n">
        <v>32440</v>
      </c>
    </row>
    <row r="980" hidden="1" customFormat="1" s="94">
      <c r="B980" s="128" t="n">
        <v>43911</v>
      </c>
      <c r="C980" s="94">
        <f>TEXT(B980,"aaa")</f>
        <v/>
      </c>
      <c r="D980" s="94" t="inlineStr">
        <is>
          <t>인스타그램(랄라블라)</t>
        </is>
      </c>
      <c r="E980" s="94" t="inlineStr">
        <is>
          <t>토너</t>
        </is>
      </c>
      <c r="J980" s="89" t="n">
        <v>65806</v>
      </c>
    </row>
    <row r="981" hidden="1" customFormat="1" s="94">
      <c r="B981" s="128" t="n">
        <v>43911</v>
      </c>
      <c r="C981" s="94">
        <f>TEXT(B981,"aaa")</f>
        <v/>
      </c>
      <c r="D981" s="94" t="inlineStr">
        <is>
          <t>인스타그램(리타게팅 전환)</t>
        </is>
      </c>
      <c r="E981" s="94" t="inlineStr">
        <is>
          <t>토너</t>
        </is>
      </c>
      <c r="J981" s="89" t="n">
        <v>115051</v>
      </c>
    </row>
    <row r="982" hidden="1" customFormat="1" s="94">
      <c r="B982" s="128" t="n">
        <v>43911</v>
      </c>
      <c r="C982" s="94">
        <f>TEXT(B982,"aaa")</f>
        <v/>
      </c>
      <c r="D982" s="94" t="inlineStr">
        <is>
          <t>인스타그램(전환)</t>
        </is>
      </c>
      <c r="E982" s="94" t="inlineStr">
        <is>
          <t>토너</t>
        </is>
      </c>
      <c r="J982" s="89" t="n">
        <v>1029711</v>
      </c>
    </row>
    <row r="983" hidden="1" customFormat="1" s="94">
      <c r="B983" s="128" t="n">
        <v>43911</v>
      </c>
      <c r="C983" s="94">
        <f>TEXT(B983,"aaa")</f>
        <v/>
      </c>
      <c r="D983" s="94" t="inlineStr">
        <is>
          <t>페북/인스타(전환)</t>
        </is>
      </c>
      <c r="E983" s="94" t="inlineStr">
        <is>
          <t>토너</t>
        </is>
      </c>
      <c r="J983" s="89" t="n">
        <v>1025853</v>
      </c>
    </row>
    <row r="984" hidden="1" customFormat="1" s="94">
      <c r="B984" s="128" t="n">
        <v>43911</v>
      </c>
      <c r="C984" s="94">
        <f>TEXT(B984,"aaa")</f>
        <v/>
      </c>
      <c r="D984" s="94" t="inlineStr">
        <is>
          <t>네이버 브랜드검색</t>
        </is>
      </c>
      <c r="E984" s="94" t="inlineStr">
        <is>
          <t>토너</t>
        </is>
      </c>
      <c r="J984" s="89" t="n">
        <v>40000</v>
      </c>
    </row>
    <row r="985" hidden="1" customFormat="1" s="94">
      <c r="B985" s="128" t="n">
        <v>43911</v>
      </c>
      <c r="C985" s="94">
        <f>TEXT(B985,"aaa")</f>
        <v/>
      </c>
      <c r="D985" s="94" t="inlineStr">
        <is>
          <t>네이버 쇼핑검색</t>
        </is>
      </c>
      <c r="E985" s="94" t="inlineStr">
        <is>
          <t>토너</t>
        </is>
      </c>
      <c r="J985" s="89" t="n">
        <v>26390</v>
      </c>
    </row>
    <row r="986" hidden="1" customFormat="1" s="94">
      <c r="B986" s="128" t="n">
        <v>43912</v>
      </c>
      <c r="C986" s="94">
        <f>TEXT(B986,"aaa")</f>
        <v/>
      </c>
      <c r="D986" s="94" t="inlineStr">
        <is>
          <t>인스타그램(랄라블라)</t>
        </is>
      </c>
      <c r="E986" s="94" t="inlineStr">
        <is>
          <t>토너</t>
        </is>
      </c>
      <c r="J986" s="89" t="n">
        <v>65659</v>
      </c>
    </row>
    <row r="987" hidden="1" customFormat="1" s="94">
      <c r="B987" s="128" t="n">
        <v>43912</v>
      </c>
      <c r="C987" s="94">
        <f>TEXT(B987,"aaa")</f>
        <v/>
      </c>
      <c r="D987" s="94" t="inlineStr">
        <is>
          <t>인스타그램(리타게팅 전환)</t>
        </is>
      </c>
      <c r="E987" s="94" t="inlineStr">
        <is>
          <t>토너</t>
        </is>
      </c>
      <c r="J987" s="89" t="n">
        <v>100503</v>
      </c>
    </row>
    <row r="988" hidden="1" customFormat="1" s="94">
      <c r="B988" s="128" t="n">
        <v>43912</v>
      </c>
      <c r="C988" s="94">
        <f>TEXT(B988,"aaa")</f>
        <v/>
      </c>
      <c r="D988" s="94" t="inlineStr">
        <is>
          <t>인스타그램(전환)</t>
        </is>
      </c>
      <c r="E988" s="94" t="inlineStr">
        <is>
          <t>토너</t>
        </is>
      </c>
      <c r="J988" s="89" t="n">
        <v>778502</v>
      </c>
    </row>
    <row r="989" hidden="1" customFormat="1" s="94">
      <c r="B989" s="128" t="n">
        <v>43912</v>
      </c>
      <c r="C989" s="94">
        <f>TEXT(B989,"aaa")</f>
        <v/>
      </c>
      <c r="D989" s="94" t="inlineStr">
        <is>
          <t>페북/인스타(전환)</t>
        </is>
      </c>
      <c r="E989" s="94" t="inlineStr">
        <is>
          <t>토너</t>
        </is>
      </c>
      <c r="J989" s="89" t="n">
        <v>768475</v>
      </c>
    </row>
    <row r="990" hidden="1" customFormat="1" s="94">
      <c r="B990" s="128" t="n">
        <v>43912</v>
      </c>
      <c r="C990" s="94">
        <f>TEXT(B990,"aaa")</f>
        <v/>
      </c>
      <c r="D990" s="94" t="inlineStr">
        <is>
          <t>네이버 브랜드검색</t>
        </is>
      </c>
      <c r="E990" s="94" t="inlineStr">
        <is>
          <t>토너</t>
        </is>
      </c>
      <c r="J990" s="89" t="n">
        <v>40000</v>
      </c>
    </row>
    <row r="991" hidden="1" customFormat="1" s="94">
      <c r="B991" s="128" t="n">
        <v>43912</v>
      </c>
      <c r="C991" s="94">
        <f>TEXT(B991,"aaa")</f>
        <v/>
      </c>
      <c r="D991" s="94" t="inlineStr">
        <is>
          <t>네이버 쇼핑검색</t>
        </is>
      </c>
      <c r="E991" s="94" t="inlineStr">
        <is>
          <t>토너</t>
        </is>
      </c>
      <c r="J991" s="89" t="n">
        <v>34000</v>
      </c>
    </row>
    <row r="992" hidden="1" customFormat="1" s="94">
      <c r="B992" s="128" t="n">
        <v>43913</v>
      </c>
      <c r="C992" s="94">
        <f>TEXT(B992,"aaa")</f>
        <v/>
      </c>
      <c r="D992" s="94" t="inlineStr">
        <is>
          <t>인스타그램(랄라블라)</t>
        </is>
      </c>
      <c r="E992" s="94" t="inlineStr">
        <is>
          <t>토너</t>
        </is>
      </c>
      <c r="J992" s="89" t="n">
        <v>66343</v>
      </c>
    </row>
    <row r="993" hidden="1" customFormat="1" s="94">
      <c r="B993" s="128" t="n">
        <v>43913</v>
      </c>
      <c r="C993" s="94">
        <f>TEXT(B993,"aaa")</f>
        <v/>
      </c>
      <c r="D993" s="94" t="inlineStr">
        <is>
          <t>인스타그램(리타게팅 전환)</t>
        </is>
      </c>
      <c r="E993" s="94" t="inlineStr">
        <is>
          <t>토너</t>
        </is>
      </c>
      <c r="J993" s="89" t="n">
        <v>98342</v>
      </c>
    </row>
    <row r="994" hidden="1" customFormat="1" s="94">
      <c r="B994" s="128" t="n">
        <v>43913</v>
      </c>
      <c r="C994" s="94">
        <f>TEXT(B994,"aaa")</f>
        <v/>
      </c>
      <c r="D994" s="94" t="inlineStr">
        <is>
          <t>인스타그램(전환)</t>
        </is>
      </c>
      <c r="E994" s="94" t="inlineStr">
        <is>
          <t>토너</t>
        </is>
      </c>
      <c r="J994" s="89" t="n">
        <v>669307</v>
      </c>
    </row>
    <row r="995" hidden="1" customFormat="1" s="94">
      <c r="B995" s="128" t="n">
        <v>43913</v>
      </c>
      <c r="C995" s="94">
        <f>TEXT(B995,"aaa")</f>
        <v/>
      </c>
      <c r="D995" s="94" t="inlineStr">
        <is>
          <t>페북/인스타(전환)</t>
        </is>
      </c>
      <c r="E995" s="94" t="inlineStr">
        <is>
          <t>토너</t>
        </is>
      </c>
      <c r="J995" s="89" t="n">
        <v>792950</v>
      </c>
    </row>
    <row r="996" hidden="1" customFormat="1" s="94">
      <c r="B996" s="128" t="n">
        <v>43913</v>
      </c>
      <c r="C996" s="94">
        <f>TEXT(B996,"aaa")</f>
        <v/>
      </c>
      <c r="D996" s="94" t="inlineStr">
        <is>
          <t>인스타그램(일본1324)</t>
        </is>
      </c>
      <c r="E996" s="94" t="inlineStr">
        <is>
          <t>토너</t>
        </is>
      </c>
      <c r="J996" s="89" t="n">
        <v>34222</v>
      </c>
    </row>
    <row r="997" hidden="1" customFormat="1" s="94">
      <c r="B997" s="128" t="n">
        <v>43913</v>
      </c>
      <c r="C997" s="94">
        <f>TEXT(B997,"aaa")</f>
        <v/>
      </c>
      <c r="D997" s="94" t="inlineStr">
        <is>
          <t>인스타그램(일본2540)</t>
        </is>
      </c>
      <c r="E997" s="94" t="inlineStr">
        <is>
          <t>토너</t>
        </is>
      </c>
      <c r="J997" s="89" t="n">
        <v>33859</v>
      </c>
    </row>
    <row r="998" hidden="1" customFormat="1" s="94">
      <c r="B998" s="128" t="n">
        <v>43913</v>
      </c>
      <c r="C998" s="94">
        <f>TEXT(B998,"aaa")</f>
        <v/>
      </c>
      <c r="D998" s="94" t="inlineStr">
        <is>
          <t>네이버 GFA</t>
        </is>
      </c>
      <c r="E998" s="94" t="inlineStr">
        <is>
          <t>토너</t>
        </is>
      </c>
      <c r="J998" s="89" t="n">
        <v>2911.818181818182</v>
      </c>
    </row>
    <row r="999" hidden="1" customFormat="1" s="94">
      <c r="B999" s="128" t="n">
        <v>43913</v>
      </c>
      <c r="C999" s="94">
        <f>TEXT(B999,"aaa")</f>
        <v/>
      </c>
      <c r="D999" s="94" t="inlineStr">
        <is>
          <t>네이버 브랜드검색</t>
        </is>
      </c>
      <c r="E999" s="94" t="inlineStr">
        <is>
          <t>토너</t>
        </is>
      </c>
      <c r="J999" s="89" t="n">
        <v>40000</v>
      </c>
    </row>
    <row r="1000" hidden="1" customFormat="1" s="94">
      <c r="B1000" s="128" t="n">
        <v>43913</v>
      </c>
      <c r="C1000" s="94">
        <f>TEXT(B1000,"aaa")</f>
        <v/>
      </c>
      <c r="D1000" s="94" t="inlineStr">
        <is>
          <t>네이버 쇼핑검색</t>
        </is>
      </c>
      <c r="E1000" s="94" t="inlineStr">
        <is>
          <t>토너</t>
        </is>
      </c>
      <c r="J1000" s="89" t="n">
        <v>23000</v>
      </c>
    </row>
    <row r="1001" hidden="1" customFormat="1" s="94">
      <c r="B1001" s="128" t="n">
        <v>43913</v>
      </c>
      <c r="C1001" s="94">
        <f>TEXT(B1001,"aaa")</f>
        <v/>
      </c>
      <c r="D1001" s="94" t="inlineStr">
        <is>
          <t>카카오톡 메시지</t>
        </is>
      </c>
      <c r="E1001" s="94" t="inlineStr">
        <is>
          <t>마스크팩</t>
        </is>
      </c>
      <c r="J1001" s="89">
        <f>114130/1.1</f>
        <v/>
      </c>
    </row>
    <row r="1002" hidden="1" customFormat="1" s="94">
      <c r="B1002" s="128" t="n">
        <v>43914</v>
      </c>
      <c r="C1002" s="94">
        <f>TEXT(B1002,"aaa")</f>
        <v/>
      </c>
      <c r="D1002" s="94" t="inlineStr">
        <is>
          <t>인스타그램(랄라블라)</t>
        </is>
      </c>
      <c r="E1002" s="94" t="inlineStr">
        <is>
          <t>토너</t>
        </is>
      </c>
      <c r="J1002" s="89" t="n">
        <v>71691</v>
      </c>
    </row>
    <row r="1003" hidden="1" customFormat="1" s="94">
      <c r="B1003" s="128" t="n">
        <v>43914</v>
      </c>
      <c r="C1003" s="94">
        <f>TEXT(B1003,"aaa")</f>
        <v/>
      </c>
      <c r="D1003" s="94" t="inlineStr">
        <is>
          <t>인스타그램(리타게팅 전환)</t>
        </is>
      </c>
      <c r="E1003" s="94" t="inlineStr">
        <is>
          <t>토너</t>
        </is>
      </c>
      <c r="J1003" s="89" t="n">
        <v>100761</v>
      </c>
    </row>
    <row r="1004" hidden="1" customFormat="1" s="94">
      <c r="B1004" s="128" t="n">
        <v>43914</v>
      </c>
      <c r="C1004" s="94">
        <f>TEXT(B1004,"aaa")</f>
        <v/>
      </c>
      <c r="D1004" s="94" t="inlineStr">
        <is>
          <t>인스타그램(전환)</t>
        </is>
      </c>
      <c r="E1004" s="94" t="inlineStr">
        <is>
          <t>토너</t>
        </is>
      </c>
      <c r="J1004" s="89" t="n">
        <v>697451</v>
      </c>
    </row>
    <row r="1005" hidden="1" customFormat="1" s="94">
      <c r="B1005" s="128" t="n">
        <v>43914</v>
      </c>
      <c r="C1005" s="94">
        <f>TEXT(B1005,"aaa")</f>
        <v/>
      </c>
      <c r="D1005" s="94" t="inlineStr">
        <is>
          <t>페북/인스타(전환)</t>
        </is>
      </c>
      <c r="E1005" s="94" t="inlineStr">
        <is>
          <t>토너</t>
        </is>
      </c>
      <c r="J1005" s="89" t="n">
        <v>469859</v>
      </c>
    </row>
    <row r="1006" hidden="1" customFormat="1" s="94">
      <c r="B1006" s="128" t="n">
        <v>43914</v>
      </c>
      <c r="C1006" s="94">
        <f>TEXT(B1006,"aaa")</f>
        <v/>
      </c>
      <c r="D1006" s="94" t="inlineStr">
        <is>
          <t>인스타그램(일본1324)</t>
        </is>
      </c>
      <c r="E1006" s="94" t="inlineStr">
        <is>
          <t>토너</t>
        </is>
      </c>
      <c r="J1006" s="89" t="n">
        <v>34356</v>
      </c>
    </row>
    <row r="1007" hidden="1" customFormat="1" s="94">
      <c r="B1007" s="128" t="n">
        <v>43914</v>
      </c>
      <c r="C1007" s="94">
        <f>TEXT(B1007,"aaa")</f>
        <v/>
      </c>
      <c r="D1007" s="94" t="inlineStr">
        <is>
          <t>인스타그램(일본2540)</t>
        </is>
      </c>
      <c r="E1007" s="94" t="inlineStr">
        <is>
          <t>토너</t>
        </is>
      </c>
      <c r="J1007" s="89" t="n">
        <v>34277</v>
      </c>
    </row>
    <row r="1008" hidden="1" customFormat="1" s="94">
      <c r="B1008" s="128" t="n">
        <v>43914</v>
      </c>
      <c r="C1008" s="94">
        <f>TEXT(B1008,"aaa")</f>
        <v/>
      </c>
      <c r="D1008" s="94" t="inlineStr">
        <is>
          <t>네이버 GFA</t>
        </is>
      </c>
      <c r="E1008" s="94" t="inlineStr">
        <is>
          <t>토너</t>
        </is>
      </c>
      <c r="J1008" s="89" t="n">
        <v>280418.1818181818</v>
      </c>
    </row>
    <row r="1009" hidden="1" customFormat="1" s="94">
      <c r="B1009" s="128" t="n">
        <v>43914</v>
      </c>
      <c r="C1009" s="94">
        <f>TEXT(B1009,"aaa")</f>
        <v/>
      </c>
      <c r="D1009" s="94" t="inlineStr">
        <is>
          <t>네이버 브랜드검색</t>
        </is>
      </c>
      <c r="E1009" s="94" t="inlineStr">
        <is>
          <t>토너</t>
        </is>
      </c>
      <c r="J1009" s="89" t="n">
        <v>40000</v>
      </c>
    </row>
    <row r="1010" hidden="1" customFormat="1" s="94">
      <c r="B1010" s="128" t="n">
        <v>43914</v>
      </c>
      <c r="C1010" s="94">
        <f>TEXT(B1010,"aaa")</f>
        <v/>
      </c>
      <c r="D1010" s="94" t="inlineStr">
        <is>
          <t>네이버 쇼핑검색</t>
        </is>
      </c>
      <c r="E1010" s="94" t="inlineStr">
        <is>
          <t>토너</t>
        </is>
      </c>
      <c r="J1010" s="89" t="n">
        <v>42060</v>
      </c>
    </row>
    <row r="1011" hidden="1" customFormat="1" s="94">
      <c r="B1011" s="128" t="n">
        <v>43915</v>
      </c>
      <c r="C1011" s="94">
        <f>TEXT(B1011,"aaa")</f>
        <v/>
      </c>
      <c r="D1011" s="94" t="inlineStr">
        <is>
          <t>인스타그램(랄라블라)</t>
        </is>
      </c>
      <c r="E1011" s="94" t="inlineStr">
        <is>
          <t>토너</t>
        </is>
      </c>
      <c r="J1011" s="89" t="n">
        <v>70343</v>
      </c>
    </row>
    <row r="1012" hidden="1" customFormat="1" s="94">
      <c r="B1012" s="128" t="n">
        <v>43915</v>
      </c>
      <c r="C1012" s="94">
        <f>TEXT(B1012,"aaa")</f>
        <v/>
      </c>
      <c r="D1012" s="94" t="inlineStr">
        <is>
          <t>인스타그램(리타게팅 전환)</t>
        </is>
      </c>
      <c r="E1012" s="94" t="inlineStr">
        <is>
          <t>토너</t>
        </is>
      </c>
      <c r="J1012" s="89" t="n">
        <v>100507</v>
      </c>
    </row>
    <row r="1013" hidden="1" customFormat="1" s="94">
      <c r="B1013" s="128" t="n">
        <v>43915</v>
      </c>
      <c r="C1013" s="94">
        <f>TEXT(B1013,"aaa")</f>
        <v/>
      </c>
      <c r="D1013" s="94" t="inlineStr">
        <is>
          <t>인스타그램(전환)</t>
        </is>
      </c>
      <c r="E1013" s="94" t="inlineStr">
        <is>
          <t>토너</t>
        </is>
      </c>
      <c r="J1013" s="89" t="n">
        <v>563049</v>
      </c>
    </row>
    <row r="1014" hidden="1" customFormat="1" s="94">
      <c r="B1014" s="128" t="n">
        <v>43915</v>
      </c>
      <c r="C1014" s="94">
        <f>TEXT(B1014,"aaa")</f>
        <v/>
      </c>
      <c r="D1014" s="94" t="inlineStr">
        <is>
          <t>페북/인스타(전환)</t>
        </is>
      </c>
      <c r="E1014" s="94" t="inlineStr">
        <is>
          <t>토너</t>
        </is>
      </c>
      <c r="J1014" s="89" t="n">
        <v>370029</v>
      </c>
    </row>
    <row r="1015" hidden="1" customFormat="1" s="94">
      <c r="B1015" s="128" t="n">
        <v>43915</v>
      </c>
      <c r="C1015" s="94">
        <f>TEXT(B1015,"aaa")</f>
        <v/>
      </c>
      <c r="D1015" s="94" t="inlineStr">
        <is>
          <t>인스타그램(일본1324)</t>
        </is>
      </c>
      <c r="E1015" s="94" t="inlineStr">
        <is>
          <t>토너</t>
        </is>
      </c>
      <c r="J1015" s="89" t="n">
        <v>34406</v>
      </c>
    </row>
    <row r="1016" hidden="1" customFormat="1" s="94">
      <c r="B1016" s="128" t="n">
        <v>43915</v>
      </c>
      <c r="C1016" s="94">
        <f>TEXT(B1016,"aaa")</f>
        <v/>
      </c>
      <c r="D1016" s="94" t="inlineStr">
        <is>
          <t>인스타그램(일본2540)</t>
        </is>
      </c>
      <c r="E1016" s="94" t="inlineStr">
        <is>
          <t>토너</t>
        </is>
      </c>
      <c r="J1016" s="89" t="n">
        <v>34369</v>
      </c>
    </row>
    <row r="1017" hidden="1" customFormat="1" s="94">
      <c r="B1017" s="128" t="n">
        <v>43915</v>
      </c>
      <c r="C1017" s="94">
        <f>TEXT(B1017,"aaa")</f>
        <v/>
      </c>
      <c r="D1017" s="94" t="inlineStr">
        <is>
          <t>네이버 GFA</t>
        </is>
      </c>
      <c r="E1017" s="94" t="inlineStr">
        <is>
          <t>토너</t>
        </is>
      </c>
      <c r="J1017" s="89" t="n">
        <v>163685.4545454545</v>
      </c>
    </row>
    <row r="1018" hidden="1" customFormat="1" s="94">
      <c r="B1018" s="128" t="n">
        <v>43915</v>
      </c>
      <c r="C1018" s="94">
        <f>TEXT(B1018,"aaa")</f>
        <v/>
      </c>
      <c r="D1018" s="94" t="inlineStr">
        <is>
          <t>네이버 브랜드검색</t>
        </is>
      </c>
      <c r="E1018" s="94" t="inlineStr">
        <is>
          <t>토너</t>
        </is>
      </c>
      <c r="J1018" s="89" t="n">
        <v>40000</v>
      </c>
    </row>
    <row r="1019" hidden="1" customFormat="1" s="94">
      <c r="B1019" s="128" t="n">
        <v>43915</v>
      </c>
      <c r="C1019" s="94">
        <f>TEXT(B1019,"aaa")</f>
        <v/>
      </c>
      <c r="D1019" s="94" t="inlineStr">
        <is>
          <t>네이버 쇼핑검색</t>
        </is>
      </c>
      <c r="E1019" s="94" t="inlineStr">
        <is>
          <t>토너</t>
        </is>
      </c>
      <c r="J1019" s="89" t="n">
        <v>136420</v>
      </c>
    </row>
    <row r="1020" hidden="1" customFormat="1" s="94">
      <c r="B1020" s="128" t="n">
        <v>43916</v>
      </c>
      <c r="C1020" s="94">
        <f>TEXT(B1020,"aaa")</f>
        <v/>
      </c>
      <c r="D1020" s="94" t="inlineStr">
        <is>
          <t>인스타그램(랄라블라)</t>
        </is>
      </c>
      <c r="E1020" s="94" t="inlineStr">
        <is>
          <t>토너</t>
        </is>
      </c>
      <c r="J1020" s="89" t="n">
        <v>69934</v>
      </c>
    </row>
    <row r="1021" hidden="1" customFormat="1" s="94">
      <c r="B1021" s="128" t="n">
        <v>43916</v>
      </c>
      <c r="C1021" s="94">
        <f>TEXT(B1021,"aaa")</f>
        <v/>
      </c>
      <c r="D1021" s="94" t="inlineStr">
        <is>
          <t>인스타그램(리타게팅 전환)</t>
        </is>
      </c>
      <c r="E1021" s="94" t="inlineStr">
        <is>
          <t>토너</t>
        </is>
      </c>
      <c r="J1021" s="89" t="n">
        <v>97751</v>
      </c>
    </row>
    <row r="1022" hidden="1" customFormat="1" s="94">
      <c r="B1022" s="128" t="n">
        <v>43916</v>
      </c>
      <c r="C1022" s="94">
        <f>TEXT(B1022,"aaa")</f>
        <v/>
      </c>
      <c r="D1022" s="94" t="inlineStr">
        <is>
          <t>인스타그램(전환)</t>
        </is>
      </c>
      <c r="E1022" s="94" t="inlineStr">
        <is>
          <t>토너</t>
        </is>
      </c>
      <c r="J1022" s="89" t="n">
        <v>631359</v>
      </c>
    </row>
    <row r="1023" hidden="1" customFormat="1" s="94">
      <c r="B1023" s="128" t="n">
        <v>43916</v>
      </c>
      <c r="C1023" s="94">
        <f>TEXT(B1023,"aaa")</f>
        <v/>
      </c>
      <c r="D1023" s="94" t="inlineStr">
        <is>
          <t>페북/인스타(전환)</t>
        </is>
      </c>
      <c r="E1023" s="94" t="inlineStr">
        <is>
          <t>토너</t>
        </is>
      </c>
      <c r="J1023" s="89" t="n">
        <v>629539</v>
      </c>
    </row>
    <row r="1024" hidden="1" customFormat="1" s="94">
      <c r="B1024" s="128" t="n">
        <v>43916</v>
      </c>
      <c r="C1024" s="94">
        <f>TEXT(B1024,"aaa")</f>
        <v/>
      </c>
      <c r="D1024" s="94" t="inlineStr">
        <is>
          <t>인스타그램(일본1324)</t>
        </is>
      </c>
      <c r="E1024" s="94" t="inlineStr">
        <is>
          <t>토너</t>
        </is>
      </c>
      <c r="J1024" s="89" t="n">
        <v>34527</v>
      </c>
    </row>
    <row r="1025" hidden="1" customFormat="1" s="94">
      <c r="B1025" s="128" t="n">
        <v>43916</v>
      </c>
      <c r="C1025" s="94">
        <f>TEXT(B1025,"aaa")</f>
        <v/>
      </c>
      <c r="D1025" s="94" t="inlineStr">
        <is>
          <t>인스타그램(일본2540)</t>
        </is>
      </c>
      <c r="E1025" s="94" t="inlineStr">
        <is>
          <t>토너</t>
        </is>
      </c>
      <c r="J1025" s="89" t="n">
        <v>34274</v>
      </c>
    </row>
    <row r="1026" hidden="1" customFormat="1" s="94">
      <c r="B1026" s="128" t="n">
        <v>43916</v>
      </c>
      <c r="C1026" s="94">
        <f>TEXT(B1026,"aaa")</f>
        <v/>
      </c>
      <c r="D1026" s="94" t="inlineStr">
        <is>
          <t>네이버 GFA</t>
        </is>
      </c>
      <c r="E1026" s="94" t="inlineStr">
        <is>
          <t>토너</t>
        </is>
      </c>
      <c r="J1026" s="89" t="n">
        <v>62130.90909090909</v>
      </c>
    </row>
    <row r="1027" hidden="1" customFormat="1" s="94">
      <c r="B1027" s="128" t="n">
        <v>43916</v>
      </c>
      <c r="C1027" s="94">
        <f>TEXT(B1027,"aaa")</f>
        <v/>
      </c>
      <c r="D1027" s="94" t="inlineStr">
        <is>
          <t>네이버 브랜드검색</t>
        </is>
      </c>
      <c r="E1027" s="94" t="inlineStr">
        <is>
          <t>토너</t>
        </is>
      </c>
      <c r="J1027" s="89" t="n">
        <v>40000</v>
      </c>
    </row>
    <row r="1028" hidden="1" customFormat="1" s="94">
      <c r="B1028" s="128" t="n">
        <v>43916</v>
      </c>
      <c r="C1028" s="94">
        <f>TEXT(B1028,"aaa")</f>
        <v/>
      </c>
      <c r="D1028" s="94" t="inlineStr">
        <is>
          <t>네이버 쇼핑검색</t>
        </is>
      </c>
      <c r="E1028" s="94" t="inlineStr">
        <is>
          <t>토너</t>
        </is>
      </c>
      <c r="J1028" s="89" t="n">
        <v>94759.99999999999</v>
      </c>
    </row>
    <row r="1029" hidden="1" customFormat="1" s="94">
      <c r="B1029" s="128" t="n">
        <v>43917</v>
      </c>
      <c r="C1029" s="94">
        <f>TEXT(B1029,"aaa")</f>
        <v/>
      </c>
      <c r="D1029" s="94" t="inlineStr">
        <is>
          <t>인스타그램(랄라블라)</t>
        </is>
      </c>
      <c r="E1029" s="94" t="inlineStr">
        <is>
          <t>토너</t>
        </is>
      </c>
      <c r="J1029" s="89" t="n">
        <v>44144</v>
      </c>
    </row>
    <row r="1030" hidden="1" customFormat="1" s="94">
      <c r="B1030" s="128" t="n">
        <v>43917</v>
      </c>
      <c r="C1030" s="94">
        <f>TEXT(B1030,"aaa")</f>
        <v/>
      </c>
      <c r="D1030" s="94" t="inlineStr">
        <is>
          <t>인스타그램(리타게팅 전환)</t>
        </is>
      </c>
      <c r="E1030" s="94" t="inlineStr">
        <is>
          <t>토너</t>
        </is>
      </c>
      <c r="J1030" s="89" t="n">
        <v>97086</v>
      </c>
    </row>
    <row r="1031" hidden="1" customFormat="1" s="94">
      <c r="B1031" s="128" t="n">
        <v>43917</v>
      </c>
      <c r="C1031" s="94">
        <f>TEXT(B1031,"aaa")</f>
        <v/>
      </c>
      <c r="D1031" s="94" t="inlineStr">
        <is>
          <t>인스타그램(전환)</t>
        </is>
      </c>
      <c r="E1031" s="94" t="inlineStr">
        <is>
          <t>토너</t>
        </is>
      </c>
      <c r="J1031" s="89" t="n">
        <v>517350</v>
      </c>
    </row>
    <row r="1032" hidden="1" customFormat="1" s="94">
      <c r="B1032" s="128" t="n">
        <v>43917</v>
      </c>
      <c r="C1032" s="94">
        <f>TEXT(B1032,"aaa")</f>
        <v/>
      </c>
      <c r="D1032" s="94" t="inlineStr">
        <is>
          <t>페북/인스타(전환)</t>
        </is>
      </c>
      <c r="E1032" s="94" t="inlineStr">
        <is>
          <t>토너</t>
        </is>
      </c>
      <c r="J1032" s="89" t="n">
        <v>519416</v>
      </c>
    </row>
    <row r="1033" hidden="1" customFormat="1" s="94">
      <c r="B1033" s="128" t="n">
        <v>43917</v>
      </c>
      <c r="C1033" s="94">
        <f>TEXT(B1033,"aaa")</f>
        <v/>
      </c>
      <c r="D1033" s="94" t="inlineStr">
        <is>
          <t>인스타그램(일본1324)</t>
        </is>
      </c>
      <c r="E1033" s="94" t="inlineStr">
        <is>
          <t>토너</t>
        </is>
      </c>
      <c r="J1033" s="89" t="n">
        <v>46395</v>
      </c>
    </row>
    <row r="1034" hidden="1" customFormat="1" s="94">
      <c r="B1034" s="128" t="n">
        <v>43917</v>
      </c>
      <c r="C1034" s="94">
        <f>TEXT(B1034,"aaa")</f>
        <v/>
      </c>
      <c r="D1034" s="94" t="inlineStr">
        <is>
          <t>인스타그램(일본2540)</t>
        </is>
      </c>
      <c r="E1034" s="94" t="inlineStr">
        <is>
          <t>토너</t>
        </is>
      </c>
      <c r="J1034" s="89" t="n">
        <v>12525</v>
      </c>
    </row>
    <row r="1035" hidden="1" customFormat="1" s="94">
      <c r="B1035" s="128" t="n">
        <v>43917</v>
      </c>
      <c r="C1035" s="94">
        <f>TEXT(B1035,"aaa")</f>
        <v/>
      </c>
      <c r="D1035" s="94" t="inlineStr">
        <is>
          <t>네이버 브랜드검색</t>
        </is>
      </c>
      <c r="E1035" s="94" t="inlineStr">
        <is>
          <t>토너</t>
        </is>
      </c>
      <c r="J1035" s="89" t="n">
        <v>40000</v>
      </c>
    </row>
    <row r="1036" hidden="1" customFormat="1" s="94">
      <c r="B1036" s="128" t="n">
        <v>43917</v>
      </c>
      <c r="C1036" s="94">
        <f>TEXT(B1036,"aaa")</f>
        <v/>
      </c>
      <c r="D1036" s="94" t="inlineStr">
        <is>
          <t>네이버 쇼핑검색</t>
        </is>
      </c>
      <c r="E1036" s="94" t="inlineStr">
        <is>
          <t>토너</t>
        </is>
      </c>
      <c r="J1036" s="89" t="n">
        <v>51979.99999999999</v>
      </c>
    </row>
    <row r="1037" hidden="1" customFormat="1" s="94">
      <c r="B1037" s="128" t="n">
        <v>43918</v>
      </c>
      <c r="C1037" s="94">
        <f>TEXT(B1037,"aaa")</f>
        <v/>
      </c>
      <c r="D1037" s="94" t="inlineStr">
        <is>
          <t>인스타그램(랄라블라)</t>
        </is>
      </c>
      <c r="E1037" s="94" t="inlineStr">
        <is>
          <t>토너</t>
        </is>
      </c>
      <c r="J1037" s="89" t="n">
        <v>28199</v>
      </c>
    </row>
    <row r="1038" hidden="1" customFormat="1" s="94">
      <c r="B1038" s="128" t="n">
        <v>43918</v>
      </c>
      <c r="C1038" s="94">
        <f>TEXT(B1038,"aaa")</f>
        <v/>
      </c>
      <c r="D1038" s="94" t="inlineStr">
        <is>
          <t>인스타그램(리타게팅 전환)</t>
        </is>
      </c>
      <c r="E1038" s="94" t="inlineStr">
        <is>
          <t>토너</t>
        </is>
      </c>
      <c r="J1038" s="89" t="n">
        <v>105050</v>
      </c>
    </row>
    <row r="1039" hidden="1" customFormat="1" s="94">
      <c r="B1039" s="128" t="n">
        <v>43918</v>
      </c>
      <c r="C1039" s="94">
        <f>TEXT(B1039,"aaa")</f>
        <v/>
      </c>
      <c r="D1039" s="94" t="inlineStr">
        <is>
          <t>인스타그램(전환)</t>
        </is>
      </c>
      <c r="E1039" s="94" t="inlineStr">
        <is>
          <t>토너</t>
        </is>
      </c>
      <c r="J1039" s="89" t="n">
        <v>459420</v>
      </c>
    </row>
    <row r="1040" hidden="1" customFormat="1" s="94">
      <c r="B1040" s="128" t="n">
        <v>43918</v>
      </c>
      <c r="C1040" s="94">
        <f>TEXT(B1040,"aaa")</f>
        <v/>
      </c>
      <c r="D1040" s="94" t="inlineStr">
        <is>
          <t>페북/인스타(전환)</t>
        </is>
      </c>
      <c r="E1040" s="94" t="inlineStr">
        <is>
          <t>토너</t>
        </is>
      </c>
      <c r="J1040" s="89" t="n">
        <v>457215</v>
      </c>
    </row>
    <row r="1041" hidden="1" customFormat="1" s="94">
      <c r="B1041" s="128" t="n">
        <v>43918</v>
      </c>
      <c r="C1041" s="94">
        <f>TEXT(B1041,"aaa")</f>
        <v/>
      </c>
      <c r="D1041" s="94" t="inlineStr">
        <is>
          <t>인스타그램(일본1324)</t>
        </is>
      </c>
      <c r="E1041" s="94" t="inlineStr">
        <is>
          <t>토너</t>
        </is>
      </c>
      <c r="J1041" s="89" t="n">
        <v>55334</v>
      </c>
    </row>
    <row r="1042" hidden="1" customFormat="1" s="94">
      <c r="B1042" s="128" t="n">
        <v>43918</v>
      </c>
      <c r="C1042" s="94">
        <f>TEXT(B1042,"aaa")</f>
        <v/>
      </c>
      <c r="D1042" s="94" t="inlineStr">
        <is>
          <t>네이버 브랜드검색</t>
        </is>
      </c>
      <c r="E1042" s="94" t="inlineStr">
        <is>
          <t>토너</t>
        </is>
      </c>
      <c r="J1042" s="89" t="n">
        <v>40000</v>
      </c>
    </row>
    <row r="1043" hidden="1" customFormat="1" s="94">
      <c r="B1043" s="128" t="n">
        <v>43918</v>
      </c>
      <c r="C1043" s="94">
        <f>TEXT(B1043,"aaa")</f>
        <v/>
      </c>
      <c r="D1043" s="94" t="inlineStr">
        <is>
          <t>네이버 쇼핑검색</t>
        </is>
      </c>
      <c r="E1043" s="94" t="inlineStr">
        <is>
          <t>토너</t>
        </is>
      </c>
      <c r="J1043" s="89" t="n">
        <v>45010</v>
      </c>
    </row>
    <row r="1044" hidden="1" customFormat="1" s="94">
      <c r="B1044" s="128" t="n">
        <v>43919</v>
      </c>
      <c r="C1044" s="94">
        <f>TEXT(B1044,"aaa")</f>
        <v/>
      </c>
      <c r="D1044" s="94" t="inlineStr">
        <is>
          <t>인스타그램(랄라블라)</t>
        </is>
      </c>
      <c r="E1044" s="94" t="inlineStr">
        <is>
          <t>토너</t>
        </is>
      </c>
      <c r="J1044" s="89" t="n">
        <v>30021</v>
      </c>
    </row>
    <row r="1045" hidden="1" customFormat="1" s="94">
      <c r="B1045" s="128" t="n">
        <v>43919</v>
      </c>
      <c r="C1045" s="94">
        <f>TEXT(B1045,"aaa")</f>
        <v/>
      </c>
      <c r="D1045" s="94" t="inlineStr">
        <is>
          <t>인스타그램(리타게팅 전환)</t>
        </is>
      </c>
      <c r="E1045" s="94" t="inlineStr">
        <is>
          <t>토너</t>
        </is>
      </c>
      <c r="J1045" s="89" t="n">
        <v>100381</v>
      </c>
    </row>
    <row r="1046" hidden="1" customFormat="1" s="94">
      <c r="B1046" s="128" t="n">
        <v>43919</v>
      </c>
      <c r="C1046" s="94">
        <f>TEXT(B1046,"aaa")</f>
        <v/>
      </c>
      <c r="D1046" s="94" t="inlineStr">
        <is>
          <t>인스타그램(전환)</t>
        </is>
      </c>
      <c r="E1046" s="94" t="inlineStr">
        <is>
          <t>토너</t>
        </is>
      </c>
      <c r="J1046" s="89" t="n">
        <v>500593</v>
      </c>
    </row>
    <row r="1047" hidden="1" customFormat="1" s="94">
      <c r="B1047" s="128" t="n">
        <v>43919</v>
      </c>
      <c r="C1047" s="94">
        <f>TEXT(B1047,"aaa")</f>
        <v/>
      </c>
      <c r="D1047" s="94" t="inlineStr">
        <is>
          <t>페북/인스타(전환)</t>
        </is>
      </c>
      <c r="E1047" s="94" t="inlineStr">
        <is>
          <t>토너</t>
        </is>
      </c>
      <c r="J1047" s="89" t="n">
        <v>497457</v>
      </c>
    </row>
    <row r="1048" hidden="1" customFormat="1" s="94">
      <c r="B1048" s="128" t="n">
        <v>43919</v>
      </c>
      <c r="C1048" s="94">
        <f>TEXT(B1048,"aaa")</f>
        <v/>
      </c>
      <c r="D1048" s="94" t="inlineStr">
        <is>
          <t>인스타그램(일본1324)</t>
        </is>
      </c>
      <c r="E1048" s="94" t="inlineStr">
        <is>
          <t>토너</t>
        </is>
      </c>
      <c r="J1048" s="89" t="n">
        <v>60104</v>
      </c>
    </row>
    <row r="1049" hidden="1" customFormat="1" s="94">
      <c r="B1049" s="128" t="n">
        <v>43919</v>
      </c>
      <c r="C1049" s="94">
        <f>TEXT(B1049,"aaa")</f>
        <v/>
      </c>
      <c r="D1049" s="94" t="inlineStr">
        <is>
          <t>네이버 브랜드검색</t>
        </is>
      </c>
      <c r="E1049" s="94" t="inlineStr">
        <is>
          <t>토너</t>
        </is>
      </c>
      <c r="J1049" s="89" t="n">
        <v>40000</v>
      </c>
    </row>
    <row r="1050" hidden="1" customFormat="1" s="94">
      <c r="B1050" s="128" t="n">
        <v>43919</v>
      </c>
      <c r="C1050" s="94">
        <f>TEXT(B1050,"aaa")</f>
        <v/>
      </c>
      <c r="D1050" s="94" t="inlineStr">
        <is>
          <t>네이버 쇼핑검색</t>
        </is>
      </c>
      <c r="E1050" s="94" t="inlineStr">
        <is>
          <t>토너</t>
        </is>
      </c>
      <c r="J1050" s="89" t="n">
        <v>60699.99999999999</v>
      </c>
    </row>
    <row r="1051" hidden="1" customFormat="1" s="94">
      <c r="B1051" s="128" t="n">
        <v>43920</v>
      </c>
      <c r="C1051" s="94">
        <f>TEXT(B1051,"aaa")</f>
        <v/>
      </c>
      <c r="D1051" s="94" t="inlineStr">
        <is>
          <t>인스타그램(랄라블라)</t>
        </is>
      </c>
      <c r="E1051" s="94" t="inlineStr">
        <is>
          <t>토너</t>
        </is>
      </c>
      <c r="J1051" s="89" t="n">
        <v>30063</v>
      </c>
    </row>
    <row r="1052" hidden="1" customFormat="1" s="94">
      <c r="B1052" s="128" t="n">
        <v>43920</v>
      </c>
      <c r="C1052" s="94">
        <f>TEXT(B1052,"aaa")</f>
        <v/>
      </c>
      <c r="D1052" s="94" t="inlineStr">
        <is>
          <t>인스타그램(리타게팅 전환)</t>
        </is>
      </c>
      <c r="E1052" s="94" t="inlineStr">
        <is>
          <t>토너</t>
        </is>
      </c>
      <c r="J1052" s="89" t="n">
        <v>98277</v>
      </c>
    </row>
    <row r="1053" hidden="1" customFormat="1" s="94">
      <c r="B1053" s="128" t="n">
        <v>43920</v>
      </c>
      <c r="C1053" s="94">
        <f>TEXT(B1053,"aaa")</f>
        <v/>
      </c>
      <c r="D1053" s="94" t="inlineStr">
        <is>
          <t>인스타그램(전환)</t>
        </is>
      </c>
      <c r="E1053" s="94" t="inlineStr">
        <is>
          <t>토너</t>
        </is>
      </c>
      <c r="J1053" s="89" t="n">
        <v>483368</v>
      </c>
    </row>
    <row r="1054" hidden="1" customFormat="1" s="94">
      <c r="B1054" s="128" t="n">
        <v>43920</v>
      </c>
      <c r="C1054" s="94">
        <f>TEXT(B1054,"aaa")</f>
        <v/>
      </c>
      <c r="D1054" s="94" t="inlineStr">
        <is>
          <t>인스타VC(전환)</t>
        </is>
      </c>
      <c r="E1054" s="94" t="inlineStr">
        <is>
          <t>토너</t>
        </is>
      </c>
      <c r="J1054" s="89" t="n">
        <v>148860</v>
      </c>
    </row>
    <row r="1055" hidden="1" customFormat="1" s="94">
      <c r="B1055" s="128" t="n">
        <v>43920</v>
      </c>
      <c r="C1055" s="94">
        <f>TEXT(B1055,"aaa")</f>
        <v/>
      </c>
      <c r="D1055" s="94" t="inlineStr">
        <is>
          <t>페북/인스타(전환)</t>
        </is>
      </c>
      <c r="E1055" s="94" t="inlineStr">
        <is>
          <t>토너</t>
        </is>
      </c>
      <c r="J1055" s="89" t="n">
        <v>396871</v>
      </c>
    </row>
    <row r="1056" hidden="1" customFormat="1" s="94">
      <c r="B1056" s="128" t="n">
        <v>43920</v>
      </c>
      <c r="C1056" s="94">
        <f>TEXT(B1056,"aaa")</f>
        <v/>
      </c>
      <c r="D1056" s="94" t="inlineStr">
        <is>
          <t>인스타그램(일본1324)</t>
        </is>
      </c>
      <c r="E1056" s="94" t="inlineStr">
        <is>
          <t>토너</t>
        </is>
      </c>
      <c r="J1056" s="89" t="n">
        <v>60007</v>
      </c>
    </row>
    <row r="1057" hidden="1" customFormat="1" s="94">
      <c r="B1057" s="128" t="n">
        <v>43920</v>
      </c>
      <c r="C1057" s="94">
        <f>TEXT(B1057,"aaa")</f>
        <v/>
      </c>
      <c r="D1057" s="94" t="inlineStr">
        <is>
          <t>네이버 GFA</t>
        </is>
      </c>
      <c r="E1057" s="94" t="inlineStr">
        <is>
          <t>토너</t>
        </is>
      </c>
      <c r="J1057" s="89" t="n">
        <v>265129.0909090909</v>
      </c>
    </row>
    <row r="1058" customFormat="1" s="94">
      <c r="B1058" s="128" t="n">
        <v>43920</v>
      </c>
      <c r="C1058" s="94">
        <f>TEXT(B1058,"aaa")</f>
        <v/>
      </c>
      <c r="D1058" s="94" t="inlineStr">
        <is>
          <t>카카오광고</t>
        </is>
      </c>
      <c r="E1058" s="94" t="inlineStr">
        <is>
          <t>토너</t>
        </is>
      </c>
      <c r="J1058" s="89" t="n">
        <v>2300</v>
      </c>
    </row>
    <row r="1059" hidden="1" customFormat="1" s="94">
      <c r="B1059" s="128" t="n">
        <v>43920</v>
      </c>
      <c r="C1059" s="94">
        <f>TEXT(B1059,"aaa")</f>
        <v/>
      </c>
      <c r="D1059" s="94" t="inlineStr">
        <is>
          <t>네이버 브랜드검색</t>
        </is>
      </c>
      <c r="E1059" s="94" t="inlineStr">
        <is>
          <t>토너</t>
        </is>
      </c>
      <c r="J1059" s="89" t="n">
        <v>40000</v>
      </c>
    </row>
    <row r="1060" hidden="1" customFormat="1" s="94">
      <c r="B1060" s="128" t="n">
        <v>43920</v>
      </c>
      <c r="C1060" s="94">
        <f>TEXT(B1060,"aaa")</f>
        <v/>
      </c>
      <c r="D1060" s="94" t="inlineStr">
        <is>
          <t>네이버 쇼핑검색</t>
        </is>
      </c>
      <c r="E1060" s="94" t="inlineStr">
        <is>
          <t>토너</t>
        </is>
      </c>
      <c r="J1060" s="89" t="n">
        <v>82950</v>
      </c>
    </row>
    <row r="1061" hidden="1" customFormat="1" s="94">
      <c r="B1061" s="128" t="n">
        <v>43921</v>
      </c>
      <c r="C1061" s="94">
        <f>TEXT(B1061,"aaa")</f>
        <v/>
      </c>
      <c r="D1061" s="94" t="inlineStr">
        <is>
          <t>인스타그램(랄라블라)</t>
        </is>
      </c>
      <c r="E1061" s="94" t="inlineStr">
        <is>
          <t>토너</t>
        </is>
      </c>
      <c r="J1061" s="89" t="n">
        <v>30031</v>
      </c>
    </row>
    <row r="1062" hidden="1" customFormat="1" s="94">
      <c r="B1062" s="128" t="n">
        <v>43921</v>
      </c>
      <c r="C1062" s="94">
        <f>TEXT(B1062,"aaa")</f>
        <v/>
      </c>
      <c r="D1062" s="94" t="inlineStr">
        <is>
          <t>인스타그램(리타게팅 전환)</t>
        </is>
      </c>
      <c r="E1062" s="94" t="inlineStr">
        <is>
          <t>토너</t>
        </is>
      </c>
      <c r="J1062" s="89" t="n">
        <v>99718</v>
      </c>
    </row>
    <row r="1063" hidden="1" customFormat="1" s="94">
      <c r="B1063" s="128" t="n">
        <v>43921</v>
      </c>
      <c r="C1063" s="94">
        <f>TEXT(B1063,"aaa")</f>
        <v/>
      </c>
      <c r="D1063" s="94" t="inlineStr">
        <is>
          <t>인스타그램(전환)</t>
        </is>
      </c>
      <c r="E1063" s="94" t="inlineStr">
        <is>
          <t>토너</t>
        </is>
      </c>
      <c r="J1063" s="89" t="n">
        <v>582204</v>
      </c>
    </row>
    <row r="1064" hidden="1" customFormat="1" s="94">
      <c r="B1064" s="128" t="n">
        <v>43921</v>
      </c>
      <c r="C1064" s="94">
        <f>TEXT(B1064,"aaa")</f>
        <v/>
      </c>
      <c r="D1064" s="94" t="inlineStr">
        <is>
          <t>인스타VC(전환)</t>
        </is>
      </c>
      <c r="E1064" s="94" t="inlineStr">
        <is>
          <t>토너</t>
        </is>
      </c>
      <c r="J1064" s="89" t="n">
        <v>259105</v>
      </c>
    </row>
    <row r="1065" hidden="1" customFormat="1" s="94">
      <c r="B1065" s="128" t="n">
        <v>43921</v>
      </c>
      <c r="C1065" s="94">
        <f>TEXT(B1065,"aaa")</f>
        <v/>
      </c>
      <c r="D1065" s="94" t="inlineStr">
        <is>
          <t>페북/인스타(전환)</t>
        </is>
      </c>
      <c r="E1065" s="94" t="inlineStr">
        <is>
          <t>토너</t>
        </is>
      </c>
      <c r="J1065" s="89" t="n">
        <v>345807</v>
      </c>
    </row>
    <row r="1066" hidden="1" customFormat="1" s="94">
      <c r="B1066" s="128" t="n">
        <v>43921</v>
      </c>
      <c r="C1066" s="94">
        <f>TEXT(B1066,"aaa")</f>
        <v/>
      </c>
      <c r="D1066" s="94" t="inlineStr">
        <is>
          <t>인스타그램(일본1324)</t>
        </is>
      </c>
      <c r="E1066" s="94" t="inlineStr">
        <is>
          <t>토너</t>
        </is>
      </c>
      <c r="J1066" s="89" t="n">
        <v>60032</v>
      </c>
    </row>
    <row r="1067" hidden="1" customFormat="1" s="94">
      <c r="B1067" s="128" t="n">
        <v>43921</v>
      </c>
      <c r="C1067" s="94">
        <f>TEXT(B1067,"aaa")</f>
        <v/>
      </c>
      <c r="D1067" s="94" t="inlineStr">
        <is>
          <t>네이버 GFA</t>
        </is>
      </c>
      <c r="E1067" s="94" t="inlineStr">
        <is>
          <t>토너</t>
        </is>
      </c>
      <c r="J1067" s="89" t="n">
        <v>263225.4545454545</v>
      </c>
    </row>
    <row r="1068" customFormat="1" s="94">
      <c r="B1068" s="128" t="n">
        <v>43921</v>
      </c>
      <c r="C1068" s="94">
        <f>TEXT(B1068,"aaa")</f>
        <v/>
      </c>
      <c r="D1068" s="94" t="inlineStr">
        <is>
          <t>카카오광고</t>
        </is>
      </c>
      <c r="E1068" s="94" t="inlineStr">
        <is>
          <t>토너</t>
        </is>
      </c>
      <c r="J1068" s="89" t="n">
        <v>7229.999999999999</v>
      </c>
    </row>
    <row r="1069" hidden="1" customFormat="1" s="94">
      <c r="B1069" s="128" t="n">
        <v>43921</v>
      </c>
      <c r="C1069" s="94">
        <f>TEXT(B1069,"aaa")</f>
        <v/>
      </c>
      <c r="D1069" s="94" t="inlineStr">
        <is>
          <t>네이버 브랜드검색</t>
        </is>
      </c>
      <c r="E1069" s="94" t="inlineStr">
        <is>
          <t>토너</t>
        </is>
      </c>
      <c r="J1069" s="89" t="n">
        <v>40000</v>
      </c>
    </row>
    <row r="1070" hidden="1" customFormat="1" s="94">
      <c r="B1070" s="128" t="n">
        <v>43921</v>
      </c>
      <c r="C1070" s="94">
        <f>TEXT(B1070,"aaa")</f>
        <v/>
      </c>
      <c r="D1070" s="94" t="inlineStr">
        <is>
          <t>네이버 쇼핑검색</t>
        </is>
      </c>
      <c r="E1070" s="94" t="inlineStr">
        <is>
          <t>토너</t>
        </is>
      </c>
      <c r="J1070" s="89" t="n">
        <v>82970</v>
      </c>
    </row>
    <row r="1071" hidden="1" customFormat="1" s="94">
      <c r="B1071" s="128" t="n">
        <v>43922</v>
      </c>
      <c r="C1071" s="94">
        <f>TEXT(B1071,"aaa")</f>
        <v/>
      </c>
      <c r="D1071" s="94" t="inlineStr">
        <is>
          <t>인스타그램(랄라블라)</t>
        </is>
      </c>
      <c r="E1071" s="94" t="inlineStr">
        <is>
          <t>토너</t>
        </is>
      </c>
      <c r="J1071" s="89" t="n">
        <v>29052</v>
      </c>
    </row>
    <row r="1072" hidden="1" customFormat="1" s="94">
      <c r="B1072" s="128" t="n">
        <v>43922</v>
      </c>
      <c r="C1072" s="94">
        <f>TEXT(B1072,"aaa")</f>
        <v/>
      </c>
      <c r="D1072" s="94" t="inlineStr">
        <is>
          <t>인스타그램(리타게팅 전환)</t>
        </is>
      </c>
      <c r="E1072" s="94" t="inlineStr">
        <is>
          <t>토너</t>
        </is>
      </c>
      <c r="J1072" s="89" t="n">
        <v>100123</v>
      </c>
    </row>
    <row r="1073" hidden="1" customFormat="1" s="94">
      <c r="B1073" s="128" t="n">
        <v>43922</v>
      </c>
      <c r="C1073" s="94">
        <f>TEXT(B1073,"aaa")</f>
        <v/>
      </c>
      <c r="D1073" s="94" t="inlineStr">
        <is>
          <t>인스타그램(전환)</t>
        </is>
      </c>
      <c r="E1073" s="94" t="inlineStr">
        <is>
          <t>토너</t>
        </is>
      </c>
      <c r="J1073" s="89" t="n">
        <v>597557</v>
      </c>
    </row>
    <row r="1074" hidden="1" customFormat="1" s="94">
      <c r="B1074" s="128" t="n">
        <v>43922</v>
      </c>
      <c r="C1074" s="94">
        <f>TEXT(B1074,"aaa")</f>
        <v/>
      </c>
      <c r="D1074" s="94" t="inlineStr">
        <is>
          <t>인스타VC(전환)</t>
        </is>
      </c>
      <c r="E1074" s="94" t="inlineStr">
        <is>
          <t>토너</t>
        </is>
      </c>
      <c r="J1074" s="89" t="n">
        <v>194338</v>
      </c>
    </row>
    <row r="1075" hidden="1" customFormat="1" s="94">
      <c r="B1075" s="128" t="n">
        <v>43922</v>
      </c>
      <c r="C1075" s="94">
        <f>TEXT(B1075,"aaa")</f>
        <v/>
      </c>
      <c r="D1075" s="94" t="inlineStr">
        <is>
          <t>페북/인스타(전환)</t>
        </is>
      </c>
      <c r="E1075" s="94" t="inlineStr">
        <is>
          <t>토너</t>
        </is>
      </c>
      <c r="J1075" s="89" t="n">
        <v>338278</v>
      </c>
    </row>
    <row r="1076" hidden="1" customFormat="1" s="94">
      <c r="B1076" s="128" t="n">
        <v>43922</v>
      </c>
      <c r="C1076" s="94">
        <f>TEXT(B1076,"aaa")</f>
        <v/>
      </c>
      <c r="D1076" s="94" t="inlineStr">
        <is>
          <t>인스타그램(일본1324)</t>
        </is>
      </c>
      <c r="E1076" s="94" t="inlineStr">
        <is>
          <t>토너</t>
        </is>
      </c>
      <c r="J1076" s="89" t="n">
        <v>59965</v>
      </c>
    </row>
    <row r="1077" hidden="1" customFormat="1" s="94">
      <c r="B1077" s="128" t="n">
        <v>43922</v>
      </c>
      <c r="C1077" s="94">
        <f>TEXT(B1077,"aaa")</f>
        <v/>
      </c>
      <c r="D1077" s="94" t="inlineStr">
        <is>
          <t>네이버 GFA</t>
        </is>
      </c>
      <c r="E1077" s="94" t="inlineStr">
        <is>
          <t>토너</t>
        </is>
      </c>
      <c r="J1077" s="89" t="n">
        <v>374032.7272727272</v>
      </c>
    </row>
    <row r="1078" customFormat="1" s="94">
      <c r="B1078" s="128" t="n">
        <v>43922</v>
      </c>
      <c r="C1078" s="94">
        <f>TEXT(B1078,"aaa")</f>
        <v/>
      </c>
      <c r="D1078" s="94" t="inlineStr">
        <is>
          <t>카카오광고</t>
        </is>
      </c>
      <c r="E1078" s="94" t="inlineStr">
        <is>
          <t>토너</t>
        </is>
      </c>
      <c r="J1078" s="89" t="n">
        <v>5639.999999999999</v>
      </c>
    </row>
    <row r="1079" hidden="1" customFormat="1" s="94">
      <c r="B1079" s="128" t="n">
        <v>43922</v>
      </c>
      <c r="C1079" s="94">
        <f>TEXT(B1079,"aaa")</f>
        <v/>
      </c>
      <c r="D1079" s="94" t="inlineStr">
        <is>
          <t>네이버 브랜드검색</t>
        </is>
      </c>
      <c r="E1079" s="94" t="inlineStr">
        <is>
          <t>토너</t>
        </is>
      </c>
      <c r="J1079" s="89" t="n">
        <v>40000</v>
      </c>
    </row>
    <row r="1080" hidden="1" customFormat="1" s="94">
      <c r="B1080" s="128" t="n">
        <v>43922</v>
      </c>
      <c r="C1080" s="94">
        <f>TEXT(B1080,"aaa")</f>
        <v/>
      </c>
      <c r="D1080" s="94" t="inlineStr">
        <is>
          <t>네이버 쇼핑검색</t>
        </is>
      </c>
      <c r="E1080" s="94" t="inlineStr">
        <is>
          <t>토너</t>
        </is>
      </c>
      <c r="J1080" s="89" t="n">
        <v>87780</v>
      </c>
    </row>
    <row r="1081" hidden="1" customFormat="1" s="94">
      <c r="B1081" s="128" t="n">
        <v>43923</v>
      </c>
      <c r="C1081" s="94">
        <f>TEXT(B1081,"aaa")</f>
        <v/>
      </c>
      <c r="D1081" s="94" t="inlineStr">
        <is>
          <t>인스타그램(랄라블라)</t>
        </is>
      </c>
      <c r="E1081" s="94" t="inlineStr">
        <is>
          <t>토너</t>
        </is>
      </c>
      <c r="J1081" s="89" t="n">
        <v>29604</v>
      </c>
    </row>
    <row r="1082" hidden="1" customFormat="1" s="94">
      <c r="B1082" s="128" t="n">
        <v>43923</v>
      </c>
      <c r="C1082" s="94">
        <f>TEXT(B1082,"aaa")</f>
        <v/>
      </c>
      <c r="D1082" s="94" t="inlineStr">
        <is>
          <t>인스타그램(리타게팅 전환)</t>
        </is>
      </c>
      <c r="E1082" s="94" t="inlineStr">
        <is>
          <t>토너</t>
        </is>
      </c>
      <c r="J1082" s="89" t="n">
        <v>100834</v>
      </c>
    </row>
    <row r="1083" hidden="1" customFormat="1" s="94">
      <c r="B1083" s="128" t="n">
        <v>43923</v>
      </c>
      <c r="C1083" s="94">
        <f>TEXT(B1083,"aaa")</f>
        <v/>
      </c>
      <c r="D1083" s="94" t="inlineStr">
        <is>
          <t>인스타그램(전환)</t>
        </is>
      </c>
      <c r="E1083" s="94" t="inlineStr">
        <is>
          <t>토너</t>
        </is>
      </c>
      <c r="J1083" s="89" t="n">
        <v>600724</v>
      </c>
    </row>
    <row r="1084" hidden="1" customFormat="1" s="94">
      <c r="B1084" s="128" t="n">
        <v>43923</v>
      </c>
      <c r="C1084" s="94">
        <f>TEXT(B1084,"aaa")</f>
        <v/>
      </c>
      <c r="D1084" s="94" t="inlineStr">
        <is>
          <t>인스타VC(전환)</t>
        </is>
      </c>
      <c r="E1084" s="94" t="inlineStr">
        <is>
          <t>토너</t>
        </is>
      </c>
      <c r="J1084" s="89" t="n">
        <v>196303</v>
      </c>
    </row>
    <row r="1085" hidden="1" customFormat="1" s="94">
      <c r="B1085" s="128" t="n">
        <v>43923</v>
      </c>
      <c r="C1085" s="94">
        <f>TEXT(B1085,"aaa")</f>
        <v/>
      </c>
      <c r="D1085" s="94" t="inlineStr">
        <is>
          <t>페북/인스타(전환)</t>
        </is>
      </c>
      <c r="E1085" s="94" t="inlineStr">
        <is>
          <t>토너</t>
        </is>
      </c>
      <c r="J1085" s="89" t="n">
        <v>352025</v>
      </c>
    </row>
    <row r="1086" hidden="1" customFormat="1" s="94">
      <c r="B1086" s="128" t="n">
        <v>43923</v>
      </c>
      <c r="C1086" s="94">
        <f>TEXT(B1086,"aaa")</f>
        <v/>
      </c>
      <c r="D1086" s="94" t="inlineStr">
        <is>
          <t>인스타그램(일본1324)</t>
        </is>
      </c>
      <c r="E1086" s="94" t="inlineStr">
        <is>
          <t>토너</t>
        </is>
      </c>
      <c r="J1086" s="89" t="n">
        <v>60061</v>
      </c>
    </row>
    <row r="1087" hidden="1" customFormat="1" s="94">
      <c r="B1087" s="128" t="n">
        <v>43923</v>
      </c>
      <c r="C1087" s="94">
        <f>TEXT(B1087,"aaa")</f>
        <v/>
      </c>
      <c r="D1087" s="94" t="inlineStr">
        <is>
          <t>네이버 GFA</t>
        </is>
      </c>
      <c r="E1087" s="94" t="inlineStr">
        <is>
          <t>토너</t>
        </is>
      </c>
      <c r="J1087" s="89" t="n">
        <v>358552.7272727272</v>
      </c>
    </row>
    <row r="1088" customFormat="1" s="94">
      <c r="B1088" s="128" t="n">
        <v>43923</v>
      </c>
      <c r="C1088" s="94">
        <f>TEXT(B1088,"aaa")</f>
        <v/>
      </c>
      <c r="D1088" s="94" t="inlineStr">
        <is>
          <t>카카오광고</t>
        </is>
      </c>
      <c r="E1088" s="94" t="inlineStr">
        <is>
          <t>토너</t>
        </is>
      </c>
      <c r="J1088" s="89" t="n">
        <v>14580</v>
      </c>
    </row>
    <row r="1089" hidden="1" customFormat="1" s="94">
      <c r="B1089" s="128" t="n">
        <v>43923</v>
      </c>
      <c r="C1089" s="94">
        <f>TEXT(B1089,"aaa")</f>
        <v/>
      </c>
      <c r="D1089" s="94" t="inlineStr">
        <is>
          <t>네이버 브랜드검색</t>
        </is>
      </c>
      <c r="E1089" s="94" t="inlineStr">
        <is>
          <t>토너</t>
        </is>
      </c>
      <c r="J1089" s="89" t="n">
        <v>40000</v>
      </c>
    </row>
    <row r="1090" hidden="1" customFormat="1" s="94">
      <c r="B1090" s="128" t="n">
        <v>43923</v>
      </c>
      <c r="C1090" s="94">
        <f>TEXT(B1090,"aaa")</f>
        <v/>
      </c>
      <c r="D1090" s="94" t="inlineStr">
        <is>
          <t>네이버 쇼핑검색</t>
        </is>
      </c>
      <c r="E1090" s="94" t="inlineStr">
        <is>
          <t>토너</t>
        </is>
      </c>
      <c r="J1090" s="89" t="n">
        <v>81810</v>
      </c>
    </row>
    <row r="1091" hidden="1" customFormat="1" s="94">
      <c r="B1091" s="128" t="n">
        <v>43924</v>
      </c>
      <c r="C1091" s="94">
        <f>TEXT(B1091,"aaa")</f>
        <v/>
      </c>
      <c r="D1091" s="94" t="inlineStr">
        <is>
          <t>인스타그램(랄라블라)</t>
        </is>
      </c>
      <c r="E1091" s="94" t="inlineStr">
        <is>
          <t>토너</t>
        </is>
      </c>
      <c r="J1091" s="89" t="n">
        <v>29860</v>
      </c>
    </row>
    <row r="1092" hidden="1" customFormat="1" s="94">
      <c r="B1092" s="128" t="n">
        <v>43924</v>
      </c>
      <c r="C1092" s="94">
        <f>TEXT(B1092,"aaa")</f>
        <v/>
      </c>
      <c r="D1092" s="94" t="inlineStr">
        <is>
          <t>인스타그램(리타게팅 전환)</t>
        </is>
      </c>
      <c r="E1092" s="94" t="inlineStr">
        <is>
          <t>토너</t>
        </is>
      </c>
      <c r="J1092" s="89" t="n">
        <v>96590</v>
      </c>
    </row>
    <row r="1093" hidden="1" customFormat="1" s="94">
      <c r="B1093" s="128" t="n">
        <v>43924</v>
      </c>
      <c r="C1093" s="94">
        <f>TEXT(B1093,"aaa")</f>
        <v/>
      </c>
      <c r="D1093" s="94" t="inlineStr">
        <is>
          <t>인스타그램(전환)</t>
        </is>
      </c>
      <c r="E1093" s="94" t="inlineStr">
        <is>
          <t>토너</t>
        </is>
      </c>
      <c r="J1093" s="89" t="n">
        <v>576471</v>
      </c>
    </row>
    <row r="1094" hidden="1" customFormat="1" s="94">
      <c r="B1094" s="128" t="n">
        <v>43924</v>
      </c>
      <c r="C1094" s="94">
        <f>TEXT(B1094,"aaa")</f>
        <v/>
      </c>
      <c r="D1094" s="94" t="inlineStr">
        <is>
          <t>인스타VC(전환)</t>
        </is>
      </c>
      <c r="E1094" s="94" t="inlineStr">
        <is>
          <t>토너</t>
        </is>
      </c>
      <c r="J1094" s="89" t="n">
        <v>189805</v>
      </c>
    </row>
    <row r="1095" hidden="1" customFormat="1" s="94">
      <c r="B1095" s="128" t="n">
        <v>43924</v>
      </c>
      <c r="C1095" s="94">
        <f>TEXT(B1095,"aaa")</f>
        <v/>
      </c>
      <c r="D1095" s="94" t="inlineStr">
        <is>
          <t>페북/인스타(전환)</t>
        </is>
      </c>
      <c r="E1095" s="94" t="inlineStr">
        <is>
          <t>토너</t>
        </is>
      </c>
      <c r="J1095" s="89" t="n">
        <v>337759</v>
      </c>
    </row>
    <row r="1096" hidden="1" customFormat="1" s="94">
      <c r="B1096" s="128" t="n">
        <v>43924</v>
      </c>
      <c r="C1096" s="94">
        <f>TEXT(B1096,"aaa")</f>
        <v/>
      </c>
      <c r="D1096" s="94" t="inlineStr">
        <is>
          <t>인스타그램(일본1324)</t>
        </is>
      </c>
      <c r="E1096" s="94" t="inlineStr">
        <is>
          <t>토너</t>
        </is>
      </c>
      <c r="J1096" s="89" t="n">
        <v>60060</v>
      </c>
    </row>
    <row r="1097" hidden="1" customFormat="1" s="94">
      <c r="B1097" s="128" t="n">
        <v>43924</v>
      </c>
      <c r="C1097" s="94">
        <f>TEXT(B1097,"aaa")</f>
        <v/>
      </c>
      <c r="D1097" s="94" t="inlineStr">
        <is>
          <t>네이버 GFA</t>
        </is>
      </c>
      <c r="E1097" s="94" t="inlineStr">
        <is>
          <t>토너</t>
        </is>
      </c>
      <c r="J1097" s="89" t="n">
        <v>251520</v>
      </c>
    </row>
    <row r="1098" customFormat="1" s="94">
      <c r="B1098" s="128" t="n">
        <v>43924</v>
      </c>
      <c r="C1098" s="94">
        <f>TEXT(B1098,"aaa")</f>
        <v/>
      </c>
      <c r="D1098" s="94" t="inlineStr">
        <is>
          <t>카카오광고</t>
        </is>
      </c>
      <c r="E1098" s="94" t="inlineStr">
        <is>
          <t>토너</t>
        </is>
      </c>
      <c r="J1098" s="89" t="n">
        <v>8079.999999999999</v>
      </c>
    </row>
    <row r="1099" hidden="1" customFormat="1" s="94">
      <c r="B1099" s="128" t="n">
        <v>43924</v>
      </c>
      <c r="C1099" s="94">
        <f>TEXT(B1099,"aaa")</f>
        <v/>
      </c>
      <c r="D1099" s="94" t="inlineStr">
        <is>
          <t>네이버 브랜드검색</t>
        </is>
      </c>
      <c r="E1099" s="94" t="inlineStr">
        <is>
          <t>토너</t>
        </is>
      </c>
      <c r="J1099" s="89" t="n">
        <v>40000</v>
      </c>
    </row>
    <row r="1100" hidden="1" customFormat="1" s="94">
      <c r="B1100" s="128" t="n">
        <v>43924</v>
      </c>
      <c r="C1100" s="94">
        <f>TEXT(B1100,"aaa")</f>
        <v/>
      </c>
      <c r="D1100" s="94" t="inlineStr">
        <is>
          <t>네이버 쇼핑검색</t>
        </is>
      </c>
      <c r="E1100" s="94" t="inlineStr">
        <is>
          <t>토너</t>
        </is>
      </c>
      <c r="J1100" s="89" t="n">
        <v>64399.99999999999</v>
      </c>
    </row>
    <row r="1101" hidden="1" customFormat="1" s="94">
      <c r="B1101" s="128" t="n">
        <v>43925</v>
      </c>
      <c r="C1101" s="94">
        <f>TEXT(B1101,"aaa")</f>
        <v/>
      </c>
      <c r="D1101" s="94" t="inlineStr">
        <is>
          <t>인스타그램(랄라블라)</t>
        </is>
      </c>
      <c r="E1101" s="94" t="inlineStr">
        <is>
          <t>토너</t>
        </is>
      </c>
      <c r="J1101" s="89" t="n">
        <v>31369</v>
      </c>
    </row>
    <row r="1102" hidden="1" customFormat="1" s="94">
      <c r="B1102" s="128" t="n">
        <v>43925</v>
      </c>
      <c r="C1102" s="94">
        <f>TEXT(B1102,"aaa")</f>
        <v/>
      </c>
      <c r="D1102" s="94" t="inlineStr">
        <is>
          <t>인스타그램(리타게팅 전환)</t>
        </is>
      </c>
      <c r="E1102" s="94" t="inlineStr">
        <is>
          <t>토너</t>
        </is>
      </c>
      <c r="J1102" s="89" t="n">
        <v>104077</v>
      </c>
    </row>
    <row r="1103" hidden="1" customFormat="1" s="94">
      <c r="B1103" s="128" t="n">
        <v>43925</v>
      </c>
      <c r="C1103" s="94">
        <f>TEXT(B1103,"aaa")</f>
        <v/>
      </c>
      <c r="D1103" s="94" t="inlineStr">
        <is>
          <t>인스타그램(전환)</t>
        </is>
      </c>
      <c r="E1103" s="94" t="inlineStr">
        <is>
          <t>토너</t>
        </is>
      </c>
      <c r="J1103" s="89" t="n">
        <v>622164</v>
      </c>
    </row>
    <row r="1104" hidden="1" customFormat="1" s="94">
      <c r="B1104" s="128" t="n">
        <v>43925</v>
      </c>
      <c r="C1104" s="94">
        <f>TEXT(B1104,"aaa")</f>
        <v/>
      </c>
      <c r="D1104" s="94" t="inlineStr">
        <is>
          <t>인스타VC(전환)</t>
        </is>
      </c>
      <c r="E1104" s="94" t="inlineStr">
        <is>
          <t>토너</t>
        </is>
      </c>
      <c r="J1104" s="89" t="n">
        <v>201971</v>
      </c>
    </row>
    <row r="1105" hidden="1" customFormat="1" s="94">
      <c r="B1105" s="128" t="n">
        <v>43925</v>
      </c>
      <c r="C1105" s="94">
        <f>TEXT(B1105,"aaa")</f>
        <v/>
      </c>
      <c r="D1105" s="94" t="inlineStr">
        <is>
          <t>페북/인스타(전환)</t>
        </is>
      </c>
      <c r="E1105" s="94" t="inlineStr">
        <is>
          <t>토너</t>
        </is>
      </c>
      <c r="J1105" s="89" t="n">
        <v>362776</v>
      </c>
    </row>
    <row r="1106" hidden="1" customFormat="1" s="94">
      <c r="B1106" s="128" t="n">
        <v>43925</v>
      </c>
      <c r="C1106" s="94">
        <f>TEXT(B1106,"aaa")</f>
        <v/>
      </c>
      <c r="D1106" s="94" t="inlineStr">
        <is>
          <t>인스타그램(일본1324)</t>
        </is>
      </c>
      <c r="E1106" s="94" t="inlineStr">
        <is>
          <t>토너</t>
        </is>
      </c>
      <c r="J1106" s="89" t="n">
        <v>59754</v>
      </c>
    </row>
    <row r="1107" customFormat="1" s="94">
      <c r="B1107" s="128" t="n">
        <v>43925</v>
      </c>
      <c r="C1107" s="94">
        <f>TEXT(B1107,"aaa")</f>
        <v/>
      </c>
      <c r="D1107" s="94" t="inlineStr">
        <is>
          <t>카카오광고</t>
        </is>
      </c>
      <c r="E1107" s="94" t="inlineStr">
        <is>
          <t>토너</t>
        </is>
      </c>
      <c r="J1107" s="89" t="n">
        <v>10090</v>
      </c>
    </row>
    <row r="1108" hidden="1" customFormat="1" s="94">
      <c r="B1108" s="128" t="n">
        <v>43925</v>
      </c>
      <c r="C1108" s="94">
        <f>TEXT(B1108,"aaa")</f>
        <v/>
      </c>
      <c r="D1108" s="94" t="inlineStr">
        <is>
          <t>네이버 브랜드검색</t>
        </is>
      </c>
      <c r="E1108" s="94" t="inlineStr">
        <is>
          <t>토너</t>
        </is>
      </c>
      <c r="J1108" s="89" t="n">
        <v>40000</v>
      </c>
    </row>
    <row r="1109" hidden="1" customFormat="1" s="94">
      <c r="B1109" s="128" t="n">
        <v>43925</v>
      </c>
      <c r="C1109" s="94">
        <f>TEXT(B1109,"aaa")</f>
        <v/>
      </c>
      <c r="D1109" s="94" t="inlineStr">
        <is>
          <t>네이버 쇼핑검색</t>
        </is>
      </c>
      <c r="E1109" s="94" t="inlineStr">
        <is>
          <t>토너</t>
        </is>
      </c>
      <c r="J1109" s="89" t="n">
        <v>59969.99999999999</v>
      </c>
    </row>
    <row r="1110" hidden="1" customFormat="1" s="94">
      <c r="B1110" s="128" t="n">
        <v>43926</v>
      </c>
      <c r="C1110" s="94">
        <f>TEXT(B1110,"aaa")</f>
        <v/>
      </c>
      <c r="D1110" s="94" t="inlineStr">
        <is>
          <t>인스타그램(랄라블라)</t>
        </is>
      </c>
      <c r="E1110" s="94" t="inlineStr">
        <is>
          <t>토너</t>
        </is>
      </c>
      <c r="J1110" s="89" t="n">
        <v>30061</v>
      </c>
    </row>
    <row r="1111" hidden="1" customFormat="1" s="94">
      <c r="B1111" s="128" t="n">
        <v>43926</v>
      </c>
      <c r="C1111" s="94">
        <f>TEXT(B1111,"aaa")</f>
        <v/>
      </c>
      <c r="D1111" s="94" t="inlineStr">
        <is>
          <t>인스타그램(리타게팅 전환)</t>
        </is>
      </c>
      <c r="E1111" s="94" t="inlineStr">
        <is>
          <t>토너</t>
        </is>
      </c>
      <c r="J1111" s="89" t="n">
        <v>100532</v>
      </c>
    </row>
    <row r="1112" hidden="1" customFormat="1" s="94">
      <c r="B1112" s="128" t="n">
        <v>43926</v>
      </c>
      <c r="C1112" s="94">
        <f>TEXT(B1112,"aaa")</f>
        <v/>
      </c>
      <c r="D1112" s="94" t="inlineStr">
        <is>
          <t>인스타그램(전환)</t>
        </is>
      </c>
      <c r="E1112" s="94" t="inlineStr">
        <is>
          <t>토너</t>
        </is>
      </c>
      <c r="J1112" s="89" t="n">
        <v>600782</v>
      </c>
    </row>
    <row r="1113" hidden="1" customFormat="1" s="94">
      <c r="B1113" s="128" t="n">
        <v>43926</v>
      </c>
      <c r="C1113" s="94">
        <f>TEXT(B1113,"aaa")</f>
        <v/>
      </c>
      <c r="D1113" s="94" t="inlineStr">
        <is>
          <t>인스타VC(전환)</t>
        </is>
      </c>
      <c r="E1113" s="94" t="inlineStr">
        <is>
          <t>토너</t>
        </is>
      </c>
      <c r="J1113" s="89" t="n">
        <v>200202</v>
      </c>
    </row>
    <row r="1114" hidden="1" customFormat="1" s="94">
      <c r="B1114" s="128" t="n">
        <v>43926</v>
      </c>
      <c r="C1114" s="94">
        <f>TEXT(B1114,"aaa")</f>
        <v/>
      </c>
      <c r="D1114" s="94" t="inlineStr">
        <is>
          <t>페북/인스타(전환)</t>
        </is>
      </c>
      <c r="E1114" s="94" t="inlineStr">
        <is>
          <t>토너</t>
        </is>
      </c>
      <c r="J1114" s="89" t="n">
        <v>351072</v>
      </c>
    </row>
    <row r="1115" hidden="1" customFormat="1" s="94">
      <c r="B1115" s="128" t="n">
        <v>43926</v>
      </c>
      <c r="C1115" s="94">
        <f>TEXT(B1115,"aaa")</f>
        <v/>
      </c>
      <c r="D1115" s="94" t="inlineStr">
        <is>
          <t>인스타그램(일본1324)</t>
        </is>
      </c>
      <c r="E1115" s="94" t="inlineStr">
        <is>
          <t>토너</t>
        </is>
      </c>
      <c r="J1115" s="89" t="n">
        <v>60104</v>
      </c>
    </row>
    <row r="1116" customFormat="1" s="94">
      <c r="B1116" s="128" t="n">
        <v>43926</v>
      </c>
      <c r="C1116" s="94">
        <f>TEXT(B1116,"aaa")</f>
        <v/>
      </c>
      <c r="D1116" s="94" t="inlineStr">
        <is>
          <t>카카오광고</t>
        </is>
      </c>
      <c r="E1116" s="94" t="inlineStr">
        <is>
          <t>토너</t>
        </is>
      </c>
      <c r="J1116" s="89" t="n">
        <v>10840</v>
      </c>
    </row>
    <row r="1117" hidden="1" customFormat="1" s="94">
      <c r="B1117" s="128" t="n">
        <v>43926</v>
      </c>
      <c r="C1117" s="94">
        <f>TEXT(B1117,"aaa")</f>
        <v/>
      </c>
      <c r="D1117" s="94" t="inlineStr">
        <is>
          <t>네이버 브랜드검색</t>
        </is>
      </c>
      <c r="E1117" s="94" t="inlineStr">
        <is>
          <t>토너</t>
        </is>
      </c>
      <c r="J1117" s="89" t="n">
        <v>40000</v>
      </c>
    </row>
    <row r="1118" hidden="1" customFormat="1" s="94">
      <c r="B1118" s="128" t="n">
        <v>43926</v>
      </c>
      <c r="C1118" s="94">
        <f>TEXT(B1118,"aaa")</f>
        <v/>
      </c>
      <c r="D1118" s="94" t="inlineStr">
        <is>
          <t>네이버 쇼핑검색</t>
        </is>
      </c>
      <c r="E1118" s="94" t="inlineStr">
        <is>
          <t>토너</t>
        </is>
      </c>
      <c r="J1118" s="89" t="n">
        <v>61979.99999999999</v>
      </c>
    </row>
    <row r="1119" hidden="1" customFormat="1" s="94">
      <c r="B1119" s="128" t="n">
        <v>43921</v>
      </c>
      <c r="C1119" s="94">
        <f>TEXT(B1119,"aaa")</f>
        <v/>
      </c>
      <c r="D1119" s="94" t="inlineStr">
        <is>
          <t>기획사이다</t>
        </is>
      </c>
      <c r="E1119" s="94" t="inlineStr">
        <is>
          <t>토너</t>
        </is>
      </c>
      <c r="J1119" s="89">
        <f>9920000/1.1</f>
        <v/>
      </c>
    </row>
    <row r="1120" hidden="1" customFormat="1" s="94">
      <c r="B1120" s="128" t="n">
        <v>43921</v>
      </c>
      <c r="C1120" s="94">
        <f>TEXT(B1120,"aaa")</f>
        <v/>
      </c>
      <c r="D1120" s="94" t="inlineStr">
        <is>
          <t>기획사이다</t>
        </is>
      </c>
      <c r="E1120" s="94" t="inlineStr">
        <is>
          <t>마스크팩</t>
        </is>
      </c>
      <c r="J1120" s="89">
        <f>3873000/1.1</f>
        <v/>
      </c>
    </row>
    <row r="1121" hidden="1" customFormat="1" s="94">
      <c r="B1121" s="128" t="n">
        <v>43927</v>
      </c>
      <c r="C1121" s="94">
        <f>TEXT(B1121,"aaa")</f>
        <v/>
      </c>
      <c r="D1121" s="94" t="inlineStr">
        <is>
          <t>인스타그램(랄라블라)</t>
        </is>
      </c>
      <c r="E1121" s="94" t="inlineStr">
        <is>
          <t>토너</t>
        </is>
      </c>
      <c r="J1121" s="89" t="n">
        <v>29524</v>
      </c>
    </row>
    <row r="1122" hidden="1" customFormat="1" s="94">
      <c r="B1122" s="128" t="n">
        <v>43928</v>
      </c>
      <c r="C1122" s="94">
        <f>TEXT(B1122,"aaa")</f>
        <v/>
      </c>
      <c r="D1122" s="94" t="inlineStr">
        <is>
          <t>인스타그램(랄라블라)</t>
        </is>
      </c>
      <c r="E1122" s="94" t="inlineStr">
        <is>
          <t>토너</t>
        </is>
      </c>
      <c r="J1122" s="89" t="n">
        <v>29965</v>
      </c>
    </row>
    <row r="1123" hidden="1" customFormat="1" s="94">
      <c r="B1123" s="128" t="n">
        <v>43929</v>
      </c>
      <c r="C1123" s="94">
        <f>TEXT(B1123,"aaa")</f>
        <v/>
      </c>
      <c r="D1123" s="94" t="inlineStr">
        <is>
          <t>인스타그램(랄라블라)</t>
        </is>
      </c>
      <c r="E1123" s="94" t="inlineStr">
        <is>
          <t>토너</t>
        </is>
      </c>
      <c r="J1123" s="89" t="n">
        <v>29619</v>
      </c>
    </row>
    <row r="1124" hidden="1" customFormat="1" s="94">
      <c r="B1124" s="128" t="n">
        <v>43930</v>
      </c>
      <c r="C1124" s="94">
        <f>TEXT(B1124,"aaa")</f>
        <v/>
      </c>
      <c r="D1124" s="94" t="inlineStr">
        <is>
          <t>인스타그램(랄라블라)</t>
        </is>
      </c>
      <c r="E1124" s="94" t="inlineStr">
        <is>
          <t>토너</t>
        </is>
      </c>
      <c r="J1124" s="89" t="n">
        <v>30325</v>
      </c>
    </row>
    <row r="1125" hidden="1" customFormat="1" s="94">
      <c r="B1125" s="128" t="n">
        <v>43931</v>
      </c>
      <c r="C1125" s="94">
        <f>TEXT(B1125,"aaa")</f>
        <v/>
      </c>
      <c r="D1125" s="94" t="inlineStr">
        <is>
          <t>인스타그램(랄라블라)</t>
        </is>
      </c>
      <c r="E1125" s="94" t="inlineStr">
        <is>
          <t>토너</t>
        </is>
      </c>
      <c r="J1125" s="89" t="n">
        <v>30300</v>
      </c>
    </row>
    <row r="1126" hidden="1" customFormat="1" s="94">
      <c r="B1126" s="128" t="n">
        <v>43932</v>
      </c>
      <c r="C1126" s="94">
        <f>TEXT(B1126,"aaa")</f>
        <v/>
      </c>
      <c r="D1126" s="94" t="inlineStr">
        <is>
          <t>인스타그램(랄라블라)</t>
        </is>
      </c>
      <c r="E1126" s="94" t="inlineStr">
        <is>
          <t>토너</t>
        </is>
      </c>
      <c r="J1126" s="89" t="n">
        <v>30205</v>
      </c>
    </row>
    <row r="1127" hidden="1" customFormat="1" s="94">
      <c r="B1127" s="128" t="n">
        <v>43933</v>
      </c>
      <c r="C1127" s="94">
        <f>TEXT(B1127,"aaa")</f>
        <v/>
      </c>
      <c r="D1127" s="94" t="inlineStr">
        <is>
          <t>인스타그램(랄라블라)</t>
        </is>
      </c>
      <c r="E1127" s="94" t="inlineStr">
        <is>
          <t>토너</t>
        </is>
      </c>
      <c r="J1127" s="89" t="n">
        <v>29599</v>
      </c>
    </row>
    <row r="1128" hidden="1" customFormat="1" s="94">
      <c r="B1128" s="128" t="n">
        <v>43934</v>
      </c>
      <c r="C1128" s="94">
        <f>TEXT(B1128,"aaa")</f>
        <v/>
      </c>
      <c r="D1128" s="94" t="inlineStr">
        <is>
          <t>인스타그램(랄라블라)</t>
        </is>
      </c>
      <c r="E1128" s="94" t="inlineStr">
        <is>
          <t>토너</t>
        </is>
      </c>
      <c r="J1128" s="89" t="n">
        <v>29272</v>
      </c>
    </row>
    <row r="1129" hidden="1" customFormat="1" s="94">
      <c r="B1129" s="128" t="n">
        <v>43935</v>
      </c>
      <c r="C1129" s="94">
        <f>TEXT(B1129,"aaa")</f>
        <v/>
      </c>
      <c r="D1129" s="94" t="inlineStr">
        <is>
          <t>인스타그램(랄라블라)</t>
        </is>
      </c>
      <c r="E1129" s="94" t="inlineStr">
        <is>
          <t>토너</t>
        </is>
      </c>
      <c r="J1129" s="89" t="n">
        <v>30293</v>
      </c>
    </row>
    <row r="1130" hidden="1" customFormat="1" s="94">
      <c r="B1130" s="128" t="n">
        <v>43936</v>
      </c>
      <c r="C1130" s="94">
        <f>TEXT(B1130,"aaa")</f>
        <v/>
      </c>
      <c r="D1130" s="94" t="inlineStr">
        <is>
          <t>인스타그램(랄라블라)</t>
        </is>
      </c>
      <c r="E1130" s="94" t="inlineStr">
        <is>
          <t>토너</t>
        </is>
      </c>
      <c r="J1130" s="89" t="n">
        <v>30249</v>
      </c>
    </row>
    <row r="1131" hidden="1" customFormat="1" s="94">
      <c r="B1131" s="128" t="n">
        <v>43937</v>
      </c>
      <c r="C1131" s="94">
        <f>TEXT(B1131,"aaa")</f>
        <v/>
      </c>
      <c r="D1131" s="94" t="inlineStr">
        <is>
          <t>인스타그램(랄라블라)</t>
        </is>
      </c>
      <c r="E1131" s="94" t="inlineStr">
        <is>
          <t>토너</t>
        </is>
      </c>
      <c r="J1131" s="89" t="n">
        <v>29359</v>
      </c>
    </row>
    <row r="1132" hidden="1" customFormat="1" s="94">
      <c r="B1132" s="128" t="n">
        <v>43938</v>
      </c>
      <c r="C1132" s="94">
        <f>TEXT(B1132,"aaa")</f>
        <v/>
      </c>
      <c r="D1132" s="94" t="inlineStr">
        <is>
          <t>인스타그램(랄라블라)</t>
        </is>
      </c>
      <c r="E1132" s="94" t="inlineStr">
        <is>
          <t>토너</t>
        </is>
      </c>
      <c r="J1132" s="89" t="n">
        <v>30627</v>
      </c>
    </row>
    <row r="1133" hidden="1" customFormat="1" s="94">
      <c r="B1133" s="128" t="n">
        <v>43939</v>
      </c>
      <c r="C1133" s="94">
        <f>TEXT(B1133,"aaa")</f>
        <v/>
      </c>
      <c r="D1133" s="94" t="inlineStr">
        <is>
          <t>인스타그램(랄라블라)</t>
        </is>
      </c>
      <c r="E1133" s="94" t="inlineStr">
        <is>
          <t>토너</t>
        </is>
      </c>
      <c r="J1133" s="89" t="n">
        <v>30601</v>
      </c>
    </row>
    <row r="1134" hidden="1" customFormat="1" s="94">
      <c r="B1134" s="128" t="n">
        <v>43940</v>
      </c>
      <c r="C1134" s="94">
        <f>TEXT(B1134,"aaa")</f>
        <v/>
      </c>
      <c r="D1134" s="94" t="inlineStr">
        <is>
          <t>인스타그램(랄라블라)</t>
        </is>
      </c>
      <c r="E1134" s="94" t="inlineStr">
        <is>
          <t>토너</t>
        </is>
      </c>
      <c r="J1134" s="89" t="n">
        <v>30049</v>
      </c>
    </row>
    <row r="1135" hidden="1" customFormat="1" s="94">
      <c r="B1135" s="128" t="n">
        <v>43941</v>
      </c>
      <c r="C1135" s="94">
        <f>TEXT(B1135,"aaa")</f>
        <v/>
      </c>
      <c r="D1135" s="94" t="inlineStr">
        <is>
          <t>인스타그램(랄라블라)</t>
        </is>
      </c>
      <c r="E1135" s="94" t="inlineStr">
        <is>
          <t>토너</t>
        </is>
      </c>
      <c r="J1135" s="89" t="n">
        <v>30010</v>
      </c>
    </row>
    <row r="1136" hidden="1" customFormat="1" s="94">
      <c r="B1136" s="128" t="n">
        <v>43942</v>
      </c>
      <c r="C1136" s="94">
        <f>TEXT(B1136,"aaa")</f>
        <v/>
      </c>
      <c r="D1136" s="94" t="inlineStr">
        <is>
          <t>인스타그램(랄라블라)</t>
        </is>
      </c>
      <c r="E1136" s="94" t="inlineStr">
        <is>
          <t>토너</t>
        </is>
      </c>
      <c r="J1136" s="89" t="n">
        <v>30006</v>
      </c>
    </row>
    <row r="1137" hidden="1" customFormat="1" s="94">
      <c r="B1137" s="128" t="n">
        <v>43943</v>
      </c>
      <c r="C1137" s="94">
        <f>TEXT(B1137,"aaa")</f>
        <v/>
      </c>
      <c r="D1137" s="94" t="inlineStr">
        <is>
          <t>인스타그램(랄라블라)</t>
        </is>
      </c>
      <c r="E1137" s="94" t="inlineStr">
        <is>
          <t>토너</t>
        </is>
      </c>
      <c r="J1137" s="89" t="n">
        <v>30070</v>
      </c>
    </row>
    <row r="1138" hidden="1" customFormat="1" s="94">
      <c r="B1138" s="128" t="n">
        <v>43944</v>
      </c>
      <c r="C1138" s="94">
        <f>TEXT(B1138,"aaa")</f>
        <v/>
      </c>
      <c r="D1138" s="94" t="inlineStr">
        <is>
          <t>인스타그램(랄라블라)</t>
        </is>
      </c>
      <c r="E1138" s="94" t="inlineStr">
        <is>
          <t>토너</t>
        </is>
      </c>
      <c r="J1138" s="89" t="n">
        <v>29986</v>
      </c>
    </row>
    <row r="1139" hidden="1" customFormat="1" s="94">
      <c r="B1139" s="128" t="n">
        <v>43945</v>
      </c>
      <c r="C1139" s="94">
        <f>TEXT(B1139,"aaa")</f>
        <v/>
      </c>
      <c r="D1139" s="94" t="inlineStr">
        <is>
          <t>인스타그램(랄라블라)</t>
        </is>
      </c>
      <c r="E1139" s="94" t="inlineStr">
        <is>
          <t>토너</t>
        </is>
      </c>
      <c r="J1139" s="89" t="n">
        <v>29823</v>
      </c>
    </row>
    <row r="1140" hidden="1" customFormat="1" s="94">
      <c r="B1140" s="128" t="n">
        <v>43946</v>
      </c>
      <c r="C1140" s="94">
        <f>TEXT(B1140,"aaa")</f>
        <v/>
      </c>
      <c r="D1140" s="94" t="inlineStr">
        <is>
          <t>인스타그램(랄라블라)</t>
        </is>
      </c>
      <c r="E1140" s="94" t="inlineStr">
        <is>
          <t>토너</t>
        </is>
      </c>
      <c r="J1140" s="89" t="n">
        <v>30056</v>
      </c>
    </row>
    <row r="1141" hidden="1" customFormat="1" s="94">
      <c r="B1141" s="128" t="n">
        <v>43947</v>
      </c>
      <c r="C1141" s="94">
        <f>TEXT(B1141,"aaa")</f>
        <v/>
      </c>
      <c r="D1141" s="94" t="inlineStr">
        <is>
          <t>인스타그램(랄라블라)</t>
        </is>
      </c>
      <c r="E1141" s="94" t="inlineStr">
        <is>
          <t>토너</t>
        </is>
      </c>
      <c r="J1141" s="89" t="n">
        <v>30131</v>
      </c>
    </row>
    <row r="1142" hidden="1" customFormat="1" s="94">
      <c r="B1142" s="128" t="n">
        <v>43948</v>
      </c>
      <c r="C1142" s="94">
        <f>TEXT(B1142,"aaa")</f>
        <v/>
      </c>
      <c r="D1142" s="94" t="inlineStr">
        <is>
          <t>인스타그램(랄라블라)</t>
        </is>
      </c>
      <c r="E1142" s="94" t="inlineStr">
        <is>
          <t>토너</t>
        </is>
      </c>
      <c r="J1142" s="89" t="n">
        <v>29568</v>
      </c>
    </row>
    <row r="1143" hidden="1" customFormat="1" s="94">
      <c r="B1143" s="128" t="n">
        <v>43949</v>
      </c>
      <c r="C1143" s="94">
        <f>TEXT(B1143,"aaa")</f>
        <v/>
      </c>
      <c r="D1143" s="94" t="inlineStr">
        <is>
          <t>인스타그램(랄라블라)</t>
        </is>
      </c>
      <c r="E1143" s="94" t="inlineStr">
        <is>
          <t>토너</t>
        </is>
      </c>
      <c r="J1143" s="89" t="n">
        <v>29454</v>
      </c>
    </row>
    <row r="1144" hidden="1" customFormat="1" s="94">
      <c r="B1144" s="128" t="n">
        <v>43950</v>
      </c>
      <c r="C1144" s="94">
        <f>TEXT(B1144,"aaa")</f>
        <v/>
      </c>
      <c r="D1144" s="94" t="inlineStr">
        <is>
          <t>인스타그램(랄라블라)</t>
        </is>
      </c>
      <c r="E1144" s="94" t="inlineStr">
        <is>
          <t>토너</t>
        </is>
      </c>
      <c r="J1144" s="89" t="n">
        <v>30326</v>
      </c>
    </row>
    <row r="1145" hidden="1" customFormat="1" s="94">
      <c r="B1145" s="128" t="n">
        <v>43951</v>
      </c>
      <c r="C1145" s="94">
        <f>TEXT(B1145,"aaa")</f>
        <v/>
      </c>
      <c r="D1145" s="94" t="inlineStr">
        <is>
          <t>인스타그램(랄라블라)</t>
        </is>
      </c>
      <c r="E1145" s="94" t="inlineStr">
        <is>
          <t>토너</t>
        </is>
      </c>
      <c r="J1145" s="89" t="n">
        <v>30189</v>
      </c>
    </row>
    <row r="1146" hidden="1" customFormat="1" s="94">
      <c r="B1146" s="128" t="n">
        <v>43927</v>
      </c>
      <c r="C1146" s="94">
        <f>TEXT(B1146,"aaa")</f>
        <v/>
      </c>
      <c r="D1146" s="94" t="inlineStr">
        <is>
          <t>인스타그램(일본1324)</t>
        </is>
      </c>
      <c r="E1146" s="94" t="inlineStr">
        <is>
          <t>토너</t>
        </is>
      </c>
      <c r="J1146" s="89" t="n">
        <v>60091</v>
      </c>
    </row>
    <row r="1147" hidden="1" customFormat="1" s="94">
      <c r="B1147" s="128" t="n">
        <v>43928</v>
      </c>
      <c r="C1147" s="94">
        <f>TEXT(B1147,"aaa")</f>
        <v/>
      </c>
      <c r="D1147" s="94" t="inlineStr">
        <is>
          <t>인스타그램(일본1324)</t>
        </is>
      </c>
      <c r="E1147" s="94" t="inlineStr">
        <is>
          <t>토너</t>
        </is>
      </c>
      <c r="J1147" s="89" t="n">
        <v>27136</v>
      </c>
    </row>
    <row r="1148" hidden="1" customFormat="1" s="94">
      <c r="B1148" s="128" t="n">
        <v>43930</v>
      </c>
      <c r="C1148" s="94">
        <f>TEXT(B1148,"aaa")</f>
        <v/>
      </c>
      <c r="D1148" s="94" t="inlineStr">
        <is>
          <t>인스타그램(일본1324)</t>
        </is>
      </c>
      <c r="E1148" s="94" t="inlineStr">
        <is>
          <t>토너</t>
        </is>
      </c>
      <c r="J1148" s="89" t="n">
        <v>68319</v>
      </c>
    </row>
    <row r="1149" hidden="1" customFormat="1" s="94">
      <c r="B1149" s="128" t="n">
        <v>43931</v>
      </c>
      <c r="C1149" s="94">
        <f>TEXT(B1149,"aaa")</f>
        <v/>
      </c>
      <c r="D1149" s="94" t="inlineStr">
        <is>
          <t>인스타그램(일본1324)</t>
        </is>
      </c>
      <c r="E1149" s="94" t="inlineStr">
        <is>
          <t>토너</t>
        </is>
      </c>
      <c r="J1149" s="89" t="n">
        <v>69126</v>
      </c>
    </row>
    <row r="1150" hidden="1" customFormat="1" s="94">
      <c r="B1150" s="128" t="n">
        <v>43932</v>
      </c>
      <c r="C1150" s="94">
        <f>TEXT(B1150,"aaa")</f>
        <v/>
      </c>
      <c r="D1150" s="94" t="inlineStr">
        <is>
          <t>인스타그램(일본1324)</t>
        </is>
      </c>
      <c r="E1150" s="94" t="inlineStr">
        <is>
          <t>토너</t>
        </is>
      </c>
      <c r="J1150" s="89" t="n">
        <v>69113</v>
      </c>
    </row>
    <row r="1151" hidden="1" customFormat="1" s="94">
      <c r="B1151" s="128" t="n">
        <v>43933</v>
      </c>
      <c r="C1151" s="94">
        <f>TEXT(B1151,"aaa")</f>
        <v/>
      </c>
      <c r="D1151" s="94" t="inlineStr">
        <is>
          <t>인스타그램(일본1324)</t>
        </is>
      </c>
      <c r="E1151" s="94" t="inlineStr">
        <is>
          <t>토너</t>
        </is>
      </c>
      <c r="J1151" s="89" t="n">
        <v>59824</v>
      </c>
    </row>
    <row r="1152" hidden="1" customFormat="1" s="94">
      <c r="B1152" s="128" t="n">
        <v>43934</v>
      </c>
      <c r="C1152" s="94">
        <f>TEXT(B1152,"aaa")</f>
        <v/>
      </c>
      <c r="D1152" s="94" t="inlineStr">
        <is>
          <t>인스타그램(일본1324)</t>
        </is>
      </c>
      <c r="E1152" s="94" t="inlineStr">
        <is>
          <t>토너</t>
        </is>
      </c>
      <c r="J1152" s="89" t="n">
        <v>60087</v>
      </c>
    </row>
    <row r="1153" hidden="1" customFormat="1" s="94">
      <c r="B1153" s="128" t="n">
        <v>43935</v>
      </c>
      <c r="C1153" s="94">
        <f>TEXT(B1153,"aaa")</f>
        <v/>
      </c>
      <c r="D1153" s="94" t="inlineStr">
        <is>
          <t>인스타그램(일본1324)</t>
        </is>
      </c>
      <c r="E1153" s="94" t="inlineStr">
        <is>
          <t>토너</t>
        </is>
      </c>
      <c r="J1153" s="89" t="n">
        <v>60098</v>
      </c>
    </row>
    <row r="1154" hidden="1" customFormat="1" s="94">
      <c r="B1154" s="128" t="n">
        <v>43936</v>
      </c>
      <c r="C1154" s="94">
        <f>TEXT(B1154,"aaa")</f>
        <v/>
      </c>
      <c r="D1154" s="94" t="inlineStr">
        <is>
          <t>인스타그램(일본1324)</t>
        </is>
      </c>
      <c r="E1154" s="94" t="inlineStr">
        <is>
          <t>토너</t>
        </is>
      </c>
      <c r="J1154" s="89" t="n">
        <v>60118</v>
      </c>
    </row>
    <row r="1155" hidden="1" customFormat="1" s="94">
      <c r="B1155" s="128" t="n">
        <v>43937</v>
      </c>
      <c r="C1155" s="94">
        <f>TEXT(B1155,"aaa")</f>
        <v/>
      </c>
      <c r="D1155" s="94" t="inlineStr">
        <is>
          <t>인스타그램(일본1324)</t>
        </is>
      </c>
      <c r="E1155" s="94" t="inlineStr">
        <is>
          <t>토너</t>
        </is>
      </c>
      <c r="J1155" s="89" t="n">
        <v>60030</v>
      </c>
    </row>
    <row r="1156" hidden="1" customFormat="1" s="94">
      <c r="B1156" s="128" t="n">
        <v>43938</v>
      </c>
      <c r="C1156" s="94">
        <f>TEXT(B1156,"aaa")</f>
        <v/>
      </c>
      <c r="D1156" s="94" t="inlineStr">
        <is>
          <t>인스타그램(일본1324)</t>
        </is>
      </c>
      <c r="E1156" s="94" t="inlineStr">
        <is>
          <t>토너</t>
        </is>
      </c>
      <c r="J1156" s="89" t="n">
        <v>105463</v>
      </c>
    </row>
    <row r="1157" hidden="1" customFormat="1" s="94">
      <c r="B1157" s="128" t="n">
        <v>43939</v>
      </c>
      <c r="C1157" s="94">
        <f>TEXT(B1157,"aaa")</f>
        <v/>
      </c>
      <c r="D1157" s="94" t="inlineStr">
        <is>
          <t>인스타그램(일본1324)</t>
        </is>
      </c>
      <c r="E1157" s="94" t="inlineStr">
        <is>
          <t>토너</t>
        </is>
      </c>
      <c r="J1157" s="89" t="n">
        <v>139054</v>
      </c>
    </row>
    <row r="1158" hidden="1" customFormat="1" s="94">
      <c r="B1158" s="128" t="n">
        <v>43940</v>
      </c>
      <c r="C1158" s="94">
        <f>TEXT(B1158,"aaa")</f>
        <v/>
      </c>
      <c r="D1158" s="94" t="inlineStr">
        <is>
          <t>인스타그램(일본1324)</t>
        </is>
      </c>
      <c r="E1158" s="94" t="inlineStr">
        <is>
          <t>토너</t>
        </is>
      </c>
      <c r="J1158" s="89" t="n">
        <v>150143</v>
      </c>
    </row>
    <row r="1159" hidden="1" customFormat="1" s="94">
      <c r="B1159" s="128" t="n">
        <v>43941</v>
      </c>
      <c r="C1159" s="94">
        <f>TEXT(B1159,"aaa")</f>
        <v/>
      </c>
      <c r="D1159" s="94" t="inlineStr">
        <is>
          <t>인스타그램(일본1324)</t>
        </is>
      </c>
      <c r="E1159" s="94" t="inlineStr">
        <is>
          <t>토너</t>
        </is>
      </c>
      <c r="J1159" s="89" t="n">
        <v>150138</v>
      </c>
    </row>
    <row r="1160" hidden="1" customFormat="1" s="94">
      <c r="B1160" s="128" t="n">
        <v>43942</v>
      </c>
      <c r="C1160" s="94">
        <f>TEXT(B1160,"aaa")</f>
        <v/>
      </c>
      <c r="D1160" s="94" t="inlineStr">
        <is>
          <t>인스타그램(일본1324)</t>
        </is>
      </c>
      <c r="E1160" s="94" t="inlineStr">
        <is>
          <t>토너</t>
        </is>
      </c>
      <c r="J1160" s="89" t="n">
        <v>149667</v>
      </c>
    </row>
    <row r="1161" hidden="1" customFormat="1" s="94">
      <c r="B1161" s="128" t="n">
        <v>43943</v>
      </c>
      <c r="C1161" s="94">
        <f>TEXT(B1161,"aaa")</f>
        <v/>
      </c>
      <c r="D1161" s="94" t="inlineStr">
        <is>
          <t>인스타그램(일본1324)</t>
        </is>
      </c>
      <c r="E1161" s="94" t="inlineStr">
        <is>
          <t>토너</t>
        </is>
      </c>
      <c r="J1161" s="89" t="n">
        <v>148373</v>
      </c>
    </row>
    <row r="1162" hidden="1" customFormat="1" s="94">
      <c r="B1162" s="128" t="n">
        <v>43944</v>
      </c>
      <c r="C1162" s="94">
        <f>TEXT(B1162,"aaa")</f>
        <v/>
      </c>
      <c r="D1162" s="94" t="inlineStr">
        <is>
          <t>인스타그램(일본1324)</t>
        </is>
      </c>
      <c r="E1162" s="94" t="inlineStr">
        <is>
          <t>토너</t>
        </is>
      </c>
      <c r="J1162" s="89" t="n">
        <v>146982</v>
      </c>
    </row>
    <row r="1163" hidden="1" customFormat="1" s="94">
      <c r="B1163" s="128" t="n">
        <v>43945</v>
      </c>
      <c r="C1163" s="94">
        <f>TEXT(B1163,"aaa")</f>
        <v/>
      </c>
      <c r="D1163" s="94" t="inlineStr">
        <is>
          <t>인스타그램(일본1324)</t>
        </is>
      </c>
      <c r="E1163" s="94" t="inlineStr">
        <is>
          <t>토너</t>
        </is>
      </c>
      <c r="J1163" s="89" t="n">
        <v>151948</v>
      </c>
    </row>
    <row r="1164" hidden="1" customFormat="1" s="94">
      <c r="B1164" s="128" t="n">
        <v>43946</v>
      </c>
      <c r="C1164" s="94">
        <f>TEXT(B1164,"aaa")</f>
        <v/>
      </c>
      <c r="D1164" s="94" t="inlineStr">
        <is>
          <t>인스타그램(일본1324)</t>
        </is>
      </c>
      <c r="E1164" s="94" t="inlineStr">
        <is>
          <t>토너</t>
        </is>
      </c>
      <c r="J1164" s="89" t="n">
        <v>152712</v>
      </c>
    </row>
    <row r="1165" hidden="1" customFormat="1" s="94">
      <c r="B1165" s="128" t="n">
        <v>43947</v>
      </c>
      <c r="C1165" s="94">
        <f>TEXT(B1165,"aaa")</f>
        <v/>
      </c>
      <c r="D1165" s="94" t="inlineStr">
        <is>
          <t>인스타그램(일본1324)</t>
        </is>
      </c>
      <c r="E1165" s="94" t="inlineStr">
        <is>
          <t>토너</t>
        </is>
      </c>
      <c r="J1165" s="89" t="n">
        <v>151033</v>
      </c>
    </row>
    <row r="1166" hidden="1" customFormat="1" s="94">
      <c r="B1166" s="128" t="n">
        <v>43948</v>
      </c>
      <c r="C1166" s="94">
        <f>TEXT(B1166,"aaa")</f>
        <v/>
      </c>
      <c r="D1166" s="94" t="inlineStr">
        <is>
          <t>인스타그램(일본1324)</t>
        </is>
      </c>
      <c r="E1166" s="94" t="inlineStr">
        <is>
          <t>토너</t>
        </is>
      </c>
      <c r="J1166" s="89" t="n">
        <v>149879</v>
      </c>
    </row>
    <row r="1167" hidden="1" customFormat="1" s="94">
      <c r="B1167" s="128" t="n">
        <v>43949</v>
      </c>
      <c r="C1167" s="94">
        <f>TEXT(B1167,"aaa")</f>
        <v/>
      </c>
      <c r="D1167" s="94" t="inlineStr">
        <is>
          <t>인스타그램(일본1324)</t>
        </is>
      </c>
      <c r="E1167" s="94" t="inlineStr">
        <is>
          <t>토너</t>
        </is>
      </c>
      <c r="J1167" s="89" t="n">
        <v>149682</v>
      </c>
    </row>
    <row r="1168" hidden="1" customFormat="1" s="94">
      <c r="B1168" s="128" t="n">
        <v>43950</v>
      </c>
      <c r="C1168" s="94">
        <f>TEXT(B1168,"aaa")</f>
        <v/>
      </c>
      <c r="D1168" s="94" t="inlineStr">
        <is>
          <t>인스타그램(일본1324)</t>
        </is>
      </c>
      <c r="E1168" s="94" t="inlineStr">
        <is>
          <t>토너</t>
        </is>
      </c>
      <c r="J1168" s="89" t="n">
        <v>149463</v>
      </c>
    </row>
    <row r="1169" hidden="1" customFormat="1" s="94">
      <c r="B1169" s="128" t="n">
        <v>43951</v>
      </c>
      <c r="C1169" s="94">
        <f>TEXT(B1169,"aaa")</f>
        <v/>
      </c>
      <c r="D1169" s="94" t="inlineStr">
        <is>
          <t>인스타그램(일본1324)</t>
        </is>
      </c>
      <c r="E1169" s="94" t="inlineStr">
        <is>
          <t>토너</t>
        </is>
      </c>
      <c r="J1169" s="89" t="n">
        <v>149704</v>
      </c>
    </row>
    <row r="1170" hidden="1" customFormat="1" s="94">
      <c r="B1170" s="128" t="n">
        <v>43927</v>
      </c>
      <c r="C1170" s="94">
        <f>TEXT(B1170,"aaa")</f>
        <v/>
      </c>
      <c r="D1170" s="94" t="inlineStr">
        <is>
          <t>인스타그램(전환)</t>
        </is>
      </c>
      <c r="E1170" s="94" t="inlineStr">
        <is>
          <t>토너</t>
        </is>
      </c>
      <c r="J1170" s="89" t="n">
        <v>583748</v>
      </c>
    </row>
    <row r="1171" hidden="1" customFormat="1" s="94">
      <c r="B1171" s="128" t="n">
        <v>43928</v>
      </c>
      <c r="C1171" s="94">
        <f>TEXT(B1171,"aaa")</f>
        <v/>
      </c>
      <c r="D1171" s="94" t="inlineStr">
        <is>
          <t>인스타그램(전환)</t>
        </is>
      </c>
      <c r="E1171" s="94" t="inlineStr">
        <is>
          <t>토너</t>
        </is>
      </c>
      <c r="J1171" s="89" t="n">
        <v>588087</v>
      </c>
    </row>
    <row r="1172" hidden="1" customFormat="1" s="94">
      <c r="B1172" s="128" t="n">
        <v>43929</v>
      </c>
      <c r="C1172" s="94">
        <f>TEXT(B1172,"aaa")</f>
        <v/>
      </c>
      <c r="D1172" s="94" t="inlineStr">
        <is>
          <t>인스타그램(전환)</t>
        </is>
      </c>
      <c r="E1172" s="94" t="inlineStr">
        <is>
          <t>토너</t>
        </is>
      </c>
      <c r="J1172" s="89" t="n">
        <v>590710</v>
      </c>
    </row>
    <row r="1173" hidden="1" customFormat="1" s="94">
      <c r="B1173" s="128" t="n">
        <v>43930</v>
      </c>
      <c r="C1173" s="94">
        <f>TEXT(B1173,"aaa")</f>
        <v/>
      </c>
      <c r="D1173" s="94" t="inlineStr">
        <is>
          <t>인스타그램(전환)</t>
        </is>
      </c>
      <c r="E1173" s="94" t="inlineStr">
        <is>
          <t>토너</t>
        </is>
      </c>
      <c r="J1173" s="89" t="n">
        <v>593965</v>
      </c>
    </row>
    <row r="1174" hidden="1" customFormat="1" s="94">
      <c r="B1174" s="128" t="n">
        <v>43931</v>
      </c>
      <c r="C1174" s="94">
        <f>TEXT(B1174,"aaa")</f>
        <v/>
      </c>
      <c r="D1174" s="94" t="inlineStr">
        <is>
          <t>인스타그램(전환)</t>
        </is>
      </c>
      <c r="E1174" s="94" t="inlineStr">
        <is>
          <t>토너</t>
        </is>
      </c>
      <c r="J1174" s="89" t="n">
        <v>594150</v>
      </c>
    </row>
    <row r="1175" hidden="1" customFormat="1" s="94">
      <c r="B1175" s="128" t="n">
        <v>43932</v>
      </c>
      <c r="C1175" s="94">
        <f>TEXT(B1175,"aaa")</f>
        <v/>
      </c>
      <c r="D1175" s="94" t="inlineStr">
        <is>
          <t>인스타그램(전환)</t>
        </is>
      </c>
      <c r="E1175" s="94" t="inlineStr">
        <is>
          <t>토너</t>
        </is>
      </c>
      <c r="J1175" s="89" t="n">
        <v>648558</v>
      </c>
    </row>
    <row r="1176" hidden="1" customFormat="1" s="94">
      <c r="B1176" s="128" t="n">
        <v>43933</v>
      </c>
      <c r="C1176" s="94">
        <f>TEXT(B1176,"aaa")</f>
        <v/>
      </c>
      <c r="D1176" s="94" t="inlineStr">
        <is>
          <t>인스타그램(전환)</t>
        </is>
      </c>
      <c r="E1176" s="94" t="inlineStr">
        <is>
          <t>토너</t>
        </is>
      </c>
      <c r="J1176" s="89" t="n">
        <v>600965</v>
      </c>
    </row>
    <row r="1177" hidden="1" customFormat="1" s="94">
      <c r="B1177" s="128" t="n">
        <v>43934</v>
      </c>
      <c r="C1177" s="94">
        <f>TEXT(B1177,"aaa")</f>
        <v/>
      </c>
      <c r="D1177" s="94" t="inlineStr">
        <is>
          <t>인스타그램(전환)</t>
        </is>
      </c>
      <c r="E1177" s="94" t="inlineStr">
        <is>
          <t>토너</t>
        </is>
      </c>
      <c r="J1177" s="89" t="n">
        <v>578385</v>
      </c>
    </row>
    <row r="1178" hidden="1" customFormat="1" s="94">
      <c r="B1178" s="128" t="n">
        <v>43935</v>
      </c>
      <c r="C1178" s="94">
        <f>TEXT(B1178,"aaa")</f>
        <v/>
      </c>
      <c r="D1178" s="94" t="inlineStr">
        <is>
          <t>인스타그램(전환)</t>
        </is>
      </c>
      <c r="E1178" s="94" t="inlineStr">
        <is>
          <t>토너</t>
        </is>
      </c>
      <c r="J1178" s="89" t="n">
        <v>581746</v>
      </c>
    </row>
    <row r="1179" hidden="1" customFormat="1" s="94">
      <c r="B1179" s="128" t="n">
        <v>43936</v>
      </c>
      <c r="C1179" s="94">
        <f>TEXT(B1179,"aaa")</f>
        <v/>
      </c>
      <c r="D1179" s="94" t="inlineStr">
        <is>
          <t>인스타그램(전환)</t>
        </is>
      </c>
      <c r="E1179" s="94" t="inlineStr">
        <is>
          <t>토너</t>
        </is>
      </c>
      <c r="J1179" s="89" t="n">
        <v>610360</v>
      </c>
    </row>
    <row r="1180" hidden="1" customFormat="1" s="94">
      <c r="B1180" s="128" t="n">
        <v>43937</v>
      </c>
      <c r="C1180" s="94">
        <f>TEXT(B1180,"aaa")</f>
        <v/>
      </c>
      <c r="D1180" s="94" t="inlineStr">
        <is>
          <t>인스타그램(전환)</t>
        </is>
      </c>
      <c r="E1180" s="94" t="inlineStr">
        <is>
          <t>토너</t>
        </is>
      </c>
      <c r="J1180" s="89" t="n">
        <v>590891</v>
      </c>
    </row>
    <row r="1181" hidden="1" customFormat="1" s="94">
      <c r="B1181" s="128" t="n">
        <v>43938</v>
      </c>
      <c r="C1181" s="94">
        <f>TEXT(B1181,"aaa")</f>
        <v/>
      </c>
      <c r="D1181" s="94" t="inlineStr">
        <is>
          <t>인스타그램(전환)</t>
        </is>
      </c>
      <c r="E1181" s="94" t="inlineStr">
        <is>
          <t>토너</t>
        </is>
      </c>
      <c r="J1181" s="89" t="n">
        <v>592901</v>
      </c>
    </row>
    <row r="1182" hidden="1" customFormat="1" s="94">
      <c r="B1182" s="128" t="n">
        <v>43939</v>
      </c>
      <c r="C1182" s="94">
        <f>TEXT(B1182,"aaa")</f>
        <v/>
      </c>
      <c r="D1182" s="94" t="inlineStr">
        <is>
          <t>인스타그램(전환)</t>
        </is>
      </c>
      <c r="E1182" s="94" t="inlineStr">
        <is>
          <t>토너</t>
        </is>
      </c>
      <c r="J1182" s="89" t="n">
        <v>644752</v>
      </c>
    </row>
    <row r="1183" hidden="1" customFormat="1" s="94">
      <c r="B1183" s="128" t="n">
        <v>43940</v>
      </c>
      <c r="C1183" s="94">
        <f>TEXT(B1183,"aaa")</f>
        <v/>
      </c>
      <c r="D1183" s="94" t="inlineStr">
        <is>
          <t>인스타그램(전환)</t>
        </is>
      </c>
      <c r="E1183" s="94" t="inlineStr">
        <is>
          <t>토너</t>
        </is>
      </c>
      <c r="J1183" s="89" t="n">
        <v>601660</v>
      </c>
    </row>
    <row r="1184" hidden="1" customFormat="1" s="94">
      <c r="B1184" s="128" t="n">
        <v>43941</v>
      </c>
      <c r="C1184" s="94">
        <f>TEXT(B1184,"aaa")</f>
        <v/>
      </c>
      <c r="D1184" s="94" t="inlineStr">
        <is>
          <t>인스타그램(전환)</t>
        </is>
      </c>
      <c r="E1184" s="94" t="inlineStr">
        <is>
          <t>토너</t>
        </is>
      </c>
      <c r="J1184" s="89" t="n">
        <v>477360</v>
      </c>
    </row>
    <row r="1185" hidden="1" customFormat="1" s="94">
      <c r="B1185" s="128" t="n">
        <v>43942</v>
      </c>
      <c r="C1185" s="94">
        <f>TEXT(B1185,"aaa")</f>
        <v/>
      </c>
      <c r="D1185" s="94" t="inlineStr">
        <is>
          <t>인스타그램(전환)</t>
        </is>
      </c>
      <c r="E1185" s="94" t="inlineStr">
        <is>
          <t>토너</t>
        </is>
      </c>
      <c r="J1185" s="89" t="n">
        <v>385294</v>
      </c>
    </row>
    <row r="1186" hidden="1" customFormat="1" s="94">
      <c r="B1186" s="128" t="n">
        <v>43943</v>
      </c>
      <c r="C1186" s="94">
        <f>TEXT(B1186,"aaa")</f>
        <v/>
      </c>
      <c r="D1186" s="94" t="inlineStr">
        <is>
          <t>인스타그램(전환)</t>
        </is>
      </c>
      <c r="E1186" s="94" t="inlineStr">
        <is>
          <t>토너</t>
        </is>
      </c>
      <c r="J1186" s="89" t="n">
        <v>382499</v>
      </c>
    </row>
    <row r="1187" hidden="1" customFormat="1" s="94">
      <c r="B1187" s="128" t="n">
        <v>43944</v>
      </c>
      <c r="C1187" s="94">
        <f>TEXT(B1187,"aaa")</f>
        <v/>
      </c>
      <c r="D1187" s="94" t="inlineStr">
        <is>
          <t>인스타그램(전환)</t>
        </is>
      </c>
      <c r="E1187" s="94" t="inlineStr">
        <is>
          <t>토너</t>
        </is>
      </c>
      <c r="J1187" s="89" t="n">
        <v>441853</v>
      </c>
    </row>
    <row r="1188" hidden="1" customFormat="1" s="94">
      <c r="B1188" s="128" t="n">
        <v>43945</v>
      </c>
      <c r="C1188" s="94">
        <f>TEXT(B1188,"aaa")</f>
        <v/>
      </c>
      <c r="D1188" s="94" t="inlineStr">
        <is>
          <t>인스타그램(전환)</t>
        </is>
      </c>
      <c r="E1188" s="94" t="inlineStr">
        <is>
          <t>토너</t>
        </is>
      </c>
      <c r="J1188" s="89" t="n">
        <v>462558</v>
      </c>
    </row>
    <row r="1189" hidden="1" customFormat="1" s="94">
      <c r="B1189" s="128" t="n">
        <v>43946</v>
      </c>
      <c r="C1189" s="94">
        <f>TEXT(B1189,"aaa")</f>
        <v/>
      </c>
      <c r="D1189" s="94" t="inlineStr">
        <is>
          <t>인스타그램(전환)</t>
        </is>
      </c>
      <c r="E1189" s="94" t="inlineStr">
        <is>
          <t>토너</t>
        </is>
      </c>
      <c r="J1189" s="89" t="n">
        <v>498843</v>
      </c>
    </row>
    <row r="1190" hidden="1" customFormat="1" s="94">
      <c r="B1190" s="128" t="n">
        <v>43947</v>
      </c>
      <c r="C1190" s="94">
        <f>TEXT(B1190,"aaa")</f>
        <v/>
      </c>
      <c r="D1190" s="94" t="inlineStr">
        <is>
          <t>인스타그램(전환)</t>
        </is>
      </c>
      <c r="E1190" s="94" t="inlineStr">
        <is>
          <t>토너</t>
        </is>
      </c>
      <c r="J1190" s="89" t="n">
        <v>500575</v>
      </c>
    </row>
    <row r="1191" hidden="1" customFormat="1" s="94">
      <c r="B1191" s="128" t="n">
        <v>43948</v>
      </c>
      <c r="C1191" s="94">
        <f>TEXT(B1191,"aaa")</f>
        <v/>
      </c>
      <c r="D1191" s="94" t="inlineStr">
        <is>
          <t>인스타그램(전환)</t>
        </is>
      </c>
      <c r="E1191" s="94" t="inlineStr">
        <is>
          <t>토너</t>
        </is>
      </c>
      <c r="J1191" s="89" t="n">
        <v>483769</v>
      </c>
    </row>
    <row r="1192" hidden="1" customFormat="1" s="94">
      <c r="B1192" s="128" t="n">
        <v>43949</v>
      </c>
      <c r="C1192" s="94">
        <f>TEXT(B1192,"aaa")</f>
        <v/>
      </c>
      <c r="D1192" s="94" t="inlineStr">
        <is>
          <t>인스타그램(전환)</t>
        </is>
      </c>
      <c r="E1192" s="94" t="inlineStr">
        <is>
          <t>토너</t>
        </is>
      </c>
      <c r="J1192" s="89" t="n">
        <v>483464</v>
      </c>
    </row>
    <row r="1193" hidden="1" customFormat="1" s="94">
      <c r="B1193" s="128" t="n">
        <v>43950</v>
      </c>
      <c r="C1193" s="94">
        <f>TEXT(B1193,"aaa")</f>
        <v/>
      </c>
      <c r="D1193" s="94" t="inlineStr">
        <is>
          <t>인스타그램(전환)</t>
        </is>
      </c>
      <c r="E1193" s="94" t="inlineStr">
        <is>
          <t>토너</t>
        </is>
      </c>
      <c r="J1193" s="89" t="n">
        <v>614832</v>
      </c>
    </row>
    <row r="1194" hidden="1" customFormat="1" s="94">
      <c r="B1194" s="128" t="n">
        <v>43951</v>
      </c>
      <c r="C1194" s="94">
        <f>TEXT(B1194,"aaa")</f>
        <v/>
      </c>
      <c r="D1194" s="94" t="inlineStr">
        <is>
          <t>인스타그램(전환)</t>
        </is>
      </c>
      <c r="E1194" s="94" t="inlineStr">
        <is>
          <t>토너</t>
        </is>
      </c>
      <c r="J1194" s="89" t="n">
        <v>554402</v>
      </c>
    </row>
    <row r="1195" hidden="1" customFormat="1" s="94">
      <c r="B1195" s="128" t="n">
        <v>43927</v>
      </c>
      <c r="C1195" s="94">
        <f>TEXT(B1195,"aaa")</f>
        <v/>
      </c>
      <c r="D1195" s="94" t="inlineStr">
        <is>
          <t>인스타그램(리타게팅 전환)</t>
        </is>
      </c>
      <c r="E1195" s="94" t="inlineStr">
        <is>
          <t>토너</t>
        </is>
      </c>
      <c r="J1195" s="89" t="n">
        <v>100119</v>
      </c>
    </row>
    <row r="1196" hidden="1" customFormat="1" s="94">
      <c r="B1196" s="128" t="n">
        <v>43928</v>
      </c>
      <c r="C1196" s="94">
        <f>TEXT(B1196,"aaa")</f>
        <v/>
      </c>
      <c r="D1196" s="94" t="inlineStr">
        <is>
          <t>인스타그램(리타게팅 전환)</t>
        </is>
      </c>
      <c r="E1196" s="94" t="inlineStr">
        <is>
          <t>토너</t>
        </is>
      </c>
      <c r="J1196" s="89" t="n">
        <v>97230</v>
      </c>
    </row>
    <row r="1197" hidden="1" customFormat="1" s="94">
      <c r="B1197" s="128" t="n">
        <v>43929</v>
      </c>
      <c r="C1197" s="94">
        <f>TEXT(B1197,"aaa")</f>
        <v/>
      </c>
      <c r="D1197" s="94" t="inlineStr">
        <is>
          <t>인스타그램(리타게팅 전환)</t>
        </is>
      </c>
      <c r="E1197" s="94" t="inlineStr">
        <is>
          <t>토너</t>
        </is>
      </c>
      <c r="J1197" s="89" t="n">
        <v>100566</v>
      </c>
    </row>
    <row r="1198" hidden="1" customFormat="1" s="94">
      <c r="B1198" s="128" t="n">
        <v>43930</v>
      </c>
      <c r="C1198" s="94">
        <f>TEXT(B1198,"aaa")</f>
        <v/>
      </c>
      <c r="D1198" s="94" t="inlineStr">
        <is>
          <t>인스타그램(리타게팅 전환)</t>
        </is>
      </c>
      <c r="E1198" s="94" t="inlineStr">
        <is>
          <t>토너</t>
        </is>
      </c>
      <c r="J1198" s="89" t="n">
        <v>100375</v>
      </c>
    </row>
    <row r="1199" hidden="1" customFormat="1" s="94">
      <c r="B1199" s="128" t="n">
        <v>43931</v>
      </c>
      <c r="C1199" s="94">
        <f>TEXT(B1199,"aaa")</f>
        <v/>
      </c>
      <c r="D1199" s="94" t="inlineStr">
        <is>
          <t>인스타그램(리타게팅 전환)</t>
        </is>
      </c>
      <c r="E1199" s="94" t="inlineStr">
        <is>
          <t>토너</t>
        </is>
      </c>
      <c r="J1199" s="89" t="n">
        <v>96880</v>
      </c>
    </row>
    <row r="1200" hidden="1" customFormat="1" s="94">
      <c r="B1200" s="128" t="n">
        <v>43932</v>
      </c>
      <c r="C1200" s="94">
        <f>TEXT(B1200,"aaa")</f>
        <v/>
      </c>
      <c r="D1200" s="94" t="inlineStr">
        <is>
          <t>인스타그램(리타게팅 전환)</t>
        </is>
      </c>
      <c r="E1200" s="94" t="inlineStr">
        <is>
          <t>토너</t>
        </is>
      </c>
      <c r="J1200" s="89" t="n">
        <v>104298</v>
      </c>
    </row>
    <row r="1201" hidden="1" customFormat="1" s="94">
      <c r="B1201" s="128" t="n">
        <v>43933</v>
      </c>
      <c r="C1201" s="94">
        <f>TEXT(B1201,"aaa")</f>
        <v/>
      </c>
      <c r="D1201" s="94" t="inlineStr">
        <is>
          <t>인스타그램(리타게팅 전환)</t>
        </is>
      </c>
      <c r="E1201" s="94" t="inlineStr">
        <is>
          <t>토너</t>
        </is>
      </c>
      <c r="J1201" s="89" t="n">
        <v>100533</v>
      </c>
    </row>
    <row r="1202" hidden="1" customFormat="1" s="94">
      <c r="B1202" s="128" t="n">
        <v>43934</v>
      </c>
      <c r="C1202" s="94">
        <f>TEXT(B1202,"aaa")</f>
        <v/>
      </c>
      <c r="D1202" s="94" t="inlineStr">
        <is>
          <t>인스타그램(리타게팅 전환)</t>
        </is>
      </c>
      <c r="E1202" s="94" t="inlineStr">
        <is>
          <t>토너</t>
        </is>
      </c>
      <c r="J1202" s="89" t="n">
        <v>97614</v>
      </c>
    </row>
    <row r="1203" hidden="1" customFormat="1" s="94">
      <c r="B1203" s="128" t="n">
        <v>43935</v>
      </c>
      <c r="C1203" s="94">
        <f>TEXT(B1203,"aaa")</f>
        <v/>
      </c>
      <c r="D1203" s="94" t="inlineStr">
        <is>
          <t>인스타그램(리타게팅 전환)</t>
        </is>
      </c>
      <c r="E1203" s="94" t="inlineStr">
        <is>
          <t>토너</t>
        </is>
      </c>
      <c r="J1203" s="89" t="n">
        <v>99229</v>
      </c>
    </row>
    <row r="1204" hidden="1" customFormat="1" s="94">
      <c r="B1204" s="128" t="n">
        <v>43936</v>
      </c>
      <c r="C1204" s="94">
        <f>TEXT(B1204,"aaa")</f>
        <v/>
      </c>
      <c r="D1204" s="94" t="inlineStr">
        <is>
          <t>인스타그램(리타게팅 전환)</t>
        </is>
      </c>
      <c r="E1204" s="94" t="inlineStr">
        <is>
          <t>토너</t>
        </is>
      </c>
      <c r="J1204" s="89" t="n">
        <v>101170</v>
      </c>
    </row>
    <row r="1205" hidden="1" customFormat="1" s="94">
      <c r="B1205" s="128" t="n">
        <v>43937</v>
      </c>
      <c r="C1205" s="94">
        <f>TEXT(B1205,"aaa")</f>
        <v/>
      </c>
      <c r="D1205" s="94" t="inlineStr">
        <is>
          <t>인스타그램(리타게팅 전환)</t>
        </is>
      </c>
      <c r="E1205" s="94" t="inlineStr">
        <is>
          <t>토너</t>
        </is>
      </c>
      <c r="J1205" s="89" t="n">
        <v>96795</v>
      </c>
    </row>
    <row r="1206" hidden="1" customFormat="1" s="94">
      <c r="B1206" s="128" t="n">
        <v>43938</v>
      </c>
      <c r="C1206" s="94">
        <f>TEXT(B1206,"aaa")</f>
        <v/>
      </c>
      <c r="D1206" s="94" t="inlineStr">
        <is>
          <t>인스타그램(리타게팅 전환)</t>
        </is>
      </c>
      <c r="E1206" s="94" t="inlineStr">
        <is>
          <t>토너</t>
        </is>
      </c>
      <c r="J1206" s="89" t="n">
        <v>98991</v>
      </c>
    </row>
    <row r="1207" hidden="1" customFormat="1" s="94">
      <c r="B1207" s="128" t="n">
        <v>43939</v>
      </c>
      <c r="C1207" s="94">
        <f>TEXT(B1207,"aaa")</f>
        <v/>
      </c>
      <c r="D1207" s="94" t="inlineStr">
        <is>
          <t>인스타그램(리타게팅 전환)</t>
        </is>
      </c>
      <c r="E1207" s="94" t="inlineStr">
        <is>
          <t>토너</t>
        </is>
      </c>
      <c r="J1207" s="89" t="n">
        <v>105668</v>
      </c>
    </row>
    <row r="1208" hidden="1" customFormat="1" s="94">
      <c r="B1208" s="128" t="n">
        <v>43940</v>
      </c>
      <c r="C1208" s="94">
        <f>TEXT(B1208,"aaa")</f>
        <v/>
      </c>
      <c r="D1208" s="94" t="inlineStr">
        <is>
          <t>인스타그램(리타게팅 전환)</t>
        </is>
      </c>
      <c r="E1208" s="94" t="inlineStr">
        <is>
          <t>토너</t>
        </is>
      </c>
      <c r="J1208" s="89" t="n">
        <v>100894</v>
      </c>
    </row>
    <row r="1209" hidden="1" customFormat="1" s="94">
      <c r="B1209" s="128" t="n">
        <v>43941</v>
      </c>
      <c r="C1209" s="94">
        <f>TEXT(B1209,"aaa")</f>
        <v/>
      </c>
      <c r="D1209" s="94" t="inlineStr">
        <is>
          <t>인스타그램(리타게팅 전환)</t>
        </is>
      </c>
      <c r="E1209" s="94" t="inlineStr">
        <is>
          <t>토너</t>
        </is>
      </c>
      <c r="J1209" s="89" t="n">
        <v>98923</v>
      </c>
    </row>
    <row r="1210" hidden="1" customFormat="1" s="94">
      <c r="B1210" s="128" t="n">
        <v>43942</v>
      </c>
      <c r="C1210" s="94">
        <f>TEXT(B1210,"aaa")</f>
        <v/>
      </c>
      <c r="D1210" s="94" t="inlineStr">
        <is>
          <t>인스타그램(리타게팅 전환)</t>
        </is>
      </c>
      <c r="E1210" s="94" t="inlineStr">
        <is>
          <t>토너</t>
        </is>
      </c>
      <c r="J1210" s="89" t="n">
        <v>99858</v>
      </c>
    </row>
    <row r="1211" hidden="1" customFormat="1" s="94">
      <c r="B1211" s="128" t="n">
        <v>43943</v>
      </c>
      <c r="C1211" s="94">
        <f>TEXT(B1211,"aaa")</f>
        <v/>
      </c>
      <c r="D1211" s="94" t="inlineStr">
        <is>
          <t>인스타그램(리타게팅 전환)</t>
        </is>
      </c>
      <c r="E1211" s="94" t="inlineStr">
        <is>
          <t>토너</t>
        </is>
      </c>
      <c r="J1211" s="89" t="n">
        <v>97027</v>
      </c>
    </row>
    <row r="1212" hidden="1" customFormat="1" s="94">
      <c r="B1212" s="128" t="n">
        <v>43944</v>
      </c>
      <c r="C1212" s="94">
        <f>TEXT(B1212,"aaa")</f>
        <v/>
      </c>
      <c r="D1212" s="94" t="inlineStr">
        <is>
          <t>인스타그램(리타게팅 전환)</t>
        </is>
      </c>
      <c r="E1212" s="94" t="inlineStr">
        <is>
          <t>토너</t>
        </is>
      </c>
      <c r="J1212" s="89" t="n">
        <v>100389</v>
      </c>
    </row>
    <row r="1213" hidden="1" customFormat="1" s="94">
      <c r="B1213" s="128" t="n">
        <v>43945</v>
      </c>
      <c r="C1213" s="94">
        <f>TEXT(B1213,"aaa")</f>
        <v/>
      </c>
      <c r="D1213" s="94" t="inlineStr">
        <is>
          <t>인스타그램(리타게팅 전환)</t>
        </is>
      </c>
      <c r="E1213" s="94" t="inlineStr">
        <is>
          <t>토너</t>
        </is>
      </c>
      <c r="J1213" s="89" t="n">
        <v>98399</v>
      </c>
    </row>
    <row r="1214" hidden="1" customFormat="1" s="94">
      <c r="B1214" s="128" t="n">
        <v>43946</v>
      </c>
      <c r="C1214" s="94">
        <f>TEXT(B1214,"aaa")</f>
        <v/>
      </c>
      <c r="D1214" s="94" t="inlineStr">
        <is>
          <t>인스타그램(리타게팅 전환)</t>
        </is>
      </c>
      <c r="E1214" s="94" t="inlineStr">
        <is>
          <t>토너</t>
        </is>
      </c>
      <c r="J1214" s="89" t="n">
        <v>104503</v>
      </c>
    </row>
    <row r="1215" hidden="1" customFormat="1" s="94">
      <c r="B1215" s="128" t="n">
        <v>43947</v>
      </c>
      <c r="C1215" s="94">
        <f>TEXT(B1215,"aaa")</f>
        <v/>
      </c>
      <c r="D1215" s="94" t="inlineStr">
        <is>
          <t>인스타그램(리타게팅 전환)</t>
        </is>
      </c>
      <c r="E1215" s="94" t="inlineStr">
        <is>
          <t>토너</t>
        </is>
      </c>
      <c r="J1215" s="89" t="n">
        <v>100416</v>
      </c>
    </row>
    <row r="1216" hidden="1" customFormat="1" s="94">
      <c r="B1216" s="128" t="n">
        <v>43948</v>
      </c>
      <c r="C1216" s="94">
        <f>TEXT(B1216,"aaa")</f>
        <v/>
      </c>
      <c r="D1216" s="94" t="inlineStr">
        <is>
          <t>인스타그램(리타게팅 전환)</t>
        </is>
      </c>
      <c r="E1216" s="94" t="inlineStr">
        <is>
          <t>토너</t>
        </is>
      </c>
      <c r="J1216" s="89" t="n">
        <v>98748</v>
      </c>
    </row>
    <row r="1217" hidden="1" customFormat="1" s="94">
      <c r="B1217" s="128" t="n">
        <v>43949</v>
      </c>
      <c r="C1217" s="94">
        <f>TEXT(B1217,"aaa")</f>
        <v/>
      </c>
      <c r="D1217" s="94" t="inlineStr">
        <is>
          <t>인스타그램(리타게팅 전환)</t>
        </is>
      </c>
      <c r="E1217" s="94" t="inlineStr">
        <is>
          <t>토너</t>
        </is>
      </c>
      <c r="J1217" s="89" t="n">
        <v>97518</v>
      </c>
    </row>
    <row r="1218" hidden="1" customFormat="1" s="94">
      <c r="B1218" s="128" t="n">
        <v>43950</v>
      </c>
      <c r="C1218" s="94">
        <f>TEXT(B1218,"aaa")</f>
        <v/>
      </c>
      <c r="D1218" s="94" t="inlineStr">
        <is>
          <t>인스타그램(리타게팅 전환)</t>
        </is>
      </c>
      <c r="E1218" s="94" t="inlineStr">
        <is>
          <t>토너</t>
        </is>
      </c>
      <c r="J1218" s="89" t="n">
        <v>97837</v>
      </c>
    </row>
    <row r="1219" hidden="1" customFormat="1" s="94">
      <c r="B1219" s="128" t="n">
        <v>43951</v>
      </c>
      <c r="C1219" s="94">
        <f>TEXT(B1219,"aaa")</f>
        <v/>
      </c>
      <c r="D1219" s="94" t="inlineStr">
        <is>
          <t>인스타그램(리타게팅 전환)</t>
        </is>
      </c>
      <c r="E1219" s="94" t="inlineStr">
        <is>
          <t>토너</t>
        </is>
      </c>
      <c r="J1219" s="89" t="n">
        <v>100664</v>
      </c>
    </row>
    <row r="1220" hidden="1" customFormat="1" s="94">
      <c r="B1220" s="128" t="n">
        <v>43948</v>
      </c>
      <c r="C1220" s="94">
        <f>TEXT(B1220,"aaa")</f>
        <v/>
      </c>
      <c r="D1220" s="94" t="inlineStr">
        <is>
          <t>인스타그램(소재테스트)</t>
        </is>
      </c>
      <c r="E1220" s="94" t="inlineStr">
        <is>
          <t>토너</t>
        </is>
      </c>
      <c r="J1220" s="89" t="n">
        <v>15841</v>
      </c>
    </row>
    <row r="1221" hidden="1" customFormat="1" s="94">
      <c r="B1221" s="128" t="n">
        <v>43949</v>
      </c>
      <c r="C1221" s="94">
        <f>TEXT(B1221,"aaa")</f>
        <v/>
      </c>
      <c r="D1221" s="94" t="inlineStr">
        <is>
          <t>인스타그램(소재테스트)</t>
        </is>
      </c>
      <c r="E1221" s="94" t="inlineStr">
        <is>
          <t>토너</t>
        </is>
      </c>
      <c r="J1221" s="89" t="n">
        <v>76604</v>
      </c>
    </row>
    <row r="1222" hidden="1" customFormat="1" s="94">
      <c r="B1222" s="128" t="n">
        <v>43950</v>
      </c>
      <c r="C1222" s="94">
        <f>TEXT(B1222,"aaa")</f>
        <v/>
      </c>
      <c r="D1222" s="94" t="inlineStr">
        <is>
          <t>인스타그램(소재테스트)</t>
        </is>
      </c>
      <c r="E1222" s="94" t="inlineStr">
        <is>
          <t>토너</t>
        </is>
      </c>
      <c r="J1222" s="89" t="n">
        <v>94314</v>
      </c>
    </row>
    <row r="1223" hidden="1" customFormat="1" s="94">
      <c r="B1223" s="128" t="n">
        <v>43951</v>
      </c>
      <c r="C1223" s="94">
        <f>TEXT(B1223,"aaa")</f>
        <v/>
      </c>
      <c r="D1223" s="94" t="inlineStr">
        <is>
          <t>인스타그램(소재테스트)</t>
        </is>
      </c>
      <c r="E1223" s="94" t="inlineStr">
        <is>
          <t>토너</t>
        </is>
      </c>
      <c r="J1223" s="89" t="n">
        <v>98240</v>
      </c>
    </row>
    <row r="1224" hidden="1" customFormat="1" s="94">
      <c r="B1224" s="128" t="n">
        <v>43927</v>
      </c>
      <c r="C1224" s="94">
        <f>TEXT(B1224,"aaa")</f>
        <v/>
      </c>
      <c r="D1224" s="94" t="inlineStr">
        <is>
          <t>인스타VC(전환)</t>
        </is>
      </c>
      <c r="E1224" s="94" t="inlineStr">
        <is>
          <t>토너</t>
        </is>
      </c>
      <c r="J1224" s="89" t="n">
        <v>193838</v>
      </c>
    </row>
    <row r="1225" hidden="1" customFormat="1" s="94">
      <c r="B1225" s="128" t="n">
        <v>43928</v>
      </c>
      <c r="C1225" s="94">
        <f>TEXT(B1225,"aaa")</f>
        <v/>
      </c>
      <c r="D1225" s="94" t="inlineStr">
        <is>
          <t>인스타VC(전환)</t>
        </is>
      </c>
      <c r="E1225" s="94" t="inlineStr">
        <is>
          <t>토너</t>
        </is>
      </c>
      <c r="J1225" s="89" t="n">
        <v>198522</v>
      </c>
    </row>
    <row r="1226" hidden="1" customFormat="1" s="94">
      <c r="B1226" s="128" t="n">
        <v>43929</v>
      </c>
      <c r="C1226" s="94">
        <f>TEXT(B1226,"aaa")</f>
        <v/>
      </c>
      <c r="D1226" s="94" t="inlineStr">
        <is>
          <t>인스타VC(전환)</t>
        </is>
      </c>
      <c r="E1226" s="94" t="inlineStr">
        <is>
          <t>토너</t>
        </is>
      </c>
      <c r="J1226" s="89" t="n">
        <v>197028</v>
      </c>
    </row>
    <row r="1227" hidden="1" customFormat="1" s="94">
      <c r="B1227" s="128" t="n">
        <v>43930</v>
      </c>
      <c r="C1227" s="94">
        <f>TEXT(B1227,"aaa")</f>
        <v/>
      </c>
      <c r="D1227" s="94" t="inlineStr">
        <is>
          <t>인스타VC(전환)</t>
        </is>
      </c>
      <c r="E1227" s="94" t="inlineStr">
        <is>
          <t>토너</t>
        </is>
      </c>
      <c r="J1227" s="89" t="n">
        <v>201794</v>
      </c>
    </row>
    <row r="1228" hidden="1" customFormat="1" s="94">
      <c r="B1228" s="128" t="n">
        <v>43931</v>
      </c>
      <c r="C1228" s="94">
        <f>TEXT(B1228,"aaa")</f>
        <v/>
      </c>
      <c r="D1228" s="94" t="inlineStr">
        <is>
          <t>인스타VC(전환)</t>
        </is>
      </c>
      <c r="E1228" s="94" t="inlineStr">
        <is>
          <t>토너</t>
        </is>
      </c>
      <c r="J1228" s="89" t="n">
        <v>244514</v>
      </c>
    </row>
    <row r="1229" hidden="1" customFormat="1" s="94">
      <c r="B1229" s="128" t="n">
        <v>43932</v>
      </c>
      <c r="C1229" s="94">
        <f>TEXT(B1229,"aaa")</f>
        <v/>
      </c>
      <c r="D1229" s="94" t="inlineStr">
        <is>
          <t>인스타VC(전환)</t>
        </is>
      </c>
      <c r="E1229" s="94" t="inlineStr">
        <is>
          <t>토너</t>
        </is>
      </c>
      <c r="J1229" s="89" t="n">
        <v>276092</v>
      </c>
    </row>
    <row r="1230" hidden="1" customFormat="1" s="94">
      <c r="B1230" s="128" t="n">
        <v>43933</v>
      </c>
      <c r="C1230" s="94">
        <f>TEXT(B1230,"aaa")</f>
        <v/>
      </c>
      <c r="D1230" s="94" t="inlineStr">
        <is>
          <t>인스타VC(전환)</t>
        </is>
      </c>
      <c r="E1230" s="94" t="inlineStr">
        <is>
          <t>토너</t>
        </is>
      </c>
      <c r="J1230" s="89" t="n">
        <v>300406</v>
      </c>
    </row>
    <row r="1231" hidden="1" customFormat="1" s="94">
      <c r="B1231" s="128" t="n">
        <v>43934</v>
      </c>
      <c r="C1231" s="94">
        <f>TEXT(B1231,"aaa")</f>
        <v/>
      </c>
      <c r="D1231" s="94" t="inlineStr">
        <is>
          <t>인스타VC(전환)</t>
        </is>
      </c>
      <c r="E1231" s="94" t="inlineStr">
        <is>
          <t>토너</t>
        </is>
      </c>
      <c r="J1231" s="89" t="n">
        <v>288994</v>
      </c>
    </row>
    <row r="1232" hidden="1" customFormat="1" s="94">
      <c r="B1232" s="128" t="n">
        <v>43935</v>
      </c>
      <c r="C1232" s="94">
        <f>TEXT(B1232,"aaa")</f>
        <v/>
      </c>
      <c r="D1232" s="94" t="inlineStr">
        <is>
          <t>인스타VC(전환)</t>
        </is>
      </c>
      <c r="E1232" s="94" t="inlineStr">
        <is>
          <t>토너</t>
        </is>
      </c>
      <c r="J1232" s="89" t="n">
        <v>291663</v>
      </c>
    </row>
    <row r="1233" hidden="1" customFormat="1" s="94">
      <c r="B1233" s="128" t="n">
        <v>43936</v>
      </c>
      <c r="C1233" s="94">
        <f>TEXT(B1233,"aaa")</f>
        <v/>
      </c>
      <c r="D1233" s="94" t="inlineStr">
        <is>
          <t>인스타VC(전환)</t>
        </is>
      </c>
      <c r="E1233" s="94" t="inlineStr">
        <is>
          <t>토너</t>
        </is>
      </c>
      <c r="J1233" s="89" t="n">
        <v>306467</v>
      </c>
    </row>
    <row r="1234" hidden="1" customFormat="1" s="94">
      <c r="B1234" s="128" t="n">
        <v>43937</v>
      </c>
      <c r="C1234" s="94">
        <f>TEXT(B1234,"aaa")</f>
        <v/>
      </c>
      <c r="D1234" s="94" t="inlineStr">
        <is>
          <t>인스타VC(전환)</t>
        </is>
      </c>
      <c r="E1234" s="94" t="inlineStr">
        <is>
          <t>토너</t>
        </is>
      </c>
      <c r="J1234" s="89" t="n">
        <v>291049</v>
      </c>
    </row>
    <row r="1235" hidden="1" customFormat="1" s="94">
      <c r="B1235" s="128" t="n">
        <v>43938</v>
      </c>
      <c r="C1235" s="94">
        <f>TEXT(B1235,"aaa")</f>
        <v/>
      </c>
      <c r="D1235" s="94" t="inlineStr">
        <is>
          <t>인스타VC(전환)</t>
        </is>
      </c>
      <c r="E1235" s="94" t="inlineStr">
        <is>
          <t>토너</t>
        </is>
      </c>
      <c r="J1235" s="89" t="n">
        <v>298086</v>
      </c>
    </row>
    <row r="1236" hidden="1" customFormat="1" s="94">
      <c r="B1236" s="128" t="n">
        <v>43939</v>
      </c>
      <c r="C1236" s="94">
        <f>TEXT(B1236,"aaa")</f>
        <v/>
      </c>
      <c r="D1236" s="94" t="inlineStr">
        <is>
          <t>인스타VC(전환)</t>
        </is>
      </c>
      <c r="E1236" s="94" t="inlineStr">
        <is>
          <t>토너</t>
        </is>
      </c>
      <c r="J1236" s="89" t="n">
        <v>323296</v>
      </c>
    </row>
    <row r="1237" hidden="1" customFormat="1" s="94">
      <c r="B1237" s="128" t="n">
        <v>43940</v>
      </c>
      <c r="C1237" s="94">
        <f>TEXT(B1237,"aaa")</f>
        <v/>
      </c>
      <c r="D1237" s="94" t="inlineStr">
        <is>
          <t>인스타VC(전환)</t>
        </is>
      </c>
      <c r="E1237" s="94" t="inlineStr">
        <is>
          <t>토너</t>
        </is>
      </c>
      <c r="J1237" s="89" t="n">
        <v>300456</v>
      </c>
    </row>
    <row r="1238" hidden="1" customFormat="1" s="94">
      <c r="B1238" s="128" t="n">
        <v>43941</v>
      </c>
      <c r="C1238" s="94">
        <f>TEXT(B1238,"aaa")</f>
        <v/>
      </c>
      <c r="D1238" s="94" t="inlineStr">
        <is>
          <t>인스타VC(전환)</t>
        </is>
      </c>
      <c r="E1238" s="94" t="inlineStr">
        <is>
          <t>토너</t>
        </is>
      </c>
      <c r="J1238" s="89" t="n">
        <v>295506</v>
      </c>
    </row>
    <row r="1239" hidden="1" customFormat="1" s="94">
      <c r="B1239" s="128" t="n">
        <v>43942</v>
      </c>
      <c r="C1239" s="94">
        <f>TEXT(B1239,"aaa")</f>
        <v/>
      </c>
      <c r="D1239" s="94" t="inlineStr">
        <is>
          <t>인스타VC(전환)</t>
        </is>
      </c>
      <c r="E1239" s="94" t="inlineStr">
        <is>
          <t>토너</t>
        </is>
      </c>
      <c r="J1239" s="89" t="n">
        <v>301922</v>
      </c>
    </row>
    <row r="1240" hidden="1" customFormat="1" s="94">
      <c r="B1240" s="128" t="n">
        <v>43943</v>
      </c>
      <c r="C1240" s="94">
        <f>TEXT(B1240,"aaa")</f>
        <v/>
      </c>
      <c r="D1240" s="94" t="inlineStr">
        <is>
          <t>인스타VC(전환)</t>
        </is>
      </c>
      <c r="E1240" s="94" t="inlineStr">
        <is>
          <t>토너</t>
        </is>
      </c>
      <c r="J1240" s="89" t="n">
        <v>287517</v>
      </c>
    </row>
    <row r="1241" hidden="1" customFormat="1" s="94">
      <c r="B1241" s="128" t="n">
        <v>43944</v>
      </c>
      <c r="C1241" s="94">
        <f>TEXT(B1241,"aaa")</f>
        <v/>
      </c>
      <c r="D1241" s="94" t="inlineStr">
        <is>
          <t>인스타VC(전환)</t>
        </is>
      </c>
      <c r="E1241" s="94" t="inlineStr">
        <is>
          <t>토너</t>
        </is>
      </c>
      <c r="J1241" s="89" t="n">
        <v>182105</v>
      </c>
    </row>
    <row r="1242" hidden="1" customFormat="1" s="94">
      <c r="B1242" s="128" t="n">
        <v>43945</v>
      </c>
      <c r="C1242" s="94">
        <f>TEXT(B1242,"aaa")</f>
        <v/>
      </c>
      <c r="D1242" s="94" t="inlineStr">
        <is>
          <t>인스타VC(전환)</t>
        </is>
      </c>
      <c r="E1242" s="94" t="inlineStr">
        <is>
          <t>토너</t>
        </is>
      </c>
      <c r="J1242" s="89" t="n">
        <v>56878</v>
      </c>
    </row>
    <row r="1243" hidden="1" customFormat="1" s="94">
      <c r="B1243" s="128" t="n">
        <v>43927</v>
      </c>
      <c r="C1243" s="94">
        <f>TEXT(B1243,"aaa")</f>
        <v/>
      </c>
      <c r="D1243" s="94" t="inlineStr">
        <is>
          <t>페북/인스타(전환)</t>
        </is>
      </c>
      <c r="E1243" s="94" t="inlineStr">
        <is>
          <t>토너</t>
        </is>
      </c>
      <c r="J1243" s="89" t="n">
        <v>350873</v>
      </c>
    </row>
    <row r="1244" hidden="1" customFormat="1" s="94">
      <c r="B1244" s="128" t="n">
        <v>43928</v>
      </c>
      <c r="C1244" s="94">
        <f>TEXT(B1244,"aaa")</f>
        <v/>
      </c>
      <c r="D1244" s="94" t="inlineStr">
        <is>
          <t>페북/인스타(전환)</t>
        </is>
      </c>
      <c r="E1244" s="94" t="inlineStr">
        <is>
          <t>토너</t>
        </is>
      </c>
      <c r="J1244" s="89" t="n">
        <v>233976</v>
      </c>
    </row>
    <row r="1245" hidden="1" customFormat="1" s="94">
      <c r="B1245" s="128" t="n">
        <v>43929</v>
      </c>
      <c r="C1245" s="94">
        <f>TEXT(B1245,"aaa")</f>
        <v/>
      </c>
      <c r="D1245" s="94" t="inlineStr">
        <is>
          <t>페북/인스타(전환)</t>
        </is>
      </c>
      <c r="E1245" s="94" t="inlineStr">
        <is>
          <t>토너</t>
        </is>
      </c>
      <c r="J1245" s="89" t="n">
        <v>149815</v>
      </c>
    </row>
    <row r="1246" hidden="1" customFormat="1" s="94">
      <c r="B1246" s="128" t="n">
        <v>43927</v>
      </c>
      <c r="C1246" s="94">
        <f>TEXT(B1246,"aaa")</f>
        <v/>
      </c>
      <c r="D1246" s="94" t="inlineStr">
        <is>
          <t>네이버 쇼핑검색</t>
        </is>
      </c>
      <c r="E1246" s="94" t="inlineStr">
        <is>
          <t>토너</t>
        </is>
      </c>
      <c r="J1246" s="89" t="n">
        <v>64099.99999999999</v>
      </c>
    </row>
    <row r="1247" hidden="1" customFormat="1" s="94">
      <c r="B1247" s="128" t="n">
        <v>43928</v>
      </c>
      <c r="C1247" s="94">
        <f>TEXT(B1247,"aaa")</f>
        <v/>
      </c>
      <c r="D1247" s="94" t="inlineStr">
        <is>
          <t>네이버 쇼핑검색</t>
        </is>
      </c>
      <c r="E1247" s="94" t="inlineStr">
        <is>
          <t>토너</t>
        </is>
      </c>
      <c r="J1247" s="89" t="n">
        <v>55869.99999999999</v>
      </c>
    </row>
    <row r="1248" hidden="1" customFormat="1" s="94">
      <c r="B1248" s="128" t="n">
        <v>43929</v>
      </c>
      <c r="C1248" s="94">
        <f>TEXT(B1248,"aaa")</f>
        <v/>
      </c>
      <c r="D1248" s="94" t="inlineStr">
        <is>
          <t>네이버 쇼핑검색</t>
        </is>
      </c>
      <c r="E1248" s="94" t="inlineStr">
        <is>
          <t>토너</t>
        </is>
      </c>
      <c r="J1248" s="89" t="n">
        <v>43590</v>
      </c>
    </row>
    <row r="1249" hidden="1" customFormat="1" s="94">
      <c r="B1249" s="128" t="n">
        <v>43930</v>
      </c>
      <c r="C1249" s="94">
        <f>TEXT(B1249,"aaa")</f>
        <v/>
      </c>
      <c r="D1249" s="94" t="inlineStr">
        <is>
          <t>네이버 쇼핑검색</t>
        </is>
      </c>
      <c r="E1249" s="94" t="inlineStr">
        <is>
          <t>토너</t>
        </is>
      </c>
      <c r="J1249" s="89" t="n">
        <v>56699.99999999999</v>
      </c>
    </row>
    <row r="1250" hidden="1" customFormat="1" s="94">
      <c r="B1250" s="128" t="n">
        <v>43931</v>
      </c>
      <c r="C1250" s="94">
        <f>TEXT(B1250,"aaa")</f>
        <v/>
      </c>
      <c r="D1250" s="94" t="inlineStr">
        <is>
          <t>네이버 쇼핑검색</t>
        </is>
      </c>
      <c r="E1250" s="94" t="inlineStr">
        <is>
          <t>토너</t>
        </is>
      </c>
      <c r="J1250" s="89" t="n">
        <v>46109.99999999999</v>
      </c>
    </row>
    <row r="1251" hidden="1" customFormat="1" s="94">
      <c r="B1251" s="128" t="n">
        <v>43932</v>
      </c>
      <c r="C1251" s="94">
        <f>TEXT(B1251,"aaa")</f>
        <v/>
      </c>
      <c r="D1251" s="94" t="inlineStr">
        <is>
          <t>네이버 쇼핑검색</t>
        </is>
      </c>
      <c r="E1251" s="94" t="inlineStr">
        <is>
          <t>토너</t>
        </is>
      </c>
      <c r="J1251" s="89" t="n">
        <v>44870</v>
      </c>
    </row>
    <row r="1252" hidden="1" customFormat="1" s="94">
      <c r="B1252" s="128" t="n">
        <v>43933</v>
      </c>
      <c r="C1252" s="94">
        <f>TEXT(B1252,"aaa")</f>
        <v/>
      </c>
      <c r="D1252" s="94" t="inlineStr">
        <is>
          <t>네이버 쇼핑검색</t>
        </is>
      </c>
      <c r="E1252" s="94" t="inlineStr">
        <is>
          <t>토너</t>
        </is>
      </c>
      <c r="J1252" s="89" t="n">
        <v>49699.99999999999</v>
      </c>
    </row>
    <row r="1253" hidden="1" customFormat="1" s="94">
      <c r="B1253" s="128" t="n">
        <v>43934</v>
      </c>
      <c r="C1253" s="94">
        <f>TEXT(B1253,"aaa")</f>
        <v/>
      </c>
      <c r="D1253" s="94" t="inlineStr">
        <is>
          <t>네이버 쇼핑검색</t>
        </is>
      </c>
      <c r="E1253" s="94" t="inlineStr">
        <is>
          <t>토너</t>
        </is>
      </c>
      <c r="J1253" s="89" t="n">
        <v>51799.99999999999</v>
      </c>
    </row>
    <row r="1254" hidden="1" customFormat="1" s="94">
      <c r="B1254" s="128" t="n">
        <v>43935</v>
      </c>
      <c r="C1254" s="94">
        <f>TEXT(B1254,"aaa")</f>
        <v/>
      </c>
      <c r="D1254" s="94" t="inlineStr">
        <is>
          <t>네이버 쇼핑검색</t>
        </is>
      </c>
      <c r="E1254" s="94" t="inlineStr">
        <is>
          <t>토너</t>
        </is>
      </c>
      <c r="J1254" s="89" t="n">
        <v>41550</v>
      </c>
    </row>
    <row r="1255" hidden="1" customFormat="1" s="94">
      <c r="B1255" s="128" t="n">
        <v>43936</v>
      </c>
      <c r="C1255" s="94">
        <f>TEXT(B1255,"aaa")</f>
        <v/>
      </c>
      <c r="D1255" s="94" t="inlineStr">
        <is>
          <t>네이버 쇼핑검색</t>
        </is>
      </c>
      <c r="E1255" s="94" t="inlineStr">
        <is>
          <t>토너</t>
        </is>
      </c>
      <c r="J1255" s="89" t="n">
        <v>38940</v>
      </c>
    </row>
    <row r="1256" hidden="1" customFormat="1" s="94">
      <c r="B1256" s="128" t="n">
        <v>43937</v>
      </c>
      <c r="C1256" s="94">
        <f>TEXT(B1256,"aaa")</f>
        <v/>
      </c>
      <c r="D1256" s="94" t="inlineStr">
        <is>
          <t>네이버 쇼핑검색</t>
        </is>
      </c>
      <c r="E1256" s="94" t="inlineStr">
        <is>
          <t>토너</t>
        </is>
      </c>
      <c r="J1256" s="89" t="n">
        <v>39520</v>
      </c>
    </row>
    <row r="1257" hidden="1" customFormat="1" s="94">
      <c r="B1257" s="128" t="n">
        <v>43938</v>
      </c>
      <c r="C1257" s="94">
        <f>TEXT(B1257,"aaa")</f>
        <v/>
      </c>
      <c r="D1257" s="94" t="inlineStr">
        <is>
          <t>네이버 쇼핑검색</t>
        </is>
      </c>
      <c r="E1257" s="94" t="inlineStr">
        <is>
          <t>토너</t>
        </is>
      </c>
      <c r="J1257" s="89" t="n">
        <v>34060</v>
      </c>
    </row>
    <row r="1258" hidden="1" customFormat="1" s="94">
      <c r="B1258" s="128" t="n">
        <v>43939</v>
      </c>
      <c r="C1258" s="94">
        <f>TEXT(B1258,"aaa")</f>
        <v/>
      </c>
      <c r="D1258" s="94" t="inlineStr">
        <is>
          <t>네이버 쇼핑검색</t>
        </is>
      </c>
      <c r="E1258" s="94" t="inlineStr">
        <is>
          <t>토너</t>
        </is>
      </c>
      <c r="J1258" s="89" t="n">
        <v>34360</v>
      </c>
    </row>
    <row r="1259" hidden="1" customFormat="1" s="94">
      <c r="B1259" s="128" t="n">
        <v>43940</v>
      </c>
      <c r="C1259" s="94">
        <f>TEXT(B1259,"aaa")</f>
        <v/>
      </c>
      <c r="D1259" s="94" t="inlineStr">
        <is>
          <t>네이버 쇼핑검색</t>
        </is>
      </c>
      <c r="E1259" s="94" t="inlineStr">
        <is>
          <t>토너</t>
        </is>
      </c>
      <c r="J1259" s="89" t="n">
        <v>32460</v>
      </c>
    </row>
    <row r="1260" hidden="1" customFormat="1" s="94">
      <c r="B1260" s="128" t="n">
        <v>43941</v>
      </c>
      <c r="C1260" s="94">
        <f>TEXT(B1260,"aaa")</f>
        <v/>
      </c>
      <c r="D1260" s="94" t="inlineStr">
        <is>
          <t>네이버 쇼핑검색</t>
        </is>
      </c>
      <c r="E1260" s="94" t="inlineStr">
        <is>
          <t>토너</t>
        </is>
      </c>
      <c r="J1260" s="89" t="n">
        <v>32620</v>
      </c>
    </row>
    <row r="1261" hidden="1" customFormat="1" s="94">
      <c r="B1261" s="128" t="n">
        <v>43942</v>
      </c>
      <c r="C1261" s="94">
        <f>TEXT(B1261,"aaa")</f>
        <v/>
      </c>
      <c r="D1261" s="94" t="inlineStr">
        <is>
          <t>네이버 쇼핑검색</t>
        </is>
      </c>
      <c r="E1261" s="94" t="inlineStr">
        <is>
          <t>토너</t>
        </is>
      </c>
      <c r="J1261" s="89" t="n">
        <v>26520</v>
      </c>
    </row>
    <row r="1262" hidden="1" customFormat="1" s="94">
      <c r="B1262" s="128" t="n">
        <v>43943</v>
      </c>
      <c r="C1262" s="94">
        <f>TEXT(B1262,"aaa")</f>
        <v/>
      </c>
      <c r="D1262" s="94" t="inlineStr">
        <is>
          <t>네이버 쇼핑검색</t>
        </is>
      </c>
      <c r="E1262" s="94" t="inlineStr">
        <is>
          <t>토너</t>
        </is>
      </c>
      <c r="J1262" s="89" t="n">
        <v>28190</v>
      </c>
    </row>
    <row r="1263" hidden="1" customFormat="1" s="94">
      <c r="B1263" s="128" t="n">
        <v>43944</v>
      </c>
      <c r="C1263" s="94">
        <f>TEXT(B1263,"aaa")</f>
        <v/>
      </c>
      <c r="D1263" s="94" t="inlineStr">
        <is>
          <t>네이버 쇼핑검색</t>
        </is>
      </c>
      <c r="E1263" s="94" t="inlineStr">
        <is>
          <t>토너</t>
        </is>
      </c>
      <c r="J1263" s="89" t="n">
        <v>27640</v>
      </c>
    </row>
    <row r="1264" hidden="1" customFormat="1" s="94">
      <c r="B1264" s="128" t="n">
        <v>43945</v>
      </c>
      <c r="C1264" s="94">
        <f>TEXT(B1264,"aaa")</f>
        <v/>
      </c>
      <c r="D1264" s="94" t="inlineStr">
        <is>
          <t>네이버 쇼핑검색</t>
        </is>
      </c>
      <c r="E1264" s="94" t="inlineStr">
        <is>
          <t>토너</t>
        </is>
      </c>
      <c r="J1264" s="89" t="n">
        <v>39170</v>
      </c>
    </row>
    <row r="1265" hidden="1" customFormat="1" s="94">
      <c r="B1265" s="128" t="n">
        <v>43946</v>
      </c>
      <c r="C1265" s="94">
        <f>TEXT(B1265,"aaa")</f>
        <v/>
      </c>
      <c r="D1265" s="94" t="inlineStr">
        <is>
          <t>네이버 쇼핑검색</t>
        </is>
      </c>
      <c r="E1265" s="94" t="inlineStr">
        <is>
          <t>토너</t>
        </is>
      </c>
      <c r="J1265" s="89" t="n">
        <v>29070</v>
      </c>
    </row>
    <row r="1266" hidden="1" customFormat="1" s="94">
      <c r="B1266" s="128" t="n">
        <v>43947</v>
      </c>
      <c r="C1266" s="94">
        <f>TEXT(B1266,"aaa")</f>
        <v/>
      </c>
      <c r="D1266" s="94" t="inlineStr">
        <is>
          <t>네이버 쇼핑검색</t>
        </is>
      </c>
      <c r="E1266" s="94" t="inlineStr">
        <is>
          <t>토너</t>
        </is>
      </c>
      <c r="J1266" s="89" t="n">
        <v>29090</v>
      </c>
    </row>
    <row r="1267" hidden="1" customFormat="1" s="94">
      <c r="B1267" s="128" t="n">
        <v>43948</v>
      </c>
      <c r="C1267" s="94">
        <f>TEXT(B1267,"aaa")</f>
        <v/>
      </c>
      <c r="D1267" s="94" t="inlineStr">
        <is>
          <t>네이버 쇼핑검색</t>
        </is>
      </c>
      <c r="E1267" s="94" t="inlineStr">
        <is>
          <t>토너</t>
        </is>
      </c>
      <c r="J1267" s="89" t="n">
        <v>40950</v>
      </c>
    </row>
    <row r="1268" hidden="1" customFormat="1" s="94">
      <c r="B1268" s="128" t="n">
        <v>43949</v>
      </c>
      <c r="C1268" s="94">
        <f>TEXT(B1268,"aaa")</f>
        <v/>
      </c>
      <c r="D1268" s="94" t="inlineStr">
        <is>
          <t>네이버 쇼핑검색</t>
        </is>
      </c>
      <c r="E1268" s="94" t="inlineStr">
        <is>
          <t>토너</t>
        </is>
      </c>
      <c r="J1268" s="89" t="n">
        <v>28460</v>
      </c>
    </row>
    <row r="1269" hidden="1" customFormat="1" s="94">
      <c r="B1269" s="128" t="n">
        <v>43950</v>
      </c>
      <c r="C1269" s="94">
        <f>TEXT(B1269,"aaa")</f>
        <v/>
      </c>
      <c r="D1269" s="94" t="inlineStr">
        <is>
          <t>네이버 쇼핑검색</t>
        </is>
      </c>
      <c r="E1269" s="94" t="inlineStr">
        <is>
          <t>토너</t>
        </is>
      </c>
      <c r="J1269" s="89" t="n">
        <v>18630</v>
      </c>
    </row>
    <row r="1270" hidden="1" customFormat="1" s="94">
      <c r="B1270" s="128" t="n">
        <v>43951</v>
      </c>
      <c r="C1270" s="94">
        <f>TEXT(B1270,"aaa")</f>
        <v/>
      </c>
      <c r="D1270" s="94" t="inlineStr">
        <is>
          <t>네이버 쇼핑검색</t>
        </is>
      </c>
      <c r="E1270" s="94" t="inlineStr">
        <is>
          <t>토너</t>
        </is>
      </c>
      <c r="J1270" s="89" t="n">
        <v>28050</v>
      </c>
    </row>
    <row r="1271" hidden="1" customFormat="1" s="94">
      <c r="A1271" s="128" t="n"/>
      <c r="B1271" s="128" t="n">
        <v>43927</v>
      </c>
      <c r="C1271" s="94">
        <f>TEXT(B1271,"aaa")</f>
        <v/>
      </c>
      <c r="D1271" s="94" t="inlineStr">
        <is>
          <t>네이버 브랜드검색</t>
        </is>
      </c>
      <c r="E1271" s="94" t="inlineStr">
        <is>
          <t>토너</t>
        </is>
      </c>
      <c r="J1271" s="89" t="n">
        <v>40000</v>
      </c>
    </row>
    <row r="1272" hidden="1" customFormat="1" s="94">
      <c r="A1272" s="128" t="n"/>
      <c r="B1272" s="128" t="n">
        <v>43928</v>
      </c>
      <c r="C1272" s="94">
        <f>TEXT(B1272,"aaa")</f>
        <v/>
      </c>
      <c r="D1272" s="94" t="inlineStr">
        <is>
          <t>네이버 브랜드검색</t>
        </is>
      </c>
      <c r="E1272" s="94" t="inlineStr">
        <is>
          <t>토너</t>
        </is>
      </c>
      <c r="J1272" s="89" t="n">
        <v>40000</v>
      </c>
    </row>
    <row r="1273" hidden="1" customFormat="1" s="94">
      <c r="B1273" s="128" t="n">
        <v>43929</v>
      </c>
      <c r="C1273" s="94">
        <f>TEXT(B1273,"aaa")</f>
        <v/>
      </c>
      <c r="D1273" s="94" t="inlineStr">
        <is>
          <t>네이버 브랜드검색</t>
        </is>
      </c>
      <c r="E1273" s="94" t="inlineStr">
        <is>
          <t>토너</t>
        </is>
      </c>
      <c r="J1273" s="89" t="n">
        <v>40000</v>
      </c>
    </row>
    <row r="1274" hidden="1" customFormat="1" s="94">
      <c r="A1274" s="129" t="n"/>
      <c r="B1274" s="128" t="n">
        <v>43930</v>
      </c>
      <c r="C1274" s="94">
        <f>TEXT(B1274,"aaa")</f>
        <v/>
      </c>
      <c r="D1274" s="94" t="inlineStr">
        <is>
          <t>네이버 브랜드검색</t>
        </is>
      </c>
      <c r="E1274" s="94" t="inlineStr">
        <is>
          <t>토너</t>
        </is>
      </c>
      <c r="J1274" s="89" t="n">
        <v>40000</v>
      </c>
    </row>
    <row r="1275" hidden="1" customFormat="1" s="94">
      <c r="B1275" s="128" t="n">
        <v>43931</v>
      </c>
      <c r="C1275" s="94">
        <f>TEXT(B1275,"aaa")</f>
        <v/>
      </c>
      <c r="D1275" s="94" t="inlineStr">
        <is>
          <t>네이버 브랜드검색</t>
        </is>
      </c>
      <c r="E1275" s="94" t="inlineStr">
        <is>
          <t>토너</t>
        </is>
      </c>
      <c r="J1275" s="89" t="n">
        <v>40000</v>
      </c>
    </row>
    <row r="1276" hidden="1" customFormat="1" s="94">
      <c r="B1276" s="128" t="n">
        <v>43932</v>
      </c>
      <c r="C1276" s="94">
        <f>TEXT(B1276,"aaa")</f>
        <v/>
      </c>
      <c r="D1276" s="94" t="inlineStr">
        <is>
          <t>네이버 브랜드검색</t>
        </is>
      </c>
      <c r="E1276" s="94" t="inlineStr">
        <is>
          <t>토너</t>
        </is>
      </c>
      <c r="J1276" s="89" t="n">
        <v>40000</v>
      </c>
    </row>
    <row r="1277" hidden="1" customFormat="1" s="94">
      <c r="B1277" s="128" t="n">
        <v>43933</v>
      </c>
      <c r="C1277" s="94">
        <f>TEXT(B1277,"aaa")</f>
        <v/>
      </c>
      <c r="D1277" s="94" t="inlineStr">
        <is>
          <t>네이버 브랜드검색</t>
        </is>
      </c>
      <c r="E1277" s="94" t="inlineStr">
        <is>
          <t>토너</t>
        </is>
      </c>
      <c r="J1277" s="89" t="n">
        <v>40000</v>
      </c>
    </row>
    <row r="1278" hidden="1" customFormat="1" s="94">
      <c r="B1278" s="128" t="n">
        <v>43934</v>
      </c>
      <c r="C1278" s="94">
        <f>TEXT(B1278,"aaa")</f>
        <v/>
      </c>
      <c r="D1278" s="94" t="inlineStr">
        <is>
          <t>네이버 브랜드검색</t>
        </is>
      </c>
      <c r="E1278" s="94" t="inlineStr">
        <is>
          <t>토너</t>
        </is>
      </c>
      <c r="J1278" s="89" t="n">
        <v>40000</v>
      </c>
    </row>
    <row r="1279" hidden="1" customFormat="1" s="94">
      <c r="B1279" s="128" t="n">
        <v>43935</v>
      </c>
      <c r="C1279" s="94">
        <f>TEXT(B1279,"aaa")</f>
        <v/>
      </c>
      <c r="D1279" s="94" t="inlineStr">
        <is>
          <t>네이버 브랜드검색</t>
        </is>
      </c>
      <c r="E1279" s="94" t="inlineStr">
        <is>
          <t>토너</t>
        </is>
      </c>
      <c r="J1279" s="89" t="n">
        <v>40000</v>
      </c>
    </row>
    <row r="1280" hidden="1" customFormat="1" s="94">
      <c r="B1280" s="128" t="n">
        <v>43936</v>
      </c>
      <c r="C1280" s="94">
        <f>TEXT(B1280,"aaa")</f>
        <v/>
      </c>
      <c r="D1280" s="94" t="inlineStr">
        <is>
          <t>네이버 브랜드검색</t>
        </is>
      </c>
      <c r="E1280" s="94" t="inlineStr">
        <is>
          <t>토너</t>
        </is>
      </c>
      <c r="J1280" s="89" t="n">
        <v>40000</v>
      </c>
    </row>
    <row r="1281" hidden="1" customFormat="1" s="94">
      <c r="B1281" s="128" t="n">
        <v>43937</v>
      </c>
      <c r="C1281" s="94">
        <f>TEXT(B1281,"aaa")</f>
        <v/>
      </c>
      <c r="D1281" s="94" t="inlineStr">
        <is>
          <t>네이버 브랜드검색</t>
        </is>
      </c>
      <c r="E1281" s="94" t="inlineStr">
        <is>
          <t>토너</t>
        </is>
      </c>
      <c r="J1281" s="89" t="n">
        <v>40000</v>
      </c>
    </row>
    <row r="1282" hidden="1" customFormat="1" s="94">
      <c r="B1282" s="128" t="n">
        <v>43938</v>
      </c>
      <c r="C1282" s="94">
        <f>TEXT(B1282,"aaa")</f>
        <v/>
      </c>
      <c r="D1282" s="94" t="inlineStr">
        <is>
          <t>네이버 브랜드검색</t>
        </is>
      </c>
      <c r="E1282" s="94" t="inlineStr">
        <is>
          <t>토너</t>
        </is>
      </c>
      <c r="J1282" s="89" t="n">
        <v>40000</v>
      </c>
    </row>
    <row r="1283" hidden="1" customFormat="1" s="94">
      <c r="B1283" s="128" t="n">
        <v>43939</v>
      </c>
      <c r="C1283" s="94">
        <f>TEXT(B1283,"aaa")</f>
        <v/>
      </c>
      <c r="D1283" s="94" t="inlineStr">
        <is>
          <t>네이버 브랜드검색</t>
        </is>
      </c>
      <c r="E1283" s="94" t="inlineStr">
        <is>
          <t>토너</t>
        </is>
      </c>
      <c r="J1283" s="89" t="n">
        <v>40000</v>
      </c>
    </row>
    <row r="1284" hidden="1" customFormat="1" s="94">
      <c r="B1284" s="128" t="n">
        <v>43940</v>
      </c>
      <c r="C1284" s="94">
        <f>TEXT(B1284,"aaa")</f>
        <v/>
      </c>
      <c r="D1284" s="94" t="inlineStr">
        <is>
          <t>네이버 브랜드검색</t>
        </is>
      </c>
      <c r="E1284" s="94" t="inlineStr">
        <is>
          <t>토너</t>
        </is>
      </c>
      <c r="J1284" s="89" t="n">
        <v>40000</v>
      </c>
    </row>
    <row r="1285" hidden="1" customFormat="1" s="94">
      <c r="B1285" s="128" t="n">
        <v>43941</v>
      </c>
      <c r="C1285" s="94">
        <f>TEXT(B1285,"aaa")</f>
        <v/>
      </c>
      <c r="D1285" s="94" t="inlineStr">
        <is>
          <t>네이버 브랜드검색</t>
        </is>
      </c>
      <c r="E1285" s="94" t="inlineStr">
        <is>
          <t>토너</t>
        </is>
      </c>
      <c r="J1285" s="89" t="n">
        <v>40000</v>
      </c>
    </row>
    <row r="1286" hidden="1" customFormat="1" s="94">
      <c r="B1286" s="128" t="n">
        <v>43942</v>
      </c>
      <c r="C1286" s="94">
        <f>TEXT(B1286,"aaa")</f>
        <v/>
      </c>
      <c r="D1286" s="94" t="inlineStr">
        <is>
          <t>네이버 브랜드검색</t>
        </is>
      </c>
      <c r="E1286" s="94" t="inlineStr">
        <is>
          <t>토너</t>
        </is>
      </c>
      <c r="J1286" s="89" t="n">
        <v>40000</v>
      </c>
    </row>
    <row r="1287" hidden="1" customFormat="1" s="94">
      <c r="B1287" s="128" t="n">
        <v>43943</v>
      </c>
      <c r="C1287" s="94">
        <f>TEXT(B1287,"aaa")</f>
        <v/>
      </c>
      <c r="D1287" s="94" t="inlineStr">
        <is>
          <t>네이버 브랜드검색</t>
        </is>
      </c>
      <c r="E1287" s="94" t="inlineStr">
        <is>
          <t>토너</t>
        </is>
      </c>
      <c r="J1287" s="89" t="n">
        <v>40000</v>
      </c>
    </row>
    <row r="1288" hidden="1" customFormat="1" s="94">
      <c r="B1288" s="128" t="n">
        <v>43944</v>
      </c>
      <c r="C1288" s="94">
        <f>TEXT(B1288,"aaa")</f>
        <v/>
      </c>
      <c r="D1288" s="94" t="inlineStr">
        <is>
          <t>네이버 브랜드검색</t>
        </is>
      </c>
      <c r="E1288" s="94" t="inlineStr">
        <is>
          <t>토너</t>
        </is>
      </c>
      <c r="J1288" s="89" t="n">
        <v>40000</v>
      </c>
    </row>
    <row r="1289" hidden="1" customFormat="1" s="94">
      <c r="B1289" s="128" t="n">
        <v>43945</v>
      </c>
      <c r="C1289" s="94">
        <f>TEXT(B1289,"aaa")</f>
        <v/>
      </c>
      <c r="D1289" s="94" t="inlineStr">
        <is>
          <t>네이버 브랜드검색</t>
        </is>
      </c>
      <c r="E1289" s="94" t="inlineStr">
        <is>
          <t>토너</t>
        </is>
      </c>
      <c r="J1289" s="89" t="n">
        <v>40000</v>
      </c>
    </row>
    <row r="1290" hidden="1" customFormat="1" s="94">
      <c r="B1290" s="128" t="n">
        <v>43946</v>
      </c>
      <c r="C1290" s="94">
        <f>TEXT(B1290,"aaa")</f>
        <v/>
      </c>
      <c r="D1290" s="94" t="inlineStr">
        <is>
          <t>네이버 브랜드검색</t>
        </is>
      </c>
      <c r="E1290" s="94" t="inlineStr">
        <is>
          <t>토너</t>
        </is>
      </c>
      <c r="J1290" s="89" t="n">
        <v>40000</v>
      </c>
    </row>
    <row r="1291" hidden="1" customFormat="1" s="94">
      <c r="B1291" s="128" t="n">
        <v>43947</v>
      </c>
      <c r="C1291" s="94">
        <f>TEXT(B1291,"aaa")</f>
        <v/>
      </c>
      <c r="D1291" s="94" t="inlineStr">
        <is>
          <t>네이버 브랜드검색</t>
        </is>
      </c>
      <c r="E1291" s="94" t="inlineStr">
        <is>
          <t>토너</t>
        </is>
      </c>
      <c r="J1291" s="89" t="n">
        <v>40000</v>
      </c>
    </row>
    <row r="1292" hidden="1" customFormat="1" s="94">
      <c r="B1292" s="128" t="n">
        <v>43948</v>
      </c>
      <c r="C1292" s="94">
        <f>TEXT(B1292,"aaa")</f>
        <v/>
      </c>
      <c r="D1292" s="94" t="inlineStr">
        <is>
          <t>네이버 브랜드검색</t>
        </is>
      </c>
      <c r="E1292" s="94" t="inlineStr">
        <is>
          <t>토너</t>
        </is>
      </c>
      <c r="J1292" s="89" t="n">
        <v>40000</v>
      </c>
    </row>
    <row r="1293" hidden="1" customFormat="1" s="94">
      <c r="B1293" s="128" t="n">
        <v>43949</v>
      </c>
      <c r="C1293" s="94">
        <f>TEXT(B1293,"aaa")</f>
        <v/>
      </c>
      <c r="D1293" s="94" t="inlineStr">
        <is>
          <t>네이버 브랜드검색</t>
        </is>
      </c>
      <c r="E1293" s="94" t="inlineStr">
        <is>
          <t>토너</t>
        </is>
      </c>
      <c r="J1293" s="89" t="n">
        <v>40000</v>
      </c>
    </row>
    <row r="1294" hidden="1" customFormat="1" s="94">
      <c r="B1294" s="128" t="n">
        <v>43950</v>
      </c>
      <c r="C1294" s="94">
        <f>TEXT(B1294,"aaa")</f>
        <v/>
      </c>
      <c r="D1294" s="94" t="inlineStr">
        <is>
          <t>네이버 브랜드검색</t>
        </is>
      </c>
      <c r="E1294" s="94" t="inlineStr">
        <is>
          <t>토너</t>
        </is>
      </c>
      <c r="J1294" s="89" t="n">
        <v>40000</v>
      </c>
    </row>
    <row r="1295" hidden="1" customFormat="1" s="94">
      <c r="B1295" s="128" t="n">
        <v>43951</v>
      </c>
      <c r="C1295" s="94">
        <f>TEXT(B1295,"aaa")</f>
        <v/>
      </c>
      <c r="D1295" s="94" t="inlineStr">
        <is>
          <t>네이버 브랜드검색</t>
        </is>
      </c>
      <c r="E1295" s="94" t="inlineStr">
        <is>
          <t>토너</t>
        </is>
      </c>
      <c r="J1295" s="89" t="n">
        <v>40000</v>
      </c>
    </row>
    <row r="1296" customFormat="1" s="94">
      <c r="B1296" s="128" t="n">
        <v>43927</v>
      </c>
      <c r="C1296" s="94">
        <f>TEXT(B1296,"aaa")</f>
        <v/>
      </c>
      <c r="D1296" s="94" t="inlineStr">
        <is>
          <t>카카오광고</t>
        </is>
      </c>
      <c r="E1296" s="94" t="inlineStr">
        <is>
          <t>토너</t>
        </is>
      </c>
      <c r="J1296" s="89" t="n">
        <v>6859.999999999999</v>
      </c>
    </row>
    <row r="1297" customFormat="1" s="94">
      <c r="B1297" s="128" t="n">
        <v>43928</v>
      </c>
      <c r="C1297" s="94">
        <f>TEXT(B1297,"aaa")</f>
        <v/>
      </c>
      <c r="D1297" s="94" t="inlineStr">
        <is>
          <t>카카오광고</t>
        </is>
      </c>
      <c r="E1297" s="94" t="inlineStr">
        <is>
          <t>토너</t>
        </is>
      </c>
      <c r="J1297" s="89" t="n">
        <v>7759.999999999999</v>
      </c>
    </row>
    <row r="1298" customFormat="1" s="94">
      <c r="B1298" s="128" t="n">
        <v>43929</v>
      </c>
      <c r="C1298" s="94">
        <f>TEXT(B1298,"aaa")</f>
        <v/>
      </c>
      <c r="D1298" s="94" t="inlineStr">
        <is>
          <t>카카오광고</t>
        </is>
      </c>
      <c r="E1298" s="94" t="inlineStr">
        <is>
          <t>토너</t>
        </is>
      </c>
      <c r="J1298" s="89" t="n">
        <v>7529.999999999999</v>
      </c>
    </row>
    <row r="1299" customFormat="1" s="94">
      <c r="B1299" s="128" t="n">
        <v>43930</v>
      </c>
      <c r="C1299" s="94">
        <f>TEXT(B1299,"aaa")</f>
        <v/>
      </c>
      <c r="D1299" s="94" t="inlineStr">
        <is>
          <t>카카오광고</t>
        </is>
      </c>
      <c r="E1299" s="94" t="inlineStr">
        <is>
          <t>토너</t>
        </is>
      </c>
      <c r="J1299" s="89" t="n">
        <v>10720</v>
      </c>
    </row>
    <row r="1300" customFormat="1" s="94">
      <c r="B1300" s="128" t="n">
        <v>43931</v>
      </c>
      <c r="C1300" s="94">
        <f>TEXT(B1300,"aaa")</f>
        <v/>
      </c>
      <c r="D1300" s="94" t="inlineStr">
        <is>
          <t>카카오광고</t>
        </is>
      </c>
      <c r="E1300" s="94" t="inlineStr">
        <is>
          <t>토너</t>
        </is>
      </c>
      <c r="J1300" s="89" t="n">
        <v>10150</v>
      </c>
    </row>
    <row r="1301" customFormat="1" s="94">
      <c r="B1301" s="128" t="n">
        <v>43932</v>
      </c>
      <c r="C1301" s="94">
        <f>TEXT(B1301,"aaa")</f>
        <v/>
      </c>
      <c r="D1301" s="94" t="inlineStr">
        <is>
          <t>카카오광고</t>
        </is>
      </c>
      <c r="E1301" s="94" t="inlineStr">
        <is>
          <t>토너</t>
        </is>
      </c>
      <c r="J1301" s="89" t="n">
        <v>10890</v>
      </c>
    </row>
    <row r="1302" customFormat="1" s="94">
      <c r="B1302" s="128" t="n">
        <v>43933</v>
      </c>
      <c r="C1302" s="94">
        <f>TEXT(B1302,"aaa")</f>
        <v/>
      </c>
      <c r="D1302" s="94" t="inlineStr">
        <is>
          <t>카카오광고</t>
        </is>
      </c>
      <c r="E1302" s="94" t="inlineStr">
        <is>
          <t>토너</t>
        </is>
      </c>
      <c r="J1302" s="89" t="n">
        <v>5659.999999999999</v>
      </c>
    </row>
    <row r="1303" customFormat="1" s="94">
      <c r="B1303" s="128" t="n">
        <v>43934</v>
      </c>
      <c r="C1303" s="94">
        <f>TEXT(B1303,"aaa")</f>
        <v/>
      </c>
      <c r="D1303" s="94" t="inlineStr">
        <is>
          <t>카카오광고</t>
        </is>
      </c>
      <c r="E1303" s="94" t="inlineStr">
        <is>
          <t>토너</t>
        </is>
      </c>
      <c r="J1303" s="89" t="n">
        <v>8320</v>
      </c>
    </row>
    <row r="1304" customFormat="1" s="94">
      <c r="B1304" s="128" t="n">
        <v>43935</v>
      </c>
      <c r="C1304" s="94">
        <f>TEXT(B1304,"aaa")</f>
        <v/>
      </c>
      <c r="D1304" s="94" t="inlineStr">
        <is>
          <t>카카오광고</t>
        </is>
      </c>
      <c r="E1304" s="94" t="inlineStr">
        <is>
          <t>토너</t>
        </is>
      </c>
      <c r="J1304" s="89" t="n">
        <v>9260</v>
      </c>
    </row>
    <row r="1305" customFormat="1" s="94">
      <c r="B1305" s="128" t="n">
        <v>43936</v>
      </c>
      <c r="C1305" s="94">
        <f>TEXT(B1305,"aaa")</f>
        <v/>
      </c>
      <c r="D1305" s="94" t="inlineStr">
        <is>
          <t>카카오광고</t>
        </is>
      </c>
      <c r="E1305" s="94" t="inlineStr">
        <is>
          <t>토너</t>
        </is>
      </c>
      <c r="J1305" s="89" t="n">
        <v>6989.999999999999</v>
      </c>
    </row>
    <row r="1306" customFormat="1" s="94">
      <c r="B1306" s="128" t="n">
        <v>43937</v>
      </c>
      <c r="C1306" s="94">
        <f>TEXT(B1306,"aaa")</f>
        <v/>
      </c>
      <c r="D1306" s="94" t="inlineStr">
        <is>
          <t>카카오광고</t>
        </is>
      </c>
      <c r="E1306" s="94" t="inlineStr">
        <is>
          <t>토너</t>
        </is>
      </c>
      <c r="J1306" s="89" t="n">
        <v>5879.999999999999</v>
      </c>
    </row>
    <row r="1307" customFormat="1" s="94">
      <c r="B1307" s="128" t="n">
        <v>43938</v>
      </c>
      <c r="C1307" s="94">
        <f>TEXT(B1307,"aaa")</f>
        <v/>
      </c>
      <c r="D1307" s="94" t="inlineStr">
        <is>
          <t>카카오광고</t>
        </is>
      </c>
      <c r="E1307" s="94" t="inlineStr">
        <is>
          <t>토너</t>
        </is>
      </c>
      <c r="J1307" s="89" t="n">
        <v>16930</v>
      </c>
    </row>
    <row r="1308" customFormat="1" s="94">
      <c r="B1308" s="128" t="n">
        <v>43939</v>
      </c>
      <c r="C1308" s="94">
        <f>TEXT(B1308,"aaa")</f>
        <v/>
      </c>
      <c r="D1308" s="94" t="inlineStr">
        <is>
          <t>카카오광고</t>
        </is>
      </c>
      <c r="E1308" s="94" t="inlineStr">
        <is>
          <t>토너</t>
        </is>
      </c>
      <c r="J1308" s="89" t="n">
        <v>6789.999999999999</v>
      </c>
    </row>
    <row r="1309" customFormat="1" s="94">
      <c r="B1309" s="128" t="n">
        <v>43940</v>
      </c>
      <c r="C1309" s="94">
        <f>TEXT(B1309,"aaa")</f>
        <v/>
      </c>
      <c r="D1309" s="94" t="inlineStr">
        <is>
          <t>카카오광고</t>
        </is>
      </c>
      <c r="E1309" s="94" t="inlineStr">
        <is>
          <t>토너</t>
        </is>
      </c>
      <c r="J1309" s="89" t="n">
        <v>13110</v>
      </c>
    </row>
    <row r="1310" customFormat="1" s="94">
      <c r="B1310" s="128" t="n">
        <v>43941</v>
      </c>
      <c r="C1310" s="94">
        <f>TEXT(B1310,"aaa")</f>
        <v/>
      </c>
      <c r="D1310" s="94" t="inlineStr">
        <is>
          <t>카카오광고</t>
        </is>
      </c>
      <c r="E1310" s="94" t="inlineStr">
        <is>
          <t>토너</t>
        </is>
      </c>
      <c r="J1310" s="89" t="n">
        <v>8570</v>
      </c>
    </row>
    <row r="1311" customFormat="1" s="94">
      <c r="B1311" s="128" t="n">
        <v>43942</v>
      </c>
      <c r="C1311" s="94">
        <f>TEXT(B1311,"aaa")</f>
        <v/>
      </c>
      <c r="D1311" s="94" t="inlineStr">
        <is>
          <t>카카오광고</t>
        </is>
      </c>
      <c r="E1311" s="94" t="inlineStr">
        <is>
          <t>토너</t>
        </is>
      </c>
      <c r="J1311" s="89" t="n">
        <v>10830</v>
      </c>
    </row>
    <row r="1312" customFormat="1" s="94">
      <c r="B1312" s="128" t="n">
        <v>43944</v>
      </c>
      <c r="C1312" s="94">
        <f>TEXT(B1312,"aaa")</f>
        <v/>
      </c>
      <c r="D1312" s="94" t="inlineStr">
        <is>
          <t>카카오광고</t>
        </is>
      </c>
      <c r="E1312" s="94" t="inlineStr">
        <is>
          <t>토너</t>
        </is>
      </c>
      <c r="J1312" s="89" t="n">
        <v>12590</v>
      </c>
    </row>
    <row r="1313" customFormat="1" s="94">
      <c r="B1313" s="128" t="n">
        <v>43945</v>
      </c>
      <c r="C1313" s="94">
        <f>TEXT(B1313,"aaa")</f>
        <v/>
      </c>
      <c r="D1313" s="94" t="inlineStr">
        <is>
          <t>카카오광고</t>
        </is>
      </c>
      <c r="E1313" s="94" t="inlineStr">
        <is>
          <t>토너</t>
        </is>
      </c>
      <c r="J1313" s="89" t="n">
        <v>12960</v>
      </c>
    </row>
    <row r="1314" customFormat="1" s="94">
      <c r="B1314" s="128" t="n">
        <v>43946</v>
      </c>
      <c r="C1314" s="94">
        <f>TEXT(B1314,"aaa")</f>
        <v/>
      </c>
      <c r="D1314" s="94" t="inlineStr">
        <is>
          <t>카카오광고</t>
        </is>
      </c>
      <c r="E1314" s="94" t="inlineStr">
        <is>
          <t>토너</t>
        </is>
      </c>
      <c r="J1314" s="89" t="n">
        <v>12310</v>
      </c>
    </row>
    <row r="1315" customFormat="1" s="94">
      <c r="B1315" s="128" t="n">
        <v>43947</v>
      </c>
      <c r="C1315" s="94">
        <f>TEXT(B1315,"aaa")</f>
        <v/>
      </c>
      <c r="D1315" s="94" t="inlineStr">
        <is>
          <t>카카오광고</t>
        </is>
      </c>
      <c r="E1315" s="94" t="inlineStr">
        <is>
          <t>토너</t>
        </is>
      </c>
      <c r="J1315" s="89" t="n">
        <v>11640</v>
      </c>
    </row>
    <row r="1316" customFormat="1" s="94">
      <c r="B1316" s="128" t="n">
        <v>43948</v>
      </c>
      <c r="C1316" s="94">
        <f>TEXT(B1316,"aaa")</f>
        <v/>
      </c>
      <c r="D1316" s="94" t="inlineStr">
        <is>
          <t>카카오광고</t>
        </is>
      </c>
      <c r="E1316" s="94" t="inlineStr">
        <is>
          <t>토너</t>
        </is>
      </c>
      <c r="J1316" s="89" t="n">
        <v>13150</v>
      </c>
    </row>
    <row r="1317" customFormat="1" s="94">
      <c r="B1317" s="128" t="n">
        <v>43949</v>
      </c>
      <c r="C1317" s="94">
        <f>TEXT(B1317,"aaa")</f>
        <v/>
      </c>
      <c r="D1317" s="94" t="inlineStr">
        <is>
          <t>카카오광고</t>
        </is>
      </c>
      <c r="E1317" s="94" t="inlineStr">
        <is>
          <t>토너</t>
        </is>
      </c>
      <c r="J1317" s="89" t="n">
        <v>13320</v>
      </c>
    </row>
    <row r="1318" customFormat="1" s="94">
      <c r="B1318" s="128" t="n">
        <v>43950</v>
      </c>
      <c r="C1318" s="94">
        <f>TEXT(B1318,"aaa")</f>
        <v/>
      </c>
      <c r="D1318" s="94" t="inlineStr">
        <is>
          <t>카카오광고</t>
        </is>
      </c>
      <c r="E1318" s="94" t="inlineStr">
        <is>
          <t>토너</t>
        </is>
      </c>
      <c r="J1318" s="89" t="n">
        <v>4450</v>
      </c>
    </row>
    <row r="1319" customFormat="1" s="94">
      <c r="B1319" s="128" t="n">
        <v>43951</v>
      </c>
      <c r="C1319" s="94">
        <f>TEXT(B1319,"aaa")</f>
        <v/>
      </c>
      <c r="D1319" s="94" t="inlineStr">
        <is>
          <t>카카오광고</t>
        </is>
      </c>
      <c r="E1319" s="94" t="inlineStr">
        <is>
          <t>토너</t>
        </is>
      </c>
      <c r="J1319" s="89" t="n">
        <v>4320</v>
      </c>
    </row>
    <row r="1320" hidden="1" customFormat="1" s="94">
      <c r="B1320" s="128" t="n">
        <v>43927</v>
      </c>
      <c r="C1320" s="94">
        <f>TEXT(B1320,"aaa")</f>
        <v/>
      </c>
      <c r="D1320" s="94" t="inlineStr">
        <is>
          <t>네이버 GFA</t>
        </is>
      </c>
      <c r="E1320" s="94" t="inlineStr">
        <is>
          <t>토너</t>
        </is>
      </c>
      <c r="J1320" s="89" t="n">
        <v>428873.6363636364</v>
      </c>
    </row>
    <row r="1321" hidden="1" customFormat="1" s="94">
      <c r="B1321" s="128" t="n">
        <v>43928</v>
      </c>
      <c r="C1321" s="94">
        <f>TEXT(B1321,"aaa")</f>
        <v/>
      </c>
      <c r="D1321" s="94" t="inlineStr">
        <is>
          <t>네이버 GFA</t>
        </is>
      </c>
      <c r="E1321" s="94" t="inlineStr">
        <is>
          <t>토너</t>
        </is>
      </c>
      <c r="J1321" s="89" t="n">
        <v>494276.3636363636</v>
      </c>
    </row>
    <row r="1322" hidden="1" customFormat="1" s="94">
      <c r="B1322" s="128" t="n">
        <v>43929</v>
      </c>
      <c r="C1322" s="94">
        <f>TEXT(B1322,"aaa")</f>
        <v/>
      </c>
      <c r="D1322" s="94" t="inlineStr">
        <is>
          <t>네이버 GFA</t>
        </is>
      </c>
      <c r="E1322" s="94" t="inlineStr">
        <is>
          <t>토너</t>
        </is>
      </c>
      <c r="J1322" s="89" t="n">
        <v>372426.3636363636</v>
      </c>
    </row>
    <row r="1323" hidden="1" customFormat="1" s="94">
      <c r="B1323" s="128" t="n">
        <v>43930</v>
      </c>
      <c r="C1323" s="94">
        <f>TEXT(B1323,"aaa")</f>
        <v/>
      </c>
      <c r="D1323" s="94" t="inlineStr">
        <is>
          <t>네이버 GFA</t>
        </is>
      </c>
      <c r="E1323" s="94" t="inlineStr">
        <is>
          <t>토너</t>
        </is>
      </c>
      <c r="J1323" s="89" t="n">
        <v>312596.3636363636</v>
      </c>
    </row>
    <row r="1324" hidden="1" customFormat="1" s="94">
      <c r="B1324" s="128" t="n">
        <v>43931</v>
      </c>
      <c r="C1324" s="94">
        <f>TEXT(B1324,"aaa")</f>
        <v/>
      </c>
      <c r="D1324" s="94" t="inlineStr">
        <is>
          <t>네이버 GFA</t>
        </is>
      </c>
      <c r="E1324" s="94" t="inlineStr">
        <is>
          <t>토너</t>
        </is>
      </c>
      <c r="J1324" s="89" t="n">
        <v>454718.1818181818</v>
      </c>
    </row>
    <row r="1325" hidden="1" customFormat="1" s="94">
      <c r="B1325" s="128" t="n">
        <v>43934</v>
      </c>
      <c r="C1325" s="94">
        <f>TEXT(B1325,"aaa")</f>
        <v/>
      </c>
      <c r="D1325" s="94" t="inlineStr">
        <is>
          <t>네이버 GFA</t>
        </is>
      </c>
      <c r="E1325" s="94" t="inlineStr">
        <is>
          <t>토너</t>
        </is>
      </c>
      <c r="J1325" s="89" t="n">
        <v>528575.4545454545</v>
      </c>
    </row>
    <row r="1326" hidden="1" customFormat="1" s="94">
      <c r="B1326" s="128" t="n">
        <v>43935</v>
      </c>
      <c r="C1326" s="94">
        <f>TEXT(B1326,"aaa")</f>
        <v/>
      </c>
      <c r="D1326" s="94" t="inlineStr">
        <is>
          <t>네이버 GFA</t>
        </is>
      </c>
      <c r="E1326" s="94" t="inlineStr">
        <is>
          <t>토너</t>
        </is>
      </c>
      <c r="J1326" s="89" t="n">
        <v>534620</v>
      </c>
    </row>
    <row r="1327" hidden="1" customFormat="1" s="94">
      <c r="B1327" s="128" t="n">
        <v>43937</v>
      </c>
      <c r="C1327" s="94">
        <f>TEXT(B1327,"aaa")</f>
        <v/>
      </c>
      <c r="D1327" s="94" t="inlineStr">
        <is>
          <t>네이버 GFA</t>
        </is>
      </c>
      <c r="E1327" s="94" t="inlineStr">
        <is>
          <t>토너</t>
        </is>
      </c>
      <c r="J1327" s="89" t="n">
        <v>178296.3636363636</v>
      </c>
    </row>
    <row r="1328" hidden="1" customFormat="1" s="94">
      <c r="B1328" s="128" t="n">
        <v>43938</v>
      </c>
      <c r="C1328" s="94">
        <f>TEXT(B1328,"aaa")</f>
        <v/>
      </c>
      <c r="D1328" s="94" t="inlineStr">
        <is>
          <t>네이버 GFA</t>
        </is>
      </c>
      <c r="E1328" s="94" t="inlineStr">
        <is>
          <t>토너</t>
        </is>
      </c>
      <c r="J1328" s="89" t="n">
        <v>315627.2727272727</v>
      </c>
    </row>
    <row r="1329" hidden="1" customFormat="1" s="94">
      <c r="B1329" s="128" t="n">
        <v>43941</v>
      </c>
      <c r="C1329" s="94">
        <f>TEXT(B1329,"aaa")</f>
        <v/>
      </c>
      <c r="D1329" s="94" t="inlineStr">
        <is>
          <t>네이버 GFA</t>
        </is>
      </c>
      <c r="E1329" s="94" t="inlineStr">
        <is>
          <t>토너</t>
        </is>
      </c>
      <c r="J1329" s="89" t="n">
        <v>225719.0909090909</v>
      </c>
    </row>
    <row r="1330" hidden="1" customFormat="1" s="94">
      <c r="B1330" s="128" t="n">
        <v>43942</v>
      </c>
      <c r="C1330" s="94">
        <f>TEXT(B1330,"aaa")</f>
        <v/>
      </c>
      <c r="D1330" s="94" t="inlineStr">
        <is>
          <t>네이버 GFA</t>
        </is>
      </c>
      <c r="E1330" s="94" t="inlineStr">
        <is>
          <t>토너</t>
        </is>
      </c>
      <c r="J1330" s="89" t="n">
        <v>202246.3636363636</v>
      </c>
    </row>
    <row r="1331" hidden="1" customFormat="1" s="94">
      <c r="B1331" s="128" t="n">
        <v>43943</v>
      </c>
      <c r="C1331" s="94">
        <f>TEXT(B1331,"aaa")</f>
        <v/>
      </c>
      <c r="D1331" s="94" t="inlineStr">
        <is>
          <t>네이버 GFA</t>
        </is>
      </c>
      <c r="E1331" s="94" t="inlineStr">
        <is>
          <t>토너</t>
        </is>
      </c>
      <c r="J1331" s="89" t="n">
        <v>90146.36363636363</v>
      </c>
    </row>
    <row r="1332" hidden="1" customFormat="1" s="94">
      <c r="B1332" s="128" t="n">
        <v>43944</v>
      </c>
      <c r="C1332" s="94">
        <f>TEXT(B1332,"aaa")</f>
        <v/>
      </c>
      <c r="D1332" s="94" t="inlineStr">
        <is>
          <t>네이버 GFA</t>
        </is>
      </c>
      <c r="E1332" s="94" t="inlineStr">
        <is>
          <t>토너</t>
        </is>
      </c>
      <c r="J1332" s="89" t="n">
        <v>96320.90909090909</v>
      </c>
    </row>
    <row r="1333" hidden="1" customFormat="1" s="94">
      <c r="B1333" s="128" t="n">
        <v>43945</v>
      </c>
      <c r="C1333" s="94">
        <f>TEXT(B1333,"aaa")</f>
        <v/>
      </c>
      <c r="D1333" s="94" t="inlineStr">
        <is>
          <t>네이버 GFA</t>
        </is>
      </c>
      <c r="E1333" s="94" t="inlineStr">
        <is>
          <t>토너</t>
        </is>
      </c>
      <c r="J1333" s="89" t="n">
        <v>136253.6363636364</v>
      </c>
    </row>
    <row r="1334" hidden="1" customFormat="1" s="94">
      <c r="B1334" s="128" t="n">
        <v>43946</v>
      </c>
      <c r="C1334" s="94">
        <f>TEXT(B1334,"aaa")</f>
        <v/>
      </c>
      <c r="D1334" s="94" t="inlineStr">
        <is>
          <t>네이버 GFA</t>
        </is>
      </c>
      <c r="E1334" s="94" t="inlineStr">
        <is>
          <t>토너</t>
        </is>
      </c>
      <c r="J1334" s="89" t="n">
        <v>146149.0909090909</v>
      </c>
    </row>
    <row r="1335" hidden="1" customFormat="1" s="94">
      <c r="B1335" s="128" t="n">
        <v>43947</v>
      </c>
      <c r="C1335" s="94">
        <f>TEXT(B1335,"aaa")</f>
        <v/>
      </c>
      <c r="D1335" s="94" t="inlineStr">
        <is>
          <t>네이버 GFA</t>
        </is>
      </c>
      <c r="E1335" s="94" t="inlineStr">
        <is>
          <t>토너</t>
        </is>
      </c>
      <c r="G1335" s="4" t="n"/>
      <c r="J1335" s="89" t="n">
        <v>139627.2727272727</v>
      </c>
    </row>
    <row r="1336" hidden="1" customFormat="1" s="94">
      <c r="B1336" s="128" t="n">
        <v>43948</v>
      </c>
      <c r="C1336" s="94">
        <f>TEXT(B1336,"aaa")</f>
        <v/>
      </c>
      <c r="D1336" s="94" t="inlineStr">
        <is>
          <t>네이버 GFA</t>
        </is>
      </c>
      <c r="E1336" s="94" t="inlineStr">
        <is>
          <t>토너</t>
        </is>
      </c>
      <c r="G1336" s="4" t="n"/>
      <c r="J1336" s="89" t="n">
        <v>134183.6363636364</v>
      </c>
    </row>
    <row r="1337" hidden="1" customFormat="1" s="94">
      <c r="B1337" s="128" t="n">
        <v>43949</v>
      </c>
      <c r="C1337" s="94">
        <f>TEXT(B1337,"aaa")</f>
        <v/>
      </c>
      <c r="D1337" s="94" t="inlineStr">
        <is>
          <t>네이버 GFA</t>
        </is>
      </c>
      <c r="E1337" s="94" t="inlineStr">
        <is>
          <t>토너</t>
        </is>
      </c>
      <c r="G1337" s="4" t="n"/>
      <c r="J1337" s="89" t="n">
        <v>157556.3636363636</v>
      </c>
    </row>
    <row r="1338" hidden="1" customFormat="1" s="94">
      <c r="B1338" s="128" t="n">
        <v>43950</v>
      </c>
      <c r="C1338" s="94">
        <f>TEXT(B1338,"aaa")</f>
        <v/>
      </c>
      <c r="D1338" s="94" t="inlineStr">
        <is>
          <t>네이버 GFA</t>
        </is>
      </c>
      <c r="E1338" s="94" t="inlineStr">
        <is>
          <t>토너</t>
        </is>
      </c>
      <c r="G1338" s="4" t="n"/>
      <c r="J1338" s="89" t="n">
        <v>332770</v>
      </c>
    </row>
    <row r="1339" hidden="1" customFormat="1" s="94">
      <c r="B1339" s="128" t="n">
        <v>43951</v>
      </c>
      <c r="C1339" s="94">
        <f>TEXT(B1339,"aaa")</f>
        <v/>
      </c>
      <c r="D1339" s="94" t="inlineStr">
        <is>
          <t>네이버 GFA</t>
        </is>
      </c>
      <c r="E1339" s="94" t="inlineStr">
        <is>
          <t>토너</t>
        </is>
      </c>
      <c r="G1339" s="4" t="n"/>
      <c r="J1339" s="89" t="n">
        <v>253.6363636363636</v>
      </c>
    </row>
    <row r="1340" hidden="1" customFormat="1" s="94">
      <c r="B1340" s="128" t="n">
        <v>43934</v>
      </c>
      <c r="C1340" s="94">
        <f>TEXT(B1340,"aaa")</f>
        <v/>
      </c>
      <c r="D1340" s="94" t="inlineStr">
        <is>
          <t>카카오톡 메시지</t>
        </is>
      </c>
      <c r="E1340" s="94" t="inlineStr">
        <is>
          <t>앰플</t>
        </is>
      </c>
      <c r="G1340" s="4" t="n"/>
      <c r="J1340" s="89">
        <f>10242*15</f>
        <v/>
      </c>
    </row>
    <row r="1341" hidden="1" customFormat="1" s="94">
      <c r="B1341" s="128" t="n">
        <v>43935</v>
      </c>
      <c r="C1341" s="94">
        <f>TEXT(B1341,"aaa")</f>
        <v/>
      </c>
      <c r="D1341" s="94" t="inlineStr">
        <is>
          <t>카카오톡 메시지</t>
        </is>
      </c>
      <c r="E1341" s="94" t="inlineStr">
        <is>
          <t>앰플</t>
        </is>
      </c>
      <c r="G1341" s="4" t="n"/>
      <c r="J1341" s="89">
        <f>10196*15</f>
        <v/>
      </c>
    </row>
    <row r="1342" hidden="1" customFormat="1" s="94">
      <c r="B1342" s="128" t="n">
        <v>43938</v>
      </c>
      <c r="C1342" s="94">
        <f>TEXT(B1342,"aaa")</f>
        <v/>
      </c>
      <c r="D1342" s="94" t="inlineStr">
        <is>
          <t>기획사이다</t>
        </is>
      </c>
      <c r="E1342" s="94" t="inlineStr">
        <is>
          <t>토너</t>
        </is>
      </c>
      <c r="G1342" s="4" t="n"/>
      <c r="J1342" s="89">
        <f>7370000/1.1</f>
        <v/>
      </c>
    </row>
    <row r="1343" hidden="1" customFormat="1" s="94">
      <c r="B1343" s="128" t="n">
        <v>43952</v>
      </c>
      <c r="C1343" s="94">
        <f>TEXT(B1343,"aaa")</f>
        <v/>
      </c>
      <c r="D1343" s="94" t="inlineStr">
        <is>
          <t>네이버 쇼핑검색</t>
        </is>
      </c>
      <c r="E1343" s="94" t="inlineStr">
        <is>
          <t>토너</t>
        </is>
      </c>
      <c r="G1343" s="4" t="n"/>
      <c r="J1343" s="89" t="n">
        <v>32470</v>
      </c>
    </row>
    <row r="1344" hidden="1" customFormat="1" s="94">
      <c r="B1344" s="128">
        <f>B1343+1</f>
        <v/>
      </c>
      <c r="C1344" s="94">
        <f>TEXT(B1344,"aaa")</f>
        <v/>
      </c>
      <c r="D1344" s="94" t="inlineStr">
        <is>
          <t>네이버 쇼핑검색</t>
        </is>
      </c>
      <c r="E1344" s="94" t="inlineStr">
        <is>
          <t>토너</t>
        </is>
      </c>
      <c r="G1344" s="4" t="n"/>
      <c r="J1344" s="89" t="n">
        <v>30520</v>
      </c>
    </row>
    <row r="1345" hidden="1" customFormat="1" s="94">
      <c r="B1345" s="128">
        <f>B1344+1</f>
        <v/>
      </c>
      <c r="C1345" s="94">
        <f>TEXT(B1345,"aaa")</f>
        <v/>
      </c>
      <c r="D1345" s="94" t="inlineStr">
        <is>
          <t>네이버 쇼핑검색</t>
        </is>
      </c>
      <c r="E1345" s="94" t="inlineStr">
        <is>
          <t>토너</t>
        </is>
      </c>
      <c r="G1345" s="4" t="n"/>
      <c r="J1345" s="89" t="n">
        <v>32090</v>
      </c>
    </row>
    <row r="1346" hidden="1" customFormat="1" s="94">
      <c r="B1346" s="128">
        <f>B1345+1</f>
        <v/>
      </c>
      <c r="C1346" s="94">
        <f>TEXT(B1346,"aaa")</f>
        <v/>
      </c>
      <c r="D1346" s="94" t="inlineStr">
        <is>
          <t>네이버 쇼핑검색</t>
        </is>
      </c>
      <c r="E1346" s="94" t="inlineStr">
        <is>
          <t>토너</t>
        </is>
      </c>
      <c r="G1346" s="4" t="n"/>
      <c r="J1346" s="89" t="n">
        <v>25450</v>
      </c>
    </row>
    <row r="1347" hidden="1" customFormat="1" s="94">
      <c r="B1347" s="128">
        <f>B1346+1</f>
        <v/>
      </c>
      <c r="C1347" s="94">
        <f>TEXT(B1347,"aaa")</f>
        <v/>
      </c>
      <c r="D1347" s="94" t="inlineStr">
        <is>
          <t>네이버 쇼핑검색</t>
        </is>
      </c>
      <c r="E1347" s="94" t="inlineStr">
        <is>
          <t>토너</t>
        </is>
      </c>
      <c r="G1347" s="4" t="n"/>
      <c r="J1347" s="89" t="n">
        <v>28650</v>
      </c>
    </row>
    <row r="1348" hidden="1" customFormat="1" s="94">
      <c r="B1348" s="128">
        <f>B1347+1</f>
        <v/>
      </c>
      <c r="C1348" s="94">
        <f>TEXT(B1348,"aaa")</f>
        <v/>
      </c>
      <c r="D1348" s="94" t="inlineStr">
        <is>
          <t>네이버 쇼핑검색</t>
        </is>
      </c>
      <c r="E1348" s="94" t="inlineStr">
        <is>
          <t>토너</t>
        </is>
      </c>
      <c r="G1348" s="4" t="n"/>
      <c r="J1348" s="89" t="n">
        <v>31470</v>
      </c>
    </row>
    <row r="1349" hidden="1" customFormat="1" s="94">
      <c r="B1349" s="128">
        <f>B1348+1</f>
        <v/>
      </c>
      <c r="C1349" s="94">
        <f>TEXT(B1349,"aaa")</f>
        <v/>
      </c>
      <c r="D1349" s="94" t="inlineStr">
        <is>
          <t>네이버 쇼핑검색</t>
        </is>
      </c>
      <c r="E1349" s="94" t="inlineStr">
        <is>
          <t>토너</t>
        </is>
      </c>
      <c r="G1349" s="4" t="n"/>
      <c r="J1349" s="89" t="n">
        <v>44090</v>
      </c>
    </row>
    <row r="1350" hidden="1" customFormat="1" s="94">
      <c r="B1350" s="128">
        <f>B1349+1</f>
        <v/>
      </c>
      <c r="C1350" s="94">
        <f>TEXT(B1350,"aaa")</f>
        <v/>
      </c>
      <c r="D1350" s="94" t="inlineStr">
        <is>
          <t>네이버 쇼핑검색</t>
        </is>
      </c>
      <c r="E1350" s="94" t="inlineStr">
        <is>
          <t>토너</t>
        </is>
      </c>
      <c r="G1350" s="4" t="n"/>
      <c r="J1350" s="89" t="n">
        <v>53829.99999999999</v>
      </c>
    </row>
    <row r="1351" hidden="1" customFormat="1" s="94">
      <c r="B1351" s="128">
        <f>B1350+1</f>
        <v/>
      </c>
      <c r="C1351" s="94">
        <f>TEXT(B1351,"aaa")</f>
        <v/>
      </c>
      <c r="D1351" s="94" t="inlineStr">
        <is>
          <t>네이버 쇼핑검색</t>
        </is>
      </c>
      <c r="E1351" s="94" t="inlineStr">
        <is>
          <t>토너</t>
        </is>
      </c>
      <c r="G1351" s="4" t="n"/>
      <c r="J1351" s="89" t="n">
        <v>34860</v>
      </c>
    </row>
    <row r="1352" hidden="1" customFormat="1" s="94">
      <c r="B1352" s="128">
        <f>B1351+1</f>
        <v/>
      </c>
      <c r="C1352" s="94">
        <f>TEXT(B1352,"aaa")</f>
        <v/>
      </c>
      <c r="D1352" s="94" t="inlineStr">
        <is>
          <t>네이버 쇼핑검색</t>
        </is>
      </c>
      <c r="E1352" s="94" t="inlineStr">
        <is>
          <t>토너</t>
        </is>
      </c>
      <c r="G1352" s="4" t="n"/>
      <c r="J1352" s="89" t="n">
        <v>35680</v>
      </c>
    </row>
    <row r="1353" hidden="1" customFormat="1" s="94">
      <c r="B1353" s="128">
        <f>B1352+1</f>
        <v/>
      </c>
      <c r="C1353" s="94">
        <f>TEXT(B1353,"aaa")</f>
        <v/>
      </c>
      <c r="D1353" s="94" t="inlineStr">
        <is>
          <t>네이버 쇼핑검색</t>
        </is>
      </c>
      <c r="E1353" s="94" t="inlineStr">
        <is>
          <t>토너</t>
        </is>
      </c>
      <c r="G1353" s="4" t="n"/>
      <c r="J1353" s="89" t="n">
        <v>43660</v>
      </c>
    </row>
    <row r="1354" hidden="1" customFormat="1" s="94">
      <c r="B1354" s="128">
        <f>B1353+1</f>
        <v/>
      </c>
      <c r="C1354" s="94">
        <f>TEXT(B1354,"aaa")</f>
        <v/>
      </c>
      <c r="D1354" s="94" t="inlineStr">
        <is>
          <t>네이버 쇼핑검색</t>
        </is>
      </c>
      <c r="E1354" s="94" t="inlineStr">
        <is>
          <t>토너</t>
        </is>
      </c>
      <c r="G1354" s="4" t="n"/>
      <c r="J1354" s="89" t="n">
        <v>29390</v>
      </c>
    </row>
    <row r="1355" hidden="1" customFormat="1" s="94">
      <c r="B1355" s="128">
        <f>B1354+1</f>
        <v/>
      </c>
      <c r="C1355" s="94">
        <f>TEXT(B1355,"aaa")</f>
        <v/>
      </c>
      <c r="D1355" s="94" t="inlineStr">
        <is>
          <t>네이버 쇼핑검색</t>
        </is>
      </c>
      <c r="E1355" s="94" t="inlineStr">
        <is>
          <t>토너</t>
        </is>
      </c>
      <c r="G1355" s="4" t="n"/>
      <c r="J1355" s="89" t="n">
        <v>31880</v>
      </c>
    </row>
    <row r="1356" hidden="1" customFormat="1" s="94">
      <c r="B1356" s="128">
        <f>B1355+1</f>
        <v/>
      </c>
      <c r="C1356" s="94">
        <f>TEXT(B1356,"aaa")</f>
        <v/>
      </c>
      <c r="D1356" s="94" t="inlineStr">
        <is>
          <t>네이버 쇼핑검색</t>
        </is>
      </c>
      <c r="E1356" s="94" t="inlineStr">
        <is>
          <t>토너</t>
        </is>
      </c>
      <c r="G1356" s="4" t="n"/>
      <c r="J1356" s="89" t="n">
        <v>26640</v>
      </c>
    </row>
    <row r="1357" hidden="1" customFormat="1" s="94">
      <c r="B1357" s="128">
        <f>B1356+1</f>
        <v/>
      </c>
      <c r="C1357" s="94">
        <f>TEXT(B1357,"aaa")</f>
        <v/>
      </c>
      <c r="D1357" s="94" t="inlineStr">
        <is>
          <t>네이버 쇼핑검색</t>
        </is>
      </c>
      <c r="E1357" s="94" t="inlineStr">
        <is>
          <t>토너</t>
        </is>
      </c>
      <c r="G1357" s="4" t="n"/>
      <c r="J1357" s="89" t="n">
        <v>25230</v>
      </c>
    </row>
    <row r="1358" hidden="1" customFormat="1" s="94">
      <c r="B1358" s="128">
        <f>B1357+1</f>
        <v/>
      </c>
      <c r="C1358" s="94">
        <f>TEXT(B1358,"aaa")</f>
        <v/>
      </c>
      <c r="D1358" s="94" t="inlineStr">
        <is>
          <t>네이버 쇼핑검색</t>
        </is>
      </c>
      <c r="E1358" s="94" t="inlineStr">
        <is>
          <t>토너</t>
        </is>
      </c>
      <c r="G1358" s="4" t="n"/>
      <c r="J1358" s="89" t="n">
        <v>27420</v>
      </c>
    </row>
    <row r="1359" hidden="1" customFormat="1" s="94">
      <c r="B1359" s="128">
        <f>B1358+1</f>
        <v/>
      </c>
      <c r="C1359" s="94">
        <f>TEXT(B1359,"aaa")</f>
        <v/>
      </c>
      <c r="D1359" s="94" t="inlineStr">
        <is>
          <t>네이버 쇼핑검색</t>
        </is>
      </c>
      <c r="E1359" s="94" t="inlineStr">
        <is>
          <t>토너</t>
        </is>
      </c>
      <c r="G1359" s="4" t="n"/>
      <c r="J1359" s="89" t="n">
        <v>26640</v>
      </c>
    </row>
    <row r="1360" hidden="1" customFormat="1" s="94">
      <c r="B1360" s="128">
        <f>B1359+1</f>
        <v/>
      </c>
      <c r="C1360" s="94">
        <f>TEXT(B1360,"aaa")</f>
        <v/>
      </c>
      <c r="D1360" s="94" t="inlineStr">
        <is>
          <t>네이버 쇼핑검색</t>
        </is>
      </c>
      <c r="E1360" s="94" t="inlineStr">
        <is>
          <t>토너</t>
        </is>
      </c>
      <c r="G1360" s="4" t="n"/>
      <c r="J1360" s="89" t="n">
        <v>54949.99999999999</v>
      </c>
    </row>
    <row r="1361" hidden="1" customFormat="1" s="94">
      <c r="B1361" s="128">
        <f>B1360+1</f>
        <v/>
      </c>
      <c r="C1361" s="94">
        <f>TEXT(B1361,"aaa")</f>
        <v/>
      </c>
      <c r="D1361" s="94" t="inlineStr">
        <is>
          <t>네이버 쇼핑검색</t>
        </is>
      </c>
      <c r="E1361" s="94" t="inlineStr">
        <is>
          <t>토너</t>
        </is>
      </c>
      <c r="G1361" s="4" t="n"/>
      <c r="J1361" s="89" t="n">
        <v>47029.99999999999</v>
      </c>
    </row>
    <row r="1362" hidden="1" customFormat="1" s="94">
      <c r="B1362" s="128">
        <f>B1361+1</f>
        <v/>
      </c>
      <c r="C1362" s="94">
        <f>TEXT(B1362,"aaa")</f>
        <v/>
      </c>
      <c r="D1362" s="94" t="inlineStr">
        <is>
          <t>네이버 쇼핑검색</t>
        </is>
      </c>
      <c r="E1362" s="94" t="inlineStr">
        <is>
          <t>토너</t>
        </is>
      </c>
      <c r="G1362" s="4" t="n"/>
      <c r="J1362" s="89" t="n">
        <v>37110</v>
      </c>
    </row>
    <row r="1363" hidden="1" customFormat="1" s="94">
      <c r="B1363" s="128">
        <f>B1362+1</f>
        <v/>
      </c>
      <c r="C1363" s="94">
        <f>TEXT(B1363,"aaa")</f>
        <v/>
      </c>
      <c r="D1363" s="94" t="inlineStr">
        <is>
          <t>네이버 쇼핑검색</t>
        </is>
      </c>
      <c r="E1363" s="94" t="inlineStr">
        <is>
          <t>토너</t>
        </is>
      </c>
      <c r="G1363" s="4" t="n"/>
      <c r="J1363" s="89" t="n">
        <v>28530</v>
      </c>
    </row>
    <row r="1364" hidden="1" customFormat="1" s="94">
      <c r="B1364" s="128">
        <f>B1363+1</f>
        <v/>
      </c>
      <c r="C1364" s="94">
        <f>TEXT(B1364,"aaa")</f>
        <v/>
      </c>
      <c r="D1364" s="94" t="inlineStr">
        <is>
          <t>네이버 쇼핑검색</t>
        </is>
      </c>
      <c r="E1364" s="94" t="inlineStr">
        <is>
          <t>토너</t>
        </is>
      </c>
      <c r="G1364" s="4" t="n"/>
      <c r="J1364" s="89" t="n">
        <v>20300</v>
      </c>
    </row>
    <row r="1365" hidden="1" customFormat="1" s="94">
      <c r="B1365" s="128">
        <f>B1364+1</f>
        <v/>
      </c>
      <c r="C1365" s="94">
        <f>TEXT(B1365,"aaa")</f>
        <v/>
      </c>
      <c r="D1365" s="94" t="inlineStr">
        <is>
          <t>네이버 쇼핑검색</t>
        </is>
      </c>
      <c r="E1365" s="94" t="inlineStr">
        <is>
          <t>토너</t>
        </is>
      </c>
      <c r="G1365" s="4" t="n"/>
      <c r="J1365" s="89" t="n">
        <v>20990</v>
      </c>
    </row>
    <row r="1366" hidden="1" customFormat="1" s="94">
      <c r="B1366" s="128">
        <f>B1365+1</f>
        <v/>
      </c>
      <c r="C1366" s="94">
        <f>TEXT(B1366,"aaa")</f>
        <v/>
      </c>
      <c r="D1366" s="94" t="inlineStr">
        <is>
          <t>네이버 쇼핑검색</t>
        </is>
      </c>
      <c r="E1366" s="94" t="inlineStr">
        <is>
          <t>토너</t>
        </is>
      </c>
      <c r="G1366" s="4" t="n"/>
      <c r="J1366" s="89" t="n">
        <v>29750</v>
      </c>
    </row>
    <row r="1367" hidden="1" customFormat="1" s="94">
      <c r="B1367" s="128">
        <f>B1366+1</f>
        <v/>
      </c>
      <c r="C1367" s="94">
        <f>TEXT(B1367,"aaa")</f>
        <v/>
      </c>
      <c r="D1367" s="94" t="inlineStr">
        <is>
          <t>네이버 쇼핑검색</t>
        </is>
      </c>
      <c r="E1367" s="94" t="inlineStr">
        <is>
          <t>토너</t>
        </is>
      </c>
      <c r="G1367" s="4" t="n"/>
      <c r="J1367" s="89" t="n">
        <v>48819.99999999999</v>
      </c>
    </row>
    <row r="1368" hidden="1" customFormat="1" s="94">
      <c r="B1368" s="128">
        <f>B1367+1</f>
        <v/>
      </c>
      <c r="C1368" s="94">
        <f>TEXT(B1368,"aaa")</f>
        <v/>
      </c>
      <c r="D1368" s="94" t="inlineStr">
        <is>
          <t>네이버 쇼핑검색</t>
        </is>
      </c>
      <c r="E1368" s="94" t="inlineStr">
        <is>
          <t>토너</t>
        </is>
      </c>
      <c r="G1368" s="4" t="n"/>
      <c r="J1368" s="89" t="n">
        <v>48889.99999999999</v>
      </c>
    </row>
    <row r="1369" hidden="1" customFormat="1" s="94">
      <c r="B1369" s="128">
        <f>B1368+1</f>
        <v/>
      </c>
      <c r="C1369" s="94">
        <f>TEXT(B1369,"aaa")</f>
        <v/>
      </c>
      <c r="D1369" s="94" t="inlineStr">
        <is>
          <t>네이버 쇼핑검색</t>
        </is>
      </c>
      <c r="E1369" s="94" t="inlineStr">
        <is>
          <t>토너</t>
        </is>
      </c>
      <c r="G1369" s="4" t="n"/>
      <c r="J1369" s="89" t="n">
        <v>42540</v>
      </c>
    </row>
    <row r="1370" hidden="1" customFormat="1" s="94">
      <c r="B1370" s="128">
        <f>B1369+1</f>
        <v/>
      </c>
      <c r="C1370" s="94">
        <f>TEXT(B1370,"aaa")</f>
        <v/>
      </c>
      <c r="D1370" s="94" t="inlineStr">
        <is>
          <t>네이버 쇼핑검색</t>
        </is>
      </c>
      <c r="E1370" s="94" t="inlineStr">
        <is>
          <t>토너</t>
        </is>
      </c>
      <c r="G1370" s="4" t="n"/>
      <c r="J1370" s="89" t="n">
        <v>34260</v>
      </c>
    </row>
    <row r="1371" hidden="1" customFormat="1" s="94">
      <c r="B1371" s="128">
        <f>B1370+1</f>
        <v/>
      </c>
      <c r="C1371" s="94">
        <f>TEXT(B1371,"aaa")</f>
        <v/>
      </c>
      <c r="D1371" s="94" t="inlineStr">
        <is>
          <t>네이버 쇼핑검색</t>
        </is>
      </c>
      <c r="E1371" s="94" t="inlineStr">
        <is>
          <t>토너</t>
        </is>
      </c>
      <c r="G1371" s="4" t="n"/>
      <c r="J1371" s="89" t="n">
        <v>33500</v>
      </c>
    </row>
    <row r="1372" hidden="1" customFormat="1" s="94">
      <c r="B1372" s="128">
        <f>B1371+1</f>
        <v/>
      </c>
      <c r="C1372" s="94">
        <f>TEXT(B1372,"aaa")</f>
        <v/>
      </c>
      <c r="D1372" s="94" t="inlineStr">
        <is>
          <t>네이버 쇼핑검색</t>
        </is>
      </c>
      <c r="E1372" s="94" t="inlineStr">
        <is>
          <t>토너</t>
        </is>
      </c>
      <c r="G1372" s="4" t="n"/>
      <c r="J1372" s="89" t="n">
        <v>36510</v>
      </c>
    </row>
    <row r="1373" hidden="1" customFormat="1" s="94">
      <c r="B1373" s="128">
        <f>B1372+1</f>
        <v/>
      </c>
      <c r="C1373" s="94">
        <f>TEXT(B1373,"aaa")</f>
        <v/>
      </c>
      <c r="D1373" s="94" t="inlineStr">
        <is>
          <t>네이버 쇼핑검색</t>
        </is>
      </c>
      <c r="E1373" s="94" t="inlineStr">
        <is>
          <t>토너</t>
        </is>
      </c>
      <c r="G1373" s="4" t="n"/>
      <c r="J1373" s="89" t="n">
        <v>43510</v>
      </c>
    </row>
    <row r="1374" hidden="1" customFormat="1" s="94">
      <c r="B1374" s="128" t="n">
        <v>43952</v>
      </c>
      <c r="C1374" s="94">
        <f>TEXT(B1374,"aaa")</f>
        <v/>
      </c>
      <c r="D1374" s="94" t="inlineStr">
        <is>
          <t>네이버 브랜드검색</t>
        </is>
      </c>
      <c r="E1374" s="94" t="inlineStr">
        <is>
          <t>토너</t>
        </is>
      </c>
      <c r="G1374" s="4" t="n"/>
      <c r="J1374" s="89" t="n">
        <v>40000</v>
      </c>
      <c r="M1374" s="128" t="n"/>
      <c r="N1374" s="128" t="n"/>
    </row>
    <row r="1375" hidden="1" customFormat="1" s="94">
      <c r="B1375" s="128">
        <f>B1374+1</f>
        <v/>
      </c>
      <c r="C1375" s="94">
        <f>TEXT(B1375,"aaa")</f>
        <v/>
      </c>
      <c r="D1375" s="94" t="inlineStr">
        <is>
          <t>네이버 브랜드검색</t>
        </is>
      </c>
      <c r="E1375" s="94" t="inlineStr">
        <is>
          <t>토너</t>
        </is>
      </c>
      <c r="G1375" s="4" t="n"/>
      <c r="J1375" s="89" t="n">
        <v>40000</v>
      </c>
    </row>
    <row r="1376" hidden="1" customFormat="1" s="94">
      <c r="B1376" s="128">
        <f>B1375+1</f>
        <v/>
      </c>
      <c r="C1376" s="94">
        <f>TEXT(B1376,"aaa")</f>
        <v/>
      </c>
      <c r="D1376" s="94" t="inlineStr">
        <is>
          <t>네이버 브랜드검색</t>
        </is>
      </c>
      <c r="E1376" s="94" t="inlineStr">
        <is>
          <t>토너</t>
        </is>
      </c>
      <c r="G1376" s="4" t="n"/>
      <c r="J1376" s="89" t="n">
        <v>40000</v>
      </c>
    </row>
    <row r="1377" hidden="1" customFormat="1" s="94">
      <c r="B1377" s="128">
        <f>B1376+1</f>
        <v/>
      </c>
      <c r="C1377" s="94">
        <f>TEXT(B1377,"aaa")</f>
        <v/>
      </c>
      <c r="D1377" s="94" t="inlineStr">
        <is>
          <t>네이버 브랜드검색</t>
        </is>
      </c>
      <c r="E1377" s="94" t="inlineStr">
        <is>
          <t>토너</t>
        </is>
      </c>
      <c r="G1377" s="4" t="n"/>
      <c r="J1377" s="89" t="n">
        <v>40000</v>
      </c>
    </row>
    <row r="1378" hidden="1" customFormat="1" s="94">
      <c r="B1378" s="128">
        <f>B1377+1</f>
        <v/>
      </c>
      <c r="C1378" s="94">
        <f>TEXT(B1378,"aaa")</f>
        <v/>
      </c>
      <c r="D1378" s="94" t="inlineStr">
        <is>
          <t>네이버 브랜드검색</t>
        </is>
      </c>
      <c r="E1378" s="94" t="inlineStr">
        <is>
          <t>토너</t>
        </is>
      </c>
      <c r="G1378" s="4" t="n"/>
      <c r="J1378" s="89" t="n">
        <v>65000</v>
      </c>
      <c r="N1378" s="128" t="n"/>
      <c r="O1378" s="128" t="n"/>
      <c r="P1378" s="128" t="n"/>
      <c r="Q1378" s="129" t="n"/>
    </row>
    <row r="1379" hidden="1" customFormat="1" s="94">
      <c r="B1379" s="128">
        <f>B1378+1</f>
        <v/>
      </c>
      <c r="C1379" s="94">
        <f>TEXT(B1379,"aaa")</f>
        <v/>
      </c>
      <c r="D1379" s="94" t="inlineStr">
        <is>
          <t>네이버 브랜드검색</t>
        </is>
      </c>
      <c r="E1379" s="94" t="inlineStr">
        <is>
          <t>토너</t>
        </is>
      </c>
      <c r="G1379" s="4" t="n"/>
      <c r="J1379" s="89" t="n">
        <v>65000</v>
      </c>
    </row>
    <row r="1380" hidden="1" customFormat="1" s="94">
      <c r="B1380" s="128">
        <f>B1379+1</f>
        <v/>
      </c>
      <c r="C1380" s="94">
        <f>TEXT(B1380,"aaa")</f>
        <v/>
      </c>
      <c r="D1380" s="94" t="inlineStr">
        <is>
          <t>네이버 브랜드검색</t>
        </is>
      </c>
      <c r="E1380" s="94" t="inlineStr">
        <is>
          <t>토너</t>
        </is>
      </c>
      <c r="G1380" s="4" t="n"/>
      <c r="J1380" s="89" t="n">
        <v>65000</v>
      </c>
    </row>
    <row r="1381" hidden="1" customFormat="1" s="94">
      <c r="B1381" s="128">
        <f>B1380+1</f>
        <v/>
      </c>
      <c r="C1381" s="94">
        <f>TEXT(B1381,"aaa")</f>
        <v/>
      </c>
      <c r="D1381" s="94" t="inlineStr">
        <is>
          <t>네이버 브랜드검색</t>
        </is>
      </c>
      <c r="E1381" s="94" t="inlineStr">
        <is>
          <t>토너</t>
        </is>
      </c>
      <c r="G1381" s="4" t="n"/>
      <c r="J1381" s="89" t="n">
        <v>65000</v>
      </c>
    </row>
    <row r="1382" hidden="1" customFormat="1" s="94">
      <c r="B1382" s="128">
        <f>B1381+1</f>
        <v/>
      </c>
      <c r="C1382" s="94">
        <f>TEXT(B1382,"aaa")</f>
        <v/>
      </c>
      <c r="D1382" s="94" t="inlineStr">
        <is>
          <t>네이버 브랜드검색</t>
        </is>
      </c>
      <c r="E1382" s="94" t="inlineStr">
        <is>
          <t>토너</t>
        </is>
      </c>
      <c r="G1382" s="4" t="n"/>
      <c r="J1382" s="89" t="n">
        <v>65000</v>
      </c>
    </row>
    <row r="1383" hidden="1" customFormat="1" s="94">
      <c r="B1383" s="128">
        <f>B1382+1</f>
        <v/>
      </c>
      <c r="C1383" s="94">
        <f>TEXT(B1383,"aaa")</f>
        <v/>
      </c>
      <c r="D1383" s="94" t="inlineStr">
        <is>
          <t>네이버 브랜드검색</t>
        </is>
      </c>
      <c r="E1383" s="94" t="inlineStr">
        <is>
          <t>토너</t>
        </is>
      </c>
      <c r="G1383" s="4" t="n"/>
      <c r="J1383" s="89" t="n">
        <v>65000</v>
      </c>
    </row>
    <row r="1384" hidden="1" customFormat="1" s="94">
      <c r="B1384" s="128">
        <f>B1383+1</f>
        <v/>
      </c>
      <c r="C1384" s="94">
        <f>TEXT(B1384,"aaa")</f>
        <v/>
      </c>
      <c r="D1384" s="94" t="inlineStr">
        <is>
          <t>네이버 브랜드검색</t>
        </is>
      </c>
      <c r="E1384" s="94" t="inlineStr">
        <is>
          <t>토너</t>
        </is>
      </c>
      <c r="G1384" s="4" t="n"/>
      <c r="J1384" s="89" t="n">
        <v>65000</v>
      </c>
    </row>
    <row r="1385" hidden="1" customFormat="1" s="94">
      <c r="B1385" s="128">
        <f>B1384+1</f>
        <v/>
      </c>
      <c r="C1385" s="94">
        <f>TEXT(B1385,"aaa")</f>
        <v/>
      </c>
      <c r="D1385" s="94" t="inlineStr">
        <is>
          <t>네이버 브랜드검색</t>
        </is>
      </c>
      <c r="E1385" s="94" t="inlineStr">
        <is>
          <t>토너</t>
        </is>
      </c>
      <c r="G1385" s="4" t="n"/>
      <c r="J1385" s="89" t="n">
        <v>65000</v>
      </c>
    </row>
    <row r="1386" hidden="1" customFormat="1" s="94">
      <c r="B1386" s="128">
        <f>B1385+1</f>
        <v/>
      </c>
      <c r="C1386" s="94">
        <f>TEXT(B1386,"aaa")</f>
        <v/>
      </c>
      <c r="D1386" s="94" t="inlineStr">
        <is>
          <t>네이버 브랜드검색</t>
        </is>
      </c>
      <c r="E1386" s="94" t="inlineStr">
        <is>
          <t>토너</t>
        </is>
      </c>
      <c r="G1386" s="4" t="n"/>
      <c r="J1386" s="89" t="n">
        <v>65000</v>
      </c>
    </row>
    <row r="1387" hidden="1" customFormat="1" s="94">
      <c r="B1387" s="128">
        <f>B1386+1</f>
        <v/>
      </c>
      <c r="C1387" s="94">
        <f>TEXT(B1387,"aaa")</f>
        <v/>
      </c>
      <c r="D1387" s="94" t="inlineStr">
        <is>
          <t>네이버 브랜드검색</t>
        </is>
      </c>
      <c r="E1387" s="94" t="inlineStr">
        <is>
          <t>토너</t>
        </is>
      </c>
      <c r="G1387" s="4" t="n"/>
      <c r="J1387" s="89" t="n">
        <v>65000</v>
      </c>
    </row>
    <row r="1388" hidden="1" customFormat="1" s="94">
      <c r="B1388" s="128">
        <f>B1387+1</f>
        <v/>
      </c>
      <c r="C1388" s="94">
        <f>TEXT(B1388,"aaa")</f>
        <v/>
      </c>
      <c r="D1388" s="94" t="inlineStr">
        <is>
          <t>네이버 브랜드검색</t>
        </is>
      </c>
      <c r="E1388" s="94" t="inlineStr">
        <is>
          <t>토너</t>
        </is>
      </c>
      <c r="G1388" s="4" t="n"/>
      <c r="J1388" s="89" t="n">
        <v>65000</v>
      </c>
    </row>
    <row r="1389" hidden="1" customFormat="1" s="94">
      <c r="B1389" s="128">
        <f>B1388+1</f>
        <v/>
      </c>
      <c r="C1389" s="94">
        <f>TEXT(B1389,"aaa")</f>
        <v/>
      </c>
      <c r="D1389" s="94" t="inlineStr">
        <is>
          <t>네이버 브랜드검색</t>
        </is>
      </c>
      <c r="E1389" s="94" t="inlineStr">
        <is>
          <t>토너</t>
        </is>
      </c>
      <c r="G1389" s="4" t="n"/>
      <c r="J1389" s="89" t="n">
        <v>65000</v>
      </c>
    </row>
    <row r="1390" hidden="1" customFormat="1" s="94">
      <c r="B1390" s="128">
        <f>B1389+1</f>
        <v/>
      </c>
      <c r="C1390" s="94">
        <f>TEXT(B1390,"aaa")</f>
        <v/>
      </c>
      <c r="D1390" s="94" t="inlineStr">
        <is>
          <t>네이버 브랜드검색</t>
        </is>
      </c>
      <c r="E1390" s="94" t="inlineStr">
        <is>
          <t>토너</t>
        </is>
      </c>
      <c r="G1390" s="4" t="n"/>
      <c r="J1390" s="89" t="n">
        <v>65000</v>
      </c>
    </row>
    <row r="1391" hidden="1" customFormat="1" s="94">
      <c r="B1391" s="128">
        <f>B1390+1</f>
        <v/>
      </c>
      <c r="C1391" s="94">
        <f>TEXT(B1391,"aaa")</f>
        <v/>
      </c>
      <c r="D1391" s="94" t="inlineStr">
        <is>
          <t>네이버 브랜드검색</t>
        </is>
      </c>
      <c r="E1391" s="94" t="inlineStr">
        <is>
          <t>토너</t>
        </is>
      </c>
      <c r="G1391" s="4" t="n"/>
      <c r="J1391" s="89" t="n">
        <v>65000</v>
      </c>
    </row>
    <row r="1392" hidden="1" customFormat="1" s="94">
      <c r="B1392" s="128">
        <f>B1391+1</f>
        <v/>
      </c>
      <c r="C1392" s="94">
        <f>TEXT(B1392,"aaa")</f>
        <v/>
      </c>
      <c r="D1392" s="94" t="inlineStr">
        <is>
          <t>네이버 브랜드검색</t>
        </is>
      </c>
      <c r="E1392" s="94" t="inlineStr">
        <is>
          <t>토너</t>
        </is>
      </c>
      <c r="G1392" s="4" t="n"/>
      <c r="J1392" s="89" t="n">
        <v>65000</v>
      </c>
    </row>
    <row r="1393" hidden="1" customFormat="1" s="94">
      <c r="B1393" s="128">
        <f>B1392+1</f>
        <v/>
      </c>
      <c r="C1393" s="94">
        <f>TEXT(B1393,"aaa")</f>
        <v/>
      </c>
      <c r="D1393" s="94" t="inlineStr">
        <is>
          <t>네이버 브랜드검색</t>
        </is>
      </c>
      <c r="E1393" s="94" t="inlineStr">
        <is>
          <t>토너</t>
        </is>
      </c>
      <c r="G1393" s="4" t="n"/>
      <c r="J1393" s="89" t="n">
        <v>65000</v>
      </c>
    </row>
    <row r="1394" hidden="1" customFormat="1" s="94">
      <c r="B1394" s="128">
        <f>B1393+1</f>
        <v/>
      </c>
      <c r="C1394" s="94">
        <f>TEXT(B1394,"aaa")</f>
        <v/>
      </c>
      <c r="D1394" s="94" t="inlineStr">
        <is>
          <t>네이버 브랜드검색</t>
        </is>
      </c>
      <c r="E1394" s="94" t="inlineStr">
        <is>
          <t>토너</t>
        </is>
      </c>
      <c r="G1394" s="4" t="n"/>
      <c r="J1394" s="89" t="n">
        <v>65000</v>
      </c>
    </row>
    <row r="1395" hidden="1" customFormat="1" s="94">
      <c r="B1395" s="128">
        <f>B1394+1</f>
        <v/>
      </c>
      <c r="C1395" s="94">
        <f>TEXT(B1395,"aaa")</f>
        <v/>
      </c>
      <c r="D1395" s="94" t="inlineStr">
        <is>
          <t>네이버 브랜드검색</t>
        </is>
      </c>
      <c r="E1395" s="94" t="inlineStr">
        <is>
          <t>토너</t>
        </is>
      </c>
      <c r="G1395" s="4" t="n"/>
      <c r="J1395" s="89" t="n">
        <v>65000</v>
      </c>
    </row>
    <row r="1396" hidden="1" customFormat="1" s="94">
      <c r="B1396" s="128">
        <f>B1395+1</f>
        <v/>
      </c>
      <c r="C1396" s="94">
        <f>TEXT(B1396,"aaa")</f>
        <v/>
      </c>
      <c r="D1396" s="94" t="inlineStr">
        <is>
          <t>네이버 브랜드검색</t>
        </is>
      </c>
      <c r="E1396" s="94" t="inlineStr">
        <is>
          <t>토너</t>
        </is>
      </c>
      <c r="G1396" s="4" t="n"/>
      <c r="J1396" s="89" t="n">
        <v>65000</v>
      </c>
    </row>
    <row r="1397" hidden="1" customFormat="1" s="94">
      <c r="B1397" s="128">
        <f>B1396+1</f>
        <v/>
      </c>
      <c r="C1397" s="94">
        <f>TEXT(B1397,"aaa")</f>
        <v/>
      </c>
      <c r="D1397" s="94" t="inlineStr">
        <is>
          <t>네이버 브랜드검색</t>
        </is>
      </c>
      <c r="E1397" s="94" t="inlineStr">
        <is>
          <t>토너</t>
        </is>
      </c>
      <c r="G1397" s="4" t="n"/>
      <c r="J1397" s="89" t="n">
        <v>65000</v>
      </c>
    </row>
    <row r="1398" hidden="1" customFormat="1" s="94">
      <c r="B1398" s="128">
        <f>B1397+1</f>
        <v/>
      </c>
      <c r="C1398" s="94">
        <f>TEXT(B1398,"aaa")</f>
        <v/>
      </c>
      <c r="D1398" s="94" t="inlineStr">
        <is>
          <t>네이버 브랜드검색</t>
        </is>
      </c>
      <c r="E1398" s="94" t="inlineStr">
        <is>
          <t>토너</t>
        </is>
      </c>
      <c r="G1398" s="4" t="n"/>
      <c r="J1398" s="89" t="n">
        <v>65000</v>
      </c>
    </row>
    <row r="1399" hidden="1" customFormat="1" s="94">
      <c r="B1399" s="128">
        <f>B1398+1</f>
        <v/>
      </c>
      <c r="C1399" s="94">
        <f>TEXT(B1399,"aaa")</f>
        <v/>
      </c>
      <c r="D1399" s="94" t="inlineStr">
        <is>
          <t>네이버 브랜드검색</t>
        </is>
      </c>
      <c r="E1399" s="94" t="inlineStr">
        <is>
          <t>토너</t>
        </is>
      </c>
      <c r="G1399" s="4" t="n"/>
      <c r="J1399" s="89" t="n">
        <v>65000</v>
      </c>
    </row>
    <row r="1400" hidden="1" customFormat="1" s="94">
      <c r="B1400" s="128">
        <f>B1399+1</f>
        <v/>
      </c>
      <c r="C1400" s="94">
        <f>TEXT(B1400,"aaa")</f>
        <v/>
      </c>
      <c r="D1400" s="94" t="inlineStr">
        <is>
          <t>네이버 브랜드검색</t>
        </is>
      </c>
      <c r="E1400" s="94" t="inlineStr">
        <is>
          <t>토너</t>
        </is>
      </c>
      <c r="G1400" s="4" t="n"/>
      <c r="J1400" s="89" t="n">
        <v>65000</v>
      </c>
    </row>
    <row r="1401" hidden="1" customFormat="1" s="94">
      <c r="B1401" s="128">
        <f>B1400+1</f>
        <v/>
      </c>
      <c r="C1401" s="94">
        <f>TEXT(B1401,"aaa")</f>
        <v/>
      </c>
      <c r="D1401" s="94" t="inlineStr">
        <is>
          <t>네이버 브랜드검색</t>
        </is>
      </c>
      <c r="E1401" s="94" t="inlineStr">
        <is>
          <t>토너</t>
        </is>
      </c>
      <c r="G1401" s="4" t="n"/>
      <c r="J1401" s="89" t="n">
        <v>65000</v>
      </c>
    </row>
    <row r="1402" hidden="1" customFormat="1" s="94">
      <c r="B1402" s="128">
        <f>B1401+1</f>
        <v/>
      </c>
      <c r="C1402" s="94">
        <f>TEXT(B1402,"aaa")</f>
        <v/>
      </c>
      <c r="D1402" s="94" t="inlineStr">
        <is>
          <t>네이버 브랜드검색</t>
        </is>
      </c>
      <c r="E1402" s="94" t="inlineStr">
        <is>
          <t>토너</t>
        </is>
      </c>
      <c r="G1402" s="4" t="n"/>
      <c r="J1402" s="89" t="n">
        <v>120000</v>
      </c>
      <c r="M1402" s="129" t="n"/>
      <c r="N1402" s="128" t="n"/>
      <c r="O1402" s="128" t="n"/>
      <c r="P1402" s="128" t="n"/>
    </row>
    <row r="1403" hidden="1" customFormat="1" s="94">
      <c r="B1403" s="128">
        <f>B1402+1</f>
        <v/>
      </c>
      <c r="C1403" s="94">
        <f>TEXT(B1403,"aaa")</f>
        <v/>
      </c>
      <c r="D1403" s="94" t="inlineStr">
        <is>
          <t>네이버 브랜드검색</t>
        </is>
      </c>
      <c r="E1403" s="94" t="inlineStr">
        <is>
          <t>토너</t>
        </is>
      </c>
      <c r="G1403" s="4" t="n"/>
      <c r="J1403" s="89" t="n">
        <v>120000</v>
      </c>
    </row>
    <row r="1404" hidden="1" customFormat="1" s="94">
      <c r="B1404" s="128">
        <f>B1403+1</f>
        <v/>
      </c>
      <c r="C1404" s="94">
        <f>TEXT(B1404,"aaa")</f>
        <v/>
      </c>
      <c r="D1404" s="94" t="inlineStr">
        <is>
          <t>네이버 브랜드검색</t>
        </is>
      </c>
      <c r="E1404" s="94" t="inlineStr">
        <is>
          <t>토너</t>
        </is>
      </c>
      <c r="G1404" s="4" t="n"/>
      <c r="J1404" s="89" t="n">
        <v>120000</v>
      </c>
    </row>
    <row r="1405" hidden="1" customFormat="1" s="94">
      <c r="B1405" s="128" t="n">
        <v>43952</v>
      </c>
      <c r="C1405" s="94">
        <f>TEXT(B1405,"aaa")</f>
        <v/>
      </c>
      <c r="D1405" s="94" t="inlineStr">
        <is>
          <t>페이스북/인스타그램</t>
        </is>
      </c>
      <c r="E1405" s="94" t="inlineStr">
        <is>
          <t>토너</t>
        </is>
      </c>
      <c r="G1405" s="4" t="n"/>
      <c r="J1405" s="89" t="n">
        <v>845384</v>
      </c>
    </row>
    <row r="1406" hidden="1" customFormat="1" s="94">
      <c r="B1406" s="128">
        <f>B1405+1</f>
        <v/>
      </c>
      <c r="C1406" s="94">
        <f>TEXT(B1406,"aaa")</f>
        <v/>
      </c>
      <c r="D1406" s="94" t="inlineStr">
        <is>
          <t>페이스북/인스타그램</t>
        </is>
      </c>
      <c r="E1406" s="94" t="inlineStr">
        <is>
          <t>토너</t>
        </is>
      </c>
      <c r="G1406" s="4" t="n"/>
      <c r="J1406" s="89" t="n">
        <v>856413</v>
      </c>
    </row>
    <row r="1407" hidden="1" customFormat="1" s="94">
      <c r="B1407" s="128">
        <f>B1406+1</f>
        <v/>
      </c>
      <c r="C1407" s="94">
        <f>TEXT(B1407,"aaa")</f>
        <v/>
      </c>
      <c r="D1407" s="94" t="inlineStr">
        <is>
          <t>페이스북/인스타그램</t>
        </is>
      </c>
      <c r="E1407" s="94" t="inlineStr">
        <is>
          <t>토너</t>
        </is>
      </c>
      <c r="G1407" s="4" t="n"/>
      <c r="J1407" s="89" t="n">
        <v>830640</v>
      </c>
    </row>
    <row r="1408" hidden="1" customFormat="1" s="94">
      <c r="B1408" s="128">
        <f>B1407+1</f>
        <v/>
      </c>
      <c r="C1408" s="94">
        <f>TEXT(B1408,"aaa")</f>
        <v/>
      </c>
      <c r="D1408" s="94" t="inlineStr">
        <is>
          <t>페이스북/인스타그램</t>
        </is>
      </c>
      <c r="E1408" s="94" t="inlineStr">
        <is>
          <t>토너</t>
        </is>
      </c>
      <c r="G1408" s="4" t="n"/>
      <c r="J1408" s="89" t="n">
        <v>1078378</v>
      </c>
    </row>
    <row r="1409" hidden="1" customFormat="1" s="94">
      <c r="B1409" s="128">
        <f>B1408+1</f>
        <v/>
      </c>
      <c r="C1409" s="94">
        <f>TEXT(B1409,"aaa")</f>
        <v/>
      </c>
      <c r="D1409" s="94" t="inlineStr">
        <is>
          <t>페이스북/인스타그램</t>
        </is>
      </c>
      <c r="E1409" s="94" t="inlineStr">
        <is>
          <t>토너</t>
        </is>
      </c>
      <c r="G1409" s="4" t="n"/>
      <c r="J1409" s="89" t="n">
        <v>1218327</v>
      </c>
    </row>
    <row r="1410" hidden="1" customFormat="1" s="94">
      <c r="B1410" s="128">
        <f>B1409+1</f>
        <v/>
      </c>
      <c r="C1410" s="94">
        <f>TEXT(B1410,"aaa")</f>
        <v/>
      </c>
      <c r="D1410" s="94" t="inlineStr">
        <is>
          <t>페이스북/인스타그램</t>
        </is>
      </c>
      <c r="E1410" s="94" t="inlineStr">
        <is>
          <t>토너</t>
        </is>
      </c>
      <c r="G1410" s="4" t="n"/>
      <c r="J1410" s="89" t="n">
        <v>1208655</v>
      </c>
    </row>
    <row r="1411" hidden="1" customFormat="1" s="94">
      <c r="B1411" s="128">
        <f>B1410+1</f>
        <v/>
      </c>
      <c r="C1411" s="94">
        <f>TEXT(B1411,"aaa")</f>
        <v/>
      </c>
      <c r="D1411" s="94" t="inlineStr">
        <is>
          <t>페이스북/인스타그램</t>
        </is>
      </c>
      <c r="E1411" s="94" t="inlineStr">
        <is>
          <t>토너</t>
        </is>
      </c>
      <c r="G1411" s="4" t="n"/>
      <c r="J1411" s="89" t="n">
        <v>1427473</v>
      </c>
    </row>
    <row r="1412" hidden="1" customFormat="1" s="94">
      <c r="B1412" s="128">
        <f>B1411+1</f>
        <v/>
      </c>
      <c r="C1412" s="94">
        <f>TEXT(B1412,"aaa")</f>
        <v/>
      </c>
      <c r="D1412" s="94" t="inlineStr">
        <is>
          <t>페이스북/인스타그램</t>
        </is>
      </c>
      <c r="E1412" s="94" t="inlineStr">
        <is>
          <t>토너</t>
        </is>
      </c>
      <c r="G1412" s="4" t="n"/>
      <c r="J1412" s="89" t="n">
        <v>1081225</v>
      </c>
    </row>
    <row r="1413" hidden="1" customFormat="1" s="94">
      <c r="B1413" s="128">
        <f>B1412+1</f>
        <v/>
      </c>
      <c r="C1413" s="94">
        <f>TEXT(B1413,"aaa")</f>
        <v/>
      </c>
      <c r="D1413" s="94" t="inlineStr">
        <is>
          <t>페이스북/인스타그램</t>
        </is>
      </c>
      <c r="E1413" s="94" t="inlineStr">
        <is>
          <t>토너</t>
        </is>
      </c>
      <c r="G1413" s="4" t="n"/>
      <c r="J1413" s="89" t="n">
        <v>959003</v>
      </c>
    </row>
    <row r="1414" hidden="1" customFormat="1" s="94">
      <c r="B1414" s="128">
        <f>B1413+1</f>
        <v/>
      </c>
      <c r="C1414" s="94">
        <f>TEXT(B1414,"aaa")</f>
        <v/>
      </c>
      <c r="D1414" s="94" t="inlineStr">
        <is>
          <t>페이스북/인스타그램</t>
        </is>
      </c>
      <c r="E1414" s="94" t="inlineStr">
        <is>
          <t>토너</t>
        </is>
      </c>
      <c r="G1414" s="4" t="n"/>
      <c r="J1414" s="89" t="n">
        <v>982497</v>
      </c>
    </row>
    <row r="1415" hidden="1" customFormat="1" s="94">
      <c r="B1415" s="128">
        <f>B1414+1</f>
        <v/>
      </c>
      <c r="C1415" s="94">
        <f>TEXT(B1415,"aaa")</f>
        <v/>
      </c>
      <c r="D1415" s="94" t="inlineStr">
        <is>
          <t>페이스북/인스타그램</t>
        </is>
      </c>
      <c r="E1415" s="94" t="inlineStr">
        <is>
          <t>토너</t>
        </is>
      </c>
      <c r="G1415" s="4" t="n"/>
      <c r="J1415" s="89" t="n">
        <v>1143378</v>
      </c>
    </row>
    <row r="1416" hidden="1" customFormat="1" s="94">
      <c r="B1416" s="128">
        <f>B1415+1</f>
        <v/>
      </c>
      <c r="C1416" s="94">
        <f>TEXT(B1416,"aaa")</f>
        <v/>
      </c>
      <c r="D1416" s="94" t="inlineStr">
        <is>
          <t>페이스북/인스타그램</t>
        </is>
      </c>
      <c r="E1416" s="94" t="inlineStr">
        <is>
          <t>토너</t>
        </is>
      </c>
      <c r="G1416" s="4" t="n"/>
      <c r="J1416" s="89" t="n">
        <v>1647564</v>
      </c>
    </row>
    <row r="1417" hidden="1" customFormat="1" s="94">
      <c r="B1417" s="128">
        <f>B1416+1</f>
        <v/>
      </c>
      <c r="C1417" s="94">
        <f>TEXT(B1417,"aaa")</f>
        <v/>
      </c>
      <c r="D1417" s="94" t="inlineStr">
        <is>
          <t>페이스북/인스타그램</t>
        </is>
      </c>
      <c r="E1417" s="94" t="inlineStr">
        <is>
          <t>토너</t>
        </is>
      </c>
      <c r="G1417" s="4" t="n"/>
      <c r="J1417" s="89" t="n">
        <v>1773703</v>
      </c>
    </row>
    <row r="1418" hidden="1" customFormat="1" s="94">
      <c r="B1418" s="128">
        <f>B1417+1</f>
        <v/>
      </c>
      <c r="C1418" s="94">
        <f>TEXT(B1418,"aaa")</f>
        <v/>
      </c>
      <c r="D1418" s="94" t="inlineStr">
        <is>
          <t>페이스북/인스타그램</t>
        </is>
      </c>
      <c r="E1418" s="94" t="inlineStr">
        <is>
          <t>토너</t>
        </is>
      </c>
      <c r="G1418" s="4" t="n"/>
      <c r="J1418" s="89" t="n">
        <v>1834312</v>
      </c>
    </row>
    <row r="1419" hidden="1" customFormat="1" s="94">
      <c r="B1419" s="128">
        <f>B1418+1</f>
        <v/>
      </c>
      <c r="C1419" s="94">
        <f>TEXT(B1419,"aaa")</f>
        <v/>
      </c>
      <c r="D1419" s="94" t="inlineStr">
        <is>
          <t>페이스북/인스타그램</t>
        </is>
      </c>
      <c r="E1419" s="94" t="inlineStr">
        <is>
          <t>토너</t>
        </is>
      </c>
      <c r="G1419" s="4" t="n"/>
      <c r="J1419" s="89" t="n">
        <v>1793861</v>
      </c>
    </row>
    <row r="1420" hidden="1" customFormat="1" s="94">
      <c r="B1420" s="128">
        <f>B1419+1</f>
        <v/>
      </c>
      <c r="C1420" s="94">
        <f>TEXT(B1420,"aaa")</f>
        <v/>
      </c>
      <c r="D1420" s="94" t="inlineStr">
        <is>
          <t>페이스북/인스타그램</t>
        </is>
      </c>
      <c r="E1420" s="94" t="inlineStr">
        <is>
          <t>토너</t>
        </is>
      </c>
      <c r="G1420" s="4" t="n"/>
      <c r="J1420" s="89" t="n">
        <v>1820383</v>
      </c>
    </row>
    <row r="1421" hidden="1" customFormat="1" s="94">
      <c r="B1421" s="128">
        <f>B1420+1</f>
        <v/>
      </c>
      <c r="C1421" s="94">
        <f>TEXT(B1421,"aaa")</f>
        <v/>
      </c>
      <c r="D1421" s="94" t="inlineStr">
        <is>
          <t>페이스북/인스타그램</t>
        </is>
      </c>
      <c r="E1421" s="94" t="inlineStr">
        <is>
          <t>토너</t>
        </is>
      </c>
      <c r="G1421" s="4" t="n"/>
      <c r="J1421" s="89" t="n">
        <v>1734431</v>
      </c>
    </row>
    <row r="1422" hidden="1" customFormat="1" s="94">
      <c r="B1422" s="128">
        <f>B1421+1</f>
        <v/>
      </c>
      <c r="C1422" s="94">
        <f>TEXT(B1422,"aaa")</f>
        <v/>
      </c>
      <c r="D1422" s="94" t="inlineStr">
        <is>
          <t>페이스북/인스타그램</t>
        </is>
      </c>
      <c r="E1422" s="94" t="inlineStr">
        <is>
          <t>토너</t>
        </is>
      </c>
      <c r="G1422" s="4" t="n"/>
      <c r="J1422" s="89" t="n">
        <v>1534702</v>
      </c>
    </row>
    <row r="1423" hidden="1" customFormat="1" s="94">
      <c r="B1423" s="128">
        <f>B1422+1</f>
        <v/>
      </c>
      <c r="C1423" s="94">
        <f>TEXT(B1423,"aaa")</f>
        <v/>
      </c>
      <c r="D1423" s="94" t="inlineStr">
        <is>
          <t>페이스북/인스타그램</t>
        </is>
      </c>
      <c r="E1423" s="94" t="inlineStr">
        <is>
          <t>토너</t>
        </is>
      </c>
      <c r="G1423" s="4" t="n"/>
      <c r="J1423" s="89" t="n">
        <v>1163561</v>
      </c>
    </row>
    <row r="1424" hidden="1" customFormat="1" s="94">
      <c r="B1424" s="128">
        <f>B1423+1</f>
        <v/>
      </c>
      <c r="C1424" s="94">
        <f>TEXT(B1424,"aaa")</f>
        <v/>
      </c>
      <c r="D1424" s="94" t="inlineStr">
        <is>
          <t>페이스북/인스타그램</t>
        </is>
      </c>
      <c r="E1424" s="94" t="inlineStr">
        <is>
          <t>토너</t>
        </is>
      </c>
      <c r="G1424" s="4" t="n"/>
      <c r="J1424" s="89" t="n">
        <v>943347</v>
      </c>
    </row>
    <row r="1425" hidden="1" customFormat="1" s="94">
      <c r="B1425" s="128">
        <f>B1424+1</f>
        <v/>
      </c>
      <c r="C1425" s="94">
        <f>TEXT(B1425,"aaa")</f>
        <v/>
      </c>
      <c r="D1425" s="94" t="inlineStr">
        <is>
          <t>페이스북/인스타그램</t>
        </is>
      </c>
      <c r="E1425" s="94" t="inlineStr">
        <is>
          <t>토너</t>
        </is>
      </c>
      <c r="G1425" s="4" t="n"/>
      <c r="J1425" s="89" t="n">
        <v>922300</v>
      </c>
    </row>
    <row r="1426" hidden="1" customFormat="1" s="94">
      <c r="B1426" s="128">
        <f>B1425+1</f>
        <v/>
      </c>
      <c r="C1426" s="94">
        <f>TEXT(B1426,"aaa")</f>
        <v/>
      </c>
      <c r="D1426" s="94" t="inlineStr">
        <is>
          <t>페이스북/인스타그램</t>
        </is>
      </c>
      <c r="E1426" s="94" t="inlineStr">
        <is>
          <t>토너</t>
        </is>
      </c>
      <c r="G1426" s="4" t="n"/>
      <c r="J1426" s="89" t="n">
        <v>914938</v>
      </c>
    </row>
    <row r="1427" hidden="1" customFormat="1" s="94">
      <c r="B1427" s="128">
        <f>B1426+1</f>
        <v/>
      </c>
      <c r="C1427" s="94">
        <f>TEXT(B1427,"aaa")</f>
        <v/>
      </c>
      <c r="D1427" s="94" t="inlineStr">
        <is>
          <t>페이스북/인스타그램</t>
        </is>
      </c>
      <c r="E1427" s="94" t="inlineStr">
        <is>
          <t>토너</t>
        </is>
      </c>
      <c r="G1427" s="4" t="n"/>
      <c r="J1427" s="89" t="n">
        <v>986710</v>
      </c>
    </row>
    <row r="1428" hidden="1" customFormat="1" s="94">
      <c r="B1428" s="128">
        <f>B1427+1</f>
        <v/>
      </c>
      <c r="C1428" s="94">
        <f>TEXT(B1428,"aaa")</f>
        <v/>
      </c>
      <c r="D1428" s="94" t="inlineStr">
        <is>
          <t>페이스북/인스타그램</t>
        </is>
      </c>
      <c r="E1428" s="94" t="inlineStr">
        <is>
          <t>토너</t>
        </is>
      </c>
      <c r="G1428" s="4" t="n"/>
      <c r="J1428" s="89" t="n">
        <v>932160</v>
      </c>
    </row>
    <row r="1429" hidden="1" customFormat="1" s="94">
      <c r="B1429" s="128">
        <f>B1428+1</f>
        <v/>
      </c>
      <c r="C1429" s="94">
        <f>TEXT(B1429,"aaa")</f>
        <v/>
      </c>
      <c r="D1429" s="94" t="inlineStr">
        <is>
          <t>페이스북/인스타그램</t>
        </is>
      </c>
      <c r="E1429" s="94" t="inlineStr">
        <is>
          <t>토너</t>
        </is>
      </c>
      <c r="G1429" s="4" t="n"/>
      <c r="J1429" s="89" t="n">
        <v>914415</v>
      </c>
    </row>
    <row r="1430" hidden="1" customFormat="1" s="94">
      <c r="B1430" s="128">
        <f>B1429+1</f>
        <v/>
      </c>
      <c r="C1430" s="94">
        <f>TEXT(B1430,"aaa")</f>
        <v/>
      </c>
      <c r="D1430" s="94" t="inlineStr">
        <is>
          <t>페이스북/인스타그램</t>
        </is>
      </c>
      <c r="E1430" s="94" t="inlineStr">
        <is>
          <t>토너</t>
        </is>
      </c>
      <c r="G1430" s="4" t="n"/>
      <c r="J1430" s="89" t="n">
        <v>1036184</v>
      </c>
    </row>
    <row r="1431" hidden="1" customFormat="1" s="94">
      <c r="B1431" s="128">
        <f>B1430+1</f>
        <v/>
      </c>
      <c r="C1431" s="94">
        <f>TEXT(B1431,"aaa")</f>
        <v/>
      </c>
      <c r="D1431" s="94" t="inlineStr">
        <is>
          <t>페이스북/인스타그램</t>
        </is>
      </c>
      <c r="E1431" s="94" t="inlineStr">
        <is>
          <t>토너</t>
        </is>
      </c>
      <c r="G1431" s="4" t="n"/>
      <c r="J1431" s="89" t="n">
        <v>1397067</v>
      </c>
    </row>
    <row r="1432" hidden="1" customFormat="1" s="94">
      <c r="B1432" s="128">
        <f>B1431+1</f>
        <v/>
      </c>
      <c r="C1432" s="94">
        <f>TEXT(B1432,"aaa")</f>
        <v/>
      </c>
      <c r="D1432" s="94" t="inlineStr">
        <is>
          <t>페이스북/인스타그램</t>
        </is>
      </c>
      <c r="E1432" s="94" t="inlineStr">
        <is>
          <t>토너</t>
        </is>
      </c>
      <c r="G1432" s="4" t="n"/>
      <c r="J1432" s="89" t="n">
        <v>1270208</v>
      </c>
    </row>
    <row r="1433" hidden="1" customFormat="1" s="94">
      <c r="B1433" s="128">
        <f>B1432+1</f>
        <v/>
      </c>
      <c r="C1433" s="94">
        <f>TEXT(B1433,"aaa")</f>
        <v/>
      </c>
      <c r="D1433" s="94" t="inlineStr">
        <is>
          <t>페이스북/인스타그램</t>
        </is>
      </c>
      <c r="E1433" s="94" t="inlineStr">
        <is>
          <t>토너</t>
        </is>
      </c>
      <c r="G1433" s="4" t="n"/>
      <c r="J1433" s="89" t="n">
        <v>1138471</v>
      </c>
    </row>
    <row r="1434" hidden="1" customFormat="1" s="94">
      <c r="B1434" s="128">
        <f>B1433+1</f>
        <v/>
      </c>
      <c r="C1434" s="94">
        <f>TEXT(B1434,"aaa")</f>
        <v/>
      </c>
      <c r="D1434" s="94" t="inlineStr">
        <is>
          <t>페이스북/인스타그램</t>
        </is>
      </c>
      <c r="E1434" s="94" t="inlineStr">
        <is>
          <t>토너</t>
        </is>
      </c>
      <c r="G1434" s="4" t="n"/>
      <c r="J1434" s="89" t="n">
        <v>1189427</v>
      </c>
    </row>
    <row r="1435" hidden="1" customFormat="1" s="94">
      <c r="B1435" s="128">
        <f>B1434+1</f>
        <v/>
      </c>
      <c r="C1435" s="94">
        <f>TEXT(B1435,"aaa")</f>
        <v/>
      </c>
      <c r="D1435" s="94" t="inlineStr">
        <is>
          <t>페이스북/인스타그램</t>
        </is>
      </c>
      <c r="E1435" s="94" t="inlineStr">
        <is>
          <t>토너</t>
        </is>
      </c>
      <c r="G1435" s="4" t="n"/>
      <c r="J1435" s="89" t="n">
        <v>1132767</v>
      </c>
    </row>
    <row r="1436" customFormat="1" s="94">
      <c r="B1436" s="128" t="n">
        <v>43952</v>
      </c>
      <c r="C1436" s="94">
        <f>TEXT(B1436,"aaa")</f>
        <v/>
      </c>
      <c r="D1436" s="94" t="inlineStr">
        <is>
          <t>카카오광고</t>
        </is>
      </c>
      <c r="E1436" s="94" t="inlineStr">
        <is>
          <t>토너</t>
        </is>
      </c>
      <c r="G1436" s="4" t="n"/>
      <c r="J1436" s="127" t="n">
        <v>11830</v>
      </c>
    </row>
    <row r="1437" customFormat="1" s="94">
      <c r="B1437" s="128">
        <f>B1436+1</f>
        <v/>
      </c>
      <c r="C1437" s="94">
        <f>TEXT(B1437,"aaa")</f>
        <v/>
      </c>
      <c r="D1437" s="94" t="inlineStr">
        <is>
          <t>카카오광고</t>
        </is>
      </c>
      <c r="E1437" s="94" t="inlineStr">
        <is>
          <t>토너</t>
        </is>
      </c>
      <c r="G1437" s="4" t="n"/>
      <c r="J1437" s="127" t="n">
        <v>13430</v>
      </c>
    </row>
    <row r="1438" customFormat="1" s="94">
      <c r="B1438" s="128">
        <f>B1437+1</f>
        <v/>
      </c>
      <c r="C1438" s="94">
        <f>TEXT(B1438,"aaa")</f>
        <v/>
      </c>
      <c r="D1438" s="94" t="inlineStr">
        <is>
          <t>카카오광고</t>
        </is>
      </c>
      <c r="E1438" s="94" t="inlineStr">
        <is>
          <t>토너</t>
        </is>
      </c>
      <c r="G1438" s="4" t="n"/>
      <c r="J1438" s="127" t="n">
        <v>6699.999999999999</v>
      </c>
    </row>
    <row r="1439" customFormat="1" s="94">
      <c r="B1439" s="128">
        <f>B1438+1</f>
        <v/>
      </c>
      <c r="C1439" s="94">
        <f>TEXT(B1439,"aaa")</f>
        <v/>
      </c>
      <c r="D1439" s="94" t="inlineStr">
        <is>
          <t>카카오광고</t>
        </is>
      </c>
      <c r="E1439" s="94" t="inlineStr">
        <is>
          <t>토너</t>
        </is>
      </c>
      <c r="G1439" s="4" t="n"/>
      <c r="J1439" s="127" t="n">
        <v>9590</v>
      </c>
    </row>
    <row r="1440" customFormat="1" s="94">
      <c r="B1440" s="128">
        <f>B1439+1</f>
        <v/>
      </c>
      <c r="C1440" s="94">
        <f>TEXT(B1440,"aaa")</f>
        <v/>
      </c>
      <c r="D1440" s="94" t="inlineStr">
        <is>
          <t>카카오광고</t>
        </is>
      </c>
      <c r="E1440" s="94" t="inlineStr">
        <is>
          <t>토너</t>
        </is>
      </c>
      <c r="G1440" s="4" t="n"/>
      <c r="J1440" s="127" t="n">
        <v>9880</v>
      </c>
    </row>
    <row r="1441" customFormat="1" s="94">
      <c r="B1441" s="128">
        <f>B1440+1</f>
        <v/>
      </c>
      <c r="C1441" s="94">
        <f>TEXT(B1441,"aaa")</f>
        <v/>
      </c>
      <c r="D1441" s="94" t="inlineStr">
        <is>
          <t>카카오광고</t>
        </is>
      </c>
      <c r="E1441" s="94" t="inlineStr">
        <is>
          <t>토너</t>
        </is>
      </c>
      <c r="G1441" s="4" t="n"/>
      <c r="J1441" s="127" t="n">
        <v>9430</v>
      </c>
    </row>
    <row r="1442" customFormat="1" s="94">
      <c r="B1442" s="128">
        <f>B1441+1</f>
        <v/>
      </c>
      <c r="C1442" s="94">
        <f>TEXT(B1442,"aaa")</f>
        <v/>
      </c>
      <c r="D1442" s="94" t="inlineStr">
        <is>
          <t>카카오광고</t>
        </is>
      </c>
      <c r="E1442" s="94" t="inlineStr">
        <is>
          <t>토너</t>
        </is>
      </c>
      <c r="G1442" s="4" t="n"/>
      <c r="J1442" s="127" t="n">
        <v>7049.999999999999</v>
      </c>
    </row>
    <row r="1443" customFormat="1" s="94">
      <c r="B1443" s="128">
        <f>B1442+1</f>
        <v/>
      </c>
      <c r="C1443" s="94">
        <f>TEXT(B1443,"aaa")</f>
        <v/>
      </c>
      <c r="D1443" s="94" t="inlineStr">
        <is>
          <t>카카오광고</t>
        </is>
      </c>
      <c r="E1443" s="94" t="inlineStr">
        <is>
          <t>토너</t>
        </is>
      </c>
      <c r="G1443" s="4" t="n"/>
      <c r="J1443" s="127" t="n">
        <v>10380</v>
      </c>
    </row>
    <row r="1444" customFormat="1" s="94">
      <c r="B1444" s="128">
        <f>B1443+1</f>
        <v/>
      </c>
      <c r="C1444" s="94">
        <f>TEXT(B1444,"aaa")</f>
        <v/>
      </c>
      <c r="D1444" s="94" t="inlineStr">
        <is>
          <t>카카오광고</t>
        </is>
      </c>
      <c r="E1444" s="94" t="inlineStr">
        <is>
          <t>토너</t>
        </is>
      </c>
      <c r="G1444" s="4" t="n"/>
      <c r="J1444" s="127" t="n">
        <v>7949.999999999999</v>
      </c>
    </row>
    <row r="1445" customFormat="1" s="94">
      <c r="B1445" s="128">
        <f>B1444+1</f>
        <v/>
      </c>
      <c r="C1445" s="94">
        <f>TEXT(B1445,"aaa")</f>
        <v/>
      </c>
      <c r="D1445" s="94" t="inlineStr">
        <is>
          <t>카카오광고</t>
        </is>
      </c>
      <c r="E1445" s="94" t="inlineStr">
        <is>
          <t>토너</t>
        </is>
      </c>
      <c r="G1445" s="4" t="n"/>
      <c r="J1445" s="127" t="n">
        <v>15550</v>
      </c>
    </row>
    <row r="1446" customFormat="1" s="94">
      <c r="B1446" s="128">
        <f>B1445+1</f>
        <v/>
      </c>
      <c r="C1446" s="94">
        <f>TEXT(B1446,"aaa")</f>
        <v/>
      </c>
      <c r="D1446" s="94" t="inlineStr">
        <is>
          <t>카카오광고</t>
        </is>
      </c>
      <c r="E1446" s="94" t="inlineStr">
        <is>
          <t>토너</t>
        </is>
      </c>
      <c r="G1446" s="4" t="n"/>
      <c r="J1446" s="127" t="n">
        <v>14370</v>
      </c>
    </row>
    <row r="1447" customFormat="1" s="94">
      <c r="B1447" s="128">
        <f>B1446+1</f>
        <v/>
      </c>
      <c r="C1447" s="94">
        <f>TEXT(B1447,"aaa")</f>
        <v/>
      </c>
      <c r="D1447" s="94" t="inlineStr">
        <is>
          <t>카카오광고</t>
        </is>
      </c>
      <c r="E1447" s="94" t="inlineStr">
        <is>
          <t>토너</t>
        </is>
      </c>
      <c r="G1447" s="4" t="n"/>
      <c r="J1447" s="127" t="n">
        <v>12550</v>
      </c>
    </row>
    <row r="1448" customFormat="1" s="94">
      <c r="B1448" s="128">
        <f>B1447+1</f>
        <v/>
      </c>
      <c r="C1448" s="94">
        <f>TEXT(B1448,"aaa")</f>
        <v/>
      </c>
      <c r="D1448" s="94" t="inlineStr">
        <is>
          <t>카카오광고</t>
        </is>
      </c>
      <c r="E1448" s="94" t="inlineStr">
        <is>
          <t>토너</t>
        </is>
      </c>
      <c r="G1448" s="4" t="n"/>
      <c r="J1448" s="127" t="n">
        <v>11960</v>
      </c>
    </row>
    <row r="1449" customFormat="1" s="94">
      <c r="B1449" s="128">
        <f>B1448+1</f>
        <v/>
      </c>
      <c r="C1449" s="94">
        <f>TEXT(B1449,"aaa")</f>
        <v/>
      </c>
      <c r="D1449" s="94" t="inlineStr">
        <is>
          <t>카카오광고</t>
        </is>
      </c>
      <c r="E1449" s="94" t="inlineStr">
        <is>
          <t>토너</t>
        </is>
      </c>
      <c r="G1449" s="4" t="n"/>
      <c r="J1449" s="127" t="n">
        <v>14380</v>
      </c>
    </row>
    <row r="1450" customFormat="1" s="94">
      <c r="B1450" s="128">
        <f>B1449+1</f>
        <v/>
      </c>
      <c r="C1450" s="94">
        <f>TEXT(B1450,"aaa")</f>
        <v/>
      </c>
      <c r="D1450" s="94" t="inlineStr">
        <is>
          <t>카카오광고</t>
        </is>
      </c>
      <c r="E1450" s="94" t="inlineStr">
        <is>
          <t>토너</t>
        </is>
      </c>
      <c r="G1450" s="4" t="n"/>
      <c r="J1450" s="127" t="n">
        <v>14610</v>
      </c>
    </row>
    <row r="1451" customFormat="1" s="94">
      <c r="B1451" s="128">
        <f>B1450+1</f>
        <v/>
      </c>
      <c r="C1451" s="94">
        <f>TEXT(B1451,"aaa")</f>
        <v/>
      </c>
      <c r="D1451" s="94" t="inlineStr">
        <is>
          <t>카카오광고</t>
        </is>
      </c>
      <c r="E1451" s="94" t="inlineStr">
        <is>
          <t>토너</t>
        </is>
      </c>
      <c r="G1451" s="4" t="n"/>
      <c r="J1451" s="127" t="n">
        <v>10080</v>
      </c>
    </row>
    <row r="1452" customFormat="1" s="94">
      <c r="B1452" s="128">
        <f>B1451+1</f>
        <v/>
      </c>
      <c r="C1452" s="94">
        <f>TEXT(B1452,"aaa")</f>
        <v/>
      </c>
      <c r="D1452" s="94" t="inlineStr">
        <is>
          <t>카카오광고</t>
        </is>
      </c>
      <c r="E1452" s="94" t="inlineStr">
        <is>
          <t>토너</t>
        </is>
      </c>
      <c r="G1452" s="4" t="n"/>
      <c r="J1452" s="127" t="n">
        <v>10790</v>
      </c>
    </row>
    <row r="1453" customFormat="1" s="94">
      <c r="B1453" s="128">
        <f>B1452+1</f>
        <v/>
      </c>
      <c r="C1453" s="94">
        <f>TEXT(B1453,"aaa")</f>
        <v/>
      </c>
      <c r="D1453" s="94" t="inlineStr">
        <is>
          <t>카카오광고</t>
        </is>
      </c>
      <c r="E1453" s="94" t="inlineStr">
        <is>
          <t>토너</t>
        </is>
      </c>
      <c r="G1453" s="4" t="n"/>
      <c r="J1453" s="127" t="n">
        <v>8680</v>
      </c>
    </row>
    <row r="1454" customFormat="1" s="94">
      <c r="B1454" s="128">
        <f>B1453+1</f>
        <v/>
      </c>
      <c r="C1454" s="94">
        <f>TEXT(B1454,"aaa")</f>
        <v/>
      </c>
      <c r="D1454" s="94" t="inlineStr">
        <is>
          <t>카카오광고</t>
        </is>
      </c>
      <c r="E1454" s="94" t="inlineStr">
        <is>
          <t>토너</t>
        </is>
      </c>
      <c r="G1454" s="4" t="n"/>
      <c r="J1454" s="127" t="n">
        <v>9740</v>
      </c>
    </row>
    <row r="1455" customFormat="1" s="94">
      <c r="B1455" s="128">
        <f>B1454+1</f>
        <v/>
      </c>
      <c r="C1455" s="94">
        <f>TEXT(B1455,"aaa")</f>
        <v/>
      </c>
      <c r="D1455" s="94" t="inlineStr">
        <is>
          <t>카카오광고</t>
        </is>
      </c>
      <c r="E1455" s="94" t="inlineStr">
        <is>
          <t>토너</t>
        </is>
      </c>
      <c r="G1455" s="4" t="n"/>
      <c r="J1455" s="127" t="n">
        <v>11780</v>
      </c>
    </row>
    <row r="1456" customFormat="1" s="94">
      <c r="B1456" s="128">
        <f>B1455+1</f>
        <v/>
      </c>
      <c r="C1456" s="94">
        <f>TEXT(B1456,"aaa")</f>
        <v/>
      </c>
      <c r="D1456" s="94" t="inlineStr">
        <is>
          <t>카카오광고</t>
        </is>
      </c>
      <c r="E1456" s="94" t="inlineStr">
        <is>
          <t>토너</t>
        </is>
      </c>
      <c r="G1456" s="4" t="n"/>
      <c r="J1456" s="127" t="n">
        <v>8260</v>
      </c>
    </row>
    <row r="1457" customFormat="1" s="94">
      <c r="B1457" s="128">
        <f>B1456+1</f>
        <v/>
      </c>
      <c r="C1457" s="94">
        <f>TEXT(B1457,"aaa")</f>
        <v/>
      </c>
      <c r="D1457" s="94" t="inlineStr">
        <is>
          <t>카카오광고</t>
        </is>
      </c>
      <c r="E1457" s="94" t="inlineStr">
        <is>
          <t>토너</t>
        </is>
      </c>
      <c r="G1457" s="4" t="n"/>
      <c r="J1457" s="127" t="n">
        <v>11410</v>
      </c>
    </row>
    <row r="1458" customFormat="1" s="94">
      <c r="B1458" s="128">
        <f>B1457+1</f>
        <v/>
      </c>
      <c r="C1458" s="94">
        <f>TEXT(B1458,"aaa")</f>
        <v/>
      </c>
      <c r="D1458" s="94" t="inlineStr">
        <is>
          <t>카카오광고</t>
        </is>
      </c>
      <c r="E1458" s="94" t="inlineStr">
        <is>
          <t>토너</t>
        </is>
      </c>
      <c r="G1458" s="4" t="n"/>
      <c r="J1458" s="127" t="n">
        <v>11060</v>
      </c>
    </row>
    <row r="1459" customFormat="1" s="94">
      <c r="B1459" s="128">
        <f>B1458+1</f>
        <v/>
      </c>
      <c r="C1459" s="94">
        <f>TEXT(B1459,"aaa")</f>
        <v/>
      </c>
      <c r="D1459" s="94" t="inlineStr">
        <is>
          <t>카카오광고</t>
        </is>
      </c>
      <c r="E1459" s="94" t="inlineStr">
        <is>
          <t>토너</t>
        </is>
      </c>
      <c r="G1459" s="4" t="n"/>
      <c r="J1459" s="127" t="n">
        <v>12050</v>
      </c>
    </row>
    <row r="1460" customFormat="1" s="94">
      <c r="B1460" s="128">
        <f>B1459+1</f>
        <v/>
      </c>
      <c r="C1460" s="94">
        <f>TEXT(B1460,"aaa")</f>
        <v/>
      </c>
      <c r="D1460" s="94" t="inlineStr">
        <is>
          <t>카카오광고</t>
        </is>
      </c>
      <c r="E1460" s="94" t="inlineStr">
        <is>
          <t>토너</t>
        </is>
      </c>
      <c r="G1460" s="4" t="n"/>
      <c r="J1460" s="127" t="n">
        <v>14110</v>
      </c>
    </row>
    <row r="1461" customFormat="1" s="94">
      <c r="B1461" s="128">
        <f>B1460+1</f>
        <v/>
      </c>
      <c r="C1461" s="94">
        <f>TEXT(B1461,"aaa")</f>
        <v/>
      </c>
      <c r="D1461" s="94" t="inlineStr">
        <is>
          <t>카카오광고</t>
        </is>
      </c>
      <c r="E1461" s="94" t="inlineStr">
        <is>
          <t>토너</t>
        </is>
      </c>
      <c r="G1461" s="4" t="n"/>
      <c r="J1461" s="127" t="n">
        <v>11310</v>
      </c>
    </row>
    <row r="1462" customFormat="1" s="94">
      <c r="B1462" s="128">
        <f>B1461+1</f>
        <v/>
      </c>
      <c r="C1462" s="94">
        <f>TEXT(B1462,"aaa")</f>
        <v/>
      </c>
      <c r="D1462" s="94" t="inlineStr">
        <is>
          <t>카카오광고</t>
        </is>
      </c>
      <c r="E1462" s="94" t="inlineStr">
        <is>
          <t>토너</t>
        </is>
      </c>
      <c r="G1462" s="4" t="n"/>
      <c r="J1462" s="127" t="n">
        <v>10900</v>
      </c>
    </row>
    <row r="1463" customFormat="1" s="94">
      <c r="B1463" s="128">
        <f>B1462+1</f>
        <v/>
      </c>
      <c r="C1463" s="94">
        <f>TEXT(B1463,"aaa")</f>
        <v/>
      </c>
      <c r="D1463" s="94" t="inlineStr">
        <is>
          <t>카카오광고</t>
        </is>
      </c>
      <c r="E1463" s="94" t="inlineStr">
        <is>
          <t>토너</t>
        </is>
      </c>
      <c r="G1463" s="4" t="n"/>
      <c r="J1463" s="127" t="n">
        <v>10830</v>
      </c>
    </row>
    <row r="1464" customFormat="1" s="94">
      <c r="B1464" s="128">
        <f>B1463+1</f>
        <v/>
      </c>
      <c r="C1464" s="94">
        <f>TEXT(B1464,"aaa")</f>
        <v/>
      </c>
      <c r="D1464" s="94" t="inlineStr">
        <is>
          <t>카카오광고</t>
        </is>
      </c>
      <c r="E1464" s="94" t="inlineStr">
        <is>
          <t>토너</t>
        </is>
      </c>
      <c r="G1464" s="4" t="n"/>
      <c r="J1464" s="127" t="n">
        <v>11860</v>
      </c>
    </row>
    <row r="1465" customFormat="1" s="94">
      <c r="B1465" s="128">
        <f>B1464+1</f>
        <v/>
      </c>
      <c r="C1465" s="94">
        <f>TEXT(B1465,"aaa")</f>
        <v/>
      </c>
      <c r="D1465" s="94" t="inlineStr">
        <is>
          <t>카카오광고</t>
        </is>
      </c>
      <c r="E1465" s="94" t="inlineStr">
        <is>
          <t>토너</t>
        </is>
      </c>
      <c r="G1465" s="4" t="n"/>
      <c r="J1465" s="127" t="n">
        <v>10440</v>
      </c>
    </row>
    <row r="1466" customFormat="1" s="94">
      <c r="B1466" s="128">
        <f>B1465+1</f>
        <v/>
      </c>
      <c r="C1466" s="94">
        <f>TEXT(B1466,"aaa")</f>
        <v/>
      </c>
      <c r="D1466" s="94" t="inlineStr">
        <is>
          <t>카카오광고</t>
        </is>
      </c>
      <c r="E1466" s="94" t="inlineStr">
        <is>
          <t>토너</t>
        </is>
      </c>
      <c r="G1466" s="4" t="n"/>
      <c r="J1466" s="127" t="n">
        <v>13900</v>
      </c>
    </row>
    <row r="1467" hidden="1" customFormat="1" s="94">
      <c r="B1467" s="128" t="n">
        <v>43955</v>
      </c>
      <c r="C1467" s="94">
        <f>TEXT(B1467,"aaa")</f>
        <v/>
      </c>
      <c r="D1467" s="94" t="inlineStr">
        <is>
          <t>네이버 GFA</t>
        </is>
      </c>
      <c r="E1467" s="94" t="inlineStr">
        <is>
          <t>토너</t>
        </is>
      </c>
      <c r="G1467" s="4" t="n"/>
      <c r="J1467" s="89" t="n">
        <v>256125.4545454545</v>
      </c>
    </row>
    <row r="1468" hidden="1" customFormat="1" s="94">
      <c r="B1468" s="128" t="n">
        <v>43957</v>
      </c>
      <c r="C1468" s="94">
        <f>TEXT(B1468,"aaa")</f>
        <v/>
      </c>
      <c r="D1468" s="94" t="inlineStr">
        <is>
          <t>네이버 GFA</t>
        </is>
      </c>
      <c r="E1468" s="94" t="inlineStr">
        <is>
          <t>토너</t>
        </is>
      </c>
      <c r="G1468" s="4" t="n"/>
      <c r="J1468" s="89" t="n">
        <v>113381.8181818182</v>
      </c>
    </row>
    <row r="1469" hidden="1" customFormat="1" s="94">
      <c r="B1469" s="128" t="n">
        <v>43958</v>
      </c>
      <c r="C1469" s="94">
        <f>TEXT(B1469,"aaa")</f>
        <v/>
      </c>
      <c r="D1469" s="94" t="inlineStr">
        <is>
          <t>네이버 GFA</t>
        </is>
      </c>
      <c r="E1469" s="94" t="inlineStr">
        <is>
          <t>토너</t>
        </is>
      </c>
      <c r="G1469" s="4" t="n"/>
      <c r="J1469" s="89" t="n">
        <v>161790</v>
      </c>
    </row>
    <row r="1470" hidden="1" customFormat="1" s="94">
      <c r="B1470" s="128" t="n">
        <v>43959</v>
      </c>
      <c r="C1470" s="94">
        <f>TEXT(B1470,"aaa")</f>
        <v/>
      </c>
      <c r="D1470" s="94" t="inlineStr">
        <is>
          <t>네이버 GFA</t>
        </is>
      </c>
      <c r="E1470" s="94" t="inlineStr">
        <is>
          <t>토너</t>
        </is>
      </c>
      <c r="G1470" s="4" t="n"/>
      <c r="J1470" s="89" t="n">
        <v>171693.6363636364</v>
      </c>
    </row>
    <row r="1471" hidden="1" customFormat="1" s="94">
      <c r="B1471" s="128" t="n">
        <v>43960</v>
      </c>
      <c r="C1471" s="94">
        <f>TEXT(B1471,"aaa")</f>
        <v/>
      </c>
      <c r="D1471" s="94" t="inlineStr">
        <is>
          <t>네이버 GFA</t>
        </is>
      </c>
      <c r="E1471" s="94" t="inlineStr">
        <is>
          <t>토너</t>
        </is>
      </c>
      <c r="G1471" s="4" t="n"/>
      <c r="J1471" s="89" t="n">
        <v>180380.9090909091</v>
      </c>
    </row>
    <row r="1472" hidden="1" customFormat="1" s="94">
      <c r="B1472" s="128" t="n">
        <v>43961</v>
      </c>
      <c r="C1472" s="94">
        <f>TEXT(B1472,"aaa")</f>
        <v/>
      </c>
      <c r="D1472" s="94" t="inlineStr">
        <is>
          <t>네이버 GFA</t>
        </is>
      </c>
      <c r="E1472" s="94" t="inlineStr">
        <is>
          <t>토너</t>
        </is>
      </c>
      <c r="G1472" s="4" t="n"/>
      <c r="J1472" s="89" t="n">
        <v>175014.5454545454</v>
      </c>
    </row>
    <row r="1473" hidden="1" customFormat="1" s="94">
      <c r="B1473" s="128" t="n">
        <v>43962</v>
      </c>
      <c r="C1473" s="94">
        <f>TEXT(B1473,"aaa")</f>
        <v/>
      </c>
      <c r="D1473" s="94" t="inlineStr">
        <is>
          <t>네이버 GFA</t>
        </is>
      </c>
      <c r="E1473" s="94" t="inlineStr">
        <is>
          <t>토너</t>
        </is>
      </c>
      <c r="G1473" s="4" t="n"/>
      <c r="J1473" s="89" t="n">
        <v>176703.6363636364</v>
      </c>
    </row>
    <row r="1474" hidden="1" customFormat="1" s="94">
      <c r="B1474" s="128" t="n">
        <v>43963</v>
      </c>
      <c r="C1474" s="94">
        <f>TEXT(B1474,"aaa")</f>
        <v/>
      </c>
      <c r="D1474" s="94" t="inlineStr">
        <is>
          <t>네이버 GFA</t>
        </is>
      </c>
      <c r="E1474" s="94" t="inlineStr">
        <is>
          <t>토너</t>
        </is>
      </c>
      <c r="G1474" s="4" t="n"/>
      <c r="J1474" s="89" t="n">
        <v>176079.0909090909</v>
      </c>
    </row>
    <row r="1475" hidden="1" customFormat="1" s="94">
      <c r="B1475" s="128" t="n">
        <v>43964</v>
      </c>
      <c r="C1475" s="94">
        <f>TEXT(B1475,"aaa")</f>
        <v/>
      </c>
      <c r="D1475" s="94" t="inlineStr">
        <is>
          <t>네이버 GFA</t>
        </is>
      </c>
      <c r="E1475" s="94" t="inlineStr">
        <is>
          <t>토너</t>
        </is>
      </c>
      <c r="G1475" s="4" t="n"/>
      <c r="J1475" s="89" t="n">
        <v>176261.8181818182</v>
      </c>
    </row>
    <row r="1476" hidden="1" customFormat="1" s="94">
      <c r="B1476" s="128" t="n">
        <v>43965</v>
      </c>
      <c r="C1476" s="94">
        <f>TEXT(B1476,"aaa")</f>
        <v/>
      </c>
      <c r="D1476" s="94" t="inlineStr">
        <is>
          <t>네이버 GFA</t>
        </is>
      </c>
      <c r="E1476" s="94" t="inlineStr">
        <is>
          <t>토너</t>
        </is>
      </c>
      <c r="G1476" s="4" t="n"/>
      <c r="J1476" s="89" t="n">
        <v>174419.0909090909</v>
      </c>
    </row>
    <row r="1477" hidden="1" customFormat="1" s="94">
      <c r="B1477" s="128" t="n">
        <v>43966</v>
      </c>
      <c r="C1477" s="94">
        <f>TEXT(B1477,"aaa")</f>
        <v/>
      </c>
      <c r="D1477" s="94" t="inlineStr">
        <is>
          <t>네이버 GFA</t>
        </is>
      </c>
      <c r="E1477" s="94" t="inlineStr">
        <is>
          <t>토너</t>
        </is>
      </c>
      <c r="G1477" s="4" t="n"/>
      <c r="J1477" s="89" t="n">
        <v>174179.0909090909</v>
      </c>
    </row>
    <row r="1478" hidden="1" customFormat="1" s="94">
      <c r="B1478" s="128" t="n">
        <v>43967</v>
      </c>
      <c r="C1478" s="94">
        <f>TEXT(B1478,"aaa")</f>
        <v/>
      </c>
      <c r="D1478" s="94" t="inlineStr">
        <is>
          <t>네이버 GFA</t>
        </is>
      </c>
      <c r="E1478" s="94" t="inlineStr">
        <is>
          <t>토너</t>
        </is>
      </c>
      <c r="G1478" s="4" t="n"/>
      <c r="J1478" s="89" t="n">
        <v>175095.4545454545</v>
      </c>
    </row>
    <row r="1479" hidden="1" customFormat="1" s="94">
      <c r="B1479" s="128" t="n">
        <v>43968</v>
      </c>
      <c r="C1479" s="94">
        <f>TEXT(B1479,"aaa")</f>
        <v/>
      </c>
      <c r="D1479" s="94" t="inlineStr">
        <is>
          <t>네이버 GFA</t>
        </is>
      </c>
      <c r="E1479" s="94" t="inlineStr">
        <is>
          <t>토너</t>
        </is>
      </c>
      <c r="G1479" s="4" t="n"/>
      <c r="J1479" s="89" t="n">
        <v>175893.6363636364</v>
      </c>
    </row>
    <row r="1480" hidden="1" customFormat="1" s="94">
      <c r="B1480" s="128" t="n">
        <v>43969</v>
      </c>
      <c r="C1480" s="94">
        <f>TEXT(B1480,"aaa")</f>
        <v/>
      </c>
      <c r="D1480" s="94" t="inlineStr">
        <is>
          <t>네이버 GFA</t>
        </is>
      </c>
      <c r="E1480" s="94" t="inlineStr">
        <is>
          <t>토너</t>
        </is>
      </c>
      <c r="G1480" s="4" t="n"/>
      <c r="J1480" s="89" t="n">
        <v>173066.3636363636</v>
      </c>
    </row>
    <row r="1481" hidden="1" customFormat="1" s="94">
      <c r="B1481" s="128" t="n">
        <v>43970</v>
      </c>
      <c r="C1481" s="94">
        <f>TEXT(B1481,"aaa")</f>
        <v/>
      </c>
      <c r="D1481" s="94" t="inlineStr">
        <is>
          <t>네이버 GFA</t>
        </is>
      </c>
      <c r="E1481" s="94" t="inlineStr">
        <is>
          <t>토너</t>
        </is>
      </c>
      <c r="G1481" s="4" t="n"/>
      <c r="J1481" s="89" t="n">
        <v>173985.4545454545</v>
      </c>
    </row>
    <row r="1482" hidden="1" customFormat="1" s="94">
      <c r="B1482" s="128" t="n">
        <v>43971</v>
      </c>
      <c r="C1482" s="94">
        <f>TEXT(B1482,"aaa")</f>
        <v/>
      </c>
      <c r="D1482" s="94" t="inlineStr">
        <is>
          <t>네이버 GFA</t>
        </is>
      </c>
      <c r="E1482" s="94" t="inlineStr">
        <is>
          <t>토너</t>
        </is>
      </c>
      <c r="G1482" s="4" t="n"/>
      <c r="J1482" s="89" t="n">
        <v>170103.6363636364</v>
      </c>
    </row>
    <row r="1483" hidden="1" customFormat="1" s="94">
      <c r="B1483" s="128" t="n">
        <v>43972</v>
      </c>
      <c r="C1483" s="94">
        <f>TEXT(B1483,"aaa")</f>
        <v/>
      </c>
      <c r="D1483" s="94" t="inlineStr">
        <is>
          <t>네이버 GFA</t>
        </is>
      </c>
      <c r="E1483" s="94" t="inlineStr">
        <is>
          <t>토너</t>
        </is>
      </c>
      <c r="G1483" s="4" t="n"/>
      <c r="J1483" s="89" t="n">
        <v>165450.9090909091</v>
      </c>
    </row>
    <row r="1484" hidden="1" customFormat="1" s="94">
      <c r="B1484" s="128" t="n">
        <v>43973</v>
      </c>
      <c r="C1484" s="94">
        <f>TEXT(B1484,"aaa")</f>
        <v/>
      </c>
      <c r="D1484" s="94" t="inlineStr">
        <is>
          <t>네이버 GFA</t>
        </is>
      </c>
      <c r="E1484" s="94" t="inlineStr">
        <is>
          <t>토너</t>
        </is>
      </c>
      <c r="G1484" s="4" t="n"/>
      <c r="J1484" s="89" t="n">
        <v>165850.9090909091</v>
      </c>
    </row>
    <row r="1485" hidden="1" customFormat="1" s="94">
      <c r="B1485" s="128" t="n">
        <v>43974</v>
      </c>
      <c r="C1485" s="94">
        <f>TEXT(B1485,"aaa")</f>
        <v/>
      </c>
      <c r="D1485" s="94" t="inlineStr">
        <is>
          <t>네이버 GFA</t>
        </is>
      </c>
      <c r="E1485" s="94" t="inlineStr">
        <is>
          <t>토너</t>
        </is>
      </c>
      <c r="G1485" s="4" t="n"/>
      <c r="J1485" s="89" t="n">
        <v>106975.4545454545</v>
      </c>
    </row>
    <row r="1486" hidden="1" customFormat="1" s="94">
      <c r="B1486" s="128" t="n">
        <v>43979</v>
      </c>
      <c r="C1486" s="94">
        <f>TEXT(B1486,"aaa")</f>
        <v/>
      </c>
      <c r="D1486" s="94" t="inlineStr">
        <is>
          <t>네이버 GFA</t>
        </is>
      </c>
      <c r="E1486" s="94" t="inlineStr">
        <is>
          <t>토너</t>
        </is>
      </c>
      <c r="G1486" s="4" t="n"/>
      <c r="J1486" s="89" t="n">
        <v>1211.818181818182</v>
      </c>
    </row>
    <row r="1487" hidden="1" customFormat="1" s="94">
      <c r="B1487" s="128" t="n">
        <v>43965</v>
      </c>
      <c r="C1487" s="94">
        <f>TEXT(B1487,"aaa")</f>
        <v/>
      </c>
      <c r="D1487" s="94" t="inlineStr">
        <is>
          <t>카카오톡 메시지</t>
        </is>
      </c>
      <c r="E1487" s="94" t="inlineStr">
        <is>
          <t>선크림</t>
        </is>
      </c>
      <c r="G1487" s="4" t="n"/>
      <c r="J1487" s="89">
        <f>13048*15</f>
        <v/>
      </c>
    </row>
    <row r="1488" hidden="1" customFormat="1" s="94">
      <c r="B1488" s="128" t="n">
        <v>43976</v>
      </c>
      <c r="C1488" s="94">
        <f>TEXT(B1488,"aaa")</f>
        <v/>
      </c>
      <c r="D1488" s="94" t="inlineStr">
        <is>
          <t>카카오톡 메시지</t>
        </is>
      </c>
      <c r="E1488" s="94" t="inlineStr">
        <is>
          <t>선크림</t>
        </is>
      </c>
      <c r="G1488" s="4" t="n"/>
      <c r="J1488" s="89">
        <f>13841*15</f>
        <v/>
      </c>
    </row>
    <row r="1489" hidden="1" customFormat="1" s="94">
      <c r="B1489" s="128" t="n">
        <v>43976</v>
      </c>
      <c r="C1489" s="94">
        <f>TEXT(B1489,"aaa")</f>
        <v/>
      </c>
      <c r="D1489" s="94" t="inlineStr">
        <is>
          <t>기획사이다</t>
        </is>
      </c>
      <c r="E1489" s="94" t="inlineStr">
        <is>
          <t>토너</t>
        </is>
      </c>
      <c r="G1489" s="4" t="n"/>
      <c r="J1489" s="89" t="n">
        <v>8000000</v>
      </c>
    </row>
    <row r="1490" hidden="1" customFormat="1" s="94">
      <c r="B1490" s="128" t="n">
        <v>44033</v>
      </c>
      <c r="C1490" s="94">
        <f>TEXT(B1490,"aaa")</f>
        <v/>
      </c>
      <c r="D1490" s="94" t="inlineStr">
        <is>
          <t>기획사이다</t>
        </is>
      </c>
      <c r="E1490" s="94" t="inlineStr">
        <is>
          <t>토너</t>
        </is>
      </c>
      <c r="G1490" s="4" t="n"/>
      <c r="J1490" s="89">
        <f>8500000/1.1</f>
        <v/>
      </c>
    </row>
    <row r="1491" hidden="1" customFormat="1" s="94">
      <c r="B1491" s="128" t="n">
        <v>44074</v>
      </c>
      <c r="C1491" s="94">
        <f>TEXT(B1491,"aaa")</f>
        <v/>
      </c>
      <c r="D1491" s="94" t="inlineStr">
        <is>
          <t>기획사이다</t>
        </is>
      </c>
      <c r="E1491" s="94" t="inlineStr">
        <is>
          <t>토너</t>
        </is>
      </c>
      <c r="G1491" s="4" t="n"/>
      <c r="J1491" s="89">
        <f>11818000/1.1</f>
        <v/>
      </c>
    </row>
    <row r="1492" hidden="1" customFormat="1" s="94">
      <c r="B1492" s="128" t="n">
        <v>43983</v>
      </c>
      <c r="C1492" s="94">
        <f>TEXT(B1492,"aaa")</f>
        <v/>
      </c>
      <c r="D1492" s="94" t="inlineStr">
        <is>
          <t>네이버 브랜드검색</t>
        </is>
      </c>
      <c r="E1492" s="94" t="inlineStr">
        <is>
          <t>토너</t>
        </is>
      </c>
      <c r="G1492" s="4" t="n"/>
      <c r="J1492" s="89" t="n">
        <v>120000</v>
      </c>
      <c r="M1492" s="128" t="n"/>
      <c r="N1492" s="128" t="n"/>
    </row>
    <row r="1493" hidden="1" customFormat="1" s="94">
      <c r="B1493" s="128">
        <f>B1492+1</f>
        <v/>
      </c>
      <c r="C1493" s="94">
        <f>TEXT(B1493,"aaa")</f>
        <v/>
      </c>
      <c r="D1493" s="94" t="inlineStr">
        <is>
          <t>네이버 브랜드검색</t>
        </is>
      </c>
      <c r="E1493" s="94" t="inlineStr">
        <is>
          <t>토너</t>
        </is>
      </c>
      <c r="G1493" s="4" t="n"/>
      <c r="J1493" s="89" t="n">
        <v>120000</v>
      </c>
    </row>
    <row r="1494" hidden="1" customFormat="1" s="94">
      <c r="B1494" s="128">
        <f>B1493+1</f>
        <v/>
      </c>
      <c r="C1494" s="94">
        <f>TEXT(B1494,"aaa")</f>
        <v/>
      </c>
      <c r="D1494" s="94" t="inlineStr">
        <is>
          <t>네이버 브랜드검색</t>
        </is>
      </c>
      <c r="E1494" s="94" t="inlineStr">
        <is>
          <t>토너</t>
        </is>
      </c>
      <c r="G1494" s="4" t="n"/>
      <c r="J1494" s="89" t="n">
        <v>120000</v>
      </c>
    </row>
    <row r="1495" hidden="1" customFormat="1" s="94">
      <c r="B1495" s="128">
        <f>B1494+1</f>
        <v/>
      </c>
      <c r="C1495" s="94">
        <f>TEXT(B1495,"aaa")</f>
        <v/>
      </c>
      <c r="D1495" s="94" t="inlineStr">
        <is>
          <t>네이버 브랜드검색</t>
        </is>
      </c>
      <c r="E1495" s="94" t="inlineStr">
        <is>
          <t>토너</t>
        </is>
      </c>
      <c r="G1495" s="4" t="n"/>
      <c r="J1495" s="89" t="n">
        <v>120000</v>
      </c>
    </row>
    <row r="1496" hidden="1" customFormat="1" s="94">
      <c r="B1496" s="128">
        <f>B1495+1</f>
        <v/>
      </c>
      <c r="C1496" s="94">
        <f>TEXT(B1496,"aaa")</f>
        <v/>
      </c>
      <c r="D1496" s="94" t="inlineStr">
        <is>
          <t>네이버 브랜드검색</t>
        </is>
      </c>
      <c r="E1496" s="94" t="inlineStr">
        <is>
          <t>토너</t>
        </is>
      </c>
      <c r="G1496" s="4" t="n"/>
      <c r="J1496" s="89" t="n">
        <v>120000</v>
      </c>
      <c r="N1496" s="128" t="n"/>
      <c r="O1496" s="128" t="n"/>
      <c r="P1496" s="128" t="n"/>
      <c r="Q1496" s="129" t="n"/>
    </row>
    <row r="1497" hidden="1" customFormat="1" s="94">
      <c r="B1497" s="128">
        <f>B1496+1</f>
        <v/>
      </c>
      <c r="C1497" s="94">
        <f>TEXT(B1497,"aaa")</f>
        <v/>
      </c>
      <c r="D1497" s="94" t="inlineStr">
        <is>
          <t>네이버 브랜드검색</t>
        </is>
      </c>
      <c r="E1497" s="94" t="inlineStr">
        <is>
          <t>토너</t>
        </is>
      </c>
      <c r="G1497" s="4" t="n"/>
      <c r="J1497" s="89" t="n">
        <v>120000</v>
      </c>
    </row>
    <row r="1498" hidden="1" customFormat="1" s="94">
      <c r="B1498" s="128">
        <f>B1497+1</f>
        <v/>
      </c>
      <c r="C1498" s="94">
        <f>TEXT(B1498,"aaa")</f>
        <v/>
      </c>
      <c r="D1498" s="94" t="inlineStr">
        <is>
          <t>네이버 브랜드검색</t>
        </is>
      </c>
      <c r="E1498" s="94" t="inlineStr">
        <is>
          <t>토너</t>
        </is>
      </c>
      <c r="G1498" s="4" t="n"/>
      <c r="J1498" s="89" t="n">
        <v>120000</v>
      </c>
    </row>
    <row r="1499" hidden="1" customFormat="1" s="94">
      <c r="B1499" s="128">
        <f>B1498+1</f>
        <v/>
      </c>
      <c r="C1499" s="94">
        <f>TEXT(B1499,"aaa")</f>
        <v/>
      </c>
      <c r="D1499" s="94" t="inlineStr">
        <is>
          <t>네이버 브랜드검색</t>
        </is>
      </c>
      <c r="E1499" s="94" t="inlineStr">
        <is>
          <t>토너</t>
        </is>
      </c>
      <c r="G1499" s="4" t="n"/>
      <c r="J1499" s="89" t="n">
        <v>120000</v>
      </c>
    </row>
    <row r="1500" hidden="1" customFormat="1" s="94">
      <c r="B1500" s="128">
        <f>B1499+1</f>
        <v/>
      </c>
      <c r="C1500" s="94">
        <f>TEXT(B1500,"aaa")</f>
        <v/>
      </c>
      <c r="D1500" s="94" t="inlineStr">
        <is>
          <t>네이버 브랜드검색</t>
        </is>
      </c>
      <c r="E1500" s="94" t="inlineStr">
        <is>
          <t>토너</t>
        </is>
      </c>
      <c r="G1500" s="4" t="n"/>
      <c r="J1500" s="89" t="n">
        <v>120000</v>
      </c>
    </row>
    <row r="1501" hidden="1" customFormat="1" s="94">
      <c r="B1501" s="128">
        <f>B1500+1</f>
        <v/>
      </c>
      <c r="C1501" s="94">
        <f>TEXT(B1501,"aaa")</f>
        <v/>
      </c>
      <c r="D1501" s="94" t="inlineStr">
        <is>
          <t>네이버 브랜드검색</t>
        </is>
      </c>
      <c r="E1501" s="94" t="inlineStr">
        <is>
          <t>토너</t>
        </is>
      </c>
      <c r="G1501" s="4" t="n"/>
      <c r="J1501" s="89" t="n">
        <v>120000</v>
      </c>
    </row>
    <row r="1502" hidden="1" customFormat="1" s="94">
      <c r="B1502" s="128">
        <f>B1501+1</f>
        <v/>
      </c>
      <c r="C1502" s="94">
        <f>TEXT(B1502,"aaa")</f>
        <v/>
      </c>
      <c r="D1502" s="94" t="inlineStr">
        <is>
          <t>네이버 브랜드검색</t>
        </is>
      </c>
      <c r="E1502" s="94" t="inlineStr">
        <is>
          <t>토너</t>
        </is>
      </c>
      <c r="G1502" s="4" t="n"/>
      <c r="J1502" s="89" t="n">
        <v>120000</v>
      </c>
    </row>
    <row r="1503" hidden="1" customFormat="1" s="94">
      <c r="B1503" s="128">
        <f>B1502+1</f>
        <v/>
      </c>
      <c r="C1503" s="94">
        <f>TEXT(B1503,"aaa")</f>
        <v/>
      </c>
      <c r="D1503" s="94" t="inlineStr">
        <is>
          <t>네이버 브랜드검색</t>
        </is>
      </c>
      <c r="E1503" s="94" t="inlineStr">
        <is>
          <t>토너</t>
        </is>
      </c>
      <c r="G1503" s="4" t="n"/>
      <c r="J1503" s="89" t="n">
        <v>120000</v>
      </c>
    </row>
    <row r="1504" hidden="1" customFormat="1" s="94">
      <c r="B1504" s="128">
        <f>B1503+1</f>
        <v/>
      </c>
      <c r="C1504" s="94">
        <f>TEXT(B1504,"aaa")</f>
        <v/>
      </c>
      <c r="D1504" s="94" t="inlineStr">
        <is>
          <t>네이버 브랜드검색</t>
        </is>
      </c>
      <c r="E1504" s="94" t="inlineStr">
        <is>
          <t>토너</t>
        </is>
      </c>
      <c r="G1504" s="4" t="n"/>
      <c r="J1504" s="89" t="n">
        <v>120000</v>
      </c>
    </row>
    <row r="1505" hidden="1" customFormat="1" s="94">
      <c r="B1505" s="128">
        <f>B1504+1</f>
        <v/>
      </c>
      <c r="C1505" s="94">
        <f>TEXT(B1505,"aaa")</f>
        <v/>
      </c>
      <c r="D1505" s="94" t="inlineStr">
        <is>
          <t>네이버 브랜드검색</t>
        </is>
      </c>
      <c r="E1505" s="94" t="inlineStr">
        <is>
          <t>토너</t>
        </is>
      </c>
      <c r="G1505" s="4" t="n"/>
      <c r="J1505" s="89" t="n">
        <v>120000</v>
      </c>
    </row>
    <row r="1506" hidden="1" customFormat="1" s="94">
      <c r="B1506" s="128">
        <f>B1505+1</f>
        <v/>
      </c>
      <c r="C1506" s="94">
        <f>TEXT(B1506,"aaa")</f>
        <v/>
      </c>
      <c r="D1506" s="94" t="inlineStr">
        <is>
          <t>네이버 브랜드검색</t>
        </is>
      </c>
      <c r="E1506" s="94" t="inlineStr">
        <is>
          <t>토너</t>
        </is>
      </c>
      <c r="G1506" s="4" t="n"/>
      <c r="J1506" s="89" t="n">
        <v>120000</v>
      </c>
    </row>
    <row r="1507" hidden="1" customFormat="1" s="94">
      <c r="B1507" s="128">
        <f>B1506+1</f>
        <v/>
      </c>
      <c r="C1507" s="94">
        <f>TEXT(B1507,"aaa")</f>
        <v/>
      </c>
      <c r="D1507" s="94" t="inlineStr">
        <is>
          <t>네이버 브랜드검색</t>
        </is>
      </c>
      <c r="E1507" s="94" t="inlineStr">
        <is>
          <t>토너</t>
        </is>
      </c>
      <c r="G1507" s="4" t="n"/>
      <c r="J1507" s="89" t="n">
        <v>120000</v>
      </c>
    </row>
    <row r="1508" hidden="1" customFormat="1" s="94">
      <c r="B1508" s="128">
        <f>B1507+1</f>
        <v/>
      </c>
      <c r="C1508" s="94">
        <f>TEXT(B1508,"aaa")</f>
        <v/>
      </c>
      <c r="D1508" s="94" t="inlineStr">
        <is>
          <t>네이버 브랜드검색</t>
        </is>
      </c>
      <c r="E1508" s="94" t="inlineStr">
        <is>
          <t>토너</t>
        </is>
      </c>
      <c r="G1508" s="4" t="n"/>
      <c r="J1508" s="89" t="n">
        <v>120000</v>
      </c>
    </row>
    <row r="1509" hidden="1" customFormat="1" s="94">
      <c r="B1509" s="128">
        <f>B1508+1</f>
        <v/>
      </c>
      <c r="C1509" s="94">
        <f>TEXT(B1509,"aaa")</f>
        <v/>
      </c>
      <c r="D1509" s="94" t="inlineStr">
        <is>
          <t>네이버 브랜드검색</t>
        </is>
      </c>
      <c r="E1509" s="94" t="inlineStr">
        <is>
          <t>토너</t>
        </is>
      </c>
      <c r="G1509" s="4" t="n"/>
      <c r="J1509" s="89" t="n">
        <v>120000</v>
      </c>
    </row>
    <row r="1510" hidden="1" customFormat="1" s="94">
      <c r="B1510" s="128">
        <f>B1509+1</f>
        <v/>
      </c>
      <c r="C1510" s="94">
        <f>TEXT(B1510,"aaa")</f>
        <v/>
      </c>
      <c r="D1510" s="94" t="inlineStr">
        <is>
          <t>네이버 브랜드검색</t>
        </is>
      </c>
      <c r="E1510" s="94" t="inlineStr">
        <is>
          <t>토너</t>
        </is>
      </c>
      <c r="G1510" s="4" t="n"/>
      <c r="J1510" s="89" t="n">
        <v>120000</v>
      </c>
    </row>
    <row r="1511" hidden="1" customFormat="1" s="94">
      <c r="B1511" s="128">
        <f>B1510+1</f>
        <v/>
      </c>
      <c r="C1511" s="94">
        <f>TEXT(B1511,"aaa")</f>
        <v/>
      </c>
      <c r="D1511" s="94" t="inlineStr">
        <is>
          <t>네이버 브랜드검색</t>
        </is>
      </c>
      <c r="E1511" s="94" t="inlineStr">
        <is>
          <t>토너</t>
        </is>
      </c>
      <c r="G1511" s="4" t="n"/>
      <c r="J1511" s="89" t="n">
        <v>120000</v>
      </c>
    </row>
    <row r="1512" hidden="1" customFormat="1" s="94">
      <c r="B1512" s="128">
        <f>B1511+1</f>
        <v/>
      </c>
      <c r="C1512" s="94">
        <f>TEXT(B1512,"aaa")</f>
        <v/>
      </c>
      <c r="D1512" s="94" t="inlineStr">
        <is>
          <t>네이버 브랜드검색</t>
        </is>
      </c>
      <c r="E1512" s="94" t="inlineStr">
        <is>
          <t>토너</t>
        </is>
      </c>
      <c r="G1512" s="4" t="n"/>
      <c r="J1512" s="89" t="n">
        <v>120000</v>
      </c>
    </row>
    <row r="1513" hidden="1" customFormat="1" s="94">
      <c r="B1513" s="128">
        <f>B1512+1</f>
        <v/>
      </c>
      <c r="C1513" s="94">
        <f>TEXT(B1513,"aaa")</f>
        <v/>
      </c>
      <c r="D1513" s="94" t="inlineStr">
        <is>
          <t>네이버 브랜드검색</t>
        </is>
      </c>
      <c r="E1513" s="94" t="inlineStr">
        <is>
          <t>토너</t>
        </is>
      </c>
      <c r="G1513" s="4" t="n"/>
      <c r="J1513" s="89" t="n">
        <v>120000</v>
      </c>
    </row>
    <row r="1514" hidden="1" customFormat="1" s="94">
      <c r="B1514" s="128">
        <f>B1513+1</f>
        <v/>
      </c>
      <c r="C1514" s="94">
        <f>TEXT(B1514,"aaa")</f>
        <v/>
      </c>
      <c r="D1514" s="94" t="inlineStr">
        <is>
          <t>네이버 브랜드검색</t>
        </is>
      </c>
      <c r="E1514" s="94" t="inlineStr">
        <is>
          <t>토너</t>
        </is>
      </c>
      <c r="G1514" s="4" t="n"/>
      <c r="J1514" s="89" t="n">
        <v>120000</v>
      </c>
    </row>
    <row r="1515" hidden="1" customFormat="1" s="94">
      <c r="B1515" s="128">
        <f>B1514+1</f>
        <v/>
      </c>
      <c r="C1515" s="94">
        <f>TEXT(B1515,"aaa")</f>
        <v/>
      </c>
      <c r="D1515" s="94" t="inlineStr">
        <is>
          <t>네이버 브랜드검색</t>
        </is>
      </c>
      <c r="E1515" s="94" t="inlineStr">
        <is>
          <t>토너</t>
        </is>
      </c>
      <c r="G1515" s="4" t="n"/>
      <c r="J1515" s="89" t="n">
        <v>120000</v>
      </c>
    </row>
    <row r="1516" hidden="1" customFormat="1" s="94">
      <c r="B1516" s="128">
        <f>B1515+1</f>
        <v/>
      </c>
      <c r="C1516" s="94">
        <f>TEXT(B1516,"aaa")</f>
        <v/>
      </c>
      <c r="D1516" s="94" t="inlineStr">
        <is>
          <t>네이버 브랜드검색</t>
        </is>
      </c>
      <c r="E1516" s="94" t="inlineStr">
        <is>
          <t>토너</t>
        </is>
      </c>
      <c r="G1516" s="4" t="n"/>
      <c r="J1516" s="89" t="n">
        <v>100000</v>
      </c>
      <c r="M1516" s="128" t="n"/>
      <c r="N1516" s="128" t="n"/>
    </row>
    <row r="1517" hidden="1" customFormat="1" s="94">
      <c r="B1517" s="128">
        <f>B1516+1</f>
        <v/>
      </c>
      <c r="C1517" s="94">
        <f>TEXT(B1517,"aaa")</f>
        <v/>
      </c>
      <c r="D1517" s="94" t="inlineStr">
        <is>
          <t>네이버 브랜드검색</t>
        </is>
      </c>
      <c r="E1517" s="94" t="inlineStr">
        <is>
          <t>토너</t>
        </is>
      </c>
      <c r="G1517" s="4" t="n"/>
      <c r="J1517" s="89" t="n">
        <v>100000</v>
      </c>
    </row>
    <row r="1518" hidden="1" customFormat="1" s="94">
      <c r="B1518" s="128">
        <f>B1517+1</f>
        <v/>
      </c>
      <c r="C1518" s="94">
        <f>TEXT(B1518,"aaa")</f>
        <v/>
      </c>
      <c r="D1518" s="94" t="inlineStr">
        <is>
          <t>네이버 브랜드검색</t>
        </is>
      </c>
      <c r="E1518" s="94" t="inlineStr">
        <is>
          <t>토너</t>
        </is>
      </c>
      <c r="G1518" s="4" t="n"/>
      <c r="J1518" s="89" t="n">
        <v>100000</v>
      </c>
    </row>
    <row r="1519" hidden="1" customFormat="1" s="94">
      <c r="B1519" s="128">
        <f>B1518+1</f>
        <v/>
      </c>
      <c r="C1519" s="94">
        <f>TEXT(B1519,"aaa")</f>
        <v/>
      </c>
      <c r="D1519" s="94" t="inlineStr">
        <is>
          <t>네이버 브랜드검색</t>
        </is>
      </c>
      <c r="E1519" s="94" t="inlineStr">
        <is>
          <t>토너</t>
        </is>
      </c>
      <c r="G1519" s="4" t="n"/>
      <c r="J1519" s="89" t="n">
        <v>100000</v>
      </c>
    </row>
    <row r="1520" hidden="1" customFormat="1" s="94">
      <c r="B1520" s="128">
        <f>B1519+1</f>
        <v/>
      </c>
      <c r="C1520" s="94">
        <f>TEXT(B1520,"aaa")</f>
        <v/>
      </c>
      <c r="D1520" s="94" t="inlineStr">
        <is>
          <t>네이버 브랜드검색</t>
        </is>
      </c>
      <c r="E1520" s="94" t="inlineStr">
        <is>
          <t>토너</t>
        </is>
      </c>
      <c r="G1520" s="4" t="n"/>
      <c r="J1520" s="89" t="n">
        <v>100000</v>
      </c>
      <c r="M1520" s="129" t="n"/>
      <c r="N1520" s="128" t="n"/>
      <c r="O1520" s="128" t="n"/>
      <c r="P1520" s="128" t="n"/>
    </row>
    <row r="1521" hidden="1" customFormat="1" s="94">
      <c r="B1521" s="128">
        <f>B1520+1</f>
        <v/>
      </c>
      <c r="C1521" s="94">
        <f>TEXT(B1521,"aaa")</f>
        <v/>
      </c>
      <c r="D1521" s="94" t="inlineStr">
        <is>
          <t>네이버 브랜드검색</t>
        </is>
      </c>
      <c r="E1521" s="94" t="inlineStr">
        <is>
          <t>토너</t>
        </is>
      </c>
      <c r="G1521" s="4" t="n"/>
      <c r="J1521" s="89" t="n">
        <v>100000</v>
      </c>
    </row>
    <row r="1522" hidden="1" customFormat="1" s="94">
      <c r="B1522" s="128">
        <f>B1521+1</f>
        <v/>
      </c>
      <c r="C1522" s="94">
        <f>TEXT(B1522,"aaa")</f>
        <v/>
      </c>
      <c r="D1522" s="94" t="inlineStr">
        <is>
          <t>네이버 브랜드검색</t>
        </is>
      </c>
      <c r="E1522" s="94" t="inlineStr">
        <is>
          <t>토너</t>
        </is>
      </c>
      <c r="G1522" s="4" t="n"/>
      <c r="J1522" s="89" t="n">
        <v>100000</v>
      </c>
    </row>
    <row r="1523" hidden="1" customFormat="1" s="94">
      <c r="B1523" s="128">
        <f>B1522+1</f>
        <v/>
      </c>
      <c r="C1523" s="94">
        <f>TEXT(B1523,"aaa")</f>
        <v/>
      </c>
      <c r="D1523" s="94" t="inlineStr">
        <is>
          <t>네이버 브랜드검색</t>
        </is>
      </c>
      <c r="E1523" s="94" t="inlineStr">
        <is>
          <t>토너</t>
        </is>
      </c>
      <c r="G1523" s="4" t="n"/>
      <c r="J1523" s="89" t="n">
        <v>50000</v>
      </c>
    </row>
    <row r="1524" hidden="1" customFormat="1" s="94">
      <c r="B1524" s="128">
        <f>B1523+1</f>
        <v/>
      </c>
      <c r="C1524" s="94">
        <f>TEXT(B1524,"aaa")</f>
        <v/>
      </c>
      <c r="D1524" s="94" t="inlineStr">
        <is>
          <t>네이버 브랜드검색</t>
        </is>
      </c>
      <c r="E1524" s="94" t="inlineStr">
        <is>
          <t>토너</t>
        </is>
      </c>
      <c r="G1524" s="4" t="n"/>
      <c r="J1524" s="89" t="n">
        <v>50000</v>
      </c>
    </row>
    <row r="1525" hidden="1" customFormat="1" s="94">
      <c r="B1525" s="128">
        <f>B1524+1</f>
        <v/>
      </c>
      <c r="C1525" s="94">
        <f>TEXT(B1525,"aaa")</f>
        <v/>
      </c>
      <c r="D1525" s="94" t="inlineStr">
        <is>
          <t>네이버 브랜드검색</t>
        </is>
      </c>
      <c r="E1525" s="94" t="inlineStr">
        <is>
          <t>토너</t>
        </is>
      </c>
      <c r="G1525" s="4" t="n"/>
      <c r="J1525" s="89" t="n">
        <v>50000</v>
      </c>
    </row>
    <row r="1526" hidden="1" customFormat="1" s="94">
      <c r="B1526" s="128">
        <f>B1525+1</f>
        <v/>
      </c>
      <c r="C1526" s="94">
        <f>TEXT(B1526,"aaa")</f>
        <v/>
      </c>
      <c r="D1526" s="94" t="inlineStr">
        <is>
          <t>네이버 브랜드검색</t>
        </is>
      </c>
      <c r="E1526" s="94" t="inlineStr">
        <is>
          <t>토너</t>
        </is>
      </c>
      <c r="G1526" s="4" t="n"/>
      <c r="J1526" s="89" t="n">
        <v>50000</v>
      </c>
    </row>
    <row r="1527" hidden="1" customFormat="1" s="94">
      <c r="B1527" s="128">
        <f>B1526+1</f>
        <v/>
      </c>
      <c r="C1527" s="94">
        <f>TEXT(B1527,"aaa")</f>
        <v/>
      </c>
      <c r="D1527" s="94" t="inlineStr">
        <is>
          <t>네이버 브랜드검색</t>
        </is>
      </c>
      <c r="E1527" s="94" t="inlineStr">
        <is>
          <t>토너</t>
        </is>
      </c>
      <c r="G1527" s="4" t="n"/>
      <c r="J1527" s="89" t="n">
        <v>50000</v>
      </c>
    </row>
    <row r="1528" hidden="1" customFormat="1" s="94">
      <c r="B1528" s="128">
        <f>B1527+1</f>
        <v/>
      </c>
      <c r="C1528" s="94">
        <f>TEXT(B1528,"aaa")</f>
        <v/>
      </c>
      <c r="D1528" s="94" t="inlineStr">
        <is>
          <t>네이버 브랜드검색</t>
        </is>
      </c>
      <c r="E1528" s="94" t="inlineStr">
        <is>
          <t>토너</t>
        </is>
      </c>
      <c r="G1528" s="4" t="n"/>
      <c r="J1528" s="89" t="n">
        <v>50000</v>
      </c>
    </row>
    <row r="1529" hidden="1" customFormat="1" s="94">
      <c r="B1529" s="128">
        <f>B1528+1</f>
        <v/>
      </c>
      <c r="C1529" s="94">
        <f>TEXT(B1529,"aaa")</f>
        <v/>
      </c>
      <c r="D1529" s="94" t="inlineStr">
        <is>
          <t>네이버 브랜드검색</t>
        </is>
      </c>
      <c r="E1529" s="94" t="inlineStr">
        <is>
          <t>토너</t>
        </is>
      </c>
      <c r="G1529" s="4" t="n"/>
      <c r="J1529" s="89" t="n">
        <v>50000</v>
      </c>
    </row>
    <row r="1530" hidden="1" customFormat="1" s="94">
      <c r="B1530" s="128">
        <f>B1529+1</f>
        <v/>
      </c>
      <c r="C1530" s="94">
        <f>TEXT(B1530,"aaa")</f>
        <v/>
      </c>
      <c r="D1530" s="94" t="inlineStr">
        <is>
          <t>네이버 브랜드검색</t>
        </is>
      </c>
      <c r="E1530" s="94" t="inlineStr">
        <is>
          <t>토너</t>
        </is>
      </c>
      <c r="G1530" s="4" t="n"/>
      <c r="J1530" s="89" t="n">
        <v>50000</v>
      </c>
    </row>
    <row r="1531" hidden="1" customFormat="1" s="94">
      <c r="B1531" s="128">
        <f>B1530+1</f>
        <v/>
      </c>
      <c r="C1531" s="94">
        <f>TEXT(B1531,"aaa")</f>
        <v/>
      </c>
      <c r="D1531" s="94" t="inlineStr">
        <is>
          <t>네이버 브랜드검색</t>
        </is>
      </c>
      <c r="E1531" s="94" t="inlineStr">
        <is>
          <t>토너</t>
        </is>
      </c>
      <c r="G1531" s="4" t="n"/>
      <c r="J1531" s="89" t="n">
        <v>50000</v>
      </c>
    </row>
    <row r="1532" hidden="1" customFormat="1" s="94">
      <c r="B1532" s="128">
        <f>B1531+1</f>
        <v/>
      </c>
      <c r="C1532" s="94">
        <f>TEXT(B1532,"aaa")</f>
        <v/>
      </c>
      <c r="D1532" s="94" t="inlineStr">
        <is>
          <t>네이버 브랜드검색</t>
        </is>
      </c>
      <c r="E1532" s="94" t="inlineStr">
        <is>
          <t>토너</t>
        </is>
      </c>
      <c r="G1532" s="4" t="n"/>
      <c r="J1532" s="89" t="n">
        <v>50000</v>
      </c>
    </row>
    <row r="1533" hidden="1" customFormat="1" s="94">
      <c r="B1533" s="128">
        <f>B1532+1</f>
        <v/>
      </c>
      <c r="C1533" s="94">
        <f>TEXT(B1533,"aaa")</f>
        <v/>
      </c>
      <c r="D1533" s="94" t="inlineStr">
        <is>
          <t>네이버 브랜드검색</t>
        </is>
      </c>
      <c r="E1533" s="94" t="inlineStr">
        <is>
          <t>토너</t>
        </is>
      </c>
      <c r="G1533" s="4" t="n"/>
      <c r="J1533" s="89" t="n">
        <v>50000</v>
      </c>
    </row>
    <row r="1534" hidden="1" customFormat="1" s="94">
      <c r="B1534" s="128">
        <f>B1533+1</f>
        <v/>
      </c>
      <c r="C1534" s="94">
        <f>TEXT(B1534,"aaa")</f>
        <v/>
      </c>
      <c r="D1534" s="94" t="inlineStr">
        <is>
          <t>네이버 브랜드검색</t>
        </is>
      </c>
      <c r="E1534" s="94" t="inlineStr">
        <is>
          <t>토너</t>
        </is>
      </c>
      <c r="G1534" s="4" t="n"/>
      <c r="J1534" s="89" t="n">
        <v>50000</v>
      </c>
    </row>
    <row r="1535" hidden="1" customFormat="1" s="94">
      <c r="B1535" s="128">
        <f>B1534+1</f>
        <v/>
      </c>
      <c r="C1535" s="94">
        <f>TEXT(B1535,"aaa")</f>
        <v/>
      </c>
      <c r="D1535" s="94" t="inlineStr">
        <is>
          <t>네이버 브랜드검색</t>
        </is>
      </c>
      <c r="E1535" s="94" t="inlineStr">
        <is>
          <t>토너</t>
        </is>
      </c>
      <c r="G1535" s="4" t="n"/>
      <c r="J1535" s="89" t="n">
        <v>50000</v>
      </c>
    </row>
    <row r="1536" hidden="1" customFormat="1" s="94">
      <c r="B1536" s="128">
        <f>B1535+1</f>
        <v/>
      </c>
      <c r="C1536" s="94">
        <f>TEXT(B1536,"aaa")</f>
        <v/>
      </c>
      <c r="D1536" s="94" t="inlineStr">
        <is>
          <t>네이버 브랜드검색</t>
        </is>
      </c>
      <c r="E1536" s="94" t="inlineStr">
        <is>
          <t>토너</t>
        </is>
      </c>
      <c r="G1536" s="4" t="n"/>
      <c r="J1536" s="89" t="n">
        <v>50000</v>
      </c>
    </row>
    <row r="1537" hidden="1" customFormat="1" s="94">
      <c r="B1537" s="128">
        <f>B1536+1</f>
        <v/>
      </c>
      <c r="C1537" s="94">
        <f>TEXT(B1537,"aaa")</f>
        <v/>
      </c>
      <c r="D1537" s="94" t="inlineStr">
        <is>
          <t>네이버 브랜드검색</t>
        </is>
      </c>
      <c r="E1537" s="94" t="inlineStr">
        <is>
          <t>토너</t>
        </is>
      </c>
      <c r="G1537" s="4" t="n"/>
      <c r="J1537" s="89" t="n">
        <v>50000</v>
      </c>
    </row>
    <row r="1538" hidden="1" customFormat="1" s="94">
      <c r="B1538" s="128">
        <f>B1537+1</f>
        <v/>
      </c>
      <c r="C1538" s="94">
        <f>TEXT(B1538,"aaa")</f>
        <v/>
      </c>
      <c r="D1538" s="94" t="inlineStr">
        <is>
          <t>네이버 브랜드검색</t>
        </is>
      </c>
      <c r="E1538" s="94" t="inlineStr">
        <is>
          <t>토너</t>
        </is>
      </c>
      <c r="G1538" s="4" t="n"/>
      <c r="J1538" s="89" t="n">
        <v>50000</v>
      </c>
    </row>
    <row r="1539" hidden="1" customFormat="1" s="94">
      <c r="B1539" s="128">
        <f>B1538+1</f>
        <v/>
      </c>
      <c r="C1539" s="94">
        <f>TEXT(B1539,"aaa")</f>
        <v/>
      </c>
      <c r="D1539" s="94" t="inlineStr">
        <is>
          <t>네이버 브랜드검색</t>
        </is>
      </c>
      <c r="E1539" s="94" t="inlineStr">
        <is>
          <t>토너</t>
        </is>
      </c>
      <c r="G1539" s="4" t="n"/>
      <c r="J1539" s="89" t="n">
        <v>50000</v>
      </c>
    </row>
    <row r="1540" hidden="1" customFormat="1" s="94">
      <c r="B1540" s="128">
        <f>B1539+1</f>
        <v/>
      </c>
      <c r="C1540" s="94">
        <f>TEXT(B1540,"aaa")</f>
        <v/>
      </c>
      <c r="D1540" s="94" t="inlineStr">
        <is>
          <t>네이버 브랜드검색</t>
        </is>
      </c>
      <c r="E1540" s="94" t="inlineStr">
        <is>
          <t>토너</t>
        </is>
      </c>
      <c r="G1540" s="4" t="n"/>
      <c r="J1540" s="89" t="n">
        <v>50000</v>
      </c>
    </row>
    <row r="1541" hidden="1" customFormat="1" s="94">
      <c r="B1541" s="128">
        <f>B1540+1</f>
        <v/>
      </c>
      <c r="C1541" s="94">
        <f>TEXT(B1541,"aaa")</f>
        <v/>
      </c>
      <c r="D1541" s="94" t="inlineStr">
        <is>
          <t>네이버 브랜드검색</t>
        </is>
      </c>
      <c r="E1541" s="94" t="inlineStr">
        <is>
          <t>토너</t>
        </is>
      </c>
      <c r="G1541" s="4" t="n"/>
      <c r="J1541" s="89" t="n">
        <v>50000</v>
      </c>
    </row>
    <row r="1542" hidden="1" customFormat="1" s="94">
      <c r="B1542" s="128" t="n">
        <v>43983</v>
      </c>
      <c r="C1542" s="94">
        <f>TEXT(B1542,"aaa")</f>
        <v/>
      </c>
      <c r="D1542" s="94" t="inlineStr">
        <is>
          <t>페이스북/인스타그램</t>
        </is>
      </c>
      <c r="E1542" s="94" t="inlineStr">
        <is>
          <t>토너</t>
        </is>
      </c>
      <c r="G1542" s="4" t="n"/>
      <c r="J1542" s="89" t="n">
        <v>906693</v>
      </c>
    </row>
    <row r="1543" hidden="1" customFormat="1" s="94">
      <c r="B1543" s="128">
        <f>B1542+1</f>
        <v/>
      </c>
      <c r="C1543" s="94">
        <f>TEXT(B1543,"aaa")</f>
        <v/>
      </c>
      <c r="D1543" s="94" t="inlineStr">
        <is>
          <t>페이스북/인스타그램</t>
        </is>
      </c>
      <c r="E1543" s="94" t="inlineStr">
        <is>
          <t>토너</t>
        </is>
      </c>
      <c r="G1543" s="4" t="n"/>
      <c r="J1543" s="89" t="n">
        <v>913859</v>
      </c>
    </row>
    <row r="1544" hidden="1" customFormat="1" s="94">
      <c r="B1544" s="128">
        <f>B1543+1</f>
        <v/>
      </c>
      <c r="C1544" s="94">
        <f>TEXT(B1544,"aaa")</f>
        <v/>
      </c>
      <c r="D1544" s="94" t="inlineStr">
        <is>
          <t>페이스북/인스타그램</t>
        </is>
      </c>
      <c r="E1544" s="94" t="inlineStr">
        <is>
          <t>토너</t>
        </is>
      </c>
      <c r="G1544" s="4" t="n"/>
      <c r="J1544" s="89" t="n">
        <v>925087</v>
      </c>
    </row>
    <row r="1545" hidden="1" customFormat="1" s="94">
      <c r="B1545" s="128">
        <f>B1544+1</f>
        <v/>
      </c>
      <c r="C1545" s="94">
        <f>TEXT(B1545,"aaa")</f>
        <v/>
      </c>
      <c r="D1545" s="94" t="inlineStr">
        <is>
          <t>페이스북/인스타그램</t>
        </is>
      </c>
      <c r="E1545" s="94" t="inlineStr">
        <is>
          <t>토너</t>
        </is>
      </c>
      <c r="G1545" s="4" t="n"/>
      <c r="J1545" s="89" t="n">
        <v>918197</v>
      </c>
    </row>
    <row r="1546" hidden="1" customFormat="1" s="94">
      <c r="B1546" s="128">
        <f>B1545+1</f>
        <v/>
      </c>
      <c r="C1546" s="94">
        <f>TEXT(B1546,"aaa")</f>
        <v/>
      </c>
      <c r="D1546" s="94" t="inlineStr">
        <is>
          <t>페이스북/인스타그램</t>
        </is>
      </c>
      <c r="E1546" s="94" t="inlineStr">
        <is>
          <t>토너</t>
        </is>
      </c>
      <c r="G1546" s="4" t="n"/>
      <c r="J1546" s="89" t="n">
        <v>867829</v>
      </c>
    </row>
    <row r="1547" hidden="1" customFormat="1" s="94">
      <c r="B1547" s="128">
        <f>B1546+1</f>
        <v/>
      </c>
      <c r="C1547" s="94">
        <f>TEXT(B1547,"aaa")</f>
        <v/>
      </c>
      <c r="D1547" s="94" t="inlineStr">
        <is>
          <t>페이스북/인스타그램</t>
        </is>
      </c>
      <c r="E1547" s="94" t="inlineStr">
        <is>
          <t>토너</t>
        </is>
      </c>
      <c r="G1547" s="4" t="n"/>
      <c r="J1547" s="89" t="n">
        <v>1045713</v>
      </c>
    </row>
    <row r="1548" hidden="1" customFormat="1" s="94">
      <c r="B1548" s="128">
        <f>B1547+1</f>
        <v/>
      </c>
      <c r="C1548" s="94">
        <f>TEXT(B1548,"aaa")</f>
        <v/>
      </c>
      <c r="D1548" s="94" t="inlineStr">
        <is>
          <t>페이스북/인스타그램</t>
        </is>
      </c>
      <c r="E1548" s="94" t="inlineStr">
        <is>
          <t>토너</t>
        </is>
      </c>
      <c r="G1548" s="4" t="n"/>
      <c r="J1548" s="89" t="n">
        <v>931396</v>
      </c>
    </row>
    <row r="1549" hidden="1" customFormat="1" s="94">
      <c r="B1549" s="128">
        <f>B1548+1</f>
        <v/>
      </c>
      <c r="C1549" s="94">
        <f>TEXT(B1549,"aaa")</f>
        <v/>
      </c>
      <c r="D1549" s="94" t="inlineStr">
        <is>
          <t>페이스북/인스타그램</t>
        </is>
      </c>
      <c r="E1549" s="94" t="inlineStr">
        <is>
          <t>토너</t>
        </is>
      </c>
      <c r="G1549" s="4" t="n"/>
      <c r="J1549" s="89" t="n">
        <v>908951</v>
      </c>
    </row>
    <row r="1550" hidden="1" customFormat="1" s="94">
      <c r="B1550" s="128">
        <f>B1549+1</f>
        <v/>
      </c>
      <c r="C1550" s="94">
        <f>TEXT(B1550,"aaa")</f>
        <v/>
      </c>
      <c r="D1550" s="94" t="inlineStr">
        <is>
          <t>페이스북/인스타그램</t>
        </is>
      </c>
      <c r="E1550" s="94" t="inlineStr">
        <is>
          <t>토너</t>
        </is>
      </c>
      <c r="G1550" s="4" t="n"/>
      <c r="J1550" s="89" t="n">
        <v>929852</v>
      </c>
    </row>
    <row r="1551" hidden="1" customFormat="1" s="94">
      <c r="B1551" s="128">
        <f>B1550+1</f>
        <v/>
      </c>
      <c r="C1551" s="94">
        <f>TEXT(B1551,"aaa")</f>
        <v/>
      </c>
      <c r="D1551" s="94" t="inlineStr">
        <is>
          <t>페이스북/인스타그램</t>
        </is>
      </c>
      <c r="E1551" s="94" t="inlineStr">
        <is>
          <t>토너</t>
        </is>
      </c>
      <c r="G1551" s="4" t="n"/>
      <c r="J1551" s="89" t="n">
        <v>950064</v>
      </c>
    </row>
    <row r="1552" hidden="1" customFormat="1" s="94">
      <c r="B1552" s="128">
        <f>B1551+1</f>
        <v/>
      </c>
      <c r="C1552" s="94">
        <f>TEXT(B1552,"aaa")</f>
        <v/>
      </c>
      <c r="D1552" s="94" t="inlineStr">
        <is>
          <t>페이스북/인스타그램</t>
        </is>
      </c>
      <c r="E1552" s="94" t="inlineStr">
        <is>
          <t>토너</t>
        </is>
      </c>
      <c r="G1552" s="4" t="n"/>
      <c r="J1552" s="89" t="n">
        <v>1046113</v>
      </c>
    </row>
    <row r="1553" hidden="1" customFormat="1" s="94">
      <c r="B1553" s="128">
        <f>B1552+1</f>
        <v/>
      </c>
      <c r="C1553" s="94">
        <f>TEXT(B1553,"aaa")</f>
        <v/>
      </c>
      <c r="D1553" s="94" t="inlineStr">
        <is>
          <t>페이스북/인스타그램</t>
        </is>
      </c>
      <c r="E1553" s="94" t="inlineStr">
        <is>
          <t>토너</t>
        </is>
      </c>
      <c r="G1553" s="4" t="n"/>
      <c r="J1553" s="89" t="n">
        <v>1103296</v>
      </c>
    </row>
    <row r="1554" hidden="1" customFormat="1" s="94">
      <c r="B1554" s="128">
        <f>B1553+1</f>
        <v/>
      </c>
      <c r="C1554" s="94">
        <f>TEXT(B1554,"aaa")</f>
        <v/>
      </c>
      <c r="D1554" s="94" t="inlineStr">
        <is>
          <t>페이스북/인스타그램</t>
        </is>
      </c>
      <c r="E1554" s="94" t="inlineStr">
        <is>
          <t>토너</t>
        </is>
      </c>
      <c r="G1554" s="4" t="n"/>
      <c r="J1554" s="89" t="n">
        <v>1055474</v>
      </c>
    </row>
    <row r="1555" hidden="1" customFormat="1" s="94">
      <c r="B1555" s="128">
        <f>B1554+1</f>
        <v/>
      </c>
      <c r="C1555" s="94">
        <f>TEXT(B1555,"aaa")</f>
        <v/>
      </c>
      <c r="D1555" s="94" t="inlineStr">
        <is>
          <t>페이스북/인스타그램</t>
        </is>
      </c>
      <c r="E1555" s="94" t="inlineStr">
        <is>
          <t>토너</t>
        </is>
      </c>
      <c r="G1555" s="4" t="n"/>
      <c r="J1555" s="89" t="n">
        <v>980815</v>
      </c>
    </row>
    <row r="1556" hidden="1" customFormat="1" s="94">
      <c r="B1556" s="128">
        <f>B1555+1</f>
        <v/>
      </c>
      <c r="C1556" s="94">
        <f>TEXT(B1556,"aaa")</f>
        <v/>
      </c>
      <c r="D1556" s="94" t="inlineStr">
        <is>
          <t>페이스북/인스타그램</t>
        </is>
      </c>
      <c r="E1556" s="94" t="inlineStr">
        <is>
          <t>토너</t>
        </is>
      </c>
      <c r="G1556" s="4" t="n"/>
      <c r="J1556" s="89" t="n">
        <v>944873</v>
      </c>
    </row>
    <row r="1557" hidden="1" customFormat="1" s="94">
      <c r="B1557" s="128">
        <f>B1556+1</f>
        <v/>
      </c>
      <c r="C1557" s="94">
        <f>TEXT(B1557,"aaa")</f>
        <v/>
      </c>
      <c r="D1557" s="94" t="inlineStr">
        <is>
          <t>페이스북/인스타그램</t>
        </is>
      </c>
      <c r="E1557" s="94" t="inlineStr">
        <is>
          <t>토너</t>
        </is>
      </c>
      <c r="G1557" s="4" t="n"/>
      <c r="J1557" s="89" t="n">
        <v>975856</v>
      </c>
    </row>
    <row r="1558" hidden="1" customFormat="1" s="94">
      <c r="B1558" s="128">
        <f>B1557+1</f>
        <v/>
      </c>
      <c r="C1558" s="94">
        <f>TEXT(B1558,"aaa")</f>
        <v/>
      </c>
      <c r="D1558" s="94" t="inlineStr">
        <is>
          <t>페이스북/인스타그램</t>
        </is>
      </c>
      <c r="E1558" s="94" t="inlineStr">
        <is>
          <t>토너</t>
        </is>
      </c>
      <c r="G1558" s="4" t="n"/>
      <c r="J1558" s="89" t="n">
        <v>1013497</v>
      </c>
    </row>
    <row r="1559" hidden="1" customFormat="1" s="94">
      <c r="B1559" s="128">
        <f>B1558+1</f>
        <v/>
      </c>
      <c r="C1559" s="94">
        <f>TEXT(B1559,"aaa")</f>
        <v/>
      </c>
      <c r="D1559" s="94" t="inlineStr">
        <is>
          <t>페이스북/인스타그램</t>
        </is>
      </c>
      <c r="E1559" s="94" t="inlineStr">
        <is>
          <t>토너</t>
        </is>
      </c>
      <c r="G1559" s="4" t="n"/>
      <c r="J1559" s="89" t="n">
        <v>1194806</v>
      </c>
    </row>
    <row r="1560" hidden="1" customFormat="1" s="94">
      <c r="B1560" s="128">
        <f>B1559+1</f>
        <v/>
      </c>
      <c r="C1560" s="94">
        <f>TEXT(B1560,"aaa")</f>
        <v/>
      </c>
      <c r="D1560" s="94" t="inlineStr">
        <is>
          <t>페이스북/인스타그램</t>
        </is>
      </c>
      <c r="E1560" s="94" t="inlineStr">
        <is>
          <t>토너</t>
        </is>
      </c>
      <c r="G1560" s="4" t="n"/>
      <c r="J1560" s="89" t="n">
        <v>1093008</v>
      </c>
    </row>
    <row r="1561" hidden="1" customFormat="1" s="94">
      <c r="B1561" s="128">
        <f>B1560+1</f>
        <v/>
      </c>
      <c r="C1561" s="94">
        <f>TEXT(B1561,"aaa")</f>
        <v/>
      </c>
      <c r="D1561" s="94" t="inlineStr">
        <is>
          <t>페이스북/인스타그램</t>
        </is>
      </c>
      <c r="E1561" s="94" t="inlineStr">
        <is>
          <t>토너</t>
        </is>
      </c>
      <c r="G1561" s="4" t="n"/>
      <c r="J1561" s="89" t="n">
        <v>997917</v>
      </c>
    </row>
    <row r="1562" hidden="1" customFormat="1" s="94">
      <c r="B1562" s="128">
        <f>B1561+1</f>
        <v/>
      </c>
      <c r="C1562" s="94">
        <f>TEXT(B1562,"aaa")</f>
        <v/>
      </c>
      <c r="D1562" s="94" t="inlineStr">
        <is>
          <t>페이스북/인스타그램</t>
        </is>
      </c>
      <c r="E1562" s="94" t="inlineStr">
        <is>
          <t>토너</t>
        </is>
      </c>
      <c r="G1562" s="4" t="n"/>
      <c r="J1562" s="89" t="n">
        <v>981630</v>
      </c>
    </row>
    <row r="1563" hidden="1" customFormat="1" s="94">
      <c r="B1563" s="128">
        <f>B1562+1</f>
        <v/>
      </c>
      <c r="C1563" s="94">
        <f>TEXT(B1563,"aaa")</f>
        <v/>
      </c>
      <c r="D1563" s="94" t="inlineStr">
        <is>
          <t>페이스북/인스타그램</t>
        </is>
      </c>
      <c r="E1563" s="94" t="inlineStr">
        <is>
          <t>토너</t>
        </is>
      </c>
      <c r="G1563" s="4" t="n"/>
      <c r="J1563" s="89" t="n">
        <v>958828</v>
      </c>
    </row>
    <row r="1564" hidden="1" customFormat="1" s="94">
      <c r="B1564" s="128">
        <f>B1563+1</f>
        <v/>
      </c>
      <c r="C1564" s="94">
        <f>TEXT(B1564,"aaa")</f>
        <v/>
      </c>
      <c r="D1564" s="94" t="inlineStr">
        <is>
          <t>페이스북/인스타그램</t>
        </is>
      </c>
      <c r="E1564" s="94" t="inlineStr">
        <is>
          <t>토너</t>
        </is>
      </c>
      <c r="G1564" s="4" t="n"/>
      <c r="J1564" s="89" t="n">
        <v>984741</v>
      </c>
    </row>
    <row r="1565" hidden="1" customFormat="1" s="94">
      <c r="B1565" s="128">
        <f>B1564+1</f>
        <v/>
      </c>
      <c r="C1565" s="94">
        <f>TEXT(B1565,"aaa")</f>
        <v/>
      </c>
      <c r="D1565" s="94" t="inlineStr">
        <is>
          <t>페이스북/인스타그램</t>
        </is>
      </c>
      <c r="E1565" s="94" t="inlineStr">
        <is>
          <t>토너</t>
        </is>
      </c>
      <c r="G1565" s="4" t="n"/>
      <c r="J1565" s="89" t="n">
        <v>957482</v>
      </c>
    </row>
    <row r="1566" hidden="1" customFormat="1" s="94">
      <c r="B1566" s="128">
        <f>B1565+1</f>
        <v/>
      </c>
      <c r="C1566" s="94">
        <f>TEXT(B1566,"aaa")</f>
        <v/>
      </c>
      <c r="D1566" s="94" t="inlineStr">
        <is>
          <t>페이스북/인스타그램</t>
        </is>
      </c>
      <c r="E1566" s="94" t="inlineStr">
        <is>
          <t>토너</t>
        </is>
      </c>
      <c r="G1566" s="4" t="n"/>
      <c r="J1566" s="89" t="n">
        <v>955821</v>
      </c>
    </row>
    <row r="1567" hidden="1" customFormat="1" s="94">
      <c r="B1567" s="128">
        <f>B1566+1</f>
        <v/>
      </c>
      <c r="C1567" s="94">
        <f>TEXT(B1567,"aaa")</f>
        <v/>
      </c>
      <c r="D1567" s="94" t="inlineStr">
        <is>
          <t>페이스북/인스타그램</t>
        </is>
      </c>
      <c r="E1567" s="94" t="inlineStr">
        <is>
          <t>토너</t>
        </is>
      </c>
      <c r="G1567" s="4" t="n"/>
      <c r="J1567" s="89" t="n">
        <v>971434</v>
      </c>
    </row>
    <row r="1568" hidden="1" customFormat="1" s="94">
      <c r="B1568" s="128">
        <f>B1567+1</f>
        <v/>
      </c>
      <c r="C1568" s="94">
        <f>TEXT(B1568,"aaa")</f>
        <v/>
      </c>
      <c r="D1568" s="94" t="inlineStr">
        <is>
          <t>페이스북/인스타그램</t>
        </is>
      </c>
      <c r="E1568" s="94" t="inlineStr">
        <is>
          <t>토너</t>
        </is>
      </c>
      <c r="G1568" s="4" t="n"/>
      <c r="J1568" s="89" t="n">
        <v>1050035</v>
      </c>
    </row>
    <row r="1569" hidden="1" customFormat="1" s="94">
      <c r="B1569" s="128">
        <f>B1568+1</f>
        <v/>
      </c>
      <c r="C1569" s="94">
        <f>TEXT(B1569,"aaa")</f>
        <v/>
      </c>
      <c r="D1569" s="94" t="inlineStr">
        <is>
          <t>페이스북/인스타그램</t>
        </is>
      </c>
      <c r="E1569" s="94" t="inlineStr">
        <is>
          <t>토너</t>
        </is>
      </c>
      <c r="G1569" s="4" t="n"/>
      <c r="J1569" s="89" t="n">
        <v>983009</v>
      </c>
    </row>
    <row r="1570" hidden="1" customFormat="1" s="94">
      <c r="B1570" s="128">
        <f>B1569+1</f>
        <v/>
      </c>
      <c r="C1570" s="94">
        <f>TEXT(B1570,"aaa")</f>
        <v/>
      </c>
      <c r="D1570" s="94" t="inlineStr">
        <is>
          <t>페이스북/인스타그램</t>
        </is>
      </c>
      <c r="E1570" s="94" t="inlineStr">
        <is>
          <t>토너</t>
        </is>
      </c>
      <c r="G1570" s="4" t="n"/>
      <c r="J1570" s="89" t="n">
        <v>864619</v>
      </c>
    </row>
    <row r="1571" hidden="1" customFormat="1" s="94">
      <c r="B1571" s="128">
        <f>B1570+1</f>
        <v/>
      </c>
      <c r="C1571" s="94">
        <f>TEXT(B1571,"aaa")</f>
        <v/>
      </c>
      <c r="D1571" s="94" t="inlineStr">
        <is>
          <t>페이스북/인스타그램</t>
        </is>
      </c>
      <c r="E1571" s="94" t="inlineStr">
        <is>
          <t>토너</t>
        </is>
      </c>
      <c r="G1571" s="4" t="n"/>
      <c r="J1571" s="89" t="n">
        <v>589284</v>
      </c>
    </row>
    <row r="1572" hidden="1" customFormat="1" s="94">
      <c r="B1572" s="128">
        <f>B1571+1</f>
        <v/>
      </c>
      <c r="C1572" s="94">
        <f>TEXT(B1572,"aaa")</f>
        <v/>
      </c>
      <c r="D1572" s="94" t="inlineStr">
        <is>
          <t>페이스북/인스타그램</t>
        </is>
      </c>
      <c r="E1572" s="94" t="inlineStr">
        <is>
          <t>토너</t>
        </is>
      </c>
      <c r="G1572" s="4" t="n"/>
      <c r="J1572" s="89" t="n">
        <v>475294</v>
      </c>
    </row>
    <row r="1573" hidden="1" customFormat="1" s="94">
      <c r="B1573" s="128">
        <f>B1572+1</f>
        <v/>
      </c>
      <c r="C1573" s="94">
        <f>TEXT(B1573,"aaa")</f>
        <v/>
      </c>
      <c r="D1573" s="94" t="inlineStr">
        <is>
          <t>페이스북/인스타그램</t>
        </is>
      </c>
      <c r="E1573" s="94" t="inlineStr">
        <is>
          <t>토너</t>
        </is>
      </c>
      <c r="G1573" s="4" t="n"/>
      <c r="J1573" s="89" t="n">
        <v>460614</v>
      </c>
    </row>
    <row r="1574" hidden="1" customFormat="1" s="94">
      <c r="B1574" s="128">
        <f>B1573+1</f>
        <v/>
      </c>
      <c r="C1574" s="94">
        <f>TEXT(B1574,"aaa")</f>
        <v/>
      </c>
      <c r="D1574" s="94" t="inlineStr">
        <is>
          <t>페이스북/인스타그램</t>
        </is>
      </c>
      <c r="E1574" s="94" t="inlineStr">
        <is>
          <t>토너</t>
        </is>
      </c>
      <c r="G1574" s="4" t="n"/>
      <c r="J1574" s="89" t="n">
        <v>407525</v>
      </c>
    </row>
    <row r="1575" hidden="1" customFormat="1" s="94">
      <c r="B1575" s="128">
        <f>B1574+1</f>
        <v/>
      </c>
      <c r="C1575" s="94">
        <f>TEXT(B1575,"aaa")</f>
        <v/>
      </c>
      <c r="D1575" s="94" t="inlineStr">
        <is>
          <t>페이스북/인스타그램</t>
        </is>
      </c>
      <c r="E1575" s="94" t="inlineStr">
        <is>
          <t>토너</t>
        </is>
      </c>
      <c r="G1575" s="4" t="n"/>
      <c r="J1575" s="89" t="n">
        <v>297970</v>
      </c>
    </row>
    <row r="1576" hidden="1" customFormat="1" s="94">
      <c r="B1576" s="128">
        <f>B1575+1</f>
        <v/>
      </c>
      <c r="C1576" s="94">
        <f>TEXT(B1576,"aaa")</f>
        <v/>
      </c>
      <c r="D1576" s="94" t="inlineStr">
        <is>
          <t>페이스북/인스타그램</t>
        </is>
      </c>
      <c r="E1576" s="94" t="inlineStr">
        <is>
          <t>토너</t>
        </is>
      </c>
      <c r="G1576" s="4" t="n"/>
      <c r="J1576" s="89" t="n">
        <v>442737</v>
      </c>
    </row>
    <row r="1577" hidden="1" customFormat="1" s="94">
      <c r="B1577" s="128">
        <f>B1576+1</f>
        <v/>
      </c>
      <c r="C1577" s="94">
        <f>TEXT(B1577,"aaa")</f>
        <v/>
      </c>
      <c r="D1577" s="94" t="inlineStr">
        <is>
          <t>페이스북/인스타그램</t>
        </is>
      </c>
      <c r="E1577" s="94" t="inlineStr">
        <is>
          <t>토너</t>
        </is>
      </c>
      <c r="G1577" s="4" t="n"/>
      <c r="J1577" s="89" t="n">
        <v>507581</v>
      </c>
    </row>
    <row r="1578" hidden="1" customFormat="1" s="94">
      <c r="B1578" s="128">
        <f>B1577+1</f>
        <v/>
      </c>
      <c r="C1578" s="94">
        <f>TEXT(B1578,"aaa")</f>
        <v/>
      </c>
      <c r="D1578" s="94" t="inlineStr">
        <is>
          <t>페이스북/인스타그램</t>
        </is>
      </c>
      <c r="E1578" s="94" t="inlineStr">
        <is>
          <t>토너</t>
        </is>
      </c>
      <c r="G1578" s="4" t="n"/>
      <c r="J1578" s="89" t="n">
        <v>493234</v>
      </c>
    </row>
    <row r="1579" hidden="1" customFormat="1" s="94">
      <c r="B1579" s="128">
        <f>B1578+1</f>
        <v/>
      </c>
      <c r="C1579" s="94">
        <f>TEXT(B1579,"aaa")</f>
        <v/>
      </c>
      <c r="D1579" s="94" t="inlineStr">
        <is>
          <t>페이스북/인스타그램</t>
        </is>
      </c>
      <c r="E1579" s="94" t="inlineStr">
        <is>
          <t>토너</t>
        </is>
      </c>
      <c r="G1579" s="4" t="n"/>
      <c r="J1579" s="89" t="n">
        <v>410599</v>
      </c>
    </row>
    <row r="1580" hidden="1" customFormat="1" s="94">
      <c r="B1580" s="128">
        <f>B1579+1</f>
        <v/>
      </c>
      <c r="C1580" s="94">
        <f>TEXT(B1580,"aaa")</f>
        <v/>
      </c>
      <c r="D1580" s="94" t="inlineStr">
        <is>
          <t>페이스북/인스타그램</t>
        </is>
      </c>
      <c r="E1580" s="94" t="inlineStr">
        <is>
          <t>토너</t>
        </is>
      </c>
      <c r="G1580" s="4" t="n"/>
      <c r="J1580" s="89" t="n">
        <v>432117</v>
      </c>
    </row>
    <row r="1581" hidden="1" customFormat="1" s="94">
      <c r="B1581" s="128">
        <f>B1580+1</f>
        <v/>
      </c>
      <c r="C1581" s="94">
        <f>TEXT(B1581,"aaa")</f>
        <v/>
      </c>
      <c r="D1581" s="94" t="inlineStr">
        <is>
          <t>페이스북/인스타그램</t>
        </is>
      </c>
      <c r="E1581" s="94" t="inlineStr">
        <is>
          <t>토너</t>
        </is>
      </c>
      <c r="G1581" s="4" t="n"/>
      <c r="J1581" s="89" t="n">
        <v>475119</v>
      </c>
    </row>
    <row r="1582" hidden="1" customFormat="1" s="94">
      <c r="B1582" s="128">
        <f>B1581+1</f>
        <v/>
      </c>
      <c r="C1582" s="94">
        <f>TEXT(B1582,"aaa")</f>
        <v/>
      </c>
      <c r="D1582" s="94" t="inlineStr">
        <is>
          <t>페이스북/인스타그램</t>
        </is>
      </c>
      <c r="E1582" s="94" t="inlineStr">
        <is>
          <t>토너</t>
        </is>
      </c>
      <c r="G1582" s="4" t="n"/>
      <c r="J1582" s="89" t="n">
        <v>336260</v>
      </c>
    </row>
    <row r="1583" hidden="1" customFormat="1" s="94">
      <c r="B1583" s="128">
        <f>B1582+1</f>
        <v/>
      </c>
      <c r="C1583" s="94">
        <f>TEXT(B1583,"aaa")</f>
        <v/>
      </c>
      <c r="D1583" s="94" t="inlineStr">
        <is>
          <t>페이스북/인스타그램</t>
        </is>
      </c>
      <c r="E1583" s="94" t="inlineStr">
        <is>
          <t>토너</t>
        </is>
      </c>
      <c r="G1583" s="4" t="n"/>
      <c r="J1583" s="89" t="n">
        <v>683454</v>
      </c>
    </row>
    <row r="1584" hidden="1" customFormat="1" s="94">
      <c r="B1584" s="128">
        <f>B1583+1</f>
        <v/>
      </c>
      <c r="C1584" s="94">
        <f>TEXT(B1584,"aaa")</f>
        <v/>
      </c>
      <c r="D1584" s="94" t="inlineStr">
        <is>
          <t>페이스북/인스타그램</t>
        </is>
      </c>
      <c r="E1584" s="94" t="inlineStr">
        <is>
          <t>토너</t>
        </is>
      </c>
      <c r="G1584" s="4" t="n"/>
      <c r="J1584" s="89" t="n">
        <v>748942</v>
      </c>
    </row>
    <row r="1585" hidden="1" customFormat="1" s="94">
      <c r="B1585" s="128">
        <f>B1584+1</f>
        <v/>
      </c>
      <c r="C1585" s="94">
        <f>TEXT(B1585,"aaa")</f>
        <v/>
      </c>
      <c r="D1585" s="94" t="inlineStr">
        <is>
          <t>페이스북/인스타그램</t>
        </is>
      </c>
      <c r="E1585" s="94" t="inlineStr">
        <is>
          <t>토너</t>
        </is>
      </c>
      <c r="G1585" s="4" t="n"/>
      <c r="J1585" s="89" t="n">
        <v>1193212</v>
      </c>
    </row>
    <row r="1586" hidden="1" customFormat="1" s="94">
      <c r="B1586" s="128">
        <f>B1585+1</f>
        <v/>
      </c>
      <c r="C1586" s="94">
        <f>TEXT(B1586,"aaa")</f>
        <v/>
      </c>
      <c r="D1586" s="94" t="inlineStr">
        <is>
          <t>페이스북/인스타그램</t>
        </is>
      </c>
      <c r="E1586" s="94" t="inlineStr">
        <is>
          <t>토너</t>
        </is>
      </c>
      <c r="G1586" s="4" t="n"/>
      <c r="J1586" s="89" t="n">
        <v>907765</v>
      </c>
    </row>
    <row r="1587" hidden="1" customFormat="1" s="94">
      <c r="B1587" s="128">
        <f>B1586+1</f>
        <v/>
      </c>
      <c r="C1587" s="94">
        <f>TEXT(B1587,"aaa")</f>
        <v/>
      </c>
      <c r="D1587" s="94" t="inlineStr">
        <is>
          <t>페이스북/인스타그램</t>
        </is>
      </c>
      <c r="E1587" s="94" t="inlineStr">
        <is>
          <t>토너</t>
        </is>
      </c>
      <c r="G1587" s="4" t="n"/>
      <c r="J1587" s="89" t="n">
        <v>677537</v>
      </c>
    </row>
    <row r="1588" hidden="1" customFormat="1" s="94">
      <c r="B1588" s="128">
        <f>B1587+1</f>
        <v/>
      </c>
      <c r="C1588" s="94">
        <f>TEXT(B1588,"aaa")</f>
        <v/>
      </c>
      <c r="D1588" s="94" t="inlineStr">
        <is>
          <t>페이스북/인스타그램</t>
        </is>
      </c>
      <c r="E1588" s="94" t="inlineStr">
        <is>
          <t>토너</t>
        </is>
      </c>
      <c r="G1588" s="4" t="n"/>
      <c r="J1588" s="89" t="n">
        <v>505633</v>
      </c>
    </row>
    <row r="1589" hidden="1" customFormat="1" s="94">
      <c r="B1589" s="128">
        <f>B1588+1</f>
        <v/>
      </c>
      <c r="C1589" s="94">
        <f>TEXT(B1589,"aaa")</f>
        <v/>
      </c>
      <c r="D1589" s="94" t="inlineStr">
        <is>
          <t>페이스북/인스타그램</t>
        </is>
      </c>
      <c r="E1589" s="94" t="inlineStr">
        <is>
          <t>토너</t>
        </is>
      </c>
      <c r="G1589" s="4" t="n"/>
      <c r="J1589" s="89" t="n">
        <v>366610</v>
      </c>
    </row>
    <row r="1590" hidden="1" customFormat="1" s="94">
      <c r="B1590" s="128">
        <f>B1589+1</f>
        <v/>
      </c>
      <c r="C1590" s="94">
        <f>TEXT(B1590,"aaa")</f>
        <v/>
      </c>
      <c r="D1590" s="94" t="inlineStr">
        <is>
          <t>페이스북/인스타그램</t>
        </is>
      </c>
      <c r="E1590" s="94" t="inlineStr">
        <is>
          <t>토너</t>
        </is>
      </c>
      <c r="G1590" s="4" t="n"/>
      <c r="J1590" s="89" t="n">
        <v>499987</v>
      </c>
    </row>
    <row r="1591" hidden="1" customFormat="1" s="94">
      <c r="B1591" s="128">
        <f>B1590+1</f>
        <v/>
      </c>
      <c r="C1591" s="94">
        <f>TEXT(B1591,"aaa")</f>
        <v/>
      </c>
      <c r="D1591" s="94" t="inlineStr">
        <is>
          <t>페이스북/인스타그램</t>
        </is>
      </c>
      <c r="E1591" s="94" t="inlineStr">
        <is>
          <t>토너</t>
        </is>
      </c>
      <c r="G1591" s="4" t="n"/>
      <c r="J1591" s="89" t="n">
        <v>344181</v>
      </c>
    </row>
    <row r="1592" hidden="1" customFormat="1" s="94">
      <c r="B1592" s="128" t="n">
        <v>43983</v>
      </c>
      <c r="C1592" s="94">
        <f>TEXT(B1592,"aaa")</f>
        <v/>
      </c>
      <c r="D1592" s="94" t="inlineStr">
        <is>
          <t>페이스북/인스타그램</t>
        </is>
      </c>
      <c r="E1592" s="94" t="inlineStr">
        <is>
          <t>선크림</t>
        </is>
      </c>
      <c r="G1592" s="4" t="n"/>
      <c r="J1592" s="89" t="n">
        <v>230258</v>
      </c>
    </row>
    <row r="1593" hidden="1" customFormat="1" s="94">
      <c r="B1593" s="128" t="n">
        <v>43984</v>
      </c>
      <c r="C1593" s="94">
        <f>TEXT(B1593,"aaa")</f>
        <v/>
      </c>
      <c r="D1593" s="94" t="inlineStr">
        <is>
          <t>페이스북/인스타그램</t>
        </is>
      </c>
      <c r="E1593" s="94" t="inlineStr">
        <is>
          <t>선크림</t>
        </is>
      </c>
      <c r="G1593" s="4" t="n"/>
      <c r="J1593" s="89" t="n">
        <v>306777</v>
      </c>
    </row>
    <row r="1594" hidden="1" customFormat="1" s="94">
      <c r="B1594" s="128" t="n">
        <v>43985</v>
      </c>
      <c r="C1594" s="94">
        <f>TEXT(B1594,"aaa")</f>
        <v/>
      </c>
      <c r="D1594" s="94" t="inlineStr">
        <is>
          <t>페이스북/인스타그램</t>
        </is>
      </c>
      <c r="E1594" s="94" t="inlineStr">
        <is>
          <t>선크림</t>
        </is>
      </c>
      <c r="G1594" s="4" t="n"/>
      <c r="J1594" s="89" t="n">
        <v>349054</v>
      </c>
    </row>
    <row r="1595" hidden="1" customFormat="1" s="94">
      <c r="B1595" s="128" t="n">
        <v>43986</v>
      </c>
      <c r="C1595" s="94">
        <f>TEXT(B1595,"aaa")</f>
        <v/>
      </c>
      <c r="D1595" s="94" t="inlineStr">
        <is>
          <t>페이스북/인스타그램</t>
        </is>
      </c>
      <c r="E1595" s="94" t="inlineStr">
        <is>
          <t>선크림</t>
        </is>
      </c>
      <c r="G1595" s="4" t="n"/>
      <c r="J1595" s="89" t="n">
        <v>347887</v>
      </c>
    </row>
    <row r="1596" hidden="1" customFormat="1" s="94">
      <c r="B1596" s="128" t="n">
        <v>43987</v>
      </c>
      <c r="C1596" s="94">
        <f>TEXT(B1596,"aaa")</f>
        <v/>
      </c>
      <c r="D1596" s="94" t="inlineStr">
        <is>
          <t>페이스북/인스타그램</t>
        </is>
      </c>
      <c r="E1596" s="94" t="inlineStr">
        <is>
          <t>선크림</t>
        </is>
      </c>
      <c r="G1596" s="4" t="n"/>
      <c r="J1596" s="89" t="n">
        <v>288936</v>
      </c>
    </row>
    <row r="1597" hidden="1" customFormat="1" s="94">
      <c r="B1597" s="128" t="n">
        <v>43988</v>
      </c>
      <c r="C1597" s="94">
        <f>TEXT(B1597,"aaa")</f>
        <v/>
      </c>
      <c r="D1597" s="94" t="inlineStr">
        <is>
          <t>페이스북/인스타그램</t>
        </is>
      </c>
      <c r="E1597" s="94" t="inlineStr">
        <is>
          <t>선크림</t>
        </is>
      </c>
      <c r="G1597" s="4" t="n"/>
      <c r="J1597" s="89" t="n">
        <v>255359</v>
      </c>
    </row>
    <row r="1598" hidden="1" customFormat="1" s="94">
      <c r="B1598" s="128" t="n">
        <v>43989</v>
      </c>
      <c r="C1598" s="94">
        <f>TEXT(B1598,"aaa")</f>
        <v/>
      </c>
      <c r="D1598" s="94" t="inlineStr">
        <is>
          <t>페이스북/인스타그램</t>
        </is>
      </c>
      <c r="E1598" s="94" t="inlineStr">
        <is>
          <t>선크림</t>
        </is>
      </c>
      <c r="G1598" s="4" t="n"/>
      <c r="J1598" s="89" t="n">
        <v>251005</v>
      </c>
    </row>
    <row r="1599" hidden="1" customFormat="1" s="94">
      <c r="B1599" s="128" t="n">
        <v>43990</v>
      </c>
      <c r="C1599" s="94">
        <f>TEXT(B1599,"aaa")</f>
        <v/>
      </c>
      <c r="D1599" s="94" t="inlineStr">
        <is>
          <t>페이스북/인스타그램</t>
        </is>
      </c>
      <c r="E1599" s="94" t="inlineStr">
        <is>
          <t>선크림</t>
        </is>
      </c>
      <c r="G1599" s="4" t="n"/>
      <c r="J1599" s="89" t="n">
        <v>202755</v>
      </c>
    </row>
    <row r="1600" hidden="1" customFormat="1" s="94">
      <c r="B1600" s="128" t="n">
        <v>43991</v>
      </c>
      <c r="C1600" s="94">
        <f>TEXT(B1600,"aaa")</f>
        <v/>
      </c>
      <c r="D1600" s="94" t="inlineStr">
        <is>
          <t>페이스북/인스타그램</t>
        </is>
      </c>
      <c r="E1600" s="94" t="inlineStr">
        <is>
          <t>선크림</t>
        </is>
      </c>
      <c r="G1600" s="4" t="n"/>
      <c r="J1600" s="89" t="n">
        <v>191655</v>
      </c>
    </row>
    <row r="1601" hidden="1" customFormat="1" s="94">
      <c r="B1601" s="128" t="n">
        <v>43992</v>
      </c>
      <c r="C1601" s="94">
        <f>TEXT(B1601,"aaa")</f>
        <v/>
      </c>
      <c r="D1601" s="94" t="inlineStr">
        <is>
          <t>페이스북/인스타그램</t>
        </is>
      </c>
      <c r="E1601" s="94" t="inlineStr">
        <is>
          <t>선크림</t>
        </is>
      </c>
      <c r="G1601" s="4" t="n"/>
      <c r="J1601" s="89" t="n">
        <v>189906</v>
      </c>
    </row>
    <row r="1602" hidden="1" customFormat="1" s="94">
      <c r="B1602" s="128" t="n">
        <v>43993</v>
      </c>
      <c r="C1602" s="94">
        <f>TEXT(B1602,"aaa")</f>
        <v/>
      </c>
      <c r="D1602" s="94" t="inlineStr">
        <is>
          <t>페이스북/인스타그램</t>
        </is>
      </c>
      <c r="E1602" s="94" t="inlineStr">
        <is>
          <t>선크림</t>
        </is>
      </c>
      <c r="G1602" s="4" t="n"/>
      <c r="J1602" s="89" t="n">
        <v>194898</v>
      </c>
    </row>
    <row r="1603" hidden="1" customFormat="1" s="94">
      <c r="B1603" s="128" t="n">
        <v>43994</v>
      </c>
      <c r="C1603" s="94">
        <f>TEXT(B1603,"aaa")</f>
        <v/>
      </c>
      <c r="D1603" s="94" t="inlineStr">
        <is>
          <t>페이스북/인스타그램</t>
        </is>
      </c>
      <c r="E1603" s="94" t="inlineStr">
        <is>
          <t>선크림</t>
        </is>
      </c>
      <c r="G1603" s="4" t="n"/>
      <c r="J1603" s="89" t="n">
        <v>197022</v>
      </c>
    </row>
    <row r="1604" hidden="1" customFormat="1" s="94">
      <c r="B1604" s="128" t="n">
        <v>43995</v>
      </c>
      <c r="C1604" s="94">
        <f>TEXT(B1604,"aaa")</f>
        <v/>
      </c>
      <c r="D1604" s="94" t="inlineStr">
        <is>
          <t>페이스북/인스타그램</t>
        </is>
      </c>
      <c r="E1604" s="94" t="inlineStr">
        <is>
          <t>선크림</t>
        </is>
      </c>
      <c r="G1604" s="4" t="n"/>
      <c r="J1604" s="89" t="n">
        <v>210002</v>
      </c>
    </row>
    <row r="1605" hidden="1" customFormat="1" s="94">
      <c r="B1605" s="128" t="n">
        <v>43996</v>
      </c>
      <c r="C1605" s="94">
        <f>TEXT(B1605,"aaa")</f>
        <v/>
      </c>
      <c r="D1605" s="94" t="inlineStr">
        <is>
          <t>페이스북/인스타그램</t>
        </is>
      </c>
      <c r="E1605" s="94" t="inlineStr">
        <is>
          <t>선크림</t>
        </is>
      </c>
      <c r="G1605" s="4" t="n"/>
      <c r="J1605" s="89" t="n">
        <v>200976</v>
      </c>
    </row>
    <row r="1606" hidden="1" customFormat="1" s="94">
      <c r="B1606" s="128" t="n">
        <v>43997</v>
      </c>
      <c r="C1606" s="94">
        <f>TEXT(B1606,"aaa")</f>
        <v/>
      </c>
      <c r="D1606" s="94" t="inlineStr">
        <is>
          <t>페이스북/인스타그램</t>
        </is>
      </c>
      <c r="E1606" s="94" t="inlineStr">
        <is>
          <t>선크림</t>
        </is>
      </c>
      <c r="G1606" s="4" t="n"/>
      <c r="J1606" s="89" t="n">
        <v>191422</v>
      </c>
    </row>
    <row r="1607" hidden="1" customFormat="1" s="94">
      <c r="B1607" s="128" t="n">
        <v>43998</v>
      </c>
      <c r="C1607" s="94">
        <f>TEXT(B1607,"aaa")</f>
        <v/>
      </c>
      <c r="D1607" s="94" t="inlineStr">
        <is>
          <t>페이스북/인스타그램</t>
        </is>
      </c>
      <c r="E1607" s="94" t="inlineStr">
        <is>
          <t>선크림</t>
        </is>
      </c>
      <c r="G1607" s="4" t="n"/>
      <c r="J1607" s="89" t="n">
        <v>211328</v>
      </c>
    </row>
    <row r="1608" hidden="1" customFormat="1" s="94">
      <c r="B1608" s="128" t="n">
        <v>43999</v>
      </c>
      <c r="C1608" s="94">
        <f>TEXT(B1608,"aaa")</f>
        <v/>
      </c>
      <c r="D1608" s="94" t="inlineStr">
        <is>
          <t>페이스북/인스타그램</t>
        </is>
      </c>
      <c r="E1608" s="94" t="inlineStr">
        <is>
          <t>선크림</t>
        </is>
      </c>
      <c r="G1608" s="4" t="n"/>
      <c r="J1608" s="89" t="n">
        <v>250306</v>
      </c>
    </row>
    <row r="1609" hidden="1" customFormat="1" s="94">
      <c r="B1609" s="128" t="n">
        <v>44000</v>
      </c>
      <c r="C1609" s="94">
        <f>TEXT(B1609,"aaa")</f>
        <v/>
      </c>
      <c r="D1609" s="94" t="inlineStr">
        <is>
          <t>페이스북/인스타그램</t>
        </is>
      </c>
      <c r="E1609" s="94" t="inlineStr">
        <is>
          <t>선크림</t>
        </is>
      </c>
      <c r="G1609" s="4" t="n"/>
      <c r="J1609" s="89" t="n">
        <v>808409</v>
      </c>
    </row>
    <row r="1610" hidden="1" customFormat="1" s="94">
      <c r="B1610" s="128" t="n">
        <v>44001</v>
      </c>
      <c r="C1610" s="94">
        <f>TEXT(B1610,"aaa")</f>
        <v/>
      </c>
      <c r="D1610" s="94" t="inlineStr">
        <is>
          <t>페이스북/인스타그램</t>
        </is>
      </c>
      <c r="E1610" s="94" t="inlineStr">
        <is>
          <t>선크림</t>
        </is>
      </c>
      <c r="G1610" s="4" t="n"/>
      <c r="J1610" s="89" t="n">
        <v>715304</v>
      </c>
    </row>
    <row r="1611" hidden="1" customFormat="1" s="94">
      <c r="B1611" s="128" t="n">
        <v>44002</v>
      </c>
      <c r="C1611" s="94">
        <f>TEXT(B1611,"aaa")</f>
        <v/>
      </c>
      <c r="D1611" s="94" t="inlineStr">
        <is>
          <t>페이스북/인스타그램</t>
        </is>
      </c>
      <c r="E1611" s="94" t="inlineStr">
        <is>
          <t>선크림</t>
        </is>
      </c>
      <c r="G1611" s="4" t="n"/>
      <c r="J1611" s="89" t="n">
        <v>102806</v>
      </c>
    </row>
    <row r="1612" hidden="1" customFormat="1" s="94">
      <c r="B1612" s="128" t="n">
        <v>44004</v>
      </c>
      <c r="C1612" s="94">
        <f>TEXT(B1612,"aaa")</f>
        <v/>
      </c>
      <c r="D1612" s="94" t="inlineStr">
        <is>
          <t>페이스북/인스타그램</t>
        </is>
      </c>
      <c r="E1612" s="94" t="inlineStr">
        <is>
          <t>선크림</t>
        </is>
      </c>
      <c r="G1612" s="4" t="n"/>
      <c r="J1612" s="89" t="n">
        <v>37887</v>
      </c>
    </row>
    <row r="1613" hidden="1" customFormat="1" s="94">
      <c r="B1613" s="128" t="n">
        <v>44005</v>
      </c>
      <c r="C1613" s="94">
        <f>TEXT(B1613,"aaa")</f>
        <v/>
      </c>
      <c r="D1613" s="94" t="inlineStr">
        <is>
          <t>페이스북/인스타그램</t>
        </is>
      </c>
      <c r="E1613" s="94" t="inlineStr">
        <is>
          <t>선크림</t>
        </is>
      </c>
      <c r="G1613" s="4" t="n"/>
      <c r="J1613" s="89" t="n">
        <v>108574</v>
      </c>
    </row>
    <row r="1614" hidden="1" customFormat="1" s="94">
      <c r="B1614" s="128" t="n">
        <v>44006</v>
      </c>
      <c r="C1614" s="94">
        <f>TEXT(B1614,"aaa")</f>
        <v/>
      </c>
      <c r="D1614" s="94" t="inlineStr">
        <is>
          <t>페이스북/인스타그램</t>
        </is>
      </c>
      <c r="E1614" s="94" t="inlineStr">
        <is>
          <t>선크림</t>
        </is>
      </c>
      <c r="G1614" s="4" t="n"/>
      <c r="J1614" s="89" t="n">
        <v>22905</v>
      </c>
    </row>
    <row r="1615" hidden="1" customFormat="1" s="94">
      <c r="B1615" s="128" t="n">
        <v>44007</v>
      </c>
      <c r="C1615" s="94">
        <f>TEXT(B1615,"aaa")</f>
        <v/>
      </c>
      <c r="D1615" s="94" t="inlineStr">
        <is>
          <t>페이스북/인스타그램</t>
        </is>
      </c>
      <c r="E1615" s="94" t="inlineStr">
        <is>
          <t>선크림</t>
        </is>
      </c>
      <c r="G1615" s="4" t="n"/>
      <c r="J1615" s="89" t="n">
        <v>240418</v>
      </c>
    </row>
    <row r="1616" hidden="1" customFormat="1" s="94">
      <c r="B1616" s="128" t="n">
        <v>44008</v>
      </c>
      <c r="C1616" s="94">
        <f>TEXT(B1616,"aaa")</f>
        <v/>
      </c>
      <c r="D1616" s="94" t="inlineStr">
        <is>
          <t>페이스북/인스타그램</t>
        </is>
      </c>
      <c r="E1616" s="94" t="inlineStr">
        <is>
          <t>선크림</t>
        </is>
      </c>
      <c r="G1616" s="4" t="n"/>
      <c r="J1616" s="89" t="n">
        <v>564316</v>
      </c>
    </row>
    <row r="1617" hidden="1" customFormat="1" s="94">
      <c r="B1617" s="128" t="n">
        <v>44009</v>
      </c>
      <c r="C1617" s="94">
        <f>TEXT(B1617,"aaa")</f>
        <v/>
      </c>
      <c r="D1617" s="94" t="inlineStr">
        <is>
          <t>페이스북/인스타그램</t>
        </is>
      </c>
      <c r="E1617" s="94" t="inlineStr">
        <is>
          <t>선크림</t>
        </is>
      </c>
      <c r="G1617" s="4" t="n"/>
      <c r="J1617" s="89" t="n">
        <v>434729</v>
      </c>
    </row>
    <row r="1618" hidden="1" customFormat="1" s="94">
      <c r="B1618" s="128" t="n">
        <v>44010</v>
      </c>
      <c r="C1618" s="94">
        <f>TEXT(B1618,"aaa")</f>
        <v/>
      </c>
      <c r="D1618" s="94" t="inlineStr">
        <is>
          <t>페이스북/인스타그램</t>
        </is>
      </c>
      <c r="E1618" s="94" t="inlineStr">
        <is>
          <t>선크림</t>
        </is>
      </c>
      <c r="G1618" s="4" t="n"/>
      <c r="J1618" s="89" t="n">
        <v>263331</v>
      </c>
    </row>
    <row r="1619" hidden="1" customFormat="1" s="94">
      <c r="B1619" s="128" t="n">
        <v>44011</v>
      </c>
      <c r="C1619" s="94">
        <f>TEXT(B1619,"aaa")</f>
        <v/>
      </c>
      <c r="D1619" s="94" t="inlineStr">
        <is>
          <t>페이스북/인스타그램</t>
        </is>
      </c>
      <c r="E1619" s="94" t="inlineStr">
        <is>
          <t>선크림</t>
        </is>
      </c>
      <c r="G1619" s="4" t="n"/>
      <c r="J1619" s="89" t="n">
        <v>426827</v>
      </c>
    </row>
    <row r="1620" hidden="1" customFormat="1" s="94">
      <c r="B1620" s="128" t="n">
        <v>44012</v>
      </c>
      <c r="C1620" s="94">
        <f>TEXT(B1620,"aaa")</f>
        <v/>
      </c>
      <c r="D1620" s="94" t="inlineStr">
        <is>
          <t>페이스북/인스타그램</t>
        </is>
      </c>
      <c r="E1620" s="94" t="inlineStr">
        <is>
          <t>선크림</t>
        </is>
      </c>
      <c r="G1620" s="4" t="n"/>
      <c r="J1620" s="89" t="n">
        <v>1013264</v>
      </c>
    </row>
    <row r="1621" hidden="1" customFormat="1" s="94">
      <c r="B1621" s="128" t="n">
        <v>44013</v>
      </c>
      <c r="C1621" s="94">
        <f>TEXT(B1621,"aaa")</f>
        <v/>
      </c>
      <c r="D1621" s="94" t="inlineStr">
        <is>
          <t>페이스북/인스타그램</t>
        </is>
      </c>
      <c r="E1621" s="94" t="inlineStr">
        <is>
          <t>선크림</t>
        </is>
      </c>
      <c r="G1621" s="4" t="n"/>
      <c r="J1621" s="89" t="n">
        <v>537522</v>
      </c>
    </row>
    <row r="1622" hidden="1" customFormat="1" s="94">
      <c r="B1622" s="128" t="n">
        <v>44014</v>
      </c>
      <c r="C1622" s="94">
        <f>TEXT(B1622,"aaa")</f>
        <v/>
      </c>
      <c r="D1622" s="94" t="inlineStr">
        <is>
          <t>페이스북/인스타그램</t>
        </is>
      </c>
      <c r="E1622" s="94" t="inlineStr">
        <is>
          <t>선크림</t>
        </is>
      </c>
      <c r="G1622" s="4" t="n"/>
      <c r="J1622" s="89" t="n">
        <v>234502</v>
      </c>
    </row>
    <row r="1623" hidden="1" customFormat="1" s="94">
      <c r="B1623" s="128" t="n">
        <v>44015</v>
      </c>
      <c r="C1623" s="94">
        <f>TEXT(B1623,"aaa")</f>
        <v/>
      </c>
      <c r="D1623" s="94" t="inlineStr">
        <is>
          <t>페이스북/인스타그램</t>
        </is>
      </c>
      <c r="E1623" s="94" t="inlineStr">
        <is>
          <t>선크림</t>
        </is>
      </c>
      <c r="G1623" s="4" t="n"/>
      <c r="J1623" s="89" t="n">
        <v>142802</v>
      </c>
    </row>
    <row r="1624" hidden="1" customFormat="1" s="94">
      <c r="B1624" s="128" t="n">
        <v>44017</v>
      </c>
      <c r="C1624" s="94">
        <f>TEXT(B1624,"aaa")</f>
        <v/>
      </c>
      <c r="D1624" s="94" t="inlineStr">
        <is>
          <t>페이스북/인스타그램</t>
        </is>
      </c>
      <c r="E1624" s="94" t="inlineStr">
        <is>
          <t>선크림</t>
        </is>
      </c>
      <c r="G1624" s="4" t="n"/>
      <c r="J1624" s="89" t="n">
        <v>198885</v>
      </c>
    </row>
    <row r="1625" hidden="1" customFormat="1" s="94">
      <c r="B1625" s="128" t="n">
        <v>44018</v>
      </c>
      <c r="C1625" s="94">
        <f>TEXT(B1625,"aaa")</f>
        <v/>
      </c>
      <c r="D1625" s="94" t="inlineStr">
        <is>
          <t>페이스북/인스타그램</t>
        </is>
      </c>
      <c r="E1625" s="94" t="inlineStr">
        <is>
          <t>선크림</t>
        </is>
      </c>
      <c r="G1625" s="4" t="n"/>
      <c r="J1625" s="89" t="n">
        <v>346014</v>
      </c>
    </row>
    <row r="1626" hidden="1" customFormat="1" s="94">
      <c r="B1626" s="128" t="n">
        <v>44019</v>
      </c>
      <c r="C1626" s="94">
        <f>TEXT(B1626,"aaa")</f>
        <v/>
      </c>
      <c r="D1626" s="94" t="inlineStr">
        <is>
          <t>페이스북/인스타그램</t>
        </is>
      </c>
      <c r="E1626" s="94" t="inlineStr">
        <is>
          <t>선크림</t>
        </is>
      </c>
      <c r="G1626" s="4" t="n"/>
      <c r="J1626" s="89" t="n">
        <v>400190</v>
      </c>
    </row>
    <row r="1627" hidden="1" customFormat="1" s="94">
      <c r="B1627" s="128" t="n">
        <v>44020</v>
      </c>
      <c r="C1627" s="94">
        <f>TEXT(B1627,"aaa")</f>
        <v/>
      </c>
      <c r="D1627" s="94" t="inlineStr">
        <is>
          <t>페이스북/인스타그램</t>
        </is>
      </c>
      <c r="E1627" s="94" t="inlineStr">
        <is>
          <t>선크림</t>
        </is>
      </c>
      <c r="G1627" s="4" t="n"/>
      <c r="J1627" s="89" t="n">
        <v>224787</v>
      </c>
    </row>
    <row r="1628" hidden="1" customFormat="1" s="94">
      <c r="B1628" s="128" t="n">
        <v>44021</v>
      </c>
      <c r="C1628" s="94">
        <f>TEXT(B1628,"aaa")</f>
        <v/>
      </c>
      <c r="D1628" s="94" t="inlineStr">
        <is>
          <t>페이스북/인스타그램</t>
        </is>
      </c>
      <c r="E1628" s="94" t="inlineStr">
        <is>
          <t>선크림</t>
        </is>
      </c>
      <c r="G1628" s="4" t="n"/>
      <c r="J1628" s="89" t="n">
        <v>68869</v>
      </c>
    </row>
    <row r="1629" hidden="1" customFormat="1" s="94">
      <c r="B1629" s="128" t="n">
        <v>44024</v>
      </c>
      <c r="C1629" s="94">
        <f>TEXT(B1629,"aaa")</f>
        <v/>
      </c>
      <c r="D1629" s="94" t="inlineStr">
        <is>
          <t>페이스북/인스타그램</t>
        </is>
      </c>
      <c r="E1629" s="94" t="inlineStr">
        <is>
          <t>선크림</t>
        </is>
      </c>
      <c r="G1629" s="4" t="n"/>
      <c r="J1629" s="89" t="n">
        <v>196749</v>
      </c>
    </row>
    <row r="1630" hidden="1" customFormat="1" s="94">
      <c r="B1630" s="128" t="n">
        <v>44025</v>
      </c>
      <c r="C1630" s="94">
        <f>TEXT(B1630,"aaa")</f>
        <v/>
      </c>
      <c r="D1630" s="94" t="inlineStr">
        <is>
          <t>페이스북/인스타그램</t>
        </is>
      </c>
      <c r="E1630" s="94" t="inlineStr">
        <is>
          <t>선크림</t>
        </is>
      </c>
      <c r="G1630" s="4" t="n"/>
      <c r="J1630" s="89" t="n">
        <v>623302</v>
      </c>
    </row>
    <row r="1631" hidden="1" customFormat="1" s="94">
      <c r="B1631" s="128" t="n">
        <v>44026</v>
      </c>
      <c r="C1631" s="94">
        <f>TEXT(B1631,"aaa")</f>
        <v/>
      </c>
      <c r="D1631" s="94" t="inlineStr">
        <is>
          <t>페이스북/인스타그램</t>
        </is>
      </c>
      <c r="E1631" s="94" t="inlineStr">
        <is>
          <t>선크림</t>
        </is>
      </c>
      <c r="G1631" s="4" t="n"/>
      <c r="J1631" s="89" t="n">
        <v>321690</v>
      </c>
    </row>
    <row r="1632" hidden="1" customFormat="1" s="94">
      <c r="B1632" s="128" t="n">
        <v>44027</v>
      </c>
      <c r="C1632" s="94">
        <f>TEXT(B1632,"aaa")</f>
        <v/>
      </c>
      <c r="D1632" s="94" t="inlineStr">
        <is>
          <t>페이스북/인스타그램</t>
        </is>
      </c>
      <c r="E1632" s="94" t="inlineStr">
        <is>
          <t>선크림</t>
        </is>
      </c>
      <c r="G1632" s="4" t="n"/>
      <c r="J1632" s="89" t="n">
        <v>7062</v>
      </c>
    </row>
    <row r="1633" hidden="1" customFormat="1" s="94">
      <c r="B1633" s="128" t="n">
        <v>44020</v>
      </c>
      <c r="C1633" s="94">
        <f>TEXT(B1633,"aaa")</f>
        <v/>
      </c>
      <c r="D1633" s="94" t="inlineStr">
        <is>
          <t>네이버 GFA</t>
        </is>
      </c>
      <c r="E1633" s="94" t="inlineStr">
        <is>
          <t>선크림</t>
        </is>
      </c>
      <c r="G1633" s="4" t="n"/>
      <c r="J1633" s="89" t="n">
        <v>14084.54545454545</v>
      </c>
    </row>
    <row r="1634" hidden="1" customFormat="1" s="94">
      <c r="B1634" s="128">
        <f>B1633+1</f>
        <v/>
      </c>
      <c r="C1634" s="94">
        <f>TEXT(B1634,"aaa")</f>
        <v/>
      </c>
      <c r="D1634" s="94" t="inlineStr">
        <is>
          <t>네이버 GFA</t>
        </is>
      </c>
      <c r="E1634" s="94" t="inlineStr">
        <is>
          <t>선크림</t>
        </is>
      </c>
      <c r="G1634" s="4" t="n"/>
      <c r="J1634" s="89" t="n">
        <v>104525.4545454545</v>
      </c>
    </row>
    <row r="1635" hidden="1" customFormat="1" s="94">
      <c r="B1635" s="128">
        <f>B1634+1</f>
        <v/>
      </c>
      <c r="C1635" s="94">
        <f>TEXT(B1635,"aaa")</f>
        <v/>
      </c>
      <c r="D1635" s="94" t="inlineStr">
        <is>
          <t>네이버 GFA</t>
        </is>
      </c>
      <c r="E1635" s="94" t="inlineStr">
        <is>
          <t>선크림</t>
        </is>
      </c>
      <c r="G1635" s="4" t="n"/>
      <c r="J1635" s="89" t="n">
        <v>116573.6363636364</v>
      </c>
    </row>
    <row r="1636" hidden="1" customFormat="1" s="94">
      <c r="B1636" s="128">
        <f>B1635+1</f>
        <v/>
      </c>
      <c r="C1636" s="94">
        <f>TEXT(B1636,"aaa")</f>
        <v/>
      </c>
      <c r="D1636" s="94" t="inlineStr">
        <is>
          <t>네이버 GFA</t>
        </is>
      </c>
      <c r="E1636" s="94" t="inlineStr">
        <is>
          <t>선크림</t>
        </is>
      </c>
      <c r="G1636" s="4" t="n"/>
      <c r="J1636" s="89" t="n">
        <v>82024.54545454544</v>
      </c>
    </row>
    <row r="1637" hidden="1" customFormat="1" s="94">
      <c r="B1637" s="128">
        <f>B1636+1</f>
        <v/>
      </c>
      <c r="C1637" s="94">
        <f>TEXT(B1637,"aaa")</f>
        <v/>
      </c>
      <c r="D1637" s="94" t="inlineStr">
        <is>
          <t>네이버 GFA</t>
        </is>
      </c>
      <c r="E1637" s="94" t="inlineStr">
        <is>
          <t>선크림</t>
        </is>
      </c>
      <c r="G1637" s="4" t="n"/>
      <c r="J1637" s="89" t="n">
        <v>62659.0909090909</v>
      </c>
    </row>
    <row r="1638" hidden="1" customFormat="1" s="94">
      <c r="B1638" s="128">
        <f>B1637+1</f>
        <v/>
      </c>
      <c r="C1638" s="94">
        <f>TEXT(B1638,"aaa")</f>
        <v/>
      </c>
      <c r="D1638" s="94" t="inlineStr">
        <is>
          <t>네이버 GFA</t>
        </is>
      </c>
      <c r="E1638" s="94" t="inlineStr">
        <is>
          <t>선크림</t>
        </is>
      </c>
      <c r="G1638" s="4" t="n"/>
      <c r="J1638" s="89" t="n">
        <v>220084.5454545454</v>
      </c>
    </row>
    <row r="1639" hidden="1" customFormat="1" s="94">
      <c r="B1639" s="128">
        <f>B1638+1</f>
        <v/>
      </c>
      <c r="C1639" s="94">
        <f>TEXT(B1639,"aaa")</f>
        <v/>
      </c>
      <c r="D1639" s="94" t="inlineStr">
        <is>
          <t>네이버 GFA</t>
        </is>
      </c>
      <c r="E1639" s="94" t="inlineStr">
        <is>
          <t>선크림</t>
        </is>
      </c>
      <c r="G1639" s="4" t="n"/>
      <c r="J1639" s="89" t="n">
        <v>261468.1818181818</v>
      </c>
    </row>
    <row r="1640" hidden="1" customFormat="1" s="94">
      <c r="B1640" s="128">
        <f>B1639+1</f>
        <v/>
      </c>
      <c r="C1640" s="94">
        <f>TEXT(B1640,"aaa")</f>
        <v/>
      </c>
      <c r="D1640" s="94" t="inlineStr">
        <is>
          <t>네이버 GFA</t>
        </is>
      </c>
      <c r="E1640" s="94" t="inlineStr">
        <is>
          <t>선크림</t>
        </is>
      </c>
      <c r="G1640" s="4" t="n"/>
      <c r="J1640" s="89" t="n">
        <v>216820.9090909091</v>
      </c>
    </row>
    <row r="1641" hidden="1" customFormat="1" s="94">
      <c r="B1641" s="128">
        <f>B1640+1</f>
        <v/>
      </c>
      <c r="C1641" s="94">
        <f>TEXT(B1641,"aaa")</f>
        <v/>
      </c>
      <c r="D1641" s="94" t="inlineStr">
        <is>
          <t>네이버 GFA</t>
        </is>
      </c>
      <c r="E1641" s="94" t="inlineStr">
        <is>
          <t>선크림</t>
        </is>
      </c>
      <c r="G1641" s="4" t="n"/>
      <c r="J1641" s="89" t="n">
        <v>206910</v>
      </c>
    </row>
    <row r="1642" hidden="1" customFormat="1" s="94">
      <c r="B1642" s="128">
        <f>B1641+1</f>
        <v/>
      </c>
      <c r="C1642" s="94">
        <f>TEXT(B1642,"aaa")</f>
        <v/>
      </c>
      <c r="D1642" s="94" t="inlineStr">
        <is>
          <t>네이버 GFA</t>
        </is>
      </c>
      <c r="E1642" s="94" t="inlineStr">
        <is>
          <t>선크림</t>
        </is>
      </c>
      <c r="G1642" s="4" t="n"/>
      <c r="J1642" s="89" t="n">
        <v>198557.2727272727</v>
      </c>
    </row>
    <row r="1643" hidden="1" customFormat="1" s="94">
      <c r="B1643" s="128">
        <f>B1642+1</f>
        <v/>
      </c>
      <c r="C1643" s="94">
        <f>TEXT(B1643,"aaa")</f>
        <v/>
      </c>
      <c r="D1643" s="94" t="inlineStr">
        <is>
          <t>네이버 GFA</t>
        </is>
      </c>
      <c r="E1643" s="94" t="inlineStr">
        <is>
          <t>선크림</t>
        </is>
      </c>
      <c r="G1643" s="4" t="n"/>
      <c r="J1643" s="89" t="n">
        <v>76952.72727272726</v>
      </c>
    </row>
    <row r="1644" hidden="1" customFormat="1" s="94">
      <c r="B1644" s="128">
        <f>B1643+1</f>
        <v/>
      </c>
      <c r="C1644" s="94">
        <f>TEXT(B1644,"aaa")</f>
        <v/>
      </c>
      <c r="D1644" s="94" t="inlineStr">
        <is>
          <t>네이버 GFA</t>
        </is>
      </c>
      <c r="E1644" s="94" t="inlineStr">
        <is>
          <t>선크림</t>
        </is>
      </c>
      <c r="G1644" s="4" t="n"/>
      <c r="J1644" s="89" t="n">
        <v>81342.72727272726</v>
      </c>
    </row>
    <row r="1645" hidden="1" customFormat="1" s="94">
      <c r="B1645" s="128">
        <f>B1644+1</f>
        <v/>
      </c>
      <c r="C1645" s="94">
        <f>TEXT(B1645,"aaa")</f>
        <v/>
      </c>
      <c r="D1645" s="94" t="inlineStr">
        <is>
          <t>네이버 GFA</t>
        </is>
      </c>
      <c r="E1645" s="94" t="inlineStr">
        <is>
          <t>선크림</t>
        </is>
      </c>
      <c r="G1645" s="4" t="n"/>
      <c r="J1645" s="89" t="n">
        <v>188838.1818181818</v>
      </c>
    </row>
    <row r="1646" hidden="1" customFormat="1" s="94">
      <c r="B1646" s="128" t="n">
        <v>44020</v>
      </c>
      <c r="C1646" s="94">
        <f>TEXT(B1646,"aaa")</f>
        <v/>
      </c>
      <c r="D1646" s="94" t="inlineStr">
        <is>
          <t>네이버 GFA</t>
        </is>
      </c>
      <c r="E1646" s="94" t="inlineStr">
        <is>
          <t>토너</t>
        </is>
      </c>
      <c r="G1646" s="4" t="n"/>
      <c r="J1646" s="89" t="n">
        <v>86108.18181818181</v>
      </c>
    </row>
    <row r="1647" hidden="1" customFormat="1" s="94">
      <c r="B1647" s="128" t="n">
        <v>44025</v>
      </c>
      <c r="C1647" s="94">
        <f>TEXT(B1647,"aaa")</f>
        <v/>
      </c>
      <c r="D1647" s="94" t="inlineStr">
        <is>
          <t>네이버 GFA</t>
        </is>
      </c>
      <c r="E1647" s="94" t="inlineStr">
        <is>
          <t>토너</t>
        </is>
      </c>
      <c r="G1647" s="4" t="n"/>
      <c r="J1647" s="89" t="n">
        <v>259598.1818181818</v>
      </c>
    </row>
    <row r="1648" hidden="1" customFormat="1" s="94">
      <c r="B1648" s="128">
        <f>B1647+1</f>
        <v/>
      </c>
      <c r="C1648" s="94">
        <f>TEXT(B1648,"aaa")</f>
        <v/>
      </c>
      <c r="D1648" s="94" t="inlineStr">
        <is>
          <t>네이버 GFA</t>
        </is>
      </c>
      <c r="E1648" s="94" t="inlineStr">
        <is>
          <t>토너</t>
        </is>
      </c>
      <c r="G1648" s="4" t="n"/>
      <c r="J1648" s="89" t="n">
        <v>691918.1818181818</v>
      </c>
    </row>
    <row r="1649" hidden="1" customFormat="1" s="94">
      <c r="B1649" s="128">
        <f>B1648+1</f>
        <v/>
      </c>
      <c r="C1649" s="94">
        <f>TEXT(B1649,"aaa")</f>
        <v/>
      </c>
      <c r="D1649" s="94" t="inlineStr">
        <is>
          <t>네이버 GFA</t>
        </is>
      </c>
      <c r="E1649" s="94" t="inlineStr">
        <is>
          <t>토너</t>
        </is>
      </c>
      <c r="G1649" s="4" t="n"/>
      <c r="J1649" s="89" t="n">
        <v>420592.7272727272</v>
      </c>
    </row>
    <row r="1650" hidden="1" customFormat="1" s="94">
      <c r="B1650" s="128">
        <f>B1649+1</f>
        <v/>
      </c>
      <c r="C1650" s="94">
        <f>TEXT(B1650,"aaa")</f>
        <v/>
      </c>
      <c r="D1650" s="94" t="inlineStr">
        <is>
          <t>네이버 GFA</t>
        </is>
      </c>
      <c r="E1650" s="94" t="inlineStr">
        <is>
          <t>토너</t>
        </is>
      </c>
      <c r="G1650" s="4" t="n"/>
      <c r="J1650" s="89" t="n">
        <v>447038.1818181818</v>
      </c>
    </row>
    <row r="1651" hidden="1" customFormat="1" s="94">
      <c r="B1651" s="128">
        <f>B1650+1</f>
        <v/>
      </c>
      <c r="C1651" s="94">
        <f>TEXT(B1651,"aaa")</f>
        <v/>
      </c>
      <c r="D1651" s="94" t="inlineStr">
        <is>
          <t>네이버 GFA</t>
        </is>
      </c>
      <c r="E1651" s="94" t="inlineStr">
        <is>
          <t>토너</t>
        </is>
      </c>
      <c r="G1651" s="4" t="n"/>
      <c r="J1651" s="89" t="n">
        <v>270964.5454545454</v>
      </c>
    </row>
    <row r="1652" hidden="1" customFormat="1" s="94">
      <c r="B1652" s="128">
        <f>B1651+1</f>
        <v/>
      </c>
      <c r="C1652" s="94">
        <f>TEXT(B1652,"aaa")</f>
        <v/>
      </c>
      <c r="D1652" s="94" t="inlineStr">
        <is>
          <t>네이버 GFA</t>
        </is>
      </c>
      <c r="E1652" s="94" t="inlineStr">
        <is>
          <t>토너</t>
        </is>
      </c>
      <c r="G1652" s="4" t="n"/>
      <c r="J1652" s="89" t="n">
        <v>35880</v>
      </c>
    </row>
    <row r="1653" hidden="1" customFormat="1" s="94">
      <c r="B1653" s="128">
        <f>B1652+1</f>
        <v/>
      </c>
      <c r="C1653" s="94">
        <f>TEXT(B1653,"aaa")</f>
        <v/>
      </c>
      <c r="D1653" s="94" t="inlineStr">
        <is>
          <t>네이버 GFA</t>
        </is>
      </c>
      <c r="E1653" s="94" t="inlineStr">
        <is>
          <t>토너</t>
        </is>
      </c>
      <c r="G1653" s="4" t="n"/>
      <c r="J1653" s="89" t="n">
        <v>36828.18181818182</v>
      </c>
    </row>
    <row r="1654" hidden="1" customFormat="1" s="94">
      <c r="B1654" s="128">
        <f>B1653+1</f>
        <v/>
      </c>
      <c r="C1654" s="94">
        <f>TEXT(B1654,"aaa")</f>
        <v/>
      </c>
      <c r="D1654" s="94" t="inlineStr">
        <is>
          <t>네이버 GFA</t>
        </is>
      </c>
      <c r="E1654" s="94" t="inlineStr">
        <is>
          <t>토너</t>
        </is>
      </c>
      <c r="G1654" s="4" t="n"/>
      <c r="J1654" s="89" t="n">
        <v>493568.1818181818</v>
      </c>
    </row>
    <row r="1655" customFormat="1" s="94">
      <c r="B1655" s="128" t="n">
        <v>43983</v>
      </c>
      <c r="C1655" s="94">
        <f>TEXT(B1655,"aaa")</f>
        <v/>
      </c>
      <c r="D1655" s="94" t="inlineStr">
        <is>
          <t>카카오광고</t>
        </is>
      </c>
      <c r="E1655" s="94" t="inlineStr">
        <is>
          <t>토너</t>
        </is>
      </c>
      <c r="G1655" s="4" t="n"/>
      <c r="J1655" s="89" t="n">
        <v>14500</v>
      </c>
    </row>
    <row r="1656" customFormat="1" s="94">
      <c r="B1656" s="128">
        <f>B1655+1</f>
        <v/>
      </c>
      <c r="C1656" s="94">
        <f>TEXT(B1656,"aaa")</f>
        <v/>
      </c>
      <c r="D1656" s="94" t="inlineStr">
        <is>
          <t>카카오광고</t>
        </is>
      </c>
      <c r="E1656" s="94" t="inlineStr">
        <is>
          <t>토너</t>
        </is>
      </c>
      <c r="G1656" s="4" t="n"/>
      <c r="J1656" s="89" t="n">
        <v>13730</v>
      </c>
    </row>
    <row r="1657" customFormat="1" s="94">
      <c r="B1657" s="128">
        <f>B1656+1</f>
        <v/>
      </c>
      <c r="C1657" s="94">
        <f>TEXT(B1657,"aaa")</f>
        <v/>
      </c>
      <c r="D1657" s="94" t="inlineStr">
        <is>
          <t>카카오광고</t>
        </is>
      </c>
      <c r="E1657" s="94" t="inlineStr">
        <is>
          <t>토너</t>
        </is>
      </c>
      <c r="G1657" s="4" t="n"/>
      <c r="J1657" s="89" t="n">
        <v>13750</v>
      </c>
    </row>
    <row r="1658" customFormat="1" s="94">
      <c r="B1658" s="128">
        <f>B1657+1</f>
        <v/>
      </c>
      <c r="C1658" s="94">
        <f>TEXT(B1658,"aaa")</f>
        <v/>
      </c>
      <c r="D1658" s="94" t="inlineStr">
        <is>
          <t>카카오광고</t>
        </is>
      </c>
      <c r="E1658" s="94" t="inlineStr">
        <is>
          <t>토너</t>
        </is>
      </c>
      <c r="G1658" s="4" t="n"/>
      <c r="J1658" s="89" t="n">
        <v>13790</v>
      </c>
    </row>
    <row r="1659" customFormat="1" s="94">
      <c r="B1659" s="128">
        <f>B1658+1</f>
        <v/>
      </c>
      <c r="C1659" s="94">
        <f>TEXT(B1659,"aaa")</f>
        <v/>
      </c>
      <c r="D1659" s="94" t="inlineStr">
        <is>
          <t>카카오광고</t>
        </is>
      </c>
      <c r="E1659" s="94" t="inlineStr">
        <is>
          <t>토너</t>
        </is>
      </c>
      <c r="G1659" s="4" t="n"/>
      <c r="J1659" s="89" t="n">
        <v>14150</v>
      </c>
    </row>
    <row r="1660" customFormat="1" s="94">
      <c r="B1660" s="128">
        <f>B1659+1</f>
        <v/>
      </c>
      <c r="C1660" s="94">
        <f>TEXT(B1660,"aaa")</f>
        <v/>
      </c>
      <c r="D1660" s="94" t="inlineStr">
        <is>
          <t>카카오광고</t>
        </is>
      </c>
      <c r="E1660" s="94" t="inlineStr">
        <is>
          <t>토너</t>
        </is>
      </c>
      <c r="G1660" s="4" t="n"/>
      <c r="J1660" s="89" t="n">
        <v>13990</v>
      </c>
    </row>
    <row r="1661" customFormat="1" s="94">
      <c r="B1661" s="128">
        <f>B1660+1</f>
        <v/>
      </c>
      <c r="C1661" s="94">
        <f>TEXT(B1661,"aaa")</f>
        <v/>
      </c>
      <c r="D1661" s="94" t="inlineStr">
        <is>
          <t>카카오광고</t>
        </is>
      </c>
      <c r="E1661" s="94" t="inlineStr">
        <is>
          <t>토너</t>
        </is>
      </c>
      <c r="G1661" s="4" t="n"/>
      <c r="J1661" s="89" t="n">
        <v>11230</v>
      </c>
    </row>
    <row r="1662" customFormat="1" s="94">
      <c r="B1662" s="128">
        <f>B1661+1</f>
        <v/>
      </c>
      <c r="C1662" s="94">
        <f>TEXT(B1662,"aaa")</f>
        <v/>
      </c>
      <c r="D1662" s="94" t="inlineStr">
        <is>
          <t>카카오광고</t>
        </is>
      </c>
      <c r="E1662" s="94" t="inlineStr">
        <is>
          <t>토너</t>
        </is>
      </c>
      <c r="G1662" s="4" t="n"/>
      <c r="J1662" s="89" t="n">
        <v>10020</v>
      </c>
    </row>
    <row r="1663" customFormat="1" s="94">
      <c r="B1663" s="128">
        <f>B1662+1</f>
        <v/>
      </c>
      <c r="C1663" s="94">
        <f>TEXT(B1663,"aaa")</f>
        <v/>
      </c>
      <c r="D1663" s="94" t="inlineStr">
        <is>
          <t>카카오광고</t>
        </is>
      </c>
      <c r="E1663" s="94" t="inlineStr">
        <is>
          <t>토너</t>
        </is>
      </c>
      <c r="G1663" s="4" t="n"/>
      <c r="J1663" s="89" t="n">
        <v>14440</v>
      </c>
    </row>
    <row r="1664" customFormat="1" s="94">
      <c r="B1664" s="128">
        <f>B1663+1</f>
        <v/>
      </c>
      <c r="C1664" s="94">
        <f>TEXT(B1664,"aaa")</f>
        <v/>
      </c>
      <c r="D1664" s="94" t="inlineStr">
        <is>
          <t>카카오광고</t>
        </is>
      </c>
      <c r="E1664" s="94" t="inlineStr">
        <is>
          <t>토너</t>
        </is>
      </c>
      <c r="G1664" s="4" t="n"/>
      <c r="J1664" s="89" t="n">
        <v>13040</v>
      </c>
    </row>
    <row r="1665" customFormat="1" s="94">
      <c r="B1665" s="128">
        <f>B1664+1</f>
        <v/>
      </c>
      <c r="C1665" s="94">
        <f>TEXT(B1665,"aaa")</f>
        <v/>
      </c>
      <c r="D1665" s="94" t="inlineStr">
        <is>
          <t>카카오광고</t>
        </is>
      </c>
      <c r="E1665" s="94" t="inlineStr">
        <is>
          <t>토너</t>
        </is>
      </c>
      <c r="G1665" s="4" t="n"/>
      <c r="J1665" s="89" t="n">
        <v>10450</v>
      </c>
    </row>
    <row r="1666" customFormat="1" s="94">
      <c r="B1666" s="128">
        <f>B1665+1</f>
        <v/>
      </c>
      <c r="C1666" s="94">
        <f>TEXT(B1666,"aaa")</f>
        <v/>
      </c>
      <c r="D1666" s="94" t="inlineStr">
        <is>
          <t>카카오광고</t>
        </is>
      </c>
      <c r="E1666" s="94" t="inlineStr">
        <is>
          <t>토너</t>
        </is>
      </c>
      <c r="G1666" s="4" t="n"/>
      <c r="J1666" s="89" t="n">
        <v>9690</v>
      </c>
    </row>
    <row r="1667" customFormat="1" s="94">
      <c r="B1667" s="128">
        <f>B1666+1</f>
        <v/>
      </c>
      <c r="C1667" s="94">
        <f>TEXT(B1667,"aaa")</f>
        <v/>
      </c>
      <c r="D1667" s="94" t="inlineStr">
        <is>
          <t>카카오광고</t>
        </is>
      </c>
      <c r="E1667" s="94" t="inlineStr">
        <is>
          <t>토너</t>
        </is>
      </c>
      <c r="G1667" s="4" t="n"/>
      <c r="J1667" s="89" t="n">
        <v>12320</v>
      </c>
    </row>
    <row r="1668" customFormat="1" s="94">
      <c r="B1668" s="128">
        <f>B1667+1</f>
        <v/>
      </c>
      <c r="C1668" s="94">
        <f>TEXT(B1668,"aaa")</f>
        <v/>
      </c>
      <c r="D1668" s="94" t="inlineStr">
        <is>
          <t>카카오광고</t>
        </is>
      </c>
      <c r="E1668" s="94" t="inlineStr">
        <is>
          <t>토너</t>
        </is>
      </c>
      <c r="G1668" s="4" t="n"/>
      <c r="J1668" s="89" t="n">
        <v>10090</v>
      </c>
    </row>
    <row r="1669" customFormat="1" s="94">
      <c r="B1669" s="128">
        <f>B1668+1</f>
        <v/>
      </c>
      <c r="C1669" s="94">
        <f>TEXT(B1669,"aaa")</f>
        <v/>
      </c>
      <c r="D1669" s="94" t="inlineStr">
        <is>
          <t>카카오광고</t>
        </is>
      </c>
      <c r="E1669" s="94" t="inlineStr">
        <is>
          <t>토너</t>
        </is>
      </c>
      <c r="G1669" s="4" t="n"/>
      <c r="J1669" s="89" t="n">
        <v>11090</v>
      </c>
    </row>
    <row r="1670" customFormat="1" s="94">
      <c r="B1670" s="128">
        <f>B1669+1</f>
        <v/>
      </c>
      <c r="C1670" s="94">
        <f>TEXT(B1670,"aaa")</f>
        <v/>
      </c>
      <c r="D1670" s="94" t="inlineStr">
        <is>
          <t>카카오광고</t>
        </is>
      </c>
      <c r="E1670" s="94" t="inlineStr">
        <is>
          <t>토너</t>
        </is>
      </c>
      <c r="G1670" s="4" t="n"/>
      <c r="J1670" s="89" t="n">
        <v>8360</v>
      </c>
    </row>
    <row r="1671" customFormat="1" s="94">
      <c r="B1671" s="128">
        <f>B1670+1</f>
        <v/>
      </c>
      <c r="C1671" s="94">
        <f>TEXT(B1671,"aaa")</f>
        <v/>
      </c>
      <c r="D1671" s="94" t="inlineStr">
        <is>
          <t>카카오광고</t>
        </is>
      </c>
      <c r="E1671" s="94" t="inlineStr">
        <is>
          <t>토너</t>
        </is>
      </c>
      <c r="G1671" s="4" t="n"/>
      <c r="J1671" s="89" t="n">
        <v>7179.999999999999</v>
      </c>
    </row>
    <row r="1672" customFormat="1" s="94">
      <c r="B1672" s="128">
        <f>B1671+1</f>
        <v/>
      </c>
      <c r="C1672" s="94">
        <f>TEXT(B1672,"aaa")</f>
        <v/>
      </c>
      <c r="D1672" s="94" t="inlineStr">
        <is>
          <t>카카오광고</t>
        </is>
      </c>
      <c r="E1672" s="94" t="inlineStr">
        <is>
          <t>토너</t>
        </is>
      </c>
      <c r="G1672" s="4" t="n"/>
      <c r="J1672" s="89" t="n">
        <v>10070</v>
      </c>
    </row>
    <row r="1673" customFormat="1" s="94">
      <c r="B1673" s="128">
        <f>B1672+1</f>
        <v/>
      </c>
      <c r="C1673" s="94">
        <f>TEXT(B1673,"aaa")</f>
        <v/>
      </c>
      <c r="D1673" s="94" t="inlineStr">
        <is>
          <t>카카오광고</t>
        </is>
      </c>
      <c r="E1673" s="94" t="inlineStr">
        <is>
          <t>토너</t>
        </is>
      </c>
      <c r="G1673" s="4" t="n"/>
      <c r="J1673" s="89" t="n">
        <v>4070</v>
      </c>
    </row>
    <row r="1674" customFormat="1" s="94">
      <c r="B1674" s="128">
        <f>B1673+1</f>
        <v/>
      </c>
      <c r="C1674" s="94">
        <f>TEXT(B1674,"aaa")</f>
        <v/>
      </c>
      <c r="D1674" s="94" t="inlineStr">
        <is>
          <t>카카오광고</t>
        </is>
      </c>
      <c r="E1674" s="94" t="inlineStr">
        <is>
          <t>토너</t>
        </is>
      </c>
      <c r="G1674" s="4" t="n"/>
      <c r="J1674" s="89" t="n">
        <v>12050</v>
      </c>
    </row>
    <row r="1675" customFormat="1" s="94">
      <c r="B1675" s="128">
        <f>B1674+1</f>
        <v/>
      </c>
      <c r="C1675" s="94">
        <f>TEXT(B1675,"aaa")</f>
        <v/>
      </c>
      <c r="D1675" s="94" t="inlineStr">
        <is>
          <t>카카오광고</t>
        </is>
      </c>
      <c r="E1675" s="94" t="inlineStr">
        <is>
          <t>토너</t>
        </is>
      </c>
      <c r="G1675" s="4" t="n"/>
      <c r="J1675" s="89" t="n">
        <v>7429.999999999999</v>
      </c>
    </row>
    <row r="1676" customFormat="1" s="94">
      <c r="B1676" s="128">
        <f>B1675+1</f>
        <v/>
      </c>
      <c r="C1676" s="94">
        <f>TEXT(B1676,"aaa")</f>
        <v/>
      </c>
      <c r="D1676" s="94" t="inlineStr">
        <is>
          <t>카카오광고</t>
        </is>
      </c>
      <c r="E1676" s="94" t="inlineStr">
        <is>
          <t>토너</t>
        </is>
      </c>
      <c r="G1676" s="4" t="n"/>
      <c r="J1676" s="89" t="n">
        <v>8059.999999999999</v>
      </c>
    </row>
    <row r="1677" customFormat="1" s="94">
      <c r="B1677" s="128">
        <f>B1676+1</f>
        <v/>
      </c>
      <c r="C1677" s="94">
        <f>TEXT(B1677,"aaa")</f>
        <v/>
      </c>
      <c r="D1677" s="94" t="inlineStr">
        <is>
          <t>카카오광고</t>
        </is>
      </c>
      <c r="E1677" s="94" t="inlineStr">
        <is>
          <t>토너</t>
        </is>
      </c>
      <c r="G1677" s="4" t="n"/>
      <c r="J1677" s="89" t="n">
        <v>4180</v>
      </c>
    </row>
    <row r="1678" customFormat="1" s="94">
      <c r="B1678" s="128">
        <f>B1677+1</f>
        <v/>
      </c>
      <c r="C1678" s="94">
        <f>TEXT(B1678,"aaa")</f>
        <v/>
      </c>
      <c r="D1678" s="94" t="inlineStr">
        <is>
          <t>카카오광고</t>
        </is>
      </c>
      <c r="E1678" s="94" t="inlineStr">
        <is>
          <t>토너</t>
        </is>
      </c>
      <c r="G1678" s="4" t="n"/>
      <c r="J1678" s="89" t="n">
        <v>9650</v>
      </c>
    </row>
    <row r="1679" customFormat="1" s="94">
      <c r="B1679" s="128">
        <f>B1678+1</f>
        <v/>
      </c>
      <c r="C1679" s="94">
        <f>TEXT(B1679,"aaa")</f>
        <v/>
      </c>
      <c r="D1679" s="94" t="inlineStr">
        <is>
          <t>카카오광고</t>
        </is>
      </c>
      <c r="E1679" s="94" t="inlineStr">
        <is>
          <t>토너</t>
        </is>
      </c>
      <c r="G1679" s="4" t="n"/>
      <c r="J1679" s="89" t="n">
        <v>6129.999999999999</v>
      </c>
    </row>
    <row r="1680" customFormat="1" s="94">
      <c r="B1680" s="128">
        <f>B1679+1</f>
        <v/>
      </c>
      <c r="C1680" s="94">
        <f>TEXT(B1680,"aaa")</f>
        <v/>
      </c>
      <c r="D1680" s="94" t="inlineStr">
        <is>
          <t>카카오광고</t>
        </is>
      </c>
      <c r="E1680" s="94" t="inlineStr">
        <is>
          <t>토너</t>
        </is>
      </c>
      <c r="G1680" s="4" t="n"/>
      <c r="J1680" s="89" t="n">
        <v>6989.999999999999</v>
      </c>
    </row>
    <row r="1681" customFormat="1" s="94">
      <c r="B1681" s="128">
        <f>B1680+1</f>
        <v/>
      </c>
      <c r="C1681" s="94">
        <f>TEXT(B1681,"aaa")</f>
        <v/>
      </c>
      <c r="D1681" s="94" t="inlineStr">
        <is>
          <t>카카오광고</t>
        </is>
      </c>
      <c r="E1681" s="94" t="inlineStr">
        <is>
          <t>토너</t>
        </is>
      </c>
      <c r="G1681" s="4" t="n"/>
      <c r="J1681" s="89" t="n">
        <v>6389.999999999999</v>
      </c>
    </row>
    <row r="1682" customFormat="1" s="94">
      <c r="B1682" s="128">
        <f>B1681+1</f>
        <v/>
      </c>
      <c r="C1682" s="94">
        <f>TEXT(B1682,"aaa")</f>
        <v/>
      </c>
      <c r="D1682" s="94" t="inlineStr">
        <is>
          <t>카카오광고</t>
        </is>
      </c>
      <c r="E1682" s="94" t="inlineStr">
        <is>
          <t>토너</t>
        </is>
      </c>
      <c r="G1682" s="4" t="n"/>
      <c r="J1682" s="89" t="n">
        <v>9060</v>
      </c>
    </row>
    <row r="1683" customFormat="1" s="94">
      <c r="B1683" s="128">
        <f>B1682+1</f>
        <v/>
      </c>
      <c r="C1683" s="94">
        <f>TEXT(B1683,"aaa")</f>
        <v/>
      </c>
      <c r="D1683" s="94" t="inlineStr">
        <is>
          <t>카카오광고</t>
        </is>
      </c>
      <c r="E1683" s="94" t="inlineStr">
        <is>
          <t>토너</t>
        </is>
      </c>
      <c r="G1683" s="4" t="n"/>
      <c r="J1683" s="89" t="n">
        <v>9640</v>
      </c>
    </row>
    <row r="1684" customFormat="1" s="94">
      <c r="B1684" s="128">
        <f>B1683+1</f>
        <v/>
      </c>
      <c r="C1684" s="94">
        <f>TEXT(B1684,"aaa")</f>
        <v/>
      </c>
      <c r="D1684" s="94" t="inlineStr">
        <is>
          <t>카카오광고</t>
        </is>
      </c>
      <c r="E1684" s="94" t="inlineStr">
        <is>
          <t>토너</t>
        </is>
      </c>
      <c r="G1684" s="4" t="n"/>
      <c r="J1684" s="89" t="n">
        <v>9650</v>
      </c>
    </row>
    <row r="1685" customFormat="1" s="94">
      <c r="B1685" s="128">
        <f>B1684+1</f>
        <v/>
      </c>
      <c r="C1685" s="94">
        <f>TEXT(B1685,"aaa")</f>
        <v/>
      </c>
      <c r="D1685" s="94" t="inlineStr">
        <is>
          <t>카카오광고</t>
        </is>
      </c>
      <c r="E1685" s="94" t="inlineStr">
        <is>
          <t>토너</t>
        </is>
      </c>
      <c r="G1685" s="4" t="n"/>
      <c r="J1685" s="89" t="n">
        <v>6369.999999999999</v>
      </c>
    </row>
    <row r="1686" customFormat="1" s="94">
      <c r="B1686" s="128">
        <f>B1685+1</f>
        <v/>
      </c>
      <c r="C1686" s="94">
        <f>TEXT(B1686,"aaa")</f>
        <v/>
      </c>
      <c r="D1686" s="94" t="inlineStr">
        <is>
          <t>카카오광고</t>
        </is>
      </c>
      <c r="E1686" s="94" t="inlineStr">
        <is>
          <t>토너</t>
        </is>
      </c>
      <c r="G1686" s="4" t="n"/>
      <c r="J1686" s="89" t="n">
        <v>8820</v>
      </c>
    </row>
    <row r="1687" customFormat="1" s="94">
      <c r="B1687" s="128">
        <f>B1686+1</f>
        <v/>
      </c>
      <c r="C1687" s="94">
        <f>TEXT(B1687,"aaa")</f>
        <v/>
      </c>
      <c r="D1687" s="94" t="inlineStr">
        <is>
          <t>카카오광고</t>
        </is>
      </c>
      <c r="E1687" s="94" t="inlineStr">
        <is>
          <t>토너</t>
        </is>
      </c>
      <c r="G1687" s="4" t="n"/>
      <c r="J1687" s="89" t="n">
        <v>10530</v>
      </c>
    </row>
    <row r="1688" customFormat="1" s="94">
      <c r="B1688" s="128">
        <f>B1687+1</f>
        <v/>
      </c>
      <c r="C1688" s="94">
        <f>TEXT(B1688,"aaa")</f>
        <v/>
      </c>
      <c r="D1688" s="94" t="inlineStr">
        <is>
          <t>카카오광고</t>
        </is>
      </c>
      <c r="E1688" s="94" t="inlineStr">
        <is>
          <t>토너</t>
        </is>
      </c>
      <c r="G1688" s="4" t="n"/>
      <c r="J1688" s="89" t="n">
        <v>6489.999999999999</v>
      </c>
    </row>
    <row r="1689" customFormat="1" s="94">
      <c r="B1689" s="128">
        <f>B1688+1</f>
        <v/>
      </c>
      <c r="C1689" s="94">
        <f>TEXT(B1689,"aaa")</f>
        <v/>
      </c>
      <c r="D1689" s="94" t="inlineStr">
        <is>
          <t>카카오광고</t>
        </is>
      </c>
      <c r="E1689" s="94" t="inlineStr">
        <is>
          <t>토너</t>
        </is>
      </c>
      <c r="G1689" s="4" t="n"/>
      <c r="J1689" s="89" t="n">
        <v>15000</v>
      </c>
    </row>
    <row r="1690" customFormat="1" s="94">
      <c r="B1690" s="128">
        <f>B1689+1</f>
        <v/>
      </c>
      <c r="C1690" s="94">
        <f>TEXT(B1690,"aaa")</f>
        <v/>
      </c>
      <c r="D1690" s="94" t="inlineStr">
        <is>
          <t>카카오광고</t>
        </is>
      </c>
      <c r="E1690" s="94" t="inlineStr">
        <is>
          <t>토너</t>
        </is>
      </c>
      <c r="G1690" s="4" t="n"/>
      <c r="J1690" s="89" t="n">
        <v>8690</v>
      </c>
    </row>
    <row r="1691" customFormat="1" s="94">
      <c r="B1691" s="128">
        <f>B1690+1</f>
        <v/>
      </c>
      <c r="C1691" s="94">
        <f>TEXT(B1691,"aaa")</f>
        <v/>
      </c>
      <c r="D1691" s="94" t="inlineStr">
        <is>
          <t>카카오광고</t>
        </is>
      </c>
      <c r="E1691" s="94" t="inlineStr">
        <is>
          <t>토너</t>
        </is>
      </c>
      <c r="G1691" s="4" t="n"/>
      <c r="J1691" s="89" t="n">
        <v>4740</v>
      </c>
    </row>
    <row r="1692" customFormat="1" s="94">
      <c r="B1692" s="128">
        <f>B1691+1</f>
        <v/>
      </c>
      <c r="C1692" s="94">
        <f>TEXT(B1692,"aaa")</f>
        <v/>
      </c>
      <c r="D1692" s="94" t="inlineStr">
        <is>
          <t>카카오광고</t>
        </is>
      </c>
      <c r="E1692" s="94" t="inlineStr">
        <is>
          <t>토너</t>
        </is>
      </c>
      <c r="G1692" s="4" t="n"/>
      <c r="J1692" s="89" t="n">
        <v>3780</v>
      </c>
    </row>
    <row r="1693" customFormat="1" s="94">
      <c r="B1693" s="128">
        <f>B1692+1</f>
        <v/>
      </c>
      <c r="C1693" s="94">
        <f>TEXT(B1693,"aaa")</f>
        <v/>
      </c>
      <c r="D1693" s="94" t="inlineStr">
        <is>
          <t>카카오광고</t>
        </is>
      </c>
      <c r="E1693" s="94" t="inlineStr">
        <is>
          <t>토너</t>
        </is>
      </c>
      <c r="G1693" s="4" t="n"/>
      <c r="J1693" s="89" t="n">
        <v>4620</v>
      </c>
    </row>
    <row r="1694" customFormat="1" s="94">
      <c r="B1694" s="128">
        <f>B1693+1</f>
        <v/>
      </c>
      <c r="C1694" s="94">
        <f>TEXT(B1694,"aaa")</f>
        <v/>
      </c>
      <c r="D1694" s="94" t="inlineStr">
        <is>
          <t>카카오광고</t>
        </is>
      </c>
      <c r="E1694" s="94" t="inlineStr">
        <is>
          <t>토너</t>
        </is>
      </c>
      <c r="G1694" s="4" t="n"/>
      <c r="J1694" s="89" t="n">
        <v>5929.999999999999</v>
      </c>
    </row>
    <row r="1695" customFormat="1" s="94">
      <c r="B1695" s="128">
        <f>B1694+1</f>
        <v/>
      </c>
      <c r="C1695" s="94">
        <f>TEXT(B1695,"aaa")</f>
        <v/>
      </c>
      <c r="D1695" s="94" t="inlineStr">
        <is>
          <t>카카오광고</t>
        </is>
      </c>
      <c r="E1695" s="94" t="inlineStr">
        <is>
          <t>토너</t>
        </is>
      </c>
      <c r="G1695" s="4" t="n"/>
      <c r="J1695" s="89" t="n">
        <v>5869.999999999999</v>
      </c>
    </row>
    <row r="1696" customFormat="1" s="94">
      <c r="B1696" s="128">
        <f>B1695+1</f>
        <v/>
      </c>
      <c r="C1696" s="94">
        <f>TEXT(B1696,"aaa")</f>
        <v/>
      </c>
      <c r="D1696" s="94" t="inlineStr">
        <is>
          <t>카카오광고</t>
        </is>
      </c>
      <c r="E1696" s="94" t="inlineStr">
        <is>
          <t>토너</t>
        </is>
      </c>
      <c r="G1696" s="4" t="n"/>
      <c r="J1696" s="89" t="n">
        <v>6559.999999999999</v>
      </c>
    </row>
    <row r="1697" customFormat="1" s="94">
      <c r="B1697" s="128">
        <f>B1696+1</f>
        <v/>
      </c>
      <c r="C1697" s="94">
        <f>TEXT(B1697,"aaa")</f>
        <v/>
      </c>
      <c r="D1697" s="94" t="inlineStr">
        <is>
          <t>카카오광고</t>
        </is>
      </c>
      <c r="E1697" s="94" t="inlineStr">
        <is>
          <t>토너</t>
        </is>
      </c>
      <c r="G1697" s="4" t="n"/>
      <c r="J1697" s="89" t="n">
        <v>12410</v>
      </c>
    </row>
    <row r="1698" customFormat="1" s="94">
      <c r="B1698" s="128">
        <f>B1697+1</f>
        <v/>
      </c>
      <c r="C1698" s="94">
        <f>TEXT(B1698,"aaa")</f>
        <v/>
      </c>
      <c r="D1698" s="94" t="inlineStr">
        <is>
          <t>카카오광고</t>
        </is>
      </c>
      <c r="E1698" s="94" t="inlineStr">
        <is>
          <t>토너</t>
        </is>
      </c>
      <c r="G1698" s="4" t="n"/>
      <c r="J1698" s="89" t="n">
        <v>11300</v>
      </c>
    </row>
    <row r="1699" customFormat="1" s="94">
      <c r="B1699" s="128">
        <f>B1698+1</f>
        <v/>
      </c>
      <c r="C1699" s="94">
        <f>TEXT(B1699,"aaa")</f>
        <v/>
      </c>
      <c r="D1699" s="94" t="inlineStr">
        <is>
          <t>카카오광고</t>
        </is>
      </c>
      <c r="E1699" s="94" t="inlineStr">
        <is>
          <t>토너</t>
        </is>
      </c>
      <c r="G1699" s="4" t="n"/>
      <c r="J1699" s="89" t="n">
        <v>10090</v>
      </c>
    </row>
    <row r="1700" customFormat="1" s="94">
      <c r="B1700" s="128">
        <f>B1699+1</f>
        <v/>
      </c>
      <c r="C1700" s="94">
        <f>TEXT(B1700,"aaa")</f>
        <v/>
      </c>
      <c r="D1700" s="94" t="inlineStr">
        <is>
          <t>카카오광고</t>
        </is>
      </c>
      <c r="E1700" s="94" t="inlineStr">
        <is>
          <t>토너</t>
        </is>
      </c>
      <c r="G1700" s="4" t="n"/>
      <c r="J1700" s="89" t="n">
        <v>6449.999999999999</v>
      </c>
    </row>
    <row r="1701" customFormat="1" s="94">
      <c r="B1701" s="128">
        <f>B1700+1</f>
        <v/>
      </c>
      <c r="C1701" s="94">
        <f>TEXT(B1701,"aaa")</f>
        <v/>
      </c>
      <c r="D1701" s="94" t="inlineStr">
        <is>
          <t>카카오광고</t>
        </is>
      </c>
      <c r="E1701" s="94" t="inlineStr">
        <is>
          <t>토너</t>
        </is>
      </c>
      <c r="G1701" s="4" t="n"/>
      <c r="J1701" s="89" t="n">
        <v>13500</v>
      </c>
    </row>
    <row r="1702" customFormat="1" s="94">
      <c r="B1702" s="128">
        <f>B1701+1</f>
        <v/>
      </c>
      <c r="C1702" s="94">
        <f>TEXT(B1702,"aaa")</f>
        <v/>
      </c>
      <c r="D1702" s="94" t="inlineStr">
        <is>
          <t>카카오광고</t>
        </is>
      </c>
      <c r="E1702" s="94" t="inlineStr">
        <is>
          <t>토너</t>
        </is>
      </c>
      <c r="G1702" s="4" t="n"/>
      <c r="J1702" s="89" t="n">
        <v>13790</v>
      </c>
    </row>
    <row r="1703" customFormat="1" s="94">
      <c r="B1703" s="128">
        <f>B1702+1</f>
        <v/>
      </c>
      <c r="C1703" s="94">
        <f>TEXT(B1703,"aaa")</f>
        <v/>
      </c>
      <c r="D1703" s="94" t="inlineStr">
        <is>
          <t>카카오광고</t>
        </is>
      </c>
      <c r="E1703" s="94" t="inlineStr">
        <is>
          <t>토너</t>
        </is>
      </c>
      <c r="G1703" s="4" t="n"/>
      <c r="J1703" s="89" t="n">
        <v>7479.999999999999</v>
      </c>
    </row>
    <row r="1704" customFormat="1" s="94">
      <c r="B1704" s="128">
        <f>B1703+1</f>
        <v/>
      </c>
      <c r="C1704" s="94">
        <f>TEXT(B1704,"aaa")</f>
        <v/>
      </c>
      <c r="D1704" s="94" t="inlineStr">
        <is>
          <t>카카오광고</t>
        </is>
      </c>
      <c r="E1704" s="94" t="inlineStr">
        <is>
          <t>토너</t>
        </is>
      </c>
      <c r="G1704" s="4" t="n"/>
      <c r="J1704" s="89" t="n">
        <v>6879.999999999999</v>
      </c>
    </row>
    <row r="1705" customFormat="1" s="94">
      <c r="B1705" s="128" t="n">
        <v>44021</v>
      </c>
      <c r="C1705" s="94">
        <f>TEXT(B1705,"aaa")</f>
        <v/>
      </c>
      <c r="D1705" s="94" t="inlineStr">
        <is>
          <t>카카오광고</t>
        </is>
      </c>
      <c r="E1705" s="94" t="inlineStr">
        <is>
          <t>선크림</t>
        </is>
      </c>
      <c r="G1705" s="4" t="n"/>
      <c r="J1705" s="89" t="n">
        <v>20520</v>
      </c>
    </row>
    <row r="1706" customFormat="1" s="94">
      <c r="B1706" s="128" t="n">
        <v>44022</v>
      </c>
      <c r="C1706" s="94">
        <f>TEXT(B1706,"aaa")</f>
        <v/>
      </c>
      <c r="D1706" s="94" t="inlineStr">
        <is>
          <t>카카오광고</t>
        </is>
      </c>
      <c r="E1706" s="94" t="inlineStr">
        <is>
          <t>선크림</t>
        </is>
      </c>
      <c r="G1706" s="4" t="n"/>
      <c r="J1706" s="89" t="n">
        <v>58539.99999999999</v>
      </c>
    </row>
    <row r="1707" customFormat="1" s="94">
      <c r="B1707" s="128" t="n">
        <v>44025</v>
      </c>
      <c r="C1707" s="94">
        <f>TEXT(B1707,"aaa")</f>
        <v/>
      </c>
      <c r="D1707" s="94" t="inlineStr">
        <is>
          <t>카카오광고</t>
        </is>
      </c>
      <c r="E1707" s="94" t="inlineStr">
        <is>
          <t>선크림</t>
        </is>
      </c>
      <c r="G1707" s="4" t="n"/>
      <c r="J1707" s="89" t="n">
        <v>183590</v>
      </c>
    </row>
    <row r="1708" customFormat="1" s="94">
      <c r="B1708" s="128">
        <f>B1707+1</f>
        <v/>
      </c>
      <c r="C1708" s="94">
        <f>TEXT(B1708,"aaa")</f>
        <v/>
      </c>
      <c r="D1708" s="94" t="inlineStr">
        <is>
          <t>카카오광고</t>
        </is>
      </c>
      <c r="E1708" s="94" t="inlineStr">
        <is>
          <t>선크림</t>
        </is>
      </c>
      <c r="G1708" s="4" t="n"/>
      <c r="J1708" s="89" t="n">
        <v>136720</v>
      </c>
    </row>
    <row r="1709" customFormat="1" s="94">
      <c r="B1709" s="128">
        <f>B1708+1</f>
        <v/>
      </c>
      <c r="C1709" s="94">
        <f>TEXT(B1709,"aaa")</f>
        <v/>
      </c>
      <c r="D1709" s="94" t="inlineStr">
        <is>
          <t>카카오광고</t>
        </is>
      </c>
      <c r="E1709" s="94" t="inlineStr">
        <is>
          <t>선크림</t>
        </is>
      </c>
      <c r="G1709" s="4" t="n"/>
      <c r="J1709" s="89" t="n">
        <v>24400</v>
      </c>
    </row>
    <row r="1710" hidden="1" customFormat="1" s="94">
      <c r="B1710" s="128" t="n">
        <v>44000</v>
      </c>
      <c r="C1710" s="94">
        <f>TEXT(B1710,"aaa")</f>
        <v/>
      </c>
      <c r="D1710" s="94" t="inlineStr">
        <is>
          <t>카카오톡 메시지</t>
        </is>
      </c>
      <c r="E1710" s="94" t="inlineStr">
        <is>
          <t>선크림</t>
        </is>
      </c>
      <c r="G1710" s="4" t="n"/>
      <c r="J1710" s="89">
        <f>15722*15</f>
        <v/>
      </c>
    </row>
    <row r="1711" hidden="1" customFormat="1" s="94">
      <c r="B1711" s="128" t="n">
        <v>43983</v>
      </c>
      <c r="C1711" s="94">
        <f>TEXT(B1711,"aaa")</f>
        <v/>
      </c>
      <c r="D1711" s="94" t="inlineStr">
        <is>
          <t>네이버 쇼핑검색</t>
        </is>
      </c>
      <c r="E1711" s="94" t="inlineStr">
        <is>
          <t>토너</t>
        </is>
      </c>
      <c r="G1711" s="4" t="n"/>
      <c r="J1711" s="89" t="n">
        <v>39350</v>
      </c>
    </row>
    <row r="1712" hidden="1" customFormat="1" s="94">
      <c r="B1712" s="128">
        <f>B1711+1</f>
        <v/>
      </c>
      <c r="C1712" s="94">
        <f>TEXT(B1712,"aaa")</f>
        <v/>
      </c>
      <c r="D1712" s="94" t="inlineStr">
        <is>
          <t>네이버 쇼핑검색</t>
        </is>
      </c>
      <c r="E1712" s="94" t="inlineStr">
        <is>
          <t>토너</t>
        </is>
      </c>
      <c r="G1712" s="4" t="n"/>
      <c r="J1712" s="89" t="n">
        <v>41210</v>
      </c>
    </row>
    <row r="1713" hidden="1" customFormat="1" s="94">
      <c r="B1713" s="128">
        <f>B1712+1</f>
        <v/>
      </c>
      <c r="C1713" s="94">
        <f>TEXT(B1713,"aaa")</f>
        <v/>
      </c>
      <c r="D1713" s="94" t="inlineStr">
        <is>
          <t>네이버 쇼핑검색</t>
        </is>
      </c>
      <c r="E1713" s="94" t="inlineStr">
        <is>
          <t>토너</t>
        </is>
      </c>
      <c r="G1713" s="4" t="n"/>
      <c r="J1713" s="89" t="n">
        <v>33600</v>
      </c>
    </row>
    <row r="1714" hidden="1" customFormat="1" s="94">
      <c r="B1714" s="128">
        <f>B1713+1</f>
        <v/>
      </c>
      <c r="C1714" s="94">
        <f>TEXT(B1714,"aaa")</f>
        <v/>
      </c>
      <c r="D1714" s="94" t="inlineStr">
        <is>
          <t>네이버 쇼핑검색</t>
        </is>
      </c>
      <c r="E1714" s="94" t="inlineStr">
        <is>
          <t>토너</t>
        </is>
      </c>
      <c r="G1714" s="4" t="n"/>
      <c r="J1714" s="89" t="n">
        <v>36100</v>
      </c>
    </row>
    <row r="1715" hidden="1" customFormat="1" s="94">
      <c r="B1715" s="128">
        <f>B1714+1</f>
        <v/>
      </c>
      <c r="C1715" s="94">
        <f>TEXT(B1715,"aaa")</f>
        <v/>
      </c>
      <c r="D1715" s="94" t="inlineStr">
        <is>
          <t>네이버 쇼핑검색</t>
        </is>
      </c>
      <c r="E1715" s="94" t="inlineStr">
        <is>
          <t>토너</t>
        </is>
      </c>
      <c r="G1715" s="4" t="n"/>
      <c r="J1715" s="89" t="n">
        <v>24530</v>
      </c>
    </row>
    <row r="1716" hidden="1" customFormat="1" s="94">
      <c r="B1716" s="128">
        <f>B1715+1</f>
        <v/>
      </c>
      <c r="C1716" s="94">
        <f>TEXT(B1716,"aaa")</f>
        <v/>
      </c>
      <c r="D1716" s="94" t="inlineStr">
        <is>
          <t>네이버 쇼핑검색</t>
        </is>
      </c>
      <c r="E1716" s="94" t="inlineStr">
        <is>
          <t>토너</t>
        </is>
      </c>
      <c r="G1716" s="4" t="n"/>
      <c r="J1716" s="89" t="n">
        <v>26990</v>
      </c>
    </row>
    <row r="1717" hidden="1" customFormat="1" s="94">
      <c r="B1717" s="128">
        <f>B1716+1</f>
        <v/>
      </c>
      <c r="C1717" s="94">
        <f>TEXT(B1717,"aaa")</f>
        <v/>
      </c>
      <c r="D1717" s="94" t="inlineStr">
        <is>
          <t>네이버 쇼핑검색</t>
        </is>
      </c>
      <c r="E1717" s="94" t="inlineStr">
        <is>
          <t>토너</t>
        </is>
      </c>
      <c r="G1717" s="4" t="n"/>
      <c r="J1717" s="89" t="n">
        <v>61669.99999999999</v>
      </c>
    </row>
    <row r="1718" hidden="1" customFormat="1" s="94">
      <c r="B1718" s="128">
        <f>B1717+1</f>
        <v/>
      </c>
      <c r="C1718" s="94">
        <f>TEXT(B1718,"aaa")</f>
        <v/>
      </c>
      <c r="D1718" s="94" t="inlineStr">
        <is>
          <t>네이버 쇼핑검색</t>
        </is>
      </c>
      <c r="E1718" s="94" t="inlineStr">
        <is>
          <t>토너</t>
        </is>
      </c>
      <c r="G1718" s="4" t="n"/>
      <c r="J1718" s="89" t="n">
        <v>66260</v>
      </c>
    </row>
    <row r="1719" hidden="1" customFormat="1" s="94">
      <c r="B1719" s="128">
        <f>B1718+1</f>
        <v/>
      </c>
      <c r="C1719" s="94">
        <f>TEXT(B1719,"aaa")</f>
        <v/>
      </c>
      <c r="D1719" s="94" t="inlineStr">
        <is>
          <t>네이버 쇼핑검색</t>
        </is>
      </c>
      <c r="E1719" s="94" t="inlineStr">
        <is>
          <t>토너</t>
        </is>
      </c>
      <c r="G1719" s="4" t="n"/>
      <c r="J1719" s="89" t="n">
        <v>50569.99999999999</v>
      </c>
    </row>
    <row r="1720" hidden="1" customFormat="1" s="94">
      <c r="B1720" s="128">
        <f>B1719+1</f>
        <v/>
      </c>
      <c r="C1720" s="94">
        <f>TEXT(B1720,"aaa")</f>
        <v/>
      </c>
      <c r="D1720" s="94" t="inlineStr">
        <is>
          <t>네이버 쇼핑검색</t>
        </is>
      </c>
      <c r="E1720" s="94" t="inlineStr">
        <is>
          <t>토너</t>
        </is>
      </c>
      <c r="G1720" s="4" t="n"/>
      <c r="J1720" s="89" t="n">
        <v>43930</v>
      </c>
    </row>
    <row r="1721" hidden="1" customFormat="1" s="94">
      <c r="B1721" s="128">
        <f>B1720+1</f>
        <v/>
      </c>
      <c r="C1721" s="94">
        <f>TEXT(B1721,"aaa")</f>
        <v/>
      </c>
      <c r="D1721" s="94" t="inlineStr">
        <is>
          <t>네이버 쇼핑검색</t>
        </is>
      </c>
      <c r="E1721" s="94" t="inlineStr">
        <is>
          <t>토너</t>
        </is>
      </c>
      <c r="G1721" s="4" t="n"/>
      <c r="J1721" s="89" t="n">
        <v>36670</v>
      </c>
    </row>
    <row r="1722" hidden="1" customFormat="1" s="94">
      <c r="B1722" s="128">
        <f>B1721+1</f>
        <v/>
      </c>
      <c r="C1722" s="94">
        <f>TEXT(B1722,"aaa")</f>
        <v/>
      </c>
      <c r="D1722" s="94" t="inlineStr">
        <is>
          <t>네이버 쇼핑검색</t>
        </is>
      </c>
      <c r="E1722" s="94" t="inlineStr">
        <is>
          <t>토너</t>
        </is>
      </c>
      <c r="G1722" s="4" t="n"/>
      <c r="J1722" s="89" t="n">
        <v>32100</v>
      </c>
    </row>
    <row r="1723" hidden="1" customFormat="1" s="94">
      <c r="B1723" s="128">
        <f>B1722+1</f>
        <v/>
      </c>
      <c r="C1723" s="94">
        <f>TEXT(B1723,"aaa")</f>
        <v/>
      </c>
      <c r="D1723" s="94" t="inlineStr">
        <is>
          <t>네이버 쇼핑검색</t>
        </is>
      </c>
      <c r="E1723" s="94" t="inlineStr">
        <is>
          <t>토너</t>
        </is>
      </c>
      <c r="G1723" s="4" t="n"/>
      <c r="J1723" s="89" t="n">
        <v>35790</v>
      </c>
    </row>
    <row r="1724" hidden="1" customFormat="1" s="94">
      <c r="B1724" s="128">
        <f>B1723+1</f>
        <v/>
      </c>
      <c r="C1724" s="94">
        <f>TEXT(B1724,"aaa")</f>
        <v/>
      </c>
      <c r="D1724" s="94" t="inlineStr">
        <is>
          <t>네이버 쇼핑검색</t>
        </is>
      </c>
      <c r="E1724" s="94" t="inlineStr">
        <is>
          <t>토너</t>
        </is>
      </c>
      <c r="G1724" s="4" t="n"/>
      <c r="J1724" s="89" t="n">
        <v>39970</v>
      </c>
    </row>
    <row r="1725" hidden="1" customFormat="1" s="94">
      <c r="B1725" s="128">
        <f>B1724+1</f>
        <v/>
      </c>
      <c r="C1725" s="94">
        <f>TEXT(B1725,"aaa")</f>
        <v/>
      </c>
      <c r="D1725" s="94" t="inlineStr">
        <is>
          <t>네이버 쇼핑검색</t>
        </is>
      </c>
      <c r="E1725" s="94" t="inlineStr">
        <is>
          <t>토너</t>
        </is>
      </c>
      <c r="G1725" s="4" t="n"/>
      <c r="J1725" s="89" t="n">
        <v>33700</v>
      </c>
    </row>
    <row r="1726" hidden="1" customFormat="1" s="94">
      <c r="B1726" s="128">
        <f>B1725+1</f>
        <v/>
      </c>
      <c r="C1726" s="94">
        <f>TEXT(B1726,"aaa")</f>
        <v/>
      </c>
      <c r="D1726" s="94" t="inlineStr">
        <is>
          <t>네이버 쇼핑검색</t>
        </is>
      </c>
      <c r="E1726" s="94" t="inlineStr">
        <is>
          <t>토너</t>
        </is>
      </c>
      <c r="G1726" s="4" t="n"/>
      <c r="J1726" s="89" t="n">
        <v>38960</v>
      </c>
    </row>
    <row r="1727" hidden="1" customFormat="1" s="94">
      <c r="B1727" s="128">
        <f>B1726+1</f>
        <v/>
      </c>
      <c r="C1727" s="94">
        <f>TEXT(B1727,"aaa")</f>
        <v/>
      </c>
      <c r="D1727" s="94" t="inlineStr">
        <is>
          <t>네이버 쇼핑검색</t>
        </is>
      </c>
      <c r="E1727" s="94" t="inlineStr">
        <is>
          <t>토너</t>
        </is>
      </c>
      <c r="G1727" s="4" t="n"/>
      <c r="J1727" s="89" t="n">
        <v>31830</v>
      </c>
    </row>
    <row r="1728" hidden="1" customFormat="1" s="94">
      <c r="B1728" s="128">
        <f>B1727+1</f>
        <v/>
      </c>
      <c r="C1728" s="94">
        <f>TEXT(B1728,"aaa")</f>
        <v/>
      </c>
      <c r="D1728" s="94" t="inlineStr">
        <is>
          <t>네이버 쇼핑검색</t>
        </is>
      </c>
      <c r="E1728" s="94" t="inlineStr">
        <is>
          <t>토너</t>
        </is>
      </c>
      <c r="G1728" s="4" t="n"/>
      <c r="J1728" s="89" t="n">
        <v>53899.99999999999</v>
      </c>
    </row>
    <row r="1729" hidden="1" customFormat="1" s="94">
      <c r="B1729" s="128">
        <f>B1728+1</f>
        <v/>
      </c>
      <c r="C1729" s="94">
        <f>TEXT(B1729,"aaa")</f>
        <v/>
      </c>
      <c r="D1729" s="94" t="inlineStr">
        <is>
          <t>네이버 쇼핑검색</t>
        </is>
      </c>
      <c r="E1729" s="94" t="inlineStr">
        <is>
          <t>토너</t>
        </is>
      </c>
      <c r="G1729" s="4" t="n"/>
      <c r="J1729" s="89" t="n">
        <v>59449.99999999999</v>
      </c>
    </row>
    <row r="1730" hidden="1" customFormat="1" s="94">
      <c r="B1730" s="128">
        <f>B1729+1</f>
        <v/>
      </c>
      <c r="C1730" s="94">
        <f>TEXT(B1730,"aaa")</f>
        <v/>
      </c>
      <c r="D1730" s="94" t="inlineStr">
        <is>
          <t>네이버 쇼핑검색</t>
        </is>
      </c>
      <c r="E1730" s="94" t="inlineStr">
        <is>
          <t>토너</t>
        </is>
      </c>
      <c r="G1730" s="4" t="n"/>
      <c r="J1730" s="89" t="n">
        <v>50379.99999999999</v>
      </c>
    </row>
    <row r="1731" hidden="1" customFormat="1" s="94">
      <c r="B1731" s="128">
        <f>B1730+1</f>
        <v/>
      </c>
      <c r="C1731" s="94">
        <f>TEXT(B1731,"aaa")</f>
        <v/>
      </c>
      <c r="D1731" s="94" t="inlineStr">
        <is>
          <t>네이버 쇼핑검색</t>
        </is>
      </c>
      <c r="E1731" s="94" t="inlineStr">
        <is>
          <t>토너</t>
        </is>
      </c>
      <c r="G1731" s="4" t="n"/>
      <c r="J1731" s="89" t="n">
        <v>58689.99999999999</v>
      </c>
    </row>
    <row r="1732" hidden="1" customFormat="1" s="94">
      <c r="B1732" s="128">
        <f>B1731+1</f>
        <v/>
      </c>
      <c r="C1732" s="94">
        <f>TEXT(B1732,"aaa")</f>
        <v/>
      </c>
      <c r="D1732" s="94" t="inlineStr">
        <is>
          <t>네이버 쇼핑검색</t>
        </is>
      </c>
      <c r="E1732" s="94" t="inlineStr">
        <is>
          <t>토너</t>
        </is>
      </c>
      <c r="G1732" s="4" t="n"/>
      <c r="J1732" s="89" t="n">
        <v>40720</v>
      </c>
    </row>
    <row r="1733" hidden="1" customFormat="1" s="94">
      <c r="B1733" s="128">
        <f>B1732+1</f>
        <v/>
      </c>
      <c r="C1733" s="94">
        <f>TEXT(B1733,"aaa")</f>
        <v/>
      </c>
      <c r="D1733" s="94" t="inlineStr">
        <is>
          <t>네이버 쇼핑검색</t>
        </is>
      </c>
      <c r="E1733" s="94" t="inlineStr">
        <is>
          <t>토너</t>
        </is>
      </c>
      <c r="G1733" s="4" t="n"/>
      <c r="J1733" s="89" t="n">
        <v>41070</v>
      </c>
    </row>
    <row r="1734" hidden="1" customFormat="1" s="94">
      <c r="B1734" s="128">
        <f>B1733+1</f>
        <v/>
      </c>
      <c r="C1734" s="94">
        <f>TEXT(B1734,"aaa")</f>
        <v/>
      </c>
      <c r="D1734" s="94" t="inlineStr">
        <is>
          <t>네이버 쇼핑검색</t>
        </is>
      </c>
      <c r="E1734" s="94" t="inlineStr">
        <is>
          <t>토너</t>
        </is>
      </c>
      <c r="G1734" s="4" t="n"/>
      <c r="J1734" s="89" t="n">
        <v>40080</v>
      </c>
    </row>
    <row r="1735" hidden="1" customFormat="1" s="94">
      <c r="B1735" s="128">
        <f>B1734+1</f>
        <v/>
      </c>
      <c r="C1735" s="94">
        <f>TEXT(B1735,"aaa")</f>
        <v/>
      </c>
      <c r="D1735" s="94" t="inlineStr">
        <is>
          <t>네이버 쇼핑검색</t>
        </is>
      </c>
      <c r="E1735" s="94" t="inlineStr">
        <is>
          <t>토너</t>
        </is>
      </c>
      <c r="G1735" s="4" t="n"/>
      <c r="J1735" s="89" t="n">
        <v>41990</v>
      </c>
    </row>
    <row r="1736" hidden="1" customFormat="1" s="94">
      <c r="B1736" s="128">
        <f>B1735+1</f>
        <v/>
      </c>
      <c r="C1736" s="94">
        <f>TEXT(B1736,"aaa")</f>
        <v/>
      </c>
      <c r="D1736" s="94" t="inlineStr">
        <is>
          <t>네이버 쇼핑검색</t>
        </is>
      </c>
      <c r="E1736" s="94" t="inlineStr">
        <is>
          <t>토너</t>
        </is>
      </c>
      <c r="G1736" s="4" t="n"/>
      <c r="J1736" s="89" t="n">
        <v>29240</v>
      </c>
    </row>
    <row r="1737" hidden="1" customFormat="1" s="94">
      <c r="B1737" s="128">
        <f>B1736+1</f>
        <v/>
      </c>
      <c r="C1737" s="94">
        <f>TEXT(B1737,"aaa")</f>
        <v/>
      </c>
      <c r="D1737" s="94" t="inlineStr">
        <is>
          <t>네이버 쇼핑검색</t>
        </is>
      </c>
      <c r="E1737" s="94" t="inlineStr">
        <is>
          <t>토너</t>
        </is>
      </c>
      <c r="G1737" s="4" t="n"/>
      <c r="J1737" s="89" t="n">
        <v>34320</v>
      </c>
    </row>
    <row r="1738" hidden="1" customFormat="1" s="94">
      <c r="B1738" s="128">
        <f>B1737+1</f>
        <v/>
      </c>
      <c r="C1738" s="94">
        <f>TEXT(B1738,"aaa")</f>
        <v/>
      </c>
      <c r="D1738" s="94" t="inlineStr">
        <is>
          <t>네이버 쇼핑검색</t>
        </is>
      </c>
      <c r="E1738" s="94" t="inlineStr">
        <is>
          <t>토너</t>
        </is>
      </c>
      <c r="G1738" s="4" t="n"/>
      <c r="J1738" s="89" t="n">
        <v>43070</v>
      </c>
    </row>
    <row r="1739" hidden="1" customFormat="1" s="94">
      <c r="B1739" s="128">
        <f>B1738+1</f>
        <v/>
      </c>
      <c r="C1739" s="94">
        <f>TEXT(B1739,"aaa")</f>
        <v/>
      </c>
      <c r="D1739" s="94" t="inlineStr">
        <is>
          <t>네이버 쇼핑검색</t>
        </is>
      </c>
      <c r="E1739" s="94" t="inlineStr">
        <is>
          <t>토너</t>
        </is>
      </c>
      <c r="G1739" s="4" t="n"/>
      <c r="J1739" s="89" t="n">
        <v>46459.99999999999</v>
      </c>
    </row>
    <row r="1740" hidden="1" customFormat="1" s="94">
      <c r="B1740" s="128">
        <f>B1739+1</f>
        <v/>
      </c>
      <c r="C1740" s="94">
        <f>TEXT(B1740,"aaa")</f>
        <v/>
      </c>
      <c r="D1740" s="94" t="inlineStr">
        <is>
          <t>네이버 쇼핑검색</t>
        </is>
      </c>
      <c r="E1740" s="94" t="inlineStr">
        <is>
          <t>토너</t>
        </is>
      </c>
      <c r="G1740" s="4" t="n"/>
      <c r="J1740" s="89" t="n">
        <v>35600</v>
      </c>
    </row>
    <row r="1741" hidden="1" customFormat="1" s="94">
      <c r="B1741" s="128">
        <f>B1740+1</f>
        <v/>
      </c>
      <c r="C1741" s="94">
        <f>TEXT(B1741,"aaa")</f>
        <v/>
      </c>
      <c r="D1741" s="94" t="inlineStr">
        <is>
          <t>네이버 쇼핑검색</t>
        </is>
      </c>
      <c r="E1741" s="94" t="inlineStr">
        <is>
          <t>토너</t>
        </is>
      </c>
      <c r="G1741" s="4" t="n"/>
      <c r="J1741" s="89" t="n">
        <v>36290</v>
      </c>
    </row>
    <row r="1742" hidden="1" customFormat="1" s="94">
      <c r="B1742" s="128">
        <f>B1741+1</f>
        <v/>
      </c>
      <c r="C1742" s="94">
        <f>TEXT(B1742,"aaa")</f>
        <v/>
      </c>
      <c r="D1742" s="94" t="inlineStr">
        <is>
          <t>네이버 쇼핑검색</t>
        </is>
      </c>
      <c r="E1742" s="94" t="inlineStr">
        <is>
          <t>토너</t>
        </is>
      </c>
      <c r="G1742" s="4" t="n"/>
      <c r="J1742" s="127" t="n">
        <v>35640</v>
      </c>
    </row>
    <row r="1743" hidden="1" customFormat="1" s="94">
      <c r="B1743" s="128">
        <f>B1742+1</f>
        <v/>
      </c>
      <c r="C1743" s="94">
        <f>TEXT(B1743,"aaa")</f>
        <v/>
      </c>
      <c r="D1743" s="94" t="inlineStr">
        <is>
          <t>네이버 쇼핑검색</t>
        </is>
      </c>
      <c r="E1743" s="94" t="inlineStr">
        <is>
          <t>토너</t>
        </is>
      </c>
      <c r="G1743" s="4" t="n"/>
      <c r="J1743" s="127" t="n">
        <v>25110</v>
      </c>
    </row>
    <row r="1744" hidden="1" customFormat="1" s="94">
      <c r="B1744" s="128">
        <f>B1743+1</f>
        <v/>
      </c>
      <c r="C1744" s="94">
        <f>TEXT(B1744,"aaa")</f>
        <v/>
      </c>
      <c r="D1744" s="94" t="inlineStr">
        <is>
          <t>네이버 쇼핑검색</t>
        </is>
      </c>
      <c r="E1744" s="94" t="inlineStr">
        <is>
          <t>토너</t>
        </is>
      </c>
      <c r="G1744" s="4" t="n"/>
      <c r="J1744" s="127" t="n">
        <v>24360</v>
      </c>
    </row>
    <row r="1745" hidden="1" customFormat="1" s="94">
      <c r="B1745" s="128">
        <f>B1744+1</f>
        <v/>
      </c>
      <c r="C1745" s="94">
        <f>TEXT(B1745,"aaa")</f>
        <v/>
      </c>
      <c r="D1745" s="94" t="inlineStr">
        <is>
          <t>네이버 쇼핑검색</t>
        </is>
      </c>
      <c r="E1745" s="94" t="inlineStr">
        <is>
          <t>토너</t>
        </is>
      </c>
      <c r="G1745" s="4" t="n"/>
      <c r="J1745" s="127" t="n">
        <v>37020</v>
      </c>
    </row>
    <row r="1746" hidden="1" customFormat="1" s="94">
      <c r="B1746" s="128">
        <f>B1745+1</f>
        <v/>
      </c>
      <c r="C1746" s="94">
        <f>TEXT(B1746,"aaa")</f>
        <v/>
      </c>
      <c r="D1746" s="94" t="inlineStr">
        <is>
          <t>네이버 쇼핑검색</t>
        </is>
      </c>
      <c r="E1746" s="94" t="inlineStr">
        <is>
          <t>토너</t>
        </is>
      </c>
      <c r="G1746" s="4" t="n"/>
      <c r="J1746" s="127" t="n">
        <v>36580</v>
      </c>
    </row>
    <row r="1747" hidden="1" customFormat="1" s="94">
      <c r="B1747" s="128">
        <f>B1746+1</f>
        <v/>
      </c>
      <c r="C1747" s="94">
        <f>TEXT(B1747,"aaa")</f>
        <v/>
      </c>
      <c r="D1747" s="94" t="inlineStr">
        <is>
          <t>네이버 쇼핑검색</t>
        </is>
      </c>
      <c r="E1747" s="94" t="inlineStr">
        <is>
          <t>토너</t>
        </is>
      </c>
      <c r="G1747" s="4" t="n"/>
      <c r="J1747" s="127" t="n">
        <v>37650</v>
      </c>
    </row>
    <row r="1748" hidden="1" customFormat="1" s="94">
      <c r="B1748" s="128">
        <f>B1747+1</f>
        <v/>
      </c>
      <c r="C1748" s="94">
        <f>TEXT(B1748,"aaa")</f>
        <v/>
      </c>
      <c r="D1748" s="94" t="inlineStr">
        <is>
          <t>네이버 쇼핑검색</t>
        </is>
      </c>
      <c r="E1748" s="94" t="inlineStr">
        <is>
          <t>토너</t>
        </is>
      </c>
      <c r="G1748" s="4" t="n"/>
      <c r="J1748" s="127" t="n">
        <v>35970</v>
      </c>
    </row>
    <row r="1749" hidden="1" customFormat="1" s="94">
      <c r="B1749" s="128">
        <f>B1748+1</f>
        <v/>
      </c>
      <c r="C1749" s="94">
        <f>TEXT(B1749,"aaa")</f>
        <v/>
      </c>
      <c r="D1749" s="94" t="inlineStr">
        <is>
          <t>네이버 쇼핑검색</t>
        </is>
      </c>
      <c r="E1749" s="94" t="inlineStr">
        <is>
          <t>토너</t>
        </is>
      </c>
      <c r="G1749" s="4" t="n"/>
      <c r="J1749" s="127" t="n">
        <v>31940</v>
      </c>
    </row>
    <row r="1750" hidden="1" customFormat="1" s="94">
      <c r="B1750" s="128">
        <f>B1749+1</f>
        <v/>
      </c>
      <c r="C1750" s="94">
        <f>TEXT(B1750,"aaa")</f>
        <v/>
      </c>
      <c r="D1750" s="94" t="inlineStr">
        <is>
          <t>네이버 쇼핑검색</t>
        </is>
      </c>
      <c r="E1750" s="94" t="inlineStr">
        <is>
          <t>토너</t>
        </is>
      </c>
      <c r="G1750" s="4" t="n"/>
      <c r="J1750" s="127" t="n">
        <v>27430</v>
      </c>
    </row>
    <row r="1751" hidden="1" customFormat="1" s="94">
      <c r="B1751" s="128">
        <f>B1750+1</f>
        <v/>
      </c>
      <c r="C1751" s="94">
        <f>TEXT(B1751,"aaa")</f>
        <v/>
      </c>
      <c r="D1751" s="94" t="inlineStr">
        <is>
          <t>네이버 쇼핑검색</t>
        </is>
      </c>
      <c r="E1751" s="94" t="inlineStr">
        <is>
          <t>토너</t>
        </is>
      </c>
      <c r="G1751" s="4" t="n"/>
      <c r="J1751" s="127" t="n">
        <v>27690</v>
      </c>
    </row>
    <row r="1752" hidden="1" customFormat="1" s="94">
      <c r="B1752" s="128">
        <f>B1751+1</f>
        <v/>
      </c>
      <c r="C1752" s="94">
        <f>TEXT(B1752,"aaa")</f>
        <v/>
      </c>
      <c r="D1752" s="94" t="inlineStr">
        <is>
          <t>네이버 쇼핑검색</t>
        </is>
      </c>
      <c r="E1752" s="94" t="inlineStr">
        <is>
          <t>토너</t>
        </is>
      </c>
      <c r="G1752" s="4" t="n"/>
      <c r="J1752" s="127" t="n">
        <v>38590</v>
      </c>
    </row>
    <row r="1753" hidden="1" customFormat="1" s="94">
      <c r="B1753" s="128">
        <f>B1752+1</f>
        <v/>
      </c>
      <c r="C1753" s="94">
        <f>TEXT(B1753,"aaa")</f>
        <v/>
      </c>
      <c r="D1753" s="94" t="inlineStr">
        <is>
          <t>네이버 쇼핑검색</t>
        </is>
      </c>
      <c r="E1753" s="94" t="inlineStr">
        <is>
          <t>토너</t>
        </is>
      </c>
      <c r="G1753" s="4" t="n"/>
      <c r="J1753" s="127" t="n">
        <v>39350</v>
      </c>
    </row>
    <row r="1754" hidden="1" customFormat="1" s="94">
      <c r="B1754" s="128">
        <f>B1753+1</f>
        <v/>
      </c>
      <c r="C1754" s="94">
        <f>TEXT(B1754,"aaa")</f>
        <v/>
      </c>
      <c r="D1754" s="94" t="inlineStr">
        <is>
          <t>네이버 쇼핑검색</t>
        </is>
      </c>
      <c r="E1754" s="94" t="inlineStr">
        <is>
          <t>토너</t>
        </is>
      </c>
      <c r="G1754" s="4" t="n"/>
      <c r="J1754" s="127" t="n">
        <v>39550</v>
      </c>
    </row>
    <row r="1755" hidden="1" customFormat="1" s="94">
      <c r="B1755" s="128">
        <f>B1754+1</f>
        <v/>
      </c>
      <c r="C1755" s="94">
        <f>TEXT(B1755,"aaa")</f>
        <v/>
      </c>
      <c r="D1755" s="94" t="inlineStr">
        <is>
          <t>네이버 쇼핑검색</t>
        </is>
      </c>
      <c r="E1755" s="94" t="inlineStr">
        <is>
          <t>토너</t>
        </is>
      </c>
      <c r="G1755" s="4" t="n"/>
      <c r="J1755" s="127" t="n">
        <v>41910</v>
      </c>
    </row>
    <row r="1756" hidden="1" customFormat="1" s="94">
      <c r="B1756" s="128">
        <f>B1755+1</f>
        <v/>
      </c>
      <c r="C1756" s="94">
        <f>TEXT(B1756,"aaa")</f>
        <v/>
      </c>
      <c r="D1756" s="94" t="inlineStr">
        <is>
          <t>네이버 쇼핑검색</t>
        </is>
      </c>
      <c r="E1756" s="94" t="inlineStr">
        <is>
          <t>토너</t>
        </is>
      </c>
      <c r="G1756" s="4" t="n"/>
      <c r="J1756" s="127" t="n">
        <v>46859.99999999999</v>
      </c>
    </row>
    <row r="1757" hidden="1" customFormat="1" s="94">
      <c r="B1757" s="128">
        <f>B1756+1</f>
        <v/>
      </c>
      <c r="C1757" s="94">
        <f>TEXT(B1757,"aaa")</f>
        <v/>
      </c>
      <c r="D1757" s="94" t="inlineStr">
        <is>
          <t>네이버 쇼핑검색</t>
        </is>
      </c>
      <c r="E1757" s="94" t="inlineStr">
        <is>
          <t>토너</t>
        </is>
      </c>
      <c r="G1757" s="4" t="n"/>
      <c r="J1757" s="127" t="n">
        <v>40430</v>
      </c>
    </row>
    <row r="1758" hidden="1" customFormat="1" s="94">
      <c r="B1758" s="128">
        <f>B1757+1</f>
        <v/>
      </c>
      <c r="C1758" s="94">
        <f>TEXT(B1758,"aaa")</f>
        <v/>
      </c>
      <c r="D1758" s="94" t="inlineStr">
        <is>
          <t>네이버 쇼핑검색</t>
        </is>
      </c>
      <c r="E1758" s="94" t="inlineStr">
        <is>
          <t>토너</t>
        </is>
      </c>
      <c r="G1758" s="4" t="n"/>
      <c r="J1758" s="127" t="n">
        <v>37750</v>
      </c>
    </row>
    <row r="1759" hidden="1" customFormat="1" s="94">
      <c r="B1759" s="128">
        <f>B1758+1</f>
        <v/>
      </c>
      <c r="C1759" s="94">
        <f>TEXT(B1759,"aaa")</f>
        <v/>
      </c>
      <c r="D1759" s="94" t="inlineStr">
        <is>
          <t>네이버 쇼핑검색</t>
        </is>
      </c>
      <c r="E1759" s="94" t="inlineStr">
        <is>
          <t>토너</t>
        </is>
      </c>
      <c r="G1759" s="4" t="n"/>
      <c r="J1759" s="127" t="n">
        <v>37290</v>
      </c>
    </row>
    <row r="1760" hidden="1" customFormat="1" s="94">
      <c r="B1760" s="128">
        <f>B1759+1</f>
        <v/>
      </c>
      <c r="C1760" s="94">
        <f>TEXT(B1760,"aaa")</f>
        <v/>
      </c>
      <c r="D1760" s="94" t="inlineStr">
        <is>
          <t>네이버 쇼핑검색</t>
        </is>
      </c>
      <c r="E1760" s="94" t="inlineStr">
        <is>
          <t>토너</t>
        </is>
      </c>
      <c r="G1760" s="4" t="n"/>
      <c r="J1760" s="127" t="n">
        <v>51359.99999999999</v>
      </c>
    </row>
    <row r="1761" hidden="1" customFormat="1" s="94">
      <c r="B1761" s="128" t="n">
        <v>43988</v>
      </c>
      <c r="C1761" s="94">
        <f>TEXT(B1761,"aaa")</f>
        <v/>
      </c>
      <c r="D1761" s="94" t="inlineStr">
        <is>
          <t>유튜브_윤이든</t>
        </is>
      </c>
      <c r="E1761" s="94" t="inlineStr">
        <is>
          <t>토너</t>
        </is>
      </c>
      <c r="G1761" s="4" t="n"/>
      <c r="J1761" s="127" t="n">
        <v>1200000</v>
      </c>
    </row>
    <row r="1762" hidden="1" customFormat="1" s="94">
      <c r="B1762" s="128" t="n">
        <v>43999</v>
      </c>
      <c r="C1762" s="94">
        <f>TEXT(B1762,"aaa")</f>
        <v/>
      </c>
      <c r="D1762" s="94" t="inlineStr">
        <is>
          <t>유튜브_카멜</t>
        </is>
      </c>
      <c r="E1762" s="94" t="inlineStr">
        <is>
          <t>토너</t>
        </is>
      </c>
      <c r="G1762" s="4" t="n"/>
      <c r="J1762" s="127" t="n">
        <v>200000</v>
      </c>
    </row>
    <row r="1763" hidden="1" customFormat="1" s="94">
      <c r="B1763" s="128" t="n">
        <v>44002</v>
      </c>
      <c r="C1763" s="94">
        <f>TEXT(B1763,"aaa")</f>
        <v/>
      </c>
      <c r="D1763" s="94" t="inlineStr">
        <is>
          <t>유튜브_귄펭</t>
        </is>
      </c>
      <c r="E1763" s="94" t="inlineStr">
        <is>
          <t>토너</t>
        </is>
      </c>
      <c r="G1763" s="4" t="n"/>
      <c r="J1763" s="127" t="n">
        <v>1200000</v>
      </c>
    </row>
    <row r="1764" hidden="1" customFormat="1" s="94">
      <c r="B1764" s="128" t="n">
        <v>44003</v>
      </c>
      <c r="C1764" s="94">
        <f>TEXT(B1764,"aaa")</f>
        <v/>
      </c>
      <c r="D1764" s="94" t="inlineStr">
        <is>
          <t>유튜브_심톨</t>
        </is>
      </c>
      <c r="E1764" s="94" t="inlineStr">
        <is>
          <t>토너</t>
        </is>
      </c>
      <c r="G1764" s="4" t="n"/>
      <c r="J1764" s="127" t="n">
        <v>1000000</v>
      </c>
    </row>
    <row r="1765" hidden="1" customFormat="1" s="94">
      <c r="B1765" s="128" t="n">
        <v>44013</v>
      </c>
      <c r="C1765" s="94">
        <f>TEXT(B1765,"aaa")</f>
        <v/>
      </c>
      <c r="D1765" s="94" t="inlineStr">
        <is>
          <t>유튜브_꿀랄라</t>
        </is>
      </c>
      <c r="E1765" s="94" t="inlineStr">
        <is>
          <t>토너</t>
        </is>
      </c>
      <c r="G1765" s="4" t="n"/>
      <c r="J1765" s="127" t="n">
        <v>500000</v>
      </c>
    </row>
    <row r="1766" hidden="1" customFormat="1" s="94">
      <c r="B1766" s="128" t="n">
        <v>44015</v>
      </c>
      <c r="C1766" s="94">
        <f>TEXT(B1766,"aaa")</f>
        <v/>
      </c>
      <c r="D1766" s="94" t="inlineStr">
        <is>
          <t>유튜브_비타천서영</t>
        </is>
      </c>
      <c r="E1766" s="94" t="inlineStr">
        <is>
          <t>토너</t>
        </is>
      </c>
      <c r="G1766" s="4" t="n"/>
      <c r="J1766" s="127" t="n">
        <v>230000</v>
      </c>
    </row>
    <row r="1767" hidden="1" customFormat="1" s="94">
      <c r="B1767" s="128" t="n">
        <v>44020</v>
      </c>
      <c r="C1767" s="94">
        <f>TEXT(B1767,"aaa")</f>
        <v/>
      </c>
      <c r="D1767" s="94" t="inlineStr">
        <is>
          <t>유튜브_나답게</t>
        </is>
      </c>
      <c r="E1767" s="94" t="inlineStr">
        <is>
          <t>토너</t>
        </is>
      </c>
      <c r="G1767" s="4" t="n"/>
      <c r="J1767" s="127" t="n">
        <v>700000</v>
      </c>
    </row>
    <row r="1768" hidden="1" customFormat="1" s="94">
      <c r="B1768" s="128" t="n">
        <v>44022</v>
      </c>
      <c r="C1768" s="94">
        <f>TEXT(B1768,"aaa")</f>
        <v/>
      </c>
      <c r="D1768" s="94" t="inlineStr">
        <is>
          <t>유튜브_킴키미</t>
        </is>
      </c>
      <c r="E1768" s="94" t="inlineStr">
        <is>
          <t>토너</t>
        </is>
      </c>
      <c r="G1768" s="4" t="n"/>
      <c r="J1768" s="127">
        <f>676900/1.1</f>
        <v/>
      </c>
    </row>
    <row r="1769" hidden="1" customFormat="1" s="94">
      <c r="B1769" s="128" t="n">
        <v>44022</v>
      </c>
      <c r="C1769" s="94">
        <f>TEXT(B1769,"aaa")</f>
        <v/>
      </c>
      <c r="D1769" s="94" t="inlineStr">
        <is>
          <t>유튜브_챙잇뷰티</t>
        </is>
      </c>
      <c r="E1769" s="94" t="inlineStr">
        <is>
          <t>토너</t>
        </is>
      </c>
      <c r="G1769" s="4" t="n"/>
      <c r="J1769" s="127">
        <f>11440000/1.1</f>
        <v/>
      </c>
    </row>
    <row r="1770" hidden="1" customFormat="1" s="94">
      <c r="B1770" s="128" t="n">
        <v>44023</v>
      </c>
      <c r="C1770" s="94">
        <f>TEXT(B1770,"aaa")</f>
        <v/>
      </c>
      <c r="D1770" s="94" t="inlineStr">
        <is>
          <t>유튜브_츄츄</t>
        </is>
      </c>
      <c r="E1770" s="94" t="inlineStr">
        <is>
          <t>토너</t>
        </is>
      </c>
      <c r="G1770" s="4" t="n"/>
      <c r="J1770" s="127" t="n">
        <v>700000</v>
      </c>
    </row>
    <row r="1771" hidden="1" customFormat="1" s="94">
      <c r="B1771" s="128" t="n">
        <v>44024</v>
      </c>
      <c r="C1771" s="94">
        <f>TEXT(B1771,"aaa")</f>
        <v/>
      </c>
      <c r="D1771" s="94" t="inlineStr">
        <is>
          <t>유튜브_단이</t>
        </is>
      </c>
      <c r="E1771" s="94" t="inlineStr">
        <is>
          <t>토너</t>
        </is>
      </c>
      <c r="G1771" s="4" t="n"/>
      <c r="J1771" s="127" t="n">
        <v>1200000</v>
      </c>
    </row>
    <row r="1772" hidden="1" customFormat="1" s="94">
      <c r="B1772" s="128" t="n">
        <v>43993</v>
      </c>
      <c r="C1772" s="94">
        <f>TEXT(B1772,"aaa")</f>
        <v/>
      </c>
      <c r="D1772" s="94" t="inlineStr">
        <is>
          <t>유튜브 디스커버리</t>
        </is>
      </c>
      <c r="E1772" s="94" t="inlineStr">
        <is>
          <t>토너</t>
        </is>
      </c>
      <c r="F1772" s="16" t="n"/>
      <c r="G1772" s="4" t="n"/>
      <c r="J1772" s="127" t="n">
        <v>3319</v>
      </c>
    </row>
    <row r="1773" hidden="1" customFormat="1" s="94">
      <c r="B1773" s="128">
        <f>B1772+1</f>
        <v/>
      </c>
      <c r="C1773" s="94">
        <f>TEXT(B1773,"aaa")</f>
        <v/>
      </c>
      <c r="D1773" s="94" t="inlineStr">
        <is>
          <t>유튜브 디스커버리</t>
        </is>
      </c>
      <c r="E1773" s="94" t="inlineStr">
        <is>
          <t>토너</t>
        </is>
      </c>
      <c r="F1773" s="16" t="n"/>
      <c r="G1773" s="4" t="n"/>
      <c r="J1773" s="127" t="n">
        <v>91286</v>
      </c>
    </row>
    <row r="1774" hidden="1" customFormat="1" s="94">
      <c r="B1774" s="128">
        <f>B1773+1</f>
        <v/>
      </c>
      <c r="C1774" s="94">
        <f>TEXT(B1774,"aaa")</f>
        <v/>
      </c>
      <c r="D1774" s="94" t="inlineStr">
        <is>
          <t>유튜브 디스커버리</t>
        </is>
      </c>
      <c r="E1774" s="94" t="inlineStr">
        <is>
          <t>토너</t>
        </is>
      </c>
      <c r="F1774" s="16" t="n"/>
      <c r="G1774" s="4" t="n"/>
      <c r="J1774" s="127" t="n">
        <v>107479</v>
      </c>
    </row>
    <row r="1775" hidden="1" customFormat="1" s="94">
      <c r="B1775" s="128">
        <f>B1774+1</f>
        <v/>
      </c>
      <c r="C1775" s="94">
        <f>TEXT(B1775,"aaa")</f>
        <v/>
      </c>
      <c r="D1775" s="94" t="inlineStr">
        <is>
          <t>유튜브 디스커버리</t>
        </is>
      </c>
      <c r="E1775" s="94" t="inlineStr">
        <is>
          <t>토너</t>
        </is>
      </c>
      <c r="F1775" s="16" t="n"/>
      <c r="G1775" s="4" t="n"/>
      <c r="J1775" s="127" t="n">
        <v>99648</v>
      </c>
    </row>
    <row r="1776" hidden="1" customFormat="1" s="94">
      <c r="B1776" s="128">
        <f>B1775+1</f>
        <v/>
      </c>
      <c r="C1776" s="94">
        <f>TEXT(B1776,"aaa")</f>
        <v/>
      </c>
      <c r="D1776" s="94" t="inlineStr">
        <is>
          <t>유튜브 디스커버리</t>
        </is>
      </c>
      <c r="E1776" s="94" t="inlineStr">
        <is>
          <t>토너</t>
        </is>
      </c>
      <c r="F1776" s="16" t="n"/>
      <c r="G1776" s="4" t="n"/>
      <c r="J1776" s="127" t="n">
        <v>131205</v>
      </c>
    </row>
    <row r="1777" hidden="1" customFormat="1" s="94">
      <c r="B1777" s="128">
        <f>B1776+1</f>
        <v/>
      </c>
      <c r="C1777" s="94">
        <f>TEXT(B1777,"aaa")</f>
        <v/>
      </c>
      <c r="D1777" s="94" t="inlineStr">
        <is>
          <t>유튜브 디스커버리</t>
        </is>
      </c>
      <c r="E1777" s="94" t="inlineStr">
        <is>
          <t>토너</t>
        </is>
      </c>
      <c r="F1777" s="16" t="n"/>
      <c r="G1777" s="4" t="n"/>
      <c r="J1777" s="127" t="n">
        <v>135938</v>
      </c>
    </row>
    <row r="1778" hidden="1" customFormat="1" s="94">
      <c r="B1778" s="128">
        <f>B1777+1</f>
        <v/>
      </c>
      <c r="C1778" s="94">
        <f>TEXT(B1778,"aaa")</f>
        <v/>
      </c>
      <c r="D1778" s="94" t="inlineStr">
        <is>
          <t>유튜브 디스커버리</t>
        </is>
      </c>
      <c r="E1778" s="94" t="inlineStr">
        <is>
          <t>토너</t>
        </is>
      </c>
      <c r="F1778" s="16" t="n"/>
      <c r="G1778" s="4" t="n"/>
      <c r="J1778" s="127" t="n">
        <v>121292</v>
      </c>
    </row>
    <row r="1779" hidden="1" customFormat="1" s="94">
      <c r="B1779" s="128">
        <f>B1778+1</f>
        <v/>
      </c>
      <c r="C1779" s="94">
        <f>TEXT(B1779,"aaa")</f>
        <v/>
      </c>
      <c r="D1779" s="94" t="inlineStr">
        <is>
          <t>유튜브 디스커버리</t>
        </is>
      </c>
      <c r="E1779" s="94" t="inlineStr">
        <is>
          <t>토너</t>
        </is>
      </c>
      <c r="F1779" s="16" t="n"/>
      <c r="G1779" s="4" t="n"/>
      <c r="J1779" s="127" t="n">
        <v>141139</v>
      </c>
    </row>
    <row r="1780" hidden="1" customFormat="1" s="94">
      <c r="B1780" s="128">
        <f>B1779+1</f>
        <v/>
      </c>
      <c r="C1780" s="94">
        <f>TEXT(B1780,"aaa")</f>
        <v/>
      </c>
      <c r="D1780" s="94" t="inlineStr">
        <is>
          <t>유튜브 디스커버리</t>
        </is>
      </c>
      <c r="E1780" s="94" t="inlineStr">
        <is>
          <t>토너</t>
        </is>
      </c>
      <c r="F1780" s="16" t="n"/>
      <c r="G1780" s="4" t="n"/>
      <c r="J1780" s="127" t="n">
        <v>148486</v>
      </c>
    </row>
    <row r="1781" hidden="1" customFormat="1" s="94">
      <c r="B1781" s="128">
        <f>B1780+1</f>
        <v/>
      </c>
      <c r="C1781" s="94">
        <f>TEXT(B1781,"aaa")</f>
        <v/>
      </c>
      <c r="D1781" s="94" t="inlineStr">
        <is>
          <t>유튜브 디스커버리</t>
        </is>
      </c>
      <c r="E1781" s="94" t="inlineStr">
        <is>
          <t>토너</t>
        </is>
      </c>
      <c r="F1781" s="16" t="n"/>
      <c r="G1781" s="4" t="n"/>
      <c r="J1781" s="127" t="n">
        <v>146521</v>
      </c>
    </row>
    <row r="1782" hidden="1" customFormat="1" s="94">
      <c r="B1782" s="128">
        <f>B1781+1</f>
        <v/>
      </c>
      <c r="C1782" s="94">
        <f>TEXT(B1782,"aaa")</f>
        <v/>
      </c>
      <c r="D1782" s="94" t="inlineStr">
        <is>
          <t>유튜브 디스커버리</t>
        </is>
      </c>
      <c r="E1782" s="94" t="inlineStr">
        <is>
          <t>토너</t>
        </is>
      </c>
      <c r="F1782" s="16" t="n"/>
      <c r="G1782" s="4" t="n"/>
      <c r="J1782" s="127" t="n">
        <v>143074</v>
      </c>
    </row>
    <row r="1783" hidden="1" customFormat="1" s="94">
      <c r="B1783" s="128">
        <f>B1782+1</f>
        <v/>
      </c>
      <c r="C1783" s="94">
        <f>TEXT(B1783,"aaa")</f>
        <v/>
      </c>
      <c r="D1783" s="94" t="inlineStr">
        <is>
          <t>유튜브 디스커버리</t>
        </is>
      </c>
      <c r="E1783" s="94" t="inlineStr">
        <is>
          <t>토너</t>
        </is>
      </c>
      <c r="F1783" s="16" t="n"/>
      <c r="G1783" s="4" t="n"/>
      <c r="J1783" s="127" t="n">
        <v>127425</v>
      </c>
    </row>
    <row r="1784" hidden="1" customFormat="1" s="94">
      <c r="B1784" s="128">
        <f>B1783+1</f>
        <v/>
      </c>
      <c r="C1784" s="94">
        <f>TEXT(B1784,"aaa")</f>
        <v/>
      </c>
      <c r="D1784" s="94" t="inlineStr">
        <is>
          <t>유튜브 디스커버리</t>
        </is>
      </c>
      <c r="E1784" s="94" t="inlineStr">
        <is>
          <t>토너</t>
        </is>
      </c>
      <c r="F1784" s="16" t="n"/>
      <c r="G1784" s="4" t="n"/>
      <c r="J1784" s="127" t="n">
        <v>347051</v>
      </c>
    </row>
    <row r="1785" hidden="1" customFormat="1" s="94">
      <c r="B1785" s="128">
        <f>B1784+1</f>
        <v/>
      </c>
      <c r="C1785" s="94">
        <f>TEXT(B1785,"aaa")</f>
        <v/>
      </c>
      <c r="D1785" s="94" t="inlineStr">
        <is>
          <t>유튜브 디스커버리</t>
        </is>
      </c>
      <c r="E1785" s="94" t="inlineStr">
        <is>
          <t>토너</t>
        </is>
      </c>
      <c r="F1785" s="16" t="n"/>
      <c r="G1785" s="4" t="n"/>
      <c r="J1785" s="127" t="n">
        <v>850307</v>
      </c>
    </row>
    <row r="1786" hidden="1" customFormat="1" s="94">
      <c r="B1786" s="128">
        <f>B1785+1</f>
        <v/>
      </c>
      <c r="C1786" s="94">
        <f>TEXT(B1786,"aaa")</f>
        <v/>
      </c>
      <c r="D1786" s="94" t="inlineStr">
        <is>
          <t>유튜브 디스커버리</t>
        </is>
      </c>
      <c r="E1786" s="94" t="inlineStr">
        <is>
          <t>토너</t>
        </is>
      </c>
      <c r="F1786" s="16" t="n"/>
      <c r="G1786" s="4" t="n"/>
      <c r="J1786" s="127" t="n">
        <v>838477</v>
      </c>
    </row>
    <row r="1787" hidden="1" customFormat="1" s="94">
      <c r="B1787" s="128">
        <f>B1786+1</f>
        <v/>
      </c>
      <c r="C1787" s="94">
        <f>TEXT(B1787,"aaa")</f>
        <v/>
      </c>
      <c r="D1787" s="94" t="inlineStr">
        <is>
          <t>유튜브 디스커버리</t>
        </is>
      </c>
      <c r="E1787" s="94" t="inlineStr">
        <is>
          <t>토너</t>
        </is>
      </c>
      <c r="F1787" s="16" t="n"/>
      <c r="G1787" s="4" t="n"/>
      <c r="J1787" s="127" t="n">
        <v>830207</v>
      </c>
    </row>
    <row r="1788" hidden="1" customFormat="1" s="94">
      <c r="B1788" s="128">
        <f>B1787+1</f>
        <v/>
      </c>
      <c r="C1788" s="94">
        <f>TEXT(B1788,"aaa")</f>
        <v/>
      </c>
      <c r="D1788" s="94" t="inlineStr">
        <is>
          <t>유튜브 디스커버리</t>
        </is>
      </c>
      <c r="E1788" s="94" t="inlineStr">
        <is>
          <t>토너</t>
        </is>
      </c>
      <c r="F1788" s="16" t="n"/>
      <c r="G1788" s="4" t="n"/>
      <c r="J1788" s="127" t="n">
        <v>835662</v>
      </c>
    </row>
    <row r="1789" hidden="1" customFormat="1" s="94">
      <c r="B1789" s="128">
        <f>B1788+1</f>
        <v/>
      </c>
      <c r="C1789" s="94">
        <f>TEXT(B1789,"aaa")</f>
        <v/>
      </c>
      <c r="D1789" s="94" t="inlineStr">
        <is>
          <t>유튜브 디스커버리</t>
        </is>
      </c>
      <c r="E1789" s="94" t="inlineStr">
        <is>
          <t>토너</t>
        </is>
      </c>
      <c r="F1789" s="16" t="n"/>
      <c r="G1789" s="4" t="n"/>
      <c r="J1789" s="127" t="n">
        <v>927598</v>
      </c>
    </row>
    <row r="1790" hidden="1" customFormat="1" s="94">
      <c r="B1790" s="128">
        <f>B1789+1</f>
        <v/>
      </c>
      <c r="C1790" s="94">
        <f>TEXT(B1790,"aaa")</f>
        <v/>
      </c>
      <c r="D1790" s="94" t="inlineStr">
        <is>
          <t>유튜브 디스커버리</t>
        </is>
      </c>
      <c r="E1790" s="94" t="inlineStr">
        <is>
          <t>토너</t>
        </is>
      </c>
      <c r="F1790" s="16" t="n"/>
      <c r="G1790" s="4" t="n"/>
      <c r="J1790" s="127" t="n">
        <v>933664</v>
      </c>
    </row>
    <row r="1791" hidden="1" customFormat="1" s="94">
      <c r="B1791" s="128">
        <f>B1790+1</f>
        <v/>
      </c>
      <c r="C1791" s="94">
        <f>TEXT(B1791,"aaa")</f>
        <v/>
      </c>
      <c r="D1791" s="94" t="inlineStr">
        <is>
          <t>유튜브 디스커버리</t>
        </is>
      </c>
      <c r="E1791" s="94" t="inlineStr">
        <is>
          <t>토너</t>
        </is>
      </c>
      <c r="F1791" s="16" t="n"/>
      <c r="G1791" s="4" t="n"/>
      <c r="J1791" s="127" t="n">
        <v>601963</v>
      </c>
    </row>
    <row r="1792" hidden="1" customFormat="1" s="94">
      <c r="B1792" s="128">
        <f>B1791+1</f>
        <v/>
      </c>
      <c r="C1792" s="94">
        <f>TEXT(B1792,"aaa")</f>
        <v/>
      </c>
      <c r="D1792" s="94" t="inlineStr">
        <is>
          <t>유튜브 디스커버리</t>
        </is>
      </c>
      <c r="E1792" s="94" t="inlineStr">
        <is>
          <t>토너</t>
        </is>
      </c>
      <c r="F1792" s="16" t="n"/>
      <c r="G1792" s="4" t="n"/>
      <c r="J1792" s="127" t="n">
        <v>332793</v>
      </c>
    </row>
    <row r="1793" hidden="1" customFormat="1" s="94">
      <c r="B1793" s="128">
        <f>B1792+1</f>
        <v/>
      </c>
      <c r="C1793" s="94">
        <f>TEXT(B1793,"aaa")</f>
        <v/>
      </c>
      <c r="D1793" s="94" t="inlineStr">
        <is>
          <t>유튜브 디스커버리</t>
        </is>
      </c>
      <c r="E1793" s="94" t="inlineStr">
        <is>
          <t>토너</t>
        </is>
      </c>
      <c r="F1793" s="16" t="n"/>
      <c r="G1793" s="4" t="n"/>
      <c r="J1793" s="127" t="n">
        <v>331866</v>
      </c>
    </row>
    <row r="1794" hidden="1" customFormat="1" s="94">
      <c r="B1794" s="128">
        <f>B1793+1</f>
        <v/>
      </c>
      <c r="C1794" s="94">
        <f>TEXT(B1794,"aaa")</f>
        <v/>
      </c>
      <c r="D1794" s="94" t="inlineStr">
        <is>
          <t>유튜브 디스커버리</t>
        </is>
      </c>
      <c r="E1794" s="94" t="inlineStr">
        <is>
          <t>토너</t>
        </is>
      </c>
      <c r="F1794" s="16" t="n"/>
      <c r="G1794" s="4" t="n"/>
      <c r="J1794" s="127" t="n">
        <v>81624</v>
      </c>
    </row>
    <row r="1795" hidden="1" customFormat="1" s="94">
      <c r="B1795" s="128" t="n">
        <v>44021</v>
      </c>
      <c r="C1795" s="94">
        <f>TEXT(B1795,"aaa")</f>
        <v/>
      </c>
      <c r="D1795" s="94" t="inlineStr">
        <is>
          <t>유튜브 디스커버리</t>
        </is>
      </c>
      <c r="E1795" s="94" t="inlineStr">
        <is>
          <t>토너</t>
        </is>
      </c>
      <c r="F1795" s="16" t="n"/>
      <c r="G1795" s="4" t="n"/>
      <c r="J1795" s="127" t="n">
        <v>63532</v>
      </c>
    </row>
    <row r="1796" hidden="1" customFormat="1" s="94">
      <c r="B1796" s="128">
        <f>B1795+1</f>
        <v/>
      </c>
      <c r="C1796" s="94">
        <f>TEXT(B1796,"aaa")</f>
        <v/>
      </c>
      <c r="D1796" s="94" t="inlineStr">
        <is>
          <t>유튜브 디스커버리</t>
        </is>
      </c>
      <c r="E1796" s="94" t="inlineStr">
        <is>
          <t>토너</t>
        </is>
      </c>
      <c r="F1796" s="16" t="n"/>
      <c r="G1796" s="4" t="n"/>
      <c r="J1796" s="127" t="n">
        <v>49216</v>
      </c>
    </row>
    <row r="1797" hidden="1" customFormat="1" s="94">
      <c r="B1797" s="128">
        <f>B1796+1</f>
        <v/>
      </c>
      <c r="C1797" s="94">
        <f>TEXT(B1797,"aaa")</f>
        <v/>
      </c>
      <c r="D1797" s="94" t="inlineStr">
        <is>
          <t>유튜브 디스커버리</t>
        </is>
      </c>
      <c r="E1797" s="94" t="inlineStr">
        <is>
          <t>토너</t>
        </is>
      </c>
      <c r="F1797" s="16" t="n"/>
      <c r="G1797" s="4" t="n"/>
      <c r="J1797" s="89" t="n">
        <v>49548</v>
      </c>
    </row>
    <row r="1798" hidden="1" customFormat="1" s="94">
      <c r="B1798" s="128">
        <f>B1797+1</f>
        <v/>
      </c>
      <c r="C1798" s="94">
        <f>TEXT(B1798,"aaa")</f>
        <v/>
      </c>
      <c r="D1798" s="94" t="inlineStr">
        <is>
          <t>유튜브 디스커버리</t>
        </is>
      </c>
      <c r="E1798" s="94" t="inlineStr">
        <is>
          <t>토너</t>
        </is>
      </c>
      <c r="F1798" s="16" t="n"/>
      <c r="G1798" s="4" t="n"/>
      <c r="J1798" s="89" t="n">
        <v>49961</v>
      </c>
    </row>
    <row r="1799" hidden="1" customFormat="1" s="94">
      <c r="B1799" s="128">
        <f>B1798+1</f>
        <v/>
      </c>
      <c r="C1799" s="94">
        <f>TEXT(B1799,"aaa")</f>
        <v/>
      </c>
      <c r="D1799" s="94" t="inlineStr">
        <is>
          <t>유튜브 디스커버리</t>
        </is>
      </c>
      <c r="E1799" s="94" t="inlineStr">
        <is>
          <t>토너</t>
        </is>
      </c>
      <c r="F1799" s="16" t="n"/>
      <c r="G1799" s="4" t="n"/>
      <c r="J1799" s="89" t="n">
        <v>156856</v>
      </c>
    </row>
    <row r="1800" hidden="1" customFormat="1" s="94">
      <c r="B1800" s="128">
        <f>B1799+1</f>
        <v/>
      </c>
      <c r="C1800" s="94">
        <f>TEXT(B1800,"aaa")</f>
        <v/>
      </c>
      <c r="D1800" s="94" t="inlineStr">
        <is>
          <t>유튜브 디스커버리</t>
        </is>
      </c>
      <c r="E1800" s="94" t="inlineStr">
        <is>
          <t>토너</t>
        </is>
      </c>
      <c r="F1800" s="16" t="n"/>
      <c r="G1800" s="4" t="n"/>
      <c r="J1800" s="89" t="n">
        <v>54759</v>
      </c>
    </row>
    <row r="1801" hidden="1" customFormat="1" s="94">
      <c r="B1801" s="128">
        <f>B1800+1</f>
        <v/>
      </c>
      <c r="C1801" s="94">
        <f>TEXT(B1801,"aaa")</f>
        <v/>
      </c>
      <c r="D1801" s="94" t="inlineStr">
        <is>
          <t>유튜브 디스커버리</t>
        </is>
      </c>
      <c r="E1801" s="94" t="inlineStr">
        <is>
          <t>토너</t>
        </is>
      </c>
      <c r="F1801" s="16" t="n"/>
      <c r="G1801" s="4" t="n"/>
      <c r="J1801" s="89" t="n">
        <v>156693</v>
      </c>
    </row>
    <row r="1802" hidden="1" customFormat="1" s="94">
      <c r="B1802" s="128">
        <f>B1801+1</f>
        <v/>
      </c>
      <c r="C1802" s="94">
        <f>TEXT(B1802,"aaa")</f>
        <v/>
      </c>
      <c r="D1802" s="94" t="inlineStr">
        <is>
          <t>유튜브 디스커버리</t>
        </is>
      </c>
      <c r="E1802" s="94" t="inlineStr">
        <is>
          <t>토너</t>
        </is>
      </c>
      <c r="F1802" s="16" t="n"/>
      <c r="G1802" s="4" t="n"/>
      <c r="J1802" s="89" t="n">
        <v>53197</v>
      </c>
    </row>
    <row r="1803" hidden="1" customFormat="1" s="94">
      <c r="B1803" s="128">
        <f>B1802+1</f>
        <v/>
      </c>
      <c r="C1803" s="94">
        <f>TEXT(B1803,"aaa")</f>
        <v/>
      </c>
      <c r="D1803" s="94" t="inlineStr">
        <is>
          <t>유튜브 디스커버리</t>
        </is>
      </c>
      <c r="E1803" s="94" t="inlineStr">
        <is>
          <t>토너</t>
        </is>
      </c>
      <c r="F1803" s="16" t="n"/>
      <c r="G1803" s="4" t="n"/>
      <c r="J1803" s="89" t="n">
        <v>50309</v>
      </c>
    </row>
    <row r="1804" hidden="1" customFormat="1" s="94">
      <c r="B1804" s="128">
        <f>B1803+1</f>
        <v/>
      </c>
      <c r="C1804" s="94">
        <f>TEXT(B1804,"aaa")</f>
        <v/>
      </c>
      <c r="D1804" s="94" t="inlineStr">
        <is>
          <t>유튜브 디스커버리</t>
        </is>
      </c>
      <c r="E1804" s="94" t="inlineStr">
        <is>
          <t>토너</t>
        </is>
      </c>
      <c r="F1804" s="16" t="n"/>
      <c r="G1804" s="4" t="n"/>
      <c r="J1804" s="89" t="n">
        <v>50327</v>
      </c>
    </row>
    <row r="1805" hidden="1" customFormat="1" s="94">
      <c r="B1805" s="128">
        <f>B1804+1</f>
        <v/>
      </c>
      <c r="C1805" s="94">
        <f>TEXT(B1805,"aaa")</f>
        <v/>
      </c>
      <c r="D1805" s="94" t="inlineStr">
        <is>
          <t>유튜브 디스커버리</t>
        </is>
      </c>
      <c r="E1805" s="94" t="inlineStr">
        <is>
          <t>토너</t>
        </is>
      </c>
      <c r="F1805" s="16" t="n"/>
      <c r="G1805" s="4" t="n"/>
      <c r="J1805" s="89" t="n">
        <v>50178</v>
      </c>
    </row>
    <row r="1806" hidden="1" customFormat="1" s="94">
      <c r="B1806" s="128">
        <f>B1805+1</f>
        <v/>
      </c>
      <c r="C1806" s="94">
        <f>TEXT(B1806,"aaa")</f>
        <v/>
      </c>
      <c r="D1806" s="94" t="inlineStr">
        <is>
          <t>유튜브 디스커버리</t>
        </is>
      </c>
      <c r="E1806" s="94" t="inlineStr">
        <is>
          <t>토너</t>
        </is>
      </c>
      <c r="F1806" s="16" t="n"/>
      <c r="G1806" s="4" t="n"/>
      <c r="J1806" s="89" t="n">
        <v>22729</v>
      </c>
    </row>
    <row r="1807" hidden="1" customFormat="1" s="94">
      <c r="B1807" s="128" t="n">
        <v>44033</v>
      </c>
      <c r="C1807" s="94">
        <f>TEXT(B1807,"aaa")</f>
        <v/>
      </c>
      <c r="D1807" s="94" t="inlineStr">
        <is>
          <t>페이스북/인스타그램</t>
        </is>
      </c>
      <c r="E1807" s="94" t="inlineStr">
        <is>
          <t>선크림</t>
        </is>
      </c>
      <c r="G1807" s="4" t="n"/>
      <c r="J1807" s="94" t="n">
        <v>76703</v>
      </c>
    </row>
    <row r="1808" hidden="1" customFormat="1" s="94">
      <c r="B1808" s="128" t="n">
        <v>44034</v>
      </c>
      <c r="C1808" s="94">
        <f>TEXT(B1808,"aaa")</f>
        <v/>
      </c>
      <c r="D1808" s="94" t="inlineStr">
        <is>
          <t>페이스북/인스타그램</t>
        </is>
      </c>
      <c r="E1808" s="94" t="inlineStr">
        <is>
          <t>선크림</t>
        </is>
      </c>
      <c r="G1808" s="4" t="n"/>
      <c r="J1808" s="94" t="n">
        <v>255149</v>
      </c>
    </row>
    <row r="1809" hidden="1" customFormat="1" s="94">
      <c r="B1809" s="128" t="n">
        <v>44035</v>
      </c>
      <c r="C1809" s="94">
        <f>TEXT(B1809,"aaa")</f>
        <v/>
      </c>
      <c r="D1809" s="94" t="inlineStr">
        <is>
          <t>페이스북/인스타그램</t>
        </is>
      </c>
      <c r="E1809" s="94" t="inlineStr">
        <is>
          <t>선크림</t>
        </is>
      </c>
      <c r="G1809" s="4" t="n"/>
      <c r="J1809" s="94" t="n">
        <v>127809</v>
      </c>
    </row>
    <row r="1810" hidden="1" customFormat="1" s="94">
      <c r="B1810" s="128" t="n">
        <v>44036</v>
      </c>
      <c r="C1810" s="94">
        <f>TEXT(B1810,"aaa")</f>
        <v/>
      </c>
      <c r="D1810" s="94" t="inlineStr">
        <is>
          <t>페이스북/인스타그램</t>
        </is>
      </c>
      <c r="E1810" s="94" t="inlineStr">
        <is>
          <t>선크림</t>
        </is>
      </c>
      <c r="G1810" s="4" t="n"/>
      <c r="J1810" s="94" t="n">
        <v>26537</v>
      </c>
    </row>
    <row r="1811" hidden="1" customFormat="1" s="94">
      <c r="B1811" s="128" t="n">
        <v>44037</v>
      </c>
      <c r="C1811" s="94">
        <f>TEXT(B1811,"aaa")</f>
        <v/>
      </c>
      <c r="D1811" s="94" t="inlineStr">
        <is>
          <t>페이스북/인스타그램</t>
        </is>
      </c>
      <c r="E1811" s="94" t="inlineStr">
        <is>
          <t>선크림</t>
        </is>
      </c>
      <c r="G1811" s="4" t="n"/>
      <c r="J1811" s="94" t="n">
        <v>96455</v>
      </c>
    </row>
    <row r="1812" hidden="1" customFormat="1" s="94">
      <c r="B1812" s="128" t="n">
        <v>44038</v>
      </c>
      <c r="C1812" s="94">
        <f>TEXT(B1812,"aaa")</f>
        <v/>
      </c>
      <c r="D1812" s="94" t="inlineStr">
        <is>
          <t>페이스북/인스타그램</t>
        </is>
      </c>
      <c r="E1812" s="94" t="inlineStr">
        <is>
          <t>선크림</t>
        </is>
      </c>
      <c r="G1812" s="4" t="n"/>
      <c r="J1812" s="94" t="n">
        <v>81552</v>
      </c>
    </row>
    <row r="1813" hidden="1" customFormat="1" s="94">
      <c r="B1813" s="128" t="n">
        <v>44039</v>
      </c>
      <c r="C1813" s="94">
        <f>TEXT(B1813,"aaa")</f>
        <v/>
      </c>
      <c r="D1813" s="94" t="inlineStr">
        <is>
          <t>페이스북/인스타그램</t>
        </is>
      </c>
      <c r="E1813" s="94" t="inlineStr">
        <is>
          <t>선크림</t>
        </is>
      </c>
      <c r="G1813" s="4" t="n"/>
      <c r="J1813" s="94" t="n">
        <v>79582</v>
      </c>
    </row>
    <row r="1814" hidden="1" customFormat="1" s="94">
      <c r="B1814" s="128" t="n">
        <v>44033</v>
      </c>
      <c r="C1814" s="94">
        <f>TEXT(B1814,"aaa")</f>
        <v/>
      </c>
      <c r="D1814" s="94" t="inlineStr">
        <is>
          <t>페이스북/인스타그램</t>
        </is>
      </c>
      <c r="E1814" s="94" t="inlineStr">
        <is>
          <t>토너</t>
        </is>
      </c>
      <c r="G1814" s="4" t="n"/>
      <c r="J1814" s="89" t="n">
        <v>30139</v>
      </c>
    </row>
    <row r="1815" hidden="1" customFormat="1" s="94">
      <c r="B1815" s="128" t="n">
        <v>44034</v>
      </c>
      <c r="C1815" s="94">
        <f>TEXT(B1815,"aaa")</f>
        <v/>
      </c>
      <c r="D1815" s="94" t="inlineStr">
        <is>
          <t>페이스북/인스타그램</t>
        </is>
      </c>
      <c r="E1815" s="94" t="inlineStr">
        <is>
          <t>토너</t>
        </is>
      </c>
      <c r="G1815" s="4" t="n"/>
      <c r="J1815" s="89" t="n">
        <v>997161</v>
      </c>
    </row>
    <row r="1816" hidden="1" customFormat="1" s="94">
      <c r="B1816" s="128" t="n">
        <v>44035</v>
      </c>
      <c r="C1816" s="94">
        <f>TEXT(B1816,"aaa")</f>
        <v/>
      </c>
      <c r="D1816" s="94" t="inlineStr">
        <is>
          <t>페이스북/인스타그램</t>
        </is>
      </c>
      <c r="E1816" s="94" t="inlineStr">
        <is>
          <t>토너</t>
        </is>
      </c>
      <c r="G1816" s="4" t="n"/>
      <c r="J1816" s="89" t="n">
        <v>911539</v>
      </c>
    </row>
    <row r="1817" hidden="1" customFormat="1" s="94">
      <c r="B1817" s="128" t="n">
        <v>44036</v>
      </c>
      <c r="C1817" s="94">
        <f>TEXT(B1817,"aaa")</f>
        <v/>
      </c>
      <c r="D1817" s="94" t="inlineStr">
        <is>
          <t>페이스북/인스타그램</t>
        </is>
      </c>
      <c r="E1817" s="94" t="inlineStr">
        <is>
          <t>토너</t>
        </is>
      </c>
      <c r="G1817" s="4" t="n"/>
      <c r="J1817" s="89" t="n">
        <v>682505</v>
      </c>
    </row>
    <row r="1818" hidden="1" customFormat="1" s="94">
      <c r="B1818" s="128" t="n">
        <v>44037</v>
      </c>
      <c r="C1818" s="94">
        <f>TEXT(B1818,"aaa")</f>
        <v/>
      </c>
      <c r="D1818" s="94" t="inlineStr">
        <is>
          <t>페이스북/인스타그램</t>
        </is>
      </c>
      <c r="E1818" s="94" t="inlineStr">
        <is>
          <t>토너</t>
        </is>
      </c>
      <c r="G1818" s="4" t="n"/>
      <c r="J1818" s="89" t="n">
        <v>446074</v>
      </c>
    </row>
    <row r="1819" hidden="1" customFormat="1" s="94">
      <c r="B1819" s="128" t="n">
        <v>44038</v>
      </c>
      <c r="C1819" s="94">
        <f>TEXT(B1819,"aaa")</f>
        <v/>
      </c>
      <c r="D1819" s="94" t="inlineStr">
        <is>
          <t>페이스북/인스타그램</t>
        </is>
      </c>
      <c r="E1819" s="94" t="inlineStr">
        <is>
          <t>토너</t>
        </is>
      </c>
      <c r="G1819" s="4" t="n"/>
      <c r="J1819" s="89" t="n">
        <v>602841</v>
      </c>
    </row>
    <row r="1820" hidden="1" customFormat="1" s="94">
      <c r="B1820" s="128" t="n">
        <v>44039</v>
      </c>
      <c r="C1820" s="94">
        <f>TEXT(B1820,"aaa")</f>
        <v/>
      </c>
      <c r="D1820" s="94" t="inlineStr">
        <is>
          <t>페이스북/인스타그램</t>
        </is>
      </c>
      <c r="E1820" s="94" t="inlineStr">
        <is>
          <t>토너</t>
        </is>
      </c>
      <c r="G1820" s="4" t="n"/>
      <c r="J1820" s="89" t="n">
        <v>866686</v>
      </c>
    </row>
    <row r="1821" hidden="1" customFormat="1" s="94">
      <c r="B1821" s="128" t="n">
        <v>44033</v>
      </c>
      <c r="C1821" s="94">
        <f>TEXT(B1821,"aaa")</f>
        <v/>
      </c>
      <c r="D1821" s="94" t="inlineStr">
        <is>
          <t>네이버 GFA</t>
        </is>
      </c>
      <c r="E1821" s="94" t="inlineStr">
        <is>
          <t>선크림</t>
        </is>
      </c>
      <c r="G1821" s="4" t="n"/>
      <c r="J1821" s="89" t="n">
        <v>371851.8181818182</v>
      </c>
    </row>
    <row r="1822" hidden="1" customFormat="1" s="94">
      <c r="B1822" s="128" t="n">
        <v>44034</v>
      </c>
      <c r="C1822" s="94">
        <f>TEXT(B1822,"aaa")</f>
        <v/>
      </c>
      <c r="D1822" s="94" t="inlineStr">
        <is>
          <t>네이버 GFA</t>
        </is>
      </c>
      <c r="E1822" s="94" t="inlineStr">
        <is>
          <t>선크림</t>
        </is>
      </c>
      <c r="G1822" s="4" t="n"/>
      <c r="J1822" s="89" t="n">
        <v>446914.5454545454</v>
      </c>
    </row>
    <row r="1823" hidden="1" customFormat="1" s="94">
      <c r="B1823" s="128" t="n">
        <v>44035</v>
      </c>
      <c r="C1823" s="94">
        <f>TEXT(B1823,"aaa")</f>
        <v/>
      </c>
      <c r="D1823" s="94" t="inlineStr">
        <is>
          <t>네이버 GFA</t>
        </is>
      </c>
      <c r="E1823" s="94" t="inlineStr">
        <is>
          <t>선크림</t>
        </is>
      </c>
      <c r="G1823" s="4" t="n"/>
      <c r="J1823" s="89" t="n">
        <v>70551.81818181818</v>
      </c>
    </row>
    <row r="1824" hidden="1" customFormat="1" s="94">
      <c r="B1824" s="128" t="n">
        <v>44039</v>
      </c>
      <c r="C1824" s="94">
        <f>TEXT(B1824,"aaa")</f>
        <v/>
      </c>
      <c r="D1824" s="94" t="inlineStr">
        <is>
          <t>네이버 GFA</t>
        </is>
      </c>
      <c r="E1824" s="94" t="inlineStr">
        <is>
          <t>선크림</t>
        </is>
      </c>
      <c r="G1824" s="4" t="n"/>
      <c r="J1824" s="89" t="n">
        <v>25896.36363636364</v>
      </c>
    </row>
    <row r="1825" hidden="1" customFormat="1" s="94">
      <c r="B1825" s="128" t="n">
        <v>44034</v>
      </c>
      <c r="C1825" s="94">
        <f>TEXT(B1825,"aaa")</f>
        <v/>
      </c>
      <c r="D1825" s="94" t="inlineStr">
        <is>
          <t>네이버 GFA</t>
        </is>
      </c>
      <c r="E1825" s="94" t="inlineStr">
        <is>
          <t>토너</t>
        </is>
      </c>
      <c r="G1825" s="4" t="n"/>
      <c r="J1825" s="89" t="n">
        <v>54467.27272727272</v>
      </c>
    </row>
    <row r="1826" hidden="1" customFormat="1" s="94">
      <c r="B1826" s="128">
        <f>B1825+1</f>
        <v/>
      </c>
      <c r="C1826" s="94">
        <f>TEXT(B1826,"aaa")</f>
        <v/>
      </c>
      <c r="D1826" s="94" t="inlineStr">
        <is>
          <t>네이버 GFA</t>
        </is>
      </c>
      <c r="E1826" s="94" t="inlineStr">
        <is>
          <t>토너</t>
        </is>
      </c>
      <c r="G1826" s="4" t="n"/>
      <c r="J1826" s="89" t="n">
        <v>127239.0909090909</v>
      </c>
    </row>
    <row r="1827" hidden="1" customFormat="1" s="94">
      <c r="B1827" s="128">
        <f>B1826+1</f>
        <v/>
      </c>
      <c r="C1827" s="94">
        <f>TEXT(B1827,"aaa")</f>
        <v/>
      </c>
      <c r="D1827" s="94" t="inlineStr">
        <is>
          <t>네이버 GFA</t>
        </is>
      </c>
      <c r="E1827" s="94" t="inlineStr">
        <is>
          <t>토너</t>
        </is>
      </c>
      <c r="G1827" s="4" t="n"/>
      <c r="J1827" s="89" t="n">
        <v>143582.7272727273</v>
      </c>
    </row>
    <row r="1828" hidden="1" customFormat="1" s="94">
      <c r="B1828" s="128">
        <f>B1827+1</f>
        <v/>
      </c>
      <c r="C1828" s="94">
        <f>TEXT(B1828,"aaa")</f>
        <v/>
      </c>
      <c r="D1828" s="94" t="inlineStr">
        <is>
          <t>네이버 GFA</t>
        </is>
      </c>
      <c r="E1828" s="94" t="inlineStr">
        <is>
          <t>토너</t>
        </is>
      </c>
      <c r="G1828" s="4" t="n"/>
      <c r="J1828" s="89" t="n">
        <v>142633.6363636364</v>
      </c>
    </row>
    <row r="1829" hidden="1" customFormat="1" s="94">
      <c r="B1829" s="128">
        <f>B1828+1</f>
        <v/>
      </c>
      <c r="C1829" s="94">
        <f>TEXT(B1829,"aaa")</f>
        <v/>
      </c>
      <c r="D1829" s="94" t="inlineStr">
        <is>
          <t>네이버 GFA</t>
        </is>
      </c>
      <c r="E1829" s="94" t="inlineStr">
        <is>
          <t>토너</t>
        </is>
      </c>
      <c r="G1829" s="4" t="n"/>
      <c r="J1829" s="89" t="n">
        <v>131167.2727272727</v>
      </c>
    </row>
    <row r="1830" hidden="1" customFormat="1" s="94">
      <c r="B1830" s="128">
        <f>B1829+1</f>
        <v/>
      </c>
      <c r="C1830" s="94">
        <f>TEXT(B1830,"aaa")</f>
        <v/>
      </c>
      <c r="D1830" s="94" t="inlineStr">
        <is>
          <t>네이버 GFA</t>
        </is>
      </c>
      <c r="E1830" s="94" t="inlineStr">
        <is>
          <t>토너</t>
        </is>
      </c>
      <c r="G1830" s="4" t="n"/>
      <c r="J1830" s="89" t="n">
        <v>384813.6363636364</v>
      </c>
    </row>
    <row r="1831" hidden="1" customFormat="1" s="94">
      <c r="B1831" s="128" t="n">
        <v>44033</v>
      </c>
      <c r="C1831" s="94">
        <f>TEXT(B1831,"aaa")</f>
        <v/>
      </c>
      <c r="D1831" s="94" t="inlineStr">
        <is>
          <t>네이버 쇼핑검색</t>
        </is>
      </c>
      <c r="E1831" s="94" t="inlineStr">
        <is>
          <t>토너</t>
        </is>
      </c>
      <c r="G1831" s="4" t="n"/>
      <c r="J1831" s="89" t="n">
        <v>42270</v>
      </c>
    </row>
    <row r="1832" hidden="1" customFormat="1" s="94">
      <c r="B1832" s="128">
        <f>B1831+1</f>
        <v/>
      </c>
      <c r="C1832" s="94">
        <f>TEXT(B1832,"aaa")</f>
        <v/>
      </c>
      <c r="D1832" s="94" t="inlineStr">
        <is>
          <t>네이버 쇼핑검색</t>
        </is>
      </c>
      <c r="E1832" s="94" t="inlineStr">
        <is>
          <t>토너</t>
        </is>
      </c>
      <c r="G1832" s="4" t="n"/>
      <c r="J1832" s="89" t="n">
        <v>41850</v>
      </c>
    </row>
    <row r="1833" hidden="1" customFormat="1" s="94">
      <c r="B1833" s="128">
        <f>B1832+1</f>
        <v/>
      </c>
      <c r="C1833" s="94">
        <f>TEXT(B1833,"aaa")</f>
        <v/>
      </c>
      <c r="D1833" s="94" t="inlineStr">
        <is>
          <t>네이버 쇼핑검색</t>
        </is>
      </c>
      <c r="E1833" s="94" t="inlineStr">
        <is>
          <t>토너</t>
        </is>
      </c>
      <c r="G1833" s="4" t="n"/>
      <c r="J1833" s="89" t="n">
        <v>44490</v>
      </c>
    </row>
    <row r="1834" hidden="1" customFormat="1" s="94">
      <c r="B1834" s="128">
        <f>B1833+1</f>
        <v/>
      </c>
      <c r="C1834" s="94">
        <f>TEXT(B1834,"aaa")</f>
        <v/>
      </c>
      <c r="D1834" s="94" t="inlineStr">
        <is>
          <t>네이버 쇼핑검색</t>
        </is>
      </c>
      <c r="E1834" s="94" t="inlineStr">
        <is>
          <t>토너</t>
        </is>
      </c>
      <c r="G1834" s="4" t="n"/>
      <c r="J1834" s="89" t="n">
        <v>31110</v>
      </c>
    </row>
    <row r="1835" hidden="1" customFormat="1" s="94">
      <c r="B1835" s="128">
        <f>B1834+1</f>
        <v/>
      </c>
      <c r="C1835" s="94">
        <f>TEXT(B1835,"aaa")</f>
        <v/>
      </c>
      <c r="D1835" s="94" t="inlineStr">
        <is>
          <t>네이버 쇼핑검색</t>
        </is>
      </c>
      <c r="E1835" s="94" t="inlineStr">
        <is>
          <t>토너</t>
        </is>
      </c>
      <c r="G1835" s="4" t="n"/>
      <c r="J1835" s="89" t="n">
        <v>32950</v>
      </c>
    </row>
    <row r="1836" hidden="1" customFormat="1" s="94">
      <c r="B1836" s="128">
        <f>B1835+1</f>
        <v/>
      </c>
      <c r="C1836" s="94">
        <f>TEXT(B1836,"aaa")</f>
        <v/>
      </c>
      <c r="D1836" s="94" t="inlineStr">
        <is>
          <t>네이버 쇼핑검색</t>
        </is>
      </c>
      <c r="E1836" s="94" t="inlineStr">
        <is>
          <t>토너</t>
        </is>
      </c>
      <c r="G1836" s="4" t="n"/>
      <c r="J1836" s="89" t="n">
        <v>38950</v>
      </c>
    </row>
    <row r="1837" hidden="1" customFormat="1" s="94">
      <c r="B1837" s="128">
        <f>B1836+1</f>
        <v/>
      </c>
      <c r="C1837" s="94">
        <f>TEXT(B1837,"aaa")</f>
        <v/>
      </c>
      <c r="D1837" s="94" t="inlineStr">
        <is>
          <t>네이버 쇼핑검색</t>
        </is>
      </c>
      <c r="E1837" s="94" t="inlineStr">
        <is>
          <t>토너</t>
        </is>
      </c>
      <c r="G1837" s="4" t="n"/>
      <c r="J1837" s="89" t="n">
        <v>47119.99999999999</v>
      </c>
    </row>
    <row r="1838" hidden="1" customFormat="1" s="94">
      <c r="B1838" s="128" t="n">
        <v>44033</v>
      </c>
      <c r="C1838" s="94">
        <f>TEXT(B1838,"aaa")</f>
        <v/>
      </c>
      <c r="D1838" s="94" t="inlineStr">
        <is>
          <t>네이버 브랜드검색</t>
        </is>
      </c>
      <c r="E1838" s="94" t="inlineStr">
        <is>
          <t>토너</t>
        </is>
      </c>
      <c r="G1838" s="4" t="n"/>
      <c r="J1838" s="89" t="n">
        <v>50000</v>
      </c>
    </row>
    <row r="1839" hidden="1" customFormat="1" s="94">
      <c r="B1839" s="128">
        <f>B1838+1</f>
        <v/>
      </c>
      <c r="C1839" s="94">
        <f>TEXT(B1839,"aaa")</f>
        <v/>
      </c>
      <c r="D1839" s="94" t="inlineStr">
        <is>
          <t>네이버 브랜드검색</t>
        </is>
      </c>
      <c r="E1839" s="94" t="inlineStr">
        <is>
          <t>토너</t>
        </is>
      </c>
      <c r="G1839" s="4" t="n"/>
      <c r="J1839" s="89" t="n">
        <v>50000</v>
      </c>
    </row>
    <row r="1840" hidden="1" customFormat="1" s="94">
      <c r="B1840" s="128">
        <f>B1839+1</f>
        <v/>
      </c>
      <c r="C1840" s="94">
        <f>TEXT(B1840,"aaa")</f>
        <v/>
      </c>
      <c r="D1840" s="94" t="inlineStr">
        <is>
          <t>네이버 브랜드검색</t>
        </is>
      </c>
      <c r="E1840" s="94" t="inlineStr">
        <is>
          <t>토너</t>
        </is>
      </c>
      <c r="G1840" s="4" t="n"/>
      <c r="J1840" s="89" t="n">
        <v>50000</v>
      </c>
    </row>
    <row r="1841" hidden="1" customFormat="1" s="94">
      <c r="B1841" s="128">
        <f>B1840+1</f>
        <v/>
      </c>
      <c r="C1841" s="94">
        <f>TEXT(B1841,"aaa")</f>
        <v/>
      </c>
      <c r="D1841" s="94" t="inlineStr">
        <is>
          <t>네이버 브랜드검색</t>
        </is>
      </c>
      <c r="E1841" s="94" t="inlineStr">
        <is>
          <t>토너</t>
        </is>
      </c>
      <c r="G1841" s="4" t="n"/>
      <c r="J1841" s="89" t="n">
        <v>50000</v>
      </c>
    </row>
    <row r="1842" hidden="1" customFormat="1" s="94">
      <c r="B1842" s="128">
        <f>B1841+1</f>
        <v/>
      </c>
      <c r="C1842" s="94">
        <f>TEXT(B1842,"aaa")</f>
        <v/>
      </c>
      <c r="D1842" s="94" t="inlineStr">
        <is>
          <t>네이버 브랜드검색</t>
        </is>
      </c>
      <c r="E1842" s="94" t="inlineStr">
        <is>
          <t>토너</t>
        </is>
      </c>
      <c r="G1842" s="4" t="n"/>
      <c r="J1842" s="89" t="n">
        <v>50000</v>
      </c>
    </row>
    <row r="1843" hidden="1" customFormat="1" s="94">
      <c r="B1843" s="128">
        <f>B1842+1</f>
        <v/>
      </c>
      <c r="C1843" s="94">
        <f>TEXT(B1843,"aaa")</f>
        <v/>
      </c>
      <c r="D1843" s="94" t="inlineStr">
        <is>
          <t>네이버 브랜드검색</t>
        </is>
      </c>
      <c r="E1843" s="94" t="inlineStr">
        <is>
          <t>토너</t>
        </is>
      </c>
      <c r="G1843" s="4" t="n"/>
      <c r="J1843" s="89" t="n">
        <v>50000</v>
      </c>
    </row>
    <row r="1844" hidden="1" customFormat="1" s="94">
      <c r="B1844" s="128">
        <f>B1843+1</f>
        <v/>
      </c>
      <c r="C1844" s="94">
        <f>TEXT(B1844,"aaa")</f>
        <v/>
      </c>
      <c r="D1844" s="94" t="inlineStr">
        <is>
          <t>네이버 브랜드검색</t>
        </is>
      </c>
      <c r="E1844" s="94" t="inlineStr">
        <is>
          <t>토너</t>
        </is>
      </c>
      <c r="G1844" s="4" t="n"/>
      <c r="J1844" s="89" t="n">
        <v>50000</v>
      </c>
    </row>
    <row r="1845" hidden="1" customFormat="1" s="94">
      <c r="B1845" s="128" t="n">
        <v>44034</v>
      </c>
      <c r="C1845" s="94">
        <f>TEXT(B1845,"aaa")</f>
        <v/>
      </c>
      <c r="D1845" s="94" t="inlineStr">
        <is>
          <t>유튜브 디스커버리(이미지)</t>
        </is>
      </c>
      <c r="E1845" s="94" t="inlineStr">
        <is>
          <t>토너</t>
        </is>
      </c>
      <c r="G1845" s="4" t="n"/>
      <c r="J1845" s="89" t="n">
        <v>214315</v>
      </c>
    </row>
    <row r="1846" hidden="1" customFormat="1" s="94">
      <c r="B1846" s="128" t="n">
        <v>44035</v>
      </c>
      <c r="C1846" s="94">
        <f>TEXT(B1846,"aaa")</f>
        <v/>
      </c>
      <c r="D1846" s="94" t="inlineStr">
        <is>
          <t>유튜브 디스커버리(이미지)</t>
        </is>
      </c>
      <c r="E1846" s="94" t="inlineStr">
        <is>
          <t>토너</t>
        </is>
      </c>
      <c r="G1846" s="4" t="n"/>
      <c r="J1846" s="89" t="n">
        <v>73621</v>
      </c>
    </row>
    <row r="1847" hidden="1" customFormat="1" s="94">
      <c r="B1847" s="128" t="n">
        <v>44039</v>
      </c>
      <c r="C1847" s="94">
        <f>TEXT(B1847,"aaa")</f>
        <v/>
      </c>
      <c r="D1847" s="94" t="inlineStr">
        <is>
          <t>유튜브 디스커버리(이미지)</t>
        </is>
      </c>
      <c r="E1847" s="94" t="inlineStr">
        <is>
          <t>토너</t>
        </is>
      </c>
      <c r="G1847" s="4" t="n"/>
      <c r="J1847" s="89" t="n">
        <v>200687</v>
      </c>
    </row>
    <row r="1848" customFormat="1" s="94">
      <c r="B1848" s="128" t="n">
        <v>44036</v>
      </c>
      <c r="C1848" s="94">
        <f>TEXT(B1848,"aaa")</f>
        <v/>
      </c>
      <c r="D1848" s="94" t="inlineStr">
        <is>
          <t>카카오광고</t>
        </is>
      </c>
      <c r="E1848" s="94" t="inlineStr">
        <is>
          <t>토너</t>
        </is>
      </c>
      <c r="G1848" s="4" t="n"/>
      <c r="J1848" s="89" t="n">
        <v>5849.999999999999</v>
      </c>
    </row>
    <row r="1849" customFormat="1" s="94">
      <c r="B1849" s="128">
        <f>B1848+1</f>
        <v/>
      </c>
      <c r="C1849" s="94">
        <f>TEXT(B1849,"aaa")</f>
        <v/>
      </c>
      <c r="D1849" s="94" t="inlineStr">
        <is>
          <t>카카오광고</t>
        </is>
      </c>
      <c r="E1849" s="94" t="inlineStr">
        <is>
          <t>토너</t>
        </is>
      </c>
      <c r="G1849" s="4" t="n"/>
      <c r="J1849" s="89" t="n">
        <v>11600</v>
      </c>
    </row>
    <row r="1850" customFormat="1" s="94">
      <c r="B1850" s="128">
        <f>B1849+1</f>
        <v/>
      </c>
      <c r="C1850" s="94">
        <f>TEXT(B1850,"aaa")</f>
        <v/>
      </c>
      <c r="D1850" s="94" t="inlineStr">
        <is>
          <t>카카오광고</t>
        </is>
      </c>
      <c r="E1850" s="94" t="inlineStr">
        <is>
          <t>토너</t>
        </is>
      </c>
      <c r="G1850" s="4" t="n"/>
      <c r="J1850" s="89" t="n">
        <v>10660</v>
      </c>
    </row>
    <row r="1851" customFormat="1" s="94">
      <c r="B1851" s="128">
        <f>B1850+1</f>
        <v/>
      </c>
      <c r="C1851" s="94">
        <f>TEXT(B1851,"aaa")</f>
        <v/>
      </c>
      <c r="D1851" s="94" t="inlineStr">
        <is>
          <t>카카오광고</t>
        </is>
      </c>
      <c r="E1851" s="94" t="inlineStr">
        <is>
          <t>토너</t>
        </is>
      </c>
      <c r="G1851" s="4" t="n"/>
      <c r="J1851" s="89" t="n">
        <v>12490</v>
      </c>
    </row>
    <row r="1852" hidden="1" customFormat="1" s="94">
      <c r="B1852" s="128" t="n">
        <v>44040</v>
      </c>
      <c r="C1852" s="94">
        <f>TEXT(B1852,"aaa")</f>
        <v/>
      </c>
      <c r="D1852" s="94" t="inlineStr">
        <is>
          <t>페이스북/인스타그램</t>
        </is>
      </c>
      <c r="E1852" s="94" t="inlineStr">
        <is>
          <t>선크림</t>
        </is>
      </c>
      <c r="G1852" s="4" t="n"/>
      <c r="J1852" s="89" t="n">
        <v>20460</v>
      </c>
    </row>
    <row r="1853" hidden="1" customFormat="1" s="94">
      <c r="B1853" s="128" t="n">
        <v>44040</v>
      </c>
      <c r="C1853" s="94">
        <f>TEXT(B1853,"aaa")</f>
        <v/>
      </c>
      <c r="D1853" s="94" t="inlineStr">
        <is>
          <t>페이스북/인스타그램</t>
        </is>
      </c>
      <c r="E1853" s="94" t="inlineStr">
        <is>
          <t>토너</t>
        </is>
      </c>
      <c r="G1853" s="4" t="n"/>
      <c r="J1853" s="89" t="n">
        <v>1066370</v>
      </c>
    </row>
    <row r="1854" hidden="1" customFormat="1" s="94">
      <c r="B1854" s="128" t="n">
        <v>44041</v>
      </c>
      <c r="C1854" s="94">
        <f>TEXT(B1854,"aaa")</f>
        <v/>
      </c>
      <c r="D1854" s="94" t="inlineStr">
        <is>
          <t>페이스북/인스타그램</t>
        </is>
      </c>
      <c r="E1854" s="94" t="inlineStr">
        <is>
          <t>토너</t>
        </is>
      </c>
      <c r="G1854" s="4" t="n"/>
      <c r="J1854" s="89" t="n">
        <v>1021026</v>
      </c>
    </row>
    <row r="1855" hidden="1" customFormat="1" s="94">
      <c r="B1855" s="128" t="n">
        <v>44040</v>
      </c>
      <c r="C1855" s="94">
        <f>TEXT(B1855,"aaa")</f>
        <v/>
      </c>
      <c r="D1855" s="94" t="inlineStr">
        <is>
          <t>네이버 GFA</t>
        </is>
      </c>
      <c r="E1855" s="94" t="inlineStr">
        <is>
          <t>선크림</t>
        </is>
      </c>
      <c r="G1855" s="4" t="n"/>
      <c r="J1855" s="89" t="n">
        <v>26576.36363636364</v>
      </c>
    </row>
    <row r="1856" hidden="1" customFormat="1" s="94">
      <c r="B1856" s="128" t="n">
        <v>44040</v>
      </c>
      <c r="C1856" s="94">
        <f>TEXT(B1856,"aaa")</f>
        <v/>
      </c>
      <c r="D1856" s="94" t="inlineStr">
        <is>
          <t>네이버 GFA</t>
        </is>
      </c>
      <c r="E1856" s="94" t="inlineStr">
        <is>
          <t>선크림</t>
        </is>
      </c>
      <c r="G1856" s="4" t="n"/>
      <c r="J1856" s="89" t="n">
        <v>73693.63636363635</v>
      </c>
    </row>
    <row r="1857" hidden="1" customFormat="1" s="94">
      <c r="B1857" s="128" t="n">
        <v>44041</v>
      </c>
      <c r="C1857" s="94">
        <f>TEXT(B1857,"aaa")</f>
        <v/>
      </c>
      <c r="D1857" s="94" t="inlineStr">
        <is>
          <t>네이버 GFA</t>
        </is>
      </c>
      <c r="E1857" s="94" t="inlineStr">
        <is>
          <t>토너</t>
        </is>
      </c>
      <c r="G1857" s="4" t="n"/>
      <c r="J1857" s="89" t="n">
        <v>212996.3636363636</v>
      </c>
    </row>
    <row r="1858" hidden="1" customFormat="1" s="94">
      <c r="B1858" s="128" t="n">
        <v>44041</v>
      </c>
      <c r="C1858" s="94">
        <f>TEXT(B1858,"aaa")</f>
        <v/>
      </c>
      <c r="D1858" s="94" t="inlineStr">
        <is>
          <t>네이버 GFA</t>
        </is>
      </c>
      <c r="E1858" s="94" t="inlineStr">
        <is>
          <t>토너</t>
        </is>
      </c>
      <c r="G1858" s="4" t="n"/>
      <c r="J1858" s="89" t="n">
        <v>408134.5454545454</v>
      </c>
    </row>
    <row r="1859" hidden="1" customFormat="1" s="94">
      <c r="B1859" s="128" t="n">
        <v>44040</v>
      </c>
      <c r="C1859" s="94">
        <f>TEXT(B1859,"aaa")</f>
        <v/>
      </c>
      <c r="D1859" s="94" t="inlineStr">
        <is>
          <t>네이버 쇼핑검색</t>
        </is>
      </c>
      <c r="E1859" s="94" t="inlineStr">
        <is>
          <t>토너</t>
        </is>
      </c>
      <c r="G1859" s="4" t="n"/>
      <c r="J1859" s="89" t="n">
        <v>47729.99999999999</v>
      </c>
    </row>
    <row r="1860" hidden="1" customFormat="1" s="94">
      <c r="B1860" s="128" t="n">
        <v>44041</v>
      </c>
      <c r="C1860" s="94">
        <f>TEXT(B1860,"aaa")</f>
        <v/>
      </c>
      <c r="D1860" s="94" t="inlineStr">
        <is>
          <t>네이버 쇼핑검색</t>
        </is>
      </c>
      <c r="E1860" s="94" t="inlineStr">
        <is>
          <t>토너</t>
        </is>
      </c>
      <c r="G1860" s="4" t="n"/>
      <c r="J1860" s="89" t="n">
        <v>46159.99999999999</v>
      </c>
    </row>
    <row r="1861" hidden="1" customFormat="1" s="94">
      <c r="B1861" s="128" t="n">
        <v>44040</v>
      </c>
      <c r="C1861" s="94">
        <f>TEXT(B1861,"aaa")</f>
        <v/>
      </c>
      <c r="D1861" s="94" t="inlineStr">
        <is>
          <t>네이버 브랜드검색</t>
        </is>
      </c>
      <c r="E1861" s="94" t="inlineStr">
        <is>
          <t>토너</t>
        </is>
      </c>
      <c r="G1861" s="4" t="n"/>
      <c r="J1861" s="89" t="n">
        <v>50000</v>
      </c>
    </row>
    <row r="1862" hidden="1" customFormat="1" s="94">
      <c r="B1862" s="128" t="n">
        <v>44041</v>
      </c>
      <c r="C1862" s="94">
        <f>TEXT(B1862,"aaa")</f>
        <v/>
      </c>
      <c r="D1862" s="94" t="inlineStr">
        <is>
          <t>네이버 브랜드검색</t>
        </is>
      </c>
      <c r="E1862" s="94" t="inlineStr">
        <is>
          <t>토너</t>
        </is>
      </c>
      <c r="G1862" s="4" t="n"/>
      <c r="J1862" s="89" t="n">
        <v>50000</v>
      </c>
    </row>
    <row r="1863" hidden="1" customFormat="1" s="94">
      <c r="B1863" s="128" t="n">
        <v>44040</v>
      </c>
      <c r="C1863" s="94">
        <f>TEXT(B1863,"aaa")</f>
        <v/>
      </c>
      <c r="D1863" s="94" t="inlineStr">
        <is>
          <t>유튜브 디스커버리(이미지)</t>
        </is>
      </c>
      <c r="E1863" s="94" t="inlineStr">
        <is>
          <t>토너</t>
        </is>
      </c>
      <c r="G1863" s="4" t="n"/>
      <c r="J1863" s="89" t="n">
        <v>29720</v>
      </c>
    </row>
    <row r="1864" hidden="1" customFormat="1" s="94">
      <c r="B1864" s="128" t="n">
        <v>44041</v>
      </c>
      <c r="C1864" s="94">
        <f>TEXT(B1864,"aaa")</f>
        <v/>
      </c>
      <c r="D1864" s="94" t="inlineStr">
        <is>
          <t>유튜브 디스커버리(이미지)</t>
        </is>
      </c>
      <c r="E1864" s="94" t="inlineStr">
        <is>
          <t>토너</t>
        </is>
      </c>
      <c r="G1864" s="4" t="n"/>
      <c r="J1864" s="89" t="n">
        <v>171893</v>
      </c>
    </row>
    <row r="1865" customFormat="1" s="94">
      <c r="B1865" s="128" t="n">
        <v>44040</v>
      </c>
      <c r="C1865" s="94">
        <f>TEXT(B1865,"aaa")</f>
        <v/>
      </c>
      <c r="D1865" s="94" t="inlineStr">
        <is>
          <t>카카오광고</t>
        </is>
      </c>
      <c r="E1865" s="94" t="inlineStr">
        <is>
          <t>토너</t>
        </is>
      </c>
      <c r="G1865" s="4" t="n"/>
      <c r="J1865" s="94" t="n">
        <v>8420</v>
      </c>
    </row>
    <row r="1866" customFormat="1" s="94">
      <c r="B1866" s="128" t="n">
        <v>44041</v>
      </c>
      <c r="C1866" s="94">
        <f>TEXT(B1866,"aaa")</f>
        <v/>
      </c>
      <c r="D1866" s="94" t="inlineStr">
        <is>
          <t>카카오광고</t>
        </is>
      </c>
      <c r="E1866" s="94" t="inlineStr">
        <is>
          <t>토너</t>
        </is>
      </c>
      <c r="G1866" s="4" t="n"/>
      <c r="J1866" s="94" t="n">
        <v>7849.999999999999</v>
      </c>
    </row>
    <row r="1867" hidden="1" customFormat="1" s="94">
      <c r="B1867" s="128" t="n">
        <v>44042</v>
      </c>
      <c r="C1867" s="94">
        <f>TEXT(B1867,"aaa")</f>
        <v/>
      </c>
      <c r="D1867" s="94" t="inlineStr">
        <is>
          <t>페이스북/인스타그램</t>
        </is>
      </c>
      <c r="E1867" s="94" t="inlineStr">
        <is>
          <t>선크림</t>
        </is>
      </c>
      <c r="G1867" s="4" t="n"/>
      <c r="J1867" s="89" t="n">
        <v>31984</v>
      </c>
    </row>
    <row r="1868" hidden="1" customFormat="1" s="94">
      <c r="B1868" s="128" t="n">
        <v>44043</v>
      </c>
      <c r="C1868" s="94">
        <f>TEXT(B1868,"aaa")</f>
        <v/>
      </c>
      <c r="D1868" s="94" t="inlineStr">
        <is>
          <t>페이스북/인스타그램</t>
        </is>
      </c>
      <c r="E1868" s="94" t="inlineStr">
        <is>
          <t>선크림</t>
        </is>
      </c>
      <c r="G1868" s="4" t="n"/>
      <c r="J1868" s="89" t="n">
        <v>122997</v>
      </c>
    </row>
    <row r="1869" hidden="1" customFormat="1" s="94">
      <c r="B1869" s="128" t="n">
        <v>44042</v>
      </c>
      <c r="C1869" s="94" t="inlineStr">
        <is>
          <t>목</t>
        </is>
      </c>
      <c r="D1869" s="94" t="inlineStr">
        <is>
          <t>페이스북/인스타그램</t>
        </is>
      </c>
      <c r="E1869" s="94" t="inlineStr">
        <is>
          <t>토너</t>
        </is>
      </c>
      <c r="G1869" s="4" t="n"/>
      <c r="J1869" s="89" t="n">
        <v>1020142</v>
      </c>
    </row>
    <row r="1870" hidden="1" customFormat="1" s="94">
      <c r="B1870" s="128" t="n">
        <v>44043</v>
      </c>
      <c r="C1870" s="94" t="inlineStr">
        <is>
          <t>금</t>
        </is>
      </c>
      <c r="D1870" s="94" t="inlineStr">
        <is>
          <t>페이스북/인스타그램</t>
        </is>
      </c>
      <c r="E1870" s="94" t="inlineStr">
        <is>
          <t>토너</t>
        </is>
      </c>
      <c r="G1870" s="4" t="n"/>
      <c r="J1870" s="89" t="n">
        <v>872616</v>
      </c>
    </row>
    <row r="1871" hidden="1" customFormat="1" s="94">
      <c r="B1871" s="128" t="n">
        <v>44044</v>
      </c>
      <c r="C1871" s="94" t="inlineStr">
        <is>
          <t>토</t>
        </is>
      </c>
      <c r="D1871" s="94" t="inlineStr">
        <is>
          <t>페이스북/인스타그램</t>
        </is>
      </c>
      <c r="E1871" s="94" t="inlineStr">
        <is>
          <t>토너</t>
        </is>
      </c>
      <c r="G1871" s="4" t="n"/>
      <c r="J1871" s="89" t="n">
        <v>594496</v>
      </c>
    </row>
    <row r="1872" hidden="1" customFormat="1" s="94">
      <c r="B1872" s="128" t="n">
        <v>44045</v>
      </c>
      <c r="C1872" s="94" t="inlineStr">
        <is>
          <t>일</t>
        </is>
      </c>
      <c r="D1872" s="94" t="inlineStr">
        <is>
          <t>페이스북/인스타그램</t>
        </is>
      </c>
      <c r="E1872" s="94" t="inlineStr">
        <is>
          <t>토너</t>
        </is>
      </c>
      <c r="G1872" s="4" t="n"/>
      <c r="J1872" s="89" t="n">
        <v>827226</v>
      </c>
    </row>
    <row r="1873" hidden="1" customFormat="1" s="94">
      <c r="B1873" s="128" t="n">
        <v>44046</v>
      </c>
      <c r="C1873" s="94" t="inlineStr">
        <is>
          <t>월</t>
        </is>
      </c>
      <c r="D1873" s="94" t="inlineStr">
        <is>
          <t>페이스북/인스타그램</t>
        </is>
      </c>
      <c r="E1873" s="94" t="inlineStr">
        <is>
          <t>토너</t>
        </is>
      </c>
      <c r="G1873" s="4" t="n"/>
      <c r="J1873" s="89" t="n">
        <v>724791</v>
      </c>
    </row>
    <row r="1874" hidden="1" customFormat="1" s="94">
      <c r="B1874" s="128" t="n">
        <v>44047</v>
      </c>
      <c r="C1874" s="94" t="inlineStr">
        <is>
          <t>화</t>
        </is>
      </c>
      <c r="D1874" s="94" t="inlineStr">
        <is>
          <t>페이스북/인스타그램</t>
        </is>
      </c>
      <c r="E1874" s="94" t="inlineStr">
        <is>
          <t>토너</t>
        </is>
      </c>
      <c r="G1874" s="4" t="n"/>
      <c r="J1874" s="89" t="n">
        <v>826114</v>
      </c>
    </row>
    <row r="1875" hidden="1" customFormat="1" s="94">
      <c r="B1875" s="128" t="n">
        <v>44047</v>
      </c>
      <c r="C1875" s="94" t="inlineStr">
        <is>
          <t>화</t>
        </is>
      </c>
      <c r="D1875" s="94" t="inlineStr">
        <is>
          <t>페이스북/인스타그램</t>
        </is>
      </c>
      <c r="E1875" s="94" t="inlineStr">
        <is>
          <t>선크림</t>
        </is>
      </c>
      <c r="G1875" s="4" t="n"/>
      <c r="J1875" s="89" t="n">
        <v>22414</v>
      </c>
    </row>
    <row r="1876" hidden="1" customFormat="1" s="94">
      <c r="B1876" s="128" t="n">
        <v>44042</v>
      </c>
      <c r="C1876" s="94" t="inlineStr">
        <is>
          <t>목</t>
        </is>
      </c>
      <c r="D1876" s="94" t="inlineStr">
        <is>
          <t>네이버 GFA</t>
        </is>
      </c>
      <c r="E1876" s="94" t="inlineStr">
        <is>
          <t>토너</t>
        </is>
      </c>
      <c r="G1876" s="4" t="n"/>
      <c r="J1876" s="89" t="n">
        <v>567455.4545454545</v>
      </c>
    </row>
    <row r="1877" hidden="1" customFormat="1" s="94">
      <c r="B1877" s="128" t="n">
        <v>44043</v>
      </c>
      <c r="C1877" s="94" t="inlineStr">
        <is>
          <t>금</t>
        </is>
      </c>
      <c r="D1877" s="94" t="inlineStr">
        <is>
          <t>네이버 GFA</t>
        </is>
      </c>
      <c r="E1877" s="94" t="inlineStr">
        <is>
          <t>토너</t>
        </is>
      </c>
      <c r="G1877" s="4" t="n"/>
      <c r="J1877" s="94" t="n">
        <v>249744</v>
      </c>
    </row>
    <row r="1878" hidden="1" customFormat="1" s="94">
      <c r="B1878" s="128" t="n">
        <v>44044</v>
      </c>
      <c r="C1878" s="94" t="inlineStr">
        <is>
          <t>토</t>
        </is>
      </c>
      <c r="D1878" s="94" t="inlineStr">
        <is>
          <t>네이버 GFA</t>
        </is>
      </c>
      <c r="E1878" s="94" t="inlineStr">
        <is>
          <t>토너</t>
        </is>
      </c>
      <c r="G1878" s="4" t="n"/>
      <c r="J1878" s="129" t="n">
        <v>310</v>
      </c>
    </row>
    <row r="1879" hidden="1" customFormat="1" s="94">
      <c r="B1879" s="128" t="n">
        <v>44046</v>
      </c>
      <c r="C1879" s="94" t="inlineStr">
        <is>
          <t>월</t>
        </is>
      </c>
      <c r="D1879" s="94" t="inlineStr">
        <is>
          <t>네이버 GFA</t>
        </is>
      </c>
      <c r="E1879" s="94" t="inlineStr">
        <is>
          <t>토너</t>
        </is>
      </c>
      <c r="G1879" s="4" t="n"/>
      <c r="J1879" s="129" t="n">
        <v>402019.0909090909</v>
      </c>
    </row>
    <row r="1880" hidden="1" customFormat="1" s="94">
      <c r="B1880" s="128" t="n">
        <v>44047</v>
      </c>
      <c r="C1880" s="94" t="inlineStr">
        <is>
          <t>화</t>
        </is>
      </c>
      <c r="D1880" s="94" t="inlineStr">
        <is>
          <t>네이버 GFA</t>
        </is>
      </c>
      <c r="E1880" s="94" t="inlineStr">
        <is>
          <t>토너</t>
        </is>
      </c>
      <c r="G1880" s="4" t="n"/>
      <c r="J1880" s="129" t="n">
        <v>429790.9090909091</v>
      </c>
    </row>
    <row r="1881" hidden="1" customFormat="1" s="94">
      <c r="B1881" s="128" t="n">
        <v>44042</v>
      </c>
      <c r="C1881" s="94" t="inlineStr">
        <is>
          <t>목</t>
        </is>
      </c>
      <c r="D1881" s="94" t="inlineStr">
        <is>
          <t>네이버 GFA</t>
        </is>
      </c>
      <c r="E1881" s="94" t="inlineStr">
        <is>
          <t>선크림</t>
        </is>
      </c>
      <c r="G1881" s="4" t="n"/>
      <c r="J1881" s="129" t="n">
        <v>86620.90909090909</v>
      </c>
    </row>
    <row r="1882" hidden="1" customFormat="1" s="94">
      <c r="B1882" s="128" t="n">
        <v>44043</v>
      </c>
      <c r="C1882" s="94" t="inlineStr">
        <is>
          <t>금</t>
        </is>
      </c>
      <c r="D1882" s="94" t="inlineStr">
        <is>
          <t>네이버 GFA</t>
        </is>
      </c>
      <c r="E1882" s="94" t="inlineStr">
        <is>
          <t>선크림</t>
        </is>
      </c>
      <c r="G1882" s="4" t="n"/>
      <c r="J1882" s="129" t="n">
        <v>46508.18181818182</v>
      </c>
    </row>
    <row r="1883" hidden="1" customFormat="1" s="94">
      <c r="B1883" s="128" t="n">
        <v>44046</v>
      </c>
      <c r="C1883" s="94" t="inlineStr">
        <is>
          <t>월</t>
        </is>
      </c>
      <c r="D1883" s="94" t="inlineStr">
        <is>
          <t>네이버 GFA</t>
        </is>
      </c>
      <c r="E1883" s="94" t="inlineStr">
        <is>
          <t>선크림</t>
        </is>
      </c>
      <c r="G1883" s="4" t="n"/>
      <c r="J1883" s="129" t="n">
        <v>66323.63636363635</v>
      </c>
    </row>
    <row r="1884" hidden="1" customFormat="1" s="94">
      <c r="B1884" s="128" t="n">
        <v>44047</v>
      </c>
      <c r="C1884" s="94" t="inlineStr">
        <is>
          <t>화</t>
        </is>
      </c>
      <c r="D1884" s="94" t="inlineStr">
        <is>
          <t>네이버 GFA</t>
        </is>
      </c>
      <c r="E1884" s="94" t="inlineStr">
        <is>
          <t>선크림</t>
        </is>
      </c>
      <c r="G1884" s="4" t="n"/>
      <c r="J1884" s="129" t="n">
        <v>65862.72727272726</v>
      </c>
    </row>
    <row r="1885" hidden="1" customFormat="1" s="94">
      <c r="B1885" s="128" t="n">
        <v>44042</v>
      </c>
      <c r="C1885" s="94" t="inlineStr">
        <is>
          <t>목</t>
        </is>
      </c>
      <c r="D1885" s="94" t="inlineStr">
        <is>
          <t>네이버 쇼핑검색</t>
        </is>
      </c>
      <c r="E1885" s="94" t="inlineStr">
        <is>
          <t>토너</t>
        </is>
      </c>
      <c r="G1885" s="4" t="n"/>
      <c r="J1885" s="129" t="n">
        <v>66320</v>
      </c>
    </row>
    <row r="1886" hidden="1" customFormat="1" s="94">
      <c r="B1886" s="128" t="n">
        <v>44043</v>
      </c>
      <c r="C1886" s="94" t="inlineStr">
        <is>
          <t>금</t>
        </is>
      </c>
      <c r="D1886" s="94" t="inlineStr">
        <is>
          <t>네이버 쇼핑검색</t>
        </is>
      </c>
      <c r="E1886" s="94" t="inlineStr">
        <is>
          <t>토너</t>
        </is>
      </c>
      <c r="G1886" s="4" t="n"/>
      <c r="J1886" s="129" t="n">
        <v>69020</v>
      </c>
    </row>
    <row r="1887" hidden="1" customFormat="1" s="94">
      <c r="B1887" s="128" t="n">
        <v>44044</v>
      </c>
      <c r="C1887" s="94" t="inlineStr">
        <is>
          <t>토</t>
        </is>
      </c>
      <c r="D1887" s="94" t="inlineStr">
        <is>
          <t>네이버 쇼핑검색</t>
        </is>
      </c>
      <c r="E1887" s="94" t="inlineStr">
        <is>
          <t>토너</t>
        </is>
      </c>
      <c r="G1887" s="4" t="n"/>
      <c r="J1887" s="129" t="n">
        <v>51379.99999999999</v>
      </c>
    </row>
    <row r="1888" hidden="1" customFormat="1" s="94">
      <c r="B1888" s="128" t="n">
        <v>44045</v>
      </c>
      <c r="C1888" s="94" t="inlineStr">
        <is>
          <t>일</t>
        </is>
      </c>
      <c r="D1888" s="94" t="inlineStr">
        <is>
          <t>네이버 쇼핑검색</t>
        </is>
      </c>
      <c r="E1888" s="94" t="inlineStr">
        <is>
          <t>토너</t>
        </is>
      </c>
      <c r="G1888" s="4" t="n"/>
      <c r="J1888" s="129" t="n">
        <v>54469.99999999999</v>
      </c>
    </row>
    <row r="1889" hidden="1" customFormat="1" s="94">
      <c r="B1889" s="128" t="n">
        <v>44046</v>
      </c>
      <c r="C1889" s="94" t="inlineStr">
        <is>
          <t>월</t>
        </is>
      </c>
      <c r="D1889" s="94" t="inlineStr">
        <is>
          <t>네이버 쇼핑검색</t>
        </is>
      </c>
      <c r="E1889" s="94" t="inlineStr">
        <is>
          <t>토너</t>
        </is>
      </c>
      <c r="G1889" s="4" t="n"/>
      <c r="J1889" s="129" t="n">
        <v>54269.99999999999</v>
      </c>
    </row>
    <row r="1890" hidden="1" customFormat="1" s="94">
      <c r="B1890" s="128" t="n">
        <v>44047</v>
      </c>
      <c r="C1890" s="94" t="inlineStr">
        <is>
          <t>화</t>
        </is>
      </c>
      <c r="D1890" s="94" t="inlineStr">
        <is>
          <t>네이버 쇼핑검색</t>
        </is>
      </c>
      <c r="E1890" s="94" t="inlineStr">
        <is>
          <t>토너</t>
        </is>
      </c>
      <c r="G1890" s="4" t="n"/>
      <c r="J1890" s="129" t="n">
        <v>56029.99999999999</v>
      </c>
    </row>
    <row r="1891" hidden="1" customFormat="1" s="94">
      <c r="B1891" s="128" t="n">
        <v>44042</v>
      </c>
      <c r="C1891" s="94" t="inlineStr">
        <is>
          <t>목</t>
        </is>
      </c>
      <c r="D1891" s="94" t="inlineStr">
        <is>
          <t>네이버 브랜드검색</t>
        </is>
      </c>
      <c r="E1891" s="94" t="inlineStr">
        <is>
          <t>토너</t>
        </is>
      </c>
      <c r="G1891" s="4" t="n"/>
      <c r="J1891" s="129" t="n">
        <v>50000</v>
      </c>
    </row>
    <row r="1892" hidden="1" customFormat="1" s="94">
      <c r="B1892" s="128" t="n">
        <v>44043</v>
      </c>
      <c r="C1892" s="94" t="inlineStr">
        <is>
          <t>금</t>
        </is>
      </c>
      <c r="D1892" s="94" t="inlineStr">
        <is>
          <t>네이버 브랜드검색</t>
        </is>
      </c>
      <c r="E1892" s="94" t="inlineStr">
        <is>
          <t>토너</t>
        </is>
      </c>
      <c r="G1892" s="4" t="n"/>
      <c r="J1892" s="129" t="n">
        <v>50000</v>
      </c>
    </row>
    <row r="1893" hidden="1" customFormat="1" s="94">
      <c r="B1893" s="128" t="n">
        <v>44044</v>
      </c>
      <c r="C1893" s="94" t="inlineStr">
        <is>
          <t>토</t>
        </is>
      </c>
      <c r="D1893" s="94" t="inlineStr">
        <is>
          <t>네이버 브랜드검색</t>
        </is>
      </c>
      <c r="E1893" s="94" t="inlineStr">
        <is>
          <t>토너</t>
        </is>
      </c>
      <c r="G1893" s="4" t="n"/>
      <c r="J1893" s="129" t="n">
        <v>50000</v>
      </c>
    </row>
    <row r="1894" hidden="1" customFormat="1" s="94">
      <c r="B1894" s="128" t="n">
        <v>44045</v>
      </c>
      <c r="C1894" s="94" t="inlineStr">
        <is>
          <t>일</t>
        </is>
      </c>
      <c r="D1894" s="94" t="inlineStr">
        <is>
          <t>네이버 브랜드검색</t>
        </is>
      </c>
      <c r="E1894" s="94" t="inlineStr">
        <is>
          <t>토너</t>
        </is>
      </c>
      <c r="G1894" s="4" t="n"/>
      <c r="J1894" s="129" t="n">
        <v>50000</v>
      </c>
    </row>
    <row r="1895" hidden="1" customFormat="1" s="94">
      <c r="B1895" s="128" t="n">
        <v>44046</v>
      </c>
      <c r="C1895" s="94" t="inlineStr">
        <is>
          <t>월</t>
        </is>
      </c>
      <c r="D1895" s="94" t="inlineStr">
        <is>
          <t>네이버 브랜드검색</t>
        </is>
      </c>
      <c r="E1895" s="94" t="inlineStr">
        <is>
          <t>토너</t>
        </is>
      </c>
      <c r="G1895" s="4" t="n"/>
      <c r="J1895" s="129" t="n">
        <v>50000</v>
      </c>
    </row>
    <row r="1896" hidden="1" customFormat="1" s="94">
      <c r="B1896" s="128" t="n">
        <v>44047</v>
      </c>
      <c r="C1896" s="94" t="inlineStr">
        <is>
          <t>화</t>
        </is>
      </c>
      <c r="D1896" s="94" t="inlineStr">
        <is>
          <t>네이버 브랜드검색</t>
        </is>
      </c>
      <c r="E1896" s="94" t="inlineStr">
        <is>
          <t>토너</t>
        </is>
      </c>
      <c r="G1896" s="4" t="n"/>
      <c r="J1896" s="129" t="n">
        <v>50000</v>
      </c>
    </row>
    <row r="1897" hidden="1" customFormat="1" s="94">
      <c r="B1897" s="128" t="n">
        <v>44042</v>
      </c>
      <c r="C1897" s="94" t="inlineStr">
        <is>
          <t>목</t>
        </is>
      </c>
      <c r="D1897" s="94" t="inlineStr">
        <is>
          <t>유튜브 디스커버리(이미지)</t>
        </is>
      </c>
      <c r="E1897" s="94" t="inlineStr">
        <is>
          <t>토너</t>
        </is>
      </c>
      <c r="G1897" s="4" t="n"/>
      <c r="J1897" s="129" t="n">
        <v>261</v>
      </c>
    </row>
    <row r="1898" hidden="1" customFormat="1" s="94">
      <c r="B1898" s="128" t="n">
        <v>44043</v>
      </c>
      <c r="C1898" s="94" t="inlineStr">
        <is>
          <t>금</t>
        </is>
      </c>
      <c r="D1898" s="94" t="inlineStr">
        <is>
          <t>유튜브 디스커버리(이미지)</t>
        </is>
      </c>
      <c r="E1898" s="94" t="inlineStr">
        <is>
          <t>토너</t>
        </is>
      </c>
      <c r="G1898" s="4" t="n"/>
      <c r="J1898" s="129" t="n">
        <v>3118</v>
      </c>
    </row>
    <row r="1899" hidden="1" customFormat="1" s="94">
      <c r="B1899" s="128" t="n">
        <v>44044</v>
      </c>
      <c r="C1899" s="94" t="inlineStr">
        <is>
          <t>토</t>
        </is>
      </c>
      <c r="D1899" s="94" t="inlineStr">
        <is>
          <t>유튜브 디스커버리(이미지)</t>
        </is>
      </c>
      <c r="E1899" s="94" t="inlineStr">
        <is>
          <t>토너</t>
        </is>
      </c>
      <c r="G1899" s="4" t="n"/>
      <c r="J1899" s="129" t="n">
        <v>109778</v>
      </c>
    </row>
    <row r="1900" hidden="1" customFormat="1" s="94">
      <c r="B1900" s="128" t="n">
        <v>44045</v>
      </c>
      <c r="C1900" s="94" t="inlineStr">
        <is>
          <t>일</t>
        </is>
      </c>
      <c r="D1900" s="94" t="inlineStr">
        <is>
          <t>유튜브 디스커버리(이미지)</t>
        </is>
      </c>
      <c r="E1900" s="94" t="inlineStr">
        <is>
          <t>토너</t>
        </is>
      </c>
      <c r="G1900" s="4" t="n"/>
      <c r="J1900" s="129" t="n">
        <v>101121</v>
      </c>
    </row>
    <row r="1901" hidden="1" customFormat="1" s="94">
      <c r="B1901" s="128" t="n">
        <v>44046</v>
      </c>
      <c r="C1901" s="94" t="inlineStr">
        <is>
          <t>월</t>
        </is>
      </c>
      <c r="D1901" s="94" t="inlineStr">
        <is>
          <t>유튜브 디스커버리(이미지)</t>
        </is>
      </c>
      <c r="E1901" s="94" t="inlineStr">
        <is>
          <t>토너</t>
        </is>
      </c>
      <c r="G1901" s="4" t="n"/>
      <c r="J1901" s="129" t="n">
        <v>246567</v>
      </c>
    </row>
    <row r="1902" hidden="1" customFormat="1" s="94">
      <c r="B1902" s="128" t="n">
        <v>44047</v>
      </c>
      <c r="C1902" s="94" t="inlineStr">
        <is>
          <t>화</t>
        </is>
      </c>
      <c r="D1902" s="94" t="inlineStr">
        <is>
          <t>유튜브 디스커버리(이미지)</t>
        </is>
      </c>
      <c r="E1902" s="94" t="inlineStr">
        <is>
          <t>토너</t>
        </is>
      </c>
      <c r="G1902" s="4" t="n"/>
      <c r="J1902" s="129" t="n">
        <v>257827</v>
      </c>
    </row>
    <row r="1903" customFormat="1" s="94">
      <c r="B1903" s="128" t="n">
        <v>44042</v>
      </c>
      <c r="C1903" s="94" t="inlineStr">
        <is>
          <t>목</t>
        </is>
      </c>
      <c r="D1903" s="94" t="inlineStr">
        <is>
          <t>카카오광고</t>
        </is>
      </c>
      <c r="E1903" s="94" t="inlineStr">
        <is>
          <t>토너</t>
        </is>
      </c>
      <c r="G1903" s="4" t="n"/>
      <c r="J1903" s="129" t="n">
        <v>11600</v>
      </c>
    </row>
    <row r="1904" customFormat="1" s="94">
      <c r="B1904" s="128" t="n">
        <v>44043</v>
      </c>
      <c r="C1904" s="94" t="inlineStr">
        <is>
          <t>금</t>
        </is>
      </c>
      <c r="D1904" s="94" t="inlineStr">
        <is>
          <t>카카오광고</t>
        </is>
      </c>
      <c r="E1904" s="94" t="inlineStr">
        <is>
          <t>토너</t>
        </is>
      </c>
      <c r="G1904" s="4" t="n"/>
      <c r="J1904" s="129" t="n">
        <v>8410</v>
      </c>
    </row>
    <row r="1905" customFormat="1" s="94">
      <c r="B1905" s="128" t="n">
        <v>44044</v>
      </c>
      <c r="C1905" s="94" t="inlineStr">
        <is>
          <t>토</t>
        </is>
      </c>
      <c r="D1905" s="94" t="inlineStr">
        <is>
          <t>카카오광고</t>
        </is>
      </c>
      <c r="E1905" s="94" t="inlineStr">
        <is>
          <t>토너</t>
        </is>
      </c>
      <c r="G1905" s="4" t="n"/>
      <c r="J1905" s="129" t="n">
        <v>9460</v>
      </c>
    </row>
    <row r="1906" customFormat="1" s="94">
      <c r="B1906" s="128" t="n">
        <v>44045</v>
      </c>
      <c r="C1906" s="94" t="inlineStr">
        <is>
          <t>일</t>
        </is>
      </c>
      <c r="D1906" s="94" t="inlineStr">
        <is>
          <t>카카오광고</t>
        </is>
      </c>
      <c r="E1906" s="94" t="inlineStr">
        <is>
          <t>토너</t>
        </is>
      </c>
      <c r="G1906" s="4" t="n"/>
      <c r="J1906" s="129" t="n">
        <v>7329.999999999999</v>
      </c>
    </row>
    <row r="1907" customFormat="1" s="94">
      <c r="B1907" s="128" t="n">
        <v>44046</v>
      </c>
      <c r="C1907" s="94" t="inlineStr">
        <is>
          <t>월</t>
        </is>
      </c>
      <c r="D1907" s="94" t="inlineStr">
        <is>
          <t>카카오광고</t>
        </is>
      </c>
      <c r="E1907" s="94" t="inlineStr">
        <is>
          <t>토너</t>
        </is>
      </c>
      <c r="G1907" s="4" t="n"/>
      <c r="J1907" s="129" t="n">
        <v>11730</v>
      </c>
    </row>
    <row r="1908" customFormat="1" s="94">
      <c r="B1908" s="128" t="n">
        <v>44047</v>
      </c>
      <c r="C1908" s="94" t="inlineStr">
        <is>
          <t>화</t>
        </is>
      </c>
      <c r="D1908" s="94" t="inlineStr">
        <is>
          <t>카카오광고</t>
        </is>
      </c>
      <c r="E1908" s="94" t="inlineStr">
        <is>
          <t>토너</t>
        </is>
      </c>
      <c r="G1908" s="4" t="n"/>
      <c r="J1908" s="129" t="n">
        <v>6919.999999999999</v>
      </c>
    </row>
    <row r="1909" hidden="1" customFormat="1" s="94">
      <c r="B1909" s="128" t="n">
        <v>44048</v>
      </c>
      <c r="C1909" s="94" t="inlineStr">
        <is>
          <t>수</t>
        </is>
      </c>
      <c r="D1909" s="94" t="inlineStr">
        <is>
          <t>페이스북/인스타그램</t>
        </is>
      </c>
      <c r="E1909" s="94" t="inlineStr">
        <is>
          <t>선크림</t>
        </is>
      </c>
      <c r="G1909" s="4" t="n"/>
      <c r="J1909" s="129" t="n">
        <v>155241</v>
      </c>
    </row>
    <row r="1910" hidden="1" customFormat="1" s="94">
      <c r="B1910" s="128" t="n">
        <v>44049</v>
      </c>
      <c r="C1910" s="94" t="inlineStr">
        <is>
          <t>목</t>
        </is>
      </c>
      <c r="D1910" s="94" t="inlineStr">
        <is>
          <t>페이스북/인스타그램</t>
        </is>
      </c>
      <c r="E1910" s="94" t="inlineStr">
        <is>
          <t>선크림</t>
        </is>
      </c>
      <c r="G1910" s="4" t="n"/>
      <c r="J1910" s="129" t="n">
        <v>142618</v>
      </c>
    </row>
    <row r="1911" hidden="1" customFormat="1" s="94">
      <c r="B1911" s="128" t="n">
        <v>44048</v>
      </c>
      <c r="C1911" s="94" t="inlineStr">
        <is>
          <t>수</t>
        </is>
      </c>
      <c r="D1911" s="94" t="inlineStr">
        <is>
          <t>페이스북/인스타그램</t>
        </is>
      </c>
      <c r="E1911" s="94" t="inlineStr">
        <is>
          <t>토너</t>
        </is>
      </c>
      <c r="G1911" s="4" t="n"/>
      <c r="J1911" s="129" t="n">
        <v>242218</v>
      </c>
    </row>
    <row r="1912" hidden="1" customFormat="1" s="94">
      <c r="B1912" s="128" t="n">
        <v>44048</v>
      </c>
      <c r="C1912" s="94" t="inlineStr">
        <is>
          <t>수</t>
        </is>
      </c>
      <c r="D1912" s="94" t="inlineStr">
        <is>
          <t>네이버 GFA</t>
        </is>
      </c>
      <c r="E1912" s="94" t="inlineStr">
        <is>
          <t>선크림</t>
        </is>
      </c>
      <c r="G1912" s="4" t="n"/>
      <c r="J1912" s="129" t="n">
        <v>7437.272727272727</v>
      </c>
    </row>
    <row r="1913" hidden="1" customFormat="1" s="94">
      <c r="B1913" s="128" t="n">
        <v>44048</v>
      </c>
      <c r="C1913" s="94" t="inlineStr">
        <is>
          <t>수</t>
        </is>
      </c>
      <c r="D1913" s="94" t="inlineStr">
        <is>
          <t>네이버 GFA</t>
        </is>
      </c>
      <c r="E1913" s="94" t="inlineStr">
        <is>
          <t>토너</t>
        </is>
      </c>
      <c r="G1913" s="4" t="n"/>
      <c r="J1913" s="129" t="n">
        <v>69681.81818181818</v>
      </c>
    </row>
    <row r="1914" hidden="1" customFormat="1" s="94">
      <c r="B1914" s="128" t="n">
        <v>44048</v>
      </c>
      <c r="C1914" s="94" t="inlineStr">
        <is>
          <t>수</t>
        </is>
      </c>
      <c r="D1914" s="94" t="inlineStr">
        <is>
          <t>네이버 쇼핑검색</t>
        </is>
      </c>
      <c r="E1914" s="94" t="inlineStr">
        <is>
          <t>토너</t>
        </is>
      </c>
      <c r="G1914" s="4" t="n"/>
      <c r="J1914" s="129" t="n">
        <v>53659.99999999999</v>
      </c>
    </row>
    <row r="1915" hidden="1" customFormat="1" s="94">
      <c r="B1915" s="128" t="n">
        <v>44049</v>
      </c>
      <c r="C1915" s="94" t="inlineStr">
        <is>
          <t>목</t>
        </is>
      </c>
      <c r="D1915" s="94" t="inlineStr">
        <is>
          <t>네이버 쇼핑검색</t>
        </is>
      </c>
      <c r="E1915" s="94" t="inlineStr">
        <is>
          <t>토너</t>
        </is>
      </c>
      <c r="G1915" s="4" t="n"/>
      <c r="J1915" s="129" t="n">
        <v>46679.99999999999</v>
      </c>
    </row>
    <row r="1916" hidden="1" customFormat="1" s="94">
      <c r="B1916" s="128" t="n">
        <v>44048</v>
      </c>
      <c r="C1916" s="94" t="inlineStr">
        <is>
          <t>수</t>
        </is>
      </c>
      <c r="D1916" s="94" t="inlineStr">
        <is>
          <t>네이버 브랜드검색</t>
        </is>
      </c>
      <c r="E1916" s="94" t="inlineStr">
        <is>
          <t>토너</t>
        </is>
      </c>
      <c r="G1916" s="4" t="n"/>
      <c r="J1916" s="129" t="n">
        <v>50000</v>
      </c>
    </row>
    <row r="1917" hidden="1" customFormat="1" s="94">
      <c r="B1917" s="128" t="n">
        <v>44049</v>
      </c>
      <c r="C1917" s="94" t="inlineStr">
        <is>
          <t>목</t>
        </is>
      </c>
      <c r="D1917" s="94" t="inlineStr">
        <is>
          <t>네이버 브랜드검색</t>
        </is>
      </c>
      <c r="E1917" s="94" t="inlineStr">
        <is>
          <t>토너</t>
        </is>
      </c>
      <c r="G1917" s="4" t="n"/>
      <c r="J1917" s="129" t="n">
        <v>50000</v>
      </c>
    </row>
    <row r="1918" customFormat="1" s="94">
      <c r="B1918" s="128" t="n">
        <v>44048</v>
      </c>
      <c r="C1918" s="94" t="inlineStr">
        <is>
          <t>수</t>
        </is>
      </c>
      <c r="D1918" s="94" t="inlineStr">
        <is>
          <t>카카오광고</t>
        </is>
      </c>
      <c r="E1918" s="94" t="inlineStr">
        <is>
          <t>토너</t>
        </is>
      </c>
      <c r="G1918" s="4" t="n"/>
      <c r="J1918" s="129" t="n">
        <v>4020</v>
      </c>
    </row>
    <row r="1919" hidden="1" customFormat="1" s="94">
      <c r="B1919" s="128" t="n">
        <v>44048</v>
      </c>
      <c r="C1919" s="94" t="inlineStr">
        <is>
          <t>수</t>
        </is>
      </c>
      <c r="D1919" s="94" t="inlineStr">
        <is>
          <t>문자대표</t>
        </is>
      </c>
      <c r="E1919" s="94" t="inlineStr">
        <is>
          <t>토너</t>
        </is>
      </c>
      <c r="G1919" s="4" t="n"/>
      <c r="J1919" s="129">
        <f>30*82</f>
        <v/>
      </c>
    </row>
    <row r="1920" hidden="1" customFormat="1" s="94">
      <c r="B1920" s="128" t="n">
        <v>44050</v>
      </c>
      <c r="C1920" s="94" t="inlineStr">
        <is>
          <t>금</t>
        </is>
      </c>
      <c r="D1920" s="94" t="inlineStr">
        <is>
          <t>페이스북/인스타그램</t>
        </is>
      </c>
      <c r="E1920" s="94" t="inlineStr">
        <is>
          <t>선크림</t>
        </is>
      </c>
      <c r="G1920" s="4" t="n"/>
      <c r="J1920" s="129" t="n">
        <v>28688</v>
      </c>
    </row>
    <row r="1921" hidden="1" customFormat="1" s="94">
      <c r="B1921" s="128" t="n">
        <v>44051</v>
      </c>
      <c r="C1921" s="94" t="inlineStr">
        <is>
          <t>토</t>
        </is>
      </c>
      <c r="D1921" s="94" t="inlineStr">
        <is>
          <t>페이스북/인스타그램</t>
        </is>
      </c>
      <c r="E1921" s="94" t="inlineStr">
        <is>
          <t>선크림</t>
        </is>
      </c>
      <c r="G1921" s="4" t="n"/>
      <c r="J1921" s="129" t="n">
        <v>8459</v>
      </c>
    </row>
    <row r="1922" hidden="1" customFormat="1" s="94">
      <c r="B1922" s="128" t="n">
        <v>44052</v>
      </c>
      <c r="C1922" s="94" t="inlineStr">
        <is>
          <t>일</t>
        </is>
      </c>
      <c r="D1922" s="94" t="inlineStr">
        <is>
          <t>페이스북/인스타그램</t>
        </is>
      </c>
      <c r="E1922" s="94" t="inlineStr">
        <is>
          <t>토너</t>
        </is>
      </c>
      <c r="G1922" s="4" t="n"/>
      <c r="J1922" s="129" t="n">
        <v>174582</v>
      </c>
    </row>
    <row r="1923" hidden="1" customFormat="1" s="94">
      <c r="B1923" s="128" t="n">
        <v>44050</v>
      </c>
      <c r="C1923" s="94" t="inlineStr">
        <is>
          <t>금</t>
        </is>
      </c>
      <c r="D1923" s="94" t="inlineStr">
        <is>
          <t>네이버 쇼핑검색</t>
        </is>
      </c>
      <c r="E1923" s="94" t="inlineStr">
        <is>
          <t>토너</t>
        </is>
      </c>
      <c r="G1923" s="4" t="n"/>
      <c r="J1923" s="129" t="n">
        <v>43420</v>
      </c>
    </row>
    <row r="1924" hidden="1" customFormat="1" s="94">
      <c r="B1924" s="128" t="n">
        <v>44051</v>
      </c>
      <c r="C1924" s="94" t="inlineStr">
        <is>
          <t>토</t>
        </is>
      </c>
      <c r="D1924" s="94" t="inlineStr">
        <is>
          <t>네이버 쇼핑검색</t>
        </is>
      </c>
      <c r="E1924" s="94" t="inlineStr">
        <is>
          <t>토너</t>
        </is>
      </c>
      <c r="G1924" s="4" t="n"/>
      <c r="J1924" s="129" t="n">
        <v>40630</v>
      </c>
    </row>
    <row r="1925" hidden="1" customFormat="1" s="94">
      <c r="B1925" s="128" t="n">
        <v>44052</v>
      </c>
      <c r="C1925" s="94" t="inlineStr">
        <is>
          <t>일</t>
        </is>
      </c>
      <c r="D1925" s="94" t="inlineStr">
        <is>
          <t>네이버 쇼핑검색</t>
        </is>
      </c>
      <c r="E1925" s="94" t="inlineStr">
        <is>
          <t>토너</t>
        </is>
      </c>
      <c r="G1925" s="4" t="n"/>
      <c r="J1925" s="129" t="n">
        <v>44520</v>
      </c>
    </row>
    <row r="1926" hidden="1" customFormat="1" s="94">
      <c r="B1926" s="128" t="n">
        <v>44050</v>
      </c>
      <c r="C1926" s="94" t="inlineStr">
        <is>
          <t>금</t>
        </is>
      </c>
      <c r="D1926" s="94" t="inlineStr">
        <is>
          <t>네이버 브랜드검색</t>
        </is>
      </c>
      <c r="E1926" s="94" t="inlineStr">
        <is>
          <t>토너</t>
        </is>
      </c>
      <c r="G1926" s="4" t="n"/>
      <c r="J1926" s="129" t="n">
        <v>50000</v>
      </c>
    </row>
    <row r="1927" hidden="1" customFormat="1" s="94">
      <c r="B1927" s="128" t="n">
        <v>44051</v>
      </c>
      <c r="C1927" s="94" t="inlineStr">
        <is>
          <t>토</t>
        </is>
      </c>
      <c r="D1927" s="94" t="inlineStr">
        <is>
          <t>네이버 브랜드검색</t>
        </is>
      </c>
      <c r="E1927" s="94" t="inlineStr">
        <is>
          <t>토너</t>
        </is>
      </c>
      <c r="G1927" s="4" t="n"/>
      <c r="J1927" s="129" t="n">
        <v>50000</v>
      </c>
    </row>
    <row r="1928" hidden="1" customFormat="1" s="94">
      <c r="B1928" s="128" t="n">
        <v>44052</v>
      </c>
      <c r="C1928" s="94" t="inlineStr">
        <is>
          <t>일</t>
        </is>
      </c>
      <c r="D1928" s="94" t="inlineStr">
        <is>
          <t>네이버 브랜드검색</t>
        </is>
      </c>
      <c r="E1928" s="94" t="inlineStr">
        <is>
          <t>토너</t>
        </is>
      </c>
      <c r="G1928" s="4" t="n"/>
      <c r="J1928" s="129" t="n">
        <v>50000</v>
      </c>
    </row>
    <row r="1929" hidden="1" customFormat="1" s="94">
      <c r="B1929" s="128" t="n">
        <v>44055</v>
      </c>
      <c r="C1929" s="94">
        <f>TEXT(B1929,"aaa")</f>
        <v/>
      </c>
      <c r="D1929" s="94" t="inlineStr">
        <is>
          <t>페이스북/인스타그램</t>
        </is>
      </c>
      <c r="E1929" s="94" t="inlineStr">
        <is>
          <t>앰플</t>
        </is>
      </c>
      <c r="G1929" s="91" t="n"/>
      <c r="J1929" s="129" t="n">
        <v>29818</v>
      </c>
    </row>
    <row r="1930" hidden="1" customFormat="1" s="94">
      <c r="B1930" s="128" t="n">
        <v>44056</v>
      </c>
      <c r="C1930" s="94">
        <f>TEXT(B1930,"aaa")</f>
        <v/>
      </c>
      <c r="D1930" s="94" t="inlineStr">
        <is>
          <t>페이스북/인스타그램</t>
        </is>
      </c>
      <c r="E1930" s="94" t="inlineStr">
        <is>
          <t>앰플</t>
        </is>
      </c>
      <c r="G1930" s="91" t="n"/>
      <c r="J1930" s="129" t="n">
        <v>182538</v>
      </c>
    </row>
    <row r="1931" hidden="1" customFormat="1" s="94">
      <c r="B1931" s="128" t="n">
        <v>44053</v>
      </c>
      <c r="C1931" s="94">
        <f>TEXT(B1931,"aaa")</f>
        <v/>
      </c>
      <c r="D1931" s="94" t="inlineStr">
        <is>
          <t>페이스북/인스타그램</t>
        </is>
      </c>
      <c r="E1931" s="94" t="inlineStr">
        <is>
          <t>토너</t>
        </is>
      </c>
      <c r="G1931" s="91" t="n"/>
      <c r="J1931" s="129" t="n">
        <v>186936</v>
      </c>
    </row>
    <row r="1932" hidden="1" customFormat="1" s="94">
      <c r="B1932" s="128" t="n">
        <v>44054</v>
      </c>
      <c r="C1932" s="94">
        <f>TEXT(B1932,"aaa")</f>
        <v/>
      </c>
      <c r="D1932" s="94" t="inlineStr">
        <is>
          <t>페이스북/인스타그램</t>
        </is>
      </c>
      <c r="E1932" s="94" t="inlineStr">
        <is>
          <t>토너</t>
        </is>
      </c>
      <c r="G1932" s="91" t="n"/>
      <c r="J1932" s="129" t="n">
        <v>328834</v>
      </c>
    </row>
    <row r="1933" hidden="1" customFormat="1" s="94">
      <c r="B1933" s="128" t="n">
        <v>44055</v>
      </c>
      <c r="C1933" s="94">
        <f>TEXT(B1933,"aaa")</f>
        <v/>
      </c>
      <c r="D1933" s="94" t="inlineStr">
        <is>
          <t>페이스북/인스타그램</t>
        </is>
      </c>
      <c r="E1933" s="94" t="inlineStr">
        <is>
          <t>토너</t>
        </is>
      </c>
      <c r="G1933" s="91" t="n"/>
      <c r="J1933" s="129" t="n">
        <v>377139</v>
      </c>
    </row>
    <row r="1934" hidden="1" customFormat="1" s="94">
      <c r="B1934" s="128" t="n">
        <v>44056</v>
      </c>
      <c r="C1934" s="94">
        <f>TEXT(B1934,"aaa")</f>
        <v/>
      </c>
      <c r="D1934" s="94" t="inlineStr">
        <is>
          <t>페이스북/인스타그램</t>
        </is>
      </c>
      <c r="E1934" s="94" t="inlineStr">
        <is>
          <t>토너</t>
        </is>
      </c>
      <c r="G1934" s="91" t="n"/>
      <c r="J1934" s="129" t="n">
        <v>380062</v>
      </c>
    </row>
    <row r="1935" hidden="1" customFormat="1" s="94">
      <c r="B1935" s="128" t="n">
        <v>44053</v>
      </c>
      <c r="C1935" s="94">
        <f>TEXT(B1935,"aaa")</f>
        <v/>
      </c>
      <c r="D1935" s="94" t="inlineStr">
        <is>
          <t>네이버 GFA</t>
        </is>
      </c>
      <c r="E1935" s="94" t="inlineStr">
        <is>
          <t>선크림</t>
        </is>
      </c>
      <c r="G1935" s="91" t="n"/>
      <c r="J1935" s="129" t="n">
        <v>35943.63636363636</v>
      </c>
    </row>
    <row r="1936" hidden="1" customFormat="1" s="94">
      <c r="B1936" s="128" t="n">
        <v>44054</v>
      </c>
      <c r="C1936" s="94">
        <f>TEXT(B1936,"aaa")</f>
        <v/>
      </c>
      <c r="D1936" s="94" t="inlineStr">
        <is>
          <t>네이버 GFA</t>
        </is>
      </c>
      <c r="E1936" s="94" t="inlineStr">
        <is>
          <t>선크림</t>
        </is>
      </c>
      <c r="G1936" s="91" t="n"/>
      <c r="J1936" s="129" t="n">
        <v>67935.45454545454</v>
      </c>
    </row>
    <row r="1937" hidden="1" customFormat="1" s="94">
      <c r="B1937" s="128" t="n">
        <v>44055</v>
      </c>
      <c r="C1937" s="94">
        <f>TEXT(B1937,"aaa")</f>
        <v/>
      </c>
      <c r="D1937" s="94" t="inlineStr">
        <is>
          <t>네이버 GFA</t>
        </is>
      </c>
      <c r="E1937" s="94" t="inlineStr">
        <is>
          <t>선크림</t>
        </is>
      </c>
      <c r="G1937" s="91" t="n"/>
      <c r="J1937" s="129" t="n">
        <v>29291.81818181818</v>
      </c>
    </row>
    <row r="1938" hidden="1" customFormat="1" s="94">
      <c r="B1938" s="128" t="n">
        <v>44056</v>
      </c>
      <c r="C1938" s="94">
        <f>TEXT(B1938,"aaa")</f>
        <v/>
      </c>
      <c r="D1938" s="94" t="inlineStr">
        <is>
          <t>네이버 GFA</t>
        </is>
      </c>
      <c r="E1938" s="94" t="inlineStr">
        <is>
          <t>선크림</t>
        </is>
      </c>
      <c r="G1938" s="91" t="n"/>
      <c r="J1938" s="129" t="n">
        <v>14801.81818181818</v>
      </c>
    </row>
    <row r="1939" hidden="1" customFormat="1" s="94">
      <c r="B1939" s="128" t="n">
        <v>44053</v>
      </c>
      <c r="C1939" s="94">
        <f>TEXT(B1939,"aaa")</f>
        <v/>
      </c>
      <c r="D1939" s="94" t="inlineStr">
        <is>
          <t>네이버 GFA</t>
        </is>
      </c>
      <c r="E1939" s="94" t="inlineStr">
        <is>
          <t>토너</t>
        </is>
      </c>
      <c r="G1939" s="91" t="n"/>
      <c r="J1939" s="129" t="n">
        <v>356192.7272727272</v>
      </c>
    </row>
    <row r="1940" hidden="1" customFormat="1" s="94">
      <c r="B1940" s="128" t="n">
        <v>44054</v>
      </c>
      <c r="C1940" s="94">
        <f>TEXT(B1940,"aaa")</f>
        <v/>
      </c>
      <c r="D1940" s="94" t="inlineStr">
        <is>
          <t>네이버 GFA</t>
        </is>
      </c>
      <c r="E1940" s="94" t="inlineStr">
        <is>
          <t>토너</t>
        </is>
      </c>
      <c r="G1940" s="91" t="n"/>
      <c r="J1940" s="129" t="n">
        <v>593463.6363636364</v>
      </c>
    </row>
    <row r="1941" hidden="1" customFormat="1" s="94">
      <c r="B1941" s="128" t="n">
        <v>44055</v>
      </c>
      <c r="C1941" s="94">
        <f>TEXT(B1941,"aaa")</f>
        <v/>
      </c>
      <c r="D1941" s="94" t="inlineStr">
        <is>
          <t>네이버 GFA</t>
        </is>
      </c>
      <c r="E1941" s="94" t="inlineStr">
        <is>
          <t>토너</t>
        </is>
      </c>
      <c r="G1941" s="91" t="n"/>
      <c r="J1941" s="129" t="n">
        <v>297630.9090909091</v>
      </c>
    </row>
    <row r="1942" hidden="1" customFormat="1" s="94">
      <c r="B1942" s="128" t="n">
        <v>44056</v>
      </c>
      <c r="C1942" s="94">
        <f>TEXT(B1942,"aaa")</f>
        <v/>
      </c>
      <c r="D1942" s="94" t="inlineStr">
        <is>
          <t>네이버 GFA</t>
        </is>
      </c>
      <c r="E1942" s="94" t="inlineStr">
        <is>
          <t>토너</t>
        </is>
      </c>
      <c r="G1942" s="91" t="n"/>
      <c r="J1942" s="129" t="n">
        <v>282929.0909090909</v>
      </c>
    </row>
    <row r="1943" hidden="1" customFormat="1" s="94">
      <c r="B1943" s="128" t="n">
        <v>44053</v>
      </c>
      <c r="C1943" s="94">
        <f>TEXT(B1943,"aaa")</f>
        <v/>
      </c>
      <c r="D1943" s="94" t="inlineStr">
        <is>
          <t>네이버 쇼핑검색</t>
        </is>
      </c>
      <c r="E1943" s="94" t="inlineStr">
        <is>
          <t>토너</t>
        </is>
      </c>
      <c r="G1943" s="91" t="n"/>
      <c r="J1943" s="129" t="n">
        <v>67760</v>
      </c>
    </row>
    <row r="1944" hidden="1" customFormat="1" s="94">
      <c r="B1944" s="128" t="n">
        <v>44054</v>
      </c>
      <c r="C1944" s="94">
        <f>TEXT(B1944,"aaa")</f>
        <v/>
      </c>
      <c r="D1944" s="94" t="inlineStr">
        <is>
          <t>네이버 쇼핑검색</t>
        </is>
      </c>
      <c r="E1944" s="94" t="inlineStr">
        <is>
          <t>토너</t>
        </is>
      </c>
      <c r="G1944" s="91" t="n"/>
      <c r="J1944" s="129" t="n">
        <v>68230</v>
      </c>
    </row>
    <row r="1945" hidden="1" customFormat="1" s="94">
      <c r="B1945" s="128" t="n">
        <v>44055</v>
      </c>
      <c r="C1945" s="94">
        <f>TEXT(B1945,"aaa")</f>
        <v/>
      </c>
      <c r="D1945" s="94" t="inlineStr">
        <is>
          <t>네이버 쇼핑검색</t>
        </is>
      </c>
      <c r="E1945" s="94" t="inlineStr">
        <is>
          <t>토너</t>
        </is>
      </c>
      <c r="G1945" s="91" t="n"/>
      <c r="J1945" s="129" t="n">
        <v>56339.99999999999</v>
      </c>
    </row>
    <row r="1946" hidden="1" customFormat="1" s="94">
      <c r="B1946" s="128" t="n">
        <v>44056</v>
      </c>
      <c r="C1946" s="94">
        <f>TEXT(B1946,"aaa")</f>
        <v/>
      </c>
      <c r="D1946" s="94" t="inlineStr">
        <is>
          <t>네이버 쇼핑검색</t>
        </is>
      </c>
      <c r="E1946" s="94" t="inlineStr">
        <is>
          <t>토너</t>
        </is>
      </c>
      <c r="G1946" s="91" t="n"/>
      <c r="J1946" s="129" t="n">
        <v>47289.99999999999</v>
      </c>
    </row>
    <row r="1947" hidden="1" customFormat="1" s="94">
      <c r="B1947" s="128" t="n">
        <v>44053</v>
      </c>
      <c r="C1947" s="94">
        <f>TEXT(B1947,"aaa")</f>
        <v/>
      </c>
      <c r="D1947" s="94" t="inlineStr">
        <is>
          <t>네이버 브랜드검색</t>
        </is>
      </c>
      <c r="E1947" s="94" t="inlineStr">
        <is>
          <t>토너</t>
        </is>
      </c>
      <c r="G1947" s="91" t="n"/>
      <c r="J1947" s="129" t="n">
        <v>50000</v>
      </c>
    </row>
    <row r="1948" hidden="1" customFormat="1" s="94">
      <c r="B1948" s="128" t="n">
        <v>44054</v>
      </c>
      <c r="C1948" s="94">
        <f>TEXT(B1948,"aaa")</f>
        <v/>
      </c>
      <c r="D1948" s="94" t="inlineStr">
        <is>
          <t>네이버 브랜드검색</t>
        </is>
      </c>
      <c r="E1948" s="94" t="inlineStr">
        <is>
          <t>토너</t>
        </is>
      </c>
      <c r="G1948" s="91" t="n"/>
      <c r="J1948" s="129" t="n">
        <v>50000</v>
      </c>
    </row>
    <row r="1949" hidden="1" customFormat="1" s="94">
      <c r="B1949" s="128" t="n">
        <v>44055</v>
      </c>
      <c r="C1949" s="94">
        <f>TEXT(B1949,"aaa")</f>
        <v/>
      </c>
      <c r="D1949" s="94" t="inlineStr">
        <is>
          <t>네이버 브랜드검색</t>
        </is>
      </c>
      <c r="E1949" s="94" t="inlineStr">
        <is>
          <t>토너</t>
        </is>
      </c>
      <c r="G1949" s="91" t="n"/>
      <c r="J1949" s="129" t="n">
        <v>50000</v>
      </c>
    </row>
    <row r="1950" hidden="1" customFormat="1" s="94">
      <c r="B1950" s="128" t="n">
        <v>44056</v>
      </c>
      <c r="C1950" s="94">
        <f>TEXT(B1950,"aaa")</f>
        <v/>
      </c>
      <c r="D1950" s="94" t="inlineStr">
        <is>
          <t>네이버 브랜드검색</t>
        </is>
      </c>
      <c r="E1950" s="94" t="inlineStr">
        <is>
          <t>토너</t>
        </is>
      </c>
      <c r="G1950" s="91" t="n"/>
      <c r="J1950" s="129" t="n">
        <v>50000</v>
      </c>
    </row>
    <row r="1951" hidden="1" customFormat="1" s="94">
      <c r="B1951" s="128" t="n">
        <v>44053</v>
      </c>
      <c r="C1951" s="94">
        <f>TEXT(B1951,"aaa")</f>
        <v/>
      </c>
      <c r="D1951" s="94" t="inlineStr">
        <is>
          <t>유튜브 디스커버리(이미지)</t>
        </is>
      </c>
      <c r="E1951" s="94" t="inlineStr">
        <is>
          <t>토너</t>
        </is>
      </c>
      <c r="G1951" s="91" t="n"/>
      <c r="J1951" s="129" t="n">
        <v>327394</v>
      </c>
    </row>
    <row r="1952" hidden="1" customFormat="1" s="94">
      <c r="B1952" s="128" t="n">
        <v>44054</v>
      </c>
      <c r="C1952" s="94">
        <f>TEXT(B1952,"aaa")</f>
        <v/>
      </c>
      <c r="D1952" s="94" t="inlineStr">
        <is>
          <t>유튜브 디스커버리(이미지)</t>
        </is>
      </c>
      <c r="E1952" s="94" t="inlineStr">
        <is>
          <t>토너</t>
        </is>
      </c>
      <c r="G1952" s="91" t="n"/>
      <c r="J1952" s="129" t="n">
        <v>130650</v>
      </c>
    </row>
    <row r="1953" hidden="1" customFormat="1" s="94">
      <c r="B1953" s="128" t="n">
        <v>44055</v>
      </c>
      <c r="C1953" s="94">
        <f>TEXT(B1953,"aaa")</f>
        <v/>
      </c>
      <c r="D1953" s="94" t="inlineStr">
        <is>
          <t>유튜브 디스커버리(이미지)</t>
        </is>
      </c>
      <c r="E1953" s="94" t="inlineStr">
        <is>
          <t>토너</t>
        </is>
      </c>
      <c r="G1953" s="91" t="n"/>
      <c r="J1953" s="129" t="n">
        <v>282379</v>
      </c>
    </row>
    <row r="1954" hidden="1" customFormat="1" s="94">
      <c r="B1954" s="128" t="n">
        <v>44056</v>
      </c>
      <c r="C1954" s="94">
        <f>TEXT(B1954,"aaa")</f>
        <v/>
      </c>
      <c r="D1954" s="94" t="inlineStr">
        <is>
          <t>유튜브 디스커버리(이미지)</t>
        </is>
      </c>
      <c r="E1954" s="94" t="inlineStr">
        <is>
          <t>토너</t>
        </is>
      </c>
      <c r="G1954" s="91" t="n"/>
      <c r="J1954" s="129" t="n">
        <v>203662</v>
      </c>
    </row>
    <row r="1955" hidden="1" customFormat="1" s="94">
      <c r="B1955" s="128" t="n">
        <v>44055</v>
      </c>
      <c r="C1955" s="94">
        <f>TEXT(B1955,"aaa")</f>
        <v/>
      </c>
      <c r="D1955" s="94" t="inlineStr">
        <is>
          <t>문자대표</t>
        </is>
      </c>
      <c r="E1955" s="94" t="inlineStr">
        <is>
          <t>토너</t>
        </is>
      </c>
      <c r="G1955" s="91" t="n"/>
      <c r="J1955" s="129" t="n">
        <v>630</v>
      </c>
    </row>
    <row r="1956" hidden="1" customFormat="1" s="94">
      <c r="B1956" s="128" t="n">
        <v>44057</v>
      </c>
      <c r="C1956" s="94">
        <f>TEXT(B1956,"aaa")</f>
        <v/>
      </c>
      <c r="D1956" s="94" t="inlineStr">
        <is>
          <t>페이스북/인스타그램</t>
        </is>
      </c>
      <c r="E1956" s="94" t="inlineStr">
        <is>
          <t>앰플</t>
        </is>
      </c>
      <c r="G1956" s="91" t="n"/>
      <c r="J1956" s="129" t="n">
        <v>163267</v>
      </c>
    </row>
    <row r="1957" hidden="1" customFormat="1" s="94">
      <c r="B1957" s="128" t="n">
        <v>44057</v>
      </c>
      <c r="C1957" s="94">
        <f>TEXT(B1957,"aaa")</f>
        <v/>
      </c>
      <c r="D1957" s="94" t="inlineStr">
        <is>
          <t>페이스북/인스타그램</t>
        </is>
      </c>
      <c r="E1957" s="94" t="inlineStr">
        <is>
          <t>토너</t>
        </is>
      </c>
      <c r="G1957" s="91" t="n"/>
      <c r="J1957" s="129" t="n">
        <v>263148</v>
      </c>
    </row>
    <row r="1958" hidden="1" customFormat="1" s="94">
      <c r="B1958" s="128" t="n">
        <v>44057</v>
      </c>
      <c r="C1958" s="94">
        <f>TEXT(B1958,"aaa")</f>
        <v/>
      </c>
      <c r="D1958" s="94" t="inlineStr">
        <is>
          <t>네이버 GFA</t>
        </is>
      </c>
      <c r="E1958" s="94" t="inlineStr">
        <is>
          <t>선크림</t>
        </is>
      </c>
      <c r="G1958" s="91" t="n"/>
      <c r="J1958" s="129" t="n">
        <v>16087.27272727273</v>
      </c>
    </row>
    <row r="1959" hidden="1" customFormat="1" s="94">
      <c r="B1959" s="128" t="n">
        <v>44057</v>
      </c>
      <c r="C1959" s="94">
        <f>TEXT(B1959,"aaa")</f>
        <v/>
      </c>
      <c r="D1959" s="94" t="inlineStr">
        <is>
          <t>네이버 GFA</t>
        </is>
      </c>
      <c r="E1959" s="94" t="inlineStr">
        <is>
          <t>토너</t>
        </is>
      </c>
      <c r="G1959" s="91" t="n"/>
      <c r="J1959" s="129" t="n">
        <v>188749.0909090909</v>
      </c>
    </row>
    <row r="1960" hidden="1" customFormat="1" s="94">
      <c r="B1960" s="128" t="n">
        <v>44058</v>
      </c>
      <c r="C1960" s="94">
        <f>TEXT(B1960,"aaa")</f>
        <v/>
      </c>
      <c r="D1960" s="94" t="inlineStr">
        <is>
          <t>네이버 쇼핑검색</t>
        </is>
      </c>
      <c r="E1960" s="94" t="inlineStr">
        <is>
          <t>토너</t>
        </is>
      </c>
      <c r="G1960" s="91" t="n"/>
      <c r="J1960" s="129" t="n">
        <v>48139.99999999999</v>
      </c>
    </row>
    <row r="1961" hidden="1" customFormat="1" s="94">
      <c r="B1961" s="128" t="n">
        <v>44059</v>
      </c>
      <c r="C1961" s="94">
        <f>TEXT(B1961,"aaa")</f>
        <v/>
      </c>
      <c r="D1961" s="94" t="inlineStr">
        <is>
          <t>네이버 쇼핑검색</t>
        </is>
      </c>
      <c r="E1961" s="94" t="inlineStr">
        <is>
          <t>토너</t>
        </is>
      </c>
      <c r="G1961" s="91" t="n"/>
      <c r="J1961" s="129" t="n">
        <v>34710</v>
      </c>
    </row>
    <row r="1962" hidden="1" customFormat="1" s="94">
      <c r="B1962" s="128" t="n">
        <v>44060</v>
      </c>
      <c r="C1962" s="94">
        <f>TEXT(B1962,"aaa")</f>
        <v/>
      </c>
      <c r="D1962" s="94" t="inlineStr">
        <is>
          <t>네이버 쇼핑검색</t>
        </is>
      </c>
      <c r="E1962" s="94" t="inlineStr">
        <is>
          <t>토너</t>
        </is>
      </c>
      <c r="G1962" s="91" t="n"/>
      <c r="J1962" s="129" t="n">
        <v>47189.99999999999</v>
      </c>
    </row>
    <row r="1963" hidden="1" customFormat="1" s="94">
      <c r="B1963" s="128" t="n">
        <v>44061</v>
      </c>
      <c r="C1963" s="94">
        <f>TEXT(B1963,"aaa")</f>
        <v/>
      </c>
      <c r="D1963" s="94" t="inlineStr">
        <is>
          <t>네이버 쇼핑검색</t>
        </is>
      </c>
      <c r="E1963" s="94" t="inlineStr">
        <is>
          <t>토너</t>
        </is>
      </c>
      <c r="G1963" s="91" t="n"/>
      <c r="J1963" s="129" t="n">
        <v>46689.99999999999</v>
      </c>
    </row>
    <row r="1964" hidden="1" customFormat="1" s="94">
      <c r="B1964" s="128" t="n">
        <v>44062</v>
      </c>
      <c r="C1964" s="94">
        <f>TEXT(B1964,"aaa")</f>
        <v/>
      </c>
      <c r="D1964" s="94" t="inlineStr">
        <is>
          <t>네이버 쇼핑검색</t>
        </is>
      </c>
      <c r="E1964" s="94" t="inlineStr">
        <is>
          <t>토너</t>
        </is>
      </c>
      <c r="G1964" s="91" t="n"/>
      <c r="J1964" s="129" t="n">
        <v>54669.99999999999</v>
      </c>
    </row>
    <row r="1965" hidden="1" customFormat="1" s="94">
      <c r="B1965" s="128" t="n">
        <v>44063</v>
      </c>
      <c r="C1965" s="94">
        <f>TEXT(B1965,"aaa")</f>
        <v/>
      </c>
      <c r="D1965" s="94" t="inlineStr">
        <is>
          <t>네이버 쇼핑검색</t>
        </is>
      </c>
      <c r="E1965" s="94" t="inlineStr">
        <is>
          <t>토너</t>
        </is>
      </c>
      <c r="G1965" s="91" t="n"/>
      <c r="J1965" s="129" t="n">
        <v>39540</v>
      </c>
    </row>
    <row r="1966" hidden="1" customFormat="1" s="94">
      <c r="B1966" s="128" t="n">
        <v>44057</v>
      </c>
      <c r="C1966" s="94">
        <f>TEXT(B1966,"aaa")</f>
        <v/>
      </c>
      <c r="D1966" s="94" t="inlineStr">
        <is>
          <t>네이버 브랜드검색</t>
        </is>
      </c>
      <c r="E1966" s="94" t="inlineStr">
        <is>
          <t>토너</t>
        </is>
      </c>
      <c r="G1966" s="91" t="n"/>
      <c r="J1966" s="129" t="n">
        <v>50000</v>
      </c>
    </row>
    <row r="1967" hidden="1" customFormat="1" s="94">
      <c r="B1967" s="128" t="n">
        <v>44058</v>
      </c>
      <c r="C1967" s="94">
        <f>TEXT(B1967,"aaa")</f>
        <v/>
      </c>
      <c r="D1967" s="94" t="inlineStr">
        <is>
          <t>네이버 브랜드검색</t>
        </is>
      </c>
      <c r="E1967" s="94" t="inlineStr">
        <is>
          <t>토너</t>
        </is>
      </c>
      <c r="G1967" s="91" t="n"/>
      <c r="J1967" s="129" t="n">
        <v>50000</v>
      </c>
    </row>
    <row r="1968" hidden="1" customFormat="1" s="94">
      <c r="B1968" s="128" t="n">
        <v>44059</v>
      </c>
      <c r="C1968" s="94">
        <f>TEXT(B1968,"aaa")</f>
        <v/>
      </c>
      <c r="D1968" s="94" t="inlineStr">
        <is>
          <t>네이버 브랜드검색</t>
        </is>
      </c>
      <c r="E1968" s="94" t="inlineStr">
        <is>
          <t>토너</t>
        </is>
      </c>
      <c r="G1968" s="91" t="n"/>
      <c r="J1968" s="129" t="n">
        <v>50000</v>
      </c>
    </row>
    <row r="1969" hidden="1" customFormat="1" s="94">
      <c r="B1969" s="128" t="n">
        <v>44060</v>
      </c>
      <c r="C1969" s="94">
        <f>TEXT(B1969,"aaa")</f>
        <v/>
      </c>
      <c r="D1969" s="94" t="inlineStr">
        <is>
          <t>네이버 브랜드검색</t>
        </is>
      </c>
      <c r="E1969" s="94" t="inlineStr">
        <is>
          <t>토너</t>
        </is>
      </c>
      <c r="G1969" s="91" t="n"/>
      <c r="J1969" s="129" t="n">
        <v>50000</v>
      </c>
    </row>
    <row r="1970" hidden="1" customFormat="1" s="94">
      <c r="B1970" s="128" t="n">
        <v>44061</v>
      </c>
      <c r="C1970" s="94">
        <f>TEXT(B1970,"aaa")</f>
        <v/>
      </c>
      <c r="D1970" s="94" t="inlineStr">
        <is>
          <t>네이버 브랜드검색</t>
        </is>
      </c>
      <c r="E1970" s="94" t="inlineStr">
        <is>
          <t>토너</t>
        </is>
      </c>
      <c r="G1970" s="91" t="n"/>
      <c r="J1970" s="129" t="n">
        <v>50000</v>
      </c>
    </row>
    <row r="1971" hidden="1" customFormat="1" s="94">
      <c r="B1971" s="128" t="n">
        <v>44062</v>
      </c>
      <c r="C1971" s="94">
        <f>TEXT(B1971,"aaa")</f>
        <v/>
      </c>
      <c r="D1971" s="94" t="inlineStr">
        <is>
          <t>네이버 브랜드검색</t>
        </is>
      </c>
      <c r="E1971" s="94" t="inlineStr">
        <is>
          <t>토너</t>
        </is>
      </c>
      <c r="G1971" s="91" t="n"/>
      <c r="J1971" s="129" t="n">
        <v>50000</v>
      </c>
    </row>
    <row r="1972" hidden="1" customFormat="1" s="94">
      <c r="B1972" s="128" t="n">
        <v>44063</v>
      </c>
      <c r="C1972" s="94">
        <f>TEXT(B1972,"aaa")</f>
        <v/>
      </c>
      <c r="D1972" s="94" t="inlineStr">
        <is>
          <t>네이버 브랜드검색</t>
        </is>
      </c>
      <c r="E1972" s="94" t="inlineStr">
        <is>
          <t>토너</t>
        </is>
      </c>
      <c r="G1972" s="91" t="n"/>
      <c r="J1972" s="129" t="n">
        <v>50000</v>
      </c>
    </row>
    <row r="1973" hidden="1" customFormat="1" s="94">
      <c r="B1973" s="128" t="n">
        <v>44057</v>
      </c>
      <c r="C1973" s="94">
        <f>TEXT(B1973,"aaa")</f>
        <v/>
      </c>
      <c r="D1973" s="94" t="inlineStr">
        <is>
          <t>유튜브 디스커버리(이미지)</t>
        </is>
      </c>
      <c r="E1973" s="94" t="inlineStr">
        <is>
          <t>토너</t>
        </is>
      </c>
      <c r="G1973" s="91" t="n"/>
      <c r="J1973" s="129" t="n">
        <v>44919</v>
      </c>
    </row>
    <row r="1974" hidden="1" customFormat="1" s="94">
      <c r="B1974" s="128" t="n">
        <v>44062</v>
      </c>
      <c r="C1974" s="94">
        <f>TEXT(B1974,"aaa")</f>
        <v/>
      </c>
      <c r="D1974" s="94" t="inlineStr">
        <is>
          <t>카카오톡 메시지</t>
        </is>
      </c>
      <c r="E1974" s="94" t="inlineStr">
        <is>
          <t>토너</t>
        </is>
      </c>
      <c r="G1974" s="91" t="n"/>
      <c r="J1974" s="129" t="n">
        <v>5478</v>
      </c>
    </row>
    <row r="1975" hidden="1" customFormat="1" s="94">
      <c r="B1975" s="128" t="n">
        <v>44062</v>
      </c>
      <c r="C1975" s="94">
        <f>TEXT(B1975,"aaa")</f>
        <v/>
      </c>
      <c r="D1975" s="94" t="inlineStr">
        <is>
          <t>문자대표</t>
        </is>
      </c>
      <c r="E1975" s="94" t="inlineStr">
        <is>
          <t>토너</t>
        </is>
      </c>
      <c r="G1975" s="91" t="n"/>
      <c r="J1975" s="129" t="n">
        <v>8070</v>
      </c>
    </row>
    <row r="1976" hidden="1" customFormat="1" s="94">
      <c r="B1976" s="128" t="n">
        <v>44066</v>
      </c>
      <c r="C1976" s="94">
        <f>TEXT(B1976,"aaa")</f>
        <v/>
      </c>
      <c r="D1976" s="94" t="inlineStr">
        <is>
          <t>페이스북/인스타그램</t>
        </is>
      </c>
      <c r="E1976" s="94" t="inlineStr">
        <is>
          <t>토너</t>
        </is>
      </c>
      <c r="G1976" s="91" t="n"/>
      <c r="J1976" s="129" t="n">
        <v>150097</v>
      </c>
    </row>
    <row r="1977" hidden="1" customFormat="1" s="94">
      <c r="B1977" s="128" t="n">
        <v>44067</v>
      </c>
      <c r="C1977" s="94">
        <f>TEXT(B1977,"aaa")</f>
        <v/>
      </c>
      <c r="D1977" s="94" t="inlineStr">
        <is>
          <t>페이스북/인스타그램</t>
        </is>
      </c>
      <c r="E1977" s="94" t="inlineStr">
        <is>
          <t>토너</t>
        </is>
      </c>
      <c r="G1977" s="91" t="n"/>
      <c r="J1977" s="129" t="n">
        <v>263174</v>
      </c>
    </row>
    <row r="1978" hidden="1" customFormat="1" s="94">
      <c r="B1978" s="128" t="n">
        <v>44068</v>
      </c>
      <c r="C1978" s="94">
        <f>TEXT(B1978,"aaa")</f>
        <v/>
      </c>
      <c r="D1978" s="94" t="inlineStr">
        <is>
          <t>페이스북/인스타그램</t>
        </is>
      </c>
      <c r="E1978" s="94" t="inlineStr">
        <is>
          <t>토너</t>
        </is>
      </c>
      <c r="G1978" s="91" t="n"/>
      <c r="J1978" s="129" t="n">
        <v>347976</v>
      </c>
    </row>
    <row r="1979" hidden="1" customFormat="1" s="94">
      <c r="B1979" s="128" t="n">
        <v>44069</v>
      </c>
      <c r="C1979" s="94">
        <f>TEXT(B1979,"aaa")</f>
        <v/>
      </c>
      <c r="D1979" s="94" t="inlineStr">
        <is>
          <t>페이스북/인스타그램</t>
        </is>
      </c>
      <c r="E1979" s="94" t="inlineStr">
        <is>
          <t>토너</t>
        </is>
      </c>
      <c r="G1979" s="91" t="n"/>
      <c r="J1979" s="129" t="n">
        <v>185499</v>
      </c>
    </row>
    <row r="1980" hidden="1" customFormat="1" s="94">
      <c r="B1980" s="128" t="n">
        <v>44070</v>
      </c>
      <c r="C1980" s="94">
        <f>TEXT(B1980,"aaa")</f>
        <v/>
      </c>
      <c r="D1980" s="94" t="inlineStr">
        <is>
          <t>페이스북/인스타그램</t>
        </is>
      </c>
      <c r="E1980" s="94" t="inlineStr">
        <is>
          <t>토너</t>
        </is>
      </c>
      <c r="G1980" s="91" t="n"/>
      <c r="J1980" s="129" t="n">
        <v>266513</v>
      </c>
    </row>
    <row r="1981" hidden="1" customFormat="1" s="94">
      <c r="B1981" s="128" t="n">
        <v>44071</v>
      </c>
      <c r="C1981" s="94">
        <f>TEXT(B1981,"aaa")</f>
        <v/>
      </c>
      <c r="D1981" s="94" t="inlineStr">
        <is>
          <t>페이스북/인스타그램</t>
        </is>
      </c>
      <c r="E1981" s="94" t="inlineStr">
        <is>
          <t>토너</t>
        </is>
      </c>
      <c r="G1981" s="91" t="n"/>
      <c r="J1981" s="129" t="n">
        <v>221180</v>
      </c>
    </row>
    <row r="1982" hidden="1" customFormat="1" s="94">
      <c r="B1982" s="128" t="n">
        <v>44072</v>
      </c>
      <c r="C1982" s="94">
        <f>TEXT(B1982,"aaa")</f>
        <v/>
      </c>
      <c r="D1982" s="94" t="inlineStr">
        <is>
          <t>페이스북/인스타그램</t>
        </is>
      </c>
      <c r="E1982" s="94" t="inlineStr">
        <is>
          <t>토너</t>
        </is>
      </c>
      <c r="G1982" s="91" t="n"/>
      <c r="J1982" s="129" t="n">
        <v>106388</v>
      </c>
    </row>
    <row r="1983" hidden="1" customFormat="1" s="94">
      <c r="B1983" s="128" t="n">
        <v>44073</v>
      </c>
      <c r="C1983" s="94">
        <f>TEXT(B1983,"aaa")</f>
        <v/>
      </c>
      <c r="D1983" s="94" t="inlineStr">
        <is>
          <t>페이스북/인스타그램</t>
        </is>
      </c>
      <c r="E1983" s="94" t="inlineStr">
        <is>
          <t>토너</t>
        </is>
      </c>
      <c r="G1983" s="91" t="n"/>
      <c r="J1983" s="129" t="n">
        <v>146130</v>
      </c>
    </row>
    <row r="1984" hidden="1" customFormat="1" s="94">
      <c r="B1984" s="128" t="n">
        <v>44074</v>
      </c>
      <c r="C1984" s="94">
        <f>TEXT(B1984,"aaa")</f>
        <v/>
      </c>
      <c r="D1984" s="94" t="inlineStr">
        <is>
          <t>페이스북/인스타그램</t>
        </is>
      </c>
      <c r="E1984" s="94" t="inlineStr">
        <is>
          <t>토너</t>
        </is>
      </c>
      <c r="G1984" s="91" t="n"/>
      <c r="J1984" s="129" t="n">
        <v>225894</v>
      </c>
    </row>
    <row r="1985" hidden="1" customFormat="1" s="94">
      <c r="B1985" s="128" t="n">
        <v>44075</v>
      </c>
      <c r="C1985" s="94">
        <f>TEXT(B1985,"aaa")</f>
        <v/>
      </c>
      <c r="D1985" s="94" t="inlineStr">
        <is>
          <t>페이스북/인스타그램</t>
        </is>
      </c>
      <c r="E1985" s="94" t="inlineStr">
        <is>
          <t>토너</t>
        </is>
      </c>
      <c r="G1985" s="91" t="n"/>
      <c r="J1985" s="129" t="n">
        <v>276037</v>
      </c>
    </row>
    <row r="1986" hidden="1" customFormat="1" s="94">
      <c r="B1986" s="128" t="n">
        <v>44076</v>
      </c>
      <c r="C1986" s="94">
        <f>TEXT(B1986,"aaa")</f>
        <v/>
      </c>
      <c r="D1986" s="94" t="inlineStr">
        <is>
          <t>페이스북/인스타그램</t>
        </is>
      </c>
      <c r="E1986" s="94" t="inlineStr">
        <is>
          <t>토너</t>
        </is>
      </c>
      <c r="G1986" s="91" t="n"/>
      <c r="J1986" s="129" t="n">
        <v>273861</v>
      </c>
    </row>
    <row r="1987" hidden="1" customFormat="1" s="94">
      <c r="B1987" s="128" t="n">
        <v>44074</v>
      </c>
      <c r="C1987" s="94">
        <f>TEXT(B1987,"aaa")</f>
        <v/>
      </c>
      <c r="D1987" s="94" t="inlineStr">
        <is>
          <t>페이스북/인스타그램</t>
        </is>
      </c>
      <c r="E1987" s="94" t="inlineStr">
        <is>
          <t>앰플</t>
        </is>
      </c>
      <c r="G1987" s="91" t="n"/>
      <c r="J1987" s="129" t="n">
        <v>19610</v>
      </c>
    </row>
    <row r="1988" hidden="1" customFormat="1" s="94">
      <c r="B1988" s="128" t="n">
        <v>44075</v>
      </c>
      <c r="C1988" s="94">
        <f>TEXT(B1988,"aaa")</f>
        <v/>
      </c>
      <c r="D1988" s="94" t="inlineStr">
        <is>
          <t>페이스북/인스타그램</t>
        </is>
      </c>
      <c r="E1988" s="94" t="inlineStr">
        <is>
          <t>앰플</t>
        </is>
      </c>
      <c r="G1988" s="91" t="n"/>
      <c r="J1988" s="129" t="n">
        <v>246783</v>
      </c>
    </row>
    <row r="1989" hidden="1" customFormat="1" s="94">
      <c r="B1989" s="128" t="n">
        <v>44076</v>
      </c>
      <c r="C1989" s="94">
        <f>TEXT(B1989,"aaa")</f>
        <v/>
      </c>
      <c r="D1989" s="94" t="inlineStr">
        <is>
          <t>페이스북/인스타그램</t>
        </is>
      </c>
      <c r="E1989" s="94" t="inlineStr">
        <is>
          <t>앰플</t>
        </is>
      </c>
      <c r="G1989" s="91" t="n"/>
      <c r="J1989" s="129" t="n">
        <v>185504</v>
      </c>
    </row>
    <row r="1990" hidden="1" customFormat="1" s="94">
      <c r="B1990" s="128" t="n">
        <v>44067</v>
      </c>
      <c r="C1990" s="94">
        <f>TEXT(B1990,"aaa")</f>
        <v/>
      </c>
      <c r="D1990" s="94" t="inlineStr">
        <is>
          <t>네이버 GFA</t>
        </is>
      </c>
      <c r="E1990" s="94" t="inlineStr">
        <is>
          <t>토너</t>
        </is>
      </c>
      <c r="G1990" s="91" t="n"/>
      <c r="J1990" s="129" t="n">
        <v>357111.8181818182</v>
      </c>
    </row>
    <row r="1991" hidden="1" customFormat="1" s="94">
      <c r="B1991" s="128" t="n">
        <v>44068</v>
      </c>
      <c r="C1991" s="94">
        <f>TEXT(B1991,"aaa")</f>
        <v/>
      </c>
      <c r="D1991" s="94" t="inlineStr">
        <is>
          <t>네이버 GFA</t>
        </is>
      </c>
      <c r="E1991" s="94" t="inlineStr">
        <is>
          <t>토너</t>
        </is>
      </c>
      <c r="G1991" s="91" t="n"/>
      <c r="J1991" s="129" t="n">
        <v>412806.3636363636</v>
      </c>
    </row>
    <row r="1992" hidden="1" customFormat="1" s="94">
      <c r="B1992" s="128" t="n">
        <v>44069</v>
      </c>
      <c r="C1992" s="94">
        <f>TEXT(B1992,"aaa")</f>
        <v/>
      </c>
      <c r="D1992" s="94" t="inlineStr">
        <is>
          <t>네이버 GFA</t>
        </is>
      </c>
      <c r="E1992" s="94" t="inlineStr">
        <is>
          <t>토너</t>
        </is>
      </c>
      <c r="G1992" s="91" t="n"/>
      <c r="J1992" s="129" t="n">
        <v>370464.5454545454</v>
      </c>
    </row>
    <row r="1993" hidden="1" customFormat="1" s="94">
      <c r="B1993" s="128" t="n">
        <v>44070</v>
      </c>
      <c r="C1993" s="94">
        <f>TEXT(B1993,"aaa")</f>
        <v/>
      </c>
      <c r="D1993" s="94" t="inlineStr">
        <is>
          <t>네이버 GFA</t>
        </is>
      </c>
      <c r="E1993" s="94" t="inlineStr">
        <is>
          <t>토너</t>
        </is>
      </c>
      <c r="G1993" s="91" t="n"/>
      <c r="J1993" s="129" t="n">
        <v>440808.1818181818</v>
      </c>
    </row>
    <row r="1994" hidden="1" customFormat="1" s="94">
      <c r="B1994" s="128" t="n">
        <v>44071</v>
      </c>
      <c r="C1994" s="94">
        <f>TEXT(B1994,"aaa")</f>
        <v/>
      </c>
      <c r="D1994" s="94" t="inlineStr">
        <is>
          <t>네이버 GFA</t>
        </is>
      </c>
      <c r="E1994" s="94" t="inlineStr">
        <is>
          <t>토너</t>
        </is>
      </c>
      <c r="G1994" s="91" t="n"/>
      <c r="J1994" s="129" t="n">
        <v>310808.1818181818</v>
      </c>
    </row>
    <row r="1995" hidden="1" customFormat="1" s="94">
      <c r="B1995" s="128" t="n">
        <v>44072</v>
      </c>
      <c r="C1995" s="94">
        <f>TEXT(B1995,"aaa")</f>
        <v/>
      </c>
      <c r="D1995" s="94" t="inlineStr">
        <is>
          <t>네이버 GFA</t>
        </is>
      </c>
      <c r="E1995" s="94" t="inlineStr">
        <is>
          <t>토너</t>
        </is>
      </c>
      <c r="G1995" s="91" t="n"/>
      <c r="J1995" s="129" t="n">
        <v>158205.4545454545</v>
      </c>
    </row>
    <row r="1996" hidden="1" customFormat="1" s="94">
      <c r="B1996" s="128" t="n">
        <v>44073</v>
      </c>
      <c r="C1996" s="94">
        <f>TEXT(B1996,"aaa")</f>
        <v/>
      </c>
      <c r="D1996" s="94" t="inlineStr">
        <is>
          <t>네이버 GFA</t>
        </is>
      </c>
      <c r="E1996" s="94" t="inlineStr">
        <is>
          <t>토너</t>
        </is>
      </c>
      <c r="G1996" s="91" t="n"/>
      <c r="J1996" s="129" t="n">
        <v>158178.1818181818</v>
      </c>
    </row>
    <row r="1997" hidden="1" customFormat="1" s="94">
      <c r="B1997" s="128" t="n">
        <v>44074</v>
      </c>
      <c r="C1997" s="94">
        <f>TEXT(B1997,"aaa")</f>
        <v/>
      </c>
      <c r="D1997" s="94" t="inlineStr">
        <is>
          <t>네이버 GFA</t>
        </is>
      </c>
      <c r="E1997" s="94" t="inlineStr">
        <is>
          <t>토너</t>
        </is>
      </c>
      <c r="G1997" s="91" t="n"/>
      <c r="J1997" s="129" t="n">
        <v>227434.5454545454</v>
      </c>
    </row>
    <row r="1998" hidden="1" customFormat="1" s="94">
      <c r="B1998" s="128" t="n">
        <v>44075</v>
      </c>
      <c r="C1998" s="94">
        <f>TEXT(B1998,"aaa")</f>
        <v/>
      </c>
      <c r="D1998" s="94" t="inlineStr">
        <is>
          <t>네이버 GFA</t>
        </is>
      </c>
      <c r="E1998" s="94" t="inlineStr">
        <is>
          <t>토너</t>
        </is>
      </c>
      <c r="G1998" s="91" t="n"/>
      <c r="J1998" s="129" t="n">
        <v>223165.4545454545</v>
      </c>
    </row>
    <row r="1999" hidden="1" customFormat="1" s="94">
      <c r="B1999" s="128" t="n">
        <v>44076</v>
      </c>
      <c r="C1999" s="94">
        <f>TEXT(B1999,"aaa")</f>
        <v/>
      </c>
      <c r="D1999" s="94" t="inlineStr">
        <is>
          <t>네이버 GFA</t>
        </is>
      </c>
      <c r="E1999" s="94" t="inlineStr">
        <is>
          <t>토너</t>
        </is>
      </c>
      <c r="G1999" s="91" t="n"/>
      <c r="J1999" s="129" t="n">
        <v>425641.8181818182</v>
      </c>
    </row>
    <row r="2000" hidden="1" customFormat="1" s="94">
      <c r="B2000" s="128" t="n">
        <v>44067</v>
      </c>
      <c r="C2000" s="94">
        <f>TEXT(B2000,"aaa")</f>
        <v/>
      </c>
      <c r="D2000" s="94" t="inlineStr">
        <is>
          <t>네이버 GFA</t>
        </is>
      </c>
      <c r="E2000" s="94" t="inlineStr">
        <is>
          <t>선크림</t>
        </is>
      </c>
      <c r="G2000" s="91" t="n"/>
      <c r="J2000" s="129" t="n">
        <v>68737.27272727272</v>
      </c>
    </row>
    <row r="2001" hidden="1" customFormat="1" s="94">
      <c r="B2001" s="128" t="n">
        <v>44068</v>
      </c>
      <c r="C2001" s="94">
        <f>TEXT(B2001,"aaa")</f>
        <v/>
      </c>
      <c r="D2001" s="94" t="inlineStr">
        <is>
          <t>네이버 GFA</t>
        </is>
      </c>
      <c r="E2001" s="94" t="inlineStr">
        <is>
          <t>선크림</t>
        </is>
      </c>
      <c r="G2001" s="91" t="n"/>
      <c r="J2001" s="129" t="n">
        <v>26470.90909090909</v>
      </c>
    </row>
    <row r="2002" hidden="1" customFormat="1" s="94">
      <c r="B2002" s="128" t="n">
        <v>44069</v>
      </c>
      <c r="C2002" s="94">
        <f>TEXT(B2002,"aaa")</f>
        <v/>
      </c>
      <c r="D2002" s="94" t="inlineStr">
        <is>
          <t>네이버 GFA</t>
        </is>
      </c>
      <c r="E2002" s="94" t="inlineStr">
        <is>
          <t>선크림</t>
        </is>
      </c>
      <c r="G2002" s="91" t="n"/>
      <c r="J2002" s="129" t="n">
        <v>17612.72727272727</v>
      </c>
    </row>
    <row r="2003" hidden="1" customFormat="1" s="94">
      <c r="B2003" s="128" t="n">
        <v>44070</v>
      </c>
      <c r="C2003" s="94">
        <f>TEXT(B2003,"aaa")</f>
        <v/>
      </c>
      <c r="D2003" s="94" t="inlineStr">
        <is>
          <t>네이버 GFA</t>
        </is>
      </c>
      <c r="E2003" s="94" t="inlineStr">
        <is>
          <t>선크림</t>
        </is>
      </c>
      <c r="G2003" s="91" t="n"/>
      <c r="J2003" s="129" t="n">
        <v>35782.72727272727</v>
      </c>
    </row>
    <row r="2004" hidden="1" customFormat="1" s="94">
      <c r="B2004" s="128" t="n">
        <v>44071</v>
      </c>
      <c r="C2004" s="94">
        <f>TEXT(B2004,"aaa")</f>
        <v/>
      </c>
      <c r="D2004" s="94" t="inlineStr">
        <is>
          <t>네이버 GFA</t>
        </is>
      </c>
      <c r="E2004" s="94" t="inlineStr">
        <is>
          <t>선크림</t>
        </is>
      </c>
      <c r="G2004" s="91" t="n"/>
      <c r="J2004" s="129" t="n">
        <v>30262.72727272727</v>
      </c>
    </row>
    <row r="2005" hidden="1" customFormat="1" s="94">
      <c r="B2005" s="128" t="n">
        <v>44072</v>
      </c>
      <c r="C2005" s="94">
        <f>TEXT(B2005,"aaa")</f>
        <v/>
      </c>
      <c r="D2005" s="94" t="inlineStr">
        <is>
          <t>네이버 GFA</t>
        </is>
      </c>
      <c r="E2005" s="94" t="inlineStr">
        <is>
          <t>선크림</t>
        </is>
      </c>
      <c r="G2005" s="91" t="n"/>
      <c r="J2005" s="129" t="n">
        <v>34480</v>
      </c>
    </row>
    <row r="2006" hidden="1" customFormat="1" s="94">
      <c r="B2006" s="128" t="n">
        <v>44073</v>
      </c>
      <c r="C2006" s="94">
        <f>TEXT(B2006,"aaa")</f>
        <v/>
      </c>
      <c r="D2006" s="94" t="inlineStr">
        <is>
          <t>네이버 GFA</t>
        </is>
      </c>
      <c r="E2006" s="94" t="inlineStr">
        <is>
          <t>선크림</t>
        </is>
      </c>
      <c r="G2006" s="91" t="n"/>
      <c r="J2006" s="129" t="n">
        <v>32842.72727272727</v>
      </c>
    </row>
    <row r="2007" hidden="1" customFormat="1" s="94">
      <c r="B2007" s="128" t="n">
        <v>44074</v>
      </c>
      <c r="C2007" s="94">
        <f>TEXT(B2007,"aaa")</f>
        <v/>
      </c>
      <c r="D2007" s="94" t="inlineStr">
        <is>
          <t>네이버 GFA</t>
        </is>
      </c>
      <c r="E2007" s="94" t="inlineStr">
        <is>
          <t>선크림</t>
        </is>
      </c>
      <c r="G2007" s="91" t="n"/>
      <c r="J2007" s="129" t="n">
        <v>28893.63636363636</v>
      </c>
    </row>
    <row r="2008" hidden="1" customFormat="1" s="94">
      <c r="B2008" s="128" t="n">
        <v>44075</v>
      </c>
      <c r="C2008" s="94">
        <f>TEXT(B2008,"aaa")</f>
        <v/>
      </c>
      <c r="D2008" s="94" t="inlineStr">
        <is>
          <t>네이버 GFA</t>
        </is>
      </c>
      <c r="E2008" s="94" t="inlineStr">
        <is>
          <t>선크림</t>
        </is>
      </c>
      <c r="G2008" s="91" t="n"/>
      <c r="J2008" s="129" t="n">
        <v>34178.18181818182</v>
      </c>
    </row>
    <row r="2009" hidden="1" customFormat="1" s="94">
      <c r="B2009" s="128" t="n">
        <v>44076</v>
      </c>
      <c r="C2009" s="94">
        <f>TEXT(B2009,"aaa")</f>
        <v/>
      </c>
      <c r="D2009" s="94" t="inlineStr">
        <is>
          <t>네이버 GFA</t>
        </is>
      </c>
      <c r="E2009" s="94" t="inlineStr">
        <is>
          <t>선크림</t>
        </is>
      </c>
      <c r="G2009" s="91" t="n"/>
      <c r="J2009" s="129" t="n">
        <v>63110.90909090909</v>
      </c>
    </row>
    <row r="2010" hidden="1" customFormat="1" s="94">
      <c r="B2010" s="128" t="n">
        <v>44063</v>
      </c>
      <c r="C2010" s="94">
        <f>TEXT(B2010,"aaa")</f>
        <v/>
      </c>
      <c r="D2010" s="94" t="inlineStr">
        <is>
          <t>네이버 쇼핑검색</t>
        </is>
      </c>
      <c r="E2010" s="94" t="inlineStr">
        <is>
          <t>토너</t>
        </is>
      </c>
      <c r="G2010" s="91" t="n"/>
      <c r="J2010" s="129" t="n">
        <v>39570</v>
      </c>
    </row>
    <row r="2011" hidden="1" customFormat="1" s="94">
      <c r="B2011" s="128" t="n">
        <v>44064</v>
      </c>
      <c r="C2011" s="94">
        <f>TEXT(B2011,"aaa")</f>
        <v/>
      </c>
      <c r="D2011" s="94" t="inlineStr">
        <is>
          <t>네이버 쇼핑검색</t>
        </is>
      </c>
      <c r="E2011" s="94" t="inlineStr">
        <is>
          <t>토너</t>
        </is>
      </c>
      <c r="G2011" s="91" t="n"/>
      <c r="J2011" s="129" t="n">
        <v>32760</v>
      </c>
    </row>
    <row r="2012" hidden="1" customFormat="1" s="94">
      <c r="B2012" s="128" t="n">
        <v>44065</v>
      </c>
      <c r="C2012" s="94">
        <f>TEXT(B2012,"aaa")</f>
        <v/>
      </c>
      <c r="D2012" s="94" t="inlineStr">
        <is>
          <t>네이버 쇼핑검색</t>
        </is>
      </c>
      <c r="E2012" s="94" t="inlineStr">
        <is>
          <t>토너</t>
        </is>
      </c>
      <c r="G2012" s="91" t="n"/>
      <c r="J2012" s="129" t="n">
        <v>33820</v>
      </c>
    </row>
    <row r="2013" hidden="1" customFormat="1" s="94">
      <c r="B2013" s="128" t="n">
        <v>44066</v>
      </c>
      <c r="C2013" s="94">
        <f>TEXT(B2013,"aaa")</f>
        <v/>
      </c>
      <c r="D2013" s="94" t="inlineStr">
        <is>
          <t>네이버 쇼핑검색</t>
        </is>
      </c>
      <c r="E2013" s="94" t="inlineStr">
        <is>
          <t>토너</t>
        </is>
      </c>
      <c r="G2013" s="91" t="n"/>
      <c r="J2013" s="129" t="n">
        <v>43310</v>
      </c>
    </row>
    <row r="2014" hidden="1" customFormat="1" s="94">
      <c r="B2014" s="128" t="n">
        <v>44067</v>
      </c>
      <c r="C2014" s="94">
        <f>TEXT(B2014,"aaa")</f>
        <v/>
      </c>
      <c r="D2014" s="94" t="inlineStr">
        <is>
          <t>네이버 쇼핑검색</t>
        </is>
      </c>
      <c r="E2014" s="94" t="inlineStr">
        <is>
          <t>토너</t>
        </is>
      </c>
      <c r="G2014" s="91" t="n"/>
      <c r="J2014" s="129" t="n">
        <v>51589.99999999999</v>
      </c>
    </row>
    <row r="2015" hidden="1" customFormat="1" s="94">
      <c r="B2015" s="128" t="n">
        <v>44068</v>
      </c>
      <c r="C2015" s="94">
        <f>TEXT(B2015,"aaa")</f>
        <v/>
      </c>
      <c r="D2015" s="94" t="inlineStr">
        <is>
          <t>네이버 쇼핑검색</t>
        </is>
      </c>
      <c r="E2015" s="94" t="inlineStr">
        <is>
          <t>토너</t>
        </is>
      </c>
      <c r="G2015" s="91" t="n"/>
      <c r="J2015" s="129" t="n">
        <v>54609.99999999999</v>
      </c>
    </row>
    <row r="2016" hidden="1" customFormat="1" s="94">
      <c r="B2016" s="128" t="n">
        <v>44069</v>
      </c>
      <c r="C2016" s="94">
        <f>TEXT(B2016,"aaa")</f>
        <v/>
      </c>
      <c r="D2016" s="94" t="inlineStr">
        <is>
          <t>네이버 쇼핑검색</t>
        </is>
      </c>
      <c r="E2016" s="94" t="inlineStr">
        <is>
          <t>토너</t>
        </is>
      </c>
      <c r="G2016" s="91" t="n"/>
      <c r="J2016" s="129" t="n">
        <v>47649.99999999999</v>
      </c>
    </row>
    <row r="2017" hidden="1" customFormat="1" s="94">
      <c r="B2017" s="128" t="n">
        <v>44070</v>
      </c>
      <c r="C2017" s="94">
        <f>TEXT(B2017,"aaa")</f>
        <v/>
      </c>
      <c r="D2017" s="94" t="inlineStr">
        <is>
          <t>네이버 쇼핑검색</t>
        </is>
      </c>
      <c r="E2017" s="94" t="inlineStr">
        <is>
          <t>토너</t>
        </is>
      </c>
      <c r="G2017" s="91" t="n"/>
      <c r="J2017" s="129" t="n">
        <v>48399.99999999999</v>
      </c>
    </row>
    <row r="2018" hidden="1" customFormat="1" s="94">
      <c r="B2018" s="128" t="n">
        <v>44071</v>
      </c>
      <c r="C2018" s="94">
        <f>TEXT(B2018,"aaa")</f>
        <v/>
      </c>
      <c r="D2018" s="94" t="inlineStr">
        <is>
          <t>네이버 쇼핑검색</t>
        </is>
      </c>
      <c r="E2018" s="94" t="inlineStr">
        <is>
          <t>토너</t>
        </is>
      </c>
      <c r="G2018" s="91" t="n"/>
      <c r="J2018" s="129" t="n">
        <v>37770</v>
      </c>
    </row>
    <row r="2019" hidden="1" customFormat="1" s="94">
      <c r="B2019" s="128" t="n">
        <v>44072</v>
      </c>
      <c r="C2019" s="94">
        <f>TEXT(B2019,"aaa")</f>
        <v/>
      </c>
      <c r="D2019" s="94" t="inlineStr">
        <is>
          <t>네이버 쇼핑검색</t>
        </is>
      </c>
      <c r="E2019" s="94" t="inlineStr">
        <is>
          <t>토너</t>
        </is>
      </c>
      <c r="G2019" s="91" t="n"/>
      <c r="J2019" s="129" t="n">
        <v>34740</v>
      </c>
    </row>
    <row r="2020" hidden="1" customFormat="1" s="94">
      <c r="B2020" s="128" t="n">
        <v>44073</v>
      </c>
      <c r="C2020" s="94">
        <f>TEXT(B2020,"aaa")</f>
        <v/>
      </c>
      <c r="D2020" s="94" t="inlineStr">
        <is>
          <t>네이버 쇼핑검색</t>
        </is>
      </c>
      <c r="E2020" s="94" t="inlineStr">
        <is>
          <t>토너</t>
        </is>
      </c>
      <c r="G2020" s="91" t="n"/>
      <c r="J2020" s="129" t="n">
        <v>39880</v>
      </c>
    </row>
    <row r="2021" hidden="1" customFormat="1" s="94">
      <c r="B2021" s="128" t="n">
        <v>44074</v>
      </c>
      <c r="C2021" s="94">
        <f>TEXT(B2021,"aaa")</f>
        <v/>
      </c>
      <c r="D2021" s="94" t="inlineStr">
        <is>
          <t>네이버 쇼핑검색</t>
        </is>
      </c>
      <c r="E2021" s="94" t="inlineStr">
        <is>
          <t>토너</t>
        </is>
      </c>
      <c r="G2021" s="91" t="n"/>
      <c r="J2021" s="129" t="n">
        <v>47229.99999999999</v>
      </c>
    </row>
    <row r="2022" hidden="1" customFormat="1" s="94">
      <c r="B2022" s="128" t="n">
        <v>44075</v>
      </c>
      <c r="C2022" s="94">
        <f>TEXT(B2022,"aaa")</f>
        <v/>
      </c>
      <c r="D2022" s="94" t="inlineStr">
        <is>
          <t>네이버 쇼핑검색</t>
        </is>
      </c>
      <c r="E2022" s="94" t="inlineStr">
        <is>
          <t>토너</t>
        </is>
      </c>
      <c r="G2022" s="91" t="n"/>
      <c r="J2022" s="129" t="n">
        <v>47599.99999999999</v>
      </c>
    </row>
    <row r="2023" hidden="1" customFormat="1" s="94">
      <c r="B2023" s="128" t="n">
        <v>44076</v>
      </c>
      <c r="C2023" s="94">
        <f>TEXT(B2023,"aaa")</f>
        <v/>
      </c>
      <c r="D2023" s="94" t="inlineStr">
        <is>
          <t>네이버 쇼핑검색</t>
        </is>
      </c>
      <c r="E2023" s="94" t="inlineStr">
        <is>
          <t>토너</t>
        </is>
      </c>
      <c r="G2023" s="91" t="n"/>
      <c r="J2023" s="129" t="n">
        <v>38150</v>
      </c>
    </row>
    <row r="2024" hidden="1" customFormat="1" s="94">
      <c r="B2024" s="128" t="n">
        <v>44063</v>
      </c>
      <c r="C2024" s="94">
        <f>TEXT(B2024,"aaa")</f>
        <v/>
      </c>
      <c r="D2024" s="94" t="inlineStr">
        <is>
          <t>네이버 브랜드검색</t>
        </is>
      </c>
      <c r="E2024" s="94" t="inlineStr">
        <is>
          <t>토너</t>
        </is>
      </c>
      <c r="G2024" s="91" t="n"/>
      <c r="J2024" s="129" t="n">
        <v>50000</v>
      </c>
    </row>
    <row r="2025" hidden="1" customFormat="1" s="94">
      <c r="B2025" s="128" t="n">
        <v>44064</v>
      </c>
      <c r="C2025" s="94">
        <f>TEXT(B2025,"aaa")</f>
        <v/>
      </c>
      <c r="D2025" s="94" t="inlineStr">
        <is>
          <t>네이버 브랜드검색</t>
        </is>
      </c>
      <c r="E2025" s="94" t="inlineStr">
        <is>
          <t>토너</t>
        </is>
      </c>
      <c r="G2025" s="91" t="n"/>
      <c r="J2025" s="129" t="n">
        <v>50000</v>
      </c>
    </row>
    <row r="2026" hidden="1" customFormat="1" s="94">
      <c r="B2026" s="128" t="n">
        <v>44065</v>
      </c>
      <c r="C2026" s="94">
        <f>TEXT(B2026,"aaa")</f>
        <v/>
      </c>
      <c r="D2026" s="94" t="inlineStr">
        <is>
          <t>네이버 브랜드검색</t>
        </is>
      </c>
      <c r="E2026" s="94" t="inlineStr">
        <is>
          <t>토너</t>
        </is>
      </c>
      <c r="G2026" s="91" t="n"/>
      <c r="J2026" s="129" t="n">
        <v>50000</v>
      </c>
    </row>
    <row r="2027" hidden="1" customFormat="1" s="94">
      <c r="B2027" s="128" t="n">
        <v>44066</v>
      </c>
      <c r="C2027" s="94">
        <f>TEXT(B2027,"aaa")</f>
        <v/>
      </c>
      <c r="D2027" s="94" t="inlineStr">
        <is>
          <t>네이버 브랜드검색</t>
        </is>
      </c>
      <c r="E2027" s="94" t="inlineStr">
        <is>
          <t>토너</t>
        </is>
      </c>
      <c r="G2027" s="91" t="n"/>
      <c r="J2027" s="129" t="n">
        <v>50000</v>
      </c>
    </row>
    <row r="2028" hidden="1" customFormat="1" s="94">
      <c r="B2028" s="128" t="n">
        <v>44067</v>
      </c>
      <c r="C2028" s="94">
        <f>TEXT(B2028,"aaa")</f>
        <v/>
      </c>
      <c r="D2028" s="94" t="inlineStr">
        <is>
          <t>네이버 브랜드검색</t>
        </is>
      </c>
      <c r="E2028" s="94" t="inlineStr">
        <is>
          <t>토너</t>
        </is>
      </c>
      <c r="G2028" s="91" t="n"/>
      <c r="J2028" s="129" t="n">
        <v>50000</v>
      </c>
    </row>
    <row r="2029" hidden="1" customFormat="1" s="94">
      <c r="B2029" s="128" t="n">
        <v>44068</v>
      </c>
      <c r="C2029" s="94">
        <f>TEXT(B2029,"aaa")</f>
        <v/>
      </c>
      <c r="D2029" s="94" t="inlineStr">
        <is>
          <t>네이버 브랜드검색</t>
        </is>
      </c>
      <c r="E2029" s="94" t="inlineStr">
        <is>
          <t>토너</t>
        </is>
      </c>
      <c r="G2029" s="91" t="n"/>
      <c r="J2029" s="129" t="n">
        <v>50000</v>
      </c>
    </row>
    <row r="2030" hidden="1" customFormat="1" s="94">
      <c r="B2030" s="128" t="n">
        <v>44069</v>
      </c>
      <c r="C2030" s="94">
        <f>TEXT(B2030,"aaa")</f>
        <v/>
      </c>
      <c r="D2030" s="94" t="inlineStr">
        <is>
          <t>네이버 브랜드검색</t>
        </is>
      </c>
      <c r="E2030" s="94" t="inlineStr">
        <is>
          <t>토너</t>
        </is>
      </c>
      <c r="G2030" s="91" t="n"/>
      <c r="J2030" s="129" t="n">
        <v>50000</v>
      </c>
    </row>
    <row r="2031" hidden="1" customFormat="1" s="94">
      <c r="B2031" s="128" t="n">
        <v>44070</v>
      </c>
      <c r="C2031" s="94">
        <f>TEXT(B2031,"aaa")</f>
        <v/>
      </c>
      <c r="D2031" s="94" t="inlineStr">
        <is>
          <t>네이버 브랜드검색</t>
        </is>
      </c>
      <c r="E2031" s="94" t="inlineStr">
        <is>
          <t>토너</t>
        </is>
      </c>
      <c r="G2031" s="91" t="n"/>
      <c r="J2031" s="129" t="n">
        <v>50000</v>
      </c>
    </row>
    <row r="2032" hidden="1" customFormat="1" s="94">
      <c r="B2032" s="128" t="n">
        <v>44071</v>
      </c>
      <c r="C2032" s="94">
        <f>TEXT(B2032,"aaa")</f>
        <v/>
      </c>
      <c r="D2032" s="94" t="inlineStr">
        <is>
          <t>네이버 브랜드검색</t>
        </is>
      </c>
      <c r="E2032" s="94" t="inlineStr">
        <is>
          <t>토너</t>
        </is>
      </c>
      <c r="G2032" s="91" t="n"/>
      <c r="J2032" s="129" t="n">
        <v>50000</v>
      </c>
    </row>
    <row r="2033" hidden="1" customFormat="1" s="94">
      <c r="B2033" s="128" t="n">
        <v>44072</v>
      </c>
      <c r="C2033" s="94">
        <f>TEXT(B2033,"aaa")</f>
        <v/>
      </c>
      <c r="D2033" s="94" t="inlineStr">
        <is>
          <t>네이버 브랜드검색</t>
        </is>
      </c>
      <c r="E2033" s="94" t="inlineStr">
        <is>
          <t>토너</t>
        </is>
      </c>
      <c r="G2033" s="91" t="n"/>
      <c r="J2033" s="129" t="n">
        <v>50000</v>
      </c>
    </row>
    <row r="2034" hidden="1" customFormat="1" s="94">
      <c r="B2034" s="128" t="n">
        <v>44073</v>
      </c>
      <c r="C2034" s="94">
        <f>TEXT(B2034,"aaa")</f>
        <v/>
      </c>
      <c r="D2034" s="94" t="inlineStr">
        <is>
          <t>네이버 브랜드검색</t>
        </is>
      </c>
      <c r="E2034" s="94" t="inlineStr">
        <is>
          <t>토너</t>
        </is>
      </c>
      <c r="G2034" s="91" t="n"/>
      <c r="J2034" s="129" t="n">
        <v>50000</v>
      </c>
    </row>
    <row r="2035" hidden="1" customFormat="1" s="94">
      <c r="B2035" s="128" t="n">
        <v>44074</v>
      </c>
      <c r="C2035" s="94">
        <f>TEXT(B2035,"aaa")</f>
        <v/>
      </c>
      <c r="D2035" s="94" t="inlineStr">
        <is>
          <t>네이버 브랜드검색</t>
        </is>
      </c>
      <c r="E2035" s="94" t="inlineStr">
        <is>
          <t>토너</t>
        </is>
      </c>
      <c r="G2035" s="91" t="n"/>
      <c r="J2035" s="129" t="n">
        <v>50000</v>
      </c>
    </row>
    <row r="2036" hidden="1" customFormat="1" s="94">
      <c r="B2036" s="128" t="n">
        <v>44075</v>
      </c>
      <c r="C2036" s="94">
        <f>TEXT(B2036,"aaa")</f>
        <v/>
      </c>
      <c r="D2036" s="94" t="inlineStr">
        <is>
          <t>네이버 브랜드검색</t>
        </is>
      </c>
      <c r="E2036" s="94" t="inlineStr">
        <is>
          <t>토너</t>
        </is>
      </c>
      <c r="G2036" s="91" t="n"/>
      <c r="J2036" s="129" t="n">
        <v>50000</v>
      </c>
    </row>
    <row r="2037" hidden="1" customFormat="1" s="94">
      <c r="B2037" s="128" t="n">
        <v>44076</v>
      </c>
      <c r="C2037" s="94">
        <f>TEXT(B2037,"aaa")</f>
        <v/>
      </c>
      <c r="D2037" s="94" t="inlineStr">
        <is>
          <t>네이버 브랜드검색</t>
        </is>
      </c>
      <c r="E2037" s="94" t="inlineStr">
        <is>
          <t>토너</t>
        </is>
      </c>
      <c r="G2037" s="91" t="n"/>
      <c r="J2037" s="129" t="n">
        <v>50000</v>
      </c>
    </row>
    <row r="2038" hidden="1" customFormat="1" s="94">
      <c r="B2038" s="128" t="n">
        <v>44067</v>
      </c>
      <c r="C2038" s="94">
        <f>TEXT(B2038,"aaa")</f>
        <v/>
      </c>
      <c r="D2038" s="94" t="inlineStr">
        <is>
          <t>유튜브 디스커버리</t>
        </is>
      </c>
      <c r="E2038" s="94" t="inlineStr">
        <is>
          <t>토너</t>
        </is>
      </c>
      <c r="G2038" s="91" t="n"/>
      <c r="J2038" s="129" t="n">
        <v>1052805</v>
      </c>
    </row>
    <row r="2039" hidden="1" customFormat="1" s="94">
      <c r="B2039" s="128" t="n">
        <v>44068</v>
      </c>
      <c r="C2039" s="94">
        <f>TEXT(B2039,"aaa")</f>
        <v/>
      </c>
      <c r="D2039" s="94" t="inlineStr">
        <is>
          <t>유튜브 디스커버리</t>
        </is>
      </c>
      <c r="E2039" s="94" t="inlineStr">
        <is>
          <t>토너</t>
        </is>
      </c>
      <c r="G2039" s="91" t="n"/>
      <c r="J2039" s="129" t="n">
        <v>614892</v>
      </c>
    </row>
    <row r="2040" hidden="1" customFormat="1" s="94">
      <c r="B2040" s="128" t="n">
        <v>44069</v>
      </c>
      <c r="C2040" s="94">
        <f>TEXT(B2040,"aaa")</f>
        <v/>
      </c>
      <c r="D2040" s="94" t="inlineStr">
        <is>
          <t>유튜브 디스커버리</t>
        </is>
      </c>
      <c r="E2040" s="94" t="inlineStr">
        <is>
          <t>토너</t>
        </is>
      </c>
      <c r="G2040" s="91" t="n"/>
      <c r="J2040" s="129" t="n">
        <v>316320</v>
      </c>
    </row>
    <row r="2041" hidden="1" customFormat="1" s="94">
      <c r="B2041" s="128" t="n">
        <v>44070</v>
      </c>
      <c r="C2041" s="94">
        <f>TEXT(B2041,"aaa")</f>
        <v/>
      </c>
      <c r="D2041" s="94" t="inlineStr">
        <is>
          <t>유튜브 디스커버리</t>
        </is>
      </c>
      <c r="E2041" s="94" t="inlineStr">
        <is>
          <t>토너</t>
        </is>
      </c>
      <c r="G2041" s="91" t="n"/>
      <c r="J2041" s="129" t="n">
        <v>233538</v>
      </c>
    </row>
    <row r="2042" hidden="1" customFormat="1" s="94">
      <c r="B2042" s="128" t="n">
        <v>44071</v>
      </c>
      <c r="C2042" s="94">
        <f>TEXT(B2042,"aaa")</f>
        <v/>
      </c>
      <c r="D2042" s="94" t="inlineStr">
        <is>
          <t>유튜브 디스커버리</t>
        </is>
      </c>
      <c r="E2042" s="94" t="inlineStr">
        <is>
          <t>토너</t>
        </is>
      </c>
      <c r="G2042" s="91" t="n"/>
      <c r="J2042" s="129" t="n">
        <v>366135</v>
      </c>
    </row>
    <row r="2043" hidden="1" customFormat="1" s="94">
      <c r="B2043" s="128" t="n">
        <v>44072</v>
      </c>
      <c r="C2043" s="94">
        <f>TEXT(B2043,"aaa")</f>
        <v/>
      </c>
      <c r="D2043" s="94" t="inlineStr">
        <is>
          <t>유튜브 디스커버리</t>
        </is>
      </c>
      <c r="E2043" s="94" t="inlineStr">
        <is>
          <t>토너</t>
        </is>
      </c>
      <c r="G2043" s="91" t="n"/>
      <c r="J2043" s="129" t="n">
        <v>298485</v>
      </c>
    </row>
    <row r="2044" hidden="1" customFormat="1" s="94">
      <c r="B2044" s="128" t="n">
        <v>44073</v>
      </c>
      <c r="C2044" s="94">
        <f>TEXT(B2044,"aaa")</f>
        <v/>
      </c>
      <c r="D2044" s="94" t="inlineStr">
        <is>
          <t>유튜브 디스커버리</t>
        </is>
      </c>
      <c r="E2044" s="94" t="inlineStr">
        <is>
          <t>토너</t>
        </is>
      </c>
      <c r="G2044" s="91" t="n"/>
      <c r="J2044" s="129" t="n">
        <v>219144</v>
      </c>
    </row>
    <row r="2045" hidden="1" customFormat="1" s="94">
      <c r="B2045" s="128" t="n">
        <v>44074</v>
      </c>
      <c r="C2045" s="94">
        <f>TEXT(B2045,"aaa")</f>
        <v/>
      </c>
      <c r="D2045" s="94" t="inlineStr">
        <is>
          <t>유튜브 디스커버리</t>
        </is>
      </c>
      <c r="E2045" s="94" t="inlineStr">
        <is>
          <t>토너</t>
        </is>
      </c>
      <c r="G2045" s="91" t="n"/>
      <c r="J2045" s="129" t="n">
        <v>114132</v>
      </c>
    </row>
    <row r="2046" hidden="1" customFormat="1" s="94">
      <c r="B2046" s="128" t="n">
        <v>44075</v>
      </c>
      <c r="C2046" s="94">
        <f>TEXT(B2046,"aaa")</f>
        <v/>
      </c>
      <c r="D2046" s="94" t="inlineStr">
        <is>
          <t>유튜브 디스커버리</t>
        </is>
      </c>
      <c r="E2046" s="94" t="inlineStr">
        <is>
          <t>토너</t>
        </is>
      </c>
      <c r="G2046" s="91" t="n"/>
      <c r="J2046" s="129" t="n">
        <v>738334</v>
      </c>
      <c r="K2046" s="127" t="n"/>
    </row>
    <row r="2047" hidden="1" customFormat="1" s="94">
      <c r="B2047" s="128" t="n">
        <v>44067</v>
      </c>
      <c r="C2047" s="94">
        <f>TEXT(B2047,"aaa")</f>
        <v/>
      </c>
      <c r="D2047" s="94" t="inlineStr">
        <is>
          <t>유튜브 디스커버리(이미지)</t>
        </is>
      </c>
      <c r="E2047" s="94" t="inlineStr">
        <is>
          <t>토너</t>
        </is>
      </c>
      <c r="G2047" s="91" t="n"/>
      <c r="J2047" s="129" t="n">
        <v>350935</v>
      </c>
    </row>
    <row r="2048" hidden="1" customFormat="1" s="94">
      <c r="B2048" s="128" t="n">
        <v>44068</v>
      </c>
      <c r="C2048" s="94">
        <f>TEXT(B2048,"aaa")</f>
        <v/>
      </c>
      <c r="D2048" s="94" t="inlineStr">
        <is>
          <t>유튜브 디스커버리(이미지)</t>
        </is>
      </c>
      <c r="E2048" s="94" t="inlineStr">
        <is>
          <t>토너</t>
        </is>
      </c>
      <c r="G2048" s="91" t="n"/>
      <c r="J2048" s="129" t="n">
        <v>204964</v>
      </c>
    </row>
    <row r="2049" hidden="1" customFormat="1" s="94">
      <c r="B2049" s="128" t="n">
        <v>44069</v>
      </c>
      <c r="C2049" s="94">
        <f>TEXT(B2049,"aaa")</f>
        <v/>
      </c>
      <c r="D2049" s="94" t="inlineStr">
        <is>
          <t>유튜브 디스커버리(이미지)</t>
        </is>
      </c>
      <c r="E2049" s="94" t="inlineStr">
        <is>
          <t>토너</t>
        </is>
      </c>
      <c r="G2049" s="91" t="n"/>
      <c r="J2049" s="129" t="n">
        <v>105440</v>
      </c>
    </row>
    <row r="2050" hidden="1" customFormat="1" s="94">
      <c r="B2050" s="128" t="n">
        <v>44070</v>
      </c>
      <c r="C2050" s="94">
        <f>TEXT(B2050,"aaa")</f>
        <v/>
      </c>
      <c r="D2050" s="94" t="inlineStr">
        <is>
          <t>유튜브 디스커버리(이미지)</t>
        </is>
      </c>
      <c r="E2050" s="94" t="inlineStr">
        <is>
          <t>토너</t>
        </is>
      </c>
      <c r="G2050" s="91" t="n"/>
      <c r="J2050" s="129" t="n">
        <v>77846</v>
      </c>
    </row>
    <row r="2051" hidden="1" customFormat="1" s="94">
      <c r="B2051" s="128" t="n">
        <v>44071</v>
      </c>
      <c r="C2051" s="94">
        <f>TEXT(B2051,"aaa")</f>
        <v/>
      </c>
      <c r="D2051" s="94" t="inlineStr">
        <is>
          <t>유튜브 디스커버리(이미지)</t>
        </is>
      </c>
      <c r="E2051" s="94" t="inlineStr">
        <is>
          <t>토너</t>
        </is>
      </c>
      <c r="G2051" s="91" t="n"/>
      <c r="J2051" s="129" t="n">
        <v>122045</v>
      </c>
    </row>
    <row r="2052" hidden="1" customFormat="1" s="94">
      <c r="B2052" s="128" t="n">
        <v>44072</v>
      </c>
      <c r="C2052" s="94">
        <f>TEXT(B2052,"aaa")</f>
        <v/>
      </c>
      <c r="D2052" s="94" t="inlineStr">
        <is>
          <t>유튜브 디스커버리(이미지)</t>
        </is>
      </c>
      <c r="E2052" s="94" t="inlineStr">
        <is>
          <t>토너</t>
        </is>
      </c>
      <c r="G2052" s="91" t="n"/>
      <c r="J2052" s="129" t="n">
        <v>99495</v>
      </c>
    </row>
    <row r="2053" hidden="1" customFormat="1" s="94">
      <c r="B2053" s="128" t="n">
        <v>44073</v>
      </c>
      <c r="C2053" s="94">
        <f>TEXT(B2053,"aaa")</f>
        <v/>
      </c>
      <c r="D2053" s="94" t="inlineStr">
        <is>
          <t>유튜브 디스커버리(이미지)</t>
        </is>
      </c>
      <c r="E2053" s="94" t="inlineStr">
        <is>
          <t>토너</t>
        </is>
      </c>
      <c r="G2053" s="91" t="n"/>
      <c r="J2053" s="129" t="n">
        <v>73048</v>
      </c>
    </row>
    <row r="2054" hidden="1" customFormat="1" s="94">
      <c r="B2054" s="128" t="n">
        <v>44074</v>
      </c>
      <c r="C2054" s="94">
        <f>TEXT(B2054,"aaa")</f>
        <v/>
      </c>
      <c r="D2054" s="94" t="inlineStr">
        <is>
          <t>유튜브 디스커버리(이미지)</t>
        </is>
      </c>
      <c r="E2054" s="94" t="inlineStr">
        <is>
          <t>토너</t>
        </is>
      </c>
      <c r="G2054" s="91" t="n"/>
      <c r="J2054" s="129" t="n">
        <v>38044</v>
      </c>
    </row>
    <row r="2055" hidden="1" customFormat="1" s="94">
      <c r="B2055" s="128" t="n">
        <v>44075</v>
      </c>
      <c r="C2055" s="94">
        <f>TEXT(B2055,"aaa")</f>
        <v/>
      </c>
      <c r="D2055" s="94" t="inlineStr">
        <is>
          <t>유튜브 디스커버리(이미지)</t>
        </is>
      </c>
      <c r="E2055" s="94" t="inlineStr">
        <is>
          <t>토너</t>
        </is>
      </c>
      <c r="G2055" s="91" t="n"/>
      <c r="J2055" s="129" t="n">
        <v>3151</v>
      </c>
    </row>
    <row r="2056" hidden="1" customFormat="1" s="94">
      <c r="B2056" s="128" t="n">
        <v>44076</v>
      </c>
      <c r="C2056" s="94">
        <f>TEXT(B2056,"aaa")</f>
        <v/>
      </c>
      <c r="D2056" s="94" t="inlineStr">
        <is>
          <t>페이스북/인스타그램</t>
        </is>
      </c>
      <c r="E2056" s="94" t="inlineStr">
        <is>
          <t>토너</t>
        </is>
      </c>
      <c r="G2056" s="91" t="n"/>
      <c r="J2056" s="129" t="n">
        <v>273861</v>
      </c>
    </row>
    <row r="2057" hidden="1" customFormat="1" s="94">
      <c r="B2057" s="128" t="n">
        <v>44077</v>
      </c>
      <c r="C2057" s="94">
        <f>TEXT(B2057,"aaa")</f>
        <v/>
      </c>
      <c r="D2057" s="94" t="inlineStr">
        <is>
          <t>페이스북/인스타그램</t>
        </is>
      </c>
      <c r="E2057" s="94" t="inlineStr">
        <is>
          <t>토너</t>
        </is>
      </c>
      <c r="G2057" s="91" t="n"/>
      <c r="J2057" s="129" t="n">
        <v>275318</v>
      </c>
    </row>
    <row r="2058" hidden="1" customFormat="1" s="94">
      <c r="B2058" s="128" t="n">
        <v>44078</v>
      </c>
      <c r="C2058" s="94">
        <f>TEXT(B2058,"aaa")</f>
        <v/>
      </c>
      <c r="D2058" s="94" t="inlineStr">
        <is>
          <t>페이스북/인스타그램</t>
        </is>
      </c>
      <c r="E2058" s="94" t="inlineStr">
        <is>
          <t>토너</t>
        </is>
      </c>
      <c r="G2058" s="91" t="n"/>
      <c r="J2058" s="129" t="n">
        <v>270296</v>
      </c>
    </row>
    <row r="2059" hidden="1" customFormat="1" s="94">
      <c r="B2059" s="128" t="n">
        <v>44079</v>
      </c>
      <c r="C2059" s="94">
        <f>TEXT(B2059,"aaa")</f>
        <v/>
      </c>
      <c r="D2059" s="94" t="inlineStr">
        <is>
          <t>페이스북/인스타그램</t>
        </is>
      </c>
      <c r="E2059" s="94" t="inlineStr">
        <is>
          <t>토너</t>
        </is>
      </c>
      <c r="G2059" s="91" t="n"/>
      <c r="J2059" s="129" t="n">
        <v>161036</v>
      </c>
    </row>
    <row r="2060" hidden="1" customFormat="1" s="94">
      <c r="B2060" s="128" t="n">
        <v>44080</v>
      </c>
      <c r="C2060" s="94">
        <f>TEXT(B2060,"aaa")</f>
        <v/>
      </c>
      <c r="D2060" s="94" t="inlineStr">
        <is>
          <t>페이스북/인스타그램</t>
        </is>
      </c>
      <c r="E2060" s="94" t="inlineStr">
        <is>
          <t>토너</t>
        </is>
      </c>
      <c r="G2060" s="91" t="n"/>
      <c r="J2060" s="129" t="n">
        <v>213800</v>
      </c>
    </row>
    <row r="2061" hidden="1" customFormat="1" s="94">
      <c r="B2061" s="128" t="n">
        <v>44081</v>
      </c>
      <c r="C2061" s="94">
        <f>TEXT(B2061,"aaa")</f>
        <v/>
      </c>
      <c r="D2061" s="94" t="inlineStr">
        <is>
          <t>페이스북/인스타그램</t>
        </is>
      </c>
      <c r="E2061" s="94" t="inlineStr">
        <is>
          <t>토너</t>
        </is>
      </c>
      <c r="G2061" s="91" t="n"/>
      <c r="J2061" s="129" t="n">
        <v>266242</v>
      </c>
    </row>
    <row r="2062" hidden="1" customFormat="1" s="94">
      <c r="B2062" s="128" t="n">
        <v>44082</v>
      </c>
      <c r="C2062" s="94">
        <f>TEXT(B2062,"aaa")</f>
        <v/>
      </c>
      <c r="D2062" s="94" t="inlineStr">
        <is>
          <t>페이스북/인스타그램</t>
        </is>
      </c>
      <c r="E2062" s="94" t="inlineStr">
        <is>
          <t>토너</t>
        </is>
      </c>
      <c r="G2062" s="91" t="n"/>
      <c r="J2062" s="129" t="n">
        <v>267945</v>
      </c>
    </row>
    <row r="2063" hidden="1" customFormat="1" s="94">
      <c r="B2063" s="128" t="n">
        <v>44083</v>
      </c>
      <c r="C2063" s="94">
        <f>TEXT(B2063,"aaa")</f>
        <v/>
      </c>
      <c r="D2063" s="94" t="inlineStr">
        <is>
          <t>페이스북/인스타그램</t>
        </is>
      </c>
      <c r="E2063" s="94" t="inlineStr">
        <is>
          <t>토너</t>
        </is>
      </c>
      <c r="G2063" s="91" t="n"/>
      <c r="J2063" s="129" t="n">
        <v>279998</v>
      </c>
    </row>
    <row r="2064" hidden="1" customFormat="1" s="94">
      <c r="B2064" s="128" t="n">
        <v>44084</v>
      </c>
      <c r="C2064" s="94">
        <f>TEXT(B2064,"aaa")</f>
        <v/>
      </c>
      <c r="D2064" s="94" t="inlineStr">
        <is>
          <t>페이스북/인스타그램</t>
        </is>
      </c>
      <c r="E2064" s="94" t="inlineStr">
        <is>
          <t>토너</t>
        </is>
      </c>
      <c r="G2064" s="91" t="n"/>
      <c r="J2064" s="129" t="n">
        <v>271807</v>
      </c>
    </row>
    <row r="2065" hidden="1" customFormat="1" s="94">
      <c r="B2065" s="128" t="n">
        <v>44085</v>
      </c>
      <c r="C2065" s="94">
        <f>TEXT(B2065,"aaa")</f>
        <v/>
      </c>
      <c r="D2065" s="94" t="inlineStr">
        <is>
          <t>페이스북/인스타그램</t>
        </is>
      </c>
      <c r="E2065" s="94" t="inlineStr">
        <is>
          <t>토너</t>
        </is>
      </c>
      <c r="G2065" s="91" t="n"/>
      <c r="J2065" s="129" t="n">
        <v>231681</v>
      </c>
    </row>
    <row r="2066" hidden="1" customFormat="1" s="94">
      <c r="B2066" s="128" t="n">
        <v>44086</v>
      </c>
      <c r="C2066" s="94">
        <f>TEXT(B2066,"aaa")</f>
        <v/>
      </c>
      <c r="D2066" s="94" t="inlineStr">
        <is>
          <t>페이스북/인스타그램</t>
        </is>
      </c>
      <c r="E2066" s="94" t="inlineStr">
        <is>
          <t>토너</t>
        </is>
      </c>
      <c r="G2066" s="91" t="n"/>
      <c r="J2066" s="129" t="n">
        <v>154489</v>
      </c>
    </row>
    <row r="2067" hidden="1" customFormat="1" s="94">
      <c r="B2067" s="128" t="n">
        <v>44087</v>
      </c>
      <c r="C2067" s="94">
        <f>TEXT(B2067,"aaa")</f>
        <v/>
      </c>
      <c r="D2067" s="94" t="inlineStr">
        <is>
          <t>페이스북/인스타그램</t>
        </is>
      </c>
      <c r="E2067" s="94" t="inlineStr">
        <is>
          <t>토너</t>
        </is>
      </c>
      <c r="G2067" s="91" t="n"/>
      <c r="J2067" s="129" t="n">
        <v>206446</v>
      </c>
    </row>
    <row r="2068" hidden="1" customFormat="1" s="94">
      <c r="B2068" s="128" t="n">
        <v>44088</v>
      </c>
      <c r="C2068" s="94">
        <f>TEXT(B2068,"aaa")</f>
        <v/>
      </c>
      <c r="D2068" s="94" t="inlineStr">
        <is>
          <t>페이스북/인스타그램</t>
        </is>
      </c>
      <c r="E2068" s="94" t="inlineStr">
        <is>
          <t>토너</t>
        </is>
      </c>
      <c r="G2068" s="91" t="n"/>
      <c r="J2068" s="129" t="n">
        <v>252222</v>
      </c>
    </row>
    <row r="2069" hidden="1" customFormat="1" s="94">
      <c r="B2069" s="128" t="n">
        <v>44089</v>
      </c>
      <c r="C2069" s="94">
        <f>TEXT(B2069,"aaa")</f>
        <v/>
      </c>
      <c r="D2069" s="94" t="inlineStr">
        <is>
          <t>페이스북/인스타그램</t>
        </is>
      </c>
      <c r="E2069" s="94" t="inlineStr">
        <is>
          <t>토너</t>
        </is>
      </c>
      <c r="G2069" s="91" t="n"/>
      <c r="J2069" s="129" t="n">
        <v>254997</v>
      </c>
    </row>
    <row r="2070" hidden="1" customFormat="1" s="94">
      <c r="B2070" s="128" t="n">
        <v>44090</v>
      </c>
      <c r="C2070" s="94">
        <f>TEXT(B2070,"aaa")</f>
        <v/>
      </c>
      <c r="D2070" s="94" t="inlineStr">
        <is>
          <t>페이스북/인스타그램</t>
        </is>
      </c>
      <c r="E2070" s="94" t="inlineStr">
        <is>
          <t>토너</t>
        </is>
      </c>
      <c r="G2070" s="91" t="n"/>
      <c r="J2070" s="129" t="n">
        <v>258789</v>
      </c>
    </row>
    <row r="2071" hidden="1" customFormat="1" s="94">
      <c r="B2071" s="128" t="n">
        <v>44091</v>
      </c>
      <c r="C2071" s="94">
        <f>TEXT(B2071,"aaa")</f>
        <v/>
      </c>
      <c r="D2071" s="94" t="inlineStr">
        <is>
          <t>페이스북/인스타그램</t>
        </is>
      </c>
      <c r="E2071" s="94" t="inlineStr">
        <is>
          <t>토너</t>
        </is>
      </c>
      <c r="G2071" s="91" t="n"/>
      <c r="J2071" s="129" t="n">
        <v>251761</v>
      </c>
    </row>
    <row r="2072" hidden="1" customFormat="1" s="94">
      <c r="B2072" s="128" t="n">
        <v>44077</v>
      </c>
      <c r="C2072" s="94">
        <f>TEXT(B2072,"aaa")</f>
        <v/>
      </c>
      <c r="D2072" s="94" t="inlineStr">
        <is>
          <t>네이버 GFA</t>
        </is>
      </c>
      <c r="E2072" s="94" t="inlineStr">
        <is>
          <t>토너</t>
        </is>
      </c>
      <c r="G2072" s="91" t="n"/>
      <c r="J2072" s="129" t="n">
        <v>333464.5454545454</v>
      </c>
    </row>
    <row r="2073" hidden="1" customFormat="1" s="94">
      <c r="B2073" s="128" t="n">
        <v>44078</v>
      </c>
      <c r="C2073" s="94">
        <f>TEXT(B2073,"aaa")</f>
        <v/>
      </c>
      <c r="D2073" s="94" t="inlineStr">
        <is>
          <t>네이버 GFA</t>
        </is>
      </c>
      <c r="E2073" s="94" t="inlineStr">
        <is>
          <t>토너</t>
        </is>
      </c>
      <c r="G2073" s="91" t="n"/>
      <c r="J2073" s="129" t="n">
        <v>136250.9090909091</v>
      </c>
    </row>
    <row r="2074" hidden="1" customFormat="1" s="94">
      <c r="B2074" s="128" t="n">
        <v>44079</v>
      </c>
      <c r="C2074" s="94">
        <f>TEXT(B2074,"aaa")</f>
        <v/>
      </c>
      <c r="D2074" s="94" t="inlineStr">
        <is>
          <t>네이버 GFA</t>
        </is>
      </c>
      <c r="E2074" s="94" t="inlineStr">
        <is>
          <t>토너</t>
        </is>
      </c>
      <c r="G2074" s="91" t="n"/>
      <c r="J2074" s="129" t="n">
        <v>150902.7272727273</v>
      </c>
    </row>
    <row r="2075" hidden="1" customFormat="1" s="94">
      <c r="B2075" s="128" t="n">
        <v>44080</v>
      </c>
      <c r="C2075" s="94">
        <f>TEXT(B2075,"aaa")</f>
        <v/>
      </c>
      <c r="D2075" s="94" t="inlineStr">
        <is>
          <t>네이버 GFA</t>
        </is>
      </c>
      <c r="E2075" s="94" t="inlineStr">
        <is>
          <t>토너</t>
        </is>
      </c>
      <c r="G2075" s="91" t="n"/>
      <c r="J2075" s="129" t="n">
        <v>150136.3636363636</v>
      </c>
    </row>
    <row r="2076" hidden="1" customFormat="1" s="94">
      <c r="B2076" s="128" t="n">
        <v>44081</v>
      </c>
      <c r="C2076" s="94">
        <f>TEXT(B2076,"aaa")</f>
        <v/>
      </c>
      <c r="D2076" s="94" t="inlineStr">
        <is>
          <t>네이버 GFA</t>
        </is>
      </c>
      <c r="E2076" s="94" t="inlineStr">
        <is>
          <t>토너</t>
        </is>
      </c>
      <c r="G2076" s="91" t="n"/>
      <c r="J2076" s="129" t="n">
        <v>196039.0909090909</v>
      </c>
    </row>
    <row r="2077" hidden="1" customFormat="1" s="94">
      <c r="B2077" s="128" t="n">
        <v>44082</v>
      </c>
      <c r="C2077" s="94">
        <f>TEXT(B2077,"aaa")</f>
        <v/>
      </c>
      <c r="D2077" s="94" t="inlineStr">
        <is>
          <t>네이버 GFA</t>
        </is>
      </c>
      <c r="E2077" s="94" t="inlineStr">
        <is>
          <t>토너</t>
        </is>
      </c>
      <c r="G2077" s="91" t="n"/>
      <c r="J2077" s="129" t="n">
        <v>158441.8181818182</v>
      </c>
    </row>
    <row r="2078" hidden="1" customFormat="1" s="94">
      <c r="B2078" s="128" t="n">
        <v>44083</v>
      </c>
      <c r="C2078" s="94">
        <f>TEXT(B2078,"aaa")</f>
        <v/>
      </c>
      <c r="D2078" s="94" t="inlineStr">
        <is>
          <t>네이버 GFA</t>
        </is>
      </c>
      <c r="E2078" s="94" t="inlineStr">
        <is>
          <t>토너</t>
        </is>
      </c>
      <c r="G2078" s="91" t="n"/>
      <c r="J2078" s="129" t="n">
        <v>95989.0909090909</v>
      </c>
    </row>
    <row r="2079" hidden="1" customFormat="1" s="94">
      <c r="B2079" s="128" t="n">
        <v>44084</v>
      </c>
      <c r="C2079" s="94">
        <f>TEXT(B2079,"aaa")</f>
        <v/>
      </c>
      <c r="D2079" s="94" t="inlineStr">
        <is>
          <t>네이버 GFA</t>
        </is>
      </c>
      <c r="E2079" s="94" t="inlineStr">
        <is>
          <t>토너</t>
        </is>
      </c>
      <c r="G2079" s="91" t="n"/>
      <c r="J2079" s="129" t="n">
        <v>94370.90909090909</v>
      </c>
    </row>
    <row r="2080" hidden="1" customFormat="1" s="94">
      <c r="B2080" s="128" t="n">
        <v>44085</v>
      </c>
      <c r="C2080" s="94">
        <f>TEXT(B2080,"aaa")</f>
        <v/>
      </c>
      <c r="D2080" s="94" t="inlineStr">
        <is>
          <t>네이버 GFA</t>
        </is>
      </c>
      <c r="E2080" s="94" t="inlineStr">
        <is>
          <t>토너</t>
        </is>
      </c>
      <c r="G2080" s="91" t="n"/>
      <c r="J2080" s="129" t="n">
        <v>56099.99999999999</v>
      </c>
    </row>
    <row r="2081" hidden="1" customFormat="1" s="94">
      <c r="B2081" s="128" t="n">
        <v>44086</v>
      </c>
      <c r="C2081" s="94">
        <f>TEXT(B2081,"aaa")</f>
        <v/>
      </c>
      <c r="D2081" s="94" t="inlineStr">
        <is>
          <t>네이버 GFA</t>
        </is>
      </c>
      <c r="E2081" s="94" t="inlineStr">
        <is>
          <t>토너</t>
        </is>
      </c>
      <c r="G2081" s="91" t="n"/>
      <c r="J2081" s="129" t="n">
        <v>58006.36363636363</v>
      </c>
    </row>
    <row r="2082" hidden="1" customFormat="1" s="94">
      <c r="B2082" s="128" t="n">
        <v>44087</v>
      </c>
      <c r="C2082" s="94">
        <f>TEXT(B2082,"aaa")</f>
        <v/>
      </c>
      <c r="D2082" s="94" t="inlineStr">
        <is>
          <t>네이버 GFA</t>
        </is>
      </c>
      <c r="E2082" s="94" t="inlineStr">
        <is>
          <t>토너</t>
        </is>
      </c>
      <c r="G2082" s="91" t="n"/>
      <c r="J2082" s="129" t="n">
        <v>63279.99999999999</v>
      </c>
    </row>
    <row r="2083" hidden="1" customFormat="1" s="94">
      <c r="B2083" s="128" t="n">
        <v>44088</v>
      </c>
      <c r="C2083" s="94">
        <f>TEXT(B2083,"aaa")</f>
        <v/>
      </c>
      <c r="D2083" s="94" t="inlineStr">
        <is>
          <t>네이버 GFA</t>
        </is>
      </c>
      <c r="E2083" s="94" t="inlineStr">
        <is>
          <t>토너</t>
        </is>
      </c>
      <c r="G2083" s="91" t="n"/>
      <c r="J2083" s="129" t="n">
        <v>33799.0909090909</v>
      </c>
    </row>
    <row r="2084" hidden="1" customFormat="1" s="94">
      <c r="B2084" s="128" t="n">
        <v>44089</v>
      </c>
      <c r="C2084" s="94">
        <f>TEXT(B2084,"aaa")</f>
        <v/>
      </c>
      <c r="D2084" s="94" t="inlineStr">
        <is>
          <t>네이버 GFA</t>
        </is>
      </c>
      <c r="E2084" s="94" t="inlineStr">
        <is>
          <t>토너</t>
        </is>
      </c>
      <c r="G2084" s="91" t="n"/>
      <c r="J2084" s="129" t="n">
        <v>135907.2727272727</v>
      </c>
    </row>
    <row r="2085" hidden="1" customFormat="1" s="94">
      <c r="B2085" s="128" t="n">
        <v>44090</v>
      </c>
      <c r="C2085" s="94">
        <f>TEXT(B2085,"aaa")</f>
        <v/>
      </c>
      <c r="D2085" s="94" t="inlineStr">
        <is>
          <t>네이버 GFA</t>
        </is>
      </c>
      <c r="E2085" s="94" t="inlineStr">
        <is>
          <t>토너</t>
        </is>
      </c>
      <c r="G2085" s="91" t="n"/>
      <c r="J2085" s="129" t="n">
        <v>148635.4545454545</v>
      </c>
    </row>
    <row r="2086" hidden="1" customFormat="1" s="94">
      <c r="B2086" s="128" t="n">
        <v>44091</v>
      </c>
      <c r="C2086" s="94">
        <f>TEXT(B2086,"aaa")</f>
        <v/>
      </c>
      <c r="D2086" s="94" t="inlineStr">
        <is>
          <t>네이버 GFA</t>
        </is>
      </c>
      <c r="E2086" s="94" t="inlineStr">
        <is>
          <t>토너</t>
        </is>
      </c>
      <c r="G2086" s="91" t="n"/>
      <c r="J2086" s="129" t="n">
        <v>127749.0909090909</v>
      </c>
    </row>
    <row r="2087" hidden="1" customFormat="1" s="94">
      <c r="B2087" s="128" t="n">
        <v>44077</v>
      </c>
      <c r="C2087" s="94">
        <f>TEXT(B2087,"aaa")</f>
        <v/>
      </c>
      <c r="D2087" s="94" t="inlineStr">
        <is>
          <t>네이버 GFA</t>
        </is>
      </c>
      <c r="E2087" s="94" t="inlineStr">
        <is>
          <t>선크림</t>
        </is>
      </c>
      <c r="G2087" s="91" t="n"/>
      <c r="J2087" s="129" t="n">
        <v>42720</v>
      </c>
    </row>
    <row r="2088" hidden="1" customFormat="1" s="94">
      <c r="B2088" s="128" t="n">
        <v>44078</v>
      </c>
      <c r="C2088" s="94">
        <f>TEXT(B2088,"aaa")</f>
        <v/>
      </c>
      <c r="D2088" s="94" t="inlineStr">
        <is>
          <t>네이버 GFA</t>
        </is>
      </c>
      <c r="E2088" s="94" t="inlineStr">
        <is>
          <t>선크림</t>
        </is>
      </c>
      <c r="G2088" s="91" t="n"/>
      <c r="J2088" s="129" t="n">
        <v>17560.90909090909</v>
      </c>
    </row>
    <row r="2089" hidden="1" customFormat="1" s="94">
      <c r="B2089" s="128" t="n">
        <v>44079</v>
      </c>
      <c r="C2089" s="94">
        <f>TEXT(B2089,"aaa")</f>
        <v/>
      </c>
      <c r="D2089" s="94" t="inlineStr">
        <is>
          <t>네이버 GFA</t>
        </is>
      </c>
      <c r="E2089" s="94" t="inlineStr">
        <is>
          <t>선크림</t>
        </is>
      </c>
      <c r="G2089" s="91" t="n"/>
      <c r="J2089" s="129" t="n">
        <v>23557.27272727272</v>
      </c>
    </row>
    <row r="2090" hidden="1" customFormat="1" s="94">
      <c r="B2090" s="128" t="n">
        <v>44080</v>
      </c>
      <c r="C2090" s="94">
        <f>TEXT(B2090,"aaa")</f>
        <v/>
      </c>
      <c r="D2090" s="94" t="inlineStr">
        <is>
          <t>네이버 GFA</t>
        </is>
      </c>
      <c r="E2090" s="94" t="inlineStr">
        <is>
          <t>선크림</t>
        </is>
      </c>
      <c r="G2090" s="91" t="n"/>
      <c r="J2090" s="129" t="n">
        <v>30493.63636363636</v>
      </c>
    </row>
    <row r="2091" hidden="1" customFormat="1" s="94">
      <c r="B2091" s="128" t="n">
        <v>44081</v>
      </c>
      <c r="C2091" s="94">
        <f>TEXT(B2091,"aaa")</f>
        <v/>
      </c>
      <c r="D2091" s="94" t="inlineStr">
        <is>
          <t>네이버 GFA</t>
        </is>
      </c>
      <c r="E2091" s="94" t="inlineStr">
        <is>
          <t>선크림</t>
        </is>
      </c>
      <c r="G2091" s="91" t="n"/>
      <c r="J2091" s="129" t="n">
        <v>22386.36363636364</v>
      </c>
    </row>
    <row r="2092" hidden="1" customFormat="1" s="94">
      <c r="B2092" s="128" t="n">
        <v>44082</v>
      </c>
      <c r="C2092" s="94">
        <f>TEXT(B2092,"aaa")</f>
        <v/>
      </c>
      <c r="D2092" s="94" t="inlineStr">
        <is>
          <t>네이버 GFA</t>
        </is>
      </c>
      <c r="E2092" s="94" t="inlineStr">
        <is>
          <t>선크림</t>
        </is>
      </c>
      <c r="G2092" s="91" t="n"/>
      <c r="J2092" s="129" t="n">
        <v>15495.45454545454</v>
      </c>
    </row>
    <row r="2093" hidden="1" customFormat="1" s="94">
      <c r="B2093" s="128" t="n">
        <v>44083</v>
      </c>
      <c r="C2093" s="94">
        <f>TEXT(B2093,"aaa")</f>
        <v/>
      </c>
      <c r="D2093" s="94" t="inlineStr">
        <is>
          <t>네이버 GFA</t>
        </is>
      </c>
      <c r="E2093" s="94" t="inlineStr">
        <is>
          <t>선크림</t>
        </is>
      </c>
      <c r="G2093" s="91" t="n"/>
      <c r="J2093" s="129" t="n">
        <v>10581.81818181818</v>
      </c>
    </row>
    <row r="2094" hidden="1" customFormat="1" s="94">
      <c r="B2094" s="128" t="n">
        <v>44084</v>
      </c>
      <c r="C2094" s="94">
        <f>TEXT(B2094,"aaa")</f>
        <v/>
      </c>
      <c r="D2094" s="94" t="inlineStr">
        <is>
          <t>네이버 GFA</t>
        </is>
      </c>
      <c r="E2094" s="94" t="inlineStr">
        <is>
          <t>선크림</t>
        </is>
      </c>
      <c r="G2094" s="91" t="n"/>
      <c r="J2094" s="129" t="n">
        <v>3779.090909090909</v>
      </c>
    </row>
    <row r="2095" hidden="1" customFormat="1" s="94">
      <c r="B2095" s="128" t="n">
        <v>44085</v>
      </c>
      <c r="C2095" s="94">
        <f>TEXT(B2095,"aaa")</f>
        <v/>
      </c>
      <c r="D2095" s="94" t="inlineStr">
        <is>
          <t>네이버 GFA</t>
        </is>
      </c>
      <c r="E2095" s="94" t="inlineStr">
        <is>
          <t>선크림</t>
        </is>
      </c>
      <c r="G2095" s="91" t="n"/>
      <c r="J2095" s="129" t="n">
        <v>4013.636363636364</v>
      </c>
    </row>
    <row r="2096" hidden="1" customFormat="1" s="94">
      <c r="B2096" s="128" t="n">
        <v>44086</v>
      </c>
      <c r="C2096" s="94">
        <f>TEXT(B2096,"aaa")</f>
        <v/>
      </c>
      <c r="D2096" s="94" t="inlineStr">
        <is>
          <t>네이버 GFA</t>
        </is>
      </c>
      <c r="E2096" s="94" t="inlineStr">
        <is>
          <t>선크림</t>
        </is>
      </c>
      <c r="G2096" s="91" t="n"/>
      <c r="J2096" s="129" t="n">
        <v>12565.45454545454</v>
      </c>
    </row>
    <row r="2097" hidden="1" customFormat="1" s="94">
      <c r="B2097" s="128" t="n">
        <v>44087</v>
      </c>
      <c r="C2097" s="94">
        <f>TEXT(B2097,"aaa")</f>
        <v/>
      </c>
      <c r="D2097" s="94" t="inlineStr">
        <is>
          <t>네이버 GFA</t>
        </is>
      </c>
      <c r="E2097" s="94" t="inlineStr">
        <is>
          <t>선크림</t>
        </is>
      </c>
      <c r="G2097" s="91" t="n"/>
      <c r="J2097" s="129" t="n">
        <v>10719.09090909091</v>
      </c>
    </row>
    <row r="2098" hidden="1" customFormat="1" s="94">
      <c r="B2098" s="128" t="n">
        <v>44088</v>
      </c>
      <c r="C2098" s="94">
        <f>TEXT(B2098,"aaa")</f>
        <v/>
      </c>
      <c r="D2098" s="94" t="inlineStr">
        <is>
          <t>네이버 GFA</t>
        </is>
      </c>
      <c r="E2098" s="94" t="inlineStr">
        <is>
          <t>선크림</t>
        </is>
      </c>
      <c r="G2098" s="91" t="n"/>
      <c r="J2098" s="129" t="n">
        <v>2304.545454545455</v>
      </c>
    </row>
    <row r="2099" hidden="1" customFormat="1" s="94">
      <c r="B2099" s="128" t="n">
        <v>44089</v>
      </c>
      <c r="C2099" s="94">
        <f>TEXT(B2099,"aaa")</f>
        <v/>
      </c>
      <c r="D2099" s="94" t="inlineStr">
        <is>
          <t>네이버 GFA</t>
        </is>
      </c>
      <c r="E2099" s="94" t="inlineStr">
        <is>
          <t>선크림</t>
        </is>
      </c>
      <c r="G2099" s="91" t="n"/>
      <c r="J2099" s="129" t="n">
        <v>575.4545454545454</v>
      </c>
    </row>
    <row r="2100" hidden="1" customFormat="1" s="94">
      <c r="B2100" s="128" t="n">
        <v>44090</v>
      </c>
      <c r="C2100" s="94">
        <f>TEXT(B2100,"aaa")</f>
        <v/>
      </c>
      <c r="D2100" s="94" t="inlineStr">
        <is>
          <t>네이버 GFA</t>
        </is>
      </c>
      <c r="E2100" s="94" t="inlineStr">
        <is>
          <t>선크림</t>
        </is>
      </c>
      <c r="G2100" s="91" t="n"/>
      <c r="J2100" s="129" t="n">
        <v>291.8181818181818</v>
      </c>
    </row>
    <row r="2101" hidden="1" customFormat="1" s="94">
      <c r="B2101" s="128" t="n">
        <v>44077</v>
      </c>
      <c r="C2101" s="94">
        <f>TEXT(B2101,"aaa")</f>
        <v/>
      </c>
      <c r="D2101" s="94" t="inlineStr">
        <is>
          <t>네이버 쇼핑검색</t>
        </is>
      </c>
      <c r="E2101" s="94" t="inlineStr">
        <is>
          <t>토너</t>
        </is>
      </c>
      <c r="G2101" s="91" t="n"/>
      <c r="J2101" s="129" t="n">
        <v>42590</v>
      </c>
    </row>
    <row r="2102" hidden="1" customFormat="1" s="94">
      <c r="B2102" s="128" t="n">
        <v>44078</v>
      </c>
      <c r="C2102" s="94">
        <f>TEXT(B2102,"aaa")</f>
        <v/>
      </c>
      <c r="D2102" s="94" t="inlineStr">
        <is>
          <t>네이버 쇼핑검색</t>
        </is>
      </c>
      <c r="E2102" s="94" t="inlineStr">
        <is>
          <t>토너</t>
        </is>
      </c>
      <c r="G2102" s="91" t="n"/>
      <c r="J2102" s="129" t="n">
        <v>35400</v>
      </c>
    </row>
    <row r="2103" hidden="1" customFormat="1" s="94">
      <c r="B2103" s="128" t="n">
        <v>44079</v>
      </c>
      <c r="C2103" s="94">
        <f>TEXT(B2103,"aaa")</f>
        <v/>
      </c>
      <c r="D2103" s="94" t="inlineStr">
        <is>
          <t>네이버 쇼핑검색</t>
        </is>
      </c>
      <c r="E2103" s="94" t="inlineStr">
        <is>
          <t>토너</t>
        </is>
      </c>
      <c r="G2103" s="91" t="n"/>
      <c r="J2103" s="129" t="n">
        <v>28620</v>
      </c>
    </row>
    <row r="2104" hidden="1" customFormat="1" s="94">
      <c r="B2104" s="128" t="n">
        <v>44080</v>
      </c>
      <c r="C2104" s="94">
        <f>TEXT(B2104,"aaa")</f>
        <v/>
      </c>
      <c r="D2104" s="94" t="inlineStr">
        <is>
          <t>네이버 쇼핑검색</t>
        </is>
      </c>
      <c r="E2104" s="94" t="inlineStr">
        <is>
          <t>토너</t>
        </is>
      </c>
      <c r="G2104" s="91" t="n"/>
      <c r="J2104" s="129" t="n">
        <v>40030</v>
      </c>
    </row>
    <row r="2105" hidden="1" customFormat="1" s="94">
      <c r="B2105" s="128" t="n">
        <v>44081</v>
      </c>
      <c r="C2105" s="94">
        <f>TEXT(B2105,"aaa")</f>
        <v/>
      </c>
      <c r="D2105" s="94" t="inlineStr">
        <is>
          <t>네이버 쇼핑검색</t>
        </is>
      </c>
      <c r="E2105" s="94" t="inlineStr">
        <is>
          <t>토너</t>
        </is>
      </c>
      <c r="G2105" s="91" t="n"/>
      <c r="J2105" s="129" t="n">
        <v>43350</v>
      </c>
    </row>
    <row r="2106" hidden="1" customFormat="1" s="94">
      <c r="B2106" s="128" t="n">
        <v>44082</v>
      </c>
      <c r="C2106" s="94">
        <f>TEXT(B2106,"aaa")</f>
        <v/>
      </c>
      <c r="D2106" s="94" t="inlineStr">
        <is>
          <t>네이버 쇼핑검색</t>
        </is>
      </c>
      <c r="E2106" s="94" t="inlineStr">
        <is>
          <t>토너</t>
        </is>
      </c>
      <c r="G2106" s="91" t="n"/>
      <c r="J2106" s="129" t="n">
        <v>47769.99999999999</v>
      </c>
    </row>
    <row r="2107" hidden="1" customFormat="1" s="94">
      <c r="B2107" s="128" t="n">
        <v>44083</v>
      </c>
      <c r="C2107" s="94">
        <f>TEXT(B2107,"aaa")</f>
        <v/>
      </c>
      <c r="D2107" s="94" t="inlineStr">
        <is>
          <t>네이버 쇼핑검색</t>
        </is>
      </c>
      <c r="E2107" s="94" t="inlineStr">
        <is>
          <t>토너</t>
        </is>
      </c>
      <c r="G2107" s="91" t="n"/>
      <c r="J2107" s="129" t="n">
        <v>63949.99999999999</v>
      </c>
    </row>
    <row r="2108" hidden="1" customFormat="1" s="94">
      <c r="B2108" s="128" t="n">
        <v>44084</v>
      </c>
      <c r="C2108" s="94">
        <f>TEXT(B2108,"aaa")</f>
        <v/>
      </c>
      <c r="D2108" s="94" t="inlineStr">
        <is>
          <t>네이버 쇼핑검색</t>
        </is>
      </c>
      <c r="E2108" s="94" t="inlineStr">
        <is>
          <t>토너</t>
        </is>
      </c>
      <c r="G2108" s="91" t="n"/>
      <c r="J2108" s="129" t="n">
        <v>46359.99999999999</v>
      </c>
    </row>
    <row r="2109" hidden="1" customFormat="1" s="94">
      <c r="B2109" s="128" t="n">
        <v>44085</v>
      </c>
      <c r="C2109" s="94">
        <f>TEXT(B2109,"aaa")</f>
        <v/>
      </c>
      <c r="D2109" s="94" t="inlineStr">
        <is>
          <t>네이버 쇼핑검색</t>
        </is>
      </c>
      <c r="E2109" s="94" t="inlineStr">
        <is>
          <t>토너</t>
        </is>
      </c>
      <c r="G2109" s="91" t="n"/>
      <c r="J2109" s="129" t="n">
        <v>28480</v>
      </c>
    </row>
    <row r="2110" hidden="1" customFormat="1" s="94">
      <c r="B2110" s="128" t="n">
        <v>44086</v>
      </c>
      <c r="C2110" s="94">
        <f>TEXT(B2110,"aaa")</f>
        <v/>
      </c>
      <c r="D2110" s="94" t="inlineStr">
        <is>
          <t>네이버 쇼핑검색</t>
        </is>
      </c>
      <c r="E2110" s="94" t="inlineStr">
        <is>
          <t>토너</t>
        </is>
      </c>
      <c r="G2110" s="91" t="n"/>
      <c r="J2110" s="129" t="n">
        <v>26500</v>
      </c>
    </row>
    <row r="2111" hidden="1" customFormat="1" s="94">
      <c r="B2111" s="128" t="n">
        <v>44087</v>
      </c>
      <c r="C2111" s="94">
        <f>TEXT(B2111,"aaa")</f>
        <v/>
      </c>
      <c r="D2111" s="94" t="inlineStr">
        <is>
          <t>네이버 쇼핑검색</t>
        </is>
      </c>
      <c r="E2111" s="94" t="inlineStr">
        <is>
          <t>토너</t>
        </is>
      </c>
      <c r="G2111" s="91" t="n"/>
      <c r="J2111" s="129" t="n">
        <v>26850</v>
      </c>
    </row>
    <row r="2112" hidden="1" customFormat="1" s="94">
      <c r="B2112" s="128" t="n">
        <v>44088</v>
      </c>
      <c r="C2112" s="94">
        <f>TEXT(B2112,"aaa")</f>
        <v/>
      </c>
      <c r="D2112" s="94" t="inlineStr">
        <is>
          <t>네이버 쇼핑검색</t>
        </is>
      </c>
      <c r="E2112" s="94" t="inlineStr">
        <is>
          <t>토너</t>
        </is>
      </c>
      <c r="G2112" s="91" t="n"/>
      <c r="J2112" s="129" t="n">
        <v>34990</v>
      </c>
    </row>
    <row r="2113" hidden="1" customFormat="1" s="94">
      <c r="B2113" s="128" t="n">
        <v>44089</v>
      </c>
      <c r="C2113" s="94">
        <f>TEXT(B2113,"aaa")</f>
        <v/>
      </c>
      <c r="D2113" s="94" t="inlineStr">
        <is>
          <t>네이버 쇼핑검색</t>
        </is>
      </c>
      <c r="E2113" s="94" t="inlineStr">
        <is>
          <t>토너</t>
        </is>
      </c>
      <c r="G2113" s="91" t="n"/>
      <c r="J2113" s="129" t="n">
        <v>31640</v>
      </c>
    </row>
    <row r="2114" hidden="1" customFormat="1" s="94">
      <c r="B2114" s="128" t="n">
        <v>44090</v>
      </c>
      <c r="C2114" s="94">
        <f>TEXT(B2114,"aaa")</f>
        <v/>
      </c>
      <c r="D2114" s="94" t="inlineStr">
        <is>
          <t>네이버 쇼핑검색</t>
        </is>
      </c>
      <c r="E2114" s="94" t="inlineStr">
        <is>
          <t>토너</t>
        </is>
      </c>
      <c r="G2114" s="91" t="n"/>
      <c r="J2114" s="129" t="n">
        <v>21910</v>
      </c>
    </row>
    <row r="2115" hidden="1" customFormat="1" s="94">
      <c r="B2115" s="128" t="n">
        <v>44091</v>
      </c>
      <c r="C2115" s="94">
        <f>TEXT(B2115,"aaa")</f>
        <v/>
      </c>
      <c r="D2115" s="94" t="inlineStr">
        <is>
          <t>네이버 쇼핑검색</t>
        </is>
      </c>
      <c r="E2115" s="94" t="inlineStr">
        <is>
          <t>토너</t>
        </is>
      </c>
      <c r="G2115" s="91" t="n"/>
      <c r="J2115" s="129" t="n">
        <v>35530</v>
      </c>
    </row>
    <row r="2116" hidden="1" customFormat="1" s="94">
      <c r="B2116" s="128" t="n">
        <v>44077</v>
      </c>
      <c r="C2116" s="94">
        <f>TEXT(B2116,"aaa")</f>
        <v/>
      </c>
      <c r="D2116" s="94" t="inlineStr">
        <is>
          <t>네이버 브랜드검색</t>
        </is>
      </c>
      <c r="E2116" s="94" t="inlineStr">
        <is>
          <t>토너</t>
        </is>
      </c>
      <c r="G2116" s="91" t="n"/>
      <c r="J2116" s="129" t="n">
        <v>50000</v>
      </c>
    </row>
    <row r="2117" hidden="1" customFormat="1" s="94">
      <c r="B2117" s="128" t="n">
        <v>44078</v>
      </c>
      <c r="C2117" s="94">
        <f>TEXT(B2117,"aaa")</f>
        <v/>
      </c>
      <c r="D2117" s="94" t="inlineStr">
        <is>
          <t>네이버 브랜드검색</t>
        </is>
      </c>
      <c r="E2117" s="94" t="inlineStr">
        <is>
          <t>토너</t>
        </is>
      </c>
      <c r="G2117" s="91" t="n"/>
      <c r="J2117" s="129" t="n">
        <v>50000</v>
      </c>
    </row>
    <row r="2118" hidden="1" customFormat="1" s="94">
      <c r="B2118" s="128" t="n">
        <v>44079</v>
      </c>
      <c r="C2118" s="94">
        <f>TEXT(B2118,"aaa")</f>
        <v/>
      </c>
      <c r="D2118" s="94" t="inlineStr">
        <is>
          <t>네이버 브랜드검색</t>
        </is>
      </c>
      <c r="E2118" s="94" t="inlineStr">
        <is>
          <t>토너</t>
        </is>
      </c>
      <c r="G2118" s="91" t="n"/>
      <c r="J2118" s="129" t="n">
        <v>50000</v>
      </c>
    </row>
    <row r="2119" hidden="1" customFormat="1" s="94">
      <c r="B2119" s="128" t="n">
        <v>44080</v>
      </c>
      <c r="C2119" s="94">
        <f>TEXT(B2119,"aaa")</f>
        <v/>
      </c>
      <c r="D2119" s="94" t="inlineStr">
        <is>
          <t>네이버 브랜드검색</t>
        </is>
      </c>
      <c r="E2119" s="94" t="inlineStr">
        <is>
          <t>토너</t>
        </is>
      </c>
      <c r="G2119" s="91" t="n"/>
      <c r="J2119" s="129" t="n">
        <v>50000</v>
      </c>
    </row>
    <row r="2120" hidden="1" customFormat="1" s="94">
      <c r="B2120" s="128" t="n">
        <v>44081</v>
      </c>
      <c r="C2120" s="94">
        <f>TEXT(B2120,"aaa")</f>
        <v/>
      </c>
      <c r="D2120" s="94" t="inlineStr">
        <is>
          <t>네이버 브랜드검색</t>
        </is>
      </c>
      <c r="E2120" s="94" t="inlineStr">
        <is>
          <t>토너</t>
        </is>
      </c>
      <c r="G2120" s="91" t="n"/>
      <c r="J2120" s="129" t="n">
        <v>50000</v>
      </c>
    </row>
    <row r="2121" hidden="1" customFormat="1" s="94">
      <c r="B2121" s="128" t="n">
        <v>44082</v>
      </c>
      <c r="C2121" s="94">
        <f>TEXT(B2121,"aaa")</f>
        <v/>
      </c>
      <c r="D2121" s="94" t="inlineStr">
        <is>
          <t>네이버 브랜드검색</t>
        </is>
      </c>
      <c r="E2121" s="94" t="inlineStr">
        <is>
          <t>토너</t>
        </is>
      </c>
      <c r="G2121" s="91" t="n"/>
      <c r="J2121" s="129" t="n">
        <v>50000</v>
      </c>
    </row>
    <row r="2122" hidden="1" customFormat="1" s="94">
      <c r="B2122" s="128" t="n">
        <v>44083</v>
      </c>
      <c r="C2122" s="94">
        <f>TEXT(B2122,"aaa")</f>
        <v/>
      </c>
      <c r="D2122" s="94" t="inlineStr">
        <is>
          <t>네이버 브랜드검색</t>
        </is>
      </c>
      <c r="E2122" s="94" t="inlineStr">
        <is>
          <t>토너</t>
        </is>
      </c>
      <c r="G2122" s="91" t="n"/>
      <c r="J2122" s="129" t="n">
        <v>50000</v>
      </c>
    </row>
    <row r="2123" hidden="1" customFormat="1" s="94">
      <c r="B2123" s="128" t="n">
        <v>44084</v>
      </c>
      <c r="C2123" s="94">
        <f>TEXT(B2123,"aaa")</f>
        <v/>
      </c>
      <c r="D2123" s="94" t="inlineStr">
        <is>
          <t>네이버 브랜드검색</t>
        </is>
      </c>
      <c r="E2123" s="94" t="inlineStr">
        <is>
          <t>토너</t>
        </is>
      </c>
      <c r="G2123" s="91" t="n"/>
      <c r="J2123" s="129" t="n">
        <v>50000</v>
      </c>
    </row>
    <row r="2124" hidden="1" customFormat="1" s="94">
      <c r="B2124" s="128" t="n">
        <v>44085</v>
      </c>
      <c r="C2124" s="94">
        <f>TEXT(B2124,"aaa")</f>
        <v/>
      </c>
      <c r="D2124" s="94" t="inlineStr">
        <is>
          <t>네이버 브랜드검색</t>
        </is>
      </c>
      <c r="E2124" s="94" t="inlineStr">
        <is>
          <t>토너</t>
        </is>
      </c>
      <c r="G2124" s="91" t="n"/>
      <c r="J2124" s="129" t="n">
        <v>50000</v>
      </c>
    </row>
    <row r="2125" hidden="1" customFormat="1" s="94">
      <c r="B2125" s="128" t="n">
        <v>44086</v>
      </c>
      <c r="C2125" s="94">
        <f>TEXT(B2125,"aaa")</f>
        <v/>
      </c>
      <c r="D2125" s="94" t="inlineStr">
        <is>
          <t>네이버 브랜드검색</t>
        </is>
      </c>
      <c r="E2125" s="94" t="inlineStr">
        <is>
          <t>토너</t>
        </is>
      </c>
      <c r="G2125" s="91" t="n"/>
      <c r="J2125" s="129" t="n">
        <v>50000</v>
      </c>
    </row>
    <row r="2126" hidden="1" customFormat="1" s="94">
      <c r="B2126" s="128" t="n">
        <v>44087</v>
      </c>
      <c r="C2126" s="94">
        <f>TEXT(B2126,"aaa")</f>
        <v/>
      </c>
      <c r="D2126" s="94" t="inlineStr">
        <is>
          <t>네이버 브랜드검색</t>
        </is>
      </c>
      <c r="E2126" s="94" t="inlineStr">
        <is>
          <t>토너</t>
        </is>
      </c>
      <c r="G2126" s="91" t="n"/>
      <c r="J2126" s="129" t="n">
        <v>50000</v>
      </c>
    </row>
    <row r="2127" hidden="1" customFormat="1" s="94">
      <c r="B2127" s="128" t="n">
        <v>44088</v>
      </c>
      <c r="C2127" s="94">
        <f>TEXT(B2127,"aaa")</f>
        <v/>
      </c>
      <c r="D2127" s="94" t="inlineStr">
        <is>
          <t>네이버 브랜드검색</t>
        </is>
      </c>
      <c r="E2127" s="94" t="inlineStr">
        <is>
          <t>토너</t>
        </is>
      </c>
      <c r="G2127" s="91" t="n"/>
      <c r="J2127" s="129" t="n">
        <v>50000</v>
      </c>
    </row>
    <row r="2128" hidden="1" customFormat="1" s="94">
      <c r="B2128" s="128" t="n">
        <v>44089</v>
      </c>
      <c r="C2128" s="94">
        <f>TEXT(B2128,"aaa")</f>
        <v/>
      </c>
      <c r="D2128" s="94" t="inlineStr">
        <is>
          <t>네이버 브랜드검색</t>
        </is>
      </c>
      <c r="E2128" s="94" t="inlineStr">
        <is>
          <t>토너</t>
        </is>
      </c>
      <c r="G2128" s="91" t="n"/>
      <c r="J2128" s="129" t="n">
        <v>50000</v>
      </c>
    </row>
    <row r="2129" hidden="1" customFormat="1" s="94">
      <c r="B2129" s="128" t="n">
        <v>44090</v>
      </c>
      <c r="C2129" s="94">
        <f>TEXT(B2129,"aaa")</f>
        <v/>
      </c>
      <c r="D2129" s="94" t="inlineStr">
        <is>
          <t>네이버 브랜드검색</t>
        </is>
      </c>
      <c r="E2129" s="94" t="inlineStr">
        <is>
          <t>토너</t>
        </is>
      </c>
      <c r="G2129" s="91" t="n"/>
      <c r="J2129" s="129" t="n">
        <v>50000</v>
      </c>
    </row>
    <row r="2130" hidden="1" customFormat="1" s="94">
      <c r="B2130" s="128" t="n">
        <v>44091</v>
      </c>
      <c r="C2130" s="94">
        <f>TEXT(B2130,"aaa")</f>
        <v/>
      </c>
      <c r="D2130" s="94" t="inlineStr">
        <is>
          <t>네이버 브랜드검색</t>
        </is>
      </c>
      <c r="E2130" s="94" t="inlineStr">
        <is>
          <t>토너</t>
        </is>
      </c>
      <c r="G2130" s="91" t="n"/>
      <c r="J2130" s="129" t="n">
        <v>50000</v>
      </c>
    </row>
    <row r="2131" hidden="1" customFormat="1" s="94">
      <c r="B2131" s="128" t="n">
        <v>44089</v>
      </c>
      <c r="C2131" s="94">
        <f>TEXT(B2131,"aaa")</f>
        <v/>
      </c>
      <c r="D2131" s="94" t="inlineStr">
        <is>
          <t>유튜브 디스커버리</t>
        </is>
      </c>
      <c r="E2131" s="94" t="inlineStr">
        <is>
          <t>토너</t>
        </is>
      </c>
      <c r="G2131" s="91" t="n"/>
      <c r="J2131" s="129" t="n">
        <v>31727</v>
      </c>
    </row>
    <row r="2132" hidden="1" customFormat="1" s="94">
      <c r="B2132" s="128" t="n">
        <v>44090</v>
      </c>
      <c r="C2132" s="94">
        <f>TEXT(B2132,"aaa")</f>
        <v/>
      </c>
      <c r="D2132" s="94" t="inlineStr">
        <is>
          <t>유튜브 디스커버리</t>
        </is>
      </c>
      <c r="E2132" s="94" t="inlineStr">
        <is>
          <t>토너</t>
        </is>
      </c>
      <c r="G2132" s="91" t="n"/>
      <c r="J2132" s="129" t="n">
        <v>738585</v>
      </c>
    </row>
    <row r="2133" customFormat="1" s="94">
      <c r="B2133" s="128" t="n">
        <v>44089</v>
      </c>
      <c r="C2133" s="94">
        <f>TEXT(B2133,"aaa")</f>
        <v/>
      </c>
      <c r="D2133" s="94" t="inlineStr">
        <is>
          <t>카카오광고</t>
        </is>
      </c>
      <c r="E2133" s="94" t="inlineStr">
        <is>
          <t>토너</t>
        </is>
      </c>
      <c r="G2133" s="91" t="n"/>
      <c r="J2133" s="129" t="n">
        <v>2180</v>
      </c>
    </row>
    <row r="2134" customFormat="1" s="94">
      <c r="B2134" s="128" t="n">
        <v>44090</v>
      </c>
      <c r="C2134" s="94">
        <f>TEXT(B2134,"aaa")</f>
        <v/>
      </c>
      <c r="D2134" s="94" t="inlineStr">
        <is>
          <t>카카오광고</t>
        </is>
      </c>
      <c r="E2134" s="94" t="inlineStr">
        <is>
          <t>토너</t>
        </is>
      </c>
      <c r="G2134" s="91" t="n"/>
      <c r="J2134" s="129" t="n">
        <v>11020</v>
      </c>
    </row>
    <row r="2135" customFormat="1" s="94">
      <c r="B2135" s="128" t="n">
        <v>44091</v>
      </c>
      <c r="C2135" s="94">
        <f>TEXT(B2135,"aaa")</f>
        <v/>
      </c>
      <c r="D2135" s="94" t="inlineStr">
        <is>
          <t>카카오광고</t>
        </is>
      </c>
      <c r="E2135" s="94" t="inlineStr">
        <is>
          <t>토너</t>
        </is>
      </c>
      <c r="G2135" s="91" t="n"/>
      <c r="J2135" s="129" t="n">
        <v>13340</v>
      </c>
    </row>
    <row r="2136" hidden="1" customFormat="1" s="94">
      <c r="B2136" s="128" t="n">
        <v>44083</v>
      </c>
      <c r="C2136" s="94">
        <f>TEXT(B2136,"aaa")</f>
        <v/>
      </c>
      <c r="D2136" s="94" t="inlineStr">
        <is>
          <t>카카오톡 메시지</t>
        </is>
      </c>
      <c r="E2136" s="94" t="inlineStr">
        <is>
          <t>토너패드</t>
        </is>
      </c>
      <c r="G2136" s="91" t="n"/>
      <c r="J2136" s="70">
        <f>23451*15</f>
        <v/>
      </c>
      <c r="K2136" s="70" t="n"/>
    </row>
    <row r="2137" hidden="1" customFormat="1" s="94">
      <c r="B2137" s="128" t="n">
        <v>44088</v>
      </c>
      <c r="C2137" s="94">
        <f>TEXT(B2137,"aaa")</f>
        <v/>
      </c>
      <c r="D2137" s="94" t="inlineStr">
        <is>
          <t>카카오톡 메시지</t>
        </is>
      </c>
      <c r="E2137" s="94" t="inlineStr">
        <is>
          <t>토너패드</t>
        </is>
      </c>
      <c r="G2137" s="91" t="n"/>
      <c r="J2137" s="70" t="n">
        <v>355035</v>
      </c>
      <c r="K2137" s="70" t="n"/>
    </row>
    <row r="2138" hidden="1" customFormat="1" s="94">
      <c r="B2138" s="128" t="n">
        <v>44090</v>
      </c>
      <c r="C2138" s="94">
        <f>TEXT(B2138,"aaa")</f>
        <v/>
      </c>
      <c r="D2138" s="94" t="inlineStr">
        <is>
          <t>카카오톡 메시지</t>
        </is>
      </c>
      <c r="E2138" s="94" t="inlineStr">
        <is>
          <t>토너패드</t>
        </is>
      </c>
      <c r="G2138" s="91" t="n"/>
      <c r="J2138" s="70" t="n">
        <v>355305</v>
      </c>
      <c r="K2138" s="70" t="n"/>
    </row>
    <row r="2139" hidden="1" customFormat="1" s="94">
      <c r="B2139" s="128" t="n">
        <v>44091</v>
      </c>
      <c r="C2139" s="94">
        <f>TEXT(B2139,"aaa")</f>
        <v/>
      </c>
      <c r="D2139" s="94" t="inlineStr">
        <is>
          <t>카카오톡 메시지</t>
        </is>
      </c>
      <c r="E2139" s="94" t="inlineStr">
        <is>
          <t>토너패드</t>
        </is>
      </c>
      <c r="G2139" s="91" t="n"/>
      <c r="J2139" s="129">
        <f>30*20</f>
        <v/>
      </c>
    </row>
    <row r="2140" hidden="1" customFormat="1" s="94">
      <c r="B2140" s="128" t="n">
        <v>44081</v>
      </c>
      <c r="C2140" s="94">
        <f>TEXT(B2140,"aaa")</f>
        <v/>
      </c>
      <c r="D2140" s="94" t="inlineStr">
        <is>
          <t>문자대표</t>
        </is>
      </c>
      <c r="E2140" s="94" t="inlineStr">
        <is>
          <t>토너</t>
        </is>
      </c>
      <c r="G2140" s="91" t="n"/>
      <c r="J2140" s="129">
        <f>18*70</f>
        <v/>
      </c>
    </row>
    <row r="2141" hidden="1" customFormat="1" s="94">
      <c r="B2141" s="128" t="n">
        <v>44085</v>
      </c>
      <c r="C2141" s="94">
        <f>TEXT(B2141,"aaa")</f>
        <v/>
      </c>
      <c r="D2141" s="94" t="inlineStr">
        <is>
          <t>문자대표</t>
        </is>
      </c>
      <c r="E2141" s="94" t="inlineStr">
        <is>
          <t>토너</t>
        </is>
      </c>
      <c r="G2141" s="91" t="n"/>
      <c r="J2141" s="129">
        <f>31*70</f>
        <v/>
      </c>
    </row>
    <row r="2142" hidden="1" customFormat="1" s="94">
      <c r="B2142" s="128" t="n">
        <v>44088</v>
      </c>
      <c r="C2142" s="94">
        <f>TEXT(B2142,"aaa")</f>
        <v/>
      </c>
      <c r="D2142" s="94" t="inlineStr">
        <is>
          <t>문자대표</t>
        </is>
      </c>
      <c r="E2142" s="94" t="inlineStr">
        <is>
          <t>토너</t>
        </is>
      </c>
      <c r="G2142" s="91" t="n"/>
      <c r="J2142" s="129" t="n">
        <v>280</v>
      </c>
    </row>
    <row r="2143" hidden="1" customFormat="1" s="94">
      <c r="B2143" s="128" t="n">
        <v>44091</v>
      </c>
      <c r="C2143" s="94">
        <f>TEXT(B2143,"aaa")</f>
        <v/>
      </c>
      <c r="D2143" s="94" t="inlineStr">
        <is>
          <t>문자대표</t>
        </is>
      </c>
      <c r="E2143" s="94" t="inlineStr">
        <is>
          <t>토너</t>
        </is>
      </c>
      <c r="G2143" s="91" t="n"/>
      <c r="J2143" s="129">
        <f>336*70</f>
        <v/>
      </c>
    </row>
    <row r="2144" hidden="1" customFormat="1" s="94">
      <c r="B2144" s="128" t="n">
        <v>44076</v>
      </c>
      <c r="C2144" s="94">
        <f>TEXT(B2144,"aaa")</f>
        <v/>
      </c>
      <c r="D2144" s="94" t="inlineStr">
        <is>
          <t>페이스북/인스타그램</t>
        </is>
      </c>
      <c r="E2144" s="94" t="inlineStr">
        <is>
          <t>앰플</t>
        </is>
      </c>
      <c r="G2144" s="91" t="n"/>
      <c r="J2144" s="129" t="n">
        <v>185516</v>
      </c>
    </row>
    <row r="2145" hidden="1" customFormat="1" s="94">
      <c r="B2145" s="128" t="n">
        <v>44077</v>
      </c>
      <c r="C2145" s="94">
        <f>TEXT(B2145,"aaa")</f>
        <v/>
      </c>
      <c r="D2145" s="94" t="inlineStr">
        <is>
          <t>페이스북/인스타그램</t>
        </is>
      </c>
      <c r="E2145" s="94" t="inlineStr">
        <is>
          <t>앰플</t>
        </is>
      </c>
      <c r="G2145" s="91" t="n"/>
      <c r="J2145" s="129" t="n">
        <v>331815</v>
      </c>
    </row>
    <row r="2146" hidden="1" customFormat="1" s="94">
      <c r="B2146" s="128" t="n">
        <v>44078</v>
      </c>
      <c r="C2146" s="94">
        <f>TEXT(B2146,"aaa")</f>
        <v/>
      </c>
      <c r="D2146" s="94" t="inlineStr">
        <is>
          <t>페이스북/인스타그램</t>
        </is>
      </c>
      <c r="E2146" s="94" t="inlineStr">
        <is>
          <t>앰플</t>
        </is>
      </c>
      <c r="G2146" s="91" t="n"/>
      <c r="J2146" s="94" t="n">
        <v>335937</v>
      </c>
    </row>
    <row r="2147" hidden="1" customFormat="1" s="94">
      <c r="B2147" s="128" t="n">
        <v>44079</v>
      </c>
      <c r="C2147" s="94">
        <f>TEXT(B2147,"aaa")</f>
        <v/>
      </c>
      <c r="D2147" s="94" t="inlineStr">
        <is>
          <t>페이스북/인스타그램</t>
        </is>
      </c>
      <c r="E2147" s="94" t="inlineStr">
        <is>
          <t>앰플</t>
        </is>
      </c>
      <c r="G2147" s="91" t="n"/>
      <c r="J2147" s="94" t="n">
        <v>213015</v>
      </c>
    </row>
    <row r="2148" hidden="1" customFormat="1" s="94">
      <c r="B2148" s="128" t="n">
        <v>44080</v>
      </c>
      <c r="C2148" s="94">
        <f>TEXT(B2148,"aaa")</f>
        <v/>
      </c>
      <c r="D2148" s="94" t="inlineStr">
        <is>
          <t>페이스북/인스타그램</t>
        </is>
      </c>
      <c r="E2148" s="94" t="inlineStr">
        <is>
          <t>앰플</t>
        </is>
      </c>
      <c r="G2148" s="91" t="n"/>
      <c r="J2148" s="94" t="n">
        <v>312072</v>
      </c>
    </row>
    <row r="2149" hidden="1" customFormat="1" s="94">
      <c r="B2149" s="128" t="n">
        <v>44081</v>
      </c>
      <c r="C2149" s="94">
        <f>TEXT(B2149,"aaa")</f>
        <v/>
      </c>
      <c r="D2149" s="94" t="inlineStr">
        <is>
          <t>페이스북/인스타그램</t>
        </is>
      </c>
      <c r="E2149" s="94" t="inlineStr">
        <is>
          <t>앰플</t>
        </is>
      </c>
      <c r="G2149" s="91" t="n"/>
      <c r="J2149" s="94" t="n">
        <v>719466</v>
      </c>
    </row>
    <row r="2150" hidden="1" customFormat="1" s="94">
      <c r="B2150" s="128" t="n">
        <v>44082</v>
      </c>
      <c r="C2150" s="94">
        <f>TEXT(B2150,"aaa")</f>
        <v/>
      </c>
      <c r="D2150" s="94" t="inlineStr">
        <is>
          <t>페이스북/인스타그램</t>
        </is>
      </c>
      <c r="E2150" s="94" t="inlineStr">
        <is>
          <t>앰플</t>
        </is>
      </c>
      <c r="G2150" s="91" t="n"/>
      <c r="J2150" s="94" t="n">
        <v>744020</v>
      </c>
    </row>
    <row r="2151" hidden="1" customFormat="1" s="94">
      <c r="B2151" s="128" t="n">
        <v>44083</v>
      </c>
      <c r="C2151" s="94">
        <f>TEXT(B2151,"aaa")</f>
        <v/>
      </c>
      <c r="D2151" s="94" t="inlineStr">
        <is>
          <t>페이스북/인스타그램</t>
        </is>
      </c>
      <c r="E2151" s="94" t="inlineStr">
        <is>
          <t>앰플</t>
        </is>
      </c>
      <c r="G2151" s="91" t="n"/>
      <c r="J2151" s="94" t="n">
        <v>552089</v>
      </c>
    </row>
    <row r="2152" hidden="1" customFormat="1" s="94">
      <c r="B2152" s="128" t="n">
        <v>44084</v>
      </c>
      <c r="C2152" s="94">
        <f>TEXT(B2152,"aaa")</f>
        <v/>
      </c>
      <c r="D2152" s="94" t="inlineStr">
        <is>
          <t>페이스북/인스타그램</t>
        </is>
      </c>
      <c r="E2152" s="94" t="inlineStr">
        <is>
          <t>앰플</t>
        </is>
      </c>
      <c r="G2152" s="91" t="n"/>
      <c r="J2152" s="94" t="n">
        <v>445261</v>
      </c>
    </row>
    <row r="2153" hidden="1" customFormat="1" s="94">
      <c r="B2153" s="128" t="n">
        <v>44085</v>
      </c>
      <c r="C2153" s="94">
        <f>TEXT(B2153,"aaa")</f>
        <v/>
      </c>
      <c r="D2153" s="94" t="inlineStr">
        <is>
          <t>페이스북/인스타그램</t>
        </is>
      </c>
      <c r="E2153" s="94" t="inlineStr">
        <is>
          <t>앰플</t>
        </is>
      </c>
      <c r="G2153" s="91" t="n"/>
      <c r="J2153" s="94" t="n">
        <v>105830</v>
      </c>
    </row>
    <row r="2154" hidden="1" customFormat="1" s="94">
      <c r="B2154" s="128" t="n">
        <v>44091</v>
      </c>
      <c r="C2154" s="94">
        <f>TEXT(B2154,"aaa")</f>
        <v/>
      </c>
      <c r="D2154" s="94" t="inlineStr">
        <is>
          <t>페이스북/인스타그램</t>
        </is>
      </c>
      <c r="E2154" s="94" t="inlineStr">
        <is>
          <t>앰플</t>
        </is>
      </c>
      <c r="G2154" s="91" t="n"/>
      <c r="J2154" s="94" t="n">
        <v>216683</v>
      </c>
    </row>
    <row r="2155" hidden="1" customFormat="1" s="94">
      <c r="B2155" s="128" t="n">
        <v>44092</v>
      </c>
      <c r="C2155" s="94">
        <f>TEXT(B2155,"aaa")</f>
        <v/>
      </c>
      <c r="D2155" s="94" t="inlineStr">
        <is>
          <t>페이스북/인스타그램</t>
        </is>
      </c>
      <c r="E2155" s="94" t="inlineStr">
        <is>
          <t>토너</t>
        </is>
      </c>
      <c r="G2155" s="91" t="n"/>
      <c r="J2155" s="129" t="n">
        <v>235543</v>
      </c>
    </row>
    <row r="2156" hidden="1" customFormat="1" s="94">
      <c r="B2156" s="128" t="n">
        <v>44093</v>
      </c>
      <c r="C2156" s="94">
        <f>TEXT(B2156,"aaa")</f>
        <v/>
      </c>
      <c r="D2156" s="94" t="inlineStr">
        <is>
          <t>페이스북/인스타그램</t>
        </is>
      </c>
      <c r="E2156" s="94" t="inlineStr">
        <is>
          <t>토너</t>
        </is>
      </c>
      <c r="G2156" s="91" t="n"/>
      <c r="J2156" s="129" t="n">
        <v>148761</v>
      </c>
    </row>
    <row r="2157" hidden="1" customFormat="1" s="94">
      <c r="B2157" s="128" t="n">
        <v>44094</v>
      </c>
      <c r="C2157" s="94">
        <f>TEXT(B2157,"aaa")</f>
        <v/>
      </c>
      <c r="D2157" s="94" t="inlineStr">
        <is>
          <t>페이스북/인스타그램</t>
        </is>
      </c>
      <c r="E2157" s="94" t="inlineStr">
        <is>
          <t>토너</t>
        </is>
      </c>
      <c r="G2157" s="91" t="n"/>
      <c r="J2157" s="129" t="n">
        <v>208582</v>
      </c>
    </row>
    <row r="2158" hidden="1" customFormat="1" s="94">
      <c r="B2158" s="128" t="n">
        <v>44095</v>
      </c>
      <c r="C2158" s="94">
        <f>TEXT(B2158,"aaa")</f>
        <v/>
      </c>
      <c r="D2158" s="94" t="inlineStr">
        <is>
          <t>페이스북/인스타그램</t>
        </is>
      </c>
      <c r="E2158" s="94" t="inlineStr">
        <is>
          <t>토너</t>
        </is>
      </c>
      <c r="G2158" s="91" t="n"/>
      <c r="J2158" s="129" t="n">
        <v>246690</v>
      </c>
    </row>
    <row r="2159" hidden="1" customFormat="1" s="94">
      <c r="B2159" s="128" t="n">
        <v>44096</v>
      </c>
      <c r="C2159" s="94">
        <f>TEXT(B2159,"aaa")</f>
        <v/>
      </c>
      <c r="D2159" s="94" t="inlineStr">
        <is>
          <t>페이스북/인스타그램</t>
        </is>
      </c>
      <c r="E2159" s="94" t="inlineStr">
        <is>
          <t>토너</t>
        </is>
      </c>
      <c r="G2159" s="91" t="n"/>
      <c r="J2159" s="129" t="n">
        <v>253011</v>
      </c>
    </row>
    <row r="2160" hidden="1" customFormat="1" s="94">
      <c r="B2160" s="128" t="n">
        <v>44097</v>
      </c>
      <c r="C2160" s="94">
        <f>TEXT(B2160,"aaa")</f>
        <v/>
      </c>
      <c r="D2160" s="94" t="inlineStr">
        <is>
          <t>페이스북/인스타그램</t>
        </is>
      </c>
      <c r="E2160" s="94" t="inlineStr">
        <is>
          <t>토너</t>
        </is>
      </c>
      <c r="G2160" s="91" t="n"/>
      <c r="J2160" s="129" t="n">
        <v>254590</v>
      </c>
    </row>
    <row r="2161" hidden="1" customFormat="1" s="94">
      <c r="B2161" s="128" t="n">
        <v>44098</v>
      </c>
      <c r="C2161" s="94">
        <f>TEXT(B2161,"aaa")</f>
        <v/>
      </c>
      <c r="D2161" s="94" t="inlineStr">
        <is>
          <t>페이스북/인스타그램</t>
        </is>
      </c>
      <c r="E2161" s="94" t="inlineStr">
        <is>
          <t>토너</t>
        </is>
      </c>
      <c r="G2161" s="91" t="n"/>
      <c r="J2161" s="129" t="n">
        <v>211902</v>
      </c>
    </row>
    <row r="2162" hidden="1" customFormat="1" s="94">
      <c r="B2162" s="128" t="n">
        <v>44099</v>
      </c>
      <c r="C2162" s="94">
        <f>TEXT(B2162,"aaa")</f>
        <v/>
      </c>
      <c r="D2162" s="94" t="inlineStr">
        <is>
          <t>페이스북/인스타그램</t>
        </is>
      </c>
      <c r="E2162" s="94" t="inlineStr">
        <is>
          <t>토너</t>
        </is>
      </c>
      <c r="G2162" s="91" t="n"/>
      <c r="J2162" s="129" t="n">
        <v>158698</v>
      </c>
    </row>
    <row r="2163" hidden="1" customFormat="1" s="94">
      <c r="B2163" s="128" t="n">
        <v>44100</v>
      </c>
      <c r="C2163" s="94">
        <f>TEXT(B2163,"aaa")</f>
        <v/>
      </c>
      <c r="D2163" s="94" t="inlineStr">
        <is>
          <t>페이스북/인스타그램</t>
        </is>
      </c>
      <c r="E2163" s="94" t="inlineStr">
        <is>
          <t>토너</t>
        </is>
      </c>
      <c r="G2163" s="91" t="n"/>
      <c r="J2163" s="129" t="n">
        <v>100022</v>
      </c>
    </row>
    <row r="2164" hidden="1" customFormat="1" s="94">
      <c r="B2164" s="128" t="n">
        <v>44101</v>
      </c>
      <c r="C2164" s="94">
        <f>TEXT(B2164,"aaa")</f>
        <v/>
      </c>
      <c r="D2164" s="94" t="inlineStr">
        <is>
          <t>페이스북/인스타그램</t>
        </is>
      </c>
      <c r="E2164" s="94" t="inlineStr">
        <is>
          <t>토너</t>
        </is>
      </c>
      <c r="G2164" s="91" t="n"/>
      <c r="J2164" s="129" t="n">
        <v>71603</v>
      </c>
    </row>
    <row r="2165" hidden="1" customFormat="1" s="94">
      <c r="B2165" s="128" t="n">
        <v>44102</v>
      </c>
      <c r="C2165" s="94">
        <f>TEXT(B2165,"aaa")</f>
        <v/>
      </c>
      <c r="D2165" s="94" t="inlineStr">
        <is>
          <t>페이스북/인스타그램</t>
        </is>
      </c>
      <c r="E2165" s="94" t="inlineStr">
        <is>
          <t>토너</t>
        </is>
      </c>
      <c r="G2165" s="91" t="n"/>
      <c r="J2165" s="129" t="n">
        <v>102072</v>
      </c>
    </row>
    <row r="2166" hidden="1" customFormat="1" s="94">
      <c r="B2166" s="128" t="n">
        <v>44103</v>
      </c>
      <c r="C2166" s="94">
        <f>TEXT(B2166,"aaa")</f>
        <v/>
      </c>
      <c r="D2166" s="94" t="inlineStr">
        <is>
          <t>페이스북/인스타그램</t>
        </is>
      </c>
      <c r="E2166" s="94" t="inlineStr">
        <is>
          <t>토너</t>
        </is>
      </c>
      <c r="G2166" s="91" t="n"/>
      <c r="J2166" s="129" t="n">
        <v>102929</v>
      </c>
    </row>
    <row r="2167" hidden="1" customFormat="1" s="94">
      <c r="B2167" s="128" t="n">
        <v>44104</v>
      </c>
      <c r="C2167" s="94">
        <f>TEXT(B2167,"aaa")</f>
        <v/>
      </c>
      <c r="D2167" s="94" t="inlineStr">
        <is>
          <t>페이스북/인스타그램</t>
        </is>
      </c>
      <c r="E2167" s="94" t="inlineStr">
        <is>
          <t>토너</t>
        </is>
      </c>
      <c r="G2167" s="91" t="n"/>
      <c r="J2167" s="129" t="n">
        <v>103665</v>
      </c>
    </row>
    <row r="2168" hidden="1" customFormat="1" s="94">
      <c r="B2168" s="128" t="n">
        <v>44105</v>
      </c>
      <c r="C2168" s="94">
        <f>TEXT(B2168,"aaa")</f>
        <v/>
      </c>
      <c r="D2168" s="94" t="inlineStr">
        <is>
          <t>페이스북/인스타그램</t>
        </is>
      </c>
      <c r="E2168" s="94" t="inlineStr">
        <is>
          <t>토너</t>
        </is>
      </c>
      <c r="G2168" s="91" t="n"/>
      <c r="J2168" s="129" t="n">
        <v>105706</v>
      </c>
    </row>
    <row r="2169" hidden="1" customFormat="1" s="94">
      <c r="B2169" s="128" t="n">
        <v>44106</v>
      </c>
      <c r="C2169" s="94">
        <f>TEXT(B2169,"aaa")</f>
        <v/>
      </c>
      <c r="D2169" s="94" t="inlineStr">
        <is>
          <t>페이스북/인스타그램</t>
        </is>
      </c>
      <c r="E2169" s="94" t="inlineStr">
        <is>
          <t>토너</t>
        </is>
      </c>
      <c r="G2169" s="91" t="n"/>
      <c r="J2169" s="129" t="n">
        <v>106104</v>
      </c>
    </row>
    <row r="2170" hidden="1" customFormat="1" s="94">
      <c r="B2170" s="128" t="n">
        <v>44107</v>
      </c>
      <c r="C2170" s="94">
        <f>TEXT(B2170,"aaa")</f>
        <v/>
      </c>
      <c r="D2170" s="94" t="inlineStr">
        <is>
          <t>페이스북/인스타그램</t>
        </is>
      </c>
      <c r="E2170" s="94" t="inlineStr">
        <is>
          <t>토너</t>
        </is>
      </c>
      <c r="G2170" s="91" t="n"/>
      <c r="J2170" s="129" t="n">
        <v>107897</v>
      </c>
    </row>
    <row r="2171" hidden="1" customFormat="1" s="94">
      <c r="B2171" s="128" t="n">
        <v>44108</v>
      </c>
      <c r="C2171" s="94">
        <f>TEXT(B2171,"aaa")</f>
        <v/>
      </c>
      <c r="D2171" s="94" t="inlineStr">
        <is>
          <t>페이스북/인스타그램</t>
        </is>
      </c>
      <c r="E2171" s="94" t="inlineStr">
        <is>
          <t>토너</t>
        </is>
      </c>
      <c r="G2171" s="91" t="n"/>
      <c r="J2171" s="129" t="n">
        <v>100068</v>
      </c>
    </row>
    <row r="2172" hidden="1" customFormat="1" s="94">
      <c r="B2172" s="128" t="n">
        <v>44097</v>
      </c>
      <c r="C2172" s="94">
        <f>TEXT(B2172,"aaa")</f>
        <v/>
      </c>
      <c r="D2172" s="94" t="inlineStr">
        <is>
          <t>페이스북/인스타그램</t>
        </is>
      </c>
      <c r="E2172" s="94" t="inlineStr">
        <is>
          <t>토너로션</t>
        </is>
      </c>
      <c r="G2172" s="91" t="n"/>
      <c r="J2172" s="129" t="n">
        <v>19472</v>
      </c>
    </row>
    <row r="2173" hidden="1" customFormat="1" s="94">
      <c r="B2173" s="128" t="n">
        <v>44098</v>
      </c>
      <c r="C2173" s="94">
        <f>TEXT(B2173,"aaa")</f>
        <v/>
      </c>
      <c r="D2173" s="94" t="inlineStr">
        <is>
          <t>페이스북/인스타그램</t>
        </is>
      </c>
      <c r="E2173" s="94" t="inlineStr">
        <is>
          <t>토너로션</t>
        </is>
      </c>
      <c r="G2173" s="91" t="n"/>
      <c r="J2173" s="129" t="n">
        <v>96089</v>
      </c>
    </row>
    <row r="2174" hidden="1" customFormat="1" s="94">
      <c r="B2174" s="128" t="n">
        <v>44099</v>
      </c>
      <c r="C2174" s="94">
        <f>TEXT(B2174,"aaa")</f>
        <v/>
      </c>
      <c r="D2174" s="94" t="inlineStr">
        <is>
          <t>페이스북/인스타그램</t>
        </is>
      </c>
      <c r="E2174" s="94" t="inlineStr">
        <is>
          <t>토너로션</t>
        </is>
      </c>
      <c r="G2174" s="91" t="n"/>
      <c r="J2174" s="129" t="n">
        <v>154130</v>
      </c>
    </row>
    <row r="2175" hidden="1" customFormat="1" s="94">
      <c r="B2175" s="128" t="n">
        <v>44100</v>
      </c>
      <c r="C2175" s="94">
        <f>TEXT(B2175,"aaa")</f>
        <v/>
      </c>
      <c r="D2175" s="94" t="inlineStr">
        <is>
          <t>페이스북/인스타그램</t>
        </is>
      </c>
      <c r="E2175" s="94" t="inlineStr">
        <is>
          <t>토너로션</t>
        </is>
      </c>
      <c r="G2175" s="91" t="n"/>
      <c r="J2175" s="129" t="n">
        <v>185811</v>
      </c>
    </row>
    <row r="2176" hidden="1" customFormat="1" s="94">
      <c r="B2176" s="128" t="n">
        <v>44101</v>
      </c>
      <c r="C2176" s="94">
        <f>TEXT(B2176,"aaa")</f>
        <v/>
      </c>
      <c r="D2176" s="94" t="inlineStr">
        <is>
          <t>페이스북/인스타그램</t>
        </is>
      </c>
      <c r="E2176" s="94" t="inlineStr">
        <is>
          <t>토너로션</t>
        </is>
      </c>
      <c r="G2176" s="91" t="n"/>
      <c r="J2176" s="129" t="n">
        <v>265705</v>
      </c>
    </row>
    <row r="2177" hidden="1" customFormat="1" s="94">
      <c r="B2177" s="128" t="n">
        <v>44095</v>
      </c>
      <c r="C2177" s="94">
        <f>TEXT(B2177,"aaa")</f>
        <v/>
      </c>
      <c r="D2177" s="94" t="inlineStr">
        <is>
          <t>페이스북/인스타그램</t>
        </is>
      </c>
      <c r="E2177" s="94" t="inlineStr">
        <is>
          <t>토너패드</t>
        </is>
      </c>
      <c r="G2177" s="91" t="n"/>
      <c r="J2177" s="129" t="n">
        <v>177775</v>
      </c>
    </row>
    <row r="2178" hidden="1" customFormat="1" s="94">
      <c r="B2178" s="128" t="n">
        <v>44096</v>
      </c>
      <c r="C2178" s="94">
        <f>TEXT(B2178,"aaa")</f>
        <v/>
      </c>
      <c r="D2178" s="94" t="inlineStr">
        <is>
          <t>페이스북/인스타그램</t>
        </is>
      </c>
      <c r="E2178" s="94" t="inlineStr">
        <is>
          <t>토너패드</t>
        </is>
      </c>
      <c r="G2178" s="91" t="n"/>
      <c r="J2178" s="129" t="n">
        <v>306041</v>
      </c>
    </row>
    <row r="2179" hidden="1" customFormat="1" s="94">
      <c r="B2179" s="128" t="n">
        <v>44097</v>
      </c>
      <c r="C2179" s="94">
        <f>TEXT(B2179,"aaa")</f>
        <v/>
      </c>
      <c r="D2179" s="94" t="inlineStr">
        <is>
          <t>페이스북/인스타그램</t>
        </is>
      </c>
      <c r="E2179" s="94" t="inlineStr">
        <is>
          <t>토너패드</t>
        </is>
      </c>
      <c r="G2179" s="91" t="n"/>
      <c r="J2179" s="129" t="n">
        <v>433832</v>
      </c>
    </row>
    <row r="2180" hidden="1" customFormat="1" s="94">
      <c r="B2180" s="128" t="n">
        <v>44098</v>
      </c>
      <c r="C2180" s="94">
        <f>TEXT(B2180,"aaa")</f>
        <v/>
      </c>
      <c r="D2180" s="94" t="inlineStr">
        <is>
          <t>페이스북/인스타그램</t>
        </is>
      </c>
      <c r="E2180" s="94" t="inlineStr">
        <is>
          <t>토너패드</t>
        </is>
      </c>
      <c r="G2180" s="91" t="n"/>
      <c r="J2180" s="129" t="n">
        <v>603519</v>
      </c>
    </row>
    <row r="2181" hidden="1" customFormat="1" s="94">
      <c r="B2181" s="128" t="n">
        <v>44099</v>
      </c>
      <c r="C2181" s="94">
        <f>TEXT(B2181,"aaa")</f>
        <v/>
      </c>
      <c r="D2181" s="94" t="inlineStr">
        <is>
          <t>페이스북/인스타그램</t>
        </is>
      </c>
      <c r="E2181" s="94" t="inlineStr">
        <is>
          <t>토너패드</t>
        </is>
      </c>
      <c r="G2181" s="91" t="n"/>
      <c r="J2181" s="129" t="n">
        <v>570376</v>
      </c>
    </row>
    <row r="2182" hidden="1" customFormat="1" s="94">
      <c r="B2182" s="128" t="n">
        <v>44100</v>
      </c>
      <c r="C2182" s="94">
        <f>TEXT(B2182,"aaa")</f>
        <v/>
      </c>
      <c r="D2182" s="94" t="inlineStr">
        <is>
          <t>페이스북/인스타그램</t>
        </is>
      </c>
      <c r="E2182" s="94" t="inlineStr">
        <is>
          <t>토너패드</t>
        </is>
      </c>
      <c r="G2182" s="91" t="n"/>
      <c r="J2182" s="129" t="n">
        <v>392415</v>
      </c>
    </row>
    <row r="2183" hidden="1" customFormat="1" s="94">
      <c r="B2183" s="128" t="n">
        <v>44101</v>
      </c>
      <c r="C2183" s="94">
        <f>TEXT(B2183,"aaa")</f>
        <v/>
      </c>
      <c r="D2183" s="94" t="inlineStr">
        <is>
          <t>페이스북/인스타그램</t>
        </is>
      </c>
      <c r="E2183" s="94" t="inlineStr">
        <is>
          <t>토너패드</t>
        </is>
      </c>
      <c r="G2183" s="91" t="n"/>
      <c r="J2183" s="129" t="n">
        <v>680858</v>
      </c>
    </row>
    <row r="2184" hidden="1" customFormat="1" s="94">
      <c r="B2184" s="128" t="n">
        <v>44102</v>
      </c>
      <c r="C2184" s="94">
        <f>TEXT(B2184,"aaa")</f>
        <v/>
      </c>
      <c r="D2184" s="94" t="inlineStr">
        <is>
          <t>페이스북/인스타그램</t>
        </is>
      </c>
      <c r="E2184" s="94" t="inlineStr">
        <is>
          <t>토너패드</t>
        </is>
      </c>
      <c r="G2184" s="91" t="n"/>
      <c r="J2184" s="129" t="n">
        <v>740050</v>
      </c>
    </row>
    <row r="2185" hidden="1" customFormat="1" s="94">
      <c r="B2185" s="128" t="n">
        <v>44103</v>
      </c>
      <c r="C2185" s="94">
        <f>TEXT(B2185,"aaa")</f>
        <v/>
      </c>
      <c r="D2185" s="94" t="inlineStr">
        <is>
          <t>페이스북/인스타그램</t>
        </is>
      </c>
      <c r="E2185" s="94" t="inlineStr">
        <is>
          <t>토너패드</t>
        </is>
      </c>
      <c r="G2185" s="91" t="n"/>
      <c r="J2185" s="129" t="n">
        <v>465992</v>
      </c>
    </row>
    <row r="2186" hidden="1" customFormat="1" s="94">
      <c r="B2186" s="128" t="n">
        <v>44104</v>
      </c>
      <c r="C2186" s="94">
        <f>TEXT(B2186,"aaa")</f>
        <v/>
      </c>
      <c r="D2186" s="94" t="inlineStr">
        <is>
          <t>페이스북/인스타그램</t>
        </is>
      </c>
      <c r="E2186" s="94" t="inlineStr">
        <is>
          <t>토너패드</t>
        </is>
      </c>
      <c r="G2186" s="91" t="n"/>
      <c r="J2186" s="129" t="n">
        <v>232280</v>
      </c>
    </row>
    <row r="2187" hidden="1" customFormat="1" s="94">
      <c r="B2187" s="128" t="n">
        <v>44105</v>
      </c>
      <c r="C2187" s="94">
        <f>TEXT(B2187,"aaa")</f>
        <v/>
      </c>
      <c r="D2187" s="94" t="inlineStr">
        <is>
          <t>페이스북/인스타그램</t>
        </is>
      </c>
      <c r="E2187" s="94" t="inlineStr">
        <is>
          <t>토너패드</t>
        </is>
      </c>
      <c r="G2187" s="91" t="n"/>
      <c r="J2187" s="129" t="n">
        <v>197082</v>
      </c>
    </row>
    <row r="2188" hidden="1" customFormat="1" s="94">
      <c r="B2188" s="128" t="n">
        <v>44106</v>
      </c>
      <c r="C2188" s="94">
        <f>TEXT(B2188,"aaa")</f>
        <v/>
      </c>
      <c r="D2188" s="94" t="inlineStr">
        <is>
          <t>페이스북/인스타그램</t>
        </is>
      </c>
      <c r="E2188" s="94" t="inlineStr">
        <is>
          <t>토너패드</t>
        </is>
      </c>
      <c r="G2188" s="91" t="n"/>
      <c r="J2188" s="129" t="n">
        <v>196868</v>
      </c>
    </row>
    <row r="2189" hidden="1" customFormat="1" s="94">
      <c r="B2189" s="128" t="n">
        <v>44107</v>
      </c>
      <c r="C2189" s="94">
        <f>TEXT(B2189,"aaa")</f>
        <v/>
      </c>
      <c r="D2189" s="94" t="inlineStr">
        <is>
          <t>페이스북/인스타그램</t>
        </is>
      </c>
      <c r="E2189" s="94" t="inlineStr">
        <is>
          <t>토너패드</t>
        </is>
      </c>
      <c r="G2189" s="91" t="n"/>
      <c r="J2189" s="129" t="n">
        <v>253700</v>
      </c>
    </row>
    <row r="2190" hidden="1" customFormat="1" s="94">
      <c r="B2190" s="128" t="n">
        <v>44108</v>
      </c>
      <c r="C2190" s="94">
        <f>TEXT(B2190,"aaa")</f>
        <v/>
      </c>
      <c r="D2190" s="94" t="inlineStr">
        <is>
          <t>페이스북/인스타그램</t>
        </is>
      </c>
      <c r="E2190" s="94" t="inlineStr">
        <is>
          <t>토너패드</t>
        </is>
      </c>
      <c r="G2190" s="91" t="n"/>
      <c r="J2190" s="129" t="n">
        <v>529548</v>
      </c>
    </row>
    <row r="2191" hidden="1" customFormat="1" s="94">
      <c r="B2191" s="128" t="n">
        <v>44092</v>
      </c>
      <c r="C2191" s="94">
        <f>TEXT(B2191,"aaa")</f>
        <v/>
      </c>
      <c r="D2191" s="94" t="inlineStr">
        <is>
          <t>페이스북/인스타그램</t>
        </is>
      </c>
      <c r="E2191" s="94" t="inlineStr">
        <is>
          <t>앰플</t>
        </is>
      </c>
      <c r="G2191" s="91" t="n"/>
      <c r="J2191" s="129" t="n">
        <v>195501</v>
      </c>
    </row>
    <row r="2192" hidden="1" customFormat="1" s="94">
      <c r="B2192" s="128" t="n">
        <v>44093</v>
      </c>
      <c r="C2192" s="94">
        <f>TEXT(B2192,"aaa")</f>
        <v/>
      </c>
      <c r="D2192" s="94" t="inlineStr">
        <is>
          <t>페이스북/인스타그램</t>
        </is>
      </c>
      <c r="E2192" s="94" t="inlineStr">
        <is>
          <t>앰플</t>
        </is>
      </c>
      <c r="G2192" s="91" t="n"/>
      <c r="J2192" s="129" t="n">
        <v>178475</v>
      </c>
    </row>
    <row r="2193" hidden="1" customFormat="1" s="94">
      <c r="B2193" s="128" t="n">
        <v>44094</v>
      </c>
      <c r="C2193" s="94">
        <f>TEXT(B2193,"aaa")</f>
        <v/>
      </c>
      <c r="D2193" s="94" t="inlineStr">
        <is>
          <t>페이스북/인스타그램</t>
        </is>
      </c>
      <c r="E2193" s="94" t="inlineStr">
        <is>
          <t>앰플</t>
        </is>
      </c>
      <c r="G2193" s="91" t="n"/>
      <c r="J2193" s="129" t="n">
        <v>141041</v>
      </c>
    </row>
    <row r="2194" hidden="1" customFormat="1" s="94">
      <c r="B2194" s="128" t="n">
        <v>44095</v>
      </c>
      <c r="C2194" s="94">
        <f>TEXT(B2194,"aaa")</f>
        <v/>
      </c>
      <c r="D2194" s="94" t="inlineStr">
        <is>
          <t>페이스북/인스타그램</t>
        </is>
      </c>
      <c r="E2194" s="94" t="inlineStr">
        <is>
          <t>앰플</t>
        </is>
      </c>
      <c r="G2194" s="91" t="n"/>
      <c r="J2194" s="129" t="n">
        <v>223709</v>
      </c>
    </row>
    <row r="2195" hidden="1" customFormat="1" s="94">
      <c r="B2195" s="128" t="n">
        <v>44096</v>
      </c>
      <c r="C2195" s="94">
        <f>TEXT(B2195,"aaa")</f>
        <v/>
      </c>
      <c r="D2195" s="94" t="inlineStr">
        <is>
          <t>페이스북/인스타그램</t>
        </is>
      </c>
      <c r="E2195" s="94" t="inlineStr">
        <is>
          <t>앰플</t>
        </is>
      </c>
      <c r="G2195" s="91" t="n"/>
      <c r="J2195" s="129" t="n">
        <v>147153</v>
      </c>
    </row>
    <row r="2196" hidden="1" customFormat="1" s="94">
      <c r="B2196" s="128" t="n">
        <v>44098</v>
      </c>
      <c r="C2196" s="94">
        <f>TEXT(B2196,"aaa")</f>
        <v/>
      </c>
      <c r="D2196" s="94" t="inlineStr">
        <is>
          <t>페이스북/인스타그램</t>
        </is>
      </c>
      <c r="E2196" s="94" t="inlineStr">
        <is>
          <t>앰플</t>
        </is>
      </c>
      <c r="G2196" s="91" t="n"/>
      <c r="J2196" s="129" t="n">
        <v>48070</v>
      </c>
    </row>
    <row r="2197" hidden="1" customFormat="1" s="94">
      <c r="B2197" s="128" t="n">
        <v>44099</v>
      </c>
      <c r="C2197" s="94">
        <f>TEXT(B2197,"aaa")</f>
        <v/>
      </c>
      <c r="D2197" s="94" t="inlineStr">
        <is>
          <t>페이스북/인스타그램</t>
        </is>
      </c>
      <c r="E2197" s="94" t="inlineStr">
        <is>
          <t>앰플</t>
        </is>
      </c>
      <c r="G2197" s="91" t="n"/>
      <c r="J2197" s="129" t="n">
        <v>188083</v>
      </c>
    </row>
    <row r="2198" hidden="1" customFormat="1" s="94">
      <c r="B2198" s="128" t="n">
        <v>44100</v>
      </c>
      <c r="C2198" s="94">
        <f>TEXT(B2198,"aaa")</f>
        <v/>
      </c>
      <c r="D2198" s="94" t="inlineStr">
        <is>
          <t>페이스북/인스타그램</t>
        </is>
      </c>
      <c r="E2198" s="94" t="inlineStr">
        <is>
          <t>앰플</t>
        </is>
      </c>
      <c r="G2198" s="91" t="n"/>
      <c r="J2198" s="129" t="n">
        <v>552436</v>
      </c>
    </row>
    <row r="2199" hidden="1" customFormat="1" s="94">
      <c r="B2199" s="128" t="n">
        <v>44101</v>
      </c>
      <c r="C2199" s="94">
        <f>TEXT(B2199,"aaa")</f>
        <v/>
      </c>
      <c r="D2199" s="94" t="inlineStr">
        <is>
          <t>페이스북/인스타그램</t>
        </is>
      </c>
      <c r="E2199" s="94" t="inlineStr">
        <is>
          <t>앰플</t>
        </is>
      </c>
      <c r="G2199" s="91" t="n"/>
      <c r="J2199" s="129" t="n">
        <v>452018</v>
      </c>
    </row>
    <row r="2200" hidden="1" customFormat="1" s="94">
      <c r="B2200" s="128" t="n">
        <v>44102</v>
      </c>
      <c r="C2200" s="94">
        <f>TEXT(B2200,"aaa")</f>
        <v/>
      </c>
      <c r="D2200" s="94" t="inlineStr">
        <is>
          <t>페이스북/인스타그램</t>
        </is>
      </c>
      <c r="E2200" s="94" t="inlineStr">
        <is>
          <t>앰플</t>
        </is>
      </c>
      <c r="G2200" s="91" t="n"/>
      <c r="J2200" s="129" t="n">
        <v>337484</v>
      </c>
    </row>
    <row r="2201" hidden="1" customFormat="1" s="94">
      <c r="B2201" s="128" t="n">
        <v>44103</v>
      </c>
      <c r="C2201" s="94">
        <f>TEXT(B2201,"aaa")</f>
        <v/>
      </c>
      <c r="D2201" s="94" t="inlineStr">
        <is>
          <t>페이스북/인스타그램</t>
        </is>
      </c>
      <c r="E2201" s="94" t="inlineStr">
        <is>
          <t>앰플</t>
        </is>
      </c>
      <c r="G2201" s="91" t="n"/>
      <c r="J2201" s="129" t="n">
        <v>323865</v>
      </c>
    </row>
    <row r="2202" hidden="1" customFormat="1" s="94">
      <c r="B2202" s="128" t="n">
        <v>44104</v>
      </c>
      <c r="C2202" s="94">
        <f>TEXT(B2202,"aaa")</f>
        <v/>
      </c>
      <c r="D2202" s="94" t="inlineStr">
        <is>
          <t>페이스북/인스타그램</t>
        </is>
      </c>
      <c r="E2202" s="94" t="inlineStr">
        <is>
          <t>앰플</t>
        </is>
      </c>
      <c r="G2202" s="91" t="n"/>
      <c r="J2202" s="129" t="n">
        <v>111371</v>
      </c>
    </row>
    <row r="2203" hidden="1" customFormat="1" s="94">
      <c r="B2203" s="128" t="n">
        <v>44105</v>
      </c>
      <c r="C2203" s="94">
        <f>TEXT(B2203,"aaa")</f>
        <v/>
      </c>
      <c r="D2203" s="94" t="inlineStr">
        <is>
          <t>페이스북/인스타그램</t>
        </is>
      </c>
      <c r="E2203" s="94" t="inlineStr">
        <is>
          <t>앰플</t>
        </is>
      </c>
      <c r="G2203" s="91" t="n"/>
      <c r="J2203" s="129" t="n">
        <v>7061</v>
      </c>
    </row>
    <row r="2204" hidden="1" customFormat="1" s="94">
      <c r="B2204" s="128" t="n">
        <v>44106</v>
      </c>
      <c r="C2204" s="94">
        <f>TEXT(B2204,"aaa")</f>
        <v/>
      </c>
      <c r="D2204" s="94" t="inlineStr">
        <is>
          <t>페이스북/인스타그램</t>
        </is>
      </c>
      <c r="E2204" s="94" t="inlineStr">
        <is>
          <t>앰플</t>
        </is>
      </c>
      <c r="G2204" s="91" t="n"/>
      <c r="J2204" s="129" t="n">
        <v>101079</v>
      </c>
    </row>
    <row r="2205" hidden="1" customFormat="1" s="94">
      <c r="B2205" s="128" t="n">
        <v>44107</v>
      </c>
      <c r="C2205" s="94">
        <f>TEXT(B2205,"aaa")</f>
        <v/>
      </c>
      <c r="D2205" s="94" t="inlineStr">
        <is>
          <t>페이스북/인스타그램</t>
        </is>
      </c>
      <c r="E2205" s="94" t="inlineStr">
        <is>
          <t>앰플</t>
        </is>
      </c>
      <c r="G2205" s="91" t="n"/>
      <c r="J2205" s="129" t="n">
        <v>248465</v>
      </c>
    </row>
    <row r="2206" hidden="1" customFormat="1" s="94">
      <c r="B2206" s="128" t="n">
        <v>44108</v>
      </c>
      <c r="C2206" s="94">
        <f>TEXT(B2206,"aaa")</f>
        <v/>
      </c>
      <c r="D2206" s="94" t="inlineStr">
        <is>
          <t>페이스북/인스타그램</t>
        </is>
      </c>
      <c r="E2206" s="94" t="inlineStr">
        <is>
          <t>앰플</t>
        </is>
      </c>
      <c r="G2206" s="91" t="n"/>
      <c r="J2206" s="129" t="n">
        <v>500289</v>
      </c>
    </row>
    <row r="2207" hidden="1" customFormat="1" s="94">
      <c r="B2207" s="128" t="n">
        <v>44093</v>
      </c>
      <c r="C2207" s="94">
        <f>TEXT(B2207,"aaa")</f>
        <v/>
      </c>
      <c r="D2207" s="94" t="inlineStr">
        <is>
          <t>네이버 GFA</t>
        </is>
      </c>
      <c r="E2207" s="94" t="inlineStr">
        <is>
          <t>선크림</t>
        </is>
      </c>
      <c r="G2207" s="91" t="n"/>
      <c r="J2207" s="129" t="n">
        <v>263.6363636363636</v>
      </c>
    </row>
    <row r="2208" hidden="1" customFormat="1" s="94">
      <c r="B2208" s="128" t="n">
        <v>44094</v>
      </c>
      <c r="C2208" s="94">
        <f>TEXT(B2208,"aaa")</f>
        <v/>
      </c>
      <c r="D2208" s="94" t="inlineStr">
        <is>
          <t>네이버 GFA</t>
        </is>
      </c>
      <c r="E2208" s="94" t="inlineStr">
        <is>
          <t>선크림</t>
        </is>
      </c>
      <c r="G2208" s="91" t="n"/>
      <c r="J2208" s="129" t="n">
        <v>2083.636363636364</v>
      </c>
    </row>
    <row r="2209" hidden="1" customFormat="1" s="94">
      <c r="B2209" s="128" t="n">
        <v>44092</v>
      </c>
      <c r="C2209" s="94">
        <f>TEXT(B2209,"aaa")</f>
        <v/>
      </c>
      <c r="D2209" s="94" t="inlineStr">
        <is>
          <t>네이버 GFA</t>
        </is>
      </c>
      <c r="E2209" s="94" t="inlineStr">
        <is>
          <t>토너</t>
        </is>
      </c>
      <c r="G2209" s="91" t="n"/>
      <c r="J2209" s="129" t="n">
        <v>120660</v>
      </c>
    </row>
    <row r="2210" hidden="1" customFormat="1" s="94">
      <c r="B2210" s="128" t="n">
        <v>44093</v>
      </c>
      <c r="C2210" s="94">
        <f>TEXT(B2210,"aaa")</f>
        <v/>
      </c>
      <c r="D2210" s="94" t="inlineStr">
        <is>
          <t>네이버 GFA</t>
        </is>
      </c>
      <c r="E2210" s="94" t="inlineStr">
        <is>
          <t>토너</t>
        </is>
      </c>
      <c r="G2210" s="91" t="n"/>
      <c r="J2210" s="129" t="n">
        <v>115405.4545454545</v>
      </c>
    </row>
    <row r="2211" hidden="1" customFormat="1" s="94">
      <c r="B2211" s="128" t="n">
        <v>44094</v>
      </c>
      <c r="C2211" s="94">
        <f>TEXT(B2211,"aaa")</f>
        <v/>
      </c>
      <c r="D2211" s="94" t="inlineStr">
        <is>
          <t>네이버 GFA</t>
        </is>
      </c>
      <c r="E2211" s="94" t="inlineStr">
        <is>
          <t>토너</t>
        </is>
      </c>
      <c r="G2211" s="91" t="n"/>
      <c r="J2211" s="129" t="n">
        <v>114250</v>
      </c>
    </row>
    <row r="2212" hidden="1" customFormat="1" s="94">
      <c r="B2212" s="128" t="n">
        <v>44095</v>
      </c>
      <c r="C2212" s="94">
        <f>TEXT(B2212,"aaa")</f>
        <v/>
      </c>
      <c r="D2212" s="94" t="inlineStr">
        <is>
          <t>네이버 GFA</t>
        </is>
      </c>
      <c r="E2212" s="94" t="inlineStr">
        <is>
          <t>토너</t>
        </is>
      </c>
      <c r="G2212" s="91" t="n"/>
      <c r="J2212" s="129" t="n">
        <v>78933.63636363635</v>
      </c>
    </row>
    <row r="2213" hidden="1" customFormat="1" s="94">
      <c r="B2213" s="128" t="n">
        <v>44096</v>
      </c>
      <c r="C2213" s="94">
        <f>TEXT(B2213,"aaa")</f>
        <v/>
      </c>
      <c r="D2213" s="94" t="inlineStr">
        <is>
          <t>네이버 GFA</t>
        </is>
      </c>
      <c r="E2213" s="94" t="inlineStr">
        <is>
          <t>토너</t>
        </is>
      </c>
      <c r="G2213" s="91" t="n"/>
      <c r="J2213" s="129" t="n">
        <v>182068.1818181818</v>
      </c>
    </row>
    <row r="2214" hidden="1" customFormat="1" s="94">
      <c r="B2214" s="128" t="n">
        <v>44097</v>
      </c>
      <c r="C2214" s="94">
        <f>TEXT(B2214,"aaa")</f>
        <v/>
      </c>
      <c r="D2214" s="94" t="inlineStr">
        <is>
          <t>네이버 GFA</t>
        </is>
      </c>
      <c r="E2214" s="94" t="inlineStr">
        <is>
          <t>토너</t>
        </is>
      </c>
      <c r="G2214" s="91" t="n"/>
      <c r="J2214" s="129" t="n">
        <v>190875.4545454545</v>
      </c>
    </row>
    <row r="2215" hidden="1" customFormat="1" s="94">
      <c r="B2215" s="128" t="n">
        <v>44098</v>
      </c>
      <c r="C2215" s="94">
        <f>TEXT(B2215,"aaa")</f>
        <v/>
      </c>
      <c r="D2215" s="94" t="inlineStr">
        <is>
          <t>네이버 GFA</t>
        </is>
      </c>
      <c r="E2215" s="94" t="inlineStr">
        <is>
          <t>토너</t>
        </is>
      </c>
      <c r="G2215" s="91" t="n"/>
      <c r="J2215" s="129" t="n">
        <v>258735.4545454545</v>
      </c>
    </row>
    <row r="2216" hidden="1" customFormat="1" s="94">
      <c r="B2216" s="128" t="n">
        <v>44099</v>
      </c>
      <c r="C2216" s="94">
        <f>TEXT(B2216,"aaa")</f>
        <v/>
      </c>
      <c r="D2216" s="94" t="inlineStr">
        <is>
          <t>네이버 GFA</t>
        </is>
      </c>
      <c r="E2216" s="94" t="inlineStr">
        <is>
          <t>토너</t>
        </is>
      </c>
      <c r="G2216" s="91" t="n"/>
      <c r="J2216" s="129" t="n">
        <v>206150.9090909091</v>
      </c>
    </row>
    <row r="2217" hidden="1" customFormat="1" s="94">
      <c r="B2217" s="128" t="n">
        <v>44100</v>
      </c>
      <c r="C2217" s="94">
        <f>TEXT(B2217,"aaa")</f>
        <v/>
      </c>
      <c r="D2217" s="94" t="inlineStr">
        <is>
          <t>네이버 GFA</t>
        </is>
      </c>
      <c r="E2217" s="94" t="inlineStr">
        <is>
          <t>토너</t>
        </is>
      </c>
      <c r="G2217" s="91" t="n"/>
      <c r="J2217" s="129" t="n">
        <v>122402.7272727273</v>
      </c>
    </row>
    <row r="2218" hidden="1" customFormat="1" s="94">
      <c r="B2218" s="128" t="n">
        <v>44101</v>
      </c>
      <c r="C2218" s="94">
        <f>TEXT(B2218,"aaa")</f>
        <v/>
      </c>
      <c r="D2218" s="94" t="inlineStr">
        <is>
          <t>네이버 GFA</t>
        </is>
      </c>
      <c r="E2218" s="94" t="inlineStr">
        <is>
          <t>토너</t>
        </is>
      </c>
      <c r="G2218" s="91" t="n"/>
      <c r="J2218" s="129" t="n">
        <v>119765.4545454545</v>
      </c>
    </row>
    <row r="2219" hidden="1" customFormat="1" s="94">
      <c r="B2219" s="128" t="n">
        <v>44102</v>
      </c>
      <c r="C2219" s="94">
        <f>TEXT(B2219,"aaa")</f>
        <v/>
      </c>
      <c r="D2219" s="94" t="inlineStr">
        <is>
          <t>네이버 GFA</t>
        </is>
      </c>
      <c r="E2219" s="94" t="inlineStr">
        <is>
          <t>토너</t>
        </is>
      </c>
      <c r="G2219" s="91" t="n"/>
      <c r="J2219" s="129" t="n">
        <v>138131.8181818182</v>
      </c>
    </row>
    <row r="2220" hidden="1" customFormat="1" s="94">
      <c r="B2220" s="128" t="n">
        <v>44103</v>
      </c>
      <c r="C2220" s="94">
        <f>TEXT(B2220,"aaa")</f>
        <v/>
      </c>
      <c r="D2220" s="94" t="inlineStr">
        <is>
          <t>네이버 GFA</t>
        </is>
      </c>
      <c r="E2220" s="94" t="inlineStr">
        <is>
          <t>토너</t>
        </is>
      </c>
      <c r="G2220" s="91" t="n"/>
      <c r="J2220" s="129" t="n">
        <v>73740</v>
      </c>
    </row>
    <row r="2221" hidden="1" customFormat="1" s="94">
      <c r="B2221" s="128" t="n">
        <v>44104</v>
      </c>
      <c r="C2221" s="94">
        <f>TEXT(B2221,"aaa")</f>
        <v/>
      </c>
      <c r="D2221" s="94" t="inlineStr">
        <is>
          <t>네이버 GFA</t>
        </is>
      </c>
      <c r="E2221" s="94" t="inlineStr">
        <is>
          <t>토너</t>
        </is>
      </c>
      <c r="G2221" s="91" t="n"/>
      <c r="J2221" s="129" t="n">
        <v>81552.72727272726</v>
      </c>
    </row>
    <row r="2222" hidden="1" customFormat="1" s="94">
      <c r="B2222" s="128" t="n">
        <v>44105</v>
      </c>
      <c r="C2222" s="94">
        <f>TEXT(B2222,"aaa")</f>
        <v/>
      </c>
      <c r="D2222" s="94" t="inlineStr">
        <is>
          <t>네이버 GFA</t>
        </is>
      </c>
      <c r="E2222" s="94" t="inlineStr">
        <is>
          <t>토너</t>
        </is>
      </c>
      <c r="G2222" s="91" t="n"/>
      <c r="J2222" s="129">
        <f>104121.6/1.1</f>
        <v/>
      </c>
      <c r="K2222" s="145" t="n"/>
    </row>
    <row r="2223" hidden="1" customFormat="1" s="94">
      <c r="B2223" s="128" t="n">
        <v>44106</v>
      </c>
      <c r="C2223" s="94">
        <f>TEXT(B2223,"aaa")</f>
        <v/>
      </c>
      <c r="D2223" s="94" t="inlineStr">
        <is>
          <t>네이버 GFA</t>
        </is>
      </c>
      <c r="E2223" s="94" t="inlineStr">
        <is>
          <t>토너</t>
        </is>
      </c>
      <c r="G2223" s="91" t="n"/>
      <c r="J2223" s="129">
        <f>103431.9/1.1</f>
        <v/>
      </c>
      <c r="K2223" s="145" t="n"/>
    </row>
    <row r="2224" hidden="1" customFormat="1" s="94">
      <c r="B2224" s="128" t="n">
        <v>44107</v>
      </c>
      <c r="C2224" s="94">
        <f>TEXT(B2224,"aaa")</f>
        <v/>
      </c>
      <c r="D2224" s="94" t="inlineStr">
        <is>
          <t>네이버 GFA</t>
        </is>
      </c>
      <c r="E2224" s="94" t="inlineStr">
        <is>
          <t>토너</t>
        </is>
      </c>
      <c r="G2224" s="91" t="n"/>
      <c r="J2224" s="129">
        <f>102132.8/1.1</f>
        <v/>
      </c>
      <c r="K2224" s="145" t="n"/>
    </row>
    <row r="2225" hidden="1" customFormat="1" s="94">
      <c r="B2225" s="128" t="n">
        <v>44108</v>
      </c>
      <c r="C2225" s="94">
        <f>TEXT(B2225,"aaa")</f>
        <v/>
      </c>
      <c r="D2225" s="94" t="inlineStr">
        <is>
          <t>네이버 GFA</t>
        </is>
      </c>
      <c r="E2225" s="94" t="inlineStr">
        <is>
          <t>토너</t>
        </is>
      </c>
      <c r="G2225" s="91" t="n"/>
      <c r="J2225" s="129">
        <f>101038.3/1.1</f>
        <v/>
      </c>
      <c r="K2225" s="145" t="n"/>
    </row>
    <row r="2226" hidden="1" customFormat="1" s="94">
      <c r="B2226" s="128" t="n">
        <v>44092</v>
      </c>
      <c r="C2226" s="94">
        <f>TEXT(B2226,"aaa")</f>
        <v/>
      </c>
      <c r="D2226" s="94" t="inlineStr">
        <is>
          <t>네이버 쇼핑검색</t>
        </is>
      </c>
      <c r="E2226" s="94" t="inlineStr">
        <is>
          <t>토너</t>
        </is>
      </c>
      <c r="G2226" s="91" t="n"/>
      <c r="J2226" s="129" t="n">
        <v>25530</v>
      </c>
    </row>
    <row r="2227" hidden="1" customFormat="1" s="94">
      <c r="B2227" s="128" t="n">
        <v>44093</v>
      </c>
      <c r="C2227" s="94">
        <f>TEXT(B2227,"aaa")</f>
        <v/>
      </c>
      <c r="D2227" s="94" t="inlineStr">
        <is>
          <t>네이버 쇼핑검색</t>
        </is>
      </c>
      <c r="E2227" s="94" t="inlineStr">
        <is>
          <t>토너</t>
        </is>
      </c>
      <c r="G2227" s="91" t="n"/>
      <c r="J2227" s="129" t="n">
        <v>20800</v>
      </c>
    </row>
    <row r="2228" hidden="1" customFormat="1" s="94">
      <c r="B2228" s="128" t="n">
        <v>44094</v>
      </c>
      <c r="C2228" s="94">
        <f>TEXT(B2228,"aaa")</f>
        <v/>
      </c>
      <c r="D2228" s="94" t="inlineStr">
        <is>
          <t>네이버 쇼핑검색</t>
        </is>
      </c>
      <c r="E2228" s="94" t="inlineStr">
        <is>
          <t>토너</t>
        </is>
      </c>
      <c r="G2228" s="91" t="n"/>
      <c r="J2228" s="129" t="n">
        <v>23990</v>
      </c>
    </row>
    <row r="2229" hidden="1" customFormat="1" s="94">
      <c r="B2229" s="128" t="n">
        <v>44095</v>
      </c>
      <c r="C2229" s="94">
        <f>TEXT(B2229,"aaa")</f>
        <v/>
      </c>
      <c r="D2229" s="94" t="inlineStr">
        <is>
          <t>네이버 쇼핑검색</t>
        </is>
      </c>
      <c r="E2229" s="94" t="inlineStr">
        <is>
          <t>토너</t>
        </is>
      </c>
      <c r="G2229" s="91" t="n"/>
      <c r="J2229" s="129" t="n">
        <v>24100</v>
      </c>
    </row>
    <row r="2230" hidden="1" customFormat="1" s="94">
      <c r="B2230" s="128" t="n">
        <v>44096</v>
      </c>
      <c r="C2230" s="94">
        <f>TEXT(B2230,"aaa")</f>
        <v/>
      </c>
      <c r="D2230" s="94" t="inlineStr">
        <is>
          <t>네이버 쇼핑검색</t>
        </is>
      </c>
      <c r="E2230" s="94" t="inlineStr">
        <is>
          <t>토너</t>
        </is>
      </c>
      <c r="G2230" s="91" t="n"/>
      <c r="J2230" s="129" t="n">
        <v>27640</v>
      </c>
    </row>
    <row r="2231" hidden="1" customFormat="1" s="94">
      <c r="B2231" s="128" t="n">
        <v>44097</v>
      </c>
      <c r="C2231" s="94">
        <f>TEXT(B2231,"aaa")</f>
        <v/>
      </c>
      <c r="D2231" s="94" t="inlineStr">
        <is>
          <t>네이버 쇼핑검색</t>
        </is>
      </c>
      <c r="E2231" s="94" t="inlineStr">
        <is>
          <t>토너</t>
        </is>
      </c>
      <c r="G2231" s="91" t="n"/>
      <c r="J2231" s="129" t="n">
        <v>36400</v>
      </c>
    </row>
    <row r="2232" hidden="1" customFormat="1" s="94">
      <c r="B2232" s="128" t="n">
        <v>44098</v>
      </c>
      <c r="C2232" s="94">
        <f>TEXT(B2232,"aaa")</f>
        <v/>
      </c>
      <c r="D2232" s="94" t="inlineStr">
        <is>
          <t>네이버 쇼핑검색</t>
        </is>
      </c>
      <c r="E2232" s="94" t="inlineStr">
        <is>
          <t>토너</t>
        </is>
      </c>
      <c r="G2232" s="91" t="n"/>
      <c r="J2232" s="129" t="n">
        <v>33140</v>
      </c>
    </row>
    <row r="2233" hidden="1" customFormat="1" s="94">
      <c r="B2233" s="128" t="n">
        <v>44099</v>
      </c>
      <c r="C2233" s="94">
        <f>TEXT(B2233,"aaa")</f>
        <v/>
      </c>
      <c r="D2233" s="94" t="inlineStr">
        <is>
          <t>네이버 쇼핑검색</t>
        </is>
      </c>
      <c r="E2233" s="94" t="inlineStr">
        <is>
          <t>토너</t>
        </is>
      </c>
      <c r="G2233" s="91" t="n"/>
      <c r="J2233" s="129" t="n">
        <v>28130</v>
      </c>
    </row>
    <row r="2234" hidden="1" customFormat="1" s="94">
      <c r="B2234" s="128" t="n">
        <v>44100</v>
      </c>
      <c r="C2234" s="94">
        <f>TEXT(B2234,"aaa")</f>
        <v/>
      </c>
      <c r="D2234" s="94" t="inlineStr">
        <is>
          <t>네이버 쇼핑검색</t>
        </is>
      </c>
      <c r="E2234" s="94" t="inlineStr">
        <is>
          <t>토너</t>
        </is>
      </c>
      <c r="G2234" s="91" t="n"/>
      <c r="J2234" s="129" t="n">
        <v>22180</v>
      </c>
    </row>
    <row r="2235" hidden="1" customFormat="1" s="94">
      <c r="B2235" s="128" t="n">
        <v>44101</v>
      </c>
      <c r="C2235" s="94">
        <f>TEXT(B2235,"aaa")</f>
        <v/>
      </c>
      <c r="D2235" s="94" t="inlineStr">
        <is>
          <t>네이버 쇼핑검색</t>
        </is>
      </c>
      <c r="E2235" s="94" t="inlineStr">
        <is>
          <t>토너</t>
        </is>
      </c>
      <c r="G2235" s="91" t="n"/>
      <c r="J2235" s="129" t="n">
        <v>24750</v>
      </c>
    </row>
    <row r="2236" hidden="1" customFormat="1" s="94">
      <c r="B2236" s="128" t="n">
        <v>44102</v>
      </c>
      <c r="C2236" s="94">
        <f>TEXT(B2236,"aaa")</f>
        <v/>
      </c>
      <c r="D2236" s="94" t="inlineStr">
        <is>
          <t>네이버 쇼핑검색</t>
        </is>
      </c>
      <c r="E2236" s="94" t="inlineStr">
        <is>
          <t>토너</t>
        </is>
      </c>
      <c r="G2236" s="91" t="n"/>
      <c r="J2236" s="129" t="n">
        <v>25210</v>
      </c>
    </row>
    <row r="2237" hidden="1" customFormat="1" s="94">
      <c r="B2237" s="128" t="n">
        <v>44103</v>
      </c>
      <c r="C2237" s="94">
        <f>TEXT(B2237,"aaa")</f>
        <v/>
      </c>
      <c r="D2237" s="94" t="inlineStr">
        <is>
          <t>네이버 쇼핑검색</t>
        </is>
      </c>
      <c r="E2237" s="94" t="inlineStr">
        <is>
          <t>토너</t>
        </is>
      </c>
      <c r="G2237" s="91" t="n"/>
      <c r="J2237" s="129" t="n">
        <v>15970</v>
      </c>
    </row>
    <row r="2238" hidden="1" customFormat="1" s="94">
      <c r="B2238" s="128" t="n">
        <v>44104</v>
      </c>
      <c r="C2238" s="94">
        <f>TEXT(B2238,"aaa")</f>
        <v/>
      </c>
      <c r="D2238" s="94" t="inlineStr">
        <is>
          <t>네이버 쇼핑검색</t>
        </is>
      </c>
      <c r="E2238" s="94" t="inlineStr">
        <is>
          <t>토너</t>
        </is>
      </c>
      <c r="G2238" s="91" t="n"/>
      <c r="J2238" s="129" t="n">
        <v>18790</v>
      </c>
    </row>
    <row r="2239" hidden="1" customFormat="1" s="94">
      <c r="B2239" s="128" t="n">
        <v>44105</v>
      </c>
      <c r="C2239" s="94">
        <f>TEXT(B2239,"aaa")</f>
        <v/>
      </c>
      <c r="D2239" s="94" t="inlineStr">
        <is>
          <t>네이버 쇼핑검색</t>
        </is>
      </c>
      <c r="E2239" s="94" t="inlineStr">
        <is>
          <t>토너</t>
        </is>
      </c>
      <c r="G2239" s="91" t="n"/>
      <c r="J2239" s="129" t="n">
        <v>23738</v>
      </c>
    </row>
    <row r="2240" hidden="1" customFormat="1" s="94">
      <c r="B2240" s="128" t="n">
        <v>44106</v>
      </c>
      <c r="C2240" s="94">
        <f>TEXT(B2240,"aaa")</f>
        <v/>
      </c>
      <c r="D2240" s="94" t="inlineStr">
        <is>
          <t>네이버 쇼핑검색</t>
        </is>
      </c>
      <c r="E2240" s="94" t="inlineStr">
        <is>
          <t>토너</t>
        </is>
      </c>
      <c r="G2240" s="91" t="n"/>
      <c r="J2240" s="129" t="n">
        <v>29062</v>
      </c>
    </row>
    <row r="2241" hidden="1" customFormat="1" s="94">
      <c r="B2241" s="128" t="n">
        <v>44107</v>
      </c>
      <c r="C2241" s="94">
        <f>TEXT(B2241,"aaa")</f>
        <v/>
      </c>
      <c r="D2241" s="94" t="inlineStr">
        <is>
          <t>네이버 쇼핑검색</t>
        </is>
      </c>
      <c r="E2241" s="94" t="inlineStr">
        <is>
          <t>토너</t>
        </is>
      </c>
      <c r="G2241" s="91" t="n"/>
      <c r="J2241" s="129" t="n">
        <v>29106</v>
      </c>
    </row>
    <row r="2242" hidden="1" customFormat="1" s="94">
      <c r="B2242" s="128" t="n">
        <v>44108</v>
      </c>
      <c r="C2242" s="94">
        <f>TEXT(B2242,"aaa")</f>
        <v/>
      </c>
      <c r="D2242" s="94" t="inlineStr">
        <is>
          <t>네이버 쇼핑검색</t>
        </is>
      </c>
      <c r="E2242" s="94" t="inlineStr">
        <is>
          <t>토너</t>
        </is>
      </c>
      <c r="G2242" s="91" t="n"/>
      <c r="J2242" s="129" t="n">
        <v>40645</v>
      </c>
    </row>
    <row r="2243" hidden="1" customFormat="1" s="94">
      <c r="B2243" s="128" t="n">
        <v>44092</v>
      </c>
      <c r="C2243" s="94">
        <f>TEXT(B2243,"aaa")</f>
        <v/>
      </c>
      <c r="D2243" s="94" t="inlineStr">
        <is>
          <t>네이버 브랜드검색</t>
        </is>
      </c>
      <c r="E2243" s="94" t="inlineStr">
        <is>
          <t>토너</t>
        </is>
      </c>
      <c r="G2243" s="91" t="n"/>
      <c r="J2243" s="129" t="n">
        <v>50000</v>
      </c>
    </row>
    <row r="2244" hidden="1" customFormat="1" s="94">
      <c r="B2244" s="128" t="n">
        <v>44093</v>
      </c>
      <c r="C2244" s="94">
        <f>TEXT(B2244,"aaa")</f>
        <v/>
      </c>
      <c r="D2244" s="94" t="inlineStr">
        <is>
          <t>네이버 브랜드검색</t>
        </is>
      </c>
      <c r="E2244" s="94" t="inlineStr">
        <is>
          <t>토너</t>
        </is>
      </c>
      <c r="G2244" s="91" t="n"/>
      <c r="J2244" s="129" t="n">
        <v>50000</v>
      </c>
    </row>
    <row r="2245" hidden="1" customFormat="1" s="94">
      <c r="B2245" s="128" t="n">
        <v>44094</v>
      </c>
      <c r="C2245" s="94">
        <f>TEXT(B2245,"aaa")</f>
        <v/>
      </c>
      <c r="D2245" s="94" t="inlineStr">
        <is>
          <t>네이버 브랜드검색</t>
        </is>
      </c>
      <c r="E2245" s="94" t="inlineStr">
        <is>
          <t>토너</t>
        </is>
      </c>
      <c r="G2245" s="91" t="n"/>
      <c r="J2245" s="129" t="n">
        <v>50000</v>
      </c>
    </row>
    <row r="2246" hidden="1" customFormat="1" s="94">
      <c r="B2246" s="128" t="n">
        <v>44095</v>
      </c>
      <c r="C2246" s="94">
        <f>TEXT(B2246,"aaa")</f>
        <v/>
      </c>
      <c r="D2246" s="94" t="inlineStr">
        <is>
          <t>네이버 브랜드검색</t>
        </is>
      </c>
      <c r="E2246" s="94" t="inlineStr">
        <is>
          <t>토너</t>
        </is>
      </c>
      <c r="G2246" s="91" t="n"/>
      <c r="J2246" s="129" t="n">
        <v>50000</v>
      </c>
    </row>
    <row r="2247" hidden="1" customFormat="1" s="94">
      <c r="B2247" s="128" t="n">
        <v>44096</v>
      </c>
      <c r="C2247" s="94">
        <f>TEXT(B2247,"aaa")</f>
        <v/>
      </c>
      <c r="D2247" s="94" t="inlineStr">
        <is>
          <t>네이버 브랜드검색</t>
        </is>
      </c>
      <c r="E2247" s="94" t="inlineStr">
        <is>
          <t>토너</t>
        </is>
      </c>
      <c r="G2247" s="91" t="n"/>
      <c r="J2247" s="129" t="n">
        <v>50000</v>
      </c>
    </row>
    <row r="2248" hidden="1" customFormat="1" s="94">
      <c r="B2248" s="128" t="n">
        <v>44097</v>
      </c>
      <c r="C2248" s="94">
        <f>TEXT(B2248,"aaa")</f>
        <v/>
      </c>
      <c r="D2248" s="94" t="inlineStr">
        <is>
          <t>네이버 브랜드검색</t>
        </is>
      </c>
      <c r="E2248" s="94" t="inlineStr">
        <is>
          <t>토너</t>
        </is>
      </c>
      <c r="G2248" s="91" t="n"/>
      <c r="J2248" s="129" t="n">
        <v>50000</v>
      </c>
    </row>
    <row r="2249" hidden="1" customFormat="1" s="94">
      <c r="B2249" s="128" t="n">
        <v>44098</v>
      </c>
      <c r="C2249" s="94">
        <f>TEXT(B2249,"aaa")</f>
        <v/>
      </c>
      <c r="D2249" s="94" t="inlineStr">
        <is>
          <t>네이버 브랜드검색</t>
        </is>
      </c>
      <c r="E2249" s="94" t="inlineStr">
        <is>
          <t>토너</t>
        </is>
      </c>
      <c r="G2249" s="91" t="n"/>
      <c r="J2249" s="129" t="n">
        <v>50000</v>
      </c>
    </row>
    <row r="2250" hidden="1" customFormat="1" s="94">
      <c r="B2250" s="128" t="n">
        <v>44099</v>
      </c>
      <c r="C2250" s="94">
        <f>TEXT(B2250,"aaa")</f>
        <v/>
      </c>
      <c r="D2250" s="94" t="inlineStr">
        <is>
          <t>네이버 브랜드검색</t>
        </is>
      </c>
      <c r="E2250" s="94" t="inlineStr">
        <is>
          <t>토너</t>
        </is>
      </c>
      <c r="G2250" s="91" t="n"/>
      <c r="J2250" s="129" t="n">
        <v>50000</v>
      </c>
    </row>
    <row r="2251" hidden="1" customFormat="1" s="94">
      <c r="B2251" s="128" t="n">
        <v>44100</v>
      </c>
      <c r="C2251" s="94">
        <f>TEXT(B2251,"aaa")</f>
        <v/>
      </c>
      <c r="D2251" s="94" t="inlineStr">
        <is>
          <t>네이버 브랜드검색</t>
        </is>
      </c>
      <c r="E2251" s="94" t="inlineStr">
        <is>
          <t>토너</t>
        </is>
      </c>
      <c r="G2251" s="91" t="n"/>
      <c r="J2251" s="129" t="n">
        <v>50000</v>
      </c>
    </row>
    <row r="2252" hidden="1" customFormat="1" s="94">
      <c r="B2252" s="128" t="n">
        <v>44101</v>
      </c>
      <c r="C2252" s="94">
        <f>TEXT(B2252,"aaa")</f>
        <v/>
      </c>
      <c r="D2252" s="94" t="inlineStr">
        <is>
          <t>네이버 브랜드검색</t>
        </is>
      </c>
      <c r="E2252" s="94" t="inlineStr">
        <is>
          <t>토너</t>
        </is>
      </c>
      <c r="G2252" s="91" t="n"/>
      <c r="J2252" s="129" t="n">
        <v>50000</v>
      </c>
    </row>
    <row r="2253" hidden="1" customFormat="1" s="94">
      <c r="B2253" s="128" t="n">
        <v>44102</v>
      </c>
      <c r="C2253" s="94">
        <f>TEXT(B2253,"aaa")</f>
        <v/>
      </c>
      <c r="D2253" s="94" t="inlineStr">
        <is>
          <t>네이버 브랜드검색</t>
        </is>
      </c>
      <c r="E2253" s="94" t="inlineStr">
        <is>
          <t>토너</t>
        </is>
      </c>
      <c r="G2253" s="91" t="n"/>
      <c r="J2253" s="129" t="n">
        <v>50000</v>
      </c>
    </row>
    <row r="2254" hidden="1" customFormat="1" s="94">
      <c r="B2254" s="128" t="n">
        <v>44103</v>
      </c>
      <c r="C2254" s="94">
        <f>TEXT(B2254,"aaa")</f>
        <v/>
      </c>
      <c r="D2254" s="94" t="inlineStr">
        <is>
          <t>네이버 브랜드검색</t>
        </is>
      </c>
      <c r="E2254" s="94" t="inlineStr">
        <is>
          <t>토너</t>
        </is>
      </c>
      <c r="G2254" s="91" t="n"/>
      <c r="J2254" s="129" t="n">
        <v>50000</v>
      </c>
    </row>
    <row r="2255" hidden="1" customFormat="1" s="94">
      <c r="B2255" s="128" t="n">
        <v>44104</v>
      </c>
      <c r="C2255" s="94">
        <f>TEXT(B2255,"aaa")</f>
        <v/>
      </c>
      <c r="D2255" s="94" t="inlineStr">
        <is>
          <t>네이버 브랜드검색</t>
        </is>
      </c>
      <c r="E2255" s="94" t="inlineStr">
        <is>
          <t>토너</t>
        </is>
      </c>
      <c r="G2255" s="91" t="n"/>
      <c r="J2255" s="129" t="n">
        <v>50000</v>
      </c>
    </row>
    <row r="2256" hidden="1" customFormat="1" s="94">
      <c r="B2256" s="128" t="n">
        <v>44105</v>
      </c>
      <c r="C2256" s="94">
        <f>TEXT(B2256,"aaa")</f>
        <v/>
      </c>
      <c r="D2256" s="94" t="inlineStr">
        <is>
          <t>네이버 브랜드검색</t>
        </is>
      </c>
      <c r="E2256" s="94" t="inlineStr">
        <is>
          <t>토너</t>
        </is>
      </c>
      <c r="G2256" s="91" t="n"/>
      <c r="J2256" s="129" t="n">
        <v>50000</v>
      </c>
    </row>
    <row r="2257" hidden="1" customFormat="1" s="94">
      <c r="B2257" s="128" t="n">
        <v>44106</v>
      </c>
      <c r="C2257" s="94">
        <f>TEXT(B2257,"aaa")</f>
        <v/>
      </c>
      <c r="D2257" s="94" t="inlineStr">
        <is>
          <t>네이버 브랜드검색</t>
        </is>
      </c>
      <c r="E2257" s="94" t="inlineStr">
        <is>
          <t>토너</t>
        </is>
      </c>
      <c r="G2257" s="91" t="n"/>
      <c r="J2257" s="129" t="n">
        <v>50000</v>
      </c>
    </row>
    <row r="2258" hidden="1" customFormat="1" s="94">
      <c r="B2258" s="128" t="n">
        <v>44107</v>
      </c>
      <c r="C2258" s="94">
        <f>TEXT(B2258,"aaa")</f>
        <v/>
      </c>
      <c r="D2258" s="94" t="inlineStr">
        <is>
          <t>네이버 브랜드검색</t>
        </is>
      </c>
      <c r="E2258" s="94" t="inlineStr">
        <is>
          <t>토너</t>
        </is>
      </c>
      <c r="G2258" s="91" t="n"/>
      <c r="J2258" s="129" t="n">
        <v>50000</v>
      </c>
    </row>
    <row r="2259" hidden="1" customFormat="1" s="94">
      <c r="B2259" s="128" t="n">
        <v>44108</v>
      </c>
      <c r="C2259" s="94">
        <f>TEXT(B2259,"aaa")</f>
        <v/>
      </c>
      <c r="D2259" s="94" t="inlineStr">
        <is>
          <t>네이버 브랜드검색</t>
        </is>
      </c>
      <c r="E2259" s="94" t="inlineStr">
        <is>
          <t>토너</t>
        </is>
      </c>
      <c r="G2259" s="91" t="n"/>
      <c r="J2259" s="129" t="n">
        <v>50000</v>
      </c>
    </row>
    <row r="2260" customFormat="1" s="94">
      <c r="B2260" s="128" t="n">
        <v>44092</v>
      </c>
      <c r="C2260" s="94">
        <f>TEXT(B2260,"aaa")</f>
        <v/>
      </c>
      <c r="D2260" s="94" t="inlineStr">
        <is>
          <t>카카오광고</t>
        </is>
      </c>
      <c r="E2260" s="94" t="inlineStr">
        <is>
          <t>토너</t>
        </is>
      </c>
      <c r="G2260" s="91" t="n"/>
      <c r="J2260" s="129" t="n">
        <v>11850</v>
      </c>
    </row>
    <row r="2261" customFormat="1" s="94">
      <c r="B2261" s="128" t="n">
        <v>44093</v>
      </c>
      <c r="C2261" s="94">
        <f>TEXT(B2261,"aaa")</f>
        <v/>
      </c>
      <c r="D2261" s="94" t="inlineStr">
        <is>
          <t>카카오광고</t>
        </is>
      </c>
      <c r="E2261" s="94" t="inlineStr">
        <is>
          <t>토너</t>
        </is>
      </c>
      <c r="G2261" s="91" t="n"/>
      <c r="J2261" s="129" t="n">
        <v>8210</v>
      </c>
    </row>
    <row r="2262" customFormat="1" s="94">
      <c r="B2262" s="128" t="n">
        <v>44094</v>
      </c>
      <c r="C2262" s="94">
        <f>TEXT(B2262,"aaa")</f>
        <v/>
      </c>
      <c r="D2262" s="94" t="inlineStr">
        <is>
          <t>카카오광고</t>
        </is>
      </c>
      <c r="E2262" s="94" t="inlineStr">
        <is>
          <t>토너</t>
        </is>
      </c>
      <c r="G2262" s="91" t="n"/>
      <c r="J2262" s="129" t="n">
        <v>5570</v>
      </c>
    </row>
    <row r="2263" customFormat="1" s="94">
      <c r="B2263" s="128" t="n">
        <v>44095</v>
      </c>
      <c r="C2263" s="94">
        <f>TEXT(B2263,"aaa")</f>
        <v/>
      </c>
      <c r="D2263" s="94" t="inlineStr">
        <is>
          <t>카카오광고</t>
        </is>
      </c>
      <c r="E2263" s="94" t="inlineStr">
        <is>
          <t>토너</t>
        </is>
      </c>
      <c r="G2263" s="91" t="n"/>
      <c r="J2263" s="129" t="n">
        <v>7659.999999999999</v>
      </c>
    </row>
    <row r="2264" customFormat="1" s="94">
      <c r="B2264" s="128" t="n">
        <v>44096</v>
      </c>
      <c r="C2264" s="94">
        <f>TEXT(B2264,"aaa")</f>
        <v/>
      </c>
      <c r="D2264" s="94" t="inlineStr">
        <is>
          <t>카카오광고</t>
        </is>
      </c>
      <c r="E2264" s="94" t="inlineStr">
        <is>
          <t>토너</t>
        </is>
      </c>
      <c r="G2264" s="91" t="n"/>
      <c r="J2264" s="129" t="n">
        <v>14830</v>
      </c>
    </row>
    <row r="2265" customFormat="1" s="94">
      <c r="B2265" s="128" t="n">
        <v>44097</v>
      </c>
      <c r="C2265" s="94">
        <f>TEXT(B2265,"aaa")</f>
        <v/>
      </c>
      <c r="D2265" s="94" t="inlineStr">
        <is>
          <t>카카오광고</t>
        </is>
      </c>
      <c r="E2265" s="94" t="inlineStr">
        <is>
          <t>토너</t>
        </is>
      </c>
      <c r="G2265" s="91" t="n"/>
      <c r="J2265" s="129" t="n">
        <v>6939.999999999999</v>
      </c>
    </row>
    <row r="2266" customFormat="1" s="94">
      <c r="B2266" s="128" t="n">
        <v>44098</v>
      </c>
      <c r="C2266" s="94">
        <f>TEXT(B2266,"aaa")</f>
        <v/>
      </c>
      <c r="D2266" s="94" t="inlineStr">
        <is>
          <t>카카오광고</t>
        </is>
      </c>
      <c r="E2266" s="94" t="inlineStr">
        <is>
          <t>토너</t>
        </is>
      </c>
      <c r="G2266" s="91" t="n"/>
      <c r="J2266" s="129" t="n">
        <v>7709.999999999999</v>
      </c>
    </row>
    <row r="2267" customFormat="1" s="94">
      <c r="B2267" s="128" t="n">
        <v>44099</v>
      </c>
      <c r="C2267" s="94">
        <f>TEXT(B2267,"aaa")</f>
        <v/>
      </c>
      <c r="D2267" s="94" t="inlineStr">
        <is>
          <t>카카오광고</t>
        </is>
      </c>
      <c r="E2267" s="94" t="inlineStr">
        <is>
          <t>토너</t>
        </is>
      </c>
      <c r="G2267" s="91" t="n"/>
      <c r="J2267" s="129" t="n">
        <v>14070</v>
      </c>
    </row>
    <row r="2268" customFormat="1" s="94">
      <c r="B2268" s="128" t="n">
        <v>44100</v>
      </c>
      <c r="C2268" s="94">
        <f>TEXT(B2268,"aaa")</f>
        <v/>
      </c>
      <c r="D2268" s="94" t="inlineStr">
        <is>
          <t>카카오광고</t>
        </is>
      </c>
      <c r="E2268" s="94" t="inlineStr">
        <is>
          <t>토너</t>
        </is>
      </c>
      <c r="G2268" s="91" t="n"/>
      <c r="J2268" s="129" t="n">
        <v>15110</v>
      </c>
    </row>
    <row r="2269" customFormat="1" s="94">
      <c r="B2269" s="128" t="n">
        <v>44101</v>
      </c>
      <c r="C2269" s="94">
        <f>TEXT(B2269,"aaa")</f>
        <v/>
      </c>
      <c r="D2269" s="94" t="inlineStr">
        <is>
          <t>카카오광고</t>
        </is>
      </c>
      <c r="E2269" s="94" t="inlineStr">
        <is>
          <t>토너</t>
        </is>
      </c>
      <c r="G2269" s="91" t="n"/>
      <c r="J2269" s="129" t="n">
        <v>11460</v>
      </c>
    </row>
    <row r="2270" customFormat="1" s="94">
      <c r="B2270" s="128" t="n">
        <v>44102</v>
      </c>
      <c r="C2270" s="94">
        <f>TEXT(B2270,"aaa")</f>
        <v/>
      </c>
      <c r="D2270" s="94" t="inlineStr">
        <is>
          <t>카카오광고</t>
        </is>
      </c>
      <c r="E2270" s="94" t="inlineStr">
        <is>
          <t>토너</t>
        </is>
      </c>
      <c r="G2270" s="91" t="n"/>
      <c r="J2270" s="129" t="n">
        <v>12400</v>
      </c>
    </row>
    <row r="2271" customFormat="1" s="94">
      <c r="B2271" s="128" t="n">
        <v>44103</v>
      </c>
      <c r="C2271" s="94">
        <f>TEXT(B2271,"aaa")</f>
        <v/>
      </c>
      <c r="D2271" s="94" t="inlineStr">
        <is>
          <t>카카오광고</t>
        </is>
      </c>
      <c r="E2271" s="94" t="inlineStr">
        <is>
          <t>토너</t>
        </is>
      </c>
      <c r="G2271" s="91" t="n"/>
      <c r="J2271" s="129" t="n">
        <v>11350</v>
      </c>
    </row>
    <row r="2272" customFormat="1" s="94">
      <c r="B2272" s="128" t="n">
        <v>44104</v>
      </c>
      <c r="C2272" s="94">
        <f>TEXT(B2272,"aaa")</f>
        <v/>
      </c>
      <c r="D2272" s="94" t="inlineStr">
        <is>
          <t>카카오광고</t>
        </is>
      </c>
      <c r="E2272" s="94" t="inlineStr">
        <is>
          <t>토너</t>
        </is>
      </c>
      <c r="G2272" s="91" t="n"/>
      <c r="J2272" s="129" t="n">
        <v>10740</v>
      </c>
    </row>
    <row r="2273" customFormat="1" s="94">
      <c r="B2273" s="128" t="n">
        <v>44105</v>
      </c>
      <c r="C2273" s="94">
        <f>TEXT(B2273,"aaa")</f>
        <v/>
      </c>
      <c r="D2273" s="94" t="inlineStr">
        <is>
          <t>카카오광고</t>
        </is>
      </c>
      <c r="E2273" s="94" t="inlineStr">
        <is>
          <t>토너</t>
        </is>
      </c>
      <c r="G2273" s="91" t="n"/>
      <c r="J2273" s="129">
        <f>10208/1.1</f>
        <v/>
      </c>
      <c r="K2273" s="145" t="n"/>
    </row>
    <row r="2274" customFormat="1" s="94">
      <c r="B2274" s="128" t="n">
        <v>44106</v>
      </c>
      <c r="C2274" s="94">
        <f>TEXT(B2274,"aaa")</f>
        <v/>
      </c>
      <c r="D2274" s="94" t="inlineStr">
        <is>
          <t>카카오광고</t>
        </is>
      </c>
      <c r="E2274" s="94" t="inlineStr">
        <is>
          <t>토너</t>
        </is>
      </c>
      <c r="G2274" s="91" t="n"/>
      <c r="J2274" s="129">
        <f>9401.7/1.1/1.1</f>
        <v/>
      </c>
    </row>
    <row r="2275" customFormat="1" s="94">
      <c r="B2275" s="128" t="n">
        <v>44107</v>
      </c>
      <c r="C2275" s="94">
        <f>TEXT(B2275,"aaa")</f>
        <v/>
      </c>
      <c r="D2275" s="94" t="inlineStr">
        <is>
          <t>카카오광고</t>
        </is>
      </c>
      <c r="E2275" s="94" t="inlineStr">
        <is>
          <t>토너</t>
        </is>
      </c>
      <c r="G2275" s="91" t="n"/>
      <c r="J2275" s="129" t="n">
        <v>13900</v>
      </c>
      <c r="K2275" s="145" t="n"/>
      <c r="M2275" s="145" t="n"/>
    </row>
    <row r="2276" customFormat="1" s="94">
      <c r="B2276" s="128" t="n">
        <v>44108</v>
      </c>
      <c r="C2276" s="94">
        <f>TEXT(B2276,"aaa")</f>
        <v/>
      </c>
      <c r="D2276" s="94" t="inlineStr">
        <is>
          <t>카카오광고</t>
        </is>
      </c>
      <c r="E2276" s="94" t="inlineStr">
        <is>
          <t>토너</t>
        </is>
      </c>
      <c r="G2276" s="91" t="n"/>
      <c r="J2276" s="129" t="n">
        <v>15540</v>
      </c>
      <c r="K2276" s="145" t="n"/>
      <c r="M2276" s="145" t="n"/>
    </row>
    <row r="2277" hidden="1" customFormat="1" s="94">
      <c r="B2277" s="128" t="n">
        <v>44097</v>
      </c>
      <c r="C2277" s="94">
        <f>TEXT(B2277,"aaa")</f>
        <v/>
      </c>
      <c r="D2277" s="94" t="inlineStr">
        <is>
          <t>문자대표</t>
        </is>
      </c>
      <c r="E2277" s="94" t="inlineStr">
        <is>
          <t>토너</t>
        </is>
      </c>
      <c r="G2277" s="91" t="n"/>
      <c r="J2277" s="129" t="n">
        <v>900</v>
      </c>
    </row>
    <row r="2278" hidden="1" customFormat="1" s="94">
      <c r="B2278" s="128" t="n">
        <v>44102</v>
      </c>
      <c r="C2278" s="94">
        <f>TEXT(B2278,"aaa")</f>
        <v/>
      </c>
      <c r="D2278" s="94" t="inlineStr">
        <is>
          <t>문자대표</t>
        </is>
      </c>
      <c r="E2278" s="94" t="inlineStr">
        <is>
          <t>토너</t>
        </is>
      </c>
      <c r="G2278" s="91" t="n"/>
      <c r="J2278" s="129" t="n">
        <v>210</v>
      </c>
    </row>
    <row r="2279" hidden="1" customFormat="1" s="94">
      <c r="B2279" s="128" t="n">
        <v>44094</v>
      </c>
      <c r="C2279" s="94">
        <f>TEXT(B2279,"aaa")</f>
        <v/>
      </c>
      <c r="D2279" s="94" t="inlineStr">
        <is>
          <t>유튜브 디스커버리</t>
        </is>
      </c>
      <c r="E2279" s="94" t="inlineStr">
        <is>
          <t>토너</t>
        </is>
      </c>
      <c r="G2279" s="91" t="n"/>
      <c r="J2279" s="129" t="n">
        <v>716242</v>
      </c>
    </row>
    <row r="2280" hidden="1" customFormat="1" s="94">
      <c r="B2280" s="128" t="n">
        <v>44095</v>
      </c>
      <c r="C2280" s="94">
        <f>TEXT(B2280,"aaa")</f>
        <v/>
      </c>
      <c r="D2280" s="94" t="inlineStr">
        <is>
          <t>유튜브 디스커버리</t>
        </is>
      </c>
      <c r="E2280" s="94" t="inlineStr">
        <is>
          <t>토너</t>
        </is>
      </c>
      <c r="G2280" s="91" t="n"/>
      <c r="J2280" s="129" t="n">
        <v>365864</v>
      </c>
    </row>
    <row r="2281" hidden="1" customFormat="1" s="94">
      <c r="B2281" s="128" t="n">
        <v>44096</v>
      </c>
      <c r="C2281" s="94">
        <f>TEXT(B2281,"aaa")</f>
        <v/>
      </c>
      <c r="D2281" s="94" t="inlineStr">
        <is>
          <t>유튜브 디스커버리</t>
        </is>
      </c>
      <c r="E2281" s="94" t="inlineStr">
        <is>
          <t>토너</t>
        </is>
      </c>
      <c r="G2281" s="91" t="n"/>
      <c r="J2281" s="129" t="n">
        <v>13853</v>
      </c>
    </row>
    <row r="2282" hidden="1" customFormat="1" s="94">
      <c r="B2282" s="128" t="n">
        <v>44097</v>
      </c>
      <c r="C2282" s="94">
        <f>TEXT(B2282,"aaa")</f>
        <v/>
      </c>
      <c r="D2282" s="94" t="inlineStr">
        <is>
          <t>유튜브 디스커버리</t>
        </is>
      </c>
      <c r="E2282" s="94" t="inlineStr">
        <is>
          <t>토너</t>
        </is>
      </c>
      <c r="G2282" s="91" t="n"/>
      <c r="J2282" s="129" t="n">
        <v>733412</v>
      </c>
    </row>
    <row r="2283" hidden="1" customFormat="1" s="94">
      <c r="B2283" s="128" t="n">
        <v>44098</v>
      </c>
      <c r="C2283" s="94">
        <f>TEXT(B2283,"aaa")</f>
        <v/>
      </c>
      <c r="D2283" s="94" t="inlineStr">
        <is>
          <t>유튜브 디스커버리</t>
        </is>
      </c>
      <c r="E2283" s="94" t="inlineStr">
        <is>
          <t>토너</t>
        </is>
      </c>
      <c r="G2283" s="91" t="n"/>
      <c r="J2283" s="129" t="n">
        <v>312293</v>
      </c>
    </row>
    <row r="2284" hidden="1" customFormat="1" s="94">
      <c r="B2284" s="128" t="n">
        <v>44101</v>
      </c>
      <c r="C2284" s="94">
        <f>TEXT(B2284,"aaa")</f>
        <v/>
      </c>
      <c r="D2284" s="94" t="inlineStr">
        <is>
          <t>유튜브 디스커버리</t>
        </is>
      </c>
      <c r="E2284" s="94" t="inlineStr">
        <is>
          <t>토너</t>
        </is>
      </c>
      <c r="G2284" s="91" t="n"/>
      <c r="J2284" s="129" t="n">
        <v>627057</v>
      </c>
    </row>
    <row r="2285" hidden="1" customFormat="1" s="94">
      <c r="B2285" s="128" t="n">
        <v>44107</v>
      </c>
      <c r="C2285" s="94">
        <f>TEXT(B2285,"aaa")</f>
        <v/>
      </c>
      <c r="D2285" s="94" t="inlineStr">
        <is>
          <t>유튜브 디스커버리</t>
        </is>
      </c>
      <c r="E2285" s="94" t="inlineStr">
        <is>
          <t>토너</t>
        </is>
      </c>
      <c r="G2285" s="91" t="n"/>
      <c r="J2285" s="129" t="n">
        <v>842650</v>
      </c>
    </row>
    <row r="2286" hidden="1" customFormat="1" s="94">
      <c r="B2286" s="128" t="n">
        <v>44108</v>
      </c>
      <c r="C2286" s="94">
        <f>TEXT(B2286,"aaa")</f>
        <v/>
      </c>
      <c r="D2286" s="94" t="inlineStr">
        <is>
          <t>유튜브 디스커버리</t>
        </is>
      </c>
      <c r="E2286" s="94" t="inlineStr">
        <is>
          <t>토너</t>
        </is>
      </c>
      <c r="G2286" s="91" t="n"/>
      <c r="J2286" s="129" t="n">
        <v>945485</v>
      </c>
    </row>
    <row r="2287" hidden="1" customFormat="1" s="94">
      <c r="B2287" s="128" t="n">
        <v>44109</v>
      </c>
      <c r="C2287" s="94">
        <f>TEXT(B2287,"aaa")</f>
        <v/>
      </c>
      <c r="D2287" s="94" t="inlineStr">
        <is>
          <t>페이스북/인스타그램</t>
        </is>
      </c>
      <c r="E2287" s="94" t="inlineStr">
        <is>
          <t>토너</t>
        </is>
      </c>
      <c r="G2287" s="91" t="n"/>
      <c r="J2287" s="129" t="n">
        <v>162344</v>
      </c>
    </row>
    <row r="2288" hidden="1" customFormat="1" s="94">
      <c r="B2288" s="128" t="n">
        <v>44110</v>
      </c>
      <c r="C2288" s="94">
        <f>TEXT(B2288,"aaa")</f>
        <v/>
      </c>
      <c r="D2288" s="94" t="inlineStr">
        <is>
          <t>페이스북/인스타그램</t>
        </is>
      </c>
      <c r="E2288" s="94" t="inlineStr">
        <is>
          <t>토너</t>
        </is>
      </c>
      <c r="G2288" s="91" t="n"/>
      <c r="J2288" s="129" t="n">
        <v>299408</v>
      </c>
    </row>
    <row r="2289" hidden="1" customFormat="1" s="94">
      <c r="B2289" s="128" t="n">
        <v>44111</v>
      </c>
      <c r="C2289" s="94">
        <f>TEXT(B2289,"aaa")</f>
        <v/>
      </c>
      <c r="D2289" s="94" t="inlineStr">
        <is>
          <t>페이스북/인스타그램</t>
        </is>
      </c>
      <c r="E2289" s="94" t="inlineStr">
        <is>
          <t>토너</t>
        </is>
      </c>
      <c r="G2289" s="91" t="n"/>
      <c r="J2289" s="129" t="n">
        <v>60293</v>
      </c>
    </row>
    <row r="2290" hidden="1" customFormat="1" s="94">
      <c r="B2290" s="128" t="n">
        <v>44109</v>
      </c>
      <c r="C2290" s="94">
        <f>TEXT(B2290,"aaa")</f>
        <v/>
      </c>
      <c r="D2290" s="94" t="inlineStr">
        <is>
          <t>페이스북/인스타그램</t>
        </is>
      </c>
      <c r="E2290" s="94" t="inlineStr">
        <is>
          <t>토너로션</t>
        </is>
      </c>
      <c r="G2290" s="91" t="n"/>
      <c r="J2290" s="129" t="n">
        <v>128769</v>
      </c>
    </row>
    <row r="2291" hidden="1" customFormat="1" s="94">
      <c r="B2291" s="128" t="n">
        <v>44110</v>
      </c>
      <c r="C2291" s="94">
        <f>TEXT(B2291,"aaa")</f>
        <v/>
      </c>
      <c r="D2291" s="94" t="inlineStr">
        <is>
          <t>페이스북/인스타그램</t>
        </is>
      </c>
      <c r="E2291" s="94" t="inlineStr">
        <is>
          <t>토너로션</t>
        </is>
      </c>
      <c r="G2291" s="91" t="n"/>
      <c r="J2291" s="129" t="n">
        <v>286613</v>
      </c>
    </row>
    <row r="2292" hidden="1" customFormat="1" s="94">
      <c r="B2292" s="128" t="n">
        <v>44111</v>
      </c>
      <c r="C2292" s="94">
        <f>TEXT(B2292,"aaa")</f>
        <v/>
      </c>
      <c r="D2292" s="94" t="inlineStr">
        <is>
          <t>페이스북/인스타그램</t>
        </is>
      </c>
      <c r="E2292" s="94" t="inlineStr">
        <is>
          <t>토너로션</t>
        </is>
      </c>
      <c r="G2292" s="91" t="n"/>
      <c r="J2292" s="129" t="n">
        <v>294932</v>
      </c>
    </row>
    <row r="2293" hidden="1" customFormat="1" s="94">
      <c r="B2293" s="128" t="n">
        <v>44112</v>
      </c>
      <c r="C2293" s="94">
        <f>TEXT(B2293,"aaa")</f>
        <v/>
      </c>
      <c r="D2293" s="94" t="inlineStr">
        <is>
          <t>페이스북/인스타그램</t>
        </is>
      </c>
      <c r="E2293" s="94" t="inlineStr">
        <is>
          <t>토너로션</t>
        </is>
      </c>
      <c r="G2293" s="91" t="n"/>
      <c r="J2293" s="129" t="n">
        <v>226414</v>
      </c>
    </row>
    <row r="2294" hidden="1" customFormat="1" s="94">
      <c r="B2294" s="128" t="n">
        <v>44113</v>
      </c>
      <c r="C2294" s="94">
        <f>TEXT(B2294,"aaa")</f>
        <v/>
      </c>
      <c r="D2294" s="94" t="inlineStr">
        <is>
          <t>페이스북/인스타그램</t>
        </is>
      </c>
      <c r="E2294" s="94" t="inlineStr">
        <is>
          <t>토너로션</t>
        </is>
      </c>
      <c r="G2294" s="91" t="n"/>
      <c r="J2294" s="129" t="n">
        <v>101844</v>
      </c>
    </row>
    <row r="2295" hidden="1" customFormat="1" s="94">
      <c r="B2295" s="128" t="n">
        <v>44114</v>
      </c>
      <c r="C2295" s="94">
        <f>TEXT(B2295,"aaa")</f>
        <v/>
      </c>
      <c r="D2295" s="94" t="inlineStr">
        <is>
          <t>페이스북/인스타그램</t>
        </is>
      </c>
      <c r="E2295" s="94" t="inlineStr">
        <is>
          <t>토너로션</t>
        </is>
      </c>
      <c r="G2295" s="91" t="n"/>
      <c r="J2295" s="129" t="n">
        <v>94922</v>
      </c>
    </row>
    <row r="2296" hidden="1" customFormat="1" s="94">
      <c r="B2296" s="128" t="n">
        <v>44115</v>
      </c>
      <c r="C2296" s="94">
        <f>TEXT(B2296,"aaa")</f>
        <v/>
      </c>
      <c r="D2296" s="94" t="inlineStr">
        <is>
          <t>페이스북/인스타그램</t>
        </is>
      </c>
      <c r="E2296" s="94" t="inlineStr">
        <is>
          <t>토너로션</t>
        </is>
      </c>
      <c r="G2296" s="91" t="n"/>
      <c r="J2296" s="129" t="n">
        <v>154644</v>
      </c>
    </row>
    <row r="2297" hidden="1" customFormat="1" s="94">
      <c r="B2297" s="128" t="n">
        <v>44116</v>
      </c>
      <c r="C2297" s="94">
        <f>TEXT(B2297,"aaa")</f>
        <v/>
      </c>
      <c r="D2297" s="94" t="inlineStr">
        <is>
          <t>페이스북/인스타그램</t>
        </is>
      </c>
      <c r="E2297" s="94" t="inlineStr">
        <is>
          <t>토너로션</t>
        </is>
      </c>
      <c r="G2297" s="91" t="n"/>
      <c r="J2297" s="129" t="n">
        <v>163137</v>
      </c>
    </row>
    <row r="2298" hidden="1" customFormat="1" s="94">
      <c r="B2298" s="128" t="n">
        <v>44117</v>
      </c>
      <c r="C2298" s="94">
        <f>TEXT(B2298,"aaa")</f>
        <v/>
      </c>
      <c r="D2298" s="94" t="inlineStr">
        <is>
          <t>페이스북/인스타그램</t>
        </is>
      </c>
      <c r="E2298" s="94" t="inlineStr">
        <is>
          <t>토너로션</t>
        </is>
      </c>
      <c r="G2298" s="91" t="n"/>
      <c r="J2298" s="129" t="n">
        <v>169691</v>
      </c>
    </row>
    <row r="2299" hidden="1" customFormat="1" s="94">
      <c r="B2299" s="128" t="n">
        <v>44118</v>
      </c>
      <c r="C2299" s="94">
        <f>TEXT(B2299,"aaa")</f>
        <v/>
      </c>
      <c r="D2299" s="94" t="inlineStr">
        <is>
          <t>페이스북/인스타그램</t>
        </is>
      </c>
      <c r="E2299" s="94" t="inlineStr">
        <is>
          <t>토너로션</t>
        </is>
      </c>
      <c r="G2299" s="91" t="n"/>
      <c r="J2299" s="129" t="n">
        <v>242887</v>
      </c>
    </row>
    <row r="2300" hidden="1" customFormat="1" s="94">
      <c r="B2300" s="128" t="n">
        <v>44119</v>
      </c>
      <c r="C2300" s="94">
        <f>TEXT(B2300,"aaa")</f>
        <v/>
      </c>
      <c r="D2300" s="94" t="inlineStr">
        <is>
          <t>페이스북/인스타그램</t>
        </is>
      </c>
      <c r="E2300" s="94" t="inlineStr">
        <is>
          <t>토너로션</t>
        </is>
      </c>
      <c r="G2300" s="91" t="n"/>
      <c r="J2300" s="129" t="n">
        <v>366247</v>
      </c>
    </row>
    <row r="2301" hidden="1" customFormat="1" s="94">
      <c r="B2301" s="128" t="n">
        <v>44120</v>
      </c>
      <c r="C2301" s="94">
        <f>TEXT(B2301,"aaa")</f>
        <v/>
      </c>
      <c r="D2301" s="94" t="inlineStr">
        <is>
          <t>페이스북/인스타그램</t>
        </is>
      </c>
      <c r="E2301" s="94" t="inlineStr">
        <is>
          <t>토너로션</t>
        </is>
      </c>
      <c r="G2301" s="91" t="n"/>
      <c r="J2301" s="129" t="n">
        <v>204512</v>
      </c>
    </row>
    <row r="2302" hidden="1" customFormat="1" s="94">
      <c r="B2302" s="128" t="n">
        <v>44121</v>
      </c>
      <c r="C2302" s="94">
        <f>TEXT(B2302,"aaa")</f>
        <v/>
      </c>
      <c r="D2302" s="94" t="inlineStr">
        <is>
          <t>페이스북/인스타그램</t>
        </is>
      </c>
      <c r="E2302" s="94" t="inlineStr">
        <is>
          <t>토너로션</t>
        </is>
      </c>
      <c r="G2302" s="91" t="n"/>
      <c r="J2302" s="129" t="n">
        <v>72440</v>
      </c>
    </row>
    <row r="2303" hidden="1" customFormat="1" s="94">
      <c r="B2303" s="128" t="n">
        <v>44122</v>
      </c>
      <c r="C2303" s="94">
        <f>TEXT(B2303,"aaa")</f>
        <v/>
      </c>
      <c r="D2303" s="94" t="inlineStr">
        <is>
          <t>페이스북/인스타그램</t>
        </is>
      </c>
      <c r="E2303" s="94" t="inlineStr">
        <is>
          <t>토너로션</t>
        </is>
      </c>
      <c r="G2303" s="91" t="n"/>
      <c r="J2303" s="129" t="n">
        <v>104358</v>
      </c>
    </row>
    <row r="2304" hidden="1" customFormat="1" s="94">
      <c r="B2304" s="128" t="n">
        <v>44123</v>
      </c>
      <c r="C2304" s="94">
        <f>TEXT(B2304,"aaa")</f>
        <v/>
      </c>
      <c r="D2304" s="94" t="inlineStr">
        <is>
          <t>페이스북/인스타그램</t>
        </is>
      </c>
      <c r="E2304" s="94" t="inlineStr">
        <is>
          <t>토너로션</t>
        </is>
      </c>
      <c r="G2304" s="91" t="n"/>
      <c r="J2304" s="129" t="n">
        <v>156159</v>
      </c>
    </row>
    <row r="2305" hidden="1" customFormat="1" s="94">
      <c r="B2305" s="128" t="n">
        <v>44109</v>
      </c>
      <c r="C2305" s="94">
        <f>TEXT(B2305,"aaa")</f>
        <v/>
      </c>
      <c r="D2305" s="94" t="inlineStr">
        <is>
          <t>페이스북/인스타그램</t>
        </is>
      </c>
      <c r="E2305" s="94" t="inlineStr">
        <is>
          <t>토너패드</t>
        </is>
      </c>
      <c r="G2305" s="91" t="n"/>
      <c r="J2305" s="94" t="n">
        <v>779174</v>
      </c>
    </row>
    <row r="2306" hidden="1" customFormat="1" s="94">
      <c r="B2306" s="128" t="n">
        <v>44110</v>
      </c>
      <c r="C2306" s="94">
        <f>TEXT(B2306,"aaa")</f>
        <v/>
      </c>
      <c r="D2306" s="94" t="inlineStr">
        <is>
          <t>페이스북/인스타그램</t>
        </is>
      </c>
      <c r="E2306" s="94" t="inlineStr">
        <is>
          <t>토너패드</t>
        </is>
      </c>
      <c r="G2306" s="91" t="n"/>
      <c r="J2306" s="94" t="n">
        <v>822603</v>
      </c>
    </row>
    <row r="2307" hidden="1" customFormat="1" s="94">
      <c r="B2307" s="128" t="n">
        <v>44111</v>
      </c>
      <c r="C2307" s="94">
        <f>TEXT(B2307,"aaa")</f>
        <v/>
      </c>
      <c r="D2307" s="94" t="inlineStr">
        <is>
          <t>페이스북/인스타그램</t>
        </is>
      </c>
      <c r="E2307" s="94" t="inlineStr">
        <is>
          <t>토너패드</t>
        </is>
      </c>
      <c r="G2307" s="91" t="n"/>
      <c r="J2307" s="94" t="n">
        <v>323746</v>
      </c>
    </row>
    <row r="2308" hidden="1" customFormat="1" s="94">
      <c r="B2308" s="128" t="n">
        <v>44109</v>
      </c>
      <c r="C2308" s="94">
        <f>TEXT(B2308,"aaa")</f>
        <v/>
      </c>
      <c r="D2308" s="94" t="inlineStr">
        <is>
          <t>페이스북/인스타그램</t>
        </is>
      </c>
      <c r="E2308" s="94" t="inlineStr">
        <is>
          <t>앰플</t>
        </is>
      </c>
      <c r="G2308" s="91" t="n"/>
      <c r="J2308" s="129" t="n">
        <v>376554</v>
      </c>
    </row>
    <row r="2309" hidden="1" customFormat="1" s="94">
      <c r="B2309" s="128" t="n">
        <v>44110</v>
      </c>
      <c r="C2309" s="94">
        <f>TEXT(B2309,"aaa")</f>
        <v/>
      </c>
      <c r="D2309" s="94" t="inlineStr">
        <is>
          <t>페이스북/인스타그램</t>
        </is>
      </c>
      <c r="E2309" s="94" t="inlineStr">
        <is>
          <t>앰플</t>
        </is>
      </c>
      <c r="G2309" s="91" t="n"/>
      <c r="J2309" s="129" t="n">
        <v>317503</v>
      </c>
    </row>
    <row r="2310" hidden="1" customFormat="1" s="94">
      <c r="B2310" s="128" t="n">
        <v>44111</v>
      </c>
      <c r="C2310" s="94">
        <f>TEXT(B2310,"aaa")</f>
        <v/>
      </c>
      <c r="D2310" s="94" t="inlineStr">
        <is>
          <t>페이스북/인스타그램</t>
        </is>
      </c>
      <c r="E2310" s="94" t="inlineStr">
        <is>
          <t>앰플</t>
        </is>
      </c>
      <c r="G2310" s="91" t="n"/>
      <c r="J2310" s="129" t="n">
        <v>267187</v>
      </c>
    </row>
    <row r="2311" hidden="1" customFormat="1" s="94">
      <c r="B2311" s="128" t="n">
        <v>44112</v>
      </c>
      <c r="C2311" s="94">
        <f>TEXT(B2311,"aaa")</f>
        <v/>
      </c>
      <c r="D2311" s="94" t="inlineStr">
        <is>
          <t>페이스북/인스타그램</t>
        </is>
      </c>
      <c r="E2311" s="94" t="inlineStr">
        <is>
          <t>앰플</t>
        </is>
      </c>
      <c r="G2311" s="91" t="n"/>
      <c r="J2311" s="129" t="n">
        <v>264361</v>
      </c>
    </row>
    <row r="2312" hidden="1" customFormat="1" s="94">
      <c r="B2312" s="128" t="n">
        <v>44113</v>
      </c>
      <c r="C2312" s="94">
        <f>TEXT(B2312,"aaa")</f>
        <v/>
      </c>
      <c r="D2312" s="94" t="inlineStr">
        <is>
          <t>페이스북/인스타그램</t>
        </is>
      </c>
      <c r="E2312" s="94" t="inlineStr">
        <is>
          <t>앰플</t>
        </is>
      </c>
      <c r="G2312" s="91" t="n"/>
      <c r="J2312" s="129" t="n">
        <v>228009</v>
      </c>
    </row>
    <row r="2313" hidden="1" customFormat="1" s="94">
      <c r="B2313" s="128" t="n">
        <v>44114</v>
      </c>
      <c r="C2313" s="94">
        <f>TEXT(B2313,"aaa")</f>
        <v/>
      </c>
      <c r="D2313" s="94" t="inlineStr">
        <is>
          <t>페이스북/인스타그램</t>
        </is>
      </c>
      <c r="E2313" s="94" t="inlineStr">
        <is>
          <t>앰플</t>
        </is>
      </c>
      <c r="G2313" s="91" t="n"/>
      <c r="J2313" s="129" t="n">
        <v>114163</v>
      </c>
    </row>
    <row r="2314" hidden="1" customFormat="1" s="94">
      <c r="B2314" s="128" t="n">
        <v>44115</v>
      </c>
      <c r="C2314" s="94">
        <f>TEXT(B2314,"aaa")</f>
        <v/>
      </c>
      <c r="D2314" s="94" t="inlineStr">
        <is>
          <t>페이스북/인스타그램</t>
        </is>
      </c>
      <c r="E2314" s="94" t="inlineStr">
        <is>
          <t>앰플</t>
        </is>
      </c>
      <c r="G2314" s="91" t="n"/>
      <c r="J2314" s="129" t="n">
        <v>166660</v>
      </c>
    </row>
    <row r="2315" hidden="1" customFormat="1" s="94">
      <c r="B2315" s="128" t="n">
        <v>44116</v>
      </c>
      <c r="C2315" s="94">
        <f>TEXT(B2315,"aaa")</f>
        <v/>
      </c>
      <c r="D2315" s="94" t="inlineStr">
        <is>
          <t>페이스북/인스타그램</t>
        </is>
      </c>
      <c r="E2315" s="94" t="inlineStr">
        <is>
          <t>앰플</t>
        </is>
      </c>
      <c r="G2315" s="91" t="n"/>
      <c r="J2315" s="129" t="n">
        <v>117470</v>
      </c>
    </row>
    <row r="2316" hidden="1" customFormat="1" s="94">
      <c r="B2316" s="128" t="n">
        <v>44117</v>
      </c>
      <c r="C2316" s="94">
        <f>TEXT(B2316,"aaa")</f>
        <v/>
      </c>
      <c r="D2316" s="94" t="inlineStr">
        <is>
          <t>페이스북/인스타그램</t>
        </is>
      </c>
      <c r="E2316" s="94" t="inlineStr">
        <is>
          <t>앰플</t>
        </is>
      </c>
      <c r="G2316" s="91" t="n"/>
      <c r="J2316" s="129" t="n">
        <v>119686</v>
      </c>
    </row>
    <row r="2317" hidden="1" customFormat="1" s="94">
      <c r="B2317" s="128" t="n">
        <v>44118</v>
      </c>
      <c r="C2317" s="94">
        <f>TEXT(B2317,"aaa")</f>
        <v/>
      </c>
      <c r="D2317" s="94" t="inlineStr">
        <is>
          <t>페이스북/인스타그램</t>
        </is>
      </c>
      <c r="E2317" s="94" t="inlineStr">
        <is>
          <t>앰플</t>
        </is>
      </c>
      <c r="G2317" s="91" t="n"/>
      <c r="J2317" s="129" t="n">
        <v>146644</v>
      </c>
    </row>
    <row r="2318" hidden="1" customFormat="1" s="94">
      <c r="B2318" s="128" t="n">
        <v>44119</v>
      </c>
      <c r="C2318" s="94">
        <f>TEXT(B2318,"aaa")</f>
        <v/>
      </c>
      <c r="D2318" s="94" t="inlineStr">
        <is>
          <t>페이스북/인스타그램</t>
        </is>
      </c>
      <c r="E2318" s="94" t="inlineStr">
        <is>
          <t>앰플</t>
        </is>
      </c>
      <c r="G2318" s="91" t="n"/>
      <c r="J2318" s="129" t="n">
        <v>158624</v>
      </c>
    </row>
    <row r="2319" hidden="1" customFormat="1" s="94">
      <c r="B2319" s="128" t="n">
        <v>44120</v>
      </c>
      <c r="C2319" s="94">
        <f>TEXT(B2319,"aaa")</f>
        <v/>
      </c>
      <c r="D2319" s="94" t="inlineStr">
        <is>
          <t>페이스북/인스타그램</t>
        </is>
      </c>
      <c r="E2319" s="94" t="inlineStr">
        <is>
          <t>앰플</t>
        </is>
      </c>
      <c r="G2319" s="91" t="n"/>
      <c r="J2319" s="129" t="n">
        <v>116627</v>
      </c>
    </row>
    <row r="2320" hidden="1" customFormat="1" s="94">
      <c r="B2320" s="128" t="n">
        <v>44121</v>
      </c>
      <c r="C2320" s="94">
        <f>TEXT(B2320,"aaa")</f>
        <v/>
      </c>
      <c r="D2320" s="94" t="inlineStr">
        <is>
          <t>페이스북/인스타그램</t>
        </is>
      </c>
      <c r="E2320" s="94" t="inlineStr">
        <is>
          <t>앰플</t>
        </is>
      </c>
      <c r="G2320" s="91" t="n"/>
      <c r="J2320" s="129" t="n">
        <v>106812</v>
      </c>
    </row>
    <row r="2321" hidden="1" customFormat="1" s="94">
      <c r="B2321" s="128" t="n">
        <v>44122</v>
      </c>
      <c r="C2321" s="94">
        <f>TEXT(B2321,"aaa")</f>
        <v/>
      </c>
      <c r="D2321" s="94" t="inlineStr">
        <is>
          <t>페이스북/인스타그램</t>
        </is>
      </c>
      <c r="E2321" s="94" t="inlineStr">
        <is>
          <t>앰플</t>
        </is>
      </c>
      <c r="G2321" s="91" t="n"/>
      <c r="J2321" s="129" t="n">
        <v>81251</v>
      </c>
    </row>
    <row r="2322" hidden="1" customFormat="1" s="94">
      <c r="B2322" s="128" t="n">
        <v>44123</v>
      </c>
      <c r="C2322" s="94">
        <f>TEXT(B2322,"aaa")</f>
        <v/>
      </c>
      <c r="D2322" s="94" t="inlineStr">
        <is>
          <t>페이스북/인스타그램</t>
        </is>
      </c>
      <c r="E2322" s="94" t="inlineStr">
        <is>
          <t>앰플</t>
        </is>
      </c>
      <c r="G2322" s="91" t="n"/>
      <c r="J2322" s="129" t="n">
        <v>104094</v>
      </c>
    </row>
    <row r="2323" hidden="1" customFormat="1" s="94">
      <c r="B2323" s="128" t="n">
        <v>44109</v>
      </c>
      <c r="C2323" s="94">
        <f>TEXT(B2323,"aaa")</f>
        <v/>
      </c>
      <c r="D2323" s="94" t="inlineStr">
        <is>
          <t>페이스북/인스타그램</t>
        </is>
      </c>
      <c r="E2323" s="94" t="inlineStr">
        <is>
          <t>머크마</t>
        </is>
      </c>
      <c r="G2323" s="91" t="n"/>
      <c r="J2323" s="129" t="n">
        <v>11288</v>
      </c>
    </row>
    <row r="2324" hidden="1" customFormat="1" s="94">
      <c r="B2324" s="128" t="n">
        <v>44110</v>
      </c>
      <c r="C2324" s="94">
        <f>TEXT(B2324,"aaa")</f>
        <v/>
      </c>
      <c r="D2324" s="94" t="inlineStr">
        <is>
          <t>페이스북/인스타그램</t>
        </is>
      </c>
      <c r="E2324" s="94" t="inlineStr">
        <is>
          <t>머크마</t>
        </is>
      </c>
      <c r="G2324" s="91" t="n"/>
      <c r="J2324" s="129" t="n">
        <v>94622</v>
      </c>
    </row>
    <row r="2325" hidden="1" customFormat="1" s="94">
      <c r="B2325" s="128" t="n">
        <v>44111</v>
      </c>
      <c r="C2325" s="94">
        <f>TEXT(B2325,"aaa")</f>
        <v/>
      </c>
      <c r="D2325" s="94" t="inlineStr">
        <is>
          <t>페이스북/인스타그램</t>
        </is>
      </c>
      <c r="E2325" s="94" t="inlineStr">
        <is>
          <t>머크마</t>
        </is>
      </c>
      <c r="G2325" s="91" t="n"/>
      <c r="J2325" s="129" t="n">
        <v>170932</v>
      </c>
    </row>
    <row r="2326" hidden="1" customFormat="1" s="94">
      <c r="B2326" s="128" t="n">
        <v>44112</v>
      </c>
      <c r="C2326" s="94">
        <f>TEXT(B2326,"aaa")</f>
        <v/>
      </c>
      <c r="D2326" s="94" t="inlineStr">
        <is>
          <t>페이스북/인스타그램</t>
        </is>
      </c>
      <c r="E2326" s="94" t="inlineStr">
        <is>
          <t>머크마</t>
        </is>
      </c>
      <c r="G2326" s="91" t="n"/>
      <c r="J2326" s="129" t="n">
        <v>100272</v>
      </c>
    </row>
    <row r="2327" hidden="1" customFormat="1" s="94">
      <c r="B2327" s="128" t="n">
        <v>44113</v>
      </c>
      <c r="C2327" s="94">
        <f>TEXT(B2327,"aaa")</f>
        <v/>
      </c>
      <c r="D2327" s="94" t="inlineStr">
        <is>
          <t>페이스북/인스타그램</t>
        </is>
      </c>
      <c r="E2327" s="94" t="inlineStr">
        <is>
          <t>머크마</t>
        </is>
      </c>
      <c r="G2327" s="91" t="n"/>
      <c r="J2327" s="129" t="n">
        <v>93488</v>
      </c>
    </row>
    <row r="2328" hidden="1" customFormat="1" s="94">
      <c r="B2328" s="128" t="n">
        <v>44114</v>
      </c>
      <c r="C2328" s="94">
        <f>TEXT(B2328,"aaa")</f>
        <v/>
      </c>
      <c r="D2328" s="94" t="inlineStr">
        <is>
          <t>페이스북/인스타그램</t>
        </is>
      </c>
      <c r="E2328" s="94" t="inlineStr">
        <is>
          <t>머크마</t>
        </is>
      </c>
      <c r="G2328" s="91" t="n"/>
      <c r="J2328" s="129" t="n">
        <v>54017</v>
      </c>
    </row>
    <row r="2329" hidden="1" customFormat="1" s="94">
      <c r="B2329" s="128" t="n">
        <v>44115</v>
      </c>
      <c r="C2329" s="94">
        <f>TEXT(B2329,"aaa")</f>
        <v/>
      </c>
      <c r="D2329" s="94" t="inlineStr">
        <is>
          <t>페이스북/인스타그램</t>
        </is>
      </c>
      <c r="E2329" s="94" t="inlineStr">
        <is>
          <t>머크마</t>
        </is>
      </c>
      <c r="G2329" s="91" t="n"/>
      <c r="J2329" s="129" t="n">
        <v>50176</v>
      </c>
    </row>
    <row r="2330" hidden="1" customFormat="1" s="94">
      <c r="B2330" s="128" t="n">
        <v>44116</v>
      </c>
      <c r="C2330" s="94">
        <f>TEXT(B2330,"aaa")</f>
        <v/>
      </c>
      <c r="D2330" s="94" t="inlineStr">
        <is>
          <t>페이스북/인스타그램</t>
        </is>
      </c>
      <c r="E2330" s="94" t="inlineStr">
        <is>
          <t>머크마</t>
        </is>
      </c>
      <c r="G2330" s="91" t="n"/>
      <c r="J2330" s="129" t="n">
        <v>54792</v>
      </c>
    </row>
    <row r="2331" hidden="1" customFormat="1" s="94">
      <c r="B2331" s="128" t="n">
        <v>44117</v>
      </c>
      <c r="C2331" s="94">
        <f>TEXT(B2331,"aaa")</f>
        <v/>
      </c>
      <c r="D2331" s="94" t="inlineStr">
        <is>
          <t>페이스북/인스타그램</t>
        </is>
      </c>
      <c r="E2331" s="94" t="inlineStr">
        <is>
          <t>머크마</t>
        </is>
      </c>
      <c r="G2331" s="91" t="n"/>
      <c r="J2331" s="129" t="n">
        <v>147188</v>
      </c>
    </row>
    <row r="2332" hidden="1" customFormat="1" s="94">
      <c r="B2332" s="128" t="n">
        <v>44118</v>
      </c>
      <c r="C2332" s="94">
        <f>TEXT(B2332,"aaa")</f>
        <v/>
      </c>
      <c r="D2332" s="94" t="inlineStr">
        <is>
          <t>페이스북/인스타그램</t>
        </is>
      </c>
      <c r="E2332" s="94" t="inlineStr">
        <is>
          <t>머크마</t>
        </is>
      </c>
      <c r="G2332" s="91" t="n"/>
      <c r="J2332" s="129" t="n">
        <v>511957</v>
      </c>
    </row>
    <row r="2333" hidden="1" customFormat="1" s="94">
      <c r="B2333" s="128" t="n">
        <v>44119</v>
      </c>
      <c r="C2333" s="94">
        <f>TEXT(B2333,"aaa")</f>
        <v/>
      </c>
      <c r="D2333" s="94" t="inlineStr">
        <is>
          <t>페이스북/인스타그램</t>
        </is>
      </c>
      <c r="E2333" s="94" t="inlineStr">
        <is>
          <t>머크마</t>
        </is>
      </c>
      <c r="G2333" s="91" t="n"/>
      <c r="J2333" s="129" t="n">
        <v>262634</v>
      </c>
    </row>
    <row r="2334" hidden="1" customFormat="1" s="94">
      <c r="B2334" s="128" t="n">
        <v>44120</v>
      </c>
      <c r="C2334" s="94">
        <f>TEXT(B2334,"aaa")</f>
        <v/>
      </c>
      <c r="D2334" s="94" t="inlineStr">
        <is>
          <t>페이스북/인스타그램</t>
        </is>
      </c>
      <c r="E2334" s="94" t="inlineStr">
        <is>
          <t>머크마</t>
        </is>
      </c>
      <c r="G2334" s="91" t="n"/>
      <c r="J2334" s="129" t="n">
        <v>284781</v>
      </c>
    </row>
    <row r="2335" hidden="1" customFormat="1" s="94">
      <c r="B2335" s="128" t="n">
        <v>44121</v>
      </c>
      <c r="C2335" s="94">
        <f>TEXT(B2335,"aaa")</f>
        <v/>
      </c>
      <c r="D2335" s="94" t="inlineStr">
        <is>
          <t>페이스북/인스타그램</t>
        </is>
      </c>
      <c r="E2335" s="94" t="inlineStr">
        <is>
          <t>머크마</t>
        </is>
      </c>
      <c r="G2335" s="91" t="n"/>
      <c r="J2335" s="129" t="n">
        <v>453685</v>
      </c>
    </row>
    <row r="2336" hidden="1" customFormat="1" s="94">
      <c r="B2336" s="128" t="n">
        <v>44122</v>
      </c>
      <c r="C2336" s="94">
        <f>TEXT(B2336,"aaa")</f>
        <v/>
      </c>
      <c r="D2336" s="94" t="inlineStr">
        <is>
          <t>페이스북/인스타그램</t>
        </is>
      </c>
      <c r="E2336" s="94" t="inlineStr">
        <is>
          <t>머크마</t>
        </is>
      </c>
      <c r="G2336" s="91" t="n"/>
      <c r="J2336" s="129" t="n">
        <v>448994</v>
      </c>
    </row>
    <row r="2337" hidden="1" customFormat="1" s="94">
      <c r="B2337" s="128" t="n">
        <v>44123</v>
      </c>
      <c r="C2337" s="94">
        <f>TEXT(B2337,"aaa")</f>
        <v/>
      </c>
      <c r="D2337" s="94" t="inlineStr">
        <is>
          <t>페이스북/인스타그램</t>
        </is>
      </c>
      <c r="E2337" s="94" t="inlineStr">
        <is>
          <t>머크마</t>
        </is>
      </c>
      <c r="G2337" s="91" t="n"/>
      <c r="J2337" s="129" t="n">
        <v>1196397</v>
      </c>
    </row>
    <row r="2338" hidden="1" customFormat="1" s="94">
      <c r="B2338" s="128" t="n">
        <v>44109</v>
      </c>
      <c r="C2338" s="94">
        <f>TEXT(B2338,"aaa")</f>
        <v/>
      </c>
      <c r="D2338" s="94" t="inlineStr">
        <is>
          <t>네이버 GFA</t>
        </is>
      </c>
      <c r="E2338" s="94" t="inlineStr">
        <is>
          <t>토너</t>
        </is>
      </c>
      <c r="F2338" s="146" t="n"/>
      <c r="G2338" s="91" t="n"/>
      <c r="J2338" s="129">
        <f>124966.363636364/1.1</f>
        <v/>
      </c>
      <c r="K2338" s="145" t="n"/>
    </row>
    <row r="2339" hidden="1" customFormat="1" s="94">
      <c r="B2339" s="128" t="n">
        <v>44110</v>
      </c>
      <c r="C2339" s="94">
        <f>TEXT(B2339,"aaa")</f>
        <v/>
      </c>
      <c r="D2339" s="94" t="inlineStr">
        <is>
          <t>네이버 GFA</t>
        </is>
      </c>
      <c r="E2339" s="94" t="inlineStr">
        <is>
          <t>토너</t>
        </is>
      </c>
      <c r="F2339" s="146" t="n"/>
      <c r="G2339" s="91" t="n"/>
      <c r="J2339" s="129">
        <f>106837.272727273/1.1</f>
        <v/>
      </c>
      <c r="K2339" s="145" t="n"/>
    </row>
    <row r="2340" hidden="1" customFormat="1" s="94">
      <c r="B2340" s="128" t="n">
        <v>44109</v>
      </c>
      <c r="C2340" s="94">
        <f>TEXT(B2340,"aaa")</f>
        <v/>
      </c>
      <c r="D2340" s="94" t="inlineStr">
        <is>
          <t>네이버 쇼핑검색</t>
        </is>
      </c>
      <c r="E2340" s="94" t="inlineStr">
        <is>
          <t>토너</t>
        </is>
      </c>
      <c r="F2340" s="146" t="n"/>
      <c r="G2340" s="91" t="n"/>
      <c r="J2340" s="129" t="n">
        <v>32770</v>
      </c>
    </row>
    <row r="2341" hidden="1" customFormat="1" s="94">
      <c r="B2341" s="128" t="n">
        <v>44110</v>
      </c>
      <c r="C2341" s="94">
        <f>TEXT(B2341,"aaa")</f>
        <v/>
      </c>
      <c r="D2341" s="94" t="inlineStr">
        <is>
          <t>네이버 쇼핑검색</t>
        </is>
      </c>
      <c r="E2341" s="94" t="inlineStr">
        <is>
          <t>토너</t>
        </is>
      </c>
      <c r="F2341" s="146" t="n"/>
      <c r="G2341" s="91" t="n"/>
      <c r="J2341" s="129" t="n">
        <v>22450</v>
      </c>
    </row>
    <row r="2342" hidden="1" customFormat="1" s="94">
      <c r="B2342" s="128" t="n">
        <v>44110</v>
      </c>
      <c r="C2342" s="94">
        <f>TEXT(B2342,"aaa")</f>
        <v/>
      </c>
      <c r="D2342" s="94" t="inlineStr">
        <is>
          <t>유튜브 디스커버리</t>
        </is>
      </c>
      <c r="E2342" s="94" t="inlineStr">
        <is>
          <t>토너</t>
        </is>
      </c>
      <c r="F2342" s="146" t="n"/>
      <c r="G2342" s="91" t="n"/>
      <c r="J2342" s="129" t="n">
        <v>1829630</v>
      </c>
      <c r="M2342" s="73" t="n"/>
    </row>
    <row r="2343" hidden="1" customFormat="1" s="94">
      <c r="B2343" s="128" t="n">
        <v>44109</v>
      </c>
      <c r="C2343" s="94">
        <f>TEXT(B2343,"aaa")</f>
        <v/>
      </c>
      <c r="D2343" s="94" t="inlineStr">
        <is>
          <t>네이버 브랜드검색</t>
        </is>
      </c>
      <c r="E2343" s="94" t="inlineStr">
        <is>
          <t>토너</t>
        </is>
      </c>
      <c r="F2343" s="146" t="n"/>
      <c r="G2343" s="91" t="n"/>
      <c r="J2343" s="129" t="n">
        <v>50000</v>
      </c>
    </row>
    <row r="2344" hidden="1" customFormat="1" s="94">
      <c r="B2344" s="128" t="n">
        <v>44110</v>
      </c>
      <c r="C2344" s="94">
        <f>TEXT(B2344,"aaa")</f>
        <v/>
      </c>
      <c r="D2344" s="94" t="inlineStr">
        <is>
          <t>네이버 브랜드검색</t>
        </is>
      </c>
      <c r="E2344" s="94" t="inlineStr">
        <is>
          <t>토너</t>
        </is>
      </c>
      <c r="F2344" s="146" t="n"/>
      <c r="G2344" s="91" t="n"/>
      <c r="J2344" s="129" t="n">
        <v>50000</v>
      </c>
    </row>
    <row r="2345" hidden="1" customFormat="1" s="94">
      <c r="B2345" s="128" t="n">
        <v>44111</v>
      </c>
      <c r="C2345" s="94">
        <f>TEXT(B2345,"aaa")</f>
        <v/>
      </c>
      <c r="D2345" s="94" t="inlineStr">
        <is>
          <t>네이버 브랜드검색</t>
        </is>
      </c>
      <c r="E2345" s="94" t="inlineStr">
        <is>
          <t>토너</t>
        </is>
      </c>
      <c r="F2345" s="146" t="n"/>
      <c r="G2345" s="91" t="n"/>
      <c r="J2345" s="129" t="n">
        <v>50000</v>
      </c>
    </row>
    <row r="2346" hidden="1" customFormat="1" s="94">
      <c r="B2346" s="128" t="n">
        <v>44112</v>
      </c>
      <c r="C2346" s="94">
        <f>TEXT(B2346,"aaa")</f>
        <v/>
      </c>
      <c r="D2346" s="94" t="inlineStr">
        <is>
          <t>네이버 브랜드검색</t>
        </is>
      </c>
      <c r="E2346" s="94" t="inlineStr">
        <is>
          <t>토너</t>
        </is>
      </c>
      <c r="G2346" s="91" t="n"/>
      <c r="J2346" s="129" t="n">
        <v>50000</v>
      </c>
    </row>
    <row r="2347" hidden="1" customFormat="1" s="94">
      <c r="B2347" s="128" t="n">
        <v>44113</v>
      </c>
      <c r="C2347" s="94">
        <f>TEXT(B2347,"aaa")</f>
        <v/>
      </c>
      <c r="D2347" s="94" t="inlineStr">
        <is>
          <t>네이버 브랜드검색</t>
        </is>
      </c>
      <c r="E2347" s="94" t="inlineStr">
        <is>
          <t>토너</t>
        </is>
      </c>
      <c r="G2347" s="91" t="n"/>
      <c r="J2347" s="129" t="n">
        <v>50000</v>
      </c>
    </row>
    <row r="2348" hidden="1" customFormat="1" s="94">
      <c r="B2348" s="128" t="n">
        <v>44114</v>
      </c>
      <c r="C2348" s="94">
        <f>TEXT(B2348,"aaa")</f>
        <v/>
      </c>
      <c r="D2348" s="94" t="inlineStr">
        <is>
          <t>네이버 브랜드검색</t>
        </is>
      </c>
      <c r="E2348" s="94" t="inlineStr">
        <is>
          <t>토너</t>
        </is>
      </c>
      <c r="G2348" s="91" t="n"/>
      <c r="J2348" s="129" t="n">
        <v>50000</v>
      </c>
    </row>
    <row r="2349" hidden="1" customFormat="1" s="94">
      <c r="B2349" s="128" t="n">
        <v>44115</v>
      </c>
      <c r="C2349" s="94">
        <f>TEXT(B2349,"aaa")</f>
        <v/>
      </c>
      <c r="D2349" s="94" t="inlineStr">
        <is>
          <t>네이버 브랜드검색</t>
        </is>
      </c>
      <c r="E2349" s="94" t="inlineStr">
        <is>
          <t>토너</t>
        </is>
      </c>
      <c r="G2349" s="91" t="n"/>
      <c r="J2349" s="129" t="n">
        <v>50000</v>
      </c>
    </row>
    <row r="2350" hidden="1" customFormat="1" s="94">
      <c r="B2350" s="128" t="n">
        <v>44116</v>
      </c>
      <c r="C2350" s="94">
        <f>TEXT(B2350,"aaa")</f>
        <v/>
      </c>
      <c r="D2350" s="94" t="inlineStr">
        <is>
          <t>네이버 브랜드검색</t>
        </is>
      </c>
      <c r="E2350" s="94" t="inlineStr">
        <is>
          <t>토너</t>
        </is>
      </c>
      <c r="G2350" s="91" t="n"/>
      <c r="J2350" s="129" t="n">
        <v>50000</v>
      </c>
    </row>
    <row r="2351" hidden="1" customFormat="1" s="94">
      <c r="B2351" s="128" t="n">
        <v>44117</v>
      </c>
      <c r="C2351" s="94">
        <f>TEXT(B2351,"aaa")</f>
        <v/>
      </c>
      <c r="D2351" s="94" t="inlineStr">
        <is>
          <t>네이버 브랜드검색</t>
        </is>
      </c>
      <c r="E2351" s="94" t="inlineStr">
        <is>
          <t>토너</t>
        </is>
      </c>
      <c r="G2351" s="91" t="n"/>
      <c r="J2351" s="129" t="n">
        <v>50000</v>
      </c>
    </row>
    <row r="2352" hidden="1" customFormat="1" s="94">
      <c r="B2352" s="128" t="n">
        <v>44118</v>
      </c>
      <c r="C2352" s="94">
        <f>TEXT(B2352,"aaa")</f>
        <v/>
      </c>
      <c r="D2352" s="94" t="inlineStr">
        <is>
          <t>네이버 브랜드검색</t>
        </is>
      </c>
      <c r="E2352" s="94" t="inlineStr">
        <is>
          <t>토너</t>
        </is>
      </c>
      <c r="G2352" s="91" t="n"/>
      <c r="J2352" s="129" t="n">
        <v>50000</v>
      </c>
    </row>
    <row r="2353" hidden="1" customFormat="1" s="94">
      <c r="B2353" s="128" t="n">
        <v>44119</v>
      </c>
      <c r="C2353" s="94">
        <f>TEXT(B2353,"aaa")</f>
        <v/>
      </c>
      <c r="D2353" s="94" t="inlineStr">
        <is>
          <t>네이버 브랜드검색</t>
        </is>
      </c>
      <c r="E2353" s="94" t="inlineStr">
        <is>
          <t>토너</t>
        </is>
      </c>
      <c r="G2353" s="91" t="n"/>
      <c r="J2353" s="129" t="n">
        <v>50000</v>
      </c>
    </row>
    <row r="2354" hidden="1" customFormat="1" s="94">
      <c r="B2354" s="128" t="n">
        <v>44120</v>
      </c>
      <c r="C2354" s="94">
        <f>TEXT(B2354,"aaa")</f>
        <v/>
      </c>
      <c r="D2354" s="94" t="inlineStr">
        <is>
          <t>네이버 브랜드검색</t>
        </is>
      </c>
      <c r="E2354" s="94" t="inlineStr">
        <is>
          <t>토너</t>
        </is>
      </c>
      <c r="G2354" s="91" t="n"/>
      <c r="J2354" s="129" t="n">
        <v>50000</v>
      </c>
    </row>
    <row r="2355" hidden="1" customFormat="1" s="94">
      <c r="B2355" s="128" t="n">
        <v>44121</v>
      </c>
      <c r="C2355" s="94">
        <f>TEXT(B2355,"aaa")</f>
        <v/>
      </c>
      <c r="D2355" s="94" t="inlineStr">
        <is>
          <t>네이버 브랜드검색</t>
        </is>
      </c>
      <c r="E2355" s="94" t="inlineStr">
        <is>
          <t>토너</t>
        </is>
      </c>
      <c r="G2355" s="91" t="n"/>
      <c r="J2355" s="129" t="n">
        <v>50000</v>
      </c>
    </row>
    <row r="2356" hidden="1" customFormat="1" s="94">
      <c r="B2356" s="128" t="n">
        <v>44122</v>
      </c>
      <c r="C2356" s="94">
        <f>TEXT(B2356,"aaa")</f>
        <v/>
      </c>
      <c r="D2356" s="94" t="inlineStr">
        <is>
          <t>네이버 브랜드검색</t>
        </is>
      </c>
      <c r="E2356" s="94" t="inlineStr">
        <is>
          <t>토너</t>
        </is>
      </c>
      <c r="G2356" s="91" t="n"/>
      <c r="J2356" s="129" t="n">
        <v>50000</v>
      </c>
    </row>
    <row r="2357" hidden="1" customFormat="1" s="94">
      <c r="B2357" s="128" t="n">
        <v>44123</v>
      </c>
      <c r="C2357" s="94">
        <f>TEXT(B2357,"aaa")</f>
        <v/>
      </c>
      <c r="D2357" s="94" t="inlineStr">
        <is>
          <t>네이버 브랜드검색</t>
        </is>
      </c>
      <c r="E2357" s="94" t="inlineStr">
        <is>
          <t>토너</t>
        </is>
      </c>
      <c r="G2357" s="91" t="n"/>
      <c r="J2357" s="129" t="n">
        <v>50000</v>
      </c>
    </row>
    <row r="2358" customFormat="1" s="94">
      <c r="B2358" s="128" t="n">
        <v>44109</v>
      </c>
      <c r="C2358" s="94">
        <f>TEXT(B2358,"aaa")</f>
        <v/>
      </c>
      <c r="D2358" s="94" t="inlineStr">
        <is>
          <t>카카오광고</t>
        </is>
      </c>
      <c r="E2358" s="94" t="inlineStr">
        <is>
          <t>토너</t>
        </is>
      </c>
      <c r="G2358" s="91" t="n"/>
      <c r="J2358" s="129" t="n">
        <v>9590</v>
      </c>
      <c r="K2358" s="145" t="n"/>
      <c r="M2358" s="145" t="n"/>
    </row>
    <row r="2359" customFormat="1" s="94">
      <c r="B2359" s="128" t="n">
        <v>44110</v>
      </c>
      <c r="C2359" s="94">
        <f>TEXT(B2359,"aaa")</f>
        <v/>
      </c>
      <c r="D2359" s="94" t="inlineStr">
        <is>
          <t>카카오광고</t>
        </is>
      </c>
      <c r="E2359" s="94" t="inlineStr">
        <is>
          <t>토너</t>
        </is>
      </c>
      <c r="G2359" s="91" t="n"/>
      <c r="J2359" s="129" t="n">
        <v>6540</v>
      </c>
      <c r="K2359" s="145" t="n"/>
      <c r="M2359" s="145" t="n"/>
    </row>
    <row r="2360" hidden="1" customFormat="1" s="94">
      <c r="B2360" s="128" t="n">
        <v>44124</v>
      </c>
      <c r="C2360" s="94" t="inlineStr">
        <is>
          <t>화</t>
        </is>
      </c>
      <c r="D2360" s="94" t="inlineStr">
        <is>
          <t>네이버 GFA</t>
        </is>
      </c>
      <c r="J2360" s="129" t="n">
        <v>0</v>
      </c>
    </row>
    <row r="2361" hidden="1" customFormat="1" s="94">
      <c r="B2361" s="128" t="n">
        <v>44124</v>
      </c>
      <c r="C2361" s="94" t="inlineStr">
        <is>
          <t>화</t>
        </is>
      </c>
      <c r="D2361" s="94" t="inlineStr">
        <is>
          <t>네이버 쇼핑검색</t>
        </is>
      </c>
      <c r="J2361" s="129" t="n">
        <v>0</v>
      </c>
    </row>
    <row r="2362" hidden="1" customFormat="1" s="94">
      <c r="B2362" s="128" t="n">
        <v>44124</v>
      </c>
      <c r="C2362" s="94" t="inlineStr">
        <is>
          <t>화</t>
        </is>
      </c>
      <c r="D2362" s="94" t="inlineStr">
        <is>
          <t>네이버 브랜드검색</t>
        </is>
      </c>
      <c r="E2362" s="94" t="inlineStr">
        <is>
          <t>토너</t>
        </is>
      </c>
      <c r="J2362" s="129">
        <f>50000</f>
        <v/>
      </c>
    </row>
    <row r="2363" hidden="1" customFormat="1" s="94">
      <c r="B2363" s="128" t="n">
        <v>44124</v>
      </c>
      <c r="C2363" s="94" t="inlineStr">
        <is>
          <t>화</t>
        </is>
      </c>
      <c r="D2363" s="94" t="inlineStr">
        <is>
          <t>유튜브 디스커버리</t>
        </is>
      </c>
      <c r="J2363" s="129" t="n">
        <v>0</v>
      </c>
    </row>
    <row r="2364" hidden="1" customFormat="1" s="94">
      <c r="B2364" s="128" t="n">
        <v>44124</v>
      </c>
      <c r="C2364" s="94" t="inlineStr">
        <is>
          <t>화</t>
        </is>
      </c>
      <c r="D2364" s="94" t="inlineStr">
        <is>
          <t>페이스북/인스타그램</t>
        </is>
      </c>
      <c r="E2364" s="94" t="inlineStr">
        <is>
          <t>토너로션</t>
        </is>
      </c>
      <c r="J2364" s="129" t="n">
        <v>256759</v>
      </c>
    </row>
    <row r="2365" hidden="1" customFormat="1" s="94">
      <c r="B2365" s="128" t="n">
        <v>44124</v>
      </c>
      <c r="C2365" s="94" t="inlineStr">
        <is>
          <t>화</t>
        </is>
      </c>
      <c r="D2365" s="94" t="inlineStr">
        <is>
          <t>페이스북/인스타그램</t>
        </is>
      </c>
      <c r="E2365" s="94" t="inlineStr">
        <is>
          <t>앰플</t>
        </is>
      </c>
      <c r="J2365" s="129" t="n">
        <v>104461</v>
      </c>
    </row>
    <row r="2366" hidden="1" customFormat="1" s="94">
      <c r="B2366" s="128" t="n">
        <v>44124</v>
      </c>
      <c r="C2366" s="94" t="inlineStr">
        <is>
          <t>화</t>
        </is>
      </c>
      <c r="D2366" s="94" t="inlineStr">
        <is>
          <t>페이스북/인스타그램</t>
        </is>
      </c>
      <c r="E2366" s="94" t="inlineStr">
        <is>
          <t>머크마</t>
        </is>
      </c>
      <c r="J2366" s="129">
        <f>1014981-104461</f>
        <v/>
      </c>
    </row>
    <row r="2367" customFormat="1" s="94">
      <c r="B2367" s="128" t="n">
        <v>44124</v>
      </c>
      <c r="C2367" s="94" t="inlineStr">
        <is>
          <t>화</t>
        </is>
      </c>
      <c r="D2367" s="94" t="inlineStr">
        <is>
          <t>카카오광고</t>
        </is>
      </c>
      <c r="J2367" s="129" t="n">
        <v>0</v>
      </c>
    </row>
    <row r="2368" hidden="1" customFormat="1" s="94">
      <c r="B2368" s="128" t="n">
        <v>44125</v>
      </c>
      <c r="C2368" s="94">
        <f>TEXT(B2368,"aaa")</f>
        <v/>
      </c>
      <c r="D2368" s="94" t="inlineStr">
        <is>
          <t>페이스북/인스타그램</t>
        </is>
      </c>
      <c r="E2368" s="94" t="inlineStr">
        <is>
          <t>토너로션</t>
        </is>
      </c>
      <c r="G2368" s="91" t="n"/>
      <c r="J2368" s="129" t="n">
        <v>71895</v>
      </c>
    </row>
    <row r="2369" hidden="1" customFormat="1" s="94">
      <c r="B2369" s="128" t="n">
        <v>44125</v>
      </c>
      <c r="C2369" s="94">
        <f>TEXT(B2369,"aaa")</f>
        <v/>
      </c>
      <c r="D2369" s="94" t="inlineStr">
        <is>
          <t>페이스북/인스타그램</t>
        </is>
      </c>
      <c r="E2369" s="94" t="inlineStr">
        <is>
          <t>앰플</t>
        </is>
      </c>
      <c r="G2369" s="91" t="n"/>
      <c r="J2369" s="129" t="n">
        <v>87699</v>
      </c>
    </row>
    <row r="2370" hidden="1" customFormat="1" s="94">
      <c r="B2370" s="128" t="n">
        <v>44125</v>
      </c>
      <c r="C2370" s="94">
        <f>TEXT(B2370,"aaa")</f>
        <v/>
      </c>
      <c r="D2370" s="94" t="inlineStr">
        <is>
          <t>페이스북/인스타그램</t>
        </is>
      </c>
      <c r="E2370" s="94" t="inlineStr">
        <is>
          <t>머크마</t>
        </is>
      </c>
      <c r="G2370" s="91" t="n"/>
      <c r="J2370" s="129">
        <f>952894-87699</f>
        <v/>
      </c>
    </row>
    <row r="2371" hidden="1" customFormat="1" s="94">
      <c r="B2371" s="128" t="n">
        <v>44125</v>
      </c>
      <c r="C2371" s="94">
        <f>TEXT(B2371,"aaa")</f>
        <v/>
      </c>
      <c r="D2371" s="94" t="inlineStr">
        <is>
          <t>네이버 GFA</t>
        </is>
      </c>
      <c r="G2371" s="91" t="n"/>
      <c r="J2371" s="129" t="n">
        <v>0</v>
      </c>
    </row>
    <row r="2372" hidden="1" customFormat="1" s="94">
      <c r="B2372" s="128" t="n">
        <v>44125</v>
      </c>
      <c r="C2372" s="94">
        <f>TEXT(B2372,"aaa")</f>
        <v/>
      </c>
      <c r="D2372" s="94" t="inlineStr">
        <is>
          <t>네이버 브랜드검색</t>
        </is>
      </c>
      <c r="E2372" s="94" t="inlineStr">
        <is>
          <t>토너</t>
        </is>
      </c>
      <c r="G2372" s="91" t="n"/>
      <c r="J2372" s="129">
        <f>50000</f>
        <v/>
      </c>
    </row>
    <row r="2373" hidden="1" customFormat="1" s="94">
      <c r="B2373" s="128" t="n">
        <v>44125</v>
      </c>
      <c r="C2373" s="94">
        <f>TEXT(B2373,"aaa")</f>
        <v/>
      </c>
      <c r="D2373" s="94" t="inlineStr">
        <is>
          <t>네이버 쇼핑검색</t>
        </is>
      </c>
      <c r="G2373" s="91" t="n"/>
      <c r="J2373" s="129" t="n">
        <v>0</v>
      </c>
    </row>
    <row r="2374" customFormat="1" s="94">
      <c r="B2374" s="128" t="n">
        <v>44125</v>
      </c>
      <c r="C2374" s="94">
        <f>TEXT(B2374,"aaa")</f>
        <v/>
      </c>
      <c r="D2374" s="94" t="inlineStr">
        <is>
          <t>카카오광고</t>
        </is>
      </c>
      <c r="G2374" s="91" t="n"/>
      <c r="J2374" s="129" t="n">
        <v>0</v>
      </c>
    </row>
    <row r="2375" hidden="1" customFormat="1" s="94">
      <c r="B2375" s="128" t="n">
        <v>44125</v>
      </c>
      <c r="C2375" s="94">
        <f>TEXT(B2375,"aaa")</f>
        <v/>
      </c>
      <c r="D2375" s="94" t="inlineStr">
        <is>
          <t>유튜브 디스커버리</t>
        </is>
      </c>
      <c r="G2375" s="91" t="n"/>
      <c r="J2375" s="129" t="n">
        <v>0</v>
      </c>
    </row>
    <row r="2376" hidden="1" customFormat="1" s="94">
      <c r="B2376" s="128" t="n">
        <v>44126</v>
      </c>
      <c r="C2376" s="94">
        <f>TEXT(B2376,"aaa")</f>
        <v/>
      </c>
      <c r="D2376" s="94" t="inlineStr">
        <is>
          <t>페이스북/인스타그램</t>
        </is>
      </c>
      <c r="E2376" s="94" t="inlineStr">
        <is>
          <t>토너로션</t>
        </is>
      </c>
      <c r="G2376" s="91" t="n"/>
      <c r="J2376" s="129" t="n">
        <v>0</v>
      </c>
    </row>
    <row r="2377" hidden="1" customFormat="1" s="94">
      <c r="B2377" s="128" t="n">
        <v>44126</v>
      </c>
      <c r="C2377" s="94">
        <f>TEXT(B2377,"aaa")</f>
        <v/>
      </c>
      <c r="D2377" s="94" t="inlineStr">
        <is>
          <t>페이스북/인스타그램</t>
        </is>
      </c>
      <c r="E2377" s="94" t="inlineStr">
        <is>
          <t>앰플</t>
        </is>
      </c>
      <c r="G2377" s="91" t="n"/>
      <c r="J2377" s="129" t="n">
        <v>53826</v>
      </c>
    </row>
    <row r="2378" hidden="1" customFormat="1" s="94">
      <c r="B2378" s="128" t="n">
        <v>44126</v>
      </c>
      <c r="C2378" s="94">
        <f>TEXT(B2378,"aaa")</f>
        <v/>
      </c>
      <c r="D2378" s="94" t="inlineStr">
        <is>
          <t>페이스북/인스타그램</t>
        </is>
      </c>
      <c r="E2378" s="94" t="inlineStr">
        <is>
          <t>머크마</t>
        </is>
      </c>
      <c r="G2378" s="91" t="n"/>
      <c r="J2378" s="129">
        <f>569248-53826</f>
        <v/>
      </c>
    </row>
    <row r="2379" hidden="1" customFormat="1" s="94">
      <c r="B2379" s="128" t="n">
        <v>44126</v>
      </c>
      <c r="C2379" s="94">
        <f>TEXT(B2379,"aaa")</f>
        <v/>
      </c>
      <c r="D2379" s="94" t="inlineStr">
        <is>
          <t>네이버 GFA</t>
        </is>
      </c>
      <c r="G2379" s="91" t="n"/>
      <c r="J2379" s="129" t="n">
        <v>0</v>
      </c>
    </row>
    <row r="2380" hidden="1" customFormat="1" s="94">
      <c r="B2380" s="128" t="n">
        <v>44126</v>
      </c>
      <c r="C2380" s="94">
        <f>TEXT(B2380,"aaa")</f>
        <v/>
      </c>
      <c r="D2380" s="94" t="inlineStr">
        <is>
          <t>네이버 브랜드검색</t>
        </is>
      </c>
      <c r="E2380" s="94" t="inlineStr">
        <is>
          <t>토너</t>
        </is>
      </c>
      <c r="G2380" s="91" t="n"/>
      <c r="J2380" s="129">
        <f>50000</f>
        <v/>
      </c>
    </row>
    <row r="2381" hidden="1" customFormat="1" s="94">
      <c r="B2381" s="128" t="n">
        <v>44126</v>
      </c>
      <c r="C2381" s="94">
        <f>TEXT(B2381,"aaa")</f>
        <v/>
      </c>
      <c r="D2381" s="94" t="inlineStr">
        <is>
          <t>네이버 쇼핑검색</t>
        </is>
      </c>
      <c r="G2381" s="91" t="n"/>
      <c r="J2381" s="129" t="n">
        <v>0</v>
      </c>
    </row>
    <row r="2382" customFormat="1" s="94">
      <c r="B2382" s="128" t="n">
        <v>44126</v>
      </c>
      <c r="C2382" s="94">
        <f>TEXT(B2382,"aaa")</f>
        <v/>
      </c>
      <c r="D2382" s="94" t="inlineStr">
        <is>
          <t>카카오광고</t>
        </is>
      </c>
      <c r="G2382" s="91" t="n"/>
      <c r="J2382" s="129" t="n">
        <v>0</v>
      </c>
    </row>
    <row r="2383" hidden="1" customFormat="1" s="94">
      <c r="B2383" s="128" t="n">
        <v>44126</v>
      </c>
      <c r="C2383" s="94">
        <f>TEXT(B2383,"aaa")</f>
        <v/>
      </c>
      <c r="D2383" s="94" t="inlineStr">
        <is>
          <t>유튜브 디스커버리</t>
        </is>
      </c>
      <c r="G2383" s="91" t="n"/>
      <c r="J2383" s="129" t="n">
        <v>0</v>
      </c>
    </row>
    <row r="2384" hidden="1" customFormat="1" s="94">
      <c r="B2384" s="128" t="n">
        <v>44127</v>
      </c>
      <c r="C2384" s="94">
        <f>TEXT(B2384,"aaa")</f>
        <v/>
      </c>
      <c r="D2384" s="94" t="inlineStr">
        <is>
          <t>페이스북/인스타그램</t>
        </is>
      </c>
      <c r="E2384" s="94" t="inlineStr">
        <is>
          <t>토너패드</t>
        </is>
      </c>
      <c r="G2384" s="91" t="n"/>
      <c r="J2384" s="129" t="n">
        <v>184340</v>
      </c>
    </row>
    <row r="2385" hidden="1" customFormat="1" s="94">
      <c r="B2385" s="128" t="n">
        <v>44127</v>
      </c>
      <c r="C2385" s="94">
        <f>TEXT(B2385,"aaa")</f>
        <v/>
      </c>
      <c r="D2385" s="94" t="inlineStr">
        <is>
          <t>페이스북/인스타그램</t>
        </is>
      </c>
      <c r="E2385" s="94" t="inlineStr">
        <is>
          <t>앰플</t>
        </is>
      </c>
      <c r="G2385" s="91" t="n"/>
      <c r="J2385" s="129" t="n">
        <v>28306</v>
      </c>
    </row>
    <row r="2386" hidden="1" customFormat="1" s="94">
      <c r="B2386" s="128" t="n">
        <v>44127</v>
      </c>
      <c r="C2386" s="94">
        <f>TEXT(B2386,"aaa")</f>
        <v/>
      </c>
      <c r="D2386" s="94" t="inlineStr">
        <is>
          <t>페이스북/인스타그램</t>
        </is>
      </c>
      <c r="E2386" s="94" t="inlineStr">
        <is>
          <t>머크마</t>
        </is>
      </c>
      <c r="G2386" s="91" t="n"/>
      <c r="J2386" s="94">
        <f>92882+62790</f>
        <v/>
      </c>
    </row>
    <row r="2387" hidden="1" customFormat="1" s="94">
      <c r="B2387" s="128" t="n">
        <v>44127</v>
      </c>
      <c r="C2387" s="94">
        <f>TEXT(B2387,"aaa")</f>
        <v/>
      </c>
      <c r="D2387" s="94" t="inlineStr">
        <is>
          <t>네이버 브랜드검색</t>
        </is>
      </c>
      <c r="E2387" s="94" t="inlineStr">
        <is>
          <t>토너</t>
        </is>
      </c>
      <c r="G2387" s="91" t="n"/>
      <c r="J2387" s="129">
        <f>50000</f>
        <v/>
      </c>
    </row>
    <row r="2388" hidden="1" customFormat="1" s="94">
      <c r="B2388" s="128" t="n">
        <v>44127</v>
      </c>
      <c r="C2388" s="94">
        <f>TEXT(B2388,"aaa")</f>
        <v/>
      </c>
      <c r="D2388" s="94" t="inlineStr">
        <is>
          <t>네이버 GFA</t>
        </is>
      </c>
      <c r="G2388" s="91" t="n"/>
      <c r="J2388" s="129" t="n">
        <v>0</v>
      </c>
    </row>
    <row r="2389" hidden="1" customFormat="1" s="94">
      <c r="B2389" s="128" t="n">
        <v>44127</v>
      </c>
      <c r="C2389" s="94">
        <f>TEXT(B2389,"aaa")</f>
        <v/>
      </c>
      <c r="D2389" s="94" t="inlineStr">
        <is>
          <t>네이버 쇼핑검색</t>
        </is>
      </c>
      <c r="G2389" s="91" t="n"/>
      <c r="J2389" s="129" t="n">
        <v>0</v>
      </c>
    </row>
    <row r="2390" customFormat="1" s="94">
      <c r="B2390" s="128" t="n">
        <v>44127</v>
      </c>
      <c r="C2390" s="94">
        <f>TEXT(B2390,"aaa")</f>
        <v/>
      </c>
      <c r="D2390" s="94" t="inlineStr">
        <is>
          <t>카카오광고</t>
        </is>
      </c>
      <c r="G2390" s="91" t="n"/>
      <c r="J2390" s="129" t="n">
        <v>0</v>
      </c>
    </row>
    <row r="2391" hidden="1" customFormat="1" s="94">
      <c r="B2391" s="128" t="n">
        <v>44127</v>
      </c>
      <c r="C2391" s="94">
        <f>TEXT(B2391,"aaa")</f>
        <v/>
      </c>
      <c r="D2391" s="94" t="inlineStr">
        <is>
          <t>유튜브 디스커버리</t>
        </is>
      </c>
      <c r="G2391" s="91" t="n"/>
      <c r="J2391" s="129" t="n">
        <v>0</v>
      </c>
    </row>
    <row r="2392" hidden="1" customFormat="1" s="94">
      <c r="B2392" s="128" t="n">
        <v>44128</v>
      </c>
      <c r="C2392" s="94">
        <f>TEXT(B2392,"aaa")</f>
        <v/>
      </c>
      <c r="D2392" s="94" t="inlineStr">
        <is>
          <t>페이스북/인스타그램</t>
        </is>
      </c>
      <c r="E2392" s="94" t="inlineStr">
        <is>
          <t>토너패드</t>
        </is>
      </c>
      <c r="G2392" s="91" t="n"/>
      <c r="J2392" s="129" t="n">
        <v>430540</v>
      </c>
    </row>
    <row r="2393" hidden="1" customFormat="1" s="94">
      <c r="B2393" s="128" t="n">
        <v>44128</v>
      </c>
      <c r="C2393" s="94">
        <f>TEXT(B2393,"aaa")</f>
        <v/>
      </c>
      <c r="D2393" s="94" t="inlineStr">
        <is>
          <t>페이스북/인스타그램</t>
        </is>
      </c>
      <c r="E2393" s="94" t="inlineStr">
        <is>
          <t>앰플</t>
        </is>
      </c>
      <c r="G2393" s="91" t="n"/>
      <c r="J2393" s="129" t="n">
        <v>0</v>
      </c>
    </row>
    <row r="2394" hidden="1" customFormat="1" s="94">
      <c r="B2394" s="128" t="n">
        <v>44128</v>
      </c>
      <c r="C2394" s="94">
        <f>TEXT(B2394,"aaa")</f>
        <v/>
      </c>
      <c r="D2394" s="94" t="inlineStr">
        <is>
          <t>페이스북/인스타그램</t>
        </is>
      </c>
      <c r="E2394" s="94" t="inlineStr">
        <is>
          <t>머크마</t>
        </is>
      </c>
      <c r="G2394" s="91" t="n"/>
      <c r="J2394" s="129">
        <f>47921+64335</f>
        <v/>
      </c>
    </row>
    <row r="2395" hidden="1" customFormat="1" s="94">
      <c r="B2395" s="128" t="n">
        <v>44128</v>
      </c>
      <c r="C2395" s="94">
        <f>TEXT(B2395,"aaa")</f>
        <v/>
      </c>
      <c r="D2395" s="94" t="inlineStr">
        <is>
          <t>네이버 브랜드검색</t>
        </is>
      </c>
      <c r="E2395" s="94" t="inlineStr">
        <is>
          <t>토너</t>
        </is>
      </c>
      <c r="G2395" s="91" t="n"/>
      <c r="J2395" s="129">
        <f>50000</f>
        <v/>
      </c>
    </row>
    <row r="2396" hidden="1" customFormat="1" s="94">
      <c r="B2396" s="128" t="n">
        <v>44128</v>
      </c>
      <c r="C2396" s="94">
        <f>TEXT(B2396,"aaa")</f>
        <v/>
      </c>
      <c r="D2396" s="94" t="inlineStr">
        <is>
          <t>네이버 GFA</t>
        </is>
      </c>
      <c r="G2396" s="91" t="n"/>
      <c r="J2396" s="129" t="n">
        <v>0</v>
      </c>
    </row>
    <row r="2397" hidden="1" customFormat="1" s="94">
      <c r="B2397" s="128" t="n">
        <v>44128</v>
      </c>
      <c r="C2397" s="94">
        <f>TEXT(B2397,"aaa")</f>
        <v/>
      </c>
      <c r="D2397" s="94" t="inlineStr">
        <is>
          <t>네이버 쇼핑검색</t>
        </is>
      </c>
      <c r="G2397" s="91" t="n"/>
      <c r="J2397" s="129" t="n">
        <v>0</v>
      </c>
    </row>
    <row r="2398" customFormat="1" s="94">
      <c r="B2398" s="128" t="n">
        <v>44128</v>
      </c>
      <c r="C2398" s="94">
        <f>TEXT(B2398,"aaa")</f>
        <v/>
      </c>
      <c r="D2398" s="94" t="inlineStr">
        <is>
          <t>카카오광고</t>
        </is>
      </c>
      <c r="G2398" s="91" t="n"/>
      <c r="J2398" s="129" t="n">
        <v>0</v>
      </c>
    </row>
    <row r="2399" hidden="1" customFormat="1" s="94">
      <c r="B2399" s="128" t="n">
        <v>44128</v>
      </c>
      <c r="C2399" s="94">
        <f>TEXT(B2399,"aaa")</f>
        <v/>
      </c>
      <c r="D2399" s="94" t="inlineStr">
        <is>
          <t>유튜브 디스커버리</t>
        </is>
      </c>
      <c r="G2399" s="91" t="n"/>
      <c r="J2399" s="129" t="n">
        <v>0</v>
      </c>
    </row>
    <row r="2400" hidden="1" customFormat="1" s="94">
      <c r="B2400" s="128" t="n">
        <v>44129</v>
      </c>
      <c r="C2400" s="94">
        <f>TEXT(B2400,"aaa")</f>
        <v/>
      </c>
      <c r="D2400" s="94" t="inlineStr">
        <is>
          <t>페이스북/인스타그램</t>
        </is>
      </c>
      <c r="E2400" s="94" t="inlineStr">
        <is>
          <t>토너패드</t>
        </is>
      </c>
      <c r="G2400" s="91" t="n"/>
      <c r="J2400" s="129" t="n">
        <v>652211</v>
      </c>
    </row>
    <row r="2401" hidden="1" customFormat="1" s="94">
      <c r="B2401" s="128" t="n">
        <v>44129</v>
      </c>
      <c r="C2401" s="94">
        <f>TEXT(B2401,"aaa")</f>
        <v/>
      </c>
      <c r="D2401" s="94" t="inlineStr">
        <is>
          <t>페이스북/인스타그램</t>
        </is>
      </c>
      <c r="E2401" s="94" t="inlineStr">
        <is>
          <t>앰플</t>
        </is>
      </c>
      <c r="G2401" s="91" t="n"/>
      <c r="J2401" s="129" t="n">
        <v>0</v>
      </c>
    </row>
    <row r="2402" hidden="1" customFormat="1" s="94">
      <c r="B2402" s="128" t="n">
        <v>44129</v>
      </c>
      <c r="C2402" s="94">
        <f>TEXT(B2402,"aaa")</f>
        <v/>
      </c>
      <c r="D2402" s="94" t="inlineStr">
        <is>
          <t>페이스북/인스타그램</t>
        </is>
      </c>
      <c r="E2402" s="94" t="inlineStr">
        <is>
          <t>머크마</t>
        </is>
      </c>
      <c r="G2402" s="91" t="n"/>
      <c r="J2402" s="129">
        <f>94656+50383</f>
        <v/>
      </c>
    </row>
    <row r="2403" hidden="1" customFormat="1" s="94">
      <c r="B2403" s="128" t="n">
        <v>44129</v>
      </c>
      <c r="C2403" s="94">
        <f>TEXT(B2403,"aaa")</f>
        <v/>
      </c>
      <c r="D2403" s="94" t="inlineStr">
        <is>
          <t>네이버 브랜드검색</t>
        </is>
      </c>
      <c r="E2403" s="94" t="inlineStr">
        <is>
          <t>토너</t>
        </is>
      </c>
      <c r="G2403" s="91" t="n"/>
      <c r="J2403" s="129">
        <f>50000</f>
        <v/>
      </c>
    </row>
    <row r="2404" hidden="1" customFormat="1" s="94">
      <c r="B2404" s="128" t="n">
        <v>44129</v>
      </c>
      <c r="C2404" s="94">
        <f>TEXT(B2404,"aaa")</f>
        <v/>
      </c>
      <c r="D2404" s="94" t="inlineStr">
        <is>
          <t>네이버 GFA</t>
        </is>
      </c>
      <c r="G2404" s="91" t="n"/>
      <c r="J2404" s="129" t="n">
        <v>0</v>
      </c>
    </row>
    <row r="2405" hidden="1" customFormat="1" s="94">
      <c r="B2405" s="128" t="n">
        <v>44129</v>
      </c>
      <c r="C2405" s="94">
        <f>TEXT(B2405,"aaa")</f>
        <v/>
      </c>
      <c r="D2405" s="94" t="inlineStr">
        <is>
          <t>네이버 쇼핑검색</t>
        </is>
      </c>
      <c r="G2405" s="91" t="n"/>
      <c r="J2405" s="129" t="n">
        <v>0</v>
      </c>
    </row>
    <row r="2406" customFormat="1" s="94">
      <c r="B2406" s="128" t="n">
        <v>44129</v>
      </c>
      <c r="C2406" s="94">
        <f>TEXT(B2406,"aaa")</f>
        <v/>
      </c>
      <c r="D2406" s="94" t="inlineStr">
        <is>
          <t>카카오광고</t>
        </is>
      </c>
      <c r="G2406" s="91" t="n"/>
      <c r="J2406" s="129" t="n">
        <v>0</v>
      </c>
    </row>
    <row r="2407" hidden="1" customFormat="1" s="94">
      <c r="B2407" s="128" t="n">
        <v>44129</v>
      </c>
      <c r="C2407" s="94">
        <f>TEXT(B2407,"aaa")</f>
        <v/>
      </c>
      <c r="D2407" s="94" t="inlineStr">
        <is>
          <t>유튜브 디스커버리</t>
        </is>
      </c>
      <c r="G2407" s="91" t="n"/>
      <c r="J2407" s="129" t="n">
        <v>0</v>
      </c>
    </row>
    <row r="2408" hidden="1" customFormat="1" s="94">
      <c r="B2408" s="128" t="n">
        <v>44130</v>
      </c>
      <c r="C2408" s="94">
        <f>TEXT(B2408,"aaa")</f>
        <v/>
      </c>
      <c r="D2408" s="94" t="inlineStr">
        <is>
          <t>페이스북/인스타그램</t>
        </is>
      </c>
      <c r="E2408" s="94" t="inlineStr">
        <is>
          <t>토너패드</t>
        </is>
      </c>
      <c r="G2408" s="91" t="n"/>
      <c r="J2408" s="129" t="n">
        <v>975473</v>
      </c>
    </row>
    <row r="2409" hidden="1" customFormat="1" s="94">
      <c r="B2409" s="128" t="n">
        <v>44130</v>
      </c>
      <c r="C2409" s="94">
        <f>TEXT(B2409,"aaa")</f>
        <v/>
      </c>
      <c r="D2409" s="94" t="inlineStr">
        <is>
          <t>페이스북/인스타그램</t>
        </is>
      </c>
      <c r="E2409" s="94" t="inlineStr">
        <is>
          <t>머크마</t>
        </is>
      </c>
      <c r="G2409" s="91" t="n"/>
      <c r="J2409" s="129" t="n">
        <v>228009</v>
      </c>
    </row>
    <row r="2410" hidden="1" customFormat="1" s="94">
      <c r="B2410" s="128" t="n">
        <v>44130</v>
      </c>
      <c r="C2410" s="94">
        <f>TEXT(B2410,"aaa")</f>
        <v/>
      </c>
      <c r="D2410" s="94" t="inlineStr">
        <is>
          <t>네이버 브랜드검색</t>
        </is>
      </c>
      <c r="E2410" s="94" t="inlineStr">
        <is>
          <t>토너</t>
        </is>
      </c>
      <c r="G2410" s="91" t="n"/>
      <c r="J2410" s="129">
        <f>50000</f>
        <v/>
      </c>
    </row>
    <row r="2411" customFormat="1" s="94">
      <c r="B2411" s="128" t="n">
        <v>44130</v>
      </c>
      <c r="C2411" s="94">
        <f>TEXT(B2411,"aaa")</f>
        <v/>
      </c>
      <c r="D2411" s="94" t="inlineStr">
        <is>
          <t>카카오광고</t>
        </is>
      </c>
      <c r="G2411" s="91" t="n"/>
      <c r="J2411" s="129" t="n">
        <v>0</v>
      </c>
    </row>
    <row r="2412" hidden="1" customFormat="1" s="94">
      <c r="B2412" s="128" t="n">
        <v>44130</v>
      </c>
      <c r="C2412" s="94">
        <f>TEXT(B2412,"aaa")</f>
        <v/>
      </c>
      <c r="D2412" s="94" t="inlineStr">
        <is>
          <t>네이버 GFA</t>
        </is>
      </c>
      <c r="G2412" s="91" t="n"/>
      <c r="J2412" s="129" t="n">
        <v>0</v>
      </c>
    </row>
    <row r="2413" hidden="1" customFormat="1" s="94">
      <c r="B2413" s="128" t="n">
        <v>44130</v>
      </c>
      <c r="C2413" s="94">
        <f>TEXT(B2413,"aaa")</f>
        <v/>
      </c>
      <c r="D2413" s="94" t="inlineStr">
        <is>
          <t>네이버 쇼핑검색</t>
        </is>
      </c>
      <c r="G2413" s="91" t="n"/>
      <c r="J2413" s="129" t="n">
        <v>0</v>
      </c>
    </row>
    <row r="2414" hidden="1" customFormat="1" s="94">
      <c r="B2414" s="128" t="n">
        <v>44130</v>
      </c>
      <c r="C2414" s="94">
        <f>TEXT(B2414,"aaa")</f>
        <v/>
      </c>
      <c r="D2414" s="94" t="inlineStr">
        <is>
          <t>유튜브 디스커버리</t>
        </is>
      </c>
      <c r="G2414" s="91" t="n"/>
      <c r="J2414" s="129" t="n">
        <v>0</v>
      </c>
    </row>
    <row r="2415" hidden="1" customFormat="1" s="94">
      <c r="B2415" s="128" t="n">
        <v>44131</v>
      </c>
      <c r="C2415" s="94">
        <f>TEXT(B2415,"aaa")</f>
        <v/>
      </c>
      <c r="D2415" s="94" t="inlineStr">
        <is>
          <t>네이버 브랜드검색</t>
        </is>
      </c>
      <c r="E2415" s="94" t="inlineStr">
        <is>
          <t>토너</t>
        </is>
      </c>
      <c r="G2415" s="91" t="n"/>
      <c r="J2415" s="129">
        <f>50000</f>
        <v/>
      </c>
    </row>
    <row r="2416" customFormat="1" s="94">
      <c r="B2416" s="128" t="n">
        <v>44131</v>
      </c>
      <c r="C2416" s="94">
        <f>TEXT(B2416,"aaa")</f>
        <v/>
      </c>
      <c r="D2416" s="94" t="inlineStr">
        <is>
          <t>카카오광고</t>
        </is>
      </c>
      <c r="G2416" s="91" t="n"/>
      <c r="J2416" s="129" t="n">
        <v>0</v>
      </c>
    </row>
    <row r="2417" hidden="1" customFormat="1" s="94">
      <c r="B2417" s="128" t="n">
        <v>44131</v>
      </c>
      <c r="C2417" s="94">
        <f>TEXT(B2417,"aaa")</f>
        <v/>
      </c>
      <c r="D2417" s="94" t="inlineStr">
        <is>
          <t>네이버 GFA</t>
        </is>
      </c>
      <c r="G2417" s="91" t="n"/>
      <c r="J2417" s="129" t="n">
        <v>0</v>
      </c>
    </row>
    <row r="2418" hidden="1" customFormat="1" s="94">
      <c r="B2418" s="128" t="n">
        <v>44131</v>
      </c>
      <c r="C2418" s="94">
        <f>TEXT(B2418,"aaa")</f>
        <v/>
      </c>
      <c r="D2418" s="94" t="inlineStr">
        <is>
          <t>네이버 쇼핑검색</t>
        </is>
      </c>
      <c r="G2418" s="91" t="n"/>
      <c r="J2418" s="129" t="n">
        <v>0</v>
      </c>
    </row>
    <row r="2419" hidden="1" customFormat="1" s="94">
      <c r="B2419" s="128" t="n">
        <v>44131</v>
      </c>
      <c r="C2419" s="94">
        <f>TEXT(B2419,"aaa")</f>
        <v/>
      </c>
      <c r="D2419" s="94" t="inlineStr">
        <is>
          <t>유튜브 디스커버리</t>
        </is>
      </c>
      <c r="G2419" s="91" t="n"/>
      <c r="J2419" s="129" t="n">
        <v>0</v>
      </c>
    </row>
    <row r="2420" hidden="1" customFormat="1" s="94">
      <c r="B2420" s="128" t="n">
        <v>44131</v>
      </c>
      <c r="C2420" s="94">
        <f>TEXT(B2420,"aaa")</f>
        <v/>
      </c>
      <c r="D2420" s="94" t="inlineStr">
        <is>
          <t>페이스북/인스타그램</t>
        </is>
      </c>
      <c r="E2420" s="94" t="inlineStr">
        <is>
          <t>토너패드</t>
        </is>
      </c>
      <c r="G2420" s="91" t="n"/>
      <c r="J2420" s="129" t="n">
        <v>907870</v>
      </c>
    </row>
    <row r="2421" hidden="1" customFormat="1" s="94">
      <c r="B2421" s="128" t="n">
        <v>44131</v>
      </c>
      <c r="C2421" s="94">
        <f>TEXT(B2421,"aaa")</f>
        <v/>
      </c>
      <c r="D2421" s="94" t="inlineStr">
        <is>
          <t>페이스북/인스타그램</t>
        </is>
      </c>
      <c r="E2421" s="94" t="inlineStr">
        <is>
          <t>머크마</t>
        </is>
      </c>
      <c r="G2421" s="91" t="n"/>
      <c r="J2421" s="129" t="n">
        <v>210011</v>
      </c>
    </row>
    <row r="2422" hidden="1" customFormat="1" s="94">
      <c r="B2422" s="128" t="n">
        <v>44131</v>
      </c>
      <c r="C2422" s="94">
        <f>TEXT(B2422,"aaa")</f>
        <v/>
      </c>
      <c r="D2422" s="94" t="inlineStr">
        <is>
          <t>페이스북/인스타그램</t>
        </is>
      </c>
      <c r="E2422" s="94" t="inlineStr">
        <is>
          <t>앰플</t>
        </is>
      </c>
      <c r="G2422" s="91" t="n"/>
      <c r="J2422" s="129" t="n">
        <v>101099</v>
      </c>
    </row>
    <row r="2423" hidden="1" customFormat="1" s="94">
      <c r="B2423" s="128" t="n">
        <v>44131</v>
      </c>
      <c r="C2423" s="94">
        <f>TEXT(B2423,"aaa")</f>
        <v/>
      </c>
      <c r="D2423" s="94" t="inlineStr">
        <is>
          <t>네이버 브랜드검색</t>
        </is>
      </c>
      <c r="E2423" s="94" t="inlineStr">
        <is>
          <t>토너</t>
        </is>
      </c>
      <c r="G2423" s="91" t="n"/>
      <c r="J2423" s="129">
        <f>50000</f>
        <v/>
      </c>
    </row>
    <row r="2424" hidden="1" customFormat="1" s="94">
      <c r="B2424" s="128" t="n">
        <v>44131</v>
      </c>
      <c r="C2424" s="94">
        <f>TEXT(B2424,"aaa")</f>
        <v/>
      </c>
      <c r="D2424" s="94" t="inlineStr">
        <is>
          <t>네이버 GFA</t>
        </is>
      </c>
      <c r="G2424" s="91" t="n"/>
      <c r="J2424" s="129" t="n">
        <v>0</v>
      </c>
    </row>
    <row r="2425" hidden="1" customFormat="1" s="94">
      <c r="B2425" s="128" t="n">
        <v>44131</v>
      </c>
      <c r="C2425" s="94">
        <f>TEXT(B2425,"aaa")</f>
        <v/>
      </c>
      <c r="D2425" s="94" t="inlineStr">
        <is>
          <t>네이버 쇼핑검색</t>
        </is>
      </c>
      <c r="G2425" s="91" t="n"/>
      <c r="J2425" s="129" t="n">
        <v>0</v>
      </c>
    </row>
    <row r="2426" hidden="1" customFormat="1" s="94">
      <c r="B2426" s="128" t="n">
        <v>44131</v>
      </c>
      <c r="C2426" s="94">
        <f>TEXT(B2426,"aaa")</f>
        <v/>
      </c>
      <c r="D2426" s="94" t="inlineStr">
        <is>
          <t>유튜브 디스커버리</t>
        </is>
      </c>
      <c r="G2426" s="91" t="n"/>
      <c r="J2426" s="129" t="n">
        <v>0</v>
      </c>
    </row>
    <row r="2427" hidden="1" customFormat="1" s="94">
      <c r="B2427" s="128" t="n">
        <v>44132</v>
      </c>
      <c r="C2427" s="94">
        <f>TEXT(B2427,"aaa")</f>
        <v/>
      </c>
      <c r="D2427" s="94" t="inlineStr">
        <is>
          <t>페이스북/인스타그램</t>
        </is>
      </c>
      <c r="E2427" s="94" t="inlineStr">
        <is>
          <t>토너패드</t>
        </is>
      </c>
      <c r="G2427" s="91" t="n"/>
      <c r="J2427" s="129" t="n">
        <v>822775</v>
      </c>
    </row>
    <row r="2428" hidden="1" customFormat="1" s="94">
      <c r="B2428" s="128" t="n">
        <v>44132</v>
      </c>
      <c r="C2428" s="94">
        <f>TEXT(B2428,"aaa")</f>
        <v/>
      </c>
      <c r="D2428" s="94" t="inlineStr">
        <is>
          <t>페이스북/인스타그램</t>
        </is>
      </c>
      <c r="E2428" s="94" t="inlineStr">
        <is>
          <t>토너</t>
        </is>
      </c>
      <c r="G2428" s="91" t="n"/>
      <c r="J2428" s="129" t="n">
        <v>78561</v>
      </c>
    </row>
    <row r="2429" hidden="1" customFormat="1" s="94">
      <c r="B2429" s="128" t="n">
        <v>44132</v>
      </c>
      <c r="C2429" s="94">
        <f>TEXT(B2429,"aaa")</f>
        <v/>
      </c>
      <c r="D2429" s="94" t="inlineStr">
        <is>
          <t>페이스북/인스타그램</t>
        </is>
      </c>
      <c r="E2429" s="94" t="inlineStr">
        <is>
          <t>머크마</t>
        </is>
      </c>
      <c r="G2429" s="91" t="n"/>
      <c r="J2429" s="129">
        <f>307473-185467</f>
        <v/>
      </c>
    </row>
    <row r="2430" hidden="1" customFormat="1" s="94">
      <c r="B2430" s="128" t="n">
        <v>44132</v>
      </c>
      <c r="C2430" s="94">
        <f>TEXT(B2430,"aaa")</f>
        <v/>
      </c>
      <c r="D2430" s="94" t="inlineStr">
        <is>
          <t>페이스북/인스타그램</t>
        </is>
      </c>
      <c r="E2430" s="94" t="inlineStr">
        <is>
          <t>앰플</t>
        </is>
      </c>
      <c r="G2430" s="91" t="n"/>
      <c r="J2430" s="129" t="n">
        <v>185467</v>
      </c>
    </row>
    <row r="2431" hidden="1" customFormat="1" s="94">
      <c r="B2431" s="128" t="n">
        <v>44132</v>
      </c>
      <c r="C2431" s="94">
        <f>TEXT(B2431,"aaa")</f>
        <v/>
      </c>
      <c r="D2431" s="94" t="inlineStr">
        <is>
          <t>네이버 브랜드검색</t>
        </is>
      </c>
      <c r="E2431" s="94" t="inlineStr">
        <is>
          <t>토너</t>
        </is>
      </c>
      <c r="G2431" s="91" t="n"/>
      <c r="J2431" s="129">
        <f>50000</f>
        <v/>
      </c>
    </row>
    <row r="2432" customFormat="1" s="94">
      <c r="B2432" s="128" t="n">
        <v>44132</v>
      </c>
      <c r="C2432" s="94">
        <f>TEXT(B2432,"aaa")</f>
        <v/>
      </c>
      <c r="D2432" s="94" t="inlineStr">
        <is>
          <t>카카오광고</t>
        </is>
      </c>
      <c r="E2432" s="94" t="inlineStr">
        <is>
          <t>토너</t>
        </is>
      </c>
      <c r="G2432" s="91" t="n"/>
      <c r="J2432" s="129">
        <f>19305/1.1</f>
        <v/>
      </c>
      <c r="K2432" s="145" t="n"/>
    </row>
    <row r="2433" hidden="1" customFormat="1" s="94">
      <c r="B2433" s="128" t="n">
        <v>44132</v>
      </c>
      <c r="C2433" s="94">
        <f>TEXT(B2433,"aaa")</f>
        <v/>
      </c>
      <c r="D2433" s="94" t="inlineStr">
        <is>
          <t>네이버 쇼핑검색</t>
        </is>
      </c>
      <c r="G2433" s="91" t="n"/>
      <c r="J2433" s="129" t="n">
        <v>0</v>
      </c>
    </row>
    <row r="2434" hidden="1" customFormat="1" s="94">
      <c r="B2434" s="128" t="n">
        <v>44132</v>
      </c>
      <c r="C2434" s="94">
        <f>TEXT(B2434,"aaa")</f>
        <v/>
      </c>
      <c r="D2434" s="94" t="inlineStr">
        <is>
          <t>유튜브 디스커버리</t>
        </is>
      </c>
      <c r="G2434" s="91" t="n"/>
      <c r="J2434" s="129" t="n">
        <v>0</v>
      </c>
    </row>
    <row r="2435" hidden="1" customFormat="1" s="94">
      <c r="B2435" s="128" t="n">
        <v>44133</v>
      </c>
      <c r="C2435" s="94">
        <f>TEXT(B2435,"aaa")</f>
        <v/>
      </c>
      <c r="D2435" s="94" t="inlineStr">
        <is>
          <t>페이스북/인스타그램</t>
        </is>
      </c>
      <c r="E2435" s="94" t="inlineStr">
        <is>
          <t>토너패드</t>
        </is>
      </c>
      <c r="G2435" s="91" t="n"/>
      <c r="J2435" s="129" t="n">
        <v>782743</v>
      </c>
    </row>
    <row r="2436" hidden="1" customFormat="1" s="94">
      <c r="B2436" s="128" t="n">
        <v>44133</v>
      </c>
      <c r="C2436" s="94">
        <f>TEXT(B2436,"aaa")</f>
        <v/>
      </c>
      <c r="D2436" s="94" t="inlineStr">
        <is>
          <t>페이스북/인스타그램</t>
        </is>
      </c>
      <c r="E2436" s="94" t="inlineStr">
        <is>
          <t>토너</t>
        </is>
      </c>
      <c r="G2436" s="91" t="n"/>
      <c r="J2436" s="129" t="n">
        <v>192418</v>
      </c>
    </row>
    <row r="2437" hidden="1" customFormat="1" s="94">
      <c r="B2437" s="128" t="n">
        <v>44133</v>
      </c>
      <c r="C2437" s="94">
        <f>TEXT(B2437,"aaa")</f>
        <v/>
      </c>
      <c r="D2437" s="94" t="inlineStr">
        <is>
          <t>페이스북/인스타그램</t>
        </is>
      </c>
      <c r="E2437" s="94" t="inlineStr">
        <is>
          <t>머크마</t>
        </is>
      </c>
      <c r="G2437" s="91" t="n"/>
      <c r="J2437" s="129">
        <f>99465-10539</f>
        <v/>
      </c>
    </row>
    <row r="2438" hidden="1" customFormat="1" s="94">
      <c r="B2438" s="128" t="n">
        <v>44133</v>
      </c>
      <c r="C2438" s="94">
        <f>TEXT(B2438,"aaa")</f>
        <v/>
      </c>
      <c r="D2438" s="94" t="inlineStr">
        <is>
          <t>페이스북/인스타그램</t>
        </is>
      </c>
      <c r="E2438" s="94" t="inlineStr">
        <is>
          <t>앰플</t>
        </is>
      </c>
      <c r="G2438" s="91" t="n"/>
      <c r="J2438" s="129" t="n">
        <v>10539</v>
      </c>
    </row>
    <row r="2439" hidden="1" customFormat="1" s="94">
      <c r="B2439" s="128" t="n">
        <v>44133</v>
      </c>
      <c r="C2439" s="94">
        <f>TEXT(B2439,"aaa")</f>
        <v/>
      </c>
      <c r="D2439" s="94" t="inlineStr">
        <is>
          <t>네이버 브랜드검색</t>
        </is>
      </c>
      <c r="E2439" s="94" t="inlineStr">
        <is>
          <t>토너</t>
        </is>
      </c>
      <c r="G2439" s="91" t="n"/>
      <c r="J2439" s="129">
        <f>50000</f>
        <v/>
      </c>
    </row>
    <row r="2440" customFormat="1" s="94">
      <c r="B2440" s="128" t="n">
        <v>44133</v>
      </c>
      <c r="C2440" s="94">
        <f>TEXT(B2440,"aaa")</f>
        <v/>
      </c>
      <c r="D2440" s="94" t="inlineStr">
        <is>
          <t>카카오광고</t>
        </is>
      </c>
      <c r="E2440" s="94" t="inlineStr">
        <is>
          <t>토너</t>
        </is>
      </c>
      <c r="G2440" s="91" t="n"/>
      <c r="J2440" s="129">
        <f>21604/1.1</f>
        <v/>
      </c>
      <c r="K2440" s="145" t="n"/>
    </row>
    <row r="2441" hidden="1" customFormat="1" s="94">
      <c r="B2441" s="128" t="n">
        <v>44133</v>
      </c>
      <c r="C2441" s="94">
        <f>TEXT(B2441,"aaa")</f>
        <v/>
      </c>
      <c r="D2441" s="94" t="inlineStr">
        <is>
          <t>유튜브 디스커버리</t>
        </is>
      </c>
      <c r="E2441" s="94" t="inlineStr">
        <is>
          <t>토너</t>
        </is>
      </c>
      <c r="G2441" s="91" t="n"/>
      <c r="J2441" s="129" t="n">
        <v>569931</v>
      </c>
    </row>
    <row r="2442" hidden="1" customFormat="1" s="94">
      <c r="B2442" s="128" t="n">
        <v>44133</v>
      </c>
      <c r="C2442" s="94">
        <f>TEXT(B2442,"aaa")</f>
        <v/>
      </c>
      <c r="D2442" s="94" t="inlineStr">
        <is>
          <t>네이버 쇼핑검색</t>
        </is>
      </c>
      <c r="G2442" s="91" t="n"/>
      <c r="J2442" s="129" t="n">
        <v>0</v>
      </c>
    </row>
    <row r="2443" hidden="1" customFormat="1" s="94">
      <c r="B2443" s="128" t="n">
        <v>44134</v>
      </c>
      <c r="C2443" s="94">
        <f>TEXT(B2443,"aaa")</f>
        <v/>
      </c>
      <c r="D2443" s="94" t="inlineStr">
        <is>
          <t>페이스북/인스타그램</t>
        </is>
      </c>
      <c r="E2443" s="94" t="inlineStr">
        <is>
          <t>토너패드</t>
        </is>
      </c>
      <c r="G2443" s="91" t="n"/>
      <c r="J2443" s="129" t="n">
        <v>665182</v>
      </c>
    </row>
    <row r="2444" hidden="1" customFormat="1" s="94">
      <c r="B2444" s="128" t="n">
        <v>44134</v>
      </c>
      <c r="C2444" s="94">
        <f>TEXT(B2444,"aaa")</f>
        <v/>
      </c>
      <c r="D2444" s="94" t="inlineStr">
        <is>
          <t>페이스북/인스타그램</t>
        </is>
      </c>
      <c r="E2444" s="94" t="inlineStr">
        <is>
          <t>토너</t>
        </is>
      </c>
      <c r="G2444" s="91" t="n"/>
      <c r="J2444" s="129" t="n">
        <v>158836</v>
      </c>
    </row>
    <row r="2445" hidden="1" customFormat="1" s="94">
      <c r="B2445" s="128" t="n">
        <v>44134</v>
      </c>
      <c r="C2445" s="94">
        <f>TEXT(B2445,"aaa")</f>
        <v/>
      </c>
      <c r="D2445" s="94" t="inlineStr">
        <is>
          <t>페이스북/인스타그램</t>
        </is>
      </c>
      <c r="E2445" s="94" t="inlineStr">
        <is>
          <t>머크마</t>
        </is>
      </c>
      <c r="G2445" s="91" t="n"/>
      <c r="J2445" s="129" t="n">
        <v>56622</v>
      </c>
    </row>
    <row r="2446" hidden="1" customFormat="1" s="94">
      <c r="B2446" s="128" t="n">
        <v>44134</v>
      </c>
      <c r="C2446" s="94">
        <f>TEXT(B2446,"aaa")</f>
        <v/>
      </c>
      <c r="D2446" s="94" t="inlineStr">
        <is>
          <t>페이스북/인스타그램</t>
        </is>
      </c>
      <c r="E2446" s="94" t="inlineStr">
        <is>
          <t>앰플</t>
        </is>
      </c>
      <c r="G2446" s="91" t="n"/>
      <c r="J2446" s="129" t="n">
        <v>0</v>
      </c>
    </row>
    <row r="2447" hidden="1" customFormat="1" s="94">
      <c r="B2447" s="128" t="n">
        <v>44134</v>
      </c>
      <c r="C2447" s="94">
        <f>TEXT(B2447,"aaa")</f>
        <v/>
      </c>
      <c r="D2447" s="94" t="inlineStr">
        <is>
          <t>네이버 브랜드검색</t>
        </is>
      </c>
      <c r="E2447" s="94" t="inlineStr">
        <is>
          <t>토너</t>
        </is>
      </c>
      <c r="G2447" s="91" t="n"/>
      <c r="J2447" s="129">
        <f>50000</f>
        <v/>
      </c>
    </row>
    <row r="2448" customFormat="1" s="94">
      <c r="B2448" s="128" t="n">
        <v>44134</v>
      </c>
      <c r="C2448" s="94">
        <f>TEXT(B2448,"aaa")</f>
        <v/>
      </c>
      <c r="D2448" s="94" t="inlineStr">
        <is>
          <t>카카오광고</t>
        </is>
      </c>
      <c r="E2448" s="94" t="inlineStr">
        <is>
          <t>토너</t>
        </is>
      </c>
      <c r="G2448" s="91" t="n"/>
      <c r="J2448" s="129">
        <f>20427/1.1</f>
        <v/>
      </c>
      <c r="K2448" s="145" t="n"/>
    </row>
    <row r="2449" hidden="1" customFormat="1" s="94">
      <c r="B2449" s="128" t="n">
        <v>44134</v>
      </c>
      <c r="C2449" s="94">
        <f>TEXT(B2449,"aaa")</f>
        <v/>
      </c>
      <c r="D2449" s="94" t="inlineStr">
        <is>
          <t>유튜브 디스커버리</t>
        </is>
      </c>
      <c r="E2449" s="94" t="inlineStr">
        <is>
          <t>토너</t>
        </is>
      </c>
      <c r="G2449" s="91" t="n"/>
      <c r="J2449" s="129" t="n">
        <v>192487</v>
      </c>
    </row>
    <row r="2450" hidden="1" customFormat="1" s="94">
      <c r="B2450" s="128" t="n">
        <v>44134</v>
      </c>
      <c r="C2450" s="94">
        <f>TEXT(B2450,"aaa")</f>
        <v/>
      </c>
      <c r="D2450" s="94" t="inlineStr">
        <is>
          <t>네이버 쇼핑검색</t>
        </is>
      </c>
      <c r="G2450" s="91" t="n"/>
      <c r="J2450" s="129" t="n">
        <v>0</v>
      </c>
    </row>
    <row r="2451" hidden="1" customFormat="1" s="94">
      <c r="B2451" s="128" t="n">
        <v>44135</v>
      </c>
      <c r="C2451" s="94">
        <f>TEXT(B2451,"aaa")</f>
        <v/>
      </c>
      <c r="D2451" s="94" t="inlineStr">
        <is>
          <t>페이스북/인스타그램</t>
        </is>
      </c>
      <c r="E2451" s="94" t="inlineStr">
        <is>
          <t>토너패드</t>
        </is>
      </c>
      <c r="G2451" s="91" t="n"/>
      <c r="J2451" s="129" t="n">
        <v>387151</v>
      </c>
    </row>
    <row r="2452" hidden="1" customFormat="1" s="94">
      <c r="B2452" s="128" t="n">
        <v>44135</v>
      </c>
      <c r="C2452" s="94">
        <f>TEXT(B2452,"aaa")</f>
        <v/>
      </c>
      <c r="D2452" s="94" t="inlineStr">
        <is>
          <t>페이스북/인스타그램</t>
        </is>
      </c>
      <c r="E2452" s="94" t="inlineStr">
        <is>
          <t>토너</t>
        </is>
      </c>
      <c r="G2452" s="91" t="n"/>
      <c r="J2452" s="129" t="n">
        <v>96380</v>
      </c>
    </row>
    <row r="2453" hidden="1" customFormat="1" s="94">
      <c r="B2453" s="128" t="n">
        <v>44135</v>
      </c>
      <c r="C2453" s="94">
        <f>TEXT(B2453,"aaa")</f>
        <v/>
      </c>
      <c r="D2453" s="94" t="inlineStr">
        <is>
          <t>페이스북/인스타그램</t>
        </is>
      </c>
      <c r="E2453" s="94" t="inlineStr">
        <is>
          <t>머크마</t>
        </is>
      </c>
      <c r="G2453" s="91" t="n"/>
      <c r="J2453" s="129" t="n">
        <v>62269</v>
      </c>
    </row>
    <row r="2454" hidden="1" customFormat="1" s="94">
      <c r="B2454" s="128" t="n">
        <v>44135</v>
      </c>
      <c r="C2454" s="94">
        <f>TEXT(B2454,"aaa")</f>
        <v/>
      </c>
      <c r="D2454" s="94" t="inlineStr">
        <is>
          <t>페이스북/인스타그램</t>
        </is>
      </c>
      <c r="E2454" s="94" t="inlineStr">
        <is>
          <t>앰플</t>
        </is>
      </c>
      <c r="G2454" s="91" t="n"/>
      <c r="J2454" s="129" t="n">
        <v>0</v>
      </c>
    </row>
    <row r="2455" hidden="1" customFormat="1" s="94">
      <c r="B2455" s="128" t="n">
        <v>44135</v>
      </c>
      <c r="C2455" s="94">
        <f>TEXT(B2455,"aaa")</f>
        <v/>
      </c>
      <c r="D2455" s="94" t="inlineStr">
        <is>
          <t>네이버 브랜드검색</t>
        </is>
      </c>
      <c r="E2455" s="94" t="inlineStr">
        <is>
          <t>토너</t>
        </is>
      </c>
      <c r="G2455" s="91" t="n"/>
      <c r="J2455" s="129">
        <f>50000</f>
        <v/>
      </c>
    </row>
    <row r="2456" customFormat="1" s="94">
      <c r="B2456" s="128" t="n">
        <v>44135</v>
      </c>
      <c r="C2456" s="94">
        <f>TEXT(B2456,"aaa")</f>
        <v/>
      </c>
      <c r="D2456" s="94" t="inlineStr">
        <is>
          <t>카카오광고</t>
        </is>
      </c>
      <c r="E2456" s="94" t="inlineStr">
        <is>
          <t>토너</t>
        </is>
      </c>
      <c r="G2456" s="91" t="n"/>
      <c r="J2456" s="129">
        <f>15741/1.1</f>
        <v/>
      </c>
      <c r="K2456" s="145" t="n"/>
    </row>
    <row r="2457" hidden="1" customFormat="1" s="94">
      <c r="B2457" s="128" t="n">
        <v>44135</v>
      </c>
      <c r="C2457" s="94">
        <f>TEXT(B2457,"aaa")</f>
        <v/>
      </c>
      <c r="D2457" s="94" t="inlineStr">
        <is>
          <t>유튜브 디스커버리</t>
        </is>
      </c>
      <c r="G2457" s="91" t="n"/>
      <c r="J2457" s="129" t="n">
        <v>0</v>
      </c>
    </row>
    <row r="2458" hidden="1" customFormat="1" s="94">
      <c r="B2458" s="128" t="n">
        <v>44135</v>
      </c>
      <c r="C2458" s="94">
        <f>TEXT(B2458,"aaa")</f>
        <v/>
      </c>
      <c r="D2458" s="94" t="inlineStr">
        <is>
          <t>네이버 쇼핑검색</t>
        </is>
      </c>
      <c r="G2458" s="91" t="n"/>
      <c r="J2458" s="129" t="n">
        <v>0</v>
      </c>
    </row>
    <row r="2459" hidden="1" customFormat="1" s="94">
      <c r="B2459" s="128" t="n">
        <v>44136</v>
      </c>
      <c r="C2459" s="94">
        <f>TEXT(B2459,"aaa")</f>
        <v/>
      </c>
      <c r="D2459" s="94" t="inlineStr">
        <is>
          <t>페이스북/인스타그램</t>
        </is>
      </c>
      <c r="E2459" s="94" t="inlineStr">
        <is>
          <t>토너패드</t>
        </is>
      </c>
      <c r="G2459" s="91" t="n"/>
      <c r="J2459" s="129" t="n">
        <v>624382</v>
      </c>
    </row>
    <row r="2460" hidden="1" customFormat="1" s="94">
      <c r="B2460" s="128" t="n">
        <v>44136</v>
      </c>
      <c r="C2460" s="94">
        <f>TEXT(B2460,"aaa")</f>
        <v/>
      </c>
      <c r="D2460" s="94" t="inlineStr">
        <is>
          <t>페이스북/인스타그램</t>
        </is>
      </c>
      <c r="E2460" s="94" t="inlineStr">
        <is>
          <t>토너</t>
        </is>
      </c>
      <c r="G2460" s="91" t="n"/>
      <c r="J2460" s="129" t="n">
        <v>157009</v>
      </c>
    </row>
    <row r="2461" hidden="1" customFormat="1" s="94">
      <c r="B2461" s="128" t="n">
        <v>44136</v>
      </c>
      <c r="C2461" s="94">
        <f>TEXT(B2461,"aaa")</f>
        <v/>
      </c>
      <c r="D2461" s="94" t="inlineStr">
        <is>
          <t>페이스북/인스타그램</t>
        </is>
      </c>
      <c r="E2461" s="94" t="inlineStr">
        <is>
          <t>머크마</t>
        </is>
      </c>
      <c r="G2461" s="91" t="n"/>
      <c r="J2461" s="129" t="n">
        <v>92426</v>
      </c>
    </row>
    <row r="2462" hidden="1" customFormat="1" s="94">
      <c r="B2462" s="128" t="n">
        <v>44136</v>
      </c>
      <c r="C2462" s="94">
        <f>TEXT(B2462,"aaa")</f>
        <v/>
      </c>
      <c r="D2462" s="94" t="inlineStr">
        <is>
          <t>페이스북/인스타그램</t>
        </is>
      </c>
      <c r="E2462" s="94" t="inlineStr">
        <is>
          <t>앰플</t>
        </is>
      </c>
      <c r="G2462" s="91" t="n"/>
      <c r="J2462" s="129" t="n">
        <v>203489</v>
      </c>
    </row>
    <row r="2463" hidden="1" customFormat="1" s="94">
      <c r="B2463" s="128" t="n">
        <v>44136</v>
      </c>
      <c r="C2463" s="94">
        <f>TEXT(B2463,"aaa")</f>
        <v/>
      </c>
      <c r="D2463" s="94" t="inlineStr">
        <is>
          <t>네이버 브랜드검색</t>
        </is>
      </c>
      <c r="E2463" s="94" t="inlineStr">
        <is>
          <t>토너</t>
        </is>
      </c>
      <c r="G2463" s="91" t="n"/>
      <c r="J2463" s="129">
        <f>50000</f>
        <v/>
      </c>
    </row>
    <row r="2464" customFormat="1" s="94">
      <c r="B2464" s="128" t="n">
        <v>44136</v>
      </c>
      <c r="C2464" s="94">
        <f>TEXT(B2464,"aaa")</f>
        <v/>
      </c>
      <c r="D2464" s="94" t="inlineStr">
        <is>
          <t>카카오광고</t>
        </is>
      </c>
      <c r="E2464" s="94" t="inlineStr">
        <is>
          <t>토너</t>
        </is>
      </c>
      <c r="G2464" s="91" t="n"/>
      <c r="J2464" s="129">
        <f>20471/1.1</f>
        <v/>
      </c>
    </row>
    <row r="2465" hidden="1" customFormat="1" s="94">
      <c r="B2465" s="128" t="n">
        <v>44136</v>
      </c>
      <c r="C2465" s="94">
        <f>TEXT(B2465,"aaa")</f>
        <v/>
      </c>
      <c r="D2465" s="94" t="inlineStr">
        <is>
          <t>유튜브 디스커버리</t>
        </is>
      </c>
      <c r="G2465" s="91" t="n"/>
      <c r="J2465" s="129" t="n">
        <v>0</v>
      </c>
    </row>
    <row r="2466" hidden="1" customFormat="1" s="94">
      <c r="B2466" s="128" t="n">
        <v>44136</v>
      </c>
      <c r="C2466" s="94">
        <f>TEXT(B2466,"aaa")</f>
        <v/>
      </c>
      <c r="D2466" s="94" t="inlineStr">
        <is>
          <t>네이버 쇼핑검색</t>
        </is>
      </c>
      <c r="G2466" s="91" t="n"/>
      <c r="J2466" s="129" t="n">
        <v>0</v>
      </c>
    </row>
    <row r="2467" hidden="1" customFormat="1" s="94">
      <c r="B2467" s="128" t="n">
        <v>44137</v>
      </c>
      <c r="C2467" s="94">
        <f>TEXT(B2467,"aaa")</f>
        <v/>
      </c>
      <c r="D2467" s="94" t="inlineStr">
        <is>
          <t>페이스북/인스타그램</t>
        </is>
      </c>
      <c r="E2467" s="94" t="inlineStr">
        <is>
          <t>토너패드</t>
        </is>
      </c>
      <c r="G2467" s="91" t="n"/>
      <c r="J2467" s="129" t="n">
        <v>863467</v>
      </c>
    </row>
    <row r="2468" hidden="1" customFormat="1" s="94">
      <c r="B2468" s="128" t="n">
        <v>44137</v>
      </c>
      <c r="C2468" s="94">
        <f>TEXT(B2468,"aaa")</f>
        <v/>
      </c>
      <c r="D2468" s="94" t="inlineStr">
        <is>
          <t>페이스북/인스타그램</t>
        </is>
      </c>
      <c r="E2468" s="94" t="inlineStr">
        <is>
          <t>토너로션</t>
        </is>
      </c>
      <c r="G2468" s="91" t="n"/>
      <c r="J2468" s="129" t="n">
        <v>347365</v>
      </c>
    </row>
    <row r="2469" hidden="1" customFormat="1" s="94">
      <c r="B2469" s="128" t="n">
        <v>44137</v>
      </c>
      <c r="C2469" s="94">
        <f>TEXT(B2469,"aaa")</f>
        <v/>
      </c>
      <c r="D2469" s="94" t="inlineStr">
        <is>
          <t>페이스북/인스타그램</t>
        </is>
      </c>
      <c r="E2469" s="94" t="inlineStr">
        <is>
          <t>토너</t>
        </is>
      </c>
      <c r="G2469" s="91" t="n"/>
      <c r="J2469" s="129" t="n">
        <v>383836</v>
      </c>
    </row>
    <row r="2470" hidden="1" customFormat="1" s="94">
      <c r="B2470" s="128" t="n">
        <v>44137</v>
      </c>
      <c r="C2470" s="94">
        <f>TEXT(B2470,"aaa")</f>
        <v/>
      </c>
      <c r="D2470" s="94" t="inlineStr">
        <is>
          <t>페이스북/인스타그램</t>
        </is>
      </c>
      <c r="E2470" s="94" t="inlineStr">
        <is>
          <t>머크마</t>
        </is>
      </c>
      <c r="G2470" s="91" t="n"/>
      <c r="J2470" s="129" t="n">
        <v>0</v>
      </c>
    </row>
    <row r="2471" hidden="1" customFormat="1" s="94">
      <c r="B2471" s="128" t="n">
        <v>44137</v>
      </c>
      <c r="C2471" s="94">
        <f>TEXT(B2471,"aaa")</f>
        <v/>
      </c>
      <c r="D2471" s="94" t="inlineStr">
        <is>
          <t>페이스북/인스타그램</t>
        </is>
      </c>
      <c r="E2471" s="94" t="inlineStr">
        <is>
          <t>앰플</t>
        </is>
      </c>
      <c r="G2471" s="91" t="n"/>
      <c r="J2471" s="129" t="n">
        <v>226072</v>
      </c>
    </row>
    <row r="2472" hidden="1" customFormat="1" s="94">
      <c r="B2472" s="128" t="n">
        <v>44137</v>
      </c>
      <c r="C2472" s="94">
        <f>TEXT(B2472,"aaa")</f>
        <v/>
      </c>
      <c r="D2472" s="94" t="inlineStr">
        <is>
          <t>네이버 브랜드검색</t>
        </is>
      </c>
      <c r="E2472" s="94" t="inlineStr">
        <is>
          <t>토너</t>
        </is>
      </c>
      <c r="G2472" s="91" t="n"/>
      <c r="J2472" s="129">
        <f>50000</f>
        <v/>
      </c>
    </row>
    <row r="2473" customFormat="1" s="94">
      <c r="B2473" s="128" t="n">
        <v>44137</v>
      </c>
      <c r="C2473" s="94">
        <f>TEXT(B2473,"aaa")</f>
        <v/>
      </c>
      <c r="D2473" s="94" t="inlineStr">
        <is>
          <t>카카오광고</t>
        </is>
      </c>
      <c r="E2473" s="94" t="inlineStr">
        <is>
          <t>토너</t>
        </is>
      </c>
      <c r="G2473" s="91" t="n"/>
      <c r="J2473" s="129">
        <f>20405/1.1</f>
        <v/>
      </c>
    </row>
    <row r="2474" hidden="1" customFormat="1" s="94">
      <c r="B2474" s="128" t="n">
        <v>44137</v>
      </c>
      <c r="C2474" s="94">
        <f>TEXT(B2474,"aaa")</f>
        <v/>
      </c>
      <c r="D2474" s="94" t="inlineStr">
        <is>
          <t>유튜브 디스커버리</t>
        </is>
      </c>
      <c r="E2474" s="94" t="inlineStr">
        <is>
          <t>토너</t>
        </is>
      </c>
      <c r="G2474" s="91" t="n"/>
      <c r="J2474" s="129" t="n">
        <v>107265</v>
      </c>
    </row>
    <row r="2475" hidden="1" customFormat="1" s="94">
      <c r="B2475" s="128" t="n">
        <v>44137</v>
      </c>
      <c r="C2475" s="94">
        <f>TEXT(B2475,"aaa")</f>
        <v/>
      </c>
      <c r="D2475" s="94" t="inlineStr">
        <is>
          <t>네이버 쇼핑검색</t>
        </is>
      </c>
      <c r="G2475" s="91" t="n"/>
      <c r="J2475" s="129" t="n">
        <v>0</v>
      </c>
    </row>
    <row r="2476" hidden="1" customFormat="1" s="94">
      <c r="B2476" s="128" t="n">
        <v>44137</v>
      </c>
      <c r="C2476" s="94">
        <f>TEXT(B2476,"aaa")</f>
        <v/>
      </c>
      <c r="D2476" s="94" t="inlineStr">
        <is>
          <t>네이버 GFA</t>
        </is>
      </c>
      <c r="E2476" s="94" t="inlineStr">
        <is>
          <t>앰플</t>
        </is>
      </c>
      <c r="G2476" s="91" t="n"/>
      <c r="J2476" s="129" t="n">
        <v>82663.63636363635</v>
      </c>
    </row>
    <row r="2477" hidden="1" customFormat="1" s="94">
      <c r="B2477" s="128" t="n">
        <v>44136</v>
      </c>
      <c r="C2477" s="94">
        <f>TEXT(B2477,"aaa")</f>
        <v/>
      </c>
      <c r="D2477" s="94" t="inlineStr">
        <is>
          <t>네이버 GFA</t>
        </is>
      </c>
      <c r="E2477" s="94" t="inlineStr">
        <is>
          <t>앰플</t>
        </is>
      </c>
      <c r="G2477" s="91" t="n"/>
      <c r="J2477" s="129" t="n">
        <v>74653.63636363635</v>
      </c>
    </row>
    <row r="2478" hidden="1" customFormat="1" s="94">
      <c r="B2478" s="128" t="n">
        <v>44132</v>
      </c>
      <c r="C2478" s="94">
        <f>TEXT(B2478,"aaa")</f>
        <v/>
      </c>
      <c r="D2478" s="94" t="inlineStr">
        <is>
          <t>네이버 GFA</t>
        </is>
      </c>
      <c r="E2478" s="94" t="inlineStr">
        <is>
          <t>토너</t>
        </is>
      </c>
      <c r="G2478" s="91" t="n"/>
      <c r="J2478" s="129" t="n">
        <v>2310</v>
      </c>
    </row>
    <row r="2479" hidden="1" customFormat="1" s="94">
      <c r="B2479" s="128" t="n">
        <v>44132</v>
      </c>
      <c r="C2479" s="94">
        <f>TEXT(B2479,"aaa")</f>
        <v/>
      </c>
      <c r="D2479" s="94" t="inlineStr">
        <is>
          <t>네이버 GFA</t>
        </is>
      </c>
      <c r="E2479" s="94" t="inlineStr">
        <is>
          <t>토너</t>
        </is>
      </c>
      <c r="G2479" s="91" t="n"/>
      <c r="J2479" s="129" t="n">
        <v>33650</v>
      </c>
    </row>
    <row r="2480" hidden="1" customFormat="1" s="94">
      <c r="B2480" s="128" t="n">
        <v>44137</v>
      </c>
      <c r="C2480" s="94">
        <f>TEXT(B2480,"aaa")</f>
        <v/>
      </c>
      <c r="D2480" s="94" t="inlineStr">
        <is>
          <t>네이버 GFA</t>
        </is>
      </c>
      <c r="E2480" s="94" t="inlineStr">
        <is>
          <t>토너</t>
        </is>
      </c>
      <c r="G2480" s="91" t="n"/>
      <c r="J2480" s="129" t="n">
        <v>8962.727272727272</v>
      </c>
    </row>
    <row r="2481" hidden="1" customFormat="1" s="94">
      <c r="B2481" s="128" t="n">
        <v>44136</v>
      </c>
      <c r="C2481" s="94">
        <f>TEXT(B2481,"aaa")</f>
        <v/>
      </c>
      <c r="D2481" s="94" t="inlineStr">
        <is>
          <t>네이버 GFA</t>
        </is>
      </c>
      <c r="E2481" s="94" t="inlineStr">
        <is>
          <t>토너</t>
        </is>
      </c>
      <c r="G2481" s="91" t="n"/>
      <c r="J2481" s="129" t="n">
        <v>8751.818181818182</v>
      </c>
    </row>
    <row r="2482" hidden="1" customFormat="1" s="94">
      <c r="B2482" s="128" t="n">
        <v>44133</v>
      </c>
      <c r="C2482" s="94">
        <f>TEXT(B2482,"aaa")</f>
        <v/>
      </c>
      <c r="D2482" s="94" t="inlineStr">
        <is>
          <t>네이버 GFA</t>
        </is>
      </c>
      <c r="E2482" s="94" t="inlineStr">
        <is>
          <t>토너</t>
        </is>
      </c>
      <c r="G2482" s="91" t="n"/>
      <c r="J2482" s="129" t="n">
        <v>1101.818181818182</v>
      </c>
    </row>
    <row r="2483" hidden="1" customFormat="1" s="94">
      <c r="B2483" s="128" t="n">
        <v>44133</v>
      </c>
      <c r="C2483" s="94">
        <f>TEXT(B2483,"aaa")</f>
        <v/>
      </c>
      <c r="D2483" s="94" t="inlineStr">
        <is>
          <t>네이버 GFA</t>
        </is>
      </c>
      <c r="E2483" s="94" t="inlineStr">
        <is>
          <t>토너</t>
        </is>
      </c>
      <c r="G2483" s="91" t="n"/>
      <c r="J2483" s="129" t="n">
        <v>61509.99999999999</v>
      </c>
    </row>
    <row r="2484" hidden="1" customFormat="1" s="94">
      <c r="B2484" s="128" t="n">
        <v>44137</v>
      </c>
      <c r="C2484" s="94">
        <f>TEXT(B2484,"aaa")</f>
        <v/>
      </c>
      <c r="D2484" s="94" t="inlineStr">
        <is>
          <t>네이버 GFA</t>
        </is>
      </c>
      <c r="E2484" s="94" t="inlineStr">
        <is>
          <t>토너</t>
        </is>
      </c>
      <c r="G2484" s="91" t="n"/>
      <c r="J2484" s="129" t="n">
        <v>10920.90909090909</v>
      </c>
    </row>
    <row r="2485" hidden="1" customFormat="1" s="94">
      <c r="B2485" s="128" t="n">
        <v>44136</v>
      </c>
      <c r="C2485" s="94">
        <f>TEXT(B2485,"aaa")</f>
        <v/>
      </c>
      <c r="D2485" s="94" t="inlineStr">
        <is>
          <t>네이버 GFA</t>
        </is>
      </c>
      <c r="E2485" s="94" t="inlineStr">
        <is>
          <t>토너</t>
        </is>
      </c>
      <c r="G2485" s="91" t="n"/>
      <c r="J2485" s="129" t="n">
        <v>4210</v>
      </c>
    </row>
    <row r="2486" hidden="1" customFormat="1" s="94">
      <c r="B2486" s="128" t="n">
        <v>44134</v>
      </c>
      <c r="C2486" s="94">
        <f>TEXT(B2486,"aaa")</f>
        <v/>
      </c>
      <c r="D2486" s="94" t="inlineStr">
        <is>
          <t>네이버 GFA</t>
        </is>
      </c>
      <c r="E2486" s="94" t="inlineStr">
        <is>
          <t>앰플</t>
        </is>
      </c>
      <c r="G2486" s="91" t="n"/>
      <c r="J2486" s="129" t="n">
        <v>16806.36363636364</v>
      </c>
    </row>
    <row r="2487" hidden="1" customFormat="1" s="94">
      <c r="B2487" s="128" t="n">
        <v>44134</v>
      </c>
      <c r="C2487" s="94">
        <f>TEXT(B2487,"aaa")</f>
        <v/>
      </c>
      <c r="D2487" s="94" t="inlineStr">
        <is>
          <t>네이버 GFA</t>
        </is>
      </c>
      <c r="E2487" s="94" t="inlineStr">
        <is>
          <t>토너</t>
        </is>
      </c>
      <c r="G2487" s="91" t="n"/>
      <c r="J2487" s="129" t="n">
        <v>8129.999999999999</v>
      </c>
    </row>
    <row r="2488" hidden="1" customFormat="1" s="94">
      <c r="B2488" s="128" t="n">
        <v>44134</v>
      </c>
      <c r="C2488" s="94">
        <f>TEXT(B2488,"aaa")</f>
        <v/>
      </c>
      <c r="D2488" s="94" t="inlineStr">
        <is>
          <t>네이버 GFA</t>
        </is>
      </c>
      <c r="E2488" s="94" t="inlineStr">
        <is>
          <t>토너</t>
        </is>
      </c>
      <c r="G2488" s="91" t="n"/>
      <c r="J2488" s="129" t="n">
        <v>600</v>
      </c>
    </row>
    <row r="2489" hidden="1" customFormat="1" s="94">
      <c r="B2489" s="128" t="n">
        <v>44134</v>
      </c>
      <c r="C2489" s="94">
        <f>TEXT(B2489,"aaa")</f>
        <v/>
      </c>
      <c r="D2489" s="94" t="inlineStr">
        <is>
          <t>네이버 GFA</t>
        </is>
      </c>
      <c r="E2489" s="94" t="inlineStr">
        <is>
          <t>토너</t>
        </is>
      </c>
      <c r="G2489" s="91" t="n"/>
      <c r="J2489" s="129" t="n">
        <v>62720.90909090909</v>
      </c>
    </row>
    <row r="2490" hidden="1" customFormat="1" s="94">
      <c r="B2490" s="128" t="n">
        <v>44137</v>
      </c>
      <c r="C2490" s="94">
        <f>TEXT(B2490,"aaa")</f>
        <v/>
      </c>
      <c r="D2490" s="94" t="inlineStr">
        <is>
          <t>네이버 GFA</t>
        </is>
      </c>
      <c r="E2490" s="94" t="inlineStr">
        <is>
          <t>토너</t>
        </is>
      </c>
      <c r="G2490" s="91" t="n"/>
      <c r="J2490" s="129" t="n">
        <v>94498.18181818181</v>
      </c>
    </row>
    <row r="2491" hidden="1" customFormat="1" s="94">
      <c r="B2491" s="128" t="n">
        <v>44136</v>
      </c>
      <c r="C2491" s="94">
        <f>TEXT(B2491,"aaa")</f>
        <v/>
      </c>
      <c r="D2491" s="94" t="inlineStr">
        <is>
          <t>네이버 GFA</t>
        </is>
      </c>
      <c r="E2491" s="94" t="inlineStr">
        <is>
          <t>토너</t>
        </is>
      </c>
      <c r="G2491" s="91" t="n"/>
      <c r="J2491" s="129" t="n">
        <v>70489.0909090909</v>
      </c>
    </row>
    <row r="2492" hidden="1" customFormat="1" s="94">
      <c r="B2492" s="128" t="n">
        <v>44135</v>
      </c>
      <c r="C2492" s="94">
        <f>TEXT(B2492,"aaa")</f>
        <v/>
      </c>
      <c r="D2492" s="94" t="inlineStr">
        <is>
          <t>네이버 GFA</t>
        </is>
      </c>
      <c r="E2492" s="94" t="inlineStr">
        <is>
          <t>앰플</t>
        </is>
      </c>
      <c r="G2492" s="91" t="n"/>
      <c r="J2492" s="129" t="n">
        <v>16528.18181818182</v>
      </c>
    </row>
    <row r="2493" hidden="1" customFormat="1" s="94">
      <c r="B2493" s="128" t="n">
        <v>44135</v>
      </c>
      <c r="C2493" s="94">
        <f>TEXT(B2493,"aaa")</f>
        <v/>
      </c>
      <c r="D2493" s="94" t="inlineStr">
        <is>
          <t>네이버 GFA</t>
        </is>
      </c>
      <c r="E2493" s="94" t="inlineStr">
        <is>
          <t>토너</t>
        </is>
      </c>
      <c r="G2493" s="91" t="n"/>
      <c r="J2493" s="129" t="n">
        <v>8532.727272727272</v>
      </c>
    </row>
    <row r="2494" hidden="1" customFormat="1" s="94">
      <c r="B2494" s="128" t="n">
        <v>44135</v>
      </c>
      <c r="C2494" s="94">
        <f>TEXT(B2494,"aaa")</f>
        <v/>
      </c>
      <c r="D2494" s="94" t="inlineStr">
        <is>
          <t>네이버 GFA</t>
        </is>
      </c>
      <c r="E2494" s="94" t="inlineStr">
        <is>
          <t>토너</t>
        </is>
      </c>
      <c r="G2494" s="91" t="n"/>
      <c r="J2494" s="129" t="n">
        <v>0</v>
      </c>
    </row>
    <row r="2495" hidden="1" customFormat="1" s="94">
      <c r="B2495" s="128" t="n">
        <v>44135</v>
      </c>
      <c r="C2495" s="94">
        <f>TEXT(B2495,"aaa")</f>
        <v/>
      </c>
      <c r="D2495" s="94" t="inlineStr">
        <is>
          <t>네이버 GFA</t>
        </is>
      </c>
      <c r="E2495" s="94" t="inlineStr">
        <is>
          <t>토너</t>
        </is>
      </c>
      <c r="G2495" s="91" t="n"/>
      <c r="J2495" s="129" t="n">
        <v>62665.45454545454</v>
      </c>
    </row>
    <row r="2496" hidden="1" customFormat="1" s="94">
      <c r="B2496" s="128" t="n">
        <v>44138</v>
      </c>
      <c r="C2496" s="94">
        <f>TEXT(B2496,"aaa")</f>
        <v/>
      </c>
      <c r="D2496" s="94" t="inlineStr">
        <is>
          <t>페이스북/인스타그램</t>
        </is>
      </c>
      <c r="E2496" s="94" t="inlineStr">
        <is>
          <t>토너패드</t>
        </is>
      </c>
      <c r="G2496" s="91" t="n"/>
      <c r="J2496" s="129" t="n">
        <v>1089081</v>
      </c>
    </row>
    <row r="2497" hidden="1" customFormat="1" s="94">
      <c r="B2497" s="128" t="n">
        <v>44138</v>
      </c>
      <c r="C2497" s="94">
        <f>TEXT(B2497,"aaa")</f>
        <v/>
      </c>
      <c r="D2497" s="94" t="inlineStr">
        <is>
          <t>페이스북/인스타그램</t>
        </is>
      </c>
      <c r="E2497" s="94" t="inlineStr">
        <is>
          <t>토너로션</t>
        </is>
      </c>
      <c r="G2497" s="91" t="n"/>
      <c r="J2497" s="129" t="n">
        <v>378357</v>
      </c>
    </row>
    <row r="2498" hidden="1" customFormat="1" s="94">
      <c r="B2498" s="128" t="n">
        <v>44138</v>
      </c>
      <c r="C2498" s="94">
        <f>TEXT(B2498,"aaa")</f>
        <v/>
      </c>
      <c r="D2498" s="94" t="inlineStr">
        <is>
          <t>페이스북/인스타그램</t>
        </is>
      </c>
      <c r="E2498" s="94" t="inlineStr">
        <is>
          <t>토너</t>
        </is>
      </c>
      <c r="G2498" s="91" t="n"/>
      <c r="J2498" s="129" t="n">
        <v>356283</v>
      </c>
    </row>
    <row r="2499" hidden="1" customFormat="1" s="94">
      <c r="B2499" s="128" t="n">
        <v>44138</v>
      </c>
      <c r="C2499" s="94">
        <f>TEXT(B2499,"aaa")</f>
        <v/>
      </c>
      <c r="D2499" s="94" t="inlineStr">
        <is>
          <t>페이스북/인스타그램</t>
        </is>
      </c>
      <c r="E2499" s="94" t="inlineStr">
        <is>
          <t>앰플</t>
        </is>
      </c>
      <c r="G2499" s="91" t="n"/>
      <c r="J2499" s="129" t="n">
        <v>236739</v>
      </c>
    </row>
    <row r="2500" hidden="1" customFormat="1" s="94">
      <c r="B2500" s="128" t="n">
        <v>44138</v>
      </c>
      <c r="C2500" s="94">
        <f>TEXT(B2500,"aaa")</f>
        <v/>
      </c>
      <c r="D2500" s="94" t="inlineStr">
        <is>
          <t>네이버 브랜드검색</t>
        </is>
      </c>
      <c r="E2500" s="94" t="inlineStr">
        <is>
          <t>토너</t>
        </is>
      </c>
      <c r="G2500" s="91" t="n"/>
      <c r="J2500" s="129">
        <f>50000</f>
        <v/>
      </c>
    </row>
    <row r="2501" customFormat="1" s="94">
      <c r="B2501" s="128" t="n">
        <v>44138</v>
      </c>
      <c r="C2501" s="94">
        <f>TEXT(B2501,"aaa")</f>
        <v/>
      </c>
      <c r="D2501" s="94" t="inlineStr">
        <is>
          <t>카카오광고</t>
        </is>
      </c>
      <c r="E2501" s="94" t="inlineStr">
        <is>
          <t>토너</t>
        </is>
      </c>
      <c r="G2501" s="91" t="n"/>
      <c r="J2501" s="129">
        <f>21164/1.1</f>
        <v/>
      </c>
    </row>
    <row r="2502" hidden="1" customFormat="1" s="94">
      <c r="B2502" s="128" t="n">
        <v>44138</v>
      </c>
      <c r="C2502" s="94">
        <f>TEXT(B2502,"aaa")</f>
        <v/>
      </c>
      <c r="D2502" s="94" t="inlineStr">
        <is>
          <t>유튜브 디스커버리</t>
        </is>
      </c>
      <c r="E2502" s="94" t="inlineStr">
        <is>
          <t>토너</t>
        </is>
      </c>
      <c r="G2502" s="91" t="n"/>
      <c r="J2502" s="129" t="n">
        <v>156857</v>
      </c>
    </row>
    <row r="2503" hidden="1" customFormat="1" s="94">
      <c r="B2503" s="128" t="n">
        <v>44138</v>
      </c>
      <c r="C2503" s="94">
        <f>TEXT(B2503,"aaa")</f>
        <v/>
      </c>
      <c r="D2503" s="94" t="inlineStr">
        <is>
          <t>네이버 쇼핑검색</t>
        </is>
      </c>
      <c r="G2503" s="91" t="n"/>
      <c r="J2503" s="129" t="n">
        <v>0</v>
      </c>
    </row>
    <row r="2504" hidden="1" customFormat="1" s="94">
      <c r="B2504" s="128" t="n">
        <v>44138</v>
      </c>
      <c r="C2504" s="94">
        <f>TEXT(B2504,"aaa")</f>
        <v/>
      </c>
      <c r="D2504" s="94" t="inlineStr">
        <is>
          <t>네이버 GFA</t>
        </is>
      </c>
      <c r="E2504" s="94" t="inlineStr">
        <is>
          <t>토너</t>
        </is>
      </c>
      <c r="G2504" s="91" t="n"/>
      <c r="J2504" s="129">
        <f>(9590+6313+102630)/1.1</f>
        <v/>
      </c>
    </row>
    <row r="2505" hidden="1" customFormat="1" s="94">
      <c r="B2505" s="128" t="n">
        <v>44138</v>
      </c>
      <c r="C2505" s="94">
        <f>TEXT(B2505,"aaa")</f>
        <v/>
      </c>
      <c r="D2505" s="94" t="inlineStr">
        <is>
          <t>네이버 GFA</t>
        </is>
      </c>
      <c r="E2505" s="94" t="inlineStr">
        <is>
          <t>앰플</t>
        </is>
      </c>
      <c r="G2505" s="91" t="n"/>
      <c r="J2505" s="129">
        <f>38338/1.1</f>
        <v/>
      </c>
    </row>
    <row r="2506" customFormat="1" s="94">
      <c r="B2506" s="128" t="n">
        <v>44139</v>
      </c>
      <c r="C2506" s="94">
        <f>TEXT(B2506,"aaa")</f>
        <v/>
      </c>
      <c r="D2506" s="94" t="inlineStr">
        <is>
          <t>카카오광고</t>
        </is>
      </c>
      <c r="E2506" s="94" t="inlineStr">
        <is>
          <t>토너</t>
        </is>
      </c>
      <c r="G2506" s="91" t="n"/>
      <c r="J2506" s="129">
        <f>14795/1.1</f>
        <v/>
      </c>
    </row>
    <row r="2507" customFormat="1" s="94">
      <c r="B2507" s="128" t="n">
        <v>44140</v>
      </c>
      <c r="C2507" s="94">
        <f>TEXT(B2507,"aaa")</f>
        <v/>
      </c>
      <c r="D2507" s="94" t="inlineStr">
        <is>
          <t>카카오광고</t>
        </is>
      </c>
      <c r="E2507" s="94" t="inlineStr">
        <is>
          <t>토너</t>
        </is>
      </c>
      <c r="G2507" s="91" t="n"/>
      <c r="J2507" s="94">
        <f>10769/1.1</f>
        <v/>
      </c>
    </row>
    <row r="2508" customFormat="1" s="94">
      <c r="B2508" s="128" t="n">
        <v>44141</v>
      </c>
      <c r="C2508" s="94">
        <f>TEXT(B2508,"aaa")</f>
        <v/>
      </c>
      <c r="D2508" s="94" t="inlineStr">
        <is>
          <t>카카오광고</t>
        </is>
      </c>
      <c r="E2508" s="94" t="inlineStr">
        <is>
          <t>토너</t>
        </is>
      </c>
      <c r="G2508" s="91" t="n"/>
      <c r="J2508" s="94">
        <f>16533/1.1</f>
        <v/>
      </c>
    </row>
    <row r="2509" customFormat="1" s="94">
      <c r="B2509" s="128" t="n">
        <v>44142</v>
      </c>
      <c r="C2509" s="94">
        <f>TEXT(B2509,"aaa")</f>
        <v/>
      </c>
      <c r="D2509" s="94" t="inlineStr">
        <is>
          <t>카카오광고</t>
        </is>
      </c>
      <c r="E2509" s="94" t="inlineStr">
        <is>
          <t>토너</t>
        </is>
      </c>
      <c r="G2509" s="91" t="n"/>
      <c r="J2509" s="94">
        <f>19503/1.1</f>
        <v/>
      </c>
    </row>
    <row r="2510" customFormat="1" s="94">
      <c r="B2510" s="128" t="n">
        <v>44143</v>
      </c>
      <c r="C2510" s="94">
        <f>TEXT(B2510,"aaa")</f>
        <v/>
      </c>
      <c r="D2510" s="94" t="inlineStr">
        <is>
          <t>카카오광고</t>
        </is>
      </c>
      <c r="E2510" s="94" t="inlineStr">
        <is>
          <t>토너</t>
        </is>
      </c>
      <c r="G2510" s="91" t="n"/>
      <c r="J2510" s="94">
        <f>17457/1.1</f>
        <v/>
      </c>
    </row>
    <row r="2511" hidden="1" customFormat="1" s="94">
      <c r="B2511" s="128" t="n">
        <v>44139</v>
      </c>
      <c r="C2511" s="94">
        <f>TEXT(B2511,"aaa")</f>
        <v/>
      </c>
      <c r="D2511" s="94" t="inlineStr">
        <is>
          <t>네이버 브랜드검색</t>
        </is>
      </c>
      <c r="E2511" s="94" t="inlineStr">
        <is>
          <t>토너</t>
        </is>
      </c>
      <c r="G2511" s="91" t="n"/>
      <c r="J2511" s="129">
        <f>50000</f>
        <v/>
      </c>
    </row>
    <row r="2512" hidden="1" customFormat="1" s="94">
      <c r="B2512" s="128" t="n">
        <v>44140</v>
      </c>
      <c r="C2512" s="94">
        <f>TEXT(B2512,"aaa")</f>
        <v/>
      </c>
      <c r="D2512" s="94" t="inlineStr">
        <is>
          <t>네이버 브랜드검색</t>
        </is>
      </c>
      <c r="E2512" s="94" t="inlineStr">
        <is>
          <t>토너</t>
        </is>
      </c>
      <c r="G2512" s="91" t="n"/>
      <c r="J2512" s="129">
        <f>50000</f>
        <v/>
      </c>
    </row>
    <row r="2513" hidden="1" customFormat="1" s="94">
      <c r="B2513" s="128" t="n">
        <v>44141</v>
      </c>
      <c r="C2513" s="94">
        <f>TEXT(B2513,"aaa")</f>
        <v/>
      </c>
      <c r="D2513" s="94" t="inlineStr">
        <is>
          <t>네이버 브랜드검색</t>
        </is>
      </c>
      <c r="E2513" s="94" t="inlineStr">
        <is>
          <t>토너</t>
        </is>
      </c>
      <c r="G2513" s="91" t="n"/>
      <c r="J2513" s="129">
        <f>50000</f>
        <v/>
      </c>
    </row>
    <row r="2514" hidden="1" customFormat="1" s="94">
      <c r="B2514" s="128" t="n">
        <v>44142</v>
      </c>
      <c r="C2514" s="94">
        <f>TEXT(B2514,"aaa")</f>
        <v/>
      </c>
      <c r="D2514" s="94" t="inlineStr">
        <is>
          <t>네이버 브랜드검색</t>
        </is>
      </c>
      <c r="E2514" s="94" t="inlineStr">
        <is>
          <t>토너</t>
        </is>
      </c>
      <c r="G2514" s="91" t="n"/>
      <c r="J2514" s="129">
        <f>50000</f>
        <v/>
      </c>
    </row>
    <row r="2515" hidden="1" customFormat="1" s="94">
      <c r="B2515" s="128" t="n">
        <v>44143</v>
      </c>
      <c r="C2515" s="94">
        <f>TEXT(B2515,"aaa")</f>
        <v/>
      </c>
      <c r="D2515" s="94" t="inlineStr">
        <is>
          <t>네이버 브랜드검색</t>
        </is>
      </c>
      <c r="E2515" s="94" t="inlineStr">
        <is>
          <t>토너</t>
        </is>
      </c>
      <c r="G2515" s="91" t="n"/>
      <c r="J2515" s="129">
        <f>50000</f>
        <v/>
      </c>
    </row>
    <row r="2516" hidden="1" customFormat="1" s="94">
      <c r="B2516" s="128" t="n">
        <v>44139</v>
      </c>
      <c r="C2516" s="94" t="inlineStr">
        <is>
          <t>수</t>
        </is>
      </c>
      <c r="D2516" s="94" t="inlineStr">
        <is>
          <t>네이버 GFA</t>
        </is>
      </c>
      <c r="E2516" s="94" t="inlineStr">
        <is>
          <t>앰플</t>
        </is>
      </c>
      <c r="G2516" s="91" t="n"/>
      <c r="J2516" s="129" t="n">
        <v>131950.9090909091</v>
      </c>
    </row>
    <row r="2517" hidden="1" customFormat="1" s="94">
      <c r="B2517" s="128" t="n">
        <v>44140</v>
      </c>
      <c r="C2517" s="94" t="inlineStr">
        <is>
          <t>목</t>
        </is>
      </c>
      <c r="D2517" s="94" t="inlineStr">
        <is>
          <t>네이버 GFA</t>
        </is>
      </c>
      <c r="E2517" s="94" t="inlineStr">
        <is>
          <t>앰플</t>
        </is>
      </c>
      <c r="G2517" s="91" t="n"/>
      <c r="J2517" s="129" t="n">
        <v>131804.5454545454</v>
      </c>
    </row>
    <row r="2518" hidden="1" customFormat="1" s="94">
      <c r="B2518" s="128" t="n">
        <v>44141</v>
      </c>
      <c r="C2518" s="94" t="inlineStr">
        <is>
          <t>금</t>
        </is>
      </c>
      <c r="D2518" s="94" t="inlineStr">
        <is>
          <t>네이버 GFA</t>
        </is>
      </c>
      <c r="E2518" s="94" t="inlineStr">
        <is>
          <t>앰플</t>
        </is>
      </c>
      <c r="G2518" s="91" t="n"/>
      <c r="J2518" s="129" t="n">
        <v>120883.6363636364</v>
      </c>
    </row>
    <row r="2519" hidden="1" customFormat="1" s="94">
      <c r="B2519" s="128" t="n">
        <v>44142</v>
      </c>
      <c r="C2519" s="94" t="inlineStr">
        <is>
          <t>토</t>
        </is>
      </c>
      <c r="D2519" s="94" t="inlineStr">
        <is>
          <t>네이버 GFA</t>
        </is>
      </c>
      <c r="E2519" s="94" t="inlineStr">
        <is>
          <t>앰플</t>
        </is>
      </c>
      <c r="G2519" s="91" t="n"/>
      <c r="J2519" s="129" t="n">
        <v>85180.90909090909</v>
      </c>
    </row>
    <row r="2520" hidden="1" customFormat="1" s="94">
      <c r="B2520" s="128" t="n">
        <v>44143</v>
      </c>
      <c r="C2520" s="94" t="inlineStr">
        <is>
          <t>일</t>
        </is>
      </c>
      <c r="D2520" s="94" t="inlineStr">
        <is>
          <t>네이버 GFA</t>
        </is>
      </c>
      <c r="E2520" s="94" t="inlineStr">
        <is>
          <t>앰플</t>
        </is>
      </c>
      <c r="G2520" s="91" t="n"/>
      <c r="J2520" s="129" t="n">
        <v>87226.36363636363</v>
      </c>
    </row>
    <row r="2521" hidden="1" customFormat="1" s="94">
      <c r="B2521" s="128" t="n">
        <v>44139</v>
      </c>
      <c r="C2521" s="94" t="inlineStr">
        <is>
          <t>수</t>
        </is>
      </c>
      <c r="D2521" s="94" t="inlineStr">
        <is>
          <t>네이버 GFA</t>
        </is>
      </c>
      <c r="E2521" s="94" t="inlineStr">
        <is>
          <t>토너</t>
        </is>
      </c>
      <c r="G2521" s="91" t="n"/>
      <c r="J2521" s="129" t="n">
        <v>76726.36363636363</v>
      </c>
    </row>
    <row r="2522" hidden="1" customFormat="1" s="94">
      <c r="B2522" s="128" t="n">
        <v>44140</v>
      </c>
      <c r="C2522" s="94" t="inlineStr">
        <is>
          <t>목</t>
        </is>
      </c>
      <c r="D2522" s="94" t="inlineStr">
        <is>
          <t>네이버 GFA</t>
        </is>
      </c>
      <c r="E2522" s="94" t="inlineStr">
        <is>
          <t>토너</t>
        </is>
      </c>
      <c r="G2522" s="91" t="n"/>
      <c r="J2522" s="129" t="n">
        <v>78690</v>
      </c>
    </row>
    <row r="2523" hidden="1" customFormat="1" s="94">
      <c r="B2523" s="128" t="n">
        <v>44141</v>
      </c>
      <c r="C2523" s="94" t="inlineStr">
        <is>
          <t>금</t>
        </is>
      </c>
      <c r="D2523" s="94" t="inlineStr">
        <is>
          <t>네이버 GFA</t>
        </is>
      </c>
      <c r="E2523" s="94" t="inlineStr">
        <is>
          <t>토너</t>
        </is>
      </c>
      <c r="G2523" s="91" t="n"/>
      <c r="J2523" s="129" t="n">
        <v>70262.72727272728</v>
      </c>
    </row>
    <row r="2524" hidden="1" customFormat="1" s="94">
      <c r="B2524" s="128" t="n">
        <v>44142</v>
      </c>
      <c r="C2524" s="94" t="inlineStr">
        <is>
          <t>토</t>
        </is>
      </c>
      <c r="D2524" s="94" t="inlineStr">
        <is>
          <t>네이버 GFA</t>
        </is>
      </c>
      <c r="E2524" s="94" t="inlineStr">
        <is>
          <t>토너</t>
        </is>
      </c>
      <c r="G2524" s="91" t="n"/>
      <c r="J2524" s="129" t="n">
        <v>71009.0909090909</v>
      </c>
    </row>
    <row r="2525" hidden="1" customFormat="1" s="94">
      <c r="B2525" s="128" t="n">
        <v>44143</v>
      </c>
      <c r="C2525" s="94" t="inlineStr">
        <is>
          <t>일</t>
        </is>
      </c>
      <c r="D2525" s="94" t="inlineStr">
        <is>
          <t>네이버 GFA</t>
        </is>
      </c>
      <c r="E2525" s="94" t="inlineStr">
        <is>
          <t>토너</t>
        </is>
      </c>
      <c r="G2525" s="91" t="n"/>
      <c r="J2525" s="129" t="n">
        <v>83579.0909090909</v>
      </c>
    </row>
    <row r="2526" hidden="1" customFormat="1" s="94">
      <c r="B2526" s="128" t="n">
        <v>44139</v>
      </c>
      <c r="C2526" s="94">
        <f>TEXT(B2526,"aaa")</f>
        <v/>
      </c>
      <c r="D2526" s="94" t="inlineStr">
        <is>
          <t>유튜브 디스커버리</t>
        </is>
      </c>
      <c r="E2526" s="94" t="inlineStr">
        <is>
          <t>토너</t>
        </is>
      </c>
      <c r="G2526" s="91" t="n"/>
      <c r="J2526" s="129">
        <f>200127+644808</f>
        <v/>
      </c>
    </row>
    <row r="2527" hidden="1" customFormat="1" s="94">
      <c r="B2527" s="128" t="n">
        <v>44140</v>
      </c>
      <c r="C2527" s="94">
        <f>TEXT(B2527,"aaa")</f>
        <v/>
      </c>
      <c r="D2527" s="94" t="inlineStr">
        <is>
          <t>유튜브 디스커버리</t>
        </is>
      </c>
      <c r="E2527" s="94" t="inlineStr">
        <is>
          <t>토너</t>
        </is>
      </c>
      <c r="G2527" s="91" t="n"/>
      <c r="J2527" s="129" t="n">
        <v>615480</v>
      </c>
    </row>
    <row r="2528" hidden="1" customFormat="1" s="94">
      <c r="B2528" s="128" t="n">
        <v>44141</v>
      </c>
      <c r="C2528" s="94">
        <f>TEXT(B2528,"aaa")</f>
        <v/>
      </c>
      <c r="D2528" s="94" t="inlineStr">
        <is>
          <t>유튜브 디스커버리</t>
        </is>
      </c>
      <c r="E2528" s="94" t="inlineStr">
        <is>
          <t>토너</t>
        </is>
      </c>
      <c r="G2528" s="91" t="n"/>
      <c r="J2528" s="129" t="n"/>
    </row>
    <row r="2529" hidden="1" customFormat="1" s="94">
      <c r="B2529" s="128" t="n">
        <v>44142</v>
      </c>
      <c r="C2529" s="94">
        <f>TEXT(B2529,"aaa")</f>
        <v/>
      </c>
      <c r="D2529" s="94" t="inlineStr">
        <is>
          <t>유튜브 디스커버리</t>
        </is>
      </c>
      <c r="E2529" s="94" t="inlineStr">
        <is>
          <t>토너</t>
        </is>
      </c>
      <c r="G2529" s="91" t="n"/>
      <c r="J2529" s="129" t="n"/>
    </row>
    <row r="2530" hidden="1" customFormat="1" s="94">
      <c r="B2530" s="128" t="n">
        <v>44143</v>
      </c>
      <c r="C2530" s="94">
        <f>TEXT(B2530,"aaa")</f>
        <v/>
      </c>
      <c r="D2530" s="94" t="inlineStr">
        <is>
          <t>유튜브 디스커버리</t>
        </is>
      </c>
      <c r="E2530" s="94" t="inlineStr">
        <is>
          <t>토너</t>
        </is>
      </c>
      <c r="G2530" s="91" t="n"/>
      <c r="J2530" s="129" t="n"/>
    </row>
    <row r="2531" hidden="1" customFormat="1" s="94">
      <c r="B2531" s="128" t="n">
        <v>44139</v>
      </c>
      <c r="C2531" s="94">
        <f>TEXT(B2531,"aaa")</f>
        <v/>
      </c>
      <c r="D2531" s="94" t="inlineStr">
        <is>
          <t>페이스북/인스타그램</t>
        </is>
      </c>
      <c r="E2531" s="94" t="inlineStr">
        <is>
          <t>앰플</t>
        </is>
      </c>
      <c r="G2531" s="91" t="n"/>
      <c r="J2531" s="129" t="n">
        <v>162027</v>
      </c>
    </row>
    <row r="2532" hidden="1" customFormat="1" s="94">
      <c r="B2532" s="128" t="n">
        <v>44139</v>
      </c>
      <c r="C2532" s="94">
        <f>TEXT(B2532,"aaa")</f>
        <v/>
      </c>
      <c r="D2532" s="94" t="inlineStr">
        <is>
          <t>페이스북/인스타그램</t>
        </is>
      </c>
      <c r="E2532" s="94" t="inlineStr">
        <is>
          <t>토너</t>
        </is>
      </c>
      <c r="G2532" s="91" t="n"/>
      <c r="J2532" s="129" t="n">
        <v>341032</v>
      </c>
    </row>
    <row r="2533" hidden="1" customFormat="1" s="94">
      <c r="B2533" s="128" t="n">
        <v>44139</v>
      </c>
      <c r="C2533" s="94">
        <f>TEXT(B2533,"aaa")</f>
        <v/>
      </c>
      <c r="D2533" s="94" t="inlineStr">
        <is>
          <t>페이스북/인스타그램</t>
        </is>
      </c>
      <c r="E2533" s="94" t="inlineStr">
        <is>
          <t>토너로션</t>
        </is>
      </c>
      <c r="G2533" s="91" t="n"/>
      <c r="J2533" s="129" t="n">
        <v>410463</v>
      </c>
    </row>
    <row r="2534" hidden="1" customFormat="1" s="94">
      <c r="B2534" s="128" t="n">
        <v>44139</v>
      </c>
      <c r="C2534" s="94">
        <f>TEXT(B2534,"aaa")</f>
        <v/>
      </c>
      <c r="D2534" s="94" t="inlineStr">
        <is>
          <t>페이스북/인스타그램</t>
        </is>
      </c>
      <c r="E2534" s="94" t="inlineStr">
        <is>
          <t>토너패드</t>
        </is>
      </c>
      <c r="G2534" s="91" t="n"/>
      <c r="J2534" s="129" t="n">
        <v>1307372</v>
      </c>
    </row>
    <row r="2535" hidden="1" customFormat="1" s="94">
      <c r="B2535" s="128" t="n">
        <v>44140</v>
      </c>
      <c r="C2535" s="94">
        <f>TEXT(B2535,"aaa")</f>
        <v/>
      </c>
      <c r="D2535" s="94" t="inlineStr">
        <is>
          <t>페이스북/인스타그램</t>
        </is>
      </c>
      <c r="E2535" s="94" t="inlineStr">
        <is>
          <t>앰플</t>
        </is>
      </c>
      <c r="G2535" s="91" t="n"/>
      <c r="J2535" s="129" t="n">
        <v>77964</v>
      </c>
    </row>
    <row r="2536" hidden="1" customFormat="1" s="94">
      <c r="B2536" s="128" t="n">
        <v>44140</v>
      </c>
      <c r="C2536" s="94">
        <f>TEXT(B2536,"aaa")</f>
        <v/>
      </c>
      <c r="D2536" s="94" t="inlineStr">
        <is>
          <t>페이스북/인스타그램</t>
        </is>
      </c>
      <c r="E2536" s="94" t="inlineStr">
        <is>
          <t>토너</t>
        </is>
      </c>
      <c r="G2536" s="91" t="n"/>
      <c r="J2536" s="129" t="n">
        <v>435763</v>
      </c>
    </row>
    <row r="2537" hidden="1" customFormat="1" s="94">
      <c r="B2537" s="128" t="n">
        <v>44140</v>
      </c>
      <c r="C2537" s="94">
        <f>TEXT(B2537,"aaa")</f>
        <v/>
      </c>
      <c r="D2537" s="94" t="inlineStr">
        <is>
          <t>페이스북/인스타그램</t>
        </is>
      </c>
      <c r="E2537" s="94" t="inlineStr">
        <is>
          <t>토너로션</t>
        </is>
      </c>
      <c r="G2537" s="91" t="n"/>
      <c r="J2537" s="129" t="n">
        <v>282188</v>
      </c>
    </row>
    <row r="2538" hidden="1" customFormat="1" s="94">
      <c r="B2538" s="128" t="n">
        <v>44140</v>
      </c>
      <c r="C2538" s="94">
        <f>TEXT(B2538,"aaa")</f>
        <v/>
      </c>
      <c r="D2538" s="94" t="inlineStr">
        <is>
          <t>페이스북/인스타그램</t>
        </is>
      </c>
      <c r="E2538" s="94" t="inlineStr">
        <is>
          <t>토너패드</t>
        </is>
      </c>
      <c r="G2538" s="91" t="n"/>
      <c r="J2538" s="129" t="n">
        <v>934532</v>
      </c>
    </row>
    <row r="2539" hidden="1" customFormat="1" s="94">
      <c r="B2539" s="128" t="n">
        <v>44141</v>
      </c>
      <c r="C2539" s="94">
        <f>TEXT(B2539,"aaa")</f>
        <v/>
      </c>
      <c r="D2539" s="94" t="inlineStr">
        <is>
          <t>페이스북/인스타그램</t>
        </is>
      </c>
      <c r="E2539" s="94" t="inlineStr">
        <is>
          <t>앰플</t>
        </is>
      </c>
      <c r="G2539" s="91" t="n"/>
      <c r="J2539" s="129" t="n">
        <v>95007</v>
      </c>
    </row>
    <row r="2540" hidden="1" customFormat="1" s="94">
      <c r="B2540" s="128" t="n">
        <v>44141</v>
      </c>
      <c r="C2540" s="94">
        <f>TEXT(B2540,"aaa")</f>
        <v/>
      </c>
      <c r="D2540" s="94" t="inlineStr">
        <is>
          <t>페이스북/인스타그램</t>
        </is>
      </c>
      <c r="E2540" s="94" t="inlineStr">
        <is>
          <t>토너</t>
        </is>
      </c>
      <c r="G2540" s="91" t="n"/>
      <c r="J2540" s="129" t="n">
        <v>491693</v>
      </c>
    </row>
    <row r="2541" hidden="1" customFormat="1" s="94">
      <c r="B2541" s="128" t="n">
        <v>44141</v>
      </c>
      <c r="C2541" s="94">
        <f>TEXT(B2541,"aaa")</f>
        <v/>
      </c>
      <c r="D2541" s="94" t="inlineStr">
        <is>
          <t>페이스북/인스타그램</t>
        </is>
      </c>
      <c r="E2541" s="94" t="inlineStr">
        <is>
          <t>토너로션</t>
        </is>
      </c>
      <c r="G2541" s="91" t="n"/>
      <c r="J2541" s="129" t="n">
        <v>161950</v>
      </c>
    </row>
    <row r="2542" hidden="1" customFormat="1" s="94">
      <c r="B2542" s="128" t="n">
        <v>44141</v>
      </c>
      <c r="C2542" s="94">
        <f>TEXT(B2542,"aaa")</f>
        <v/>
      </c>
      <c r="D2542" s="94" t="inlineStr">
        <is>
          <t>페이스북/인스타그램</t>
        </is>
      </c>
      <c r="E2542" s="94" t="inlineStr">
        <is>
          <t>토너패드</t>
        </is>
      </c>
      <c r="G2542" s="91" t="n"/>
      <c r="J2542" s="129" t="n">
        <v>1120441</v>
      </c>
    </row>
    <row r="2543" hidden="1" customFormat="1" s="94">
      <c r="B2543" s="128" t="n">
        <v>44142</v>
      </c>
      <c r="C2543" s="94">
        <f>TEXT(B2543,"aaa")</f>
        <v/>
      </c>
      <c r="D2543" s="94" t="inlineStr">
        <is>
          <t>페이스북/인스타그램</t>
        </is>
      </c>
      <c r="E2543" s="94" t="inlineStr">
        <is>
          <t>앰플</t>
        </is>
      </c>
      <c r="G2543" s="91" t="n"/>
      <c r="J2543" s="129" t="n">
        <v>101089</v>
      </c>
    </row>
    <row r="2544" hidden="1" customFormat="1" s="94">
      <c r="B2544" s="128" t="n">
        <v>44142</v>
      </c>
      <c r="C2544" s="94">
        <f>TEXT(B2544,"aaa")</f>
        <v/>
      </c>
      <c r="D2544" s="94" t="inlineStr">
        <is>
          <t>페이스북/인스타그램</t>
        </is>
      </c>
      <c r="E2544" s="94" t="inlineStr">
        <is>
          <t>토너</t>
        </is>
      </c>
      <c r="G2544" s="91" t="n"/>
      <c r="J2544" s="129" t="n">
        <v>289980</v>
      </c>
    </row>
    <row r="2545" hidden="1" customFormat="1" s="94">
      <c r="B2545" s="128" t="n">
        <v>44142</v>
      </c>
      <c r="C2545" s="94">
        <f>TEXT(B2545,"aaa")</f>
        <v/>
      </c>
      <c r="D2545" s="94" t="inlineStr">
        <is>
          <t>페이스북/인스타그램</t>
        </is>
      </c>
      <c r="E2545" s="94" t="inlineStr">
        <is>
          <t>토너로션</t>
        </is>
      </c>
      <c r="G2545" s="91" t="n"/>
      <c r="J2545" s="129" t="n">
        <v>119195</v>
      </c>
    </row>
    <row r="2546" hidden="1" customFormat="1" s="94">
      <c r="B2546" s="128" t="n">
        <v>44142</v>
      </c>
      <c r="C2546" s="94">
        <f>TEXT(B2546,"aaa")</f>
        <v/>
      </c>
      <c r="D2546" s="94" t="inlineStr">
        <is>
          <t>페이스북/인스타그램</t>
        </is>
      </c>
      <c r="E2546" s="94" t="inlineStr">
        <is>
          <t>토너패드</t>
        </is>
      </c>
      <c r="G2546" s="91" t="n"/>
      <c r="J2546" s="129" t="n">
        <v>809431</v>
      </c>
    </row>
    <row r="2547" hidden="1" customFormat="1" s="94">
      <c r="B2547" s="128" t="n">
        <v>44143</v>
      </c>
      <c r="C2547" s="94">
        <f>TEXT(B2547,"aaa")</f>
        <v/>
      </c>
      <c r="D2547" s="94" t="inlineStr">
        <is>
          <t>페이스북/인스타그램</t>
        </is>
      </c>
      <c r="E2547" s="94" t="inlineStr">
        <is>
          <t>앰플</t>
        </is>
      </c>
      <c r="G2547" s="91" t="n"/>
      <c r="J2547" s="129" t="n">
        <v>54178</v>
      </c>
    </row>
    <row r="2548" hidden="1" customFormat="1" s="94">
      <c r="B2548" s="128" t="n">
        <v>44143</v>
      </c>
      <c r="C2548" s="94">
        <f>TEXT(B2548,"aaa")</f>
        <v/>
      </c>
      <c r="D2548" s="94" t="inlineStr">
        <is>
          <t>페이스북/인스타그램</t>
        </is>
      </c>
      <c r="E2548" s="94" t="inlineStr">
        <is>
          <t>토너</t>
        </is>
      </c>
      <c r="G2548" s="91" t="n"/>
      <c r="J2548" s="129" t="n">
        <v>258075</v>
      </c>
    </row>
    <row r="2549" hidden="1" customFormat="1" s="94">
      <c r="B2549" s="128" t="n">
        <v>44143</v>
      </c>
      <c r="C2549" s="94">
        <f>TEXT(B2549,"aaa")</f>
        <v/>
      </c>
      <c r="D2549" s="94" t="inlineStr">
        <is>
          <t>페이스북/인스타그램</t>
        </is>
      </c>
      <c r="E2549" s="94" t="inlineStr">
        <is>
          <t>토너로션</t>
        </is>
      </c>
      <c r="G2549" s="91" t="n"/>
      <c r="J2549" s="129" t="n">
        <v>131322</v>
      </c>
    </row>
    <row r="2550" hidden="1" customFormat="1" s="94">
      <c r="B2550" s="128" t="n">
        <v>44143</v>
      </c>
      <c r="C2550" s="94">
        <f>TEXT(B2550,"aaa")</f>
        <v/>
      </c>
      <c r="D2550" s="94" t="inlineStr">
        <is>
          <t>페이스북/인스타그램</t>
        </is>
      </c>
      <c r="E2550" s="94" t="inlineStr">
        <is>
          <t>토너패드</t>
        </is>
      </c>
      <c r="G2550" s="91" t="n"/>
      <c r="J2550" s="129" t="n">
        <v>745960</v>
      </c>
    </row>
    <row r="2551" hidden="1" customFormat="1" s="94">
      <c r="B2551" s="128" t="n">
        <v>44139</v>
      </c>
      <c r="C2551" s="94">
        <f>TEXT(B2551,"aaa")</f>
        <v/>
      </c>
      <c r="D2551" s="94" t="inlineStr">
        <is>
          <t>유튜브 디스커버리</t>
        </is>
      </c>
      <c r="E2551" s="94" t="inlineStr">
        <is>
          <t>토너</t>
        </is>
      </c>
      <c r="G2551" s="91" t="n"/>
      <c r="J2551" s="129">
        <f>200127+644808</f>
        <v/>
      </c>
    </row>
    <row r="2552" hidden="1" customFormat="1" s="94">
      <c r="B2552" s="128" t="n">
        <v>44140</v>
      </c>
      <c r="C2552" s="94">
        <f>TEXT(B2552,"aaa")</f>
        <v/>
      </c>
      <c r="D2552" s="94" t="inlineStr">
        <is>
          <t>유튜브 디스커버리</t>
        </is>
      </c>
      <c r="E2552" s="94" t="inlineStr">
        <is>
          <t>토너</t>
        </is>
      </c>
      <c r="G2552" s="91" t="n"/>
      <c r="J2552" s="129" t="n">
        <v>615480</v>
      </c>
    </row>
    <row r="2553" hidden="1" customFormat="1" s="94">
      <c r="B2553" s="128" t="n">
        <v>44141</v>
      </c>
      <c r="C2553" s="94">
        <f>TEXT(B2553,"aaa")</f>
        <v/>
      </c>
      <c r="D2553" s="94" t="inlineStr">
        <is>
          <t>유튜브 디스커버리</t>
        </is>
      </c>
      <c r="E2553" s="94" t="inlineStr">
        <is>
          <t>토너</t>
        </is>
      </c>
      <c r="G2553" s="91" t="n"/>
      <c r="J2553" s="129" t="n"/>
    </row>
    <row r="2554" hidden="1" customFormat="1" s="94">
      <c r="B2554" s="128" t="n">
        <v>44142</v>
      </c>
      <c r="C2554" s="94">
        <f>TEXT(B2554,"aaa")</f>
        <v/>
      </c>
      <c r="D2554" s="94" t="inlineStr">
        <is>
          <t>유튜브 디스커버리</t>
        </is>
      </c>
      <c r="E2554" s="94" t="inlineStr">
        <is>
          <t>토너</t>
        </is>
      </c>
      <c r="G2554" s="91" t="n"/>
      <c r="J2554" s="129" t="n"/>
    </row>
    <row r="2555" hidden="1" customFormat="1" s="94">
      <c r="B2555" s="128" t="n">
        <v>44143</v>
      </c>
      <c r="C2555" s="94">
        <f>TEXT(B2555,"aaa")</f>
        <v/>
      </c>
      <c r="D2555" s="94" t="inlineStr">
        <is>
          <t>유튜브 디스커버리</t>
        </is>
      </c>
      <c r="E2555" s="94" t="inlineStr">
        <is>
          <t>토너</t>
        </is>
      </c>
      <c r="G2555" s="91" t="n"/>
      <c r="J2555" s="129" t="n"/>
    </row>
    <row r="2556" hidden="1" customFormat="1" s="94">
      <c r="B2556" s="128" t="n">
        <v>44144</v>
      </c>
      <c r="C2556" s="94">
        <f>TEXT(B2556,"aaa")</f>
        <v/>
      </c>
      <c r="D2556" s="94" t="inlineStr">
        <is>
          <t>페이스북/인스타그램</t>
        </is>
      </c>
      <c r="E2556" s="94" t="inlineStr">
        <is>
          <t>토너패드</t>
        </is>
      </c>
      <c r="G2556" s="91" t="n"/>
      <c r="J2556" s="129" t="n">
        <v>551449</v>
      </c>
    </row>
    <row r="2557" hidden="1" customFormat="1" s="94">
      <c r="B2557" s="128" t="n">
        <v>44144</v>
      </c>
      <c r="C2557" s="94">
        <f>TEXT(B2557,"aaa")</f>
        <v/>
      </c>
      <c r="D2557" s="94" t="inlineStr">
        <is>
          <t>페이스북/인스타그램</t>
        </is>
      </c>
      <c r="E2557" s="94" t="inlineStr">
        <is>
          <t>토너로션</t>
        </is>
      </c>
      <c r="G2557" s="91" t="n"/>
      <c r="J2557" s="129" t="n">
        <v>100745</v>
      </c>
    </row>
    <row r="2558" hidden="1" customFormat="1" s="94">
      <c r="B2558" s="128" t="n">
        <v>44144</v>
      </c>
      <c r="C2558" s="94">
        <f>TEXT(B2558,"aaa")</f>
        <v/>
      </c>
      <c r="D2558" s="94" t="inlineStr">
        <is>
          <t>페이스북/인스타그램</t>
        </is>
      </c>
      <c r="E2558" s="94" t="inlineStr">
        <is>
          <t>토너</t>
        </is>
      </c>
      <c r="G2558" s="91" t="n"/>
      <c r="J2558" s="129" t="n">
        <v>233475</v>
      </c>
    </row>
    <row r="2559" hidden="1" customFormat="1" s="94">
      <c r="B2559" s="128" t="n">
        <v>44144</v>
      </c>
      <c r="C2559" s="94">
        <f>TEXT(B2559,"aaa")</f>
        <v/>
      </c>
      <c r="D2559" s="94" t="inlineStr">
        <is>
          <t>페이스북/인스타그램</t>
        </is>
      </c>
      <c r="E2559" s="94" t="inlineStr">
        <is>
          <t>앰플</t>
        </is>
      </c>
      <c r="G2559" s="91" t="n"/>
      <c r="J2559" s="129" t="n">
        <v>48375</v>
      </c>
    </row>
    <row r="2560" hidden="1" customFormat="1" s="94">
      <c r="B2560" s="128" t="n">
        <v>44144</v>
      </c>
      <c r="C2560" s="94">
        <f>TEXT(B2560,"aaa")</f>
        <v/>
      </c>
      <c r="D2560" s="94" t="inlineStr">
        <is>
          <t>네이버 브랜드검색</t>
        </is>
      </c>
      <c r="E2560" s="94" t="inlineStr">
        <is>
          <t>토너</t>
        </is>
      </c>
      <c r="G2560" s="91" t="n"/>
      <c r="J2560" s="129">
        <f>50000</f>
        <v/>
      </c>
    </row>
    <row r="2561" customFormat="1" s="94">
      <c r="B2561" s="128" t="n">
        <v>44144</v>
      </c>
      <c r="C2561" s="94">
        <f>TEXT(B2561,"aaa")</f>
        <v/>
      </c>
      <c r="D2561" s="94" t="inlineStr">
        <is>
          <t>카카오광고</t>
        </is>
      </c>
      <c r="E2561" s="94" t="inlineStr">
        <is>
          <t>토너</t>
        </is>
      </c>
      <c r="G2561" s="91" t="n"/>
      <c r="J2561" s="129">
        <f>15488/1.1</f>
        <v/>
      </c>
    </row>
    <row r="2562" hidden="1" customFormat="1" s="94">
      <c r="B2562" s="128" t="n">
        <v>44144</v>
      </c>
      <c r="C2562" s="94">
        <f>TEXT(B2562,"aaa")</f>
        <v/>
      </c>
      <c r="D2562" s="94" t="inlineStr">
        <is>
          <t>유튜브 디스커버리</t>
        </is>
      </c>
      <c r="E2562" s="94" t="inlineStr">
        <is>
          <t>토너</t>
        </is>
      </c>
      <c r="G2562" s="91" t="n"/>
      <c r="J2562" s="129" t="n">
        <v>712963</v>
      </c>
    </row>
    <row r="2563" hidden="1" customFormat="1" s="94">
      <c r="B2563" s="128" t="n">
        <v>44144</v>
      </c>
      <c r="C2563" s="94">
        <f>TEXT(B2563,"aaa")</f>
        <v/>
      </c>
      <c r="D2563" s="94" t="inlineStr">
        <is>
          <t>네이버 쇼핑검색</t>
        </is>
      </c>
      <c r="G2563" s="91" t="n"/>
      <c r="J2563" s="129" t="n">
        <v>0</v>
      </c>
    </row>
    <row r="2564" hidden="1" customFormat="1" s="94">
      <c r="B2564" s="128" t="n">
        <v>44144</v>
      </c>
      <c r="C2564" s="94">
        <f>TEXT(B2564,"aaa")</f>
        <v/>
      </c>
      <c r="D2564" s="94" t="inlineStr">
        <is>
          <t>네이버 GFA</t>
        </is>
      </c>
      <c r="E2564" s="94" t="inlineStr">
        <is>
          <t>토너</t>
        </is>
      </c>
      <c r="G2564" s="91" t="n"/>
      <c r="J2564" s="129">
        <f>(64056+5789+39362)/1.1</f>
        <v/>
      </c>
      <c r="K2564" s="127" t="n"/>
      <c r="M2564" s="145" t="n"/>
    </row>
    <row r="2565" hidden="1" customFormat="1" s="94">
      <c r="B2565" s="128" t="n">
        <v>44144</v>
      </c>
      <c r="C2565" s="94">
        <f>TEXT(B2565,"aaa")</f>
        <v/>
      </c>
      <c r="D2565" s="94" t="inlineStr">
        <is>
          <t>네이버 GFA</t>
        </is>
      </c>
      <c r="E2565" s="94" t="inlineStr">
        <is>
          <t>앰플</t>
        </is>
      </c>
      <c r="G2565" s="91" t="n"/>
      <c r="J2565" s="129">
        <f>96009/1.1</f>
        <v/>
      </c>
    </row>
    <row r="2566" hidden="1" customFormat="1" s="94">
      <c r="B2566" s="128" t="n">
        <v>44145</v>
      </c>
      <c r="C2566" s="94">
        <f>TEXT(B2566,"aaa")</f>
        <v/>
      </c>
      <c r="D2566" s="94" t="inlineStr">
        <is>
          <t>페이스북/인스타그램</t>
        </is>
      </c>
      <c r="E2566" s="94" t="inlineStr">
        <is>
          <t>토너패드</t>
        </is>
      </c>
      <c r="G2566" s="91" t="n"/>
      <c r="J2566" s="129" t="n">
        <v>540431</v>
      </c>
    </row>
    <row r="2567" hidden="1" customFormat="1" s="94">
      <c r="B2567" s="128" t="n">
        <v>44145</v>
      </c>
      <c r="C2567" s="94">
        <f>TEXT(B2567,"aaa")</f>
        <v/>
      </c>
      <c r="D2567" s="94" t="inlineStr">
        <is>
          <t>페이스북/인스타그램</t>
        </is>
      </c>
      <c r="E2567" s="94" t="inlineStr">
        <is>
          <t>토너로션</t>
        </is>
      </c>
      <c r="G2567" s="91" t="n"/>
      <c r="J2567" s="129" t="n">
        <v>77308</v>
      </c>
    </row>
    <row r="2568" hidden="1" customFormat="1" s="94">
      <c r="B2568" s="128" t="n">
        <v>44145</v>
      </c>
      <c r="C2568" s="94">
        <f>TEXT(B2568,"aaa")</f>
        <v/>
      </c>
      <c r="D2568" s="94" t="inlineStr">
        <is>
          <t>페이스북/인스타그램</t>
        </is>
      </c>
      <c r="E2568" s="94" t="inlineStr">
        <is>
          <t>토너</t>
        </is>
      </c>
      <c r="G2568" s="91" t="n"/>
      <c r="J2568" s="129" t="n">
        <v>269244</v>
      </c>
    </row>
    <row r="2569" hidden="1" customFormat="1" s="94">
      <c r="B2569" s="128" t="n">
        <v>44145</v>
      </c>
      <c r="C2569" s="94">
        <f>TEXT(B2569,"aaa")</f>
        <v/>
      </c>
      <c r="D2569" s="94" t="inlineStr">
        <is>
          <t>페이스북/인스타그램</t>
        </is>
      </c>
      <c r="E2569" s="94" t="inlineStr">
        <is>
          <t>앰플</t>
        </is>
      </c>
      <c r="G2569" s="91" t="n"/>
      <c r="J2569" s="129" t="n">
        <v>80153</v>
      </c>
    </row>
    <row r="2570" hidden="1" customFormat="1" s="94">
      <c r="B2570" s="128" t="n">
        <v>44145</v>
      </c>
      <c r="C2570" s="94">
        <f>TEXT(B2570,"aaa")</f>
        <v/>
      </c>
      <c r="D2570" s="94" t="inlineStr">
        <is>
          <t>네이버 브랜드검색</t>
        </is>
      </c>
      <c r="E2570" s="94" t="inlineStr">
        <is>
          <t>토너</t>
        </is>
      </c>
      <c r="G2570" s="91" t="n"/>
      <c r="J2570" s="129">
        <f>50000</f>
        <v/>
      </c>
    </row>
    <row r="2571" customFormat="1" s="94">
      <c r="B2571" s="128" t="n">
        <v>44145</v>
      </c>
      <c r="C2571" s="94">
        <f>TEXT(B2571,"aaa")</f>
        <v/>
      </c>
      <c r="D2571" s="94" t="inlineStr">
        <is>
          <t>카카오광고</t>
        </is>
      </c>
      <c r="E2571" s="94" t="inlineStr">
        <is>
          <t>토너</t>
        </is>
      </c>
      <c r="G2571" s="91" t="n"/>
      <c r="J2571" s="129">
        <f>7821/1.1</f>
        <v/>
      </c>
    </row>
    <row r="2572" hidden="1" customFormat="1" s="94">
      <c r="B2572" s="128" t="n">
        <v>44145</v>
      </c>
      <c r="C2572" s="94">
        <f>TEXT(B2572,"aaa")</f>
        <v/>
      </c>
      <c r="D2572" s="94" t="inlineStr">
        <is>
          <t>유튜브 디스커버리</t>
        </is>
      </c>
      <c r="E2572" s="94" t="inlineStr">
        <is>
          <t>토너</t>
        </is>
      </c>
      <c r="G2572" s="91" t="n"/>
      <c r="J2572" s="129">
        <f>740932+3090</f>
        <v/>
      </c>
    </row>
    <row r="2573" hidden="1" customFormat="1" s="94">
      <c r="B2573" s="128" t="n">
        <v>44145</v>
      </c>
      <c r="C2573" s="94">
        <f>TEXT(B2573,"aaa")</f>
        <v/>
      </c>
      <c r="D2573" s="94" t="inlineStr">
        <is>
          <t>네이버 쇼핑검색</t>
        </is>
      </c>
      <c r="G2573" s="91" t="n"/>
      <c r="J2573" s="129" t="n">
        <v>0</v>
      </c>
    </row>
    <row r="2574" hidden="1" customFormat="1" s="94">
      <c r="B2574" s="128" t="n">
        <v>44145</v>
      </c>
      <c r="C2574" s="94">
        <f>TEXT(B2574,"aaa")</f>
        <v/>
      </c>
      <c r="D2574" s="94" t="inlineStr">
        <is>
          <t>네이버 GFA</t>
        </is>
      </c>
      <c r="E2574" s="94" t="inlineStr">
        <is>
          <t>토너</t>
        </is>
      </c>
      <c r="G2574" s="91" t="n"/>
      <c r="J2574" s="129">
        <f>(59416+10385+37375)/1.1</f>
        <v/>
      </c>
      <c r="K2574" s="127" t="n"/>
      <c r="M2574" s="145" t="n"/>
    </row>
    <row r="2575" hidden="1" customFormat="1" s="94">
      <c r="B2575" s="128" t="n">
        <v>44145</v>
      </c>
      <c r="C2575" s="94">
        <f>TEXT(B2575,"aaa")</f>
        <v/>
      </c>
      <c r="D2575" s="94" t="inlineStr">
        <is>
          <t>네이버 GFA</t>
        </is>
      </c>
      <c r="E2575" s="94" t="inlineStr">
        <is>
          <t>토너패드</t>
        </is>
      </c>
      <c r="G2575" s="91" t="n"/>
      <c r="J2575" s="129">
        <f>(32790+3769+9089)/1.1</f>
        <v/>
      </c>
      <c r="K2575" s="127" t="n"/>
      <c r="M2575" s="145" t="n"/>
    </row>
    <row r="2576" hidden="1" customFormat="1" s="94">
      <c r="B2576" s="128" t="n">
        <v>44145</v>
      </c>
      <c r="C2576" s="94">
        <f>TEXT(B2576,"aaa")</f>
        <v/>
      </c>
      <c r="D2576" s="94" t="inlineStr">
        <is>
          <t>네이버 GFA</t>
        </is>
      </c>
      <c r="E2576" s="94" t="inlineStr">
        <is>
          <t>앰플</t>
        </is>
      </c>
      <c r="G2576" s="91" t="n"/>
      <c r="J2576" s="129">
        <f>53627/1.1</f>
        <v/>
      </c>
    </row>
    <row r="2577" hidden="1" customFormat="1" s="94">
      <c r="B2577" s="128" t="n">
        <v>44146</v>
      </c>
      <c r="C2577" s="94">
        <f>TEXT(B2577,"aaa")</f>
        <v/>
      </c>
      <c r="D2577" s="94" t="inlineStr">
        <is>
          <t>페이스북/인스타그램</t>
        </is>
      </c>
      <c r="E2577" s="94" t="inlineStr">
        <is>
          <t>토너패드</t>
        </is>
      </c>
      <c r="G2577" s="91" t="n"/>
      <c r="J2577" s="129" t="n">
        <v>508988</v>
      </c>
    </row>
    <row r="2578" hidden="1" customFormat="1" s="94">
      <c r="B2578" s="128" t="n">
        <v>44146</v>
      </c>
      <c r="C2578" s="94">
        <f>TEXT(B2578,"aaa")</f>
        <v/>
      </c>
      <c r="D2578" s="94" t="inlineStr">
        <is>
          <t>페이스북/인스타그램</t>
        </is>
      </c>
      <c r="E2578" s="94" t="inlineStr">
        <is>
          <t>토너로션</t>
        </is>
      </c>
      <c r="G2578" s="91" t="n"/>
      <c r="J2578" s="129" t="n">
        <v>33869</v>
      </c>
    </row>
    <row r="2579" hidden="1" customFormat="1" s="94">
      <c r="B2579" s="128" t="n">
        <v>44146</v>
      </c>
      <c r="C2579" s="94">
        <f>TEXT(B2579,"aaa")</f>
        <v/>
      </c>
      <c r="D2579" s="94" t="inlineStr">
        <is>
          <t>페이스북/인스타그램</t>
        </is>
      </c>
      <c r="E2579" s="94" t="inlineStr">
        <is>
          <t>토너</t>
        </is>
      </c>
      <c r="G2579" s="91" t="n"/>
      <c r="J2579" s="129" t="n">
        <v>267708</v>
      </c>
    </row>
    <row r="2580" hidden="1" customFormat="1" s="94">
      <c r="B2580" s="128" t="n">
        <v>44146</v>
      </c>
      <c r="C2580" s="94">
        <f>TEXT(B2580,"aaa")</f>
        <v/>
      </c>
      <c r="D2580" s="94" t="inlineStr">
        <is>
          <t>페이스북/인스타그램</t>
        </is>
      </c>
      <c r="E2580" s="94" t="inlineStr">
        <is>
          <t>앰플</t>
        </is>
      </c>
      <c r="G2580" s="91" t="n"/>
      <c r="J2580" s="129" t="n">
        <v>79558</v>
      </c>
    </row>
    <row r="2581" hidden="1" customFormat="1" s="94">
      <c r="B2581" s="128" t="n">
        <v>44146</v>
      </c>
      <c r="C2581" s="94">
        <f>TEXT(B2581,"aaa")</f>
        <v/>
      </c>
      <c r="D2581" s="94" t="inlineStr">
        <is>
          <t>네이버 브랜드검색</t>
        </is>
      </c>
      <c r="E2581" s="94" t="inlineStr">
        <is>
          <t>토너</t>
        </is>
      </c>
      <c r="G2581" s="91" t="n"/>
      <c r="J2581" s="129">
        <f>50000</f>
        <v/>
      </c>
    </row>
    <row r="2582" customFormat="1" s="94">
      <c r="B2582" s="128" t="n">
        <v>44146</v>
      </c>
      <c r="C2582" s="94">
        <f>TEXT(B2582,"aaa")</f>
        <v/>
      </c>
      <c r="D2582" s="94" t="inlineStr">
        <is>
          <t>카카오광고</t>
        </is>
      </c>
      <c r="E2582" s="94" t="inlineStr">
        <is>
          <t>토너</t>
        </is>
      </c>
      <c r="G2582" s="91" t="n"/>
      <c r="J2582" s="129">
        <f>6336/1.1</f>
        <v/>
      </c>
    </row>
    <row r="2583" hidden="1" customFormat="1" s="94">
      <c r="B2583" s="128" t="n">
        <v>44146</v>
      </c>
      <c r="C2583" s="94">
        <f>TEXT(B2583,"aaa")</f>
        <v/>
      </c>
      <c r="D2583" s="94" t="inlineStr">
        <is>
          <t>유튜브 디스커버리</t>
        </is>
      </c>
      <c r="E2583" s="94" t="inlineStr">
        <is>
          <t>토너</t>
        </is>
      </c>
      <c r="G2583" s="91" t="n"/>
      <c r="J2583" s="129">
        <f>608762+3418</f>
        <v/>
      </c>
    </row>
    <row r="2584" hidden="1" customFormat="1" s="94">
      <c r="B2584" s="128" t="n">
        <v>44146</v>
      </c>
      <c r="C2584" s="94">
        <f>TEXT(B2584,"aaa")</f>
        <v/>
      </c>
      <c r="D2584" s="94" t="inlineStr">
        <is>
          <t>네이버 쇼핑검색</t>
        </is>
      </c>
      <c r="G2584" s="91" t="n"/>
      <c r="J2584" s="129" t="n">
        <v>0</v>
      </c>
    </row>
    <row r="2585" hidden="1" customFormat="1" s="94">
      <c r="B2585" s="128" t="n">
        <v>44146</v>
      </c>
      <c r="C2585" s="94">
        <f>TEXT(B2585,"aaa")</f>
        <v/>
      </c>
      <c r="D2585" s="94" t="inlineStr">
        <is>
          <t>네이버 GFA</t>
        </is>
      </c>
      <c r="E2585" s="94" t="inlineStr">
        <is>
          <t>앰플</t>
        </is>
      </c>
      <c r="G2585" s="91" t="n"/>
      <c r="J2585" s="129" t="n">
        <v>18160.90909090909</v>
      </c>
      <c r="K2585" s="127" t="n"/>
      <c r="M2585" s="145" t="n"/>
    </row>
    <row r="2586" hidden="1" customFormat="1" s="94">
      <c r="B2586" s="128" t="n">
        <v>44146</v>
      </c>
      <c r="C2586" s="94">
        <f>TEXT(B2586,"aaa")</f>
        <v/>
      </c>
      <c r="D2586" s="94" t="inlineStr">
        <is>
          <t>네이버 GFA</t>
        </is>
      </c>
      <c r="E2586" s="94" t="inlineStr">
        <is>
          <t>토너</t>
        </is>
      </c>
      <c r="G2586" s="91" t="n"/>
      <c r="J2586" s="129" t="n">
        <v>33053.63636363636</v>
      </c>
      <c r="K2586" s="127" t="n"/>
      <c r="M2586" s="145" t="n"/>
    </row>
    <row r="2587" hidden="1" customFormat="1" s="94">
      <c r="B2587" s="128" t="n">
        <v>44146</v>
      </c>
      <c r="C2587" s="94">
        <f>TEXT(B2587,"aaa")</f>
        <v/>
      </c>
      <c r="D2587" s="94" t="inlineStr">
        <is>
          <t>네이버 GFA</t>
        </is>
      </c>
      <c r="E2587" s="94" t="inlineStr">
        <is>
          <t>토너패드</t>
        </is>
      </c>
      <c r="G2587" s="91" t="n"/>
      <c r="J2587" s="129" t="n">
        <v>101838.1818181818</v>
      </c>
    </row>
    <row r="2588" hidden="1" customFormat="1" s="94">
      <c r="B2588" s="128" t="n">
        <v>44147</v>
      </c>
      <c r="C2588" s="94">
        <f>TEXT(B2588,"aaa")</f>
        <v/>
      </c>
      <c r="D2588" s="94" t="inlineStr">
        <is>
          <t>페이스북/인스타그램</t>
        </is>
      </c>
      <c r="E2588" s="94" t="inlineStr">
        <is>
          <t>토너패드</t>
        </is>
      </c>
      <c r="G2588" s="91" t="n"/>
      <c r="J2588" s="129">
        <f>645630+29793</f>
        <v/>
      </c>
    </row>
    <row r="2589" hidden="1" customFormat="1" s="94">
      <c r="B2589" s="128" t="n">
        <v>44147</v>
      </c>
      <c r="C2589" s="94">
        <f>TEXT(B2589,"aaa")</f>
        <v/>
      </c>
      <c r="D2589" s="94" t="inlineStr">
        <is>
          <t>페이스북/인스타그램</t>
        </is>
      </c>
      <c r="E2589" s="94" t="inlineStr">
        <is>
          <t>토너로션</t>
        </is>
      </c>
      <c r="G2589" s="91" t="n"/>
      <c r="J2589" s="129" t="n">
        <v>0</v>
      </c>
    </row>
    <row r="2590" hidden="1" customFormat="1" s="94">
      <c r="B2590" s="128" t="n">
        <v>44147</v>
      </c>
      <c r="C2590" s="94">
        <f>TEXT(B2590,"aaa")</f>
        <v/>
      </c>
      <c r="D2590" s="94" t="inlineStr">
        <is>
          <t>페이스북/인스타그램</t>
        </is>
      </c>
      <c r="E2590" s="94" t="inlineStr">
        <is>
          <t>토너</t>
        </is>
      </c>
      <c r="G2590" s="91" t="n"/>
      <c r="J2590" s="129" t="n">
        <v>243229</v>
      </c>
    </row>
    <row r="2591" hidden="1" customFormat="1" s="94">
      <c r="B2591" s="128" t="n">
        <v>44147</v>
      </c>
      <c r="C2591" s="94">
        <f>TEXT(B2591,"aaa")</f>
        <v/>
      </c>
      <c r="D2591" s="94" t="inlineStr">
        <is>
          <t>페이스북/인스타그램</t>
        </is>
      </c>
      <c r="E2591" s="94" t="inlineStr">
        <is>
          <t>앰플</t>
        </is>
      </c>
      <c r="G2591" s="91" t="n"/>
      <c r="J2591" s="129" t="n">
        <v>76369</v>
      </c>
    </row>
    <row r="2592" hidden="1" customFormat="1" s="94">
      <c r="B2592" s="128" t="n">
        <v>44147</v>
      </c>
      <c r="C2592" s="94">
        <f>TEXT(B2592,"aaa")</f>
        <v/>
      </c>
      <c r="D2592" s="94" t="inlineStr">
        <is>
          <t>네이버 브랜드검색</t>
        </is>
      </c>
      <c r="E2592" s="94" t="inlineStr">
        <is>
          <t>토너</t>
        </is>
      </c>
      <c r="G2592" s="91" t="n"/>
      <c r="J2592" s="129">
        <f>50000</f>
        <v/>
      </c>
    </row>
    <row r="2593" customFormat="1" s="94">
      <c r="B2593" s="128" t="n">
        <v>44147</v>
      </c>
      <c r="C2593" s="94">
        <f>TEXT(B2593,"aaa")</f>
        <v/>
      </c>
      <c r="D2593" s="94" t="inlineStr">
        <is>
          <t>카카오광고</t>
        </is>
      </c>
      <c r="E2593" s="94" t="inlineStr">
        <is>
          <t>토너</t>
        </is>
      </c>
      <c r="G2593" s="91" t="n"/>
      <c r="J2593" s="129">
        <f>4213/1.1</f>
        <v/>
      </c>
    </row>
    <row r="2594" hidden="1" customFormat="1" s="94">
      <c r="B2594" s="128" t="n">
        <v>44147</v>
      </c>
      <c r="C2594" s="94">
        <f>TEXT(B2594,"aaa")</f>
        <v/>
      </c>
      <c r="D2594" s="94" t="inlineStr">
        <is>
          <t>유튜브 디스커버리</t>
        </is>
      </c>
      <c r="E2594" s="94" t="inlineStr">
        <is>
          <t>토너</t>
        </is>
      </c>
      <c r="G2594" s="91" t="n"/>
      <c r="J2594" s="129" t="n">
        <v>638052</v>
      </c>
    </row>
    <row r="2595" hidden="1" customFormat="1" s="94">
      <c r="B2595" s="128" t="n">
        <v>44147</v>
      </c>
      <c r="C2595" s="94">
        <f>TEXT(B2595,"aaa")</f>
        <v/>
      </c>
      <c r="D2595" s="94" t="inlineStr">
        <is>
          <t>네이버 쇼핑검색</t>
        </is>
      </c>
      <c r="G2595" s="91" t="n"/>
      <c r="J2595" s="129" t="n">
        <v>0</v>
      </c>
    </row>
    <row r="2596" hidden="1" customFormat="1" s="94">
      <c r="B2596" s="128" t="n">
        <v>44147</v>
      </c>
      <c r="C2596" s="94">
        <f>TEXT(B2596,"aaa")</f>
        <v/>
      </c>
      <c r="D2596" s="94" t="inlineStr">
        <is>
          <t>네이버 GFA</t>
        </is>
      </c>
      <c r="E2596" s="94" t="inlineStr">
        <is>
          <t>앰플</t>
        </is>
      </c>
      <c r="G2596" s="91" t="n"/>
      <c r="J2596" s="129" t="n">
        <v>18160.90909090909</v>
      </c>
      <c r="K2596" s="127" t="n"/>
      <c r="M2596" s="145" t="n"/>
    </row>
    <row r="2597" hidden="1" customFormat="1" s="94">
      <c r="B2597" s="128" t="n">
        <v>44147</v>
      </c>
      <c r="C2597" s="94">
        <f>TEXT(B2597,"aaa")</f>
        <v/>
      </c>
      <c r="D2597" s="94" t="inlineStr">
        <is>
          <t>네이버 GFA</t>
        </is>
      </c>
      <c r="E2597" s="94" t="inlineStr">
        <is>
          <t>토너</t>
        </is>
      </c>
      <c r="G2597" s="91" t="n"/>
      <c r="J2597" s="129" t="n">
        <v>134402</v>
      </c>
      <c r="K2597" s="127" t="n"/>
      <c r="M2597" s="145" t="n"/>
    </row>
    <row r="2598" hidden="1" customFormat="1" s="94">
      <c r="B2598" s="128" t="n">
        <v>44147</v>
      </c>
      <c r="C2598" s="94">
        <f>TEXT(B2598,"aaa")</f>
        <v/>
      </c>
      <c r="D2598" s="94" t="inlineStr">
        <is>
          <t>네이버 GFA</t>
        </is>
      </c>
      <c r="E2598" s="94" t="inlineStr">
        <is>
          <t>토너패드</t>
        </is>
      </c>
      <c r="G2598" s="91" t="n"/>
      <c r="J2598" s="129" t="n">
        <v>110842</v>
      </c>
    </row>
    <row r="2599" hidden="1" customFormat="1" s="94">
      <c r="B2599" s="128" t="n">
        <v>44148</v>
      </c>
      <c r="C2599" s="94">
        <f>TEXT(B2599,"aaa")</f>
        <v/>
      </c>
      <c r="D2599" s="94" t="inlineStr">
        <is>
          <t>페이스북/인스타그램</t>
        </is>
      </c>
      <c r="E2599" s="94" t="inlineStr">
        <is>
          <t>앰플</t>
        </is>
      </c>
      <c r="G2599" s="91" t="n"/>
      <c r="J2599" s="129" t="n">
        <v>56130.8</v>
      </c>
    </row>
    <row r="2600" hidden="1" customFormat="1" s="94">
      <c r="B2600" s="128" t="n">
        <v>44149</v>
      </c>
      <c r="C2600" s="94">
        <f>TEXT(B2600,"aaa")</f>
        <v/>
      </c>
      <c r="D2600" s="94" t="inlineStr">
        <is>
          <t>페이스북/인스타그램</t>
        </is>
      </c>
      <c r="E2600" s="94" t="inlineStr">
        <is>
          <t>앰플</t>
        </is>
      </c>
      <c r="G2600" s="91" t="n"/>
      <c r="J2600" s="129" t="n">
        <v>0</v>
      </c>
    </row>
    <row r="2601" hidden="1" customFormat="1" s="94">
      <c r="B2601" s="128" t="n">
        <v>44150</v>
      </c>
      <c r="C2601" s="94">
        <f>TEXT(B2601,"aaa")</f>
        <v/>
      </c>
      <c r="D2601" s="94" t="inlineStr">
        <is>
          <t>페이스북/인스타그램</t>
        </is>
      </c>
      <c r="E2601" s="94" t="inlineStr">
        <is>
          <t>앰플</t>
        </is>
      </c>
      <c r="G2601" s="91" t="n"/>
      <c r="J2601" s="129" t="n">
        <v>0</v>
      </c>
    </row>
    <row r="2602" hidden="1" customFormat="1" s="94">
      <c r="B2602" s="128" t="n">
        <v>44148</v>
      </c>
      <c r="C2602" s="94">
        <f>TEXT(B2602,"aaa")</f>
        <v/>
      </c>
      <c r="D2602" s="94" t="inlineStr">
        <is>
          <t>페이스북/인스타그램</t>
        </is>
      </c>
      <c r="E2602" s="94" t="inlineStr">
        <is>
          <t>토너</t>
        </is>
      </c>
      <c r="G2602" s="91" t="n"/>
      <c r="J2602" s="129" t="n">
        <v>252253.1</v>
      </c>
    </row>
    <row r="2603" hidden="1" customFormat="1" s="94">
      <c r="B2603" s="128" t="n">
        <v>44149</v>
      </c>
      <c r="C2603" s="94">
        <f>TEXT(B2603,"aaa")</f>
        <v/>
      </c>
      <c r="D2603" s="94" t="inlineStr">
        <is>
          <t>페이스북/인스타그램</t>
        </is>
      </c>
      <c r="E2603" s="94" t="inlineStr">
        <is>
          <t>토너</t>
        </is>
      </c>
      <c r="G2603" s="91" t="n"/>
      <c r="J2603" s="129" t="n">
        <v>190950.1</v>
      </c>
    </row>
    <row r="2604" hidden="1" customFormat="1" s="94">
      <c r="B2604" s="128" t="n">
        <v>44150</v>
      </c>
      <c r="C2604" s="94">
        <f>TEXT(B2604,"aaa")</f>
        <v/>
      </c>
      <c r="D2604" s="94" t="inlineStr">
        <is>
          <t>페이스북/인스타그램</t>
        </is>
      </c>
      <c r="E2604" s="94" t="inlineStr">
        <is>
          <t>토너</t>
        </is>
      </c>
      <c r="G2604" s="91" t="n"/>
      <c r="J2604" s="129" t="n">
        <v>342908.5</v>
      </c>
    </row>
    <row r="2605" hidden="1" customFormat="1" s="94">
      <c r="B2605" s="128" t="n">
        <v>44148</v>
      </c>
      <c r="C2605" s="94">
        <f>TEXT(B2605,"aaa")</f>
        <v/>
      </c>
      <c r="D2605" s="94" t="inlineStr">
        <is>
          <t>페이스북/인스타그램</t>
        </is>
      </c>
      <c r="E2605" s="94" t="inlineStr">
        <is>
          <t>토너패드</t>
        </is>
      </c>
      <c r="G2605" s="91" t="n"/>
      <c r="J2605" s="129" t="n">
        <v>858453.2000000001</v>
      </c>
    </row>
    <row r="2606" hidden="1" customFormat="1" s="94">
      <c r="B2606" s="128" t="n">
        <v>44149</v>
      </c>
      <c r="C2606" s="94">
        <f>TEXT(B2606,"aaa")</f>
        <v/>
      </c>
      <c r="D2606" s="94" t="inlineStr">
        <is>
          <t>페이스북/인스타그램</t>
        </is>
      </c>
      <c r="E2606" s="94" t="inlineStr">
        <is>
          <t>토너패드</t>
        </is>
      </c>
      <c r="G2606" s="91" t="n"/>
      <c r="J2606" s="129" t="n">
        <v>642998.4</v>
      </c>
    </row>
    <row r="2607" hidden="1" customFormat="1" s="94">
      <c r="B2607" s="128" t="n">
        <v>44150</v>
      </c>
      <c r="C2607" s="94">
        <f>TEXT(B2607,"aaa")</f>
        <v/>
      </c>
      <c r="D2607" s="94" t="inlineStr">
        <is>
          <t>페이스북/인스타그램</t>
        </is>
      </c>
      <c r="E2607" s="94" t="inlineStr">
        <is>
          <t>토너패드</t>
        </is>
      </c>
      <c r="G2607" s="91" t="n"/>
      <c r="J2607" s="129" t="n">
        <v>842033.5</v>
      </c>
    </row>
    <row r="2608" hidden="1" customFormat="1" s="94">
      <c r="B2608" s="128" t="n">
        <v>44148</v>
      </c>
      <c r="C2608" s="94">
        <f>TEXT(B2608,"aaa")</f>
        <v/>
      </c>
      <c r="D2608" s="94" t="inlineStr">
        <is>
          <t>네이버 브랜드검색</t>
        </is>
      </c>
      <c r="E2608" s="94" t="inlineStr">
        <is>
          <t>토너</t>
        </is>
      </c>
      <c r="G2608" s="91" t="n"/>
      <c r="J2608" s="129">
        <f>50000</f>
        <v/>
      </c>
    </row>
    <row r="2609" hidden="1" customFormat="1" s="94">
      <c r="B2609" s="128" t="n">
        <v>44149</v>
      </c>
      <c r="C2609" s="94">
        <f>TEXT(B2609,"aaa")</f>
        <v/>
      </c>
      <c r="D2609" s="94" t="inlineStr">
        <is>
          <t>네이버 브랜드검색</t>
        </is>
      </c>
      <c r="E2609" s="94" t="inlineStr">
        <is>
          <t>토너</t>
        </is>
      </c>
      <c r="G2609" s="91" t="n"/>
      <c r="J2609" s="129">
        <f>50000</f>
        <v/>
      </c>
    </row>
    <row r="2610" hidden="1" customFormat="1" s="94">
      <c r="B2610" s="128" t="n">
        <v>44150</v>
      </c>
      <c r="C2610" s="94">
        <f>TEXT(B2610,"aaa")</f>
        <v/>
      </c>
      <c r="D2610" s="94" t="inlineStr">
        <is>
          <t>네이버 브랜드검색</t>
        </is>
      </c>
      <c r="E2610" s="94" t="inlineStr">
        <is>
          <t>토너</t>
        </is>
      </c>
      <c r="G2610" s="91" t="n"/>
      <c r="J2610" s="129">
        <f>50000</f>
        <v/>
      </c>
    </row>
    <row r="2611" customFormat="1" s="94">
      <c r="B2611" s="128" t="n">
        <v>44148</v>
      </c>
      <c r="C2611" s="94">
        <f>TEXT(B2611,"aaa")</f>
        <v/>
      </c>
      <c r="D2611" s="94" t="inlineStr">
        <is>
          <t>카카오광고</t>
        </is>
      </c>
      <c r="E2611" s="94" t="inlineStr">
        <is>
          <t>토너</t>
        </is>
      </c>
      <c r="G2611" s="91" t="n"/>
      <c r="J2611" s="129" t="n">
        <v>2948</v>
      </c>
    </row>
    <row r="2612" customFormat="1" s="94">
      <c r="B2612" s="128" t="n">
        <v>44149</v>
      </c>
      <c r="C2612" s="94">
        <f>TEXT(B2612,"aaa")</f>
        <v/>
      </c>
      <c r="D2612" s="94" t="inlineStr">
        <is>
          <t>카카오광고</t>
        </is>
      </c>
      <c r="E2612" s="94" t="inlineStr">
        <is>
          <t>토너</t>
        </is>
      </c>
      <c r="G2612" s="91" t="n"/>
      <c r="J2612" s="129" t="n">
        <v>5060</v>
      </c>
    </row>
    <row r="2613" customFormat="1" s="94">
      <c r="B2613" s="128" t="n">
        <v>44150</v>
      </c>
      <c r="C2613" s="94">
        <f>TEXT(B2613,"aaa")</f>
        <v/>
      </c>
      <c r="D2613" s="94" t="inlineStr">
        <is>
          <t>카카오광고</t>
        </is>
      </c>
      <c r="E2613" s="94" t="inlineStr">
        <is>
          <t>토너</t>
        </is>
      </c>
      <c r="G2613" s="91" t="n"/>
      <c r="J2613" s="129" t="n">
        <v>10494</v>
      </c>
    </row>
    <row r="2614" hidden="1" customFormat="1" s="94">
      <c r="B2614" s="128" t="n">
        <v>44148</v>
      </c>
      <c r="C2614" s="94">
        <f>TEXT(B2614,"aaa")</f>
        <v/>
      </c>
      <c r="D2614" s="94" t="inlineStr">
        <is>
          <t>유튜브 디스커버리</t>
        </is>
      </c>
      <c r="E2614" s="94" t="inlineStr">
        <is>
          <t>토너</t>
        </is>
      </c>
      <c r="G2614" s="91" t="n"/>
      <c r="J2614" s="129" t="n">
        <v>7661.500000000001</v>
      </c>
    </row>
    <row r="2615" hidden="1" customFormat="1" s="94">
      <c r="B2615" s="128" t="n">
        <v>44149</v>
      </c>
      <c r="C2615" s="94">
        <f>TEXT(B2615,"aaa")</f>
        <v/>
      </c>
      <c r="D2615" s="94" t="inlineStr">
        <is>
          <t>유튜브 디스커버리</t>
        </is>
      </c>
      <c r="E2615" s="94" t="inlineStr">
        <is>
          <t>토너</t>
        </is>
      </c>
      <c r="G2615" s="91" t="n"/>
      <c r="J2615" s="129" t="n">
        <v>0</v>
      </c>
    </row>
    <row r="2616" hidden="1" customFormat="1" s="94">
      <c r="B2616" s="128" t="n">
        <v>44150</v>
      </c>
      <c r="C2616" s="94">
        <f>TEXT(B2616,"aaa")</f>
        <v/>
      </c>
      <c r="D2616" s="94" t="inlineStr">
        <is>
          <t>유튜브 디스커버리</t>
        </is>
      </c>
      <c r="E2616" s="94" t="inlineStr">
        <is>
          <t>토너</t>
        </is>
      </c>
      <c r="G2616" s="91" t="n"/>
      <c r="J2616" s="129" t="n">
        <v>1418685.4</v>
      </c>
    </row>
    <row r="2617" hidden="1" customFormat="1" s="94">
      <c r="B2617" s="128" t="n">
        <v>44148</v>
      </c>
      <c r="C2617" s="94">
        <f>TEXT(B2617,"aaa")</f>
        <v/>
      </c>
      <c r="D2617" s="94" t="inlineStr">
        <is>
          <t>네이버 쇼핑검색</t>
        </is>
      </c>
      <c r="G2617" s="91" t="n"/>
      <c r="J2617" s="129">
        <f>770/1.1</f>
        <v/>
      </c>
    </row>
    <row r="2618" hidden="1" customFormat="1" s="94">
      <c r="B2618" s="128" t="n">
        <v>44149</v>
      </c>
      <c r="C2618" s="94">
        <f>TEXT(B2618,"aaa")</f>
        <v/>
      </c>
      <c r="D2618" s="94" t="inlineStr">
        <is>
          <t>네이버 쇼핑검색</t>
        </is>
      </c>
      <c r="G2618" s="91" t="n"/>
      <c r="J2618" s="129">
        <f>1595/1.1</f>
        <v/>
      </c>
    </row>
    <row r="2619" hidden="1" customFormat="1" s="94">
      <c r="B2619" s="128" t="n">
        <v>44150</v>
      </c>
      <c r="C2619" s="94">
        <f>TEXT(B2619,"aaa")</f>
        <v/>
      </c>
      <c r="D2619" s="94" t="inlineStr">
        <is>
          <t>네이버 쇼핑검색</t>
        </is>
      </c>
      <c r="G2619" s="91" t="n"/>
      <c r="J2619" s="129">
        <f>825/1.1</f>
        <v/>
      </c>
    </row>
    <row r="2620" hidden="1" customFormat="1" s="94">
      <c r="B2620" s="128" t="n">
        <v>44148</v>
      </c>
      <c r="C2620" s="94">
        <f>TEXT(B2620,"aaa")</f>
        <v/>
      </c>
      <c r="D2620" s="94" t="inlineStr">
        <is>
          <t>네이버 GFA</t>
        </is>
      </c>
      <c r="E2620" s="94" t="inlineStr">
        <is>
          <t>토너</t>
        </is>
      </c>
      <c r="G2620" s="91" t="n"/>
      <c r="J2620" s="129" t="n">
        <v>186729</v>
      </c>
      <c r="K2620" s="127" t="n"/>
      <c r="M2620" s="145" t="n"/>
    </row>
    <row r="2621" hidden="1" customFormat="1" s="94">
      <c r="B2621" s="128" t="n">
        <v>44149</v>
      </c>
      <c r="C2621" s="94">
        <f>TEXT(B2621,"aaa")</f>
        <v/>
      </c>
      <c r="D2621" s="94" t="inlineStr">
        <is>
          <t>네이버 GFA</t>
        </is>
      </c>
      <c r="E2621" s="94" t="inlineStr">
        <is>
          <t>토너</t>
        </is>
      </c>
      <c r="G2621" s="91" t="n"/>
      <c r="J2621" s="129" t="n">
        <v>185288</v>
      </c>
      <c r="K2621" s="127" t="n"/>
      <c r="M2621" s="145" t="n"/>
    </row>
    <row r="2622" hidden="1" customFormat="1" s="94">
      <c r="B2622" s="128" t="n">
        <v>44150</v>
      </c>
      <c r="C2622" s="94">
        <f>TEXT(B2622,"aaa")</f>
        <v/>
      </c>
      <c r="D2622" s="94" t="inlineStr">
        <is>
          <t>네이버 GFA</t>
        </is>
      </c>
      <c r="E2622" s="94" t="inlineStr">
        <is>
          <t>토너</t>
        </is>
      </c>
      <c r="G2622" s="91" t="n"/>
      <c r="J2622" s="129" t="n">
        <v>207935</v>
      </c>
    </row>
    <row r="2623" hidden="1" customFormat="1" s="94">
      <c r="B2623" s="128" t="n">
        <v>44148</v>
      </c>
      <c r="C2623" s="94">
        <f>TEXT(B2623,"aaa")</f>
        <v/>
      </c>
      <c r="D2623" s="94" t="inlineStr">
        <is>
          <t>네이버 GFA</t>
        </is>
      </c>
      <c r="E2623" s="94" t="inlineStr">
        <is>
          <t>토너패드</t>
        </is>
      </c>
      <c r="G2623" s="91" t="n"/>
      <c r="J2623" s="129" t="n">
        <v>105211</v>
      </c>
    </row>
    <row r="2624" hidden="1" customFormat="1" s="94">
      <c r="B2624" s="128" t="n">
        <v>44149</v>
      </c>
      <c r="C2624" s="94">
        <f>TEXT(B2624,"aaa")</f>
        <v/>
      </c>
      <c r="D2624" s="94" t="inlineStr">
        <is>
          <t>네이버 GFA</t>
        </is>
      </c>
      <c r="E2624" s="94" t="inlineStr">
        <is>
          <t>토너패드</t>
        </is>
      </c>
      <c r="G2624" s="91" t="n"/>
      <c r="J2624" s="129" t="n">
        <v>102960</v>
      </c>
    </row>
    <row r="2625" hidden="1" customFormat="1" s="94">
      <c r="B2625" s="128" t="n">
        <v>44150</v>
      </c>
      <c r="C2625" s="94">
        <f>TEXT(B2625,"aaa")</f>
        <v/>
      </c>
      <c r="D2625" s="94" t="inlineStr">
        <is>
          <t>네이버 GFA</t>
        </is>
      </c>
      <c r="E2625" s="94" t="inlineStr">
        <is>
          <t>토너패드</t>
        </is>
      </c>
      <c r="G2625" s="91" t="n"/>
      <c r="J2625" s="129" t="n">
        <v>104000</v>
      </c>
    </row>
    <row r="2626" hidden="1" customFormat="1" s="94">
      <c r="B2626" s="128" t="n">
        <v>44151</v>
      </c>
      <c r="C2626" s="94">
        <f>TEXT(B2626,"aaa")</f>
        <v/>
      </c>
      <c r="D2626" s="94" t="inlineStr">
        <is>
          <t>페이스북/인스타그램</t>
        </is>
      </c>
      <c r="E2626" s="94" t="inlineStr">
        <is>
          <t>토너패드</t>
        </is>
      </c>
      <c r="G2626" s="91" t="n"/>
      <c r="J2626" s="129">
        <f>391521-24249+728070</f>
        <v/>
      </c>
    </row>
    <row r="2627" hidden="1" customFormat="1" s="94">
      <c r="B2627" s="128" t="n">
        <v>44151</v>
      </c>
      <c r="C2627" s="94">
        <f>TEXT(B2627,"aaa")</f>
        <v/>
      </c>
      <c r="D2627" s="94" t="inlineStr">
        <is>
          <t>페이스북/인스타그램</t>
        </is>
      </c>
      <c r="E2627" s="94" t="inlineStr">
        <is>
          <t>토너</t>
        </is>
      </c>
      <c r="G2627" s="91" t="n"/>
      <c r="J2627" s="129">
        <f>518743+24249</f>
        <v/>
      </c>
    </row>
    <row r="2628" hidden="1" customFormat="1" s="94">
      <c r="B2628" s="128" t="n">
        <v>44151</v>
      </c>
      <c r="C2628" s="94">
        <f>TEXT(B2628,"aaa")</f>
        <v/>
      </c>
      <c r="D2628" s="94" t="inlineStr">
        <is>
          <t>네이버 브랜드검색</t>
        </is>
      </c>
      <c r="E2628" s="94" t="inlineStr">
        <is>
          <t>토너</t>
        </is>
      </c>
      <c r="G2628" s="91" t="n"/>
      <c r="J2628" s="129">
        <f>50000</f>
        <v/>
      </c>
    </row>
    <row r="2629" customFormat="1" s="94">
      <c r="B2629" s="128" t="n">
        <v>44151</v>
      </c>
      <c r="C2629" s="94">
        <f>TEXT(B2629,"aaa")</f>
        <v/>
      </c>
      <c r="D2629" s="94" t="inlineStr">
        <is>
          <t>카카오광고</t>
        </is>
      </c>
      <c r="E2629" s="94" t="inlineStr">
        <is>
          <t>토너</t>
        </is>
      </c>
      <c r="G2629" s="91" t="n"/>
      <c r="J2629" s="129" t="n">
        <v>9760</v>
      </c>
    </row>
    <row r="2630" hidden="1" customFormat="1" s="94">
      <c r="B2630" s="128" t="n">
        <v>44151</v>
      </c>
      <c r="C2630" s="94">
        <f>TEXT(B2630,"aaa")</f>
        <v/>
      </c>
      <c r="D2630" s="94" t="inlineStr">
        <is>
          <t>카카오톡 메시지</t>
        </is>
      </c>
      <c r="E2630" s="94" t="inlineStr">
        <is>
          <t>크림</t>
        </is>
      </c>
      <c r="G2630" s="91" t="n"/>
      <c r="J2630" s="129" t="n">
        <v>419654.9999999999</v>
      </c>
      <c r="K2630" s="131" t="n"/>
    </row>
    <row r="2631" hidden="1" customFormat="1" s="94">
      <c r="B2631" s="128" t="n">
        <v>44151</v>
      </c>
      <c r="C2631" s="94">
        <f>TEXT(B2631,"aaa")</f>
        <v/>
      </c>
      <c r="D2631" s="94" t="inlineStr">
        <is>
          <t>유튜브 디스커버리</t>
        </is>
      </c>
      <c r="E2631" s="94" t="inlineStr">
        <is>
          <t>토너</t>
        </is>
      </c>
      <c r="G2631" s="91" t="n"/>
      <c r="J2631" s="129" t="n">
        <v>638052</v>
      </c>
    </row>
    <row r="2632" hidden="1" customFormat="1" s="94">
      <c r="B2632" s="128" t="n">
        <v>44151</v>
      </c>
      <c r="C2632" s="94">
        <f>TEXT(B2632,"aaa")</f>
        <v/>
      </c>
      <c r="D2632" s="94" t="inlineStr">
        <is>
          <t>네이버 쇼핑검색</t>
        </is>
      </c>
      <c r="G2632" s="91" t="n"/>
      <c r="J2632" s="129">
        <f>1760/1.1</f>
        <v/>
      </c>
    </row>
    <row r="2633" hidden="1" customFormat="1" s="94">
      <c r="B2633" s="128" t="n">
        <v>44151</v>
      </c>
      <c r="C2633" s="94">
        <f>TEXT(B2633,"aaa")</f>
        <v/>
      </c>
      <c r="D2633" s="94" t="inlineStr">
        <is>
          <t>네이버 GFA</t>
        </is>
      </c>
      <c r="E2633" s="94" t="inlineStr">
        <is>
          <t>토너</t>
        </is>
      </c>
      <c r="G2633" s="91" t="n"/>
      <c r="J2633" s="129" t="n">
        <v>105332.7272727273</v>
      </c>
      <c r="K2633" s="127" t="n"/>
      <c r="M2633" s="145" t="n"/>
    </row>
    <row r="2634" hidden="1" customFormat="1" s="94">
      <c r="B2634" s="128" t="n">
        <v>44151</v>
      </c>
      <c r="C2634" s="94">
        <f>TEXT(B2634,"aaa")</f>
        <v/>
      </c>
      <c r="D2634" s="94" t="inlineStr">
        <is>
          <t>네이버 GFA</t>
        </is>
      </c>
      <c r="E2634" s="94" t="inlineStr">
        <is>
          <t>토너패드</t>
        </is>
      </c>
      <c r="G2634" s="91" t="n"/>
      <c r="J2634" s="129" t="n">
        <v>83241.81818181818</v>
      </c>
    </row>
    <row r="2635" hidden="1" customFormat="1" s="94">
      <c r="B2635" s="128" t="n">
        <v>44152</v>
      </c>
      <c r="C2635" s="94">
        <f>TEXT(B2635,"aaa")</f>
        <v/>
      </c>
      <c r="D2635" s="94" t="inlineStr">
        <is>
          <t>페이스북/인스타그램</t>
        </is>
      </c>
      <c r="E2635" s="94" t="inlineStr">
        <is>
          <t>토너패드</t>
        </is>
      </c>
      <c r="G2635" s="91" t="n"/>
      <c r="I2635" s="127" t="n"/>
      <c r="J2635" s="129" t="n">
        <v>1517096</v>
      </c>
    </row>
    <row r="2636" hidden="1" customFormat="1" s="94">
      <c r="B2636" s="128" t="n">
        <v>44152</v>
      </c>
      <c r="C2636" s="94">
        <f>TEXT(B2636,"aaa")</f>
        <v/>
      </c>
      <c r="D2636" s="94" t="inlineStr">
        <is>
          <t>페이스북/인스타그램</t>
        </is>
      </c>
      <c r="E2636" s="94" t="inlineStr">
        <is>
          <t>토너</t>
        </is>
      </c>
      <c r="G2636" s="91" t="n"/>
      <c r="J2636" s="129" t="n">
        <v>709070</v>
      </c>
    </row>
    <row r="2637" hidden="1" customFormat="1" s="94">
      <c r="B2637" s="128" t="n">
        <v>44152</v>
      </c>
      <c r="C2637" s="94">
        <f>TEXT(B2637,"aaa")</f>
        <v/>
      </c>
      <c r="D2637" s="94" t="inlineStr">
        <is>
          <t>네이버 브랜드검색</t>
        </is>
      </c>
      <c r="E2637" s="94" t="inlineStr">
        <is>
          <t>토너</t>
        </is>
      </c>
      <c r="G2637" s="91" t="n"/>
      <c r="J2637" s="129" t="n">
        <v>50000</v>
      </c>
    </row>
    <row r="2638" customFormat="1" s="94">
      <c r="B2638" s="128" t="n">
        <v>44152</v>
      </c>
      <c r="C2638" s="94">
        <f>TEXT(B2638,"aaa")</f>
        <v/>
      </c>
      <c r="D2638" s="94" t="inlineStr">
        <is>
          <t>카카오광고</t>
        </is>
      </c>
      <c r="E2638" s="94" t="inlineStr">
        <is>
          <t>토너패드</t>
        </is>
      </c>
      <c r="G2638" s="91" t="n"/>
      <c r="J2638" s="129" t="n">
        <v>6109.999999999999</v>
      </c>
    </row>
    <row r="2639" customFormat="1" s="94">
      <c r="B2639" s="128" t="n">
        <v>44152</v>
      </c>
      <c r="C2639" s="94">
        <f>TEXT(B2639,"aaa")</f>
        <v/>
      </c>
      <c r="D2639" s="94" t="inlineStr">
        <is>
          <t>카카오광고</t>
        </is>
      </c>
      <c r="E2639" s="94" t="inlineStr">
        <is>
          <t>토너</t>
        </is>
      </c>
      <c r="G2639" s="91" t="n"/>
      <c r="J2639" s="129" t="n">
        <v>7069.999999999999</v>
      </c>
    </row>
    <row r="2640" hidden="1" customFormat="1" s="94">
      <c r="B2640" s="128" t="n">
        <v>44152</v>
      </c>
      <c r="C2640" s="94">
        <f>TEXT(B2640,"aaa")</f>
        <v/>
      </c>
      <c r="D2640" s="94" t="inlineStr">
        <is>
          <t>카카오톡 메시지</t>
        </is>
      </c>
      <c r="E2640" s="94" t="inlineStr">
        <is>
          <t>크림</t>
        </is>
      </c>
      <c r="G2640" s="91" t="n"/>
      <c r="J2640" s="129" t="n">
        <v>1875</v>
      </c>
      <c r="K2640" s="131" t="n"/>
    </row>
    <row r="2641" hidden="1" customFormat="1" s="94">
      <c r="B2641" s="128" t="n">
        <v>44152</v>
      </c>
      <c r="C2641" s="94">
        <f>TEXT(B2641,"aaa")</f>
        <v/>
      </c>
      <c r="D2641" s="94" t="inlineStr">
        <is>
          <t>유튜브 디스커버리</t>
        </is>
      </c>
      <c r="E2641" s="94" t="inlineStr">
        <is>
          <t>토너</t>
        </is>
      </c>
      <c r="G2641" s="91" t="n"/>
      <c r="J2641" s="129" t="n">
        <v>402456</v>
      </c>
    </row>
    <row r="2642" hidden="1" customFormat="1" s="94">
      <c r="B2642" s="128" t="n">
        <v>44152</v>
      </c>
      <c r="C2642" s="94">
        <f>TEXT(B2642,"aaa")</f>
        <v/>
      </c>
      <c r="D2642" s="94" t="inlineStr">
        <is>
          <t>네이버 쇼핑검색</t>
        </is>
      </c>
      <c r="G2642" s="91" t="n"/>
      <c r="J2642" s="129">
        <f>2222/1.1</f>
        <v/>
      </c>
    </row>
    <row r="2643" hidden="1" customFormat="1" s="94">
      <c r="B2643" s="128" t="n">
        <v>44152</v>
      </c>
      <c r="C2643" s="94">
        <f>TEXT(B2643,"aaa")</f>
        <v/>
      </c>
      <c r="D2643" s="94" t="inlineStr">
        <is>
          <t>네이버 GFA</t>
        </is>
      </c>
      <c r="E2643" s="94" t="inlineStr">
        <is>
          <t>토너</t>
        </is>
      </c>
      <c r="G2643" s="91" t="n"/>
      <c r="J2643" s="129" t="n">
        <v>593328.1818181818</v>
      </c>
      <c r="K2643" s="127" t="n"/>
      <c r="M2643" s="145" t="n"/>
    </row>
    <row r="2644" hidden="1" customFormat="1" s="94">
      <c r="B2644" s="128" t="n">
        <v>44152</v>
      </c>
      <c r="C2644" s="94">
        <f>TEXT(B2644,"aaa")</f>
        <v/>
      </c>
      <c r="D2644" s="94" t="inlineStr">
        <is>
          <t>네이버 GFA</t>
        </is>
      </c>
      <c r="E2644" s="94" t="inlineStr">
        <is>
          <t>토너패드</t>
        </is>
      </c>
      <c r="G2644" s="91" t="n"/>
      <c r="J2644" s="129" t="n">
        <v>402930.9090909091</v>
      </c>
    </row>
    <row r="2645" hidden="1" customFormat="1" s="94">
      <c r="B2645" s="128" t="n">
        <v>44153</v>
      </c>
      <c r="C2645" s="94">
        <f>TEXT(B2645,"aaa")</f>
        <v/>
      </c>
      <c r="D2645" s="94" t="inlineStr">
        <is>
          <t>페이스북/인스타그램</t>
        </is>
      </c>
      <c r="E2645" s="94" t="inlineStr">
        <is>
          <t>토너패드</t>
        </is>
      </c>
      <c r="G2645" s="91" t="n"/>
      <c r="I2645" s="127" t="n"/>
      <c r="J2645" s="129">
        <f>506025+1156528+287632</f>
        <v/>
      </c>
    </row>
    <row r="2646" hidden="1" customFormat="1" s="94">
      <c r="B2646" s="128" t="n">
        <v>44153</v>
      </c>
      <c r="C2646" s="94">
        <f>TEXT(B2646,"aaa")</f>
        <v/>
      </c>
      <c r="D2646" s="94" t="inlineStr">
        <is>
          <t>페이스북/인스타그램</t>
        </is>
      </c>
      <c r="E2646" s="94" t="inlineStr">
        <is>
          <t>토너</t>
        </is>
      </c>
      <c r="G2646" s="91" t="n"/>
      <c r="J2646" s="129">
        <f>838075+292359</f>
        <v/>
      </c>
    </row>
    <row r="2647" hidden="1" customFormat="1" s="94">
      <c r="B2647" s="128" t="n">
        <v>44153</v>
      </c>
      <c r="C2647" s="94">
        <f>TEXT(B2647,"aaa")</f>
        <v/>
      </c>
      <c r="D2647" s="94" t="inlineStr">
        <is>
          <t>네이버 브랜드검색</t>
        </is>
      </c>
      <c r="E2647" s="94" t="inlineStr">
        <is>
          <t>토너</t>
        </is>
      </c>
      <c r="G2647" s="91" t="n"/>
      <c r="J2647" s="129" t="n">
        <v>50000</v>
      </c>
    </row>
    <row r="2648" customFormat="1" s="94">
      <c r="B2648" s="128" t="n">
        <v>44153</v>
      </c>
      <c r="C2648" s="94">
        <f>TEXT(B2648,"aaa")</f>
        <v/>
      </c>
      <c r="D2648" s="94" t="inlineStr">
        <is>
          <t>카카오광고</t>
        </is>
      </c>
      <c r="E2648" s="94" t="inlineStr">
        <is>
          <t>토너패드</t>
        </is>
      </c>
      <c r="G2648" s="91" t="n"/>
      <c r="J2648" s="129">
        <f>(57585+12782)/1.1</f>
        <v/>
      </c>
    </row>
    <row r="2649" customFormat="1" s="94">
      <c r="B2649" s="128" t="n">
        <v>44153</v>
      </c>
      <c r="C2649" s="94">
        <f>TEXT(B2649,"aaa")</f>
        <v/>
      </c>
      <c r="D2649" s="94" t="inlineStr">
        <is>
          <t>카카오광고</t>
        </is>
      </c>
      <c r="E2649" s="94" t="inlineStr">
        <is>
          <t>토너</t>
        </is>
      </c>
      <c r="G2649" s="91" t="n"/>
      <c r="J2649" s="129">
        <f>3861/1.1</f>
        <v/>
      </c>
    </row>
    <row r="2650" hidden="1" customFormat="1" s="94">
      <c r="B2650" s="128" t="n">
        <v>44153</v>
      </c>
      <c r="C2650" s="94">
        <f>TEXT(B2650,"aaa")</f>
        <v/>
      </c>
      <c r="D2650" s="94" t="inlineStr">
        <is>
          <t>유튜브 디스커버리</t>
        </is>
      </c>
      <c r="E2650" s="94" t="inlineStr">
        <is>
          <t>토너</t>
        </is>
      </c>
      <c r="G2650" s="91" t="n"/>
      <c r="J2650" s="129" t="n">
        <v>1227326</v>
      </c>
    </row>
    <row r="2651" hidden="1" customFormat="1" s="94">
      <c r="B2651" s="128" t="n">
        <v>44153</v>
      </c>
      <c r="C2651" s="94">
        <f>TEXT(B2651,"aaa")</f>
        <v/>
      </c>
      <c r="D2651" s="94" t="inlineStr">
        <is>
          <t>네이버 쇼핑검색</t>
        </is>
      </c>
      <c r="G2651" s="91" t="n"/>
      <c r="J2651" s="129">
        <f>1496/1.1</f>
        <v/>
      </c>
    </row>
    <row r="2652" hidden="1" customFormat="1" s="94">
      <c r="B2652" s="128" t="n">
        <v>44153</v>
      </c>
      <c r="C2652" s="94">
        <f>TEXT(B2652,"aaa")</f>
        <v/>
      </c>
      <c r="D2652" s="94" t="inlineStr">
        <is>
          <t>네이버 GFA</t>
        </is>
      </c>
      <c r="E2652" s="94" t="inlineStr">
        <is>
          <t>토너</t>
        </is>
      </c>
      <c r="G2652" s="91" t="n"/>
      <c r="J2652" s="129" t="n">
        <v>1529730.909090909</v>
      </c>
      <c r="K2652" s="127" t="n"/>
      <c r="M2652" s="145" t="n"/>
    </row>
    <row r="2653" hidden="1" customFormat="1" s="94">
      <c r="B2653" s="128" t="n">
        <v>44153</v>
      </c>
      <c r="C2653" s="94">
        <f>TEXT(B2653,"aaa")</f>
        <v/>
      </c>
      <c r="D2653" s="94" t="inlineStr">
        <is>
          <t>네이버 GFA</t>
        </is>
      </c>
      <c r="E2653" s="94" t="inlineStr">
        <is>
          <t>토너패드</t>
        </is>
      </c>
      <c r="G2653" s="91" t="n"/>
      <c r="J2653" s="129" t="n">
        <v>3406176.363636363</v>
      </c>
    </row>
    <row r="2654" hidden="1" customFormat="1" s="94">
      <c r="B2654" s="128" t="n">
        <v>44154</v>
      </c>
      <c r="C2654" s="94">
        <f>TEXT(B2654,"aaa")</f>
        <v/>
      </c>
      <c r="D2654" s="94" t="inlineStr">
        <is>
          <t>페이스북/인스타그램</t>
        </is>
      </c>
      <c r="E2654" s="94" t="inlineStr">
        <is>
          <t>토너패드</t>
        </is>
      </c>
      <c r="G2654" s="91" t="n"/>
      <c r="I2654" s="127" t="n"/>
      <c r="J2654" s="129">
        <f>385977+1007017+387939+106178</f>
        <v/>
      </c>
    </row>
    <row r="2655" hidden="1" customFormat="1" s="94">
      <c r="B2655" s="128" t="n">
        <v>44154</v>
      </c>
      <c r="C2655" s="94">
        <f>TEXT(B2655,"aaa")</f>
        <v/>
      </c>
      <c r="D2655" s="94" t="inlineStr">
        <is>
          <t>페이스북/인스타그램</t>
        </is>
      </c>
      <c r="E2655" s="94" t="inlineStr">
        <is>
          <t>토너</t>
        </is>
      </c>
      <c r="G2655" s="91" t="n"/>
      <c r="J2655" s="129" t="n">
        <v>826067</v>
      </c>
    </row>
    <row r="2656" hidden="1" customFormat="1" s="94">
      <c r="B2656" s="128" t="n">
        <v>44154</v>
      </c>
      <c r="C2656" s="94">
        <f>TEXT(B2656,"aaa")</f>
        <v/>
      </c>
      <c r="D2656" s="94" t="inlineStr">
        <is>
          <t>네이버 브랜드검색</t>
        </is>
      </c>
      <c r="E2656" s="94" t="inlineStr">
        <is>
          <t>토너</t>
        </is>
      </c>
      <c r="G2656" s="91" t="n"/>
      <c r="J2656" s="129" t="n">
        <v>50000</v>
      </c>
    </row>
    <row r="2657" customFormat="1" s="94">
      <c r="B2657" s="128" t="n">
        <v>44154</v>
      </c>
      <c r="C2657" s="94">
        <f>TEXT(B2657,"aaa")</f>
        <v/>
      </c>
      <c r="D2657" s="94" t="inlineStr">
        <is>
          <t>카카오광고</t>
        </is>
      </c>
      <c r="E2657" s="94" t="inlineStr">
        <is>
          <t>토너패드</t>
        </is>
      </c>
      <c r="G2657" s="91" t="n"/>
      <c r="J2657" s="129">
        <f>(99594-7557)/1.1</f>
        <v/>
      </c>
    </row>
    <row r="2658" customFormat="1" s="94">
      <c r="B2658" s="128" t="n">
        <v>44154</v>
      </c>
      <c r="C2658" s="94">
        <f>TEXT(B2658,"aaa")</f>
        <v/>
      </c>
      <c r="D2658" s="94" t="inlineStr">
        <is>
          <t>카카오광고</t>
        </is>
      </c>
      <c r="E2658" s="94" t="inlineStr">
        <is>
          <t>토너</t>
        </is>
      </c>
      <c r="G2658" s="91" t="n"/>
      <c r="J2658" s="129">
        <f>7557/1.1</f>
        <v/>
      </c>
    </row>
    <row r="2659" hidden="1" customFormat="1" s="94">
      <c r="B2659" s="128" t="n">
        <v>44154</v>
      </c>
      <c r="C2659" s="94">
        <f>TEXT(B2659,"aaa")</f>
        <v/>
      </c>
      <c r="D2659" s="94" t="inlineStr">
        <is>
          <t>유튜브 디스커버리</t>
        </is>
      </c>
      <c r="E2659" s="94" t="inlineStr">
        <is>
          <t>토너</t>
        </is>
      </c>
      <c r="G2659" s="91" t="n"/>
      <c r="J2659" s="129" t="n">
        <v>943814</v>
      </c>
    </row>
    <row r="2660" hidden="1" customFormat="1" s="94">
      <c r="B2660" s="128" t="n">
        <v>44154</v>
      </c>
      <c r="C2660" s="94">
        <f>TEXT(B2660,"aaa")</f>
        <v/>
      </c>
      <c r="D2660" s="94" t="inlineStr">
        <is>
          <t>네이버 쇼핑검색</t>
        </is>
      </c>
      <c r="G2660" s="91" t="n"/>
      <c r="J2660" s="129">
        <f>3465/1.1</f>
        <v/>
      </c>
    </row>
    <row r="2661" hidden="1" customFormat="1" s="94">
      <c r="B2661" s="128" t="n">
        <v>44154</v>
      </c>
      <c r="C2661" s="94">
        <f>TEXT(B2661,"aaa")</f>
        <v/>
      </c>
      <c r="D2661" s="94" t="inlineStr">
        <is>
          <t>네이버 GFA</t>
        </is>
      </c>
      <c r="E2661" s="94" t="inlineStr">
        <is>
          <t>토너</t>
        </is>
      </c>
      <c r="G2661" s="91" t="n"/>
      <c r="J2661" s="129" t="n">
        <v>3541251.818181817</v>
      </c>
      <c r="K2661" s="127" t="n"/>
      <c r="M2661" s="145" t="n"/>
    </row>
    <row r="2662" hidden="1" customFormat="1" s="94">
      <c r="B2662" s="128" t="n">
        <v>44154</v>
      </c>
      <c r="C2662" s="94">
        <f>TEXT(B2662,"aaa")</f>
        <v/>
      </c>
      <c r="D2662" s="94" t="inlineStr">
        <is>
          <t>네이버 GFA</t>
        </is>
      </c>
      <c r="E2662" s="94" t="inlineStr">
        <is>
          <t>토너패드</t>
        </is>
      </c>
      <c r="G2662" s="91" t="n"/>
      <c r="J2662" s="129" t="n">
        <v>2317206.363636363</v>
      </c>
    </row>
    <row r="2663" hidden="1" customFormat="1" s="94">
      <c r="B2663" s="128" t="n">
        <v>44155</v>
      </c>
      <c r="C2663" s="94">
        <f>TEXT(B2663,"aaa")</f>
        <v/>
      </c>
      <c r="D2663" s="94" t="inlineStr">
        <is>
          <t>페이스북/인스타그램</t>
        </is>
      </c>
      <c r="E2663" s="94" t="inlineStr">
        <is>
          <t>토너패드</t>
        </is>
      </c>
      <c r="G2663" s="91" t="n"/>
      <c r="I2663" s="127" t="n"/>
      <c r="J2663" s="129" t="n">
        <v>1188283</v>
      </c>
    </row>
    <row r="2664" hidden="1" customFormat="1" s="94">
      <c r="B2664" s="128" t="n">
        <v>44156</v>
      </c>
      <c r="C2664" s="94">
        <f>TEXT(B2664,"aaa")</f>
        <v/>
      </c>
      <c r="D2664" s="94" t="inlineStr">
        <is>
          <t>페이스북/인스타그램</t>
        </is>
      </c>
      <c r="E2664" s="94" t="inlineStr">
        <is>
          <t>토너패드</t>
        </is>
      </c>
      <c r="G2664" s="91" t="n"/>
      <c r="I2664" s="127" t="n"/>
      <c r="J2664" s="129" t="n">
        <v>681412</v>
      </c>
    </row>
    <row r="2665" hidden="1" customFormat="1" s="94">
      <c r="B2665" s="128" t="n">
        <v>44157</v>
      </c>
      <c r="C2665" s="94">
        <f>TEXT(B2665,"aaa")</f>
        <v/>
      </c>
      <c r="D2665" s="94" t="inlineStr">
        <is>
          <t>페이스북/인스타그램</t>
        </is>
      </c>
      <c r="E2665" s="94" t="inlineStr">
        <is>
          <t>토너패드</t>
        </is>
      </c>
      <c r="G2665" s="91" t="n"/>
      <c r="I2665" s="127" t="n"/>
      <c r="J2665" s="129" t="n">
        <v>802161</v>
      </c>
    </row>
    <row r="2666" hidden="1" customFormat="1" s="94">
      <c r="B2666" s="128" t="n">
        <v>44155</v>
      </c>
      <c r="C2666" s="94">
        <f>TEXT(B2666,"aaa")</f>
        <v/>
      </c>
      <c r="D2666" s="94" t="inlineStr">
        <is>
          <t>페이스북/인스타그램</t>
        </is>
      </c>
      <c r="E2666" s="94" t="inlineStr">
        <is>
          <t>토너</t>
        </is>
      </c>
      <c r="G2666" s="91" t="n"/>
      <c r="J2666" s="129" t="n">
        <v>698256</v>
      </c>
    </row>
    <row r="2667" hidden="1" customFormat="1" s="94">
      <c r="B2667" s="128" t="n">
        <v>44156</v>
      </c>
      <c r="C2667" s="94">
        <f>TEXT(B2667,"aaa")</f>
        <v/>
      </c>
      <c r="D2667" s="94" t="inlineStr">
        <is>
          <t>페이스북/인스타그램</t>
        </is>
      </c>
      <c r="E2667" s="94" t="inlineStr">
        <is>
          <t>토너</t>
        </is>
      </c>
      <c r="G2667" s="91" t="n"/>
      <c r="J2667" s="129" t="n">
        <v>480099</v>
      </c>
    </row>
    <row r="2668" hidden="1" customFormat="1" s="94">
      <c r="B2668" s="128" t="n">
        <v>44157</v>
      </c>
      <c r="C2668" s="94">
        <f>TEXT(B2668,"aaa")</f>
        <v/>
      </c>
      <c r="D2668" s="94" t="inlineStr">
        <is>
          <t>페이스북/인스타그램</t>
        </is>
      </c>
      <c r="E2668" s="94" t="inlineStr">
        <is>
          <t>토너</t>
        </is>
      </c>
      <c r="G2668" s="91" t="n"/>
      <c r="J2668" s="129" t="n">
        <v>633026</v>
      </c>
    </row>
    <row r="2669" hidden="1" customFormat="1" s="94">
      <c r="B2669" s="128" t="n">
        <v>44155</v>
      </c>
      <c r="C2669" s="94">
        <f>TEXT(B2669,"aaa")</f>
        <v/>
      </c>
      <c r="D2669" s="94" t="inlineStr">
        <is>
          <t>네이버 브랜드검색</t>
        </is>
      </c>
      <c r="E2669" s="94" t="inlineStr">
        <is>
          <t>토너</t>
        </is>
      </c>
      <c r="G2669" s="91" t="n"/>
      <c r="J2669" s="129" t="n">
        <v>50000</v>
      </c>
    </row>
    <row r="2670" hidden="1" customFormat="1" s="94">
      <c r="B2670" s="128" t="n">
        <v>44156</v>
      </c>
      <c r="C2670" s="94">
        <f>TEXT(B2670,"aaa")</f>
        <v/>
      </c>
      <c r="D2670" s="94" t="inlineStr">
        <is>
          <t>네이버 브랜드검색</t>
        </is>
      </c>
      <c r="E2670" s="94" t="inlineStr">
        <is>
          <t>토너</t>
        </is>
      </c>
      <c r="G2670" s="91" t="n"/>
      <c r="J2670" s="129" t="n">
        <v>50000</v>
      </c>
    </row>
    <row r="2671" hidden="1" customFormat="1" s="94">
      <c r="B2671" s="128" t="n">
        <v>44157</v>
      </c>
      <c r="C2671" s="94">
        <f>TEXT(B2671,"aaa")</f>
        <v/>
      </c>
      <c r="D2671" s="94" t="inlineStr">
        <is>
          <t>네이버 브랜드검색</t>
        </is>
      </c>
      <c r="E2671" s="94" t="inlineStr">
        <is>
          <t>토너</t>
        </is>
      </c>
      <c r="G2671" s="91" t="n"/>
      <c r="J2671" s="129" t="n">
        <v>50000</v>
      </c>
    </row>
    <row r="2672" customFormat="1" s="94">
      <c r="B2672" s="128" t="n">
        <v>44155</v>
      </c>
      <c r="C2672" s="94">
        <f>TEXT(B2672,"aaa")</f>
        <v/>
      </c>
      <c r="D2672" s="94" t="inlineStr">
        <is>
          <t>카카오광고</t>
        </is>
      </c>
      <c r="E2672" s="94" t="inlineStr">
        <is>
          <t>토너패드</t>
        </is>
      </c>
      <c r="G2672" s="91" t="n"/>
      <c r="J2672" s="129" t="n">
        <v>468040</v>
      </c>
    </row>
    <row r="2673" customFormat="1" s="94">
      <c r="B2673" s="128" t="n">
        <v>44156</v>
      </c>
      <c r="C2673" s="94">
        <f>TEXT(B2673,"aaa")</f>
        <v/>
      </c>
      <c r="D2673" s="94" t="inlineStr">
        <is>
          <t>카카오광고</t>
        </is>
      </c>
      <c r="E2673" s="94" t="inlineStr">
        <is>
          <t>토너패드</t>
        </is>
      </c>
      <c r="G2673" s="91" t="n"/>
      <c r="J2673" s="129" t="n">
        <v>488350</v>
      </c>
    </row>
    <row r="2674" customFormat="1" s="94">
      <c r="B2674" s="128" t="n">
        <v>44157</v>
      </c>
      <c r="C2674" s="94">
        <f>TEXT(B2674,"aaa")</f>
        <v/>
      </c>
      <c r="D2674" s="94" t="inlineStr">
        <is>
          <t>카카오광고</t>
        </is>
      </c>
      <c r="E2674" s="94" t="inlineStr">
        <is>
          <t>토너패드</t>
        </is>
      </c>
      <c r="G2674" s="91" t="n"/>
      <c r="J2674" s="129" t="n">
        <v>448770</v>
      </c>
    </row>
    <row r="2675" customFormat="1" s="94">
      <c r="B2675" s="128" t="n">
        <v>44155</v>
      </c>
      <c r="C2675" s="94">
        <f>TEXT(B2675,"aaa")</f>
        <v/>
      </c>
      <c r="D2675" s="94" t="inlineStr">
        <is>
          <t>카카오광고</t>
        </is>
      </c>
      <c r="E2675" s="94" t="inlineStr">
        <is>
          <t>토너</t>
        </is>
      </c>
      <c r="G2675" s="91" t="n"/>
      <c r="J2675" s="129" t="n">
        <v>7629.999999999999</v>
      </c>
    </row>
    <row r="2676" customFormat="1" s="94">
      <c r="B2676" s="128" t="n">
        <v>44156</v>
      </c>
      <c r="C2676" s="94">
        <f>TEXT(B2676,"aaa")</f>
        <v/>
      </c>
      <c r="D2676" s="94" t="inlineStr">
        <is>
          <t>카카오광고</t>
        </is>
      </c>
      <c r="E2676" s="94" t="inlineStr">
        <is>
          <t>토너</t>
        </is>
      </c>
      <c r="G2676" s="91" t="n"/>
      <c r="J2676" s="129" t="n">
        <v>16150</v>
      </c>
    </row>
    <row r="2677" customFormat="1" s="94">
      <c r="B2677" s="128" t="n">
        <v>44157</v>
      </c>
      <c r="C2677" s="94">
        <f>TEXT(B2677,"aaa")</f>
        <v/>
      </c>
      <c r="D2677" s="94" t="inlineStr">
        <is>
          <t>카카오광고</t>
        </is>
      </c>
      <c r="E2677" s="94" t="inlineStr">
        <is>
          <t>토너</t>
        </is>
      </c>
      <c r="G2677" s="91" t="n"/>
      <c r="J2677" s="129" t="n">
        <v>20180</v>
      </c>
    </row>
    <row r="2678" hidden="1" customFormat="1" s="94">
      <c r="B2678" s="128" t="n">
        <v>44155</v>
      </c>
      <c r="C2678" s="94">
        <f>TEXT(B2678,"aaa")</f>
        <v/>
      </c>
      <c r="D2678" s="94" t="inlineStr">
        <is>
          <t>유튜브 디스커버리</t>
        </is>
      </c>
      <c r="E2678" s="94" t="inlineStr">
        <is>
          <t>토너</t>
        </is>
      </c>
      <c r="G2678" s="91" t="n"/>
      <c r="J2678" s="129" t="n">
        <v>856621</v>
      </c>
    </row>
    <row r="2679" hidden="1" customFormat="1" s="94">
      <c r="B2679" s="128" t="n">
        <v>44156</v>
      </c>
      <c r="C2679" s="94">
        <f>TEXT(B2679,"aaa")</f>
        <v/>
      </c>
      <c r="D2679" s="94" t="inlineStr">
        <is>
          <t>유튜브 디스커버리</t>
        </is>
      </c>
      <c r="E2679" s="94" t="inlineStr">
        <is>
          <t>토너</t>
        </is>
      </c>
      <c r="G2679" s="91" t="n"/>
      <c r="J2679" s="129" t="n">
        <v>47433</v>
      </c>
    </row>
    <row r="2680" hidden="1" customFormat="1" s="94">
      <c r="B2680" s="128" t="n">
        <v>44157</v>
      </c>
      <c r="C2680" s="94">
        <f>TEXT(B2680,"aaa")</f>
        <v/>
      </c>
      <c r="D2680" s="94" t="inlineStr">
        <is>
          <t>유튜브 디스커버리</t>
        </is>
      </c>
      <c r="E2680" s="94" t="inlineStr">
        <is>
          <t>토너</t>
        </is>
      </c>
      <c r="G2680" s="91" t="n"/>
      <c r="J2680" s="129" t="n">
        <v>1268865</v>
      </c>
    </row>
    <row r="2681" hidden="1" customFormat="1" s="94">
      <c r="B2681" s="128" t="n">
        <v>44155</v>
      </c>
      <c r="C2681" s="94">
        <f>TEXT(B2681,"aaa")</f>
        <v/>
      </c>
      <c r="D2681" s="94" t="inlineStr">
        <is>
          <t>네이버 쇼핑검색</t>
        </is>
      </c>
      <c r="G2681" s="91" t="n"/>
      <c r="J2681" s="129">
        <f>4884/1.1</f>
        <v/>
      </c>
    </row>
    <row r="2682" hidden="1" customFormat="1" s="94">
      <c r="B2682" s="128" t="n">
        <v>44156</v>
      </c>
      <c r="C2682" s="94">
        <f>TEXT(B2682,"aaa")</f>
        <v/>
      </c>
      <c r="D2682" s="94" t="inlineStr">
        <is>
          <t>네이버 쇼핑검색</t>
        </is>
      </c>
      <c r="G2682" s="91" t="n"/>
      <c r="J2682" s="129">
        <f>3795/1.1</f>
        <v/>
      </c>
    </row>
    <row r="2683" hidden="1" customFormat="1" s="94">
      <c r="B2683" s="128" t="n">
        <v>44157</v>
      </c>
      <c r="C2683" s="94">
        <f>TEXT(B2683,"aaa")</f>
        <v/>
      </c>
      <c r="D2683" s="94" t="inlineStr">
        <is>
          <t>네이버 쇼핑검색</t>
        </is>
      </c>
      <c r="G2683" s="91" t="n"/>
      <c r="J2683" s="129">
        <f>6226/1.1</f>
        <v/>
      </c>
    </row>
    <row r="2684" hidden="1" customFormat="1" s="94">
      <c r="B2684" s="128" t="n">
        <v>44155</v>
      </c>
      <c r="C2684" s="94">
        <f>TEXT(B2684,"aaa")</f>
        <v/>
      </c>
      <c r="D2684" s="94" t="inlineStr">
        <is>
          <t>네이버 GFA</t>
        </is>
      </c>
      <c r="E2684" s="94" t="inlineStr">
        <is>
          <t>토너</t>
        </is>
      </c>
      <c r="G2684" s="91" t="n"/>
      <c r="J2684" s="129" t="n">
        <v>1603258.181818182</v>
      </c>
      <c r="K2684" s="127" t="n"/>
      <c r="M2684" s="145" t="n"/>
    </row>
    <row r="2685" hidden="1" customFormat="1" s="94">
      <c r="B2685" s="128" t="n">
        <v>44156</v>
      </c>
      <c r="C2685" s="94">
        <f>TEXT(B2685,"aaa")</f>
        <v/>
      </c>
      <c r="D2685" s="94" t="inlineStr">
        <is>
          <t>네이버 GFA</t>
        </is>
      </c>
      <c r="E2685" s="94" t="inlineStr">
        <is>
          <t>토너</t>
        </is>
      </c>
      <c r="G2685" s="91" t="n"/>
      <c r="J2685" s="129" t="n">
        <v>608941.8181818181</v>
      </c>
      <c r="K2685" s="127" t="n"/>
      <c r="M2685" s="145" t="n"/>
    </row>
    <row r="2686" hidden="1" customFormat="1" s="94">
      <c r="B2686" s="128" t="n">
        <v>44157</v>
      </c>
      <c r="C2686" s="94">
        <f>TEXT(B2686,"aaa")</f>
        <v/>
      </c>
      <c r="D2686" s="94" t="inlineStr">
        <is>
          <t>네이버 GFA</t>
        </is>
      </c>
      <c r="E2686" s="94" t="inlineStr">
        <is>
          <t>토너</t>
        </is>
      </c>
      <c r="G2686" s="91" t="n"/>
      <c r="J2686" s="129" t="n">
        <v>2589041.818181818</v>
      </c>
      <c r="K2686" s="127" t="n"/>
      <c r="M2686" s="145" t="n"/>
    </row>
    <row r="2687" hidden="1" customFormat="1" s="94">
      <c r="B2687" s="128" t="n">
        <v>44155</v>
      </c>
      <c r="C2687" s="94">
        <f>TEXT(B2687,"aaa")</f>
        <v/>
      </c>
      <c r="D2687" s="94" t="inlineStr">
        <is>
          <t>네이버 GFA</t>
        </is>
      </c>
      <c r="E2687" s="94" t="inlineStr">
        <is>
          <t>토너패드</t>
        </is>
      </c>
      <c r="G2687" s="91" t="n"/>
      <c r="J2687" s="129" t="n">
        <v>2110130.909090909</v>
      </c>
    </row>
    <row r="2688" hidden="1" customFormat="1" s="94">
      <c r="B2688" s="128" t="n">
        <v>44156</v>
      </c>
      <c r="C2688" s="94">
        <f>TEXT(B2688,"aaa")</f>
        <v/>
      </c>
      <c r="D2688" s="94" t="inlineStr">
        <is>
          <t>네이버 GFA</t>
        </is>
      </c>
      <c r="E2688" s="94" t="inlineStr">
        <is>
          <t>토너패드</t>
        </is>
      </c>
      <c r="G2688" s="91" t="n"/>
      <c r="J2688" s="129" t="n">
        <v>806149.0909090908</v>
      </c>
    </row>
    <row r="2689" hidden="1" customFormat="1" s="94">
      <c r="B2689" s="128" t="n">
        <v>44157</v>
      </c>
      <c r="C2689" s="94">
        <f>TEXT(B2689,"aaa")</f>
        <v/>
      </c>
      <c r="D2689" s="94" t="inlineStr">
        <is>
          <t>네이버 GFA</t>
        </is>
      </c>
      <c r="E2689" s="94" t="inlineStr">
        <is>
          <t>토너패드</t>
        </is>
      </c>
      <c r="G2689" s="91" t="n"/>
      <c r="J2689" s="129" t="n">
        <v>3048233.636363636</v>
      </c>
    </row>
    <row r="2690" hidden="1" customFormat="1" s="94">
      <c r="B2690" s="128" t="n">
        <v>44158</v>
      </c>
      <c r="C2690" s="94">
        <f>TEXT(B2690,"aaa")</f>
        <v/>
      </c>
      <c r="D2690" s="94" t="inlineStr">
        <is>
          <t>페이스북/인스타그램</t>
        </is>
      </c>
      <c r="E2690" s="94" t="inlineStr">
        <is>
          <t>토너패드</t>
        </is>
      </c>
      <c r="G2690" s="91" t="n"/>
      <c r="J2690" s="129">
        <f>641282+287152</f>
        <v/>
      </c>
    </row>
    <row r="2691" hidden="1" customFormat="1" s="94">
      <c r="B2691" s="128" t="n">
        <v>44158</v>
      </c>
      <c r="C2691" s="94">
        <f>TEXT(B2691,"aaa")</f>
        <v/>
      </c>
      <c r="D2691" s="94" t="inlineStr">
        <is>
          <t>페이스북/인스타그램</t>
        </is>
      </c>
      <c r="E2691" s="94" t="inlineStr">
        <is>
          <t>토너</t>
        </is>
      </c>
      <c r="G2691" s="91" t="n"/>
      <c r="J2691" s="129" t="n">
        <v>858361</v>
      </c>
    </row>
    <row r="2692" hidden="1" customFormat="1" s="94">
      <c r="B2692" s="128" t="n">
        <v>44158</v>
      </c>
      <c r="C2692" s="94">
        <f>TEXT(B2692,"aaa")</f>
        <v/>
      </c>
      <c r="D2692" s="94" t="inlineStr">
        <is>
          <t>네이버 브랜드검색</t>
        </is>
      </c>
      <c r="E2692" s="94" t="inlineStr">
        <is>
          <t>토너</t>
        </is>
      </c>
      <c r="G2692" s="91" t="n"/>
      <c r="J2692" s="129">
        <f>50000</f>
        <v/>
      </c>
    </row>
    <row r="2693" customFormat="1" s="94">
      <c r="B2693" s="128" t="n">
        <v>44157</v>
      </c>
      <c r="C2693" s="94">
        <f>TEXT(B2693,"aaa")</f>
        <v/>
      </c>
      <c r="D2693" s="94" t="inlineStr">
        <is>
          <t>카카오광고</t>
        </is>
      </c>
      <c r="E2693" s="94" t="inlineStr">
        <is>
          <t>토너패드</t>
        </is>
      </c>
      <c r="G2693" s="91" t="n"/>
      <c r="J2693" s="129">
        <f>(593175-20372)/1.1</f>
        <v/>
      </c>
    </row>
    <row r="2694" customFormat="1" s="94">
      <c r="B2694" s="128" t="n">
        <v>44158</v>
      </c>
      <c r="C2694" s="94">
        <f>TEXT(B2694,"aaa")</f>
        <v/>
      </c>
      <c r="D2694" s="94" t="inlineStr">
        <is>
          <t>카카오광고</t>
        </is>
      </c>
      <c r="E2694" s="94" t="inlineStr">
        <is>
          <t>토너</t>
        </is>
      </c>
      <c r="G2694" s="91" t="n"/>
      <c r="J2694" s="129">
        <f>20372/1.1</f>
        <v/>
      </c>
    </row>
    <row r="2695" hidden="1" customFormat="1" s="94">
      <c r="B2695" s="128" t="n">
        <v>44158</v>
      </c>
      <c r="C2695" s="94">
        <f>TEXT(B2695,"aaa")</f>
        <v/>
      </c>
      <c r="D2695" s="94" t="inlineStr">
        <is>
          <t>유튜브 디스커버리</t>
        </is>
      </c>
      <c r="E2695" s="94" t="inlineStr">
        <is>
          <t>토너</t>
        </is>
      </c>
      <c r="G2695" s="91" t="n"/>
      <c r="J2695" s="129" t="n">
        <v>1209324</v>
      </c>
    </row>
    <row r="2696" hidden="1" customFormat="1" s="94">
      <c r="B2696" s="128" t="n">
        <v>44158</v>
      </c>
      <c r="C2696" s="94">
        <f>TEXT(B2696,"aaa")</f>
        <v/>
      </c>
      <c r="D2696" s="94" t="inlineStr">
        <is>
          <t>네이버 쇼핑검색</t>
        </is>
      </c>
      <c r="G2696" s="91" t="n"/>
      <c r="J2696" s="129">
        <f>7612/1.1</f>
        <v/>
      </c>
    </row>
    <row r="2697" hidden="1" customFormat="1" s="94">
      <c r="B2697" s="128" t="n">
        <v>44158</v>
      </c>
      <c r="C2697" s="94">
        <f>TEXT(B2697,"aaa")</f>
        <v/>
      </c>
      <c r="D2697" s="94" t="inlineStr">
        <is>
          <t>네이버 GFA</t>
        </is>
      </c>
      <c r="E2697" s="94" t="inlineStr">
        <is>
          <t>토너</t>
        </is>
      </c>
      <c r="G2697" s="91" t="n"/>
      <c r="J2697" s="129" t="n">
        <v>1295640</v>
      </c>
      <c r="K2697" s="127" t="n"/>
      <c r="M2697" s="145" t="n"/>
    </row>
    <row r="2698" hidden="1" customFormat="1" s="94">
      <c r="B2698" s="128" t="n">
        <v>44158</v>
      </c>
      <c r="C2698" s="94">
        <f>TEXT(B2698,"aaa")</f>
        <v/>
      </c>
      <c r="D2698" s="94" t="inlineStr">
        <is>
          <t>네이버 GFA</t>
        </is>
      </c>
      <c r="E2698" s="94" t="inlineStr">
        <is>
          <t>토너패드</t>
        </is>
      </c>
      <c r="G2698" s="91" t="n"/>
      <c r="J2698" s="129" t="n">
        <v>4074146.363636363</v>
      </c>
    </row>
    <row r="2699" hidden="1" customFormat="1" s="94">
      <c r="B2699" s="128" t="n">
        <v>44159</v>
      </c>
      <c r="C2699" s="94">
        <f>TEXT(B2699,"aaa")</f>
        <v/>
      </c>
      <c r="D2699" s="94" t="inlineStr">
        <is>
          <t>페이스북/인스타그램</t>
        </is>
      </c>
      <c r="E2699" s="94" t="inlineStr">
        <is>
          <t>토너패드</t>
        </is>
      </c>
      <c r="G2699" s="91" t="n"/>
      <c r="J2699" s="129">
        <f>50890+264566</f>
        <v/>
      </c>
    </row>
    <row r="2700" hidden="1" customFormat="1" s="94">
      <c r="B2700" s="128" t="n">
        <v>44159</v>
      </c>
      <c r="C2700" s="94">
        <f>TEXT(B2700,"aaa")</f>
        <v/>
      </c>
      <c r="D2700" s="94" t="inlineStr">
        <is>
          <t>페이스북/인스타그램</t>
        </is>
      </c>
      <c r="E2700" s="94" t="inlineStr">
        <is>
          <t>토너</t>
        </is>
      </c>
      <c r="G2700" s="91" t="n"/>
      <c r="J2700" s="129" t="n">
        <v>723891</v>
      </c>
    </row>
    <row r="2701" hidden="1" customFormat="1" s="94">
      <c r="B2701" s="128" t="n">
        <v>44159</v>
      </c>
      <c r="C2701" s="94">
        <f>TEXT(B2701,"aaa")</f>
        <v/>
      </c>
      <c r="D2701" s="94" t="inlineStr">
        <is>
          <t>네이버 브랜드검색</t>
        </is>
      </c>
      <c r="E2701" s="94" t="inlineStr">
        <is>
          <t>토너</t>
        </is>
      </c>
      <c r="G2701" s="91" t="n"/>
      <c r="J2701" s="129">
        <f>50000</f>
        <v/>
      </c>
    </row>
    <row r="2702" customFormat="1" s="94">
      <c r="B2702" s="128" t="n">
        <v>44159</v>
      </c>
      <c r="C2702" s="94">
        <f>TEXT(B2702,"aaa")</f>
        <v/>
      </c>
      <c r="D2702" s="94" t="inlineStr">
        <is>
          <t>카카오광고</t>
        </is>
      </c>
      <c r="E2702" s="94" t="inlineStr">
        <is>
          <t>토너패드</t>
        </is>
      </c>
      <c r="G2702" s="91" t="n"/>
      <c r="J2702" s="129">
        <f>(460878-18491)/1.1</f>
        <v/>
      </c>
    </row>
    <row r="2703" customFormat="1" s="94">
      <c r="B2703" s="128" t="n">
        <v>44159</v>
      </c>
      <c r="C2703" s="94">
        <f>TEXT(B2703,"aaa")</f>
        <v/>
      </c>
      <c r="D2703" s="94" t="inlineStr">
        <is>
          <t>카카오광고</t>
        </is>
      </c>
      <c r="E2703" s="94" t="inlineStr">
        <is>
          <t>토너</t>
        </is>
      </c>
      <c r="G2703" s="91" t="n"/>
      <c r="J2703" s="129">
        <f>18491/1.1</f>
        <v/>
      </c>
    </row>
    <row r="2704" hidden="1" customFormat="1" s="94">
      <c r="B2704" s="128" t="n">
        <v>44159</v>
      </c>
      <c r="C2704" s="94">
        <f>TEXT(B2704,"aaa")</f>
        <v/>
      </c>
      <c r="D2704" s="94" t="inlineStr">
        <is>
          <t>유튜브 디스커버리</t>
        </is>
      </c>
      <c r="E2704" s="94" t="inlineStr">
        <is>
          <t>토너</t>
        </is>
      </c>
      <c r="G2704" s="91" t="n"/>
      <c r="J2704" s="129" t="n">
        <v>1736247</v>
      </c>
    </row>
    <row r="2705" hidden="1" customFormat="1" s="94">
      <c r="B2705" s="128" t="n">
        <v>44159</v>
      </c>
      <c r="C2705" s="94">
        <f>TEXT(B2705,"aaa")</f>
        <v/>
      </c>
      <c r="D2705" s="94" t="inlineStr">
        <is>
          <t>네이버 쇼핑검색</t>
        </is>
      </c>
      <c r="G2705" s="91" t="n"/>
      <c r="J2705" s="129">
        <f>9548/1.1</f>
        <v/>
      </c>
    </row>
    <row r="2706" hidden="1" customFormat="1" s="94">
      <c r="B2706" s="128" t="n">
        <v>44159</v>
      </c>
      <c r="C2706" s="94">
        <f>TEXT(B2706,"aaa")</f>
        <v/>
      </c>
      <c r="D2706" s="94" t="inlineStr">
        <is>
          <t>네이버 GFA</t>
        </is>
      </c>
      <c r="E2706" s="94" t="inlineStr">
        <is>
          <t>토너</t>
        </is>
      </c>
      <c r="G2706" s="91" t="n"/>
      <c r="J2706" s="129">
        <f>365768/1.1</f>
        <v/>
      </c>
      <c r="K2706" s="127" t="n"/>
      <c r="M2706" s="145" t="n"/>
    </row>
    <row r="2707" hidden="1" customFormat="1" s="94">
      <c r="B2707" s="128" t="n">
        <v>44159</v>
      </c>
      <c r="C2707" s="94">
        <f>TEXT(B2707,"aaa")</f>
        <v/>
      </c>
      <c r="D2707" s="94" t="inlineStr">
        <is>
          <t>네이버 GFA</t>
        </is>
      </c>
      <c r="E2707" s="94" t="inlineStr">
        <is>
          <t>토너패드</t>
        </is>
      </c>
      <c r="G2707" s="91" t="n"/>
      <c r="J2707" s="129">
        <f>(43437+3354+2393599+97137)/1.1</f>
        <v/>
      </c>
    </row>
    <row r="2708" hidden="1" customFormat="1" s="94">
      <c r="B2708" s="128" t="n">
        <v>44160</v>
      </c>
      <c r="C2708" s="94">
        <f>TEXT(B2708,"aaa")</f>
        <v/>
      </c>
      <c r="D2708" s="94" t="inlineStr">
        <is>
          <t>페이스북/인스타그램</t>
        </is>
      </c>
      <c r="E2708" s="94" t="inlineStr">
        <is>
          <t>토너패드</t>
        </is>
      </c>
      <c r="G2708" s="91" t="n"/>
      <c r="J2708" s="129">
        <f>659658+197445</f>
        <v/>
      </c>
    </row>
    <row r="2709" hidden="1" customFormat="1" s="94">
      <c r="B2709" s="128" t="n">
        <v>44160</v>
      </c>
      <c r="C2709" s="94">
        <f>TEXT(B2709,"aaa")</f>
        <v/>
      </c>
      <c r="D2709" s="94" t="inlineStr">
        <is>
          <t>페이스북/인스타그램</t>
        </is>
      </c>
      <c r="E2709" s="94" t="inlineStr">
        <is>
          <t>토너</t>
        </is>
      </c>
      <c r="G2709" s="91" t="n"/>
      <c r="J2709" s="129" t="n">
        <v>583205</v>
      </c>
    </row>
    <row r="2710" hidden="1" customFormat="1" s="94">
      <c r="B2710" s="128" t="n">
        <v>44160</v>
      </c>
      <c r="C2710" s="94">
        <f>TEXT(B2710,"aaa")</f>
        <v/>
      </c>
      <c r="D2710" s="94" t="inlineStr">
        <is>
          <t>네이버 브랜드검색</t>
        </is>
      </c>
      <c r="E2710" s="94" t="inlineStr">
        <is>
          <t>토너</t>
        </is>
      </c>
      <c r="G2710" s="91" t="n"/>
      <c r="J2710" s="129" t="n">
        <v>50000</v>
      </c>
    </row>
    <row r="2711" customFormat="1" s="94">
      <c r="B2711" s="128" t="n">
        <v>44160</v>
      </c>
      <c r="C2711" s="94">
        <f>TEXT(B2711,"aaa")</f>
        <v/>
      </c>
      <c r="D2711" s="94" t="inlineStr">
        <is>
          <t>카카오광고</t>
        </is>
      </c>
      <c r="E2711" s="94" t="inlineStr">
        <is>
          <t>토너패드</t>
        </is>
      </c>
      <c r="G2711" s="91" t="n"/>
      <c r="J2711" s="129">
        <f>(329054-20438)/1.1</f>
        <v/>
      </c>
    </row>
    <row r="2712" customFormat="1" s="94">
      <c r="B2712" s="128" t="n">
        <v>44160</v>
      </c>
      <c r="C2712" s="94">
        <f>TEXT(B2712,"aaa")</f>
        <v/>
      </c>
      <c r="D2712" s="94" t="inlineStr">
        <is>
          <t>카카오광고</t>
        </is>
      </c>
      <c r="E2712" s="94" t="inlineStr">
        <is>
          <t>토너</t>
        </is>
      </c>
      <c r="G2712" s="91" t="n"/>
      <c r="J2712" s="129">
        <f>20438/1.1</f>
        <v/>
      </c>
    </row>
    <row r="2713" hidden="1" customFormat="1" s="94">
      <c r="B2713" s="128" t="n">
        <v>44160</v>
      </c>
      <c r="C2713" s="94">
        <f>TEXT(B2713,"aaa")</f>
        <v/>
      </c>
      <c r="D2713" s="94" t="inlineStr">
        <is>
          <t>유튜브 디스커버리</t>
        </is>
      </c>
      <c r="E2713" s="94" t="inlineStr">
        <is>
          <t>토너</t>
        </is>
      </c>
      <c r="G2713" s="91" t="n"/>
      <c r="J2713" s="129" t="n">
        <v>759646</v>
      </c>
    </row>
    <row r="2714" hidden="1" customFormat="1" s="94">
      <c r="B2714" s="128" t="n">
        <v>44160</v>
      </c>
      <c r="C2714" s="94">
        <f>TEXT(B2714,"aaa")</f>
        <v/>
      </c>
      <c r="D2714" s="94" t="inlineStr">
        <is>
          <t>네이버 쇼핑검색</t>
        </is>
      </c>
      <c r="G2714" s="91" t="n"/>
      <c r="J2714" s="129">
        <f>20515/1.1</f>
        <v/>
      </c>
    </row>
    <row r="2715" hidden="1" customFormat="1" s="94">
      <c r="B2715" s="128" t="n">
        <v>44160</v>
      </c>
      <c r="C2715" s="94">
        <f>TEXT(B2715,"aaa")</f>
        <v/>
      </c>
      <c r="D2715" s="94" t="inlineStr">
        <is>
          <t>네이버 GFA</t>
        </is>
      </c>
      <c r="E2715" s="94" t="inlineStr">
        <is>
          <t>토너</t>
        </is>
      </c>
      <c r="G2715" s="91" t="n"/>
      <c r="J2715" s="129" t="n">
        <v>861334.5454545454</v>
      </c>
      <c r="K2715" s="127" t="n"/>
      <c r="M2715" s="145" t="n"/>
    </row>
    <row r="2716" hidden="1" customFormat="1" s="94">
      <c r="B2716" s="128" t="n">
        <v>44160</v>
      </c>
      <c r="C2716" s="94">
        <f>TEXT(B2716,"aaa")</f>
        <v/>
      </c>
      <c r="D2716" s="94" t="inlineStr">
        <is>
          <t>네이버 GFA</t>
        </is>
      </c>
      <c r="E2716" s="94" t="inlineStr">
        <is>
          <t>토너패드</t>
        </is>
      </c>
      <c r="G2716" s="91" t="n"/>
      <c r="J2716" s="129" t="n">
        <v>1368027.272727273</v>
      </c>
    </row>
    <row r="2717" hidden="1" customFormat="1" s="94">
      <c r="B2717" s="128" t="n">
        <v>44161</v>
      </c>
      <c r="C2717" s="94">
        <f>TEXT(B2717,"aaa")</f>
        <v/>
      </c>
      <c r="D2717" s="94" t="inlineStr">
        <is>
          <t>페이스북/인스타그램</t>
        </is>
      </c>
      <c r="E2717" s="94" t="inlineStr">
        <is>
          <t>토너패드</t>
        </is>
      </c>
      <c r="G2717" s="91" t="n"/>
      <c r="J2717" s="129">
        <f>765893+199008</f>
        <v/>
      </c>
    </row>
    <row r="2718" hidden="1" customFormat="1" s="94">
      <c r="B2718" s="128" t="n">
        <v>44161</v>
      </c>
      <c r="C2718" s="94">
        <f>TEXT(B2718,"aaa")</f>
        <v/>
      </c>
      <c r="D2718" s="94" t="inlineStr">
        <is>
          <t>페이스북/인스타그램</t>
        </is>
      </c>
      <c r="E2718" s="94" t="inlineStr">
        <is>
          <t>토너</t>
        </is>
      </c>
      <c r="G2718" s="91" t="n"/>
      <c r="J2718" s="129" t="n">
        <v>534450</v>
      </c>
    </row>
    <row r="2719" hidden="1" customFormat="1" s="94">
      <c r="B2719" s="128" t="n">
        <v>44161</v>
      </c>
      <c r="C2719" s="94">
        <f>TEXT(B2719,"aaa")</f>
        <v/>
      </c>
      <c r="D2719" s="94" t="inlineStr">
        <is>
          <t>네이버 브랜드검색</t>
        </is>
      </c>
      <c r="E2719" s="94" t="inlineStr">
        <is>
          <t>토너</t>
        </is>
      </c>
      <c r="G2719" s="91" t="n"/>
      <c r="J2719" s="129" t="n">
        <v>50000</v>
      </c>
    </row>
    <row r="2720" customFormat="1" s="94">
      <c r="B2720" s="128" t="n">
        <v>44161</v>
      </c>
      <c r="C2720" s="94">
        <f>TEXT(B2720,"aaa")</f>
        <v/>
      </c>
      <c r="D2720" s="94" t="inlineStr">
        <is>
          <t>카카오광고</t>
        </is>
      </c>
      <c r="E2720" s="94" t="inlineStr">
        <is>
          <t>토너</t>
        </is>
      </c>
      <c r="G2720" s="91" t="n"/>
      <c r="J2720" s="129">
        <f>15565/1.1</f>
        <v/>
      </c>
    </row>
    <row r="2721" hidden="1" customFormat="1" s="94">
      <c r="B2721" s="128" t="n">
        <v>44161</v>
      </c>
      <c r="C2721" s="94">
        <f>TEXT(B2721,"aaa")</f>
        <v/>
      </c>
      <c r="D2721" s="94" t="inlineStr">
        <is>
          <t>유튜브 디스커버리</t>
        </is>
      </c>
      <c r="E2721" s="94" t="inlineStr">
        <is>
          <t>토너</t>
        </is>
      </c>
      <c r="G2721" s="91" t="n"/>
      <c r="J2721" s="129" t="n">
        <v>763963</v>
      </c>
    </row>
    <row r="2722" hidden="1" customFormat="1" s="94">
      <c r="B2722" s="128" t="n">
        <v>44161</v>
      </c>
      <c r="C2722" s="94">
        <f>TEXT(B2722,"aaa")</f>
        <v/>
      </c>
      <c r="D2722" s="94" t="inlineStr">
        <is>
          <t>네이버 쇼핑검색</t>
        </is>
      </c>
      <c r="G2722" s="91" t="n"/>
      <c r="J2722" s="129">
        <f>30657/1.1</f>
        <v/>
      </c>
    </row>
    <row r="2723" hidden="1" customFormat="1" s="94">
      <c r="B2723" s="128" t="n">
        <v>44161</v>
      </c>
      <c r="C2723" s="94">
        <f>TEXT(B2723,"aaa")</f>
        <v/>
      </c>
      <c r="D2723" s="94" t="inlineStr">
        <is>
          <t>네이버 GFA</t>
        </is>
      </c>
      <c r="E2723" s="94" t="inlineStr">
        <is>
          <t>토너</t>
        </is>
      </c>
      <c r="G2723" s="91" t="n"/>
      <c r="J2723" s="129">
        <f>461778/1.1</f>
        <v/>
      </c>
      <c r="K2723" s="127" t="n"/>
      <c r="M2723" s="145" t="n"/>
    </row>
    <row r="2724" hidden="1" customFormat="1" s="94">
      <c r="B2724" s="128" t="n">
        <v>44161</v>
      </c>
      <c r="C2724" s="94">
        <f>TEXT(B2724,"aaa")</f>
        <v/>
      </c>
      <c r="D2724" s="94" t="inlineStr">
        <is>
          <t>네이버 GFA</t>
        </is>
      </c>
      <c r="E2724" s="94" t="inlineStr">
        <is>
          <t>토너패드</t>
        </is>
      </c>
      <c r="G2724" s="91" t="n"/>
      <c r="J2724" s="129">
        <f>964859/1.1</f>
        <v/>
      </c>
    </row>
    <row r="2725" hidden="1" customFormat="1" s="94">
      <c r="B2725" s="128" t="n">
        <v>44162</v>
      </c>
      <c r="C2725" s="94">
        <f>TEXT(B2725,"aaa")</f>
        <v/>
      </c>
      <c r="D2725" s="94" t="inlineStr">
        <is>
          <t>페이스북/인스타그램</t>
        </is>
      </c>
      <c r="E2725" s="94" t="inlineStr">
        <is>
          <t>토너</t>
        </is>
      </c>
      <c r="G2725" s="91" t="n"/>
      <c r="J2725" s="129" t="n">
        <v>431446</v>
      </c>
    </row>
    <row r="2726" hidden="1" customFormat="1" s="94">
      <c r="B2726" s="128" t="n">
        <v>44163</v>
      </c>
      <c r="C2726" s="94">
        <f>TEXT(B2726,"aaa")</f>
        <v/>
      </c>
      <c r="D2726" s="94" t="inlineStr">
        <is>
          <t>페이스북/인스타그램</t>
        </is>
      </c>
      <c r="E2726" s="94" t="inlineStr">
        <is>
          <t>토너</t>
        </is>
      </c>
      <c r="G2726" s="91" t="n"/>
      <c r="J2726" s="129" t="n">
        <v>286457</v>
      </c>
    </row>
    <row r="2727" hidden="1" customFormat="1" s="94">
      <c r="B2727" s="128" t="n">
        <v>44164</v>
      </c>
      <c r="C2727" s="94">
        <f>TEXT(B2727,"aaa")</f>
        <v/>
      </c>
      <c r="D2727" s="94" t="inlineStr">
        <is>
          <t>페이스북/인스타그램</t>
        </is>
      </c>
      <c r="E2727" s="94" t="inlineStr">
        <is>
          <t>토너</t>
        </is>
      </c>
      <c r="G2727" s="91" t="n"/>
      <c r="J2727" s="129" t="n">
        <v>333834</v>
      </c>
    </row>
    <row r="2728" hidden="1" customFormat="1" s="94">
      <c r="B2728" s="128" t="n">
        <v>44162</v>
      </c>
      <c r="C2728" s="94">
        <f>TEXT(B2728,"aaa")</f>
        <v/>
      </c>
      <c r="D2728" s="94" t="inlineStr">
        <is>
          <t>페이스북/인스타그램</t>
        </is>
      </c>
      <c r="E2728" s="94" t="inlineStr">
        <is>
          <t>토너패드</t>
        </is>
      </c>
      <c r="G2728" s="91" t="n"/>
      <c r="J2728" s="129" t="n">
        <v>987151</v>
      </c>
    </row>
    <row r="2729" hidden="1" customFormat="1" s="94">
      <c r="B2729" s="128" t="n">
        <v>44163</v>
      </c>
      <c r="C2729" s="94">
        <f>TEXT(B2729,"aaa")</f>
        <v/>
      </c>
      <c r="D2729" s="94" t="inlineStr">
        <is>
          <t>페이스북/인스타그램</t>
        </is>
      </c>
      <c r="E2729" s="94" t="inlineStr">
        <is>
          <t>토너패드</t>
        </is>
      </c>
      <c r="G2729" s="91" t="n"/>
      <c r="J2729" s="129" t="n">
        <v>722230</v>
      </c>
    </row>
    <row r="2730" hidden="1" customFormat="1" s="94">
      <c r="B2730" s="128" t="n">
        <v>44164</v>
      </c>
      <c r="C2730" s="94">
        <f>TEXT(B2730,"aaa")</f>
        <v/>
      </c>
      <c r="D2730" s="94" t="inlineStr">
        <is>
          <t>페이스북/인스타그램</t>
        </is>
      </c>
      <c r="E2730" s="94" t="inlineStr">
        <is>
          <t>토너패드</t>
        </is>
      </c>
      <c r="G2730" s="91" t="n"/>
      <c r="J2730" s="129" t="n">
        <v>664134</v>
      </c>
    </row>
    <row r="2731" hidden="1" customFormat="1" s="94">
      <c r="B2731" s="128" t="n">
        <v>44162</v>
      </c>
      <c r="C2731" s="94">
        <f>TEXT(B2731,"aaa")</f>
        <v/>
      </c>
      <c r="D2731" s="94" t="inlineStr">
        <is>
          <t>네이버 브랜드검색</t>
        </is>
      </c>
      <c r="E2731" s="94" t="inlineStr">
        <is>
          <t>토너</t>
        </is>
      </c>
      <c r="G2731" s="91" t="n"/>
      <c r="J2731" s="129" t="n">
        <v>50000</v>
      </c>
    </row>
    <row r="2732" hidden="1" customFormat="1" s="94">
      <c r="B2732" s="128" t="n">
        <v>44163</v>
      </c>
      <c r="C2732" s="94">
        <f>TEXT(B2732,"aaa")</f>
        <v/>
      </c>
      <c r="D2732" s="94" t="inlineStr">
        <is>
          <t>네이버 브랜드검색</t>
        </is>
      </c>
      <c r="E2732" s="94" t="inlineStr">
        <is>
          <t>토너</t>
        </is>
      </c>
      <c r="G2732" s="91" t="n"/>
      <c r="J2732" s="129" t="n">
        <v>50000</v>
      </c>
    </row>
    <row r="2733" hidden="1" customFormat="1" s="94">
      <c r="B2733" s="128" t="n">
        <v>44164</v>
      </c>
      <c r="C2733" s="94">
        <f>TEXT(B2733,"aaa")</f>
        <v/>
      </c>
      <c r="D2733" s="94" t="inlineStr">
        <is>
          <t>네이버 브랜드검색</t>
        </is>
      </c>
      <c r="E2733" s="94" t="inlineStr">
        <is>
          <t>토너</t>
        </is>
      </c>
      <c r="G2733" s="91" t="n"/>
      <c r="J2733" s="129" t="n">
        <v>50000</v>
      </c>
    </row>
    <row r="2734" customFormat="1" s="94">
      <c r="B2734" s="128" t="n">
        <v>44162</v>
      </c>
      <c r="C2734" s="94">
        <f>TEXT(B2734,"aaa")</f>
        <v/>
      </c>
      <c r="D2734" s="94" t="inlineStr">
        <is>
          <t>카카오광고</t>
        </is>
      </c>
      <c r="E2734" s="94" t="inlineStr">
        <is>
          <t>토너</t>
        </is>
      </c>
      <c r="G2734" s="91" t="n"/>
      <c r="J2734" s="129" t="n">
        <v>15060</v>
      </c>
    </row>
    <row r="2735" customFormat="1" s="94">
      <c r="B2735" s="128" t="n">
        <v>44163</v>
      </c>
      <c r="C2735" s="94">
        <f>TEXT(B2735,"aaa")</f>
        <v/>
      </c>
      <c r="D2735" s="94" t="inlineStr">
        <is>
          <t>카카오광고</t>
        </is>
      </c>
      <c r="E2735" s="94" t="inlineStr">
        <is>
          <t>토너</t>
        </is>
      </c>
      <c r="G2735" s="91" t="n"/>
      <c r="J2735" s="129" t="n">
        <v>19710</v>
      </c>
    </row>
    <row r="2736" customFormat="1" s="94">
      <c r="B2736" s="128" t="n">
        <v>44164</v>
      </c>
      <c r="C2736" s="94">
        <f>TEXT(B2736,"aaa")</f>
        <v/>
      </c>
      <c r="D2736" s="94" t="inlineStr">
        <is>
          <t>카카오광고</t>
        </is>
      </c>
      <c r="E2736" s="94" t="inlineStr">
        <is>
          <t>토너</t>
        </is>
      </c>
      <c r="G2736" s="91" t="n"/>
      <c r="J2736" s="129" t="n">
        <v>18560</v>
      </c>
    </row>
    <row r="2737" hidden="1" customFormat="1" s="94">
      <c r="B2737" s="128" t="n">
        <v>44162</v>
      </c>
      <c r="C2737" s="94">
        <f>TEXT(B2737,"aaa")</f>
        <v/>
      </c>
      <c r="D2737" s="94" t="inlineStr">
        <is>
          <t>유튜브 디스커버리</t>
        </is>
      </c>
      <c r="E2737" s="94" t="inlineStr">
        <is>
          <t>토너</t>
        </is>
      </c>
      <c r="G2737" s="91" t="n"/>
      <c r="J2737" s="129" t="n">
        <v>399039</v>
      </c>
    </row>
    <row r="2738" hidden="1" customFormat="1" s="94">
      <c r="B2738" s="128" t="n">
        <v>44163</v>
      </c>
      <c r="C2738" s="94">
        <f>TEXT(B2738,"aaa")</f>
        <v/>
      </c>
      <c r="D2738" s="94" t="inlineStr">
        <is>
          <t>유튜브 디스커버리</t>
        </is>
      </c>
      <c r="E2738" s="94" t="inlineStr">
        <is>
          <t>토너</t>
        </is>
      </c>
      <c r="G2738" s="91" t="n"/>
      <c r="J2738" s="129" t="n">
        <v>8726</v>
      </c>
    </row>
    <row r="2739" hidden="1" customFormat="1" s="94">
      <c r="B2739" s="128" t="n">
        <v>44164</v>
      </c>
      <c r="C2739" s="94">
        <f>TEXT(B2739,"aaa")</f>
        <v/>
      </c>
      <c r="D2739" s="94" t="inlineStr">
        <is>
          <t>유튜브 디스커버리</t>
        </is>
      </c>
      <c r="E2739" s="94" t="inlineStr">
        <is>
          <t>토너</t>
        </is>
      </c>
      <c r="G2739" s="91" t="n"/>
      <c r="J2739" s="129" t="n">
        <v>1581294</v>
      </c>
    </row>
    <row r="2740" hidden="1" customFormat="1" s="94">
      <c r="B2740" s="128" t="n">
        <v>44162</v>
      </c>
      <c r="C2740" s="94">
        <f>TEXT(B2740,"aaa")</f>
        <v/>
      </c>
      <c r="D2740" s="94" t="inlineStr">
        <is>
          <t>네이버 쇼핑검색</t>
        </is>
      </c>
      <c r="G2740" s="91" t="n"/>
      <c r="J2740" s="129" t="n">
        <v>15940</v>
      </c>
      <c r="K2740" s="145" t="n"/>
    </row>
    <row r="2741" hidden="1" customFormat="1" s="94">
      <c r="B2741" s="128" t="n">
        <v>44163</v>
      </c>
      <c r="C2741" s="94">
        <f>TEXT(B2741,"aaa")</f>
        <v/>
      </c>
      <c r="D2741" s="94" t="inlineStr">
        <is>
          <t>네이버 쇼핑검색</t>
        </is>
      </c>
      <c r="G2741" s="91" t="n"/>
      <c r="J2741" s="129" t="n">
        <v>14410</v>
      </c>
      <c r="K2741" s="145" t="n"/>
    </row>
    <row r="2742" hidden="1" customFormat="1" s="94">
      <c r="B2742" s="128" t="n">
        <v>44164</v>
      </c>
      <c r="C2742" s="94">
        <f>TEXT(B2742,"aaa")</f>
        <v/>
      </c>
      <c r="D2742" s="94" t="inlineStr">
        <is>
          <t>네이버 쇼핑검색</t>
        </is>
      </c>
      <c r="G2742" s="91" t="n"/>
      <c r="J2742" s="129" t="n">
        <v>64169.99999999999</v>
      </c>
      <c r="K2742" s="145" t="n"/>
    </row>
    <row r="2743" hidden="1" customFormat="1" s="94">
      <c r="B2743" s="128" t="n">
        <v>44162</v>
      </c>
      <c r="C2743" s="94">
        <f>TEXT(B2743,"aaa")</f>
        <v/>
      </c>
      <c r="D2743" s="94" t="inlineStr">
        <is>
          <t>네이버 GFA</t>
        </is>
      </c>
      <c r="E2743" s="94" t="inlineStr">
        <is>
          <t>토너</t>
        </is>
      </c>
      <c r="G2743" s="91" t="n"/>
      <c r="J2743" s="129" t="n">
        <v>298774.5454545454</v>
      </c>
      <c r="K2743" s="127" t="n"/>
      <c r="M2743" s="145" t="n"/>
    </row>
    <row r="2744" hidden="1" customFormat="1" s="94">
      <c r="B2744" s="128" t="n">
        <v>44163</v>
      </c>
      <c r="C2744" s="94">
        <f>TEXT(B2744,"aaa")</f>
        <v/>
      </c>
      <c r="D2744" s="94" t="inlineStr">
        <is>
          <t>네이버 GFA</t>
        </is>
      </c>
      <c r="E2744" s="94" t="inlineStr">
        <is>
          <t>토너</t>
        </is>
      </c>
      <c r="G2744" s="91" t="n"/>
      <c r="J2744" s="129" t="n">
        <v>262276.3636363636</v>
      </c>
      <c r="K2744" s="127" t="n"/>
      <c r="M2744" s="145" t="n"/>
    </row>
    <row r="2745" hidden="1" customFormat="1" s="94">
      <c r="B2745" s="128" t="n">
        <v>44164</v>
      </c>
      <c r="C2745" s="94">
        <f>TEXT(B2745,"aaa")</f>
        <v/>
      </c>
      <c r="D2745" s="94" t="inlineStr">
        <is>
          <t>네이버 GFA</t>
        </is>
      </c>
      <c r="E2745" s="94" t="inlineStr">
        <is>
          <t>토너</t>
        </is>
      </c>
      <c r="G2745" s="91" t="n"/>
      <c r="J2745" s="129" t="n">
        <v>176421.8181818182</v>
      </c>
      <c r="K2745" s="127" t="n"/>
      <c r="M2745" s="145" t="n"/>
    </row>
    <row r="2746" hidden="1" customFormat="1" s="94">
      <c r="B2746" s="128" t="n">
        <v>44162</v>
      </c>
      <c r="C2746" s="94">
        <f>TEXT(B2746,"aaa")</f>
        <v/>
      </c>
      <c r="D2746" s="94" t="inlineStr">
        <is>
          <t>네이버 GFA</t>
        </is>
      </c>
      <c r="E2746" s="94" t="inlineStr">
        <is>
          <t>토너패드</t>
        </is>
      </c>
      <c r="G2746" s="91" t="n"/>
      <c r="J2746" s="129" t="n">
        <v>820149.9999999999</v>
      </c>
    </row>
    <row r="2747" hidden="1" customFormat="1" s="94">
      <c r="B2747" s="128" t="n">
        <v>44163</v>
      </c>
      <c r="C2747" s="94">
        <f>TEXT(B2747,"aaa")</f>
        <v/>
      </c>
      <c r="D2747" s="94" t="inlineStr">
        <is>
          <t>네이버 GFA</t>
        </is>
      </c>
      <c r="E2747" s="94" t="inlineStr">
        <is>
          <t>토너패드</t>
        </is>
      </c>
      <c r="G2747" s="91" t="n"/>
      <c r="J2747" s="129" t="n">
        <v>554280</v>
      </c>
    </row>
    <row r="2748" hidden="1" customFormat="1" s="94">
      <c r="B2748" s="128" t="n">
        <v>44164</v>
      </c>
      <c r="C2748" s="94">
        <f>TEXT(B2748,"aaa")</f>
        <v/>
      </c>
      <c r="D2748" s="94" t="inlineStr">
        <is>
          <t>네이버 GFA</t>
        </is>
      </c>
      <c r="E2748" s="94" t="inlineStr">
        <is>
          <t>토너패드</t>
        </is>
      </c>
      <c r="G2748" s="91" t="n"/>
      <c r="J2748" s="129" t="n">
        <v>837673.6363636364</v>
      </c>
    </row>
    <row r="2749" hidden="1" customFormat="1" s="94">
      <c r="B2749" s="128" t="n">
        <v>44165</v>
      </c>
      <c r="C2749" s="94">
        <f>TEXT(B2749,"aaa")</f>
        <v/>
      </c>
      <c r="D2749" s="94" t="inlineStr">
        <is>
          <t>페이스북/인스타그램</t>
        </is>
      </c>
      <c r="E2749" s="94" t="inlineStr">
        <is>
          <t>토너패드</t>
        </is>
      </c>
      <c r="G2749" s="91" t="n"/>
      <c r="J2749" s="129">
        <f>222869+630461</f>
        <v/>
      </c>
    </row>
    <row r="2750" hidden="1" customFormat="1" s="94">
      <c r="B2750" s="128" t="n">
        <v>44165</v>
      </c>
      <c r="C2750" s="94">
        <f>TEXT(B2750,"aaa")</f>
        <v/>
      </c>
      <c r="D2750" s="94" t="inlineStr">
        <is>
          <t>페이스북/인스타그램</t>
        </is>
      </c>
      <c r="E2750" s="94" t="inlineStr">
        <is>
          <t>토너</t>
        </is>
      </c>
      <c r="G2750" s="91" t="n"/>
      <c r="J2750" s="129" t="n">
        <v>350797</v>
      </c>
    </row>
    <row r="2751" hidden="1" customFormat="1" s="94">
      <c r="B2751" s="128" t="n">
        <v>44165</v>
      </c>
      <c r="C2751" s="94">
        <f>TEXT(B2751,"aaa")</f>
        <v/>
      </c>
      <c r="D2751" s="94" t="inlineStr">
        <is>
          <t>페이스북/인스타그램</t>
        </is>
      </c>
      <c r="E2751" s="94" t="inlineStr">
        <is>
          <t>인터뷰모집</t>
        </is>
      </c>
      <c r="G2751" s="91" t="n"/>
      <c r="J2751" s="129">
        <f>39895+7669</f>
        <v/>
      </c>
    </row>
    <row r="2752" hidden="1" customFormat="1" s="94">
      <c r="B2752" s="128" t="n">
        <v>44165</v>
      </c>
      <c r="C2752" s="94">
        <f>TEXT(B2752,"aaa")</f>
        <v/>
      </c>
      <c r="D2752" s="94" t="inlineStr">
        <is>
          <t>네이버 브랜드검색</t>
        </is>
      </c>
      <c r="E2752" s="94" t="inlineStr">
        <is>
          <t>토너</t>
        </is>
      </c>
      <c r="G2752" s="91" t="n"/>
      <c r="J2752" s="129" t="n">
        <v>50000</v>
      </c>
    </row>
    <row r="2753" customFormat="1" s="94">
      <c r="B2753" s="128" t="n">
        <v>44165</v>
      </c>
      <c r="C2753" s="94">
        <f>TEXT(B2753,"aaa")</f>
        <v/>
      </c>
      <c r="D2753" s="94" t="inlineStr">
        <is>
          <t>카카오광고</t>
        </is>
      </c>
      <c r="E2753" s="94" t="inlineStr">
        <is>
          <t>토너</t>
        </is>
      </c>
      <c r="G2753" s="91" t="n"/>
      <c r="J2753" s="129">
        <f>21835/1.1</f>
        <v/>
      </c>
    </row>
    <row r="2754" hidden="1" customFormat="1" s="94">
      <c r="B2754" s="128" t="n">
        <v>44165</v>
      </c>
      <c r="C2754" s="94">
        <f>TEXT(B2754,"aaa")</f>
        <v/>
      </c>
      <c r="D2754" s="94" t="inlineStr">
        <is>
          <t>유튜브 디스커버리</t>
        </is>
      </c>
      <c r="E2754" s="94" t="inlineStr">
        <is>
          <t>토너</t>
        </is>
      </c>
      <c r="G2754" s="91" t="n"/>
      <c r="J2754" s="129" t="n">
        <v>1094393</v>
      </c>
    </row>
    <row r="2755" hidden="1" customFormat="1" s="94">
      <c r="B2755" s="128" t="n">
        <v>44165</v>
      </c>
      <c r="C2755" s="94">
        <f>TEXT(B2755,"aaa")</f>
        <v/>
      </c>
      <c r="D2755" s="94" t="inlineStr">
        <is>
          <t>네이버 쇼핑검색</t>
        </is>
      </c>
      <c r="G2755" s="91" t="n"/>
      <c r="J2755" s="129">
        <f>83743/1.1</f>
        <v/>
      </c>
    </row>
    <row r="2756" hidden="1" customFormat="1" s="94">
      <c r="B2756" s="128" t="n">
        <v>44165</v>
      </c>
      <c r="C2756" s="94">
        <f>TEXT(B2756,"aaa")</f>
        <v/>
      </c>
      <c r="D2756" s="94" t="inlineStr">
        <is>
          <t>네이버 GFA</t>
        </is>
      </c>
      <c r="E2756" s="94" t="inlineStr">
        <is>
          <t>토너</t>
        </is>
      </c>
      <c r="G2756" s="91" t="n"/>
      <c r="J2756" s="129">
        <f>547862/1.1</f>
        <v/>
      </c>
      <c r="K2756" s="127" t="n"/>
      <c r="M2756" s="145" t="n"/>
    </row>
    <row r="2757" hidden="1" customFormat="1" s="94">
      <c r="B2757" s="128" t="n">
        <v>44165</v>
      </c>
      <c r="C2757" s="94">
        <f>TEXT(B2757,"aaa")</f>
        <v/>
      </c>
      <c r="D2757" s="94" t="inlineStr">
        <is>
          <t>네이버 GFA</t>
        </is>
      </c>
      <c r="E2757" s="94" t="inlineStr">
        <is>
          <t>토너패드</t>
        </is>
      </c>
      <c r="G2757" s="91" t="n"/>
      <c r="J2757" s="129">
        <f>1690752/1.1</f>
        <v/>
      </c>
    </row>
    <row r="2758" hidden="1" customFormat="1" s="94">
      <c r="B2758" s="128" t="n">
        <v>44166</v>
      </c>
      <c r="C2758" s="94">
        <f>TEXT(B2758,"aaa")</f>
        <v/>
      </c>
      <c r="D2758" s="94" t="inlineStr">
        <is>
          <t>페이스북/인스타그램</t>
        </is>
      </c>
      <c r="E2758" s="94" t="inlineStr">
        <is>
          <t>토너패드</t>
        </is>
      </c>
      <c r="G2758" s="91" t="n"/>
      <c r="J2758" s="129">
        <f>145472+797640</f>
        <v/>
      </c>
    </row>
    <row r="2759" hidden="1" customFormat="1" s="94">
      <c r="B2759" s="128" t="n">
        <v>44166</v>
      </c>
      <c r="C2759" s="94">
        <f>TEXT(B2759,"aaa")</f>
        <v/>
      </c>
      <c r="D2759" s="94" t="inlineStr">
        <is>
          <t>페이스북/인스타그램</t>
        </is>
      </c>
      <c r="E2759" s="94" t="inlineStr">
        <is>
          <t>토너</t>
        </is>
      </c>
      <c r="G2759" s="91" t="n"/>
      <c r="J2759" s="129">
        <f>149625+291370</f>
        <v/>
      </c>
    </row>
    <row r="2760" hidden="1" customFormat="1" s="94">
      <c r="B2760" s="128" t="n">
        <v>44166</v>
      </c>
      <c r="C2760" s="94">
        <f>TEXT(B2760,"aaa")</f>
        <v/>
      </c>
      <c r="D2760" s="94" t="inlineStr">
        <is>
          <t>페이스북/인스타그램</t>
        </is>
      </c>
      <c r="E2760" s="94" t="inlineStr">
        <is>
          <t>인터뷰모집</t>
        </is>
      </c>
      <c r="G2760" s="91" t="n"/>
      <c r="J2760" s="129" t="n">
        <v>127726</v>
      </c>
    </row>
    <row r="2761" hidden="1" customFormat="1" s="94">
      <c r="B2761" s="128" t="n">
        <v>44166</v>
      </c>
      <c r="C2761" s="94">
        <f>TEXT(B2761,"aaa")</f>
        <v/>
      </c>
      <c r="D2761" s="94" t="inlineStr">
        <is>
          <t>네이버 브랜드검색</t>
        </is>
      </c>
      <c r="E2761" s="94" t="inlineStr">
        <is>
          <t>토너</t>
        </is>
      </c>
      <c r="G2761" s="91" t="n"/>
      <c r="J2761" s="129" t="n">
        <v>50000</v>
      </c>
    </row>
    <row r="2762" customFormat="1" s="94">
      <c r="B2762" s="128" t="n">
        <v>44166</v>
      </c>
      <c r="C2762" s="94">
        <f>TEXT(B2762,"aaa")</f>
        <v/>
      </c>
      <c r="D2762" s="94" t="inlineStr">
        <is>
          <t>카카오광고</t>
        </is>
      </c>
      <c r="E2762" s="94" t="inlineStr">
        <is>
          <t>토너</t>
        </is>
      </c>
      <c r="G2762" s="91" t="n"/>
      <c r="J2762" s="129">
        <f>21351/1.1</f>
        <v/>
      </c>
    </row>
    <row r="2763" hidden="1" customFormat="1" s="94">
      <c r="B2763" s="128" t="n">
        <v>44166</v>
      </c>
      <c r="C2763" s="94">
        <f>TEXT(B2763,"aaa")</f>
        <v/>
      </c>
      <c r="D2763" s="94" t="inlineStr">
        <is>
          <t>유튜브 디스커버리</t>
        </is>
      </c>
      <c r="E2763" s="94" t="inlineStr">
        <is>
          <t>토너</t>
        </is>
      </c>
      <c r="G2763" s="91" t="n"/>
      <c r="J2763" s="129" t="n">
        <v>1029733</v>
      </c>
    </row>
    <row r="2764" hidden="1" customFormat="1" s="94">
      <c r="B2764" s="128" t="n">
        <v>44166</v>
      </c>
      <c r="C2764" s="94">
        <f>TEXT(B2764,"aaa")</f>
        <v/>
      </c>
      <c r="D2764" s="94" t="inlineStr">
        <is>
          <t>네이버 쇼핑검색</t>
        </is>
      </c>
      <c r="G2764" s="91" t="n"/>
      <c r="J2764" s="129">
        <f>52184/1.1</f>
        <v/>
      </c>
    </row>
    <row r="2765" hidden="1" customFormat="1" s="94">
      <c r="B2765" s="128" t="n">
        <v>44166</v>
      </c>
      <c r="C2765" s="94">
        <f>TEXT(B2765,"aaa")</f>
        <v/>
      </c>
      <c r="D2765" s="94" t="inlineStr">
        <is>
          <t>네이버 GFA</t>
        </is>
      </c>
      <c r="E2765" s="94" t="inlineStr">
        <is>
          <t>토너</t>
        </is>
      </c>
      <c r="G2765" s="91" t="n"/>
      <c r="J2765" s="129">
        <f>241082/1.1</f>
        <v/>
      </c>
      <c r="K2765" s="127" t="n"/>
      <c r="M2765" s="145" t="n"/>
    </row>
    <row r="2766" hidden="1" customFormat="1" s="94">
      <c r="B2766" s="128" t="n">
        <v>44166</v>
      </c>
      <c r="C2766" s="94">
        <f>TEXT(B2766,"aaa")</f>
        <v/>
      </c>
      <c r="D2766" s="94" t="inlineStr">
        <is>
          <t>네이버 GFA</t>
        </is>
      </c>
      <c r="E2766" s="94" t="inlineStr">
        <is>
          <t>토너패드</t>
        </is>
      </c>
      <c r="G2766" s="91" t="n"/>
      <c r="J2766" s="129">
        <f>1189209/1.1</f>
        <v/>
      </c>
    </row>
    <row r="2767" hidden="1" customFormat="1" s="94">
      <c r="B2767" s="128" t="n">
        <v>44167</v>
      </c>
      <c r="C2767" s="94">
        <f>TEXT(B2767,"aaa")</f>
        <v/>
      </c>
      <c r="D2767" s="94" t="inlineStr">
        <is>
          <t>페이스북/인스타그램</t>
        </is>
      </c>
      <c r="E2767" s="94" t="inlineStr">
        <is>
          <t>토너패드</t>
        </is>
      </c>
      <c r="G2767" s="91" t="n"/>
      <c r="J2767" s="129">
        <f>150087+998109</f>
        <v/>
      </c>
    </row>
    <row r="2768" hidden="1" customFormat="1" s="94">
      <c r="B2768" s="128" t="n">
        <v>44167</v>
      </c>
      <c r="C2768" s="94">
        <f>TEXT(B2768,"aaa")</f>
        <v/>
      </c>
      <c r="D2768" s="94" t="inlineStr">
        <is>
          <t>페이스북/인스타그램</t>
        </is>
      </c>
      <c r="E2768" s="94" t="inlineStr">
        <is>
          <t>토너</t>
        </is>
      </c>
      <c r="G2768" s="91" t="n"/>
      <c r="J2768" s="129">
        <f>331560+2030</f>
        <v/>
      </c>
    </row>
    <row r="2769" hidden="1" customFormat="1" s="94">
      <c r="B2769" s="128" t="n">
        <v>44167</v>
      </c>
      <c r="C2769" s="94">
        <f>TEXT(B2769,"aaa")</f>
        <v/>
      </c>
      <c r="D2769" s="94" t="inlineStr">
        <is>
          <t>페이스북/인스타그램</t>
        </is>
      </c>
      <c r="E2769" s="94" t="inlineStr">
        <is>
          <t>랄라블라</t>
        </is>
      </c>
      <c r="G2769" s="91" t="n"/>
      <c r="J2769" s="129" t="n">
        <v>33664</v>
      </c>
    </row>
    <row r="2770" hidden="1" customFormat="1" s="94">
      <c r="B2770" s="128" t="n">
        <v>44167</v>
      </c>
      <c r="C2770" s="94">
        <f>TEXT(B2770,"aaa")</f>
        <v/>
      </c>
      <c r="D2770" s="94" t="inlineStr">
        <is>
          <t>페이스북/인스타그램</t>
        </is>
      </c>
      <c r="E2770" s="94" t="inlineStr">
        <is>
          <t>인터뷰모집</t>
        </is>
      </c>
      <c r="G2770" s="91" t="n"/>
      <c r="J2770" s="129" t="n">
        <v>2311</v>
      </c>
    </row>
    <row r="2771" hidden="1" customFormat="1" s="94">
      <c r="B2771" s="128" t="n">
        <v>44167</v>
      </c>
      <c r="C2771" s="94">
        <f>TEXT(B2771,"aaa")</f>
        <v/>
      </c>
      <c r="D2771" s="94" t="inlineStr">
        <is>
          <t>네이버 브랜드검색</t>
        </is>
      </c>
      <c r="E2771" s="94" t="inlineStr">
        <is>
          <t>토너</t>
        </is>
      </c>
      <c r="G2771" s="91" t="n"/>
      <c r="J2771" s="129" t="n">
        <v>50000</v>
      </c>
    </row>
    <row r="2772" customFormat="1" s="94">
      <c r="B2772" s="128" t="n">
        <v>44167</v>
      </c>
      <c r="C2772" s="94">
        <f>TEXT(B2772,"aaa")</f>
        <v/>
      </c>
      <c r="D2772" s="94" t="inlineStr">
        <is>
          <t>카카오광고</t>
        </is>
      </c>
      <c r="E2772" s="94" t="inlineStr">
        <is>
          <t>토너</t>
        </is>
      </c>
      <c r="G2772" s="91" t="n"/>
      <c r="J2772" s="129">
        <f>23430/1.1</f>
        <v/>
      </c>
    </row>
    <row r="2773" hidden="1" customFormat="1" s="94">
      <c r="B2773" s="128" t="n">
        <v>44167</v>
      </c>
      <c r="C2773" s="94">
        <f>TEXT(B2773,"aaa")</f>
        <v/>
      </c>
      <c r="D2773" s="94" t="inlineStr">
        <is>
          <t>유튜브 디스커버리</t>
        </is>
      </c>
      <c r="E2773" s="94" t="inlineStr">
        <is>
          <t>토너</t>
        </is>
      </c>
      <c r="G2773" s="91" t="n"/>
      <c r="J2773" s="129" t="n">
        <v>934582</v>
      </c>
    </row>
    <row r="2774" hidden="1" customFormat="1" s="94">
      <c r="B2774" s="128" t="n">
        <v>44167</v>
      </c>
      <c r="C2774" s="94">
        <f>TEXT(B2774,"aaa")</f>
        <v/>
      </c>
      <c r="D2774" s="94" t="inlineStr">
        <is>
          <t>네이버 쇼핑검색</t>
        </is>
      </c>
      <c r="G2774" s="91" t="n"/>
      <c r="J2774" s="129">
        <f>59224/1.1</f>
        <v/>
      </c>
    </row>
    <row r="2775" hidden="1" customFormat="1" s="94">
      <c r="B2775" s="128" t="n">
        <v>44167</v>
      </c>
      <c r="C2775" s="94">
        <f>TEXT(B2775,"aaa")</f>
        <v/>
      </c>
      <c r="D2775" s="94" t="inlineStr">
        <is>
          <t>네이버 GFA</t>
        </is>
      </c>
      <c r="E2775" s="94" t="inlineStr">
        <is>
          <t>토너</t>
        </is>
      </c>
      <c r="G2775" s="91" t="n"/>
      <c r="J2775" s="129">
        <f>156496/1.1</f>
        <v/>
      </c>
      <c r="K2775" s="127" t="n"/>
      <c r="M2775" s="145" t="n"/>
    </row>
    <row r="2776" hidden="1" customFormat="1" s="94">
      <c r="B2776" s="128" t="n">
        <v>44167</v>
      </c>
      <c r="C2776" s="94">
        <f>TEXT(B2776,"aaa")</f>
        <v/>
      </c>
      <c r="D2776" s="94" t="inlineStr">
        <is>
          <t>네이버 GFA</t>
        </is>
      </c>
      <c r="E2776" s="94" t="inlineStr">
        <is>
          <t>토너패드</t>
        </is>
      </c>
      <c r="G2776" s="91" t="n"/>
      <c r="J2776" s="129">
        <f>1517800/1.1</f>
        <v/>
      </c>
    </row>
    <row r="2777" hidden="1" customFormat="1" s="94">
      <c r="B2777" s="128" t="n">
        <v>44168</v>
      </c>
      <c r="C2777" s="94">
        <f>TEXT(B2777,"aaa")</f>
        <v/>
      </c>
      <c r="D2777" s="94" t="inlineStr">
        <is>
          <t>페이스북/인스타그램</t>
        </is>
      </c>
      <c r="E2777" s="94" t="inlineStr">
        <is>
          <t>토너패드</t>
        </is>
      </c>
      <c r="G2777" s="91" t="n"/>
      <c r="J2777" s="129">
        <f>1154317+148065</f>
        <v/>
      </c>
    </row>
    <row r="2778" hidden="1" customFormat="1" s="94">
      <c r="B2778" s="128" t="n">
        <v>44168</v>
      </c>
      <c r="C2778" s="94">
        <f>TEXT(B2778,"aaa")</f>
        <v/>
      </c>
      <c r="D2778" s="94" t="inlineStr">
        <is>
          <t>페이스북/인스타그램</t>
        </is>
      </c>
      <c r="E2778" s="94" t="inlineStr">
        <is>
          <t>토너</t>
        </is>
      </c>
      <c r="G2778" s="91" t="n"/>
      <c r="J2778" s="129" t="n">
        <v>431376</v>
      </c>
    </row>
    <row r="2779" hidden="1" customFormat="1" s="94">
      <c r="B2779" s="128" t="n">
        <v>44168</v>
      </c>
      <c r="C2779" s="94">
        <f>TEXT(B2779,"aaa")</f>
        <v/>
      </c>
      <c r="D2779" s="94" t="inlineStr">
        <is>
          <t>페이스북/인스타그램</t>
        </is>
      </c>
      <c r="E2779" s="94" t="inlineStr">
        <is>
          <t>랄라블라</t>
        </is>
      </c>
      <c r="G2779" s="91" t="n"/>
      <c r="J2779" s="129" t="n">
        <v>34551</v>
      </c>
    </row>
    <row r="2780" hidden="1" customFormat="1" s="94">
      <c r="B2780" s="128" t="n">
        <v>44168</v>
      </c>
      <c r="C2780" s="94">
        <f>TEXT(B2780,"aaa")</f>
        <v/>
      </c>
      <c r="D2780" s="94" t="inlineStr">
        <is>
          <t>네이버 브랜드검색</t>
        </is>
      </c>
      <c r="E2780" s="94" t="inlineStr">
        <is>
          <t>토너</t>
        </is>
      </c>
      <c r="G2780" s="91" t="n"/>
      <c r="J2780" s="129" t="n">
        <v>50000</v>
      </c>
    </row>
    <row r="2781" customFormat="1" s="94">
      <c r="B2781" s="128" t="n">
        <v>44168</v>
      </c>
      <c r="C2781" s="94">
        <f>TEXT(B2781,"aaa")</f>
        <v/>
      </c>
      <c r="D2781" s="94" t="inlineStr">
        <is>
          <t>카카오광고</t>
        </is>
      </c>
      <c r="E2781" s="94" t="inlineStr">
        <is>
          <t>토너</t>
        </is>
      </c>
      <c r="G2781" s="91" t="n"/>
      <c r="J2781" s="129">
        <f>20812/1.1</f>
        <v/>
      </c>
    </row>
    <row r="2782" hidden="1" customFormat="1" s="94">
      <c r="B2782" s="128" t="n">
        <v>44168</v>
      </c>
      <c r="C2782" s="94">
        <f>TEXT(B2782,"aaa")</f>
        <v/>
      </c>
      <c r="D2782" s="94" t="inlineStr">
        <is>
          <t>유튜브 디스커버리</t>
        </is>
      </c>
      <c r="E2782" s="94" t="inlineStr">
        <is>
          <t>토너</t>
        </is>
      </c>
      <c r="G2782" s="91" t="n"/>
      <c r="J2782" s="129" t="n">
        <v>889380</v>
      </c>
    </row>
    <row r="2783" hidden="1" customFormat="1" s="94">
      <c r="B2783" s="128" t="n">
        <v>44168</v>
      </c>
      <c r="C2783" s="94">
        <f>TEXT(B2783,"aaa")</f>
        <v/>
      </c>
      <c r="D2783" s="94" t="inlineStr">
        <is>
          <t>네이버 쇼핑검색</t>
        </is>
      </c>
      <c r="G2783" s="91" t="n"/>
      <c r="J2783" s="129">
        <f>63668/1.1</f>
        <v/>
      </c>
    </row>
    <row r="2784" hidden="1" customFormat="1" s="94">
      <c r="B2784" s="128" t="n">
        <v>44168</v>
      </c>
      <c r="C2784" s="94">
        <f>TEXT(B2784,"aaa")</f>
        <v/>
      </c>
      <c r="D2784" s="94" t="inlineStr">
        <is>
          <t>네이버 GFA</t>
        </is>
      </c>
      <c r="E2784" s="94" t="inlineStr">
        <is>
          <t>토너</t>
        </is>
      </c>
      <c r="G2784" s="91" t="n"/>
      <c r="J2784" s="129">
        <f>123810/1.1</f>
        <v/>
      </c>
      <c r="K2784" s="127" t="n"/>
      <c r="M2784" s="145" t="n"/>
    </row>
    <row r="2785" hidden="1" customFormat="1" s="94">
      <c r="B2785" s="128" t="n">
        <v>44168</v>
      </c>
      <c r="C2785" s="94">
        <f>TEXT(B2785,"aaa")</f>
        <v/>
      </c>
      <c r="D2785" s="94" t="inlineStr">
        <is>
          <t>네이버 GFA</t>
        </is>
      </c>
      <c r="E2785" s="94" t="inlineStr">
        <is>
          <t>토너패드</t>
        </is>
      </c>
      <c r="G2785" s="91" t="n"/>
      <c r="J2785" s="129">
        <f>1848242/1.1</f>
        <v/>
      </c>
    </row>
    <row r="2786" hidden="1" customFormat="1" s="94">
      <c r="B2786" s="128" t="n">
        <v>44169</v>
      </c>
      <c r="C2786" s="94">
        <f>TEXT(B2786,"aaa")</f>
        <v/>
      </c>
      <c r="D2786" s="94" t="inlineStr">
        <is>
          <t>페이스북/인스타그램</t>
        </is>
      </c>
      <c r="E2786" s="94" t="inlineStr">
        <is>
          <t>토너패드</t>
        </is>
      </c>
      <c r="G2786" s="91" t="n"/>
      <c r="J2786" s="129" t="n">
        <v>1170195</v>
      </c>
    </row>
    <row r="2787" hidden="1" customFormat="1" s="94">
      <c r="B2787" s="128" t="n">
        <v>44170</v>
      </c>
      <c r="C2787" s="94">
        <f>TEXT(B2787,"aaa")</f>
        <v/>
      </c>
      <c r="D2787" s="94" t="inlineStr">
        <is>
          <t>페이스북/인스타그램</t>
        </is>
      </c>
      <c r="E2787" s="94" t="inlineStr">
        <is>
          <t>토너패드</t>
        </is>
      </c>
      <c r="G2787" s="91" t="n"/>
      <c r="J2787" s="129" t="n">
        <v>727778</v>
      </c>
    </row>
    <row r="2788" hidden="1" customFormat="1" s="94">
      <c r="B2788" s="128" t="n">
        <v>44171</v>
      </c>
      <c r="C2788" s="94">
        <f>TEXT(B2788,"aaa")</f>
        <v/>
      </c>
      <c r="D2788" s="94" t="inlineStr">
        <is>
          <t>페이스북/인스타그램</t>
        </is>
      </c>
      <c r="E2788" s="94" t="inlineStr">
        <is>
          <t>토너패드</t>
        </is>
      </c>
      <c r="G2788" s="91" t="n"/>
      <c r="J2788" s="129" t="n">
        <v>1059336</v>
      </c>
    </row>
    <row r="2789" hidden="1" customFormat="1" s="94">
      <c r="B2789" s="128" t="n">
        <v>44169</v>
      </c>
      <c r="C2789" s="94">
        <f>TEXT(B2789,"aaa")</f>
        <v/>
      </c>
      <c r="D2789" s="94" t="inlineStr">
        <is>
          <t>페이스북/인스타그램</t>
        </is>
      </c>
      <c r="E2789" s="94" t="inlineStr">
        <is>
          <t>토너</t>
        </is>
      </c>
      <c r="G2789" s="91" t="n"/>
      <c r="J2789" s="129" t="n">
        <v>415294</v>
      </c>
    </row>
    <row r="2790" hidden="1" customFormat="1" s="94">
      <c r="B2790" s="128" t="n">
        <v>44170</v>
      </c>
      <c r="C2790" s="94">
        <f>TEXT(B2790,"aaa")</f>
        <v/>
      </c>
      <c r="D2790" s="94" t="inlineStr">
        <is>
          <t>페이스북/인스타그램</t>
        </is>
      </c>
      <c r="E2790" s="94" t="inlineStr">
        <is>
          <t>토너</t>
        </is>
      </c>
      <c r="G2790" s="91" t="n"/>
      <c r="J2790" s="129" t="n">
        <v>289894</v>
      </c>
    </row>
    <row r="2791" hidden="1" customFormat="1" s="94">
      <c r="B2791" s="128" t="n">
        <v>44171</v>
      </c>
      <c r="C2791" s="94">
        <f>TEXT(B2791,"aaa")</f>
        <v/>
      </c>
      <c r="D2791" s="94" t="inlineStr">
        <is>
          <t>페이스북/인스타그램</t>
        </is>
      </c>
      <c r="E2791" s="94" t="inlineStr">
        <is>
          <t>토너</t>
        </is>
      </c>
      <c r="G2791" s="91" t="n"/>
      <c r="J2791" s="129" t="n">
        <v>451685</v>
      </c>
    </row>
    <row r="2792" hidden="1" customFormat="1" s="94">
      <c r="B2792" s="128" t="n">
        <v>44169</v>
      </c>
      <c r="C2792" s="94">
        <f>TEXT(B2792,"aaa")</f>
        <v/>
      </c>
      <c r="D2792" s="94" t="inlineStr">
        <is>
          <t>페이스북/인스타그램</t>
        </is>
      </c>
      <c r="E2792" s="94" t="inlineStr">
        <is>
          <t>랄라블라</t>
        </is>
      </c>
      <c r="G2792" s="91" t="n"/>
      <c r="J2792" s="129" t="n">
        <v>26235</v>
      </c>
    </row>
    <row r="2793" hidden="1" customFormat="1" s="94">
      <c r="B2793" s="128" t="n">
        <v>44170</v>
      </c>
      <c r="C2793" s="94">
        <f>TEXT(B2793,"aaa")</f>
        <v/>
      </c>
      <c r="D2793" s="94" t="inlineStr">
        <is>
          <t>페이스북/인스타그램</t>
        </is>
      </c>
      <c r="E2793" s="94" t="inlineStr">
        <is>
          <t>랄라블라</t>
        </is>
      </c>
      <c r="G2793" s="91" t="n"/>
      <c r="J2793" s="129" t="n">
        <v>14539</v>
      </c>
    </row>
    <row r="2794" hidden="1" customFormat="1" s="94">
      <c r="B2794" s="128" t="n">
        <v>44171</v>
      </c>
      <c r="C2794" s="94">
        <f>TEXT(B2794,"aaa")</f>
        <v/>
      </c>
      <c r="D2794" s="94" t="inlineStr">
        <is>
          <t>페이스북/인스타그램</t>
        </is>
      </c>
      <c r="E2794" s="94" t="inlineStr">
        <is>
          <t>랄라블라</t>
        </is>
      </c>
      <c r="G2794" s="91" t="n"/>
      <c r="J2794" s="129" t="n">
        <v>20426</v>
      </c>
    </row>
    <row r="2795" hidden="1" customFormat="1" s="94">
      <c r="B2795" s="128" t="n">
        <v>44169</v>
      </c>
      <c r="C2795" s="94">
        <f>TEXT(B2795,"aaa")</f>
        <v/>
      </c>
      <c r="D2795" s="94" t="inlineStr">
        <is>
          <t>네이버 브랜드검색</t>
        </is>
      </c>
      <c r="E2795" s="94" t="inlineStr">
        <is>
          <t>토너</t>
        </is>
      </c>
      <c r="G2795" s="91" t="n"/>
      <c r="J2795" s="129" t="n">
        <v>50000</v>
      </c>
    </row>
    <row r="2796" hidden="1" customFormat="1" s="94">
      <c r="B2796" s="128" t="n">
        <v>44170</v>
      </c>
      <c r="C2796" s="94">
        <f>TEXT(B2796,"aaa")</f>
        <v/>
      </c>
      <c r="D2796" s="94" t="inlineStr">
        <is>
          <t>네이버 브랜드검색</t>
        </is>
      </c>
      <c r="E2796" s="94" t="inlineStr">
        <is>
          <t>토너</t>
        </is>
      </c>
      <c r="G2796" s="91" t="n"/>
      <c r="J2796" s="129" t="n">
        <v>50000</v>
      </c>
    </row>
    <row r="2797" hidden="1" customFormat="1" s="94">
      <c r="B2797" s="128" t="n">
        <v>44171</v>
      </c>
      <c r="C2797" s="94">
        <f>TEXT(B2797,"aaa")</f>
        <v/>
      </c>
      <c r="D2797" s="94" t="inlineStr">
        <is>
          <t>네이버 브랜드검색</t>
        </is>
      </c>
      <c r="E2797" s="94" t="inlineStr">
        <is>
          <t>토너</t>
        </is>
      </c>
      <c r="G2797" s="91" t="n"/>
      <c r="J2797" s="129" t="n">
        <v>50000</v>
      </c>
    </row>
    <row r="2798" customFormat="1" s="94">
      <c r="B2798" s="128" t="n">
        <v>44169</v>
      </c>
      <c r="C2798" s="94">
        <f>TEXT(B2798,"aaa")</f>
        <v/>
      </c>
      <c r="D2798" s="94" t="inlineStr">
        <is>
          <t>카카오광고</t>
        </is>
      </c>
      <c r="E2798" s="94" t="inlineStr">
        <is>
          <t>토너</t>
        </is>
      </c>
      <c r="G2798" s="91" t="n"/>
      <c r="J2798" s="129" t="n">
        <v>19240</v>
      </c>
      <c r="K2798" s="145" t="n"/>
    </row>
    <row r="2799" customFormat="1" s="94">
      <c r="B2799" s="128" t="n">
        <v>44170</v>
      </c>
      <c r="C2799" s="94">
        <f>TEXT(B2799,"aaa")</f>
        <v/>
      </c>
      <c r="D2799" s="94" t="inlineStr">
        <is>
          <t>카카오광고</t>
        </is>
      </c>
      <c r="E2799" s="94" t="inlineStr">
        <is>
          <t>토너</t>
        </is>
      </c>
      <c r="G2799" s="91" t="n"/>
      <c r="J2799" s="129" t="n">
        <v>18450</v>
      </c>
      <c r="K2799" s="145" t="n"/>
    </row>
    <row r="2800" customFormat="1" s="94">
      <c r="B2800" s="128" t="n">
        <v>44171</v>
      </c>
      <c r="C2800" s="94">
        <f>TEXT(B2800,"aaa")</f>
        <v/>
      </c>
      <c r="D2800" s="94" t="inlineStr">
        <is>
          <t>카카오광고</t>
        </is>
      </c>
      <c r="E2800" s="94" t="inlineStr">
        <is>
          <t>토너</t>
        </is>
      </c>
      <c r="G2800" s="91" t="n"/>
      <c r="J2800" s="129" t="n">
        <v>20100</v>
      </c>
      <c r="K2800" s="145" t="n"/>
    </row>
    <row r="2801" hidden="1" customFormat="1" s="94">
      <c r="B2801" s="128" t="n">
        <v>44169</v>
      </c>
      <c r="C2801" s="94">
        <f>TEXT(B2801,"aaa")</f>
        <v/>
      </c>
      <c r="D2801" s="94" t="inlineStr">
        <is>
          <t>유튜브 디스커버리</t>
        </is>
      </c>
      <c r="E2801" s="94" t="inlineStr">
        <is>
          <t>토너</t>
        </is>
      </c>
      <c r="G2801" s="91" t="n"/>
      <c r="J2801" s="129" t="n">
        <v>405589</v>
      </c>
    </row>
    <row r="2802" hidden="1" customFormat="1" s="94">
      <c r="B2802" s="128" t="n">
        <v>44170</v>
      </c>
      <c r="C2802" s="94">
        <f>TEXT(B2802,"aaa")</f>
        <v/>
      </c>
      <c r="D2802" s="94" t="inlineStr">
        <is>
          <t>유튜브 디스커버리</t>
        </is>
      </c>
      <c r="E2802" s="94" t="inlineStr">
        <is>
          <t>토너</t>
        </is>
      </c>
      <c r="G2802" s="91" t="n"/>
      <c r="J2802" s="129" t="n">
        <v>50220</v>
      </c>
    </row>
    <row r="2803" hidden="1" customFormat="1" s="94">
      <c r="B2803" s="128" t="n">
        <v>44171</v>
      </c>
      <c r="C2803" s="94">
        <f>TEXT(B2803,"aaa")</f>
        <v/>
      </c>
      <c r="D2803" s="94" t="inlineStr">
        <is>
          <t>유튜브 디스커버리</t>
        </is>
      </c>
      <c r="E2803" s="94" t="inlineStr">
        <is>
          <t>토너</t>
        </is>
      </c>
      <c r="G2803" s="91" t="n"/>
      <c r="J2803" s="129" t="n">
        <v>915343</v>
      </c>
    </row>
    <row r="2804" hidden="1" customFormat="1" s="94">
      <c r="B2804" s="128" t="n">
        <v>44169</v>
      </c>
      <c r="C2804" s="94">
        <f>TEXT(B2804,"aaa")</f>
        <v/>
      </c>
      <c r="D2804" s="94" t="inlineStr">
        <is>
          <t>네이버 쇼핑검색</t>
        </is>
      </c>
      <c r="G2804" s="91" t="n"/>
      <c r="J2804" s="129" t="n">
        <v>55519.99999999999</v>
      </c>
      <c r="K2804" s="145" t="n"/>
    </row>
    <row r="2805" hidden="1" customFormat="1" s="94">
      <c r="B2805" s="128" t="n">
        <v>44170</v>
      </c>
      <c r="C2805" s="94">
        <f>TEXT(B2805,"aaa")</f>
        <v/>
      </c>
      <c r="D2805" s="94" t="inlineStr">
        <is>
          <t>네이버 쇼핑검색</t>
        </is>
      </c>
      <c r="G2805" s="91" t="n"/>
      <c r="J2805" s="129" t="n">
        <v>45859.99999999999</v>
      </c>
      <c r="K2805" s="145" t="n"/>
    </row>
    <row r="2806" hidden="1" customFormat="1" s="94">
      <c r="B2806" s="128" t="n">
        <v>44171</v>
      </c>
      <c r="C2806" s="94">
        <f>TEXT(B2806,"aaa")</f>
        <v/>
      </c>
      <c r="D2806" s="94" t="inlineStr">
        <is>
          <t>네이버 쇼핑검색</t>
        </is>
      </c>
      <c r="G2806" s="91" t="n"/>
      <c r="J2806" s="129" t="n">
        <v>54209.99999999999</v>
      </c>
      <c r="K2806" s="145" t="n"/>
    </row>
    <row r="2807" hidden="1" customFormat="1" s="94">
      <c r="B2807" s="128" t="n">
        <v>44169</v>
      </c>
      <c r="C2807" s="94">
        <f>TEXT(B2807,"aaa")</f>
        <v/>
      </c>
      <c r="D2807" s="94" t="inlineStr">
        <is>
          <t>네이버 GFA</t>
        </is>
      </c>
      <c r="E2807" s="94" t="inlineStr">
        <is>
          <t>토너</t>
        </is>
      </c>
      <c r="G2807" s="91" t="n"/>
      <c r="J2807" s="129" t="n">
        <v>103876.3636363636</v>
      </c>
      <c r="K2807" s="127" t="n"/>
      <c r="M2807" s="145" t="n"/>
    </row>
    <row r="2808" hidden="1" customFormat="1" s="94">
      <c r="B2808" s="128" t="n">
        <v>44170</v>
      </c>
      <c r="C2808" s="94">
        <f>TEXT(B2808,"aaa")</f>
        <v/>
      </c>
      <c r="D2808" s="94" t="inlineStr">
        <is>
          <t>네이버 GFA</t>
        </is>
      </c>
      <c r="E2808" s="94" t="inlineStr">
        <is>
          <t>토너</t>
        </is>
      </c>
      <c r="G2808" s="91" t="n"/>
      <c r="J2808" s="129" t="n">
        <v>51640.90909090909</v>
      </c>
      <c r="K2808" s="127" t="n"/>
      <c r="M2808" s="145" t="n"/>
    </row>
    <row r="2809" hidden="1" customFormat="1" s="94">
      <c r="B2809" s="128" t="n">
        <v>44171</v>
      </c>
      <c r="C2809" s="94">
        <f>TEXT(B2809,"aaa")</f>
        <v/>
      </c>
      <c r="D2809" s="94" t="inlineStr">
        <is>
          <t>네이버 GFA</t>
        </is>
      </c>
      <c r="E2809" s="94" t="inlineStr">
        <is>
          <t>토너</t>
        </is>
      </c>
      <c r="G2809" s="91" t="n"/>
      <c r="J2809" s="129" t="n">
        <v>86579.09090909091</v>
      </c>
      <c r="K2809" s="127" t="n"/>
      <c r="M2809" s="145" t="n"/>
    </row>
    <row r="2810" hidden="1" customFormat="1" s="94">
      <c r="B2810" s="128" t="n">
        <v>44169</v>
      </c>
      <c r="C2810" s="94">
        <f>TEXT(B2810,"aaa")</f>
        <v/>
      </c>
      <c r="D2810" s="94" t="inlineStr">
        <is>
          <t>네이버 GFA</t>
        </is>
      </c>
      <c r="E2810" s="94" t="inlineStr">
        <is>
          <t>토너패드</t>
        </is>
      </c>
      <c r="G2810" s="91" t="n"/>
      <c r="J2810" s="129" t="n">
        <v>992682.7272727272</v>
      </c>
    </row>
    <row r="2811" hidden="1" customFormat="1" s="94">
      <c r="B2811" s="128" t="n">
        <v>44170</v>
      </c>
      <c r="C2811" s="94">
        <f>TEXT(B2811,"aaa")</f>
        <v/>
      </c>
      <c r="D2811" s="94" t="inlineStr">
        <is>
          <t>네이버 GFA</t>
        </is>
      </c>
      <c r="E2811" s="94" t="inlineStr">
        <is>
          <t>토너패드</t>
        </is>
      </c>
      <c r="G2811" s="91" t="n"/>
      <c r="J2811" s="129" t="n">
        <v>1009000</v>
      </c>
    </row>
    <row r="2812" hidden="1" customFormat="1" s="94">
      <c r="B2812" s="128" t="n">
        <v>44171</v>
      </c>
      <c r="C2812" s="94">
        <f>TEXT(B2812,"aaa")</f>
        <v/>
      </c>
      <c r="D2812" s="94" t="inlineStr">
        <is>
          <t>네이버 GFA</t>
        </is>
      </c>
      <c r="E2812" s="94" t="inlineStr">
        <is>
          <t>토너패드</t>
        </is>
      </c>
      <c r="G2812" s="91" t="n"/>
      <c r="J2812" s="129" t="n">
        <v>1401953.636363636</v>
      </c>
    </row>
    <row r="2813" hidden="1" customFormat="1" s="94">
      <c r="B2813" s="128" t="n">
        <v>44172</v>
      </c>
      <c r="C2813" s="94">
        <f>TEXT(B2813,"aaa")</f>
        <v/>
      </c>
      <c r="D2813" s="94" t="inlineStr">
        <is>
          <t>페이스북/인스타그램</t>
        </is>
      </c>
      <c r="E2813" s="94" t="inlineStr">
        <is>
          <t>토너패드</t>
        </is>
      </c>
      <c r="G2813" s="91" t="n"/>
      <c r="J2813" s="129">
        <f>887918+55496+1129881</f>
        <v/>
      </c>
    </row>
    <row r="2814" hidden="1" customFormat="1" s="94">
      <c r="B2814" s="128" t="n">
        <v>44172</v>
      </c>
      <c r="C2814" s="94">
        <f>TEXT(B2814,"aaa")</f>
        <v/>
      </c>
      <c r="D2814" s="94" t="inlineStr">
        <is>
          <t>페이스북/인스타그램</t>
        </is>
      </c>
      <c r="E2814" s="94" t="inlineStr">
        <is>
          <t>토너</t>
        </is>
      </c>
      <c r="G2814" s="91" t="n"/>
      <c r="J2814" s="129" t="n">
        <v>594494</v>
      </c>
    </row>
    <row r="2815" hidden="1" customFormat="1" s="94">
      <c r="B2815" s="128" t="n">
        <v>44172</v>
      </c>
      <c r="C2815" s="94">
        <f>TEXT(B2815,"aaa")</f>
        <v/>
      </c>
      <c r="D2815" s="94" t="inlineStr">
        <is>
          <t>페이스북/인스타그램</t>
        </is>
      </c>
      <c r="E2815" s="94" t="inlineStr">
        <is>
          <t>랄라블라</t>
        </is>
      </c>
      <c r="G2815" s="91" t="n"/>
      <c r="J2815" s="129" t="n">
        <v>27255</v>
      </c>
    </row>
    <row r="2816" hidden="1" customFormat="1" s="94">
      <c r="B2816" s="128" t="n">
        <v>44172</v>
      </c>
      <c r="C2816" s="94">
        <f>TEXT(B2816,"aaa")</f>
        <v/>
      </c>
      <c r="D2816" s="94" t="inlineStr">
        <is>
          <t>네이버 브랜드검색</t>
        </is>
      </c>
      <c r="E2816" s="94" t="inlineStr">
        <is>
          <t>토너</t>
        </is>
      </c>
      <c r="G2816" s="91" t="n"/>
      <c r="J2816" s="129" t="n">
        <v>50000</v>
      </c>
    </row>
    <row r="2817" customFormat="1" s="94">
      <c r="B2817" s="128" t="n">
        <v>44172</v>
      </c>
      <c r="C2817" s="94">
        <f>TEXT(B2817,"aaa")</f>
        <v/>
      </c>
      <c r="D2817" s="94" t="inlineStr">
        <is>
          <t>카카오광고</t>
        </is>
      </c>
      <c r="E2817" s="94" t="inlineStr">
        <is>
          <t>토너</t>
        </is>
      </c>
      <c r="G2817" s="91" t="n"/>
      <c r="J2817" s="129">
        <f>21593/1.1</f>
        <v/>
      </c>
    </row>
    <row r="2818" customFormat="1" s="94">
      <c r="B2818" s="128" t="n">
        <v>44172</v>
      </c>
      <c r="C2818" s="94">
        <f>TEXT(B2818,"aaa")</f>
        <v/>
      </c>
      <c r="D2818" s="94" t="inlineStr">
        <is>
          <t>카카오광고</t>
        </is>
      </c>
      <c r="E2818" s="94" t="inlineStr">
        <is>
          <t>고양이모래품평단</t>
        </is>
      </c>
      <c r="G2818" s="91" t="n"/>
      <c r="J2818" s="129">
        <f>432547.5/1.1</f>
        <v/>
      </c>
    </row>
    <row r="2819" hidden="1" customFormat="1" s="94">
      <c r="B2819" s="128" t="n">
        <v>44172</v>
      </c>
      <c r="C2819" s="94">
        <f>TEXT(B2819,"aaa")</f>
        <v/>
      </c>
      <c r="D2819" s="94" t="inlineStr">
        <is>
          <t>유튜브 디스커버리</t>
        </is>
      </c>
      <c r="E2819" s="94" t="inlineStr">
        <is>
          <t>토너</t>
        </is>
      </c>
      <c r="G2819" s="91" t="n"/>
      <c r="J2819" s="129" t="n">
        <v>789084</v>
      </c>
    </row>
    <row r="2820" hidden="1" customFormat="1" s="94">
      <c r="B2820" s="128" t="n">
        <v>44172</v>
      </c>
      <c r="C2820" s="94">
        <f>TEXT(B2820,"aaa")</f>
        <v/>
      </c>
      <c r="D2820" s="94" t="inlineStr">
        <is>
          <t>네이버 쇼핑검색</t>
        </is>
      </c>
      <c r="G2820" s="91" t="n"/>
      <c r="J2820" s="129">
        <f>78078/1.1</f>
        <v/>
      </c>
    </row>
    <row r="2821" hidden="1" customFormat="1" s="94">
      <c r="B2821" s="128" t="n">
        <v>44172</v>
      </c>
      <c r="C2821" s="94">
        <f>TEXT(B2821,"aaa")</f>
        <v/>
      </c>
      <c r="D2821" s="94" t="inlineStr">
        <is>
          <t>네이버 GFA</t>
        </is>
      </c>
      <c r="E2821" s="94" t="inlineStr">
        <is>
          <t>토너</t>
        </is>
      </c>
      <c r="G2821" s="91" t="n"/>
      <c r="J2821" s="129" t="n">
        <v>88787.27272727272</v>
      </c>
      <c r="K2821" s="127" t="n"/>
      <c r="M2821" s="145" t="n"/>
    </row>
    <row r="2822" hidden="1" customFormat="1" s="94">
      <c r="B2822" s="128" t="n">
        <v>44172</v>
      </c>
      <c r="C2822" s="94">
        <f>TEXT(B2822,"aaa")</f>
        <v/>
      </c>
      <c r="D2822" s="94" t="inlineStr">
        <is>
          <t>네이버 GFA</t>
        </is>
      </c>
      <c r="E2822" s="94" t="inlineStr">
        <is>
          <t>토너패드</t>
        </is>
      </c>
      <c r="G2822" s="91" t="n"/>
      <c r="J2822" s="129" t="n">
        <v>1362062.727272727</v>
      </c>
      <c r="K2822" s="127" t="n"/>
    </row>
    <row r="2823" hidden="1" customFormat="1" s="94">
      <c r="B2823" s="128" t="n">
        <v>44173</v>
      </c>
      <c r="C2823" s="94">
        <f>TEXT(B2823,"aaa")</f>
        <v/>
      </c>
      <c r="D2823" s="94" t="inlineStr">
        <is>
          <t>페이스북/인스타그램</t>
        </is>
      </c>
      <c r="E2823" s="94" t="inlineStr">
        <is>
          <t>토너패드</t>
        </is>
      </c>
      <c r="G2823" s="91" t="n"/>
      <c r="J2823" s="129">
        <f>2004648-29973-699182+118163</f>
        <v/>
      </c>
    </row>
    <row r="2824" hidden="1" customFormat="1" s="94">
      <c r="B2824" s="128" t="n">
        <v>44173</v>
      </c>
      <c r="C2824" s="94">
        <f>TEXT(B2824,"aaa")</f>
        <v/>
      </c>
      <c r="D2824" s="94" t="inlineStr">
        <is>
          <t>페이스북/인스타그램</t>
        </is>
      </c>
      <c r="E2824" s="94" t="inlineStr">
        <is>
          <t>토너</t>
        </is>
      </c>
      <c r="G2824" s="91" t="n"/>
      <c r="J2824" s="129">
        <f>699182+20399</f>
        <v/>
      </c>
    </row>
    <row r="2825" hidden="1" customFormat="1" s="94">
      <c r="B2825" s="128" t="n">
        <v>44173</v>
      </c>
      <c r="C2825" s="94">
        <f>TEXT(B2825,"aaa")</f>
        <v/>
      </c>
      <c r="D2825" s="94" t="inlineStr">
        <is>
          <t>페이스북/인스타그램</t>
        </is>
      </c>
      <c r="E2825" s="94" t="inlineStr">
        <is>
          <t>랄라블라</t>
        </is>
      </c>
      <c r="G2825" s="91" t="n"/>
      <c r="J2825" s="129" t="n">
        <v>29973</v>
      </c>
    </row>
    <row r="2826" hidden="1" customFormat="1" s="94">
      <c r="B2826" s="128" t="n">
        <v>44173</v>
      </c>
      <c r="C2826" s="94">
        <f>TEXT(B2826,"aaa")</f>
        <v/>
      </c>
      <c r="D2826" s="94" t="inlineStr">
        <is>
          <t>네이버 브랜드검색</t>
        </is>
      </c>
      <c r="E2826" s="94" t="inlineStr">
        <is>
          <t>토너</t>
        </is>
      </c>
      <c r="G2826" s="91" t="n"/>
      <c r="J2826" s="129" t="n">
        <v>50000</v>
      </c>
    </row>
    <row r="2827" customFormat="1" s="94">
      <c r="B2827" s="128" t="n">
        <v>44173</v>
      </c>
      <c r="C2827" s="94">
        <f>TEXT(B2827,"aaa")</f>
        <v/>
      </c>
      <c r="D2827" s="94" t="inlineStr">
        <is>
          <t>카카오광고</t>
        </is>
      </c>
      <c r="E2827" s="94" t="inlineStr">
        <is>
          <t>토너</t>
        </is>
      </c>
      <c r="G2827" s="91" t="n"/>
      <c r="J2827" s="129">
        <f>21505/1.1</f>
        <v/>
      </c>
    </row>
    <row r="2828" customFormat="1" s="94">
      <c r="B2828" s="128" t="n">
        <v>44173</v>
      </c>
      <c r="C2828" s="94">
        <f>TEXT(B2828,"aaa")</f>
        <v/>
      </c>
      <c r="D2828" s="94" t="inlineStr">
        <is>
          <t>카카오광고</t>
        </is>
      </c>
      <c r="E2828" s="94" t="inlineStr">
        <is>
          <t>고양이모래품평단</t>
        </is>
      </c>
      <c r="G2828" s="91" t="n"/>
      <c r="J2828" s="129">
        <f>940.5/1.1</f>
        <v/>
      </c>
    </row>
    <row r="2829" hidden="1" customFormat="1" s="94">
      <c r="B2829" s="128" t="n">
        <v>44173</v>
      </c>
      <c r="C2829" s="94">
        <f>TEXT(B2829,"aaa")</f>
        <v/>
      </c>
      <c r="D2829" s="94" t="inlineStr">
        <is>
          <t>유튜브 디스커버리</t>
        </is>
      </c>
      <c r="E2829" s="94" t="inlineStr">
        <is>
          <t>토너</t>
        </is>
      </c>
      <c r="G2829" s="91" t="n"/>
      <c r="J2829" s="129" t="n">
        <v>770309</v>
      </c>
    </row>
    <row r="2830" hidden="1" customFormat="1" s="94">
      <c r="B2830" s="128" t="n">
        <v>44173</v>
      </c>
      <c r="C2830" s="94">
        <f>TEXT(B2830,"aaa")</f>
        <v/>
      </c>
      <c r="D2830" s="94" t="inlineStr">
        <is>
          <t>네이버 쇼핑검색</t>
        </is>
      </c>
      <c r="G2830" s="91" t="n"/>
      <c r="J2830" s="129">
        <f>59455/1.1</f>
        <v/>
      </c>
    </row>
    <row r="2831" hidden="1" customFormat="1" s="94">
      <c r="B2831" s="128" t="n">
        <v>44173</v>
      </c>
      <c r="C2831" s="94">
        <f>TEXT(B2831,"aaa")</f>
        <v/>
      </c>
      <c r="D2831" s="94" t="inlineStr">
        <is>
          <t>네이버 GFA</t>
        </is>
      </c>
      <c r="E2831" s="94" t="inlineStr">
        <is>
          <t>토너</t>
        </is>
      </c>
      <c r="G2831" s="91" t="n"/>
      <c r="J2831" s="129">
        <f>95847/1.1</f>
        <v/>
      </c>
      <c r="K2831" s="127" t="n"/>
      <c r="M2831" s="145" t="n"/>
    </row>
    <row r="2832" hidden="1" customFormat="1" s="94">
      <c r="B2832" s="128" t="n">
        <v>44173</v>
      </c>
      <c r="C2832" s="94">
        <f>TEXT(B2832,"aaa")</f>
        <v/>
      </c>
      <c r="D2832" s="94" t="inlineStr">
        <is>
          <t>네이버 GFA</t>
        </is>
      </c>
      <c r="E2832" s="94" t="inlineStr">
        <is>
          <t>토너패드</t>
        </is>
      </c>
      <c r="G2832" s="91" t="n"/>
      <c r="J2832" s="129">
        <f>1359966/1.1</f>
        <v/>
      </c>
      <c r="K2832" s="127" t="n"/>
    </row>
    <row r="2833" hidden="1" customFormat="1" s="94">
      <c r="B2833" s="128" t="n">
        <v>44174</v>
      </c>
      <c r="C2833" s="94">
        <f>TEXT(B2833,"aaa")</f>
        <v/>
      </c>
      <c r="D2833" s="94" t="inlineStr">
        <is>
          <t>페이스북/인스타그램</t>
        </is>
      </c>
      <c r="E2833" s="94" t="inlineStr">
        <is>
          <t>토너패드</t>
        </is>
      </c>
      <c r="G2833" s="91" t="n"/>
      <c r="J2833" s="129">
        <f>47486+883689+8334</f>
        <v/>
      </c>
    </row>
    <row r="2834" hidden="1" customFormat="1" s="94">
      <c r="B2834" s="128" t="n">
        <v>44174</v>
      </c>
      <c r="C2834" s="94">
        <f>TEXT(B2834,"aaa")</f>
        <v/>
      </c>
      <c r="D2834" s="94" t="inlineStr">
        <is>
          <t>페이스북/인스타그램</t>
        </is>
      </c>
      <c r="E2834" s="94" t="inlineStr">
        <is>
          <t>토너</t>
        </is>
      </c>
      <c r="G2834" s="91" t="n"/>
      <c r="J2834" s="129">
        <f>155926+920596</f>
        <v/>
      </c>
    </row>
    <row r="2835" hidden="1" customFormat="1" s="94">
      <c r="B2835" s="128" t="n">
        <v>44174</v>
      </c>
      <c r="C2835" s="94">
        <f>TEXT(B2835,"aaa")</f>
        <v/>
      </c>
      <c r="D2835" s="94" t="inlineStr">
        <is>
          <t>페이스북/인스타그램</t>
        </is>
      </c>
      <c r="E2835" s="94" t="inlineStr">
        <is>
          <t>랄라블라</t>
        </is>
      </c>
      <c r="G2835" s="91" t="n"/>
      <c r="J2835" s="129" t="n">
        <v>28707</v>
      </c>
    </row>
    <row r="2836" hidden="1" customFormat="1" s="94">
      <c r="B2836" s="128" t="n">
        <v>44174</v>
      </c>
      <c r="C2836" s="94">
        <f>TEXT(B2836,"aaa")</f>
        <v/>
      </c>
      <c r="D2836" s="94" t="inlineStr">
        <is>
          <t>네이버 브랜드검색</t>
        </is>
      </c>
      <c r="E2836" s="94" t="inlineStr">
        <is>
          <t>토너</t>
        </is>
      </c>
      <c r="G2836" s="91" t="n"/>
      <c r="J2836" s="129" t="n">
        <v>50000</v>
      </c>
    </row>
    <row r="2837" customFormat="1" s="94">
      <c r="B2837" s="128" t="n">
        <v>44174</v>
      </c>
      <c r="C2837" s="94">
        <f>TEXT(B2837,"aaa")</f>
        <v/>
      </c>
      <c r="D2837" s="94" t="inlineStr">
        <is>
          <t>카카오광고</t>
        </is>
      </c>
      <c r="E2837" s="94" t="inlineStr">
        <is>
          <t>토너</t>
        </is>
      </c>
      <c r="G2837" s="91" t="n"/>
      <c r="J2837" s="129">
        <f>21681/1.1</f>
        <v/>
      </c>
    </row>
    <row r="2838" customFormat="1" s="94">
      <c r="B2838" s="128" t="n">
        <v>44174</v>
      </c>
      <c r="C2838" s="94">
        <f>TEXT(B2838,"aaa")</f>
        <v/>
      </c>
      <c r="D2838" s="94" t="inlineStr">
        <is>
          <t>카카오광고</t>
        </is>
      </c>
      <c r="E2838" s="94" t="inlineStr">
        <is>
          <t>고양이모래</t>
        </is>
      </c>
      <c r="G2838" s="91" t="n"/>
      <c r="J2838" s="129">
        <f>434494.5/1.1</f>
        <v/>
      </c>
    </row>
    <row r="2839" hidden="1" customFormat="1" s="94">
      <c r="B2839" s="128" t="n">
        <v>44174</v>
      </c>
      <c r="C2839" s="94">
        <f>TEXT(B2839,"aaa")</f>
        <v/>
      </c>
      <c r="D2839" s="94" t="inlineStr">
        <is>
          <t>유튜브 디스커버리</t>
        </is>
      </c>
      <c r="E2839" s="94" t="inlineStr">
        <is>
          <t>토너</t>
        </is>
      </c>
      <c r="G2839" s="91" t="n"/>
      <c r="J2839" s="129" t="n">
        <v>787971</v>
      </c>
    </row>
    <row r="2840" hidden="1" customFormat="1" s="94">
      <c r="B2840" s="128" t="n">
        <v>44174</v>
      </c>
      <c r="C2840" s="94">
        <f>TEXT(B2840,"aaa")</f>
        <v/>
      </c>
      <c r="D2840" s="94" t="inlineStr">
        <is>
          <t>네이버 쇼핑검색</t>
        </is>
      </c>
      <c r="G2840" s="91" t="n"/>
      <c r="J2840" s="129">
        <f>46189/1.1</f>
        <v/>
      </c>
    </row>
    <row r="2841" hidden="1" customFormat="1" s="94">
      <c r="B2841" s="128" t="n">
        <v>44174</v>
      </c>
      <c r="C2841" s="94">
        <f>TEXT(B2841,"aaa")</f>
        <v/>
      </c>
      <c r="D2841" s="94" t="inlineStr">
        <is>
          <t>네이버 GFA</t>
        </is>
      </c>
      <c r="E2841" s="94" t="inlineStr">
        <is>
          <t>토너</t>
        </is>
      </c>
      <c r="G2841" s="91" t="n"/>
      <c r="J2841" s="129">
        <f>98057/1.1</f>
        <v/>
      </c>
      <c r="K2841" s="127" t="n"/>
      <c r="M2841" s="145" t="n"/>
    </row>
    <row r="2842" hidden="1" customFormat="1" s="94">
      <c r="B2842" s="128" t="n">
        <v>44174</v>
      </c>
      <c r="C2842" s="94">
        <f>TEXT(B2842,"aaa")</f>
        <v/>
      </c>
      <c r="D2842" s="94" t="inlineStr">
        <is>
          <t>네이버 GFA</t>
        </is>
      </c>
      <c r="E2842" s="94" t="inlineStr">
        <is>
          <t>토너패드</t>
        </is>
      </c>
      <c r="G2842" s="91" t="n"/>
      <c r="J2842" s="129">
        <f>1500545/1.1</f>
        <v/>
      </c>
      <c r="K2842" s="127" t="n"/>
    </row>
    <row r="2843" hidden="1" customFormat="1" s="94">
      <c r="B2843" s="128" t="n">
        <v>44175</v>
      </c>
      <c r="C2843" s="94">
        <f>TEXT(B2843,"aaa")</f>
        <v/>
      </c>
      <c r="D2843" s="94" t="inlineStr">
        <is>
          <t>페이스북/인스타그램</t>
        </is>
      </c>
      <c r="E2843" s="94" t="inlineStr">
        <is>
          <t>토너패드</t>
        </is>
      </c>
      <c r="G2843" s="91" t="n"/>
      <c r="J2843" s="129" t="n">
        <v>805790</v>
      </c>
    </row>
    <row r="2844" hidden="1" customFormat="1" s="94">
      <c r="B2844" s="128" t="n">
        <v>44175</v>
      </c>
      <c r="C2844" s="94">
        <f>TEXT(B2844,"aaa")</f>
        <v/>
      </c>
      <c r="D2844" s="94" t="inlineStr">
        <is>
          <t>페이스북/인스타그램</t>
        </is>
      </c>
      <c r="E2844" s="94" t="inlineStr">
        <is>
          <t>토너</t>
        </is>
      </c>
      <c r="G2844" s="91" t="n"/>
      <c r="J2844" s="129">
        <f>1038702+285243</f>
        <v/>
      </c>
    </row>
    <row r="2845" hidden="1" customFormat="1" s="94">
      <c r="B2845" s="128" t="n">
        <v>44175</v>
      </c>
      <c r="C2845" s="94">
        <f>TEXT(B2845,"aaa")</f>
        <v/>
      </c>
      <c r="D2845" s="94" t="inlineStr">
        <is>
          <t>페이스북/인스타그램</t>
        </is>
      </c>
      <c r="E2845" s="94" t="inlineStr">
        <is>
          <t>랄라블라</t>
        </is>
      </c>
      <c r="G2845" s="91" t="n"/>
      <c r="J2845" s="129" t="n">
        <v>29653</v>
      </c>
    </row>
    <row r="2846" hidden="1" customFormat="1" s="94">
      <c r="B2846" s="128" t="n">
        <v>44175</v>
      </c>
      <c r="C2846" s="94">
        <f>TEXT(B2846,"aaa")</f>
        <v/>
      </c>
      <c r="D2846" s="94" t="inlineStr">
        <is>
          <t>네이버 브랜드검색</t>
        </is>
      </c>
      <c r="E2846" s="94" t="inlineStr">
        <is>
          <t>토너</t>
        </is>
      </c>
      <c r="G2846" s="91" t="n"/>
      <c r="J2846" s="129" t="n">
        <v>50000</v>
      </c>
    </row>
    <row r="2847" customFormat="1" s="94">
      <c r="B2847" s="128" t="n">
        <v>44175</v>
      </c>
      <c r="C2847" s="94">
        <f>TEXT(B2847,"aaa")</f>
        <v/>
      </c>
      <c r="D2847" s="94" t="inlineStr">
        <is>
          <t>카카오광고</t>
        </is>
      </c>
      <c r="E2847" s="94" t="inlineStr">
        <is>
          <t>토너</t>
        </is>
      </c>
      <c r="G2847" s="91" t="n"/>
      <c r="J2847" s="129" t="n">
        <v>22748</v>
      </c>
    </row>
    <row r="2848" hidden="1" customFormat="1" s="94">
      <c r="B2848" s="128" t="n">
        <v>44175</v>
      </c>
      <c r="C2848" s="94">
        <f>TEXT(B2848,"aaa")</f>
        <v/>
      </c>
      <c r="D2848" s="94" t="inlineStr">
        <is>
          <t>유튜브 디스커버리</t>
        </is>
      </c>
      <c r="E2848" s="94" t="inlineStr">
        <is>
          <t>토너</t>
        </is>
      </c>
      <c r="G2848" s="91" t="n"/>
      <c r="J2848" s="129" t="n">
        <v>617778</v>
      </c>
    </row>
    <row r="2849" hidden="1" customFormat="1" s="94">
      <c r="B2849" s="128" t="n">
        <v>44175</v>
      </c>
      <c r="C2849" s="94">
        <f>TEXT(B2849,"aaa")</f>
        <v/>
      </c>
      <c r="D2849" s="94" t="inlineStr">
        <is>
          <t>네이버 쇼핑검색</t>
        </is>
      </c>
      <c r="G2849" s="91" t="n"/>
      <c r="J2849" s="129" t="n">
        <v>38010</v>
      </c>
    </row>
    <row r="2850" hidden="1" customFormat="1" s="94">
      <c r="B2850" s="128" t="n">
        <v>44175</v>
      </c>
      <c r="C2850" s="94">
        <f>TEXT(B2850,"aaa")</f>
        <v/>
      </c>
      <c r="D2850" s="94" t="inlineStr">
        <is>
          <t>네이버 GFA</t>
        </is>
      </c>
      <c r="E2850" s="94" t="inlineStr">
        <is>
          <t>토너</t>
        </is>
      </c>
      <c r="G2850" s="91" t="n"/>
      <c r="J2850" s="129">
        <f>89736/1.1</f>
        <v/>
      </c>
      <c r="K2850" s="127" t="n"/>
      <c r="M2850" s="145" t="n"/>
    </row>
    <row r="2851" hidden="1" customFormat="1" s="94">
      <c r="B2851" s="128" t="n">
        <v>44175</v>
      </c>
      <c r="C2851" s="94">
        <f>TEXT(B2851,"aaa")</f>
        <v/>
      </c>
      <c r="D2851" s="94" t="inlineStr">
        <is>
          <t>네이버 GFA</t>
        </is>
      </c>
      <c r="E2851" s="94" t="inlineStr">
        <is>
          <t>토너패드</t>
        </is>
      </c>
      <c r="G2851" s="91" t="n"/>
      <c r="J2851" s="129">
        <f>1294456/1.1</f>
        <v/>
      </c>
      <c r="K2851" s="127" t="n"/>
    </row>
    <row r="2852" hidden="1" customFormat="1" s="94">
      <c r="B2852" s="128" t="n">
        <v>44176</v>
      </c>
      <c r="C2852" s="94">
        <f>TEXT(B2852,"aaa")</f>
        <v/>
      </c>
      <c r="D2852" s="94" t="inlineStr">
        <is>
          <t>네이버 브랜드검색</t>
        </is>
      </c>
      <c r="E2852" s="94" t="inlineStr">
        <is>
          <t>토너</t>
        </is>
      </c>
      <c r="G2852" s="91" t="n"/>
      <c r="J2852" s="129" t="n">
        <v>50000</v>
      </c>
    </row>
    <row r="2853" hidden="1" customFormat="1" s="94">
      <c r="B2853" s="128" t="n">
        <v>44177</v>
      </c>
      <c r="C2853" s="94">
        <f>TEXT(B2853,"aaa")</f>
        <v/>
      </c>
      <c r="D2853" s="94" t="inlineStr">
        <is>
          <t>네이버 브랜드검색</t>
        </is>
      </c>
      <c r="E2853" s="94" t="inlineStr">
        <is>
          <t>토너</t>
        </is>
      </c>
      <c r="G2853" s="91" t="n"/>
      <c r="J2853" s="129" t="n">
        <v>50000</v>
      </c>
    </row>
    <row r="2854" hidden="1" customFormat="1" s="94">
      <c r="B2854" s="128" t="n">
        <v>44178</v>
      </c>
      <c r="C2854" s="94">
        <f>TEXT(B2854,"aaa")</f>
        <v/>
      </c>
      <c r="D2854" s="94" t="inlineStr">
        <is>
          <t>네이버 브랜드검색</t>
        </is>
      </c>
      <c r="E2854" s="94" t="inlineStr">
        <is>
          <t>토너</t>
        </is>
      </c>
      <c r="G2854" s="91" t="n"/>
      <c r="J2854" s="129" t="n">
        <v>50000</v>
      </c>
    </row>
    <row r="2855" hidden="1" customFormat="1" s="94">
      <c r="B2855" s="128" t="n">
        <v>44176</v>
      </c>
      <c r="C2855" s="94">
        <f>TEXT(B2855,"aaa")</f>
        <v/>
      </c>
      <c r="D2855" s="94" t="inlineStr">
        <is>
          <t>페이스북/인스타그램</t>
        </is>
      </c>
      <c r="E2855" s="94" t="inlineStr">
        <is>
          <t>랄라블라</t>
        </is>
      </c>
      <c r="G2855" s="91" t="n"/>
      <c r="J2855" s="129" t="n">
        <v>29765</v>
      </c>
    </row>
    <row r="2856" hidden="1" customFormat="1" s="94">
      <c r="B2856" s="128" t="n">
        <v>44177</v>
      </c>
      <c r="C2856" s="94">
        <f>TEXT(B2856,"aaa")</f>
        <v/>
      </c>
      <c r="D2856" s="94" t="inlineStr">
        <is>
          <t>페이스북/인스타그램</t>
        </is>
      </c>
      <c r="E2856" s="94" t="inlineStr">
        <is>
          <t>랄라블라</t>
        </is>
      </c>
      <c r="G2856" s="91" t="n"/>
      <c r="J2856" s="129" t="n">
        <v>32830</v>
      </c>
    </row>
    <row r="2857" hidden="1" customFormat="1" s="94">
      <c r="B2857" s="128" t="n">
        <v>44178</v>
      </c>
      <c r="C2857" s="94">
        <f>TEXT(B2857,"aaa")</f>
        <v/>
      </c>
      <c r="D2857" s="94" t="inlineStr">
        <is>
          <t>페이스북/인스타그램</t>
        </is>
      </c>
      <c r="E2857" s="94" t="inlineStr">
        <is>
          <t>랄라블라</t>
        </is>
      </c>
      <c r="G2857" s="91" t="n"/>
      <c r="J2857" s="129" t="n">
        <v>29945</v>
      </c>
    </row>
    <row r="2858" hidden="1" customFormat="1" s="94">
      <c r="B2858" s="128" t="n">
        <v>44176</v>
      </c>
      <c r="C2858" s="94">
        <f>TEXT(B2858,"aaa")</f>
        <v/>
      </c>
      <c r="D2858" s="94" t="inlineStr">
        <is>
          <t>페이스북/인스타그램</t>
        </is>
      </c>
      <c r="E2858" s="94" t="inlineStr">
        <is>
          <t>토너</t>
        </is>
      </c>
      <c r="G2858" s="91" t="n"/>
      <c r="J2858" s="129" t="n">
        <v>1036025</v>
      </c>
    </row>
    <row r="2859" hidden="1" customFormat="1" s="94">
      <c r="B2859" s="128" t="n">
        <v>44177</v>
      </c>
      <c r="C2859" s="94">
        <f>TEXT(B2859,"aaa")</f>
        <v/>
      </c>
      <c r="D2859" s="94" t="inlineStr">
        <is>
          <t>페이스북/인스타그램</t>
        </is>
      </c>
      <c r="E2859" s="94" t="inlineStr">
        <is>
          <t>토너</t>
        </is>
      </c>
      <c r="G2859" s="91" t="n"/>
      <c r="J2859" s="129" t="n">
        <v>651098</v>
      </c>
    </row>
    <row r="2860" hidden="1" customFormat="1" s="94">
      <c r="B2860" s="128" t="n">
        <v>44178</v>
      </c>
      <c r="C2860" s="94">
        <f>TEXT(B2860,"aaa")</f>
        <v/>
      </c>
      <c r="D2860" s="94" t="inlineStr">
        <is>
          <t>페이스북/인스타그램</t>
        </is>
      </c>
      <c r="E2860" s="94" t="inlineStr">
        <is>
          <t>토너</t>
        </is>
      </c>
      <c r="G2860" s="91" t="n"/>
      <c r="J2860" s="129" t="n">
        <v>690242</v>
      </c>
    </row>
    <row r="2861" hidden="1" customFormat="1" s="94">
      <c r="B2861" s="128" t="n">
        <v>44176</v>
      </c>
      <c r="C2861" s="94">
        <f>TEXT(B2861,"aaa")</f>
        <v/>
      </c>
      <c r="D2861" s="94" t="inlineStr">
        <is>
          <t>페이스북/인스타그램</t>
        </is>
      </c>
      <c r="E2861" s="94" t="inlineStr">
        <is>
          <t>토너패드</t>
        </is>
      </c>
      <c r="G2861" s="91" t="n"/>
      <c r="J2861" s="129" t="n">
        <v>680743</v>
      </c>
    </row>
    <row r="2862" hidden="1" customFormat="1" s="94">
      <c r="B2862" s="128" t="n">
        <v>44177</v>
      </c>
      <c r="C2862" s="94">
        <f>TEXT(B2862,"aaa")</f>
        <v/>
      </c>
      <c r="D2862" s="94" t="inlineStr">
        <is>
          <t>페이스북/인스타그램</t>
        </is>
      </c>
      <c r="E2862" s="94" t="inlineStr">
        <is>
          <t>토너패드</t>
        </is>
      </c>
      <c r="G2862" s="91" t="n"/>
      <c r="J2862" s="129" t="n">
        <v>459554</v>
      </c>
    </row>
    <row r="2863" hidden="1" customFormat="1" s="94">
      <c r="B2863" s="128" t="n">
        <v>44178</v>
      </c>
      <c r="C2863" s="94">
        <f>TEXT(B2863,"aaa")</f>
        <v/>
      </c>
      <c r="D2863" s="94" t="inlineStr">
        <is>
          <t>페이스북/인스타그램</t>
        </is>
      </c>
      <c r="E2863" s="94" t="inlineStr">
        <is>
          <t>토너패드</t>
        </is>
      </c>
      <c r="G2863" s="91" t="n"/>
      <c r="J2863" s="129" t="n">
        <v>534059</v>
      </c>
    </row>
    <row r="2864" customFormat="1" s="94">
      <c r="B2864" s="128" t="n">
        <v>44176</v>
      </c>
      <c r="C2864" s="94">
        <f>TEXT(B2864,"aaa")</f>
        <v/>
      </c>
      <c r="D2864" s="94" t="inlineStr">
        <is>
          <t>카카오광고</t>
        </is>
      </c>
      <c r="E2864" s="94" t="inlineStr">
        <is>
          <t>토너</t>
        </is>
      </c>
      <c r="G2864" s="91" t="n"/>
      <c r="J2864" s="129" t="n">
        <v>20840</v>
      </c>
      <c r="K2864" s="145" t="n"/>
    </row>
    <row r="2865" customFormat="1" s="94">
      <c r="B2865" s="128" t="n">
        <v>44177</v>
      </c>
      <c r="C2865" s="94">
        <f>TEXT(B2865,"aaa")</f>
        <v/>
      </c>
      <c r="D2865" s="94" t="inlineStr">
        <is>
          <t>카카오광고</t>
        </is>
      </c>
      <c r="E2865" s="94" t="inlineStr">
        <is>
          <t>토너</t>
        </is>
      </c>
      <c r="G2865" s="91" t="n"/>
      <c r="J2865" s="129" t="n">
        <v>18830</v>
      </c>
      <c r="K2865" s="145" t="n"/>
    </row>
    <row r="2866" customFormat="1" s="94">
      <c r="B2866" s="128" t="n">
        <v>44178</v>
      </c>
      <c r="C2866" s="94">
        <f>TEXT(B2866,"aaa")</f>
        <v/>
      </c>
      <c r="D2866" s="94" t="inlineStr">
        <is>
          <t>카카오광고</t>
        </is>
      </c>
      <c r="E2866" s="94" t="inlineStr">
        <is>
          <t>토너</t>
        </is>
      </c>
      <c r="G2866" s="91" t="n"/>
      <c r="J2866" s="129" t="n">
        <v>18950</v>
      </c>
      <c r="K2866" s="145" t="n"/>
    </row>
    <row r="2867" hidden="1" customFormat="1" s="94">
      <c r="B2867" s="128" t="n">
        <v>44176</v>
      </c>
      <c r="C2867" s="94">
        <f>TEXT(B2867,"aaa")</f>
        <v/>
      </c>
      <c r="D2867" s="94" t="inlineStr">
        <is>
          <t>유튜브 디스커버리</t>
        </is>
      </c>
      <c r="E2867" s="94" t="inlineStr">
        <is>
          <t>토너</t>
        </is>
      </c>
      <c r="G2867" s="91" t="n"/>
      <c r="J2867" s="129" t="n">
        <v>182561</v>
      </c>
    </row>
    <row r="2868" hidden="1" customFormat="1" s="94">
      <c r="B2868" s="128" t="n">
        <v>44178</v>
      </c>
      <c r="C2868" s="94">
        <f>TEXT(B2868,"aaa")</f>
        <v/>
      </c>
      <c r="D2868" s="94" t="inlineStr">
        <is>
          <t>유튜브 디스커버리</t>
        </is>
      </c>
      <c r="E2868" s="94" t="inlineStr">
        <is>
          <t>토너</t>
        </is>
      </c>
      <c r="G2868" s="91" t="n"/>
      <c r="J2868" s="129" t="n">
        <v>1095387</v>
      </c>
    </row>
    <row r="2869" hidden="1" customFormat="1" s="94">
      <c r="B2869" s="128" t="n">
        <v>44176</v>
      </c>
      <c r="C2869" s="94">
        <f>TEXT(B2869,"aaa")</f>
        <v/>
      </c>
      <c r="D2869" s="94" t="inlineStr">
        <is>
          <t>네이버 쇼핑검색</t>
        </is>
      </c>
      <c r="G2869" s="91" t="n"/>
      <c r="J2869" s="129" t="n">
        <v>43560</v>
      </c>
      <c r="K2869" s="145" t="n"/>
    </row>
    <row r="2870" hidden="1" customFormat="1" s="94">
      <c r="B2870" s="128" t="n">
        <v>44177</v>
      </c>
      <c r="C2870" s="94">
        <f>TEXT(B2870,"aaa")</f>
        <v/>
      </c>
      <c r="D2870" s="94" t="inlineStr">
        <is>
          <t>네이버 쇼핑검색</t>
        </is>
      </c>
      <c r="G2870" s="91" t="n"/>
      <c r="J2870" s="129" t="n">
        <v>38790</v>
      </c>
      <c r="K2870" s="145" t="n"/>
    </row>
    <row r="2871" hidden="1" customFormat="1" s="94">
      <c r="B2871" s="128" t="n">
        <v>44178</v>
      </c>
      <c r="C2871" s="94">
        <f>TEXT(B2871,"aaa")</f>
        <v/>
      </c>
      <c r="D2871" s="94" t="inlineStr">
        <is>
          <t>네이버 쇼핑검색</t>
        </is>
      </c>
      <c r="G2871" s="91" t="n"/>
      <c r="J2871" s="129" t="n">
        <v>48489.99999999999</v>
      </c>
      <c r="K2871" s="145" t="n"/>
    </row>
    <row r="2872" hidden="1" customFormat="1" s="94">
      <c r="B2872" s="128" t="n">
        <v>44176</v>
      </c>
      <c r="C2872" s="94">
        <f>TEXT(B2872,"aaa")</f>
        <v/>
      </c>
      <c r="D2872" s="94" t="inlineStr">
        <is>
          <t>네이버 GFA</t>
        </is>
      </c>
      <c r="E2872" s="94" t="inlineStr">
        <is>
          <t>토너</t>
        </is>
      </c>
      <c r="G2872" s="91" t="n"/>
      <c r="J2872" s="129" t="n">
        <v>108913.6363636364</v>
      </c>
      <c r="K2872" s="127" t="n"/>
      <c r="M2872" s="145" t="n"/>
    </row>
    <row r="2873" hidden="1" customFormat="1" s="94">
      <c r="B2873" s="128" t="n">
        <v>44177</v>
      </c>
      <c r="C2873" s="94">
        <f>TEXT(B2873,"aaa")</f>
        <v/>
      </c>
      <c r="D2873" s="94" t="inlineStr">
        <is>
          <t>네이버 GFA</t>
        </is>
      </c>
      <c r="E2873" s="94" t="inlineStr">
        <is>
          <t>토너</t>
        </is>
      </c>
      <c r="G2873" s="91" t="n"/>
      <c r="J2873" s="129" t="n">
        <v>115110.9090909091</v>
      </c>
      <c r="K2873" s="127" t="n"/>
      <c r="M2873" s="145" t="n"/>
    </row>
    <row r="2874" hidden="1" customFormat="1" s="94">
      <c r="B2874" s="128" t="n">
        <v>44178</v>
      </c>
      <c r="C2874" s="94">
        <f>TEXT(B2874,"aaa")</f>
        <v/>
      </c>
      <c r="D2874" s="94" t="inlineStr">
        <is>
          <t>네이버 GFA</t>
        </is>
      </c>
      <c r="E2874" s="94" t="inlineStr">
        <is>
          <t>토너</t>
        </is>
      </c>
      <c r="G2874" s="91" t="n"/>
      <c r="J2874" s="129" t="n">
        <v>115298.1818181818</v>
      </c>
      <c r="K2874" s="127" t="n"/>
      <c r="M2874" s="145" t="n"/>
    </row>
    <row r="2875" hidden="1" customFormat="1" s="94">
      <c r="B2875" s="128" t="n">
        <v>44176</v>
      </c>
      <c r="C2875" s="94">
        <f>TEXT(B2875,"aaa")</f>
        <v/>
      </c>
      <c r="D2875" s="94" t="inlineStr">
        <is>
          <t>네이버 GFA</t>
        </is>
      </c>
      <c r="E2875" s="94" t="inlineStr">
        <is>
          <t>토너패드</t>
        </is>
      </c>
      <c r="G2875" s="91" t="n"/>
      <c r="J2875" s="129" t="n">
        <v>738482.7272727272</v>
      </c>
      <c r="K2875" s="127" t="n"/>
    </row>
    <row r="2876" hidden="1" customFormat="1" s="94">
      <c r="B2876" s="128" t="n">
        <v>44177</v>
      </c>
      <c r="C2876" s="94">
        <f>TEXT(B2876,"aaa")</f>
        <v/>
      </c>
      <c r="D2876" s="94" t="inlineStr">
        <is>
          <t>네이버 GFA</t>
        </is>
      </c>
      <c r="E2876" s="94" t="inlineStr">
        <is>
          <t>토너패드</t>
        </is>
      </c>
      <c r="G2876" s="91" t="n"/>
      <c r="J2876" s="129" t="n">
        <v>402244.5454545454</v>
      </c>
      <c r="K2876" s="127" t="n"/>
    </row>
    <row r="2877" hidden="1" customFormat="1" s="94">
      <c r="B2877" s="128" t="n">
        <v>44178</v>
      </c>
      <c r="C2877" s="94">
        <f>TEXT(B2877,"aaa")</f>
        <v/>
      </c>
      <c r="D2877" s="94" t="inlineStr">
        <is>
          <t>네이버 GFA</t>
        </is>
      </c>
      <c r="E2877" s="94" t="inlineStr">
        <is>
          <t>토너패드</t>
        </is>
      </c>
      <c r="G2877" s="91" t="n"/>
      <c r="J2877" s="129" t="n">
        <v>456658.1818181818</v>
      </c>
      <c r="K2877" s="127" t="n"/>
    </row>
    <row r="2878" hidden="1" customFormat="1" s="94">
      <c r="B2878" s="128" t="n">
        <v>44179</v>
      </c>
      <c r="C2878" s="94">
        <f>TEXT(B2878,"aaa")</f>
        <v/>
      </c>
      <c r="D2878" s="94" t="inlineStr">
        <is>
          <t>네이버 브랜드검색</t>
        </is>
      </c>
      <c r="E2878" s="94" t="inlineStr">
        <is>
          <t>토너</t>
        </is>
      </c>
      <c r="G2878" s="91" t="n"/>
      <c r="J2878" s="129" t="n">
        <v>50000</v>
      </c>
    </row>
    <row r="2879" hidden="1" customFormat="1" s="94">
      <c r="B2879" s="128" t="n">
        <v>44179</v>
      </c>
      <c r="C2879" s="94">
        <f>TEXT(B2879,"aaa")</f>
        <v/>
      </c>
      <c r="D2879" s="94" t="inlineStr">
        <is>
          <t>페이스북/인스타그램</t>
        </is>
      </c>
      <c r="E2879" s="94" t="inlineStr">
        <is>
          <t>토너패드</t>
        </is>
      </c>
      <c r="G2879" s="91" t="n"/>
      <c r="J2879" s="129">
        <f>667461</f>
        <v/>
      </c>
    </row>
    <row r="2880" hidden="1" customFormat="1" s="94">
      <c r="B2880" s="128" t="n">
        <v>44179</v>
      </c>
      <c r="C2880" s="94">
        <f>TEXT(B2880,"aaa")</f>
        <v/>
      </c>
      <c r="D2880" s="94" t="inlineStr">
        <is>
          <t>페이스북/인스타그램</t>
        </is>
      </c>
      <c r="E2880" s="94" t="inlineStr">
        <is>
          <t>토너</t>
        </is>
      </c>
      <c r="G2880" s="91" t="n"/>
      <c r="J2880" s="129">
        <f>524339+184565</f>
        <v/>
      </c>
    </row>
    <row r="2881" hidden="1" customFormat="1" s="94">
      <c r="B2881" s="128" t="n">
        <v>44179</v>
      </c>
      <c r="C2881" s="94">
        <f>TEXT(B2881,"aaa")</f>
        <v/>
      </c>
      <c r="D2881" s="94" t="inlineStr">
        <is>
          <t>페이스북/인스타그램</t>
        </is>
      </c>
      <c r="E2881" s="94" t="inlineStr">
        <is>
          <t>랄라블라</t>
        </is>
      </c>
      <c r="G2881" s="91" t="n"/>
      <c r="J2881" s="129" t="n">
        <v>28398</v>
      </c>
    </row>
    <row r="2882" hidden="1" customFormat="1" s="94">
      <c r="B2882" s="128" t="n">
        <v>44179</v>
      </c>
      <c r="C2882" s="94">
        <f>TEXT(B2882,"aaa")</f>
        <v/>
      </c>
      <c r="D2882" s="94" t="inlineStr">
        <is>
          <t>유튜브 디스커버리</t>
        </is>
      </c>
      <c r="E2882" s="94" t="inlineStr">
        <is>
          <t>토너</t>
        </is>
      </c>
      <c r="G2882" s="91" t="n"/>
      <c r="J2882" s="129" t="n">
        <v>600833</v>
      </c>
    </row>
    <row r="2883" hidden="1" customFormat="1" s="94">
      <c r="B2883" s="128" t="n">
        <v>44179</v>
      </c>
      <c r="C2883" s="94">
        <f>TEXT(B2883,"aaa")</f>
        <v/>
      </c>
      <c r="D2883" s="94" t="inlineStr">
        <is>
          <t>네이버 쇼핑검색</t>
        </is>
      </c>
      <c r="G2883" s="91" t="n"/>
      <c r="J2883" s="129">
        <f>50083/1.1</f>
        <v/>
      </c>
    </row>
    <row r="2884" customFormat="1" s="94">
      <c r="B2884" s="128" t="n">
        <v>44179</v>
      </c>
      <c r="C2884" s="94">
        <f>TEXT(B2884,"aaa")</f>
        <v/>
      </c>
      <c r="D2884" s="94" t="inlineStr">
        <is>
          <t>카카오광고</t>
        </is>
      </c>
      <c r="E2884" s="94" t="inlineStr">
        <is>
          <t>토너</t>
        </is>
      </c>
      <c r="G2884" s="91" t="n"/>
      <c r="J2884" s="129">
        <f>21274/1.1</f>
        <v/>
      </c>
    </row>
    <row r="2885" hidden="1" customFormat="1" s="94">
      <c r="B2885" s="128" t="n">
        <v>44179</v>
      </c>
      <c r="C2885" s="94">
        <f>TEXT(B2885,"aaa")</f>
        <v/>
      </c>
      <c r="D2885" s="94" t="inlineStr">
        <is>
          <t>네이버 GFA</t>
        </is>
      </c>
      <c r="E2885" s="94" t="inlineStr">
        <is>
          <t>토너</t>
        </is>
      </c>
      <c r="G2885" s="91" t="n"/>
      <c r="J2885" s="129" t="n">
        <v>294351.8181818182</v>
      </c>
      <c r="K2885" s="127" t="n"/>
      <c r="M2885" s="145" t="n"/>
    </row>
    <row r="2886" hidden="1" customFormat="1" s="94">
      <c r="B2886" s="128" t="n">
        <v>44179</v>
      </c>
      <c r="C2886" s="94">
        <f>TEXT(B2886,"aaa")</f>
        <v/>
      </c>
      <c r="D2886" s="94" t="inlineStr">
        <is>
          <t>네이버 GFA</t>
        </is>
      </c>
      <c r="E2886" s="94" t="inlineStr">
        <is>
          <t>토너패드</t>
        </is>
      </c>
      <c r="G2886" s="91" t="n"/>
      <c r="J2886" s="129" t="n">
        <v>803529.9999999999</v>
      </c>
      <c r="K2886" s="127" t="n"/>
    </row>
    <row r="2887" hidden="1" customFormat="1" s="94">
      <c r="B2887" s="128" t="n">
        <v>44180</v>
      </c>
      <c r="C2887" s="94">
        <f>TEXT(B2887,"aaa")</f>
        <v/>
      </c>
      <c r="D2887" s="94" t="inlineStr">
        <is>
          <t>네이버 브랜드검색</t>
        </is>
      </c>
      <c r="E2887" s="94" t="inlineStr">
        <is>
          <t>토너</t>
        </is>
      </c>
      <c r="G2887" s="91" t="n"/>
      <c r="J2887" s="129" t="n">
        <v>50000</v>
      </c>
    </row>
    <row r="2888" hidden="1" customFormat="1" s="94">
      <c r="B2888" s="128" t="n">
        <v>44180</v>
      </c>
      <c r="C2888" s="94">
        <f>TEXT(B2888,"aaa")</f>
        <v/>
      </c>
      <c r="D2888" s="94" t="inlineStr">
        <is>
          <t>페이스북/인스타그램</t>
        </is>
      </c>
      <c r="E2888" s="94" t="inlineStr">
        <is>
          <t>토너패드</t>
        </is>
      </c>
      <c r="G2888" s="91" t="n"/>
      <c r="J2888" s="129" t="n">
        <v>617038</v>
      </c>
    </row>
    <row r="2889" hidden="1" customFormat="1" s="94">
      <c r="B2889" s="128" t="n">
        <v>44180</v>
      </c>
      <c r="C2889" s="94">
        <f>TEXT(B2889,"aaa")</f>
        <v/>
      </c>
      <c r="D2889" s="94" t="inlineStr">
        <is>
          <t>페이스북/인스타그램</t>
        </is>
      </c>
      <c r="E2889" s="94" t="inlineStr">
        <is>
          <t>토너</t>
        </is>
      </c>
      <c r="G2889" s="91" t="n"/>
      <c r="J2889" s="129">
        <f>505692+192063</f>
        <v/>
      </c>
    </row>
    <row r="2890" hidden="1" customFormat="1" s="94">
      <c r="B2890" s="128" t="n">
        <v>44180</v>
      </c>
      <c r="C2890" s="94">
        <f>TEXT(B2890,"aaa")</f>
        <v/>
      </c>
      <c r="D2890" s="94" t="inlineStr">
        <is>
          <t>페이스북/인스타그램</t>
        </is>
      </c>
      <c r="E2890" s="94" t="inlineStr">
        <is>
          <t>랄라블라</t>
        </is>
      </c>
      <c r="G2890" s="91" t="n"/>
      <c r="J2890" s="129" t="n">
        <v>28614</v>
      </c>
    </row>
    <row r="2891" hidden="1" customFormat="1" s="94">
      <c r="B2891" s="128" t="n">
        <v>44180</v>
      </c>
      <c r="C2891" s="94">
        <f>TEXT(B2891,"aaa")</f>
        <v/>
      </c>
      <c r="D2891" s="94" t="inlineStr">
        <is>
          <t>유튜브 디스커버리</t>
        </is>
      </c>
      <c r="E2891" s="94" t="inlineStr">
        <is>
          <t>토너</t>
        </is>
      </c>
      <c r="G2891" s="91" t="n"/>
      <c r="J2891" s="129" t="n">
        <v>511588</v>
      </c>
    </row>
    <row r="2892" hidden="1" customFormat="1" s="94">
      <c r="B2892" s="128" t="n">
        <v>44180</v>
      </c>
      <c r="C2892" s="94">
        <f>TEXT(B2892,"aaa")</f>
        <v/>
      </c>
      <c r="D2892" s="94" t="inlineStr">
        <is>
          <t>네이버 쇼핑검색</t>
        </is>
      </c>
      <c r="G2892" s="91" t="n"/>
      <c r="J2892" s="129" t="n">
        <v>41870</v>
      </c>
      <c r="K2892" s="145" t="n"/>
    </row>
    <row r="2893" customFormat="1" s="94">
      <c r="B2893" s="128" t="n">
        <v>44180</v>
      </c>
      <c r="C2893" s="94">
        <f>TEXT(B2893,"aaa")</f>
        <v/>
      </c>
      <c r="D2893" s="94" t="inlineStr">
        <is>
          <t>카카오광고</t>
        </is>
      </c>
      <c r="E2893" s="94" t="inlineStr">
        <is>
          <t>토너</t>
        </is>
      </c>
      <c r="G2893" s="91" t="n"/>
      <c r="J2893" s="129" t="n">
        <v>19610</v>
      </c>
      <c r="K2893" s="145" t="n"/>
    </row>
    <row r="2894" hidden="1" customFormat="1" s="94">
      <c r="B2894" s="128" t="n">
        <v>44180</v>
      </c>
      <c r="C2894" s="94">
        <f>TEXT(B2894,"aaa")</f>
        <v/>
      </c>
      <c r="D2894" s="94" t="inlineStr">
        <is>
          <t>네이버 GFA</t>
        </is>
      </c>
      <c r="E2894" s="94" t="inlineStr">
        <is>
          <t>토너</t>
        </is>
      </c>
      <c r="G2894" s="91" t="n"/>
      <c r="J2894" s="129" t="n">
        <v>74514.54545454544</v>
      </c>
      <c r="K2894" s="145" t="n"/>
      <c r="M2894" s="145" t="n"/>
    </row>
    <row r="2895" hidden="1" customFormat="1" s="94">
      <c r="B2895" s="128" t="n">
        <v>44180</v>
      </c>
      <c r="C2895" s="94">
        <f>TEXT(B2895,"aaa")</f>
        <v/>
      </c>
      <c r="D2895" s="94" t="inlineStr">
        <is>
          <t>네이버 GFA</t>
        </is>
      </c>
      <c r="E2895" s="94" t="inlineStr">
        <is>
          <t>토너패드</t>
        </is>
      </c>
      <c r="G2895" s="91" t="n"/>
      <c r="J2895" s="129" t="n">
        <v>827286.3636363635</v>
      </c>
      <c r="K2895" s="145" t="n"/>
    </row>
    <row r="2896" hidden="1" customFormat="1" s="94">
      <c r="B2896" s="128" t="n">
        <v>44181</v>
      </c>
      <c r="C2896" s="94">
        <f>TEXT(B2896,"aaa")</f>
        <v/>
      </c>
      <c r="D2896" s="94" t="inlineStr">
        <is>
          <t>네이버 브랜드검색</t>
        </is>
      </c>
      <c r="E2896" s="94" t="inlineStr">
        <is>
          <t>토너</t>
        </is>
      </c>
      <c r="G2896" s="91" t="n"/>
      <c r="J2896" s="129" t="n">
        <v>50000</v>
      </c>
    </row>
    <row r="2897" hidden="1" customFormat="1" s="94">
      <c r="B2897" s="128" t="n">
        <v>44181</v>
      </c>
      <c r="C2897" s="94">
        <f>TEXT(B2897,"aaa")</f>
        <v/>
      </c>
      <c r="D2897" s="94" t="inlineStr">
        <is>
          <t>페이스북/인스타그램</t>
        </is>
      </c>
      <c r="E2897" s="94" t="inlineStr">
        <is>
          <t>토너패드</t>
        </is>
      </c>
      <c r="G2897" s="91" t="n"/>
      <c r="J2897" s="129" t="n">
        <v>351879</v>
      </c>
    </row>
    <row r="2898" hidden="1" customFormat="1" s="94">
      <c r="B2898" s="128" t="n">
        <v>44181</v>
      </c>
      <c r="C2898" s="94">
        <f>TEXT(B2898,"aaa")</f>
        <v/>
      </c>
      <c r="D2898" s="94" t="inlineStr">
        <is>
          <t>페이스북/인스타그램</t>
        </is>
      </c>
      <c r="E2898" s="94" t="inlineStr">
        <is>
          <t>토너</t>
        </is>
      </c>
      <c r="G2898" s="91" t="n"/>
      <c r="J2898" s="129">
        <f>81298+450214</f>
        <v/>
      </c>
    </row>
    <row r="2899" hidden="1" customFormat="1" s="94">
      <c r="B2899" s="128" t="n">
        <v>44181</v>
      </c>
      <c r="C2899" s="94">
        <f>TEXT(B2899,"aaa")</f>
        <v/>
      </c>
      <c r="D2899" s="94" t="inlineStr">
        <is>
          <t>페이스북/인스타그램</t>
        </is>
      </c>
      <c r="E2899" s="94" t="inlineStr">
        <is>
          <t>랄라블라</t>
        </is>
      </c>
      <c r="G2899" s="91" t="n"/>
      <c r="J2899" s="129" t="n">
        <v>29780</v>
      </c>
    </row>
    <row r="2900" hidden="1" customFormat="1" s="94">
      <c r="B2900" s="128" t="n">
        <v>44181</v>
      </c>
      <c r="C2900" s="94">
        <f>TEXT(B2900,"aaa")</f>
        <v/>
      </c>
      <c r="D2900" s="94" t="inlineStr">
        <is>
          <t>유튜브 디스커버리</t>
        </is>
      </c>
      <c r="E2900" s="94" t="inlineStr">
        <is>
          <t>토너</t>
        </is>
      </c>
      <c r="G2900" s="91" t="n"/>
      <c r="J2900" s="129" t="n">
        <v>473220</v>
      </c>
    </row>
    <row r="2901" hidden="1" customFormat="1" s="94">
      <c r="B2901" s="128" t="n">
        <v>44181</v>
      </c>
      <c r="C2901" s="94">
        <f>TEXT(B2901,"aaa")</f>
        <v/>
      </c>
      <c r="D2901" s="94" t="inlineStr">
        <is>
          <t>네이버 쇼핑검색</t>
        </is>
      </c>
      <c r="G2901" s="91" t="n"/>
      <c r="J2901" s="129" t="n">
        <v>53639.99999999999</v>
      </c>
      <c r="K2901" s="145" t="n"/>
    </row>
    <row r="2902" customFormat="1" s="94">
      <c r="B2902" s="128" t="n">
        <v>44181</v>
      </c>
      <c r="C2902" s="94">
        <f>TEXT(B2902,"aaa")</f>
        <v/>
      </c>
      <c r="D2902" s="94" t="inlineStr">
        <is>
          <t>카카오광고</t>
        </is>
      </c>
      <c r="E2902" s="94" t="inlineStr">
        <is>
          <t>토너</t>
        </is>
      </c>
      <c r="G2902" s="91" t="n"/>
      <c r="J2902" s="129" t="n">
        <v>20650</v>
      </c>
      <c r="K2902" s="145" t="n"/>
    </row>
    <row r="2903" hidden="1" customFormat="1" s="94">
      <c r="B2903" s="128" t="n">
        <v>44181</v>
      </c>
      <c r="C2903" s="94">
        <f>TEXT(B2903,"aaa")</f>
        <v/>
      </c>
      <c r="D2903" s="94" t="inlineStr">
        <is>
          <t>네이버 GFA</t>
        </is>
      </c>
      <c r="E2903" s="94" t="inlineStr">
        <is>
          <t>토너</t>
        </is>
      </c>
      <c r="G2903" s="91" t="n"/>
      <c r="J2903" s="129" t="n">
        <v>80195.45454545454</v>
      </c>
      <c r="K2903" s="145" t="n"/>
      <c r="M2903" s="145" t="n"/>
    </row>
    <row r="2904" hidden="1" customFormat="1" s="94">
      <c r="B2904" s="128" t="n">
        <v>44181</v>
      </c>
      <c r="C2904" s="94">
        <f>TEXT(B2904,"aaa")</f>
        <v/>
      </c>
      <c r="D2904" s="94" t="inlineStr">
        <is>
          <t>네이버 GFA</t>
        </is>
      </c>
      <c r="E2904" s="94" t="inlineStr">
        <is>
          <t>토너패드</t>
        </is>
      </c>
      <c r="G2904" s="91" t="n"/>
      <c r="J2904" s="129" t="n">
        <v>1017833.636363636</v>
      </c>
      <c r="K2904" s="145" t="n"/>
    </row>
    <row r="2905" hidden="1" customFormat="1" s="94">
      <c r="B2905" s="128" t="n">
        <v>44182</v>
      </c>
      <c r="C2905" s="94">
        <f>TEXT(B2905,"aaa")</f>
        <v/>
      </c>
      <c r="D2905" s="94" t="inlineStr">
        <is>
          <t>네이버 브랜드검색</t>
        </is>
      </c>
      <c r="E2905" s="94" t="inlineStr">
        <is>
          <t>토너</t>
        </is>
      </c>
      <c r="G2905" s="91" t="n"/>
      <c r="J2905" s="129" t="n">
        <v>50000</v>
      </c>
    </row>
    <row r="2906" hidden="1" customFormat="1" s="94">
      <c r="B2906" s="128" t="n">
        <v>44182</v>
      </c>
      <c r="C2906" s="94">
        <f>TEXT(B2906,"aaa")</f>
        <v/>
      </c>
      <c r="D2906" s="94" t="inlineStr">
        <is>
          <t>페이스북/인스타그램</t>
        </is>
      </c>
      <c r="E2906" s="94" t="inlineStr">
        <is>
          <t>토너패드</t>
        </is>
      </c>
      <c r="G2906" s="91" t="n"/>
      <c r="J2906" s="129" t="n">
        <v>532595</v>
      </c>
    </row>
    <row r="2907" hidden="1" customFormat="1" s="94">
      <c r="B2907" s="128" t="n">
        <v>44182</v>
      </c>
      <c r="C2907" s="94">
        <f>TEXT(B2907,"aaa")</f>
        <v/>
      </c>
      <c r="D2907" s="94" t="inlineStr">
        <is>
          <t>페이스북/인스타그램</t>
        </is>
      </c>
      <c r="E2907" s="94" t="inlineStr">
        <is>
          <t>랄라블라</t>
        </is>
      </c>
      <c r="G2907" s="91" t="n"/>
      <c r="J2907" s="129" t="n">
        <v>29907</v>
      </c>
    </row>
    <row r="2908" hidden="1" customFormat="1" s="94">
      <c r="B2908" s="128" t="n">
        <v>44182</v>
      </c>
      <c r="C2908" s="94">
        <f>TEXT(B2908,"aaa")</f>
        <v/>
      </c>
      <c r="D2908" s="94" t="inlineStr">
        <is>
          <t>페이스북/인스타그램</t>
        </is>
      </c>
      <c r="E2908" s="94" t="inlineStr">
        <is>
          <t>토너</t>
        </is>
      </c>
      <c r="G2908" s="91" t="n"/>
      <c r="J2908" s="129" t="n">
        <v>403242</v>
      </c>
    </row>
    <row r="2909" hidden="1" customFormat="1" s="94">
      <c r="B2909" s="128" t="n">
        <v>44182</v>
      </c>
      <c r="C2909" s="94">
        <f>TEXT(B2909,"aaa")</f>
        <v/>
      </c>
      <c r="D2909" s="94" t="inlineStr">
        <is>
          <t>유튜브 디스커버리</t>
        </is>
      </c>
      <c r="E2909" s="94" t="inlineStr">
        <is>
          <t>토너</t>
        </is>
      </c>
      <c r="G2909" s="91" t="n"/>
      <c r="J2909" s="129" t="n">
        <v>393785</v>
      </c>
    </row>
    <row r="2910" hidden="1" customFormat="1" s="94">
      <c r="B2910" s="128" t="n">
        <v>44182</v>
      </c>
      <c r="C2910" s="94">
        <f>TEXT(B2910,"aaa")</f>
        <v/>
      </c>
      <c r="D2910" s="94" t="inlineStr">
        <is>
          <t>네이버 쇼핑검색</t>
        </is>
      </c>
      <c r="G2910" s="91" t="n"/>
      <c r="J2910" s="129" t="n">
        <v>40238</v>
      </c>
      <c r="K2910" s="145" t="n"/>
    </row>
    <row r="2911" customFormat="1" s="94">
      <c r="B2911" s="128" t="n">
        <v>44182</v>
      </c>
      <c r="C2911" s="94">
        <f>TEXT(B2911,"aaa")</f>
        <v/>
      </c>
      <c r="D2911" s="94" t="inlineStr">
        <is>
          <t>카카오광고</t>
        </is>
      </c>
      <c r="E2911" s="94" t="inlineStr">
        <is>
          <t>토너</t>
        </is>
      </c>
      <c r="G2911" s="91" t="n"/>
      <c r="J2911" s="129" t="n">
        <v>20944</v>
      </c>
      <c r="K2911" s="145" t="n"/>
    </row>
    <row r="2912" hidden="1" customFormat="1" s="94">
      <c r="B2912" s="128" t="n">
        <v>44182</v>
      </c>
      <c r="C2912" s="94">
        <f>TEXT(B2912,"aaa")</f>
        <v/>
      </c>
      <c r="D2912" s="94" t="inlineStr">
        <is>
          <t>네이버 GFA</t>
        </is>
      </c>
      <c r="E2912" s="94" t="inlineStr">
        <is>
          <t>토너</t>
        </is>
      </c>
      <c r="G2912" s="91" t="n"/>
      <c r="J2912" s="129" t="n">
        <v>115568</v>
      </c>
      <c r="K2912" s="145" t="n"/>
      <c r="M2912" s="145" t="n"/>
    </row>
    <row r="2913" hidden="1" customFormat="1" s="94">
      <c r="B2913" s="128" t="n">
        <v>44182</v>
      </c>
      <c r="C2913" s="94">
        <f>TEXT(B2913,"aaa")</f>
        <v/>
      </c>
      <c r="D2913" s="94" t="inlineStr">
        <is>
          <t>네이버 GFA</t>
        </is>
      </c>
      <c r="E2913" s="94" t="inlineStr">
        <is>
          <t>토너패드</t>
        </is>
      </c>
      <c r="G2913" s="91" t="n"/>
      <c r="J2913" s="129" t="n">
        <v>1659017</v>
      </c>
      <c r="K2913" s="145" t="n"/>
    </row>
    <row r="2914" hidden="1" customFormat="1" s="94">
      <c r="B2914" s="128" t="n">
        <v>44183</v>
      </c>
      <c r="C2914" s="94">
        <f>TEXT(B2914,"aaa")</f>
        <v/>
      </c>
      <c r="D2914" s="94" t="inlineStr">
        <is>
          <t>네이버 브랜드검색</t>
        </is>
      </c>
      <c r="E2914" s="94" t="inlineStr">
        <is>
          <t>토너</t>
        </is>
      </c>
      <c r="G2914" s="91" t="n"/>
      <c r="J2914" s="129" t="n">
        <v>50000</v>
      </c>
    </row>
    <row r="2915" hidden="1" customFormat="1" s="94">
      <c r="B2915" s="128" t="n">
        <v>44184</v>
      </c>
      <c r="C2915" s="94">
        <f>TEXT(B2915,"aaa")</f>
        <v/>
      </c>
      <c r="D2915" s="94" t="inlineStr">
        <is>
          <t>네이버 브랜드검색</t>
        </is>
      </c>
      <c r="G2915" s="91" t="n"/>
      <c r="J2915" s="129" t="n">
        <v>50000</v>
      </c>
    </row>
    <row r="2916" hidden="1" customFormat="1" s="94">
      <c r="B2916" s="128" t="n">
        <v>44185</v>
      </c>
      <c r="C2916" s="94">
        <f>TEXT(B2916,"aaa")</f>
        <v/>
      </c>
      <c r="D2916" s="94" t="inlineStr">
        <is>
          <t>네이버 브랜드검색</t>
        </is>
      </c>
      <c r="G2916" s="91" t="n"/>
      <c r="J2916" s="129" t="n">
        <v>50000</v>
      </c>
    </row>
    <row r="2917" hidden="1" customFormat="1" s="94">
      <c r="B2917" s="128" t="n">
        <v>44183</v>
      </c>
      <c r="C2917" s="94">
        <f>TEXT(B2917,"aaa")</f>
        <v/>
      </c>
      <c r="D2917" s="94" t="inlineStr">
        <is>
          <t>페이스북/인스타그램</t>
        </is>
      </c>
      <c r="E2917" s="94" t="inlineStr">
        <is>
          <t>랄라블라</t>
        </is>
      </c>
      <c r="G2917" s="91" t="n"/>
      <c r="J2917" s="129" t="n">
        <v>30117</v>
      </c>
    </row>
    <row r="2918" hidden="1" customFormat="1" s="94">
      <c r="B2918" s="128" t="n">
        <v>44184</v>
      </c>
      <c r="C2918" s="94">
        <f>TEXT(B2918,"aaa")</f>
        <v/>
      </c>
      <c r="D2918" s="94" t="inlineStr">
        <is>
          <t>페이스북/인스타그램</t>
        </is>
      </c>
      <c r="E2918" s="94" t="inlineStr">
        <is>
          <t>랄라블라</t>
        </is>
      </c>
      <c r="G2918" s="91" t="n"/>
      <c r="J2918" s="129" t="n">
        <v>33190</v>
      </c>
    </row>
    <row r="2919" hidden="1" customFormat="1" s="94">
      <c r="B2919" s="128" t="n">
        <v>44185</v>
      </c>
      <c r="C2919" s="94">
        <f>TEXT(B2919,"aaa")</f>
        <v/>
      </c>
      <c r="D2919" s="94" t="inlineStr">
        <is>
          <t>페이스북/인스타그램</t>
        </is>
      </c>
      <c r="E2919" s="94" t="inlineStr">
        <is>
          <t>랄라블라</t>
        </is>
      </c>
      <c r="G2919" s="91" t="n"/>
      <c r="J2919" s="129" t="n">
        <v>29831</v>
      </c>
    </row>
    <row r="2920" hidden="1" customFormat="1" s="94">
      <c r="B2920" s="128" t="n">
        <v>44183</v>
      </c>
      <c r="C2920" s="94">
        <f>TEXT(B2920,"aaa")</f>
        <v/>
      </c>
      <c r="D2920" s="94" t="inlineStr">
        <is>
          <t>페이스북/인스타그램</t>
        </is>
      </c>
      <c r="E2920" s="94" t="inlineStr">
        <is>
          <t>토너</t>
        </is>
      </c>
      <c r="G2920" s="91" t="n"/>
      <c r="J2920" s="129" t="n">
        <v>476717</v>
      </c>
    </row>
    <row r="2921" hidden="1" customFormat="1" s="94">
      <c r="B2921" s="128" t="n">
        <v>44184</v>
      </c>
      <c r="C2921" s="94">
        <f>TEXT(B2921,"aaa")</f>
        <v/>
      </c>
      <c r="D2921" s="94" t="inlineStr">
        <is>
          <t>페이스북/인스타그램</t>
        </is>
      </c>
      <c r="E2921" s="94" t="inlineStr">
        <is>
          <t>토너</t>
        </is>
      </c>
      <c r="G2921" s="91" t="n"/>
      <c r="J2921" s="129" t="n">
        <v>273939</v>
      </c>
    </row>
    <row r="2922" hidden="1" customFormat="1" s="94">
      <c r="B2922" s="128" t="n">
        <v>44185</v>
      </c>
      <c r="C2922" s="94">
        <f>TEXT(B2922,"aaa")</f>
        <v/>
      </c>
      <c r="D2922" s="94" t="inlineStr">
        <is>
          <t>페이스북/인스타그램</t>
        </is>
      </c>
      <c r="E2922" s="94" t="inlineStr">
        <is>
          <t>토너</t>
        </is>
      </c>
      <c r="G2922" s="91" t="n"/>
      <c r="J2922" s="129" t="n">
        <v>441639</v>
      </c>
    </row>
    <row r="2923" hidden="1" customFormat="1" s="94">
      <c r="B2923" s="128" t="n">
        <v>44183</v>
      </c>
      <c r="C2923" s="94">
        <f>TEXT(B2923,"aaa")</f>
        <v/>
      </c>
      <c r="D2923" s="94" t="inlineStr">
        <is>
          <t>페이스북/인스타그램</t>
        </is>
      </c>
      <c r="E2923" s="94" t="inlineStr">
        <is>
          <t>토너패드</t>
        </is>
      </c>
      <c r="G2923" s="91" t="n"/>
      <c r="J2923" s="129" t="n">
        <v>520593</v>
      </c>
    </row>
    <row r="2924" hidden="1" customFormat="1" s="94">
      <c r="B2924" s="128" t="n">
        <v>44184</v>
      </c>
      <c r="C2924" s="94">
        <f>TEXT(B2924,"aaa")</f>
        <v/>
      </c>
      <c r="D2924" s="94" t="inlineStr">
        <is>
          <t>페이스북/인스타그램</t>
        </is>
      </c>
      <c r="E2924" s="94" t="inlineStr">
        <is>
          <t>토너패드</t>
        </is>
      </c>
      <c r="G2924" s="91" t="n"/>
      <c r="J2924" s="129" t="n">
        <v>264465</v>
      </c>
    </row>
    <row r="2925" hidden="1" customFormat="1" s="94">
      <c r="B2925" s="128" t="n">
        <v>44185</v>
      </c>
      <c r="C2925" s="94">
        <f>TEXT(B2925,"aaa")</f>
        <v/>
      </c>
      <c r="D2925" s="94" t="inlineStr">
        <is>
          <t>페이스북/인스타그램</t>
        </is>
      </c>
      <c r="E2925" s="94" t="inlineStr">
        <is>
          <t>토너패드</t>
        </is>
      </c>
      <c r="G2925" s="91" t="n"/>
      <c r="J2925" s="129" t="n">
        <v>390906</v>
      </c>
    </row>
    <row r="2926" hidden="1" customFormat="1" s="94">
      <c r="A2926" s="94" t="inlineStr">
        <is>
          <t>디스커버리_이든크림스킨팩</t>
        </is>
      </c>
      <c r="B2926" s="128" t="n">
        <v>44183</v>
      </c>
      <c r="C2926" s="94">
        <f>TEXT(B2926,"aaa")</f>
        <v/>
      </c>
      <c r="D2926" s="94" t="inlineStr">
        <is>
          <t>유튜브 디스커버리</t>
        </is>
      </c>
      <c r="E2926" s="94" t="inlineStr">
        <is>
          <t>토너</t>
        </is>
      </c>
      <c r="G2926" s="91" t="n"/>
      <c r="J2926" s="129" t="n">
        <v>983</v>
      </c>
    </row>
    <row r="2927" hidden="1" customFormat="1" s="94">
      <c r="A2927" s="94" t="inlineStr">
        <is>
          <t>디스커버리_천서영님_썸네일테스트 #3</t>
        </is>
      </c>
      <c r="B2927" s="128" t="n">
        <v>44183</v>
      </c>
      <c r="C2927" s="94">
        <f>TEXT(B2927,"aaa")</f>
        <v/>
      </c>
      <c r="D2927" s="94" t="inlineStr">
        <is>
          <t>유튜브 디스커버리</t>
        </is>
      </c>
      <c r="E2927" s="94" t="inlineStr">
        <is>
          <t>토너</t>
        </is>
      </c>
      <c r="G2927" s="91" t="n"/>
      <c r="J2927" s="129" t="n">
        <v>208744</v>
      </c>
    </row>
    <row r="2928" hidden="1" customFormat="1" s="94">
      <c r="A2928" s="94" t="inlineStr">
        <is>
          <t>디스커버리_이든크림스킨팩</t>
        </is>
      </c>
      <c r="B2928" s="128" t="n">
        <v>44185</v>
      </c>
      <c r="C2928" s="94">
        <f>TEXT(B2928,"aaa")</f>
        <v/>
      </c>
      <c r="D2928" s="94" t="inlineStr">
        <is>
          <t>유튜브 디스커버리</t>
        </is>
      </c>
      <c r="E2928" s="94" t="inlineStr">
        <is>
          <t>토너</t>
        </is>
      </c>
      <c r="G2928" s="91" t="n"/>
      <c r="J2928" s="129" t="n">
        <v>79344</v>
      </c>
    </row>
    <row r="2929" hidden="1" customFormat="1" s="94">
      <c r="A2929" s="94" t="inlineStr">
        <is>
          <t>디스커버리_채우</t>
        </is>
      </c>
      <c r="B2929" s="128" t="n">
        <v>44185</v>
      </c>
      <c r="C2929" s="94">
        <f>TEXT(B2929,"aaa")</f>
        <v/>
      </c>
      <c r="D2929" s="94" t="inlineStr">
        <is>
          <t>유튜브 디스커버리</t>
        </is>
      </c>
      <c r="E2929" s="94" t="inlineStr">
        <is>
          <t>토너</t>
        </is>
      </c>
      <c r="G2929" s="91" t="n"/>
      <c r="J2929" s="129" t="n">
        <v>197720</v>
      </c>
    </row>
    <row r="2930" hidden="1" customFormat="1" s="94">
      <c r="A2930" s="94" t="inlineStr">
        <is>
          <t>디스커버리_천서영님_썸네일테스트 #3</t>
        </is>
      </c>
      <c r="B2930" s="128" t="n">
        <v>44185</v>
      </c>
      <c r="C2930" s="94">
        <f>TEXT(B2930,"aaa")</f>
        <v/>
      </c>
      <c r="D2930" s="94" t="inlineStr">
        <is>
          <t>유튜브 디스커버리</t>
        </is>
      </c>
      <c r="E2930" s="94" t="inlineStr">
        <is>
          <t>토너</t>
        </is>
      </c>
      <c r="G2930" s="91" t="n"/>
      <c r="J2930" s="129" t="n">
        <v>503223</v>
      </c>
    </row>
    <row r="2931" hidden="1" customFormat="1" s="94">
      <c r="B2931" s="128" t="n">
        <v>44183</v>
      </c>
      <c r="C2931" s="94">
        <f>TEXT(B2931,"aaa")</f>
        <v/>
      </c>
      <c r="D2931" s="94" t="inlineStr">
        <is>
          <t>네이버 쇼핑검색</t>
        </is>
      </c>
      <c r="G2931" s="91" t="n"/>
      <c r="J2931" s="129" t="n">
        <v>55770</v>
      </c>
      <c r="K2931" s="145" t="n"/>
    </row>
    <row r="2932" hidden="1" customFormat="1" s="94">
      <c r="B2932" s="128" t="n">
        <v>44184</v>
      </c>
      <c r="C2932" s="94">
        <f>TEXT(B2932,"aaa")</f>
        <v/>
      </c>
      <c r="D2932" s="94" t="inlineStr">
        <is>
          <t>네이버 쇼핑검색</t>
        </is>
      </c>
      <c r="G2932" s="91" t="n"/>
      <c r="J2932" s="129" t="n">
        <v>58058</v>
      </c>
      <c r="K2932" s="145" t="n"/>
    </row>
    <row r="2933" hidden="1" customFormat="1" s="94">
      <c r="B2933" s="128" t="n">
        <v>44185</v>
      </c>
      <c r="C2933" s="94">
        <f>TEXT(B2933,"aaa")</f>
        <v/>
      </c>
      <c r="D2933" s="94" t="inlineStr">
        <is>
          <t>네이버 쇼핑검색</t>
        </is>
      </c>
      <c r="G2933" s="91" t="n"/>
      <c r="J2933" s="129" t="n">
        <v>77891</v>
      </c>
      <c r="K2933" s="145" t="n"/>
    </row>
    <row r="2934" customFormat="1" s="94">
      <c r="B2934" s="128" t="n">
        <v>44183</v>
      </c>
      <c r="C2934" s="94">
        <f>TEXT(B2934,"aaa")</f>
        <v/>
      </c>
      <c r="D2934" s="94" t="inlineStr">
        <is>
          <t>카카오광고</t>
        </is>
      </c>
      <c r="E2934" s="94" t="inlineStr">
        <is>
          <t>토너</t>
        </is>
      </c>
      <c r="G2934" s="91" t="n"/>
      <c r="J2934" s="129" t="n">
        <v>20933</v>
      </c>
      <c r="K2934" s="145" t="n"/>
    </row>
    <row r="2935" customFormat="1" s="94">
      <c r="B2935" s="128" t="n">
        <v>44184</v>
      </c>
      <c r="C2935" s="94">
        <f>TEXT(B2935,"aaa")</f>
        <v/>
      </c>
      <c r="D2935" s="94" t="inlineStr">
        <is>
          <t>카카오광고</t>
        </is>
      </c>
      <c r="E2935" s="94" t="inlineStr">
        <is>
          <t>토너</t>
        </is>
      </c>
      <c r="G2935" s="91" t="n"/>
      <c r="J2935" s="129" t="n">
        <v>21384</v>
      </c>
      <c r="K2935" s="145" t="n"/>
    </row>
    <row r="2936" customFormat="1" s="94">
      <c r="B2936" s="128" t="n">
        <v>44185</v>
      </c>
      <c r="C2936" s="94">
        <f>TEXT(B2936,"aaa")</f>
        <v/>
      </c>
      <c r="D2936" s="94" t="inlineStr">
        <is>
          <t>카카오광고</t>
        </is>
      </c>
      <c r="E2936" s="94" t="inlineStr">
        <is>
          <t>토너</t>
        </is>
      </c>
      <c r="G2936" s="91" t="n"/>
      <c r="J2936" s="129" t="n">
        <v>20339</v>
      </c>
      <c r="K2936" s="145" t="n"/>
    </row>
    <row r="2937" hidden="1" customFormat="1" s="94">
      <c r="B2937" s="128" t="n">
        <v>44183</v>
      </c>
      <c r="C2937" s="94">
        <f>TEXT(B2937,"aaa")</f>
        <v/>
      </c>
      <c r="D2937" s="94" t="inlineStr">
        <is>
          <t>네이버 GFA</t>
        </is>
      </c>
      <c r="E2937" s="94" t="inlineStr">
        <is>
          <t>토너</t>
        </is>
      </c>
      <c r="G2937" s="91" t="n"/>
      <c r="J2937" s="129" t="n">
        <v>109865</v>
      </c>
      <c r="K2937" s="145" t="n"/>
      <c r="M2937" s="145" t="n"/>
    </row>
    <row r="2938" hidden="1" customFormat="1" s="94">
      <c r="B2938" s="128" t="n">
        <v>44184</v>
      </c>
      <c r="C2938" s="94">
        <f>TEXT(B2938,"aaa")</f>
        <v/>
      </c>
      <c r="D2938" s="94" t="inlineStr">
        <is>
          <t>네이버 GFA</t>
        </is>
      </c>
      <c r="E2938" s="94" t="inlineStr">
        <is>
          <t>토너</t>
        </is>
      </c>
      <c r="G2938" s="91" t="n"/>
      <c r="J2938" s="129" t="n">
        <v>113894</v>
      </c>
      <c r="K2938" s="145" t="n"/>
      <c r="M2938" s="145" t="n"/>
    </row>
    <row r="2939" hidden="1" customFormat="1" s="94">
      <c r="B2939" s="128" t="n">
        <v>44185</v>
      </c>
      <c r="C2939" s="94">
        <f>TEXT(B2939,"aaa")</f>
        <v/>
      </c>
      <c r="D2939" s="94" t="inlineStr">
        <is>
          <t>네이버 GFA</t>
        </is>
      </c>
      <c r="E2939" s="94" t="inlineStr">
        <is>
          <t>토너</t>
        </is>
      </c>
      <c r="G2939" s="91" t="n"/>
      <c r="J2939" s="129" t="n">
        <v>310218</v>
      </c>
      <c r="K2939" s="145" t="n"/>
      <c r="M2939" s="145" t="n"/>
    </row>
    <row r="2940" hidden="1" customFormat="1" s="94">
      <c r="B2940" s="128" t="n">
        <v>44183</v>
      </c>
      <c r="C2940" s="94">
        <f>TEXT(B2940,"aaa")</f>
        <v/>
      </c>
      <c r="D2940" s="94" t="inlineStr">
        <is>
          <t>네이버 GFA</t>
        </is>
      </c>
      <c r="E2940" s="94" t="inlineStr">
        <is>
          <t>토너패드</t>
        </is>
      </c>
      <c r="G2940" s="91" t="n"/>
      <c r="J2940" s="129" t="n">
        <v>3345112</v>
      </c>
      <c r="K2940" s="145" t="n"/>
    </row>
    <row r="2941" hidden="1" customFormat="1" s="94">
      <c r="B2941" s="128" t="n">
        <v>44184</v>
      </c>
      <c r="C2941" s="94">
        <f>TEXT(B2941,"aaa")</f>
        <v/>
      </c>
      <c r="D2941" s="94" t="inlineStr">
        <is>
          <t>네이버 GFA</t>
        </is>
      </c>
      <c r="E2941" s="94" t="inlineStr">
        <is>
          <t>토너패드</t>
        </is>
      </c>
      <c r="G2941" s="91" t="n"/>
      <c r="J2941" s="129" t="n">
        <v>943232</v>
      </c>
      <c r="K2941" s="145" t="n"/>
    </row>
    <row r="2942" hidden="1" customFormat="1" s="94">
      <c r="B2942" s="128" t="n">
        <v>44185</v>
      </c>
      <c r="C2942" s="94">
        <f>TEXT(B2942,"aaa")</f>
        <v/>
      </c>
      <c r="D2942" s="94" t="inlineStr">
        <is>
          <t>네이버 GFA</t>
        </is>
      </c>
      <c r="E2942" s="94" t="inlineStr">
        <is>
          <t>토너패드</t>
        </is>
      </c>
      <c r="G2942" s="91" t="n"/>
      <c r="J2942" s="129" t="n">
        <v>1230760</v>
      </c>
      <c r="K2942" s="145" t="n"/>
    </row>
    <row r="2943" hidden="1" customFormat="1" s="94">
      <c r="B2943" s="128" t="n">
        <v>44186</v>
      </c>
      <c r="C2943" s="94">
        <f>TEXT(B2943,"aaa")</f>
        <v/>
      </c>
      <c r="D2943" s="94" t="inlineStr">
        <is>
          <t>네이버 브랜드검색</t>
        </is>
      </c>
      <c r="E2943" s="94" t="inlineStr">
        <is>
          <t>토너</t>
        </is>
      </c>
      <c r="G2943" s="91" t="n"/>
      <c r="J2943" s="129" t="n">
        <v>50000</v>
      </c>
    </row>
    <row r="2944" hidden="1" customFormat="1" s="94">
      <c r="B2944" s="128" t="n">
        <v>44186</v>
      </c>
      <c r="C2944" s="94">
        <f>TEXT(B2944,"aaa")</f>
        <v/>
      </c>
      <c r="D2944" s="94" t="inlineStr">
        <is>
          <t>페이스북/인스타그램</t>
        </is>
      </c>
      <c r="E2944" s="94" t="inlineStr">
        <is>
          <t>토너패드</t>
        </is>
      </c>
      <c r="G2944" s="91" t="n"/>
      <c r="J2944" s="129" t="n">
        <v>556870</v>
      </c>
    </row>
    <row r="2945" hidden="1" customFormat="1" s="94">
      <c r="B2945" s="128" t="n">
        <v>44186</v>
      </c>
      <c r="C2945" s="94">
        <f>TEXT(B2945,"aaa")</f>
        <v/>
      </c>
      <c r="D2945" s="94" t="inlineStr">
        <is>
          <t>페이스북/인스타그램</t>
        </is>
      </c>
      <c r="E2945" s="94" t="inlineStr">
        <is>
          <t>랄라블라</t>
        </is>
      </c>
      <c r="G2945" s="91" t="n"/>
      <c r="J2945" s="129" t="n">
        <v>28288</v>
      </c>
    </row>
    <row r="2946" hidden="1" customFormat="1" s="94">
      <c r="B2946" s="128" t="n">
        <v>44186</v>
      </c>
      <c r="C2946" s="94">
        <f>TEXT(B2946,"aaa")</f>
        <v/>
      </c>
      <c r="D2946" s="94" t="inlineStr">
        <is>
          <t>페이스북/인스타그램</t>
        </is>
      </c>
      <c r="E2946" s="94" t="inlineStr">
        <is>
          <t>토너</t>
        </is>
      </c>
      <c r="G2946" s="91" t="n"/>
      <c r="J2946" s="129" t="n">
        <v>502275</v>
      </c>
    </row>
    <row r="2947" hidden="1" customFormat="1" s="94">
      <c r="A2947" s="94" t="inlineStr">
        <is>
          <t>디스커버리_이든크림스킨팩</t>
        </is>
      </c>
      <c r="B2947" s="128" t="n">
        <v>44186</v>
      </c>
      <c r="C2947" s="94">
        <f>TEXT(B2947,"aaa")</f>
        <v/>
      </c>
      <c r="D2947" s="94" t="inlineStr">
        <is>
          <t>유튜브 디스커버리</t>
        </is>
      </c>
      <c r="G2947" s="91" t="n"/>
      <c r="J2947" s="129" t="n">
        <v>15894</v>
      </c>
    </row>
    <row r="2948" hidden="1" customFormat="1" s="94">
      <c r="A2948" s="94" t="inlineStr">
        <is>
          <t>디스커버리_채우</t>
        </is>
      </c>
      <c r="B2948" s="128" t="n">
        <v>44186</v>
      </c>
      <c r="C2948" s="94">
        <f>TEXT(B2948,"aaa")</f>
        <v/>
      </c>
      <c r="D2948" s="94" t="inlineStr">
        <is>
          <t>유튜브 디스커버리</t>
        </is>
      </c>
      <c r="G2948" s="91" t="n"/>
      <c r="J2948" s="129" t="n">
        <v>236787</v>
      </c>
    </row>
    <row r="2949" hidden="1" customFormat="1" s="94">
      <c r="A2949" s="94" t="inlineStr">
        <is>
          <t>디스커버리_천서영님_썸네일테스트 #3</t>
        </is>
      </c>
      <c r="B2949" s="128" t="n">
        <v>44186</v>
      </c>
      <c r="C2949" s="94">
        <f>TEXT(B2949,"aaa")</f>
        <v/>
      </c>
      <c r="D2949" s="94" t="inlineStr">
        <is>
          <t>유튜브 디스커버리</t>
        </is>
      </c>
      <c r="G2949" s="91" t="n"/>
      <c r="J2949" s="129" t="n">
        <v>376148</v>
      </c>
    </row>
    <row r="2950" hidden="1" customFormat="1" s="94">
      <c r="B2950" s="128" t="n">
        <v>44186</v>
      </c>
      <c r="C2950" s="94">
        <f>TEXT(B2950,"aaa")</f>
        <v/>
      </c>
      <c r="D2950" s="94" t="inlineStr">
        <is>
          <t>네이버 쇼핑검색</t>
        </is>
      </c>
      <c r="G2950" s="91" t="n"/>
      <c r="J2950" s="129" t="n">
        <v>79086.36363636363</v>
      </c>
      <c r="K2950" s="145" t="n"/>
    </row>
    <row r="2951" customFormat="1" s="94">
      <c r="B2951" s="128" t="n">
        <v>44186</v>
      </c>
      <c r="C2951" s="94">
        <f>TEXT(B2951,"aaa")</f>
        <v/>
      </c>
      <c r="D2951" s="94" t="inlineStr">
        <is>
          <t>카카오광고</t>
        </is>
      </c>
      <c r="E2951" s="94" t="inlineStr">
        <is>
          <t>토너</t>
        </is>
      </c>
      <c r="G2951" s="91" t="n"/>
      <c r="J2951" s="129" t="n">
        <v>21010</v>
      </c>
      <c r="K2951" s="145" t="n"/>
    </row>
    <row r="2952" hidden="1" customFormat="1" s="94">
      <c r="B2952" s="128" t="n">
        <v>44186</v>
      </c>
      <c r="C2952" s="94">
        <f>TEXT(B2952,"aaa")</f>
        <v/>
      </c>
      <c r="D2952" s="94" t="inlineStr">
        <is>
          <t>네이버 GFA</t>
        </is>
      </c>
      <c r="E2952" s="94" t="inlineStr">
        <is>
          <t>토너</t>
        </is>
      </c>
      <c r="G2952" s="91" t="n"/>
      <c r="J2952" s="129" t="n">
        <v>295571.8181818182</v>
      </c>
      <c r="K2952" s="145" t="n"/>
      <c r="M2952" s="145" t="n"/>
    </row>
    <row r="2953" hidden="1" customFormat="1" s="94">
      <c r="B2953" s="128" t="n">
        <v>44186</v>
      </c>
      <c r="C2953" s="94">
        <f>TEXT(B2953,"aaa")</f>
        <v/>
      </c>
      <c r="D2953" s="94" t="inlineStr">
        <is>
          <t>네이버 GFA</t>
        </is>
      </c>
      <c r="E2953" s="94" t="inlineStr">
        <is>
          <t>토너패드</t>
        </is>
      </c>
      <c r="G2953" s="91" t="n"/>
      <c r="J2953" s="129" t="n">
        <v>2491376.363636363</v>
      </c>
      <c r="K2953" s="145" t="n"/>
    </row>
    <row r="2954" hidden="1" customFormat="1" s="94">
      <c r="B2954" s="128" t="n">
        <v>44187</v>
      </c>
      <c r="C2954" s="88">
        <f>TEXT(B2954,"aaa")</f>
        <v/>
      </c>
      <c r="D2954" s="94" t="inlineStr">
        <is>
          <t>네이버 브랜드검색</t>
        </is>
      </c>
      <c r="E2954" s="94" t="inlineStr">
        <is>
          <t>토너</t>
        </is>
      </c>
      <c r="G2954" s="91" t="n"/>
      <c r="J2954" s="129" t="n">
        <v>50000</v>
      </c>
    </row>
    <row r="2955" hidden="1" customFormat="1" s="94">
      <c r="A2955" s="94" t="inlineStr">
        <is>
          <t>전환</t>
        </is>
      </c>
      <c r="B2955" s="128" t="n">
        <v>44187</v>
      </c>
      <c r="C2955" s="88">
        <f>TEXT(B2955,"aaa")</f>
        <v/>
      </c>
      <c r="D2955" s="88">
        <f>VLOOKUP(A2955,매칭테이블!B:C,2,0)</f>
        <v/>
      </c>
      <c r="E2955" s="88">
        <f>VLOOKUP(A2955,매칭테이블!B:D,3,0)</f>
        <v/>
      </c>
      <c r="G2955" s="91" t="n"/>
      <c r="J2955" s="129" t="n">
        <v>508977</v>
      </c>
    </row>
    <row r="2956" hidden="1" customFormat="1" s="94">
      <c r="A2956" s="94" t="inlineStr">
        <is>
          <t>도달_랄라블라</t>
        </is>
      </c>
      <c r="B2956" s="128" t="n">
        <v>44187</v>
      </c>
      <c r="C2956" s="88">
        <f>TEXT(B2956,"aaa")</f>
        <v/>
      </c>
      <c r="D2956" s="88">
        <f>VLOOKUP(A2956,매칭테이블!B:C,2,0)</f>
        <v/>
      </c>
      <c r="E2956" s="88">
        <f>VLOOKUP(A2956,매칭테이블!B:D,3,0)</f>
        <v/>
      </c>
      <c r="G2956" s="91" t="n"/>
      <c r="J2956" s="129" t="n">
        <v>30422</v>
      </c>
    </row>
    <row r="2957" hidden="1" customFormat="1" s="94">
      <c r="A2957" s="94" t="inlineStr">
        <is>
          <t>전환_토너패드</t>
        </is>
      </c>
      <c r="B2957" s="128" t="n">
        <v>44187</v>
      </c>
      <c r="C2957" s="88">
        <f>TEXT(B2957,"aaa")</f>
        <v/>
      </c>
      <c r="D2957" s="88">
        <f>VLOOKUP(A2957,매칭테이블!B:C,2,0)</f>
        <v/>
      </c>
      <c r="E2957" s="88">
        <f>VLOOKUP(A2957,매칭테이블!B:D,3,0)</f>
        <v/>
      </c>
      <c r="G2957" s="91" t="n"/>
      <c r="J2957" s="129" t="n">
        <v>658660</v>
      </c>
    </row>
    <row r="2958" hidden="1" customFormat="1" s="94">
      <c r="A2958" s="94" t="inlineStr">
        <is>
          <t>디스커버리_채우</t>
        </is>
      </c>
      <c r="B2958" s="128" t="n">
        <v>44187</v>
      </c>
      <c r="C2958" s="88">
        <f>TEXT(B2958,"aaa")</f>
        <v/>
      </c>
      <c r="D2958" s="88">
        <f>VLOOKUP(A2958,매칭테이블!B:C,2,0)</f>
        <v/>
      </c>
      <c r="E2958" s="88">
        <f>VLOOKUP(A2958,매칭테이블!B:D,3,0)</f>
        <v/>
      </c>
      <c r="G2958" s="91" t="n"/>
      <c r="J2958" s="129" t="n">
        <v>215606</v>
      </c>
    </row>
    <row r="2959" hidden="1" customFormat="1" s="94">
      <c r="A2959" s="94" t="inlineStr">
        <is>
          <t>디스커버리_천서영님_썸네일테스트 #3</t>
        </is>
      </c>
      <c r="B2959" s="128" t="n">
        <v>44187</v>
      </c>
      <c r="C2959" s="88">
        <f>TEXT(B2959,"aaa")</f>
        <v/>
      </c>
      <c r="D2959" s="88">
        <f>VLOOKUP(A2959,매칭테이블!B:C,2,0)</f>
        <v/>
      </c>
      <c r="E2959" s="88">
        <f>VLOOKUP(A2959,매칭테이블!B:D,3,0)</f>
        <v/>
      </c>
      <c r="G2959" s="91" t="n"/>
      <c r="J2959" s="129" t="n">
        <v>351084</v>
      </c>
    </row>
    <row r="2960" hidden="1" customFormat="1" s="94">
      <c r="A2960" s="94" t="inlineStr">
        <is>
          <t>디스커버리_이든크림스킨팩</t>
        </is>
      </c>
      <c r="B2960" s="128" t="n">
        <v>44187</v>
      </c>
      <c r="C2960" s="88">
        <f>TEXT(B2960,"aaa")</f>
        <v/>
      </c>
      <c r="D2960" s="88">
        <f>VLOOKUP(A2960,매칭테이블!B:C,2,0)</f>
        <v/>
      </c>
      <c r="E2960" s="88">
        <f>VLOOKUP(A2960,매칭테이블!B:D,3,0)</f>
        <v/>
      </c>
      <c r="G2960" s="91" t="n"/>
      <c r="J2960" s="129" t="n">
        <v>49021</v>
      </c>
    </row>
    <row r="2961" hidden="1" customFormat="1" s="94">
      <c r="A2961" s="94" t="inlineStr">
        <is>
          <t>아누아_쇼핑M</t>
        </is>
      </c>
      <c r="B2961" s="128" t="n">
        <v>44187</v>
      </c>
      <c r="C2961" s="88">
        <f>TEXT(B2961,"aaa")</f>
        <v/>
      </c>
      <c r="D2961" s="88">
        <f>VLOOKUP(A2961,매칭테이블!B:C,2,0)</f>
        <v/>
      </c>
      <c r="G2961" s="91" t="n"/>
      <c r="J2961" s="129" t="n">
        <v>73200</v>
      </c>
      <c r="K2961" s="127" t="n"/>
    </row>
    <row r="2962" hidden="1" customFormat="1" s="94">
      <c r="A2962" s="94" t="inlineStr">
        <is>
          <t>아누아_쇼핑PC</t>
        </is>
      </c>
      <c r="B2962" s="128" t="n">
        <v>44187</v>
      </c>
      <c r="C2962" s="88">
        <f>TEXT(B2962,"aaa")</f>
        <v/>
      </c>
      <c r="D2962" s="88">
        <f>VLOOKUP(A2962,매칭테이블!B:C,2,0)</f>
        <v/>
      </c>
      <c r="G2962" s="91" t="n"/>
      <c r="J2962" s="129" t="n">
        <v>7059.999999999999</v>
      </c>
      <c r="K2962" s="145" t="n"/>
    </row>
    <row r="2963" customFormat="1" s="94">
      <c r="A2963" s="98" t="inlineStr">
        <is>
          <t>아누아_리타게팅(전체지면)</t>
        </is>
      </c>
      <c r="B2963" s="128" t="n">
        <v>44187</v>
      </c>
      <c r="C2963" s="88">
        <f>TEXT(B2963,"aaa")</f>
        <v/>
      </c>
      <c r="D2963" s="94" t="inlineStr">
        <is>
          <t>카카오광고</t>
        </is>
      </c>
      <c r="E2963" s="88">
        <f>VLOOKUP(A2963,매칭테이블!B:D,3,0)</f>
        <v/>
      </c>
      <c r="G2963" s="91" t="n"/>
      <c r="J2963" s="129" t="n">
        <v>21280</v>
      </c>
      <c r="K2963" s="145" t="n"/>
    </row>
    <row r="2964" hidden="1" customFormat="1" s="94">
      <c r="A2964" s="94" t="inlineStr">
        <is>
          <t>아누아_토너_트러블타겟</t>
        </is>
      </c>
      <c r="B2964" s="128" t="n">
        <v>44187</v>
      </c>
      <c r="C2964" s="88">
        <f>TEXT(B2964,"aaa")</f>
        <v/>
      </c>
      <c r="D2964" s="88">
        <f>VLOOKUP(A2964,매칭테이블!B:C,2,0)</f>
        <v/>
      </c>
      <c r="E2964" s="88">
        <f>VLOOKUP(A2964,매칭테이블!B:D,3,0)</f>
        <v/>
      </c>
      <c r="G2964" s="91" t="n"/>
      <c r="J2964" s="129" t="n">
        <v>0</v>
      </c>
      <c r="K2964" s="145" t="n"/>
      <c r="M2964" s="145" t="n"/>
    </row>
    <row r="2965" hidden="1" customFormat="1" s="94">
      <c r="A2965" s="94" t="inlineStr">
        <is>
          <t>T_아누아_패드_메인</t>
        </is>
      </c>
      <c r="B2965" s="128" t="n">
        <v>44187</v>
      </c>
      <c r="C2965" s="88">
        <f>TEXT(B2965,"aaa")</f>
        <v/>
      </c>
      <c r="D2965" s="88">
        <f>VLOOKUP(A2965,매칭테이블!B:C,2,0)</f>
        <v/>
      </c>
      <c r="E2965" s="88">
        <f>VLOOKUP(A2965,매칭테이블!B:D,3,0)</f>
        <v/>
      </c>
      <c r="G2965" s="91" t="n"/>
      <c r="J2965" s="129" t="n">
        <v>4854766.363636363</v>
      </c>
      <c r="K2965" s="145" t="n"/>
    </row>
    <row r="2966" hidden="1" customFormat="1" s="94">
      <c r="A2966" s="94" t="inlineStr">
        <is>
          <t>T_아누아_토너_메인지면</t>
        </is>
      </c>
      <c r="B2966" s="128" t="n">
        <v>44187</v>
      </c>
      <c r="C2966" s="88">
        <f>TEXT(B2966,"aaa")</f>
        <v/>
      </c>
      <c r="D2966" s="88">
        <f>VLOOKUP(A2966,매칭테이블!B:C,2,0)</f>
        <v/>
      </c>
      <c r="E2966" s="88">
        <f>VLOOKUP(A2966,매칭테이블!B:D,3,0)</f>
        <v/>
      </c>
      <c r="G2966" s="91" t="n"/>
      <c r="J2966" s="129" t="n">
        <v>5917.272727272727</v>
      </c>
    </row>
    <row r="2967" hidden="1" customFormat="1" s="94">
      <c r="B2967" s="128" t="n">
        <v>44188</v>
      </c>
      <c r="C2967" s="88">
        <f>TEXT(B2967,"aaa")</f>
        <v/>
      </c>
      <c r="D2967" s="94" t="inlineStr">
        <is>
          <t>네이버 브랜드검색</t>
        </is>
      </c>
      <c r="E2967" s="94" t="inlineStr">
        <is>
          <t>토너</t>
        </is>
      </c>
      <c r="G2967" s="91" t="n"/>
      <c r="J2967" s="129" t="n">
        <v>50000</v>
      </c>
    </row>
    <row r="2968" hidden="1" customFormat="1" s="94">
      <c r="A2968" s="94" t="inlineStr">
        <is>
          <t>아누아_쇼핑M</t>
        </is>
      </c>
      <c r="B2968" s="128" t="n">
        <v>44188</v>
      </c>
      <c r="C2968" s="88">
        <f>TEXT(B2968,"aaa")</f>
        <v/>
      </c>
      <c r="D2968" s="88">
        <f>VLOOKUP(A2968,매칭테이블!B:C,2,0)</f>
        <v/>
      </c>
      <c r="G2968" s="91" t="n"/>
      <c r="J2968" s="129">
        <f>77594/1.1</f>
        <v/>
      </c>
      <c r="K2968" s="127" t="n"/>
    </row>
    <row r="2969" hidden="1" customFormat="1" s="94">
      <c r="A2969" s="94" t="inlineStr">
        <is>
          <t>아누아_쇼핑PC</t>
        </is>
      </c>
      <c r="B2969" s="128" t="n">
        <v>44188</v>
      </c>
      <c r="C2969" s="88">
        <f>TEXT(B2969,"aaa")</f>
        <v/>
      </c>
      <c r="D2969" s="88">
        <f>VLOOKUP(A2969,매칭테이블!B:C,2,0)</f>
        <v/>
      </c>
      <c r="G2969" s="91" t="n"/>
      <c r="J2969" s="129">
        <f>5665/1.1</f>
        <v/>
      </c>
      <c r="K2969" s="145" t="n"/>
    </row>
    <row r="2970" hidden="1" customFormat="1" s="94">
      <c r="A2970" s="94" t="inlineStr">
        <is>
          <t>전환_토너_트러블</t>
        </is>
      </c>
      <c r="B2970" s="128" t="n">
        <v>44188</v>
      </c>
      <c r="C2970" s="88">
        <f>TEXT(B2970,"aaa")</f>
        <v/>
      </c>
      <c r="D2970" s="88">
        <f>VLOOKUP(A2970,매칭테이블!B:C,2,0)</f>
        <v/>
      </c>
      <c r="E2970" s="88">
        <f>VLOOKUP(A2970,매칭테이블!B:D,3,0)</f>
        <v/>
      </c>
      <c r="G2970" s="91" t="n"/>
      <c r="J2970" s="129" t="n">
        <v>108674</v>
      </c>
    </row>
    <row r="2971" hidden="1" customFormat="1" s="94">
      <c r="A2971" s="94" t="inlineStr">
        <is>
          <t>전환</t>
        </is>
      </c>
      <c r="B2971" s="128" t="n">
        <v>44188</v>
      </c>
      <c r="C2971" s="88">
        <f>TEXT(B2971,"aaa")</f>
        <v/>
      </c>
      <c r="D2971" s="88">
        <f>VLOOKUP(A2971,매칭테이블!B:C,2,0)</f>
        <v/>
      </c>
      <c r="E2971" s="88">
        <f>VLOOKUP(A2971,매칭테이블!B:D,3,0)</f>
        <v/>
      </c>
      <c r="G2971" s="91" t="n"/>
      <c r="J2971" s="129" t="n">
        <v>731063</v>
      </c>
    </row>
    <row r="2972" hidden="1" customFormat="1" s="94">
      <c r="A2972" s="94" t="inlineStr">
        <is>
          <t>도달_랄라블라</t>
        </is>
      </c>
      <c r="B2972" s="128" t="n">
        <v>44188</v>
      </c>
      <c r="C2972" s="88">
        <f>TEXT(B2972,"aaa")</f>
        <v/>
      </c>
      <c r="D2972" s="88">
        <f>VLOOKUP(A2972,매칭테이블!B:C,2,0)</f>
        <v/>
      </c>
      <c r="E2972" s="88">
        <f>VLOOKUP(A2972,매칭테이블!B:D,3,0)</f>
        <v/>
      </c>
      <c r="G2972" s="91" t="n"/>
      <c r="J2972" s="129" t="n">
        <v>30380</v>
      </c>
    </row>
    <row r="2973" hidden="1" customFormat="1" s="94">
      <c r="A2973" s="94" t="inlineStr">
        <is>
          <t>전환_토너패드</t>
        </is>
      </c>
      <c r="B2973" s="128" t="n">
        <v>44188</v>
      </c>
      <c r="C2973" s="88">
        <f>TEXT(B2973,"aaa")</f>
        <v/>
      </c>
      <c r="D2973" s="88">
        <f>VLOOKUP(A2973,매칭테이블!B:C,2,0)</f>
        <v/>
      </c>
      <c r="E2973" s="88">
        <f>VLOOKUP(A2973,매칭테이블!B:D,3,0)</f>
        <v/>
      </c>
      <c r="G2973" s="91" t="n"/>
      <c r="J2973" s="129" t="n">
        <v>861599</v>
      </c>
    </row>
    <row r="2974" hidden="1" customFormat="1" s="94">
      <c r="A2974" s="94" t="inlineStr">
        <is>
          <t>디스커버리_이든크림스킨팩</t>
        </is>
      </c>
      <c r="B2974" s="128" t="n">
        <v>44188</v>
      </c>
      <c r="C2974" s="88">
        <f>TEXT(B2974,"aaa")</f>
        <v/>
      </c>
      <c r="D2974" s="88">
        <f>VLOOKUP(A2974,매칭테이블!B:C,2,0)</f>
        <v/>
      </c>
      <c r="E2974" s="88">
        <f>VLOOKUP(A2974,매칭테이블!B:D,3,0)</f>
        <v/>
      </c>
      <c r="G2974" s="91" t="n"/>
      <c r="J2974" s="129" t="n">
        <v>25939</v>
      </c>
    </row>
    <row r="2975" hidden="1" customFormat="1" s="94">
      <c r="A2975" s="94" t="inlineStr">
        <is>
          <t>디스커버리_천서영님_썸네일테스트 #3</t>
        </is>
      </c>
      <c r="B2975" s="128" t="n">
        <v>44188</v>
      </c>
      <c r="C2975" s="88">
        <f>TEXT(B2975,"aaa")</f>
        <v/>
      </c>
      <c r="D2975" s="88">
        <f>VLOOKUP(A2975,매칭테이블!B:C,2,0)</f>
        <v/>
      </c>
      <c r="E2975" s="88">
        <f>VLOOKUP(A2975,매칭테이블!B:D,3,0)</f>
        <v/>
      </c>
      <c r="G2975" s="91" t="n"/>
      <c r="J2975" s="129" t="n">
        <v>322010</v>
      </c>
    </row>
    <row r="2976" hidden="1" customFormat="1" s="94">
      <c r="A2976" s="94" t="inlineStr">
        <is>
          <t>디스커버리_채우</t>
        </is>
      </c>
      <c r="B2976" s="128" t="n">
        <v>44188</v>
      </c>
      <c r="C2976" s="88">
        <f>TEXT(B2976,"aaa")</f>
        <v/>
      </c>
      <c r="D2976" s="88">
        <f>VLOOKUP(A2976,매칭테이블!B:C,2,0)</f>
        <v/>
      </c>
      <c r="E2976" s="88">
        <f>VLOOKUP(A2976,매칭테이블!B:D,3,0)</f>
        <v/>
      </c>
      <c r="G2976" s="91" t="n"/>
      <c r="J2976" s="129" t="n">
        <v>203542</v>
      </c>
    </row>
    <row r="2977" customFormat="1" s="94">
      <c r="A2977" s="98" t="inlineStr">
        <is>
          <t>아누아_리타게팅(전체지면)</t>
        </is>
      </c>
      <c r="B2977" s="128" t="n">
        <v>44188</v>
      </c>
      <c r="C2977" s="88">
        <f>TEXT(B2977,"aaa")</f>
        <v/>
      </c>
      <c r="D2977" s="94" t="inlineStr">
        <is>
          <t>카카오광고</t>
        </is>
      </c>
      <c r="E2977" s="88">
        <f>VLOOKUP(A2977,매칭테이블!B:D,3,0)</f>
        <v/>
      </c>
      <c r="G2977" s="91" t="n"/>
      <c r="J2977" s="129" t="n">
        <v>19110</v>
      </c>
      <c r="K2977" s="145" t="n"/>
    </row>
    <row r="2978" hidden="1" customFormat="1" s="94">
      <c r="A2978" s="94" t="inlineStr">
        <is>
          <t>아누아_토너_트러블타겟</t>
        </is>
      </c>
      <c r="B2978" s="128" t="n">
        <v>44188</v>
      </c>
      <c r="C2978" s="88">
        <f>TEXT(B2978,"aaa")</f>
        <v/>
      </c>
      <c r="D2978" s="88">
        <f>VLOOKUP(A2978,매칭테이블!B:C,2,0)</f>
        <v/>
      </c>
      <c r="E2978" s="88">
        <f>VLOOKUP(A2978,매칭테이블!B:D,3,0)</f>
        <v/>
      </c>
      <c r="G2978" s="91" t="n"/>
      <c r="J2978" s="129" t="n">
        <v>40205.45454545454</v>
      </c>
      <c r="K2978" s="145" t="n"/>
      <c r="M2978" s="145" t="n"/>
    </row>
    <row r="2979" hidden="1" customFormat="1" s="94">
      <c r="A2979" s="94" t="inlineStr">
        <is>
          <t>T_아누아_패드_메인</t>
        </is>
      </c>
      <c r="B2979" s="128" t="n">
        <v>44188</v>
      </c>
      <c r="C2979" s="88">
        <f>TEXT(B2979,"aaa")</f>
        <v/>
      </c>
      <c r="D2979" s="88">
        <f>VLOOKUP(A2979,매칭테이블!B:C,2,0)</f>
        <v/>
      </c>
      <c r="E2979" s="88">
        <f>VLOOKUP(A2979,매칭테이블!B:D,3,0)</f>
        <v/>
      </c>
      <c r="G2979" s="91" t="n"/>
      <c r="J2979" s="129" t="n">
        <v>8848441.818181818</v>
      </c>
      <c r="K2979" s="145" t="n"/>
    </row>
    <row r="2980" hidden="1" customFormat="1" s="94">
      <c r="A2980" s="94" t="inlineStr">
        <is>
          <t>T_아누아_토너_메인지면</t>
        </is>
      </c>
      <c r="B2980" s="128" t="n">
        <v>44188</v>
      </c>
      <c r="C2980" s="88">
        <f>TEXT(B2980,"aaa")</f>
        <v/>
      </c>
      <c r="D2980" s="88">
        <f>VLOOKUP(A2980,매칭테이블!B:C,2,0)</f>
        <v/>
      </c>
      <c r="E2980" s="88">
        <f>VLOOKUP(A2980,매칭테이블!B:D,3,0)</f>
        <v/>
      </c>
      <c r="G2980" s="91" t="n"/>
      <c r="J2980" s="129" t="n">
        <v>129368.1818181818</v>
      </c>
    </row>
    <row r="2981" hidden="1" customFormat="1" s="94">
      <c r="B2981" s="128" t="n">
        <v>44189</v>
      </c>
      <c r="C2981" s="88">
        <f>TEXT(B2981,"aaa")</f>
        <v/>
      </c>
      <c r="D2981" s="94" t="inlineStr">
        <is>
          <t>네이버 브랜드검색</t>
        </is>
      </c>
      <c r="E2981" s="94" t="inlineStr">
        <is>
          <t>토너</t>
        </is>
      </c>
      <c r="G2981" s="91" t="n"/>
      <c r="J2981" s="129" t="n">
        <v>50000</v>
      </c>
    </row>
    <row r="2982" hidden="1" customFormat="1" s="94">
      <c r="B2982" s="128" t="n">
        <v>44190</v>
      </c>
      <c r="C2982" s="88">
        <f>TEXT(B2982,"aaa")</f>
        <v/>
      </c>
      <c r="D2982" s="94" t="inlineStr">
        <is>
          <t>네이버 브랜드검색</t>
        </is>
      </c>
      <c r="E2982" s="94" t="inlineStr">
        <is>
          <t>토너</t>
        </is>
      </c>
      <c r="G2982" s="91" t="n"/>
      <c r="J2982" s="129" t="n">
        <v>50000</v>
      </c>
    </row>
    <row r="2983" hidden="1" customFormat="1" s="94">
      <c r="B2983" s="128" t="n">
        <v>44191</v>
      </c>
      <c r="C2983" s="88">
        <f>TEXT(B2983,"aaa")</f>
        <v/>
      </c>
      <c r="D2983" s="94" t="inlineStr">
        <is>
          <t>네이버 브랜드검색</t>
        </is>
      </c>
      <c r="E2983" s="94" t="inlineStr">
        <is>
          <t>토너</t>
        </is>
      </c>
      <c r="G2983" s="91" t="n"/>
      <c r="J2983" s="129" t="n">
        <v>50000</v>
      </c>
    </row>
    <row r="2984" hidden="1" customFormat="1" s="94">
      <c r="B2984" s="128" t="n">
        <v>44192</v>
      </c>
      <c r="C2984" s="88">
        <f>TEXT(B2984,"aaa")</f>
        <v/>
      </c>
      <c r="D2984" s="94" t="inlineStr">
        <is>
          <t>네이버 브랜드검색</t>
        </is>
      </c>
      <c r="E2984" s="94" t="inlineStr">
        <is>
          <t>토너</t>
        </is>
      </c>
      <c r="G2984" s="91" t="n"/>
      <c r="J2984" s="129" t="n">
        <v>50000</v>
      </c>
    </row>
    <row r="2985" hidden="1" customFormat="1" s="94">
      <c r="A2985" s="94" t="inlineStr">
        <is>
          <t>전환_토너패드</t>
        </is>
      </c>
      <c r="B2985" s="128" t="n">
        <v>44189</v>
      </c>
      <c r="C2985" s="88">
        <f>TEXT(B2985,"aaa")</f>
        <v/>
      </c>
      <c r="D2985" s="88">
        <f>VLOOKUP(A2985,매칭테이블!B:C,2,0)</f>
        <v/>
      </c>
      <c r="E2985" s="88">
        <f>VLOOKUP(A2985,매칭테이블!B:D,3,0)</f>
        <v/>
      </c>
      <c r="J2985" s="94" t="n">
        <v>583197</v>
      </c>
    </row>
    <row r="2986" hidden="1" customFormat="1" s="94">
      <c r="A2986" s="94" t="inlineStr">
        <is>
          <t>도달_랄라블라</t>
        </is>
      </c>
      <c r="B2986" s="128" t="n">
        <v>44189</v>
      </c>
      <c r="C2986" s="88">
        <f>TEXT(B2986,"aaa")</f>
        <v/>
      </c>
      <c r="D2986" s="88">
        <f>VLOOKUP(A2986,매칭테이블!B:C,2,0)</f>
        <v/>
      </c>
      <c r="E2986" s="88">
        <f>VLOOKUP(A2986,매칭테이블!B:D,3,0)</f>
        <v/>
      </c>
      <c r="J2986" s="94" t="n">
        <v>25495</v>
      </c>
    </row>
    <row r="2987" hidden="1" customFormat="1" s="94">
      <c r="A2987" s="94" t="inlineStr">
        <is>
          <t>전환</t>
        </is>
      </c>
      <c r="B2987" s="128" t="n">
        <v>44189</v>
      </c>
      <c r="C2987" s="88">
        <f>TEXT(B2987,"aaa")</f>
        <v/>
      </c>
      <c r="D2987" s="88">
        <f>VLOOKUP(A2987,매칭테이블!B:C,2,0)</f>
        <v/>
      </c>
      <c r="E2987" s="88">
        <f>VLOOKUP(A2987,매칭테이블!B:D,3,0)</f>
        <v/>
      </c>
      <c r="J2987" s="94" t="n">
        <v>582971</v>
      </c>
    </row>
    <row r="2988" hidden="1" customFormat="1" s="94">
      <c r="A2988" s="94" t="inlineStr">
        <is>
          <t>전환_토너패드</t>
        </is>
      </c>
      <c r="B2988" s="128" t="n">
        <v>44190</v>
      </c>
      <c r="C2988" s="88">
        <f>TEXT(B2988,"aaa")</f>
        <v/>
      </c>
      <c r="D2988" s="88">
        <f>VLOOKUP(A2988,매칭테이블!B:C,2,0)</f>
        <v/>
      </c>
      <c r="E2988" s="88">
        <f>VLOOKUP(A2988,매칭테이블!B:D,3,0)</f>
        <v/>
      </c>
      <c r="J2988" s="94" t="n">
        <v>312632</v>
      </c>
    </row>
    <row r="2989" hidden="1" customFormat="1" s="94">
      <c r="A2989" s="94" t="inlineStr">
        <is>
          <t>도달_랄라블라</t>
        </is>
      </c>
      <c r="B2989" s="128" t="n">
        <v>44190</v>
      </c>
      <c r="C2989" s="88">
        <f>TEXT(B2989,"aaa")</f>
        <v/>
      </c>
      <c r="D2989" s="88">
        <f>VLOOKUP(A2989,매칭테이블!B:C,2,0)</f>
        <v/>
      </c>
      <c r="E2989" s="88">
        <f>VLOOKUP(A2989,매칭테이블!B:D,3,0)</f>
        <v/>
      </c>
      <c r="J2989" s="94" t="n">
        <v>14749</v>
      </c>
    </row>
    <row r="2990" hidden="1" customFormat="1" s="94">
      <c r="A2990" s="94" t="inlineStr">
        <is>
          <t>전환</t>
        </is>
      </c>
      <c r="B2990" s="128" t="n">
        <v>44190</v>
      </c>
      <c r="C2990" s="88">
        <f>TEXT(B2990,"aaa")</f>
        <v/>
      </c>
      <c r="D2990" s="88">
        <f>VLOOKUP(A2990,매칭테이블!B:C,2,0)</f>
        <v/>
      </c>
      <c r="E2990" s="88">
        <f>VLOOKUP(A2990,매칭테이블!B:D,3,0)</f>
        <v/>
      </c>
      <c r="J2990" s="94" t="n">
        <v>395548</v>
      </c>
    </row>
    <row r="2991" hidden="1" customFormat="1" s="94">
      <c r="A2991" s="94" t="inlineStr">
        <is>
          <t>전환_토너패드</t>
        </is>
      </c>
      <c r="B2991" s="128" t="n">
        <v>44191</v>
      </c>
      <c r="C2991" s="88">
        <f>TEXT(B2991,"aaa")</f>
        <v/>
      </c>
      <c r="D2991" s="88">
        <f>VLOOKUP(A2991,매칭테이블!B:C,2,0)</f>
        <v/>
      </c>
      <c r="E2991" s="88">
        <f>VLOOKUP(A2991,매칭테이블!B:D,3,0)</f>
        <v/>
      </c>
      <c r="J2991" s="94" t="n">
        <v>269521</v>
      </c>
    </row>
    <row r="2992" hidden="1" customFormat="1" s="94">
      <c r="A2992" s="94" t="inlineStr">
        <is>
          <t>도달_랄라블라</t>
        </is>
      </c>
      <c r="B2992" s="128" t="n">
        <v>44191</v>
      </c>
      <c r="C2992" s="88">
        <f>TEXT(B2992,"aaa")</f>
        <v/>
      </c>
      <c r="D2992" s="88">
        <f>VLOOKUP(A2992,매칭테이블!B:C,2,0)</f>
        <v/>
      </c>
      <c r="E2992" s="88">
        <f>VLOOKUP(A2992,매칭테이블!B:D,3,0)</f>
        <v/>
      </c>
      <c r="J2992" s="94" t="n">
        <v>14716</v>
      </c>
    </row>
    <row r="2993" hidden="1" customFormat="1" s="94">
      <c r="A2993" s="94" t="inlineStr">
        <is>
          <t>전환</t>
        </is>
      </c>
      <c r="B2993" s="128" t="n">
        <v>44191</v>
      </c>
      <c r="C2993" s="88">
        <f>TEXT(B2993,"aaa")</f>
        <v/>
      </c>
      <c r="D2993" s="88">
        <f>VLOOKUP(A2993,매칭테이블!B:C,2,0)</f>
        <v/>
      </c>
      <c r="E2993" s="88">
        <f>VLOOKUP(A2993,매칭테이블!B:D,3,0)</f>
        <v/>
      </c>
      <c r="J2993" s="94" t="n">
        <v>303250</v>
      </c>
    </row>
    <row r="2994" hidden="1" customFormat="1" s="94">
      <c r="A2994" s="94" t="inlineStr">
        <is>
          <t>전환_토너패드</t>
        </is>
      </c>
      <c r="B2994" s="128" t="n">
        <v>44192</v>
      </c>
      <c r="C2994" s="88">
        <f>TEXT(B2994,"aaa")</f>
        <v/>
      </c>
      <c r="D2994" s="88">
        <f>VLOOKUP(A2994,매칭테이블!B:C,2,0)</f>
        <v/>
      </c>
      <c r="E2994" s="88">
        <f>VLOOKUP(A2994,매칭테이블!B:D,3,0)</f>
        <v/>
      </c>
      <c r="J2994" s="94" t="n">
        <v>363467</v>
      </c>
    </row>
    <row r="2995" hidden="1" customFormat="1" s="94">
      <c r="A2995" s="94" t="inlineStr">
        <is>
          <t>도달_랄라블라</t>
        </is>
      </c>
      <c r="B2995" s="128" t="n">
        <v>44192</v>
      </c>
      <c r="C2995" s="88">
        <f>TEXT(B2995,"aaa")</f>
        <v/>
      </c>
      <c r="D2995" s="88">
        <f>VLOOKUP(A2995,매칭테이블!B:C,2,0)</f>
        <v/>
      </c>
      <c r="E2995" s="88">
        <f>VLOOKUP(A2995,매칭테이블!B:D,3,0)</f>
        <v/>
      </c>
      <c r="J2995" s="94" t="n">
        <v>18686</v>
      </c>
    </row>
    <row r="2996" hidden="1" customFormat="1" s="94">
      <c r="A2996" s="94" t="inlineStr">
        <is>
          <t>전환</t>
        </is>
      </c>
      <c r="B2996" s="128" t="n">
        <v>44192</v>
      </c>
      <c r="C2996" s="88">
        <f>TEXT(B2996,"aaa")</f>
        <v/>
      </c>
      <c r="D2996" s="88">
        <f>VLOOKUP(A2996,매칭테이블!B:C,2,0)</f>
        <v/>
      </c>
      <c r="E2996" s="88">
        <f>VLOOKUP(A2996,매칭테이블!B:D,3,0)</f>
        <v/>
      </c>
      <c r="J2996" s="94" t="n">
        <v>394478</v>
      </c>
    </row>
    <row r="2997" hidden="1" customFormat="1" s="94">
      <c r="B2997" s="128" t="n">
        <v>44189</v>
      </c>
      <c r="C2997" s="88">
        <f>TEXT(B2997,"aaa")</f>
        <v/>
      </c>
      <c r="D2997" s="88" t="inlineStr">
        <is>
          <t>유튜브 디스커버리</t>
        </is>
      </c>
      <c r="E2997" s="88" t="inlineStr">
        <is>
          <t>토너</t>
        </is>
      </c>
      <c r="G2997" s="91" t="n"/>
      <c r="J2997" s="129" t="n">
        <v>534676</v>
      </c>
    </row>
    <row r="2998" hidden="1" customFormat="1" s="94">
      <c r="B2998" s="128" t="n">
        <v>44190</v>
      </c>
      <c r="C2998" s="88">
        <f>TEXT(B2998,"aaa")</f>
        <v/>
      </c>
      <c r="D2998" s="88" t="inlineStr">
        <is>
          <t>유튜브 디스커버리</t>
        </is>
      </c>
      <c r="E2998" s="88" t="inlineStr">
        <is>
          <t>토너</t>
        </is>
      </c>
      <c r="G2998" s="91" t="n"/>
      <c r="J2998" s="129" t="n">
        <v>182373</v>
      </c>
    </row>
    <row r="2999" hidden="1" customFormat="1" s="94">
      <c r="B2999" s="128" t="n">
        <v>44191</v>
      </c>
      <c r="C2999" s="88">
        <f>TEXT(B2999,"aaa")</f>
        <v/>
      </c>
      <c r="D2999" s="88" t="inlineStr">
        <is>
          <t>유튜브 디스커버리</t>
        </is>
      </c>
      <c r="E2999" s="88" t="inlineStr">
        <is>
          <t>토너</t>
        </is>
      </c>
      <c r="G2999" s="91" t="n"/>
      <c r="J2999" s="129" t="n">
        <v>0</v>
      </c>
    </row>
    <row r="3000" hidden="1" customFormat="1" s="94">
      <c r="B3000" s="128" t="n">
        <v>44192</v>
      </c>
      <c r="C3000" s="88">
        <f>TEXT(B3000,"aaa")</f>
        <v/>
      </c>
      <c r="D3000" s="88" t="inlineStr">
        <is>
          <t>유튜브 디스커버리</t>
        </is>
      </c>
      <c r="E3000" s="88" t="inlineStr">
        <is>
          <t>토너</t>
        </is>
      </c>
      <c r="G3000" s="91" t="n"/>
      <c r="J3000" s="129" t="n">
        <v>1076361</v>
      </c>
    </row>
    <row r="3001" hidden="1" customFormat="1" s="94">
      <c r="A3001" s="94" t="inlineStr">
        <is>
          <t>아누아_쇼핑M</t>
        </is>
      </c>
      <c r="B3001" s="128" t="n">
        <v>44189</v>
      </c>
      <c r="C3001" s="88">
        <f>TEXT(B3001,"aaa")</f>
        <v/>
      </c>
      <c r="D3001" s="88">
        <f>VLOOKUP(A3001,매칭테이블!B:C,2,0)</f>
        <v/>
      </c>
      <c r="E3001" s="88" t="n"/>
      <c r="J3001" s="94" t="n">
        <v>55719.99999999999</v>
      </c>
    </row>
    <row r="3002" hidden="1" customFormat="1" s="94">
      <c r="A3002" s="94" t="inlineStr">
        <is>
          <t>아누아_쇼핑M</t>
        </is>
      </c>
      <c r="B3002" s="147" t="n">
        <v>44190</v>
      </c>
      <c r="C3002" s="88">
        <f>TEXT(B3002,"aaa")</f>
        <v/>
      </c>
      <c r="D3002" s="88">
        <f>VLOOKUP(A3002,매칭테이블!B:C,2,0)</f>
        <v/>
      </c>
      <c r="E3002" s="88" t="n"/>
      <c r="J3002" s="94" t="n">
        <v>79070</v>
      </c>
    </row>
    <row r="3003" hidden="1" customFormat="1" s="94">
      <c r="A3003" s="94" t="inlineStr">
        <is>
          <t>아누아_쇼핑M</t>
        </is>
      </c>
      <c r="B3003" s="147" t="n">
        <v>44191</v>
      </c>
      <c r="C3003" s="88">
        <f>TEXT(B3003,"aaa")</f>
        <v/>
      </c>
      <c r="D3003" s="88">
        <f>VLOOKUP(A3003,매칭테이블!B:C,2,0)</f>
        <v/>
      </c>
      <c r="E3003" s="88" t="n"/>
      <c r="J3003" s="94" t="n">
        <v>85560</v>
      </c>
    </row>
    <row r="3004" hidden="1" customFormat="1" s="94">
      <c r="A3004" s="94" t="inlineStr">
        <is>
          <t>아누아_쇼핑M</t>
        </is>
      </c>
      <c r="B3004" s="147" t="n">
        <v>44192</v>
      </c>
      <c r="C3004" s="88">
        <f>TEXT(B3004,"aaa")</f>
        <v/>
      </c>
      <c r="D3004" s="88">
        <f>VLOOKUP(A3004,매칭테이블!B:C,2,0)</f>
        <v/>
      </c>
      <c r="E3004" s="88" t="n"/>
      <c r="J3004" s="94" t="n">
        <v>104540</v>
      </c>
    </row>
    <row r="3005" hidden="1" customFormat="1" s="94">
      <c r="A3005" s="94" t="inlineStr">
        <is>
          <t>아누아_쇼핑PC</t>
        </is>
      </c>
      <c r="B3005" s="147" t="n">
        <v>44189</v>
      </c>
      <c r="C3005" s="88">
        <f>TEXT(B3005,"aaa")</f>
        <v/>
      </c>
      <c r="D3005" s="88">
        <f>VLOOKUP(A3005,매칭테이블!B:C,2,0)</f>
        <v/>
      </c>
      <c r="E3005" s="88" t="n"/>
      <c r="J3005" s="94" t="n">
        <v>2490</v>
      </c>
    </row>
    <row r="3006" hidden="1" customFormat="1" s="94">
      <c r="A3006" s="94" t="inlineStr">
        <is>
          <t>아누아_쇼핑PC</t>
        </is>
      </c>
      <c r="B3006" s="147" t="n">
        <v>44190</v>
      </c>
      <c r="C3006" s="88">
        <f>TEXT(B3006,"aaa")</f>
        <v/>
      </c>
      <c r="D3006" s="88">
        <f>VLOOKUP(A3006,매칭테이블!B:C,2,0)</f>
        <v/>
      </c>
      <c r="E3006" s="88" t="n"/>
      <c r="J3006" s="94" t="n">
        <v>1080</v>
      </c>
    </row>
    <row r="3007" hidden="1" customFormat="1" s="94">
      <c r="A3007" s="94" t="inlineStr">
        <is>
          <t>아누아_쇼핑PC</t>
        </is>
      </c>
      <c r="B3007" s="147" t="n">
        <v>44191</v>
      </c>
      <c r="C3007" s="88">
        <f>TEXT(B3007,"aaa")</f>
        <v/>
      </c>
      <c r="D3007" s="88">
        <f>VLOOKUP(A3007,매칭테이블!B:C,2,0)</f>
        <v/>
      </c>
      <c r="E3007" s="88" t="n"/>
      <c r="J3007" s="94" t="n">
        <v>3000</v>
      </c>
    </row>
    <row r="3008" hidden="1" customFormat="1" s="94">
      <c r="A3008" s="94" t="inlineStr">
        <is>
          <t>아누아_쇼핑PC</t>
        </is>
      </c>
      <c r="B3008" s="147" t="n">
        <v>44192</v>
      </c>
      <c r="C3008" s="88">
        <f>TEXT(B3008,"aaa")</f>
        <v/>
      </c>
      <c r="D3008" s="88">
        <f>VLOOKUP(A3008,매칭테이블!B:C,2,0)</f>
        <v/>
      </c>
      <c r="E3008" s="88" t="n"/>
      <c r="J3008" s="94" t="n">
        <v>2160</v>
      </c>
    </row>
    <row r="3009" customFormat="1" s="94">
      <c r="A3009" s="98" t="inlineStr">
        <is>
          <t>아누아_리타게팅(전체지면)</t>
        </is>
      </c>
      <c r="B3009" s="147" t="n">
        <v>44189</v>
      </c>
      <c r="C3009" s="88">
        <f>TEXT(B3009,"aaa")</f>
        <v/>
      </c>
      <c r="D3009" s="94" t="inlineStr">
        <is>
          <t>카카오광고</t>
        </is>
      </c>
      <c r="E3009" s="88">
        <f>VLOOKUP(A3009,매칭테이블!B:D,3,0)</f>
        <v/>
      </c>
      <c r="J3009" s="94" t="n">
        <v>74730</v>
      </c>
    </row>
    <row r="3010" customFormat="1" s="94">
      <c r="A3010" s="98" t="inlineStr">
        <is>
          <t>아누아_리타게팅(전체지면)</t>
        </is>
      </c>
      <c r="B3010" s="147" t="n">
        <v>44190</v>
      </c>
      <c r="C3010" s="88">
        <f>TEXT(B3010,"aaa")</f>
        <v/>
      </c>
      <c r="D3010" s="94" t="inlineStr">
        <is>
          <t>카카오광고</t>
        </is>
      </c>
      <c r="E3010" s="88">
        <f>VLOOKUP(A3010,매칭테이블!B:D,3,0)</f>
        <v/>
      </c>
      <c r="J3010" s="94" t="n">
        <v>274320</v>
      </c>
    </row>
    <row r="3011" customFormat="1" s="94">
      <c r="A3011" s="98" t="inlineStr">
        <is>
          <t>아누아_리타게팅(전체지면)</t>
        </is>
      </c>
      <c r="B3011" s="147" t="n">
        <v>44191</v>
      </c>
      <c r="C3011" s="88">
        <f>TEXT(B3011,"aaa")</f>
        <v/>
      </c>
      <c r="D3011" s="94" t="inlineStr">
        <is>
          <t>카카오광고</t>
        </is>
      </c>
      <c r="E3011" s="88">
        <f>VLOOKUP(A3011,매칭테이블!B:D,3,0)</f>
        <v/>
      </c>
      <c r="J3011" s="94" t="n">
        <v>326510</v>
      </c>
    </row>
    <row r="3012" customFormat="1" s="94">
      <c r="A3012" s="98" t="inlineStr">
        <is>
          <t>아누아_리타게팅(전체지면)</t>
        </is>
      </c>
      <c r="B3012" s="147" t="n">
        <v>44192</v>
      </c>
      <c r="C3012" s="88">
        <f>TEXT(B3012,"aaa")</f>
        <v/>
      </c>
      <c r="D3012" s="94" t="inlineStr">
        <is>
          <t>카카오광고</t>
        </is>
      </c>
      <c r="E3012" s="88">
        <f>VLOOKUP(A3012,매칭테이블!B:D,3,0)</f>
        <v/>
      </c>
      <c r="J3012" s="94" t="n">
        <v>340230</v>
      </c>
    </row>
    <row r="3013" hidden="1" customFormat="1" s="94">
      <c r="A3013" s="94" t="inlineStr">
        <is>
          <t>아누아_토너_트러블타겟</t>
        </is>
      </c>
      <c r="B3013" s="147" t="n">
        <v>44192</v>
      </c>
      <c r="C3013" s="88">
        <f>TEXT(B3013,"aaa")</f>
        <v/>
      </c>
      <c r="D3013" s="88">
        <f>VLOOKUP(A3013,매칭테이블!B:C,2,0)</f>
        <v/>
      </c>
      <c r="E3013" s="88">
        <f>VLOOKUP(A3013,매칭테이블!B:D,3,0)</f>
        <v/>
      </c>
      <c r="J3013" s="94" t="n">
        <v>12705.45454545454</v>
      </c>
    </row>
    <row r="3014" hidden="1" customFormat="1" s="94">
      <c r="A3014" s="94" t="inlineStr">
        <is>
          <t>아누아_토너_트러블타겟</t>
        </is>
      </c>
      <c r="B3014" s="147" t="n">
        <v>44191</v>
      </c>
      <c r="C3014" s="88">
        <f>TEXT(B3014,"aaa")</f>
        <v/>
      </c>
      <c r="D3014" s="88">
        <f>VLOOKUP(A3014,매칭테이블!B:C,2,0)</f>
        <v/>
      </c>
      <c r="E3014" s="88">
        <f>VLOOKUP(A3014,매칭테이블!B:D,3,0)</f>
        <v/>
      </c>
      <c r="J3014" s="94" t="n">
        <v>2502.727272727273</v>
      </c>
    </row>
    <row r="3015" hidden="1" customFormat="1" s="94">
      <c r="A3015" s="94" t="inlineStr">
        <is>
          <t>아누아_토너_트러블타겟</t>
        </is>
      </c>
      <c r="B3015" s="147" t="n">
        <v>44190</v>
      </c>
      <c r="C3015" s="88">
        <f>TEXT(B3015,"aaa")</f>
        <v/>
      </c>
      <c r="D3015" s="88">
        <f>VLOOKUP(A3015,매칭테이블!B:C,2,0)</f>
        <v/>
      </c>
      <c r="E3015" s="88">
        <f>VLOOKUP(A3015,매칭테이블!B:D,3,0)</f>
        <v/>
      </c>
      <c r="J3015" s="94" t="n">
        <v>7595.454545454545</v>
      </c>
    </row>
    <row r="3016" hidden="1" customFormat="1" s="94">
      <c r="A3016" s="94" t="inlineStr">
        <is>
          <t>아누아_토너_트러블타겟</t>
        </is>
      </c>
      <c r="B3016" s="147" t="n">
        <v>44189</v>
      </c>
      <c r="C3016" s="88">
        <f>TEXT(B3016,"aaa")</f>
        <v/>
      </c>
      <c r="D3016" s="88">
        <f>VLOOKUP(A3016,매칭테이블!B:C,2,0)</f>
        <v/>
      </c>
      <c r="E3016" s="88">
        <f>VLOOKUP(A3016,매칭테이블!B:D,3,0)</f>
        <v/>
      </c>
      <c r="J3016" s="94" t="n">
        <v>17692.72727272727</v>
      </c>
    </row>
    <row r="3017" hidden="1" customFormat="1" s="94">
      <c r="A3017" s="94" t="inlineStr">
        <is>
          <t>T_아누아_패드_메인</t>
        </is>
      </c>
      <c r="B3017" s="147" t="n">
        <v>44192</v>
      </c>
      <c r="C3017" s="88">
        <f>TEXT(B3017,"aaa")</f>
        <v/>
      </c>
      <c r="D3017" s="88">
        <f>VLOOKUP(A3017,매칭테이블!B:C,2,0)</f>
        <v/>
      </c>
      <c r="E3017" s="88">
        <f>VLOOKUP(A3017,매칭테이블!B:D,3,0)</f>
        <v/>
      </c>
      <c r="J3017" s="94" t="n">
        <v>5466429.090909091</v>
      </c>
    </row>
    <row r="3018" hidden="1" customFormat="1" s="94">
      <c r="A3018" s="94" t="inlineStr">
        <is>
          <t>T_아누아_패드_메인</t>
        </is>
      </c>
      <c r="B3018" s="147" t="n">
        <v>44191</v>
      </c>
      <c r="C3018" s="88">
        <f>TEXT(B3018,"aaa")</f>
        <v/>
      </c>
      <c r="D3018" s="88">
        <f>VLOOKUP(A3018,매칭테이블!B:C,2,0)</f>
        <v/>
      </c>
      <c r="E3018" s="88">
        <f>VLOOKUP(A3018,매칭테이블!B:D,3,0)</f>
        <v/>
      </c>
      <c r="J3018" s="94" t="n">
        <v>4972238.181818182</v>
      </c>
    </row>
    <row r="3019" hidden="1" customFormat="1" s="94">
      <c r="A3019" s="94" t="inlineStr">
        <is>
          <t>T_아누아_패드_메인</t>
        </is>
      </c>
      <c r="B3019" s="147" t="n">
        <v>44190</v>
      </c>
      <c r="C3019" s="88">
        <f>TEXT(B3019,"aaa")</f>
        <v/>
      </c>
      <c r="D3019" s="88">
        <f>VLOOKUP(A3019,매칭테이블!B:C,2,0)</f>
        <v/>
      </c>
      <c r="E3019" s="88">
        <f>VLOOKUP(A3019,매칭테이블!B:D,3,0)</f>
        <v/>
      </c>
      <c r="J3019" s="94" t="n">
        <v>7568151.818181817</v>
      </c>
    </row>
    <row r="3020" hidden="1" customFormat="1" s="94">
      <c r="A3020" s="94" t="inlineStr">
        <is>
          <t>T_아누아_패드_메인</t>
        </is>
      </c>
      <c r="B3020" s="147" t="n">
        <v>44189</v>
      </c>
      <c r="C3020" s="88">
        <f>TEXT(B3020,"aaa")</f>
        <v/>
      </c>
      <c r="D3020" s="88">
        <f>VLOOKUP(A3020,매칭테이블!B:C,2,0)</f>
        <v/>
      </c>
      <c r="E3020" s="88">
        <f>VLOOKUP(A3020,매칭테이블!B:D,3,0)</f>
        <v/>
      </c>
      <c r="J3020" s="94" t="n">
        <v>8243889.09090909</v>
      </c>
    </row>
    <row r="3021" hidden="1" customFormat="1" s="94">
      <c r="A3021" s="94" t="inlineStr">
        <is>
          <t>T_아누아_토너_메인지면</t>
        </is>
      </c>
      <c r="B3021" s="147" t="n">
        <v>44192</v>
      </c>
      <c r="C3021" s="88">
        <f>TEXT(B3021,"aaa")</f>
        <v/>
      </c>
      <c r="D3021" s="88">
        <f>VLOOKUP(A3021,매칭테이블!B:C,2,0)</f>
        <v/>
      </c>
      <c r="E3021" s="88">
        <f>VLOOKUP(A3021,매칭테이블!B:D,3,0)</f>
        <v/>
      </c>
      <c r="J3021" s="94" t="n">
        <v>1639073.636363636</v>
      </c>
    </row>
    <row r="3022" hidden="1" customFormat="1" s="94">
      <c r="A3022" s="94" t="inlineStr">
        <is>
          <t>T_아누아_토너_메인지면</t>
        </is>
      </c>
      <c r="B3022" s="147" t="n">
        <v>44191</v>
      </c>
      <c r="C3022" s="88">
        <f>TEXT(B3022,"aaa")</f>
        <v/>
      </c>
      <c r="D3022" s="88">
        <f>VLOOKUP(A3022,매칭테이블!B:C,2,0)</f>
        <v/>
      </c>
      <c r="E3022" s="88">
        <f>VLOOKUP(A3022,매칭테이블!B:D,3,0)</f>
        <v/>
      </c>
      <c r="J3022" s="94" t="n">
        <v>1447581.818181818</v>
      </c>
    </row>
    <row r="3023" hidden="1" customFormat="1" s="94">
      <c r="A3023" s="94" t="inlineStr">
        <is>
          <t>T_아누아_토너_메인지면</t>
        </is>
      </c>
      <c r="B3023" s="147" t="n">
        <v>44190</v>
      </c>
      <c r="C3023" s="88">
        <f>TEXT(B3023,"aaa")</f>
        <v/>
      </c>
      <c r="D3023" s="88">
        <f>VLOOKUP(A3023,매칭테이블!B:C,2,0)</f>
        <v/>
      </c>
      <c r="E3023" s="88">
        <f>VLOOKUP(A3023,매칭테이블!B:D,3,0)</f>
        <v/>
      </c>
      <c r="J3023" s="94" t="n">
        <v>3607028.181818182</v>
      </c>
    </row>
    <row r="3024" hidden="1" customFormat="1" s="94">
      <c r="A3024" s="94" t="inlineStr">
        <is>
          <t>T_아누아_토너_메인지면</t>
        </is>
      </c>
      <c r="B3024" s="147" t="n">
        <v>44189</v>
      </c>
      <c r="C3024" s="88">
        <f>TEXT(B3024,"aaa")</f>
        <v/>
      </c>
      <c r="D3024" s="88">
        <f>VLOOKUP(A3024,매칭테이블!B:C,2,0)</f>
        <v/>
      </c>
      <c r="E3024" s="88">
        <f>VLOOKUP(A3024,매칭테이블!B:D,3,0)</f>
        <v/>
      </c>
      <c r="J3024" s="94" t="n">
        <v>2169074.545454545</v>
      </c>
    </row>
    <row r="3025" hidden="1" customFormat="1" s="94">
      <c r="A3025" s="94" t="inlineStr">
        <is>
          <t>전환</t>
        </is>
      </c>
      <c r="B3025" s="147" t="n">
        <v>44193</v>
      </c>
      <c r="C3025" s="88">
        <f>TEXT(B3025,"aaa")</f>
        <v/>
      </c>
      <c r="D3025" s="88">
        <f>VLOOKUP(A3025,매칭테이블!B:C,2,0)</f>
        <v/>
      </c>
      <c r="E3025" s="88">
        <f>VLOOKUP(A3025,매칭테이블!B:D,3,0)</f>
        <v/>
      </c>
      <c r="J3025" s="94" t="n">
        <v>572374</v>
      </c>
    </row>
    <row r="3026" hidden="1" customFormat="1" s="94">
      <c r="A3026" s="94" t="inlineStr">
        <is>
          <t>도달_랄라블라</t>
        </is>
      </c>
      <c r="B3026" s="147" t="n">
        <v>44193</v>
      </c>
      <c r="C3026" s="88">
        <f>TEXT(B3026,"aaa")</f>
        <v/>
      </c>
      <c r="D3026" s="88">
        <f>VLOOKUP(A3026,매칭테이블!B:C,2,0)</f>
        <v/>
      </c>
      <c r="E3026" s="88">
        <f>VLOOKUP(A3026,매칭테이블!B:D,3,0)</f>
        <v/>
      </c>
      <c r="J3026" s="94" t="n">
        <v>28557</v>
      </c>
    </row>
    <row r="3027" hidden="1" customFormat="1" s="94">
      <c r="A3027" s="94" t="inlineStr">
        <is>
          <t>전환_토너패드</t>
        </is>
      </c>
      <c r="B3027" s="147" t="n">
        <v>44193</v>
      </c>
      <c r="C3027" s="88">
        <f>TEXT(B3027,"aaa")</f>
        <v/>
      </c>
      <c r="D3027" s="88">
        <f>VLOOKUP(A3027,매칭테이블!B:C,2,0)</f>
        <v/>
      </c>
      <c r="E3027" s="88">
        <f>VLOOKUP(A3027,매칭테이블!B:D,3,0)</f>
        <v/>
      </c>
      <c r="J3027" s="94" t="n">
        <v>525216</v>
      </c>
    </row>
    <row r="3028" hidden="1" customFormat="1" s="94">
      <c r="A3028" s="94" t="inlineStr">
        <is>
          <t>아누아_쇼핑M</t>
        </is>
      </c>
      <c r="B3028" s="147" t="n">
        <v>44193</v>
      </c>
      <c r="C3028" s="88">
        <f>TEXT(B3028,"aaa")</f>
        <v/>
      </c>
      <c r="D3028" s="88">
        <f>VLOOKUP(A3028,매칭테이블!B:C,2,0)</f>
        <v/>
      </c>
      <c r="E3028" s="88" t="n"/>
      <c r="J3028" s="94" t="n">
        <v>99769.99999999999</v>
      </c>
    </row>
    <row r="3029" hidden="1" customFormat="1" s="94">
      <c r="A3029" s="94" t="inlineStr">
        <is>
          <t>아누아_쇼핑PC</t>
        </is>
      </c>
      <c r="B3029" s="147" t="n">
        <v>44193</v>
      </c>
      <c r="C3029" s="88">
        <f>TEXT(B3029,"aaa")</f>
        <v/>
      </c>
      <c r="D3029" s="88">
        <f>VLOOKUP(A3029,매칭테이블!B:C,2,0)</f>
        <v/>
      </c>
      <c r="E3029" s="88" t="n"/>
      <c r="J3029" s="94" t="n">
        <v>2740</v>
      </c>
    </row>
    <row r="3030" hidden="1" customFormat="1" s="94">
      <c r="B3030" s="128" t="n">
        <v>44193</v>
      </c>
      <c r="C3030" s="88">
        <f>TEXT(B3030,"aaa")</f>
        <v/>
      </c>
      <c r="D3030" s="94" t="inlineStr">
        <is>
          <t>네이버 브랜드검색</t>
        </is>
      </c>
      <c r="E3030" s="94" t="inlineStr">
        <is>
          <t>토너</t>
        </is>
      </c>
      <c r="G3030" s="91" t="n"/>
      <c r="J3030" s="129" t="n">
        <v>50000</v>
      </c>
    </row>
    <row r="3031" hidden="1" customFormat="1" s="94">
      <c r="A3031" s="94" t="inlineStr">
        <is>
          <t>T_아누아_패드_메인</t>
        </is>
      </c>
      <c r="B3031" s="128" t="n">
        <v>44193</v>
      </c>
      <c r="C3031" s="88">
        <f>TEXT(B3031,"aaa")</f>
        <v/>
      </c>
      <c r="D3031" s="88">
        <f>VLOOKUP(A3031,매칭테이블!B:C,2,0)</f>
        <v/>
      </c>
      <c r="E3031" s="88">
        <f>VLOOKUP(A3031,매칭테이블!B:D,3,0)</f>
        <v/>
      </c>
      <c r="J3031" s="94" t="n">
        <v>5898856.363636363</v>
      </c>
    </row>
    <row r="3032" hidden="1" customFormat="1" s="94">
      <c r="A3032" s="94" t="inlineStr">
        <is>
          <t>T_아누아_토너_메인지면</t>
        </is>
      </c>
      <c r="B3032" s="128" t="n">
        <v>44193</v>
      </c>
      <c r="C3032" s="88">
        <f>TEXT(B3032,"aaa")</f>
        <v/>
      </c>
      <c r="D3032" s="88">
        <f>VLOOKUP(A3032,매칭테이블!B:C,2,0)</f>
        <v/>
      </c>
      <c r="E3032" s="88">
        <f>VLOOKUP(A3032,매칭테이블!B:D,3,0)</f>
        <v/>
      </c>
      <c r="J3032" s="94" t="n">
        <v>1605961.818181818</v>
      </c>
    </row>
    <row r="3033" customFormat="1" s="94">
      <c r="A3033" s="98" t="inlineStr">
        <is>
          <t>아누아_리타게팅(전체지면)</t>
        </is>
      </c>
      <c r="B3033" s="128" t="n">
        <v>44193</v>
      </c>
      <c r="C3033" s="88">
        <f>TEXT(B3033,"aaa")</f>
        <v/>
      </c>
      <c r="D3033" s="94" t="inlineStr">
        <is>
          <t>카카오광고</t>
        </is>
      </c>
      <c r="E3033" s="88">
        <f>VLOOKUP(A3033,매칭테이블!B:D,3,0)</f>
        <v/>
      </c>
      <c r="J3033" s="94" t="n">
        <v>189330</v>
      </c>
    </row>
    <row r="3034" hidden="1" customFormat="1" s="94">
      <c r="B3034" s="128" t="n">
        <v>44193</v>
      </c>
      <c r="C3034" s="88">
        <f>TEXT(B3034,"aaa")</f>
        <v/>
      </c>
      <c r="D3034" s="88" t="inlineStr">
        <is>
          <t>유튜브 디스커버리</t>
        </is>
      </c>
      <c r="E3034" s="88" t="inlineStr">
        <is>
          <t>토너</t>
        </is>
      </c>
      <c r="J3034" s="89" t="n">
        <v>1068230</v>
      </c>
    </row>
    <row r="3035" hidden="1" customFormat="1" s="94">
      <c r="A3035" s="94" t="inlineStr">
        <is>
          <t>전환</t>
        </is>
      </c>
      <c r="B3035" s="147" t="n">
        <v>44194</v>
      </c>
      <c r="C3035" s="88">
        <f>TEXT(B3035,"aaa")</f>
        <v/>
      </c>
      <c r="D3035" s="88">
        <f>VLOOKUP(A3035,매칭테이블!B:C,2,0)</f>
        <v/>
      </c>
      <c r="E3035" s="88">
        <f>VLOOKUP(A3035,매칭테이블!B:D,3,0)</f>
        <v/>
      </c>
      <c r="J3035" s="94" t="n">
        <v>465502</v>
      </c>
    </row>
    <row r="3036" hidden="1" customFormat="1" s="94">
      <c r="A3036" s="94" t="inlineStr">
        <is>
          <t>도달_랄라블라</t>
        </is>
      </c>
      <c r="B3036" s="147" t="n">
        <v>44194</v>
      </c>
      <c r="C3036" s="88">
        <f>TEXT(B3036,"aaa")</f>
        <v/>
      </c>
      <c r="D3036" s="88">
        <f>VLOOKUP(A3036,매칭테이블!B:C,2,0)</f>
        <v/>
      </c>
      <c r="E3036" s="88">
        <f>VLOOKUP(A3036,매칭테이블!B:D,3,0)</f>
        <v/>
      </c>
      <c r="J3036" s="94" t="n">
        <v>29242</v>
      </c>
    </row>
    <row r="3037" hidden="1" customFormat="1" s="94">
      <c r="A3037" s="94" t="inlineStr">
        <is>
          <t>전환_토너패드</t>
        </is>
      </c>
      <c r="B3037" s="147" t="n">
        <v>44194</v>
      </c>
      <c r="C3037" s="88">
        <f>TEXT(B3037,"aaa")</f>
        <v/>
      </c>
      <c r="D3037" s="88">
        <f>VLOOKUP(A3037,매칭테이블!B:C,2,0)</f>
        <v/>
      </c>
      <c r="E3037" s="88">
        <f>VLOOKUP(A3037,매칭테이블!B:D,3,0)</f>
        <v/>
      </c>
      <c r="J3037" s="94" t="n">
        <v>436261</v>
      </c>
    </row>
    <row r="3038" hidden="1" customFormat="1" s="94">
      <c r="A3038" s="94" t="inlineStr">
        <is>
          <t>아누아_쇼핑M</t>
        </is>
      </c>
      <c r="B3038" s="147" t="n">
        <v>44194</v>
      </c>
      <c r="C3038" s="88">
        <f>TEXT(B3038,"aaa")</f>
        <v/>
      </c>
      <c r="D3038" s="88">
        <f>VLOOKUP(A3038,매칭테이블!B:C,2,0)</f>
        <v/>
      </c>
      <c r="E3038" s="88" t="n"/>
      <c r="J3038" s="94" t="n">
        <v>72500</v>
      </c>
    </row>
    <row r="3039" hidden="1" customFormat="1" s="94">
      <c r="A3039" s="94" t="inlineStr">
        <is>
          <t>아누아_쇼핑PC</t>
        </is>
      </c>
      <c r="B3039" s="147" t="n">
        <v>44194</v>
      </c>
      <c r="C3039" s="88">
        <f>TEXT(B3039,"aaa")</f>
        <v/>
      </c>
      <c r="D3039" s="88">
        <f>VLOOKUP(A3039,매칭테이블!B:C,2,0)</f>
        <v/>
      </c>
      <c r="E3039" s="88" t="n"/>
      <c r="J3039" s="94" t="n">
        <v>5110</v>
      </c>
    </row>
    <row r="3040" hidden="1" customFormat="1" s="94">
      <c r="A3040" s="94" t="inlineStr">
        <is>
          <t>T_아누아_패드_메인</t>
        </is>
      </c>
      <c r="B3040" s="147" t="n">
        <v>44194</v>
      </c>
      <c r="C3040" s="88">
        <f>TEXT(B3040,"aaa")</f>
        <v/>
      </c>
      <c r="D3040" s="88">
        <f>VLOOKUP(A3040,매칭테이블!B:C,2,0)</f>
        <v/>
      </c>
      <c r="E3040" s="88">
        <f>VLOOKUP(A3040,매칭테이블!B:D,3,0)</f>
        <v/>
      </c>
      <c r="J3040" s="94" t="n">
        <v>7245109.09090909</v>
      </c>
    </row>
    <row r="3041" hidden="1" customFormat="1" s="94">
      <c r="A3041" s="94" t="inlineStr">
        <is>
          <t>T_아누아_토너_메인지면</t>
        </is>
      </c>
      <c r="B3041" s="147" t="n">
        <v>44194</v>
      </c>
      <c r="C3041" s="88">
        <f>TEXT(B3041,"aaa")</f>
        <v/>
      </c>
      <c r="D3041" s="88">
        <f>VLOOKUP(A3041,매칭테이블!B:C,2,0)</f>
        <v/>
      </c>
      <c r="E3041" s="88">
        <f>VLOOKUP(A3041,매칭테이블!B:D,3,0)</f>
        <v/>
      </c>
      <c r="J3041" s="94" t="n">
        <v>1028383.636363636</v>
      </c>
    </row>
    <row r="3042" customFormat="1" s="94">
      <c r="A3042" s="98" t="inlineStr">
        <is>
          <t>아누아_리타게팅(전체지면)</t>
        </is>
      </c>
      <c r="B3042" s="147" t="n">
        <v>44194</v>
      </c>
      <c r="C3042" s="88">
        <f>TEXT(B3042,"aaa")</f>
        <v/>
      </c>
      <c r="D3042" s="94" t="inlineStr">
        <is>
          <t>카카오광고</t>
        </is>
      </c>
      <c r="E3042" s="88">
        <f>VLOOKUP(A3042,매칭테이블!B:D,3,0)</f>
        <v/>
      </c>
      <c r="J3042" s="94" t="n">
        <v>154720</v>
      </c>
    </row>
    <row r="3043" hidden="1" customFormat="1" s="94">
      <c r="B3043" s="147" t="n">
        <v>44194</v>
      </c>
      <c r="C3043" s="88">
        <f>TEXT(B3043,"aaa")</f>
        <v/>
      </c>
      <c r="D3043" s="88" t="inlineStr">
        <is>
          <t>유튜브 디스커버리</t>
        </is>
      </c>
      <c r="E3043" s="88" t="inlineStr">
        <is>
          <t>토너</t>
        </is>
      </c>
      <c r="J3043" s="89" t="n">
        <v>583328</v>
      </c>
    </row>
    <row r="3044" hidden="1" customFormat="1" s="94">
      <c r="A3044" s="90" t="inlineStr">
        <is>
          <t>전환</t>
        </is>
      </c>
      <c r="B3044" s="147" t="n">
        <v>44195</v>
      </c>
      <c r="C3044" s="88">
        <f>TEXT(B3044,"aaa")</f>
        <v/>
      </c>
      <c r="D3044" s="88">
        <f>VLOOKUP(A3044,매칭테이블!B:C,2,0)</f>
        <v/>
      </c>
      <c r="E3044" s="88">
        <f>VLOOKUP(A3044,매칭테이블!B:D,3,0)</f>
        <v/>
      </c>
      <c r="J3044" s="84" t="n">
        <v>396063</v>
      </c>
    </row>
    <row r="3045" hidden="1" customFormat="1" s="94">
      <c r="A3045" s="90" t="inlineStr">
        <is>
          <t>도달_랄라블라</t>
        </is>
      </c>
      <c r="B3045" s="147" t="n">
        <v>44195</v>
      </c>
      <c r="C3045" s="88">
        <f>TEXT(B3045,"aaa")</f>
        <v/>
      </c>
      <c r="D3045" s="88">
        <f>VLOOKUP(A3045,매칭테이블!B:C,2,0)</f>
        <v/>
      </c>
      <c r="E3045" s="88">
        <f>VLOOKUP(A3045,매칭테이블!B:D,3,0)</f>
        <v/>
      </c>
      <c r="J3045" s="84" t="n">
        <v>29833</v>
      </c>
    </row>
    <row r="3046" hidden="1" customFormat="1" s="94">
      <c r="A3046" s="90" t="inlineStr">
        <is>
          <t>전환_토너패드</t>
        </is>
      </c>
      <c r="B3046" s="147" t="n">
        <v>44195</v>
      </c>
      <c r="C3046" s="88">
        <f>TEXT(B3046,"aaa")</f>
        <v/>
      </c>
      <c r="D3046" s="88">
        <f>VLOOKUP(A3046,매칭테이블!B:C,2,0)</f>
        <v/>
      </c>
      <c r="E3046" s="88">
        <f>VLOOKUP(A3046,매칭테이블!B:D,3,0)</f>
        <v/>
      </c>
      <c r="J3046" s="84" t="n">
        <v>535112</v>
      </c>
    </row>
    <row r="3047" hidden="1" customFormat="1" s="94">
      <c r="A3047" s="94" t="inlineStr">
        <is>
          <t>아누아_쇼핑M</t>
        </is>
      </c>
      <c r="B3047" s="147" t="n">
        <v>44195</v>
      </c>
      <c r="C3047" s="88">
        <f>TEXT(B3047,"aaa")</f>
        <v/>
      </c>
      <c r="D3047" s="88">
        <f>VLOOKUP(A3047,매칭테이블!B:C,2,0)</f>
        <v/>
      </c>
      <c r="E3047" s="88">
        <f>VLOOKUP(A3047,매칭테이블!B:D,3,0)</f>
        <v/>
      </c>
      <c r="J3047" s="89" t="n">
        <v>57649.99999999999</v>
      </c>
    </row>
    <row r="3048" hidden="1" customFormat="1" s="94">
      <c r="A3048" s="94" t="inlineStr">
        <is>
          <t>아누아_쇼핑PC</t>
        </is>
      </c>
      <c r="B3048" s="147" t="n">
        <v>44195</v>
      </c>
      <c r="C3048" s="88">
        <f>TEXT(B3048,"aaa")</f>
        <v/>
      </c>
      <c r="D3048" s="88">
        <f>VLOOKUP(A3048,매칭테이블!B:C,2,0)</f>
        <v/>
      </c>
      <c r="E3048" s="88">
        <f>VLOOKUP(A3048,매칭테이블!B:D,3,0)</f>
        <v/>
      </c>
      <c r="J3048" s="89" t="n">
        <v>8410</v>
      </c>
    </row>
    <row r="3049" customFormat="1" s="94">
      <c r="A3049" s="98" t="inlineStr">
        <is>
          <t>아누아_리타게팅(전체지면)</t>
        </is>
      </c>
      <c r="B3049" s="147" t="n">
        <v>44195</v>
      </c>
      <c r="C3049" s="88">
        <f>TEXT(B3049,"aaa")</f>
        <v/>
      </c>
      <c r="D3049" s="94" t="inlineStr">
        <is>
          <t>카카오광고</t>
        </is>
      </c>
      <c r="E3049" s="88">
        <f>VLOOKUP(A3049,매칭테이블!B:D,3,0)</f>
        <v/>
      </c>
      <c r="J3049" s="89" t="n">
        <v>209750</v>
      </c>
    </row>
    <row r="3050" hidden="1" customFormat="1" s="94">
      <c r="A3050" s="94" t="inlineStr">
        <is>
          <t>T_아누아_패드_메인</t>
        </is>
      </c>
      <c r="B3050" s="147" t="n">
        <v>44195</v>
      </c>
      <c r="C3050" s="88">
        <f>TEXT(B3050,"aaa")</f>
        <v/>
      </c>
      <c r="D3050" s="88">
        <f>VLOOKUP(A3050,매칭테이블!B:C,2,0)</f>
        <v/>
      </c>
      <c r="E3050" s="88">
        <f>VLOOKUP(A3050,매칭테이블!B:D,3,0)</f>
        <v/>
      </c>
      <c r="J3050" s="89" t="n">
        <v>4674090.909090909</v>
      </c>
    </row>
    <row r="3051" hidden="1" customFormat="1" s="94">
      <c r="A3051" s="94" t="inlineStr">
        <is>
          <t>T_아누아_토너_메인지면</t>
        </is>
      </c>
      <c r="B3051" s="147" t="n">
        <v>44195</v>
      </c>
      <c r="C3051" s="88">
        <f>TEXT(B3051,"aaa")</f>
        <v/>
      </c>
      <c r="D3051" s="88">
        <f>VLOOKUP(A3051,매칭테이블!B:C,2,0)</f>
        <v/>
      </c>
      <c r="E3051" s="88">
        <f>VLOOKUP(A3051,매칭테이블!B:D,3,0)</f>
        <v/>
      </c>
      <c r="J3051" s="89" t="n">
        <v>1219902.727272727</v>
      </c>
    </row>
    <row r="3052" hidden="1" customFormat="1" s="94">
      <c r="B3052" s="147" t="n">
        <v>44195</v>
      </c>
      <c r="C3052" s="88">
        <f>TEXT(B3052,"aaa")</f>
        <v/>
      </c>
      <c r="D3052" s="88" t="inlineStr">
        <is>
          <t>유튜브 디스커버리</t>
        </is>
      </c>
      <c r="E3052" s="88" t="inlineStr">
        <is>
          <t>토너</t>
        </is>
      </c>
      <c r="J3052" s="89" t="n">
        <v>669567</v>
      </c>
    </row>
    <row r="3053" customFormat="1" s="94">
      <c r="A3053" s="99" t="inlineStr">
        <is>
          <t>전환_토너패드</t>
        </is>
      </c>
      <c r="B3053" s="147" t="n">
        <v>44196</v>
      </c>
      <c r="C3053" s="88">
        <f>TEXT(B3053,"aaa")</f>
        <v/>
      </c>
      <c r="D3053" s="88" t="inlineStr">
        <is>
          <t>페이스북/인스타그램</t>
        </is>
      </c>
      <c r="E3053" s="88">
        <f>VLOOKUP(A3053,매칭테이블!B:D,3,0)</f>
        <v/>
      </c>
      <c r="J3053" s="89" t="n">
        <v>470501</v>
      </c>
    </row>
    <row r="3054" customFormat="1" s="94">
      <c r="A3054" s="99" t="inlineStr">
        <is>
          <t>도달_랄라블라</t>
        </is>
      </c>
      <c r="B3054" s="147" t="n">
        <v>44196</v>
      </c>
      <c r="C3054" s="88">
        <f>TEXT(B3054,"aaa")</f>
        <v/>
      </c>
      <c r="D3054" s="88" t="inlineStr">
        <is>
          <t>페이스북/인스타그램</t>
        </is>
      </c>
      <c r="E3054" s="88">
        <f>VLOOKUP(A3054,매칭테이블!B:D,3,0)</f>
        <v/>
      </c>
      <c r="J3054" s="89" t="n">
        <v>23643</v>
      </c>
    </row>
    <row r="3055" customFormat="1" s="94">
      <c r="A3055" s="99" t="inlineStr">
        <is>
          <t>전환</t>
        </is>
      </c>
      <c r="B3055" s="147" t="n">
        <v>44196</v>
      </c>
      <c r="C3055" s="88">
        <f>TEXT(B3055,"aaa")</f>
        <v/>
      </c>
      <c r="D3055" s="88" t="inlineStr">
        <is>
          <t>페이스북/인스타그램</t>
        </is>
      </c>
      <c r="E3055" s="88">
        <f>VLOOKUP(A3055,매칭테이블!B:D,3,0)</f>
        <v/>
      </c>
      <c r="J3055" s="89" t="n">
        <v>268765</v>
      </c>
    </row>
    <row r="3056" customFormat="1" s="94">
      <c r="A3056" s="99" t="inlineStr">
        <is>
          <t>전환_토너패드</t>
        </is>
      </c>
      <c r="B3056" s="147" t="n">
        <v>44197</v>
      </c>
      <c r="C3056" s="88">
        <f>TEXT(B3056,"aaa")</f>
        <v/>
      </c>
      <c r="D3056" s="88" t="inlineStr">
        <is>
          <t>페이스북/인스타그램</t>
        </is>
      </c>
      <c r="E3056" s="88">
        <f>VLOOKUP(A3056,매칭테이블!B:D,3,0)</f>
        <v/>
      </c>
      <c r="J3056" s="89" t="n">
        <v>276149</v>
      </c>
    </row>
    <row r="3057" customFormat="1" s="94">
      <c r="A3057" s="99" t="inlineStr">
        <is>
          <t>도달_랄라블라</t>
        </is>
      </c>
      <c r="B3057" s="147" t="n">
        <v>44197</v>
      </c>
      <c r="C3057" s="88">
        <f>TEXT(B3057,"aaa")</f>
        <v/>
      </c>
      <c r="D3057" s="88" t="inlineStr">
        <is>
          <t>페이스북/인스타그램</t>
        </is>
      </c>
      <c r="E3057" s="88">
        <f>VLOOKUP(A3057,매칭테이블!B:D,3,0)</f>
        <v/>
      </c>
      <c r="J3057" s="89" t="n">
        <v>14766</v>
      </c>
    </row>
    <row r="3058" customFormat="1" s="94">
      <c r="A3058" s="99" t="inlineStr">
        <is>
          <t>전환</t>
        </is>
      </c>
      <c r="B3058" s="147" t="n">
        <v>44197</v>
      </c>
      <c r="C3058" s="88">
        <f>TEXT(B3058,"aaa")</f>
        <v/>
      </c>
      <c r="D3058" s="88" t="inlineStr">
        <is>
          <t>페이스북/인스타그램</t>
        </is>
      </c>
      <c r="E3058" s="88">
        <f>VLOOKUP(A3058,매칭테이블!B:D,3,0)</f>
        <v/>
      </c>
      <c r="J3058" s="89" t="n">
        <v>141734</v>
      </c>
    </row>
    <row r="3059" customFormat="1" s="94">
      <c r="A3059" s="99" t="inlineStr">
        <is>
          <t>전환_토너패드</t>
        </is>
      </c>
      <c r="B3059" s="147" t="n">
        <v>44198</v>
      </c>
      <c r="C3059" s="88">
        <f>TEXT(B3059,"aaa")</f>
        <v/>
      </c>
      <c r="D3059" s="88" t="inlineStr">
        <is>
          <t>페이스북/인스타그램</t>
        </is>
      </c>
      <c r="E3059" s="88">
        <f>VLOOKUP(A3059,매칭테이블!B:D,3,0)</f>
        <v/>
      </c>
      <c r="J3059" s="89" t="n">
        <v>274432</v>
      </c>
    </row>
    <row r="3060" customFormat="1" s="94">
      <c r="A3060" s="99" t="inlineStr">
        <is>
          <t>도달_랄라블라</t>
        </is>
      </c>
      <c r="B3060" s="147" t="n">
        <v>44198</v>
      </c>
      <c r="C3060" s="88">
        <f>TEXT(B3060,"aaa")</f>
        <v/>
      </c>
      <c r="D3060" s="88" t="inlineStr">
        <is>
          <t>페이스북/인스타그램</t>
        </is>
      </c>
      <c r="E3060" s="88">
        <f>VLOOKUP(A3060,매칭테이블!B:D,3,0)</f>
        <v/>
      </c>
      <c r="J3060" s="89" t="n">
        <v>14743</v>
      </c>
    </row>
    <row r="3061" customFormat="1" s="94">
      <c r="A3061" s="99" t="inlineStr">
        <is>
          <t>전환</t>
        </is>
      </c>
      <c r="B3061" s="147" t="n">
        <v>44198</v>
      </c>
      <c r="C3061" s="88">
        <f>TEXT(B3061,"aaa")</f>
        <v/>
      </c>
      <c r="D3061" s="88" t="inlineStr">
        <is>
          <t>페이스북/인스타그램</t>
        </is>
      </c>
      <c r="E3061" s="88">
        <f>VLOOKUP(A3061,매칭테이블!B:D,3,0)</f>
        <v/>
      </c>
      <c r="J3061" s="89" t="n">
        <v>136847</v>
      </c>
    </row>
    <row r="3062" customFormat="1" s="94">
      <c r="A3062" s="99" t="inlineStr">
        <is>
          <t>전환_토너패드</t>
        </is>
      </c>
      <c r="B3062" s="147" t="n">
        <v>44199</v>
      </c>
      <c r="C3062" s="88">
        <f>TEXT(B3062,"aaa")</f>
        <v/>
      </c>
      <c r="D3062" s="88" t="inlineStr">
        <is>
          <t>페이스북/인스타그램</t>
        </is>
      </c>
      <c r="E3062" s="88">
        <f>VLOOKUP(A3062,매칭테이블!B:D,3,0)</f>
        <v/>
      </c>
      <c r="J3062" s="89" t="n">
        <v>391919</v>
      </c>
    </row>
    <row r="3063" customFormat="1" s="94">
      <c r="A3063" s="99" t="inlineStr">
        <is>
          <t>도달_랄라블라</t>
        </is>
      </c>
      <c r="B3063" s="147" t="n">
        <v>44199</v>
      </c>
      <c r="C3063" s="88">
        <f>TEXT(B3063,"aaa")</f>
        <v/>
      </c>
      <c r="D3063" s="88" t="inlineStr">
        <is>
          <t>페이스북/인스타그램</t>
        </is>
      </c>
      <c r="E3063" s="88">
        <f>VLOOKUP(A3063,매칭테이블!B:D,3,0)</f>
        <v/>
      </c>
      <c r="J3063" s="89" t="n">
        <v>20180</v>
      </c>
    </row>
    <row r="3064" customFormat="1" s="94">
      <c r="A3064" s="99" t="inlineStr">
        <is>
          <t>전환</t>
        </is>
      </c>
      <c r="B3064" s="147" t="n">
        <v>44199</v>
      </c>
      <c r="C3064" s="88">
        <f>TEXT(B3064,"aaa")</f>
        <v/>
      </c>
      <c r="D3064" s="88" t="inlineStr">
        <is>
          <t>페이스북/인스타그램</t>
        </is>
      </c>
      <c r="E3064" s="88">
        <f>VLOOKUP(A3064,매칭테이블!B:D,3,0)</f>
        <v/>
      </c>
      <c r="J3064" s="89" t="n">
        <v>194399</v>
      </c>
    </row>
    <row r="3065" customFormat="1" s="94">
      <c r="A3065" s="99" t="inlineStr">
        <is>
          <t>전환_토너_트러블</t>
        </is>
      </c>
      <c r="B3065" s="147" t="n">
        <v>44196</v>
      </c>
      <c r="C3065" s="88">
        <f>TEXT(B3065,"aaa")</f>
        <v/>
      </c>
      <c r="D3065" s="88" t="inlineStr">
        <is>
          <t>페이스북/인스타그램</t>
        </is>
      </c>
      <c r="E3065" s="88">
        <f>VLOOKUP(A3065,매칭테이블!B:D,3,0)</f>
        <v/>
      </c>
      <c r="J3065" s="89" t="n">
        <v>93955</v>
      </c>
    </row>
    <row r="3066" customFormat="1" s="94">
      <c r="A3066" s="99" t="inlineStr">
        <is>
          <t>전환_토너_트러블</t>
        </is>
      </c>
      <c r="B3066" s="147" t="n">
        <v>44197</v>
      </c>
      <c r="C3066" s="88">
        <f>TEXT(B3066,"aaa")</f>
        <v/>
      </c>
      <c r="D3066" s="88" t="inlineStr">
        <is>
          <t>페이스북/인스타그램</t>
        </is>
      </c>
      <c r="E3066" s="88">
        <f>VLOOKUP(A3066,매칭테이블!B:D,3,0)</f>
        <v/>
      </c>
      <c r="J3066" s="89" t="n">
        <v>99315</v>
      </c>
    </row>
    <row r="3067" customFormat="1" s="94">
      <c r="A3067" s="99" t="inlineStr">
        <is>
          <t>전환_토너_트러블</t>
        </is>
      </c>
      <c r="B3067" s="147" t="n">
        <v>44198</v>
      </c>
      <c r="C3067" s="88">
        <f>TEXT(B3067,"aaa")</f>
        <v/>
      </c>
      <c r="D3067" s="88" t="inlineStr">
        <is>
          <t>페이스북/인스타그램</t>
        </is>
      </c>
      <c r="E3067" s="88">
        <f>VLOOKUP(A3067,매칭테이블!B:D,3,0)</f>
        <v/>
      </c>
      <c r="J3067" s="89" t="n">
        <v>98328</v>
      </c>
    </row>
    <row r="3068" customFormat="1" s="94">
      <c r="A3068" s="99" t="inlineStr">
        <is>
          <t>전환_토너_트러블</t>
        </is>
      </c>
      <c r="B3068" s="147" t="n">
        <v>44199</v>
      </c>
      <c r="C3068" s="88">
        <f>TEXT(B3068,"aaa")</f>
        <v/>
      </c>
      <c r="D3068" s="88" t="inlineStr">
        <is>
          <t>페이스북/인스타그램</t>
        </is>
      </c>
      <c r="E3068" s="88">
        <f>VLOOKUP(A3068,매칭테이블!B:D,3,0)</f>
        <v/>
      </c>
      <c r="J3068" s="89" t="n">
        <v>100338</v>
      </c>
    </row>
    <row r="3069" customFormat="1" s="94">
      <c r="A3069" s="98" t="inlineStr">
        <is>
          <t>아누아_리타게팅(전체지면)</t>
        </is>
      </c>
      <c r="B3069" s="147" t="n">
        <v>44196</v>
      </c>
      <c r="C3069" s="88">
        <f>TEXT(B3069,"aaa")</f>
        <v/>
      </c>
      <c r="D3069" s="94" t="inlineStr">
        <is>
          <t>카카오광고</t>
        </is>
      </c>
      <c r="E3069" s="88">
        <f>VLOOKUP(A3069,매칭테이블!B:D,3,0)</f>
        <v/>
      </c>
      <c r="J3069" s="89" t="n">
        <v>239620</v>
      </c>
    </row>
    <row r="3070" customFormat="1" s="94">
      <c r="A3070" s="98" t="inlineStr">
        <is>
          <t>아누아_리타게팅(전체지면)</t>
        </is>
      </c>
      <c r="B3070" s="147" t="n">
        <v>44197</v>
      </c>
      <c r="C3070" s="88">
        <f>TEXT(B3070,"aaa")</f>
        <v/>
      </c>
      <c r="D3070" s="94" t="inlineStr">
        <is>
          <t>카카오광고</t>
        </is>
      </c>
      <c r="E3070" s="88">
        <f>VLOOKUP(A3070,매칭테이블!B:D,3,0)</f>
        <v/>
      </c>
      <c r="J3070" s="89" t="n">
        <v>352100</v>
      </c>
    </row>
    <row r="3071" customFormat="1" s="94">
      <c r="A3071" s="98" t="inlineStr">
        <is>
          <t>아누아_리타게팅(전체지면)</t>
        </is>
      </c>
      <c r="B3071" s="147" t="n">
        <v>44198</v>
      </c>
      <c r="C3071" s="88">
        <f>TEXT(B3071,"aaa")</f>
        <v/>
      </c>
      <c r="D3071" s="94" t="inlineStr">
        <is>
          <t>카카오광고</t>
        </is>
      </c>
      <c r="E3071" s="88">
        <f>VLOOKUP(A3071,매칭테이블!B:D,3,0)</f>
        <v/>
      </c>
      <c r="J3071" s="89" t="n">
        <v>342610</v>
      </c>
    </row>
    <row r="3072" customFormat="1" s="94">
      <c r="A3072" s="98" t="inlineStr">
        <is>
          <t>아누아_리타게팅(전체지면)</t>
        </is>
      </c>
      <c r="B3072" s="147" t="n">
        <v>44199</v>
      </c>
      <c r="C3072" s="88">
        <f>TEXT(B3072,"aaa")</f>
        <v/>
      </c>
      <c r="D3072" s="94" t="inlineStr">
        <is>
          <t>카카오광고</t>
        </is>
      </c>
      <c r="E3072" s="88">
        <f>VLOOKUP(A3072,매칭테이블!B:D,3,0)</f>
        <v/>
      </c>
      <c r="J3072" s="89" t="n">
        <v>401589.9999999999</v>
      </c>
    </row>
    <row r="3073" customFormat="1" s="94">
      <c r="A3073" s="98" t="inlineStr">
        <is>
          <t>아누아_비즈보드_도전_1231</t>
        </is>
      </c>
      <c r="B3073" s="147" t="n">
        <v>44196</v>
      </c>
      <c r="C3073" s="88">
        <f>TEXT(B3073,"aaa")</f>
        <v/>
      </c>
      <c r="D3073" s="94" t="inlineStr">
        <is>
          <t>카카오광고</t>
        </is>
      </c>
      <c r="E3073" s="88">
        <f>VLOOKUP(A3073,매칭테이블!B:D,3,0)</f>
        <v/>
      </c>
      <c r="J3073" s="89" t="n">
        <v>277610</v>
      </c>
    </row>
    <row r="3074" customFormat="1" s="94">
      <c r="A3074" s="98" t="inlineStr">
        <is>
          <t>아누아_비즈보드_도전_1231</t>
        </is>
      </c>
      <c r="B3074" s="147" t="n">
        <v>44197</v>
      </c>
      <c r="C3074" s="88">
        <f>TEXT(B3074,"aaa")</f>
        <v/>
      </c>
      <c r="D3074" s="94" t="inlineStr">
        <is>
          <t>카카오광고</t>
        </is>
      </c>
      <c r="E3074" s="88">
        <f>VLOOKUP(A3074,매칭테이블!B:D,3,0)</f>
        <v/>
      </c>
      <c r="J3074" s="89" t="n">
        <v>274550</v>
      </c>
    </row>
    <row r="3075" customFormat="1" s="94">
      <c r="A3075" s="98" t="inlineStr">
        <is>
          <t>아누아_비즈보드_도전_1231</t>
        </is>
      </c>
      <c r="B3075" s="147" t="n">
        <v>44198</v>
      </c>
      <c r="C3075" s="88">
        <f>TEXT(B3075,"aaa")</f>
        <v/>
      </c>
      <c r="D3075" s="94" t="inlineStr">
        <is>
          <t>카카오광고</t>
        </is>
      </c>
      <c r="E3075" s="88">
        <f>VLOOKUP(A3075,매칭테이블!B:D,3,0)</f>
        <v/>
      </c>
      <c r="J3075" s="89" t="n">
        <v>273320</v>
      </c>
    </row>
    <row r="3076" customFormat="1" s="94">
      <c r="A3076" s="98" t="inlineStr">
        <is>
          <t>아누아_비즈보드_도전_1231</t>
        </is>
      </c>
      <c r="B3076" s="147" t="n">
        <v>44199</v>
      </c>
      <c r="C3076" s="88">
        <f>TEXT(B3076,"aaa")</f>
        <v/>
      </c>
      <c r="D3076" s="94" t="inlineStr">
        <is>
          <t>카카오광고</t>
        </is>
      </c>
      <c r="E3076" s="88">
        <f>VLOOKUP(A3076,매칭테이블!B:D,3,0)</f>
        <v/>
      </c>
      <c r="J3076" s="89" t="n">
        <v>274780</v>
      </c>
    </row>
    <row r="3077" customFormat="1" s="94">
      <c r="A3077" s="98" t="inlineStr">
        <is>
          <t>아누아_쇼핑M</t>
        </is>
      </c>
      <c r="B3077" s="147" t="n">
        <v>44196</v>
      </c>
      <c r="C3077" s="88">
        <f>TEXT(B3077,"aaa")</f>
        <v/>
      </c>
      <c r="D3077" s="88" t="inlineStr">
        <is>
          <t>네이버 쇼핑검색</t>
        </is>
      </c>
      <c r="E3077" s="88" t="n"/>
      <c r="J3077" s="89" t="n">
        <v>46049.99999999999</v>
      </c>
    </row>
    <row r="3078" customFormat="1" s="94">
      <c r="A3078" s="98" t="inlineStr">
        <is>
          <t>아누아_쇼핑M</t>
        </is>
      </c>
      <c r="B3078" s="147" t="n">
        <v>44197</v>
      </c>
      <c r="C3078" s="88">
        <f>TEXT(B3078,"aaa")</f>
        <v/>
      </c>
      <c r="D3078" s="88" t="inlineStr">
        <is>
          <t>네이버 쇼핑검색</t>
        </is>
      </c>
      <c r="E3078" s="88" t="n"/>
      <c r="J3078" s="89" t="n">
        <v>60939.99999999999</v>
      </c>
    </row>
    <row r="3079" customFormat="1" s="94">
      <c r="A3079" s="98" t="inlineStr">
        <is>
          <t>아누아_쇼핑M</t>
        </is>
      </c>
      <c r="B3079" s="147" t="n">
        <v>44198</v>
      </c>
      <c r="C3079" s="88">
        <f>TEXT(B3079,"aaa")</f>
        <v/>
      </c>
      <c r="D3079" s="88" t="inlineStr">
        <is>
          <t>네이버 쇼핑검색</t>
        </is>
      </c>
      <c r="E3079" s="88" t="n"/>
      <c r="J3079" s="89" t="n">
        <v>70940</v>
      </c>
    </row>
    <row r="3080" customFormat="1" s="94">
      <c r="A3080" s="98" t="inlineStr">
        <is>
          <t>아누아_쇼핑M</t>
        </is>
      </c>
      <c r="B3080" s="147" t="n">
        <v>44199</v>
      </c>
      <c r="C3080" s="88">
        <f>TEXT(B3080,"aaa")</f>
        <v/>
      </c>
      <c r="D3080" s="88" t="inlineStr">
        <is>
          <t>네이버 쇼핑검색</t>
        </is>
      </c>
      <c r="E3080" s="88" t="n"/>
      <c r="J3080" s="89" t="n">
        <v>93559.99999999999</v>
      </c>
    </row>
    <row r="3081" customFormat="1" s="94">
      <c r="A3081" s="98" t="inlineStr">
        <is>
          <t>아누아_쇼핑PC</t>
        </is>
      </c>
      <c r="B3081" s="147" t="n">
        <v>44196</v>
      </c>
      <c r="C3081" s="88">
        <f>TEXT(B3081,"aaa")</f>
        <v/>
      </c>
      <c r="D3081" s="88" t="inlineStr">
        <is>
          <t>네이버 쇼핑검색</t>
        </is>
      </c>
      <c r="E3081" s="88" t="n"/>
      <c r="J3081" s="89" t="n">
        <v>3240</v>
      </c>
    </row>
    <row r="3082" customFormat="1" s="94">
      <c r="A3082" s="98" t="inlineStr">
        <is>
          <t>아누아_쇼핑PC</t>
        </is>
      </c>
      <c r="B3082" s="147" t="n">
        <v>44197</v>
      </c>
      <c r="C3082" s="88">
        <f>TEXT(B3082,"aaa")</f>
        <v/>
      </c>
      <c r="D3082" s="88" t="inlineStr">
        <is>
          <t>네이버 쇼핑검색</t>
        </is>
      </c>
      <c r="E3082" s="88" t="n"/>
      <c r="J3082" s="89" t="n">
        <v>1080</v>
      </c>
    </row>
    <row r="3083" customFormat="1" s="94">
      <c r="A3083" s="98" t="inlineStr">
        <is>
          <t>아누아_쇼핑PC</t>
        </is>
      </c>
      <c r="B3083" s="147" t="n">
        <v>44198</v>
      </c>
      <c r="C3083" s="88">
        <f>TEXT(B3083,"aaa")</f>
        <v/>
      </c>
      <c r="D3083" s="88" t="inlineStr">
        <is>
          <t>네이버 쇼핑검색</t>
        </is>
      </c>
      <c r="E3083" s="88" t="n"/>
      <c r="J3083" s="89" t="n">
        <v>2370</v>
      </c>
    </row>
    <row r="3084" customFormat="1" s="94">
      <c r="A3084" s="98" t="inlineStr">
        <is>
          <t>아누아_쇼핑PC</t>
        </is>
      </c>
      <c r="B3084" s="147" t="n">
        <v>44199</v>
      </c>
      <c r="C3084" s="88">
        <f>TEXT(B3084,"aaa")</f>
        <v/>
      </c>
      <c r="D3084" s="88" t="inlineStr">
        <is>
          <t>네이버 쇼핑검색</t>
        </is>
      </c>
      <c r="E3084" s="88" t="n"/>
      <c r="J3084" s="89" t="n">
        <v>3780</v>
      </c>
    </row>
    <row r="3085" customFormat="1" s="94">
      <c r="A3085" s="98" t="inlineStr">
        <is>
          <t>T_아누아_패드_서브</t>
        </is>
      </c>
      <c r="B3085" s="147" t="n">
        <v>44196</v>
      </c>
      <c r="C3085" s="88">
        <f>TEXT(B3085,"aaa")</f>
        <v/>
      </c>
      <c r="D3085" s="88" t="inlineStr">
        <is>
          <t>네이버 GFA</t>
        </is>
      </c>
      <c r="E3085" s="88">
        <f>VLOOKUP(A3085,매칭테이블!B:D,3,0)</f>
        <v/>
      </c>
      <c r="J3085" s="89" t="n">
        <v>19827.27272727272</v>
      </c>
    </row>
    <row r="3086" customFormat="1" s="94">
      <c r="A3086" s="98" t="inlineStr">
        <is>
          <t>T_아누아_패드_서브</t>
        </is>
      </c>
      <c r="B3086" s="147" t="n">
        <v>44196</v>
      </c>
      <c r="C3086" s="88">
        <f>TEXT(B3086,"aaa")</f>
        <v/>
      </c>
      <c r="D3086" s="88" t="inlineStr">
        <is>
          <t>네이버 GFA</t>
        </is>
      </c>
      <c r="E3086" s="88">
        <f>VLOOKUP(A3086,매칭테이블!B:D,3,0)</f>
        <v/>
      </c>
      <c r="J3086" s="89" t="n">
        <v>86008.18181818181</v>
      </c>
    </row>
    <row r="3087" customFormat="1" s="94">
      <c r="A3087" s="98" t="inlineStr">
        <is>
          <t>T_아누아_패드모공_메인</t>
        </is>
      </c>
      <c r="B3087" s="147" t="n">
        <v>44196</v>
      </c>
      <c r="C3087" s="88">
        <f>TEXT(B3087,"aaa")</f>
        <v/>
      </c>
      <c r="D3087" s="88" t="inlineStr">
        <is>
          <t>네이버 GFA</t>
        </is>
      </c>
      <c r="E3087" s="88">
        <f>VLOOKUP(A3087,매칭테이블!B:D,3,0)</f>
        <v/>
      </c>
      <c r="J3087" s="89" t="n">
        <v>117669.0909090909</v>
      </c>
    </row>
    <row r="3088" customFormat="1" s="94">
      <c r="A3088" s="98" t="inlineStr">
        <is>
          <t>T_아누아_패드모공_메인</t>
        </is>
      </c>
      <c r="B3088" s="147" t="n">
        <v>44196</v>
      </c>
      <c r="C3088" s="88">
        <f>TEXT(B3088,"aaa")</f>
        <v/>
      </c>
      <c r="D3088" s="88" t="inlineStr">
        <is>
          <t>네이버 GFA</t>
        </is>
      </c>
      <c r="E3088" s="88">
        <f>VLOOKUP(A3088,매칭테이블!B:D,3,0)</f>
        <v/>
      </c>
      <c r="J3088" s="89" t="n">
        <v>710663.6363636364</v>
      </c>
    </row>
    <row r="3089" customFormat="1" s="94">
      <c r="A3089" s="98" t="inlineStr">
        <is>
          <t>T_아누아_패드_메인</t>
        </is>
      </c>
      <c r="B3089" s="147" t="n">
        <v>44197</v>
      </c>
      <c r="C3089" s="88">
        <f>TEXT(B3089,"aaa")</f>
        <v/>
      </c>
      <c r="D3089" s="88" t="inlineStr">
        <is>
          <t>네이버 GFA</t>
        </is>
      </c>
      <c r="E3089" s="88">
        <f>VLOOKUP(A3089,매칭테이블!B:D,3,0)</f>
        <v/>
      </c>
      <c r="J3089" s="89" t="n">
        <v>6738761.818181817</v>
      </c>
    </row>
    <row r="3090" customFormat="1" s="94">
      <c r="A3090" s="98" t="inlineStr">
        <is>
          <t>T_아누아_패드_메인</t>
        </is>
      </c>
      <c r="B3090" s="147" t="n">
        <v>44197</v>
      </c>
      <c r="C3090" s="88">
        <f>TEXT(B3090,"aaa")</f>
        <v/>
      </c>
      <c r="D3090" s="88" t="inlineStr">
        <is>
          <t>네이버 GFA</t>
        </is>
      </c>
      <c r="E3090" s="88">
        <f>VLOOKUP(A3090,매칭테이블!B:D,3,0)</f>
        <v/>
      </c>
      <c r="J3090" s="89" t="n">
        <v>5368067.272727272</v>
      </c>
    </row>
    <row r="3091" customFormat="1" s="94">
      <c r="A3091" s="98" t="inlineStr">
        <is>
          <t>T_아누아_패드_메인</t>
        </is>
      </c>
      <c r="B3091" s="147" t="n">
        <v>44198</v>
      </c>
      <c r="C3091" s="88">
        <f>TEXT(B3091,"aaa")</f>
        <v/>
      </c>
      <c r="D3091" s="88" t="inlineStr">
        <is>
          <t>네이버 GFA</t>
        </is>
      </c>
      <c r="E3091" s="88">
        <f>VLOOKUP(A3091,매칭테이블!B:D,3,0)</f>
        <v/>
      </c>
      <c r="J3091" s="89" t="n">
        <v>5791245.454545454</v>
      </c>
    </row>
    <row r="3092" customFormat="1" s="94">
      <c r="A3092" s="98" t="inlineStr">
        <is>
          <t>T_아누아_패드_메인</t>
        </is>
      </c>
      <c r="B3092" s="147" t="n">
        <v>44198</v>
      </c>
      <c r="C3092" s="88">
        <f>TEXT(B3092,"aaa")</f>
        <v/>
      </c>
      <c r="D3092" s="88" t="inlineStr">
        <is>
          <t>네이버 GFA</t>
        </is>
      </c>
      <c r="E3092" s="88">
        <f>VLOOKUP(A3092,매칭테이블!B:D,3,0)</f>
        <v/>
      </c>
      <c r="J3092" s="89" t="n">
        <v>3551437.272727272</v>
      </c>
    </row>
    <row r="3093" customFormat="1" s="94">
      <c r="A3093" s="98" t="inlineStr">
        <is>
          <t>T_아누아_토너_메인지면</t>
        </is>
      </c>
      <c r="B3093" s="147" t="n">
        <v>44199</v>
      </c>
      <c r="C3093" s="88">
        <f>TEXT(B3093,"aaa")</f>
        <v/>
      </c>
      <c r="D3093" s="88" t="inlineStr">
        <is>
          <t>네이버 GFA</t>
        </is>
      </c>
      <c r="E3093" s="88">
        <f>VLOOKUP(A3093,매칭테이블!B:D,3,0)</f>
        <v/>
      </c>
      <c r="J3093" s="89" t="n">
        <v>448435.4545454545</v>
      </c>
    </row>
    <row r="3094" customFormat="1" s="94">
      <c r="A3094" s="98" t="inlineStr">
        <is>
          <t>T_아누아_토너_메인지면</t>
        </is>
      </c>
      <c r="B3094" s="147" t="n">
        <v>44199</v>
      </c>
      <c r="C3094" s="88">
        <f>TEXT(B3094,"aaa")</f>
        <v/>
      </c>
      <c r="D3094" s="88" t="inlineStr">
        <is>
          <t>네이버 GFA</t>
        </is>
      </c>
      <c r="E3094" s="88">
        <f>VLOOKUP(A3094,매칭테이블!B:D,3,0)</f>
        <v/>
      </c>
      <c r="J3094" s="89" t="n">
        <v>448393.6363636364</v>
      </c>
    </row>
    <row r="3095" customFormat="1" s="94">
      <c r="A3095" s="98" t="inlineStr">
        <is>
          <t>T_아누아_토너_메인지면</t>
        </is>
      </c>
      <c r="B3095" s="147" t="n">
        <v>44199</v>
      </c>
      <c r="C3095" s="88">
        <f>TEXT(B3095,"aaa")</f>
        <v/>
      </c>
      <c r="D3095" s="88" t="inlineStr">
        <is>
          <t>네이버 GFA</t>
        </is>
      </c>
      <c r="E3095" s="88">
        <f>VLOOKUP(A3095,매칭테이블!B:D,3,0)</f>
        <v/>
      </c>
      <c r="J3095" s="89" t="n">
        <v>452163.6363636364</v>
      </c>
    </row>
    <row r="3096" customFormat="1" s="94">
      <c r="A3096" s="98" t="inlineStr">
        <is>
          <t>T_아누아_토너_메인지면</t>
        </is>
      </c>
      <c r="B3096" s="147" t="n">
        <v>44199</v>
      </c>
      <c r="C3096" s="88">
        <f>TEXT(B3096,"aaa")</f>
        <v/>
      </c>
      <c r="D3096" s="88" t="inlineStr">
        <is>
          <t>네이버 GFA</t>
        </is>
      </c>
      <c r="E3096" s="88">
        <f>VLOOKUP(A3096,매칭테이블!B:D,3,0)</f>
        <v/>
      </c>
      <c r="J3096" s="89" t="n">
        <v>285906.3636363636</v>
      </c>
    </row>
    <row r="3097" customFormat="1" s="94">
      <c r="A3097" s="98" t="inlineStr">
        <is>
          <t>디스커버리_혜오니</t>
        </is>
      </c>
      <c r="B3097" s="147" t="n">
        <v>44196</v>
      </c>
      <c r="C3097" s="88">
        <f>TEXT(B3097,"aaa")</f>
        <v/>
      </c>
      <c r="D3097" s="88" t="inlineStr">
        <is>
          <t>유튜브 디스커버리</t>
        </is>
      </c>
      <c r="E3097" s="88">
        <f>VLOOKUP(A3097,매칭테이블!B:D,3,0)</f>
        <v/>
      </c>
      <c r="J3097" s="89" t="n">
        <v>177030</v>
      </c>
    </row>
    <row r="3098" customFormat="1" s="94">
      <c r="A3098" s="98" t="inlineStr">
        <is>
          <t>디스커버리_채우</t>
        </is>
      </c>
      <c r="B3098" s="147" t="n">
        <v>44196</v>
      </c>
      <c r="C3098" s="88">
        <f>TEXT(B3098,"aaa")</f>
        <v/>
      </c>
      <c r="D3098" s="88" t="inlineStr">
        <is>
          <t>유튜브 디스커버리</t>
        </is>
      </c>
      <c r="E3098" s="88">
        <f>VLOOKUP(A3098,매칭테이블!B:D,3,0)</f>
        <v/>
      </c>
      <c r="J3098" s="89" t="n">
        <v>386851</v>
      </c>
    </row>
    <row r="3099" customFormat="1" s="94">
      <c r="A3099" s="98" t="inlineStr">
        <is>
          <t>디스커버리_천서영님_썸네일테스트 #3</t>
        </is>
      </c>
      <c r="B3099" s="147" t="n">
        <v>44196</v>
      </c>
      <c r="C3099" s="88">
        <f>TEXT(B3099,"aaa")</f>
        <v/>
      </c>
      <c r="D3099" s="88" t="inlineStr">
        <is>
          <t>유튜브 디스커버리</t>
        </is>
      </c>
      <c r="E3099" s="88">
        <f>VLOOKUP(A3099,매칭테이블!B:D,3,0)</f>
        <v/>
      </c>
      <c r="J3099" s="89" t="n">
        <v>227577</v>
      </c>
    </row>
    <row r="3100" customFormat="1" s="94">
      <c r="A3100" s="98" t="inlineStr">
        <is>
          <t>디스커버리_혜오니</t>
        </is>
      </c>
      <c r="B3100" s="147" t="n">
        <v>44197</v>
      </c>
      <c r="C3100" s="88">
        <f>TEXT(B3100,"aaa")</f>
        <v/>
      </c>
      <c r="D3100" s="88" t="inlineStr">
        <is>
          <t>유튜브 디스커버리</t>
        </is>
      </c>
      <c r="E3100" s="88">
        <f>VLOOKUP(A3100,매칭테이블!B:D,3,0)</f>
        <v/>
      </c>
      <c r="J3100" s="89" t="n">
        <v>207043</v>
      </c>
    </row>
    <row r="3101" customFormat="1" s="94">
      <c r="A3101" s="98" t="inlineStr">
        <is>
          <t>디스커버리_천서영님_썸네일테스트 #3</t>
        </is>
      </c>
      <c r="B3101" s="147" t="n">
        <v>44197</v>
      </c>
      <c r="C3101" s="88">
        <f>TEXT(B3101,"aaa")</f>
        <v/>
      </c>
      <c r="D3101" s="88" t="inlineStr">
        <is>
          <t>유튜브 디스커버리</t>
        </is>
      </c>
      <c r="E3101" s="88">
        <f>VLOOKUP(A3101,매칭테이블!B:D,3,0)</f>
        <v/>
      </c>
      <c r="J3101" s="89" t="n">
        <v>150727</v>
      </c>
    </row>
    <row r="3102" customFormat="1" s="94">
      <c r="A3102" s="98" t="inlineStr">
        <is>
          <t>디스커버리_채우</t>
        </is>
      </c>
      <c r="B3102" s="147" t="n">
        <v>44197</v>
      </c>
      <c r="C3102" s="88">
        <f>TEXT(B3102,"aaa")</f>
        <v/>
      </c>
      <c r="D3102" s="88" t="inlineStr">
        <is>
          <t>유튜브 디스커버리</t>
        </is>
      </c>
      <c r="E3102" s="88">
        <f>VLOOKUP(A3102,매칭테이블!B:D,3,0)</f>
        <v/>
      </c>
      <c r="J3102" s="89" t="n">
        <v>7309</v>
      </c>
    </row>
    <row r="3103" customFormat="1" s="94">
      <c r="A3103" s="98" t="inlineStr">
        <is>
          <t>디스커버리_채우</t>
        </is>
      </c>
      <c r="B3103" s="147" t="n">
        <v>44198</v>
      </c>
      <c r="C3103" s="88">
        <f>TEXT(B3103,"aaa")</f>
        <v/>
      </c>
      <c r="D3103" s="88" t="inlineStr">
        <is>
          <t>유튜브 디스커버리</t>
        </is>
      </c>
      <c r="E3103" s="88">
        <f>VLOOKUP(A3103,매칭테이블!B:D,3,0)</f>
        <v/>
      </c>
      <c r="J3103" s="89" t="n">
        <v>25</v>
      </c>
    </row>
    <row r="3104" customFormat="1" s="94">
      <c r="A3104" s="98" t="inlineStr">
        <is>
          <t>디스커버리_천서영님_썸네일테스트 #3</t>
        </is>
      </c>
      <c r="B3104" s="147" t="n">
        <v>44198</v>
      </c>
      <c r="C3104" s="88">
        <f>TEXT(B3104,"aaa")</f>
        <v/>
      </c>
      <c r="D3104" s="88" t="inlineStr">
        <is>
          <t>유튜브 디스커버리</t>
        </is>
      </c>
      <c r="E3104" s="88">
        <f>VLOOKUP(A3104,매칭테이블!B:D,3,0)</f>
        <v/>
      </c>
      <c r="J3104" s="89" t="n">
        <v>12</v>
      </c>
    </row>
    <row r="3105" customFormat="1" s="94">
      <c r="A3105" s="99" t="inlineStr">
        <is>
          <t>전환</t>
        </is>
      </c>
      <c r="B3105" s="147" t="n">
        <v>44200</v>
      </c>
      <c r="C3105" s="88">
        <f>TEXT(B3105,"aaa")</f>
        <v/>
      </c>
      <c r="D3105" s="88" t="inlineStr">
        <is>
          <t>페이스북/인스타그램</t>
        </is>
      </c>
      <c r="E3105" s="88">
        <f>VLOOKUP(A3105,매칭테이블!B:D,3,0)</f>
        <v/>
      </c>
      <c r="J3105" s="89" t="n">
        <v>389907</v>
      </c>
    </row>
    <row r="3106" customFormat="1" s="94">
      <c r="A3106" s="99" t="inlineStr">
        <is>
          <t>도달_랄라블라</t>
        </is>
      </c>
      <c r="B3106" s="147" t="n">
        <v>44200</v>
      </c>
      <c r="C3106" s="88">
        <f>TEXT(B3106,"aaa")</f>
        <v/>
      </c>
      <c r="D3106" s="88" t="inlineStr">
        <is>
          <t>페이스북/인스타그램</t>
        </is>
      </c>
      <c r="E3106" s="88">
        <f>VLOOKUP(A3106,매칭테이블!B:D,3,0)</f>
        <v/>
      </c>
      <c r="J3106" s="89" t="n">
        <v>28686</v>
      </c>
    </row>
    <row r="3107" customFormat="1" s="94">
      <c r="A3107" s="99" t="inlineStr">
        <is>
          <t>전환_토너패드</t>
        </is>
      </c>
      <c r="B3107" s="147" t="n">
        <v>44200</v>
      </c>
      <c r="C3107" s="88">
        <f>TEXT(B3107,"aaa")</f>
        <v/>
      </c>
      <c r="D3107" s="88" t="inlineStr">
        <is>
          <t>페이스북/인스타그램</t>
        </is>
      </c>
      <c r="E3107" s="88">
        <f>VLOOKUP(A3107,매칭테이블!B:D,3,0)</f>
        <v/>
      </c>
      <c r="J3107" s="89" t="n">
        <v>553994</v>
      </c>
    </row>
    <row r="3108" customFormat="1" s="94">
      <c r="A3108" s="99" t="inlineStr">
        <is>
          <t>전환_토너_트러블</t>
        </is>
      </c>
      <c r="B3108" s="147" t="n">
        <v>44200</v>
      </c>
      <c r="C3108" s="88">
        <f>TEXT(B3108,"aaa")</f>
        <v/>
      </c>
      <c r="D3108" s="88" t="inlineStr">
        <is>
          <t>페이스북/인스타그램</t>
        </is>
      </c>
      <c r="E3108" s="88">
        <f>VLOOKUP(A3108,매칭테이블!B:D,3,0)</f>
        <v/>
      </c>
      <c r="J3108" s="89" t="n">
        <v>4417</v>
      </c>
    </row>
    <row r="3109" customFormat="1" s="94">
      <c r="A3109" s="98" t="inlineStr">
        <is>
          <t>T_아누아_패드_서브</t>
        </is>
      </c>
      <c r="B3109" s="147" t="n">
        <v>44200</v>
      </c>
      <c r="C3109" s="88">
        <f>TEXT(B3109,"aaa")</f>
        <v/>
      </c>
      <c r="D3109" s="88" t="inlineStr">
        <is>
          <t>네이버 GFA</t>
        </is>
      </c>
      <c r="E3109" s="88">
        <f>VLOOKUP(A3109,매칭테이블!B:D,3,0)</f>
        <v/>
      </c>
      <c r="J3109" s="89" t="n">
        <v>34779.0909090909</v>
      </c>
    </row>
    <row r="3110" customFormat="1" s="94">
      <c r="A3110" s="98" t="inlineStr">
        <is>
          <t>T_아누아_패드모공_메인</t>
        </is>
      </c>
      <c r="B3110" s="147" t="n">
        <v>44200</v>
      </c>
      <c r="C3110" s="88">
        <f>TEXT(B3110,"aaa")</f>
        <v/>
      </c>
      <c r="D3110" s="88" t="inlineStr">
        <is>
          <t>네이버 GFA</t>
        </is>
      </c>
      <c r="E3110" s="88">
        <f>VLOOKUP(A3110,매칭테이블!B:D,3,0)</f>
        <v/>
      </c>
      <c r="J3110" s="89" t="n">
        <v>246019.0909090909</v>
      </c>
    </row>
    <row r="3111" customFormat="1" s="94">
      <c r="A3111" s="98" t="inlineStr">
        <is>
          <t>T_아누아_패드_메인</t>
        </is>
      </c>
      <c r="B3111" s="147" t="n">
        <v>44200</v>
      </c>
      <c r="C3111" s="88">
        <f>TEXT(B3111,"aaa")</f>
        <v/>
      </c>
      <c r="D3111" s="88" t="inlineStr">
        <is>
          <t>네이버 GFA</t>
        </is>
      </c>
      <c r="E3111" s="88">
        <f>VLOOKUP(A3111,매칭테이블!B:D,3,0)</f>
        <v/>
      </c>
      <c r="J3111" s="89" t="n">
        <v>3260623.636363636</v>
      </c>
    </row>
    <row r="3112" customFormat="1" s="94">
      <c r="A3112" s="98" t="inlineStr">
        <is>
          <t>T_아누아_토너_메인지면</t>
        </is>
      </c>
      <c r="B3112" s="147" t="n">
        <v>44200</v>
      </c>
      <c r="C3112" s="88">
        <f>TEXT(B3112,"aaa")</f>
        <v/>
      </c>
      <c r="D3112" s="88" t="inlineStr">
        <is>
          <t>네이버 GFA</t>
        </is>
      </c>
      <c r="E3112" s="88">
        <f>VLOOKUP(A3112,매칭테이블!B:D,3,0)</f>
        <v/>
      </c>
      <c r="J3112" s="89" t="n">
        <v>451964.5454545454</v>
      </c>
    </row>
    <row r="3113" customFormat="1" s="94">
      <c r="A3113" s="98" t="inlineStr">
        <is>
          <t>아누아_청귤마스크팩_품평단모집_0104</t>
        </is>
      </c>
      <c r="B3113" s="147" t="n">
        <v>44200</v>
      </c>
      <c r="C3113" s="88">
        <f>TEXT(B3113,"aaa")</f>
        <v/>
      </c>
      <c r="D3113" s="88" t="inlineStr">
        <is>
          <t>카카오광고</t>
        </is>
      </c>
      <c r="E3113" s="88">
        <f>VLOOKUP(A3113,매칭테이블!B:D,3,0)</f>
        <v/>
      </c>
      <c r="J3113" s="89" t="n">
        <v>601215</v>
      </c>
    </row>
    <row r="3114" customFormat="1" s="94">
      <c r="A3114" s="98" t="inlineStr">
        <is>
          <t>디스커버리_천서영님_썸네일테스트 #3</t>
        </is>
      </c>
      <c r="B3114" s="147" t="n">
        <v>44200</v>
      </c>
      <c r="C3114" s="88">
        <f>TEXT(B3114,"aaa")</f>
        <v/>
      </c>
      <c r="D3114" s="88" t="inlineStr">
        <is>
          <t>유튜브 디스커버리</t>
        </is>
      </c>
      <c r="E3114" s="88">
        <f>VLOOKUP(A3114,매칭테이블!B:D,3,0)</f>
        <v/>
      </c>
      <c r="J3114" s="89" t="n">
        <v>437812</v>
      </c>
    </row>
    <row r="3115" customFormat="1" s="94">
      <c r="A3115" s="98" t="inlineStr">
        <is>
          <t>디스커버리_채우</t>
        </is>
      </c>
      <c r="B3115" s="147" t="n">
        <v>44200</v>
      </c>
      <c r="C3115" s="88">
        <f>TEXT(B3115,"aaa")</f>
        <v/>
      </c>
      <c r="D3115" s="88" t="inlineStr">
        <is>
          <t>유튜브 디스커버리</t>
        </is>
      </c>
      <c r="E3115" s="88">
        <f>VLOOKUP(A3115,매칭테이블!B:D,3,0)</f>
        <v/>
      </c>
      <c r="J3115" s="89" t="n">
        <v>397700</v>
      </c>
    </row>
    <row r="3116" customFormat="1" s="94">
      <c r="A3116" s="98" t="inlineStr">
        <is>
          <t>디스커버리_혜오니</t>
        </is>
      </c>
      <c r="B3116" s="147" t="n">
        <v>44200</v>
      </c>
      <c r="C3116" s="88">
        <f>TEXT(B3116,"aaa")</f>
        <v/>
      </c>
      <c r="D3116" s="88" t="inlineStr">
        <is>
          <t>유튜브 디스커버리</t>
        </is>
      </c>
      <c r="E3116" s="88">
        <f>VLOOKUP(A3116,매칭테이블!B:D,3,0)</f>
        <v/>
      </c>
      <c r="J3116" s="89" t="n">
        <v>212130</v>
      </c>
    </row>
    <row r="3117" customFormat="1" s="94">
      <c r="A3117" s="98" t="inlineStr">
        <is>
          <t>아누아_쇼핑M</t>
        </is>
      </c>
      <c r="B3117" s="147" t="n">
        <v>44200</v>
      </c>
      <c r="C3117" s="88">
        <f>TEXT(B3117,"aaa")</f>
        <v/>
      </c>
      <c r="D3117" s="88" t="inlineStr">
        <is>
          <t>네이버 쇼핑검색</t>
        </is>
      </c>
      <c r="E3117" s="88" t="n"/>
      <c r="J3117" s="89" t="n">
        <v>87290</v>
      </c>
    </row>
    <row r="3118" customFormat="1" s="94">
      <c r="A3118" s="98" t="inlineStr">
        <is>
          <t>아누아_쇼핑PC</t>
        </is>
      </c>
      <c r="B3118" s="147" t="n">
        <v>44200</v>
      </c>
      <c r="C3118" s="88">
        <f>TEXT(B3118,"aaa")</f>
        <v/>
      </c>
      <c r="D3118" s="88" t="inlineStr">
        <is>
          <t>네이버 쇼핑검색</t>
        </is>
      </c>
      <c r="E3118" s="88" t="n"/>
      <c r="J3118" s="89" t="n">
        <v>5610</v>
      </c>
    </row>
    <row r="3119" customFormat="1" s="94">
      <c r="A3119" s="99" t="inlineStr">
        <is>
          <t>전환_토너패드</t>
        </is>
      </c>
      <c r="B3119" s="147" t="n">
        <v>44201</v>
      </c>
      <c r="C3119" s="88">
        <f>TEXT(B3119,"aaa")</f>
        <v/>
      </c>
      <c r="D3119" s="88" t="inlineStr">
        <is>
          <t>페이스북/인스타그램</t>
        </is>
      </c>
      <c r="E3119" s="88">
        <f>VLOOKUP(A3119,매칭테이블!B:D,3,0)</f>
        <v/>
      </c>
      <c r="J3119" s="89" t="n">
        <v>587974</v>
      </c>
    </row>
    <row r="3120" customFormat="1" s="94">
      <c r="A3120" s="99" t="inlineStr">
        <is>
          <t>도달_랄라블라</t>
        </is>
      </c>
      <c r="B3120" s="147" t="n">
        <v>44201</v>
      </c>
      <c r="C3120" s="88">
        <f>TEXT(B3120,"aaa")</f>
        <v/>
      </c>
      <c r="D3120" s="88" t="inlineStr">
        <is>
          <t>페이스북/인스타그램</t>
        </is>
      </c>
      <c r="E3120" s="88">
        <f>VLOOKUP(A3120,매칭테이블!B:D,3,0)</f>
        <v/>
      </c>
      <c r="J3120" s="89" t="n">
        <v>29185</v>
      </c>
    </row>
    <row r="3121" customFormat="1" s="94">
      <c r="A3121" s="99" t="inlineStr">
        <is>
          <t>전환</t>
        </is>
      </c>
      <c r="B3121" s="147" t="n">
        <v>44201</v>
      </c>
      <c r="C3121" s="88">
        <f>TEXT(B3121,"aaa")</f>
        <v/>
      </c>
      <c r="D3121" s="88" t="inlineStr">
        <is>
          <t>페이스북/인스타그램</t>
        </is>
      </c>
      <c r="E3121" s="88">
        <f>VLOOKUP(A3121,매칭테이블!B:D,3,0)</f>
        <v/>
      </c>
      <c r="J3121" s="89" t="n">
        <v>438806</v>
      </c>
    </row>
    <row r="3122" customFormat="1" s="94">
      <c r="A3122" s="98" t="inlineStr">
        <is>
          <t>T_아누아_패드_메인</t>
        </is>
      </c>
      <c r="B3122" s="147" t="n">
        <v>44201</v>
      </c>
      <c r="C3122" s="88">
        <f>TEXT(B3122,"aaa")</f>
        <v/>
      </c>
      <c r="D3122" s="88" t="inlineStr">
        <is>
          <t>네이버 GFA</t>
        </is>
      </c>
      <c r="E3122" s="88">
        <f>VLOOKUP(A3122,매칭테이블!B:D,3,0)</f>
        <v/>
      </c>
      <c r="J3122" s="89" t="n">
        <v>1134130.909090909</v>
      </c>
    </row>
    <row r="3123" customFormat="1" s="94">
      <c r="A3123" s="98" t="inlineStr">
        <is>
          <t>T_아누아_토너_메인지면</t>
        </is>
      </c>
      <c r="B3123" s="147" t="n">
        <v>44201</v>
      </c>
      <c r="C3123" s="88">
        <f>TEXT(B3123,"aaa")</f>
        <v/>
      </c>
      <c r="D3123" s="88" t="inlineStr">
        <is>
          <t>네이버 GFA</t>
        </is>
      </c>
      <c r="E3123" s="88">
        <f>VLOOKUP(A3123,매칭테이블!B:D,3,0)</f>
        <v/>
      </c>
      <c r="J3123" s="89" t="n">
        <v>1600309.090909091</v>
      </c>
    </row>
    <row r="3124" customFormat="1" s="94">
      <c r="A3124" s="98" t="inlineStr">
        <is>
          <t>아누아_쇼핑M</t>
        </is>
      </c>
      <c r="B3124" s="147" t="n">
        <v>44201</v>
      </c>
      <c r="C3124" s="88">
        <f>TEXT(B3124,"aaa")</f>
        <v/>
      </c>
      <c r="D3124" s="88" t="inlineStr">
        <is>
          <t>네이버 쇼핑검색</t>
        </is>
      </c>
      <c r="E3124" s="88" t="n"/>
      <c r="J3124" s="89" t="n">
        <v>67470</v>
      </c>
    </row>
    <row r="3125" customFormat="1" s="94">
      <c r="A3125" s="98" t="inlineStr">
        <is>
          <t>아누아_쇼핑PC</t>
        </is>
      </c>
      <c r="B3125" s="147" t="n">
        <v>44201</v>
      </c>
      <c r="C3125" s="88">
        <f>TEXT(B3125,"aaa")</f>
        <v/>
      </c>
      <c r="D3125" s="88" t="inlineStr">
        <is>
          <t>네이버 쇼핑검색</t>
        </is>
      </c>
      <c r="E3125" s="88" t="n"/>
      <c r="J3125" s="89" t="n">
        <v>5939.999999999999</v>
      </c>
    </row>
    <row r="3126" customFormat="1" s="94">
      <c r="A3126" s="98" t="inlineStr">
        <is>
          <t>디스커버리_혜오니</t>
        </is>
      </c>
      <c r="B3126" s="147" t="n">
        <v>44201</v>
      </c>
      <c r="C3126" s="88">
        <f>TEXT(B3126,"aaa")</f>
        <v/>
      </c>
      <c r="D3126" s="88" t="inlineStr">
        <is>
          <t>유튜브 디스커버리</t>
        </is>
      </c>
      <c r="E3126" s="88">
        <f>VLOOKUP(A3126,매칭테이블!B:D,3,0)</f>
        <v/>
      </c>
      <c r="J3126" s="94" t="n">
        <v>26573</v>
      </c>
    </row>
    <row r="3127" customFormat="1" s="94">
      <c r="A3127" s="98" t="inlineStr">
        <is>
          <t>디스커버리_소히방2</t>
        </is>
      </c>
      <c r="B3127" s="147" t="n">
        <v>44201</v>
      </c>
      <c r="C3127" s="88">
        <f>TEXT(B3127,"aaa")</f>
        <v/>
      </c>
      <c r="D3127" s="88" t="inlineStr">
        <is>
          <t>유튜브 디스커버리</t>
        </is>
      </c>
      <c r="E3127" s="88">
        <f>VLOOKUP(A3127,매칭테이블!B:D,3,0)</f>
        <v/>
      </c>
      <c r="J3127" s="94" t="n">
        <v>4105</v>
      </c>
    </row>
    <row r="3128" customFormat="1" s="94">
      <c r="A3128" s="98" t="inlineStr">
        <is>
          <t>디스커버리_천서영님_썸네일테스트 #3</t>
        </is>
      </c>
      <c r="B3128" s="147" t="n">
        <v>44201</v>
      </c>
      <c r="C3128" s="88">
        <f>TEXT(B3128,"aaa")</f>
        <v/>
      </c>
      <c r="D3128" s="88" t="inlineStr">
        <is>
          <t>유튜브 디스커버리</t>
        </is>
      </c>
      <c r="E3128" s="88">
        <f>VLOOKUP(A3128,매칭테이블!B:D,3,0)</f>
        <v/>
      </c>
      <c r="J3128" s="94" t="n">
        <v>388990</v>
      </c>
    </row>
    <row r="3129" customFormat="1" s="94">
      <c r="A3129" s="98" t="inlineStr">
        <is>
          <t>디스커버리_채우</t>
        </is>
      </c>
      <c r="B3129" s="147" t="n">
        <v>44201</v>
      </c>
      <c r="C3129" s="88">
        <f>TEXT(B3129,"aaa")</f>
        <v/>
      </c>
      <c r="D3129" s="88" t="inlineStr">
        <is>
          <t>유튜브 디스커버리</t>
        </is>
      </c>
      <c r="E3129" s="88">
        <f>VLOOKUP(A3129,매칭테이블!B:D,3,0)</f>
        <v/>
      </c>
      <c r="J3129" s="94" t="n">
        <v>266746</v>
      </c>
    </row>
    <row r="3130" customFormat="1" s="94">
      <c r="A3130" s="99" t="inlineStr">
        <is>
          <t>전환_토너패드</t>
        </is>
      </c>
      <c r="B3130" s="147" t="n">
        <v>44202</v>
      </c>
      <c r="C3130" s="88">
        <f>TEXT(B3130,"aaa")</f>
        <v/>
      </c>
      <c r="D3130" s="88" t="inlineStr">
        <is>
          <t>페이스북/인스타그램</t>
        </is>
      </c>
      <c r="E3130" s="88">
        <f>VLOOKUP(A3130,매칭테이블!B:D,3,0)</f>
        <v/>
      </c>
      <c r="J3130" s="94" t="n">
        <v>575755</v>
      </c>
    </row>
    <row r="3131" customFormat="1" s="94">
      <c r="A3131" s="99" t="inlineStr">
        <is>
          <t>도달_랄라블라</t>
        </is>
      </c>
      <c r="B3131" s="147" t="n">
        <v>44202</v>
      </c>
      <c r="C3131" s="88">
        <f>TEXT(B3131,"aaa")</f>
        <v/>
      </c>
      <c r="D3131" s="88" t="inlineStr">
        <is>
          <t>페이스북/인스타그램</t>
        </is>
      </c>
      <c r="E3131" s="88">
        <f>VLOOKUP(A3131,매칭테이블!B:D,3,0)</f>
        <v/>
      </c>
      <c r="J3131" s="94" t="n">
        <v>30096</v>
      </c>
    </row>
    <row r="3132" customFormat="1" s="94">
      <c r="A3132" s="99" t="inlineStr">
        <is>
          <t>전환</t>
        </is>
      </c>
      <c r="B3132" s="147" t="n">
        <v>44202</v>
      </c>
      <c r="C3132" s="88">
        <f>TEXT(B3132,"aaa")</f>
        <v/>
      </c>
      <c r="D3132" s="88" t="inlineStr">
        <is>
          <t>페이스북/인스타그램</t>
        </is>
      </c>
      <c r="E3132" s="88">
        <f>VLOOKUP(A3132,매칭테이블!B:D,3,0)</f>
        <v/>
      </c>
      <c r="J3132" s="94" t="n">
        <v>563578</v>
      </c>
    </row>
    <row r="3133" customFormat="1" s="94">
      <c r="A3133" s="98" t="inlineStr">
        <is>
          <t>T_아누아_토너_스마트채널</t>
        </is>
      </c>
      <c r="B3133" s="147" t="n">
        <v>44202</v>
      </c>
      <c r="C3133" s="88">
        <f>TEXT(B3133,"aaa")</f>
        <v/>
      </c>
      <c r="D3133" s="88" t="inlineStr">
        <is>
          <t>네이버 GFA</t>
        </is>
      </c>
      <c r="E3133" s="88">
        <f>VLOOKUP(A3133,매칭테이블!B:D,3,0)</f>
        <v/>
      </c>
      <c r="J3133" s="94" t="n">
        <v>80821.81818181818</v>
      </c>
    </row>
    <row r="3134" customFormat="1" s="94">
      <c r="A3134" s="98" t="inlineStr">
        <is>
          <t>T_아누아_패드_메인</t>
        </is>
      </c>
      <c r="B3134" s="147" t="n">
        <v>44202</v>
      </c>
      <c r="C3134" s="88">
        <f>TEXT(B3134,"aaa")</f>
        <v/>
      </c>
      <c r="D3134" s="88" t="inlineStr">
        <is>
          <t>네이버 GFA</t>
        </is>
      </c>
      <c r="E3134" s="88">
        <f>VLOOKUP(A3134,매칭테이블!B:D,3,0)</f>
        <v/>
      </c>
      <c r="J3134" s="94" t="n">
        <v>708453.6363636364</v>
      </c>
    </row>
    <row r="3135" customFormat="1" s="94">
      <c r="A3135" s="98" t="inlineStr">
        <is>
          <t>T_아누아_토너_메인지면</t>
        </is>
      </c>
      <c r="B3135" s="147" t="n">
        <v>44202</v>
      </c>
      <c r="C3135" s="88">
        <f>TEXT(B3135,"aaa")</f>
        <v/>
      </c>
      <c r="D3135" s="88" t="inlineStr">
        <is>
          <t>네이버 GFA</t>
        </is>
      </c>
      <c r="E3135" s="88">
        <f>VLOOKUP(A3135,매칭테이블!B:D,3,0)</f>
        <v/>
      </c>
      <c r="J3135" s="94" t="n">
        <v>2782894.545454545</v>
      </c>
    </row>
    <row r="3136" customFormat="1" s="94">
      <c r="A3136" s="98" t="inlineStr">
        <is>
          <t>아누아_쇼핑M</t>
        </is>
      </c>
      <c r="B3136" s="147" t="n">
        <v>44202</v>
      </c>
      <c r="C3136" s="88">
        <f>TEXT(B3136,"aaa")</f>
        <v/>
      </c>
      <c r="D3136" s="88" t="inlineStr">
        <is>
          <t>네이버 쇼핑검색</t>
        </is>
      </c>
      <c r="E3136" s="88" t="n"/>
      <c r="J3136" s="94" t="n">
        <v>72180</v>
      </c>
    </row>
    <row r="3137" customFormat="1" s="94">
      <c r="A3137" s="98" t="inlineStr">
        <is>
          <t>아누아_쇼핑PC</t>
        </is>
      </c>
      <c r="B3137" s="147" t="n">
        <v>44202</v>
      </c>
      <c r="C3137" s="88">
        <f>TEXT(B3137,"aaa")</f>
        <v/>
      </c>
      <c r="D3137" s="88" t="inlineStr">
        <is>
          <t>네이버 쇼핑검색</t>
        </is>
      </c>
      <c r="E3137" s="88" t="n"/>
      <c r="J3137" s="94" t="n">
        <v>9440</v>
      </c>
    </row>
    <row r="3138" customFormat="1" s="94">
      <c r="A3138" s="98" t="inlineStr">
        <is>
          <t>디스커버리_천서영님_썸네일테스트 #3</t>
        </is>
      </c>
      <c r="B3138" s="147" t="n">
        <v>44202</v>
      </c>
      <c r="C3138" s="88">
        <f>TEXT(B3138,"aaa")</f>
        <v/>
      </c>
      <c r="D3138" s="88" t="inlineStr">
        <is>
          <t>유튜브 디스커버리</t>
        </is>
      </c>
      <c r="E3138" s="88">
        <f>VLOOKUP(A3138,매칭테이블!B:D,3,0)</f>
        <v/>
      </c>
      <c r="J3138" s="94" t="n">
        <v>109493</v>
      </c>
    </row>
    <row r="3139" customFormat="1" s="94">
      <c r="A3139" s="98" t="inlineStr">
        <is>
          <t>디스커버리_채우</t>
        </is>
      </c>
      <c r="B3139" s="147" t="n">
        <v>44202</v>
      </c>
      <c r="C3139" s="88">
        <f>TEXT(B3139,"aaa")</f>
        <v/>
      </c>
      <c r="D3139" s="88" t="inlineStr">
        <is>
          <t>유튜브 디스커버리</t>
        </is>
      </c>
      <c r="E3139" s="88">
        <f>VLOOKUP(A3139,매칭테이블!B:D,3,0)</f>
        <v/>
      </c>
      <c r="J3139" s="94" t="n">
        <v>8492</v>
      </c>
    </row>
    <row r="3140" customFormat="1" s="94">
      <c r="A3140" s="98" t="inlineStr">
        <is>
          <t>아누아_청귤마스크팩_품평단모집_0104</t>
        </is>
      </c>
      <c r="B3140" s="147" t="n">
        <v>44202</v>
      </c>
      <c r="C3140" s="88">
        <f>TEXT(B3140,"aaa")</f>
        <v/>
      </c>
      <c r="D3140" s="88" t="inlineStr">
        <is>
          <t>카카오광고</t>
        </is>
      </c>
      <c r="E3140" s="88">
        <f>VLOOKUP(A3140,매칭테이블!B:D,3,0)</f>
        <v/>
      </c>
      <c r="J3140" s="94" t="n">
        <v>0</v>
      </c>
    </row>
    <row r="3141" customFormat="1" s="94">
      <c r="A3141" s="98" t="inlineStr">
        <is>
          <t>토너_도전_0105</t>
        </is>
      </c>
      <c r="B3141" s="147" t="n">
        <v>44202</v>
      </c>
      <c r="C3141" s="88">
        <f>TEXT(B3141,"aaa")</f>
        <v/>
      </c>
      <c r="D3141" s="88" t="inlineStr">
        <is>
          <t>카카오광고</t>
        </is>
      </c>
      <c r="E3141" s="88">
        <f>VLOOKUP(A3141,매칭테이블!B:D,3,0)</f>
        <v/>
      </c>
      <c r="J3141" s="94" t="n">
        <v>230494</v>
      </c>
    </row>
    <row r="3142" customFormat="1" s="94">
      <c r="A3142" s="99" t="inlineStr">
        <is>
          <t>전환_토너패드</t>
        </is>
      </c>
      <c r="B3142" s="147" t="n">
        <v>44203</v>
      </c>
      <c r="C3142" s="88">
        <f>TEXT(B3142,"aaa")</f>
        <v/>
      </c>
      <c r="D3142" s="88" t="inlineStr">
        <is>
          <t>페이스북/인스타그램</t>
        </is>
      </c>
      <c r="E3142" s="88">
        <f>VLOOKUP(A3142,매칭테이블!B:D,3,0)</f>
        <v/>
      </c>
      <c r="J3142" s="94" t="n">
        <v>763254</v>
      </c>
    </row>
    <row r="3143" customFormat="1" s="94">
      <c r="A3143" s="99" t="inlineStr">
        <is>
          <t>도달_랄라블라</t>
        </is>
      </c>
      <c r="B3143" s="147" t="n">
        <v>44203</v>
      </c>
      <c r="C3143" s="88">
        <f>TEXT(B3143,"aaa")</f>
        <v/>
      </c>
      <c r="D3143" s="88" t="inlineStr">
        <is>
          <t>페이스북/인스타그램</t>
        </is>
      </c>
      <c r="E3143" s="88">
        <f>VLOOKUP(A3143,매칭테이블!B:D,3,0)</f>
        <v/>
      </c>
      <c r="J3143" s="94" t="n">
        <v>29666</v>
      </c>
    </row>
    <row r="3144" customFormat="1" s="94">
      <c r="A3144" s="99" t="inlineStr">
        <is>
          <t>전환</t>
        </is>
      </c>
      <c r="B3144" s="147" t="n">
        <v>44203</v>
      </c>
      <c r="C3144" s="88">
        <f>TEXT(B3144,"aaa")</f>
        <v/>
      </c>
      <c r="D3144" s="88" t="inlineStr">
        <is>
          <t>페이스북/인스타그램</t>
        </is>
      </c>
      <c r="E3144" s="88">
        <f>VLOOKUP(A3144,매칭테이블!B:D,3,0)</f>
        <v/>
      </c>
      <c r="J3144" s="94" t="n">
        <v>726284</v>
      </c>
    </row>
    <row r="3145" customFormat="1" s="94">
      <c r="A3145" s="98" t="inlineStr">
        <is>
          <t>T_아누아_패드_메인</t>
        </is>
      </c>
      <c r="B3145" s="147" t="n">
        <v>44203</v>
      </c>
      <c r="C3145" s="88">
        <f>TEXT(B3145,"aaa")</f>
        <v/>
      </c>
      <c r="D3145" s="88" t="inlineStr">
        <is>
          <t>네이버 GFA</t>
        </is>
      </c>
      <c r="E3145" s="88">
        <f>VLOOKUP(A3145,매칭테이블!B:D,3,0)</f>
        <v/>
      </c>
      <c r="J3145" s="94" t="n">
        <v>1188988.181818182</v>
      </c>
    </row>
    <row r="3146" customFormat="1" s="94">
      <c r="A3146" s="98" t="inlineStr">
        <is>
          <t>T_아누아_토너_메인지면</t>
        </is>
      </c>
      <c r="B3146" s="147" t="n">
        <v>44203</v>
      </c>
      <c r="C3146" s="88">
        <f>TEXT(B3146,"aaa")</f>
        <v/>
      </c>
      <c r="D3146" s="88" t="inlineStr">
        <is>
          <t>네이버 GFA</t>
        </is>
      </c>
      <c r="E3146" s="88">
        <f>VLOOKUP(A3146,매칭테이블!B:D,3,0)</f>
        <v/>
      </c>
      <c r="J3146" s="94" t="n">
        <v>2128515.454545455</v>
      </c>
    </row>
    <row r="3147" customFormat="1" s="94">
      <c r="A3147" s="98" t="inlineStr">
        <is>
          <t>아누아_청귤마스크팩_품평단모집_0104</t>
        </is>
      </c>
      <c r="B3147" s="147" t="n">
        <v>44203</v>
      </c>
      <c r="C3147" s="88">
        <f>TEXT(B3147,"aaa")</f>
        <v/>
      </c>
      <c r="D3147" s="88" t="inlineStr">
        <is>
          <t>카카오광고</t>
        </is>
      </c>
      <c r="E3147" s="88">
        <f>VLOOKUP(A3147,매칭테이블!B:D,3,0)</f>
        <v/>
      </c>
      <c r="J3147" s="94" t="n">
        <v>0</v>
      </c>
    </row>
    <row r="3148" customFormat="1" s="94">
      <c r="A3148" s="98" t="inlineStr">
        <is>
          <t>토너_도전_0105</t>
        </is>
      </c>
      <c r="B3148" s="147" t="n">
        <v>44203</v>
      </c>
      <c r="C3148" s="88">
        <f>TEXT(B3148,"aaa")</f>
        <v/>
      </c>
      <c r="D3148" s="88" t="inlineStr">
        <is>
          <t>카카오광고</t>
        </is>
      </c>
      <c r="E3148" s="88">
        <f>VLOOKUP(A3148,매칭테이블!B:D,3,0)</f>
        <v/>
      </c>
      <c r="J3148" s="94" t="n">
        <v>215410</v>
      </c>
    </row>
    <row r="3149" customFormat="1" s="94">
      <c r="A3149" s="98" t="inlineStr">
        <is>
          <t>디스커버리_천서영님_썸네일테스트 #3</t>
        </is>
      </c>
      <c r="B3149" s="147" t="n">
        <v>44203</v>
      </c>
      <c r="C3149" s="88">
        <f>TEXT(B3149,"aaa")</f>
        <v/>
      </c>
      <c r="D3149" s="88" t="inlineStr">
        <is>
          <t>유튜브 디스커버리</t>
        </is>
      </c>
      <c r="E3149" s="88">
        <f>VLOOKUP(A3149,매칭테이블!B:D,3,0)</f>
        <v/>
      </c>
      <c r="J3149" s="94" t="n">
        <v>108846</v>
      </c>
    </row>
    <row r="3150" customFormat="1" s="94">
      <c r="A3150" s="98" t="inlineStr">
        <is>
          <t>디스커버리_채우</t>
        </is>
      </c>
      <c r="B3150" s="147" t="n">
        <v>44203</v>
      </c>
      <c r="C3150" s="88">
        <f>TEXT(B3150,"aaa")</f>
        <v/>
      </c>
      <c r="D3150" s="88" t="inlineStr">
        <is>
          <t>유튜브 디스커버리</t>
        </is>
      </c>
      <c r="E3150" s="88">
        <f>VLOOKUP(A3150,매칭테이블!B:D,3,0)</f>
        <v/>
      </c>
      <c r="J3150" s="94" t="n">
        <v>8393</v>
      </c>
    </row>
    <row r="3151" customFormat="1" s="94">
      <c r="A3151" s="98" t="inlineStr">
        <is>
          <t>아누아_쇼핑M</t>
        </is>
      </c>
      <c r="B3151" s="147" t="n">
        <v>44203</v>
      </c>
      <c r="C3151" s="88">
        <f>TEXT(B3151,"aaa")</f>
        <v/>
      </c>
      <c r="D3151" s="88" t="inlineStr">
        <is>
          <t>네이버 쇼핑검색</t>
        </is>
      </c>
      <c r="E3151" s="88" t="n"/>
      <c r="J3151" s="94" t="n">
        <v>81850</v>
      </c>
    </row>
    <row r="3152" customFormat="1" s="94">
      <c r="A3152" s="98" t="inlineStr">
        <is>
          <t>아누아_쇼핑PC</t>
        </is>
      </c>
      <c r="B3152" s="147" t="n">
        <v>44203</v>
      </c>
      <c r="C3152" s="88">
        <f>TEXT(B3152,"aaa")</f>
        <v/>
      </c>
      <c r="D3152" s="88" t="inlineStr">
        <is>
          <t>네이버 쇼핑검색</t>
        </is>
      </c>
      <c r="E3152" s="88" t="n"/>
      <c r="J3152" s="94" t="n">
        <v>5659.999999999999</v>
      </c>
    </row>
    <row r="3153" customFormat="1" s="94">
      <c r="A3153" s="99" t="inlineStr">
        <is>
          <t>전환_토너패드</t>
        </is>
      </c>
      <c r="B3153" s="147" t="n">
        <v>44204</v>
      </c>
      <c r="C3153" s="88">
        <f>TEXT(B3153,"aaa")</f>
        <v/>
      </c>
      <c r="D3153" s="88" t="inlineStr">
        <is>
          <t>페이스북/인스타그램</t>
        </is>
      </c>
      <c r="E3153" s="88">
        <f>VLOOKUP(A3153,매칭테이블!B:D,3,0)</f>
        <v/>
      </c>
      <c r="J3153" s="94" t="n">
        <v>759375</v>
      </c>
    </row>
    <row r="3154" customFormat="1" s="94">
      <c r="A3154" s="99" t="inlineStr">
        <is>
          <t>도달_랄라블라</t>
        </is>
      </c>
      <c r="B3154" s="147" t="n">
        <v>44204</v>
      </c>
      <c r="C3154" s="88">
        <f>TEXT(B3154,"aaa")</f>
        <v/>
      </c>
      <c r="D3154" s="88" t="inlineStr">
        <is>
          <t>페이스북/인스타그램</t>
        </is>
      </c>
      <c r="E3154" s="88">
        <f>VLOOKUP(A3154,매칭테이블!B:D,3,0)</f>
        <v/>
      </c>
      <c r="J3154" s="94" t="n">
        <v>24784</v>
      </c>
    </row>
    <row r="3155" customFormat="1" s="94">
      <c r="A3155" s="99" t="inlineStr">
        <is>
          <t>전환</t>
        </is>
      </c>
      <c r="B3155" s="147" t="n">
        <v>44204</v>
      </c>
      <c r="C3155" s="88">
        <f>TEXT(B3155,"aaa")</f>
        <v/>
      </c>
      <c r="D3155" s="88" t="inlineStr">
        <is>
          <t>페이스북/인스타그램</t>
        </is>
      </c>
      <c r="E3155" s="88">
        <f>VLOOKUP(A3155,매칭테이블!B:D,3,0)</f>
        <v/>
      </c>
      <c r="J3155" s="94" t="n">
        <v>664201</v>
      </c>
    </row>
    <row r="3156" customFormat="1" s="94">
      <c r="A3156" s="98" t="inlineStr">
        <is>
          <t>토너_도전_0105</t>
        </is>
      </c>
      <c r="B3156" s="147" t="n">
        <v>44204</v>
      </c>
      <c r="C3156" s="88">
        <f>TEXT(B3156,"aaa")</f>
        <v/>
      </c>
      <c r="D3156" s="88" t="inlineStr">
        <is>
          <t>카카오광고</t>
        </is>
      </c>
      <c r="E3156" s="88">
        <f>VLOOKUP(A3156,매칭테이블!B:D,3,0)</f>
        <v/>
      </c>
      <c r="J3156" s="94" t="n">
        <v>145760</v>
      </c>
    </row>
    <row r="3157" customFormat="1" s="94">
      <c r="A3157" s="98" t="inlineStr">
        <is>
          <t>T_아누아_토너로션_메인</t>
        </is>
      </c>
      <c r="B3157" s="147" t="n">
        <v>44204</v>
      </c>
      <c r="C3157" s="88">
        <f>TEXT(B3157,"aaa")</f>
        <v/>
      </c>
      <c r="D3157" s="88" t="inlineStr">
        <is>
          <t>네이버 GFA</t>
        </is>
      </c>
      <c r="E3157" s="88">
        <f>VLOOKUP(A3157,매칭테이블!B:D,3,0)</f>
        <v/>
      </c>
      <c r="J3157" s="94" t="n">
        <v>177399.0909090909</v>
      </c>
    </row>
    <row r="3158" customFormat="1" s="94">
      <c r="A3158" s="98" t="inlineStr">
        <is>
          <t>T_아누아_토너_스마트채널</t>
        </is>
      </c>
      <c r="B3158" s="147" t="n">
        <v>44204</v>
      </c>
      <c r="C3158" s="88">
        <f>TEXT(B3158,"aaa")</f>
        <v/>
      </c>
      <c r="D3158" s="88" t="inlineStr">
        <is>
          <t>네이버 GFA</t>
        </is>
      </c>
      <c r="E3158" s="88">
        <f>VLOOKUP(A3158,매칭테이블!B:D,3,0)</f>
        <v/>
      </c>
      <c r="J3158" s="94" t="n">
        <v>191388.1818181818</v>
      </c>
    </row>
    <row r="3159" customFormat="1" s="94">
      <c r="A3159" s="98" t="inlineStr">
        <is>
          <t>T_아누아_패드_메인</t>
        </is>
      </c>
      <c r="B3159" s="147" t="n">
        <v>44204</v>
      </c>
      <c r="C3159" s="88">
        <f>TEXT(B3159,"aaa")</f>
        <v/>
      </c>
      <c r="D3159" s="88" t="inlineStr">
        <is>
          <t>네이버 GFA</t>
        </is>
      </c>
      <c r="E3159" s="88">
        <f>VLOOKUP(A3159,매칭테이블!B:D,3,0)</f>
        <v/>
      </c>
      <c r="J3159" s="94" t="n">
        <v>2048086.363636364</v>
      </c>
    </row>
    <row r="3160" customFormat="1" s="94">
      <c r="A3160" s="98" t="inlineStr">
        <is>
          <t>T_아누아_토너_메인지면</t>
        </is>
      </c>
      <c r="B3160" s="147" t="n">
        <v>44204</v>
      </c>
      <c r="C3160" s="88">
        <f>TEXT(B3160,"aaa")</f>
        <v/>
      </c>
      <c r="D3160" s="88" t="inlineStr">
        <is>
          <t>네이버 GFA</t>
        </is>
      </c>
      <c r="E3160" s="88">
        <f>VLOOKUP(A3160,매칭테이블!B:D,3,0)</f>
        <v/>
      </c>
      <c r="J3160" s="94" t="n">
        <v>1304849.090909091</v>
      </c>
    </row>
    <row r="3161" customFormat="1" s="94">
      <c r="A3161" s="98" t="inlineStr">
        <is>
          <t>아누아_쇼핑M</t>
        </is>
      </c>
      <c r="B3161" s="147" t="n">
        <v>44204</v>
      </c>
      <c r="C3161" s="88">
        <f>TEXT(B3161,"aaa")</f>
        <v/>
      </c>
      <c r="D3161" s="88" t="inlineStr">
        <is>
          <t>네이버 쇼핑검색</t>
        </is>
      </c>
      <c r="E3161" s="88" t="n"/>
      <c r="J3161" s="94" t="n">
        <v>66460</v>
      </c>
    </row>
    <row r="3162" customFormat="1" s="94">
      <c r="A3162" s="98" t="inlineStr">
        <is>
          <t>아누아_쇼핑PC</t>
        </is>
      </c>
      <c r="B3162" s="147" t="n">
        <v>44204</v>
      </c>
      <c r="C3162" s="88">
        <f>TEXT(B3162,"aaa")</f>
        <v/>
      </c>
      <c r="D3162" s="88" t="inlineStr">
        <is>
          <t>네이버 쇼핑검색</t>
        </is>
      </c>
      <c r="E3162" s="88" t="n"/>
      <c r="J3162" s="94" t="n">
        <v>4860</v>
      </c>
    </row>
    <row r="3163" customFormat="1" s="94">
      <c r="A3163" s="99" t="inlineStr">
        <is>
          <t>전환_토너패드</t>
        </is>
      </c>
      <c r="B3163" s="147" t="n">
        <v>44205</v>
      </c>
      <c r="C3163" s="88">
        <f>TEXT(B3163,"aaa")</f>
        <v/>
      </c>
      <c r="D3163" s="88" t="inlineStr">
        <is>
          <t>페이스북/인스타그램</t>
        </is>
      </c>
      <c r="E3163" s="88">
        <f>VLOOKUP(A3163,매칭테이블!B:D,3,0)</f>
        <v/>
      </c>
      <c r="J3163" s="94" t="n">
        <v>382476</v>
      </c>
    </row>
    <row r="3164" customFormat="1" s="94">
      <c r="A3164" s="99" t="inlineStr">
        <is>
          <t>도달_랄라블라</t>
        </is>
      </c>
      <c r="B3164" s="147" t="n">
        <v>44205</v>
      </c>
      <c r="C3164" s="88">
        <f>TEXT(B3164,"aaa")</f>
        <v/>
      </c>
      <c r="D3164" s="88" t="inlineStr">
        <is>
          <t>페이스북/인스타그램</t>
        </is>
      </c>
      <c r="E3164" s="88">
        <f>VLOOKUP(A3164,매칭테이블!B:D,3,0)</f>
        <v/>
      </c>
      <c r="J3164" s="94" t="n">
        <v>14588</v>
      </c>
    </row>
    <row r="3165" customFormat="1" s="94">
      <c r="A3165" s="99" t="inlineStr">
        <is>
          <t>전환</t>
        </is>
      </c>
      <c r="B3165" s="147" t="n">
        <v>44205</v>
      </c>
      <c r="C3165" s="88">
        <f>TEXT(B3165,"aaa")</f>
        <v/>
      </c>
      <c r="D3165" s="88" t="inlineStr">
        <is>
          <t>페이스북/인스타그램</t>
        </is>
      </c>
      <c r="E3165" s="88">
        <f>VLOOKUP(A3165,매칭테이블!B:D,3,0)</f>
        <v/>
      </c>
      <c r="J3165" s="94" t="n">
        <v>396965</v>
      </c>
    </row>
    <row r="3166" customFormat="1" s="94">
      <c r="A3166" s="98" t="inlineStr">
        <is>
          <t>T_아누아_패드_메인</t>
        </is>
      </c>
      <c r="B3166" s="147" t="n">
        <v>44205</v>
      </c>
      <c r="C3166" s="88">
        <f>TEXT(B3166,"aaa")</f>
        <v/>
      </c>
      <c r="D3166" s="88" t="inlineStr">
        <is>
          <t>네이버 GFA</t>
        </is>
      </c>
      <c r="E3166" s="88">
        <f>VLOOKUP(A3166,매칭테이블!B:D,3,0)</f>
        <v/>
      </c>
      <c r="J3166" s="94" t="n">
        <v>1572439.090909091</v>
      </c>
    </row>
    <row r="3167" customFormat="1" s="94">
      <c r="A3167" s="98" t="inlineStr">
        <is>
          <t>T_아누아_토너_메인지면</t>
        </is>
      </c>
      <c r="B3167" s="147" t="n">
        <v>44205</v>
      </c>
      <c r="C3167" s="88">
        <f>TEXT(B3167,"aaa")</f>
        <v/>
      </c>
      <c r="D3167" s="88" t="inlineStr">
        <is>
          <t>네이버 GFA</t>
        </is>
      </c>
      <c r="E3167" s="88">
        <f>VLOOKUP(A3167,매칭테이블!B:D,3,0)</f>
        <v/>
      </c>
      <c r="J3167" s="94" t="n">
        <v>1742430</v>
      </c>
    </row>
    <row r="3168" customFormat="1" s="94">
      <c r="A3168" s="98" t="inlineStr">
        <is>
          <t>토너_도전_0105</t>
        </is>
      </c>
      <c r="B3168" s="147" t="n">
        <v>44205</v>
      </c>
      <c r="C3168" s="88">
        <f>TEXT(B3168,"aaa")</f>
        <v/>
      </c>
      <c r="D3168" s="88" t="inlineStr">
        <is>
          <t>카카오광고</t>
        </is>
      </c>
      <c r="E3168" s="88">
        <f>VLOOKUP(A3168,매칭테이블!B:D,3,0)</f>
        <v/>
      </c>
      <c r="J3168" s="94" t="n">
        <v>145810</v>
      </c>
    </row>
    <row r="3169" customFormat="1" s="94">
      <c r="A3169" s="98" t="inlineStr">
        <is>
          <t>아누아_쇼핑M</t>
        </is>
      </c>
      <c r="B3169" s="147" t="n">
        <v>44205</v>
      </c>
      <c r="C3169" s="88">
        <f>TEXT(B3169,"aaa")</f>
        <v/>
      </c>
      <c r="D3169" s="88" t="inlineStr">
        <is>
          <t>네이버 쇼핑검색</t>
        </is>
      </c>
      <c r="E3169" s="88" t="n"/>
      <c r="J3169" s="94" t="n">
        <v>83880</v>
      </c>
    </row>
    <row r="3170" customFormat="1" s="94">
      <c r="A3170" s="98" t="inlineStr">
        <is>
          <t>아누아_쇼핑PC</t>
        </is>
      </c>
      <c r="B3170" s="147" t="n">
        <v>44205</v>
      </c>
      <c r="C3170" s="88">
        <f>TEXT(B3170,"aaa")</f>
        <v/>
      </c>
      <c r="D3170" s="88" t="inlineStr">
        <is>
          <t>네이버 쇼핑검색</t>
        </is>
      </c>
      <c r="E3170" s="88" t="n"/>
      <c r="J3170" s="94" t="n">
        <v>2390</v>
      </c>
    </row>
    <row r="3171" customFormat="1" s="94">
      <c r="A3171" s="99" t="inlineStr">
        <is>
          <t>전환_토너패드</t>
        </is>
      </c>
      <c r="B3171" s="147" t="n">
        <v>44206</v>
      </c>
      <c r="C3171" s="88">
        <f>TEXT(B3171,"aaa")</f>
        <v/>
      </c>
      <c r="D3171" s="88" t="inlineStr">
        <is>
          <t>페이스북/인스타그램</t>
        </is>
      </c>
      <c r="E3171" s="88">
        <f>VLOOKUP(A3171,매칭테이블!B:D,3,0)</f>
        <v/>
      </c>
      <c r="J3171" s="94" t="n">
        <v>593602</v>
      </c>
    </row>
    <row r="3172" customFormat="1" s="94">
      <c r="A3172" s="99" t="inlineStr">
        <is>
          <t>도달_랄라블라</t>
        </is>
      </c>
      <c r="B3172" s="147" t="n">
        <v>44206</v>
      </c>
      <c r="C3172" s="88">
        <f>TEXT(B3172,"aaa")</f>
        <v/>
      </c>
      <c r="D3172" s="88" t="inlineStr">
        <is>
          <t>페이스북/인스타그램</t>
        </is>
      </c>
      <c r="E3172" s="88">
        <f>VLOOKUP(A3172,매칭테이블!B:D,3,0)</f>
        <v/>
      </c>
      <c r="J3172" s="94" t="n">
        <v>21647</v>
      </c>
    </row>
    <row r="3173" customFormat="1" s="94">
      <c r="A3173" s="99" t="inlineStr">
        <is>
          <t>전환</t>
        </is>
      </c>
      <c r="B3173" s="147" t="n">
        <v>44206</v>
      </c>
      <c r="C3173" s="88">
        <f>TEXT(B3173,"aaa")</f>
        <v/>
      </c>
      <c r="D3173" s="88" t="inlineStr">
        <is>
          <t>페이스북/인스타그램</t>
        </is>
      </c>
      <c r="E3173" s="88">
        <f>VLOOKUP(A3173,매칭테이블!B:D,3,0)</f>
        <v/>
      </c>
      <c r="J3173" s="94" t="n">
        <v>544987</v>
      </c>
    </row>
    <row r="3174" customFormat="1" s="94">
      <c r="A3174" s="98" t="inlineStr">
        <is>
          <t>T_아누아_패드_메인</t>
        </is>
      </c>
      <c r="B3174" s="147" t="n">
        <v>44206</v>
      </c>
      <c r="C3174" s="88">
        <f>TEXT(B3174,"aaa")</f>
        <v/>
      </c>
      <c r="D3174" s="88" t="inlineStr">
        <is>
          <t>네이버 GFA</t>
        </is>
      </c>
      <c r="E3174" s="88">
        <f>VLOOKUP(A3174,매칭테이블!B:D,3,0)</f>
        <v/>
      </c>
      <c r="J3174" s="94" t="n">
        <v>2513507.272727272</v>
      </c>
    </row>
    <row r="3175" customFormat="1" s="94">
      <c r="A3175" s="98" t="inlineStr">
        <is>
          <t>T_아누아_토너_메인지면</t>
        </is>
      </c>
      <c r="B3175" s="147" t="n">
        <v>44206</v>
      </c>
      <c r="C3175" s="88">
        <f>TEXT(B3175,"aaa")</f>
        <v/>
      </c>
      <c r="D3175" s="88" t="inlineStr">
        <is>
          <t>네이버 GFA</t>
        </is>
      </c>
      <c r="E3175" s="88">
        <f>VLOOKUP(A3175,매칭테이블!B:D,3,0)</f>
        <v/>
      </c>
      <c r="J3175" s="94" t="n">
        <v>1751517.272727272</v>
      </c>
    </row>
    <row r="3176" customFormat="1" s="94">
      <c r="A3176" s="98" t="inlineStr">
        <is>
          <t>토너_도전_0105</t>
        </is>
      </c>
      <c r="B3176" s="147" t="n">
        <v>44206</v>
      </c>
      <c r="C3176" s="88">
        <f>TEXT(B3176,"aaa")</f>
        <v/>
      </c>
      <c r="D3176" s="88" t="inlineStr">
        <is>
          <t>카카오광고</t>
        </is>
      </c>
      <c r="E3176" s="88">
        <f>VLOOKUP(A3176,매칭테이블!B:D,3,0)</f>
        <v/>
      </c>
      <c r="J3176" s="94" t="n">
        <v>145630</v>
      </c>
    </row>
    <row r="3177" customFormat="1" s="94">
      <c r="A3177" s="98" t="inlineStr">
        <is>
          <t>아누아_쇼핑M</t>
        </is>
      </c>
      <c r="B3177" s="147" t="n">
        <v>44206</v>
      </c>
      <c r="C3177" s="88">
        <f>TEXT(B3177,"aaa")</f>
        <v/>
      </c>
      <c r="D3177" s="88" t="inlineStr">
        <is>
          <t>네이버 쇼핑검색</t>
        </is>
      </c>
      <c r="E3177" s="88" t="n"/>
      <c r="J3177" s="94" t="n">
        <v>104120</v>
      </c>
    </row>
    <row r="3178" customFormat="1" s="94">
      <c r="A3178" s="98" t="inlineStr">
        <is>
          <t>아누아_쇼핑PC</t>
        </is>
      </c>
      <c r="B3178" s="147" t="n">
        <v>44206</v>
      </c>
      <c r="C3178" s="88">
        <f>TEXT(B3178,"aaa")</f>
        <v/>
      </c>
      <c r="D3178" s="88" t="inlineStr">
        <is>
          <t>네이버 쇼핑검색</t>
        </is>
      </c>
      <c r="E3178" s="88" t="n"/>
      <c r="J3178" s="89" t="n">
        <v>5540</v>
      </c>
    </row>
    <row r="3179" customFormat="1" s="94">
      <c r="A3179" s="99" t="inlineStr">
        <is>
          <t>전환_토너패드</t>
        </is>
      </c>
      <c r="B3179" s="147" t="n">
        <v>44207</v>
      </c>
      <c r="C3179" s="88">
        <f>TEXT(B3179,"aaa")</f>
        <v/>
      </c>
      <c r="D3179" s="88" t="inlineStr">
        <is>
          <t>페이스북/인스타그램</t>
        </is>
      </c>
      <c r="E3179" s="88">
        <f>VLOOKUP(A3179,매칭테이블!B:D,3,0)</f>
        <v/>
      </c>
      <c r="J3179" s="94" t="n">
        <v>917219</v>
      </c>
    </row>
    <row r="3180" customFormat="1" s="94">
      <c r="A3180" s="99" t="inlineStr">
        <is>
          <t>도달_랄라블라</t>
        </is>
      </c>
      <c r="B3180" s="147" t="n">
        <v>44207</v>
      </c>
      <c r="C3180" s="88">
        <f>TEXT(B3180,"aaa")</f>
        <v/>
      </c>
      <c r="D3180" s="88" t="inlineStr">
        <is>
          <t>페이스북/인스타그램</t>
        </is>
      </c>
      <c r="E3180" s="88">
        <f>VLOOKUP(A3180,매칭테이블!B:D,3,0)</f>
        <v/>
      </c>
      <c r="J3180" s="94" t="n">
        <v>29167</v>
      </c>
    </row>
    <row r="3181" customFormat="1" s="94">
      <c r="A3181" s="99" t="inlineStr">
        <is>
          <t>전환</t>
        </is>
      </c>
      <c r="B3181" s="147" t="n">
        <v>44207</v>
      </c>
      <c r="C3181" s="88">
        <f>TEXT(B3181,"aaa")</f>
        <v/>
      </c>
      <c r="D3181" s="88" t="inlineStr">
        <is>
          <t>페이스북/인스타그램</t>
        </is>
      </c>
      <c r="E3181" s="88">
        <f>VLOOKUP(A3181,매칭테이블!B:D,3,0)</f>
        <v/>
      </c>
      <c r="J3181" s="94" t="n">
        <v>769075</v>
      </c>
    </row>
    <row r="3182" customFormat="1" s="94">
      <c r="A3182" s="98" t="inlineStr">
        <is>
          <t>T_아누아_패드_메인</t>
        </is>
      </c>
      <c r="B3182" s="147" t="n">
        <v>44207</v>
      </c>
      <c r="C3182" s="88">
        <f>TEXT(B3182,"aaa")</f>
        <v/>
      </c>
      <c r="D3182" s="88" t="inlineStr">
        <is>
          <t>네이버 GFA</t>
        </is>
      </c>
      <c r="E3182" s="88">
        <f>VLOOKUP(A3182,매칭테이블!B:D,3,0)</f>
        <v/>
      </c>
      <c r="J3182" s="94" t="n">
        <v>4815417.272727272</v>
      </c>
    </row>
    <row r="3183" customFormat="1" s="94">
      <c r="A3183" s="98" t="inlineStr">
        <is>
          <t>T_아누아_토너_메인지면</t>
        </is>
      </c>
      <c r="B3183" s="147" t="n">
        <v>44207</v>
      </c>
      <c r="C3183" s="88">
        <f>TEXT(B3183,"aaa")</f>
        <v/>
      </c>
      <c r="D3183" s="88" t="inlineStr">
        <is>
          <t>네이버 GFA</t>
        </is>
      </c>
      <c r="E3183" s="88">
        <f>VLOOKUP(A3183,매칭테이블!B:D,3,0)</f>
        <v/>
      </c>
      <c r="J3183" s="94" t="n">
        <v>1574307.272727273</v>
      </c>
    </row>
    <row r="3184" customFormat="1" s="94">
      <c r="A3184" s="98" t="inlineStr">
        <is>
          <t>아누아_쇼핑M</t>
        </is>
      </c>
      <c r="B3184" s="147" t="n">
        <v>44207</v>
      </c>
      <c r="C3184" s="88">
        <f>TEXT(B3184,"aaa")</f>
        <v/>
      </c>
      <c r="D3184" s="88" t="inlineStr">
        <is>
          <t>네이버 쇼핑검색</t>
        </is>
      </c>
      <c r="E3184" s="88" t="n"/>
      <c r="J3184" s="94" t="n">
        <v>73150</v>
      </c>
    </row>
    <row r="3185" customFormat="1" s="94">
      <c r="A3185" s="98" t="inlineStr">
        <is>
          <t>아누아_쇼핑PC</t>
        </is>
      </c>
      <c r="B3185" s="147" t="n">
        <v>44207</v>
      </c>
      <c r="C3185" s="88">
        <f>TEXT(B3185,"aaa")</f>
        <v/>
      </c>
      <c r="D3185" s="88" t="inlineStr">
        <is>
          <t>네이버 쇼핑검색</t>
        </is>
      </c>
      <c r="E3185" s="88" t="n"/>
      <c r="J3185" s="94" t="n">
        <v>4070</v>
      </c>
    </row>
    <row r="3186" customFormat="1" s="94">
      <c r="A3186" s="98" t="inlineStr">
        <is>
          <t>아누아_비즈보드_도전_1231</t>
        </is>
      </c>
      <c r="B3186" s="147" t="n">
        <v>44207</v>
      </c>
      <c r="C3186" s="88">
        <f>TEXT(B3186,"aaa")</f>
        <v/>
      </c>
      <c r="D3186" s="88" t="inlineStr">
        <is>
          <t>카카오광고</t>
        </is>
      </c>
      <c r="E3186" s="88">
        <f>VLOOKUP(A3186,매칭테이블!B:D,3,0)</f>
        <v/>
      </c>
      <c r="J3186" s="94" t="n">
        <v>14050</v>
      </c>
    </row>
    <row r="3187" customFormat="1" s="94">
      <c r="A3187" s="98" t="inlineStr">
        <is>
          <t>아누아_비즈보드_리타게팅</t>
        </is>
      </c>
      <c r="B3187" s="147" t="n">
        <v>44207</v>
      </c>
      <c r="C3187" s="88">
        <f>TEXT(B3187,"aaa")</f>
        <v/>
      </c>
      <c r="D3187" s="88" t="inlineStr">
        <is>
          <t>카카오광고</t>
        </is>
      </c>
      <c r="E3187" s="88">
        <f>VLOOKUP(A3187,매칭테이블!B:D,3,0)</f>
        <v/>
      </c>
      <c r="J3187" s="94" t="n">
        <v>0</v>
      </c>
    </row>
    <row r="3188" customFormat="1" s="94">
      <c r="A3188" s="98" t="inlineStr">
        <is>
          <t>아누아_청귤마스크팩_품평단모집_0104</t>
        </is>
      </c>
      <c r="B3188" s="147" t="n">
        <v>44207</v>
      </c>
      <c r="C3188" s="88">
        <f>TEXT(B3188,"aaa")</f>
        <v/>
      </c>
      <c r="D3188" s="88" t="inlineStr">
        <is>
          <t>카카오광고</t>
        </is>
      </c>
      <c r="E3188" s="88">
        <f>VLOOKUP(A3188,매칭테이블!B:D,3,0)</f>
        <v/>
      </c>
      <c r="J3188" s="94" t="n">
        <v>0</v>
      </c>
    </row>
    <row r="3189" customFormat="1" s="94">
      <c r="A3189" s="98" t="inlineStr">
        <is>
          <t>카카오 비즈보드_방문_210111</t>
        </is>
      </c>
      <c r="B3189" s="147" t="n">
        <v>44207</v>
      </c>
      <c r="C3189" s="88">
        <f>TEXT(B3189,"aaa")</f>
        <v/>
      </c>
      <c r="D3189" s="88" t="inlineStr">
        <is>
          <t>카카오광고</t>
        </is>
      </c>
      <c r="E3189" s="88">
        <f>VLOOKUP(A3189,매칭테이블!B:D,3,0)</f>
        <v/>
      </c>
      <c r="J3189" s="94" t="n">
        <v>399.9999999999999</v>
      </c>
    </row>
    <row r="3190" customFormat="1" s="94">
      <c r="A3190" s="98" t="inlineStr">
        <is>
          <t>토너_도전_0105</t>
        </is>
      </c>
      <c r="B3190" s="147" t="n">
        <v>44207</v>
      </c>
      <c r="C3190" s="88">
        <f>TEXT(B3190,"aaa")</f>
        <v/>
      </c>
      <c r="D3190" s="88" t="inlineStr">
        <is>
          <t>카카오광고</t>
        </is>
      </c>
      <c r="E3190" s="88">
        <f>VLOOKUP(A3190,매칭테이블!B:D,3,0)</f>
        <v/>
      </c>
      <c r="J3190" s="94" t="n">
        <v>16340</v>
      </c>
    </row>
    <row r="3191" customFormat="1" s="94">
      <c r="A3191" s="98" t="inlineStr">
        <is>
          <t>전환_토너패드</t>
        </is>
      </c>
      <c r="B3191" s="147" t="n">
        <v>44208</v>
      </c>
      <c r="C3191" s="88">
        <f>TEXT(B3191,"aaa")</f>
        <v/>
      </c>
      <c r="D3191" s="88" t="inlineStr">
        <is>
          <t>페이스북/인스타그램</t>
        </is>
      </c>
      <c r="E3191" s="88">
        <f>VLOOKUP(A3191,매칭테이블!B:D,3,0)</f>
        <v/>
      </c>
      <c r="J3191" s="94" t="n">
        <v>1355340</v>
      </c>
    </row>
    <row r="3192" customFormat="1" s="94">
      <c r="A3192" s="98" t="inlineStr">
        <is>
          <t>도달_랄라블라</t>
        </is>
      </c>
      <c r="B3192" s="147" t="n">
        <v>44208</v>
      </c>
      <c r="C3192" s="88">
        <f>TEXT(B3192,"aaa")</f>
        <v/>
      </c>
      <c r="D3192" s="88" t="inlineStr">
        <is>
          <t>페이스북/인스타그램</t>
        </is>
      </c>
      <c r="E3192" s="88">
        <f>VLOOKUP(A3192,매칭테이블!B:D,3,0)</f>
        <v/>
      </c>
      <c r="J3192" s="94" t="n">
        <v>29809</v>
      </c>
    </row>
    <row r="3193" customFormat="1" s="94">
      <c r="A3193" s="98" t="inlineStr">
        <is>
          <t>전환</t>
        </is>
      </c>
      <c r="B3193" s="147" t="n">
        <v>44208</v>
      </c>
      <c r="C3193" s="88">
        <f>TEXT(B3193,"aaa")</f>
        <v/>
      </c>
      <c r="D3193" s="88" t="inlineStr">
        <is>
          <t>페이스북/인스타그램</t>
        </is>
      </c>
      <c r="E3193" s="88">
        <f>VLOOKUP(A3193,매칭테이블!B:D,3,0)</f>
        <v/>
      </c>
      <c r="J3193" s="94" t="n">
        <v>898915</v>
      </c>
    </row>
    <row r="3194" customFormat="1" s="94">
      <c r="A3194" s="98" t="inlineStr">
        <is>
          <t>T_토너_후기형 테스트_메인</t>
        </is>
      </c>
      <c r="B3194" s="147" t="n">
        <v>44208</v>
      </c>
      <c r="C3194" s="88">
        <f>TEXT(B3194,"aaa")</f>
        <v/>
      </c>
      <c r="D3194" s="88" t="inlineStr">
        <is>
          <t>네이버 GFA</t>
        </is>
      </c>
      <c r="E3194" s="88">
        <f>VLOOKUP(A3194,매칭테이블!B:D,3,0)</f>
        <v/>
      </c>
      <c r="J3194" s="94" t="n">
        <v>126157.2727272727</v>
      </c>
    </row>
    <row r="3195" customFormat="1" s="94">
      <c r="A3195" s="98" t="inlineStr">
        <is>
          <t>T_토너_키워드테스트_메인</t>
        </is>
      </c>
      <c r="B3195" s="147" t="n">
        <v>44208</v>
      </c>
      <c r="C3195" s="88">
        <f>TEXT(B3195,"aaa")</f>
        <v/>
      </c>
      <c r="D3195" s="88" t="inlineStr">
        <is>
          <t>네이버 GFA</t>
        </is>
      </c>
      <c r="E3195" s="88">
        <f>VLOOKUP(A3195,매칭테이블!B:D,3,0)</f>
        <v/>
      </c>
      <c r="J3195" s="94" t="n">
        <v>221923.6363636364</v>
      </c>
    </row>
    <row r="3196" customFormat="1" s="94">
      <c r="A3196" s="98" t="inlineStr">
        <is>
          <t>아누아_77%패드_청소년관심사_메인</t>
        </is>
      </c>
      <c r="B3196" s="147" t="n">
        <v>44208</v>
      </c>
      <c r="C3196" s="88">
        <f>TEXT(B3196,"aaa")</f>
        <v/>
      </c>
      <c r="D3196" s="88" t="inlineStr">
        <is>
          <t>네이버 GFA</t>
        </is>
      </c>
      <c r="E3196" s="88">
        <f>VLOOKUP(A3196,매칭테이블!B:D,3,0)</f>
        <v/>
      </c>
      <c r="J3196" s="94" t="n">
        <v>89470.90909090909</v>
      </c>
    </row>
    <row r="3197" customFormat="1" s="94">
      <c r="A3197" s="98" t="inlineStr">
        <is>
          <t>T_아누아_패드_메인</t>
        </is>
      </c>
      <c r="B3197" s="147" t="n">
        <v>44208</v>
      </c>
      <c r="C3197" s="88">
        <f>TEXT(B3197,"aaa")</f>
        <v/>
      </c>
      <c r="D3197" s="88" t="inlineStr">
        <is>
          <t>네이버 GFA</t>
        </is>
      </c>
      <c r="E3197" s="88">
        <f>VLOOKUP(A3197,매칭테이블!B:D,3,0)</f>
        <v/>
      </c>
      <c r="J3197" s="94" t="n">
        <v>4321121.818181817</v>
      </c>
    </row>
    <row r="3198" customFormat="1" s="94">
      <c r="A3198" s="98" t="inlineStr">
        <is>
          <t>T_아누아_토너_메인지면</t>
        </is>
      </c>
      <c r="B3198" s="147" t="n">
        <v>44208</v>
      </c>
      <c r="C3198" s="88">
        <f>TEXT(B3198,"aaa")</f>
        <v/>
      </c>
      <c r="D3198" s="88" t="inlineStr">
        <is>
          <t>네이버 GFA</t>
        </is>
      </c>
      <c r="E3198" s="88">
        <f>VLOOKUP(A3198,매칭테이블!B:D,3,0)</f>
        <v/>
      </c>
      <c r="J3198" s="94" t="n">
        <v>2526459.090909091</v>
      </c>
    </row>
    <row r="3199" customFormat="1" s="94">
      <c r="A3199" s="98" t="inlineStr">
        <is>
          <t>아누아_비즈보드_도전_1231</t>
        </is>
      </c>
      <c r="B3199" s="147" t="n">
        <v>44208</v>
      </c>
      <c r="C3199" s="88">
        <f>TEXT(B3199,"aaa")</f>
        <v/>
      </c>
      <c r="D3199" s="88" t="inlineStr">
        <is>
          <t>카카오광고</t>
        </is>
      </c>
      <c r="E3199" s="88">
        <f>VLOOKUP(A3199,매칭테이블!B:D,3,0)</f>
        <v/>
      </c>
      <c r="J3199" s="94" t="n">
        <v>12720</v>
      </c>
    </row>
    <row r="3200" customFormat="1" s="94">
      <c r="A3200" s="98" t="inlineStr">
        <is>
          <t>아누아_비즈보드_리타게팅</t>
        </is>
      </c>
      <c r="B3200" s="147" t="n">
        <v>44208</v>
      </c>
      <c r="C3200" s="88">
        <f>TEXT(B3200,"aaa")</f>
        <v/>
      </c>
      <c r="D3200" s="88" t="inlineStr">
        <is>
          <t>카카오광고</t>
        </is>
      </c>
      <c r="E3200" s="88">
        <f>VLOOKUP(A3200,매칭테이블!B:D,3,0)</f>
        <v/>
      </c>
      <c r="J3200" s="94" t="n">
        <v>0</v>
      </c>
    </row>
    <row r="3201" customFormat="1" s="94">
      <c r="A3201" s="98" t="inlineStr">
        <is>
          <t>아누아_청귤마스크팩_품평단모집_0104</t>
        </is>
      </c>
      <c r="B3201" s="147" t="n">
        <v>44208</v>
      </c>
      <c r="C3201" s="88">
        <f>TEXT(B3201,"aaa")</f>
        <v/>
      </c>
      <c r="D3201" s="88" t="inlineStr">
        <is>
          <t>카카오광고</t>
        </is>
      </c>
      <c r="E3201" s="88">
        <f>VLOOKUP(A3201,매칭테이블!B:D,3,0)</f>
        <v/>
      </c>
      <c r="J3201" s="94" t="n">
        <v>0</v>
      </c>
    </row>
    <row r="3202" customFormat="1" s="94">
      <c r="A3202" s="98" t="inlineStr">
        <is>
          <t>카카오 비즈보드_방문_210111</t>
        </is>
      </c>
      <c r="B3202" s="147" t="n">
        <v>44208</v>
      </c>
      <c r="C3202" s="88">
        <f>TEXT(B3202,"aaa")</f>
        <v/>
      </c>
      <c r="D3202" s="88" t="inlineStr">
        <is>
          <t>카카오광고</t>
        </is>
      </c>
      <c r="E3202" s="88">
        <f>VLOOKUP(A3202,매칭테이블!B:D,3,0)</f>
        <v/>
      </c>
      <c r="J3202" s="94" t="n">
        <v>98269.99999999999</v>
      </c>
    </row>
    <row r="3203" customFormat="1" s="94">
      <c r="A3203" s="98" t="inlineStr">
        <is>
          <t>토너_도전_0105</t>
        </is>
      </c>
      <c r="B3203" s="147" t="n">
        <v>44208</v>
      </c>
      <c r="C3203" s="88">
        <f>TEXT(B3203,"aaa")</f>
        <v/>
      </c>
      <c r="D3203" s="88" t="inlineStr">
        <is>
          <t>카카오광고</t>
        </is>
      </c>
      <c r="E3203" s="88">
        <f>VLOOKUP(A3203,매칭테이블!B:D,3,0)</f>
        <v/>
      </c>
      <c r="J3203" s="94" t="n">
        <v>0</v>
      </c>
    </row>
    <row r="3204" customFormat="1" s="94">
      <c r="A3204" s="98" t="inlineStr">
        <is>
          <t>아누아_쇼핑M</t>
        </is>
      </c>
      <c r="B3204" s="147" t="n">
        <v>44208</v>
      </c>
      <c r="C3204" s="88">
        <f>TEXT(B3204,"aaa")</f>
        <v/>
      </c>
      <c r="D3204" s="88" t="inlineStr">
        <is>
          <t>네이버 쇼핑검색</t>
        </is>
      </c>
      <c r="E3204" s="88" t="n"/>
      <c r="J3204" s="94" t="n">
        <v>113800</v>
      </c>
    </row>
    <row r="3205" customFormat="1" s="94">
      <c r="A3205" s="98" t="inlineStr">
        <is>
          <t>아누아_쇼핑PC</t>
        </is>
      </c>
      <c r="B3205" s="147" t="n">
        <v>44208</v>
      </c>
      <c r="C3205" s="88">
        <f>TEXT(B3205,"aaa")</f>
        <v/>
      </c>
      <c r="D3205" s="88" t="inlineStr">
        <is>
          <t>네이버 쇼핑검색</t>
        </is>
      </c>
      <c r="E3205" s="88" t="n"/>
      <c r="J3205" s="94" t="n">
        <v>3370</v>
      </c>
    </row>
    <row r="3206" customFormat="1" s="94">
      <c r="A3206" s="98" t="inlineStr">
        <is>
          <t>디스커버리_소히방2</t>
        </is>
      </c>
      <c r="B3206" s="147" t="n">
        <v>44208</v>
      </c>
      <c r="C3206" s="88">
        <f>TEXT(B3206,"aaa")</f>
        <v/>
      </c>
      <c r="D3206" s="88" t="inlineStr">
        <is>
          <t>유튜브 디스커버리</t>
        </is>
      </c>
      <c r="E3206" s="88">
        <f>VLOOKUP(A3206,매칭테이블!B:D,3,0)</f>
        <v/>
      </c>
      <c r="J3206" s="94" t="n">
        <v>14</v>
      </c>
    </row>
    <row r="3207" customFormat="1" s="94">
      <c r="A3207" s="99" t="inlineStr">
        <is>
          <t>전환_토너패드</t>
        </is>
      </c>
      <c r="B3207" s="147" t="n">
        <v>44209</v>
      </c>
      <c r="C3207" s="88">
        <f>TEXT(B3207,"aaa")</f>
        <v/>
      </c>
      <c r="D3207" s="88" t="inlineStr">
        <is>
          <t>페이스북/인스타그램</t>
        </is>
      </c>
      <c r="E3207" s="88">
        <f>VLOOKUP(A3207,매칭테이블!B:D,3,0)</f>
        <v/>
      </c>
      <c r="J3207" s="94" t="n">
        <v>1280435</v>
      </c>
    </row>
    <row r="3208" customFormat="1" s="94">
      <c r="A3208" s="99" t="inlineStr">
        <is>
          <t>도달_랄라블라</t>
        </is>
      </c>
      <c r="B3208" s="147" t="n">
        <v>44209</v>
      </c>
      <c r="C3208" s="88">
        <f>TEXT(B3208,"aaa")</f>
        <v/>
      </c>
      <c r="D3208" s="88" t="inlineStr">
        <is>
          <t>페이스북/인스타그램</t>
        </is>
      </c>
      <c r="E3208" s="88">
        <f>VLOOKUP(A3208,매칭테이블!B:D,3,0)</f>
        <v/>
      </c>
      <c r="J3208" s="94" t="n">
        <v>29776</v>
      </c>
    </row>
    <row r="3209" customFormat="1" s="94">
      <c r="A3209" s="99" t="inlineStr">
        <is>
          <t>전환</t>
        </is>
      </c>
      <c r="B3209" s="147" t="n">
        <v>44209</v>
      </c>
      <c r="C3209" s="88">
        <f>TEXT(B3209,"aaa")</f>
        <v/>
      </c>
      <c r="D3209" s="88" t="inlineStr">
        <is>
          <t>페이스북/인스타그램</t>
        </is>
      </c>
      <c r="E3209" s="88">
        <f>VLOOKUP(A3209,매칭테이블!B:D,3,0)</f>
        <v/>
      </c>
      <c r="J3209" s="94" t="n">
        <v>965977</v>
      </c>
    </row>
    <row r="3210" customFormat="1" s="94">
      <c r="A3210" s="98" t="inlineStr">
        <is>
          <t>T_토너_테스트</t>
        </is>
      </c>
      <c r="B3210" s="147" t="n">
        <v>44209</v>
      </c>
      <c r="C3210" s="88">
        <f>TEXT(B3210,"aaa")</f>
        <v/>
      </c>
      <c r="D3210" s="88" t="inlineStr">
        <is>
          <t>네이버 GFA</t>
        </is>
      </c>
      <c r="E3210" s="88">
        <f>VLOOKUP(A3210,매칭테이블!B:D,3,0)</f>
        <v/>
      </c>
      <c r="J3210" s="94" t="n">
        <v>239509.0909090909</v>
      </c>
    </row>
    <row r="3211" customFormat="1" s="94">
      <c r="A3211" s="98" t="inlineStr">
        <is>
          <t>T_토너_후기형 테스트_메인</t>
        </is>
      </c>
      <c r="B3211" s="147" t="n">
        <v>44209</v>
      </c>
      <c r="C3211" s="88">
        <f>TEXT(B3211,"aaa")</f>
        <v/>
      </c>
      <c r="D3211" s="88" t="inlineStr">
        <is>
          <t>네이버 GFA</t>
        </is>
      </c>
      <c r="E3211" s="88">
        <f>VLOOKUP(A3211,매칭테이블!B:D,3,0)</f>
        <v/>
      </c>
      <c r="J3211" s="94" t="n">
        <v>127179.0909090909</v>
      </c>
    </row>
    <row r="3212" customFormat="1" s="94">
      <c r="A3212" s="98" t="inlineStr">
        <is>
          <t>아누아_77%패드_청소년관심사_메인</t>
        </is>
      </c>
      <c r="B3212" s="147" t="n">
        <v>44209</v>
      </c>
      <c r="C3212" s="88">
        <f>TEXT(B3212,"aaa")</f>
        <v/>
      </c>
      <c r="D3212" s="88" t="inlineStr">
        <is>
          <t>네이버 GFA</t>
        </is>
      </c>
      <c r="E3212" s="88">
        <f>VLOOKUP(A3212,매칭테이블!B:D,3,0)</f>
        <v/>
      </c>
      <c r="J3212" s="94" t="n">
        <v>28251.81818181818</v>
      </c>
    </row>
    <row r="3213" customFormat="1" s="94">
      <c r="A3213" s="98" t="inlineStr">
        <is>
          <t>T_아누아_패드_메인</t>
        </is>
      </c>
      <c r="B3213" s="147" t="n">
        <v>44209</v>
      </c>
      <c r="C3213" s="88">
        <f>TEXT(B3213,"aaa")</f>
        <v/>
      </c>
      <c r="D3213" s="88" t="inlineStr">
        <is>
          <t>네이버 GFA</t>
        </is>
      </c>
      <c r="E3213" s="88">
        <f>VLOOKUP(A3213,매칭테이블!B:D,3,0)</f>
        <v/>
      </c>
      <c r="J3213" s="94" t="n">
        <v>3652972.727272727</v>
      </c>
    </row>
    <row r="3214" customFormat="1" s="94">
      <c r="A3214" s="98" t="inlineStr">
        <is>
          <t>토너_메인_기존소재</t>
        </is>
      </c>
      <c r="B3214" s="147" t="n">
        <v>44209</v>
      </c>
      <c r="C3214" s="88">
        <f>TEXT(B3214,"aaa")</f>
        <v/>
      </c>
      <c r="D3214" s="88" t="inlineStr">
        <is>
          <t>네이버 GFA</t>
        </is>
      </c>
      <c r="E3214" s="88">
        <f>VLOOKUP(A3214,매칭테이블!B:D,3,0)</f>
        <v/>
      </c>
      <c r="J3214" s="94" t="n">
        <v>1873231.818181818</v>
      </c>
    </row>
    <row r="3215" customFormat="1" s="94">
      <c r="A3215" s="98" t="inlineStr">
        <is>
          <t>아누아_비즈보드_도전_1231</t>
        </is>
      </c>
      <c r="B3215" s="147" t="n">
        <v>44209</v>
      </c>
      <c r="C3215" s="88">
        <f>TEXT(B3215,"aaa")</f>
        <v/>
      </c>
      <c r="D3215" s="88" t="inlineStr">
        <is>
          <t>카카오광고</t>
        </is>
      </c>
      <c r="E3215" s="88">
        <f>VLOOKUP(A3215,매칭테이블!B:D,3,0)</f>
        <v/>
      </c>
      <c r="J3215" s="94" t="n">
        <v>25770</v>
      </c>
    </row>
    <row r="3216" customFormat="1" s="94">
      <c r="A3216" s="98" t="inlineStr">
        <is>
          <t>아누아_비즈보드_리타게팅</t>
        </is>
      </c>
      <c r="B3216" s="147" t="n">
        <v>44209</v>
      </c>
      <c r="C3216" s="88">
        <f>TEXT(B3216,"aaa")</f>
        <v/>
      </c>
      <c r="D3216" s="88" t="inlineStr">
        <is>
          <t>카카오광고</t>
        </is>
      </c>
      <c r="E3216" s="88">
        <f>VLOOKUP(A3216,매칭테이블!B:D,3,0)</f>
        <v/>
      </c>
      <c r="J3216" s="94" t="n">
        <v>330</v>
      </c>
    </row>
    <row r="3217" customFormat="1" s="94">
      <c r="A3217" s="98" t="inlineStr">
        <is>
          <t>아누아_청귤마스크팩_품평단모집_0104</t>
        </is>
      </c>
      <c r="B3217" s="147" t="n">
        <v>44209</v>
      </c>
      <c r="C3217" s="88">
        <f>TEXT(B3217,"aaa")</f>
        <v/>
      </c>
      <c r="D3217" s="88" t="inlineStr">
        <is>
          <t>카카오광고</t>
        </is>
      </c>
      <c r="E3217" s="88">
        <f>VLOOKUP(A3217,매칭테이블!B:D,3,0)</f>
        <v/>
      </c>
      <c r="J3217" s="94" t="n">
        <v>0</v>
      </c>
    </row>
    <row r="3218" customFormat="1" s="94">
      <c r="A3218" s="98" t="inlineStr">
        <is>
          <t>카카오 비즈보드_방문_210111</t>
        </is>
      </c>
      <c r="B3218" s="147" t="n">
        <v>44209</v>
      </c>
      <c r="C3218" s="88">
        <f>TEXT(B3218,"aaa")</f>
        <v/>
      </c>
      <c r="D3218" s="88" t="inlineStr">
        <is>
          <t>카카오광고</t>
        </is>
      </c>
      <c r="E3218" s="88">
        <f>VLOOKUP(A3218,매칭테이블!B:D,3,0)</f>
        <v/>
      </c>
      <c r="J3218" s="94" t="n">
        <v>16620</v>
      </c>
    </row>
    <row r="3219" customFormat="1" s="94">
      <c r="A3219" s="98" t="inlineStr">
        <is>
          <t>아누아_쇼핑M</t>
        </is>
      </c>
      <c r="B3219" s="147" t="n">
        <v>44209</v>
      </c>
      <c r="C3219" s="88">
        <f>TEXT(B3219,"aaa")</f>
        <v/>
      </c>
      <c r="D3219" s="88" t="inlineStr">
        <is>
          <t>네이버 쇼핑검색</t>
        </is>
      </c>
      <c r="E3219" s="88" t="n"/>
      <c r="J3219" s="94" t="n">
        <v>113670</v>
      </c>
    </row>
    <row r="3220" customFormat="1" s="94">
      <c r="A3220" s="98" t="inlineStr">
        <is>
          <t>아누아_쇼핑PC</t>
        </is>
      </c>
      <c r="B3220" s="147" t="n">
        <v>44209</v>
      </c>
      <c r="C3220" s="88">
        <f>TEXT(B3220,"aaa")</f>
        <v/>
      </c>
      <c r="D3220" s="88" t="inlineStr">
        <is>
          <t>네이버 쇼핑검색</t>
        </is>
      </c>
      <c r="E3220" s="88" t="n"/>
      <c r="J3220" s="94" t="n">
        <v>5100</v>
      </c>
    </row>
    <row r="3221" customFormat="1" s="94">
      <c r="A3221" s="99" t="inlineStr">
        <is>
          <t>전환_토너패드</t>
        </is>
      </c>
      <c r="B3221" s="147" t="n">
        <v>44210</v>
      </c>
      <c r="C3221" s="88">
        <f>TEXT(B3221,"aaa")</f>
        <v/>
      </c>
      <c r="D3221" s="88" t="inlineStr">
        <is>
          <t>페이스북/인스타그램</t>
        </is>
      </c>
      <c r="E3221" s="88">
        <f>VLOOKUP(A3221,매칭테이블!B:D,3,0)</f>
        <v/>
      </c>
      <c r="J3221" s="94" t="n">
        <v>1280998</v>
      </c>
    </row>
    <row r="3222" customFormat="1" s="94">
      <c r="A3222" s="99" t="inlineStr">
        <is>
          <t>도달_랄라블라</t>
        </is>
      </c>
      <c r="B3222" s="147" t="n">
        <v>44210</v>
      </c>
      <c r="C3222" s="88">
        <f>TEXT(B3222,"aaa")</f>
        <v/>
      </c>
      <c r="D3222" s="88" t="inlineStr">
        <is>
          <t>페이스북/인스타그램</t>
        </is>
      </c>
      <c r="E3222" s="88">
        <f>VLOOKUP(A3222,매칭테이블!B:D,3,0)</f>
        <v/>
      </c>
      <c r="J3222" s="94" t="n">
        <v>29631</v>
      </c>
    </row>
    <row r="3223" customFormat="1" s="94">
      <c r="A3223" s="99" t="inlineStr">
        <is>
          <t>전환</t>
        </is>
      </c>
      <c r="B3223" s="147" t="n">
        <v>44210</v>
      </c>
      <c r="C3223" s="88">
        <f>TEXT(B3223,"aaa")</f>
        <v/>
      </c>
      <c r="D3223" s="88" t="inlineStr">
        <is>
          <t>페이스북/인스타그램</t>
        </is>
      </c>
      <c r="E3223" s="88">
        <f>VLOOKUP(A3223,매칭테이블!B:D,3,0)</f>
        <v/>
      </c>
      <c r="J3223" s="94" t="n">
        <v>979024</v>
      </c>
    </row>
    <row r="3224" customFormat="1" s="94">
      <c r="A3224" s="98" t="inlineStr">
        <is>
          <t>T_토너_테스트_여드름 서브지면</t>
        </is>
      </c>
      <c r="B3224" s="147" t="n">
        <v>44210</v>
      </c>
      <c r="C3224" s="88">
        <f>TEXT(B3224,"aaa")</f>
        <v/>
      </c>
      <c r="D3224" s="88" t="inlineStr">
        <is>
          <t>네이버 GFA</t>
        </is>
      </c>
      <c r="E3224" s="88">
        <f>VLOOKUP(A3224,매칭테이블!B:D,3,0)</f>
        <v/>
      </c>
      <c r="J3224" s="94" t="n">
        <v>185104.5454545454</v>
      </c>
    </row>
    <row r="3225" customFormat="1" s="94">
      <c r="A3225" s="98" t="inlineStr">
        <is>
          <t>T_토너_테스트</t>
        </is>
      </c>
      <c r="B3225" s="147" t="n">
        <v>44210</v>
      </c>
      <c r="C3225" s="88">
        <f>TEXT(B3225,"aaa")</f>
        <v/>
      </c>
      <c r="D3225" s="88" t="inlineStr">
        <is>
          <t>네이버 GFA</t>
        </is>
      </c>
      <c r="E3225" s="88">
        <f>VLOOKUP(A3225,매칭테이블!B:D,3,0)</f>
        <v/>
      </c>
      <c r="J3225" s="94" t="n">
        <v>2517577.272727272</v>
      </c>
    </row>
    <row r="3226" customFormat="1" s="94">
      <c r="A3226" s="98" t="inlineStr">
        <is>
          <t>아누아_77%패드_청소년관심사_메인</t>
        </is>
      </c>
      <c r="B3226" s="147" t="n">
        <v>44210</v>
      </c>
      <c r="C3226" s="88">
        <f>TEXT(B3226,"aaa")</f>
        <v/>
      </c>
      <c r="D3226" s="88" t="inlineStr">
        <is>
          <t>네이버 GFA</t>
        </is>
      </c>
      <c r="E3226" s="88">
        <f>VLOOKUP(A3226,매칭테이블!B:D,3,0)</f>
        <v/>
      </c>
      <c r="J3226" s="94" t="n">
        <v>99646.36363636363</v>
      </c>
    </row>
    <row r="3227" customFormat="1" s="94">
      <c r="A3227" s="98" t="inlineStr">
        <is>
          <t>T_아누아_패드_메인</t>
        </is>
      </c>
      <c r="B3227" s="147" t="n">
        <v>44210</v>
      </c>
      <c r="C3227" s="88">
        <f>TEXT(B3227,"aaa")</f>
        <v/>
      </c>
      <c r="D3227" s="88" t="inlineStr">
        <is>
          <t>네이버 GFA</t>
        </is>
      </c>
      <c r="E3227" s="88">
        <f>VLOOKUP(A3227,매칭테이블!B:D,3,0)</f>
        <v/>
      </c>
      <c r="J3227" s="94" t="n">
        <v>3001660.909090909</v>
      </c>
    </row>
    <row r="3228" customFormat="1" s="94">
      <c r="A3228" s="98" t="inlineStr">
        <is>
          <t>토너_메인_기존소재</t>
        </is>
      </c>
      <c r="B3228" s="147" t="n">
        <v>44210</v>
      </c>
      <c r="C3228" s="88">
        <f>TEXT(B3228,"aaa")</f>
        <v/>
      </c>
      <c r="D3228" s="88" t="inlineStr">
        <is>
          <t>네이버 GFA</t>
        </is>
      </c>
      <c r="E3228" s="88">
        <f>VLOOKUP(A3228,매칭테이블!B:D,3,0)</f>
        <v/>
      </c>
      <c r="J3228" s="94" t="n">
        <v>1004407.272727273</v>
      </c>
    </row>
    <row r="3229" customFormat="1" s="94">
      <c r="A3229" s="98" t="inlineStr">
        <is>
          <t>아누아_비즈보드_도전_1231</t>
        </is>
      </c>
      <c r="B3229" s="147" t="n">
        <v>44210</v>
      </c>
      <c r="C3229" s="88">
        <f>TEXT(B3229,"aaa")</f>
        <v/>
      </c>
      <c r="D3229" s="88" t="inlineStr">
        <is>
          <t>카카오광고</t>
        </is>
      </c>
      <c r="E3229" s="88">
        <f>VLOOKUP(A3229,매칭테이블!B:D,3,0)</f>
        <v/>
      </c>
      <c r="J3229" s="94" t="n">
        <v>48799.99999999999</v>
      </c>
    </row>
    <row r="3230" customFormat="1" s="94">
      <c r="A3230" s="98" t="inlineStr">
        <is>
          <t>아누아_비즈보드_리타게팅</t>
        </is>
      </c>
      <c r="B3230" s="147" t="n">
        <v>44210</v>
      </c>
      <c r="C3230" s="88">
        <f>TEXT(B3230,"aaa")</f>
        <v/>
      </c>
      <c r="D3230" s="88" t="inlineStr">
        <is>
          <t>카카오광고</t>
        </is>
      </c>
      <c r="E3230" s="88">
        <f>VLOOKUP(A3230,매칭테이블!B:D,3,0)</f>
        <v/>
      </c>
      <c r="J3230" s="94" t="n">
        <v>310</v>
      </c>
    </row>
    <row r="3231" customFormat="1" s="94">
      <c r="A3231" s="98" t="inlineStr">
        <is>
          <t>아누아_청귤마스크팩_품평단모집_0104</t>
        </is>
      </c>
      <c r="B3231" s="147" t="n">
        <v>44210</v>
      </c>
      <c r="C3231" s="88">
        <f>TEXT(B3231,"aaa")</f>
        <v/>
      </c>
      <c r="D3231" s="88" t="inlineStr">
        <is>
          <t>카카오광고</t>
        </is>
      </c>
      <c r="E3231" s="88">
        <f>VLOOKUP(A3231,매칭테이블!B:D,3,0)</f>
        <v/>
      </c>
      <c r="J3231" s="94" t="n">
        <v>0</v>
      </c>
    </row>
    <row r="3232" customFormat="1" s="94">
      <c r="A3232" s="98" t="inlineStr">
        <is>
          <t>카카오 비즈보드_방문_210111</t>
        </is>
      </c>
      <c r="B3232" s="147" t="n">
        <v>44210</v>
      </c>
      <c r="C3232" s="88">
        <f>TEXT(B3232,"aaa")</f>
        <v/>
      </c>
      <c r="D3232" s="88" t="inlineStr">
        <is>
          <t>카카오광고</t>
        </is>
      </c>
      <c r="E3232" s="88">
        <f>VLOOKUP(A3232,매칭테이블!B:D,3,0)</f>
        <v/>
      </c>
      <c r="J3232" s="94" t="n">
        <v>21210</v>
      </c>
    </row>
    <row r="3233" customFormat="1" s="94">
      <c r="A3233" s="98" t="inlineStr">
        <is>
          <t>아누아_쇼핑M</t>
        </is>
      </c>
      <c r="B3233" s="147" t="n">
        <v>44210</v>
      </c>
      <c r="C3233" s="88">
        <f>TEXT(B3233,"aaa")</f>
        <v/>
      </c>
      <c r="D3233" s="88" t="inlineStr">
        <is>
          <t>네이버 쇼핑검색</t>
        </is>
      </c>
      <c r="E3233" s="88" t="n"/>
      <c r="J3233" s="94" t="n">
        <v>106410</v>
      </c>
    </row>
    <row r="3234" customFormat="1" s="94">
      <c r="A3234" s="98" t="inlineStr">
        <is>
          <t>아누아_쇼핑PC</t>
        </is>
      </c>
      <c r="B3234" s="147" t="n">
        <v>44210</v>
      </c>
      <c r="C3234" s="88">
        <f>TEXT(B3234,"aaa")</f>
        <v/>
      </c>
      <c r="D3234" s="88" t="inlineStr">
        <is>
          <t>네이버 쇼핑검색</t>
        </is>
      </c>
      <c r="E3234" s="88" t="n"/>
      <c r="J3234" s="89" t="n">
        <v>8330</v>
      </c>
    </row>
    <row r="3235" customFormat="1" s="94">
      <c r="A3235" s="99" t="inlineStr">
        <is>
          <t>전환_토너패드</t>
        </is>
      </c>
      <c r="B3235" s="147" t="n">
        <v>44211</v>
      </c>
      <c r="C3235" s="88">
        <f>TEXT(B3235,"aaa")</f>
        <v/>
      </c>
      <c r="D3235" s="88" t="inlineStr">
        <is>
          <t>페이스북/인스타그램</t>
        </is>
      </c>
      <c r="E3235" s="88">
        <f>VLOOKUP(A3235,매칭테이블!B:D,3,0)</f>
        <v/>
      </c>
      <c r="J3235" s="89" t="n">
        <v>986500</v>
      </c>
    </row>
    <row r="3236" customFormat="1" s="94">
      <c r="A3236" s="99" t="inlineStr">
        <is>
          <t>도달_랄라블라</t>
        </is>
      </c>
      <c r="B3236" s="147" t="n">
        <v>44211</v>
      </c>
      <c r="C3236" s="88">
        <f>TEXT(B3236,"aaa")</f>
        <v/>
      </c>
      <c r="D3236" s="88" t="inlineStr">
        <is>
          <t>페이스북/인스타그램</t>
        </is>
      </c>
      <c r="E3236" s="88">
        <f>VLOOKUP(A3236,매칭테이블!B:D,3,0)</f>
        <v/>
      </c>
      <c r="J3236" s="89" t="n">
        <v>23745</v>
      </c>
    </row>
    <row r="3237" customFormat="1" s="94">
      <c r="A3237" s="99" t="inlineStr">
        <is>
          <t>전환</t>
        </is>
      </c>
      <c r="B3237" s="147" t="n">
        <v>44211</v>
      </c>
      <c r="C3237" s="88">
        <f>TEXT(B3237,"aaa")</f>
        <v/>
      </c>
      <c r="D3237" s="88" t="inlineStr">
        <is>
          <t>페이스북/인스타그램</t>
        </is>
      </c>
      <c r="E3237" s="88">
        <f>VLOOKUP(A3237,매칭테이블!B:D,3,0)</f>
        <v/>
      </c>
      <c r="J3237" s="89" t="n">
        <v>847801</v>
      </c>
    </row>
    <row r="3238" customFormat="1" s="94">
      <c r="A3238" s="98" t="inlineStr">
        <is>
          <t>T_토너_구매의도테스트</t>
        </is>
      </c>
      <c r="B3238" s="147" t="n">
        <v>44211</v>
      </c>
      <c r="C3238" s="88">
        <f>TEXT(B3238,"aaa")</f>
        <v/>
      </c>
      <c r="D3238" s="88" t="inlineStr">
        <is>
          <t>네이버 GFA</t>
        </is>
      </c>
      <c r="E3238" s="88">
        <f>VLOOKUP(A3238,매칭테이블!B:D,3,0)</f>
        <v/>
      </c>
      <c r="J3238" s="89" t="n">
        <v>47807.27272727272</v>
      </c>
    </row>
    <row r="3239" customFormat="1" s="94">
      <c r="A3239" s="98" t="inlineStr">
        <is>
          <t>T_토너_테스트</t>
        </is>
      </c>
      <c r="B3239" s="147" t="n">
        <v>44211</v>
      </c>
      <c r="C3239" s="88">
        <f>TEXT(B3239,"aaa")</f>
        <v/>
      </c>
      <c r="D3239" s="88" t="inlineStr">
        <is>
          <t>네이버 GFA</t>
        </is>
      </c>
      <c r="E3239" s="88">
        <f>VLOOKUP(A3239,매칭테이블!B:D,3,0)</f>
        <v/>
      </c>
      <c r="J3239" s="89" t="n">
        <v>925710.9090909091</v>
      </c>
    </row>
    <row r="3240" customFormat="1" s="94">
      <c r="A3240" s="98" t="inlineStr">
        <is>
          <t>T_토너_키워드테스트_메인</t>
        </is>
      </c>
      <c r="B3240" s="147" t="n">
        <v>44211</v>
      </c>
      <c r="C3240" s="88">
        <f>TEXT(B3240,"aaa")</f>
        <v/>
      </c>
      <c r="D3240" s="88" t="inlineStr">
        <is>
          <t>네이버 GFA</t>
        </is>
      </c>
      <c r="E3240" s="88">
        <f>VLOOKUP(A3240,매칭테이블!B:D,3,0)</f>
        <v/>
      </c>
      <c r="J3240" s="89" t="n">
        <v>96797.27272727272</v>
      </c>
    </row>
    <row r="3241" customFormat="1" s="94">
      <c r="A3241" s="98" t="inlineStr">
        <is>
          <t>아누아_77%패드_청소년관심사_메인</t>
        </is>
      </c>
      <c r="B3241" s="147" t="n">
        <v>44211</v>
      </c>
      <c r="C3241" s="88">
        <f>TEXT(B3241,"aaa")</f>
        <v/>
      </c>
      <c r="D3241" s="88" t="inlineStr">
        <is>
          <t>네이버 GFA</t>
        </is>
      </c>
      <c r="E3241" s="88">
        <f>VLOOKUP(A3241,매칭테이블!B:D,3,0)</f>
        <v/>
      </c>
      <c r="J3241" s="89" t="n">
        <v>55806.36363636363</v>
      </c>
    </row>
    <row r="3242" customFormat="1" s="94">
      <c r="A3242" s="98" t="inlineStr">
        <is>
          <t>T_아누아_토너로션_메인</t>
        </is>
      </c>
      <c r="B3242" s="147" t="n">
        <v>44211</v>
      </c>
      <c r="C3242" s="88">
        <f>TEXT(B3242,"aaa")</f>
        <v/>
      </c>
      <c r="D3242" s="88" t="inlineStr">
        <is>
          <t>네이버 GFA</t>
        </is>
      </c>
      <c r="E3242" s="88">
        <f>VLOOKUP(A3242,매칭테이블!B:D,3,0)</f>
        <v/>
      </c>
      <c r="J3242" s="89" t="n">
        <v>25725.45454545454</v>
      </c>
    </row>
    <row r="3243" customFormat="1" s="94">
      <c r="A3243" s="98" t="inlineStr">
        <is>
          <t>T_아누아_토너_스마트채널</t>
        </is>
      </c>
      <c r="B3243" s="147" t="n">
        <v>44211</v>
      </c>
      <c r="C3243" s="88">
        <f>TEXT(B3243,"aaa")</f>
        <v/>
      </c>
      <c r="D3243" s="88" t="inlineStr">
        <is>
          <t>네이버 GFA</t>
        </is>
      </c>
      <c r="E3243" s="88">
        <f>VLOOKUP(A3243,매칭테이블!B:D,3,0)</f>
        <v/>
      </c>
      <c r="J3243" s="89" t="n">
        <v>122155.4545454545</v>
      </c>
    </row>
    <row r="3244" customFormat="1" s="94">
      <c r="A3244" s="98" t="inlineStr">
        <is>
          <t>T_아누아_패드_서브</t>
        </is>
      </c>
      <c r="B3244" s="147" t="n">
        <v>44211</v>
      </c>
      <c r="C3244" s="88">
        <f>TEXT(B3244,"aaa")</f>
        <v/>
      </c>
      <c r="D3244" s="88" t="inlineStr">
        <is>
          <t>네이버 GFA</t>
        </is>
      </c>
      <c r="E3244" s="88">
        <f>VLOOKUP(A3244,매칭테이블!B:D,3,0)</f>
        <v/>
      </c>
      <c r="J3244" s="89" t="n">
        <v>887.2727272727273</v>
      </c>
    </row>
    <row r="3245" customFormat="1" s="94">
      <c r="A3245" s="98" t="inlineStr">
        <is>
          <t>T_아누아_패드_메인</t>
        </is>
      </c>
      <c r="B3245" s="147" t="n">
        <v>44211</v>
      </c>
      <c r="C3245" s="88">
        <f>TEXT(B3245,"aaa")</f>
        <v/>
      </c>
      <c r="D3245" s="88" t="inlineStr">
        <is>
          <t>네이버 GFA</t>
        </is>
      </c>
      <c r="E3245" s="88">
        <f>VLOOKUP(A3245,매칭테이블!B:D,3,0)</f>
        <v/>
      </c>
      <c r="J3245" s="89" t="n">
        <v>2389717.272727272</v>
      </c>
    </row>
    <row r="3246" customFormat="1" s="94">
      <c r="A3246" s="98" t="inlineStr">
        <is>
          <t>토너_메인_기존소재</t>
        </is>
      </c>
      <c r="B3246" s="147" t="n">
        <v>44211</v>
      </c>
      <c r="C3246" s="88">
        <f>TEXT(B3246,"aaa")</f>
        <v/>
      </c>
      <c r="D3246" s="88" t="inlineStr">
        <is>
          <t>네이버 GFA</t>
        </is>
      </c>
      <c r="E3246" s="88">
        <f>VLOOKUP(A3246,매칭테이블!B:D,3,0)</f>
        <v/>
      </c>
      <c r="J3246" s="89" t="n">
        <v>1193048.181818182</v>
      </c>
    </row>
    <row r="3247" customFormat="1" s="94">
      <c r="A3247" s="98" t="inlineStr">
        <is>
          <t>아누아_비즈보드_도전_1231</t>
        </is>
      </c>
      <c r="B3247" s="147" t="n">
        <v>44211</v>
      </c>
      <c r="C3247" s="88">
        <f>TEXT(B3247,"aaa")</f>
        <v/>
      </c>
      <c r="D3247" s="88" t="inlineStr">
        <is>
          <t>카카오광고</t>
        </is>
      </c>
      <c r="E3247" s="88">
        <f>VLOOKUP(A3247,매칭테이블!B:D,3,0)</f>
        <v/>
      </c>
      <c r="J3247" s="89" t="n">
        <v>999.1485148514852</v>
      </c>
    </row>
    <row r="3248" customFormat="1" s="94">
      <c r="A3248" s="98" t="inlineStr">
        <is>
          <t>아누아_비즈보드_리타게팅</t>
        </is>
      </c>
      <c r="B3248" s="147" t="n">
        <v>44211</v>
      </c>
      <c r="C3248" s="88">
        <f>TEXT(B3248,"aaa")</f>
        <v/>
      </c>
      <c r="D3248" s="88" t="inlineStr">
        <is>
          <t>카카오광고</t>
        </is>
      </c>
      <c r="E3248" s="88">
        <f>VLOOKUP(A3248,매칭테이블!B:D,3,0)</f>
        <v/>
      </c>
      <c r="J3248" s="89" t="n">
        <v>24.61386138613861</v>
      </c>
    </row>
    <row r="3249" customFormat="1" s="94">
      <c r="A3249" s="98" t="inlineStr">
        <is>
          <t>아누아_수분마스크팩_210118</t>
        </is>
      </c>
      <c r="B3249" s="147" t="n">
        <v>44211</v>
      </c>
      <c r="C3249" s="88">
        <f>TEXT(B3249,"aaa")</f>
        <v/>
      </c>
      <c r="D3249" s="88" t="inlineStr">
        <is>
          <t>카카오광고</t>
        </is>
      </c>
      <c r="E3249" s="88">
        <f>VLOOKUP(A3249,매칭테이블!B:D,3,0)</f>
        <v/>
      </c>
      <c r="J3249" s="89" t="n">
        <v>0</v>
      </c>
    </row>
    <row r="3250" customFormat="1" s="94">
      <c r="A3250" s="98" t="inlineStr">
        <is>
          <t>아누아_쇼핑M</t>
        </is>
      </c>
      <c r="B3250" s="147" t="n">
        <v>44211</v>
      </c>
      <c r="C3250" s="88">
        <f>TEXT(B3250,"aaa")</f>
        <v/>
      </c>
      <c r="D3250" s="88" t="inlineStr">
        <is>
          <t>네이버 쇼핑검색</t>
        </is>
      </c>
      <c r="E3250" s="88" t="n"/>
      <c r="J3250" s="89" t="n">
        <v>78180</v>
      </c>
    </row>
    <row r="3251" customFormat="1" s="94">
      <c r="A3251" s="98" t="inlineStr">
        <is>
          <t>아누아_쇼핑PC</t>
        </is>
      </c>
      <c r="B3251" s="147" t="n">
        <v>44211</v>
      </c>
      <c r="C3251" s="88">
        <f>TEXT(B3251,"aaa")</f>
        <v/>
      </c>
      <c r="D3251" s="88" t="inlineStr">
        <is>
          <t>네이버 쇼핑검색</t>
        </is>
      </c>
      <c r="E3251" s="88" t="n"/>
      <c r="J3251" s="89" t="n">
        <v>9230</v>
      </c>
    </row>
    <row r="3252" customFormat="1" s="94">
      <c r="A3252" s="99" t="inlineStr">
        <is>
          <t>전환_토너패드</t>
        </is>
      </c>
      <c r="B3252" s="147" t="n">
        <v>44212</v>
      </c>
      <c r="C3252" s="88">
        <f>TEXT(B3252,"aaa")</f>
        <v/>
      </c>
      <c r="D3252" s="88" t="inlineStr">
        <is>
          <t>페이스북/인스타그램</t>
        </is>
      </c>
      <c r="E3252" s="88">
        <f>VLOOKUP(A3252,매칭테이블!B:D,3,0)</f>
        <v/>
      </c>
      <c r="J3252" s="89" t="n">
        <v>627180</v>
      </c>
    </row>
    <row r="3253" customFormat="1" s="94">
      <c r="A3253" s="99" t="inlineStr">
        <is>
          <t>도달_랄라블라</t>
        </is>
      </c>
      <c r="B3253" s="147" t="n">
        <v>44212</v>
      </c>
      <c r="C3253" s="88">
        <f>TEXT(B3253,"aaa")</f>
        <v/>
      </c>
      <c r="D3253" s="88" t="inlineStr">
        <is>
          <t>페이스북/인스타그램</t>
        </is>
      </c>
      <c r="E3253" s="88">
        <f>VLOOKUP(A3253,매칭테이블!B:D,3,0)</f>
        <v/>
      </c>
      <c r="J3253" s="89" t="n">
        <v>14486</v>
      </c>
    </row>
    <row r="3254" customFormat="1" s="94">
      <c r="A3254" s="99" t="inlineStr">
        <is>
          <t>전환</t>
        </is>
      </c>
      <c r="B3254" s="147" t="n">
        <v>44212</v>
      </c>
      <c r="C3254" s="88">
        <f>TEXT(B3254,"aaa")</f>
        <v/>
      </c>
      <c r="D3254" s="88" t="inlineStr">
        <is>
          <t>페이스북/인스타그램</t>
        </is>
      </c>
      <c r="E3254" s="88">
        <f>VLOOKUP(A3254,매칭테이블!B:D,3,0)</f>
        <v/>
      </c>
      <c r="J3254" s="89" t="n">
        <v>449092</v>
      </c>
    </row>
    <row r="3255" customFormat="1" s="94">
      <c r="A3255" s="98" t="inlineStr">
        <is>
          <t>T_토너_구매의도테스트</t>
        </is>
      </c>
      <c r="B3255" s="147" t="n">
        <v>44212</v>
      </c>
      <c r="C3255" s="88">
        <f>TEXT(B3255,"aaa")</f>
        <v/>
      </c>
      <c r="D3255" s="88" t="inlineStr">
        <is>
          <t>네이버 GFA</t>
        </is>
      </c>
      <c r="E3255" s="88">
        <f>VLOOKUP(A3255,매칭테이블!B:D,3,0)</f>
        <v/>
      </c>
      <c r="J3255" s="89" t="n">
        <v>21173.63636363636</v>
      </c>
    </row>
    <row r="3256" customFormat="1" s="94">
      <c r="A3256" s="98" t="inlineStr">
        <is>
          <t>T_토너_테스트</t>
        </is>
      </c>
      <c r="B3256" s="147" t="n">
        <v>44212</v>
      </c>
      <c r="C3256" s="88">
        <f>TEXT(B3256,"aaa")</f>
        <v/>
      </c>
      <c r="D3256" s="88" t="inlineStr">
        <is>
          <t>네이버 GFA</t>
        </is>
      </c>
      <c r="E3256" s="88">
        <f>VLOOKUP(A3256,매칭테이블!B:D,3,0)</f>
        <v/>
      </c>
      <c r="J3256" s="89" t="n">
        <v>830171.8181818181</v>
      </c>
    </row>
    <row r="3257" customFormat="1" s="94">
      <c r="A3257" s="98" t="inlineStr">
        <is>
          <t>T_토너_키워드테스트_메인</t>
        </is>
      </c>
      <c r="B3257" s="147" t="n">
        <v>44212</v>
      </c>
      <c r="C3257" s="88">
        <f>TEXT(B3257,"aaa")</f>
        <v/>
      </c>
      <c r="D3257" s="88" t="inlineStr">
        <is>
          <t>네이버 GFA</t>
        </is>
      </c>
      <c r="E3257" s="88">
        <f>VLOOKUP(A3257,매칭테이블!B:D,3,0)</f>
        <v/>
      </c>
      <c r="J3257" s="89" t="n">
        <v>50482.72727272727</v>
      </c>
    </row>
    <row r="3258" customFormat="1" s="94">
      <c r="A3258" s="98" t="inlineStr">
        <is>
          <t>아누아_77%패드_청소년관심사_메인</t>
        </is>
      </c>
      <c r="B3258" s="147" t="n">
        <v>44212</v>
      </c>
      <c r="C3258" s="88">
        <f>TEXT(B3258,"aaa")</f>
        <v/>
      </c>
      <c r="D3258" s="88" t="inlineStr">
        <is>
          <t>네이버 GFA</t>
        </is>
      </c>
      <c r="E3258" s="88">
        <f>VLOOKUP(A3258,매칭테이블!B:D,3,0)</f>
        <v/>
      </c>
      <c r="J3258" s="89" t="n">
        <v>55729.0909090909</v>
      </c>
    </row>
    <row r="3259" customFormat="1" s="94">
      <c r="A3259" s="98" t="inlineStr">
        <is>
          <t>T_아누아_토너_스마트채널</t>
        </is>
      </c>
      <c r="B3259" s="147" t="n">
        <v>44212</v>
      </c>
      <c r="C3259" s="88">
        <f>TEXT(B3259,"aaa")</f>
        <v/>
      </c>
      <c r="D3259" s="88" t="inlineStr">
        <is>
          <t>네이버 GFA</t>
        </is>
      </c>
      <c r="E3259" s="88">
        <f>VLOOKUP(A3259,매칭테이블!B:D,3,0)</f>
        <v/>
      </c>
      <c r="J3259" s="89" t="n">
        <v>66562.72727272726</v>
      </c>
    </row>
    <row r="3260" customFormat="1" s="94">
      <c r="A3260" s="98" t="inlineStr">
        <is>
          <t>T_아누아_패드_메인</t>
        </is>
      </c>
      <c r="B3260" s="147" t="n">
        <v>44212</v>
      </c>
      <c r="C3260" s="88">
        <f>TEXT(B3260,"aaa")</f>
        <v/>
      </c>
      <c r="D3260" s="88" t="inlineStr">
        <is>
          <t>네이버 GFA</t>
        </is>
      </c>
      <c r="E3260" s="88">
        <f>VLOOKUP(A3260,매칭테이블!B:D,3,0)</f>
        <v/>
      </c>
      <c r="J3260" s="89" t="n">
        <v>1910135.454545454</v>
      </c>
    </row>
    <row r="3261" customFormat="1" s="94">
      <c r="A3261" s="98" t="inlineStr">
        <is>
          <t>토너_메인_기존소재</t>
        </is>
      </c>
      <c r="B3261" s="147" t="n">
        <v>44212</v>
      </c>
      <c r="C3261" s="88">
        <f>TEXT(B3261,"aaa")</f>
        <v/>
      </c>
      <c r="D3261" s="88" t="inlineStr">
        <is>
          <t>네이버 GFA</t>
        </is>
      </c>
      <c r="E3261" s="88">
        <f>VLOOKUP(A3261,매칭테이블!B:D,3,0)</f>
        <v/>
      </c>
      <c r="J3261" s="89" t="n">
        <v>432878.1818181818</v>
      </c>
    </row>
    <row r="3262" customFormat="1" s="94">
      <c r="A3262" s="98" t="inlineStr">
        <is>
          <t>아누아_비즈보드_도전_1231</t>
        </is>
      </c>
      <c r="B3262" s="147" t="n">
        <v>44212</v>
      </c>
      <c r="C3262" s="88">
        <f>TEXT(B3262,"aaa")</f>
        <v/>
      </c>
      <c r="D3262" s="88" t="inlineStr">
        <is>
          <t>카카오광고</t>
        </is>
      </c>
      <c r="E3262" s="88">
        <f>VLOOKUP(A3262,매칭테이블!B:D,3,0)</f>
        <v/>
      </c>
      <c r="J3262" s="89" t="n">
        <v>1029.207920792079</v>
      </c>
    </row>
    <row r="3263" customFormat="1" s="94">
      <c r="A3263" s="98" t="inlineStr">
        <is>
          <t>아누아_비즈보드_리타게팅</t>
        </is>
      </c>
      <c r="B3263" s="147" t="n">
        <v>44212</v>
      </c>
      <c r="C3263" s="88">
        <f>TEXT(B3263,"aaa")</f>
        <v/>
      </c>
      <c r="D3263" s="88" t="inlineStr">
        <is>
          <t>카카오광고</t>
        </is>
      </c>
      <c r="E3263" s="88">
        <f>VLOOKUP(A3263,매칭테이블!B:D,3,0)</f>
        <v/>
      </c>
      <c r="J3263" s="89" t="n">
        <v>37.79207920792079</v>
      </c>
    </row>
    <row r="3264" customFormat="1" s="94">
      <c r="A3264" s="98" t="inlineStr">
        <is>
          <t>아누아_수분마스크팩_210118</t>
        </is>
      </c>
      <c r="B3264" s="147" t="n">
        <v>44212</v>
      </c>
      <c r="C3264" s="88">
        <f>TEXT(B3264,"aaa")</f>
        <v/>
      </c>
      <c r="D3264" s="88" t="inlineStr">
        <is>
          <t>카카오광고</t>
        </is>
      </c>
      <c r="E3264" s="88">
        <f>VLOOKUP(A3264,매칭테이블!B:D,3,0)</f>
        <v/>
      </c>
      <c r="J3264" s="89" t="n">
        <v>0</v>
      </c>
    </row>
    <row r="3265" customFormat="1" s="94">
      <c r="A3265" s="98" t="inlineStr">
        <is>
          <t>아누아_쇼핑M</t>
        </is>
      </c>
      <c r="B3265" s="147" t="n">
        <v>44212</v>
      </c>
      <c r="C3265" s="88">
        <f>TEXT(B3265,"aaa")</f>
        <v/>
      </c>
      <c r="D3265" s="88" t="inlineStr">
        <is>
          <t>네이버 쇼핑검색</t>
        </is>
      </c>
      <c r="E3265" s="88" t="n"/>
      <c r="J3265" s="89" t="n">
        <v>69020</v>
      </c>
    </row>
    <row r="3266" customFormat="1" s="94">
      <c r="A3266" s="98" t="inlineStr">
        <is>
          <t>아누아_쇼핑PC</t>
        </is>
      </c>
      <c r="B3266" s="147" t="n">
        <v>44212</v>
      </c>
      <c r="C3266" s="88">
        <f>TEXT(B3266,"aaa")</f>
        <v/>
      </c>
      <c r="D3266" s="88" t="inlineStr">
        <is>
          <t>네이버 쇼핑검색</t>
        </is>
      </c>
      <c r="E3266" s="88" t="n"/>
      <c r="J3266" s="89" t="n">
        <v>1500</v>
      </c>
    </row>
    <row r="3267" customFormat="1" s="94">
      <c r="A3267" s="99" t="inlineStr">
        <is>
          <t>전환_토너패드</t>
        </is>
      </c>
      <c r="B3267" s="147" t="n">
        <v>44213</v>
      </c>
      <c r="C3267" s="88">
        <f>TEXT(B3267,"aaa")</f>
        <v/>
      </c>
      <c r="D3267" s="88" t="inlineStr">
        <is>
          <t>페이스북/인스타그램</t>
        </is>
      </c>
      <c r="E3267" s="88">
        <f>VLOOKUP(A3267,매칭테이블!B:D,3,0)</f>
        <v/>
      </c>
      <c r="J3267" s="89" t="n">
        <v>876422</v>
      </c>
    </row>
    <row r="3268" customFormat="1" s="94">
      <c r="A3268" s="99" t="inlineStr">
        <is>
          <t>도달_랄라블라</t>
        </is>
      </c>
      <c r="B3268" s="147" t="n">
        <v>44213</v>
      </c>
      <c r="C3268" s="88">
        <f>TEXT(B3268,"aaa")</f>
        <v/>
      </c>
      <c r="D3268" s="88" t="inlineStr">
        <is>
          <t>페이스북/인스타그램</t>
        </is>
      </c>
      <c r="E3268" s="88">
        <f>VLOOKUP(A3268,매칭테이블!B:D,3,0)</f>
        <v/>
      </c>
      <c r="J3268" s="89" t="n">
        <v>20674</v>
      </c>
    </row>
    <row r="3269" customFormat="1" s="94">
      <c r="A3269" s="99" t="inlineStr">
        <is>
          <t>전환</t>
        </is>
      </c>
      <c r="B3269" s="147" t="n">
        <v>44213</v>
      </c>
      <c r="C3269" s="88">
        <f>TEXT(B3269,"aaa")</f>
        <v/>
      </c>
      <c r="D3269" s="88" t="inlineStr">
        <is>
          <t>페이스북/인스타그램</t>
        </is>
      </c>
      <c r="E3269" s="88">
        <f>VLOOKUP(A3269,매칭테이블!B:D,3,0)</f>
        <v/>
      </c>
      <c r="J3269" s="89" t="n">
        <v>575297</v>
      </c>
    </row>
    <row r="3270" customFormat="1" s="94">
      <c r="A3270" s="98" t="inlineStr">
        <is>
          <t>T_토너_테스트</t>
        </is>
      </c>
      <c r="B3270" s="147" t="n">
        <v>44213</v>
      </c>
      <c r="C3270" s="88">
        <f>TEXT(B3270,"aaa")</f>
        <v/>
      </c>
      <c r="D3270" s="88" t="inlineStr">
        <is>
          <t>네이버 GFA</t>
        </is>
      </c>
      <c r="E3270" s="88">
        <f>VLOOKUP(A3270,매칭테이블!B:D,3,0)</f>
        <v/>
      </c>
      <c r="J3270" s="89" t="n">
        <v>234301.8181818182</v>
      </c>
    </row>
    <row r="3271" customFormat="1" s="94">
      <c r="A3271" s="98" t="inlineStr">
        <is>
          <t>아누아_77%패드_청소년관심사_메인</t>
        </is>
      </c>
      <c r="B3271" s="147" t="n">
        <v>44213</v>
      </c>
      <c r="C3271" s="88">
        <f>TEXT(B3271,"aaa")</f>
        <v/>
      </c>
      <c r="D3271" s="88" t="inlineStr">
        <is>
          <t>네이버 GFA</t>
        </is>
      </c>
      <c r="E3271" s="88">
        <f>VLOOKUP(A3271,매칭테이블!B:D,3,0)</f>
        <v/>
      </c>
      <c r="J3271" s="89" t="n">
        <v>76277.27272727272</v>
      </c>
    </row>
    <row r="3272" customFormat="1" s="94">
      <c r="A3272" s="98" t="inlineStr">
        <is>
          <t>T_아누아_토너_스마트채널</t>
        </is>
      </c>
      <c r="B3272" s="147" t="n">
        <v>44213</v>
      </c>
      <c r="C3272" s="88">
        <f>TEXT(B3272,"aaa")</f>
        <v/>
      </c>
      <c r="D3272" s="88" t="inlineStr">
        <is>
          <t>네이버 GFA</t>
        </is>
      </c>
      <c r="E3272" s="88">
        <f>VLOOKUP(A3272,매칭테이블!B:D,3,0)</f>
        <v/>
      </c>
      <c r="J3272" s="89" t="n">
        <v>88877.27272727272</v>
      </c>
    </row>
    <row r="3273" customFormat="1" s="94">
      <c r="A3273" s="98" t="inlineStr">
        <is>
          <t>T_아누아_패드_메인</t>
        </is>
      </c>
      <c r="B3273" s="147" t="n">
        <v>44213</v>
      </c>
      <c r="C3273" s="88">
        <f>TEXT(B3273,"aaa")</f>
        <v/>
      </c>
      <c r="D3273" s="88" t="inlineStr">
        <is>
          <t>네이버 GFA</t>
        </is>
      </c>
      <c r="E3273" s="88">
        <f>VLOOKUP(A3273,매칭테이블!B:D,3,0)</f>
        <v/>
      </c>
      <c r="J3273" s="89" t="n">
        <v>2216896.363636363</v>
      </c>
    </row>
    <row r="3274" customFormat="1" s="94">
      <c r="A3274" s="98" t="inlineStr">
        <is>
          <t>토너_메인_기존소재</t>
        </is>
      </c>
      <c r="B3274" s="147" t="n">
        <v>44213</v>
      </c>
      <c r="C3274" s="88">
        <f>TEXT(B3274,"aaa")</f>
        <v/>
      </c>
      <c r="D3274" s="88" t="inlineStr">
        <is>
          <t>네이버 GFA</t>
        </is>
      </c>
      <c r="E3274" s="88">
        <f>VLOOKUP(A3274,매칭테이블!B:D,3,0)</f>
        <v/>
      </c>
      <c r="J3274" s="89" t="n">
        <v>1089642.727272727</v>
      </c>
    </row>
    <row r="3275" customFormat="1" s="94">
      <c r="A3275" s="98" t="inlineStr">
        <is>
          <t>아누아_비즈보드_도전_1231</t>
        </is>
      </c>
      <c r="B3275" s="147" t="n">
        <v>44213</v>
      </c>
      <c r="C3275" s="88">
        <f>TEXT(B3275,"aaa")</f>
        <v/>
      </c>
      <c r="D3275" s="88" t="inlineStr">
        <is>
          <t>카카오광고</t>
        </is>
      </c>
      <c r="E3275" s="88">
        <f>VLOOKUP(A3275,매칭테이블!B:D,3,0)</f>
        <v/>
      </c>
      <c r="J3275" s="89" t="n">
        <v>1000.346534653465</v>
      </c>
    </row>
    <row r="3276" customFormat="1" s="94">
      <c r="A3276" s="98" t="inlineStr">
        <is>
          <t>아누아_비즈보드_리타게팅</t>
        </is>
      </c>
      <c r="B3276" s="147" t="n">
        <v>44213</v>
      </c>
      <c r="C3276" s="88">
        <f>TEXT(B3276,"aaa")</f>
        <v/>
      </c>
      <c r="D3276" s="88" t="inlineStr">
        <is>
          <t>카카오광고</t>
        </is>
      </c>
      <c r="E3276" s="88">
        <f>VLOOKUP(A3276,매칭테이블!B:D,3,0)</f>
        <v/>
      </c>
      <c r="J3276" s="89" t="n">
        <v>120.2376237623762</v>
      </c>
    </row>
    <row r="3277" customFormat="1" s="94">
      <c r="A3277" s="98" t="inlineStr">
        <is>
          <t>아누아_수분마스크팩_210118</t>
        </is>
      </c>
      <c r="B3277" s="147" t="n">
        <v>44213</v>
      </c>
      <c r="C3277" s="88">
        <f>TEXT(B3277,"aaa")</f>
        <v/>
      </c>
      <c r="D3277" s="88" t="inlineStr">
        <is>
          <t>카카오광고</t>
        </is>
      </c>
      <c r="E3277" s="88">
        <f>VLOOKUP(A3277,매칭테이블!B:D,3,0)</f>
        <v/>
      </c>
      <c r="J3277" s="89" t="n">
        <v>0</v>
      </c>
    </row>
    <row r="3278" customFormat="1" s="94">
      <c r="A3278" s="98" t="inlineStr">
        <is>
          <t>아누아_쇼핑M</t>
        </is>
      </c>
      <c r="B3278" s="147" t="n">
        <v>44213</v>
      </c>
      <c r="C3278" s="88">
        <f>TEXT(B3278,"aaa")</f>
        <v/>
      </c>
      <c r="D3278" s="88" t="inlineStr">
        <is>
          <t>네이버 쇼핑검색</t>
        </is>
      </c>
      <c r="E3278" s="88" t="n"/>
      <c r="J3278" s="89" t="n">
        <v>93889.99999999999</v>
      </c>
    </row>
    <row r="3279" customFormat="1" s="94">
      <c r="A3279" s="98" t="inlineStr">
        <is>
          <t>아누아_쇼핑PC</t>
        </is>
      </c>
      <c r="B3279" s="147" t="n">
        <v>44213</v>
      </c>
      <c r="C3279" s="88">
        <f>TEXT(B3279,"aaa")</f>
        <v/>
      </c>
      <c r="D3279" s="88" t="inlineStr">
        <is>
          <t>네이버 쇼핑검색</t>
        </is>
      </c>
      <c r="E3279" s="88" t="n"/>
      <c r="J3279" s="89" t="n">
        <v>3560</v>
      </c>
    </row>
    <row r="3280" customFormat="1" s="94">
      <c r="A3280" s="98" t="inlineStr">
        <is>
          <t>디스커버리_DP_B&amp;A #2</t>
        </is>
      </c>
      <c r="B3280" s="128" t="n">
        <v>44211</v>
      </c>
      <c r="C3280" s="88">
        <f>TEXT(B3280,"aaa")</f>
        <v/>
      </c>
      <c r="D3280" s="88" t="inlineStr">
        <is>
          <t>유튜브 디스커버리</t>
        </is>
      </c>
      <c r="E3280" s="88">
        <f>VLOOKUP(A3280,매칭테이블!B:D,3,0)</f>
        <v/>
      </c>
      <c r="J3280" s="94" t="n">
        <v>97137</v>
      </c>
    </row>
    <row r="3281" customFormat="1" s="94">
      <c r="A3281" s="98" t="inlineStr">
        <is>
          <t>디스커버리_DP_B&amp;A #2</t>
        </is>
      </c>
      <c r="B3281" s="128" t="n">
        <v>44212</v>
      </c>
      <c r="C3281" s="88">
        <f>TEXT(B3281,"aaa")</f>
        <v/>
      </c>
      <c r="D3281" s="88" t="inlineStr">
        <is>
          <t>유튜브 디스커버리</t>
        </is>
      </c>
      <c r="E3281" s="88">
        <f>VLOOKUP(A3281,매칭테이블!B:D,3,0)</f>
        <v/>
      </c>
      <c r="J3281" s="94" t="n">
        <v>824</v>
      </c>
    </row>
    <row r="3282" customFormat="1" s="94">
      <c r="A3282" s="98" t="inlineStr">
        <is>
          <t>디스커버리_DP_B&amp;A #2</t>
        </is>
      </c>
      <c r="B3282" s="128" t="n">
        <v>44213</v>
      </c>
      <c r="C3282" s="88">
        <f>TEXT(B3282,"aaa")</f>
        <v/>
      </c>
      <c r="D3282" s="88" t="inlineStr">
        <is>
          <t>유튜브 디스커버리</t>
        </is>
      </c>
      <c r="E3282" s="88">
        <f>VLOOKUP(A3282,매칭테이블!B:D,3,0)</f>
        <v/>
      </c>
      <c r="J3282" s="94" t="n">
        <v>204892</v>
      </c>
    </row>
    <row r="3283" customFormat="1" s="94">
      <c r="A3283" s="98" t="inlineStr">
        <is>
          <t>디스커버리_미닝님</t>
        </is>
      </c>
      <c r="B3283" s="128" t="n">
        <v>44213</v>
      </c>
      <c r="C3283" s="88">
        <f>TEXT(B3283,"aaa")</f>
        <v/>
      </c>
      <c r="D3283" s="88" t="inlineStr">
        <is>
          <t>유튜브 디스커버리</t>
        </is>
      </c>
      <c r="E3283" s="88">
        <f>VLOOKUP(A3283,매칭테이블!B:D,3,0)</f>
        <v/>
      </c>
      <c r="J3283" s="94" t="n">
        <v>213740</v>
      </c>
    </row>
    <row r="3284" customFormat="1" s="94">
      <c r="A3284" s="98" t="inlineStr">
        <is>
          <t>전환_토너패드</t>
        </is>
      </c>
      <c r="B3284" s="128" t="n">
        <v>44214</v>
      </c>
      <c r="C3284" s="88">
        <f>TEXT(B3284,"aaa")</f>
        <v/>
      </c>
      <c r="D3284" s="88" t="inlineStr">
        <is>
          <t>페이스북/인스타그램</t>
        </is>
      </c>
      <c r="E3284" s="88">
        <f>VLOOKUP(A3284,매칭테이블!B:D,3,0)</f>
        <v/>
      </c>
      <c r="J3284" s="94" t="n">
        <v>890364</v>
      </c>
    </row>
    <row r="3285" customFormat="1" s="94">
      <c r="A3285" s="98" t="inlineStr">
        <is>
          <t>도달_랄라블라</t>
        </is>
      </c>
      <c r="B3285" s="128" t="n">
        <v>44214</v>
      </c>
      <c r="C3285" s="88">
        <f>TEXT(B3285,"aaa")</f>
        <v/>
      </c>
      <c r="D3285" s="88" t="inlineStr">
        <is>
          <t>페이스북/인스타그램</t>
        </is>
      </c>
      <c r="E3285" s="88">
        <f>VLOOKUP(A3285,매칭테이블!B:D,3,0)</f>
        <v/>
      </c>
      <c r="J3285" s="94" t="n">
        <v>28680</v>
      </c>
    </row>
    <row r="3286" customFormat="1" s="94">
      <c r="A3286" s="98" t="inlineStr">
        <is>
          <t>전환</t>
        </is>
      </c>
      <c r="B3286" s="128" t="n">
        <v>44214</v>
      </c>
      <c r="C3286" s="88">
        <f>TEXT(B3286,"aaa")</f>
        <v/>
      </c>
      <c r="D3286" s="88" t="inlineStr">
        <is>
          <t>페이스북/인스타그램</t>
        </is>
      </c>
      <c r="E3286" s="88">
        <f>VLOOKUP(A3286,매칭테이블!B:D,3,0)</f>
        <v/>
      </c>
      <c r="J3286" s="94" t="n">
        <v>1031724</v>
      </c>
    </row>
    <row r="3287" customFormat="1" s="94">
      <c r="A3287" s="98" t="inlineStr">
        <is>
          <t>T_토너_테스트</t>
        </is>
      </c>
      <c r="B3287" s="128" t="n">
        <v>44214</v>
      </c>
      <c r="C3287" s="88">
        <f>TEXT(B3287,"aaa")</f>
        <v/>
      </c>
      <c r="D3287" s="88" t="inlineStr">
        <is>
          <t>네이버 GFA</t>
        </is>
      </c>
      <c r="E3287" s="88">
        <f>VLOOKUP(A3287,매칭테이블!B:D,3,0)</f>
        <v/>
      </c>
      <c r="J3287" s="94" t="n">
        <v>165233.6363636364</v>
      </c>
    </row>
    <row r="3288" customFormat="1" s="94">
      <c r="A3288" s="98" t="inlineStr">
        <is>
          <t>T_토너_키워드테스트_메인</t>
        </is>
      </c>
      <c r="B3288" s="128" t="n">
        <v>44214</v>
      </c>
      <c r="C3288" s="88">
        <f>TEXT(B3288,"aaa")</f>
        <v/>
      </c>
      <c r="D3288" s="88" t="inlineStr">
        <is>
          <t>네이버 GFA</t>
        </is>
      </c>
      <c r="E3288" s="88">
        <f>VLOOKUP(A3288,매칭테이블!B:D,3,0)</f>
        <v/>
      </c>
      <c r="J3288" s="94" t="n">
        <v>0</v>
      </c>
    </row>
    <row r="3289" customFormat="1" s="94">
      <c r="A3289" s="98" t="inlineStr">
        <is>
          <t>아누아_77%패드_청소년관심사_메인</t>
        </is>
      </c>
      <c r="B3289" s="128" t="n">
        <v>44214</v>
      </c>
      <c r="C3289" s="88">
        <f>TEXT(B3289,"aaa")</f>
        <v/>
      </c>
      <c r="D3289" s="88" t="inlineStr">
        <is>
          <t>네이버 GFA</t>
        </is>
      </c>
      <c r="E3289" s="88">
        <f>VLOOKUP(A3289,매칭테이블!B:D,3,0)</f>
        <v/>
      </c>
      <c r="J3289" s="94" t="n">
        <v>87379.0909090909</v>
      </c>
    </row>
    <row r="3290" customFormat="1" s="94">
      <c r="A3290" s="98" t="inlineStr">
        <is>
          <t>T_아누아_토너_스마트채널</t>
        </is>
      </c>
      <c r="B3290" s="128" t="n">
        <v>44214</v>
      </c>
      <c r="C3290" s="88">
        <f>TEXT(B3290,"aaa")</f>
        <v/>
      </c>
      <c r="D3290" s="88" t="inlineStr">
        <is>
          <t>네이버 GFA</t>
        </is>
      </c>
      <c r="E3290" s="88">
        <f>VLOOKUP(A3290,매칭테이블!B:D,3,0)</f>
        <v/>
      </c>
      <c r="J3290" s="94" t="n">
        <v>60797.27272727272</v>
      </c>
    </row>
    <row r="3291" customFormat="1" s="94">
      <c r="A3291" s="98" t="inlineStr">
        <is>
          <t>T_아누아_패드_메인</t>
        </is>
      </c>
      <c r="B3291" s="128" t="n">
        <v>44214</v>
      </c>
      <c r="C3291" s="88">
        <f>TEXT(B3291,"aaa")</f>
        <v/>
      </c>
      <c r="D3291" s="88" t="inlineStr">
        <is>
          <t>네이버 GFA</t>
        </is>
      </c>
      <c r="E3291" s="88">
        <f>VLOOKUP(A3291,매칭테이블!B:D,3,0)</f>
        <v/>
      </c>
      <c r="J3291" s="94" t="n">
        <v>925197.2727272727</v>
      </c>
    </row>
    <row r="3292" customFormat="1" s="94">
      <c r="A3292" s="98" t="inlineStr">
        <is>
          <t>토너_메인_기존소재</t>
        </is>
      </c>
      <c r="B3292" s="128" t="n">
        <v>44214</v>
      </c>
      <c r="C3292" s="88">
        <f>TEXT(B3292,"aaa")</f>
        <v/>
      </c>
      <c r="D3292" s="88" t="inlineStr">
        <is>
          <t>네이버 GFA</t>
        </is>
      </c>
      <c r="E3292" s="88">
        <f>VLOOKUP(A3292,매칭테이블!B:D,3,0)</f>
        <v/>
      </c>
      <c r="J3292" s="94" t="n">
        <v>1644108.181818182</v>
      </c>
    </row>
    <row r="3293" customFormat="1" s="94">
      <c r="A3293" s="98" t="inlineStr">
        <is>
          <t>아누아_비즈보드_리타게팅</t>
        </is>
      </c>
      <c r="B3293" s="128" t="n">
        <v>44214</v>
      </c>
      <c r="C3293" s="88">
        <f>TEXT(B3293,"aaa")</f>
        <v/>
      </c>
      <c r="D3293" s="88" t="inlineStr">
        <is>
          <t>카카오광고</t>
        </is>
      </c>
      <c r="E3293" s="88">
        <f>VLOOKUP(A3293,매칭테이블!B:D,3,0)</f>
        <v/>
      </c>
      <c r="J3293" s="94" t="n">
        <v>73520</v>
      </c>
    </row>
    <row r="3294" customFormat="1" s="94">
      <c r="A3294" s="98" t="inlineStr">
        <is>
          <t>아누아_수분마스크팩_210118</t>
        </is>
      </c>
      <c r="B3294" s="128" t="n">
        <v>44214</v>
      </c>
      <c r="C3294" s="88">
        <f>TEXT(B3294,"aaa")</f>
        <v/>
      </c>
      <c r="D3294" s="88" t="inlineStr">
        <is>
          <t>카카오광고</t>
        </is>
      </c>
      <c r="E3294" s="88">
        <f>VLOOKUP(A3294,매칭테이블!B:D,3,0)</f>
        <v/>
      </c>
      <c r="J3294" s="94" t="n">
        <v>521504.9999999999</v>
      </c>
    </row>
    <row r="3295" customFormat="1" s="94">
      <c r="A3295" s="98" t="inlineStr">
        <is>
          <t>아누아_쇼핑M</t>
        </is>
      </c>
      <c r="B3295" s="128" t="n">
        <v>44214</v>
      </c>
      <c r="C3295" s="88">
        <f>TEXT(B3295,"aaa")</f>
        <v/>
      </c>
      <c r="D3295" s="88" t="inlineStr">
        <is>
          <t>네이버 쇼핑검색</t>
        </is>
      </c>
      <c r="J3295" s="94" t="n">
        <v>88740</v>
      </c>
    </row>
    <row r="3296" customFormat="1" s="94">
      <c r="A3296" s="98" t="inlineStr">
        <is>
          <t>아누아_쇼핑PC</t>
        </is>
      </c>
      <c r="B3296" s="128" t="n">
        <v>44214</v>
      </c>
      <c r="C3296" s="88">
        <f>TEXT(B3296,"aaa")</f>
        <v/>
      </c>
      <c r="D3296" s="88" t="inlineStr">
        <is>
          <t>네이버 쇼핑검색</t>
        </is>
      </c>
      <c r="J3296" s="94" t="n">
        <v>8730</v>
      </c>
    </row>
    <row r="3297" customFormat="1" s="94">
      <c r="A3297" s="98" t="inlineStr">
        <is>
          <t>디스커버리_DP_B&amp;A #2</t>
        </is>
      </c>
      <c r="B3297" s="128" t="n">
        <v>44214</v>
      </c>
      <c r="C3297" s="88">
        <f>TEXT(B3297,"aaa")</f>
        <v/>
      </c>
      <c r="D3297" s="88" t="inlineStr">
        <is>
          <t>유튜브 디스커버리</t>
        </is>
      </c>
      <c r="E3297" s="88">
        <f>VLOOKUP(A3297,매칭테이블!B:D,3,0)</f>
        <v/>
      </c>
      <c r="J3297" s="94" t="n">
        <v>97137</v>
      </c>
    </row>
    <row r="3298" customFormat="1" s="94">
      <c r="A3298" s="98" t="inlineStr">
        <is>
          <t>디스커버리_미닝님</t>
        </is>
      </c>
      <c r="B3298" s="128" t="n">
        <v>44214</v>
      </c>
      <c r="C3298" s="88">
        <f>TEXT(B3298,"aaa")</f>
        <v/>
      </c>
      <c r="D3298" s="88" t="inlineStr">
        <is>
          <t>유튜브 디스커버리</t>
        </is>
      </c>
      <c r="E3298" s="88">
        <f>VLOOKUP(A3298,매칭테이블!B:D,3,0)</f>
        <v/>
      </c>
      <c r="J3298" s="94" t="n">
        <v>213972</v>
      </c>
    </row>
    <row r="3299" customFormat="1" s="94">
      <c r="A3299" s="98" t="inlineStr">
        <is>
          <t>디스커버리_DP_B&amp;A #2</t>
        </is>
      </c>
      <c r="B3299" s="128" t="n">
        <v>44214</v>
      </c>
      <c r="C3299" s="88">
        <f>TEXT(B3299,"aaa")</f>
        <v/>
      </c>
      <c r="D3299" s="88" t="inlineStr">
        <is>
          <t>유튜브 디스커버리</t>
        </is>
      </c>
      <c r="E3299" s="88">
        <f>VLOOKUP(A3299,매칭테이블!B:D,3,0)</f>
        <v/>
      </c>
      <c r="J3299" s="94" t="n">
        <v>824</v>
      </c>
    </row>
    <row r="3300" customFormat="1" s="94">
      <c r="A3300" s="98" t="inlineStr">
        <is>
          <t>디스커버리_DP_B&amp;A #2</t>
        </is>
      </c>
      <c r="B3300" s="128" t="n">
        <v>44214</v>
      </c>
      <c r="C3300" s="88">
        <f>TEXT(B3300,"aaa")</f>
        <v/>
      </c>
      <c r="D3300" s="88" t="inlineStr">
        <is>
          <t>유튜브 디스커버리</t>
        </is>
      </c>
      <c r="E3300" s="88">
        <f>VLOOKUP(A3300,매칭테이블!B:D,3,0)</f>
        <v/>
      </c>
      <c r="J3300" s="94" t="n">
        <v>204892</v>
      </c>
    </row>
    <row r="3301" customFormat="1" s="94">
      <c r="A3301" s="98" t="inlineStr">
        <is>
          <t>전환_토너패드</t>
        </is>
      </c>
      <c r="B3301" s="128" t="n">
        <v>44215</v>
      </c>
      <c r="C3301" s="88">
        <f>TEXT(B3301,"aaa")</f>
        <v/>
      </c>
      <c r="D3301" s="88" t="inlineStr">
        <is>
          <t>페이스북/인스타그램</t>
        </is>
      </c>
      <c r="E3301" s="88">
        <f>VLOOKUP(A3301,매칭테이블!B:D,3,0)</f>
        <v/>
      </c>
      <c r="J3301" s="94" t="n">
        <v>865074</v>
      </c>
    </row>
    <row r="3302" customFormat="1" s="94">
      <c r="A3302" s="98" t="inlineStr">
        <is>
          <t>도달_랄라블라</t>
        </is>
      </c>
      <c r="B3302" s="128" t="n">
        <v>44215</v>
      </c>
      <c r="C3302" s="88">
        <f>TEXT(B3302,"aaa")</f>
        <v/>
      </c>
      <c r="D3302" s="88" t="inlineStr">
        <is>
          <t>페이스북/인스타그램</t>
        </is>
      </c>
      <c r="E3302" s="88">
        <f>VLOOKUP(A3302,매칭테이블!B:D,3,0)</f>
        <v/>
      </c>
      <c r="J3302" s="94" t="n">
        <v>28993</v>
      </c>
    </row>
    <row r="3303" customFormat="1" s="94">
      <c r="A3303" s="98" t="inlineStr">
        <is>
          <t>전환</t>
        </is>
      </c>
      <c r="B3303" s="128" t="n">
        <v>44215</v>
      </c>
      <c r="C3303" s="88">
        <f>TEXT(B3303,"aaa")</f>
        <v/>
      </c>
      <c r="D3303" s="88" t="inlineStr">
        <is>
          <t>페이스북/인스타그램</t>
        </is>
      </c>
      <c r="E3303" s="88">
        <f>VLOOKUP(A3303,매칭테이블!B:D,3,0)</f>
        <v/>
      </c>
      <c r="J3303" s="94" t="n">
        <v>1207196</v>
      </c>
    </row>
    <row r="3304" customFormat="1" s="94">
      <c r="A3304" s="98" t="inlineStr">
        <is>
          <t>T_토너_테스트</t>
        </is>
      </c>
      <c r="B3304" s="128" t="n">
        <v>44215</v>
      </c>
      <c r="C3304" s="88">
        <f>TEXT(B3304,"aaa")</f>
        <v/>
      </c>
      <c r="D3304" s="88" t="inlineStr">
        <is>
          <t>네이버 GFA</t>
        </is>
      </c>
      <c r="E3304" s="88">
        <f>VLOOKUP(A3304,매칭테이블!B:D,3,0)</f>
        <v/>
      </c>
      <c r="J3304" s="94" t="n">
        <v>121243.6363636364</v>
      </c>
    </row>
    <row r="3305" customFormat="1" s="94">
      <c r="A3305" s="98" t="inlineStr">
        <is>
          <t>아누아_77%패드_청소년관심사_메인</t>
        </is>
      </c>
      <c r="B3305" s="128" t="n">
        <v>44215</v>
      </c>
      <c r="C3305" s="88">
        <f>TEXT(B3305,"aaa")</f>
        <v/>
      </c>
      <c r="D3305" s="88" t="inlineStr">
        <is>
          <t>네이버 GFA</t>
        </is>
      </c>
      <c r="E3305" s="88">
        <f>VLOOKUP(A3305,매칭테이블!B:D,3,0)</f>
        <v/>
      </c>
      <c r="J3305" s="94" t="n">
        <v>96576.36363636363</v>
      </c>
    </row>
    <row r="3306" customFormat="1" s="94">
      <c r="A3306" s="98" t="inlineStr">
        <is>
          <t>T_아누아_토너_스마트채널</t>
        </is>
      </c>
      <c r="B3306" s="128" t="n">
        <v>44215</v>
      </c>
      <c r="C3306" s="88">
        <f>TEXT(B3306,"aaa")</f>
        <v/>
      </c>
      <c r="D3306" s="88" t="inlineStr">
        <is>
          <t>네이버 GFA</t>
        </is>
      </c>
      <c r="E3306" s="88">
        <f>VLOOKUP(A3306,매칭테이블!B:D,3,0)</f>
        <v/>
      </c>
      <c r="J3306" s="94" t="n">
        <v>62130.90909090909</v>
      </c>
    </row>
    <row r="3307" customFormat="1" s="94">
      <c r="A3307" s="98" t="inlineStr">
        <is>
          <t>T_아누아_패드_메인</t>
        </is>
      </c>
      <c r="B3307" s="128" t="n">
        <v>44215</v>
      </c>
      <c r="C3307" s="88">
        <f>TEXT(B3307,"aaa")</f>
        <v/>
      </c>
      <c r="D3307" s="88" t="inlineStr">
        <is>
          <t>네이버 GFA</t>
        </is>
      </c>
      <c r="E3307" s="88">
        <f>VLOOKUP(A3307,매칭테이블!B:D,3,0)</f>
        <v/>
      </c>
      <c r="J3307" s="94" t="n">
        <v>917292.7272727272</v>
      </c>
    </row>
    <row r="3308" customFormat="1" s="94">
      <c r="A3308" s="98" t="inlineStr">
        <is>
          <t>토너_메인_기존소재</t>
        </is>
      </c>
      <c r="B3308" s="128" t="n">
        <v>44215</v>
      </c>
      <c r="C3308" s="88">
        <f>TEXT(B3308,"aaa")</f>
        <v/>
      </c>
      <c r="D3308" s="88" t="inlineStr">
        <is>
          <t>네이버 GFA</t>
        </is>
      </c>
      <c r="E3308" s="88">
        <f>VLOOKUP(A3308,매칭테이블!B:D,3,0)</f>
        <v/>
      </c>
      <c r="J3308" s="94" t="n">
        <v>687455.4545454545</v>
      </c>
    </row>
    <row r="3309" customFormat="1" s="94">
      <c r="A3309" s="98" t="inlineStr">
        <is>
          <t>아누아_쇼핑M</t>
        </is>
      </c>
      <c r="B3309" s="128" t="n">
        <v>44215</v>
      </c>
      <c r="C3309" s="88">
        <f>TEXT(B3309,"aaa")</f>
        <v/>
      </c>
      <c r="D3309" s="88" t="inlineStr">
        <is>
          <t>네이버 쇼핑검색</t>
        </is>
      </c>
      <c r="J3309" s="94" t="n">
        <v>84250</v>
      </c>
    </row>
    <row r="3310" customFormat="1" s="94">
      <c r="A3310" s="98" t="inlineStr">
        <is>
          <t>아누아_쇼핑PC</t>
        </is>
      </c>
      <c r="B3310" s="128" t="n">
        <v>44215</v>
      </c>
      <c r="C3310" s="88">
        <f>TEXT(B3310,"aaa")</f>
        <v/>
      </c>
      <c r="D3310" s="88" t="inlineStr">
        <is>
          <t>네이버 쇼핑검색</t>
        </is>
      </c>
      <c r="J3310" s="94" t="n">
        <v>4470</v>
      </c>
    </row>
    <row r="3311" customFormat="1" s="94">
      <c r="A3311" s="98" t="inlineStr">
        <is>
          <t>아누아_비즈보드_리타게팅</t>
        </is>
      </c>
      <c r="B3311" s="128" t="n">
        <v>44215</v>
      </c>
      <c r="C3311" s="88">
        <f>TEXT(B3311,"aaa")</f>
        <v/>
      </c>
      <c r="D3311" s="88" t="inlineStr">
        <is>
          <t>카카오광고</t>
        </is>
      </c>
      <c r="E3311" s="88">
        <f>VLOOKUP(A3311,매칭테이블!B:D,3,0)</f>
        <v/>
      </c>
      <c r="J3311" s="94" t="n">
        <v>12680</v>
      </c>
    </row>
    <row r="3312" customFormat="1" s="94">
      <c r="A3312" s="98" t="inlineStr">
        <is>
          <t>아누아_수분마스크팩_210118</t>
        </is>
      </c>
      <c r="B3312" s="128" t="n">
        <v>44215</v>
      </c>
      <c r="C3312" s="88">
        <f>TEXT(B3312,"aaa")</f>
        <v/>
      </c>
      <c r="D3312" s="88" t="inlineStr">
        <is>
          <t>카카오광고</t>
        </is>
      </c>
      <c r="E3312" s="88">
        <f>VLOOKUP(A3312,매칭테이블!B:D,3,0)</f>
        <v/>
      </c>
      <c r="J3312" s="94" t="n">
        <v>0</v>
      </c>
    </row>
    <row r="3313" customFormat="1" s="94">
      <c r="A3313" s="98" t="inlineStr">
        <is>
          <t>디스커버리_DP_B&amp;A_판매</t>
        </is>
      </c>
      <c r="B3313" s="128" t="n">
        <v>44215</v>
      </c>
      <c r="C3313" s="88">
        <f>TEXT(B3313,"aaa")</f>
        <v/>
      </c>
      <c r="D3313" s="88" t="inlineStr">
        <is>
          <t>유튜브 디스커버리</t>
        </is>
      </c>
      <c r="E3313" s="88">
        <f>VLOOKUP(A3313,매칭테이블!B:D,3,0)</f>
        <v/>
      </c>
      <c r="J3313" s="94" t="n">
        <v>51436</v>
      </c>
    </row>
    <row r="3314" customFormat="1" s="94">
      <c r="A3314" s="98" t="inlineStr">
        <is>
          <t>디스커버리_미닝님</t>
        </is>
      </c>
      <c r="B3314" s="128" t="n">
        <v>44215</v>
      </c>
      <c r="C3314" s="88">
        <f>TEXT(B3314,"aaa")</f>
        <v/>
      </c>
      <c r="D3314" s="88" t="inlineStr">
        <is>
          <t>유튜브 디스커버리</t>
        </is>
      </c>
      <c r="E3314" s="88">
        <f>VLOOKUP(A3314,매칭테이블!B:D,3,0)</f>
        <v/>
      </c>
      <c r="J3314" s="94" t="n">
        <v>204031</v>
      </c>
    </row>
    <row r="3315" customFormat="1" s="94">
      <c r="A3315" s="98" t="inlineStr">
        <is>
          <t>디스커버리_DP_B&amp;A</t>
        </is>
      </c>
      <c r="B3315" s="128" t="n">
        <v>44215</v>
      </c>
      <c r="C3315" s="88">
        <f>TEXT(B3315,"aaa")</f>
        <v/>
      </c>
      <c r="D3315" s="88" t="inlineStr">
        <is>
          <t>유튜브 디스커버리</t>
        </is>
      </c>
      <c r="E3315" s="88">
        <f>VLOOKUP(A3315,매칭테이블!B:D,3,0)</f>
        <v/>
      </c>
      <c r="J3315" s="94" t="n">
        <v>90349</v>
      </c>
    </row>
    <row r="3316" customFormat="1" s="94">
      <c r="A3316" s="98" t="inlineStr">
        <is>
          <t>동영상_반응형_카드뉴스</t>
        </is>
      </c>
      <c r="B3316" s="128" t="n">
        <v>44215</v>
      </c>
      <c r="C3316" s="88">
        <f>TEXT(B3316,"aaa")</f>
        <v/>
      </c>
      <c r="D3316" s="88" t="inlineStr">
        <is>
          <t>유튜브 디스커버리</t>
        </is>
      </c>
      <c r="E3316" s="88">
        <f>VLOOKUP(A3316,매칭테이블!B:D,3,0)</f>
        <v/>
      </c>
      <c r="J3316" s="94" t="n">
        <v>102389</v>
      </c>
    </row>
    <row r="3317" customFormat="1" s="94">
      <c r="A3317" s="98" t="inlineStr">
        <is>
          <t>동영상_맞춤_태국 카드뉴스</t>
        </is>
      </c>
      <c r="B3317" s="128" t="n">
        <v>44215</v>
      </c>
      <c r="C3317" s="88">
        <f>TEXT(B3317,"aaa")</f>
        <v/>
      </c>
      <c r="D3317" s="88" t="inlineStr">
        <is>
          <t>유튜브 디스커버리</t>
        </is>
      </c>
      <c r="E3317" s="88">
        <f>VLOOKUP(A3317,매칭테이블!B:D,3,0)</f>
        <v/>
      </c>
      <c r="J3317" s="94" t="n">
        <v>138395</v>
      </c>
    </row>
    <row r="3318" customFormat="1" s="94">
      <c r="A3318" s="98" t="inlineStr">
        <is>
          <t>디스커버리_소히방2</t>
        </is>
      </c>
      <c r="B3318" s="128" t="n">
        <v>44215</v>
      </c>
      <c r="C3318" s="88">
        <f>TEXT(B3318,"aaa")</f>
        <v/>
      </c>
      <c r="D3318" s="88" t="inlineStr">
        <is>
          <t>유튜브 디스커버리</t>
        </is>
      </c>
      <c r="E3318" s="88">
        <f>VLOOKUP(A3318,매칭테이블!B:D,3,0)</f>
        <v/>
      </c>
      <c r="J3318" s="89" t="n">
        <v>17</v>
      </c>
    </row>
    <row r="3319" customFormat="1" s="94">
      <c r="A3319" s="98" t="inlineStr">
        <is>
          <t>디스커버리_DP_B&amp;A #2</t>
        </is>
      </c>
      <c r="B3319" s="128" t="n">
        <v>44215</v>
      </c>
      <c r="C3319" s="88">
        <f>TEXT(B3319,"aaa")</f>
        <v/>
      </c>
      <c r="D3319" s="88" t="inlineStr">
        <is>
          <t>유튜브 디스커버리</t>
        </is>
      </c>
      <c r="E3319" s="88">
        <f>VLOOKUP(A3319,매칭테이블!B:D,3,0)</f>
        <v/>
      </c>
      <c r="J3319" s="89" t="n">
        <v>51790</v>
      </c>
    </row>
    <row r="3320" customFormat="1" s="94">
      <c r="A3320" s="98" t="inlineStr">
        <is>
          <t>디스커버리_미닝님_4554알수없음</t>
        </is>
      </c>
      <c r="B3320" s="128" t="n">
        <v>44215</v>
      </c>
      <c r="C3320" s="88">
        <f>TEXT(B3320,"aaa")</f>
        <v/>
      </c>
      <c r="D3320" s="88" t="inlineStr">
        <is>
          <t>유튜브 디스커버리</t>
        </is>
      </c>
      <c r="E3320" s="88">
        <f>VLOOKUP(A3320,매칭테이블!B:D,3,0)</f>
        <v/>
      </c>
      <c r="J3320" s="89" t="n">
        <v>3703</v>
      </c>
    </row>
    <row r="3321" customFormat="1" s="94">
      <c r="A3321" s="98" t="inlineStr">
        <is>
          <t>디스커버리_DP_B&amp;A #3</t>
        </is>
      </c>
      <c r="B3321" s="128" t="n">
        <v>44215</v>
      </c>
      <c r="C3321" s="88">
        <f>TEXT(B3321,"aaa")</f>
        <v/>
      </c>
      <c r="D3321" s="88" t="inlineStr">
        <is>
          <t>유튜브 디스커버리</t>
        </is>
      </c>
      <c r="E3321" s="88">
        <f>VLOOKUP(A3321,매칭테이블!B:D,3,0)</f>
        <v/>
      </c>
      <c r="J3321" s="89" t="n">
        <v>978</v>
      </c>
    </row>
    <row r="3322" customFormat="1" s="94">
      <c r="A3322" s="98" t="inlineStr">
        <is>
          <t>전환_토너패드</t>
        </is>
      </c>
      <c r="B3322" s="128" t="n">
        <v>44216</v>
      </c>
      <c r="C3322" s="88">
        <f>TEXT(B3322,"aaa")</f>
        <v/>
      </c>
      <c r="D3322" s="88" t="inlineStr">
        <is>
          <t>페이스북/인스타그램</t>
        </is>
      </c>
      <c r="E3322" s="88">
        <f>VLOOKUP(A3322,매칭테이블!B:D,3,0)</f>
        <v/>
      </c>
      <c r="J3322" s="89" t="n">
        <v>624016</v>
      </c>
    </row>
    <row r="3323" customFormat="1" s="94">
      <c r="A3323" s="98" t="inlineStr">
        <is>
          <t>도달_랄라블라</t>
        </is>
      </c>
      <c r="B3323" s="128" t="n">
        <v>44216</v>
      </c>
      <c r="C3323" s="88">
        <f>TEXT(B3323,"aaa")</f>
        <v/>
      </c>
      <c r="D3323" s="88" t="inlineStr">
        <is>
          <t>페이스북/인스타그램</t>
        </is>
      </c>
      <c r="E3323" s="88">
        <f>VLOOKUP(A3323,매칭테이블!B:D,3,0)</f>
        <v/>
      </c>
      <c r="J3323" s="89" t="n">
        <v>29969</v>
      </c>
    </row>
    <row r="3324" customFormat="1" s="94">
      <c r="A3324" s="98" t="inlineStr">
        <is>
          <t>전환</t>
        </is>
      </c>
      <c r="B3324" s="128" t="n">
        <v>44216</v>
      </c>
      <c r="C3324" s="88">
        <f>TEXT(B3324,"aaa")</f>
        <v/>
      </c>
      <c r="D3324" s="88" t="inlineStr">
        <is>
          <t>페이스북/인스타그램</t>
        </is>
      </c>
      <c r="E3324" s="88">
        <f>VLOOKUP(A3324,매칭테이블!B:D,3,0)</f>
        <v/>
      </c>
      <c r="J3324" s="89" t="n">
        <v>968055</v>
      </c>
    </row>
    <row r="3325" customFormat="1" s="94">
      <c r="A3325" s="99" t="inlineStr">
        <is>
          <t>T_토너_테스트</t>
        </is>
      </c>
      <c r="B3325" s="128" t="n">
        <v>44216</v>
      </c>
      <c r="C3325" s="88">
        <f>TEXT(B3325,"aaa")</f>
        <v/>
      </c>
      <c r="D3325" s="88" t="inlineStr">
        <is>
          <t>네이버 GFA</t>
        </is>
      </c>
      <c r="E3325" s="88">
        <f>VLOOKUP(A3325,매칭테이블!B:D,3,0)</f>
        <v/>
      </c>
      <c r="J3325" s="89" t="n">
        <v>639854.5454545454</v>
      </c>
    </row>
    <row r="3326" customFormat="1" s="94">
      <c r="A3326" s="99" t="inlineStr">
        <is>
          <t>아누아_77%패드_청소년관심사_메인</t>
        </is>
      </c>
      <c r="B3326" s="128" t="n">
        <v>44216</v>
      </c>
      <c r="C3326" s="88">
        <f>TEXT(B3326,"aaa")</f>
        <v/>
      </c>
      <c r="D3326" s="88" t="inlineStr">
        <is>
          <t>네이버 GFA</t>
        </is>
      </c>
      <c r="E3326" s="88">
        <f>VLOOKUP(A3326,매칭테이블!B:D,3,0)</f>
        <v/>
      </c>
      <c r="J3326" s="94" t="n">
        <v>42272.72727272727</v>
      </c>
    </row>
    <row r="3327" customFormat="1" s="94">
      <c r="A3327" s="99" t="inlineStr">
        <is>
          <t>T_아누아_패드_메인</t>
        </is>
      </c>
      <c r="B3327" s="128" t="n">
        <v>44216</v>
      </c>
      <c r="C3327" s="88">
        <f>TEXT(B3327,"aaa")</f>
        <v/>
      </c>
      <c r="D3327" s="88" t="inlineStr">
        <is>
          <t>네이버 GFA</t>
        </is>
      </c>
      <c r="E3327" s="88">
        <f>VLOOKUP(A3327,매칭테이블!B:D,3,0)</f>
        <v/>
      </c>
      <c r="F3327" s="128" t="n"/>
      <c r="G3327" s="91" t="n"/>
      <c r="J3327" s="129" t="n">
        <v>727950.9090909091</v>
      </c>
    </row>
    <row r="3328" customFormat="1" s="94">
      <c r="A3328" s="98" t="inlineStr">
        <is>
          <t>토너_메인_기존소재</t>
        </is>
      </c>
      <c r="B3328" s="128" t="n">
        <v>44216</v>
      </c>
      <c r="C3328" s="88">
        <f>TEXT(B3328,"aaa")</f>
        <v/>
      </c>
      <c r="D3328" s="88" t="inlineStr">
        <is>
          <t>네이버 GFA</t>
        </is>
      </c>
      <c r="E3328" s="88">
        <f>VLOOKUP(A3328,매칭테이블!B:D,3,0)</f>
        <v/>
      </c>
      <c r="F3328" s="128" t="n"/>
      <c r="G3328" s="91" t="n"/>
      <c r="J3328" s="129" t="n">
        <v>1186279.090909091</v>
      </c>
    </row>
    <row r="3329" customFormat="1" s="94">
      <c r="A3329" s="99" t="inlineStr">
        <is>
          <t>아누아_쇼핑M</t>
        </is>
      </c>
      <c r="B3329" s="128" t="n">
        <v>44216</v>
      </c>
      <c r="C3329" s="88">
        <f>TEXT(B3329,"aaa")</f>
        <v/>
      </c>
      <c r="D3329" s="88" t="inlineStr">
        <is>
          <t>네이버 쇼핑검색</t>
        </is>
      </c>
      <c r="E3329" s="88" t="n"/>
      <c r="F3329" s="128" t="n"/>
      <c r="G3329" s="91" t="n"/>
      <c r="J3329" s="129" t="n">
        <v>53999.99999999999</v>
      </c>
    </row>
    <row r="3330" customFormat="1" s="94">
      <c r="A3330" s="99" t="inlineStr">
        <is>
          <t>아누아_쇼핑PC</t>
        </is>
      </c>
      <c r="B3330" s="128" t="n">
        <v>44216</v>
      </c>
      <c r="C3330" s="88">
        <f>TEXT(B3330,"aaa")</f>
        <v/>
      </c>
      <c r="D3330" s="88" t="inlineStr">
        <is>
          <t>네이버 쇼핑검색</t>
        </is>
      </c>
      <c r="E3330" s="88" t="n"/>
      <c r="F3330" s="128" t="n"/>
      <c r="G3330" s="91" t="n"/>
      <c r="J3330" s="129" t="n">
        <v>3320</v>
      </c>
    </row>
    <row r="3331" customFormat="1" s="94">
      <c r="A3331" s="99" t="inlineStr">
        <is>
          <t>아누아_비즈보드_리타게팅</t>
        </is>
      </c>
      <c r="B3331" s="128" t="n">
        <v>44216</v>
      </c>
      <c r="C3331" s="88">
        <f>TEXT(B3331,"aaa")</f>
        <v/>
      </c>
      <c r="D3331" s="88" t="inlineStr">
        <is>
          <t>카카오광고</t>
        </is>
      </c>
      <c r="E3331" s="88">
        <f>VLOOKUP(A3331,매칭테이블!B:D,3,0)</f>
        <v/>
      </c>
      <c r="F3331" s="128" t="n"/>
      <c r="G3331" s="91" t="n"/>
      <c r="J3331" s="129" t="n">
        <v>6099.999999999999</v>
      </c>
    </row>
    <row r="3332" customFormat="1" s="94">
      <c r="A3332" s="99" t="inlineStr">
        <is>
          <t>아누아_앰플_플친대상메시지_재발송_210120</t>
        </is>
      </c>
      <c r="B3332" s="128" t="n">
        <v>44216</v>
      </c>
      <c r="C3332" s="88">
        <f>TEXT(B3332,"aaa")</f>
        <v/>
      </c>
      <c r="D3332" s="88" t="inlineStr">
        <is>
          <t>카카오광고</t>
        </is>
      </c>
      <c r="E3332" s="88">
        <f>VLOOKUP(A3332,매칭테이블!B:D,3,0)</f>
        <v/>
      </c>
      <c r="F3332" s="128" t="n"/>
      <c r="G3332" s="91" t="n"/>
      <c r="J3332" s="129" t="n">
        <v>664215</v>
      </c>
    </row>
    <row r="3333" customFormat="1" s="94">
      <c r="A3333" s="99" t="inlineStr">
        <is>
          <t>디스커버리_DP_관심사</t>
        </is>
      </c>
      <c r="B3333" s="128" t="n">
        <v>44216</v>
      </c>
      <c r="C3333" s="88">
        <f>TEXT(B3333,"aaa")</f>
        <v/>
      </c>
      <c r="D3333" s="88" t="inlineStr">
        <is>
          <t>유튜브 디스커버리</t>
        </is>
      </c>
      <c r="E3333" s="88">
        <f>VLOOKUP(A3333,매칭테이블!B:D,3,0)</f>
        <v/>
      </c>
      <c r="F3333" s="128" t="n"/>
      <c r="G3333" s="91" t="n"/>
      <c r="J3333" s="129" t="n">
        <v>105383</v>
      </c>
    </row>
    <row r="3334" customFormat="1" s="94">
      <c r="A3334" s="99" t="inlineStr">
        <is>
          <t>디스커버리_미닝님</t>
        </is>
      </c>
      <c r="B3334" s="128" t="n">
        <v>44216</v>
      </c>
      <c r="C3334" s="88">
        <f>TEXT(B3334,"aaa")</f>
        <v/>
      </c>
      <c r="D3334" s="88" t="inlineStr">
        <is>
          <t>유튜브 디스커버리</t>
        </is>
      </c>
      <c r="E3334" s="88">
        <f>VLOOKUP(A3334,매칭테이블!B:D,3,0)</f>
        <v/>
      </c>
      <c r="F3334" s="128" t="n"/>
      <c r="G3334" s="91" t="n"/>
      <c r="J3334" s="129" t="n">
        <v>15221</v>
      </c>
    </row>
    <row r="3335" customFormat="1" s="94">
      <c r="A3335" s="99" t="inlineStr">
        <is>
          <t>디스커버리_DP_B&amp;A #2</t>
        </is>
      </c>
      <c r="B3335" s="128" t="n">
        <v>44216</v>
      </c>
      <c r="C3335" s="88">
        <f>TEXT(B3335,"aaa")</f>
        <v/>
      </c>
      <c r="D3335" s="88" t="inlineStr">
        <is>
          <t>유튜브 디스커버리</t>
        </is>
      </c>
      <c r="E3335" s="88">
        <f>VLOOKUP(A3335,매칭테이블!B:D,3,0)</f>
        <v/>
      </c>
      <c r="F3335" s="128" t="n"/>
      <c r="G3335" s="91" t="n"/>
      <c r="J3335" s="129" t="n">
        <v>7</v>
      </c>
    </row>
    <row r="3336" customFormat="1" s="94">
      <c r="A3336" s="99" t="inlineStr">
        <is>
          <t>동영상_반응형</t>
        </is>
      </c>
      <c r="B3336" s="128" t="n">
        <v>44216</v>
      </c>
      <c r="C3336" s="88">
        <f>TEXT(B3336,"aaa")</f>
        <v/>
      </c>
      <c r="D3336" s="88" t="inlineStr">
        <is>
          <t>유튜브 디스커버리</t>
        </is>
      </c>
      <c r="E3336" s="88">
        <f>VLOOKUP(A3336,매칭테이블!B:D,3,0)</f>
        <v/>
      </c>
      <c r="F3336" s="128" t="n"/>
      <c r="G3336" s="91" t="n"/>
      <c r="J3336" s="129" t="n">
        <v>51469</v>
      </c>
    </row>
    <row r="3337" customFormat="1" s="94">
      <c r="A3337" s="99" t="inlineStr">
        <is>
          <t>디스커버리_미닝님_4554알수없음</t>
        </is>
      </c>
      <c r="B3337" s="128" t="n">
        <v>44216</v>
      </c>
      <c r="C3337" s="88">
        <f>TEXT(B3337,"aaa")</f>
        <v/>
      </c>
      <c r="D3337" s="88" t="inlineStr">
        <is>
          <t>유튜브 디스커버리</t>
        </is>
      </c>
      <c r="E3337" s="88">
        <f>VLOOKUP(A3337,매칭테이블!B:D,3,0)</f>
        <v/>
      </c>
      <c r="F3337" s="128" t="n"/>
      <c r="G3337" s="91" t="n"/>
      <c r="J3337" s="129" t="n">
        <v>17589</v>
      </c>
    </row>
    <row r="3338" customFormat="1" s="94">
      <c r="A3338" s="99" t="inlineStr">
        <is>
          <t>동영상_맞춤_태국 카드뉴스</t>
        </is>
      </c>
      <c r="B3338" s="128" t="n">
        <v>44216</v>
      </c>
      <c r="C3338" s="88">
        <f>TEXT(B3338,"aaa")</f>
        <v/>
      </c>
      <c r="D3338" s="88" t="inlineStr">
        <is>
          <t>유튜브 디스커버리</t>
        </is>
      </c>
      <c r="E3338" s="88">
        <f>VLOOKUP(A3338,매칭테이블!B:D,3,0)</f>
        <v/>
      </c>
      <c r="F3338" s="128" t="n"/>
      <c r="G3338" s="91" t="n"/>
      <c r="J3338" s="129" t="n">
        <v>3060</v>
      </c>
    </row>
    <row r="3339" customFormat="1" s="94">
      <c r="A3339" s="99" t="inlineStr">
        <is>
          <t>전환_토너패드</t>
        </is>
      </c>
      <c r="B3339" s="128" t="n">
        <v>44217</v>
      </c>
      <c r="C3339" s="88">
        <f>TEXT(B3339,"aaa")</f>
        <v/>
      </c>
      <c r="D3339" s="88" t="inlineStr">
        <is>
          <t>페이스북/인스타그램</t>
        </is>
      </c>
      <c r="E3339" s="88">
        <f>VLOOKUP(A3339,매칭테이블!B:D,3,0)</f>
        <v/>
      </c>
      <c r="F3339" s="128" t="n"/>
      <c r="G3339" s="91" t="n"/>
      <c r="J3339" s="129" t="n">
        <v>376572</v>
      </c>
    </row>
    <row r="3340" customFormat="1" s="94">
      <c r="A3340" s="99" t="inlineStr">
        <is>
          <t>도달_랄라블라</t>
        </is>
      </c>
      <c r="B3340" s="128" t="n">
        <v>44217</v>
      </c>
      <c r="C3340" s="88">
        <f>TEXT(B3340,"aaa")</f>
        <v/>
      </c>
      <c r="D3340" s="88" t="inlineStr">
        <is>
          <t>페이스북/인스타그램</t>
        </is>
      </c>
      <c r="E3340" s="88">
        <f>VLOOKUP(A3340,매칭테이블!B:D,3,0)</f>
        <v/>
      </c>
      <c r="F3340" s="128" t="n"/>
      <c r="G3340" s="91" t="n"/>
      <c r="J3340" s="129" t="n">
        <v>30235</v>
      </c>
    </row>
    <row r="3341" customFormat="1" s="94">
      <c r="A3341" s="99" t="inlineStr">
        <is>
          <t>전환</t>
        </is>
      </c>
      <c r="B3341" s="128" t="n">
        <v>44217</v>
      </c>
      <c r="C3341" s="88">
        <f>TEXT(B3341,"aaa")</f>
        <v/>
      </c>
      <c r="D3341" s="88" t="inlineStr">
        <is>
          <t>페이스북/인스타그램</t>
        </is>
      </c>
      <c r="E3341" s="88">
        <f>VLOOKUP(A3341,매칭테이블!B:D,3,0)</f>
        <v/>
      </c>
      <c r="F3341" s="128" t="n"/>
      <c r="G3341" s="91" t="n"/>
      <c r="J3341" s="129" t="n">
        <v>728488</v>
      </c>
    </row>
    <row r="3342" customFormat="1" s="94">
      <c r="A3342" s="99" t="inlineStr">
        <is>
          <t>T_토너_테스트</t>
        </is>
      </c>
      <c r="B3342" s="128" t="n">
        <v>44217</v>
      </c>
      <c r="C3342" s="88">
        <f>TEXT(B3342,"aaa")</f>
        <v/>
      </c>
      <c r="D3342" s="88" t="inlineStr">
        <is>
          <t>네이버 GFA</t>
        </is>
      </c>
      <c r="E3342" s="88">
        <f>VLOOKUP(A3342,매칭테이블!B:D,3,0)</f>
        <v/>
      </c>
      <c r="F3342" s="128" t="n"/>
      <c r="G3342" s="91" t="n"/>
      <c r="J3342" s="129" t="n">
        <v>164105.4545454545</v>
      </c>
    </row>
    <row r="3343" customFormat="1" s="94">
      <c r="A3343" s="99" t="inlineStr">
        <is>
          <t>아누아_77%패드_청소년관심사_메인</t>
        </is>
      </c>
      <c r="B3343" s="128" t="n">
        <v>44217</v>
      </c>
      <c r="C3343" s="88">
        <f>TEXT(B3343,"aaa")</f>
        <v/>
      </c>
      <c r="D3343" s="88" t="inlineStr">
        <is>
          <t>네이버 GFA</t>
        </is>
      </c>
      <c r="E3343" s="88">
        <f>VLOOKUP(A3343,매칭테이블!B:D,3,0)</f>
        <v/>
      </c>
      <c r="F3343" s="128" t="n"/>
      <c r="G3343" s="91" t="n"/>
      <c r="J3343" s="129" t="n">
        <v>145608.1818181818</v>
      </c>
    </row>
    <row r="3344" customFormat="1" s="94">
      <c r="A3344" s="99" t="inlineStr">
        <is>
          <t>T_아누아_토너_스마트채널</t>
        </is>
      </c>
      <c r="B3344" s="128" t="n">
        <v>44217</v>
      </c>
      <c r="C3344" s="88">
        <f>TEXT(B3344,"aaa")</f>
        <v/>
      </c>
      <c r="D3344" s="88" t="inlineStr">
        <is>
          <t>네이버 GFA</t>
        </is>
      </c>
      <c r="E3344" s="88">
        <f>VLOOKUP(A3344,매칭테이블!B:D,3,0)</f>
        <v/>
      </c>
      <c r="F3344" s="128" t="n"/>
      <c r="G3344" s="91" t="n"/>
      <c r="J3344" s="129" t="n">
        <v>0</v>
      </c>
    </row>
    <row r="3345" customFormat="1" s="94">
      <c r="A3345" s="99" t="inlineStr">
        <is>
          <t>T_아누아_패드_메인</t>
        </is>
      </c>
      <c r="B3345" s="128" t="n">
        <v>44217</v>
      </c>
      <c r="C3345" s="88">
        <f>TEXT(B3345,"aaa")</f>
        <v/>
      </c>
      <c r="D3345" s="88" t="inlineStr">
        <is>
          <t>네이버 GFA</t>
        </is>
      </c>
      <c r="E3345" s="88">
        <f>VLOOKUP(A3345,매칭테이블!B:D,3,0)</f>
        <v/>
      </c>
      <c r="F3345" s="128" t="n"/>
      <c r="G3345" s="91" t="n"/>
      <c r="J3345" s="129" t="n">
        <v>854033.6363636362</v>
      </c>
    </row>
    <row r="3346" customFormat="1" s="94">
      <c r="A3346" s="99" t="inlineStr">
        <is>
          <t>토너_메인_기존소재</t>
        </is>
      </c>
      <c r="B3346" s="128" t="n">
        <v>44217</v>
      </c>
      <c r="C3346" s="88">
        <f>TEXT(B3346,"aaa")</f>
        <v/>
      </c>
      <c r="D3346" s="88" t="inlineStr">
        <is>
          <t>네이버 GFA</t>
        </is>
      </c>
      <c r="E3346" s="88">
        <f>VLOOKUP(A3346,매칭테이블!B:D,3,0)</f>
        <v/>
      </c>
      <c r="F3346" s="128" t="n"/>
      <c r="G3346" s="91" t="n"/>
      <c r="J3346" s="129" t="n">
        <v>1104577.272727273</v>
      </c>
    </row>
    <row r="3347" customFormat="1" s="94">
      <c r="A3347" s="99" t="inlineStr">
        <is>
          <t>아누아_쇼핑M</t>
        </is>
      </c>
      <c r="B3347" s="128" t="n">
        <v>44217</v>
      </c>
      <c r="C3347" s="88">
        <f>TEXT(B3347,"aaa")</f>
        <v/>
      </c>
      <c r="D3347" s="88" t="inlineStr">
        <is>
          <t>네이버 쇼핑검색</t>
        </is>
      </c>
      <c r="E3347" s="88" t="n"/>
      <c r="F3347" s="128" t="n"/>
      <c r="G3347" s="91" t="n"/>
      <c r="J3347" s="129" t="n">
        <v>40110</v>
      </c>
    </row>
    <row r="3348" customFormat="1" s="94">
      <c r="A3348" s="99" t="inlineStr">
        <is>
          <t>아누아_쇼핑PC</t>
        </is>
      </c>
      <c r="B3348" s="128" t="n">
        <v>44217</v>
      </c>
      <c r="C3348" s="88">
        <f>TEXT(B3348,"aaa")</f>
        <v/>
      </c>
      <c r="D3348" s="88" t="inlineStr">
        <is>
          <t>네이버 쇼핑검색</t>
        </is>
      </c>
      <c r="E3348" s="88" t="n"/>
      <c r="F3348" s="128" t="n"/>
      <c r="G3348" s="91" t="n"/>
      <c r="J3348" s="129" t="n">
        <v>3580</v>
      </c>
    </row>
    <row r="3349" customFormat="1" s="94">
      <c r="A3349" s="99" t="inlineStr">
        <is>
          <t>아누아_비즈보드_리타게팅</t>
        </is>
      </c>
      <c r="B3349" s="128" t="n">
        <v>44217</v>
      </c>
      <c r="C3349" s="88">
        <f>TEXT(B3349,"aaa")</f>
        <v/>
      </c>
      <c r="D3349" s="88" t="inlineStr">
        <is>
          <t>카카오광고</t>
        </is>
      </c>
      <c r="E3349" s="88">
        <f>VLOOKUP(A3349,매칭테이블!B:D,3,0)</f>
        <v/>
      </c>
      <c r="F3349" s="128" t="n"/>
      <c r="G3349" s="91" t="n"/>
      <c r="J3349" s="129" t="n">
        <v>1230</v>
      </c>
    </row>
    <row r="3350" customFormat="1" s="94">
      <c r="A3350" s="99" t="inlineStr">
        <is>
          <t>아누아_앰플_플친대상메시지_재발송_210120</t>
        </is>
      </c>
      <c r="B3350" s="128" t="n">
        <v>44217</v>
      </c>
      <c r="C3350" s="88">
        <f>TEXT(B3350,"aaa")</f>
        <v/>
      </c>
      <c r="D3350" s="88" t="inlineStr">
        <is>
          <t>카카오광고</t>
        </is>
      </c>
      <c r="E3350" s="88">
        <f>VLOOKUP(A3350,매칭테이블!B:D,3,0)</f>
        <v/>
      </c>
      <c r="F3350" s="128" t="n"/>
      <c r="G3350" s="91" t="n"/>
      <c r="J3350" s="129" t="n">
        <v>0</v>
      </c>
    </row>
    <row r="3351" customFormat="1" s="94">
      <c r="A3351" s="99" t="inlineStr">
        <is>
          <t>디스커버리_미닝님</t>
        </is>
      </c>
      <c r="B3351" s="128" t="n">
        <v>44217</v>
      </c>
      <c r="C3351" s="88">
        <f>TEXT(B3351,"aaa")</f>
        <v/>
      </c>
      <c r="D3351" s="88" t="inlineStr">
        <is>
          <t>유튜브 디스커버리</t>
        </is>
      </c>
      <c r="E3351" s="88">
        <f>VLOOKUP(A3351,매칭테이블!B:D,3,0)</f>
        <v/>
      </c>
      <c r="F3351" s="128" t="n"/>
      <c r="G3351" s="91" t="n"/>
      <c r="J3351" s="129" t="n">
        <v>23616</v>
      </c>
    </row>
    <row r="3352" customFormat="1" s="94">
      <c r="A3352" s="99" t="inlineStr">
        <is>
          <t>디스커버리_DP_관심사1_소재테스트 #3</t>
        </is>
      </c>
      <c r="B3352" s="128" t="n">
        <v>44217</v>
      </c>
      <c r="C3352" s="88">
        <f>TEXT(B3352,"aaa")</f>
        <v/>
      </c>
      <c r="D3352" s="88" t="inlineStr">
        <is>
          <t>유튜브 디스커버리</t>
        </is>
      </c>
      <c r="E3352" s="88">
        <f>VLOOKUP(A3352,매칭테이블!B:D,3,0)</f>
        <v/>
      </c>
      <c r="F3352" s="128" t="n"/>
      <c r="G3352" s="91" t="n"/>
      <c r="J3352" s="129" t="n">
        <v>1010</v>
      </c>
    </row>
    <row r="3353" customFormat="1" s="94">
      <c r="A3353" s="99" t="inlineStr">
        <is>
          <t>동영상_디스커버리_0121</t>
        </is>
      </c>
      <c r="B3353" s="128" t="n">
        <v>44217</v>
      </c>
      <c r="C3353" s="88">
        <f>TEXT(B3353,"aaa")</f>
        <v/>
      </c>
      <c r="D3353" s="88" t="inlineStr">
        <is>
          <t>유튜브 디스커버리</t>
        </is>
      </c>
      <c r="E3353" s="88">
        <f>VLOOKUP(A3353,매칭테이블!B:D,3,0)</f>
        <v/>
      </c>
      <c r="F3353" s="128" t="n"/>
      <c r="G3353" s="91" t="n"/>
      <c r="J3353" s="129" t="n">
        <v>168</v>
      </c>
    </row>
    <row r="3354" customFormat="1" s="94">
      <c r="A3354" s="99" t="inlineStr">
        <is>
          <t>디스커버리_DP_관심사1테스트</t>
        </is>
      </c>
      <c r="B3354" s="128" t="n">
        <v>44217</v>
      </c>
      <c r="C3354" s="88">
        <f>TEXT(B3354,"aaa")</f>
        <v/>
      </c>
      <c r="D3354" s="88" t="inlineStr">
        <is>
          <t>유튜브 디스커버리</t>
        </is>
      </c>
      <c r="E3354" s="88">
        <f>VLOOKUP(A3354,매칭테이블!B:D,3,0)</f>
        <v/>
      </c>
      <c r="F3354" s="128" t="n"/>
      <c r="G3354" s="91" t="n"/>
      <c r="J3354" s="129" t="n">
        <v>1602</v>
      </c>
    </row>
    <row r="3355" customFormat="1" s="94">
      <c r="A3355" s="99" t="inlineStr">
        <is>
          <t>디스커버리_미닝님_4554알수없음</t>
        </is>
      </c>
      <c r="B3355" s="128" t="n">
        <v>44217</v>
      </c>
      <c r="C3355" s="88">
        <f>TEXT(B3355,"aaa")</f>
        <v/>
      </c>
      <c r="D3355" s="88" t="inlineStr">
        <is>
          <t>유튜브 디스커버리</t>
        </is>
      </c>
      <c r="E3355" s="88">
        <f>VLOOKUP(A3355,매칭테이블!B:D,3,0)</f>
        <v/>
      </c>
      <c r="F3355" s="128" t="n"/>
      <c r="G3355" s="91" t="n"/>
      <c r="J3355" s="129" t="n">
        <v>29384</v>
      </c>
    </row>
    <row r="3356" customFormat="1" s="94">
      <c r="A3356" s="99" t="inlineStr">
        <is>
          <t>디스커버리_DP_관심사1_소재테스트 #2</t>
        </is>
      </c>
      <c r="B3356" s="128" t="n">
        <v>44217</v>
      </c>
      <c r="C3356" s="88">
        <f>TEXT(B3356,"aaa")</f>
        <v/>
      </c>
      <c r="D3356" s="88" t="inlineStr">
        <is>
          <t>유튜브 디스커버리</t>
        </is>
      </c>
      <c r="E3356" s="88">
        <f>VLOOKUP(A3356,매칭테이블!B:D,3,0)</f>
        <v/>
      </c>
      <c r="F3356" s="128" t="n"/>
      <c r="G3356" s="91" t="n"/>
      <c r="J3356" s="129" t="n">
        <v>2925</v>
      </c>
    </row>
    <row r="3357" customFormat="1" s="94">
      <c r="A3357" s="99" t="inlineStr">
        <is>
          <t>동영상_반응형</t>
        </is>
      </c>
      <c r="B3357" s="128" t="n">
        <v>44217</v>
      </c>
      <c r="C3357" s="88">
        <f>TEXT(B3357,"aaa")</f>
        <v/>
      </c>
      <c r="D3357" s="88" t="inlineStr">
        <is>
          <t>유튜브 디스커버리</t>
        </is>
      </c>
      <c r="E3357" s="88">
        <f>VLOOKUP(A3357,매칭테이블!B:D,3,0)</f>
        <v/>
      </c>
      <c r="F3357" s="128" t="n"/>
      <c r="G3357" s="91" t="n"/>
      <c r="J3357" s="129" t="n">
        <v>25947</v>
      </c>
    </row>
    <row r="3358" customFormat="1" s="94">
      <c r="A3358" s="99" t="inlineStr">
        <is>
          <t>전환_토너패드</t>
        </is>
      </c>
      <c r="B3358" s="128" t="n">
        <v>44218</v>
      </c>
      <c r="C3358" s="88">
        <f>TEXT(B3358,"aaa")</f>
        <v/>
      </c>
      <c r="D3358" s="88" t="inlineStr">
        <is>
          <t>페이스북/인스타그램</t>
        </is>
      </c>
      <c r="E3358" s="88">
        <f>VLOOKUP(A3358,매칭테이블!B:D,3,0)</f>
        <v/>
      </c>
      <c r="F3358" s="128" t="n"/>
      <c r="G3358" s="91" t="n"/>
      <c r="J3358" s="129" t="n">
        <v>305554</v>
      </c>
    </row>
    <row r="3359" customFormat="1" s="94">
      <c r="A3359" s="99" t="inlineStr">
        <is>
          <t>도달_랄라블라</t>
        </is>
      </c>
      <c r="B3359" s="128" t="n">
        <v>44218</v>
      </c>
      <c r="C3359" s="88">
        <f>TEXT(B3359,"aaa")</f>
        <v/>
      </c>
      <c r="D3359" s="88" t="inlineStr">
        <is>
          <t>페이스북/인스타그램</t>
        </is>
      </c>
      <c r="E3359" s="88">
        <f>VLOOKUP(A3359,매칭테이블!B:D,3,0)</f>
        <v/>
      </c>
      <c r="F3359" s="128" t="n"/>
      <c r="G3359" s="91" t="n"/>
      <c r="J3359" s="129" t="n">
        <v>25027</v>
      </c>
    </row>
    <row r="3360" customFormat="1" s="94">
      <c r="A3360" s="99" t="inlineStr">
        <is>
          <t>전환</t>
        </is>
      </c>
      <c r="B3360" s="128" t="n">
        <v>44218</v>
      </c>
      <c r="C3360" s="88">
        <f>TEXT(B3360,"aaa")</f>
        <v/>
      </c>
      <c r="D3360" s="88" t="inlineStr">
        <is>
          <t>페이스북/인스타그램</t>
        </is>
      </c>
      <c r="E3360" s="88">
        <f>VLOOKUP(A3360,매칭테이블!B:D,3,0)</f>
        <v/>
      </c>
      <c r="F3360" s="128" t="n"/>
      <c r="G3360" s="91" t="n"/>
      <c r="J3360" s="129" t="n">
        <v>462706</v>
      </c>
    </row>
    <row r="3361" customFormat="1" s="94">
      <c r="A3361" s="99" t="inlineStr">
        <is>
          <t>전환_토너패드</t>
        </is>
      </c>
      <c r="B3361" s="128" t="n">
        <v>44219</v>
      </c>
      <c r="C3361" s="88">
        <f>TEXT(B3361,"aaa")</f>
        <v/>
      </c>
      <c r="D3361" s="88" t="inlineStr">
        <is>
          <t>페이스북/인스타그램</t>
        </is>
      </c>
      <c r="E3361" s="88">
        <f>VLOOKUP(A3361,매칭테이블!B:D,3,0)</f>
        <v/>
      </c>
      <c r="F3361" s="128" t="n"/>
      <c r="G3361" s="91" t="n"/>
      <c r="J3361" s="129" t="n">
        <v>294867</v>
      </c>
    </row>
    <row r="3362" customFormat="1" s="94">
      <c r="A3362" s="99" t="inlineStr">
        <is>
          <t>도달_랄라블라</t>
        </is>
      </c>
      <c r="B3362" s="128" t="n">
        <v>44219</v>
      </c>
      <c r="C3362" s="88">
        <f>TEXT(B3362,"aaa")</f>
        <v/>
      </c>
      <c r="D3362" s="88" t="inlineStr">
        <is>
          <t>페이스북/인스타그램</t>
        </is>
      </c>
      <c r="E3362" s="88">
        <f>VLOOKUP(A3362,매칭테이블!B:D,3,0)</f>
        <v/>
      </c>
      <c r="F3362" s="128" t="n"/>
      <c r="G3362" s="91" t="n"/>
      <c r="J3362" s="129" t="n">
        <v>14504</v>
      </c>
    </row>
    <row r="3363" customFormat="1" s="94">
      <c r="A3363" s="99" t="inlineStr">
        <is>
          <t>전환</t>
        </is>
      </c>
      <c r="B3363" s="128" t="n">
        <v>44219</v>
      </c>
      <c r="C3363" s="88">
        <f>TEXT(B3363,"aaa")</f>
        <v/>
      </c>
      <c r="D3363" s="88" t="inlineStr">
        <is>
          <t>페이스북/인스타그램</t>
        </is>
      </c>
      <c r="E3363" s="88">
        <f>VLOOKUP(A3363,매칭테이블!B:D,3,0)</f>
        <v/>
      </c>
      <c r="F3363" s="128" t="n"/>
      <c r="G3363" s="91" t="n"/>
      <c r="J3363" s="129" t="n">
        <v>313194</v>
      </c>
    </row>
    <row r="3364" customFormat="1" s="94">
      <c r="A3364" s="99" t="inlineStr">
        <is>
          <t>전환_토너패드</t>
        </is>
      </c>
      <c r="B3364" s="128" t="n">
        <v>44220</v>
      </c>
      <c r="C3364" s="88">
        <f>TEXT(B3364,"aaa")</f>
        <v/>
      </c>
      <c r="D3364" s="88" t="inlineStr">
        <is>
          <t>페이스북/인스타그램</t>
        </is>
      </c>
      <c r="E3364" s="88">
        <f>VLOOKUP(A3364,매칭테이블!B:D,3,0)</f>
        <v/>
      </c>
      <c r="F3364" s="128" t="n"/>
      <c r="G3364" s="91" t="n"/>
      <c r="J3364" s="129" t="n">
        <v>373773</v>
      </c>
    </row>
    <row r="3365" customFormat="1" s="94">
      <c r="A3365" s="99" t="inlineStr">
        <is>
          <t>도달_랄라블라</t>
        </is>
      </c>
      <c r="B3365" s="128" t="n">
        <v>44220</v>
      </c>
      <c r="C3365" s="88">
        <f>TEXT(B3365,"aaa")</f>
        <v/>
      </c>
      <c r="D3365" s="88" t="inlineStr">
        <is>
          <t>페이스북/인스타그램</t>
        </is>
      </c>
      <c r="E3365" s="88">
        <f>VLOOKUP(A3365,매칭테이블!B:D,3,0)</f>
        <v/>
      </c>
      <c r="F3365" s="128" t="n"/>
      <c r="G3365" s="91" t="n"/>
      <c r="J3365" s="129" t="n">
        <v>20374</v>
      </c>
    </row>
    <row r="3366" customFormat="1" s="94">
      <c r="A3366" s="99" t="inlineStr">
        <is>
          <t>전환</t>
        </is>
      </c>
      <c r="B3366" s="128" t="n">
        <v>44220</v>
      </c>
      <c r="C3366" s="88">
        <f>TEXT(B3366,"aaa")</f>
        <v/>
      </c>
      <c r="D3366" s="88" t="inlineStr">
        <is>
          <t>페이스북/인스타그램</t>
        </is>
      </c>
      <c r="E3366" s="88">
        <f>VLOOKUP(A3366,매칭테이블!B:D,3,0)</f>
        <v/>
      </c>
      <c r="F3366" s="128" t="n"/>
      <c r="G3366" s="91" t="n"/>
      <c r="J3366" s="129" t="n">
        <v>501611</v>
      </c>
    </row>
    <row r="3367" customFormat="1" s="94">
      <c r="A3367" s="99" t="inlineStr">
        <is>
          <t>아누아_77%패드_청소년관심사_메인</t>
        </is>
      </c>
      <c r="B3367" s="128" t="n">
        <v>44218</v>
      </c>
      <c r="C3367" s="88">
        <f>TEXT(B3367,"aaa")</f>
        <v/>
      </c>
      <c r="D3367" s="88" t="inlineStr">
        <is>
          <t>네이버 GFA</t>
        </is>
      </c>
      <c r="E3367" s="88">
        <f>VLOOKUP(A3367,매칭테이블!B:D,3,0)</f>
        <v/>
      </c>
      <c r="F3367" s="128" t="n"/>
      <c r="G3367" s="91" t="n"/>
      <c r="J3367" s="129" t="n">
        <v>74490.90909090909</v>
      </c>
    </row>
    <row r="3368" customFormat="1" s="94">
      <c r="A3368" s="99" t="inlineStr">
        <is>
          <t>T_아누아_패드_메인</t>
        </is>
      </c>
      <c r="B3368" s="128" t="n">
        <v>44218</v>
      </c>
      <c r="C3368" s="88">
        <f>TEXT(B3368,"aaa")</f>
        <v/>
      </c>
      <c r="D3368" s="88" t="inlineStr">
        <is>
          <t>네이버 GFA</t>
        </is>
      </c>
      <c r="E3368" s="88">
        <f>VLOOKUP(A3368,매칭테이블!B:D,3,0)</f>
        <v/>
      </c>
      <c r="F3368" s="128" t="n"/>
      <c r="G3368" s="91" t="n"/>
      <c r="J3368" s="129" t="n">
        <v>832594.5454545454</v>
      </c>
    </row>
    <row r="3369" customFormat="1" s="94">
      <c r="A3369" s="99" t="inlineStr">
        <is>
          <t>토너_메인_기존소재</t>
        </is>
      </c>
      <c r="B3369" s="128" t="n">
        <v>44218</v>
      </c>
      <c r="C3369" s="88">
        <f>TEXT(B3369,"aaa")</f>
        <v/>
      </c>
      <c r="D3369" s="88" t="inlineStr">
        <is>
          <t>네이버 GFA</t>
        </is>
      </c>
      <c r="E3369" s="88">
        <f>VLOOKUP(A3369,매칭테이블!B:D,3,0)</f>
        <v/>
      </c>
      <c r="F3369" s="128" t="n"/>
      <c r="G3369" s="91" t="n"/>
      <c r="J3369" s="129" t="n">
        <v>1186129.090909091</v>
      </c>
    </row>
    <row r="3370" customFormat="1" s="94">
      <c r="A3370" s="99" t="inlineStr">
        <is>
          <t>T_토너_테스트</t>
        </is>
      </c>
      <c r="B3370" s="128" t="n">
        <v>44219</v>
      </c>
      <c r="C3370" s="88">
        <f>TEXT(B3370,"aaa")</f>
        <v/>
      </c>
      <c r="D3370" s="88" t="inlineStr">
        <is>
          <t>네이버 GFA</t>
        </is>
      </c>
      <c r="E3370" s="88">
        <f>VLOOKUP(A3370,매칭테이블!B:D,3,0)</f>
        <v/>
      </c>
      <c r="F3370" s="128" t="n"/>
      <c r="G3370" s="91" t="n"/>
      <c r="J3370" s="129" t="n">
        <v>0</v>
      </c>
    </row>
    <row r="3371" customFormat="1" s="94">
      <c r="A3371" s="99" t="inlineStr">
        <is>
          <t>아누아_77%패드_청소년관심사_메인</t>
        </is>
      </c>
      <c r="B3371" s="128" t="n">
        <v>44219</v>
      </c>
      <c r="C3371" s="88">
        <f>TEXT(B3371,"aaa")</f>
        <v/>
      </c>
      <c r="D3371" s="88" t="inlineStr">
        <is>
          <t>네이버 GFA</t>
        </is>
      </c>
      <c r="E3371" s="88">
        <f>VLOOKUP(A3371,매칭테이블!B:D,3,0)</f>
        <v/>
      </c>
      <c r="F3371" s="128" t="n"/>
      <c r="G3371" s="91" t="n"/>
      <c r="J3371" s="129" t="n">
        <v>230190.9090909091</v>
      </c>
    </row>
    <row r="3372" customFormat="1" s="94">
      <c r="A3372" s="99" t="inlineStr">
        <is>
          <t>T_아누아_패드_메인</t>
        </is>
      </c>
      <c r="B3372" s="128" t="n">
        <v>44219</v>
      </c>
      <c r="C3372" s="88">
        <f>TEXT(B3372,"aaa")</f>
        <v/>
      </c>
      <c r="D3372" s="88" t="inlineStr">
        <is>
          <t>네이버 GFA</t>
        </is>
      </c>
      <c r="E3372" s="88">
        <f>VLOOKUP(A3372,매칭테이블!B:D,3,0)</f>
        <v/>
      </c>
      <c r="F3372" s="128" t="n"/>
      <c r="G3372" s="91" t="n"/>
      <c r="J3372" s="129" t="n">
        <v>1315490</v>
      </c>
    </row>
    <row r="3373" customFormat="1" s="94">
      <c r="A3373" s="99" t="inlineStr">
        <is>
          <t>토너_메인_기존소재</t>
        </is>
      </c>
      <c r="B3373" s="128" t="n">
        <v>44219</v>
      </c>
      <c r="C3373" s="88">
        <f>TEXT(B3373,"aaa")</f>
        <v/>
      </c>
      <c r="D3373" s="88" t="inlineStr">
        <is>
          <t>네이버 GFA</t>
        </is>
      </c>
      <c r="E3373" s="88">
        <f>VLOOKUP(A3373,매칭테이블!B:D,3,0)</f>
        <v/>
      </c>
      <c r="F3373" s="128" t="n"/>
      <c r="G3373" s="91" t="n"/>
      <c r="J3373" s="129" t="n">
        <v>473944.5454545454</v>
      </c>
    </row>
    <row r="3374" customFormat="1" s="94">
      <c r="A3374" s="99" t="inlineStr">
        <is>
          <t>T_토너_테스트</t>
        </is>
      </c>
      <c r="B3374" s="128" t="n">
        <v>44220</v>
      </c>
      <c r="C3374" s="88">
        <f>TEXT(B3374,"aaa")</f>
        <v/>
      </c>
      <c r="D3374" s="88" t="inlineStr">
        <is>
          <t>네이버 GFA</t>
        </is>
      </c>
      <c r="E3374" s="88">
        <f>VLOOKUP(A3374,매칭테이블!B:D,3,0)</f>
        <v/>
      </c>
      <c r="F3374" s="128" t="n"/>
      <c r="G3374" s="91" t="n"/>
      <c r="J3374" s="129" t="n">
        <v>0</v>
      </c>
    </row>
    <row r="3375" customFormat="1" s="94">
      <c r="A3375" s="99" t="inlineStr">
        <is>
          <t>아누아_77%패드_청소년관심사_메인</t>
        </is>
      </c>
      <c r="B3375" s="128" t="n">
        <v>44220</v>
      </c>
      <c r="C3375" s="88">
        <f>TEXT(B3375,"aaa")</f>
        <v/>
      </c>
      <c r="D3375" s="88" t="inlineStr">
        <is>
          <t>네이버 GFA</t>
        </is>
      </c>
      <c r="E3375" s="88">
        <f>VLOOKUP(A3375,매칭테이블!B:D,3,0)</f>
        <v/>
      </c>
      <c r="F3375" s="128" t="n"/>
      <c r="G3375" s="91" t="n"/>
      <c r="J3375" s="129" t="n">
        <v>363636.3636363636</v>
      </c>
    </row>
    <row r="3376" customFormat="1" s="94">
      <c r="A3376" s="99" t="inlineStr">
        <is>
          <t>T_아누아_패드_메인</t>
        </is>
      </c>
      <c r="B3376" s="128" t="n">
        <v>44220</v>
      </c>
      <c r="C3376" s="88">
        <f>TEXT(B3376,"aaa")</f>
        <v/>
      </c>
      <c r="D3376" s="88" t="inlineStr">
        <is>
          <t>네이버 GFA</t>
        </is>
      </c>
      <c r="E3376" s="88">
        <f>VLOOKUP(A3376,매칭테이블!B:D,3,0)</f>
        <v/>
      </c>
      <c r="F3376" s="128" t="n"/>
      <c r="G3376" s="91" t="n"/>
      <c r="J3376" s="129" t="n">
        <v>1606093.636363636</v>
      </c>
    </row>
    <row r="3377" customFormat="1" s="94">
      <c r="A3377" s="99" t="inlineStr">
        <is>
          <t>토너_메인_기존소재</t>
        </is>
      </c>
      <c r="B3377" s="128" t="n">
        <v>44220</v>
      </c>
      <c r="C3377" s="88">
        <f>TEXT(B3377,"aaa")</f>
        <v/>
      </c>
      <c r="D3377" s="88" t="inlineStr">
        <is>
          <t>네이버 GFA</t>
        </is>
      </c>
      <c r="E3377" s="88">
        <f>VLOOKUP(A3377,매칭테이블!B:D,3,0)</f>
        <v/>
      </c>
      <c r="F3377" s="128" t="n"/>
      <c r="G3377" s="91" t="n"/>
      <c r="J3377" s="129" t="n">
        <v>308248.1818181818</v>
      </c>
    </row>
    <row r="3378" customFormat="1" s="94">
      <c r="A3378" s="99" t="inlineStr">
        <is>
          <t>아누아_쇼핑M</t>
        </is>
      </c>
      <c r="B3378" s="128" t="n">
        <v>44218</v>
      </c>
      <c r="C3378" s="88">
        <f>TEXT(B3378,"aaa")</f>
        <v/>
      </c>
      <c r="D3378" s="88" t="inlineStr">
        <is>
          <t>네이버 쇼핑검색</t>
        </is>
      </c>
      <c r="E3378" s="88" t="n"/>
      <c r="F3378" s="128" t="n"/>
      <c r="G3378" s="91" t="n"/>
      <c r="J3378" s="129" t="n">
        <v>34870</v>
      </c>
    </row>
    <row r="3379" customFormat="1" s="94">
      <c r="A3379" s="99" t="inlineStr">
        <is>
          <t>아누아_쇼핑PC</t>
        </is>
      </c>
      <c r="B3379" s="128" t="n">
        <v>44218</v>
      </c>
      <c r="C3379" s="88">
        <f>TEXT(B3379,"aaa")</f>
        <v/>
      </c>
      <c r="D3379" s="88" t="inlineStr">
        <is>
          <t>네이버 쇼핑검색</t>
        </is>
      </c>
      <c r="E3379" s="88" t="n"/>
      <c r="F3379" s="128" t="n"/>
      <c r="G3379" s="91" t="n"/>
      <c r="J3379" s="129" t="n">
        <v>4590</v>
      </c>
    </row>
    <row r="3380" customFormat="1" s="94">
      <c r="A3380" s="99" t="inlineStr">
        <is>
          <t>아누아_쇼핑M</t>
        </is>
      </c>
      <c r="B3380" s="128" t="n">
        <v>44219</v>
      </c>
      <c r="C3380" s="88">
        <f>TEXT(B3380,"aaa")</f>
        <v/>
      </c>
      <c r="D3380" s="88" t="inlineStr">
        <is>
          <t>네이버 쇼핑검색</t>
        </is>
      </c>
      <c r="E3380" s="88" t="n"/>
      <c r="F3380" s="128" t="n"/>
      <c r="G3380" s="91" t="n"/>
      <c r="J3380" s="129" t="n">
        <v>30750</v>
      </c>
    </row>
    <row r="3381" customFormat="1" s="94">
      <c r="A3381" s="99" t="inlineStr">
        <is>
          <t>아누아_쇼핑PC</t>
        </is>
      </c>
      <c r="B3381" s="128" t="n">
        <v>44219</v>
      </c>
      <c r="C3381" s="88">
        <f>TEXT(B3381,"aaa")</f>
        <v/>
      </c>
      <c r="D3381" s="88" t="inlineStr">
        <is>
          <t>네이버 쇼핑검색</t>
        </is>
      </c>
      <c r="E3381" s="88" t="n"/>
      <c r="F3381" s="128" t="n"/>
      <c r="G3381" s="91" t="n"/>
      <c r="J3381" s="129" t="n">
        <v>399.9999999999999</v>
      </c>
    </row>
    <row r="3382" customFormat="1" s="94">
      <c r="A3382" s="99" t="inlineStr">
        <is>
          <t>아누아_쇼핑M</t>
        </is>
      </c>
      <c r="B3382" s="128" t="n">
        <v>44220</v>
      </c>
      <c r="C3382" s="88">
        <f>TEXT(B3382,"aaa")</f>
        <v/>
      </c>
      <c r="D3382" s="88" t="inlineStr">
        <is>
          <t>네이버 쇼핑검색</t>
        </is>
      </c>
      <c r="E3382" s="88" t="n"/>
      <c r="F3382" s="128" t="n"/>
      <c r="G3382" s="91" t="n"/>
      <c r="J3382" s="129" t="n">
        <v>37280</v>
      </c>
    </row>
    <row r="3383" customFormat="1" s="94">
      <c r="A3383" s="99" t="inlineStr">
        <is>
          <t>아누아_쇼핑PC</t>
        </is>
      </c>
      <c r="B3383" s="128" t="n">
        <v>44220</v>
      </c>
      <c r="C3383" s="88">
        <f>TEXT(B3383,"aaa")</f>
        <v/>
      </c>
      <c r="D3383" s="88" t="inlineStr">
        <is>
          <t>네이버 쇼핑검색</t>
        </is>
      </c>
      <c r="E3383" s="88" t="n"/>
      <c r="F3383" s="128" t="n"/>
      <c r="G3383" s="91" t="n"/>
      <c r="J3383" s="129" t="n">
        <v>1250</v>
      </c>
    </row>
    <row r="3384" customFormat="1" s="94">
      <c r="A3384" s="99" t="inlineStr">
        <is>
          <t>아누아_비즈보드_리타게팅</t>
        </is>
      </c>
      <c r="B3384" s="128" t="n">
        <v>44218</v>
      </c>
      <c r="C3384" s="88">
        <f>TEXT(B3384,"aaa")</f>
        <v/>
      </c>
      <c r="D3384" s="88" t="inlineStr">
        <is>
          <t>카카오광고</t>
        </is>
      </c>
      <c r="E3384" s="88">
        <f>VLOOKUP(A3384,매칭테이블!B:D,3,0)</f>
        <v/>
      </c>
      <c r="F3384" s="128" t="n"/>
      <c r="G3384" s="91" t="n"/>
      <c r="J3384" s="129" t="n">
        <v>1680</v>
      </c>
    </row>
    <row r="3385" customFormat="1" s="94">
      <c r="A3385" s="99" t="inlineStr">
        <is>
          <t>아누아_앰플_시크릿이벤트_리마인드_210122</t>
        </is>
      </c>
      <c r="B3385" s="128" t="n">
        <v>44218</v>
      </c>
      <c r="C3385" s="88">
        <f>TEXT(B3385,"aaa")</f>
        <v/>
      </c>
      <c r="D3385" s="88" t="inlineStr">
        <is>
          <t>카카오광고</t>
        </is>
      </c>
      <c r="E3385" s="88">
        <f>VLOOKUP(A3385,매칭테이블!B:D,3,0)</f>
        <v/>
      </c>
      <c r="F3385" s="128" t="n"/>
      <c r="G3385" s="91" t="n"/>
      <c r="J3385" s="129" t="n">
        <v>0</v>
      </c>
    </row>
    <row r="3386" customFormat="1" s="94">
      <c r="A3386" s="99" t="inlineStr">
        <is>
          <t>아누아_앰플_플친대상메시지_재발송_210120</t>
        </is>
      </c>
      <c r="B3386" s="128" t="n">
        <v>44218</v>
      </c>
      <c r="C3386" s="88">
        <f>TEXT(B3386,"aaa")</f>
        <v/>
      </c>
      <c r="D3386" s="88" t="inlineStr">
        <is>
          <t>카카오광고</t>
        </is>
      </c>
      <c r="E3386" s="88">
        <f>VLOOKUP(A3386,매칭테이블!B:D,3,0)</f>
        <v/>
      </c>
      <c r="F3386" s="128" t="n"/>
      <c r="G3386" s="91" t="n"/>
      <c r="J3386" s="129" t="n">
        <v>0</v>
      </c>
    </row>
    <row r="3387" customFormat="1" s="94">
      <c r="A3387" s="99" t="inlineStr">
        <is>
          <t>아누아_비즈보드_리타게팅</t>
        </is>
      </c>
      <c r="B3387" s="128" t="n">
        <v>44219</v>
      </c>
      <c r="C3387" s="88">
        <f>TEXT(B3387,"aaa")</f>
        <v/>
      </c>
      <c r="D3387" s="88" t="inlineStr">
        <is>
          <t>카카오광고</t>
        </is>
      </c>
      <c r="E3387" s="88">
        <f>VLOOKUP(A3387,매칭테이블!B:D,3,0)</f>
        <v/>
      </c>
      <c r="F3387" s="128" t="n"/>
      <c r="G3387" s="91" t="n"/>
      <c r="J3387" s="129" t="n">
        <v>399.9999999999999</v>
      </c>
    </row>
    <row r="3388" customFormat="1" s="94">
      <c r="A3388" s="99" t="inlineStr">
        <is>
          <t>아누아_앰플_시크릿이벤트_리마인드_210122</t>
        </is>
      </c>
      <c r="B3388" s="128" t="n">
        <v>44219</v>
      </c>
      <c r="C3388" s="88">
        <f>TEXT(B3388,"aaa")</f>
        <v/>
      </c>
      <c r="D3388" s="88" t="inlineStr">
        <is>
          <t>카카오광고</t>
        </is>
      </c>
      <c r="E3388" s="88">
        <f>VLOOKUP(A3388,매칭테이블!B:D,3,0)</f>
        <v/>
      </c>
      <c r="F3388" s="128" t="n"/>
      <c r="G3388" s="91" t="n"/>
      <c r="J3388" s="129" t="n">
        <v>0</v>
      </c>
    </row>
    <row r="3389" customFormat="1" s="94">
      <c r="A3389" s="99" t="inlineStr">
        <is>
          <t>아누아_앰플_플친대상메시지_재발송_210120</t>
        </is>
      </c>
      <c r="B3389" s="128" t="n">
        <v>44219</v>
      </c>
      <c r="C3389" s="88">
        <f>TEXT(B3389,"aaa")</f>
        <v/>
      </c>
      <c r="D3389" s="88" t="inlineStr">
        <is>
          <t>카카오광고</t>
        </is>
      </c>
      <c r="E3389" s="88">
        <f>VLOOKUP(A3389,매칭테이블!B:D,3,0)</f>
        <v/>
      </c>
      <c r="F3389" s="128" t="n"/>
      <c r="G3389" s="91" t="n"/>
      <c r="J3389" s="129" t="n">
        <v>0</v>
      </c>
    </row>
    <row r="3390" customFormat="1" s="94">
      <c r="A3390" s="99" t="inlineStr">
        <is>
          <t>아누아_비즈보드_리타게팅</t>
        </is>
      </c>
      <c r="B3390" s="128" t="n">
        <v>44220</v>
      </c>
      <c r="C3390" s="88">
        <f>TEXT(B3390,"aaa")</f>
        <v/>
      </c>
      <c r="D3390" s="88" t="inlineStr">
        <is>
          <t>카카오광고</t>
        </is>
      </c>
      <c r="E3390" s="88">
        <f>VLOOKUP(A3390,매칭테이블!B:D,3,0)</f>
        <v/>
      </c>
      <c r="F3390" s="128" t="n"/>
      <c r="G3390" s="91" t="n"/>
      <c r="J3390" s="129" t="n">
        <v>449.9999999999999</v>
      </c>
    </row>
    <row r="3391" customFormat="1" s="94">
      <c r="A3391" s="99" t="inlineStr">
        <is>
          <t>아누아_앰플_시크릿이벤트_리마인드_210122</t>
        </is>
      </c>
      <c r="B3391" s="128" t="n">
        <v>44220</v>
      </c>
      <c r="C3391" s="88">
        <f>TEXT(B3391,"aaa")</f>
        <v/>
      </c>
      <c r="D3391" s="88" t="inlineStr">
        <is>
          <t>카카오광고</t>
        </is>
      </c>
      <c r="E3391" s="88">
        <f>VLOOKUP(A3391,매칭테이블!B:D,3,0)</f>
        <v/>
      </c>
      <c r="F3391" s="128" t="n"/>
      <c r="G3391" s="91" t="n"/>
      <c r="J3391" s="129" t="n">
        <v>662205</v>
      </c>
    </row>
    <row r="3392" customFormat="1" s="94">
      <c r="A3392" s="99" t="inlineStr">
        <is>
          <t>아누아_앰플_플친대상메시지_재발송_210120</t>
        </is>
      </c>
      <c r="B3392" s="128" t="n">
        <v>44220</v>
      </c>
      <c r="C3392" s="88">
        <f>TEXT(B3392,"aaa")</f>
        <v/>
      </c>
      <c r="D3392" s="88" t="inlineStr">
        <is>
          <t>카카오광고</t>
        </is>
      </c>
      <c r="E3392" s="88">
        <f>VLOOKUP(A3392,매칭테이블!B:D,3,0)</f>
        <v/>
      </c>
      <c r="F3392" s="128" t="n"/>
      <c r="G3392" s="91" t="n"/>
      <c r="J3392" s="129" t="n">
        <v>0</v>
      </c>
    </row>
    <row r="3393" customFormat="1" s="94">
      <c r="A3393" s="100" t="inlineStr">
        <is>
          <t>디스커버리_DP_관심사1_소재테스트 #2</t>
        </is>
      </c>
      <c r="B3393" s="128" t="n">
        <v>44218</v>
      </c>
      <c r="C3393" s="88">
        <f>TEXT(B3393,"aaa")</f>
        <v/>
      </c>
      <c r="D3393" s="88" t="inlineStr">
        <is>
          <t>유튜브 디스커버리</t>
        </is>
      </c>
      <c r="E3393" s="88">
        <f>VLOOKUP(A3393,매칭테이블!B:D,3,0)</f>
        <v/>
      </c>
      <c r="F3393" s="128" t="n"/>
      <c r="G3393" s="91" t="n"/>
      <c r="J3393" s="129" t="n">
        <v>164292</v>
      </c>
    </row>
    <row r="3394" customFormat="1" s="94">
      <c r="A3394" s="100" t="inlineStr">
        <is>
          <t>디스커버리_미닝님_4554알수없음</t>
        </is>
      </c>
      <c r="B3394" s="128" t="n">
        <v>44218</v>
      </c>
      <c r="C3394" s="88">
        <f>TEXT(B3394,"aaa")</f>
        <v/>
      </c>
      <c r="D3394" s="88" t="inlineStr">
        <is>
          <t>유튜브 디스커버리</t>
        </is>
      </c>
      <c r="E3394" s="88">
        <f>VLOOKUP(A3394,매칭테이블!B:D,3,0)</f>
        <v/>
      </c>
      <c r="F3394" s="128" t="n"/>
      <c r="G3394" s="91" t="n"/>
      <c r="J3394" s="129" t="n">
        <v>7924</v>
      </c>
    </row>
    <row r="3395" customFormat="1" s="94">
      <c r="A3395" s="100" t="inlineStr">
        <is>
          <t>디스커버리_DP_패드관심사1_소재1(아들)</t>
        </is>
      </c>
      <c r="B3395" s="128" t="n">
        <v>44218</v>
      </c>
      <c r="C3395" s="88">
        <f>TEXT(B3395,"aaa")</f>
        <v/>
      </c>
      <c r="D3395" s="88" t="inlineStr">
        <is>
          <t>유튜브 디스커버리</t>
        </is>
      </c>
      <c r="E3395" s="88">
        <f>VLOOKUP(A3395,매칭테이블!B:D,3,0)</f>
        <v/>
      </c>
      <c r="F3395" s="128" t="n"/>
      <c r="G3395" s="91" t="n"/>
      <c r="J3395" s="129" t="n">
        <v>200</v>
      </c>
    </row>
    <row r="3396" customFormat="1" s="94">
      <c r="A3396" s="100" t="inlineStr">
        <is>
          <t>디스커버리_DP_패드관심사1_소재1(딸)</t>
        </is>
      </c>
      <c r="B3396" s="128" t="n">
        <v>44218</v>
      </c>
      <c r="C3396" s="88">
        <f>TEXT(B3396,"aaa")</f>
        <v/>
      </c>
      <c r="D3396" s="88" t="inlineStr">
        <is>
          <t>유튜브 디스커버리</t>
        </is>
      </c>
      <c r="E3396" s="88">
        <f>VLOOKUP(A3396,매칭테이블!B:D,3,0)</f>
        <v/>
      </c>
      <c r="F3396" s="128" t="n"/>
      <c r="G3396" s="91" t="n"/>
      <c r="J3396" s="129" t="n">
        <v>10942</v>
      </c>
    </row>
    <row r="3397" customFormat="1" s="94">
      <c r="A3397" s="100" t="inlineStr">
        <is>
          <t>디스커버리_DP_관심사1테스트 #2</t>
        </is>
      </c>
      <c r="B3397" s="128" t="n">
        <v>44218</v>
      </c>
      <c r="C3397" s="88">
        <f>TEXT(B3397,"aaa")</f>
        <v/>
      </c>
      <c r="D3397" s="88" t="inlineStr">
        <is>
          <t>유튜브 디스커버리</t>
        </is>
      </c>
      <c r="E3397" s="88">
        <f>VLOOKUP(A3397,매칭테이블!B:D,3,0)</f>
        <v/>
      </c>
      <c r="F3397" s="128" t="n"/>
      <c r="G3397" s="91" t="n"/>
      <c r="J3397" s="129" t="n">
        <v>35138</v>
      </c>
    </row>
    <row r="3398" customFormat="1" s="94">
      <c r="A3398" s="100" t="inlineStr">
        <is>
          <t>디스커버리_미닝님</t>
        </is>
      </c>
      <c r="B3398" s="128" t="n">
        <v>44218</v>
      </c>
      <c r="C3398" s="88">
        <f>TEXT(B3398,"aaa")</f>
        <v/>
      </c>
      <c r="D3398" s="88" t="inlineStr">
        <is>
          <t>유튜브 디스커버리</t>
        </is>
      </c>
      <c r="E3398" s="88">
        <f>VLOOKUP(A3398,매칭테이블!B:D,3,0)</f>
        <v/>
      </c>
      <c r="F3398" s="128" t="n"/>
      <c r="G3398" s="91" t="n"/>
      <c r="J3398" s="129" t="n">
        <v>12350</v>
      </c>
    </row>
    <row r="3399" customFormat="1" s="94">
      <c r="A3399" s="100" t="inlineStr">
        <is>
          <t>디스커버리_DP_관심사1_소재테스트 #3</t>
        </is>
      </c>
      <c r="B3399" s="128" t="n">
        <v>44218</v>
      </c>
      <c r="C3399" s="88">
        <f>TEXT(B3399,"aaa")</f>
        <v/>
      </c>
      <c r="D3399" s="88" t="inlineStr">
        <is>
          <t>유튜브 디스커버리</t>
        </is>
      </c>
      <c r="E3399" s="88">
        <f>VLOOKUP(A3399,매칭테이블!B:D,3,0)</f>
        <v/>
      </c>
      <c r="F3399" s="128" t="n"/>
      <c r="G3399" s="91" t="n"/>
      <c r="J3399" s="129" t="n">
        <v>668</v>
      </c>
    </row>
    <row r="3400" customFormat="1" s="94">
      <c r="A3400" s="100" t="inlineStr">
        <is>
          <t>디스커버리_DP_관심사1_소재테스트 #2</t>
        </is>
      </c>
      <c r="B3400" s="128" t="n">
        <v>44219</v>
      </c>
      <c r="C3400" s="88">
        <f>TEXT(B3400,"aaa")</f>
        <v/>
      </c>
      <c r="D3400" s="88" t="inlineStr">
        <is>
          <t>유튜브 디스커버리</t>
        </is>
      </c>
      <c r="E3400" s="88">
        <f>VLOOKUP(A3400,매칭테이블!B:D,3,0)</f>
        <v/>
      </c>
      <c r="F3400" s="128" t="n"/>
      <c r="G3400" s="91" t="n"/>
      <c r="J3400" s="129" t="n">
        <v>25405</v>
      </c>
    </row>
    <row r="3401" customFormat="1" s="94">
      <c r="A3401" s="100" t="inlineStr">
        <is>
          <t>디스커버리_DP_패드관심사1_소재1(딸)</t>
        </is>
      </c>
      <c r="B3401" s="128" t="n">
        <v>44219</v>
      </c>
      <c r="C3401" s="88">
        <f>TEXT(B3401,"aaa")</f>
        <v/>
      </c>
      <c r="D3401" s="88" t="inlineStr">
        <is>
          <t>유튜브 디스커버리</t>
        </is>
      </c>
      <c r="E3401" s="88">
        <f>VLOOKUP(A3401,매칭테이블!B:D,3,0)</f>
        <v/>
      </c>
      <c r="F3401" s="128" t="n"/>
      <c r="G3401" s="91" t="n"/>
      <c r="J3401" s="129" t="n">
        <v>23961</v>
      </c>
    </row>
    <row r="3402" customFormat="1" s="94">
      <c r="A3402" s="100" t="inlineStr">
        <is>
          <t>디스커버리_DP_관심사1테스트 #2</t>
        </is>
      </c>
      <c r="B3402" s="128" t="n">
        <v>44219</v>
      </c>
      <c r="C3402" s="88">
        <f>TEXT(B3402,"aaa")</f>
        <v/>
      </c>
      <c r="D3402" s="88" t="inlineStr">
        <is>
          <t>유튜브 디스커버리</t>
        </is>
      </c>
      <c r="E3402" s="88">
        <f>VLOOKUP(A3402,매칭테이블!B:D,3,0)</f>
        <v/>
      </c>
      <c r="F3402" s="128" t="n"/>
      <c r="G3402" s="91" t="n"/>
      <c r="J3402" s="129" t="n">
        <v>65204</v>
      </c>
    </row>
    <row r="3403" customFormat="1" s="94">
      <c r="A3403" s="100" t="inlineStr">
        <is>
          <t>디스커버리_미닝님</t>
        </is>
      </c>
      <c r="B3403" s="128" t="n">
        <v>44219</v>
      </c>
      <c r="C3403" s="88">
        <f>TEXT(B3403,"aaa")</f>
        <v/>
      </c>
      <c r="D3403" s="88" t="inlineStr">
        <is>
          <t>유튜브 디스커버리</t>
        </is>
      </c>
      <c r="E3403" s="88">
        <f>VLOOKUP(A3403,매칭테이블!B:D,3,0)</f>
        <v/>
      </c>
      <c r="F3403" s="128" t="n"/>
      <c r="G3403" s="91" t="n"/>
      <c r="J3403" s="129" t="n">
        <v>4916</v>
      </c>
    </row>
    <row r="3404" customFormat="1" s="94">
      <c r="A3404" s="100" t="inlineStr">
        <is>
          <t>디스커버리_미닝님_4554알수없음</t>
        </is>
      </c>
      <c r="B3404" s="128" t="n">
        <v>44219</v>
      </c>
      <c r="C3404" s="88">
        <f>TEXT(B3404,"aaa")</f>
        <v/>
      </c>
      <c r="D3404" s="88" t="inlineStr">
        <is>
          <t>유튜브 디스커버리</t>
        </is>
      </c>
      <c r="E3404" s="88">
        <f>VLOOKUP(A3404,매칭테이블!B:D,3,0)</f>
        <v/>
      </c>
      <c r="F3404" s="128" t="n"/>
      <c r="G3404" s="91" t="n"/>
      <c r="J3404" s="129" t="n">
        <v>1242</v>
      </c>
    </row>
    <row r="3405" customFormat="1" s="94">
      <c r="A3405" s="100" t="inlineStr">
        <is>
          <t>디스커버리_DP_패드관심사1_소재1(아들)</t>
        </is>
      </c>
      <c r="B3405" s="128" t="n">
        <v>44219</v>
      </c>
      <c r="C3405" s="88">
        <f>TEXT(B3405,"aaa")</f>
        <v/>
      </c>
      <c r="D3405" s="88" t="inlineStr">
        <is>
          <t>유튜브 디스커버리</t>
        </is>
      </c>
      <c r="E3405" s="88">
        <f>VLOOKUP(A3405,매칭테이블!B:D,3,0)</f>
        <v/>
      </c>
      <c r="F3405" s="128" t="n"/>
      <c r="G3405" s="91" t="n"/>
      <c r="J3405" s="129" t="n">
        <v>175</v>
      </c>
    </row>
    <row r="3406" customFormat="1" s="94">
      <c r="A3406" s="100" t="inlineStr">
        <is>
          <t>디스커버리_DP_관심사1_소재테스트 #3</t>
        </is>
      </c>
      <c r="B3406" s="128" t="n">
        <v>44219</v>
      </c>
      <c r="C3406" s="88">
        <f>TEXT(B3406,"aaa")</f>
        <v/>
      </c>
      <c r="D3406" s="88" t="inlineStr">
        <is>
          <t>유튜브 디스커버리</t>
        </is>
      </c>
      <c r="E3406" s="88">
        <f>VLOOKUP(A3406,매칭테이블!B:D,3,0)</f>
        <v/>
      </c>
      <c r="F3406" s="128" t="n"/>
      <c r="G3406" s="91" t="n"/>
      <c r="J3406" s="129" t="n">
        <v>374</v>
      </c>
    </row>
    <row r="3407" customFormat="1" s="94">
      <c r="A3407" s="100" t="inlineStr">
        <is>
          <t>디스커버리_미닝님_4554알수없음</t>
        </is>
      </c>
      <c r="B3407" s="128" t="n">
        <v>44220</v>
      </c>
      <c r="C3407" s="88">
        <f>TEXT(B3407,"aaa")</f>
        <v/>
      </c>
      <c r="D3407" s="88" t="inlineStr">
        <is>
          <t>유튜브 디스커버리</t>
        </is>
      </c>
      <c r="E3407" s="88">
        <f>VLOOKUP(A3407,매칭테이블!B:D,3,0)</f>
        <v/>
      </c>
      <c r="F3407" s="128" t="n"/>
      <c r="G3407" s="91" t="n"/>
      <c r="J3407" s="129" t="n">
        <v>16076</v>
      </c>
    </row>
    <row r="3408" customFormat="1" s="94">
      <c r="A3408" s="100" t="inlineStr">
        <is>
          <t>디스커버리_DP_관심사1테스트 #2</t>
        </is>
      </c>
      <c r="B3408" s="128" t="n">
        <v>44220</v>
      </c>
      <c r="C3408" s="88">
        <f>TEXT(B3408,"aaa")</f>
        <v/>
      </c>
      <c r="D3408" s="88" t="inlineStr">
        <is>
          <t>유튜브 디스커버리</t>
        </is>
      </c>
      <c r="E3408" s="88">
        <f>VLOOKUP(A3408,매칭테이블!B:D,3,0)</f>
        <v/>
      </c>
      <c r="F3408" s="128" t="n"/>
      <c r="G3408" s="91" t="n"/>
      <c r="J3408" s="129" t="n">
        <v>50507</v>
      </c>
    </row>
    <row r="3409" customFormat="1" s="94">
      <c r="A3409" s="100" t="inlineStr">
        <is>
          <t>디스커버리_케이린</t>
        </is>
      </c>
      <c r="B3409" s="128" t="n">
        <v>44220</v>
      </c>
      <c r="C3409" s="88">
        <f>TEXT(B3409,"aaa")</f>
        <v/>
      </c>
      <c r="D3409" s="88" t="inlineStr">
        <is>
          <t>유튜브 디스커버리</t>
        </is>
      </c>
      <c r="E3409" s="88">
        <f>VLOOKUP(A3409,매칭테이블!B:D,3,0)</f>
        <v/>
      </c>
      <c r="F3409" s="128" t="n"/>
      <c r="G3409" s="91" t="n"/>
      <c r="J3409" s="129" t="n">
        <v>55</v>
      </c>
    </row>
    <row r="3410" customFormat="1" s="94">
      <c r="A3410" s="100" t="inlineStr">
        <is>
          <t>디스커버리_DP_관심사1_소재테스트 #2</t>
        </is>
      </c>
      <c r="B3410" s="128" t="n">
        <v>44220</v>
      </c>
      <c r="C3410" s="88">
        <f>TEXT(B3410,"aaa")</f>
        <v/>
      </c>
      <c r="D3410" s="88" t="inlineStr">
        <is>
          <t>유튜브 디스커버리</t>
        </is>
      </c>
      <c r="E3410" s="88">
        <f>VLOOKUP(A3410,매칭테이블!B:D,3,0)</f>
        <v/>
      </c>
      <c r="F3410" s="128" t="n"/>
      <c r="G3410" s="91" t="n"/>
      <c r="J3410" s="129" t="n">
        <v>65457</v>
      </c>
    </row>
    <row r="3411" customFormat="1" s="94">
      <c r="A3411" s="100" t="inlineStr">
        <is>
          <t>디스커버리_소히방2</t>
        </is>
      </c>
      <c r="B3411" s="128" t="n">
        <v>44220</v>
      </c>
      <c r="C3411" s="88">
        <f>TEXT(B3411,"aaa")</f>
        <v/>
      </c>
      <c r="D3411" s="88" t="inlineStr">
        <is>
          <t>유튜브 디스커버리</t>
        </is>
      </c>
      <c r="E3411" s="88">
        <f>VLOOKUP(A3411,매칭테이블!B:D,3,0)</f>
        <v/>
      </c>
      <c r="F3411" s="128" t="n"/>
      <c r="G3411" s="91" t="n"/>
      <c r="J3411" s="129" t="n">
        <v>8256</v>
      </c>
    </row>
    <row r="3412" customFormat="1" s="94">
      <c r="A3412" s="100" t="inlineStr">
        <is>
          <t>디스커버리_DP_관심사1_소재테스트 #3</t>
        </is>
      </c>
      <c r="B3412" s="128" t="n">
        <v>44220</v>
      </c>
      <c r="C3412" s="88">
        <f>TEXT(B3412,"aaa")</f>
        <v/>
      </c>
      <c r="D3412" s="88" t="inlineStr">
        <is>
          <t>유튜브 디스커버리</t>
        </is>
      </c>
      <c r="E3412" s="88">
        <f>VLOOKUP(A3412,매칭테이블!B:D,3,0)</f>
        <v/>
      </c>
      <c r="F3412" s="128" t="n"/>
      <c r="G3412" s="91" t="n"/>
      <c r="J3412" s="129" t="n">
        <v>956</v>
      </c>
    </row>
    <row r="3413" customFormat="1" s="94">
      <c r="A3413" s="100" t="inlineStr">
        <is>
          <t>디스커버리_천서영님_썸네일테스트 #3</t>
        </is>
      </c>
      <c r="B3413" s="128" t="n">
        <v>44220</v>
      </c>
      <c r="C3413" s="88">
        <f>TEXT(B3413,"aaa")</f>
        <v/>
      </c>
      <c r="D3413" s="88" t="inlineStr">
        <is>
          <t>유튜브 디스커버리</t>
        </is>
      </c>
      <c r="E3413" s="88">
        <f>VLOOKUP(A3413,매칭테이블!B:D,3,0)</f>
        <v/>
      </c>
      <c r="F3413" s="128" t="n"/>
      <c r="G3413" s="91" t="n"/>
      <c r="J3413" s="129" t="n">
        <v>12840</v>
      </c>
    </row>
    <row r="3414" customFormat="1" s="94">
      <c r="A3414" s="100" t="inlineStr">
        <is>
          <t>디스커버리_미닝님</t>
        </is>
      </c>
      <c r="B3414" s="128" t="n">
        <v>44220</v>
      </c>
      <c r="C3414" s="88">
        <f>TEXT(B3414,"aaa")</f>
        <v/>
      </c>
      <c r="D3414" s="88" t="inlineStr">
        <is>
          <t>유튜브 디스커버리</t>
        </is>
      </c>
      <c r="E3414" s="88">
        <f>VLOOKUP(A3414,매칭테이블!B:D,3,0)</f>
        <v/>
      </c>
      <c r="F3414" s="128" t="n"/>
      <c r="G3414" s="91" t="n"/>
      <c r="J3414" s="129" t="n">
        <v>32391</v>
      </c>
    </row>
    <row r="3415" customFormat="1" s="94">
      <c r="A3415" s="100" t="inlineStr">
        <is>
          <t>디스커버리_채우</t>
        </is>
      </c>
      <c r="B3415" s="128" t="n">
        <v>44220</v>
      </c>
      <c r="C3415" s="88">
        <f>TEXT(B3415,"aaa")</f>
        <v/>
      </c>
      <c r="D3415" s="88" t="inlineStr">
        <is>
          <t>유튜브 디스커버리</t>
        </is>
      </c>
      <c r="E3415" s="88">
        <f>VLOOKUP(A3415,매칭테이블!B:D,3,0)</f>
        <v/>
      </c>
      <c r="F3415" s="128" t="n"/>
      <c r="G3415" s="91" t="n"/>
      <c r="J3415" s="129" t="n">
        <v>210</v>
      </c>
    </row>
    <row r="3416" customFormat="1" s="94">
      <c r="A3416" s="100" t="inlineStr">
        <is>
          <t>디스커버리_DP_패드관심사1_소재1(딸)</t>
        </is>
      </c>
      <c r="B3416" s="128" t="n">
        <v>44220</v>
      </c>
      <c r="C3416" s="88">
        <f>TEXT(B3416,"aaa")</f>
        <v/>
      </c>
      <c r="D3416" s="88" t="inlineStr">
        <is>
          <t>유튜브 디스커버리</t>
        </is>
      </c>
      <c r="E3416" s="88">
        <f>VLOOKUP(A3416,매칭테이블!B:D,3,0)</f>
        <v/>
      </c>
      <c r="F3416" s="128" t="n"/>
      <c r="G3416" s="91" t="n"/>
      <c r="J3416" s="129" t="n">
        <v>40248</v>
      </c>
    </row>
    <row r="3417" customFormat="1" s="94">
      <c r="A3417" s="100" t="inlineStr">
        <is>
          <t>디스커버리_DP_패드관심사1_소재1(아들)</t>
        </is>
      </c>
      <c r="B3417" s="128" t="n">
        <v>44220</v>
      </c>
      <c r="C3417" s="88">
        <f>TEXT(B3417,"aaa")</f>
        <v/>
      </c>
      <c r="D3417" s="88" t="inlineStr">
        <is>
          <t>유튜브 디스커버리</t>
        </is>
      </c>
      <c r="E3417" s="88">
        <f>VLOOKUP(A3417,매칭테이블!B:D,3,0)</f>
        <v/>
      </c>
      <c r="F3417" s="128" t="n"/>
      <c r="G3417" s="91" t="n"/>
      <c r="J3417" s="129" t="n">
        <v>410</v>
      </c>
    </row>
    <row r="3418" customFormat="1" s="94">
      <c r="A3418" s="99" t="inlineStr">
        <is>
          <t>전환_토너패드</t>
        </is>
      </c>
      <c r="B3418" s="128" t="n">
        <v>44221</v>
      </c>
      <c r="C3418" s="88">
        <f>TEXT(B3418,"aaa")</f>
        <v/>
      </c>
      <c r="D3418" s="128" t="inlineStr">
        <is>
          <t>페이스북/인스타그램</t>
        </is>
      </c>
      <c r="E3418" s="88">
        <f>VLOOKUP(A3418,매칭테이블!B:D,3,0)</f>
        <v/>
      </c>
      <c r="F3418" s="128" t="n"/>
      <c r="G3418" s="91" t="n"/>
      <c r="J3418" s="129" t="n">
        <v>349027</v>
      </c>
    </row>
    <row r="3419" customFormat="1" s="94">
      <c r="A3419" s="99" t="inlineStr">
        <is>
          <t>도달_랄라블라</t>
        </is>
      </c>
      <c r="B3419" s="128" t="n">
        <v>44221</v>
      </c>
      <c r="C3419" s="88">
        <f>TEXT(B3419,"aaa")</f>
        <v/>
      </c>
      <c r="D3419" s="128" t="inlineStr">
        <is>
          <t>페이스북/인스타그램</t>
        </is>
      </c>
      <c r="E3419" s="88">
        <f>VLOOKUP(A3419,매칭테이블!B:D,3,0)</f>
        <v/>
      </c>
      <c r="F3419" s="128" t="n"/>
      <c r="G3419" s="91" t="n"/>
      <c r="J3419" s="129" t="n">
        <v>28483</v>
      </c>
    </row>
    <row r="3420" customFormat="1" s="94">
      <c r="A3420" s="99" t="inlineStr">
        <is>
          <t>전환</t>
        </is>
      </c>
      <c r="B3420" s="128" t="n">
        <v>44221</v>
      </c>
      <c r="C3420" s="88">
        <f>TEXT(B3420,"aaa")</f>
        <v/>
      </c>
      <c r="D3420" s="128" t="inlineStr">
        <is>
          <t>페이스북/인스타그램</t>
        </is>
      </c>
      <c r="E3420" s="88">
        <f>VLOOKUP(A3420,매칭테이블!B:D,3,0)</f>
        <v/>
      </c>
      <c r="F3420" s="128" t="n"/>
      <c r="G3420" s="91" t="n"/>
      <c r="J3420" s="129" t="n">
        <v>760084</v>
      </c>
    </row>
    <row r="3421" customFormat="1" s="94">
      <c r="A3421" s="98" t="inlineStr">
        <is>
          <t>아누아_77%패드_청소년관심사_메인</t>
        </is>
      </c>
      <c r="B3421" s="128" t="n">
        <v>44221</v>
      </c>
      <c r="C3421" s="88">
        <f>TEXT(B3421,"aaa")</f>
        <v/>
      </c>
      <c r="D3421" s="128" t="inlineStr">
        <is>
          <t>네이버 GFA</t>
        </is>
      </c>
      <c r="E3421" s="88">
        <f>VLOOKUP(A3421,매칭테이블!B:D,3,0)</f>
        <v/>
      </c>
      <c r="F3421" s="128" t="n"/>
      <c r="G3421" s="91" t="n"/>
      <c r="J3421" s="129" t="n">
        <v>386729.0909090909</v>
      </c>
    </row>
    <row r="3422" customFormat="1" s="94">
      <c r="A3422" s="98" t="inlineStr">
        <is>
          <t>T_아누아_패드_메인</t>
        </is>
      </c>
      <c r="B3422" s="128" t="n">
        <v>44221</v>
      </c>
      <c r="C3422" s="88">
        <f>TEXT(B3422,"aaa")</f>
        <v/>
      </c>
      <c r="D3422" s="128" t="inlineStr">
        <is>
          <t>네이버 GFA</t>
        </is>
      </c>
      <c r="E3422" s="88">
        <f>VLOOKUP(A3422,매칭테이블!B:D,3,0)</f>
        <v/>
      </c>
      <c r="F3422" s="128" t="n"/>
      <c r="G3422" s="91" t="n"/>
      <c r="J3422" s="129" t="n">
        <v>1273889.090909091</v>
      </c>
    </row>
    <row r="3423" customFormat="1" s="94">
      <c r="A3423" s="98" t="inlineStr">
        <is>
          <t>토너_메인_기존소재</t>
        </is>
      </c>
      <c r="B3423" s="128" t="n">
        <v>44221</v>
      </c>
      <c r="C3423" s="88">
        <f>TEXT(B3423,"aaa")</f>
        <v/>
      </c>
      <c r="D3423" s="128" t="inlineStr">
        <is>
          <t>네이버 GFA</t>
        </is>
      </c>
      <c r="E3423" s="88">
        <f>VLOOKUP(A3423,매칭테이블!B:D,3,0)</f>
        <v/>
      </c>
      <c r="F3423" s="128" t="n"/>
      <c r="G3423" s="91" t="n"/>
      <c r="J3423" s="129" t="n">
        <v>359906.3636363636</v>
      </c>
    </row>
    <row r="3424" customFormat="1" s="94">
      <c r="A3424" s="98" t="inlineStr">
        <is>
          <t>아누아_쇼핑M</t>
        </is>
      </c>
      <c r="B3424" s="128" t="n">
        <v>44221</v>
      </c>
      <c r="C3424" s="88">
        <f>TEXT(B3424,"aaa")</f>
        <v/>
      </c>
      <c r="D3424" s="88" t="inlineStr">
        <is>
          <t>네이버 쇼핑검색</t>
        </is>
      </c>
      <c r="E3424" s="88" t="n"/>
      <c r="F3424" s="128" t="n"/>
      <c r="G3424" s="91" t="n"/>
      <c r="J3424" s="129" t="n">
        <v>48429.99999999999</v>
      </c>
    </row>
    <row r="3425" customFormat="1" s="94">
      <c r="A3425" s="98" t="inlineStr">
        <is>
          <t>아누아_쇼핑PC</t>
        </is>
      </c>
      <c r="B3425" s="128" t="n">
        <v>44221</v>
      </c>
      <c r="C3425" s="88">
        <f>TEXT(B3425,"aaa")</f>
        <v/>
      </c>
      <c r="D3425" s="88" t="inlineStr">
        <is>
          <t>네이버 쇼핑검색</t>
        </is>
      </c>
      <c r="E3425" s="88" t="n"/>
      <c r="F3425" s="128" t="n"/>
      <c r="G3425" s="91" t="n"/>
      <c r="J3425" s="129" t="n">
        <v>5430</v>
      </c>
    </row>
    <row r="3426" customFormat="1" s="94">
      <c r="A3426" s="98" t="inlineStr">
        <is>
          <t>아누아_쇼핑박스</t>
        </is>
      </c>
      <c r="B3426" s="128" t="n">
        <v>44221</v>
      </c>
      <c r="C3426" s="88">
        <f>TEXT(B3426,"aaa")</f>
        <v/>
      </c>
      <c r="D3426" s="128" t="inlineStr">
        <is>
          <t>네이버 쇼핑박스</t>
        </is>
      </c>
      <c r="E3426" s="88">
        <f>VLOOKUP(A3426,매칭테이블!B:D,3,0)</f>
        <v/>
      </c>
      <c r="F3426" s="128" t="n"/>
      <c r="G3426" s="91" t="n"/>
      <c r="J3426" s="129" t="n">
        <v>649350.64</v>
      </c>
    </row>
    <row r="3427" customFormat="1" s="94">
      <c r="A3427" s="98" t="inlineStr">
        <is>
          <t>아누아_비즈보드_리타게팅</t>
        </is>
      </c>
      <c r="B3427" s="128" t="n">
        <v>44221</v>
      </c>
      <c r="C3427" s="88">
        <f>TEXT(B3427,"aaa")</f>
        <v/>
      </c>
      <c r="D3427" s="128" t="inlineStr">
        <is>
          <t>카카오광고</t>
        </is>
      </c>
      <c r="E3427" s="88">
        <f>VLOOKUP(A3427,매칭테이블!B:D,3,0)</f>
        <v/>
      </c>
      <c r="F3427" s="128" t="n"/>
      <c r="G3427" s="91" t="n"/>
      <c r="J3427" s="129" t="n">
        <v>429.9999999999999</v>
      </c>
    </row>
    <row r="3428" customFormat="1" s="94">
      <c r="A3428" s="98" t="inlineStr">
        <is>
          <t>아누아_토너_관심사1_초4소재_1200x628</t>
        </is>
      </c>
      <c r="B3428" s="128" t="n">
        <v>44221</v>
      </c>
      <c r="C3428" s="88">
        <f>TEXT(B3428,"aaa")</f>
        <v/>
      </c>
      <c r="D3428" s="128" t="inlineStr">
        <is>
          <t>카카오광고</t>
        </is>
      </c>
      <c r="E3428" s="88">
        <f>VLOOKUP(A3428,매칭테이블!B:D,3,0)</f>
        <v/>
      </c>
      <c r="F3428" s="128" t="n"/>
      <c r="G3428" s="91" t="n"/>
      <c r="J3428" s="129" t="n">
        <v>180</v>
      </c>
    </row>
    <row r="3429" customFormat="1" s="94">
      <c r="A3429" s="98" t="inlineStr">
        <is>
          <t>토너_관심사3_반반</t>
        </is>
      </c>
      <c r="B3429" s="128" t="n">
        <v>44221</v>
      </c>
      <c r="C3429" s="88">
        <f>TEXT(B3429,"aaa")</f>
        <v/>
      </c>
      <c r="D3429" s="128" t="inlineStr">
        <is>
          <t>유튜브 디스커버리</t>
        </is>
      </c>
      <c r="E3429" s="88">
        <f>VLOOKUP(A3429,매칭테이블!B:D,3,0)</f>
        <v/>
      </c>
      <c r="F3429" s="128" t="n"/>
      <c r="G3429" s="91" t="n"/>
      <c r="J3429" s="129" t="n">
        <v>59</v>
      </c>
    </row>
    <row r="3430" customFormat="1" s="94">
      <c r="A3430" s="98" t="inlineStr">
        <is>
          <t>디스커버리_DP_패드관심사1_소재1(아들)</t>
        </is>
      </c>
      <c r="B3430" s="128" t="n">
        <v>44221</v>
      </c>
      <c r="C3430" s="88">
        <f>TEXT(B3430,"aaa")</f>
        <v/>
      </c>
      <c r="D3430" s="128" t="inlineStr">
        <is>
          <t>유튜브 디스커버리</t>
        </is>
      </c>
      <c r="E3430" s="88">
        <f>VLOOKUP(A3430,매칭테이블!B:D,3,0)</f>
        <v/>
      </c>
      <c r="F3430" s="128" t="n"/>
      <c r="G3430" s="91" t="n"/>
      <c r="J3430" s="129" t="n">
        <v>110</v>
      </c>
    </row>
    <row r="3431" customFormat="1" s="94">
      <c r="A3431" s="98" t="inlineStr">
        <is>
          <t>디스커버리_채우</t>
        </is>
      </c>
      <c r="B3431" s="128" t="n">
        <v>44221</v>
      </c>
      <c r="C3431" s="88">
        <f>TEXT(B3431,"aaa")</f>
        <v/>
      </c>
      <c r="D3431" s="128" t="inlineStr">
        <is>
          <t>유튜브 디스커버리</t>
        </is>
      </c>
      <c r="E3431" s="88">
        <f>VLOOKUP(A3431,매칭테이블!B:D,3,0)</f>
        <v/>
      </c>
      <c r="F3431" s="128" t="n"/>
      <c r="G3431" s="91" t="n"/>
      <c r="J3431" s="129" t="n">
        <v>138</v>
      </c>
    </row>
    <row r="3432" customFormat="1" s="94">
      <c r="A3432" s="98" t="inlineStr">
        <is>
          <t>디스커버리_천서영님_썸네일테스트 #3</t>
        </is>
      </c>
      <c r="B3432" s="128" t="n">
        <v>44221</v>
      </c>
      <c r="C3432" s="88">
        <f>TEXT(B3432,"aaa")</f>
        <v/>
      </c>
      <c r="D3432" s="128" t="inlineStr">
        <is>
          <t>유튜브 디스커버리</t>
        </is>
      </c>
      <c r="E3432" s="88">
        <f>VLOOKUP(A3432,매칭테이블!B:D,3,0)</f>
        <v/>
      </c>
      <c r="F3432" s="128" t="n"/>
      <c r="G3432" s="91" t="n"/>
      <c r="J3432" s="129" t="n">
        <v>51328</v>
      </c>
    </row>
    <row r="3433" customFormat="1" s="94">
      <c r="A3433" s="98" t="inlineStr">
        <is>
          <t>디스커버리_미닝님</t>
        </is>
      </c>
      <c r="B3433" s="128" t="n">
        <v>44221</v>
      </c>
      <c r="C3433" s="88">
        <f>TEXT(B3433,"aaa")</f>
        <v/>
      </c>
      <c r="D3433" s="128" t="inlineStr">
        <is>
          <t>유튜브 디스커버리</t>
        </is>
      </c>
      <c r="E3433" s="88">
        <f>VLOOKUP(A3433,매칭테이블!B:D,3,0)</f>
        <v/>
      </c>
      <c r="F3433" s="128" t="n"/>
      <c r="G3433" s="91" t="n"/>
      <c r="J3433" s="129" t="n">
        <v>64642</v>
      </c>
    </row>
    <row r="3434" customFormat="1" s="94">
      <c r="A3434" s="98" t="inlineStr">
        <is>
          <t>디스커버리_DP_관심사2_동글소재</t>
        </is>
      </c>
      <c r="B3434" s="128" t="n">
        <v>44221</v>
      </c>
      <c r="C3434" s="88">
        <f>TEXT(B3434,"aaa")</f>
        <v/>
      </c>
      <c r="D3434" s="128" t="inlineStr">
        <is>
          <t>유튜브 디스커버리</t>
        </is>
      </c>
      <c r="E3434" s="88">
        <f>VLOOKUP(A3434,매칭테이블!B:D,3,0)</f>
        <v/>
      </c>
      <c r="F3434" s="128" t="n"/>
      <c r="G3434" s="91" t="n"/>
      <c r="J3434" s="129" t="n">
        <v>1285</v>
      </c>
    </row>
    <row r="3435" customFormat="1" s="94">
      <c r="A3435" s="98" t="inlineStr">
        <is>
          <t>토너_논타겟_엄마잘컨</t>
        </is>
      </c>
      <c r="B3435" s="128" t="n">
        <v>44221</v>
      </c>
      <c r="C3435" s="88">
        <f>TEXT(B3435,"aaa")</f>
        <v/>
      </c>
      <c r="D3435" s="128" t="inlineStr">
        <is>
          <t>유튜브 디스커버리</t>
        </is>
      </c>
      <c r="E3435" s="88">
        <f>VLOOKUP(A3435,매칭테이블!B:D,3,0)</f>
        <v/>
      </c>
      <c r="F3435" s="128" t="n"/>
      <c r="G3435" s="91" t="n"/>
      <c r="J3435" s="129" t="n">
        <v>105001</v>
      </c>
    </row>
    <row r="3436" customFormat="1" s="94">
      <c r="A3436" s="98" t="inlineStr">
        <is>
          <t>디스커버리_DP_패드관심사1_소재1(딸)</t>
        </is>
      </c>
      <c r="B3436" s="128" t="n">
        <v>44221</v>
      </c>
      <c r="C3436" s="88">
        <f>TEXT(B3436,"aaa")</f>
        <v/>
      </c>
      <c r="D3436" s="128" t="inlineStr">
        <is>
          <t>유튜브 디스커버리</t>
        </is>
      </c>
      <c r="E3436" s="88">
        <f>VLOOKUP(A3436,매칭테이블!B:D,3,0)</f>
        <v/>
      </c>
      <c r="F3436" s="128" t="n"/>
      <c r="G3436" s="91" t="n"/>
      <c r="J3436" s="129" t="n">
        <v>83454</v>
      </c>
    </row>
    <row r="3437" customFormat="1" s="94">
      <c r="A3437" s="98" t="inlineStr">
        <is>
          <t>디스커버리_케이린</t>
        </is>
      </c>
      <c r="B3437" s="128" t="n">
        <v>44221</v>
      </c>
      <c r="C3437" s="88">
        <f>TEXT(B3437,"aaa")</f>
        <v/>
      </c>
      <c r="D3437" s="128" t="inlineStr">
        <is>
          <t>유튜브 디스커버리</t>
        </is>
      </c>
      <c r="E3437" s="88">
        <f>VLOOKUP(A3437,매칭테이블!B:D,3,0)</f>
        <v/>
      </c>
      <c r="F3437" s="128" t="n"/>
      <c r="G3437" s="91" t="n"/>
      <c r="J3437" s="129" t="n">
        <v>25359</v>
      </c>
    </row>
    <row r="3438" customFormat="1" s="94">
      <c r="A3438" s="98" t="inlineStr">
        <is>
          <t>토너_관심사1_엄마잘컨</t>
        </is>
      </c>
      <c r="B3438" s="128" t="n">
        <v>44221</v>
      </c>
      <c r="C3438" s="88">
        <f>TEXT(B3438,"aaa")</f>
        <v/>
      </c>
      <c r="D3438" s="128" t="inlineStr">
        <is>
          <t>유튜브 디스커버리</t>
        </is>
      </c>
      <c r="E3438" s="88">
        <f>VLOOKUP(A3438,매칭테이블!B:D,3,0)</f>
        <v/>
      </c>
      <c r="F3438" s="128" t="n"/>
      <c r="G3438" s="91" t="n"/>
      <c r="J3438" s="129" t="n">
        <v>284246</v>
      </c>
    </row>
    <row r="3439" customFormat="1" s="94">
      <c r="A3439" s="98" t="inlineStr">
        <is>
          <t>디스커버리_소히방2</t>
        </is>
      </c>
      <c r="B3439" s="128" t="n">
        <v>44221</v>
      </c>
      <c r="C3439" s="88">
        <f>TEXT(B3439,"aaa")</f>
        <v/>
      </c>
      <c r="D3439" s="128" t="inlineStr">
        <is>
          <t>유튜브 디스커버리</t>
        </is>
      </c>
      <c r="E3439" s="88">
        <f>VLOOKUP(A3439,매칭테이블!B:D,3,0)</f>
        <v/>
      </c>
      <c r="F3439" s="128" t="n"/>
      <c r="G3439" s="91" t="n"/>
      <c r="J3439" s="129" t="n">
        <v>28383</v>
      </c>
    </row>
    <row r="3440" customFormat="1" s="94">
      <c r="A3440" s="98" t="inlineStr">
        <is>
          <t>토너_구매의도만_동글2</t>
        </is>
      </c>
      <c r="B3440" s="128" t="n">
        <v>44221</v>
      </c>
      <c r="C3440" s="88">
        <f>TEXT(B3440,"aaa")</f>
        <v/>
      </c>
      <c r="D3440" s="128" t="inlineStr">
        <is>
          <t>유튜브 디스커버리</t>
        </is>
      </c>
      <c r="E3440" s="88">
        <f>VLOOKUP(A3440,매칭테이블!B:D,3,0)</f>
        <v/>
      </c>
      <c r="F3440" s="128" t="n"/>
      <c r="G3440" s="91" t="n"/>
      <c r="J3440" s="129" t="n">
        <v>1004</v>
      </c>
    </row>
    <row r="3441" customFormat="1" s="94">
      <c r="A3441" s="98" t="inlineStr">
        <is>
          <t>디스커버리_DP_관심사0_기존잘컨</t>
        </is>
      </c>
      <c r="B3441" s="128" t="n">
        <v>44221</v>
      </c>
      <c r="C3441" s="88">
        <f>TEXT(B3441,"aaa")</f>
        <v/>
      </c>
      <c r="D3441" s="128" t="inlineStr">
        <is>
          <t>유튜브 디스커버리</t>
        </is>
      </c>
      <c r="E3441" s="88">
        <f>VLOOKUP(A3441,매칭테이블!B:D,3,0)</f>
        <v/>
      </c>
      <c r="F3441" s="128" t="n"/>
      <c r="G3441" s="91" t="n"/>
      <c r="J3441" s="129" t="n">
        <v>10073</v>
      </c>
    </row>
    <row r="3442" customFormat="1" s="94">
      <c r="A3442" s="98" t="inlineStr">
        <is>
          <t>디스커버리_미닝님_4554알수없음</t>
        </is>
      </c>
      <c r="B3442" s="128" t="n">
        <v>44221</v>
      </c>
      <c r="C3442" s="88">
        <f>TEXT(B3442,"aaa")</f>
        <v/>
      </c>
      <c r="D3442" s="128" t="inlineStr">
        <is>
          <t>유튜브 디스커버리</t>
        </is>
      </c>
      <c r="E3442" s="88">
        <f>VLOOKUP(A3442,매칭테이블!B:D,3,0)</f>
        <v/>
      </c>
      <c r="F3442" s="128" t="n"/>
      <c r="G3442" s="91" t="n"/>
      <c r="J3442" s="129" t="n">
        <v>44411</v>
      </c>
    </row>
    <row r="3443" customFormat="1" s="94">
      <c r="A3443" s="98" t="inlineStr">
        <is>
          <t>디스커버리_DP_관심사1_소재테스트</t>
        </is>
      </c>
      <c r="B3443" s="128" t="n">
        <v>44221</v>
      </c>
      <c r="C3443" s="88">
        <f>TEXT(B3443,"aaa")</f>
        <v/>
      </c>
      <c r="D3443" s="128" t="inlineStr">
        <is>
          <t>유튜브 디스커버리</t>
        </is>
      </c>
      <c r="E3443" s="88">
        <f>VLOOKUP(A3443,매칭테이블!B:D,3,0)</f>
        <v/>
      </c>
      <c r="F3443" s="128" t="n"/>
      <c r="G3443" s="91" t="n"/>
      <c r="J3443" s="129" t="n">
        <v>1127</v>
      </c>
    </row>
    <row r="3444" customFormat="1" s="94">
      <c r="A3444" s="98" t="inlineStr">
        <is>
          <t>전환_토너패드</t>
        </is>
      </c>
      <c r="B3444" s="128" t="n">
        <v>44222</v>
      </c>
      <c r="C3444" s="88">
        <f>TEXT(B3444,"aaa")</f>
        <v/>
      </c>
      <c r="D3444" s="128" t="inlineStr">
        <is>
          <t>페이스북/인스타그램</t>
        </is>
      </c>
      <c r="E3444" s="88">
        <f>VLOOKUP(A3444,매칭테이블!B:D,3,0)</f>
        <v/>
      </c>
      <c r="F3444" s="128" t="n"/>
      <c r="G3444" s="91" t="n"/>
      <c r="J3444" s="129" t="n">
        <v>444208</v>
      </c>
    </row>
    <row r="3445" customFormat="1" s="94">
      <c r="A3445" s="98" t="inlineStr">
        <is>
          <t>도달_랄라블라</t>
        </is>
      </c>
      <c r="B3445" s="128" t="n">
        <v>44222</v>
      </c>
      <c r="C3445" s="88">
        <f>TEXT(B3445,"aaa")</f>
        <v/>
      </c>
      <c r="D3445" s="128" t="inlineStr">
        <is>
          <t>페이스북/인스타그램</t>
        </is>
      </c>
      <c r="E3445" s="88">
        <f>VLOOKUP(A3445,매칭테이블!B:D,3,0)</f>
        <v/>
      </c>
      <c r="F3445" s="128" t="n"/>
      <c r="G3445" s="91" t="n"/>
      <c r="J3445" s="129" t="n">
        <v>29349</v>
      </c>
    </row>
    <row r="3446" customFormat="1" s="94">
      <c r="A3446" s="98" t="inlineStr">
        <is>
          <t>전환</t>
        </is>
      </c>
      <c r="B3446" s="128" t="n">
        <v>44222</v>
      </c>
      <c r="C3446" s="88">
        <f>TEXT(B3446,"aaa")</f>
        <v/>
      </c>
      <c r="D3446" s="128" t="inlineStr">
        <is>
          <t>페이스북/인스타그램</t>
        </is>
      </c>
      <c r="E3446" s="88">
        <f>VLOOKUP(A3446,매칭테이블!B:D,3,0)</f>
        <v/>
      </c>
      <c r="F3446" s="128" t="n"/>
      <c r="G3446" s="91" t="n"/>
      <c r="J3446" s="129" t="n">
        <v>763309</v>
      </c>
    </row>
    <row r="3447" customFormat="1" s="94">
      <c r="A3447" s="98" t="inlineStr">
        <is>
          <t>아누아_77%패드_청소년관심사_메인</t>
        </is>
      </c>
      <c r="B3447" s="128" t="n">
        <v>44222</v>
      </c>
      <c r="C3447" s="88">
        <f>TEXT(B3447,"aaa")</f>
        <v/>
      </c>
      <c r="D3447" s="128" t="inlineStr">
        <is>
          <t>네이버 GFA</t>
        </is>
      </c>
      <c r="E3447" s="88">
        <f>VLOOKUP(A3447,매칭테이블!B:D,3,0)</f>
        <v/>
      </c>
      <c r="F3447" s="128" t="n"/>
      <c r="G3447" s="91" t="n"/>
      <c r="J3447" s="129" t="n">
        <v>471122.7272727272</v>
      </c>
    </row>
    <row r="3448" customFormat="1" s="94">
      <c r="A3448" s="98" t="inlineStr">
        <is>
          <t>T_아누아_패드_메인</t>
        </is>
      </c>
      <c r="B3448" s="128" t="n">
        <v>44222</v>
      </c>
      <c r="C3448" s="88">
        <f>TEXT(B3448,"aaa")</f>
        <v/>
      </c>
      <c r="D3448" s="128" t="inlineStr">
        <is>
          <t>네이버 GFA</t>
        </is>
      </c>
      <c r="E3448" s="88">
        <f>VLOOKUP(A3448,매칭테이블!B:D,3,0)</f>
        <v/>
      </c>
      <c r="F3448" s="128" t="n"/>
      <c r="G3448" s="91" t="n"/>
      <c r="J3448" s="129" t="n">
        <v>1741337.272727272</v>
      </c>
    </row>
    <row r="3449" customFormat="1" s="94">
      <c r="A3449" s="98" t="inlineStr">
        <is>
          <t>토너_메인_기존소재</t>
        </is>
      </c>
      <c r="B3449" s="128" t="n">
        <v>44222</v>
      </c>
      <c r="C3449" s="88">
        <f>TEXT(B3449,"aaa")</f>
        <v/>
      </c>
      <c r="D3449" s="128" t="inlineStr">
        <is>
          <t>네이버 GFA</t>
        </is>
      </c>
      <c r="E3449" s="88">
        <f>VLOOKUP(A3449,매칭테이블!B:D,3,0)</f>
        <v/>
      </c>
      <c r="F3449" s="128" t="n"/>
      <c r="G3449" s="91" t="n"/>
      <c r="J3449" s="129" t="n">
        <v>1290054.545454545</v>
      </c>
    </row>
    <row r="3450" customFormat="1" s="94">
      <c r="A3450" s="98" t="inlineStr">
        <is>
          <t>아누아_쇼핑M</t>
        </is>
      </c>
      <c r="B3450" s="128" t="n">
        <v>44222</v>
      </c>
      <c r="C3450" s="88">
        <f>TEXT(B3450,"aaa")</f>
        <v/>
      </c>
      <c r="D3450" s="128" t="inlineStr">
        <is>
          <t>네이버 쇼핑검색</t>
        </is>
      </c>
      <c r="E3450" s="88" t="n"/>
      <c r="F3450" s="128" t="n"/>
      <c r="G3450" s="91" t="n"/>
      <c r="J3450" s="129" t="n">
        <v>54169.99999999999</v>
      </c>
    </row>
    <row r="3451" customFormat="1" s="94">
      <c r="A3451" s="98" t="inlineStr">
        <is>
          <t>아누아_쇼핑PC</t>
        </is>
      </c>
      <c r="B3451" s="128" t="n">
        <v>44222</v>
      </c>
      <c r="C3451" s="88">
        <f>TEXT(B3451,"aaa")</f>
        <v/>
      </c>
      <c r="D3451" s="128" t="inlineStr">
        <is>
          <t>네이버 쇼핑검색</t>
        </is>
      </c>
      <c r="E3451" s="88" t="n"/>
      <c r="F3451" s="128" t="n"/>
      <c r="G3451" s="91" t="n"/>
      <c r="J3451" s="129" t="n">
        <v>3970</v>
      </c>
    </row>
    <row r="3452" customFormat="1" s="94">
      <c r="A3452" s="98" t="inlineStr">
        <is>
          <t>아누아_쇼핑박스</t>
        </is>
      </c>
      <c r="B3452" s="128" t="n">
        <v>44222</v>
      </c>
      <c r="C3452" s="88">
        <f>TEXT(B3452,"aaa")</f>
        <v/>
      </c>
      <c r="D3452" s="128" t="inlineStr">
        <is>
          <t>네이버 쇼핑박스</t>
        </is>
      </c>
      <c r="E3452" s="88">
        <f>VLOOKUP(A3452,매칭테이블!B:D,3,0)</f>
        <v/>
      </c>
      <c r="F3452" s="128" t="n"/>
      <c r="G3452" s="91" t="n"/>
      <c r="J3452" s="129" t="n">
        <v>649350.64</v>
      </c>
    </row>
    <row r="3453" customFormat="1" s="94">
      <c r="A3453" s="98" t="inlineStr">
        <is>
          <t>아누아_비즈보드_리타게팅</t>
        </is>
      </c>
      <c r="B3453" s="128" t="n">
        <v>44222</v>
      </c>
      <c r="C3453" s="88">
        <f>TEXT(B3453,"aaa")</f>
        <v/>
      </c>
      <c r="D3453" s="128" t="inlineStr">
        <is>
          <t>카카오광고</t>
        </is>
      </c>
      <c r="E3453" s="88">
        <f>VLOOKUP(A3453,매칭테이블!B:D,3,0)</f>
        <v/>
      </c>
      <c r="F3453" s="128" t="n"/>
      <c r="G3453" s="91" t="n"/>
      <c r="J3453" s="129" t="n">
        <v>759.9999999999999</v>
      </c>
    </row>
    <row r="3454" customFormat="1" s="94">
      <c r="A3454" s="98" t="inlineStr">
        <is>
          <t>아누아_토너_관심사1_초4소재_1200x628</t>
        </is>
      </c>
      <c r="B3454" s="128" t="n">
        <v>44222</v>
      </c>
      <c r="C3454" s="88">
        <f>TEXT(B3454,"aaa")</f>
        <v/>
      </c>
      <c r="D3454" s="128" t="inlineStr">
        <is>
          <t>카카오광고</t>
        </is>
      </c>
      <c r="E3454" s="88">
        <f>VLOOKUP(A3454,매칭테이블!B:D,3,0)</f>
        <v/>
      </c>
      <c r="F3454" s="128" t="n"/>
      <c r="G3454" s="91" t="n"/>
      <c r="J3454" s="129" t="n">
        <v>98389.99999999999</v>
      </c>
    </row>
    <row r="3455" customFormat="1" s="94">
      <c r="A3455" s="98" t="inlineStr">
        <is>
          <t>디스커버리_채우</t>
        </is>
      </c>
      <c r="B3455" s="128" t="n">
        <v>44222</v>
      </c>
      <c r="C3455" s="88">
        <f>TEXT(B3455,"aaa")</f>
        <v/>
      </c>
      <c r="D3455" s="128" t="inlineStr">
        <is>
          <t>유튜브 디스커버리</t>
        </is>
      </c>
      <c r="E3455" s="88">
        <f>VLOOKUP(A3455,매칭테이블!B:D,3,0)</f>
        <v/>
      </c>
      <c r="F3455" s="128" t="n"/>
      <c r="G3455" s="91" t="n"/>
      <c r="J3455" s="129" t="n">
        <v>124863</v>
      </c>
    </row>
    <row r="3456" customFormat="1" s="94">
      <c r="A3456" s="98" t="inlineStr">
        <is>
          <t>인스트림_토너_집콕</t>
        </is>
      </c>
      <c r="B3456" s="128" t="n">
        <v>44222</v>
      </c>
      <c r="C3456" s="88">
        <f>TEXT(B3456,"aaa")</f>
        <v/>
      </c>
      <c r="D3456" s="128" t="inlineStr">
        <is>
          <t>유튜브 디스커버리</t>
        </is>
      </c>
      <c r="E3456" s="88">
        <f>VLOOKUP(A3456,매칭테이블!B:D,3,0)</f>
        <v/>
      </c>
      <c r="F3456" s="128" t="n"/>
      <c r="G3456" s="91" t="n"/>
      <c r="J3456" s="129" t="n">
        <v>51853</v>
      </c>
    </row>
    <row r="3457" customFormat="1" s="94">
      <c r="A3457" s="98" t="inlineStr">
        <is>
          <t>디스커버리_미닝님</t>
        </is>
      </c>
      <c r="B3457" s="128" t="n">
        <v>44222</v>
      </c>
      <c r="C3457" s="88">
        <f>TEXT(B3457,"aaa")</f>
        <v/>
      </c>
      <c r="D3457" s="128" t="inlineStr">
        <is>
          <t>유튜브 디스커버리</t>
        </is>
      </c>
      <c r="E3457" s="88">
        <f>VLOOKUP(A3457,매칭테이블!B:D,3,0)</f>
        <v/>
      </c>
      <c r="F3457" s="128" t="n"/>
      <c r="G3457" s="91" t="n"/>
      <c r="J3457" s="129" t="n">
        <v>354093</v>
      </c>
    </row>
    <row r="3458" customFormat="1" s="94">
      <c r="A3458" s="98" t="inlineStr">
        <is>
          <t>디스커버리_천서영님_썸네일테스트 #3</t>
        </is>
      </c>
      <c r="B3458" s="128" t="n">
        <v>44222</v>
      </c>
      <c r="C3458" s="88">
        <f>TEXT(B3458,"aaa")</f>
        <v/>
      </c>
      <c r="D3458" s="128" t="inlineStr">
        <is>
          <t>유튜브 디스커버리</t>
        </is>
      </c>
      <c r="E3458" s="88">
        <f>VLOOKUP(A3458,매칭테이블!B:D,3,0)</f>
        <v/>
      </c>
      <c r="F3458" s="128" t="n"/>
      <c r="G3458" s="91" t="n"/>
      <c r="J3458" s="129" t="n">
        <v>408282</v>
      </c>
    </row>
    <row r="3459" customFormat="1" s="94">
      <c r="A3459" s="98" t="inlineStr">
        <is>
          <t>토너_관심사1_엄마소재베리</t>
        </is>
      </c>
      <c r="B3459" s="128" t="n">
        <v>44222</v>
      </c>
      <c r="C3459" s="88">
        <f>TEXT(B3459,"aaa")</f>
        <v/>
      </c>
      <c r="D3459" s="128" t="inlineStr">
        <is>
          <t>유튜브 디스커버리</t>
        </is>
      </c>
      <c r="E3459" s="88">
        <f>VLOOKUP(A3459,매칭테이블!B:D,3,0)</f>
        <v/>
      </c>
      <c r="F3459" s="128" t="n"/>
      <c r="G3459" s="91" t="n"/>
      <c r="J3459" s="129" t="n">
        <v>70349</v>
      </c>
    </row>
    <row r="3460" customFormat="1" s="94">
      <c r="A3460" s="98" t="inlineStr">
        <is>
          <t>디스커버리_DP_패드관심사1_소재1(아들)</t>
        </is>
      </c>
      <c r="B3460" s="128" t="n">
        <v>44222</v>
      </c>
      <c r="C3460" s="88">
        <f>TEXT(B3460,"aaa")</f>
        <v/>
      </c>
      <c r="D3460" s="128" t="inlineStr">
        <is>
          <t>유튜브 디스커버리</t>
        </is>
      </c>
      <c r="E3460" s="88">
        <f>VLOOKUP(A3460,매칭테이블!B:D,3,0)</f>
        <v/>
      </c>
      <c r="F3460" s="128" t="n"/>
      <c r="G3460" s="91" t="n"/>
      <c r="J3460" s="129" t="n">
        <v>239</v>
      </c>
    </row>
    <row r="3461" customFormat="1" s="94">
      <c r="A3461" s="98" t="inlineStr">
        <is>
          <t>디스커버리_관심사세팅_후기</t>
        </is>
      </c>
      <c r="B3461" s="128" t="n">
        <v>44222</v>
      </c>
      <c r="C3461" s="88">
        <f>TEXT(B3461,"aaa")</f>
        <v/>
      </c>
      <c r="D3461" s="128" t="inlineStr">
        <is>
          <t>유튜브 디스커버리</t>
        </is>
      </c>
      <c r="E3461" s="88">
        <f>VLOOKUP(A3461,매칭테이블!B:D,3,0)</f>
        <v/>
      </c>
      <c r="F3461" s="128" t="n"/>
      <c r="G3461" s="91" t="n"/>
      <c r="J3461" s="129" t="n">
        <v>108354</v>
      </c>
    </row>
    <row r="3462" customFormat="1" s="94">
      <c r="A3462" s="98" t="inlineStr">
        <is>
          <t>디스커버리_DP_패드관심사1_소재1(딸)</t>
        </is>
      </c>
      <c r="B3462" s="128" t="n">
        <v>44222</v>
      </c>
      <c r="C3462" s="88">
        <f>TEXT(B3462,"aaa")</f>
        <v/>
      </c>
      <c r="D3462" s="128" t="inlineStr">
        <is>
          <t>유튜브 디스커버리</t>
        </is>
      </c>
      <c r="E3462" s="88">
        <f>VLOOKUP(A3462,매칭테이블!B:D,3,0)</f>
        <v/>
      </c>
      <c r="F3462" s="128" t="n"/>
      <c r="G3462" s="91" t="n"/>
      <c r="J3462" s="129" t="n">
        <v>45951</v>
      </c>
    </row>
    <row r="3463" customFormat="1" s="94">
      <c r="A3463" s="98" t="inlineStr">
        <is>
          <t>토너_논타겟_엄마잘컨</t>
        </is>
      </c>
      <c r="B3463" s="128" t="n">
        <v>44222</v>
      </c>
      <c r="C3463" s="88">
        <f>TEXT(B3463,"aaa")</f>
        <v/>
      </c>
      <c r="D3463" s="128" t="inlineStr">
        <is>
          <t>유튜브 디스커버리</t>
        </is>
      </c>
      <c r="E3463" s="88">
        <f>VLOOKUP(A3463,매칭테이블!B:D,3,0)</f>
        <v/>
      </c>
      <c r="F3463" s="128" t="n"/>
      <c r="G3463" s="91" t="n"/>
      <c r="J3463" s="129" t="n">
        <v>86944</v>
      </c>
    </row>
    <row r="3464" customFormat="1" s="94">
      <c r="A3464" s="98" t="inlineStr">
        <is>
          <t>인스트림_논타겟_토너_집콕</t>
        </is>
      </c>
      <c r="B3464" s="128" t="n">
        <v>44222</v>
      </c>
      <c r="C3464" s="88">
        <f>TEXT(B3464,"aaa")</f>
        <v/>
      </c>
      <c r="D3464" s="128" t="inlineStr">
        <is>
          <t>유튜브 디스커버리</t>
        </is>
      </c>
      <c r="E3464" s="88">
        <f>VLOOKUP(A3464,매칭테이블!B:D,3,0)</f>
        <v/>
      </c>
      <c r="F3464" s="128" t="n"/>
      <c r="G3464" s="91" t="n"/>
      <c r="J3464" s="129" t="n">
        <v>101569</v>
      </c>
    </row>
    <row r="3465" customFormat="1" s="94">
      <c r="A3465" s="98" t="inlineStr">
        <is>
          <t>토너_관심사1_이미지베리</t>
        </is>
      </c>
      <c r="B3465" s="128" t="n">
        <v>44222</v>
      </c>
      <c r="C3465" s="88">
        <f>TEXT(B3465,"aaa")</f>
        <v/>
      </c>
      <c r="D3465" s="128" t="inlineStr">
        <is>
          <t>유튜브 디스커버리</t>
        </is>
      </c>
      <c r="E3465" s="88">
        <f>VLOOKUP(A3465,매칭테이블!B:D,3,0)</f>
        <v/>
      </c>
      <c r="F3465" s="128" t="n"/>
      <c r="G3465" s="91" t="n"/>
      <c r="J3465" s="129" t="n">
        <v>34245</v>
      </c>
    </row>
    <row r="3466" customFormat="1" s="94">
      <c r="A3466" s="98" t="inlineStr">
        <is>
          <t>토너_관심사1_이미지베리_딸+bna</t>
        </is>
      </c>
      <c r="B3466" s="128" t="n">
        <v>44222</v>
      </c>
      <c r="C3466" s="88">
        <f>TEXT(B3466,"aaa")</f>
        <v/>
      </c>
      <c r="D3466" s="128" t="inlineStr">
        <is>
          <t>유튜브 디스커버리</t>
        </is>
      </c>
      <c r="E3466" s="88">
        <f>VLOOKUP(A3466,매칭테이블!B:D,3,0)</f>
        <v/>
      </c>
      <c r="F3466" s="128" t="n"/>
      <c r="G3466" s="91" t="n"/>
      <c r="J3466" s="129" t="n">
        <v>61989</v>
      </c>
    </row>
    <row r="3467" customFormat="1" s="94">
      <c r="A3467" s="98" t="inlineStr">
        <is>
          <t>디스커버리_소히방2</t>
        </is>
      </c>
      <c r="B3467" s="128" t="n">
        <v>44222</v>
      </c>
      <c r="C3467" s="88">
        <f>TEXT(B3467,"aaa")</f>
        <v/>
      </c>
      <c r="D3467" s="128" t="inlineStr">
        <is>
          <t>유튜브 디스커버리</t>
        </is>
      </c>
      <c r="E3467" s="88">
        <f>VLOOKUP(A3467,매칭테이블!B:D,3,0)</f>
        <v/>
      </c>
      <c r="F3467" s="128" t="n"/>
      <c r="G3467" s="91" t="n"/>
      <c r="J3467" s="129" t="n">
        <v>68255</v>
      </c>
    </row>
    <row r="3468" customFormat="1" s="94">
      <c r="A3468" s="98" t="inlineStr">
        <is>
          <t>토너_구매의도만_동글2</t>
        </is>
      </c>
      <c r="B3468" s="128" t="n">
        <v>44222</v>
      </c>
      <c r="C3468" s="88">
        <f>TEXT(B3468,"aaa")</f>
        <v/>
      </c>
      <c r="D3468" s="128" t="inlineStr">
        <is>
          <t>유튜브 디스커버리</t>
        </is>
      </c>
      <c r="E3468" s="88">
        <f>VLOOKUP(A3468,매칭테이블!B:D,3,0)</f>
        <v/>
      </c>
      <c r="F3468" s="128" t="n"/>
      <c r="G3468" s="91" t="n"/>
      <c r="J3468" s="129" t="n">
        <v>48943</v>
      </c>
    </row>
    <row r="3469" customFormat="1" s="94">
      <c r="A3469" s="98" t="inlineStr">
        <is>
          <t>디스커버리_케이린</t>
        </is>
      </c>
      <c r="B3469" s="128" t="n">
        <v>44222</v>
      </c>
      <c r="C3469" s="88">
        <f>TEXT(B3469,"aaa")</f>
        <v/>
      </c>
      <c r="D3469" s="128" t="inlineStr">
        <is>
          <t>유튜브 디스커버리</t>
        </is>
      </c>
      <c r="E3469" s="88">
        <f>VLOOKUP(A3469,매칭테이블!B:D,3,0)</f>
        <v/>
      </c>
      <c r="F3469" s="128" t="n"/>
      <c r="G3469" s="91" t="n"/>
      <c r="J3469" s="129" t="n">
        <v>26425</v>
      </c>
    </row>
    <row r="3470" customFormat="1" s="94">
      <c r="A3470" s="98" t="inlineStr">
        <is>
          <t>디스커버리_미닝님_4554알수없음</t>
        </is>
      </c>
      <c r="B3470" s="128" t="n">
        <v>44222</v>
      </c>
      <c r="C3470" s="88">
        <f>TEXT(B3470,"aaa")</f>
        <v/>
      </c>
      <c r="D3470" s="128" t="inlineStr">
        <is>
          <t>유튜브 디스커버리</t>
        </is>
      </c>
      <c r="E3470" s="88">
        <f>VLOOKUP(A3470,매칭테이블!B:D,3,0)</f>
        <v/>
      </c>
      <c r="F3470" s="128" t="n"/>
      <c r="G3470" s="91" t="n"/>
      <c r="J3470" s="129" t="n">
        <v>162112</v>
      </c>
    </row>
    <row r="3471" customFormat="1" s="94">
      <c r="A3471" s="98" t="inlineStr">
        <is>
          <t>인스트림_키워드_토너_집콕</t>
        </is>
      </c>
      <c r="B3471" s="128" t="n">
        <v>44222</v>
      </c>
      <c r="C3471" s="88">
        <f>TEXT(B3471,"aaa")</f>
        <v/>
      </c>
      <c r="D3471" s="128" t="inlineStr">
        <is>
          <t>유튜브 디스커버리</t>
        </is>
      </c>
      <c r="E3471" s="88">
        <f>VLOOKUP(A3471,매칭테이블!B:D,3,0)</f>
        <v/>
      </c>
      <c r="F3471" s="128" t="n"/>
      <c r="G3471" s="91" t="n"/>
      <c r="J3471" s="129" t="n">
        <v>70062</v>
      </c>
    </row>
    <row r="3472" customFormat="1" s="94">
      <c r="A3472" s="98" t="inlineStr">
        <is>
          <t>동영상_디스커버리_좁쌀가시</t>
        </is>
      </c>
      <c r="B3472" s="128" t="n">
        <v>44222</v>
      </c>
      <c r="C3472" s="88">
        <f>TEXT(B3472,"aaa")</f>
        <v/>
      </c>
      <c r="D3472" s="128" t="inlineStr">
        <is>
          <t>유튜브 디스커버리</t>
        </is>
      </c>
      <c r="E3472" s="88">
        <f>VLOOKUP(A3472,매칭테이블!B:D,3,0)</f>
        <v/>
      </c>
      <c r="F3472" s="128" t="n"/>
      <c r="G3472" s="91" t="n"/>
      <c r="J3472" s="129" t="n">
        <v>1417</v>
      </c>
    </row>
    <row r="3473" customFormat="1" s="94">
      <c r="A3473" s="98" t="inlineStr">
        <is>
          <t>토너_관심사1_엄마잘컨</t>
        </is>
      </c>
      <c r="B3473" s="128" t="n">
        <v>44222</v>
      </c>
      <c r="C3473" s="88">
        <f>TEXT(B3473,"aaa")</f>
        <v/>
      </c>
      <c r="D3473" s="128" t="inlineStr">
        <is>
          <t>유튜브 디스커버리</t>
        </is>
      </c>
      <c r="E3473" s="88">
        <f>VLOOKUP(A3473,매칭테이블!B:D,3,0)</f>
        <v/>
      </c>
      <c r="F3473" s="128" t="n"/>
      <c r="G3473" s="91" t="n"/>
      <c r="J3473" s="129" t="n">
        <v>480132</v>
      </c>
    </row>
    <row r="3474" customFormat="1" s="94">
      <c r="A3474" s="99" t="inlineStr">
        <is>
          <t>전환_토너패드</t>
        </is>
      </c>
      <c r="B3474" s="128" t="n">
        <v>44223</v>
      </c>
      <c r="C3474" s="88">
        <f>TEXT(B3474,"aaa")</f>
        <v/>
      </c>
      <c r="D3474" s="128" t="inlineStr">
        <is>
          <t>페이스북/인스타그램</t>
        </is>
      </c>
      <c r="E3474" s="88">
        <f>VLOOKUP(A3474,매칭테이블!B:D,3,0)</f>
        <v/>
      </c>
      <c r="F3474" s="128" t="n"/>
      <c r="G3474" s="91" t="n"/>
      <c r="J3474" s="129" t="n">
        <v>482361</v>
      </c>
    </row>
    <row r="3475" customFormat="1" s="94">
      <c r="A3475" s="99" t="inlineStr">
        <is>
          <t>도달_랄라블라</t>
        </is>
      </c>
      <c r="B3475" s="128" t="n">
        <v>44223</v>
      </c>
      <c r="C3475" s="88">
        <f>TEXT(B3475,"aaa")</f>
        <v/>
      </c>
      <c r="D3475" s="128" t="inlineStr">
        <is>
          <t>페이스북/인스타그램</t>
        </is>
      </c>
      <c r="E3475" s="88">
        <f>VLOOKUP(A3475,매칭테이블!B:D,3,0)</f>
        <v/>
      </c>
      <c r="F3475" s="128" t="n"/>
      <c r="G3475" s="91" t="n"/>
      <c r="J3475" s="129" t="n">
        <v>29657</v>
      </c>
    </row>
    <row r="3476" customFormat="1" s="94">
      <c r="A3476" s="99" t="inlineStr">
        <is>
          <t>전환</t>
        </is>
      </c>
      <c r="B3476" s="128" t="n">
        <v>44223</v>
      </c>
      <c r="C3476" s="88">
        <f>TEXT(B3476,"aaa")</f>
        <v/>
      </c>
      <c r="D3476" s="128" t="inlineStr">
        <is>
          <t>페이스북/인스타그램</t>
        </is>
      </c>
      <c r="E3476" s="88">
        <f>VLOOKUP(A3476,매칭테이블!B:D,3,0)</f>
        <v/>
      </c>
      <c r="F3476" s="128" t="n"/>
      <c r="G3476" s="91" t="n"/>
      <c r="J3476" s="129" t="n">
        <v>847301</v>
      </c>
    </row>
    <row r="3477" customFormat="1" s="94">
      <c r="A3477" s="98" t="inlineStr">
        <is>
          <t>T_토너_테스트</t>
        </is>
      </c>
      <c r="B3477" s="128" t="n">
        <v>44223</v>
      </c>
      <c r="C3477" s="88">
        <f>TEXT(B3477,"aaa")</f>
        <v/>
      </c>
      <c r="D3477" s="128" t="inlineStr">
        <is>
          <t>네이버 GFA</t>
        </is>
      </c>
      <c r="E3477" s="88">
        <f>VLOOKUP(A3477,매칭테이블!B:D,3,0)</f>
        <v/>
      </c>
      <c r="F3477" s="128" t="n"/>
      <c r="G3477" s="91" t="n"/>
      <c r="J3477" s="129" t="n">
        <v>49696.36363636363</v>
      </c>
    </row>
    <row r="3478" customFormat="1" s="94">
      <c r="A3478" s="98" t="inlineStr">
        <is>
          <t>아누아_77%패드_청소년관심사_메인</t>
        </is>
      </c>
      <c r="B3478" s="128" t="n">
        <v>44223</v>
      </c>
      <c r="C3478" s="88">
        <f>TEXT(B3478,"aaa")</f>
        <v/>
      </c>
      <c r="D3478" s="128" t="inlineStr">
        <is>
          <t>네이버 GFA</t>
        </is>
      </c>
      <c r="E3478" s="88">
        <f>VLOOKUP(A3478,매칭테이블!B:D,3,0)</f>
        <v/>
      </c>
      <c r="F3478" s="128" t="n"/>
      <c r="G3478" s="91" t="n"/>
      <c r="J3478" s="129" t="n">
        <v>570630.9090909091</v>
      </c>
    </row>
    <row r="3479" customFormat="1" s="94">
      <c r="A3479" s="98" t="inlineStr">
        <is>
          <t>T_아누아_패드_메인</t>
        </is>
      </c>
      <c r="B3479" s="128" t="n">
        <v>44223</v>
      </c>
      <c r="C3479" s="88">
        <f>TEXT(B3479,"aaa")</f>
        <v/>
      </c>
      <c r="D3479" s="128" t="inlineStr">
        <is>
          <t>네이버 GFA</t>
        </is>
      </c>
      <c r="E3479" s="88">
        <f>VLOOKUP(A3479,매칭테이블!B:D,3,0)</f>
        <v/>
      </c>
      <c r="F3479" s="128" t="n"/>
      <c r="G3479" s="91" t="n"/>
      <c r="J3479" s="129" t="n">
        <v>1720624.545454545</v>
      </c>
    </row>
    <row r="3480" customFormat="1" s="94">
      <c r="A3480" s="98" t="inlineStr">
        <is>
          <t>토너_메인_기존소재</t>
        </is>
      </c>
      <c r="B3480" s="128" t="n">
        <v>44223</v>
      </c>
      <c r="C3480" s="88">
        <f>TEXT(B3480,"aaa")</f>
        <v/>
      </c>
      <c r="D3480" s="128" t="inlineStr">
        <is>
          <t>네이버 GFA</t>
        </is>
      </c>
      <c r="E3480" s="88">
        <f>VLOOKUP(A3480,매칭테이블!B:D,3,0)</f>
        <v/>
      </c>
      <c r="F3480" s="128" t="n"/>
      <c r="G3480" s="91" t="n"/>
      <c r="J3480" s="129" t="n">
        <v>867085.4545454545</v>
      </c>
    </row>
    <row r="3481" customFormat="1" s="94">
      <c r="A3481" s="98" t="inlineStr">
        <is>
          <t>아누아_쇼핑M</t>
        </is>
      </c>
      <c r="B3481" s="128" t="n">
        <v>44223</v>
      </c>
      <c r="C3481" s="88">
        <f>TEXT(B3481,"aaa")</f>
        <v/>
      </c>
      <c r="D3481" s="128" t="inlineStr">
        <is>
          <t>네이버 쇼핑검색</t>
        </is>
      </c>
      <c r="E3481" s="88" t="n"/>
      <c r="F3481" s="128" t="n"/>
      <c r="G3481" s="91" t="n"/>
      <c r="J3481" s="129" t="n">
        <v>45339.99999999999</v>
      </c>
    </row>
    <row r="3482" customFormat="1" s="94">
      <c r="A3482" s="98" t="inlineStr">
        <is>
          <t>아누아_쇼핑PC</t>
        </is>
      </c>
      <c r="B3482" s="128" t="n">
        <v>44223</v>
      </c>
      <c r="C3482" s="88">
        <f>TEXT(B3482,"aaa")</f>
        <v/>
      </c>
      <c r="D3482" s="128" t="inlineStr">
        <is>
          <t>네이버 쇼핑검색</t>
        </is>
      </c>
      <c r="E3482" s="88" t="n"/>
      <c r="F3482" s="128" t="n"/>
      <c r="G3482" s="91" t="n"/>
      <c r="J3482" s="129" t="n">
        <v>4530</v>
      </c>
    </row>
    <row r="3483" customFormat="1" s="94">
      <c r="A3483" s="98" t="inlineStr">
        <is>
          <t>아누아_쇼핑박스</t>
        </is>
      </c>
      <c r="B3483" s="128" t="n">
        <v>44223</v>
      </c>
      <c r="C3483" s="88">
        <f>TEXT(B3483,"aaa")</f>
        <v/>
      </c>
      <c r="D3483" s="128" t="inlineStr">
        <is>
          <t>네이버 쇼핑박스</t>
        </is>
      </c>
      <c r="E3483" s="88">
        <f>VLOOKUP(A3483,매칭테이블!B:D,3,0)</f>
        <v/>
      </c>
      <c r="F3483" s="128" t="n"/>
      <c r="G3483" s="91" t="n"/>
      <c r="J3483" s="129" t="n">
        <v>649350.64</v>
      </c>
    </row>
    <row r="3484" customFormat="1" s="94">
      <c r="A3484" s="98" t="inlineStr">
        <is>
          <t>아누아_비즈보드_리타게팅</t>
        </is>
      </c>
      <c r="B3484" s="128" t="n">
        <v>44223</v>
      </c>
      <c r="C3484" s="88">
        <f>TEXT(B3484,"aaa")</f>
        <v/>
      </c>
      <c r="D3484" s="128" t="inlineStr">
        <is>
          <t>카카오광고</t>
        </is>
      </c>
      <c r="E3484" s="88">
        <f>VLOOKUP(A3484,매칭테이블!B:D,3,0)</f>
        <v/>
      </c>
      <c r="F3484" s="128" t="n"/>
      <c r="G3484" s="91" t="n"/>
      <c r="J3484" s="129" t="n">
        <v>819.9999999999999</v>
      </c>
    </row>
    <row r="3485" customFormat="1" s="94">
      <c r="A3485" s="98" t="inlineStr">
        <is>
          <t>아누아_토너_관심사1_초4소재_1200x628</t>
        </is>
      </c>
      <c r="B3485" s="128" t="n">
        <v>44223</v>
      </c>
      <c r="C3485" s="88">
        <f>TEXT(B3485,"aaa")</f>
        <v/>
      </c>
      <c r="D3485" s="128" t="inlineStr">
        <is>
          <t>카카오광고</t>
        </is>
      </c>
      <c r="E3485" s="88">
        <f>VLOOKUP(A3485,매칭테이블!B:D,3,0)</f>
        <v/>
      </c>
      <c r="F3485" s="128" t="n"/>
      <c r="G3485" s="91" t="n"/>
      <c r="J3485" s="129" t="n">
        <v>187960</v>
      </c>
    </row>
    <row r="3486" customFormat="1" s="94">
      <c r="A3486" s="98" t="inlineStr">
        <is>
          <t>디스커버리_천서영님_썸네일테스트 #3</t>
        </is>
      </c>
      <c r="B3486" s="128" t="n">
        <v>44223</v>
      </c>
      <c r="C3486" s="88">
        <f>TEXT(B3486,"aaa")</f>
        <v/>
      </c>
      <c r="D3486" s="128" t="inlineStr">
        <is>
          <t>유튜브 디스커버리</t>
        </is>
      </c>
      <c r="E3486" s="88">
        <f>VLOOKUP(A3486,매칭테이블!B:D,3,0)</f>
        <v/>
      </c>
      <c r="F3486" s="128" t="n"/>
      <c r="G3486" s="91" t="n"/>
      <c r="J3486" s="129" t="n">
        <v>610297</v>
      </c>
    </row>
    <row r="3487" customFormat="1" s="94">
      <c r="A3487" s="98" t="inlineStr">
        <is>
          <t>토너_관심사1_엄마소재베리</t>
        </is>
      </c>
      <c r="B3487" s="128" t="n">
        <v>44223</v>
      </c>
      <c r="C3487" s="88">
        <f>TEXT(B3487,"aaa")</f>
        <v/>
      </c>
      <c r="D3487" s="128" t="inlineStr">
        <is>
          <t>유튜브 디스커버리</t>
        </is>
      </c>
      <c r="E3487" s="88">
        <f>VLOOKUP(A3487,매칭테이블!B:D,3,0)</f>
        <v/>
      </c>
      <c r="F3487" s="128" t="n"/>
      <c r="G3487" s="91" t="n"/>
      <c r="J3487" s="129" t="n">
        <v>137314</v>
      </c>
    </row>
    <row r="3488" customFormat="1" s="94">
      <c r="A3488" s="98" t="inlineStr">
        <is>
          <t>디스커버리_관심사세팅_후기</t>
        </is>
      </c>
      <c r="B3488" s="128" t="n">
        <v>44223</v>
      </c>
      <c r="C3488" s="88">
        <f>TEXT(B3488,"aaa")</f>
        <v/>
      </c>
      <c r="D3488" s="128" t="inlineStr">
        <is>
          <t>유튜브 디스커버리</t>
        </is>
      </c>
      <c r="E3488" s="88">
        <f>VLOOKUP(A3488,매칭테이블!B:D,3,0)</f>
        <v/>
      </c>
      <c r="F3488" s="128" t="n"/>
      <c r="G3488" s="91" t="n"/>
      <c r="J3488" s="129" t="n">
        <v>40764</v>
      </c>
    </row>
    <row r="3489" customFormat="1" s="94">
      <c r="A3489" s="98" t="inlineStr">
        <is>
          <t>디스커버리_DP_패드관심사1_소재1(아들)</t>
        </is>
      </c>
      <c r="B3489" s="128" t="n">
        <v>44223</v>
      </c>
      <c r="C3489" s="88">
        <f>TEXT(B3489,"aaa")</f>
        <v/>
      </c>
      <c r="D3489" s="128" t="inlineStr">
        <is>
          <t>유튜브 디스커버리</t>
        </is>
      </c>
      <c r="E3489" s="88">
        <f>VLOOKUP(A3489,매칭테이블!B:D,3,0)</f>
        <v/>
      </c>
      <c r="F3489" s="128" t="n"/>
      <c r="G3489" s="91" t="n"/>
      <c r="J3489" s="129" t="n">
        <v>1092</v>
      </c>
    </row>
    <row r="3490" customFormat="1" s="94">
      <c r="A3490" s="98" t="inlineStr">
        <is>
          <t>디스커버리_채우</t>
        </is>
      </c>
      <c r="B3490" s="128" t="n">
        <v>44223</v>
      </c>
      <c r="C3490" s="88">
        <f>TEXT(B3490,"aaa")</f>
        <v/>
      </c>
      <c r="D3490" s="128" t="inlineStr">
        <is>
          <t>유튜브 디스커버리</t>
        </is>
      </c>
      <c r="E3490" s="88">
        <f>VLOOKUP(A3490,매칭테이블!B:D,3,0)</f>
        <v/>
      </c>
      <c r="F3490" s="128" t="n"/>
      <c r="G3490" s="91" t="n"/>
      <c r="J3490" s="129" t="n">
        <v>409021</v>
      </c>
    </row>
    <row r="3491" customFormat="1" s="94">
      <c r="A3491" s="98" t="inlineStr">
        <is>
          <t>디스커버리_미닝님</t>
        </is>
      </c>
      <c r="B3491" s="128" t="n">
        <v>44223</v>
      </c>
      <c r="C3491" s="88">
        <f>TEXT(B3491,"aaa")</f>
        <v/>
      </c>
      <c r="D3491" s="128" t="inlineStr">
        <is>
          <t>유튜브 디스커버리</t>
        </is>
      </c>
      <c r="E3491" s="88">
        <f>VLOOKUP(A3491,매칭테이블!B:D,3,0)</f>
        <v/>
      </c>
      <c r="F3491" s="128" t="n"/>
      <c r="G3491" s="91" t="n"/>
      <c r="J3491" s="129" t="n">
        <v>384862</v>
      </c>
    </row>
    <row r="3492" customFormat="1" s="94">
      <c r="A3492" s="98" t="inlineStr">
        <is>
          <t>인스트림_토너_집콕</t>
        </is>
      </c>
      <c r="B3492" s="128" t="n">
        <v>44223</v>
      </c>
      <c r="C3492" s="88">
        <f>TEXT(B3492,"aaa")</f>
        <v/>
      </c>
      <c r="D3492" s="128" t="inlineStr">
        <is>
          <t>유튜브 디스커버리</t>
        </is>
      </c>
      <c r="E3492" s="88">
        <f>VLOOKUP(A3492,매칭테이블!B:D,3,0)</f>
        <v/>
      </c>
      <c r="F3492" s="128" t="n"/>
      <c r="G3492" s="91" t="n"/>
      <c r="J3492" s="129" t="n">
        <v>51733</v>
      </c>
    </row>
    <row r="3493" customFormat="1" s="94">
      <c r="A3493" s="98" t="inlineStr">
        <is>
          <t>디스커버리_토너_집콕</t>
        </is>
      </c>
      <c r="B3493" s="128" t="n">
        <v>44223</v>
      </c>
      <c r="C3493" s="88">
        <f>TEXT(B3493,"aaa")</f>
        <v/>
      </c>
      <c r="D3493" s="128" t="inlineStr">
        <is>
          <t>유튜브 디스커버리</t>
        </is>
      </c>
      <c r="E3493" s="88">
        <f>VLOOKUP(A3493,매칭테이블!B:D,3,0)</f>
        <v/>
      </c>
      <c r="F3493" s="128" t="n"/>
      <c r="G3493" s="91" t="n"/>
      <c r="J3493" s="129" t="n">
        <v>1138</v>
      </c>
    </row>
    <row r="3494" customFormat="1" s="94">
      <c r="A3494" s="98" t="inlineStr">
        <is>
          <t>토너_관심사1_이미지베리</t>
        </is>
      </c>
      <c r="B3494" s="128" t="n">
        <v>44223</v>
      </c>
      <c r="C3494" s="88">
        <f>TEXT(B3494,"aaa")</f>
        <v/>
      </c>
      <c r="D3494" s="128" t="inlineStr">
        <is>
          <t>유튜브 디스커버리</t>
        </is>
      </c>
      <c r="E3494" s="88">
        <f>VLOOKUP(A3494,매칭테이블!B:D,3,0)</f>
        <v/>
      </c>
      <c r="F3494" s="128" t="n"/>
      <c r="G3494" s="91" t="n"/>
      <c r="J3494" s="129" t="n">
        <v>144562</v>
      </c>
    </row>
    <row r="3495" customFormat="1" s="94">
      <c r="A3495" s="98" t="inlineStr">
        <is>
          <t>디스커버리_빛이나</t>
        </is>
      </c>
      <c r="B3495" s="128" t="n">
        <v>44223</v>
      </c>
      <c r="C3495" s="88">
        <f>TEXT(B3495,"aaa")</f>
        <v/>
      </c>
      <c r="D3495" s="128" t="inlineStr">
        <is>
          <t>유튜브 디스커버리</t>
        </is>
      </c>
      <c r="E3495" s="88">
        <f>VLOOKUP(A3495,매칭테이블!B:D,3,0)</f>
        <v/>
      </c>
      <c r="F3495" s="128" t="n"/>
      <c r="G3495" s="91" t="n"/>
      <c r="J3495" s="129" t="n">
        <v>206975</v>
      </c>
    </row>
    <row r="3496" customFormat="1" s="94">
      <c r="A3496" s="98" t="inlineStr">
        <is>
          <t>디스커버리_소히방2</t>
        </is>
      </c>
      <c r="B3496" s="128" t="n">
        <v>44223</v>
      </c>
      <c r="C3496" s="88">
        <f>TEXT(B3496,"aaa")</f>
        <v/>
      </c>
      <c r="D3496" s="128" t="inlineStr">
        <is>
          <t>유튜브 디스커버리</t>
        </is>
      </c>
      <c r="E3496" s="88">
        <f>VLOOKUP(A3496,매칭테이블!B:D,3,0)</f>
        <v/>
      </c>
      <c r="F3496" s="128" t="n"/>
      <c r="G3496" s="91" t="n"/>
      <c r="J3496" s="129" t="n">
        <v>96409</v>
      </c>
    </row>
    <row r="3497" customFormat="1" s="94">
      <c r="A3497" s="98" t="inlineStr">
        <is>
          <t>디스커버리_미닝님_4554알수없음</t>
        </is>
      </c>
      <c r="B3497" s="128" t="n">
        <v>44223</v>
      </c>
      <c r="C3497" s="88">
        <f>TEXT(B3497,"aaa")</f>
        <v/>
      </c>
      <c r="D3497" s="128" t="inlineStr">
        <is>
          <t>유튜브 디스커버리</t>
        </is>
      </c>
      <c r="E3497" s="88">
        <f>VLOOKUP(A3497,매칭테이블!B:D,3,0)</f>
        <v/>
      </c>
      <c r="F3497" s="128" t="n"/>
      <c r="G3497" s="91" t="n"/>
      <c r="J3497" s="129" t="n">
        <v>199780</v>
      </c>
    </row>
    <row r="3498" customFormat="1" s="94">
      <c r="A3498" s="98" t="inlineStr">
        <is>
          <t>토너_논타겟_엄마잘컨</t>
        </is>
      </c>
      <c r="B3498" s="128" t="n">
        <v>44223</v>
      </c>
      <c r="C3498" s="88">
        <f>TEXT(B3498,"aaa")</f>
        <v/>
      </c>
      <c r="D3498" s="128" t="inlineStr">
        <is>
          <t>유튜브 디스커버리</t>
        </is>
      </c>
      <c r="E3498" s="88">
        <f>VLOOKUP(A3498,매칭테이블!B:D,3,0)</f>
        <v/>
      </c>
      <c r="F3498" s="128" t="n"/>
      <c r="G3498" s="91" t="n"/>
      <c r="J3498" s="129" t="n">
        <v>179</v>
      </c>
    </row>
    <row r="3499" customFormat="1" s="94">
      <c r="A3499" s="98" t="inlineStr">
        <is>
          <t>디스커버리_최모나토너편집</t>
        </is>
      </c>
      <c r="B3499" s="128" t="n">
        <v>44223</v>
      </c>
      <c r="C3499" s="88">
        <f>TEXT(B3499,"aaa")</f>
        <v/>
      </c>
      <c r="D3499" s="128" t="inlineStr">
        <is>
          <t>유튜브 디스커버리</t>
        </is>
      </c>
      <c r="E3499" s="88">
        <f>VLOOKUP(A3499,매칭테이블!B:D,3,0)</f>
        <v/>
      </c>
      <c r="F3499" s="128" t="n"/>
      <c r="G3499" s="91" t="n"/>
      <c r="J3499" s="129" t="n">
        <v>52122</v>
      </c>
    </row>
    <row r="3500" customFormat="1" s="94">
      <c r="A3500" s="98" t="inlineStr">
        <is>
          <t>인스트림_키워드_토너_집콕</t>
        </is>
      </c>
      <c r="B3500" s="128" t="n">
        <v>44223</v>
      </c>
      <c r="C3500" s="88">
        <f>TEXT(B3500,"aaa")</f>
        <v/>
      </c>
      <c r="D3500" s="128" t="inlineStr">
        <is>
          <t>유튜브 디스커버리</t>
        </is>
      </c>
      <c r="E3500" s="88">
        <f>VLOOKUP(A3500,매칭테이블!B:D,3,0)</f>
        <v/>
      </c>
      <c r="F3500" s="128" t="n"/>
      <c r="G3500" s="91" t="n"/>
      <c r="J3500" s="129" t="n">
        <v>52384</v>
      </c>
    </row>
    <row r="3501" customFormat="1" s="94">
      <c r="A3501" s="98" t="inlineStr">
        <is>
          <t>동영상_디스커버리_좁쌀가시</t>
        </is>
      </c>
      <c r="B3501" s="128" t="n">
        <v>44223</v>
      </c>
      <c r="C3501" s="88">
        <f>TEXT(B3501,"aaa")</f>
        <v/>
      </c>
      <c r="D3501" s="128" t="inlineStr">
        <is>
          <t>유튜브 디스커버리</t>
        </is>
      </c>
      <c r="E3501" s="88">
        <f>VLOOKUP(A3501,매칭테이블!B:D,3,0)</f>
        <v/>
      </c>
      <c r="F3501" s="128" t="n"/>
      <c r="G3501" s="91" t="n"/>
      <c r="J3501" s="129" t="n">
        <v>1048718</v>
      </c>
    </row>
    <row r="3502" customFormat="1" s="94">
      <c r="A3502" s="98" t="inlineStr">
        <is>
          <t>토너_관심사1_엄마잘컨</t>
        </is>
      </c>
      <c r="B3502" s="128" t="n">
        <v>44223</v>
      </c>
      <c r="C3502" s="88">
        <f>TEXT(B3502,"aaa")</f>
        <v/>
      </c>
      <c r="D3502" s="128" t="inlineStr">
        <is>
          <t>유튜브 디스커버리</t>
        </is>
      </c>
      <c r="E3502" s="88">
        <f>VLOOKUP(A3502,매칭테이블!B:D,3,0)</f>
        <v/>
      </c>
      <c r="F3502" s="128" t="n"/>
      <c r="G3502" s="91" t="n"/>
      <c r="J3502" s="129" t="n">
        <v>272079</v>
      </c>
    </row>
    <row r="3503" customFormat="1" s="94">
      <c r="A3503" s="98" t="inlineStr">
        <is>
          <t>인스트림_논타겟_토너_집콕</t>
        </is>
      </c>
      <c r="B3503" s="128" t="n">
        <v>44223</v>
      </c>
      <c r="C3503" s="88">
        <f>TEXT(B3503,"aaa")</f>
        <v/>
      </c>
      <c r="D3503" s="128" t="inlineStr">
        <is>
          <t>유튜브 디스커버리</t>
        </is>
      </c>
      <c r="E3503" s="88">
        <f>VLOOKUP(A3503,매칭테이블!B:D,3,0)</f>
        <v/>
      </c>
      <c r="F3503" s="128" t="n"/>
      <c r="G3503" s="91" t="n"/>
      <c r="J3503" s="129" t="n">
        <v>52679</v>
      </c>
    </row>
    <row r="3504" customFormat="1" s="94">
      <c r="A3504" s="98" t="inlineStr">
        <is>
          <t>토너_관심사1_이미지베리_딸+bna</t>
        </is>
      </c>
      <c r="B3504" s="128" t="n">
        <v>44223</v>
      </c>
      <c r="C3504" s="88">
        <f>TEXT(B3504,"aaa")</f>
        <v/>
      </c>
      <c r="D3504" s="128" t="inlineStr">
        <is>
          <t>유튜브 디스커버리</t>
        </is>
      </c>
      <c r="E3504" s="88">
        <f>VLOOKUP(A3504,매칭테이블!B:D,3,0)</f>
        <v/>
      </c>
      <c r="F3504" s="128" t="n"/>
      <c r="G3504" s="91" t="n"/>
      <c r="J3504" s="129" t="n">
        <v>228342</v>
      </c>
    </row>
    <row r="3505" customFormat="1" s="94">
      <c r="A3505" s="98" t="inlineStr">
        <is>
          <t>디스커버리_케이린</t>
        </is>
      </c>
      <c r="B3505" s="128" t="n">
        <v>44223</v>
      </c>
      <c r="C3505" s="88">
        <f>TEXT(B3505,"aaa")</f>
        <v/>
      </c>
      <c r="D3505" s="128" t="inlineStr">
        <is>
          <t>유튜브 디스커버리</t>
        </is>
      </c>
      <c r="E3505" s="88">
        <f>VLOOKUP(A3505,매칭테이블!B:D,3,0)</f>
        <v/>
      </c>
      <c r="F3505" s="128" t="n"/>
      <c r="G3505" s="91" t="n"/>
      <c r="J3505" s="129" t="n">
        <v>5240</v>
      </c>
    </row>
    <row r="3506" customFormat="1" s="94">
      <c r="A3506" s="98" t="inlineStr">
        <is>
          <t>디스커버리_DP_패드관심사1_소재1(딸)</t>
        </is>
      </c>
      <c r="B3506" s="128" t="n">
        <v>44223</v>
      </c>
      <c r="C3506" s="88">
        <f>TEXT(B3506,"aaa")</f>
        <v/>
      </c>
      <c r="D3506" s="128" t="inlineStr">
        <is>
          <t>유튜브 디스커버리</t>
        </is>
      </c>
      <c r="E3506" s="88">
        <f>VLOOKUP(A3506,매칭테이블!B:D,3,0)</f>
        <v/>
      </c>
      <c r="F3506" s="128" t="n"/>
      <c r="G3506" s="91" t="n"/>
      <c r="J3506" s="129" t="n">
        <v>150266</v>
      </c>
    </row>
    <row r="3507" customFormat="1" s="94">
      <c r="A3507" s="98" t="inlineStr">
        <is>
          <t>토너_구매의도만_동글2</t>
        </is>
      </c>
      <c r="B3507" s="128" t="n">
        <v>44223</v>
      </c>
      <c r="C3507" s="88">
        <f>TEXT(B3507,"aaa")</f>
        <v/>
      </c>
      <c r="D3507" s="128" t="inlineStr">
        <is>
          <t>유튜브 디스커버리</t>
        </is>
      </c>
      <c r="E3507" s="88">
        <f>VLOOKUP(A3507,매칭테이블!B:D,3,0)</f>
        <v/>
      </c>
      <c r="F3507" s="128" t="n"/>
      <c r="G3507" s="91" t="n"/>
      <c r="J3507" s="129" t="n">
        <v>65553</v>
      </c>
    </row>
    <row r="3508" customFormat="1" s="94">
      <c r="A3508" s="98" t="inlineStr">
        <is>
          <t>전환_토너패드</t>
        </is>
      </c>
      <c r="B3508" s="128" t="n">
        <v>44224</v>
      </c>
      <c r="C3508" s="88">
        <f>TEXT(B3508,"aaa")</f>
        <v/>
      </c>
      <c r="D3508" s="128" t="inlineStr">
        <is>
          <t>페이스북/인스타그램</t>
        </is>
      </c>
      <c r="E3508" s="88">
        <f>VLOOKUP(A3508,매칭테이블!B:D,3,0)</f>
        <v/>
      </c>
      <c r="F3508" s="128" t="n"/>
      <c r="G3508" s="91" t="n"/>
      <c r="J3508" s="129" t="n">
        <v>484946</v>
      </c>
    </row>
    <row r="3509" customFormat="1" s="94">
      <c r="A3509" s="98" t="inlineStr">
        <is>
          <t>도달_랄라블라</t>
        </is>
      </c>
      <c r="B3509" s="128" t="n">
        <v>44224</v>
      </c>
      <c r="C3509" s="88">
        <f>TEXT(B3509,"aaa")</f>
        <v/>
      </c>
      <c r="D3509" s="128" t="inlineStr">
        <is>
          <t>페이스북/인스타그램</t>
        </is>
      </c>
      <c r="E3509" s="88">
        <f>VLOOKUP(A3509,매칭테이블!B:D,3,0)</f>
        <v/>
      </c>
      <c r="F3509" s="128" t="n"/>
      <c r="G3509" s="91" t="n"/>
      <c r="J3509" s="129" t="n">
        <v>30293</v>
      </c>
    </row>
    <row r="3510" customFormat="1" s="94">
      <c r="A3510" s="98" t="inlineStr">
        <is>
          <t>전환</t>
        </is>
      </c>
      <c r="B3510" s="128" t="n">
        <v>44224</v>
      </c>
      <c r="C3510" s="88">
        <f>TEXT(B3510,"aaa")</f>
        <v/>
      </c>
      <c r="D3510" s="128" t="inlineStr">
        <is>
          <t>페이스북/인스타그램</t>
        </is>
      </c>
      <c r="E3510" s="88">
        <f>VLOOKUP(A3510,매칭테이블!B:D,3,0)</f>
        <v/>
      </c>
      <c r="F3510" s="128" t="n"/>
      <c r="G3510" s="91" t="n"/>
      <c r="J3510" s="129" t="n">
        <v>1328496</v>
      </c>
    </row>
    <row r="3511" customFormat="1" s="94">
      <c r="A3511" s="98" t="inlineStr">
        <is>
          <t>T_토너_테스트</t>
        </is>
      </c>
      <c r="B3511" s="128" t="n">
        <v>44224</v>
      </c>
      <c r="C3511" s="88">
        <f>TEXT(B3511,"aaa")</f>
        <v/>
      </c>
      <c r="D3511" s="128" t="inlineStr">
        <is>
          <t>네이버 GFA</t>
        </is>
      </c>
      <c r="E3511" s="88">
        <f>VLOOKUP(A3511,매칭테이블!B:D,3,0)</f>
        <v/>
      </c>
      <c r="F3511" s="128" t="n"/>
      <c r="G3511" s="91" t="n"/>
      <c r="J3511" s="129" t="n">
        <v>67492.72727272726</v>
      </c>
    </row>
    <row r="3512" customFormat="1" s="94">
      <c r="A3512" s="98" t="inlineStr">
        <is>
          <t>아누아_77%패드_청소년관심사_메인</t>
        </is>
      </c>
      <c r="B3512" s="128" t="n">
        <v>44224</v>
      </c>
      <c r="C3512" s="88">
        <f>TEXT(B3512,"aaa")</f>
        <v/>
      </c>
      <c r="D3512" s="128" t="inlineStr">
        <is>
          <t>네이버 GFA</t>
        </is>
      </c>
      <c r="E3512" s="88">
        <f>VLOOKUP(A3512,매칭테이블!B:D,3,0)</f>
        <v/>
      </c>
      <c r="F3512" s="128" t="n"/>
      <c r="G3512" s="91" t="n"/>
      <c r="J3512" s="129" t="n">
        <v>425816.3636363636</v>
      </c>
    </row>
    <row r="3513" customFormat="1" s="94">
      <c r="A3513" s="98" t="inlineStr">
        <is>
          <t>T_아누아_패드_메인</t>
        </is>
      </c>
      <c r="B3513" s="128" t="n">
        <v>44224</v>
      </c>
      <c r="C3513" s="88">
        <f>TEXT(B3513,"aaa")</f>
        <v/>
      </c>
      <c r="D3513" s="128" t="inlineStr">
        <is>
          <t>네이버 GFA</t>
        </is>
      </c>
      <c r="E3513" s="88">
        <f>VLOOKUP(A3513,매칭테이블!B:D,3,0)</f>
        <v/>
      </c>
      <c r="F3513" s="128" t="n"/>
      <c r="G3513" s="91" t="n"/>
      <c r="J3513" s="129" t="n">
        <v>1354725.454545454</v>
      </c>
    </row>
    <row r="3514" customFormat="1" s="94">
      <c r="A3514" s="98" t="inlineStr">
        <is>
          <t>토너_메인_기존소재</t>
        </is>
      </c>
      <c r="B3514" s="128" t="n">
        <v>44224</v>
      </c>
      <c r="C3514" s="88">
        <f>TEXT(B3514,"aaa")</f>
        <v/>
      </c>
      <c r="D3514" s="128" t="inlineStr">
        <is>
          <t>네이버 GFA</t>
        </is>
      </c>
      <c r="E3514" s="88">
        <f>VLOOKUP(A3514,매칭테이블!B:D,3,0)</f>
        <v/>
      </c>
      <c r="F3514" s="128" t="n"/>
      <c r="G3514" s="91" t="n"/>
      <c r="J3514" s="129" t="n">
        <v>628834.5454545454</v>
      </c>
    </row>
    <row r="3515" customFormat="1" s="94">
      <c r="A3515" s="98" t="inlineStr">
        <is>
          <t>아누아_쇼핑M</t>
        </is>
      </c>
      <c r="B3515" s="128" t="n">
        <v>44224</v>
      </c>
      <c r="C3515" s="88">
        <f>TEXT(B3515,"aaa")</f>
        <v/>
      </c>
      <c r="D3515" s="128" t="inlineStr">
        <is>
          <t>네이버 쇼핑검색</t>
        </is>
      </c>
      <c r="E3515" s="88" t="n"/>
      <c r="F3515" s="128" t="n"/>
      <c r="G3515" s="91" t="n"/>
      <c r="J3515" s="129" t="n">
        <v>56799.99999999999</v>
      </c>
    </row>
    <row r="3516" customFormat="1" s="94">
      <c r="A3516" s="98" t="inlineStr">
        <is>
          <t>아누아_쇼핑PC</t>
        </is>
      </c>
      <c r="B3516" s="128" t="n">
        <v>44224</v>
      </c>
      <c r="C3516" s="88">
        <f>TEXT(B3516,"aaa")</f>
        <v/>
      </c>
      <c r="D3516" s="128" t="inlineStr">
        <is>
          <t>네이버 쇼핑검색</t>
        </is>
      </c>
      <c r="E3516" s="88" t="n"/>
      <c r="F3516" s="128" t="n"/>
      <c r="G3516" s="91" t="n"/>
      <c r="J3516" s="129" t="n">
        <v>6139.999999999999</v>
      </c>
    </row>
    <row r="3517" customFormat="1" s="94">
      <c r="A3517" s="98" t="inlineStr">
        <is>
          <t>아누아_쇼핑박스</t>
        </is>
      </c>
      <c r="B3517" s="128" t="n">
        <v>44224</v>
      </c>
      <c r="C3517" s="88">
        <f>TEXT(B3517,"aaa")</f>
        <v/>
      </c>
      <c r="D3517" s="128" t="inlineStr">
        <is>
          <t>네이버 쇼핑박스</t>
        </is>
      </c>
      <c r="E3517" s="88">
        <f>VLOOKUP(A3517,매칭테이블!B:D,3,0)</f>
        <v/>
      </c>
      <c r="F3517" s="128" t="n"/>
      <c r="G3517" s="91" t="n"/>
      <c r="J3517" s="129" t="n">
        <v>649350.64</v>
      </c>
    </row>
    <row r="3518" customFormat="1" s="94">
      <c r="A3518" s="98" t="inlineStr">
        <is>
          <t>아누아_비즈보드_리타게팅</t>
        </is>
      </c>
      <c r="B3518" s="128" t="n">
        <v>44224</v>
      </c>
      <c r="C3518" s="88">
        <f>TEXT(B3518,"aaa")</f>
        <v/>
      </c>
      <c r="D3518" s="128" t="inlineStr">
        <is>
          <t>카카오광고</t>
        </is>
      </c>
      <c r="E3518" s="88">
        <f>VLOOKUP(A3518,매칭테이블!B:D,3,0)</f>
        <v/>
      </c>
      <c r="F3518" s="128" t="n"/>
      <c r="G3518" s="91" t="n"/>
      <c r="J3518" s="129" t="n">
        <v>909.9999999999999</v>
      </c>
    </row>
    <row r="3519" customFormat="1" s="94">
      <c r="A3519" s="98" t="inlineStr">
        <is>
          <t>아누아_토너_관심사1_초4소재_1200x628</t>
        </is>
      </c>
      <c r="B3519" s="128" t="n">
        <v>44224</v>
      </c>
      <c r="C3519" s="88">
        <f>TEXT(B3519,"aaa")</f>
        <v/>
      </c>
      <c r="D3519" s="128" t="inlineStr">
        <is>
          <t>카카오광고</t>
        </is>
      </c>
      <c r="E3519" s="88">
        <f>VLOOKUP(A3519,매칭테이블!B:D,3,0)</f>
        <v/>
      </c>
      <c r="F3519" s="128" t="n"/>
      <c r="G3519" s="91" t="n"/>
      <c r="J3519" s="129" t="n">
        <v>225570</v>
      </c>
    </row>
    <row r="3520" customFormat="1" s="94">
      <c r="A3520" s="98" t="inlineStr">
        <is>
          <t>디스커버리_DP_패드관심사1_소재1(아들)</t>
        </is>
      </c>
      <c r="B3520" s="128" t="n">
        <v>44224</v>
      </c>
      <c r="C3520" s="88">
        <f>TEXT(B3520,"aaa")</f>
        <v/>
      </c>
      <c r="D3520" s="128" t="inlineStr">
        <is>
          <t>유튜브 디스커버리</t>
        </is>
      </c>
      <c r="E3520" s="88">
        <f>VLOOKUP(A3520,매칭테이블!B:D,3,0)</f>
        <v/>
      </c>
      <c r="F3520" s="128" t="n"/>
      <c r="G3520" s="91" t="n"/>
      <c r="J3520" s="129" t="n">
        <v>21591</v>
      </c>
    </row>
    <row r="3521" customFormat="1" s="94">
      <c r="A3521" s="98" t="inlineStr">
        <is>
          <t>디스커버리_미닝님</t>
        </is>
      </c>
      <c r="B3521" s="128" t="n">
        <v>44224</v>
      </c>
      <c r="C3521" s="88">
        <f>TEXT(B3521,"aaa")</f>
        <v/>
      </c>
      <c r="D3521" s="128" t="inlineStr">
        <is>
          <t>유튜브 디스커버리</t>
        </is>
      </c>
      <c r="E3521" s="88">
        <f>VLOOKUP(A3521,매칭테이블!B:D,3,0)</f>
        <v/>
      </c>
      <c r="F3521" s="128" t="n"/>
      <c r="G3521" s="91" t="n"/>
      <c r="J3521" s="129" t="n">
        <v>376541</v>
      </c>
    </row>
    <row r="3522" customFormat="1" s="94">
      <c r="A3522" s="98" t="inlineStr">
        <is>
          <t>디스커버리_채우</t>
        </is>
      </c>
      <c r="B3522" s="128" t="n">
        <v>44224</v>
      </c>
      <c r="C3522" s="88">
        <f>TEXT(B3522,"aaa")</f>
        <v/>
      </c>
      <c r="D3522" s="128" t="inlineStr">
        <is>
          <t>유튜브 디스커버리</t>
        </is>
      </c>
      <c r="E3522" s="88">
        <f>VLOOKUP(A3522,매칭테이블!B:D,3,0)</f>
        <v/>
      </c>
      <c r="F3522" s="128" t="n"/>
      <c r="G3522" s="91" t="n"/>
      <c r="J3522" s="129" t="n">
        <v>405917</v>
      </c>
    </row>
    <row r="3523" customFormat="1" s="94">
      <c r="A3523" s="98" t="inlineStr">
        <is>
          <t>토너_관심사1_엄마소재베리</t>
        </is>
      </c>
      <c r="B3523" s="128" t="n">
        <v>44224</v>
      </c>
      <c r="C3523" s="88">
        <f>TEXT(B3523,"aaa")</f>
        <v/>
      </c>
      <c r="D3523" s="128" t="inlineStr">
        <is>
          <t>유튜브 디스커버리</t>
        </is>
      </c>
      <c r="E3523" s="88">
        <f>VLOOKUP(A3523,매칭테이블!B:D,3,0)</f>
        <v/>
      </c>
      <c r="F3523" s="128" t="n"/>
      <c r="G3523" s="91" t="n"/>
      <c r="J3523" s="129" t="n">
        <v>26573</v>
      </c>
    </row>
    <row r="3524" customFormat="1" s="94">
      <c r="A3524" s="98" t="inlineStr">
        <is>
          <t>인스트림_토너_집콕</t>
        </is>
      </c>
      <c r="B3524" s="128" t="n">
        <v>44224</v>
      </c>
      <c r="C3524" s="88">
        <f>TEXT(B3524,"aaa")</f>
        <v/>
      </c>
      <c r="D3524" s="128" t="inlineStr">
        <is>
          <t>유튜브 디스커버리</t>
        </is>
      </c>
      <c r="E3524" s="88">
        <f>VLOOKUP(A3524,매칭테이블!B:D,3,0)</f>
        <v/>
      </c>
      <c r="F3524" s="128" t="n"/>
      <c r="G3524" s="91" t="n"/>
      <c r="J3524" s="129" t="n">
        <v>107037</v>
      </c>
    </row>
    <row r="3525" customFormat="1" s="94">
      <c r="A3525" s="98" t="inlineStr">
        <is>
          <t>디스커버리_천서영님_썸네일테스트 #3</t>
        </is>
      </c>
      <c r="B3525" s="128" t="n">
        <v>44224</v>
      </c>
      <c r="C3525" s="88">
        <f>TEXT(B3525,"aaa")</f>
        <v/>
      </c>
      <c r="D3525" s="128" t="inlineStr">
        <is>
          <t>유튜브 디스커버리</t>
        </is>
      </c>
      <c r="E3525" s="88">
        <f>VLOOKUP(A3525,매칭테이블!B:D,3,0)</f>
        <v/>
      </c>
      <c r="F3525" s="128" t="n"/>
      <c r="G3525" s="91" t="n"/>
      <c r="J3525" s="129" t="n">
        <v>583333</v>
      </c>
    </row>
    <row r="3526" customFormat="1" s="94">
      <c r="A3526" s="98" t="inlineStr">
        <is>
          <t>동영상_반응형_좁쌀가시</t>
        </is>
      </c>
      <c r="B3526" s="128" t="n">
        <v>44224</v>
      </c>
      <c r="C3526" s="88">
        <f>TEXT(B3526,"aaa")</f>
        <v/>
      </c>
      <c r="D3526" s="128" t="inlineStr">
        <is>
          <t>유튜브 디스커버리</t>
        </is>
      </c>
      <c r="E3526" s="88">
        <f>VLOOKUP(A3526,매칭테이블!B:D,3,0)</f>
        <v/>
      </c>
      <c r="F3526" s="128" t="n"/>
      <c r="G3526" s="91" t="n"/>
      <c r="J3526" s="129" t="n">
        <v>41926</v>
      </c>
    </row>
    <row r="3527" customFormat="1" s="94">
      <c r="A3527" s="98" t="inlineStr">
        <is>
          <t>토너_구매의도만_동글2</t>
        </is>
      </c>
      <c r="B3527" s="128" t="n">
        <v>44224</v>
      </c>
      <c r="C3527" s="88">
        <f>TEXT(B3527,"aaa")</f>
        <v/>
      </c>
      <c r="D3527" s="128" t="inlineStr">
        <is>
          <t>유튜브 디스커버리</t>
        </is>
      </c>
      <c r="E3527" s="88">
        <f>VLOOKUP(A3527,매칭테이블!B:D,3,0)</f>
        <v/>
      </c>
      <c r="F3527" s="128" t="n"/>
      <c r="G3527" s="91" t="n"/>
      <c r="J3527" s="129" t="n">
        <v>7866</v>
      </c>
    </row>
    <row r="3528" customFormat="1" s="94">
      <c r="A3528" s="98" t="inlineStr">
        <is>
          <t>인스트림_논타겟_토너_집콕</t>
        </is>
      </c>
      <c r="B3528" s="128" t="n">
        <v>44224</v>
      </c>
      <c r="C3528" s="88">
        <f>TEXT(B3528,"aaa")</f>
        <v/>
      </c>
      <c r="D3528" s="128" t="inlineStr">
        <is>
          <t>유튜브 디스커버리</t>
        </is>
      </c>
      <c r="E3528" s="88">
        <f>VLOOKUP(A3528,매칭테이블!B:D,3,0)</f>
        <v/>
      </c>
      <c r="F3528" s="128" t="n"/>
      <c r="G3528" s="91" t="n"/>
      <c r="J3528" s="129" t="n">
        <v>17885</v>
      </c>
    </row>
    <row r="3529" customFormat="1" s="94">
      <c r="A3529" s="98" t="inlineStr">
        <is>
          <t>디스커버리_DP_패드관심사1_소재1(딸)</t>
        </is>
      </c>
      <c r="B3529" s="128" t="n">
        <v>44224</v>
      </c>
      <c r="C3529" s="88">
        <f>TEXT(B3529,"aaa")</f>
        <v/>
      </c>
      <c r="D3529" s="128" t="inlineStr">
        <is>
          <t>유튜브 디스커버리</t>
        </is>
      </c>
      <c r="E3529" s="88">
        <f>VLOOKUP(A3529,매칭테이블!B:D,3,0)</f>
        <v/>
      </c>
      <c r="F3529" s="128" t="n"/>
      <c r="G3529" s="91" t="n"/>
      <c r="J3529" s="129" t="n">
        <v>408435</v>
      </c>
    </row>
    <row r="3530" customFormat="1" s="94">
      <c r="A3530" s="98" t="inlineStr">
        <is>
          <t>디스커버리_토너_집콕</t>
        </is>
      </c>
      <c r="B3530" s="128" t="n">
        <v>44224</v>
      </c>
      <c r="C3530" s="88">
        <f>TEXT(B3530,"aaa")</f>
        <v/>
      </c>
      <c r="D3530" s="128" t="inlineStr">
        <is>
          <t>유튜브 디스커버리</t>
        </is>
      </c>
      <c r="E3530" s="88">
        <f>VLOOKUP(A3530,매칭테이블!B:D,3,0)</f>
        <v/>
      </c>
      <c r="F3530" s="128" t="n"/>
      <c r="G3530" s="91" t="n"/>
      <c r="J3530" s="129" t="n">
        <v>95659</v>
      </c>
    </row>
    <row r="3531" customFormat="1" s="94">
      <c r="A3531" s="98" t="inlineStr">
        <is>
          <t>디스커버리_케이린</t>
        </is>
      </c>
      <c r="B3531" s="128" t="n">
        <v>44224</v>
      </c>
      <c r="C3531" s="88">
        <f>TEXT(B3531,"aaa")</f>
        <v/>
      </c>
      <c r="D3531" s="128" t="inlineStr">
        <is>
          <t>유튜브 디스커버리</t>
        </is>
      </c>
      <c r="E3531" s="88">
        <f>VLOOKUP(A3531,매칭테이블!B:D,3,0)</f>
        <v/>
      </c>
      <c r="F3531" s="128" t="n"/>
      <c r="G3531" s="91" t="n"/>
      <c r="J3531" s="129" t="n">
        <v>20067</v>
      </c>
    </row>
    <row r="3532" customFormat="1" s="94">
      <c r="A3532" s="98" t="inlineStr">
        <is>
          <t>디스커버리_최모나토너편집</t>
        </is>
      </c>
      <c r="B3532" s="128" t="n">
        <v>44224</v>
      </c>
      <c r="C3532" s="88">
        <f>TEXT(B3532,"aaa")</f>
        <v/>
      </c>
      <c r="D3532" s="128" t="inlineStr">
        <is>
          <t>유튜브 디스커버리</t>
        </is>
      </c>
      <c r="E3532" s="88">
        <f>VLOOKUP(A3532,매칭테이블!B:D,3,0)</f>
        <v/>
      </c>
      <c r="F3532" s="128" t="n"/>
      <c r="G3532" s="91" t="n"/>
      <c r="J3532" s="129" t="n">
        <v>52484</v>
      </c>
    </row>
    <row r="3533" customFormat="1" s="94">
      <c r="A3533" s="98" t="inlineStr">
        <is>
          <t>토너_관심사1_엄마잘컨</t>
        </is>
      </c>
      <c r="B3533" s="128" t="n">
        <v>44224</v>
      </c>
      <c r="C3533" s="88">
        <f>TEXT(B3533,"aaa")</f>
        <v/>
      </c>
      <c r="D3533" s="128" t="inlineStr">
        <is>
          <t>유튜브 디스커버리</t>
        </is>
      </c>
      <c r="E3533" s="88">
        <f>VLOOKUP(A3533,매칭테이블!B:D,3,0)</f>
        <v/>
      </c>
      <c r="F3533" s="128" t="n"/>
      <c r="G3533" s="91" t="n"/>
      <c r="J3533" s="129" t="n">
        <v>553107</v>
      </c>
    </row>
    <row r="3534" customFormat="1" s="94">
      <c r="A3534" s="98" t="inlineStr">
        <is>
          <t>디스커버리_DP_관심사2_2+1강조</t>
        </is>
      </c>
      <c r="B3534" s="128" t="n">
        <v>44224</v>
      </c>
      <c r="C3534" s="88">
        <f>TEXT(B3534,"aaa")</f>
        <v/>
      </c>
      <c r="D3534" s="128" t="inlineStr">
        <is>
          <t>유튜브 디스커버리</t>
        </is>
      </c>
      <c r="E3534" s="88">
        <f>VLOOKUP(A3534,매칭테이블!B:D,3,0)</f>
        <v/>
      </c>
      <c r="F3534" s="128" t="n"/>
      <c r="G3534" s="91" t="n"/>
      <c r="J3534" s="129" t="n">
        <v>229</v>
      </c>
    </row>
    <row r="3535" customFormat="1" s="94">
      <c r="A3535" s="98" t="inlineStr">
        <is>
          <t>동영상_디스커버리_좁쌀가시_서브영상</t>
        </is>
      </c>
      <c r="B3535" s="128" t="n">
        <v>44224</v>
      </c>
      <c r="C3535" s="88">
        <f>TEXT(B3535,"aaa")</f>
        <v/>
      </c>
      <c r="D3535" s="128" t="inlineStr">
        <is>
          <t>유튜브 디스커버리</t>
        </is>
      </c>
      <c r="E3535" s="88">
        <f>VLOOKUP(A3535,매칭테이블!B:D,3,0)</f>
        <v/>
      </c>
      <c r="F3535" s="128" t="n"/>
      <c r="G3535" s="91" t="n"/>
      <c r="J3535" s="129" t="n">
        <v>659975</v>
      </c>
    </row>
    <row r="3536" customFormat="1" s="94">
      <c r="A3536" s="98" t="inlineStr">
        <is>
          <t>디스커버리_미닝님_4554알수없음</t>
        </is>
      </c>
      <c r="B3536" s="128" t="n">
        <v>44224</v>
      </c>
      <c r="C3536" s="88">
        <f>TEXT(B3536,"aaa")</f>
        <v/>
      </c>
      <c r="D3536" s="128" t="inlineStr">
        <is>
          <t>유튜브 디스커버리</t>
        </is>
      </c>
      <c r="E3536" s="88">
        <f>VLOOKUP(A3536,매칭테이블!B:D,3,0)</f>
        <v/>
      </c>
      <c r="F3536" s="128" t="n"/>
      <c r="G3536" s="91" t="n"/>
      <c r="J3536" s="129" t="n">
        <v>201977</v>
      </c>
    </row>
    <row r="3537" customFormat="1" s="94">
      <c r="A3537" s="98" t="inlineStr">
        <is>
          <t>토너_관심사1_이미지베리_딸+bna</t>
        </is>
      </c>
      <c r="B3537" s="128" t="n">
        <v>44224</v>
      </c>
      <c r="C3537" s="88">
        <f>TEXT(B3537,"aaa")</f>
        <v/>
      </c>
      <c r="D3537" s="128" t="inlineStr">
        <is>
          <t>유튜브 디스커버리</t>
        </is>
      </c>
      <c r="E3537" s="88">
        <f>VLOOKUP(A3537,매칭테이블!B:D,3,0)</f>
        <v/>
      </c>
      <c r="F3537" s="128" t="n"/>
      <c r="G3537" s="91" t="n"/>
      <c r="J3537" s="129" t="n">
        <v>77372</v>
      </c>
    </row>
    <row r="3538" customFormat="1" s="94">
      <c r="A3538" s="98" t="inlineStr">
        <is>
          <t>토너_논타겟_엄마잘컨</t>
        </is>
      </c>
      <c r="B3538" s="128" t="n">
        <v>44224</v>
      </c>
      <c r="C3538" s="88">
        <f>TEXT(B3538,"aaa")</f>
        <v/>
      </c>
      <c r="D3538" s="128" t="inlineStr">
        <is>
          <t>유튜브 디스커버리</t>
        </is>
      </c>
      <c r="E3538" s="88">
        <f>VLOOKUP(A3538,매칭테이블!B:D,3,0)</f>
        <v/>
      </c>
      <c r="F3538" s="128" t="n"/>
      <c r="G3538" s="91" t="n"/>
      <c r="J3538" s="129" t="n">
        <v>2389</v>
      </c>
    </row>
    <row r="3539" customFormat="1" s="94">
      <c r="A3539" s="98" t="inlineStr">
        <is>
          <t>토너_관심사1_이미지베리</t>
        </is>
      </c>
      <c r="B3539" s="128" t="n">
        <v>44224</v>
      </c>
      <c r="C3539" s="88">
        <f>TEXT(B3539,"aaa")</f>
        <v/>
      </c>
      <c r="D3539" s="128" t="inlineStr">
        <is>
          <t>유튜브 디스커버리</t>
        </is>
      </c>
      <c r="E3539" s="88">
        <f>VLOOKUP(A3539,매칭테이블!B:D,3,0)</f>
        <v/>
      </c>
      <c r="F3539" s="128" t="n"/>
      <c r="G3539" s="91" t="n"/>
      <c r="J3539" s="129" t="n">
        <v>63088</v>
      </c>
    </row>
    <row r="3540">
      <c r="A3540" s="98" t="inlineStr">
        <is>
          <t>동영상_디스커버리_좁쌀가시 2차</t>
        </is>
      </c>
      <c r="B3540" s="128" t="n">
        <v>44224</v>
      </c>
      <c r="C3540" s="88">
        <f>TEXT(B3540,"aaa")</f>
        <v/>
      </c>
      <c r="D3540" s="128" t="inlineStr">
        <is>
          <t>유튜브 디스커버리</t>
        </is>
      </c>
      <c r="E3540" s="88">
        <f>VLOOKUP(A3540,매칭테이블!B:D,3,0)</f>
        <v/>
      </c>
      <c r="J3540" s="94" t="n">
        <v>484</v>
      </c>
    </row>
    <row r="3541" customFormat="1" s="94">
      <c r="A3541" s="98" t="inlineStr">
        <is>
          <t>디스커버리_빛이나</t>
        </is>
      </c>
      <c r="B3541" s="128" t="n">
        <v>44224</v>
      </c>
      <c r="C3541" s="88">
        <f>TEXT(B3541,"aaa")</f>
        <v/>
      </c>
      <c r="D3541" s="128" t="inlineStr">
        <is>
          <t>유튜브 디스커버리</t>
        </is>
      </c>
      <c r="E3541" s="88">
        <f>VLOOKUP(A3541,매칭테이블!B:D,3,0)</f>
        <v/>
      </c>
      <c r="F3541" s="128" t="n"/>
      <c r="G3541" s="91" t="n"/>
      <c r="J3541" s="129" t="n">
        <v>208909</v>
      </c>
    </row>
    <row r="3542" customFormat="1" s="94">
      <c r="A3542" s="98" t="inlineStr">
        <is>
          <t>디스커버리_소히방2</t>
        </is>
      </c>
      <c r="B3542" s="128" t="n">
        <v>44224</v>
      </c>
      <c r="C3542" s="88">
        <f>TEXT(B3542,"aaa")</f>
        <v/>
      </c>
      <c r="D3542" s="128" t="inlineStr">
        <is>
          <t>유튜브 디스커버리</t>
        </is>
      </c>
      <c r="E3542" s="88">
        <f>VLOOKUP(A3542,매칭테이블!B:D,3,0)</f>
        <v/>
      </c>
      <c r="F3542" s="128" t="n"/>
      <c r="G3542" s="91" t="n"/>
      <c r="J3542" s="129" t="n">
        <v>127892</v>
      </c>
    </row>
    <row r="3543" customFormat="1" s="94">
      <c r="A3543" s="98" t="inlineStr">
        <is>
          <t>동영상_디스커버리_좁쌀가시_서브영상#1</t>
        </is>
      </c>
      <c r="B3543" s="128" t="n">
        <v>44224</v>
      </c>
      <c r="C3543" s="88">
        <f>TEXT(B3543,"aaa")</f>
        <v/>
      </c>
      <c r="D3543" s="128" t="inlineStr">
        <is>
          <t>유튜브 디스커버리</t>
        </is>
      </c>
      <c r="E3543" s="88">
        <f>VLOOKUP(A3543,매칭테이블!B:D,3,0)</f>
        <v/>
      </c>
      <c r="F3543" s="128" t="n"/>
      <c r="G3543" s="91" t="n"/>
      <c r="J3543" s="129" t="n">
        <v>1059480</v>
      </c>
    </row>
    <row r="3544" customFormat="1" s="94">
      <c r="A3544" s="100" t="inlineStr">
        <is>
          <t>동영상_디스커버리_좁쌀가시</t>
        </is>
      </c>
      <c r="B3544" s="128" t="n">
        <v>44224</v>
      </c>
      <c r="C3544" s="88">
        <f>TEXT(B3544,"aaa")</f>
        <v/>
      </c>
      <c r="D3544" s="128" t="inlineStr">
        <is>
          <t>유튜브 디스커버리</t>
        </is>
      </c>
      <c r="E3544" s="88">
        <f>VLOOKUP(A3544,매칭테이블!B:D,3,0)</f>
        <v/>
      </c>
      <c r="F3544" s="128" t="n"/>
      <c r="G3544" s="91" t="n"/>
      <c r="J3544" s="129" t="n">
        <v>131870</v>
      </c>
    </row>
    <row r="3545" customFormat="1" s="94">
      <c r="A3545" s="100" t="inlineStr">
        <is>
          <t>인스트림_키워드_토너_집콕</t>
        </is>
      </c>
      <c r="B3545" s="128" t="n">
        <v>44224</v>
      </c>
      <c r="C3545" s="88">
        <f>TEXT(B3545,"aaa")</f>
        <v/>
      </c>
      <c r="D3545" s="128" t="inlineStr">
        <is>
          <t>유튜브 디스커버리</t>
        </is>
      </c>
      <c r="E3545" s="88">
        <f>VLOOKUP(A3545,매칭테이블!B:D,3,0)</f>
        <v/>
      </c>
      <c r="F3545" s="128" t="n"/>
      <c r="G3545" s="91" t="n"/>
      <c r="J3545" s="129" t="n">
        <v>18896</v>
      </c>
    </row>
    <row r="3546" customFormat="1" s="94">
      <c r="A3546" s="100" t="inlineStr">
        <is>
          <t>전환_토너패드</t>
        </is>
      </c>
      <c r="B3546" s="128" t="n">
        <v>44225</v>
      </c>
      <c r="C3546" s="88">
        <f>TEXT(B3546,"aaa")</f>
        <v/>
      </c>
      <c r="D3546" s="128" t="inlineStr">
        <is>
          <t>페이스북/인스타그램</t>
        </is>
      </c>
      <c r="E3546" s="88">
        <f>VLOOKUP(A3546,매칭테이블!B:D,3,0)</f>
        <v/>
      </c>
      <c r="F3546" s="128" t="n"/>
      <c r="G3546" s="91" t="n"/>
      <c r="J3546" s="129" t="n">
        <v>381154</v>
      </c>
    </row>
    <row r="3547" customFormat="1" s="94">
      <c r="A3547" s="100" t="inlineStr">
        <is>
          <t>도달_랄라블라</t>
        </is>
      </c>
      <c r="B3547" s="128" t="n">
        <v>44225</v>
      </c>
      <c r="C3547" s="88">
        <f>TEXT(B3547,"aaa")</f>
        <v/>
      </c>
      <c r="D3547" s="128" t="inlineStr">
        <is>
          <t>페이스북/인스타그램</t>
        </is>
      </c>
      <c r="E3547" s="88">
        <f>VLOOKUP(A3547,매칭테이블!B:D,3,0)</f>
        <v/>
      </c>
      <c r="F3547" s="128" t="n"/>
      <c r="G3547" s="91" t="n"/>
      <c r="J3547" s="129" t="n">
        <v>29831</v>
      </c>
    </row>
    <row r="3548" customFormat="1" s="94">
      <c r="A3548" s="100" t="inlineStr">
        <is>
          <t>전환</t>
        </is>
      </c>
      <c r="B3548" s="128" t="n">
        <v>44225</v>
      </c>
      <c r="C3548" s="88">
        <f>TEXT(B3548,"aaa")</f>
        <v/>
      </c>
      <c r="D3548" s="128" t="inlineStr">
        <is>
          <t>페이스북/인스타그램</t>
        </is>
      </c>
      <c r="E3548" s="88">
        <f>VLOOKUP(A3548,매칭테이블!B:D,3,0)</f>
        <v/>
      </c>
      <c r="F3548" s="128" t="n"/>
      <c r="G3548" s="91" t="n"/>
      <c r="J3548" s="129" t="n">
        <v>938088</v>
      </c>
    </row>
    <row r="3549" customFormat="1" s="94">
      <c r="A3549" s="100" t="inlineStr">
        <is>
          <t>전환_토너패드</t>
        </is>
      </c>
      <c r="B3549" s="128" t="n">
        <v>44226</v>
      </c>
      <c r="C3549" s="88">
        <f>TEXT(B3549,"aaa")</f>
        <v/>
      </c>
      <c r="D3549" s="128" t="inlineStr">
        <is>
          <t>페이스북/인스타그램</t>
        </is>
      </c>
      <c r="E3549" s="88">
        <f>VLOOKUP(A3549,매칭테이블!B:D,3,0)</f>
        <v/>
      </c>
      <c r="F3549" s="128" t="n"/>
      <c r="G3549" s="91" t="n"/>
      <c r="J3549" s="129" t="n">
        <v>296389</v>
      </c>
    </row>
    <row r="3550" customFormat="1" s="94">
      <c r="A3550" s="100" t="inlineStr">
        <is>
          <t>도달_랄라블라</t>
        </is>
      </c>
      <c r="B3550" s="128" t="n">
        <v>44226</v>
      </c>
      <c r="C3550" s="88">
        <f>TEXT(B3550,"aaa")</f>
        <v/>
      </c>
      <c r="D3550" s="128" t="inlineStr">
        <is>
          <t>페이스북/인스타그램</t>
        </is>
      </c>
      <c r="E3550" s="88">
        <f>VLOOKUP(A3550,매칭테이블!B:D,3,0)</f>
        <v/>
      </c>
      <c r="F3550" s="128" t="n"/>
      <c r="G3550" s="91" t="n"/>
      <c r="J3550" s="129" t="n">
        <v>30711</v>
      </c>
    </row>
    <row r="3551" customFormat="1" s="94">
      <c r="A3551" s="100" t="inlineStr">
        <is>
          <t>전환</t>
        </is>
      </c>
      <c r="B3551" s="128" t="n">
        <v>44226</v>
      </c>
      <c r="C3551" s="88">
        <f>TEXT(B3551,"aaa")</f>
        <v/>
      </c>
      <c r="D3551" s="128" t="inlineStr">
        <is>
          <t>페이스북/인스타그램</t>
        </is>
      </c>
      <c r="E3551" s="88">
        <f>VLOOKUP(A3551,매칭테이블!B:D,3,0)</f>
        <v/>
      </c>
      <c r="F3551" s="128" t="n"/>
      <c r="G3551" s="91" t="n"/>
      <c r="J3551" s="129" t="n">
        <v>636745</v>
      </c>
    </row>
    <row r="3552" customFormat="1" s="94">
      <c r="A3552" s="100" t="inlineStr">
        <is>
          <t>전환_토너패드</t>
        </is>
      </c>
      <c r="B3552" s="128" t="n">
        <v>44227</v>
      </c>
      <c r="C3552" s="88">
        <f>TEXT(B3552,"aaa")</f>
        <v/>
      </c>
      <c r="D3552" s="128" t="inlineStr">
        <is>
          <t>페이스북/인스타그램</t>
        </is>
      </c>
      <c r="E3552" s="88">
        <f>VLOOKUP(A3552,매칭테이블!B:D,3,0)</f>
        <v/>
      </c>
      <c r="F3552" s="128" t="n"/>
      <c r="G3552" s="91" t="n"/>
      <c r="J3552" s="129" t="n">
        <v>366550</v>
      </c>
    </row>
    <row r="3553" customFormat="1" s="94">
      <c r="A3553" s="100" t="inlineStr">
        <is>
          <t>도달_랄라블라</t>
        </is>
      </c>
      <c r="B3553" s="128" t="n">
        <v>44227</v>
      </c>
      <c r="C3553" s="88">
        <f>TEXT(B3553,"aaa")</f>
        <v/>
      </c>
      <c r="D3553" s="128" t="inlineStr">
        <is>
          <t>페이스북/인스타그램</t>
        </is>
      </c>
      <c r="E3553" s="88">
        <f>VLOOKUP(A3553,매칭테이블!B:D,3,0)</f>
        <v/>
      </c>
      <c r="F3553" s="128" t="n"/>
      <c r="G3553" s="91" t="n"/>
      <c r="J3553" s="129" t="n">
        <v>30015</v>
      </c>
    </row>
    <row r="3554" customFormat="1" s="94">
      <c r="A3554" s="100" t="inlineStr">
        <is>
          <t>전환</t>
        </is>
      </c>
      <c r="B3554" s="128" t="n">
        <v>44227</v>
      </c>
      <c r="C3554" s="88">
        <f>TEXT(B3554,"aaa")</f>
        <v/>
      </c>
      <c r="D3554" s="128" t="inlineStr">
        <is>
          <t>페이스북/인스타그램</t>
        </is>
      </c>
      <c r="E3554" s="88">
        <f>VLOOKUP(A3554,매칭테이블!B:D,3,0)</f>
        <v/>
      </c>
      <c r="F3554" s="128" t="n"/>
      <c r="G3554" s="91" t="n"/>
      <c r="J3554" s="129" t="n">
        <v>792392</v>
      </c>
    </row>
    <row r="3555" customFormat="1" s="94">
      <c r="A3555" s="100" t="inlineStr">
        <is>
          <t>T_토너_테스트</t>
        </is>
      </c>
      <c r="B3555" s="128" t="n">
        <v>44225</v>
      </c>
      <c r="C3555" s="88">
        <f>TEXT(B3555,"aaa")</f>
        <v/>
      </c>
      <c r="D3555" s="128" t="inlineStr">
        <is>
          <t>네이버 GFA</t>
        </is>
      </c>
      <c r="E3555" s="88">
        <f>VLOOKUP(A3555,매칭테이블!B:D,3,0)</f>
        <v/>
      </c>
      <c r="F3555" s="128" t="n"/>
      <c r="G3555" s="91" t="n"/>
      <c r="J3555" s="129" t="n">
        <v>605653.6363636364</v>
      </c>
    </row>
    <row r="3556" customFormat="1" s="94">
      <c r="A3556" s="100" t="inlineStr">
        <is>
          <t>아누아_77%패드_청소년관심사_메인</t>
        </is>
      </c>
      <c r="B3556" s="128" t="n">
        <v>44225</v>
      </c>
      <c r="C3556" s="88">
        <f>TEXT(B3556,"aaa")</f>
        <v/>
      </c>
      <c r="D3556" s="128" t="inlineStr">
        <is>
          <t>네이버 GFA</t>
        </is>
      </c>
      <c r="E3556" s="88">
        <f>VLOOKUP(A3556,매칭테이블!B:D,3,0)</f>
        <v/>
      </c>
      <c r="F3556" s="128" t="n"/>
      <c r="G3556" s="91" t="n"/>
      <c r="J3556" s="129" t="n">
        <v>280507.2727272727</v>
      </c>
    </row>
    <row r="3557" customFormat="1" s="94">
      <c r="A3557" s="100" t="inlineStr">
        <is>
          <t>T_아누아_패드_메인</t>
        </is>
      </c>
      <c r="B3557" s="128" t="n">
        <v>44225</v>
      </c>
      <c r="C3557" s="88">
        <f>TEXT(B3557,"aaa")</f>
        <v/>
      </c>
      <c r="D3557" s="128" t="inlineStr">
        <is>
          <t>네이버 GFA</t>
        </is>
      </c>
      <c r="E3557" s="88">
        <f>VLOOKUP(A3557,매칭테이블!B:D,3,0)</f>
        <v/>
      </c>
      <c r="F3557" s="128" t="n"/>
      <c r="G3557" s="91" t="n"/>
      <c r="J3557" s="129" t="n">
        <v>1150436.363636364</v>
      </c>
    </row>
    <row r="3558" customFormat="1" s="94">
      <c r="A3558" s="100" t="inlineStr">
        <is>
          <t>토너_메인_기존소재</t>
        </is>
      </c>
      <c r="B3558" s="128" t="n">
        <v>44225</v>
      </c>
      <c r="C3558" s="88">
        <f>TEXT(B3558,"aaa")</f>
        <v/>
      </c>
      <c r="D3558" s="128" t="inlineStr">
        <is>
          <t>네이버 GFA</t>
        </is>
      </c>
      <c r="E3558" s="88">
        <f>VLOOKUP(A3558,매칭테이블!B:D,3,0)</f>
        <v/>
      </c>
      <c r="F3558" s="128" t="n"/>
      <c r="G3558" s="91" t="n"/>
      <c r="J3558" s="129" t="n">
        <v>1317699.090909091</v>
      </c>
    </row>
    <row r="3559" customFormat="1" s="94">
      <c r="A3559" s="100" t="inlineStr">
        <is>
          <t>T_토너_테스트</t>
        </is>
      </c>
      <c r="B3559" s="128" t="n">
        <v>44226</v>
      </c>
      <c r="C3559" s="88">
        <f>TEXT(B3559,"aaa")</f>
        <v/>
      </c>
      <c r="D3559" s="128" t="inlineStr">
        <is>
          <t>네이버 GFA</t>
        </is>
      </c>
      <c r="E3559" s="88">
        <f>VLOOKUP(A3559,매칭테이블!B:D,3,0)</f>
        <v/>
      </c>
      <c r="F3559" s="128" t="n"/>
      <c r="G3559" s="91" t="n"/>
      <c r="J3559" s="129" t="n">
        <v>485759.0909090909</v>
      </c>
    </row>
    <row r="3560" customFormat="1" s="94">
      <c r="A3560" s="100" t="inlineStr">
        <is>
          <t>아누아_77%패드_청소년관심사_메인</t>
        </is>
      </c>
      <c r="B3560" s="128" t="n">
        <v>44226</v>
      </c>
      <c r="C3560" s="88">
        <f>TEXT(B3560,"aaa")</f>
        <v/>
      </c>
      <c r="D3560" s="128" t="inlineStr">
        <is>
          <t>네이버 GFA</t>
        </is>
      </c>
      <c r="E3560" s="88">
        <f>VLOOKUP(A3560,매칭테이블!B:D,3,0)</f>
        <v/>
      </c>
      <c r="F3560" s="128" t="n"/>
      <c r="G3560" s="91" t="n"/>
      <c r="J3560" s="129" t="n">
        <v>1787412.727272727</v>
      </c>
    </row>
    <row r="3561" customFormat="1" s="94">
      <c r="A3561" s="100" t="inlineStr">
        <is>
          <t>T_아누아_패드_메인</t>
        </is>
      </c>
      <c r="B3561" s="128" t="n">
        <v>44226</v>
      </c>
      <c r="C3561" s="88">
        <f>TEXT(B3561,"aaa")</f>
        <v/>
      </c>
      <c r="D3561" s="128" t="inlineStr">
        <is>
          <t>네이버 GFA</t>
        </is>
      </c>
      <c r="E3561" s="88">
        <f>VLOOKUP(A3561,매칭테이블!B:D,3,0)</f>
        <v/>
      </c>
      <c r="F3561" s="128" t="n"/>
      <c r="G3561" s="91" t="n"/>
      <c r="J3561" s="129" t="n">
        <v>987566.3636363635</v>
      </c>
    </row>
    <row r="3562" customFormat="1" s="94">
      <c r="A3562" s="100" t="inlineStr">
        <is>
          <t>토너_메인_기존소재</t>
        </is>
      </c>
      <c r="B3562" s="128" t="n">
        <v>44226</v>
      </c>
      <c r="C3562" s="88">
        <f>TEXT(B3562,"aaa")</f>
        <v/>
      </c>
      <c r="D3562" s="128" t="inlineStr">
        <is>
          <t>네이버 GFA</t>
        </is>
      </c>
      <c r="E3562" s="88">
        <f>VLOOKUP(A3562,매칭테이블!B:D,3,0)</f>
        <v/>
      </c>
      <c r="F3562" s="128" t="n"/>
      <c r="G3562" s="91" t="n"/>
      <c r="J3562" s="129" t="n">
        <v>1465180.909090909</v>
      </c>
    </row>
    <row r="3563" customFormat="1" s="94">
      <c r="A3563" s="100" t="inlineStr">
        <is>
          <t>T_토너_테스트</t>
        </is>
      </c>
      <c r="B3563" s="128" t="n">
        <v>44227</v>
      </c>
      <c r="C3563" s="88">
        <f>TEXT(B3563,"aaa")</f>
        <v/>
      </c>
      <c r="D3563" s="128" t="inlineStr">
        <is>
          <t>네이버 GFA</t>
        </is>
      </c>
      <c r="E3563" s="88">
        <f>VLOOKUP(A3563,매칭테이블!B:D,3,0)</f>
        <v/>
      </c>
      <c r="F3563" s="128" t="n"/>
      <c r="G3563" s="91" t="n"/>
      <c r="J3563" s="129" t="n">
        <v>53764.54545454545</v>
      </c>
    </row>
    <row r="3564" customFormat="1" s="94">
      <c r="A3564" s="100" t="inlineStr">
        <is>
          <t>아누아_77%패드_청소년관심사_메인</t>
        </is>
      </c>
      <c r="B3564" s="128" t="n">
        <v>44227</v>
      </c>
      <c r="C3564" s="88">
        <f>TEXT(B3564,"aaa")</f>
        <v/>
      </c>
      <c r="D3564" s="128" t="inlineStr">
        <is>
          <t>네이버 GFA</t>
        </is>
      </c>
      <c r="E3564" s="88">
        <f>VLOOKUP(A3564,매칭테이블!B:D,3,0)</f>
        <v/>
      </c>
      <c r="F3564" s="128" t="n"/>
      <c r="G3564" s="91" t="n"/>
      <c r="J3564" s="129" t="n">
        <v>861039.9999999999</v>
      </c>
    </row>
    <row r="3565" customFormat="1" s="94">
      <c r="A3565" s="100" t="inlineStr">
        <is>
          <t>T_아누아_패드_메인</t>
        </is>
      </c>
      <c r="B3565" s="128" t="n">
        <v>44227</v>
      </c>
      <c r="C3565" s="88">
        <f>TEXT(B3565,"aaa")</f>
        <v/>
      </c>
      <c r="D3565" s="128" t="inlineStr">
        <is>
          <t>네이버 GFA</t>
        </is>
      </c>
      <c r="E3565" s="88">
        <f>VLOOKUP(A3565,매칭테이블!B:D,3,0)</f>
        <v/>
      </c>
      <c r="F3565" s="128" t="n"/>
      <c r="G3565" s="91" t="n"/>
      <c r="J3565" s="129" t="n">
        <v>1114197.272727273</v>
      </c>
    </row>
    <row r="3566" customFormat="1" s="94">
      <c r="A3566" s="100" t="inlineStr">
        <is>
          <t>토너_메인_기존소재</t>
        </is>
      </c>
      <c r="B3566" s="128" t="n">
        <v>44227</v>
      </c>
      <c r="C3566" s="88">
        <f>TEXT(B3566,"aaa")</f>
        <v/>
      </c>
      <c r="D3566" s="128" t="inlineStr">
        <is>
          <t>네이버 GFA</t>
        </is>
      </c>
      <c r="E3566" s="88">
        <f>VLOOKUP(A3566,매칭테이블!B:D,3,0)</f>
        <v/>
      </c>
      <c r="F3566" s="128" t="n"/>
      <c r="G3566" s="91" t="n"/>
      <c r="J3566" s="129" t="n">
        <v>1154444.545454545</v>
      </c>
    </row>
    <row r="3567" customFormat="1" s="94">
      <c r="A3567" s="98" t="inlineStr">
        <is>
          <t>아누아_쇼핑M</t>
        </is>
      </c>
      <c r="B3567" s="128" t="n">
        <v>44225</v>
      </c>
      <c r="C3567" s="88">
        <f>TEXT(B3567,"aaa")</f>
        <v/>
      </c>
      <c r="D3567" s="128" t="inlineStr">
        <is>
          <t>네이버 쇼핑검색</t>
        </is>
      </c>
      <c r="E3567" s="88" t="n"/>
      <c r="F3567" s="128" t="n"/>
      <c r="G3567" s="91" t="n"/>
      <c r="J3567" s="129" t="n">
        <v>51119.99999999999</v>
      </c>
    </row>
    <row r="3568" customFormat="1" s="94">
      <c r="A3568" s="98" t="inlineStr">
        <is>
          <t>아누아_쇼핑PC</t>
        </is>
      </c>
      <c r="B3568" s="128" t="n">
        <v>44225</v>
      </c>
      <c r="C3568" s="88">
        <f>TEXT(B3568,"aaa")</f>
        <v/>
      </c>
      <c r="D3568" s="128" t="inlineStr">
        <is>
          <t>네이버 쇼핑검색</t>
        </is>
      </c>
      <c r="E3568" s="88" t="n"/>
      <c r="F3568" s="128" t="n"/>
      <c r="G3568" s="91" t="n"/>
      <c r="J3568" s="129" t="n">
        <v>3620</v>
      </c>
    </row>
    <row r="3569" customFormat="1" s="94">
      <c r="A3569" s="98" t="inlineStr">
        <is>
          <t>아누아_쇼핑M</t>
        </is>
      </c>
      <c r="B3569" s="128" t="n">
        <v>44226</v>
      </c>
      <c r="C3569" s="88">
        <f>TEXT(B3569,"aaa")</f>
        <v/>
      </c>
      <c r="D3569" s="128" t="inlineStr">
        <is>
          <t>네이버 쇼핑검색</t>
        </is>
      </c>
      <c r="E3569" s="88" t="n"/>
      <c r="F3569" s="128" t="n"/>
      <c r="G3569" s="91" t="n"/>
      <c r="J3569" s="129" t="n">
        <v>66860</v>
      </c>
    </row>
    <row r="3570" customFormat="1" s="94">
      <c r="A3570" s="98" t="inlineStr">
        <is>
          <t>아누아_쇼핑PC</t>
        </is>
      </c>
      <c r="B3570" s="128" t="n">
        <v>44226</v>
      </c>
      <c r="C3570" s="88">
        <f>TEXT(B3570,"aaa")</f>
        <v/>
      </c>
      <c r="D3570" s="128" t="inlineStr">
        <is>
          <t>네이버 쇼핑검색</t>
        </is>
      </c>
      <c r="E3570" s="88" t="n"/>
      <c r="F3570" s="128" t="n"/>
      <c r="G3570" s="91" t="n"/>
      <c r="J3570" s="129" t="n">
        <v>2680</v>
      </c>
    </row>
    <row r="3571" customFormat="1" s="94">
      <c r="A3571" s="98" t="inlineStr">
        <is>
          <t>아누아_쇼핑M</t>
        </is>
      </c>
      <c r="B3571" s="128" t="n">
        <v>44227</v>
      </c>
      <c r="C3571" s="88">
        <f>TEXT(B3571,"aaa")</f>
        <v/>
      </c>
      <c r="D3571" s="128" t="inlineStr">
        <is>
          <t>네이버 쇼핑검색</t>
        </is>
      </c>
      <c r="E3571" s="88" t="n"/>
      <c r="F3571" s="128" t="n"/>
      <c r="G3571" s="91" t="n"/>
      <c r="J3571" s="129" t="n">
        <v>60389.99999999999</v>
      </c>
    </row>
    <row r="3572" customFormat="1" s="94">
      <c r="A3572" s="98" t="inlineStr">
        <is>
          <t>아누아_쇼핑PC</t>
        </is>
      </c>
      <c r="B3572" s="128" t="n">
        <v>44227</v>
      </c>
      <c r="C3572" s="88">
        <f>TEXT(B3572,"aaa")</f>
        <v/>
      </c>
      <c r="D3572" s="128" t="inlineStr">
        <is>
          <t>네이버 쇼핑검색</t>
        </is>
      </c>
      <c r="E3572" s="88" t="n"/>
      <c r="F3572" s="128" t="n"/>
      <c r="G3572" s="91" t="n"/>
      <c r="J3572" s="129" t="n">
        <v>4530</v>
      </c>
    </row>
    <row r="3573" customFormat="1" s="94">
      <c r="A3573" s="98" t="inlineStr">
        <is>
          <t>아누아_쇼핑박스</t>
        </is>
      </c>
      <c r="B3573" s="128" t="n">
        <v>44225</v>
      </c>
      <c r="C3573" s="88">
        <f>TEXT(B3573,"aaa")</f>
        <v/>
      </c>
      <c r="D3573" s="128" t="inlineStr">
        <is>
          <t>네이버 쇼핑박스</t>
        </is>
      </c>
      <c r="E3573" s="88">
        <f>VLOOKUP(A3573,매칭테이블!B:D,3,0)</f>
        <v/>
      </c>
      <c r="F3573" s="128" t="n"/>
      <c r="G3573" s="91" t="n"/>
      <c r="J3573" s="129" t="n">
        <v>649350.64</v>
      </c>
    </row>
    <row r="3574" customFormat="1" s="94">
      <c r="A3574" s="98" t="inlineStr">
        <is>
          <t>아누아_쇼핑박스</t>
        </is>
      </c>
      <c r="B3574" s="128" t="n">
        <v>44226</v>
      </c>
      <c r="C3574" s="88">
        <f>TEXT(B3574,"aaa")</f>
        <v/>
      </c>
      <c r="D3574" s="128" t="inlineStr">
        <is>
          <t>네이버 쇼핑박스</t>
        </is>
      </c>
      <c r="E3574" s="88">
        <f>VLOOKUP(A3574,매칭테이블!B:D,3,0)</f>
        <v/>
      </c>
      <c r="F3574" s="128" t="n"/>
      <c r="G3574" s="91" t="n"/>
      <c r="J3574" s="129" t="n">
        <v>649350.64</v>
      </c>
    </row>
    <row r="3575" customFormat="1" s="94">
      <c r="A3575" s="98" t="inlineStr">
        <is>
          <t>아누아_쇼핑박스</t>
        </is>
      </c>
      <c r="B3575" s="128" t="n">
        <v>44227</v>
      </c>
      <c r="C3575" s="88">
        <f>TEXT(B3575,"aaa")</f>
        <v/>
      </c>
      <c r="D3575" s="128" t="inlineStr">
        <is>
          <t>네이버 쇼핑박스</t>
        </is>
      </c>
      <c r="E3575" s="88">
        <f>VLOOKUP(A3575,매칭테이블!B:D,3,0)</f>
        <v/>
      </c>
      <c r="F3575" s="128" t="n"/>
      <c r="G3575" s="91" t="n"/>
      <c r="J3575" s="129" t="n">
        <v>649350.64</v>
      </c>
    </row>
    <row r="3576" customFormat="1" s="94">
      <c r="A3576" s="98" t="inlineStr">
        <is>
          <t>아누아_비즈보드_리타게팅</t>
        </is>
      </c>
      <c r="B3576" s="128" t="n">
        <v>44225</v>
      </c>
      <c r="C3576" s="88">
        <f>TEXT(B3576,"aaa")</f>
        <v/>
      </c>
      <c r="D3576" s="128" t="inlineStr">
        <is>
          <t>카카오광고</t>
        </is>
      </c>
      <c r="E3576" s="88">
        <f>VLOOKUP(A3576,매칭테이블!B:D,3,0)</f>
        <v/>
      </c>
      <c r="F3576" s="128" t="n"/>
      <c r="G3576" s="91" t="n"/>
      <c r="J3576" s="129" t="n">
        <v>4740</v>
      </c>
    </row>
    <row r="3577" customFormat="1" s="94">
      <c r="A3577" s="98" t="inlineStr">
        <is>
          <t>아누아_토너_관심사1_초4소재_1200x628</t>
        </is>
      </c>
      <c r="B3577" s="128" t="n">
        <v>44225</v>
      </c>
      <c r="C3577" s="88">
        <f>TEXT(B3577,"aaa")</f>
        <v/>
      </c>
      <c r="D3577" s="128" t="inlineStr">
        <is>
          <t>카카오광고</t>
        </is>
      </c>
      <c r="E3577" s="88">
        <f>VLOOKUP(A3577,매칭테이블!B:D,3,0)</f>
        <v/>
      </c>
      <c r="F3577" s="128" t="n"/>
      <c r="G3577" s="91" t="n"/>
      <c r="J3577" s="129" t="n">
        <v>173060</v>
      </c>
    </row>
    <row r="3578" customFormat="1" s="94">
      <c r="A3578" s="98" t="inlineStr">
        <is>
          <t>아누아_비즈보드_리타게팅</t>
        </is>
      </c>
      <c r="B3578" s="128" t="n">
        <v>44226</v>
      </c>
      <c r="C3578" s="88">
        <f>TEXT(B3578,"aaa")</f>
        <v/>
      </c>
      <c r="D3578" s="128" t="inlineStr">
        <is>
          <t>카카오광고</t>
        </is>
      </c>
      <c r="E3578" s="88">
        <f>VLOOKUP(A3578,매칭테이블!B:D,3,0)</f>
        <v/>
      </c>
      <c r="F3578" s="128" t="n"/>
      <c r="G3578" s="91" t="n"/>
      <c r="J3578" s="129" t="n">
        <v>6859.999999999999</v>
      </c>
    </row>
    <row r="3579" customFormat="1" s="94">
      <c r="A3579" s="98" t="inlineStr">
        <is>
          <t>아누아_토너_관심사1_초4소재_1200x628</t>
        </is>
      </c>
      <c r="B3579" s="128" t="n">
        <v>44226</v>
      </c>
      <c r="C3579" s="88">
        <f>TEXT(B3579,"aaa")</f>
        <v/>
      </c>
      <c r="D3579" s="128" t="inlineStr">
        <is>
          <t>카카오광고</t>
        </is>
      </c>
      <c r="E3579" s="88">
        <f>VLOOKUP(A3579,매칭테이블!B:D,3,0)</f>
        <v/>
      </c>
      <c r="F3579" s="128" t="n"/>
      <c r="G3579" s="91" t="n"/>
      <c r="J3579" s="129" t="n">
        <v>94989.99999999999</v>
      </c>
    </row>
    <row r="3580" customFormat="1" s="94">
      <c r="A3580" s="98" t="inlineStr">
        <is>
          <t>아누아_비즈보드_리타게팅</t>
        </is>
      </c>
      <c r="B3580" s="128" t="n">
        <v>44227</v>
      </c>
      <c r="C3580" s="88">
        <f>TEXT(B3580,"aaa")</f>
        <v/>
      </c>
      <c r="D3580" s="128" t="inlineStr">
        <is>
          <t>카카오광고</t>
        </is>
      </c>
      <c r="E3580" s="88">
        <f>VLOOKUP(A3580,매칭테이블!B:D,3,0)</f>
        <v/>
      </c>
      <c r="F3580" s="128" t="n"/>
      <c r="G3580" s="91" t="n"/>
      <c r="J3580" s="129" t="n">
        <v>3850</v>
      </c>
    </row>
    <row r="3581" customFormat="1" s="94">
      <c r="A3581" s="98" t="inlineStr">
        <is>
          <t>아누아_토너_관심사1_초4소재_1200x628</t>
        </is>
      </c>
      <c r="B3581" s="128" t="n">
        <v>44227</v>
      </c>
      <c r="C3581" s="88">
        <f>TEXT(B3581,"aaa")</f>
        <v/>
      </c>
      <c r="D3581" s="128" t="inlineStr">
        <is>
          <t>카카오광고</t>
        </is>
      </c>
      <c r="E3581" s="88">
        <f>VLOOKUP(A3581,매칭테이블!B:D,3,0)</f>
        <v/>
      </c>
      <c r="F3581" s="128" t="n"/>
      <c r="G3581" s="91" t="n"/>
      <c r="J3581" s="129" t="n">
        <v>154550</v>
      </c>
    </row>
    <row r="3582" customFormat="1" s="94">
      <c r="A3582" s="98" t="inlineStr">
        <is>
          <t>디스커버리_미닝님_4554알수없음</t>
        </is>
      </c>
      <c r="B3582" s="128" t="n">
        <v>44225</v>
      </c>
      <c r="C3582" s="88">
        <f>TEXT(B3582,"aaa")</f>
        <v/>
      </c>
      <c r="D3582" s="128" t="inlineStr">
        <is>
          <t>유튜브 디스커버리</t>
        </is>
      </c>
      <c r="E3582" s="88">
        <f>VLOOKUP(A3582,매칭테이블!B:D,3,0)</f>
        <v/>
      </c>
      <c r="F3582" s="128" t="n"/>
      <c r="G3582" s="91" t="n"/>
      <c r="J3582" s="129" t="n">
        <v>97806</v>
      </c>
    </row>
    <row r="3583" customFormat="1" s="94">
      <c r="A3583" s="98" t="inlineStr">
        <is>
          <t>디스커버리_DP_관심사2_2+1강조</t>
        </is>
      </c>
      <c r="B3583" s="128" t="n">
        <v>44225</v>
      </c>
      <c r="C3583" s="88">
        <f>TEXT(B3583,"aaa")</f>
        <v/>
      </c>
      <c r="D3583" s="128" t="inlineStr">
        <is>
          <t>유튜브 디스커버리</t>
        </is>
      </c>
      <c r="E3583" s="88">
        <f>VLOOKUP(A3583,매칭테이블!B:D,3,0)</f>
        <v/>
      </c>
      <c r="F3583" s="128" t="n"/>
      <c r="G3583" s="91" t="n"/>
      <c r="J3583" s="129" t="n">
        <v>2456</v>
      </c>
    </row>
    <row r="3584" customFormat="1" s="94">
      <c r="A3584" s="98" t="inlineStr">
        <is>
          <t>디스커버리_빛이나</t>
        </is>
      </c>
      <c r="B3584" s="128" t="n">
        <v>44225</v>
      </c>
      <c r="C3584" s="88">
        <f>TEXT(B3584,"aaa")</f>
        <v/>
      </c>
      <c r="D3584" s="128" t="inlineStr">
        <is>
          <t>유튜브 디스커버리</t>
        </is>
      </c>
      <c r="E3584" s="88">
        <f>VLOOKUP(A3584,매칭테이블!B:D,3,0)</f>
        <v/>
      </c>
      <c r="F3584" s="128" t="n"/>
      <c r="G3584" s="91" t="n"/>
      <c r="J3584" s="129" t="n">
        <v>103510</v>
      </c>
    </row>
    <row r="3585" customFormat="1" s="94">
      <c r="A3585" s="98" t="inlineStr">
        <is>
          <t>디스커버리_채우</t>
        </is>
      </c>
      <c r="B3585" s="128" t="n">
        <v>44225</v>
      </c>
      <c r="C3585" s="88">
        <f>TEXT(B3585,"aaa")</f>
        <v/>
      </c>
      <c r="D3585" s="128" t="inlineStr">
        <is>
          <t>유튜브 디스커버리</t>
        </is>
      </c>
      <c r="E3585" s="88">
        <f>VLOOKUP(A3585,매칭테이블!B:D,3,0)</f>
        <v/>
      </c>
      <c r="F3585" s="128" t="n"/>
      <c r="G3585" s="91" t="n"/>
      <c r="J3585" s="129" t="n">
        <v>240917</v>
      </c>
    </row>
    <row r="3586" customFormat="1" s="94">
      <c r="A3586" s="98" t="inlineStr">
        <is>
          <t>GDN_토너로션</t>
        </is>
      </c>
      <c r="B3586" s="128" t="n">
        <v>44225</v>
      </c>
      <c r="C3586" s="88">
        <f>TEXT(B3586,"aaa")</f>
        <v/>
      </c>
      <c r="D3586" s="128" t="inlineStr">
        <is>
          <t>유튜브 디스커버리</t>
        </is>
      </c>
      <c r="E3586" s="88">
        <f>VLOOKUP(A3586,매칭테이블!B:D,3,0)</f>
        <v/>
      </c>
      <c r="F3586" s="128" t="n"/>
      <c r="G3586" s="91" t="n"/>
      <c r="J3586" s="129" t="n">
        <v>5534</v>
      </c>
    </row>
    <row r="3587" customFormat="1" s="94">
      <c r="A3587" s="98" t="inlineStr">
        <is>
          <t>동영상_디스커버리_좁쌀가시_3차</t>
        </is>
      </c>
      <c r="B3587" s="128" t="n">
        <v>44225</v>
      </c>
      <c r="C3587" s="88">
        <f>TEXT(B3587,"aaa")</f>
        <v/>
      </c>
      <c r="D3587" s="128" t="inlineStr">
        <is>
          <t>유튜브 디스커버리</t>
        </is>
      </c>
      <c r="E3587" s="88">
        <f>VLOOKUP(A3587,매칭테이블!B:D,3,0)</f>
        <v/>
      </c>
      <c r="F3587" s="128" t="n"/>
      <c r="G3587" s="91" t="n"/>
      <c r="J3587" s="129" t="n">
        <v>2281355</v>
      </c>
    </row>
    <row r="3588" customFormat="1" s="94">
      <c r="A3588" s="98" t="inlineStr">
        <is>
          <t>디스커버리_미닝님</t>
        </is>
      </c>
      <c r="B3588" s="128" t="n">
        <v>44225</v>
      </c>
      <c r="C3588" s="88">
        <f>TEXT(B3588,"aaa")</f>
        <v/>
      </c>
      <c r="D3588" s="128" t="inlineStr">
        <is>
          <t>유튜브 디스커버리</t>
        </is>
      </c>
      <c r="E3588" s="88">
        <f>VLOOKUP(A3588,매칭테이블!B:D,3,0)</f>
        <v/>
      </c>
      <c r="F3588" s="128" t="n"/>
      <c r="G3588" s="91" t="n"/>
      <c r="J3588" s="129" t="n">
        <v>147418</v>
      </c>
    </row>
    <row r="3589" customFormat="1" s="94">
      <c r="A3589" s="98" t="inlineStr">
        <is>
          <t>디스커버리_DP_패드관심사1_소재1(아들)</t>
        </is>
      </c>
      <c r="B3589" s="128" t="n">
        <v>44225</v>
      </c>
      <c r="C3589" s="88">
        <f>TEXT(B3589,"aaa")</f>
        <v/>
      </c>
      <c r="D3589" s="128" t="inlineStr">
        <is>
          <t>유튜브 디스커버리</t>
        </is>
      </c>
      <c r="E3589" s="88">
        <f>VLOOKUP(A3589,매칭테이블!B:D,3,0)</f>
        <v/>
      </c>
      <c r="F3589" s="128" t="n"/>
      <c r="G3589" s="91" t="n"/>
      <c r="J3589" s="129" t="n">
        <v>138409</v>
      </c>
    </row>
    <row r="3590" customFormat="1" s="94">
      <c r="A3590" s="98" t="inlineStr">
        <is>
          <t>디스커버리_천서영님_썸네일테스트 #3</t>
        </is>
      </c>
      <c r="B3590" s="128" t="n">
        <v>44225</v>
      </c>
      <c r="C3590" s="88">
        <f>TEXT(B3590,"aaa")</f>
        <v/>
      </c>
      <c r="D3590" s="128" t="inlineStr">
        <is>
          <t>유튜브 디스커버리</t>
        </is>
      </c>
      <c r="E3590" s="88">
        <f>VLOOKUP(A3590,매칭테이블!B:D,3,0)</f>
        <v/>
      </c>
      <c r="F3590" s="128" t="n"/>
      <c r="G3590" s="91" t="n"/>
      <c r="J3590" s="129" t="n">
        <v>64192</v>
      </c>
    </row>
    <row r="3591" customFormat="1" s="94">
      <c r="A3591" s="98" t="inlineStr">
        <is>
          <t>토너_관심사1_엄마잘컨</t>
        </is>
      </c>
      <c r="B3591" s="128" t="n">
        <v>44225</v>
      </c>
      <c r="C3591" s="88">
        <f>TEXT(B3591,"aaa")</f>
        <v/>
      </c>
      <c r="D3591" s="128" t="inlineStr">
        <is>
          <t>유튜브 디스커버리</t>
        </is>
      </c>
      <c r="E3591" s="88">
        <f>VLOOKUP(A3591,매칭테이블!B:D,3,0)</f>
        <v/>
      </c>
      <c r="F3591" s="128" t="n"/>
      <c r="G3591" s="91" t="n"/>
      <c r="J3591" s="129" t="n">
        <v>536286</v>
      </c>
    </row>
    <row r="3592" customFormat="1" s="94">
      <c r="A3592" s="98" t="inlineStr">
        <is>
          <t>디스커버리_케이린</t>
        </is>
      </c>
      <c r="B3592" s="128" t="n">
        <v>44225</v>
      </c>
      <c r="C3592" s="88">
        <f>TEXT(B3592,"aaa")</f>
        <v/>
      </c>
      <c r="D3592" s="128" t="inlineStr">
        <is>
          <t>유튜브 디스커버리</t>
        </is>
      </c>
      <c r="E3592" s="88">
        <f>VLOOKUP(A3592,매칭테이블!B:D,3,0)</f>
        <v/>
      </c>
      <c r="F3592" s="128" t="n"/>
      <c r="G3592" s="91" t="n"/>
      <c r="J3592" s="129" t="n">
        <v>135253</v>
      </c>
    </row>
    <row r="3593" customFormat="1" s="94">
      <c r="A3593" s="98" t="inlineStr">
        <is>
          <t>동영상_디스커버리_좁쌀가시_2차</t>
        </is>
      </c>
      <c r="B3593" s="128" t="n">
        <v>44225</v>
      </c>
      <c r="C3593" s="88">
        <f>TEXT(B3593,"aaa")</f>
        <v/>
      </c>
      <c r="D3593" s="128" t="inlineStr">
        <is>
          <t>유튜브 디스커버리</t>
        </is>
      </c>
      <c r="E3593" s="88">
        <f>VLOOKUP(A3593,매칭테이블!B:D,3,0)</f>
        <v/>
      </c>
      <c r="F3593" s="128" t="n"/>
      <c r="G3593" s="91" t="n"/>
      <c r="J3593" s="129" t="n">
        <v>121068</v>
      </c>
    </row>
    <row r="3594" customFormat="1" s="94">
      <c r="A3594" s="98" t="inlineStr">
        <is>
          <t>디스커버리_DP_패드관심사1_소재1(딸)</t>
        </is>
      </c>
      <c r="B3594" s="128" t="n">
        <v>44225</v>
      </c>
      <c r="C3594" s="88">
        <f>TEXT(B3594,"aaa")</f>
        <v/>
      </c>
      <c r="D3594" s="128" t="inlineStr">
        <is>
          <t>유튜브 디스커버리</t>
        </is>
      </c>
      <c r="E3594" s="88">
        <f>VLOOKUP(A3594,매칭테이블!B:D,3,0)</f>
        <v/>
      </c>
      <c r="F3594" s="128" t="n"/>
      <c r="G3594" s="91" t="n"/>
      <c r="J3594" s="129" t="n">
        <v>376043</v>
      </c>
    </row>
    <row r="3595" customFormat="1" s="94">
      <c r="A3595" s="98" t="inlineStr">
        <is>
          <t>디스커버리_최모나토너편집</t>
        </is>
      </c>
      <c r="B3595" s="128" t="n">
        <v>44225</v>
      </c>
      <c r="C3595" s="88">
        <f>TEXT(B3595,"aaa")</f>
        <v/>
      </c>
      <c r="D3595" s="128" t="inlineStr">
        <is>
          <t>유튜브 디스커버리</t>
        </is>
      </c>
      <c r="E3595" s="88">
        <f>VLOOKUP(A3595,매칭테이블!B:D,3,0)</f>
        <v/>
      </c>
      <c r="F3595" s="128" t="n"/>
      <c r="G3595" s="91" t="n"/>
      <c r="J3595" s="129" t="n">
        <v>31497</v>
      </c>
    </row>
    <row r="3596" customFormat="1" s="94">
      <c r="A3596" s="98" t="inlineStr">
        <is>
          <t>디스커버리_소히방2</t>
        </is>
      </c>
      <c r="B3596" s="128" t="n">
        <v>44225</v>
      </c>
      <c r="C3596" s="88">
        <f>TEXT(B3596,"aaa")</f>
        <v/>
      </c>
      <c r="D3596" s="128" t="inlineStr">
        <is>
          <t>유튜브 디스커버리</t>
        </is>
      </c>
      <c r="E3596" s="88">
        <f>VLOOKUP(A3596,매칭테이블!B:D,3,0)</f>
        <v/>
      </c>
      <c r="F3596" s="128" t="n"/>
      <c r="G3596" s="91" t="n"/>
      <c r="J3596" s="129" t="n">
        <v>18218</v>
      </c>
    </row>
    <row r="3597" customFormat="1" s="94">
      <c r="A3597" s="98" t="inlineStr">
        <is>
          <t>동영상_디스커버리_좁쌀가시</t>
        </is>
      </c>
      <c r="B3597" s="128" t="n">
        <v>44225</v>
      </c>
      <c r="C3597" s="88">
        <f>TEXT(B3597,"aaa")</f>
        <v/>
      </c>
      <c r="D3597" s="128" t="inlineStr">
        <is>
          <t>유튜브 디스커버리</t>
        </is>
      </c>
      <c r="E3597" s="88">
        <f>VLOOKUP(A3597,매칭테이블!B:D,3,0)</f>
        <v/>
      </c>
      <c r="F3597" s="128" t="n"/>
      <c r="G3597" s="91" t="n"/>
      <c r="J3597" s="129" t="n">
        <v>31685</v>
      </c>
    </row>
    <row r="3598" customFormat="1" s="94">
      <c r="A3598" s="98" t="inlineStr">
        <is>
          <t>토너_관심사1_엄마잘컨</t>
        </is>
      </c>
      <c r="B3598" s="128" t="n">
        <v>44226</v>
      </c>
      <c r="C3598" s="88">
        <f>TEXT(B3598,"aaa")</f>
        <v/>
      </c>
      <c r="D3598" s="128" t="inlineStr">
        <is>
          <t>유튜브 디스커버리</t>
        </is>
      </c>
      <c r="E3598" s="88">
        <f>VLOOKUP(A3598,매칭테이블!B:D,3,0)</f>
        <v/>
      </c>
      <c r="F3598" s="128" t="n"/>
      <c r="G3598" s="91" t="n"/>
      <c r="J3598" s="129" t="n">
        <v>411905</v>
      </c>
    </row>
    <row r="3599" customFormat="1" s="94">
      <c r="A3599" s="98" t="inlineStr">
        <is>
          <t>디스커버리_최모나토너편집</t>
        </is>
      </c>
      <c r="B3599" s="128" t="n">
        <v>44226</v>
      </c>
      <c r="C3599" s="88">
        <f>TEXT(B3599,"aaa")</f>
        <v/>
      </c>
      <c r="D3599" s="128" t="inlineStr">
        <is>
          <t>유튜브 디스커버리</t>
        </is>
      </c>
      <c r="E3599" s="88">
        <f>VLOOKUP(A3599,매칭테이블!B:D,3,0)</f>
        <v/>
      </c>
      <c r="F3599" s="128" t="n"/>
      <c r="G3599" s="91" t="n"/>
      <c r="J3599" s="129" t="n">
        <v>47</v>
      </c>
    </row>
    <row r="3600" customFormat="1" s="94">
      <c r="A3600" s="98" t="inlineStr">
        <is>
          <t>동영상_디스커버리_좁쌀가시_3차</t>
        </is>
      </c>
      <c r="B3600" s="128" t="n">
        <v>44226</v>
      </c>
      <c r="C3600" s="88">
        <f>TEXT(B3600,"aaa")</f>
        <v/>
      </c>
      <c r="D3600" s="128" t="inlineStr">
        <is>
          <t>유튜브 디스커버리</t>
        </is>
      </c>
      <c r="E3600" s="88">
        <f>VLOOKUP(A3600,매칭테이블!B:D,3,0)</f>
        <v/>
      </c>
      <c r="F3600" s="128" t="n"/>
      <c r="G3600" s="91" t="n"/>
      <c r="J3600" s="129" t="n">
        <v>5030220</v>
      </c>
    </row>
    <row r="3601" customFormat="1" s="94">
      <c r="A3601" s="98" t="inlineStr">
        <is>
          <t>디스커버리_채우</t>
        </is>
      </c>
      <c r="B3601" s="128" t="n">
        <v>44226</v>
      </c>
      <c r="C3601" s="88">
        <f>TEXT(B3601,"aaa")</f>
        <v/>
      </c>
      <c r="D3601" s="128" t="inlineStr">
        <is>
          <t>유튜브 디스커버리</t>
        </is>
      </c>
      <c r="E3601" s="88">
        <f>VLOOKUP(A3601,매칭테이블!B:D,3,0)</f>
        <v/>
      </c>
      <c r="F3601" s="128" t="n"/>
      <c r="G3601" s="91" t="n"/>
      <c r="J3601" s="129" t="n">
        <v>8932</v>
      </c>
    </row>
    <row r="3602" customFormat="1" s="94">
      <c r="A3602" s="98" t="inlineStr">
        <is>
          <t>디스커버리_미닝님</t>
        </is>
      </c>
      <c r="B3602" s="128" t="n">
        <v>44226</v>
      </c>
      <c r="C3602" s="88">
        <f>TEXT(B3602,"aaa")</f>
        <v/>
      </c>
      <c r="D3602" s="128" t="inlineStr">
        <is>
          <t>유튜브 디스커버리</t>
        </is>
      </c>
      <c r="E3602" s="88">
        <f>VLOOKUP(A3602,매칭테이블!B:D,3,0)</f>
        <v/>
      </c>
      <c r="F3602" s="128" t="n"/>
      <c r="G3602" s="91" t="n"/>
      <c r="J3602" s="129" t="n">
        <v>76399</v>
      </c>
    </row>
    <row r="3603" customFormat="1" s="94">
      <c r="A3603" s="98" t="inlineStr">
        <is>
          <t>디스커버리_DP_패드관심사1_소재1(아들)</t>
        </is>
      </c>
      <c r="B3603" s="128" t="n">
        <v>44226</v>
      </c>
      <c r="C3603" s="88">
        <f>TEXT(B3603,"aaa")</f>
        <v/>
      </c>
      <c r="D3603" s="128" t="inlineStr">
        <is>
          <t>유튜브 디스커버리</t>
        </is>
      </c>
      <c r="E3603" s="88">
        <f>VLOOKUP(A3603,매칭테이블!B:D,3,0)</f>
        <v/>
      </c>
      <c r="F3603" s="128" t="n"/>
      <c r="G3603" s="91" t="n"/>
      <c r="J3603" s="129" t="n">
        <v>153920</v>
      </c>
    </row>
    <row r="3604" customFormat="1" s="94">
      <c r="A3604" s="98" t="inlineStr">
        <is>
          <t>GDN_토너로션</t>
        </is>
      </c>
      <c r="B3604" s="128" t="n">
        <v>44226</v>
      </c>
      <c r="C3604" s="88">
        <f>TEXT(B3604,"aaa")</f>
        <v/>
      </c>
      <c r="D3604" s="128" t="inlineStr">
        <is>
          <t>유튜브 디스커버리</t>
        </is>
      </c>
      <c r="E3604" s="88">
        <f>VLOOKUP(A3604,매칭테이블!B:D,3,0)</f>
        <v/>
      </c>
      <c r="F3604" s="128" t="n"/>
      <c r="G3604" s="91" t="n"/>
      <c r="J3604" s="129" t="n">
        <v>43792</v>
      </c>
    </row>
    <row r="3605" customFormat="1" s="94">
      <c r="A3605" s="98" t="inlineStr">
        <is>
          <t>동영상_디스커버리_좁쌀가시_2차</t>
        </is>
      </c>
      <c r="B3605" s="128" t="n">
        <v>44226</v>
      </c>
      <c r="C3605" s="88">
        <f>TEXT(B3605,"aaa")</f>
        <v/>
      </c>
      <c r="D3605" s="128" t="inlineStr">
        <is>
          <t>유튜브 디스커버리</t>
        </is>
      </c>
      <c r="E3605" s="88">
        <f>VLOOKUP(A3605,매칭테이블!B:D,3,0)</f>
        <v/>
      </c>
      <c r="F3605" s="128" t="n"/>
      <c r="G3605" s="91" t="n"/>
      <c r="J3605" s="129" t="n">
        <v>12111</v>
      </c>
    </row>
    <row r="3606" customFormat="1" s="94">
      <c r="A3606" s="98" t="inlineStr">
        <is>
          <t>디스커버리_DP_패드관심사1_소재1(딸)</t>
        </is>
      </c>
      <c r="B3606" s="128" t="n">
        <v>44226</v>
      </c>
      <c r="C3606" s="88">
        <f>TEXT(B3606,"aaa")</f>
        <v/>
      </c>
      <c r="D3606" s="128" t="inlineStr">
        <is>
          <t>유튜브 디스커버리</t>
        </is>
      </c>
      <c r="E3606" s="88">
        <f>VLOOKUP(A3606,매칭테이블!B:D,3,0)</f>
        <v/>
      </c>
      <c r="F3606" s="128" t="n"/>
      <c r="G3606" s="91" t="n"/>
      <c r="J3606" s="129" t="n">
        <v>114208</v>
      </c>
    </row>
    <row r="3607" customFormat="1" s="94">
      <c r="A3607" s="98" t="inlineStr">
        <is>
          <t>디스커버리_빛이나</t>
        </is>
      </c>
      <c r="B3607" s="128" t="n">
        <v>44226</v>
      </c>
      <c r="C3607" s="88">
        <f>TEXT(B3607,"aaa")</f>
        <v/>
      </c>
      <c r="D3607" s="128" t="inlineStr">
        <is>
          <t>유튜브 디스커버리</t>
        </is>
      </c>
      <c r="E3607" s="88">
        <f>VLOOKUP(A3607,매칭테이블!B:D,3,0)</f>
        <v/>
      </c>
      <c r="F3607" s="128" t="n"/>
      <c r="G3607" s="91" t="n"/>
      <c r="J3607" s="129" t="n">
        <v>102400</v>
      </c>
    </row>
    <row r="3608" customFormat="1" s="94">
      <c r="A3608" s="98" t="inlineStr">
        <is>
          <t>디스커버리_미닝님_4554알수없음</t>
        </is>
      </c>
      <c r="B3608" s="128" t="n">
        <v>44226</v>
      </c>
      <c r="C3608" s="88">
        <f>TEXT(B3608,"aaa")</f>
        <v/>
      </c>
      <c r="D3608" s="128" t="inlineStr">
        <is>
          <t>유튜브 디스커버리</t>
        </is>
      </c>
      <c r="E3608" s="88">
        <f>VLOOKUP(A3608,매칭테이블!B:D,3,0)</f>
        <v/>
      </c>
      <c r="F3608" s="128" t="n"/>
      <c r="G3608" s="91" t="n"/>
      <c r="J3608" s="129" t="n">
        <v>40982</v>
      </c>
    </row>
    <row r="3609" customFormat="1" s="94">
      <c r="A3609" s="98" t="inlineStr">
        <is>
          <t>디스커버리_DP_관심사2_2+1강조</t>
        </is>
      </c>
      <c r="B3609" s="128" t="n">
        <v>44226</v>
      </c>
      <c r="C3609" s="88">
        <f>TEXT(B3609,"aaa")</f>
        <v/>
      </c>
      <c r="D3609" s="128" t="inlineStr">
        <is>
          <t>유튜브 디스커버리</t>
        </is>
      </c>
      <c r="E3609" s="88">
        <f>VLOOKUP(A3609,매칭테이블!B:D,3,0)</f>
        <v/>
      </c>
      <c r="F3609" s="128" t="n"/>
      <c r="G3609" s="91" t="n"/>
      <c r="J3609" s="129" t="n">
        <v>52450</v>
      </c>
    </row>
    <row r="3610" customFormat="1" s="94">
      <c r="A3610" s="98" t="inlineStr">
        <is>
          <t>디스커버리_케이린</t>
        </is>
      </c>
      <c r="B3610" s="128" t="n">
        <v>44226</v>
      </c>
      <c r="C3610" s="88">
        <f>TEXT(B3610,"aaa")</f>
        <v/>
      </c>
      <c r="D3610" s="128" t="inlineStr">
        <is>
          <t>유튜브 디스커버리</t>
        </is>
      </c>
      <c r="E3610" s="88">
        <f>VLOOKUP(A3610,매칭테이블!B:D,3,0)</f>
        <v/>
      </c>
      <c r="F3610" s="128" t="n"/>
      <c r="G3610" s="91" t="n"/>
      <c r="J3610" s="129" t="n">
        <v>414820</v>
      </c>
    </row>
    <row r="3611" customFormat="1" s="94">
      <c r="A3611" s="98" t="inlineStr">
        <is>
          <t>동영상_디스커버리_좁쌀가시</t>
        </is>
      </c>
      <c r="B3611" s="128" t="n">
        <v>44226</v>
      </c>
      <c r="C3611" s="88">
        <f>TEXT(B3611,"aaa")</f>
        <v/>
      </c>
      <c r="D3611" s="128" t="inlineStr">
        <is>
          <t>유튜브 디스커버리</t>
        </is>
      </c>
      <c r="E3611" s="88">
        <f>VLOOKUP(A3611,매칭테이블!B:D,3,0)</f>
        <v/>
      </c>
      <c r="F3611" s="128" t="n"/>
      <c r="G3611" s="91" t="n"/>
      <c r="J3611" s="129" t="n">
        <v>34715</v>
      </c>
    </row>
    <row r="3612" customFormat="1" s="94">
      <c r="A3612" s="98" t="inlineStr">
        <is>
          <t>디스커버리_미닝님_4554알수없음</t>
        </is>
      </c>
      <c r="B3612" s="128" t="n">
        <v>44227</v>
      </c>
      <c r="C3612" s="88">
        <f>TEXT(B3612,"aaa")</f>
        <v/>
      </c>
      <c r="D3612" s="128" t="inlineStr">
        <is>
          <t>유튜브 디스커버리</t>
        </is>
      </c>
      <c r="E3612" s="88">
        <f>VLOOKUP(A3612,매칭테이블!B:D,3,0)</f>
        <v/>
      </c>
      <c r="F3612" s="128" t="n"/>
      <c r="G3612" s="91" t="n"/>
      <c r="J3612" s="129" t="n">
        <v>201241</v>
      </c>
    </row>
    <row r="3613" customFormat="1" s="94">
      <c r="A3613" s="98" t="inlineStr">
        <is>
          <t>토너_관심사1_엄마잘컨</t>
        </is>
      </c>
      <c r="B3613" s="128" t="n">
        <v>44227</v>
      </c>
      <c r="C3613" s="88">
        <f>TEXT(B3613,"aaa")</f>
        <v/>
      </c>
      <c r="D3613" s="128" t="inlineStr">
        <is>
          <t>유튜브 디스커버리</t>
        </is>
      </c>
      <c r="E3613" s="88">
        <f>VLOOKUP(A3613,매칭테이블!B:D,3,0)</f>
        <v/>
      </c>
      <c r="F3613" s="128" t="n"/>
      <c r="G3613" s="91" t="n"/>
      <c r="J3613" s="129" t="n">
        <v>253713</v>
      </c>
    </row>
    <row r="3614" customFormat="1" s="94">
      <c r="A3614" s="98" t="inlineStr">
        <is>
          <t>디스커버리_DP_관심사2_2+1강조</t>
        </is>
      </c>
      <c r="B3614" s="128" t="n">
        <v>44227</v>
      </c>
      <c r="C3614" s="88">
        <f>TEXT(B3614,"aaa")</f>
        <v/>
      </c>
      <c r="D3614" s="128" t="inlineStr">
        <is>
          <t>유튜브 디스커버리</t>
        </is>
      </c>
      <c r="E3614" s="88">
        <f>VLOOKUP(A3614,매칭테이블!B:D,3,0)</f>
        <v/>
      </c>
      <c r="F3614" s="128" t="n"/>
      <c r="G3614" s="91" t="n"/>
      <c r="J3614" s="129" t="n">
        <v>37345</v>
      </c>
    </row>
    <row r="3615" customFormat="1" s="94">
      <c r="A3615" s="98" t="inlineStr">
        <is>
          <t>디스커버리_채우</t>
        </is>
      </c>
      <c r="B3615" s="128" t="n">
        <v>44227</v>
      </c>
      <c r="C3615" s="88">
        <f>TEXT(B3615,"aaa")</f>
        <v/>
      </c>
      <c r="D3615" s="128" t="inlineStr">
        <is>
          <t>유튜브 디스커버리</t>
        </is>
      </c>
      <c r="E3615" s="88">
        <f>VLOOKUP(A3615,매칭테이블!B:D,3,0)</f>
        <v/>
      </c>
      <c r="F3615" s="128" t="n"/>
      <c r="G3615" s="91" t="n"/>
      <c r="J3615" s="129" t="n">
        <v>403716</v>
      </c>
    </row>
    <row r="3616" customFormat="1" s="94">
      <c r="A3616" s="98" t="inlineStr">
        <is>
          <t>디스커버리_미닝님</t>
        </is>
      </c>
      <c r="B3616" s="128" t="n">
        <v>44227</v>
      </c>
      <c r="C3616" s="88">
        <f>TEXT(B3616,"aaa")</f>
        <v/>
      </c>
      <c r="D3616" s="128" t="inlineStr">
        <is>
          <t>유튜브 디스커버리</t>
        </is>
      </c>
      <c r="E3616" s="88">
        <f>VLOOKUP(A3616,매칭테이블!B:D,3,0)</f>
        <v/>
      </c>
      <c r="F3616" s="128" t="n"/>
      <c r="G3616" s="91" t="n"/>
      <c r="J3616" s="129" t="n">
        <v>407010</v>
      </c>
    </row>
    <row r="3617" customFormat="1" s="94">
      <c r="A3617" s="98" t="inlineStr">
        <is>
          <t>동영상_디스커버리_좁쌀가시_3차</t>
        </is>
      </c>
      <c r="B3617" s="128" t="n">
        <v>44227</v>
      </c>
      <c r="C3617" s="88">
        <f>TEXT(B3617,"aaa")</f>
        <v/>
      </c>
      <c r="D3617" s="128" t="inlineStr">
        <is>
          <t>유튜브 디스커버리</t>
        </is>
      </c>
      <c r="E3617" s="88">
        <f>VLOOKUP(A3617,매칭테이블!B:D,3,0)</f>
        <v/>
      </c>
      <c r="F3617" s="128" t="n"/>
      <c r="G3617" s="91" t="n"/>
      <c r="J3617" s="129" t="n">
        <v>339267</v>
      </c>
    </row>
    <row r="3618" customFormat="1" s="94">
      <c r="A3618" s="98" t="inlineStr">
        <is>
          <t>디스커버리_천서영님_썸네일테스트 #3</t>
        </is>
      </c>
      <c r="B3618" s="128" t="n">
        <v>44227</v>
      </c>
      <c r="C3618" s="88">
        <f>TEXT(B3618,"aaa")</f>
        <v/>
      </c>
      <c r="D3618" s="128" t="inlineStr">
        <is>
          <t>유튜브 디스커버리</t>
        </is>
      </c>
      <c r="E3618" s="88">
        <f>VLOOKUP(A3618,매칭테이블!B:D,3,0)</f>
        <v/>
      </c>
      <c r="F3618" s="128" t="n"/>
      <c r="G3618" s="91" t="n"/>
      <c r="J3618" s="129" t="n">
        <v>616717</v>
      </c>
    </row>
    <row r="3619" customFormat="1" s="94">
      <c r="A3619" s="98" t="inlineStr">
        <is>
          <t>GDN_토너로션</t>
        </is>
      </c>
      <c r="B3619" s="128" t="n">
        <v>44227</v>
      </c>
      <c r="C3619" s="88">
        <f>TEXT(B3619,"aaa")</f>
        <v/>
      </c>
      <c r="D3619" s="128" t="inlineStr">
        <is>
          <t>유튜브 디스커버리</t>
        </is>
      </c>
      <c r="E3619" s="88">
        <f>VLOOKUP(A3619,매칭테이블!B:D,3,0)</f>
        <v/>
      </c>
      <c r="F3619" s="128" t="n"/>
      <c r="G3619" s="91" t="n"/>
      <c r="J3619" s="129" t="n">
        <v>113861</v>
      </c>
    </row>
    <row r="3620" customFormat="1" s="94">
      <c r="A3620" s="98" t="inlineStr">
        <is>
          <t>디스커버리_DP_패드관심사1_소재1(아들)</t>
        </is>
      </c>
      <c r="B3620" s="128" t="n">
        <v>44227</v>
      </c>
      <c r="C3620" s="88">
        <f>TEXT(B3620,"aaa")</f>
        <v/>
      </c>
      <c r="D3620" s="128" t="inlineStr">
        <is>
          <t>유튜브 디스커버리</t>
        </is>
      </c>
      <c r="E3620" s="88">
        <f>VLOOKUP(A3620,매칭테이블!B:D,3,0)</f>
        <v/>
      </c>
      <c r="F3620" s="128" t="n"/>
      <c r="G3620" s="91" t="n"/>
      <c r="J3620" s="129" t="n">
        <v>17229</v>
      </c>
    </row>
    <row r="3621" customFormat="1" s="94">
      <c r="A3621" s="98" t="inlineStr">
        <is>
          <t>동영상_디스커버리_좁쌀가시</t>
        </is>
      </c>
      <c r="B3621" s="128" t="n">
        <v>44227</v>
      </c>
      <c r="C3621" s="88">
        <f>TEXT(B3621,"aaa")</f>
        <v/>
      </c>
      <c r="D3621" s="128" t="inlineStr">
        <is>
          <t>유튜브 디스커버리</t>
        </is>
      </c>
      <c r="E3621" s="88">
        <f>VLOOKUP(A3621,매칭테이블!B:D,3,0)</f>
        <v/>
      </c>
      <c r="F3621" s="128" t="n"/>
      <c r="G3621" s="91" t="n"/>
      <c r="J3621" s="129" t="n">
        <v>8068</v>
      </c>
    </row>
    <row r="3622" customFormat="1" s="94">
      <c r="A3622" s="98" t="inlineStr">
        <is>
          <t>디스커버리_DP_패드관심사1_소재1(딸)</t>
        </is>
      </c>
      <c r="B3622" s="128" t="n">
        <v>44227</v>
      </c>
      <c r="C3622" s="88">
        <f>TEXT(B3622,"aaa")</f>
        <v/>
      </c>
      <c r="D3622" s="128" t="inlineStr">
        <is>
          <t>유튜브 디스커버리</t>
        </is>
      </c>
      <c r="E3622" s="88">
        <f>VLOOKUP(A3622,매칭테이블!B:D,3,0)</f>
        <v/>
      </c>
      <c r="F3622" s="128" t="n"/>
      <c r="G3622" s="91" t="n"/>
      <c r="J3622" s="129" t="n">
        <v>100832</v>
      </c>
    </row>
    <row r="3623" customFormat="1" s="94">
      <c r="A3623" s="98" t="inlineStr">
        <is>
          <t>디스커버리_케이린</t>
        </is>
      </c>
      <c r="B3623" s="128" t="n">
        <v>44227</v>
      </c>
      <c r="C3623" s="88">
        <f>TEXT(B3623,"aaa")</f>
        <v/>
      </c>
      <c r="D3623" s="128" t="inlineStr">
        <is>
          <t>유튜브 디스커버리</t>
        </is>
      </c>
      <c r="E3623" s="88">
        <f>VLOOKUP(A3623,매칭테이블!B:D,3,0)</f>
        <v/>
      </c>
      <c r="F3623" s="128" t="n"/>
      <c r="G3623" s="91" t="n"/>
      <c r="J3623" s="129" t="n">
        <v>401732</v>
      </c>
    </row>
    <row r="3624" customFormat="1" s="94">
      <c r="A3624" s="98" t="inlineStr">
        <is>
          <t>디스커버리_최모나토너편집</t>
        </is>
      </c>
      <c r="B3624" s="128" t="n">
        <v>44227</v>
      </c>
      <c r="C3624" s="88">
        <f>TEXT(B3624,"aaa")</f>
        <v/>
      </c>
      <c r="D3624" s="128" t="inlineStr">
        <is>
          <t>유튜브 디스커버리</t>
        </is>
      </c>
      <c r="E3624" s="88">
        <f>VLOOKUP(A3624,매칭테이블!B:D,3,0)</f>
        <v/>
      </c>
      <c r="F3624" s="128" t="n"/>
      <c r="G3624" s="91" t="n"/>
      <c r="J3624" s="129" t="n">
        <v>421315</v>
      </c>
    </row>
    <row r="3625" customFormat="1" s="94">
      <c r="A3625" s="98" t="inlineStr">
        <is>
          <t>디스커버리_빛이나</t>
        </is>
      </c>
      <c r="B3625" s="128" t="n">
        <v>44227</v>
      </c>
      <c r="C3625" s="88">
        <f>TEXT(B3625,"aaa")</f>
        <v/>
      </c>
      <c r="D3625" s="128" t="inlineStr">
        <is>
          <t>유튜브 디스커버리</t>
        </is>
      </c>
      <c r="E3625" s="88">
        <f>VLOOKUP(A3625,매칭테이블!B:D,3,0)</f>
        <v/>
      </c>
      <c r="F3625" s="128" t="n"/>
      <c r="G3625" s="91" t="n"/>
      <c r="J3625" s="129" t="n">
        <v>94943</v>
      </c>
    </row>
    <row r="3626" customFormat="1" s="94">
      <c r="A3626" s="99" t="inlineStr">
        <is>
          <t>전환_토너패드</t>
        </is>
      </c>
      <c r="B3626" s="128" t="n">
        <v>44228</v>
      </c>
      <c r="C3626" s="88">
        <f>TEXT(B3626,"aaa")</f>
        <v/>
      </c>
      <c r="D3626" s="128" t="inlineStr">
        <is>
          <t>페이스북/인스타그램</t>
        </is>
      </c>
      <c r="E3626" s="88">
        <f>VLOOKUP(A3626,매칭테이블!B:D,3,0)</f>
        <v/>
      </c>
      <c r="F3626" s="128" t="n"/>
      <c r="G3626" s="91" t="n"/>
      <c r="J3626" s="129" t="n">
        <v>588384</v>
      </c>
    </row>
    <row r="3627" customFormat="1" s="94">
      <c r="A3627" s="99" t="inlineStr">
        <is>
          <t>도달_랄라블라</t>
        </is>
      </c>
      <c r="B3627" s="128" t="n">
        <v>44228</v>
      </c>
      <c r="C3627" s="88">
        <f>TEXT(B3627,"aaa")</f>
        <v/>
      </c>
      <c r="D3627" s="128" t="inlineStr">
        <is>
          <t>페이스북/인스타그램</t>
        </is>
      </c>
      <c r="E3627" s="88">
        <f>VLOOKUP(A3627,매칭테이블!B:D,3,0)</f>
        <v/>
      </c>
      <c r="F3627" s="128" t="n"/>
      <c r="G3627" s="91" t="n"/>
      <c r="J3627" s="129" t="n">
        <v>29681</v>
      </c>
    </row>
    <row r="3628" customFormat="1" s="94">
      <c r="A3628" s="99" t="inlineStr">
        <is>
          <t>전환</t>
        </is>
      </c>
      <c r="B3628" s="128" t="n">
        <v>44228</v>
      </c>
      <c r="C3628" s="88">
        <f>TEXT(B3628,"aaa")</f>
        <v/>
      </c>
      <c r="D3628" s="128" t="inlineStr">
        <is>
          <t>페이스북/인스타그램</t>
        </is>
      </c>
      <c r="E3628" s="88">
        <f>VLOOKUP(A3628,매칭테이블!B:D,3,0)</f>
        <v/>
      </c>
      <c r="F3628" s="128" t="n"/>
      <c r="G3628" s="91" t="n"/>
      <c r="J3628" s="129" t="n">
        <v>1334989</v>
      </c>
    </row>
    <row r="3629" customFormat="1" s="94">
      <c r="A3629" s="98" t="inlineStr">
        <is>
          <t>T_토너_테스트</t>
        </is>
      </c>
      <c r="B3629" s="128" t="n">
        <v>44228</v>
      </c>
      <c r="C3629" s="88">
        <f>TEXT(B3629,"aaa")</f>
        <v/>
      </c>
      <c r="D3629" s="128" t="inlineStr">
        <is>
          <t>네이버 GFA</t>
        </is>
      </c>
      <c r="E3629" s="88">
        <f>VLOOKUP(A3629,매칭테이블!B:D,3,0)</f>
        <v/>
      </c>
      <c r="F3629" s="128" t="n"/>
      <c r="G3629" s="91" t="n"/>
      <c r="J3629" s="129" t="n">
        <v>0</v>
      </c>
    </row>
    <row r="3630" customFormat="1" s="94">
      <c r="A3630" s="98" t="inlineStr">
        <is>
          <t>아누아_77%패드_청소년관심사_메인</t>
        </is>
      </c>
      <c r="B3630" s="128" t="n">
        <v>44228</v>
      </c>
      <c r="C3630" s="88">
        <f>TEXT(B3630,"aaa")</f>
        <v/>
      </c>
      <c r="D3630" s="128" t="inlineStr">
        <is>
          <t>네이버 GFA</t>
        </is>
      </c>
      <c r="E3630" s="88">
        <f>VLOOKUP(A3630,매칭테이블!B:D,3,0)</f>
        <v/>
      </c>
      <c r="F3630" s="128" t="n"/>
      <c r="G3630" s="91" t="n"/>
      <c r="J3630" s="129" t="n">
        <v>592426.3636363635</v>
      </c>
    </row>
    <row r="3631" customFormat="1" s="94">
      <c r="A3631" s="98" t="inlineStr">
        <is>
          <t>T_아누아_패드_메인</t>
        </is>
      </c>
      <c r="B3631" s="128" t="n">
        <v>44228</v>
      </c>
      <c r="C3631" s="88">
        <f>TEXT(B3631,"aaa")</f>
        <v/>
      </c>
      <c r="D3631" s="128" t="inlineStr">
        <is>
          <t>네이버 GFA</t>
        </is>
      </c>
      <c r="E3631" s="88">
        <f>VLOOKUP(A3631,매칭테이블!B:D,3,0)</f>
        <v/>
      </c>
      <c r="F3631" s="128" t="n"/>
      <c r="G3631" s="91" t="n"/>
      <c r="J3631" s="129" t="n">
        <v>1827081.818181818</v>
      </c>
    </row>
    <row r="3632" customFormat="1" s="94">
      <c r="A3632" s="98" t="inlineStr">
        <is>
          <t>토너_메인_기존소재</t>
        </is>
      </c>
      <c r="B3632" s="128" t="n">
        <v>44228</v>
      </c>
      <c r="C3632" s="88">
        <f>TEXT(B3632,"aaa")</f>
        <v/>
      </c>
      <c r="D3632" s="128" t="inlineStr">
        <is>
          <t>네이버 GFA</t>
        </is>
      </c>
      <c r="E3632" s="88">
        <f>VLOOKUP(A3632,매칭테이블!B:D,3,0)</f>
        <v/>
      </c>
      <c r="F3632" s="128" t="n"/>
      <c r="G3632" s="91" t="n"/>
      <c r="J3632" s="129" t="n">
        <v>694119.0909090908</v>
      </c>
    </row>
    <row r="3633" customFormat="1" s="94">
      <c r="A3633" s="98" t="inlineStr">
        <is>
          <t>아누아_쇼핑M</t>
        </is>
      </c>
      <c r="B3633" s="128" t="n">
        <v>44228</v>
      </c>
      <c r="C3633" s="88">
        <f>TEXT(B3633,"aaa")</f>
        <v/>
      </c>
      <c r="D3633" s="128" t="inlineStr">
        <is>
          <t>네이버 쇼핑검색</t>
        </is>
      </c>
      <c r="E3633" s="88" t="n"/>
      <c r="F3633" s="128" t="n"/>
      <c r="G3633" s="91" t="n"/>
      <c r="J3633" s="129" t="n">
        <v>61909.99999999999</v>
      </c>
    </row>
    <row r="3634" customFormat="1" s="94">
      <c r="A3634" s="98" t="inlineStr">
        <is>
          <t>아누아_쇼핑PC</t>
        </is>
      </c>
      <c r="B3634" s="128" t="n">
        <v>44228</v>
      </c>
      <c r="C3634" s="88">
        <f>TEXT(B3634,"aaa")</f>
        <v/>
      </c>
      <c r="D3634" s="128" t="inlineStr">
        <is>
          <t>네이버 쇼핑검색</t>
        </is>
      </c>
      <c r="E3634" s="88" t="n"/>
      <c r="F3634" s="128" t="n"/>
      <c r="G3634" s="91" t="n"/>
      <c r="J3634" s="129" t="n">
        <v>6619.999999999999</v>
      </c>
    </row>
    <row r="3635" customFormat="1" s="94">
      <c r="A3635" s="98" t="inlineStr">
        <is>
          <t>아누아_비즈보드_리타게팅</t>
        </is>
      </c>
      <c r="B3635" s="128" t="n">
        <v>44228</v>
      </c>
      <c r="C3635" s="88">
        <f>TEXT(B3635,"aaa")</f>
        <v/>
      </c>
      <c r="D3635" s="128" t="inlineStr">
        <is>
          <t>카카오광고</t>
        </is>
      </c>
      <c r="E3635" s="88">
        <f>VLOOKUP(A3635,매칭테이블!B:D,3,0)</f>
        <v/>
      </c>
      <c r="F3635" s="128" t="n"/>
      <c r="G3635" s="91" t="n"/>
      <c r="J3635" s="129" t="n">
        <v>7789.999999999999</v>
      </c>
    </row>
    <row r="3636" customFormat="1" s="94">
      <c r="A3636" s="98" t="inlineStr">
        <is>
          <t>아누아_올영입점이벤트_플친발송_210201</t>
        </is>
      </c>
      <c r="B3636" s="128" t="n">
        <v>44228</v>
      </c>
      <c r="C3636" s="88">
        <f>TEXT(B3636,"aaa")</f>
        <v/>
      </c>
      <c r="D3636" s="128" t="inlineStr">
        <is>
          <t>카카오광고</t>
        </is>
      </c>
      <c r="E3636" s="88">
        <f>VLOOKUP(A3636,매칭테이블!B:D,3,0)</f>
        <v/>
      </c>
      <c r="F3636" s="128" t="n"/>
      <c r="G3636" s="91" t="n"/>
      <c r="J3636" s="129" t="n">
        <v>700140</v>
      </c>
    </row>
    <row r="3637" customFormat="1" s="94">
      <c r="A3637" s="98" t="inlineStr">
        <is>
          <t>아누아_토너_관심사1_초4소재_1200x628</t>
        </is>
      </c>
      <c r="B3637" s="128" t="n">
        <v>44228</v>
      </c>
      <c r="C3637" s="88">
        <f>TEXT(B3637,"aaa")</f>
        <v/>
      </c>
      <c r="D3637" s="128" t="inlineStr">
        <is>
          <t>카카오광고</t>
        </is>
      </c>
      <c r="E3637" s="88">
        <f>VLOOKUP(A3637,매칭테이블!B:D,3,0)</f>
        <v/>
      </c>
      <c r="F3637" s="128" t="n"/>
      <c r="G3637" s="91" t="n"/>
      <c r="J3637" s="129" t="n">
        <v>615330</v>
      </c>
    </row>
    <row r="3638" customFormat="1" s="94">
      <c r="A3638" s="98" t="inlineStr">
        <is>
          <t>디스커버리_최모나토너편집</t>
        </is>
      </c>
      <c r="B3638" s="128" t="n">
        <v>44228</v>
      </c>
      <c r="C3638" s="88">
        <f>TEXT(B3638,"aaa")</f>
        <v/>
      </c>
      <c r="D3638" s="128" t="inlineStr">
        <is>
          <t>유튜브 디스커버리</t>
        </is>
      </c>
      <c r="E3638" s="88">
        <f>VLOOKUP(A3638,매칭테이블!B:D,3,0)</f>
        <v/>
      </c>
      <c r="F3638" s="128" t="n"/>
      <c r="G3638" s="91" t="n"/>
      <c r="J3638" s="129" t="n">
        <v>221529.0909090909</v>
      </c>
    </row>
    <row r="3639" customFormat="1" s="94">
      <c r="A3639" s="98" t="inlineStr">
        <is>
          <t>디스커버리_DP_관심사2_2+1강조</t>
        </is>
      </c>
      <c r="B3639" s="128" t="n">
        <v>44228</v>
      </c>
      <c r="C3639" s="88">
        <f>TEXT(B3639,"aaa")</f>
        <v/>
      </c>
      <c r="D3639" s="128" t="inlineStr">
        <is>
          <t>유튜브 디스커버리</t>
        </is>
      </c>
      <c r="E3639" s="88">
        <f>VLOOKUP(A3639,매칭테이블!B:D,3,0)</f>
        <v/>
      </c>
      <c r="F3639" s="128" t="n"/>
      <c r="G3639" s="91" t="n"/>
      <c r="J3639" s="129" t="n">
        <v>115528.1818181818</v>
      </c>
    </row>
    <row r="3640" customFormat="1" s="94">
      <c r="A3640" s="98" t="inlineStr">
        <is>
          <t>디스커버리_DP_패드관심사1_소재1(딸)</t>
        </is>
      </c>
      <c r="B3640" s="128" t="n">
        <v>44228</v>
      </c>
      <c r="C3640" s="88">
        <f>TEXT(B3640,"aaa")</f>
        <v/>
      </c>
      <c r="D3640" s="128" t="inlineStr">
        <is>
          <t>유튜브 디스커버리</t>
        </is>
      </c>
      <c r="E3640" s="88">
        <f>VLOOKUP(A3640,매칭테이블!B:D,3,0)</f>
        <v/>
      </c>
      <c r="F3640" s="128" t="n"/>
      <c r="G3640" s="91" t="n"/>
      <c r="J3640" s="129" t="n">
        <v>9216.363636363636</v>
      </c>
    </row>
    <row r="3641" customFormat="1" s="94">
      <c r="A3641" s="98" t="inlineStr">
        <is>
          <t>토너_관심사1_엄마잘컨</t>
        </is>
      </c>
      <c r="B3641" s="128" t="n">
        <v>44228</v>
      </c>
      <c r="C3641" s="88">
        <f>TEXT(B3641,"aaa")</f>
        <v/>
      </c>
      <c r="D3641" s="128" t="inlineStr">
        <is>
          <t>유튜브 디스커버리</t>
        </is>
      </c>
      <c r="E3641" s="88">
        <f>VLOOKUP(A3641,매칭테이블!B:D,3,0)</f>
        <v/>
      </c>
      <c r="F3641" s="128" t="n"/>
      <c r="G3641" s="91" t="n"/>
      <c r="J3641" s="129" t="n">
        <v>116160.9090909091</v>
      </c>
    </row>
    <row r="3642" customFormat="1" s="94">
      <c r="A3642" s="98" t="inlineStr">
        <is>
          <t>디스커버리_케이린</t>
        </is>
      </c>
      <c r="B3642" s="128" t="n">
        <v>44228</v>
      </c>
      <c r="C3642" s="88">
        <f>TEXT(B3642,"aaa")</f>
        <v/>
      </c>
      <c r="D3642" s="128" t="inlineStr">
        <is>
          <t>유튜브 디스커버리</t>
        </is>
      </c>
      <c r="E3642" s="88">
        <f>VLOOKUP(A3642,매칭테이블!B:D,3,0)</f>
        <v/>
      </c>
      <c r="F3642" s="128" t="n"/>
      <c r="G3642" s="91" t="n"/>
      <c r="J3642" s="129" t="n">
        <v>246941.8181818181</v>
      </c>
    </row>
    <row r="3643" customFormat="1" s="94">
      <c r="A3643" s="98" t="inlineStr">
        <is>
          <t>동영상_디스커버리_좁쌀가시</t>
        </is>
      </c>
      <c r="B3643" s="128" t="n">
        <v>44228</v>
      </c>
      <c r="C3643" s="88">
        <f>TEXT(B3643,"aaa")</f>
        <v/>
      </c>
      <c r="D3643" s="128" t="inlineStr">
        <is>
          <t>유튜브 디스커버리</t>
        </is>
      </c>
      <c r="E3643" s="88">
        <f>VLOOKUP(A3643,매칭테이블!B:D,3,0)</f>
        <v/>
      </c>
      <c r="F3643" s="128" t="n"/>
      <c r="G3643" s="91" t="n"/>
      <c r="J3643" s="129" t="n">
        <v>3201.818181818182</v>
      </c>
    </row>
    <row r="3644" customFormat="1" s="94">
      <c r="A3644" s="98" t="inlineStr">
        <is>
          <t>디스커버리_미닝님_4554알수없음</t>
        </is>
      </c>
      <c r="B3644" s="128" t="n">
        <v>44228</v>
      </c>
      <c r="C3644" s="88">
        <f>TEXT(B3644,"aaa")</f>
        <v/>
      </c>
      <c r="D3644" s="128" t="inlineStr">
        <is>
          <t>유튜브 디스커버리</t>
        </is>
      </c>
      <c r="E3644" s="88">
        <f>VLOOKUP(A3644,매칭테이블!B:D,3,0)</f>
        <v/>
      </c>
      <c r="F3644" s="128" t="n"/>
      <c r="G3644" s="91" t="n"/>
      <c r="J3644" s="129" t="n">
        <v>124275.4545454545</v>
      </c>
    </row>
    <row r="3645" customFormat="1" s="94">
      <c r="A3645" s="98" t="inlineStr">
        <is>
          <t>디스커버리_소히방2</t>
        </is>
      </c>
      <c r="B3645" s="128" t="n">
        <v>44228</v>
      </c>
      <c r="C3645" s="88">
        <f>TEXT(B3645,"aaa")</f>
        <v/>
      </c>
      <c r="D3645" s="128" t="inlineStr">
        <is>
          <t>유튜브 디스커버리</t>
        </is>
      </c>
      <c r="E3645" s="88">
        <f>VLOOKUP(A3645,매칭테이블!B:D,3,0)</f>
        <v/>
      </c>
      <c r="F3645" s="128" t="n"/>
      <c r="G3645" s="91" t="n"/>
      <c r="J3645" s="129" t="n">
        <v>1596.363636363636</v>
      </c>
    </row>
    <row r="3646" customFormat="1" s="94">
      <c r="A3646" s="98" t="inlineStr">
        <is>
          <t>디스커버리_빛이나</t>
        </is>
      </c>
      <c r="B3646" s="128" t="n">
        <v>44228</v>
      </c>
      <c r="C3646" s="88">
        <f>TEXT(B3646,"aaa")</f>
        <v/>
      </c>
      <c r="D3646" s="128" t="inlineStr">
        <is>
          <t>유튜브 디스커버리</t>
        </is>
      </c>
      <c r="E3646" s="88">
        <f>VLOOKUP(A3646,매칭테이블!B:D,3,0)</f>
        <v/>
      </c>
      <c r="F3646" s="128" t="n"/>
      <c r="G3646" s="91" t="n"/>
      <c r="J3646" s="129" t="n">
        <v>82667.27272727272</v>
      </c>
    </row>
    <row r="3647" customFormat="1" s="94">
      <c r="A3647" s="98" t="inlineStr">
        <is>
          <t>동영상_반응형_좁쌀가시 #1</t>
        </is>
      </c>
      <c r="B3647" s="128" t="n">
        <v>44228</v>
      </c>
      <c r="C3647" s="88">
        <f>TEXT(B3647,"aaa")</f>
        <v/>
      </c>
      <c r="D3647" s="128" t="inlineStr">
        <is>
          <t>유튜브 디스커버리</t>
        </is>
      </c>
      <c r="E3647" s="88">
        <f>VLOOKUP(A3647,매칭테이블!B:D,3,0)</f>
        <v/>
      </c>
      <c r="F3647" s="128" t="n"/>
      <c r="G3647" s="91" t="n"/>
      <c r="J3647" s="129" t="n">
        <v>1709.090909090909</v>
      </c>
    </row>
    <row r="3648" customFormat="1" s="94">
      <c r="A3648" s="98" t="inlineStr">
        <is>
          <t>GDN_토너로션</t>
        </is>
      </c>
      <c r="B3648" s="128" t="n">
        <v>44228</v>
      </c>
      <c r="C3648" s="88">
        <f>TEXT(B3648,"aaa")</f>
        <v/>
      </c>
      <c r="D3648" s="128" t="inlineStr">
        <is>
          <t>유튜브 디스커버리</t>
        </is>
      </c>
      <c r="E3648" s="88">
        <f>VLOOKUP(A3648,매칭테이블!B:D,3,0)</f>
        <v/>
      </c>
      <c r="F3648" s="128" t="n"/>
      <c r="G3648" s="91" t="n"/>
      <c r="J3648" s="129" t="n">
        <v>83020.90909090909</v>
      </c>
    </row>
    <row r="3649" customFormat="1" s="94">
      <c r="A3649" s="98" t="inlineStr">
        <is>
          <t>디스커버리_채우</t>
        </is>
      </c>
      <c r="B3649" s="128" t="n">
        <v>44228</v>
      </c>
      <c r="C3649" s="88">
        <f>TEXT(B3649,"aaa")</f>
        <v/>
      </c>
      <c r="D3649" s="128" t="inlineStr">
        <is>
          <t>유튜브 디스커버리</t>
        </is>
      </c>
      <c r="E3649" s="88">
        <f>VLOOKUP(A3649,매칭테이블!B:D,3,0)</f>
        <v/>
      </c>
      <c r="F3649" s="128" t="n"/>
      <c r="G3649" s="91" t="n"/>
      <c r="J3649" s="129" t="n">
        <v>286118.1818181818</v>
      </c>
    </row>
    <row r="3650" customFormat="1" s="94">
      <c r="A3650" s="98" t="inlineStr">
        <is>
          <t>디스커버리_미닝님</t>
        </is>
      </c>
      <c r="B3650" s="128" t="n">
        <v>44228</v>
      </c>
      <c r="C3650" s="88">
        <f>TEXT(B3650,"aaa")</f>
        <v/>
      </c>
      <c r="D3650" s="128" t="inlineStr">
        <is>
          <t>유튜브 디스커버리</t>
        </is>
      </c>
      <c r="E3650" s="88">
        <f>VLOOKUP(A3650,매칭테이블!B:D,3,0)</f>
        <v/>
      </c>
      <c r="F3650" s="128" t="n"/>
      <c r="G3650" s="91" t="n"/>
      <c r="J3650" s="129" t="n">
        <v>249345.4545454545</v>
      </c>
    </row>
    <row r="3651" customFormat="1" s="94">
      <c r="A3651" s="98" t="inlineStr">
        <is>
          <t>디스커버리_천서영님_썸네일테스트 #3</t>
        </is>
      </c>
      <c r="B3651" s="128" t="n">
        <v>44228</v>
      </c>
      <c r="C3651" s="88">
        <f>TEXT(B3651,"aaa")</f>
        <v/>
      </c>
      <c r="D3651" s="128" t="inlineStr">
        <is>
          <t>유튜브 디스커버리</t>
        </is>
      </c>
      <c r="E3651" s="88">
        <f>VLOOKUP(A3651,매칭테이블!B:D,3,0)</f>
        <v/>
      </c>
      <c r="F3651" s="128" t="n"/>
      <c r="G3651" s="91" t="n"/>
      <c r="J3651" s="129" t="n">
        <v>189850.9090909091</v>
      </c>
    </row>
    <row r="3652" customFormat="1" s="94">
      <c r="A3652" s="98" t="inlineStr">
        <is>
          <t>동영상_디스커버리_좁쌀가시_3차</t>
        </is>
      </c>
      <c r="B3652" s="128" t="n">
        <v>44228</v>
      </c>
      <c r="C3652" s="88">
        <f>TEXT(B3652,"aaa")</f>
        <v/>
      </c>
      <c r="D3652" s="128" t="inlineStr">
        <is>
          <t>유튜브 디스커버리</t>
        </is>
      </c>
      <c r="E3652" s="88">
        <f>VLOOKUP(A3652,매칭테이블!B:D,3,0)</f>
        <v/>
      </c>
      <c r="F3652" s="128" t="n"/>
      <c r="G3652" s="91" t="n"/>
      <c r="J3652" s="129" t="n">
        <v>1798.181818181818</v>
      </c>
    </row>
    <row r="3653" customFormat="1" s="94">
      <c r="A3653" s="98" t="inlineStr">
        <is>
          <t>동영상_디스커버리_좁쌀가시_고정</t>
        </is>
      </c>
      <c r="B3653" s="128" t="n">
        <v>44228</v>
      </c>
      <c r="C3653" s="88">
        <f>TEXT(B3653,"aaa")</f>
        <v/>
      </c>
      <c r="D3653" s="128" t="inlineStr">
        <is>
          <t>유튜브 디스커버리</t>
        </is>
      </c>
      <c r="E3653" s="88">
        <f>VLOOKUP(A3653,매칭테이블!B:D,3,0)</f>
        <v/>
      </c>
      <c r="F3653" s="128" t="n"/>
      <c r="G3653" s="91" t="n"/>
      <c r="J3653" s="129" t="n">
        <v>200663.6363636364</v>
      </c>
    </row>
    <row r="3654" customFormat="1" s="94">
      <c r="A3654" s="99" t="inlineStr">
        <is>
          <t>도달_올리브영</t>
        </is>
      </c>
      <c r="B3654" s="128" t="n">
        <v>44229</v>
      </c>
      <c r="C3654" s="88">
        <f>TEXT(B3654,"aaa")</f>
        <v/>
      </c>
      <c r="D3654" s="128" t="inlineStr">
        <is>
          <t>페이스북/인스타그램</t>
        </is>
      </c>
      <c r="E3654" s="88">
        <f>VLOOKUP(A3654,매칭테이블!B:D,3,0)</f>
        <v/>
      </c>
      <c r="F3654" s="128" t="n"/>
      <c r="G3654" s="91" t="n"/>
      <c r="J3654" s="129" t="n">
        <v>29602</v>
      </c>
    </row>
    <row r="3655" customFormat="1" s="94">
      <c r="A3655" s="99" t="inlineStr">
        <is>
          <t>전환_토너패드</t>
        </is>
      </c>
      <c r="B3655" s="128" t="n">
        <v>44229</v>
      </c>
      <c r="C3655" s="88">
        <f>TEXT(B3655,"aaa")</f>
        <v/>
      </c>
      <c r="D3655" s="128" t="inlineStr">
        <is>
          <t>페이스북/인스타그램</t>
        </is>
      </c>
      <c r="E3655" s="88">
        <f>VLOOKUP(A3655,매칭테이블!B:D,3,0)</f>
        <v/>
      </c>
      <c r="F3655" s="128" t="n"/>
      <c r="G3655" s="91" t="n"/>
      <c r="J3655" s="129" t="n">
        <v>305475</v>
      </c>
    </row>
    <row r="3656" customFormat="1" s="94">
      <c r="A3656" s="99" t="inlineStr">
        <is>
          <t>도달_랄라블라</t>
        </is>
      </c>
      <c r="B3656" s="128" t="n">
        <v>44229</v>
      </c>
      <c r="C3656" s="88">
        <f>TEXT(B3656,"aaa")</f>
        <v/>
      </c>
      <c r="D3656" s="128" t="inlineStr">
        <is>
          <t>페이스북/인스타그램</t>
        </is>
      </c>
      <c r="E3656" s="88">
        <f>VLOOKUP(A3656,매칭테이블!B:D,3,0)</f>
        <v/>
      </c>
      <c r="F3656" s="128" t="n"/>
      <c r="G3656" s="91" t="n"/>
      <c r="J3656" s="129" t="n">
        <v>18606</v>
      </c>
    </row>
    <row r="3657" customFormat="1" s="94">
      <c r="A3657" s="99" t="inlineStr">
        <is>
          <t>전환</t>
        </is>
      </c>
      <c r="B3657" s="128" t="n">
        <v>44229</v>
      </c>
      <c r="C3657" s="88">
        <f>TEXT(B3657,"aaa")</f>
        <v/>
      </c>
      <c r="D3657" s="128" t="inlineStr">
        <is>
          <t>페이스북/인스타그램</t>
        </is>
      </c>
      <c r="E3657" s="88">
        <f>VLOOKUP(A3657,매칭테이블!B:D,3,0)</f>
        <v/>
      </c>
      <c r="F3657" s="128" t="n"/>
      <c r="G3657" s="91" t="n"/>
      <c r="J3657" s="129" t="n">
        <v>934350</v>
      </c>
    </row>
    <row r="3658" customFormat="1" s="94">
      <c r="A3658" s="98" t="inlineStr">
        <is>
          <t>아누아_77%패드_신규소구점테스트</t>
        </is>
      </c>
      <c r="B3658" s="128" t="n">
        <v>44229</v>
      </c>
      <c r="C3658" s="88">
        <f>TEXT(B3658,"aaa")</f>
        <v/>
      </c>
      <c r="D3658" s="128" t="inlineStr">
        <is>
          <t>네이버 GFA</t>
        </is>
      </c>
      <c r="E3658" s="88">
        <f>VLOOKUP(A3658,매칭테이블!B:D,3,0)</f>
        <v/>
      </c>
      <c r="F3658" s="128" t="n"/>
      <c r="G3658" s="91" t="n"/>
      <c r="J3658" s="129" t="n">
        <v>142510.9090909091</v>
      </c>
    </row>
    <row r="3659" customFormat="1" s="94">
      <c r="A3659" s="98" t="inlineStr">
        <is>
          <t>T_토너_테스트</t>
        </is>
      </c>
      <c r="B3659" s="128" t="n">
        <v>44229</v>
      </c>
      <c r="C3659" s="88">
        <f>TEXT(B3659,"aaa")</f>
        <v/>
      </c>
      <c r="D3659" s="128" t="inlineStr">
        <is>
          <t>네이버 GFA</t>
        </is>
      </c>
      <c r="E3659" s="88">
        <f>VLOOKUP(A3659,매칭테이블!B:D,3,0)</f>
        <v/>
      </c>
      <c r="F3659" s="128" t="n"/>
      <c r="G3659" s="91" t="n"/>
      <c r="J3659" s="129" t="n">
        <v>67130.90909090909</v>
      </c>
    </row>
    <row r="3660" customFormat="1" s="94">
      <c r="A3660" s="98" t="inlineStr">
        <is>
          <t>아누아_77%패드_청소년관심사_메인</t>
        </is>
      </c>
      <c r="B3660" s="128" t="n">
        <v>44229</v>
      </c>
      <c r="C3660" s="88">
        <f>TEXT(B3660,"aaa")</f>
        <v/>
      </c>
      <c r="D3660" s="128" t="inlineStr">
        <is>
          <t>네이버 GFA</t>
        </is>
      </c>
      <c r="E3660" s="88">
        <f>VLOOKUP(A3660,매칭테이블!B:D,3,0)</f>
        <v/>
      </c>
      <c r="F3660" s="128" t="n"/>
      <c r="G3660" s="91" t="n"/>
      <c r="J3660" s="129" t="n">
        <v>516337.2727272727</v>
      </c>
    </row>
    <row r="3661" customFormat="1" s="94">
      <c r="A3661" s="98" t="inlineStr">
        <is>
          <t>T_아누아_패드_메인</t>
        </is>
      </c>
      <c r="B3661" s="128" t="n">
        <v>44229</v>
      </c>
      <c r="C3661" s="88">
        <f>TEXT(B3661,"aaa")</f>
        <v/>
      </c>
      <c r="D3661" s="128" t="inlineStr">
        <is>
          <t>네이버 GFA</t>
        </is>
      </c>
      <c r="E3661" s="88">
        <f>VLOOKUP(A3661,매칭테이블!B:D,3,0)</f>
        <v/>
      </c>
      <c r="F3661" s="128" t="n"/>
      <c r="G3661" s="91" t="n"/>
      <c r="J3661" s="129" t="n">
        <v>1232533.636363636</v>
      </c>
    </row>
    <row r="3662" customFormat="1" s="94">
      <c r="A3662" s="98" t="inlineStr">
        <is>
          <t>토너_메인_기존소재</t>
        </is>
      </c>
      <c r="B3662" s="128" t="n">
        <v>44229</v>
      </c>
      <c r="C3662" s="88">
        <f>TEXT(B3662,"aaa")</f>
        <v/>
      </c>
      <c r="D3662" s="128" t="inlineStr">
        <is>
          <t>네이버 GFA</t>
        </is>
      </c>
      <c r="E3662" s="88">
        <f>VLOOKUP(A3662,매칭테이블!B:D,3,0)</f>
        <v/>
      </c>
      <c r="F3662" s="128" t="n"/>
      <c r="G3662" s="91" t="n"/>
      <c r="J3662" s="129" t="n">
        <v>3117240.909090909</v>
      </c>
    </row>
    <row r="3663" customFormat="1" s="94">
      <c r="A3663" s="98" t="inlineStr">
        <is>
          <t>아누아_쇼핑M</t>
        </is>
      </c>
      <c r="B3663" s="128" t="n">
        <v>44229</v>
      </c>
      <c r="C3663" s="88">
        <f>TEXT(B3663,"aaa")</f>
        <v/>
      </c>
      <c r="D3663" s="128" t="inlineStr">
        <is>
          <t>네이버 쇼핑검색</t>
        </is>
      </c>
      <c r="E3663" s="88" t="n"/>
      <c r="F3663" s="128" t="n"/>
      <c r="G3663" s="91" t="n"/>
      <c r="J3663" s="129" t="n">
        <v>50049.99999999999</v>
      </c>
    </row>
    <row r="3664" customFormat="1" s="94">
      <c r="A3664" s="98" t="inlineStr">
        <is>
          <t>아누아_쇼핑PC</t>
        </is>
      </c>
      <c r="B3664" s="128" t="n">
        <v>44229</v>
      </c>
      <c r="C3664" s="88">
        <f>TEXT(B3664,"aaa")</f>
        <v/>
      </c>
      <c r="D3664" s="128" t="inlineStr">
        <is>
          <t>네이버 쇼핑검색</t>
        </is>
      </c>
      <c r="E3664" s="88" t="n"/>
      <c r="F3664" s="128" t="n"/>
      <c r="G3664" s="91" t="n"/>
      <c r="J3664" s="129" t="n">
        <v>7369.999999999999</v>
      </c>
    </row>
    <row r="3665" customFormat="1" s="94">
      <c r="A3665" s="98" t="inlineStr">
        <is>
          <t>아누아_비즈보드_리타게팅</t>
        </is>
      </c>
      <c r="B3665" s="128" t="n">
        <v>44229</v>
      </c>
      <c r="C3665" s="88">
        <f>TEXT(B3665,"aaa")</f>
        <v/>
      </c>
      <c r="D3665" s="128" t="inlineStr">
        <is>
          <t>카카오광고</t>
        </is>
      </c>
      <c r="E3665" s="88">
        <f>VLOOKUP(A3665,매칭테이블!B:D,3,0)</f>
        <v/>
      </c>
      <c r="F3665" s="128" t="n"/>
      <c r="G3665" s="91" t="n"/>
      <c r="J3665" s="129" t="n">
        <v>7209.999999999999</v>
      </c>
    </row>
    <row r="3666" customFormat="1" s="94">
      <c r="A3666" s="98" t="inlineStr">
        <is>
          <t>아누아_올영입점이벤트_플친발송_210201</t>
        </is>
      </c>
      <c r="B3666" s="128" t="n">
        <v>44229</v>
      </c>
      <c r="C3666" s="88">
        <f>TEXT(B3666,"aaa")</f>
        <v/>
      </c>
      <c r="D3666" s="128" t="inlineStr">
        <is>
          <t>카카오광고</t>
        </is>
      </c>
      <c r="E3666" s="88">
        <f>VLOOKUP(A3666,매칭테이블!B:D,3,0)</f>
        <v/>
      </c>
      <c r="F3666" s="128" t="n"/>
      <c r="G3666" s="91" t="n"/>
      <c r="J3666" s="129" t="n">
        <v>5595</v>
      </c>
    </row>
    <row r="3667" customFormat="1" s="94">
      <c r="A3667" s="98" t="inlineStr">
        <is>
          <t>아누아_토너_관심사1_초4소재_1200x600</t>
        </is>
      </c>
      <c r="B3667" s="128" t="n">
        <v>44229</v>
      </c>
      <c r="C3667" s="88">
        <f>TEXT(B3667,"aaa")</f>
        <v/>
      </c>
      <c r="D3667" s="128" t="inlineStr">
        <is>
          <t>카카오광고</t>
        </is>
      </c>
      <c r="E3667" s="88">
        <f>VLOOKUP(A3667,매칭테이블!B:D,3,0)</f>
        <v/>
      </c>
      <c r="F3667" s="128" t="n"/>
      <c r="G3667" s="91" t="n"/>
      <c r="J3667" s="129" t="n">
        <v>202550</v>
      </c>
    </row>
    <row r="3668" customFormat="1" s="94">
      <c r="A3668" s="98" t="inlineStr">
        <is>
          <t>디스커버리_최모나토너편집</t>
        </is>
      </c>
      <c r="B3668" s="128" t="n">
        <v>44229</v>
      </c>
      <c r="C3668" s="88">
        <f>TEXT(B3668,"aaa")</f>
        <v/>
      </c>
      <c r="D3668" s="128" t="inlineStr">
        <is>
          <t>유튜브 디스커버리</t>
        </is>
      </c>
      <c r="E3668" s="88">
        <f>VLOOKUP(A3668,매칭테이블!B:D,3,0)</f>
        <v/>
      </c>
      <c r="F3668" s="128" t="n"/>
      <c r="G3668" s="91" t="n"/>
      <c r="J3668" s="129" t="n">
        <v>238515</v>
      </c>
    </row>
    <row r="3669" customFormat="1" s="94">
      <c r="A3669" s="98" t="inlineStr">
        <is>
          <t>디스커버리_소히방2</t>
        </is>
      </c>
      <c r="B3669" s="128" t="n">
        <v>44229</v>
      </c>
      <c r="C3669" s="88">
        <f>TEXT(B3669,"aaa")</f>
        <v/>
      </c>
      <c r="D3669" s="128" t="inlineStr">
        <is>
          <t>유튜브 디스커버리</t>
        </is>
      </c>
      <c r="E3669" s="88">
        <f>VLOOKUP(A3669,매칭테이블!B:D,3,0)</f>
        <v/>
      </c>
      <c r="F3669" s="128" t="n"/>
      <c r="G3669" s="91" t="n"/>
      <c r="J3669" s="129" t="n">
        <v>1437</v>
      </c>
    </row>
    <row r="3670" customFormat="1" s="94">
      <c r="A3670" s="98" t="inlineStr">
        <is>
          <t>디스커버리_DP_관심사2_2+1강조</t>
        </is>
      </c>
      <c r="B3670" s="128" t="n">
        <v>44229</v>
      </c>
      <c r="C3670" s="88">
        <f>TEXT(B3670,"aaa")</f>
        <v/>
      </c>
      <c r="D3670" s="128" t="inlineStr">
        <is>
          <t>유튜브 디스커버리</t>
        </is>
      </c>
      <c r="E3670" s="88">
        <f>VLOOKUP(A3670,매칭테이블!B:D,3,0)</f>
        <v/>
      </c>
      <c r="F3670" s="128" t="n"/>
      <c r="G3670" s="91" t="n"/>
      <c r="J3670" s="129" t="n">
        <v>205556</v>
      </c>
    </row>
    <row r="3671" customFormat="1" s="94">
      <c r="A3671" s="98" t="inlineStr">
        <is>
          <t>토너_관심사1_엄마잘컨</t>
        </is>
      </c>
      <c r="B3671" s="128" t="n">
        <v>44229</v>
      </c>
      <c r="C3671" s="88">
        <f>TEXT(B3671,"aaa")</f>
        <v/>
      </c>
      <c r="D3671" s="128" t="inlineStr">
        <is>
          <t>유튜브 디스커버리</t>
        </is>
      </c>
      <c r="E3671" s="88">
        <f>VLOOKUP(A3671,매칭테이블!B:D,3,0)</f>
        <v/>
      </c>
      <c r="F3671" s="128" t="n"/>
      <c r="G3671" s="91" t="n"/>
      <c r="J3671" s="129" t="n">
        <v>88378</v>
      </c>
    </row>
    <row r="3672" customFormat="1" s="94">
      <c r="A3672" s="98" t="inlineStr">
        <is>
          <t>디스커버리_미닝님_4554알수없음</t>
        </is>
      </c>
      <c r="B3672" s="128" t="n">
        <v>44229</v>
      </c>
      <c r="C3672" s="88">
        <f>TEXT(B3672,"aaa")</f>
        <v/>
      </c>
      <c r="D3672" s="128" t="inlineStr">
        <is>
          <t>유튜브 디스커버리</t>
        </is>
      </c>
      <c r="E3672" s="88">
        <f>VLOOKUP(A3672,매칭테이블!B:D,3,0)</f>
        <v/>
      </c>
      <c r="F3672" s="128" t="n"/>
      <c r="G3672" s="91" t="n"/>
      <c r="J3672" s="129" t="n">
        <v>134776</v>
      </c>
    </row>
    <row r="3673" customFormat="1" s="94">
      <c r="A3673" s="98" t="inlineStr">
        <is>
          <t>GDN_토너로션</t>
        </is>
      </c>
      <c r="B3673" s="128" t="n">
        <v>44229</v>
      </c>
      <c r="C3673" s="88">
        <f>TEXT(B3673,"aaa")</f>
        <v/>
      </c>
      <c r="D3673" s="128" t="inlineStr">
        <is>
          <t>유튜브 디스커버리</t>
        </is>
      </c>
      <c r="E3673" s="88">
        <f>VLOOKUP(A3673,매칭테이블!B:D,3,0)</f>
        <v/>
      </c>
      <c r="F3673" s="128" t="n"/>
      <c r="G3673" s="91" t="n"/>
      <c r="J3673" s="129" t="n">
        <v>252279</v>
      </c>
    </row>
    <row r="3674" customFormat="1" s="94">
      <c r="A3674" s="98" t="inlineStr">
        <is>
          <t>디스커버리_미닝님</t>
        </is>
      </c>
      <c r="B3674" s="128" t="n">
        <v>44229</v>
      </c>
      <c r="C3674" s="88">
        <f>TEXT(B3674,"aaa")</f>
        <v/>
      </c>
      <c r="D3674" s="128" t="inlineStr">
        <is>
          <t>유튜브 디스커버리</t>
        </is>
      </c>
      <c r="E3674" s="88">
        <f>VLOOKUP(A3674,매칭테이블!B:D,3,0)</f>
        <v/>
      </c>
      <c r="F3674" s="128" t="n"/>
      <c r="G3674" s="91" t="n"/>
      <c r="J3674" s="129" t="n">
        <v>268911</v>
      </c>
    </row>
    <row r="3675" customFormat="1" s="94">
      <c r="A3675" s="98" t="inlineStr">
        <is>
          <t>디스커버리_천서영님_썸네일테스트 #3</t>
        </is>
      </c>
      <c r="B3675" s="128" t="n">
        <v>44229</v>
      </c>
      <c r="C3675" s="88">
        <f>TEXT(B3675,"aaa")</f>
        <v/>
      </c>
      <c r="D3675" s="128" t="inlineStr">
        <is>
          <t>유튜브 디스커버리</t>
        </is>
      </c>
      <c r="E3675" s="88">
        <f>VLOOKUP(A3675,매칭테이블!B:D,3,0)</f>
        <v/>
      </c>
      <c r="F3675" s="128" t="n"/>
      <c r="G3675" s="91" t="n"/>
      <c r="J3675" s="129" t="n">
        <v>207328</v>
      </c>
    </row>
    <row r="3676" customFormat="1" s="94">
      <c r="A3676" s="98" t="inlineStr">
        <is>
          <t>동영상_반응형_좁쌀가시 #1</t>
        </is>
      </c>
      <c r="B3676" s="128" t="n">
        <v>44229</v>
      </c>
      <c r="C3676" s="88">
        <f>TEXT(B3676,"aaa")</f>
        <v/>
      </c>
      <c r="D3676" s="128" t="inlineStr">
        <is>
          <t>유튜브 디스커버리</t>
        </is>
      </c>
      <c r="E3676" s="88">
        <f>VLOOKUP(A3676,매칭테이블!B:D,3,0)</f>
        <v/>
      </c>
      <c r="F3676" s="128" t="n"/>
      <c r="G3676" s="91" t="n"/>
      <c r="J3676" s="129" t="n">
        <v>180</v>
      </c>
    </row>
    <row r="3677" customFormat="1" s="94">
      <c r="A3677" s="98" t="inlineStr">
        <is>
          <t>디스커버리_티벳동생ppl</t>
        </is>
      </c>
      <c r="B3677" s="128" t="n">
        <v>44229</v>
      </c>
      <c r="C3677" s="88">
        <f>TEXT(B3677,"aaa")</f>
        <v/>
      </c>
      <c r="D3677" s="128" t="inlineStr">
        <is>
          <t>유튜브 디스커버리</t>
        </is>
      </c>
      <c r="E3677" s="88">
        <f>VLOOKUP(A3677,매칭테이블!B:D,3,0)</f>
        <v/>
      </c>
      <c r="F3677" s="128" t="n"/>
      <c r="G3677" s="91" t="n"/>
      <c r="J3677" s="129" t="n">
        <v>23</v>
      </c>
    </row>
    <row r="3678" customFormat="1" s="94">
      <c r="A3678" s="98" t="inlineStr">
        <is>
          <t>디스커버리_채우</t>
        </is>
      </c>
      <c r="B3678" s="128" t="n">
        <v>44229</v>
      </c>
      <c r="C3678" s="88">
        <f>TEXT(B3678,"aaa")</f>
        <v/>
      </c>
      <c r="D3678" s="128" t="inlineStr">
        <is>
          <t>유튜브 디스커버리</t>
        </is>
      </c>
      <c r="E3678" s="88">
        <f>VLOOKUP(A3678,매칭테이블!B:D,3,0)</f>
        <v/>
      </c>
      <c r="F3678" s="128" t="n"/>
      <c r="G3678" s="91" t="n"/>
      <c r="J3678" s="129" t="n">
        <v>310548</v>
      </c>
    </row>
    <row r="3679" customFormat="1" s="94">
      <c r="A3679" s="99" t="inlineStr">
        <is>
          <t>전환</t>
        </is>
      </c>
      <c r="B3679" s="128" t="n">
        <v>44230</v>
      </c>
      <c r="C3679" s="88">
        <f>TEXT(B3679,"aaa")</f>
        <v/>
      </c>
      <c r="D3679" s="128" t="inlineStr">
        <is>
          <t>페이스북/인스타그램</t>
        </is>
      </c>
      <c r="E3679" s="88">
        <f>VLOOKUP(A3679,매칭테이블!B:D,3,0)</f>
        <v/>
      </c>
      <c r="F3679" s="128" t="n"/>
      <c r="G3679" s="91" t="n"/>
      <c r="J3679" s="129" t="n">
        <v>807176</v>
      </c>
    </row>
    <row r="3680" customFormat="1" s="94">
      <c r="A3680" s="99" t="inlineStr">
        <is>
          <t>전환_토너패드</t>
        </is>
      </c>
      <c r="B3680" s="128" t="n">
        <v>44230</v>
      </c>
      <c r="C3680" s="88">
        <f>TEXT(B3680,"aaa")</f>
        <v/>
      </c>
      <c r="D3680" s="128" t="inlineStr">
        <is>
          <t>페이스북/인스타그램</t>
        </is>
      </c>
      <c r="E3680" s="88">
        <f>VLOOKUP(A3680,매칭테이블!B:D,3,0)</f>
        <v/>
      </c>
      <c r="F3680" s="128" t="n"/>
      <c r="G3680" s="91" t="n"/>
      <c r="J3680" s="129" t="n">
        <v>167794</v>
      </c>
    </row>
    <row r="3681" customFormat="1" s="94">
      <c r="A3681" s="99" t="inlineStr">
        <is>
          <t>도달_올리브영</t>
        </is>
      </c>
      <c r="B3681" s="128" t="n">
        <v>44230</v>
      </c>
      <c r="C3681" s="88">
        <f>TEXT(B3681,"aaa")</f>
        <v/>
      </c>
      <c r="D3681" s="128" t="inlineStr">
        <is>
          <t>페이스북/인스타그램</t>
        </is>
      </c>
      <c r="E3681" s="88">
        <f>VLOOKUP(A3681,매칭테이블!B:D,3,0)</f>
        <v/>
      </c>
      <c r="F3681" s="128" t="n"/>
      <c r="G3681" s="91" t="n"/>
      <c r="J3681" s="129" t="n">
        <v>98123</v>
      </c>
    </row>
    <row r="3682" customFormat="1" s="94">
      <c r="A3682" s="94" t="inlineStr">
        <is>
          <t>올리브영 랜딩</t>
        </is>
      </c>
      <c r="B3682" s="128" t="n">
        <v>44230</v>
      </c>
      <c r="C3682" s="88">
        <f>TEXT(B3682,"aaa")</f>
        <v/>
      </c>
      <c r="D3682" s="128" t="inlineStr">
        <is>
          <t>네이버 GFA</t>
        </is>
      </c>
      <c r="E3682" s="88">
        <f>VLOOKUP(A3682,매칭테이블!B:D,3,0)</f>
        <v/>
      </c>
      <c r="F3682" s="128" t="n"/>
      <c r="G3682" s="91" t="n"/>
      <c r="J3682" s="129" t="n">
        <v>1488740</v>
      </c>
    </row>
    <row r="3683" customFormat="1" s="94">
      <c r="A3683" s="94" t="inlineStr">
        <is>
          <t>아누아_77%패드_신규소구점테스트</t>
        </is>
      </c>
      <c r="B3683" s="128" t="n">
        <v>44230</v>
      </c>
      <c r="C3683" s="88">
        <f>TEXT(B3683,"aaa")</f>
        <v/>
      </c>
      <c r="D3683" s="128" t="inlineStr">
        <is>
          <t>네이버 GFA</t>
        </is>
      </c>
      <c r="E3683" s="88">
        <f>VLOOKUP(A3683,매칭테이블!B:D,3,0)</f>
        <v/>
      </c>
      <c r="F3683" s="128" t="n"/>
      <c r="G3683" s="91" t="n"/>
      <c r="J3683" s="129" t="n">
        <v>54439.0909090909</v>
      </c>
    </row>
    <row r="3684" customFormat="1" s="94">
      <c r="A3684" s="94" t="inlineStr">
        <is>
          <t>T_토너_테스트</t>
        </is>
      </c>
      <c r="B3684" s="128" t="n">
        <v>44230</v>
      </c>
      <c r="C3684" s="88">
        <f>TEXT(B3684,"aaa")</f>
        <v/>
      </c>
      <c r="D3684" s="128" t="inlineStr">
        <is>
          <t>네이버 GFA</t>
        </is>
      </c>
      <c r="E3684" s="88">
        <f>VLOOKUP(A3684,매칭테이블!B:D,3,0)</f>
        <v/>
      </c>
      <c r="F3684" s="128" t="n"/>
      <c r="G3684" s="91" t="n"/>
      <c r="J3684" s="129" t="n">
        <v>93839.99999999999</v>
      </c>
    </row>
    <row r="3685" customFormat="1" s="94">
      <c r="A3685" s="94" t="inlineStr">
        <is>
          <t>아누아_77%패드_청소년관심사_메인</t>
        </is>
      </c>
      <c r="B3685" s="128" t="n">
        <v>44230</v>
      </c>
      <c r="C3685" s="88">
        <f>TEXT(B3685,"aaa")</f>
        <v/>
      </c>
      <c r="D3685" s="128" t="inlineStr">
        <is>
          <t>네이버 GFA</t>
        </is>
      </c>
      <c r="E3685" s="88">
        <f>VLOOKUP(A3685,매칭테이블!B:D,3,0)</f>
        <v/>
      </c>
      <c r="F3685" s="128" t="n"/>
      <c r="G3685" s="91" t="n"/>
      <c r="J3685" s="129" t="n">
        <v>268933.6363636364</v>
      </c>
    </row>
    <row r="3686" customFormat="1" s="94">
      <c r="A3686" s="94" t="inlineStr">
        <is>
          <t>T_아누아_패드_메인</t>
        </is>
      </c>
      <c r="B3686" s="128" t="n">
        <v>44230</v>
      </c>
      <c r="C3686" s="88">
        <f>TEXT(B3686,"aaa")</f>
        <v/>
      </c>
      <c r="D3686" s="128" t="inlineStr">
        <is>
          <t>네이버 GFA</t>
        </is>
      </c>
      <c r="E3686" s="88">
        <f>VLOOKUP(A3686,매칭테이블!B:D,3,0)</f>
        <v/>
      </c>
      <c r="F3686" s="128" t="n"/>
      <c r="G3686" s="91" t="n"/>
      <c r="J3686" s="129" t="n">
        <v>1410914.545454545</v>
      </c>
    </row>
    <row r="3687" customFormat="1" s="94">
      <c r="A3687" s="94" t="inlineStr">
        <is>
          <t>토너_메인_기존소재</t>
        </is>
      </c>
      <c r="B3687" s="128" t="n">
        <v>44230</v>
      </c>
      <c r="C3687" s="88">
        <f>TEXT(B3687,"aaa")</f>
        <v/>
      </c>
      <c r="D3687" s="128" t="inlineStr">
        <is>
          <t>네이버 GFA</t>
        </is>
      </c>
      <c r="E3687" s="88">
        <f>VLOOKUP(A3687,매칭테이블!B:D,3,0)</f>
        <v/>
      </c>
      <c r="F3687" s="128" t="n"/>
      <c r="G3687" s="91" t="n"/>
      <c r="J3687" s="129" t="n">
        <v>2846732.727272727</v>
      </c>
    </row>
    <row r="3688" customFormat="1" s="94">
      <c r="A3688" s="94" t="inlineStr">
        <is>
          <t>아누아_쇼핑M</t>
        </is>
      </c>
      <c r="B3688" s="128" t="n">
        <v>44230</v>
      </c>
      <c r="C3688" s="88">
        <f>TEXT(B3688,"aaa")</f>
        <v/>
      </c>
      <c r="D3688" s="128" t="inlineStr">
        <is>
          <t>네이버 쇼핑검색</t>
        </is>
      </c>
      <c r="E3688" s="88" t="n"/>
      <c r="F3688" s="128" t="n"/>
      <c r="G3688" s="91" t="n"/>
      <c r="J3688" s="129" t="n">
        <v>51279.99999999999</v>
      </c>
    </row>
    <row r="3689" customFormat="1" s="94">
      <c r="A3689" s="94" t="inlineStr">
        <is>
          <t>아누아_쇼핑PC</t>
        </is>
      </c>
      <c r="B3689" s="128" t="n">
        <v>44230</v>
      </c>
      <c r="C3689" s="88">
        <f>TEXT(B3689,"aaa")</f>
        <v/>
      </c>
      <c r="D3689" s="128" t="inlineStr">
        <is>
          <t>네이버 쇼핑검색</t>
        </is>
      </c>
      <c r="E3689" s="88" t="n"/>
      <c r="F3689" s="128" t="n"/>
      <c r="G3689" s="91" t="n"/>
      <c r="J3689" s="129" t="n">
        <v>4110</v>
      </c>
    </row>
    <row r="3690" customFormat="1" s="94">
      <c r="A3690" s="94" t="inlineStr">
        <is>
          <t>아누아_비즈보드_리타게팅</t>
        </is>
      </c>
      <c r="B3690" s="128" t="n">
        <v>44230</v>
      </c>
      <c r="C3690" s="88">
        <f>TEXT(B3690,"aaa")</f>
        <v/>
      </c>
      <c r="D3690" s="128" t="inlineStr">
        <is>
          <t>카카오광고</t>
        </is>
      </c>
      <c r="E3690" s="88">
        <f>VLOOKUP(A3690,매칭테이블!B:D,3,0)</f>
        <v/>
      </c>
      <c r="F3690" s="128" t="n"/>
      <c r="G3690" s="91" t="n"/>
      <c r="J3690" s="129" t="n">
        <v>6799.999999999999</v>
      </c>
    </row>
    <row r="3691" customFormat="1" s="94">
      <c r="A3691" s="94" t="inlineStr">
        <is>
          <t>아누아_올영입점이벤트_플친발송_210201</t>
        </is>
      </c>
      <c r="B3691" s="128" t="n">
        <v>44230</v>
      </c>
      <c r="C3691" s="88">
        <f>TEXT(B3691,"aaa")</f>
        <v/>
      </c>
      <c r="D3691" s="128" t="inlineStr">
        <is>
          <t>카카오광고</t>
        </is>
      </c>
      <c r="E3691" s="88">
        <f>VLOOKUP(A3691,매칭테이블!B:D,3,0)</f>
        <v/>
      </c>
      <c r="F3691" s="128" t="n"/>
      <c r="G3691" s="91" t="n"/>
      <c r="J3691" s="129" t="n">
        <v>4680</v>
      </c>
    </row>
    <row r="3692" customFormat="1" s="94">
      <c r="A3692" s="94" t="inlineStr">
        <is>
          <t>아누아_토너_관심사1_초4소재_1200x600</t>
        </is>
      </c>
      <c r="B3692" s="128" t="n">
        <v>44230</v>
      </c>
      <c r="C3692" s="88">
        <f>TEXT(B3692,"aaa")</f>
        <v/>
      </c>
      <c r="D3692" s="128" t="inlineStr">
        <is>
          <t>카카오광고</t>
        </is>
      </c>
      <c r="E3692" s="88">
        <f>VLOOKUP(A3692,매칭테이블!B:D,3,0)</f>
        <v/>
      </c>
      <c r="F3692" s="128" t="n"/>
      <c r="G3692" s="91" t="n"/>
      <c r="J3692" s="129" t="n">
        <v>104970</v>
      </c>
    </row>
    <row r="3693" customFormat="1" s="94">
      <c r="A3693" s="94" t="inlineStr">
        <is>
          <t>디스커버리_미닝님</t>
        </is>
      </c>
      <c r="B3693" s="128" t="n">
        <v>44230</v>
      </c>
      <c r="C3693" s="88">
        <f>TEXT(B3693,"aaa")</f>
        <v/>
      </c>
      <c r="D3693" s="128" t="inlineStr">
        <is>
          <t>유튜브 디스커버리</t>
        </is>
      </c>
      <c r="E3693" s="88">
        <f>VLOOKUP(A3693,매칭테이블!B:D,3,0)</f>
        <v/>
      </c>
      <c r="F3693" s="128" t="n"/>
      <c r="G3693" s="91" t="n"/>
      <c r="J3693" s="129" t="n">
        <v>267134</v>
      </c>
    </row>
    <row r="3694" customFormat="1" s="94">
      <c r="A3694" s="94" t="inlineStr">
        <is>
          <t>GDN_토너로션</t>
        </is>
      </c>
      <c r="B3694" s="128" t="n">
        <v>44230</v>
      </c>
      <c r="C3694" s="88">
        <f>TEXT(B3694,"aaa")</f>
        <v/>
      </c>
      <c r="D3694" s="128" t="inlineStr">
        <is>
          <t>유튜브 디스커버리</t>
        </is>
      </c>
      <c r="E3694" s="88">
        <f>VLOOKUP(A3694,매칭테이블!B:D,3,0)</f>
        <v/>
      </c>
      <c r="F3694" s="128" t="n"/>
      <c r="G3694" s="91" t="n"/>
      <c r="J3694" s="129" t="n">
        <v>275030</v>
      </c>
    </row>
    <row r="3695" customFormat="1" s="94">
      <c r="A3695" s="94" t="inlineStr">
        <is>
          <t>디스커버리_채우</t>
        </is>
      </c>
      <c r="B3695" s="128" t="n">
        <v>44230</v>
      </c>
      <c r="C3695" s="88">
        <f>TEXT(B3695,"aaa")</f>
        <v/>
      </c>
      <c r="D3695" s="128" t="inlineStr">
        <is>
          <t>유튜브 디스커버리</t>
        </is>
      </c>
      <c r="E3695" s="88">
        <f>VLOOKUP(A3695,매칭테이블!B:D,3,0)</f>
        <v/>
      </c>
      <c r="F3695" s="128" t="n"/>
      <c r="G3695" s="91" t="n"/>
      <c r="J3695" s="129" t="n">
        <v>312915</v>
      </c>
    </row>
    <row r="3696" customFormat="1" s="94">
      <c r="A3696" s="94" t="inlineStr">
        <is>
          <t>디스커버리_천서영님_썸네일테스트 #3</t>
        </is>
      </c>
      <c r="B3696" s="128" t="n">
        <v>44230</v>
      </c>
      <c r="C3696" s="88">
        <f>TEXT(B3696,"aaa")</f>
        <v/>
      </c>
      <c r="D3696" s="128" t="inlineStr">
        <is>
          <t>유튜브 디스커버리</t>
        </is>
      </c>
      <c r="E3696" s="88">
        <f>VLOOKUP(A3696,매칭테이블!B:D,3,0)</f>
        <v/>
      </c>
      <c r="F3696" s="128" t="n"/>
      <c r="G3696" s="91" t="n"/>
      <c r="J3696" s="129" t="n">
        <v>206705</v>
      </c>
    </row>
    <row r="3697" customFormat="1" s="94">
      <c r="A3697" s="94" t="inlineStr">
        <is>
          <t>올리브영_자사랜딩</t>
        </is>
      </c>
      <c r="B3697" s="128" t="n">
        <v>44230</v>
      </c>
      <c r="C3697" s="88">
        <f>TEXT(B3697,"aaa")</f>
        <v/>
      </c>
      <c r="D3697" s="128" t="inlineStr">
        <is>
          <t>유튜브 디스커버리</t>
        </is>
      </c>
      <c r="E3697" s="88">
        <f>VLOOKUP(A3697,매칭테이블!B:D,3,0)</f>
        <v/>
      </c>
      <c r="F3697" s="128" t="n"/>
      <c r="G3697" s="91" t="n"/>
      <c r="J3697" s="129" t="n">
        <v>1</v>
      </c>
    </row>
    <row r="3698" customFormat="1" s="94">
      <c r="A3698" s="94" t="inlineStr">
        <is>
          <t>디스커버리_소히방2</t>
        </is>
      </c>
      <c r="B3698" s="128" t="n">
        <v>44230</v>
      </c>
      <c r="C3698" s="88">
        <f>TEXT(B3698,"aaa")</f>
        <v/>
      </c>
      <c r="D3698" s="128" t="inlineStr">
        <is>
          <t>유튜브 디스커버리</t>
        </is>
      </c>
      <c r="E3698" s="88">
        <f>VLOOKUP(A3698,매칭테이블!B:D,3,0)</f>
        <v/>
      </c>
      <c r="F3698" s="128" t="n"/>
      <c r="G3698" s="91" t="n"/>
      <c r="J3698" s="129" t="n">
        <v>480</v>
      </c>
    </row>
    <row r="3699" customFormat="1" s="94">
      <c r="A3699" s="94" t="inlineStr">
        <is>
          <t>디스커버리_DP_관심사2_2+1강조</t>
        </is>
      </c>
      <c r="B3699" s="128" t="n">
        <v>44230</v>
      </c>
      <c r="C3699" s="88">
        <f>TEXT(B3699,"aaa")</f>
        <v/>
      </c>
      <c r="D3699" s="128" t="inlineStr">
        <is>
          <t>유튜브 디스커버리</t>
        </is>
      </c>
      <c r="E3699" s="88">
        <f>VLOOKUP(A3699,매칭테이블!B:D,3,0)</f>
        <v/>
      </c>
      <c r="F3699" s="128" t="n"/>
      <c r="G3699" s="91" t="n"/>
      <c r="J3699" s="129" t="n">
        <v>66090</v>
      </c>
    </row>
    <row r="3700" customFormat="1" s="94">
      <c r="A3700" s="94" t="inlineStr">
        <is>
          <t>토너_관심사1_엄마잘컨</t>
        </is>
      </c>
      <c r="B3700" s="128" t="n">
        <v>44230</v>
      </c>
      <c r="C3700" s="88">
        <f>TEXT(B3700,"aaa")</f>
        <v/>
      </c>
      <c r="D3700" s="128" t="inlineStr">
        <is>
          <t>유튜브 디스커버리</t>
        </is>
      </c>
      <c r="E3700" s="88">
        <f>VLOOKUP(A3700,매칭테이블!B:D,3,0)</f>
        <v/>
      </c>
      <c r="F3700" s="128" t="n"/>
      <c r="G3700" s="91" t="n"/>
      <c r="J3700" s="129" t="n">
        <v>219387</v>
      </c>
    </row>
    <row r="3701" customFormat="1" s="94">
      <c r="A3701" s="94" t="inlineStr">
        <is>
          <t>디스커버리_미닝님_4554알수없음</t>
        </is>
      </c>
      <c r="B3701" s="128" t="n">
        <v>44230</v>
      </c>
      <c r="C3701" s="88">
        <f>TEXT(B3701,"aaa")</f>
        <v/>
      </c>
      <c r="D3701" s="128" t="inlineStr">
        <is>
          <t>유튜브 디스커버리</t>
        </is>
      </c>
      <c r="E3701" s="88">
        <f>VLOOKUP(A3701,매칭테이블!B:D,3,0)</f>
        <v/>
      </c>
      <c r="F3701" s="128" t="n"/>
      <c r="G3701" s="91" t="n"/>
      <c r="J3701" s="129" t="n">
        <v>132403</v>
      </c>
    </row>
    <row r="3702" customFormat="1" s="94">
      <c r="A3702" s="94" t="inlineStr">
        <is>
          <t>디스커버리_최모나토너편집</t>
        </is>
      </c>
      <c r="B3702" s="128" t="n">
        <v>44230</v>
      </c>
      <c r="C3702" s="88">
        <f>TEXT(B3702,"aaa")</f>
        <v/>
      </c>
      <c r="D3702" s="128" t="inlineStr">
        <is>
          <t>유튜브 디스커버리</t>
        </is>
      </c>
      <c r="E3702" s="88">
        <f>VLOOKUP(A3702,매칭테이블!B:D,3,0)</f>
        <v/>
      </c>
      <c r="F3702" s="128" t="n"/>
      <c r="G3702" s="91" t="n"/>
      <c r="J3702" s="129" t="n">
        <v>279994</v>
      </c>
    </row>
    <row r="3703" customFormat="1" s="94">
      <c r="A3703" s="90" t="inlineStr">
        <is>
          <t>도달_올리브영</t>
        </is>
      </c>
      <c r="B3703" s="128" t="n">
        <v>44231</v>
      </c>
      <c r="C3703" s="88">
        <f>TEXT(B3703,"aaa")</f>
        <v/>
      </c>
      <c r="D3703" s="128" t="inlineStr">
        <is>
          <t>페이스북/인스타그램</t>
        </is>
      </c>
      <c r="E3703" s="88">
        <f>VLOOKUP(A3703,매칭테이블!B:D,3,0)</f>
        <v/>
      </c>
      <c r="F3703" s="128" t="n"/>
      <c r="G3703" s="91" t="n"/>
      <c r="J3703" s="129" t="n">
        <v>97353</v>
      </c>
    </row>
    <row r="3704" customFormat="1" s="94">
      <c r="A3704" s="90" t="inlineStr">
        <is>
          <t>전환_토너패드</t>
        </is>
      </c>
      <c r="B3704" s="128" t="n">
        <v>44231</v>
      </c>
      <c r="C3704" s="88">
        <f>TEXT(B3704,"aaa")</f>
        <v/>
      </c>
      <c r="D3704" s="128" t="inlineStr">
        <is>
          <t>페이스북/인스타그램</t>
        </is>
      </c>
      <c r="E3704" s="88">
        <f>VLOOKUP(A3704,매칭테이블!B:D,3,0)</f>
        <v/>
      </c>
      <c r="F3704" s="128" t="n"/>
      <c r="G3704" s="91" t="n"/>
      <c r="J3704" s="129" t="n">
        <v>164954</v>
      </c>
    </row>
    <row r="3705" customFormat="1" s="94">
      <c r="A3705" s="90" t="inlineStr">
        <is>
          <t>전환</t>
        </is>
      </c>
      <c r="B3705" s="128" t="n">
        <v>44231</v>
      </c>
      <c r="C3705" s="88">
        <f>TEXT(B3705,"aaa")</f>
        <v/>
      </c>
      <c r="D3705" s="128" t="inlineStr">
        <is>
          <t>페이스북/인스타그램</t>
        </is>
      </c>
      <c r="E3705" s="88">
        <f>VLOOKUP(A3705,매칭테이블!B:D,3,0)</f>
        <v/>
      </c>
      <c r="F3705" s="128" t="n"/>
      <c r="G3705" s="91" t="n"/>
      <c r="J3705" s="129" t="n">
        <v>729757</v>
      </c>
    </row>
    <row r="3706" customFormat="1" s="94">
      <c r="A3706" s="94" t="inlineStr">
        <is>
          <t>아누아_쇼핑M</t>
        </is>
      </c>
      <c r="B3706" s="128" t="n">
        <v>44231</v>
      </c>
      <c r="C3706" s="88">
        <f>TEXT(B3706,"aaa")</f>
        <v/>
      </c>
      <c r="D3706" s="128" t="inlineStr">
        <is>
          <t>네이버 쇼핑검색</t>
        </is>
      </c>
      <c r="E3706" s="88" t="n"/>
      <c r="F3706" s="128" t="n"/>
      <c r="G3706" s="91" t="n"/>
      <c r="J3706" s="129" t="n">
        <v>59879.99999999999</v>
      </c>
    </row>
    <row r="3707" customFormat="1" s="94">
      <c r="A3707" s="94" t="inlineStr">
        <is>
          <t>아누아_쇼핑PC</t>
        </is>
      </c>
      <c r="B3707" s="128" t="n">
        <v>44231</v>
      </c>
      <c r="C3707" s="88">
        <f>TEXT(B3707,"aaa")</f>
        <v/>
      </c>
      <c r="D3707" s="128" t="inlineStr">
        <is>
          <t>네이버 쇼핑검색</t>
        </is>
      </c>
      <c r="E3707" s="88" t="n"/>
      <c r="F3707" s="128" t="n"/>
      <c r="G3707" s="91" t="n"/>
      <c r="J3707" s="129" t="n">
        <v>7289.999999999999</v>
      </c>
    </row>
    <row r="3708" customFormat="1" s="94">
      <c r="A3708" s="94" t="inlineStr">
        <is>
          <t>올리브영 랜딩</t>
        </is>
      </c>
      <c r="B3708" s="128" t="n">
        <v>44231</v>
      </c>
      <c r="C3708" s="88">
        <f>TEXT(B3708,"aaa")</f>
        <v/>
      </c>
      <c r="D3708" s="128" t="inlineStr">
        <is>
          <t>네이버 GFA</t>
        </is>
      </c>
      <c r="E3708" s="88">
        <f>VLOOKUP(A3708,매칭테이블!B:D,3,0)</f>
        <v/>
      </c>
      <c r="F3708" s="128" t="n"/>
      <c r="G3708" s="91" t="n"/>
      <c r="J3708" s="129" t="n">
        <v>0</v>
      </c>
    </row>
    <row r="3709" customFormat="1" s="94">
      <c r="A3709" s="94" t="inlineStr">
        <is>
          <t>패드_신규소구점테스트_메인</t>
        </is>
      </c>
      <c r="B3709" s="128" t="n">
        <v>44231</v>
      </c>
      <c r="C3709" s="88">
        <f>TEXT(B3709,"aaa")</f>
        <v/>
      </c>
      <c r="D3709" s="128" t="inlineStr">
        <is>
          <t>네이버 GFA</t>
        </is>
      </c>
      <c r="E3709" s="88">
        <f>VLOOKUP(A3709,매칭테이블!B:D,3,0)</f>
        <v/>
      </c>
      <c r="F3709" s="128" t="n"/>
      <c r="G3709" s="91" t="n"/>
      <c r="J3709" s="129" t="n">
        <v>29533.63636363636</v>
      </c>
    </row>
    <row r="3710" customFormat="1" s="94">
      <c r="A3710" s="94" t="inlineStr">
        <is>
          <t>T_토너_테스트</t>
        </is>
      </c>
      <c r="B3710" s="128" t="n">
        <v>44231</v>
      </c>
      <c r="C3710" s="88">
        <f>TEXT(B3710,"aaa")</f>
        <v/>
      </c>
      <c r="D3710" s="128" t="inlineStr">
        <is>
          <t>네이버 GFA</t>
        </is>
      </c>
      <c r="E3710" s="88">
        <f>VLOOKUP(A3710,매칭테이블!B:D,3,0)</f>
        <v/>
      </c>
      <c r="F3710" s="128" t="n"/>
      <c r="G3710" s="91" t="n"/>
      <c r="J3710" s="129" t="n">
        <v>242373.6363636364</v>
      </c>
    </row>
    <row r="3711" customFormat="1" s="94">
      <c r="A3711" s="94" t="inlineStr">
        <is>
          <t>패드_청소년관심사_메인</t>
        </is>
      </c>
      <c r="B3711" s="128" t="n">
        <v>44231</v>
      </c>
      <c r="C3711" s="88">
        <f>TEXT(B3711,"aaa")</f>
        <v/>
      </c>
      <c r="D3711" s="128" t="inlineStr">
        <is>
          <t>네이버 GFA</t>
        </is>
      </c>
      <c r="E3711" s="88">
        <f>VLOOKUP(A3711,매칭테이블!B:D,3,0)</f>
        <v/>
      </c>
      <c r="F3711" s="128" t="n"/>
      <c r="G3711" s="91" t="n"/>
      <c r="J3711" s="129" t="n">
        <v>595274.5454545454</v>
      </c>
    </row>
    <row r="3712" customFormat="1" s="94">
      <c r="A3712" s="94" t="inlineStr">
        <is>
          <t>패드_메인</t>
        </is>
      </c>
      <c r="B3712" s="128" t="n">
        <v>44231</v>
      </c>
      <c r="C3712" s="88">
        <f>TEXT(B3712,"aaa")</f>
        <v/>
      </c>
      <c r="D3712" s="128" t="inlineStr">
        <is>
          <t>네이버 GFA</t>
        </is>
      </c>
      <c r="E3712" s="88">
        <f>VLOOKUP(A3712,매칭테이블!B:D,3,0)</f>
        <v/>
      </c>
      <c r="F3712" s="128" t="n"/>
      <c r="G3712" s="91" t="n"/>
      <c r="J3712" s="129" t="n">
        <v>2198620.909090909</v>
      </c>
    </row>
    <row r="3713" customFormat="1" s="94">
      <c r="A3713" s="94" t="inlineStr">
        <is>
          <t>토너_메인_기존소재</t>
        </is>
      </c>
      <c r="B3713" s="128" t="n">
        <v>44231</v>
      </c>
      <c r="C3713" s="88">
        <f>TEXT(B3713,"aaa")</f>
        <v/>
      </c>
      <c r="D3713" s="128" t="inlineStr">
        <is>
          <t>네이버 GFA</t>
        </is>
      </c>
      <c r="E3713" s="88">
        <f>VLOOKUP(A3713,매칭테이블!B:D,3,0)</f>
        <v/>
      </c>
      <c r="F3713" s="128" t="n"/>
      <c r="G3713" s="91" t="n"/>
      <c r="J3713" s="129" t="n">
        <v>607031.8181818181</v>
      </c>
    </row>
    <row r="3714" customFormat="1" s="94">
      <c r="A3714" s="94" t="inlineStr">
        <is>
          <t>아누아_비즈보드_리타게팅</t>
        </is>
      </c>
      <c r="B3714" s="128" t="n">
        <v>44231</v>
      </c>
      <c r="C3714" s="88">
        <f>TEXT(B3714,"aaa")</f>
        <v/>
      </c>
      <c r="D3714" s="128" t="inlineStr">
        <is>
          <t>카카오광고</t>
        </is>
      </c>
      <c r="E3714" s="88">
        <f>VLOOKUP(A3714,매칭테이블!B:D,3,0)</f>
        <v/>
      </c>
      <c r="F3714" s="128" t="n"/>
      <c r="G3714" s="91" t="n"/>
      <c r="J3714" s="129" t="n">
        <v>5769.999999999999</v>
      </c>
    </row>
    <row r="3715" customFormat="1" s="94">
      <c r="A3715" s="94" t="inlineStr">
        <is>
          <t>아누아_올영입점이벤트_플친발송_210201</t>
        </is>
      </c>
      <c r="B3715" s="128" t="n">
        <v>44231</v>
      </c>
      <c r="C3715" s="88">
        <f>TEXT(B3715,"aaa")</f>
        <v/>
      </c>
      <c r="D3715" s="128" t="inlineStr">
        <is>
          <t>카카오광고</t>
        </is>
      </c>
      <c r="E3715" s="88">
        <f>VLOOKUP(A3715,매칭테이블!B:D,3,0)</f>
        <v/>
      </c>
      <c r="F3715" s="128" t="n"/>
      <c r="G3715" s="91" t="n"/>
      <c r="J3715" s="129" t="n">
        <v>4380</v>
      </c>
    </row>
    <row r="3716" customFormat="1" s="94">
      <c r="A3716" s="94" t="inlineStr">
        <is>
          <t>아누아_토너_관심사1_초4소재_1200x600</t>
        </is>
      </c>
      <c r="B3716" s="128" t="n">
        <v>44231</v>
      </c>
      <c r="C3716" s="88">
        <f>TEXT(B3716,"aaa")</f>
        <v/>
      </c>
      <c r="D3716" s="128" t="inlineStr">
        <is>
          <t>카카오광고</t>
        </is>
      </c>
      <c r="E3716" s="88">
        <f>VLOOKUP(A3716,매칭테이블!B:D,3,0)</f>
        <v/>
      </c>
      <c r="F3716" s="128" t="n"/>
      <c r="G3716" s="91" t="n"/>
      <c r="J3716" s="129" t="n">
        <v>153320</v>
      </c>
    </row>
    <row r="3717" customFormat="1" s="94">
      <c r="A3717" s="94" t="inlineStr">
        <is>
          <t>디스커버리_채우</t>
        </is>
      </c>
      <c r="B3717" s="128" t="n">
        <v>44231</v>
      </c>
      <c r="C3717" s="88">
        <f>TEXT(B3717,"aaa")</f>
        <v/>
      </c>
      <c r="D3717" s="128" t="inlineStr">
        <is>
          <t>유튜브 디스커버리</t>
        </is>
      </c>
      <c r="E3717" s="88">
        <f>VLOOKUP(A3717,매칭테이블!B:D,3,0)</f>
        <v/>
      </c>
      <c r="F3717" s="128" t="n"/>
      <c r="G3717" s="91" t="n"/>
      <c r="J3717" s="129" t="n">
        <v>417202</v>
      </c>
    </row>
    <row r="3718" customFormat="1" s="94">
      <c r="A3718" s="94" t="inlineStr">
        <is>
          <t>GDN_토너로션</t>
        </is>
      </c>
      <c r="B3718" s="128" t="n">
        <v>44231</v>
      </c>
      <c r="C3718" s="88">
        <f>TEXT(B3718,"aaa")</f>
        <v/>
      </c>
      <c r="D3718" s="128" t="inlineStr">
        <is>
          <t>유튜브 디스커버리</t>
        </is>
      </c>
      <c r="E3718" s="88">
        <f>VLOOKUP(A3718,매칭테이블!B:D,3,0)</f>
        <v/>
      </c>
      <c r="F3718" s="128" t="n"/>
      <c r="G3718" s="91" t="n"/>
      <c r="J3718" s="129" t="n">
        <v>205490</v>
      </c>
    </row>
    <row r="3719" customFormat="1" s="94">
      <c r="A3719" s="94" t="inlineStr">
        <is>
          <t>디스커버리_미닝님</t>
        </is>
      </c>
      <c r="B3719" s="128" t="n">
        <v>44231</v>
      </c>
      <c r="C3719" s="88">
        <f>TEXT(B3719,"aaa")</f>
        <v/>
      </c>
      <c r="D3719" s="128" t="inlineStr">
        <is>
          <t>유튜브 디스커버리</t>
        </is>
      </c>
      <c r="E3719" s="88">
        <f>VLOOKUP(A3719,매칭테이블!B:D,3,0)</f>
        <v/>
      </c>
      <c r="F3719" s="128" t="n"/>
      <c r="G3719" s="91" t="n"/>
      <c r="J3719" s="129" t="n">
        <v>290675</v>
      </c>
    </row>
    <row r="3720" customFormat="1" s="94">
      <c r="A3720" s="94" t="inlineStr">
        <is>
          <t>디스커버리_천서영님_썸네일테스트 #3</t>
        </is>
      </c>
      <c r="B3720" s="128" t="n">
        <v>44231</v>
      </c>
      <c r="C3720" s="88">
        <f>TEXT(B3720,"aaa")</f>
        <v/>
      </c>
      <c r="D3720" s="128" t="inlineStr">
        <is>
          <t>유튜브 디스커버리</t>
        </is>
      </c>
      <c r="E3720" s="88">
        <f>VLOOKUP(A3720,매칭테이블!B:D,3,0)</f>
        <v/>
      </c>
      <c r="F3720" s="128" t="n"/>
      <c r="G3720" s="91" t="n"/>
      <c r="J3720" s="129" t="n">
        <v>410985</v>
      </c>
    </row>
    <row r="3721" customFormat="1" s="94">
      <c r="A3721" s="94" t="inlineStr">
        <is>
          <t>디스커버리_최모나토너편집</t>
        </is>
      </c>
      <c r="B3721" s="128" t="n">
        <v>44231</v>
      </c>
      <c r="C3721" s="88">
        <f>TEXT(B3721,"aaa")</f>
        <v/>
      </c>
      <c r="D3721" s="128" t="inlineStr">
        <is>
          <t>유튜브 디스커버리</t>
        </is>
      </c>
      <c r="E3721" s="88">
        <f>VLOOKUP(A3721,매칭테이블!B:D,3,0)</f>
        <v/>
      </c>
      <c r="F3721" s="128" t="n"/>
      <c r="G3721" s="91" t="n"/>
      <c r="J3721" s="129" t="n">
        <v>271270</v>
      </c>
    </row>
    <row r="3722" customFormat="1" s="94">
      <c r="A3722" s="94" t="inlineStr">
        <is>
          <t>토너_관심사1_엄마잘컨</t>
        </is>
      </c>
      <c r="B3722" s="128" t="n">
        <v>44231</v>
      </c>
      <c r="C3722" s="88">
        <f>TEXT(B3722,"aaa")</f>
        <v/>
      </c>
      <c r="D3722" s="128" t="inlineStr">
        <is>
          <t>유튜브 디스커버리</t>
        </is>
      </c>
      <c r="E3722" s="88">
        <f>VLOOKUP(A3722,매칭테이블!B:D,3,0)</f>
        <v/>
      </c>
      <c r="F3722" s="128" t="n"/>
      <c r="G3722" s="91" t="n"/>
      <c r="J3722" s="129" t="n">
        <v>144439</v>
      </c>
    </row>
    <row r="3723" customFormat="1" s="94">
      <c r="A3723" s="94" t="inlineStr">
        <is>
          <t>디스커버리_미닝님_4554알수없음</t>
        </is>
      </c>
      <c r="B3723" s="128" t="n">
        <v>44231</v>
      </c>
      <c r="C3723" s="88">
        <f>TEXT(B3723,"aaa")</f>
        <v/>
      </c>
      <c r="D3723" s="128" t="inlineStr">
        <is>
          <t>유튜브 디스커버리</t>
        </is>
      </c>
      <c r="E3723" s="88">
        <f>VLOOKUP(A3723,매칭테이블!B:D,3,0)</f>
        <v/>
      </c>
      <c r="F3723" s="128" t="n"/>
      <c r="G3723" s="91" t="n"/>
      <c r="J3723" s="129" t="n">
        <v>130433</v>
      </c>
    </row>
    <row r="3724" customFormat="1" s="94">
      <c r="A3724" s="94" t="inlineStr">
        <is>
          <t>올리브영_자사랜딩</t>
        </is>
      </c>
      <c r="B3724" s="128" t="n">
        <v>44231</v>
      </c>
      <c r="C3724" s="88">
        <f>TEXT(B3724,"aaa")</f>
        <v/>
      </c>
      <c r="D3724" s="128" t="inlineStr">
        <is>
          <t>유튜브 디스커버리</t>
        </is>
      </c>
      <c r="E3724" s="88">
        <f>VLOOKUP(A3724,매칭테이블!B:D,3,0)</f>
        <v/>
      </c>
      <c r="F3724" s="128" t="n"/>
      <c r="G3724" s="91" t="n"/>
      <c r="J3724" s="129" t="n">
        <v>26212</v>
      </c>
    </row>
    <row r="3725" customFormat="1" s="94">
      <c r="A3725" s="94" t="inlineStr">
        <is>
          <t>디스커버리_DP_관심사2_2+1강조</t>
        </is>
      </c>
      <c r="B3725" s="128" t="n">
        <v>44231</v>
      </c>
      <c r="C3725" s="88">
        <f>TEXT(B3725,"aaa")</f>
        <v/>
      </c>
      <c r="D3725" s="128" t="inlineStr">
        <is>
          <t>유튜브 디스커버리</t>
        </is>
      </c>
      <c r="E3725" s="88">
        <f>VLOOKUP(A3725,매칭테이블!B:D,3,0)</f>
        <v/>
      </c>
      <c r="F3725" s="128" t="n"/>
      <c r="G3725" s="91" t="n"/>
      <c r="J3725" s="129" t="n">
        <v>101911</v>
      </c>
    </row>
    <row r="3726" customFormat="1" s="94">
      <c r="A3726" s="94" t="inlineStr">
        <is>
          <t>디스커버리_소히방2</t>
        </is>
      </c>
      <c r="B3726" s="128" t="n">
        <v>44231</v>
      </c>
      <c r="C3726" s="88">
        <f>TEXT(B3726,"aaa")</f>
        <v/>
      </c>
      <c r="D3726" s="128" t="inlineStr">
        <is>
          <t>유튜브 디스커버리</t>
        </is>
      </c>
      <c r="E3726" s="88">
        <f>VLOOKUP(A3726,매칭테이블!B:D,3,0)</f>
        <v/>
      </c>
      <c r="F3726" s="128" t="n"/>
      <c r="G3726" s="91" t="n"/>
      <c r="J3726" s="129" t="n">
        <v>1164</v>
      </c>
    </row>
    <row r="3727" customFormat="1" s="94">
      <c r="A3727" s="94" t="inlineStr">
        <is>
          <t>도달_올리브영</t>
        </is>
      </c>
      <c r="B3727" s="128" t="n">
        <v>44232</v>
      </c>
      <c r="C3727" s="88">
        <f>TEXT(B3727,"aaa")</f>
        <v/>
      </c>
      <c r="D3727" s="128" t="inlineStr">
        <is>
          <t>페이스북/인스타그램</t>
        </is>
      </c>
      <c r="E3727" s="88">
        <f>VLOOKUP(A3727,매칭테이블!B:D,3,0)</f>
        <v/>
      </c>
      <c r="F3727" s="128" t="n"/>
      <c r="G3727" s="91" t="n"/>
      <c r="J3727" s="129" t="n">
        <v>75472</v>
      </c>
    </row>
    <row r="3728" customFormat="1" s="94">
      <c r="A3728" s="94" t="inlineStr">
        <is>
          <t>전환_토너패드</t>
        </is>
      </c>
      <c r="B3728" s="128" t="n">
        <v>44232</v>
      </c>
      <c r="C3728" s="88">
        <f>TEXT(B3728,"aaa")</f>
        <v/>
      </c>
      <c r="D3728" s="128" t="inlineStr">
        <is>
          <t>페이스북/인스타그램</t>
        </is>
      </c>
      <c r="E3728" s="88">
        <f>VLOOKUP(A3728,매칭테이블!B:D,3,0)</f>
        <v/>
      </c>
      <c r="F3728" s="128" t="n"/>
      <c r="G3728" s="91" t="n"/>
      <c r="J3728" s="129" t="n">
        <v>167247</v>
      </c>
    </row>
    <row r="3729" customFormat="1" s="94">
      <c r="A3729" s="94" t="inlineStr">
        <is>
          <t>전환</t>
        </is>
      </c>
      <c r="B3729" s="128" t="n">
        <v>44232</v>
      </c>
      <c r="C3729" s="88">
        <f>TEXT(B3729,"aaa")</f>
        <v/>
      </c>
      <c r="D3729" s="128" t="inlineStr">
        <is>
          <t>페이스북/인스타그램</t>
        </is>
      </c>
      <c r="E3729" s="88">
        <f>VLOOKUP(A3729,매칭테이블!B:D,3,0)</f>
        <v/>
      </c>
      <c r="F3729" s="128" t="n"/>
      <c r="G3729" s="91" t="n"/>
      <c r="J3729" s="129" t="n">
        <v>596704</v>
      </c>
    </row>
    <row r="3730" customFormat="1" s="94">
      <c r="A3730" s="94" t="inlineStr">
        <is>
          <t>도달_올리브영</t>
        </is>
      </c>
      <c r="B3730" s="128" t="n">
        <v>44233</v>
      </c>
      <c r="C3730" s="88">
        <f>TEXT(B3730,"aaa")</f>
        <v/>
      </c>
      <c r="D3730" s="128" t="inlineStr">
        <is>
          <t>페이스북/인스타그램</t>
        </is>
      </c>
      <c r="E3730" s="88">
        <f>VLOOKUP(A3730,매칭테이블!B:D,3,0)</f>
        <v/>
      </c>
      <c r="F3730" s="128" t="n"/>
      <c r="G3730" s="91" t="n"/>
      <c r="J3730" s="129" t="n">
        <v>48585</v>
      </c>
    </row>
    <row r="3731" customFormat="1" s="94">
      <c r="A3731" s="94" t="inlineStr">
        <is>
          <t>전환_토너패드</t>
        </is>
      </c>
      <c r="B3731" s="128" t="n">
        <v>44233</v>
      </c>
      <c r="C3731" s="88">
        <f>TEXT(B3731,"aaa")</f>
        <v/>
      </c>
      <c r="D3731" s="128" t="inlineStr">
        <is>
          <t>페이스북/인스타그램</t>
        </is>
      </c>
      <c r="E3731" s="88">
        <f>VLOOKUP(A3731,매칭테이블!B:D,3,0)</f>
        <v/>
      </c>
      <c r="F3731" s="128" t="n"/>
      <c r="G3731" s="91" t="n"/>
      <c r="J3731" s="129" t="n">
        <v>175825</v>
      </c>
    </row>
    <row r="3732" customFormat="1" s="94">
      <c r="A3732" s="94" t="inlineStr">
        <is>
          <t>전환</t>
        </is>
      </c>
      <c r="B3732" s="128" t="n">
        <v>44233</v>
      </c>
      <c r="C3732" s="88">
        <f>TEXT(B3732,"aaa")</f>
        <v/>
      </c>
      <c r="D3732" s="128" t="inlineStr">
        <is>
          <t>페이스북/인스타그램</t>
        </is>
      </c>
      <c r="E3732" s="88">
        <f>VLOOKUP(A3732,매칭테이블!B:D,3,0)</f>
        <v/>
      </c>
      <c r="F3732" s="128" t="n"/>
      <c r="G3732" s="91" t="n"/>
      <c r="J3732" s="129" t="n">
        <v>387601</v>
      </c>
    </row>
    <row r="3733" customFormat="1" s="94">
      <c r="A3733" s="94" t="inlineStr">
        <is>
          <t>도달_올리브영</t>
        </is>
      </c>
      <c r="B3733" s="128" t="n">
        <v>44234</v>
      </c>
      <c r="C3733" s="88">
        <f>TEXT(B3733,"aaa")</f>
        <v/>
      </c>
      <c r="D3733" s="128" t="inlineStr">
        <is>
          <t>페이스북/인스타그램</t>
        </is>
      </c>
      <c r="E3733" s="88">
        <f>VLOOKUP(A3733,매칭테이블!B:D,3,0)</f>
        <v/>
      </c>
      <c r="F3733" s="128" t="n"/>
      <c r="G3733" s="91" t="n"/>
      <c r="J3733" s="129" t="n">
        <v>48920</v>
      </c>
    </row>
    <row r="3734" customFormat="1" s="94">
      <c r="A3734" s="94" t="inlineStr">
        <is>
          <t>전환_토너패드</t>
        </is>
      </c>
      <c r="B3734" s="128" t="n">
        <v>44234</v>
      </c>
      <c r="C3734" s="88">
        <f>TEXT(B3734,"aaa")</f>
        <v/>
      </c>
      <c r="D3734" s="128" t="inlineStr">
        <is>
          <t>페이스북/인스타그램</t>
        </is>
      </c>
      <c r="E3734" s="88">
        <f>VLOOKUP(A3734,매칭테이블!B:D,3,0)</f>
        <v/>
      </c>
      <c r="F3734" s="128" t="n"/>
      <c r="G3734" s="91" t="n"/>
      <c r="J3734" s="129" t="n">
        <v>195927</v>
      </c>
    </row>
    <row r="3735" customFormat="1" s="94">
      <c r="A3735" s="94" t="inlineStr">
        <is>
          <t>전환</t>
        </is>
      </c>
      <c r="B3735" s="128" t="n">
        <v>44234</v>
      </c>
      <c r="C3735" s="88">
        <f>TEXT(B3735,"aaa")</f>
        <v/>
      </c>
      <c r="D3735" s="128" t="inlineStr">
        <is>
          <t>페이스북/인스타그램</t>
        </is>
      </c>
      <c r="E3735" s="88">
        <f>VLOOKUP(A3735,매칭테이블!B:D,3,0)</f>
        <v/>
      </c>
      <c r="F3735" s="128" t="n"/>
      <c r="G3735" s="91" t="n"/>
      <c r="J3735" s="129" t="n">
        <v>497274</v>
      </c>
    </row>
    <row r="3736" customFormat="1" s="94">
      <c r="A3736" s="94" t="inlineStr">
        <is>
          <t>패드_신규소구점테스트_메인</t>
        </is>
      </c>
      <c r="B3736" s="128" t="n">
        <v>44232</v>
      </c>
      <c r="C3736" s="88">
        <f>TEXT(B3736,"aaa")</f>
        <v/>
      </c>
      <c r="D3736" s="128" t="inlineStr">
        <is>
          <t>네이버 GFA</t>
        </is>
      </c>
      <c r="E3736" s="88">
        <f>VLOOKUP(A3736,매칭테이블!B:D,3,0)</f>
        <v/>
      </c>
      <c r="F3736" s="128" t="n"/>
      <c r="G3736" s="91" t="n"/>
      <c r="J3736" s="129" t="n">
        <v>102388.1818181818</v>
      </c>
    </row>
    <row r="3737" customFormat="1" s="94">
      <c r="A3737" s="94" t="inlineStr">
        <is>
          <t>T_토너_테스트</t>
        </is>
      </c>
      <c r="B3737" s="128" t="n">
        <v>44232</v>
      </c>
      <c r="C3737" s="88">
        <f>TEXT(B3737,"aaa")</f>
        <v/>
      </c>
      <c r="D3737" s="128" t="inlineStr">
        <is>
          <t>네이버 GFA</t>
        </is>
      </c>
      <c r="E3737" s="88">
        <f>VLOOKUP(A3737,매칭테이블!B:D,3,0)</f>
        <v/>
      </c>
      <c r="F3737" s="128" t="n"/>
      <c r="G3737" s="91" t="n"/>
      <c r="J3737" s="129" t="n">
        <v>316981.8181818182</v>
      </c>
    </row>
    <row r="3738" customFormat="1" s="94">
      <c r="A3738" s="94" t="inlineStr">
        <is>
          <t>패드_청소년관심사_메인</t>
        </is>
      </c>
      <c r="B3738" s="128" t="n">
        <v>44232</v>
      </c>
      <c r="C3738" s="88">
        <f>TEXT(B3738,"aaa")</f>
        <v/>
      </c>
      <c r="D3738" s="128" t="inlineStr">
        <is>
          <t>네이버 GFA</t>
        </is>
      </c>
      <c r="E3738" s="88">
        <f>VLOOKUP(A3738,매칭테이블!B:D,3,0)</f>
        <v/>
      </c>
      <c r="F3738" s="128" t="n"/>
      <c r="G3738" s="91" t="n"/>
      <c r="J3738" s="129" t="n">
        <v>383296.3636363636</v>
      </c>
    </row>
    <row r="3739" customFormat="1" s="94">
      <c r="A3739" s="94" t="inlineStr">
        <is>
          <t>패드_메인</t>
        </is>
      </c>
      <c r="B3739" s="128" t="n">
        <v>44232</v>
      </c>
      <c r="C3739" s="88">
        <f>TEXT(B3739,"aaa")</f>
        <v/>
      </c>
      <c r="D3739" s="128" t="inlineStr">
        <is>
          <t>네이버 GFA</t>
        </is>
      </c>
      <c r="E3739" s="88">
        <f>VLOOKUP(A3739,매칭테이블!B:D,3,0)</f>
        <v/>
      </c>
      <c r="F3739" s="128" t="n"/>
      <c r="G3739" s="91" t="n"/>
      <c r="J3739" s="129" t="n">
        <v>1432445.454545454</v>
      </c>
    </row>
    <row r="3740" customFormat="1" s="94">
      <c r="A3740" s="94" t="inlineStr">
        <is>
          <t>토너_메인_기존소재</t>
        </is>
      </c>
      <c r="B3740" s="128" t="n">
        <v>44232</v>
      </c>
      <c r="C3740" s="88">
        <f>TEXT(B3740,"aaa")</f>
        <v/>
      </c>
      <c r="D3740" s="128" t="inlineStr">
        <is>
          <t>네이버 GFA</t>
        </is>
      </c>
      <c r="E3740" s="88">
        <f>VLOOKUP(A3740,매칭테이블!B:D,3,0)</f>
        <v/>
      </c>
      <c r="F3740" s="128" t="n"/>
      <c r="G3740" s="91" t="n"/>
      <c r="J3740" s="129" t="n">
        <v>167582.7272727273</v>
      </c>
    </row>
    <row r="3741" customFormat="1" s="94">
      <c r="A3741" s="94" t="inlineStr">
        <is>
          <t>올리브영 랜딩</t>
        </is>
      </c>
      <c r="B3741" s="128" t="n">
        <v>44233</v>
      </c>
      <c r="C3741" s="88">
        <f>TEXT(B3741,"aaa")</f>
        <v/>
      </c>
      <c r="D3741" s="128" t="inlineStr">
        <is>
          <t>네이버 GFA</t>
        </is>
      </c>
      <c r="E3741" s="88">
        <f>VLOOKUP(A3741,매칭테이블!B:D,3,0)</f>
        <v/>
      </c>
      <c r="F3741" s="128" t="n"/>
      <c r="G3741" s="91" t="n"/>
      <c r="J3741" s="129" t="n">
        <v>0</v>
      </c>
    </row>
    <row r="3742" customFormat="1" s="94">
      <c r="A3742" s="90" t="inlineStr">
        <is>
          <t>패드_신규소구점테스트_메인</t>
        </is>
      </c>
      <c r="B3742" s="128" t="n">
        <v>44233</v>
      </c>
      <c r="C3742" s="88">
        <f>TEXT(B3742,"aaa")</f>
        <v/>
      </c>
      <c r="D3742" s="128" t="inlineStr">
        <is>
          <t>네이버 GFA</t>
        </is>
      </c>
      <c r="E3742" s="88">
        <f>VLOOKUP(A3742,매칭테이블!B:D,3,0)</f>
        <v/>
      </c>
      <c r="F3742" s="128" t="n"/>
      <c r="G3742" s="91" t="n"/>
      <c r="J3742" s="129" t="n">
        <v>75820.90909090909</v>
      </c>
    </row>
    <row r="3743" customFormat="1" s="94">
      <c r="A3743" s="90" t="inlineStr">
        <is>
          <t>T_토너_테스트</t>
        </is>
      </c>
      <c r="B3743" s="128" t="n">
        <v>44233</v>
      </c>
      <c r="C3743" s="88">
        <f>TEXT(B3743,"aaa")</f>
        <v/>
      </c>
      <c r="D3743" s="128" t="inlineStr">
        <is>
          <t>네이버 GFA</t>
        </is>
      </c>
      <c r="E3743" s="88">
        <f>VLOOKUP(A3743,매칭테이블!B:D,3,0)</f>
        <v/>
      </c>
      <c r="F3743" s="128" t="n"/>
      <c r="G3743" s="91" t="n"/>
      <c r="J3743" s="129" t="n">
        <v>375879.9999999999</v>
      </c>
    </row>
    <row r="3744" customFormat="1" s="94">
      <c r="A3744" s="90" t="inlineStr">
        <is>
          <t>패드_청소년관심사_메인</t>
        </is>
      </c>
      <c r="B3744" s="128" t="n">
        <v>44233</v>
      </c>
      <c r="C3744" s="88">
        <f>TEXT(B3744,"aaa")</f>
        <v/>
      </c>
      <c r="D3744" s="128" t="inlineStr">
        <is>
          <t>네이버 GFA</t>
        </is>
      </c>
      <c r="E3744" s="88">
        <f>VLOOKUP(A3744,매칭테이블!B:D,3,0)</f>
        <v/>
      </c>
      <c r="F3744" s="128" t="n"/>
      <c r="G3744" s="91" t="n"/>
      <c r="J3744" s="129" t="n">
        <v>154457.2727272727</v>
      </c>
    </row>
    <row r="3745" customFormat="1" s="94">
      <c r="A3745" s="90" t="inlineStr">
        <is>
          <t>패드_메인</t>
        </is>
      </c>
      <c r="B3745" s="128" t="n">
        <v>44233</v>
      </c>
      <c r="C3745" s="88">
        <f>TEXT(B3745,"aaa")</f>
        <v/>
      </c>
      <c r="D3745" s="128" t="inlineStr">
        <is>
          <t>네이버 GFA</t>
        </is>
      </c>
      <c r="E3745" s="88">
        <f>VLOOKUP(A3745,매칭테이블!B:D,3,0)</f>
        <v/>
      </c>
      <c r="F3745" s="128" t="n"/>
      <c r="G3745" s="91" t="n"/>
      <c r="J3745" s="129" t="n">
        <v>1181763.636363636</v>
      </c>
    </row>
    <row r="3746" customFormat="1" s="94">
      <c r="A3746" s="90" t="inlineStr">
        <is>
          <t>토너_메인_기존소재</t>
        </is>
      </c>
      <c r="B3746" s="128" t="n">
        <v>44233</v>
      </c>
      <c r="C3746" s="88">
        <f>TEXT(B3746,"aaa")</f>
        <v/>
      </c>
      <c r="D3746" s="128" t="inlineStr">
        <is>
          <t>네이버 GFA</t>
        </is>
      </c>
      <c r="E3746" s="88">
        <f>VLOOKUP(A3746,매칭테이블!B:D,3,0)</f>
        <v/>
      </c>
      <c r="F3746" s="128" t="n"/>
      <c r="G3746" s="91" t="n"/>
      <c r="J3746" s="129" t="n">
        <v>997950.9090909091</v>
      </c>
    </row>
    <row r="3747" customFormat="1" s="94">
      <c r="A3747" s="94" t="inlineStr">
        <is>
          <t>패드_신규소구점테스트_메인</t>
        </is>
      </c>
      <c r="B3747" s="128" t="n">
        <v>44234</v>
      </c>
      <c r="C3747" s="128">
        <f>TEXT(B3747,"aaa")</f>
        <v/>
      </c>
      <c r="D3747" s="128" t="inlineStr">
        <is>
          <t>네이버 GFA</t>
        </is>
      </c>
      <c r="E3747" s="88">
        <f>VLOOKUP(A3747,매칭테이블!B:D,3,0)</f>
        <v/>
      </c>
      <c r="F3747" s="128" t="n"/>
      <c r="G3747" s="91" t="n"/>
      <c r="J3747" s="129" t="n">
        <v>46575.45454545454</v>
      </c>
    </row>
    <row r="3748" customFormat="1" s="94">
      <c r="A3748" s="94" t="inlineStr">
        <is>
          <t>T_토너_테스트</t>
        </is>
      </c>
      <c r="B3748" s="128" t="n">
        <v>44234</v>
      </c>
      <c r="C3748" s="128">
        <f>TEXT(B3748,"aaa")</f>
        <v/>
      </c>
      <c r="D3748" s="128" t="inlineStr">
        <is>
          <t>네이버 GFA</t>
        </is>
      </c>
      <c r="E3748" s="88">
        <f>VLOOKUP(A3748,매칭테이블!B:D,3,0)</f>
        <v/>
      </c>
      <c r="F3748" s="128" t="n"/>
      <c r="G3748" s="91" t="n"/>
      <c r="J3748" s="129" t="n">
        <v>429888.1818181818</v>
      </c>
    </row>
    <row r="3749" customFormat="1" s="94">
      <c r="A3749" s="94" t="inlineStr">
        <is>
          <t>패드_청소년관심사_메인</t>
        </is>
      </c>
      <c r="B3749" s="128" t="n">
        <v>44234</v>
      </c>
      <c r="C3749" s="128">
        <f>TEXT(B3749,"aaa")</f>
        <v/>
      </c>
      <c r="D3749" s="128" t="inlineStr">
        <is>
          <t>네이버 GFA</t>
        </is>
      </c>
      <c r="E3749" s="88">
        <f>VLOOKUP(A3749,매칭테이블!B:D,3,0)</f>
        <v/>
      </c>
      <c r="F3749" s="128" t="n"/>
      <c r="G3749" s="91" t="n"/>
      <c r="J3749" s="129" t="n">
        <v>321972.7272727272</v>
      </c>
    </row>
    <row r="3750" customFormat="1" s="94">
      <c r="A3750" s="94" t="inlineStr">
        <is>
          <t>패드_메인</t>
        </is>
      </c>
      <c r="B3750" s="128" t="n">
        <v>44234</v>
      </c>
      <c r="C3750" s="128">
        <f>TEXT(B3750,"aaa")</f>
        <v/>
      </c>
      <c r="D3750" s="128" t="inlineStr">
        <is>
          <t>네이버 GFA</t>
        </is>
      </c>
      <c r="E3750" s="88">
        <f>VLOOKUP(A3750,매칭테이블!B:D,3,0)</f>
        <v/>
      </c>
      <c r="F3750" s="128" t="n"/>
      <c r="G3750" s="91" t="n"/>
      <c r="J3750" s="129" t="n">
        <v>1008679.090909091</v>
      </c>
    </row>
    <row r="3751" customFormat="1" s="94">
      <c r="A3751" s="94" t="inlineStr">
        <is>
          <t>토너_메인_기존소재</t>
        </is>
      </c>
      <c r="B3751" s="128" t="n">
        <v>44234</v>
      </c>
      <c r="C3751" s="128">
        <f>TEXT(B3751,"aaa")</f>
        <v/>
      </c>
      <c r="D3751" s="128" t="inlineStr">
        <is>
          <t>네이버 GFA</t>
        </is>
      </c>
      <c r="E3751" s="88">
        <f>VLOOKUP(A3751,매칭테이블!B:D,3,0)</f>
        <v/>
      </c>
      <c r="F3751" s="128" t="n"/>
      <c r="G3751" s="91" t="n"/>
      <c r="J3751" s="129" t="n">
        <v>966384.5454545454</v>
      </c>
    </row>
    <row r="3752" customFormat="1" s="94">
      <c r="A3752" s="94" t="inlineStr">
        <is>
          <t>아누아_비즈보드_리타게팅</t>
        </is>
      </c>
      <c r="B3752" s="128" t="n">
        <v>44232</v>
      </c>
      <c r="C3752" s="128">
        <f>TEXT(B3752,"aaa")</f>
        <v/>
      </c>
      <c r="D3752" s="128" t="inlineStr">
        <is>
          <t>카카오광고</t>
        </is>
      </c>
      <c r="E3752" s="88">
        <f>VLOOKUP(A3752,매칭테이블!B:D,3,0)</f>
        <v/>
      </c>
      <c r="F3752" s="128" t="n"/>
      <c r="G3752" s="91" t="n"/>
      <c r="J3752" s="129" t="n">
        <v>2800</v>
      </c>
    </row>
    <row r="3753" customFormat="1" s="94">
      <c r="A3753" s="94" t="inlineStr">
        <is>
          <t>아누아_올영입점이벤트_플친발송_210201</t>
        </is>
      </c>
      <c r="B3753" s="128" t="n">
        <v>44232</v>
      </c>
      <c r="C3753" s="128">
        <f>TEXT(B3753,"aaa")</f>
        <v/>
      </c>
      <c r="D3753" s="128" t="inlineStr">
        <is>
          <t>카카오광고</t>
        </is>
      </c>
      <c r="E3753" s="88">
        <f>VLOOKUP(A3753,매칭테이블!B:D,3,0)</f>
        <v/>
      </c>
      <c r="F3753" s="128" t="n"/>
      <c r="G3753" s="91" t="n"/>
      <c r="J3753" s="129" t="n">
        <v>4395</v>
      </c>
    </row>
    <row r="3754" customFormat="1" s="94">
      <c r="A3754" s="94" t="inlineStr">
        <is>
          <t>아누아_토너_관심사1_초4소재_1200x600</t>
        </is>
      </c>
      <c r="B3754" s="128" t="n">
        <v>44232</v>
      </c>
      <c r="C3754" s="128">
        <f>TEXT(B3754,"aaa")</f>
        <v/>
      </c>
      <c r="D3754" s="128" t="inlineStr">
        <is>
          <t>카카오광고</t>
        </is>
      </c>
      <c r="E3754" s="88">
        <f>VLOOKUP(A3754,매칭테이블!B:D,3,0)</f>
        <v/>
      </c>
      <c r="F3754" s="128" t="n"/>
      <c r="G3754" s="91" t="n"/>
      <c r="J3754" s="129" t="n">
        <v>379849.9999999999</v>
      </c>
    </row>
    <row r="3755" customFormat="1" s="94">
      <c r="A3755" s="94" t="inlineStr">
        <is>
          <t>아누아_비즈보드_리타게팅</t>
        </is>
      </c>
      <c r="B3755" s="128" t="n">
        <v>44233</v>
      </c>
      <c r="C3755" s="128">
        <f>TEXT(B3755,"aaa")</f>
        <v/>
      </c>
      <c r="D3755" s="128" t="inlineStr">
        <is>
          <t>카카오광고</t>
        </is>
      </c>
      <c r="E3755" s="88">
        <f>VLOOKUP(A3755,매칭테이블!B:D,3,0)</f>
        <v/>
      </c>
      <c r="F3755" s="128" t="n"/>
      <c r="G3755" s="91" t="n"/>
      <c r="J3755" s="129" t="n">
        <v>4260</v>
      </c>
    </row>
    <row r="3756" customFormat="1" s="94">
      <c r="A3756" s="94" t="inlineStr">
        <is>
          <t>아누아_올영입점이벤트_플친발송_210201</t>
        </is>
      </c>
      <c r="B3756" s="128" t="n">
        <v>44233</v>
      </c>
      <c r="C3756" s="128">
        <f>TEXT(B3756,"aaa")</f>
        <v/>
      </c>
      <c r="D3756" s="128" t="inlineStr">
        <is>
          <t>카카오광고</t>
        </is>
      </c>
      <c r="E3756" s="88">
        <f>VLOOKUP(A3756,매칭테이블!B:D,3,0)</f>
        <v/>
      </c>
      <c r="F3756" s="128" t="n"/>
      <c r="G3756" s="91" t="n"/>
      <c r="J3756" s="129" t="n">
        <v>2760</v>
      </c>
    </row>
    <row r="3757" customFormat="1" s="94">
      <c r="A3757" s="94" t="inlineStr">
        <is>
          <t>아누아_토너_관심사1_초4소재_1200x600</t>
        </is>
      </c>
      <c r="B3757" s="128" t="n">
        <v>44233</v>
      </c>
      <c r="C3757" s="128">
        <f>TEXT(B3757,"aaa")</f>
        <v/>
      </c>
      <c r="D3757" s="128" t="inlineStr">
        <is>
          <t>카카오광고</t>
        </is>
      </c>
      <c r="E3757" s="88">
        <f>VLOOKUP(A3757,매칭테이블!B:D,3,0)</f>
        <v/>
      </c>
      <c r="F3757" s="128" t="n"/>
      <c r="G3757" s="91" t="n"/>
      <c r="J3757" s="129" t="n">
        <v>416729.9999999999</v>
      </c>
    </row>
    <row r="3758" customFormat="1" s="94">
      <c r="A3758" s="94" t="inlineStr">
        <is>
          <t>아누아_비즈보드_리타게팅</t>
        </is>
      </c>
      <c r="B3758" s="128" t="n">
        <v>44234</v>
      </c>
      <c r="C3758" s="128">
        <f>TEXT(B3758,"aaa")</f>
        <v/>
      </c>
      <c r="D3758" s="128" t="inlineStr">
        <is>
          <t>카카오광고</t>
        </is>
      </c>
      <c r="E3758" s="88">
        <f>VLOOKUP(A3758,매칭테이블!B:D,3,0)</f>
        <v/>
      </c>
      <c r="F3758" s="128" t="n"/>
      <c r="G3758" s="91" t="n"/>
      <c r="J3758" s="129" t="n">
        <v>6579.999999999999</v>
      </c>
    </row>
    <row r="3759" customFormat="1" s="94">
      <c r="A3759" s="94" t="inlineStr">
        <is>
          <t>아누아_올영입점이벤트_플친발송_210201</t>
        </is>
      </c>
      <c r="B3759" s="128" t="n">
        <v>44234</v>
      </c>
      <c r="C3759" s="128">
        <f>TEXT(B3759,"aaa")</f>
        <v/>
      </c>
      <c r="D3759" s="128" t="inlineStr">
        <is>
          <t>카카오광고</t>
        </is>
      </c>
      <c r="E3759" s="88">
        <f>VLOOKUP(A3759,매칭테이블!B:D,3,0)</f>
        <v/>
      </c>
      <c r="F3759" s="128" t="n"/>
      <c r="G3759" s="91" t="n"/>
      <c r="J3759" s="129" t="n">
        <v>3225</v>
      </c>
    </row>
    <row r="3760" customFormat="1" s="94">
      <c r="A3760" s="94" t="inlineStr">
        <is>
          <t>아누아_토너_관심사1_초4소재_1200x600</t>
        </is>
      </c>
      <c r="B3760" s="128" t="n">
        <v>44234</v>
      </c>
      <c r="C3760" s="128">
        <f>TEXT(B3760,"aaa")</f>
        <v/>
      </c>
      <c r="D3760" s="128" t="inlineStr">
        <is>
          <t>카카오광고</t>
        </is>
      </c>
      <c r="E3760" s="88">
        <f>VLOOKUP(A3760,매칭테이블!B:D,3,0)</f>
        <v/>
      </c>
      <c r="F3760" s="128" t="n"/>
      <c r="G3760" s="91" t="n"/>
      <c r="J3760" s="129" t="n">
        <v>374819.9999999999</v>
      </c>
    </row>
    <row r="3761" customFormat="1" s="94">
      <c r="A3761" s="94" t="inlineStr">
        <is>
          <t>토너_관심사1_엄마잘컨</t>
        </is>
      </c>
      <c r="B3761" s="128" t="n">
        <v>44232</v>
      </c>
      <c r="C3761" s="128">
        <f>TEXT(B3761,"aaa")</f>
        <v/>
      </c>
      <c r="D3761" s="128" t="inlineStr">
        <is>
          <t>유튜브 디스커버리</t>
        </is>
      </c>
      <c r="E3761" s="88">
        <f>VLOOKUP(A3761,매칭테이블!B:D,3,0)</f>
        <v/>
      </c>
      <c r="F3761" s="128" t="n"/>
      <c r="G3761" s="91" t="n"/>
      <c r="J3761" s="129" t="n">
        <v>79353</v>
      </c>
    </row>
    <row r="3762" customFormat="1" s="94">
      <c r="A3762" s="94" t="inlineStr">
        <is>
          <t>디스커버리_미닝님</t>
        </is>
      </c>
      <c r="B3762" s="128" t="n">
        <v>44232</v>
      </c>
      <c r="C3762" s="128">
        <f>TEXT(B3762,"aaa")</f>
        <v/>
      </c>
      <c r="D3762" s="128" t="inlineStr">
        <is>
          <t>유튜브 디스커버리</t>
        </is>
      </c>
      <c r="E3762" s="88">
        <f>VLOOKUP(A3762,매칭테이블!B:D,3,0)</f>
        <v/>
      </c>
      <c r="F3762" s="128" t="n"/>
      <c r="G3762" s="91" t="n"/>
      <c r="J3762" s="129" t="n">
        <v>139935</v>
      </c>
    </row>
    <row r="3763" customFormat="1" s="94">
      <c r="A3763" s="94" t="inlineStr">
        <is>
          <t>동영상_판매인스트림_올영애니2</t>
        </is>
      </c>
      <c r="B3763" s="128" t="n">
        <v>44232</v>
      </c>
      <c r="C3763" s="128">
        <f>TEXT(B3763,"aaa")</f>
        <v/>
      </c>
      <c r="D3763" s="128" t="inlineStr">
        <is>
          <t>유튜브 디스커버리</t>
        </is>
      </c>
      <c r="E3763" s="88">
        <f>VLOOKUP(A3763,매칭테이블!B:D,3,0)</f>
        <v/>
      </c>
      <c r="F3763" s="128" t="n"/>
      <c r="G3763" s="91" t="n"/>
      <c r="J3763" s="129" t="n">
        <v>101375</v>
      </c>
    </row>
    <row r="3764" customFormat="1" s="94">
      <c r="A3764" s="94" t="inlineStr">
        <is>
          <t>올리브영_자사랜딩</t>
        </is>
      </c>
      <c r="B3764" s="128" t="n">
        <v>44232</v>
      </c>
      <c r="C3764" s="128">
        <f>TEXT(B3764,"aaa")</f>
        <v/>
      </c>
      <c r="D3764" s="128" t="inlineStr">
        <is>
          <t>유튜브 디스커버리</t>
        </is>
      </c>
      <c r="E3764" s="88">
        <f>VLOOKUP(A3764,매칭테이블!B:D,3,0)</f>
        <v/>
      </c>
      <c r="F3764" s="128" t="n"/>
      <c r="G3764" s="91" t="n"/>
      <c r="J3764" s="129" t="n">
        <v>47133</v>
      </c>
    </row>
    <row r="3765" customFormat="1" s="94">
      <c r="A3765" s="94" t="inlineStr">
        <is>
          <t>동영상_인스트림_올영애니</t>
        </is>
      </c>
      <c r="B3765" s="128" t="n">
        <v>44232</v>
      </c>
      <c r="C3765" s="128">
        <f>TEXT(B3765,"aaa")</f>
        <v/>
      </c>
      <c r="D3765" s="128" t="inlineStr">
        <is>
          <t>유튜브 디스커버리</t>
        </is>
      </c>
      <c r="E3765" s="88">
        <f>VLOOKUP(A3765,매칭테이블!B:D,3,0)</f>
        <v/>
      </c>
      <c r="F3765" s="128" t="n"/>
      <c r="G3765" s="91" t="n"/>
      <c r="J3765" s="129" t="n">
        <v>100791</v>
      </c>
    </row>
    <row r="3766" customFormat="1" s="94">
      <c r="A3766" s="94" t="inlineStr">
        <is>
          <t>GDN_토너로션</t>
        </is>
      </c>
      <c r="B3766" s="128" t="n">
        <v>44232</v>
      </c>
      <c r="C3766" s="128">
        <f>TEXT(B3766,"aaa")</f>
        <v/>
      </c>
      <c r="D3766" s="128" t="inlineStr">
        <is>
          <t>유튜브 디스커버리</t>
        </is>
      </c>
      <c r="E3766" s="88">
        <f>VLOOKUP(A3766,매칭테이블!B:D,3,0)</f>
        <v/>
      </c>
      <c r="F3766" s="128" t="n"/>
      <c r="G3766" s="91" t="n"/>
      <c r="J3766" s="129" t="n">
        <v>171056</v>
      </c>
    </row>
    <row r="3767" customFormat="1" s="94">
      <c r="A3767" s="94" t="inlineStr">
        <is>
          <t>동영상_반응형_올영애니_1</t>
        </is>
      </c>
      <c r="B3767" s="128" t="n">
        <v>44232</v>
      </c>
      <c r="C3767" s="128">
        <f>TEXT(B3767,"aaa")</f>
        <v/>
      </c>
      <c r="D3767" s="128" t="inlineStr">
        <is>
          <t>유튜브 디스커버리</t>
        </is>
      </c>
      <c r="E3767" s="88">
        <f>VLOOKUP(A3767,매칭테이블!B:D,3,0)</f>
        <v/>
      </c>
      <c r="F3767" s="128" t="n"/>
      <c r="G3767" s="91" t="n"/>
      <c r="J3767" s="129" t="n">
        <v>100101</v>
      </c>
    </row>
    <row r="3768" customFormat="1" s="94">
      <c r="A3768" s="94" t="inlineStr">
        <is>
          <t>디스커버리_천서영님_썸네일테스트 #3</t>
        </is>
      </c>
      <c r="B3768" s="128" t="n">
        <v>44232</v>
      </c>
      <c r="C3768" s="128">
        <f>TEXT(B3768,"aaa")</f>
        <v/>
      </c>
      <c r="D3768" s="128" t="inlineStr">
        <is>
          <t>유튜브 디스커버리</t>
        </is>
      </c>
      <c r="E3768" s="88">
        <f>VLOOKUP(A3768,매칭테이블!B:D,3,0)</f>
        <v/>
      </c>
      <c r="F3768" s="128" t="n"/>
      <c r="G3768" s="91" t="n"/>
      <c r="J3768" s="129" t="n">
        <v>163458</v>
      </c>
    </row>
    <row r="3769" customFormat="1" s="94">
      <c r="A3769" s="94" t="inlineStr">
        <is>
          <t>디스커버리_채우</t>
        </is>
      </c>
      <c r="B3769" s="128" t="n">
        <v>44232</v>
      </c>
      <c r="C3769" s="128">
        <f>TEXT(B3769,"aaa")</f>
        <v/>
      </c>
      <c r="D3769" s="128" t="inlineStr">
        <is>
          <t>유튜브 디스커버리</t>
        </is>
      </c>
      <c r="E3769" s="88">
        <f>VLOOKUP(A3769,매칭테이블!B:D,3,0)</f>
        <v/>
      </c>
      <c r="F3769" s="128" t="n"/>
      <c r="G3769" s="91" t="n"/>
      <c r="J3769" s="129" t="n">
        <v>89352</v>
      </c>
    </row>
    <row r="3770" customFormat="1" s="94">
      <c r="A3770" s="94" t="inlineStr">
        <is>
          <t>디스커버리_최모나토너편집</t>
        </is>
      </c>
      <c r="B3770" s="128" t="n">
        <v>44232</v>
      </c>
      <c r="C3770" s="128">
        <f>TEXT(B3770,"aaa")</f>
        <v/>
      </c>
      <c r="D3770" s="128" t="inlineStr">
        <is>
          <t>유튜브 디스커버리</t>
        </is>
      </c>
      <c r="E3770" s="88">
        <f>VLOOKUP(A3770,매칭테이블!B:D,3,0)</f>
        <v/>
      </c>
      <c r="F3770" s="128" t="n"/>
      <c r="G3770" s="91" t="n"/>
      <c r="J3770" s="129" t="n">
        <v>128337</v>
      </c>
    </row>
    <row r="3771" customFormat="1" s="94">
      <c r="A3771" s="94" t="inlineStr">
        <is>
          <t>디스커버리_DP_관심사2_2+1강조</t>
        </is>
      </c>
      <c r="B3771" s="128" t="n">
        <v>44232</v>
      </c>
      <c r="C3771" s="128">
        <f>TEXT(B3771,"aaa")</f>
        <v/>
      </c>
      <c r="D3771" s="128" t="inlineStr">
        <is>
          <t>유튜브 디스커버리</t>
        </is>
      </c>
      <c r="E3771" s="88">
        <f>VLOOKUP(A3771,매칭테이블!B:D,3,0)</f>
        <v/>
      </c>
      <c r="F3771" s="128" t="n"/>
      <c r="G3771" s="91" t="n"/>
      <c r="J3771" s="129" t="n">
        <v>125316</v>
      </c>
    </row>
    <row r="3772" customFormat="1" s="94">
      <c r="A3772" s="94" t="inlineStr">
        <is>
          <t>디스커버리_미닝님_4554알수없음</t>
        </is>
      </c>
      <c r="B3772" s="128" t="n">
        <v>44232</v>
      </c>
      <c r="C3772" s="128">
        <f>TEXT(B3772,"aaa")</f>
        <v/>
      </c>
      <c r="D3772" s="128" t="inlineStr">
        <is>
          <t>유튜브 디스커버리</t>
        </is>
      </c>
      <c r="E3772" s="88">
        <f>VLOOKUP(A3772,매칭테이블!B:D,3,0)</f>
        <v/>
      </c>
      <c r="F3772" s="128" t="n"/>
      <c r="G3772" s="91" t="n"/>
      <c r="J3772" s="129" t="n">
        <v>69132</v>
      </c>
    </row>
    <row r="3773" customFormat="1" s="94">
      <c r="A3773" s="94" t="inlineStr">
        <is>
          <t>동영상_인스트림_올영애니</t>
        </is>
      </c>
      <c r="B3773" s="128" t="n">
        <v>44233</v>
      </c>
      <c r="C3773" s="128">
        <f>TEXT(B3773,"aaa")</f>
        <v/>
      </c>
      <c r="D3773" s="128" t="inlineStr">
        <is>
          <t>유튜브 디스커버리</t>
        </is>
      </c>
      <c r="E3773" s="88">
        <f>VLOOKUP(A3773,매칭테이블!B:D,3,0)</f>
        <v/>
      </c>
      <c r="F3773" s="128" t="n"/>
      <c r="G3773" s="91" t="n"/>
      <c r="J3773" s="129" t="n">
        <v>99942</v>
      </c>
    </row>
    <row r="3774" customFormat="1" s="94">
      <c r="A3774" s="94" t="inlineStr">
        <is>
          <t>디스커버리_DP_관심사2_2+1강조</t>
        </is>
      </c>
      <c r="B3774" s="128" t="n">
        <v>44233</v>
      </c>
      <c r="C3774" s="128">
        <f>TEXT(B3774,"aaa")</f>
        <v/>
      </c>
      <c r="D3774" s="128" t="inlineStr">
        <is>
          <t>유튜브 디스커버리</t>
        </is>
      </c>
      <c r="E3774" s="88">
        <f>VLOOKUP(A3774,매칭테이블!B:D,3,0)</f>
        <v/>
      </c>
      <c r="F3774" s="128" t="n"/>
      <c r="G3774" s="91" t="n"/>
      <c r="J3774" s="129" t="n">
        <v>135187</v>
      </c>
    </row>
    <row r="3775" customFormat="1" s="94">
      <c r="A3775" s="94" t="inlineStr">
        <is>
          <t>동영상_판매인스트림_올영애니2</t>
        </is>
      </c>
      <c r="B3775" s="128" t="n">
        <v>44233</v>
      </c>
      <c r="C3775" s="128">
        <f>TEXT(B3775,"aaa")</f>
        <v/>
      </c>
      <c r="D3775" s="128" t="inlineStr">
        <is>
          <t>유튜브 디스커버리</t>
        </is>
      </c>
      <c r="E3775" s="88">
        <f>VLOOKUP(A3775,매칭테이블!B:D,3,0)</f>
        <v/>
      </c>
      <c r="F3775" s="128" t="n"/>
      <c r="G3775" s="91" t="n"/>
      <c r="J3775" s="129" t="n">
        <v>99830</v>
      </c>
    </row>
    <row r="3776" customFormat="1" s="94">
      <c r="A3776" s="94" t="inlineStr">
        <is>
          <t>GDN_토너로션</t>
        </is>
      </c>
      <c r="B3776" s="128" t="n">
        <v>44233</v>
      </c>
      <c r="C3776" s="128">
        <f>TEXT(B3776,"aaa")</f>
        <v/>
      </c>
      <c r="D3776" s="128" t="inlineStr">
        <is>
          <t>유튜브 디스커버리</t>
        </is>
      </c>
      <c r="E3776" s="88">
        <f>VLOOKUP(A3776,매칭테이블!B:D,3,0)</f>
        <v/>
      </c>
      <c r="F3776" s="128" t="n"/>
      <c r="G3776" s="91" t="n"/>
      <c r="J3776" s="129" t="n">
        <v>208193</v>
      </c>
    </row>
    <row r="3777" customFormat="1" s="94">
      <c r="A3777" s="94" t="inlineStr">
        <is>
          <t>디스커버리_미닝님</t>
        </is>
      </c>
      <c r="B3777" s="128" t="n">
        <v>44233</v>
      </c>
      <c r="C3777" s="128">
        <f>TEXT(B3777,"aaa")</f>
        <v/>
      </c>
      <c r="D3777" s="128" t="inlineStr">
        <is>
          <t>유튜브 디스커버리</t>
        </is>
      </c>
      <c r="E3777" s="88">
        <f>VLOOKUP(A3777,매칭테이블!B:D,3,0)</f>
        <v/>
      </c>
      <c r="F3777" s="128" t="n"/>
      <c r="G3777" s="91" t="n"/>
      <c r="J3777" s="129" t="n">
        <v>119502</v>
      </c>
    </row>
    <row r="3778" customFormat="1" s="94">
      <c r="A3778" s="94" t="inlineStr">
        <is>
          <t>토너_관심사1_엄마잘컨</t>
        </is>
      </c>
      <c r="B3778" s="128" t="n">
        <v>44233</v>
      </c>
      <c r="C3778" s="128">
        <f>TEXT(B3778,"aaa")</f>
        <v/>
      </c>
      <c r="D3778" s="128" t="inlineStr">
        <is>
          <t>유튜브 디스커버리</t>
        </is>
      </c>
      <c r="E3778" s="88">
        <f>VLOOKUP(A3778,매칭테이블!B:D,3,0)</f>
        <v/>
      </c>
      <c r="F3778" s="128" t="n"/>
      <c r="G3778" s="91" t="n"/>
      <c r="J3778" s="129" t="n">
        <v>111919</v>
      </c>
    </row>
    <row r="3779" customFormat="1" s="94">
      <c r="A3779" s="94" t="inlineStr">
        <is>
          <t>올리브영_자사랜딩</t>
        </is>
      </c>
      <c r="B3779" s="128" t="n">
        <v>44233</v>
      </c>
      <c r="C3779" s="128">
        <f>TEXT(B3779,"aaa")</f>
        <v/>
      </c>
      <c r="D3779" s="128" t="inlineStr">
        <is>
          <t>유튜브 디스커버리</t>
        </is>
      </c>
      <c r="E3779" s="88">
        <f>VLOOKUP(A3779,매칭테이블!B:D,3,0)</f>
        <v/>
      </c>
      <c r="F3779" s="128" t="n"/>
      <c r="G3779" s="91" t="n"/>
      <c r="J3779" s="129" t="n">
        <v>200630</v>
      </c>
    </row>
    <row r="3780" customFormat="1" s="94">
      <c r="A3780" s="94" t="inlineStr">
        <is>
          <t>디스커버리_최모나토너편집</t>
        </is>
      </c>
      <c r="B3780" s="128" t="n">
        <v>44233</v>
      </c>
      <c r="C3780" s="128">
        <f>TEXT(B3780,"aaa")</f>
        <v/>
      </c>
      <c r="D3780" s="128" t="inlineStr">
        <is>
          <t>유튜브 디스커버리</t>
        </is>
      </c>
      <c r="E3780" s="88">
        <f>VLOOKUP(A3780,매칭테이블!B:D,3,0)</f>
        <v/>
      </c>
      <c r="F3780" s="128" t="n"/>
      <c r="G3780" s="91" t="n"/>
      <c r="J3780" s="129" t="n">
        <v>26749</v>
      </c>
    </row>
    <row r="3781" customFormat="1" s="94">
      <c r="A3781" s="94" t="inlineStr">
        <is>
          <t>디스커버리_미닝님_4554알수없음</t>
        </is>
      </c>
      <c r="B3781" s="128" t="n">
        <v>44233</v>
      </c>
      <c r="C3781" s="128">
        <f>TEXT(B3781,"aaa")</f>
        <v/>
      </c>
      <c r="D3781" s="128" t="inlineStr">
        <is>
          <t>유튜브 디스커버리</t>
        </is>
      </c>
      <c r="E3781" s="88">
        <f>VLOOKUP(A3781,매칭테이블!B:D,3,0)</f>
        <v/>
      </c>
      <c r="F3781" s="128" t="n"/>
      <c r="G3781" s="91" t="n"/>
      <c r="J3781" s="129" t="n">
        <v>65304</v>
      </c>
    </row>
    <row r="3782" customFormat="1" s="94">
      <c r="A3782" s="94" t="inlineStr">
        <is>
          <t>동영상_반응형_올영애니_1</t>
        </is>
      </c>
      <c r="B3782" s="128" t="n">
        <v>44233</v>
      </c>
      <c r="C3782" s="128">
        <f>TEXT(B3782,"aaa")</f>
        <v/>
      </c>
      <c r="D3782" s="128" t="inlineStr">
        <is>
          <t>유튜브 디스커버리</t>
        </is>
      </c>
      <c r="E3782" s="88">
        <f>VLOOKUP(A3782,매칭테이블!B:D,3,0)</f>
        <v/>
      </c>
      <c r="F3782" s="128" t="n"/>
      <c r="G3782" s="91" t="n"/>
      <c r="J3782" s="129" t="n">
        <v>99983</v>
      </c>
    </row>
    <row r="3783" customFormat="1" s="94">
      <c r="A3783" s="94" t="inlineStr">
        <is>
          <t>디스커버리_채우</t>
        </is>
      </c>
      <c r="B3783" s="128" t="n">
        <v>44233</v>
      </c>
      <c r="C3783" s="128">
        <f>TEXT(B3783,"aaa")</f>
        <v/>
      </c>
      <c r="D3783" s="128" t="inlineStr">
        <is>
          <t>유튜브 디스커버리</t>
        </is>
      </c>
      <c r="E3783" s="88">
        <f>VLOOKUP(A3783,매칭테이블!B:D,3,0)</f>
        <v/>
      </c>
      <c r="F3783" s="128" t="n"/>
      <c r="G3783" s="91" t="n"/>
      <c r="J3783" s="129" t="n">
        <v>7627</v>
      </c>
    </row>
    <row r="3784" customFormat="1" s="94">
      <c r="A3784" s="94" t="inlineStr">
        <is>
          <t>디스커버리_DP_관심사2_2+1강조</t>
        </is>
      </c>
      <c r="B3784" s="128" t="n">
        <v>44234</v>
      </c>
      <c r="C3784" s="128">
        <f>TEXT(B3784,"aaa")</f>
        <v/>
      </c>
      <c r="D3784" s="128" t="inlineStr">
        <is>
          <t>유튜브 디스커버리</t>
        </is>
      </c>
      <c r="E3784" s="88">
        <f>VLOOKUP(A3784,매칭테이블!B:D,3,0)</f>
        <v/>
      </c>
      <c r="F3784" s="128" t="n"/>
      <c r="G3784" s="91" t="n"/>
      <c r="J3784" s="129" t="n">
        <v>334629</v>
      </c>
    </row>
    <row r="3785" customFormat="1" s="94">
      <c r="A3785" s="94" t="inlineStr">
        <is>
          <t>디스커버리_미닝님_4554알수없음</t>
        </is>
      </c>
      <c r="B3785" s="128" t="n">
        <v>44234</v>
      </c>
      <c r="C3785" s="128">
        <f>TEXT(B3785,"aaa")</f>
        <v/>
      </c>
      <c r="D3785" s="128" t="inlineStr">
        <is>
          <t>유튜브 디스커버리</t>
        </is>
      </c>
      <c r="E3785" s="88">
        <f>VLOOKUP(A3785,매칭테이블!B:D,3,0)</f>
        <v/>
      </c>
      <c r="F3785" s="128" t="n"/>
      <c r="G3785" s="91" t="n"/>
      <c r="J3785" s="129" t="n">
        <v>130479</v>
      </c>
    </row>
    <row r="3786" customFormat="1" s="94">
      <c r="A3786" s="94" t="inlineStr">
        <is>
          <t>동영상_판매인스트림_올영애니2</t>
        </is>
      </c>
      <c r="B3786" s="128" t="n">
        <v>44234</v>
      </c>
      <c r="C3786" s="128">
        <f>TEXT(B3786,"aaa")</f>
        <v/>
      </c>
      <c r="D3786" s="128" t="inlineStr">
        <is>
          <t>유튜브 디스커버리</t>
        </is>
      </c>
      <c r="E3786" s="88">
        <f>VLOOKUP(A3786,매칭테이블!B:D,3,0)</f>
        <v/>
      </c>
      <c r="F3786" s="128" t="n"/>
      <c r="G3786" s="91" t="n"/>
      <c r="J3786" s="129" t="n">
        <v>99985</v>
      </c>
    </row>
    <row r="3787" customFormat="1" s="94">
      <c r="A3787" s="94" t="inlineStr">
        <is>
          <t>GDN_토너로션</t>
        </is>
      </c>
      <c r="B3787" s="128" t="n">
        <v>44234</v>
      </c>
      <c r="C3787" s="128">
        <f>TEXT(B3787,"aaa")</f>
        <v/>
      </c>
      <c r="D3787" s="128" t="inlineStr">
        <is>
          <t>유튜브 디스커버리</t>
        </is>
      </c>
      <c r="E3787" s="88">
        <f>VLOOKUP(A3787,매칭테이블!B:D,3,0)</f>
        <v/>
      </c>
      <c r="F3787" s="128" t="n"/>
      <c r="G3787" s="91" t="n"/>
      <c r="J3787" s="129" t="n">
        <v>160420</v>
      </c>
    </row>
    <row r="3788" customFormat="1" s="94">
      <c r="A3788" s="94" t="inlineStr">
        <is>
          <t>동영상_반응형_올영애니_1</t>
        </is>
      </c>
      <c r="B3788" s="128" t="n">
        <v>44234</v>
      </c>
      <c r="C3788" s="128">
        <f>TEXT(B3788,"aaa")</f>
        <v/>
      </c>
      <c r="D3788" s="128" t="inlineStr">
        <is>
          <t>유튜브 디스커버리</t>
        </is>
      </c>
      <c r="E3788" s="88">
        <f>VLOOKUP(A3788,매칭테이블!B:D,3,0)</f>
        <v/>
      </c>
      <c r="F3788" s="128" t="n"/>
      <c r="G3788" s="91" t="n"/>
      <c r="J3788" s="129" t="n">
        <v>99999</v>
      </c>
    </row>
    <row r="3789" customFormat="1" s="94">
      <c r="A3789" s="94" t="inlineStr">
        <is>
          <t>토너_관심사1_엄마잘컨</t>
        </is>
      </c>
      <c r="B3789" s="128" t="n">
        <v>44234</v>
      </c>
      <c r="C3789" s="128">
        <f>TEXT(B3789,"aaa")</f>
        <v/>
      </c>
      <c r="D3789" s="128" t="inlineStr">
        <is>
          <t>유튜브 디스커버리</t>
        </is>
      </c>
      <c r="E3789" s="88">
        <f>VLOOKUP(A3789,매칭테이블!B:D,3,0)</f>
        <v/>
      </c>
      <c r="F3789" s="128" t="n"/>
      <c r="G3789" s="91" t="n"/>
      <c r="J3789" s="129" t="n">
        <v>294078</v>
      </c>
    </row>
    <row r="3790" customFormat="1" s="94">
      <c r="A3790" s="94" t="inlineStr">
        <is>
          <t>디스커버리_최모나토너편집</t>
        </is>
      </c>
      <c r="B3790" s="128" t="n">
        <v>44234</v>
      </c>
      <c r="C3790" s="128">
        <f>TEXT(B3790,"aaa")</f>
        <v/>
      </c>
      <c r="D3790" s="128" t="inlineStr">
        <is>
          <t>유튜브 디스커버리</t>
        </is>
      </c>
      <c r="E3790" s="88">
        <f>VLOOKUP(A3790,매칭테이블!B:D,3,0)</f>
        <v/>
      </c>
      <c r="F3790" s="128" t="n"/>
      <c r="G3790" s="91" t="n"/>
      <c r="J3790" s="129" t="n">
        <v>90709</v>
      </c>
    </row>
    <row r="3791" customFormat="1" s="94">
      <c r="A3791" s="94" t="inlineStr">
        <is>
          <t>디스커버리_미닝님</t>
        </is>
      </c>
      <c r="B3791" s="128" t="n">
        <v>44234</v>
      </c>
      <c r="C3791" s="128">
        <f>TEXT(B3791,"aaa")</f>
        <v/>
      </c>
      <c r="D3791" s="128" t="inlineStr">
        <is>
          <t>유튜브 디스커버리</t>
        </is>
      </c>
      <c r="E3791" s="88">
        <f>VLOOKUP(A3791,매칭테이블!B:D,3,0)</f>
        <v/>
      </c>
      <c r="F3791" s="128" t="n"/>
      <c r="G3791" s="91" t="n"/>
      <c r="J3791" s="129" t="n">
        <v>341893</v>
      </c>
    </row>
    <row r="3792" customFormat="1" s="94">
      <c r="A3792" s="94" t="inlineStr">
        <is>
          <t>디스커버리_천서영님_썸네일테스트 #3</t>
        </is>
      </c>
      <c r="B3792" s="128" t="n">
        <v>44234</v>
      </c>
      <c r="C3792" s="128">
        <f>TEXT(B3792,"aaa")</f>
        <v/>
      </c>
      <c r="D3792" s="128" t="inlineStr">
        <is>
          <t>유튜브 디스커버리</t>
        </is>
      </c>
      <c r="E3792" s="88">
        <f>VLOOKUP(A3792,매칭테이블!B:D,3,0)</f>
        <v/>
      </c>
      <c r="F3792" s="128" t="n"/>
      <c r="G3792" s="91" t="n"/>
      <c r="J3792" s="129" t="n">
        <v>422080</v>
      </c>
    </row>
    <row r="3793" customFormat="1" s="94">
      <c r="A3793" s="94" t="inlineStr">
        <is>
          <t>디스커버리_채우</t>
        </is>
      </c>
      <c r="B3793" s="128" t="n">
        <v>44234</v>
      </c>
      <c r="C3793" s="128">
        <f>TEXT(B3793,"aaa")</f>
        <v/>
      </c>
      <c r="D3793" s="128" t="inlineStr">
        <is>
          <t>유튜브 디스커버리</t>
        </is>
      </c>
      <c r="E3793" s="88">
        <f>VLOOKUP(A3793,매칭테이블!B:D,3,0)</f>
        <v/>
      </c>
      <c r="F3793" s="128" t="n"/>
      <c r="G3793" s="91" t="n"/>
      <c r="J3793" s="129" t="n">
        <v>619962</v>
      </c>
    </row>
    <row r="3794" customFormat="1" s="94">
      <c r="A3794" s="94" t="inlineStr">
        <is>
          <t>동영상_인스트림_올영애니</t>
        </is>
      </c>
      <c r="B3794" s="128" t="n">
        <v>44234</v>
      </c>
      <c r="C3794" s="128">
        <f>TEXT(B3794,"aaa")</f>
        <v/>
      </c>
      <c r="D3794" s="128" t="inlineStr">
        <is>
          <t>유튜브 디스커버리</t>
        </is>
      </c>
      <c r="E3794" s="88">
        <f>VLOOKUP(A3794,매칭테이블!B:D,3,0)</f>
        <v/>
      </c>
      <c r="F3794" s="128" t="n"/>
      <c r="G3794" s="91" t="n"/>
      <c r="J3794" s="129" t="n">
        <v>99860</v>
      </c>
    </row>
    <row r="3795" customFormat="1" s="94">
      <c r="A3795" s="94" t="inlineStr">
        <is>
          <t>디스커버리_소히방2</t>
        </is>
      </c>
      <c r="B3795" s="128" t="n">
        <v>44234</v>
      </c>
      <c r="C3795" s="128">
        <f>TEXT(B3795,"aaa")</f>
        <v/>
      </c>
      <c r="D3795" s="128" t="inlineStr">
        <is>
          <t>유튜브 디스커버리</t>
        </is>
      </c>
      <c r="E3795" s="88">
        <f>VLOOKUP(A3795,매칭테이블!B:D,3,0)</f>
        <v/>
      </c>
      <c r="F3795" s="128" t="n"/>
      <c r="G3795" s="91" t="n"/>
      <c r="J3795" s="129" t="n">
        <v>731</v>
      </c>
    </row>
    <row r="3796" customFormat="1" s="94">
      <c r="A3796" s="94" t="inlineStr">
        <is>
          <t>올리브영_자사랜딩</t>
        </is>
      </c>
      <c r="B3796" s="128" t="n">
        <v>44234</v>
      </c>
      <c r="C3796" s="128">
        <f>TEXT(B3796,"aaa")</f>
        <v/>
      </c>
      <c r="D3796" s="128" t="inlineStr">
        <is>
          <t>유튜브 디스커버리</t>
        </is>
      </c>
      <c r="E3796" s="88">
        <f>VLOOKUP(A3796,매칭테이블!B:D,3,0)</f>
        <v/>
      </c>
      <c r="F3796" s="128" t="n"/>
      <c r="G3796" s="91" t="n"/>
      <c r="J3796" s="129" t="n">
        <v>200308</v>
      </c>
    </row>
    <row r="3797" customFormat="1" s="94">
      <c r="A3797" s="90" t="inlineStr">
        <is>
          <t>도달_올리브영</t>
        </is>
      </c>
      <c r="B3797" s="128" t="n">
        <v>44235</v>
      </c>
      <c r="C3797" s="128">
        <f>TEXT(B3797,"aaa")</f>
        <v/>
      </c>
      <c r="D3797" s="128" t="inlineStr">
        <is>
          <t>페이스북/인스타그램</t>
        </is>
      </c>
      <c r="E3797" s="88">
        <f>VLOOKUP(A3797,매칭테이블!B:D,3,0)</f>
        <v/>
      </c>
      <c r="F3797" s="128" t="n"/>
      <c r="G3797" s="91" t="n"/>
      <c r="J3797" s="129" t="n">
        <v>48506</v>
      </c>
    </row>
    <row r="3798" customFormat="1" s="94">
      <c r="A3798" s="90" t="inlineStr">
        <is>
          <t>전환_토너패드</t>
        </is>
      </c>
      <c r="B3798" s="128" t="n">
        <v>44235</v>
      </c>
      <c r="C3798" s="128">
        <f>TEXT(B3798,"aaa")</f>
        <v/>
      </c>
      <c r="D3798" s="128" t="inlineStr">
        <is>
          <t>페이스북/인스타그램</t>
        </is>
      </c>
      <c r="E3798" s="88">
        <f>VLOOKUP(A3798,매칭테이블!B:D,3,0)</f>
        <v/>
      </c>
      <c r="F3798" s="128" t="n"/>
      <c r="G3798" s="91" t="n"/>
      <c r="J3798" s="129" t="n">
        <v>239582</v>
      </c>
    </row>
    <row r="3799" customFormat="1" s="94">
      <c r="A3799" s="90" t="inlineStr">
        <is>
          <t>전환</t>
        </is>
      </c>
      <c r="B3799" s="128" t="n">
        <v>44235</v>
      </c>
      <c r="C3799" s="128">
        <f>TEXT(B3799,"aaa")</f>
        <v/>
      </c>
      <c r="D3799" s="128" t="inlineStr">
        <is>
          <t>페이스북/인스타그램</t>
        </is>
      </c>
      <c r="E3799" s="88">
        <f>VLOOKUP(A3799,매칭테이블!B:D,3,0)</f>
        <v/>
      </c>
      <c r="F3799" s="128" t="n"/>
      <c r="G3799" s="91" t="n"/>
      <c r="J3799" s="129" t="n">
        <v>845612</v>
      </c>
    </row>
    <row r="3800" customFormat="1" s="94">
      <c r="A3800" s="94" t="inlineStr">
        <is>
          <t>패드_신규소구점테스트_메인</t>
        </is>
      </c>
      <c r="B3800" s="128" t="n">
        <v>44235</v>
      </c>
      <c r="C3800" s="128">
        <f>TEXT(B3800,"aaa")</f>
        <v/>
      </c>
      <c r="D3800" s="128" t="inlineStr">
        <is>
          <t>네이버 GFA</t>
        </is>
      </c>
      <c r="E3800" s="88">
        <f>VLOOKUP(A3800,매칭테이블!B:D,3,0)</f>
        <v/>
      </c>
      <c r="F3800" s="128" t="n"/>
      <c r="G3800" s="91" t="n"/>
      <c r="J3800" s="129" t="n">
        <v>26399.09090909091</v>
      </c>
    </row>
    <row r="3801" customFormat="1" s="94">
      <c r="A3801" s="94" t="inlineStr">
        <is>
          <t>T_토너_테스트</t>
        </is>
      </c>
      <c r="B3801" s="128" t="n">
        <v>44235</v>
      </c>
      <c r="C3801" s="128">
        <f>TEXT(B3801,"aaa")</f>
        <v/>
      </c>
      <c r="D3801" s="128" t="inlineStr">
        <is>
          <t>네이버 GFA</t>
        </is>
      </c>
      <c r="E3801" s="88">
        <f>VLOOKUP(A3801,매칭테이블!B:D,3,0)</f>
        <v/>
      </c>
      <c r="F3801" s="128" t="n"/>
      <c r="G3801" s="91" t="n"/>
      <c r="J3801" s="129" t="n">
        <v>374303.6363636364</v>
      </c>
    </row>
    <row r="3802" customFormat="1" s="94">
      <c r="A3802" s="94" t="inlineStr">
        <is>
          <t>패드_청소년관심사_메인</t>
        </is>
      </c>
      <c r="B3802" s="128" t="n">
        <v>44235</v>
      </c>
      <c r="C3802" s="128">
        <f>TEXT(B3802,"aaa")</f>
        <v/>
      </c>
      <c r="D3802" s="128" t="inlineStr">
        <is>
          <t>네이버 GFA</t>
        </is>
      </c>
      <c r="E3802" s="88">
        <f>VLOOKUP(A3802,매칭테이블!B:D,3,0)</f>
        <v/>
      </c>
      <c r="F3802" s="128" t="n"/>
      <c r="G3802" s="91" t="n"/>
      <c r="J3802" s="129" t="n">
        <v>683280.9090909091</v>
      </c>
    </row>
    <row r="3803" customFormat="1" s="94">
      <c r="A3803" s="94" t="inlineStr">
        <is>
          <t>패드_메인</t>
        </is>
      </c>
      <c r="B3803" s="128" t="n">
        <v>44235</v>
      </c>
      <c r="C3803" s="128">
        <f>TEXT(B3803,"aaa")</f>
        <v/>
      </c>
      <c r="D3803" s="128" t="inlineStr">
        <is>
          <t>네이버 GFA</t>
        </is>
      </c>
      <c r="E3803" s="88">
        <f>VLOOKUP(A3803,매칭테이블!B:D,3,0)</f>
        <v/>
      </c>
      <c r="F3803" s="128" t="n"/>
      <c r="G3803" s="91" t="n"/>
      <c r="J3803" s="129" t="n">
        <v>577695.4545454545</v>
      </c>
    </row>
    <row r="3804" customFormat="1" s="94">
      <c r="A3804" s="94" t="inlineStr">
        <is>
          <t>토너_메인_기존소재</t>
        </is>
      </c>
      <c r="B3804" s="128" t="n">
        <v>44235</v>
      </c>
      <c r="C3804" s="128">
        <f>TEXT(B3804,"aaa")</f>
        <v/>
      </c>
      <c r="D3804" s="128" t="inlineStr">
        <is>
          <t>네이버 GFA</t>
        </is>
      </c>
      <c r="E3804" s="88">
        <f>VLOOKUP(A3804,매칭테이블!B:D,3,0)</f>
        <v/>
      </c>
      <c r="F3804" s="128" t="n"/>
      <c r="G3804" s="91" t="n"/>
      <c r="J3804" s="129" t="n">
        <v>901785.4545454545</v>
      </c>
    </row>
    <row r="3805" customFormat="1" s="94">
      <c r="A3805" s="94" t="inlineStr">
        <is>
          <t>디스커버리_천서영님_썸네일테스트 #3</t>
        </is>
      </c>
      <c r="B3805" s="128" t="n">
        <v>44235</v>
      </c>
      <c r="C3805" s="128">
        <f>TEXT(B3805,"aaa")</f>
        <v/>
      </c>
      <c r="D3805" s="128" t="inlineStr">
        <is>
          <t>유튜브 디스커버리</t>
        </is>
      </c>
      <c r="E3805" s="88">
        <f>VLOOKUP(A3805,매칭테이블!B:D,3,0)</f>
        <v/>
      </c>
      <c r="F3805" s="128" t="n"/>
      <c r="G3805" s="91" t="n"/>
      <c r="J3805" s="129" t="n">
        <v>244944</v>
      </c>
    </row>
    <row r="3806" customFormat="1" s="94">
      <c r="A3806" s="94" t="inlineStr">
        <is>
          <t>디스커버리_미닝님</t>
        </is>
      </c>
      <c r="B3806" s="128" t="n">
        <v>44235</v>
      </c>
      <c r="C3806" s="128">
        <f>TEXT(B3806,"aaa")</f>
        <v/>
      </c>
      <c r="D3806" s="128" t="inlineStr">
        <is>
          <t>유튜브 디스커버리</t>
        </is>
      </c>
      <c r="E3806" s="88">
        <f>VLOOKUP(A3806,매칭테이블!B:D,3,0)</f>
        <v/>
      </c>
      <c r="F3806" s="128" t="n"/>
      <c r="G3806" s="91" t="n"/>
      <c r="J3806" s="129" t="n">
        <v>212420</v>
      </c>
    </row>
    <row r="3807" customFormat="1" s="94">
      <c r="A3807" s="94" t="inlineStr">
        <is>
          <t>GDN_토너로션_리타게팅</t>
        </is>
      </c>
      <c r="B3807" s="128" t="n">
        <v>44235</v>
      </c>
      <c r="C3807" s="128">
        <f>TEXT(B3807,"aaa")</f>
        <v/>
      </c>
      <c r="D3807" s="128" t="inlineStr">
        <is>
          <t>유튜브 디스커버리</t>
        </is>
      </c>
      <c r="E3807" s="88">
        <f>VLOOKUP(A3807,매칭테이블!B:D,3,0)</f>
        <v/>
      </c>
      <c r="F3807" s="128" t="n"/>
      <c r="G3807" s="91" t="n"/>
      <c r="J3807" s="129" t="n">
        <v>161633</v>
      </c>
    </row>
    <row r="3808" customFormat="1" s="94">
      <c r="A3808" s="94" t="inlineStr">
        <is>
          <t>동영상_판매인스트림_올영애니2</t>
        </is>
      </c>
      <c r="B3808" s="128" t="n">
        <v>44235</v>
      </c>
      <c r="C3808" s="128">
        <f>TEXT(B3808,"aaa")</f>
        <v/>
      </c>
      <c r="D3808" s="128" t="inlineStr">
        <is>
          <t>유튜브 디스커버리</t>
        </is>
      </c>
      <c r="E3808" s="88">
        <f>VLOOKUP(A3808,매칭테이블!B:D,3,0)</f>
        <v/>
      </c>
      <c r="F3808" s="128" t="n"/>
      <c r="G3808" s="91" t="n"/>
      <c r="J3808" s="129" t="n">
        <v>103927</v>
      </c>
    </row>
    <row r="3809" customFormat="1" s="94">
      <c r="A3809" s="94" t="inlineStr">
        <is>
          <t>동영상_디스커버리_올영애니 피드</t>
        </is>
      </c>
      <c r="B3809" s="128" t="n">
        <v>44235</v>
      </c>
      <c r="C3809" s="128">
        <f>TEXT(B3809,"aaa")</f>
        <v/>
      </c>
      <c r="D3809" s="128" t="inlineStr">
        <is>
          <t>유튜브 디스커버리</t>
        </is>
      </c>
      <c r="E3809" s="88">
        <f>VLOOKUP(A3809,매칭테이블!B:D,3,0)</f>
        <v/>
      </c>
      <c r="F3809" s="128" t="n"/>
      <c r="G3809" s="91" t="n"/>
      <c r="J3809" s="129" t="n">
        <v>11591</v>
      </c>
    </row>
    <row r="3810" customFormat="1" s="94">
      <c r="A3810" s="94" t="inlineStr">
        <is>
          <t>디스커버리_채우ppl</t>
        </is>
      </c>
      <c r="B3810" s="128" t="n">
        <v>44235</v>
      </c>
      <c r="C3810" s="128">
        <f>TEXT(B3810,"aaa")</f>
        <v/>
      </c>
      <c r="D3810" s="128" t="inlineStr">
        <is>
          <t>유튜브 디스커버리</t>
        </is>
      </c>
      <c r="E3810" s="88">
        <f>VLOOKUP(A3810,매칭테이블!B:D,3,0)</f>
        <v/>
      </c>
      <c r="F3810" s="128" t="n"/>
      <c r="G3810" s="91" t="n"/>
      <c r="J3810" s="129" t="n">
        <v>355</v>
      </c>
    </row>
    <row r="3811" customFormat="1" s="94">
      <c r="A3811" s="94" t="inlineStr">
        <is>
          <t>디스커버리_채우</t>
        </is>
      </c>
      <c r="B3811" s="128" t="n">
        <v>44235</v>
      </c>
      <c r="C3811" s="128">
        <f>TEXT(B3811,"aaa")</f>
        <v/>
      </c>
      <c r="D3811" s="128" t="inlineStr">
        <is>
          <t>유튜브 디스커버리</t>
        </is>
      </c>
      <c r="E3811" s="88">
        <f>VLOOKUP(A3811,매칭테이블!B:D,3,0)</f>
        <v/>
      </c>
      <c r="F3811" s="128" t="n"/>
      <c r="G3811" s="91" t="n"/>
      <c r="J3811" s="129" t="n">
        <v>520650</v>
      </c>
    </row>
    <row r="3812" customFormat="1" s="94">
      <c r="A3812" s="94" t="inlineStr">
        <is>
          <t>동영상_반응형_올영애니_1</t>
        </is>
      </c>
      <c r="B3812" s="128" t="n">
        <v>44235</v>
      </c>
      <c r="C3812" s="128">
        <f>TEXT(B3812,"aaa")</f>
        <v/>
      </c>
      <c r="D3812" s="128" t="inlineStr">
        <is>
          <t>유튜브 디스커버리</t>
        </is>
      </c>
      <c r="E3812" s="88">
        <f>VLOOKUP(A3812,매칭테이블!B:D,3,0)</f>
        <v/>
      </c>
      <c r="F3812" s="128" t="n"/>
      <c r="G3812" s="91" t="n"/>
      <c r="J3812" s="129" t="n">
        <v>52013</v>
      </c>
    </row>
    <row r="3813" customFormat="1" s="94">
      <c r="A3813" s="94" t="inlineStr">
        <is>
          <t>디스커버리_소히방2</t>
        </is>
      </c>
      <c r="B3813" s="128" t="n">
        <v>44235</v>
      </c>
      <c r="C3813" s="128">
        <f>TEXT(B3813,"aaa")</f>
        <v/>
      </c>
      <c r="D3813" s="128" t="inlineStr">
        <is>
          <t>유튜브 디스커버리</t>
        </is>
      </c>
      <c r="E3813" s="88">
        <f>VLOOKUP(A3813,매칭테이블!B:D,3,0)</f>
        <v/>
      </c>
      <c r="F3813" s="128" t="n"/>
      <c r="G3813" s="91" t="n"/>
      <c r="J3813" s="129" t="n">
        <v>1184</v>
      </c>
    </row>
    <row r="3814" customFormat="1" s="94">
      <c r="A3814" s="94" t="inlineStr">
        <is>
          <t>디스커버리_미닝님_4554알수없음</t>
        </is>
      </c>
      <c r="B3814" s="128" t="n">
        <v>44235</v>
      </c>
      <c r="C3814" s="128">
        <f>TEXT(B3814,"aaa")</f>
        <v/>
      </c>
      <c r="D3814" s="128" t="inlineStr">
        <is>
          <t>유튜브 디스커버리</t>
        </is>
      </c>
      <c r="E3814" s="88">
        <f>VLOOKUP(A3814,매칭테이블!B:D,3,0)</f>
        <v/>
      </c>
      <c r="F3814" s="128" t="n"/>
      <c r="G3814" s="91" t="n"/>
      <c r="J3814" s="129" t="n">
        <v>127676</v>
      </c>
    </row>
    <row r="3815" customFormat="1" s="94">
      <c r="A3815" s="94" t="inlineStr">
        <is>
          <t>올리브영_자사랜딩</t>
        </is>
      </c>
      <c r="B3815" s="128" t="n">
        <v>44235</v>
      </c>
      <c r="C3815" s="128">
        <f>TEXT(B3815,"aaa")</f>
        <v/>
      </c>
      <c r="D3815" s="128" t="inlineStr">
        <is>
          <t>유튜브 디스커버리</t>
        </is>
      </c>
      <c r="E3815" s="88">
        <f>VLOOKUP(A3815,매칭테이블!B:D,3,0)</f>
        <v/>
      </c>
      <c r="F3815" s="128" t="n"/>
      <c r="G3815" s="91" t="n"/>
      <c r="J3815" s="129" t="n">
        <v>106771</v>
      </c>
    </row>
    <row r="3816" customFormat="1" s="94">
      <c r="A3816" s="94" t="inlineStr">
        <is>
          <t>디스커버리_DP_관심사2_2+1강조</t>
        </is>
      </c>
      <c r="B3816" s="128" t="n">
        <v>44235</v>
      </c>
      <c r="C3816" s="128">
        <f>TEXT(B3816,"aaa")</f>
        <v/>
      </c>
      <c r="D3816" s="128" t="inlineStr">
        <is>
          <t>유튜브 디스커버리</t>
        </is>
      </c>
      <c r="E3816" s="88">
        <f>VLOOKUP(A3816,매칭테이블!B:D,3,0)</f>
        <v/>
      </c>
      <c r="F3816" s="128" t="n"/>
      <c r="G3816" s="91" t="n"/>
      <c r="J3816" s="129" t="n">
        <v>201765</v>
      </c>
    </row>
    <row r="3817" customFormat="1" s="94">
      <c r="A3817" s="94" t="inlineStr">
        <is>
          <t>디스커버리_최모나토너편집</t>
        </is>
      </c>
      <c r="B3817" s="128" t="n">
        <v>44235</v>
      </c>
      <c r="C3817" s="128">
        <f>TEXT(B3817,"aaa")</f>
        <v/>
      </c>
      <c r="D3817" s="128" t="inlineStr">
        <is>
          <t>유튜브 디스커버리</t>
        </is>
      </c>
      <c r="E3817" s="88">
        <f>VLOOKUP(A3817,매칭테이블!B:D,3,0)</f>
        <v/>
      </c>
      <c r="F3817" s="128" t="n"/>
      <c r="G3817" s="91" t="n"/>
      <c r="J3817" s="129" t="n">
        <v>51219</v>
      </c>
    </row>
    <row r="3818" customFormat="1" s="94">
      <c r="A3818" s="94" t="inlineStr">
        <is>
          <t>동영상_인스트림_올영애니</t>
        </is>
      </c>
      <c r="B3818" s="128" t="n">
        <v>44235</v>
      </c>
      <c r="C3818" s="128">
        <f>TEXT(B3818,"aaa")</f>
        <v/>
      </c>
      <c r="D3818" s="128" t="inlineStr">
        <is>
          <t>유튜브 디스커버리</t>
        </is>
      </c>
      <c r="E3818" s="88">
        <f>VLOOKUP(A3818,매칭테이블!B:D,3,0)</f>
        <v/>
      </c>
      <c r="F3818" s="128" t="n"/>
      <c r="G3818" s="91" t="n"/>
      <c r="J3818" s="129" t="n">
        <v>44662</v>
      </c>
    </row>
    <row r="3819" customFormat="1" s="94">
      <c r="A3819" s="94" t="inlineStr">
        <is>
          <t>토너_관심사1_엄마잘컨</t>
        </is>
      </c>
      <c r="B3819" s="128" t="n">
        <v>44235</v>
      </c>
      <c r="C3819" s="128">
        <f>TEXT(B3819,"aaa")</f>
        <v/>
      </c>
      <c r="D3819" s="128" t="inlineStr">
        <is>
          <t>유튜브 디스커버리</t>
        </is>
      </c>
      <c r="E3819" s="88">
        <f>VLOOKUP(A3819,매칭테이블!B:D,3,0)</f>
        <v/>
      </c>
      <c r="F3819" s="128" t="n"/>
      <c r="G3819" s="91" t="n"/>
      <c r="J3819" s="129" t="n">
        <v>95051</v>
      </c>
    </row>
    <row r="3820" customFormat="1" s="94">
      <c r="A3820" s="94" t="inlineStr">
        <is>
          <t>도달_올리브영소재</t>
        </is>
      </c>
      <c r="B3820" s="128" t="n">
        <v>44235</v>
      </c>
      <c r="C3820" s="128">
        <f>TEXT(B3820,"aaa")</f>
        <v/>
      </c>
      <c r="D3820" s="128" t="inlineStr">
        <is>
          <t>카카오광고</t>
        </is>
      </c>
      <c r="E3820" s="88">
        <f>VLOOKUP(A3820,매칭테이블!B:D,3,0)</f>
        <v/>
      </c>
      <c r="F3820" s="128" t="n"/>
      <c r="G3820" s="91" t="n"/>
      <c r="J3820" s="129" t="n">
        <v>90979.99999999999</v>
      </c>
    </row>
    <row r="3821" customFormat="1" s="94">
      <c r="A3821" s="94" t="inlineStr">
        <is>
          <t>아누아_비즈보드_리타게팅</t>
        </is>
      </c>
      <c r="B3821" s="128" t="n">
        <v>44235</v>
      </c>
      <c r="C3821" s="128">
        <f>TEXT(B3821,"aaa")</f>
        <v/>
      </c>
      <c r="D3821" s="128" t="inlineStr">
        <is>
          <t>카카오광고</t>
        </is>
      </c>
      <c r="E3821" s="88">
        <f>VLOOKUP(A3821,매칭테이블!B:D,3,0)</f>
        <v/>
      </c>
      <c r="F3821" s="128" t="n"/>
      <c r="G3821" s="91" t="n"/>
      <c r="J3821" s="129" t="n">
        <v>44060</v>
      </c>
    </row>
    <row r="3822" customFormat="1" s="94">
      <c r="A3822" s="94" t="inlineStr">
        <is>
          <t>아누아_올영입점이벤트_플친발송_210201</t>
        </is>
      </c>
      <c r="B3822" s="128" t="n">
        <v>44235</v>
      </c>
      <c r="C3822" s="128">
        <f>TEXT(B3822,"aaa")</f>
        <v/>
      </c>
      <c r="D3822" s="128" t="inlineStr">
        <is>
          <t>카카오광고</t>
        </is>
      </c>
      <c r="E3822" s="88">
        <f>VLOOKUP(A3822,매칭테이블!B:D,3,0)</f>
        <v/>
      </c>
      <c r="F3822" s="128" t="n"/>
      <c r="G3822" s="91" t="n"/>
      <c r="J3822" s="129" t="n">
        <v>3540</v>
      </c>
    </row>
    <row r="3823" customFormat="1" s="94">
      <c r="A3823" s="94" t="inlineStr">
        <is>
          <t>아누아_토너_관심사1_초4소재_1200x600</t>
        </is>
      </c>
      <c r="B3823" s="128" t="n">
        <v>44235</v>
      </c>
      <c r="C3823" s="128">
        <f>TEXT(B3823,"aaa")</f>
        <v/>
      </c>
      <c r="D3823" s="128" t="inlineStr">
        <is>
          <t>카카오광고</t>
        </is>
      </c>
      <c r="E3823" s="88">
        <f>VLOOKUP(A3823,매칭테이블!B:D,3,0)</f>
        <v/>
      </c>
      <c r="F3823" s="128" t="n"/>
      <c r="G3823" s="91" t="n"/>
      <c r="J3823" s="129" t="n">
        <v>225990</v>
      </c>
    </row>
    <row r="3824" customFormat="1" s="94">
      <c r="A3824" s="94" t="inlineStr">
        <is>
          <t>아누아_패드_지면테스트</t>
        </is>
      </c>
      <c r="B3824" s="128" t="n">
        <v>44235</v>
      </c>
      <c r="C3824" s="128">
        <f>TEXT(B3824,"aaa")</f>
        <v/>
      </c>
      <c r="D3824" s="128" t="inlineStr">
        <is>
          <t>카카오광고</t>
        </is>
      </c>
      <c r="E3824" s="88">
        <f>VLOOKUP(A3824,매칭테이블!B:D,3,0)</f>
        <v/>
      </c>
      <c r="F3824" s="128" t="n"/>
      <c r="G3824" s="91" t="n"/>
      <c r="J3824" s="129" t="n">
        <v>9350</v>
      </c>
    </row>
    <row r="3825" customFormat="1" s="94">
      <c r="B3825" s="128" t="n"/>
      <c r="C3825" s="128" t="n"/>
      <c r="D3825" s="128" t="n"/>
      <c r="E3825" s="128" t="n"/>
      <c r="F3825" s="128" t="n"/>
      <c r="G3825" s="91" t="n"/>
      <c r="J3825" s="129" t="n"/>
    </row>
    <row r="3826" customFormat="1" s="94">
      <c r="B3826" s="128" t="n"/>
      <c r="C3826" s="128" t="n"/>
      <c r="D3826" s="128" t="n"/>
      <c r="E3826" s="128" t="n"/>
      <c r="F3826" s="128" t="n"/>
      <c r="G3826" s="91" t="n"/>
      <c r="J3826" s="129" t="n"/>
    </row>
    <row r="3827" customFormat="1" s="94">
      <c r="B3827" s="128" t="n"/>
      <c r="C3827" s="128" t="n"/>
      <c r="D3827" s="128" t="n"/>
      <c r="E3827" s="128" t="n"/>
      <c r="F3827" s="128" t="n"/>
      <c r="G3827" s="91" t="n"/>
      <c r="J3827" s="129" t="n"/>
    </row>
    <row r="3828" customFormat="1" s="94">
      <c r="B3828" s="128" t="n"/>
      <c r="C3828" s="128" t="n"/>
      <c r="D3828" s="128" t="n"/>
      <c r="E3828" s="128" t="n"/>
      <c r="F3828" s="128" t="n"/>
      <c r="G3828" s="91" t="n"/>
      <c r="J3828" s="129" t="n"/>
    </row>
    <row r="3829" customFormat="1" s="94">
      <c r="B3829" s="128" t="n"/>
      <c r="C3829" s="128" t="n"/>
      <c r="D3829" s="128" t="n"/>
      <c r="E3829" s="128" t="n"/>
      <c r="F3829" s="128" t="n"/>
      <c r="G3829" s="91" t="n"/>
      <c r="J3829" s="129" t="n"/>
    </row>
    <row r="3830" customFormat="1" s="94">
      <c r="B3830" s="128" t="n"/>
      <c r="C3830" s="128" t="n"/>
      <c r="D3830" s="128" t="n"/>
      <c r="E3830" s="128" t="n"/>
      <c r="F3830" s="128" t="n"/>
      <c r="G3830" s="91" t="n"/>
      <c r="J3830" s="129" t="n"/>
    </row>
    <row r="3831" customFormat="1" s="94">
      <c r="B3831" s="128" t="n"/>
      <c r="C3831" s="128" t="n"/>
      <c r="D3831" s="128" t="n"/>
      <c r="E3831" s="128" t="n"/>
      <c r="F3831" s="128" t="n"/>
      <c r="G3831" s="91" t="n"/>
      <c r="J3831" s="129" t="n"/>
    </row>
    <row r="3832" customFormat="1" s="94">
      <c r="B3832" s="128" t="n"/>
      <c r="C3832" s="128" t="n"/>
      <c r="D3832" s="128" t="n"/>
      <c r="E3832" s="128" t="n"/>
      <c r="F3832" s="128" t="n"/>
      <c r="G3832" s="91" t="n"/>
      <c r="J3832" s="129" t="n"/>
    </row>
    <row r="3833" customFormat="1" s="94">
      <c r="B3833" s="128" t="n"/>
      <c r="C3833" s="128" t="n"/>
      <c r="D3833" s="128" t="n"/>
      <c r="E3833" s="128" t="n"/>
      <c r="F3833" s="128" t="n"/>
      <c r="G3833" s="91" t="n"/>
      <c r="J3833" s="129" t="n"/>
    </row>
    <row r="3834" customFormat="1" s="94">
      <c r="B3834" s="128" t="n"/>
      <c r="C3834" s="128" t="n"/>
      <c r="D3834" s="128" t="n"/>
      <c r="E3834" s="128" t="n"/>
      <c r="F3834" s="128" t="n"/>
      <c r="G3834" s="91" t="n"/>
      <c r="J3834" s="129" t="n"/>
    </row>
    <row r="3835" customFormat="1" s="94">
      <c r="B3835" s="128" t="n"/>
      <c r="C3835" s="128" t="n"/>
      <c r="D3835" s="128" t="n"/>
      <c r="E3835" s="128" t="n"/>
      <c r="F3835" s="128" t="n"/>
      <c r="G3835" s="91" t="n"/>
      <c r="J3835" s="129" t="n"/>
    </row>
    <row r="3836" customFormat="1" s="94">
      <c r="B3836" s="128" t="n">
        <v>43734</v>
      </c>
      <c r="C3836" s="94">
        <f>TEXT(B3836,"aaa")</f>
        <v/>
      </c>
      <c r="E3836" s="94" t="inlineStr">
        <is>
          <t>토너</t>
        </is>
      </c>
      <c r="F3836" s="94" t="inlineStr">
        <is>
          <t>W컨셉</t>
        </is>
      </c>
      <c r="G3836" s="94" t="inlineStr">
        <is>
          <t>250ml</t>
        </is>
      </c>
      <c r="H3836" s="92" t="n">
        <v>190801</v>
      </c>
      <c r="I3836" s="92" t="n">
        <v>190801</v>
      </c>
      <c r="K3836" s="94" t="n">
        <v>4</v>
      </c>
      <c r="L3836" s="92" t="n">
        <v>190801</v>
      </c>
      <c r="M3836" s="94">
        <f>VLOOKUP($Q3836,매칭테이블!$F:$I,2,0)*K3836</f>
        <v/>
      </c>
      <c r="N3836" s="94">
        <f>M3836-M3836*VLOOKUP($Q3836,매칭테이블!$F:$I,3,0)</f>
        <v/>
      </c>
      <c r="O3836" s="94">
        <f>VLOOKUP($Q3836,매칭테이블!$F:$I,4,0)*K3836</f>
        <v/>
      </c>
      <c r="P3836" s="148">
        <f>M3836/1.1</f>
        <v/>
      </c>
      <c r="Q3836" s="94">
        <f>F3836&amp;E3836&amp;G3836&amp;L3836</f>
        <v/>
      </c>
    </row>
    <row r="3837" customFormat="1" s="94">
      <c r="B3837" s="128" t="n">
        <v>43734</v>
      </c>
      <c r="C3837" s="94">
        <f>TEXT(B3837,"aaa")</f>
        <v/>
      </c>
      <c r="E3837" s="94" t="inlineStr">
        <is>
          <t>토너</t>
        </is>
      </c>
      <c r="F3837" s="94" t="inlineStr">
        <is>
          <t>W컨셉</t>
        </is>
      </c>
      <c r="G3837" s="94" t="inlineStr">
        <is>
          <t>250ml 2set</t>
        </is>
      </c>
      <c r="H3837" s="92" t="n">
        <v>190801</v>
      </c>
      <c r="I3837" s="92" t="n">
        <v>190801</v>
      </c>
      <c r="K3837" s="94" t="n">
        <v>4</v>
      </c>
      <c r="L3837" s="92" t="n">
        <v>190801</v>
      </c>
      <c r="M3837" s="94">
        <f>VLOOKUP($Q3837,매칭테이블!$F:$I,2,0)*K3837</f>
        <v/>
      </c>
      <c r="N3837" s="94">
        <f>M3837-M3837*VLOOKUP($Q3837,매칭테이블!$F:$I,3,0)</f>
        <v/>
      </c>
      <c r="O3837" s="94">
        <f>VLOOKUP($Q3837,매칭테이블!$F:$I,4,0)*K3837</f>
        <v/>
      </c>
      <c r="P3837" s="148">
        <f>M3837/1.1</f>
        <v/>
      </c>
      <c r="Q3837" s="94">
        <f>F3837&amp;E3837&amp;G3837&amp;L3837</f>
        <v/>
      </c>
    </row>
    <row r="3838" customFormat="1" s="94">
      <c r="B3838" s="128" t="n">
        <v>43734</v>
      </c>
      <c r="C3838" s="94">
        <f>TEXT(B3838,"aaa")</f>
        <v/>
      </c>
      <c r="E3838" s="94" t="inlineStr">
        <is>
          <t>토너</t>
        </is>
      </c>
      <c r="F3838" s="94" t="inlineStr">
        <is>
          <t>카페24</t>
        </is>
      </c>
      <c r="G3838" s="94" t="inlineStr">
        <is>
          <t>250ml</t>
        </is>
      </c>
      <c r="H3838" s="92" t="n">
        <v>190801</v>
      </c>
      <c r="I3838" s="92" t="n">
        <v>190801</v>
      </c>
      <c r="K3838" s="94" t="n">
        <v>38</v>
      </c>
      <c r="L3838" s="92" t="n">
        <v>190801</v>
      </c>
      <c r="M3838" s="94">
        <f>VLOOKUP($Q3838,매칭테이블!$F:$I,2,0)*K3838</f>
        <v/>
      </c>
      <c r="N3838" s="94">
        <f>M3838-M3838*VLOOKUP($Q3838,매칭테이블!$F:$I,3,0)</f>
        <v/>
      </c>
      <c r="O3838" s="94">
        <f>VLOOKUP($Q3838,매칭테이블!$F:$I,4,0)*K3838</f>
        <v/>
      </c>
      <c r="P3838" s="148">
        <f>M3838/1.1</f>
        <v/>
      </c>
      <c r="Q3838" s="94">
        <f>F3838&amp;E3838&amp;G3838&amp;L3838</f>
        <v/>
      </c>
    </row>
    <row r="3839" customFormat="1" s="94">
      <c r="B3839" s="128" t="n">
        <v>43734</v>
      </c>
      <c r="C3839" s="94">
        <f>TEXT(B3839,"aaa")</f>
        <v/>
      </c>
      <c r="E3839" s="94" t="inlineStr">
        <is>
          <t>토너</t>
        </is>
      </c>
      <c r="F3839" s="94" t="inlineStr">
        <is>
          <t>카페24</t>
        </is>
      </c>
      <c r="G3839" s="94" t="inlineStr">
        <is>
          <t>250ml 2set</t>
        </is>
      </c>
      <c r="H3839" s="92" t="n">
        <v>190801</v>
      </c>
      <c r="I3839" s="92" t="n">
        <v>190801</v>
      </c>
      <c r="K3839" s="94" t="n">
        <v>42</v>
      </c>
      <c r="L3839" s="92" t="n">
        <v>190801</v>
      </c>
      <c r="M3839" s="94">
        <f>VLOOKUP($Q3839,매칭테이블!$F:$I,2,0)*K3839</f>
        <v/>
      </c>
      <c r="N3839" s="94">
        <f>M3839-M3839*VLOOKUP($Q3839,매칭테이블!$F:$I,3,0)</f>
        <v/>
      </c>
      <c r="O3839" s="94">
        <f>VLOOKUP($Q3839,매칭테이블!$F:$I,4,0)*K3839</f>
        <v/>
      </c>
      <c r="P3839" s="148">
        <f>M3839/1.1</f>
        <v/>
      </c>
      <c r="Q3839" s="94">
        <f>F3839&amp;E3839&amp;G3839&amp;L3839</f>
        <v/>
      </c>
    </row>
    <row r="3840" customFormat="1" s="94">
      <c r="B3840" s="128" t="n">
        <v>43735</v>
      </c>
      <c r="C3840" s="94">
        <f>TEXT(B3840,"aaa")</f>
        <v/>
      </c>
      <c r="E3840" s="94" t="inlineStr">
        <is>
          <t>토너</t>
        </is>
      </c>
      <c r="F3840" s="94" t="inlineStr">
        <is>
          <t>W컨셉</t>
        </is>
      </c>
      <c r="G3840" s="94" t="inlineStr">
        <is>
          <t>250ml</t>
        </is>
      </c>
      <c r="H3840" s="92" t="n">
        <v>190801</v>
      </c>
      <c r="I3840" s="92" t="n">
        <v>190801</v>
      </c>
      <c r="K3840" s="94" t="n">
        <v>3</v>
      </c>
      <c r="L3840" s="92" t="n">
        <v>190801</v>
      </c>
      <c r="M3840" s="94">
        <f>VLOOKUP($Q3840,매칭테이블!$F:$I,2,0)*K3840</f>
        <v/>
      </c>
      <c r="N3840" s="94">
        <f>M3840-M3840*VLOOKUP($Q3840,매칭테이블!$F:$I,3,0)</f>
        <v/>
      </c>
      <c r="O3840" s="94">
        <f>VLOOKUP($Q3840,매칭테이블!$F:$I,4,0)*K3840</f>
        <v/>
      </c>
      <c r="P3840" s="148">
        <f>M3840/1.1</f>
        <v/>
      </c>
      <c r="Q3840" s="94">
        <f>F3840&amp;E3840&amp;G3840&amp;L3840</f>
        <v/>
      </c>
    </row>
    <row r="3841" customFormat="1" s="94">
      <c r="B3841" s="128" t="n">
        <v>43735</v>
      </c>
      <c r="C3841" s="94">
        <f>TEXT(B3841,"aaa")</f>
        <v/>
      </c>
      <c r="E3841" s="94" t="inlineStr">
        <is>
          <t>토너</t>
        </is>
      </c>
      <c r="F3841" s="94" t="inlineStr">
        <is>
          <t>W컨셉</t>
        </is>
      </c>
      <c r="G3841" s="94" t="inlineStr">
        <is>
          <t>250ml 2set</t>
        </is>
      </c>
      <c r="H3841" s="92" t="n">
        <v>190801</v>
      </c>
      <c r="I3841" s="92" t="n">
        <v>190801</v>
      </c>
      <c r="K3841" s="94" t="n">
        <v>3</v>
      </c>
      <c r="L3841" s="92" t="n">
        <v>190801</v>
      </c>
      <c r="M3841" s="94">
        <f>VLOOKUP($Q3841,매칭테이블!$F:$I,2,0)*K3841</f>
        <v/>
      </c>
      <c r="N3841" s="94">
        <f>M3841-M3841*VLOOKUP($Q3841,매칭테이블!$F:$I,3,0)</f>
        <v/>
      </c>
      <c r="O3841" s="94">
        <f>VLOOKUP($Q3841,매칭테이블!$F:$I,4,0)*K3841</f>
        <v/>
      </c>
      <c r="P3841" s="148">
        <f>M3841/1.1</f>
        <v/>
      </c>
      <c r="Q3841" s="94">
        <f>F3841&amp;E3841&amp;G3841&amp;L3841</f>
        <v/>
      </c>
    </row>
    <row r="3842" customFormat="1" s="94">
      <c r="B3842" s="128" t="n">
        <v>43735</v>
      </c>
      <c r="C3842" s="94">
        <f>TEXT(B3842,"aaa")</f>
        <v/>
      </c>
      <c r="E3842" s="94" t="inlineStr">
        <is>
          <t>토너</t>
        </is>
      </c>
      <c r="F3842" s="94" t="inlineStr">
        <is>
          <t>카페24</t>
        </is>
      </c>
      <c r="G3842" s="94" t="inlineStr">
        <is>
          <t>250ml</t>
        </is>
      </c>
      <c r="H3842" s="92" t="n">
        <v>190801</v>
      </c>
      <c r="I3842" s="92" t="n">
        <v>190801</v>
      </c>
      <c r="K3842" s="94" t="n">
        <v>35</v>
      </c>
      <c r="L3842" s="92" t="n">
        <v>190801</v>
      </c>
      <c r="M3842" s="94">
        <f>VLOOKUP($Q3842,매칭테이블!$F:$I,2,0)*K3842</f>
        <v/>
      </c>
      <c r="N3842" s="94">
        <f>M3842-M3842*VLOOKUP($Q3842,매칭테이블!$F:$I,3,0)</f>
        <v/>
      </c>
      <c r="O3842" s="94">
        <f>VLOOKUP($Q3842,매칭테이블!$F:$I,4,0)*K3842</f>
        <v/>
      </c>
      <c r="P3842" s="148">
        <f>M3842/1.1</f>
        <v/>
      </c>
      <c r="Q3842" s="94">
        <f>F3842&amp;E3842&amp;G3842&amp;L3842</f>
        <v/>
      </c>
    </row>
    <row r="3843" customFormat="1" s="94">
      <c r="B3843" s="128" t="n">
        <v>43735</v>
      </c>
      <c r="C3843" s="94">
        <f>TEXT(B3843,"aaa")</f>
        <v/>
      </c>
      <c r="E3843" s="94" t="inlineStr">
        <is>
          <t>토너</t>
        </is>
      </c>
      <c r="F3843" s="94" t="inlineStr">
        <is>
          <t>카페24</t>
        </is>
      </c>
      <c r="G3843" s="94" t="inlineStr">
        <is>
          <t>250ml 2set</t>
        </is>
      </c>
      <c r="H3843" s="92" t="n">
        <v>190801</v>
      </c>
      <c r="I3843" s="92" t="n">
        <v>190801</v>
      </c>
      <c r="K3843" s="94" t="n">
        <v>31</v>
      </c>
      <c r="L3843" s="92" t="n">
        <v>190801</v>
      </c>
      <c r="M3843" s="94">
        <f>VLOOKUP($Q3843,매칭테이블!$F:$I,2,0)*K3843</f>
        <v/>
      </c>
      <c r="N3843" s="94">
        <f>M3843-M3843*VLOOKUP($Q3843,매칭테이블!$F:$I,3,0)</f>
        <v/>
      </c>
      <c r="O3843" s="94">
        <f>VLOOKUP($Q3843,매칭테이블!$F:$I,4,0)*K3843</f>
        <v/>
      </c>
      <c r="P3843" s="148">
        <f>M3843/1.1</f>
        <v/>
      </c>
      <c r="Q3843" s="94">
        <f>F3843&amp;E3843&amp;G3843&amp;L3843</f>
        <v/>
      </c>
    </row>
    <row r="3844" customFormat="1" s="94">
      <c r="B3844" s="128" t="n">
        <v>43736</v>
      </c>
      <c r="C3844" s="94">
        <f>TEXT(B3844,"aaa")</f>
        <v/>
      </c>
      <c r="E3844" s="94" t="inlineStr">
        <is>
          <t>토너</t>
        </is>
      </c>
      <c r="F3844" s="94" t="inlineStr">
        <is>
          <t>W컨셉</t>
        </is>
      </c>
      <c r="G3844" s="94" t="inlineStr">
        <is>
          <t>250ml</t>
        </is>
      </c>
      <c r="H3844" s="92" t="n">
        <v>190801</v>
      </c>
      <c r="I3844" s="92" t="n">
        <v>190801</v>
      </c>
      <c r="K3844" s="94" t="n">
        <v>3</v>
      </c>
      <c r="L3844" s="92" t="n">
        <v>190801</v>
      </c>
      <c r="M3844" s="94">
        <f>VLOOKUP($Q3844,매칭테이블!$F:$I,2,0)*K3844</f>
        <v/>
      </c>
      <c r="N3844" s="94">
        <f>M3844-M3844*VLOOKUP($Q3844,매칭테이블!$F:$I,3,0)</f>
        <v/>
      </c>
      <c r="O3844" s="94">
        <f>VLOOKUP($Q3844,매칭테이블!$F:$I,4,0)*K3844</f>
        <v/>
      </c>
      <c r="P3844" s="148">
        <f>M3844/1.1</f>
        <v/>
      </c>
      <c r="Q3844" s="94">
        <f>F3844&amp;E3844&amp;G3844&amp;L3844</f>
        <v/>
      </c>
    </row>
    <row r="3845" customFormat="1" s="94">
      <c r="B3845" s="128" t="n">
        <v>43736</v>
      </c>
      <c r="C3845" s="94">
        <f>TEXT(B3845,"aaa")</f>
        <v/>
      </c>
      <c r="E3845" s="94" t="inlineStr">
        <is>
          <t>토너</t>
        </is>
      </c>
      <c r="F3845" s="94" t="inlineStr">
        <is>
          <t>아누아 CS</t>
        </is>
      </c>
      <c r="G3845" s="94" t="inlineStr">
        <is>
          <t>250ml</t>
        </is>
      </c>
      <c r="H3845" s="92" t="n">
        <v>190801</v>
      </c>
      <c r="I3845" s="92" t="n">
        <v>190801</v>
      </c>
      <c r="K3845" s="94" t="n">
        <v>10</v>
      </c>
      <c r="L3845" s="92" t="n">
        <v>190801</v>
      </c>
      <c r="M3845" s="94">
        <f>VLOOKUP($Q3845,매칭테이블!$F:$I,2,0)*K3845</f>
        <v/>
      </c>
      <c r="N3845" s="94">
        <f>M3845-M3845*VLOOKUP($Q3845,매칭테이블!$F:$I,3,0)</f>
        <v/>
      </c>
      <c r="O3845" s="94">
        <f>VLOOKUP($Q3845,매칭테이블!$F:$I,4,0)*K3845</f>
        <v/>
      </c>
      <c r="P3845" s="148">
        <f>M3845/1.1</f>
        <v/>
      </c>
      <c r="Q3845" s="94">
        <f>F3845&amp;E3845&amp;G3845&amp;L3845</f>
        <v/>
      </c>
    </row>
    <row r="3846" customFormat="1" s="94">
      <c r="B3846" s="128" t="n">
        <v>43736</v>
      </c>
      <c r="C3846" s="94">
        <f>TEXT(B3846,"aaa")</f>
        <v/>
      </c>
      <c r="E3846" s="94" t="inlineStr">
        <is>
          <t>토너</t>
        </is>
      </c>
      <c r="F3846" s="94" t="inlineStr">
        <is>
          <t>카페24</t>
        </is>
      </c>
      <c r="G3846" s="94" t="inlineStr">
        <is>
          <t>250ml</t>
        </is>
      </c>
      <c r="H3846" s="92" t="n">
        <v>190801</v>
      </c>
      <c r="I3846" s="92" t="n">
        <v>190801</v>
      </c>
      <c r="K3846" s="94" t="n">
        <v>39</v>
      </c>
      <c r="L3846" s="92" t="n">
        <v>190801</v>
      </c>
      <c r="M3846" s="94">
        <f>VLOOKUP($Q3846,매칭테이블!$F:$I,2,0)*K3846</f>
        <v/>
      </c>
      <c r="N3846" s="94">
        <f>M3846-M3846*VLOOKUP($Q3846,매칭테이블!$F:$I,3,0)</f>
        <v/>
      </c>
      <c r="O3846" s="94">
        <f>VLOOKUP($Q3846,매칭테이블!$F:$I,4,0)*K3846</f>
        <v/>
      </c>
      <c r="P3846" s="148">
        <f>M3846/1.1</f>
        <v/>
      </c>
      <c r="Q3846" s="94">
        <f>F3846&amp;E3846&amp;G3846&amp;L3846</f>
        <v/>
      </c>
    </row>
    <row r="3847" customFormat="1" s="94">
      <c r="B3847" s="128" t="n">
        <v>43737</v>
      </c>
      <c r="C3847" s="94">
        <f>TEXT(B3847,"aaa")</f>
        <v/>
      </c>
      <c r="E3847" s="94" t="inlineStr">
        <is>
          <t>토너</t>
        </is>
      </c>
      <c r="F3847" s="94" t="inlineStr">
        <is>
          <t>카페24</t>
        </is>
      </c>
      <c r="G3847" s="94" t="inlineStr">
        <is>
          <t>250ml 2set</t>
        </is>
      </c>
      <c r="H3847" s="92" t="n">
        <v>190801</v>
      </c>
      <c r="I3847" s="92" t="n">
        <v>190801</v>
      </c>
      <c r="K3847" s="94" t="n">
        <v>35</v>
      </c>
      <c r="L3847" s="92" t="n">
        <v>190801</v>
      </c>
      <c r="M3847" s="94">
        <f>VLOOKUP($Q3847,매칭테이블!$F:$I,2,0)*K3847</f>
        <v/>
      </c>
      <c r="N3847" s="94">
        <f>M3847-M3847*VLOOKUP($Q3847,매칭테이블!$F:$I,3,0)</f>
        <v/>
      </c>
      <c r="O3847" s="94">
        <f>VLOOKUP($Q3847,매칭테이블!$F:$I,4,0)*K3847</f>
        <v/>
      </c>
      <c r="P3847" s="148">
        <f>M3847/1.1</f>
        <v/>
      </c>
      <c r="Q3847" s="94">
        <f>F3847&amp;E3847&amp;G3847&amp;L3847</f>
        <v/>
      </c>
    </row>
    <row r="3848" customFormat="1" s="94">
      <c r="B3848" s="128" t="n">
        <v>43737</v>
      </c>
      <c r="C3848" s="94">
        <f>TEXT(B3848,"aaa")</f>
        <v/>
      </c>
      <c r="E3848" s="94" t="inlineStr">
        <is>
          <t>토너</t>
        </is>
      </c>
      <c r="F3848" s="94" t="inlineStr">
        <is>
          <t>W컨셉</t>
        </is>
      </c>
      <c r="G3848" s="94" t="inlineStr">
        <is>
          <t>250ml</t>
        </is>
      </c>
      <c r="H3848" s="92" t="n">
        <v>190801</v>
      </c>
      <c r="I3848" s="92" t="n">
        <v>190801</v>
      </c>
      <c r="K3848" s="94" t="n">
        <v>4</v>
      </c>
      <c r="L3848" s="92" t="n">
        <v>190801</v>
      </c>
      <c r="M3848" s="94">
        <f>VLOOKUP($Q3848,매칭테이블!$F:$I,2,0)*K3848</f>
        <v/>
      </c>
      <c r="N3848" s="94">
        <f>M3848-M3848*VLOOKUP($Q3848,매칭테이블!$F:$I,3,0)</f>
        <v/>
      </c>
      <c r="O3848" s="94">
        <f>VLOOKUP($Q3848,매칭테이블!$F:$I,4,0)*K3848</f>
        <v/>
      </c>
      <c r="P3848" s="148">
        <f>M3848/1.1</f>
        <v/>
      </c>
      <c r="Q3848" s="94">
        <f>F3848&amp;E3848&amp;G3848&amp;L3848</f>
        <v/>
      </c>
    </row>
    <row r="3849" customFormat="1" s="94">
      <c r="B3849" s="128" t="n">
        <v>43737</v>
      </c>
      <c r="C3849" s="94">
        <f>TEXT(B3849,"aaa")</f>
        <v/>
      </c>
      <c r="E3849" s="94" t="inlineStr">
        <is>
          <t>토너</t>
        </is>
      </c>
      <c r="F3849" s="94" t="inlineStr">
        <is>
          <t>아누아 CS</t>
        </is>
      </c>
      <c r="G3849" s="94" t="inlineStr">
        <is>
          <t>250ml</t>
        </is>
      </c>
      <c r="H3849" s="92" t="n">
        <v>190801</v>
      </c>
      <c r="I3849" s="92" t="n">
        <v>190801</v>
      </c>
      <c r="K3849" s="94" t="n">
        <v>3</v>
      </c>
      <c r="L3849" s="92" t="n">
        <v>190801</v>
      </c>
      <c r="M3849" s="94">
        <f>VLOOKUP($Q3849,매칭테이블!$F:$I,2,0)*K3849</f>
        <v/>
      </c>
      <c r="N3849" s="94">
        <f>M3849-M3849*VLOOKUP($Q3849,매칭테이블!$F:$I,3,0)</f>
        <v/>
      </c>
      <c r="O3849" s="94">
        <f>VLOOKUP($Q3849,매칭테이블!$F:$I,4,0)*K3849</f>
        <v/>
      </c>
      <c r="P3849" s="148">
        <f>M3849/1.1</f>
        <v/>
      </c>
      <c r="Q3849" s="94">
        <f>F3849&amp;E3849&amp;G3849&amp;L3849</f>
        <v/>
      </c>
    </row>
    <row r="3850" customFormat="1" s="94">
      <c r="B3850" s="128" t="n">
        <v>43737</v>
      </c>
      <c r="C3850" s="94">
        <f>TEXT(B3850,"aaa")</f>
        <v/>
      </c>
      <c r="E3850" s="94" t="inlineStr">
        <is>
          <t>토너</t>
        </is>
      </c>
      <c r="F3850" s="94" t="inlineStr">
        <is>
          <t>카페24</t>
        </is>
      </c>
      <c r="G3850" s="94" t="inlineStr">
        <is>
          <t>250ml</t>
        </is>
      </c>
      <c r="H3850" s="92" t="n">
        <v>190801</v>
      </c>
      <c r="I3850" s="92" t="n">
        <v>190801</v>
      </c>
      <c r="K3850" s="94" t="n">
        <v>37</v>
      </c>
      <c r="L3850" s="92" t="n">
        <v>190801</v>
      </c>
      <c r="M3850" s="94">
        <f>VLOOKUP($Q3850,매칭테이블!$F:$I,2,0)*K3850</f>
        <v/>
      </c>
      <c r="N3850" s="94">
        <f>M3850-M3850*VLOOKUP($Q3850,매칭테이블!$F:$I,3,0)</f>
        <v/>
      </c>
      <c r="O3850" s="94">
        <f>VLOOKUP($Q3850,매칭테이블!$F:$I,4,0)*K3850</f>
        <v/>
      </c>
      <c r="P3850" s="148">
        <f>M3850/1.1</f>
        <v/>
      </c>
      <c r="Q3850" s="94">
        <f>F3850&amp;E3850&amp;G3850&amp;L3850</f>
        <v/>
      </c>
    </row>
    <row r="3851" customFormat="1" s="94">
      <c r="B3851" s="128" t="n">
        <v>43738</v>
      </c>
      <c r="C3851" s="94">
        <f>TEXT(B3851,"aaa")</f>
        <v/>
      </c>
      <c r="E3851" s="94" t="inlineStr">
        <is>
          <t>토너</t>
        </is>
      </c>
      <c r="F3851" s="94" t="inlineStr">
        <is>
          <t>카페24</t>
        </is>
      </c>
      <c r="G3851" s="94" t="inlineStr">
        <is>
          <t>250ml 2set</t>
        </is>
      </c>
      <c r="H3851" s="92" t="n">
        <v>190801</v>
      </c>
      <c r="I3851" s="92" t="n">
        <v>190801</v>
      </c>
      <c r="K3851" s="94" t="n">
        <v>27</v>
      </c>
      <c r="L3851" s="92" t="n">
        <v>190801</v>
      </c>
      <c r="M3851" s="94">
        <f>VLOOKUP($Q3851,매칭테이블!$F:$I,2,0)*K3851</f>
        <v/>
      </c>
      <c r="N3851" s="94">
        <f>M3851-M3851*VLOOKUP($Q3851,매칭테이블!$F:$I,3,0)</f>
        <v/>
      </c>
      <c r="O3851" s="94">
        <f>VLOOKUP($Q3851,매칭테이블!$F:$I,4,0)*K3851</f>
        <v/>
      </c>
      <c r="P3851" s="148">
        <f>M3851/1.1</f>
        <v/>
      </c>
      <c r="Q3851" s="94">
        <f>F3851&amp;E3851&amp;G3851&amp;L3851</f>
        <v/>
      </c>
    </row>
    <row r="3852" customFormat="1" s="94">
      <c r="B3852" s="128" t="n">
        <v>43738</v>
      </c>
      <c r="C3852" s="94">
        <f>TEXT(B3852,"aaa")</f>
        <v/>
      </c>
      <c r="E3852" s="94" t="inlineStr">
        <is>
          <t>토너</t>
        </is>
      </c>
      <c r="F3852" s="94" t="inlineStr">
        <is>
          <t>W컨셉</t>
        </is>
      </c>
      <c r="G3852" s="94" t="inlineStr">
        <is>
          <t>250ml</t>
        </is>
      </c>
      <c r="H3852" s="92" t="n">
        <v>190801</v>
      </c>
      <c r="I3852" s="92" t="n">
        <v>190801</v>
      </c>
      <c r="K3852" s="94" t="n">
        <v>8</v>
      </c>
      <c r="L3852" s="92" t="n">
        <v>190801</v>
      </c>
      <c r="M3852" s="94">
        <f>VLOOKUP($Q3852,매칭테이블!$F:$I,2,0)*K3852</f>
        <v/>
      </c>
      <c r="N3852" s="94">
        <f>M3852-M3852*VLOOKUP($Q3852,매칭테이블!$F:$I,3,0)</f>
        <v/>
      </c>
      <c r="O3852" s="94">
        <f>VLOOKUP($Q3852,매칭테이블!$F:$I,4,0)*K3852</f>
        <v/>
      </c>
      <c r="P3852" s="148">
        <f>M3852/1.1</f>
        <v/>
      </c>
      <c r="Q3852" s="94">
        <f>F3852&amp;E3852&amp;G3852&amp;L3852</f>
        <v/>
      </c>
    </row>
    <row r="3853">
      <c r="A3853" s="94" t="n"/>
      <c r="B3853" s="128" t="n">
        <v>43738</v>
      </c>
      <c r="C3853" s="94">
        <f>TEXT(B3853,"aaa")</f>
        <v/>
      </c>
      <c r="D3853" s="94" t="n"/>
      <c r="E3853" s="94" t="inlineStr">
        <is>
          <t>토너</t>
        </is>
      </c>
      <c r="F3853" s="94" t="inlineStr">
        <is>
          <t>카페24</t>
        </is>
      </c>
      <c r="G3853" s="94" t="inlineStr">
        <is>
          <t>250ml</t>
        </is>
      </c>
      <c r="H3853" s="92" t="n">
        <v>190801</v>
      </c>
      <c r="I3853" s="92" t="n">
        <v>190801</v>
      </c>
      <c r="J3853" s="94" t="n"/>
      <c r="K3853" s="94" t="n">
        <v>31</v>
      </c>
      <c r="L3853" s="92" t="n">
        <v>190801</v>
      </c>
      <c r="M3853" s="94">
        <f>VLOOKUP($Q3853,매칭테이블!$F:$I,2,0)*K3853</f>
        <v/>
      </c>
      <c r="N3853" s="94">
        <f>M3853-M3853*VLOOKUP($Q3853,매칭테이블!$F:$I,3,0)</f>
        <v/>
      </c>
      <c r="O3853" s="94">
        <f>VLOOKUP($Q3853,매칭테이블!$F:$I,4,0)*K3853</f>
        <v/>
      </c>
      <c r="P3853" s="148">
        <f>M3853/1.1</f>
        <v/>
      </c>
      <c r="Q3853" s="94">
        <f>F3853&amp;E3853&amp;G3853&amp;L3853</f>
        <v/>
      </c>
    </row>
    <row r="3854" customFormat="1" s="94">
      <c r="B3854" s="128" t="n">
        <v>43739</v>
      </c>
      <c r="C3854" s="94">
        <f>TEXT(B3854,"aaa")</f>
        <v/>
      </c>
      <c r="E3854" s="94" t="inlineStr">
        <is>
          <t>토너</t>
        </is>
      </c>
      <c r="F3854" s="94" t="inlineStr">
        <is>
          <t>카페24</t>
        </is>
      </c>
      <c r="G3854" s="94" t="inlineStr">
        <is>
          <t>250ml</t>
        </is>
      </c>
      <c r="H3854" s="92" t="n">
        <v>190801</v>
      </c>
      <c r="I3854" s="92" t="n">
        <v>190801</v>
      </c>
      <c r="K3854" s="94" t="n">
        <v>55</v>
      </c>
      <c r="L3854" s="92" t="n">
        <v>190801</v>
      </c>
      <c r="M3854" s="94">
        <f>VLOOKUP($Q3854,매칭테이블!$F:$I,2,0)*K3854</f>
        <v/>
      </c>
      <c r="N3854" s="94">
        <f>M3854-M3854*VLOOKUP($Q3854,매칭테이블!$F:$I,3,0)</f>
        <v/>
      </c>
      <c r="O3854" s="94">
        <f>VLOOKUP($Q3854,매칭테이블!$F:$I,4,0)*K3854</f>
        <v/>
      </c>
      <c r="P3854" s="148">
        <f>M3854/1.1</f>
        <v/>
      </c>
      <c r="Q3854" s="94">
        <f>F3854&amp;E3854&amp;G3854&amp;L3854</f>
        <v/>
      </c>
    </row>
    <row r="3855">
      <c r="A3855" s="94" t="n"/>
      <c r="B3855" s="128" t="n">
        <v>43739</v>
      </c>
      <c r="C3855" s="94">
        <f>TEXT(B3855,"aaa")</f>
        <v/>
      </c>
      <c r="D3855" s="94" t="n"/>
      <c r="E3855" s="94" t="inlineStr">
        <is>
          <t>토너</t>
        </is>
      </c>
      <c r="F3855" s="94" t="inlineStr">
        <is>
          <t>카페24</t>
        </is>
      </c>
      <c r="G3855" s="94" t="inlineStr">
        <is>
          <t>250ml 2set</t>
        </is>
      </c>
      <c r="H3855" s="92" t="n">
        <v>190801</v>
      </c>
      <c r="I3855" s="92" t="n">
        <v>190801</v>
      </c>
      <c r="J3855" s="94" t="n"/>
      <c r="K3855" s="94" t="n">
        <v>47</v>
      </c>
      <c r="L3855" s="92" t="n">
        <v>190801</v>
      </c>
      <c r="M3855" s="94">
        <f>VLOOKUP($Q3855,매칭테이블!$F:$I,2,0)*K3855</f>
        <v/>
      </c>
      <c r="N3855" s="94">
        <f>M3855-M3855*VLOOKUP($Q3855,매칭테이블!$F:$I,3,0)</f>
        <v/>
      </c>
      <c r="O3855" s="94">
        <f>VLOOKUP($Q3855,매칭테이블!$F:$I,4,0)*K3855</f>
        <v/>
      </c>
      <c r="P3855" s="148">
        <f>M3855/1.1</f>
        <v/>
      </c>
      <c r="Q3855" s="94">
        <f>F3855&amp;E3855&amp;G3855&amp;L3855</f>
        <v/>
      </c>
    </row>
    <row r="3856">
      <c r="A3856" s="94" t="n"/>
      <c r="B3856" s="128" t="n">
        <v>43739</v>
      </c>
      <c r="C3856" s="94">
        <f>TEXT(B3856,"aaa")</f>
        <v/>
      </c>
      <c r="D3856" s="94" t="n"/>
      <c r="E3856" s="94" t="inlineStr">
        <is>
          <t>토너</t>
        </is>
      </c>
      <c r="F3856" s="94" t="inlineStr">
        <is>
          <t>W컨셉</t>
        </is>
      </c>
      <c r="G3856" s="94" t="inlineStr">
        <is>
          <t>250ml</t>
        </is>
      </c>
      <c r="H3856" s="92" t="n">
        <v>190801</v>
      </c>
      <c r="I3856" s="92" t="n">
        <v>190801</v>
      </c>
      <c r="J3856" s="94" t="n"/>
      <c r="K3856" s="94" t="n">
        <v>25</v>
      </c>
      <c r="L3856" s="92" t="n">
        <v>190801</v>
      </c>
      <c r="M3856" s="94">
        <f>VLOOKUP($Q3856,매칭테이블!$F:$I,2,0)*K3856</f>
        <v/>
      </c>
      <c r="N3856" s="94">
        <f>M3856-M3856*VLOOKUP($Q3856,매칭테이블!$F:$I,3,0)</f>
        <v/>
      </c>
      <c r="O3856" s="94">
        <f>VLOOKUP($Q3856,매칭테이블!$F:$I,4,0)*K3856</f>
        <v/>
      </c>
      <c r="P3856" s="148">
        <f>M3856/1.1</f>
        <v/>
      </c>
      <c r="Q3856" s="94">
        <f>F3856&amp;E3856&amp;G3856&amp;L3856</f>
        <v/>
      </c>
    </row>
    <row r="3857">
      <c r="A3857" s="94" t="n"/>
      <c r="B3857" s="128" t="n">
        <v>43740</v>
      </c>
      <c r="C3857" s="94">
        <f>TEXT(B3857,"aaa")</f>
        <v/>
      </c>
      <c r="D3857" s="94" t="n"/>
      <c r="E3857" s="94" t="inlineStr">
        <is>
          <t>토너</t>
        </is>
      </c>
      <c r="F3857" s="94" t="inlineStr">
        <is>
          <t>카페24</t>
        </is>
      </c>
      <c r="G3857" s="94" t="inlineStr">
        <is>
          <t>250ml</t>
        </is>
      </c>
      <c r="H3857" s="92" t="n">
        <v>190801</v>
      </c>
      <c r="I3857" s="92" t="n">
        <v>190801</v>
      </c>
      <c r="J3857" s="94" t="n"/>
      <c r="K3857" s="94" t="n">
        <v>54</v>
      </c>
      <c r="L3857" s="92" t="n">
        <v>190801</v>
      </c>
      <c r="M3857" s="94">
        <f>VLOOKUP($Q3857,매칭테이블!$F:$I,2,0)*K3857</f>
        <v/>
      </c>
      <c r="N3857" s="94">
        <f>M3857-M3857*VLOOKUP($Q3857,매칭테이블!$F:$I,3,0)</f>
        <v/>
      </c>
      <c r="O3857" s="94">
        <f>VLOOKUP($Q3857,매칭테이블!$F:$I,4,0)*K3857</f>
        <v/>
      </c>
      <c r="P3857" s="148">
        <f>M3857/1.1</f>
        <v/>
      </c>
      <c r="Q3857" s="94">
        <f>F3857&amp;E3857&amp;G3857&amp;L3857</f>
        <v/>
      </c>
    </row>
    <row r="3858">
      <c r="A3858" s="94" t="n"/>
      <c r="B3858" s="128" t="n">
        <v>43740</v>
      </c>
      <c r="C3858" s="94">
        <f>TEXT(B3858,"aaa")</f>
        <v/>
      </c>
      <c r="D3858" s="94" t="n"/>
      <c r="E3858" s="94" t="inlineStr">
        <is>
          <t>토너</t>
        </is>
      </c>
      <c r="F3858" s="94" t="inlineStr">
        <is>
          <t>카페24</t>
        </is>
      </c>
      <c r="G3858" s="94" t="inlineStr">
        <is>
          <t>250ml 2set</t>
        </is>
      </c>
      <c r="H3858" s="92" t="n">
        <v>190801</v>
      </c>
      <c r="I3858" s="92" t="n">
        <v>190801</v>
      </c>
      <c r="J3858" s="94" t="n"/>
      <c r="K3858" s="94" t="n">
        <v>47</v>
      </c>
      <c r="L3858" s="92" t="n">
        <v>190801</v>
      </c>
      <c r="M3858" s="94">
        <f>VLOOKUP($Q3858,매칭테이블!$F:$I,2,0)*K3858</f>
        <v/>
      </c>
      <c r="N3858" s="94">
        <f>M3858-M3858*VLOOKUP($Q3858,매칭테이블!$F:$I,3,0)</f>
        <v/>
      </c>
      <c r="O3858" s="94">
        <f>VLOOKUP($Q3858,매칭테이블!$F:$I,4,0)*K3858</f>
        <v/>
      </c>
      <c r="P3858" s="148">
        <f>M3858/1.1</f>
        <v/>
      </c>
      <c r="Q3858" s="94">
        <f>F3858&amp;E3858&amp;G3858&amp;L3858</f>
        <v/>
      </c>
    </row>
    <row r="3859">
      <c r="A3859" s="94" t="n"/>
      <c r="B3859" s="128" t="n">
        <v>43740</v>
      </c>
      <c r="C3859" s="94">
        <f>TEXT(B3859,"aaa")</f>
        <v/>
      </c>
      <c r="D3859" s="94" t="n"/>
      <c r="E3859" s="94" t="inlineStr">
        <is>
          <t>토너</t>
        </is>
      </c>
      <c r="F3859" s="94" t="inlineStr">
        <is>
          <t>W컨셉</t>
        </is>
      </c>
      <c r="G3859" s="94" t="inlineStr">
        <is>
          <t>250ml</t>
        </is>
      </c>
      <c r="H3859" s="92" t="n">
        <v>190801</v>
      </c>
      <c r="I3859" s="92" t="n">
        <v>190801</v>
      </c>
      <c r="J3859" s="94" t="n"/>
      <c r="K3859" s="94" t="n">
        <v>2</v>
      </c>
      <c r="L3859" s="92" t="n">
        <v>190801</v>
      </c>
      <c r="M3859" s="94">
        <f>VLOOKUP($Q3859,매칭테이블!$F:$I,2,0)*K3859</f>
        <v/>
      </c>
      <c r="N3859" s="94">
        <f>M3859-M3859*VLOOKUP($Q3859,매칭테이블!$F:$I,3,0)</f>
        <v/>
      </c>
      <c r="O3859" s="94">
        <f>VLOOKUP($Q3859,매칭테이블!$F:$I,4,0)*K3859</f>
        <v/>
      </c>
      <c r="P3859" s="148">
        <f>M3859/1.1</f>
        <v/>
      </c>
      <c r="Q3859" s="94">
        <f>F3859&amp;E3859&amp;G3859&amp;L3859</f>
        <v/>
      </c>
    </row>
    <row r="3860">
      <c r="A3860" s="94" t="n"/>
      <c r="B3860" s="128" t="n">
        <v>43741</v>
      </c>
      <c r="C3860" s="94">
        <f>TEXT(B3860,"aaa")</f>
        <v/>
      </c>
      <c r="D3860" s="94" t="n"/>
      <c r="E3860" s="94" t="inlineStr">
        <is>
          <t>토너</t>
        </is>
      </c>
      <c r="F3860" s="94" t="inlineStr">
        <is>
          <t>카페24</t>
        </is>
      </c>
      <c r="G3860" s="94" t="inlineStr">
        <is>
          <t>250ml</t>
        </is>
      </c>
      <c r="H3860" s="92" t="n">
        <v>190801</v>
      </c>
      <c r="I3860" s="92" t="n">
        <v>190801</v>
      </c>
      <c r="J3860" s="94" t="n"/>
      <c r="K3860" s="94" t="n">
        <v>36</v>
      </c>
      <c r="L3860" s="92" t="n">
        <v>190801</v>
      </c>
      <c r="M3860" s="94">
        <f>VLOOKUP($Q3860,매칭테이블!$F:$I,2,0)*K3860</f>
        <v/>
      </c>
      <c r="N3860" s="94">
        <f>M3860-M3860*VLOOKUP($Q3860,매칭테이블!$F:$I,3,0)</f>
        <v/>
      </c>
      <c r="O3860" s="94">
        <f>VLOOKUP($Q3860,매칭테이블!$F:$I,4,0)*K3860</f>
        <v/>
      </c>
      <c r="P3860" s="148">
        <f>M3860/1.1</f>
        <v/>
      </c>
      <c r="Q3860" s="94">
        <f>F3860&amp;E3860&amp;G3860&amp;L3860</f>
        <v/>
      </c>
    </row>
    <row r="3861">
      <c r="A3861" s="94" t="n"/>
      <c r="B3861" s="128" t="n">
        <v>43741</v>
      </c>
      <c r="C3861" s="94">
        <f>TEXT(B3861,"aaa")</f>
        <v/>
      </c>
      <c r="D3861" s="94" t="n"/>
      <c r="E3861" s="94" t="inlineStr">
        <is>
          <t>토너</t>
        </is>
      </c>
      <c r="F3861" s="94" t="inlineStr">
        <is>
          <t>카페24</t>
        </is>
      </c>
      <c r="G3861" s="94" t="inlineStr">
        <is>
          <t>250ml 2set</t>
        </is>
      </c>
      <c r="H3861" s="92" t="n">
        <v>190801</v>
      </c>
      <c r="I3861" s="92" t="n">
        <v>190801</v>
      </c>
      <c r="J3861" s="94" t="n"/>
      <c r="K3861" s="94" t="n">
        <v>41</v>
      </c>
      <c r="L3861" s="92" t="n">
        <v>190801</v>
      </c>
      <c r="M3861" s="94">
        <f>VLOOKUP($Q3861,매칭테이블!$F:$I,2,0)*K3861</f>
        <v/>
      </c>
      <c r="N3861" s="94">
        <f>M3861-M3861*VLOOKUP($Q3861,매칭테이블!$F:$I,3,0)</f>
        <v/>
      </c>
      <c r="O3861" s="94">
        <f>VLOOKUP($Q3861,매칭테이블!$F:$I,4,0)*K3861</f>
        <v/>
      </c>
      <c r="P3861" s="148">
        <f>M3861/1.1</f>
        <v/>
      </c>
      <c r="Q3861" s="94">
        <f>F3861&amp;E3861&amp;G3861&amp;L3861</f>
        <v/>
      </c>
    </row>
    <row r="3862">
      <c r="A3862" s="94" t="n"/>
      <c r="B3862" s="128" t="n">
        <v>43741</v>
      </c>
      <c r="C3862" s="94">
        <f>TEXT(B3862,"aaa")</f>
        <v/>
      </c>
      <c r="D3862" s="94" t="n"/>
      <c r="E3862" s="94" t="inlineStr">
        <is>
          <t>토너</t>
        </is>
      </c>
      <c r="F3862" s="94" t="inlineStr">
        <is>
          <t>W컨셉</t>
        </is>
      </c>
      <c r="G3862" s="94" t="inlineStr">
        <is>
          <t>250ml</t>
        </is>
      </c>
      <c r="H3862" s="92" t="n">
        <v>190801</v>
      </c>
      <c r="I3862" s="92" t="n">
        <v>190801</v>
      </c>
      <c r="J3862" s="94" t="n"/>
      <c r="K3862" s="94" t="n">
        <v>11</v>
      </c>
      <c r="L3862" s="92" t="n">
        <v>190801</v>
      </c>
      <c r="M3862" s="94">
        <f>VLOOKUP($Q3862,매칭테이블!$F:$I,2,0)*K3862</f>
        <v/>
      </c>
      <c r="N3862" s="94">
        <f>M3862-M3862*VLOOKUP($Q3862,매칭테이블!$F:$I,3,0)</f>
        <v/>
      </c>
      <c r="O3862" s="94">
        <f>VLOOKUP($Q3862,매칭테이블!$F:$I,4,0)*K3862</f>
        <v/>
      </c>
      <c r="P3862" s="148">
        <f>M3862/1.1</f>
        <v/>
      </c>
      <c r="Q3862" s="94">
        <f>F3862&amp;E3862&amp;G3862&amp;L3862</f>
        <v/>
      </c>
    </row>
    <row r="3863">
      <c r="A3863" s="94" t="n"/>
      <c r="B3863" s="128" t="n">
        <v>43742</v>
      </c>
      <c r="C3863" s="94">
        <f>TEXT(B3863,"aaa")</f>
        <v/>
      </c>
      <c r="D3863" s="94" t="n"/>
      <c r="E3863" s="94" t="inlineStr">
        <is>
          <t>토너</t>
        </is>
      </c>
      <c r="F3863" s="94" t="inlineStr">
        <is>
          <t>카페24</t>
        </is>
      </c>
      <c r="G3863" s="94" t="inlineStr">
        <is>
          <t>250ml</t>
        </is>
      </c>
      <c r="H3863" s="92" t="n">
        <v>190801</v>
      </c>
      <c r="I3863" s="92" t="n">
        <v>190801</v>
      </c>
      <c r="J3863" s="94" t="n"/>
      <c r="K3863" s="94" t="n">
        <v>35</v>
      </c>
      <c r="L3863" s="92" t="n">
        <v>190801</v>
      </c>
      <c r="M3863" s="94">
        <f>VLOOKUP($Q3863,매칭테이블!$F:$I,2,0)*K3863</f>
        <v/>
      </c>
      <c r="N3863" s="94">
        <f>M3863-M3863*VLOOKUP($Q3863,매칭테이블!$F:$I,3,0)</f>
        <v/>
      </c>
      <c r="O3863" s="94">
        <f>VLOOKUP($Q3863,매칭테이블!$F:$I,4,0)*K3863</f>
        <v/>
      </c>
      <c r="P3863" s="148">
        <f>M3863/1.1</f>
        <v/>
      </c>
      <c r="Q3863" s="94">
        <f>F3863&amp;E3863&amp;G3863&amp;L3863</f>
        <v/>
      </c>
    </row>
    <row r="3864">
      <c r="A3864" s="94" t="n"/>
      <c r="B3864" s="128" t="n">
        <v>43742</v>
      </c>
      <c r="C3864" s="94">
        <f>TEXT(B3864,"aaa")</f>
        <v/>
      </c>
      <c r="D3864" s="94" t="n"/>
      <c r="E3864" s="94" t="inlineStr">
        <is>
          <t>토너</t>
        </is>
      </c>
      <c r="F3864" s="94" t="inlineStr">
        <is>
          <t>카페24</t>
        </is>
      </c>
      <c r="G3864" s="94" t="inlineStr">
        <is>
          <t>250ml 2set</t>
        </is>
      </c>
      <c r="H3864" s="92" t="n">
        <v>190801</v>
      </c>
      <c r="I3864" s="92" t="n">
        <v>190801</v>
      </c>
      <c r="J3864" s="94" t="n"/>
      <c r="K3864" s="94" t="n">
        <v>38</v>
      </c>
      <c r="L3864" s="92" t="n">
        <v>190801</v>
      </c>
      <c r="M3864" s="94">
        <f>VLOOKUP($Q3864,매칭테이블!$F:$I,2,0)*K3864</f>
        <v/>
      </c>
      <c r="N3864" s="94">
        <f>M3864-M3864*VLOOKUP($Q3864,매칭테이블!$F:$I,3,0)</f>
        <v/>
      </c>
      <c r="O3864" s="94">
        <f>VLOOKUP($Q3864,매칭테이블!$F:$I,4,0)*K3864</f>
        <v/>
      </c>
      <c r="P3864" s="148">
        <f>M3864/1.1</f>
        <v/>
      </c>
      <c r="Q3864" s="94">
        <f>F3864&amp;E3864&amp;G3864&amp;L3864</f>
        <v/>
      </c>
    </row>
    <row r="3865" customFormat="1" s="94">
      <c r="B3865" s="128" t="n">
        <v>43742</v>
      </c>
      <c r="C3865" s="94">
        <f>TEXT(B3865,"aaa")</f>
        <v/>
      </c>
      <c r="E3865" s="94" t="inlineStr">
        <is>
          <t>토너</t>
        </is>
      </c>
      <c r="F3865" s="94" t="inlineStr">
        <is>
          <t>아누아 CS</t>
        </is>
      </c>
      <c r="G3865" s="94" t="inlineStr">
        <is>
          <t>250ml</t>
        </is>
      </c>
      <c r="H3865" s="92" t="n">
        <v>190801</v>
      </c>
      <c r="I3865" s="92" t="n">
        <v>190801</v>
      </c>
      <c r="K3865" s="94" t="n">
        <v>2</v>
      </c>
      <c r="L3865" s="92" t="n">
        <v>190801</v>
      </c>
      <c r="M3865" s="94">
        <f>VLOOKUP($Q3865,매칭테이블!$F:$I,2,0)*K3865</f>
        <v/>
      </c>
      <c r="N3865" s="94">
        <f>M3865-M3865*VLOOKUP($Q3865,매칭테이블!$F:$I,3,0)</f>
        <v/>
      </c>
      <c r="O3865" s="94">
        <f>VLOOKUP($Q3865,매칭테이블!$F:$I,4,0)*K3865</f>
        <v/>
      </c>
      <c r="P3865" s="148">
        <f>M3865/1.1</f>
        <v/>
      </c>
      <c r="Q3865" s="94">
        <f>F3865&amp;E3865&amp;G3865&amp;L3865</f>
        <v/>
      </c>
    </row>
    <row r="3866">
      <c r="A3866" s="94" t="n"/>
      <c r="B3866" s="128" t="n">
        <v>43742</v>
      </c>
      <c r="C3866" s="94">
        <f>TEXT(B3866,"aaa")</f>
        <v/>
      </c>
      <c r="D3866" s="94" t="n"/>
      <c r="E3866" s="94" t="inlineStr">
        <is>
          <t>토너</t>
        </is>
      </c>
      <c r="F3866" s="94" t="inlineStr">
        <is>
          <t>W컨셉</t>
        </is>
      </c>
      <c r="G3866" s="94" t="inlineStr">
        <is>
          <t>250ml</t>
        </is>
      </c>
      <c r="H3866" s="92" t="n">
        <v>190801</v>
      </c>
      <c r="I3866" s="92" t="n">
        <v>190801</v>
      </c>
      <c r="J3866" s="94" t="n"/>
      <c r="K3866" s="94" t="n">
        <v>4</v>
      </c>
      <c r="L3866" s="92" t="n">
        <v>190801</v>
      </c>
      <c r="M3866" s="94">
        <f>VLOOKUP($Q3866,매칭테이블!$F:$I,2,0)*K3866</f>
        <v/>
      </c>
      <c r="N3866" s="94">
        <f>M3866-M3866*VLOOKUP($Q3866,매칭테이블!$F:$I,3,0)</f>
        <v/>
      </c>
      <c r="O3866" s="94">
        <f>VLOOKUP($Q3866,매칭테이블!$F:$I,4,0)*K3866</f>
        <v/>
      </c>
      <c r="P3866" s="148">
        <f>M3866/1.1</f>
        <v/>
      </c>
      <c r="Q3866" s="94">
        <f>F3866&amp;E3866&amp;G3866&amp;L3866</f>
        <v/>
      </c>
    </row>
    <row r="3867">
      <c r="A3867" s="94" t="n"/>
      <c r="B3867" s="128" t="n">
        <v>43743</v>
      </c>
      <c r="C3867" s="94">
        <f>TEXT(B3867,"aaa")</f>
        <v/>
      </c>
      <c r="D3867" s="94" t="n"/>
      <c r="E3867" s="94" t="inlineStr">
        <is>
          <t>토너</t>
        </is>
      </c>
      <c r="F3867" s="94" t="inlineStr">
        <is>
          <t>카페24</t>
        </is>
      </c>
      <c r="G3867" s="94" t="inlineStr">
        <is>
          <t>250ml 2set</t>
        </is>
      </c>
      <c r="H3867" s="92" t="n">
        <v>190801</v>
      </c>
      <c r="I3867" s="92" t="n">
        <v>190801</v>
      </c>
      <c r="J3867" s="94" t="n"/>
      <c r="K3867" s="94" t="n">
        <v>40</v>
      </c>
      <c r="L3867" s="92" t="n">
        <v>190801</v>
      </c>
      <c r="M3867" s="94">
        <f>VLOOKUP($Q3867,매칭테이블!$F:$I,2,0)*K3867</f>
        <v/>
      </c>
      <c r="N3867" s="94">
        <f>M3867-M3867*VLOOKUP($Q3867,매칭테이블!$F:$I,3,0)</f>
        <v/>
      </c>
      <c r="O3867" s="94">
        <f>VLOOKUP($Q3867,매칭테이블!$F:$I,4,0)*K3867</f>
        <v/>
      </c>
      <c r="P3867" s="148">
        <f>M3867/1.1</f>
        <v/>
      </c>
      <c r="Q3867" s="94">
        <f>F3867&amp;E3867&amp;G3867&amp;L3867</f>
        <v/>
      </c>
    </row>
    <row r="3868">
      <c r="A3868" s="94" t="n"/>
      <c r="B3868" s="128" t="n">
        <v>43743</v>
      </c>
      <c r="C3868" s="94">
        <f>TEXT(B3868,"aaa")</f>
        <v/>
      </c>
      <c r="D3868" s="94" t="n"/>
      <c r="E3868" s="94" t="inlineStr">
        <is>
          <t>토너</t>
        </is>
      </c>
      <c r="F3868" s="94" t="inlineStr">
        <is>
          <t>W컨셉</t>
        </is>
      </c>
      <c r="G3868" s="94" t="inlineStr">
        <is>
          <t>250ml</t>
        </is>
      </c>
      <c r="H3868" s="92" t="n">
        <v>190801</v>
      </c>
      <c r="I3868" s="92" t="n">
        <v>190801</v>
      </c>
      <c r="J3868" s="94" t="n"/>
      <c r="K3868" s="94" t="n">
        <v>8</v>
      </c>
      <c r="L3868" s="92" t="n">
        <v>190801</v>
      </c>
      <c r="M3868" s="94">
        <f>VLOOKUP($Q3868,매칭테이블!$F:$I,2,0)*K3868</f>
        <v/>
      </c>
      <c r="N3868" s="94">
        <f>M3868-M3868*VLOOKUP($Q3868,매칭테이블!$F:$I,3,0)</f>
        <v/>
      </c>
      <c r="O3868" s="94">
        <f>VLOOKUP($Q3868,매칭테이블!$F:$I,4,0)*K3868</f>
        <v/>
      </c>
      <c r="P3868" s="148">
        <f>M3868/1.1</f>
        <v/>
      </c>
      <c r="Q3868" s="94">
        <f>F3868&amp;E3868&amp;G3868&amp;L3868</f>
        <v/>
      </c>
    </row>
    <row r="3869">
      <c r="A3869" s="94" t="n"/>
      <c r="B3869" s="128" t="n">
        <v>43743</v>
      </c>
      <c r="C3869" s="94">
        <f>TEXT(B3869,"aaa")</f>
        <v/>
      </c>
      <c r="D3869" s="94" t="n"/>
      <c r="E3869" s="94" t="inlineStr">
        <is>
          <t>토너</t>
        </is>
      </c>
      <c r="F3869" s="94" t="inlineStr">
        <is>
          <t>카페24</t>
        </is>
      </c>
      <c r="G3869" s="94" t="inlineStr">
        <is>
          <t>250ml</t>
        </is>
      </c>
      <c r="H3869" s="92" t="n">
        <v>190801</v>
      </c>
      <c r="I3869" s="92" t="n">
        <v>190801</v>
      </c>
      <c r="J3869" s="94" t="n"/>
      <c r="K3869" s="94" t="n">
        <v>31</v>
      </c>
      <c r="L3869" s="92" t="n">
        <v>190801</v>
      </c>
      <c r="M3869" s="94">
        <f>VLOOKUP($Q3869,매칭테이블!$F:$I,2,0)*K3869</f>
        <v/>
      </c>
      <c r="N3869" s="94">
        <f>M3869-M3869*VLOOKUP($Q3869,매칭테이블!$F:$I,3,0)</f>
        <v/>
      </c>
      <c r="O3869" s="94">
        <f>VLOOKUP($Q3869,매칭테이블!$F:$I,4,0)*K3869</f>
        <v/>
      </c>
      <c r="P3869" s="148">
        <f>M3869/1.1</f>
        <v/>
      </c>
      <c r="Q3869" s="94">
        <f>F3869&amp;E3869&amp;G3869&amp;L3869</f>
        <v/>
      </c>
    </row>
    <row r="3870">
      <c r="A3870" s="94" t="n"/>
      <c r="B3870" s="128" t="n">
        <v>43744</v>
      </c>
      <c r="C3870" s="94">
        <f>TEXT(B3870,"aaa")</f>
        <v/>
      </c>
      <c r="D3870" s="94" t="n"/>
      <c r="E3870" s="94" t="inlineStr">
        <is>
          <t>토너</t>
        </is>
      </c>
      <c r="F3870" s="94" t="inlineStr">
        <is>
          <t>카페24</t>
        </is>
      </c>
      <c r="G3870" s="94" t="inlineStr">
        <is>
          <t>250ml 2set</t>
        </is>
      </c>
      <c r="H3870" s="92" t="n">
        <v>190801</v>
      </c>
      <c r="I3870" s="92" t="n">
        <v>190801</v>
      </c>
      <c r="J3870" s="94" t="n"/>
      <c r="K3870" s="94" t="n">
        <v>27</v>
      </c>
      <c r="L3870" s="92" t="n">
        <v>190801</v>
      </c>
      <c r="M3870" s="94">
        <f>VLOOKUP($Q3870,매칭테이블!$F:$I,2,0)*K3870</f>
        <v/>
      </c>
      <c r="N3870" s="94">
        <f>M3870-M3870*VLOOKUP($Q3870,매칭테이블!$F:$I,3,0)</f>
        <v/>
      </c>
      <c r="O3870" s="94">
        <f>VLOOKUP($Q3870,매칭테이블!$F:$I,4,0)*K3870</f>
        <v/>
      </c>
      <c r="P3870" s="148">
        <f>M3870/1.1</f>
        <v/>
      </c>
      <c r="Q3870" s="94">
        <f>F3870&amp;E3870&amp;G3870&amp;L3870</f>
        <v/>
      </c>
    </row>
    <row r="3871">
      <c r="A3871" s="94" t="n"/>
      <c r="B3871" s="128" t="n">
        <v>43744</v>
      </c>
      <c r="C3871" s="94">
        <f>TEXT(B3871,"aaa")</f>
        <v/>
      </c>
      <c r="D3871" s="94" t="n"/>
      <c r="E3871" s="94" t="inlineStr">
        <is>
          <t>토너</t>
        </is>
      </c>
      <c r="F3871" s="94" t="inlineStr">
        <is>
          <t>W컨셉</t>
        </is>
      </c>
      <c r="G3871" s="94" t="inlineStr">
        <is>
          <t>250ml</t>
        </is>
      </c>
      <c r="H3871" s="92" t="n">
        <v>190801</v>
      </c>
      <c r="I3871" s="92" t="n">
        <v>190801</v>
      </c>
      <c r="J3871" s="94" t="n"/>
      <c r="K3871" s="94" t="n">
        <v>4</v>
      </c>
      <c r="L3871" s="92" t="n">
        <v>190801</v>
      </c>
      <c r="M3871" s="94">
        <f>VLOOKUP($Q3871,매칭테이블!$F:$I,2,0)*K3871</f>
        <v/>
      </c>
      <c r="N3871" s="94">
        <f>M3871-M3871*VLOOKUP($Q3871,매칭테이블!$F:$I,3,0)</f>
        <v/>
      </c>
      <c r="O3871" s="94">
        <f>VLOOKUP($Q3871,매칭테이블!$F:$I,4,0)*K3871</f>
        <v/>
      </c>
      <c r="P3871" s="148">
        <f>M3871/1.1</f>
        <v/>
      </c>
      <c r="Q3871" s="94">
        <f>F3871&amp;E3871&amp;G3871&amp;L3871</f>
        <v/>
      </c>
    </row>
    <row r="3872">
      <c r="A3872" s="94" t="n"/>
      <c r="B3872" s="128" t="n">
        <v>43744</v>
      </c>
      <c r="C3872" s="94">
        <f>TEXT(B3872,"aaa")</f>
        <v/>
      </c>
      <c r="D3872" s="94" t="n"/>
      <c r="E3872" s="94" t="inlineStr">
        <is>
          <t>토너</t>
        </is>
      </c>
      <c r="F3872" s="94" t="inlineStr">
        <is>
          <t>아누아 CS</t>
        </is>
      </c>
      <c r="G3872" s="94" t="inlineStr">
        <is>
          <t>250ml</t>
        </is>
      </c>
      <c r="H3872" s="92" t="n">
        <v>190801</v>
      </c>
      <c r="I3872" s="92" t="n">
        <v>190801</v>
      </c>
      <c r="J3872" s="94" t="n"/>
      <c r="K3872" s="94" t="n">
        <v>3</v>
      </c>
      <c r="L3872" s="92" t="n">
        <v>190801</v>
      </c>
      <c r="M3872" s="94">
        <f>VLOOKUP($Q3872,매칭테이블!$F:$I,2,0)*K3872</f>
        <v/>
      </c>
      <c r="N3872" s="94">
        <f>M3872-M3872*VLOOKUP($Q3872,매칭테이블!$F:$I,3,0)</f>
        <v/>
      </c>
      <c r="O3872" s="94">
        <f>VLOOKUP($Q3872,매칭테이블!$F:$I,4,0)*K3872</f>
        <v/>
      </c>
      <c r="P3872" s="148">
        <f>M3872/1.1</f>
        <v/>
      </c>
      <c r="Q3872" s="94">
        <f>F3872&amp;E3872&amp;G3872&amp;L3872</f>
        <v/>
      </c>
    </row>
    <row r="3873">
      <c r="A3873" s="94" t="n"/>
      <c r="B3873" s="128" t="n">
        <v>43744</v>
      </c>
      <c r="C3873" s="94">
        <f>TEXT(B3873,"aaa")</f>
        <v/>
      </c>
      <c r="D3873" s="94" t="n"/>
      <c r="E3873" s="94" t="inlineStr">
        <is>
          <t>토너</t>
        </is>
      </c>
      <c r="F3873" s="94" t="inlineStr">
        <is>
          <t>카페24</t>
        </is>
      </c>
      <c r="G3873" s="94" t="inlineStr">
        <is>
          <t>250ml</t>
        </is>
      </c>
      <c r="H3873" s="92" t="n">
        <v>190801</v>
      </c>
      <c r="I3873" s="92" t="n">
        <v>190801</v>
      </c>
      <c r="J3873" s="94" t="n"/>
      <c r="K3873" s="94" t="n">
        <v>37</v>
      </c>
      <c r="L3873" s="92" t="n">
        <v>190801</v>
      </c>
      <c r="M3873" s="94">
        <f>VLOOKUP($Q3873,매칭테이블!$F:$I,2,0)*K3873</f>
        <v/>
      </c>
      <c r="N3873" s="94">
        <f>M3873-M3873*VLOOKUP($Q3873,매칭테이블!$F:$I,3,0)</f>
        <v/>
      </c>
      <c r="O3873" s="94">
        <f>VLOOKUP($Q3873,매칭테이블!$F:$I,4,0)*K3873</f>
        <v/>
      </c>
      <c r="P3873" s="148">
        <f>M3873/1.1</f>
        <v/>
      </c>
      <c r="Q3873" s="94">
        <f>F3873&amp;E3873&amp;G3873&amp;L3873</f>
        <v/>
      </c>
    </row>
    <row r="3874">
      <c r="A3874" s="94" t="n"/>
      <c r="B3874" s="128" t="n">
        <v>43745</v>
      </c>
      <c r="C3874" s="94">
        <f>TEXT(B3874,"aaa")</f>
        <v/>
      </c>
      <c r="D3874" s="94" t="n"/>
      <c r="E3874" s="94" t="inlineStr">
        <is>
          <t>토너</t>
        </is>
      </c>
      <c r="F3874" s="94" t="inlineStr">
        <is>
          <t>카페24</t>
        </is>
      </c>
      <c r="G3874" s="94" t="inlineStr">
        <is>
          <t>250ml 2set</t>
        </is>
      </c>
      <c r="H3874" s="92" t="n">
        <v>190801</v>
      </c>
      <c r="I3874" s="92" t="n">
        <v>190801</v>
      </c>
      <c r="J3874" s="94" t="n"/>
      <c r="K3874" s="94" t="n">
        <v>35</v>
      </c>
      <c r="L3874" s="92" t="n">
        <v>190801</v>
      </c>
      <c r="M3874" s="94">
        <f>VLOOKUP($Q3874,매칭테이블!$F:$I,2,0)*K3874</f>
        <v/>
      </c>
      <c r="N3874" s="94">
        <f>M3874-M3874*VLOOKUP($Q3874,매칭테이블!$F:$I,3,0)</f>
        <v/>
      </c>
      <c r="O3874" s="94">
        <f>VLOOKUP($Q3874,매칭테이블!$F:$I,4,0)*K3874</f>
        <v/>
      </c>
      <c r="P3874" s="148">
        <f>M3874/1.1</f>
        <v/>
      </c>
      <c r="Q3874" s="94">
        <f>F3874&amp;E3874&amp;G3874&amp;L3874</f>
        <v/>
      </c>
    </row>
    <row r="3875">
      <c r="A3875" s="94" t="n"/>
      <c r="B3875" s="128" t="n">
        <v>43745</v>
      </c>
      <c r="C3875" s="94">
        <f>TEXT(B3875,"aaa")</f>
        <v/>
      </c>
      <c r="D3875" s="94" t="n"/>
      <c r="E3875" s="94" t="inlineStr">
        <is>
          <t>토너</t>
        </is>
      </c>
      <c r="F3875" s="94" t="inlineStr">
        <is>
          <t>W컨셉</t>
        </is>
      </c>
      <c r="G3875" s="94" t="inlineStr">
        <is>
          <t>250ml</t>
        </is>
      </c>
      <c r="H3875" s="92" t="n">
        <v>190801</v>
      </c>
      <c r="I3875" s="92" t="n">
        <v>190801</v>
      </c>
      <c r="J3875" s="94" t="n"/>
      <c r="K3875" s="94" t="n">
        <v>3</v>
      </c>
      <c r="L3875" s="92" t="n">
        <v>190801</v>
      </c>
      <c r="M3875" s="94">
        <f>VLOOKUP($Q3875,매칭테이블!$F:$I,2,0)*K3875</f>
        <v/>
      </c>
      <c r="N3875" s="94">
        <f>M3875-M3875*VLOOKUP($Q3875,매칭테이블!$F:$I,3,0)</f>
        <v/>
      </c>
      <c r="O3875" s="94">
        <f>VLOOKUP($Q3875,매칭테이블!$F:$I,4,0)*K3875</f>
        <v/>
      </c>
      <c r="P3875" s="148">
        <f>M3875/1.1</f>
        <v/>
      </c>
      <c r="Q3875" s="94">
        <f>F3875&amp;E3875&amp;G3875&amp;L3875</f>
        <v/>
      </c>
    </row>
    <row r="3876">
      <c r="A3876" s="94" t="n"/>
      <c r="B3876" s="128" t="n">
        <v>43745</v>
      </c>
      <c r="C3876" s="94">
        <f>TEXT(B3876,"aaa")</f>
        <v/>
      </c>
      <c r="D3876" s="94" t="n"/>
      <c r="E3876" s="94" t="inlineStr">
        <is>
          <t>토너</t>
        </is>
      </c>
      <c r="F3876" s="94" t="inlineStr">
        <is>
          <t>카페24</t>
        </is>
      </c>
      <c r="G3876" s="94" t="inlineStr">
        <is>
          <t>250ml</t>
        </is>
      </c>
      <c r="H3876" s="92" t="n">
        <v>190801</v>
      </c>
      <c r="I3876" s="92" t="n">
        <v>190801</v>
      </c>
      <c r="J3876" s="94" t="n"/>
      <c r="K3876" s="94" t="n">
        <v>39</v>
      </c>
      <c r="L3876" s="92" t="n">
        <v>190801</v>
      </c>
      <c r="M3876" s="94">
        <f>VLOOKUP($Q3876,매칭테이블!$F:$I,2,0)*K3876</f>
        <v/>
      </c>
      <c r="N3876" s="94">
        <f>M3876-M3876*VLOOKUP($Q3876,매칭테이블!$F:$I,3,0)</f>
        <v/>
      </c>
      <c r="O3876" s="94">
        <f>VLOOKUP($Q3876,매칭테이블!$F:$I,4,0)*K3876</f>
        <v/>
      </c>
      <c r="P3876" s="148">
        <f>M3876/1.1</f>
        <v/>
      </c>
      <c r="Q3876" s="94">
        <f>F3876&amp;E3876&amp;G3876&amp;L3876</f>
        <v/>
      </c>
    </row>
    <row r="3877">
      <c r="A3877" s="94" t="n"/>
      <c r="B3877" s="128" t="n">
        <v>43745</v>
      </c>
      <c r="C3877" s="94">
        <f>TEXT(B3877,"aaa")</f>
        <v/>
      </c>
      <c r="D3877" s="94" t="n"/>
      <c r="E3877" s="94" t="inlineStr">
        <is>
          <t>토너</t>
        </is>
      </c>
      <c r="F3877" s="94" t="inlineStr">
        <is>
          <t>아누아 CS</t>
        </is>
      </c>
      <c r="G3877" s="94" t="inlineStr">
        <is>
          <t>250ml</t>
        </is>
      </c>
      <c r="H3877" s="92" t="n">
        <v>190801</v>
      </c>
      <c r="I3877" s="92" t="n">
        <v>190801</v>
      </c>
      <c r="J3877" s="94" t="n"/>
      <c r="K3877" s="94" t="n">
        <v>10</v>
      </c>
      <c r="L3877" s="92" t="n">
        <v>190801</v>
      </c>
      <c r="M3877" s="94">
        <f>VLOOKUP($Q3877,매칭테이블!$F:$I,2,0)*K3877</f>
        <v/>
      </c>
      <c r="N3877" s="94">
        <f>M3877-M3877*VLOOKUP($Q3877,매칭테이블!$F:$I,3,0)</f>
        <v/>
      </c>
      <c r="O3877" s="94">
        <f>VLOOKUP($Q3877,매칭테이블!$F:$I,4,0)*K3877</f>
        <v/>
      </c>
      <c r="P3877" s="148">
        <f>M3877/1.1</f>
        <v/>
      </c>
      <c r="Q3877" s="94">
        <f>F3877&amp;E3877&amp;G3877&amp;L3877</f>
        <v/>
      </c>
    </row>
    <row r="3878">
      <c r="A3878" s="94" t="n"/>
      <c r="B3878" s="128" t="n">
        <v>43746</v>
      </c>
      <c r="C3878" s="94">
        <f>TEXT(B3878,"aaa")</f>
        <v/>
      </c>
      <c r="D3878" s="94" t="n"/>
      <c r="E3878" s="94" t="inlineStr">
        <is>
          <t>토너</t>
        </is>
      </c>
      <c r="F3878" s="94" t="inlineStr">
        <is>
          <t>W컨셉</t>
        </is>
      </c>
      <c r="G3878" s="94" t="inlineStr">
        <is>
          <t>250ml</t>
        </is>
      </c>
      <c r="H3878" s="92" t="n">
        <v>190801</v>
      </c>
      <c r="I3878" s="92" t="n">
        <v>190801</v>
      </c>
      <c r="J3878" s="94" t="n"/>
      <c r="K3878" s="94" t="n">
        <v>3</v>
      </c>
      <c r="L3878" s="92" t="n">
        <v>190801</v>
      </c>
      <c r="M3878" s="94">
        <f>VLOOKUP($Q3878,매칭테이블!$F:$I,2,0)*K3878</f>
        <v/>
      </c>
      <c r="N3878" s="94">
        <f>M3878-M3878*VLOOKUP($Q3878,매칭테이블!$F:$I,3,0)</f>
        <v/>
      </c>
      <c r="O3878" s="94">
        <f>VLOOKUP($Q3878,매칭테이블!$F:$I,4,0)*K3878</f>
        <v/>
      </c>
      <c r="P3878" s="148">
        <f>M3878/1.1</f>
        <v/>
      </c>
      <c r="Q3878" s="94">
        <f>F3878&amp;E3878&amp;G3878&amp;L3878</f>
        <v/>
      </c>
    </row>
    <row r="3879">
      <c r="A3879" s="94" t="n"/>
      <c r="B3879" s="128" t="n">
        <v>43746</v>
      </c>
      <c r="C3879" s="94">
        <f>TEXT(B3879,"aaa")</f>
        <v/>
      </c>
      <c r="D3879" s="94" t="n"/>
      <c r="E3879" s="94" t="inlineStr">
        <is>
          <t>토너</t>
        </is>
      </c>
      <c r="F3879" s="94" t="inlineStr">
        <is>
          <t>W컨셉</t>
        </is>
      </c>
      <c r="G3879" s="94" t="inlineStr">
        <is>
          <t>250ml 2set</t>
        </is>
      </c>
      <c r="H3879" s="92" t="n">
        <v>190801</v>
      </c>
      <c r="I3879" s="92" t="n">
        <v>190801</v>
      </c>
      <c r="J3879" s="94" t="n"/>
      <c r="K3879" s="94" t="n">
        <v>3</v>
      </c>
      <c r="L3879" s="92" t="n">
        <v>190801</v>
      </c>
      <c r="M3879" s="94">
        <f>VLOOKUP($Q3879,매칭테이블!$F:$I,2,0)*K3879</f>
        <v/>
      </c>
      <c r="N3879" s="94">
        <f>M3879-M3879*VLOOKUP($Q3879,매칭테이블!$F:$I,3,0)</f>
        <v/>
      </c>
      <c r="O3879" s="94">
        <f>VLOOKUP($Q3879,매칭테이블!$F:$I,4,0)*K3879</f>
        <v/>
      </c>
      <c r="P3879" s="148">
        <f>M3879/1.1</f>
        <v/>
      </c>
      <c r="Q3879" s="94">
        <f>F3879&amp;E3879&amp;G3879&amp;L3879</f>
        <v/>
      </c>
    </row>
    <row r="3880">
      <c r="A3880" s="94" t="n"/>
      <c r="B3880" s="128" t="n">
        <v>43746</v>
      </c>
      <c r="C3880" s="94">
        <f>TEXT(B3880,"aaa")</f>
        <v/>
      </c>
      <c r="D3880" s="94" t="n"/>
      <c r="E3880" s="94" t="inlineStr">
        <is>
          <t>토너</t>
        </is>
      </c>
      <c r="F3880" s="94" t="inlineStr">
        <is>
          <t>카페24</t>
        </is>
      </c>
      <c r="G3880" s="94" t="inlineStr">
        <is>
          <t>250ml</t>
        </is>
      </c>
      <c r="H3880" s="92" t="n">
        <v>190801</v>
      </c>
      <c r="I3880" s="92" t="n">
        <v>190801</v>
      </c>
      <c r="J3880" s="94" t="n"/>
      <c r="K3880" s="94" t="n">
        <v>35</v>
      </c>
      <c r="L3880" s="92" t="n">
        <v>190801</v>
      </c>
      <c r="M3880" s="94">
        <f>VLOOKUP($Q3880,매칭테이블!$F:$I,2,0)*K3880</f>
        <v/>
      </c>
      <c r="N3880" s="94">
        <f>M3880-M3880*VLOOKUP($Q3880,매칭테이블!$F:$I,3,0)</f>
        <v/>
      </c>
      <c r="O3880" s="94">
        <f>VLOOKUP($Q3880,매칭테이블!$F:$I,4,0)*K3880</f>
        <v/>
      </c>
      <c r="P3880" s="148">
        <f>M3880/1.1</f>
        <v/>
      </c>
      <c r="Q3880" s="94">
        <f>F3880&amp;E3880&amp;G3880&amp;L3880</f>
        <v/>
      </c>
    </row>
    <row r="3881">
      <c r="A3881" s="94" t="n"/>
      <c r="B3881" s="128" t="n">
        <v>43746</v>
      </c>
      <c r="C3881" s="94">
        <f>TEXT(B3881,"aaa")</f>
        <v/>
      </c>
      <c r="D3881" s="94" t="n"/>
      <c r="E3881" s="94" t="inlineStr">
        <is>
          <t>토너</t>
        </is>
      </c>
      <c r="F3881" s="94" t="inlineStr">
        <is>
          <t>카페24</t>
        </is>
      </c>
      <c r="G3881" s="94" t="inlineStr">
        <is>
          <t>250ml 2set</t>
        </is>
      </c>
      <c r="H3881" s="92" t="n">
        <v>190801</v>
      </c>
      <c r="I3881" s="92" t="n">
        <v>190801</v>
      </c>
      <c r="J3881" s="94" t="n"/>
      <c r="K3881" s="94" t="n">
        <v>31</v>
      </c>
      <c r="L3881" s="92" t="n">
        <v>190801</v>
      </c>
      <c r="M3881" s="94">
        <f>VLOOKUP($Q3881,매칭테이블!$F:$I,2,0)*K3881</f>
        <v/>
      </c>
      <c r="N3881" s="94">
        <f>M3881-M3881*VLOOKUP($Q3881,매칭테이블!$F:$I,3,0)</f>
        <v/>
      </c>
      <c r="O3881" s="94">
        <f>VLOOKUP($Q3881,매칭테이블!$F:$I,4,0)*K3881</f>
        <v/>
      </c>
      <c r="P3881" s="148">
        <f>M3881/1.1</f>
        <v/>
      </c>
      <c r="Q3881" s="94">
        <f>F3881&amp;E3881&amp;G3881&amp;L3881</f>
        <v/>
      </c>
    </row>
    <row r="3882">
      <c r="A3882" s="94" t="n"/>
      <c r="B3882" s="128" t="n">
        <v>43747</v>
      </c>
      <c r="C3882" s="94">
        <f>TEXT(B3882,"aaa")</f>
        <v/>
      </c>
      <c r="D3882" s="94" t="n"/>
      <c r="E3882" s="94" t="inlineStr">
        <is>
          <t>토너</t>
        </is>
      </c>
      <c r="F3882" s="94" t="inlineStr">
        <is>
          <t>W컨셉</t>
        </is>
      </c>
      <c r="G3882" s="94" t="inlineStr">
        <is>
          <t>250ml</t>
        </is>
      </c>
      <c r="H3882" s="92" t="n">
        <v>190801</v>
      </c>
      <c r="I3882" s="92" t="n">
        <v>190801</v>
      </c>
      <c r="J3882" s="94" t="n"/>
      <c r="K3882" s="94" t="n">
        <v>4</v>
      </c>
      <c r="L3882" s="92" t="n">
        <v>190801</v>
      </c>
      <c r="M3882" s="94">
        <f>VLOOKUP($Q3882,매칭테이블!$F:$I,2,0)*K3882</f>
        <v/>
      </c>
      <c r="N3882" s="94">
        <f>M3882-M3882*VLOOKUP($Q3882,매칭테이블!$F:$I,3,0)</f>
        <v/>
      </c>
      <c r="O3882" s="94">
        <f>VLOOKUP($Q3882,매칭테이블!$F:$I,4,0)*K3882</f>
        <v/>
      </c>
      <c r="P3882" s="148">
        <f>M3882/1.1</f>
        <v/>
      </c>
      <c r="Q3882" s="94">
        <f>F3882&amp;E3882&amp;G3882&amp;L3882</f>
        <v/>
      </c>
    </row>
    <row r="3883">
      <c r="A3883" s="94" t="n"/>
      <c r="B3883" s="128" t="n">
        <v>43747</v>
      </c>
      <c r="C3883" s="94">
        <f>TEXT(B3883,"aaa")</f>
        <v/>
      </c>
      <c r="D3883" s="94" t="n"/>
      <c r="E3883" s="94" t="inlineStr">
        <is>
          <t>토너</t>
        </is>
      </c>
      <c r="F3883" s="94" t="inlineStr">
        <is>
          <t>W컨셉</t>
        </is>
      </c>
      <c r="G3883" s="94" t="inlineStr">
        <is>
          <t>250ml 2set</t>
        </is>
      </c>
      <c r="H3883" s="92" t="n">
        <v>190801</v>
      </c>
      <c r="I3883" s="92" t="n">
        <v>190801</v>
      </c>
      <c r="J3883" s="94" t="n"/>
      <c r="K3883" s="94" t="n">
        <v>4</v>
      </c>
      <c r="L3883" s="92" t="n">
        <v>190801</v>
      </c>
      <c r="M3883" s="94">
        <f>VLOOKUP($Q3883,매칭테이블!$F:$I,2,0)*K3883</f>
        <v/>
      </c>
      <c r="N3883" s="94">
        <f>M3883-M3883*VLOOKUP($Q3883,매칭테이블!$F:$I,3,0)</f>
        <v/>
      </c>
      <c r="O3883" s="94">
        <f>VLOOKUP($Q3883,매칭테이블!$F:$I,4,0)*K3883</f>
        <v/>
      </c>
      <c r="P3883" s="148">
        <f>M3883/1.1</f>
        <v/>
      </c>
      <c r="Q3883" s="94">
        <f>F3883&amp;E3883&amp;G3883&amp;L3883</f>
        <v/>
      </c>
    </row>
    <row r="3884">
      <c r="A3884" s="94" t="n"/>
      <c r="B3884" s="128" t="n">
        <v>43747</v>
      </c>
      <c r="C3884" s="94">
        <f>TEXT(B3884,"aaa")</f>
        <v/>
      </c>
      <c r="D3884" s="94" t="n"/>
      <c r="E3884" s="94" t="inlineStr">
        <is>
          <t>토너</t>
        </is>
      </c>
      <c r="F3884" s="94" t="inlineStr">
        <is>
          <t>카페24</t>
        </is>
      </c>
      <c r="G3884" s="94" t="inlineStr">
        <is>
          <t>250ml</t>
        </is>
      </c>
      <c r="H3884" s="92" t="n">
        <v>190801</v>
      </c>
      <c r="I3884" s="92" t="n">
        <v>190801</v>
      </c>
      <c r="J3884" s="94" t="n"/>
      <c r="K3884" s="94" t="n">
        <v>38</v>
      </c>
      <c r="L3884" s="92" t="n">
        <v>190801</v>
      </c>
      <c r="M3884" s="94">
        <f>VLOOKUP($Q3884,매칭테이블!$F:$I,2,0)*K3884</f>
        <v/>
      </c>
      <c r="N3884" s="94">
        <f>M3884-M3884*VLOOKUP($Q3884,매칭테이블!$F:$I,3,0)</f>
        <v/>
      </c>
      <c r="O3884" s="94">
        <f>VLOOKUP($Q3884,매칭테이블!$F:$I,4,0)*K3884</f>
        <v/>
      </c>
      <c r="P3884" s="148">
        <f>M3884/1.1</f>
        <v/>
      </c>
      <c r="Q3884" s="94">
        <f>F3884&amp;E3884&amp;G3884&amp;L3884</f>
        <v/>
      </c>
    </row>
    <row r="3885">
      <c r="A3885" s="94" t="n"/>
      <c r="B3885" s="128" t="n">
        <v>43747</v>
      </c>
      <c r="C3885" s="94">
        <f>TEXT(B3885,"aaa")</f>
        <v/>
      </c>
      <c r="D3885" s="94" t="n"/>
      <c r="E3885" s="94" t="inlineStr">
        <is>
          <t>토너</t>
        </is>
      </c>
      <c r="F3885" s="94" t="inlineStr">
        <is>
          <t>카페24</t>
        </is>
      </c>
      <c r="G3885" s="94" t="inlineStr">
        <is>
          <t>250ml 2set</t>
        </is>
      </c>
      <c r="H3885" s="92" t="n">
        <v>190801</v>
      </c>
      <c r="I3885" s="92" t="n">
        <v>190801</v>
      </c>
      <c r="J3885" s="94" t="n"/>
      <c r="K3885" s="94" t="n">
        <v>42</v>
      </c>
      <c r="L3885" s="92" t="n">
        <v>190801</v>
      </c>
      <c r="M3885" s="94">
        <f>VLOOKUP($Q3885,매칭테이블!$F:$I,2,0)*K3885</f>
        <v/>
      </c>
      <c r="N3885" s="94">
        <f>M3885-M3885*VLOOKUP($Q3885,매칭테이블!$F:$I,3,0)</f>
        <v/>
      </c>
      <c r="O3885" s="94">
        <f>VLOOKUP($Q3885,매칭테이블!$F:$I,4,0)*K3885</f>
        <v/>
      </c>
      <c r="P3885" s="148">
        <f>M3885/1.1</f>
        <v/>
      </c>
      <c r="Q3885" s="94">
        <f>F3885&amp;E3885&amp;G3885&amp;L3885</f>
        <v/>
      </c>
    </row>
    <row r="3886">
      <c r="A3886" s="94" t="n"/>
      <c r="B3886" s="128" t="n">
        <v>43748</v>
      </c>
      <c r="C3886" s="94">
        <f>TEXT(B3886,"aaa")</f>
        <v/>
      </c>
      <c r="D3886" s="94" t="n"/>
      <c r="E3886" s="6" t="inlineStr">
        <is>
          <t>토너</t>
        </is>
      </c>
      <c r="F3886" s="5" t="inlineStr">
        <is>
          <t>W컨셉</t>
        </is>
      </c>
      <c r="G3886" s="5" t="inlineStr">
        <is>
          <t>250ml</t>
        </is>
      </c>
      <c r="H3886" s="7" t="n">
        <v>190801</v>
      </c>
      <c r="I3886" s="7" t="n">
        <v>190801</v>
      </c>
      <c r="J3886" s="6" t="n"/>
      <c r="K3886" s="149" t="n">
        <v>5</v>
      </c>
      <c r="L3886" s="7" t="n">
        <v>190801</v>
      </c>
      <c r="M3886" s="94">
        <f>VLOOKUP($Q3886,매칭테이블!$F:$I,2,0)*K3886</f>
        <v/>
      </c>
      <c r="N3886" s="94">
        <f>M3886-M3886*VLOOKUP($Q3886,매칭테이블!$F:$I,3,0)</f>
        <v/>
      </c>
      <c r="O3886" s="94">
        <f>VLOOKUP($Q3886,매칭테이블!$F:$I,4,0)*K3886</f>
        <v/>
      </c>
      <c r="P3886" s="148">
        <f>M3886/1.1</f>
        <v/>
      </c>
      <c r="Q3886" s="94">
        <f>F3886&amp;E3886&amp;G3886&amp;L3886</f>
        <v/>
      </c>
    </row>
    <row r="3887">
      <c r="A3887" s="94" t="n"/>
      <c r="B3887" s="128" t="n">
        <v>43748</v>
      </c>
      <c r="C3887" s="94">
        <f>TEXT(B3887,"aaa")</f>
        <v/>
      </c>
      <c r="D3887" s="94" t="n"/>
      <c r="E3887" s="6" t="inlineStr">
        <is>
          <t>토너</t>
        </is>
      </c>
      <c r="F3887" s="5" t="inlineStr">
        <is>
          <t>W컨셉</t>
        </is>
      </c>
      <c r="G3887" s="5" t="inlineStr">
        <is>
          <t>250ml 2set</t>
        </is>
      </c>
      <c r="H3887" s="7" t="n">
        <v>190801</v>
      </c>
      <c r="I3887" s="7" t="n">
        <v>190801</v>
      </c>
      <c r="J3887" s="6" t="n"/>
      <c r="K3887" s="149" t="n">
        <v>5</v>
      </c>
      <c r="L3887" s="7" t="n">
        <v>190801</v>
      </c>
      <c r="M3887" s="94">
        <f>VLOOKUP($Q3887,매칭테이블!$F:$I,2,0)*K3887</f>
        <v/>
      </c>
      <c r="N3887" s="94">
        <f>M3887-M3887*VLOOKUP($Q3887,매칭테이블!$F:$I,3,0)</f>
        <v/>
      </c>
      <c r="O3887" s="94">
        <f>VLOOKUP($Q3887,매칭테이블!$F:$I,4,0)*K3887</f>
        <v/>
      </c>
      <c r="P3887" s="148">
        <f>M3887/1.1</f>
        <v/>
      </c>
      <c r="Q3887" s="94">
        <f>F3887&amp;E3887&amp;G3887&amp;L3887</f>
        <v/>
      </c>
    </row>
    <row r="3888">
      <c r="A3888" s="94" t="n"/>
      <c r="B3888" s="128" t="n">
        <v>43748</v>
      </c>
      <c r="C3888" s="94">
        <f>TEXT(B3888,"aaa")</f>
        <v/>
      </c>
      <c r="D3888" s="94" t="n"/>
      <c r="E3888" s="6" t="inlineStr">
        <is>
          <t>토너</t>
        </is>
      </c>
      <c r="F3888" s="5" t="inlineStr">
        <is>
          <t>카페24</t>
        </is>
      </c>
      <c r="G3888" s="5" t="inlineStr">
        <is>
          <t>250ml</t>
        </is>
      </c>
      <c r="H3888" s="7" t="n">
        <v>190801</v>
      </c>
      <c r="I3888" s="7" t="n">
        <v>190801</v>
      </c>
      <c r="J3888" s="6" t="n"/>
      <c r="K3888" s="149" t="n">
        <v>49</v>
      </c>
      <c r="L3888" s="7" t="n">
        <v>190801</v>
      </c>
      <c r="M3888" s="94">
        <f>VLOOKUP($Q3888,매칭테이블!$F:$I,2,0)*K3888</f>
        <v/>
      </c>
      <c r="N3888" s="94">
        <f>M3888-M3888*VLOOKUP($Q3888,매칭테이블!$F:$I,3,0)</f>
        <v/>
      </c>
      <c r="O3888" s="94">
        <f>VLOOKUP($Q3888,매칭테이블!$F:$I,4,0)*K3888</f>
        <v/>
      </c>
      <c r="P3888" s="148">
        <f>M3888/1.1</f>
        <v/>
      </c>
      <c r="Q3888" s="94">
        <f>F3888&amp;E3888&amp;G3888&amp;L3888</f>
        <v/>
      </c>
    </row>
    <row r="3889">
      <c r="A3889" s="94" t="n"/>
      <c r="B3889" s="128" t="n">
        <v>43748</v>
      </c>
      <c r="C3889" s="94">
        <f>TEXT(B3889,"aaa")</f>
        <v/>
      </c>
      <c r="D3889" s="94" t="n"/>
      <c r="E3889" s="6" t="inlineStr">
        <is>
          <t>토너</t>
        </is>
      </c>
      <c r="F3889" s="5" t="inlineStr">
        <is>
          <t>카페24</t>
        </is>
      </c>
      <c r="G3889" s="5" t="inlineStr">
        <is>
          <t>250ml 2set</t>
        </is>
      </c>
      <c r="H3889" s="7" t="n">
        <v>190801</v>
      </c>
      <c r="I3889" s="7" t="n">
        <v>190801</v>
      </c>
      <c r="J3889" s="6" t="n"/>
      <c r="K3889" s="149" t="n">
        <v>44</v>
      </c>
      <c r="L3889" s="7" t="n">
        <v>190801</v>
      </c>
      <c r="M3889" s="94">
        <f>VLOOKUP($Q3889,매칭테이블!$F:$I,2,0)*K3889</f>
        <v/>
      </c>
      <c r="N3889" s="94">
        <f>M3889-M3889*VLOOKUP($Q3889,매칭테이블!$F:$I,3,0)</f>
        <v/>
      </c>
      <c r="O3889" s="94">
        <f>VLOOKUP($Q3889,매칭테이블!$F:$I,4,0)*K3889</f>
        <v/>
      </c>
      <c r="P3889" s="148">
        <f>M3889/1.1</f>
        <v/>
      </c>
      <c r="Q3889" s="94">
        <f>F3889&amp;E3889&amp;G3889&amp;L3889</f>
        <v/>
      </c>
    </row>
    <row r="3890">
      <c r="A3890" s="94" t="n"/>
      <c r="B3890" s="128" t="n">
        <v>43749</v>
      </c>
      <c r="C3890" s="94">
        <f>TEXT(B3890,"aaa")</f>
        <v/>
      </c>
      <c r="D3890" s="94" t="n"/>
      <c r="E3890" s="6" t="inlineStr">
        <is>
          <t>토너</t>
        </is>
      </c>
      <c r="F3890" s="5" t="inlineStr">
        <is>
          <t>W컨셉</t>
        </is>
      </c>
      <c r="G3890" s="5" t="inlineStr">
        <is>
          <t>250ml</t>
        </is>
      </c>
      <c r="H3890" s="7" t="n">
        <v>190801</v>
      </c>
      <c r="I3890" s="7" t="n">
        <v>190801</v>
      </c>
      <c r="J3890" s="6" t="n"/>
      <c r="K3890" s="149" t="n">
        <v>5</v>
      </c>
      <c r="L3890" s="7" t="n">
        <v>190801</v>
      </c>
      <c r="M3890" s="94">
        <f>VLOOKUP($Q3890,매칭테이블!$F:$I,2,0)*K3890</f>
        <v/>
      </c>
      <c r="N3890" s="94">
        <f>M3890-M3890*VLOOKUP($Q3890,매칭테이블!$F:$I,3,0)</f>
        <v/>
      </c>
      <c r="O3890" s="94">
        <f>VLOOKUP($Q3890,매칭테이블!$F:$I,4,0)*K3890</f>
        <v/>
      </c>
      <c r="P3890" s="148">
        <f>M3890/1.1</f>
        <v/>
      </c>
      <c r="Q3890" s="94">
        <f>F3890&amp;E3890&amp;G3890&amp;L3890</f>
        <v/>
      </c>
    </row>
    <row r="3891">
      <c r="A3891" s="94" t="n"/>
      <c r="B3891" s="128" t="n">
        <v>43749</v>
      </c>
      <c r="C3891" s="94">
        <f>TEXT(B3891,"aaa")</f>
        <v/>
      </c>
      <c r="D3891" s="94" t="n"/>
      <c r="E3891" s="6" t="inlineStr">
        <is>
          <t>토너</t>
        </is>
      </c>
      <c r="F3891" s="5" t="inlineStr">
        <is>
          <t>W컨셉</t>
        </is>
      </c>
      <c r="G3891" s="5" t="inlineStr">
        <is>
          <t>250ml 2set</t>
        </is>
      </c>
      <c r="H3891" s="7" t="n">
        <v>190801</v>
      </c>
      <c r="I3891" s="7" t="n">
        <v>190801</v>
      </c>
      <c r="J3891" s="6" t="n"/>
      <c r="K3891" s="149" t="n">
        <v>5</v>
      </c>
      <c r="L3891" s="7" t="n">
        <v>190801</v>
      </c>
      <c r="M3891" s="94">
        <f>VLOOKUP($Q3891,매칭테이블!$F:$I,2,0)*K3891</f>
        <v/>
      </c>
      <c r="N3891" s="94">
        <f>M3891-M3891*VLOOKUP($Q3891,매칭테이블!$F:$I,3,0)</f>
        <v/>
      </c>
      <c r="O3891" s="94">
        <f>VLOOKUP($Q3891,매칭테이블!$F:$I,4,0)*K3891</f>
        <v/>
      </c>
      <c r="P3891" s="148">
        <f>M3891/1.1</f>
        <v/>
      </c>
      <c r="Q3891" s="94">
        <f>F3891&amp;E3891&amp;G3891&amp;L3891</f>
        <v/>
      </c>
    </row>
    <row r="3892">
      <c r="A3892" s="94" t="n"/>
      <c r="B3892" s="128" t="n">
        <v>43749</v>
      </c>
      <c r="C3892" s="94">
        <f>TEXT(B3892,"aaa")</f>
        <v/>
      </c>
      <c r="D3892" s="94" t="n"/>
      <c r="E3892" s="6" t="inlineStr">
        <is>
          <t>토너</t>
        </is>
      </c>
      <c r="F3892" s="5" t="inlineStr">
        <is>
          <t>카페24</t>
        </is>
      </c>
      <c r="G3892" s="5" t="inlineStr">
        <is>
          <t>250ml</t>
        </is>
      </c>
      <c r="H3892" s="7" t="n">
        <v>190801</v>
      </c>
      <c r="I3892" s="7" t="n">
        <v>190801</v>
      </c>
      <c r="J3892" s="6" t="n"/>
      <c r="K3892" s="149" t="n">
        <v>46</v>
      </c>
      <c r="L3892" s="7" t="n">
        <v>190801</v>
      </c>
      <c r="M3892" s="94">
        <f>VLOOKUP($Q3892,매칭테이블!$F:$I,2,0)*K3892</f>
        <v/>
      </c>
      <c r="N3892" s="94">
        <f>M3892-M3892*VLOOKUP($Q3892,매칭테이블!$F:$I,3,0)</f>
        <v/>
      </c>
      <c r="O3892" s="94">
        <f>VLOOKUP($Q3892,매칭테이블!$F:$I,4,0)*K3892</f>
        <v/>
      </c>
      <c r="P3892" s="148">
        <f>M3892/1.1</f>
        <v/>
      </c>
      <c r="Q3892" s="94">
        <f>F3892&amp;E3892&amp;G3892&amp;L3892</f>
        <v/>
      </c>
    </row>
    <row r="3893">
      <c r="A3893" s="94" t="n"/>
      <c r="B3893" s="128" t="n">
        <v>43749</v>
      </c>
      <c r="C3893" s="94">
        <f>TEXT(B3893,"aaa")</f>
        <v/>
      </c>
      <c r="D3893" s="94" t="n"/>
      <c r="E3893" s="6" t="inlineStr">
        <is>
          <t>토너</t>
        </is>
      </c>
      <c r="F3893" s="5" t="inlineStr">
        <is>
          <t>카페24</t>
        </is>
      </c>
      <c r="G3893" s="5" t="inlineStr">
        <is>
          <t>250ml 2set</t>
        </is>
      </c>
      <c r="H3893" s="7" t="n">
        <v>190801</v>
      </c>
      <c r="I3893" s="7" t="n">
        <v>190801</v>
      </c>
      <c r="J3893" s="6" t="n"/>
      <c r="K3893" s="149" t="n">
        <v>49</v>
      </c>
      <c r="L3893" s="7" t="n">
        <v>190801</v>
      </c>
      <c r="M3893" s="94">
        <f>VLOOKUP($Q3893,매칭테이블!$F:$I,2,0)*K3893</f>
        <v/>
      </c>
      <c r="N3893" s="94">
        <f>M3893-M3893*VLOOKUP($Q3893,매칭테이블!$F:$I,3,0)</f>
        <v/>
      </c>
      <c r="O3893" s="94">
        <f>VLOOKUP($Q3893,매칭테이블!$F:$I,4,0)*K3893</f>
        <v/>
      </c>
      <c r="P3893" s="148">
        <f>M3893/1.1</f>
        <v/>
      </c>
      <c r="Q3893" s="94">
        <f>F3893&amp;E3893&amp;G3893&amp;L3893</f>
        <v/>
      </c>
    </row>
    <row r="3894">
      <c r="A3894" s="94" t="n"/>
      <c r="B3894" s="128" t="n">
        <v>43749</v>
      </c>
      <c r="C3894" s="94">
        <f>TEXT(B3894,"aaa")</f>
        <v/>
      </c>
      <c r="D3894" s="94" t="n"/>
      <c r="E3894" s="6" t="inlineStr">
        <is>
          <t>토너</t>
        </is>
      </c>
      <c r="F3894" s="5" t="inlineStr">
        <is>
          <t>카페24</t>
        </is>
      </c>
      <c r="G3894" s="5" t="inlineStr">
        <is>
          <t>250ml 2set</t>
        </is>
      </c>
      <c r="H3894" s="7" t="n">
        <v>190801</v>
      </c>
      <c r="I3894" s="7" t="n">
        <v>190801</v>
      </c>
      <c r="J3894" s="6" t="n"/>
      <c r="K3894" s="149" t="n">
        <v>1</v>
      </c>
      <c r="L3894" s="7" t="n">
        <v>190801</v>
      </c>
      <c r="M3894" s="94">
        <f>VLOOKUP($Q3894,매칭테이블!$F:$I,2,0)*K3894</f>
        <v/>
      </c>
      <c r="N3894" s="94">
        <f>M3894-M3894*VLOOKUP($Q3894,매칭테이블!$F:$I,3,0)</f>
        <v/>
      </c>
      <c r="O3894" s="94">
        <f>VLOOKUP($Q3894,매칭테이블!$F:$I,4,0)*K3894</f>
        <v/>
      </c>
      <c r="P3894" s="148">
        <f>M3894/1.1</f>
        <v/>
      </c>
      <c r="Q3894" s="94">
        <f>F3894&amp;E3894&amp;G3894&amp;L3894</f>
        <v/>
      </c>
    </row>
    <row r="3895">
      <c r="A3895" s="94" t="n"/>
      <c r="B3895" s="128" t="n">
        <v>43750</v>
      </c>
      <c r="C3895" s="94">
        <f>TEXT(B3895,"aaa")</f>
        <v/>
      </c>
      <c r="D3895" s="94" t="n"/>
      <c r="E3895" s="6" t="inlineStr">
        <is>
          <t>토너</t>
        </is>
      </c>
      <c r="F3895" s="5" t="inlineStr">
        <is>
          <t>W컨셉</t>
        </is>
      </c>
      <c r="G3895" s="5" t="inlineStr">
        <is>
          <t>250ml 2set</t>
        </is>
      </c>
      <c r="H3895" s="7" t="n">
        <v>190801</v>
      </c>
      <c r="I3895" s="7" t="n">
        <v>190801</v>
      </c>
      <c r="J3895" s="6" t="n"/>
      <c r="K3895" s="149" t="n">
        <v>7</v>
      </c>
      <c r="L3895" s="7" t="n">
        <v>190801</v>
      </c>
      <c r="M3895" s="94">
        <f>VLOOKUP($Q3895,매칭테이블!$F:$I,2,0)*K3895</f>
        <v/>
      </c>
      <c r="N3895" s="94">
        <f>M3895-M3895*VLOOKUP($Q3895,매칭테이블!$F:$I,3,0)</f>
        <v/>
      </c>
      <c r="O3895" s="94">
        <f>VLOOKUP($Q3895,매칭테이블!$F:$I,4,0)*K3895</f>
        <v/>
      </c>
      <c r="P3895" s="148">
        <f>M3895/1.1</f>
        <v/>
      </c>
      <c r="Q3895" s="94">
        <f>F3895&amp;E3895&amp;G3895&amp;L3895</f>
        <v/>
      </c>
    </row>
    <row r="3896">
      <c r="A3896" s="94" t="n"/>
      <c r="B3896" s="128" t="n">
        <v>43750</v>
      </c>
      <c r="C3896" s="94">
        <f>TEXT(B3896,"aaa")</f>
        <v/>
      </c>
      <c r="D3896" s="94" t="n"/>
      <c r="E3896" s="6" t="inlineStr">
        <is>
          <t>토너</t>
        </is>
      </c>
      <c r="F3896" s="5" t="inlineStr">
        <is>
          <t>카페24</t>
        </is>
      </c>
      <c r="G3896" s="5" t="inlineStr">
        <is>
          <t>250ml</t>
        </is>
      </c>
      <c r="H3896" s="7" t="n">
        <v>190801</v>
      </c>
      <c r="I3896" s="7" t="n">
        <v>190801</v>
      </c>
      <c r="J3896" s="6" t="n"/>
      <c r="K3896" s="149" t="n">
        <v>45</v>
      </c>
      <c r="L3896" s="7" t="n">
        <v>190801</v>
      </c>
      <c r="M3896" s="94">
        <f>VLOOKUP($Q3896,매칭테이블!$F:$I,2,0)*K3896</f>
        <v/>
      </c>
      <c r="N3896" s="94">
        <f>M3896-M3896*VLOOKUP($Q3896,매칭테이블!$F:$I,3,0)</f>
        <v/>
      </c>
      <c r="O3896" s="94">
        <f>VLOOKUP($Q3896,매칭테이블!$F:$I,4,0)*K3896</f>
        <v/>
      </c>
      <c r="P3896" s="148">
        <f>M3896/1.1</f>
        <v/>
      </c>
      <c r="Q3896" s="94">
        <f>F3896&amp;E3896&amp;G3896&amp;L3896</f>
        <v/>
      </c>
    </row>
    <row r="3897">
      <c r="A3897" s="94" t="n"/>
      <c r="B3897" s="128" t="n">
        <v>43750</v>
      </c>
      <c r="C3897" s="94">
        <f>TEXT(B3897,"aaa")</f>
        <v/>
      </c>
      <c r="D3897" s="94" t="n"/>
      <c r="E3897" s="6" t="inlineStr">
        <is>
          <t>토너</t>
        </is>
      </c>
      <c r="F3897" s="5" t="inlineStr">
        <is>
          <t>카페24</t>
        </is>
      </c>
      <c r="G3897" s="5" t="inlineStr">
        <is>
          <t>250ml 2set</t>
        </is>
      </c>
      <c r="H3897" s="7" t="n">
        <v>190801</v>
      </c>
      <c r="I3897" s="7" t="n">
        <v>190801</v>
      </c>
      <c r="J3897" s="6" t="n"/>
      <c r="K3897" s="149" t="n">
        <v>39</v>
      </c>
      <c r="L3897" s="7" t="n">
        <v>190801</v>
      </c>
      <c r="M3897" s="94">
        <f>VLOOKUP($Q3897,매칭테이블!$F:$I,2,0)*K3897</f>
        <v/>
      </c>
      <c r="N3897" s="94">
        <f>M3897-M3897*VLOOKUP($Q3897,매칭테이블!$F:$I,3,0)</f>
        <v/>
      </c>
      <c r="O3897" s="94">
        <f>VLOOKUP($Q3897,매칭테이블!$F:$I,4,0)*K3897</f>
        <v/>
      </c>
      <c r="P3897" s="148">
        <f>M3897/1.1</f>
        <v/>
      </c>
      <c r="Q3897" s="94">
        <f>F3897&amp;E3897&amp;G3897&amp;L3897</f>
        <v/>
      </c>
    </row>
    <row r="3898">
      <c r="A3898" s="94" t="n"/>
      <c r="B3898" s="128" t="n">
        <v>43751</v>
      </c>
      <c r="C3898" s="94">
        <f>TEXT(B3898,"aaa")</f>
        <v/>
      </c>
      <c r="D3898" s="94" t="n"/>
      <c r="E3898" s="6" t="inlineStr">
        <is>
          <t>토너</t>
        </is>
      </c>
      <c r="F3898" s="5" t="inlineStr">
        <is>
          <t>W컨셉</t>
        </is>
      </c>
      <c r="G3898" s="5" t="inlineStr">
        <is>
          <t>250ml</t>
        </is>
      </c>
      <c r="H3898" s="7" t="n">
        <v>190801</v>
      </c>
      <c r="I3898" s="7" t="n">
        <v>190801</v>
      </c>
      <c r="J3898" s="6" t="n"/>
      <c r="K3898" s="149" t="n">
        <v>1</v>
      </c>
      <c r="L3898" s="7" t="n">
        <v>190801</v>
      </c>
      <c r="M3898" s="94">
        <f>VLOOKUP($Q3898,매칭테이블!$F:$I,2,0)*K3898</f>
        <v/>
      </c>
      <c r="N3898" s="94">
        <f>M3898-M3898*VLOOKUP($Q3898,매칭테이블!$F:$I,3,0)</f>
        <v/>
      </c>
      <c r="O3898" s="94">
        <f>VLOOKUP($Q3898,매칭테이블!$F:$I,4,0)*K3898</f>
        <v/>
      </c>
      <c r="P3898" s="148">
        <f>M3898/1.1</f>
        <v/>
      </c>
      <c r="Q3898" s="94">
        <f>F3898&amp;E3898&amp;G3898&amp;L3898</f>
        <v/>
      </c>
    </row>
    <row r="3899">
      <c r="A3899" s="94" t="n"/>
      <c r="B3899" s="128" t="n">
        <v>43751</v>
      </c>
      <c r="C3899" s="94">
        <f>TEXT(B3899,"aaa")</f>
        <v/>
      </c>
      <c r="D3899" s="94" t="n"/>
      <c r="E3899" s="6" t="inlineStr">
        <is>
          <t>토너</t>
        </is>
      </c>
      <c r="F3899" s="5" t="inlineStr">
        <is>
          <t>W컨셉</t>
        </is>
      </c>
      <c r="G3899" s="5" t="inlineStr">
        <is>
          <t>250ml 2set</t>
        </is>
      </c>
      <c r="H3899" s="7" t="n">
        <v>190801</v>
      </c>
      <c r="I3899" s="7" t="n">
        <v>190801</v>
      </c>
      <c r="J3899" s="6" t="n"/>
      <c r="K3899" s="149" t="n">
        <v>4</v>
      </c>
      <c r="L3899" s="7" t="n">
        <v>190801</v>
      </c>
      <c r="M3899" s="94">
        <f>VLOOKUP($Q3899,매칭테이블!$F:$I,2,0)*K3899</f>
        <v/>
      </c>
      <c r="N3899" s="94">
        <f>M3899-M3899*VLOOKUP($Q3899,매칭테이블!$F:$I,3,0)</f>
        <v/>
      </c>
      <c r="O3899" s="94">
        <f>VLOOKUP($Q3899,매칭테이블!$F:$I,4,0)*K3899</f>
        <v/>
      </c>
      <c r="P3899" s="148">
        <f>M3899/1.1</f>
        <v/>
      </c>
      <c r="Q3899" s="94">
        <f>F3899&amp;E3899&amp;G3899&amp;L3899</f>
        <v/>
      </c>
    </row>
    <row r="3900">
      <c r="A3900" s="94" t="n"/>
      <c r="B3900" s="128" t="n">
        <v>43751</v>
      </c>
      <c r="C3900" s="94">
        <f>TEXT(B3900,"aaa")</f>
        <v/>
      </c>
      <c r="D3900" s="94" t="n"/>
      <c r="E3900" s="6" t="inlineStr">
        <is>
          <t>토너</t>
        </is>
      </c>
      <c r="F3900" s="5" t="inlineStr">
        <is>
          <t>카페24</t>
        </is>
      </c>
      <c r="G3900" s="5" t="inlineStr">
        <is>
          <t>250ml</t>
        </is>
      </c>
      <c r="H3900" s="7" t="n">
        <v>190801</v>
      </c>
      <c r="I3900" s="7" t="n">
        <v>190801</v>
      </c>
      <c r="J3900" s="6" t="n"/>
      <c r="K3900" s="149" t="n">
        <v>48</v>
      </c>
      <c r="L3900" s="7" t="n">
        <v>190801</v>
      </c>
      <c r="M3900" s="94">
        <f>VLOOKUP($Q3900,매칭테이블!$F:$I,2,0)*K3900</f>
        <v/>
      </c>
      <c r="N3900" s="94">
        <f>M3900-M3900*VLOOKUP($Q3900,매칭테이블!$F:$I,3,0)</f>
        <v/>
      </c>
      <c r="O3900" s="94">
        <f>VLOOKUP($Q3900,매칭테이블!$F:$I,4,0)*K3900</f>
        <v/>
      </c>
      <c r="P3900" s="148">
        <f>M3900/1.1</f>
        <v/>
      </c>
      <c r="Q3900" s="94">
        <f>F3900&amp;E3900&amp;G3900&amp;L3900</f>
        <v/>
      </c>
    </row>
    <row r="3901">
      <c r="A3901" s="94" t="n"/>
      <c r="B3901" s="128" t="n">
        <v>43751</v>
      </c>
      <c r="C3901" s="94">
        <f>TEXT(B3901,"aaa")</f>
        <v/>
      </c>
      <c r="D3901" s="94" t="n"/>
      <c r="E3901" s="6" t="inlineStr">
        <is>
          <t>토너</t>
        </is>
      </c>
      <c r="F3901" s="5" t="inlineStr">
        <is>
          <t>카페24</t>
        </is>
      </c>
      <c r="G3901" s="5" t="inlineStr">
        <is>
          <t>250ml 2set</t>
        </is>
      </c>
      <c r="H3901" s="7" t="n">
        <v>190801</v>
      </c>
      <c r="I3901" s="7" t="n">
        <v>190801</v>
      </c>
      <c r="J3901" s="6" t="n"/>
      <c r="K3901" s="149" t="n">
        <v>66</v>
      </c>
      <c r="L3901" s="7" t="n">
        <v>190801</v>
      </c>
      <c r="M3901" s="94">
        <f>VLOOKUP($Q3901,매칭테이블!$F:$I,2,0)*K3901</f>
        <v/>
      </c>
      <c r="N3901" s="94">
        <f>M3901-M3901*VLOOKUP($Q3901,매칭테이블!$F:$I,3,0)</f>
        <v/>
      </c>
      <c r="O3901" s="94">
        <f>VLOOKUP($Q3901,매칭테이블!$F:$I,4,0)*K3901</f>
        <v/>
      </c>
      <c r="P3901" s="148">
        <f>M3901/1.1</f>
        <v/>
      </c>
      <c r="Q3901" s="94">
        <f>F3901&amp;E3901&amp;G3901&amp;L3901</f>
        <v/>
      </c>
    </row>
    <row r="3902">
      <c r="A3902" s="94" t="n"/>
      <c r="B3902" s="128" t="n">
        <v>43751</v>
      </c>
      <c r="C3902" s="94">
        <f>TEXT(B3902,"aaa")</f>
        <v/>
      </c>
      <c r="D3902" s="94" t="n"/>
      <c r="E3902" s="6" t="inlineStr">
        <is>
          <t>토너</t>
        </is>
      </c>
      <c r="F3902" s="5" t="inlineStr">
        <is>
          <t>카페24</t>
        </is>
      </c>
      <c r="G3902" s="5" t="inlineStr">
        <is>
          <t>250ml 2set</t>
        </is>
      </c>
      <c r="H3902" s="7" t="n">
        <v>190801</v>
      </c>
      <c r="I3902" s="7" t="n">
        <v>190801</v>
      </c>
      <c r="J3902" s="6" t="n"/>
      <c r="K3902" s="149" t="n">
        <v>2</v>
      </c>
      <c r="L3902" s="7" t="n">
        <v>190801</v>
      </c>
      <c r="M3902" s="94">
        <f>VLOOKUP($Q3902,매칭테이블!$F:$I,2,0)*K3902</f>
        <v/>
      </c>
      <c r="N3902" s="94">
        <f>M3902-M3902*VLOOKUP($Q3902,매칭테이블!$F:$I,3,0)</f>
        <v/>
      </c>
      <c r="O3902" s="94">
        <f>VLOOKUP($Q3902,매칭테이블!$F:$I,4,0)*K3902</f>
        <v/>
      </c>
      <c r="P3902" s="148">
        <f>M3902/1.1</f>
        <v/>
      </c>
      <c r="Q3902" s="94">
        <f>F3902&amp;E3902&amp;G3902&amp;L3902</f>
        <v/>
      </c>
    </row>
    <row r="3903">
      <c r="A3903" s="94" t="n"/>
      <c r="B3903" s="128" t="n">
        <v>43752</v>
      </c>
      <c r="C3903" s="94">
        <f>TEXT(B3903,"aaa")</f>
        <v/>
      </c>
      <c r="D3903" s="94" t="n"/>
      <c r="E3903" s="6" t="inlineStr">
        <is>
          <t>토너</t>
        </is>
      </c>
      <c r="F3903" s="5" t="inlineStr">
        <is>
          <t>W컨셉</t>
        </is>
      </c>
      <c r="G3903" s="5" t="inlineStr">
        <is>
          <t>250ml</t>
        </is>
      </c>
      <c r="H3903" s="7" t="n">
        <v>190801</v>
      </c>
      <c r="I3903" s="7" t="n">
        <v>190801</v>
      </c>
      <c r="J3903" s="6" t="n"/>
      <c r="K3903" s="149" t="n">
        <v>6</v>
      </c>
      <c r="L3903" s="7" t="n">
        <v>190801</v>
      </c>
      <c r="M3903" s="94">
        <f>VLOOKUP($Q3903,매칭테이블!$F:$I,2,0)*K3903</f>
        <v/>
      </c>
      <c r="N3903" s="94">
        <f>M3903-M3903*VLOOKUP($Q3903,매칭테이블!$F:$I,3,0)</f>
        <v/>
      </c>
      <c r="O3903" s="94">
        <f>VLOOKUP($Q3903,매칭테이블!$F:$I,4,0)*K3903</f>
        <v/>
      </c>
      <c r="P3903" s="148">
        <f>M3903/1.1</f>
        <v/>
      </c>
      <c r="Q3903" s="94">
        <f>F3903&amp;E3903&amp;G3903&amp;L3903</f>
        <v/>
      </c>
    </row>
    <row r="3904">
      <c r="A3904" s="94" t="n"/>
      <c r="B3904" s="128" t="n">
        <v>43752</v>
      </c>
      <c r="C3904" s="94">
        <f>TEXT(B3904,"aaa")</f>
        <v/>
      </c>
      <c r="D3904" s="94" t="n"/>
      <c r="E3904" s="6" t="inlineStr">
        <is>
          <t>토너</t>
        </is>
      </c>
      <c r="F3904" s="5" t="inlineStr">
        <is>
          <t>W컨셉</t>
        </is>
      </c>
      <c r="G3904" s="5" t="inlineStr">
        <is>
          <t>250ml 2set</t>
        </is>
      </c>
      <c r="H3904" s="7" t="n">
        <v>190801</v>
      </c>
      <c r="I3904" s="7" t="n">
        <v>190801</v>
      </c>
      <c r="J3904" s="6" t="n"/>
      <c r="K3904" s="149" t="n">
        <v>6</v>
      </c>
      <c r="L3904" s="7" t="n">
        <v>190801</v>
      </c>
      <c r="M3904" s="94">
        <f>VLOOKUP($Q3904,매칭테이블!$F:$I,2,0)*K3904</f>
        <v/>
      </c>
      <c r="N3904" s="94">
        <f>M3904-M3904*VLOOKUP($Q3904,매칭테이블!$F:$I,3,0)</f>
        <v/>
      </c>
      <c r="O3904" s="94">
        <f>VLOOKUP($Q3904,매칭테이블!$F:$I,4,0)*K3904</f>
        <v/>
      </c>
      <c r="P3904" s="148">
        <f>M3904/1.1</f>
        <v/>
      </c>
      <c r="Q3904" s="94">
        <f>F3904&amp;E3904&amp;G3904&amp;L3904</f>
        <v/>
      </c>
    </row>
    <row r="3905">
      <c r="A3905" s="94" t="n"/>
      <c r="B3905" s="128" t="n">
        <v>43752</v>
      </c>
      <c r="C3905" s="94">
        <f>TEXT(B3905,"aaa")</f>
        <v/>
      </c>
      <c r="D3905" s="94" t="n"/>
      <c r="E3905" s="6" t="inlineStr">
        <is>
          <t>토너</t>
        </is>
      </c>
      <c r="F3905" s="5" t="inlineStr">
        <is>
          <t>카페24</t>
        </is>
      </c>
      <c r="G3905" s="5" t="inlineStr">
        <is>
          <t>250ml</t>
        </is>
      </c>
      <c r="H3905" s="7" t="n">
        <v>190801</v>
      </c>
      <c r="I3905" s="7" t="n">
        <v>190801</v>
      </c>
      <c r="J3905" s="6" t="n"/>
      <c r="K3905" s="149" t="n">
        <v>60</v>
      </c>
      <c r="L3905" s="7" t="n">
        <v>190801</v>
      </c>
      <c r="M3905" s="94">
        <f>VLOOKUP($Q3905,매칭테이블!$F:$I,2,0)*K3905</f>
        <v/>
      </c>
      <c r="N3905" s="94">
        <f>M3905-M3905*VLOOKUP($Q3905,매칭테이블!$F:$I,3,0)</f>
        <v/>
      </c>
      <c r="O3905" s="94">
        <f>VLOOKUP($Q3905,매칭테이블!$F:$I,4,0)*K3905</f>
        <v/>
      </c>
      <c r="P3905" s="148">
        <f>M3905/1.1</f>
        <v/>
      </c>
      <c r="Q3905" s="94">
        <f>F3905&amp;E3905&amp;G3905&amp;L3905</f>
        <v/>
      </c>
    </row>
    <row r="3906">
      <c r="A3906" s="94" t="n"/>
      <c r="B3906" s="128" t="n">
        <v>43752</v>
      </c>
      <c r="C3906" s="94">
        <f>TEXT(B3906,"aaa")</f>
        <v/>
      </c>
      <c r="D3906" s="94" t="n"/>
      <c r="E3906" s="6" t="inlineStr">
        <is>
          <t>토너</t>
        </is>
      </c>
      <c r="F3906" s="5" t="inlineStr">
        <is>
          <t>카페24</t>
        </is>
      </c>
      <c r="G3906" s="5" t="inlineStr">
        <is>
          <t>250ml 2set</t>
        </is>
      </c>
      <c r="H3906" s="7" t="n">
        <v>190801</v>
      </c>
      <c r="I3906" s="7" t="n">
        <v>190801</v>
      </c>
      <c r="J3906" s="6" t="n"/>
      <c r="K3906" s="149" t="n">
        <v>69</v>
      </c>
      <c r="L3906" s="7" t="n">
        <v>190801</v>
      </c>
      <c r="M3906" s="94">
        <f>VLOOKUP($Q3906,매칭테이블!$F:$I,2,0)*K3906</f>
        <v/>
      </c>
      <c r="N3906" s="94">
        <f>M3906-M3906*VLOOKUP($Q3906,매칭테이블!$F:$I,3,0)</f>
        <v/>
      </c>
      <c r="O3906" s="94">
        <f>VLOOKUP($Q3906,매칭테이블!$F:$I,4,0)*K3906</f>
        <v/>
      </c>
      <c r="P3906" s="148">
        <f>M3906/1.1</f>
        <v/>
      </c>
      <c r="Q3906" s="94">
        <f>F3906&amp;E3906&amp;G3906&amp;L3906</f>
        <v/>
      </c>
    </row>
    <row r="3907">
      <c r="A3907" s="94" t="n"/>
      <c r="B3907" s="128" t="n">
        <v>43752</v>
      </c>
      <c r="C3907" s="94">
        <f>TEXT(B3907,"aaa")</f>
        <v/>
      </c>
      <c r="D3907" s="94" t="n"/>
      <c r="E3907" s="6" t="inlineStr">
        <is>
          <t>토너</t>
        </is>
      </c>
      <c r="F3907" s="5" t="inlineStr">
        <is>
          <t>카페24</t>
        </is>
      </c>
      <c r="G3907" s="5" t="inlineStr">
        <is>
          <t>250ml 2set</t>
        </is>
      </c>
      <c r="H3907" s="7" t="n">
        <v>190801</v>
      </c>
      <c r="I3907" s="7" t="n">
        <v>190801</v>
      </c>
      <c r="J3907" s="6" t="n"/>
      <c r="K3907" s="149" t="n">
        <v>2</v>
      </c>
      <c r="L3907" s="7" t="n">
        <v>190801</v>
      </c>
      <c r="M3907" s="94">
        <f>VLOOKUP($Q3907,매칭테이블!$F:$I,2,0)*K3907</f>
        <v/>
      </c>
      <c r="N3907" s="94">
        <f>M3907-M3907*VLOOKUP($Q3907,매칭테이블!$F:$I,3,0)</f>
        <v/>
      </c>
      <c r="O3907" s="94">
        <f>VLOOKUP($Q3907,매칭테이블!$F:$I,4,0)*K3907</f>
        <v/>
      </c>
      <c r="P3907" s="148">
        <f>M3907/1.1</f>
        <v/>
      </c>
      <c r="Q3907" s="94">
        <f>F3907&amp;E3907&amp;G3907&amp;L3907</f>
        <v/>
      </c>
    </row>
    <row r="3908">
      <c r="A3908" s="94" t="n"/>
      <c r="B3908" s="128" t="n">
        <v>43753</v>
      </c>
      <c r="C3908" s="94">
        <f>TEXT(B3908,"aaa")</f>
        <v/>
      </c>
      <c r="D3908" s="94" t="n"/>
      <c r="E3908" s="6" t="inlineStr">
        <is>
          <t>토너</t>
        </is>
      </c>
      <c r="F3908" s="5" t="inlineStr">
        <is>
          <t>W컨셉</t>
        </is>
      </c>
      <c r="G3908" s="5" t="inlineStr">
        <is>
          <t>250ml</t>
        </is>
      </c>
      <c r="H3908" s="7" t="n">
        <v>190801</v>
      </c>
      <c r="I3908" s="7" t="n">
        <v>190801</v>
      </c>
      <c r="J3908" s="94" t="n"/>
      <c r="K3908" s="149" t="n">
        <v>5</v>
      </c>
      <c r="L3908" s="7" t="n">
        <v>190801</v>
      </c>
      <c r="M3908" s="94">
        <f>VLOOKUP($Q3908,매칭테이블!$F:$I,2,0)*K3908</f>
        <v/>
      </c>
      <c r="N3908" s="94">
        <f>M3908-M3908*VLOOKUP($Q3908,매칭테이블!$F:$I,3,0)</f>
        <v/>
      </c>
      <c r="O3908" s="94">
        <f>VLOOKUP($Q3908,매칭테이블!$F:$I,4,0)*K3908</f>
        <v/>
      </c>
      <c r="P3908" s="148">
        <f>M3908/1.1</f>
        <v/>
      </c>
      <c r="Q3908" s="94">
        <f>F3908&amp;E3908&amp;G3908&amp;L3908</f>
        <v/>
      </c>
    </row>
    <row r="3909">
      <c r="A3909" s="94" t="n"/>
      <c r="B3909" s="128" t="n">
        <v>43753</v>
      </c>
      <c r="C3909" s="94">
        <f>TEXT(B3909,"aaa")</f>
        <v/>
      </c>
      <c r="D3909" s="94" t="n"/>
      <c r="E3909" s="6" t="inlineStr">
        <is>
          <t>토너</t>
        </is>
      </c>
      <c r="F3909" s="5" t="inlineStr">
        <is>
          <t>W컨셉</t>
        </is>
      </c>
      <c r="G3909" s="5" t="inlineStr">
        <is>
          <t>250ml 2set</t>
        </is>
      </c>
      <c r="H3909" s="7" t="n">
        <v>190801</v>
      </c>
      <c r="I3909" s="7" t="n">
        <v>190801</v>
      </c>
      <c r="J3909" s="94" t="n"/>
      <c r="K3909" s="149" t="n">
        <v>5</v>
      </c>
      <c r="L3909" s="7" t="n">
        <v>190801</v>
      </c>
      <c r="M3909" s="94">
        <f>VLOOKUP($Q3909,매칭테이블!$F:$I,2,0)*K3909</f>
        <v/>
      </c>
      <c r="N3909" s="94">
        <f>M3909-M3909*VLOOKUP($Q3909,매칭테이블!$F:$I,3,0)</f>
        <v/>
      </c>
      <c r="O3909" s="94">
        <f>VLOOKUP($Q3909,매칭테이블!$F:$I,4,0)*K3909</f>
        <v/>
      </c>
      <c r="P3909" s="148">
        <f>M3909/1.1</f>
        <v/>
      </c>
      <c r="Q3909" s="94">
        <f>F3909&amp;E3909&amp;G3909&amp;L3909</f>
        <v/>
      </c>
    </row>
    <row r="3910">
      <c r="A3910" s="94" t="n"/>
      <c r="B3910" s="128" t="n">
        <v>43753</v>
      </c>
      <c r="C3910" s="94">
        <f>TEXT(B3910,"aaa")</f>
        <v/>
      </c>
      <c r="D3910" s="94" t="n"/>
      <c r="E3910" s="6" t="inlineStr">
        <is>
          <t>토너</t>
        </is>
      </c>
      <c r="F3910" s="5" t="inlineStr">
        <is>
          <t>카페24</t>
        </is>
      </c>
      <c r="G3910" s="5" t="inlineStr">
        <is>
          <t>250ml</t>
        </is>
      </c>
      <c r="H3910" s="7" t="n">
        <v>190801</v>
      </c>
      <c r="I3910" s="7" t="n">
        <v>190801</v>
      </c>
      <c r="J3910" s="94" t="n"/>
      <c r="K3910" s="149" t="n">
        <v>56</v>
      </c>
      <c r="L3910" s="7" t="n">
        <v>190801</v>
      </c>
      <c r="M3910" s="94">
        <f>VLOOKUP($Q3910,매칭테이블!$F:$I,2,0)*K3910</f>
        <v/>
      </c>
      <c r="N3910" s="94">
        <f>M3910-M3910*VLOOKUP($Q3910,매칭테이블!$F:$I,3,0)</f>
        <v/>
      </c>
      <c r="O3910" s="94">
        <f>VLOOKUP($Q3910,매칭테이블!$F:$I,4,0)*K3910</f>
        <v/>
      </c>
      <c r="P3910" s="148">
        <f>M3910/1.1</f>
        <v/>
      </c>
      <c r="Q3910" s="94">
        <f>F3910&amp;E3910&amp;G3910&amp;L3910</f>
        <v/>
      </c>
    </row>
    <row r="3911">
      <c r="A3911" s="94" t="n"/>
      <c r="B3911" s="128" t="n">
        <v>43753</v>
      </c>
      <c r="C3911" s="94">
        <f>TEXT(B3911,"aaa")</f>
        <v/>
      </c>
      <c r="D3911" s="94" t="n"/>
      <c r="E3911" s="6" t="inlineStr">
        <is>
          <t>토너</t>
        </is>
      </c>
      <c r="F3911" s="5" t="inlineStr">
        <is>
          <t>카페24</t>
        </is>
      </c>
      <c r="G3911" s="5" t="inlineStr">
        <is>
          <t>250ml 2set</t>
        </is>
      </c>
      <c r="H3911" s="7" t="n">
        <v>190801</v>
      </c>
      <c r="I3911" s="7" t="n">
        <v>190801</v>
      </c>
      <c r="J3911" s="94" t="n"/>
      <c r="K3911" s="149" t="n">
        <v>36</v>
      </c>
      <c r="L3911" s="7" t="n">
        <v>190801</v>
      </c>
      <c r="M3911" s="94">
        <f>VLOOKUP($Q3911,매칭테이블!$F:$I,2,0)*K3911</f>
        <v/>
      </c>
      <c r="N3911" s="94">
        <f>M3911-M3911*VLOOKUP($Q3911,매칭테이블!$F:$I,3,0)</f>
        <v/>
      </c>
      <c r="O3911" s="94">
        <f>VLOOKUP($Q3911,매칭테이블!$F:$I,4,0)*K3911</f>
        <v/>
      </c>
      <c r="P3911" s="148">
        <f>M3911/1.1</f>
        <v/>
      </c>
      <c r="Q3911" s="94">
        <f>F3911&amp;E3911&amp;G3911&amp;L3911</f>
        <v/>
      </c>
    </row>
    <row r="3912">
      <c r="A3912" s="94" t="n"/>
      <c r="B3912" s="128" t="n">
        <v>43753</v>
      </c>
      <c r="C3912" s="94">
        <f>TEXT(B3912,"aaa")</f>
        <v/>
      </c>
      <c r="D3912" s="94" t="n"/>
      <c r="E3912" s="6" t="inlineStr">
        <is>
          <t>토너</t>
        </is>
      </c>
      <c r="F3912" s="5" t="inlineStr">
        <is>
          <t>카페24</t>
        </is>
      </c>
      <c r="G3912" s="5" t="inlineStr">
        <is>
          <t>250ml 2set</t>
        </is>
      </c>
      <c r="H3912" s="7" t="n">
        <v>190801</v>
      </c>
      <c r="I3912" s="7" t="n">
        <v>190801</v>
      </c>
      <c r="J3912" s="94" t="n"/>
      <c r="K3912" s="149" t="n">
        <v>6</v>
      </c>
      <c r="L3912" s="7" t="n">
        <v>190801</v>
      </c>
      <c r="M3912" s="94">
        <f>VLOOKUP($Q3912,매칭테이블!$F:$I,2,0)*K3912</f>
        <v/>
      </c>
      <c r="N3912" s="94">
        <f>M3912-M3912*VLOOKUP($Q3912,매칭테이블!$F:$I,3,0)</f>
        <v/>
      </c>
      <c r="O3912" s="94">
        <f>VLOOKUP($Q3912,매칭테이블!$F:$I,4,0)*K3912</f>
        <v/>
      </c>
      <c r="P3912" s="148">
        <f>M3912/1.1</f>
        <v/>
      </c>
      <c r="Q3912" s="94">
        <f>F3912&amp;E3912&amp;G3912&amp;L3912</f>
        <v/>
      </c>
    </row>
    <row r="3913">
      <c r="A3913" s="94" t="n"/>
      <c r="B3913" s="128" t="n">
        <v>43754</v>
      </c>
      <c r="C3913" s="94">
        <f>TEXT(B3913,"aaa")</f>
        <v/>
      </c>
      <c r="D3913" s="94" t="n"/>
      <c r="E3913" s="6" t="inlineStr">
        <is>
          <t>토너</t>
        </is>
      </c>
      <c r="F3913" s="5" t="inlineStr">
        <is>
          <t>W컨셉</t>
        </is>
      </c>
      <c r="G3913" s="5" t="inlineStr">
        <is>
          <t>250ml</t>
        </is>
      </c>
      <c r="H3913" s="7" t="n">
        <v>190801</v>
      </c>
      <c r="I3913" s="7" t="n">
        <v>190801</v>
      </c>
      <c r="J3913" s="94" t="n"/>
      <c r="K3913" s="149" t="n">
        <v>3</v>
      </c>
      <c r="L3913" s="7" t="n">
        <v>190801</v>
      </c>
      <c r="M3913" s="94">
        <f>VLOOKUP($Q3913,매칭테이블!$F:$I,2,0)*K3913</f>
        <v/>
      </c>
      <c r="N3913" s="94">
        <f>M3913-M3913*VLOOKUP($Q3913,매칭테이블!$F:$I,3,0)</f>
        <v/>
      </c>
      <c r="O3913" s="94">
        <f>VLOOKUP($Q3913,매칭테이블!$F:$I,4,0)*K3913</f>
        <v/>
      </c>
      <c r="P3913" s="148">
        <f>M3913/1.1</f>
        <v/>
      </c>
      <c r="Q3913" s="94">
        <f>F3913&amp;E3913&amp;G3913&amp;L3913</f>
        <v/>
      </c>
    </row>
    <row r="3914">
      <c r="A3914" s="94" t="n"/>
      <c r="B3914" s="128" t="n">
        <v>43754</v>
      </c>
      <c r="C3914" s="94">
        <f>TEXT(B3914,"aaa")</f>
        <v/>
      </c>
      <c r="D3914" s="94" t="n"/>
      <c r="E3914" s="6" t="inlineStr">
        <is>
          <t>토너</t>
        </is>
      </c>
      <c r="F3914" s="5" t="inlineStr">
        <is>
          <t>W컨셉</t>
        </is>
      </c>
      <c r="G3914" s="5" t="inlineStr">
        <is>
          <t>250ml 2set</t>
        </is>
      </c>
      <c r="H3914" s="7" t="n">
        <v>190801</v>
      </c>
      <c r="I3914" s="7" t="n">
        <v>190801</v>
      </c>
      <c r="J3914" s="94" t="n"/>
      <c r="K3914" s="149" t="n">
        <v>2</v>
      </c>
      <c r="L3914" s="7" t="n">
        <v>190801</v>
      </c>
      <c r="M3914" s="94">
        <f>VLOOKUP($Q3914,매칭테이블!$F:$I,2,0)*K3914</f>
        <v/>
      </c>
      <c r="N3914" s="94">
        <f>M3914-M3914*VLOOKUP($Q3914,매칭테이블!$F:$I,3,0)</f>
        <v/>
      </c>
      <c r="O3914" s="94">
        <f>VLOOKUP($Q3914,매칭테이블!$F:$I,4,0)*K3914</f>
        <v/>
      </c>
      <c r="P3914" s="148">
        <f>M3914/1.1</f>
        <v/>
      </c>
      <c r="Q3914" s="94">
        <f>F3914&amp;E3914&amp;G3914&amp;L3914</f>
        <v/>
      </c>
    </row>
    <row r="3915">
      <c r="A3915" s="94" t="n"/>
      <c r="B3915" s="128" t="n">
        <v>43754</v>
      </c>
      <c r="C3915" s="94">
        <f>TEXT(B3915,"aaa")</f>
        <v/>
      </c>
      <c r="D3915" s="94" t="n"/>
      <c r="E3915" s="6" t="inlineStr">
        <is>
          <t>토너</t>
        </is>
      </c>
      <c r="F3915" s="5" t="inlineStr">
        <is>
          <t>카페24</t>
        </is>
      </c>
      <c r="G3915" s="5" t="inlineStr">
        <is>
          <t>250ml</t>
        </is>
      </c>
      <c r="H3915" s="7" t="n">
        <v>190801</v>
      </c>
      <c r="I3915" s="7" t="n">
        <v>190801</v>
      </c>
      <c r="J3915" s="94" t="n"/>
      <c r="K3915" s="149" t="n">
        <v>63</v>
      </c>
      <c r="L3915" s="7" t="n">
        <v>190801</v>
      </c>
      <c r="M3915" s="94">
        <f>VLOOKUP($Q3915,매칭테이블!$F:$I,2,0)*K3915</f>
        <v/>
      </c>
      <c r="N3915" s="94">
        <f>M3915-M3915*VLOOKUP($Q3915,매칭테이블!$F:$I,3,0)</f>
        <v/>
      </c>
      <c r="O3915" s="94">
        <f>VLOOKUP($Q3915,매칭테이블!$F:$I,4,0)*K3915</f>
        <v/>
      </c>
      <c r="P3915" s="148">
        <f>M3915/1.1</f>
        <v/>
      </c>
      <c r="Q3915" s="94">
        <f>F3915&amp;E3915&amp;G3915&amp;L3915</f>
        <v/>
      </c>
    </row>
    <row r="3916">
      <c r="A3916" s="94" t="n"/>
      <c r="B3916" s="128" t="n">
        <v>43754</v>
      </c>
      <c r="C3916" s="94">
        <f>TEXT(B3916,"aaa")</f>
        <v/>
      </c>
      <c r="D3916" s="94" t="n"/>
      <c r="E3916" s="6" t="inlineStr">
        <is>
          <t>토너</t>
        </is>
      </c>
      <c r="F3916" s="5" t="inlineStr">
        <is>
          <t>카페24</t>
        </is>
      </c>
      <c r="G3916" s="5" t="inlineStr">
        <is>
          <t>250ml 2set</t>
        </is>
      </c>
      <c r="H3916" s="7" t="n">
        <v>190801</v>
      </c>
      <c r="I3916" s="7" t="n">
        <v>190801</v>
      </c>
      <c r="J3916" s="94" t="n"/>
      <c r="K3916" s="149" t="n">
        <v>43</v>
      </c>
      <c r="L3916" s="7" t="n">
        <v>190801</v>
      </c>
      <c r="M3916" s="94">
        <f>VLOOKUP($Q3916,매칭테이블!$F:$I,2,0)*K3916</f>
        <v/>
      </c>
      <c r="N3916" s="94">
        <f>M3916-M3916*VLOOKUP($Q3916,매칭테이블!$F:$I,3,0)</f>
        <v/>
      </c>
      <c r="O3916" s="94">
        <f>VLOOKUP($Q3916,매칭테이블!$F:$I,4,0)*K3916</f>
        <v/>
      </c>
      <c r="P3916" s="148">
        <f>M3916/1.1</f>
        <v/>
      </c>
      <c r="Q3916" s="94">
        <f>F3916&amp;E3916&amp;G3916&amp;L3916</f>
        <v/>
      </c>
    </row>
    <row r="3917">
      <c r="A3917" s="94" t="n"/>
      <c r="B3917" s="128" t="n">
        <v>43754</v>
      </c>
      <c r="C3917" s="94">
        <f>TEXT(B3917,"aaa")</f>
        <v/>
      </c>
      <c r="D3917" s="94" t="n"/>
      <c r="E3917" s="6" t="inlineStr">
        <is>
          <t>토너</t>
        </is>
      </c>
      <c r="F3917" s="5" t="inlineStr">
        <is>
          <t>카페24</t>
        </is>
      </c>
      <c r="G3917" s="5" t="inlineStr">
        <is>
          <t>250ml 2set</t>
        </is>
      </c>
      <c r="H3917" s="7" t="n">
        <v>190801</v>
      </c>
      <c r="I3917" s="7" t="n">
        <v>190801</v>
      </c>
      <c r="J3917" s="94" t="n"/>
      <c r="K3917" s="149" t="n">
        <v>8</v>
      </c>
      <c r="L3917" s="7" t="n">
        <v>190801</v>
      </c>
      <c r="M3917" s="94">
        <f>VLOOKUP($Q3917,매칭테이블!$F:$I,2,0)*K3917</f>
        <v/>
      </c>
      <c r="N3917" s="94">
        <f>M3917-M3917*VLOOKUP($Q3917,매칭테이블!$F:$I,3,0)</f>
        <v/>
      </c>
      <c r="O3917" s="94">
        <f>VLOOKUP($Q3917,매칭테이블!$F:$I,4,0)*K3917</f>
        <v/>
      </c>
      <c r="P3917" s="148">
        <f>M3917/1.1</f>
        <v/>
      </c>
      <c r="Q3917" s="94">
        <f>F3917&amp;E3917&amp;G3917&amp;L3917</f>
        <v/>
      </c>
    </row>
    <row r="3918">
      <c r="A3918" s="94" t="n"/>
      <c r="B3918" s="128" t="n">
        <v>43755</v>
      </c>
      <c r="C3918" s="94">
        <f>TEXT(B3918,"aaa")</f>
        <v/>
      </c>
      <c r="D3918" s="94" t="n"/>
      <c r="E3918" s="6" t="inlineStr">
        <is>
          <t>토너</t>
        </is>
      </c>
      <c r="F3918" s="5" t="inlineStr">
        <is>
          <t>W컨셉</t>
        </is>
      </c>
      <c r="G3918" s="5" t="inlineStr">
        <is>
          <t>250ml</t>
        </is>
      </c>
      <c r="H3918" s="7" t="n">
        <v>190801</v>
      </c>
      <c r="I3918" s="7" t="n">
        <v>190801</v>
      </c>
      <c r="J3918" s="94" t="n"/>
      <c r="K3918" s="149" t="n">
        <v>2</v>
      </c>
      <c r="L3918" s="7" t="n">
        <v>190801</v>
      </c>
      <c r="M3918" s="94">
        <f>VLOOKUP($Q3918,매칭테이블!$F:$I,2,0)*K3918</f>
        <v/>
      </c>
      <c r="N3918" s="94">
        <f>M3918-M3918*VLOOKUP($Q3918,매칭테이블!$F:$I,3,0)</f>
        <v/>
      </c>
      <c r="O3918" s="94">
        <f>VLOOKUP($Q3918,매칭테이블!$F:$I,4,0)*K3918</f>
        <v/>
      </c>
      <c r="P3918" s="148">
        <f>M3918/1.1</f>
        <v/>
      </c>
      <c r="Q3918" s="94">
        <f>F3918&amp;E3918&amp;G3918&amp;L3918</f>
        <v/>
      </c>
    </row>
    <row r="3919">
      <c r="A3919" s="94" t="n"/>
      <c r="B3919" s="128" t="n">
        <v>43755</v>
      </c>
      <c r="C3919" s="94">
        <f>TEXT(B3919,"aaa")</f>
        <v/>
      </c>
      <c r="D3919" s="94" t="n"/>
      <c r="E3919" s="6" t="inlineStr">
        <is>
          <t>토너</t>
        </is>
      </c>
      <c r="F3919" s="5" t="inlineStr">
        <is>
          <t>W컨셉</t>
        </is>
      </c>
      <c r="G3919" s="5" t="inlineStr">
        <is>
          <t>250ml 2set</t>
        </is>
      </c>
      <c r="H3919" s="7" t="n">
        <v>190801</v>
      </c>
      <c r="I3919" s="7" t="n">
        <v>190801</v>
      </c>
      <c r="J3919" s="94" t="n"/>
      <c r="K3919" s="149" t="n">
        <v>2</v>
      </c>
      <c r="L3919" s="7" t="n">
        <v>190801</v>
      </c>
      <c r="M3919" s="94">
        <f>VLOOKUP($Q3919,매칭테이블!$F:$I,2,0)*K3919</f>
        <v/>
      </c>
      <c r="N3919" s="94">
        <f>M3919-M3919*VLOOKUP($Q3919,매칭테이블!$F:$I,3,0)</f>
        <v/>
      </c>
      <c r="O3919" s="94">
        <f>VLOOKUP($Q3919,매칭테이블!$F:$I,4,0)*K3919</f>
        <v/>
      </c>
      <c r="P3919" s="148">
        <f>M3919/1.1</f>
        <v/>
      </c>
      <c r="Q3919" s="94">
        <f>F3919&amp;E3919&amp;G3919&amp;L3919</f>
        <v/>
      </c>
    </row>
    <row r="3920">
      <c r="A3920" s="94" t="n"/>
      <c r="B3920" s="128" t="n">
        <v>43755</v>
      </c>
      <c r="C3920" s="94">
        <f>TEXT(B3920,"aaa")</f>
        <v/>
      </c>
      <c r="D3920" s="94" t="n"/>
      <c r="E3920" s="6" t="inlineStr">
        <is>
          <t>토너</t>
        </is>
      </c>
      <c r="F3920" s="5" t="inlineStr">
        <is>
          <t>카페24</t>
        </is>
      </c>
      <c r="G3920" s="5" t="inlineStr">
        <is>
          <t>250ml</t>
        </is>
      </c>
      <c r="H3920" s="7" t="n">
        <v>190801</v>
      </c>
      <c r="I3920" s="7" t="n">
        <v>190801</v>
      </c>
      <c r="J3920" s="94" t="n"/>
      <c r="K3920" s="149" t="n">
        <v>46</v>
      </c>
      <c r="L3920" s="7" t="n">
        <v>190801</v>
      </c>
      <c r="M3920" s="94">
        <f>VLOOKUP($Q3920,매칭테이블!$F:$I,2,0)*K3920</f>
        <v/>
      </c>
      <c r="N3920" s="94">
        <f>M3920-M3920*VLOOKUP($Q3920,매칭테이블!$F:$I,3,0)</f>
        <v/>
      </c>
      <c r="O3920" s="94">
        <f>VLOOKUP($Q3920,매칭테이블!$F:$I,4,0)*K3920</f>
        <v/>
      </c>
      <c r="P3920" s="148">
        <f>M3920/1.1</f>
        <v/>
      </c>
      <c r="Q3920" s="94">
        <f>F3920&amp;E3920&amp;G3920&amp;L3920</f>
        <v/>
      </c>
    </row>
    <row r="3921">
      <c r="A3921" s="94" t="n"/>
      <c r="B3921" s="128" t="n">
        <v>43755</v>
      </c>
      <c r="C3921" s="94">
        <f>TEXT(B3921,"aaa")</f>
        <v/>
      </c>
      <c r="D3921" s="94" t="n"/>
      <c r="E3921" s="6" t="inlineStr">
        <is>
          <t>토너</t>
        </is>
      </c>
      <c r="F3921" s="5" t="inlineStr">
        <is>
          <t>카페24</t>
        </is>
      </c>
      <c r="G3921" s="5" t="inlineStr">
        <is>
          <t>250ml 2set</t>
        </is>
      </c>
      <c r="H3921" s="7" t="n">
        <v>190801</v>
      </c>
      <c r="I3921" s="7" t="n">
        <v>190801</v>
      </c>
      <c r="J3921" s="94" t="n"/>
      <c r="K3921" s="149" t="n">
        <v>51</v>
      </c>
      <c r="L3921" s="7" t="n">
        <v>190801</v>
      </c>
      <c r="M3921" s="94">
        <f>VLOOKUP($Q3921,매칭테이블!$F:$I,2,0)*K3921</f>
        <v/>
      </c>
      <c r="N3921" s="94">
        <f>M3921-M3921*VLOOKUP($Q3921,매칭테이블!$F:$I,3,0)</f>
        <v/>
      </c>
      <c r="O3921" s="94">
        <f>VLOOKUP($Q3921,매칭테이블!$F:$I,4,0)*K3921</f>
        <v/>
      </c>
      <c r="P3921" s="148">
        <f>M3921/1.1</f>
        <v/>
      </c>
      <c r="Q3921" s="94">
        <f>F3921&amp;E3921&amp;G3921&amp;L3921</f>
        <v/>
      </c>
    </row>
    <row r="3922">
      <c r="A3922" s="94" t="n"/>
      <c r="B3922" s="128" t="n">
        <v>43755</v>
      </c>
      <c r="C3922" s="94">
        <f>TEXT(B3922,"aaa")</f>
        <v/>
      </c>
      <c r="D3922" s="94" t="n"/>
      <c r="E3922" s="6" t="inlineStr">
        <is>
          <t>토너</t>
        </is>
      </c>
      <c r="F3922" s="5" t="inlineStr">
        <is>
          <t>카페24</t>
        </is>
      </c>
      <c r="G3922" s="5" t="inlineStr">
        <is>
          <t>250ml 2set</t>
        </is>
      </c>
      <c r="H3922" s="7" t="n">
        <v>190801</v>
      </c>
      <c r="I3922" s="7" t="n">
        <v>190801</v>
      </c>
      <c r="J3922" s="94" t="n"/>
      <c r="K3922" s="149" t="n">
        <v>4</v>
      </c>
      <c r="L3922" s="7" t="n">
        <v>190801</v>
      </c>
      <c r="M3922" s="94">
        <f>VLOOKUP($Q3922,매칭테이블!$F:$I,2,0)*K3922</f>
        <v/>
      </c>
      <c r="N3922" s="94">
        <f>M3922-M3922*VLOOKUP($Q3922,매칭테이블!$F:$I,3,0)</f>
        <v/>
      </c>
      <c r="O3922" s="94">
        <f>VLOOKUP($Q3922,매칭테이블!$F:$I,4,0)*K3922</f>
        <v/>
      </c>
      <c r="P3922" s="148">
        <f>M3922/1.1</f>
        <v/>
      </c>
      <c r="Q3922" s="94">
        <f>F3922&amp;E3922&amp;G3922&amp;L3922</f>
        <v/>
      </c>
    </row>
    <row r="3923">
      <c r="A3923" s="94" t="n"/>
      <c r="B3923" s="128" t="n">
        <v>43756</v>
      </c>
      <c r="C3923" s="94">
        <f>TEXT(B3923,"aaa")</f>
        <v/>
      </c>
      <c r="D3923" s="94" t="n"/>
      <c r="E3923" s="6" t="inlineStr">
        <is>
          <t>토너</t>
        </is>
      </c>
      <c r="F3923" s="5" t="inlineStr">
        <is>
          <t>W컨셉</t>
        </is>
      </c>
      <c r="G3923" s="5" t="inlineStr">
        <is>
          <t>250ml</t>
        </is>
      </c>
      <c r="H3923" s="7" t="n">
        <v>190801</v>
      </c>
      <c r="I3923" s="7" t="n">
        <v>190801</v>
      </c>
      <c r="J3923" s="94" t="n"/>
      <c r="K3923" s="149" t="n">
        <v>3</v>
      </c>
      <c r="L3923" s="7" t="n">
        <v>190801</v>
      </c>
      <c r="M3923" s="94">
        <f>VLOOKUP($Q3923,매칭테이블!$F:$I,2,0)*K3923</f>
        <v/>
      </c>
      <c r="N3923" s="94">
        <f>M3923-M3923*VLOOKUP($Q3923,매칭테이블!$F:$I,3,0)</f>
        <v/>
      </c>
      <c r="O3923" s="94">
        <f>VLOOKUP($Q3923,매칭테이블!$F:$I,4,0)*K3923</f>
        <v/>
      </c>
      <c r="P3923" s="148">
        <f>M3923/1.1</f>
        <v/>
      </c>
      <c r="Q3923" s="94">
        <f>F3923&amp;E3923&amp;G3923&amp;L3923</f>
        <v/>
      </c>
    </row>
    <row r="3924">
      <c r="A3924" s="94" t="n"/>
      <c r="B3924" s="128" t="n">
        <v>43756</v>
      </c>
      <c r="C3924" s="94">
        <f>TEXT(B3924,"aaa")</f>
        <v/>
      </c>
      <c r="D3924" s="94" t="n"/>
      <c r="E3924" s="6" t="inlineStr">
        <is>
          <t>토너</t>
        </is>
      </c>
      <c r="F3924" s="5" t="inlineStr">
        <is>
          <t>W컨셉</t>
        </is>
      </c>
      <c r="G3924" s="5" t="inlineStr">
        <is>
          <t>250ml 2set</t>
        </is>
      </c>
      <c r="H3924" s="7" t="n">
        <v>190801</v>
      </c>
      <c r="I3924" s="7" t="n">
        <v>190801</v>
      </c>
      <c r="J3924" s="94" t="n"/>
      <c r="K3924" s="149" t="n">
        <v>1</v>
      </c>
      <c r="L3924" s="7" t="n">
        <v>190801</v>
      </c>
      <c r="M3924" s="94">
        <f>VLOOKUP($Q3924,매칭테이블!$F:$I,2,0)*K3924</f>
        <v/>
      </c>
      <c r="N3924" s="94">
        <f>M3924-M3924*VLOOKUP($Q3924,매칭테이블!$F:$I,3,0)</f>
        <v/>
      </c>
      <c r="O3924" s="94">
        <f>VLOOKUP($Q3924,매칭테이블!$F:$I,4,0)*K3924</f>
        <v/>
      </c>
      <c r="P3924" s="148">
        <f>M3924/1.1</f>
        <v/>
      </c>
      <c r="Q3924" s="94">
        <f>F3924&amp;E3924&amp;G3924&amp;L3924</f>
        <v/>
      </c>
    </row>
    <row r="3925">
      <c r="A3925" s="94" t="n"/>
      <c r="B3925" s="128" t="n">
        <v>43756</v>
      </c>
      <c r="C3925" s="94">
        <f>TEXT(B3925,"aaa")</f>
        <v/>
      </c>
      <c r="D3925" s="94" t="n"/>
      <c r="E3925" s="6" t="inlineStr">
        <is>
          <t>토너</t>
        </is>
      </c>
      <c r="F3925" s="5" t="inlineStr">
        <is>
          <t>카페24</t>
        </is>
      </c>
      <c r="G3925" s="5" t="inlineStr">
        <is>
          <t>250ml</t>
        </is>
      </c>
      <c r="H3925" s="7" t="n">
        <v>190801</v>
      </c>
      <c r="I3925" s="7" t="n">
        <v>190801</v>
      </c>
      <c r="J3925" s="94" t="n"/>
      <c r="K3925" s="149" t="n">
        <v>43</v>
      </c>
      <c r="L3925" s="7" t="n">
        <v>190801</v>
      </c>
      <c r="M3925" s="94">
        <f>VLOOKUP($Q3925,매칭테이블!$F:$I,2,0)*K3925</f>
        <v/>
      </c>
      <c r="N3925" s="94">
        <f>M3925-M3925*VLOOKUP($Q3925,매칭테이블!$F:$I,3,0)</f>
        <v/>
      </c>
      <c r="O3925" s="94">
        <f>VLOOKUP($Q3925,매칭테이블!$F:$I,4,0)*K3925</f>
        <v/>
      </c>
      <c r="P3925" s="148">
        <f>M3925/1.1</f>
        <v/>
      </c>
      <c r="Q3925" s="94">
        <f>F3925&amp;E3925&amp;G3925&amp;L3925</f>
        <v/>
      </c>
    </row>
    <row r="3926">
      <c r="A3926" s="94" t="n"/>
      <c r="B3926" s="128" t="n">
        <v>43756</v>
      </c>
      <c r="C3926" s="94">
        <f>TEXT(B3926,"aaa")</f>
        <v/>
      </c>
      <c r="D3926" s="94" t="n"/>
      <c r="E3926" s="6" t="inlineStr">
        <is>
          <t>토너</t>
        </is>
      </c>
      <c r="F3926" s="5" t="inlineStr">
        <is>
          <t>카페24</t>
        </is>
      </c>
      <c r="G3926" s="5" t="inlineStr">
        <is>
          <t>250ml 2set</t>
        </is>
      </c>
      <c r="H3926" s="7" t="n">
        <v>190801</v>
      </c>
      <c r="I3926" s="7" t="n">
        <v>190801</v>
      </c>
      <c r="J3926" s="94" t="n"/>
      <c r="K3926" s="149" t="n">
        <v>49</v>
      </c>
      <c r="L3926" s="7" t="n">
        <v>190801</v>
      </c>
      <c r="M3926" s="94">
        <f>VLOOKUP($Q3926,매칭테이블!$F:$I,2,0)*K3926</f>
        <v/>
      </c>
      <c r="N3926" s="94">
        <f>M3926-M3926*VLOOKUP($Q3926,매칭테이블!$F:$I,3,0)</f>
        <v/>
      </c>
      <c r="O3926" s="94">
        <f>VLOOKUP($Q3926,매칭테이블!$F:$I,4,0)*K3926</f>
        <v/>
      </c>
      <c r="P3926" s="148">
        <f>M3926/1.1</f>
        <v/>
      </c>
      <c r="Q3926" s="94">
        <f>F3926&amp;E3926&amp;G3926&amp;L3926</f>
        <v/>
      </c>
    </row>
    <row r="3927">
      <c r="A3927" s="94" t="n"/>
      <c r="B3927" s="128" t="n">
        <v>43756</v>
      </c>
      <c r="C3927" s="94">
        <f>TEXT(B3927,"aaa")</f>
        <v/>
      </c>
      <c r="D3927" s="94" t="n"/>
      <c r="E3927" s="6" t="inlineStr">
        <is>
          <t>토너</t>
        </is>
      </c>
      <c r="F3927" s="5" t="inlineStr">
        <is>
          <t>카페24</t>
        </is>
      </c>
      <c r="G3927" s="5" t="inlineStr">
        <is>
          <t>250ml 2set</t>
        </is>
      </c>
      <c r="H3927" s="7" t="n">
        <v>190801</v>
      </c>
      <c r="I3927" s="7" t="n">
        <v>190801</v>
      </c>
      <c r="J3927" s="94" t="n"/>
      <c r="K3927" s="149" t="n">
        <v>7</v>
      </c>
      <c r="L3927" s="7" t="n">
        <v>190801</v>
      </c>
      <c r="M3927" s="94">
        <f>VLOOKUP($Q3927,매칭테이블!$F:$I,2,0)*K3927</f>
        <v/>
      </c>
      <c r="N3927" s="94">
        <f>M3927-M3927*VLOOKUP($Q3927,매칭테이블!$F:$I,3,0)</f>
        <v/>
      </c>
      <c r="O3927" s="94">
        <f>VLOOKUP($Q3927,매칭테이블!$F:$I,4,0)*K3927</f>
        <v/>
      </c>
      <c r="P3927" s="148">
        <f>M3927/1.1</f>
        <v/>
      </c>
      <c r="Q3927" s="94">
        <f>F3927&amp;E3927&amp;G3927&amp;L3927</f>
        <v/>
      </c>
    </row>
    <row r="3928">
      <c r="A3928" s="94" t="n"/>
      <c r="B3928" s="128" t="n">
        <v>43757</v>
      </c>
      <c r="C3928" s="94">
        <f>TEXT(B3928,"aaa")</f>
        <v/>
      </c>
      <c r="D3928" s="94" t="n"/>
      <c r="E3928" s="6" t="inlineStr">
        <is>
          <t>토너</t>
        </is>
      </c>
      <c r="F3928" s="5" t="inlineStr">
        <is>
          <t>W컨셉</t>
        </is>
      </c>
      <c r="G3928" s="5" t="inlineStr">
        <is>
          <t>250ml</t>
        </is>
      </c>
      <c r="H3928" s="7" t="n">
        <v>190801</v>
      </c>
      <c r="I3928" s="7" t="n">
        <v>190801</v>
      </c>
      <c r="J3928" s="94" t="n"/>
      <c r="K3928" s="149" t="n">
        <v>3</v>
      </c>
      <c r="L3928" s="7" t="n">
        <v>190801</v>
      </c>
      <c r="M3928" s="94">
        <f>VLOOKUP($Q3928,매칭테이블!$F:$I,2,0)*K3928</f>
        <v/>
      </c>
      <c r="N3928" s="94">
        <f>M3928-M3928*VLOOKUP($Q3928,매칭테이블!$F:$I,3,0)</f>
        <v/>
      </c>
      <c r="O3928" s="94">
        <f>VLOOKUP($Q3928,매칭테이블!$F:$I,4,0)*K3928</f>
        <v/>
      </c>
      <c r="P3928" s="148">
        <f>M3928/1.1</f>
        <v/>
      </c>
      <c r="Q3928" s="94">
        <f>F3928&amp;E3928&amp;G3928&amp;L3928</f>
        <v/>
      </c>
    </row>
    <row r="3929">
      <c r="A3929" s="94" t="n"/>
      <c r="B3929" s="128" t="n">
        <v>43757</v>
      </c>
      <c r="C3929" s="94">
        <f>TEXT(B3929,"aaa")</f>
        <v/>
      </c>
      <c r="D3929" s="94" t="n"/>
      <c r="E3929" s="6" t="inlineStr">
        <is>
          <t>토너</t>
        </is>
      </c>
      <c r="F3929" s="5" t="inlineStr">
        <is>
          <t>W컨셉</t>
        </is>
      </c>
      <c r="G3929" s="5" t="inlineStr">
        <is>
          <t>250ml 2set</t>
        </is>
      </c>
      <c r="H3929" s="7" t="n">
        <v>190801</v>
      </c>
      <c r="I3929" s="7" t="n">
        <v>190801</v>
      </c>
      <c r="J3929" s="94" t="n"/>
      <c r="K3929" s="149" t="n">
        <v>3</v>
      </c>
      <c r="L3929" s="7" t="n">
        <v>190801</v>
      </c>
      <c r="M3929" s="94">
        <f>VLOOKUP($Q3929,매칭테이블!$F:$I,2,0)*K3929</f>
        <v/>
      </c>
      <c r="N3929" s="94">
        <f>M3929-M3929*VLOOKUP($Q3929,매칭테이블!$F:$I,3,0)</f>
        <v/>
      </c>
      <c r="O3929" s="94">
        <f>VLOOKUP($Q3929,매칭테이블!$F:$I,4,0)*K3929</f>
        <v/>
      </c>
      <c r="P3929" s="148">
        <f>M3929/1.1</f>
        <v/>
      </c>
      <c r="Q3929" s="94">
        <f>F3929&amp;E3929&amp;G3929&amp;L3929</f>
        <v/>
      </c>
    </row>
    <row r="3930">
      <c r="A3930" s="94" t="n"/>
      <c r="B3930" s="128" t="n">
        <v>43757</v>
      </c>
      <c r="C3930" s="94">
        <f>TEXT(B3930,"aaa")</f>
        <v/>
      </c>
      <c r="D3930" s="94" t="n"/>
      <c r="E3930" s="6" t="inlineStr">
        <is>
          <t>토너</t>
        </is>
      </c>
      <c r="F3930" s="5" t="inlineStr">
        <is>
          <t>카페24</t>
        </is>
      </c>
      <c r="G3930" s="5" t="inlineStr">
        <is>
          <t>250ml</t>
        </is>
      </c>
      <c r="H3930" s="7" t="n">
        <v>190801</v>
      </c>
      <c r="I3930" s="7" t="n">
        <v>190801</v>
      </c>
      <c r="J3930" s="94" t="n"/>
      <c r="K3930" s="149" t="n">
        <v>51</v>
      </c>
      <c r="L3930" s="7" t="n">
        <v>190801</v>
      </c>
      <c r="M3930" s="94">
        <f>VLOOKUP($Q3930,매칭테이블!$F:$I,2,0)*K3930</f>
        <v/>
      </c>
      <c r="N3930" s="94">
        <f>M3930-M3930*VLOOKUP($Q3930,매칭테이블!$F:$I,3,0)</f>
        <v/>
      </c>
      <c r="O3930" s="94">
        <f>VLOOKUP($Q3930,매칭테이블!$F:$I,4,0)*K3930</f>
        <v/>
      </c>
      <c r="P3930" s="148">
        <f>M3930/1.1</f>
        <v/>
      </c>
      <c r="Q3930" s="94">
        <f>F3930&amp;E3930&amp;G3930&amp;L3930</f>
        <v/>
      </c>
    </row>
    <row r="3931">
      <c r="A3931" s="94" t="n"/>
      <c r="B3931" s="128" t="n">
        <v>43757</v>
      </c>
      <c r="C3931" s="94">
        <f>TEXT(B3931,"aaa")</f>
        <v/>
      </c>
      <c r="D3931" s="94" t="n"/>
      <c r="E3931" s="6" t="inlineStr">
        <is>
          <t>토너</t>
        </is>
      </c>
      <c r="F3931" s="5" t="inlineStr">
        <is>
          <t>카페24</t>
        </is>
      </c>
      <c r="G3931" s="5" t="inlineStr">
        <is>
          <t>250ml 2set</t>
        </is>
      </c>
      <c r="H3931" s="7" t="n">
        <v>190801</v>
      </c>
      <c r="I3931" s="7" t="n">
        <v>190801</v>
      </c>
      <c r="J3931" s="94" t="n"/>
      <c r="K3931" s="149" t="n">
        <v>42</v>
      </c>
      <c r="L3931" s="7" t="n">
        <v>190801</v>
      </c>
      <c r="M3931" s="94">
        <f>VLOOKUP($Q3931,매칭테이블!$F:$I,2,0)*K3931</f>
        <v/>
      </c>
      <c r="N3931" s="94">
        <f>M3931-M3931*VLOOKUP($Q3931,매칭테이블!$F:$I,3,0)</f>
        <v/>
      </c>
      <c r="O3931" s="94">
        <f>VLOOKUP($Q3931,매칭테이블!$F:$I,4,0)*K3931</f>
        <v/>
      </c>
      <c r="P3931" s="148">
        <f>M3931/1.1</f>
        <v/>
      </c>
      <c r="Q3931" s="94">
        <f>F3931&amp;E3931&amp;G3931&amp;L3931</f>
        <v/>
      </c>
    </row>
    <row r="3932">
      <c r="A3932" s="94" t="n"/>
      <c r="B3932" s="128" t="n">
        <v>43757</v>
      </c>
      <c r="C3932" s="94">
        <f>TEXT(B3932,"aaa")</f>
        <v/>
      </c>
      <c r="D3932" s="94" t="n"/>
      <c r="E3932" s="6" t="inlineStr">
        <is>
          <t>토너</t>
        </is>
      </c>
      <c r="F3932" s="5" t="inlineStr">
        <is>
          <t>카페24</t>
        </is>
      </c>
      <c r="G3932" s="5" t="inlineStr">
        <is>
          <t>250ml 2set</t>
        </is>
      </c>
      <c r="H3932" s="7" t="n">
        <v>190801</v>
      </c>
      <c r="I3932" s="7" t="n">
        <v>190801</v>
      </c>
      <c r="J3932" s="94" t="n"/>
      <c r="K3932" s="149" t="n">
        <v>3</v>
      </c>
      <c r="L3932" s="7" t="n">
        <v>190801</v>
      </c>
      <c r="M3932" s="94">
        <f>VLOOKUP($Q3932,매칭테이블!$F:$I,2,0)*K3932</f>
        <v/>
      </c>
      <c r="N3932" s="94">
        <f>M3932-M3932*VLOOKUP($Q3932,매칭테이블!$F:$I,3,0)</f>
        <v/>
      </c>
      <c r="O3932" s="94">
        <f>VLOOKUP($Q3932,매칭테이블!$F:$I,4,0)*K3932</f>
        <v/>
      </c>
      <c r="P3932" s="148">
        <f>M3932/1.1</f>
        <v/>
      </c>
      <c r="Q3932" s="94">
        <f>F3932&amp;E3932&amp;G3932&amp;L3932</f>
        <v/>
      </c>
    </row>
    <row r="3933">
      <c r="A3933" s="94" t="n"/>
      <c r="B3933" s="128" t="n">
        <v>43758</v>
      </c>
      <c r="C3933" s="94">
        <f>TEXT(B3933,"aaa")</f>
        <v/>
      </c>
      <c r="D3933" s="94" t="n"/>
      <c r="E3933" s="6" t="inlineStr">
        <is>
          <t>토너</t>
        </is>
      </c>
      <c r="F3933" s="5" t="inlineStr">
        <is>
          <t>W컨셉</t>
        </is>
      </c>
      <c r="G3933" s="5" t="inlineStr">
        <is>
          <t>250ml</t>
        </is>
      </c>
      <c r="H3933" s="7" t="n">
        <v>190801</v>
      </c>
      <c r="I3933" s="7" t="n">
        <v>190801</v>
      </c>
      <c r="J3933" s="94" t="n"/>
      <c r="K3933" s="149" t="n">
        <v>2</v>
      </c>
      <c r="L3933" s="7" t="n">
        <v>190801</v>
      </c>
      <c r="M3933" s="94">
        <f>VLOOKUP($Q3933,매칭테이블!$F:$I,2,0)*K3933</f>
        <v/>
      </c>
      <c r="N3933" s="94">
        <f>M3933-M3933*VLOOKUP($Q3933,매칭테이블!$F:$I,3,0)</f>
        <v/>
      </c>
      <c r="O3933" s="94">
        <f>VLOOKUP($Q3933,매칭테이블!$F:$I,4,0)*K3933</f>
        <v/>
      </c>
      <c r="P3933" s="148">
        <f>M3933/1.1</f>
        <v/>
      </c>
      <c r="Q3933" s="94">
        <f>F3933&amp;E3933&amp;G3933&amp;L3933</f>
        <v/>
      </c>
    </row>
    <row r="3934">
      <c r="A3934" s="94" t="n"/>
      <c r="B3934" s="128" t="n">
        <v>43758</v>
      </c>
      <c r="C3934" s="94">
        <f>TEXT(B3934,"aaa")</f>
        <v/>
      </c>
      <c r="D3934" s="94" t="n"/>
      <c r="E3934" s="6" t="inlineStr">
        <is>
          <t>토너</t>
        </is>
      </c>
      <c r="F3934" s="5" t="inlineStr">
        <is>
          <t>W컨셉</t>
        </is>
      </c>
      <c r="G3934" s="5" t="inlineStr">
        <is>
          <t>250ml 2set</t>
        </is>
      </c>
      <c r="H3934" s="7" t="n">
        <v>190801</v>
      </c>
      <c r="I3934" s="7" t="n">
        <v>190801</v>
      </c>
      <c r="J3934" s="94" t="n"/>
      <c r="K3934" s="149" t="n">
        <v>4</v>
      </c>
      <c r="L3934" s="7" t="n">
        <v>190801</v>
      </c>
      <c r="M3934" s="94">
        <f>VLOOKUP($Q3934,매칭테이블!$F:$I,2,0)*K3934</f>
        <v/>
      </c>
      <c r="N3934" s="94">
        <f>M3934-M3934*VLOOKUP($Q3934,매칭테이블!$F:$I,3,0)</f>
        <v/>
      </c>
      <c r="O3934" s="94">
        <f>VLOOKUP($Q3934,매칭테이블!$F:$I,4,0)*K3934</f>
        <v/>
      </c>
      <c r="P3934" s="148">
        <f>M3934/1.1</f>
        <v/>
      </c>
      <c r="Q3934" s="94">
        <f>F3934&amp;E3934&amp;G3934&amp;L3934</f>
        <v/>
      </c>
    </row>
    <row r="3935">
      <c r="A3935" s="94" t="n"/>
      <c r="B3935" s="128" t="n">
        <v>43758</v>
      </c>
      <c r="C3935" s="94">
        <f>TEXT(B3935,"aaa")</f>
        <v/>
      </c>
      <c r="D3935" s="94" t="n"/>
      <c r="E3935" s="6" t="inlineStr">
        <is>
          <t>토너</t>
        </is>
      </c>
      <c r="F3935" s="5" t="inlineStr">
        <is>
          <t>카페24</t>
        </is>
      </c>
      <c r="G3935" s="5" t="inlineStr">
        <is>
          <t>250ml</t>
        </is>
      </c>
      <c r="H3935" s="7" t="n">
        <v>190801</v>
      </c>
      <c r="I3935" s="7" t="n">
        <v>190801</v>
      </c>
      <c r="J3935" s="94" t="n"/>
      <c r="K3935" s="149" t="n">
        <v>53</v>
      </c>
      <c r="L3935" s="7" t="n">
        <v>190801</v>
      </c>
      <c r="M3935" s="94">
        <f>VLOOKUP($Q3935,매칭테이블!$F:$I,2,0)*K3935</f>
        <v/>
      </c>
      <c r="N3935" s="94">
        <f>M3935-M3935*VLOOKUP($Q3935,매칭테이블!$F:$I,3,0)</f>
        <v/>
      </c>
      <c r="O3935" s="94">
        <f>VLOOKUP($Q3935,매칭테이블!$F:$I,4,0)*K3935</f>
        <v/>
      </c>
      <c r="P3935" s="148">
        <f>M3935/1.1</f>
        <v/>
      </c>
      <c r="Q3935" s="94">
        <f>F3935&amp;E3935&amp;G3935&amp;L3935</f>
        <v/>
      </c>
    </row>
    <row r="3936">
      <c r="A3936" s="94" t="n"/>
      <c r="B3936" s="128" t="n">
        <v>43758</v>
      </c>
      <c r="C3936" s="94">
        <f>TEXT(B3936,"aaa")</f>
        <v/>
      </c>
      <c r="D3936" s="94" t="n"/>
      <c r="E3936" s="6" t="inlineStr">
        <is>
          <t>토너</t>
        </is>
      </c>
      <c r="F3936" s="5" t="inlineStr">
        <is>
          <t>카페24</t>
        </is>
      </c>
      <c r="G3936" s="5" t="inlineStr">
        <is>
          <t>250ml 2set</t>
        </is>
      </c>
      <c r="H3936" s="7" t="n">
        <v>190801</v>
      </c>
      <c r="I3936" s="7" t="n">
        <v>190801</v>
      </c>
      <c r="J3936" s="94" t="n"/>
      <c r="K3936" s="149" t="n">
        <v>44</v>
      </c>
      <c r="L3936" s="7" t="n">
        <v>190801</v>
      </c>
      <c r="M3936" s="94">
        <f>VLOOKUP($Q3936,매칭테이블!$F:$I,2,0)*K3936</f>
        <v/>
      </c>
      <c r="N3936" s="94">
        <f>M3936-M3936*VLOOKUP($Q3936,매칭테이블!$F:$I,3,0)</f>
        <v/>
      </c>
      <c r="O3936" s="94">
        <f>VLOOKUP($Q3936,매칭테이블!$F:$I,4,0)*K3936</f>
        <v/>
      </c>
      <c r="P3936" s="148">
        <f>M3936/1.1</f>
        <v/>
      </c>
      <c r="Q3936" s="94">
        <f>F3936&amp;E3936&amp;G3936&amp;L3936</f>
        <v/>
      </c>
    </row>
    <row r="3937">
      <c r="A3937" s="94" t="n"/>
      <c r="B3937" s="128" t="n">
        <v>43758</v>
      </c>
      <c r="C3937" s="94">
        <f>TEXT(B3937,"aaa")</f>
        <v/>
      </c>
      <c r="D3937" s="94" t="n"/>
      <c r="E3937" s="6" t="inlineStr">
        <is>
          <t>토너</t>
        </is>
      </c>
      <c r="F3937" s="5" t="inlineStr">
        <is>
          <t>카페24</t>
        </is>
      </c>
      <c r="G3937" s="5" t="inlineStr">
        <is>
          <t>250ml 2set</t>
        </is>
      </c>
      <c r="H3937" s="7" t="n">
        <v>190801</v>
      </c>
      <c r="I3937" s="7" t="n">
        <v>190801</v>
      </c>
      <c r="J3937" s="94" t="n"/>
      <c r="K3937" s="149" t="n">
        <v>6</v>
      </c>
      <c r="L3937" s="7" t="n">
        <v>190801</v>
      </c>
      <c r="M3937" s="94">
        <f>VLOOKUP($Q3937,매칭테이블!$F:$I,2,0)*K3937</f>
        <v/>
      </c>
      <c r="N3937" s="94">
        <f>M3937-M3937*VLOOKUP($Q3937,매칭테이블!$F:$I,3,0)</f>
        <v/>
      </c>
      <c r="O3937" s="94">
        <f>VLOOKUP($Q3937,매칭테이블!$F:$I,4,0)*K3937</f>
        <v/>
      </c>
      <c r="P3937" s="148">
        <f>M3937/1.1</f>
        <v/>
      </c>
      <c r="Q3937" s="94">
        <f>F3937&amp;E3937&amp;G3937&amp;L3937</f>
        <v/>
      </c>
    </row>
    <row r="3938">
      <c r="A3938" s="94" t="n"/>
      <c r="B3938" s="128" t="n">
        <v>43759</v>
      </c>
      <c r="C3938" s="94">
        <f>TEXT(B3938,"aaa")</f>
        <v/>
      </c>
      <c r="D3938" s="94" t="n"/>
      <c r="E3938" s="6" t="inlineStr">
        <is>
          <t>토너</t>
        </is>
      </c>
      <c r="F3938" s="5" t="inlineStr">
        <is>
          <t>W컨셉</t>
        </is>
      </c>
      <c r="G3938" s="5" t="inlineStr">
        <is>
          <t>250ml 2set</t>
        </is>
      </c>
      <c r="H3938" s="7" t="n">
        <v>190801</v>
      </c>
      <c r="I3938" s="7" t="n">
        <v>190801</v>
      </c>
      <c r="J3938" s="94" t="n"/>
      <c r="K3938" s="149" t="n">
        <v>2</v>
      </c>
      <c r="L3938" s="7" t="n">
        <v>190801</v>
      </c>
      <c r="M3938" s="94">
        <f>VLOOKUP($Q3938,매칭테이블!$F:$I,2,0)*K3938</f>
        <v/>
      </c>
      <c r="N3938" s="94">
        <f>M3938-M3938*VLOOKUP($Q3938,매칭테이블!$F:$I,3,0)</f>
        <v/>
      </c>
      <c r="O3938" s="94">
        <f>VLOOKUP($Q3938,매칭테이블!$F:$I,4,0)*K3938</f>
        <v/>
      </c>
      <c r="P3938" s="148">
        <f>M3938/1.1</f>
        <v/>
      </c>
      <c r="Q3938" s="94">
        <f>F3938&amp;E3938&amp;G3938&amp;L3938</f>
        <v/>
      </c>
    </row>
    <row r="3939">
      <c r="A3939" s="94" t="n"/>
      <c r="B3939" s="128" t="n">
        <v>43759</v>
      </c>
      <c r="C3939" s="94">
        <f>TEXT(B3939,"aaa")</f>
        <v/>
      </c>
      <c r="D3939" s="94" t="n"/>
      <c r="E3939" s="6" t="inlineStr">
        <is>
          <t>토너</t>
        </is>
      </c>
      <c r="F3939" s="5" t="inlineStr">
        <is>
          <t>카페24</t>
        </is>
      </c>
      <c r="G3939" s="5" t="inlineStr">
        <is>
          <t>250ml</t>
        </is>
      </c>
      <c r="H3939" s="7" t="n">
        <v>190801</v>
      </c>
      <c r="I3939" s="7" t="n">
        <v>190801</v>
      </c>
      <c r="J3939" s="94" t="n"/>
      <c r="K3939" s="149" t="n">
        <v>40</v>
      </c>
      <c r="L3939" s="7" t="n">
        <v>190801</v>
      </c>
      <c r="M3939" s="94">
        <f>VLOOKUP($Q3939,매칭테이블!$F:$I,2,0)*K3939</f>
        <v/>
      </c>
      <c r="N3939" s="94">
        <f>M3939-M3939*VLOOKUP($Q3939,매칭테이블!$F:$I,3,0)</f>
        <v/>
      </c>
      <c r="O3939" s="94">
        <f>VLOOKUP($Q3939,매칭테이블!$F:$I,4,0)*K3939</f>
        <v/>
      </c>
      <c r="P3939" s="148">
        <f>M3939/1.1</f>
        <v/>
      </c>
      <c r="Q3939" s="94">
        <f>F3939&amp;E3939&amp;G3939&amp;L3939</f>
        <v/>
      </c>
    </row>
    <row r="3940">
      <c r="A3940" s="94" t="n"/>
      <c r="B3940" s="128" t="n">
        <v>43759</v>
      </c>
      <c r="C3940" s="94">
        <f>TEXT(B3940,"aaa")</f>
        <v/>
      </c>
      <c r="D3940" s="94" t="n"/>
      <c r="E3940" s="6" t="inlineStr">
        <is>
          <t>토너</t>
        </is>
      </c>
      <c r="F3940" s="5" t="inlineStr">
        <is>
          <t>카페24</t>
        </is>
      </c>
      <c r="G3940" s="5" t="inlineStr">
        <is>
          <t>250ml 2set</t>
        </is>
      </c>
      <c r="H3940" s="7" t="n">
        <v>190801</v>
      </c>
      <c r="I3940" s="7" t="n">
        <v>190801</v>
      </c>
      <c r="J3940" s="94" t="n"/>
      <c r="K3940" s="149" t="n">
        <v>66</v>
      </c>
      <c r="L3940" s="7" t="n">
        <v>190801</v>
      </c>
      <c r="M3940" s="94">
        <f>VLOOKUP($Q3940,매칭테이블!$F:$I,2,0)*K3940</f>
        <v/>
      </c>
      <c r="N3940" s="94">
        <f>M3940-M3940*VLOOKUP($Q3940,매칭테이블!$F:$I,3,0)</f>
        <v/>
      </c>
      <c r="O3940" s="94">
        <f>VLOOKUP($Q3940,매칭테이블!$F:$I,4,0)*K3940</f>
        <v/>
      </c>
      <c r="P3940" s="148">
        <f>M3940/1.1</f>
        <v/>
      </c>
      <c r="Q3940" s="94">
        <f>F3940&amp;E3940&amp;G3940&amp;L3940</f>
        <v/>
      </c>
    </row>
    <row r="3941">
      <c r="A3941" s="94" t="n"/>
      <c r="B3941" s="128" t="n">
        <v>43759</v>
      </c>
      <c r="C3941" s="94">
        <f>TEXT(B3941,"aaa")</f>
        <v/>
      </c>
      <c r="D3941" s="94" t="n"/>
      <c r="E3941" s="6" t="inlineStr">
        <is>
          <t>토너</t>
        </is>
      </c>
      <c r="F3941" s="5" t="inlineStr">
        <is>
          <t>카페24</t>
        </is>
      </c>
      <c r="G3941" s="5" t="inlineStr">
        <is>
          <t>250ml 2set</t>
        </is>
      </c>
      <c r="H3941" s="7" t="n">
        <v>190801</v>
      </c>
      <c r="I3941" s="7" t="n">
        <v>190801</v>
      </c>
      <c r="J3941" s="94" t="n"/>
      <c r="K3941" s="149" t="n">
        <v>12</v>
      </c>
      <c r="L3941" s="7" t="n">
        <v>190801</v>
      </c>
      <c r="M3941" s="94">
        <f>VLOOKUP($Q3941,매칭테이블!$F:$I,2,0)*K3941</f>
        <v/>
      </c>
      <c r="N3941" s="94">
        <f>M3941-M3941*VLOOKUP($Q3941,매칭테이블!$F:$I,3,0)</f>
        <v/>
      </c>
      <c r="O3941" s="94">
        <f>VLOOKUP($Q3941,매칭테이블!$F:$I,4,0)*K3941</f>
        <v/>
      </c>
      <c r="P3941" s="148">
        <f>M3941/1.1</f>
        <v/>
      </c>
      <c r="Q3941" s="94">
        <f>F3941&amp;E3941&amp;G3941&amp;L3941</f>
        <v/>
      </c>
    </row>
    <row r="3942">
      <c r="A3942" s="94" t="n"/>
      <c r="B3942" s="128" t="n">
        <v>43760</v>
      </c>
      <c r="C3942" s="94">
        <f>TEXT(B3942,"aaa")</f>
        <v/>
      </c>
      <c r="D3942" s="94" t="n"/>
      <c r="E3942" s="6" t="inlineStr">
        <is>
          <t>토너</t>
        </is>
      </c>
      <c r="F3942" s="5" t="inlineStr">
        <is>
          <t>W컨셉</t>
        </is>
      </c>
      <c r="G3942" s="5" t="inlineStr">
        <is>
          <t>250ml</t>
        </is>
      </c>
      <c r="H3942" s="7" t="n">
        <v>190801</v>
      </c>
      <c r="I3942" s="7" t="n">
        <v>190801</v>
      </c>
      <c r="J3942" s="94" t="n"/>
      <c r="K3942" s="149" t="n">
        <v>2</v>
      </c>
      <c r="L3942" s="7" t="n">
        <v>190801</v>
      </c>
      <c r="M3942" s="94">
        <f>VLOOKUP($Q3942,매칭테이블!$F:$I,2,0)*K3942</f>
        <v/>
      </c>
      <c r="N3942" s="94">
        <f>M3942-M3942*VLOOKUP($Q3942,매칭테이블!$F:$I,3,0)</f>
        <v/>
      </c>
      <c r="O3942" s="94">
        <f>VLOOKUP($Q3942,매칭테이블!$F:$I,4,0)*K3942</f>
        <v/>
      </c>
      <c r="P3942" s="148">
        <f>M3942/1.1</f>
        <v/>
      </c>
      <c r="Q3942" s="94">
        <f>F3942&amp;E3942&amp;G3942&amp;L3942</f>
        <v/>
      </c>
    </row>
    <row r="3943">
      <c r="A3943" s="94" t="n"/>
      <c r="B3943" s="128" t="n">
        <v>43760</v>
      </c>
      <c r="C3943" s="94">
        <f>TEXT(B3943,"aaa")</f>
        <v/>
      </c>
      <c r="D3943" s="94" t="n"/>
      <c r="E3943" s="6" t="inlineStr">
        <is>
          <t>토너</t>
        </is>
      </c>
      <c r="F3943" s="5" t="inlineStr">
        <is>
          <t>W컨셉</t>
        </is>
      </c>
      <c r="G3943" s="5" t="inlineStr">
        <is>
          <t>250ml 2set</t>
        </is>
      </c>
      <c r="H3943" s="7" t="n">
        <v>190801</v>
      </c>
      <c r="I3943" s="7" t="n">
        <v>190801</v>
      </c>
      <c r="J3943" s="94" t="n"/>
      <c r="K3943" s="149" t="n">
        <v>1</v>
      </c>
      <c r="L3943" s="7" t="n">
        <v>190801</v>
      </c>
      <c r="M3943" s="94">
        <f>VLOOKUP($Q3943,매칭테이블!$F:$I,2,0)*K3943</f>
        <v/>
      </c>
      <c r="N3943" s="94">
        <f>M3943-M3943*VLOOKUP($Q3943,매칭테이블!$F:$I,3,0)</f>
        <v/>
      </c>
      <c r="O3943" s="94">
        <f>VLOOKUP($Q3943,매칭테이블!$F:$I,4,0)*K3943</f>
        <v/>
      </c>
      <c r="P3943" s="148">
        <f>M3943/1.1</f>
        <v/>
      </c>
      <c r="Q3943" s="94">
        <f>F3943&amp;E3943&amp;G3943&amp;L3943</f>
        <v/>
      </c>
    </row>
    <row r="3944">
      <c r="A3944" s="94" t="n"/>
      <c r="B3944" s="128" t="n">
        <v>43760</v>
      </c>
      <c r="C3944" s="94">
        <f>TEXT(B3944,"aaa")</f>
        <v/>
      </c>
      <c r="D3944" s="94" t="n"/>
      <c r="E3944" s="6" t="inlineStr">
        <is>
          <t>토너</t>
        </is>
      </c>
      <c r="F3944" s="5" t="inlineStr">
        <is>
          <t>카페24</t>
        </is>
      </c>
      <c r="G3944" s="5" t="inlineStr">
        <is>
          <t>500ml</t>
        </is>
      </c>
      <c r="H3944" s="7" t="n">
        <v>190801</v>
      </c>
      <c r="I3944" s="7" t="n">
        <v>190801</v>
      </c>
      <c r="J3944" s="94" t="n"/>
      <c r="K3944" s="149" t="n">
        <v>2</v>
      </c>
      <c r="L3944" s="7" t="n">
        <v>190801</v>
      </c>
      <c r="M3944" s="94">
        <f>VLOOKUP($Q3944,매칭테이블!$F:$I,2,0)*K3944</f>
        <v/>
      </c>
      <c r="N3944" s="94">
        <f>M3944-M3944*VLOOKUP($Q3944,매칭테이블!$F:$I,3,0)</f>
        <v/>
      </c>
      <c r="O3944" s="94">
        <f>VLOOKUP($Q3944,매칭테이블!$F:$I,4,0)*K3944</f>
        <v/>
      </c>
      <c r="P3944" s="148">
        <f>M3944/1.1</f>
        <v/>
      </c>
      <c r="Q3944" s="94">
        <f>F3944&amp;E3944&amp;G3944&amp;L3944</f>
        <v/>
      </c>
    </row>
    <row r="3945">
      <c r="A3945" s="94" t="n"/>
      <c r="B3945" s="128" t="n">
        <v>43760</v>
      </c>
      <c r="C3945" s="94">
        <f>TEXT(B3945,"aaa")</f>
        <v/>
      </c>
      <c r="D3945" s="94" t="n"/>
      <c r="E3945" s="6" t="inlineStr">
        <is>
          <t>토너</t>
        </is>
      </c>
      <c r="F3945" s="5" t="inlineStr">
        <is>
          <t>카페24</t>
        </is>
      </c>
      <c r="G3945" s="5" t="inlineStr">
        <is>
          <t>250ml</t>
        </is>
      </c>
      <c r="H3945" s="7" t="n">
        <v>190801</v>
      </c>
      <c r="I3945" s="7" t="n">
        <v>190801</v>
      </c>
      <c r="J3945" s="94" t="n"/>
      <c r="K3945" s="149" t="n">
        <v>48</v>
      </c>
      <c r="L3945" s="7" t="n">
        <v>190801</v>
      </c>
      <c r="M3945" s="94">
        <f>VLOOKUP($Q3945,매칭테이블!$F:$I,2,0)*K3945</f>
        <v/>
      </c>
      <c r="N3945" s="94">
        <f>M3945-M3945*VLOOKUP($Q3945,매칭테이블!$F:$I,3,0)</f>
        <v/>
      </c>
      <c r="O3945" s="94">
        <f>VLOOKUP($Q3945,매칭테이블!$F:$I,4,0)*K3945</f>
        <v/>
      </c>
      <c r="P3945" s="148">
        <f>M3945/1.1</f>
        <v/>
      </c>
      <c r="Q3945" s="94">
        <f>F3945&amp;E3945&amp;G3945&amp;L3945</f>
        <v/>
      </c>
    </row>
    <row r="3946">
      <c r="A3946" s="94" t="n"/>
      <c r="B3946" s="128" t="n">
        <v>43760</v>
      </c>
      <c r="C3946" s="94">
        <f>TEXT(B3946,"aaa")</f>
        <v/>
      </c>
      <c r="D3946" s="94" t="n"/>
      <c r="E3946" s="6" t="inlineStr">
        <is>
          <t>토너</t>
        </is>
      </c>
      <c r="F3946" s="5" t="inlineStr">
        <is>
          <t>카페24</t>
        </is>
      </c>
      <c r="G3946" s="5" t="inlineStr">
        <is>
          <t>250ml 2set</t>
        </is>
      </c>
      <c r="H3946" s="7" t="n">
        <v>190801</v>
      </c>
      <c r="I3946" s="7" t="n">
        <v>190801</v>
      </c>
      <c r="J3946" s="94" t="n"/>
      <c r="K3946" s="149" t="n">
        <v>43</v>
      </c>
      <c r="L3946" s="7" t="n">
        <v>190801</v>
      </c>
      <c r="M3946" s="94">
        <f>VLOOKUP($Q3946,매칭테이블!$F:$I,2,0)*K3946</f>
        <v/>
      </c>
      <c r="N3946" s="94">
        <f>M3946-M3946*VLOOKUP($Q3946,매칭테이블!$F:$I,3,0)</f>
        <v/>
      </c>
      <c r="O3946" s="94">
        <f>VLOOKUP($Q3946,매칭테이블!$F:$I,4,0)*K3946</f>
        <v/>
      </c>
      <c r="P3946" s="148">
        <f>M3946/1.1</f>
        <v/>
      </c>
      <c r="Q3946" s="94">
        <f>F3946&amp;E3946&amp;G3946&amp;L3946</f>
        <v/>
      </c>
    </row>
    <row r="3947">
      <c r="A3947" s="94" t="n"/>
      <c r="B3947" s="128" t="n">
        <v>43760</v>
      </c>
      <c r="C3947" s="94">
        <f>TEXT(B3947,"aaa")</f>
        <v/>
      </c>
      <c r="D3947" s="94" t="n"/>
      <c r="E3947" s="6" t="inlineStr">
        <is>
          <t>토너</t>
        </is>
      </c>
      <c r="F3947" s="5" t="inlineStr">
        <is>
          <t>카페24</t>
        </is>
      </c>
      <c r="G3947" s="5" t="inlineStr">
        <is>
          <t>250ml 2set</t>
        </is>
      </c>
      <c r="H3947" s="7" t="n">
        <v>190801</v>
      </c>
      <c r="I3947" s="7" t="n">
        <v>190801</v>
      </c>
      <c r="J3947" s="94" t="n"/>
      <c r="K3947" s="149" t="n">
        <v>4</v>
      </c>
      <c r="L3947" s="7" t="n">
        <v>190801</v>
      </c>
      <c r="M3947" s="94">
        <f>VLOOKUP($Q3947,매칭테이블!$F:$I,2,0)*K3947</f>
        <v/>
      </c>
      <c r="N3947" s="94">
        <f>M3947-M3947*VLOOKUP($Q3947,매칭테이블!$F:$I,3,0)</f>
        <v/>
      </c>
      <c r="O3947" s="94">
        <f>VLOOKUP($Q3947,매칭테이블!$F:$I,4,0)*K3947</f>
        <v/>
      </c>
      <c r="P3947" s="148">
        <f>M3947/1.1</f>
        <v/>
      </c>
      <c r="Q3947" s="94">
        <f>F3947&amp;E3947&amp;G3947&amp;L3947</f>
        <v/>
      </c>
    </row>
    <row r="3948">
      <c r="A3948" s="94" t="n"/>
      <c r="B3948" s="128" t="n">
        <v>43761</v>
      </c>
      <c r="C3948" s="94">
        <f>TEXT(B3948,"aaa")</f>
        <v/>
      </c>
      <c r="D3948" s="94" t="n"/>
      <c r="E3948" s="6" t="inlineStr">
        <is>
          <t>토너</t>
        </is>
      </c>
      <c r="F3948" s="5" t="inlineStr">
        <is>
          <t>W컨셉</t>
        </is>
      </c>
      <c r="G3948" s="5" t="inlineStr">
        <is>
          <t>250ml</t>
        </is>
      </c>
      <c r="H3948" s="7" t="n">
        <v>190801</v>
      </c>
      <c r="I3948" s="7" t="n">
        <v>190801</v>
      </c>
      <c r="J3948" s="94" t="n"/>
      <c r="K3948" s="149" t="n">
        <v>1</v>
      </c>
      <c r="L3948" s="7" t="n">
        <v>190801</v>
      </c>
      <c r="M3948" s="94">
        <f>VLOOKUP($Q3948,매칭테이블!$F:$I,2,0)*K3948</f>
        <v/>
      </c>
      <c r="N3948" s="94">
        <f>M3948-M3948*VLOOKUP($Q3948,매칭테이블!$F:$I,3,0)</f>
        <v/>
      </c>
      <c r="O3948" s="94">
        <f>VLOOKUP($Q3948,매칭테이블!$F:$I,4,0)*K3948</f>
        <v/>
      </c>
      <c r="P3948" s="148">
        <f>M3948/1.1</f>
        <v/>
      </c>
      <c r="Q3948" s="94">
        <f>F3948&amp;E3948&amp;G3948&amp;L3948</f>
        <v/>
      </c>
    </row>
    <row r="3949">
      <c r="A3949" s="94" t="n"/>
      <c r="B3949" s="128" t="n">
        <v>43761</v>
      </c>
      <c r="C3949" s="94">
        <f>TEXT(B3949,"aaa")</f>
        <v/>
      </c>
      <c r="D3949" s="94" t="n"/>
      <c r="E3949" s="6" t="inlineStr">
        <is>
          <t>토너</t>
        </is>
      </c>
      <c r="F3949" s="5" t="inlineStr">
        <is>
          <t>W컨셉</t>
        </is>
      </c>
      <c r="G3949" s="5" t="inlineStr">
        <is>
          <t>250ml 2set</t>
        </is>
      </c>
      <c r="H3949" s="7" t="n">
        <v>190801</v>
      </c>
      <c r="I3949" s="7" t="n">
        <v>190801</v>
      </c>
      <c r="J3949" s="94" t="n"/>
      <c r="K3949" s="149" t="n">
        <v>1</v>
      </c>
      <c r="L3949" s="7" t="n">
        <v>190801</v>
      </c>
      <c r="M3949" s="94">
        <f>VLOOKUP($Q3949,매칭테이블!$F:$I,2,0)*K3949</f>
        <v/>
      </c>
      <c r="N3949" s="94">
        <f>M3949-M3949*VLOOKUP($Q3949,매칭테이블!$F:$I,3,0)</f>
        <v/>
      </c>
      <c r="O3949" s="94">
        <f>VLOOKUP($Q3949,매칭테이블!$F:$I,4,0)*K3949</f>
        <v/>
      </c>
      <c r="P3949" s="148">
        <f>M3949/1.1</f>
        <v/>
      </c>
      <c r="Q3949" s="94">
        <f>F3949&amp;E3949&amp;G3949&amp;L3949</f>
        <v/>
      </c>
    </row>
    <row r="3950">
      <c r="A3950" s="94" t="n"/>
      <c r="B3950" s="128" t="n">
        <v>43761</v>
      </c>
      <c r="C3950" s="94">
        <f>TEXT(B3950,"aaa")</f>
        <v/>
      </c>
      <c r="D3950" s="94" t="n"/>
      <c r="E3950" s="6" t="inlineStr">
        <is>
          <t>토너</t>
        </is>
      </c>
      <c r="F3950" s="5" t="inlineStr">
        <is>
          <t>아누아 CS</t>
        </is>
      </c>
      <c r="G3950" s="5" t="inlineStr">
        <is>
          <t>500ml</t>
        </is>
      </c>
      <c r="H3950" s="7" t="n">
        <v>190801</v>
      </c>
      <c r="I3950" s="7" t="n">
        <v>190801</v>
      </c>
      <c r="J3950" s="94" t="n"/>
      <c r="K3950" s="149" t="n">
        <v>1</v>
      </c>
      <c r="L3950" s="7" t="n">
        <v>190801</v>
      </c>
      <c r="M3950" s="94">
        <f>VLOOKUP($Q3950,매칭테이블!$F:$I,2,0)*K3950</f>
        <v/>
      </c>
      <c r="N3950" s="94">
        <f>M3950-M3950*VLOOKUP($Q3950,매칭테이블!$F:$I,3,0)</f>
        <v/>
      </c>
      <c r="O3950" s="94">
        <f>VLOOKUP($Q3950,매칭테이블!$F:$I,4,0)*K3950</f>
        <v/>
      </c>
      <c r="P3950" s="148">
        <f>M3950/1.1</f>
        <v/>
      </c>
      <c r="Q3950" s="94">
        <f>F3950&amp;E3950&amp;G3950&amp;L3950</f>
        <v/>
      </c>
    </row>
    <row r="3951">
      <c r="A3951" s="94" t="n"/>
      <c r="B3951" s="128" t="n">
        <v>43761</v>
      </c>
      <c r="C3951" s="94">
        <f>TEXT(B3951,"aaa")</f>
        <v/>
      </c>
      <c r="D3951" s="94" t="n"/>
      <c r="E3951" s="6" t="inlineStr">
        <is>
          <t>토너</t>
        </is>
      </c>
      <c r="F3951" s="5" t="inlineStr">
        <is>
          <t>카페24</t>
        </is>
      </c>
      <c r="G3951" s="5" t="inlineStr">
        <is>
          <t>500ml</t>
        </is>
      </c>
      <c r="H3951" s="7" t="n">
        <v>190801</v>
      </c>
      <c r="I3951" s="7" t="n">
        <v>190801</v>
      </c>
      <c r="J3951" s="94" t="n"/>
      <c r="K3951" s="149" t="n">
        <v>58</v>
      </c>
      <c r="L3951" s="7" t="n">
        <v>190801</v>
      </c>
      <c r="M3951" s="94">
        <f>VLOOKUP($Q3951,매칭테이블!$F:$I,2,0)*K3951</f>
        <v/>
      </c>
      <c r="N3951" s="94">
        <f>M3951-M3951*VLOOKUP($Q3951,매칭테이블!$F:$I,3,0)</f>
        <v/>
      </c>
      <c r="O3951" s="94">
        <f>VLOOKUP($Q3951,매칭테이블!$F:$I,4,0)*K3951</f>
        <v/>
      </c>
      <c r="P3951" s="148">
        <f>M3951/1.1</f>
        <v/>
      </c>
      <c r="Q3951" s="94">
        <f>F3951&amp;E3951&amp;G3951&amp;L3951</f>
        <v/>
      </c>
    </row>
    <row r="3952">
      <c r="A3952" s="94" t="n"/>
      <c r="B3952" s="128" t="n">
        <v>43761</v>
      </c>
      <c r="C3952" s="94">
        <f>TEXT(B3952,"aaa")</f>
        <v/>
      </c>
      <c r="D3952" s="94" t="n"/>
      <c r="E3952" s="6" t="inlineStr">
        <is>
          <t>토너</t>
        </is>
      </c>
      <c r="F3952" s="5" t="inlineStr">
        <is>
          <t>카페24</t>
        </is>
      </c>
      <c r="G3952" s="5" t="inlineStr">
        <is>
          <t>250ml</t>
        </is>
      </c>
      <c r="H3952" s="7" t="n">
        <v>190801</v>
      </c>
      <c r="I3952" s="7" t="n">
        <v>190801</v>
      </c>
      <c r="J3952" s="94" t="n"/>
      <c r="K3952" s="149" t="n">
        <v>40</v>
      </c>
      <c r="L3952" s="7" t="n">
        <v>190801</v>
      </c>
      <c r="M3952" s="94">
        <f>VLOOKUP($Q3952,매칭테이블!$F:$I,2,0)*K3952</f>
        <v/>
      </c>
      <c r="N3952" s="94">
        <f>M3952-M3952*VLOOKUP($Q3952,매칭테이블!$F:$I,3,0)</f>
        <v/>
      </c>
      <c r="O3952" s="94">
        <f>VLOOKUP($Q3952,매칭테이블!$F:$I,4,0)*K3952</f>
        <v/>
      </c>
      <c r="P3952" s="148">
        <f>M3952/1.1</f>
        <v/>
      </c>
      <c r="Q3952" s="94">
        <f>F3952&amp;E3952&amp;G3952&amp;L3952</f>
        <v/>
      </c>
    </row>
    <row r="3953">
      <c r="A3953" s="94" t="n"/>
      <c r="B3953" s="128" t="n">
        <v>43761</v>
      </c>
      <c r="C3953" s="94">
        <f>TEXT(B3953,"aaa")</f>
        <v/>
      </c>
      <c r="D3953" s="94" t="n"/>
      <c r="E3953" s="6" t="inlineStr">
        <is>
          <t>토너</t>
        </is>
      </c>
      <c r="F3953" s="5" t="inlineStr">
        <is>
          <t>카페24</t>
        </is>
      </c>
      <c r="G3953" s="5" t="inlineStr">
        <is>
          <t>250ml 2set</t>
        </is>
      </c>
      <c r="H3953" s="7" t="n">
        <v>190801</v>
      </c>
      <c r="I3953" s="7" t="n">
        <v>190801</v>
      </c>
      <c r="J3953" s="94" t="n"/>
      <c r="K3953" s="149" t="n">
        <v>35</v>
      </c>
      <c r="L3953" s="7" t="n">
        <v>190801</v>
      </c>
      <c r="M3953" s="94">
        <f>VLOOKUP($Q3953,매칭테이블!$F:$I,2,0)*K3953</f>
        <v/>
      </c>
      <c r="N3953" s="94">
        <f>M3953-M3953*VLOOKUP($Q3953,매칭테이블!$F:$I,3,0)</f>
        <v/>
      </c>
      <c r="O3953" s="94">
        <f>VLOOKUP($Q3953,매칭테이블!$F:$I,4,0)*K3953</f>
        <v/>
      </c>
      <c r="P3953" s="148">
        <f>M3953/1.1</f>
        <v/>
      </c>
      <c r="Q3953" s="94">
        <f>F3953&amp;E3953&amp;G3953&amp;L3953</f>
        <v/>
      </c>
    </row>
    <row r="3954">
      <c r="A3954" s="94" t="n"/>
      <c r="B3954" s="128" t="n">
        <v>43761</v>
      </c>
      <c r="C3954" s="94">
        <f>TEXT(B3954,"aaa")</f>
        <v/>
      </c>
      <c r="D3954" s="94" t="n"/>
      <c r="E3954" s="6" t="inlineStr">
        <is>
          <t>토너</t>
        </is>
      </c>
      <c r="F3954" s="5" t="inlineStr">
        <is>
          <t>카페24</t>
        </is>
      </c>
      <c r="G3954" s="5" t="inlineStr">
        <is>
          <t>250ml 2set</t>
        </is>
      </c>
      <c r="H3954" s="7" t="n">
        <v>190801</v>
      </c>
      <c r="I3954" s="7" t="n">
        <v>190801</v>
      </c>
      <c r="J3954" s="94" t="n"/>
      <c r="K3954" s="149" t="n">
        <v>1</v>
      </c>
      <c r="L3954" s="7" t="n">
        <v>190801</v>
      </c>
      <c r="M3954" s="94">
        <f>VLOOKUP($Q3954,매칭테이블!$F:$I,2,0)*K3954</f>
        <v/>
      </c>
      <c r="N3954" s="94">
        <f>M3954-M3954*VLOOKUP($Q3954,매칭테이블!$F:$I,3,0)</f>
        <v/>
      </c>
      <c r="O3954" s="94">
        <f>VLOOKUP($Q3954,매칭테이블!$F:$I,4,0)*K3954</f>
        <v/>
      </c>
      <c r="P3954" s="148">
        <f>M3954/1.1</f>
        <v/>
      </c>
      <c r="Q3954" s="94">
        <f>F3954&amp;E3954&amp;G3954&amp;L3954</f>
        <v/>
      </c>
    </row>
    <row r="3955">
      <c r="A3955" s="94" t="n"/>
      <c r="B3955" s="128" t="n">
        <v>43761</v>
      </c>
      <c r="C3955" s="94">
        <f>TEXT(B3955,"aaa")</f>
        <v/>
      </c>
      <c r="D3955" s="94" t="n"/>
      <c r="E3955" s="6" t="inlineStr">
        <is>
          <t>토너</t>
        </is>
      </c>
      <c r="F3955" s="5" t="inlineStr">
        <is>
          <t>카페24</t>
        </is>
      </c>
      <c r="G3955" s="5" t="inlineStr">
        <is>
          <t>250ml 2set</t>
        </is>
      </c>
      <c r="H3955" s="7" t="n">
        <v>190801</v>
      </c>
      <c r="I3955" s="7" t="n">
        <v>190801</v>
      </c>
      <c r="J3955" s="94" t="n"/>
      <c r="K3955" s="149" t="n">
        <v>5</v>
      </c>
      <c r="L3955" s="7" t="n">
        <v>190801</v>
      </c>
      <c r="M3955" s="94">
        <f>VLOOKUP($Q3955,매칭테이블!$F:$I,2,0)*K3955</f>
        <v/>
      </c>
      <c r="N3955" s="94">
        <f>M3955-M3955*VLOOKUP($Q3955,매칭테이블!$F:$I,3,0)</f>
        <v/>
      </c>
      <c r="O3955" s="94">
        <f>VLOOKUP($Q3955,매칭테이블!$F:$I,4,0)*K3955</f>
        <v/>
      </c>
      <c r="P3955" s="148">
        <f>M3955/1.1</f>
        <v/>
      </c>
      <c r="Q3955" s="94">
        <f>F3955&amp;E3955&amp;G3955&amp;L3955</f>
        <v/>
      </c>
    </row>
    <row r="3956">
      <c r="A3956" s="94" t="n"/>
      <c r="B3956" s="128" t="n">
        <v>43762</v>
      </c>
      <c r="C3956" s="94">
        <f>TEXT(B3956,"aaa")</f>
        <v/>
      </c>
      <c r="D3956" s="94" t="n"/>
      <c r="E3956" s="6" t="inlineStr">
        <is>
          <t>토너</t>
        </is>
      </c>
      <c r="F3956" s="5" t="inlineStr">
        <is>
          <t>W컨셉</t>
        </is>
      </c>
      <c r="G3956" s="5" t="inlineStr">
        <is>
          <t>250ml</t>
        </is>
      </c>
      <c r="H3956" s="7" t="n">
        <v>190801</v>
      </c>
      <c r="I3956" s="7" t="n">
        <v>190801</v>
      </c>
      <c r="J3956" s="94" t="n"/>
      <c r="K3956" s="149" t="n">
        <v>3</v>
      </c>
      <c r="L3956" s="7" t="n">
        <v>190801</v>
      </c>
      <c r="M3956" s="94">
        <f>VLOOKUP($Q3956,매칭테이블!$F:$I,2,0)*K3956</f>
        <v/>
      </c>
      <c r="N3956" s="94">
        <f>M3956-M3956*VLOOKUP($Q3956,매칭테이블!$F:$I,3,0)</f>
        <v/>
      </c>
      <c r="O3956" s="94">
        <f>VLOOKUP($Q3956,매칭테이블!$F:$I,4,0)*K3956</f>
        <v/>
      </c>
      <c r="P3956" s="148">
        <f>M3956/1.1</f>
        <v/>
      </c>
      <c r="Q3956" s="94">
        <f>F3956&amp;E3956&amp;G3956&amp;L3956</f>
        <v/>
      </c>
    </row>
    <row r="3957">
      <c r="A3957" s="94" t="n"/>
      <c r="B3957" s="128" t="n">
        <v>43762</v>
      </c>
      <c r="C3957" s="94">
        <f>TEXT(B3957,"aaa")</f>
        <v/>
      </c>
      <c r="D3957" s="94" t="n"/>
      <c r="E3957" s="6" t="inlineStr">
        <is>
          <t>토너</t>
        </is>
      </c>
      <c r="F3957" s="5" t="inlineStr">
        <is>
          <t>W컨셉</t>
        </is>
      </c>
      <c r="G3957" s="5" t="inlineStr">
        <is>
          <t>250ml 2set</t>
        </is>
      </c>
      <c r="H3957" s="7" t="n">
        <v>190801</v>
      </c>
      <c r="I3957" s="7" t="n">
        <v>190801</v>
      </c>
      <c r="J3957" s="94" t="n"/>
      <c r="K3957" s="149" t="n">
        <v>4</v>
      </c>
      <c r="L3957" s="7" t="n">
        <v>190801</v>
      </c>
      <c r="M3957" s="94">
        <f>VLOOKUP($Q3957,매칭테이블!$F:$I,2,0)*K3957</f>
        <v/>
      </c>
      <c r="N3957" s="94">
        <f>M3957-M3957*VLOOKUP($Q3957,매칭테이블!$F:$I,3,0)</f>
        <v/>
      </c>
      <c r="O3957" s="94">
        <f>VLOOKUP($Q3957,매칭테이블!$F:$I,4,0)*K3957</f>
        <v/>
      </c>
      <c r="P3957" s="148">
        <f>M3957/1.1</f>
        <v/>
      </c>
      <c r="Q3957" s="94">
        <f>F3957&amp;E3957&amp;G3957&amp;L3957</f>
        <v/>
      </c>
    </row>
    <row r="3958">
      <c r="A3958" s="94" t="n"/>
      <c r="B3958" s="128" t="n">
        <v>43762</v>
      </c>
      <c r="C3958" s="94">
        <f>TEXT(B3958,"aaa")</f>
        <v/>
      </c>
      <c r="D3958" s="94" t="n"/>
      <c r="E3958" s="6" t="inlineStr">
        <is>
          <t>토너</t>
        </is>
      </c>
      <c r="F3958" s="5" t="inlineStr">
        <is>
          <t>카페24</t>
        </is>
      </c>
      <c r="G3958" s="5" t="inlineStr">
        <is>
          <t>500ml</t>
        </is>
      </c>
      <c r="H3958" s="7" t="n">
        <v>190801</v>
      </c>
      <c r="I3958" s="7" t="n">
        <v>190801</v>
      </c>
      <c r="J3958" s="94" t="n"/>
      <c r="K3958" s="149" t="n">
        <v>36</v>
      </c>
      <c r="L3958" s="7" t="n">
        <v>190801</v>
      </c>
      <c r="M3958" s="94">
        <f>VLOOKUP($Q3958,매칭테이블!$F:$I,2,0)*K3958</f>
        <v/>
      </c>
      <c r="N3958" s="94">
        <f>M3958-M3958*VLOOKUP($Q3958,매칭테이블!$F:$I,3,0)</f>
        <v/>
      </c>
      <c r="O3958" s="94">
        <f>VLOOKUP($Q3958,매칭테이블!$F:$I,4,0)*K3958</f>
        <v/>
      </c>
      <c r="P3958" s="148">
        <f>M3958/1.1</f>
        <v/>
      </c>
      <c r="Q3958" s="94">
        <f>F3958&amp;E3958&amp;G3958&amp;L3958</f>
        <v/>
      </c>
    </row>
    <row r="3959">
      <c r="A3959" s="94" t="n"/>
      <c r="B3959" s="128" t="n">
        <v>43762</v>
      </c>
      <c r="C3959" s="94">
        <f>TEXT(B3959,"aaa")</f>
        <v/>
      </c>
      <c r="D3959" s="94" t="n"/>
      <c r="E3959" s="6" t="inlineStr">
        <is>
          <t>토너</t>
        </is>
      </c>
      <c r="F3959" s="5" t="inlineStr">
        <is>
          <t>카페24</t>
        </is>
      </c>
      <c r="G3959" s="5" t="inlineStr">
        <is>
          <t>250ml</t>
        </is>
      </c>
      <c r="H3959" s="7" t="n">
        <v>190801</v>
      </c>
      <c r="I3959" s="7" t="n">
        <v>190801</v>
      </c>
      <c r="J3959" s="94" t="n"/>
      <c r="K3959" s="149" t="n">
        <v>26</v>
      </c>
      <c r="L3959" s="7" t="n">
        <v>190801</v>
      </c>
      <c r="M3959" s="94">
        <f>VLOOKUP($Q3959,매칭테이블!$F:$I,2,0)*K3959</f>
        <v/>
      </c>
      <c r="N3959" s="94">
        <f>M3959-M3959*VLOOKUP($Q3959,매칭테이블!$F:$I,3,0)</f>
        <v/>
      </c>
      <c r="O3959" s="94">
        <f>VLOOKUP($Q3959,매칭테이블!$F:$I,4,0)*K3959</f>
        <v/>
      </c>
      <c r="P3959" s="148">
        <f>M3959/1.1</f>
        <v/>
      </c>
      <c r="Q3959" s="94">
        <f>F3959&amp;E3959&amp;G3959&amp;L3959</f>
        <v/>
      </c>
    </row>
    <row r="3960">
      <c r="A3960" s="94" t="n"/>
      <c r="B3960" s="128" t="n">
        <v>43762</v>
      </c>
      <c r="C3960" s="94">
        <f>TEXT(B3960,"aaa")</f>
        <v/>
      </c>
      <c r="D3960" s="94" t="n"/>
      <c r="E3960" s="6" t="inlineStr">
        <is>
          <t>토너</t>
        </is>
      </c>
      <c r="F3960" s="5" t="inlineStr">
        <is>
          <t>카페24</t>
        </is>
      </c>
      <c r="G3960" s="5" t="inlineStr">
        <is>
          <t>250ml 2set</t>
        </is>
      </c>
      <c r="H3960" s="7" t="n">
        <v>190801</v>
      </c>
      <c r="I3960" s="7" t="n">
        <v>190801</v>
      </c>
      <c r="J3960" s="94" t="n"/>
      <c r="K3960" s="149" t="n">
        <v>13</v>
      </c>
      <c r="L3960" s="7" t="n">
        <v>190801</v>
      </c>
      <c r="M3960" s="94">
        <f>VLOOKUP($Q3960,매칭테이블!$F:$I,2,0)*K3960</f>
        <v/>
      </c>
      <c r="N3960" s="94">
        <f>M3960-M3960*VLOOKUP($Q3960,매칭테이블!$F:$I,3,0)</f>
        <v/>
      </c>
      <c r="O3960" s="94">
        <f>VLOOKUP($Q3960,매칭테이블!$F:$I,4,0)*K3960</f>
        <v/>
      </c>
      <c r="P3960" s="148">
        <f>M3960/1.1</f>
        <v/>
      </c>
      <c r="Q3960" s="94">
        <f>F3960&amp;E3960&amp;G3960&amp;L3960</f>
        <v/>
      </c>
    </row>
    <row r="3961">
      <c r="A3961" s="94" t="n"/>
      <c r="B3961" s="128" t="n">
        <v>43763</v>
      </c>
      <c r="C3961" s="94">
        <f>TEXT(B3961,"aaa")</f>
        <v/>
      </c>
      <c r="D3961" s="94" t="n"/>
      <c r="E3961" s="6" t="inlineStr">
        <is>
          <t>토너</t>
        </is>
      </c>
      <c r="F3961" s="5" t="inlineStr">
        <is>
          <t>W컨셉</t>
        </is>
      </c>
      <c r="G3961" s="5" t="inlineStr">
        <is>
          <t>250ml</t>
        </is>
      </c>
      <c r="H3961" s="7" t="n">
        <v>190801</v>
      </c>
      <c r="I3961" s="7" t="n">
        <v>190801</v>
      </c>
      <c r="J3961" s="94" t="n"/>
      <c r="K3961" s="149" t="n">
        <v>1</v>
      </c>
      <c r="L3961" s="7" t="n">
        <v>190801</v>
      </c>
      <c r="M3961" s="94">
        <f>VLOOKUP($Q3961,매칭테이블!$F:$I,2,0)*K3961</f>
        <v/>
      </c>
      <c r="N3961" s="94">
        <f>M3961-M3961*VLOOKUP($Q3961,매칭테이블!$F:$I,3,0)</f>
        <v/>
      </c>
      <c r="O3961" s="94">
        <f>VLOOKUP($Q3961,매칭테이블!$F:$I,4,0)*K3961</f>
        <v/>
      </c>
      <c r="P3961" s="148">
        <f>M3961/1.1</f>
        <v/>
      </c>
      <c r="Q3961" s="94">
        <f>F3961&amp;E3961&amp;G3961&amp;L3961</f>
        <v/>
      </c>
    </row>
    <row r="3962">
      <c r="A3962" s="94" t="n"/>
      <c r="B3962" s="128" t="n">
        <v>43763</v>
      </c>
      <c r="C3962" s="94">
        <f>TEXT(B3962,"aaa")</f>
        <v/>
      </c>
      <c r="D3962" s="94" t="n"/>
      <c r="E3962" s="6" t="inlineStr">
        <is>
          <t>토너</t>
        </is>
      </c>
      <c r="F3962" s="5" t="inlineStr">
        <is>
          <t>W컨셉</t>
        </is>
      </c>
      <c r="G3962" s="5" t="inlineStr">
        <is>
          <t>250ml 2set</t>
        </is>
      </c>
      <c r="H3962" s="7" t="n">
        <v>190801</v>
      </c>
      <c r="I3962" s="7" t="n">
        <v>190801</v>
      </c>
      <c r="J3962" s="94" t="n"/>
      <c r="K3962" s="149" t="n">
        <v>1</v>
      </c>
      <c r="L3962" s="7" t="n">
        <v>190801</v>
      </c>
      <c r="M3962" s="94">
        <f>VLOOKUP($Q3962,매칭테이블!$F:$I,2,0)*K3962</f>
        <v/>
      </c>
      <c r="N3962" s="94">
        <f>M3962-M3962*VLOOKUP($Q3962,매칭테이블!$F:$I,3,0)</f>
        <v/>
      </c>
      <c r="O3962" s="94">
        <f>VLOOKUP($Q3962,매칭테이블!$F:$I,4,0)*K3962</f>
        <v/>
      </c>
      <c r="P3962" s="148">
        <f>M3962/1.1</f>
        <v/>
      </c>
      <c r="Q3962" s="94">
        <f>F3962&amp;E3962&amp;G3962&amp;L3962</f>
        <v/>
      </c>
    </row>
    <row r="3963">
      <c r="A3963" s="94" t="n"/>
      <c r="B3963" s="128" t="n">
        <v>43763</v>
      </c>
      <c r="C3963" s="94">
        <f>TEXT(B3963,"aaa")</f>
        <v/>
      </c>
      <c r="D3963" s="94" t="n"/>
      <c r="E3963" s="6" t="inlineStr">
        <is>
          <t>토너</t>
        </is>
      </c>
      <c r="F3963" s="5" t="inlineStr">
        <is>
          <t>아누아 CS</t>
        </is>
      </c>
      <c r="G3963" s="5" t="inlineStr">
        <is>
          <t>500ml</t>
        </is>
      </c>
      <c r="H3963" s="7" t="n">
        <v>190801</v>
      </c>
      <c r="I3963" s="7" t="n">
        <v>190801</v>
      </c>
      <c r="J3963" s="94" t="n"/>
      <c r="K3963" s="149" t="n">
        <v>6</v>
      </c>
      <c r="L3963" s="7" t="n">
        <v>190801</v>
      </c>
      <c r="M3963" s="94">
        <f>VLOOKUP($Q3963,매칭테이블!$F:$I,2,0)*K3963</f>
        <v/>
      </c>
      <c r="N3963" s="94">
        <f>M3963-M3963*VLOOKUP($Q3963,매칭테이블!$F:$I,3,0)</f>
        <v/>
      </c>
      <c r="O3963" s="94">
        <f>VLOOKUP($Q3963,매칭테이블!$F:$I,4,0)*K3963</f>
        <v/>
      </c>
      <c r="P3963" s="148">
        <f>M3963/1.1</f>
        <v/>
      </c>
      <c r="Q3963" s="94">
        <f>F3963&amp;E3963&amp;G3963&amp;L3963</f>
        <v/>
      </c>
    </row>
    <row r="3964">
      <c r="A3964" s="94" t="n"/>
      <c r="B3964" s="128" t="n">
        <v>43763</v>
      </c>
      <c r="C3964" s="94">
        <f>TEXT(B3964,"aaa")</f>
        <v/>
      </c>
      <c r="D3964" s="94" t="n"/>
      <c r="E3964" s="6" t="inlineStr">
        <is>
          <t>토너</t>
        </is>
      </c>
      <c r="F3964" s="5" t="inlineStr">
        <is>
          <t>카페24</t>
        </is>
      </c>
      <c r="G3964" s="5" t="inlineStr">
        <is>
          <t>500ml</t>
        </is>
      </c>
      <c r="H3964" s="7" t="n">
        <v>190801</v>
      </c>
      <c r="I3964" s="7" t="n">
        <v>190801</v>
      </c>
      <c r="J3964" s="94" t="n"/>
      <c r="K3964" s="149" t="n">
        <v>24</v>
      </c>
      <c r="L3964" s="7" t="n">
        <v>190801</v>
      </c>
      <c r="M3964" s="94">
        <f>VLOOKUP($Q3964,매칭테이블!$F:$I,2,0)*K3964</f>
        <v/>
      </c>
      <c r="N3964" s="94">
        <f>M3964-M3964*VLOOKUP($Q3964,매칭테이블!$F:$I,3,0)</f>
        <v/>
      </c>
      <c r="O3964" s="94">
        <f>VLOOKUP($Q3964,매칭테이블!$F:$I,4,0)*K3964</f>
        <v/>
      </c>
      <c r="P3964" s="148">
        <f>M3964/1.1</f>
        <v/>
      </c>
      <c r="Q3964" s="94">
        <f>F3964&amp;E3964&amp;G3964&amp;L3964</f>
        <v/>
      </c>
    </row>
    <row r="3965">
      <c r="A3965" s="94" t="n"/>
      <c r="B3965" s="128" t="n">
        <v>43763</v>
      </c>
      <c r="C3965" s="94">
        <f>TEXT(B3965,"aaa")</f>
        <v/>
      </c>
      <c r="D3965" s="94" t="n"/>
      <c r="E3965" s="6" t="inlineStr">
        <is>
          <t>토너</t>
        </is>
      </c>
      <c r="F3965" s="5" t="inlineStr">
        <is>
          <t>카페24</t>
        </is>
      </c>
      <c r="G3965" s="5" t="inlineStr">
        <is>
          <t>250ml</t>
        </is>
      </c>
      <c r="H3965" s="7" t="n">
        <v>190801</v>
      </c>
      <c r="I3965" s="7" t="n">
        <v>190801</v>
      </c>
      <c r="J3965" s="94" t="n"/>
      <c r="K3965" s="149" t="n">
        <v>27</v>
      </c>
      <c r="L3965" s="7" t="n">
        <v>190801</v>
      </c>
      <c r="M3965" s="94">
        <f>VLOOKUP($Q3965,매칭테이블!$F:$I,2,0)*K3965</f>
        <v/>
      </c>
      <c r="N3965" s="94">
        <f>M3965-M3965*VLOOKUP($Q3965,매칭테이블!$F:$I,3,0)</f>
        <v/>
      </c>
      <c r="O3965" s="94">
        <f>VLOOKUP($Q3965,매칭테이블!$F:$I,4,0)*K3965</f>
        <v/>
      </c>
      <c r="P3965" s="148">
        <f>M3965/1.1</f>
        <v/>
      </c>
      <c r="Q3965" s="94">
        <f>F3965&amp;E3965&amp;G3965&amp;L3965</f>
        <v/>
      </c>
    </row>
    <row r="3966">
      <c r="A3966" s="94" t="n"/>
      <c r="B3966" s="128" t="n">
        <v>43763</v>
      </c>
      <c r="C3966" s="94">
        <f>TEXT(B3966,"aaa")</f>
        <v/>
      </c>
      <c r="D3966" s="94" t="n"/>
      <c r="E3966" s="6" t="inlineStr">
        <is>
          <t>토너</t>
        </is>
      </c>
      <c r="F3966" s="5" t="inlineStr">
        <is>
          <t>카페24</t>
        </is>
      </c>
      <c r="G3966" s="5" t="inlineStr">
        <is>
          <t>500ml</t>
        </is>
      </c>
      <c r="H3966" s="7" t="n">
        <v>190801</v>
      </c>
      <c r="I3966" s="7" t="n">
        <v>190801</v>
      </c>
      <c r="J3966" s="94" t="n"/>
      <c r="K3966" s="149" t="n">
        <v>30</v>
      </c>
      <c r="L3966" s="7" t="n">
        <v>190801</v>
      </c>
      <c r="M3966" s="94">
        <f>VLOOKUP($Q3966,매칭테이블!$F:$I,2,0)*K3966</f>
        <v/>
      </c>
      <c r="N3966" s="94">
        <f>M3966-M3966*VLOOKUP($Q3966,매칭테이블!$F:$I,3,0)</f>
        <v/>
      </c>
      <c r="O3966" s="94">
        <f>VLOOKUP($Q3966,매칭테이블!$F:$I,4,0)*K3966</f>
        <v/>
      </c>
      <c r="P3966" s="148">
        <f>M3966/1.1</f>
        <v/>
      </c>
      <c r="Q3966" s="94">
        <f>F3966&amp;E3966&amp;G3966&amp;L3966</f>
        <v/>
      </c>
    </row>
    <row r="3967">
      <c r="A3967" s="94" t="n"/>
      <c r="B3967" s="128" t="n">
        <v>43764</v>
      </c>
      <c r="C3967" s="94">
        <f>TEXT(B3967,"aaa")</f>
        <v/>
      </c>
      <c r="D3967" s="94" t="n"/>
      <c r="E3967" s="6" t="inlineStr">
        <is>
          <t>토너</t>
        </is>
      </c>
      <c r="F3967" s="5" t="inlineStr">
        <is>
          <t>W컨셉</t>
        </is>
      </c>
      <c r="G3967" s="5" t="inlineStr">
        <is>
          <t>250ml 2set</t>
        </is>
      </c>
      <c r="H3967" s="7" t="n">
        <v>190801</v>
      </c>
      <c r="I3967" s="7" t="n">
        <v>190801</v>
      </c>
      <c r="J3967" s="94" t="n"/>
      <c r="K3967" s="149" t="n">
        <v>4</v>
      </c>
      <c r="L3967" s="7" t="n">
        <v>190801</v>
      </c>
      <c r="M3967" s="94">
        <f>VLOOKUP($Q3967,매칭테이블!$F:$I,2,0)*K3967</f>
        <v/>
      </c>
      <c r="N3967" s="94">
        <f>M3967-M3967*VLOOKUP($Q3967,매칭테이블!$F:$I,3,0)</f>
        <v/>
      </c>
      <c r="O3967" s="94">
        <f>VLOOKUP($Q3967,매칭테이블!$F:$I,4,0)*K3967</f>
        <v/>
      </c>
      <c r="P3967" s="148">
        <f>M3967/1.1</f>
        <v/>
      </c>
      <c r="Q3967" s="94">
        <f>F3967&amp;E3967&amp;G3967&amp;L3967</f>
        <v/>
      </c>
    </row>
    <row r="3968">
      <c r="A3968" s="94" t="n"/>
      <c r="B3968" s="128" t="n">
        <v>43764</v>
      </c>
      <c r="C3968" s="94">
        <f>TEXT(B3968,"aaa")</f>
        <v/>
      </c>
      <c r="D3968" s="94" t="n"/>
      <c r="E3968" s="6" t="inlineStr">
        <is>
          <t>토너</t>
        </is>
      </c>
      <c r="F3968" s="5" t="inlineStr">
        <is>
          <t>카페24</t>
        </is>
      </c>
      <c r="G3968" s="5" t="inlineStr">
        <is>
          <t>500ml</t>
        </is>
      </c>
      <c r="H3968" s="7" t="n">
        <v>190801</v>
      </c>
      <c r="I3968" s="7" t="n">
        <v>190801</v>
      </c>
      <c r="J3968" s="94" t="n"/>
      <c r="K3968" s="149" t="n">
        <v>16</v>
      </c>
      <c r="L3968" s="7" t="n">
        <v>190801</v>
      </c>
      <c r="M3968" s="94">
        <f>VLOOKUP($Q3968,매칭테이블!$F:$I,2,0)*K3968</f>
        <v/>
      </c>
      <c r="N3968" s="94">
        <f>M3968-M3968*VLOOKUP($Q3968,매칭테이블!$F:$I,3,0)</f>
        <v/>
      </c>
      <c r="O3968" s="94">
        <f>VLOOKUP($Q3968,매칭테이블!$F:$I,4,0)*K3968</f>
        <v/>
      </c>
      <c r="P3968" s="148">
        <f>M3968/1.1</f>
        <v/>
      </c>
      <c r="Q3968" s="94">
        <f>F3968&amp;E3968&amp;G3968&amp;L3968</f>
        <v/>
      </c>
    </row>
    <row r="3969">
      <c r="A3969" s="94" t="n"/>
      <c r="B3969" s="128" t="n">
        <v>43764</v>
      </c>
      <c r="C3969" s="94">
        <f>TEXT(B3969,"aaa")</f>
        <v/>
      </c>
      <c r="D3969" s="94" t="n"/>
      <c r="E3969" s="6" t="inlineStr">
        <is>
          <t>토너</t>
        </is>
      </c>
      <c r="F3969" s="5" t="inlineStr">
        <is>
          <t>카페24</t>
        </is>
      </c>
      <c r="G3969" s="5" t="inlineStr">
        <is>
          <t>250ml</t>
        </is>
      </c>
      <c r="H3969" s="7" t="n">
        <v>190801</v>
      </c>
      <c r="I3969" s="7" t="n">
        <v>190801</v>
      </c>
      <c r="J3969" s="94" t="n"/>
      <c r="K3969" s="149" t="n">
        <v>26</v>
      </c>
      <c r="L3969" s="7" t="n">
        <v>190801</v>
      </c>
      <c r="M3969" s="94">
        <f>VLOOKUP($Q3969,매칭테이블!$F:$I,2,0)*K3969</f>
        <v/>
      </c>
      <c r="N3969" s="94">
        <f>M3969-M3969*VLOOKUP($Q3969,매칭테이블!$F:$I,3,0)</f>
        <v/>
      </c>
      <c r="O3969" s="94">
        <f>VLOOKUP($Q3969,매칭테이블!$F:$I,4,0)*K3969</f>
        <v/>
      </c>
      <c r="P3969" s="148">
        <f>M3969/1.1</f>
        <v/>
      </c>
      <c r="Q3969" s="94">
        <f>F3969&amp;E3969&amp;G3969&amp;L3969</f>
        <v/>
      </c>
    </row>
    <row r="3970">
      <c r="A3970" s="94" t="n"/>
      <c r="B3970" s="128" t="n">
        <v>43764</v>
      </c>
      <c r="C3970" s="94">
        <f>TEXT(B3970,"aaa")</f>
        <v/>
      </c>
      <c r="D3970" s="94" t="n"/>
      <c r="E3970" s="6" t="inlineStr">
        <is>
          <t>토너</t>
        </is>
      </c>
      <c r="F3970" s="5" t="inlineStr">
        <is>
          <t>카페24</t>
        </is>
      </c>
      <c r="G3970" s="5" t="inlineStr">
        <is>
          <t>500ml</t>
        </is>
      </c>
      <c r="H3970" s="7" t="n">
        <v>190801</v>
      </c>
      <c r="I3970" s="7" t="n">
        <v>190801</v>
      </c>
      <c r="J3970" s="94" t="n"/>
      <c r="K3970" s="149" t="n">
        <v>24</v>
      </c>
      <c r="L3970" s="7" t="n">
        <v>190801</v>
      </c>
      <c r="M3970" s="94">
        <f>VLOOKUP($Q3970,매칭테이블!$F:$I,2,0)*K3970</f>
        <v/>
      </c>
      <c r="N3970" s="94">
        <f>M3970-M3970*VLOOKUP($Q3970,매칭테이블!$F:$I,3,0)</f>
        <v/>
      </c>
      <c r="O3970" s="94">
        <f>VLOOKUP($Q3970,매칭테이블!$F:$I,4,0)*K3970</f>
        <v/>
      </c>
      <c r="P3970" s="148">
        <f>M3970/1.1</f>
        <v/>
      </c>
      <c r="Q3970" s="94">
        <f>F3970&amp;E3970&amp;G3970&amp;L3970</f>
        <v/>
      </c>
    </row>
    <row r="3971">
      <c r="A3971" s="94" t="n"/>
      <c r="B3971" s="128" t="n">
        <v>43765</v>
      </c>
      <c r="C3971" s="94">
        <f>TEXT(B3971,"aaa")</f>
        <v/>
      </c>
      <c r="D3971" s="94" t="n"/>
      <c r="E3971" s="6" t="inlineStr">
        <is>
          <t>토너</t>
        </is>
      </c>
      <c r="F3971" s="5" t="inlineStr">
        <is>
          <t>W컨셉</t>
        </is>
      </c>
      <c r="G3971" s="5" t="inlineStr">
        <is>
          <t>250ml</t>
        </is>
      </c>
      <c r="H3971" s="7" t="n">
        <v>190801</v>
      </c>
      <c r="I3971" s="7" t="n">
        <v>190801</v>
      </c>
      <c r="J3971" s="94" t="n"/>
      <c r="K3971" s="149" t="n">
        <v>1</v>
      </c>
      <c r="L3971" s="7" t="n">
        <v>190801</v>
      </c>
      <c r="M3971" s="94">
        <f>VLOOKUP($Q3971,매칭테이블!$F:$I,2,0)*K3971</f>
        <v/>
      </c>
      <c r="N3971" s="94">
        <f>M3971-M3971*VLOOKUP($Q3971,매칭테이블!$F:$I,3,0)</f>
        <v/>
      </c>
      <c r="O3971" s="94">
        <f>VLOOKUP($Q3971,매칭테이블!$F:$I,4,0)*K3971</f>
        <v/>
      </c>
      <c r="P3971" s="148">
        <f>M3971/1.1</f>
        <v/>
      </c>
      <c r="Q3971" s="94">
        <f>F3971&amp;E3971&amp;G3971&amp;L3971</f>
        <v/>
      </c>
    </row>
    <row r="3972">
      <c r="A3972" s="94" t="n"/>
      <c r="B3972" s="128" t="n">
        <v>43765</v>
      </c>
      <c r="C3972" s="94">
        <f>TEXT(B3972,"aaa")</f>
        <v/>
      </c>
      <c r="D3972" s="94" t="n"/>
      <c r="E3972" s="6" t="inlineStr">
        <is>
          <t>토너</t>
        </is>
      </c>
      <c r="F3972" s="5" t="inlineStr">
        <is>
          <t>W컨셉</t>
        </is>
      </c>
      <c r="G3972" s="5" t="inlineStr">
        <is>
          <t>250ml 2set</t>
        </is>
      </c>
      <c r="H3972" s="7" t="n">
        <v>190801</v>
      </c>
      <c r="I3972" s="7" t="n">
        <v>190801</v>
      </c>
      <c r="J3972" s="94" t="n"/>
      <c r="K3972" s="149" t="n">
        <v>2</v>
      </c>
      <c r="L3972" s="7" t="n">
        <v>190801</v>
      </c>
      <c r="M3972" s="94">
        <f>VLOOKUP($Q3972,매칭테이블!$F:$I,2,0)*K3972</f>
        <v/>
      </c>
      <c r="N3972" s="94">
        <f>M3972-M3972*VLOOKUP($Q3972,매칭테이블!$F:$I,3,0)</f>
        <v/>
      </c>
      <c r="O3972" s="94">
        <f>VLOOKUP($Q3972,매칭테이블!$F:$I,4,0)*K3972</f>
        <v/>
      </c>
      <c r="P3972" s="148">
        <f>M3972/1.1</f>
        <v/>
      </c>
      <c r="Q3972" s="94">
        <f>F3972&amp;E3972&amp;G3972&amp;L3972</f>
        <v/>
      </c>
    </row>
    <row r="3973">
      <c r="A3973" s="94" t="n"/>
      <c r="B3973" s="128" t="n">
        <v>43765</v>
      </c>
      <c r="C3973" s="94">
        <f>TEXT(B3973,"aaa")</f>
        <v/>
      </c>
      <c r="D3973" s="94" t="n"/>
      <c r="E3973" s="6" t="inlineStr">
        <is>
          <t>토너</t>
        </is>
      </c>
      <c r="F3973" s="5" t="inlineStr">
        <is>
          <t>카페24</t>
        </is>
      </c>
      <c r="G3973" s="5" t="inlineStr">
        <is>
          <t>500ml</t>
        </is>
      </c>
      <c r="H3973" s="7" t="n">
        <v>190801</v>
      </c>
      <c r="I3973" s="7" t="n">
        <v>190801</v>
      </c>
      <c r="J3973" s="94" t="n"/>
      <c r="K3973" s="149" t="n">
        <v>20</v>
      </c>
      <c r="L3973" s="7" t="n">
        <v>190801</v>
      </c>
      <c r="M3973" s="94">
        <f>VLOOKUP($Q3973,매칭테이블!$F:$I,2,0)*K3973</f>
        <v/>
      </c>
      <c r="N3973" s="94">
        <f>M3973-M3973*VLOOKUP($Q3973,매칭테이블!$F:$I,3,0)</f>
        <v/>
      </c>
      <c r="O3973" s="94">
        <f>VLOOKUP($Q3973,매칭테이블!$F:$I,4,0)*K3973</f>
        <v/>
      </c>
      <c r="P3973" s="148">
        <f>M3973/1.1</f>
        <v/>
      </c>
      <c r="Q3973" s="94">
        <f>F3973&amp;E3973&amp;G3973&amp;L3973</f>
        <v/>
      </c>
    </row>
    <row r="3974">
      <c r="A3974" s="94" t="n"/>
      <c r="B3974" s="128" t="n">
        <v>43765</v>
      </c>
      <c r="C3974" s="94">
        <f>TEXT(B3974,"aaa")</f>
        <v/>
      </c>
      <c r="D3974" s="94" t="n"/>
      <c r="E3974" s="6" t="inlineStr">
        <is>
          <t>토너</t>
        </is>
      </c>
      <c r="F3974" s="5" t="inlineStr">
        <is>
          <t>카페24</t>
        </is>
      </c>
      <c r="G3974" s="5" t="inlineStr">
        <is>
          <t>250ml</t>
        </is>
      </c>
      <c r="H3974" s="7" t="n">
        <v>190801</v>
      </c>
      <c r="I3974" s="7" t="n">
        <v>190801</v>
      </c>
      <c r="J3974" s="94" t="n"/>
      <c r="K3974" s="149" t="n">
        <v>36</v>
      </c>
      <c r="L3974" s="7" t="n">
        <v>190801</v>
      </c>
      <c r="M3974" s="94">
        <f>VLOOKUP($Q3974,매칭테이블!$F:$I,2,0)*K3974</f>
        <v/>
      </c>
      <c r="N3974" s="94">
        <f>M3974-M3974*VLOOKUP($Q3974,매칭테이블!$F:$I,3,0)</f>
        <v/>
      </c>
      <c r="O3974" s="94">
        <f>VLOOKUP($Q3974,매칭테이블!$F:$I,4,0)*K3974</f>
        <v/>
      </c>
      <c r="P3974" s="148">
        <f>M3974/1.1</f>
        <v/>
      </c>
      <c r="Q3974" s="94">
        <f>F3974&amp;E3974&amp;G3974&amp;L3974</f>
        <v/>
      </c>
    </row>
    <row r="3975">
      <c r="A3975" s="94" t="n"/>
      <c r="B3975" s="128" t="n">
        <v>43765</v>
      </c>
      <c r="C3975" s="94">
        <f>TEXT(B3975,"aaa")</f>
        <v/>
      </c>
      <c r="D3975" s="94" t="n"/>
      <c r="E3975" s="6" t="inlineStr">
        <is>
          <t>토너</t>
        </is>
      </c>
      <c r="F3975" s="5" t="inlineStr">
        <is>
          <t>카페24</t>
        </is>
      </c>
      <c r="G3975" s="5" t="inlineStr">
        <is>
          <t>500ml</t>
        </is>
      </c>
      <c r="H3975" s="7" t="n">
        <v>190801</v>
      </c>
      <c r="I3975" s="7" t="n">
        <v>190801</v>
      </c>
      <c r="J3975" s="94" t="n"/>
      <c r="K3975" s="149" t="n">
        <v>26</v>
      </c>
      <c r="L3975" s="7" t="n">
        <v>190801</v>
      </c>
      <c r="M3975" s="94">
        <f>VLOOKUP($Q3975,매칭테이블!$F:$I,2,0)*K3975</f>
        <v/>
      </c>
      <c r="N3975" s="94">
        <f>M3975-M3975*VLOOKUP($Q3975,매칭테이블!$F:$I,3,0)</f>
        <v/>
      </c>
      <c r="O3975" s="94">
        <f>VLOOKUP($Q3975,매칭테이블!$F:$I,4,0)*K3975</f>
        <v/>
      </c>
      <c r="P3975" s="148">
        <f>M3975/1.1</f>
        <v/>
      </c>
      <c r="Q3975" s="94">
        <f>F3975&amp;E3975&amp;G3975&amp;L3975</f>
        <v/>
      </c>
    </row>
    <row r="3976">
      <c r="A3976" s="94" t="n"/>
      <c r="B3976" s="128" t="n">
        <v>43766</v>
      </c>
      <c r="C3976" s="94">
        <f>TEXT(B3976,"aaa")</f>
        <v/>
      </c>
      <c r="D3976" s="94" t="n"/>
      <c r="E3976" s="6" t="inlineStr">
        <is>
          <t>토너</t>
        </is>
      </c>
      <c r="F3976" s="5" t="inlineStr">
        <is>
          <t>W컨셉</t>
        </is>
      </c>
      <c r="G3976" s="5" t="inlineStr">
        <is>
          <t>250ml 2set</t>
        </is>
      </c>
      <c r="H3976" s="7" t="n">
        <v>190801</v>
      </c>
      <c r="I3976" s="7" t="n">
        <v>190801</v>
      </c>
      <c r="J3976" s="94" t="n"/>
      <c r="K3976" s="149" t="n">
        <v>7</v>
      </c>
      <c r="L3976" s="7" t="n">
        <v>190801</v>
      </c>
      <c r="M3976" s="94">
        <f>VLOOKUP($Q3976,매칭테이블!$F:$I,2,0)*K3976</f>
        <v/>
      </c>
      <c r="N3976" s="94">
        <f>M3976-M3976*VLOOKUP($Q3976,매칭테이블!$F:$I,3,0)</f>
        <v/>
      </c>
      <c r="O3976" s="94">
        <f>VLOOKUP($Q3976,매칭테이블!$F:$I,4,0)*K3976</f>
        <v/>
      </c>
      <c r="P3976" s="148">
        <f>M3976/1.1</f>
        <v/>
      </c>
      <c r="Q3976" s="94">
        <f>F3976&amp;E3976&amp;G3976&amp;L3976</f>
        <v/>
      </c>
    </row>
    <row r="3977">
      <c r="A3977" s="94" t="n"/>
      <c r="B3977" s="128" t="n">
        <v>43766</v>
      </c>
      <c r="C3977" s="94">
        <f>TEXT(B3977,"aaa")</f>
        <v/>
      </c>
      <c r="D3977" s="94" t="n"/>
      <c r="E3977" s="6" t="inlineStr">
        <is>
          <t>토너</t>
        </is>
      </c>
      <c r="F3977" s="5" t="inlineStr">
        <is>
          <t>카페24</t>
        </is>
      </c>
      <c r="G3977" s="5" t="inlineStr">
        <is>
          <t>500ml</t>
        </is>
      </c>
      <c r="H3977" s="7" t="n">
        <v>190801</v>
      </c>
      <c r="I3977" s="7" t="n">
        <v>190801</v>
      </c>
      <c r="J3977" s="94" t="n"/>
      <c r="K3977" s="149" t="n">
        <v>24</v>
      </c>
      <c r="L3977" s="7" t="n">
        <v>190801</v>
      </c>
      <c r="M3977" s="94">
        <f>VLOOKUP($Q3977,매칭테이블!$F:$I,2,0)*K3977</f>
        <v/>
      </c>
      <c r="N3977" s="94">
        <f>M3977-M3977*VLOOKUP($Q3977,매칭테이블!$F:$I,3,0)</f>
        <v/>
      </c>
      <c r="O3977" s="94">
        <f>VLOOKUP($Q3977,매칭테이블!$F:$I,4,0)*K3977</f>
        <v/>
      </c>
      <c r="P3977" s="148">
        <f>M3977/1.1</f>
        <v/>
      </c>
      <c r="Q3977" s="94">
        <f>F3977&amp;E3977&amp;G3977&amp;L3977</f>
        <v/>
      </c>
    </row>
    <row r="3978">
      <c r="A3978" s="94" t="n"/>
      <c r="B3978" s="128" t="n">
        <v>43766</v>
      </c>
      <c r="C3978" s="94">
        <f>TEXT(B3978,"aaa")</f>
        <v/>
      </c>
      <c r="D3978" s="94" t="n"/>
      <c r="E3978" s="6" t="inlineStr">
        <is>
          <t>토너</t>
        </is>
      </c>
      <c r="F3978" s="5" t="inlineStr">
        <is>
          <t>카페24</t>
        </is>
      </c>
      <c r="G3978" s="5" t="inlineStr">
        <is>
          <t>250ml</t>
        </is>
      </c>
      <c r="H3978" s="7" t="n">
        <v>190801</v>
      </c>
      <c r="I3978" s="7" t="n">
        <v>190801</v>
      </c>
      <c r="J3978" s="94" t="n"/>
      <c r="K3978" s="149" t="n">
        <v>27</v>
      </c>
      <c r="L3978" s="7" t="n">
        <v>190801</v>
      </c>
      <c r="M3978" s="94">
        <f>VLOOKUP($Q3978,매칭테이블!$F:$I,2,0)*K3978</f>
        <v/>
      </c>
      <c r="N3978" s="94">
        <f>M3978-M3978*VLOOKUP($Q3978,매칭테이블!$F:$I,3,0)</f>
        <v/>
      </c>
      <c r="O3978" s="94">
        <f>VLOOKUP($Q3978,매칭테이블!$F:$I,4,0)*K3978</f>
        <v/>
      </c>
      <c r="P3978" s="148">
        <f>M3978/1.1</f>
        <v/>
      </c>
      <c r="Q3978" s="94">
        <f>F3978&amp;E3978&amp;G3978&amp;L3978</f>
        <v/>
      </c>
    </row>
    <row r="3979">
      <c r="A3979" s="94" t="n"/>
      <c r="B3979" s="128" t="n">
        <v>43766</v>
      </c>
      <c r="C3979" s="94">
        <f>TEXT(B3979,"aaa")</f>
        <v/>
      </c>
      <c r="D3979" s="94" t="n"/>
      <c r="E3979" s="6" t="inlineStr">
        <is>
          <t>토너</t>
        </is>
      </c>
      <c r="F3979" s="5" t="inlineStr">
        <is>
          <t>카페24</t>
        </is>
      </c>
      <c r="G3979" s="5" t="inlineStr">
        <is>
          <t>500ml</t>
        </is>
      </c>
      <c r="H3979" s="7" t="n">
        <v>190801</v>
      </c>
      <c r="I3979" s="7" t="n">
        <v>190801</v>
      </c>
      <c r="J3979" s="94" t="n"/>
      <c r="K3979" s="149" t="n">
        <v>26</v>
      </c>
      <c r="L3979" s="7" t="n">
        <v>190801</v>
      </c>
      <c r="M3979" s="94">
        <f>VLOOKUP($Q3979,매칭테이블!$F:$I,2,0)*K3979</f>
        <v/>
      </c>
      <c r="N3979" s="94">
        <f>M3979-M3979*VLOOKUP($Q3979,매칭테이블!$F:$I,3,0)</f>
        <v/>
      </c>
      <c r="O3979" s="94">
        <f>VLOOKUP($Q3979,매칭테이블!$F:$I,4,0)*K3979</f>
        <v/>
      </c>
      <c r="P3979" s="148">
        <f>M3979/1.1</f>
        <v/>
      </c>
      <c r="Q3979" s="94">
        <f>F3979&amp;E3979&amp;G3979&amp;L3979</f>
        <v/>
      </c>
    </row>
    <row r="3980">
      <c r="A3980" s="94" t="n"/>
      <c r="B3980" s="128" t="n">
        <v>43767</v>
      </c>
      <c r="C3980" s="94">
        <f>TEXT(B3980,"aaa")</f>
        <v/>
      </c>
      <c r="D3980" s="94" t="n"/>
      <c r="E3980" s="6" t="inlineStr">
        <is>
          <t>토너</t>
        </is>
      </c>
      <c r="F3980" s="5" t="inlineStr">
        <is>
          <t>W컨셉</t>
        </is>
      </c>
      <c r="G3980" s="5" t="inlineStr">
        <is>
          <t>250ml 2set</t>
        </is>
      </c>
      <c r="H3980" s="7" t="n">
        <v>190801</v>
      </c>
      <c r="I3980" s="7" t="n">
        <v>190801</v>
      </c>
      <c r="J3980" s="94" t="n"/>
      <c r="K3980" s="149" t="n">
        <v>7</v>
      </c>
      <c r="L3980" s="7" t="n">
        <v>190801</v>
      </c>
      <c r="M3980" s="94">
        <f>VLOOKUP($Q3980,매칭테이블!$F:$I,2,0)*K3980</f>
        <v/>
      </c>
      <c r="N3980" s="94">
        <f>M3980-M3980*VLOOKUP($Q3980,매칭테이블!$F:$I,3,0)</f>
        <v/>
      </c>
      <c r="O3980" s="94">
        <f>VLOOKUP($Q3980,매칭테이블!$F:$I,4,0)*K3980</f>
        <v/>
      </c>
      <c r="P3980" s="148">
        <f>M3980/1.1</f>
        <v/>
      </c>
      <c r="Q3980" s="94">
        <f>F3980&amp;E3980&amp;G3980&amp;L3980</f>
        <v/>
      </c>
    </row>
    <row r="3981">
      <c r="A3981" s="94" t="n"/>
      <c r="B3981" s="128" t="n">
        <v>43767</v>
      </c>
      <c r="C3981" s="94">
        <f>TEXT(B3981,"aaa")</f>
        <v/>
      </c>
      <c r="D3981" s="94" t="n"/>
      <c r="E3981" s="6" t="inlineStr">
        <is>
          <t>토너</t>
        </is>
      </c>
      <c r="F3981" s="5" t="inlineStr">
        <is>
          <t>아누아 CS</t>
        </is>
      </c>
      <c r="G3981" s="5" t="inlineStr">
        <is>
          <t>500ml</t>
        </is>
      </c>
      <c r="H3981" s="7" t="n">
        <v>190801</v>
      </c>
      <c r="I3981" s="7" t="n">
        <v>190801</v>
      </c>
      <c r="J3981" s="94" t="n"/>
      <c r="K3981" s="149" t="n">
        <v>1</v>
      </c>
      <c r="L3981" s="7" t="n">
        <v>190801</v>
      </c>
      <c r="M3981" s="94">
        <f>VLOOKUP($Q3981,매칭테이블!$F:$I,2,0)*K3981</f>
        <v/>
      </c>
      <c r="N3981" s="94">
        <f>M3981-M3981*VLOOKUP($Q3981,매칭테이블!$F:$I,3,0)</f>
        <v/>
      </c>
      <c r="O3981" s="94">
        <f>VLOOKUP($Q3981,매칭테이블!$F:$I,4,0)*K3981</f>
        <v/>
      </c>
      <c r="P3981" s="148">
        <f>M3981/1.1</f>
        <v/>
      </c>
      <c r="Q3981" s="94">
        <f>F3981&amp;E3981&amp;G3981&amp;L3981</f>
        <v/>
      </c>
    </row>
    <row r="3982">
      <c r="A3982" s="94" t="n"/>
      <c r="B3982" s="128" t="n">
        <v>43767</v>
      </c>
      <c r="C3982" s="94">
        <f>TEXT(B3982,"aaa")</f>
        <v/>
      </c>
      <c r="D3982" s="94" t="n"/>
      <c r="E3982" s="6" t="inlineStr">
        <is>
          <t>토너</t>
        </is>
      </c>
      <c r="F3982" s="5" t="inlineStr">
        <is>
          <t>카페24</t>
        </is>
      </c>
      <c r="G3982" s="5" t="inlineStr">
        <is>
          <t>500ml</t>
        </is>
      </c>
      <c r="H3982" s="7" t="n">
        <v>190801</v>
      </c>
      <c r="I3982" s="7" t="n">
        <v>190801</v>
      </c>
      <c r="J3982" s="94" t="n"/>
      <c r="K3982" s="149" t="n">
        <v>19</v>
      </c>
      <c r="L3982" s="7" t="n">
        <v>190801</v>
      </c>
      <c r="M3982" s="94">
        <f>VLOOKUP($Q3982,매칭테이블!$F:$I,2,0)*K3982</f>
        <v/>
      </c>
      <c r="N3982" s="94">
        <f>M3982-M3982*VLOOKUP($Q3982,매칭테이블!$F:$I,3,0)</f>
        <v/>
      </c>
      <c r="O3982" s="94">
        <f>VLOOKUP($Q3982,매칭테이블!$F:$I,4,0)*K3982</f>
        <v/>
      </c>
      <c r="P3982" s="148">
        <f>M3982/1.1</f>
        <v/>
      </c>
      <c r="Q3982" s="94">
        <f>F3982&amp;E3982&amp;G3982&amp;L3982</f>
        <v/>
      </c>
    </row>
    <row r="3983">
      <c r="A3983" s="94" t="n"/>
      <c r="B3983" s="128" t="n">
        <v>43767</v>
      </c>
      <c r="C3983" s="94">
        <f>TEXT(B3983,"aaa")</f>
        <v/>
      </c>
      <c r="D3983" s="94" t="n"/>
      <c r="E3983" s="6" t="inlineStr">
        <is>
          <t>토너</t>
        </is>
      </c>
      <c r="F3983" s="5" t="inlineStr">
        <is>
          <t>카페24</t>
        </is>
      </c>
      <c r="G3983" s="5" t="inlineStr">
        <is>
          <t>250ml</t>
        </is>
      </c>
      <c r="H3983" s="7" t="n">
        <v>190801</v>
      </c>
      <c r="I3983" s="7" t="n">
        <v>190801</v>
      </c>
      <c r="J3983" s="94" t="n"/>
      <c r="K3983" s="149" t="n">
        <v>35</v>
      </c>
      <c r="L3983" s="7" t="n">
        <v>190801</v>
      </c>
      <c r="M3983" s="94">
        <f>VLOOKUP($Q3983,매칭테이블!$F:$I,2,0)*K3983</f>
        <v/>
      </c>
      <c r="N3983" s="94">
        <f>M3983-M3983*VLOOKUP($Q3983,매칭테이블!$F:$I,3,0)</f>
        <v/>
      </c>
      <c r="O3983" s="94">
        <f>VLOOKUP($Q3983,매칭테이블!$F:$I,4,0)*K3983</f>
        <v/>
      </c>
      <c r="P3983" s="148">
        <f>M3983/1.1</f>
        <v/>
      </c>
      <c r="Q3983" s="94">
        <f>F3983&amp;E3983&amp;G3983&amp;L3983</f>
        <v/>
      </c>
    </row>
    <row r="3984">
      <c r="A3984" s="94" t="n"/>
      <c r="B3984" s="128" t="n">
        <v>43767</v>
      </c>
      <c r="C3984" s="94">
        <f>TEXT(B3984,"aaa")</f>
        <v/>
      </c>
      <c r="D3984" s="94" t="n"/>
      <c r="E3984" s="6" t="inlineStr">
        <is>
          <t>토너</t>
        </is>
      </c>
      <c r="F3984" s="5" t="inlineStr">
        <is>
          <t>카페24</t>
        </is>
      </c>
      <c r="G3984" s="5" t="inlineStr">
        <is>
          <t>500ml</t>
        </is>
      </c>
      <c r="H3984" s="7" t="n">
        <v>190801</v>
      </c>
      <c r="I3984" s="7" t="n">
        <v>190801</v>
      </c>
      <c r="J3984" s="94" t="n"/>
      <c r="K3984" s="149" t="n">
        <v>24</v>
      </c>
      <c r="L3984" s="7" t="n">
        <v>190801</v>
      </c>
      <c r="M3984" s="94">
        <f>VLOOKUP($Q3984,매칭테이블!$F:$I,2,0)*K3984</f>
        <v/>
      </c>
      <c r="N3984" s="94">
        <f>M3984-M3984*VLOOKUP($Q3984,매칭테이블!$F:$I,3,0)</f>
        <v/>
      </c>
      <c r="O3984" s="94">
        <f>VLOOKUP($Q3984,매칭테이블!$F:$I,4,0)*K3984</f>
        <v/>
      </c>
      <c r="P3984" s="148">
        <f>M3984/1.1</f>
        <v/>
      </c>
      <c r="Q3984" s="94">
        <f>F3984&amp;E3984&amp;G3984&amp;L3984</f>
        <v/>
      </c>
    </row>
    <row r="3985">
      <c r="A3985" s="94" t="n"/>
      <c r="B3985" s="128" t="n">
        <v>43768</v>
      </c>
      <c r="C3985" s="94">
        <f>TEXT(B3985,"aaa")</f>
        <v/>
      </c>
      <c r="D3985" s="94" t="n"/>
      <c r="E3985" s="6" t="inlineStr">
        <is>
          <t>토너</t>
        </is>
      </c>
      <c r="F3985" s="5" t="inlineStr">
        <is>
          <t>W컨셉</t>
        </is>
      </c>
      <c r="G3985" s="5" t="inlineStr">
        <is>
          <t>250ml 2set</t>
        </is>
      </c>
      <c r="H3985" s="7" t="n">
        <v>190801</v>
      </c>
      <c r="I3985" s="7" t="n">
        <v>190801</v>
      </c>
      <c r="J3985" s="94" t="n"/>
      <c r="K3985" s="149" t="n">
        <v>1</v>
      </c>
      <c r="L3985" s="7" t="n">
        <v>190801</v>
      </c>
      <c r="M3985" s="94">
        <f>VLOOKUP($Q3985,매칭테이블!$F:$I,2,0)*K3985</f>
        <v/>
      </c>
      <c r="N3985" s="94">
        <f>M3985-M3985*VLOOKUP($Q3985,매칭테이블!$F:$I,3,0)</f>
        <v/>
      </c>
      <c r="O3985" s="94">
        <f>VLOOKUP($Q3985,매칭테이블!$F:$I,4,0)*K3985</f>
        <v/>
      </c>
      <c r="P3985" s="148">
        <f>M3985/1.1</f>
        <v/>
      </c>
      <c r="Q3985" s="94">
        <f>F3985&amp;E3985&amp;G3985&amp;L3985</f>
        <v/>
      </c>
    </row>
    <row r="3986">
      <c r="A3986" s="94" t="n"/>
      <c r="B3986" s="128" t="n">
        <v>43768</v>
      </c>
      <c r="C3986" s="94">
        <f>TEXT(B3986,"aaa")</f>
        <v/>
      </c>
      <c r="D3986" s="94" t="n"/>
      <c r="E3986" s="6" t="inlineStr">
        <is>
          <t>토너</t>
        </is>
      </c>
      <c r="F3986" s="5" t="inlineStr">
        <is>
          <t>카페24</t>
        </is>
      </c>
      <c r="G3986" s="5" t="inlineStr">
        <is>
          <t>250ml</t>
        </is>
      </c>
      <c r="H3986" s="7" t="n">
        <v>190801</v>
      </c>
      <c r="I3986" s="7" t="n">
        <v>190801</v>
      </c>
      <c r="J3986" s="94" t="n"/>
      <c r="K3986" s="149" t="n">
        <v>43</v>
      </c>
      <c r="L3986" s="7" t="n">
        <v>190801</v>
      </c>
      <c r="M3986" s="94">
        <f>VLOOKUP($Q3986,매칭테이블!$F:$I,2,0)*K3986</f>
        <v/>
      </c>
      <c r="N3986" s="94">
        <f>M3986-M3986*VLOOKUP($Q3986,매칭테이블!$F:$I,3,0)</f>
        <v/>
      </c>
      <c r="O3986" s="94">
        <f>VLOOKUP($Q3986,매칭테이블!$F:$I,4,0)*K3986</f>
        <v/>
      </c>
      <c r="P3986" s="148">
        <f>M3986/1.1</f>
        <v/>
      </c>
      <c r="Q3986" s="94">
        <f>F3986&amp;E3986&amp;G3986&amp;L3986</f>
        <v/>
      </c>
    </row>
    <row r="3987">
      <c r="A3987" s="94" t="n"/>
      <c r="B3987" s="128" t="n">
        <v>43768</v>
      </c>
      <c r="C3987" s="94">
        <f>TEXT(B3987,"aaa")</f>
        <v/>
      </c>
      <c r="D3987" s="94" t="n"/>
      <c r="E3987" s="6" t="inlineStr">
        <is>
          <t>토너</t>
        </is>
      </c>
      <c r="F3987" s="5" t="inlineStr">
        <is>
          <t>카페24</t>
        </is>
      </c>
      <c r="G3987" s="5" t="inlineStr">
        <is>
          <t>500ml</t>
        </is>
      </c>
      <c r="H3987" s="7" t="n">
        <v>190801</v>
      </c>
      <c r="I3987" s="7" t="n">
        <v>190801</v>
      </c>
      <c r="J3987" s="94" t="n"/>
      <c r="K3987" s="149" t="n">
        <v>25</v>
      </c>
      <c r="L3987" s="7" t="n">
        <v>190801</v>
      </c>
      <c r="M3987" s="94">
        <f>VLOOKUP($Q3987,매칭테이블!$F:$I,2,0)*K3987</f>
        <v/>
      </c>
      <c r="N3987" s="94">
        <f>M3987-M3987*VLOOKUP($Q3987,매칭테이블!$F:$I,3,0)</f>
        <v/>
      </c>
      <c r="O3987" s="94">
        <f>VLOOKUP($Q3987,매칭테이블!$F:$I,4,0)*K3987</f>
        <v/>
      </c>
      <c r="P3987" s="148">
        <f>M3987/1.1</f>
        <v/>
      </c>
      <c r="Q3987" s="94">
        <f>F3987&amp;E3987&amp;G3987&amp;L3987</f>
        <v/>
      </c>
    </row>
    <row r="3988">
      <c r="A3988" s="94" t="n"/>
      <c r="B3988" s="128" t="n">
        <v>43769</v>
      </c>
      <c r="C3988" s="94">
        <f>TEXT(B3988,"aaa")</f>
        <v/>
      </c>
      <c r="D3988" s="94" t="n"/>
      <c r="E3988" s="6" t="inlineStr">
        <is>
          <t>토너</t>
        </is>
      </c>
      <c r="F3988" s="5" t="inlineStr">
        <is>
          <t>카페24</t>
        </is>
      </c>
      <c r="G3988" s="5" t="inlineStr">
        <is>
          <t>500ml</t>
        </is>
      </c>
      <c r="H3988" s="7" t="n">
        <v>190801</v>
      </c>
      <c r="I3988" s="7" t="n">
        <v>190801</v>
      </c>
      <c r="J3988" s="94" t="n"/>
      <c r="K3988" s="149" t="n">
        <v>20</v>
      </c>
      <c r="L3988" s="7" t="n">
        <v>190801</v>
      </c>
      <c r="M3988" s="94">
        <f>VLOOKUP($Q3988,매칭테이블!$F:$I,2,0)*K3988</f>
        <v/>
      </c>
      <c r="N3988" s="94">
        <f>M3988-M3988*VLOOKUP($Q3988,매칭테이블!$F:$I,3,0)</f>
        <v/>
      </c>
      <c r="O3988" s="94">
        <f>VLOOKUP($Q3988,매칭테이블!$F:$I,4,0)*K3988</f>
        <v/>
      </c>
      <c r="P3988" s="148">
        <f>M3988/1.1</f>
        <v/>
      </c>
      <c r="Q3988" s="94">
        <f>F3988&amp;E3988&amp;G3988&amp;L3988</f>
        <v/>
      </c>
    </row>
    <row r="3989">
      <c r="A3989" s="94" t="n"/>
      <c r="B3989" s="128" t="n">
        <v>43769</v>
      </c>
      <c r="C3989" s="94">
        <f>TEXT(B3989,"aaa")</f>
        <v/>
      </c>
      <c r="D3989" s="94" t="n"/>
      <c r="E3989" s="6" t="inlineStr">
        <is>
          <t>토너</t>
        </is>
      </c>
      <c r="F3989" s="5" t="inlineStr">
        <is>
          <t>카페24</t>
        </is>
      </c>
      <c r="G3989" s="5" t="inlineStr">
        <is>
          <t>250ml</t>
        </is>
      </c>
      <c r="H3989" s="7" t="n">
        <v>190801</v>
      </c>
      <c r="I3989" s="7" t="n">
        <v>190801</v>
      </c>
      <c r="J3989" s="94" t="n"/>
      <c r="K3989" s="149" t="n">
        <v>20</v>
      </c>
      <c r="L3989" s="7" t="n">
        <v>190801</v>
      </c>
      <c r="M3989" s="94">
        <f>VLOOKUP($Q3989,매칭테이블!$F:$I,2,0)*K3989</f>
        <v/>
      </c>
      <c r="N3989" s="94">
        <f>M3989-M3989*VLOOKUP($Q3989,매칭테이블!$F:$I,3,0)</f>
        <v/>
      </c>
      <c r="O3989" s="94">
        <f>VLOOKUP($Q3989,매칭테이블!$F:$I,4,0)*K3989</f>
        <v/>
      </c>
      <c r="P3989" s="148">
        <f>M3989/1.1</f>
        <v/>
      </c>
      <c r="Q3989" s="94">
        <f>F3989&amp;E3989&amp;G3989&amp;L3989</f>
        <v/>
      </c>
    </row>
    <row r="3990">
      <c r="A3990" s="94" t="n"/>
      <c r="B3990" s="128" t="n">
        <v>43769</v>
      </c>
      <c r="C3990" s="94">
        <f>TEXT(B3990,"aaa")</f>
        <v/>
      </c>
      <c r="D3990" s="94" t="n"/>
      <c r="E3990" s="6" t="inlineStr">
        <is>
          <t>토너</t>
        </is>
      </c>
      <c r="F3990" s="5" t="inlineStr">
        <is>
          <t>카페24</t>
        </is>
      </c>
      <c r="G3990" s="5" t="inlineStr">
        <is>
          <t>500ml</t>
        </is>
      </c>
      <c r="H3990" s="7" t="n">
        <v>190801</v>
      </c>
      <c r="I3990" s="7" t="n">
        <v>190801</v>
      </c>
      <c r="J3990" s="94" t="n"/>
      <c r="K3990" s="149" t="n">
        <v>34</v>
      </c>
      <c r="L3990" s="7" t="n">
        <v>190801</v>
      </c>
      <c r="M3990" s="94">
        <f>VLOOKUP($Q3990,매칭테이블!$F:$I,2,0)*K3990</f>
        <v/>
      </c>
      <c r="N3990" s="94">
        <f>M3990-M3990*VLOOKUP($Q3990,매칭테이블!$F:$I,3,0)</f>
        <v/>
      </c>
      <c r="O3990" s="94">
        <f>VLOOKUP($Q3990,매칭테이블!$F:$I,4,0)*K3990</f>
        <v/>
      </c>
      <c r="P3990" s="148">
        <f>M3990/1.1</f>
        <v/>
      </c>
      <c r="Q3990" s="94">
        <f>F3990&amp;E3990&amp;G3990&amp;L3990</f>
        <v/>
      </c>
    </row>
    <row r="3991">
      <c r="A3991" s="94" t="n"/>
      <c r="B3991" s="128" t="n">
        <v>43770</v>
      </c>
      <c r="C3991" s="94">
        <f>TEXT(B3991,"aaa")</f>
        <v/>
      </c>
      <c r="D3991" s="94" t="n"/>
      <c r="E3991" s="6" t="inlineStr">
        <is>
          <t>토너</t>
        </is>
      </c>
      <c r="F3991" s="5" t="inlineStr">
        <is>
          <t>W컨셉</t>
        </is>
      </c>
      <c r="G3991" s="5" t="inlineStr">
        <is>
          <t>250ml</t>
        </is>
      </c>
      <c r="H3991" s="7" t="n">
        <v>190801</v>
      </c>
      <c r="I3991" s="7" t="n">
        <v>190801</v>
      </c>
      <c r="J3991" s="94" t="n"/>
      <c r="K3991" s="149" t="n">
        <v>3</v>
      </c>
      <c r="L3991" s="7" t="n">
        <v>190801</v>
      </c>
      <c r="M3991" s="94">
        <f>VLOOKUP($Q3991,매칭테이블!$F:$I,2,0)*K3991</f>
        <v/>
      </c>
      <c r="N3991" s="94">
        <f>M3991-M3991*VLOOKUP($Q3991,매칭테이블!$F:$I,3,0)</f>
        <v/>
      </c>
      <c r="O3991" s="94">
        <f>VLOOKUP($Q3991,매칭테이블!$F:$I,4,0)*K3991</f>
        <v/>
      </c>
      <c r="P3991" s="148">
        <f>M3991/1.1</f>
        <v/>
      </c>
      <c r="Q3991" s="94">
        <f>F3991&amp;E3991&amp;G3991&amp;L3991</f>
        <v/>
      </c>
    </row>
    <row r="3992">
      <c r="A3992" s="94" t="n"/>
      <c r="B3992" s="128" t="n">
        <v>43770</v>
      </c>
      <c r="C3992" s="94">
        <f>TEXT(B3992,"aaa")</f>
        <v/>
      </c>
      <c r="D3992" s="94" t="n"/>
      <c r="E3992" s="6" t="inlineStr">
        <is>
          <t>토너</t>
        </is>
      </c>
      <c r="F3992" s="5" t="inlineStr">
        <is>
          <t>W컨셉</t>
        </is>
      </c>
      <c r="G3992" s="5" t="inlineStr">
        <is>
          <t>250ml 2set</t>
        </is>
      </c>
      <c r="H3992" s="7" t="n">
        <v>190801</v>
      </c>
      <c r="I3992" s="7" t="n">
        <v>190801</v>
      </c>
      <c r="J3992" s="94" t="n"/>
      <c r="K3992" s="149" t="n">
        <v>5</v>
      </c>
      <c r="L3992" s="7" t="n">
        <v>190801</v>
      </c>
      <c r="M3992" s="94">
        <f>VLOOKUP($Q3992,매칭테이블!$F:$I,2,0)*K3992</f>
        <v/>
      </c>
      <c r="N3992" s="94">
        <f>M3992-M3992*VLOOKUP($Q3992,매칭테이블!$F:$I,3,0)</f>
        <v/>
      </c>
      <c r="O3992" s="94">
        <f>VLOOKUP($Q3992,매칭테이블!$F:$I,4,0)*K3992</f>
        <v/>
      </c>
      <c r="P3992" s="148">
        <f>M3992/1.1</f>
        <v/>
      </c>
      <c r="Q3992" s="94">
        <f>F3992&amp;E3992&amp;G3992&amp;L3992</f>
        <v/>
      </c>
    </row>
    <row r="3993">
      <c r="A3993" s="94" t="n"/>
      <c r="B3993" s="128" t="n">
        <v>43770</v>
      </c>
      <c r="C3993" s="94">
        <f>TEXT(B3993,"aaa")</f>
        <v/>
      </c>
      <c r="D3993" s="94" t="n"/>
      <c r="E3993" s="6" t="inlineStr">
        <is>
          <t>토너</t>
        </is>
      </c>
      <c r="F3993" s="5" t="inlineStr">
        <is>
          <t>카페24</t>
        </is>
      </c>
      <c r="G3993" s="5" t="inlineStr">
        <is>
          <t>500ml</t>
        </is>
      </c>
      <c r="H3993" s="7" t="n">
        <v>190801</v>
      </c>
      <c r="I3993" s="7" t="n">
        <v>190801</v>
      </c>
      <c r="J3993" s="94" t="n"/>
      <c r="K3993" s="149" t="n">
        <v>45</v>
      </c>
      <c r="L3993" s="7" t="n">
        <v>190801</v>
      </c>
      <c r="M3993" s="94">
        <f>VLOOKUP($Q3993,매칭테이블!$F:$I,2,0)*K3993</f>
        <v/>
      </c>
      <c r="N3993" s="94">
        <f>M3993-M3993*VLOOKUP($Q3993,매칭테이블!$F:$I,3,0)</f>
        <v/>
      </c>
      <c r="O3993" s="94">
        <f>VLOOKUP($Q3993,매칭테이블!$F:$I,4,0)*K3993</f>
        <v/>
      </c>
      <c r="P3993" s="148">
        <f>M3993/1.1</f>
        <v/>
      </c>
      <c r="Q3993" s="94">
        <f>F3993&amp;E3993&amp;G3993&amp;L3993</f>
        <v/>
      </c>
    </row>
    <row r="3994">
      <c r="A3994" s="94" t="n"/>
      <c r="B3994" s="128" t="n">
        <v>43770</v>
      </c>
      <c r="C3994" s="94">
        <f>TEXT(B3994,"aaa")</f>
        <v/>
      </c>
      <c r="D3994" s="94" t="n"/>
      <c r="E3994" s="6" t="inlineStr">
        <is>
          <t>토너</t>
        </is>
      </c>
      <c r="F3994" s="5" t="inlineStr">
        <is>
          <t>카페24</t>
        </is>
      </c>
      <c r="G3994" s="5" t="inlineStr">
        <is>
          <t>250ml</t>
        </is>
      </c>
      <c r="H3994" s="7" t="n">
        <v>190801</v>
      </c>
      <c r="I3994" s="7" t="n">
        <v>190801</v>
      </c>
      <c r="J3994" s="94" t="n"/>
      <c r="K3994" s="149" t="n">
        <v>35</v>
      </c>
      <c r="L3994" s="7" t="n">
        <v>190801</v>
      </c>
      <c r="M3994" s="94">
        <f>VLOOKUP($Q3994,매칭테이블!$F:$I,2,0)*K3994</f>
        <v/>
      </c>
      <c r="N3994" s="94">
        <f>M3994-M3994*VLOOKUP($Q3994,매칭테이블!$F:$I,3,0)</f>
        <v/>
      </c>
      <c r="O3994" s="94">
        <f>VLOOKUP($Q3994,매칭테이블!$F:$I,4,0)*K3994</f>
        <v/>
      </c>
      <c r="P3994" s="148">
        <f>M3994/1.1</f>
        <v/>
      </c>
      <c r="Q3994" s="94">
        <f>F3994&amp;E3994&amp;G3994&amp;L3994</f>
        <v/>
      </c>
    </row>
    <row r="3995">
      <c r="A3995" s="94" t="n"/>
      <c r="B3995" s="128" t="n">
        <v>43770</v>
      </c>
      <c r="C3995" s="94">
        <f>TEXT(B3995,"aaa")</f>
        <v/>
      </c>
      <c r="D3995" s="94" t="n"/>
      <c r="E3995" s="6" t="inlineStr">
        <is>
          <t>토너</t>
        </is>
      </c>
      <c r="F3995" s="5" t="inlineStr">
        <is>
          <t>카페24</t>
        </is>
      </c>
      <c r="G3995" s="5" t="inlineStr">
        <is>
          <t>250ml 2set</t>
        </is>
      </c>
      <c r="H3995" s="7" t="n">
        <v>190801</v>
      </c>
      <c r="I3995" s="7" t="n">
        <v>190801</v>
      </c>
      <c r="J3995" s="94" t="n"/>
      <c r="K3995" s="149" t="n">
        <v>4</v>
      </c>
      <c r="L3995" s="7" t="n">
        <v>190801</v>
      </c>
      <c r="M3995" s="94">
        <f>VLOOKUP($Q3995,매칭테이블!$F:$I,2,0)*K3995</f>
        <v/>
      </c>
      <c r="N3995" s="94">
        <f>M3995-M3995*VLOOKUP($Q3995,매칭테이블!$F:$I,3,0)</f>
        <v/>
      </c>
      <c r="O3995" s="94">
        <f>VLOOKUP($Q3995,매칭테이블!$F:$I,4,0)*K3995</f>
        <v/>
      </c>
      <c r="P3995" s="148">
        <f>M3995/1.1</f>
        <v/>
      </c>
      <c r="Q3995" s="94">
        <f>F3995&amp;E3995&amp;G3995&amp;L3995</f>
        <v/>
      </c>
    </row>
    <row r="3996">
      <c r="A3996" s="94" t="n"/>
      <c r="B3996" s="128" t="n">
        <v>43771</v>
      </c>
      <c r="C3996" s="94">
        <f>TEXT(B3996,"aaa")</f>
        <v/>
      </c>
      <c r="D3996" s="94" t="n"/>
      <c r="E3996" s="6" t="inlineStr">
        <is>
          <t>토너</t>
        </is>
      </c>
      <c r="F3996" s="5" t="inlineStr">
        <is>
          <t>W컨셉</t>
        </is>
      </c>
      <c r="G3996" s="5" t="inlineStr">
        <is>
          <t>250ml 2set</t>
        </is>
      </c>
      <c r="H3996" s="7" t="n">
        <v>190801</v>
      </c>
      <c r="I3996" s="7" t="n">
        <v>190801</v>
      </c>
      <c r="J3996" s="94" t="n"/>
      <c r="K3996" s="149" t="n">
        <v>3</v>
      </c>
      <c r="L3996" s="7" t="n">
        <v>190801</v>
      </c>
      <c r="M3996" s="94">
        <f>VLOOKUP($Q3996,매칭테이블!$F:$I,2,0)*K3996</f>
        <v/>
      </c>
      <c r="N3996" s="94">
        <f>M3996-M3996*VLOOKUP($Q3996,매칭테이블!$F:$I,3,0)</f>
        <v/>
      </c>
      <c r="O3996" s="94">
        <f>VLOOKUP($Q3996,매칭테이블!$F:$I,4,0)*K3996</f>
        <v/>
      </c>
      <c r="P3996" s="148">
        <f>M3996/1.1</f>
        <v/>
      </c>
      <c r="Q3996" s="94">
        <f>F3996&amp;E3996&amp;G3996&amp;L3996</f>
        <v/>
      </c>
    </row>
    <row r="3997">
      <c r="A3997" s="94" t="n"/>
      <c r="B3997" s="128" t="n">
        <v>43771</v>
      </c>
      <c r="C3997" s="94">
        <f>TEXT(B3997,"aaa")</f>
        <v/>
      </c>
      <c r="D3997" s="94" t="n"/>
      <c r="E3997" s="6" t="inlineStr">
        <is>
          <t>토너</t>
        </is>
      </c>
      <c r="F3997" s="5" t="inlineStr">
        <is>
          <t>카페24</t>
        </is>
      </c>
      <c r="G3997" s="5" t="inlineStr">
        <is>
          <t>500ml</t>
        </is>
      </c>
      <c r="H3997" s="7" t="n">
        <v>190801</v>
      </c>
      <c r="I3997" s="7" t="n">
        <v>190801</v>
      </c>
      <c r="J3997" s="94" t="n"/>
      <c r="K3997" s="149" t="n">
        <v>15</v>
      </c>
      <c r="L3997" s="7" t="n">
        <v>190801</v>
      </c>
      <c r="M3997" s="94">
        <f>VLOOKUP($Q3997,매칭테이블!$F:$I,2,0)*K3997</f>
        <v/>
      </c>
      <c r="N3997" s="94">
        <f>M3997-M3997*VLOOKUP($Q3997,매칭테이블!$F:$I,3,0)</f>
        <v/>
      </c>
      <c r="O3997" s="94">
        <f>VLOOKUP($Q3997,매칭테이블!$F:$I,4,0)*K3997</f>
        <v/>
      </c>
      <c r="P3997" s="148">
        <f>M3997/1.1</f>
        <v/>
      </c>
      <c r="Q3997" s="94">
        <f>F3997&amp;E3997&amp;G3997&amp;L3997</f>
        <v/>
      </c>
    </row>
    <row r="3998">
      <c r="A3998" s="94" t="n"/>
      <c r="B3998" s="128" t="n">
        <v>43771</v>
      </c>
      <c r="C3998" s="94">
        <f>TEXT(B3998,"aaa")</f>
        <v/>
      </c>
      <c r="D3998" s="94" t="n"/>
      <c r="E3998" s="6" t="inlineStr">
        <is>
          <t>토너</t>
        </is>
      </c>
      <c r="F3998" s="5" t="inlineStr">
        <is>
          <t>카페24</t>
        </is>
      </c>
      <c r="G3998" s="5" t="inlineStr">
        <is>
          <t>250ml</t>
        </is>
      </c>
      <c r="H3998" s="7" t="n">
        <v>190801</v>
      </c>
      <c r="I3998" s="7" t="n">
        <v>190801</v>
      </c>
      <c r="J3998" s="94" t="n"/>
      <c r="K3998" s="149" t="n">
        <v>26</v>
      </c>
      <c r="L3998" s="7" t="n">
        <v>190801</v>
      </c>
      <c r="M3998" s="94">
        <f>VLOOKUP($Q3998,매칭테이블!$F:$I,2,0)*K3998</f>
        <v/>
      </c>
      <c r="N3998" s="94">
        <f>M3998-M3998*VLOOKUP($Q3998,매칭테이블!$F:$I,3,0)</f>
        <v/>
      </c>
      <c r="O3998" s="94">
        <f>VLOOKUP($Q3998,매칭테이블!$F:$I,4,0)*K3998</f>
        <v/>
      </c>
      <c r="P3998" s="148">
        <f>M3998/1.1</f>
        <v/>
      </c>
      <c r="Q3998" s="94">
        <f>F3998&amp;E3998&amp;G3998&amp;L3998</f>
        <v/>
      </c>
    </row>
    <row r="3999">
      <c r="A3999" s="94" t="n"/>
      <c r="B3999" s="128" t="n">
        <v>43771</v>
      </c>
      <c r="C3999" s="94">
        <f>TEXT(B3999,"aaa")</f>
        <v/>
      </c>
      <c r="D3999" s="94" t="n"/>
      <c r="E3999" s="6" t="inlineStr">
        <is>
          <t>토너</t>
        </is>
      </c>
      <c r="F3999" s="5" t="inlineStr">
        <is>
          <t>카페24</t>
        </is>
      </c>
      <c r="G3999" s="5" t="inlineStr">
        <is>
          <t>250ml 2set</t>
        </is>
      </c>
      <c r="H3999" s="7" t="n">
        <v>190801</v>
      </c>
      <c r="I3999" s="7" t="n">
        <v>190801</v>
      </c>
      <c r="J3999" s="94" t="n"/>
      <c r="K3999" s="149" t="n">
        <v>17</v>
      </c>
      <c r="L3999" s="7" t="n">
        <v>190801</v>
      </c>
      <c r="M3999" s="94">
        <f>VLOOKUP($Q3999,매칭테이블!$F:$I,2,0)*K3999</f>
        <v/>
      </c>
      <c r="N3999" s="94">
        <f>M3999-M3999*VLOOKUP($Q3999,매칭테이블!$F:$I,3,0)</f>
        <v/>
      </c>
      <c r="O3999" s="94">
        <f>VLOOKUP($Q3999,매칭테이블!$F:$I,4,0)*K3999</f>
        <v/>
      </c>
      <c r="P3999" s="148">
        <f>M3999/1.1</f>
        <v/>
      </c>
      <c r="Q3999" s="94">
        <f>F3999&amp;E3999&amp;G3999&amp;L3999</f>
        <v/>
      </c>
    </row>
    <row r="4000">
      <c r="A4000" s="94" t="n"/>
      <c r="B4000" s="128" t="n">
        <v>43772</v>
      </c>
      <c r="C4000" s="94">
        <f>TEXT(B4000,"aaa")</f>
        <v/>
      </c>
      <c r="D4000" s="94" t="n"/>
      <c r="E4000" s="6" t="inlineStr">
        <is>
          <t>토너</t>
        </is>
      </c>
      <c r="F4000" s="5" t="inlineStr">
        <is>
          <t>W컨셉</t>
        </is>
      </c>
      <c r="G4000" s="5" t="inlineStr">
        <is>
          <t>250ml</t>
        </is>
      </c>
      <c r="H4000" s="7" t="n">
        <v>190801</v>
      </c>
      <c r="I4000" s="7" t="n">
        <v>190801</v>
      </c>
      <c r="J4000" s="94" t="n"/>
      <c r="K4000" s="149" t="n">
        <v>1</v>
      </c>
      <c r="L4000" s="7" t="n">
        <v>190801</v>
      </c>
      <c r="M4000" s="94">
        <f>VLOOKUP($Q4000,매칭테이블!$F:$I,2,0)*K4000</f>
        <v/>
      </c>
      <c r="N4000" s="94">
        <f>M4000-M4000*VLOOKUP($Q4000,매칭테이블!$F:$I,3,0)</f>
        <v/>
      </c>
      <c r="O4000" s="94">
        <f>VLOOKUP($Q4000,매칭테이블!$F:$I,4,0)*K4000</f>
        <v/>
      </c>
      <c r="P4000" s="148">
        <f>M4000/1.1</f>
        <v/>
      </c>
      <c r="Q4000" s="94">
        <f>F4000&amp;E4000&amp;G4000&amp;L4000</f>
        <v/>
      </c>
    </row>
    <row r="4001">
      <c r="A4001" s="94" t="n"/>
      <c r="B4001" s="128" t="n">
        <v>43772</v>
      </c>
      <c r="C4001" s="94">
        <f>TEXT(B4001,"aaa")</f>
        <v/>
      </c>
      <c r="D4001" s="94" t="n"/>
      <c r="E4001" s="6" t="inlineStr">
        <is>
          <t>토너</t>
        </is>
      </c>
      <c r="F4001" s="5" t="inlineStr">
        <is>
          <t>W컨셉</t>
        </is>
      </c>
      <c r="G4001" s="5" t="inlineStr">
        <is>
          <t>250ml 2set</t>
        </is>
      </c>
      <c r="H4001" s="7" t="n">
        <v>190801</v>
      </c>
      <c r="I4001" s="7" t="n">
        <v>190801</v>
      </c>
      <c r="J4001" s="94" t="n"/>
      <c r="K4001" s="149" t="n">
        <v>6</v>
      </c>
      <c r="L4001" s="7" t="n">
        <v>190801</v>
      </c>
      <c r="M4001" s="94">
        <f>VLOOKUP($Q4001,매칭테이블!$F:$I,2,0)*K4001</f>
        <v/>
      </c>
      <c r="N4001" s="94">
        <f>M4001-M4001*VLOOKUP($Q4001,매칭테이블!$F:$I,3,0)</f>
        <v/>
      </c>
      <c r="O4001" s="94">
        <f>VLOOKUP($Q4001,매칭테이블!$F:$I,4,0)*K4001</f>
        <v/>
      </c>
      <c r="P4001" s="148">
        <f>M4001/1.1</f>
        <v/>
      </c>
      <c r="Q4001" s="94">
        <f>F4001&amp;E4001&amp;G4001&amp;L4001</f>
        <v/>
      </c>
    </row>
    <row r="4002">
      <c r="A4002" s="94" t="n"/>
      <c r="B4002" s="128" t="n">
        <v>43772</v>
      </c>
      <c r="C4002" s="94">
        <f>TEXT(B4002,"aaa")</f>
        <v/>
      </c>
      <c r="D4002" s="94" t="n"/>
      <c r="E4002" s="6" t="inlineStr">
        <is>
          <t>토너</t>
        </is>
      </c>
      <c r="F4002" s="5" t="inlineStr">
        <is>
          <t>카페24</t>
        </is>
      </c>
      <c r="G4002" s="5" t="inlineStr">
        <is>
          <t>500ml</t>
        </is>
      </c>
      <c r="H4002" s="7" t="n">
        <v>190801</v>
      </c>
      <c r="I4002" s="7" t="n">
        <v>190801</v>
      </c>
      <c r="J4002" s="94" t="n"/>
      <c r="K4002" s="149" t="n">
        <v>21</v>
      </c>
      <c r="L4002" s="7" t="n">
        <v>190801</v>
      </c>
      <c r="M4002" s="94">
        <f>VLOOKUP($Q4002,매칭테이블!$F:$I,2,0)*K4002</f>
        <v/>
      </c>
      <c r="N4002" s="94">
        <f>M4002-M4002*VLOOKUP($Q4002,매칭테이블!$F:$I,3,0)</f>
        <v/>
      </c>
      <c r="O4002" s="94">
        <f>VLOOKUP($Q4002,매칭테이블!$F:$I,4,0)*K4002</f>
        <v/>
      </c>
      <c r="P4002" s="148">
        <f>M4002/1.1</f>
        <v/>
      </c>
      <c r="Q4002" s="94">
        <f>F4002&amp;E4002&amp;G4002&amp;L4002</f>
        <v/>
      </c>
    </row>
    <row r="4003">
      <c r="A4003" s="94" t="n"/>
      <c r="B4003" s="128" t="n">
        <v>43772</v>
      </c>
      <c r="C4003" s="94">
        <f>TEXT(B4003,"aaa")</f>
        <v/>
      </c>
      <c r="D4003" s="94" t="n"/>
      <c r="E4003" s="6" t="inlineStr">
        <is>
          <t>토너</t>
        </is>
      </c>
      <c r="F4003" s="5" t="inlineStr">
        <is>
          <t>카페24</t>
        </is>
      </c>
      <c r="G4003" s="5" t="inlineStr">
        <is>
          <t>250ml</t>
        </is>
      </c>
      <c r="H4003" s="7" t="n">
        <v>190801</v>
      </c>
      <c r="I4003" s="7" t="n">
        <v>190801</v>
      </c>
      <c r="J4003" s="94" t="n"/>
      <c r="K4003" s="149" t="n">
        <v>27</v>
      </c>
      <c r="L4003" s="7" t="n">
        <v>190801</v>
      </c>
      <c r="M4003" s="94">
        <f>VLOOKUP($Q4003,매칭테이블!$F:$I,2,0)*K4003</f>
        <v/>
      </c>
      <c r="N4003" s="94">
        <f>M4003-M4003*VLOOKUP($Q4003,매칭테이블!$F:$I,3,0)</f>
        <v/>
      </c>
      <c r="O4003" s="94">
        <f>VLOOKUP($Q4003,매칭테이블!$F:$I,4,0)*K4003</f>
        <v/>
      </c>
      <c r="P4003" s="148">
        <f>M4003/1.1</f>
        <v/>
      </c>
      <c r="Q4003" s="94">
        <f>F4003&amp;E4003&amp;G4003&amp;L4003</f>
        <v/>
      </c>
    </row>
    <row r="4004">
      <c r="A4004" s="94" t="n"/>
      <c r="B4004" s="128" t="n">
        <v>43772</v>
      </c>
      <c r="C4004" s="94">
        <f>TEXT(B4004,"aaa")</f>
        <v/>
      </c>
      <c r="D4004" s="94" t="n"/>
      <c r="E4004" s="6" t="inlineStr">
        <is>
          <t>토너</t>
        </is>
      </c>
      <c r="F4004" s="5" t="inlineStr">
        <is>
          <t>카페24</t>
        </is>
      </c>
      <c r="G4004" s="5" t="inlineStr">
        <is>
          <t>250ml 2set</t>
        </is>
      </c>
      <c r="H4004" s="7" t="n">
        <v>190801</v>
      </c>
      <c r="I4004" s="7" t="n">
        <v>190801</v>
      </c>
      <c r="J4004" s="94" t="n"/>
      <c r="K4004" s="149" t="n">
        <v>18</v>
      </c>
      <c r="L4004" s="7" t="n">
        <v>190801</v>
      </c>
      <c r="M4004" s="94">
        <f>VLOOKUP($Q4004,매칭테이블!$F:$I,2,0)*K4004</f>
        <v/>
      </c>
      <c r="N4004" s="94">
        <f>M4004-M4004*VLOOKUP($Q4004,매칭테이블!$F:$I,3,0)</f>
        <v/>
      </c>
      <c r="O4004" s="94">
        <f>VLOOKUP($Q4004,매칭테이블!$F:$I,4,0)*K4004</f>
        <v/>
      </c>
      <c r="P4004" s="148">
        <f>M4004/1.1</f>
        <v/>
      </c>
      <c r="Q4004" s="94">
        <f>F4004&amp;E4004&amp;G4004&amp;L4004</f>
        <v/>
      </c>
    </row>
    <row r="4005">
      <c r="A4005" s="94" t="n"/>
      <c r="B4005" s="128" t="n">
        <v>43773</v>
      </c>
      <c r="C4005" s="94">
        <f>TEXT(B4005,"aaa")</f>
        <v/>
      </c>
      <c r="D4005" s="94" t="n"/>
      <c r="E4005" s="6" t="inlineStr">
        <is>
          <t>토너</t>
        </is>
      </c>
      <c r="F4005" s="5" t="inlineStr">
        <is>
          <t>W컨셉</t>
        </is>
      </c>
      <c r="G4005" s="5" t="inlineStr">
        <is>
          <t>250ml</t>
        </is>
      </c>
      <c r="H4005" s="7" t="n">
        <v>190801</v>
      </c>
      <c r="I4005" s="7" t="n">
        <v>190801</v>
      </c>
      <c r="J4005" s="94" t="n"/>
      <c r="K4005" s="149" t="n">
        <v>1</v>
      </c>
      <c r="L4005" s="7" t="n">
        <v>190801</v>
      </c>
      <c r="M4005" s="94">
        <f>VLOOKUP($Q4005,매칭테이블!$F:$I,2,0)*K4005</f>
        <v/>
      </c>
      <c r="N4005" s="94">
        <f>M4005-M4005*VLOOKUP($Q4005,매칭테이블!$F:$I,3,0)</f>
        <v/>
      </c>
      <c r="O4005" s="94">
        <f>VLOOKUP($Q4005,매칭테이블!$F:$I,4,0)*K4005</f>
        <v/>
      </c>
      <c r="P4005" s="148">
        <f>M4005/1.1</f>
        <v/>
      </c>
      <c r="Q4005" s="94">
        <f>F4005&amp;E4005&amp;G4005&amp;L4005</f>
        <v/>
      </c>
    </row>
    <row r="4006">
      <c r="A4006" s="94" t="n"/>
      <c r="B4006" s="128" t="n">
        <v>43773</v>
      </c>
      <c r="C4006" s="94">
        <f>TEXT(B4006,"aaa")</f>
        <v/>
      </c>
      <c r="D4006" s="94" t="n"/>
      <c r="E4006" s="6" t="inlineStr">
        <is>
          <t>토너</t>
        </is>
      </c>
      <c r="F4006" s="5" t="inlineStr">
        <is>
          <t>W컨셉</t>
        </is>
      </c>
      <c r="G4006" s="5" t="inlineStr">
        <is>
          <t>250ml 2set</t>
        </is>
      </c>
      <c r="H4006" s="7" t="n">
        <v>190801</v>
      </c>
      <c r="I4006" s="7" t="n">
        <v>190801</v>
      </c>
      <c r="J4006" s="94" t="n"/>
      <c r="K4006" s="149" t="n">
        <v>9</v>
      </c>
      <c r="L4006" s="7" t="n">
        <v>190801</v>
      </c>
      <c r="M4006" s="94">
        <f>VLOOKUP($Q4006,매칭테이블!$F:$I,2,0)*K4006</f>
        <v/>
      </c>
      <c r="N4006" s="94">
        <f>M4006-M4006*VLOOKUP($Q4006,매칭테이블!$F:$I,3,0)</f>
        <v/>
      </c>
      <c r="O4006" s="94">
        <f>VLOOKUP($Q4006,매칭테이블!$F:$I,4,0)*K4006</f>
        <v/>
      </c>
      <c r="P4006" s="148">
        <f>M4006/1.1</f>
        <v/>
      </c>
      <c r="Q4006" s="94">
        <f>F4006&amp;E4006&amp;G4006&amp;L4006</f>
        <v/>
      </c>
    </row>
    <row r="4007">
      <c r="A4007" s="94" t="n"/>
      <c r="B4007" s="128" t="n">
        <v>43773</v>
      </c>
      <c r="C4007" s="94">
        <f>TEXT(B4007,"aaa")</f>
        <v/>
      </c>
      <c r="D4007" s="94" t="n"/>
      <c r="E4007" s="6" t="inlineStr">
        <is>
          <t>토너</t>
        </is>
      </c>
      <c r="F4007" s="5" t="inlineStr">
        <is>
          <t>카페24</t>
        </is>
      </c>
      <c r="G4007" s="5" t="inlineStr">
        <is>
          <t>500ml</t>
        </is>
      </c>
      <c r="H4007" s="7" t="n">
        <v>190801</v>
      </c>
      <c r="I4007" s="7" t="n">
        <v>190801</v>
      </c>
      <c r="J4007" s="94" t="n"/>
      <c r="K4007" s="149" t="n">
        <v>25</v>
      </c>
      <c r="L4007" s="7" t="n">
        <v>190801</v>
      </c>
      <c r="M4007" s="94">
        <f>VLOOKUP($Q4007,매칭테이블!$F:$I,2,0)*K4007</f>
        <v/>
      </c>
      <c r="N4007" s="94">
        <f>M4007-M4007*VLOOKUP($Q4007,매칭테이블!$F:$I,3,0)</f>
        <v/>
      </c>
      <c r="O4007" s="94">
        <f>VLOOKUP($Q4007,매칭테이블!$F:$I,4,0)*K4007</f>
        <v/>
      </c>
      <c r="P4007" s="148">
        <f>M4007/1.1</f>
        <v/>
      </c>
      <c r="Q4007" s="94">
        <f>F4007&amp;E4007&amp;G4007&amp;L4007</f>
        <v/>
      </c>
    </row>
    <row r="4008">
      <c r="A4008" s="94" t="n"/>
      <c r="B4008" s="128" t="n">
        <v>43773</v>
      </c>
      <c r="C4008" s="94">
        <f>TEXT(B4008,"aaa")</f>
        <v/>
      </c>
      <c r="D4008" s="94" t="n"/>
      <c r="E4008" s="6" t="inlineStr">
        <is>
          <t>토너</t>
        </is>
      </c>
      <c r="F4008" s="5" t="inlineStr">
        <is>
          <t>카페24</t>
        </is>
      </c>
      <c r="G4008" s="5" t="inlineStr">
        <is>
          <t>250ml</t>
        </is>
      </c>
      <c r="H4008" s="7" t="n">
        <v>190801</v>
      </c>
      <c r="I4008" s="7" t="n">
        <v>190801</v>
      </c>
      <c r="J4008" s="94" t="n"/>
      <c r="K4008" s="149" t="n">
        <v>24</v>
      </c>
      <c r="L4008" s="7" t="n">
        <v>190801</v>
      </c>
      <c r="M4008" s="94">
        <f>VLOOKUP($Q4008,매칭테이블!$F:$I,2,0)*K4008</f>
        <v/>
      </c>
      <c r="N4008" s="94">
        <f>M4008-M4008*VLOOKUP($Q4008,매칭테이블!$F:$I,3,0)</f>
        <v/>
      </c>
      <c r="O4008" s="94">
        <f>VLOOKUP($Q4008,매칭테이블!$F:$I,4,0)*K4008</f>
        <v/>
      </c>
      <c r="P4008" s="148">
        <f>M4008/1.1</f>
        <v/>
      </c>
      <c r="Q4008" s="94">
        <f>F4008&amp;E4008&amp;G4008&amp;L4008</f>
        <v/>
      </c>
    </row>
    <row r="4009">
      <c r="A4009" s="94" t="n"/>
      <c r="B4009" s="128" t="n">
        <v>43773</v>
      </c>
      <c r="C4009" s="94">
        <f>TEXT(B4009,"aaa")</f>
        <v/>
      </c>
      <c r="D4009" s="94" t="n"/>
      <c r="E4009" s="6" t="inlineStr">
        <is>
          <t>토너</t>
        </is>
      </c>
      <c r="F4009" s="5" t="inlineStr">
        <is>
          <t>카페24</t>
        </is>
      </c>
      <c r="G4009" s="5" t="inlineStr">
        <is>
          <t>250ml 2set</t>
        </is>
      </c>
      <c r="H4009" s="7" t="n">
        <v>190801</v>
      </c>
      <c r="I4009" s="7" t="n">
        <v>190801</v>
      </c>
      <c r="J4009" s="94" t="n"/>
      <c r="K4009" s="149" t="n">
        <v>28</v>
      </c>
      <c r="L4009" s="7" t="n">
        <v>190801</v>
      </c>
      <c r="M4009" s="94">
        <f>VLOOKUP($Q4009,매칭테이블!$F:$I,2,0)*K4009</f>
        <v/>
      </c>
      <c r="N4009" s="94">
        <f>M4009-M4009*VLOOKUP($Q4009,매칭테이블!$F:$I,3,0)</f>
        <v/>
      </c>
      <c r="O4009" s="94">
        <f>VLOOKUP($Q4009,매칭테이블!$F:$I,4,0)*K4009</f>
        <v/>
      </c>
      <c r="P4009" s="148">
        <f>M4009/1.1</f>
        <v/>
      </c>
      <c r="Q4009" s="94">
        <f>F4009&amp;E4009&amp;G4009&amp;L4009</f>
        <v/>
      </c>
    </row>
    <row r="4010">
      <c r="A4010" s="94" t="n"/>
      <c r="B4010" s="128" t="n">
        <v>43773</v>
      </c>
      <c r="C4010" s="94">
        <f>TEXT(B4010,"aaa")</f>
        <v/>
      </c>
      <c r="D4010" s="94" t="n"/>
      <c r="E4010" s="94" t="inlineStr">
        <is>
          <t>토너</t>
        </is>
      </c>
      <c r="F4010" s="94" t="inlineStr">
        <is>
          <t>아누아 CS</t>
        </is>
      </c>
      <c r="G4010" s="94" t="inlineStr">
        <is>
          <t>250ml</t>
        </is>
      </c>
      <c r="H4010" s="92" t="n">
        <v>190801</v>
      </c>
      <c r="I4010" s="92" t="n">
        <v>190801</v>
      </c>
      <c r="J4010" s="94" t="n"/>
      <c r="K4010" s="149" t="n">
        <v>6</v>
      </c>
      <c r="L4010" s="92" t="n">
        <v>190801</v>
      </c>
      <c r="M4010" s="94">
        <f>VLOOKUP($Q4010,매칭테이블!$F:$I,2,0)*K4010</f>
        <v/>
      </c>
      <c r="N4010" s="94">
        <f>M4010-M4010*VLOOKUP($Q4010,매칭테이블!$F:$I,3,0)</f>
        <v/>
      </c>
      <c r="O4010" s="94">
        <f>VLOOKUP($Q4010,매칭테이블!$F:$I,4,0)*K4010</f>
        <v/>
      </c>
      <c r="P4010" s="148">
        <f>M4010/1.1</f>
        <v/>
      </c>
      <c r="Q4010" s="94">
        <f>F4010&amp;E4010&amp;G4010&amp;L4010</f>
        <v/>
      </c>
    </row>
    <row r="4011">
      <c r="A4011" s="94" t="n"/>
      <c r="B4011" s="128" t="n">
        <v>43774</v>
      </c>
      <c r="C4011" s="94">
        <f>TEXT(B4011,"aaa")</f>
        <v/>
      </c>
      <c r="D4011" s="94" t="n"/>
      <c r="E4011" s="6" t="inlineStr">
        <is>
          <t>토너</t>
        </is>
      </c>
      <c r="F4011" s="5" t="inlineStr">
        <is>
          <t>W컨셉</t>
        </is>
      </c>
      <c r="G4011" s="5" t="inlineStr">
        <is>
          <t>250ml</t>
        </is>
      </c>
      <c r="H4011" s="7" t="n">
        <v>190801</v>
      </c>
      <c r="I4011" s="7" t="n">
        <v>190801</v>
      </c>
      <c r="J4011" s="94" t="n"/>
      <c r="K4011" s="149" t="n">
        <v>1</v>
      </c>
      <c r="L4011" s="7" t="n">
        <v>190801</v>
      </c>
      <c r="M4011" s="94">
        <f>VLOOKUP($Q4011,매칭테이블!$F:$I,2,0)*K4011</f>
        <v/>
      </c>
      <c r="N4011" s="94">
        <f>M4011-M4011*VLOOKUP($Q4011,매칭테이블!$F:$I,3,0)</f>
        <v/>
      </c>
      <c r="O4011" s="94">
        <f>VLOOKUP($Q4011,매칭테이블!$F:$I,4,0)*K4011</f>
        <v/>
      </c>
      <c r="P4011" s="148">
        <f>M4011/1.1</f>
        <v/>
      </c>
      <c r="Q4011" s="94">
        <f>F4011&amp;E4011&amp;G4011&amp;L4011</f>
        <v/>
      </c>
    </row>
    <row r="4012">
      <c r="A4012" s="94" t="n"/>
      <c r="B4012" s="128" t="n">
        <v>43774</v>
      </c>
      <c r="C4012" s="94">
        <f>TEXT(B4012,"aaa")</f>
        <v/>
      </c>
      <c r="D4012" s="94" t="n"/>
      <c r="E4012" s="6" t="inlineStr">
        <is>
          <t>토너</t>
        </is>
      </c>
      <c r="F4012" s="5" t="inlineStr">
        <is>
          <t>W컨셉</t>
        </is>
      </c>
      <c r="G4012" s="5" t="inlineStr">
        <is>
          <t>250ml 2set</t>
        </is>
      </c>
      <c r="H4012" s="7" t="n">
        <v>190801</v>
      </c>
      <c r="I4012" s="7" t="n">
        <v>190801</v>
      </c>
      <c r="J4012" s="94" t="n"/>
      <c r="K4012" s="149" t="n">
        <v>2</v>
      </c>
      <c r="L4012" s="7" t="n">
        <v>190801</v>
      </c>
      <c r="M4012" s="94">
        <f>VLOOKUP($Q4012,매칭테이블!$F:$I,2,0)*K4012</f>
        <v/>
      </c>
      <c r="N4012" s="94">
        <f>M4012-M4012*VLOOKUP($Q4012,매칭테이블!$F:$I,3,0)</f>
        <v/>
      </c>
      <c r="O4012" s="94">
        <f>VLOOKUP($Q4012,매칭테이블!$F:$I,4,0)*K4012</f>
        <v/>
      </c>
      <c r="P4012" s="148">
        <f>M4012/1.1</f>
        <v/>
      </c>
      <c r="Q4012" s="94">
        <f>F4012&amp;E4012&amp;G4012&amp;L4012</f>
        <v/>
      </c>
    </row>
    <row r="4013">
      <c r="A4013" s="94" t="n"/>
      <c r="B4013" s="128" t="n">
        <v>43774</v>
      </c>
      <c r="C4013" s="94">
        <f>TEXT(B4013,"aaa")</f>
        <v/>
      </c>
      <c r="D4013" s="94" t="n"/>
      <c r="E4013" s="6" t="inlineStr">
        <is>
          <t>토너</t>
        </is>
      </c>
      <c r="F4013" s="5" t="inlineStr">
        <is>
          <t>카페24</t>
        </is>
      </c>
      <c r="G4013" s="5" t="inlineStr">
        <is>
          <t>500ml</t>
        </is>
      </c>
      <c r="H4013" s="7" t="n">
        <v>190801</v>
      </c>
      <c r="I4013" s="7" t="n">
        <v>190801</v>
      </c>
      <c r="J4013" s="94" t="n"/>
      <c r="K4013" s="149" t="n">
        <v>23</v>
      </c>
      <c r="L4013" s="7" t="n">
        <v>190801</v>
      </c>
      <c r="M4013" s="94">
        <f>VLOOKUP($Q4013,매칭테이블!$F:$I,2,0)*K4013</f>
        <v/>
      </c>
      <c r="N4013" s="94">
        <f>M4013-M4013*VLOOKUP($Q4013,매칭테이블!$F:$I,3,0)</f>
        <v/>
      </c>
      <c r="O4013" s="94">
        <f>VLOOKUP($Q4013,매칭테이블!$F:$I,4,0)*K4013</f>
        <v/>
      </c>
      <c r="P4013" s="148">
        <f>M4013/1.1</f>
        <v/>
      </c>
      <c r="Q4013" s="94">
        <f>F4013&amp;E4013&amp;G4013&amp;L4013</f>
        <v/>
      </c>
    </row>
    <row r="4014">
      <c r="A4014" s="94" t="n"/>
      <c r="B4014" s="128" t="n">
        <v>43774</v>
      </c>
      <c r="C4014" s="94">
        <f>TEXT(B4014,"aaa")</f>
        <v/>
      </c>
      <c r="D4014" s="94" t="n"/>
      <c r="E4014" s="6" t="inlineStr">
        <is>
          <t>토너</t>
        </is>
      </c>
      <c r="F4014" s="5" t="inlineStr">
        <is>
          <t>카페24</t>
        </is>
      </c>
      <c r="G4014" s="5" t="inlineStr">
        <is>
          <t>250ml</t>
        </is>
      </c>
      <c r="H4014" s="7" t="n">
        <v>190801</v>
      </c>
      <c r="I4014" s="7" t="n">
        <v>190801</v>
      </c>
      <c r="J4014" s="94" t="n"/>
      <c r="K4014" s="149" t="n">
        <v>40</v>
      </c>
      <c r="L4014" s="7" t="n">
        <v>190801</v>
      </c>
      <c r="M4014" s="94">
        <f>VLOOKUP($Q4014,매칭테이블!$F:$I,2,0)*K4014</f>
        <v/>
      </c>
      <c r="N4014" s="94">
        <f>M4014-M4014*VLOOKUP($Q4014,매칭테이블!$F:$I,3,0)</f>
        <v/>
      </c>
      <c r="O4014" s="94">
        <f>VLOOKUP($Q4014,매칭테이블!$F:$I,4,0)*K4014</f>
        <v/>
      </c>
      <c r="P4014" s="148">
        <f>M4014/1.1</f>
        <v/>
      </c>
      <c r="Q4014" s="94">
        <f>F4014&amp;E4014&amp;G4014&amp;L4014</f>
        <v/>
      </c>
    </row>
    <row r="4015">
      <c r="A4015" s="94" t="n"/>
      <c r="B4015" s="128" t="n">
        <v>43774</v>
      </c>
      <c r="C4015" s="94">
        <f>TEXT(B4015,"aaa")</f>
        <v/>
      </c>
      <c r="D4015" s="94" t="n"/>
      <c r="E4015" s="6" t="inlineStr">
        <is>
          <t>토너</t>
        </is>
      </c>
      <c r="F4015" s="5" t="inlineStr">
        <is>
          <t>카페24</t>
        </is>
      </c>
      <c r="G4015" s="5" t="inlineStr">
        <is>
          <t>250ml 2set</t>
        </is>
      </c>
      <c r="H4015" s="7" t="n">
        <v>190801</v>
      </c>
      <c r="I4015" s="7" t="n">
        <v>190801</v>
      </c>
      <c r="J4015" s="94" t="n"/>
      <c r="K4015" s="149" t="n">
        <v>17</v>
      </c>
      <c r="L4015" s="7" t="n">
        <v>190801</v>
      </c>
      <c r="M4015" s="94">
        <f>VLOOKUP($Q4015,매칭테이블!$F:$I,2,0)*K4015</f>
        <v/>
      </c>
      <c r="N4015" s="94">
        <f>M4015-M4015*VLOOKUP($Q4015,매칭테이블!$F:$I,3,0)</f>
        <v/>
      </c>
      <c r="O4015" s="94">
        <f>VLOOKUP($Q4015,매칭테이블!$F:$I,4,0)*K4015</f>
        <v/>
      </c>
      <c r="P4015" s="148">
        <f>M4015/1.1</f>
        <v/>
      </c>
      <c r="Q4015" s="94">
        <f>F4015&amp;E4015&amp;G4015&amp;L4015</f>
        <v/>
      </c>
    </row>
    <row r="4016">
      <c r="A4016" s="94" t="n"/>
      <c r="B4016" s="128" t="n">
        <v>43775</v>
      </c>
      <c r="C4016" s="94">
        <f>TEXT(B4016,"aaa")</f>
        <v/>
      </c>
      <c r="D4016" s="94" t="n"/>
      <c r="E4016" s="6" t="inlineStr">
        <is>
          <t>토너</t>
        </is>
      </c>
      <c r="F4016" s="5" t="inlineStr">
        <is>
          <t>W컨셉</t>
        </is>
      </c>
      <c r="G4016" s="5" t="inlineStr">
        <is>
          <t>250ml</t>
        </is>
      </c>
      <c r="H4016" s="7" t="n">
        <v>190801</v>
      </c>
      <c r="I4016" s="7" t="n">
        <v>190801</v>
      </c>
      <c r="J4016" s="94" t="n"/>
      <c r="K4016" s="149" t="n">
        <v>1</v>
      </c>
      <c r="L4016" s="7" t="n">
        <v>190801</v>
      </c>
      <c r="M4016" s="94">
        <f>VLOOKUP($Q4016,매칭테이블!$F:$I,2,0)*K4016</f>
        <v/>
      </c>
      <c r="N4016" s="94">
        <f>M4016-M4016*VLOOKUP($Q4016,매칭테이블!$F:$I,3,0)</f>
        <v/>
      </c>
      <c r="O4016" s="94">
        <f>VLOOKUP($Q4016,매칭테이블!$F:$I,4,0)*K4016</f>
        <v/>
      </c>
      <c r="P4016" s="148">
        <f>M4016/1.1</f>
        <v/>
      </c>
      <c r="Q4016" s="94">
        <f>F4016&amp;E4016&amp;G4016&amp;L4016</f>
        <v/>
      </c>
    </row>
    <row r="4017">
      <c r="A4017" s="94" t="n"/>
      <c r="B4017" s="128" t="n">
        <v>43775</v>
      </c>
      <c r="C4017" s="94">
        <f>TEXT(B4017,"aaa")</f>
        <v/>
      </c>
      <c r="D4017" s="94" t="n"/>
      <c r="E4017" s="6" t="inlineStr">
        <is>
          <t>토너</t>
        </is>
      </c>
      <c r="F4017" s="5" t="inlineStr">
        <is>
          <t>W컨셉</t>
        </is>
      </c>
      <c r="G4017" s="5" t="inlineStr">
        <is>
          <t>250ml 2set</t>
        </is>
      </c>
      <c r="H4017" s="7" t="n">
        <v>190801</v>
      </c>
      <c r="I4017" s="7" t="n">
        <v>190801</v>
      </c>
      <c r="J4017" s="94" t="n"/>
      <c r="K4017" s="149" t="n">
        <v>5</v>
      </c>
      <c r="L4017" s="7" t="n">
        <v>190801</v>
      </c>
      <c r="M4017" s="94">
        <f>VLOOKUP($Q4017,매칭테이블!$F:$I,2,0)*K4017</f>
        <v/>
      </c>
      <c r="N4017" s="94">
        <f>M4017-M4017*VLOOKUP($Q4017,매칭테이블!$F:$I,3,0)</f>
        <v/>
      </c>
      <c r="O4017" s="94">
        <f>VLOOKUP($Q4017,매칭테이블!$F:$I,4,0)*K4017</f>
        <v/>
      </c>
      <c r="P4017" s="148">
        <f>M4017/1.1</f>
        <v/>
      </c>
      <c r="Q4017" s="94">
        <f>F4017&amp;E4017&amp;G4017&amp;L4017</f>
        <v/>
      </c>
    </row>
    <row r="4018">
      <c r="A4018" s="94" t="n"/>
      <c r="B4018" s="128" t="n">
        <v>43775</v>
      </c>
      <c r="C4018" s="94">
        <f>TEXT(B4018,"aaa")</f>
        <v/>
      </c>
      <c r="D4018" s="94" t="n"/>
      <c r="E4018" s="6" t="inlineStr">
        <is>
          <t>토너</t>
        </is>
      </c>
      <c r="F4018" s="5" t="inlineStr">
        <is>
          <t>카페24</t>
        </is>
      </c>
      <c r="G4018" s="5" t="inlineStr">
        <is>
          <t>500ml</t>
        </is>
      </c>
      <c r="H4018" s="7" t="n">
        <v>190801</v>
      </c>
      <c r="I4018" s="7" t="n">
        <v>190801</v>
      </c>
      <c r="J4018" s="94" t="n"/>
      <c r="K4018" s="149" t="n">
        <v>21</v>
      </c>
      <c r="L4018" s="7" t="n">
        <v>190801</v>
      </c>
      <c r="M4018" s="94">
        <f>VLOOKUP($Q4018,매칭테이블!$F:$I,2,0)*K4018</f>
        <v/>
      </c>
      <c r="N4018" s="94">
        <f>M4018-M4018*VLOOKUP($Q4018,매칭테이블!$F:$I,3,0)</f>
        <v/>
      </c>
      <c r="O4018" s="94">
        <f>VLOOKUP($Q4018,매칭테이블!$F:$I,4,0)*K4018</f>
        <v/>
      </c>
      <c r="P4018" s="148">
        <f>M4018/1.1</f>
        <v/>
      </c>
      <c r="Q4018" s="94">
        <f>F4018&amp;E4018&amp;G4018&amp;L4018</f>
        <v/>
      </c>
    </row>
    <row r="4019">
      <c r="A4019" s="94" t="n"/>
      <c r="B4019" s="128" t="n">
        <v>43775</v>
      </c>
      <c r="C4019" s="94">
        <f>TEXT(B4019,"aaa")</f>
        <v/>
      </c>
      <c r="D4019" s="94" t="n"/>
      <c r="E4019" s="6" t="inlineStr">
        <is>
          <t>토너</t>
        </is>
      </c>
      <c r="F4019" s="5" t="inlineStr">
        <is>
          <t>카페24</t>
        </is>
      </c>
      <c r="G4019" s="5" t="inlineStr">
        <is>
          <t>250ml</t>
        </is>
      </c>
      <c r="H4019" s="7" t="n">
        <v>190801</v>
      </c>
      <c r="I4019" s="7" t="n">
        <v>190801</v>
      </c>
      <c r="J4019" s="94" t="n"/>
      <c r="K4019" s="149" t="n">
        <v>32</v>
      </c>
      <c r="L4019" s="7" t="n">
        <v>190801</v>
      </c>
      <c r="M4019" s="94">
        <f>VLOOKUP($Q4019,매칭테이블!$F:$I,2,0)*K4019</f>
        <v/>
      </c>
      <c r="N4019" s="94">
        <f>M4019-M4019*VLOOKUP($Q4019,매칭테이블!$F:$I,3,0)</f>
        <v/>
      </c>
      <c r="O4019" s="94">
        <f>VLOOKUP($Q4019,매칭테이블!$F:$I,4,0)*K4019</f>
        <v/>
      </c>
      <c r="P4019" s="148">
        <f>M4019/1.1</f>
        <v/>
      </c>
      <c r="Q4019" s="94">
        <f>F4019&amp;E4019&amp;G4019&amp;L4019</f>
        <v/>
      </c>
    </row>
    <row r="4020">
      <c r="A4020" s="94" t="n"/>
      <c r="B4020" s="128" t="n">
        <v>43775</v>
      </c>
      <c r="C4020" s="94">
        <f>TEXT(B4020,"aaa")</f>
        <v/>
      </c>
      <c r="D4020" s="94" t="n"/>
      <c r="E4020" s="6" t="inlineStr">
        <is>
          <t>토너</t>
        </is>
      </c>
      <c r="F4020" s="5" t="inlineStr">
        <is>
          <t>카페24</t>
        </is>
      </c>
      <c r="G4020" s="5" t="inlineStr">
        <is>
          <t>250ml 2set</t>
        </is>
      </c>
      <c r="H4020" s="7" t="n">
        <v>190801</v>
      </c>
      <c r="I4020" s="7" t="n">
        <v>190801</v>
      </c>
      <c r="J4020" s="94" t="n"/>
      <c r="K4020" s="149" t="n">
        <v>22</v>
      </c>
      <c r="L4020" s="7" t="n">
        <v>190801</v>
      </c>
      <c r="M4020" s="94">
        <f>VLOOKUP($Q4020,매칭테이블!$F:$I,2,0)*K4020</f>
        <v/>
      </c>
      <c r="N4020" s="94">
        <f>M4020-M4020*VLOOKUP($Q4020,매칭테이블!$F:$I,3,0)</f>
        <v/>
      </c>
      <c r="O4020" s="94">
        <f>VLOOKUP($Q4020,매칭테이블!$F:$I,4,0)*K4020</f>
        <v/>
      </c>
      <c r="P4020" s="148">
        <f>M4020/1.1</f>
        <v/>
      </c>
      <c r="Q4020" s="94">
        <f>F4020&amp;E4020&amp;G4020&amp;L4020</f>
        <v/>
      </c>
    </row>
    <row r="4021">
      <c r="A4021" s="94" t="n"/>
      <c r="B4021" s="128" t="n">
        <v>43776</v>
      </c>
      <c r="C4021" s="94">
        <f>TEXT(B4021,"aaa")</f>
        <v/>
      </c>
      <c r="D4021" s="94" t="n"/>
      <c r="E4021" s="6" t="inlineStr">
        <is>
          <t>토너</t>
        </is>
      </c>
      <c r="F4021" s="5" t="inlineStr">
        <is>
          <t>W컨셉</t>
        </is>
      </c>
      <c r="G4021" s="5" t="inlineStr">
        <is>
          <t>250ml</t>
        </is>
      </c>
      <c r="H4021" s="7" t="n">
        <v>190801</v>
      </c>
      <c r="I4021" s="7" t="n">
        <v>190801</v>
      </c>
      <c r="J4021" s="94" t="n"/>
      <c r="K4021" s="149" t="n">
        <v>2</v>
      </c>
      <c r="L4021" s="7" t="n">
        <v>190801</v>
      </c>
      <c r="M4021" s="94">
        <f>VLOOKUP($Q4021,매칭테이블!$F:$I,2,0)*K4021</f>
        <v/>
      </c>
      <c r="N4021" s="94">
        <f>M4021-M4021*VLOOKUP($Q4021,매칭테이블!$F:$I,3,0)</f>
        <v/>
      </c>
      <c r="O4021" s="94">
        <f>VLOOKUP($Q4021,매칭테이블!$F:$I,4,0)*K4021</f>
        <v/>
      </c>
      <c r="P4021" s="148">
        <f>M4021/1.1</f>
        <v/>
      </c>
      <c r="Q4021" s="94">
        <f>F4021&amp;E4021&amp;G4021&amp;L4021</f>
        <v/>
      </c>
    </row>
    <row r="4022">
      <c r="A4022" s="94" t="n"/>
      <c r="B4022" s="128" t="n">
        <v>43776</v>
      </c>
      <c r="C4022" s="94">
        <f>TEXT(B4022,"aaa")</f>
        <v/>
      </c>
      <c r="D4022" s="94" t="n"/>
      <c r="E4022" s="6" t="inlineStr">
        <is>
          <t>토너</t>
        </is>
      </c>
      <c r="F4022" s="5" t="inlineStr">
        <is>
          <t>W컨셉</t>
        </is>
      </c>
      <c r="G4022" s="5" t="inlineStr">
        <is>
          <t>250ml 2set</t>
        </is>
      </c>
      <c r="H4022" s="7" t="n">
        <v>190801</v>
      </c>
      <c r="I4022" s="7" t="n">
        <v>190801</v>
      </c>
      <c r="J4022" s="94" t="n"/>
      <c r="K4022" s="149" t="n">
        <v>3</v>
      </c>
      <c r="L4022" s="7" t="n">
        <v>190801</v>
      </c>
      <c r="M4022" s="94">
        <f>VLOOKUP($Q4022,매칭테이블!$F:$I,2,0)*K4022</f>
        <v/>
      </c>
      <c r="N4022" s="94">
        <f>M4022-M4022*VLOOKUP($Q4022,매칭테이블!$F:$I,3,0)</f>
        <v/>
      </c>
      <c r="O4022" s="94">
        <f>VLOOKUP($Q4022,매칭테이블!$F:$I,4,0)*K4022</f>
        <v/>
      </c>
      <c r="P4022" s="148">
        <f>M4022/1.1</f>
        <v/>
      </c>
      <c r="Q4022" s="94">
        <f>F4022&amp;E4022&amp;G4022&amp;L4022</f>
        <v/>
      </c>
    </row>
    <row r="4023">
      <c r="A4023" s="94" t="n"/>
      <c r="B4023" s="128" t="n">
        <v>43776</v>
      </c>
      <c r="C4023" s="94">
        <f>TEXT(B4023,"aaa")</f>
        <v/>
      </c>
      <c r="D4023" s="94" t="n"/>
      <c r="E4023" s="6" t="inlineStr">
        <is>
          <t>토너</t>
        </is>
      </c>
      <c r="F4023" s="5" t="inlineStr">
        <is>
          <t>카페24</t>
        </is>
      </c>
      <c r="G4023" s="5" t="inlineStr">
        <is>
          <t>500ml</t>
        </is>
      </c>
      <c r="H4023" s="7" t="n">
        <v>190801</v>
      </c>
      <c r="I4023" s="7" t="n">
        <v>190801</v>
      </c>
      <c r="J4023" s="94" t="n"/>
      <c r="K4023" s="149" t="n">
        <v>18</v>
      </c>
      <c r="L4023" s="7" t="n">
        <v>190801</v>
      </c>
      <c r="M4023" s="94">
        <f>VLOOKUP($Q4023,매칭테이블!$F:$I,2,0)*K4023</f>
        <v/>
      </c>
      <c r="N4023" s="94">
        <f>M4023-M4023*VLOOKUP($Q4023,매칭테이블!$F:$I,3,0)</f>
        <v/>
      </c>
      <c r="O4023" s="94">
        <f>VLOOKUP($Q4023,매칭테이블!$F:$I,4,0)*K4023</f>
        <v/>
      </c>
      <c r="P4023" s="148">
        <f>M4023/1.1</f>
        <v/>
      </c>
      <c r="Q4023" s="94">
        <f>F4023&amp;E4023&amp;G4023&amp;L4023</f>
        <v/>
      </c>
    </row>
    <row r="4024">
      <c r="A4024" s="94" t="n"/>
      <c r="B4024" s="128" t="n">
        <v>43776</v>
      </c>
      <c r="C4024" s="94">
        <f>TEXT(B4024,"aaa")</f>
        <v/>
      </c>
      <c r="D4024" s="94" t="n"/>
      <c r="E4024" s="6" t="inlineStr">
        <is>
          <t>토너</t>
        </is>
      </c>
      <c r="F4024" s="5" t="inlineStr">
        <is>
          <t>카페24</t>
        </is>
      </c>
      <c r="G4024" s="5" t="inlineStr">
        <is>
          <t>250ml</t>
        </is>
      </c>
      <c r="H4024" s="7" t="n">
        <v>190801</v>
      </c>
      <c r="I4024" s="7" t="n">
        <v>190801</v>
      </c>
      <c r="J4024" s="94" t="n"/>
      <c r="K4024" s="149" t="n">
        <v>34</v>
      </c>
      <c r="L4024" s="7" t="n">
        <v>190801</v>
      </c>
      <c r="M4024" s="94">
        <f>VLOOKUP($Q4024,매칭테이블!$F:$I,2,0)*K4024</f>
        <v/>
      </c>
      <c r="N4024" s="94">
        <f>M4024-M4024*VLOOKUP($Q4024,매칭테이블!$F:$I,3,0)</f>
        <v/>
      </c>
      <c r="O4024" s="94">
        <f>VLOOKUP($Q4024,매칭테이블!$F:$I,4,0)*K4024</f>
        <v/>
      </c>
      <c r="P4024" s="148">
        <f>M4024/1.1</f>
        <v/>
      </c>
      <c r="Q4024" s="94">
        <f>F4024&amp;E4024&amp;G4024&amp;L4024</f>
        <v/>
      </c>
    </row>
    <row r="4025">
      <c r="A4025" s="94" t="n"/>
      <c r="B4025" s="128" t="n">
        <v>43776</v>
      </c>
      <c r="C4025" s="94">
        <f>TEXT(B4025,"aaa")</f>
        <v/>
      </c>
      <c r="D4025" s="94" t="n"/>
      <c r="E4025" s="6" t="inlineStr">
        <is>
          <t>토너</t>
        </is>
      </c>
      <c r="F4025" s="5" t="inlineStr">
        <is>
          <t>카페24</t>
        </is>
      </c>
      <c r="G4025" s="5" t="inlineStr">
        <is>
          <t>250ml 2set</t>
        </is>
      </c>
      <c r="H4025" s="7" t="n">
        <v>190801</v>
      </c>
      <c r="I4025" s="7" t="n">
        <v>190801</v>
      </c>
      <c r="J4025" s="94" t="n"/>
      <c r="K4025" s="149" t="n">
        <v>24</v>
      </c>
      <c r="L4025" s="7" t="n">
        <v>190801</v>
      </c>
      <c r="M4025" s="94">
        <f>VLOOKUP($Q4025,매칭테이블!$F:$I,2,0)*K4025</f>
        <v/>
      </c>
      <c r="N4025" s="94">
        <f>M4025-M4025*VLOOKUP($Q4025,매칭테이블!$F:$I,3,0)</f>
        <v/>
      </c>
      <c r="O4025" s="94">
        <f>VLOOKUP($Q4025,매칭테이블!$F:$I,4,0)*K4025</f>
        <v/>
      </c>
      <c r="P4025" s="148">
        <f>M4025/1.1</f>
        <v/>
      </c>
      <c r="Q4025" s="94">
        <f>F4025&amp;E4025&amp;G4025&amp;L4025</f>
        <v/>
      </c>
    </row>
    <row r="4026">
      <c r="A4026" s="94" t="n"/>
      <c r="B4026" s="128" t="n">
        <v>43776</v>
      </c>
      <c r="C4026" s="94">
        <f>TEXT(B4026,"aaa")</f>
        <v/>
      </c>
      <c r="D4026" s="94" t="n"/>
      <c r="E4026" s="94" t="inlineStr">
        <is>
          <t>토너</t>
        </is>
      </c>
      <c r="F4026" s="94" t="inlineStr">
        <is>
          <t>아누아 CS</t>
        </is>
      </c>
      <c r="G4026" s="94" t="inlineStr">
        <is>
          <t>250ml</t>
        </is>
      </c>
      <c r="H4026" s="7" t="n">
        <v>190801</v>
      </c>
      <c r="I4026" s="7" t="n">
        <v>190801</v>
      </c>
      <c r="J4026" s="94" t="n"/>
      <c r="K4026" s="149" t="n">
        <v>1</v>
      </c>
      <c r="L4026" s="7" t="n">
        <v>190801</v>
      </c>
      <c r="M4026" s="94">
        <f>VLOOKUP($Q4026,매칭테이블!$F:$I,2,0)*K4026</f>
        <v/>
      </c>
      <c r="N4026" s="94">
        <f>M4026-M4026*VLOOKUP($Q4026,매칭테이블!$F:$I,3,0)</f>
        <v/>
      </c>
      <c r="O4026" s="94">
        <f>VLOOKUP($Q4026,매칭테이블!$F:$I,4,0)*K4026</f>
        <v/>
      </c>
      <c r="P4026" s="148">
        <f>M4026/1.1</f>
        <v/>
      </c>
      <c r="Q4026" s="94">
        <f>F4026&amp;E4026&amp;G4026&amp;L4026</f>
        <v/>
      </c>
    </row>
    <row r="4027">
      <c r="A4027" s="94" t="n"/>
      <c r="B4027" s="128" t="n">
        <v>43777</v>
      </c>
      <c r="C4027" s="94">
        <f>TEXT(B4027,"aaa")</f>
        <v/>
      </c>
      <c r="D4027" s="94" t="n"/>
      <c r="E4027" s="6" t="inlineStr">
        <is>
          <t>토너</t>
        </is>
      </c>
      <c r="F4027" s="5" t="inlineStr">
        <is>
          <t>W컨셉</t>
        </is>
      </c>
      <c r="G4027" s="5" t="inlineStr">
        <is>
          <t>250ml 2set</t>
        </is>
      </c>
      <c r="H4027" s="7" t="n">
        <v>190801</v>
      </c>
      <c r="I4027" s="7" t="n">
        <v>190801</v>
      </c>
      <c r="J4027" s="94" t="n"/>
      <c r="K4027" s="149" t="n">
        <v>5</v>
      </c>
      <c r="L4027" s="7" t="n">
        <v>190801</v>
      </c>
      <c r="M4027" s="94">
        <f>VLOOKUP($Q4027,매칭테이블!$F:$I,2,0)*K4027</f>
        <v/>
      </c>
      <c r="N4027" s="94">
        <f>M4027-M4027*VLOOKUP($Q4027,매칭테이블!$F:$I,3,0)</f>
        <v/>
      </c>
      <c r="O4027" s="94">
        <f>VLOOKUP($Q4027,매칭테이블!$F:$I,4,0)*K4027</f>
        <v/>
      </c>
      <c r="P4027" s="148">
        <f>M4027/1.1</f>
        <v/>
      </c>
      <c r="Q4027" s="94">
        <f>F4027&amp;E4027&amp;G4027&amp;L4027</f>
        <v/>
      </c>
    </row>
    <row r="4028">
      <c r="A4028" s="94" t="n"/>
      <c r="B4028" s="128" t="n">
        <v>43777</v>
      </c>
      <c r="C4028" s="94">
        <f>TEXT(B4028,"aaa")</f>
        <v/>
      </c>
      <c r="D4028" s="94" t="n"/>
      <c r="E4028" s="6" t="inlineStr">
        <is>
          <t>토너</t>
        </is>
      </c>
      <c r="F4028" s="5" t="inlineStr">
        <is>
          <t>카페24</t>
        </is>
      </c>
      <c r="G4028" s="5" t="inlineStr">
        <is>
          <t>500ml</t>
        </is>
      </c>
      <c r="H4028" s="7" t="n">
        <v>190801</v>
      </c>
      <c r="I4028" s="7" t="n">
        <v>190801</v>
      </c>
      <c r="J4028" s="94" t="n"/>
      <c r="K4028" s="149" t="n">
        <v>8</v>
      </c>
      <c r="L4028" s="7" t="n">
        <v>190801</v>
      </c>
      <c r="M4028" s="94">
        <f>VLOOKUP($Q4028,매칭테이블!$F:$I,2,0)*K4028</f>
        <v/>
      </c>
      <c r="N4028" s="94">
        <f>M4028-M4028*VLOOKUP($Q4028,매칭테이블!$F:$I,3,0)</f>
        <v/>
      </c>
      <c r="O4028" s="94">
        <f>VLOOKUP($Q4028,매칭테이블!$F:$I,4,0)*K4028</f>
        <v/>
      </c>
      <c r="P4028" s="148">
        <f>M4028/1.1</f>
        <v/>
      </c>
      <c r="Q4028" s="94">
        <f>F4028&amp;E4028&amp;G4028&amp;L4028</f>
        <v/>
      </c>
    </row>
    <row r="4029">
      <c r="A4029" s="94" t="n"/>
      <c r="B4029" s="128" t="n">
        <v>43777</v>
      </c>
      <c r="C4029" s="94">
        <f>TEXT(B4029,"aaa")</f>
        <v/>
      </c>
      <c r="D4029" s="94" t="n"/>
      <c r="E4029" s="6" t="inlineStr">
        <is>
          <t>토너</t>
        </is>
      </c>
      <c r="F4029" s="5" t="inlineStr">
        <is>
          <t>카페24</t>
        </is>
      </c>
      <c r="G4029" s="5" t="inlineStr">
        <is>
          <t>250ml</t>
        </is>
      </c>
      <c r="H4029" s="7" t="n">
        <v>190801</v>
      </c>
      <c r="I4029" s="7" t="n">
        <v>190801</v>
      </c>
      <c r="J4029" s="94" t="n"/>
      <c r="K4029" s="149" t="n">
        <v>27</v>
      </c>
      <c r="L4029" s="7" t="n">
        <v>190801</v>
      </c>
      <c r="M4029" s="94">
        <f>VLOOKUP($Q4029,매칭테이블!$F:$I,2,0)*K4029</f>
        <v/>
      </c>
      <c r="N4029" s="94">
        <f>M4029-M4029*VLOOKUP($Q4029,매칭테이블!$F:$I,3,0)</f>
        <v/>
      </c>
      <c r="O4029" s="94">
        <f>VLOOKUP($Q4029,매칭테이블!$F:$I,4,0)*K4029</f>
        <v/>
      </c>
      <c r="P4029" s="148">
        <f>M4029/1.1</f>
        <v/>
      </c>
      <c r="Q4029" s="94">
        <f>F4029&amp;E4029&amp;G4029&amp;L4029</f>
        <v/>
      </c>
    </row>
    <row r="4030">
      <c r="A4030" s="94" t="n"/>
      <c r="B4030" s="128" t="n">
        <v>43777</v>
      </c>
      <c r="C4030" s="94">
        <f>TEXT(B4030,"aaa")</f>
        <v/>
      </c>
      <c r="D4030" s="94" t="n"/>
      <c r="E4030" s="6" t="inlineStr">
        <is>
          <t>토너</t>
        </is>
      </c>
      <c r="F4030" s="5" t="inlineStr">
        <is>
          <t>카페24</t>
        </is>
      </c>
      <c r="G4030" s="5" t="inlineStr">
        <is>
          <t>250ml 2set</t>
        </is>
      </c>
      <c r="H4030" s="7" t="n">
        <v>190801</v>
      </c>
      <c r="I4030" s="7" t="n">
        <v>190801</v>
      </c>
      <c r="J4030" s="94" t="n"/>
      <c r="K4030" s="149" t="n">
        <v>12</v>
      </c>
      <c r="L4030" s="7" t="n">
        <v>190801</v>
      </c>
      <c r="M4030" s="94">
        <f>VLOOKUP($Q4030,매칭테이블!$F:$I,2,0)*K4030</f>
        <v/>
      </c>
      <c r="N4030" s="94">
        <f>M4030-M4030*VLOOKUP($Q4030,매칭테이블!$F:$I,3,0)</f>
        <v/>
      </c>
      <c r="O4030" s="94">
        <f>VLOOKUP($Q4030,매칭테이블!$F:$I,4,0)*K4030</f>
        <v/>
      </c>
      <c r="P4030" s="148">
        <f>M4030/1.1</f>
        <v/>
      </c>
      <c r="Q4030" s="94">
        <f>F4030&amp;E4030&amp;G4030&amp;L4030</f>
        <v/>
      </c>
    </row>
    <row r="4031">
      <c r="A4031" s="94" t="n"/>
      <c r="B4031" s="128" t="n">
        <v>43777</v>
      </c>
      <c r="C4031" s="94">
        <f>TEXT(B4031,"aaa")</f>
        <v/>
      </c>
      <c r="D4031" s="94" t="n"/>
      <c r="E4031" s="94" t="inlineStr">
        <is>
          <t>토너</t>
        </is>
      </c>
      <c r="F4031" s="94" t="inlineStr">
        <is>
          <t>아누아 CS</t>
        </is>
      </c>
      <c r="G4031" s="94" t="inlineStr">
        <is>
          <t>250ml</t>
        </is>
      </c>
      <c r="H4031" s="7" t="n">
        <v>190801</v>
      </c>
      <c r="I4031" s="7" t="n">
        <v>190801</v>
      </c>
      <c r="J4031" s="94" t="n"/>
      <c r="K4031" s="6" t="n">
        <v>20</v>
      </c>
      <c r="L4031" s="7" t="n">
        <v>190801</v>
      </c>
      <c r="M4031" s="94">
        <f>VLOOKUP($Q4031,매칭테이블!$F:$I,2,0)*K4031</f>
        <v/>
      </c>
      <c r="N4031" s="94">
        <f>M4031-M4031*VLOOKUP($Q4031,매칭테이블!$F:$I,3,0)</f>
        <v/>
      </c>
      <c r="O4031" s="94">
        <f>VLOOKUP($Q4031,매칭테이블!$F:$I,4,0)*K4031</f>
        <v/>
      </c>
      <c r="P4031" s="148">
        <f>M4031/1.1</f>
        <v/>
      </c>
      <c r="Q4031" s="94">
        <f>F4031&amp;E4031&amp;G4031&amp;L4031</f>
        <v/>
      </c>
    </row>
    <row r="4032">
      <c r="A4032" s="94" t="n"/>
      <c r="B4032" s="128" t="n">
        <v>43778</v>
      </c>
      <c r="C4032" s="94">
        <f>TEXT(B4032,"aaa")</f>
        <v/>
      </c>
      <c r="D4032" s="94" t="n"/>
      <c r="E4032" s="6" t="inlineStr">
        <is>
          <t>토너</t>
        </is>
      </c>
      <c r="F4032" s="5" t="inlineStr">
        <is>
          <t>W컨셉</t>
        </is>
      </c>
      <c r="G4032" s="5" t="inlineStr">
        <is>
          <t>250ml 2set</t>
        </is>
      </c>
      <c r="H4032" s="7" t="n">
        <v>190801</v>
      </c>
      <c r="I4032" s="7" t="n">
        <v>190801</v>
      </c>
      <c r="J4032" s="94" t="n"/>
      <c r="K4032" s="149" t="n">
        <v>3</v>
      </c>
      <c r="L4032" s="7" t="n">
        <v>190801</v>
      </c>
      <c r="M4032" s="94">
        <f>VLOOKUP($Q4032,매칭테이블!$F:$I,2,0)*K4032</f>
        <v/>
      </c>
      <c r="N4032" s="94">
        <f>M4032-M4032*VLOOKUP($Q4032,매칭테이블!$F:$I,3,0)</f>
        <v/>
      </c>
      <c r="O4032" s="94">
        <f>VLOOKUP($Q4032,매칭테이블!$F:$I,4,0)*K4032</f>
        <v/>
      </c>
      <c r="P4032" s="148">
        <f>M4032/1.1</f>
        <v/>
      </c>
      <c r="Q4032" s="94">
        <f>F4032&amp;E4032&amp;G4032&amp;L4032</f>
        <v/>
      </c>
    </row>
    <row r="4033">
      <c r="A4033" s="94" t="n"/>
      <c r="B4033" s="128" t="n">
        <v>43778</v>
      </c>
      <c r="C4033" s="94">
        <f>TEXT(B4033,"aaa")</f>
        <v/>
      </c>
      <c r="D4033" s="94" t="n"/>
      <c r="E4033" s="6" t="inlineStr">
        <is>
          <t>토너</t>
        </is>
      </c>
      <c r="F4033" s="5" t="inlineStr">
        <is>
          <t>카페24</t>
        </is>
      </c>
      <c r="G4033" s="5" t="inlineStr">
        <is>
          <t>500ml</t>
        </is>
      </c>
      <c r="H4033" s="7" t="n">
        <v>190801</v>
      </c>
      <c r="I4033" s="7" t="n">
        <v>190801</v>
      </c>
      <c r="J4033" s="94" t="n"/>
      <c r="K4033" s="149" t="n">
        <v>13</v>
      </c>
      <c r="L4033" s="7" t="n">
        <v>190801</v>
      </c>
      <c r="M4033" s="94">
        <f>VLOOKUP($Q4033,매칭테이블!$F:$I,2,0)*K4033</f>
        <v/>
      </c>
      <c r="N4033" s="94">
        <f>M4033-M4033*VLOOKUP($Q4033,매칭테이블!$F:$I,3,0)</f>
        <v/>
      </c>
      <c r="O4033" s="94">
        <f>VLOOKUP($Q4033,매칭테이블!$F:$I,4,0)*K4033</f>
        <v/>
      </c>
      <c r="P4033" s="148">
        <f>M4033/1.1</f>
        <v/>
      </c>
      <c r="Q4033" s="94">
        <f>F4033&amp;E4033&amp;G4033&amp;L4033</f>
        <v/>
      </c>
    </row>
    <row r="4034">
      <c r="A4034" s="94" t="n"/>
      <c r="B4034" s="128" t="n">
        <v>43778</v>
      </c>
      <c r="C4034" s="94">
        <f>TEXT(B4034,"aaa")</f>
        <v/>
      </c>
      <c r="D4034" s="94" t="n"/>
      <c r="E4034" s="6" t="inlineStr">
        <is>
          <t>토너</t>
        </is>
      </c>
      <c r="F4034" s="5" t="inlineStr">
        <is>
          <t>카페24</t>
        </is>
      </c>
      <c r="G4034" s="5" t="inlineStr">
        <is>
          <t>250ml</t>
        </is>
      </c>
      <c r="H4034" s="7" t="n">
        <v>190801</v>
      </c>
      <c r="I4034" s="7" t="n">
        <v>190801</v>
      </c>
      <c r="J4034" s="94" t="n"/>
      <c r="K4034" s="149" t="n">
        <v>27</v>
      </c>
      <c r="L4034" s="7" t="n">
        <v>190801</v>
      </c>
      <c r="M4034" s="94">
        <f>VLOOKUP($Q4034,매칭테이블!$F:$I,2,0)*K4034</f>
        <v/>
      </c>
      <c r="N4034" s="94">
        <f>M4034-M4034*VLOOKUP($Q4034,매칭테이블!$F:$I,3,0)</f>
        <v/>
      </c>
      <c r="O4034" s="94">
        <f>VLOOKUP($Q4034,매칭테이블!$F:$I,4,0)*K4034</f>
        <v/>
      </c>
      <c r="P4034" s="148">
        <f>M4034/1.1</f>
        <v/>
      </c>
      <c r="Q4034" s="94">
        <f>F4034&amp;E4034&amp;G4034&amp;L4034</f>
        <v/>
      </c>
    </row>
    <row r="4035">
      <c r="A4035" s="94" t="n"/>
      <c r="B4035" s="128" t="n">
        <v>43778</v>
      </c>
      <c r="C4035" s="94">
        <f>TEXT(B4035,"aaa")</f>
        <v/>
      </c>
      <c r="D4035" s="94" t="n"/>
      <c r="E4035" s="6" t="inlineStr">
        <is>
          <t>토너</t>
        </is>
      </c>
      <c r="F4035" s="5" t="inlineStr">
        <is>
          <t>카페24</t>
        </is>
      </c>
      <c r="G4035" s="5" t="inlineStr">
        <is>
          <t>250ml 2set</t>
        </is>
      </c>
      <c r="H4035" s="7" t="n">
        <v>190801</v>
      </c>
      <c r="I4035" s="7" t="n">
        <v>190801</v>
      </c>
      <c r="J4035" s="94" t="n"/>
      <c r="K4035" s="149" t="n">
        <v>19</v>
      </c>
      <c r="L4035" s="7" t="n">
        <v>190801</v>
      </c>
      <c r="M4035" s="94">
        <f>VLOOKUP($Q4035,매칭테이블!$F:$I,2,0)*K4035</f>
        <v/>
      </c>
      <c r="N4035" s="94">
        <f>M4035-M4035*VLOOKUP($Q4035,매칭테이블!$F:$I,3,0)</f>
        <v/>
      </c>
      <c r="O4035" s="94">
        <f>VLOOKUP($Q4035,매칭테이블!$F:$I,4,0)*K4035</f>
        <v/>
      </c>
      <c r="P4035" s="148">
        <f>M4035/1.1</f>
        <v/>
      </c>
      <c r="Q4035" s="94">
        <f>F4035&amp;E4035&amp;G4035&amp;L4035</f>
        <v/>
      </c>
    </row>
    <row r="4036">
      <c r="A4036" s="94" t="n"/>
      <c r="B4036" s="128" t="n">
        <v>43779</v>
      </c>
      <c r="C4036" s="94">
        <f>TEXT(B4036,"aaa")</f>
        <v/>
      </c>
      <c r="D4036" s="94" t="n"/>
      <c r="E4036" s="6" t="inlineStr">
        <is>
          <t>토너</t>
        </is>
      </c>
      <c r="F4036" s="5" t="inlineStr">
        <is>
          <t>W컨셉</t>
        </is>
      </c>
      <c r="G4036" s="5" t="inlineStr">
        <is>
          <t>250ml</t>
        </is>
      </c>
      <c r="H4036" s="7" t="n">
        <v>190801</v>
      </c>
      <c r="I4036" s="7" t="n">
        <v>190801</v>
      </c>
      <c r="J4036" s="94" t="n"/>
      <c r="K4036" s="149" t="n">
        <v>1</v>
      </c>
      <c r="L4036" s="7" t="n">
        <v>190801</v>
      </c>
      <c r="M4036" s="94">
        <f>VLOOKUP($Q4036,매칭테이블!$F:$I,2,0)*K4036</f>
        <v/>
      </c>
      <c r="N4036" s="94">
        <f>M4036-M4036*VLOOKUP($Q4036,매칭테이블!$F:$I,3,0)</f>
        <v/>
      </c>
      <c r="O4036" s="94">
        <f>VLOOKUP($Q4036,매칭테이블!$F:$I,4,0)*K4036</f>
        <v/>
      </c>
      <c r="P4036" s="148">
        <f>M4036/1.1</f>
        <v/>
      </c>
      <c r="Q4036" s="94">
        <f>F4036&amp;E4036&amp;G4036&amp;L4036</f>
        <v/>
      </c>
    </row>
    <row r="4037">
      <c r="A4037" s="94" t="n"/>
      <c r="B4037" s="128" t="n">
        <v>43779</v>
      </c>
      <c r="C4037" s="94">
        <f>TEXT(B4037,"aaa")</f>
        <v/>
      </c>
      <c r="D4037" s="94" t="n"/>
      <c r="E4037" s="6" t="inlineStr">
        <is>
          <t>토너</t>
        </is>
      </c>
      <c r="F4037" s="5" t="inlineStr">
        <is>
          <t>W컨셉</t>
        </is>
      </c>
      <c r="G4037" s="5" t="inlineStr">
        <is>
          <t>250ml 2set</t>
        </is>
      </c>
      <c r="H4037" s="7" t="n">
        <v>190801</v>
      </c>
      <c r="I4037" s="7" t="n">
        <v>190801</v>
      </c>
      <c r="J4037" s="94" t="n"/>
      <c r="K4037" s="149" t="n">
        <v>4</v>
      </c>
      <c r="L4037" s="7" t="n">
        <v>190801</v>
      </c>
      <c r="M4037" s="94">
        <f>VLOOKUP($Q4037,매칭테이블!$F:$I,2,0)*K4037</f>
        <v/>
      </c>
      <c r="N4037" s="94">
        <f>M4037-M4037*VLOOKUP($Q4037,매칭테이블!$F:$I,3,0)</f>
        <v/>
      </c>
      <c r="O4037" s="94">
        <f>VLOOKUP($Q4037,매칭테이블!$F:$I,4,0)*K4037</f>
        <v/>
      </c>
      <c r="P4037" s="148">
        <f>M4037/1.1</f>
        <v/>
      </c>
      <c r="Q4037" s="94">
        <f>F4037&amp;E4037&amp;G4037&amp;L4037</f>
        <v/>
      </c>
    </row>
    <row r="4038">
      <c r="A4038" s="94" t="n"/>
      <c r="B4038" s="128" t="n">
        <v>43779</v>
      </c>
      <c r="C4038" s="94">
        <f>TEXT(B4038,"aaa")</f>
        <v/>
      </c>
      <c r="D4038" s="94" t="n"/>
      <c r="E4038" s="6" t="inlineStr">
        <is>
          <t>토너</t>
        </is>
      </c>
      <c r="F4038" s="5" t="inlineStr">
        <is>
          <t>카페24</t>
        </is>
      </c>
      <c r="G4038" s="5" t="inlineStr">
        <is>
          <t>500ml</t>
        </is>
      </c>
      <c r="H4038" s="7" t="n">
        <v>190801</v>
      </c>
      <c r="I4038" s="7" t="n">
        <v>190801</v>
      </c>
      <c r="J4038" s="94" t="n"/>
      <c r="K4038" s="149" t="n">
        <v>20</v>
      </c>
      <c r="L4038" s="7" t="n">
        <v>190801</v>
      </c>
      <c r="M4038" s="94">
        <f>VLOOKUP($Q4038,매칭테이블!$F:$I,2,0)*K4038</f>
        <v/>
      </c>
      <c r="N4038" s="94">
        <f>M4038-M4038*VLOOKUP($Q4038,매칭테이블!$F:$I,3,0)</f>
        <v/>
      </c>
      <c r="O4038" s="94">
        <f>VLOOKUP($Q4038,매칭테이블!$F:$I,4,0)*K4038</f>
        <v/>
      </c>
      <c r="P4038" s="148">
        <f>M4038/1.1</f>
        <v/>
      </c>
      <c r="Q4038" s="94">
        <f>F4038&amp;E4038&amp;G4038&amp;L4038</f>
        <v/>
      </c>
    </row>
    <row r="4039">
      <c r="A4039" s="94" t="n"/>
      <c r="B4039" s="128" t="n">
        <v>43779</v>
      </c>
      <c r="C4039" s="94">
        <f>TEXT(B4039,"aaa")</f>
        <v/>
      </c>
      <c r="D4039" s="94" t="n"/>
      <c r="E4039" s="6" t="inlineStr">
        <is>
          <t>토너</t>
        </is>
      </c>
      <c r="F4039" s="5" t="inlineStr">
        <is>
          <t>카페24</t>
        </is>
      </c>
      <c r="G4039" s="5" t="inlineStr">
        <is>
          <t>250ml</t>
        </is>
      </c>
      <c r="H4039" s="7" t="n">
        <v>190801</v>
      </c>
      <c r="I4039" s="7" t="n">
        <v>190801</v>
      </c>
      <c r="J4039" s="94" t="n"/>
      <c r="K4039" s="149" t="n">
        <v>33</v>
      </c>
      <c r="L4039" s="7" t="n">
        <v>190801</v>
      </c>
      <c r="M4039" s="94">
        <f>VLOOKUP($Q4039,매칭테이블!$F:$I,2,0)*K4039</f>
        <v/>
      </c>
      <c r="N4039" s="94">
        <f>M4039-M4039*VLOOKUP($Q4039,매칭테이블!$F:$I,3,0)</f>
        <v/>
      </c>
      <c r="O4039" s="94">
        <f>VLOOKUP($Q4039,매칭테이블!$F:$I,4,0)*K4039</f>
        <v/>
      </c>
      <c r="P4039" s="148">
        <f>M4039/1.1</f>
        <v/>
      </c>
      <c r="Q4039" s="94">
        <f>F4039&amp;E4039&amp;G4039&amp;L4039</f>
        <v/>
      </c>
    </row>
    <row r="4040">
      <c r="A4040" s="94" t="n"/>
      <c r="B4040" s="128" t="n">
        <v>43779</v>
      </c>
      <c r="C4040" s="94">
        <f>TEXT(B4040,"aaa")</f>
        <v/>
      </c>
      <c r="D4040" s="94" t="n"/>
      <c r="E4040" s="6" t="inlineStr">
        <is>
          <t>토너</t>
        </is>
      </c>
      <c r="F4040" s="5" t="inlineStr">
        <is>
          <t>카페24</t>
        </is>
      </c>
      <c r="G4040" s="5" t="inlineStr">
        <is>
          <t>250ml 2set</t>
        </is>
      </c>
      <c r="H4040" s="7" t="n">
        <v>190801</v>
      </c>
      <c r="I4040" s="7" t="n">
        <v>190801</v>
      </c>
      <c r="J4040" s="94" t="n"/>
      <c r="K4040" s="149" t="n">
        <v>25</v>
      </c>
      <c r="L4040" s="7" t="n">
        <v>190801</v>
      </c>
      <c r="M4040" s="94">
        <f>VLOOKUP($Q4040,매칭테이블!$F:$I,2,0)*K4040</f>
        <v/>
      </c>
      <c r="N4040" s="94">
        <f>M4040-M4040*VLOOKUP($Q4040,매칭테이블!$F:$I,3,0)</f>
        <v/>
      </c>
      <c r="O4040" s="94">
        <f>VLOOKUP($Q4040,매칭테이블!$F:$I,4,0)*K4040</f>
        <v/>
      </c>
      <c r="P4040" s="148">
        <f>M4040/1.1</f>
        <v/>
      </c>
      <c r="Q4040" s="94">
        <f>F4040&amp;E4040&amp;G4040&amp;L4040</f>
        <v/>
      </c>
    </row>
    <row r="4041">
      <c r="A4041" s="94" t="n"/>
      <c r="B4041" s="128" t="n">
        <v>43780</v>
      </c>
      <c r="C4041" s="94">
        <f>TEXT(B4041,"aaa")</f>
        <v/>
      </c>
      <c r="D4041" s="94" t="n"/>
      <c r="E4041" s="6" t="inlineStr">
        <is>
          <t>토너</t>
        </is>
      </c>
      <c r="F4041" s="5" t="inlineStr">
        <is>
          <t>W컨셉</t>
        </is>
      </c>
      <c r="G4041" s="5" t="inlineStr">
        <is>
          <t>250ml</t>
        </is>
      </c>
      <c r="H4041" s="7" t="n">
        <v>190801</v>
      </c>
      <c r="I4041" s="7" t="n">
        <v>190801</v>
      </c>
      <c r="J4041" s="94" t="n"/>
      <c r="K4041" s="149" t="n">
        <v>1</v>
      </c>
      <c r="L4041" s="7" t="n">
        <v>190801</v>
      </c>
      <c r="M4041" s="94">
        <f>VLOOKUP($Q4041,매칭테이블!$F:$I,2,0)*K4041</f>
        <v/>
      </c>
      <c r="N4041" s="94">
        <f>M4041-M4041*VLOOKUP($Q4041,매칭테이블!$F:$I,3,0)</f>
        <v/>
      </c>
      <c r="O4041" s="94">
        <f>VLOOKUP($Q4041,매칭테이블!$F:$I,4,0)*K4041</f>
        <v/>
      </c>
      <c r="P4041" s="148">
        <f>M4041/1.1</f>
        <v/>
      </c>
      <c r="Q4041" s="94">
        <f>F4041&amp;E4041&amp;G4041&amp;L4041</f>
        <v/>
      </c>
    </row>
    <row r="4042">
      <c r="A4042" s="94" t="n"/>
      <c r="B4042" s="128" t="n">
        <v>43780</v>
      </c>
      <c r="C4042" s="94">
        <f>TEXT(B4042,"aaa")</f>
        <v/>
      </c>
      <c r="D4042" s="94" t="n"/>
      <c r="E4042" s="6" t="inlineStr">
        <is>
          <t>토너</t>
        </is>
      </c>
      <c r="F4042" s="5" t="inlineStr">
        <is>
          <t>W컨셉</t>
        </is>
      </c>
      <c r="G4042" s="5" t="inlineStr">
        <is>
          <t>250ml 2set</t>
        </is>
      </c>
      <c r="H4042" s="7" t="n">
        <v>190801</v>
      </c>
      <c r="I4042" s="7" t="n">
        <v>190801</v>
      </c>
      <c r="J4042" s="94" t="n"/>
      <c r="K4042" s="149" t="n">
        <v>6</v>
      </c>
      <c r="L4042" s="7" t="n">
        <v>190801</v>
      </c>
      <c r="M4042" s="94">
        <f>VLOOKUP($Q4042,매칭테이블!$F:$I,2,0)*K4042</f>
        <v/>
      </c>
      <c r="N4042" s="94">
        <f>M4042-M4042*VLOOKUP($Q4042,매칭테이블!$F:$I,3,0)</f>
        <v/>
      </c>
      <c r="O4042" s="94">
        <f>VLOOKUP($Q4042,매칭테이블!$F:$I,4,0)*K4042</f>
        <v/>
      </c>
      <c r="P4042" s="148">
        <f>M4042/1.1</f>
        <v/>
      </c>
      <c r="Q4042" s="94">
        <f>F4042&amp;E4042&amp;G4042&amp;L4042</f>
        <v/>
      </c>
    </row>
    <row r="4043">
      <c r="A4043" s="94" t="n"/>
      <c r="B4043" s="128" t="n">
        <v>43780</v>
      </c>
      <c r="C4043" s="94">
        <f>TEXT(B4043,"aaa")</f>
        <v/>
      </c>
      <c r="D4043" s="94" t="n"/>
      <c r="E4043" s="6" t="inlineStr">
        <is>
          <t>토너</t>
        </is>
      </c>
      <c r="F4043" s="5" t="inlineStr">
        <is>
          <t>카페24</t>
        </is>
      </c>
      <c r="G4043" s="5" t="inlineStr">
        <is>
          <t>500ml</t>
        </is>
      </c>
      <c r="H4043" s="7" t="n">
        <v>190801</v>
      </c>
      <c r="I4043" s="7" t="n">
        <v>190801</v>
      </c>
      <c r="J4043" s="94" t="n"/>
      <c r="K4043" s="149" t="n">
        <v>28</v>
      </c>
      <c r="L4043" s="7" t="n">
        <v>190801</v>
      </c>
      <c r="M4043" s="94">
        <f>VLOOKUP($Q4043,매칭테이블!$F:$I,2,0)*K4043</f>
        <v/>
      </c>
      <c r="N4043" s="94">
        <f>M4043-M4043*VLOOKUP($Q4043,매칭테이블!$F:$I,3,0)</f>
        <v/>
      </c>
      <c r="O4043" s="94">
        <f>VLOOKUP($Q4043,매칭테이블!$F:$I,4,0)*K4043</f>
        <v/>
      </c>
      <c r="P4043" s="148">
        <f>M4043/1.1</f>
        <v/>
      </c>
      <c r="Q4043" s="94">
        <f>F4043&amp;E4043&amp;G4043&amp;L4043</f>
        <v/>
      </c>
    </row>
    <row r="4044">
      <c r="A4044" s="94" t="n"/>
      <c r="B4044" s="128" t="n">
        <v>43780</v>
      </c>
      <c r="C4044" s="94">
        <f>TEXT(B4044,"aaa")</f>
        <v/>
      </c>
      <c r="D4044" s="94" t="n"/>
      <c r="E4044" s="6" t="inlineStr">
        <is>
          <t>토너</t>
        </is>
      </c>
      <c r="F4044" s="5" t="inlineStr">
        <is>
          <t>카페24</t>
        </is>
      </c>
      <c r="G4044" s="5" t="inlineStr">
        <is>
          <t>250ml</t>
        </is>
      </c>
      <c r="H4044" s="7" t="n">
        <v>190801</v>
      </c>
      <c r="I4044" s="7" t="n">
        <v>190801</v>
      </c>
      <c r="J4044" s="94" t="n"/>
      <c r="K4044" s="149" t="n">
        <v>36</v>
      </c>
      <c r="L4044" s="7" t="n">
        <v>190801</v>
      </c>
      <c r="M4044" s="94">
        <f>VLOOKUP($Q4044,매칭테이블!$F:$I,2,0)*K4044</f>
        <v/>
      </c>
      <c r="N4044" s="94">
        <f>M4044-M4044*VLOOKUP($Q4044,매칭테이블!$F:$I,3,0)</f>
        <v/>
      </c>
      <c r="O4044" s="94">
        <f>VLOOKUP($Q4044,매칭테이블!$F:$I,4,0)*K4044</f>
        <v/>
      </c>
      <c r="P4044" s="148">
        <f>M4044/1.1</f>
        <v/>
      </c>
      <c r="Q4044" s="94">
        <f>F4044&amp;E4044&amp;G4044&amp;L4044</f>
        <v/>
      </c>
    </row>
    <row r="4045">
      <c r="A4045" s="94" t="n"/>
      <c r="B4045" s="128" t="n">
        <v>43780</v>
      </c>
      <c r="C4045" s="94">
        <f>TEXT(B4045,"aaa")</f>
        <v/>
      </c>
      <c r="D4045" s="94" t="n"/>
      <c r="E4045" s="6" t="inlineStr">
        <is>
          <t>토너</t>
        </is>
      </c>
      <c r="F4045" s="5" t="inlineStr">
        <is>
          <t>카페24</t>
        </is>
      </c>
      <c r="G4045" s="5" t="inlineStr">
        <is>
          <t>250ml 2set</t>
        </is>
      </c>
      <c r="H4045" s="7" t="n">
        <v>190801</v>
      </c>
      <c r="I4045" s="7" t="n">
        <v>190801</v>
      </c>
      <c r="J4045" s="94" t="n"/>
      <c r="K4045" s="149" t="n">
        <v>16</v>
      </c>
      <c r="L4045" s="7" t="n">
        <v>190801</v>
      </c>
      <c r="M4045" s="94">
        <f>VLOOKUP($Q4045,매칭테이블!$F:$I,2,0)*K4045</f>
        <v/>
      </c>
      <c r="N4045" s="94">
        <f>M4045-M4045*VLOOKUP($Q4045,매칭테이블!$F:$I,3,0)</f>
        <v/>
      </c>
      <c r="O4045" s="94">
        <f>VLOOKUP($Q4045,매칭테이블!$F:$I,4,0)*K4045</f>
        <v/>
      </c>
      <c r="P4045" s="148">
        <f>M4045/1.1</f>
        <v/>
      </c>
      <c r="Q4045" s="94">
        <f>F4045&amp;E4045&amp;G4045&amp;L4045</f>
        <v/>
      </c>
    </row>
    <row r="4046">
      <c r="A4046" s="94" t="n"/>
      <c r="B4046" s="128" t="n">
        <v>43781</v>
      </c>
      <c r="C4046" s="94">
        <f>TEXT(B4046,"aaa")</f>
        <v/>
      </c>
      <c r="D4046" s="94" t="n"/>
      <c r="E4046" s="6" t="inlineStr">
        <is>
          <t>토너</t>
        </is>
      </c>
      <c r="F4046" s="5" t="inlineStr">
        <is>
          <t>W컨셉</t>
        </is>
      </c>
      <c r="G4046" s="5" t="inlineStr">
        <is>
          <t>250ml</t>
        </is>
      </c>
      <c r="H4046" s="7" t="n">
        <v>190801</v>
      </c>
      <c r="I4046" s="7" t="n">
        <v>190801</v>
      </c>
      <c r="J4046" s="94" t="n"/>
      <c r="K4046" s="149" t="n">
        <v>2</v>
      </c>
      <c r="L4046" s="7" t="n">
        <v>190801</v>
      </c>
      <c r="M4046" s="94">
        <f>VLOOKUP($Q4046,매칭테이블!$F:$I,2,0)*K4046</f>
        <v/>
      </c>
      <c r="N4046" s="94">
        <f>M4046-M4046*VLOOKUP($Q4046,매칭테이블!$F:$I,3,0)</f>
        <v/>
      </c>
      <c r="O4046" s="94">
        <f>VLOOKUP($Q4046,매칭테이블!$F:$I,4,0)*K4046</f>
        <v/>
      </c>
      <c r="P4046" s="148">
        <f>M4046/1.1</f>
        <v/>
      </c>
      <c r="Q4046" s="94">
        <f>F4046&amp;E4046&amp;G4046&amp;L4046</f>
        <v/>
      </c>
    </row>
    <row r="4047">
      <c r="A4047" s="94" t="n"/>
      <c r="B4047" s="128" t="n">
        <v>43781</v>
      </c>
      <c r="C4047" s="94">
        <f>TEXT(B4047,"aaa")</f>
        <v/>
      </c>
      <c r="D4047" s="94" t="n"/>
      <c r="E4047" s="6" t="inlineStr">
        <is>
          <t>토너</t>
        </is>
      </c>
      <c r="F4047" s="5" t="inlineStr">
        <is>
          <t>W컨셉</t>
        </is>
      </c>
      <c r="G4047" s="5" t="inlineStr">
        <is>
          <t>250ml 2set</t>
        </is>
      </c>
      <c r="H4047" s="7" t="n">
        <v>190801</v>
      </c>
      <c r="I4047" s="7" t="n">
        <v>190801</v>
      </c>
      <c r="J4047" s="94" t="n"/>
      <c r="K4047" s="149" t="n">
        <v>7</v>
      </c>
      <c r="L4047" s="7" t="n">
        <v>190801</v>
      </c>
      <c r="M4047" s="94">
        <f>VLOOKUP($Q4047,매칭테이블!$F:$I,2,0)*K4047</f>
        <v/>
      </c>
      <c r="N4047" s="94">
        <f>M4047-M4047*VLOOKUP($Q4047,매칭테이블!$F:$I,3,0)</f>
        <v/>
      </c>
      <c r="O4047" s="94">
        <f>VLOOKUP($Q4047,매칭테이블!$F:$I,4,0)*K4047</f>
        <v/>
      </c>
      <c r="P4047" s="148">
        <f>M4047/1.1</f>
        <v/>
      </c>
      <c r="Q4047" s="94">
        <f>F4047&amp;E4047&amp;G4047&amp;L4047</f>
        <v/>
      </c>
    </row>
    <row r="4048">
      <c r="A4048" s="94" t="n"/>
      <c r="B4048" s="128" t="n">
        <v>43781</v>
      </c>
      <c r="C4048" s="94">
        <f>TEXT(B4048,"aaa")</f>
        <v/>
      </c>
      <c r="D4048" s="94" t="n"/>
      <c r="E4048" s="6" t="inlineStr">
        <is>
          <t>토너</t>
        </is>
      </c>
      <c r="F4048" s="5" t="inlineStr">
        <is>
          <t>카페24</t>
        </is>
      </c>
      <c r="G4048" s="5" t="inlineStr">
        <is>
          <t>500ml</t>
        </is>
      </c>
      <c r="H4048" s="7" t="n">
        <v>190801</v>
      </c>
      <c r="I4048" s="7" t="n">
        <v>190801</v>
      </c>
      <c r="J4048" s="94" t="n"/>
      <c r="K4048" s="149" t="n">
        <v>29</v>
      </c>
      <c r="L4048" s="7" t="n">
        <v>190801</v>
      </c>
      <c r="M4048" s="94">
        <f>VLOOKUP($Q4048,매칭테이블!$F:$I,2,0)*K4048</f>
        <v/>
      </c>
      <c r="N4048" s="94">
        <f>M4048-M4048*VLOOKUP($Q4048,매칭테이블!$F:$I,3,0)</f>
        <v/>
      </c>
      <c r="O4048" s="94">
        <f>VLOOKUP($Q4048,매칭테이블!$F:$I,4,0)*K4048</f>
        <v/>
      </c>
      <c r="P4048" s="148">
        <f>M4048/1.1</f>
        <v/>
      </c>
      <c r="Q4048" s="94">
        <f>F4048&amp;E4048&amp;G4048&amp;L4048</f>
        <v/>
      </c>
    </row>
    <row r="4049">
      <c r="A4049" s="94" t="n"/>
      <c r="B4049" s="128" t="n">
        <v>43781</v>
      </c>
      <c r="C4049" s="94">
        <f>TEXT(B4049,"aaa")</f>
        <v/>
      </c>
      <c r="D4049" s="94" t="n"/>
      <c r="E4049" s="6" t="inlineStr">
        <is>
          <t>토너</t>
        </is>
      </c>
      <c r="F4049" s="5" t="inlineStr">
        <is>
          <t>카페24</t>
        </is>
      </c>
      <c r="G4049" s="5" t="inlineStr">
        <is>
          <t>250ml</t>
        </is>
      </c>
      <c r="H4049" s="7" t="n">
        <v>190801</v>
      </c>
      <c r="I4049" s="7" t="n">
        <v>190801</v>
      </c>
      <c r="J4049" s="94" t="n"/>
      <c r="K4049" s="149" t="n">
        <v>41</v>
      </c>
      <c r="L4049" s="7" t="n">
        <v>190801</v>
      </c>
      <c r="M4049" s="94">
        <f>VLOOKUP($Q4049,매칭테이블!$F:$I,2,0)*K4049</f>
        <v/>
      </c>
      <c r="N4049" s="94">
        <f>M4049-M4049*VLOOKUP($Q4049,매칭테이블!$F:$I,3,0)</f>
        <v/>
      </c>
      <c r="O4049" s="94">
        <f>VLOOKUP($Q4049,매칭테이블!$F:$I,4,0)*K4049</f>
        <v/>
      </c>
      <c r="P4049" s="148">
        <f>M4049/1.1</f>
        <v/>
      </c>
      <c r="Q4049" s="94">
        <f>F4049&amp;E4049&amp;G4049&amp;L4049</f>
        <v/>
      </c>
    </row>
    <row r="4050">
      <c r="A4050" s="94" t="n"/>
      <c r="B4050" s="128" t="n">
        <v>43781</v>
      </c>
      <c r="C4050" s="94">
        <f>TEXT(B4050,"aaa")</f>
        <v/>
      </c>
      <c r="D4050" s="94" t="n"/>
      <c r="E4050" s="6" t="inlineStr">
        <is>
          <t>토너</t>
        </is>
      </c>
      <c r="F4050" s="5" t="inlineStr">
        <is>
          <t>카페24</t>
        </is>
      </c>
      <c r="G4050" s="5" t="inlineStr">
        <is>
          <t>250ml 2set</t>
        </is>
      </c>
      <c r="H4050" s="7" t="n">
        <v>190801</v>
      </c>
      <c r="I4050" s="7" t="n">
        <v>190801</v>
      </c>
      <c r="J4050" s="94" t="n"/>
      <c r="K4050" s="149" t="n">
        <v>26</v>
      </c>
      <c r="L4050" s="7" t="n">
        <v>190801</v>
      </c>
      <c r="M4050" s="94">
        <f>VLOOKUP($Q4050,매칭테이블!$F:$I,2,0)*K4050</f>
        <v/>
      </c>
      <c r="N4050" s="94">
        <f>M4050-M4050*VLOOKUP($Q4050,매칭테이블!$F:$I,3,0)</f>
        <v/>
      </c>
      <c r="O4050" s="94">
        <f>VLOOKUP($Q4050,매칭테이블!$F:$I,4,0)*K4050</f>
        <v/>
      </c>
      <c r="P4050" s="148">
        <f>M4050/1.1</f>
        <v/>
      </c>
      <c r="Q4050" s="94">
        <f>F4050&amp;E4050&amp;G4050&amp;L4050</f>
        <v/>
      </c>
    </row>
    <row r="4051">
      <c r="A4051" s="94" t="n"/>
      <c r="B4051" s="128" t="n">
        <v>43781</v>
      </c>
      <c r="C4051" s="94">
        <f>TEXT(B4051,"aaa")</f>
        <v/>
      </c>
      <c r="D4051" s="94" t="n"/>
      <c r="E4051" s="94" t="inlineStr">
        <is>
          <t>토너</t>
        </is>
      </c>
      <c r="F4051" s="94" t="inlineStr">
        <is>
          <t>아누아 CS</t>
        </is>
      </c>
      <c r="G4051" s="94" t="inlineStr">
        <is>
          <t>250ml</t>
        </is>
      </c>
      <c r="H4051" s="7" t="n">
        <v>190801</v>
      </c>
      <c r="I4051" s="7" t="n">
        <v>190801</v>
      </c>
      <c r="J4051" s="94" t="n"/>
      <c r="K4051" s="149" t="n">
        <v>4</v>
      </c>
      <c r="L4051" s="7" t="n">
        <v>190801</v>
      </c>
      <c r="M4051" s="94">
        <f>VLOOKUP($Q4051,매칭테이블!$F:$I,2,0)*K4051</f>
        <v/>
      </c>
      <c r="N4051" s="94">
        <f>M4051-M4051*VLOOKUP($Q4051,매칭테이블!$F:$I,3,0)</f>
        <v/>
      </c>
      <c r="O4051" s="94">
        <f>VLOOKUP($Q4051,매칭테이블!$F:$I,4,0)*K4051</f>
        <v/>
      </c>
      <c r="P4051" s="148">
        <f>M4051/1.1</f>
        <v/>
      </c>
      <c r="Q4051" s="94">
        <f>F4051&amp;E4051&amp;G4051&amp;L4051</f>
        <v/>
      </c>
    </row>
    <row r="4052">
      <c r="A4052" s="94" t="n"/>
      <c r="B4052" s="128" t="n">
        <v>43782</v>
      </c>
      <c r="C4052" s="94">
        <f>TEXT(B4052,"aaa")</f>
        <v/>
      </c>
      <c r="D4052" s="94" t="n"/>
      <c r="E4052" s="6" t="inlineStr">
        <is>
          <t>토너</t>
        </is>
      </c>
      <c r="F4052" s="5" t="inlineStr">
        <is>
          <t>W컨셉</t>
        </is>
      </c>
      <c r="G4052" s="5" t="inlineStr">
        <is>
          <t>250ml 2set</t>
        </is>
      </c>
      <c r="H4052" s="7" t="n">
        <v>190801</v>
      </c>
      <c r="I4052" s="7" t="n">
        <v>190801</v>
      </c>
      <c r="J4052" s="94" t="n"/>
      <c r="K4052" s="149" t="n">
        <v>1</v>
      </c>
      <c r="L4052" s="7" t="n">
        <v>190801</v>
      </c>
      <c r="M4052" s="94">
        <f>VLOOKUP($Q4052,매칭테이블!$F:$I,2,0)*K4052</f>
        <v/>
      </c>
      <c r="N4052" s="94">
        <f>M4052-M4052*VLOOKUP($Q4052,매칭테이블!$F:$I,3,0)</f>
        <v/>
      </c>
      <c r="O4052" s="94">
        <f>VLOOKUP($Q4052,매칭테이블!$F:$I,4,0)*K4052</f>
        <v/>
      </c>
      <c r="P4052" s="148">
        <f>M4052/1.1</f>
        <v/>
      </c>
      <c r="Q4052" s="94">
        <f>F4052&amp;E4052&amp;G4052&amp;L4052</f>
        <v/>
      </c>
    </row>
    <row r="4053">
      <c r="A4053" s="94" t="n"/>
      <c r="B4053" s="128" t="n">
        <v>43782</v>
      </c>
      <c r="C4053" s="94">
        <f>TEXT(B4053,"aaa")</f>
        <v/>
      </c>
      <c r="D4053" s="94" t="n"/>
      <c r="E4053" s="6" t="inlineStr">
        <is>
          <t>토너</t>
        </is>
      </c>
      <c r="F4053" s="5" t="inlineStr">
        <is>
          <t>카페24</t>
        </is>
      </c>
      <c r="G4053" s="5" t="inlineStr">
        <is>
          <t>500ml</t>
        </is>
      </c>
      <c r="H4053" s="7" t="n">
        <v>190801</v>
      </c>
      <c r="I4053" s="7" t="n">
        <v>190801</v>
      </c>
      <c r="J4053" s="94" t="n"/>
      <c r="K4053" s="149" t="n">
        <v>31</v>
      </c>
      <c r="L4053" s="7" t="n">
        <v>190801</v>
      </c>
      <c r="M4053" s="94">
        <f>VLOOKUP($Q4053,매칭테이블!$F:$I,2,0)*K4053</f>
        <v/>
      </c>
      <c r="N4053" s="94">
        <f>M4053-M4053*VLOOKUP($Q4053,매칭테이블!$F:$I,3,0)</f>
        <v/>
      </c>
      <c r="O4053" s="94">
        <f>VLOOKUP($Q4053,매칭테이블!$F:$I,4,0)*K4053</f>
        <v/>
      </c>
      <c r="P4053" s="148">
        <f>M4053/1.1</f>
        <v/>
      </c>
      <c r="Q4053" s="94">
        <f>F4053&amp;E4053&amp;G4053&amp;L4053</f>
        <v/>
      </c>
    </row>
    <row r="4054">
      <c r="A4054" s="94" t="n"/>
      <c r="B4054" s="128" t="n">
        <v>43782</v>
      </c>
      <c r="C4054" s="94">
        <f>TEXT(B4054,"aaa")</f>
        <v/>
      </c>
      <c r="D4054" s="94" t="n"/>
      <c r="E4054" s="6" t="inlineStr">
        <is>
          <t>토너</t>
        </is>
      </c>
      <c r="F4054" s="5" t="inlineStr">
        <is>
          <t>카페24</t>
        </is>
      </c>
      <c r="G4054" s="5" t="inlineStr">
        <is>
          <t>250ml</t>
        </is>
      </c>
      <c r="H4054" s="7" t="n">
        <v>190801</v>
      </c>
      <c r="I4054" s="7" t="n">
        <v>190801</v>
      </c>
      <c r="J4054" s="94" t="n"/>
      <c r="K4054" s="149" t="n">
        <v>36</v>
      </c>
      <c r="L4054" s="7" t="n">
        <v>190801</v>
      </c>
      <c r="M4054" s="94">
        <f>VLOOKUP($Q4054,매칭테이블!$F:$I,2,0)*K4054</f>
        <v/>
      </c>
      <c r="N4054" s="94">
        <f>M4054-M4054*VLOOKUP($Q4054,매칭테이블!$F:$I,3,0)</f>
        <v/>
      </c>
      <c r="O4054" s="94">
        <f>VLOOKUP($Q4054,매칭테이블!$F:$I,4,0)*K4054</f>
        <v/>
      </c>
      <c r="P4054" s="148">
        <f>M4054/1.1</f>
        <v/>
      </c>
      <c r="Q4054" s="94">
        <f>F4054&amp;E4054&amp;G4054&amp;L4054</f>
        <v/>
      </c>
    </row>
    <row r="4055">
      <c r="A4055" s="94" t="n"/>
      <c r="B4055" s="128" t="n">
        <v>43782</v>
      </c>
      <c r="C4055" s="94">
        <f>TEXT(B4055,"aaa")</f>
        <v/>
      </c>
      <c r="D4055" s="94" t="n"/>
      <c r="E4055" s="6" t="inlineStr">
        <is>
          <t>토너</t>
        </is>
      </c>
      <c r="F4055" s="5" t="inlineStr">
        <is>
          <t>카페24</t>
        </is>
      </c>
      <c r="G4055" s="5" t="inlineStr">
        <is>
          <t>250ml 2set</t>
        </is>
      </c>
      <c r="H4055" s="7" t="n">
        <v>190801</v>
      </c>
      <c r="I4055" s="7" t="n">
        <v>190801</v>
      </c>
      <c r="J4055" s="94" t="n"/>
      <c r="K4055" s="149" t="n">
        <v>25</v>
      </c>
      <c r="L4055" s="7" t="n">
        <v>190801</v>
      </c>
      <c r="M4055" s="94">
        <f>VLOOKUP($Q4055,매칭테이블!$F:$I,2,0)*K4055</f>
        <v/>
      </c>
      <c r="N4055" s="94">
        <f>M4055-M4055*VLOOKUP($Q4055,매칭테이블!$F:$I,3,0)</f>
        <v/>
      </c>
      <c r="O4055" s="94">
        <f>VLOOKUP($Q4055,매칭테이블!$F:$I,4,0)*K4055</f>
        <v/>
      </c>
      <c r="P4055" s="148">
        <f>M4055/1.1</f>
        <v/>
      </c>
      <c r="Q4055" s="94">
        <f>F4055&amp;E4055&amp;G4055&amp;L4055</f>
        <v/>
      </c>
    </row>
    <row r="4056">
      <c r="A4056" s="94" t="n"/>
      <c r="B4056" s="128" t="n">
        <v>43783</v>
      </c>
      <c r="C4056" s="94">
        <f>TEXT(B4056,"aaa")</f>
        <v/>
      </c>
      <c r="D4056" s="94" t="n"/>
      <c r="E4056" s="6" t="inlineStr">
        <is>
          <t>토너</t>
        </is>
      </c>
      <c r="F4056" s="5" t="inlineStr">
        <is>
          <t>W컨셉</t>
        </is>
      </c>
      <c r="G4056" s="5" t="inlineStr">
        <is>
          <t>250ml</t>
        </is>
      </c>
      <c r="H4056" s="7" t="n">
        <v>190801</v>
      </c>
      <c r="I4056" s="7" t="n">
        <v>190801</v>
      </c>
      <c r="J4056" s="94" t="n"/>
      <c r="K4056" s="149" t="n">
        <v>2</v>
      </c>
      <c r="L4056" s="7" t="n">
        <v>190801</v>
      </c>
      <c r="M4056" s="94">
        <f>VLOOKUP($Q4056,매칭테이블!$F:$I,2,0)*K4056</f>
        <v/>
      </c>
      <c r="N4056" s="94">
        <f>M4056-M4056*VLOOKUP($Q4056,매칭테이블!$F:$I,3,0)</f>
        <v/>
      </c>
      <c r="O4056" s="94">
        <f>VLOOKUP($Q4056,매칭테이블!$F:$I,4,0)*K4056</f>
        <v/>
      </c>
      <c r="P4056" s="148">
        <f>M4056/1.1</f>
        <v/>
      </c>
      <c r="Q4056" s="94">
        <f>F4056&amp;E4056&amp;G4056&amp;L4056</f>
        <v/>
      </c>
    </row>
    <row r="4057">
      <c r="A4057" s="94" t="n"/>
      <c r="B4057" s="128" t="n">
        <v>43783</v>
      </c>
      <c r="C4057" s="94">
        <f>TEXT(B4057,"aaa")</f>
        <v/>
      </c>
      <c r="D4057" s="94" t="n"/>
      <c r="E4057" s="6" t="inlineStr">
        <is>
          <t>토너</t>
        </is>
      </c>
      <c r="F4057" s="5" t="inlineStr">
        <is>
          <t>W컨셉</t>
        </is>
      </c>
      <c r="G4057" s="5" t="inlineStr">
        <is>
          <t>250ml 2set</t>
        </is>
      </c>
      <c r="H4057" s="7" t="n">
        <v>190801</v>
      </c>
      <c r="I4057" s="7" t="n">
        <v>190801</v>
      </c>
      <c r="J4057" s="94" t="n"/>
      <c r="K4057" s="149" t="n">
        <v>5</v>
      </c>
      <c r="L4057" s="7" t="n">
        <v>190801</v>
      </c>
      <c r="M4057" s="94">
        <f>VLOOKUP($Q4057,매칭테이블!$F:$I,2,0)*K4057</f>
        <v/>
      </c>
      <c r="N4057" s="94">
        <f>M4057-M4057*VLOOKUP($Q4057,매칭테이블!$F:$I,3,0)</f>
        <v/>
      </c>
      <c r="O4057" s="94">
        <f>VLOOKUP($Q4057,매칭테이블!$F:$I,4,0)*K4057</f>
        <v/>
      </c>
      <c r="P4057" s="148">
        <f>M4057/1.1</f>
        <v/>
      </c>
      <c r="Q4057" s="94">
        <f>F4057&amp;E4057&amp;G4057&amp;L4057</f>
        <v/>
      </c>
    </row>
    <row r="4058">
      <c r="A4058" s="94" t="n"/>
      <c r="B4058" s="128" t="n">
        <v>43783</v>
      </c>
      <c r="C4058" s="94">
        <f>TEXT(B4058,"aaa")</f>
        <v/>
      </c>
      <c r="D4058" s="94" t="n"/>
      <c r="E4058" s="6" t="inlineStr">
        <is>
          <t>토너</t>
        </is>
      </c>
      <c r="F4058" s="5" t="inlineStr">
        <is>
          <t>카페24</t>
        </is>
      </c>
      <c r="G4058" s="5" t="inlineStr">
        <is>
          <t>500ml</t>
        </is>
      </c>
      <c r="H4058" s="7" t="n">
        <v>190801</v>
      </c>
      <c r="I4058" s="7" t="n">
        <v>190801</v>
      </c>
      <c r="J4058" s="94" t="n"/>
      <c r="K4058" s="149" t="n">
        <v>21</v>
      </c>
      <c r="L4058" s="7" t="n">
        <v>190801</v>
      </c>
      <c r="M4058" s="94">
        <f>VLOOKUP($Q4058,매칭테이블!$F:$I,2,0)*K4058</f>
        <v/>
      </c>
      <c r="N4058" s="94">
        <f>M4058-M4058*VLOOKUP($Q4058,매칭테이블!$F:$I,3,0)</f>
        <v/>
      </c>
      <c r="O4058" s="94">
        <f>VLOOKUP($Q4058,매칭테이블!$F:$I,4,0)*K4058</f>
        <v/>
      </c>
      <c r="P4058" s="148">
        <f>M4058/1.1</f>
        <v/>
      </c>
      <c r="Q4058" s="94">
        <f>F4058&amp;E4058&amp;G4058&amp;L4058</f>
        <v/>
      </c>
    </row>
    <row r="4059">
      <c r="A4059" s="94" t="n"/>
      <c r="B4059" s="128" t="n">
        <v>43783</v>
      </c>
      <c r="C4059" s="94">
        <f>TEXT(B4059,"aaa")</f>
        <v/>
      </c>
      <c r="D4059" s="94" t="n"/>
      <c r="E4059" s="6" t="inlineStr">
        <is>
          <t>토너</t>
        </is>
      </c>
      <c r="F4059" s="5" t="inlineStr">
        <is>
          <t>카페24</t>
        </is>
      </c>
      <c r="G4059" s="5" t="inlineStr">
        <is>
          <t>250ml</t>
        </is>
      </c>
      <c r="H4059" s="7" t="n">
        <v>190801</v>
      </c>
      <c r="I4059" s="7" t="n">
        <v>190801</v>
      </c>
      <c r="J4059" s="94" t="n"/>
      <c r="K4059" s="149" t="n">
        <v>23</v>
      </c>
      <c r="L4059" s="7" t="n">
        <v>190801</v>
      </c>
      <c r="M4059" s="94">
        <f>VLOOKUP($Q4059,매칭테이블!$F:$I,2,0)*K4059</f>
        <v/>
      </c>
      <c r="N4059" s="94">
        <f>M4059-M4059*VLOOKUP($Q4059,매칭테이블!$F:$I,3,0)</f>
        <v/>
      </c>
      <c r="O4059" s="94">
        <f>VLOOKUP($Q4059,매칭테이블!$F:$I,4,0)*K4059</f>
        <v/>
      </c>
      <c r="P4059" s="148">
        <f>M4059/1.1</f>
        <v/>
      </c>
      <c r="Q4059" s="94">
        <f>F4059&amp;E4059&amp;G4059&amp;L4059</f>
        <v/>
      </c>
    </row>
    <row r="4060">
      <c r="A4060" s="94" t="n"/>
      <c r="B4060" s="128" t="n">
        <v>43783</v>
      </c>
      <c r="C4060" s="94">
        <f>TEXT(B4060,"aaa")</f>
        <v/>
      </c>
      <c r="D4060" s="94" t="n"/>
      <c r="E4060" s="6" t="inlineStr">
        <is>
          <t>토너</t>
        </is>
      </c>
      <c r="F4060" s="5" t="inlineStr">
        <is>
          <t>카페24</t>
        </is>
      </c>
      <c r="G4060" s="5" t="inlineStr">
        <is>
          <t>250ml 2set</t>
        </is>
      </c>
      <c r="H4060" s="7" t="n">
        <v>190801</v>
      </c>
      <c r="I4060" s="7" t="n">
        <v>190801</v>
      </c>
      <c r="J4060" s="94" t="n"/>
      <c r="K4060" s="149" t="n">
        <v>17</v>
      </c>
      <c r="L4060" s="7" t="n">
        <v>190801</v>
      </c>
      <c r="M4060" s="94">
        <f>VLOOKUP($Q4060,매칭테이블!$F:$I,2,0)*K4060</f>
        <v/>
      </c>
      <c r="N4060" s="94">
        <f>M4060-M4060*VLOOKUP($Q4060,매칭테이블!$F:$I,3,0)</f>
        <v/>
      </c>
      <c r="O4060" s="94">
        <f>VLOOKUP($Q4060,매칭테이블!$F:$I,4,0)*K4060</f>
        <v/>
      </c>
      <c r="P4060" s="148">
        <f>M4060/1.1</f>
        <v/>
      </c>
      <c r="Q4060" s="94">
        <f>F4060&amp;E4060&amp;G4060&amp;L4060</f>
        <v/>
      </c>
    </row>
    <row r="4061">
      <c r="A4061" s="94" t="n"/>
      <c r="B4061" s="128" t="n">
        <v>43784</v>
      </c>
      <c r="C4061" s="94">
        <f>TEXT(B4061,"aaa")</f>
        <v/>
      </c>
      <c r="D4061" s="94" t="n"/>
      <c r="E4061" s="6" t="inlineStr">
        <is>
          <t>토너</t>
        </is>
      </c>
      <c r="F4061" s="5" t="inlineStr">
        <is>
          <t>W컨셉</t>
        </is>
      </c>
      <c r="G4061" s="5" t="inlineStr">
        <is>
          <t>250ml</t>
        </is>
      </c>
      <c r="H4061" s="7" t="n">
        <v>190801</v>
      </c>
      <c r="I4061" s="7" t="n">
        <v>190801</v>
      </c>
      <c r="J4061" s="94" t="n"/>
      <c r="K4061" s="149" t="n">
        <v>1</v>
      </c>
      <c r="L4061" s="7" t="n">
        <v>190801</v>
      </c>
      <c r="M4061" s="94">
        <f>VLOOKUP($Q4061,매칭테이블!$F:$I,2,0)*K4061</f>
        <v/>
      </c>
      <c r="N4061" s="94">
        <f>M4061-M4061*VLOOKUP($Q4061,매칭테이블!$F:$I,3,0)</f>
        <v/>
      </c>
      <c r="O4061" s="94">
        <f>VLOOKUP($Q4061,매칭테이블!$F:$I,4,0)*K4061</f>
        <v/>
      </c>
      <c r="P4061" s="148">
        <f>M4061/1.1</f>
        <v/>
      </c>
      <c r="Q4061" s="94">
        <f>F4061&amp;E4061&amp;G4061&amp;L4061</f>
        <v/>
      </c>
    </row>
    <row r="4062">
      <c r="A4062" s="94" t="n"/>
      <c r="B4062" s="128" t="n">
        <v>43784</v>
      </c>
      <c r="C4062" s="94">
        <f>TEXT(B4062,"aaa")</f>
        <v/>
      </c>
      <c r="D4062" s="94" t="n"/>
      <c r="E4062" s="6" t="inlineStr">
        <is>
          <t>토너</t>
        </is>
      </c>
      <c r="F4062" s="5" t="inlineStr">
        <is>
          <t>W컨셉</t>
        </is>
      </c>
      <c r="G4062" s="5" t="inlineStr">
        <is>
          <t>250ml 2set</t>
        </is>
      </c>
      <c r="H4062" s="7" t="n">
        <v>190801</v>
      </c>
      <c r="I4062" s="7" t="n">
        <v>190801</v>
      </c>
      <c r="J4062" s="94" t="n"/>
      <c r="K4062" s="149" t="n">
        <v>1</v>
      </c>
      <c r="L4062" s="7" t="n">
        <v>190801</v>
      </c>
      <c r="M4062" s="94">
        <f>VLOOKUP($Q4062,매칭테이블!$F:$I,2,0)*K4062</f>
        <v/>
      </c>
      <c r="N4062" s="94">
        <f>M4062-M4062*VLOOKUP($Q4062,매칭테이블!$F:$I,3,0)</f>
        <v/>
      </c>
      <c r="O4062" s="94">
        <f>VLOOKUP($Q4062,매칭테이블!$F:$I,4,0)*K4062</f>
        <v/>
      </c>
      <c r="P4062" s="148">
        <f>M4062/1.1</f>
        <v/>
      </c>
      <c r="Q4062" s="94">
        <f>F4062&amp;E4062&amp;G4062&amp;L4062</f>
        <v/>
      </c>
    </row>
    <row r="4063">
      <c r="A4063" s="94" t="n"/>
      <c r="B4063" s="128" t="n">
        <v>43784</v>
      </c>
      <c r="C4063" s="94">
        <f>TEXT(B4063,"aaa")</f>
        <v/>
      </c>
      <c r="D4063" s="94" t="n"/>
      <c r="E4063" s="6" t="inlineStr">
        <is>
          <t>토너</t>
        </is>
      </c>
      <c r="F4063" s="5" t="inlineStr">
        <is>
          <t>카페24</t>
        </is>
      </c>
      <c r="G4063" s="5" t="inlineStr">
        <is>
          <t>500ml</t>
        </is>
      </c>
      <c r="H4063" s="7" t="n">
        <v>190801</v>
      </c>
      <c r="I4063" s="7" t="n">
        <v>190801</v>
      </c>
      <c r="J4063" s="94" t="n"/>
      <c r="K4063" s="149" t="n">
        <v>12</v>
      </c>
      <c r="L4063" s="7" t="n">
        <v>190801</v>
      </c>
      <c r="M4063" s="94">
        <f>VLOOKUP($Q4063,매칭테이블!$F:$I,2,0)*K4063</f>
        <v/>
      </c>
      <c r="N4063" s="94">
        <f>M4063-M4063*VLOOKUP($Q4063,매칭테이블!$F:$I,3,0)</f>
        <v/>
      </c>
      <c r="O4063" s="94">
        <f>VLOOKUP($Q4063,매칭테이블!$F:$I,4,0)*K4063</f>
        <v/>
      </c>
      <c r="P4063" s="148">
        <f>M4063/1.1</f>
        <v/>
      </c>
      <c r="Q4063" s="94">
        <f>F4063&amp;E4063&amp;G4063&amp;L4063</f>
        <v/>
      </c>
    </row>
    <row r="4064">
      <c r="A4064" s="94" t="n"/>
      <c r="B4064" s="128" t="n">
        <v>43784</v>
      </c>
      <c r="C4064" s="94">
        <f>TEXT(B4064,"aaa")</f>
        <v/>
      </c>
      <c r="D4064" s="94" t="n"/>
      <c r="E4064" s="6" t="inlineStr">
        <is>
          <t>토너</t>
        </is>
      </c>
      <c r="F4064" s="5" t="inlineStr">
        <is>
          <t>카페24</t>
        </is>
      </c>
      <c r="G4064" s="5" t="inlineStr">
        <is>
          <t>250ml</t>
        </is>
      </c>
      <c r="H4064" s="7" t="n">
        <v>190801</v>
      </c>
      <c r="I4064" s="7" t="n">
        <v>190801</v>
      </c>
      <c r="J4064" s="94" t="n"/>
      <c r="K4064" s="149" t="n">
        <v>21</v>
      </c>
      <c r="L4064" s="7" t="n">
        <v>190801</v>
      </c>
      <c r="M4064" s="94">
        <f>VLOOKUP($Q4064,매칭테이블!$F:$I,2,0)*K4064</f>
        <v/>
      </c>
      <c r="N4064" s="94">
        <f>M4064-M4064*VLOOKUP($Q4064,매칭테이블!$F:$I,3,0)</f>
        <v/>
      </c>
      <c r="O4064" s="94">
        <f>VLOOKUP($Q4064,매칭테이블!$F:$I,4,0)*K4064</f>
        <v/>
      </c>
      <c r="P4064" s="148">
        <f>M4064/1.1</f>
        <v/>
      </c>
      <c r="Q4064" s="94">
        <f>F4064&amp;E4064&amp;G4064&amp;L4064</f>
        <v/>
      </c>
    </row>
    <row r="4065">
      <c r="A4065" s="94" t="n"/>
      <c r="B4065" s="128" t="n">
        <v>43784</v>
      </c>
      <c r="C4065" s="94">
        <f>TEXT(B4065,"aaa")</f>
        <v/>
      </c>
      <c r="D4065" s="94" t="n"/>
      <c r="E4065" s="6" t="inlineStr">
        <is>
          <t>토너</t>
        </is>
      </c>
      <c r="F4065" s="5" t="inlineStr">
        <is>
          <t>카페24</t>
        </is>
      </c>
      <c r="G4065" s="5" t="inlineStr">
        <is>
          <t>250ml 2set</t>
        </is>
      </c>
      <c r="H4065" s="7" t="n">
        <v>190801</v>
      </c>
      <c r="I4065" s="7" t="n">
        <v>190801</v>
      </c>
      <c r="J4065" s="94" t="n"/>
      <c r="K4065" s="149" t="n">
        <v>27</v>
      </c>
      <c r="L4065" s="7" t="n">
        <v>190801</v>
      </c>
      <c r="M4065" s="94">
        <f>VLOOKUP($Q4065,매칭테이블!$F:$I,2,0)*K4065</f>
        <v/>
      </c>
      <c r="N4065" s="94">
        <f>M4065-M4065*VLOOKUP($Q4065,매칭테이블!$F:$I,3,0)</f>
        <v/>
      </c>
      <c r="O4065" s="94">
        <f>VLOOKUP($Q4065,매칭테이블!$F:$I,4,0)*K4065</f>
        <v/>
      </c>
      <c r="P4065" s="148">
        <f>M4065/1.1</f>
        <v/>
      </c>
      <c r="Q4065" s="94">
        <f>F4065&amp;E4065&amp;G4065&amp;L4065</f>
        <v/>
      </c>
    </row>
    <row r="4066">
      <c r="A4066" s="94" t="n"/>
      <c r="B4066" s="128" t="n">
        <v>43785</v>
      </c>
      <c r="C4066" s="94">
        <f>TEXT(B4066,"aaa")</f>
        <v/>
      </c>
      <c r="D4066" s="94" t="n"/>
      <c r="E4066" s="6" t="inlineStr">
        <is>
          <t>토너</t>
        </is>
      </c>
      <c r="F4066" s="5" t="inlineStr">
        <is>
          <t>W컨셉</t>
        </is>
      </c>
      <c r="G4066" s="5" t="inlineStr">
        <is>
          <t>250ml</t>
        </is>
      </c>
      <c r="H4066" s="7" t="n">
        <v>190801</v>
      </c>
      <c r="I4066" s="7" t="n">
        <v>190801</v>
      </c>
      <c r="J4066" s="94" t="n"/>
      <c r="K4066" s="149" t="n">
        <v>1</v>
      </c>
      <c r="L4066" s="7" t="n">
        <v>190801</v>
      </c>
      <c r="M4066" s="94">
        <f>VLOOKUP($Q4066,매칭테이블!$F:$I,2,0)*K4066</f>
        <v/>
      </c>
      <c r="N4066" s="94">
        <f>M4066-M4066*VLOOKUP($Q4066,매칭테이블!$F:$I,3,0)</f>
        <v/>
      </c>
      <c r="O4066" s="94">
        <f>VLOOKUP($Q4066,매칭테이블!$F:$I,4,0)*K4066</f>
        <v/>
      </c>
      <c r="P4066" s="148">
        <f>M4066/1.1</f>
        <v/>
      </c>
      <c r="Q4066" s="94">
        <f>F4066&amp;E4066&amp;G4066&amp;L4066</f>
        <v/>
      </c>
    </row>
    <row r="4067">
      <c r="A4067" s="94" t="n"/>
      <c r="B4067" s="128" t="n">
        <v>43785</v>
      </c>
      <c r="C4067" s="94">
        <f>TEXT(B4067,"aaa")</f>
        <v/>
      </c>
      <c r="D4067" s="94" t="n"/>
      <c r="E4067" s="6" t="inlineStr">
        <is>
          <t>토너</t>
        </is>
      </c>
      <c r="F4067" s="5" t="inlineStr">
        <is>
          <t>W컨셉</t>
        </is>
      </c>
      <c r="G4067" s="5" t="inlineStr">
        <is>
          <t>250ml 2set</t>
        </is>
      </c>
      <c r="H4067" s="7" t="n">
        <v>190801</v>
      </c>
      <c r="I4067" s="7" t="n">
        <v>190801</v>
      </c>
      <c r="J4067" s="94" t="n"/>
      <c r="K4067" s="149" t="n">
        <v>1</v>
      </c>
      <c r="L4067" s="7" t="n">
        <v>190801</v>
      </c>
      <c r="M4067" s="94">
        <f>VLOOKUP($Q4067,매칭테이블!$F:$I,2,0)*K4067</f>
        <v/>
      </c>
      <c r="N4067" s="94">
        <f>M4067-M4067*VLOOKUP($Q4067,매칭테이블!$F:$I,3,0)</f>
        <v/>
      </c>
      <c r="O4067" s="94">
        <f>VLOOKUP($Q4067,매칭테이블!$F:$I,4,0)*K4067</f>
        <v/>
      </c>
      <c r="P4067" s="148">
        <f>M4067/1.1</f>
        <v/>
      </c>
      <c r="Q4067" s="94">
        <f>F4067&amp;E4067&amp;G4067&amp;L4067</f>
        <v/>
      </c>
    </row>
    <row r="4068">
      <c r="A4068" s="94" t="n"/>
      <c r="B4068" s="128" t="n">
        <v>43785</v>
      </c>
      <c r="C4068" s="94">
        <f>TEXT(B4068,"aaa")</f>
        <v/>
      </c>
      <c r="D4068" s="94" t="n"/>
      <c r="E4068" s="6" t="inlineStr">
        <is>
          <t>토너</t>
        </is>
      </c>
      <c r="F4068" s="5" t="inlineStr">
        <is>
          <t>카페24</t>
        </is>
      </c>
      <c r="G4068" s="5" t="inlineStr">
        <is>
          <t>500ml</t>
        </is>
      </c>
      <c r="H4068" s="7" t="n">
        <v>190801</v>
      </c>
      <c r="I4068" s="7" t="n">
        <v>190801</v>
      </c>
      <c r="J4068" s="94" t="n"/>
      <c r="K4068" s="149" t="n">
        <v>13</v>
      </c>
      <c r="L4068" s="7" t="n">
        <v>190801</v>
      </c>
      <c r="M4068" s="94">
        <f>VLOOKUP($Q4068,매칭테이블!$F:$I,2,0)*K4068</f>
        <v/>
      </c>
      <c r="N4068" s="94">
        <f>M4068-M4068*VLOOKUP($Q4068,매칭테이블!$F:$I,3,0)</f>
        <v/>
      </c>
      <c r="O4068" s="94">
        <f>VLOOKUP($Q4068,매칭테이블!$F:$I,4,0)*K4068</f>
        <v/>
      </c>
      <c r="P4068" s="148">
        <f>M4068/1.1</f>
        <v/>
      </c>
      <c r="Q4068" s="94">
        <f>F4068&amp;E4068&amp;G4068&amp;L4068</f>
        <v/>
      </c>
    </row>
    <row r="4069">
      <c r="A4069" s="94" t="n"/>
      <c r="B4069" s="128" t="n">
        <v>43785</v>
      </c>
      <c r="C4069" s="94">
        <f>TEXT(B4069,"aaa")</f>
        <v/>
      </c>
      <c r="D4069" s="94" t="n"/>
      <c r="E4069" s="6" t="inlineStr">
        <is>
          <t>토너</t>
        </is>
      </c>
      <c r="F4069" s="5" t="inlineStr">
        <is>
          <t>카페24</t>
        </is>
      </c>
      <c r="G4069" s="5" t="inlineStr">
        <is>
          <t>250ml</t>
        </is>
      </c>
      <c r="H4069" s="7" t="n">
        <v>190801</v>
      </c>
      <c r="I4069" s="7" t="n">
        <v>190801</v>
      </c>
      <c r="J4069" s="94" t="n"/>
      <c r="K4069" s="149" t="n">
        <v>24</v>
      </c>
      <c r="L4069" s="7" t="n">
        <v>190801</v>
      </c>
      <c r="M4069" s="94">
        <f>VLOOKUP($Q4069,매칭테이블!$F:$I,2,0)*K4069</f>
        <v/>
      </c>
      <c r="N4069" s="94">
        <f>M4069-M4069*VLOOKUP($Q4069,매칭테이블!$F:$I,3,0)</f>
        <v/>
      </c>
      <c r="O4069" s="94">
        <f>VLOOKUP($Q4069,매칭테이블!$F:$I,4,0)*K4069</f>
        <v/>
      </c>
      <c r="P4069" s="148">
        <f>M4069/1.1</f>
        <v/>
      </c>
      <c r="Q4069" s="94">
        <f>F4069&amp;E4069&amp;G4069&amp;L4069</f>
        <v/>
      </c>
    </row>
    <row r="4070">
      <c r="A4070" s="94" t="n"/>
      <c r="B4070" s="128" t="n">
        <v>43785</v>
      </c>
      <c r="C4070" s="94">
        <f>TEXT(B4070,"aaa")</f>
        <v/>
      </c>
      <c r="D4070" s="94" t="n"/>
      <c r="E4070" s="6" t="inlineStr">
        <is>
          <t>토너</t>
        </is>
      </c>
      <c r="F4070" s="5" t="inlineStr">
        <is>
          <t>카페24</t>
        </is>
      </c>
      <c r="G4070" s="5" t="inlineStr">
        <is>
          <t>250ml 2set</t>
        </is>
      </c>
      <c r="H4070" s="7" t="n">
        <v>190801</v>
      </c>
      <c r="I4070" s="7" t="n">
        <v>190801</v>
      </c>
      <c r="J4070" s="94" t="n"/>
      <c r="K4070" s="149" t="n">
        <v>13</v>
      </c>
      <c r="L4070" s="7" t="n">
        <v>190801</v>
      </c>
      <c r="M4070" s="94">
        <f>VLOOKUP($Q4070,매칭테이블!$F:$I,2,0)*K4070</f>
        <v/>
      </c>
      <c r="N4070" s="94">
        <f>M4070-M4070*VLOOKUP($Q4070,매칭테이블!$F:$I,3,0)</f>
        <v/>
      </c>
      <c r="O4070" s="94">
        <f>VLOOKUP($Q4070,매칭테이블!$F:$I,4,0)*K4070</f>
        <v/>
      </c>
      <c r="P4070" s="148">
        <f>M4070/1.1</f>
        <v/>
      </c>
      <c r="Q4070" s="94">
        <f>F4070&amp;E4070&amp;G4070&amp;L4070</f>
        <v/>
      </c>
    </row>
    <row r="4071">
      <c r="A4071" s="94" t="n"/>
      <c r="B4071" s="128" t="n">
        <v>43786</v>
      </c>
      <c r="C4071" s="94">
        <f>TEXT(B4071,"aaa")</f>
        <v/>
      </c>
      <c r="D4071" s="94" t="n"/>
      <c r="E4071" s="6" t="inlineStr">
        <is>
          <t>토너</t>
        </is>
      </c>
      <c r="F4071" s="5" t="inlineStr">
        <is>
          <t>W컨셉</t>
        </is>
      </c>
      <c r="G4071" s="5" t="inlineStr">
        <is>
          <t>250ml 2set</t>
        </is>
      </c>
      <c r="H4071" s="7" t="n">
        <v>190801</v>
      </c>
      <c r="I4071" s="7" t="n">
        <v>190801</v>
      </c>
      <c r="J4071" s="94" t="n"/>
      <c r="K4071" s="149" t="n">
        <v>5</v>
      </c>
      <c r="L4071" s="7" t="n">
        <v>190801</v>
      </c>
      <c r="M4071" s="94">
        <f>VLOOKUP($Q4071,매칭테이블!$F:$I,2,0)*K4071</f>
        <v/>
      </c>
      <c r="N4071" s="94">
        <f>M4071-M4071*VLOOKUP($Q4071,매칭테이블!$F:$I,3,0)</f>
        <v/>
      </c>
      <c r="O4071" s="94">
        <f>VLOOKUP($Q4071,매칭테이블!$F:$I,4,0)*K4071</f>
        <v/>
      </c>
      <c r="P4071" s="148">
        <f>M4071/1.1</f>
        <v/>
      </c>
      <c r="Q4071" s="94">
        <f>F4071&amp;E4071&amp;G4071&amp;L4071</f>
        <v/>
      </c>
    </row>
    <row r="4072">
      <c r="A4072" s="94" t="n"/>
      <c r="B4072" s="128" t="n">
        <v>43786</v>
      </c>
      <c r="C4072" s="94">
        <f>TEXT(B4072,"aaa")</f>
        <v/>
      </c>
      <c r="D4072" s="94" t="n"/>
      <c r="E4072" s="6" t="inlineStr">
        <is>
          <t>토너</t>
        </is>
      </c>
      <c r="F4072" s="5" t="inlineStr">
        <is>
          <t>카페24</t>
        </is>
      </c>
      <c r="G4072" s="5" t="inlineStr">
        <is>
          <t>500ml</t>
        </is>
      </c>
      <c r="H4072" s="7" t="n">
        <v>190801</v>
      </c>
      <c r="I4072" s="7" t="n">
        <v>190801</v>
      </c>
      <c r="J4072" s="94" t="n"/>
      <c r="K4072" s="149" t="n">
        <v>30</v>
      </c>
      <c r="L4072" s="7" t="n">
        <v>190801</v>
      </c>
      <c r="M4072" s="94">
        <f>VLOOKUP($Q4072,매칭테이블!$F:$I,2,0)*K4072</f>
        <v/>
      </c>
      <c r="N4072" s="94">
        <f>M4072-M4072*VLOOKUP($Q4072,매칭테이블!$F:$I,3,0)</f>
        <v/>
      </c>
      <c r="O4072" s="94">
        <f>VLOOKUP($Q4072,매칭테이블!$F:$I,4,0)*K4072</f>
        <v/>
      </c>
      <c r="P4072" s="148">
        <f>M4072/1.1</f>
        <v/>
      </c>
      <c r="Q4072" s="94">
        <f>F4072&amp;E4072&amp;G4072&amp;L4072</f>
        <v/>
      </c>
    </row>
    <row r="4073">
      <c r="A4073" s="94" t="n"/>
      <c r="B4073" s="128" t="n">
        <v>43786</v>
      </c>
      <c r="C4073" s="94">
        <f>TEXT(B4073,"aaa")</f>
        <v/>
      </c>
      <c r="D4073" s="94" t="n"/>
      <c r="E4073" s="6" t="inlineStr">
        <is>
          <t>토너</t>
        </is>
      </c>
      <c r="F4073" s="5" t="inlineStr">
        <is>
          <t>카페24</t>
        </is>
      </c>
      <c r="G4073" s="5" t="inlineStr">
        <is>
          <t>250ml</t>
        </is>
      </c>
      <c r="H4073" s="7" t="n">
        <v>190801</v>
      </c>
      <c r="I4073" s="7" t="n">
        <v>190801</v>
      </c>
      <c r="J4073" s="94" t="n"/>
      <c r="K4073" s="149" t="n">
        <v>29</v>
      </c>
      <c r="L4073" s="7" t="n">
        <v>190801</v>
      </c>
      <c r="M4073" s="94">
        <f>VLOOKUP($Q4073,매칭테이블!$F:$I,2,0)*K4073</f>
        <v/>
      </c>
      <c r="N4073" s="94">
        <f>M4073-M4073*VLOOKUP($Q4073,매칭테이블!$F:$I,3,0)</f>
        <v/>
      </c>
      <c r="O4073" s="94">
        <f>VLOOKUP($Q4073,매칭테이블!$F:$I,4,0)*K4073</f>
        <v/>
      </c>
      <c r="P4073" s="148">
        <f>M4073/1.1</f>
        <v/>
      </c>
      <c r="Q4073" s="94">
        <f>F4073&amp;E4073&amp;G4073&amp;L4073</f>
        <v/>
      </c>
    </row>
    <row r="4074">
      <c r="A4074" s="94" t="n"/>
      <c r="B4074" s="128" t="n">
        <v>43786</v>
      </c>
      <c r="C4074" s="94">
        <f>TEXT(B4074,"aaa")</f>
        <v/>
      </c>
      <c r="D4074" s="94" t="n"/>
      <c r="E4074" s="6" t="inlineStr">
        <is>
          <t>토너</t>
        </is>
      </c>
      <c r="F4074" s="5" t="inlineStr">
        <is>
          <t>카페24</t>
        </is>
      </c>
      <c r="G4074" s="5" t="inlineStr">
        <is>
          <t>250ml 2set</t>
        </is>
      </c>
      <c r="H4074" s="7" t="n">
        <v>190801</v>
      </c>
      <c r="I4074" s="7" t="n">
        <v>190801</v>
      </c>
      <c r="J4074" s="94" t="n"/>
      <c r="K4074" s="149" t="n">
        <v>21</v>
      </c>
      <c r="L4074" s="7" t="n">
        <v>190801</v>
      </c>
      <c r="M4074" s="94">
        <f>VLOOKUP($Q4074,매칭테이블!$F:$I,2,0)*K4074</f>
        <v/>
      </c>
      <c r="N4074" s="94">
        <f>M4074-M4074*VLOOKUP($Q4074,매칭테이블!$F:$I,3,0)</f>
        <v/>
      </c>
      <c r="O4074" s="94">
        <f>VLOOKUP($Q4074,매칭테이블!$F:$I,4,0)*K4074</f>
        <v/>
      </c>
      <c r="P4074" s="148">
        <f>M4074/1.1</f>
        <v/>
      </c>
      <c r="Q4074" s="94">
        <f>F4074&amp;E4074&amp;G4074&amp;L4074</f>
        <v/>
      </c>
    </row>
    <row r="4075">
      <c r="A4075" s="94" t="n"/>
      <c r="B4075" s="128" t="n">
        <v>43787</v>
      </c>
      <c r="C4075" s="94">
        <f>TEXT(B4075,"aaa")</f>
        <v/>
      </c>
      <c r="D4075" s="94" t="n"/>
      <c r="E4075" s="6" t="inlineStr">
        <is>
          <t>토너</t>
        </is>
      </c>
      <c r="F4075" s="5" t="inlineStr">
        <is>
          <t>W컨셉</t>
        </is>
      </c>
      <c r="G4075" s="5" t="inlineStr">
        <is>
          <t>250ml 2set</t>
        </is>
      </c>
      <c r="H4075" s="7" t="n">
        <v>190801</v>
      </c>
      <c r="I4075" s="7" t="n">
        <v>190801</v>
      </c>
      <c r="J4075" s="94" t="n"/>
      <c r="K4075" s="149" t="n">
        <v>3</v>
      </c>
      <c r="L4075" s="7" t="n">
        <v>190801</v>
      </c>
      <c r="M4075" s="94">
        <f>VLOOKUP($Q4075,매칭테이블!$F:$I,2,0)*K4075</f>
        <v/>
      </c>
      <c r="N4075" s="94">
        <f>M4075-M4075*VLOOKUP($Q4075,매칭테이블!$F:$I,3,0)</f>
        <v/>
      </c>
      <c r="O4075" s="94">
        <f>VLOOKUP($Q4075,매칭테이블!$F:$I,4,0)*K4075</f>
        <v/>
      </c>
      <c r="P4075" s="148">
        <f>M4075/1.1</f>
        <v/>
      </c>
      <c r="Q4075" s="94">
        <f>F4075&amp;E4075&amp;G4075&amp;L4075</f>
        <v/>
      </c>
    </row>
    <row r="4076">
      <c r="A4076" s="94" t="n"/>
      <c r="B4076" s="128" t="n">
        <v>43787</v>
      </c>
      <c r="C4076" s="94">
        <f>TEXT(B4076,"aaa")</f>
        <v/>
      </c>
      <c r="D4076" s="94" t="n"/>
      <c r="E4076" s="6" t="inlineStr">
        <is>
          <t>토너</t>
        </is>
      </c>
      <c r="F4076" s="5" t="inlineStr">
        <is>
          <t>카페24</t>
        </is>
      </c>
      <c r="G4076" s="5" t="inlineStr">
        <is>
          <t>500ml</t>
        </is>
      </c>
      <c r="H4076" s="7" t="n">
        <v>190801</v>
      </c>
      <c r="I4076" s="7" t="n">
        <v>190801</v>
      </c>
      <c r="J4076" s="94" t="n"/>
      <c r="K4076" s="149" t="n">
        <v>25</v>
      </c>
      <c r="L4076" s="7" t="n">
        <v>190801</v>
      </c>
      <c r="M4076" s="94">
        <f>VLOOKUP($Q4076,매칭테이블!$F:$I,2,0)*K4076</f>
        <v/>
      </c>
      <c r="N4076" s="94">
        <f>M4076-M4076*VLOOKUP($Q4076,매칭테이블!$F:$I,3,0)</f>
        <v/>
      </c>
      <c r="O4076" s="94">
        <f>VLOOKUP($Q4076,매칭테이블!$F:$I,4,0)*K4076</f>
        <v/>
      </c>
      <c r="P4076" s="148">
        <f>M4076/1.1</f>
        <v/>
      </c>
      <c r="Q4076" s="94">
        <f>F4076&amp;E4076&amp;G4076&amp;L4076</f>
        <v/>
      </c>
    </row>
    <row r="4077">
      <c r="A4077" s="94" t="n"/>
      <c r="B4077" s="128" t="n">
        <v>43787</v>
      </c>
      <c r="C4077" s="94">
        <f>TEXT(B4077,"aaa")</f>
        <v/>
      </c>
      <c r="D4077" s="94" t="n"/>
      <c r="E4077" s="6" t="inlineStr">
        <is>
          <t>토너</t>
        </is>
      </c>
      <c r="F4077" s="5" t="inlineStr">
        <is>
          <t>카페24</t>
        </is>
      </c>
      <c r="G4077" s="5" t="inlineStr">
        <is>
          <t>250ml</t>
        </is>
      </c>
      <c r="H4077" s="7" t="n">
        <v>190801</v>
      </c>
      <c r="I4077" s="7" t="n">
        <v>190801</v>
      </c>
      <c r="J4077" s="94" t="n"/>
      <c r="K4077" s="149" t="n">
        <v>32</v>
      </c>
      <c r="L4077" s="7" t="n">
        <v>190801</v>
      </c>
      <c r="M4077" s="94">
        <f>VLOOKUP($Q4077,매칭테이블!$F:$I,2,0)*K4077</f>
        <v/>
      </c>
      <c r="N4077" s="94">
        <f>M4077-M4077*VLOOKUP($Q4077,매칭테이블!$F:$I,3,0)</f>
        <v/>
      </c>
      <c r="O4077" s="94">
        <f>VLOOKUP($Q4077,매칭테이블!$F:$I,4,0)*K4077</f>
        <v/>
      </c>
      <c r="P4077" s="148">
        <f>M4077/1.1</f>
        <v/>
      </c>
      <c r="Q4077" s="94">
        <f>F4077&amp;E4077&amp;G4077&amp;L4077</f>
        <v/>
      </c>
    </row>
    <row r="4078">
      <c r="A4078" s="94" t="n"/>
      <c r="B4078" s="128" t="n">
        <v>43787</v>
      </c>
      <c r="C4078" s="94">
        <f>TEXT(B4078,"aaa")</f>
        <v/>
      </c>
      <c r="D4078" s="94" t="n"/>
      <c r="E4078" s="6" t="inlineStr">
        <is>
          <t>토너</t>
        </is>
      </c>
      <c r="F4078" s="5" t="inlineStr">
        <is>
          <t>카페24</t>
        </is>
      </c>
      <c r="G4078" s="5" t="inlineStr">
        <is>
          <t>250ml 2set</t>
        </is>
      </c>
      <c r="H4078" s="7" t="n">
        <v>190801</v>
      </c>
      <c r="I4078" s="7" t="n">
        <v>190801</v>
      </c>
      <c r="J4078" s="94" t="n"/>
      <c r="K4078" s="149" t="n">
        <v>12</v>
      </c>
      <c r="L4078" s="7" t="n">
        <v>190801</v>
      </c>
      <c r="M4078" s="94">
        <f>VLOOKUP($Q4078,매칭테이블!$F:$I,2,0)*K4078</f>
        <v/>
      </c>
      <c r="N4078" s="94">
        <f>M4078-M4078*VLOOKUP($Q4078,매칭테이블!$F:$I,3,0)</f>
        <v/>
      </c>
      <c r="O4078" s="94">
        <f>VLOOKUP($Q4078,매칭테이블!$F:$I,4,0)*K4078</f>
        <v/>
      </c>
      <c r="P4078" s="148">
        <f>M4078/1.1</f>
        <v/>
      </c>
      <c r="Q4078" s="94">
        <f>F4078&amp;E4078&amp;G4078&amp;L4078</f>
        <v/>
      </c>
    </row>
    <row r="4079">
      <c r="A4079" s="94" t="n"/>
      <c r="B4079" s="128" t="n">
        <v>43788</v>
      </c>
      <c r="C4079" s="94">
        <f>TEXT(B4079,"aaa")</f>
        <v/>
      </c>
      <c r="D4079" s="94" t="n"/>
      <c r="E4079" s="6" t="inlineStr">
        <is>
          <t>토너</t>
        </is>
      </c>
      <c r="F4079" s="5" t="inlineStr">
        <is>
          <t>W컨셉</t>
        </is>
      </c>
      <c r="G4079" s="5" t="inlineStr">
        <is>
          <t>250ml 2set</t>
        </is>
      </c>
      <c r="H4079" s="7" t="n">
        <v>190801</v>
      </c>
      <c r="I4079" s="7" t="n">
        <v>190801</v>
      </c>
      <c r="J4079" s="94" t="n"/>
      <c r="K4079" s="149" t="n">
        <v>5</v>
      </c>
      <c r="L4079" s="7" t="n">
        <v>190801</v>
      </c>
      <c r="M4079" s="94">
        <f>VLOOKUP($Q4079,매칭테이블!$F:$I,2,0)*K4079</f>
        <v/>
      </c>
      <c r="N4079" s="94">
        <f>M4079-M4079*VLOOKUP($Q4079,매칭테이블!$F:$I,3,0)</f>
        <v/>
      </c>
      <c r="O4079" s="94">
        <f>VLOOKUP($Q4079,매칭테이블!$F:$I,4,0)*K4079</f>
        <v/>
      </c>
      <c r="P4079" s="148">
        <f>M4079/1.1</f>
        <v/>
      </c>
      <c r="Q4079" s="94">
        <f>F4079&amp;E4079&amp;G4079&amp;L4079</f>
        <v/>
      </c>
    </row>
    <row r="4080">
      <c r="A4080" s="94" t="n"/>
      <c r="B4080" s="128" t="n">
        <v>43788</v>
      </c>
      <c r="C4080" s="94">
        <f>TEXT(B4080,"aaa")</f>
        <v/>
      </c>
      <c r="D4080" s="94" t="n"/>
      <c r="E4080" s="6" t="inlineStr">
        <is>
          <t>토너</t>
        </is>
      </c>
      <c r="F4080" s="5" t="inlineStr">
        <is>
          <t>카페24</t>
        </is>
      </c>
      <c r="G4080" s="5" t="inlineStr">
        <is>
          <t>500ml</t>
        </is>
      </c>
      <c r="H4080" s="7" t="n">
        <v>190801</v>
      </c>
      <c r="I4080" s="7" t="n">
        <v>190801</v>
      </c>
      <c r="J4080" s="94" t="n"/>
      <c r="K4080" s="149" t="n">
        <v>20</v>
      </c>
      <c r="L4080" s="7" t="n">
        <v>190801</v>
      </c>
      <c r="M4080" s="94">
        <f>VLOOKUP($Q4080,매칭테이블!$F:$I,2,0)*K4080</f>
        <v/>
      </c>
      <c r="N4080" s="94">
        <f>M4080-M4080*VLOOKUP($Q4080,매칭테이블!$F:$I,3,0)</f>
        <v/>
      </c>
      <c r="O4080" s="94">
        <f>VLOOKUP($Q4080,매칭테이블!$F:$I,4,0)*K4080</f>
        <v/>
      </c>
      <c r="P4080" s="148">
        <f>M4080/1.1</f>
        <v/>
      </c>
      <c r="Q4080" s="94">
        <f>F4080&amp;E4080&amp;G4080&amp;L4080</f>
        <v/>
      </c>
    </row>
    <row r="4081">
      <c r="A4081" s="94" t="n"/>
      <c r="B4081" s="128" t="n">
        <v>43788</v>
      </c>
      <c r="C4081" s="94">
        <f>TEXT(B4081,"aaa")</f>
        <v/>
      </c>
      <c r="D4081" s="94" t="n"/>
      <c r="E4081" s="6" t="inlineStr">
        <is>
          <t>토너</t>
        </is>
      </c>
      <c r="F4081" s="5" t="inlineStr">
        <is>
          <t>카페24</t>
        </is>
      </c>
      <c r="G4081" s="5" t="inlineStr">
        <is>
          <t>250ml</t>
        </is>
      </c>
      <c r="H4081" s="7" t="n">
        <v>190801</v>
      </c>
      <c r="I4081" s="7" t="n">
        <v>190801</v>
      </c>
      <c r="J4081" s="94" t="n"/>
      <c r="K4081" s="149" t="n">
        <v>11</v>
      </c>
      <c r="L4081" s="7" t="n">
        <v>190801</v>
      </c>
      <c r="M4081" s="94">
        <f>VLOOKUP($Q4081,매칭테이블!$F:$I,2,0)*K4081</f>
        <v/>
      </c>
      <c r="N4081" s="94">
        <f>M4081-M4081*VLOOKUP($Q4081,매칭테이블!$F:$I,3,0)</f>
        <v/>
      </c>
      <c r="O4081" s="94">
        <f>VLOOKUP($Q4081,매칭테이블!$F:$I,4,0)*K4081</f>
        <v/>
      </c>
      <c r="P4081" s="148">
        <f>M4081/1.1</f>
        <v/>
      </c>
      <c r="Q4081" s="94">
        <f>F4081&amp;E4081&amp;G4081&amp;L4081</f>
        <v/>
      </c>
    </row>
    <row r="4082">
      <c r="A4082" s="94" t="n"/>
      <c r="B4082" s="128" t="n">
        <v>43788</v>
      </c>
      <c r="C4082" s="94">
        <f>TEXT(B4082,"aaa")</f>
        <v/>
      </c>
      <c r="D4082" s="94" t="n"/>
      <c r="E4082" s="6" t="inlineStr">
        <is>
          <t>토너</t>
        </is>
      </c>
      <c r="F4082" s="5" t="inlineStr">
        <is>
          <t>카페24</t>
        </is>
      </c>
      <c r="G4082" s="5" t="inlineStr">
        <is>
          <t>250ml 2set</t>
        </is>
      </c>
      <c r="H4082" s="7" t="n">
        <v>190801</v>
      </c>
      <c r="I4082" s="7" t="n">
        <v>190801</v>
      </c>
      <c r="J4082" s="94" t="n"/>
      <c r="K4082" s="149" t="n">
        <v>19</v>
      </c>
      <c r="L4082" s="7" t="n">
        <v>190801</v>
      </c>
      <c r="M4082" s="94">
        <f>VLOOKUP($Q4082,매칭테이블!$F:$I,2,0)*K4082</f>
        <v/>
      </c>
      <c r="N4082" s="94">
        <f>M4082-M4082*VLOOKUP($Q4082,매칭테이블!$F:$I,3,0)</f>
        <v/>
      </c>
      <c r="O4082" s="94">
        <f>VLOOKUP($Q4082,매칭테이블!$F:$I,4,0)*K4082</f>
        <v/>
      </c>
      <c r="P4082" s="148">
        <f>M4082/1.1</f>
        <v/>
      </c>
      <c r="Q4082" s="94">
        <f>F4082&amp;E4082&amp;G4082&amp;L4082</f>
        <v/>
      </c>
    </row>
    <row r="4083">
      <c r="A4083" s="94" t="n"/>
      <c r="B4083" s="128" t="n">
        <v>43789</v>
      </c>
      <c r="C4083" s="94">
        <f>TEXT(B4083,"aaa")</f>
        <v/>
      </c>
      <c r="D4083" s="94" t="n"/>
      <c r="E4083" s="6" t="inlineStr">
        <is>
          <t>토너</t>
        </is>
      </c>
      <c r="F4083" s="5" t="inlineStr">
        <is>
          <t>W컨셉</t>
        </is>
      </c>
      <c r="G4083" s="5" t="inlineStr">
        <is>
          <t>250ml</t>
        </is>
      </c>
      <c r="H4083" s="7" t="n">
        <v>190801</v>
      </c>
      <c r="I4083" s="7" t="n">
        <v>190801</v>
      </c>
      <c r="J4083" s="94" t="n"/>
      <c r="K4083" s="149" t="n">
        <v>2</v>
      </c>
      <c r="L4083" s="7" t="n">
        <v>190801</v>
      </c>
      <c r="M4083" s="94">
        <f>VLOOKUP($Q4083,매칭테이블!$F:$I,2,0)*K4083</f>
        <v/>
      </c>
      <c r="N4083" s="94">
        <f>M4083-M4083*VLOOKUP($Q4083,매칭테이블!$F:$I,3,0)</f>
        <v/>
      </c>
      <c r="O4083" s="94">
        <f>VLOOKUP($Q4083,매칭테이블!$F:$I,4,0)*K4083</f>
        <v/>
      </c>
      <c r="P4083" s="148">
        <f>M4083/1.1</f>
        <v/>
      </c>
      <c r="Q4083" s="94">
        <f>F4083&amp;E4083&amp;G4083&amp;L4083</f>
        <v/>
      </c>
    </row>
    <row r="4084">
      <c r="A4084" s="94" t="n"/>
      <c r="B4084" s="128" t="n">
        <v>43789</v>
      </c>
      <c r="C4084" s="94">
        <f>TEXT(B4084,"aaa")</f>
        <v/>
      </c>
      <c r="D4084" s="94" t="n"/>
      <c r="E4084" s="6" t="inlineStr">
        <is>
          <t>토너</t>
        </is>
      </c>
      <c r="F4084" s="5" t="inlineStr">
        <is>
          <t>W컨셉</t>
        </is>
      </c>
      <c r="G4084" s="5" t="inlineStr">
        <is>
          <t>250ml 2set</t>
        </is>
      </c>
      <c r="H4084" s="7" t="n">
        <v>190801</v>
      </c>
      <c r="I4084" s="7" t="n">
        <v>190801</v>
      </c>
      <c r="J4084" s="94" t="n"/>
      <c r="K4084" s="149" t="n">
        <v>2</v>
      </c>
      <c r="L4084" s="7" t="n">
        <v>190801</v>
      </c>
      <c r="M4084" s="94">
        <f>VLOOKUP($Q4084,매칭테이블!$F:$I,2,0)*K4084</f>
        <v/>
      </c>
      <c r="N4084" s="94">
        <f>M4084-M4084*VLOOKUP($Q4084,매칭테이블!$F:$I,3,0)</f>
        <v/>
      </c>
      <c r="O4084" s="94">
        <f>VLOOKUP($Q4084,매칭테이블!$F:$I,4,0)*K4084</f>
        <v/>
      </c>
      <c r="P4084" s="148">
        <f>M4084/1.1</f>
        <v/>
      </c>
      <c r="Q4084" s="94">
        <f>F4084&amp;E4084&amp;G4084&amp;L4084</f>
        <v/>
      </c>
    </row>
    <row r="4085">
      <c r="A4085" s="94" t="n"/>
      <c r="B4085" s="128" t="n">
        <v>43789</v>
      </c>
      <c r="C4085" s="94">
        <f>TEXT(B4085,"aaa")</f>
        <v/>
      </c>
      <c r="D4085" s="94" t="n"/>
      <c r="E4085" s="6" t="inlineStr">
        <is>
          <t>토너</t>
        </is>
      </c>
      <c r="F4085" s="5" t="inlineStr">
        <is>
          <t>카페24</t>
        </is>
      </c>
      <c r="G4085" s="5" t="inlineStr">
        <is>
          <t>500ml</t>
        </is>
      </c>
      <c r="H4085" s="7" t="n">
        <v>190801</v>
      </c>
      <c r="I4085" s="7" t="n">
        <v>190801</v>
      </c>
      <c r="J4085" s="94" t="n"/>
      <c r="K4085" s="149" t="n">
        <v>16</v>
      </c>
      <c r="L4085" s="7" t="n">
        <v>190801</v>
      </c>
      <c r="M4085" s="94">
        <f>VLOOKUP($Q4085,매칭테이블!$F:$I,2,0)*K4085</f>
        <v/>
      </c>
      <c r="N4085" s="94">
        <f>M4085-M4085*VLOOKUP($Q4085,매칭테이블!$F:$I,3,0)</f>
        <v/>
      </c>
      <c r="O4085" s="94">
        <f>VLOOKUP($Q4085,매칭테이블!$F:$I,4,0)*K4085</f>
        <v/>
      </c>
      <c r="P4085" s="148">
        <f>M4085/1.1</f>
        <v/>
      </c>
      <c r="Q4085" s="94">
        <f>F4085&amp;E4085&amp;G4085&amp;L4085</f>
        <v/>
      </c>
    </row>
    <row r="4086">
      <c r="A4086" s="94" t="n"/>
      <c r="B4086" s="128" t="n">
        <v>43789</v>
      </c>
      <c r="C4086" s="94">
        <f>TEXT(B4086,"aaa")</f>
        <v/>
      </c>
      <c r="D4086" s="94" t="n"/>
      <c r="E4086" s="6" t="inlineStr">
        <is>
          <t>토너</t>
        </is>
      </c>
      <c r="F4086" s="5" t="inlineStr">
        <is>
          <t>카페24</t>
        </is>
      </c>
      <c r="G4086" s="5" t="inlineStr">
        <is>
          <t>250ml</t>
        </is>
      </c>
      <c r="H4086" s="7" t="n">
        <v>190801</v>
      </c>
      <c r="I4086" s="7" t="n">
        <v>190801</v>
      </c>
      <c r="J4086" s="94" t="n"/>
      <c r="K4086" s="149" t="n">
        <v>30</v>
      </c>
      <c r="L4086" s="7" t="n">
        <v>190801</v>
      </c>
      <c r="M4086" s="94">
        <f>VLOOKUP($Q4086,매칭테이블!$F:$I,2,0)*K4086</f>
        <v/>
      </c>
      <c r="N4086" s="94">
        <f>M4086-M4086*VLOOKUP($Q4086,매칭테이블!$F:$I,3,0)</f>
        <v/>
      </c>
      <c r="O4086" s="94">
        <f>VLOOKUP($Q4086,매칭테이블!$F:$I,4,0)*K4086</f>
        <v/>
      </c>
      <c r="P4086" s="148">
        <f>M4086/1.1</f>
        <v/>
      </c>
      <c r="Q4086" s="94">
        <f>F4086&amp;E4086&amp;G4086&amp;L4086</f>
        <v/>
      </c>
    </row>
    <row r="4087">
      <c r="A4087" s="94" t="n"/>
      <c r="B4087" s="128" t="n">
        <v>43789</v>
      </c>
      <c r="C4087" s="94">
        <f>TEXT(B4087,"aaa")</f>
        <v/>
      </c>
      <c r="D4087" s="94" t="n"/>
      <c r="E4087" s="6" t="inlineStr">
        <is>
          <t>토너</t>
        </is>
      </c>
      <c r="F4087" s="5" t="inlineStr">
        <is>
          <t>카페24</t>
        </is>
      </c>
      <c r="G4087" s="5" t="inlineStr">
        <is>
          <t>250ml 2set</t>
        </is>
      </c>
      <c r="H4087" s="7" t="n">
        <v>190801</v>
      </c>
      <c r="I4087" s="7" t="n">
        <v>190801</v>
      </c>
      <c r="J4087" s="94" t="n"/>
      <c r="K4087" s="149" t="n">
        <v>12</v>
      </c>
      <c r="L4087" s="7" t="n">
        <v>190801</v>
      </c>
      <c r="M4087" s="94">
        <f>VLOOKUP($Q4087,매칭테이블!$F:$I,2,0)*K4087</f>
        <v/>
      </c>
      <c r="N4087" s="94">
        <f>M4087-M4087*VLOOKUP($Q4087,매칭테이블!$F:$I,3,0)</f>
        <v/>
      </c>
      <c r="O4087" s="94">
        <f>VLOOKUP($Q4087,매칭테이블!$F:$I,4,0)*K4087</f>
        <v/>
      </c>
      <c r="P4087" s="148">
        <f>M4087/1.1</f>
        <v/>
      </c>
      <c r="Q4087" s="94">
        <f>F4087&amp;E4087&amp;G4087&amp;L4087</f>
        <v/>
      </c>
    </row>
    <row r="4088">
      <c r="A4088" s="94" t="n"/>
      <c r="B4088" s="128" t="n">
        <v>43790</v>
      </c>
      <c r="C4088" s="94">
        <f>TEXT(B4088,"aaa")</f>
        <v/>
      </c>
      <c r="D4088" s="94" t="n"/>
      <c r="E4088" s="6" t="inlineStr">
        <is>
          <t>토너</t>
        </is>
      </c>
      <c r="F4088" s="5" t="inlineStr">
        <is>
          <t>카페24</t>
        </is>
      </c>
      <c r="G4088" s="5" t="inlineStr">
        <is>
          <t>500ml</t>
        </is>
      </c>
      <c r="H4088" s="7" t="n">
        <v>190801</v>
      </c>
      <c r="I4088" s="7" t="n">
        <v>190801</v>
      </c>
      <c r="J4088" s="94" t="n"/>
      <c r="K4088" s="149" t="n">
        <v>24</v>
      </c>
      <c r="L4088" s="7" t="n">
        <v>190801</v>
      </c>
      <c r="M4088" s="94">
        <f>VLOOKUP($Q4088,매칭테이블!$F:$I,2,0)*K4088</f>
        <v/>
      </c>
      <c r="N4088" s="94">
        <f>M4088-M4088*VLOOKUP($Q4088,매칭테이블!$F:$I,3,0)</f>
        <v/>
      </c>
      <c r="O4088" s="94">
        <f>VLOOKUP($Q4088,매칭테이블!$F:$I,4,0)*K4088</f>
        <v/>
      </c>
      <c r="P4088" s="148">
        <f>M4088/1.1</f>
        <v/>
      </c>
      <c r="Q4088" s="94">
        <f>F4088&amp;E4088&amp;G4088&amp;L4088</f>
        <v/>
      </c>
    </row>
    <row r="4089">
      <c r="A4089" s="94" t="n"/>
      <c r="B4089" s="128" t="n">
        <v>43790</v>
      </c>
      <c r="C4089" s="94">
        <f>TEXT(B4089,"aaa")</f>
        <v/>
      </c>
      <c r="D4089" s="94" t="n"/>
      <c r="E4089" s="6" t="inlineStr">
        <is>
          <t>토너</t>
        </is>
      </c>
      <c r="F4089" s="5" t="inlineStr">
        <is>
          <t>카페24</t>
        </is>
      </c>
      <c r="G4089" s="5" t="inlineStr">
        <is>
          <t>250ml</t>
        </is>
      </c>
      <c r="H4089" s="7" t="n">
        <v>190801</v>
      </c>
      <c r="I4089" s="7" t="n">
        <v>190801</v>
      </c>
      <c r="J4089" s="94" t="n"/>
      <c r="K4089" s="149" t="n">
        <v>21</v>
      </c>
      <c r="L4089" s="7" t="n">
        <v>190801</v>
      </c>
      <c r="M4089" s="94">
        <f>VLOOKUP($Q4089,매칭테이블!$F:$I,2,0)*K4089</f>
        <v/>
      </c>
      <c r="N4089" s="94">
        <f>M4089-M4089*VLOOKUP($Q4089,매칭테이블!$F:$I,3,0)</f>
        <v/>
      </c>
      <c r="O4089" s="94">
        <f>VLOOKUP($Q4089,매칭테이블!$F:$I,4,0)*K4089</f>
        <v/>
      </c>
      <c r="P4089" s="148">
        <f>M4089/1.1</f>
        <v/>
      </c>
      <c r="Q4089" s="94">
        <f>F4089&amp;E4089&amp;G4089&amp;L4089</f>
        <v/>
      </c>
    </row>
    <row r="4090">
      <c r="A4090" s="94" t="n"/>
      <c r="B4090" s="128" t="n">
        <v>43790</v>
      </c>
      <c r="C4090" s="94">
        <f>TEXT(B4090,"aaa")</f>
        <v/>
      </c>
      <c r="D4090" s="94" t="n"/>
      <c r="E4090" s="6" t="inlineStr">
        <is>
          <t>토너</t>
        </is>
      </c>
      <c r="F4090" s="5" t="inlineStr">
        <is>
          <t>카페24</t>
        </is>
      </c>
      <c r="G4090" s="5" t="inlineStr">
        <is>
          <t>250ml 2set</t>
        </is>
      </c>
      <c r="H4090" s="7" t="n">
        <v>190801</v>
      </c>
      <c r="I4090" s="7" t="n">
        <v>190801</v>
      </c>
      <c r="J4090" s="94" t="n"/>
      <c r="K4090" s="149" t="n">
        <v>17</v>
      </c>
      <c r="L4090" s="7" t="n">
        <v>190801</v>
      </c>
      <c r="M4090" s="94">
        <f>VLOOKUP($Q4090,매칭테이블!$F:$I,2,0)*K4090</f>
        <v/>
      </c>
      <c r="N4090" s="94">
        <f>M4090-M4090*VLOOKUP($Q4090,매칭테이블!$F:$I,3,0)</f>
        <v/>
      </c>
      <c r="O4090" s="94">
        <f>VLOOKUP($Q4090,매칭테이블!$F:$I,4,0)*K4090</f>
        <v/>
      </c>
      <c r="P4090" s="148">
        <f>M4090/1.1</f>
        <v/>
      </c>
      <c r="Q4090" s="94">
        <f>F4090&amp;E4090&amp;G4090&amp;L4090</f>
        <v/>
      </c>
    </row>
    <row r="4091">
      <c r="A4091" s="94" t="n"/>
      <c r="B4091" s="128" t="n">
        <v>43791</v>
      </c>
      <c r="C4091" s="94">
        <f>TEXT(B4091,"aaa")</f>
        <v/>
      </c>
      <c r="D4091" s="94" t="n"/>
      <c r="E4091" s="6" t="inlineStr">
        <is>
          <t>토너</t>
        </is>
      </c>
      <c r="F4091" s="5" t="inlineStr">
        <is>
          <t>W컨셉</t>
        </is>
      </c>
      <c r="G4091" s="5" t="inlineStr">
        <is>
          <t>250ml 2set</t>
        </is>
      </c>
      <c r="H4091" s="7" t="n">
        <v>190801</v>
      </c>
      <c r="I4091" s="7" t="n">
        <v>190801</v>
      </c>
      <c r="J4091" s="94" t="n"/>
      <c r="K4091" s="149" t="n">
        <v>1</v>
      </c>
      <c r="L4091" s="7" t="n">
        <v>190801</v>
      </c>
      <c r="M4091" s="94">
        <f>VLOOKUP($Q4091,매칭테이블!$F:$I,2,0)*K4091</f>
        <v/>
      </c>
      <c r="N4091" s="94">
        <f>M4091-M4091*VLOOKUP($Q4091,매칭테이블!$F:$I,3,0)</f>
        <v/>
      </c>
      <c r="O4091" s="94">
        <f>VLOOKUP($Q4091,매칭테이블!$F:$I,4,0)*K4091</f>
        <v/>
      </c>
      <c r="P4091" s="148">
        <f>M4091/1.1</f>
        <v/>
      </c>
      <c r="Q4091" s="94">
        <f>F4091&amp;E4091&amp;G4091&amp;L4091</f>
        <v/>
      </c>
    </row>
    <row r="4092">
      <c r="A4092" s="94" t="n"/>
      <c r="B4092" s="128" t="n">
        <v>43791</v>
      </c>
      <c r="C4092" s="94">
        <f>TEXT(B4092,"aaa")</f>
        <v/>
      </c>
      <c r="D4092" s="94" t="n"/>
      <c r="E4092" s="6" t="inlineStr">
        <is>
          <t>토너</t>
        </is>
      </c>
      <c r="F4092" s="5" t="inlineStr">
        <is>
          <t>카페24</t>
        </is>
      </c>
      <c r="G4092" s="5" t="inlineStr">
        <is>
          <t>500ml</t>
        </is>
      </c>
      <c r="H4092" s="7" t="n">
        <v>190801</v>
      </c>
      <c r="I4092" s="7" t="n">
        <v>190801</v>
      </c>
      <c r="J4092" s="94" t="n"/>
      <c r="K4092" s="149" t="n">
        <v>20</v>
      </c>
      <c r="L4092" s="7" t="n">
        <v>190801</v>
      </c>
      <c r="M4092" s="94">
        <f>VLOOKUP($Q4092,매칭테이블!$F:$I,2,0)*K4092</f>
        <v/>
      </c>
      <c r="N4092" s="94">
        <f>M4092-M4092*VLOOKUP($Q4092,매칭테이블!$F:$I,3,0)</f>
        <v/>
      </c>
      <c r="O4092" s="94">
        <f>VLOOKUP($Q4092,매칭테이블!$F:$I,4,0)*K4092</f>
        <v/>
      </c>
      <c r="P4092" s="148">
        <f>M4092/1.1</f>
        <v/>
      </c>
      <c r="Q4092" s="94">
        <f>F4092&amp;E4092&amp;G4092&amp;L4092</f>
        <v/>
      </c>
    </row>
    <row r="4093">
      <c r="A4093" s="94" t="n"/>
      <c r="B4093" s="128" t="n">
        <v>43791</v>
      </c>
      <c r="C4093" s="94">
        <f>TEXT(B4093,"aaa")</f>
        <v/>
      </c>
      <c r="D4093" s="94" t="n"/>
      <c r="E4093" s="6" t="inlineStr">
        <is>
          <t>토너</t>
        </is>
      </c>
      <c r="F4093" s="5" t="inlineStr">
        <is>
          <t>카페24</t>
        </is>
      </c>
      <c r="G4093" s="5" t="inlineStr">
        <is>
          <t>250ml</t>
        </is>
      </c>
      <c r="H4093" s="7" t="n">
        <v>190801</v>
      </c>
      <c r="I4093" s="7" t="n">
        <v>190801</v>
      </c>
      <c r="J4093" s="94" t="n"/>
      <c r="K4093" s="149" t="n">
        <v>21</v>
      </c>
      <c r="L4093" s="7" t="n">
        <v>190801</v>
      </c>
      <c r="M4093" s="94">
        <f>VLOOKUP($Q4093,매칭테이블!$F:$I,2,0)*K4093</f>
        <v/>
      </c>
      <c r="N4093" s="94">
        <f>M4093-M4093*VLOOKUP($Q4093,매칭테이블!$F:$I,3,0)</f>
        <v/>
      </c>
      <c r="O4093" s="94">
        <f>VLOOKUP($Q4093,매칭테이블!$F:$I,4,0)*K4093</f>
        <v/>
      </c>
      <c r="P4093" s="148">
        <f>M4093/1.1</f>
        <v/>
      </c>
      <c r="Q4093" s="94">
        <f>F4093&amp;E4093&amp;G4093&amp;L4093</f>
        <v/>
      </c>
    </row>
    <row r="4094">
      <c r="A4094" s="94" t="n"/>
      <c r="B4094" s="128" t="n">
        <v>43791</v>
      </c>
      <c r="C4094" s="94">
        <f>TEXT(B4094,"aaa")</f>
        <v/>
      </c>
      <c r="D4094" s="94" t="n"/>
      <c r="E4094" s="6" t="inlineStr">
        <is>
          <t>토너</t>
        </is>
      </c>
      <c r="F4094" s="5" t="inlineStr">
        <is>
          <t>카페24</t>
        </is>
      </c>
      <c r="G4094" s="5" t="inlineStr">
        <is>
          <t>250ml 2set</t>
        </is>
      </c>
      <c r="H4094" s="7" t="n">
        <v>190801</v>
      </c>
      <c r="I4094" s="7" t="n">
        <v>190801</v>
      </c>
      <c r="J4094" s="94" t="n"/>
      <c r="K4094" s="149" t="n">
        <v>12</v>
      </c>
      <c r="L4094" s="7" t="n">
        <v>190801</v>
      </c>
      <c r="M4094" s="94">
        <f>VLOOKUP($Q4094,매칭테이블!$F:$I,2,0)*K4094</f>
        <v/>
      </c>
      <c r="N4094" s="94">
        <f>M4094-M4094*VLOOKUP($Q4094,매칭테이블!$F:$I,3,0)</f>
        <v/>
      </c>
      <c r="O4094" s="94">
        <f>VLOOKUP($Q4094,매칭테이블!$F:$I,4,0)*K4094</f>
        <v/>
      </c>
      <c r="P4094" s="148">
        <f>M4094/1.1</f>
        <v/>
      </c>
      <c r="Q4094" s="94">
        <f>F4094&amp;E4094&amp;G4094&amp;L4094</f>
        <v/>
      </c>
    </row>
    <row r="4095">
      <c r="A4095" s="94" t="n"/>
      <c r="B4095" s="128" t="n">
        <v>43792</v>
      </c>
      <c r="C4095" s="94">
        <f>TEXT(B4095,"aaa")</f>
        <v/>
      </c>
      <c r="D4095" s="94" t="n"/>
      <c r="E4095" s="6" t="inlineStr">
        <is>
          <t>토너</t>
        </is>
      </c>
      <c r="F4095" s="5" t="inlineStr">
        <is>
          <t>카페24</t>
        </is>
      </c>
      <c r="G4095" s="5" t="inlineStr">
        <is>
          <t>500ml</t>
        </is>
      </c>
      <c r="H4095" s="7" t="n">
        <v>190801</v>
      </c>
      <c r="I4095" s="7" t="n">
        <v>190801</v>
      </c>
      <c r="J4095" s="94" t="n"/>
      <c r="K4095" s="149" t="n">
        <v>19</v>
      </c>
      <c r="L4095" s="7" t="n">
        <v>190801</v>
      </c>
      <c r="M4095" s="94">
        <f>VLOOKUP($Q4095,매칭테이블!$F:$I,2,0)*K4095</f>
        <v/>
      </c>
      <c r="N4095" s="94">
        <f>M4095-M4095*VLOOKUP($Q4095,매칭테이블!$F:$I,3,0)</f>
        <v/>
      </c>
      <c r="O4095" s="94">
        <f>VLOOKUP($Q4095,매칭테이블!$F:$I,4,0)*K4095</f>
        <v/>
      </c>
      <c r="P4095" s="148">
        <f>M4095/1.1</f>
        <v/>
      </c>
      <c r="Q4095" s="94">
        <f>F4095&amp;E4095&amp;G4095&amp;L4095</f>
        <v/>
      </c>
    </row>
    <row r="4096">
      <c r="A4096" s="94" t="n"/>
      <c r="B4096" s="128" t="n">
        <v>43792</v>
      </c>
      <c r="C4096" s="94">
        <f>TEXT(B4096,"aaa")</f>
        <v/>
      </c>
      <c r="D4096" s="94" t="n"/>
      <c r="E4096" s="6" t="inlineStr">
        <is>
          <t>토너</t>
        </is>
      </c>
      <c r="F4096" s="5" t="inlineStr">
        <is>
          <t>카페24</t>
        </is>
      </c>
      <c r="G4096" s="5" t="inlineStr">
        <is>
          <t>250ml</t>
        </is>
      </c>
      <c r="H4096" s="7" t="n">
        <v>190801</v>
      </c>
      <c r="I4096" s="7" t="n">
        <v>190801</v>
      </c>
      <c r="J4096" s="94" t="n"/>
      <c r="K4096" s="149" t="n">
        <v>23</v>
      </c>
      <c r="L4096" s="7" t="n">
        <v>190801</v>
      </c>
      <c r="M4096" s="94">
        <f>VLOOKUP($Q4096,매칭테이블!$F:$I,2,0)*K4096</f>
        <v/>
      </c>
      <c r="N4096" s="94">
        <f>M4096-M4096*VLOOKUP($Q4096,매칭테이블!$F:$I,3,0)</f>
        <v/>
      </c>
      <c r="O4096" s="94">
        <f>VLOOKUP($Q4096,매칭테이블!$F:$I,4,0)*K4096</f>
        <v/>
      </c>
      <c r="P4096" s="148">
        <f>M4096/1.1</f>
        <v/>
      </c>
      <c r="Q4096" s="94">
        <f>F4096&amp;E4096&amp;G4096&amp;L4096</f>
        <v/>
      </c>
    </row>
    <row r="4097">
      <c r="A4097" s="94" t="n"/>
      <c r="B4097" s="128" t="n">
        <v>43792</v>
      </c>
      <c r="C4097" s="94">
        <f>TEXT(B4097,"aaa")</f>
        <v/>
      </c>
      <c r="D4097" s="94" t="n"/>
      <c r="E4097" s="6" t="inlineStr">
        <is>
          <t>토너</t>
        </is>
      </c>
      <c r="F4097" s="5" t="inlineStr">
        <is>
          <t>카페24</t>
        </is>
      </c>
      <c r="G4097" s="5" t="inlineStr">
        <is>
          <t>250ml 2set</t>
        </is>
      </c>
      <c r="H4097" s="7" t="n">
        <v>190801</v>
      </c>
      <c r="I4097" s="7" t="n">
        <v>190801</v>
      </c>
      <c r="J4097" s="94" t="n"/>
      <c r="K4097" s="149" t="n">
        <v>15</v>
      </c>
      <c r="L4097" s="7" t="n">
        <v>190801</v>
      </c>
      <c r="M4097" s="94">
        <f>VLOOKUP($Q4097,매칭테이블!$F:$I,2,0)*K4097</f>
        <v/>
      </c>
      <c r="N4097" s="94">
        <f>M4097-M4097*VLOOKUP($Q4097,매칭테이블!$F:$I,3,0)</f>
        <v/>
      </c>
      <c r="O4097" s="94">
        <f>VLOOKUP($Q4097,매칭테이블!$F:$I,4,0)*K4097</f>
        <v/>
      </c>
      <c r="P4097" s="148">
        <f>M4097/1.1</f>
        <v/>
      </c>
      <c r="Q4097" s="94">
        <f>F4097&amp;E4097&amp;G4097&amp;L4097</f>
        <v/>
      </c>
    </row>
    <row r="4098">
      <c r="A4098" s="94" t="n"/>
      <c r="B4098" s="128" t="n">
        <v>43793</v>
      </c>
      <c r="C4098" s="94">
        <f>TEXT(B4098,"aaa")</f>
        <v/>
      </c>
      <c r="D4098" s="94" t="n"/>
      <c r="E4098" s="6" t="inlineStr">
        <is>
          <t>토너</t>
        </is>
      </c>
      <c r="F4098" s="5" t="inlineStr">
        <is>
          <t>W컨셉</t>
        </is>
      </c>
      <c r="G4098" s="5" t="inlineStr">
        <is>
          <t>250ml</t>
        </is>
      </c>
      <c r="H4098" s="7" t="n">
        <v>190801</v>
      </c>
      <c r="I4098" s="7" t="n">
        <v>190801</v>
      </c>
      <c r="J4098" s="94" t="n"/>
      <c r="K4098" s="149" t="n">
        <v>1</v>
      </c>
      <c r="L4098" s="7" t="n">
        <v>190801</v>
      </c>
      <c r="M4098" s="94">
        <f>VLOOKUP($Q4098,매칭테이블!$F:$I,2,0)*K4098</f>
        <v/>
      </c>
      <c r="N4098" s="94">
        <f>M4098-M4098*VLOOKUP($Q4098,매칭테이블!$F:$I,3,0)</f>
        <v/>
      </c>
      <c r="O4098" s="94">
        <f>VLOOKUP($Q4098,매칭테이블!$F:$I,4,0)*K4098</f>
        <v/>
      </c>
      <c r="P4098" s="148">
        <f>M4098/1.1</f>
        <v/>
      </c>
      <c r="Q4098" s="94">
        <f>F4098&amp;E4098&amp;G4098&amp;L4098</f>
        <v/>
      </c>
    </row>
    <row r="4099">
      <c r="A4099" s="94" t="n"/>
      <c r="B4099" s="128" t="n">
        <v>43793</v>
      </c>
      <c r="C4099" s="94">
        <f>TEXT(B4099,"aaa")</f>
        <v/>
      </c>
      <c r="D4099" s="94" t="n"/>
      <c r="E4099" s="6" t="inlineStr">
        <is>
          <t>토너</t>
        </is>
      </c>
      <c r="F4099" s="5" t="inlineStr">
        <is>
          <t>카페24</t>
        </is>
      </c>
      <c r="G4099" s="5" t="inlineStr">
        <is>
          <t>500ml</t>
        </is>
      </c>
      <c r="H4099" s="7" t="n">
        <v>190801</v>
      </c>
      <c r="I4099" s="7" t="n">
        <v>190801</v>
      </c>
      <c r="J4099" s="94" t="n"/>
      <c r="K4099" s="149" t="n">
        <v>21</v>
      </c>
      <c r="L4099" s="7" t="n">
        <v>190801</v>
      </c>
      <c r="M4099" s="94">
        <f>VLOOKUP($Q4099,매칭테이블!$F:$I,2,0)*K4099</f>
        <v/>
      </c>
      <c r="N4099" s="94">
        <f>M4099-M4099*VLOOKUP($Q4099,매칭테이블!$F:$I,3,0)</f>
        <v/>
      </c>
      <c r="O4099" s="94">
        <f>VLOOKUP($Q4099,매칭테이블!$F:$I,4,0)*K4099</f>
        <v/>
      </c>
      <c r="P4099" s="148">
        <f>M4099/1.1</f>
        <v/>
      </c>
      <c r="Q4099" s="94">
        <f>F4099&amp;E4099&amp;G4099&amp;L4099</f>
        <v/>
      </c>
    </row>
    <row r="4100">
      <c r="A4100" s="94" t="n"/>
      <c r="B4100" s="128" t="n">
        <v>43793</v>
      </c>
      <c r="C4100" s="94">
        <f>TEXT(B4100,"aaa")</f>
        <v/>
      </c>
      <c r="D4100" s="94" t="n"/>
      <c r="E4100" s="6" t="inlineStr">
        <is>
          <t>토너</t>
        </is>
      </c>
      <c r="F4100" s="5" t="inlineStr">
        <is>
          <t>카페24</t>
        </is>
      </c>
      <c r="G4100" s="5" t="inlineStr">
        <is>
          <t>250ml</t>
        </is>
      </c>
      <c r="H4100" s="7" t="n">
        <v>190801</v>
      </c>
      <c r="I4100" s="7" t="n">
        <v>190801</v>
      </c>
      <c r="J4100" s="94" t="n"/>
      <c r="K4100" s="149" t="n">
        <v>27</v>
      </c>
      <c r="L4100" s="7" t="n">
        <v>190801</v>
      </c>
      <c r="M4100" s="94">
        <f>VLOOKUP($Q4100,매칭테이블!$F:$I,2,0)*K4100</f>
        <v/>
      </c>
      <c r="N4100" s="94">
        <f>M4100-M4100*VLOOKUP($Q4100,매칭테이블!$F:$I,3,0)</f>
        <v/>
      </c>
      <c r="O4100" s="94">
        <f>VLOOKUP($Q4100,매칭테이블!$F:$I,4,0)*K4100</f>
        <v/>
      </c>
      <c r="P4100" s="148">
        <f>M4100/1.1</f>
        <v/>
      </c>
      <c r="Q4100" s="94">
        <f>F4100&amp;E4100&amp;G4100&amp;L4100</f>
        <v/>
      </c>
    </row>
    <row r="4101">
      <c r="A4101" s="94" t="n"/>
      <c r="B4101" s="128" t="n">
        <v>43793</v>
      </c>
      <c r="C4101" s="94">
        <f>TEXT(B4101,"aaa")</f>
        <v/>
      </c>
      <c r="D4101" s="94" t="n"/>
      <c r="E4101" s="6" t="inlineStr">
        <is>
          <t>토너</t>
        </is>
      </c>
      <c r="F4101" s="5" t="inlineStr">
        <is>
          <t>카페24</t>
        </is>
      </c>
      <c r="G4101" s="5" t="inlineStr">
        <is>
          <t>250ml 2set</t>
        </is>
      </c>
      <c r="H4101" s="7" t="n">
        <v>190801</v>
      </c>
      <c r="I4101" s="7" t="n">
        <v>190801</v>
      </c>
      <c r="J4101" s="94" t="n"/>
      <c r="K4101" s="149" t="n">
        <v>9</v>
      </c>
      <c r="L4101" s="7" t="n">
        <v>190801</v>
      </c>
      <c r="M4101" s="94">
        <f>VLOOKUP($Q4101,매칭테이블!$F:$I,2,0)*K4101</f>
        <v/>
      </c>
      <c r="N4101" s="94">
        <f>M4101-M4101*VLOOKUP($Q4101,매칭테이블!$F:$I,3,0)</f>
        <v/>
      </c>
      <c r="O4101" s="94">
        <f>VLOOKUP($Q4101,매칭테이블!$F:$I,4,0)*K4101</f>
        <v/>
      </c>
      <c r="P4101" s="148">
        <f>M4101/1.1</f>
        <v/>
      </c>
      <c r="Q4101" s="94">
        <f>F4101&amp;E4101&amp;G4101&amp;L4101</f>
        <v/>
      </c>
    </row>
    <row r="4102">
      <c r="A4102" s="94" t="n"/>
      <c r="B4102" s="128" t="n">
        <v>43794</v>
      </c>
      <c r="C4102" s="94">
        <f>TEXT(B4102,"aaa")</f>
        <v/>
      </c>
      <c r="D4102" s="94" t="n"/>
      <c r="E4102" s="6" t="inlineStr">
        <is>
          <t>토너</t>
        </is>
      </c>
      <c r="F4102" s="5" t="inlineStr">
        <is>
          <t>W컨셉</t>
        </is>
      </c>
      <c r="G4102" s="5" t="inlineStr">
        <is>
          <t>250ml</t>
        </is>
      </c>
      <c r="H4102" s="7" t="n">
        <v>190801</v>
      </c>
      <c r="I4102" s="7" t="n">
        <v>190801</v>
      </c>
      <c r="J4102" s="94" t="n"/>
      <c r="K4102" s="149" t="n">
        <v>1</v>
      </c>
      <c r="L4102" s="7" t="n">
        <v>190801</v>
      </c>
      <c r="M4102" s="94">
        <f>VLOOKUP($Q4102,매칭테이블!$F:$I,2,0)*K4102</f>
        <v/>
      </c>
      <c r="N4102" s="94">
        <f>M4102-M4102*VLOOKUP($Q4102,매칭테이블!$F:$I,3,0)</f>
        <v/>
      </c>
      <c r="O4102" s="94">
        <f>VLOOKUP($Q4102,매칭테이블!$F:$I,4,0)*K4102</f>
        <v/>
      </c>
      <c r="P4102" s="148">
        <f>M4102/1.1</f>
        <v/>
      </c>
      <c r="Q4102" s="94">
        <f>F4102&amp;E4102&amp;G4102&amp;L4102</f>
        <v/>
      </c>
    </row>
    <row r="4103">
      <c r="A4103" s="94" t="n"/>
      <c r="B4103" s="128" t="n">
        <v>43794</v>
      </c>
      <c r="C4103" s="94">
        <f>TEXT(B4103,"aaa")</f>
        <v/>
      </c>
      <c r="D4103" s="94" t="n"/>
      <c r="E4103" s="6" t="inlineStr">
        <is>
          <t>토너</t>
        </is>
      </c>
      <c r="F4103" s="5" t="inlineStr">
        <is>
          <t>W컨셉</t>
        </is>
      </c>
      <c r="G4103" s="5" t="inlineStr">
        <is>
          <t>250ml 2set</t>
        </is>
      </c>
      <c r="H4103" s="7" t="n">
        <v>190801</v>
      </c>
      <c r="I4103" s="7" t="n">
        <v>190801</v>
      </c>
      <c r="J4103" s="94" t="n"/>
      <c r="K4103" s="149" t="n">
        <v>1</v>
      </c>
      <c r="L4103" s="7" t="n">
        <v>190801</v>
      </c>
      <c r="M4103" s="94">
        <f>VLOOKUP($Q4103,매칭테이블!$F:$I,2,0)*K4103</f>
        <v/>
      </c>
      <c r="N4103" s="94">
        <f>M4103-M4103*VLOOKUP($Q4103,매칭테이블!$F:$I,3,0)</f>
        <v/>
      </c>
      <c r="O4103" s="94">
        <f>VLOOKUP($Q4103,매칭테이블!$F:$I,4,0)*K4103</f>
        <v/>
      </c>
      <c r="P4103" s="148">
        <f>M4103/1.1</f>
        <v/>
      </c>
      <c r="Q4103" s="94">
        <f>F4103&amp;E4103&amp;G4103&amp;L4103</f>
        <v/>
      </c>
    </row>
    <row r="4104">
      <c r="A4104" s="94" t="n"/>
      <c r="B4104" s="128" t="n">
        <v>43794</v>
      </c>
      <c r="C4104" s="94">
        <f>TEXT(B4104,"aaa")</f>
        <v/>
      </c>
      <c r="D4104" s="94" t="n"/>
      <c r="E4104" s="6" t="inlineStr">
        <is>
          <t>토너</t>
        </is>
      </c>
      <c r="F4104" s="5" t="inlineStr">
        <is>
          <t>카페24</t>
        </is>
      </c>
      <c r="G4104" s="5" t="inlineStr">
        <is>
          <t>500ml</t>
        </is>
      </c>
      <c r="H4104" s="7" t="n">
        <v>190801</v>
      </c>
      <c r="I4104" s="7" t="n">
        <v>190801</v>
      </c>
      <c r="J4104" s="94" t="n"/>
      <c r="K4104" s="149" t="n">
        <v>27</v>
      </c>
      <c r="L4104" s="7" t="n">
        <v>190801</v>
      </c>
      <c r="M4104" s="94">
        <f>VLOOKUP($Q4104,매칭테이블!$F:$I,2,0)*K4104</f>
        <v/>
      </c>
      <c r="N4104" s="94">
        <f>M4104-M4104*VLOOKUP($Q4104,매칭테이블!$F:$I,3,0)</f>
        <v/>
      </c>
      <c r="O4104" s="94">
        <f>VLOOKUP($Q4104,매칭테이블!$F:$I,4,0)*K4104</f>
        <v/>
      </c>
      <c r="P4104" s="148">
        <f>M4104/1.1</f>
        <v/>
      </c>
      <c r="Q4104" s="94">
        <f>F4104&amp;E4104&amp;G4104&amp;L4104</f>
        <v/>
      </c>
    </row>
    <row r="4105">
      <c r="A4105" s="94" t="n"/>
      <c r="B4105" s="128" t="n">
        <v>43794</v>
      </c>
      <c r="C4105" s="94">
        <f>TEXT(B4105,"aaa")</f>
        <v/>
      </c>
      <c r="D4105" s="94" t="n"/>
      <c r="E4105" s="6" t="inlineStr">
        <is>
          <t>토너</t>
        </is>
      </c>
      <c r="F4105" s="5" t="inlineStr">
        <is>
          <t>카페24</t>
        </is>
      </c>
      <c r="G4105" s="5" t="inlineStr">
        <is>
          <t>250ml</t>
        </is>
      </c>
      <c r="H4105" s="7" t="n">
        <v>190801</v>
      </c>
      <c r="I4105" s="7" t="n">
        <v>190801</v>
      </c>
      <c r="J4105" s="94" t="n"/>
      <c r="K4105" s="149" t="n">
        <v>26</v>
      </c>
      <c r="L4105" s="7" t="n">
        <v>190801</v>
      </c>
      <c r="M4105" s="94">
        <f>VLOOKUP($Q4105,매칭테이블!$F:$I,2,0)*K4105</f>
        <v/>
      </c>
      <c r="N4105" s="94">
        <f>M4105-M4105*VLOOKUP($Q4105,매칭테이블!$F:$I,3,0)</f>
        <v/>
      </c>
      <c r="O4105" s="94">
        <f>VLOOKUP($Q4105,매칭테이블!$F:$I,4,0)*K4105</f>
        <v/>
      </c>
      <c r="P4105" s="148">
        <f>M4105/1.1</f>
        <v/>
      </c>
      <c r="Q4105" s="94">
        <f>F4105&amp;E4105&amp;G4105&amp;L4105</f>
        <v/>
      </c>
    </row>
    <row r="4106">
      <c r="A4106" s="94" t="n"/>
      <c r="B4106" s="128" t="n">
        <v>43794</v>
      </c>
      <c r="C4106" s="94">
        <f>TEXT(B4106,"aaa")</f>
        <v/>
      </c>
      <c r="D4106" s="94" t="n"/>
      <c r="E4106" s="6" t="inlineStr">
        <is>
          <t>토너</t>
        </is>
      </c>
      <c r="F4106" s="5" t="inlineStr">
        <is>
          <t>카페24</t>
        </is>
      </c>
      <c r="G4106" s="5" t="inlineStr">
        <is>
          <t>250ml 2set</t>
        </is>
      </c>
      <c r="H4106" s="7" t="n">
        <v>190801</v>
      </c>
      <c r="I4106" s="7" t="n">
        <v>190801</v>
      </c>
      <c r="J4106" s="94" t="n"/>
      <c r="K4106" s="149" t="n">
        <v>22</v>
      </c>
      <c r="L4106" s="7" t="n">
        <v>190801</v>
      </c>
      <c r="M4106" s="94">
        <f>VLOOKUP($Q4106,매칭테이블!$F:$I,2,0)*K4106</f>
        <v/>
      </c>
      <c r="N4106" s="94">
        <f>M4106-M4106*VLOOKUP($Q4106,매칭테이블!$F:$I,3,0)</f>
        <v/>
      </c>
      <c r="O4106" s="94">
        <f>VLOOKUP($Q4106,매칭테이블!$F:$I,4,0)*K4106</f>
        <v/>
      </c>
      <c r="P4106" s="148">
        <f>M4106/1.1</f>
        <v/>
      </c>
      <c r="Q4106" s="94">
        <f>F4106&amp;E4106&amp;G4106&amp;L4106</f>
        <v/>
      </c>
    </row>
    <row r="4107">
      <c r="A4107" s="94" t="n"/>
      <c r="B4107" s="128" t="n">
        <v>43795</v>
      </c>
      <c r="C4107" s="94">
        <f>TEXT(B4107,"aaa")</f>
        <v/>
      </c>
      <c r="D4107" s="94" t="n"/>
      <c r="E4107" s="6" t="inlineStr">
        <is>
          <t>토너</t>
        </is>
      </c>
      <c r="F4107" s="5" t="inlineStr">
        <is>
          <t>W컨셉</t>
        </is>
      </c>
      <c r="G4107" s="5" t="inlineStr">
        <is>
          <t>250ml 2set</t>
        </is>
      </c>
      <c r="H4107" s="7" t="n">
        <v>190801</v>
      </c>
      <c r="I4107" s="7" t="n">
        <v>190801</v>
      </c>
      <c r="J4107" s="94" t="n"/>
      <c r="K4107" s="149" t="n">
        <v>5</v>
      </c>
      <c r="L4107" s="7" t="n">
        <v>190801</v>
      </c>
      <c r="M4107" s="94">
        <f>VLOOKUP($Q4107,매칭테이블!$F:$I,2,0)*K4107</f>
        <v/>
      </c>
      <c r="N4107" s="94">
        <f>M4107-M4107*VLOOKUP($Q4107,매칭테이블!$F:$I,3,0)</f>
        <v/>
      </c>
      <c r="O4107" s="94">
        <f>VLOOKUP($Q4107,매칭테이블!$F:$I,4,0)*K4107</f>
        <v/>
      </c>
      <c r="P4107" s="148">
        <f>M4107/1.1</f>
        <v/>
      </c>
      <c r="Q4107" s="94">
        <f>F4107&amp;E4107&amp;G4107&amp;L4107</f>
        <v/>
      </c>
    </row>
    <row r="4108">
      <c r="A4108" s="94" t="n"/>
      <c r="B4108" s="128" t="n">
        <v>43795</v>
      </c>
      <c r="C4108" s="94">
        <f>TEXT(B4108,"aaa")</f>
        <v/>
      </c>
      <c r="D4108" s="94" t="n"/>
      <c r="E4108" s="6" t="inlineStr">
        <is>
          <t>토너</t>
        </is>
      </c>
      <c r="F4108" s="5" t="inlineStr">
        <is>
          <t>카페24</t>
        </is>
      </c>
      <c r="G4108" s="5" t="inlineStr">
        <is>
          <t>500ml</t>
        </is>
      </c>
      <c r="H4108" s="7" t="n">
        <v>190801</v>
      </c>
      <c r="I4108" s="7" t="n">
        <v>190801</v>
      </c>
      <c r="J4108" s="94" t="n"/>
      <c r="K4108" s="149" t="n">
        <v>14</v>
      </c>
      <c r="L4108" s="7" t="n">
        <v>190801</v>
      </c>
      <c r="M4108" s="94">
        <f>VLOOKUP($Q4108,매칭테이블!$F:$I,2,0)*K4108</f>
        <v/>
      </c>
      <c r="N4108" s="94">
        <f>M4108-M4108*VLOOKUP($Q4108,매칭테이블!$F:$I,3,0)</f>
        <v/>
      </c>
      <c r="O4108" s="94">
        <f>VLOOKUP($Q4108,매칭테이블!$F:$I,4,0)*K4108</f>
        <v/>
      </c>
      <c r="P4108" s="148">
        <f>M4108/1.1</f>
        <v/>
      </c>
      <c r="Q4108" s="94">
        <f>F4108&amp;E4108&amp;G4108&amp;L4108</f>
        <v/>
      </c>
    </row>
    <row r="4109">
      <c r="A4109" s="94" t="n"/>
      <c r="B4109" s="128" t="n">
        <v>43795</v>
      </c>
      <c r="C4109" s="94">
        <f>TEXT(B4109,"aaa")</f>
        <v/>
      </c>
      <c r="D4109" s="94" t="n"/>
      <c r="E4109" s="6" t="inlineStr">
        <is>
          <t>토너</t>
        </is>
      </c>
      <c r="F4109" s="5" t="inlineStr">
        <is>
          <t>카페24</t>
        </is>
      </c>
      <c r="G4109" s="5" t="inlineStr">
        <is>
          <t>250ml</t>
        </is>
      </c>
      <c r="H4109" s="7" t="n">
        <v>190801</v>
      </c>
      <c r="I4109" s="7" t="n">
        <v>190801</v>
      </c>
      <c r="J4109" s="94" t="n"/>
      <c r="K4109" s="149" t="n">
        <v>22</v>
      </c>
      <c r="L4109" s="7" t="n">
        <v>190801</v>
      </c>
      <c r="M4109" s="94">
        <f>VLOOKUP($Q4109,매칭테이블!$F:$I,2,0)*K4109</f>
        <v/>
      </c>
      <c r="N4109" s="94">
        <f>M4109-M4109*VLOOKUP($Q4109,매칭테이블!$F:$I,3,0)</f>
        <v/>
      </c>
      <c r="O4109" s="94">
        <f>VLOOKUP($Q4109,매칭테이블!$F:$I,4,0)*K4109</f>
        <v/>
      </c>
      <c r="P4109" s="148">
        <f>M4109/1.1</f>
        <v/>
      </c>
      <c r="Q4109" s="94">
        <f>F4109&amp;E4109&amp;G4109&amp;L4109</f>
        <v/>
      </c>
    </row>
    <row r="4110">
      <c r="A4110" s="94" t="n"/>
      <c r="B4110" s="128" t="n">
        <v>43795</v>
      </c>
      <c r="C4110" s="94">
        <f>TEXT(B4110,"aaa")</f>
        <v/>
      </c>
      <c r="D4110" s="94" t="n"/>
      <c r="E4110" s="6" t="inlineStr">
        <is>
          <t>토너</t>
        </is>
      </c>
      <c r="F4110" s="5" t="inlineStr">
        <is>
          <t>카페24</t>
        </is>
      </c>
      <c r="G4110" s="5" t="inlineStr">
        <is>
          <t>250ml 2set</t>
        </is>
      </c>
      <c r="H4110" s="7" t="n">
        <v>190801</v>
      </c>
      <c r="I4110" s="7" t="n">
        <v>190801</v>
      </c>
      <c r="J4110" s="94" t="n"/>
      <c r="K4110" s="149" t="n">
        <v>16</v>
      </c>
      <c r="L4110" s="7" t="n">
        <v>190801</v>
      </c>
      <c r="M4110" s="94">
        <f>VLOOKUP($Q4110,매칭테이블!$F:$I,2,0)*K4110</f>
        <v/>
      </c>
      <c r="N4110" s="94">
        <f>M4110-M4110*VLOOKUP($Q4110,매칭테이블!$F:$I,3,0)</f>
        <v/>
      </c>
      <c r="O4110" s="94">
        <f>VLOOKUP($Q4110,매칭테이블!$F:$I,4,0)*K4110</f>
        <v/>
      </c>
      <c r="P4110" s="148">
        <f>M4110/1.1</f>
        <v/>
      </c>
      <c r="Q4110" s="94">
        <f>F4110&amp;E4110&amp;G4110&amp;L4110</f>
        <v/>
      </c>
    </row>
    <row r="4111">
      <c r="A4111" s="94" t="n"/>
      <c r="B4111" s="128" t="n">
        <v>43796</v>
      </c>
      <c r="C4111" s="94">
        <f>TEXT(B4111,"aaa")</f>
        <v/>
      </c>
      <c r="D4111" s="94" t="n"/>
      <c r="E4111" s="6" t="inlineStr">
        <is>
          <t>토너</t>
        </is>
      </c>
      <c r="F4111" s="5" t="inlineStr">
        <is>
          <t>W컨셉</t>
        </is>
      </c>
      <c r="G4111" s="5" t="inlineStr">
        <is>
          <t>250ml</t>
        </is>
      </c>
      <c r="H4111" s="7" t="n">
        <v>190801</v>
      </c>
      <c r="I4111" s="7" t="n">
        <v>190801</v>
      </c>
      <c r="J4111" s="94" t="n"/>
      <c r="K4111" s="149" t="n">
        <v>2</v>
      </c>
      <c r="L4111" s="7" t="n">
        <v>190801</v>
      </c>
      <c r="M4111" s="94">
        <f>VLOOKUP($Q4111,매칭테이블!$F:$I,2,0)*K4111</f>
        <v/>
      </c>
      <c r="N4111" s="94">
        <f>M4111-M4111*VLOOKUP($Q4111,매칭테이블!$F:$I,3,0)</f>
        <v/>
      </c>
      <c r="O4111" s="94">
        <f>VLOOKUP($Q4111,매칭테이블!$F:$I,4,0)*K4111</f>
        <v/>
      </c>
      <c r="P4111" s="148">
        <f>M4111/1.1</f>
        <v/>
      </c>
      <c r="Q4111" s="94">
        <f>F4111&amp;E4111&amp;G4111&amp;L4111</f>
        <v/>
      </c>
    </row>
    <row r="4112">
      <c r="A4112" s="94" t="n"/>
      <c r="B4112" s="128" t="n">
        <v>43796</v>
      </c>
      <c r="C4112" s="94">
        <f>TEXT(B4112,"aaa")</f>
        <v/>
      </c>
      <c r="D4112" s="94" t="n"/>
      <c r="E4112" s="6" t="inlineStr">
        <is>
          <t>토너</t>
        </is>
      </c>
      <c r="F4112" s="5" t="inlineStr">
        <is>
          <t>W컨셉</t>
        </is>
      </c>
      <c r="G4112" s="5" t="inlineStr">
        <is>
          <t>250ml 2set</t>
        </is>
      </c>
      <c r="H4112" s="7" t="n">
        <v>190801</v>
      </c>
      <c r="I4112" s="7" t="n">
        <v>190801</v>
      </c>
      <c r="J4112" s="94" t="n"/>
      <c r="K4112" s="149" t="n">
        <v>9</v>
      </c>
      <c r="L4112" s="7" t="n">
        <v>190801</v>
      </c>
      <c r="M4112" s="94">
        <f>VLOOKUP($Q4112,매칭테이블!$F:$I,2,0)*K4112</f>
        <v/>
      </c>
      <c r="N4112" s="94">
        <f>M4112-M4112*VLOOKUP($Q4112,매칭테이블!$F:$I,3,0)</f>
        <v/>
      </c>
      <c r="O4112" s="94">
        <f>VLOOKUP($Q4112,매칭테이블!$F:$I,4,0)*K4112</f>
        <v/>
      </c>
      <c r="P4112" s="148">
        <f>M4112/1.1</f>
        <v/>
      </c>
      <c r="Q4112" s="94">
        <f>F4112&amp;E4112&amp;G4112&amp;L4112</f>
        <v/>
      </c>
    </row>
    <row r="4113">
      <c r="A4113" s="94" t="n"/>
      <c r="B4113" s="128" t="n">
        <v>43796</v>
      </c>
      <c r="C4113" s="94">
        <f>TEXT(B4113,"aaa")</f>
        <v/>
      </c>
      <c r="D4113" s="94" t="n"/>
      <c r="E4113" s="6" t="inlineStr">
        <is>
          <t>토너</t>
        </is>
      </c>
      <c r="F4113" s="5" t="inlineStr">
        <is>
          <t>카페24</t>
        </is>
      </c>
      <c r="G4113" s="5" t="inlineStr">
        <is>
          <t>500ml</t>
        </is>
      </c>
      <c r="H4113" s="7" t="n">
        <v>190801</v>
      </c>
      <c r="I4113" s="7" t="n">
        <v>190801</v>
      </c>
      <c r="J4113" s="94" t="n"/>
      <c r="K4113" s="149" t="n">
        <v>17</v>
      </c>
      <c r="L4113" s="7" t="n">
        <v>190801</v>
      </c>
      <c r="M4113" s="94">
        <f>VLOOKUP($Q4113,매칭테이블!$F:$I,2,0)*K4113</f>
        <v/>
      </c>
      <c r="N4113" s="94">
        <f>M4113-M4113*VLOOKUP($Q4113,매칭테이블!$F:$I,3,0)</f>
        <v/>
      </c>
      <c r="O4113" s="94">
        <f>VLOOKUP($Q4113,매칭테이블!$F:$I,4,0)*K4113</f>
        <v/>
      </c>
      <c r="P4113" s="148">
        <f>M4113/1.1</f>
        <v/>
      </c>
      <c r="Q4113" s="94">
        <f>F4113&amp;E4113&amp;G4113&amp;L4113</f>
        <v/>
      </c>
    </row>
    <row r="4114">
      <c r="A4114" s="94" t="n"/>
      <c r="B4114" s="128" t="n">
        <v>43796</v>
      </c>
      <c r="C4114" s="94">
        <f>TEXT(B4114,"aaa")</f>
        <v/>
      </c>
      <c r="D4114" s="94" t="n"/>
      <c r="E4114" s="6" t="inlineStr">
        <is>
          <t>토너</t>
        </is>
      </c>
      <c r="F4114" s="5" t="inlineStr">
        <is>
          <t>카페24</t>
        </is>
      </c>
      <c r="G4114" s="5" t="inlineStr">
        <is>
          <t>250ml</t>
        </is>
      </c>
      <c r="H4114" s="7" t="n">
        <v>190801</v>
      </c>
      <c r="I4114" s="7" t="n">
        <v>190801</v>
      </c>
      <c r="J4114" s="94" t="n"/>
      <c r="K4114" s="149" t="n">
        <v>16</v>
      </c>
      <c r="L4114" s="7" t="n">
        <v>190801</v>
      </c>
      <c r="M4114" s="94">
        <f>VLOOKUP($Q4114,매칭테이블!$F:$I,2,0)*K4114</f>
        <v/>
      </c>
      <c r="N4114" s="94">
        <f>M4114-M4114*VLOOKUP($Q4114,매칭테이블!$F:$I,3,0)</f>
        <v/>
      </c>
      <c r="O4114" s="94">
        <f>VLOOKUP($Q4114,매칭테이블!$F:$I,4,0)*K4114</f>
        <v/>
      </c>
      <c r="P4114" s="148">
        <f>M4114/1.1</f>
        <v/>
      </c>
      <c r="Q4114" s="94">
        <f>F4114&amp;E4114&amp;G4114&amp;L4114</f>
        <v/>
      </c>
    </row>
    <row r="4115">
      <c r="A4115" s="94" t="n"/>
      <c r="B4115" s="128" t="n">
        <v>43796</v>
      </c>
      <c r="C4115" s="94">
        <f>TEXT(B4115,"aaa")</f>
        <v/>
      </c>
      <c r="D4115" s="94" t="n"/>
      <c r="E4115" s="6" t="inlineStr">
        <is>
          <t>토너</t>
        </is>
      </c>
      <c r="F4115" s="5" t="inlineStr">
        <is>
          <t>카페24</t>
        </is>
      </c>
      <c r="G4115" s="5" t="inlineStr">
        <is>
          <t>250ml 2set</t>
        </is>
      </c>
      <c r="H4115" s="7" t="n">
        <v>190801</v>
      </c>
      <c r="I4115" s="7" t="n">
        <v>190801</v>
      </c>
      <c r="J4115" s="94" t="n"/>
      <c r="K4115" s="149" t="n">
        <v>10</v>
      </c>
      <c r="L4115" s="7" t="n">
        <v>190801</v>
      </c>
      <c r="M4115" s="94">
        <f>VLOOKUP($Q4115,매칭테이블!$F:$I,2,0)*K4115</f>
        <v/>
      </c>
      <c r="N4115" s="94">
        <f>M4115-M4115*VLOOKUP($Q4115,매칭테이블!$F:$I,3,0)</f>
        <v/>
      </c>
      <c r="O4115" s="94">
        <f>VLOOKUP($Q4115,매칭테이블!$F:$I,4,0)*K4115</f>
        <v/>
      </c>
      <c r="P4115" s="148">
        <f>M4115/1.1</f>
        <v/>
      </c>
      <c r="Q4115" s="94">
        <f>F4115&amp;E4115&amp;G4115&amp;L4115</f>
        <v/>
      </c>
    </row>
    <row r="4116">
      <c r="A4116" s="94" t="n"/>
      <c r="B4116" s="128" t="n">
        <v>43797</v>
      </c>
      <c r="C4116" s="94">
        <f>TEXT(B4116,"aaa")</f>
        <v/>
      </c>
      <c r="D4116" s="94" t="n"/>
      <c r="E4116" s="6" t="inlineStr">
        <is>
          <t>토너</t>
        </is>
      </c>
      <c r="F4116" s="5" t="inlineStr">
        <is>
          <t>W컨셉</t>
        </is>
      </c>
      <c r="G4116" s="5" t="inlineStr">
        <is>
          <t>250ml</t>
        </is>
      </c>
      <c r="H4116" s="7" t="n">
        <v>190801</v>
      </c>
      <c r="I4116" s="7" t="n">
        <v>190801</v>
      </c>
      <c r="J4116" s="94" t="n"/>
      <c r="K4116" s="149" t="n">
        <v>1</v>
      </c>
      <c r="L4116" s="7" t="n">
        <v>190801</v>
      </c>
      <c r="M4116" s="94">
        <f>VLOOKUP($Q4116,매칭테이블!$F:$I,2,0)*K4116</f>
        <v/>
      </c>
      <c r="N4116" s="94">
        <f>M4116-M4116*VLOOKUP($Q4116,매칭테이블!$F:$I,3,0)</f>
        <v/>
      </c>
      <c r="O4116" s="94">
        <f>VLOOKUP($Q4116,매칭테이블!$F:$I,4,0)*K4116</f>
        <v/>
      </c>
      <c r="P4116" s="148">
        <f>M4116/1.1</f>
        <v/>
      </c>
      <c r="Q4116" s="94">
        <f>F4116&amp;E4116&amp;G4116&amp;L4116</f>
        <v/>
      </c>
    </row>
    <row r="4117">
      <c r="A4117" s="94" t="n"/>
      <c r="B4117" s="128" t="n">
        <v>43797</v>
      </c>
      <c r="C4117" s="94">
        <f>TEXT(B4117,"aaa")</f>
        <v/>
      </c>
      <c r="D4117" s="94" t="n"/>
      <c r="E4117" s="6" t="inlineStr">
        <is>
          <t>토너</t>
        </is>
      </c>
      <c r="F4117" s="5" t="inlineStr">
        <is>
          <t>카페24</t>
        </is>
      </c>
      <c r="G4117" s="5" t="inlineStr">
        <is>
          <t>500ml</t>
        </is>
      </c>
      <c r="H4117" s="7" t="n">
        <v>190801</v>
      </c>
      <c r="I4117" s="7" t="n">
        <v>190801</v>
      </c>
      <c r="J4117" s="94" t="n"/>
      <c r="K4117" s="149" t="n">
        <v>21</v>
      </c>
      <c r="L4117" s="7" t="n">
        <v>190801</v>
      </c>
      <c r="M4117" s="94">
        <f>VLOOKUP($Q4117,매칭테이블!$F:$I,2,0)*K4117</f>
        <v/>
      </c>
      <c r="N4117" s="94">
        <f>M4117-M4117*VLOOKUP($Q4117,매칭테이블!$F:$I,3,0)</f>
        <v/>
      </c>
      <c r="O4117" s="94">
        <f>VLOOKUP($Q4117,매칭테이블!$F:$I,4,0)*K4117</f>
        <v/>
      </c>
      <c r="P4117" s="148">
        <f>M4117/1.1</f>
        <v/>
      </c>
      <c r="Q4117" s="94">
        <f>F4117&amp;E4117&amp;G4117&amp;L4117</f>
        <v/>
      </c>
    </row>
    <row r="4118">
      <c r="A4118" s="94" t="n"/>
      <c r="B4118" s="128" t="n">
        <v>43797</v>
      </c>
      <c r="C4118" s="94">
        <f>TEXT(B4118,"aaa")</f>
        <v/>
      </c>
      <c r="D4118" s="94" t="n"/>
      <c r="E4118" s="6" t="inlineStr">
        <is>
          <t>토너</t>
        </is>
      </c>
      <c r="F4118" s="5" t="inlineStr">
        <is>
          <t>카페24</t>
        </is>
      </c>
      <c r="G4118" s="5" t="inlineStr">
        <is>
          <t>250ml</t>
        </is>
      </c>
      <c r="H4118" s="7" t="n">
        <v>190801</v>
      </c>
      <c r="I4118" s="7" t="n">
        <v>190801</v>
      </c>
      <c r="J4118" s="94" t="n"/>
      <c r="K4118" s="149" t="n">
        <v>23</v>
      </c>
      <c r="L4118" s="7" t="n">
        <v>190801</v>
      </c>
      <c r="M4118" s="94">
        <f>VLOOKUP($Q4118,매칭테이블!$F:$I,2,0)*K4118</f>
        <v/>
      </c>
      <c r="N4118" s="94">
        <f>M4118-M4118*VLOOKUP($Q4118,매칭테이블!$F:$I,3,0)</f>
        <v/>
      </c>
      <c r="O4118" s="94">
        <f>VLOOKUP($Q4118,매칭테이블!$F:$I,4,0)*K4118</f>
        <v/>
      </c>
      <c r="P4118" s="148">
        <f>M4118/1.1</f>
        <v/>
      </c>
      <c r="Q4118" s="94">
        <f>F4118&amp;E4118&amp;G4118&amp;L4118</f>
        <v/>
      </c>
    </row>
    <row r="4119">
      <c r="A4119" s="94" t="n"/>
      <c r="B4119" s="128" t="n">
        <v>43797</v>
      </c>
      <c r="C4119" s="94">
        <f>TEXT(B4119,"aaa")</f>
        <v/>
      </c>
      <c r="D4119" s="94" t="n"/>
      <c r="E4119" s="6" t="inlineStr">
        <is>
          <t>토너</t>
        </is>
      </c>
      <c r="F4119" s="5" t="inlineStr">
        <is>
          <t>카페24</t>
        </is>
      </c>
      <c r="G4119" s="5" t="inlineStr">
        <is>
          <t>250ml 2set</t>
        </is>
      </c>
      <c r="H4119" s="7" t="n">
        <v>190801</v>
      </c>
      <c r="I4119" s="7" t="n">
        <v>190801</v>
      </c>
      <c r="J4119" s="94" t="n"/>
      <c r="K4119" s="149" t="n">
        <v>15</v>
      </c>
      <c r="L4119" s="7" t="n">
        <v>190801</v>
      </c>
      <c r="M4119" s="94">
        <f>VLOOKUP($Q4119,매칭테이블!$F:$I,2,0)*K4119</f>
        <v/>
      </c>
      <c r="N4119" s="94">
        <f>M4119-M4119*VLOOKUP($Q4119,매칭테이블!$F:$I,3,0)</f>
        <v/>
      </c>
      <c r="O4119" s="94">
        <f>VLOOKUP($Q4119,매칭테이블!$F:$I,4,0)*K4119</f>
        <v/>
      </c>
      <c r="P4119" s="148">
        <f>M4119/1.1</f>
        <v/>
      </c>
      <c r="Q4119" s="94">
        <f>F4119&amp;E4119&amp;G4119&amp;L4119</f>
        <v/>
      </c>
    </row>
    <row r="4120">
      <c r="A4120" s="94" t="n"/>
      <c r="B4120" s="128" t="n">
        <v>43798</v>
      </c>
      <c r="C4120" s="94">
        <f>TEXT(B4120,"aaa")</f>
        <v/>
      </c>
      <c r="D4120" s="94" t="n"/>
      <c r="E4120" s="6" t="inlineStr">
        <is>
          <t>토너</t>
        </is>
      </c>
      <c r="F4120" s="5" t="inlineStr">
        <is>
          <t>W컨셉</t>
        </is>
      </c>
      <c r="G4120" s="5" t="inlineStr">
        <is>
          <t>250ml</t>
        </is>
      </c>
      <c r="H4120" s="7" t="n">
        <v>190801</v>
      </c>
      <c r="I4120" s="7" t="n">
        <v>190801</v>
      </c>
      <c r="J4120" s="94" t="n"/>
      <c r="K4120" s="149" t="n">
        <v>1</v>
      </c>
      <c r="L4120" s="7" t="n">
        <v>190801</v>
      </c>
      <c r="M4120" s="94">
        <f>VLOOKUP($Q4120,매칭테이블!$F:$I,2,0)*K4120</f>
        <v/>
      </c>
      <c r="N4120" s="94">
        <f>M4120-M4120*VLOOKUP($Q4120,매칭테이블!$F:$I,3,0)</f>
        <v/>
      </c>
      <c r="O4120" s="94">
        <f>VLOOKUP($Q4120,매칭테이블!$F:$I,4,0)*K4120</f>
        <v/>
      </c>
      <c r="P4120" s="148">
        <f>M4120/1.1</f>
        <v/>
      </c>
      <c r="Q4120" s="94">
        <f>F4120&amp;E4120&amp;G4120&amp;L4120</f>
        <v/>
      </c>
    </row>
    <row r="4121">
      <c r="A4121" s="94" t="n"/>
      <c r="B4121" s="128" t="n">
        <v>43798</v>
      </c>
      <c r="C4121" s="94">
        <f>TEXT(B4121,"aaa")</f>
        <v/>
      </c>
      <c r="D4121" s="94" t="n"/>
      <c r="E4121" s="6" t="inlineStr">
        <is>
          <t>토너</t>
        </is>
      </c>
      <c r="F4121" s="5" t="inlineStr">
        <is>
          <t>W컨셉</t>
        </is>
      </c>
      <c r="G4121" s="5" t="inlineStr">
        <is>
          <t>250ml 2set</t>
        </is>
      </c>
      <c r="H4121" s="7" t="n">
        <v>190801</v>
      </c>
      <c r="I4121" s="7" t="n">
        <v>190801</v>
      </c>
      <c r="J4121" s="94" t="n"/>
      <c r="K4121" s="149" t="n">
        <v>5</v>
      </c>
      <c r="L4121" s="7" t="n">
        <v>190801</v>
      </c>
      <c r="M4121" s="94">
        <f>VLOOKUP($Q4121,매칭테이블!$F:$I,2,0)*K4121</f>
        <v/>
      </c>
      <c r="N4121" s="94">
        <f>M4121-M4121*VLOOKUP($Q4121,매칭테이블!$F:$I,3,0)</f>
        <v/>
      </c>
      <c r="O4121" s="94">
        <f>VLOOKUP($Q4121,매칭테이블!$F:$I,4,0)*K4121</f>
        <v/>
      </c>
      <c r="P4121" s="148">
        <f>M4121/1.1</f>
        <v/>
      </c>
      <c r="Q4121" s="94">
        <f>F4121&amp;E4121&amp;G4121&amp;L4121</f>
        <v/>
      </c>
    </row>
    <row r="4122">
      <c r="A4122" s="94" t="n"/>
      <c r="B4122" s="128" t="n">
        <v>43798</v>
      </c>
      <c r="C4122" s="94">
        <f>TEXT(B4122,"aaa")</f>
        <v/>
      </c>
      <c r="D4122" s="94" t="n"/>
      <c r="E4122" s="6" t="inlineStr">
        <is>
          <t>토너</t>
        </is>
      </c>
      <c r="F4122" s="5" t="inlineStr">
        <is>
          <t>카페24</t>
        </is>
      </c>
      <c r="G4122" s="5" t="inlineStr">
        <is>
          <t>500ml</t>
        </is>
      </c>
      <c r="H4122" s="7" t="n">
        <v>190801</v>
      </c>
      <c r="I4122" s="7" t="n">
        <v>190801</v>
      </c>
      <c r="J4122" s="94" t="n"/>
      <c r="K4122" s="149" t="n">
        <v>10</v>
      </c>
      <c r="L4122" s="7" t="n">
        <v>190801</v>
      </c>
      <c r="M4122" s="94">
        <f>VLOOKUP($Q4122,매칭테이블!$F:$I,2,0)*K4122</f>
        <v/>
      </c>
      <c r="N4122" s="94">
        <f>M4122-M4122*VLOOKUP($Q4122,매칭테이블!$F:$I,3,0)</f>
        <v/>
      </c>
      <c r="O4122" s="94">
        <f>VLOOKUP($Q4122,매칭테이블!$F:$I,4,0)*K4122</f>
        <v/>
      </c>
      <c r="P4122" s="148">
        <f>M4122/1.1</f>
        <v/>
      </c>
      <c r="Q4122" s="94">
        <f>F4122&amp;E4122&amp;G4122&amp;L4122</f>
        <v/>
      </c>
    </row>
    <row r="4123">
      <c r="A4123" s="94" t="n"/>
      <c r="B4123" s="128" t="n">
        <v>43798</v>
      </c>
      <c r="C4123" s="94">
        <f>TEXT(B4123,"aaa")</f>
        <v/>
      </c>
      <c r="D4123" s="94" t="n"/>
      <c r="E4123" s="6" t="inlineStr">
        <is>
          <t>토너</t>
        </is>
      </c>
      <c r="F4123" s="5" t="inlineStr">
        <is>
          <t>카페24</t>
        </is>
      </c>
      <c r="G4123" s="5" t="inlineStr">
        <is>
          <t>250ml</t>
        </is>
      </c>
      <c r="H4123" s="7" t="n">
        <v>190801</v>
      </c>
      <c r="I4123" s="7" t="n">
        <v>190801</v>
      </c>
      <c r="J4123" s="94" t="n"/>
      <c r="K4123" s="149" t="n">
        <v>16</v>
      </c>
      <c r="L4123" s="7" t="n">
        <v>190801</v>
      </c>
      <c r="M4123" s="94">
        <f>VLOOKUP($Q4123,매칭테이블!$F:$I,2,0)*K4123</f>
        <v/>
      </c>
      <c r="N4123" s="94">
        <f>M4123-M4123*VLOOKUP($Q4123,매칭테이블!$F:$I,3,0)</f>
        <v/>
      </c>
      <c r="O4123" s="94">
        <f>VLOOKUP($Q4123,매칭테이블!$F:$I,4,0)*K4123</f>
        <v/>
      </c>
      <c r="P4123" s="148">
        <f>M4123/1.1</f>
        <v/>
      </c>
      <c r="Q4123" s="94">
        <f>F4123&amp;E4123&amp;G4123&amp;L4123</f>
        <v/>
      </c>
    </row>
    <row r="4124">
      <c r="A4124" s="94" t="n"/>
      <c r="B4124" s="128" t="n">
        <v>43798</v>
      </c>
      <c r="C4124" s="94">
        <f>TEXT(B4124,"aaa")</f>
        <v/>
      </c>
      <c r="D4124" s="94" t="n"/>
      <c r="E4124" s="6" t="inlineStr">
        <is>
          <t>토너</t>
        </is>
      </c>
      <c r="F4124" s="5" t="inlineStr">
        <is>
          <t>카페24</t>
        </is>
      </c>
      <c r="G4124" s="5" t="inlineStr">
        <is>
          <t>250ml 2set</t>
        </is>
      </c>
      <c r="H4124" s="7" t="n">
        <v>190801</v>
      </c>
      <c r="I4124" s="7" t="n">
        <v>190801</v>
      </c>
      <c r="J4124" s="94" t="n"/>
      <c r="K4124" s="149" t="n">
        <v>4</v>
      </c>
      <c r="L4124" s="7" t="n">
        <v>190801</v>
      </c>
      <c r="M4124" s="94">
        <f>VLOOKUP($Q4124,매칭테이블!$F:$I,2,0)*K4124</f>
        <v/>
      </c>
      <c r="N4124" s="94">
        <f>M4124-M4124*VLOOKUP($Q4124,매칭테이블!$F:$I,3,0)</f>
        <v/>
      </c>
      <c r="O4124" s="94">
        <f>VLOOKUP($Q4124,매칭테이블!$F:$I,4,0)*K4124</f>
        <v/>
      </c>
      <c r="P4124" s="148">
        <f>M4124/1.1</f>
        <v/>
      </c>
      <c r="Q4124" s="94">
        <f>F4124&amp;E4124&amp;G4124&amp;L4124</f>
        <v/>
      </c>
    </row>
    <row r="4125">
      <c r="A4125" s="94" t="n"/>
      <c r="B4125" s="128" t="n">
        <v>43799</v>
      </c>
      <c r="C4125" s="94">
        <f>TEXT(B4125,"aaa")</f>
        <v/>
      </c>
      <c r="D4125" s="94" t="n"/>
      <c r="E4125" s="6" t="inlineStr">
        <is>
          <t>토너</t>
        </is>
      </c>
      <c r="F4125" s="5" t="inlineStr">
        <is>
          <t>W컨셉</t>
        </is>
      </c>
      <c r="G4125" s="5" t="inlineStr">
        <is>
          <t>250ml 2set</t>
        </is>
      </c>
      <c r="H4125" s="7" t="n">
        <v>190801</v>
      </c>
      <c r="I4125" s="7" t="n">
        <v>190801</v>
      </c>
      <c r="J4125" s="94" t="n"/>
      <c r="K4125" s="149" t="n">
        <v>4</v>
      </c>
      <c r="L4125" s="7" t="n">
        <v>190801</v>
      </c>
      <c r="M4125" s="94">
        <f>VLOOKUP($Q4125,매칭테이블!$F:$I,2,0)*K4125</f>
        <v/>
      </c>
      <c r="N4125" s="94">
        <f>M4125-M4125*VLOOKUP($Q4125,매칭테이블!$F:$I,3,0)</f>
        <v/>
      </c>
      <c r="O4125" s="94">
        <f>VLOOKUP($Q4125,매칭테이블!$F:$I,4,0)*K4125</f>
        <v/>
      </c>
      <c r="P4125" s="148">
        <f>M4125/1.1</f>
        <v/>
      </c>
      <c r="Q4125" s="94">
        <f>F4125&amp;E4125&amp;G4125&amp;L4125</f>
        <v/>
      </c>
    </row>
    <row r="4126">
      <c r="A4126" s="94" t="n"/>
      <c r="B4126" s="128" t="n">
        <v>43799</v>
      </c>
      <c r="C4126" s="94">
        <f>TEXT(B4126,"aaa")</f>
        <v/>
      </c>
      <c r="D4126" s="94" t="n"/>
      <c r="E4126" s="6" t="inlineStr">
        <is>
          <t>토너</t>
        </is>
      </c>
      <c r="F4126" s="5" t="inlineStr">
        <is>
          <t>카페24</t>
        </is>
      </c>
      <c r="G4126" s="5" t="inlineStr">
        <is>
          <t>500ml</t>
        </is>
      </c>
      <c r="H4126" s="7" t="n">
        <v>190801</v>
      </c>
      <c r="I4126" s="7" t="n">
        <v>190801</v>
      </c>
      <c r="J4126" s="94" t="n"/>
      <c r="K4126" s="149" t="n">
        <v>10</v>
      </c>
      <c r="L4126" s="7" t="n">
        <v>190801</v>
      </c>
      <c r="M4126" s="94">
        <f>VLOOKUP($Q4126,매칭테이블!$F:$I,2,0)*K4126</f>
        <v/>
      </c>
      <c r="N4126" s="94">
        <f>M4126-M4126*VLOOKUP($Q4126,매칭테이블!$F:$I,3,0)</f>
        <v/>
      </c>
      <c r="O4126" s="94">
        <f>VLOOKUP($Q4126,매칭테이블!$F:$I,4,0)*K4126</f>
        <v/>
      </c>
      <c r="P4126" s="148">
        <f>M4126/1.1</f>
        <v/>
      </c>
      <c r="Q4126" s="94">
        <f>F4126&amp;E4126&amp;G4126&amp;L4126</f>
        <v/>
      </c>
    </row>
    <row r="4127">
      <c r="A4127" s="94" t="n"/>
      <c r="B4127" s="128" t="n">
        <v>43799</v>
      </c>
      <c r="C4127" s="94">
        <f>TEXT(B4127,"aaa")</f>
        <v/>
      </c>
      <c r="D4127" s="94" t="n"/>
      <c r="E4127" s="6" t="inlineStr">
        <is>
          <t>토너</t>
        </is>
      </c>
      <c r="F4127" s="5" t="inlineStr">
        <is>
          <t>카페24</t>
        </is>
      </c>
      <c r="G4127" s="5" t="inlineStr">
        <is>
          <t>250ml</t>
        </is>
      </c>
      <c r="H4127" s="7" t="n">
        <v>190801</v>
      </c>
      <c r="I4127" s="7" t="n">
        <v>190801</v>
      </c>
      <c r="J4127" s="94" t="n"/>
      <c r="K4127" s="149" t="n">
        <v>14</v>
      </c>
      <c r="L4127" s="7" t="n">
        <v>190801</v>
      </c>
      <c r="M4127" s="94">
        <f>VLOOKUP($Q4127,매칭테이블!$F:$I,2,0)*K4127</f>
        <v/>
      </c>
      <c r="N4127" s="94">
        <f>M4127-M4127*VLOOKUP($Q4127,매칭테이블!$F:$I,3,0)</f>
        <v/>
      </c>
      <c r="O4127" s="94">
        <f>VLOOKUP($Q4127,매칭테이블!$F:$I,4,0)*K4127</f>
        <v/>
      </c>
      <c r="P4127" s="148">
        <f>M4127/1.1</f>
        <v/>
      </c>
      <c r="Q4127" s="94">
        <f>F4127&amp;E4127&amp;G4127&amp;L4127</f>
        <v/>
      </c>
    </row>
    <row r="4128">
      <c r="A4128" s="94" t="n"/>
      <c r="B4128" s="128" t="n">
        <v>43799</v>
      </c>
      <c r="C4128" s="94">
        <f>TEXT(B4128,"aaa")</f>
        <v/>
      </c>
      <c r="D4128" s="94" t="n"/>
      <c r="E4128" s="6" t="inlineStr">
        <is>
          <t>토너</t>
        </is>
      </c>
      <c r="F4128" s="5" t="inlineStr">
        <is>
          <t>카페24</t>
        </is>
      </c>
      <c r="G4128" s="5" t="inlineStr">
        <is>
          <t>250ml 2set</t>
        </is>
      </c>
      <c r="H4128" s="7" t="n">
        <v>190801</v>
      </c>
      <c r="I4128" s="7" t="n">
        <v>190801</v>
      </c>
      <c r="J4128" s="94" t="n"/>
      <c r="K4128" s="149" t="n">
        <v>17</v>
      </c>
      <c r="L4128" s="7" t="n">
        <v>190801</v>
      </c>
      <c r="M4128" s="94">
        <f>VLOOKUP($Q4128,매칭테이블!$F:$I,2,0)*K4128</f>
        <v/>
      </c>
      <c r="N4128" s="94">
        <f>M4128-M4128*VLOOKUP($Q4128,매칭테이블!$F:$I,3,0)</f>
        <v/>
      </c>
      <c r="O4128" s="94">
        <f>VLOOKUP($Q4128,매칭테이블!$F:$I,4,0)*K4128</f>
        <v/>
      </c>
      <c r="P4128" s="148">
        <f>M4128/1.1</f>
        <v/>
      </c>
      <c r="Q4128" s="94">
        <f>F4128&amp;E4128&amp;G4128&amp;L4128</f>
        <v/>
      </c>
    </row>
    <row r="4129">
      <c r="A4129" s="94" t="n"/>
      <c r="B4129" s="128" t="n">
        <v>43800</v>
      </c>
      <c r="C4129" s="94">
        <f>TEXT(B4129,"aaa")</f>
        <v/>
      </c>
      <c r="D4129" s="94" t="n"/>
      <c r="E4129" s="6" t="inlineStr">
        <is>
          <t>토너</t>
        </is>
      </c>
      <c r="F4129" s="5" t="inlineStr">
        <is>
          <t>W컨셉</t>
        </is>
      </c>
      <c r="G4129" s="5" t="inlineStr">
        <is>
          <t>250ml</t>
        </is>
      </c>
      <c r="H4129" s="7" t="n">
        <v>190801</v>
      </c>
      <c r="I4129" s="7" t="n">
        <v>190801</v>
      </c>
      <c r="J4129" s="94" t="n"/>
      <c r="K4129" s="149" t="n">
        <v>1</v>
      </c>
      <c r="L4129" s="7" t="n">
        <v>190801</v>
      </c>
      <c r="M4129" s="94">
        <f>VLOOKUP($Q4129,매칭테이블!$F:$I,2,0)*K4129</f>
        <v/>
      </c>
      <c r="N4129" s="94">
        <f>M4129-M4129*VLOOKUP($Q4129,매칭테이블!$F:$I,3,0)</f>
        <v/>
      </c>
      <c r="O4129" s="94">
        <f>VLOOKUP($Q4129,매칭테이블!$F:$I,4,0)*K4129</f>
        <v/>
      </c>
      <c r="P4129" s="148">
        <f>M4129/1.1</f>
        <v/>
      </c>
      <c r="Q4129" s="94">
        <f>F4129&amp;E4129&amp;G4129&amp;L4129</f>
        <v/>
      </c>
    </row>
    <row r="4130">
      <c r="A4130" s="94" t="n"/>
      <c r="B4130" s="128" t="n">
        <v>43800</v>
      </c>
      <c r="C4130" s="94">
        <f>TEXT(B4130,"aaa")</f>
        <v/>
      </c>
      <c r="D4130" s="94" t="n"/>
      <c r="E4130" s="6" t="inlineStr">
        <is>
          <t>토너</t>
        </is>
      </c>
      <c r="F4130" s="5" t="inlineStr">
        <is>
          <t>W컨셉</t>
        </is>
      </c>
      <c r="G4130" s="5" t="inlineStr">
        <is>
          <t>250ml 2set</t>
        </is>
      </c>
      <c r="H4130" s="7" t="n">
        <v>190801</v>
      </c>
      <c r="I4130" s="7" t="n">
        <v>190801</v>
      </c>
      <c r="J4130" s="94" t="n"/>
      <c r="K4130" s="149" t="n">
        <v>1</v>
      </c>
      <c r="L4130" s="7" t="n">
        <v>190801</v>
      </c>
      <c r="M4130" s="94">
        <f>VLOOKUP($Q4130,매칭테이블!$F:$I,2,0)*K4130</f>
        <v/>
      </c>
      <c r="N4130" s="94">
        <f>M4130-M4130*VLOOKUP($Q4130,매칭테이블!$F:$I,3,0)</f>
        <v/>
      </c>
      <c r="O4130" s="94">
        <f>VLOOKUP($Q4130,매칭테이블!$F:$I,4,0)*K4130</f>
        <v/>
      </c>
      <c r="P4130" s="148">
        <f>M4130/1.1</f>
        <v/>
      </c>
      <c r="Q4130" s="94">
        <f>F4130&amp;E4130&amp;G4130&amp;L4130</f>
        <v/>
      </c>
    </row>
    <row r="4131">
      <c r="A4131" s="94" t="n"/>
      <c r="B4131" s="128" t="n">
        <v>43800</v>
      </c>
      <c r="C4131" s="94">
        <f>TEXT(B4131,"aaa")</f>
        <v/>
      </c>
      <c r="D4131" s="94" t="n"/>
      <c r="E4131" s="6" t="inlineStr">
        <is>
          <t>토너</t>
        </is>
      </c>
      <c r="F4131" s="5" t="inlineStr">
        <is>
          <t>카페24</t>
        </is>
      </c>
      <c r="G4131" s="5" t="inlineStr">
        <is>
          <t>500ml</t>
        </is>
      </c>
      <c r="H4131" s="7" t="n">
        <v>190801</v>
      </c>
      <c r="I4131" s="7" t="n">
        <v>190801</v>
      </c>
      <c r="J4131" s="94" t="n"/>
      <c r="K4131" s="149" t="n">
        <v>24</v>
      </c>
      <c r="L4131" s="7" t="n">
        <v>190801</v>
      </c>
      <c r="M4131" s="94">
        <f>VLOOKUP($Q4131,매칭테이블!$F:$I,2,0)*K4131</f>
        <v/>
      </c>
      <c r="N4131" s="94">
        <f>M4131-M4131*VLOOKUP($Q4131,매칭테이블!$F:$I,3,0)</f>
        <v/>
      </c>
      <c r="O4131" s="94">
        <f>VLOOKUP($Q4131,매칭테이블!$F:$I,4,0)*K4131</f>
        <v/>
      </c>
      <c r="P4131" s="148">
        <f>M4131/1.1</f>
        <v/>
      </c>
      <c r="Q4131" s="94">
        <f>F4131&amp;E4131&amp;G4131&amp;L4131</f>
        <v/>
      </c>
    </row>
    <row r="4132">
      <c r="A4132" s="94" t="n"/>
      <c r="B4132" s="128" t="n">
        <v>43800</v>
      </c>
      <c r="C4132" s="94">
        <f>TEXT(B4132,"aaa")</f>
        <v/>
      </c>
      <c r="D4132" s="94" t="n"/>
      <c r="E4132" s="6" t="inlineStr">
        <is>
          <t>토너</t>
        </is>
      </c>
      <c r="F4132" s="5" t="inlineStr">
        <is>
          <t>카페24</t>
        </is>
      </c>
      <c r="G4132" s="5" t="inlineStr">
        <is>
          <t>250ml</t>
        </is>
      </c>
      <c r="H4132" s="7" t="n">
        <v>190801</v>
      </c>
      <c r="I4132" s="7" t="n">
        <v>190801</v>
      </c>
      <c r="J4132" s="94" t="n"/>
      <c r="K4132" s="149" t="n">
        <v>18</v>
      </c>
      <c r="L4132" s="7" t="n">
        <v>190801</v>
      </c>
      <c r="M4132" s="94">
        <f>VLOOKUP($Q4132,매칭테이블!$F:$I,2,0)*K4132</f>
        <v/>
      </c>
      <c r="N4132" s="94">
        <f>M4132-M4132*VLOOKUP($Q4132,매칭테이블!$F:$I,3,0)</f>
        <v/>
      </c>
      <c r="O4132" s="94">
        <f>VLOOKUP($Q4132,매칭테이블!$F:$I,4,0)*K4132</f>
        <v/>
      </c>
      <c r="P4132" s="148">
        <f>M4132/1.1</f>
        <v/>
      </c>
      <c r="Q4132" s="94">
        <f>F4132&amp;E4132&amp;G4132&amp;L4132</f>
        <v/>
      </c>
    </row>
    <row r="4133">
      <c r="A4133" s="94" t="n"/>
      <c r="B4133" s="128" t="n">
        <v>43800</v>
      </c>
      <c r="C4133" s="94">
        <f>TEXT(B4133,"aaa")</f>
        <v/>
      </c>
      <c r="D4133" s="94" t="n"/>
      <c r="E4133" s="6" t="inlineStr">
        <is>
          <t>토너</t>
        </is>
      </c>
      <c r="F4133" s="5" t="inlineStr">
        <is>
          <t>카페24</t>
        </is>
      </c>
      <c r="G4133" s="5" t="inlineStr">
        <is>
          <t>250ml 2set</t>
        </is>
      </c>
      <c r="H4133" s="7" t="n">
        <v>190801</v>
      </c>
      <c r="I4133" s="7" t="n">
        <v>190801</v>
      </c>
      <c r="J4133" s="94" t="n"/>
      <c r="K4133" s="149" t="n">
        <v>12</v>
      </c>
      <c r="L4133" s="7" t="n">
        <v>190801</v>
      </c>
      <c r="M4133" s="94">
        <f>VLOOKUP($Q4133,매칭테이블!$F:$I,2,0)*K4133</f>
        <v/>
      </c>
      <c r="N4133" s="94">
        <f>M4133-M4133*VLOOKUP($Q4133,매칭테이블!$F:$I,3,0)</f>
        <v/>
      </c>
      <c r="O4133" s="94">
        <f>VLOOKUP($Q4133,매칭테이블!$F:$I,4,0)*K4133</f>
        <v/>
      </c>
      <c r="P4133" s="148">
        <f>M4133/1.1</f>
        <v/>
      </c>
      <c r="Q4133" s="94">
        <f>F4133&amp;E4133&amp;G4133&amp;L4133</f>
        <v/>
      </c>
    </row>
    <row r="4134">
      <c r="A4134" s="94" t="n"/>
      <c r="B4134" s="128" t="n">
        <v>43801</v>
      </c>
      <c r="C4134" s="94">
        <f>TEXT(B4134,"aaa")</f>
        <v/>
      </c>
      <c r="D4134" s="94" t="n"/>
      <c r="E4134" s="6" t="inlineStr">
        <is>
          <t>토너</t>
        </is>
      </c>
      <c r="F4134" s="5" t="inlineStr">
        <is>
          <t>W컨셉</t>
        </is>
      </c>
      <c r="G4134" s="5" t="inlineStr">
        <is>
          <t>250ml</t>
        </is>
      </c>
      <c r="H4134" s="7" t="n">
        <v>190801</v>
      </c>
      <c r="I4134" s="7" t="n">
        <v>190801</v>
      </c>
      <c r="J4134" s="94" t="n"/>
      <c r="K4134" s="149" t="n">
        <v>1</v>
      </c>
      <c r="L4134" s="7" t="n">
        <v>190801</v>
      </c>
      <c r="M4134" s="94">
        <f>VLOOKUP($Q4134,매칭테이블!$F:$I,2,0)*K4134</f>
        <v/>
      </c>
      <c r="N4134" s="94">
        <f>M4134-M4134*VLOOKUP($Q4134,매칭테이블!$F:$I,3,0)</f>
        <v/>
      </c>
      <c r="O4134" s="94">
        <f>VLOOKUP($Q4134,매칭테이블!$F:$I,4,0)*K4134</f>
        <v/>
      </c>
      <c r="P4134" s="148">
        <f>M4134/1.1</f>
        <v/>
      </c>
      <c r="Q4134" s="94">
        <f>F4134&amp;E4134&amp;G4134&amp;L4134</f>
        <v/>
      </c>
    </row>
    <row r="4135">
      <c r="A4135" s="94" t="n"/>
      <c r="B4135" s="128" t="n">
        <v>43801</v>
      </c>
      <c r="C4135" s="94">
        <f>TEXT(B4135,"aaa")</f>
        <v/>
      </c>
      <c r="D4135" s="94" t="n"/>
      <c r="E4135" s="6" t="inlineStr">
        <is>
          <t>토너</t>
        </is>
      </c>
      <c r="F4135" s="5" t="inlineStr">
        <is>
          <t>W컨셉</t>
        </is>
      </c>
      <c r="G4135" s="5" t="inlineStr">
        <is>
          <t>250ml 2set</t>
        </is>
      </c>
      <c r="H4135" s="7" t="n">
        <v>190801</v>
      </c>
      <c r="I4135" s="7" t="n">
        <v>190801</v>
      </c>
      <c r="J4135" s="94" t="n"/>
      <c r="K4135" s="149" t="n">
        <v>3</v>
      </c>
      <c r="L4135" s="7" t="n">
        <v>190801</v>
      </c>
      <c r="M4135" s="94">
        <f>VLOOKUP($Q4135,매칭테이블!$F:$I,2,0)*K4135</f>
        <v/>
      </c>
      <c r="N4135" s="94">
        <f>M4135-M4135*VLOOKUP($Q4135,매칭테이블!$F:$I,3,0)</f>
        <v/>
      </c>
      <c r="O4135" s="94">
        <f>VLOOKUP($Q4135,매칭테이블!$F:$I,4,0)*K4135</f>
        <v/>
      </c>
      <c r="P4135" s="148">
        <f>M4135/1.1</f>
        <v/>
      </c>
      <c r="Q4135" s="94">
        <f>F4135&amp;E4135&amp;G4135&amp;L4135</f>
        <v/>
      </c>
    </row>
    <row r="4136">
      <c r="A4136" s="94" t="n"/>
      <c r="B4136" s="128" t="n">
        <v>43801</v>
      </c>
      <c r="C4136" s="94">
        <f>TEXT(B4136,"aaa")</f>
        <v/>
      </c>
      <c r="D4136" s="94" t="n"/>
      <c r="E4136" s="6" t="inlineStr">
        <is>
          <t>토너</t>
        </is>
      </c>
      <c r="F4136" s="5" t="inlineStr">
        <is>
          <t>카페24</t>
        </is>
      </c>
      <c r="G4136" s="5" t="inlineStr">
        <is>
          <t>500ml</t>
        </is>
      </c>
      <c r="H4136" s="7" t="n">
        <v>190801</v>
      </c>
      <c r="I4136" s="7" t="n">
        <v>190801</v>
      </c>
      <c r="J4136" s="94" t="n"/>
      <c r="K4136" s="149" t="n">
        <v>22</v>
      </c>
      <c r="L4136" s="7" t="n">
        <v>190801</v>
      </c>
      <c r="M4136" s="94">
        <f>VLOOKUP($Q4136,매칭테이블!$F:$I,2,0)*K4136</f>
        <v/>
      </c>
      <c r="N4136" s="94">
        <f>M4136-M4136*VLOOKUP($Q4136,매칭테이블!$F:$I,3,0)</f>
        <v/>
      </c>
      <c r="O4136" s="94">
        <f>VLOOKUP($Q4136,매칭테이블!$F:$I,4,0)*K4136</f>
        <v/>
      </c>
      <c r="P4136" s="148">
        <f>M4136/1.1</f>
        <v/>
      </c>
      <c r="Q4136" s="94">
        <f>F4136&amp;E4136&amp;G4136&amp;L4136</f>
        <v/>
      </c>
    </row>
    <row r="4137">
      <c r="A4137" s="94" t="n"/>
      <c r="B4137" s="128" t="n">
        <v>43801</v>
      </c>
      <c r="C4137" s="94">
        <f>TEXT(B4137,"aaa")</f>
        <v/>
      </c>
      <c r="D4137" s="94" t="n"/>
      <c r="E4137" s="6" t="inlineStr">
        <is>
          <t>토너</t>
        </is>
      </c>
      <c r="F4137" s="5" t="inlineStr">
        <is>
          <t>카페24</t>
        </is>
      </c>
      <c r="G4137" s="5" t="inlineStr">
        <is>
          <t>250ml</t>
        </is>
      </c>
      <c r="H4137" s="7" t="n">
        <v>190801</v>
      </c>
      <c r="I4137" s="7" t="n">
        <v>190801</v>
      </c>
      <c r="J4137" s="94" t="n"/>
      <c r="K4137" s="149" t="n">
        <v>34</v>
      </c>
      <c r="L4137" s="7" t="n">
        <v>190801</v>
      </c>
      <c r="M4137" s="94">
        <f>VLOOKUP($Q4137,매칭테이블!$F:$I,2,0)*K4137</f>
        <v/>
      </c>
      <c r="N4137" s="94">
        <f>M4137-M4137*VLOOKUP($Q4137,매칭테이블!$F:$I,3,0)</f>
        <v/>
      </c>
      <c r="O4137" s="94">
        <f>VLOOKUP($Q4137,매칭테이블!$F:$I,4,0)*K4137</f>
        <v/>
      </c>
      <c r="P4137" s="148">
        <f>M4137/1.1</f>
        <v/>
      </c>
      <c r="Q4137" s="94">
        <f>F4137&amp;E4137&amp;G4137&amp;L4137</f>
        <v/>
      </c>
    </row>
    <row r="4138">
      <c r="A4138" s="94" t="n"/>
      <c r="B4138" s="128" t="n">
        <v>43801</v>
      </c>
      <c r="C4138" s="94">
        <f>TEXT(B4138,"aaa")</f>
        <v/>
      </c>
      <c r="D4138" s="94" t="n"/>
      <c r="E4138" s="6" t="inlineStr">
        <is>
          <t>토너</t>
        </is>
      </c>
      <c r="F4138" s="5" t="inlineStr">
        <is>
          <t>카페24</t>
        </is>
      </c>
      <c r="G4138" s="5" t="inlineStr">
        <is>
          <t>250ml 2set</t>
        </is>
      </c>
      <c r="H4138" s="7" t="n">
        <v>190801</v>
      </c>
      <c r="I4138" s="7" t="n">
        <v>190801</v>
      </c>
      <c r="J4138" s="94" t="n"/>
      <c r="K4138" s="149" t="n">
        <v>29</v>
      </c>
      <c r="L4138" s="7" t="n">
        <v>190801</v>
      </c>
      <c r="M4138" s="94">
        <f>VLOOKUP($Q4138,매칭테이블!$F:$I,2,0)*K4138</f>
        <v/>
      </c>
      <c r="N4138" s="94">
        <f>M4138-M4138*VLOOKUP($Q4138,매칭테이블!$F:$I,3,0)</f>
        <v/>
      </c>
      <c r="O4138" s="94">
        <f>VLOOKUP($Q4138,매칭테이블!$F:$I,4,0)*K4138</f>
        <v/>
      </c>
      <c r="P4138" s="148">
        <f>M4138/1.1</f>
        <v/>
      </c>
      <c r="Q4138" s="94">
        <f>F4138&amp;E4138&amp;G4138&amp;L4138</f>
        <v/>
      </c>
    </row>
    <row r="4139">
      <c r="A4139" s="94" t="n"/>
      <c r="B4139" s="128" t="n">
        <v>43802</v>
      </c>
      <c r="C4139" s="94">
        <f>TEXT(B4139,"aaa")</f>
        <v/>
      </c>
      <c r="D4139" s="94" t="n"/>
      <c r="E4139" s="6" t="inlineStr">
        <is>
          <t>토너</t>
        </is>
      </c>
      <c r="F4139" s="5" t="inlineStr">
        <is>
          <t>W컨셉</t>
        </is>
      </c>
      <c r="G4139" s="5" t="inlineStr">
        <is>
          <t>250ml</t>
        </is>
      </c>
      <c r="H4139" s="7" t="n">
        <v>190801</v>
      </c>
      <c r="I4139" s="7" t="n">
        <v>190801</v>
      </c>
      <c r="J4139" s="94" t="n"/>
      <c r="K4139" s="149" t="n">
        <v>2</v>
      </c>
      <c r="L4139" s="7" t="n">
        <v>190801</v>
      </c>
      <c r="M4139" s="94">
        <f>VLOOKUP($Q4139,매칭테이블!$F:$I,2,0)*K4139</f>
        <v/>
      </c>
      <c r="N4139" s="94">
        <f>M4139-M4139*VLOOKUP($Q4139,매칭테이블!$F:$I,3,0)</f>
        <v/>
      </c>
      <c r="O4139" s="94">
        <f>VLOOKUP($Q4139,매칭테이블!$F:$I,4,0)*K4139</f>
        <v/>
      </c>
      <c r="P4139" s="148">
        <f>M4139/1.1</f>
        <v/>
      </c>
      <c r="Q4139" s="94">
        <f>F4139&amp;E4139&amp;G4139&amp;L4139</f>
        <v/>
      </c>
    </row>
    <row r="4140">
      <c r="A4140" s="94" t="n"/>
      <c r="B4140" s="128" t="n">
        <v>43802</v>
      </c>
      <c r="C4140" s="94">
        <f>TEXT(B4140,"aaa")</f>
        <v/>
      </c>
      <c r="D4140" s="94" t="n"/>
      <c r="E4140" s="6" t="inlineStr">
        <is>
          <t>토너</t>
        </is>
      </c>
      <c r="F4140" s="5" t="inlineStr">
        <is>
          <t>W컨셉</t>
        </is>
      </c>
      <c r="G4140" s="5" t="inlineStr">
        <is>
          <t>250ml 2set</t>
        </is>
      </c>
      <c r="H4140" s="7" t="n">
        <v>190801</v>
      </c>
      <c r="I4140" s="7" t="n">
        <v>190801</v>
      </c>
      <c r="J4140" s="94" t="n"/>
      <c r="K4140" s="149" t="n">
        <v>1</v>
      </c>
      <c r="L4140" s="7" t="n">
        <v>190801</v>
      </c>
      <c r="M4140" s="94">
        <f>VLOOKUP($Q4140,매칭테이블!$F:$I,2,0)*K4140</f>
        <v/>
      </c>
      <c r="N4140" s="94">
        <f>M4140-M4140*VLOOKUP($Q4140,매칭테이블!$F:$I,3,0)</f>
        <v/>
      </c>
      <c r="O4140" s="94">
        <f>VLOOKUP($Q4140,매칭테이블!$F:$I,4,0)*K4140</f>
        <v/>
      </c>
      <c r="P4140" s="148">
        <f>M4140/1.1</f>
        <v/>
      </c>
      <c r="Q4140" s="94">
        <f>F4140&amp;E4140&amp;G4140&amp;L4140</f>
        <v/>
      </c>
    </row>
    <row r="4141">
      <c r="A4141" s="94" t="n"/>
      <c r="B4141" s="128" t="n">
        <v>43802</v>
      </c>
      <c r="C4141" s="94">
        <f>TEXT(B4141,"aaa")</f>
        <v/>
      </c>
      <c r="D4141" s="94" t="n"/>
      <c r="E4141" s="6" t="inlineStr">
        <is>
          <t>토너</t>
        </is>
      </c>
      <c r="F4141" s="5" t="inlineStr">
        <is>
          <t>카페24</t>
        </is>
      </c>
      <c r="G4141" s="5" t="inlineStr">
        <is>
          <t>500ml</t>
        </is>
      </c>
      <c r="H4141" s="7" t="n">
        <v>190801</v>
      </c>
      <c r="I4141" s="7" t="n">
        <v>190801</v>
      </c>
      <c r="J4141" s="94" t="n"/>
      <c r="K4141" s="149" t="n">
        <v>32</v>
      </c>
      <c r="L4141" s="7" t="n">
        <v>190801</v>
      </c>
      <c r="M4141" s="94">
        <f>VLOOKUP($Q4141,매칭테이블!$F:$I,2,0)*K4141</f>
        <v/>
      </c>
      <c r="N4141" s="94">
        <f>M4141-M4141*VLOOKUP($Q4141,매칭테이블!$F:$I,3,0)</f>
        <v/>
      </c>
      <c r="O4141" s="94">
        <f>VLOOKUP($Q4141,매칭테이블!$F:$I,4,0)*K4141</f>
        <v/>
      </c>
      <c r="P4141" s="148">
        <f>M4141/1.1</f>
        <v/>
      </c>
      <c r="Q4141" s="94">
        <f>F4141&amp;E4141&amp;G4141&amp;L4141</f>
        <v/>
      </c>
    </row>
    <row r="4142">
      <c r="A4142" s="94" t="n"/>
      <c r="B4142" s="128" t="n">
        <v>43802</v>
      </c>
      <c r="C4142" s="94">
        <f>TEXT(B4142,"aaa")</f>
        <v/>
      </c>
      <c r="D4142" s="94" t="n"/>
      <c r="E4142" s="6" t="inlineStr">
        <is>
          <t>토너</t>
        </is>
      </c>
      <c r="F4142" s="5" t="inlineStr">
        <is>
          <t>카페24</t>
        </is>
      </c>
      <c r="G4142" s="5" t="inlineStr">
        <is>
          <t>250ml</t>
        </is>
      </c>
      <c r="H4142" s="7" t="n">
        <v>190801</v>
      </c>
      <c r="I4142" s="7" t="n">
        <v>190801</v>
      </c>
      <c r="J4142" s="94" t="n"/>
      <c r="K4142" s="149" t="n">
        <v>19</v>
      </c>
      <c r="L4142" s="7" t="n">
        <v>190801</v>
      </c>
      <c r="M4142" s="94">
        <f>VLOOKUP($Q4142,매칭테이블!$F:$I,2,0)*K4142</f>
        <v/>
      </c>
      <c r="N4142" s="94">
        <f>M4142-M4142*VLOOKUP($Q4142,매칭테이블!$F:$I,3,0)</f>
        <v/>
      </c>
      <c r="O4142" s="94">
        <f>VLOOKUP($Q4142,매칭테이블!$F:$I,4,0)*K4142</f>
        <v/>
      </c>
      <c r="P4142" s="148">
        <f>M4142/1.1</f>
        <v/>
      </c>
      <c r="Q4142" s="94">
        <f>F4142&amp;E4142&amp;G4142&amp;L4142</f>
        <v/>
      </c>
    </row>
    <row r="4143">
      <c r="A4143" s="94" t="n"/>
      <c r="B4143" s="128" t="n">
        <v>43802</v>
      </c>
      <c r="C4143" s="94">
        <f>TEXT(B4143,"aaa")</f>
        <v/>
      </c>
      <c r="D4143" s="94" t="n"/>
      <c r="E4143" s="6" t="inlineStr">
        <is>
          <t>토너</t>
        </is>
      </c>
      <c r="F4143" s="5" t="inlineStr">
        <is>
          <t>카페24</t>
        </is>
      </c>
      <c r="G4143" s="5" t="inlineStr">
        <is>
          <t>250ml 2set</t>
        </is>
      </c>
      <c r="H4143" s="7" t="n">
        <v>190801</v>
      </c>
      <c r="I4143" s="7" t="n">
        <v>190801</v>
      </c>
      <c r="J4143" s="94" t="n"/>
      <c r="K4143" s="149" t="n">
        <v>21</v>
      </c>
      <c r="L4143" s="7" t="n">
        <v>190801</v>
      </c>
      <c r="M4143" s="94">
        <f>VLOOKUP($Q4143,매칭테이블!$F:$I,2,0)*K4143</f>
        <v/>
      </c>
      <c r="N4143" s="94">
        <f>M4143-M4143*VLOOKUP($Q4143,매칭테이블!$F:$I,3,0)</f>
        <v/>
      </c>
      <c r="O4143" s="94">
        <f>VLOOKUP($Q4143,매칭테이블!$F:$I,4,0)*K4143</f>
        <v/>
      </c>
      <c r="P4143" s="148">
        <f>M4143/1.1</f>
        <v/>
      </c>
      <c r="Q4143" s="94">
        <f>F4143&amp;E4143&amp;G4143&amp;L4143</f>
        <v/>
      </c>
    </row>
    <row r="4144">
      <c r="A4144" s="94" t="n"/>
      <c r="B4144" s="128" t="n">
        <v>43803</v>
      </c>
      <c r="C4144" s="94">
        <f>TEXT(B4144,"aaa")</f>
        <v/>
      </c>
      <c r="D4144" s="94" t="n"/>
      <c r="E4144" s="6" t="inlineStr">
        <is>
          <t>토너</t>
        </is>
      </c>
      <c r="F4144" s="5" t="inlineStr">
        <is>
          <t>카페24</t>
        </is>
      </c>
      <c r="G4144" s="5" t="inlineStr">
        <is>
          <t>500ml</t>
        </is>
      </c>
      <c r="H4144" s="7" t="n">
        <v>190801</v>
      </c>
      <c r="I4144" s="7" t="n">
        <v>190801</v>
      </c>
      <c r="J4144" s="94" t="n"/>
      <c r="K4144" s="149" t="n">
        <v>15</v>
      </c>
      <c r="L4144" s="7" t="n">
        <v>190801</v>
      </c>
      <c r="M4144" s="94">
        <f>VLOOKUP($Q4144,매칭테이블!$F:$I,2,0)*K4144</f>
        <v/>
      </c>
      <c r="N4144" s="94">
        <f>M4144-M4144*VLOOKUP($Q4144,매칭테이블!$F:$I,3,0)</f>
        <v/>
      </c>
      <c r="O4144" s="94">
        <f>VLOOKUP($Q4144,매칭테이블!$F:$I,4,0)*K4144</f>
        <v/>
      </c>
      <c r="P4144" s="148">
        <f>M4144/1.1</f>
        <v/>
      </c>
      <c r="Q4144" s="94">
        <f>F4144&amp;E4144&amp;G4144&amp;L4144</f>
        <v/>
      </c>
    </row>
    <row r="4145">
      <c r="A4145" s="94" t="n"/>
      <c r="B4145" s="128" t="n">
        <v>43803</v>
      </c>
      <c r="C4145" s="94">
        <f>TEXT(B4145,"aaa")</f>
        <v/>
      </c>
      <c r="D4145" s="94" t="n"/>
      <c r="E4145" s="6" t="inlineStr">
        <is>
          <t>토너</t>
        </is>
      </c>
      <c r="F4145" s="5" t="inlineStr">
        <is>
          <t>카페24</t>
        </is>
      </c>
      <c r="G4145" s="5" t="inlineStr">
        <is>
          <t>250ml</t>
        </is>
      </c>
      <c r="H4145" s="7" t="n">
        <v>190801</v>
      </c>
      <c r="I4145" s="7" t="n">
        <v>190801</v>
      </c>
      <c r="J4145" s="94" t="n"/>
      <c r="K4145" s="149" t="n">
        <v>22</v>
      </c>
      <c r="L4145" s="7" t="n">
        <v>190801</v>
      </c>
      <c r="M4145" s="94">
        <f>VLOOKUP($Q4145,매칭테이블!$F:$I,2,0)*K4145</f>
        <v/>
      </c>
      <c r="N4145" s="94">
        <f>M4145-M4145*VLOOKUP($Q4145,매칭테이블!$F:$I,3,0)</f>
        <v/>
      </c>
      <c r="O4145" s="94">
        <f>VLOOKUP($Q4145,매칭테이블!$F:$I,4,0)*K4145</f>
        <v/>
      </c>
      <c r="P4145" s="148">
        <f>M4145/1.1</f>
        <v/>
      </c>
      <c r="Q4145" s="94">
        <f>F4145&amp;E4145&amp;G4145&amp;L4145</f>
        <v/>
      </c>
    </row>
    <row r="4146">
      <c r="A4146" s="94" t="n"/>
      <c r="B4146" s="128" t="n">
        <v>43803</v>
      </c>
      <c r="C4146" s="94">
        <f>TEXT(B4146,"aaa")</f>
        <v/>
      </c>
      <c r="D4146" s="94" t="n"/>
      <c r="E4146" s="6" t="inlineStr">
        <is>
          <t>토너</t>
        </is>
      </c>
      <c r="F4146" s="5" t="inlineStr">
        <is>
          <t>카페24</t>
        </is>
      </c>
      <c r="G4146" s="5" t="inlineStr">
        <is>
          <t>250ml 2set</t>
        </is>
      </c>
      <c r="H4146" s="7" t="n">
        <v>190801</v>
      </c>
      <c r="I4146" s="7" t="n">
        <v>190801</v>
      </c>
      <c r="J4146" s="94" t="n"/>
      <c r="K4146" s="149" t="n">
        <v>18</v>
      </c>
      <c r="L4146" s="7" t="n">
        <v>190801</v>
      </c>
      <c r="M4146" s="94">
        <f>VLOOKUP($Q4146,매칭테이블!$F:$I,2,0)*K4146</f>
        <v/>
      </c>
      <c r="N4146" s="94">
        <f>M4146-M4146*VLOOKUP($Q4146,매칭테이블!$F:$I,3,0)</f>
        <v/>
      </c>
      <c r="O4146" s="94">
        <f>VLOOKUP($Q4146,매칭테이블!$F:$I,4,0)*K4146</f>
        <v/>
      </c>
      <c r="P4146" s="148">
        <f>M4146/1.1</f>
        <v/>
      </c>
      <c r="Q4146" s="94">
        <f>F4146&amp;E4146&amp;G4146&amp;L4146</f>
        <v/>
      </c>
    </row>
    <row r="4147">
      <c r="A4147" s="94" t="n"/>
      <c r="B4147" s="128" t="n">
        <v>43804</v>
      </c>
      <c r="C4147" s="94">
        <f>TEXT(B4147,"aaa")</f>
        <v/>
      </c>
      <c r="D4147" s="94" t="n"/>
      <c r="E4147" s="6" t="inlineStr">
        <is>
          <t>토너</t>
        </is>
      </c>
      <c r="F4147" s="5" t="inlineStr">
        <is>
          <t>W컨셉</t>
        </is>
      </c>
      <c r="G4147" s="5" t="inlineStr">
        <is>
          <t>250ml</t>
        </is>
      </c>
      <c r="H4147" s="7" t="n">
        <v>190801</v>
      </c>
      <c r="I4147" s="7" t="n">
        <v>190801</v>
      </c>
      <c r="J4147" s="94" t="n"/>
      <c r="K4147" s="149" t="n">
        <v>1</v>
      </c>
      <c r="L4147" s="7" t="n">
        <v>190801</v>
      </c>
      <c r="M4147" s="94">
        <f>VLOOKUP($Q4147,매칭테이블!$F:$I,2,0)*K4147</f>
        <v/>
      </c>
      <c r="N4147" s="94">
        <f>M4147-M4147*VLOOKUP($Q4147,매칭테이블!$F:$I,3,0)</f>
        <v/>
      </c>
      <c r="O4147" s="94">
        <f>VLOOKUP($Q4147,매칭테이블!$F:$I,4,0)*K4147</f>
        <v/>
      </c>
      <c r="P4147" s="148">
        <f>M4147/1.1</f>
        <v/>
      </c>
      <c r="Q4147" s="94">
        <f>F4147&amp;E4147&amp;G4147&amp;L4147</f>
        <v/>
      </c>
    </row>
    <row r="4148">
      <c r="A4148" s="94" t="n"/>
      <c r="B4148" s="128" t="n">
        <v>43804</v>
      </c>
      <c r="C4148" s="94">
        <f>TEXT(B4148,"aaa")</f>
        <v/>
      </c>
      <c r="D4148" s="94" t="n"/>
      <c r="E4148" s="6" t="inlineStr">
        <is>
          <t>토너</t>
        </is>
      </c>
      <c r="F4148" s="5" t="inlineStr">
        <is>
          <t>W컨셉</t>
        </is>
      </c>
      <c r="G4148" s="5" t="inlineStr">
        <is>
          <t>250ml 2set</t>
        </is>
      </c>
      <c r="H4148" s="7" t="n">
        <v>190801</v>
      </c>
      <c r="I4148" s="7" t="n">
        <v>190801</v>
      </c>
      <c r="J4148" s="94" t="n"/>
      <c r="K4148" s="149" t="n">
        <v>4</v>
      </c>
      <c r="L4148" s="7" t="n">
        <v>190801</v>
      </c>
      <c r="M4148" s="94">
        <f>VLOOKUP($Q4148,매칭테이블!$F:$I,2,0)*K4148</f>
        <v/>
      </c>
      <c r="N4148" s="94">
        <f>M4148-M4148*VLOOKUP($Q4148,매칭테이블!$F:$I,3,0)</f>
        <v/>
      </c>
      <c r="O4148" s="94">
        <f>VLOOKUP($Q4148,매칭테이블!$F:$I,4,0)*K4148</f>
        <v/>
      </c>
      <c r="P4148" s="148">
        <f>M4148/1.1</f>
        <v/>
      </c>
      <c r="Q4148" s="94">
        <f>F4148&amp;E4148&amp;G4148&amp;L4148</f>
        <v/>
      </c>
    </row>
    <row r="4149">
      <c r="A4149" s="94" t="n"/>
      <c r="B4149" s="128" t="n">
        <v>43804</v>
      </c>
      <c r="C4149" s="94">
        <f>TEXT(B4149,"aaa")</f>
        <v/>
      </c>
      <c r="D4149" s="94" t="n"/>
      <c r="E4149" s="6" t="inlineStr">
        <is>
          <t>토너</t>
        </is>
      </c>
      <c r="F4149" s="5" t="inlineStr">
        <is>
          <t>카페24</t>
        </is>
      </c>
      <c r="G4149" s="5" t="inlineStr">
        <is>
          <t>500ml</t>
        </is>
      </c>
      <c r="H4149" s="7" t="n">
        <v>190801</v>
      </c>
      <c r="I4149" s="7" t="n">
        <v>190801</v>
      </c>
      <c r="J4149" s="94" t="n"/>
      <c r="K4149" s="149" t="n">
        <v>18</v>
      </c>
      <c r="L4149" s="7" t="n">
        <v>190801</v>
      </c>
      <c r="M4149" s="94">
        <f>VLOOKUP($Q4149,매칭테이블!$F:$I,2,0)*K4149</f>
        <v/>
      </c>
      <c r="N4149" s="94">
        <f>M4149-M4149*VLOOKUP($Q4149,매칭테이블!$F:$I,3,0)</f>
        <v/>
      </c>
      <c r="O4149" s="94">
        <f>VLOOKUP($Q4149,매칭테이블!$F:$I,4,0)*K4149</f>
        <v/>
      </c>
      <c r="P4149" s="148">
        <f>M4149/1.1</f>
        <v/>
      </c>
      <c r="Q4149" s="94">
        <f>F4149&amp;E4149&amp;G4149&amp;L4149</f>
        <v/>
      </c>
    </row>
    <row r="4150">
      <c r="A4150" s="94" t="n"/>
      <c r="B4150" s="128" t="n">
        <v>43804</v>
      </c>
      <c r="C4150" s="94">
        <f>TEXT(B4150,"aaa")</f>
        <v/>
      </c>
      <c r="D4150" s="94" t="n"/>
      <c r="E4150" s="6" t="inlineStr">
        <is>
          <t>토너</t>
        </is>
      </c>
      <c r="F4150" s="5" t="inlineStr">
        <is>
          <t>카페24</t>
        </is>
      </c>
      <c r="G4150" s="5" t="inlineStr">
        <is>
          <t>250ml</t>
        </is>
      </c>
      <c r="H4150" s="7" t="n">
        <v>190801</v>
      </c>
      <c r="I4150" s="7" t="n">
        <v>190801</v>
      </c>
      <c r="J4150" s="94" t="n"/>
      <c r="K4150" s="149" t="n">
        <v>22</v>
      </c>
      <c r="L4150" s="7" t="n">
        <v>190801</v>
      </c>
      <c r="M4150" s="94">
        <f>VLOOKUP($Q4150,매칭테이블!$F:$I,2,0)*K4150</f>
        <v/>
      </c>
      <c r="N4150" s="94">
        <f>M4150-M4150*VLOOKUP($Q4150,매칭테이블!$F:$I,3,0)</f>
        <v/>
      </c>
      <c r="O4150" s="94">
        <f>VLOOKUP($Q4150,매칭테이블!$F:$I,4,0)*K4150</f>
        <v/>
      </c>
      <c r="P4150" s="148">
        <f>M4150/1.1</f>
        <v/>
      </c>
      <c r="Q4150" s="94">
        <f>F4150&amp;E4150&amp;G4150&amp;L4150</f>
        <v/>
      </c>
    </row>
    <row r="4151">
      <c r="A4151" s="94" t="n"/>
      <c r="B4151" s="128" t="n">
        <v>43804</v>
      </c>
      <c r="C4151" s="94">
        <f>TEXT(B4151,"aaa")</f>
        <v/>
      </c>
      <c r="D4151" s="94" t="n"/>
      <c r="E4151" s="6" t="inlineStr">
        <is>
          <t>토너</t>
        </is>
      </c>
      <c r="F4151" s="5" t="inlineStr">
        <is>
          <t>카페24</t>
        </is>
      </c>
      <c r="G4151" s="5" t="inlineStr">
        <is>
          <t>250ml 2set</t>
        </is>
      </c>
      <c r="H4151" s="7" t="n">
        <v>190801</v>
      </c>
      <c r="I4151" s="7" t="n">
        <v>190801</v>
      </c>
      <c r="J4151" s="94" t="n"/>
      <c r="K4151" s="149" t="n">
        <v>14</v>
      </c>
      <c r="L4151" s="7" t="n">
        <v>190801</v>
      </c>
      <c r="M4151" s="94">
        <f>VLOOKUP($Q4151,매칭테이블!$F:$I,2,0)*K4151</f>
        <v/>
      </c>
      <c r="N4151" s="94">
        <f>M4151-M4151*VLOOKUP($Q4151,매칭테이블!$F:$I,3,0)</f>
        <v/>
      </c>
      <c r="O4151" s="94">
        <f>VLOOKUP($Q4151,매칭테이블!$F:$I,4,0)*K4151</f>
        <v/>
      </c>
      <c r="P4151" s="148">
        <f>M4151/1.1</f>
        <v/>
      </c>
      <c r="Q4151" s="94">
        <f>F4151&amp;E4151&amp;G4151&amp;L4151</f>
        <v/>
      </c>
    </row>
    <row r="4152">
      <c r="A4152" s="94" t="n"/>
      <c r="B4152" s="128" t="n">
        <v>43804</v>
      </c>
      <c r="C4152" s="94">
        <f>TEXT(B4152,"aaa")</f>
        <v/>
      </c>
      <c r="D4152" s="94" t="n"/>
      <c r="E4152" s="94" t="inlineStr">
        <is>
          <t>토너</t>
        </is>
      </c>
      <c r="F4152" s="94" t="inlineStr">
        <is>
          <t>아누아 CS</t>
        </is>
      </c>
      <c r="G4152" s="94" t="inlineStr">
        <is>
          <t>250ml</t>
        </is>
      </c>
      <c r="H4152" s="7" t="n">
        <v>190801</v>
      </c>
      <c r="I4152" s="7" t="n">
        <v>190801</v>
      </c>
      <c r="J4152" s="94" t="n"/>
      <c r="K4152" s="6" t="n">
        <v>10</v>
      </c>
      <c r="L4152" s="7" t="n">
        <v>190801</v>
      </c>
      <c r="M4152" s="94">
        <f>VLOOKUP($Q4152,매칭테이블!$F:$I,2,0)*K4152</f>
        <v/>
      </c>
      <c r="N4152" s="94">
        <f>M4152-M4152*VLOOKUP($Q4152,매칭테이블!$F:$I,3,0)</f>
        <v/>
      </c>
      <c r="O4152" s="94">
        <f>VLOOKUP($Q4152,매칭테이블!$F:$I,4,0)*K4152</f>
        <v/>
      </c>
      <c r="P4152" s="148">
        <f>M4152/1.1</f>
        <v/>
      </c>
      <c r="Q4152" s="94">
        <f>F4152&amp;E4152&amp;G4152&amp;L4152</f>
        <v/>
      </c>
    </row>
    <row r="4153">
      <c r="A4153" s="94" t="n"/>
      <c r="B4153" s="128" t="n">
        <v>43805</v>
      </c>
      <c r="C4153" s="94">
        <f>TEXT(B4153,"aaa")</f>
        <v/>
      </c>
      <c r="D4153" s="94" t="n"/>
      <c r="E4153" s="6" t="inlineStr">
        <is>
          <t>토너</t>
        </is>
      </c>
      <c r="F4153" s="5" t="inlineStr">
        <is>
          <t>카페24</t>
        </is>
      </c>
      <c r="G4153" s="5" t="inlineStr">
        <is>
          <t>500ml</t>
        </is>
      </c>
      <c r="H4153" s="7" t="n">
        <v>190801</v>
      </c>
      <c r="I4153" s="7" t="n">
        <v>190801</v>
      </c>
      <c r="J4153" s="94" t="n"/>
      <c r="K4153" s="149" t="n">
        <v>10</v>
      </c>
      <c r="L4153" s="7" t="n">
        <v>190801</v>
      </c>
      <c r="M4153" s="94">
        <f>VLOOKUP($Q4153,매칭테이블!$F:$I,2,0)*K4153</f>
        <v/>
      </c>
      <c r="N4153" s="94">
        <f>M4153-M4153*VLOOKUP($Q4153,매칭테이블!$F:$I,3,0)</f>
        <v/>
      </c>
      <c r="O4153" s="94">
        <f>VLOOKUP($Q4153,매칭테이블!$F:$I,4,0)*K4153</f>
        <v/>
      </c>
      <c r="P4153" s="148">
        <f>M4153/1.1</f>
        <v/>
      </c>
      <c r="Q4153" s="94">
        <f>F4153&amp;E4153&amp;G4153&amp;L4153</f>
        <v/>
      </c>
    </row>
    <row r="4154">
      <c r="A4154" s="94" t="n"/>
      <c r="B4154" s="128" t="n">
        <v>43805</v>
      </c>
      <c r="C4154" s="94">
        <f>TEXT(B4154,"aaa")</f>
        <v/>
      </c>
      <c r="D4154" s="94" t="n"/>
      <c r="E4154" s="6" t="inlineStr">
        <is>
          <t>토너</t>
        </is>
      </c>
      <c r="F4154" s="5" t="inlineStr">
        <is>
          <t>카페24</t>
        </is>
      </c>
      <c r="G4154" s="5" t="inlineStr">
        <is>
          <t>250ml</t>
        </is>
      </c>
      <c r="H4154" s="7" t="n">
        <v>190801</v>
      </c>
      <c r="I4154" s="7" t="n">
        <v>190801</v>
      </c>
      <c r="J4154" s="94" t="n"/>
      <c r="K4154" s="149" t="n">
        <v>20</v>
      </c>
      <c r="L4154" s="7" t="n">
        <v>190801</v>
      </c>
      <c r="M4154" s="94">
        <f>VLOOKUP($Q4154,매칭테이블!$F:$I,2,0)*K4154</f>
        <v/>
      </c>
      <c r="N4154" s="94">
        <f>M4154-M4154*VLOOKUP($Q4154,매칭테이블!$F:$I,3,0)</f>
        <v/>
      </c>
      <c r="O4154" s="94">
        <f>VLOOKUP($Q4154,매칭테이블!$F:$I,4,0)*K4154</f>
        <v/>
      </c>
      <c r="P4154" s="148">
        <f>M4154/1.1</f>
        <v/>
      </c>
      <c r="Q4154" s="94">
        <f>F4154&amp;E4154&amp;G4154&amp;L4154</f>
        <v/>
      </c>
    </row>
    <row r="4155">
      <c r="A4155" s="94" t="n"/>
      <c r="B4155" s="128" t="n">
        <v>43805</v>
      </c>
      <c r="C4155" s="94">
        <f>TEXT(B4155,"aaa")</f>
        <v/>
      </c>
      <c r="D4155" s="94" t="n"/>
      <c r="E4155" s="6" t="inlineStr">
        <is>
          <t>토너</t>
        </is>
      </c>
      <c r="F4155" s="5" t="inlineStr">
        <is>
          <t>카페24</t>
        </is>
      </c>
      <c r="G4155" s="5" t="inlineStr">
        <is>
          <t>250ml 2set</t>
        </is>
      </c>
      <c r="H4155" s="7" t="n">
        <v>190801</v>
      </c>
      <c r="I4155" s="7" t="n">
        <v>190801</v>
      </c>
      <c r="J4155" s="94" t="n"/>
      <c r="K4155" s="149" t="n">
        <v>13</v>
      </c>
      <c r="L4155" s="7" t="n">
        <v>190801</v>
      </c>
      <c r="M4155" s="94">
        <f>VLOOKUP($Q4155,매칭테이블!$F:$I,2,0)*K4155</f>
        <v/>
      </c>
      <c r="N4155" s="94">
        <f>M4155-M4155*VLOOKUP($Q4155,매칭테이블!$F:$I,3,0)</f>
        <v/>
      </c>
      <c r="O4155" s="94">
        <f>VLOOKUP($Q4155,매칭테이블!$F:$I,4,0)*K4155</f>
        <v/>
      </c>
      <c r="P4155" s="148">
        <f>M4155/1.1</f>
        <v/>
      </c>
      <c r="Q4155" s="94">
        <f>F4155&amp;E4155&amp;G4155&amp;L4155</f>
        <v/>
      </c>
    </row>
    <row r="4156">
      <c r="A4156" s="94" t="n"/>
      <c r="B4156" s="128" t="n">
        <v>43806</v>
      </c>
      <c r="C4156" s="94">
        <f>TEXT(B4156,"aaa")</f>
        <v/>
      </c>
      <c r="D4156" s="94" t="n"/>
      <c r="E4156" s="6" t="inlineStr">
        <is>
          <t>토너</t>
        </is>
      </c>
      <c r="F4156" s="5" t="inlineStr">
        <is>
          <t>카페24</t>
        </is>
      </c>
      <c r="G4156" s="5" t="inlineStr">
        <is>
          <t>500ml</t>
        </is>
      </c>
      <c r="H4156" s="7" t="n">
        <v>190801</v>
      </c>
      <c r="I4156" s="7" t="n">
        <v>190801</v>
      </c>
      <c r="J4156" s="94" t="n"/>
      <c r="K4156" s="149" t="n">
        <v>11</v>
      </c>
      <c r="L4156" s="7" t="n">
        <v>190801</v>
      </c>
      <c r="M4156" s="94">
        <f>VLOOKUP($Q4156,매칭테이블!$F:$I,2,0)*K4156</f>
        <v/>
      </c>
      <c r="N4156" s="94">
        <f>M4156-M4156*VLOOKUP($Q4156,매칭테이블!$F:$I,3,0)</f>
        <v/>
      </c>
      <c r="O4156" s="94">
        <f>VLOOKUP($Q4156,매칭테이블!$F:$I,4,0)*K4156</f>
        <v/>
      </c>
      <c r="P4156" s="148">
        <f>M4156/1.1</f>
        <v/>
      </c>
      <c r="Q4156" s="94">
        <f>F4156&amp;E4156&amp;G4156&amp;L4156</f>
        <v/>
      </c>
    </row>
    <row r="4157">
      <c r="A4157" s="94" t="n"/>
      <c r="B4157" s="128" t="n">
        <v>43806</v>
      </c>
      <c r="C4157" s="94">
        <f>TEXT(B4157,"aaa")</f>
        <v/>
      </c>
      <c r="D4157" s="94" t="n"/>
      <c r="E4157" s="6" t="inlineStr">
        <is>
          <t>토너</t>
        </is>
      </c>
      <c r="F4157" s="5" t="inlineStr">
        <is>
          <t>카페24</t>
        </is>
      </c>
      <c r="G4157" s="5" t="inlineStr">
        <is>
          <t>250ml</t>
        </is>
      </c>
      <c r="H4157" s="7" t="n">
        <v>190801</v>
      </c>
      <c r="I4157" s="7" t="n">
        <v>190801</v>
      </c>
      <c r="J4157" s="94" t="n"/>
      <c r="K4157" s="149" t="n">
        <v>15</v>
      </c>
      <c r="L4157" s="7" t="n">
        <v>190801</v>
      </c>
      <c r="M4157" s="94">
        <f>VLOOKUP($Q4157,매칭테이블!$F:$I,2,0)*K4157</f>
        <v/>
      </c>
      <c r="N4157" s="94">
        <f>M4157-M4157*VLOOKUP($Q4157,매칭테이블!$F:$I,3,0)</f>
        <v/>
      </c>
      <c r="O4157" s="94">
        <f>VLOOKUP($Q4157,매칭테이블!$F:$I,4,0)*K4157</f>
        <v/>
      </c>
      <c r="P4157" s="148">
        <f>M4157/1.1</f>
        <v/>
      </c>
      <c r="Q4157" s="94">
        <f>F4157&amp;E4157&amp;G4157&amp;L4157</f>
        <v/>
      </c>
    </row>
    <row r="4158">
      <c r="A4158" s="94" t="n"/>
      <c r="B4158" s="128" t="n">
        <v>43806</v>
      </c>
      <c r="C4158" s="94">
        <f>TEXT(B4158,"aaa")</f>
        <v/>
      </c>
      <c r="D4158" s="94" t="n"/>
      <c r="E4158" s="6" t="inlineStr">
        <is>
          <t>토너</t>
        </is>
      </c>
      <c r="F4158" s="5" t="inlineStr">
        <is>
          <t>카페24</t>
        </is>
      </c>
      <c r="G4158" s="5" t="inlineStr">
        <is>
          <t>250ml 2set</t>
        </is>
      </c>
      <c r="H4158" s="7" t="n">
        <v>190801</v>
      </c>
      <c r="I4158" s="7" t="n">
        <v>190801</v>
      </c>
      <c r="J4158" s="94" t="n"/>
      <c r="K4158" s="149" t="n">
        <v>9</v>
      </c>
      <c r="L4158" s="7" t="n">
        <v>190801</v>
      </c>
      <c r="M4158" s="94">
        <f>VLOOKUP($Q4158,매칭테이블!$F:$I,2,0)*K4158</f>
        <v/>
      </c>
      <c r="N4158" s="94">
        <f>M4158-M4158*VLOOKUP($Q4158,매칭테이블!$F:$I,3,0)</f>
        <v/>
      </c>
      <c r="O4158" s="94">
        <f>VLOOKUP($Q4158,매칭테이블!$F:$I,4,0)*K4158</f>
        <v/>
      </c>
      <c r="P4158" s="148">
        <f>M4158/1.1</f>
        <v/>
      </c>
      <c r="Q4158" s="94">
        <f>F4158&amp;E4158&amp;G4158&amp;L4158</f>
        <v/>
      </c>
    </row>
    <row r="4159">
      <c r="A4159" s="94" t="n"/>
      <c r="B4159" s="128" t="n">
        <v>43807</v>
      </c>
      <c r="C4159" s="94">
        <f>TEXT(B4159,"aaa")</f>
        <v/>
      </c>
      <c r="D4159" s="94" t="n"/>
      <c r="E4159" s="6" t="inlineStr">
        <is>
          <t>토너</t>
        </is>
      </c>
      <c r="F4159" s="5" t="inlineStr">
        <is>
          <t>W컨셉</t>
        </is>
      </c>
      <c r="G4159" s="5" t="inlineStr">
        <is>
          <t>250ml 2set</t>
        </is>
      </c>
      <c r="H4159" s="7" t="n">
        <v>190801</v>
      </c>
      <c r="I4159" s="7" t="n">
        <v>190801</v>
      </c>
      <c r="J4159" s="94" t="n"/>
      <c r="K4159" s="149" t="n">
        <v>2</v>
      </c>
      <c r="L4159" s="7" t="n">
        <v>190801</v>
      </c>
      <c r="M4159" s="94">
        <f>VLOOKUP($Q4159,매칭테이블!$F:$I,2,0)*K4159</f>
        <v/>
      </c>
      <c r="N4159" s="94">
        <f>M4159-M4159*VLOOKUP($Q4159,매칭테이블!$F:$I,3,0)</f>
        <v/>
      </c>
      <c r="O4159" s="94">
        <f>VLOOKUP($Q4159,매칭테이블!$F:$I,4,0)*K4159</f>
        <v/>
      </c>
      <c r="P4159" s="148">
        <f>M4159/1.1</f>
        <v/>
      </c>
      <c r="Q4159" s="94">
        <f>F4159&amp;E4159&amp;G4159&amp;L4159</f>
        <v/>
      </c>
    </row>
    <row r="4160">
      <c r="A4160" s="94" t="n"/>
      <c r="B4160" s="128" t="n">
        <v>43807</v>
      </c>
      <c r="C4160" s="94">
        <f>TEXT(B4160,"aaa")</f>
        <v/>
      </c>
      <c r="D4160" s="94" t="n"/>
      <c r="E4160" s="6" t="inlineStr">
        <is>
          <t>토너</t>
        </is>
      </c>
      <c r="F4160" s="5" t="inlineStr">
        <is>
          <t>카페24</t>
        </is>
      </c>
      <c r="G4160" s="5" t="inlineStr">
        <is>
          <t>500ml</t>
        </is>
      </c>
      <c r="H4160" s="7" t="n">
        <v>190801</v>
      </c>
      <c r="I4160" s="7" t="n">
        <v>190801</v>
      </c>
      <c r="J4160" s="94" t="n"/>
      <c r="K4160" s="149" t="n">
        <v>17</v>
      </c>
      <c r="L4160" s="7" t="n">
        <v>190801</v>
      </c>
      <c r="M4160" s="94">
        <f>VLOOKUP($Q4160,매칭테이블!$F:$I,2,0)*K4160</f>
        <v/>
      </c>
      <c r="N4160" s="94">
        <f>M4160-M4160*VLOOKUP($Q4160,매칭테이블!$F:$I,3,0)</f>
        <v/>
      </c>
      <c r="O4160" s="94">
        <f>VLOOKUP($Q4160,매칭테이블!$F:$I,4,0)*K4160</f>
        <v/>
      </c>
      <c r="P4160" s="148">
        <f>M4160/1.1</f>
        <v/>
      </c>
      <c r="Q4160" s="94">
        <f>F4160&amp;E4160&amp;G4160&amp;L4160</f>
        <v/>
      </c>
    </row>
    <row r="4161">
      <c r="A4161" s="94" t="n"/>
      <c r="B4161" s="128" t="n">
        <v>43807</v>
      </c>
      <c r="C4161" s="94">
        <f>TEXT(B4161,"aaa")</f>
        <v/>
      </c>
      <c r="D4161" s="94" t="n"/>
      <c r="E4161" s="6" t="inlineStr">
        <is>
          <t>토너</t>
        </is>
      </c>
      <c r="F4161" s="5" t="inlineStr">
        <is>
          <t>카페24</t>
        </is>
      </c>
      <c r="G4161" s="5" t="inlineStr">
        <is>
          <t>250ml</t>
        </is>
      </c>
      <c r="H4161" s="7" t="n">
        <v>190801</v>
      </c>
      <c r="I4161" s="7" t="n">
        <v>190801</v>
      </c>
      <c r="J4161" s="94" t="n"/>
      <c r="K4161" s="149" t="n">
        <v>17</v>
      </c>
      <c r="L4161" s="7" t="n">
        <v>190801</v>
      </c>
      <c r="M4161" s="94">
        <f>VLOOKUP($Q4161,매칭테이블!$F:$I,2,0)*K4161</f>
        <v/>
      </c>
      <c r="N4161" s="94">
        <f>M4161-M4161*VLOOKUP($Q4161,매칭테이블!$F:$I,3,0)</f>
        <v/>
      </c>
      <c r="O4161" s="94">
        <f>VLOOKUP($Q4161,매칭테이블!$F:$I,4,0)*K4161</f>
        <v/>
      </c>
      <c r="P4161" s="148">
        <f>M4161/1.1</f>
        <v/>
      </c>
      <c r="Q4161" s="94">
        <f>F4161&amp;E4161&amp;G4161&amp;L4161</f>
        <v/>
      </c>
    </row>
    <row r="4162">
      <c r="A4162" s="94" t="n"/>
      <c r="B4162" s="128" t="n">
        <v>43807</v>
      </c>
      <c r="C4162" s="94">
        <f>TEXT(B4162,"aaa")</f>
        <v/>
      </c>
      <c r="D4162" s="94" t="n"/>
      <c r="E4162" s="6" t="inlineStr">
        <is>
          <t>토너</t>
        </is>
      </c>
      <c r="F4162" s="5" t="inlineStr">
        <is>
          <t>카페24</t>
        </is>
      </c>
      <c r="G4162" s="5" t="inlineStr">
        <is>
          <t>250ml 2set</t>
        </is>
      </c>
      <c r="H4162" s="7" t="n">
        <v>190801</v>
      </c>
      <c r="I4162" s="7" t="n">
        <v>190801</v>
      </c>
      <c r="J4162" s="94" t="n"/>
      <c r="K4162" s="149" t="n">
        <v>15</v>
      </c>
      <c r="L4162" s="7" t="n">
        <v>190801</v>
      </c>
      <c r="M4162" s="94">
        <f>VLOOKUP($Q4162,매칭테이블!$F:$I,2,0)*K4162</f>
        <v/>
      </c>
      <c r="N4162" s="94">
        <f>M4162-M4162*VLOOKUP($Q4162,매칭테이블!$F:$I,3,0)</f>
        <v/>
      </c>
      <c r="O4162" s="94">
        <f>VLOOKUP($Q4162,매칭테이블!$F:$I,4,0)*K4162</f>
        <v/>
      </c>
      <c r="P4162" s="148">
        <f>M4162/1.1</f>
        <v/>
      </c>
      <c r="Q4162" s="94">
        <f>F4162&amp;E4162&amp;G4162&amp;L4162</f>
        <v/>
      </c>
    </row>
    <row r="4163">
      <c r="A4163" s="94" t="n"/>
      <c r="B4163" s="128" t="n">
        <v>43808</v>
      </c>
      <c r="C4163" s="94">
        <f>TEXT(B4163,"aaa")</f>
        <v/>
      </c>
      <c r="D4163" s="94" t="n"/>
      <c r="E4163" s="6" t="inlineStr">
        <is>
          <t>토너</t>
        </is>
      </c>
      <c r="F4163" s="5" t="inlineStr">
        <is>
          <t>W컨셉</t>
        </is>
      </c>
      <c r="G4163" s="5" t="inlineStr">
        <is>
          <t>250ml</t>
        </is>
      </c>
      <c r="H4163" s="7" t="n">
        <v>190801</v>
      </c>
      <c r="I4163" s="7" t="n">
        <v>190801</v>
      </c>
      <c r="J4163" s="94" t="n"/>
      <c r="K4163" s="149" t="n">
        <v>2</v>
      </c>
      <c r="L4163" s="7" t="n">
        <v>190801</v>
      </c>
      <c r="M4163" s="94">
        <f>VLOOKUP($Q4163,매칭테이블!$F:$I,2,0)*K4163</f>
        <v/>
      </c>
      <c r="N4163" s="94">
        <f>M4163-M4163*VLOOKUP($Q4163,매칭테이블!$F:$I,3,0)</f>
        <v/>
      </c>
      <c r="O4163" s="94">
        <f>VLOOKUP($Q4163,매칭테이블!$F:$I,4,0)*K4163</f>
        <v/>
      </c>
      <c r="P4163" s="148">
        <f>M4163/1.1</f>
        <v/>
      </c>
      <c r="Q4163" s="94">
        <f>F4163&amp;E4163&amp;G4163&amp;L4163</f>
        <v/>
      </c>
    </row>
    <row r="4164">
      <c r="A4164" s="94" t="n"/>
      <c r="B4164" s="128" t="n">
        <v>43808</v>
      </c>
      <c r="C4164" s="94">
        <f>TEXT(B4164,"aaa")</f>
        <v/>
      </c>
      <c r="D4164" s="94" t="n"/>
      <c r="E4164" s="6" t="inlineStr">
        <is>
          <t>토너</t>
        </is>
      </c>
      <c r="F4164" s="5" t="inlineStr">
        <is>
          <t>W컨셉</t>
        </is>
      </c>
      <c r="G4164" s="5" t="inlineStr">
        <is>
          <t>250ml 2set</t>
        </is>
      </c>
      <c r="H4164" s="7" t="n">
        <v>190801</v>
      </c>
      <c r="I4164" s="7" t="n">
        <v>190801</v>
      </c>
      <c r="J4164" s="94" t="n"/>
      <c r="K4164" s="149" t="n">
        <v>5</v>
      </c>
      <c r="L4164" s="7" t="n">
        <v>190801</v>
      </c>
      <c r="M4164" s="94">
        <f>VLOOKUP($Q4164,매칭테이블!$F:$I,2,0)*K4164</f>
        <v/>
      </c>
      <c r="N4164" s="94">
        <f>M4164-M4164*VLOOKUP($Q4164,매칭테이블!$F:$I,3,0)</f>
        <v/>
      </c>
      <c r="O4164" s="94">
        <f>VLOOKUP($Q4164,매칭테이블!$F:$I,4,0)*K4164</f>
        <v/>
      </c>
      <c r="P4164" s="148">
        <f>M4164/1.1</f>
        <v/>
      </c>
      <c r="Q4164" s="94">
        <f>F4164&amp;E4164&amp;G4164&amp;L4164</f>
        <v/>
      </c>
    </row>
    <row r="4165">
      <c r="A4165" s="94" t="n"/>
      <c r="B4165" s="128" t="n">
        <v>43808</v>
      </c>
      <c r="C4165" s="94">
        <f>TEXT(B4165,"aaa")</f>
        <v/>
      </c>
      <c r="D4165" s="94" t="n"/>
      <c r="E4165" s="6" t="inlineStr">
        <is>
          <t>토너</t>
        </is>
      </c>
      <c r="F4165" s="5" t="inlineStr">
        <is>
          <t>카페24</t>
        </is>
      </c>
      <c r="G4165" s="5" t="inlineStr">
        <is>
          <t>500ml</t>
        </is>
      </c>
      <c r="H4165" s="7" t="n">
        <v>190801</v>
      </c>
      <c r="I4165" s="7" t="n">
        <v>190801</v>
      </c>
      <c r="J4165" s="94" t="n"/>
      <c r="K4165" s="149" t="n">
        <v>23</v>
      </c>
      <c r="L4165" s="7" t="n">
        <v>190801</v>
      </c>
      <c r="M4165" s="94">
        <f>VLOOKUP($Q4165,매칭테이블!$F:$I,2,0)*K4165</f>
        <v/>
      </c>
      <c r="N4165" s="94">
        <f>M4165-M4165*VLOOKUP($Q4165,매칭테이블!$F:$I,3,0)</f>
        <v/>
      </c>
      <c r="O4165" s="94">
        <f>VLOOKUP($Q4165,매칭테이블!$F:$I,4,0)*K4165</f>
        <v/>
      </c>
      <c r="P4165" s="148">
        <f>M4165/1.1</f>
        <v/>
      </c>
      <c r="Q4165" s="94">
        <f>F4165&amp;E4165&amp;G4165&amp;L4165</f>
        <v/>
      </c>
    </row>
    <row r="4166">
      <c r="A4166" s="94" t="n"/>
      <c r="B4166" s="128" t="n">
        <v>43808</v>
      </c>
      <c r="C4166" s="94">
        <f>TEXT(B4166,"aaa")</f>
        <v/>
      </c>
      <c r="D4166" s="94" t="n"/>
      <c r="E4166" s="6" t="inlineStr">
        <is>
          <t>토너</t>
        </is>
      </c>
      <c r="F4166" s="5" t="inlineStr">
        <is>
          <t>카페24</t>
        </is>
      </c>
      <c r="G4166" s="5" t="inlineStr">
        <is>
          <t>250ml</t>
        </is>
      </c>
      <c r="H4166" s="7" t="n">
        <v>190801</v>
      </c>
      <c r="I4166" s="7" t="n">
        <v>190801</v>
      </c>
      <c r="J4166" s="94" t="n"/>
      <c r="K4166" s="149" t="n">
        <v>24</v>
      </c>
      <c r="L4166" s="7" t="n">
        <v>190801</v>
      </c>
      <c r="M4166" s="94">
        <f>VLOOKUP($Q4166,매칭테이블!$F:$I,2,0)*K4166</f>
        <v/>
      </c>
      <c r="N4166" s="94">
        <f>M4166-M4166*VLOOKUP($Q4166,매칭테이블!$F:$I,3,0)</f>
        <v/>
      </c>
      <c r="O4166" s="94">
        <f>VLOOKUP($Q4166,매칭테이블!$F:$I,4,0)*K4166</f>
        <v/>
      </c>
      <c r="P4166" s="148">
        <f>M4166/1.1</f>
        <v/>
      </c>
      <c r="Q4166" s="94">
        <f>F4166&amp;E4166&amp;G4166&amp;L4166</f>
        <v/>
      </c>
    </row>
    <row r="4167">
      <c r="A4167" s="94" t="n"/>
      <c r="B4167" s="128" t="n">
        <v>43808</v>
      </c>
      <c r="C4167" s="94">
        <f>TEXT(B4167,"aaa")</f>
        <v/>
      </c>
      <c r="D4167" s="94" t="n"/>
      <c r="E4167" s="6" t="inlineStr">
        <is>
          <t>토너</t>
        </is>
      </c>
      <c r="F4167" s="5" t="inlineStr">
        <is>
          <t>카페24</t>
        </is>
      </c>
      <c r="G4167" s="5" t="inlineStr">
        <is>
          <t>250ml 2set</t>
        </is>
      </c>
      <c r="H4167" s="7" t="n">
        <v>190801</v>
      </c>
      <c r="I4167" s="7" t="n">
        <v>190801</v>
      </c>
      <c r="J4167" s="94" t="n"/>
      <c r="K4167" s="149" t="n">
        <v>20</v>
      </c>
      <c r="L4167" s="7" t="n">
        <v>190801</v>
      </c>
      <c r="M4167" s="94">
        <f>VLOOKUP($Q4167,매칭테이블!$F:$I,2,0)*K4167</f>
        <v/>
      </c>
      <c r="N4167" s="94">
        <f>M4167-M4167*VLOOKUP($Q4167,매칭테이블!$F:$I,3,0)</f>
        <v/>
      </c>
      <c r="O4167" s="94">
        <f>VLOOKUP($Q4167,매칭테이블!$F:$I,4,0)*K4167</f>
        <v/>
      </c>
      <c r="P4167" s="148">
        <f>M4167/1.1</f>
        <v/>
      </c>
      <c r="Q4167" s="94">
        <f>F4167&amp;E4167&amp;G4167&amp;L4167</f>
        <v/>
      </c>
    </row>
    <row r="4168">
      <c r="A4168" s="94" t="n"/>
      <c r="B4168" s="128" t="n">
        <v>43808</v>
      </c>
      <c r="C4168" s="94">
        <f>TEXT(B4168,"aaa")</f>
        <v/>
      </c>
      <c r="D4168" s="94" t="n"/>
      <c r="E4168" s="94" t="inlineStr">
        <is>
          <t>토너</t>
        </is>
      </c>
      <c r="F4168" s="94" t="inlineStr">
        <is>
          <t>아누아 CS</t>
        </is>
      </c>
      <c r="G4168" s="94" t="inlineStr">
        <is>
          <t>250ml</t>
        </is>
      </c>
      <c r="H4168" s="7" t="n">
        <v>190801</v>
      </c>
      <c r="I4168" s="7" t="n">
        <v>190801</v>
      </c>
      <c r="J4168" s="94" t="n"/>
      <c r="K4168" s="149" t="n">
        <v>4</v>
      </c>
      <c r="L4168" s="7" t="n">
        <v>190801</v>
      </c>
      <c r="M4168" s="94">
        <f>VLOOKUP($Q4168,매칭테이블!$F:$I,2,0)*K4168</f>
        <v/>
      </c>
      <c r="N4168" s="94">
        <f>M4168-M4168*VLOOKUP($Q4168,매칭테이블!$F:$I,3,0)</f>
        <v/>
      </c>
      <c r="O4168" s="94">
        <f>VLOOKUP($Q4168,매칭테이블!$F:$I,4,0)*K4168</f>
        <v/>
      </c>
      <c r="P4168" s="148">
        <f>M4168/1.1</f>
        <v/>
      </c>
      <c r="Q4168" s="94">
        <f>F4168&amp;E4168&amp;G4168&amp;L4168</f>
        <v/>
      </c>
    </row>
    <row r="4169">
      <c r="A4169" s="94" t="n"/>
      <c r="B4169" s="128" t="n">
        <v>43809</v>
      </c>
      <c r="C4169" s="94">
        <f>TEXT(B4169,"aaa")</f>
        <v/>
      </c>
      <c r="D4169" s="94" t="n"/>
      <c r="E4169" s="6" t="inlineStr">
        <is>
          <t>토너</t>
        </is>
      </c>
      <c r="F4169" s="5" t="inlineStr">
        <is>
          <t>W컨셉</t>
        </is>
      </c>
      <c r="G4169" s="5" t="inlineStr">
        <is>
          <t>250ml 2set</t>
        </is>
      </c>
      <c r="H4169" s="7" t="n">
        <v>190801</v>
      </c>
      <c r="I4169" s="7" t="n">
        <v>190801</v>
      </c>
      <c r="J4169" s="94" t="n"/>
      <c r="K4169" s="149" t="n">
        <v>2</v>
      </c>
      <c r="L4169" s="7" t="n">
        <v>190801</v>
      </c>
      <c r="M4169" s="94">
        <f>VLOOKUP($Q4169,매칭테이블!$F:$I,2,0)*K4169</f>
        <v/>
      </c>
      <c r="N4169" s="94">
        <f>M4169-M4169*VLOOKUP($Q4169,매칭테이블!$F:$I,3,0)</f>
        <v/>
      </c>
      <c r="O4169" s="94">
        <f>VLOOKUP($Q4169,매칭테이블!$F:$I,4,0)*K4169</f>
        <v/>
      </c>
      <c r="P4169" s="148">
        <f>M4169/1.1</f>
        <v/>
      </c>
      <c r="Q4169" s="94">
        <f>F4169&amp;E4169&amp;G4169&amp;L4169</f>
        <v/>
      </c>
    </row>
    <row r="4170">
      <c r="A4170" s="94" t="n"/>
      <c r="B4170" s="128" t="n">
        <v>43809</v>
      </c>
      <c r="C4170" s="94">
        <f>TEXT(B4170,"aaa")</f>
        <v/>
      </c>
      <c r="D4170" s="94" t="n"/>
      <c r="E4170" s="94" t="inlineStr">
        <is>
          <t>토너</t>
        </is>
      </c>
      <c r="F4170" s="94" t="inlineStr">
        <is>
          <t>아누아 CS</t>
        </is>
      </c>
      <c r="G4170" s="94" t="inlineStr">
        <is>
          <t>250ml</t>
        </is>
      </c>
      <c r="H4170" s="7" t="n">
        <v>190801</v>
      </c>
      <c r="I4170" s="7" t="n">
        <v>190801</v>
      </c>
      <c r="J4170" s="94" t="n"/>
      <c r="K4170" s="149" t="n">
        <v>5</v>
      </c>
      <c r="L4170" s="7" t="n">
        <v>190801</v>
      </c>
      <c r="M4170" s="94">
        <f>VLOOKUP($Q4170,매칭테이블!$F:$I,2,0)*K4170</f>
        <v/>
      </c>
      <c r="N4170" s="94">
        <f>M4170-M4170*VLOOKUP($Q4170,매칭테이블!$F:$I,3,0)</f>
        <v/>
      </c>
      <c r="O4170" s="94">
        <f>VLOOKUP($Q4170,매칭테이블!$F:$I,4,0)*K4170</f>
        <v/>
      </c>
      <c r="P4170" s="148">
        <f>M4170/1.1</f>
        <v/>
      </c>
      <c r="Q4170" s="94">
        <f>F4170&amp;E4170&amp;G4170&amp;L4170</f>
        <v/>
      </c>
    </row>
    <row r="4171">
      <c r="A4171" s="94" t="n"/>
      <c r="B4171" s="128" t="n">
        <v>43809</v>
      </c>
      <c r="C4171" s="94">
        <f>TEXT(B4171,"aaa")</f>
        <v/>
      </c>
      <c r="D4171" s="94" t="n"/>
      <c r="E4171" s="6" t="inlineStr">
        <is>
          <t>토너</t>
        </is>
      </c>
      <c r="F4171" s="5" t="inlineStr">
        <is>
          <t>카페24</t>
        </is>
      </c>
      <c r="G4171" s="5" t="inlineStr">
        <is>
          <t>500ml</t>
        </is>
      </c>
      <c r="H4171" s="7" t="n">
        <v>190801</v>
      </c>
      <c r="I4171" s="7" t="n">
        <v>190801</v>
      </c>
      <c r="J4171" s="94" t="n"/>
      <c r="K4171" s="149" t="n">
        <v>30</v>
      </c>
      <c r="L4171" s="7" t="n">
        <v>190801</v>
      </c>
      <c r="M4171" s="94">
        <f>VLOOKUP($Q4171,매칭테이블!$F:$I,2,0)*K4171</f>
        <v/>
      </c>
      <c r="N4171" s="94">
        <f>M4171-M4171*VLOOKUP($Q4171,매칭테이블!$F:$I,3,0)</f>
        <v/>
      </c>
      <c r="O4171" s="94">
        <f>VLOOKUP($Q4171,매칭테이블!$F:$I,4,0)*K4171</f>
        <v/>
      </c>
      <c r="P4171" s="148">
        <f>M4171/1.1</f>
        <v/>
      </c>
      <c r="Q4171" s="94">
        <f>F4171&amp;E4171&amp;G4171&amp;L4171</f>
        <v/>
      </c>
    </row>
    <row r="4172">
      <c r="A4172" s="94" t="n"/>
      <c r="B4172" s="128" t="n">
        <v>43809</v>
      </c>
      <c r="C4172" s="94">
        <f>TEXT(B4172,"aaa")</f>
        <v/>
      </c>
      <c r="D4172" s="94" t="n"/>
      <c r="E4172" s="6" t="inlineStr">
        <is>
          <t>토너</t>
        </is>
      </c>
      <c r="F4172" s="5" t="inlineStr">
        <is>
          <t>카페24</t>
        </is>
      </c>
      <c r="G4172" s="5" t="inlineStr">
        <is>
          <t>250ml</t>
        </is>
      </c>
      <c r="H4172" s="7" t="n">
        <v>190801</v>
      </c>
      <c r="I4172" s="7" t="n">
        <v>190801</v>
      </c>
      <c r="J4172" s="94" t="n"/>
      <c r="K4172" s="149" t="n">
        <v>23</v>
      </c>
      <c r="L4172" s="7" t="n">
        <v>190801</v>
      </c>
      <c r="M4172" s="94">
        <f>VLOOKUP($Q4172,매칭테이블!$F:$I,2,0)*K4172</f>
        <v/>
      </c>
      <c r="N4172" s="94">
        <f>M4172-M4172*VLOOKUP($Q4172,매칭테이블!$F:$I,3,0)</f>
        <v/>
      </c>
      <c r="O4172" s="94">
        <f>VLOOKUP($Q4172,매칭테이블!$F:$I,4,0)*K4172</f>
        <v/>
      </c>
      <c r="P4172" s="148">
        <f>M4172/1.1</f>
        <v/>
      </c>
      <c r="Q4172" s="94">
        <f>F4172&amp;E4172&amp;G4172&amp;L4172</f>
        <v/>
      </c>
    </row>
    <row r="4173">
      <c r="A4173" s="94" t="n"/>
      <c r="B4173" s="128" t="n">
        <v>43809</v>
      </c>
      <c r="C4173" s="94">
        <f>TEXT(B4173,"aaa")</f>
        <v/>
      </c>
      <c r="D4173" s="94" t="n"/>
      <c r="E4173" s="6" t="inlineStr">
        <is>
          <t>토너</t>
        </is>
      </c>
      <c r="F4173" s="5" t="inlineStr">
        <is>
          <t>카페24</t>
        </is>
      </c>
      <c r="G4173" s="5" t="inlineStr">
        <is>
          <t>250ml 2set</t>
        </is>
      </c>
      <c r="H4173" s="7" t="n">
        <v>190801</v>
      </c>
      <c r="I4173" s="7" t="n">
        <v>190801</v>
      </c>
      <c r="J4173" s="94" t="n"/>
      <c r="K4173" s="149" t="n">
        <v>19</v>
      </c>
      <c r="L4173" s="7" t="n">
        <v>190801</v>
      </c>
      <c r="M4173" s="94">
        <f>VLOOKUP($Q4173,매칭테이블!$F:$I,2,0)*K4173</f>
        <v/>
      </c>
      <c r="N4173" s="94">
        <f>M4173-M4173*VLOOKUP($Q4173,매칭테이블!$F:$I,3,0)</f>
        <v/>
      </c>
      <c r="O4173" s="94">
        <f>VLOOKUP($Q4173,매칭테이블!$F:$I,4,0)*K4173</f>
        <v/>
      </c>
      <c r="P4173" s="148">
        <f>M4173/1.1</f>
        <v/>
      </c>
      <c r="Q4173" s="94">
        <f>F4173&amp;E4173&amp;G4173&amp;L4173</f>
        <v/>
      </c>
    </row>
    <row r="4174">
      <c r="A4174" s="94" t="n"/>
      <c r="B4174" s="128" t="n">
        <v>43809</v>
      </c>
      <c r="C4174" s="94">
        <f>TEXT(B4174,"aaa")</f>
        <v/>
      </c>
      <c r="D4174" s="94" t="n"/>
      <c r="E4174" s="6" t="inlineStr">
        <is>
          <t>토너</t>
        </is>
      </c>
      <c r="F4174" s="5" t="inlineStr">
        <is>
          <t>큐텐</t>
        </is>
      </c>
      <c r="G4174" s="5" t="inlineStr">
        <is>
          <t>250ml 2set</t>
        </is>
      </c>
      <c r="H4174" s="7" t="n">
        <v>190801</v>
      </c>
      <c r="I4174" s="7" t="n">
        <v>190801</v>
      </c>
      <c r="J4174" s="94" t="n"/>
      <c r="K4174" s="149" t="n">
        <v>2</v>
      </c>
      <c r="L4174" s="7" t="n">
        <v>190801</v>
      </c>
      <c r="M4174" s="94">
        <f>VLOOKUP($Q4174,매칭테이블!$F:$I,2,0)*K4174</f>
        <v/>
      </c>
      <c r="N4174" s="94">
        <f>M4174-M4174*VLOOKUP($Q4174,매칭테이블!$F:$I,3,0)</f>
        <v/>
      </c>
      <c r="O4174" s="94">
        <f>VLOOKUP($Q4174,매칭테이블!$F:$I,4,0)*K4174</f>
        <v/>
      </c>
      <c r="P4174" s="148">
        <f>M4174/1.1</f>
        <v/>
      </c>
      <c r="Q4174" s="94">
        <f>F4174&amp;E4174&amp;G4174&amp;L4174</f>
        <v/>
      </c>
    </row>
    <row r="4175">
      <c r="A4175" s="94" t="n"/>
      <c r="B4175" s="128" t="n">
        <v>43810</v>
      </c>
      <c r="C4175" s="94">
        <f>TEXT(B4175,"aaa")</f>
        <v/>
      </c>
      <c r="D4175" s="94" t="n"/>
      <c r="E4175" s="6" t="inlineStr">
        <is>
          <t>토너</t>
        </is>
      </c>
      <c r="F4175" s="5" t="inlineStr">
        <is>
          <t>W컨셉</t>
        </is>
      </c>
      <c r="G4175" s="5" t="inlineStr">
        <is>
          <t>250ml 2set</t>
        </is>
      </c>
      <c r="H4175" s="7" t="n">
        <v>190801</v>
      </c>
      <c r="I4175" s="7" t="n">
        <v>190801</v>
      </c>
      <c r="J4175" s="94" t="n"/>
      <c r="K4175" s="149" t="n">
        <v>4</v>
      </c>
      <c r="L4175" s="7" t="n">
        <v>190801</v>
      </c>
      <c r="M4175" s="94">
        <f>VLOOKUP($Q4175,매칭테이블!$F:$I,2,0)*K4175</f>
        <v/>
      </c>
      <c r="N4175" s="94">
        <f>M4175-M4175*VLOOKUP($Q4175,매칭테이블!$F:$I,3,0)</f>
        <v/>
      </c>
      <c r="O4175" s="94">
        <f>VLOOKUP($Q4175,매칭테이블!$F:$I,4,0)*K4175</f>
        <v/>
      </c>
      <c r="P4175" s="148">
        <f>M4175/1.1</f>
        <v/>
      </c>
      <c r="Q4175" s="94">
        <f>F4175&amp;E4175&amp;G4175&amp;L4175</f>
        <v/>
      </c>
    </row>
    <row r="4176">
      <c r="A4176" s="94" t="n"/>
      <c r="B4176" s="128" t="n">
        <v>43810</v>
      </c>
      <c r="C4176" s="94">
        <f>TEXT(B4176,"aaa")</f>
        <v/>
      </c>
      <c r="D4176" s="94" t="n"/>
      <c r="E4176" s="6" t="inlineStr">
        <is>
          <t>토너</t>
        </is>
      </c>
      <c r="F4176" s="5" t="inlineStr">
        <is>
          <t>카페24</t>
        </is>
      </c>
      <c r="G4176" s="5" t="inlineStr">
        <is>
          <t>500ml</t>
        </is>
      </c>
      <c r="H4176" s="7" t="n">
        <v>190801</v>
      </c>
      <c r="I4176" s="7" t="n">
        <v>190801</v>
      </c>
      <c r="J4176" s="94" t="n"/>
      <c r="K4176" s="149" t="n">
        <v>23</v>
      </c>
      <c r="L4176" s="7" t="n">
        <v>190801</v>
      </c>
      <c r="M4176" s="94">
        <f>VLOOKUP($Q4176,매칭테이블!$F:$I,2,0)*K4176</f>
        <v/>
      </c>
      <c r="N4176" s="94">
        <f>M4176-M4176*VLOOKUP($Q4176,매칭테이블!$F:$I,3,0)</f>
        <v/>
      </c>
      <c r="O4176" s="94">
        <f>VLOOKUP($Q4176,매칭테이블!$F:$I,4,0)*K4176</f>
        <v/>
      </c>
      <c r="P4176" s="148">
        <f>M4176/1.1</f>
        <v/>
      </c>
      <c r="Q4176" s="94">
        <f>F4176&amp;E4176&amp;G4176&amp;L4176</f>
        <v/>
      </c>
    </row>
    <row r="4177">
      <c r="A4177" s="94" t="n"/>
      <c r="B4177" s="128" t="n">
        <v>43810</v>
      </c>
      <c r="C4177" s="94">
        <f>TEXT(B4177,"aaa")</f>
        <v/>
      </c>
      <c r="D4177" s="94" t="n"/>
      <c r="E4177" s="6" t="inlineStr">
        <is>
          <t>토너</t>
        </is>
      </c>
      <c r="F4177" s="5" t="inlineStr">
        <is>
          <t>카페24</t>
        </is>
      </c>
      <c r="G4177" s="5" t="inlineStr">
        <is>
          <t>250ml</t>
        </is>
      </c>
      <c r="H4177" s="7" t="n">
        <v>190801</v>
      </c>
      <c r="I4177" s="7" t="n">
        <v>190801</v>
      </c>
      <c r="J4177" s="94" t="n"/>
      <c r="K4177" s="149" t="n">
        <v>21</v>
      </c>
      <c r="L4177" s="7" t="n">
        <v>190801</v>
      </c>
      <c r="M4177" s="94">
        <f>VLOOKUP($Q4177,매칭테이블!$F:$I,2,0)*K4177</f>
        <v/>
      </c>
      <c r="N4177" s="94">
        <f>M4177-M4177*VLOOKUP($Q4177,매칭테이블!$F:$I,3,0)</f>
        <v/>
      </c>
      <c r="O4177" s="94">
        <f>VLOOKUP($Q4177,매칭테이블!$F:$I,4,0)*K4177</f>
        <v/>
      </c>
      <c r="P4177" s="148">
        <f>M4177/1.1</f>
        <v/>
      </c>
      <c r="Q4177" s="94">
        <f>F4177&amp;E4177&amp;G4177&amp;L4177</f>
        <v/>
      </c>
    </row>
    <row r="4178">
      <c r="A4178" s="94" t="n"/>
      <c r="B4178" s="128" t="n">
        <v>43810</v>
      </c>
      <c r="C4178" s="94">
        <f>TEXT(B4178,"aaa")</f>
        <v/>
      </c>
      <c r="D4178" s="94" t="n"/>
      <c r="E4178" s="6" t="inlineStr">
        <is>
          <t>토너</t>
        </is>
      </c>
      <c r="F4178" s="5" t="inlineStr">
        <is>
          <t>카페24</t>
        </is>
      </c>
      <c r="G4178" s="5" t="inlineStr">
        <is>
          <t>250ml 2set</t>
        </is>
      </c>
      <c r="H4178" s="7" t="n">
        <v>190801</v>
      </c>
      <c r="I4178" s="7" t="n">
        <v>190801</v>
      </c>
      <c r="J4178" s="94" t="n"/>
      <c r="K4178" s="149" t="n">
        <v>20</v>
      </c>
      <c r="L4178" s="7" t="n">
        <v>190801</v>
      </c>
      <c r="M4178" s="94">
        <f>VLOOKUP($Q4178,매칭테이블!$F:$I,2,0)*K4178</f>
        <v/>
      </c>
      <c r="N4178" s="94">
        <f>M4178-M4178*VLOOKUP($Q4178,매칭테이블!$F:$I,3,0)</f>
        <v/>
      </c>
      <c r="O4178" s="94">
        <f>VLOOKUP($Q4178,매칭테이블!$F:$I,4,0)*K4178</f>
        <v/>
      </c>
      <c r="P4178" s="148">
        <f>M4178/1.1</f>
        <v/>
      </c>
      <c r="Q4178" s="94">
        <f>F4178&amp;E4178&amp;G4178&amp;L4178</f>
        <v/>
      </c>
    </row>
    <row r="4179">
      <c r="A4179" s="94" t="n"/>
      <c r="B4179" s="128" t="n">
        <v>43810</v>
      </c>
      <c r="C4179" s="94">
        <f>TEXT(B4179,"aaa")</f>
        <v/>
      </c>
      <c r="D4179" s="94" t="n"/>
      <c r="E4179" s="6" t="inlineStr">
        <is>
          <t>토너</t>
        </is>
      </c>
      <c r="F4179" s="5" t="inlineStr">
        <is>
          <t>큐텐</t>
        </is>
      </c>
      <c r="G4179" s="5" t="inlineStr">
        <is>
          <t>250ml</t>
        </is>
      </c>
      <c r="H4179" s="7" t="n">
        <v>190801</v>
      </c>
      <c r="I4179" s="7" t="n">
        <v>190801</v>
      </c>
      <c r="J4179" s="94" t="n"/>
      <c r="K4179" s="149" t="n">
        <v>1</v>
      </c>
      <c r="L4179" s="7" t="n">
        <v>190801</v>
      </c>
      <c r="M4179" s="94">
        <f>VLOOKUP($Q4179,매칭테이블!$F:$I,2,0)*K4179</f>
        <v/>
      </c>
      <c r="N4179" s="94">
        <f>M4179-M4179*VLOOKUP($Q4179,매칭테이블!$F:$I,3,0)</f>
        <v/>
      </c>
      <c r="O4179" s="94">
        <f>VLOOKUP($Q4179,매칭테이블!$F:$I,4,0)*K4179</f>
        <v/>
      </c>
      <c r="P4179" s="148">
        <f>M4179/1.1</f>
        <v/>
      </c>
      <c r="Q4179" s="94">
        <f>F4179&amp;E4179&amp;G4179&amp;L4179</f>
        <v/>
      </c>
    </row>
    <row r="4180">
      <c r="A4180" s="94" t="n"/>
      <c r="B4180" s="128" t="n">
        <v>43810</v>
      </c>
      <c r="C4180" s="94">
        <f>TEXT(B4180,"aaa")</f>
        <v/>
      </c>
      <c r="D4180" s="94" t="n"/>
      <c r="E4180" s="6" t="inlineStr">
        <is>
          <t>토너</t>
        </is>
      </c>
      <c r="F4180" s="5" t="inlineStr">
        <is>
          <t>큐텐</t>
        </is>
      </c>
      <c r="G4180" s="5" t="inlineStr">
        <is>
          <t>250ml 2set</t>
        </is>
      </c>
      <c r="H4180" s="7" t="n">
        <v>190801</v>
      </c>
      <c r="I4180" s="7" t="n">
        <v>190801</v>
      </c>
      <c r="J4180" s="94" t="n"/>
      <c r="K4180" s="149" t="n">
        <v>1</v>
      </c>
      <c r="L4180" s="7" t="n">
        <v>190801</v>
      </c>
      <c r="M4180" s="94">
        <f>VLOOKUP($Q4180,매칭테이블!$F:$I,2,0)*K4180</f>
        <v/>
      </c>
      <c r="N4180" s="94">
        <f>M4180-M4180*VLOOKUP($Q4180,매칭테이블!$F:$I,3,0)</f>
        <v/>
      </c>
      <c r="O4180" s="94">
        <f>VLOOKUP($Q4180,매칭테이블!$F:$I,4,0)*K4180</f>
        <v/>
      </c>
      <c r="P4180" s="148">
        <f>M4180/1.1</f>
        <v/>
      </c>
      <c r="Q4180" s="94">
        <f>F4180&amp;E4180&amp;G4180&amp;L4180</f>
        <v/>
      </c>
    </row>
    <row r="4181">
      <c r="A4181" s="94" t="n"/>
      <c r="B4181" s="128" t="n">
        <v>43811</v>
      </c>
      <c r="C4181" s="94">
        <f>TEXT(B4181,"aaa")</f>
        <v/>
      </c>
      <c r="D4181" s="94" t="n"/>
      <c r="E4181" s="6" t="inlineStr">
        <is>
          <t>토너</t>
        </is>
      </c>
      <c r="F4181" s="5" t="inlineStr">
        <is>
          <t>W컨셉</t>
        </is>
      </c>
      <c r="G4181" s="5" t="inlineStr">
        <is>
          <t>250ml 2set</t>
        </is>
      </c>
      <c r="H4181" s="7" t="n">
        <v>190801</v>
      </c>
      <c r="I4181" s="7" t="n">
        <v>190801</v>
      </c>
      <c r="J4181" s="94" t="n"/>
      <c r="K4181" s="149" t="n">
        <v>2</v>
      </c>
      <c r="L4181" s="7" t="n">
        <v>190801</v>
      </c>
      <c r="M4181" s="94">
        <f>VLOOKUP($Q4181,매칭테이블!$F:$I,2,0)*K4181</f>
        <v/>
      </c>
      <c r="N4181" s="94">
        <f>M4181-M4181*VLOOKUP($Q4181,매칭테이블!$F:$I,3,0)</f>
        <v/>
      </c>
      <c r="O4181" s="94">
        <f>VLOOKUP($Q4181,매칭테이블!$F:$I,4,0)*K4181</f>
        <v/>
      </c>
      <c r="P4181" s="148">
        <f>M4181/1.1</f>
        <v/>
      </c>
      <c r="Q4181" s="94">
        <f>F4181&amp;E4181&amp;G4181&amp;L4181</f>
        <v/>
      </c>
    </row>
    <row r="4182">
      <c r="A4182" s="94" t="n"/>
      <c r="B4182" s="128" t="n">
        <v>43811</v>
      </c>
      <c r="C4182" s="94">
        <f>TEXT(B4182,"aaa")</f>
        <v/>
      </c>
      <c r="D4182" s="94" t="n"/>
      <c r="E4182" s="94" t="inlineStr">
        <is>
          <t>토너</t>
        </is>
      </c>
      <c r="F4182" s="94" t="inlineStr">
        <is>
          <t>아누아 CS</t>
        </is>
      </c>
      <c r="G4182" s="94" t="inlineStr">
        <is>
          <t>250ml</t>
        </is>
      </c>
      <c r="H4182" s="7" t="n">
        <v>190801</v>
      </c>
      <c r="I4182" s="7" t="n">
        <v>190801</v>
      </c>
      <c r="J4182" s="94" t="n"/>
      <c r="K4182" s="149" t="n">
        <v>5</v>
      </c>
      <c r="L4182" s="7" t="n">
        <v>190801</v>
      </c>
      <c r="M4182" s="94">
        <f>VLOOKUP($Q4182,매칭테이블!$F:$I,2,0)*K4182</f>
        <v/>
      </c>
      <c r="N4182" s="94">
        <f>M4182-M4182*VLOOKUP($Q4182,매칭테이블!$F:$I,3,0)</f>
        <v/>
      </c>
      <c r="O4182" s="94">
        <f>VLOOKUP($Q4182,매칭테이블!$F:$I,4,0)*K4182</f>
        <v/>
      </c>
      <c r="P4182" s="148">
        <f>M4182/1.1</f>
        <v/>
      </c>
      <c r="Q4182" s="94">
        <f>F4182&amp;E4182&amp;G4182&amp;L4182</f>
        <v/>
      </c>
    </row>
    <row r="4183">
      <c r="A4183" s="94" t="n"/>
      <c r="B4183" s="128" t="n">
        <v>43811</v>
      </c>
      <c r="C4183" s="94">
        <f>TEXT(B4183,"aaa")</f>
        <v/>
      </c>
      <c r="D4183" s="94" t="n"/>
      <c r="E4183" s="6" t="inlineStr">
        <is>
          <t>토너</t>
        </is>
      </c>
      <c r="F4183" s="5" t="inlineStr">
        <is>
          <t>카페24</t>
        </is>
      </c>
      <c r="G4183" s="5" t="inlineStr">
        <is>
          <t>500ml</t>
        </is>
      </c>
      <c r="H4183" s="7" t="n">
        <v>190801</v>
      </c>
      <c r="I4183" s="7" t="n">
        <v>190801</v>
      </c>
      <c r="J4183" s="94" t="n"/>
      <c r="K4183" s="149" t="n">
        <v>14</v>
      </c>
      <c r="L4183" s="7" t="n">
        <v>190801</v>
      </c>
      <c r="M4183" s="94">
        <f>VLOOKUP($Q4183,매칭테이블!$F:$I,2,0)*K4183</f>
        <v/>
      </c>
      <c r="N4183" s="94">
        <f>M4183-M4183*VLOOKUP($Q4183,매칭테이블!$F:$I,3,0)</f>
        <v/>
      </c>
      <c r="O4183" s="94">
        <f>VLOOKUP($Q4183,매칭테이블!$F:$I,4,0)*K4183</f>
        <v/>
      </c>
      <c r="P4183" s="148">
        <f>M4183/1.1</f>
        <v/>
      </c>
      <c r="Q4183" s="94">
        <f>F4183&amp;E4183&amp;G4183&amp;L4183</f>
        <v/>
      </c>
    </row>
    <row r="4184">
      <c r="A4184" s="94" t="n"/>
      <c r="B4184" s="128" t="n">
        <v>43811</v>
      </c>
      <c r="C4184" s="94">
        <f>TEXT(B4184,"aaa")</f>
        <v/>
      </c>
      <c r="D4184" s="94" t="n"/>
      <c r="E4184" s="6" t="inlineStr">
        <is>
          <t>토너</t>
        </is>
      </c>
      <c r="F4184" s="5" t="inlineStr">
        <is>
          <t>카페24</t>
        </is>
      </c>
      <c r="G4184" s="5" t="inlineStr">
        <is>
          <t>250ml</t>
        </is>
      </c>
      <c r="H4184" s="7" t="n">
        <v>190801</v>
      </c>
      <c r="I4184" s="7" t="n">
        <v>190801</v>
      </c>
      <c r="J4184" s="94" t="n"/>
      <c r="K4184" s="149" t="n">
        <v>24</v>
      </c>
      <c r="L4184" s="7" t="n">
        <v>190801</v>
      </c>
      <c r="M4184" s="94">
        <f>VLOOKUP($Q4184,매칭테이블!$F:$I,2,0)*K4184</f>
        <v/>
      </c>
      <c r="N4184" s="94">
        <f>M4184-M4184*VLOOKUP($Q4184,매칭테이블!$F:$I,3,0)</f>
        <v/>
      </c>
      <c r="O4184" s="94">
        <f>VLOOKUP($Q4184,매칭테이블!$F:$I,4,0)*K4184</f>
        <v/>
      </c>
      <c r="P4184" s="148">
        <f>M4184/1.1</f>
        <v/>
      </c>
      <c r="Q4184" s="94">
        <f>F4184&amp;E4184&amp;G4184&amp;L4184</f>
        <v/>
      </c>
    </row>
    <row r="4185">
      <c r="A4185" s="94" t="n"/>
      <c r="B4185" s="128" t="n">
        <v>43811</v>
      </c>
      <c r="C4185" s="94">
        <f>TEXT(B4185,"aaa")</f>
        <v/>
      </c>
      <c r="D4185" s="94" t="n"/>
      <c r="E4185" s="6" t="inlineStr">
        <is>
          <t>토너</t>
        </is>
      </c>
      <c r="F4185" s="5" t="inlineStr">
        <is>
          <t>카페24</t>
        </is>
      </c>
      <c r="G4185" s="5" t="inlineStr">
        <is>
          <t>250ml 2set</t>
        </is>
      </c>
      <c r="H4185" s="7" t="n">
        <v>190801</v>
      </c>
      <c r="I4185" s="7" t="n">
        <v>190801</v>
      </c>
      <c r="J4185" s="94" t="n"/>
      <c r="K4185" s="149" t="n">
        <v>22</v>
      </c>
      <c r="L4185" s="7" t="n">
        <v>190801</v>
      </c>
      <c r="M4185" s="94">
        <f>VLOOKUP($Q4185,매칭테이블!$F:$I,2,0)*K4185</f>
        <v/>
      </c>
      <c r="N4185" s="94">
        <f>M4185-M4185*VLOOKUP($Q4185,매칭테이블!$F:$I,3,0)</f>
        <v/>
      </c>
      <c r="O4185" s="94">
        <f>VLOOKUP($Q4185,매칭테이블!$F:$I,4,0)*K4185</f>
        <v/>
      </c>
      <c r="P4185" s="148">
        <f>M4185/1.1</f>
        <v/>
      </c>
      <c r="Q4185" s="94">
        <f>F4185&amp;E4185&amp;G4185&amp;L4185</f>
        <v/>
      </c>
    </row>
    <row r="4186">
      <c r="A4186" s="94" t="n"/>
      <c r="B4186" s="128" t="n">
        <v>43812</v>
      </c>
      <c r="C4186" s="94">
        <f>TEXT(B4186,"aaa")</f>
        <v/>
      </c>
      <c r="D4186" s="94" t="n"/>
      <c r="E4186" s="6" t="inlineStr">
        <is>
          <t>머드크림마스크</t>
        </is>
      </c>
      <c r="F4186" s="94" t="inlineStr">
        <is>
          <t>아누아 CS</t>
        </is>
      </c>
      <c r="G4186" s="5" t="inlineStr">
        <is>
          <t>머드크림마스크 100ml</t>
        </is>
      </c>
      <c r="H4186" s="7" t="n">
        <v>190801</v>
      </c>
      <c r="I4186" s="7" t="n">
        <v>190801</v>
      </c>
      <c r="J4186" s="94" t="n"/>
      <c r="K4186" s="149" t="n">
        <v>20</v>
      </c>
      <c r="L4186" s="7" t="n">
        <v>190801</v>
      </c>
      <c r="M4186" s="94">
        <f>VLOOKUP($Q4186,매칭테이블!$F:$I,2,0)*K4186</f>
        <v/>
      </c>
      <c r="N4186" s="94">
        <f>M4186-M4186*VLOOKUP($Q4186,매칭테이블!$F:$I,3,0)</f>
        <v/>
      </c>
      <c r="O4186" s="94">
        <f>VLOOKUP($Q4186,매칭테이블!$F:$I,4,0)*K4186</f>
        <v/>
      </c>
      <c r="P4186" s="148">
        <f>M4186/1.1</f>
        <v/>
      </c>
      <c r="Q4186" s="94">
        <f>F4186&amp;E4186&amp;G4186&amp;L4186</f>
        <v/>
      </c>
    </row>
    <row r="4187">
      <c r="A4187" s="94" t="n"/>
      <c r="B4187" s="128" t="n">
        <v>43812</v>
      </c>
      <c r="C4187" s="94">
        <f>TEXT(B4187,"aaa")</f>
        <v/>
      </c>
      <c r="D4187" s="94" t="n"/>
      <c r="E4187" s="6" t="inlineStr">
        <is>
          <t>토너</t>
        </is>
      </c>
      <c r="F4187" s="5" t="inlineStr">
        <is>
          <t>W컨셉</t>
        </is>
      </c>
      <c r="G4187" s="5" t="inlineStr">
        <is>
          <t>250ml 2set</t>
        </is>
      </c>
      <c r="H4187" s="7" t="n">
        <v>190801</v>
      </c>
      <c r="I4187" s="7" t="n">
        <v>190801</v>
      </c>
      <c r="J4187" s="94" t="n"/>
      <c r="K4187" s="149" t="n">
        <v>1</v>
      </c>
      <c r="L4187" s="7" t="n">
        <v>190801</v>
      </c>
      <c r="M4187" s="94">
        <f>VLOOKUP($Q4187,매칭테이블!$F:$I,2,0)*K4187</f>
        <v/>
      </c>
      <c r="N4187" s="94">
        <f>M4187-M4187*VLOOKUP($Q4187,매칭테이블!$F:$I,3,0)</f>
        <v/>
      </c>
      <c r="O4187" s="94">
        <f>VLOOKUP($Q4187,매칭테이블!$F:$I,4,0)*K4187</f>
        <v/>
      </c>
      <c r="P4187" s="148">
        <f>M4187/1.1</f>
        <v/>
      </c>
      <c r="Q4187" s="94">
        <f>F4187&amp;E4187&amp;G4187&amp;L4187</f>
        <v/>
      </c>
    </row>
    <row r="4188">
      <c r="A4188" s="94" t="n"/>
      <c r="B4188" s="128" t="n">
        <v>43812</v>
      </c>
      <c r="C4188" s="94">
        <f>TEXT(B4188,"aaa")</f>
        <v/>
      </c>
      <c r="D4188" s="94" t="n"/>
      <c r="E4188" s="6" t="inlineStr">
        <is>
          <t>토너</t>
        </is>
      </c>
      <c r="F4188" s="5" t="inlineStr">
        <is>
          <t>카페24</t>
        </is>
      </c>
      <c r="G4188" s="5" t="inlineStr">
        <is>
          <t>500ml</t>
        </is>
      </c>
      <c r="H4188" s="7" t="n">
        <v>190801</v>
      </c>
      <c r="I4188" s="7" t="n">
        <v>190801</v>
      </c>
      <c r="J4188" s="94" t="n"/>
      <c r="K4188" s="149" t="n">
        <v>29</v>
      </c>
      <c r="L4188" s="7" t="n">
        <v>190801</v>
      </c>
      <c r="M4188" s="94">
        <f>VLOOKUP($Q4188,매칭테이블!$F:$I,2,0)*K4188</f>
        <v/>
      </c>
      <c r="N4188" s="94">
        <f>M4188-M4188*VLOOKUP($Q4188,매칭테이블!$F:$I,3,0)</f>
        <v/>
      </c>
      <c r="O4188" s="94">
        <f>VLOOKUP($Q4188,매칭테이블!$F:$I,4,0)*K4188</f>
        <v/>
      </c>
      <c r="P4188" s="148">
        <f>M4188/1.1</f>
        <v/>
      </c>
      <c r="Q4188" s="94">
        <f>F4188&amp;E4188&amp;G4188&amp;L4188</f>
        <v/>
      </c>
    </row>
    <row r="4189">
      <c r="A4189" s="94" t="n"/>
      <c r="B4189" s="128" t="n">
        <v>43812</v>
      </c>
      <c r="C4189" s="94">
        <f>TEXT(B4189,"aaa")</f>
        <v/>
      </c>
      <c r="D4189" s="94" t="n"/>
      <c r="E4189" s="6" t="inlineStr">
        <is>
          <t>토너</t>
        </is>
      </c>
      <c r="F4189" s="5" t="inlineStr">
        <is>
          <t>카페24</t>
        </is>
      </c>
      <c r="G4189" s="5" t="inlineStr">
        <is>
          <t>250ml</t>
        </is>
      </c>
      <c r="H4189" s="7" t="n">
        <v>190801</v>
      </c>
      <c r="I4189" s="7" t="n">
        <v>190801</v>
      </c>
      <c r="J4189" s="94" t="n"/>
      <c r="K4189" s="149" t="n">
        <v>26</v>
      </c>
      <c r="L4189" s="7" t="n">
        <v>190801</v>
      </c>
      <c r="M4189" s="94">
        <f>VLOOKUP($Q4189,매칭테이블!$F:$I,2,0)*K4189</f>
        <v/>
      </c>
      <c r="N4189" s="94">
        <f>M4189-M4189*VLOOKUP($Q4189,매칭테이블!$F:$I,3,0)</f>
        <v/>
      </c>
      <c r="O4189" s="94">
        <f>VLOOKUP($Q4189,매칭테이블!$F:$I,4,0)*K4189</f>
        <v/>
      </c>
      <c r="P4189" s="148">
        <f>M4189/1.1</f>
        <v/>
      </c>
      <c r="Q4189" s="94">
        <f>F4189&amp;E4189&amp;G4189&amp;L4189</f>
        <v/>
      </c>
    </row>
    <row r="4190">
      <c r="A4190" s="94" t="n"/>
      <c r="B4190" s="128" t="n">
        <v>43812</v>
      </c>
      <c r="C4190" s="94">
        <f>TEXT(B4190,"aaa")</f>
        <v/>
      </c>
      <c r="D4190" s="94" t="n"/>
      <c r="E4190" s="6" t="inlineStr">
        <is>
          <t>토너</t>
        </is>
      </c>
      <c r="F4190" s="5" t="inlineStr">
        <is>
          <t>카페24</t>
        </is>
      </c>
      <c r="G4190" s="5" t="inlineStr">
        <is>
          <t>250ml 2set</t>
        </is>
      </c>
      <c r="H4190" s="7" t="n">
        <v>190801</v>
      </c>
      <c r="I4190" s="7" t="n">
        <v>190801</v>
      </c>
      <c r="J4190" s="94" t="n"/>
      <c r="K4190" s="149" t="n">
        <v>15</v>
      </c>
      <c r="L4190" s="7" t="n">
        <v>190801</v>
      </c>
      <c r="M4190" s="94">
        <f>VLOOKUP($Q4190,매칭테이블!$F:$I,2,0)*K4190</f>
        <v/>
      </c>
      <c r="N4190" s="94">
        <f>M4190-M4190*VLOOKUP($Q4190,매칭테이블!$F:$I,3,0)</f>
        <v/>
      </c>
      <c r="O4190" s="94">
        <f>VLOOKUP($Q4190,매칭테이블!$F:$I,4,0)*K4190</f>
        <v/>
      </c>
      <c r="P4190" s="148">
        <f>M4190/1.1</f>
        <v/>
      </c>
      <c r="Q4190" s="94">
        <f>F4190&amp;E4190&amp;G4190&amp;L4190</f>
        <v/>
      </c>
    </row>
    <row r="4191">
      <c r="A4191" s="94" t="n"/>
      <c r="B4191" s="128" t="n">
        <v>43813</v>
      </c>
      <c r="C4191" s="94">
        <f>TEXT(B4191,"aaa")</f>
        <v/>
      </c>
      <c r="D4191" s="94" t="n"/>
      <c r="E4191" s="6" t="inlineStr">
        <is>
          <t>토너</t>
        </is>
      </c>
      <c r="F4191" s="5" t="inlineStr">
        <is>
          <t>W컨셉</t>
        </is>
      </c>
      <c r="G4191" s="5" t="inlineStr">
        <is>
          <t>250ml 2set</t>
        </is>
      </c>
      <c r="H4191" s="7" t="n">
        <v>190801</v>
      </c>
      <c r="I4191" s="7" t="n">
        <v>190801</v>
      </c>
      <c r="J4191" s="94" t="n"/>
      <c r="K4191" s="149" t="n">
        <v>4</v>
      </c>
      <c r="L4191" s="7" t="n">
        <v>190801</v>
      </c>
      <c r="M4191" s="94">
        <f>VLOOKUP($Q4191,매칭테이블!$F:$I,2,0)*K4191</f>
        <v/>
      </c>
      <c r="N4191" s="94">
        <f>M4191-M4191*VLOOKUP($Q4191,매칭테이블!$F:$I,3,0)</f>
        <v/>
      </c>
      <c r="O4191" s="94">
        <f>VLOOKUP($Q4191,매칭테이블!$F:$I,4,0)*K4191</f>
        <v/>
      </c>
      <c r="P4191" s="148">
        <f>M4191/1.1</f>
        <v/>
      </c>
      <c r="Q4191" s="94">
        <f>F4191&amp;E4191&amp;G4191&amp;L4191</f>
        <v/>
      </c>
    </row>
    <row r="4192">
      <c r="A4192" s="94" t="n"/>
      <c r="B4192" s="128" t="n">
        <v>43813</v>
      </c>
      <c r="C4192" s="94">
        <f>TEXT(B4192,"aaa")</f>
        <v/>
      </c>
      <c r="D4192" s="94" t="n"/>
      <c r="E4192" s="6" t="inlineStr">
        <is>
          <t>토너</t>
        </is>
      </c>
      <c r="F4192" s="5" t="inlineStr">
        <is>
          <t>카페24</t>
        </is>
      </c>
      <c r="G4192" s="5" t="inlineStr">
        <is>
          <t>500ml</t>
        </is>
      </c>
      <c r="H4192" s="7" t="n">
        <v>190801</v>
      </c>
      <c r="I4192" s="7" t="n">
        <v>190801</v>
      </c>
      <c r="J4192" s="94" t="n"/>
      <c r="K4192" s="149" t="n">
        <v>75</v>
      </c>
      <c r="L4192" s="7" t="n">
        <v>190801</v>
      </c>
      <c r="M4192" s="94">
        <f>VLOOKUP($Q4192,매칭테이블!$F:$I,2,0)*K4192</f>
        <v/>
      </c>
      <c r="N4192" s="94">
        <f>M4192-M4192*VLOOKUP($Q4192,매칭테이블!$F:$I,3,0)</f>
        <v/>
      </c>
      <c r="O4192" s="94">
        <f>VLOOKUP($Q4192,매칭테이블!$F:$I,4,0)*K4192</f>
        <v/>
      </c>
      <c r="P4192" s="148">
        <f>M4192/1.1</f>
        <v/>
      </c>
      <c r="Q4192" s="94">
        <f>F4192&amp;E4192&amp;G4192&amp;L4192</f>
        <v/>
      </c>
    </row>
    <row r="4193">
      <c r="A4193" s="94" t="n"/>
      <c r="B4193" s="128" t="n">
        <v>43813</v>
      </c>
      <c r="C4193" s="94">
        <f>TEXT(B4193,"aaa")</f>
        <v/>
      </c>
      <c r="D4193" s="94" t="n"/>
      <c r="E4193" s="6" t="inlineStr">
        <is>
          <t>토너</t>
        </is>
      </c>
      <c r="F4193" s="5" t="inlineStr">
        <is>
          <t>카페24</t>
        </is>
      </c>
      <c r="G4193" s="5" t="inlineStr">
        <is>
          <t>250ml</t>
        </is>
      </c>
      <c r="H4193" s="7" t="n">
        <v>190801</v>
      </c>
      <c r="I4193" s="7" t="n">
        <v>190801</v>
      </c>
      <c r="J4193" s="94" t="n"/>
      <c r="K4193" s="149" t="n">
        <v>73</v>
      </c>
      <c r="L4193" s="7" t="n">
        <v>190801</v>
      </c>
      <c r="M4193" s="94">
        <f>VLOOKUP($Q4193,매칭테이블!$F:$I,2,0)*K4193</f>
        <v/>
      </c>
      <c r="N4193" s="94">
        <f>M4193-M4193*VLOOKUP($Q4193,매칭테이블!$F:$I,3,0)</f>
        <v/>
      </c>
      <c r="O4193" s="94">
        <f>VLOOKUP($Q4193,매칭테이블!$F:$I,4,0)*K4193</f>
        <v/>
      </c>
      <c r="P4193" s="148">
        <f>M4193/1.1</f>
        <v/>
      </c>
      <c r="Q4193" s="94">
        <f>F4193&amp;E4193&amp;G4193&amp;L4193</f>
        <v/>
      </c>
    </row>
    <row r="4194">
      <c r="A4194" s="94" t="n"/>
      <c r="B4194" s="128" t="n">
        <v>43813</v>
      </c>
      <c r="C4194" s="94">
        <f>TEXT(B4194,"aaa")</f>
        <v/>
      </c>
      <c r="D4194" s="94" t="n"/>
      <c r="E4194" s="6" t="inlineStr">
        <is>
          <t>토너</t>
        </is>
      </c>
      <c r="F4194" s="5" t="inlineStr">
        <is>
          <t>카페24</t>
        </is>
      </c>
      <c r="G4194" s="5" t="inlineStr">
        <is>
          <t>250ml 2set</t>
        </is>
      </c>
      <c r="H4194" s="7" t="n">
        <v>190801</v>
      </c>
      <c r="I4194" s="7" t="n">
        <v>190801</v>
      </c>
      <c r="J4194" s="94" t="n"/>
      <c r="K4194" s="149" t="n">
        <v>36</v>
      </c>
      <c r="L4194" s="7" t="n">
        <v>190801</v>
      </c>
      <c r="M4194" s="94">
        <f>VLOOKUP($Q4194,매칭테이블!$F:$I,2,0)*K4194</f>
        <v/>
      </c>
      <c r="N4194" s="94">
        <f>M4194-M4194*VLOOKUP($Q4194,매칭테이블!$F:$I,3,0)</f>
        <v/>
      </c>
      <c r="O4194" s="94">
        <f>VLOOKUP($Q4194,매칭테이블!$F:$I,4,0)*K4194</f>
        <v/>
      </c>
      <c r="P4194" s="148">
        <f>M4194/1.1</f>
        <v/>
      </c>
      <c r="Q4194" s="94">
        <f>F4194&amp;E4194&amp;G4194&amp;L4194</f>
        <v/>
      </c>
    </row>
    <row r="4195">
      <c r="A4195" s="94" t="n"/>
      <c r="B4195" s="128" t="n">
        <v>43814</v>
      </c>
      <c r="C4195" s="94">
        <f>TEXT(B4195,"aaa")</f>
        <v/>
      </c>
      <c r="D4195" s="94" t="n"/>
      <c r="E4195" s="6" t="inlineStr">
        <is>
          <t>토너</t>
        </is>
      </c>
      <c r="F4195" s="5" t="inlineStr">
        <is>
          <t>W컨셉</t>
        </is>
      </c>
      <c r="G4195" s="5" t="inlineStr">
        <is>
          <t>250ml</t>
        </is>
      </c>
      <c r="H4195" s="7" t="n">
        <v>190801</v>
      </c>
      <c r="I4195" s="7" t="n">
        <v>190801</v>
      </c>
      <c r="J4195" s="94" t="n"/>
      <c r="K4195" s="149" t="n">
        <v>1</v>
      </c>
      <c r="L4195" s="7" t="n">
        <v>190801</v>
      </c>
      <c r="M4195" s="94">
        <f>VLOOKUP($Q4195,매칭테이블!$F:$I,2,0)*K4195</f>
        <v/>
      </c>
      <c r="N4195" s="94">
        <f>M4195-M4195*VLOOKUP($Q4195,매칭테이블!$F:$I,3,0)</f>
        <v/>
      </c>
      <c r="O4195" s="94">
        <f>VLOOKUP($Q4195,매칭테이블!$F:$I,4,0)*K4195</f>
        <v/>
      </c>
      <c r="P4195" s="148">
        <f>M4195/1.1</f>
        <v/>
      </c>
      <c r="Q4195" s="94">
        <f>F4195&amp;E4195&amp;G4195&amp;L4195</f>
        <v/>
      </c>
    </row>
    <row r="4196">
      <c r="A4196" s="94" t="n"/>
      <c r="B4196" s="128" t="n">
        <v>43814</v>
      </c>
      <c r="C4196" s="94">
        <f>TEXT(B4196,"aaa")</f>
        <v/>
      </c>
      <c r="D4196" s="94" t="n"/>
      <c r="E4196" s="6" t="inlineStr">
        <is>
          <t>토너</t>
        </is>
      </c>
      <c r="F4196" s="5" t="inlineStr">
        <is>
          <t>W컨셉</t>
        </is>
      </c>
      <c r="G4196" s="5" t="inlineStr">
        <is>
          <t>250ml 2set</t>
        </is>
      </c>
      <c r="H4196" s="7" t="n">
        <v>190801</v>
      </c>
      <c r="I4196" s="7" t="n">
        <v>190801</v>
      </c>
      <c r="J4196" s="94" t="n"/>
      <c r="K4196" s="149" t="n">
        <v>11</v>
      </c>
      <c r="L4196" s="7" t="n">
        <v>190801</v>
      </c>
      <c r="M4196" s="94">
        <f>VLOOKUP($Q4196,매칭테이블!$F:$I,2,0)*K4196</f>
        <v/>
      </c>
      <c r="N4196" s="94">
        <f>M4196-M4196*VLOOKUP($Q4196,매칭테이블!$F:$I,3,0)</f>
        <v/>
      </c>
      <c r="O4196" s="94">
        <f>VLOOKUP($Q4196,매칭테이블!$F:$I,4,0)*K4196</f>
        <v/>
      </c>
      <c r="P4196" s="148">
        <f>M4196/1.1</f>
        <v/>
      </c>
      <c r="Q4196" s="94">
        <f>F4196&amp;E4196&amp;G4196&amp;L4196</f>
        <v/>
      </c>
    </row>
    <row r="4197">
      <c r="A4197" s="94" t="n"/>
      <c r="B4197" s="128" t="n">
        <v>43814</v>
      </c>
      <c r="C4197" s="94">
        <f>TEXT(B4197,"aaa")</f>
        <v/>
      </c>
      <c r="D4197" s="94" t="n"/>
      <c r="E4197" s="6" t="inlineStr">
        <is>
          <t>토너</t>
        </is>
      </c>
      <c r="F4197" s="5" t="inlineStr">
        <is>
          <t>카페24</t>
        </is>
      </c>
      <c r="G4197" s="5" t="inlineStr">
        <is>
          <t>500ml</t>
        </is>
      </c>
      <c r="H4197" s="7" t="n">
        <v>190801</v>
      </c>
      <c r="I4197" s="7" t="n">
        <v>190801</v>
      </c>
      <c r="J4197" s="94" t="n"/>
      <c r="K4197" s="149" t="n">
        <v>175</v>
      </c>
      <c r="L4197" s="7" t="n">
        <v>190801</v>
      </c>
      <c r="M4197" s="94">
        <f>VLOOKUP($Q4197,매칭테이블!$F:$I,2,0)*K4197</f>
        <v/>
      </c>
      <c r="N4197" s="94">
        <f>M4197-M4197*VLOOKUP($Q4197,매칭테이블!$F:$I,3,0)</f>
        <v/>
      </c>
      <c r="O4197" s="94">
        <f>VLOOKUP($Q4197,매칭테이블!$F:$I,4,0)*K4197</f>
        <v/>
      </c>
      <c r="P4197" s="148">
        <f>M4197/1.1</f>
        <v/>
      </c>
      <c r="Q4197" s="94">
        <f>F4197&amp;E4197&amp;G4197&amp;L4197</f>
        <v/>
      </c>
    </row>
    <row r="4198">
      <c r="A4198" s="94" t="n"/>
      <c r="B4198" s="128" t="n">
        <v>43814</v>
      </c>
      <c r="C4198" s="94">
        <f>TEXT(B4198,"aaa")</f>
        <v/>
      </c>
      <c r="D4198" s="94" t="n"/>
      <c r="E4198" s="6" t="inlineStr">
        <is>
          <t>토너</t>
        </is>
      </c>
      <c r="F4198" s="5" t="inlineStr">
        <is>
          <t>카페24</t>
        </is>
      </c>
      <c r="G4198" s="5" t="inlineStr">
        <is>
          <t>250ml</t>
        </is>
      </c>
      <c r="H4198" s="7" t="n">
        <v>190801</v>
      </c>
      <c r="I4198" s="7" t="n">
        <v>190801</v>
      </c>
      <c r="J4198" s="94" t="n"/>
      <c r="K4198" s="149" t="n">
        <v>144</v>
      </c>
      <c r="L4198" s="7" t="n">
        <v>190801</v>
      </c>
      <c r="M4198" s="94">
        <f>VLOOKUP($Q4198,매칭테이블!$F:$I,2,0)*K4198</f>
        <v/>
      </c>
      <c r="N4198" s="94">
        <f>M4198-M4198*VLOOKUP($Q4198,매칭테이블!$F:$I,3,0)</f>
        <v/>
      </c>
      <c r="O4198" s="94">
        <f>VLOOKUP($Q4198,매칭테이블!$F:$I,4,0)*K4198</f>
        <v/>
      </c>
      <c r="P4198" s="148">
        <f>M4198/1.1</f>
        <v/>
      </c>
      <c r="Q4198" s="94">
        <f>F4198&amp;E4198&amp;G4198&amp;L4198</f>
        <v/>
      </c>
    </row>
    <row r="4199">
      <c r="A4199" s="94" t="n"/>
      <c r="B4199" s="128" t="n">
        <v>43814</v>
      </c>
      <c r="C4199" s="94">
        <f>TEXT(B4199,"aaa")</f>
        <v/>
      </c>
      <c r="D4199" s="94" t="n"/>
      <c r="E4199" s="6" t="inlineStr">
        <is>
          <t>토너</t>
        </is>
      </c>
      <c r="F4199" s="5" t="inlineStr">
        <is>
          <t>카페24</t>
        </is>
      </c>
      <c r="G4199" s="5" t="inlineStr">
        <is>
          <t>250ml 2set</t>
        </is>
      </c>
      <c r="H4199" s="7" t="n">
        <v>190801</v>
      </c>
      <c r="I4199" s="7" t="n">
        <v>190801</v>
      </c>
      <c r="J4199" s="94" t="n"/>
      <c r="K4199" s="149" t="n">
        <v>66</v>
      </c>
      <c r="L4199" s="7" t="n">
        <v>190801</v>
      </c>
      <c r="M4199" s="94">
        <f>VLOOKUP($Q4199,매칭테이블!$F:$I,2,0)*K4199</f>
        <v/>
      </c>
      <c r="N4199" s="94">
        <f>M4199-M4199*VLOOKUP($Q4199,매칭테이블!$F:$I,3,0)</f>
        <v/>
      </c>
      <c r="O4199" s="94">
        <f>VLOOKUP($Q4199,매칭테이블!$F:$I,4,0)*K4199</f>
        <v/>
      </c>
      <c r="P4199" s="148">
        <f>M4199/1.1</f>
        <v/>
      </c>
      <c r="Q4199" s="94">
        <f>F4199&amp;E4199&amp;G4199&amp;L4199</f>
        <v/>
      </c>
    </row>
    <row r="4200">
      <c r="A4200" s="94" t="n"/>
      <c r="B4200" s="128" t="n">
        <v>43815</v>
      </c>
      <c r="C4200" s="94">
        <f>TEXT(B4200,"aaa")</f>
        <v/>
      </c>
      <c r="D4200" s="94" t="n"/>
      <c r="E4200" s="6" t="inlineStr">
        <is>
          <t>토너</t>
        </is>
      </c>
      <c r="F4200" s="5" t="inlineStr">
        <is>
          <t>W컨셉</t>
        </is>
      </c>
      <c r="G4200" s="5" t="inlineStr">
        <is>
          <t>250ml</t>
        </is>
      </c>
      <c r="H4200" s="7" t="n">
        <v>190801</v>
      </c>
      <c r="I4200" s="7" t="n">
        <v>190801</v>
      </c>
      <c r="J4200" s="94" t="n"/>
      <c r="K4200" s="149" t="n">
        <v>1</v>
      </c>
      <c r="L4200" s="7" t="n">
        <v>190801</v>
      </c>
      <c r="M4200" s="94">
        <f>VLOOKUP($Q4200,매칭테이블!$F:$I,2,0)*K4200</f>
        <v/>
      </c>
      <c r="N4200" s="94">
        <f>M4200-M4200*VLOOKUP($Q4200,매칭테이블!$F:$I,3,0)</f>
        <v/>
      </c>
      <c r="O4200" s="94">
        <f>VLOOKUP($Q4200,매칭테이블!$F:$I,4,0)*K4200</f>
        <v/>
      </c>
      <c r="P4200" s="148">
        <f>M4200/1.1</f>
        <v/>
      </c>
      <c r="Q4200" s="94">
        <f>F4200&amp;E4200&amp;G4200&amp;L4200</f>
        <v/>
      </c>
    </row>
    <row r="4201">
      <c r="A4201" s="94" t="n"/>
      <c r="B4201" s="128" t="n">
        <v>43815</v>
      </c>
      <c r="C4201" s="94">
        <f>TEXT(B4201,"aaa")</f>
        <v/>
      </c>
      <c r="D4201" s="94" t="n"/>
      <c r="E4201" s="6" t="inlineStr">
        <is>
          <t>토너</t>
        </is>
      </c>
      <c r="F4201" s="5" t="inlineStr">
        <is>
          <t>W컨셉</t>
        </is>
      </c>
      <c r="G4201" s="5" t="inlineStr">
        <is>
          <t>250ml 2set</t>
        </is>
      </c>
      <c r="H4201" s="7" t="n">
        <v>190801</v>
      </c>
      <c r="I4201" s="7" t="n">
        <v>190801</v>
      </c>
      <c r="J4201" s="94" t="n"/>
      <c r="K4201" s="149" t="n">
        <v>8</v>
      </c>
      <c r="L4201" s="7" t="n">
        <v>190801</v>
      </c>
      <c r="M4201" s="94">
        <f>VLOOKUP($Q4201,매칭테이블!$F:$I,2,0)*K4201</f>
        <v/>
      </c>
      <c r="N4201" s="94">
        <f>M4201-M4201*VLOOKUP($Q4201,매칭테이블!$F:$I,3,0)</f>
        <v/>
      </c>
      <c r="O4201" s="94">
        <f>VLOOKUP($Q4201,매칭테이블!$F:$I,4,0)*K4201</f>
        <v/>
      </c>
      <c r="P4201" s="148">
        <f>M4201/1.1</f>
        <v/>
      </c>
      <c r="Q4201" s="94">
        <f>F4201&amp;E4201&amp;G4201&amp;L4201</f>
        <v/>
      </c>
    </row>
    <row r="4202">
      <c r="A4202" s="94" t="n"/>
      <c r="B4202" s="128" t="n">
        <v>43815</v>
      </c>
      <c r="C4202" s="94">
        <f>TEXT(B4202,"aaa")</f>
        <v/>
      </c>
      <c r="D4202" s="94" t="n"/>
      <c r="E4202" s="6" t="inlineStr">
        <is>
          <t>토너</t>
        </is>
      </c>
      <c r="F4202" s="5" t="inlineStr">
        <is>
          <t>카페24</t>
        </is>
      </c>
      <c r="G4202" s="5" t="inlineStr">
        <is>
          <t>500ml</t>
        </is>
      </c>
      <c r="H4202" s="7" t="n">
        <v>190801</v>
      </c>
      <c r="I4202" s="7" t="n">
        <v>190801</v>
      </c>
      <c r="J4202" s="94" t="n"/>
      <c r="K4202" s="149" t="n">
        <v>36</v>
      </c>
      <c r="L4202" s="7" t="n">
        <v>190801</v>
      </c>
      <c r="M4202" s="94">
        <f>VLOOKUP($Q4202,매칭테이블!$F:$I,2,0)*K4202</f>
        <v/>
      </c>
      <c r="N4202" s="94">
        <f>M4202-M4202*VLOOKUP($Q4202,매칭테이블!$F:$I,3,0)</f>
        <v/>
      </c>
      <c r="O4202" s="94">
        <f>VLOOKUP($Q4202,매칭테이블!$F:$I,4,0)*K4202</f>
        <v/>
      </c>
      <c r="P4202" s="148">
        <f>M4202/1.1</f>
        <v/>
      </c>
      <c r="Q4202" s="94">
        <f>F4202&amp;E4202&amp;G4202&amp;L4202</f>
        <v/>
      </c>
    </row>
    <row r="4203">
      <c r="A4203" s="94" t="n"/>
      <c r="B4203" s="128" t="n">
        <v>43815</v>
      </c>
      <c r="C4203" s="94">
        <f>TEXT(B4203,"aaa")</f>
        <v/>
      </c>
      <c r="D4203" s="94" t="n"/>
      <c r="E4203" s="6" t="inlineStr">
        <is>
          <t>토너</t>
        </is>
      </c>
      <c r="F4203" s="5" t="inlineStr">
        <is>
          <t>카페24</t>
        </is>
      </c>
      <c r="G4203" s="5" t="inlineStr">
        <is>
          <t>250ml</t>
        </is>
      </c>
      <c r="H4203" s="7" t="n">
        <v>190801</v>
      </c>
      <c r="I4203" s="7" t="n">
        <v>190801</v>
      </c>
      <c r="J4203" s="94" t="n"/>
      <c r="K4203" s="149" t="n">
        <v>37</v>
      </c>
      <c r="L4203" s="7" t="n">
        <v>190801</v>
      </c>
      <c r="M4203" s="94">
        <f>VLOOKUP($Q4203,매칭테이블!$F:$I,2,0)*K4203</f>
        <v/>
      </c>
      <c r="N4203" s="94">
        <f>M4203-M4203*VLOOKUP($Q4203,매칭테이블!$F:$I,3,0)</f>
        <v/>
      </c>
      <c r="O4203" s="94">
        <f>VLOOKUP($Q4203,매칭테이블!$F:$I,4,0)*K4203</f>
        <v/>
      </c>
      <c r="P4203" s="148">
        <f>M4203/1.1</f>
        <v/>
      </c>
      <c r="Q4203" s="94">
        <f>F4203&amp;E4203&amp;G4203&amp;L4203</f>
        <v/>
      </c>
    </row>
    <row r="4204">
      <c r="A4204" s="94" t="n"/>
      <c r="B4204" s="128" t="n">
        <v>43815</v>
      </c>
      <c r="C4204" s="94">
        <f>TEXT(B4204,"aaa")</f>
        <v/>
      </c>
      <c r="D4204" s="94" t="n"/>
      <c r="E4204" s="6" t="inlineStr">
        <is>
          <t>토너</t>
        </is>
      </c>
      <c r="F4204" s="5" t="inlineStr">
        <is>
          <t>카페24</t>
        </is>
      </c>
      <c r="G4204" s="5" t="inlineStr">
        <is>
          <t>250ml 2set</t>
        </is>
      </c>
      <c r="H4204" s="7" t="n">
        <v>190801</v>
      </c>
      <c r="I4204" s="7" t="n">
        <v>190801</v>
      </c>
      <c r="J4204" s="94" t="n"/>
      <c r="K4204" s="149" t="n">
        <v>34</v>
      </c>
      <c r="L4204" s="7" t="n">
        <v>190801</v>
      </c>
      <c r="M4204" s="94">
        <f>VLOOKUP($Q4204,매칭테이블!$F:$I,2,0)*K4204</f>
        <v/>
      </c>
      <c r="N4204" s="94">
        <f>M4204-M4204*VLOOKUP($Q4204,매칭테이블!$F:$I,3,0)</f>
        <v/>
      </c>
      <c r="O4204" s="94">
        <f>VLOOKUP($Q4204,매칭테이블!$F:$I,4,0)*K4204</f>
        <v/>
      </c>
      <c r="P4204" s="148">
        <f>M4204/1.1</f>
        <v/>
      </c>
      <c r="Q4204" s="94">
        <f>F4204&amp;E4204&amp;G4204&amp;L4204</f>
        <v/>
      </c>
    </row>
    <row r="4205">
      <c r="A4205" s="94" t="n"/>
      <c r="B4205" s="128" t="n">
        <v>43816</v>
      </c>
      <c r="C4205" s="94">
        <f>TEXT(B4205,"aaa")</f>
        <v/>
      </c>
      <c r="D4205" s="94" t="n"/>
      <c r="E4205" s="6" t="inlineStr">
        <is>
          <t>토너</t>
        </is>
      </c>
      <c r="F4205" s="5" t="inlineStr">
        <is>
          <t>W컨셉</t>
        </is>
      </c>
      <c r="G4205" s="5" t="inlineStr">
        <is>
          <t>250ml 2set</t>
        </is>
      </c>
      <c r="H4205" s="7" t="n">
        <v>190801</v>
      </c>
      <c r="I4205" s="7" t="n">
        <v>190801</v>
      </c>
      <c r="J4205" s="94" t="n"/>
      <c r="K4205" s="149" t="n">
        <v>11</v>
      </c>
      <c r="L4205" s="7" t="n">
        <v>190801</v>
      </c>
      <c r="M4205" s="94">
        <f>VLOOKUP($Q4205,매칭테이블!$F:$I,2,0)*K4205</f>
        <v/>
      </c>
      <c r="N4205" s="94">
        <f>M4205-M4205*VLOOKUP($Q4205,매칭테이블!$F:$I,3,0)</f>
        <v/>
      </c>
      <c r="O4205" s="94">
        <f>VLOOKUP($Q4205,매칭테이블!$F:$I,4,0)*K4205</f>
        <v/>
      </c>
      <c r="P4205" s="148">
        <f>M4205/1.1</f>
        <v/>
      </c>
      <c r="Q4205" s="94">
        <f>F4205&amp;E4205&amp;G4205&amp;L4205</f>
        <v/>
      </c>
    </row>
    <row r="4206">
      <c r="A4206" s="94" t="n"/>
      <c r="B4206" s="128" t="n">
        <v>43816</v>
      </c>
      <c r="C4206" s="94">
        <f>TEXT(B4206,"aaa")</f>
        <v/>
      </c>
      <c r="D4206" s="94" t="n"/>
      <c r="E4206" s="6" t="inlineStr">
        <is>
          <t>토너</t>
        </is>
      </c>
      <c r="F4206" s="5" t="inlineStr">
        <is>
          <t>카페24</t>
        </is>
      </c>
      <c r="G4206" s="5" t="inlineStr">
        <is>
          <t>500ml</t>
        </is>
      </c>
      <c r="H4206" s="7" t="n">
        <v>190801</v>
      </c>
      <c r="I4206" s="7" t="n">
        <v>190801</v>
      </c>
      <c r="J4206" s="94" t="n"/>
      <c r="K4206" s="149" t="n">
        <v>29</v>
      </c>
      <c r="L4206" s="7" t="n">
        <v>190801</v>
      </c>
      <c r="M4206" s="94">
        <f>VLOOKUP($Q4206,매칭테이블!$F:$I,2,0)*K4206</f>
        <v/>
      </c>
      <c r="N4206" s="94">
        <f>M4206-M4206*VLOOKUP($Q4206,매칭테이블!$F:$I,3,0)</f>
        <v/>
      </c>
      <c r="O4206" s="94">
        <f>VLOOKUP($Q4206,매칭테이블!$F:$I,4,0)*K4206</f>
        <v/>
      </c>
      <c r="P4206" s="148">
        <f>M4206/1.1</f>
        <v/>
      </c>
      <c r="Q4206" s="94">
        <f>F4206&amp;E4206&amp;G4206&amp;L4206</f>
        <v/>
      </c>
    </row>
    <row r="4207">
      <c r="A4207" s="94" t="n"/>
      <c r="B4207" s="128" t="n">
        <v>43816</v>
      </c>
      <c r="C4207" s="94">
        <f>TEXT(B4207,"aaa")</f>
        <v/>
      </c>
      <c r="D4207" s="94" t="n"/>
      <c r="E4207" s="6" t="inlineStr">
        <is>
          <t>토너</t>
        </is>
      </c>
      <c r="F4207" s="5" t="inlineStr">
        <is>
          <t>카페24</t>
        </is>
      </c>
      <c r="G4207" s="5" t="inlineStr">
        <is>
          <t>250ml</t>
        </is>
      </c>
      <c r="H4207" s="7" t="n">
        <v>190801</v>
      </c>
      <c r="I4207" s="7" t="n">
        <v>190801</v>
      </c>
      <c r="J4207" s="94" t="n"/>
      <c r="K4207" s="149" t="n">
        <v>45</v>
      </c>
      <c r="L4207" s="7" t="n">
        <v>190801</v>
      </c>
      <c r="M4207" s="94">
        <f>VLOOKUP($Q4207,매칭테이블!$F:$I,2,0)*K4207</f>
        <v/>
      </c>
      <c r="N4207" s="94">
        <f>M4207-M4207*VLOOKUP($Q4207,매칭테이블!$F:$I,3,0)</f>
        <v/>
      </c>
      <c r="O4207" s="94">
        <f>VLOOKUP($Q4207,매칭테이블!$F:$I,4,0)*K4207</f>
        <v/>
      </c>
      <c r="P4207" s="148">
        <f>M4207/1.1</f>
        <v/>
      </c>
      <c r="Q4207" s="94">
        <f>F4207&amp;E4207&amp;G4207&amp;L4207</f>
        <v/>
      </c>
    </row>
    <row r="4208">
      <c r="A4208" s="94" t="n"/>
      <c r="B4208" s="128" t="n">
        <v>43816</v>
      </c>
      <c r="C4208" s="94">
        <f>TEXT(B4208,"aaa")</f>
        <v/>
      </c>
      <c r="D4208" s="94" t="n"/>
      <c r="E4208" s="6" t="inlineStr">
        <is>
          <t>토너</t>
        </is>
      </c>
      <c r="F4208" s="5" t="inlineStr">
        <is>
          <t>카페24</t>
        </is>
      </c>
      <c r="G4208" s="5" t="inlineStr">
        <is>
          <t>250ml 2set</t>
        </is>
      </c>
      <c r="H4208" s="7" t="n">
        <v>190801</v>
      </c>
      <c r="I4208" s="7" t="n">
        <v>190801</v>
      </c>
      <c r="J4208" s="94" t="n"/>
      <c r="K4208" s="149" t="n">
        <v>31</v>
      </c>
      <c r="L4208" s="7" t="n">
        <v>190801</v>
      </c>
      <c r="M4208" s="94">
        <f>VLOOKUP($Q4208,매칭테이블!$F:$I,2,0)*K4208</f>
        <v/>
      </c>
      <c r="N4208" s="94">
        <f>M4208-M4208*VLOOKUP($Q4208,매칭테이블!$F:$I,3,0)</f>
        <v/>
      </c>
      <c r="O4208" s="94">
        <f>VLOOKUP($Q4208,매칭테이블!$F:$I,4,0)*K4208</f>
        <v/>
      </c>
      <c r="P4208" s="148">
        <f>M4208/1.1</f>
        <v/>
      </c>
      <c r="Q4208" s="94">
        <f>F4208&amp;E4208&amp;G4208&amp;L4208</f>
        <v/>
      </c>
    </row>
    <row r="4209">
      <c r="A4209" s="94" t="n"/>
      <c r="B4209" s="128" t="n">
        <v>43817</v>
      </c>
      <c r="C4209" s="94">
        <f>TEXT(B4209,"aaa")</f>
        <v/>
      </c>
      <c r="D4209" s="94" t="n"/>
      <c r="E4209" s="6" t="inlineStr">
        <is>
          <t>토너</t>
        </is>
      </c>
      <c r="F4209" s="5" t="inlineStr">
        <is>
          <t>W컨셉</t>
        </is>
      </c>
      <c r="G4209" s="5" t="inlineStr">
        <is>
          <t>250ml 2set</t>
        </is>
      </c>
      <c r="H4209" s="7" t="n">
        <v>190801</v>
      </c>
      <c r="I4209" s="7" t="n">
        <v>190801</v>
      </c>
      <c r="J4209" s="94" t="n"/>
      <c r="K4209" s="149" t="n">
        <v>6</v>
      </c>
      <c r="L4209" s="7" t="n">
        <v>190801</v>
      </c>
      <c r="M4209" s="94">
        <f>VLOOKUP($Q4209,매칭테이블!$F:$I,2,0)*K4209</f>
        <v/>
      </c>
      <c r="N4209" s="94">
        <f>M4209-M4209*VLOOKUP($Q4209,매칭테이블!$F:$I,3,0)</f>
        <v/>
      </c>
      <c r="O4209" s="94">
        <f>VLOOKUP($Q4209,매칭테이블!$F:$I,4,0)*K4209</f>
        <v/>
      </c>
      <c r="P4209" s="148">
        <f>M4209/1.1</f>
        <v/>
      </c>
      <c r="Q4209" s="94">
        <f>F4209&amp;E4209&amp;G4209&amp;L4209</f>
        <v/>
      </c>
    </row>
    <row r="4210">
      <c r="A4210" s="94" t="n"/>
      <c r="B4210" s="128" t="n">
        <v>43817</v>
      </c>
      <c r="C4210" s="94">
        <f>TEXT(B4210,"aaa")</f>
        <v/>
      </c>
      <c r="D4210" s="94" t="n"/>
      <c r="E4210" s="6" t="inlineStr">
        <is>
          <t>토너</t>
        </is>
      </c>
      <c r="F4210" s="5" t="inlineStr">
        <is>
          <t>카페24</t>
        </is>
      </c>
      <c r="G4210" s="5" t="inlineStr">
        <is>
          <t>500ml</t>
        </is>
      </c>
      <c r="H4210" s="7" t="n">
        <v>190801</v>
      </c>
      <c r="I4210" s="7" t="n">
        <v>190801</v>
      </c>
      <c r="J4210" s="94" t="n"/>
      <c r="K4210" s="149" t="n">
        <v>39</v>
      </c>
      <c r="L4210" s="7" t="n">
        <v>190801</v>
      </c>
      <c r="M4210" s="94">
        <f>VLOOKUP($Q4210,매칭테이블!$F:$I,2,0)*K4210</f>
        <v/>
      </c>
      <c r="N4210" s="94">
        <f>M4210-M4210*VLOOKUP($Q4210,매칭테이블!$F:$I,3,0)</f>
        <v/>
      </c>
      <c r="O4210" s="94">
        <f>VLOOKUP($Q4210,매칭테이블!$F:$I,4,0)*K4210</f>
        <v/>
      </c>
      <c r="P4210" s="148">
        <f>M4210/1.1</f>
        <v/>
      </c>
      <c r="Q4210" s="94">
        <f>F4210&amp;E4210&amp;G4210&amp;L4210</f>
        <v/>
      </c>
    </row>
    <row r="4211">
      <c r="A4211" s="94" t="n"/>
      <c r="B4211" s="128" t="n">
        <v>43817</v>
      </c>
      <c r="C4211" s="94">
        <f>TEXT(B4211,"aaa")</f>
        <v/>
      </c>
      <c r="D4211" s="94" t="n"/>
      <c r="E4211" s="6" t="inlineStr">
        <is>
          <t>토너</t>
        </is>
      </c>
      <c r="F4211" s="5" t="inlineStr">
        <is>
          <t>카페24</t>
        </is>
      </c>
      <c r="G4211" s="5" t="inlineStr">
        <is>
          <t>250ml</t>
        </is>
      </c>
      <c r="H4211" s="7" t="n">
        <v>190801</v>
      </c>
      <c r="I4211" s="7" t="n">
        <v>190801</v>
      </c>
      <c r="J4211" s="94" t="n"/>
      <c r="K4211" s="149" t="n">
        <v>28</v>
      </c>
      <c r="L4211" s="7" t="n">
        <v>190801</v>
      </c>
      <c r="M4211" s="94">
        <f>VLOOKUP($Q4211,매칭테이블!$F:$I,2,0)*K4211</f>
        <v/>
      </c>
      <c r="N4211" s="94">
        <f>M4211-M4211*VLOOKUP($Q4211,매칭테이블!$F:$I,3,0)</f>
        <v/>
      </c>
      <c r="O4211" s="94">
        <f>VLOOKUP($Q4211,매칭테이블!$F:$I,4,0)*K4211</f>
        <v/>
      </c>
      <c r="P4211" s="148">
        <f>M4211/1.1</f>
        <v/>
      </c>
      <c r="Q4211" s="94">
        <f>F4211&amp;E4211&amp;G4211&amp;L4211</f>
        <v/>
      </c>
    </row>
    <row r="4212">
      <c r="A4212" s="94" t="n"/>
      <c r="B4212" s="128" t="n">
        <v>43817</v>
      </c>
      <c r="C4212" s="94">
        <f>TEXT(B4212,"aaa")</f>
        <v/>
      </c>
      <c r="D4212" s="94" t="n"/>
      <c r="E4212" s="6" t="inlineStr">
        <is>
          <t>토너</t>
        </is>
      </c>
      <c r="F4212" s="5" t="inlineStr">
        <is>
          <t>카페24</t>
        </is>
      </c>
      <c r="G4212" s="5" t="inlineStr">
        <is>
          <t>250ml 2set</t>
        </is>
      </c>
      <c r="H4212" s="7" t="n">
        <v>190801</v>
      </c>
      <c r="I4212" s="7" t="n">
        <v>190801</v>
      </c>
      <c r="J4212" s="94" t="n"/>
      <c r="K4212" s="149" t="n">
        <v>23</v>
      </c>
      <c r="L4212" s="7" t="n">
        <v>190801</v>
      </c>
      <c r="M4212" s="94">
        <f>VLOOKUP($Q4212,매칭테이블!$F:$I,2,0)*K4212</f>
        <v/>
      </c>
      <c r="N4212" s="94">
        <f>M4212-M4212*VLOOKUP($Q4212,매칭테이블!$F:$I,3,0)</f>
        <v/>
      </c>
      <c r="O4212" s="94">
        <f>VLOOKUP($Q4212,매칭테이블!$F:$I,4,0)*K4212</f>
        <v/>
      </c>
      <c r="P4212" s="148">
        <f>M4212/1.1</f>
        <v/>
      </c>
      <c r="Q4212" s="94">
        <f>F4212&amp;E4212&amp;G4212&amp;L4212</f>
        <v/>
      </c>
    </row>
    <row r="4213">
      <c r="A4213" s="94" t="n"/>
      <c r="B4213" s="128" t="n">
        <v>43817</v>
      </c>
      <c r="C4213" s="94">
        <f>TEXT(B4213,"aaa")</f>
        <v/>
      </c>
      <c r="D4213" s="94" t="n"/>
      <c r="E4213" s="94" t="inlineStr">
        <is>
          <t>토너</t>
        </is>
      </c>
      <c r="F4213" s="94" t="inlineStr">
        <is>
          <t>아누아 CS</t>
        </is>
      </c>
      <c r="G4213" s="94" t="inlineStr">
        <is>
          <t>250ml</t>
        </is>
      </c>
      <c r="H4213" s="7" t="n">
        <v>190801</v>
      </c>
      <c r="I4213" s="7" t="n">
        <v>190801</v>
      </c>
      <c r="J4213" s="94" t="n"/>
      <c r="K4213" s="6" t="n">
        <v>11</v>
      </c>
      <c r="L4213" s="7" t="n">
        <v>190801</v>
      </c>
      <c r="M4213" s="94">
        <f>VLOOKUP($Q4213,매칭테이블!$F:$I,2,0)*K4213</f>
        <v/>
      </c>
      <c r="N4213" s="94">
        <f>M4213-M4213*VLOOKUP($Q4213,매칭테이블!$F:$I,3,0)</f>
        <v/>
      </c>
      <c r="O4213" s="94">
        <f>VLOOKUP($Q4213,매칭테이블!$F:$I,4,0)*K4213</f>
        <v/>
      </c>
      <c r="P4213" s="148">
        <f>M4213/1.1</f>
        <v/>
      </c>
      <c r="Q4213" s="94">
        <f>F4213&amp;E4213&amp;G4213&amp;L4213</f>
        <v/>
      </c>
    </row>
    <row r="4214">
      <c r="A4214" s="94" t="n"/>
      <c r="B4214" s="128" t="n">
        <v>43818</v>
      </c>
      <c r="C4214" s="94">
        <f>TEXT(B4214,"aaa")</f>
        <v/>
      </c>
      <c r="D4214" s="94" t="n"/>
      <c r="E4214" s="6" t="inlineStr">
        <is>
          <t>토너</t>
        </is>
      </c>
      <c r="F4214" s="5" t="inlineStr">
        <is>
          <t>W컨셉</t>
        </is>
      </c>
      <c r="G4214" s="5" t="inlineStr">
        <is>
          <t>250ml 2set</t>
        </is>
      </c>
      <c r="H4214" s="7" t="n">
        <v>190801</v>
      </c>
      <c r="I4214" s="7" t="n">
        <v>190801</v>
      </c>
      <c r="J4214" s="94" t="n"/>
      <c r="K4214" s="149" t="n">
        <v>2</v>
      </c>
      <c r="L4214" s="7" t="n">
        <v>190801</v>
      </c>
      <c r="M4214" s="94">
        <f>VLOOKUP($Q4214,매칭테이블!$F:$I,2,0)*K4214</f>
        <v/>
      </c>
      <c r="N4214" s="94">
        <f>M4214-M4214*VLOOKUP($Q4214,매칭테이블!$F:$I,3,0)</f>
        <v/>
      </c>
      <c r="O4214" s="94">
        <f>VLOOKUP($Q4214,매칭테이블!$F:$I,4,0)*K4214</f>
        <v/>
      </c>
      <c r="P4214" s="148">
        <f>M4214/1.1</f>
        <v/>
      </c>
      <c r="Q4214" s="94">
        <f>F4214&amp;E4214&amp;G4214&amp;L4214</f>
        <v/>
      </c>
    </row>
    <row r="4215">
      <c r="A4215" s="94" t="n"/>
      <c r="B4215" s="128" t="n">
        <v>43818</v>
      </c>
      <c r="C4215" s="94">
        <f>TEXT(B4215,"aaa")</f>
        <v/>
      </c>
      <c r="D4215" s="94" t="n"/>
      <c r="E4215" s="6" t="inlineStr">
        <is>
          <t>토너</t>
        </is>
      </c>
      <c r="F4215" s="5" t="inlineStr">
        <is>
          <t>카페24</t>
        </is>
      </c>
      <c r="G4215" s="5" t="inlineStr">
        <is>
          <t>500ml</t>
        </is>
      </c>
      <c r="H4215" s="7" t="n">
        <v>190801</v>
      </c>
      <c r="I4215" s="7" t="n">
        <v>190801</v>
      </c>
      <c r="J4215" s="94" t="n"/>
      <c r="K4215" s="149" t="n">
        <v>34</v>
      </c>
      <c r="L4215" s="7" t="n">
        <v>190801</v>
      </c>
      <c r="M4215" s="94">
        <f>VLOOKUP($Q4215,매칭테이블!$F:$I,2,0)*K4215</f>
        <v/>
      </c>
      <c r="N4215" s="94">
        <f>M4215-M4215*VLOOKUP($Q4215,매칭테이블!$F:$I,3,0)</f>
        <v/>
      </c>
      <c r="O4215" s="94">
        <f>VLOOKUP($Q4215,매칭테이블!$F:$I,4,0)*K4215</f>
        <v/>
      </c>
      <c r="P4215" s="148">
        <f>M4215/1.1</f>
        <v/>
      </c>
      <c r="Q4215" s="94">
        <f>F4215&amp;E4215&amp;G4215&amp;L4215</f>
        <v/>
      </c>
    </row>
    <row r="4216">
      <c r="A4216" s="94" t="n"/>
      <c r="B4216" s="128" t="n">
        <v>43818</v>
      </c>
      <c r="C4216" s="94">
        <f>TEXT(B4216,"aaa")</f>
        <v/>
      </c>
      <c r="D4216" s="94" t="n"/>
      <c r="E4216" s="6" t="inlineStr">
        <is>
          <t>토너</t>
        </is>
      </c>
      <c r="F4216" s="5" t="inlineStr">
        <is>
          <t>카페24</t>
        </is>
      </c>
      <c r="G4216" s="5" t="inlineStr">
        <is>
          <t>250ml</t>
        </is>
      </c>
      <c r="H4216" s="7" t="n">
        <v>190801</v>
      </c>
      <c r="I4216" s="7" t="n">
        <v>190801</v>
      </c>
      <c r="J4216" s="94" t="n"/>
      <c r="K4216" s="149" t="n">
        <v>36</v>
      </c>
      <c r="L4216" s="7" t="n">
        <v>190801</v>
      </c>
      <c r="M4216" s="94">
        <f>VLOOKUP($Q4216,매칭테이블!$F:$I,2,0)*K4216</f>
        <v/>
      </c>
      <c r="N4216" s="94">
        <f>M4216-M4216*VLOOKUP($Q4216,매칭테이블!$F:$I,3,0)</f>
        <v/>
      </c>
      <c r="O4216" s="94">
        <f>VLOOKUP($Q4216,매칭테이블!$F:$I,4,0)*K4216</f>
        <v/>
      </c>
      <c r="P4216" s="148">
        <f>M4216/1.1</f>
        <v/>
      </c>
      <c r="Q4216" s="94">
        <f>F4216&amp;E4216&amp;G4216&amp;L4216</f>
        <v/>
      </c>
    </row>
    <row r="4217">
      <c r="A4217" s="94" t="n"/>
      <c r="B4217" s="128" t="n">
        <v>43818</v>
      </c>
      <c r="C4217" s="94">
        <f>TEXT(B4217,"aaa")</f>
        <v/>
      </c>
      <c r="D4217" s="94" t="n"/>
      <c r="E4217" s="6" t="inlineStr">
        <is>
          <t>토너</t>
        </is>
      </c>
      <c r="F4217" s="5" t="inlineStr">
        <is>
          <t>카페24</t>
        </is>
      </c>
      <c r="G4217" s="5" t="inlineStr">
        <is>
          <t>250ml 2set</t>
        </is>
      </c>
      <c r="H4217" s="7" t="n">
        <v>190801</v>
      </c>
      <c r="I4217" s="7" t="n">
        <v>190801</v>
      </c>
      <c r="J4217" s="94" t="n"/>
      <c r="K4217" s="149" t="n">
        <v>26</v>
      </c>
      <c r="L4217" s="7" t="n">
        <v>190801</v>
      </c>
      <c r="M4217" s="94">
        <f>VLOOKUP($Q4217,매칭테이블!$F:$I,2,0)*K4217</f>
        <v/>
      </c>
      <c r="N4217" s="94">
        <f>M4217-M4217*VLOOKUP($Q4217,매칭테이블!$F:$I,3,0)</f>
        <v/>
      </c>
      <c r="O4217" s="94">
        <f>VLOOKUP($Q4217,매칭테이블!$F:$I,4,0)*K4217</f>
        <v/>
      </c>
      <c r="P4217" s="148">
        <f>M4217/1.1</f>
        <v/>
      </c>
      <c r="Q4217" s="94">
        <f>F4217&amp;E4217&amp;G4217&amp;L4217</f>
        <v/>
      </c>
    </row>
    <row r="4218">
      <c r="A4218" s="94" t="n"/>
      <c r="B4218" s="128" t="n">
        <v>43819</v>
      </c>
      <c r="C4218" s="94">
        <f>TEXT(B4218,"aaa")</f>
        <v/>
      </c>
      <c r="D4218" s="94" t="n"/>
      <c r="E4218" s="6" t="inlineStr">
        <is>
          <t>토너</t>
        </is>
      </c>
      <c r="F4218" s="5" t="inlineStr">
        <is>
          <t>W컨셉</t>
        </is>
      </c>
      <c r="G4218" s="5" t="inlineStr">
        <is>
          <t>250ml</t>
        </is>
      </c>
      <c r="H4218" s="7" t="n">
        <v>190801</v>
      </c>
      <c r="I4218" s="7" t="n">
        <v>190801</v>
      </c>
      <c r="J4218" s="94" t="n"/>
      <c r="K4218" s="149" t="n">
        <v>1</v>
      </c>
      <c r="L4218" s="7" t="n">
        <v>190801</v>
      </c>
      <c r="M4218" s="94">
        <f>VLOOKUP($Q4218,매칭테이블!$F:$I,2,0)*K4218</f>
        <v/>
      </c>
      <c r="N4218" s="94">
        <f>M4218-M4218*VLOOKUP($Q4218,매칭테이블!$F:$I,3,0)</f>
        <v/>
      </c>
      <c r="O4218" s="94">
        <f>VLOOKUP($Q4218,매칭테이블!$F:$I,4,0)*K4218</f>
        <v/>
      </c>
      <c r="P4218" s="148">
        <f>M4218/1.1</f>
        <v/>
      </c>
      <c r="Q4218" s="94">
        <f>F4218&amp;E4218&amp;G4218&amp;L4218</f>
        <v/>
      </c>
    </row>
    <row r="4219">
      <c r="A4219" s="94" t="n"/>
      <c r="B4219" s="128" t="n">
        <v>43819</v>
      </c>
      <c r="C4219" s="94">
        <f>TEXT(B4219,"aaa")</f>
        <v/>
      </c>
      <c r="D4219" s="94" t="n"/>
      <c r="E4219" s="6" t="inlineStr">
        <is>
          <t>토너</t>
        </is>
      </c>
      <c r="F4219" s="5" t="inlineStr">
        <is>
          <t>W컨셉</t>
        </is>
      </c>
      <c r="G4219" s="5" t="inlineStr">
        <is>
          <t>250ml 2set</t>
        </is>
      </c>
      <c r="H4219" s="7" t="n">
        <v>190801</v>
      </c>
      <c r="I4219" s="7" t="n">
        <v>190801</v>
      </c>
      <c r="J4219" s="94" t="n"/>
      <c r="K4219" s="149" t="n">
        <v>7</v>
      </c>
      <c r="L4219" s="7" t="n">
        <v>190801</v>
      </c>
      <c r="M4219" s="94">
        <f>VLOOKUP($Q4219,매칭테이블!$F:$I,2,0)*K4219</f>
        <v/>
      </c>
      <c r="N4219" s="94">
        <f>M4219-M4219*VLOOKUP($Q4219,매칭테이블!$F:$I,3,0)</f>
        <v/>
      </c>
      <c r="O4219" s="94">
        <f>VLOOKUP($Q4219,매칭테이블!$F:$I,4,0)*K4219</f>
        <v/>
      </c>
      <c r="P4219" s="148">
        <f>M4219/1.1</f>
        <v/>
      </c>
      <c r="Q4219" s="94">
        <f>F4219&amp;E4219&amp;G4219&amp;L4219</f>
        <v/>
      </c>
    </row>
    <row r="4220">
      <c r="A4220" s="94" t="n"/>
      <c r="B4220" s="128" t="n">
        <v>43819</v>
      </c>
      <c r="C4220" s="94">
        <f>TEXT(B4220,"aaa")</f>
        <v/>
      </c>
      <c r="D4220" s="94" t="n"/>
      <c r="E4220" s="6" t="inlineStr">
        <is>
          <t>토너</t>
        </is>
      </c>
      <c r="F4220" s="5" t="inlineStr">
        <is>
          <t>카페24</t>
        </is>
      </c>
      <c r="G4220" s="5" t="inlineStr">
        <is>
          <t>500ml</t>
        </is>
      </c>
      <c r="H4220" s="7" t="n">
        <v>190801</v>
      </c>
      <c r="I4220" s="7" t="n">
        <v>190801</v>
      </c>
      <c r="J4220" s="94" t="n"/>
      <c r="K4220" s="149" t="n">
        <v>35</v>
      </c>
      <c r="L4220" s="7" t="n">
        <v>190801</v>
      </c>
      <c r="M4220" s="94">
        <f>VLOOKUP($Q4220,매칭테이블!$F:$I,2,0)*K4220</f>
        <v/>
      </c>
      <c r="N4220" s="94">
        <f>M4220-M4220*VLOOKUP($Q4220,매칭테이블!$F:$I,3,0)</f>
        <v/>
      </c>
      <c r="O4220" s="94">
        <f>VLOOKUP($Q4220,매칭테이블!$F:$I,4,0)*K4220</f>
        <v/>
      </c>
      <c r="P4220" s="148">
        <f>M4220/1.1</f>
        <v/>
      </c>
      <c r="Q4220" s="94">
        <f>F4220&amp;E4220&amp;G4220&amp;L4220</f>
        <v/>
      </c>
    </row>
    <row r="4221">
      <c r="A4221" s="94" t="n"/>
      <c r="B4221" s="128" t="n">
        <v>43819</v>
      </c>
      <c r="C4221" s="94">
        <f>TEXT(B4221,"aaa")</f>
        <v/>
      </c>
      <c r="D4221" s="94" t="n"/>
      <c r="E4221" s="6" t="inlineStr">
        <is>
          <t>토너</t>
        </is>
      </c>
      <c r="F4221" s="5" t="inlineStr">
        <is>
          <t>카페24</t>
        </is>
      </c>
      <c r="G4221" s="5" t="inlineStr">
        <is>
          <t>250ml</t>
        </is>
      </c>
      <c r="H4221" s="7" t="n">
        <v>190801</v>
      </c>
      <c r="I4221" s="7" t="n">
        <v>190801</v>
      </c>
      <c r="J4221" s="94" t="n"/>
      <c r="K4221" s="149" t="n">
        <v>27</v>
      </c>
      <c r="L4221" s="7" t="n">
        <v>190801</v>
      </c>
      <c r="M4221" s="94">
        <f>VLOOKUP($Q4221,매칭테이블!$F:$I,2,0)*K4221</f>
        <v/>
      </c>
      <c r="N4221" s="94">
        <f>M4221-M4221*VLOOKUP($Q4221,매칭테이블!$F:$I,3,0)</f>
        <v/>
      </c>
      <c r="O4221" s="94">
        <f>VLOOKUP($Q4221,매칭테이블!$F:$I,4,0)*K4221</f>
        <v/>
      </c>
      <c r="P4221" s="148">
        <f>M4221/1.1</f>
        <v/>
      </c>
      <c r="Q4221" s="94">
        <f>F4221&amp;E4221&amp;G4221&amp;L4221</f>
        <v/>
      </c>
    </row>
    <row r="4222">
      <c r="A4222" s="94" t="n"/>
      <c r="B4222" s="128" t="n">
        <v>43819</v>
      </c>
      <c r="C4222" s="94">
        <f>TEXT(B4222,"aaa")</f>
        <v/>
      </c>
      <c r="D4222" s="94" t="n"/>
      <c r="E4222" s="6" t="inlineStr">
        <is>
          <t>토너</t>
        </is>
      </c>
      <c r="F4222" s="5" t="inlineStr">
        <is>
          <t>카페24</t>
        </is>
      </c>
      <c r="G4222" s="5" t="inlineStr">
        <is>
          <t>250ml 2set</t>
        </is>
      </c>
      <c r="H4222" s="7" t="n">
        <v>190801</v>
      </c>
      <c r="I4222" s="7" t="n">
        <v>190801</v>
      </c>
      <c r="J4222" s="94" t="n"/>
      <c r="K4222" s="149" t="n">
        <v>25</v>
      </c>
      <c r="L4222" s="7" t="n">
        <v>190801</v>
      </c>
      <c r="M4222" s="94">
        <f>VLOOKUP($Q4222,매칭테이블!$F:$I,2,0)*K4222</f>
        <v/>
      </c>
      <c r="N4222" s="94">
        <f>M4222-M4222*VLOOKUP($Q4222,매칭테이블!$F:$I,3,0)</f>
        <v/>
      </c>
      <c r="O4222" s="94">
        <f>VLOOKUP($Q4222,매칭테이블!$F:$I,4,0)*K4222</f>
        <v/>
      </c>
      <c r="P4222" s="148">
        <f>M4222/1.1</f>
        <v/>
      </c>
      <c r="Q4222" s="94">
        <f>F4222&amp;E4222&amp;G4222&amp;L4222</f>
        <v/>
      </c>
    </row>
    <row r="4223">
      <c r="A4223" s="94" t="n"/>
      <c r="B4223" s="128" t="n">
        <v>43820</v>
      </c>
      <c r="C4223" s="94">
        <f>TEXT(B4223,"aaa")</f>
        <v/>
      </c>
      <c r="D4223" s="94" t="n"/>
      <c r="E4223" s="6" t="inlineStr">
        <is>
          <t>토너</t>
        </is>
      </c>
      <c r="F4223" s="5" t="inlineStr">
        <is>
          <t>W컨셉</t>
        </is>
      </c>
      <c r="G4223" s="5" t="inlineStr">
        <is>
          <t>250ml</t>
        </is>
      </c>
      <c r="H4223" s="7" t="n">
        <v>190801</v>
      </c>
      <c r="I4223" s="7" t="n">
        <v>190801</v>
      </c>
      <c r="J4223" s="94" t="n"/>
      <c r="K4223" s="149" t="n">
        <v>2</v>
      </c>
      <c r="L4223" s="7" t="n">
        <v>190801</v>
      </c>
      <c r="M4223" s="94">
        <f>VLOOKUP($Q4223,매칭테이블!$F:$I,2,0)*K4223</f>
        <v/>
      </c>
      <c r="N4223" s="94">
        <f>M4223-M4223*VLOOKUP($Q4223,매칭테이블!$F:$I,3,0)</f>
        <v/>
      </c>
      <c r="O4223" s="94">
        <f>VLOOKUP($Q4223,매칭테이블!$F:$I,4,0)*K4223</f>
        <v/>
      </c>
      <c r="P4223" s="148">
        <f>M4223/1.1</f>
        <v/>
      </c>
      <c r="Q4223" s="94">
        <f>F4223&amp;E4223&amp;G4223&amp;L4223</f>
        <v/>
      </c>
    </row>
    <row r="4224">
      <c r="A4224" s="94" t="n"/>
      <c r="B4224" s="128" t="n">
        <v>43820</v>
      </c>
      <c r="C4224" s="94">
        <f>TEXT(B4224,"aaa")</f>
        <v/>
      </c>
      <c r="D4224" s="94" t="n"/>
      <c r="E4224" s="6" t="inlineStr">
        <is>
          <t>토너</t>
        </is>
      </c>
      <c r="F4224" s="5" t="inlineStr">
        <is>
          <t>W컨셉</t>
        </is>
      </c>
      <c r="G4224" s="5" t="inlineStr">
        <is>
          <t>250ml 2set</t>
        </is>
      </c>
      <c r="H4224" s="7" t="n">
        <v>190801</v>
      </c>
      <c r="I4224" s="7" t="n">
        <v>190801</v>
      </c>
      <c r="J4224" s="94" t="n"/>
      <c r="K4224" s="149" t="n">
        <v>1</v>
      </c>
      <c r="L4224" s="7" t="n">
        <v>190801</v>
      </c>
      <c r="M4224" s="94">
        <f>VLOOKUP($Q4224,매칭테이블!$F:$I,2,0)*K4224</f>
        <v/>
      </c>
      <c r="N4224" s="94">
        <f>M4224-M4224*VLOOKUP($Q4224,매칭테이블!$F:$I,3,0)</f>
        <v/>
      </c>
      <c r="O4224" s="94">
        <f>VLOOKUP($Q4224,매칭테이블!$F:$I,4,0)*K4224</f>
        <v/>
      </c>
      <c r="P4224" s="148">
        <f>M4224/1.1</f>
        <v/>
      </c>
      <c r="Q4224" s="94">
        <f>F4224&amp;E4224&amp;G4224&amp;L4224</f>
        <v/>
      </c>
    </row>
    <row r="4225">
      <c r="A4225" s="94" t="n"/>
      <c r="B4225" s="128" t="n">
        <v>43820</v>
      </c>
      <c r="C4225" s="94">
        <f>TEXT(B4225,"aaa")</f>
        <v/>
      </c>
      <c r="D4225" s="94" t="n"/>
      <c r="E4225" s="6" t="inlineStr">
        <is>
          <t>토너</t>
        </is>
      </c>
      <c r="F4225" s="5" t="inlineStr">
        <is>
          <t>카페24</t>
        </is>
      </c>
      <c r="G4225" s="5" t="inlineStr">
        <is>
          <t>500ml</t>
        </is>
      </c>
      <c r="H4225" s="7" t="n">
        <v>190801</v>
      </c>
      <c r="I4225" s="7" t="n">
        <v>190801</v>
      </c>
      <c r="J4225" s="94" t="n"/>
      <c r="K4225" s="149" t="n">
        <v>37</v>
      </c>
      <c r="L4225" s="7" t="n">
        <v>190801</v>
      </c>
      <c r="M4225" s="94">
        <f>VLOOKUP($Q4225,매칭테이블!$F:$I,2,0)*K4225</f>
        <v/>
      </c>
      <c r="N4225" s="94">
        <f>M4225-M4225*VLOOKUP($Q4225,매칭테이블!$F:$I,3,0)</f>
        <v/>
      </c>
      <c r="O4225" s="94">
        <f>VLOOKUP($Q4225,매칭테이블!$F:$I,4,0)*K4225</f>
        <v/>
      </c>
      <c r="P4225" s="148">
        <f>M4225/1.1</f>
        <v/>
      </c>
      <c r="Q4225" s="94">
        <f>F4225&amp;E4225&amp;G4225&amp;L4225</f>
        <v/>
      </c>
    </row>
    <row r="4226">
      <c r="A4226" s="94" t="n"/>
      <c r="B4226" s="128" t="n">
        <v>43820</v>
      </c>
      <c r="C4226" s="94">
        <f>TEXT(B4226,"aaa")</f>
        <v/>
      </c>
      <c r="D4226" s="94" t="n"/>
      <c r="E4226" s="6" t="inlineStr">
        <is>
          <t>토너</t>
        </is>
      </c>
      <c r="F4226" s="5" t="inlineStr">
        <is>
          <t>카페24</t>
        </is>
      </c>
      <c r="G4226" s="5" t="inlineStr">
        <is>
          <t>250ml</t>
        </is>
      </c>
      <c r="H4226" s="7" t="n">
        <v>190801</v>
      </c>
      <c r="I4226" s="7" t="n">
        <v>190801</v>
      </c>
      <c r="J4226" s="94" t="n"/>
      <c r="K4226" s="149" t="n">
        <v>17</v>
      </c>
      <c r="L4226" s="7" t="n">
        <v>190801</v>
      </c>
      <c r="M4226" s="94">
        <f>VLOOKUP($Q4226,매칭테이블!$F:$I,2,0)*K4226</f>
        <v/>
      </c>
      <c r="N4226" s="94">
        <f>M4226-M4226*VLOOKUP($Q4226,매칭테이블!$F:$I,3,0)</f>
        <v/>
      </c>
      <c r="O4226" s="94">
        <f>VLOOKUP($Q4226,매칭테이블!$F:$I,4,0)*K4226</f>
        <v/>
      </c>
      <c r="P4226" s="148">
        <f>M4226/1.1</f>
        <v/>
      </c>
      <c r="Q4226" s="94">
        <f>F4226&amp;E4226&amp;G4226&amp;L4226</f>
        <v/>
      </c>
    </row>
    <row r="4227">
      <c r="A4227" s="94" t="n"/>
      <c r="B4227" s="128" t="n">
        <v>43820</v>
      </c>
      <c r="C4227" s="94">
        <f>TEXT(B4227,"aaa")</f>
        <v/>
      </c>
      <c r="D4227" s="94" t="n"/>
      <c r="E4227" s="6" t="inlineStr">
        <is>
          <t>토너</t>
        </is>
      </c>
      <c r="F4227" s="5" t="inlineStr">
        <is>
          <t>카페24</t>
        </is>
      </c>
      <c r="G4227" s="5" t="inlineStr">
        <is>
          <t>250ml 2set</t>
        </is>
      </c>
      <c r="H4227" s="7" t="n">
        <v>190801</v>
      </c>
      <c r="I4227" s="7" t="n">
        <v>190801</v>
      </c>
      <c r="J4227" s="94" t="n"/>
      <c r="K4227" s="149" t="n">
        <v>15</v>
      </c>
      <c r="L4227" s="7" t="n">
        <v>190801</v>
      </c>
      <c r="M4227" s="94">
        <f>VLOOKUP($Q4227,매칭테이블!$F:$I,2,0)*K4227</f>
        <v/>
      </c>
      <c r="N4227" s="94">
        <f>M4227-M4227*VLOOKUP($Q4227,매칭테이블!$F:$I,3,0)</f>
        <v/>
      </c>
      <c r="O4227" s="94">
        <f>VLOOKUP($Q4227,매칭테이블!$F:$I,4,0)*K4227</f>
        <v/>
      </c>
      <c r="P4227" s="148">
        <f>M4227/1.1</f>
        <v/>
      </c>
      <c r="Q4227" s="94">
        <f>F4227&amp;E4227&amp;G4227&amp;L4227</f>
        <v/>
      </c>
    </row>
    <row r="4228">
      <c r="A4228" s="94" t="n"/>
      <c r="B4228" s="128" t="n">
        <v>43821</v>
      </c>
      <c r="C4228" s="94">
        <f>TEXT(B4228,"aaa")</f>
        <v/>
      </c>
      <c r="D4228" s="94" t="n"/>
      <c r="E4228" s="6" t="inlineStr">
        <is>
          <t>토너</t>
        </is>
      </c>
      <c r="F4228" s="5" t="inlineStr">
        <is>
          <t>W컨셉</t>
        </is>
      </c>
      <c r="G4228" s="5" t="inlineStr">
        <is>
          <t>250ml 2set</t>
        </is>
      </c>
      <c r="H4228" s="7" t="n">
        <v>190801</v>
      </c>
      <c r="I4228" s="7" t="n">
        <v>190801</v>
      </c>
      <c r="J4228" s="94" t="n"/>
      <c r="K4228" s="149" t="n">
        <v>3</v>
      </c>
      <c r="L4228" s="7" t="n">
        <v>190801</v>
      </c>
      <c r="M4228" s="94">
        <f>VLOOKUP($Q4228,매칭테이블!$F:$I,2,0)*K4228</f>
        <v/>
      </c>
      <c r="N4228" s="94">
        <f>M4228-M4228*VLOOKUP($Q4228,매칭테이블!$F:$I,3,0)</f>
        <v/>
      </c>
      <c r="O4228" s="94">
        <f>VLOOKUP($Q4228,매칭테이블!$F:$I,4,0)*K4228</f>
        <v/>
      </c>
      <c r="P4228" s="148">
        <f>M4228/1.1</f>
        <v/>
      </c>
      <c r="Q4228" s="94">
        <f>F4228&amp;E4228&amp;G4228&amp;L4228</f>
        <v/>
      </c>
    </row>
    <row r="4229">
      <c r="A4229" s="94" t="n"/>
      <c r="B4229" s="128" t="n">
        <v>43821</v>
      </c>
      <c r="C4229" s="94">
        <f>TEXT(B4229,"aaa")</f>
        <v/>
      </c>
      <c r="D4229" s="94" t="n"/>
      <c r="E4229" s="6" t="inlineStr">
        <is>
          <t>토너</t>
        </is>
      </c>
      <c r="F4229" s="5" t="inlineStr">
        <is>
          <t>카페24</t>
        </is>
      </c>
      <c r="G4229" s="5" t="inlineStr">
        <is>
          <t>500ml</t>
        </is>
      </c>
      <c r="H4229" s="7" t="n">
        <v>190801</v>
      </c>
      <c r="I4229" s="7" t="n">
        <v>190801</v>
      </c>
      <c r="J4229" s="94" t="n"/>
      <c r="K4229" s="149" t="n">
        <v>24</v>
      </c>
      <c r="L4229" s="7" t="n">
        <v>190801</v>
      </c>
      <c r="M4229" s="94">
        <f>VLOOKUP($Q4229,매칭테이블!$F:$I,2,0)*K4229</f>
        <v/>
      </c>
      <c r="N4229" s="94">
        <f>M4229-M4229*VLOOKUP($Q4229,매칭테이블!$F:$I,3,0)</f>
        <v/>
      </c>
      <c r="O4229" s="94">
        <f>VLOOKUP($Q4229,매칭테이블!$F:$I,4,0)*K4229</f>
        <v/>
      </c>
      <c r="P4229" s="148">
        <f>M4229/1.1</f>
        <v/>
      </c>
      <c r="Q4229" s="94">
        <f>F4229&amp;E4229&amp;G4229&amp;L4229</f>
        <v/>
      </c>
    </row>
    <row r="4230">
      <c r="A4230" s="94" t="n"/>
      <c r="B4230" s="128" t="n">
        <v>43821</v>
      </c>
      <c r="C4230" s="94">
        <f>TEXT(B4230,"aaa")</f>
        <v/>
      </c>
      <c r="D4230" s="94" t="n"/>
      <c r="E4230" s="6" t="inlineStr">
        <is>
          <t>토너</t>
        </is>
      </c>
      <c r="F4230" s="5" t="inlineStr">
        <is>
          <t>카페24</t>
        </is>
      </c>
      <c r="G4230" s="5" t="inlineStr">
        <is>
          <t>250ml</t>
        </is>
      </c>
      <c r="H4230" s="7" t="n">
        <v>190801</v>
      </c>
      <c r="I4230" s="7" t="n">
        <v>190801</v>
      </c>
      <c r="J4230" s="94" t="n"/>
      <c r="K4230" s="149" t="n">
        <v>27</v>
      </c>
      <c r="L4230" s="7" t="n">
        <v>190801</v>
      </c>
      <c r="M4230" s="94">
        <f>VLOOKUP($Q4230,매칭테이블!$F:$I,2,0)*K4230</f>
        <v/>
      </c>
      <c r="N4230" s="94">
        <f>M4230-M4230*VLOOKUP($Q4230,매칭테이블!$F:$I,3,0)</f>
        <v/>
      </c>
      <c r="O4230" s="94">
        <f>VLOOKUP($Q4230,매칭테이블!$F:$I,4,0)*K4230</f>
        <v/>
      </c>
      <c r="P4230" s="148">
        <f>M4230/1.1</f>
        <v/>
      </c>
      <c r="Q4230" s="94">
        <f>F4230&amp;E4230&amp;G4230&amp;L4230</f>
        <v/>
      </c>
    </row>
    <row r="4231">
      <c r="A4231" s="94" t="n"/>
      <c r="B4231" s="128" t="n">
        <v>43821</v>
      </c>
      <c r="C4231" s="94">
        <f>TEXT(B4231,"aaa")</f>
        <v/>
      </c>
      <c r="D4231" s="94" t="n"/>
      <c r="E4231" s="6" t="inlineStr">
        <is>
          <t>토너</t>
        </is>
      </c>
      <c r="F4231" s="5" t="inlineStr">
        <is>
          <t>카페24</t>
        </is>
      </c>
      <c r="G4231" s="5" t="inlineStr">
        <is>
          <t>250ml 2set</t>
        </is>
      </c>
      <c r="H4231" s="7" t="n">
        <v>190801</v>
      </c>
      <c r="I4231" s="7" t="n">
        <v>190801</v>
      </c>
      <c r="J4231" s="94" t="n"/>
      <c r="K4231" s="149" t="n">
        <v>8</v>
      </c>
      <c r="L4231" s="7" t="n">
        <v>190801</v>
      </c>
      <c r="M4231" s="94">
        <f>VLOOKUP($Q4231,매칭테이블!$F:$I,2,0)*K4231</f>
        <v/>
      </c>
      <c r="N4231" s="94">
        <f>M4231-M4231*VLOOKUP($Q4231,매칭테이블!$F:$I,3,0)</f>
        <v/>
      </c>
      <c r="O4231" s="94">
        <f>VLOOKUP($Q4231,매칭테이블!$F:$I,4,0)*K4231</f>
        <v/>
      </c>
      <c r="P4231" s="148">
        <f>M4231/1.1</f>
        <v/>
      </c>
      <c r="Q4231" s="94">
        <f>F4231&amp;E4231&amp;G4231&amp;L4231</f>
        <v/>
      </c>
    </row>
    <row r="4232">
      <c r="A4232" s="94" t="n"/>
      <c r="B4232" s="128" t="n">
        <v>43822</v>
      </c>
      <c r="C4232" s="94">
        <f>TEXT(B4232,"aaa")</f>
        <v/>
      </c>
      <c r="D4232" s="94" t="n"/>
      <c r="E4232" s="6" t="inlineStr">
        <is>
          <t>토너</t>
        </is>
      </c>
      <c r="F4232" s="5" t="inlineStr">
        <is>
          <t>W컨셉</t>
        </is>
      </c>
      <c r="G4232" s="5" t="inlineStr">
        <is>
          <t>250ml 2set</t>
        </is>
      </c>
      <c r="H4232" s="7" t="n">
        <v>190801</v>
      </c>
      <c r="I4232" s="7" t="n">
        <v>190801</v>
      </c>
      <c r="J4232" s="94" t="n"/>
      <c r="K4232" s="149" t="n">
        <v>2</v>
      </c>
      <c r="L4232" s="7" t="n">
        <v>190801</v>
      </c>
      <c r="M4232" s="94">
        <f>VLOOKUP($Q4232,매칭테이블!$F:$I,2,0)*K4232</f>
        <v/>
      </c>
      <c r="N4232" s="94">
        <f>M4232-M4232*VLOOKUP($Q4232,매칭테이블!$F:$I,3,0)</f>
        <v/>
      </c>
      <c r="O4232" s="94">
        <f>VLOOKUP($Q4232,매칭테이블!$F:$I,4,0)*K4232</f>
        <v/>
      </c>
      <c r="P4232" s="148">
        <f>M4232/1.1</f>
        <v/>
      </c>
      <c r="Q4232" s="94">
        <f>F4232&amp;E4232&amp;G4232&amp;L4232</f>
        <v/>
      </c>
    </row>
    <row r="4233">
      <c r="A4233" s="94" t="n"/>
      <c r="B4233" s="128" t="n">
        <v>43822</v>
      </c>
      <c r="C4233" s="94">
        <f>TEXT(B4233,"aaa")</f>
        <v/>
      </c>
      <c r="D4233" s="94" t="n"/>
      <c r="E4233" s="6" t="inlineStr">
        <is>
          <t>토너</t>
        </is>
      </c>
      <c r="F4233" s="5" t="inlineStr">
        <is>
          <t>카페24</t>
        </is>
      </c>
      <c r="G4233" s="5" t="inlineStr">
        <is>
          <t>500ml</t>
        </is>
      </c>
      <c r="H4233" s="7" t="n">
        <v>190801</v>
      </c>
      <c r="I4233" s="7" t="n">
        <v>190801</v>
      </c>
      <c r="J4233" s="94" t="n"/>
      <c r="K4233" s="149" t="n">
        <v>17</v>
      </c>
      <c r="L4233" s="7" t="n">
        <v>190801</v>
      </c>
      <c r="M4233" s="94">
        <f>VLOOKUP($Q4233,매칭테이블!$F:$I,2,0)*K4233</f>
        <v/>
      </c>
      <c r="N4233" s="94">
        <f>M4233-M4233*VLOOKUP($Q4233,매칭테이블!$F:$I,3,0)</f>
        <v/>
      </c>
      <c r="O4233" s="94">
        <f>VLOOKUP($Q4233,매칭테이블!$F:$I,4,0)*K4233</f>
        <v/>
      </c>
      <c r="P4233" s="148">
        <f>M4233/1.1</f>
        <v/>
      </c>
      <c r="Q4233" s="94">
        <f>F4233&amp;E4233&amp;G4233&amp;L4233</f>
        <v/>
      </c>
    </row>
    <row r="4234">
      <c r="A4234" s="94" t="n"/>
      <c r="B4234" s="128" t="n">
        <v>43822</v>
      </c>
      <c r="C4234" s="94">
        <f>TEXT(B4234,"aaa")</f>
        <v/>
      </c>
      <c r="D4234" s="94" t="n"/>
      <c r="E4234" s="6" t="inlineStr">
        <is>
          <t>토너</t>
        </is>
      </c>
      <c r="F4234" s="5" t="inlineStr">
        <is>
          <t>카페24</t>
        </is>
      </c>
      <c r="G4234" s="5" t="inlineStr">
        <is>
          <t>250ml</t>
        </is>
      </c>
      <c r="H4234" s="7" t="n">
        <v>190801</v>
      </c>
      <c r="I4234" s="7" t="n">
        <v>190801</v>
      </c>
      <c r="J4234" s="94" t="n"/>
      <c r="K4234" s="149" t="n">
        <v>18</v>
      </c>
      <c r="L4234" s="7" t="n">
        <v>190801</v>
      </c>
      <c r="M4234" s="94">
        <f>VLOOKUP($Q4234,매칭테이블!$F:$I,2,0)*K4234</f>
        <v/>
      </c>
      <c r="N4234" s="94">
        <f>M4234-M4234*VLOOKUP($Q4234,매칭테이블!$F:$I,3,0)</f>
        <v/>
      </c>
      <c r="O4234" s="94">
        <f>VLOOKUP($Q4234,매칭테이블!$F:$I,4,0)*K4234</f>
        <v/>
      </c>
      <c r="P4234" s="148">
        <f>M4234/1.1</f>
        <v/>
      </c>
      <c r="Q4234" s="94">
        <f>F4234&amp;E4234&amp;G4234&amp;L4234</f>
        <v/>
      </c>
    </row>
    <row r="4235">
      <c r="A4235" s="94" t="n"/>
      <c r="B4235" s="128" t="n">
        <v>43822</v>
      </c>
      <c r="C4235" s="94">
        <f>TEXT(B4235,"aaa")</f>
        <v/>
      </c>
      <c r="D4235" s="94" t="n"/>
      <c r="E4235" s="6" t="inlineStr">
        <is>
          <t>토너</t>
        </is>
      </c>
      <c r="F4235" s="5" t="inlineStr">
        <is>
          <t>카페24</t>
        </is>
      </c>
      <c r="G4235" s="5" t="inlineStr">
        <is>
          <t>250ml 2set</t>
        </is>
      </c>
      <c r="H4235" s="7" t="n">
        <v>190801</v>
      </c>
      <c r="I4235" s="7" t="n">
        <v>190801</v>
      </c>
      <c r="J4235" s="94" t="n"/>
      <c r="K4235" s="149" t="n">
        <v>22</v>
      </c>
      <c r="L4235" s="7" t="n">
        <v>190801</v>
      </c>
      <c r="M4235" s="94">
        <f>VLOOKUP($Q4235,매칭테이블!$F:$I,2,0)*K4235</f>
        <v/>
      </c>
      <c r="N4235" s="94">
        <f>M4235-M4235*VLOOKUP($Q4235,매칭테이블!$F:$I,3,0)</f>
        <v/>
      </c>
      <c r="O4235" s="94">
        <f>VLOOKUP($Q4235,매칭테이블!$F:$I,4,0)*K4235</f>
        <v/>
      </c>
      <c r="P4235" s="148">
        <f>M4235/1.1</f>
        <v/>
      </c>
      <c r="Q4235" s="94">
        <f>F4235&amp;E4235&amp;G4235&amp;L4235</f>
        <v/>
      </c>
    </row>
    <row r="4236">
      <c r="A4236" s="94" t="n"/>
      <c r="B4236" s="128" t="n">
        <v>43822</v>
      </c>
      <c r="C4236" s="94">
        <f>TEXT(B4236,"aaa")</f>
        <v/>
      </c>
      <c r="D4236" s="94" t="n"/>
      <c r="E4236" s="94" t="inlineStr">
        <is>
          <t>토너</t>
        </is>
      </c>
      <c r="F4236" s="94" t="inlineStr">
        <is>
          <t>큐텐</t>
        </is>
      </c>
      <c r="G4236" s="94" t="inlineStr">
        <is>
          <t>250ml</t>
        </is>
      </c>
      <c r="H4236" s="7" t="n">
        <v>190801</v>
      </c>
      <c r="I4236" s="7" t="n">
        <v>190801</v>
      </c>
      <c r="J4236" s="94" t="n"/>
      <c r="K4236" s="149" t="n">
        <v>3</v>
      </c>
      <c r="L4236" s="92" t="n">
        <v>190801</v>
      </c>
      <c r="M4236" s="94">
        <f>VLOOKUP($Q4236,매칭테이블!$F:$I,2,0)*K4236</f>
        <v/>
      </c>
      <c r="N4236" s="94">
        <f>M4236-M4236*VLOOKUP($Q4236,매칭테이블!$F:$I,3,0)</f>
        <v/>
      </c>
      <c r="O4236" s="94">
        <f>VLOOKUP($Q4236,매칭테이블!$F:$I,4,0)*K4236</f>
        <v/>
      </c>
      <c r="P4236" s="148">
        <f>M4236/1.1</f>
        <v/>
      </c>
      <c r="Q4236" s="94">
        <f>F4236&amp;E4236&amp;G4236&amp;L4236</f>
        <v/>
      </c>
    </row>
    <row r="4237">
      <c r="A4237" s="94" t="n"/>
      <c r="B4237" s="128" t="n">
        <v>43822</v>
      </c>
      <c r="C4237" s="94">
        <f>TEXT(B4237,"aaa")</f>
        <v/>
      </c>
      <c r="D4237" s="94" t="n"/>
      <c r="E4237" s="94" t="inlineStr">
        <is>
          <t>토너</t>
        </is>
      </c>
      <c r="F4237" s="94" t="inlineStr">
        <is>
          <t>큐텐</t>
        </is>
      </c>
      <c r="G4237" s="94" t="inlineStr">
        <is>
          <t>250ml 2set</t>
        </is>
      </c>
      <c r="H4237" s="7" t="n">
        <v>190801</v>
      </c>
      <c r="I4237" s="7" t="n">
        <v>190801</v>
      </c>
      <c r="J4237" s="94" t="n"/>
      <c r="K4237" s="149" t="n">
        <v>4</v>
      </c>
      <c r="L4237" s="92" t="n">
        <v>190801</v>
      </c>
      <c r="M4237" s="94">
        <f>VLOOKUP($Q4237,매칭테이블!$F:$I,2,0)*K4237</f>
        <v/>
      </c>
      <c r="N4237" s="94">
        <f>M4237-M4237*VLOOKUP($Q4237,매칭테이블!$F:$I,3,0)</f>
        <v/>
      </c>
      <c r="O4237" s="94">
        <f>VLOOKUP($Q4237,매칭테이블!$F:$I,4,0)*K4237</f>
        <v/>
      </c>
      <c r="P4237" s="148">
        <f>M4237/1.1</f>
        <v/>
      </c>
      <c r="Q4237" s="94">
        <f>F4237&amp;E4237&amp;G4237&amp;L4237</f>
        <v/>
      </c>
    </row>
    <row r="4238">
      <c r="A4238" s="94" t="n"/>
      <c r="B4238" s="128" t="n">
        <v>43811</v>
      </c>
      <c r="C4238" s="94">
        <f>TEXT(B4238,"aaa")</f>
        <v/>
      </c>
      <c r="D4238" s="94" t="n"/>
      <c r="E4238" s="94" t="inlineStr">
        <is>
          <t>토너</t>
        </is>
      </c>
      <c r="F4238" s="94" t="inlineStr">
        <is>
          <t>큐텐</t>
        </is>
      </c>
      <c r="G4238" s="94" t="inlineStr">
        <is>
          <t>250ml</t>
        </is>
      </c>
      <c r="H4238" s="7" t="n">
        <v>190801</v>
      </c>
      <c r="I4238" s="7" t="n">
        <v>190801</v>
      </c>
      <c r="J4238" s="94" t="n"/>
      <c r="K4238" s="149" t="n">
        <v>1</v>
      </c>
      <c r="L4238" s="92" t="n">
        <v>190801</v>
      </c>
      <c r="M4238" s="94">
        <f>VLOOKUP($Q4238,매칭테이블!$F:$I,2,0)*K4238</f>
        <v/>
      </c>
      <c r="N4238" s="94">
        <f>M4238-M4238*VLOOKUP($Q4238,매칭테이블!$F:$I,3,0)</f>
        <v/>
      </c>
      <c r="O4238" s="94">
        <f>VLOOKUP($Q4238,매칭테이블!$F:$I,4,0)*K4238</f>
        <v/>
      </c>
      <c r="P4238" s="148">
        <f>M4238/1.1</f>
        <v/>
      </c>
      <c r="Q4238" s="94">
        <f>F4238&amp;E4238&amp;G4238&amp;L4238</f>
        <v/>
      </c>
    </row>
    <row r="4239">
      <c r="A4239" s="94" t="n"/>
      <c r="B4239" s="128" t="n">
        <v>43811</v>
      </c>
      <c r="C4239" s="94">
        <f>TEXT(B4239,"aaa")</f>
        <v/>
      </c>
      <c r="D4239" s="94" t="n"/>
      <c r="E4239" s="94" t="inlineStr">
        <is>
          <t>토너</t>
        </is>
      </c>
      <c r="F4239" s="94" t="inlineStr">
        <is>
          <t>큐텐</t>
        </is>
      </c>
      <c r="G4239" s="94" t="inlineStr">
        <is>
          <t>250ml 2set</t>
        </is>
      </c>
      <c r="H4239" s="7" t="n">
        <v>190801</v>
      </c>
      <c r="I4239" s="7" t="n">
        <v>190801</v>
      </c>
      <c r="J4239" s="94" t="n"/>
      <c r="K4239" s="149" t="n">
        <v>1</v>
      </c>
      <c r="L4239" s="92" t="n">
        <v>190801</v>
      </c>
      <c r="M4239" s="94">
        <f>VLOOKUP($Q4239,매칭테이블!$F:$I,2,0)*K4239</f>
        <v/>
      </c>
      <c r="N4239" s="94">
        <f>M4239-M4239*VLOOKUP($Q4239,매칭테이블!$F:$I,3,0)</f>
        <v/>
      </c>
      <c r="O4239" s="94">
        <f>VLOOKUP($Q4239,매칭테이블!$F:$I,4,0)*K4239</f>
        <v/>
      </c>
      <c r="P4239" s="148">
        <f>M4239/1.1</f>
        <v/>
      </c>
      <c r="Q4239" s="94">
        <f>F4239&amp;E4239&amp;G4239&amp;L4239</f>
        <v/>
      </c>
    </row>
    <row r="4240">
      <c r="A4240" s="94" t="n"/>
      <c r="B4240" s="128" t="n">
        <v>43812</v>
      </c>
      <c r="C4240" s="94">
        <f>TEXT(B4240,"aaa")</f>
        <v/>
      </c>
      <c r="D4240" s="94" t="n"/>
      <c r="E4240" s="94" t="inlineStr">
        <is>
          <t>토너</t>
        </is>
      </c>
      <c r="F4240" s="94" t="inlineStr">
        <is>
          <t>큐텐</t>
        </is>
      </c>
      <c r="G4240" s="94" t="inlineStr">
        <is>
          <t>250ml</t>
        </is>
      </c>
      <c r="H4240" s="7" t="n">
        <v>190801</v>
      </c>
      <c r="I4240" s="7" t="n">
        <v>190801</v>
      </c>
      <c r="J4240" s="94" t="n"/>
      <c r="K4240" s="149" t="n">
        <v>2</v>
      </c>
      <c r="L4240" s="92" t="n">
        <v>190801</v>
      </c>
      <c r="M4240" s="94">
        <f>VLOOKUP($Q4240,매칭테이블!$F:$I,2,0)*K4240</f>
        <v/>
      </c>
      <c r="N4240" s="94">
        <f>M4240-M4240*VLOOKUP($Q4240,매칭테이블!$F:$I,3,0)</f>
        <v/>
      </c>
      <c r="O4240" s="94">
        <f>VLOOKUP($Q4240,매칭테이블!$F:$I,4,0)*K4240</f>
        <v/>
      </c>
      <c r="P4240" s="148">
        <f>M4240/1.1</f>
        <v/>
      </c>
      <c r="Q4240" s="94">
        <f>F4240&amp;E4240&amp;G4240&amp;L4240</f>
        <v/>
      </c>
    </row>
    <row r="4241">
      <c r="A4241" s="94" t="n"/>
      <c r="B4241" s="128" t="n">
        <v>43816</v>
      </c>
      <c r="C4241" s="94">
        <f>TEXT(B4241,"aaa")</f>
        <v/>
      </c>
      <c r="D4241" s="94" t="n"/>
      <c r="E4241" s="94" t="inlineStr">
        <is>
          <t>토너</t>
        </is>
      </c>
      <c r="F4241" s="94" t="inlineStr">
        <is>
          <t>큐텐</t>
        </is>
      </c>
      <c r="G4241" s="94" t="inlineStr">
        <is>
          <t>250ml</t>
        </is>
      </c>
      <c r="H4241" s="7" t="n">
        <v>190801</v>
      </c>
      <c r="I4241" s="7" t="n">
        <v>190801</v>
      </c>
      <c r="J4241" s="94" t="n"/>
      <c r="K4241" s="149" t="n">
        <v>7</v>
      </c>
      <c r="L4241" s="92" t="n">
        <v>190801</v>
      </c>
      <c r="M4241" s="94">
        <f>VLOOKUP($Q4241,매칭테이블!$F:$I,2,0)*K4241</f>
        <v/>
      </c>
      <c r="N4241" s="94">
        <f>M4241-M4241*VLOOKUP($Q4241,매칭테이블!$F:$I,3,0)</f>
        <v/>
      </c>
      <c r="O4241" s="94">
        <f>VLOOKUP($Q4241,매칭테이블!$F:$I,4,0)*K4241</f>
        <v/>
      </c>
      <c r="P4241" s="148">
        <f>M4241/1.1</f>
        <v/>
      </c>
      <c r="Q4241" s="94">
        <f>F4241&amp;E4241&amp;G4241&amp;L4241</f>
        <v/>
      </c>
    </row>
    <row r="4242">
      <c r="A4242" s="94" t="n"/>
      <c r="B4242" s="128" t="n">
        <v>43816</v>
      </c>
      <c r="C4242" s="94">
        <f>TEXT(B4242,"aaa")</f>
        <v/>
      </c>
      <c r="D4242" s="94" t="n"/>
      <c r="E4242" s="94" t="inlineStr">
        <is>
          <t>토너</t>
        </is>
      </c>
      <c r="F4242" s="94" t="inlineStr">
        <is>
          <t>큐텐</t>
        </is>
      </c>
      <c r="G4242" s="94" t="inlineStr">
        <is>
          <t>250ml 2set</t>
        </is>
      </c>
      <c r="H4242" s="7" t="n">
        <v>190801</v>
      </c>
      <c r="I4242" s="7" t="n">
        <v>190801</v>
      </c>
      <c r="J4242" s="94" t="n"/>
      <c r="K4242" s="149" t="n">
        <v>18</v>
      </c>
      <c r="L4242" s="92" t="n">
        <v>190801</v>
      </c>
      <c r="M4242" s="94">
        <f>VLOOKUP($Q4242,매칭테이블!$F:$I,2,0)*K4242</f>
        <v/>
      </c>
      <c r="N4242" s="94">
        <f>M4242-M4242*VLOOKUP($Q4242,매칭테이블!$F:$I,3,0)</f>
        <v/>
      </c>
      <c r="O4242" s="94">
        <f>VLOOKUP($Q4242,매칭테이블!$F:$I,4,0)*K4242</f>
        <v/>
      </c>
      <c r="P4242" s="148">
        <f>M4242/1.1</f>
        <v/>
      </c>
      <c r="Q4242" s="94">
        <f>F4242&amp;E4242&amp;G4242&amp;L4242</f>
        <v/>
      </c>
    </row>
    <row r="4243">
      <c r="A4243" s="94" t="n"/>
      <c r="B4243" s="128" t="n">
        <v>43817</v>
      </c>
      <c r="C4243" s="94">
        <f>TEXT(B4243,"aaa")</f>
        <v/>
      </c>
      <c r="D4243" s="94" t="n"/>
      <c r="E4243" s="94" t="inlineStr">
        <is>
          <t>토너</t>
        </is>
      </c>
      <c r="F4243" s="94" t="inlineStr">
        <is>
          <t>큐텐</t>
        </is>
      </c>
      <c r="G4243" s="94" t="inlineStr">
        <is>
          <t>250ml 2set</t>
        </is>
      </c>
      <c r="H4243" s="7" t="n">
        <v>190801</v>
      </c>
      <c r="I4243" s="7" t="n">
        <v>190801</v>
      </c>
      <c r="J4243" s="94" t="n"/>
      <c r="K4243" s="149" t="n">
        <v>2</v>
      </c>
      <c r="L4243" s="92" t="n">
        <v>190801</v>
      </c>
      <c r="M4243" s="94">
        <f>VLOOKUP($Q4243,매칭테이블!$F:$I,2,0)*K4243</f>
        <v/>
      </c>
      <c r="N4243" s="94">
        <f>M4243-M4243*VLOOKUP($Q4243,매칭테이블!$F:$I,3,0)</f>
        <v/>
      </c>
      <c r="O4243" s="94">
        <f>VLOOKUP($Q4243,매칭테이블!$F:$I,4,0)*K4243</f>
        <v/>
      </c>
      <c r="P4243" s="148">
        <f>M4243/1.1</f>
        <v/>
      </c>
      <c r="Q4243" s="94">
        <f>F4243&amp;E4243&amp;G4243&amp;L4243</f>
        <v/>
      </c>
    </row>
    <row r="4244">
      <c r="A4244" s="94" t="n"/>
      <c r="B4244" s="128" t="n">
        <v>43819</v>
      </c>
      <c r="C4244" s="94">
        <f>TEXT(B4244,"aaa")</f>
        <v/>
      </c>
      <c r="D4244" s="94" t="n"/>
      <c r="E4244" s="94" t="inlineStr">
        <is>
          <t>토너</t>
        </is>
      </c>
      <c r="F4244" s="94" t="inlineStr">
        <is>
          <t>큐텐</t>
        </is>
      </c>
      <c r="G4244" s="94" t="inlineStr">
        <is>
          <t>250ml</t>
        </is>
      </c>
      <c r="H4244" s="7" t="n">
        <v>190801</v>
      </c>
      <c r="I4244" s="7" t="n">
        <v>190801</v>
      </c>
      <c r="J4244" s="94" t="n"/>
      <c r="K4244" s="149" t="n">
        <v>2</v>
      </c>
      <c r="L4244" s="92" t="n">
        <v>190801</v>
      </c>
      <c r="M4244" s="94">
        <f>VLOOKUP($Q4244,매칭테이블!$F:$I,2,0)*K4244</f>
        <v/>
      </c>
      <c r="N4244" s="94">
        <f>M4244-M4244*VLOOKUP($Q4244,매칭테이블!$F:$I,3,0)</f>
        <v/>
      </c>
      <c r="O4244" s="94">
        <f>VLOOKUP($Q4244,매칭테이블!$F:$I,4,0)*K4244</f>
        <v/>
      </c>
      <c r="P4244" s="148">
        <f>M4244/1.1</f>
        <v/>
      </c>
      <c r="Q4244" s="94">
        <f>F4244&amp;E4244&amp;G4244&amp;L4244</f>
        <v/>
      </c>
    </row>
    <row r="4245">
      <c r="A4245" s="94" t="n"/>
      <c r="B4245" s="128" t="n">
        <v>43819</v>
      </c>
      <c r="C4245" s="94">
        <f>TEXT(B4245,"aaa")</f>
        <v/>
      </c>
      <c r="D4245" s="94" t="n"/>
      <c r="E4245" s="94" t="inlineStr">
        <is>
          <t>토너</t>
        </is>
      </c>
      <c r="F4245" s="94" t="inlineStr">
        <is>
          <t>큐텐</t>
        </is>
      </c>
      <c r="G4245" s="94" t="inlineStr">
        <is>
          <t>250ml 2set</t>
        </is>
      </c>
      <c r="H4245" s="7" t="n">
        <v>190801</v>
      </c>
      <c r="I4245" s="7" t="n">
        <v>190801</v>
      </c>
      <c r="J4245" s="94" t="n"/>
      <c r="K4245" s="149" t="n">
        <v>2</v>
      </c>
      <c r="L4245" s="92" t="n">
        <v>190801</v>
      </c>
      <c r="M4245" s="94">
        <f>VLOOKUP($Q4245,매칭테이블!$F:$I,2,0)*K4245</f>
        <v/>
      </c>
      <c r="N4245" s="94">
        <f>M4245-M4245*VLOOKUP($Q4245,매칭테이블!$F:$I,3,0)</f>
        <v/>
      </c>
      <c r="O4245" s="94">
        <f>VLOOKUP($Q4245,매칭테이블!$F:$I,4,0)*K4245</f>
        <v/>
      </c>
      <c r="P4245" s="148">
        <f>M4245/1.1</f>
        <v/>
      </c>
      <c r="Q4245" s="94">
        <f>F4245&amp;E4245&amp;G4245&amp;L4245</f>
        <v/>
      </c>
    </row>
    <row r="4246">
      <c r="A4246" s="94" t="n"/>
      <c r="B4246" s="128" t="n">
        <v>43823</v>
      </c>
      <c r="C4246" s="94">
        <f>TEXT(B4246,"aaa")</f>
        <v/>
      </c>
      <c r="D4246" s="94" t="n"/>
      <c r="E4246" s="6" t="inlineStr">
        <is>
          <t>토너</t>
        </is>
      </c>
      <c r="F4246" s="5" t="inlineStr">
        <is>
          <t>W컨셉</t>
        </is>
      </c>
      <c r="G4246" s="5" t="inlineStr">
        <is>
          <t>250ml</t>
        </is>
      </c>
      <c r="H4246" s="7" t="n">
        <v>190801</v>
      </c>
      <c r="I4246" s="7" t="n">
        <v>190801</v>
      </c>
      <c r="J4246" s="94" t="n"/>
      <c r="K4246" s="149" t="n">
        <v>1</v>
      </c>
      <c r="L4246" s="7" t="n">
        <v>190801</v>
      </c>
      <c r="M4246" s="94">
        <f>VLOOKUP($Q4246,매칭테이블!$F:$I,2,0)*K4246</f>
        <v/>
      </c>
      <c r="N4246" s="94">
        <f>M4246-M4246*VLOOKUP($Q4246,매칭테이블!$F:$I,3,0)</f>
        <v/>
      </c>
      <c r="O4246" s="94">
        <f>VLOOKUP($Q4246,매칭테이블!$F:$I,4,0)*K4246</f>
        <v/>
      </c>
      <c r="P4246" s="148">
        <f>M4246/1.1</f>
        <v/>
      </c>
      <c r="Q4246" s="94">
        <f>F4246&amp;E4246&amp;G4246&amp;L4246</f>
        <v/>
      </c>
    </row>
    <row r="4247">
      <c r="A4247" s="94" t="n"/>
      <c r="B4247" s="128" t="n">
        <v>43823</v>
      </c>
      <c r="C4247" s="94">
        <f>TEXT(B4247,"aaa")</f>
        <v/>
      </c>
      <c r="D4247" s="94" t="n"/>
      <c r="E4247" s="6" t="inlineStr">
        <is>
          <t>토너</t>
        </is>
      </c>
      <c r="F4247" s="5" t="inlineStr">
        <is>
          <t>W컨셉</t>
        </is>
      </c>
      <c r="G4247" s="5" t="inlineStr">
        <is>
          <t>250ml 2set</t>
        </is>
      </c>
      <c r="H4247" s="7" t="n">
        <v>190801</v>
      </c>
      <c r="I4247" s="7" t="n">
        <v>190801</v>
      </c>
      <c r="J4247" s="94" t="n"/>
      <c r="K4247" s="149" t="n">
        <v>2</v>
      </c>
      <c r="L4247" s="7" t="n">
        <v>190801</v>
      </c>
      <c r="M4247" s="94">
        <f>VLOOKUP($Q4247,매칭테이블!$F:$I,2,0)*K4247</f>
        <v/>
      </c>
      <c r="N4247" s="94">
        <f>M4247-M4247*VLOOKUP($Q4247,매칭테이블!$F:$I,3,0)</f>
        <v/>
      </c>
      <c r="O4247" s="94">
        <f>VLOOKUP($Q4247,매칭테이블!$F:$I,4,0)*K4247</f>
        <v/>
      </c>
      <c r="P4247" s="148">
        <f>M4247/1.1</f>
        <v/>
      </c>
      <c r="Q4247" s="94">
        <f>F4247&amp;E4247&amp;G4247&amp;L4247</f>
        <v/>
      </c>
    </row>
    <row r="4248">
      <c r="A4248" s="94" t="n"/>
      <c r="B4248" s="128" t="n">
        <v>43823</v>
      </c>
      <c r="C4248" s="94">
        <f>TEXT(B4248,"aaa")</f>
        <v/>
      </c>
      <c r="D4248" s="94" t="n"/>
      <c r="E4248" s="6" t="inlineStr">
        <is>
          <t>토너</t>
        </is>
      </c>
      <c r="F4248" s="5" t="inlineStr">
        <is>
          <t>카페24</t>
        </is>
      </c>
      <c r="G4248" s="5" t="inlineStr">
        <is>
          <t>500ml</t>
        </is>
      </c>
      <c r="H4248" s="7" t="n">
        <v>190801</v>
      </c>
      <c r="I4248" s="7" t="n">
        <v>190801</v>
      </c>
      <c r="J4248" s="94" t="n"/>
      <c r="K4248" s="149" t="n">
        <v>22</v>
      </c>
      <c r="L4248" s="7" t="n">
        <v>190801</v>
      </c>
      <c r="M4248" s="94">
        <f>VLOOKUP($Q4248,매칭테이블!$F:$I,2,0)*K4248</f>
        <v/>
      </c>
      <c r="N4248" s="94">
        <f>M4248-M4248*VLOOKUP($Q4248,매칭테이블!$F:$I,3,0)</f>
        <v/>
      </c>
      <c r="O4248" s="94">
        <f>VLOOKUP($Q4248,매칭테이블!$F:$I,4,0)*K4248</f>
        <v/>
      </c>
      <c r="P4248" s="148">
        <f>M4248/1.1</f>
        <v/>
      </c>
      <c r="Q4248" s="94">
        <f>F4248&amp;E4248&amp;G4248&amp;L4248</f>
        <v/>
      </c>
    </row>
    <row r="4249">
      <c r="A4249" s="94" t="n"/>
      <c r="B4249" s="128" t="n">
        <v>43823</v>
      </c>
      <c r="C4249" s="94">
        <f>TEXT(B4249,"aaa")</f>
        <v/>
      </c>
      <c r="D4249" s="94" t="n"/>
      <c r="E4249" s="6" t="inlineStr">
        <is>
          <t>토너</t>
        </is>
      </c>
      <c r="F4249" s="5" t="inlineStr">
        <is>
          <t>카페24</t>
        </is>
      </c>
      <c r="G4249" s="5" t="inlineStr">
        <is>
          <t>250ml</t>
        </is>
      </c>
      <c r="H4249" s="7" t="n">
        <v>190801</v>
      </c>
      <c r="I4249" s="7" t="n">
        <v>190801</v>
      </c>
      <c r="J4249" s="94" t="n"/>
      <c r="K4249" s="149" t="n">
        <v>18</v>
      </c>
      <c r="L4249" s="7" t="n">
        <v>190801</v>
      </c>
      <c r="M4249" s="94">
        <f>VLOOKUP($Q4249,매칭테이블!$F:$I,2,0)*K4249</f>
        <v/>
      </c>
      <c r="N4249" s="94">
        <f>M4249-M4249*VLOOKUP($Q4249,매칭테이블!$F:$I,3,0)</f>
        <v/>
      </c>
      <c r="O4249" s="94">
        <f>VLOOKUP($Q4249,매칭테이블!$F:$I,4,0)*K4249</f>
        <v/>
      </c>
      <c r="P4249" s="148">
        <f>M4249/1.1</f>
        <v/>
      </c>
      <c r="Q4249" s="94">
        <f>F4249&amp;E4249&amp;G4249&amp;L4249</f>
        <v/>
      </c>
    </row>
    <row r="4250">
      <c r="A4250" s="94" t="n"/>
      <c r="B4250" s="128" t="n">
        <v>43823</v>
      </c>
      <c r="C4250" s="94">
        <f>TEXT(B4250,"aaa")</f>
        <v/>
      </c>
      <c r="D4250" s="94" t="n"/>
      <c r="E4250" s="6" t="inlineStr">
        <is>
          <t>토너</t>
        </is>
      </c>
      <c r="F4250" s="5" t="inlineStr">
        <is>
          <t>카페24</t>
        </is>
      </c>
      <c r="G4250" s="5" t="inlineStr">
        <is>
          <t>250ml 2set</t>
        </is>
      </c>
      <c r="H4250" s="7" t="n">
        <v>190801</v>
      </c>
      <c r="I4250" s="7" t="n">
        <v>190801</v>
      </c>
      <c r="J4250" s="94" t="n"/>
      <c r="K4250" s="149" t="n">
        <v>18</v>
      </c>
      <c r="L4250" s="7" t="n">
        <v>190801</v>
      </c>
      <c r="M4250" s="94">
        <f>VLOOKUP($Q4250,매칭테이블!$F:$I,2,0)*K4250</f>
        <v/>
      </c>
      <c r="N4250" s="94">
        <f>M4250-M4250*VLOOKUP($Q4250,매칭테이블!$F:$I,3,0)</f>
        <v/>
      </c>
      <c r="O4250" s="94">
        <f>VLOOKUP($Q4250,매칭테이블!$F:$I,4,0)*K4250</f>
        <v/>
      </c>
      <c r="P4250" s="148">
        <f>M4250/1.1</f>
        <v/>
      </c>
      <c r="Q4250" s="94">
        <f>F4250&amp;E4250&amp;G4250&amp;L4250</f>
        <v/>
      </c>
    </row>
    <row r="4251">
      <c r="A4251" s="94" t="n"/>
      <c r="B4251" s="128" t="n">
        <v>43823</v>
      </c>
      <c r="C4251" s="94">
        <f>TEXT(B4251,"aaa")</f>
        <v/>
      </c>
      <c r="D4251" s="94" t="n"/>
      <c r="E4251" s="94" t="inlineStr">
        <is>
          <t>토너</t>
        </is>
      </c>
      <c r="F4251" s="94" t="inlineStr">
        <is>
          <t>큐텐</t>
        </is>
      </c>
      <c r="G4251" s="94" t="inlineStr">
        <is>
          <t>250ml</t>
        </is>
      </c>
      <c r="H4251" s="7" t="n">
        <v>190801</v>
      </c>
      <c r="I4251" s="7" t="n">
        <v>190801</v>
      </c>
      <c r="J4251" s="94" t="n"/>
      <c r="K4251" s="6" t="n">
        <v>2</v>
      </c>
      <c r="L4251" s="92" t="n">
        <v>190801</v>
      </c>
      <c r="M4251" s="94">
        <f>VLOOKUP($Q4251,매칭테이블!$F:$I,2,0)*K4251</f>
        <v/>
      </c>
      <c r="N4251" s="94">
        <f>M4251-M4251*VLOOKUP($Q4251,매칭테이블!$F:$I,3,0)</f>
        <v/>
      </c>
      <c r="O4251" s="94">
        <f>VLOOKUP($Q4251,매칭테이블!$F:$I,4,0)*K4251</f>
        <v/>
      </c>
      <c r="P4251" s="148">
        <f>M4251/1.1</f>
        <v/>
      </c>
      <c r="Q4251" s="94">
        <f>F4251&amp;E4251&amp;G4251&amp;L4251</f>
        <v/>
      </c>
    </row>
    <row r="4252">
      <c r="A4252" s="94" t="n"/>
      <c r="B4252" s="128" t="n">
        <v>43823</v>
      </c>
      <c r="C4252" s="94">
        <f>TEXT(B4252,"aaa")</f>
        <v/>
      </c>
      <c r="D4252" s="94" t="n"/>
      <c r="E4252" s="94" t="inlineStr">
        <is>
          <t>토너</t>
        </is>
      </c>
      <c r="F4252" s="94" t="inlineStr">
        <is>
          <t>아누아 CS</t>
        </is>
      </c>
      <c r="G4252" s="94" t="inlineStr">
        <is>
          <t>250ml</t>
        </is>
      </c>
      <c r="H4252" s="7" t="n">
        <v>190801</v>
      </c>
      <c r="I4252" s="7" t="n">
        <v>190801</v>
      </c>
      <c r="J4252" s="94" t="n"/>
      <c r="K4252" s="149" t="n">
        <v>25</v>
      </c>
      <c r="L4252" s="7" t="n">
        <v>190801</v>
      </c>
      <c r="M4252" s="94">
        <f>VLOOKUP($Q4252,매칭테이블!$F:$I,2,0)*K4252</f>
        <v/>
      </c>
      <c r="N4252" s="94">
        <f>M4252-M4252*VLOOKUP($Q4252,매칭테이블!$F:$I,3,0)</f>
        <v/>
      </c>
      <c r="O4252" s="94">
        <f>VLOOKUP($Q4252,매칭테이블!$F:$I,4,0)*K4252</f>
        <v/>
      </c>
      <c r="P4252" s="148">
        <f>M4252/1.1</f>
        <v/>
      </c>
      <c r="Q4252" s="94">
        <f>F4252&amp;E4252&amp;G4252&amp;L4252</f>
        <v/>
      </c>
    </row>
    <row r="4253">
      <c r="A4253" s="94" t="n"/>
      <c r="B4253" s="128" t="n">
        <v>43823</v>
      </c>
      <c r="C4253" s="94">
        <f>TEXT(B4253,"aaa")</f>
        <v/>
      </c>
      <c r="D4253" s="94" t="n"/>
      <c r="E4253" s="6" t="inlineStr">
        <is>
          <t>머드크림마스크</t>
        </is>
      </c>
      <c r="F4253" s="94" t="inlineStr">
        <is>
          <t>아누아 CS</t>
        </is>
      </c>
      <c r="G4253" s="5" t="inlineStr">
        <is>
          <t>머드크림마스크 100ml</t>
        </is>
      </c>
      <c r="H4253" s="7" t="n">
        <v>190801</v>
      </c>
      <c r="I4253" s="7" t="n">
        <v>190801</v>
      </c>
      <c r="J4253" s="94" t="n"/>
      <c r="K4253" s="149" t="n">
        <v>10</v>
      </c>
      <c r="L4253" s="7" t="n">
        <v>190801</v>
      </c>
      <c r="M4253" s="94">
        <f>VLOOKUP($Q4253,매칭테이블!$F:$I,2,0)*K4253</f>
        <v/>
      </c>
      <c r="N4253" s="94">
        <f>M4253-M4253*VLOOKUP($Q4253,매칭테이블!$F:$I,3,0)</f>
        <v/>
      </c>
      <c r="O4253" s="94">
        <f>VLOOKUP($Q4253,매칭테이블!$F:$I,4,0)*K4253</f>
        <v/>
      </c>
      <c r="P4253" s="148">
        <f>M4253/1.1</f>
        <v/>
      </c>
      <c r="Q4253" s="94">
        <f>F4253&amp;E4253&amp;G4253&amp;L4253</f>
        <v/>
      </c>
    </row>
    <row r="4254">
      <c r="A4254" s="94" t="n"/>
      <c r="B4254" s="128" t="n">
        <v>43823</v>
      </c>
      <c r="C4254" s="94">
        <f>TEXT(B4254,"aaa")</f>
        <v/>
      </c>
      <c r="D4254" s="94" t="n"/>
      <c r="E4254" s="94" t="inlineStr">
        <is>
          <t>화장솜</t>
        </is>
      </c>
      <c r="F4254" s="94" t="inlineStr">
        <is>
          <t>아누아 CS</t>
        </is>
      </c>
      <c r="G4254" s="94" t="inlineStr">
        <is>
          <t>스킨팩 화장솜 60P</t>
        </is>
      </c>
      <c r="H4254" s="7" t="n">
        <v>190801</v>
      </c>
      <c r="I4254" s="7" t="n">
        <v>190801</v>
      </c>
      <c r="J4254" s="94" t="n"/>
      <c r="K4254" s="149" t="n">
        <v>20</v>
      </c>
      <c r="L4254" s="94" t="n">
        <v>190801</v>
      </c>
      <c r="M4254" s="94">
        <f>VLOOKUP($Q4254,매칭테이블!$F:$I,2,0)*K4254</f>
        <v/>
      </c>
      <c r="N4254" s="94">
        <f>M4254-M4254*VLOOKUP($Q4254,매칭테이블!$F:$I,3,0)</f>
        <v/>
      </c>
      <c r="O4254" s="94">
        <f>VLOOKUP($Q4254,매칭테이블!$F:$I,4,0)*K4254</f>
        <v/>
      </c>
      <c r="P4254" s="148">
        <f>M4254/1.1</f>
        <v/>
      </c>
      <c r="Q4254" s="94">
        <f>F4254&amp;E4254&amp;G4254&amp;L4254</f>
        <v/>
      </c>
    </row>
    <row r="4255">
      <c r="A4255" s="94" t="n"/>
      <c r="B4255" s="128" t="n">
        <v>43824</v>
      </c>
      <c r="C4255" s="94">
        <f>TEXT(B4255,"aaa")</f>
        <v/>
      </c>
      <c r="D4255" s="94" t="n"/>
      <c r="E4255" s="6" t="inlineStr">
        <is>
          <t>토너</t>
        </is>
      </c>
      <c r="F4255" s="5" t="inlineStr">
        <is>
          <t>W컨셉</t>
        </is>
      </c>
      <c r="G4255" s="5" t="inlineStr">
        <is>
          <t>250ml</t>
        </is>
      </c>
      <c r="H4255" s="7" t="n">
        <v>190801</v>
      </c>
      <c r="I4255" s="7" t="n">
        <v>190801</v>
      </c>
      <c r="J4255" s="94" t="n"/>
      <c r="K4255" s="149" t="n">
        <v>2</v>
      </c>
      <c r="L4255" s="7" t="n">
        <v>190801</v>
      </c>
      <c r="M4255" s="94">
        <f>VLOOKUP($Q4255,매칭테이블!$F:$I,2,0)*K4255</f>
        <v/>
      </c>
      <c r="N4255" s="94">
        <f>M4255-M4255*VLOOKUP($Q4255,매칭테이블!$F:$I,3,0)</f>
        <v/>
      </c>
      <c r="O4255" s="94">
        <f>VLOOKUP($Q4255,매칭테이블!$F:$I,4,0)*K4255</f>
        <v/>
      </c>
      <c r="P4255" s="148">
        <f>M4255/1.1</f>
        <v/>
      </c>
      <c r="Q4255" s="94">
        <f>F4255&amp;E4255&amp;G4255&amp;L4255</f>
        <v/>
      </c>
    </row>
    <row r="4256">
      <c r="A4256" s="94" t="n"/>
      <c r="B4256" s="128" t="n">
        <v>43824</v>
      </c>
      <c r="C4256" s="94">
        <f>TEXT(B4256,"aaa")</f>
        <v/>
      </c>
      <c r="D4256" s="94" t="n"/>
      <c r="E4256" s="6" t="inlineStr">
        <is>
          <t>토너</t>
        </is>
      </c>
      <c r="F4256" s="5" t="inlineStr">
        <is>
          <t>W컨셉</t>
        </is>
      </c>
      <c r="G4256" s="5" t="inlineStr">
        <is>
          <t>250ml 2set</t>
        </is>
      </c>
      <c r="H4256" s="7" t="n">
        <v>190801</v>
      </c>
      <c r="I4256" s="7" t="n">
        <v>190801</v>
      </c>
      <c r="J4256" s="94" t="n"/>
      <c r="K4256" s="149" t="n">
        <v>9</v>
      </c>
      <c r="L4256" s="7" t="n">
        <v>190801</v>
      </c>
      <c r="M4256" s="94">
        <f>VLOOKUP($Q4256,매칭테이블!$F:$I,2,0)*K4256</f>
        <v/>
      </c>
      <c r="N4256" s="94">
        <f>M4256-M4256*VLOOKUP($Q4256,매칭테이블!$F:$I,3,0)</f>
        <v/>
      </c>
      <c r="O4256" s="94">
        <f>VLOOKUP($Q4256,매칭테이블!$F:$I,4,0)*K4256</f>
        <v/>
      </c>
      <c r="P4256" s="148">
        <f>M4256/1.1</f>
        <v/>
      </c>
      <c r="Q4256" s="94">
        <f>F4256&amp;E4256&amp;G4256&amp;L4256</f>
        <v/>
      </c>
    </row>
    <row r="4257">
      <c r="A4257" s="94" t="n"/>
      <c r="B4257" s="128" t="n">
        <v>43824</v>
      </c>
      <c r="C4257" s="94">
        <f>TEXT(B4257,"aaa")</f>
        <v/>
      </c>
      <c r="D4257" s="94" t="n"/>
      <c r="E4257" s="6" t="inlineStr">
        <is>
          <t>토너</t>
        </is>
      </c>
      <c r="F4257" s="5" t="inlineStr">
        <is>
          <t>카페24</t>
        </is>
      </c>
      <c r="G4257" s="5" t="inlineStr">
        <is>
          <t>500ml</t>
        </is>
      </c>
      <c r="H4257" s="7" t="n">
        <v>190801</v>
      </c>
      <c r="I4257" s="7" t="n">
        <v>190801</v>
      </c>
      <c r="J4257" s="94" t="n"/>
      <c r="K4257" s="149" t="n">
        <v>29</v>
      </c>
      <c r="L4257" s="7" t="n">
        <v>190801</v>
      </c>
      <c r="M4257" s="94">
        <f>VLOOKUP($Q4257,매칭테이블!$F:$I,2,0)*K4257</f>
        <v/>
      </c>
      <c r="N4257" s="94">
        <f>M4257-M4257*VLOOKUP($Q4257,매칭테이블!$F:$I,3,0)</f>
        <v/>
      </c>
      <c r="O4257" s="94">
        <f>VLOOKUP($Q4257,매칭테이블!$F:$I,4,0)*K4257</f>
        <v/>
      </c>
      <c r="P4257" s="148">
        <f>M4257/1.1</f>
        <v/>
      </c>
      <c r="Q4257" s="94">
        <f>F4257&amp;E4257&amp;G4257&amp;L4257</f>
        <v/>
      </c>
    </row>
    <row r="4258">
      <c r="A4258" s="94" t="n"/>
      <c r="B4258" s="128" t="n">
        <v>43824</v>
      </c>
      <c r="C4258" s="94">
        <f>TEXT(B4258,"aaa")</f>
        <v/>
      </c>
      <c r="D4258" s="94" t="n"/>
      <c r="E4258" s="6" t="inlineStr">
        <is>
          <t>토너</t>
        </is>
      </c>
      <c r="F4258" s="5" t="inlineStr">
        <is>
          <t>카페24</t>
        </is>
      </c>
      <c r="G4258" s="5" t="inlineStr">
        <is>
          <t>250ml</t>
        </is>
      </c>
      <c r="H4258" s="7" t="n">
        <v>190801</v>
      </c>
      <c r="I4258" s="7" t="n">
        <v>190801</v>
      </c>
      <c r="J4258" s="94" t="n"/>
      <c r="K4258" s="149" t="n">
        <v>29</v>
      </c>
      <c r="L4258" s="7" t="n">
        <v>190801</v>
      </c>
      <c r="M4258" s="94">
        <f>VLOOKUP($Q4258,매칭테이블!$F:$I,2,0)*K4258</f>
        <v/>
      </c>
      <c r="N4258" s="94">
        <f>M4258-M4258*VLOOKUP($Q4258,매칭테이블!$F:$I,3,0)</f>
        <v/>
      </c>
      <c r="O4258" s="94">
        <f>VLOOKUP($Q4258,매칭테이블!$F:$I,4,0)*K4258</f>
        <v/>
      </c>
      <c r="P4258" s="148">
        <f>M4258/1.1</f>
        <v/>
      </c>
      <c r="Q4258" s="94">
        <f>F4258&amp;E4258&amp;G4258&amp;L4258</f>
        <v/>
      </c>
    </row>
    <row r="4259">
      <c r="A4259" s="94" t="n"/>
      <c r="B4259" s="128" t="n">
        <v>43824</v>
      </c>
      <c r="C4259" s="94">
        <f>TEXT(B4259,"aaa")</f>
        <v/>
      </c>
      <c r="D4259" s="94" t="n"/>
      <c r="E4259" s="6" t="inlineStr">
        <is>
          <t>토너</t>
        </is>
      </c>
      <c r="F4259" s="5" t="inlineStr">
        <is>
          <t>카페24</t>
        </is>
      </c>
      <c r="G4259" s="5" t="inlineStr">
        <is>
          <t>250ml 2set</t>
        </is>
      </c>
      <c r="H4259" s="7" t="n">
        <v>190801</v>
      </c>
      <c r="I4259" s="7" t="n">
        <v>190801</v>
      </c>
      <c r="J4259" s="94" t="n"/>
      <c r="K4259" s="149" t="n">
        <v>17</v>
      </c>
      <c r="L4259" s="7" t="n">
        <v>190801</v>
      </c>
      <c r="M4259" s="94">
        <f>VLOOKUP($Q4259,매칭테이블!$F:$I,2,0)*K4259</f>
        <v/>
      </c>
      <c r="N4259" s="94">
        <f>M4259-M4259*VLOOKUP($Q4259,매칭테이블!$F:$I,3,0)</f>
        <v/>
      </c>
      <c r="O4259" s="94">
        <f>VLOOKUP($Q4259,매칭테이블!$F:$I,4,0)*K4259</f>
        <v/>
      </c>
      <c r="P4259" s="148">
        <f>M4259/1.1</f>
        <v/>
      </c>
      <c r="Q4259" s="94">
        <f>F4259&amp;E4259&amp;G4259&amp;L4259</f>
        <v/>
      </c>
    </row>
    <row r="4260">
      <c r="A4260" s="94" t="n"/>
      <c r="B4260" s="128" t="n">
        <v>43825</v>
      </c>
      <c r="C4260" s="94">
        <f>TEXT(B4260,"aaa")</f>
        <v/>
      </c>
      <c r="D4260" s="94" t="n"/>
      <c r="E4260" s="6" t="inlineStr">
        <is>
          <t>토너</t>
        </is>
      </c>
      <c r="F4260" s="5" t="inlineStr">
        <is>
          <t>W컨셉</t>
        </is>
      </c>
      <c r="G4260" s="5" t="inlineStr">
        <is>
          <t>250ml</t>
        </is>
      </c>
      <c r="H4260" s="7" t="n">
        <v>190801</v>
      </c>
      <c r="I4260" s="7" t="n">
        <v>190801</v>
      </c>
      <c r="J4260" s="94" t="n"/>
      <c r="K4260" s="149" t="n">
        <v>3</v>
      </c>
      <c r="L4260" s="7" t="n">
        <v>190801</v>
      </c>
      <c r="M4260" s="94">
        <f>VLOOKUP($Q4260,매칭테이블!$F:$I,2,0)*K4260</f>
        <v/>
      </c>
      <c r="N4260" s="94">
        <f>M4260-M4260*VLOOKUP($Q4260,매칭테이블!$F:$I,3,0)</f>
        <v/>
      </c>
      <c r="O4260" s="94">
        <f>VLOOKUP($Q4260,매칭테이블!$F:$I,4,0)*K4260</f>
        <v/>
      </c>
      <c r="P4260" s="148">
        <f>M4260/1.1</f>
        <v/>
      </c>
      <c r="Q4260" s="94">
        <f>F4260&amp;E4260&amp;G4260&amp;L4260</f>
        <v/>
      </c>
    </row>
    <row r="4261">
      <c r="A4261" s="94" t="n"/>
      <c r="B4261" s="128" t="n">
        <v>43825</v>
      </c>
      <c r="C4261" s="94">
        <f>TEXT(B4261,"aaa")</f>
        <v/>
      </c>
      <c r="D4261" s="94" t="n"/>
      <c r="E4261" s="6" t="inlineStr">
        <is>
          <t>토너</t>
        </is>
      </c>
      <c r="F4261" s="5" t="inlineStr">
        <is>
          <t>W컨셉</t>
        </is>
      </c>
      <c r="G4261" s="5" t="inlineStr">
        <is>
          <t>250ml 2set</t>
        </is>
      </c>
      <c r="H4261" s="7" t="n">
        <v>190801</v>
      </c>
      <c r="I4261" s="7" t="n">
        <v>190801</v>
      </c>
      <c r="J4261" s="94" t="n"/>
      <c r="K4261" s="149" t="n">
        <v>10</v>
      </c>
      <c r="L4261" s="7" t="n">
        <v>190801</v>
      </c>
      <c r="M4261" s="94">
        <f>VLOOKUP($Q4261,매칭테이블!$F:$I,2,0)*K4261</f>
        <v/>
      </c>
      <c r="N4261" s="94">
        <f>M4261-M4261*VLOOKUP($Q4261,매칭테이블!$F:$I,3,0)</f>
        <v/>
      </c>
      <c r="O4261" s="94">
        <f>VLOOKUP($Q4261,매칭테이블!$F:$I,4,0)*K4261</f>
        <v/>
      </c>
      <c r="P4261" s="148">
        <f>M4261/1.1</f>
        <v/>
      </c>
      <c r="Q4261" s="94">
        <f>F4261&amp;E4261&amp;G4261&amp;L4261</f>
        <v/>
      </c>
    </row>
    <row r="4262">
      <c r="A4262" s="94" t="n"/>
      <c r="B4262" s="128" t="n">
        <v>43825</v>
      </c>
      <c r="C4262" s="94">
        <f>TEXT(B4262,"aaa")</f>
        <v/>
      </c>
      <c r="D4262" s="94" t="n"/>
      <c r="E4262" s="6" t="inlineStr">
        <is>
          <t>토너</t>
        </is>
      </c>
      <c r="F4262" s="5" t="inlineStr">
        <is>
          <t>카페24</t>
        </is>
      </c>
      <c r="G4262" s="5" t="inlineStr">
        <is>
          <t>500ml</t>
        </is>
      </c>
      <c r="H4262" s="7" t="n">
        <v>190801</v>
      </c>
      <c r="I4262" s="7" t="n">
        <v>190801</v>
      </c>
      <c r="J4262" s="94" t="n"/>
      <c r="K4262" s="149" t="n">
        <v>29</v>
      </c>
      <c r="L4262" s="7" t="n">
        <v>190801</v>
      </c>
      <c r="M4262" s="94">
        <f>VLOOKUP($Q4262,매칭테이블!$F:$I,2,0)*K4262</f>
        <v/>
      </c>
      <c r="N4262" s="94">
        <f>M4262-M4262*VLOOKUP($Q4262,매칭테이블!$F:$I,3,0)</f>
        <v/>
      </c>
      <c r="O4262" s="94">
        <f>VLOOKUP($Q4262,매칭테이블!$F:$I,4,0)*K4262</f>
        <v/>
      </c>
      <c r="P4262" s="148">
        <f>M4262/1.1</f>
        <v/>
      </c>
      <c r="Q4262" s="94">
        <f>F4262&amp;E4262&amp;G4262&amp;L4262</f>
        <v/>
      </c>
    </row>
    <row r="4263">
      <c r="A4263" s="94" t="n"/>
      <c r="B4263" s="128" t="n">
        <v>43825</v>
      </c>
      <c r="C4263" s="94">
        <f>TEXT(B4263,"aaa")</f>
        <v/>
      </c>
      <c r="D4263" s="94" t="n"/>
      <c r="E4263" s="6" t="inlineStr">
        <is>
          <t>토너</t>
        </is>
      </c>
      <c r="F4263" s="5" t="inlineStr">
        <is>
          <t>카페24</t>
        </is>
      </c>
      <c r="G4263" s="5" t="inlineStr">
        <is>
          <t>250ml</t>
        </is>
      </c>
      <c r="H4263" s="7" t="n">
        <v>190801</v>
      </c>
      <c r="I4263" s="7" t="n">
        <v>190801</v>
      </c>
      <c r="J4263" s="94" t="n"/>
      <c r="K4263" s="149" t="n">
        <v>36</v>
      </c>
      <c r="L4263" s="7" t="n">
        <v>190801</v>
      </c>
      <c r="M4263" s="94">
        <f>VLOOKUP($Q4263,매칭테이블!$F:$I,2,0)*K4263</f>
        <v/>
      </c>
      <c r="N4263" s="94">
        <f>M4263-M4263*VLOOKUP($Q4263,매칭테이블!$F:$I,3,0)</f>
        <v/>
      </c>
      <c r="O4263" s="94">
        <f>VLOOKUP($Q4263,매칭테이블!$F:$I,4,0)*K4263</f>
        <v/>
      </c>
      <c r="P4263" s="148">
        <f>M4263/1.1</f>
        <v/>
      </c>
      <c r="Q4263" s="94">
        <f>F4263&amp;E4263&amp;G4263&amp;L4263</f>
        <v/>
      </c>
    </row>
    <row r="4264">
      <c r="A4264" s="94" t="n"/>
      <c r="B4264" s="128" t="n">
        <v>43825</v>
      </c>
      <c r="C4264" s="94">
        <f>TEXT(B4264,"aaa")</f>
        <v/>
      </c>
      <c r="D4264" s="94" t="n"/>
      <c r="E4264" s="6" t="inlineStr">
        <is>
          <t>토너</t>
        </is>
      </c>
      <c r="F4264" s="5" t="inlineStr">
        <is>
          <t>카페24</t>
        </is>
      </c>
      <c r="G4264" s="5" t="inlineStr">
        <is>
          <t>250ml 2set</t>
        </is>
      </c>
      <c r="H4264" s="7" t="n">
        <v>190801</v>
      </c>
      <c r="I4264" s="7" t="n">
        <v>190801</v>
      </c>
      <c r="J4264" s="94" t="n"/>
      <c r="K4264" s="149" t="n">
        <v>26</v>
      </c>
      <c r="L4264" s="7" t="n">
        <v>190801</v>
      </c>
      <c r="M4264" s="94">
        <f>VLOOKUP($Q4264,매칭테이블!$F:$I,2,0)*K4264</f>
        <v/>
      </c>
      <c r="N4264" s="94">
        <f>M4264-M4264*VLOOKUP($Q4264,매칭테이블!$F:$I,3,0)</f>
        <v/>
      </c>
      <c r="O4264" s="94">
        <f>VLOOKUP($Q4264,매칭테이블!$F:$I,4,0)*K4264</f>
        <v/>
      </c>
      <c r="P4264" s="148">
        <f>M4264/1.1</f>
        <v/>
      </c>
      <c r="Q4264" s="94">
        <f>F4264&amp;E4264&amp;G4264&amp;L4264</f>
        <v/>
      </c>
    </row>
    <row r="4265">
      <c r="A4265" s="94" t="n"/>
      <c r="B4265" s="128" t="n">
        <v>43825</v>
      </c>
      <c r="C4265" s="94">
        <f>TEXT(B4265,"aaa")</f>
        <v/>
      </c>
      <c r="D4265" s="94" t="n"/>
      <c r="E4265" s="94" t="inlineStr">
        <is>
          <t>토너</t>
        </is>
      </c>
      <c r="F4265" s="94" t="inlineStr">
        <is>
          <t>큐텐</t>
        </is>
      </c>
      <c r="G4265" s="94" t="inlineStr">
        <is>
          <t>250ml</t>
        </is>
      </c>
      <c r="H4265" s="7" t="n">
        <v>190801</v>
      </c>
      <c r="I4265" s="7" t="n">
        <v>190801</v>
      </c>
      <c r="J4265" s="94" t="n"/>
      <c r="K4265" s="6" t="n">
        <v>3</v>
      </c>
      <c r="L4265" s="92" t="n">
        <v>190801</v>
      </c>
      <c r="M4265" s="94">
        <f>VLOOKUP($Q4265,매칭테이블!$F:$I,2,0)*K4265</f>
        <v/>
      </c>
      <c r="N4265" s="94">
        <f>M4265-M4265*VLOOKUP($Q4265,매칭테이블!$F:$I,3,0)</f>
        <v/>
      </c>
      <c r="O4265" s="94">
        <f>VLOOKUP($Q4265,매칭테이블!$F:$I,4,0)*K4265</f>
        <v/>
      </c>
      <c r="P4265" s="148">
        <f>M4265/1.1</f>
        <v/>
      </c>
      <c r="Q4265" s="94">
        <f>F4265&amp;E4265&amp;G4265&amp;L4265</f>
        <v/>
      </c>
    </row>
    <row r="4266">
      <c r="A4266" s="94" t="n"/>
      <c r="B4266" s="128" t="n">
        <v>43825</v>
      </c>
      <c r="C4266" s="94">
        <f>TEXT(B4266,"aaa")</f>
        <v/>
      </c>
      <c r="D4266" s="94" t="n"/>
      <c r="E4266" s="94" t="inlineStr">
        <is>
          <t>토너</t>
        </is>
      </c>
      <c r="F4266" s="94" t="inlineStr">
        <is>
          <t>큐텐</t>
        </is>
      </c>
      <c r="G4266" s="94" t="inlineStr">
        <is>
          <t>250ml 2set</t>
        </is>
      </c>
      <c r="H4266" s="7" t="n">
        <v>190801</v>
      </c>
      <c r="I4266" s="7" t="n">
        <v>190801</v>
      </c>
      <c r="J4266" s="94" t="n"/>
      <c r="K4266" s="6" t="n">
        <v>1</v>
      </c>
      <c r="L4266" s="92" t="n">
        <v>190801</v>
      </c>
      <c r="M4266" s="94">
        <f>VLOOKUP($Q4266,매칭테이블!$F:$I,2,0)*K4266</f>
        <v/>
      </c>
      <c r="N4266" s="94">
        <f>M4266-M4266*VLOOKUP($Q4266,매칭테이블!$F:$I,3,0)</f>
        <v/>
      </c>
      <c r="O4266" s="94">
        <f>VLOOKUP($Q4266,매칭테이블!$F:$I,4,0)*K4266</f>
        <v/>
      </c>
      <c r="P4266" s="148">
        <f>M4266/1.1</f>
        <v/>
      </c>
      <c r="Q4266" s="94">
        <f>F4266&amp;E4266&amp;G4266&amp;L4266</f>
        <v/>
      </c>
    </row>
    <row r="4267">
      <c r="A4267" s="94" t="n"/>
      <c r="B4267" s="128" t="n">
        <v>43826</v>
      </c>
      <c r="C4267" s="94">
        <f>TEXT(B4267,"aaa")</f>
        <v/>
      </c>
      <c r="D4267" s="94" t="n"/>
      <c r="E4267" s="6" t="inlineStr">
        <is>
          <t>토너</t>
        </is>
      </c>
      <c r="F4267" s="5" t="inlineStr">
        <is>
          <t>W컨셉</t>
        </is>
      </c>
      <c r="G4267" s="5" t="inlineStr">
        <is>
          <t>250ml</t>
        </is>
      </c>
      <c r="H4267" s="7" t="n">
        <v>190801</v>
      </c>
      <c r="I4267" s="7" t="n">
        <v>190801</v>
      </c>
      <c r="J4267" s="94" t="n"/>
      <c r="K4267" s="149" t="n">
        <v>1</v>
      </c>
      <c r="L4267" s="7" t="n">
        <v>190801</v>
      </c>
      <c r="M4267" s="94">
        <f>VLOOKUP($Q4267,매칭테이블!$F:$I,2,0)*K4267</f>
        <v/>
      </c>
      <c r="N4267" s="94">
        <f>M4267-M4267*VLOOKUP($Q4267,매칭테이블!$F:$I,3,0)</f>
        <v/>
      </c>
      <c r="O4267" s="94">
        <f>VLOOKUP($Q4267,매칭테이블!$F:$I,4,0)*K4267</f>
        <v/>
      </c>
      <c r="P4267" s="148">
        <f>M4267/1.1</f>
        <v/>
      </c>
      <c r="Q4267" s="94">
        <f>F4267&amp;E4267&amp;G4267&amp;L4267</f>
        <v/>
      </c>
    </row>
    <row r="4268">
      <c r="A4268" s="94" t="n"/>
      <c r="B4268" s="128" t="n">
        <v>43826</v>
      </c>
      <c r="C4268" s="94">
        <f>TEXT(B4268,"aaa")</f>
        <v/>
      </c>
      <c r="D4268" s="94" t="n"/>
      <c r="E4268" s="6" t="inlineStr">
        <is>
          <t>토너</t>
        </is>
      </c>
      <c r="F4268" s="5" t="inlineStr">
        <is>
          <t>W컨셉</t>
        </is>
      </c>
      <c r="G4268" s="5" t="inlineStr">
        <is>
          <t>250ml 2set</t>
        </is>
      </c>
      <c r="H4268" s="7" t="n">
        <v>190801</v>
      </c>
      <c r="I4268" s="7" t="n">
        <v>190801</v>
      </c>
      <c r="J4268" s="94" t="n"/>
      <c r="K4268" s="149" t="n">
        <v>4</v>
      </c>
      <c r="L4268" s="7" t="n">
        <v>190801</v>
      </c>
      <c r="M4268" s="94">
        <f>VLOOKUP($Q4268,매칭테이블!$F:$I,2,0)*K4268</f>
        <v/>
      </c>
      <c r="N4268" s="94">
        <f>M4268-M4268*VLOOKUP($Q4268,매칭테이블!$F:$I,3,0)</f>
        <v/>
      </c>
      <c r="O4268" s="94">
        <f>VLOOKUP($Q4268,매칭테이블!$F:$I,4,0)*K4268</f>
        <v/>
      </c>
      <c r="P4268" s="148">
        <f>M4268/1.1</f>
        <v/>
      </c>
      <c r="Q4268" s="94">
        <f>F4268&amp;E4268&amp;G4268&amp;L4268</f>
        <v/>
      </c>
    </row>
    <row r="4269">
      <c r="A4269" s="94" t="n"/>
      <c r="B4269" s="128" t="n">
        <v>43826</v>
      </c>
      <c r="C4269" s="94">
        <f>TEXT(B4269,"aaa")</f>
        <v/>
      </c>
      <c r="D4269" s="94" t="n"/>
      <c r="E4269" s="6" t="inlineStr">
        <is>
          <t>토너</t>
        </is>
      </c>
      <c r="F4269" s="5" t="inlineStr">
        <is>
          <t>카페24</t>
        </is>
      </c>
      <c r="G4269" s="5" t="inlineStr">
        <is>
          <t>500ml</t>
        </is>
      </c>
      <c r="H4269" s="7" t="n">
        <v>190801</v>
      </c>
      <c r="I4269" s="7" t="n">
        <v>190801</v>
      </c>
      <c r="J4269" s="94" t="n"/>
      <c r="K4269" s="149" t="n">
        <v>28</v>
      </c>
      <c r="L4269" s="7" t="n">
        <v>190801</v>
      </c>
      <c r="M4269" s="94">
        <f>VLOOKUP($Q4269,매칭테이블!$F:$I,2,0)*K4269</f>
        <v/>
      </c>
      <c r="N4269" s="94">
        <f>M4269-M4269*VLOOKUP($Q4269,매칭테이블!$F:$I,3,0)</f>
        <v/>
      </c>
      <c r="O4269" s="94">
        <f>VLOOKUP($Q4269,매칭테이블!$F:$I,4,0)*K4269</f>
        <v/>
      </c>
      <c r="P4269" s="148">
        <f>M4269/1.1</f>
        <v/>
      </c>
      <c r="Q4269" s="94">
        <f>F4269&amp;E4269&amp;G4269&amp;L4269</f>
        <v/>
      </c>
    </row>
    <row r="4270">
      <c r="A4270" s="94" t="n"/>
      <c r="B4270" s="128" t="n">
        <v>43826</v>
      </c>
      <c r="C4270" s="94">
        <f>TEXT(B4270,"aaa")</f>
        <v/>
      </c>
      <c r="D4270" s="94" t="n"/>
      <c r="E4270" s="6" t="inlineStr">
        <is>
          <t>토너</t>
        </is>
      </c>
      <c r="F4270" s="5" t="inlineStr">
        <is>
          <t>카페24</t>
        </is>
      </c>
      <c r="G4270" s="5" t="inlineStr">
        <is>
          <t>250ml</t>
        </is>
      </c>
      <c r="H4270" s="7" t="n">
        <v>190801</v>
      </c>
      <c r="I4270" s="7" t="n">
        <v>190801</v>
      </c>
      <c r="J4270" s="94" t="n"/>
      <c r="K4270" s="149" t="n">
        <v>26</v>
      </c>
      <c r="L4270" s="7" t="n">
        <v>190801</v>
      </c>
      <c r="M4270" s="94">
        <f>VLOOKUP($Q4270,매칭테이블!$F:$I,2,0)*K4270</f>
        <v/>
      </c>
      <c r="N4270" s="94">
        <f>M4270-M4270*VLOOKUP($Q4270,매칭테이블!$F:$I,3,0)</f>
        <v/>
      </c>
      <c r="O4270" s="94">
        <f>VLOOKUP($Q4270,매칭테이블!$F:$I,4,0)*K4270</f>
        <v/>
      </c>
      <c r="P4270" s="148">
        <f>M4270/1.1</f>
        <v/>
      </c>
      <c r="Q4270" s="94">
        <f>F4270&amp;E4270&amp;G4270&amp;L4270</f>
        <v/>
      </c>
    </row>
    <row r="4271">
      <c r="A4271" s="94" t="n"/>
      <c r="B4271" s="128" t="n">
        <v>43826</v>
      </c>
      <c r="C4271" s="94">
        <f>TEXT(B4271,"aaa")</f>
        <v/>
      </c>
      <c r="D4271" s="94" t="n"/>
      <c r="E4271" s="6" t="inlineStr">
        <is>
          <t>토너</t>
        </is>
      </c>
      <c r="F4271" s="5" t="inlineStr">
        <is>
          <t>카페24</t>
        </is>
      </c>
      <c r="G4271" s="5" t="inlineStr">
        <is>
          <t>250ml 2set</t>
        </is>
      </c>
      <c r="H4271" s="7" t="n">
        <v>190801</v>
      </c>
      <c r="I4271" s="7" t="n">
        <v>190801</v>
      </c>
      <c r="J4271" s="94" t="n"/>
      <c r="K4271" s="149" t="n">
        <v>25</v>
      </c>
      <c r="L4271" s="7" t="n">
        <v>190801</v>
      </c>
      <c r="M4271" s="94">
        <f>VLOOKUP($Q4271,매칭테이블!$F:$I,2,0)*K4271</f>
        <v/>
      </c>
      <c r="N4271" s="94">
        <f>M4271-M4271*VLOOKUP($Q4271,매칭테이블!$F:$I,3,0)</f>
        <v/>
      </c>
      <c r="O4271" s="94">
        <f>VLOOKUP($Q4271,매칭테이블!$F:$I,4,0)*K4271</f>
        <v/>
      </c>
      <c r="P4271" s="148">
        <f>M4271/1.1</f>
        <v/>
      </c>
      <c r="Q4271" s="94">
        <f>F4271&amp;E4271&amp;G4271&amp;L4271</f>
        <v/>
      </c>
    </row>
    <row r="4272">
      <c r="A4272" s="94" t="n"/>
      <c r="B4272" s="128" t="n">
        <v>43826</v>
      </c>
      <c r="C4272" s="94">
        <f>TEXT(B4272,"aaa")</f>
        <v/>
      </c>
      <c r="D4272" s="94" t="n"/>
      <c r="E4272" s="94" t="inlineStr">
        <is>
          <t>토너</t>
        </is>
      </c>
      <c r="F4272" s="94" t="inlineStr">
        <is>
          <t>큐텐</t>
        </is>
      </c>
      <c r="G4272" s="94" t="inlineStr">
        <is>
          <t>250ml</t>
        </is>
      </c>
      <c r="H4272" s="7" t="n">
        <v>190801</v>
      </c>
      <c r="I4272" s="7" t="n">
        <v>190801</v>
      </c>
      <c r="J4272" s="94" t="n"/>
      <c r="K4272" s="149" t="n">
        <v>4</v>
      </c>
      <c r="L4272" s="92" t="n">
        <v>190801</v>
      </c>
      <c r="M4272" s="94">
        <f>VLOOKUP($Q4272,매칭테이블!$F:$I,2,0)*K4272</f>
        <v/>
      </c>
      <c r="N4272" s="94">
        <f>M4272-M4272*VLOOKUP($Q4272,매칭테이블!$F:$I,3,0)</f>
        <v/>
      </c>
      <c r="O4272" s="94">
        <f>VLOOKUP($Q4272,매칭테이블!$F:$I,4,0)*K4272</f>
        <v/>
      </c>
      <c r="P4272" s="148">
        <f>M4272/1.1</f>
        <v/>
      </c>
      <c r="Q4272" s="94">
        <f>F4272&amp;E4272&amp;G4272&amp;L4272</f>
        <v/>
      </c>
    </row>
    <row r="4273">
      <c r="A4273" s="94" t="n"/>
      <c r="B4273" s="128" t="n">
        <v>43827</v>
      </c>
      <c r="C4273" s="94">
        <f>TEXT(B4273,"aaa")</f>
        <v/>
      </c>
      <c r="D4273" s="94" t="n"/>
      <c r="E4273" s="6" t="inlineStr">
        <is>
          <t>토너</t>
        </is>
      </c>
      <c r="F4273" s="5" t="inlineStr">
        <is>
          <t>W컨셉</t>
        </is>
      </c>
      <c r="G4273" s="5" t="inlineStr">
        <is>
          <t>250ml 2set</t>
        </is>
      </c>
      <c r="H4273" s="7" t="n">
        <v>190801</v>
      </c>
      <c r="I4273" s="7" t="n">
        <v>190801</v>
      </c>
      <c r="J4273" s="94" t="n"/>
      <c r="K4273" s="149" t="n">
        <v>1</v>
      </c>
      <c r="L4273" s="7" t="n">
        <v>190801</v>
      </c>
      <c r="M4273" s="94">
        <f>VLOOKUP($Q4273,매칭테이블!$F:$I,2,0)*K4273</f>
        <v/>
      </c>
      <c r="N4273" s="94">
        <f>M4273-M4273*VLOOKUP($Q4273,매칭테이블!$F:$I,3,0)</f>
        <v/>
      </c>
      <c r="O4273" s="94">
        <f>VLOOKUP($Q4273,매칭테이블!$F:$I,4,0)*K4273</f>
        <v/>
      </c>
      <c r="P4273" s="148">
        <f>M4273/1.1</f>
        <v/>
      </c>
      <c r="Q4273" s="94">
        <f>F4273&amp;E4273&amp;G4273&amp;L4273</f>
        <v/>
      </c>
    </row>
    <row r="4274">
      <c r="A4274" s="94" t="n"/>
      <c r="B4274" s="128" t="n">
        <v>43827</v>
      </c>
      <c r="C4274" s="94">
        <f>TEXT(B4274,"aaa")</f>
        <v/>
      </c>
      <c r="D4274" s="94" t="n"/>
      <c r="E4274" s="6" t="inlineStr">
        <is>
          <t>토너</t>
        </is>
      </c>
      <c r="F4274" s="5" t="inlineStr">
        <is>
          <t>카페24</t>
        </is>
      </c>
      <c r="G4274" s="5" t="inlineStr">
        <is>
          <t>500ml</t>
        </is>
      </c>
      <c r="H4274" s="7" t="n">
        <v>190801</v>
      </c>
      <c r="I4274" s="7" t="n">
        <v>190801</v>
      </c>
      <c r="J4274" s="94" t="n"/>
      <c r="K4274" s="149" t="n">
        <v>28</v>
      </c>
      <c r="L4274" s="7" t="n">
        <v>190801</v>
      </c>
      <c r="M4274" s="94">
        <f>VLOOKUP($Q4274,매칭테이블!$F:$I,2,0)*K4274</f>
        <v/>
      </c>
      <c r="N4274" s="94">
        <f>M4274-M4274*VLOOKUP($Q4274,매칭테이블!$F:$I,3,0)</f>
        <v/>
      </c>
      <c r="O4274" s="94">
        <f>VLOOKUP($Q4274,매칭테이블!$F:$I,4,0)*K4274</f>
        <v/>
      </c>
      <c r="P4274" s="148">
        <f>M4274/1.1</f>
        <v/>
      </c>
      <c r="Q4274" s="94">
        <f>F4274&amp;E4274&amp;G4274&amp;L4274</f>
        <v/>
      </c>
    </row>
    <row r="4275">
      <c r="A4275" s="94" t="n"/>
      <c r="B4275" s="128" t="n">
        <v>43827</v>
      </c>
      <c r="C4275" s="94">
        <f>TEXT(B4275,"aaa")</f>
        <v/>
      </c>
      <c r="D4275" s="94" t="n"/>
      <c r="E4275" s="6" t="inlineStr">
        <is>
          <t>토너</t>
        </is>
      </c>
      <c r="F4275" s="5" t="inlineStr">
        <is>
          <t>카페24</t>
        </is>
      </c>
      <c r="G4275" s="5" t="inlineStr">
        <is>
          <t>250ml</t>
        </is>
      </c>
      <c r="H4275" s="7" t="n">
        <v>190801</v>
      </c>
      <c r="I4275" s="7" t="n">
        <v>190801</v>
      </c>
      <c r="J4275" s="94" t="n"/>
      <c r="K4275" s="149" t="n">
        <v>21</v>
      </c>
      <c r="L4275" s="7" t="n">
        <v>190801</v>
      </c>
      <c r="M4275" s="94">
        <f>VLOOKUP($Q4275,매칭테이블!$F:$I,2,0)*K4275</f>
        <v/>
      </c>
      <c r="N4275" s="94">
        <f>M4275-M4275*VLOOKUP($Q4275,매칭테이블!$F:$I,3,0)</f>
        <v/>
      </c>
      <c r="O4275" s="94">
        <f>VLOOKUP($Q4275,매칭테이블!$F:$I,4,0)*K4275</f>
        <v/>
      </c>
      <c r="P4275" s="148">
        <f>M4275/1.1</f>
        <v/>
      </c>
      <c r="Q4275" s="94">
        <f>F4275&amp;E4275&amp;G4275&amp;L4275</f>
        <v/>
      </c>
    </row>
    <row r="4276">
      <c r="A4276" s="94" t="n"/>
      <c r="B4276" s="128" t="n">
        <v>43827</v>
      </c>
      <c r="C4276" s="94">
        <f>TEXT(B4276,"aaa")</f>
        <v/>
      </c>
      <c r="D4276" s="94" t="n"/>
      <c r="E4276" s="6" t="inlineStr">
        <is>
          <t>토너</t>
        </is>
      </c>
      <c r="F4276" s="5" t="inlineStr">
        <is>
          <t>카페24</t>
        </is>
      </c>
      <c r="G4276" s="5" t="inlineStr">
        <is>
          <t>250ml 2set</t>
        </is>
      </c>
      <c r="H4276" s="7" t="n">
        <v>190801</v>
      </c>
      <c r="I4276" s="7" t="n">
        <v>190801</v>
      </c>
      <c r="J4276" s="94" t="n"/>
      <c r="K4276" s="149" t="n">
        <v>21</v>
      </c>
      <c r="L4276" s="7" t="n">
        <v>190801</v>
      </c>
      <c r="M4276" s="94">
        <f>VLOOKUP($Q4276,매칭테이블!$F:$I,2,0)*K4276</f>
        <v/>
      </c>
      <c r="N4276" s="94">
        <f>M4276-M4276*VLOOKUP($Q4276,매칭테이블!$F:$I,3,0)</f>
        <v/>
      </c>
      <c r="O4276" s="94">
        <f>VLOOKUP($Q4276,매칭테이블!$F:$I,4,0)*K4276</f>
        <v/>
      </c>
      <c r="P4276" s="148">
        <f>M4276/1.1</f>
        <v/>
      </c>
      <c r="Q4276" s="94">
        <f>F4276&amp;E4276&amp;G4276&amp;L4276</f>
        <v/>
      </c>
    </row>
    <row r="4277">
      <c r="A4277" s="94" t="n"/>
      <c r="B4277" s="128" t="n">
        <v>43828</v>
      </c>
      <c r="C4277" s="94">
        <f>TEXT(B4277,"aaa")</f>
        <v/>
      </c>
      <c r="D4277" s="94" t="n"/>
      <c r="E4277" s="6" t="inlineStr">
        <is>
          <t>토너</t>
        </is>
      </c>
      <c r="F4277" s="5" t="inlineStr">
        <is>
          <t>W컨셉</t>
        </is>
      </c>
      <c r="G4277" s="5" t="inlineStr">
        <is>
          <t>250ml 2set</t>
        </is>
      </c>
      <c r="H4277" s="7" t="n">
        <v>190801</v>
      </c>
      <c r="I4277" s="7" t="n">
        <v>190801</v>
      </c>
      <c r="J4277" s="94" t="n"/>
      <c r="K4277" s="149" t="n">
        <v>5</v>
      </c>
      <c r="L4277" s="7" t="n">
        <v>190801</v>
      </c>
      <c r="M4277" s="94">
        <f>VLOOKUP($Q4277,매칭테이블!$F:$I,2,0)*K4277</f>
        <v/>
      </c>
      <c r="N4277" s="94">
        <f>M4277-M4277*VLOOKUP($Q4277,매칭테이블!$F:$I,3,0)</f>
        <v/>
      </c>
      <c r="O4277" s="94">
        <f>VLOOKUP($Q4277,매칭테이블!$F:$I,4,0)*K4277</f>
        <v/>
      </c>
      <c r="P4277" s="148">
        <f>M4277/1.1</f>
        <v/>
      </c>
      <c r="Q4277" s="94">
        <f>F4277&amp;E4277&amp;G4277&amp;L4277</f>
        <v/>
      </c>
    </row>
    <row r="4278">
      <c r="A4278" s="94" t="n"/>
      <c r="B4278" s="128" t="n">
        <v>43828</v>
      </c>
      <c r="C4278" s="94">
        <f>TEXT(B4278,"aaa")</f>
        <v/>
      </c>
      <c r="D4278" s="94" t="n"/>
      <c r="E4278" s="6" t="inlineStr">
        <is>
          <t>토너</t>
        </is>
      </c>
      <c r="F4278" s="5" t="inlineStr">
        <is>
          <t>카페24</t>
        </is>
      </c>
      <c r="G4278" s="5" t="inlineStr">
        <is>
          <t>500ml</t>
        </is>
      </c>
      <c r="H4278" s="7" t="n">
        <v>190801</v>
      </c>
      <c r="I4278" s="7" t="n">
        <v>190801</v>
      </c>
      <c r="J4278" s="94" t="n"/>
      <c r="K4278" s="149" t="n">
        <v>19</v>
      </c>
      <c r="L4278" s="7" t="n">
        <v>190801</v>
      </c>
      <c r="M4278" s="94">
        <f>VLOOKUP($Q4278,매칭테이블!$F:$I,2,0)*K4278</f>
        <v/>
      </c>
      <c r="N4278" s="94">
        <f>M4278-M4278*VLOOKUP($Q4278,매칭테이블!$F:$I,3,0)</f>
        <v/>
      </c>
      <c r="O4278" s="94">
        <f>VLOOKUP($Q4278,매칭테이블!$F:$I,4,0)*K4278</f>
        <v/>
      </c>
      <c r="P4278" s="148">
        <f>M4278/1.1</f>
        <v/>
      </c>
      <c r="Q4278" s="94">
        <f>F4278&amp;E4278&amp;G4278&amp;L4278</f>
        <v/>
      </c>
    </row>
    <row r="4279">
      <c r="A4279" s="94" t="n"/>
      <c r="B4279" s="128" t="n">
        <v>43828</v>
      </c>
      <c r="C4279" s="94">
        <f>TEXT(B4279,"aaa")</f>
        <v/>
      </c>
      <c r="D4279" s="94" t="n"/>
      <c r="E4279" s="6" t="inlineStr">
        <is>
          <t>토너</t>
        </is>
      </c>
      <c r="F4279" s="5" t="inlineStr">
        <is>
          <t>카페24</t>
        </is>
      </c>
      <c r="G4279" s="5" t="inlineStr">
        <is>
          <t>250ml</t>
        </is>
      </c>
      <c r="H4279" s="7" t="n">
        <v>190801</v>
      </c>
      <c r="I4279" s="7" t="n">
        <v>190801</v>
      </c>
      <c r="J4279" s="94" t="n"/>
      <c r="K4279" s="149" t="n">
        <v>28</v>
      </c>
      <c r="L4279" s="7" t="n">
        <v>190801</v>
      </c>
      <c r="M4279" s="94">
        <f>VLOOKUP($Q4279,매칭테이블!$F:$I,2,0)*K4279</f>
        <v/>
      </c>
      <c r="N4279" s="94">
        <f>M4279-M4279*VLOOKUP($Q4279,매칭테이블!$F:$I,3,0)</f>
        <v/>
      </c>
      <c r="O4279" s="94">
        <f>VLOOKUP($Q4279,매칭테이블!$F:$I,4,0)*K4279</f>
        <v/>
      </c>
      <c r="P4279" s="148">
        <f>M4279/1.1</f>
        <v/>
      </c>
      <c r="Q4279" s="94">
        <f>F4279&amp;E4279&amp;G4279&amp;L4279</f>
        <v/>
      </c>
    </row>
    <row r="4280">
      <c r="A4280" s="94" t="n"/>
      <c r="B4280" s="128" t="n">
        <v>43828</v>
      </c>
      <c r="C4280" s="94">
        <f>TEXT(B4280,"aaa")</f>
        <v/>
      </c>
      <c r="D4280" s="94" t="n"/>
      <c r="E4280" s="6" t="inlineStr">
        <is>
          <t>토너</t>
        </is>
      </c>
      <c r="F4280" s="5" t="inlineStr">
        <is>
          <t>카페24</t>
        </is>
      </c>
      <c r="G4280" s="5" t="inlineStr">
        <is>
          <t>250ml 2set</t>
        </is>
      </c>
      <c r="H4280" s="7" t="n">
        <v>190801</v>
      </c>
      <c r="I4280" s="7" t="n">
        <v>190801</v>
      </c>
      <c r="J4280" s="94" t="n"/>
      <c r="K4280" s="149" t="n">
        <v>10</v>
      </c>
      <c r="L4280" s="7" t="n">
        <v>190801</v>
      </c>
      <c r="M4280" s="94">
        <f>VLOOKUP($Q4280,매칭테이블!$F:$I,2,0)*K4280</f>
        <v/>
      </c>
      <c r="N4280" s="94">
        <f>M4280-M4280*VLOOKUP($Q4280,매칭테이블!$F:$I,3,0)</f>
        <v/>
      </c>
      <c r="O4280" s="94">
        <f>VLOOKUP($Q4280,매칭테이블!$F:$I,4,0)*K4280</f>
        <v/>
      </c>
      <c r="P4280" s="148">
        <f>M4280/1.1</f>
        <v/>
      </c>
      <c r="Q4280" s="94">
        <f>F4280&amp;E4280&amp;G4280&amp;L4280</f>
        <v/>
      </c>
    </row>
    <row r="4281">
      <c r="A4281" s="94" t="n"/>
      <c r="B4281" s="128" t="n">
        <v>43829</v>
      </c>
      <c r="C4281" s="94">
        <f>TEXT(B4281,"aaa")</f>
        <v/>
      </c>
      <c r="D4281" s="94" t="n"/>
      <c r="E4281" s="6" t="inlineStr">
        <is>
          <t>토너</t>
        </is>
      </c>
      <c r="F4281" s="5" t="inlineStr">
        <is>
          <t>W컨셉</t>
        </is>
      </c>
      <c r="G4281" s="5" t="inlineStr">
        <is>
          <t>250ml</t>
        </is>
      </c>
      <c r="H4281" s="7" t="n">
        <v>190801</v>
      </c>
      <c r="I4281" s="7" t="n">
        <v>190801</v>
      </c>
      <c r="J4281" s="94" t="n"/>
      <c r="K4281" s="149" t="n">
        <v>2</v>
      </c>
      <c r="L4281" s="7" t="n">
        <v>190801</v>
      </c>
      <c r="M4281" s="94">
        <f>VLOOKUP($Q4281,매칭테이블!$F:$I,2,0)*K4281</f>
        <v/>
      </c>
      <c r="N4281" s="94">
        <f>M4281-M4281*VLOOKUP($Q4281,매칭테이블!$F:$I,3,0)</f>
        <v/>
      </c>
      <c r="O4281" s="94">
        <f>VLOOKUP($Q4281,매칭테이블!$F:$I,4,0)*K4281</f>
        <v/>
      </c>
      <c r="P4281" s="148">
        <f>M4281/1.1</f>
        <v/>
      </c>
      <c r="Q4281" s="94">
        <f>F4281&amp;E4281&amp;G4281&amp;L4281</f>
        <v/>
      </c>
    </row>
    <row r="4282">
      <c r="A4282" s="94" t="n"/>
      <c r="B4282" s="128" t="n">
        <v>43829</v>
      </c>
      <c r="C4282" s="94">
        <f>TEXT(B4282,"aaa")</f>
        <v/>
      </c>
      <c r="D4282" s="94" t="n"/>
      <c r="E4282" s="6" t="inlineStr">
        <is>
          <t>토너</t>
        </is>
      </c>
      <c r="F4282" s="5" t="inlineStr">
        <is>
          <t>W컨셉</t>
        </is>
      </c>
      <c r="G4282" s="5" t="inlineStr">
        <is>
          <t>250ml 2set</t>
        </is>
      </c>
      <c r="H4282" s="7" t="n">
        <v>190801</v>
      </c>
      <c r="I4282" s="7" t="n">
        <v>190801</v>
      </c>
      <c r="J4282" s="94" t="n"/>
      <c r="K4282" s="149" t="n">
        <v>5</v>
      </c>
      <c r="L4282" s="7" t="n">
        <v>190801</v>
      </c>
      <c r="M4282" s="94">
        <f>VLOOKUP($Q4282,매칭테이블!$F:$I,2,0)*K4282</f>
        <v/>
      </c>
      <c r="N4282" s="94">
        <f>M4282-M4282*VLOOKUP($Q4282,매칭테이블!$F:$I,3,0)</f>
        <v/>
      </c>
      <c r="O4282" s="94">
        <f>VLOOKUP($Q4282,매칭테이블!$F:$I,4,0)*K4282</f>
        <v/>
      </c>
      <c r="P4282" s="148">
        <f>M4282/1.1</f>
        <v/>
      </c>
      <c r="Q4282" s="94">
        <f>F4282&amp;E4282&amp;G4282&amp;L4282</f>
        <v/>
      </c>
    </row>
    <row r="4283">
      <c r="A4283" s="94" t="n"/>
      <c r="B4283" s="128" t="n">
        <v>43829</v>
      </c>
      <c r="C4283" s="94">
        <f>TEXT(B4283,"aaa")</f>
        <v/>
      </c>
      <c r="D4283" s="94" t="n"/>
      <c r="E4283" s="6" t="inlineStr">
        <is>
          <t>토너</t>
        </is>
      </c>
      <c r="F4283" s="5" t="inlineStr">
        <is>
          <t>카페24</t>
        </is>
      </c>
      <c r="G4283" s="5" t="inlineStr">
        <is>
          <t>500ml</t>
        </is>
      </c>
      <c r="H4283" s="7" t="n">
        <v>190801</v>
      </c>
      <c r="I4283" s="7" t="n">
        <v>190801</v>
      </c>
      <c r="J4283" s="94" t="n"/>
      <c r="K4283" s="149" t="n">
        <v>25</v>
      </c>
      <c r="L4283" s="7" t="n">
        <v>190801</v>
      </c>
      <c r="M4283" s="94">
        <f>VLOOKUP($Q4283,매칭테이블!$F:$I,2,0)*K4283</f>
        <v/>
      </c>
      <c r="N4283" s="94">
        <f>M4283-M4283*VLOOKUP($Q4283,매칭테이블!$F:$I,3,0)</f>
        <v/>
      </c>
      <c r="O4283" s="94">
        <f>VLOOKUP($Q4283,매칭테이블!$F:$I,4,0)*K4283</f>
        <v/>
      </c>
      <c r="P4283" s="148">
        <f>M4283/1.1</f>
        <v/>
      </c>
      <c r="Q4283" s="94">
        <f>F4283&amp;E4283&amp;G4283&amp;L4283</f>
        <v/>
      </c>
    </row>
    <row r="4284">
      <c r="A4284" s="94" t="n"/>
      <c r="B4284" s="128" t="n">
        <v>43829</v>
      </c>
      <c r="C4284" s="94">
        <f>TEXT(B4284,"aaa")</f>
        <v/>
      </c>
      <c r="D4284" s="94" t="n"/>
      <c r="E4284" s="6" t="inlineStr">
        <is>
          <t>토너</t>
        </is>
      </c>
      <c r="F4284" s="5" t="inlineStr">
        <is>
          <t>카페24</t>
        </is>
      </c>
      <c r="G4284" s="5" t="inlineStr">
        <is>
          <t>250ml</t>
        </is>
      </c>
      <c r="H4284" s="7" t="n">
        <v>190801</v>
      </c>
      <c r="I4284" s="7" t="n">
        <v>190801</v>
      </c>
      <c r="J4284" s="94" t="n"/>
      <c r="K4284" s="149" t="n">
        <v>29</v>
      </c>
      <c r="L4284" s="7" t="n">
        <v>190801</v>
      </c>
      <c r="M4284" s="94">
        <f>VLOOKUP($Q4284,매칭테이블!$F:$I,2,0)*K4284</f>
        <v/>
      </c>
      <c r="N4284" s="94">
        <f>M4284-M4284*VLOOKUP($Q4284,매칭테이블!$F:$I,3,0)</f>
        <v/>
      </c>
      <c r="O4284" s="94">
        <f>VLOOKUP($Q4284,매칭테이블!$F:$I,4,0)*K4284</f>
        <v/>
      </c>
      <c r="P4284" s="148">
        <f>M4284/1.1</f>
        <v/>
      </c>
      <c r="Q4284" s="94">
        <f>F4284&amp;E4284&amp;G4284&amp;L4284</f>
        <v/>
      </c>
    </row>
    <row r="4285">
      <c r="A4285" s="94" t="n"/>
      <c r="B4285" s="128" t="n">
        <v>43829</v>
      </c>
      <c r="C4285" s="94">
        <f>TEXT(B4285,"aaa")</f>
        <v/>
      </c>
      <c r="D4285" s="94" t="n"/>
      <c r="E4285" s="6" t="inlineStr">
        <is>
          <t>토너</t>
        </is>
      </c>
      <c r="F4285" s="5" t="inlineStr">
        <is>
          <t>카페24</t>
        </is>
      </c>
      <c r="G4285" s="5" t="inlineStr">
        <is>
          <t>250ml 2set</t>
        </is>
      </c>
      <c r="H4285" s="7" t="n">
        <v>190801</v>
      </c>
      <c r="I4285" s="7" t="n">
        <v>190801</v>
      </c>
      <c r="J4285" s="94" t="n"/>
      <c r="K4285" s="149" t="n">
        <v>22</v>
      </c>
      <c r="L4285" s="7" t="n">
        <v>190801</v>
      </c>
      <c r="M4285" s="94">
        <f>VLOOKUP($Q4285,매칭테이블!$F:$I,2,0)*K4285</f>
        <v/>
      </c>
      <c r="N4285" s="94">
        <f>M4285-M4285*VLOOKUP($Q4285,매칭테이블!$F:$I,3,0)</f>
        <v/>
      </c>
      <c r="O4285" s="94">
        <f>VLOOKUP($Q4285,매칭테이블!$F:$I,4,0)*K4285</f>
        <v/>
      </c>
      <c r="P4285" s="148">
        <f>M4285/1.1</f>
        <v/>
      </c>
      <c r="Q4285" s="94">
        <f>F4285&amp;E4285&amp;G4285&amp;L4285</f>
        <v/>
      </c>
    </row>
    <row r="4286">
      <c r="A4286" s="94" t="n"/>
      <c r="B4286" s="128" t="n">
        <v>43829</v>
      </c>
      <c r="C4286" s="94">
        <f>TEXT(B4286,"aaa")</f>
        <v/>
      </c>
      <c r="D4286" s="94" t="n"/>
      <c r="E4286" s="94" t="inlineStr">
        <is>
          <t>토너</t>
        </is>
      </c>
      <c r="F4286" s="94" t="inlineStr">
        <is>
          <t>아누아 CS</t>
        </is>
      </c>
      <c r="G4286" s="94" t="inlineStr">
        <is>
          <t>250ml</t>
        </is>
      </c>
      <c r="H4286" s="7" t="n">
        <v>190801</v>
      </c>
      <c r="I4286" s="7" t="n">
        <v>190801</v>
      </c>
      <c r="J4286" s="94" t="n"/>
      <c r="K4286" s="149" t="n">
        <v>2</v>
      </c>
      <c r="L4286" s="7" t="n">
        <v>190801</v>
      </c>
      <c r="M4286" s="94">
        <f>VLOOKUP($Q4286,매칭테이블!$F:$I,2,0)*K4286</f>
        <v/>
      </c>
      <c r="N4286" s="94">
        <f>M4286-M4286*VLOOKUP($Q4286,매칭테이블!$F:$I,3,0)</f>
        <v/>
      </c>
      <c r="O4286" s="94">
        <f>VLOOKUP($Q4286,매칭테이블!$F:$I,4,0)*K4286</f>
        <v/>
      </c>
      <c r="P4286" s="148">
        <f>M4286/1.1</f>
        <v/>
      </c>
      <c r="Q4286" s="94">
        <f>F4286&amp;E4286&amp;G4286&amp;L4286</f>
        <v/>
      </c>
    </row>
    <row r="4287">
      <c r="A4287" s="94" t="n"/>
      <c r="B4287" s="128" t="n">
        <v>43830</v>
      </c>
      <c r="C4287" s="94">
        <f>TEXT(B4287,"aaa")</f>
        <v/>
      </c>
      <c r="D4287" s="94" t="n"/>
      <c r="E4287" s="6" t="inlineStr">
        <is>
          <t>토너</t>
        </is>
      </c>
      <c r="F4287" s="5" t="inlineStr">
        <is>
          <t>W컨셉</t>
        </is>
      </c>
      <c r="G4287" s="5" t="inlineStr">
        <is>
          <t>250ml</t>
        </is>
      </c>
      <c r="H4287" s="7" t="n">
        <v>190801</v>
      </c>
      <c r="I4287" s="7" t="n">
        <v>190801</v>
      </c>
      <c r="J4287" s="94" t="n"/>
      <c r="K4287" s="149" t="n">
        <v>1</v>
      </c>
      <c r="L4287" s="7" t="n">
        <v>190801</v>
      </c>
      <c r="M4287" s="94">
        <f>VLOOKUP($Q4287,매칭테이블!$F:$I,2,0)*K4287</f>
        <v/>
      </c>
      <c r="N4287" s="94">
        <f>M4287-M4287*VLOOKUP($Q4287,매칭테이블!$F:$I,3,0)</f>
        <v/>
      </c>
      <c r="O4287" s="94">
        <f>VLOOKUP($Q4287,매칭테이블!$F:$I,4,0)*K4287</f>
        <v/>
      </c>
      <c r="P4287" s="148">
        <f>M4287/1.1</f>
        <v/>
      </c>
      <c r="Q4287" s="94">
        <f>F4287&amp;E4287&amp;G4287&amp;L4287</f>
        <v/>
      </c>
    </row>
    <row r="4288">
      <c r="A4288" s="94" t="n"/>
      <c r="B4288" s="128" t="n">
        <v>43830</v>
      </c>
      <c r="C4288" s="94">
        <f>TEXT(B4288,"aaa")</f>
        <v/>
      </c>
      <c r="D4288" s="94" t="n"/>
      <c r="E4288" s="6" t="inlineStr">
        <is>
          <t>토너</t>
        </is>
      </c>
      <c r="F4288" s="5" t="inlineStr">
        <is>
          <t>W컨셉</t>
        </is>
      </c>
      <c r="G4288" s="5" t="inlineStr">
        <is>
          <t>250ml 2set</t>
        </is>
      </c>
      <c r="H4288" s="7" t="n">
        <v>190801</v>
      </c>
      <c r="I4288" s="7" t="n">
        <v>190801</v>
      </c>
      <c r="J4288" s="94" t="n"/>
      <c r="K4288" s="149" t="n">
        <v>25</v>
      </c>
      <c r="L4288" s="7" t="n">
        <v>190801</v>
      </c>
      <c r="M4288" s="94">
        <f>VLOOKUP($Q4288,매칭테이블!$F:$I,2,0)*K4288</f>
        <v/>
      </c>
      <c r="N4288" s="94">
        <f>M4288-M4288*VLOOKUP($Q4288,매칭테이블!$F:$I,3,0)</f>
        <v/>
      </c>
      <c r="O4288" s="94">
        <f>VLOOKUP($Q4288,매칭테이블!$F:$I,4,0)*K4288</f>
        <v/>
      </c>
      <c r="P4288" s="148">
        <f>M4288/1.1</f>
        <v/>
      </c>
      <c r="Q4288" s="94">
        <f>F4288&amp;E4288&amp;G4288&amp;L4288</f>
        <v/>
      </c>
    </row>
    <row r="4289">
      <c r="A4289" s="94" t="n"/>
      <c r="B4289" s="128" t="n">
        <v>43830</v>
      </c>
      <c r="C4289" s="94">
        <f>TEXT(B4289,"aaa")</f>
        <v/>
      </c>
      <c r="D4289" s="94" t="n"/>
      <c r="E4289" s="6" t="inlineStr">
        <is>
          <t>토너</t>
        </is>
      </c>
      <c r="F4289" s="5" t="inlineStr">
        <is>
          <t>카페24</t>
        </is>
      </c>
      <c r="G4289" s="5" t="inlineStr">
        <is>
          <t>500ml</t>
        </is>
      </c>
      <c r="H4289" s="7" t="n">
        <v>190801</v>
      </c>
      <c r="I4289" s="7" t="n">
        <v>190801</v>
      </c>
      <c r="J4289" s="94" t="n"/>
      <c r="K4289" s="149" t="n">
        <v>13</v>
      </c>
      <c r="L4289" s="7" t="n">
        <v>190801</v>
      </c>
      <c r="M4289" s="94">
        <f>VLOOKUP($Q4289,매칭테이블!$F:$I,2,0)*K4289</f>
        <v/>
      </c>
      <c r="N4289" s="94">
        <f>M4289-M4289*VLOOKUP($Q4289,매칭테이블!$F:$I,3,0)</f>
        <v/>
      </c>
      <c r="O4289" s="94">
        <f>VLOOKUP($Q4289,매칭테이블!$F:$I,4,0)*K4289</f>
        <v/>
      </c>
      <c r="P4289" s="148">
        <f>M4289/1.1</f>
        <v/>
      </c>
      <c r="Q4289" s="94">
        <f>F4289&amp;E4289&amp;G4289&amp;L4289</f>
        <v/>
      </c>
    </row>
    <row r="4290">
      <c r="A4290" s="94" t="n"/>
      <c r="B4290" s="128" t="n">
        <v>43830</v>
      </c>
      <c r="C4290" s="94">
        <f>TEXT(B4290,"aaa")</f>
        <v/>
      </c>
      <c r="D4290" s="94" t="n"/>
      <c r="E4290" s="6" t="inlineStr">
        <is>
          <t>토너</t>
        </is>
      </c>
      <c r="F4290" s="5" t="inlineStr">
        <is>
          <t>카페24</t>
        </is>
      </c>
      <c r="G4290" s="5" t="inlineStr">
        <is>
          <t>250ml</t>
        </is>
      </c>
      <c r="H4290" s="7" t="n">
        <v>190801</v>
      </c>
      <c r="I4290" s="7" t="n">
        <v>190801</v>
      </c>
      <c r="J4290" s="94" t="n"/>
      <c r="K4290" s="149" t="n">
        <v>19</v>
      </c>
      <c r="L4290" s="7" t="n">
        <v>190801</v>
      </c>
      <c r="M4290" s="94">
        <f>VLOOKUP($Q4290,매칭테이블!$F:$I,2,0)*K4290</f>
        <v/>
      </c>
      <c r="N4290" s="94">
        <f>M4290-M4290*VLOOKUP($Q4290,매칭테이블!$F:$I,3,0)</f>
        <v/>
      </c>
      <c r="O4290" s="94">
        <f>VLOOKUP($Q4290,매칭테이블!$F:$I,4,0)*K4290</f>
        <v/>
      </c>
      <c r="P4290" s="148">
        <f>M4290/1.1</f>
        <v/>
      </c>
      <c r="Q4290" s="94">
        <f>F4290&amp;E4290&amp;G4290&amp;L4290</f>
        <v/>
      </c>
    </row>
    <row r="4291">
      <c r="A4291" s="94" t="n"/>
      <c r="B4291" s="128" t="n">
        <v>43830</v>
      </c>
      <c r="C4291" s="94">
        <f>TEXT(B4291,"aaa")</f>
        <v/>
      </c>
      <c r="D4291" s="94" t="n"/>
      <c r="E4291" s="6" t="inlineStr">
        <is>
          <t>토너</t>
        </is>
      </c>
      <c r="F4291" s="5" t="inlineStr">
        <is>
          <t>카페24</t>
        </is>
      </c>
      <c r="G4291" s="5" t="inlineStr">
        <is>
          <t>250ml 2set</t>
        </is>
      </c>
      <c r="H4291" s="7" t="n">
        <v>190801</v>
      </c>
      <c r="I4291" s="7" t="n">
        <v>190801</v>
      </c>
      <c r="J4291" s="94" t="n"/>
      <c r="K4291" s="149" t="n">
        <v>15</v>
      </c>
      <c r="L4291" s="7" t="n">
        <v>190801</v>
      </c>
      <c r="M4291" s="94">
        <f>VLOOKUP($Q4291,매칭테이블!$F:$I,2,0)*K4291</f>
        <v/>
      </c>
      <c r="N4291" s="94">
        <f>M4291-M4291*VLOOKUP($Q4291,매칭테이블!$F:$I,3,0)</f>
        <v/>
      </c>
      <c r="O4291" s="94">
        <f>VLOOKUP($Q4291,매칭테이블!$F:$I,4,0)*K4291</f>
        <v/>
      </c>
      <c r="P4291" s="148">
        <f>M4291/1.1</f>
        <v/>
      </c>
      <c r="Q4291" s="94">
        <f>F4291&amp;E4291&amp;G4291&amp;L4291</f>
        <v/>
      </c>
    </row>
    <row r="4292">
      <c r="A4292" s="94" t="n"/>
      <c r="B4292" s="128" t="n">
        <v>43830</v>
      </c>
      <c r="C4292" s="94">
        <f>TEXT(B4292,"aaa")</f>
        <v/>
      </c>
      <c r="D4292" s="94" t="n"/>
      <c r="E4292" s="94" t="inlineStr">
        <is>
          <t>토너</t>
        </is>
      </c>
      <c r="F4292" s="94" t="inlineStr">
        <is>
          <t>큐텐</t>
        </is>
      </c>
      <c r="G4292" s="94" t="inlineStr">
        <is>
          <t>250ml</t>
        </is>
      </c>
      <c r="H4292" s="7" t="n">
        <v>190801</v>
      </c>
      <c r="I4292" s="7" t="n">
        <v>190801</v>
      </c>
      <c r="J4292" s="94" t="n"/>
      <c r="K4292" s="149" t="n">
        <v>4</v>
      </c>
      <c r="L4292" s="92" t="n">
        <v>190801</v>
      </c>
      <c r="M4292" s="94">
        <f>VLOOKUP($Q4292,매칭테이블!$F:$I,2,0)*K4292</f>
        <v/>
      </c>
      <c r="N4292" s="94">
        <f>M4292-M4292*VLOOKUP($Q4292,매칭테이블!$F:$I,3,0)</f>
        <v/>
      </c>
      <c r="O4292" s="94">
        <f>VLOOKUP($Q4292,매칭테이블!$F:$I,4,0)*K4292</f>
        <v/>
      </c>
      <c r="P4292" s="148">
        <f>M4292/1.1</f>
        <v/>
      </c>
      <c r="Q4292" s="94">
        <f>F4292&amp;E4292&amp;G4292&amp;L4292</f>
        <v/>
      </c>
    </row>
    <row r="4293">
      <c r="A4293" s="94" t="n"/>
      <c r="B4293" s="128" t="n">
        <v>43830</v>
      </c>
      <c r="C4293" s="94">
        <f>TEXT(B4293,"aaa")</f>
        <v/>
      </c>
      <c r="D4293" s="94" t="n"/>
      <c r="E4293" s="94" t="inlineStr">
        <is>
          <t>토너</t>
        </is>
      </c>
      <c r="F4293" s="94" t="inlineStr">
        <is>
          <t>큐텐</t>
        </is>
      </c>
      <c r="G4293" s="94" t="inlineStr">
        <is>
          <t>250ml 2set</t>
        </is>
      </c>
      <c r="H4293" s="7" t="n">
        <v>190801</v>
      </c>
      <c r="I4293" s="7" t="n">
        <v>190801</v>
      </c>
      <c r="J4293" s="94" t="n"/>
      <c r="K4293" s="149" t="n">
        <v>2</v>
      </c>
      <c r="L4293" s="92" t="n">
        <v>190801</v>
      </c>
      <c r="M4293" s="94">
        <f>VLOOKUP($Q4293,매칭테이블!$F:$I,2,0)*K4293</f>
        <v/>
      </c>
      <c r="N4293" s="94">
        <f>M4293-M4293*VLOOKUP($Q4293,매칭테이블!$F:$I,3,0)</f>
        <v/>
      </c>
      <c r="O4293" s="94">
        <f>VLOOKUP($Q4293,매칭테이블!$F:$I,4,0)*K4293</f>
        <v/>
      </c>
      <c r="P4293" s="148">
        <f>M4293/1.1</f>
        <v/>
      </c>
      <c r="Q4293" s="94">
        <f>F4293&amp;E4293&amp;G4293&amp;L4293</f>
        <v/>
      </c>
    </row>
    <row r="4294">
      <c r="A4294" s="94" t="n"/>
      <c r="B4294" s="128" t="n">
        <v>43830</v>
      </c>
      <c r="C4294" s="94">
        <f>TEXT(B4294,"aaa")</f>
        <v/>
      </c>
      <c r="D4294" s="94" t="n"/>
      <c r="E4294" s="6" t="inlineStr">
        <is>
          <t>머드크림마스크</t>
        </is>
      </c>
      <c r="F4294" s="94" t="inlineStr">
        <is>
          <t>아누아 CS</t>
        </is>
      </c>
      <c r="G4294" s="5" t="inlineStr">
        <is>
          <t>머드크림마스크 100ml</t>
        </is>
      </c>
      <c r="H4294" s="7" t="n">
        <v>190801</v>
      </c>
      <c r="I4294" s="7" t="n">
        <v>190801</v>
      </c>
      <c r="J4294" s="94" t="n"/>
      <c r="K4294" s="149" t="n">
        <v>10</v>
      </c>
      <c r="L4294" s="7" t="n">
        <v>190801</v>
      </c>
      <c r="M4294" s="94">
        <f>VLOOKUP($Q4294,매칭테이블!$F:$I,2,0)*K4294</f>
        <v/>
      </c>
      <c r="N4294" s="94">
        <f>M4294-M4294*VLOOKUP($Q4294,매칭테이블!$F:$I,3,0)</f>
        <v/>
      </c>
      <c r="O4294" s="94">
        <f>VLOOKUP($Q4294,매칭테이블!$F:$I,4,0)*K4294</f>
        <v/>
      </c>
      <c r="P4294" s="148">
        <f>M4294/1.1</f>
        <v/>
      </c>
      <c r="Q4294" s="94">
        <f>F4294&amp;E4294&amp;G4294&amp;L4294</f>
        <v/>
      </c>
    </row>
    <row r="4295">
      <c r="A4295" s="94" t="n"/>
      <c r="B4295" s="128" t="n">
        <v>43831</v>
      </c>
      <c r="C4295" s="94">
        <f>TEXT(B4295,"aaa")</f>
        <v/>
      </c>
      <c r="D4295" s="94" t="n"/>
      <c r="E4295" s="6" t="inlineStr">
        <is>
          <t>토너</t>
        </is>
      </c>
      <c r="F4295" s="5" t="inlineStr">
        <is>
          <t>W컨셉</t>
        </is>
      </c>
      <c r="G4295" s="5" t="inlineStr">
        <is>
          <t>250ml 2set</t>
        </is>
      </c>
      <c r="H4295" s="7" t="n">
        <v>190801</v>
      </c>
      <c r="I4295" s="7" t="n">
        <v>190801</v>
      </c>
      <c r="J4295" s="94" t="n"/>
      <c r="K4295" s="149" t="n">
        <v>2</v>
      </c>
      <c r="L4295" s="7" t="n">
        <v>190801</v>
      </c>
      <c r="M4295" s="94">
        <f>VLOOKUP($Q4295,매칭테이블!$F:$I,2,0)*K4295</f>
        <v/>
      </c>
      <c r="N4295" s="94">
        <f>M4295-M4295*VLOOKUP($Q4295,매칭테이블!$F:$I,3,0)</f>
        <v/>
      </c>
      <c r="O4295" s="94">
        <f>VLOOKUP($Q4295,매칭테이블!$F:$I,4,0)*K4295</f>
        <v/>
      </c>
      <c r="P4295" s="148">
        <f>M4295/1.1</f>
        <v/>
      </c>
      <c r="Q4295" s="94">
        <f>F4295&amp;E4295&amp;G4295&amp;L4295</f>
        <v/>
      </c>
    </row>
    <row r="4296">
      <c r="A4296" s="94" t="n"/>
      <c r="B4296" s="128" t="n">
        <v>43831</v>
      </c>
      <c r="C4296" s="94">
        <f>TEXT(B4296,"aaa")</f>
        <v/>
      </c>
      <c r="D4296" s="94" t="n"/>
      <c r="E4296" s="6" t="inlineStr">
        <is>
          <t>토너</t>
        </is>
      </c>
      <c r="F4296" s="5" t="inlineStr">
        <is>
          <t>카페24</t>
        </is>
      </c>
      <c r="G4296" s="5" t="inlineStr">
        <is>
          <t>500ml</t>
        </is>
      </c>
      <c r="H4296" s="7" t="n">
        <v>190801</v>
      </c>
      <c r="I4296" s="7" t="n">
        <v>190801</v>
      </c>
      <c r="J4296" s="94" t="n"/>
      <c r="K4296" s="149" t="n">
        <v>31</v>
      </c>
      <c r="L4296" s="7" t="n">
        <v>190801</v>
      </c>
      <c r="M4296" s="94">
        <f>VLOOKUP($Q4296,매칭테이블!$F:$I,2,0)*K4296</f>
        <v/>
      </c>
      <c r="N4296" s="94">
        <f>M4296-M4296*VLOOKUP($Q4296,매칭테이블!$F:$I,3,0)</f>
        <v/>
      </c>
      <c r="O4296" s="94">
        <f>VLOOKUP($Q4296,매칭테이블!$F:$I,4,0)*K4296</f>
        <v/>
      </c>
      <c r="P4296" s="148">
        <f>M4296/1.1</f>
        <v/>
      </c>
      <c r="Q4296" s="94">
        <f>F4296&amp;E4296&amp;G4296&amp;L4296</f>
        <v/>
      </c>
    </row>
    <row r="4297">
      <c r="A4297" s="94" t="n"/>
      <c r="B4297" s="128" t="n">
        <v>43831</v>
      </c>
      <c r="C4297" s="94">
        <f>TEXT(B4297,"aaa")</f>
        <v/>
      </c>
      <c r="D4297" s="94" t="n"/>
      <c r="E4297" s="6" t="inlineStr">
        <is>
          <t>토너</t>
        </is>
      </c>
      <c r="F4297" s="5" t="inlineStr">
        <is>
          <t>카페24</t>
        </is>
      </c>
      <c r="G4297" s="5" t="inlineStr">
        <is>
          <t>250ml</t>
        </is>
      </c>
      <c r="H4297" s="7" t="n">
        <v>190801</v>
      </c>
      <c r="I4297" s="7" t="n">
        <v>190801</v>
      </c>
      <c r="J4297" s="94" t="n"/>
      <c r="K4297" s="149" t="n">
        <v>28</v>
      </c>
      <c r="L4297" s="7" t="n">
        <v>190801</v>
      </c>
      <c r="M4297" s="94">
        <f>VLOOKUP($Q4297,매칭테이블!$F:$I,2,0)*K4297</f>
        <v/>
      </c>
      <c r="N4297" s="94">
        <f>M4297-M4297*VLOOKUP($Q4297,매칭테이블!$F:$I,3,0)</f>
        <v/>
      </c>
      <c r="O4297" s="94">
        <f>VLOOKUP($Q4297,매칭테이블!$F:$I,4,0)*K4297</f>
        <v/>
      </c>
      <c r="P4297" s="148">
        <f>M4297/1.1</f>
        <v/>
      </c>
      <c r="Q4297" s="94">
        <f>F4297&amp;E4297&amp;G4297&amp;L4297</f>
        <v/>
      </c>
    </row>
    <row r="4298">
      <c r="A4298" s="94" t="n"/>
      <c r="B4298" s="128" t="n">
        <v>43831</v>
      </c>
      <c r="C4298" s="94">
        <f>TEXT(B4298,"aaa")</f>
        <v/>
      </c>
      <c r="D4298" s="94" t="n"/>
      <c r="E4298" s="6" t="inlineStr">
        <is>
          <t>토너</t>
        </is>
      </c>
      <c r="F4298" s="5" t="inlineStr">
        <is>
          <t>카페24</t>
        </is>
      </c>
      <c r="G4298" s="5" t="inlineStr">
        <is>
          <t>250ml 2set</t>
        </is>
      </c>
      <c r="H4298" s="7" t="n">
        <v>190801</v>
      </c>
      <c r="I4298" s="7" t="n">
        <v>190801</v>
      </c>
      <c r="J4298" s="94" t="n"/>
      <c r="K4298" s="149" t="n">
        <v>21</v>
      </c>
      <c r="L4298" s="7" t="n">
        <v>190801</v>
      </c>
      <c r="M4298" s="94">
        <f>VLOOKUP($Q4298,매칭테이블!$F:$I,2,0)*K4298</f>
        <v/>
      </c>
      <c r="N4298" s="94">
        <f>M4298-M4298*VLOOKUP($Q4298,매칭테이블!$F:$I,3,0)</f>
        <v/>
      </c>
      <c r="O4298" s="94">
        <f>VLOOKUP($Q4298,매칭테이블!$F:$I,4,0)*K4298</f>
        <v/>
      </c>
      <c r="P4298" s="148">
        <f>M4298/1.1</f>
        <v/>
      </c>
      <c r="Q4298" s="94">
        <f>F4298&amp;E4298&amp;G4298&amp;L4298</f>
        <v/>
      </c>
    </row>
    <row r="4299">
      <c r="A4299" s="94" t="n"/>
      <c r="B4299" s="128" t="n">
        <v>43832</v>
      </c>
      <c r="C4299" s="94">
        <f>TEXT(B4299,"aaa")</f>
        <v/>
      </c>
      <c r="D4299" s="94" t="n"/>
      <c r="E4299" s="6" t="inlineStr">
        <is>
          <t>토너</t>
        </is>
      </c>
      <c r="F4299" s="5" t="inlineStr">
        <is>
          <t>W컨셉</t>
        </is>
      </c>
      <c r="G4299" s="5" t="inlineStr">
        <is>
          <t>250ml</t>
        </is>
      </c>
      <c r="H4299" s="7" t="n">
        <v>190801</v>
      </c>
      <c r="I4299" s="7" t="n">
        <v>190801</v>
      </c>
      <c r="J4299" s="94" t="n"/>
      <c r="K4299" s="149" t="n">
        <v>1</v>
      </c>
      <c r="L4299" s="7" t="n">
        <v>190801</v>
      </c>
      <c r="M4299" s="94">
        <f>VLOOKUP($Q4299,매칭테이블!$F:$I,2,0)*K4299</f>
        <v/>
      </c>
      <c r="N4299" s="94">
        <f>M4299-M4299*VLOOKUP($Q4299,매칭테이블!$F:$I,3,0)</f>
        <v/>
      </c>
      <c r="O4299" s="94">
        <f>VLOOKUP($Q4299,매칭테이블!$F:$I,4,0)*K4299</f>
        <v/>
      </c>
      <c r="P4299" s="148">
        <f>M4299/1.1</f>
        <v/>
      </c>
      <c r="Q4299" s="94">
        <f>F4299&amp;E4299&amp;G4299&amp;L4299</f>
        <v/>
      </c>
    </row>
    <row r="4300">
      <c r="A4300" s="94" t="n"/>
      <c r="B4300" s="128" t="n">
        <v>43832</v>
      </c>
      <c r="C4300" s="94">
        <f>TEXT(B4300,"aaa")</f>
        <v/>
      </c>
      <c r="D4300" s="94" t="n"/>
      <c r="E4300" s="6" t="inlineStr">
        <is>
          <t>토너</t>
        </is>
      </c>
      <c r="F4300" s="5" t="inlineStr">
        <is>
          <t>W컨셉</t>
        </is>
      </c>
      <c r="G4300" s="5" t="inlineStr">
        <is>
          <t>250ml 2set</t>
        </is>
      </c>
      <c r="H4300" s="7" t="n">
        <v>190801</v>
      </c>
      <c r="I4300" s="7" t="n">
        <v>190801</v>
      </c>
      <c r="J4300" s="94" t="n"/>
      <c r="K4300" s="149" t="n">
        <v>3</v>
      </c>
      <c r="L4300" s="7" t="n">
        <v>190801</v>
      </c>
      <c r="M4300" s="94">
        <f>VLOOKUP($Q4300,매칭테이블!$F:$I,2,0)*K4300</f>
        <v/>
      </c>
      <c r="N4300" s="94">
        <f>M4300-M4300*VLOOKUP($Q4300,매칭테이블!$F:$I,3,0)</f>
        <v/>
      </c>
      <c r="O4300" s="94">
        <f>VLOOKUP($Q4300,매칭테이블!$F:$I,4,0)*K4300</f>
        <v/>
      </c>
      <c r="P4300" s="148">
        <f>M4300/1.1</f>
        <v/>
      </c>
      <c r="Q4300" s="94">
        <f>F4300&amp;E4300&amp;G4300&amp;L4300</f>
        <v/>
      </c>
    </row>
    <row r="4301">
      <c r="A4301" s="94" t="n"/>
      <c r="B4301" s="128" t="n">
        <v>43832</v>
      </c>
      <c r="C4301" s="94">
        <f>TEXT(B4301,"aaa")</f>
        <v/>
      </c>
      <c r="D4301" s="94" t="n"/>
      <c r="E4301" s="6" t="inlineStr">
        <is>
          <t>토너</t>
        </is>
      </c>
      <c r="F4301" s="5" t="inlineStr">
        <is>
          <t>카페24</t>
        </is>
      </c>
      <c r="G4301" s="5" t="inlineStr">
        <is>
          <t>500ml</t>
        </is>
      </c>
      <c r="H4301" s="7" t="n">
        <v>190801</v>
      </c>
      <c r="I4301" s="7" t="n">
        <v>190801</v>
      </c>
      <c r="J4301" s="94" t="n"/>
      <c r="K4301" s="149" t="n">
        <v>31</v>
      </c>
      <c r="L4301" s="7" t="n">
        <v>190801</v>
      </c>
      <c r="M4301" s="94">
        <f>VLOOKUP($Q4301,매칭테이블!$F:$I,2,0)*K4301</f>
        <v/>
      </c>
      <c r="N4301" s="94">
        <f>M4301-M4301*VLOOKUP($Q4301,매칭테이블!$F:$I,3,0)</f>
        <v/>
      </c>
      <c r="O4301" s="94">
        <f>VLOOKUP($Q4301,매칭테이블!$F:$I,4,0)*K4301</f>
        <v/>
      </c>
      <c r="P4301" s="148">
        <f>M4301/1.1</f>
        <v/>
      </c>
      <c r="Q4301" s="94">
        <f>F4301&amp;E4301&amp;G4301&amp;L4301</f>
        <v/>
      </c>
    </row>
    <row r="4302">
      <c r="A4302" s="94" t="n"/>
      <c r="B4302" s="128" t="n">
        <v>43832</v>
      </c>
      <c r="C4302" s="94">
        <f>TEXT(B4302,"aaa")</f>
        <v/>
      </c>
      <c r="D4302" s="94" t="n"/>
      <c r="E4302" s="6" t="inlineStr">
        <is>
          <t>토너</t>
        </is>
      </c>
      <c r="F4302" s="5" t="inlineStr">
        <is>
          <t>카페24</t>
        </is>
      </c>
      <c r="G4302" s="5" t="inlineStr">
        <is>
          <t>250ml</t>
        </is>
      </c>
      <c r="H4302" s="7" t="n">
        <v>190801</v>
      </c>
      <c r="I4302" s="7" t="n">
        <v>190801</v>
      </c>
      <c r="J4302" s="94" t="n"/>
      <c r="K4302" s="149" t="n">
        <v>33</v>
      </c>
      <c r="L4302" s="7" t="n">
        <v>190801</v>
      </c>
      <c r="M4302" s="94">
        <f>VLOOKUP($Q4302,매칭테이블!$F:$I,2,0)*K4302</f>
        <v/>
      </c>
      <c r="N4302" s="94">
        <f>M4302-M4302*VLOOKUP($Q4302,매칭테이블!$F:$I,3,0)</f>
        <v/>
      </c>
      <c r="O4302" s="94">
        <f>VLOOKUP($Q4302,매칭테이블!$F:$I,4,0)*K4302</f>
        <v/>
      </c>
      <c r="P4302" s="148">
        <f>M4302/1.1</f>
        <v/>
      </c>
      <c r="Q4302" s="94">
        <f>F4302&amp;E4302&amp;G4302&amp;L4302</f>
        <v/>
      </c>
    </row>
    <row r="4303">
      <c r="A4303" s="94" t="n"/>
      <c r="B4303" s="128" t="n">
        <v>43832</v>
      </c>
      <c r="C4303" s="94">
        <f>TEXT(B4303,"aaa")</f>
        <v/>
      </c>
      <c r="D4303" s="94" t="n"/>
      <c r="E4303" s="6" t="inlineStr">
        <is>
          <t>토너</t>
        </is>
      </c>
      <c r="F4303" s="5" t="inlineStr">
        <is>
          <t>카페24</t>
        </is>
      </c>
      <c r="G4303" s="5" t="inlineStr">
        <is>
          <t>250ml 2set</t>
        </is>
      </c>
      <c r="H4303" s="7" t="n">
        <v>190801</v>
      </c>
      <c r="I4303" s="7" t="n">
        <v>190801</v>
      </c>
      <c r="J4303" s="94" t="n"/>
      <c r="K4303" s="149" t="n">
        <v>28</v>
      </c>
      <c r="L4303" s="7" t="n">
        <v>190801</v>
      </c>
      <c r="M4303" s="94">
        <f>VLOOKUP($Q4303,매칭테이블!$F:$I,2,0)*K4303</f>
        <v/>
      </c>
      <c r="N4303" s="94">
        <f>M4303-M4303*VLOOKUP($Q4303,매칭테이블!$F:$I,3,0)</f>
        <v/>
      </c>
      <c r="O4303" s="94">
        <f>VLOOKUP($Q4303,매칭테이블!$F:$I,4,0)*K4303</f>
        <v/>
      </c>
      <c r="P4303" s="148">
        <f>M4303/1.1</f>
        <v/>
      </c>
      <c r="Q4303" s="94">
        <f>F4303&amp;E4303&amp;G4303&amp;L4303</f>
        <v/>
      </c>
    </row>
    <row r="4304">
      <c r="A4304" s="94" t="n"/>
      <c r="B4304" s="128" t="n">
        <v>43832</v>
      </c>
      <c r="C4304" s="94">
        <f>TEXT(B4304,"aaa")</f>
        <v/>
      </c>
      <c r="D4304" s="94" t="n"/>
      <c r="E4304" s="94" t="inlineStr">
        <is>
          <t>토너</t>
        </is>
      </c>
      <c r="F4304" s="94" t="inlineStr">
        <is>
          <t>큐텐</t>
        </is>
      </c>
      <c r="G4304" s="94" t="inlineStr">
        <is>
          <t>250ml</t>
        </is>
      </c>
      <c r="H4304" s="7" t="n">
        <v>190801</v>
      </c>
      <c r="I4304" s="7" t="n">
        <v>190801</v>
      </c>
      <c r="J4304" s="94" t="n"/>
      <c r="K4304" s="149" t="n">
        <v>3</v>
      </c>
      <c r="L4304" s="92" t="n">
        <v>190801</v>
      </c>
      <c r="M4304" s="94">
        <f>VLOOKUP($Q4304,매칭테이블!$F:$I,2,0)*K4304</f>
        <v/>
      </c>
      <c r="N4304" s="94">
        <f>M4304-M4304*VLOOKUP($Q4304,매칭테이블!$F:$I,3,0)</f>
        <v/>
      </c>
      <c r="O4304" s="94">
        <f>VLOOKUP($Q4304,매칭테이블!$F:$I,4,0)*K4304</f>
        <v/>
      </c>
      <c r="P4304" s="148">
        <f>M4304/1.1</f>
        <v/>
      </c>
      <c r="Q4304" s="94">
        <f>F4304&amp;E4304&amp;G4304&amp;L4304</f>
        <v/>
      </c>
    </row>
    <row r="4305">
      <c r="A4305" s="94" t="n"/>
      <c r="B4305" s="128" t="n">
        <v>43832</v>
      </c>
      <c r="C4305" s="94">
        <f>TEXT(B4305,"aaa")</f>
        <v/>
      </c>
      <c r="D4305" s="94" t="n"/>
      <c r="E4305" s="94" t="inlineStr">
        <is>
          <t>토너</t>
        </is>
      </c>
      <c r="F4305" s="94" t="inlineStr">
        <is>
          <t>아누아 CS</t>
        </is>
      </c>
      <c r="G4305" s="94" t="inlineStr">
        <is>
          <t>250ml</t>
        </is>
      </c>
      <c r="H4305" s="7" t="n">
        <v>190801</v>
      </c>
      <c r="I4305" s="7" t="n">
        <v>190801</v>
      </c>
      <c r="J4305" s="94" t="n"/>
      <c r="K4305" s="149" t="n">
        <v>1</v>
      </c>
      <c r="L4305" s="7" t="n">
        <v>190801</v>
      </c>
      <c r="M4305" s="94">
        <f>VLOOKUP($Q4305,매칭테이블!$F:$I,2,0)*K4305</f>
        <v/>
      </c>
      <c r="N4305" s="94">
        <f>M4305-M4305*VLOOKUP($Q4305,매칭테이블!$F:$I,3,0)</f>
        <v/>
      </c>
      <c r="O4305" s="94">
        <f>VLOOKUP($Q4305,매칭테이블!$F:$I,4,0)*K4305</f>
        <v/>
      </c>
      <c r="P4305" s="148">
        <f>M4305/1.1</f>
        <v/>
      </c>
      <c r="Q4305" s="94">
        <f>F4305&amp;E4305&amp;G4305&amp;L4305</f>
        <v/>
      </c>
    </row>
    <row r="4306">
      <c r="A4306" s="94" t="n"/>
      <c r="B4306" s="128" t="n">
        <v>43833</v>
      </c>
      <c r="C4306" s="94">
        <f>TEXT(B4306,"aaa")</f>
        <v/>
      </c>
      <c r="D4306" s="94" t="n"/>
      <c r="E4306" s="6" t="inlineStr">
        <is>
          <t>토너</t>
        </is>
      </c>
      <c r="F4306" s="5" t="inlineStr">
        <is>
          <t>W컨셉</t>
        </is>
      </c>
      <c r="G4306" s="5" t="inlineStr">
        <is>
          <t>250ml</t>
        </is>
      </c>
      <c r="H4306" s="7" t="n">
        <v>190801</v>
      </c>
      <c r="I4306" s="7" t="n">
        <v>190801</v>
      </c>
      <c r="J4306" s="94" t="n"/>
      <c r="K4306" s="149" t="n">
        <v>1</v>
      </c>
      <c r="L4306" s="7" t="n">
        <v>190801</v>
      </c>
      <c r="M4306" s="94">
        <f>VLOOKUP($Q4306,매칭테이블!$F:$I,2,0)*K4306</f>
        <v/>
      </c>
      <c r="N4306" s="94">
        <f>M4306-M4306*VLOOKUP($Q4306,매칭테이블!$F:$I,3,0)</f>
        <v/>
      </c>
      <c r="O4306" s="94">
        <f>VLOOKUP($Q4306,매칭테이블!$F:$I,4,0)*K4306</f>
        <v/>
      </c>
      <c r="P4306" s="148">
        <f>M4306/1.1</f>
        <v/>
      </c>
      <c r="Q4306" s="94">
        <f>F4306&amp;E4306&amp;G4306&amp;L4306</f>
        <v/>
      </c>
    </row>
    <row r="4307">
      <c r="A4307" s="94" t="n"/>
      <c r="B4307" s="128" t="n">
        <v>43833</v>
      </c>
      <c r="C4307" s="94">
        <f>TEXT(B4307,"aaa")</f>
        <v/>
      </c>
      <c r="D4307" s="94" t="n"/>
      <c r="E4307" s="6" t="inlineStr">
        <is>
          <t>토너</t>
        </is>
      </c>
      <c r="F4307" s="5" t="inlineStr">
        <is>
          <t>W컨셉</t>
        </is>
      </c>
      <c r="G4307" s="5" t="inlineStr">
        <is>
          <t>250ml 2set</t>
        </is>
      </c>
      <c r="H4307" s="7" t="n">
        <v>190801</v>
      </c>
      <c r="I4307" s="7" t="n">
        <v>190801</v>
      </c>
      <c r="J4307" s="94" t="n"/>
      <c r="K4307" s="149" t="n">
        <v>3</v>
      </c>
      <c r="L4307" s="7" t="n">
        <v>190801</v>
      </c>
      <c r="M4307" s="94">
        <f>VLOOKUP($Q4307,매칭테이블!$F:$I,2,0)*K4307</f>
        <v/>
      </c>
      <c r="N4307" s="94">
        <f>M4307-M4307*VLOOKUP($Q4307,매칭테이블!$F:$I,3,0)</f>
        <v/>
      </c>
      <c r="O4307" s="94">
        <f>VLOOKUP($Q4307,매칭테이블!$F:$I,4,0)*K4307</f>
        <v/>
      </c>
      <c r="P4307" s="148">
        <f>M4307/1.1</f>
        <v/>
      </c>
      <c r="Q4307" s="94">
        <f>F4307&amp;E4307&amp;G4307&amp;L4307</f>
        <v/>
      </c>
    </row>
    <row r="4308">
      <c r="A4308" s="94" t="n"/>
      <c r="B4308" s="128" t="n">
        <v>43833</v>
      </c>
      <c r="C4308" s="94">
        <f>TEXT(B4308,"aaa")</f>
        <v/>
      </c>
      <c r="D4308" s="94" t="n"/>
      <c r="E4308" s="6" t="inlineStr">
        <is>
          <t>토너</t>
        </is>
      </c>
      <c r="F4308" s="5" t="inlineStr">
        <is>
          <t>카페24</t>
        </is>
      </c>
      <c r="G4308" s="5" t="inlineStr">
        <is>
          <t>500ml</t>
        </is>
      </c>
      <c r="H4308" s="7" t="n">
        <v>190801</v>
      </c>
      <c r="I4308" s="7" t="n">
        <v>190801</v>
      </c>
      <c r="J4308" s="94" t="n"/>
      <c r="K4308" s="149" t="n">
        <v>26</v>
      </c>
      <c r="L4308" s="7" t="n">
        <v>190801</v>
      </c>
      <c r="M4308" s="94">
        <f>VLOOKUP($Q4308,매칭테이블!$F:$I,2,0)*K4308</f>
        <v/>
      </c>
      <c r="N4308" s="94">
        <f>M4308-M4308*VLOOKUP($Q4308,매칭테이블!$F:$I,3,0)</f>
        <v/>
      </c>
      <c r="O4308" s="94">
        <f>VLOOKUP($Q4308,매칭테이블!$F:$I,4,0)*K4308</f>
        <v/>
      </c>
      <c r="P4308" s="148">
        <f>M4308/1.1</f>
        <v/>
      </c>
      <c r="Q4308" s="94">
        <f>F4308&amp;E4308&amp;G4308&amp;L4308</f>
        <v/>
      </c>
    </row>
    <row r="4309">
      <c r="A4309" s="94" t="n"/>
      <c r="B4309" s="128" t="n">
        <v>43833</v>
      </c>
      <c r="C4309" s="94">
        <f>TEXT(B4309,"aaa")</f>
        <v/>
      </c>
      <c r="D4309" s="94" t="n"/>
      <c r="E4309" s="6" t="inlineStr">
        <is>
          <t>토너</t>
        </is>
      </c>
      <c r="F4309" s="5" t="inlineStr">
        <is>
          <t>카페24</t>
        </is>
      </c>
      <c r="G4309" s="5" t="inlineStr">
        <is>
          <t>250ml</t>
        </is>
      </c>
      <c r="H4309" s="7" t="n">
        <v>190801</v>
      </c>
      <c r="I4309" s="7" t="n">
        <v>190801</v>
      </c>
      <c r="J4309" s="94" t="n"/>
      <c r="K4309" s="149" t="n">
        <v>34</v>
      </c>
      <c r="L4309" s="7" t="n">
        <v>190801</v>
      </c>
      <c r="M4309" s="94">
        <f>VLOOKUP($Q4309,매칭테이블!$F:$I,2,0)*K4309</f>
        <v/>
      </c>
      <c r="N4309" s="94">
        <f>M4309-M4309*VLOOKUP($Q4309,매칭테이블!$F:$I,3,0)</f>
        <v/>
      </c>
      <c r="O4309" s="94">
        <f>VLOOKUP($Q4309,매칭테이블!$F:$I,4,0)*K4309</f>
        <v/>
      </c>
      <c r="P4309" s="148">
        <f>M4309/1.1</f>
        <v/>
      </c>
      <c r="Q4309" s="94">
        <f>F4309&amp;E4309&amp;G4309&amp;L4309</f>
        <v/>
      </c>
    </row>
    <row r="4310">
      <c r="A4310" s="94" t="n"/>
      <c r="B4310" s="128" t="n">
        <v>43833</v>
      </c>
      <c r="C4310" s="94">
        <f>TEXT(B4310,"aaa")</f>
        <v/>
      </c>
      <c r="D4310" s="94" t="n"/>
      <c r="E4310" s="6" t="inlineStr">
        <is>
          <t>토너</t>
        </is>
      </c>
      <c r="F4310" s="5" t="inlineStr">
        <is>
          <t>카페24</t>
        </is>
      </c>
      <c r="G4310" s="5" t="inlineStr">
        <is>
          <t>250ml 2set</t>
        </is>
      </c>
      <c r="H4310" s="7" t="n">
        <v>190801</v>
      </c>
      <c r="I4310" s="7" t="n">
        <v>190801</v>
      </c>
      <c r="J4310" s="94" t="n"/>
      <c r="K4310" s="149" t="n">
        <v>22</v>
      </c>
      <c r="L4310" s="7" t="n">
        <v>190801</v>
      </c>
      <c r="M4310" s="94">
        <f>VLOOKUP($Q4310,매칭테이블!$F:$I,2,0)*K4310</f>
        <v/>
      </c>
      <c r="N4310" s="94">
        <f>M4310-M4310*VLOOKUP($Q4310,매칭테이블!$F:$I,3,0)</f>
        <v/>
      </c>
      <c r="O4310" s="94">
        <f>VLOOKUP($Q4310,매칭테이블!$F:$I,4,0)*K4310</f>
        <v/>
      </c>
      <c r="P4310" s="148">
        <f>M4310/1.1</f>
        <v/>
      </c>
      <c r="Q4310" s="94">
        <f>F4310&amp;E4310&amp;G4310&amp;L4310</f>
        <v/>
      </c>
    </row>
    <row r="4311">
      <c r="A4311" s="94" t="n"/>
      <c r="B4311" s="128" t="n">
        <v>43833</v>
      </c>
      <c r="C4311" s="94">
        <f>TEXT(B4311,"aaa")</f>
        <v/>
      </c>
      <c r="D4311" s="94" t="n"/>
      <c r="E4311" s="94" t="inlineStr">
        <is>
          <t>토너</t>
        </is>
      </c>
      <c r="F4311" s="94" t="inlineStr">
        <is>
          <t>큐텐</t>
        </is>
      </c>
      <c r="G4311" s="94" t="inlineStr">
        <is>
          <t>250ml</t>
        </is>
      </c>
      <c r="H4311" s="7" t="n">
        <v>190801</v>
      </c>
      <c r="I4311" s="7" t="n">
        <v>190801</v>
      </c>
      <c r="J4311" s="94" t="n"/>
      <c r="K4311" s="6" t="n">
        <v>3</v>
      </c>
      <c r="L4311" s="92" t="n">
        <v>190801</v>
      </c>
      <c r="M4311" s="94">
        <f>VLOOKUP($Q4311,매칭테이블!$F:$I,2,0)*K4311</f>
        <v/>
      </c>
      <c r="N4311" s="94">
        <f>M4311-M4311*VLOOKUP($Q4311,매칭테이블!$F:$I,3,0)</f>
        <v/>
      </c>
      <c r="O4311" s="94">
        <f>VLOOKUP($Q4311,매칭테이블!$F:$I,4,0)*K4311</f>
        <v/>
      </c>
      <c r="P4311" s="148">
        <f>M4311/1.1</f>
        <v/>
      </c>
      <c r="Q4311" s="94">
        <f>F4311&amp;E4311&amp;G4311&amp;L4311</f>
        <v/>
      </c>
    </row>
    <row r="4312">
      <c r="A4312" s="94" t="n"/>
      <c r="B4312" s="128" t="n">
        <v>43833</v>
      </c>
      <c r="C4312" s="94">
        <f>TEXT(B4312,"aaa")</f>
        <v/>
      </c>
      <c r="D4312" s="94" t="n"/>
      <c r="E4312" s="94" t="inlineStr">
        <is>
          <t>머드크림마스크</t>
        </is>
      </c>
      <c r="F4312" s="94" t="inlineStr">
        <is>
          <t>카페24</t>
        </is>
      </c>
      <c r="G4312" s="94" t="inlineStr">
        <is>
          <t>머드크림마스크 100ml</t>
        </is>
      </c>
      <c r="H4312" s="7" t="n">
        <v>190801</v>
      </c>
      <c r="I4312" s="7" t="n">
        <v>190801</v>
      </c>
      <c r="J4312" s="94" t="n"/>
      <c r="K4312" s="149" t="n">
        <v>1</v>
      </c>
      <c r="L4312" s="94" t="n">
        <v>190801</v>
      </c>
      <c r="M4312" s="94">
        <f>VLOOKUP($Q4312,매칭테이블!$F:$I,2,0)*K4312</f>
        <v/>
      </c>
      <c r="N4312" s="94">
        <f>M4312-M4312*VLOOKUP($Q4312,매칭테이블!$F:$I,3,0)</f>
        <v/>
      </c>
      <c r="O4312" s="94">
        <f>VLOOKUP($Q4312,매칭테이블!$F:$I,4,0)*K4312</f>
        <v/>
      </c>
      <c r="P4312" s="148">
        <f>M4312/1.1</f>
        <v/>
      </c>
      <c r="Q4312" s="94">
        <f>F4312&amp;E4312&amp;G4312&amp;L4312</f>
        <v/>
      </c>
    </row>
    <row r="4313">
      <c r="A4313" s="94" t="n"/>
      <c r="B4313" s="128" t="n">
        <v>43834</v>
      </c>
      <c r="C4313" s="94">
        <f>TEXT(B4313,"aaa")</f>
        <v/>
      </c>
      <c r="D4313" s="94" t="n"/>
      <c r="E4313" s="6" t="inlineStr">
        <is>
          <t>토너</t>
        </is>
      </c>
      <c r="F4313" s="5" t="inlineStr">
        <is>
          <t>W컨셉</t>
        </is>
      </c>
      <c r="G4313" s="5" t="inlineStr">
        <is>
          <t>250ml 2set</t>
        </is>
      </c>
      <c r="H4313" s="7" t="n">
        <v>190801</v>
      </c>
      <c r="I4313" s="7" t="n">
        <v>190801</v>
      </c>
      <c r="J4313" s="94" t="n"/>
      <c r="K4313" s="149" t="n">
        <v>6</v>
      </c>
      <c r="L4313" s="7" t="n">
        <v>190801</v>
      </c>
      <c r="M4313" s="94">
        <f>VLOOKUP($Q4313,매칭테이블!$F:$I,2,0)*K4313</f>
        <v/>
      </c>
      <c r="N4313" s="94">
        <f>M4313-M4313*VLOOKUP($Q4313,매칭테이블!$F:$I,3,0)</f>
        <v/>
      </c>
      <c r="O4313" s="94">
        <f>VLOOKUP($Q4313,매칭테이블!$F:$I,4,0)*K4313</f>
        <v/>
      </c>
      <c r="P4313" s="148">
        <f>M4313/1.1</f>
        <v/>
      </c>
      <c r="Q4313" s="94">
        <f>F4313&amp;E4313&amp;G4313&amp;L4313</f>
        <v/>
      </c>
    </row>
    <row r="4314">
      <c r="A4314" s="94" t="n"/>
      <c r="B4314" s="128" t="n">
        <v>43834</v>
      </c>
      <c r="C4314" s="94">
        <f>TEXT(B4314,"aaa")</f>
        <v/>
      </c>
      <c r="D4314" s="94" t="n"/>
      <c r="E4314" s="6" t="inlineStr">
        <is>
          <t>토너</t>
        </is>
      </c>
      <c r="F4314" s="5" t="inlineStr">
        <is>
          <t>카페24</t>
        </is>
      </c>
      <c r="G4314" s="5" t="inlineStr">
        <is>
          <t>500ml</t>
        </is>
      </c>
      <c r="H4314" s="7" t="n">
        <v>190801</v>
      </c>
      <c r="I4314" s="7" t="n">
        <v>190801</v>
      </c>
      <c r="J4314" s="94" t="n"/>
      <c r="K4314" s="149" t="n">
        <v>35</v>
      </c>
      <c r="L4314" s="7" t="n">
        <v>190801</v>
      </c>
      <c r="M4314" s="94">
        <f>VLOOKUP($Q4314,매칭테이블!$F:$I,2,0)*K4314</f>
        <v/>
      </c>
      <c r="N4314" s="94">
        <f>M4314-M4314*VLOOKUP($Q4314,매칭테이블!$F:$I,3,0)</f>
        <v/>
      </c>
      <c r="O4314" s="94">
        <f>VLOOKUP($Q4314,매칭테이블!$F:$I,4,0)*K4314</f>
        <v/>
      </c>
      <c r="P4314" s="148">
        <f>M4314/1.1</f>
        <v/>
      </c>
      <c r="Q4314" s="94">
        <f>F4314&amp;E4314&amp;G4314&amp;L4314</f>
        <v/>
      </c>
    </row>
    <row r="4315">
      <c r="A4315" s="94" t="n"/>
      <c r="B4315" s="128" t="n">
        <v>43834</v>
      </c>
      <c r="C4315" s="94">
        <f>TEXT(B4315,"aaa")</f>
        <v/>
      </c>
      <c r="D4315" s="94" t="n"/>
      <c r="E4315" s="6" t="inlineStr">
        <is>
          <t>토너</t>
        </is>
      </c>
      <c r="F4315" s="5" t="inlineStr">
        <is>
          <t>카페24</t>
        </is>
      </c>
      <c r="G4315" s="5" t="inlineStr">
        <is>
          <t>250ml</t>
        </is>
      </c>
      <c r="H4315" s="7" t="n">
        <v>190801</v>
      </c>
      <c r="I4315" s="7" t="n">
        <v>190801</v>
      </c>
      <c r="J4315" s="94" t="n"/>
      <c r="K4315" s="149" t="n">
        <v>19</v>
      </c>
      <c r="L4315" s="7" t="n">
        <v>190801</v>
      </c>
      <c r="M4315" s="94">
        <f>VLOOKUP($Q4315,매칭테이블!$F:$I,2,0)*K4315</f>
        <v/>
      </c>
      <c r="N4315" s="94">
        <f>M4315-M4315*VLOOKUP($Q4315,매칭테이블!$F:$I,3,0)</f>
        <v/>
      </c>
      <c r="O4315" s="94">
        <f>VLOOKUP($Q4315,매칭테이블!$F:$I,4,0)*K4315</f>
        <v/>
      </c>
      <c r="P4315" s="148">
        <f>M4315/1.1</f>
        <v/>
      </c>
      <c r="Q4315" s="94">
        <f>F4315&amp;E4315&amp;G4315&amp;L4315</f>
        <v/>
      </c>
    </row>
    <row r="4316">
      <c r="A4316" s="94" t="n"/>
      <c r="B4316" s="128" t="n">
        <v>43834</v>
      </c>
      <c r="C4316" s="94">
        <f>TEXT(B4316,"aaa")</f>
        <v/>
      </c>
      <c r="D4316" s="94" t="n"/>
      <c r="E4316" s="6" t="inlineStr">
        <is>
          <t>토너</t>
        </is>
      </c>
      <c r="F4316" s="5" t="inlineStr">
        <is>
          <t>카페24</t>
        </is>
      </c>
      <c r="G4316" s="5" t="inlineStr">
        <is>
          <t>250ml 2set</t>
        </is>
      </c>
      <c r="H4316" s="7" t="n">
        <v>190801</v>
      </c>
      <c r="I4316" s="7" t="n">
        <v>190801</v>
      </c>
      <c r="J4316" s="94" t="n"/>
      <c r="K4316" s="149" t="n">
        <v>11</v>
      </c>
      <c r="L4316" s="7" t="n">
        <v>190801</v>
      </c>
      <c r="M4316" s="94">
        <f>VLOOKUP($Q4316,매칭테이블!$F:$I,2,0)*K4316</f>
        <v/>
      </c>
      <c r="N4316" s="94">
        <f>M4316-M4316*VLOOKUP($Q4316,매칭테이블!$F:$I,3,0)</f>
        <v/>
      </c>
      <c r="O4316" s="94">
        <f>VLOOKUP($Q4316,매칭테이블!$F:$I,4,0)*K4316</f>
        <v/>
      </c>
      <c r="P4316" s="148">
        <f>M4316/1.1</f>
        <v/>
      </c>
      <c r="Q4316" s="94">
        <f>F4316&amp;E4316&amp;G4316&amp;L4316</f>
        <v/>
      </c>
    </row>
    <row r="4317">
      <c r="A4317" s="94" t="n"/>
      <c r="B4317" s="128" t="n">
        <v>43834</v>
      </c>
      <c r="C4317" s="94">
        <f>TEXT(B4317,"aaa")</f>
        <v/>
      </c>
      <c r="D4317" s="94" t="n"/>
      <c r="E4317" s="94" t="inlineStr">
        <is>
          <t>머드크림마스크</t>
        </is>
      </c>
      <c r="F4317" s="94" t="inlineStr">
        <is>
          <t>카페24</t>
        </is>
      </c>
      <c r="G4317" s="94" t="inlineStr">
        <is>
          <t>머드크림마스크 100ml</t>
        </is>
      </c>
      <c r="H4317" s="7" t="n">
        <v>190801</v>
      </c>
      <c r="I4317" s="7" t="n">
        <v>190801</v>
      </c>
      <c r="J4317" s="94" t="n"/>
      <c r="K4317" s="94" t="n">
        <v>1</v>
      </c>
      <c r="L4317" s="94" t="n">
        <v>190801</v>
      </c>
      <c r="M4317" s="94">
        <f>VLOOKUP($Q4317,매칭테이블!$F:$I,2,0)*K4317</f>
        <v/>
      </c>
      <c r="N4317" s="94">
        <f>M4317-M4317*VLOOKUP($Q4317,매칭테이블!$F:$I,3,0)</f>
        <v/>
      </c>
      <c r="O4317" s="94">
        <f>VLOOKUP($Q4317,매칭테이블!$F:$I,4,0)*K4317</f>
        <v/>
      </c>
      <c r="P4317" s="148">
        <f>M4317/1.1</f>
        <v/>
      </c>
      <c r="Q4317" s="94">
        <f>F4317&amp;E4317&amp;G4317&amp;L4317</f>
        <v/>
      </c>
    </row>
    <row r="4318">
      <c r="A4318" s="94" t="n"/>
      <c r="B4318" s="128" t="n">
        <v>43835</v>
      </c>
      <c r="C4318" s="94">
        <f>TEXT(B4318,"aaa")</f>
        <v/>
      </c>
      <c r="D4318" s="94" t="n"/>
      <c r="E4318" s="6" t="inlineStr">
        <is>
          <t>토너</t>
        </is>
      </c>
      <c r="F4318" s="5" t="inlineStr">
        <is>
          <t>W컨셉</t>
        </is>
      </c>
      <c r="G4318" s="5" t="inlineStr">
        <is>
          <t>250ml</t>
        </is>
      </c>
      <c r="H4318" s="7" t="n">
        <v>190801</v>
      </c>
      <c r="I4318" s="7" t="n">
        <v>190801</v>
      </c>
      <c r="J4318" s="94" t="n"/>
      <c r="K4318" s="149" t="n">
        <v>1</v>
      </c>
      <c r="L4318" s="7" t="n">
        <v>190801</v>
      </c>
      <c r="M4318" s="94">
        <f>VLOOKUP($Q4318,매칭테이블!$F:$I,2,0)*K4318</f>
        <v/>
      </c>
      <c r="N4318" s="94">
        <f>M4318-M4318*VLOOKUP($Q4318,매칭테이블!$F:$I,3,0)</f>
        <v/>
      </c>
      <c r="O4318" s="94">
        <f>VLOOKUP($Q4318,매칭테이블!$F:$I,4,0)*K4318</f>
        <v/>
      </c>
      <c r="P4318" s="148">
        <f>M4318/1.1</f>
        <v/>
      </c>
      <c r="Q4318" s="94">
        <f>F4318&amp;E4318&amp;G4318&amp;L4318</f>
        <v/>
      </c>
    </row>
    <row r="4319">
      <c r="A4319" s="94" t="n"/>
      <c r="B4319" s="128" t="n">
        <v>43835</v>
      </c>
      <c r="C4319" s="94">
        <f>TEXT(B4319,"aaa")</f>
        <v/>
      </c>
      <c r="D4319" s="94" t="n"/>
      <c r="E4319" s="6" t="inlineStr">
        <is>
          <t>토너</t>
        </is>
      </c>
      <c r="F4319" s="5" t="inlineStr">
        <is>
          <t>W컨셉</t>
        </is>
      </c>
      <c r="G4319" s="5" t="inlineStr">
        <is>
          <t>250ml 2set</t>
        </is>
      </c>
      <c r="H4319" s="7" t="n">
        <v>190801</v>
      </c>
      <c r="I4319" s="7" t="n">
        <v>190801</v>
      </c>
      <c r="J4319" s="94" t="n"/>
      <c r="K4319" s="149" t="n">
        <v>1</v>
      </c>
      <c r="L4319" s="7" t="n">
        <v>190801</v>
      </c>
      <c r="M4319" s="94">
        <f>VLOOKUP($Q4319,매칭테이블!$F:$I,2,0)*K4319</f>
        <v/>
      </c>
      <c r="N4319" s="94">
        <f>M4319-M4319*VLOOKUP($Q4319,매칭테이블!$F:$I,3,0)</f>
        <v/>
      </c>
      <c r="O4319" s="94">
        <f>VLOOKUP($Q4319,매칭테이블!$F:$I,4,0)*K4319</f>
        <v/>
      </c>
      <c r="P4319" s="148">
        <f>M4319/1.1</f>
        <v/>
      </c>
      <c r="Q4319" s="94">
        <f>F4319&amp;E4319&amp;G4319&amp;L4319</f>
        <v/>
      </c>
    </row>
    <row r="4320">
      <c r="A4320" s="94" t="n"/>
      <c r="B4320" s="128" t="n">
        <v>43835</v>
      </c>
      <c r="C4320" s="94">
        <f>TEXT(B4320,"aaa")</f>
        <v/>
      </c>
      <c r="D4320" s="94" t="n"/>
      <c r="E4320" s="94" t="inlineStr">
        <is>
          <t>머드크림마스크</t>
        </is>
      </c>
      <c r="F4320" s="94" t="inlineStr">
        <is>
          <t>카페24</t>
        </is>
      </c>
      <c r="G4320" s="94" t="inlineStr">
        <is>
          <t>머드크림마스크 100ml</t>
        </is>
      </c>
      <c r="H4320" s="7" t="n">
        <v>190801</v>
      </c>
      <c r="I4320" s="7" t="n">
        <v>190801</v>
      </c>
      <c r="J4320" s="94" t="n"/>
      <c r="K4320" s="149" t="n">
        <v>1</v>
      </c>
      <c r="L4320" s="94" t="n">
        <v>190801</v>
      </c>
      <c r="M4320" s="94">
        <f>VLOOKUP($Q4320,매칭테이블!$F:$I,2,0)*K4320</f>
        <v/>
      </c>
      <c r="N4320" s="94">
        <f>M4320-M4320*VLOOKUP($Q4320,매칭테이블!$F:$I,3,0)</f>
        <v/>
      </c>
      <c r="O4320" s="94">
        <f>VLOOKUP($Q4320,매칭테이블!$F:$I,4,0)*K4320</f>
        <v/>
      </c>
      <c r="P4320" s="148">
        <f>M4320/1.1</f>
        <v/>
      </c>
      <c r="Q4320" s="94">
        <f>F4320&amp;E4320&amp;G4320&amp;L4320</f>
        <v/>
      </c>
    </row>
    <row r="4321">
      <c r="A4321" s="94" t="n"/>
      <c r="B4321" s="128" t="n">
        <v>43835</v>
      </c>
      <c r="C4321" s="94">
        <f>TEXT(B4321,"aaa")</f>
        <v/>
      </c>
      <c r="D4321" s="94" t="n"/>
      <c r="E4321" s="6" t="inlineStr">
        <is>
          <t>토너</t>
        </is>
      </c>
      <c r="F4321" s="5" t="inlineStr">
        <is>
          <t>카페24</t>
        </is>
      </c>
      <c r="G4321" s="5" t="inlineStr">
        <is>
          <t>500ml</t>
        </is>
      </c>
      <c r="H4321" s="7" t="n">
        <v>190801</v>
      </c>
      <c r="I4321" s="7" t="n">
        <v>190801</v>
      </c>
      <c r="J4321" s="94" t="n"/>
      <c r="K4321" s="149" t="n">
        <v>22</v>
      </c>
      <c r="L4321" s="7" t="n">
        <v>190801</v>
      </c>
      <c r="M4321" s="94">
        <f>VLOOKUP($Q4321,매칭테이블!$F:$I,2,0)*K4321</f>
        <v/>
      </c>
      <c r="N4321" s="94">
        <f>M4321-M4321*VLOOKUP($Q4321,매칭테이블!$F:$I,3,0)</f>
        <v/>
      </c>
      <c r="O4321" s="94">
        <f>VLOOKUP($Q4321,매칭테이블!$F:$I,4,0)*K4321</f>
        <v/>
      </c>
      <c r="P4321" s="148">
        <f>M4321/1.1</f>
        <v/>
      </c>
      <c r="Q4321" s="94">
        <f>F4321&amp;E4321&amp;G4321&amp;L4321</f>
        <v/>
      </c>
    </row>
    <row r="4322">
      <c r="A4322" s="94" t="n"/>
      <c r="B4322" s="128" t="n">
        <v>43835</v>
      </c>
      <c r="C4322" s="94">
        <f>TEXT(B4322,"aaa")</f>
        <v/>
      </c>
      <c r="D4322" s="94" t="n"/>
      <c r="E4322" s="6" t="inlineStr">
        <is>
          <t>토너</t>
        </is>
      </c>
      <c r="F4322" s="5" t="inlineStr">
        <is>
          <t>카페24</t>
        </is>
      </c>
      <c r="G4322" s="5" t="inlineStr">
        <is>
          <t>250ml</t>
        </is>
      </c>
      <c r="H4322" s="7" t="n">
        <v>190801</v>
      </c>
      <c r="I4322" s="7" t="n">
        <v>190801</v>
      </c>
      <c r="J4322" s="94" t="n"/>
      <c r="K4322" s="149" t="n">
        <v>22</v>
      </c>
      <c r="L4322" s="7" t="n">
        <v>190801</v>
      </c>
      <c r="M4322" s="94">
        <f>VLOOKUP($Q4322,매칭테이블!$F:$I,2,0)*K4322</f>
        <v/>
      </c>
      <c r="N4322" s="94">
        <f>M4322-M4322*VLOOKUP($Q4322,매칭테이블!$F:$I,3,0)</f>
        <v/>
      </c>
      <c r="O4322" s="94">
        <f>VLOOKUP($Q4322,매칭테이블!$F:$I,4,0)*K4322</f>
        <v/>
      </c>
      <c r="P4322" s="148">
        <f>M4322/1.1</f>
        <v/>
      </c>
      <c r="Q4322" s="94">
        <f>F4322&amp;E4322&amp;G4322&amp;L4322</f>
        <v/>
      </c>
    </row>
    <row r="4323">
      <c r="A4323" s="94" t="n"/>
      <c r="B4323" s="128" t="n">
        <v>43835</v>
      </c>
      <c r="C4323" s="94">
        <f>TEXT(B4323,"aaa")</f>
        <v/>
      </c>
      <c r="D4323" s="94" t="n"/>
      <c r="E4323" s="6" t="inlineStr">
        <is>
          <t>토너</t>
        </is>
      </c>
      <c r="F4323" s="5" t="inlineStr">
        <is>
          <t>카페24</t>
        </is>
      </c>
      <c r="G4323" s="5" t="inlineStr">
        <is>
          <t>250ml 2set</t>
        </is>
      </c>
      <c r="H4323" s="7" t="n">
        <v>190801</v>
      </c>
      <c r="I4323" s="7" t="n">
        <v>190801</v>
      </c>
      <c r="J4323" s="94" t="n"/>
      <c r="K4323" s="149" t="n">
        <v>29</v>
      </c>
      <c r="L4323" s="7" t="n">
        <v>190801</v>
      </c>
      <c r="M4323" s="94">
        <f>VLOOKUP($Q4323,매칭테이블!$F:$I,2,0)*K4323</f>
        <v/>
      </c>
      <c r="N4323" s="94">
        <f>M4323-M4323*VLOOKUP($Q4323,매칭테이블!$F:$I,3,0)</f>
        <v/>
      </c>
      <c r="O4323" s="94">
        <f>VLOOKUP($Q4323,매칭테이블!$F:$I,4,0)*K4323</f>
        <v/>
      </c>
      <c r="P4323" s="148">
        <f>M4323/1.1</f>
        <v/>
      </c>
      <c r="Q4323" s="94">
        <f>F4323&amp;E4323&amp;G4323&amp;L4323</f>
        <v/>
      </c>
    </row>
    <row r="4324">
      <c r="A4324" s="94" t="n"/>
      <c r="B4324" s="128" t="n">
        <v>43836</v>
      </c>
      <c r="C4324" s="94">
        <f>TEXT(B4324,"aaa")</f>
        <v/>
      </c>
      <c r="D4324" s="94" t="n"/>
      <c r="E4324" s="6" t="inlineStr">
        <is>
          <t>토너</t>
        </is>
      </c>
      <c r="F4324" s="5" t="inlineStr">
        <is>
          <t>W컨셉</t>
        </is>
      </c>
      <c r="G4324" s="5" t="inlineStr">
        <is>
          <t>250ml</t>
        </is>
      </c>
      <c r="H4324" s="7" t="n">
        <v>190801</v>
      </c>
      <c r="I4324" s="7" t="n">
        <v>190801</v>
      </c>
      <c r="J4324" s="94" t="n"/>
      <c r="K4324" s="149" t="n">
        <v>1</v>
      </c>
      <c r="L4324" s="7" t="n">
        <v>190801</v>
      </c>
      <c r="M4324" s="94">
        <f>VLOOKUP($Q4324,매칭테이블!$F:$I,2,0)*K4324</f>
        <v/>
      </c>
      <c r="N4324" s="94">
        <f>M4324-M4324*VLOOKUP($Q4324,매칭테이블!$F:$I,3,0)</f>
        <v/>
      </c>
      <c r="O4324" s="94">
        <f>VLOOKUP($Q4324,매칭테이블!$F:$I,4,0)*K4324</f>
        <v/>
      </c>
      <c r="P4324" s="148">
        <f>M4324/1.1</f>
        <v/>
      </c>
      <c r="Q4324" s="94">
        <f>F4324&amp;E4324&amp;G4324&amp;L4324</f>
        <v/>
      </c>
    </row>
    <row r="4325">
      <c r="A4325" s="94" t="n"/>
      <c r="B4325" s="128" t="n">
        <v>43836</v>
      </c>
      <c r="C4325" s="94">
        <f>TEXT(B4325,"aaa")</f>
        <v/>
      </c>
      <c r="D4325" s="94" t="n"/>
      <c r="E4325" s="6" t="inlineStr">
        <is>
          <t>토너</t>
        </is>
      </c>
      <c r="F4325" s="5" t="inlineStr">
        <is>
          <t>W컨셉</t>
        </is>
      </c>
      <c r="G4325" s="5" t="inlineStr">
        <is>
          <t>250ml 2set</t>
        </is>
      </c>
      <c r="H4325" s="7" t="n">
        <v>190801</v>
      </c>
      <c r="I4325" s="7" t="n">
        <v>190801</v>
      </c>
      <c r="J4325" s="94" t="n"/>
      <c r="K4325" s="149" t="n">
        <v>5</v>
      </c>
      <c r="L4325" s="7" t="n">
        <v>190801</v>
      </c>
      <c r="M4325" s="94">
        <f>VLOOKUP($Q4325,매칭테이블!$F:$I,2,0)*K4325</f>
        <v/>
      </c>
      <c r="N4325" s="94">
        <f>M4325-M4325*VLOOKUP($Q4325,매칭테이블!$F:$I,3,0)</f>
        <v/>
      </c>
      <c r="O4325" s="94">
        <f>VLOOKUP($Q4325,매칭테이블!$F:$I,4,0)*K4325</f>
        <v/>
      </c>
      <c r="P4325" s="148">
        <f>M4325/1.1</f>
        <v/>
      </c>
      <c r="Q4325" s="94">
        <f>F4325&amp;E4325&amp;G4325&amp;L4325</f>
        <v/>
      </c>
    </row>
    <row r="4326">
      <c r="A4326" s="94" t="n"/>
      <c r="B4326" s="128" t="n">
        <v>43836</v>
      </c>
      <c r="C4326" s="94">
        <f>TEXT(B4326,"aaa")</f>
        <v/>
      </c>
      <c r="D4326" s="94" t="n"/>
      <c r="E4326" s="94" t="inlineStr">
        <is>
          <t>머드크림마스크</t>
        </is>
      </c>
      <c r="F4326" s="94" t="inlineStr">
        <is>
          <t>카페24</t>
        </is>
      </c>
      <c r="G4326" s="94" t="inlineStr">
        <is>
          <t>머드크림마스크 100ml</t>
        </is>
      </c>
      <c r="H4326" s="7" t="n">
        <v>190801</v>
      </c>
      <c r="I4326" s="7" t="n">
        <v>190801</v>
      </c>
      <c r="J4326" s="94" t="n"/>
      <c r="K4326" s="149" t="n">
        <v>2</v>
      </c>
      <c r="L4326" s="94" t="n">
        <v>190801</v>
      </c>
      <c r="M4326" s="94">
        <f>VLOOKUP($Q4326,매칭테이블!$F:$I,2,0)*K4326</f>
        <v/>
      </c>
      <c r="N4326" s="94">
        <f>M4326-M4326*VLOOKUP($Q4326,매칭테이블!$F:$I,3,0)</f>
        <v/>
      </c>
      <c r="O4326" s="94">
        <f>VLOOKUP($Q4326,매칭테이블!$F:$I,4,0)*K4326</f>
        <v/>
      </c>
      <c r="P4326" s="148">
        <f>M4326/1.1</f>
        <v/>
      </c>
      <c r="Q4326" s="94">
        <f>F4326&amp;E4326&amp;G4326&amp;L4326</f>
        <v/>
      </c>
    </row>
    <row r="4327">
      <c r="A4327" s="94" t="n"/>
      <c r="B4327" s="128" t="n">
        <v>43836</v>
      </c>
      <c r="C4327" s="94">
        <f>TEXT(B4327,"aaa")</f>
        <v/>
      </c>
      <c r="D4327" s="94" t="n"/>
      <c r="E4327" s="6" t="inlineStr">
        <is>
          <t>토너</t>
        </is>
      </c>
      <c r="F4327" s="5" t="inlineStr">
        <is>
          <t>카페24</t>
        </is>
      </c>
      <c r="G4327" s="5" t="inlineStr">
        <is>
          <t>500ml</t>
        </is>
      </c>
      <c r="H4327" s="7" t="n">
        <v>190801</v>
      </c>
      <c r="I4327" s="7" t="n">
        <v>190801</v>
      </c>
      <c r="J4327" s="94" t="n"/>
      <c r="K4327" s="149" t="n">
        <v>32</v>
      </c>
      <c r="L4327" s="7" t="n">
        <v>190801</v>
      </c>
      <c r="M4327" s="94">
        <f>VLOOKUP($Q4327,매칭테이블!$F:$I,2,0)*K4327</f>
        <v/>
      </c>
      <c r="N4327" s="94">
        <f>M4327-M4327*VLOOKUP($Q4327,매칭테이블!$F:$I,3,0)</f>
        <v/>
      </c>
      <c r="O4327" s="94">
        <f>VLOOKUP($Q4327,매칭테이블!$F:$I,4,0)*K4327</f>
        <v/>
      </c>
      <c r="P4327" s="148">
        <f>M4327/1.1</f>
        <v/>
      </c>
      <c r="Q4327" s="94">
        <f>F4327&amp;E4327&amp;G4327&amp;L4327</f>
        <v/>
      </c>
    </row>
    <row r="4328">
      <c r="A4328" s="94" t="n"/>
      <c r="B4328" s="128" t="n">
        <v>43836</v>
      </c>
      <c r="C4328" s="94">
        <f>TEXT(B4328,"aaa")</f>
        <v/>
      </c>
      <c r="D4328" s="94" t="n"/>
      <c r="E4328" s="6" t="inlineStr">
        <is>
          <t>토너</t>
        </is>
      </c>
      <c r="F4328" s="5" t="inlineStr">
        <is>
          <t>카페24</t>
        </is>
      </c>
      <c r="G4328" s="5" t="inlineStr">
        <is>
          <t>250ml</t>
        </is>
      </c>
      <c r="H4328" s="7" t="n">
        <v>190801</v>
      </c>
      <c r="I4328" s="7" t="n">
        <v>190801</v>
      </c>
      <c r="J4328" s="94" t="n"/>
      <c r="K4328" s="149" t="n">
        <v>32</v>
      </c>
      <c r="L4328" s="7" t="n">
        <v>190801</v>
      </c>
      <c r="M4328" s="94">
        <f>VLOOKUP($Q4328,매칭테이블!$F:$I,2,0)*K4328</f>
        <v/>
      </c>
      <c r="N4328" s="94">
        <f>M4328-M4328*VLOOKUP($Q4328,매칭테이블!$F:$I,3,0)</f>
        <v/>
      </c>
      <c r="O4328" s="94">
        <f>VLOOKUP($Q4328,매칭테이블!$F:$I,4,0)*K4328</f>
        <v/>
      </c>
      <c r="P4328" s="148">
        <f>M4328/1.1</f>
        <v/>
      </c>
      <c r="Q4328" s="94">
        <f>F4328&amp;E4328&amp;G4328&amp;L4328</f>
        <v/>
      </c>
    </row>
    <row r="4329">
      <c r="A4329" s="94" t="n"/>
      <c r="B4329" s="128" t="n">
        <v>43836</v>
      </c>
      <c r="C4329" s="94">
        <f>TEXT(B4329,"aaa")</f>
        <v/>
      </c>
      <c r="D4329" s="94" t="n"/>
      <c r="E4329" s="6" t="inlineStr">
        <is>
          <t>토너</t>
        </is>
      </c>
      <c r="F4329" s="5" t="inlineStr">
        <is>
          <t>카페24</t>
        </is>
      </c>
      <c r="G4329" s="5" t="inlineStr">
        <is>
          <t>250ml 2set</t>
        </is>
      </c>
      <c r="H4329" s="7" t="n">
        <v>190801</v>
      </c>
      <c r="I4329" s="7" t="n">
        <v>190801</v>
      </c>
      <c r="J4329" s="94" t="n"/>
      <c r="K4329" s="149" t="n">
        <v>29</v>
      </c>
      <c r="L4329" s="7" t="n">
        <v>190801</v>
      </c>
      <c r="M4329" s="94">
        <f>VLOOKUP($Q4329,매칭테이블!$F:$I,2,0)*K4329</f>
        <v/>
      </c>
      <c r="N4329" s="94">
        <f>M4329-M4329*VLOOKUP($Q4329,매칭테이블!$F:$I,3,0)</f>
        <v/>
      </c>
      <c r="O4329" s="94">
        <f>VLOOKUP($Q4329,매칭테이블!$F:$I,4,0)*K4329</f>
        <v/>
      </c>
      <c r="P4329" s="148">
        <f>M4329/1.1</f>
        <v/>
      </c>
      <c r="Q4329" s="94">
        <f>F4329&amp;E4329&amp;G4329&amp;L4329</f>
        <v/>
      </c>
    </row>
    <row r="4330">
      <c r="A4330" s="94" t="n"/>
      <c r="B4330" s="128" t="n">
        <v>43836</v>
      </c>
      <c r="C4330" s="94">
        <f>TEXT(B4330,"aaa")</f>
        <v/>
      </c>
      <c r="D4330" s="94" t="n"/>
      <c r="E4330" s="94" t="inlineStr">
        <is>
          <t>토너</t>
        </is>
      </c>
      <c r="F4330" s="94" t="inlineStr">
        <is>
          <t>큐텐</t>
        </is>
      </c>
      <c r="G4330" s="94" t="inlineStr">
        <is>
          <t>250ml</t>
        </is>
      </c>
      <c r="H4330" s="7" t="n">
        <v>190801</v>
      </c>
      <c r="I4330" s="7" t="n">
        <v>190801</v>
      </c>
      <c r="J4330" s="94" t="n"/>
      <c r="K4330" s="149" t="n">
        <v>9</v>
      </c>
      <c r="L4330" s="92" t="n">
        <v>190801</v>
      </c>
      <c r="M4330" s="94">
        <f>VLOOKUP($Q4330,매칭테이블!$F:$I,2,0)*K4330</f>
        <v/>
      </c>
      <c r="N4330" s="94">
        <f>M4330-M4330*VLOOKUP($Q4330,매칭테이블!$F:$I,3,0)</f>
        <v/>
      </c>
      <c r="O4330" s="94">
        <f>VLOOKUP($Q4330,매칭테이블!$F:$I,4,0)*K4330</f>
        <v/>
      </c>
      <c r="P4330" s="148">
        <f>M4330/1.1</f>
        <v/>
      </c>
      <c r="Q4330" s="94">
        <f>F4330&amp;E4330&amp;G4330&amp;L4330</f>
        <v/>
      </c>
    </row>
    <row r="4331">
      <c r="A4331" s="94" t="n"/>
      <c r="B4331" s="128" t="n">
        <v>43836</v>
      </c>
      <c r="C4331" s="94">
        <f>TEXT(B4331,"aaa")</f>
        <v/>
      </c>
      <c r="D4331" s="94" t="n"/>
      <c r="E4331" s="94" t="inlineStr">
        <is>
          <t>토너</t>
        </is>
      </c>
      <c r="F4331" s="94" t="inlineStr">
        <is>
          <t>큐텐</t>
        </is>
      </c>
      <c r="G4331" s="94" t="inlineStr">
        <is>
          <t>250ml 2set</t>
        </is>
      </c>
      <c r="H4331" s="7" t="n">
        <v>190801</v>
      </c>
      <c r="I4331" s="7" t="n">
        <v>190801</v>
      </c>
      <c r="J4331" s="94" t="n"/>
      <c r="K4331" s="149" t="n">
        <v>3</v>
      </c>
      <c r="L4331" s="92" t="n">
        <v>190801</v>
      </c>
      <c r="M4331" s="94">
        <f>VLOOKUP($Q4331,매칭테이블!$F:$I,2,0)*K4331</f>
        <v/>
      </c>
      <c r="N4331" s="94">
        <f>M4331-M4331*VLOOKUP($Q4331,매칭테이블!$F:$I,3,0)</f>
        <v/>
      </c>
      <c r="O4331" s="94">
        <f>VLOOKUP($Q4331,매칭테이블!$F:$I,4,0)*K4331</f>
        <v/>
      </c>
      <c r="P4331" s="148">
        <f>M4331/1.1</f>
        <v/>
      </c>
      <c r="Q4331" s="94">
        <f>F4331&amp;E4331&amp;G4331&amp;L4331</f>
        <v/>
      </c>
    </row>
    <row r="4332">
      <c r="A4332" s="94" t="n"/>
      <c r="B4332" s="128" t="n">
        <v>43836</v>
      </c>
      <c r="C4332" s="94">
        <f>TEXT(B4332,"aaa")</f>
        <v/>
      </c>
      <c r="D4332" s="94" t="n"/>
      <c r="E4332" s="6" t="inlineStr">
        <is>
          <t>머드크림마스크</t>
        </is>
      </c>
      <c r="F4332" s="94" t="inlineStr">
        <is>
          <t>아누아 CS</t>
        </is>
      </c>
      <c r="G4332" s="5" t="inlineStr">
        <is>
          <t>머드크림마스크 100ml</t>
        </is>
      </c>
      <c r="H4332" s="7" t="n">
        <v>190801</v>
      </c>
      <c r="I4332" s="7" t="n">
        <v>190801</v>
      </c>
      <c r="J4332" s="94" t="n"/>
      <c r="K4332" s="149" t="n">
        <v>2</v>
      </c>
      <c r="L4332" s="7" t="n">
        <v>190801</v>
      </c>
      <c r="M4332" s="94">
        <f>VLOOKUP($Q4332,매칭테이블!$F:$I,2,0)*K4332</f>
        <v/>
      </c>
      <c r="N4332" s="94">
        <f>M4332-M4332*VLOOKUP($Q4332,매칭테이블!$F:$I,3,0)</f>
        <v/>
      </c>
      <c r="O4332" s="94">
        <f>VLOOKUP($Q4332,매칭테이블!$F:$I,4,0)*K4332</f>
        <v/>
      </c>
      <c r="P4332" s="148">
        <f>M4332/1.1</f>
        <v/>
      </c>
      <c r="Q4332" s="94">
        <f>F4332&amp;E4332&amp;G4332&amp;L4332</f>
        <v/>
      </c>
    </row>
    <row r="4333">
      <c r="A4333" s="94" t="n"/>
      <c r="B4333" s="128" t="n">
        <v>43837</v>
      </c>
      <c r="C4333" s="94">
        <f>TEXT(B4333,"aaa")</f>
        <v/>
      </c>
      <c r="D4333" s="94" t="n"/>
      <c r="E4333" s="6" t="inlineStr">
        <is>
          <t>토너</t>
        </is>
      </c>
      <c r="F4333" s="5" t="inlineStr">
        <is>
          <t>W컨셉</t>
        </is>
      </c>
      <c r="G4333" s="5" t="inlineStr">
        <is>
          <t>250ml</t>
        </is>
      </c>
      <c r="H4333" s="7" t="n">
        <v>190801</v>
      </c>
      <c r="I4333" s="7" t="n">
        <v>190801</v>
      </c>
      <c r="J4333" s="94" t="n"/>
      <c r="K4333" s="149" t="n">
        <v>2</v>
      </c>
      <c r="L4333" s="7" t="n">
        <v>190801</v>
      </c>
      <c r="M4333" s="94">
        <f>VLOOKUP($Q4333,매칭테이블!$F:$I,2,0)*K4333</f>
        <v/>
      </c>
      <c r="N4333" s="94">
        <f>M4333-M4333*VLOOKUP($Q4333,매칭테이블!$F:$I,3,0)</f>
        <v/>
      </c>
      <c r="O4333" s="94">
        <f>VLOOKUP($Q4333,매칭테이블!$F:$I,4,0)*K4333</f>
        <v/>
      </c>
      <c r="P4333" s="148">
        <f>M4333/1.1</f>
        <v/>
      </c>
      <c r="Q4333" s="94">
        <f>F4333&amp;E4333&amp;G4333&amp;L4333</f>
        <v/>
      </c>
    </row>
    <row r="4334">
      <c r="A4334" s="94" t="n"/>
      <c r="B4334" s="128" t="n">
        <v>43837</v>
      </c>
      <c r="C4334" s="94">
        <f>TEXT(B4334,"aaa")</f>
        <v/>
      </c>
      <c r="D4334" s="94" t="n"/>
      <c r="E4334" s="6" t="inlineStr">
        <is>
          <t>토너</t>
        </is>
      </c>
      <c r="F4334" s="5" t="inlineStr">
        <is>
          <t>W컨셉</t>
        </is>
      </c>
      <c r="G4334" s="5" t="inlineStr">
        <is>
          <t>250ml 2set</t>
        </is>
      </c>
      <c r="H4334" s="7" t="n">
        <v>190801</v>
      </c>
      <c r="I4334" s="7" t="n">
        <v>190801</v>
      </c>
      <c r="J4334" s="94" t="n"/>
      <c r="K4334" s="149" t="n">
        <v>2</v>
      </c>
      <c r="L4334" s="7" t="n">
        <v>190801</v>
      </c>
      <c r="M4334" s="94">
        <f>VLOOKUP($Q4334,매칭테이블!$F:$I,2,0)*K4334</f>
        <v/>
      </c>
      <c r="N4334" s="94">
        <f>M4334-M4334*VLOOKUP($Q4334,매칭테이블!$F:$I,3,0)</f>
        <v/>
      </c>
      <c r="O4334" s="94">
        <f>VLOOKUP($Q4334,매칭테이블!$F:$I,4,0)*K4334</f>
        <v/>
      </c>
      <c r="P4334" s="148">
        <f>M4334/1.1</f>
        <v/>
      </c>
      <c r="Q4334" s="94">
        <f>F4334&amp;E4334&amp;G4334&amp;L4334</f>
        <v/>
      </c>
    </row>
    <row r="4335">
      <c r="A4335" s="94" t="n"/>
      <c r="B4335" s="128" t="n">
        <v>43837</v>
      </c>
      <c r="C4335" s="94">
        <f>TEXT(B4335,"aaa")</f>
        <v/>
      </c>
      <c r="D4335" s="94" t="n"/>
      <c r="E4335" s="94" t="inlineStr">
        <is>
          <t>머드크림마스크</t>
        </is>
      </c>
      <c r="F4335" s="94" t="inlineStr">
        <is>
          <t>카페24</t>
        </is>
      </c>
      <c r="G4335" s="94" t="inlineStr">
        <is>
          <t>머드크림마스크 100ml</t>
        </is>
      </c>
      <c r="H4335" s="7" t="n">
        <v>190801</v>
      </c>
      <c r="I4335" s="7" t="n">
        <v>190801</v>
      </c>
      <c r="J4335" s="94" t="n"/>
      <c r="K4335" s="149" t="n">
        <v>6</v>
      </c>
      <c r="L4335" s="94" t="n">
        <v>190801</v>
      </c>
      <c r="M4335" s="94">
        <f>VLOOKUP($Q4335,매칭테이블!$F:$I,2,0)*K4335</f>
        <v/>
      </c>
      <c r="N4335" s="94">
        <f>M4335-M4335*VLOOKUP($Q4335,매칭테이블!$F:$I,3,0)</f>
        <v/>
      </c>
      <c r="O4335" s="94">
        <f>VLOOKUP($Q4335,매칭테이블!$F:$I,4,0)*K4335</f>
        <v/>
      </c>
      <c r="P4335" s="148">
        <f>M4335/1.1</f>
        <v/>
      </c>
      <c r="Q4335" s="94">
        <f>F4335&amp;E4335&amp;G4335&amp;L4335</f>
        <v/>
      </c>
    </row>
    <row r="4336">
      <c r="A4336" s="94" t="n"/>
      <c r="B4336" s="128" t="n">
        <v>43837</v>
      </c>
      <c r="C4336" s="94">
        <f>TEXT(B4336,"aaa")</f>
        <v/>
      </c>
      <c r="D4336" s="94" t="n"/>
      <c r="E4336" s="6" t="inlineStr">
        <is>
          <t>토너</t>
        </is>
      </c>
      <c r="F4336" s="5" t="inlineStr">
        <is>
          <t>카페24</t>
        </is>
      </c>
      <c r="G4336" s="5" t="inlineStr">
        <is>
          <t>500ml</t>
        </is>
      </c>
      <c r="H4336" s="7" t="n">
        <v>190801</v>
      </c>
      <c r="I4336" s="7" t="n">
        <v>190801</v>
      </c>
      <c r="J4336" s="94" t="n"/>
      <c r="K4336" s="149" t="n">
        <v>36</v>
      </c>
      <c r="L4336" s="7" t="n">
        <v>190801</v>
      </c>
      <c r="M4336" s="94">
        <f>VLOOKUP($Q4336,매칭테이블!$F:$I,2,0)*K4336</f>
        <v/>
      </c>
      <c r="N4336" s="94">
        <f>M4336-M4336*VLOOKUP($Q4336,매칭테이블!$F:$I,3,0)</f>
        <v/>
      </c>
      <c r="O4336" s="94">
        <f>VLOOKUP($Q4336,매칭테이블!$F:$I,4,0)*K4336</f>
        <v/>
      </c>
      <c r="P4336" s="148">
        <f>M4336/1.1</f>
        <v/>
      </c>
      <c r="Q4336" s="94">
        <f>F4336&amp;E4336&amp;G4336&amp;L4336</f>
        <v/>
      </c>
    </row>
    <row r="4337">
      <c r="A4337" s="94" t="n"/>
      <c r="B4337" s="128" t="n">
        <v>43837</v>
      </c>
      <c r="C4337" s="94">
        <f>TEXT(B4337,"aaa")</f>
        <v/>
      </c>
      <c r="D4337" s="94" t="n"/>
      <c r="E4337" s="6" t="inlineStr">
        <is>
          <t>토너</t>
        </is>
      </c>
      <c r="F4337" s="5" t="inlineStr">
        <is>
          <t>카페24</t>
        </is>
      </c>
      <c r="G4337" s="5" t="inlineStr">
        <is>
          <t>250ml</t>
        </is>
      </c>
      <c r="H4337" s="7" t="n">
        <v>190801</v>
      </c>
      <c r="I4337" s="7" t="n">
        <v>190801</v>
      </c>
      <c r="J4337" s="94" t="n"/>
      <c r="K4337" s="149" t="n">
        <v>21</v>
      </c>
      <c r="L4337" s="7" t="n">
        <v>190801</v>
      </c>
      <c r="M4337" s="94">
        <f>VLOOKUP($Q4337,매칭테이블!$F:$I,2,0)*K4337</f>
        <v/>
      </c>
      <c r="N4337" s="94">
        <f>M4337-M4337*VLOOKUP($Q4337,매칭테이블!$F:$I,3,0)</f>
        <v/>
      </c>
      <c r="O4337" s="94">
        <f>VLOOKUP($Q4337,매칭테이블!$F:$I,4,0)*K4337</f>
        <v/>
      </c>
      <c r="P4337" s="148">
        <f>M4337/1.1</f>
        <v/>
      </c>
      <c r="Q4337" s="94">
        <f>F4337&amp;E4337&amp;G4337&amp;L4337</f>
        <v/>
      </c>
    </row>
    <row r="4338">
      <c r="A4338" s="94" t="n"/>
      <c r="B4338" s="128" t="n">
        <v>43837</v>
      </c>
      <c r="C4338" s="94">
        <f>TEXT(B4338,"aaa")</f>
        <v/>
      </c>
      <c r="D4338" s="94" t="n"/>
      <c r="E4338" s="6" t="inlineStr">
        <is>
          <t>토너</t>
        </is>
      </c>
      <c r="F4338" s="5" t="inlineStr">
        <is>
          <t>카페24</t>
        </is>
      </c>
      <c r="G4338" s="5" t="inlineStr">
        <is>
          <t>250ml 2set</t>
        </is>
      </c>
      <c r="H4338" s="7" t="n">
        <v>190801</v>
      </c>
      <c r="I4338" s="7" t="n">
        <v>190801</v>
      </c>
      <c r="J4338" s="94" t="n"/>
      <c r="K4338" s="149" t="n">
        <v>24</v>
      </c>
      <c r="L4338" s="7" t="n">
        <v>190801</v>
      </c>
      <c r="M4338" s="94">
        <f>VLOOKUP($Q4338,매칭테이블!$F:$I,2,0)*K4338</f>
        <v/>
      </c>
      <c r="N4338" s="94">
        <f>M4338-M4338*VLOOKUP($Q4338,매칭테이블!$F:$I,3,0)</f>
        <v/>
      </c>
      <c r="O4338" s="94">
        <f>VLOOKUP($Q4338,매칭테이블!$F:$I,4,0)*K4338</f>
        <v/>
      </c>
      <c r="P4338" s="148">
        <f>M4338/1.1</f>
        <v/>
      </c>
      <c r="Q4338" s="94">
        <f>F4338&amp;E4338&amp;G4338&amp;L4338</f>
        <v/>
      </c>
    </row>
    <row r="4339">
      <c r="A4339" s="94" t="n"/>
      <c r="B4339" s="128" t="n">
        <v>43837</v>
      </c>
      <c r="C4339" s="94">
        <f>TEXT(B4339,"aaa")</f>
        <v/>
      </c>
      <c r="D4339" s="94" t="n"/>
      <c r="E4339" s="94" t="inlineStr">
        <is>
          <t>토너</t>
        </is>
      </c>
      <c r="F4339" s="94" t="inlineStr">
        <is>
          <t>큐텐</t>
        </is>
      </c>
      <c r="G4339" s="94" t="inlineStr">
        <is>
          <t>250ml</t>
        </is>
      </c>
      <c r="H4339" s="7" t="n">
        <v>190801</v>
      </c>
      <c r="I4339" s="7" t="n">
        <v>190801</v>
      </c>
      <c r="J4339" s="94" t="n"/>
      <c r="K4339" s="149" t="n">
        <v>1</v>
      </c>
      <c r="L4339" s="92" t="n">
        <v>190801</v>
      </c>
      <c r="M4339" s="94">
        <f>VLOOKUP($Q4339,매칭테이블!$F:$I,2,0)*K4339</f>
        <v/>
      </c>
      <c r="N4339" s="94">
        <f>M4339-M4339*VLOOKUP($Q4339,매칭테이블!$F:$I,3,0)</f>
        <v/>
      </c>
      <c r="O4339" s="94">
        <f>VLOOKUP($Q4339,매칭테이블!$F:$I,4,0)*K4339</f>
        <v/>
      </c>
      <c r="P4339" s="148">
        <f>M4339/1.1</f>
        <v/>
      </c>
      <c r="Q4339" s="94">
        <f>F4339&amp;E4339&amp;G4339&amp;L4339</f>
        <v/>
      </c>
    </row>
    <row r="4340">
      <c r="A4340" s="94" t="n"/>
      <c r="B4340" s="128" t="n">
        <v>43837</v>
      </c>
      <c r="C4340" s="94">
        <f>TEXT(B4340,"aaa")</f>
        <v/>
      </c>
      <c r="D4340" s="94" t="n"/>
      <c r="E4340" s="94" t="inlineStr">
        <is>
          <t>토너</t>
        </is>
      </c>
      <c r="F4340" s="94" t="inlineStr">
        <is>
          <t>큐텐</t>
        </is>
      </c>
      <c r="G4340" s="94" t="inlineStr">
        <is>
          <t>250ml 2set</t>
        </is>
      </c>
      <c r="H4340" s="7" t="n">
        <v>190801</v>
      </c>
      <c r="I4340" s="7" t="n">
        <v>190801</v>
      </c>
      <c r="J4340" s="94" t="n"/>
      <c r="K4340" s="149" t="n">
        <v>2</v>
      </c>
      <c r="L4340" s="92" t="n">
        <v>190801</v>
      </c>
      <c r="M4340" s="94">
        <f>VLOOKUP($Q4340,매칭테이블!$F:$I,2,0)*K4340</f>
        <v/>
      </c>
      <c r="N4340" s="94">
        <f>M4340-M4340*VLOOKUP($Q4340,매칭테이블!$F:$I,3,0)</f>
        <v/>
      </c>
      <c r="O4340" s="94">
        <f>VLOOKUP($Q4340,매칭테이블!$F:$I,4,0)*K4340</f>
        <v/>
      </c>
      <c r="P4340" s="148">
        <f>M4340/1.1</f>
        <v/>
      </c>
      <c r="Q4340" s="94">
        <f>F4340&amp;E4340&amp;G4340&amp;L4340</f>
        <v/>
      </c>
    </row>
    <row r="4341">
      <c r="A4341" s="94" t="n"/>
      <c r="B4341" s="128" t="n">
        <v>43838</v>
      </c>
      <c r="C4341" s="94">
        <f>TEXT(B4341,"aaa")</f>
        <v/>
      </c>
      <c r="D4341" s="94" t="n"/>
      <c r="E4341" s="6" t="inlineStr">
        <is>
          <t>토너</t>
        </is>
      </c>
      <c r="F4341" s="5" t="inlineStr">
        <is>
          <t>W컨셉</t>
        </is>
      </c>
      <c r="G4341" s="5" t="inlineStr">
        <is>
          <t>250ml</t>
        </is>
      </c>
      <c r="H4341" s="7" t="n">
        <v>190801</v>
      </c>
      <c r="I4341" s="7" t="n">
        <v>190801</v>
      </c>
      <c r="J4341" s="94" t="n"/>
      <c r="K4341" s="149" t="n">
        <v>1</v>
      </c>
      <c r="L4341" s="7" t="n">
        <v>190801</v>
      </c>
      <c r="M4341" s="94">
        <f>VLOOKUP($Q4341,매칭테이블!$F:$I,2,0)*K4341</f>
        <v/>
      </c>
      <c r="N4341" s="94">
        <f>M4341-M4341*VLOOKUP($Q4341,매칭테이블!$F:$I,3,0)</f>
        <v/>
      </c>
      <c r="O4341" s="94">
        <f>VLOOKUP($Q4341,매칭테이블!$F:$I,4,0)*K4341</f>
        <v/>
      </c>
      <c r="P4341" s="148">
        <f>M4341/1.1</f>
        <v/>
      </c>
      <c r="Q4341" s="94">
        <f>F4341&amp;E4341&amp;G4341&amp;L4341</f>
        <v/>
      </c>
    </row>
    <row r="4342">
      <c r="A4342" s="94" t="n"/>
      <c r="B4342" s="128" t="n">
        <v>43838</v>
      </c>
      <c r="C4342" s="94">
        <f>TEXT(B4342,"aaa")</f>
        <v/>
      </c>
      <c r="D4342" s="94" t="n"/>
      <c r="E4342" s="6" t="inlineStr">
        <is>
          <t>토너</t>
        </is>
      </c>
      <c r="F4342" s="5" t="inlineStr">
        <is>
          <t>W컨셉</t>
        </is>
      </c>
      <c r="G4342" s="5" t="inlineStr">
        <is>
          <t>250ml 2set</t>
        </is>
      </c>
      <c r="H4342" s="7" t="n">
        <v>190801</v>
      </c>
      <c r="I4342" s="7" t="n">
        <v>190801</v>
      </c>
      <c r="J4342" s="94" t="n"/>
      <c r="K4342" s="149" t="n">
        <v>1</v>
      </c>
      <c r="L4342" s="7" t="n">
        <v>190801</v>
      </c>
      <c r="M4342" s="94">
        <f>VLOOKUP($Q4342,매칭테이블!$F:$I,2,0)*K4342</f>
        <v/>
      </c>
      <c r="N4342" s="94">
        <f>M4342-M4342*VLOOKUP($Q4342,매칭테이블!$F:$I,3,0)</f>
        <v/>
      </c>
      <c r="O4342" s="94">
        <f>VLOOKUP($Q4342,매칭테이블!$F:$I,4,0)*K4342</f>
        <v/>
      </c>
      <c r="P4342" s="148">
        <f>M4342/1.1</f>
        <v/>
      </c>
      <c r="Q4342" s="94">
        <f>F4342&amp;E4342&amp;G4342&amp;L4342</f>
        <v/>
      </c>
    </row>
    <row r="4343">
      <c r="A4343" s="94" t="n"/>
      <c r="B4343" s="128" t="n">
        <v>43838</v>
      </c>
      <c r="C4343" s="94">
        <f>TEXT(B4343,"aaa")</f>
        <v/>
      </c>
      <c r="D4343" s="94" t="n"/>
      <c r="E4343" s="94" t="inlineStr">
        <is>
          <t>머드크림마스크</t>
        </is>
      </c>
      <c r="F4343" s="94" t="inlineStr">
        <is>
          <t>카페24</t>
        </is>
      </c>
      <c r="G4343" s="94" t="inlineStr">
        <is>
          <t>머드크림마스크 100ml</t>
        </is>
      </c>
      <c r="H4343" s="7" t="n">
        <v>190801</v>
      </c>
      <c r="I4343" s="7" t="n">
        <v>190801</v>
      </c>
      <c r="J4343" s="94" t="n"/>
      <c r="K4343" s="149" t="n">
        <v>2</v>
      </c>
      <c r="L4343" s="94" t="n">
        <v>190801</v>
      </c>
      <c r="M4343" s="94">
        <f>VLOOKUP($Q4343,매칭테이블!$F:$I,2,0)*K4343</f>
        <v/>
      </c>
      <c r="N4343" s="94">
        <f>M4343-M4343*VLOOKUP($Q4343,매칭테이블!$F:$I,3,0)</f>
        <v/>
      </c>
      <c r="O4343" s="94">
        <f>VLOOKUP($Q4343,매칭테이블!$F:$I,4,0)*K4343</f>
        <v/>
      </c>
      <c r="P4343" s="148">
        <f>M4343/1.1</f>
        <v/>
      </c>
      <c r="Q4343" s="94">
        <f>F4343&amp;E4343&amp;G4343&amp;L4343</f>
        <v/>
      </c>
    </row>
    <row r="4344">
      <c r="A4344" s="94" t="n"/>
      <c r="B4344" s="128" t="n">
        <v>43838</v>
      </c>
      <c r="C4344" s="94">
        <f>TEXT(B4344,"aaa")</f>
        <v/>
      </c>
      <c r="D4344" s="94" t="n"/>
      <c r="E4344" s="6" t="inlineStr">
        <is>
          <t>토너</t>
        </is>
      </c>
      <c r="F4344" s="5" t="inlineStr">
        <is>
          <t>카페24</t>
        </is>
      </c>
      <c r="G4344" s="5" t="inlineStr">
        <is>
          <t>500ml</t>
        </is>
      </c>
      <c r="H4344" s="7" t="n">
        <v>190801</v>
      </c>
      <c r="I4344" s="7" t="n">
        <v>190801</v>
      </c>
      <c r="J4344" s="94" t="n"/>
      <c r="K4344" s="149" t="n">
        <v>28</v>
      </c>
      <c r="L4344" s="7" t="n">
        <v>190801</v>
      </c>
      <c r="M4344" s="94">
        <f>VLOOKUP($Q4344,매칭테이블!$F:$I,2,0)*K4344</f>
        <v/>
      </c>
      <c r="N4344" s="94">
        <f>M4344-M4344*VLOOKUP($Q4344,매칭테이블!$F:$I,3,0)</f>
        <v/>
      </c>
      <c r="O4344" s="94">
        <f>VLOOKUP($Q4344,매칭테이블!$F:$I,4,0)*K4344</f>
        <v/>
      </c>
      <c r="P4344" s="148">
        <f>M4344/1.1</f>
        <v/>
      </c>
      <c r="Q4344" s="94">
        <f>F4344&amp;E4344&amp;G4344&amp;L4344</f>
        <v/>
      </c>
    </row>
    <row r="4345">
      <c r="A4345" s="94" t="n"/>
      <c r="B4345" s="128" t="n">
        <v>43838</v>
      </c>
      <c r="C4345" s="94">
        <f>TEXT(B4345,"aaa")</f>
        <v/>
      </c>
      <c r="D4345" s="94" t="n"/>
      <c r="E4345" s="6" t="inlineStr">
        <is>
          <t>토너</t>
        </is>
      </c>
      <c r="F4345" s="5" t="inlineStr">
        <is>
          <t>카페24</t>
        </is>
      </c>
      <c r="G4345" s="5" t="inlineStr">
        <is>
          <t>250ml</t>
        </is>
      </c>
      <c r="H4345" s="7" t="n">
        <v>190801</v>
      </c>
      <c r="I4345" s="7" t="n">
        <v>190801</v>
      </c>
      <c r="J4345" s="94" t="n"/>
      <c r="K4345" s="149" t="n">
        <v>32</v>
      </c>
      <c r="L4345" s="7" t="n">
        <v>190801</v>
      </c>
      <c r="M4345" s="94">
        <f>VLOOKUP($Q4345,매칭테이블!$F:$I,2,0)*K4345</f>
        <v/>
      </c>
      <c r="N4345" s="94">
        <f>M4345-M4345*VLOOKUP($Q4345,매칭테이블!$F:$I,3,0)</f>
        <v/>
      </c>
      <c r="O4345" s="94">
        <f>VLOOKUP($Q4345,매칭테이블!$F:$I,4,0)*K4345</f>
        <v/>
      </c>
      <c r="P4345" s="148">
        <f>M4345/1.1</f>
        <v/>
      </c>
      <c r="Q4345" s="94">
        <f>F4345&amp;E4345&amp;G4345&amp;L4345</f>
        <v/>
      </c>
    </row>
    <row r="4346">
      <c r="A4346" s="94" t="n"/>
      <c r="B4346" s="128" t="n">
        <v>43838</v>
      </c>
      <c r="C4346" s="94">
        <f>TEXT(B4346,"aaa")</f>
        <v/>
      </c>
      <c r="D4346" s="94" t="n"/>
      <c r="E4346" s="6" t="inlineStr">
        <is>
          <t>토너</t>
        </is>
      </c>
      <c r="F4346" s="5" t="inlineStr">
        <is>
          <t>카페24</t>
        </is>
      </c>
      <c r="G4346" s="5" t="inlineStr">
        <is>
          <t>250ml 2set</t>
        </is>
      </c>
      <c r="H4346" s="7" t="n">
        <v>190801</v>
      </c>
      <c r="I4346" s="7" t="n">
        <v>190801</v>
      </c>
      <c r="J4346" s="94" t="n"/>
      <c r="K4346" s="149" t="n">
        <v>21</v>
      </c>
      <c r="L4346" s="7" t="n">
        <v>190801</v>
      </c>
      <c r="M4346" s="94">
        <f>VLOOKUP($Q4346,매칭테이블!$F:$I,2,0)*K4346</f>
        <v/>
      </c>
      <c r="N4346" s="94">
        <f>M4346-M4346*VLOOKUP($Q4346,매칭테이블!$F:$I,3,0)</f>
        <v/>
      </c>
      <c r="O4346" s="94">
        <f>VLOOKUP($Q4346,매칭테이블!$F:$I,4,0)*K4346</f>
        <v/>
      </c>
      <c r="P4346" s="148">
        <f>M4346/1.1</f>
        <v/>
      </c>
      <c r="Q4346" s="94">
        <f>F4346&amp;E4346&amp;G4346&amp;L4346</f>
        <v/>
      </c>
    </row>
    <row r="4347">
      <c r="A4347" s="94" t="n"/>
      <c r="B4347" s="128" t="n">
        <v>43838</v>
      </c>
      <c r="C4347" s="94">
        <f>TEXT(B4347,"aaa")</f>
        <v/>
      </c>
      <c r="D4347" s="94" t="n"/>
      <c r="E4347" s="94" t="inlineStr">
        <is>
          <t>토너</t>
        </is>
      </c>
      <c r="F4347" s="94" t="inlineStr">
        <is>
          <t>큐텐</t>
        </is>
      </c>
      <c r="G4347" s="94" t="inlineStr">
        <is>
          <t>250ml</t>
        </is>
      </c>
      <c r="H4347" s="7" t="n">
        <v>190801</v>
      </c>
      <c r="I4347" s="7" t="n">
        <v>190801</v>
      </c>
      <c r="J4347" s="94" t="n"/>
      <c r="K4347" s="149" t="n">
        <v>3</v>
      </c>
      <c r="L4347" s="92" t="n">
        <v>190801</v>
      </c>
      <c r="M4347" s="94">
        <f>VLOOKUP($Q4347,매칭테이블!$F:$I,2,0)*K4347</f>
        <v/>
      </c>
      <c r="N4347" s="94">
        <f>M4347-M4347*VLOOKUP($Q4347,매칭테이블!$F:$I,3,0)</f>
        <v/>
      </c>
      <c r="O4347" s="94">
        <f>VLOOKUP($Q4347,매칭테이블!$F:$I,4,0)*K4347</f>
        <v/>
      </c>
      <c r="P4347" s="148">
        <f>M4347/1.1</f>
        <v/>
      </c>
      <c r="Q4347" s="94">
        <f>F4347&amp;E4347&amp;G4347&amp;L4347</f>
        <v/>
      </c>
    </row>
    <row r="4348">
      <c r="A4348" s="94" t="n"/>
      <c r="B4348" s="128" t="n">
        <v>43839</v>
      </c>
      <c r="C4348" s="94">
        <f>TEXT(B4348,"aaa")</f>
        <v/>
      </c>
      <c r="D4348" s="94" t="n"/>
      <c r="E4348" s="6" t="inlineStr">
        <is>
          <t>토너</t>
        </is>
      </c>
      <c r="F4348" s="5" t="inlineStr">
        <is>
          <t>W컨셉</t>
        </is>
      </c>
      <c r="G4348" s="5" t="inlineStr">
        <is>
          <t>250ml 2set</t>
        </is>
      </c>
      <c r="H4348" s="7" t="n">
        <v>190801</v>
      </c>
      <c r="I4348" s="7" t="n">
        <v>190801</v>
      </c>
      <c r="J4348" s="94" t="n"/>
      <c r="K4348" s="149" t="n">
        <v>6</v>
      </c>
      <c r="L4348" s="7" t="n">
        <v>190801</v>
      </c>
      <c r="M4348" s="94">
        <f>VLOOKUP($Q4348,매칭테이블!$F:$I,2,0)*K4348</f>
        <v/>
      </c>
      <c r="N4348" s="94">
        <f>M4348-M4348*VLOOKUP($Q4348,매칭테이블!$F:$I,3,0)</f>
        <v/>
      </c>
      <c r="O4348" s="94">
        <f>VLOOKUP($Q4348,매칭테이블!$F:$I,4,0)*K4348</f>
        <v/>
      </c>
      <c r="P4348" s="148">
        <f>M4348/1.1</f>
        <v/>
      </c>
      <c r="Q4348" s="94">
        <f>F4348&amp;E4348&amp;G4348&amp;L4348</f>
        <v/>
      </c>
    </row>
    <row r="4349">
      <c r="A4349" s="94" t="n"/>
      <c r="B4349" s="128" t="n">
        <v>43839</v>
      </c>
      <c r="C4349" s="94">
        <f>TEXT(B4349,"aaa")</f>
        <v/>
      </c>
      <c r="D4349" s="94" t="n"/>
      <c r="E4349" s="94" t="inlineStr">
        <is>
          <t>토너</t>
        </is>
      </c>
      <c r="F4349" s="94" t="inlineStr">
        <is>
          <t>글로우데이즈 시코르</t>
        </is>
      </c>
      <c r="G4349" s="94" t="inlineStr">
        <is>
          <t>250ml</t>
        </is>
      </c>
      <c r="H4349" s="7" t="n">
        <v>190801</v>
      </c>
      <c r="I4349" s="7" t="n">
        <v>190801</v>
      </c>
      <c r="J4349" s="94" t="n"/>
      <c r="K4349" s="149" t="n">
        <v>30</v>
      </c>
      <c r="L4349" s="92" t="n">
        <v>190801</v>
      </c>
      <c r="M4349" s="94">
        <f>VLOOKUP($Q4349,매칭테이블!$F:$I,2,0)*K4349</f>
        <v/>
      </c>
      <c r="N4349" s="94">
        <f>M4349-M4349*VLOOKUP($Q4349,매칭테이블!$F:$I,3,0)</f>
        <v/>
      </c>
      <c r="O4349" s="94">
        <f>VLOOKUP($Q4349,매칭테이블!$F:$I,4,0)*K4349</f>
        <v/>
      </c>
      <c r="P4349" s="148">
        <f>M4349/1.1</f>
        <v/>
      </c>
      <c r="Q4349" s="94">
        <f>F4349&amp;E4349&amp;G4349&amp;L4349</f>
        <v/>
      </c>
    </row>
    <row r="4350">
      <c r="A4350" s="94" t="n"/>
      <c r="B4350" s="128" t="n">
        <v>43839</v>
      </c>
      <c r="C4350" s="94">
        <f>TEXT(B4350,"aaa")</f>
        <v/>
      </c>
      <c r="D4350" s="94" t="n"/>
      <c r="E4350" s="94" t="inlineStr">
        <is>
          <t>토너</t>
        </is>
      </c>
      <c r="F4350" s="94" t="inlineStr">
        <is>
          <t>아누아 CS</t>
        </is>
      </c>
      <c r="G4350" s="94" t="inlineStr">
        <is>
          <t>250ml</t>
        </is>
      </c>
      <c r="H4350" s="7" t="n">
        <v>190801</v>
      </c>
      <c r="I4350" s="7" t="n">
        <v>190801</v>
      </c>
      <c r="J4350" s="94" t="n"/>
      <c r="K4350" s="149" t="n">
        <v>1</v>
      </c>
      <c r="L4350" s="7" t="n">
        <v>190801</v>
      </c>
      <c r="M4350" s="94">
        <f>VLOOKUP($Q4350,매칭테이블!$F:$I,2,0)*K4350</f>
        <v/>
      </c>
      <c r="N4350" s="94">
        <f>M4350-M4350*VLOOKUP($Q4350,매칭테이블!$F:$I,3,0)</f>
        <v/>
      </c>
      <c r="O4350" s="94">
        <f>VLOOKUP($Q4350,매칭테이블!$F:$I,4,0)*K4350</f>
        <v/>
      </c>
      <c r="P4350" s="148">
        <f>M4350/1.1</f>
        <v/>
      </c>
      <c r="Q4350" s="94">
        <f>F4350&amp;E4350&amp;G4350&amp;L4350</f>
        <v/>
      </c>
    </row>
    <row r="4351">
      <c r="A4351" s="94" t="n"/>
      <c r="B4351" s="128" t="n">
        <v>43839</v>
      </c>
      <c r="C4351" s="94">
        <f>TEXT(B4351,"aaa")</f>
        <v/>
      </c>
      <c r="D4351" s="94" t="n"/>
      <c r="E4351" s="6" t="inlineStr">
        <is>
          <t>머드크림마스크</t>
        </is>
      </c>
      <c r="F4351" s="94" t="inlineStr">
        <is>
          <t>아누아 CS</t>
        </is>
      </c>
      <c r="G4351" s="5" t="inlineStr">
        <is>
          <t>머드크림마스크 100ml</t>
        </is>
      </c>
      <c r="H4351" s="7" t="n">
        <v>190801</v>
      </c>
      <c r="I4351" s="7" t="n">
        <v>190801</v>
      </c>
      <c r="J4351" s="94" t="n"/>
      <c r="K4351" s="149" t="n">
        <v>1</v>
      </c>
      <c r="L4351" s="7" t="n">
        <v>190801</v>
      </c>
      <c r="M4351" s="94">
        <f>VLOOKUP($Q4351,매칭테이블!$F:$I,2,0)*K4351</f>
        <v/>
      </c>
      <c r="N4351" s="94">
        <f>M4351-M4351*VLOOKUP($Q4351,매칭테이블!$F:$I,3,0)</f>
        <v/>
      </c>
      <c r="O4351" s="94">
        <f>VLOOKUP($Q4351,매칭테이블!$F:$I,4,0)*K4351</f>
        <v/>
      </c>
      <c r="P4351" s="148">
        <f>M4351/1.1</f>
        <v/>
      </c>
      <c r="Q4351" s="94">
        <f>F4351&amp;E4351&amp;G4351&amp;L4351</f>
        <v/>
      </c>
    </row>
    <row r="4352">
      <c r="A4352" s="94" t="n"/>
      <c r="B4352" s="128" t="n">
        <v>43839</v>
      </c>
      <c r="C4352" s="94">
        <f>TEXT(B4352,"aaa")</f>
        <v/>
      </c>
      <c r="D4352" s="94" t="n"/>
      <c r="E4352" s="94" t="inlineStr">
        <is>
          <t>머드크림마스크</t>
        </is>
      </c>
      <c r="F4352" s="94" t="inlineStr">
        <is>
          <t>카페24</t>
        </is>
      </c>
      <c r="G4352" s="94" t="inlineStr">
        <is>
          <t>머드크림마스크 100ml</t>
        </is>
      </c>
      <c r="H4352" s="7" t="n">
        <v>190801</v>
      </c>
      <c r="I4352" s="7" t="n">
        <v>190801</v>
      </c>
      <c r="J4352" s="94" t="n"/>
      <c r="K4352" s="149" t="n">
        <v>3</v>
      </c>
      <c r="L4352" s="94" t="n">
        <v>190801</v>
      </c>
      <c r="M4352" s="94">
        <f>VLOOKUP($Q4352,매칭테이블!$F:$I,2,0)*K4352</f>
        <v/>
      </c>
      <c r="N4352" s="94">
        <f>M4352-M4352*VLOOKUP($Q4352,매칭테이블!$F:$I,3,0)</f>
        <v/>
      </c>
      <c r="O4352" s="94">
        <f>VLOOKUP($Q4352,매칭테이블!$F:$I,4,0)*K4352</f>
        <v/>
      </c>
      <c r="P4352" s="148">
        <f>M4352/1.1</f>
        <v/>
      </c>
      <c r="Q4352" s="94">
        <f>F4352&amp;E4352&amp;G4352&amp;L4352</f>
        <v/>
      </c>
    </row>
    <row r="4353">
      <c r="A4353" s="94" t="n"/>
      <c r="B4353" s="128" t="n">
        <v>43839</v>
      </c>
      <c r="C4353" s="94">
        <f>TEXT(B4353,"aaa")</f>
        <v/>
      </c>
      <c r="D4353" s="94" t="n"/>
      <c r="E4353" s="6" t="inlineStr">
        <is>
          <t>토너</t>
        </is>
      </c>
      <c r="F4353" s="5" t="inlineStr">
        <is>
          <t>카페24</t>
        </is>
      </c>
      <c r="G4353" s="5" t="inlineStr">
        <is>
          <t>500ml</t>
        </is>
      </c>
      <c r="H4353" s="7" t="n">
        <v>190801</v>
      </c>
      <c r="I4353" s="7" t="n">
        <v>190801</v>
      </c>
      <c r="J4353" s="94" t="n"/>
      <c r="K4353" s="149" t="n">
        <v>38</v>
      </c>
      <c r="L4353" s="7" t="n">
        <v>190801</v>
      </c>
      <c r="M4353" s="94">
        <f>VLOOKUP($Q4353,매칭테이블!$F:$I,2,0)*K4353</f>
        <v/>
      </c>
      <c r="N4353" s="94">
        <f>M4353-M4353*VLOOKUP($Q4353,매칭테이블!$F:$I,3,0)</f>
        <v/>
      </c>
      <c r="O4353" s="94">
        <f>VLOOKUP($Q4353,매칭테이블!$F:$I,4,0)*K4353</f>
        <v/>
      </c>
      <c r="P4353" s="148">
        <f>M4353/1.1</f>
        <v/>
      </c>
      <c r="Q4353" s="94">
        <f>F4353&amp;E4353&amp;G4353&amp;L4353</f>
        <v/>
      </c>
    </row>
    <row r="4354">
      <c r="A4354" s="94" t="n"/>
      <c r="B4354" s="128" t="n">
        <v>43839</v>
      </c>
      <c r="C4354" s="94">
        <f>TEXT(B4354,"aaa")</f>
        <v/>
      </c>
      <c r="D4354" s="94" t="n"/>
      <c r="E4354" s="6" t="inlineStr">
        <is>
          <t>토너</t>
        </is>
      </c>
      <c r="F4354" s="5" t="inlineStr">
        <is>
          <t>카페24</t>
        </is>
      </c>
      <c r="G4354" s="5" t="inlineStr">
        <is>
          <t>250ml</t>
        </is>
      </c>
      <c r="H4354" s="7" t="n">
        <v>190801</v>
      </c>
      <c r="I4354" s="7" t="n">
        <v>190801</v>
      </c>
      <c r="J4354" s="94" t="n"/>
      <c r="K4354" s="149" t="n">
        <v>45</v>
      </c>
      <c r="L4354" s="7" t="n">
        <v>190801</v>
      </c>
      <c r="M4354" s="94">
        <f>VLOOKUP($Q4354,매칭테이블!$F:$I,2,0)*K4354</f>
        <v/>
      </c>
      <c r="N4354" s="94">
        <f>M4354-M4354*VLOOKUP($Q4354,매칭테이블!$F:$I,3,0)</f>
        <v/>
      </c>
      <c r="O4354" s="94">
        <f>VLOOKUP($Q4354,매칭테이블!$F:$I,4,0)*K4354</f>
        <v/>
      </c>
      <c r="P4354" s="148">
        <f>M4354/1.1</f>
        <v/>
      </c>
      <c r="Q4354" s="94">
        <f>F4354&amp;E4354&amp;G4354&amp;L4354</f>
        <v/>
      </c>
    </row>
    <row r="4355">
      <c r="A4355" s="94" t="n"/>
      <c r="B4355" s="128" t="n">
        <v>43839</v>
      </c>
      <c r="C4355" s="94">
        <f>TEXT(B4355,"aaa")</f>
        <v/>
      </c>
      <c r="D4355" s="94" t="n"/>
      <c r="E4355" s="6" t="inlineStr">
        <is>
          <t>토너</t>
        </is>
      </c>
      <c r="F4355" s="5" t="inlineStr">
        <is>
          <t>카페24</t>
        </is>
      </c>
      <c r="G4355" s="5" t="inlineStr">
        <is>
          <t>250ml 2set</t>
        </is>
      </c>
      <c r="H4355" s="7" t="n">
        <v>190801</v>
      </c>
      <c r="I4355" s="7" t="n">
        <v>190801</v>
      </c>
      <c r="J4355" s="94" t="n"/>
      <c r="K4355" s="149" t="n">
        <v>16</v>
      </c>
      <c r="L4355" s="7" t="n">
        <v>190801</v>
      </c>
      <c r="M4355" s="94">
        <f>VLOOKUP($Q4355,매칭테이블!$F:$I,2,0)*K4355</f>
        <v/>
      </c>
      <c r="N4355" s="94">
        <f>M4355-M4355*VLOOKUP($Q4355,매칭테이블!$F:$I,3,0)</f>
        <v/>
      </c>
      <c r="O4355" s="94">
        <f>VLOOKUP($Q4355,매칭테이블!$F:$I,4,0)*K4355</f>
        <v/>
      </c>
      <c r="P4355" s="148">
        <f>M4355/1.1</f>
        <v/>
      </c>
      <c r="Q4355" s="94">
        <f>F4355&amp;E4355&amp;G4355&amp;L4355</f>
        <v/>
      </c>
    </row>
    <row r="4356">
      <c r="A4356" s="94" t="n"/>
      <c r="B4356" s="128" t="n">
        <v>43839</v>
      </c>
      <c r="C4356" s="94">
        <f>TEXT(B4356,"aaa")</f>
        <v/>
      </c>
      <c r="D4356" s="94" t="n"/>
      <c r="E4356" s="94" t="inlineStr">
        <is>
          <t>토너</t>
        </is>
      </c>
      <c r="F4356" s="94" t="inlineStr">
        <is>
          <t>큐텐</t>
        </is>
      </c>
      <c r="G4356" s="94" t="inlineStr">
        <is>
          <t>250ml</t>
        </is>
      </c>
      <c r="H4356" s="7" t="n">
        <v>190801</v>
      </c>
      <c r="I4356" s="7" t="n">
        <v>190801</v>
      </c>
      <c r="J4356" s="94" t="n"/>
      <c r="K4356" s="149" t="n">
        <v>3</v>
      </c>
      <c r="L4356" s="92" t="n">
        <v>190801</v>
      </c>
      <c r="M4356" s="94">
        <f>VLOOKUP($Q4356,매칭테이블!$F:$I,2,0)*K4356</f>
        <v/>
      </c>
      <c r="N4356" s="94">
        <f>M4356-M4356*VLOOKUP($Q4356,매칭테이블!$F:$I,3,0)</f>
        <v/>
      </c>
      <c r="O4356" s="94">
        <f>VLOOKUP($Q4356,매칭테이블!$F:$I,4,0)*K4356</f>
        <v/>
      </c>
      <c r="P4356" s="148">
        <f>M4356/1.1</f>
        <v/>
      </c>
      <c r="Q4356" s="94">
        <f>F4356&amp;E4356&amp;G4356&amp;L4356</f>
        <v/>
      </c>
    </row>
    <row r="4357">
      <c r="A4357" s="94" t="n"/>
      <c r="B4357" s="128" t="n">
        <v>43839</v>
      </c>
      <c r="C4357" s="94">
        <f>TEXT(B4357,"aaa")</f>
        <v/>
      </c>
      <c r="D4357" s="94" t="n"/>
      <c r="E4357" s="94" t="inlineStr">
        <is>
          <t>토너</t>
        </is>
      </c>
      <c r="F4357" s="94" t="inlineStr">
        <is>
          <t>큐텐</t>
        </is>
      </c>
      <c r="G4357" s="94" t="inlineStr">
        <is>
          <t>250ml 2set</t>
        </is>
      </c>
      <c r="H4357" s="7" t="n">
        <v>190801</v>
      </c>
      <c r="I4357" s="7" t="n">
        <v>190801</v>
      </c>
      <c r="J4357" s="94" t="n"/>
      <c r="K4357" s="149" t="n">
        <v>1</v>
      </c>
      <c r="L4357" s="92" t="n">
        <v>190801</v>
      </c>
      <c r="M4357" s="94">
        <f>VLOOKUP($Q4357,매칭테이블!$F:$I,2,0)*K4357</f>
        <v/>
      </c>
      <c r="N4357" s="94">
        <f>M4357-M4357*VLOOKUP($Q4357,매칭테이블!$F:$I,3,0)</f>
        <v/>
      </c>
      <c r="O4357" s="94">
        <f>VLOOKUP($Q4357,매칭테이블!$F:$I,4,0)*K4357</f>
        <v/>
      </c>
      <c r="P4357" s="148">
        <f>M4357/1.1</f>
        <v/>
      </c>
      <c r="Q4357" s="94">
        <f>F4357&amp;E4357&amp;G4357&amp;L4357</f>
        <v/>
      </c>
    </row>
    <row r="4358">
      <c r="A4358" s="94" t="n"/>
      <c r="B4358" s="128" t="n">
        <v>43840</v>
      </c>
      <c r="C4358" s="94">
        <f>TEXT(B4358,"aaa")</f>
        <v/>
      </c>
      <c r="D4358" s="94" t="n"/>
      <c r="E4358" s="6" t="inlineStr">
        <is>
          <t>토너</t>
        </is>
      </c>
      <c r="F4358" s="5" t="inlineStr">
        <is>
          <t>W컨셉</t>
        </is>
      </c>
      <c r="G4358" s="5" t="inlineStr">
        <is>
          <t>250ml</t>
        </is>
      </c>
      <c r="H4358" s="7" t="n">
        <v>190801</v>
      </c>
      <c r="I4358" s="7" t="n">
        <v>190801</v>
      </c>
      <c r="J4358" s="94" t="n"/>
      <c r="K4358" s="149" t="n">
        <v>3</v>
      </c>
      <c r="L4358" s="7" t="n">
        <v>190801</v>
      </c>
      <c r="M4358" s="94">
        <f>VLOOKUP($Q4358,매칭테이블!$F:$I,2,0)*K4358</f>
        <v/>
      </c>
      <c r="N4358" s="94">
        <f>M4358-M4358*VLOOKUP($Q4358,매칭테이블!$F:$I,3,0)</f>
        <v/>
      </c>
      <c r="O4358" s="94">
        <f>VLOOKUP($Q4358,매칭테이블!$F:$I,4,0)*K4358</f>
        <v/>
      </c>
      <c r="P4358" s="148">
        <f>M4358/1.1</f>
        <v/>
      </c>
      <c r="Q4358" s="94">
        <f>F4358&amp;E4358&amp;G4358&amp;L4358</f>
        <v/>
      </c>
    </row>
    <row r="4359">
      <c r="A4359" s="94" t="n"/>
      <c r="B4359" s="128" t="n">
        <v>43840</v>
      </c>
      <c r="C4359" s="94">
        <f>TEXT(B4359,"aaa")</f>
        <v/>
      </c>
      <c r="D4359" s="94" t="n"/>
      <c r="E4359" s="6" t="inlineStr">
        <is>
          <t>토너</t>
        </is>
      </c>
      <c r="F4359" s="5" t="inlineStr">
        <is>
          <t>W컨셉</t>
        </is>
      </c>
      <c r="G4359" s="5" t="inlineStr">
        <is>
          <t>250ml 2set</t>
        </is>
      </c>
      <c r="H4359" s="7" t="n">
        <v>190801</v>
      </c>
      <c r="I4359" s="7" t="n">
        <v>190801</v>
      </c>
      <c r="J4359" s="94" t="n"/>
      <c r="K4359" s="149" t="n">
        <v>13</v>
      </c>
      <c r="L4359" s="7" t="n">
        <v>190801</v>
      </c>
      <c r="M4359" s="94">
        <f>VLOOKUP($Q4359,매칭테이블!$F:$I,2,0)*K4359</f>
        <v/>
      </c>
      <c r="N4359" s="94">
        <f>M4359-M4359*VLOOKUP($Q4359,매칭테이블!$F:$I,3,0)</f>
        <v/>
      </c>
      <c r="O4359" s="94">
        <f>VLOOKUP($Q4359,매칭테이블!$F:$I,4,0)*K4359</f>
        <v/>
      </c>
      <c r="P4359" s="148">
        <f>M4359/1.1</f>
        <v/>
      </c>
      <c r="Q4359" s="94">
        <f>F4359&amp;E4359&amp;G4359&amp;L4359</f>
        <v/>
      </c>
    </row>
    <row r="4360">
      <c r="A4360" s="94" t="n"/>
      <c r="B4360" s="128" t="n">
        <v>43840</v>
      </c>
      <c r="C4360" s="94">
        <f>TEXT(B4360,"aaa")</f>
        <v/>
      </c>
      <c r="D4360" s="94" t="n"/>
      <c r="E4360" s="6" t="inlineStr">
        <is>
          <t>머드크림마스크</t>
        </is>
      </c>
      <c r="F4360" s="94" t="inlineStr">
        <is>
          <t>아누아 CS</t>
        </is>
      </c>
      <c r="G4360" s="94" t="inlineStr">
        <is>
          <t>머드크림마스크 100ml</t>
        </is>
      </c>
      <c r="H4360" s="7" t="n">
        <v>190801</v>
      </c>
      <c r="I4360" s="7" t="n">
        <v>190801</v>
      </c>
      <c r="J4360" s="94" t="n"/>
      <c r="K4360" s="149" t="n">
        <v>20</v>
      </c>
      <c r="L4360" s="94" t="n">
        <v>190801</v>
      </c>
      <c r="M4360" s="94">
        <f>VLOOKUP($Q4360,매칭테이블!$F:$I,2,0)*K4360</f>
        <v/>
      </c>
      <c r="N4360" s="94">
        <f>M4360-M4360*VLOOKUP($Q4360,매칭테이블!$F:$I,3,0)</f>
        <v/>
      </c>
      <c r="O4360" s="94">
        <f>VLOOKUP($Q4360,매칭테이블!$F:$I,4,0)*K4360</f>
        <v/>
      </c>
      <c r="P4360" s="148">
        <f>M4360/1.1</f>
        <v/>
      </c>
      <c r="Q4360" s="94">
        <f>F4360&amp;E4360&amp;G4360&amp;L4360</f>
        <v/>
      </c>
    </row>
    <row r="4361">
      <c r="A4361" s="94" t="n"/>
      <c r="B4361" s="128" t="n">
        <v>43840</v>
      </c>
      <c r="C4361" s="94">
        <f>TEXT(B4361,"aaa")</f>
        <v/>
      </c>
      <c r="D4361" s="94" t="n"/>
      <c r="E4361" s="6" t="inlineStr">
        <is>
          <t>토너</t>
        </is>
      </c>
      <c r="F4361" s="5" t="inlineStr">
        <is>
          <t>카페24</t>
        </is>
      </c>
      <c r="G4361" s="5" t="inlineStr">
        <is>
          <t>500ml</t>
        </is>
      </c>
      <c r="H4361" s="7" t="n">
        <v>190801</v>
      </c>
      <c r="I4361" s="7" t="n">
        <v>190801</v>
      </c>
      <c r="J4361" s="94" t="n"/>
      <c r="K4361" s="149" t="n">
        <v>27</v>
      </c>
      <c r="L4361" s="7" t="n">
        <v>190801</v>
      </c>
      <c r="M4361" s="94">
        <f>VLOOKUP($Q4361,매칭테이블!$F:$I,2,0)*K4361</f>
        <v/>
      </c>
      <c r="N4361" s="94">
        <f>M4361-M4361*VLOOKUP($Q4361,매칭테이블!$F:$I,3,0)</f>
        <v/>
      </c>
      <c r="O4361" s="94">
        <f>VLOOKUP($Q4361,매칭테이블!$F:$I,4,0)*K4361</f>
        <v/>
      </c>
      <c r="P4361" s="148">
        <f>M4361/1.1</f>
        <v/>
      </c>
      <c r="Q4361" s="94">
        <f>F4361&amp;E4361&amp;G4361&amp;L4361</f>
        <v/>
      </c>
    </row>
    <row r="4362">
      <c r="A4362" s="94" t="n"/>
      <c r="B4362" s="128" t="n">
        <v>43840</v>
      </c>
      <c r="C4362" s="94">
        <f>TEXT(B4362,"aaa")</f>
        <v/>
      </c>
      <c r="D4362" s="94" t="n"/>
      <c r="E4362" s="6" t="inlineStr">
        <is>
          <t>토너</t>
        </is>
      </c>
      <c r="F4362" s="5" t="inlineStr">
        <is>
          <t>카페24</t>
        </is>
      </c>
      <c r="G4362" s="5" t="inlineStr">
        <is>
          <t>250ml</t>
        </is>
      </c>
      <c r="H4362" s="7" t="n">
        <v>190801</v>
      </c>
      <c r="I4362" s="7" t="n">
        <v>190801</v>
      </c>
      <c r="J4362" s="94" t="n"/>
      <c r="K4362" s="149" t="n">
        <v>29</v>
      </c>
      <c r="L4362" s="7" t="n">
        <v>190801</v>
      </c>
      <c r="M4362" s="94">
        <f>VLOOKUP($Q4362,매칭테이블!$F:$I,2,0)*K4362</f>
        <v/>
      </c>
      <c r="N4362" s="94">
        <f>M4362-M4362*VLOOKUP($Q4362,매칭테이블!$F:$I,3,0)</f>
        <v/>
      </c>
      <c r="O4362" s="94">
        <f>VLOOKUP($Q4362,매칭테이블!$F:$I,4,0)*K4362</f>
        <v/>
      </c>
      <c r="P4362" s="148">
        <f>M4362/1.1</f>
        <v/>
      </c>
      <c r="Q4362" s="94">
        <f>F4362&amp;E4362&amp;G4362&amp;L4362</f>
        <v/>
      </c>
    </row>
    <row r="4363">
      <c r="A4363" s="94" t="n"/>
      <c r="B4363" s="128" t="n">
        <v>43840</v>
      </c>
      <c r="C4363" s="94">
        <f>TEXT(B4363,"aaa")</f>
        <v/>
      </c>
      <c r="D4363" s="94" t="n"/>
      <c r="E4363" s="6" t="inlineStr">
        <is>
          <t>토너</t>
        </is>
      </c>
      <c r="F4363" s="5" t="inlineStr">
        <is>
          <t>카페24</t>
        </is>
      </c>
      <c r="G4363" s="5" t="inlineStr">
        <is>
          <t>250ml 2set</t>
        </is>
      </c>
      <c r="H4363" s="7" t="n">
        <v>190801</v>
      </c>
      <c r="I4363" s="7" t="n">
        <v>190801</v>
      </c>
      <c r="J4363" s="94" t="n"/>
      <c r="K4363" s="149" t="n">
        <v>31</v>
      </c>
      <c r="L4363" s="7" t="n">
        <v>190801</v>
      </c>
      <c r="M4363" s="94">
        <f>VLOOKUP($Q4363,매칭테이블!$F:$I,2,0)*K4363</f>
        <v/>
      </c>
      <c r="N4363" s="94">
        <f>M4363-M4363*VLOOKUP($Q4363,매칭테이블!$F:$I,3,0)</f>
        <v/>
      </c>
      <c r="O4363" s="94">
        <f>VLOOKUP($Q4363,매칭테이블!$F:$I,4,0)*K4363</f>
        <v/>
      </c>
      <c r="P4363" s="148">
        <f>M4363/1.1</f>
        <v/>
      </c>
      <c r="Q4363" s="94">
        <f>F4363&amp;E4363&amp;G4363&amp;L4363</f>
        <v/>
      </c>
    </row>
    <row r="4364">
      <c r="A4364" s="94" t="n"/>
      <c r="B4364" s="128" t="n">
        <v>43840</v>
      </c>
      <c r="C4364" s="94">
        <f>TEXT(B4364,"aaa")</f>
        <v/>
      </c>
      <c r="D4364" s="94" t="n"/>
      <c r="E4364" s="94" t="inlineStr">
        <is>
          <t>토너</t>
        </is>
      </c>
      <c r="F4364" s="94" t="inlineStr">
        <is>
          <t>큐텐</t>
        </is>
      </c>
      <c r="G4364" s="94" t="inlineStr">
        <is>
          <t>250ml</t>
        </is>
      </c>
      <c r="H4364" s="7" t="n">
        <v>190801</v>
      </c>
      <c r="I4364" s="7" t="n">
        <v>190801</v>
      </c>
      <c r="J4364" s="94" t="n"/>
      <c r="K4364" s="149" t="n">
        <v>1</v>
      </c>
      <c r="L4364" s="92" t="n">
        <v>190801</v>
      </c>
      <c r="M4364" s="94">
        <f>VLOOKUP($Q4364,매칭테이블!$F:$I,2,0)*K4364</f>
        <v/>
      </c>
      <c r="N4364" s="94">
        <f>M4364-M4364*VLOOKUP($Q4364,매칭테이블!$F:$I,3,0)</f>
        <v/>
      </c>
      <c r="O4364" s="94">
        <f>VLOOKUP($Q4364,매칭테이블!$F:$I,4,0)*K4364</f>
        <v/>
      </c>
      <c r="P4364" s="148">
        <f>M4364/1.1</f>
        <v/>
      </c>
      <c r="Q4364" s="94">
        <f>F4364&amp;E4364&amp;G4364&amp;L4364</f>
        <v/>
      </c>
    </row>
    <row r="4365">
      <c r="A4365" s="94" t="n"/>
      <c r="B4365" s="128" t="n">
        <v>43840</v>
      </c>
      <c r="C4365" s="94">
        <f>TEXT(B4365,"aaa")</f>
        <v/>
      </c>
      <c r="D4365" s="94" t="n"/>
      <c r="E4365" s="94" t="inlineStr">
        <is>
          <t>토너</t>
        </is>
      </c>
      <c r="F4365" s="94" t="inlineStr">
        <is>
          <t>큐텐</t>
        </is>
      </c>
      <c r="G4365" s="94" t="inlineStr">
        <is>
          <t>250ml 2set</t>
        </is>
      </c>
      <c r="H4365" s="7" t="n">
        <v>190801</v>
      </c>
      <c r="I4365" s="7" t="n">
        <v>190801</v>
      </c>
      <c r="J4365" s="94" t="n"/>
      <c r="K4365" s="149" t="n">
        <v>1</v>
      </c>
      <c r="L4365" s="92" t="n">
        <v>190801</v>
      </c>
      <c r="M4365" s="94">
        <f>VLOOKUP($Q4365,매칭테이블!$F:$I,2,0)*K4365</f>
        <v/>
      </c>
      <c r="N4365" s="94">
        <f>M4365-M4365*VLOOKUP($Q4365,매칭테이블!$F:$I,3,0)</f>
        <v/>
      </c>
      <c r="O4365" s="94">
        <f>VLOOKUP($Q4365,매칭테이블!$F:$I,4,0)*K4365</f>
        <v/>
      </c>
      <c r="P4365" s="148">
        <f>M4365/1.1</f>
        <v/>
      </c>
      <c r="Q4365" s="94">
        <f>F4365&amp;E4365&amp;G4365&amp;L4365</f>
        <v/>
      </c>
    </row>
    <row r="4366">
      <c r="A4366" s="94" t="n"/>
      <c r="B4366" s="128" t="n">
        <v>43841</v>
      </c>
      <c r="C4366" s="94">
        <f>TEXT(B4366,"aaa")</f>
        <v/>
      </c>
      <c r="D4366" s="94" t="n"/>
      <c r="E4366" s="94" t="inlineStr">
        <is>
          <t>머드크림마스크</t>
        </is>
      </c>
      <c r="F4366" s="94" t="inlineStr">
        <is>
          <t>카페24</t>
        </is>
      </c>
      <c r="G4366" s="94" t="inlineStr">
        <is>
          <t>머드크림마스크 100ml</t>
        </is>
      </c>
      <c r="H4366" s="7" t="n">
        <v>190801</v>
      </c>
      <c r="I4366" s="7" t="n">
        <v>190801</v>
      </c>
      <c r="J4366" s="94" t="n"/>
      <c r="K4366" s="149" t="n">
        <v>1</v>
      </c>
      <c r="L4366" s="94" t="n">
        <v>190801</v>
      </c>
      <c r="M4366" s="94">
        <f>VLOOKUP($Q4366,매칭테이블!$F:$I,2,0)*K4366</f>
        <v/>
      </c>
      <c r="N4366" s="94">
        <f>M4366-M4366*VLOOKUP($Q4366,매칭테이블!$F:$I,3,0)</f>
        <v/>
      </c>
      <c r="O4366" s="94">
        <f>VLOOKUP($Q4366,매칭테이블!$F:$I,4,0)*K4366</f>
        <v/>
      </c>
      <c r="P4366" s="148">
        <f>M4366/1.1</f>
        <v/>
      </c>
      <c r="Q4366" s="94">
        <f>F4366&amp;E4366&amp;G4366&amp;L4366</f>
        <v/>
      </c>
    </row>
    <row r="4367">
      <c r="A4367" s="94" t="n"/>
      <c r="B4367" s="128" t="n">
        <v>43841</v>
      </c>
      <c r="C4367" s="94">
        <f>TEXT(B4367,"aaa")</f>
        <v/>
      </c>
      <c r="D4367" s="94" t="n"/>
      <c r="E4367" s="6" t="inlineStr">
        <is>
          <t>토너</t>
        </is>
      </c>
      <c r="F4367" s="5" t="inlineStr">
        <is>
          <t>카페24</t>
        </is>
      </c>
      <c r="G4367" s="5" t="inlineStr">
        <is>
          <t>500ml</t>
        </is>
      </c>
      <c r="H4367" s="7" t="n">
        <v>190801</v>
      </c>
      <c r="I4367" s="7" t="n">
        <v>190801</v>
      </c>
      <c r="J4367" s="94" t="n"/>
      <c r="K4367" s="149" t="n">
        <v>33</v>
      </c>
      <c r="L4367" s="7" t="n">
        <v>190801</v>
      </c>
      <c r="M4367" s="94">
        <f>VLOOKUP($Q4367,매칭테이블!$F:$I,2,0)*K4367</f>
        <v/>
      </c>
      <c r="N4367" s="94">
        <f>M4367-M4367*VLOOKUP($Q4367,매칭테이블!$F:$I,3,0)</f>
        <v/>
      </c>
      <c r="O4367" s="94">
        <f>VLOOKUP($Q4367,매칭테이블!$F:$I,4,0)*K4367</f>
        <v/>
      </c>
      <c r="P4367" s="148">
        <f>M4367/1.1</f>
        <v/>
      </c>
      <c r="Q4367" s="94">
        <f>F4367&amp;E4367&amp;G4367&amp;L4367</f>
        <v/>
      </c>
    </row>
    <row r="4368">
      <c r="A4368" s="94" t="n"/>
      <c r="B4368" s="128" t="n">
        <v>43841</v>
      </c>
      <c r="C4368" s="94">
        <f>TEXT(B4368,"aaa")</f>
        <v/>
      </c>
      <c r="D4368" s="94" t="n"/>
      <c r="E4368" s="6" t="inlineStr">
        <is>
          <t>토너</t>
        </is>
      </c>
      <c r="F4368" s="5" t="inlineStr">
        <is>
          <t>카페24</t>
        </is>
      </c>
      <c r="G4368" s="5" t="inlineStr">
        <is>
          <t>250ml</t>
        </is>
      </c>
      <c r="H4368" s="7" t="n">
        <v>190801</v>
      </c>
      <c r="I4368" s="7" t="n">
        <v>190801</v>
      </c>
      <c r="J4368" s="94" t="n"/>
      <c r="K4368" s="149" t="n">
        <v>28</v>
      </c>
      <c r="L4368" s="7" t="n">
        <v>190801</v>
      </c>
      <c r="M4368" s="94">
        <f>VLOOKUP($Q4368,매칭테이블!$F:$I,2,0)*K4368</f>
        <v/>
      </c>
      <c r="N4368" s="94">
        <f>M4368-M4368*VLOOKUP($Q4368,매칭테이블!$F:$I,3,0)</f>
        <v/>
      </c>
      <c r="O4368" s="94">
        <f>VLOOKUP($Q4368,매칭테이블!$F:$I,4,0)*K4368</f>
        <v/>
      </c>
      <c r="P4368" s="148">
        <f>M4368/1.1</f>
        <v/>
      </c>
      <c r="Q4368" s="94">
        <f>F4368&amp;E4368&amp;G4368&amp;L4368</f>
        <v/>
      </c>
    </row>
    <row r="4369">
      <c r="A4369" s="94" t="n"/>
      <c r="B4369" s="128" t="n">
        <v>43841</v>
      </c>
      <c r="C4369" s="94">
        <f>TEXT(B4369,"aaa")</f>
        <v/>
      </c>
      <c r="D4369" s="94" t="n"/>
      <c r="E4369" s="6" t="inlineStr">
        <is>
          <t>토너</t>
        </is>
      </c>
      <c r="F4369" s="5" t="inlineStr">
        <is>
          <t>카페24</t>
        </is>
      </c>
      <c r="G4369" s="5" t="inlineStr">
        <is>
          <t>250ml 2set</t>
        </is>
      </c>
      <c r="H4369" s="7" t="n">
        <v>190801</v>
      </c>
      <c r="I4369" s="7" t="n">
        <v>190801</v>
      </c>
      <c r="J4369" s="94" t="n"/>
      <c r="K4369" s="149" t="n">
        <v>16</v>
      </c>
      <c r="L4369" s="7" t="n">
        <v>190801</v>
      </c>
      <c r="M4369" s="94">
        <f>VLOOKUP($Q4369,매칭테이블!$F:$I,2,0)*K4369</f>
        <v/>
      </c>
      <c r="N4369" s="94">
        <f>M4369-M4369*VLOOKUP($Q4369,매칭테이블!$F:$I,3,0)</f>
        <v/>
      </c>
      <c r="O4369" s="94">
        <f>VLOOKUP($Q4369,매칭테이블!$F:$I,4,0)*K4369</f>
        <v/>
      </c>
      <c r="P4369" s="148">
        <f>M4369/1.1</f>
        <v/>
      </c>
      <c r="Q4369" s="94">
        <f>F4369&amp;E4369&amp;G4369&amp;L4369</f>
        <v/>
      </c>
    </row>
    <row r="4370">
      <c r="A4370" s="94" t="n"/>
      <c r="B4370" s="128" t="n">
        <v>43842</v>
      </c>
      <c r="C4370" s="94">
        <f>TEXT(B4370,"aaa")</f>
        <v/>
      </c>
      <c r="D4370" s="94" t="n"/>
      <c r="E4370" s="6" t="inlineStr">
        <is>
          <t>토너</t>
        </is>
      </c>
      <c r="F4370" s="5" t="inlineStr">
        <is>
          <t>W컨셉</t>
        </is>
      </c>
      <c r="G4370" s="5" t="inlineStr">
        <is>
          <t>250ml</t>
        </is>
      </c>
      <c r="H4370" s="7" t="n">
        <v>190801</v>
      </c>
      <c r="I4370" s="7" t="n">
        <v>190801</v>
      </c>
      <c r="J4370" s="94" t="n"/>
      <c r="K4370" s="149" t="n">
        <v>1</v>
      </c>
      <c r="L4370" s="7" t="n">
        <v>190801</v>
      </c>
      <c r="M4370" s="94">
        <f>VLOOKUP($Q4370,매칭테이블!$F:$I,2,0)*K4370</f>
        <v/>
      </c>
      <c r="N4370" s="94">
        <f>M4370-M4370*VLOOKUP($Q4370,매칭테이블!$F:$I,3,0)</f>
        <v/>
      </c>
      <c r="O4370" s="94">
        <f>VLOOKUP($Q4370,매칭테이블!$F:$I,4,0)*K4370</f>
        <v/>
      </c>
      <c r="P4370" s="148">
        <f>M4370/1.1</f>
        <v/>
      </c>
      <c r="Q4370" s="94">
        <f>F4370&amp;E4370&amp;G4370&amp;L4370</f>
        <v/>
      </c>
    </row>
    <row r="4371">
      <c r="A4371" s="94" t="n"/>
      <c r="B4371" s="128" t="n">
        <v>43842</v>
      </c>
      <c r="C4371" s="94">
        <f>TEXT(B4371,"aaa")</f>
        <v/>
      </c>
      <c r="D4371" s="94" t="n"/>
      <c r="E4371" s="6" t="inlineStr">
        <is>
          <t>토너</t>
        </is>
      </c>
      <c r="F4371" s="5" t="inlineStr">
        <is>
          <t>W컨셉</t>
        </is>
      </c>
      <c r="G4371" s="5" t="inlineStr">
        <is>
          <t>250ml 2set</t>
        </is>
      </c>
      <c r="H4371" s="7" t="n">
        <v>190801</v>
      </c>
      <c r="I4371" s="7" t="n">
        <v>190801</v>
      </c>
      <c r="J4371" s="94" t="n"/>
      <c r="K4371" s="149" t="n">
        <v>4</v>
      </c>
      <c r="L4371" s="7" t="n">
        <v>190801</v>
      </c>
      <c r="M4371" s="94">
        <f>VLOOKUP($Q4371,매칭테이블!$F:$I,2,0)*K4371</f>
        <v/>
      </c>
      <c r="N4371" s="94">
        <f>M4371-M4371*VLOOKUP($Q4371,매칭테이블!$F:$I,3,0)</f>
        <v/>
      </c>
      <c r="O4371" s="94">
        <f>VLOOKUP($Q4371,매칭테이블!$F:$I,4,0)*K4371</f>
        <v/>
      </c>
      <c r="P4371" s="148">
        <f>M4371/1.1</f>
        <v/>
      </c>
      <c r="Q4371" s="94">
        <f>F4371&amp;E4371&amp;G4371&amp;L4371</f>
        <v/>
      </c>
    </row>
    <row r="4372">
      <c r="A4372" s="94" t="n"/>
      <c r="B4372" s="128" t="n">
        <v>43842</v>
      </c>
      <c r="C4372" s="94">
        <f>TEXT(B4372,"aaa")</f>
        <v/>
      </c>
      <c r="D4372" s="94" t="n"/>
      <c r="E4372" s="94" t="inlineStr">
        <is>
          <t>머드크림마스크</t>
        </is>
      </c>
      <c r="F4372" s="94" t="inlineStr">
        <is>
          <t>카페24</t>
        </is>
      </c>
      <c r="G4372" s="94" t="inlineStr">
        <is>
          <t>머드크림마스크 100ml</t>
        </is>
      </c>
      <c r="H4372" s="7" t="n">
        <v>190801</v>
      </c>
      <c r="I4372" s="7" t="n">
        <v>190801</v>
      </c>
      <c r="J4372" s="94" t="n"/>
      <c r="K4372" s="149" t="n">
        <v>2</v>
      </c>
      <c r="L4372" s="94" t="n">
        <v>190801</v>
      </c>
      <c r="M4372" s="94">
        <f>VLOOKUP($Q4372,매칭테이블!$F:$I,2,0)*K4372</f>
        <v/>
      </c>
      <c r="N4372" s="94">
        <f>M4372-M4372*VLOOKUP($Q4372,매칭테이블!$F:$I,3,0)</f>
        <v/>
      </c>
      <c r="O4372" s="94">
        <f>VLOOKUP($Q4372,매칭테이블!$F:$I,4,0)*K4372</f>
        <v/>
      </c>
      <c r="P4372" s="148">
        <f>M4372/1.1</f>
        <v/>
      </c>
      <c r="Q4372" s="94">
        <f>F4372&amp;E4372&amp;G4372&amp;L4372</f>
        <v/>
      </c>
    </row>
    <row r="4373">
      <c r="A4373" s="94" t="n"/>
      <c r="B4373" s="128" t="n">
        <v>43842</v>
      </c>
      <c r="C4373" s="94">
        <f>TEXT(B4373,"aaa")</f>
        <v/>
      </c>
      <c r="D4373" s="94" t="n"/>
      <c r="E4373" s="6" t="inlineStr">
        <is>
          <t>토너</t>
        </is>
      </c>
      <c r="F4373" s="5" t="inlineStr">
        <is>
          <t>카페24</t>
        </is>
      </c>
      <c r="G4373" s="5" t="inlineStr">
        <is>
          <t>500ml</t>
        </is>
      </c>
      <c r="H4373" s="7" t="n">
        <v>190801</v>
      </c>
      <c r="I4373" s="7" t="n">
        <v>190801</v>
      </c>
      <c r="J4373" s="94" t="n"/>
      <c r="K4373" s="149" t="n">
        <v>42</v>
      </c>
      <c r="L4373" s="7" t="n">
        <v>190801</v>
      </c>
      <c r="M4373" s="94">
        <f>VLOOKUP($Q4373,매칭테이블!$F:$I,2,0)*K4373</f>
        <v/>
      </c>
      <c r="N4373" s="94">
        <f>M4373-M4373*VLOOKUP($Q4373,매칭테이블!$F:$I,3,0)</f>
        <v/>
      </c>
      <c r="O4373" s="94">
        <f>VLOOKUP($Q4373,매칭테이블!$F:$I,4,0)*K4373</f>
        <v/>
      </c>
      <c r="P4373" s="148">
        <f>M4373/1.1</f>
        <v/>
      </c>
      <c r="Q4373" s="94">
        <f>F4373&amp;E4373&amp;G4373&amp;L4373</f>
        <v/>
      </c>
    </row>
    <row r="4374">
      <c r="A4374" s="94" t="n"/>
      <c r="B4374" s="128" t="n">
        <v>43842</v>
      </c>
      <c r="C4374" s="94">
        <f>TEXT(B4374,"aaa")</f>
        <v/>
      </c>
      <c r="D4374" s="94" t="n"/>
      <c r="E4374" s="6" t="inlineStr">
        <is>
          <t>토너</t>
        </is>
      </c>
      <c r="F4374" s="5" t="inlineStr">
        <is>
          <t>카페24</t>
        </is>
      </c>
      <c r="G4374" s="5" t="inlineStr">
        <is>
          <t>250ml</t>
        </is>
      </c>
      <c r="H4374" s="7" t="n">
        <v>190801</v>
      </c>
      <c r="I4374" s="7" t="n">
        <v>190801</v>
      </c>
      <c r="J4374" s="94" t="n"/>
      <c r="K4374" s="149" t="n">
        <v>41</v>
      </c>
      <c r="L4374" s="7" t="n">
        <v>190801</v>
      </c>
      <c r="M4374" s="94">
        <f>VLOOKUP($Q4374,매칭테이블!$F:$I,2,0)*K4374</f>
        <v/>
      </c>
      <c r="N4374" s="94">
        <f>M4374-M4374*VLOOKUP($Q4374,매칭테이블!$F:$I,3,0)</f>
        <v/>
      </c>
      <c r="O4374" s="94">
        <f>VLOOKUP($Q4374,매칭테이블!$F:$I,4,0)*K4374</f>
        <v/>
      </c>
      <c r="P4374" s="148">
        <f>M4374/1.1</f>
        <v/>
      </c>
      <c r="Q4374" s="94">
        <f>F4374&amp;E4374&amp;G4374&amp;L4374</f>
        <v/>
      </c>
    </row>
    <row r="4375">
      <c r="A4375" s="94" t="n"/>
      <c r="B4375" s="128" t="n">
        <v>43842</v>
      </c>
      <c r="C4375" s="94">
        <f>TEXT(B4375,"aaa")</f>
        <v/>
      </c>
      <c r="D4375" s="94" t="n"/>
      <c r="E4375" s="6" t="inlineStr">
        <is>
          <t>토너</t>
        </is>
      </c>
      <c r="F4375" s="5" t="inlineStr">
        <is>
          <t>카페24</t>
        </is>
      </c>
      <c r="G4375" s="5" t="inlineStr">
        <is>
          <t>250ml 2set</t>
        </is>
      </c>
      <c r="H4375" s="7" t="n">
        <v>190801</v>
      </c>
      <c r="I4375" s="7" t="n">
        <v>190801</v>
      </c>
      <c r="J4375" s="94" t="n"/>
      <c r="K4375" s="149" t="n">
        <v>23</v>
      </c>
      <c r="L4375" s="7" t="n">
        <v>190801</v>
      </c>
      <c r="M4375" s="94">
        <f>VLOOKUP($Q4375,매칭테이블!$F:$I,2,0)*K4375</f>
        <v/>
      </c>
      <c r="N4375" s="94">
        <f>M4375-M4375*VLOOKUP($Q4375,매칭테이블!$F:$I,3,0)</f>
        <v/>
      </c>
      <c r="O4375" s="94">
        <f>VLOOKUP($Q4375,매칭테이블!$F:$I,4,0)*K4375</f>
        <v/>
      </c>
      <c r="P4375" s="148">
        <f>M4375/1.1</f>
        <v/>
      </c>
      <c r="Q4375" s="94">
        <f>F4375&amp;E4375&amp;G4375&amp;L4375</f>
        <v/>
      </c>
    </row>
    <row r="4376">
      <c r="A4376" s="94" t="n"/>
      <c r="B4376" s="128" t="n">
        <v>43843</v>
      </c>
      <c r="C4376" s="94">
        <f>TEXT(B4376,"aaa")</f>
        <v/>
      </c>
      <c r="D4376" s="94" t="n"/>
      <c r="E4376" s="6" t="inlineStr">
        <is>
          <t>토너</t>
        </is>
      </c>
      <c r="F4376" s="5" t="inlineStr">
        <is>
          <t>W컨셉</t>
        </is>
      </c>
      <c r="G4376" s="5" t="inlineStr">
        <is>
          <t>250ml</t>
        </is>
      </c>
      <c r="H4376" s="7" t="n">
        <v>190801</v>
      </c>
      <c r="I4376" s="7" t="n">
        <v>190801</v>
      </c>
      <c r="J4376" s="94" t="n"/>
      <c r="K4376" s="149" t="n">
        <v>4</v>
      </c>
      <c r="L4376" s="7" t="n">
        <v>190801</v>
      </c>
      <c r="M4376" s="94">
        <f>VLOOKUP($Q4376,매칭테이블!$F:$I,2,0)*K4376</f>
        <v/>
      </c>
      <c r="N4376" s="94">
        <f>M4376-M4376*VLOOKUP($Q4376,매칭테이블!$F:$I,3,0)</f>
        <v/>
      </c>
      <c r="O4376" s="94">
        <f>VLOOKUP($Q4376,매칭테이블!$F:$I,4,0)*K4376</f>
        <v/>
      </c>
      <c r="P4376" s="148">
        <f>M4376/1.1</f>
        <v/>
      </c>
      <c r="Q4376" s="94">
        <f>F4376&amp;E4376&amp;G4376&amp;L4376</f>
        <v/>
      </c>
    </row>
    <row r="4377">
      <c r="A4377" s="94" t="n"/>
      <c r="B4377" s="128" t="n">
        <v>43843</v>
      </c>
      <c r="C4377" s="94">
        <f>TEXT(B4377,"aaa")</f>
        <v/>
      </c>
      <c r="D4377" s="94" t="n"/>
      <c r="E4377" s="6" t="inlineStr">
        <is>
          <t>토너</t>
        </is>
      </c>
      <c r="F4377" s="5" t="inlineStr">
        <is>
          <t>W컨셉</t>
        </is>
      </c>
      <c r="G4377" s="5" t="inlineStr">
        <is>
          <t>250ml 2set</t>
        </is>
      </c>
      <c r="H4377" s="7" t="n">
        <v>190801</v>
      </c>
      <c r="I4377" s="7" t="n">
        <v>190801</v>
      </c>
      <c r="J4377" s="94" t="n"/>
      <c r="K4377" s="149" t="n">
        <v>6</v>
      </c>
      <c r="L4377" s="7" t="n">
        <v>190801</v>
      </c>
      <c r="M4377" s="94">
        <f>VLOOKUP($Q4377,매칭테이블!$F:$I,2,0)*K4377</f>
        <v/>
      </c>
      <c r="N4377" s="94">
        <f>M4377-M4377*VLOOKUP($Q4377,매칭테이블!$F:$I,3,0)</f>
        <v/>
      </c>
      <c r="O4377" s="94">
        <f>VLOOKUP($Q4377,매칭테이블!$F:$I,4,0)*K4377</f>
        <v/>
      </c>
      <c r="P4377" s="148">
        <f>M4377/1.1</f>
        <v/>
      </c>
      <c r="Q4377" s="94">
        <f>F4377&amp;E4377&amp;G4377&amp;L4377</f>
        <v/>
      </c>
    </row>
    <row r="4378">
      <c r="A4378" s="94" t="n"/>
      <c r="B4378" s="128" t="n">
        <v>43843</v>
      </c>
      <c r="C4378" s="94">
        <f>TEXT(B4378,"aaa")</f>
        <v/>
      </c>
      <c r="D4378" s="94" t="n"/>
      <c r="E4378" s="94" t="inlineStr">
        <is>
          <t>머드크림마스크</t>
        </is>
      </c>
      <c r="F4378" s="94" t="inlineStr">
        <is>
          <t>카페24</t>
        </is>
      </c>
      <c r="G4378" s="94" t="inlineStr">
        <is>
          <t>머드크림마스크 100ml</t>
        </is>
      </c>
      <c r="H4378" s="7" t="n">
        <v>190801</v>
      </c>
      <c r="I4378" s="7" t="n">
        <v>190801</v>
      </c>
      <c r="J4378" s="94" t="n"/>
      <c r="K4378" s="149" t="n">
        <v>2</v>
      </c>
      <c r="L4378" s="94" t="n">
        <v>190801</v>
      </c>
      <c r="M4378" s="94">
        <f>VLOOKUP($Q4378,매칭테이블!$F:$I,2,0)*K4378</f>
        <v/>
      </c>
      <c r="N4378" s="94">
        <f>M4378-M4378*VLOOKUP($Q4378,매칭테이블!$F:$I,3,0)</f>
        <v/>
      </c>
      <c r="O4378" s="94">
        <f>VLOOKUP($Q4378,매칭테이블!$F:$I,4,0)*K4378</f>
        <v/>
      </c>
      <c r="P4378" s="148">
        <f>M4378/1.1</f>
        <v/>
      </c>
      <c r="Q4378" s="94">
        <f>F4378&amp;E4378&amp;G4378&amp;L4378</f>
        <v/>
      </c>
    </row>
    <row r="4379">
      <c r="A4379" s="94" t="n"/>
      <c r="B4379" s="128" t="n">
        <v>43843</v>
      </c>
      <c r="C4379" s="94">
        <f>TEXT(B4379,"aaa")</f>
        <v/>
      </c>
      <c r="D4379" s="94" t="n"/>
      <c r="E4379" s="6" t="inlineStr">
        <is>
          <t>토너</t>
        </is>
      </c>
      <c r="F4379" s="5" t="inlineStr">
        <is>
          <t>카페24</t>
        </is>
      </c>
      <c r="G4379" s="5" t="inlineStr">
        <is>
          <t>500ml</t>
        </is>
      </c>
      <c r="H4379" s="7" t="n">
        <v>190801</v>
      </c>
      <c r="I4379" s="7" t="n">
        <v>190801</v>
      </c>
      <c r="J4379" s="94" t="n"/>
      <c r="K4379" s="149" t="n">
        <v>90</v>
      </c>
      <c r="L4379" s="7" t="n">
        <v>190801</v>
      </c>
      <c r="M4379" s="94">
        <f>VLOOKUP($Q4379,매칭테이블!$F:$I,2,0)*K4379</f>
        <v/>
      </c>
      <c r="N4379" s="94">
        <f>M4379-M4379*VLOOKUP($Q4379,매칭테이블!$F:$I,3,0)</f>
        <v/>
      </c>
      <c r="O4379" s="94">
        <f>VLOOKUP($Q4379,매칭테이블!$F:$I,4,0)*K4379</f>
        <v/>
      </c>
      <c r="P4379" s="148">
        <f>M4379/1.1</f>
        <v/>
      </c>
      <c r="Q4379" s="94">
        <f>F4379&amp;E4379&amp;G4379&amp;L4379</f>
        <v/>
      </c>
    </row>
    <row r="4380">
      <c r="A4380" s="94" t="n"/>
      <c r="B4380" s="128" t="n">
        <v>43843</v>
      </c>
      <c r="C4380" s="94">
        <f>TEXT(B4380,"aaa")</f>
        <v/>
      </c>
      <c r="D4380" s="94" t="n"/>
      <c r="E4380" s="6" t="inlineStr">
        <is>
          <t>토너</t>
        </is>
      </c>
      <c r="F4380" s="5" t="inlineStr">
        <is>
          <t>카페24</t>
        </is>
      </c>
      <c r="G4380" s="5" t="inlineStr">
        <is>
          <t>250ml</t>
        </is>
      </c>
      <c r="H4380" s="7" t="n">
        <v>190801</v>
      </c>
      <c r="I4380" s="7" t="n">
        <v>190801</v>
      </c>
      <c r="J4380" s="94" t="n"/>
      <c r="K4380" s="149" t="n">
        <v>138</v>
      </c>
      <c r="L4380" s="7" t="n">
        <v>190801</v>
      </c>
      <c r="M4380" s="94">
        <f>VLOOKUP($Q4380,매칭테이블!$F:$I,2,0)*K4380</f>
        <v/>
      </c>
      <c r="N4380" s="94">
        <f>M4380-M4380*VLOOKUP($Q4380,매칭테이블!$F:$I,3,0)</f>
        <v/>
      </c>
      <c r="O4380" s="94">
        <f>VLOOKUP($Q4380,매칭테이블!$F:$I,4,0)*K4380</f>
        <v/>
      </c>
      <c r="P4380" s="148">
        <f>M4380/1.1</f>
        <v/>
      </c>
      <c r="Q4380" s="94">
        <f>F4380&amp;E4380&amp;G4380&amp;L4380</f>
        <v/>
      </c>
    </row>
    <row r="4381">
      <c r="A4381" s="94" t="n"/>
      <c r="B4381" s="128" t="n">
        <v>43843</v>
      </c>
      <c r="C4381" s="94">
        <f>TEXT(B4381,"aaa")</f>
        <v/>
      </c>
      <c r="D4381" s="94" t="n"/>
      <c r="E4381" s="6" t="inlineStr">
        <is>
          <t>토너</t>
        </is>
      </c>
      <c r="F4381" s="5" t="inlineStr">
        <is>
          <t>카페24</t>
        </is>
      </c>
      <c r="G4381" s="5" t="inlineStr">
        <is>
          <t>250ml 2set</t>
        </is>
      </c>
      <c r="H4381" s="7" t="n">
        <v>190801</v>
      </c>
      <c r="I4381" s="7" t="n">
        <v>190801</v>
      </c>
      <c r="J4381" s="94" t="n"/>
      <c r="K4381" s="149" t="n">
        <v>54</v>
      </c>
      <c r="L4381" s="7" t="n">
        <v>190801</v>
      </c>
      <c r="M4381" s="94">
        <f>VLOOKUP($Q4381,매칭테이블!$F:$I,2,0)*K4381</f>
        <v/>
      </c>
      <c r="N4381" s="94">
        <f>M4381-M4381*VLOOKUP($Q4381,매칭테이블!$F:$I,3,0)</f>
        <v/>
      </c>
      <c r="O4381" s="94">
        <f>VLOOKUP($Q4381,매칭테이블!$F:$I,4,0)*K4381</f>
        <v/>
      </c>
      <c r="P4381" s="148">
        <f>M4381/1.1</f>
        <v/>
      </c>
      <c r="Q4381" s="94">
        <f>F4381&amp;E4381&amp;G4381&amp;L4381</f>
        <v/>
      </c>
    </row>
    <row r="4382">
      <c r="A4382" s="94" t="n"/>
      <c r="B4382" s="128" t="n">
        <v>43843</v>
      </c>
      <c r="C4382" s="94">
        <f>TEXT(B4382,"aaa")</f>
        <v/>
      </c>
      <c r="D4382" s="94" t="n"/>
      <c r="E4382" s="94" t="inlineStr">
        <is>
          <t>토너</t>
        </is>
      </c>
      <c r="F4382" s="94" t="inlineStr">
        <is>
          <t>아누아 CS</t>
        </is>
      </c>
      <c r="G4382" s="94" t="inlineStr">
        <is>
          <t>250ml</t>
        </is>
      </c>
      <c r="H4382" s="7" t="n">
        <v>190801</v>
      </c>
      <c r="I4382" s="7" t="n">
        <v>190801</v>
      </c>
      <c r="J4382" s="94" t="n"/>
      <c r="K4382" s="149" t="n">
        <v>1</v>
      </c>
      <c r="L4382" s="7" t="n">
        <v>190801</v>
      </c>
      <c r="M4382" s="94">
        <f>VLOOKUP($Q4382,매칭테이블!$F:$I,2,0)*K4382</f>
        <v/>
      </c>
      <c r="N4382" s="94">
        <f>M4382-M4382*VLOOKUP($Q4382,매칭테이블!$F:$I,3,0)</f>
        <v/>
      </c>
      <c r="O4382" s="94">
        <f>VLOOKUP($Q4382,매칭테이블!$F:$I,4,0)*K4382</f>
        <v/>
      </c>
      <c r="P4382" s="148">
        <f>M4382/1.1</f>
        <v/>
      </c>
      <c r="Q4382" s="94">
        <f>F4382&amp;E4382&amp;G4382&amp;L4382</f>
        <v/>
      </c>
    </row>
    <row r="4383">
      <c r="A4383" s="94" t="n"/>
      <c r="B4383" s="128" t="n">
        <v>43843</v>
      </c>
      <c r="C4383" s="94">
        <f>TEXT(B4383,"aaa")</f>
        <v/>
      </c>
      <c r="D4383" s="94" t="n"/>
      <c r="E4383" s="6" t="inlineStr">
        <is>
          <t>머드크림마스크</t>
        </is>
      </c>
      <c r="F4383" s="94" t="inlineStr">
        <is>
          <t>아누아 CS</t>
        </is>
      </c>
      <c r="G4383" s="5" t="inlineStr">
        <is>
          <t>머드크림마스크 100ml</t>
        </is>
      </c>
      <c r="H4383" s="7" t="n">
        <v>190801</v>
      </c>
      <c r="I4383" s="7" t="n">
        <v>190801</v>
      </c>
      <c r="J4383" s="94" t="n"/>
      <c r="K4383" s="149" t="n">
        <v>4</v>
      </c>
      <c r="L4383" s="7" t="n">
        <v>190801</v>
      </c>
      <c r="M4383" s="94">
        <f>VLOOKUP($Q4383,매칭테이블!$F:$I,2,0)*K4383</f>
        <v/>
      </c>
      <c r="N4383" s="94">
        <f>M4383-M4383*VLOOKUP($Q4383,매칭테이블!$F:$I,3,0)</f>
        <v/>
      </c>
      <c r="O4383" s="94">
        <f>VLOOKUP($Q4383,매칭테이블!$F:$I,4,0)*K4383</f>
        <v/>
      </c>
      <c r="P4383" s="148">
        <f>M4383/1.1</f>
        <v/>
      </c>
      <c r="Q4383" s="94">
        <f>F4383&amp;E4383&amp;G4383&amp;L4383</f>
        <v/>
      </c>
    </row>
    <row r="4384">
      <c r="A4384" s="94" t="n"/>
      <c r="B4384" s="128" t="n">
        <v>43843</v>
      </c>
      <c r="C4384" s="94">
        <f>TEXT(B4384,"aaa")</f>
        <v/>
      </c>
      <c r="D4384" s="94" t="n"/>
      <c r="E4384" s="94" t="inlineStr">
        <is>
          <t>화장솜</t>
        </is>
      </c>
      <c r="F4384" s="94" t="inlineStr">
        <is>
          <t>아누아 CS</t>
        </is>
      </c>
      <c r="G4384" s="94" t="inlineStr">
        <is>
          <t>스킨팩 화장솜 60P</t>
        </is>
      </c>
      <c r="H4384" s="7" t="n">
        <v>190801</v>
      </c>
      <c r="I4384" s="7" t="n">
        <v>190801</v>
      </c>
      <c r="J4384" s="94" t="n"/>
      <c r="K4384" s="149" t="n">
        <v>4</v>
      </c>
      <c r="L4384" s="94" t="n">
        <v>190801</v>
      </c>
      <c r="M4384" s="94">
        <f>VLOOKUP($Q4384,매칭테이블!$F:$I,2,0)*K4384</f>
        <v/>
      </c>
      <c r="N4384" s="94">
        <f>M4384-M4384*VLOOKUP($Q4384,매칭테이블!$F:$I,3,0)</f>
        <v/>
      </c>
      <c r="O4384" s="94">
        <f>VLOOKUP($Q4384,매칭테이블!$F:$I,4,0)*K4384</f>
        <v/>
      </c>
      <c r="P4384" s="148">
        <f>M4384/1.1</f>
        <v/>
      </c>
      <c r="Q4384" s="94">
        <f>F4384&amp;E4384&amp;G4384&amp;L4384</f>
        <v/>
      </c>
    </row>
    <row r="4385">
      <c r="A4385" s="94" t="n"/>
      <c r="B4385" s="128" t="n">
        <v>43843</v>
      </c>
      <c r="C4385" s="94">
        <f>TEXT(B4385,"aaa")</f>
        <v/>
      </c>
      <c r="D4385" s="94" t="n"/>
      <c r="E4385" s="94" t="inlineStr">
        <is>
          <t>토너</t>
        </is>
      </c>
      <c r="F4385" s="94" t="inlineStr">
        <is>
          <t>아누아 CS</t>
        </is>
      </c>
      <c r="G4385" s="5" t="inlineStr">
        <is>
          <t>40ml</t>
        </is>
      </c>
      <c r="H4385" s="7" t="n">
        <v>190801</v>
      </c>
      <c r="I4385" s="7" t="n">
        <v>190801</v>
      </c>
      <c r="J4385" s="94" t="n"/>
      <c r="K4385" s="149" t="n">
        <v>4</v>
      </c>
      <c r="L4385" s="94" t="n">
        <v>190801</v>
      </c>
      <c r="M4385" s="94">
        <f>VLOOKUP($Q4385,매칭테이블!$F:$I,2,0)*K4385</f>
        <v/>
      </c>
      <c r="N4385" s="94">
        <f>M4385-M4385*VLOOKUP($Q4385,매칭테이블!$F:$I,3,0)</f>
        <v/>
      </c>
      <c r="O4385" s="94">
        <f>VLOOKUP($Q4385,매칭테이블!$F:$I,4,0)*K4385</f>
        <v/>
      </c>
      <c r="P4385" s="148">
        <f>M4385/1.1</f>
        <v/>
      </c>
      <c r="Q4385" s="94">
        <f>F4385&amp;E4385&amp;G4385&amp;L4385</f>
        <v/>
      </c>
    </row>
    <row r="4386">
      <c r="A4386" s="94" t="n"/>
      <c r="B4386" s="128" t="n">
        <v>43843</v>
      </c>
      <c r="C4386" s="94">
        <f>TEXT(B4386,"aaa")</f>
        <v/>
      </c>
      <c r="D4386" s="94" t="n"/>
      <c r="E4386" s="94" t="inlineStr">
        <is>
          <t>토너</t>
        </is>
      </c>
      <c r="F4386" s="94" t="inlineStr">
        <is>
          <t>큐텐</t>
        </is>
      </c>
      <c r="G4386" s="94" t="inlineStr">
        <is>
          <t>250ml</t>
        </is>
      </c>
      <c r="H4386" s="7" t="n">
        <v>190801</v>
      </c>
      <c r="I4386" s="7" t="n">
        <v>190801</v>
      </c>
      <c r="J4386" s="94" t="n"/>
      <c r="K4386" s="149" t="n">
        <v>5</v>
      </c>
      <c r="L4386" s="92" t="n">
        <v>190801</v>
      </c>
      <c r="M4386" s="94">
        <f>VLOOKUP($Q4386,매칭테이블!$F:$I,2,0)*K4386</f>
        <v/>
      </c>
      <c r="N4386" s="94">
        <f>M4386-M4386*VLOOKUP($Q4386,매칭테이블!$F:$I,3,0)</f>
        <v/>
      </c>
      <c r="O4386" s="94">
        <f>VLOOKUP($Q4386,매칭테이블!$F:$I,4,0)*K4386</f>
        <v/>
      </c>
      <c r="P4386" s="148">
        <f>M4386/1.1</f>
        <v/>
      </c>
      <c r="Q4386" s="94">
        <f>F4386&amp;E4386&amp;G4386&amp;L4386</f>
        <v/>
      </c>
    </row>
    <row r="4387">
      <c r="A4387" s="94" t="n"/>
      <c r="B4387" s="128" t="n">
        <v>43843</v>
      </c>
      <c r="C4387" s="94">
        <f>TEXT(B4387,"aaa")</f>
        <v/>
      </c>
      <c r="D4387" s="94" t="n"/>
      <c r="E4387" s="94" t="inlineStr">
        <is>
          <t>토너</t>
        </is>
      </c>
      <c r="F4387" s="94" t="inlineStr">
        <is>
          <t>큐텐</t>
        </is>
      </c>
      <c r="G4387" s="94" t="inlineStr">
        <is>
          <t>250ml 2set</t>
        </is>
      </c>
      <c r="H4387" s="7" t="n">
        <v>190801</v>
      </c>
      <c r="I4387" s="7" t="n">
        <v>190801</v>
      </c>
      <c r="J4387" s="94" t="n"/>
      <c r="K4387" s="149" t="n">
        <v>5</v>
      </c>
      <c r="L4387" s="92" t="n">
        <v>190801</v>
      </c>
      <c r="M4387" s="94">
        <f>VLOOKUP($Q4387,매칭테이블!$F:$I,2,0)*K4387</f>
        <v/>
      </c>
      <c r="N4387" s="94">
        <f>M4387-M4387*VLOOKUP($Q4387,매칭테이블!$F:$I,3,0)</f>
        <v/>
      </c>
      <c r="O4387" s="94">
        <f>VLOOKUP($Q4387,매칭테이블!$F:$I,4,0)*K4387</f>
        <v/>
      </c>
      <c r="P4387" s="148">
        <f>M4387/1.1</f>
        <v/>
      </c>
      <c r="Q4387" s="94">
        <f>F4387&amp;E4387&amp;G4387&amp;L4387</f>
        <v/>
      </c>
    </row>
    <row r="4388">
      <c r="A4388" s="94" t="n"/>
      <c r="B4388" s="128" t="n">
        <v>43844</v>
      </c>
      <c r="C4388" s="94">
        <f>TEXT(B4388,"aaa")</f>
        <v/>
      </c>
      <c r="D4388" s="94" t="n"/>
      <c r="E4388" s="6" t="inlineStr">
        <is>
          <t>토너</t>
        </is>
      </c>
      <c r="F4388" s="5" t="inlineStr">
        <is>
          <t>W컨셉</t>
        </is>
      </c>
      <c r="G4388" s="5" t="inlineStr">
        <is>
          <t>250ml</t>
        </is>
      </c>
      <c r="H4388" s="7" t="n">
        <v>190801</v>
      </c>
      <c r="I4388" s="7" t="n">
        <v>190801</v>
      </c>
      <c r="J4388" s="94" t="n"/>
      <c r="K4388" s="149" t="n">
        <v>1</v>
      </c>
      <c r="L4388" s="7" t="n">
        <v>190801</v>
      </c>
      <c r="M4388" s="94">
        <f>VLOOKUP($Q4388,매칭테이블!$F:$I,2,0)*K4388</f>
        <v/>
      </c>
      <c r="N4388" s="94">
        <f>M4388-M4388*VLOOKUP($Q4388,매칭테이블!$F:$I,3,0)</f>
        <v/>
      </c>
      <c r="O4388" s="94">
        <f>VLOOKUP($Q4388,매칭테이블!$F:$I,4,0)*K4388</f>
        <v/>
      </c>
      <c r="P4388" s="148">
        <f>M4388/1.1</f>
        <v/>
      </c>
      <c r="Q4388" s="94">
        <f>F4388&amp;E4388&amp;G4388&amp;L4388</f>
        <v/>
      </c>
    </row>
    <row r="4389">
      <c r="A4389" s="94" t="n"/>
      <c r="B4389" s="128" t="n">
        <v>43844</v>
      </c>
      <c r="C4389" s="94">
        <f>TEXT(B4389,"aaa")</f>
        <v/>
      </c>
      <c r="D4389" s="94" t="n"/>
      <c r="E4389" s="6" t="inlineStr">
        <is>
          <t>토너</t>
        </is>
      </c>
      <c r="F4389" s="5" t="inlineStr">
        <is>
          <t>W컨셉</t>
        </is>
      </c>
      <c r="G4389" s="5" t="inlineStr">
        <is>
          <t>250ml 2set</t>
        </is>
      </c>
      <c r="H4389" s="7" t="n">
        <v>190801</v>
      </c>
      <c r="I4389" s="7" t="n">
        <v>190801</v>
      </c>
      <c r="J4389" s="94" t="n"/>
      <c r="K4389" s="149" t="n">
        <v>5</v>
      </c>
      <c r="L4389" s="7" t="n">
        <v>190801</v>
      </c>
      <c r="M4389" s="94">
        <f>VLOOKUP($Q4389,매칭테이블!$F:$I,2,0)*K4389</f>
        <v/>
      </c>
      <c r="N4389" s="94">
        <f>M4389-M4389*VLOOKUP($Q4389,매칭테이블!$F:$I,3,0)</f>
        <v/>
      </c>
      <c r="O4389" s="94">
        <f>VLOOKUP($Q4389,매칭테이블!$F:$I,4,0)*K4389</f>
        <v/>
      </c>
      <c r="P4389" s="148">
        <f>M4389/1.1</f>
        <v/>
      </c>
      <c r="Q4389" s="94">
        <f>F4389&amp;E4389&amp;G4389&amp;L4389</f>
        <v/>
      </c>
    </row>
    <row r="4390">
      <c r="A4390" s="94" t="n"/>
      <c r="B4390" s="128" t="n">
        <v>43844</v>
      </c>
      <c r="C4390" s="94">
        <f>TEXT(B4390,"aaa")</f>
        <v/>
      </c>
      <c r="D4390" s="94" t="n"/>
      <c r="E4390" s="94" t="inlineStr">
        <is>
          <t>머드크림마스크</t>
        </is>
      </c>
      <c r="F4390" s="94" t="inlineStr">
        <is>
          <t>카페24</t>
        </is>
      </c>
      <c r="G4390" s="94" t="inlineStr">
        <is>
          <t>머드크림마스크 100ml</t>
        </is>
      </c>
      <c r="H4390" s="7" t="n">
        <v>190801</v>
      </c>
      <c r="I4390" s="7" t="n">
        <v>190801</v>
      </c>
      <c r="J4390" s="94" t="n"/>
      <c r="K4390" s="149" t="n">
        <v>1</v>
      </c>
      <c r="L4390" s="94" t="n">
        <v>190801</v>
      </c>
      <c r="M4390" s="94">
        <f>VLOOKUP($Q4390,매칭테이블!$F:$I,2,0)*K4390</f>
        <v/>
      </c>
      <c r="N4390" s="94">
        <f>M4390-M4390*VLOOKUP($Q4390,매칭테이블!$F:$I,3,0)</f>
        <v/>
      </c>
      <c r="O4390" s="94">
        <f>VLOOKUP($Q4390,매칭테이블!$F:$I,4,0)*K4390</f>
        <v/>
      </c>
      <c r="P4390" s="148">
        <f>M4390/1.1</f>
        <v/>
      </c>
      <c r="Q4390" s="94">
        <f>F4390&amp;E4390&amp;G4390&amp;L4390</f>
        <v/>
      </c>
    </row>
    <row r="4391">
      <c r="A4391" s="94" t="n"/>
      <c r="B4391" s="128" t="n">
        <v>43844</v>
      </c>
      <c r="C4391" s="94">
        <f>TEXT(B4391,"aaa")</f>
        <v/>
      </c>
      <c r="D4391" s="94" t="n"/>
      <c r="E4391" s="6" t="inlineStr">
        <is>
          <t>토너</t>
        </is>
      </c>
      <c r="F4391" s="5" t="inlineStr">
        <is>
          <t>카페24</t>
        </is>
      </c>
      <c r="G4391" s="5" t="inlineStr">
        <is>
          <t>500ml</t>
        </is>
      </c>
      <c r="H4391" s="7" t="n">
        <v>190801</v>
      </c>
      <c r="I4391" s="7" t="n">
        <v>190801</v>
      </c>
      <c r="J4391" s="94" t="n"/>
      <c r="K4391" s="149" t="n">
        <v>55</v>
      </c>
      <c r="L4391" s="7" t="n">
        <v>190801</v>
      </c>
      <c r="M4391" s="94">
        <f>VLOOKUP($Q4391,매칭테이블!$F:$I,2,0)*K4391</f>
        <v/>
      </c>
      <c r="N4391" s="94">
        <f>M4391-M4391*VLOOKUP($Q4391,매칭테이블!$F:$I,3,0)</f>
        <v/>
      </c>
      <c r="O4391" s="94">
        <f>VLOOKUP($Q4391,매칭테이블!$F:$I,4,0)*K4391</f>
        <v/>
      </c>
      <c r="P4391" s="148">
        <f>M4391/1.1</f>
        <v/>
      </c>
      <c r="Q4391" s="94">
        <f>F4391&amp;E4391&amp;G4391&amp;L4391</f>
        <v/>
      </c>
    </row>
    <row r="4392">
      <c r="A4392" s="94" t="n"/>
      <c r="B4392" s="128" t="n">
        <v>43844</v>
      </c>
      <c r="C4392" s="94">
        <f>TEXT(B4392,"aaa")</f>
        <v/>
      </c>
      <c r="D4392" s="94" t="n"/>
      <c r="E4392" s="6" t="inlineStr">
        <is>
          <t>토너</t>
        </is>
      </c>
      <c r="F4392" s="5" t="inlineStr">
        <is>
          <t>카페24</t>
        </is>
      </c>
      <c r="G4392" s="5" t="inlineStr">
        <is>
          <t>250ml</t>
        </is>
      </c>
      <c r="H4392" s="7" t="n">
        <v>190801</v>
      </c>
      <c r="I4392" s="7" t="n">
        <v>190801</v>
      </c>
      <c r="J4392" s="94" t="n"/>
      <c r="K4392" s="149" t="n">
        <v>52</v>
      </c>
      <c r="L4392" s="7" t="n">
        <v>190801</v>
      </c>
      <c r="M4392" s="94">
        <f>VLOOKUP($Q4392,매칭테이블!$F:$I,2,0)*K4392</f>
        <v/>
      </c>
      <c r="N4392" s="94">
        <f>M4392-M4392*VLOOKUP($Q4392,매칭테이블!$F:$I,3,0)</f>
        <v/>
      </c>
      <c r="O4392" s="94">
        <f>VLOOKUP($Q4392,매칭테이블!$F:$I,4,0)*K4392</f>
        <v/>
      </c>
      <c r="P4392" s="148">
        <f>M4392/1.1</f>
        <v/>
      </c>
      <c r="Q4392" s="94">
        <f>F4392&amp;E4392&amp;G4392&amp;L4392</f>
        <v/>
      </c>
    </row>
    <row r="4393">
      <c r="A4393" s="94" t="n"/>
      <c r="B4393" s="128" t="n">
        <v>43844</v>
      </c>
      <c r="C4393" s="94">
        <f>TEXT(B4393,"aaa")</f>
        <v/>
      </c>
      <c r="D4393" s="94" t="n"/>
      <c r="E4393" s="6" t="inlineStr">
        <is>
          <t>토너</t>
        </is>
      </c>
      <c r="F4393" s="5" t="inlineStr">
        <is>
          <t>카페24</t>
        </is>
      </c>
      <c r="G4393" s="5" t="inlineStr">
        <is>
          <t>250ml 2set</t>
        </is>
      </c>
      <c r="H4393" s="7" t="n">
        <v>190801</v>
      </c>
      <c r="I4393" s="7" t="n">
        <v>190801</v>
      </c>
      <c r="J4393" s="94" t="n"/>
      <c r="K4393" s="149" t="n">
        <v>28</v>
      </c>
      <c r="L4393" s="7" t="n">
        <v>190801</v>
      </c>
      <c r="M4393" s="94">
        <f>VLOOKUP($Q4393,매칭테이블!$F:$I,2,0)*K4393</f>
        <v/>
      </c>
      <c r="N4393" s="94">
        <f>M4393-M4393*VLOOKUP($Q4393,매칭테이블!$F:$I,3,0)</f>
        <v/>
      </c>
      <c r="O4393" s="94">
        <f>VLOOKUP($Q4393,매칭테이블!$F:$I,4,0)*K4393</f>
        <v/>
      </c>
      <c r="P4393" s="148">
        <f>M4393/1.1</f>
        <v/>
      </c>
      <c r="Q4393" s="94">
        <f>F4393&amp;E4393&amp;G4393&amp;L4393</f>
        <v/>
      </c>
    </row>
    <row r="4394">
      <c r="A4394" s="94" t="n"/>
      <c r="B4394" s="128" t="n">
        <v>43845</v>
      </c>
      <c r="C4394" s="94">
        <f>TEXT(B4394,"aaa")</f>
        <v/>
      </c>
      <c r="D4394" s="94" t="n"/>
      <c r="E4394" s="6" t="inlineStr">
        <is>
          <t>토너</t>
        </is>
      </c>
      <c r="F4394" s="5" t="inlineStr">
        <is>
          <t>W컨셉</t>
        </is>
      </c>
      <c r="G4394" s="5" t="inlineStr">
        <is>
          <t>250ml 2set</t>
        </is>
      </c>
      <c r="H4394" s="7" t="n">
        <v>190801</v>
      </c>
      <c r="I4394" s="7" t="n">
        <v>190801</v>
      </c>
      <c r="J4394" s="94" t="n"/>
      <c r="K4394" s="149" t="n">
        <v>8</v>
      </c>
      <c r="L4394" s="7" t="n">
        <v>190801</v>
      </c>
      <c r="M4394" s="94">
        <f>VLOOKUP($Q4394,매칭테이블!$F:$I,2,0)*K4394</f>
        <v/>
      </c>
      <c r="N4394" s="94">
        <f>M4394-M4394*VLOOKUP($Q4394,매칭테이블!$F:$I,3,0)</f>
        <v/>
      </c>
      <c r="O4394" s="94">
        <f>VLOOKUP($Q4394,매칭테이블!$F:$I,4,0)*K4394</f>
        <v/>
      </c>
      <c r="P4394" s="148">
        <f>M4394/1.1</f>
        <v/>
      </c>
      <c r="Q4394" s="94">
        <f>F4394&amp;E4394&amp;G4394&amp;L4394</f>
        <v/>
      </c>
    </row>
    <row r="4395" customFormat="1" s="94">
      <c r="B4395" s="128" t="n">
        <v>43845</v>
      </c>
      <c r="C4395" s="94">
        <f>TEXT(B4395,"aaa")</f>
        <v/>
      </c>
      <c r="E4395" s="94" t="inlineStr">
        <is>
          <t>화장솜</t>
        </is>
      </c>
      <c r="F4395" s="94" t="inlineStr">
        <is>
          <t>카페24</t>
        </is>
      </c>
      <c r="G4395" s="94" t="inlineStr">
        <is>
          <t>스킨팩 화장솜 60P</t>
        </is>
      </c>
      <c r="H4395" s="7" t="n">
        <v>190801</v>
      </c>
      <c r="I4395" s="7" t="n">
        <v>190801</v>
      </c>
      <c r="K4395" s="149" t="n">
        <v>7</v>
      </c>
      <c r="L4395" s="94" t="n">
        <v>190801</v>
      </c>
      <c r="M4395" s="94">
        <f>VLOOKUP($Q4395,매칭테이블!$F:$I,2,0)*K4395</f>
        <v/>
      </c>
      <c r="N4395" s="94">
        <f>M4395-M4395*VLOOKUP($Q4395,매칭테이블!$F:$I,3,0)</f>
        <v/>
      </c>
      <c r="O4395" s="94">
        <f>VLOOKUP($Q4395,매칭테이블!$F:$I,4,0)*K4395</f>
        <v/>
      </c>
      <c r="P4395" s="148">
        <f>M4395/1.1</f>
        <v/>
      </c>
      <c r="Q4395" s="94">
        <f>F4395&amp;E4395&amp;G4395&amp;L4395</f>
        <v/>
      </c>
    </row>
    <row r="4396">
      <c r="A4396" s="94" t="n"/>
      <c r="B4396" s="128" t="n">
        <v>43845</v>
      </c>
      <c r="C4396" s="94">
        <f>TEXT(B4396,"aaa")</f>
        <v/>
      </c>
      <c r="D4396" s="94" t="n"/>
      <c r="E4396" s="94" t="inlineStr">
        <is>
          <t>머드크림마스크</t>
        </is>
      </c>
      <c r="F4396" s="94" t="inlineStr">
        <is>
          <t>카페24</t>
        </is>
      </c>
      <c r="G4396" s="94" t="inlineStr">
        <is>
          <t>머드크림마스크 100ml</t>
        </is>
      </c>
      <c r="H4396" s="7" t="n">
        <v>190801</v>
      </c>
      <c r="I4396" s="7" t="n">
        <v>190801</v>
      </c>
      <c r="J4396" s="94" t="n"/>
      <c r="K4396" s="149" t="n">
        <v>3</v>
      </c>
      <c r="L4396" s="94" t="n">
        <v>190801</v>
      </c>
      <c r="M4396" s="94">
        <f>VLOOKUP($Q4396,매칭테이블!$F:$I,2,0)*K4396</f>
        <v/>
      </c>
      <c r="N4396" s="94">
        <f>M4396-M4396*VLOOKUP($Q4396,매칭테이블!$F:$I,3,0)</f>
        <v/>
      </c>
      <c r="O4396" s="94">
        <f>VLOOKUP($Q4396,매칭테이블!$F:$I,4,0)*K4396</f>
        <v/>
      </c>
      <c r="P4396" s="148">
        <f>M4396/1.1</f>
        <v/>
      </c>
      <c r="Q4396" s="94">
        <f>F4396&amp;E4396&amp;G4396&amp;L4396</f>
        <v/>
      </c>
    </row>
    <row r="4397">
      <c r="A4397" s="94" t="n"/>
      <c r="B4397" s="128" t="n">
        <v>43845</v>
      </c>
      <c r="C4397" s="94">
        <f>TEXT(B4397,"aaa")</f>
        <v/>
      </c>
      <c r="D4397" s="94" t="n"/>
      <c r="E4397" s="6" t="inlineStr">
        <is>
          <t>토너</t>
        </is>
      </c>
      <c r="F4397" s="5" t="inlineStr">
        <is>
          <t>카페24</t>
        </is>
      </c>
      <c r="G4397" s="5" t="inlineStr">
        <is>
          <t>500ml</t>
        </is>
      </c>
      <c r="H4397" s="7" t="n">
        <v>190801</v>
      </c>
      <c r="I4397" s="7" t="n">
        <v>190801</v>
      </c>
      <c r="J4397" s="94" t="n"/>
      <c r="K4397" s="149" t="n">
        <v>44</v>
      </c>
      <c r="L4397" s="7" t="n">
        <v>190801</v>
      </c>
      <c r="M4397" s="94">
        <f>VLOOKUP($Q4397,매칭테이블!$F:$I,2,0)*K4397</f>
        <v/>
      </c>
      <c r="N4397" s="94">
        <f>M4397-M4397*VLOOKUP($Q4397,매칭테이블!$F:$I,3,0)</f>
        <v/>
      </c>
      <c r="O4397" s="94">
        <f>VLOOKUP($Q4397,매칭테이블!$F:$I,4,0)*K4397</f>
        <v/>
      </c>
      <c r="P4397" s="148">
        <f>M4397/1.1</f>
        <v/>
      </c>
      <c r="Q4397" s="94">
        <f>F4397&amp;E4397&amp;G4397&amp;L4397</f>
        <v/>
      </c>
    </row>
    <row r="4398">
      <c r="A4398" s="94" t="n"/>
      <c r="B4398" s="128" t="n">
        <v>43845</v>
      </c>
      <c r="C4398" s="94">
        <f>TEXT(B4398,"aaa")</f>
        <v/>
      </c>
      <c r="D4398" s="94" t="n"/>
      <c r="E4398" s="6" t="inlineStr">
        <is>
          <t>토너</t>
        </is>
      </c>
      <c r="F4398" s="5" t="inlineStr">
        <is>
          <t>카페24</t>
        </is>
      </c>
      <c r="G4398" s="5" t="inlineStr">
        <is>
          <t>250ml</t>
        </is>
      </c>
      <c r="H4398" s="7" t="n">
        <v>190801</v>
      </c>
      <c r="I4398" s="7" t="n">
        <v>190801</v>
      </c>
      <c r="J4398" s="94" t="n"/>
      <c r="K4398" s="149" t="n">
        <v>33</v>
      </c>
      <c r="L4398" s="7" t="n">
        <v>190801</v>
      </c>
      <c r="M4398" s="94">
        <f>VLOOKUP($Q4398,매칭테이블!$F:$I,2,0)*K4398</f>
        <v/>
      </c>
      <c r="N4398" s="94">
        <f>M4398-M4398*VLOOKUP($Q4398,매칭테이블!$F:$I,3,0)</f>
        <v/>
      </c>
      <c r="O4398" s="94">
        <f>VLOOKUP($Q4398,매칭테이블!$F:$I,4,0)*K4398</f>
        <v/>
      </c>
      <c r="P4398" s="148">
        <f>M4398/1.1</f>
        <v/>
      </c>
      <c r="Q4398" s="94">
        <f>F4398&amp;E4398&amp;G4398&amp;L4398</f>
        <v/>
      </c>
    </row>
    <row r="4399">
      <c r="A4399" s="94" t="n"/>
      <c r="B4399" s="128" t="n">
        <v>43845</v>
      </c>
      <c r="C4399" s="94">
        <f>TEXT(B4399,"aaa")</f>
        <v/>
      </c>
      <c r="D4399" s="94" t="n"/>
      <c r="E4399" s="6" t="inlineStr">
        <is>
          <t>토너</t>
        </is>
      </c>
      <c r="F4399" s="5" t="inlineStr">
        <is>
          <t>카페24</t>
        </is>
      </c>
      <c r="G4399" s="5" t="inlineStr">
        <is>
          <t>250ml 2set</t>
        </is>
      </c>
      <c r="H4399" s="7" t="n">
        <v>190801</v>
      </c>
      <c r="I4399" s="7" t="n">
        <v>190801</v>
      </c>
      <c r="J4399" s="94" t="n"/>
      <c r="K4399" s="149" t="n">
        <v>28</v>
      </c>
      <c r="L4399" s="7" t="n">
        <v>190801</v>
      </c>
      <c r="M4399" s="94">
        <f>VLOOKUP($Q4399,매칭테이블!$F:$I,2,0)*K4399</f>
        <v/>
      </c>
      <c r="N4399" s="94">
        <f>M4399-M4399*VLOOKUP($Q4399,매칭테이블!$F:$I,3,0)</f>
        <v/>
      </c>
      <c r="O4399" s="94">
        <f>VLOOKUP($Q4399,매칭테이블!$F:$I,4,0)*K4399</f>
        <v/>
      </c>
      <c r="P4399" s="148">
        <f>M4399/1.1</f>
        <v/>
      </c>
      <c r="Q4399" s="94">
        <f>F4399&amp;E4399&amp;G4399&amp;L4399</f>
        <v/>
      </c>
    </row>
    <row r="4400">
      <c r="A4400" s="94" t="n"/>
      <c r="B4400" s="128" t="n">
        <v>43845</v>
      </c>
      <c r="C4400" s="94">
        <f>TEXT(B4400,"aaa")</f>
        <v/>
      </c>
      <c r="D4400" s="94" t="n"/>
      <c r="E4400" s="94" t="inlineStr">
        <is>
          <t>토너</t>
        </is>
      </c>
      <c r="F4400" s="94" t="inlineStr">
        <is>
          <t>큐텐</t>
        </is>
      </c>
      <c r="G4400" s="94" t="inlineStr">
        <is>
          <t>250ml</t>
        </is>
      </c>
      <c r="H4400" s="7" t="n">
        <v>190801</v>
      </c>
      <c r="I4400" s="7" t="n">
        <v>190801</v>
      </c>
      <c r="J4400" s="94" t="n"/>
      <c r="K4400" s="149" t="n">
        <v>7</v>
      </c>
      <c r="L4400" s="92" t="n">
        <v>190801</v>
      </c>
      <c r="M4400" s="94">
        <f>VLOOKUP($Q4400,매칭테이블!$F:$I,2,0)*K4400</f>
        <v/>
      </c>
      <c r="N4400" s="94">
        <f>M4400-M4400*VLOOKUP($Q4400,매칭테이블!$F:$I,3,0)</f>
        <v/>
      </c>
      <c r="O4400" s="94">
        <f>VLOOKUP($Q4400,매칭테이블!$F:$I,4,0)*K4400</f>
        <v/>
      </c>
      <c r="P4400" s="148">
        <f>M4400/1.1</f>
        <v/>
      </c>
      <c r="Q4400" s="94">
        <f>F4400&amp;E4400&amp;G4400&amp;L4400</f>
        <v/>
      </c>
    </row>
    <row r="4401">
      <c r="A4401" s="94" t="n"/>
      <c r="B4401" s="128" t="n">
        <v>43845</v>
      </c>
      <c r="C4401" s="94">
        <f>TEXT(B4401,"aaa")</f>
        <v/>
      </c>
      <c r="D4401" s="94" t="n"/>
      <c r="E4401" s="94" t="inlineStr">
        <is>
          <t>토너</t>
        </is>
      </c>
      <c r="F4401" s="94" t="inlineStr">
        <is>
          <t>큐텐</t>
        </is>
      </c>
      <c r="G4401" s="94" t="inlineStr">
        <is>
          <t>250ml 2set</t>
        </is>
      </c>
      <c r="H4401" s="7" t="n">
        <v>190801</v>
      </c>
      <c r="I4401" s="7" t="n">
        <v>190801</v>
      </c>
      <c r="J4401" s="94" t="n"/>
      <c r="K4401" s="149" t="n">
        <v>2</v>
      </c>
      <c r="L4401" s="92" t="n">
        <v>190801</v>
      </c>
      <c r="M4401" s="94">
        <f>VLOOKUP($Q4401,매칭테이블!$F:$I,2,0)*K4401</f>
        <v/>
      </c>
      <c r="N4401" s="94">
        <f>M4401-M4401*VLOOKUP($Q4401,매칭테이블!$F:$I,3,0)</f>
        <v/>
      </c>
      <c r="O4401" s="94">
        <f>VLOOKUP($Q4401,매칭테이블!$F:$I,4,0)*K4401</f>
        <v/>
      </c>
      <c r="P4401" s="148">
        <f>M4401/1.1</f>
        <v/>
      </c>
      <c r="Q4401" s="94">
        <f>F4401&amp;E4401&amp;G4401&amp;L4401</f>
        <v/>
      </c>
    </row>
    <row r="4402">
      <c r="A4402" s="94" t="n"/>
      <c r="B4402" s="128" t="n">
        <v>43846</v>
      </c>
      <c r="C4402" s="94">
        <f>TEXT(B4402,"aaa")</f>
        <v/>
      </c>
      <c r="D4402" s="94" t="n"/>
      <c r="E4402" s="6" t="inlineStr">
        <is>
          <t>토너</t>
        </is>
      </c>
      <c r="F4402" s="5" t="inlineStr">
        <is>
          <t>W컨셉</t>
        </is>
      </c>
      <c r="G4402" s="5" t="inlineStr">
        <is>
          <t>250ml 2set</t>
        </is>
      </c>
      <c r="H4402" s="7" t="n">
        <v>190801</v>
      </c>
      <c r="I4402" s="7" t="n">
        <v>190801</v>
      </c>
      <c r="J4402" s="94" t="n"/>
      <c r="K4402" s="149" t="n">
        <v>3</v>
      </c>
      <c r="L4402" s="7" t="n">
        <v>190801</v>
      </c>
      <c r="M4402" s="94">
        <f>VLOOKUP($Q4402,매칭테이블!$F:$I,2,0)*K4402</f>
        <v/>
      </c>
      <c r="N4402" s="94">
        <f>M4402-M4402*VLOOKUP($Q4402,매칭테이블!$F:$I,3,0)</f>
        <v/>
      </c>
      <c r="O4402" s="94">
        <f>VLOOKUP($Q4402,매칭테이블!$F:$I,4,0)*K4402</f>
        <v/>
      </c>
      <c r="P4402" s="148">
        <f>M4402/1.1</f>
        <v/>
      </c>
      <c r="Q4402" s="94">
        <f>F4402&amp;E4402&amp;G4402&amp;L4402</f>
        <v/>
      </c>
    </row>
    <row r="4403">
      <c r="A4403" s="94" t="n"/>
      <c r="B4403" s="128" t="n">
        <v>43846</v>
      </c>
      <c r="C4403" s="94">
        <f>TEXT(B4403,"aaa")</f>
        <v/>
      </c>
      <c r="D4403" s="94" t="n"/>
      <c r="E4403" s="94" t="inlineStr">
        <is>
          <t>화장솜</t>
        </is>
      </c>
      <c r="F4403" s="94" t="inlineStr">
        <is>
          <t>카페24</t>
        </is>
      </c>
      <c r="G4403" s="94" t="inlineStr">
        <is>
          <t>스킨팩 화장솜 60P</t>
        </is>
      </c>
      <c r="H4403" s="7" t="n">
        <v>190801</v>
      </c>
      <c r="I4403" s="7" t="n">
        <v>190801</v>
      </c>
      <c r="J4403" s="94" t="n"/>
      <c r="K4403" s="149" t="n">
        <v>2</v>
      </c>
      <c r="L4403" s="94" t="n">
        <v>190801</v>
      </c>
      <c r="M4403" s="94">
        <f>VLOOKUP($Q4403,매칭테이블!$F:$I,2,0)*K4403</f>
        <v/>
      </c>
      <c r="N4403" s="94">
        <f>M4403-M4403*VLOOKUP($Q4403,매칭테이블!$F:$I,3,0)</f>
        <v/>
      </c>
      <c r="O4403" s="94">
        <f>VLOOKUP($Q4403,매칭테이블!$F:$I,4,0)*K4403</f>
        <v/>
      </c>
      <c r="P4403" s="148">
        <f>M4403/1.1</f>
        <v/>
      </c>
      <c r="Q4403" s="94">
        <f>F4403&amp;E4403&amp;G4403&amp;L4403</f>
        <v/>
      </c>
    </row>
    <row r="4404">
      <c r="A4404" s="94" t="n"/>
      <c r="B4404" s="128" t="n">
        <v>43846</v>
      </c>
      <c r="C4404" s="94">
        <f>TEXT(B4404,"aaa")</f>
        <v/>
      </c>
      <c r="D4404" s="94" t="n"/>
      <c r="E4404" s="94" t="inlineStr">
        <is>
          <t>머드크림마스크</t>
        </is>
      </c>
      <c r="F4404" s="94" t="inlineStr">
        <is>
          <t>카페24</t>
        </is>
      </c>
      <c r="G4404" s="94" t="inlineStr">
        <is>
          <t>머드크림마스크 100ml</t>
        </is>
      </c>
      <c r="H4404" s="7" t="n">
        <v>190801</v>
      </c>
      <c r="I4404" s="7" t="n">
        <v>190801</v>
      </c>
      <c r="J4404" s="94" t="n"/>
      <c r="K4404" s="149" t="n">
        <v>1</v>
      </c>
      <c r="L4404" s="94" t="n">
        <v>190801</v>
      </c>
      <c r="M4404" s="94">
        <f>VLOOKUP($Q4404,매칭테이블!$F:$I,2,0)*K4404</f>
        <v/>
      </c>
      <c r="N4404" s="94">
        <f>M4404-M4404*VLOOKUP($Q4404,매칭테이블!$F:$I,3,0)</f>
        <v/>
      </c>
      <c r="O4404" s="94">
        <f>VLOOKUP($Q4404,매칭테이블!$F:$I,4,0)*K4404</f>
        <v/>
      </c>
      <c r="P4404" s="148">
        <f>M4404/1.1</f>
        <v/>
      </c>
      <c r="Q4404" s="94">
        <f>F4404&amp;E4404&amp;G4404&amp;L4404</f>
        <v/>
      </c>
    </row>
    <row r="4405">
      <c r="A4405" s="94" t="n"/>
      <c r="B4405" s="128" t="n">
        <v>43846</v>
      </c>
      <c r="C4405" s="94">
        <f>TEXT(B4405,"aaa")</f>
        <v/>
      </c>
      <c r="D4405" s="94" t="n"/>
      <c r="E4405" s="6" t="inlineStr">
        <is>
          <t>토너</t>
        </is>
      </c>
      <c r="F4405" s="5" t="inlineStr">
        <is>
          <t>카페24</t>
        </is>
      </c>
      <c r="G4405" s="5" t="inlineStr">
        <is>
          <t>500ml</t>
        </is>
      </c>
      <c r="H4405" s="7" t="n">
        <v>190801</v>
      </c>
      <c r="I4405" s="7" t="n">
        <v>190801</v>
      </c>
      <c r="J4405" s="94" t="n"/>
      <c r="K4405" s="149" t="n">
        <v>25</v>
      </c>
      <c r="L4405" s="7" t="n">
        <v>190801</v>
      </c>
      <c r="M4405" s="94">
        <f>VLOOKUP($Q4405,매칭테이블!$F:$I,2,0)*K4405</f>
        <v/>
      </c>
      <c r="N4405" s="94">
        <f>M4405-M4405*VLOOKUP($Q4405,매칭테이블!$F:$I,3,0)</f>
        <v/>
      </c>
      <c r="O4405" s="94">
        <f>VLOOKUP($Q4405,매칭테이블!$F:$I,4,0)*K4405</f>
        <v/>
      </c>
      <c r="P4405" s="148">
        <f>M4405/1.1</f>
        <v/>
      </c>
      <c r="Q4405" s="94">
        <f>F4405&amp;E4405&amp;G4405&amp;L4405</f>
        <v/>
      </c>
    </row>
    <row r="4406">
      <c r="A4406" s="94" t="n"/>
      <c r="B4406" s="128" t="n">
        <v>43846</v>
      </c>
      <c r="C4406" s="94">
        <f>TEXT(B4406,"aaa")</f>
        <v/>
      </c>
      <c r="D4406" s="94" t="n"/>
      <c r="E4406" s="6" t="inlineStr">
        <is>
          <t>토너</t>
        </is>
      </c>
      <c r="F4406" s="5" t="inlineStr">
        <is>
          <t>카페24</t>
        </is>
      </c>
      <c r="G4406" s="5" t="inlineStr">
        <is>
          <t>250ml</t>
        </is>
      </c>
      <c r="H4406" s="7" t="n">
        <v>190801</v>
      </c>
      <c r="I4406" s="7" t="n">
        <v>190801</v>
      </c>
      <c r="J4406" s="94" t="n"/>
      <c r="K4406" s="149" t="n">
        <v>31</v>
      </c>
      <c r="L4406" s="7" t="n">
        <v>190801</v>
      </c>
      <c r="M4406" s="94">
        <f>VLOOKUP($Q4406,매칭테이블!$F:$I,2,0)*K4406</f>
        <v/>
      </c>
      <c r="N4406" s="94">
        <f>M4406-M4406*VLOOKUP($Q4406,매칭테이블!$F:$I,3,0)</f>
        <v/>
      </c>
      <c r="O4406" s="94">
        <f>VLOOKUP($Q4406,매칭테이블!$F:$I,4,0)*K4406</f>
        <v/>
      </c>
      <c r="P4406" s="148">
        <f>M4406/1.1</f>
        <v/>
      </c>
      <c r="Q4406" s="94">
        <f>F4406&amp;E4406&amp;G4406&amp;L4406</f>
        <v/>
      </c>
    </row>
    <row r="4407">
      <c r="A4407" s="94" t="n"/>
      <c r="B4407" s="128" t="n">
        <v>43846</v>
      </c>
      <c r="C4407" s="94">
        <f>TEXT(B4407,"aaa")</f>
        <v/>
      </c>
      <c r="D4407" s="94" t="n"/>
      <c r="E4407" s="6" t="inlineStr">
        <is>
          <t>토너</t>
        </is>
      </c>
      <c r="F4407" s="5" t="inlineStr">
        <is>
          <t>카페24</t>
        </is>
      </c>
      <c r="G4407" s="5" t="inlineStr">
        <is>
          <t>250ml 2set</t>
        </is>
      </c>
      <c r="H4407" s="7" t="n">
        <v>190801</v>
      </c>
      <c r="I4407" s="7" t="n">
        <v>190801</v>
      </c>
      <c r="J4407" s="94" t="n"/>
      <c r="K4407" s="149" t="n">
        <v>22</v>
      </c>
      <c r="L4407" s="7" t="n">
        <v>190801</v>
      </c>
      <c r="M4407" s="94">
        <f>VLOOKUP($Q4407,매칭테이블!$F:$I,2,0)*K4407</f>
        <v/>
      </c>
      <c r="N4407" s="94">
        <f>M4407-M4407*VLOOKUP($Q4407,매칭테이블!$F:$I,3,0)</f>
        <v/>
      </c>
      <c r="O4407" s="94">
        <f>VLOOKUP($Q4407,매칭테이블!$F:$I,4,0)*K4407</f>
        <v/>
      </c>
      <c r="P4407" s="148">
        <f>M4407/1.1</f>
        <v/>
      </c>
      <c r="Q4407" s="94">
        <f>F4407&amp;E4407&amp;G4407&amp;L4407</f>
        <v/>
      </c>
    </row>
    <row r="4408">
      <c r="A4408" s="94" t="n"/>
      <c r="B4408" s="128" t="n">
        <v>43846</v>
      </c>
      <c r="C4408" s="94">
        <f>TEXT(B4408,"aaa")</f>
        <v/>
      </c>
      <c r="D4408" s="94" t="n"/>
      <c r="E4408" s="94" t="inlineStr">
        <is>
          <t>토너</t>
        </is>
      </c>
      <c r="F4408" s="94" t="inlineStr">
        <is>
          <t>큐텐</t>
        </is>
      </c>
      <c r="G4408" s="94" t="inlineStr">
        <is>
          <t>250ml</t>
        </is>
      </c>
      <c r="H4408" s="7" t="n">
        <v>190801</v>
      </c>
      <c r="I4408" s="7" t="n">
        <v>190801</v>
      </c>
      <c r="J4408" s="94" t="n"/>
      <c r="K4408" s="149" t="n">
        <v>2</v>
      </c>
      <c r="L4408" s="92" t="n">
        <v>190801</v>
      </c>
      <c r="M4408" s="94">
        <f>VLOOKUP($Q4408,매칭테이블!$F:$I,2,0)*K4408</f>
        <v/>
      </c>
      <c r="N4408" s="94">
        <f>M4408-M4408*VLOOKUP($Q4408,매칭테이블!$F:$I,3,0)</f>
        <v/>
      </c>
      <c r="O4408" s="94">
        <f>VLOOKUP($Q4408,매칭테이블!$F:$I,4,0)*K4408</f>
        <v/>
      </c>
      <c r="P4408" s="148">
        <f>M4408/1.1</f>
        <v/>
      </c>
      <c r="Q4408" s="94">
        <f>F4408&amp;E4408&amp;G4408&amp;L4408</f>
        <v/>
      </c>
    </row>
    <row r="4409">
      <c r="A4409" s="94" t="n"/>
      <c r="B4409" s="128" t="n">
        <v>43846</v>
      </c>
      <c r="C4409" s="94">
        <f>TEXT(B4409,"aaa")</f>
        <v/>
      </c>
      <c r="D4409" s="94" t="n"/>
      <c r="E4409" s="94" t="inlineStr">
        <is>
          <t>토너</t>
        </is>
      </c>
      <c r="F4409" s="94" t="inlineStr">
        <is>
          <t>큐텐</t>
        </is>
      </c>
      <c r="G4409" s="94" t="inlineStr">
        <is>
          <t>250ml 2set</t>
        </is>
      </c>
      <c r="H4409" s="7" t="n">
        <v>190801</v>
      </c>
      <c r="I4409" s="7" t="n">
        <v>190801</v>
      </c>
      <c r="J4409" s="94" t="n"/>
      <c r="K4409" s="149" t="n">
        <v>3</v>
      </c>
      <c r="L4409" s="92" t="n">
        <v>190801</v>
      </c>
      <c r="M4409" s="94">
        <f>VLOOKUP($Q4409,매칭테이블!$F:$I,2,0)*K4409</f>
        <v/>
      </c>
      <c r="N4409" s="94">
        <f>M4409-M4409*VLOOKUP($Q4409,매칭테이블!$F:$I,3,0)</f>
        <v/>
      </c>
      <c r="O4409" s="94">
        <f>VLOOKUP($Q4409,매칭테이블!$F:$I,4,0)*K4409</f>
        <v/>
      </c>
      <c r="P4409" s="148">
        <f>M4409/1.1</f>
        <v/>
      </c>
      <c r="Q4409" s="94">
        <f>F4409&amp;E4409&amp;G4409&amp;L4409</f>
        <v/>
      </c>
    </row>
    <row r="4410">
      <c r="A4410" s="94" t="n"/>
      <c r="B4410" s="128" t="n">
        <v>43847</v>
      </c>
      <c r="C4410" s="94">
        <f>TEXT(B4410,"aaa")</f>
        <v/>
      </c>
      <c r="D4410" s="94" t="n"/>
      <c r="E4410" s="6" t="inlineStr">
        <is>
          <t>토너</t>
        </is>
      </c>
      <c r="F4410" s="5" t="inlineStr">
        <is>
          <t>W컨셉</t>
        </is>
      </c>
      <c r="G4410" s="5" t="inlineStr">
        <is>
          <t>250ml 2set</t>
        </is>
      </c>
      <c r="H4410" s="7" t="n">
        <v>190801</v>
      </c>
      <c r="I4410" s="7" t="n">
        <v>190801</v>
      </c>
      <c r="J4410" s="94" t="n"/>
      <c r="K4410" s="149" t="n">
        <v>104</v>
      </c>
      <c r="L4410" s="7" t="n">
        <v>190801</v>
      </c>
      <c r="M4410" s="94">
        <f>VLOOKUP($Q4410,매칭테이블!$F:$I,2,0)*K4410</f>
        <v/>
      </c>
      <c r="N4410" s="94">
        <f>M4410-M4410*VLOOKUP($Q4410,매칭테이블!$F:$I,3,0)</f>
        <v/>
      </c>
      <c r="O4410" s="94">
        <f>VLOOKUP($Q4410,매칭테이블!$F:$I,4,0)*K4410</f>
        <v/>
      </c>
      <c r="P4410" s="148">
        <f>M4410/1.1</f>
        <v/>
      </c>
      <c r="Q4410" s="94">
        <f>F4410&amp;E4410&amp;G4410&amp;L4410</f>
        <v/>
      </c>
    </row>
    <row r="4411">
      <c r="A4411" s="94" t="n"/>
      <c r="B4411" s="128" t="n">
        <v>43847</v>
      </c>
      <c r="C4411" s="94">
        <f>TEXT(B4411,"aaa")</f>
        <v/>
      </c>
      <c r="D4411" s="94" t="n"/>
      <c r="E4411" s="6" t="inlineStr">
        <is>
          <t>토너</t>
        </is>
      </c>
      <c r="F4411" s="94" t="inlineStr">
        <is>
          <t>카페24</t>
        </is>
      </c>
      <c r="G4411" s="94" t="inlineStr">
        <is>
          <t>스킨팩 화장솜 60P</t>
        </is>
      </c>
      <c r="H4411" s="7" t="n">
        <v>190801</v>
      </c>
      <c r="I4411" s="7" t="n">
        <v>190801</v>
      </c>
      <c r="J4411" s="94" t="n"/>
      <c r="K4411" s="149" t="n">
        <v>8</v>
      </c>
      <c r="L4411" s="94" t="n">
        <v>190801</v>
      </c>
      <c r="M4411" s="94">
        <f>VLOOKUP($Q4411,매칭테이블!$F:$I,2,0)*K4411</f>
        <v/>
      </c>
      <c r="N4411" s="94">
        <f>M4411-M4411*VLOOKUP($Q4411,매칭테이블!$F:$I,3,0)</f>
        <v/>
      </c>
      <c r="O4411" s="94">
        <f>VLOOKUP($Q4411,매칭테이블!$F:$I,4,0)*K4411</f>
        <v/>
      </c>
      <c r="P4411" s="148">
        <f>M4411/1.1</f>
        <v/>
      </c>
      <c r="Q4411" s="94">
        <f>F4411&amp;E4411&amp;G4411&amp;L4411</f>
        <v/>
      </c>
    </row>
    <row r="4412">
      <c r="A4412" s="94" t="n"/>
      <c r="B4412" s="128" t="n">
        <v>43847</v>
      </c>
      <c r="C4412" s="94">
        <f>TEXT(B4412,"aaa")</f>
        <v/>
      </c>
      <c r="D4412" s="94" t="n"/>
      <c r="E4412" s="94" t="inlineStr">
        <is>
          <t>머드크림마스크</t>
        </is>
      </c>
      <c r="F4412" s="94" t="inlineStr">
        <is>
          <t>카페24</t>
        </is>
      </c>
      <c r="G4412" s="94" t="inlineStr">
        <is>
          <t>머드크림마스크 100ml</t>
        </is>
      </c>
      <c r="H4412" s="7" t="n">
        <v>190801</v>
      </c>
      <c r="I4412" s="7" t="n">
        <v>190801</v>
      </c>
      <c r="J4412" s="94" t="n"/>
      <c r="K4412" s="149" t="n">
        <v>2</v>
      </c>
      <c r="L4412" s="94" t="n">
        <v>190801</v>
      </c>
      <c r="M4412" s="94">
        <f>VLOOKUP($Q4412,매칭테이블!$F:$I,2,0)*K4412</f>
        <v/>
      </c>
      <c r="N4412" s="94">
        <f>M4412-M4412*VLOOKUP($Q4412,매칭테이블!$F:$I,3,0)</f>
        <v/>
      </c>
      <c r="O4412" s="94">
        <f>VLOOKUP($Q4412,매칭테이블!$F:$I,4,0)*K4412</f>
        <v/>
      </c>
      <c r="P4412" s="148">
        <f>M4412/1.1</f>
        <v/>
      </c>
      <c r="Q4412" s="94">
        <f>F4412&amp;E4412&amp;G4412&amp;L4412</f>
        <v/>
      </c>
    </row>
    <row r="4413">
      <c r="A4413" s="94" t="n"/>
      <c r="B4413" s="128" t="n">
        <v>43847</v>
      </c>
      <c r="C4413" s="94">
        <f>TEXT(B4413,"aaa")</f>
        <v/>
      </c>
      <c r="D4413" s="94" t="n"/>
      <c r="E4413" s="6" t="inlineStr">
        <is>
          <t>토너</t>
        </is>
      </c>
      <c r="F4413" s="5" t="inlineStr">
        <is>
          <t>카페24</t>
        </is>
      </c>
      <c r="G4413" s="5" t="inlineStr">
        <is>
          <t>500ml</t>
        </is>
      </c>
      <c r="H4413" s="7" t="n">
        <v>190801</v>
      </c>
      <c r="I4413" s="7" t="n">
        <v>190801</v>
      </c>
      <c r="J4413" s="94" t="n"/>
      <c r="K4413" s="149" t="n">
        <v>24</v>
      </c>
      <c r="L4413" s="7" t="n">
        <v>190801</v>
      </c>
      <c r="M4413" s="94">
        <f>VLOOKUP($Q4413,매칭테이블!$F:$I,2,0)*K4413</f>
        <v/>
      </c>
      <c r="N4413" s="94">
        <f>M4413-M4413*VLOOKUP($Q4413,매칭테이블!$F:$I,3,0)</f>
        <v/>
      </c>
      <c r="O4413" s="94">
        <f>VLOOKUP($Q4413,매칭테이블!$F:$I,4,0)*K4413</f>
        <v/>
      </c>
      <c r="P4413" s="148">
        <f>M4413/1.1</f>
        <v/>
      </c>
      <c r="Q4413" s="94">
        <f>F4413&amp;E4413&amp;G4413&amp;L4413</f>
        <v/>
      </c>
    </row>
    <row r="4414">
      <c r="A4414" s="94" t="n"/>
      <c r="B4414" s="128" t="n">
        <v>43847</v>
      </c>
      <c r="C4414" s="94">
        <f>TEXT(B4414,"aaa")</f>
        <v/>
      </c>
      <c r="D4414" s="94" t="n"/>
      <c r="E4414" s="6" t="inlineStr">
        <is>
          <t>토너</t>
        </is>
      </c>
      <c r="F4414" s="5" t="inlineStr">
        <is>
          <t>카페24</t>
        </is>
      </c>
      <c r="G4414" s="5" t="inlineStr">
        <is>
          <t>250ml</t>
        </is>
      </c>
      <c r="H4414" s="7" t="n">
        <v>190801</v>
      </c>
      <c r="I4414" s="7" t="n">
        <v>190801</v>
      </c>
      <c r="J4414" s="94" t="n"/>
      <c r="K4414" s="149" t="n">
        <v>39</v>
      </c>
      <c r="L4414" s="7" t="n">
        <v>190801</v>
      </c>
      <c r="M4414" s="94">
        <f>VLOOKUP($Q4414,매칭테이블!$F:$I,2,0)*K4414</f>
        <v/>
      </c>
      <c r="N4414" s="94">
        <f>M4414-M4414*VLOOKUP($Q4414,매칭테이블!$F:$I,3,0)</f>
        <v/>
      </c>
      <c r="O4414" s="94">
        <f>VLOOKUP($Q4414,매칭테이블!$F:$I,4,0)*K4414</f>
        <v/>
      </c>
      <c r="P4414" s="148">
        <f>M4414/1.1</f>
        <v/>
      </c>
      <c r="Q4414" s="94">
        <f>F4414&amp;E4414&amp;G4414&amp;L4414</f>
        <v/>
      </c>
    </row>
    <row r="4415">
      <c r="A4415" s="94" t="n"/>
      <c r="B4415" s="128" t="n">
        <v>43847</v>
      </c>
      <c r="C4415" s="94">
        <f>TEXT(B4415,"aaa")</f>
        <v/>
      </c>
      <c r="D4415" s="94" t="n"/>
      <c r="E4415" s="6" t="inlineStr">
        <is>
          <t>토너</t>
        </is>
      </c>
      <c r="F4415" s="5" t="inlineStr">
        <is>
          <t>카페24</t>
        </is>
      </c>
      <c r="G4415" s="5" t="inlineStr">
        <is>
          <t>250ml 2set</t>
        </is>
      </c>
      <c r="H4415" s="7" t="n">
        <v>190801</v>
      </c>
      <c r="I4415" s="7" t="n">
        <v>190801</v>
      </c>
      <c r="J4415" s="94" t="n"/>
      <c r="K4415" s="149" t="n">
        <v>27</v>
      </c>
      <c r="L4415" s="7" t="n">
        <v>190801</v>
      </c>
      <c r="M4415" s="94">
        <f>VLOOKUP($Q4415,매칭테이블!$F:$I,2,0)*K4415</f>
        <v/>
      </c>
      <c r="N4415" s="94">
        <f>M4415-M4415*VLOOKUP($Q4415,매칭테이블!$F:$I,3,0)</f>
        <v/>
      </c>
      <c r="O4415" s="94">
        <f>VLOOKUP($Q4415,매칭테이블!$F:$I,4,0)*K4415</f>
        <v/>
      </c>
      <c r="P4415" s="148">
        <f>M4415/1.1</f>
        <v/>
      </c>
      <c r="Q4415" s="94">
        <f>F4415&amp;E4415&amp;G4415&amp;L4415</f>
        <v/>
      </c>
    </row>
    <row r="4416">
      <c r="A4416" s="94" t="n"/>
      <c r="B4416" s="128" t="n">
        <v>43847</v>
      </c>
      <c r="C4416" s="94">
        <f>TEXT(B4416,"aaa")</f>
        <v/>
      </c>
      <c r="D4416" s="94" t="n"/>
      <c r="E4416" s="94" t="inlineStr">
        <is>
          <t>토너</t>
        </is>
      </c>
      <c r="F4416" s="94" t="inlineStr">
        <is>
          <t>큐텐</t>
        </is>
      </c>
      <c r="G4416" s="94" t="inlineStr">
        <is>
          <t>250ml</t>
        </is>
      </c>
      <c r="H4416" s="7" t="n">
        <v>190801</v>
      </c>
      <c r="I4416" s="7" t="n">
        <v>190801</v>
      </c>
      <c r="J4416" s="94" t="n"/>
      <c r="K4416" s="149" t="n">
        <v>1</v>
      </c>
      <c r="L4416" s="92" t="n">
        <v>190801</v>
      </c>
      <c r="M4416" s="94">
        <f>VLOOKUP($Q4416,매칭테이블!$F:$I,2,0)*K4416</f>
        <v/>
      </c>
      <c r="N4416" s="94">
        <f>M4416-M4416*VLOOKUP($Q4416,매칭테이블!$F:$I,3,0)</f>
        <v/>
      </c>
      <c r="O4416" s="94">
        <f>VLOOKUP($Q4416,매칭테이블!$F:$I,4,0)*K4416</f>
        <v/>
      </c>
      <c r="P4416" s="148">
        <f>M4416/1.1</f>
        <v/>
      </c>
      <c r="Q4416" s="94">
        <f>F4416&amp;E4416&amp;G4416&amp;L4416</f>
        <v/>
      </c>
    </row>
    <row r="4417">
      <c r="A4417" s="94" t="n"/>
      <c r="B4417" s="128" t="n">
        <v>43847</v>
      </c>
      <c r="C4417" s="94">
        <f>TEXT(B4417,"aaa")</f>
        <v/>
      </c>
      <c r="D4417" s="94" t="n"/>
      <c r="E4417" s="94" t="inlineStr">
        <is>
          <t>토너</t>
        </is>
      </c>
      <c r="F4417" s="94" t="inlineStr">
        <is>
          <t>큐텐</t>
        </is>
      </c>
      <c r="G4417" s="94" t="inlineStr">
        <is>
          <t>250ml 2set</t>
        </is>
      </c>
      <c r="H4417" s="7" t="n">
        <v>190801</v>
      </c>
      <c r="I4417" s="7" t="n">
        <v>190801</v>
      </c>
      <c r="J4417" s="94" t="n"/>
      <c r="K4417" s="149" t="n">
        <v>2</v>
      </c>
      <c r="L4417" s="92" t="n">
        <v>190801</v>
      </c>
      <c r="M4417" s="94">
        <f>VLOOKUP($Q4417,매칭테이블!$F:$I,2,0)*K4417</f>
        <v/>
      </c>
      <c r="N4417" s="94">
        <f>M4417-M4417*VLOOKUP($Q4417,매칭테이블!$F:$I,3,0)</f>
        <v/>
      </c>
      <c r="O4417" s="94">
        <f>VLOOKUP($Q4417,매칭테이블!$F:$I,4,0)*K4417</f>
        <v/>
      </c>
      <c r="P4417" s="148">
        <f>M4417/1.1</f>
        <v/>
      </c>
      <c r="Q4417" s="94">
        <f>F4417&amp;E4417&amp;G4417&amp;L4417</f>
        <v/>
      </c>
    </row>
    <row r="4418">
      <c r="A4418" s="94" t="n"/>
      <c r="B4418" s="128" t="n">
        <v>43848</v>
      </c>
      <c r="C4418" s="94">
        <f>TEXT(B4418,"aaa")</f>
        <v/>
      </c>
      <c r="D4418" s="94" t="n"/>
      <c r="E4418" s="6" t="inlineStr">
        <is>
          <t>토너</t>
        </is>
      </c>
      <c r="F4418" s="5" t="inlineStr">
        <is>
          <t>W컨셉</t>
        </is>
      </c>
      <c r="G4418" s="5" t="inlineStr">
        <is>
          <t>250ml 2set</t>
        </is>
      </c>
      <c r="H4418" s="7" t="n">
        <v>190801</v>
      </c>
      <c r="I4418" s="7" t="n">
        <v>190801</v>
      </c>
      <c r="J4418" s="94" t="n"/>
      <c r="K4418" s="149" t="n">
        <v>2</v>
      </c>
      <c r="L4418" s="7" t="n">
        <v>190801</v>
      </c>
      <c r="M4418" s="94">
        <f>VLOOKUP($Q4418,매칭테이블!$F:$I,2,0)*K4418</f>
        <v/>
      </c>
      <c r="N4418" s="94">
        <f>M4418-M4418*VLOOKUP($Q4418,매칭테이블!$F:$I,3,0)</f>
        <v/>
      </c>
      <c r="O4418" s="94">
        <f>VLOOKUP($Q4418,매칭테이블!$F:$I,4,0)*K4418</f>
        <v/>
      </c>
      <c r="P4418" s="148">
        <f>M4418/1.1</f>
        <v/>
      </c>
      <c r="Q4418" s="94">
        <f>F4418&amp;E4418&amp;G4418&amp;L4418</f>
        <v/>
      </c>
    </row>
    <row r="4419">
      <c r="A4419" s="94" t="n"/>
      <c r="B4419" s="128" t="n">
        <v>43848</v>
      </c>
      <c r="C4419" s="94">
        <f>TEXT(B4419,"aaa")</f>
        <v/>
      </c>
      <c r="D4419" s="94" t="n"/>
      <c r="E4419" s="94" t="inlineStr">
        <is>
          <t>화장솜</t>
        </is>
      </c>
      <c r="F4419" s="94" t="inlineStr">
        <is>
          <t>카페24</t>
        </is>
      </c>
      <c r="G4419" s="94" t="inlineStr">
        <is>
          <t>스킨팩 화장솜 60P</t>
        </is>
      </c>
      <c r="H4419" s="7" t="n">
        <v>190801</v>
      </c>
      <c r="I4419" s="7" t="n">
        <v>190801</v>
      </c>
      <c r="J4419" s="94" t="n"/>
      <c r="K4419" s="149" t="n">
        <v>2</v>
      </c>
      <c r="L4419" s="94" t="n">
        <v>190801</v>
      </c>
      <c r="M4419" s="94">
        <f>VLOOKUP($Q4419,매칭테이블!$F:$I,2,0)*K4419</f>
        <v/>
      </c>
      <c r="N4419" s="94">
        <f>M4419-M4419*VLOOKUP($Q4419,매칭테이블!$F:$I,3,0)</f>
        <v/>
      </c>
      <c r="O4419" s="94">
        <f>VLOOKUP($Q4419,매칭테이블!$F:$I,4,0)*K4419</f>
        <v/>
      </c>
      <c r="P4419" s="148">
        <f>M4419/1.1</f>
        <v/>
      </c>
      <c r="Q4419" s="94">
        <f>F4419&amp;E4419&amp;G4419&amp;L4419</f>
        <v/>
      </c>
    </row>
    <row r="4420">
      <c r="A4420" s="94" t="n"/>
      <c r="B4420" s="128" t="n">
        <v>43848</v>
      </c>
      <c r="C4420" s="94">
        <f>TEXT(B4420,"aaa")</f>
        <v/>
      </c>
      <c r="D4420" s="94" t="n"/>
      <c r="E4420" s="94" t="inlineStr">
        <is>
          <t>머드크림마스크</t>
        </is>
      </c>
      <c r="F4420" s="94" t="inlineStr">
        <is>
          <t>카페24</t>
        </is>
      </c>
      <c r="G4420" s="94" t="inlineStr">
        <is>
          <t>머드크림마스크 100ml</t>
        </is>
      </c>
      <c r="H4420" s="7" t="n">
        <v>190801</v>
      </c>
      <c r="I4420" s="7" t="n">
        <v>190801</v>
      </c>
      <c r="J4420" s="94" t="n"/>
      <c r="K4420" s="149" t="n">
        <v>2</v>
      </c>
      <c r="L4420" s="94" t="n">
        <v>190801</v>
      </c>
      <c r="M4420" s="94">
        <f>VLOOKUP($Q4420,매칭테이블!$F:$I,2,0)*K4420</f>
        <v/>
      </c>
      <c r="N4420" s="94">
        <f>M4420-M4420*VLOOKUP($Q4420,매칭테이블!$F:$I,3,0)</f>
        <v/>
      </c>
      <c r="O4420" s="94">
        <f>VLOOKUP($Q4420,매칭테이블!$F:$I,4,0)*K4420</f>
        <v/>
      </c>
      <c r="P4420" s="148">
        <f>M4420/1.1</f>
        <v/>
      </c>
      <c r="Q4420" s="94">
        <f>F4420&amp;E4420&amp;G4420&amp;L4420</f>
        <v/>
      </c>
    </row>
    <row r="4421" customFormat="1" s="94">
      <c r="B4421" s="128" t="n">
        <v>43848</v>
      </c>
      <c r="C4421" s="94">
        <f>TEXT(B4421,"aaa")</f>
        <v/>
      </c>
      <c r="E4421" s="6" t="inlineStr">
        <is>
          <t>토너</t>
        </is>
      </c>
      <c r="F4421" s="5" t="inlineStr">
        <is>
          <t>카페24</t>
        </is>
      </c>
      <c r="G4421" s="94" t="inlineStr">
        <is>
          <t>스킨팩 화장솜 60P</t>
        </is>
      </c>
      <c r="H4421" s="7" t="n">
        <v>190801</v>
      </c>
      <c r="I4421" s="7" t="n">
        <v>190801</v>
      </c>
      <c r="K4421" s="149" t="n">
        <v>20</v>
      </c>
      <c r="L4421" s="94" t="n">
        <v>190801</v>
      </c>
      <c r="M4421" s="94">
        <f>VLOOKUP($Q4421,매칭테이블!$F:$I,2,0)*K4421</f>
        <v/>
      </c>
      <c r="N4421" s="94">
        <f>M4421-M4421*VLOOKUP($Q4421,매칭테이블!$F:$I,3,0)</f>
        <v/>
      </c>
      <c r="O4421" s="94">
        <f>VLOOKUP($Q4421,매칭테이블!$F:$I,4,0)*K4421</f>
        <v/>
      </c>
      <c r="P4421" s="148">
        <f>M4421/1.1</f>
        <v/>
      </c>
      <c r="Q4421" s="94">
        <f>F4421&amp;E4421&amp;G4421&amp;L4421</f>
        <v/>
      </c>
    </row>
    <row r="4422">
      <c r="A4422" s="94" t="n"/>
      <c r="B4422" s="128" t="n">
        <v>43848</v>
      </c>
      <c r="C4422" s="94">
        <f>TEXT(B4422,"aaa")</f>
        <v/>
      </c>
      <c r="D4422" s="94" t="n"/>
      <c r="E4422" s="6" t="inlineStr">
        <is>
          <t>토너</t>
        </is>
      </c>
      <c r="F4422" s="5" t="inlineStr">
        <is>
          <t>카페24</t>
        </is>
      </c>
      <c r="G4422" s="5" t="inlineStr">
        <is>
          <t>500ml</t>
        </is>
      </c>
      <c r="H4422" s="7" t="n">
        <v>190801</v>
      </c>
      <c r="I4422" s="7" t="n">
        <v>190801</v>
      </c>
      <c r="J4422" s="94" t="n"/>
      <c r="K4422" s="149" t="n">
        <v>20</v>
      </c>
      <c r="L4422" s="7" t="n">
        <v>190801</v>
      </c>
      <c r="M4422" s="94">
        <f>VLOOKUP($Q4422,매칭테이블!$F:$I,2,0)*K4422</f>
        <v/>
      </c>
      <c r="N4422" s="94">
        <f>M4422-M4422*VLOOKUP($Q4422,매칭테이블!$F:$I,3,0)</f>
        <v/>
      </c>
      <c r="O4422" s="94">
        <f>VLOOKUP($Q4422,매칭테이블!$F:$I,4,0)*K4422</f>
        <v/>
      </c>
      <c r="P4422" s="148">
        <f>M4422/1.1</f>
        <v/>
      </c>
      <c r="Q4422" s="94">
        <f>F4422&amp;E4422&amp;G4422&amp;L4422</f>
        <v/>
      </c>
    </row>
    <row r="4423">
      <c r="A4423" s="94" t="n"/>
      <c r="B4423" s="128" t="n">
        <v>43848</v>
      </c>
      <c r="C4423" s="94">
        <f>TEXT(B4423,"aaa")</f>
        <v/>
      </c>
      <c r="D4423" s="94" t="n"/>
      <c r="E4423" s="6" t="inlineStr">
        <is>
          <t>토너</t>
        </is>
      </c>
      <c r="F4423" s="5" t="inlineStr">
        <is>
          <t>카페24</t>
        </is>
      </c>
      <c r="G4423" s="5" t="inlineStr">
        <is>
          <t>250ml</t>
        </is>
      </c>
      <c r="H4423" s="7" t="n">
        <v>190801</v>
      </c>
      <c r="I4423" s="7" t="n">
        <v>190801</v>
      </c>
      <c r="J4423" s="94" t="n"/>
      <c r="K4423" s="149" t="n">
        <v>37</v>
      </c>
      <c r="L4423" s="7" t="n">
        <v>190801</v>
      </c>
      <c r="M4423" s="94">
        <f>VLOOKUP($Q4423,매칭테이블!$F:$I,2,0)*K4423</f>
        <v/>
      </c>
      <c r="N4423" s="94">
        <f>M4423-M4423*VLOOKUP($Q4423,매칭테이블!$F:$I,3,0)</f>
        <v/>
      </c>
      <c r="O4423" s="94">
        <f>VLOOKUP($Q4423,매칭테이블!$F:$I,4,0)*K4423</f>
        <v/>
      </c>
      <c r="P4423" s="148">
        <f>M4423/1.1</f>
        <v/>
      </c>
      <c r="Q4423" s="94">
        <f>F4423&amp;E4423&amp;G4423&amp;L4423</f>
        <v/>
      </c>
    </row>
    <row r="4424">
      <c r="A4424" s="94" t="n"/>
      <c r="B4424" s="128" t="n">
        <v>43848</v>
      </c>
      <c r="C4424" s="94">
        <f>TEXT(B4424,"aaa")</f>
        <v/>
      </c>
      <c r="D4424" s="94" t="n"/>
      <c r="E4424" s="6" t="inlineStr">
        <is>
          <t>토너</t>
        </is>
      </c>
      <c r="F4424" s="5" t="inlineStr">
        <is>
          <t>카페24</t>
        </is>
      </c>
      <c r="G4424" s="5" t="inlineStr">
        <is>
          <t>250ml 2set</t>
        </is>
      </c>
      <c r="H4424" s="7" t="n">
        <v>190801</v>
      </c>
      <c r="I4424" s="7" t="n">
        <v>190801</v>
      </c>
      <c r="J4424" s="94" t="n"/>
      <c r="K4424" s="149" t="n">
        <v>24</v>
      </c>
      <c r="L4424" s="7" t="n">
        <v>190801</v>
      </c>
      <c r="M4424" s="94">
        <f>VLOOKUP($Q4424,매칭테이블!$F:$I,2,0)*K4424</f>
        <v/>
      </c>
      <c r="N4424" s="94">
        <f>M4424-M4424*VLOOKUP($Q4424,매칭테이블!$F:$I,3,0)</f>
        <v/>
      </c>
      <c r="O4424" s="94">
        <f>VLOOKUP($Q4424,매칭테이블!$F:$I,4,0)*K4424</f>
        <v/>
      </c>
      <c r="P4424" s="148">
        <f>M4424/1.1</f>
        <v/>
      </c>
      <c r="Q4424" s="94">
        <f>F4424&amp;E4424&amp;G4424&amp;L4424</f>
        <v/>
      </c>
    </row>
    <row r="4425">
      <c r="A4425" s="94" t="n"/>
      <c r="B4425" s="128" t="n">
        <v>43849</v>
      </c>
      <c r="C4425" s="94">
        <f>TEXT(B4425,"aaa")</f>
        <v/>
      </c>
      <c r="D4425" s="94" t="n"/>
      <c r="E4425" s="6" t="inlineStr">
        <is>
          <t>토너</t>
        </is>
      </c>
      <c r="F4425" s="5" t="inlineStr">
        <is>
          <t>W컨셉</t>
        </is>
      </c>
      <c r="G4425" s="5" t="inlineStr">
        <is>
          <t>250ml 2set</t>
        </is>
      </c>
      <c r="H4425" s="7" t="n">
        <v>190801</v>
      </c>
      <c r="I4425" s="7" t="n">
        <v>190801</v>
      </c>
      <c r="J4425" s="94" t="n"/>
      <c r="K4425" s="149" t="n">
        <v>3</v>
      </c>
      <c r="L4425" s="7" t="n">
        <v>190801</v>
      </c>
      <c r="M4425" s="94">
        <f>VLOOKUP($Q4425,매칭테이블!$F:$I,2,0)*K4425</f>
        <v/>
      </c>
      <c r="N4425" s="94">
        <f>M4425-M4425*VLOOKUP($Q4425,매칭테이블!$F:$I,3,0)</f>
        <v/>
      </c>
      <c r="O4425" s="94">
        <f>VLOOKUP($Q4425,매칭테이블!$F:$I,4,0)*K4425</f>
        <v/>
      </c>
      <c r="P4425" s="148">
        <f>M4425/1.1</f>
        <v/>
      </c>
      <c r="Q4425" s="94">
        <f>F4425&amp;E4425&amp;G4425&amp;L4425</f>
        <v/>
      </c>
    </row>
    <row r="4426">
      <c r="A4426" s="94" t="n"/>
      <c r="B4426" s="128" t="n">
        <v>43849</v>
      </c>
      <c r="C4426" s="94">
        <f>TEXT(B4426,"aaa")</f>
        <v/>
      </c>
      <c r="D4426" s="94" t="n"/>
      <c r="E4426" s="94" t="inlineStr">
        <is>
          <t>화장솜</t>
        </is>
      </c>
      <c r="F4426" s="94" t="inlineStr">
        <is>
          <t>카페24</t>
        </is>
      </c>
      <c r="G4426" s="94" t="inlineStr">
        <is>
          <t>스킨팩 화장솜 60P</t>
        </is>
      </c>
      <c r="H4426" s="7" t="n">
        <v>190801</v>
      </c>
      <c r="I4426" s="7" t="n">
        <v>190801</v>
      </c>
      <c r="J4426" s="94" t="n"/>
      <c r="K4426" s="149" t="n">
        <v>7</v>
      </c>
      <c r="L4426" s="94" t="n">
        <v>190801</v>
      </c>
      <c r="M4426" s="94">
        <f>VLOOKUP($Q4426,매칭테이블!$F:$I,2,0)*K4426</f>
        <v/>
      </c>
      <c r="N4426" s="94">
        <f>M4426-M4426*VLOOKUP($Q4426,매칭테이블!$F:$I,3,0)</f>
        <v/>
      </c>
      <c r="O4426" s="94">
        <f>VLOOKUP($Q4426,매칭테이블!$F:$I,4,0)*K4426</f>
        <v/>
      </c>
      <c r="P4426" s="148">
        <f>M4426/1.1</f>
        <v/>
      </c>
      <c r="Q4426" s="94">
        <f>F4426&amp;E4426&amp;G4426&amp;L4426</f>
        <v/>
      </c>
    </row>
    <row r="4427">
      <c r="A4427" s="94" t="n"/>
      <c r="B4427" s="128" t="n">
        <v>43849</v>
      </c>
      <c r="C4427" s="94">
        <f>TEXT(B4427,"aaa")</f>
        <v/>
      </c>
      <c r="D4427" s="94" t="n"/>
      <c r="E4427" s="94" t="inlineStr">
        <is>
          <t>머드크림마스크</t>
        </is>
      </c>
      <c r="F4427" s="94" t="inlineStr">
        <is>
          <t>카페24</t>
        </is>
      </c>
      <c r="G4427" s="94" t="inlineStr">
        <is>
          <t>머드크림마스크 100ml</t>
        </is>
      </c>
      <c r="H4427" s="7" t="n">
        <v>190801</v>
      </c>
      <c r="I4427" s="7" t="n">
        <v>190801</v>
      </c>
      <c r="J4427" s="94" t="n"/>
      <c r="K4427" s="149" t="n">
        <v>3</v>
      </c>
      <c r="L4427" s="94" t="n">
        <v>190801</v>
      </c>
      <c r="M4427" s="94">
        <f>VLOOKUP($Q4427,매칭테이블!$F:$I,2,0)*K4427</f>
        <v/>
      </c>
      <c r="N4427" s="94">
        <f>M4427-M4427*VLOOKUP($Q4427,매칭테이블!$F:$I,3,0)</f>
        <v/>
      </c>
      <c r="O4427" s="94">
        <f>VLOOKUP($Q4427,매칭테이블!$F:$I,4,0)*K4427</f>
        <v/>
      </c>
      <c r="P4427" s="148">
        <f>M4427/1.1</f>
        <v/>
      </c>
      <c r="Q4427" s="94">
        <f>F4427&amp;E4427&amp;G4427&amp;L4427</f>
        <v/>
      </c>
    </row>
    <row r="4428" customFormat="1" s="94">
      <c r="B4428" s="128" t="n">
        <v>43849</v>
      </c>
      <c r="C4428" s="94">
        <f>TEXT(B4428,"aaa")</f>
        <v/>
      </c>
      <c r="E4428" s="6" t="inlineStr">
        <is>
          <t>토너</t>
        </is>
      </c>
      <c r="F4428" s="5" t="inlineStr">
        <is>
          <t>카페24</t>
        </is>
      </c>
      <c r="G4428" s="94" t="inlineStr">
        <is>
          <t>스킨팩 화장솜 60P</t>
        </is>
      </c>
      <c r="H4428" s="7" t="n">
        <v>190801</v>
      </c>
      <c r="I4428" s="7" t="n">
        <v>190801</v>
      </c>
      <c r="K4428" s="149" t="n">
        <v>18</v>
      </c>
      <c r="L4428" s="94" t="n">
        <v>190801</v>
      </c>
      <c r="M4428" s="94">
        <f>VLOOKUP($Q4428,매칭테이블!$F:$I,2,0)*K4428</f>
        <v/>
      </c>
      <c r="N4428" s="94">
        <f>M4428-M4428*VLOOKUP($Q4428,매칭테이블!$F:$I,3,0)</f>
        <v/>
      </c>
      <c r="O4428" s="94">
        <f>VLOOKUP($Q4428,매칭테이블!$F:$I,4,0)*K4428</f>
        <v/>
      </c>
      <c r="P4428" s="148">
        <f>M4428/1.1</f>
        <v/>
      </c>
      <c r="Q4428" s="94">
        <f>F4428&amp;E4428&amp;G4428&amp;L4428</f>
        <v/>
      </c>
    </row>
    <row r="4429">
      <c r="A4429" s="94" t="n"/>
      <c r="B4429" s="128" t="n">
        <v>43849</v>
      </c>
      <c r="C4429" s="94">
        <f>TEXT(B4429,"aaa")</f>
        <v/>
      </c>
      <c r="D4429" s="94" t="n"/>
      <c r="E4429" s="6" t="inlineStr">
        <is>
          <t>토너</t>
        </is>
      </c>
      <c r="F4429" s="5" t="inlineStr">
        <is>
          <t>카페24</t>
        </is>
      </c>
      <c r="G4429" s="5" t="inlineStr">
        <is>
          <t>500ml</t>
        </is>
      </c>
      <c r="H4429" s="7" t="n">
        <v>190801</v>
      </c>
      <c r="I4429" s="7" t="n">
        <v>190801</v>
      </c>
      <c r="J4429" s="94" t="n"/>
      <c r="K4429" s="149" t="n">
        <v>22</v>
      </c>
      <c r="L4429" s="7" t="n">
        <v>190801</v>
      </c>
      <c r="M4429" s="94">
        <f>VLOOKUP($Q4429,매칭테이블!$F:$I,2,0)*K4429</f>
        <v/>
      </c>
      <c r="N4429" s="94">
        <f>M4429-M4429*VLOOKUP($Q4429,매칭테이블!$F:$I,3,0)</f>
        <v/>
      </c>
      <c r="O4429" s="94">
        <f>VLOOKUP($Q4429,매칭테이블!$F:$I,4,0)*K4429</f>
        <v/>
      </c>
      <c r="P4429" s="148">
        <f>M4429/1.1</f>
        <v/>
      </c>
      <c r="Q4429" s="94">
        <f>F4429&amp;E4429&amp;G4429&amp;L4429</f>
        <v/>
      </c>
    </row>
    <row r="4430">
      <c r="A4430" s="94" t="n"/>
      <c r="B4430" s="128" t="n">
        <v>43849</v>
      </c>
      <c r="C4430" s="94">
        <f>TEXT(B4430,"aaa")</f>
        <v/>
      </c>
      <c r="D4430" s="94" t="n"/>
      <c r="E4430" s="6" t="inlineStr">
        <is>
          <t>토너</t>
        </is>
      </c>
      <c r="F4430" s="5" t="inlineStr">
        <is>
          <t>카페24</t>
        </is>
      </c>
      <c r="G4430" s="5" t="inlineStr">
        <is>
          <t>250ml</t>
        </is>
      </c>
      <c r="H4430" s="7" t="n">
        <v>190801</v>
      </c>
      <c r="I4430" s="7" t="n">
        <v>190801</v>
      </c>
      <c r="J4430" s="94" t="n"/>
      <c r="K4430" s="149" t="n">
        <v>40</v>
      </c>
      <c r="L4430" s="7" t="n">
        <v>190801</v>
      </c>
      <c r="M4430" s="94">
        <f>VLOOKUP($Q4430,매칭테이블!$F:$I,2,0)*K4430</f>
        <v/>
      </c>
      <c r="N4430" s="94">
        <f>M4430-M4430*VLOOKUP($Q4430,매칭테이블!$F:$I,3,0)</f>
        <v/>
      </c>
      <c r="O4430" s="94">
        <f>VLOOKUP($Q4430,매칭테이블!$F:$I,4,0)*K4430</f>
        <v/>
      </c>
      <c r="P4430" s="148">
        <f>M4430/1.1</f>
        <v/>
      </c>
      <c r="Q4430" s="94">
        <f>F4430&amp;E4430&amp;G4430&amp;L4430</f>
        <v/>
      </c>
    </row>
    <row r="4431">
      <c r="A4431" s="94" t="n"/>
      <c r="B4431" s="128" t="n">
        <v>43849</v>
      </c>
      <c r="C4431" s="94">
        <f>TEXT(B4431,"aaa")</f>
        <v/>
      </c>
      <c r="D4431" s="94" t="n"/>
      <c r="E4431" s="6" t="inlineStr">
        <is>
          <t>토너</t>
        </is>
      </c>
      <c r="F4431" s="5" t="inlineStr">
        <is>
          <t>카페24</t>
        </is>
      </c>
      <c r="G4431" s="5" t="inlineStr">
        <is>
          <t>250ml 2set</t>
        </is>
      </c>
      <c r="H4431" s="7" t="n">
        <v>190801</v>
      </c>
      <c r="I4431" s="7" t="n">
        <v>190801</v>
      </c>
      <c r="J4431" s="94" t="n"/>
      <c r="K4431" s="149" t="n">
        <v>28</v>
      </c>
      <c r="L4431" s="7" t="n">
        <v>190801</v>
      </c>
      <c r="M4431" s="94">
        <f>VLOOKUP($Q4431,매칭테이블!$F:$I,2,0)*K4431</f>
        <v/>
      </c>
      <c r="N4431" s="94">
        <f>M4431-M4431*VLOOKUP($Q4431,매칭테이블!$F:$I,3,0)</f>
        <v/>
      </c>
      <c r="O4431" s="94">
        <f>VLOOKUP($Q4431,매칭테이블!$F:$I,4,0)*K4431</f>
        <v/>
      </c>
      <c r="P4431" s="148">
        <f>M4431/1.1</f>
        <v/>
      </c>
      <c r="Q4431" s="94">
        <f>F4431&amp;E4431&amp;G4431&amp;L4431</f>
        <v/>
      </c>
    </row>
    <row r="4432">
      <c r="A4432" s="94" t="n"/>
      <c r="B4432" s="128" t="n">
        <v>43850</v>
      </c>
      <c r="C4432" s="94">
        <f>TEXT(B4432,"aaa")</f>
        <v/>
      </c>
      <c r="D4432" s="94" t="n"/>
      <c r="E4432" s="6" t="inlineStr">
        <is>
          <t>토너</t>
        </is>
      </c>
      <c r="F4432" s="5" t="inlineStr">
        <is>
          <t>W컨셉</t>
        </is>
      </c>
      <c r="G4432" s="5" t="inlineStr">
        <is>
          <t>250ml 2set</t>
        </is>
      </c>
      <c r="H4432" s="7" t="n">
        <v>190801</v>
      </c>
      <c r="I4432" s="7" t="n">
        <v>190801</v>
      </c>
      <c r="J4432" s="94" t="n"/>
      <c r="K4432" s="149" t="n">
        <v>7</v>
      </c>
      <c r="L4432" s="7" t="n">
        <v>190801</v>
      </c>
      <c r="M4432" s="94">
        <f>VLOOKUP($Q4432,매칭테이블!$F:$I,2,0)*K4432</f>
        <v/>
      </c>
      <c r="N4432" s="94">
        <f>M4432-M4432*VLOOKUP($Q4432,매칭테이블!$F:$I,3,0)</f>
        <v/>
      </c>
      <c r="O4432" s="94">
        <f>VLOOKUP($Q4432,매칭테이블!$F:$I,4,0)*K4432</f>
        <v/>
      </c>
      <c r="P4432" s="148">
        <f>M4432/1.1</f>
        <v/>
      </c>
      <c r="Q4432" s="94">
        <f>F4432&amp;E4432&amp;G4432&amp;L4432</f>
        <v/>
      </c>
    </row>
    <row r="4433">
      <c r="A4433" s="94" t="n"/>
      <c r="B4433" s="128" t="n">
        <v>43850</v>
      </c>
      <c r="C4433" s="94">
        <f>TEXT(B4433,"aaa")</f>
        <v/>
      </c>
      <c r="D4433" s="94" t="n"/>
      <c r="E4433" s="94" t="inlineStr">
        <is>
          <t>머드크림마스크</t>
        </is>
      </c>
      <c r="F4433" s="94" t="inlineStr">
        <is>
          <t>카페24</t>
        </is>
      </c>
      <c r="G4433" s="94" t="inlineStr">
        <is>
          <t>머드크림마스크 100ml</t>
        </is>
      </c>
      <c r="H4433" s="7" t="n">
        <v>190801</v>
      </c>
      <c r="I4433" s="7" t="n">
        <v>190801</v>
      </c>
      <c r="J4433" s="94" t="n"/>
      <c r="K4433" s="149" t="n">
        <v>3</v>
      </c>
      <c r="L4433" s="94" t="n">
        <v>190801</v>
      </c>
      <c r="M4433" s="94">
        <f>VLOOKUP($Q4433,매칭테이블!$F:$I,2,0)*K4433</f>
        <v/>
      </c>
      <c r="N4433" s="94">
        <f>M4433-M4433*VLOOKUP($Q4433,매칭테이블!$F:$I,3,0)</f>
        <v/>
      </c>
      <c r="O4433" s="94">
        <f>VLOOKUP($Q4433,매칭테이블!$F:$I,4,0)*K4433</f>
        <v/>
      </c>
      <c r="P4433" s="148">
        <f>M4433/1.1</f>
        <v/>
      </c>
      <c r="Q4433" s="94">
        <f>F4433&amp;E4433&amp;G4433&amp;L4433</f>
        <v/>
      </c>
    </row>
    <row r="4434">
      <c r="A4434" s="94" t="n"/>
      <c r="B4434" s="128" t="n">
        <v>43850</v>
      </c>
      <c r="C4434" s="94">
        <f>TEXT(B4434,"aaa")</f>
        <v/>
      </c>
      <c r="D4434" s="94" t="n"/>
      <c r="E4434" s="6" t="inlineStr">
        <is>
          <t>토너</t>
        </is>
      </c>
      <c r="F4434" s="5" t="inlineStr">
        <is>
          <t>카페24</t>
        </is>
      </c>
      <c r="G4434" s="94" t="inlineStr">
        <is>
          <t>스킨팩 화장솜 60P</t>
        </is>
      </c>
      <c r="H4434" s="7" t="n">
        <v>190801</v>
      </c>
      <c r="I4434" s="7" t="n">
        <v>190801</v>
      </c>
      <c r="J4434" s="94" t="n"/>
      <c r="K4434" s="149" t="n">
        <v>35</v>
      </c>
      <c r="L4434" s="94" t="n">
        <v>190801</v>
      </c>
      <c r="M4434" s="94">
        <f>VLOOKUP($Q4434,매칭테이블!$F:$I,2,0)*K4434</f>
        <v/>
      </c>
      <c r="N4434" s="94">
        <f>M4434-M4434*VLOOKUP($Q4434,매칭테이블!$F:$I,3,0)</f>
        <v/>
      </c>
      <c r="O4434" s="94">
        <f>VLOOKUP($Q4434,매칭테이블!$F:$I,4,0)*K4434</f>
        <v/>
      </c>
      <c r="P4434" s="148">
        <f>M4434/1.1</f>
        <v/>
      </c>
      <c r="Q4434" s="94">
        <f>F4434&amp;E4434&amp;G4434&amp;L4434</f>
        <v/>
      </c>
    </row>
    <row r="4435">
      <c r="A4435" s="94" t="n"/>
      <c r="B4435" s="128" t="n">
        <v>43850</v>
      </c>
      <c r="C4435" s="94">
        <f>TEXT(B4435,"aaa")</f>
        <v/>
      </c>
      <c r="D4435" s="94" t="n"/>
      <c r="E4435" s="6" t="inlineStr">
        <is>
          <t>토너</t>
        </is>
      </c>
      <c r="F4435" s="5" t="inlineStr">
        <is>
          <t>카페24</t>
        </is>
      </c>
      <c r="G4435" s="5" t="inlineStr">
        <is>
          <t>500ml</t>
        </is>
      </c>
      <c r="H4435" s="7" t="n">
        <v>190801</v>
      </c>
      <c r="I4435" s="7" t="n">
        <v>190801</v>
      </c>
      <c r="J4435" s="94" t="n"/>
      <c r="K4435" s="149" t="n">
        <v>35</v>
      </c>
      <c r="L4435" s="7" t="n">
        <v>190801</v>
      </c>
      <c r="M4435" s="94">
        <f>VLOOKUP($Q4435,매칭테이블!$F:$I,2,0)*K4435</f>
        <v/>
      </c>
      <c r="N4435" s="94">
        <f>M4435-M4435*VLOOKUP($Q4435,매칭테이블!$F:$I,3,0)</f>
        <v/>
      </c>
      <c r="O4435" s="94">
        <f>VLOOKUP($Q4435,매칭테이블!$F:$I,4,0)*K4435</f>
        <v/>
      </c>
      <c r="P4435" s="148">
        <f>M4435/1.1</f>
        <v/>
      </c>
      <c r="Q4435" s="94">
        <f>F4435&amp;E4435&amp;G4435&amp;L4435</f>
        <v/>
      </c>
    </row>
    <row r="4436">
      <c r="A4436" s="94" t="n"/>
      <c r="B4436" s="128" t="n">
        <v>43850</v>
      </c>
      <c r="C4436" s="94">
        <f>TEXT(B4436,"aaa")</f>
        <v/>
      </c>
      <c r="D4436" s="94" t="n"/>
      <c r="E4436" s="6" t="inlineStr">
        <is>
          <t>토너</t>
        </is>
      </c>
      <c r="F4436" s="5" t="inlineStr">
        <is>
          <t>카페24</t>
        </is>
      </c>
      <c r="G4436" s="5" t="inlineStr">
        <is>
          <t>250ml</t>
        </is>
      </c>
      <c r="H4436" s="7" t="n">
        <v>190801</v>
      </c>
      <c r="I4436" s="7" t="n">
        <v>190801</v>
      </c>
      <c r="J4436" s="94" t="n"/>
      <c r="K4436" s="149" t="n">
        <v>29</v>
      </c>
      <c r="L4436" s="7" t="n">
        <v>190801</v>
      </c>
      <c r="M4436" s="94">
        <f>VLOOKUP($Q4436,매칭테이블!$F:$I,2,0)*K4436</f>
        <v/>
      </c>
      <c r="N4436" s="94">
        <f>M4436-M4436*VLOOKUP($Q4436,매칭테이블!$F:$I,3,0)</f>
        <v/>
      </c>
      <c r="O4436" s="94">
        <f>VLOOKUP($Q4436,매칭테이블!$F:$I,4,0)*K4436</f>
        <v/>
      </c>
      <c r="P4436" s="148">
        <f>M4436/1.1</f>
        <v/>
      </c>
      <c r="Q4436" s="94">
        <f>F4436&amp;E4436&amp;G4436&amp;L4436</f>
        <v/>
      </c>
    </row>
    <row r="4437">
      <c r="A4437" s="94" t="n"/>
      <c r="B4437" s="128" t="n">
        <v>43850</v>
      </c>
      <c r="C4437" s="94">
        <f>TEXT(B4437,"aaa")</f>
        <v/>
      </c>
      <c r="D4437" s="94" t="n"/>
      <c r="E4437" s="6" t="inlineStr">
        <is>
          <t>토너</t>
        </is>
      </c>
      <c r="F4437" s="5" t="inlineStr">
        <is>
          <t>카페24</t>
        </is>
      </c>
      <c r="G4437" s="5" t="inlineStr">
        <is>
          <t>250ml 2set</t>
        </is>
      </c>
      <c r="H4437" s="7" t="n">
        <v>190801</v>
      </c>
      <c r="I4437" s="7" t="n">
        <v>190801</v>
      </c>
      <c r="J4437" s="94" t="n"/>
      <c r="K4437" s="149" t="n">
        <v>26</v>
      </c>
      <c r="L4437" s="7" t="n">
        <v>190801</v>
      </c>
      <c r="M4437" s="94">
        <f>VLOOKUP($Q4437,매칭테이블!$F:$I,2,0)*K4437</f>
        <v/>
      </c>
      <c r="N4437" s="94">
        <f>M4437-M4437*VLOOKUP($Q4437,매칭테이블!$F:$I,3,0)</f>
        <v/>
      </c>
      <c r="O4437" s="94">
        <f>VLOOKUP($Q4437,매칭테이블!$F:$I,4,0)*K4437</f>
        <v/>
      </c>
      <c r="P4437" s="148">
        <f>M4437/1.1</f>
        <v/>
      </c>
      <c r="Q4437" s="94">
        <f>F4437&amp;E4437&amp;G4437&amp;L4437</f>
        <v/>
      </c>
    </row>
    <row r="4438">
      <c r="A4438" s="94" t="n"/>
      <c r="B4438" s="128" t="n">
        <v>43850</v>
      </c>
      <c r="C4438" s="94">
        <f>TEXT(B4438,"aaa")</f>
        <v/>
      </c>
      <c r="D4438" s="94" t="n"/>
      <c r="E4438" s="94" t="inlineStr">
        <is>
          <t>토너</t>
        </is>
      </c>
      <c r="F4438" s="94" t="inlineStr">
        <is>
          <t>큐텐</t>
        </is>
      </c>
      <c r="G4438" s="94" t="inlineStr">
        <is>
          <t>250ml</t>
        </is>
      </c>
      <c r="H4438" s="7" t="n">
        <v>190801</v>
      </c>
      <c r="I4438" s="7" t="n">
        <v>190801</v>
      </c>
      <c r="J4438" s="94" t="n"/>
      <c r="K4438" s="149" t="n">
        <v>15</v>
      </c>
      <c r="L4438" s="92" t="n">
        <v>190801</v>
      </c>
      <c r="M4438" s="94">
        <f>VLOOKUP($Q4438,매칭테이블!$F:$I,2,0)*K4438</f>
        <v/>
      </c>
      <c r="N4438" s="94">
        <f>M4438-M4438*VLOOKUP($Q4438,매칭테이블!$F:$I,3,0)</f>
        <v/>
      </c>
      <c r="O4438" s="94">
        <f>VLOOKUP($Q4438,매칭테이블!$F:$I,4,0)*K4438</f>
        <v/>
      </c>
      <c r="P4438" s="148">
        <f>M4438/1.1</f>
        <v/>
      </c>
      <c r="Q4438" s="94">
        <f>F4438&amp;E4438&amp;G4438&amp;L4438</f>
        <v/>
      </c>
    </row>
    <row r="4439">
      <c r="A4439" s="94" t="n"/>
      <c r="B4439" s="128" t="n">
        <v>43850</v>
      </c>
      <c r="C4439" s="94">
        <f>TEXT(B4439,"aaa")</f>
        <v/>
      </c>
      <c r="D4439" s="94" t="n"/>
      <c r="E4439" s="94" t="inlineStr">
        <is>
          <t>토너</t>
        </is>
      </c>
      <c r="F4439" s="94" t="inlineStr">
        <is>
          <t>큐텐</t>
        </is>
      </c>
      <c r="G4439" s="94" t="inlineStr">
        <is>
          <t>250ml 2set</t>
        </is>
      </c>
      <c r="H4439" s="7" t="n">
        <v>190801</v>
      </c>
      <c r="I4439" s="7" t="n">
        <v>190801</v>
      </c>
      <c r="J4439" s="94" t="n"/>
      <c r="K4439" s="149" t="n">
        <v>5</v>
      </c>
      <c r="L4439" s="92" t="n">
        <v>190801</v>
      </c>
      <c r="M4439" s="94">
        <f>VLOOKUP($Q4439,매칭테이블!$F:$I,2,0)*K4439</f>
        <v/>
      </c>
      <c r="N4439" s="94">
        <f>M4439-M4439*VLOOKUP($Q4439,매칭테이블!$F:$I,3,0)</f>
        <v/>
      </c>
      <c r="O4439" s="94">
        <f>VLOOKUP($Q4439,매칭테이블!$F:$I,4,0)*K4439</f>
        <v/>
      </c>
      <c r="P4439" s="148">
        <f>M4439/1.1</f>
        <v/>
      </c>
      <c r="Q4439" s="94">
        <f>F4439&amp;E4439&amp;G4439&amp;L4439</f>
        <v/>
      </c>
    </row>
    <row r="4440">
      <c r="A4440" s="94" t="n"/>
      <c r="B4440" s="128" t="n">
        <v>43850</v>
      </c>
      <c r="C4440" s="94">
        <f>TEXT(B4440,"aaa")</f>
        <v/>
      </c>
      <c r="D4440" s="94" t="n"/>
      <c r="E4440" s="94" t="inlineStr">
        <is>
          <t>토너</t>
        </is>
      </c>
      <c r="F4440" s="94" t="inlineStr">
        <is>
          <t>아누아 CS</t>
        </is>
      </c>
      <c r="G4440" s="94" t="inlineStr">
        <is>
          <t>250ml</t>
        </is>
      </c>
      <c r="H4440" s="7" t="n">
        <v>190801</v>
      </c>
      <c r="I4440" s="7" t="n">
        <v>190801</v>
      </c>
      <c r="J4440" s="94" t="n"/>
      <c r="K4440" s="149" t="n">
        <v>2</v>
      </c>
      <c r="L4440" s="7" t="n">
        <v>190801</v>
      </c>
      <c r="M4440" s="94">
        <f>VLOOKUP($Q4440,매칭테이블!$F:$I,2,0)*K4440</f>
        <v/>
      </c>
      <c r="N4440" s="94">
        <f>M4440-M4440*VLOOKUP($Q4440,매칭테이블!$F:$I,3,0)</f>
        <v/>
      </c>
      <c r="O4440" s="94">
        <f>VLOOKUP($Q4440,매칭테이블!$F:$I,4,0)*K4440</f>
        <v/>
      </c>
      <c r="P4440" s="148">
        <f>M4440/1.1</f>
        <v/>
      </c>
      <c r="Q4440" s="94">
        <f>F4440&amp;E4440&amp;G4440&amp;L4440</f>
        <v/>
      </c>
    </row>
    <row r="4441">
      <c r="A4441" s="94" t="n"/>
      <c r="B4441" s="128" t="n">
        <v>43851</v>
      </c>
      <c r="C4441" s="94">
        <f>TEXT(B4441,"aaa")</f>
        <v/>
      </c>
      <c r="D4441" s="94" t="n"/>
      <c r="E4441" s="6" t="inlineStr">
        <is>
          <t>토너</t>
        </is>
      </c>
      <c r="F4441" s="5" t="inlineStr">
        <is>
          <t>W컨셉</t>
        </is>
      </c>
      <c r="G4441" s="5" t="inlineStr">
        <is>
          <t>250ml</t>
        </is>
      </c>
      <c r="H4441" s="7" t="n">
        <v>190801</v>
      </c>
      <c r="I4441" s="7" t="n">
        <v>190801</v>
      </c>
      <c r="J4441" s="94" t="n"/>
      <c r="K4441" s="149" t="n">
        <v>2</v>
      </c>
      <c r="L4441" s="7" t="n">
        <v>190801</v>
      </c>
      <c r="M4441" s="94">
        <f>VLOOKUP($Q4441,매칭테이블!$F:$I,2,0)*K4441</f>
        <v/>
      </c>
      <c r="N4441" s="94">
        <f>M4441-M4441*VLOOKUP($Q4441,매칭테이블!$F:$I,3,0)</f>
        <v/>
      </c>
      <c r="O4441" s="94">
        <f>VLOOKUP($Q4441,매칭테이블!$F:$I,4,0)*K4441</f>
        <v/>
      </c>
      <c r="P4441" s="148">
        <f>M4441/1.1</f>
        <v/>
      </c>
      <c r="Q4441" s="94">
        <f>F4441&amp;E4441&amp;G4441&amp;L4441</f>
        <v/>
      </c>
    </row>
    <row r="4442">
      <c r="A4442" s="94" t="n"/>
      <c r="B4442" s="128" t="n">
        <v>43851</v>
      </c>
      <c r="C4442" s="94">
        <f>TEXT(B4442,"aaa")</f>
        <v/>
      </c>
      <c r="D4442" s="94" t="n"/>
      <c r="E4442" s="6" t="inlineStr">
        <is>
          <t>토너</t>
        </is>
      </c>
      <c r="F4442" s="5" t="inlineStr">
        <is>
          <t>W컨셉</t>
        </is>
      </c>
      <c r="G4442" s="5" t="inlineStr">
        <is>
          <t>250ml 2set</t>
        </is>
      </c>
      <c r="H4442" s="7" t="n">
        <v>190801</v>
      </c>
      <c r="I4442" s="7" t="n">
        <v>190801</v>
      </c>
      <c r="J4442" s="94" t="n"/>
      <c r="K4442" s="149" t="n">
        <v>7</v>
      </c>
      <c r="L4442" s="7" t="n">
        <v>190801</v>
      </c>
      <c r="M4442" s="94">
        <f>VLOOKUP($Q4442,매칭테이블!$F:$I,2,0)*K4442</f>
        <v/>
      </c>
      <c r="N4442" s="94">
        <f>M4442-M4442*VLOOKUP($Q4442,매칭테이블!$F:$I,3,0)</f>
        <v/>
      </c>
      <c r="O4442" s="94">
        <f>VLOOKUP($Q4442,매칭테이블!$F:$I,4,0)*K4442</f>
        <v/>
      </c>
      <c r="P4442" s="148">
        <f>M4442/1.1</f>
        <v/>
      </c>
      <c r="Q4442" s="94">
        <f>F4442&amp;E4442&amp;G4442&amp;L4442</f>
        <v/>
      </c>
    </row>
    <row r="4443">
      <c r="A4443" s="94" t="n"/>
      <c r="B4443" s="128" t="n">
        <v>43851</v>
      </c>
      <c r="C4443" s="94">
        <f>TEXT(B4443,"aaa")</f>
        <v/>
      </c>
      <c r="D4443" s="94" t="n"/>
      <c r="E4443" s="94" t="inlineStr">
        <is>
          <t>머드크림마스크</t>
        </is>
      </c>
      <c r="F4443" s="94" t="inlineStr">
        <is>
          <t>카페24</t>
        </is>
      </c>
      <c r="G4443" s="94" t="inlineStr">
        <is>
          <t>머드크림마스크 100ml</t>
        </is>
      </c>
      <c r="H4443" s="7" t="n">
        <v>190801</v>
      </c>
      <c r="I4443" s="7" t="n">
        <v>190801</v>
      </c>
      <c r="J4443" s="94" t="n"/>
      <c r="K4443" s="149" t="n">
        <v>2</v>
      </c>
      <c r="L4443" s="94" t="n">
        <v>190801</v>
      </c>
      <c r="M4443" s="94">
        <f>VLOOKUP($Q4443,매칭테이블!$F:$I,2,0)*K4443</f>
        <v/>
      </c>
      <c r="N4443" s="94">
        <f>M4443-M4443*VLOOKUP($Q4443,매칭테이블!$F:$I,3,0)</f>
        <v/>
      </c>
      <c r="O4443" s="94">
        <f>VLOOKUP($Q4443,매칭테이블!$F:$I,4,0)*K4443</f>
        <v/>
      </c>
      <c r="P4443" s="148">
        <f>M4443/1.1</f>
        <v/>
      </c>
      <c r="Q4443" s="94">
        <f>F4443&amp;E4443&amp;G4443&amp;L4443</f>
        <v/>
      </c>
    </row>
    <row r="4444">
      <c r="A4444" s="94" t="n"/>
      <c r="B4444" s="128" t="n">
        <v>43851</v>
      </c>
      <c r="C4444" s="94">
        <f>TEXT(B4444,"aaa")</f>
        <v/>
      </c>
      <c r="D4444" s="94" t="n"/>
      <c r="E4444" s="6" t="inlineStr">
        <is>
          <t>토너</t>
        </is>
      </c>
      <c r="F4444" s="5" t="inlineStr">
        <is>
          <t>카페24</t>
        </is>
      </c>
      <c r="G4444" s="5" t="inlineStr">
        <is>
          <t>250ml</t>
        </is>
      </c>
      <c r="H4444" s="7" t="n">
        <v>190801</v>
      </c>
      <c r="I4444" s="7" t="n">
        <v>190801</v>
      </c>
      <c r="J4444" s="94" t="n"/>
      <c r="K4444" s="149" t="n">
        <v>39</v>
      </c>
      <c r="L4444" s="7" t="n">
        <v>190801</v>
      </c>
      <c r="M4444" s="94">
        <f>VLOOKUP($Q4444,매칭테이블!$F:$I,2,0)*K4444</f>
        <v/>
      </c>
      <c r="N4444" s="94">
        <f>M4444-M4444*VLOOKUP($Q4444,매칭테이블!$F:$I,3,0)</f>
        <v/>
      </c>
      <c r="O4444" s="94">
        <f>VLOOKUP($Q4444,매칭테이블!$F:$I,4,0)*K4444</f>
        <v/>
      </c>
      <c r="P4444" s="148">
        <f>M4444/1.1</f>
        <v/>
      </c>
      <c r="Q4444" s="94">
        <f>F4444&amp;E4444&amp;G4444&amp;L4444</f>
        <v/>
      </c>
    </row>
    <row r="4445">
      <c r="A4445" s="94" t="n"/>
      <c r="B4445" s="128" t="n">
        <v>43851</v>
      </c>
      <c r="C4445" s="94">
        <f>TEXT(B4445,"aaa")</f>
        <v/>
      </c>
      <c r="D4445" s="94" t="n"/>
      <c r="E4445" s="6" t="inlineStr">
        <is>
          <t>토너</t>
        </is>
      </c>
      <c r="F4445" s="5" t="inlineStr">
        <is>
          <t>카페24</t>
        </is>
      </c>
      <c r="G4445" s="5" t="inlineStr">
        <is>
          <t>250ml 2set</t>
        </is>
      </c>
      <c r="H4445" s="7" t="n">
        <v>190801</v>
      </c>
      <c r="I4445" s="7" t="n">
        <v>190801</v>
      </c>
      <c r="J4445" s="94" t="n"/>
      <c r="K4445" s="149" t="n">
        <v>27</v>
      </c>
      <c r="L4445" s="7" t="n">
        <v>190801</v>
      </c>
      <c r="M4445" s="94">
        <f>VLOOKUP($Q4445,매칭테이블!$F:$I,2,0)*K4445</f>
        <v/>
      </c>
      <c r="N4445" s="94">
        <f>M4445-M4445*VLOOKUP($Q4445,매칭테이블!$F:$I,3,0)</f>
        <v/>
      </c>
      <c r="O4445" s="94">
        <f>VLOOKUP($Q4445,매칭테이블!$F:$I,4,0)*K4445</f>
        <v/>
      </c>
      <c r="P4445" s="148">
        <f>M4445/1.1</f>
        <v/>
      </c>
      <c r="Q4445" s="94">
        <f>F4445&amp;E4445&amp;G4445&amp;L4445</f>
        <v/>
      </c>
    </row>
    <row r="4446">
      <c r="A4446" s="94" t="n"/>
      <c r="B4446" s="128" t="n">
        <v>43851</v>
      </c>
      <c r="C4446" s="94">
        <f>TEXT(B4446,"aaa")</f>
        <v/>
      </c>
      <c r="D4446" s="94" t="n"/>
      <c r="E4446" s="6" t="inlineStr">
        <is>
          <t>토너</t>
        </is>
      </c>
      <c r="F4446" s="5" t="inlineStr">
        <is>
          <t>카페24</t>
        </is>
      </c>
      <c r="G4446" s="5" t="inlineStr">
        <is>
          <t>500ml</t>
        </is>
      </c>
      <c r="H4446" s="7" t="n">
        <v>190801</v>
      </c>
      <c r="I4446" s="7" t="n">
        <v>190801</v>
      </c>
      <c r="J4446" s="94" t="n"/>
      <c r="K4446" s="149" t="n">
        <v>17</v>
      </c>
      <c r="L4446" s="7" t="n">
        <v>190801</v>
      </c>
      <c r="M4446" s="94">
        <f>VLOOKUP($Q4446,매칭테이블!$F:$I,2,0)*K4446</f>
        <v/>
      </c>
      <c r="N4446" s="94">
        <f>M4446-M4446*VLOOKUP($Q4446,매칭테이블!$F:$I,3,0)</f>
        <v/>
      </c>
      <c r="O4446" s="94">
        <f>VLOOKUP($Q4446,매칭테이블!$F:$I,4,0)*K4446</f>
        <v/>
      </c>
      <c r="P4446" s="148">
        <f>M4446/1.1</f>
        <v/>
      </c>
      <c r="Q4446" s="94">
        <f>F4446&amp;E4446&amp;G4446&amp;L4446</f>
        <v/>
      </c>
    </row>
    <row r="4447">
      <c r="A4447" s="94" t="n"/>
      <c r="B4447" s="128" t="n">
        <v>43851</v>
      </c>
      <c r="C4447" s="94">
        <f>TEXT(B4447,"aaa")</f>
        <v/>
      </c>
      <c r="D4447" s="94" t="n"/>
      <c r="E4447" s="6" t="inlineStr">
        <is>
          <t>토너</t>
        </is>
      </c>
      <c r="F4447" s="5" t="inlineStr">
        <is>
          <t>카페24</t>
        </is>
      </c>
      <c r="G4447" s="94" t="inlineStr">
        <is>
          <t>스킨팩 화장솜 60P</t>
        </is>
      </c>
      <c r="H4447" s="7" t="n">
        <v>190801</v>
      </c>
      <c r="I4447" s="7" t="n">
        <v>190801</v>
      </c>
      <c r="J4447" s="94" t="n"/>
      <c r="K4447" s="149" t="n">
        <v>19</v>
      </c>
      <c r="L4447" s="94" t="n">
        <v>190801</v>
      </c>
      <c r="M4447" s="94">
        <f>VLOOKUP($Q4447,매칭테이블!$F:$I,2,0)*K4447</f>
        <v/>
      </c>
      <c r="N4447" s="94">
        <f>M4447-M4447*VLOOKUP($Q4447,매칭테이블!$F:$I,3,0)</f>
        <v/>
      </c>
      <c r="O4447" s="94">
        <f>VLOOKUP($Q4447,매칭테이블!$F:$I,4,0)*K4447</f>
        <v/>
      </c>
      <c r="P4447" s="148">
        <f>M4447/1.1</f>
        <v/>
      </c>
      <c r="Q4447" s="94">
        <f>F4447&amp;E4447&amp;G4447&amp;L4447</f>
        <v/>
      </c>
    </row>
    <row r="4448">
      <c r="A4448" s="94" t="n"/>
      <c r="B4448" s="128" t="n">
        <v>43851</v>
      </c>
      <c r="C4448" s="94">
        <f>TEXT(B4448,"aaa")</f>
        <v/>
      </c>
      <c r="D4448" s="94" t="n"/>
      <c r="E4448" s="94" t="inlineStr">
        <is>
          <t>토너</t>
        </is>
      </c>
      <c r="F4448" s="94" t="inlineStr">
        <is>
          <t>큐텐</t>
        </is>
      </c>
      <c r="G4448" s="94" t="inlineStr">
        <is>
          <t>250ml</t>
        </is>
      </c>
      <c r="H4448" s="7" t="n">
        <v>190801</v>
      </c>
      <c r="I4448" s="7" t="n">
        <v>190801</v>
      </c>
      <c r="J4448" s="94" t="n"/>
      <c r="K4448" s="149" t="n">
        <v>50</v>
      </c>
      <c r="L4448" s="92" t="n">
        <v>190801</v>
      </c>
      <c r="M4448" s="94">
        <f>VLOOKUP($Q4448,매칭테이블!$F:$I,2,0)*K4448</f>
        <v/>
      </c>
      <c r="N4448" s="94">
        <f>M4448-M4448*VLOOKUP($Q4448,매칭테이블!$F:$I,3,0)</f>
        <v/>
      </c>
      <c r="O4448" s="94">
        <f>VLOOKUP($Q4448,매칭테이블!$F:$I,4,0)*K4448</f>
        <v/>
      </c>
      <c r="P4448" s="148">
        <f>M4448/1.1</f>
        <v/>
      </c>
      <c r="Q4448" s="94">
        <f>F4448&amp;E4448&amp;G4448&amp;L4448</f>
        <v/>
      </c>
    </row>
    <row r="4449">
      <c r="A4449" s="94" t="n"/>
      <c r="B4449" s="128" t="n">
        <v>43851</v>
      </c>
      <c r="C4449" s="94">
        <f>TEXT(B4449,"aaa")</f>
        <v/>
      </c>
      <c r="D4449" s="94" t="n"/>
      <c r="E4449" s="94" t="inlineStr">
        <is>
          <t>토너</t>
        </is>
      </c>
      <c r="F4449" s="94" t="inlineStr">
        <is>
          <t>큐텐</t>
        </is>
      </c>
      <c r="G4449" s="94" t="inlineStr">
        <is>
          <t>250ml 2set</t>
        </is>
      </c>
      <c r="H4449" s="7" t="n">
        <v>190801</v>
      </c>
      <c r="I4449" s="7" t="n">
        <v>190801</v>
      </c>
      <c r="J4449" s="94" t="n"/>
      <c r="K4449" s="149" t="n">
        <v>4</v>
      </c>
      <c r="L4449" s="92" t="n">
        <v>190801</v>
      </c>
      <c r="M4449" s="94">
        <f>VLOOKUP($Q4449,매칭테이블!$F:$I,2,0)*K4449</f>
        <v/>
      </c>
      <c r="N4449" s="94">
        <f>M4449-M4449*VLOOKUP($Q4449,매칭테이블!$F:$I,3,0)</f>
        <v/>
      </c>
      <c r="O4449" s="94">
        <f>VLOOKUP($Q4449,매칭테이블!$F:$I,4,0)*K4449</f>
        <v/>
      </c>
      <c r="P4449" s="148">
        <f>M4449/1.1</f>
        <v/>
      </c>
      <c r="Q4449" s="94">
        <f>F4449&amp;E4449&amp;G4449&amp;L4449</f>
        <v/>
      </c>
    </row>
    <row r="4450">
      <c r="A4450" s="94" t="n"/>
      <c r="B4450" s="128" t="n">
        <v>43852</v>
      </c>
      <c r="C4450" s="94">
        <f>TEXT(B4450,"aaa")</f>
        <v/>
      </c>
      <c r="D4450" s="94" t="n"/>
      <c r="E4450" s="6" t="inlineStr">
        <is>
          <t>토너</t>
        </is>
      </c>
      <c r="F4450" s="5" t="inlineStr">
        <is>
          <t>W컨셉</t>
        </is>
      </c>
      <c r="G4450" s="5" t="inlineStr">
        <is>
          <t>250ml 2set</t>
        </is>
      </c>
      <c r="H4450" s="7" t="n">
        <v>190801</v>
      </c>
      <c r="I4450" s="7" t="n">
        <v>190801</v>
      </c>
      <c r="J4450" s="94" t="n"/>
      <c r="K4450" s="149" t="n">
        <v>4</v>
      </c>
      <c r="L4450" s="7" t="n">
        <v>190801</v>
      </c>
      <c r="M4450" s="94">
        <f>VLOOKUP($Q4450,매칭테이블!$F:$I,2,0)*K4450</f>
        <v/>
      </c>
      <c r="N4450" s="94">
        <f>M4450-M4450*VLOOKUP($Q4450,매칭테이블!$F:$I,3,0)</f>
        <v/>
      </c>
      <c r="O4450" s="94">
        <f>VLOOKUP($Q4450,매칭테이블!$F:$I,4,0)*K4450</f>
        <v/>
      </c>
      <c r="P4450" s="148">
        <f>M4450/1.1</f>
        <v/>
      </c>
      <c r="Q4450" s="94">
        <f>F4450&amp;E4450&amp;G4450&amp;L4450</f>
        <v/>
      </c>
    </row>
    <row r="4451">
      <c r="A4451" s="94" t="n"/>
      <c r="B4451" s="128" t="n">
        <v>43852</v>
      </c>
      <c r="C4451" s="94">
        <f>TEXT(B4451,"aaa")</f>
        <v/>
      </c>
      <c r="D4451" s="94" t="n"/>
      <c r="E4451" s="94" t="inlineStr">
        <is>
          <t>머드크림마스크</t>
        </is>
      </c>
      <c r="F4451" s="94" t="inlineStr">
        <is>
          <t>카페24</t>
        </is>
      </c>
      <c r="G4451" s="94" t="inlineStr">
        <is>
          <t>머드크림마스크 100ml</t>
        </is>
      </c>
      <c r="H4451" s="7" t="n">
        <v>190801</v>
      </c>
      <c r="I4451" s="7" t="n">
        <v>190801</v>
      </c>
      <c r="J4451" s="94" t="n"/>
      <c r="K4451" s="149" t="n">
        <v>2</v>
      </c>
      <c r="L4451" s="94" t="n">
        <v>190801</v>
      </c>
      <c r="M4451" s="94">
        <f>VLOOKUP($Q4451,매칭테이블!$F:$I,2,0)*K4451</f>
        <v/>
      </c>
      <c r="N4451" s="94">
        <f>M4451-M4451*VLOOKUP($Q4451,매칭테이블!$F:$I,3,0)</f>
        <v/>
      </c>
      <c r="O4451" s="94">
        <f>VLOOKUP($Q4451,매칭테이블!$F:$I,4,0)*K4451</f>
        <v/>
      </c>
      <c r="P4451" s="148">
        <f>M4451/1.1</f>
        <v/>
      </c>
      <c r="Q4451" s="94">
        <f>F4451&amp;E4451&amp;G4451&amp;L4451</f>
        <v/>
      </c>
    </row>
    <row r="4452">
      <c r="A4452" s="94" t="n"/>
      <c r="B4452" s="128" t="n">
        <v>43852</v>
      </c>
      <c r="C4452" s="94">
        <f>TEXT(B4452,"aaa")</f>
        <v/>
      </c>
      <c r="D4452" s="94" t="n"/>
      <c r="E4452" s="6" t="inlineStr">
        <is>
          <t>토너</t>
        </is>
      </c>
      <c r="F4452" s="5" t="inlineStr">
        <is>
          <t>카페24</t>
        </is>
      </c>
      <c r="G4452" s="5" t="inlineStr">
        <is>
          <t>250ml</t>
        </is>
      </c>
      <c r="H4452" s="7" t="n">
        <v>190801</v>
      </c>
      <c r="I4452" s="7" t="n">
        <v>190801</v>
      </c>
      <c r="J4452" s="94" t="n"/>
      <c r="K4452" s="149" t="n">
        <v>23</v>
      </c>
      <c r="L4452" s="7" t="n">
        <v>190801</v>
      </c>
      <c r="M4452" s="94">
        <f>VLOOKUP($Q4452,매칭테이블!$F:$I,2,0)*K4452</f>
        <v/>
      </c>
      <c r="N4452" s="94">
        <f>M4452-M4452*VLOOKUP($Q4452,매칭테이블!$F:$I,3,0)</f>
        <v/>
      </c>
      <c r="O4452" s="94">
        <f>VLOOKUP($Q4452,매칭테이블!$F:$I,4,0)*K4452</f>
        <v/>
      </c>
      <c r="P4452" s="148">
        <f>M4452/1.1</f>
        <v/>
      </c>
      <c r="Q4452" s="94">
        <f>F4452&amp;E4452&amp;G4452&amp;L4452</f>
        <v/>
      </c>
    </row>
    <row r="4453">
      <c r="A4453" s="94" t="n"/>
      <c r="B4453" s="128" t="n">
        <v>43852</v>
      </c>
      <c r="C4453" s="94">
        <f>TEXT(B4453,"aaa")</f>
        <v/>
      </c>
      <c r="D4453" s="94" t="n"/>
      <c r="E4453" s="6" t="inlineStr">
        <is>
          <t>토너</t>
        </is>
      </c>
      <c r="F4453" s="5" t="inlineStr">
        <is>
          <t>카페24</t>
        </is>
      </c>
      <c r="G4453" s="5" t="inlineStr">
        <is>
          <t>250ml 2set</t>
        </is>
      </c>
      <c r="H4453" s="7" t="n">
        <v>190801</v>
      </c>
      <c r="I4453" s="7" t="n">
        <v>190801</v>
      </c>
      <c r="J4453" s="94" t="n"/>
      <c r="K4453" s="149" t="n">
        <v>21</v>
      </c>
      <c r="L4453" s="7" t="n">
        <v>190801</v>
      </c>
      <c r="M4453" s="94">
        <f>VLOOKUP($Q4453,매칭테이블!$F:$I,2,0)*K4453</f>
        <v/>
      </c>
      <c r="N4453" s="94">
        <f>M4453-M4453*VLOOKUP($Q4453,매칭테이블!$F:$I,3,0)</f>
        <v/>
      </c>
      <c r="O4453" s="94">
        <f>VLOOKUP($Q4453,매칭테이블!$F:$I,4,0)*K4453</f>
        <v/>
      </c>
      <c r="P4453" s="148">
        <f>M4453/1.1</f>
        <v/>
      </c>
      <c r="Q4453" s="94">
        <f>F4453&amp;E4453&amp;G4453&amp;L4453</f>
        <v/>
      </c>
    </row>
    <row r="4454">
      <c r="A4454" s="94" t="n"/>
      <c r="B4454" s="128" t="n">
        <v>43852</v>
      </c>
      <c r="C4454" s="94">
        <f>TEXT(B4454,"aaa")</f>
        <v/>
      </c>
      <c r="D4454" s="94" t="n"/>
      <c r="E4454" s="6" t="inlineStr">
        <is>
          <t>토너</t>
        </is>
      </c>
      <c r="F4454" s="5" t="inlineStr">
        <is>
          <t>카페24</t>
        </is>
      </c>
      <c r="G4454" s="5" t="inlineStr">
        <is>
          <t>500ml</t>
        </is>
      </c>
      <c r="H4454" s="7" t="n">
        <v>190801</v>
      </c>
      <c r="I4454" s="7" t="n">
        <v>190801</v>
      </c>
      <c r="J4454" s="94" t="n"/>
      <c r="K4454" s="149" t="n">
        <v>19</v>
      </c>
      <c r="L4454" s="7" t="n">
        <v>190801</v>
      </c>
      <c r="M4454" s="94">
        <f>VLOOKUP($Q4454,매칭테이블!$F:$I,2,0)*K4454</f>
        <v/>
      </c>
      <c r="N4454" s="94">
        <f>M4454-M4454*VLOOKUP($Q4454,매칭테이블!$F:$I,3,0)</f>
        <v/>
      </c>
      <c r="O4454" s="94">
        <f>VLOOKUP($Q4454,매칭테이블!$F:$I,4,0)*K4454</f>
        <v/>
      </c>
      <c r="P4454" s="148">
        <f>M4454/1.1</f>
        <v/>
      </c>
      <c r="Q4454" s="94">
        <f>F4454&amp;E4454&amp;G4454&amp;L4454</f>
        <v/>
      </c>
    </row>
    <row r="4455">
      <c r="A4455" s="94" t="n"/>
      <c r="B4455" s="128" t="n">
        <v>43852</v>
      </c>
      <c r="C4455" s="94">
        <f>TEXT(B4455,"aaa")</f>
        <v/>
      </c>
      <c r="D4455" s="94" t="n"/>
      <c r="E4455" s="6" t="inlineStr">
        <is>
          <t>토너</t>
        </is>
      </c>
      <c r="F4455" s="5" t="inlineStr">
        <is>
          <t>카페24</t>
        </is>
      </c>
      <c r="G4455" s="94" t="inlineStr">
        <is>
          <t>스킨팩 화장솜 60P</t>
        </is>
      </c>
      <c r="H4455" s="7" t="n">
        <v>190801</v>
      </c>
      <c r="I4455" s="7" t="n">
        <v>190801</v>
      </c>
      <c r="J4455" s="94" t="n"/>
      <c r="K4455" s="149" t="n">
        <v>23</v>
      </c>
      <c r="L4455" s="94" t="n">
        <v>190801</v>
      </c>
      <c r="M4455" s="94">
        <f>VLOOKUP($Q4455,매칭테이블!$F:$I,2,0)*K4455</f>
        <v/>
      </c>
      <c r="N4455" s="94">
        <f>M4455-M4455*VLOOKUP($Q4455,매칭테이블!$F:$I,3,0)</f>
        <v/>
      </c>
      <c r="O4455" s="94">
        <f>VLOOKUP($Q4455,매칭테이블!$F:$I,4,0)*K4455</f>
        <v/>
      </c>
      <c r="P4455" s="148">
        <f>M4455/1.1</f>
        <v/>
      </c>
      <c r="Q4455" s="94">
        <f>F4455&amp;E4455&amp;G4455&amp;L4455</f>
        <v/>
      </c>
    </row>
    <row r="4456">
      <c r="A4456" s="94" t="n"/>
      <c r="B4456" s="128" t="n">
        <v>43852</v>
      </c>
      <c r="C4456" s="94">
        <f>TEXT(B4456,"aaa")</f>
        <v/>
      </c>
      <c r="D4456" s="94" t="n"/>
      <c r="E4456" s="94" t="inlineStr">
        <is>
          <t>토너</t>
        </is>
      </c>
      <c r="F4456" s="94" t="inlineStr">
        <is>
          <t>큐텐</t>
        </is>
      </c>
      <c r="G4456" s="94" t="inlineStr">
        <is>
          <t>250ml</t>
        </is>
      </c>
      <c r="H4456" s="7" t="n">
        <v>190801</v>
      </c>
      <c r="I4456" s="7" t="n">
        <v>190801</v>
      </c>
      <c r="J4456" s="94" t="n"/>
      <c r="K4456" s="149" t="n">
        <v>42</v>
      </c>
      <c r="L4456" s="92" t="n">
        <v>190801</v>
      </c>
      <c r="M4456" s="94">
        <f>VLOOKUP($Q4456,매칭테이블!$F:$I,2,0)*K4456</f>
        <v/>
      </c>
      <c r="N4456" s="94">
        <f>M4456-M4456*VLOOKUP($Q4456,매칭테이블!$F:$I,3,0)</f>
        <v/>
      </c>
      <c r="O4456" s="94">
        <f>VLOOKUP($Q4456,매칭테이블!$F:$I,4,0)*K4456</f>
        <v/>
      </c>
      <c r="P4456" s="148">
        <f>M4456/1.1</f>
        <v/>
      </c>
      <c r="Q4456" s="94">
        <f>F4456&amp;E4456&amp;G4456&amp;L4456</f>
        <v/>
      </c>
    </row>
    <row r="4457">
      <c r="A4457" s="94" t="n"/>
      <c r="B4457" s="128" t="n">
        <v>43852</v>
      </c>
      <c r="C4457" s="94">
        <f>TEXT(B4457,"aaa")</f>
        <v/>
      </c>
      <c r="D4457" s="94" t="n"/>
      <c r="E4457" s="94" t="inlineStr">
        <is>
          <t>토너</t>
        </is>
      </c>
      <c r="F4457" s="94" t="inlineStr">
        <is>
          <t>큐텐</t>
        </is>
      </c>
      <c r="G4457" s="94" t="inlineStr">
        <is>
          <t>250ml 2set</t>
        </is>
      </c>
      <c r="H4457" s="7" t="n">
        <v>190801</v>
      </c>
      <c r="I4457" s="7" t="n">
        <v>190801</v>
      </c>
      <c r="J4457" s="94" t="n"/>
      <c r="K4457" s="149" t="n">
        <v>15</v>
      </c>
      <c r="L4457" s="92" t="n">
        <v>190801</v>
      </c>
      <c r="M4457" s="94">
        <f>VLOOKUP($Q4457,매칭테이블!$F:$I,2,0)*K4457</f>
        <v/>
      </c>
      <c r="N4457" s="94">
        <f>M4457-M4457*VLOOKUP($Q4457,매칭테이블!$F:$I,3,0)</f>
        <v/>
      </c>
      <c r="O4457" s="94">
        <f>VLOOKUP($Q4457,매칭테이블!$F:$I,4,0)*K4457</f>
        <v/>
      </c>
      <c r="P4457" s="148">
        <f>M4457/1.1</f>
        <v/>
      </c>
      <c r="Q4457" s="94">
        <f>F4457&amp;E4457&amp;G4457&amp;L4457</f>
        <v/>
      </c>
    </row>
    <row r="4458">
      <c r="A4458" s="94" t="n"/>
      <c r="B4458" s="128" t="n">
        <v>43853</v>
      </c>
      <c r="C4458" s="94">
        <f>TEXT(B4458,"aaa")</f>
        <v/>
      </c>
      <c r="D4458" s="94" t="n"/>
      <c r="E4458" s="6" t="inlineStr">
        <is>
          <t>토너</t>
        </is>
      </c>
      <c r="F4458" s="5" t="inlineStr">
        <is>
          <t>W컨셉</t>
        </is>
      </c>
      <c r="G4458" s="5" t="inlineStr">
        <is>
          <t>250ml</t>
        </is>
      </c>
      <c r="H4458" s="7" t="n">
        <v>190801</v>
      </c>
      <c r="I4458" s="7" t="n">
        <v>190801</v>
      </c>
      <c r="J4458" s="94" t="n"/>
      <c r="K4458" s="149" t="n">
        <v>1</v>
      </c>
      <c r="L4458" s="7" t="n">
        <v>190801</v>
      </c>
      <c r="M4458" s="94">
        <f>VLOOKUP($Q4458,매칭테이블!$F:$I,2,0)*K4458</f>
        <v/>
      </c>
      <c r="N4458" s="94">
        <f>M4458-M4458*VLOOKUP($Q4458,매칭테이블!$F:$I,3,0)</f>
        <v/>
      </c>
      <c r="O4458" s="94">
        <f>VLOOKUP($Q4458,매칭테이블!$F:$I,4,0)*K4458</f>
        <v/>
      </c>
      <c r="P4458" s="148">
        <f>M4458/1.1</f>
        <v/>
      </c>
      <c r="Q4458" s="94">
        <f>F4458&amp;E4458&amp;G4458&amp;L4458</f>
        <v/>
      </c>
    </row>
    <row r="4459">
      <c r="A4459" s="94" t="n"/>
      <c r="B4459" s="128" t="n">
        <v>43853</v>
      </c>
      <c r="C4459" s="94">
        <f>TEXT(B4459,"aaa")</f>
        <v/>
      </c>
      <c r="D4459" s="94" t="n"/>
      <c r="E4459" s="6" t="inlineStr">
        <is>
          <t>토너</t>
        </is>
      </c>
      <c r="F4459" s="5" t="inlineStr">
        <is>
          <t>W컨셉</t>
        </is>
      </c>
      <c r="G4459" s="5" t="inlineStr">
        <is>
          <t>250ml 2set</t>
        </is>
      </c>
      <c r="H4459" s="7" t="n">
        <v>190801</v>
      </c>
      <c r="I4459" s="7" t="n">
        <v>190801</v>
      </c>
      <c r="J4459" s="94" t="n"/>
      <c r="K4459" s="149" t="n">
        <v>2</v>
      </c>
      <c r="L4459" s="7" t="n">
        <v>190801</v>
      </c>
      <c r="M4459" s="94">
        <f>VLOOKUP($Q4459,매칭테이블!$F:$I,2,0)*K4459</f>
        <v/>
      </c>
      <c r="N4459" s="94">
        <f>M4459-M4459*VLOOKUP($Q4459,매칭테이블!$F:$I,3,0)</f>
        <v/>
      </c>
      <c r="O4459" s="94">
        <f>VLOOKUP($Q4459,매칭테이블!$F:$I,4,0)*K4459</f>
        <v/>
      </c>
      <c r="P4459" s="148">
        <f>M4459/1.1</f>
        <v/>
      </c>
      <c r="Q4459" s="94">
        <f>F4459&amp;E4459&amp;G4459&amp;L4459</f>
        <v/>
      </c>
    </row>
    <row r="4460">
      <c r="A4460" s="94" t="n"/>
      <c r="B4460" s="128" t="n">
        <v>43853</v>
      </c>
      <c r="C4460" s="94">
        <f>TEXT(B4460,"aaa")</f>
        <v/>
      </c>
      <c r="D4460" s="94" t="n"/>
      <c r="E4460" s="94" t="inlineStr">
        <is>
          <t>머드크림마스크</t>
        </is>
      </c>
      <c r="F4460" s="94" t="inlineStr">
        <is>
          <t>카페24</t>
        </is>
      </c>
      <c r="G4460" s="94" t="inlineStr">
        <is>
          <t>머드크림마스크 100ml</t>
        </is>
      </c>
      <c r="H4460" s="7" t="n">
        <v>190801</v>
      </c>
      <c r="I4460" s="7" t="n">
        <v>190801</v>
      </c>
      <c r="J4460" s="94" t="n"/>
      <c r="K4460" s="149" t="n">
        <v>1</v>
      </c>
      <c r="L4460" s="94" t="n">
        <v>190801</v>
      </c>
      <c r="M4460" s="94">
        <f>VLOOKUP($Q4460,매칭테이블!$F:$I,2,0)*K4460</f>
        <v/>
      </c>
      <c r="N4460" s="94">
        <f>M4460-M4460*VLOOKUP($Q4460,매칭테이블!$F:$I,3,0)</f>
        <v/>
      </c>
      <c r="O4460" s="94">
        <f>VLOOKUP($Q4460,매칭테이블!$F:$I,4,0)*K4460</f>
        <v/>
      </c>
      <c r="P4460" s="148">
        <f>M4460/1.1</f>
        <v/>
      </c>
      <c r="Q4460" s="94">
        <f>F4460&amp;E4460&amp;G4460&amp;L4460</f>
        <v/>
      </c>
    </row>
    <row r="4461">
      <c r="A4461" s="94" t="n"/>
      <c r="B4461" s="128" t="n">
        <v>43853</v>
      </c>
      <c r="C4461" s="94">
        <f>TEXT(B4461,"aaa")</f>
        <v/>
      </c>
      <c r="D4461" s="94" t="n"/>
      <c r="E4461" s="6" t="inlineStr">
        <is>
          <t>토너</t>
        </is>
      </c>
      <c r="F4461" s="5" t="inlineStr">
        <is>
          <t>카페24</t>
        </is>
      </c>
      <c r="G4461" s="5" t="inlineStr">
        <is>
          <t>250ml</t>
        </is>
      </c>
      <c r="H4461" s="7" t="n">
        <v>190801</v>
      </c>
      <c r="I4461" s="7" t="n">
        <v>190801</v>
      </c>
      <c r="J4461" s="94" t="n"/>
      <c r="K4461" s="149" t="n">
        <v>21</v>
      </c>
      <c r="L4461" s="7" t="n">
        <v>190801</v>
      </c>
      <c r="M4461" s="94">
        <f>VLOOKUP($Q4461,매칭테이블!$F:$I,2,0)*K4461</f>
        <v/>
      </c>
      <c r="N4461" s="94">
        <f>M4461-M4461*VLOOKUP($Q4461,매칭테이블!$F:$I,3,0)</f>
        <v/>
      </c>
      <c r="O4461" s="94">
        <f>VLOOKUP($Q4461,매칭테이블!$F:$I,4,0)*K4461</f>
        <v/>
      </c>
      <c r="P4461" s="148">
        <f>M4461/1.1</f>
        <v/>
      </c>
      <c r="Q4461" s="94">
        <f>F4461&amp;E4461&amp;G4461&amp;L4461</f>
        <v/>
      </c>
    </row>
    <row r="4462">
      <c r="A4462" s="94" t="n"/>
      <c r="B4462" s="128" t="n">
        <v>43853</v>
      </c>
      <c r="C4462" s="94">
        <f>TEXT(B4462,"aaa")</f>
        <v/>
      </c>
      <c r="D4462" s="94" t="n"/>
      <c r="E4462" s="6" t="inlineStr">
        <is>
          <t>토너</t>
        </is>
      </c>
      <c r="F4462" s="5" t="inlineStr">
        <is>
          <t>카페24</t>
        </is>
      </c>
      <c r="G4462" s="5" t="inlineStr">
        <is>
          <t>250ml 2set</t>
        </is>
      </c>
      <c r="H4462" s="7" t="n">
        <v>190801</v>
      </c>
      <c r="I4462" s="7" t="n">
        <v>190801</v>
      </c>
      <c r="J4462" s="94" t="n"/>
      <c r="K4462" s="149" t="n">
        <v>25</v>
      </c>
      <c r="L4462" s="7" t="n">
        <v>190801</v>
      </c>
      <c r="M4462" s="94">
        <f>VLOOKUP($Q4462,매칭테이블!$F:$I,2,0)*K4462</f>
        <v/>
      </c>
      <c r="N4462" s="94">
        <f>M4462-M4462*VLOOKUP($Q4462,매칭테이블!$F:$I,3,0)</f>
        <v/>
      </c>
      <c r="O4462" s="94">
        <f>VLOOKUP($Q4462,매칭테이블!$F:$I,4,0)*K4462</f>
        <v/>
      </c>
      <c r="P4462" s="148">
        <f>M4462/1.1</f>
        <v/>
      </c>
      <c r="Q4462" s="94">
        <f>F4462&amp;E4462&amp;G4462&amp;L4462</f>
        <v/>
      </c>
    </row>
    <row r="4463">
      <c r="A4463" s="94" t="n"/>
      <c r="B4463" s="128" t="n">
        <v>43853</v>
      </c>
      <c r="C4463" s="94">
        <f>TEXT(B4463,"aaa")</f>
        <v/>
      </c>
      <c r="D4463" s="94" t="n"/>
      <c r="E4463" s="6" t="inlineStr">
        <is>
          <t>토너</t>
        </is>
      </c>
      <c r="F4463" s="5" t="inlineStr">
        <is>
          <t>카페24</t>
        </is>
      </c>
      <c r="G4463" s="5" t="inlineStr">
        <is>
          <t>500ml</t>
        </is>
      </c>
      <c r="H4463" s="7" t="n">
        <v>190801</v>
      </c>
      <c r="I4463" s="7" t="n">
        <v>190801</v>
      </c>
      <c r="J4463" s="94" t="n"/>
      <c r="K4463" s="149" t="n">
        <v>12</v>
      </c>
      <c r="L4463" s="7" t="n">
        <v>190801</v>
      </c>
      <c r="M4463" s="94">
        <f>VLOOKUP($Q4463,매칭테이블!$F:$I,2,0)*K4463</f>
        <v/>
      </c>
      <c r="N4463" s="94">
        <f>M4463-M4463*VLOOKUP($Q4463,매칭테이블!$F:$I,3,0)</f>
        <v/>
      </c>
      <c r="O4463" s="94">
        <f>VLOOKUP($Q4463,매칭테이블!$F:$I,4,0)*K4463</f>
        <v/>
      </c>
      <c r="P4463" s="148">
        <f>M4463/1.1</f>
        <v/>
      </c>
      <c r="Q4463" s="94">
        <f>F4463&amp;E4463&amp;G4463&amp;L4463</f>
        <v/>
      </c>
    </row>
    <row r="4464">
      <c r="A4464" s="94" t="n"/>
      <c r="B4464" s="128" t="n">
        <v>43853</v>
      </c>
      <c r="C4464" s="94">
        <f>TEXT(B4464,"aaa")</f>
        <v/>
      </c>
      <c r="D4464" s="94" t="n"/>
      <c r="E4464" s="6" t="inlineStr">
        <is>
          <t>토너</t>
        </is>
      </c>
      <c r="F4464" s="5" t="inlineStr">
        <is>
          <t>카페24</t>
        </is>
      </c>
      <c r="G4464" s="94" t="inlineStr">
        <is>
          <t>스킨팩 화장솜 60P</t>
        </is>
      </c>
      <c r="H4464" s="7" t="n">
        <v>190801</v>
      </c>
      <c r="I4464" s="7" t="n">
        <v>190801</v>
      </c>
      <c r="J4464" s="94" t="n"/>
      <c r="K4464" s="149" t="n">
        <v>24</v>
      </c>
      <c r="L4464" s="94" t="n">
        <v>190801</v>
      </c>
      <c r="M4464" s="94">
        <f>VLOOKUP($Q4464,매칭테이블!$F:$I,2,0)*K4464</f>
        <v/>
      </c>
      <c r="N4464" s="94">
        <f>M4464-M4464*VLOOKUP($Q4464,매칭테이블!$F:$I,3,0)</f>
        <v/>
      </c>
      <c r="O4464" s="94">
        <f>VLOOKUP($Q4464,매칭테이블!$F:$I,4,0)*K4464</f>
        <v/>
      </c>
      <c r="P4464" s="148">
        <f>M4464/1.1</f>
        <v/>
      </c>
      <c r="Q4464" s="94">
        <f>F4464&amp;E4464&amp;G4464&amp;L4464</f>
        <v/>
      </c>
    </row>
    <row r="4465">
      <c r="A4465" s="94" t="n"/>
      <c r="B4465" s="128" t="n">
        <v>43854</v>
      </c>
      <c r="C4465" s="94">
        <f>TEXT(B4465,"aaa")</f>
        <v/>
      </c>
      <c r="D4465" s="94" t="n"/>
      <c r="E4465" s="6" t="inlineStr">
        <is>
          <t>토너</t>
        </is>
      </c>
      <c r="F4465" s="5" t="inlineStr">
        <is>
          <t>W컨셉</t>
        </is>
      </c>
      <c r="G4465" s="5" t="inlineStr">
        <is>
          <t>250ml 2set</t>
        </is>
      </c>
      <c r="H4465" s="7" t="n">
        <v>190801</v>
      </c>
      <c r="I4465" s="7" t="n">
        <v>190801</v>
      </c>
      <c r="J4465" s="94" t="n"/>
      <c r="K4465" s="149" t="n">
        <v>3</v>
      </c>
      <c r="L4465" s="7" t="n">
        <v>190801</v>
      </c>
      <c r="M4465" s="94">
        <f>VLOOKUP($Q4465,매칭테이블!$F:$I,2,0)*K4465</f>
        <v/>
      </c>
      <c r="N4465" s="94">
        <f>M4465-M4465*VLOOKUP($Q4465,매칭테이블!$F:$I,3,0)</f>
        <v/>
      </c>
      <c r="O4465" s="94">
        <f>VLOOKUP($Q4465,매칭테이블!$F:$I,4,0)*K4465</f>
        <v/>
      </c>
      <c r="P4465" s="148">
        <f>M4465/1.1</f>
        <v/>
      </c>
      <c r="Q4465" s="94">
        <f>F4465&amp;E4465&amp;G4465&amp;L4465</f>
        <v/>
      </c>
    </row>
    <row r="4466">
      <c r="A4466" s="94" t="n"/>
      <c r="B4466" s="128" t="n">
        <v>43854</v>
      </c>
      <c r="C4466" s="94">
        <f>TEXT(B4466,"aaa")</f>
        <v/>
      </c>
      <c r="D4466" s="94" t="n"/>
      <c r="E4466" s="94" t="inlineStr">
        <is>
          <t>머드크림마스크</t>
        </is>
      </c>
      <c r="F4466" s="94" t="inlineStr">
        <is>
          <t>카페24</t>
        </is>
      </c>
      <c r="G4466" s="94" t="inlineStr">
        <is>
          <t>머드크림마스크 100ml</t>
        </is>
      </c>
      <c r="H4466" s="7" t="n">
        <v>190801</v>
      </c>
      <c r="I4466" s="7" t="n">
        <v>190801</v>
      </c>
      <c r="J4466" s="94" t="n"/>
      <c r="K4466" s="149" t="n">
        <v>2</v>
      </c>
      <c r="L4466" s="94" t="n">
        <v>190801</v>
      </c>
      <c r="M4466" s="94">
        <f>VLOOKUP($Q4466,매칭테이블!$F:$I,2,0)*K4466</f>
        <v/>
      </c>
      <c r="N4466" s="94">
        <f>M4466-M4466*VLOOKUP($Q4466,매칭테이블!$F:$I,3,0)</f>
        <v/>
      </c>
      <c r="O4466" s="94">
        <f>VLOOKUP($Q4466,매칭테이블!$F:$I,4,0)*K4466</f>
        <v/>
      </c>
      <c r="P4466" s="148">
        <f>M4466/1.1</f>
        <v/>
      </c>
      <c r="Q4466" s="94">
        <f>F4466&amp;E4466&amp;G4466&amp;L4466</f>
        <v/>
      </c>
    </row>
    <row r="4467">
      <c r="A4467" s="94" t="n"/>
      <c r="B4467" s="128" t="n">
        <v>43854</v>
      </c>
      <c r="C4467" s="94">
        <f>TEXT(B4467,"aaa")</f>
        <v/>
      </c>
      <c r="D4467" s="94" t="n"/>
      <c r="E4467" s="6" t="inlineStr">
        <is>
          <t>토너</t>
        </is>
      </c>
      <c r="F4467" s="5" t="inlineStr">
        <is>
          <t>카페24</t>
        </is>
      </c>
      <c r="G4467" s="5" t="inlineStr">
        <is>
          <t>250ml</t>
        </is>
      </c>
      <c r="H4467" s="7" t="n">
        <v>190801</v>
      </c>
      <c r="I4467" s="7" t="n">
        <v>190801</v>
      </c>
      <c r="J4467" s="94" t="n"/>
      <c r="K4467" s="149" t="n">
        <v>22</v>
      </c>
      <c r="L4467" s="7" t="n">
        <v>190801</v>
      </c>
      <c r="M4467" s="94">
        <f>VLOOKUP($Q4467,매칭테이블!$F:$I,2,0)*K4467</f>
        <v/>
      </c>
      <c r="N4467" s="94">
        <f>M4467-M4467*VLOOKUP($Q4467,매칭테이블!$F:$I,3,0)</f>
        <v/>
      </c>
      <c r="O4467" s="94">
        <f>VLOOKUP($Q4467,매칭테이블!$F:$I,4,0)*K4467</f>
        <v/>
      </c>
      <c r="P4467" s="148">
        <f>M4467/1.1</f>
        <v/>
      </c>
      <c r="Q4467" s="94">
        <f>F4467&amp;E4467&amp;G4467&amp;L4467</f>
        <v/>
      </c>
    </row>
    <row r="4468">
      <c r="A4468" s="94" t="n"/>
      <c r="B4468" s="128" t="n">
        <v>43854</v>
      </c>
      <c r="C4468" s="94">
        <f>TEXT(B4468,"aaa")</f>
        <v/>
      </c>
      <c r="D4468" s="94" t="n"/>
      <c r="E4468" s="6" t="inlineStr">
        <is>
          <t>토너</t>
        </is>
      </c>
      <c r="F4468" s="5" t="inlineStr">
        <is>
          <t>카페24</t>
        </is>
      </c>
      <c r="G4468" s="5" t="inlineStr">
        <is>
          <t>250ml 2set</t>
        </is>
      </c>
      <c r="H4468" s="7" t="n">
        <v>190801</v>
      </c>
      <c r="I4468" s="7" t="n">
        <v>190801</v>
      </c>
      <c r="J4468" s="94" t="n"/>
      <c r="K4468" s="149" t="n">
        <v>31</v>
      </c>
      <c r="L4468" s="7" t="n">
        <v>190801</v>
      </c>
      <c r="M4468" s="94">
        <f>VLOOKUP($Q4468,매칭테이블!$F:$I,2,0)*K4468</f>
        <v/>
      </c>
      <c r="N4468" s="94">
        <f>M4468-M4468*VLOOKUP($Q4468,매칭테이블!$F:$I,3,0)</f>
        <v/>
      </c>
      <c r="O4468" s="94">
        <f>VLOOKUP($Q4468,매칭테이블!$F:$I,4,0)*K4468</f>
        <v/>
      </c>
      <c r="P4468" s="148">
        <f>M4468/1.1</f>
        <v/>
      </c>
      <c r="Q4468" s="94">
        <f>F4468&amp;E4468&amp;G4468&amp;L4468</f>
        <v/>
      </c>
    </row>
    <row r="4469">
      <c r="A4469" s="94" t="n"/>
      <c r="B4469" s="128" t="n">
        <v>43854</v>
      </c>
      <c r="C4469" s="94">
        <f>TEXT(B4469,"aaa")</f>
        <v/>
      </c>
      <c r="D4469" s="94" t="n"/>
      <c r="E4469" s="6" t="inlineStr">
        <is>
          <t>토너</t>
        </is>
      </c>
      <c r="F4469" s="5" t="inlineStr">
        <is>
          <t>카페24</t>
        </is>
      </c>
      <c r="G4469" s="5" t="inlineStr">
        <is>
          <t>500ml</t>
        </is>
      </c>
      <c r="H4469" s="7" t="n">
        <v>190801</v>
      </c>
      <c r="I4469" s="7" t="n">
        <v>190801</v>
      </c>
      <c r="J4469" s="94" t="n"/>
      <c r="K4469" s="149" t="n">
        <v>13</v>
      </c>
      <c r="L4469" s="7" t="n">
        <v>190801</v>
      </c>
      <c r="M4469" s="94">
        <f>VLOOKUP($Q4469,매칭테이블!$F:$I,2,0)*K4469</f>
        <v/>
      </c>
      <c r="N4469" s="94">
        <f>M4469-M4469*VLOOKUP($Q4469,매칭테이블!$F:$I,3,0)</f>
        <v/>
      </c>
      <c r="O4469" s="94">
        <f>VLOOKUP($Q4469,매칭테이블!$F:$I,4,0)*K4469</f>
        <v/>
      </c>
      <c r="P4469" s="148">
        <f>M4469/1.1</f>
        <v/>
      </c>
      <c r="Q4469" s="94">
        <f>F4469&amp;E4469&amp;G4469&amp;L4469</f>
        <v/>
      </c>
    </row>
    <row r="4470">
      <c r="A4470" s="94" t="n"/>
      <c r="B4470" s="128" t="n">
        <v>43854</v>
      </c>
      <c r="C4470" s="94">
        <f>TEXT(B4470,"aaa")</f>
        <v/>
      </c>
      <c r="D4470" s="94" t="n"/>
      <c r="E4470" s="6" t="inlineStr">
        <is>
          <t>토너</t>
        </is>
      </c>
      <c r="F4470" s="5" t="inlineStr">
        <is>
          <t>카페24</t>
        </is>
      </c>
      <c r="G4470" s="94" t="inlineStr">
        <is>
          <t>스킨팩 화장솜 60P</t>
        </is>
      </c>
      <c r="H4470" s="7" t="n">
        <v>190801</v>
      </c>
      <c r="I4470" s="7" t="n">
        <v>190801</v>
      </c>
      <c r="J4470" s="94" t="n"/>
      <c r="K4470" s="149" t="n">
        <v>33</v>
      </c>
      <c r="L4470" s="94" t="n">
        <v>190801</v>
      </c>
      <c r="M4470" s="94">
        <f>VLOOKUP($Q4470,매칭테이블!$F:$I,2,0)*K4470</f>
        <v/>
      </c>
      <c r="N4470" s="94">
        <f>M4470-M4470*VLOOKUP($Q4470,매칭테이블!$F:$I,3,0)</f>
        <v/>
      </c>
      <c r="O4470" s="94">
        <f>VLOOKUP($Q4470,매칭테이블!$F:$I,4,0)*K4470</f>
        <v/>
      </c>
      <c r="P4470" s="148">
        <f>M4470/1.1</f>
        <v/>
      </c>
      <c r="Q4470" s="94">
        <f>F4470&amp;E4470&amp;G4470&amp;L4470</f>
        <v/>
      </c>
    </row>
    <row r="4471">
      <c r="A4471" s="94" t="n"/>
      <c r="B4471" s="128" t="n">
        <v>43855</v>
      </c>
      <c r="C4471" s="94">
        <f>TEXT(B4471,"aaa")</f>
        <v/>
      </c>
      <c r="D4471" s="94" t="n"/>
      <c r="E4471" s="6" t="inlineStr">
        <is>
          <t>토너</t>
        </is>
      </c>
      <c r="F4471" s="5" t="inlineStr">
        <is>
          <t>W컨셉</t>
        </is>
      </c>
      <c r="G4471" s="5" t="inlineStr">
        <is>
          <t>250ml</t>
        </is>
      </c>
      <c r="H4471" s="7" t="n">
        <v>190801</v>
      </c>
      <c r="I4471" s="7" t="n">
        <v>190801</v>
      </c>
      <c r="J4471" s="94" t="n"/>
      <c r="K4471" s="149" t="n">
        <v>1</v>
      </c>
      <c r="L4471" s="7" t="n">
        <v>190801</v>
      </c>
      <c r="M4471" s="94">
        <f>VLOOKUP($Q4471,매칭테이블!$F:$I,2,0)*K4471</f>
        <v/>
      </c>
      <c r="N4471" s="94">
        <f>M4471-M4471*VLOOKUP($Q4471,매칭테이블!$F:$I,3,0)</f>
        <v/>
      </c>
      <c r="O4471" s="94">
        <f>VLOOKUP($Q4471,매칭테이블!$F:$I,4,0)*K4471</f>
        <v/>
      </c>
      <c r="P4471" s="148">
        <f>M4471/1.1</f>
        <v/>
      </c>
      <c r="Q4471" s="94">
        <f>F4471&amp;E4471&amp;G4471&amp;L4471</f>
        <v/>
      </c>
    </row>
    <row r="4472">
      <c r="A4472" s="94" t="n"/>
      <c r="B4472" s="128" t="n">
        <v>43855</v>
      </c>
      <c r="C4472" s="94">
        <f>TEXT(B4472,"aaa")</f>
        <v/>
      </c>
      <c r="D4472" s="94" t="n"/>
      <c r="E4472" s="6" t="inlineStr">
        <is>
          <t>토너</t>
        </is>
      </c>
      <c r="F4472" s="5" t="inlineStr">
        <is>
          <t>W컨셉</t>
        </is>
      </c>
      <c r="G4472" s="5" t="inlineStr">
        <is>
          <t>250ml 2set</t>
        </is>
      </c>
      <c r="H4472" s="7" t="n">
        <v>190801</v>
      </c>
      <c r="I4472" s="7" t="n">
        <v>190801</v>
      </c>
      <c r="J4472" s="94" t="n"/>
      <c r="K4472" s="149" t="n">
        <v>1</v>
      </c>
      <c r="L4472" s="7" t="n">
        <v>190801</v>
      </c>
      <c r="M4472" s="94">
        <f>VLOOKUP($Q4472,매칭테이블!$F:$I,2,0)*K4472</f>
        <v/>
      </c>
      <c r="N4472" s="94">
        <f>M4472-M4472*VLOOKUP($Q4472,매칭테이블!$F:$I,3,0)</f>
        <v/>
      </c>
      <c r="O4472" s="94">
        <f>VLOOKUP($Q4472,매칭테이블!$F:$I,4,0)*K4472</f>
        <v/>
      </c>
      <c r="P4472" s="148">
        <f>M4472/1.1</f>
        <v/>
      </c>
      <c r="Q4472" s="94">
        <f>F4472&amp;E4472&amp;G4472&amp;L4472</f>
        <v/>
      </c>
    </row>
    <row r="4473">
      <c r="A4473" s="94" t="n"/>
      <c r="B4473" s="128" t="n">
        <v>43855</v>
      </c>
      <c r="C4473" s="94">
        <f>TEXT(B4473,"aaa")</f>
        <v/>
      </c>
      <c r="D4473" s="94" t="n"/>
      <c r="E4473" s="94" t="inlineStr">
        <is>
          <t>머드크림마스크</t>
        </is>
      </c>
      <c r="F4473" s="94" t="inlineStr">
        <is>
          <t>카페24</t>
        </is>
      </c>
      <c r="G4473" s="94" t="inlineStr">
        <is>
          <t>머드크림마스크 100ml</t>
        </is>
      </c>
      <c r="H4473" s="7" t="n">
        <v>190801</v>
      </c>
      <c r="I4473" s="7" t="n">
        <v>190801</v>
      </c>
      <c r="J4473" s="94" t="n"/>
      <c r="K4473" s="149" t="n">
        <v>3</v>
      </c>
      <c r="L4473" s="94" t="n">
        <v>190801</v>
      </c>
      <c r="M4473" s="94">
        <f>VLOOKUP($Q4473,매칭테이블!$F:$I,2,0)*K4473</f>
        <v/>
      </c>
      <c r="N4473" s="94">
        <f>M4473-M4473*VLOOKUP($Q4473,매칭테이블!$F:$I,3,0)</f>
        <v/>
      </c>
      <c r="O4473" s="94">
        <f>VLOOKUP($Q4473,매칭테이블!$F:$I,4,0)*K4473</f>
        <v/>
      </c>
      <c r="P4473" s="148">
        <f>M4473/1.1</f>
        <v/>
      </c>
      <c r="Q4473" s="94">
        <f>F4473&amp;E4473&amp;G4473&amp;L4473</f>
        <v/>
      </c>
    </row>
    <row r="4474">
      <c r="A4474" s="94" t="n"/>
      <c r="B4474" s="128" t="n">
        <v>43855</v>
      </c>
      <c r="C4474" s="94">
        <f>TEXT(B4474,"aaa")</f>
        <v/>
      </c>
      <c r="D4474" s="94" t="n"/>
      <c r="E4474" s="6" t="inlineStr">
        <is>
          <t>토너</t>
        </is>
      </c>
      <c r="F4474" s="5" t="inlineStr">
        <is>
          <t>카페24</t>
        </is>
      </c>
      <c r="G4474" s="5" t="inlineStr">
        <is>
          <t>250ml</t>
        </is>
      </c>
      <c r="H4474" s="7" t="n">
        <v>190801</v>
      </c>
      <c r="I4474" s="7" t="n">
        <v>190801</v>
      </c>
      <c r="J4474" s="94" t="n"/>
      <c r="K4474" s="149" t="n">
        <v>21</v>
      </c>
      <c r="L4474" s="7" t="n">
        <v>190801</v>
      </c>
      <c r="M4474" s="94">
        <f>VLOOKUP($Q4474,매칭테이블!$F:$I,2,0)*K4474</f>
        <v/>
      </c>
      <c r="N4474" s="94">
        <f>M4474-M4474*VLOOKUP($Q4474,매칭테이블!$F:$I,3,0)</f>
        <v/>
      </c>
      <c r="O4474" s="94">
        <f>VLOOKUP($Q4474,매칭테이블!$F:$I,4,0)*K4474</f>
        <v/>
      </c>
      <c r="P4474" s="148">
        <f>M4474/1.1</f>
        <v/>
      </c>
      <c r="Q4474" s="94">
        <f>F4474&amp;E4474&amp;G4474&amp;L4474</f>
        <v/>
      </c>
    </row>
    <row r="4475">
      <c r="A4475" s="94" t="n"/>
      <c r="B4475" s="128" t="n">
        <v>43855</v>
      </c>
      <c r="C4475" s="94">
        <f>TEXT(B4475,"aaa")</f>
        <v/>
      </c>
      <c r="D4475" s="94" t="n"/>
      <c r="E4475" s="6" t="inlineStr">
        <is>
          <t>토너</t>
        </is>
      </c>
      <c r="F4475" s="5" t="inlineStr">
        <is>
          <t>카페24</t>
        </is>
      </c>
      <c r="G4475" s="5" t="inlineStr">
        <is>
          <t>250ml 2set</t>
        </is>
      </c>
      <c r="H4475" s="7" t="n">
        <v>190801</v>
      </c>
      <c r="I4475" s="7" t="n">
        <v>190801</v>
      </c>
      <c r="J4475" s="94" t="n"/>
      <c r="K4475" s="149" t="n">
        <v>25</v>
      </c>
      <c r="L4475" s="7" t="n">
        <v>190801</v>
      </c>
      <c r="M4475" s="94">
        <f>VLOOKUP($Q4475,매칭테이블!$F:$I,2,0)*K4475</f>
        <v/>
      </c>
      <c r="N4475" s="94">
        <f>M4475-M4475*VLOOKUP($Q4475,매칭테이블!$F:$I,3,0)</f>
        <v/>
      </c>
      <c r="O4475" s="94">
        <f>VLOOKUP($Q4475,매칭테이블!$F:$I,4,0)*K4475</f>
        <v/>
      </c>
      <c r="P4475" s="148">
        <f>M4475/1.1</f>
        <v/>
      </c>
      <c r="Q4475" s="94">
        <f>F4475&amp;E4475&amp;G4475&amp;L4475</f>
        <v/>
      </c>
    </row>
    <row r="4476">
      <c r="A4476" s="94" t="n"/>
      <c r="B4476" s="128" t="n">
        <v>43855</v>
      </c>
      <c r="C4476" s="94">
        <f>TEXT(B4476,"aaa")</f>
        <v/>
      </c>
      <c r="D4476" s="94" t="n"/>
      <c r="E4476" s="6" t="inlineStr">
        <is>
          <t>토너</t>
        </is>
      </c>
      <c r="F4476" s="5" t="inlineStr">
        <is>
          <t>카페24</t>
        </is>
      </c>
      <c r="G4476" s="5" t="inlineStr">
        <is>
          <t>500ml</t>
        </is>
      </c>
      <c r="H4476" s="7" t="n">
        <v>190801</v>
      </c>
      <c r="I4476" s="7" t="n">
        <v>190801</v>
      </c>
      <c r="J4476" s="94" t="n"/>
      <c r="K4476" s="149" t="n">
        <v>17</v>
      </c>
      <c r="L4476" s="7" t="n">
        <v>190801</v>
      </c>
      <c r="M4476" s="94">
        <f>VLOOKUP($Q4476,매칭테이블!$F:$I,2,0)*K4476</f>
        <v/>
      </c>
      <c r="N4476" s="94">
        <f>M4476-M4476*VLOOKUP($Q4476,매칭테이블!$F:$I,3,0)</f>
        <v/>
      </c>
      <c r="O4476" s="94">
        <f>VLOOKUP($Q4476,매칭테이블!$F:$I,4,0)*K4476</f>
        <v/>
      </c>
      <c r="P4476" s="148">
        <f>M4476/1.1</f>
        <v/>
      </c>
      <c r="Q4476" s="94">
        <f>F4476&amp;E4476&amp;G4476&amp;L4476</f>
        <v/>
      </c>
    </row>
    <row r="4477">
      <c r="A4477" s="94" t="n"/>
      <c r="B4477" s="128" t="n">
        <v>43855</v>
      </c>
      <c r="C4477" s="94">
        <f>TEXT(B4477,"aaa")</f>
        <v/>
      </c>
      <c r="D4477" s="94" t="n"/>
      <c r="E4477" s="6" t="inlineStr">
        <is>
          <t>토너</t>
        </is>
      </c>
      <c r="F4477" s="5" t="inlineStr">
        <is>
          <t>카페24</t>
        </is>
      </c>
      <c r="G4477" s="94" t="inlineStr">
        <is>
          <t>스킨팩 화장솜 60P</t>
        </is>
      </c>
      <c r="H4477" s="7" t="n">
        <v>190801</v>
      </c>
      <c r="I4477" s="7" t="n">
        <v>190801</v>
      </c>
      <c r="J4477" s="94" t="n"/>
      <c r="K4477" s="149" t="n">
        <v>31</v>
      </c>
      <c r="L4477" s="94" t="n">
        <v>190801</v>
      </c>
      <c r="M4477" s="94">
        <f>VLOOKUP($Q4477,매칭테이블!$F:$I,2,0)*K4477</f>
        <v/>
      </c>
      <c r="N4477" s="94">
        <f>M4477-M4477*VLOOKUP($Q4477,매칭테이블!$F:$I,3,0)</f>
        <v/>
      </c>
      <c r="O4477" s="94">
        <f>VLOOKUP($Q4477,매칭테이블!$F:$I,4,0)*K4477</f>
        <v/>
      </c>
      <c r="P4477" s="148">
        <f>M4477/1.1</f>
        <v/>
      </c>
      <c r="Q4477" s="94">
        <f>F4477&amp;E4477&amp;G4477&amp;L4477</f>
        <v/>
      </c>
    </row>
    <row r="4478">
      <c r="A4478" s="94" t="n"/>
      <c r="B4478" s="128" t="n">
        <v>43856</v>
      </c>
      <c r="C4478" s="94">
        <f>TEXT(B4478,"aaa")</f>
        <v/>
      </c>
      <c r="D4478" s="94" t="n"/>
      <c r="E4478" s="6" t="inlineStr">
        <is>
          <t>토너</t>
        </is>
      </c>
      <c r="F4478" s="5" t="inlineStr">
        <is>
          <t>W컨셉</t>
        </is>
      </c>
      <c r="G4478" s="5" t="inlineStr">
        <is>
          <t>250ml</t>
        </is>
      </c>
      <c r="H4478" s="7" t="n">
        <v>190801</v>
      </c>
      <c r="I4478" s="7" t="n">
        <v>190801</v>
      </c>
      <c r="J4478" s="94" t="n"/>
      <c r="K4478" s="149" t="n">
        <v>1</v>
      </c>
      <c r="L4478" s="7" t="n">
        <v>190801</v>
      </c>
      <c r="M4478" s="94">
        <f>VLOOKUP($Q4478,매칭테이블!$F:$I,2,0)*K4478</f>
        <v/>
      </c>
      <c r="N4478" s="94">
        <f>M4478-M4478*VLOOKUP($Q4478,매칭테이블!$F:$I,3,0)</f>
        <v/>
      </c>
      <c r="O4478" s="94">
        <f>VLOOKUP($Q4478,매칭테이블!$F:$I,4,0)*K4478</f>
        <v/>
      </c>
      <c r="P4478" s="148">
        <f>M4478/1.1</f>
        <v/>
      </c>
      <c r="Q4478" s="94">
        <f>F4478&amp;E4478&amp;G4478&amp;L4478</f>
        <v/>
      </c>
    </row>
    <row r="4479">
      <c r="A4479" s="94" t="n"/>
      <c r="B4479" s="128" t="n">
        <v>43856</v>
      </c>
      <c r="C4479" s="94">
        <f>TEXT(B4479,"aaa")</f>
        <v/>
      </c>
      <c r="D4479" s="94" t="n"/>
      <c r="E4479" s="6" t="inlineStr">
        <is>
          <t>토너</t>
        </is>
      </c>
      <c r="F4479" s="5" t="inlineStr">
        <is>
          <t>W컨셉</t>
        </is>
      </c>
      <c r="G4479" s="5" t="inlineStr">
        <is>
          <t>250ml 2set</t>
        </is>
      </c>
      <c r="H4479" s="7" t="n">
        <v>190801</v>
      </c>
      <c r="I4479" s="7" t="n">
        <v>190801</v>
      </c>
      <c r="J4479" s="94" t="n"/>
      <c r="K4479" s="149" t="n">
        <v>102</v>
      </c>
      <c r="L4479" s="7" t="n">
        <v>190801</v>
      </c>
      <c r="M4479" s="94">
        <f>VLOOKUP($Q4479,매칭테이블!$F:$I,2,0)*K4479</f>
        <v/>
      </c>
      <c r="N4479" s="94">
        <f>M4479-M4479*VLOOKUP($Q4479,매칭테이블!$F:$I,3,0)</f>
        <v/>
      </c>
      <c r="O4479" s="94">
        <f>VLOOKUP($Q4479,매칭테이블!$F:$I,4,0)*K4479</f>
        <v/>
      </c>
      <c r="P4479" s="148">
        <f>M4479/1.1</f>
        <v/>
      </c>
      <c r="Q4479" s="94">
        <f>F4479&amp;E4479&amp;G4479&amp;L4479</f>
        <v/>
      </c>
    </row>
    <row r="4480">
      <c r="A4480" s="94" t="n"/>
      <c r="B4480" s="128" t="n">
        <v>43856</v>
      </c>
      <c r="C4480" s="94">
        <f>TEXT(B4480,"aaa")</f>
        <v/>
      </c>
      <c r="D4480" s="94" t="n"/>
      <c r="E4480" s="94" t="inlineStr">
        <is>
          <t>머드크림마스크</t>
        </is>
      </c>
      <c r="F4480" s="94" t="inlineStr">
        <is>
          <t>카페24</t>
        </is>
      </c>
      <c r="G4480" s="94" t="inlineStr">
        <is>
          <t>머드크림마스크 100ml</t>
        </is>
      </c>
      <c r="H4480" s="7" t="n">
        <v>190801</v>
      </c>
      <c r="I4480" s="7" t="n">
        <v>190801</v>
      </c>
      <c r="J4480" s="94" t="n"/>
      <c r="K4480" s="149" t="n">
        <v>1</v>
      </c>
      <c r="L4480" s="94" t="n">
        <v>190801</v>
      </c>
      <c r="M4480" s="94">
        <f>VLOOKUP($Q4480,매칭테이블!$F:$I,2,0)*K4480</f>
        <v/>
      </c>
      <c r="N4480" s="94">
        <f>M4480-M4480*VLOOKUP($Q4480,매칭테이블!$F:$I,3,0)</f>
        <v/>
      </c>
      <c r="O4480" s="94">
        <f>VLOOKUP($Q4480,매칭테이블!$F:$I,4,0)*K4480</f>
        <v/>
      </c>
      <c r="P4480" s="148">
        <f>M4480/1.1</f>
        <v/>
      </c>
      <c r="Q4480" s="94">
        <f>F4480&amp;E4480&amp;G4480&amp;L4480</f>
        <v/>
      </c>
    </row>
    <row r="4481">
      <c r="A4481" s="94" t="n"/>
      <c r="B4481" s="128" t="n">
        <v>43856</v>
      </c>
      <c r="C4481" s="94">
        <f>TEXT(B4481,"aaa")</f>
        <v/>
      </c>
      <c r="D4481" s="94" t="n"/>
      <c r="E4481" s="6" t="inlineStr">
        <is>
          <t>토너</t>
        </is>
      </c>
      <c r="F4481" s="5" t="inlineStr">
        <is>
          <t>카페24</t>
        </is>
      </c>
      <c r="G4481" s="5" t="inlineStr">
        <is>
          <t>250ml</t>
        </is>
      </c>
      <c r="H4481" s="7" t="n">
        <v>190801</v>
      </c>
      <c r="I4481" s="7" t="n">
        <v>190801</v>
      </c>
      <c r="J4481" s="94" t="n"/>
      <c r="K4481" s="149" t="n">
        <v>48</v>
      </c>
      <c r="L4481" s="7" t="n">
        <v>190801</v>
      </c>
      <c r="M4481" s="94">
        <f>VLOOKUP($Q4481,매칭테이블!$F:$I,2,0)*K4481</f>
        <v/>
      </c>
      <c r="N4481" s="94">
        <f>M4481-M4481*VLOOKUP($Q4481,매칭테이블!$F:$I,3,0)</f>
        <v/>
      </c>
      <c r="O4481" s="94">
        <f>VLOOKUP($Q4481,매칭테이블!$F:$I,4,0)*K4481</f>
        <v/>
      </c>
      <c r="P4481" s="148">
        <f>M4481/1.1</f>
        <v/>
      </c>
      <c r="Q4481" s="94">
        <f>F4481&amp;E4481&amp;G4481&amp;L4481</f>
        <v/>
      </c>
    </row>
    <row r="4482">
      <c r="A4482" s="94" t="n"/>
      <c r="B4482" s="128" t="n">
        <v>43856</v>
      </c>
      <c r="C4482" s="94">
        <f>TEXT(B4482,"aaa")</f>
        <v/>
      </c>
      <c r="D4482" s="94" t="n"/>
      <c r="E4482" s="6" t="inlineStr">
        <is>
          <t>토너</t>
        </is>
      </c>
      <c r="F4482" s="5" t="inlineStr">
        <is>
          <t>카페24</t>
        </is>
      </c>
      <c r="G4482" s="5" t="inlineStr">
        <is>
          <t>250ml 2set</t>
        </is>
      </c>
      <c r="H4482" s="7" t="n">
        <v>190801</v>
      </c>
      <c r="I4482" s="7" t="n">
        <v>190801</v>
      </c>
      <c r="J4482" s="94" t="n"/>
      <c r="K4482" s="149" t="n">
        <v>32</v>
      </c>
      <c r="L4482" s="7" t="n">
        <v>190801</v>
      </c>
      <c r="M4482" s="94">
        <f>VLOOKUP($Q4482,매칭테이블!$F:$I,2,0)*K4482</f>
        <v/>
      </c>
      <c r="N4482" s="94">
        <f>M4482-M4482*VLOOKUP($Q4482,매칭테이블!$F:$I,3,0)</f>
        <v/>
      </c>
      <c r="O4482" s="94">
        <f>VLOOKUP($Q4482,매칭테이블!$F:$I,4,0)*K4482</f>
        <v/>
      </c>
      <c r="P4482" s="148">
        <f>M4482/1.1</f>
        <v/>
      </c>
      <c r="Q4482" s="94">
        <f>F4482&amp;E4482&amp;G4482&amp;L4482</f>
        <v/>
      </c>
    </row>
    <row r="4483">
      <c r="A4483" s="94" t="n"/>
      <c r="B4483" s="128" t="n">
        <v>43856</v>
      </c>
      <c r="C4483" s="94">
        <f>TEXT(B4483,"aaa")</f>
        <v/>
      </c>
      <c r="D4483" s="94" t="n"/>
      <c r="E4483" s="6" t="inlineStr">
        <is>
          <t>토너</t>
        </is>
      </c>
      <c r="F4483" s="5" t="inlineStr">
        <is>
          <t>카페24</t>
        </is>
      </c>
      <c r="G4483" s="5" t="inlineStr">
        <is>
          <t>500ml</t>
        </is>
      </c>
      <c r="H4483" s="7" t="n">
        <v>190801</v>
      </c>
      <c r="I4483" s="7" t="n">
        <v>190801</v>
      </c>
      <c r="J4483" s="94" t="n"/>
      <c r="K4483" s="149" t="n">
        <v>22</v>
      </c>
      <c r="L4483" s="7" t="n">
        <v>190801</v>
      </c>
      <c r="M4483" s="94">
        <f>VLOOKUP($Q4483,매칭테이블!$F:$I,2,0)*K4483</f>
        <v/>
      </c>
      <c r="N4483" s="94">
        <f>M4483-M4483*VLOOKUP($Q4483,매칭테이블!$F:$I,3,0)</f>
        <v/>
      </c>
      <c r="O4483" s="94">
        <f>VLOOKUP($Q4483,매칭테이블!$F:$I,4,0)*K4483</f>
        <v/>
      </c>
      <c r="P4483" s="148">
        <f>M4483/1.1</f>
        <v/>
      </c>
      <c r="Q4483" s="94">
        <f>F4483&amp;E4483&amp;G4483&amp;L4483</f>
        <v/>
      </c>
    </row>
    <row r="4484">
      <c r="A4484" s="94" t="n"/>
      <c r="B4484" s="128" t="n">
        <v>43856</v>
      </c>
      <c r="C4484" s="94">
        <f>TEXT(B4484,"aaa")</f>
        <v/>
      </c>
      <c r="D4484" s="94" t="n"/>
      <c r="E4484" s="6" t="inlineStr">
        <is>
          <t>토너</t>
        </is>
      </c>
      <c r="F4484" s="5" t="inlineStr">
        <is>
          <t>카페24</t>
        </is>
      </c>
      <c r="G4484" s="94" t="inlineStr">
        <is>
          <t>스킨팩 화장솜 60P</t>
        </is>
      </c>
      <c r="H4484" s="7" t="n">
        <v>190801</v>
      </c>
      <c r="I4484" s="7" t="n">
        <v>190801</v>
      </c>
      <c r="J4484" s="94" t="n"/>
      <c r="K4484" s="149" t="n">
        <v>49</v>
      </c>
      <c r="L4484" s="94" t="n">
        <v>190801</v>
      </c>
      <c r="M4484" s="94">
        <f>VLOOKUP($Q4484,매칭테이블!$F:$I,2,0)*K4484</f>
        <v/>
      </c>
      <c r="N4484" s="94">
        <f>M4484-M4484*VLOOKUP($Q4484,매칭테이블!$F:$I,3,0)</f>
        <v/>
      </c>
      <c r="O4484" s="94">
        <f>VLOOKUP($Q4484,매칭테이블!$F:$I,4,0)*K4484</f>
        <v/>
      </c>
      <c r="P4484" s="148">
        <f>M4484/1.1</f>
        <v/>
      </c>
      <c r="Q4484" s="94">
        <f>F4484&amp;E4484&amp;G4484&amp;L4484</f>
        <v/>
      </c>
    </row>
    <row r="4485">
      <c r="A4485" s="94" t="n"/>
      <c r="B4485" s="128" t="n">
        <v>43856</v>
      </c>
      <c r="C4485" s="94">
        <f>TEXT(B4485,"aaa")</f>
        <v/>
      </c>
      <c r="D4485" s="94" t="n"/>
      <c r="E4485" s="94" t="inlineStr">
        <is>
          <t>화장솜</t>
        </is>
      </c>
      <c r="F4485" s="94" t="inlineStr">
        <is>
          <t>카페24</t>
        </is>
      </c>
      <c r="G4485" s="94" t="inlineStr">
        <is>
          <t>스킨팩 화장솜 60P</t>
        </is>
      </c>
      <c r="H4485" s="7" t="n">
        <v>190801</v>
      </c>
      <c r="I4485" s="7" t="n">
        <v>190801</v>
      </c>
      <c r="J4485" s="94" t="n"/>
      <c r="K4485" s="149" t="n">
        <v>3</v>
      </c>
      <c r="L4485" s="94" t="n">
        <v>190801</v>
      </c>
      <c r="M4485" s="94">
        <f>VLOOKUP($Q4485,매칭테이블!$F:$I,2,0)*K4485</f>
        <v/>
      </c>
      <c r="N4485" s="94">
        <f>M4485-M4485*VLOOKUP($Q4485,매칭테이블!$F:$I,3,0)</f>
        <v/>
      </c>
      <c r="O4485" s="94">
        <f>VLOOKUP($Q4485,매칭테이블!$F:$I,4,0)*K4485</f>
        <v/>
      </c>
      <c r="P4485" s="148">
        <f>M4485/1.1</f>
        <v/>
      </c>
      <c r="Q4485" s="94">
        <f>F4485&amp;E4485&amp;G4485&amp;L4485</f>
        <v/>
      </c>
    </row>
    <row r="4486">
      <c r="A4486" s="94" t="n"/>
      <c r="B4486" s="128" t="n">
        <v>43857</v>
      </c>
      <c r="C4486" s="94">
        <f>TEXT(B4486,"aaa")</f>
        <v/>
      </c>
      <c r="D4486" s="94" t="n"/>
      <c r="E4486" s="6" t="inlineStr">
        <is>
          <t>토너</t>
        </is>
      </c>
      <c r="F4486" s="5" t="inlineStr">
        <is>
          <t>W컨셉</t>
        </is>
      </c>
      <c r="G4486" s="5" t="inlineStr">
        <is>
          <t>250ml 2set</t>
        </is>
      </c>
      <c r="H4486" s="7" t="n">
        <v>190801</v>
      </c>
      <c r="I4486" s="7" t="n">
        <v>190801</v>
      </c>
      <c r="J4486" s="94" t="n"/>
      <c r="K4486" s="149" t="n">
        <v>8</v>
      </c>
      <c r="L4486" s="7" t="n">
        <v>190801</v>
      </c>
      <c r="M4486" s="94">
        <f>VLOOKUP($Q4486,매칭테이블!$F:$I,2,0)*K4486</f>
        <v/>
      </c>
      <c r="N4486" s="94">
        <f>M4486-M4486*VLOOKUP($Q4486,매칭테이블!$F:$I,3,0)</f>
        <v/>
      </c>
      <c r="O4486" s="94">
        <f>VLOOKUP($Q4486,매칭테이블!$F:$I,4,0)*K4486</f>
        <v/>
      </c>
      <c r="P4486" s="148">
        <f>M4486/1.1</f>
        <v/>
      </c>
      <c r="Q4486" s="94">
        <f>F4486&amp;E4486&amp;G4486&amp;L4486</f>
        <v/>
      </c>
    </row>
    <row r="4487">
      <c r="A4487" s="94" t="n"/>
      <c r="B4487" s="128" t="n">
        <v>43857</v>
      </c>
      <c r="C4487" s="94">
        <f>TEXT(B4487,"aaa")</f>
        <v/>
      </c>
      <c r="D4487" s="94" t="n"/>
      <c r="E4487" s="94" t="inlineStr">
        <is>
          <t>머드크림마스크</t>
        </is>
      </c>
      <c r="F4487" s="94" t="inlineStr">
        <is>
          <t>카페24</t>
        </is>
      </c>
      <c r="G4487" s="94" t="inlineStr">
        <is>
          <t>머드크림마스크 100ml</t>
        </is>
      </c>
      <c r="H4487" s="7" t="n">
        <v>190801</v>
      </c>
      <c r="I4487" s="7" t="n">
        <v>190801</v>
      </c>
      <c r="J4487" s="94" t="n"/>
      <c r="K4487" s="149" t="n">
        <v>4</v>
      </c>
      <c r="L4487" s="94" t="n">
        <v>190801</v>
      </c>
      <c r="M4487" s="94">
        <f>VLOOKUP($Q4487,매칭테이블!$F:$I,2,0)*K4487</f>
        <v/>
      </c>
      <c r="N4487" s="94">
        <f>M4487-M4487*VLOOKUP($Q4487,매칭테이블!$F:$I,3,0)</f>
        <v/>
      </c>
      <c r="O4487" s="94">
        <f>VLOOKUP($Q4487,매칭테이블!$F:$I,4,0)*K4487</f>
        <v/>
      </c>
      <c r="P4487" s="148">
        <f>M4487/1.1</f>
        <v/>
      </c>
      <c r="Q4487" s="94">
        <f>F4487&amp;E4487&amp;G4487&amp;L4487</f>
        <v/>
      </c>
    </row>
    <row r="4488">
      <c r="A4488" s="94" t="n"/>
      <c r="B4488" s="128" t="n">
        <v>43857</v>
      </c>
      <c r="C4488" s="94">
        <f>TEXT(B4488,"aaa")</f>
        <v/>
      </c>
      <c r="D4488" s="94" t="n"/>
      <c r="E4488" s="6" t="inlineStr">
        <is>
          <t>토너</t>
        </is>
      </c>
      <c r="F4488" s="5" t="inlineStr">
        <is>
          <t>카페24</t>
        </is>
      </c>
      <c r="G4488" s="5" t="inlineStr">
        <is>
          <t>250ml</t>
        </is>
      </c>
      <c r="H4488" s="7" t="n">
        <v>190801</v>
      </c>
      <c r="I4488" s="7" t="n">
        <v>190801</v>
      </c>
      <c r="J4488" s="94" t="n"/>
      <c r="K4488" s="149" t="n">
        <v>52</v>
      </c>
      <c r="L4488" s="7" t="n">
        <v>190801</v>
      </c>
      <c r="M4488" s="94">
        <f>VLOOKUP($Q4488,매칭테이블!$F:$I,2,0)*K4488</f>
        <v/>
      </c>
      <c r="N4488" s="94">
        <f>M4488-M4488*VLOOKUP($Q4488,매칭테이블!$F:$I,3,0)</f>
        <v/>
      </c>
      <c r="O4488" s="94">
        <f>VLOOKUP($Q4488,매칭테이블!$F:$I,4,0)*K4488</f>
        <v/>
      </c>
      <c r="P4488" s="148">
        <f>M4488/1.1</f>
        <v/>
      </c>
      <c r="Q4488" s="94">
        <f>F4488&amp;E4488&amp;G4488&amp;L4488</f>
        <v/>
      </c>
    </row>
    <row r="4489">
      <c r="A4489" s="94" t="n"/>
      <c r="B4489" s="128" t="n">
        <v>43857</v>
      </c>
      <c r="C4489" s="94">
        <f>TEXT(B4489,"aaa")</f>
        <v/>
      </c>
      <c r="D4489" s="94" t="n"/>
      <c r="E4489" s="6" t="inlineStr">
        <is>
          <t>토너</t>
        </is>
      </c>
      <c r="F4489" s="5" t="inlineStr">
        <is>
          <t>카페24</t>
        </is>
      </c>
      <c r="G4489" s="5" t="inlineStr">
        <is>
          <t>250ml 2set</t>
        </is>
      </c>
      <c r="H4489" s="7" t="n">
        <v>190801</v>
      </c>
      <c r="I4489" s="7" t="n">
        <v>190801</v>
      </c>
      <c r="J4489" s="94" t="n"/>
      <c r="K4489" s="149" t="n">
        <v>51</v>
      </c>
      <c r="L4489" s="7" t="n">
        <v>190801</v>
      </c>
      <c r="M4489" s="94">
        <f>VLOOKUP($Q4489,매칭테이블!$F:$I,2,0)*K4489</f>
        <v/>
      </c>
      <c r="N4489" s="94">
        <f>M4489-M4489*VLOOKUP($Q4489,매칭테이블!$F:$I,3,0)</f>
        <v/>
      </c>
      <c r="O4489" s="94">
        <f>VLOOKUP($Q4489,매칭테이블!$F:$I,4,0)*K4489</f>
        <v/>
      </c>
      <c r="P4489" s="148">
        <f>M4489/1.1</f>
        <v/>
      </c>
      <c r="Q4489" s="94">
        <f>F4489&amp;E4489&amp;G4489&amp;L4489</f>
        <v/>
      </c>
    </row>
    <row r="4490">
      <c r="A4490" s="94" t="n"/>
      <c r="B4490" s="128" t="n">
        <v>43857</v>
      </c>
      <c r="C4490" s="94">
        <f>TEXT(B4490,"aaa")</f>
        <v/>
      </c>
      <c r="D4490" s="94" t="n"/>
      <c r="E4490" s="6" t="inlineStr">
        <is>
          <t>토너</t>
        </is>
      </c>
      <c r="F4490" s="5" t="inlineStr">
        <is>
          <t>카페24</t>
        </is>
      </c>
      <c r="G4490" s="5" t="inlineStr">
        <is>
          <t>500ml</t>
        </is>
      </c>
      <c r="H4490" s="7" t="n">
        <v>190801</v>
      </c>
      <c r="I4490" s="7" t="n">
        <v>190801</v>
      </c>
      <c r="J4490" s="94" t="n"/>
      <c r="K4490" s="149" t="n">
        <v>41</v>
      </c>
      <c r="L4490" s="7" t="n">
        <v>190801</v>
      </c>
      <c r="M4490" s="94">
        <f>VLOOKUP($Q4490,매칭테이블!$F:$I,2,0)*K4490</f>
        <v/>
      </c>
      <c r="N4490" s="94">
        <f>M4490-M4490*VLOOKUP($Q4490,매칭테이블!$F:$I,3,0)</f>
        <v/>
      </c>
      <c r="O4490" s="94">
        <f>VLOOKUP($Q4490,매칭테이블!$F:$I,4,0)*K4490</f>
        <v/>
      </c>
      <c r="P4490" s="148">
        <f>M4490/1.1</f>
        <v/>
      </c>
      <c r="Q4490" s="94">
        <f>F4490&amp;E4490&amp;G4490&amp;L4490</f>
        <v/>
      </c>
    </row>
    <row r="4491">
      <c r="A4491" s="94" t="n"/>
      <c r="B4491" s="128" t="n">
        <v>43857</v>
      </c>
      <c r="C4491" s="94">
        <f>TEXT(B4491,"aaa")</f>
        <v/>
      </c>
      <c r="D4491" s="94" t="n"/>
      <c r="E4491" s="6" t="inlineStr">
        <is>
          <t>토너</t>
        </is>
      </c>
      <c r="F4491" s="5" t="inlineStr">
        <is>
          <t>카페24</t>
        </is>
      </c>
      <c r="G4491" s="94" t="inlineStr">
        <is>
          <t>스킨팩 화장솜 60P</t>
        </is>
      </c>
      <c r="H4491" s="7" t="n">
        <v>190801</v>
      </c>
      <c r="I4491" s="7" t="n">
        <v>190801</v>
      </c>
      <c r="J4491" s="94" t="n"/>
      <c r="K4491" s="149" t="n">
        <v>59</v>
      </c>
      <c r="L4491" s="94" t="n">
        <v>190801</v>
      </c>
      <c r="M4491" s="94">
        <f>VLOOKUP($Q4491,매칭테이블!$F:$I,2,0)*K4491</f>
        <v/>
      </c>
      <c r="N4491" s="94">
        <f>M4491-M4491*VLOOKUP($Q4491,매칭테이블!$F:$I,3,0)</f>
        <v/>
      </c>
      <c r="O4491" s="94">
        <f>VLOOKUP($Q4491,매칭테이블!$F:$I,4,0)*K4491</f>
        <v/>
      </c>
      <c r="P4491" s="148">
        <f>M4491/1.1</f>
        <v/>
      </c>
      <c r="Q4491" s="94">
        <f>F4491&amp;E4491&amp;G4491&amp;L4491</f>
        <v/>
      </c>
    </row>
    <row r="4492">
      <c r="A4492" s="94" t="n"/>
      <c r="B4492" s="128" t="n">
        <v>43857</v>
      </c>
      <c r="C4492" s="94">
        <f>TEXT(B4492,"aaa")</f>
        <v/>
      </c>
      <c r="D4492" s="94" t="n"/>
      <c r="E4492" s="94" t="inlineStr">
        <is>
          <t>화장솜</t>
        </is>
      </c>
      <c r="F4492" s="94" t="inlineStr">
        <is>
          <t>카페24</t>
        </is>
      </c>
      <c r="G4492" s="94" t="inlineStr">
        <is>
          <t>스킨팩 화장솜 60P</t>
        </is>
      </c>
      <c r="H4492" s="7" t="n">
        <v>190801</v>
      </c>
      <c r="I4492" s="7" t="n">
        <v>190801</v>
      </c>
      <c r="J4492" s="94" t="n"/>
      <c r="K4492" s="149" t="n">
        <v>1</v>
      </c>
      <c r="L4492" s="94" t="n">
        <v>190801</v>
      </c>
      <c r="M4492" s="94">
        <f>VLOOKUP($Q4492,매칭테이블!$F:$I,2,0)*K4492</f>
        <v/>
      </c>
      <c r="N4492" s="94">
        <f>M4492-M4492*VLOOKUP($Q4492,매칭테이블!$F:$I,3,0)</f>
        <v/>
      </c>
      <c r="O4492" s="94">
        <f>VLOOKUP($Q4492,매칭테이블!$F:$I,4,0)*K4492</f>
        <v/>
      </c>
      <c r="P4492" s="148">
        <f>M4492/1.1</f>
        <v/>
      </c>
      <c r="Q4492" s="94">
        <f>F4492&amp;E4492&amp;G4492&amp;L4492</f>
        <v/>
      </c>
    </row>
    <row r="4493">
      <c r="A4493" s="94" t="n"/>
      <c r="B4493" s="128" t="n">
        <v>43858</v>
      </c>
      <c r="C4493" s="94">
        <f>TEXT(B4493,"aaa")</f>
        <v/>
      </c>
      <c r="D4493" s="94" t="n"/>
      <c r="E4493" s="6" t="inlineStr">
        <is>
          <t>토너</t>
        </is>
      </c>
      <c r="F4493" s="5" t="inlineStr">
        <is>
          <t>W컨셉</t>
        </is>
      </c>
      <c r="G4493" s="5" t="inlineStr">
        <is>
          <t>250ml</t>
        </is>
      </c>
      <c r="H4493" s="7" t="n">
        <v>190801</v>
      </c>
      <c r="I4493" s="7" t="n">
        <v>190801</v>
      </c>
      <c r="J4493" s="94" t="n"/>
      <c r="K4493" s="149" t="n">
        <v>3</v>
      </c>
      <c r="L4493" s="7" t="n">
        <v>190801</v>
      </c>
      <c r="M4493" s="94">
        <f>VLOOKUP($Q4493,매칭테이블!$F:$I,2,0)*K4493</f>
        <v/>
      </c>
      <c r="N4493" s="94">
        <f>M4493-M4493*VLOOKUP($Q4493,매칭테이블!$F:$I,3,0)</f>
        <v/>
      </c>
      <c r="O4493" s="94">
        <f>VLOOKUP($Q4493,매칭테이블!$F:$I,4,0)*K4493</f>
        <v/>
      </c>
      <c r="P4493" s="148">
        <f>M4493/1.1</f>
        <v/>
      </c>
      <c r="Q4493" s="94">
        <f>F4493&amp;E4493&amp;G4493&amp;L4493</f>
        <v/>
      </c>
    </row>
    <row r="4494">
      <c r="A4494" s="94" t="n"/>
      <c r="B4494" s="128" t="n">
        <v>43858</v>
      </c>
      <c r="C4494" s="94">
        <f>TEXT(B4494,"aaa")</f>
        <v/>
      </c>
      <c r="D4494" s="94" t="n"/>
      <c r="E4494" s="6" t="inlineStr">
        <is>
          <t>토너</t>
        </is>
      </c>
      <c r="F4494" s="5" t="inlineStr">
        <is>
          <t>W컨셉</t>
        </is>
      </c>
      <c r="G4494" s="5" t="inlineStr">
        <is>
          <t>250ml 2set</t>
        </is>
      </c>
      <c r="H4494" s="7" t="n">
        <v>190801</v>
      </c>
      <c r="I4494" s="7" t="n">
        <v>190801</v>
      </c>
      <c r="J4494" s="94" t="n"/>
      <c r="K4494" s="149" t="n">
        <v>204</v>
      </c>
      <c r="L4494" s="7" t="n">
        <v>190801</v>
      </c>
      <c r="M4494" s="94">
        <f>VLOOKUP($Q4494,매칭테이블!$F:$I,2,0)*K4494</f>
        <v/>
      </c>
      <c r="N4494" s="94">
        <f>M4494-M4494*VLOOKUP($Q4494,매칭테이블!$F:$I,3,0)</f>
        <v/>
      </c>
      <c r="O4494" s="94">
        <f>VLOOKUP($Q4494,매칭테이블!$F:$I,4,0)*K4494</f>
        <v/>
      </c>
      <c r="P4494" s="148">
        <f>M4494/1.1</f>
        <v/>
      </c>
      <c r="Q4494" s="94">
        <f>F4494&amp;E4494&amp;G4494&amp;L4494</f>
        <v/>
      </c>
    </row>
    <row r="4495">
      <c r="A4495" s="94" t="n"/>
      <c r="B4495" s="128" t="n">
        <v>43858</v>
      </c>
      <c r="C4495" s="94">
        <f>TEXT(B4495,"aaa")</f>
        <v/>
      </c>
      <c r="D4495" s="94" t="n"/>
      <c r="E4495" s="94" t="inlineStr">
        <is>
          <t>머드크림마스크</t>
        </is>
      </c>
      <c r="F4495" s="94" t="inlineStr">
        <is>
          <t>카페24</t>
        </is>
      </c>
      <c r="G4495" s="94" t="inlineStr">
        <is>
          <t>머드크림마스크 100ml</t>
        </is>
      </c>
      <c r="H4495" s="7" t="n">
        <v>190801</v>
      </c>
      <c r="I4495" s="7" t="n">
        <v>190801</v>
      </c>
      <c r="J4495" s="94" t="n"/>
      <c r="K4495" s="149" t="n">
        <v>3</v>
      </c>
      <c r="L4495" s="94" t="n">
        <v>190801</v>
      </c>
      <c r="M4495" s="94">
        <f>VLOOKUP($Q4495,매칭테이블!$F:$I,2,0)*K4495</f>
        <v/>
      </c>
      <c r="N4495" s="94">
        <f>M4495-M4495*VLOOKUP($Q4495,매칭테이블!$F:$I,3,0)</f>
        <v/>
      </c>
      <c r="O4495" s="94">
        <f>VLOOKUP($Q4495,매칭테이블!$F:$I,4,0)*K4495</f>
        <v/>
      </c>
      <c r="P4495" s="148">
        <f>M4495/1.1</f>
        <v/>
      </c>
      <c r="Q4495" s="94">
        <f>F4495&amp;E4495&amp;G4495&amp;L4495</f>
        <v/>
      </c>
    </row>
    <row r="4496">
      <c r="A4496" s="94" t="n"/>
      <c r="B4496" s="128" t="n">
        <v>43858</v>
      </c>
      <c r="C4496" s="94">
        <f>TEXT(B4496,"aaa")</f>
        <v/>
      </c>
      <c r="D4496" s="94" t="n"/>
      <c r="E4496" s="6" t="inlineStr">
        <is>
          <t>토너</t>
        </is>
      </c>
      <c r="F4496" s="5" t="inlineStr">
        <is>
          <t>카페24</t>
        </is>
      </c>
      <c r="G4496" s="5" t="inlineStr">
        <is>
          <t>250ml</t>
        </is>
      </c>
      <c r="H4496" s="7" t="n">
        <v>190801</v>
      </c>
      <c r="I4496" s="7" t="n">
        <v>190801</v>
      </c>
      <c r="J4496" s="94" t="n"/>
      <c r="K4496" s="149" t="n">
        <v>64</v>
      </c>
      <c r="L4496" s="7" t="n">
        <v>190801</v>
      </c>
      <c r="M4496" s="94">
        <f>VLOOKUP($Q4496,매칭테이블!$F:$I,2,0)*K4496</f>
        <v/>
      </c>
      <c r="N4496" s="94">
        <f>M4496-M4496*VLOOKUP($Q4496,매칭테이블!$F:$I,3,0)</f>
        <v/>
      </c>
      <c r="O4496" s="94">
        <f>VLOOKUP($Q4496,매칭테이블!$F:$I,4,0)*K4496</f>
        <v/>
      </c>
      <c r="P4496" s="148">
        <f>M4496/1.1</f>
        <v/>
      </c>
      <c r="Q4496" s="94">
        <f>F4496&amp;E4496&amp;G4496&amp;L4496</f>
        <v/>
      </c>
    </row>
    <row r="4497">
      <c r="A4497" s="94" t="n"/>
      <c r="B4497" s="128" t="n">
        <v>43858</v>
      </c>
      <c r="C4497" s="94">
        <f>TEXT(B4497,"aaa")</f>
        <v/>
      </c>
      <c r="D4497" s="94" t="n"/>
      <c r="E4497" s="6" t="inlineStr">
        <is>
          <t>토너</t>
        </is>
      </c>
      <c r="F4497" s="5" t="inlineStr">
        <is>
          <t>카페24</t>
        </is>
      </c>
      <c r="G4497" s="5" t="inlineStr">
        <is>
          <t>250ml 2set</t>
        </is>
      </c>
      <c r="H4497" s="7" t="n">
        <v>190801</v>
      </c>
      <c r="I4497" s="7" t="n">
        <v>190801</v>
      </c>
      <c r="J4497" s="94" t="n"/>
      <c r="K4497" s="149" t="n">
        <v>54</v>
      </c>
      <c r="L4497" s="7" t="n">
        <v>190801</v>
      </c>
      <c r="M4497" s="94">
        <f>VLOOKUP($Q4497,매칭테이블!$F:$I,2,0)*K4497</f>
        <v/>
      </c>
      <c r="N4497" s="94">
        <f>M4497-M4497*VLOOKUP($Q4497,매칭테이블!$F:$I,3,0)</f>
        <v/>
      </c>
      <c r="O4497" s="94">
        <f>VLOOKUP($Q4497,매칭테이블!$F:$I,4,0)*K4497</f>
        <v/>
      </c>
      <c r="P4497" s="148">
        <f>M4497/1.1</f>
        <v/>
      </c>
      <c r="Q4497" s="94">
        <f>F4497&amp;E4497&amp;G4497&amp;L4497</f>
        <v/>
      </c>
    </row>
    <row r="4498">
      <c r="A4498" s="94" t="n"/>
      <c r="B4498" s="128" t="n">
        <v>43858</v>
      </c>
      <c r="C4498" s="94">
        <f>TEXT(B4498,"aaa")</f>
        <v/>
      </c>
      <c r="D4498" s="94" t="n"/>
      <c r="E4498" s="6" t="inlineStr">
        <is>
          <t>토너</t>
        </is>
      </c>
      <c r="F4498" s="5" t="inlineStr">
        <is>
          <t>카페24</t>
        </is>
      </c>
      <c r="G4498" s="5" t="inlineStr">
        <is>
          <t>500ml</t>
        </is>
      </c>
      <c r="H4498" s="7" t="n">
        <v>190801</v>
      </c>
      <c r="I4498" s="7" t="n">
        <v>190801</v>
      </c>
      <c r="J4498" s="94" t="n"/>
      <c r="K4498" s="149" t="n">
        <v>35</v>
      </c>
      <c r="L4498" s="7" t="n">
        <v>190801</v>
      </c>
      <c r="M4498" s="94">
        <f>VLOOKUP($Q4498,매칭테이블!$F:$I,2,0)*K4498</f>
        <v/>
      </c>
      <c r="N4498" s="94">
        <f>M4498-M4498*VLOOKUP($Q4498,매칭테이블!$F:$I,3,0)</f>
        <v/>
      </c>
      <c r="O4498" s="94">
        <f>VLOOKUP($Q4498,매칭테이블!$F:$I,4,0)*K4498</f>
        <v/>
      </c>
      <c r="P4498" s="148">
        <f>M4498/1.1</f>
        <v/>
      </c>
      <c r="Q4498" s="94">
        <f>F4498&amp;E4498&amp;G4498&amp;L4498</f>
        <v/>
      </c>
    </row>
    <row r="4499">
      <c r="A4499" s="94" t="n"/>
      <c r="B4499" s="128" t="n">
        <v>43858</v>
      </c>
      <c r="C4499" s="94">
        <f>TEXT(B4499,"aaa")</f>
        <v/>
      </c>
      <c r="D4499" s="94" t="n"/>
      <c r="E4499" s="6" t="inlineStr">
        <is>
          <t>토너</t>
        </is>
      </c>
      <c r="F4499" s="5" t="inlineStr">
        <is>
          <t>카페24</t>
        </is>
      </c>
      <c r="G4499" s="94" t="inlineStr">
        <is>
          <t>스킨팩 화장솜 60P</t>
        </is>
      </c>
      <c r="H4499" s="7" t="n">
        <v>190801</v>
      </c>
      <c r="I4499" s="7" t="n">
        <v>190801</v>
      </c>
      <c r="J4499" s="94" t="n"/>
      <c r="K4499" s="149" t="n">
        <v>63</v>
      </c>
      <c r="L4499" s="94" t="n">
        <v>190801</v>
      </c>
      <c r="M4499" s="94">
        <f>VLOOKUP($Q4499,매칭테이블!$F:$I,2,0)*K4499</f>
        <v/>
      </c>
      <c r="N4499" s="94">
        <f>M4499-M4499*VLOOKUP($Q4499,매칭테이블!$F:$I,3,0)</f>
        <v/>
      </c>
      <c r="O4499" s="94">
        <f>VLOOKUP($Q4499,매칭테이블!$F:$I,4,0)*K4499</f>
        <v/>
      </c>
      <c r="P4499" s="148">
        <f>M4499/1.1</f>
        <v/>
      </c>
      <c r="Q4499" s="94">
        <f>F4499&amp;E4499&amp;G4499&amp;L4499</f>
        <v/>
      </c>
    </row>
    <row r="4500">
      <c r="A4500" s="94" t="n"/>
      <c r="B4500" s="128" t="n">
        <v>43858</v>
      </c>
      <c r="C4500" s="94">
        <f>TEXT(B4500,"aaa")</f>
        <v/>
      </c>
      <c r="D4500" s="94" t="n"/>
      <c r="E4500" s="94" t="inlineStr">
        <is>
          <t>토너</t>
        </is>
      </c>
      <c r="F4500" s="94" t="inlineStr">
        <is>
          <t>큐텐</t>
        </is>
      </c>
      <c r="G4500" s="94" t="inlineStr">
        <is>
          <t>250ml</t>
        </is>
      </c>
      <c r="H4500" s="7" t="n">
        <v>190801</v>
      </c>
      <c r="I4500" s="7" t="n">
        <v>190801</v>
      </c>
      <c r="J4500" s="94" t="n"/>
      <c r="K4500" s="149" t="n">
        <v>124</v>
      </c>
      <c r="L4500" s="92" t="n">
        <v>190801</v>
      </c>
      <c r="M4500" s="94">
        <f>VLOOKUP($Q4500,매칭테이블!$F:$I,2,0)*K4500</f>
        <v/>
      </c>
      <c r="N4500" s="94">
        <f>M4500-M4500*VLOOKUP($Q4500,매칭테이블!$F:$I,3,0)</f>
        <v/>
      </c>
      <c r="O4500" s="94">
        <f>VLOOKUP($Q4500,매칭테이블!$F:$I,4,0)*K4500</f>
        <v/>
      </c>
      <c r="P4500" s="148">
        <f>M4500/1.1</f>
        <v/>
      </c>
      <c r="Q4500" s="94">
        <f>F4500&amp;E4500&amp;G4500&amp;L4500</f>
        <v/>
      </c>
    </row>
    <row r="4501">
      <c r="A4501" s="94" t="n"/>
      <c r="B4501" s="128" t="n">
        <v>43858</v>
      </c>
      <c r="C4501" s="94">
        <f>TEXT(B4501,"aaa")</f>
        <v/>
      </c>
      <c r="D4501" s="94" t="n"/>
      <c r="E4501" s="94" t="inlineStr">
        <is>
          <t>토너</t>
        </is>
      </c>
      <c r="F4501" s="94" t="inlineStr">
        <is>
          <t>큐텐</t>
        </is>
      </c>
      <c r="G4501" s="94" t="inlineStr">
        <is>
          <t>250ml 2set</t>
        </is>
      </c>
      <c r="H4501" s="7" t="n">
        <v>190801</v>
      </c>
      <c r="I4501" s="7" t="n">
        <v>190801</v>
      </c>
      <c r="J4501" s="94" t="n"/>
      <c r="K4501" s="149" t="n">
        <v>24</v>
      </c>
      <c r="L4501" s="92" t="n">
        <v>190801</v>
      </c>
      <c r="M4501" s="94">
        <f>VLOOKUP($Q4501,매칭테이블!$F:$I,2,0)*K4501</f>
        <v/>
      </c>
      <c r="N4501" s="94">
        <f>M4501-M4501*VLOOKUP($Q4501,매칭테이블!$F:$I,3,0)</f>
        <v/>
      </c>
      <c r="O4501" s="94">
        <f>VLOOKUP($Q4501,매칭테이블!$F:$I,4,0)*K4501</f>
        <v/>
      </c>
      <c r="P4501" s="148">
        <f>M4501/1.1</f>
        <v/>
      </c>
      <c r="Q4501" s="94">
        <f>F4501&amp;E4501&amp;G4501&amp;L4501</f>
        <v/>
      </c>
    </row>
    <row r="4502">
      <c r="A4502" s="94" t="n"/>
      <c r="B4502" s="128" t="n">
        <v>43859</v>
      </c>
      <c r="C4502" s="94">
        <f>TEXT(B4502,"aaa")</f>
        <v/>
      </c>
      <c r="D4502" s="94" t="n"/>
      <c r="E4502" s="6" t="inlineStr">
        <is>
          <t>토너</t>
        </is>
      </c>
      <c r="F4502" s="5" t="inlineStr">
        <is>
          <t>W컨셉</t>
        </is>
      </c>
      <c r="G4502" s="5" t="inlineStr">
        <is>
          <t>250ml</t>
        </is>
      </c>
      <c r="H4502" s="7" t="n">
        <v>190801</v>
      </c>
      <c r="I4502" s="7" t="n">
        <v>190801</v>
      </c>
      <c r="J4502" s="94" t="n"/>
      <c r="K4502" s="149" t="n">
        <v>5</v>
      </c>
      <c r="L4502" s="7" t="n">
        <v>190801</v>
      </c>
      <c r="M4502" s="94">
        <f>VLOOKUP($Q4502,매칭테이블!$F:$I,2,0)*K4502</f>
        <v/>
      </c>
      <c r="N4502" s="94">
        <f>M4502-M4502*VLOOKUP($Q4502,매칭테이블!$F:$I,3,0)</f>
        <v/>
      </c>
      <c r="O4502" s="94">
        <f>VLOOKUP($Q4502,매칭테이블!$F:$I,4,0)*K4502</f>
        <v/>
      </c>
      <c r="P4502" s="148">
        <f>M4502/1.1</f>
        <v/>
      </c>
      <c r="Q4502" s="94">
        <f>F4502&amp;E4502&amp;G4502&amp;L4502</f>
        <v/>
      </c>
    </row>
    <row r="4503">
      <c r="A4503" s="94" t="n"/>
      <c r="B4503" s="128" t="n">
        <v>43859</v>
      </c>
      <c r="C4503" s="94">
        <f>TEXT(B4503,"aaa")</f>
        <v/>
      </c>
      <c r="D4503" s="94" t="n"/>
      <c r="E4503" s="6" t="inlineStr">
        <is>
          <t>토너</t>
        </is>
      </c>
      <c r="F4503" s="5" t="inlineStr">
        <is>
          <t>W컨셉</t>
        </is>
      </c>
      <c r="G4503" s="5" t="inlineStr">
        <is>
          <t>250ml 2set</t>
        </is>
      </c>
      <c r="H4503" s="7" t="n">
        <v>190801</v>
      </c>
      <c r="I4503" s="7" t="n">
        <v>190801</v>
      </c>
      <c r="J4503" s="94" t="n"/>
      <c r="K4503" s="149" t="n">
        <v>44</v>
      </c>
      <c r="L4503" s="7" t="n">
        <v>190801</v>
      </c>
      <c r="M4503" s="94">
        <f>VLOOKUP($Q4503,매칭테이블!$F:$I,2,0)*K4503</f>
        <v/>
      </c>
      <c r="N4503" s="94">
        <f>M4503-M4503*VLOOKUP($Q4503,매칭테이블!$F:$I,3,0)</f>
        <v/>
      </c>
      <c r="O4503" s="94">
        <f>VLOOKUP($Q4503,매칭테이블!$F:$I,4,0)*K4503</f>
        <v/>
      </c>
      <c r="P4503" s="148">
        <f>M4503/1.1</f>
        <v/>
      </c>
      <c r="Q4503" s="94">
        <f>F4503&amp;E4503&amp;G4503&amp;L4503</f>
        <v/>
      </c>
    </row>
    <row r="4504">
      <c r="A4504" s="94" t="n"/>
      <c r="B4504" s="128" t="n">
        <v>43859</v>
      </c>
      <c r="C4504" s="94">
        <f>TEXT(B4504,"aaa")</f>
        <v/>
      </c>
      <c r="D4504" s="94" t="n"/>
      <c r="E4504" s="94" t="inlineStr">
        <is>
          <t>머드크림마스크</t>
        </is>
      </c>
      <c r="F4504" s="94" t="inlineStr">
        <is>
          <t>카페24</t>
        </is>
      </c>
      <c r="G4504" s="94" t="inlineStr">
        <is>
          <t>머드크림마스크 100ml</t>
        </is>
      </c>
      <c r="H4504" s="7" t="n">
        <v>190801</v>
      </c>
      <c r="I4504" s="7" t="n">
        <v>190801</v>
      </c>
      <c r="J4504" s="94" t="n"/>
      <c r="K4504" s="149" t="n">
        <v>5</v>
      </c>
      <c r="L4504" s="94" t="n">
        <v>190801</v>
      </c>
      <c r="M4504" s="94">
        <f>VLOOKUP($Q4504,매칭테이블!$F:$I,2,0)*K4504</f>
        <v/>
      </c>
      <c r="N4504" s="94">
        <f>M4504-M4504*VLOOKUP($Q4504,매칭테이블!$F:$I,3,0)</f>
        <v/>
      </c>
      <c r="O4504" s="94">
        <f>VLOOKUP($Q4504,매칭테이블!$F:$I,4,0)*K4504</f>
        <v/>
      </c>
      <c r="P4504" s="148">
        <f>M4504/1.1</f>
        <v/>
      </c>
      <c r="Q4504" s="94">
        <f>F4504&amp;E4504&amp;G4504&amp;L4504</f>
        <v/>
      </c>
    </row>
    <row r="4505">
      <c r="A4505" s="94" t="n"/>
      <c r="B4505" s="128" t="n">
        <v>43859</v>
      </c>
      <c r="C4505" s="94">
        <f>TEXT(B4505,"aaa")</f>
        <v/>
      </c>
      <c r="D4505" s="94" t="n"/>
      <c r="E4505" s="6" t="inlineStr">
        <is>
          <t>토너</t>
        </is>
      </c>
      <c r="F4505" s="5" t="inlineStr">
        <is>
          <t>카페24</t>
        </is>
      </c>
      <c r="G4505" s="5" t="inlineStr">
        <is>
          <t>250ml</t>
        </is>
      </c>
      <c r="H4505" s="7" t="n">
        <v>190801</v>
      </c>
      <c r="I4505" s="7" t="n">
        <v>190801</v>
      </c>
      <c r="J4505" s="94" t="n"/>
      <c r="K4505" s="149" t="n">
        <v>72</v>
      </c>
      <c r="L4505" s="7" t="n">
        <v>190801</v>
      </c>
      <c r="M4505" s="94">
        <f>VLOOKUP($Q4505,매칭테이블!$F:$I,2,0)*K4505</f>
        <v/>
      </c>
      <c r="N4505" s="94">
        <f>M4505-M4505*VLOOKUP($Q4505,매칭테이블!$F:$I,3,0)</f>
        <v/>
      </c>
      <c r="O4505" s="94">
        <f>VLOOKUP($Q4505,매칭테이블!$F:$I,4,0)*K4505</f>
        <v/>
      </c>
      <c r="P4505" s="148">
        <f>M4505/1.1</f>
        <v/>
      </c>
      <c r="Q4505" s="94">
        <f>F4505&amp;E4505&amp;G4505&amp;L4505</f>
        <v/>
      </c>
    </row>
    <row r="4506">
      <c r="A4506" s="94" t="n"/>
      <c r="B4506" s="128" t="n">
        <v>43859</v>
      </c>
      <c r="C4506" s="94">
        <f>TEXT(B4506,"aaa")</f>
        <v/>
      </c>
      <c r="D4506" s="94" t="n"/>
      <c r="E4506" s="6" t="inlineStr">
        <is>
          <t>토너</t>
        </is>
      </c>
      <c r="F4506" s="5" t="inlineStr">
        <is>
          <t>카페24</t>
        </is>
      </c>
      <c r="G4506" s="5" t="inlineStr">
        <is>
          <t>250ml 2set</t>
        </is>
      </c>
      <c r="H4506" s="7" t="n">
        <v>190801</v>
      </c>
      <c r="I4506" s="7" t="n">
        <v>190801</v>
      </c>
      <c r="J4506" s="94" t="n"/>
      <c r="K4506" s="149" t="n">
        <v>72</v>
      </c>
      <c r="L4506" s="7" t="n">
        <v>190801</v>
      </c>
      <c r="M4506" s="94">
        <f>VLOOKUP($Q4506,매칭테이블!$F:$I,2,0)*K4506</f>
        <v/>
      </c>
      <c r="N4506" s="94">
        <f>M4506-M4506*VLOOKUP($Q4506,매칭테이블!$F:$I,3,0)</f>
        <v/>
      </c>
      <c r="O4506" s="94">
        <f>VLOOKUP($Q4506,매칭테이블!$F:$I,4,0)*K4506</f>
        <v/>
      </c>
      <c r="P4506" s="148">
        <f>M4506/1.1</f>
        <v/>
      </c>
      <c r="Q4506" s="94">
        <f>F4506&amp;E4506&amp;G4506&amp;L4506</f>
        <v/>
      </c>
    </row>
    <row r="4507">
      <c r="A4507" s="94" t="n"/>
      <c r="B4507" s="128" t="n">
        <v>43859</v>
      </c>
      <c r="C4507" s="94">
        <f>TEXT(B4507,"aaa")</f>
        <v/>
      </c>
      <c r="D4507" s="94" t="n"/>
      <c r="E4507" s="6" t="inlineStr">
        <is>
          <t>토너</t>
        </is>
      </c>
      <c r="F4507" s="5" t="inlineStr">
        <is>
          <t>카페24</t>
        </is>
      </c>
      <c r="G4507" s="5" t="inlineStr">
        <is>
          <t>500ml</t>
        </is>
      </c>
      <c r="H4507" s="7" t="n">
        <v>190801</v>
      </c>
      <c r="I4507" s="7" t="n">
        <v>190801</v>
      </c>
      <c r="J4507" s="94" t="n"/>
      <c r="K4507" s="149" t="n">
        <v>69</v>
      </c>
      <c r="L4507" s="7" t="n">
        <v>190801</v>
      </c>
      <c r="M4507" s="94">
        <f>VLOOKUP($Q4507,매칭테이블!$F:$I,2,0)*K4507</f>
        <v/>
      </c>
      <c r="N4507" s="94">
        <f>M4507-M4507*VLOOKUP($Q4507,매칭테이블!$F:$I,3,0)</f>
        <v/>
      </c>
      <c r="O4507" s="94">
        <f>VLOOKUP($Q4507,매칭테이블!$F:$I,4,0)*K4507</f>
        <v/>
      </c>
      <c r="P4507" s="148">
        <f>M4507/1.1</f>
        <v/>
      </c>
      <c r="Q4507" s="94">
        <f>F4507&amp;E4507&amp;G4507&amp;L4507</f>
        <v/>
      </c>
    </row>
    <row r="4508">
      <c r="A4508" s="94" t="n"/>
      <c r="B4508" s="128" t="n">
        <v>43859</v>
      </c>
      <c r="C4508" s="94">
        <f>TEXT(B4508,"aaa")</f>
        <v/>
      </c>
      <c r="D4508" s="94" t="n"/>
      <c r="E4508" s="6" t="inlineStr">
        <is>
          <t>토너</t>
        </is>
      </c>
      <c r="F4508" s="5" t="inlineStr">
        <is>
          <t>카페24</t>
        </is>
      </c>
      <c r="G4508" s="94" t="inlineStr">
        <is>
          <t>스킨팩 화장솜 60P</t>
        </is>
      </c>
      <c r="H4508" s="7" t="n">
        <v>190801</v>
      </c>
      <c r="I4508" s="7" t="n">
        <v>190801</v>
      </c>
      <c r="J4508" s="94" t="n"/>
      <c r="K4508" s="149" t="n">
        <v>78</v>
      </c>
      <c r="L4508" s="94" t="n">
        <v>190801</v>
      </c>
      <c r="M4508" s="94">
        <f>VLOOKUP($Q4508,매칭테이블!$F:$I,2,0)*K4508</f>
        <v/>
      </c>
      <c r="N4508" s="94">
        <f>M4508-M4508*VLOOKUP($Q4508,매칭테이블!$F:$I,3,0)</f>
        <v/>
      </c>
      <c r="O4508" s="94">
        <f>VLOOKUP($Q4508,매칭테이블!$F:$I,4,0)*K4508</f>
        <v/>
      </c>
      <c r="P4508" s="148">
        <f>M4508/1.1</f>
        <v/>
      </c>
      <c r="Q4508" s="94">
        <f>F4508&amp;E4508&amp;G4508&amp;L4508</f>
        <v/>
      </c>
    </row>
    <row r="4509">
      <c r="A4509" s="94" t="n"/>
      <c r="B4509" s="128" t="n">
        <v>43859</v>
      </c>
      <c r="C4509" s="94">
        <f>TEXT(B4509,"aaa")</f>
        <v/>
      </c>
      <c r="D4509" s="94" t="n"/>
      <c r="E4509" s="94" t="inlineStr">
        <is>
          <t>토너</t>
        </is>
      </c>
      <c r="F4509" s="94" t="inlineStr">
        <is>
          <t>큐텐</t>
        </is>
      </c>
      <c r="G4509" s="94" t="inlineStr">
        <is>
          <t>250ml</t>
        </is>
      </c>
      <c r="H4509" s="7" t="n">
        <v>190801</v>
      </c>
      <c r="I4509" s="7" t="n">
        <v>190801</v>
      </c>
      <c r="J4509" s="94" t="n"/>
      <c r="K4509" s="149" t="n">
        <v>9</v>
      </c>
      <c r="L4509" s="92" t="n">
        <v>190801</v>
      </c>
      <c r="M4509" s="94">
        <f>VLOOKUP($Q4509,매칭테이블!$F:$I,2,0)*K4509</f>
        <v/>
      </c>
      <c r="N4509" s="94">
        <f>M4509-M4509*VLOOKUP($Q4509,매칭테이블!$F:$I,3,0)</f>
        <v/>
      </c>
      <c r="O4509" s="94">
        <f>VLOOKUP($Q4509,매칭테이블!$F:$I,4,0)*K4509</f>
        <v/>
      </c>
      <c r="P4509" s="148">
        <f>M4509/1.1</f>
        <v/>
      </c>
      <c r="Q4509" s="94">
        <f>F4509&amp;E4509&amp;G4509&amp;L4509</f>
        <v/>
      </c>
    </row>
    <row r="4510">
      <c r="A4510" s="94" t="n"/>
      <c r="B4510" s="128" t="n">
        <v>43859</v>
      </c>
      <c r="C4510" s="94">
        <f>TEXT(B4510,"aaa")</f>
        <v/>
      </c>
      <c r="D4510" s="94" t="n"/>
      <c r="E4510" s="94" t="inlineStr">
        <is>
          <t>토너</t>
        </is>
      </c>
      <c r="F4510" s="94" t="inlineStr">
        <is>
          <t>아누아 CS</t>
        </is>
      </c>
      <c r="G4510" s="5" t="inlineStr">
        <is>
          <t>500ml</t>
        </is>
      </c>
      <c r="H4510" s="7" t="n">
        <v>190801</v>
      </c>
      <c r="I4510" s="7" t="n">
        <v>190801</v>
      </c>
      <c r="J4510" s="94" t="n"/>
      <c r="K4510" s="149" t="n">
        <v>1</v>
      </c>
      <c r="L4510" s="7" t="n">
        <v>190801</v>
      </c>
      <c r="M4510" s="94">
        <f>VLOOKUP($Q4510,매칭테이블!$F:$I,2,0)*K4510</f>
        <v/>
      </c>
      <c r="N4510" s="94">
        <f>M4510-M4510*VLOOKUP($Q4510,매칭테이블!$F:$I,3,0)</f>
        <v/>
      </c>
      <c r="O4510" s="94">
        <f>VLOOKUP($Q4510,매칭테이블!$F:$I,4,0)*K4510</f>
        <v/>
      </c>
      <c r="P4510" s="148">
        <f>M4510/1.1</f>
        <v/>
      </c>
      <c r="Q4510" s="94">
        <f>F4510&amp;E4510&amp;G4510&amp;L4510</f>
        <v/>
      </c>
    </row>
    <row r="4511">
      <c r="A4511" s="94" t="n"/>
      <c r="B4511" s="128" t="n">
        <v>43860</v>
      </c>
      <c r="C4511" s="94">
        <f>TEXT(B4511,"aaa")</f>
        <v/>
      </c>
      <c r="D4511" s="94" t="n"/>
      <c r="E4511" s="6" t="inlineStr">
        <is>
          <t>토너</t>
        </is>
      </c>
      <c r="F4511" s="5" t="inlineStr">
        <is>
          <t>W컨셉</t>
        </is>
      </c>
      <c r="G4511" s="5" t="inlineStr">
        <is>
          <t>250ml 2set</t>
        </is>
      </c>
      <c r="H4511" s="7" t="n">
        <v>190801</v>
      </c>
      <c r="I4511" s="7" t="n">
        <v>190801</v>
      </c>
      <c r="J4511" s="94" t="n"/>
      <c r="K4511" s="149" t="n">
        <v>34</v>
      </c>
      <c r="L4511" s="7" t="n">
        <v>190801</v>
      </c>
      <c r="M4511" s="94">
        <f>VLOOKUP($Q4511,매칭테이블!$F:$I,2,0)*K4511</f>
        <v/>
      </c>
      <c r="N4511" s="94">
        <f>M4511-M4511*VLOOKUP($Q4511,매칭테이블!$F:$I,3,0)</f>
        <v/>
      </c>
      <c r="O4511" s="94">
        <f>VLOOKUP($Q4511,매칭테이블!$F:$I,4,0)*K4511</f>
        <v/>
      </c>
      <c r="P4511" s="148">
        <f>M4511/1.1</f>
        <v/>
      </c>
      <c r="Q4511" s="94">
        <f>F4511&amp;E4511&amp;G4511&amp;L4511</f>
        <v/>
      </c>
    </row>
    <row r="4512">
      <c r="A4512" s="94" t="n"/>
      <c r="B4512" s="128" t="n">
        <v>43860</v>
      </c>
      <c r="C4512" s="94">
        <f>TEXT(B4512,"aaa")</f>
        <v/>
      </c>
      <c r="D4512" s="94" t="n"/>
      <c r="E4512" s="94" t="inlineStr">
        <is>
          <t>머드크림마스크</t>
        </is>
      </c>
      <c r="F4512" s="94" t="inlineStr">
        <is>
          <t>카페24</t>
        </is>
      </c>
      <c r="G4512" s="94" t="inlineStr">
        <is>
          <t>머드크림마스크 100ml</t>
        </is>
      </c>
      <c r="H4512" s="7" t="n">
        <v>190801</v>
      </c>
      <c r="I4512" s="7" t="n">
        <v>190801</v>
      </c>
      <c r="J4512" s="94" t="n"/>
      <c r="K4512" s="149" t="n">
        <v>2</v>
      </c>
      <c r="L4512" s="94" t="n">
        <v>190801</v>
      </c>
      <c r="M4512" s="94">
        <f>VLOOKUP($Q4512,매칭테이블!$F:$I,2,0)*K4512</f>
        <v/>
      </c>
      <c r="N4512" s="94">
        <f>M4512-M4512*VLOOKUP($Q4512,매칭테이블!$F:$I,3,0)</f>
        <v/>
      </c>
      <c r="O4512" s="94">
        <f>VLOOKUP($Q4512,매칭테이블!$F:$I,4,0)*K4512</f>
        <v/>
      </c>
      <c r="P4512" s="148">
        <f>M4512/1.1</f>
        <v/>
      </c>
      <c r="Q4512" s="94">
        <f>F4512&amp;E4512&amp;G4512&amp;L4512</f>
        <v/>
      </c>
    </row>
    <row r="4513">
      <c r="A4513" s="94" t="n"/>
      <c r="B4513" s="128" t="n">
        <v>43860</v>
      </c>
      <c r="C4513" s="94">
        <f>TEXT(B4513,"aaa")</f>
        <v/>
      </c>
      <c r="D4513" s="94" t="n"/>
      <c r="E4513" s="6" t="inlineStr">
        <is>
          <t>토너</t>
        </is>
      </c>
      <c r="F4513" s="5" t="inlineStr">
        <is>
          <t>카페24</t>
        </is>
      </c>
      <c r="G4513" s="5" t="inlineStr">
        <is>
          <t>250ml</t>
        </is>
      </c>
      <c r="H4513" s="7" t="n">
        <v>190801</v>
      </c>
      <c r="I4513" s="7" t="n">
        <v>190801</v>
      </c>
      <c r="J4513" s="94" t="n"/>
      <c r="K4513" s="149" t="n">
        <v>59</v>
      </c>
      <c r="L4513" s="7" t="n">
        <v>190801</v>
      </c>
      <c r="M4513" s="94">
        <f>VLOOKUP($Q4513,매칭테이블!$F:$I,2,0)*K4513</f>
        <v/>
      </c>
      <c r="N4513" s="94">
        <f>M4513-M4513*VLOOKUP($Q4513,매칭테이블!$F:$I,3,0)</f>
        <v/>
      </c>
      <c r="O4513" s="94">
        <f>VLOOKUP($Q4513,매칭테이블!$F:$I,4,0)*K4513</f>
        <v/>
      </c>
      <c r="P4513" s="148">
        <f>M4513/1.1</f>
        <v/>
      </c>
      <c r="Q4513" s="94">
        <f>F4513&amp;E4513&amp;G4513&amp;L4513</f>
        <v/>
      </c>
    </row>
    <row r="4514">
      <c r="A4514" s="94" t="n"/>
      <c r="B4514" s="128" t="n">
        <v>43860</v>
      </c>
      <c r="C4514" s="94">
        <f>TEXT(B4514,"aaa")</f>
        <v/>
      </c>
      <c r="D4514" s="94" t="n"/>
      <c r="E4514" s="6" t="inlineStr">
        <is>
          <t>토너</t>
        </is>
      </c>
      <c r="F4514" s="5" t="inlineStr">
        <is>
          <t>카페24</t>
        </is>
      </c>
      <c r="G4514" s="5" t="inlineStr">
        <is>
          <t>250ml 2set</t>
        </is>
      </c>
      <c r="H4514" s="7" t="n">
        <v>190801</v>
      </c>
      <c r="I4514" s="7" t="n">
        <v>190801</v>
      </c>
      <c r="J4514" s="94" t="n"/>
      <c r="K4514" s="149" t="n">
        <v>74</v>
      </c>
      <c r="L4514" s="7" t="n">
        <v>190801</v>
      </c>
      <c r="M4514" s="94">
        <f>VLOOKUP($Q4514,매칭테이블!$F:$I,2,0)*K4514</f>
        <v/>
      </c>
      <c r="N4514" s="94">
        <f>M4514-M4514*VLOOKUP($Q4514,매칭테이블!$F:$I,3,0)</f>
        <v/>
      </c>
      <c r="O4514" s="94">
        <f>VLOOKUP($Q4514,매칭테이블!$F:$I,4,0)*K4514</f>
        <v/>
      </c>
      <c r="P4514" s="148">
        <f>M4514/1.1</f>
        <v/>
      </c>
      <c r="Q4514" s="94">
        <f>F4514&amp;E4514&amp;G4514&amp;L4514</f>
        <v/>
      </c>
    </row>
    <row r="4515">
      <c r="A4515" s="94" t="n"/>
      <c r="B4515" s="128" t="n">
        <v>43860</v>
      </c>
      <c r="C4515" s="94">
        <f>TEXT(B4515,"aaa")</f>
        <v/>
      </c>
      <c r="D4515" s="94" t="n"/>
      <c r="E4515" s="6" t="inlineStr">
        <is>
          <t>토너</t>
        </is>
      </c>
      <c r="F4515" s="5" t="inlineStr">
        <is>
          <t>카페24</t>
        </is>
      </c>
      <c r="G4515" s="5" t="inlineStr">
        <is>
          <t>500ml</t>
        </is>
      </c>
      <c r="H4515" s="7" t="n">
        <v>190801</v>
      </c>
      <c r="I4515" s="7" t="n">
        <v>190801</v>
      </c>
      <c r="J4515" s="94" t="n"/>
      <c r="K4515" s="149" t="n">
        <v>60</v>
      </c>
      <c r="L4515" s="7" t="n">
        <v>190801</v>
      </c>
      <c r="M4515" s="94">
        <f>VLOOKUP($Q4515,매칭테이블!$F:$I,2,0)*K4515</f>
        <v/>
      </c>
      <c r="N4515" s="94">
        <f>M4515-M4515*VLOOKUP($Q4515,매칭테이블!$F:$I,3,0)</f>
        <v/>
      </c>
      <c r="O4515" s="94">
        <f>VLOOKUP($Q4515,매칭테이블!$F:$I,4,0)*K4515</f>
        <v/>
      </c>
      <c r="P4515" s="148">
        <f>M4515/1.1</f>
        <v/>
      </c>
      <c r="Q4515" s="94">
        <f>F4515&amp;E4515&amp;G4515&amp;L4515</f>
        <v/>
      </c>
    </row>
    <row r="4516">
      <c r="A4516" s="94" t="n"/>
      <c r="B4516" s="128" t="n">
        <v>43860</v>
      </c>
      <c r="C4516" s="94">
        <f>TEXT(B4516,"aaa")</f>
        <v/>
      </c>
      <c r="D4516" s="94" t="n"/>
      <c r="E4516" s="6" t="inlineStr">
        <is>
          <t>토너</t>
        </is>
      </c>
      <c r="F4516" s="5" t="inlineStr">
        <is>
          <t>카페24</t>
        </is>
      </c>
      <c r="G4516" s="94" t="inlineStr">
        <is>
          <t>스킨팩 화장솜 60P</t>
        </is>
      </c>
      <c r="H4516" s="7" t="n">
        <v>190801</v>
      </c>
      <c r="I4516" s="7" t="n">
        <v>190801</v>
      </c>
      <c r="J4516" s="94" t="n"/>
      <c r="K4516" s="149" t="n">
        <v>75</v>
      </c>
      <c r="L4516" s="94" t="n">
        <v>190801</v>
      </c>
      <c r="M4516" s="94">
        <f>VLOOKUP($Q4516,매칭테이블!$F:$I,2,0)*K4516</f>
        <v/>
      </c>
      <c r="N4516" s="94">
        <f>M4516-M4516*VLOOKUP($Q4516,매칭테이블!$F:$I,3,0)</f>
        <v/>
      </c>
      <c r="O4516" s="94">
        <f>VLOOKUP($Q4516,매칭테이블!$F:$I,4,0)*K4516</f>
        <v/>
      </c>
      <c r="P4516" s="148">
        <f>M4516/1.1</f>
        <v/>
      </c>
      <c r="Q4516" s="94">
        <f>F4516&amp;E4516&amp;G4516&amp;L4516</f>
        <v/>
      </c>
    </row>
    <row r="4517">
      <c r="A4517" s="94" t="n"/>
      <c r="B4517" s="128" t="n">
        <v>43861</v>
      </c>
      <c r="C4517" s="94">
        <f>TEXT(B4517,"aaa")</f>
        <v/>
      </c>
      <c r="D4517" s="94" t="n"/>
      <c r="E4517" s="6" t="inlineStr">
        <is>
          <t>토너</t>
        </is>
      </c>
      <c r="F4517" s="5" t="inlineStr">
        <is>
          <t>W컨셉</t>
        </is>
      </c>
      <c r="G4517" s="5" t="inlineStr">
        <is>
          <t>250ml 2set</t>
        </is>
      </c>
      <c r="H4517" s="7" t="n">
        <v>190801</v>
      </c>
      <c r="I4517" s="7" t="n">
        <v>190801</v>
      </c>
      <c r="J4517" s="94" t="n"/>
      <c r="K4517" s="149" t="n">
        <v>222</v>
      </c>
      <c r="L4517" s="7" t="n">
        <v>190801</v>
      </c>
      <c r="M4517" s="94">
        <f>VLOOKUP($Q4517,매칭테이블!$F:$I,2,0)*K4517</f>
        <v/>
      </c>
      <c r="N4517" s="94">
        <f>M4517-M4517*VLOOKUP($Q4517,매칭테이블!$F:$I,3,0)</f>
        <v/>
      </c>
      <c r="O4517" s="94">
        <f>VLOOKUP($Q4517,매칭테이블!$F:$I,4,0)*K4517</f>
        <v/>
      </c>
      <c r="P4517" s="148">
        <f>M4517/1.1</f>
        <v/>
      </c>
      <c r="Q4517" s="94">
        <f>F4517&amp;E4517&amp;G4517&amp;L4517</f>
        <v/>
      </c>
    </row>
    <row r="4518">
      <c r="A4518" s="94" t="n"/>
      <c r="B4518" s="128" t="n">
        <v>43861</v>
      </c>
      <c r="C4518" s="94">
        <f>TEXT(B4518,"aaa")</f>
        <v/>
      </c>
      <c r="D4518" s="94" t="n"/>
      <c r="E4518" s="94" t="inlineStr">
        <is>
          <t>화장솜</t>
        </is>
      </c>
      <c r="F4518" s="94" t="inlineStr">
        <is>
          <t>카페24</t>
        </is>
      </c>
      <c r="G4518" s="94" t="inlineStr">
        <is>
          <t>스킨팩 화장솜 60P</t>
        </is>
      </c>
      <c r="H4518" s="7" t="n">
        <v>190801</v>
      </c>
      <c r="I4518" s="7" t="n">
        <v>190801</v>
      </c>
      <c r="J4518" s="94" t="n"/>
      <c r="K4518" s="149" t="n">
        <v>1</v>
      </c>
      <c r="L4518" s="94" t="n">
        <v>190801</v>
      </c>
      <c r="M4518" s="94">
        <f>VLOOKUP($Q4518,매칭테이블!$F:$I,2,0)*K4518</f>
        <v/>
      </c>
      <c r="N4518" s="94">
        <f>M4518-M4518*VLOOKUP($Q4518,매칭테이블!$F:$I,3,0)</f>
        <v/>
      </c>
      <c r="O4518" s="94">
        <f>VLOOKUP($Q4518,매칭테이블!$F:$I,4,0)*K4518</f>
        <v/>
      </c>
      <c r="P4518" s="148">
        <f>M4518/1.1</f>
        <v/>
      </c>
      <c r="Q4518" s="94">
        <f>F4518&amp;E4518&amp;G4518&amp;L4518</f>
        <v/>
      </c>
    </row>
    <row r="4519">
      <c r="A4519" s="94" t="n"/>
      <c r="B4519" s="128" t="n">
        <v>43861</v>
      </c>
      <c r="C4519" s="94">
        <f>TEXT(B4519,"aaa")</f>
        <v/>
      </c>
      <c r="D4519" s="94" t="n"/>
      <c r="E4519" s="94" t="inlineStr">
        <is>
          <t>머드크림마스크</t>
        </is>
      </c>
      <c r="F4519" s="94" t="inlineStr">
        <is>
          <t>카페24</t>
        </is>
      </c>
      <c r="G4519" s="94" t="inlineStr">
        <is>
          <t>머드크림마스크 100ml</t>
        </is>
      </c>
      <c r="H4519" s="7" t="n">
        <v>190801</v>
      </c>
      <c r="I4519" s="7" t="n">
        <v>190801</v>
      </c>
      <c r="J4519" s="94" t="n"/>
      <c r="K4519" s="149" t="n">
        <v>4</v>
      </c>
      <c r="L4519" s="94" t="n">
        <v>190801</v>
      </c>
      <c r="M4519" s="94">
        <f>VLOOKUP($Q4519,매칭테이블!$F:$I,2,0)*K4519</f>
        <v/>
      </c>
      <c r="N4519" s="94">
        <f>M4519-M4519*VLOOKUP($Q4519,매칭테이블!$F:$I,3,0)</f>
        <v/>
      </c>
      <c r="O4519" s="94">
        <f>VLOOKUP($Q4519,매칭테이블!$F:$I,4,0)*K4519</f>
        <v/>
      </c>
      <c r="P4519" s="148">
        <f>M4519/1.1</f>
        <v/>
      </c>
      <c r="Q4519" s="94">
        <f>F4519&amp;E4519&amp;G4519&amp;L4519</f>
        <v/>
      </c>
    </row>
    <row r="4520">
      <c r="A4520" s="94" t="n"/>
      <c r="B4520" s="128" t="n">
        <v>43861</v>
      </c>
      <c r="C4520" s="94">
        <f>TEXT(B4520,"aaa")</f>
        <v/>
      </c>
      <c r="D4520" s="94" t="n"/>
      <c r="E4520" s="6" t="inlineStr">
        <is>
          <t>토너</t>
        </is>
      </c>
      <c r="F4520" s="5" t="inlineStr">
        <is>
          <t>카페24</t>
        </is>
      </c>
      <c r="G4520" s="5" t="inlineStr">
        <is>
          <t>250ml</t>
        </is>
      </c>
      <c r="H4520" s="7" t="n">
        <v>190801</v>
      </c>
      <c r="I4520" s="7" t="n">
        <v>190801</v>
      </c>
      <c r="J4520" s="94" t="n"/>
      <c r="K4520" s="149" t="n">
        <v>49</v>
      </c>
      <c r="L4520" s="7" t="n">
        <v>190801</v>
      </c>
      <c r="M4520" s="94">
        <f>VLOOKUP($Q4520,매칭테이블!$F:$I,2,0)*K4520</f>
        <v/>
      </c>
      <c r="N4520" s="94">
        <f>M4520-M4520*VLOOKUP($Q4520,매칭테이블!$F:$I,3,0)</f>
        <v/>
      </c>
      <c r="O4520" s="94">
        <f>VLOOKUP($Q4520,매칭테이블!$F:$I,4,0)*K4520</f>
        <v/>
      </c>
      <c r="P4520" s="148">
        <f>M4520/1.1</f>
        <v/>
      </c>
      <c r="Q4520" s="94">
        <f>F4520&amp;E4520&amp;G4520&amp;L4520</f>
        <v/>
      </c>
    </row>
    <row r="4521">
      <c r="A4521" s="94" t="n"/>
      <c r="B4521" s="128" t="n">
        <v>43861</v>
      </c>
      <c r="C4521" s="94">
        <f>TEXT(B4521,"aaa")</f>
        <v/>
      </c>
      <c r="D4521" s="94" t="n"/>
      <c r="E4521" s="6" t="inlineStr">
        <is>
          <t>토너</t>
        </is>
      </c>
      <c r="F4521" s="5" t="inlineStr">
        <is>
          <t>카페24</t>
        </is>
      </c>
      <c r="G4521" s="5" t="inlineStr">
        <is>
          <t>250ml 2set</t>
        </is>
      </c>
      <c r="H4521" s="7" t="n">
        <v>190801</v>
      </c>
      <c r="I4521" s="7" t="n">
        <v>190801</v>
      </c>
      <c r="J4521" s="94" t="n"/>
      <c r="K4521" s="149" t="n">
        <v>55</v>
      </c>
      <c r="L4521" s="7" t="n">
        <v>190801</v>
      </c>
      <c r="M4521" s="94">
        <f>VLOOKUP($Q4521,매칭테이블!$F:$I,2,0)*K4521</f>
        <v/>
      </c>
      <c r="N4521" s="94">
        <f>M4521-M4521*VLOOKUP($Q4521,매칭테이블!$F:$I,3,0)</f>
        <v/>
      </c>
      <c r="O4521" s="94">
        <f>VLOOKUP($Q4521,매칭테이블!$F:$I,4,0)*K4521</f>
        <v/>
      </c>
      <c r="P4521" s="148">
        <f>M4521/1.1</f>
        <v/>
      </c>
      <c r="Q4521" s="94">
        <f>F4521&amp;E4521&amp;G4521&amp;L4521</f>
        <v/>
      </c>
    </row>
    <row r="4522">
      <c r="A4522" s="94" t="n"/>
      <c r="B4522" s="128" t="n">
        <v>43861</v>
      </c>
      <c r="C4522" s="94">
        <f>TEXT(B4522,"aaa")</f>
        <v/>
      </c>
      <c r="D4522" s="94" t="n"/>
      <c r="E4522" s="6" t="inlineStr">
        <is>
          <t>토너</t>
        </is>
      </c>
      <c r="F4522" s="5" t="inlineStr">
        <is>
          <t>카페24</t>
        </is>
      </c>
      <c r="G4522" s="5" t="inlineStr">
        <is>
          <t>500ml</t>
        </is>
      </c>
      <c r="H4522" s="7" t="n">
        <v>190801</v>
      </c>
      <c r="I4522" s="7" t="n">
        <v>190801</v>
      </c>
      <c r="J4522" s="94" t="n"/>
      <c r="K4522" s="149" t="n">
        <v>33</v>
      </c>
      <c r="L4522" s="7" t="n">
        <v>190801</v>
      </c>
      <c r="M4522" s="94">
        <f>VLOOKUP($Q4522,매칭테이블!$F:$I,2,0)*K4522</f>
        <v/>
      </c>
      <c r="N4522" s="94">
        <f>M4522-M4522*VLOOKUP($Q4522,매칭테이블!$F:$I,3,0)</f>
        <v/>
      </c>
      <c r="O4522" s="94">
        <f>VLOOKUP($Q4522,매칭테이블!$F:$I,4,0)*K4522</f>
        <v/>
      </c>
      <c r="P4522" s="148">
        <f>M4522/1.1</f>
        <v/>
      </c>
      <c r="Q4522" s="94">
        <f>F4522&amp;E4522&amp;G4522&amp;L4522</f>
        <v/>
      </c>
    </row>
    <row r="4523">
      <c r="A4523" s="94" t="n"/>
      <c r="B4523" s="128" t="n">
        <v>43861</v>
      </c>
      <c r="C4523" s="94">
        <f>TEXT(B4523,"aaa")</f>
        <v/>
      </c>
      <c r="D4523" s="94" t="n"/>
      <c r="E4523" s="6" t="inlineStr">
        <is>
          <t>토너</t>
        </is>
      </c>
      <c r="F4523" s="5" t="inlineStr">
        <is>
          <t>카페24</t>
        </is>
      </c>
      <c r="G4523" s="94" t="inlineStr">
        <is>
          <t>스킨팩 화장솜 60P</t>
        </is>
      </c>
      <c r="H4523" s="7" t="n">
        <v>190801</v>
      </c>
      <c r="I4523" s="7" t="n">
        <v>190801</v>
      </c>
      <c r="J4523" s="94" t="n"/>
      <c r="K4523" s="149" t="n">
        <v>54</v>
      </c>
      <c r="L4523" s="94" t="n">
        <v>190801</v>
      </c>
      <c r="M4523" s="94">
        <f>VLOOKUP($Q4523,매칭테이블!$F:$I,2,0)*K4523</f>
        <v/>
      </c>
      <c r="N4523" s="94">
        <f>M4523-M4523*VLOOKUP($Q4523,매칭테이블!$F:$I,3,0)</f>
        <v/>
      </c>
      <c r="O4523" s="94">
        <f>VLOOKUP($Q4523,매칭테이블!$F:$I,4,0)*K4523</f>
        <v/>
      </c>
      <c r="P4523" s="148">
        <f>M4523/1.1</f>
        <v/>
      </c>
      <c r="Q4523" s="94">
        <f>F4523&amp;E4523&amp;G4523&amp;L4523</f>
        <v/>
      </c>
    </row>
    <row r="4524">
      <c r="A4524" s="94" t="n"/>
      <c r="B4524" s="128" t="n">
        <v>43861</v>
      </c>
      <c r="C4524" s="94">
        <f>TEXT(B4524,"aaa")</f>
        <v/>
      </c>
      <c r="D4524" s="94" t="n"/>
      <c r="E4524" s="94" t="inlineStr">
        <is>
          <t>토너</t>
        </is>
      </c>
      <c r="F4524" s="94" t="inlineStr">
        <is>
          <t>큐텐</t>
        </is>
      </c>
      <c r="G4524" s="94" t="inlineStr">
        <is>
          <t>250ml</t>
        </is>
      </c>
      <c r="H4524" s="7" t="n">
        <v>190801</v>
      </c>
      <c r="I4524" s="7" t="n">
        <v>190801</v>
      </c>
      <c r="J4524" s="94" t="n"/>
      <c r="K4524" s="149" t="n">
        <v>18</v>
      </c>
      <c r="L4524" s="92" t="n">
        <v>190801</v>
      </c>
      <c r="M4524" s="94">
        <f>VLOOKUP($Q4524,매칭테이블!$F:$I,2,0)*K4524</f>
        <v/>
      </c>
      <c r="N4524" s="94">
        <f>M4524-M4524*VLOOKUP($Q4524,매칭테이블!$F:$I,3,0)</f>
        <v/>
      </c>
      <c r="O4524" s="94">
        <f>VLOOKUP($Q4524,매칭테이블!$F:$I,4,0)*K4524</f>
        <v/>
      </c>
      <c r="P4524" s="148">
        <f>M4524/1.1</f>
        <v/>
      </c>
      <c r="Q4524" s="94">
        <f>F4524&amp;E4524&amp;G4524&amp;L4524</f>
        <v/>
      </c>
    </row>
    <row r="4525">
      <c r="A4525" s="94" t="n"/>
      <c r="B4525" s="128" t="n">
        <v>43861</v>
      </c>
      <c r="C4525" s="94">
        <f>TEXT(B4525,"aaa")</f>
        <v/>
      </c>
      <c r="D4525" s="94" t="n"/>
      <c r="E4525" s="94" t="inlineStr">
        <is>
          <t>토너</t>
        </is>
      </c>
      <c r="F4525" s="94" t="inlineStr">
        <is>
          <t>큐텐</t>
        </is>
      </c>
      <c r="G4525" s="94" t="inlineStr">
        <is>
          <t>250ml 2set</t>
        </is>
      </c>
      <c r="H4525" s="7" t="n">
        <v>190801</v>
      </c>
      <c r="I4525" s="7" t="n">
        <v>190801</v>
      </c>
      <c r="J4525" s="94" t="n"/>
      <c r="K4525" s="149" t="n">
        <v>5</v>
      </c>
      <c r="L4525" s="92" t="n">
        <v>190801</v>
      </c>
      <c r="M4525" s="94">
        <f>VLOOKUP($Q4525,매칭테이블!$F:$I,2,0)*K4525</f>
        <v/>
      </c>
      <c r="N4525" s="94">
        <f>M4525-M4525*VLOOKUP($Q4525,매칭테이블!$F:$I,3,0)</f>
        <v/>
      </c>
      <c r="O4525" s="94">
        <f>VLOOKUP($Q4525,매칭테이블!$F:$I,4,0)*K4525</f>
        <v/>
      </c>
      <c r="P4525" s="148">
        <f>M4525/1.1</f>
        <v/>
      </c>
      <c r="Q4525" s="94">
        <f>F4525&amp;E4525&amp;G4525&amp;L4525</f>
        <v/>
      </c>
    </row>
    <row r="4526">
      <c r="A4526" s="94" t="n"/>
      <c r="B4526" s="128" t="n">
        <v>43862</v>
      </c>
      <c r="C4526" s="94">
        <f>TEXT(B4526,"aaa")</f>
        <v/>
      </c>
      <c r="D4526" s="94" t="n"/>
      <c r="E4526" s="6" t="inlineStr">
        <is>
          <t>토너</t>
        </is>
      </c>
      <c r="F4526" s="5" t="inlineStr">
        <is>
          <t>W컨셉</t>
        </is>
      </c>
      <c r="G4526" s="5" t="inlineStr">
        <is>
          <t>250ml</t>
        </is>
      </c>
      <c r="H4526" s="7" t="n">
        <v>190801</v>
      </c>
      <c r="I4526" s="7" t="n">
        <v>190801</v>
      </c>
      <c r="J4526" s="94" t="n"/>
      <c r="K4526" s="149" t="n">
        <v>2</v>
      </c>
      <c r="L4526" s="7" t="n">
        <v>190801</v>
      </c>
      <c r="M4526" s="94">
        <f>VLOOKUP($Q4526,매칭테이블!$F:$I,2,0)*K4526</f>
        <v/>
      </c>
      <c r="N4526" s="94">
        <f>M4526-M4526*VLOOKUP($Q4526,매칭테이블!$F:$I,3,0)</f>
        <v/>
      </c>
      <c r="O4526" s="94">
        <f>VLOOKUP($Q4526,매칭테이블!$F:$I,4,0)*K4526</f>
        <v/>
      </c>
      <c r="P4526" s="148">
        <f>M4526/1.1</f>
        <v/>
      </c>
      <c r="Q4526" s="94">
        <f>F4526&amp;E4526&amp;G4526&amp;L4526</f>
        <v/>
      </c>
    </row>
    <row r="4527">
      <c r="A4527" s="94" t="n"/>
      <c r="B4527" s="128" t="n">
        <v>43862</v>
      </c>
      <c r="C4527" s="94">
        <f>TEXT(B4527,"aaa")</f>
        <v/>
      </c>
      <c r="D4527" s="94" t="n"/>
      <c r="E4527" s="6" t="inlineStr">
        <is>
          <t>토너</t>
        </is>
      </c>
      <c r="F4527" s="5" t="inlineStr">
        <is>
          <t>W컨셉</t>
        </is>
      </c>
      <c r="G4527" s="5" t="inlineStr">
        <is>
          <t>250ml 2set</t>
        </is>
      </c>
      <c r="H4527" s="7" t="n">
        <v>190801</v>
      </c>
      <c r="I4527" s="7" t="n">
        <v>190801</v>
      </c>
      <c r="J4527" s="94" t="n"/>
      <c r="K4527" s="149" t="n">
        <v>14</v>
      </c>
      <c r="L4527" s="7" t="n">
        <v>190801</v>
      </c>
      <c r="M4527" s="94">
        <f>VLOOKUP($Q4527,매칭테이블!$F:$I,2,0)*K4527</f>
        <v/>
      </c>
      <c r="N4527" s="94">
        <f>M4527-M4527*VLOOKUP($Q4527,매칭테이블!$F:$I,3,0)</f>
        <v/>
      </c>
      <c r="O4527" s="94">
        <f>VLOOKUP($Q4527,매칭테이블!$F:$I,4,0)*K4527</f>
        <v/>
      </c>
      <c r="P4527" s="148">
        <f>M4527/1.1</f>
        <v/>
      </c>
      <c r="Q4527" s="94">
        <f>F4527&amp;E4527&amp;G4527&amp;L4527</f>
        <v/>
      </c>
    </row>
    <row r="4528">
      <c r="A4528" s="94" t="n"/>
      <c r="B4528" s="128" t="n">
        <v>43862</v>
      </c>
      <c r="C4528" s="94">
        <f>TEXT(B4528,"aaa")</f>
        <v/>
      </c>
      <c r="D4528" s="94" t="n"/>
      <c r="E4528" s="94" t="inlineStr">
        <is>
          <t>머드크림마스크</t>
        </is>
      </c>
      <c r="F4528" s="94" t="inlineStr">
        <is>
          <t>카페24</t>
        </is>
      </c>
      <c r="G4528" s="94" t="inlineStr">
        <is>
          <t>머드크림마스크 100ml</t>
        </is>
      </c>
      <c r="H4528" s="7" t="n">
        <v>190801</v>
      </c>
      <c r="I4528" s="7" t="n">
        <v>190801</v>
      </c>
      <c r="J4528" s="94" t="n"/>
      <c r="K4528" s="149" t="n">
        <v>5</v>
      </c>
      <c r="L4528" s="94" t="n">
        <v>190801</v>
      </c>
      <c r="M4528" s="94">
        <f>VLOOKUP($Q4528,매칭테이블!$F:$I,2,0)*K4528</f>
        <v/>
      </c>
      <c r="N4528" s="94">
        <f>M4528-M4528*VLOOKUP($Q4528,매칭테이블!$F:$I,3,0)</f>
        <v/>
      </c>
      <c r="O4528" s="94">
        <f>VLOOKUP($Q4528,매칭테이블!$F:$I,4,0)*K4528</f>
        <v/>
      </c>
      <c r="P4528" s="148">
        <f>M4528/1.1</f>
        <v/>
      </c>
      <c r="Q4528" s="94">
        <f>F4528&amp;E4528&amp;G4528&amp;L4528</f>
        <v/>
      </c>
    </row>
    <row r="4529">
      <c r="A4529" s="94" t="n"/>
      <c r="B4529" s="128" t="n">
        <v>43862</v>
      </c>
      <c r="C4529" s="94">
        <f>TEXT(B4529,"aaa")</f>
        <v/>
      </c>
      <c r="D4529" s="94" t="n"/>
      <c r="E4529" s="6" t="inlineStr">
        <is>
          <t>토너</t>
        </is>
      </c>
      <c r="F4529" s="5" t="inlineStr">
        <is>
          <t>카페24</t>
        </is>
      </c>
      <c r="G4529" s="5" t="inlineStr">
        <is>
          <t>250ml</t>
        </is>
      </c>
      <c r="H4529" s="7" t="n">
        <v>190801</v>
      </c>
      <c r="I4529" s="7" t="n">
        <v>190801</v>
      </c>
      <c r="J4529" s="94" t="n"/>
      <c r="K4529" s="149" t="n">
        <v>60</v>
      </c>
      <c r="L4529" s="7" t="n">
        <v>190801</v>
      </c>
      <c r="M4529" s="94">
        <f>VLOOKUP($Q4529,매칭테이블!$F:$I,2,0)*K4529</f>
        <v/>
      </c>
      <c r="N4529" s="94">
        <f>M4529-M4529*VLOOKUP($Q4529,매칭테이블!$F:$I,3,0)</f>
        <v/>
      </c>
      <c r="O4529" s="94">
        <f>VLOOKUP($Q4529,매칭테이블!$F:$I,4,0)*K4529</f>
        <v/>
      </c>
      <c r="P4529" s="148">
        <f>M4529/1.1</f>
        <v/>
      </c>
      <c r="Q4529" s="94">
        <f>F4529&amp;E4529&amp;G4529&amp;L4529</f>
        <v/>
      </c>
    </row>
    <row r="4530">
      <c r="A4530" s="94" t="n"/>
      <c r="B4530" s="128" t="n">
        <v>43862</v>
      </c>
      <c r="C4530" s="94">
        <f>TEXT(B4530,"aaa")</f>
        <v/>
      </c>
      <c r="D4530" s="94" t="n"/>
      <c r="E4530" s="6" t="inlineStr">
        <is>
          <t>토너</t>
        </is>
      </c>
      <c r="F4530" s="5" t="inlineStr">
        <is>
          <t>카페24</t>
        </is>
      </c>
      <c r="G4530" s="5" t="inlineStr">
        <is>
          <t>250ml 2set</t>
        </is>
      </c>
      <c r="H4530" s="7" t="n">
        <v>190801</v>
      </c>
      <c r="I4530" s="7" t="n">
        <v>190801</v>
      </c>
      <c r="J4530" s="94" t="n"/>
      <c r="K4530" s="149" t="n">
        <v>55</v>
      </c>
      <c r="L4530" s="7" t="n">
        <v>190801</v>
      </c>
      <c r="M4530" s="94">
        <f>VLOOKUP($Q4530,매칭테이블!$F:$I,2,0)*K4530</f>
        <v/>
      </c>
      <c r="N4530" s="94">
        <f>M4530-M4530*VLOOKUP($Q4530,매칭테이블!$F:$I,3,0)</f>
        <v/>
      </c>
      <c r="O4530" s="94">
        <f>VLOOKUP($Q4530,매칭테이블!$F:$I,4,0)*K4530</f>
        <v/>
      </c>
      <c r="P4530" s="148">
        <f>M4530/1.1</f>
        <v/>
      </c>
      <c r="Q4530" s="94">
        <f>F4530&amp;E4530&amp;G4530&amp;L4530</f>
        <v/>
      </c>
    </row>
    <row r="4531">
      <c r="A4531" s="94" t="n"/>
      <c r="B4531" s="128" t="n">
        <v>43862</v>
      </c>
      <c r="C4531" s="94">
        <f>TEXT(B4531,"aaa")</f>
        <v/>
      </c>
      <c r="D4531" s="94" t="n"/>
      <c r="E4531" s="6" t="inlineStr">
        <is>
          <t>토너</t>
        </is>
      </c>
      <c r="F4531" s="5" t="inlineStr">
        <is>
          <t>카페24</t>
        </is>
      </c>
      <c r="G4531" s="5" t="inlineStr">
        <is>
          <t>500ml</t>
        </is>
      </c>
      <c r="H4531" s="7" t="n">
        <v>190801</v>
      </c>
      <c r="I4531" s="7" t="n">
        <v>190801</v>
      </c>
      <c r="J4531" s="94" t="n"/>
      <c r="K4531" s="149" t="n">
        <v>37</v>
      </c>
      <c r="L4531" s="7" t="n">
        <v>190801</v>
      </c>
      <c r="M4531" s="94">
        <f>VLOOKUP($Q4531,매칭테이블!$F:$I,2,0)*K4531</f>
        <v/>
      </c>
      <c r="N4531" s="94">
        <f>M4531-M4531*VLOOKUP($Q4531,매칭테이블!$F:$I,3,0)</f>
        <v/>
      </c>
      <c r="O4531" s="94">
        <f>VLOOKUP($Q4531,매칭테이블!$F:$I,4,0)*K4531</f>
        <v/>
      </c>
      <c r="P4531" s="148">
        <f>M4531/1.1</f>
        <v/>
      </c>
      <c r="Q4531" s="94">
        <f>F4531&amp;E4531&amp;G4531&amp;L4531</f>
        <v/>
      </c>
    </row>
    <row r="4532">
      <c r="A4532" s="94" t="n"/>
      <c r="B4532" s="128" t="n">
        <v>43862</v>
      </c>
      <c r="C4532" s="94">
        <f>TEXT(B4532,"aaa")</f>
        <v/>
      </c>
      <c r="D4532" s="94" t="n"/>
      <c r="E4532" s="6" t="inlineStr">
        <is>
          <t>토너</t>
        </is>
      </c>
      <c r="F4532" s="5" t="inlineStr">
        <is>
          <t>카페24</t>
        </is>
      </c>
      <c r="G4532" s="94" t="inlineStr">
        <is>
          <t>스킨팩 화장솜 60P</t>
        </is>
      </c>
      <c r="H4532" s="7" t="n">
        <v>190801</v>
      </c>
      <c r="I4532" s="7" t="n">
        <v>190801</v>
      </c>
      <c r="J4532" s="94" t="n"/>
      <c r="K4532" s="149" t="n">
        <v>47</v>
      </c>
      <c r="L4532" s="94" t="n">
        <v>190801</v>
      </c>
      <c r="M4532" s="94">
        <f>VLOOKUP($Q4532,매칭테이블!$F:$I,2,0)*K4532</f>
        <v/>
      </c>
      <c r="N4532" s="94">
        <f>M4532-M4532*VLOOKUP($Q4532,매칭테이블!$F:$I,3,0)</f>
        <v/>
      </c>
      <c r="O4532" s="94">
        <f>VLOOKUP($Q4532,매칭테이블!$F:$I,4,0)*K4532</f>
        <v/>
      </c>
      <c r="P4532" s="148">
        <f>M4532/1.1</f>
        <v/>
      </c>
      <c r="Q4532" s="94">
        <f>F4532&amp;E4532&amp;G4532&amp;L4532</f>
        <v/>
      </c>
    </row>
    <row r="4533">
      <c r="A4533" s="94" t="n"/>
      <c r="B4533" s="128" t="n">
        <v>43863</v>
      </c>
      <c r="C4533" s="94">
        <f>TEXT(B4533,"aaa")</f>
        <v/>
      </c>
      <c r="D4533" s="94" t="n"/>
      <c r="E4533" s="6" t="inlineStr">
        <is>
          <t>토너</t>
        </is>
      </c>
      <c r="F4533" s="5" t="inlineStr">
        <is>
          <t>W컨셉</t>
        </is>
      </c>
      <c r="G4533" s="5" t="inlineStr">
        <is>
          <t>250ml</t>
        </is>
      </c>
      <c r="H4533" s="7" t="n">
        <v>190801</v>
      </c>
      <c r="I4533" s="7" t="n">
        <v>190801</v>
      </c>
      <c r="J4533" s="94" t="n"/>
      <c r="K4533" s="149" t="n">
        <v>3</v>
      </c>
      <c r="L4533" s="7" t="n">
        <v>190801</v>
      </c>
      <c r="M4533" s="94">
        <f>VLOOKUP($Q4533,매칭테이블!$F:$I,2,0)*K4533</f>
        <v/>
      </c>
      <c r="N4533" s="94">
        <f>M4533-M4533*VLOOKUP($Q4533,매칭테이블!$F:$I,3,0)</f>
        <v/>
      </c>
      <c r="O4533" s="94">
        <f>VLOOKUP($Q4533,매칭테이블!$F:$I,4,0)*K4533</f>
        <v/>
      </c>
      <c r="P4533" s="148">
        <f>M4533/1.1</f>
        <v/>
      </c>
      <c r="Q4533" s="94">
        <f>F4533&amp;E4533&amp;G4533&amp;L4533</f>
        <v/>
      </c>
    </row>
    <row r="4534">
      <c r="A4534" s="94" t="n"/>
      <c r="B4534" s="128" t="n">
        <v>43863</v>
      </c>
      <c r="C4534" s="94">
        <f>TEXT(B4534,"aaa")</f>
        <v/>
      </c>
      <c r="D4534" s="94" t="n"/>
      <c r="E4534" s="6" t="inlineStr">
        <is>
          <t>토너</t>
        </is>
      </c>
      <c r="F4534" s="5" t="inlineStr">
        <is>
          <t>W컨셉</t>
        </is>
      </c>
      <c r="G4534" s="5" t="inlineStr">
        <is>
          <t>250ml 2set</t>
        </is>
      </c>
      <c r="H4534" s="7" t="n">
        <v>190801</v>
      </c>
      <c r="I4534" s="7" t="n">
        <v>190801</v>
      </c>
      <c r="J4534" s="94" t="n"/>
      <c r="K4534" s="149" t="n">
        <v>10</v>
      </c>
      <c r="L4534" s="7" t="n">
        <v>190801</v>
      </c>
      <c r="M4534" s="94">
        <f>VLOOKUP($Q4534,매칭테이블!$F:$I,2,0)*K4534</f>
        <v/>
      </c>
      <c r="N4534" s="94">
        <f>M4534-M4534*VLOOKUP($Q4534,매칭테이블!$F:$I,3,0)</f>
        <v/>
      </c>
      <c r="O4534" s="94">
        <f>VLOOKUP($Q4534,매칭테이블!$F:$I,4,0)*K4534</f>
        <v/>
      </c>
      <c r="P4534" s="148">
        <f>M4534/1.1</f>
        <v/>
      </c>
      <c r="Q4534" s="94">
        <f>F4534&amp;E4534&amp;G4534&amp;L4534</f>
        <v/>
      </c>
    </row>
    <row r="4535">
      <c r="A4535" s="94" t="n"/>
      <c r="B4535" s="128" t="n">
        <v>43863</v>
      </c>
      <c r="C4535" s="94">
        <f>TEXT(B4535,"aaa")</f>
        <v/>
      </c>
      <c r="D4535" s="94" t="n"/>
      <c r="E4535" s="94" t="inlineStr">
        <is>
          <t>화장솜</t>
        </is>
      </c>
      <c r="F4535" s="94" t="inlineStr">
        <is>
          <t>카페24</t>
        </is>
      </c>
      <c r="G4535" s="94" t="inlineStr">
        <is>
          <t>스킨팩 화장솜 60P</t>
        </is>
      </c>
      <c r="H4535" s="7" t="n">
        <v>190801</v>
      </c>
      <c r="I4535" s="7" t="n">
        <v>190801</v>
      </c>
      <c r="J4535" s="94" t="n"/>
      <c r="K4535" s="149" t="n">
        <v>3</v>
      </c>
      <c r="L4535" s="94" t="n">
        <v>190801</v>
      </c>
      <c r="M4535" s="94">
        <f>VLOOKUP($Q4535,매칭테이블!$F:$I,2,0)*K4535</f>
        <v/>
      </c>
      <c r="N4535" s="94">
        <f>M4535-M4535*VLOOKUP($Q4535,매칭테이블!$F:$I,3,0)</f>
        <v/>
      </c>
      <c r="O4535" s="94">
        <f>VLOOKUP($Q4535,매칭테이블!$F:$I,4,0)*K4535</f>
        <v/>
      </c>
      <c r="P4535" s="148">
        <f>M4535/1.1</f>
        <v/>
      </c>
      <c r="Q4535" s="94">
        <f>F4535&amp;E4535&amp;G4535&amp;L4535</f>
        <v/>
      </c>
    </row>
    <row r="4536">
      <c r="A4536" s="94" t="n"/>
      <c r="B4536" s="128" t="n">
        <v>43863</v>
      </c>
      <c r="C4536" s="94">
        <f>TEXT(B4536,"aaa")</f>
        <v/>
      </c>
      <c r="D4536" s="94" t="n"/>
      <c r="E4536" s="94" t="inlineStr">
        <is>
          <t>머드크림마스크</t>
        </is>
      </c>
      <c r="F4536" s="94" t="inlineStr">
        <is>
          <t>카페24</t>
        </is>
      </c>
      <c r="G4536" s="94" t="inlineStr">
        <is>
          <t>머드크림마스크 100ml</t>
        </is>
      </c>
      <c r="H4536" s="7" t="n">
        <v>190801</v>
      </c>
      <c r="I4536" s="7" t="n">
        <v>190801</v>
      </c>
      <c r="J4536" s="94" t="n"/>
      <c r="K4536" s="149" t="n">
        <v>8</v>
      </c>
      <c r="L4536" s="94" t="n">
        <v>190801</v>
      </c>
      <c r="M4536" s="94">
        <f>VLOOKUP($Q4536,매칭테이블!$F:$I,2,0)*K4536</f>
        <v/>
      </c>
      <c r="N4536" s="94">
        <f>M4536-M4536*VLOOKUP($Q4536,매칭테이블!$F:$I,3,0)</f>
        <v/>
      </c>
      <c r="O4536" s="94">
        <f>VLOOKUP($Q4536,매칭테이블!$F:$I,4,0)*K4536</f>
        <v/>
      </c>
      <c r="P4536" s="148">
        <f>M4536/1.1</f>
        <v/>
      </c>
      <c r="Q4536" s="94">
        <f>F4536&amp;E4536&amp;G4536&amp;L4536</f>
        <v/>
      </c>
    </row>
    <row r="4537">
      <c r="A4537" s="94" t="n"/>
      <c r="B4537" s="128" t="n">
        <v>43863</v>
      </c>
      <c r="C4537" s="94">
        <f>TEXT(B4537,"aaa")</f>
        <v/>
      </c>
      <c r="D4537" s="94" t="n"/>
      <c r="E4537" s="6" t="inlineStr">
        <is>
          <t>토너</t>
        </is>
      </c>
      <c r="F4537" s="5" t="inlineStr">
        <is>
          <t>카페24</t>
        </is>
      </c>
      <c r="G4537" s="5" t="inlineStr">
        <is>
          <t>250ml</t>
        </is>
      </c>
      <c r="H4537" s="7" t="n">
        <v>190801</v>
      </c>
      <c r="I4537" s="7" t="n">
        <v>190801</v>
      </c>
      <c r="J4537" s="94" t="n"/>
      <c r="K4537" s="149" t="n">
        <v>55</v>
      </c>
      <c r="L4537" s="7" t="n">
        <v>190801</v>
      </c>
      <c r="M4537" s="94">
        <f>VLOOKUP($Q4537,매칭테이블!$F:$I,2,0)*K4537</f>
        <v/>
      </c>
      <c r="N4537" s="94">
        <f>M4537-M4537*VLOOKUP($Q4537,매칭테이블!$F:$I,3,0)</f>
        <v/>
      </c>
      <c r="O4537" s="94">
        <f>VLOOKUP($Q4537,매칭테이블!$F:$I,4,0)*K4537</f>
        <v/>
      </c>
      <c r="P4537" s="148">
        <f>M4537/1.1</f>
        <v/>
      </c>
      <c r="Q4537" s="94">
        <f>F4537&amp;E4537&amp;G4537&amp;L4537</f>
        <v/>
      </c>
    </row>
    <row r="4538">
      <c r="A4538" s="94" t="n"/>
      <c r="B4538" s="128" t="n">
        <v>43863</v>
      </c>
      <c r="C4538" s="94">
        <f>TEXT(B4538,"aaa")</f>
        <v/>
      </c>
      <c r="D4538" s="94" t="n"/>
      <c r="E4538" s="6" t="inlineStr">
        <is>
          <t>토너</t>
        </is>
      </c>
      <c r="F4538" s="5" t="inlineStr">
        <is>
          <t>카페24</t>
        </is>
      </c>
      <c r="G4538" s="5" t="inlineStr">
        <is>
          <t>250ml 2set</t>
        </is>
      </c>
      <c r="H4538" s="7" t="n">
        <v>190801</v>
      </c>
      <c r="I4538" s="7" t="n">
        <v>190801</v>
      </c>
      <c r="J4538" s="94" t="n"/>
      <c r="K4538" s="149" t="n">
        <v>55</v>
      </c>
      <c r="L4538" s="7" t="n">
        <v>190801</v>
      </c>
      <c r="M4538" s="94">
        <f>VLOOKUP($Q4538,매칭테이블!$F:$I,2,0)*K4538</f>
        <v/>
      </c>
      <c r="N4538" s="94">
        <f>M4538-M4538*VLOOKUP($Q4538,매칭테이블!$F:$I,3,0)</f>
        <v/>
      </c>
      <c r="O4538" s="94">
        <f>VLOOKUP($Q4538,매칭테이블!$F:$I,4,0)*K4538</f>
        <v/>
      </c>
      <c r="P4538" s="148">
        <f>M4538/1.1</f>
        <v/>
      </c>
      <c r="Q4538" s="94">
        <f>F4538&amp;E4538&amp;G4538&amp;L4538</f>
        <v/>
      </c>
    </row>
    <row r="4539">
      <c r="A4539" s="94" t="n"/>
      <c r="B4539" s="128" t="n">
        <v>43863</v>
      </c>
      <c r="C4539" s="94">
        <f>TEXT(B4539,"aaa")</f>
        <v/>
      </c>
      <c r="D4539" s="94" t="n"/>
      <c r="E4539" s="6" t="inlineStr">
        <is>
          <t>토너</t>
        </is>
      </c>
      <c r="F4539" s="5" t="inlineStr">
        <is>
          <t>카페24</t>
        </is>
      </c>
      <c r="G4539" s="5" t="inlineStr">
        <is>
          <t>500ml</t>
        </is>
      </c>
      <c r="H4539" s="7" t="n">
        <v>190801</v>
      </c>
      <c r="I4539" s="7" t="n">
        <v>190801</v>
      </c>
      <c r="J4539" s="94" t="n"/>
      <c r="K4539" s="149" t="n">
        <v>41</v>
      </c>
      <c r="L4539" s="7" t="n">
        <v>190801</v>
      </c>
      <c r="M4539" s="94">
        <f>VLOOKUP($Q4539,매칭테이블!$F:$I,2,0)*K4539</f>
        <v/>
      </c>
      <c r="N4539" s="94">
        <f>M4539-M4539*VLOOKUP($Q4539,매칭테이블!$F:$I,3,0)</f>
        <v/>
      </c>
      <c r="O4539" s="94">
        <f>VLOOKUP($Q4539,매칭테이블!$F:$I,4,0)*K4539</f>
        <v/>
      </c>
      <c r="P4539" s="148">
        <f>M4539/1.1</f>
        <v/>
      </c>
      <c r="Q4539" s="94">
        <f>F4539&amp;E4539&amp;G4539&amp;L4539</f>
        <v/>
      </c>
    </row>
    <row r="4540">
      <c r="A4540" s="94" t="n"/>
      <c r="B4540" s="128" t="n">
        <v>43863</v>
      </c>
      <c r="C4540" s="94">
        <f>TEXT(B4540,"aaa")</f>
        <v/>
      </c>
      <c r="D4540" s="94" t="n"/>
      <c r="E4540" s="6" t="inlineStr">
        <is>
          <t>토너</t>
        </is>
      </c>
      <c r="F4540" s="5" t="inlineStr">
        <is>
          <t>카페24</t>
        </is>
      </c>
      <c r="G4540" s="94" t="inlineStr">
        <is>
          <t>스킨팩 화장솜 60P</t>
        </is>
      </c>
      <c r="H4540" s="7" t="n">
        <v>190801</v>
      </c>
      <c r="I4540" s="7" t="n">
        <v>190801</v>
      </c>
      <c r="J4540" s="94" t="n"/>
      <c r="K4540" s="149" t="n">
        <v>68</v>
      </c>
      <c r="L4540" s="94" t="n">
        <v>190801</v>
      </c>
      <c r="M4540" s="94">
        <f>VLOOKUP($Q4540,매칭테이블!$F:$I,2,0)*K4540</f>
        <v/>
      </c>
      <c r="N4540" s="94">
        <f>M4540-M4540*VLOOKUP($Q4540,매칭테이블!$F:$I,3,0)</f>
        <v/>
      </c>
      <c r="O4540" s="94">
        <f>VLOOKUP($Q4540,매칭테이블!$F:$I,4,0)*K4540</f>
        <v/>
      </c>
      <c r="P4540" s="148">
        <f>M4540/1.1</f>
        <v/>
      </c>
      <c r="Q4540" s="94">
        <f>F4540&amp;E4540&amp;G4540&amp;L4540</f>
        <v/>
      </c>
    </row>
    <row r="4541">
      <c r="A4541" s="94" t="n"/>
      <c r="B4541" s="128" t="n">
        <v>43863</v>
      </c>
      <c r="C4541" s="94">
        <f>TEXT(B4541,"aaa")</f>
        <v/>
      </c>
      <c r="D4541" s="94" t="n"/>
      <c r="E4541" s="6" t="inlineStr">
        <is>
          <t>토너</t>
        </is>
      </c>
      <c r="F4541" s="5" t="inlineStr">
        <is>
          <t>랄라블라</t>
        </is>
      </c>
      <c r="G4541" s="5" t="inlineStr">
        <is>
          <t>250ml</t>
        </is>
      </c>
      <c r="H4541" s="7" t="n">
        <v>190801</v>
      </c>
      <c r="I4541" s="7" t="n">
        <v>190801</v>
      </c>
      <c r="J4541" s="7" t="n"/>
      <c r="K4541" s="149" t="n">
        <v>911</v>
      </c>
      <c r="L4541" s="7" t="n">
        <v>190801</v>
      </c>
      <c r="M4541" s="94">
        <f>VLOOKUP($Q4541,매칭테이블!$F:$I,2,0)*K4541</f>
        <v/>
      </c>
      <c r="N4541" s="94">
        <f>M4541-M4541*VLOOKUP($Q4541,매칭테이블!$F:$I,3,0)</f>
        <v/>
      </c>
      <c r="O4541" s="94">
        <f>VLOOKUP($Q4541,매칭테이블!$F:$I,4,0)*K4541</f>
        <v/>
      </c>
      <c r="P4541" s="148">
        <f>M4541/1.1</f>
        <v/>
      </c>
      <c r="Q4541" s="94">
        <f>F4541&amp;E4541&amp;G4541&amp;L4541</f>
        <v/>
      </c>
    </row>
    <row r="4542">
      <c r="A4542" s="94" t="n"/>
      <c r="B4542" s="128" t="n">
        <v>43864</v>
      </c>
      <c r="C4542" s="94">
        <f>TEXT(B4542,"aaa")</f>
        <v/>
      </c>
      <c r="D4542" s="94" t="n"/>
      <c r="E4542" s="6" t="inlineStr">
        <is>
          <t>토너</t>
        </is>
      </c>
      <c r="F4542" s="5" t="inlineStr">
        <is>
          <t>W컨셉</t>
        </is>
      </c>
      <c r="G4542" s="5" t="inlineStr">
        <is>
          <t>250ml</t>
        </is>
      </c>
      <c r="H4542" s="7" t="n">
        <v>190801</v>
      </c>
      <c r="I4542" s="7" t="n">
        <v>190801</v>
      </c>
      <c r="J4542" s="94" t="n"/>
      <c r="K4542" s="149" t="n">
        <v>3</v>
      </c>
      <c r="L4542" s="7" t="n">
        <v>190801</v>
      </c>
      <c r="M4542" s="94">
        <f>VLOOKUP($Q4542,매칭테이블!$F:$I,2,0)*K4542</f>
        <v/>
      </c>
      <c r="N4542" s="94">
        <f>M4542-M4542*VLOOKUP($Q4542,매칭테이블!$F:$I,3,0)</f>
        <v/>
      </c>
      <c r="O4542" s="94">
        <f>VLOOKUP($Q4542,매칭테이블!$F:$I,4,0)*K4542</f>
        <v/>
      </c>
      <c r="P4542" s="148">
        <f>M4542/1.1</f>
        <v/>
      </c>
      <c r="Q4542" s="94">
        <f>F4542&amp;E4542&amp;G4542&amp;L4542</f>
        <v/>
      </c>
    </row>
    <row r="4543">
      <c r="A4543" s="94" t="n"/>
      <c r="B4543" s="128" t="n">
        <v>43864</v>
      </c>
      <c r="C4543" s="94">
        <f>TEXT(B4543,"aaa")</f>
        <v/>
      </c>
      <c r="D4543" s="94" t="n"/>
      <c r="E4543" s="6" t="inlineStr">
        <is>
          <t>토너</t>
        </is>
      </c>
      <c r="F4543" s="5" t="inlineStr">
        <is>
          <t>W컨셉</t>
        </is>
      </c>
      <c r="G4543" s="5" t="inlineStr">
        <is>
          <t>250ml 2set</t>
        </is>
      </c>
      <c r="H4543" s="7" t="n">
        <v>190801</v>
      </c>
      <c r="I4543" s="7" t="n">
        <v>190801</v>
      </c>
      <c r="J4543" s="94" t="n"/>
      <c r="K4543" s="149" t="n">
        <v>117</v>
      </c>
      <c r="L4543" s="7" t="n">
        <v>190801</v>
      </c>
      <c r="M4543" s="94">
        <f>VLOOKUP($Q4543,매칭테이블!$F:$I,2,0)*K4543</f>
        <v/>
      </c>
      <c r="N4543" s="94">
        <f>M4543-M4543*VLOOKUP($Q4543,매칭테이블!$F:$I,3,0)</f>
        <v/>
      </c>
      <c r="O4543" s="94">
        <f>VLOOKUP($Q4543,매칭테이블!$F:$I,4,0)*K4543</f>
        <v/>
      </c>
      <c r="P4543" s="148">
        <f>M4543/1.1</f>
        <v/>
      </c>
      <c r="Q4543" s="94">
        <f>F4543&amp;E4543&amp;G4543&amp;L4543</f>
        <v/>
      </c>
    </row>
    <row r="4544">
      <c r="A4544" s="94" t="n"/>
      <c r="B4544" s="128" t="n">
        <v>43864</v>
      </c>
      <c r="C4544" s="94">
        <f>TEXT(B4544,"aaa")</f>
        <v/>
      </c>
      <c r="D4544" s="94" t="n"/>
      <c r="E4544" s="94" t="inlineStr">
        <is>
          <t>머드크림마스크</t>
        </is>
      </c>
      <c r="F4544" s="94" t="inlineStr">
        <is>
          <t>카페24</t>
        </is>
      </c>
      <c r="G4544" s="94" t="inlineStr">
        <is>
          <t>머드크림마스크 100ml</t>
        </is>
      </c>
      <c r="H4544" s="7" t="n">
        <v>190801</v>
      </c>
      <c r="I4544" s="7" t="n">
        <v>190801</v>
      </c>
      <c r="J4544" s="94" t="n"/>
      <c r="K4544" s="149" t="n">
        <v>4</v>
      </c>
      <c r="L4544" s="94" t="n">
        <v>190801</v>
      </c>
      <c r="M4544" s="94">
        <f>VLOOKUP($Q4544,매칭테이블!$F:$I,2,0)*K4544</f>
        <v/>
      </c>
      <c r="N4544" s="94">
        <f>M4544-M4544*VLOOKUP($Q4544,매칭테이블!$F:$I,3,0)</f>
        <v/>
      </c>
      <c r="O4544" s="94">
        <f>VLOOKUP($Q4544,매칭테이블!$F:$I,4,0)*K4544</f>
        <v/>
      </c>
      <c r="P4544" s="148">
        <f>M4544/1.1</f>
        <v/>
      </c>
      <c r="Q4544" s="94">
        <f>F4544&amp;E4544&amp;G4544&amp;L4544</f>
        <v/>
      </c>
    </row>
    <row r="4545">
      <c r="A4545" s="94" t="n"/>
      <c r="B4545" s="128" t="n">
        <v>43864</v>
      </c>
      <c r="C4545" s="94">
        <f>TEXT(B4545,"aaa")</f>
        <v/>
      </c>
      <c r="D4545" s="94" t="n"/>
      <c r="E4545" s="6" t="inlineStr">
        <is>
          <t>토너</t>
        </is>
      </c>
      <c r="F4545" s="5" t="inlineStr">
        <is>
          <t>카페24</t>
        </is>
      </c>
      <c r="G4545" s="5" t="inlineStr">
        <is>
          <t>250ml</t>
        </is>
      </c>
      <c r="H4545" s="7" t="n">
        <v>190801</v>
      </c>
      <c r="I4545" s="7" t="n">
        <v>190801</v>
      </c>
      <c r="J4545" s="94" t="n"/>
      <c r="K4545" s="149" t="n">
        <v>56</v>
      </c>
      <c r="L4545" s="7" t="n">
        <v>190801</v>
      </c>
      <c r="M4545" s="94">
        <f>VLOOKUP($Q4545,매칭테이블!$F:$I,2,0)*K4545</f>
        <v/>
      </c>
      <c r="N4545" s="94">
        <f>M4545-M4545*VLOOKUP($Q4545,매칭테이블!$F:$I,3,0)</f>
        <v/>
      </c>
      <c r="O4545" s="94">
        <f>VLOOKUP($Q4545,매칭테이블!$F:$I,4,0)*K4545</f>
        <v/>
      </c>
      <c r="P4545" s="148">
        <f>M4545/1.1</f>
        <v/>
      </c>
      <c r="Q4545" s="94">
        <f>F4545&amp;E4545&amp;G4545&amp;L4545</f>
        <v/>
      </c>
    </row>
    <row r="4546">
      <c r="A4546" s="94" t="n"/>
      <c r="B4546" s="128" t="n">
        <v>43864</v>
      </c>
      <c r="C4546" s="94">
        <f>TEXT(B4546,"aaa")</f>
        <v/>
      </c>
      <c r="D4546" s="94" t="n"/>
      <c r="E4546" s="6" t="inlineStr">
        <is>
          <t>토너</t>
        </is>
      </c>
      <c r="F4546" s="5" t="inlineStr">
        <is>
          <t>카페24</t>
        </is>
      </c>
      <c r="G4546" s="5" t="inlineStr">
        <is>
          <t>250ml 2set</t>
        </is>
      </c>
      <c r="H4546" s="7" t="n">
        <v>190801</v>
      </c>
      <c r="I4546" s="7" t="n">
        <v>190801</v>
      </c>
      <c r="J4546" s="94" t="n"/>
      <c r="K4546" s="149" t="n">
        <v>50</v>
      </c>
      <c r="L4546" s="7" t="n">
        <v>190801</v>
      </c>
      <c r="M4546" s="94">
        <f>VLOOKUP($Q4546,매칭테이블!$F:$I,2,0)*K4546</f>
        <v/>
      </c>
      <c r="N4546" s="94">
        <f>M4546-M4546*VLOOKUP($Q4546,매칭테이블!$F:$I,3,0)</f>
        <v/>
      </c>
      <c r="O4546" s="94">
        <f>VLOOKUP($Q4546,매칭테이블!$F:$I,4,0)*K4546</f>
        <v/>
      </c>
      <c r="P4546" s="148">
        <f>M4546/1.1</f>
        <v/>
      </c>
      <c r="Q4546" s="94">
        <f>F4546&amp;E4546&amp;G4546&amp;L4546</f>
        <v/>
      </c>
    </row>
    <row r="4547">
      <c r="A4547" s="94" t="n"/>
      <c r="B4547" s="128" t="n">
        <v>43864</v>
      </c>
      <c r="C4547" s="94">
        <f>TEXT(B4547,"aaa")</f>
        <v/>
      </c>
      <c r="D4547" s="94" t="n"/>
      <c r="E4547" s="6" t="inlineStr">
        <is>
          <t>토너</t>
        </is>
      </c>
      <c r="F4547" s="5" t="inlineStr">
        <is>
          <t>카페24</t>
        </is>
      </c>
      <c r="G4547" s="5" t="inlineStr">
        <is>
          <t>500ml</t>
        </is>
      </c>
      <c r="H4547" s="7" t="n">
        <v>190801</v>
      </c>
      <c r="I4547" s="7" t="n">
        <v>190801</v>
      </c>
      <c r="J4547" s="94" t="n"/>
      <c r="K4547" s="149" t="n">
        <v>44</v>
      </c>
      <c r="L4547" s="7" t="n">
        <v>190801</v>
      </c>
      <c r="M4547" s="94">
        <f>VLOOKUP($Q4547,매칭테이블!$F:$I,2,0)*K4547</f>
        <v/>
      </c>
      <c r="N4547" s="94">
        <f>M4547-M4547*VLOOKUP($Q4547,매칭테이블!$F:$I,3,0)</f>
        <v/>
      </c>
      <c r="O4547" s="94">
        <f>VLOOKUP($Q4547,매칭테이블!$F:$I,4,0)*K4547</f>
        <v/>
      </c>
      <c r="P4547" s="148">
        <f>M4547/1.1</f>
        <v/>
      </c>
      <c r="Q4547" s="94">
        <f>F4547&amp;E4547&amp;G4547&amp;L4547</f>
        <v/>
      </c>
    </row>
    <row r="4548">
      <c r="A4548" s="94" t="n"/>
      <c r="B4548" s="128" t="n">
        <v>43864</v>
      </c>
      <c r="C4548" s="94">
        <f>TEXT(B4548,"aaa")</f>
        <v/>
      </c>
      <c r="D4548" s="94" t="n"/>
      <c r="E4548" s="6" t="inlineStr">
        <is>
          <t>토너</t>
        </is>
      </c>
      <c r="F4548" s="5" t="inlineStr">
        <is>
          <t>카페24</t>
        </is>
      </c>
      <c r="G4548" s="94" t="inlineStr">
        <is>
          <t>스킨팩 화장솜 60P</t>
        </is>
      </c>
      <c r="H4548" s="7" t="n">
        <v>190801</v>
      </c>
      <c r="I4548" s="7" t="n">
        <v>190801</v>
      </c>
      <c r="J4548" s="94" t="n"/>
      <c r="K4548" s="149" t="n">
        <v>58</v>
      </c>
      <c r="L4548" s="94" t="n">
        <v>190801</v>
      </c>
      <c r="M4548" s="94">
        <f>VLOOKUP($Q4548,매칭테이블!$F:$I,2,0)*K4548</f>
        <v/>
      </c>
      <c r="N4548" s="94">
        <f>M4548-M4548*VLOOKUP($Q4548,매칭테이블!$F:$I,3,0)</f>
        <v/>
      </c>
      <c r="O4548" s="94">
        <f>VLOOKUP($Q4548,매칭테이블!$F:$I,4,0)*K4548</f>
        <v/>
      </c>
      <c r="P4548" s="148">
        <f>M4548/1.1</f>
        <v/>
      </c>
      <c r="Q4548" s="94">
        <f>F4548&amp;E4548&amp;G4548&amp;L4548</f>
        <v/>
      </c>
    </row>
    <row r="4549">
      <c r="A4549" s="94" t="n"/>
      <c r="B4549" s="128" t="n">
        <v>43864</v>
      </c>
      <c r="C4549" s="94">
        <f>TEXT(B4549,"aaa")</f>
        <v/>
      </c>
      <c r="D4549" s="94" t="n"/>
      <c r="E4549" s="94" t="inlineStr">
        <is>
          <t>토너</t>
        </is>
      </c>
      <c r="F4549" s="94" t="inlineStr">
        <is>
          <t>큐텐</t>
        </is>
      </c>
      <c r="G4549" s="94" t="inlineStr">
        <is>
          <t>250ml</t>
        </is>
      </c>
      <c r="H4549" s="7" t="n">
        <v>190801</v>
      </c>
      <c r="I4549" s="7" t="n">
        <v>190801</v>
      </c>
      <c r="J4549" s="94" t="n"/>
      <c r="K4549" s="149" t="n">
        <v>18</v>
      </c>
      <c r="L4549" s="92" t="n">
        <v>190801</v>
      </c>
      <c r="M4549" s="94">
        <f>VLOOKUP($Q4549,매칭테이블!$F:$I,2,0)*K4549</f>
        <v/>
      </c>
      <c r="N4549" s="94">
        <f>M4549-M4549*VLOOKUP($Q4549,매칭테이블!$F:$I,3,0)</f>
        <v/>
      </c>
      <c r="O4549" s="94">
        <f>VLOOKUP($Q4549,매칭테이블!$F:$I,4,0)*K4549</f>
        <v/>
      </c>
      <c r="P4549" s="148">
        <f>M4549/1.1</f>
        <v/>
      </c>
      <c r="Q4549" s="94">
        <f>F4549&amp;E4549&amp;G4549&amp;L4549</f>
        <v/>
      </c>
    </row>
    <row r="4550">
      <c r="A4550" s="94" t="n"/>
      <c r="B4550" s="128" t="n">
        <v>43864</v>
      </c>
      <c r="C4550" s="94">
        <f>TEXT(B4550,"aaa")</f>
        <v/>
      </c>
      <c r="D4550" s="94" t="n"/>
      <c r="E4550" s="94" t="inlineStr">
        <is>
          <t>토너</t>
        </is>
      </c>
      <c r="F4550" s="94" t="inlineStr">
        <is>
          <t>큐텐</t>
        </is>
      </c>
      <c r="G4550" s="94" t="inlineStr">
        <is>
          <t>250ml 2set</t>
        </is>
      </c>
      <c r="H4550" s="7" t="n">
        <v>190801</v>
      </c>
      <c r="I4550" s="7" t="n">
        <v>190801</v>
      </c>
      <c r="J4550" s="94" t="n"/>
      <c r="K4550" s="149" t="n">
        <v>5</v>
      </c>
      <c r="L4550" s="92" t="n">
        <v>190801</v>
      </c>
      <c r="M4550" s="94">
        <f>VLOOKUP($Q4550,매칭테이블!$F:$I,2,0)*K4550</f>
        <v/>
      </c>
      <c r="N4550" s="94">
        <f>M4550-M4550*VLOOKUP($Q4550,매칭테이블!$F:$I,3,0)</f>
        <v/>
      </c>
      <c r="O4550" s="94">
        <f>VLOOKUP($Q4550,매칭테이블!$F:$I,4,0)*K4550</f>
        <v/>
      </c>
      <c r="P4550" s="148">
        <f>M4550/1.1</f>
        <v/>
      </c>
      <c r="Q4550" s="94">
        <f>F4550&amp;E4550&amp;G4550&amp;L4550</f>
        <v/>
      </c>
    </row>
    <row r="4551">
      <c r="A4551" s="94" t="n"/>
      <c r="B4551" s="128" t="n">
        <v>43865</v>
      </c>
      <c r="C4551" s="94">
        <f>TEXT(B4551,"aaa")</f>
        <v/>
      </c>
      <c r="D4551" s="94" t="n"/>
      <c r="E4551" s="6" t="inlineStr">
        <is>
          <t>토너</t>
        </is>
      </c>
      <c r="F4551" s="5" t="inlineStr">
        <is>
          <t>W컨셉</t>
        </is>
      </c>
      <c r="G4551" s="5" t="inlineStr">
        <is>
          <t>250ml 2set</t>
        </is>
      </c>
      <c r="H4551" s="7" t="n">
        <v>190801</v>
      </c>
      <c r="I4551" s="7" t="n">
        <v>190801</v>
      </c>
      <c r="J4551" s="94" t="n"/>
      <c r="K4551" s="149" t="n">
        <v>28</v>
      </c>
      <c r="L4551" s="7" t="n">
        <v>190801</v>
      </c>
      <c r="M4551" s="94">
        <f>VLOOKUP($Q4551,매칭테이블!$F:$I,2,0)*K4551</f>
        <v/>
      </c>
      <c r="N4551" s="94">
        <f>M4551-M4551*VLOOKUP($Q4551,매칭테이블!$F:$I,3,0)</f>
        <v/>
      </c>
      <c r="O4551" s="94">
        <f>VLOOKUP($Q4551,매칭테이블!$F:$I,4,0)*K4551</f>
        <v/>
      </c>
      <c r="P4551" s="148">
        <f>M4551/1.1</f>
        <v/>
      </c>
      <c r="Q4551" s="94">
        <f>F4551&amp;E4551&amp;G4551&amp;L4551</f>
        <v/>
      </c>
    </row>
    <row r="4552">
      <c r="A4552" s="94" t="n"/>
      <c r="B4552" s="128" t="n">
        <v>43865</v>
      </c>
      <c r="C4552" s="94">
        <f>TEXT(B4552,"aaa")</f>
        <v/>
      </c>
      <c r="D4552" s="94" t="n"/>
      <c r="E4552" s="94" t="inlineStr">
        <is>
          <t>머드크림마스크</t>
        </is>
      </c>
      <c r="F4552" s="94" t="inlineStr">
        <is>
          <t>카페24</t>
        </is>
      </c>
      <c r="G4552" s="94" t="inlineStr">
        <is>
          <t>머드크림마스크 100ml</t>
        </is>
      </c>
      <c r="H4552" s="7" t="n">
        <v>190801</v>
      </c>
      <c r="I4552" s="7" t="n">
        <v>190801</v>
      </c>
      <c r="J4552" s="94" t="n"/>
      <c r="K4552" s="149" t="n">
        <v>2</v>
      </c>
      <c r="L4552" s="94" t="n">
        <v>190801</v>
      </c>
      <c r="M4552" s="94">
        <f>VLOOKUP($Q4552,매칭테이블!$F:$I,2,0)*K4552</f>
        <v/>
      </c>
      <c r="N4552" s="94">
        <f>M4552-M4552*VLOOKUP($Q4552,매칭테이블!$F:$I,3,0)</f>
        <v/>
      </c>
      <c r="O4552" s="94">
        <f>VLOOKUP($Q4552,매칭테이블!$F:$I,4,0)*K4552</f>
        <v/>
      </c>
      <c r="P4552" s="148">
        <f>M4552/1.1</f>
        <v/>
      </c>
      <c r="Q4552" s="94">
        <f>F4552&amp;E4552&amp;G4552&amp;L4552</f>
        <v/>
      </c>
    </row>
    <row r="4553">
      <c r="A4553" s="94" t="n"/>
      <c r="B4553" s="128" t="n">
        <v>43865</v>
      </c>
      <c r="C4553" s="94">
        <f>TEXT(B4553,"aaa")</f>
        <v/>
      </c>
      <c r="D4553" s="94" t="n"/>
      <c r="E4553" s="6" t="inlineStr">
        <is>
          <t>토너</t>
        </is>
      </c>
      <c r="F4553" s="5" t="inlineStr">
        <is>
          <t>카페24</t>
        </is>
      </c>
      <c r="G4553" s="5" t="inlineStr">
        <is>
          <t>250ml</t>
        </is>
      </c>
      <c r="H4553" s="7" t="n">
        <v>190801</v>
      </c>
      <c r="I4553" s="7" t="n">
        <v>190801</v>
      </c>
      <c r="J4553" s="94" t="n"/>
      <c r="K4553" s="149" t="n">
        <v>46</v>
      </c>
      <c r="L4553" s="7" t="n">
        <v>190801</v>
      </c>
      <c r="M4553" s="94">
        <f>VLOOKUP($Q4553,매칭테이블!$F:$I,2,0)*K4553</f>
        <v/>
      </c>
      <c r="N4553" s="94">
        <f>M4553-M4553*VLOOKUP($Q4553,매칭테이블!$F:$I,3,0)</f>
        <v/>
      </c>
      <c r="O4553" s="94">
        <f>VLOOKUP($Q4553,매칭테이블!$F:$I,4,0)*K4553</f>
        <v/>
      </c>
      <c r="P4553" s="148">
        <f>M4553/1.1</f>
        <v/>
      </c>
      <c r="Q4553" s="94">
        <f>F4553&amp;E4553&amp;G4553&amp;L4553</f>
        <v/>
      </c>
    </row>
    <row r="4554">
      <c r="A4554" s="94" t="n"/>
      <c r="B4554" s="128" t="n">
        <v>43865</v>
      </c>
      <c r="C4554" s="94">
        <f>TEXT(B4554,"aaa")</f>
        <v/>
      </c>
      <c r="D4554" s="94" t="n"/>
      <c r="E4554" s="6" t="inlineStr">
        <is>
          <t>토너</t>
        </is>
      </c>
      <c r="F4554" s="5" t="inlineStr">
        <is>
          <t>카페24</t>
        </is>
      </c>
      <c r="G4554" s="5" t="inlineStr">
        <is>
          <t>250ml 2set</t>
        </is>
      </c>
      <c r="H4554" s="7" t="n">
        <v>190801</v>
      </c>
      <c r="I4554" s="7" t="n">
        <v>190801</v>
      </c>
      <c r="J4554" s="94" t="n"/>
      <c r="K4554" s="149" t="n">
        <v>40</v>
      </c>
      <c r="L4554" s="7" t="n">
        <v>190801</v>
      </c>
      <c r="M4554" s="94">
        <f>VLOOKUP($Q4554,매칭테이블!$F:$I,2,0)*K4554</f>
        <v/>
      </c>
      <c r="N4554" s="94">
        <f>M4554-M4554*VLOOKUP($Q4554,매칭테이블!$F:$I,3,0)</f>
        <v/>
      </c>
      <c r="O4554" s="94">
        <f>VLOOKUP($Q4554,매칭테이블!$F:$I,4,0)*K4554</f>
        <v/>
      </c>
      <c r="P4554" s="148">
        <f>M4554/1.1</f>
        <v/>
      </c>
      <c r="Q4554" s="94">
        <f>F4554&amp;E4554&amp;G4554&amp;L4554</f>
        <v/>
      </c>
    </row>
    <row r="4555">
      <c r="A4555" s="94" t="n"/>
      <c r="B4555" s="128" t="n">
        <v>43865</v>
      </c>
      <c r="C4555" s="94">
        <f>TEXT(B4555,"aaa")</f>
        <v/>
      </c>
      <c r="D4555" s="94" t="n"/>
      <c r="E4555" s="6" t="inlineStr">
        <is>
          <t>토너</t>
        </is>
      </c>
      <c r="F4555" s="5" t="inlineStr">
        <is>
          <t>카페24</t>
        </is>
      </c>
      <c r="G4555" s="5" t="inlineStr">
        <is>
          <t>500ml</t>
        </is>
      </c>
      <c r="H4555" s="7" t="n">
        <v>190801</v>
      </c>
      <c r="I4555" s="7" t="n">
        <v>190801</v>
      </c>
      <c r="J4555" s="94" t="n"/>
      <c r="K4555" s="149" t="n">
        <v>35</v>
      </c>
      <c r="L4555" s="7" t="n">
        <v>190801</v>
      </c>
      <c r="M4555" s="94">
        <f>VLOOKUP($Q4555,매칭테이블!$F:$I,2,0)*K4555</f>
        <v/>
      </c>
      <c r="N4555" s="94">
        <f>M4555-M4555*VLOOKUP($Q4555,매칭테이블!$F:$I,3,0)</f>
        <v/>
      </c>
      <c r="O4555" s="94">
        <f>VLOOKUP($Q4555,매칭테이블!$F:$I,4,0)*K4555</f>
        <v/>
      </c>
      <c r="P4555" s="148">
        <f>M4555/1.1</f>
        <v/>
      </c>
      <c r="Q4555" s="94">
        <f>F4555&amp;E4555&amp;G4555&amp;L4555</f>
        <v/>
      </c>
    </row>
    <row r="4556">
      <c r="A4556" s="94" t="n"/>
      <c r="B4556" s="128" t="n">
        <v>43865</v>
      </c>
      <c r="C4556" s="94">
        <f>TEXT(B4556,"aaa")</f>
        <v/>
      </c>
      <c r="D4556" s="94" t="n"/>
      <c r="E4556" s="6" t="inlineStr">
        <is>
          <t>토너</t>
        </is>
      </c>
      <c r="F4556" s="5" t="inlineStr">
        <is>
          <t>카페24</t>
        </is>
      </c>
      <c r="G4556" s="94" t="inlineStr">
        <is>
          <t>스킨팩 화장솜 60P</t>
        </is>
      </c>
      <c r="H4556" s="7" t="n">
        <v>190801</v>
      </c>
      <c r="I4556" s="7" t="n">
        <v>190801</v>
      </c>
      <c r="J4556" s="94" t="n"/>
      <c r="K4556" s="149" t="n">
        <v>62</v>
      </c>
      <c r="L4556" s="94" t="n">
        <v>190801</v>
      </c>
      <c r="M4556" s="94">
        <f>VLOOKUP($Q4556,매칭테이블!$F:$I,2,0)*K4556</f>
        <v/>
      </c>
      <c r="N4556" s="94">
        <f>M4556-M4556*VLOOKUP($Q4556,매칭테이블!$F:$I,3,0)</f>
        <v/>
      </c>
      <c r="O4556" s="94">
        <f>VLOOKUP($Q4556,매칭테이블!$F:$I,4,0)*K4556</f>
        <v/>
      </c>
      <c r="P4556" s="148">
        <f>M4556/1.1</f>
        <v/>
      </c>
      <c r="Q4556" s="94">
        <f>F4556&amp;E4556&amp;G4556&amp;L4556</f>
        <v/>
      </c>
    </row>
    <row r="4557">
      <c r="A4557" s="94" t="n"/>
      <c r="B4557" s="128" t="n">
        <v>43866</v>
      </c>
      <c r="C4557" s="94">
        <f>TEXT(B4557,"aaa")</f>
        <v/>
      </c>
      <c r="D4557" s="94" t="n"/>
      <c r="E4557" s="6" t="inlineStr">
        <is>
          <t>토너</t>
        </is>
      </c>
      <c r="F4557" s="5" t="inlineStr">
        <is>
          <t>W컨셉</t>
        </is>
      </c>
      <c r="G4557" s="5" t="inlineStr">
        <is>
          <t>250ml</t>
        </is>
      </c>
      <c r="H4557" s="7" t="n">
        <v>190801</v>
      </c>
      <c r="I4557" s="7" t="n">
        <v>190801</v>
      </c>
      <c r="J4557" s="94" t="n"/>
      <c r="K4557" s="149" t="n">
        <v>6</v>
      </c>
      <c r="L4557" s="7" t="n">
        <v>190801</v>
      </c>
      <c r="M4557" s="94">
        <f>VLOOKUP($Q4557,매칭테이블!$F:$I,2,0)*K4557</f>
        <v/>
      </c>
      <c r="N4557" s="94">
        <f>M4557-M4557*VLOOKUP($Q4557,매칭테이블!$F:$I,3,0)</f>
        <v/>
      </c>
      <c r="O4557" s="94">
        <f>VLOOKUP($Q4557,매칭테이블!$F:$I,4,0)*K4557</f>
        <v/>
      </c>
      <c r="P4557" s="148">
        <f>M4557/1.1</f>
        <v/>
      </c>
      <c r="Q4557" s="94">
        <f>F4557&amp;E4557&amp;G4557&amp;L4557</f>
        <v/>
      </c>
    </row>
    <row r="4558">
      <c r="A4558" s="94" t="n"/>
      <c r="B4558" s="128" t="n">
        <v>43866</v>
      </c>
      <c r="C4558" s="94">
        <f>TEXT(B4558,"aaa")</f>
        <v/>
      </c>
      <c r="D4558" s="94" t="n"/>
      <c r="E4558" s="6" t="inlineStr">
        <is>
          <t>토너</t>
        </is>
      </c>
      <c r="F4558" s="5" t="inlineStr">
        <is>
          <t>W컨셉</t>
        </is>
      </c>
      <c r="G4558" s="5" t="inlineStr">
        <is>
          <t>250ml 2set</t>
        </is>
      </c>
      <c r="H4558" s="7" t="n">
        <v>190801</v>
      </c>
      <c r="I4558" s="7" t="n">
        <v>190801</v>
      </c>
      <c r="J4558" s="94" t="n"/>
      <c r="K4558" s="149" t="n">
        <v>9</v>
      </c>
      <c r="L4558" s="7" t="n">
        <v>190801</v>
      </c>
      <c r="M4558" s="94">
        <f>VLOOKUP($Q4558,매칭테이블!$F:$I,2,0)*K4558</f>
        <v/>
      </c>
      <c r="N4558" s="94">
        <f>M4558-M4558*VLOOKUP($Q4558,매칭테이블!$F:$I,3,0)</f>
        <v/>
      </c>
      <c r="O4558" s="94">
        <f>VLOOKUP($Q4558,매칭테이블!$F:$I,4,0)*K4558</f>
        <v/>
      </c>
      <c r="P4558" s="148">
        <f>M4558/1.1</f>
        <v/>
      </c>
      <c r="Q4558" s="94">
        <f>F4558&amp;E4558&amp;G4558&amp;L4558</f>
        <v/>
      </c>
    </row>
    <row r="4559">
      <c r="A4559" s="94" t="n"/>
      <c r="B4559" s="128" t="n">
        <v>43866</v>
      </c>
      <c r="C4559" s="94">
        <f>TEXT(B4559,"aaa")</f>
        <v/>
      </c>
      <c r="D4559" s="94" t="n"/>
      <c r="E4559" s="94" t="inlineStr">
        <is>
          <t>머드크림마스크</t>
        </is>
      </c>
      <c r="F4559" s="94" t="inlineStr">
        <is>
          <t>카페24</t>
        </is>
      </c>
      <c r="G4559" s="94" t="inlineStr">
        <is>
          <t>머드크림마스크 100ml</t>
        </is>
      </c>
      <c r="H4559" s="7" t="n">
        <v>190801</v>
      </c>
      <c r="I4559" s="7" t="n">
        <v>190801</v>
      </c>
      <c r="J4559" s="94" t="n"/>
      <c r="K4559" s="149" t="n">
        <v>8</v>
      </c>
      <c r="L4559" s="94" t="n">
        <v>190801</v>
      </c>
      <c r="M4559" s="94">
        <f>VLOOKUP($Q4559,매칭테이블!$F:$I,2,0)*K4559</f>
        <v/>
      </c>
      <c r="N4559" s="94">
        <f>M4559-M4559*VLOOKUP($Q4559,매칭테이블!$F:$I,3,0)</f>
        <v/>
      </c>
      <c r="O4559" s="94">
        <f>VLOOKUP($Q4559,매칭테이블!$F:$I,4,0)*K4559</f>
        <v/>
      </c>
      <c r="P4559" s="148">
        <f>M4559/1.1</f>
        <v/>
      </c>
      <c r="Q4559" s="94">
        <f>F4559&amp;E4559&amp;G4559&amp;L4559</f>
        <v/>
      </c>
    </row>
    <row r="4560">
      <c r="A4560" s="94" t="n"/>
      <c r="B4560" s="128" t="n">
        <v>43866</v>
      </c>
      <c r="C4560" s="94">
        <f>TEXT(B4560,"aaa")</f>
        <v/>
      </c>
      <c r="D4560" s="94" t="n"/>
      <c r="E4560" s="6" t="inlineStr">
        <is>
          <t>토너</t>
        </is>
      </c>
      <c r="F4560" s="5" t="inlineStr">
        <is>
          <t>카페24</t>
        </is>
      </c>
      <c r="G4560" s="5" t="inlineStr">
        <is>
          <t>250ml</t>
        </is>
      </c>
      <c r="H4560" s="7" t="n">
        <v>190801</v>
      </c>
      <c r="I4560" s="7" t="n">
        <v>190801</v>
      </c>
      <c r="J4560" s="94" t="n"/>
      <c r="K4560" s="149" t="n">
        <v>56</v>
      </c>
      <c r="L4560" s="7" t="n">
        <v>190801</v>
      </c>
      <c r="M4560" s="94">
        <f>VLOOKUP($Q4560,매칭테이블!$F:$I,2,0)*K4560</f>
        <v/>
      </c>
      <c r="N4560" s="94">
        <f>M4560-M4560*VLOOKUP($Q4560,매칭테이블!$F:$I,3,0)</f>
        <v/>
      </c>
      <c r="O4560" s="94">
        <f>VLOOKUP($Q4560,매칭테이블!$F:$I,4,0)*K4560</f>
        <v/>
      </c>
      <c r="P4560" s="148">
        <f>M4560/1.1</f>
        <v/>
      </c>
      <c r="Q4560" s="94">
        <f>F4560&amp;E4560&amp;G4560&amp;L4560</f>
        <v/>
      </c>
    </row>
    <row r="4561">
      <c r="A4561" s="94" t="n"/>
      <c r="B4561" s="128" t="n">
        <v>43866</v>
      </c>
      <c r="C4561" s="94">
        <f>TEXT(B4561,"aaa")</f>
        <v/>
      </c>
      <c r="D4561" s="94" t="n"/>
      <c r="E4561" s="6" t="inlineStr">
        <is>
          <t>토너</t>
        </is>
      </c>
      <c r="F4561" s="5" t="inlineStr">
        <is>
          <t>카페24</t>
        </is>
      </c>
      <c r="G4561" s="5" t="inlineStr">
        <is>
          <t>250ml 2set</t>
        </is>
      </c>
      <c r="H4561" s="7" t="n">
        <v>190801</v>
      </c>
      <c r="I4561" s="7" t="n">
        <v>190801</v>
      </c>
      <c r="J4561" s="94" t="n"/>
      <c r="K4561" s="149" t="n">
        <v>37</v>
      </c>
      <c r="L4561" s="7" t="n">
        <v>190801</v>
      </c>
      <c r="M4561" s="94">
        <f>VLOOKUP($Q4561,매칭테이블!$F:$I,2,0)*K4561</f>
        <v/>
      </c>
      <c r="N4561" s="94">
        <f>M4561-M4561*VLOOKUP($Q4561,매칭테이블!$F:$I,3,0)</f>
        <v/>
      </c>
      <c r="O4561" s="94">
        <f>VLOOKUP($Q4561,매칭테이블!$F:$I,4,0)*K4561</f>
        <v/>
      </c>
      <c r="P4561" s="148">
        <f>M4561/1.1</f>
        <v/>
      </c>
      <c r="Q4561" s="94">
        <f>F4561&amp;E4561&amp;G4561&amp;L4561</f>
        <v/>
      </c>
    </row>
    <row r="4562">
      <c r="A4562" s="94" t="n"/>
      <c r="B4562" s="128" t="n">
        <v>43866</v>
      </c>
      <c r="C4562" s="94">
        <f>TEXT(B4562,"aaa")</f>
        <v/>
      </c>
      <c r="D4562" s="94" t="n"/>
      <c r="E4562" s="6" t="inlineStr">
        <is>
          <t>토너</t>
        </is>
      </c>
      <c r="F4562" s="5" t="inlineStr">
        <is>
          <t>카페24</t>
        </is>
      </c>
      <c r="G4562" s="5" t="inlineStr">
        <is>
          <t>500ml</t>
        </is>
      </c>
      <c r="H4562" s="7" t="n">
        <v>190801</v>
      </c>
      <c r="I4562" s="7" t="n">
        <v>190801</v>
      </c>
      <c r="J4562" s="94" t="n"/>
      <c r="K4562" s="149" t="n">
        <v>40</v>
      </c>
      <c r="L4562" s="7" t="n">
        <v>190801</v>
      </c>
      <c r="M4562" s="94">
        <f>VLOOKUP($Q4562,매칭테이블!$F:$I,2,0)*K4562</f>
        <v/>
      </c>
      <c r="N4562" s="94">
        <f>M4562-M4562*VLOOKUP($Q4562,매칭테이블!$F:$I,3,0)</f>
        <v/>
      </c>
      <c r="O4562" s="94">
        <f>VLOOKUP($Q4562,매칭테이블!$F:$I,4,0)*K4562</f>
        <v/>
      </c>
      <c r="P4562" s="148">
        <f>M4562/1.1</f>
        <v/>
      </c>
      <c r="Q4562" s="94">
        <f>F4562&amp;E4562&amp;G4562&amp;L4562</f>
        <v/>
      </c>
    </row>
    <row r="4563">
      <c r="A4563" s="94" t="n"/>
      <c r="B4563" s="128" t="n">
        <v>43866</v>
      </c>
      <c r="C4563" s="94">
        <f>TEXT(B4563,"aaa")</f>
        <v/>
      </c>
      <c r="D4563" s="94" t="n"/>
      <c r="E4563" s="6" t="inlineStr">
        <is>
          <t>토너</t>
        </is>
      </c>
      <c r="F4563" s="5" t="inlineStr">
        <is>
          <t>카페24</t>
        </is>
      </c>
      <c r="G4563" s="94" t="inlineStr">
        <is>
          <t>스킨팩 화장솜 60P</t>
        </is>
      </c>
      <c r="H4563" s="7" t="n">
        <v>190801</v>
      </c>
      <c r="I4563" s="7" t="n">
        <v>190801</v>
      </c>
      <c r="J4563" s="94" t="n"/>
      <c r="K4563" s="149" t="n">
        <v>53</v>
      </c>
      <c r="L4563" s="94" t="n">
        <v>190801</v>
      </c>
      <c r="M4563" s="94">
        <f>VLOOKUP($Q4563,매칭테이블!$F:$I,2,0)*K4563</f>
        <v/>
      </c>
      <c r="N4563" s="94">
        <f>M4563-M4563*VLOOKUP($Q4563,매칭테이블!$F:$I,3,0)</f>
        <v/>
      </c>
      <c r="O4563" s="94">
        <f>VLOOKUP($Q4563,매칭테이블!$F:$I,4,0)*K4563</f>
        <v/>
      </c>
      <c r="P4563" s="148">
        <f>M4563/1.1</f>
        <v/>
      </c>
      <c r="Q4563" s="94">
        <f>F4563&amp;E4563&amp;G4563&amp;L4563</f>
        <v/>
      </c>
    </row>
    <row r="4564">
      <c r="A4564" s="94" t="n"/>
      <c r="B4564" s="128" t="n">
        <v>43866</v>
      </c>
      <c r="C4564" s="94">
        <f>TEXT(B4564,"aaa")</f>
        <v/>
      </c>
      <c r="D4564" s="94" t="n"/>
      <c r="E4564" s="94" t="inlineStr">
        <is>
          <t>토너</t>
        </is>
      </c>
      <c r="F4564" s="94" t="inlineStr">
        <is>
          <t>큐텐</t>
        </is>
      </c>
      <c r="G4564" s="94" t="inlineStr">
        <is>
          <t>250ml</t>
        </is>
      </c>
      <c r="H4564" s="7" t="n">
        <v>190801</v>
      </c>
      <c r="I4564" s="7" t="n">
        <v>190801</v>
      </c>
      <c r="J4564" s="94" t="n"/>
      <c r="K4564" s="149" t="n">
        <v>14</v>
      </c>
      <c r="L4564" s="92" t="n">
        <v>190801</v>
      </c>
      <c r="M4564" s="94">
        <f>VLOOKUP($Q4564,매칭테이블!$F:$I,2,0)*K4564</f>
        <v/>
      </c>
      <c r="N4564" s="94">
        <f>M4564-M4564*VLOOKUP($Q4564,매칭테이블!$F:$I,3,0)</f>
        <v/>
      </c>
      <c r="O4564" s="94">
        <f>VLOOKUP($Q4564,매칭테이블!$F:$I,4,0)*K4564</f>
        <v/>
      </c>
      <c r="P4564" s="148">
        <f>M4564/1.1</f>
        <v/>
      </c>
      <c r="Q4564" s="94">
        <f>F4564&amp;E4564&amp;G4564&amp;L4564</f>
        <v/>
      </c>
    </row>
    <row r="4565">
      <c r="A4565" s="94" t="n"/>
      <c r="B4565" s="128" t="n">
        <v>43866</v>
      </c>
      <c r="C4565" s="94">
        <f>TEXT(B4565,"aaa")</f>
        <v/>
      </c>
      <c r="D4565" s="94" t="n"/>
      <c r="E4565" s="94" t="inlineStr">
        <is>
          <t>토너</t>
        </is>
      </c>
      <c r="F4565" s="94" t="inlineStr">
        <is>
          <t>큐텐</t>
        </is>
      </c>
      <c r="G4565" s="94" t="inlineStr">
        <is>
          <t>250ml 2set</t>
        </is>
      </c>
      <c r="H4565" s="7" t="n">
        <v>190801</v>
      </c>
      <c r="I4565" s="7" t="n">
        <v>190801</v>
      </c>
      <c r="J4565" s="94" t="n"/>
      <c r="K4565" s="149" t="n">
        <v>2</v>
      </c>
      <c r="L4565" s="92" t="n">
        <v>190801</v>
      </c>
      <c r="M4565" s="94">
        <f>VLOOKUP($Q4565,매칭테이블!$F:$I,2,0)*K4565</f>
        <v/>
      </c>
      <c r="N4565" s="94">
        <f>M4565-M4565*VLOOKUP($Q4565,매칭테이블!$F:$I,3,0)</f>
        <v/>
      </c>
      <c r="O4565" s="94">
        <f>VLOOKUP($Q4565,매칭테이블!$F:$I,4,0)*K4565</f>
        <v/>
      </c>
      <c r="P4565" s="148">
        <f>M4565/1.1</f>
        <v/>
      </c>
      <c r="Q4565" s="94">
        <f>F4565&amp;E4565&amp;G4565&amp;L4565</f>
        <v/>
      </c>
    </row>
    <row r="4566">
      <c r="A4566" s="94" t="n"/>
      <c r="B4566" s="128" t="n">
        <v>43867</v>
      </c>
      <c r="C4566" s="94">
        <f>TEXT(B4566,"aaa")</f>
        <v/>
      </c>
      <c r="D4566" s="94" t="n"/>
      <c r="E4566" s="6" t="inlineStr">
        <is>
          <t>토너</t>
        </is>
      </c>
      <c r="F4566" s="5" t="inlineStr">
        <is>
          <t>W컨셉</t>
        </is>
      </c>
      <c r="G4566" s="5" t="inlineStr">
        <is>
          <t>250ml</t>
        </is>
      </c>
      <c r="H4566" s="7" t="n">
        <v>190801</v>
      </c>
      <c r="I4566" s="7" t="n">
        <v>190801</v>
      </c>
      <c r="J4566" s="94" t="n"/>
      <c r="K4566" s="149" t="n">
        <v>1</v>
      </c>
      <c r="L4566" s="7" t="n">
        <v>190801</v>
      </c>
      <c r="M4566" s="94">
        <f>VLOOKUP($Q4566,매칭테이블!$F:$I,2,0)*K4566</f>
        <v/>
      </c>
      <c r="N4566" s="94">
        <f>M4566-M4566*VLOOKUP($Q4566,매칭테이블!$F:$I,3,0)</f>
        <v/>
      </c>
      <c r="O4566" s="94">
        <f>VLOOKUP($Q4566,매칭테이블!$F:$I,4,0)*K4566</f>
        <v/>
      </c>
      <c r="P4566" s="148">
        <f>M4566/1.1</f>
        <v/>
      </c>
      <c r="Q4566" s="94">
        <f>F4566&amp;E4566&amp;G4566&amp;L4566</f>
        <v/>
      </c>
    </row>
    <row r="4567">
      <c r="A4567" s="94" t="n"/>
      <c r="B4567" s="128" t="n">
        <v>43867</v>
      </c>
      <c r="C4567" s="94">
        <f>TEXT(B4567,"aaa")</f>
        <v/>
      </c>
      <c r="D4567" s="94" t="n"/>
      <c r="E4567" s="94" t="inlineStr">
        <is>
          <t>토너</t>
        </is>
      </c>
      <c r="F4567" s="94" t="inlineStr">
        <is>
          <t>아누아 CS</t>
        </is>
      </c>
      <c r="G4567" s="94" t="inlineStr">
        <is>
          <t>250ml</t>
        </is>
      </c>
      <c r="H4567" s="7" t="n">
        <v>190801</v>
      </c>
      <c r="I4567" s="7" t="n">
        <v>190801</v>
      </c>
      <c r="J4567" s="94" t="n"/>
      <c r="K4567" s="149" t="n">
        <v>1</v>
      </c>
      <c r="L4567" s="7" t="n">
        <v>190801</v>
      </c>
      <c r="M4567" s="94">
        <f>VLOOKUP($Q4567,매칭테이블!$F:$I,2,0)*K4567</f>
        <v/>
      </c>
      <c r="N4567" s="94">
        <f>M4567-M4567*VLOOKUP($Q4567,매칭테이블!$F:$I,3,0)</f>
        <v/>
      </c>
      <c r="O4567" s="94">
        <f>VLOOKUP($Q4567,매칭테이블!$F:$I,4,0)*K4567</f>
        <v/>
      </c>
      <c r="P4567" s="148">
        <f>M4567/1.1</f>
        <v/>
      </c>
      <c r="Q4567" s="94">
        <f>F4567&amp;E4567&amp;G4567&amp;L4567</f>
        <v/>
      </c>
    </row>
    <row r="4568">
      <c r="A4568" s="94" t="n"/>
      <c r="B4568" s="128" t="n">
        <v>43867</v>
      </c>
      <c r="C4568" s="94">
        <f>TEXT(B4568,"aaa")</f>
        <v/>
      </c>
      <c r="D4568" s="94" t="n"/>
      <c r="E4568" s="94" t="inlineStr">
        <is>
          <t>화장솜</t>
        </is>
      </c>
      <c r="F4568" s="94" t="inlineStr">
        <is>
          <t>카페24</t>
        </is>
      </c>
      <c r="G4568" s="94" t="inlineStr">
        <is>
          <t>스킨팩 화장솜 60P</t>
        </is>
      </c>
      <c r="H4568" s="7" t="n">
        <v>190801</v>
      </c>
      <c r="I4568" s="7" t="n">
        <v>190801</v>
      </c>
      <c r="J4568" s="94" t="n"/>
      <c r="K4568" s="149" t="n">
        <v>1</v>
      </c>
      <c r="L4568" s="94" t="n">
        <v>190801</v>
      </c>
      <c r="M4568" s="94">
        <f>VLOOKUP($Q4568,매칭테이블!$F:$I,2,0)*K4568</f>
        <v/>
      </c>
      <c r="N4568" s="94">
        <f>M4568-M4568*VLOOKUP($Q4568,매칭테이블!$F:$I,3,0)</f>
        <v/>
      </c>
      <c r="O4568" s="94">
        <f>VLOOKUP($Q4568,매칭테이블!$F:$I,4,0)*K4568</f>
        <v/>
      </c>
      <c r="P4568" s="148">
        <f>M4568/1.1</f>
        <v/>
      </c>
      <c r="Q4568" s="94">
        <f>F4568&amp;E4568&amp;G4568&amp;L4568</f>
        <v/>
      </c>
    </row>
    <row r="4569">
      <c r="A4569" s="94" t="n"/>
      <c r="B4569" s="128" t="n">
        <v>43867</v>
      </c>
      <c r="C4569" s="94">
        <f>TEXT(B4569,"aaa")</f>
        <v/>
      </c>
      <c r="D4569" s="94" t="n"/>
      <c r="E4569" s="94" t="inlineStr">
        <is>
          <t>머드크림마스크</t>
        </is>
      </c>
      <c r="F4569" s="94" t="inlineStr">
        <is>
          <t>카페24</t>
        </is>
      </c>
      <c r="G4569" s="94" t="inlineStr">
        <is>
          <t>머드크림마스크 100ml</t>
        </is>
      </c>
      <c r="H4569" s="7" t="n">
        <v>190801</v>
      </c>
      <c r="I4569" s="7" t="n">
        <v>190801</v>
      </c>
      <c r="J4569" s="94" t="n"/>
      <c r="K4569" s="149" t="n">
        <v>9</v>
      </c>
      <c r="L4569" s="94" t="n">
        <v>190801</v>
      </c>
      <c r="M4569" s="94">
        <f>VLOOKUP($Q4569,매칭테이블!$F:$I,2,0)*K4569</f>
        <v/>
      </c>
      <c r="N4569" s="94">
        <f>M4569-M4569*VLOOKUP($Q4569,매칭테이블!$F:$I,3,0)</f>
        <v/>
      </c>
      <c r="O4569" s="94">
        <f>VLOOKUP($Q4569,매칭테이블!$F:$I,4,0)*K4569</f>
        <v/>
      </c>
      <c r="P4569" s="148">
        <f>M4569/1.1</f>
        <v/>
      </c>
      <c r="Q4569" s="94">
        <f>F4569&amp;E4569&amp;G4569&amp;L4569</f>
        <v/>
      </c>
    </row>
    <row r="4570">
      <c r="A4570" s="94" t="n"/>
      <c r="B4570" s="128" t="n">
        <v>43867</v>
      </c>
      <c r="C4570" s="94">
        <f>TEXT(B4570,"aaa")</f>
        <v/>
      </c>
      <c r="D4570" s="94" t="n"/>
      <c r="E4570" s="6" t="inlineStr">
        <is>
          <t>토너</t>
        </is>
      </c>
      <c r="F4570" s="5" t="inlineStr">
        <is>
          <t>카페24</t>
        </is>
      </c>
      <c r="G4570" s="5" t="inlineStr">
        <is>
          <t>250ml</t>
        </is>
      </c>
      <c r="H4570" s="7" t="n">
        <v>190801</v>
      </c>
      <c r="I4570" s="7" t="n">
        <v>190801</v>
      </c>
      <c r="J4570" s="94" t="n"/>
      <c r="K4570" s="149" t="n">
        <v>34</v>
      </c>
      <c r="L4570" s="7" t="n">
        <v>190801</v>
      </c>
      <c r="M4570" s="94">
        <f>VLOOKUP($Q4570,매칭테이블!$F:$I,2,0)*K4570</f>
        <v/>
      </c>
      <c r="N4570" s="94">
        <f>M4570-M4570*VLOOKUP($Q4570,매칭테이블!$F:$I,3,0)</f>
        <v/>
      </c>
      <c r="O4570" s="94">
        <f>VLOOKUP($Q4570,매칭테이블!$F:$I,4,0)*K4570</f>
        <v/>
      </c>
      <c r="P4570" s="148">
        <f>M4570/1.1</f>
        <v/>
      </c>
      <c r="Q4570" s="94">
        <f>F4570&amp;E4570&amp;G4570&amp;L4570</f>
        <v/>
      </c>
    </row>
    <row r="4571">
      <c r="A4571" s="94" t="n"/>
      <c r="B4571" s="128" t="n">
        <v>43867</v>
      </c>
      <c r="C4571" s="94">
        <f>TEXT(B4571,"aaa")</f>
        <v/>
      </c>
      <c r="D4571" s="94" t="n"/>
      <c r="E4571" s="6" t="inlineStr">
        <is>
          <t>토너</t>
        </is>
      </c>
      <c r="F4571" s="5" t="inlineStr">
        <is>
          <t>카페24</t>
        </is>
      </c>
      <c r="G4571" s="5" t="inlineStr">
        <is>
          <t>250ml 2set</t>
        </is>
      </c>
      <c r="H4571" s="7" t="n">
        <v>190801</v>
      </c>
      <c r="I4571" s="7" t="n">
        <v>190801</v>
      </c>
      <c r="J4571" s="94" t="n"/>
      <c r="K4571" s="149" t="n">
        <v>65</v>
      </c>
      <c r="L4571" s="7" t="n">
        <v>190801</v>
      </c>
      <c r="M4571" s="94">
        <f>VLOOKUP($Q4571,매칭테이블!$F:$I,2,0)*K4571</f>
        <v/>
      </c>
      <c r="N4571" s="94">
        <f>M4571-M4571*VLOOKUP($Q4571,매칭테이블!$F:$I,3,0)</f>
        <v/>
      </c>
      <c r="O4571" s="94">
        <f>VLOOKUP($Q4571,매칭테이블!$F:$I,4,0)*K4571</f>
        <v/>
      </c>
      <c r="P4571" s="148">
        <f>M4571/1.1</f>
        <v/>
      </c>
      <c r="Q4571" s="94">
        <f>F4571&amp;E4571&amp;G4571&amp;L4571</f>
        <v/>
      </c>
    </row>
    <row r="4572">
      <c r="A4572" s="94" t="n"/>
      <c r="B4572" s="128" t="n">
        <v>43867</v>
      </c>
      <c r="C4572" s="94">
        <f>TEXT(B4572,"aaa")</f>
        <v/>
      </c>
      <c r="D4572" s="94" t="n"/>
      <c r="E4572" s="6" t="inlineStr">
        <is>
          <t>토너</t>
        </is>
      </c>
      <c r="F4572" s="5" t="inlineStr">
        <is>
          <t>카페24</t>
        </is>
      </c>
      <c r="G4572" s="5" t="inlineStr">
        <is>
          <t>500ml</t>
        </is>
      </c>
      <c r="H4572" s="7" t="n">
        <v>190801</v>
      </c>
      <c r="I4572" s="7" t="n">
        <v>190801</v>
      </c>
      <c r="J4572" s="94" t="n"/>
      <c r="K4572" s="149" t="n">
        <v>38</v>
      </c>
      <c r="L4572" s="7" t="n">
        <v>190801</v>
      </c>
      <c r="M4572" s="94">
        <f>VLOOKUP($Q4572,매칭테이블!$F:$I,2,0)*K4572</f>
        <v/>
      </c>
      <c r="N4572" s="94">
        <f>M4572-M4572*VLOOKUP($Q4572,매칭테이블!$F:$I,3,0)</f>
        <v/>
      </c>
      <c r="O4572" s="94">
        <f>VLOOKUP($Q4572,매칭테이블!$F:$I,4,0)*K4572</f>
        <v/>
      </c>
      <c r="P4572" s="148">
        <f>M4572/1.1</f>
        <v/>
      </c>
      <c r="Q4572" s="94">
        <f>F4572&amp;E4572&amp;G4572&amp;L4572</f>
        <v/>
      </c>
    </row>
    <row r="4573">
      <c r="A4573" s="94" t="n"/>
      <c r="B4573" s="128" t="n">
        <v>43867</v>
      </c>
      <c r="C4573" s="94">
        <f>TEXT(B4573,"aaa")</f>
        <v/>
      </c>
      <c r="D4573" s="94" t="n"/>
      <c r="E4573" s="6" t="inlineStr">
        <is>
          <t>토너</t>
        </is>
      </c>
      <c r="F4573" s="5" t="inlineStr">
        <is>
          <t>카페24</t>
        </is>
      </c>
      <c r="G4573" s="94" t="inlineStr">
        <is>
          <t>스킨팩 화장솜 60P</t>
        </is>
      </c>
      <c r="H4573" s="7" t="n">
        <v>190801</v>
      </c>
      <c r="I4573" s="7" t="n">
        <v>190801</v>
      </c>
      <c r="J4573" s="94" t="n"/>
      <c r="K4573" s="149" t="n">
        <v>44</v>
      </c>
      <c r="L4573" s="94" t="n">
        <v>190801</v>
      </c>
      <c r="M4573" s="94">
        <f>VLOOKUP($Q4573,매칭테이블!$F:$I,2,0)*K4573</f>
        <v/>
      </c>
      <c r="N4573" s="94">
        <f>M4573-M4573*VLOOKUP($Q4573,매칭테이블!$F:$I,3,0)</f>
        <v/>
      </c>
      <c r="O4573" s="94">
        <f>VLOOKUP($Q4573,매칭테이블!$F:$I,4,0)*K4573</f>
        <v/>
      </c>
      <c r="P4573" s="148">
        <f>M4573/1.1</f>
        <v/>
      </c>
      <c r="Q4573" s="94">
        <f>F4573&amp;E4573&amp;G4573&amp;L4573</f>
        <v/>
      </c>
    </row>
    <row r="4574">
      <c r="A4574" s="94" t="n"/>
      <c r="B4574" s="128" t="n">
        <v>43867</v>
      </c>
      <c r="C4574" s="94">
        <f>TEXT(B4574,"aaa")</f>
        <v/>
      </c>
      <c r="D4574" s="94" t="n"/>
      <c r="E4574" s="94" t="inlineStr">
        <is>
          <t>토너</t>
        </is>
      </c>
      <c r="F4574" s="94" t="inlineStr">
        <is>
          <t>큐텐</t>
        </is>
      </c>
      <c r="G4574" s="94" t="inlineStr">
        <is>
          <t>250ml</t>
        </is>
      </c>
      <c r="H4574" s="7" t="n">
        <v>190801</v>
      </c>
      <c r="I4574" s="7" t="n">
        <v>190801</v>
      </c>
      <c r="J4574" s="94" t="n"/>
      <c r="K4574" s="149" t="n">
        <v>6</v>
      </c>
      <c r="L4574" s="92" t="n">
        <v>190801</v>
      </c>
      <c r="M4574" s="94">
        <f>VLOOKUP($Q4574,매칭테이블!$F:$I,2,0)*K4574</f>
        <v/>
      </c>
      <c r="N4574" s="94">
        <f>M4574-M4574*VLOOKUP($Q4574,매칭테이블!$F:$I,3,0)</f>
        <v/>
      </c>
      <c r="O4574" s="94">
        <f>VLOOKUP($Q4574,매칭테이블!$F:$I,4,0)*K4574</f>
        <v/>
      </c>
      <c r="P4574" s="148">
        <f>M4574/1.1</f>
        <v/>
      </c>
      <c r="Q4574" s="94">
        <f>F4574&amp;E4574&amp;G4574&amp;L4574</f>
        <v/>
      </c>
    </row>
    <row r="4575">
      <c r="A4575" s="94" t="n"/>
      <c r="B4575" s="128" t="n">
        <v>43868</v>
      </c>
      <c r="C4575" s="94">
        <f>TEXT(B4575,"aaa")</f>
        <v/>
      </c>
      <c r="D4575" s="94" t="n"/>
      <c r="E4575" s="94" t="inlineStr">
        <is>
          <t>토너</t>
        </is>
      </c>
      <c r="F4575" s="94" t="inlineStr">
        <is>
          <t>아누아 CS</t>
        </is>
      </c>
      <c r="G4575" s="94" t="inlineStr">
        <is>
          <t>250ml</t>
        </is>
      </c>
      <c r="H4575" s="7" t="n">
        <v>190801</v>
      </c>
      <c r="I4575" s="7" t="n">
        <v>190801</v>
      </c>
      <c r="J4575" s="94" t="n"/>
      <c r="K4575" s="149" t="n">
        <v>1</v>
      </c>
      <c r="L4575" s="7" t="n">
        <v>190801</v>
      </c>
      <c r="M4575" s="94">
        <f>VLOOKUP($Q4575,매칭테이블!$F:$I,2,0)*K4575</f>
        <v/>
      </c>
      <c r="N4575" s="94">
        <f>M4575-M4575*VLOOKUP($Q4575,매칭테이블!$F:$I,3,0)</f>
        <v/>
      </c>
      <c r="O4575" s="94">
        <f>VLOOKUP($Q4575,매칭테이블!$F:$I,4,0)*K4575</f>
        <v/>
      </c>
      <c r="P4575" s="148">
        <f>M4575/1.1</f>
        <v/>
      </c>
      <c r="Q4575" s="94">
        <f>F4575&amp;E4575&amp;G4575&amp;L4575</f>
        <v/>
      </c>
    </row>
    <row r="4576">
      <c r="A4576" s="94" t="n"/>
      <c r="B4576" s="128" t="n">
        <v>43868</v>
      </c>
      <c r="C4576" s="94">
        <f>TEXT(B4576,"aaa")</f>
        <v/>
      </c>
      <c r="D4576" s="94" t="n"/>
      <c r="E4576" s="94" t="inlineStr">
        <is>
          <t>화장솜</t>
        </is>
      </c>
      <c r="F4576" s="94" t="inlineStr">
        <is>
          <t>카페24</t>
        </is>
      </c>
      <c r="G4576" s="94" t="inlineStr">
        <is>
          <t>스킨팩 화장솜 60P</t>
        </is>
      </c>
      <c r="H4576" s="7" t="n">
        <v>190801</v>
      </c>
      <c r="I4576" s="7" t="n">
        <v>190801</v>
      </c>
      <c r="J4576" s="94" t="n"/>
      <c r="K4576" s="149" t="n">
        <v>1</v>
      </c>
      <c r="L4576" s="94" t="n">
        <v>190801</v>
      </c>
      <c r="M4576" s="94">
        <f>VLOOKUP($Q4576,매칭테이블!$F:$I,2,0)*K4576</f>
        <v/>
      </c>
      <c r="N4576" s="94">
        <f>M4576-M4576*VLOOKUP($Q4576,매칭테이블!$F:$I,3,0)</f>
        <v/>
      </c>
      <c r="O4576" s="94">
        <f>VLOOKUP($Q4576,매칭테이블!$F:$I,4,0)*K4576</f>
        <v/>
      </c>
      <c r="P4576" s="148">
        <f>M4576/1.1</f>
        <v/>
      </c>
      <c r="Q4576" s="94">
        <f>F4576&amp;E4576&amp;G4576&amp;L4576</f>
        <v/>
      </c>
    </row>
    <row r="4577">
      <c r="A4577" s="94" t="n"/>
      <c r="B4577" s="128" t="n">
        <v>43868</v>
      </c>
      <c r="C4577" s="94">
        <f>TEXT(B4577,"aaa")</f>
        <v/>
      </c>
      <c r="D4577" s="94" t="n"/>
      <c r="E4577" s="94" t="inlineStr">
        <is>
          <t>머드크림마스크</t>
        </is>
      </c>
      <c r="F4577" s="94" t="inlineStr">
        <is>
          <t>카페24</t>
        </is>
      </c>
      <c r="G4577" s="94" t="inlineStr">
        <is>
          <t>머드크림마스크 100ml</t>
        </is>
      </c>
      <c r="H4577" s="7" t="n">
        <v>190801</v>
      </c>
      <c r="I4577" s="7" t="n">
        <v>190801</v>
      </c>
      <c r="J4577" s="94" t="n"/>
      <c r="K4577" s="149" t="n">
        <v>6</v>
      </c>
      <c r="L4577" s="94" t="n">
        <v>190801</v>
      </c>
      <c r="M4577" s="94">
        <f>VLOOKUP($Q4577,매칭테이블!$F:$I,2,0)*K4577</f>
        <v/>
      </c>
      <c r="N4577" s="94">
        <f>M4577-M4577*VLOOKUP($Q4577,매칭테이블!$F:$I,3,0)</f>
        <v/>
      </c>
      <c r="O4577" s="94">
        <f>VLOOKUP($Q4577,매칭테이블!$F:$I,4,0)*K4577</f>
        <v/>
      </c>
      <c r="P4577" s="148">
        <f>M4577/1.1</f>
        <v/>
      </c>
      <c r="Q4577" s="94">
        <f>F4577&amp;E4577&amp;G4577&amp;L4577</f>
        <v/>
      </c>
    </row>
    <row r="4578">
      <c r="A4578" s="94" t="n"/>
      <c r="B4578" s="128" t="n">
        <v>43868</v>
      </c>
      <c r="C4578" s="94">
        <f>TEXT(B4578,"aaa")</f>
        <v/>
      </c>
      <c r="D4578" s="94" t="n"/>
      <c r="E4578" s="6" t="inlineStr">
        <is>
          <t>토너</t>
        </is>
      </c>
      <c r="F4578" s="5" t="inlineStr">
        <is>
          <t>카페24</t>
        </is>
      </c>
      <c r="G4578" s="5" t="inlineStr">
        <is>
          <t>250ml</t>
        </is>
      </c>
      <c r="H4578" s="7" t="n">
        <v>190801</v>
      </c>
      <c r="I4578" s="7" t="n">
        <v>190801</v>
      </c>
      <c r="J4578" s="94" t="n"/>
      <c r="K4578" s="149" t="n">
        <v>44</v>
      </c>
      <c r="L4578" s="7" t="n">
        <v>190801</v>
      </c>
      <c r="M4578" s="94">
        <f>VLOOKUP($Q4578,매칭테이블!$F:$I,2,0)*K4578</f>
        <v/>
      </c>
      <c r="N4578" s="94">
        <f>M4578-M4578*VLOOKUP($Q4578,매칭테이블!$F:$I,3,0)</f>
        <v/>
      </c>
      <c r="O4578" s="94">
        <f>VLOOKUP($Q4578,매칭테이블!$F:$I,4,0)*K4578</f>
        <v/>
      </c>
      <c r="P4578" s="148">
        <f>M4578/1.1</f>
        <v/>
      </c>
      <c r="Q4578" s="94">
        <f>F4578&amp;E4578&amp;G4578&amp;L4578</f>
        <v/>
      </c>
    </row>
    <row r="4579">
      <c r="A4579" s="94" t="n"/>
      <c r="B4579" s="128" t="n">
        <v>43868</v>
      </c>
      <c r="C4579" s="94">
        <f>TEXT(B4579,"aaa")</f>
        <v/>
      </c>
      <c r="D4579" s="94" t="n"/>
      <c r="E4579" s="6" t="inlineStr">
        <is>
          <t>토너</t>
        </is>
      </c>
      <c r="F4579" s="5" t="inlineStr">
        <is>
          <t>카페24</t>
        </is>
      </c>
      <c r="G4579" s="5" t="inlineStr">
        <is>
          <t>250ml 2set</t>
        </is>
      </c>
      <c r="H4579" s="7" t="n">
        <v>190801</v>
      </c>
      <c r="I4579" s="7" t="n">
        <v>190801</v>
      </c>
      <c r="J4579" s="94" t="n"/>
      <c r="K4579" s="149" t="n">
        <v>154</v>
      </c>
      <c r="L4579" s="7" t="n">
        <v>190801</v>
      </c>
      <c r="M4579" s="94">
        <f>VLOOKUP($Q4579,매칭테이블!$F:$I,2,0)*K4579</f>
        <v/>
      </c>
      <c r="N4579" s="94">
        <f>M4579-M4579*VLOOKUP($Q4579,매칭테이블!$F:$I,3,0)</f>
        <v/>
      </c>
      <c r="O4579" s="94">
        <f>VLOOKUP($Q4579,매칭테이블!$F:$I,4,0)*K4579</f>
        <v/>
      </c>
      <c r="P4579" s="148">
        <f>M4579/1.1</f>
        <v/>
      </c>
      <c r="Q4579" s="94">
        <f>F4579&amp;E4579&amp;G4579&amp;L4579</f>
        <v/>
      </c>
    </row>
    <row r="4580">
      <c r="A4580" s="94" t="n"/>
      <c r="B4580" s="128" t="n">
        <v>43868</v>
      </c>
      <c r="C4580" s="94">
        <f>TEXT(B4580,"aaa")</f>
        <v/>
      </c>
      <c r="D4580" s="94" t="n"/>
      <c r="E4580" s="6" t="inlineStr">
        <is>
          <t>토너</t>
        </is>
      </c>
      <c r="F4580" s="5" t="inlineStr">
        <is>
          <t>카페24</t>
        </is>
      </c>
      <c r="G4580" s="5" t="inlineStr">
        <is>
          <t>500ml</t>
        </is>
      </c>
      <c r="H4580" s="7" t="n">
        <v>190801</v>
      </c>
      <c r="I4580" s="7" t="n">
        <v>190801</v>
      </c>
      <c r="J4580" s="94" t="n"/>
      <c r="K4580" s="149" t="n">
        <v>23</v>
      </c>
      <c r="L4580" s="7" t="n">
        <v>190801</v>
      </c>
      <c r="M4580" s="94">
        <f>VLOOKUP($Q4580,매칭테이블!$F:$I,2,0)*K4580</f>
        <v/>
      </c>
      <c r="N4580" s="94">
        <f>M4580-M4580*VLOOKUP($Q4580,매칭테이블!$F:$I,3,0)</f>
        <v/>
      </c>
      <c r="O4580" s="94">
        <f>VLOOKUP($Q4580,매칭테이블!$F:$I,4,0)*K4580</f>
        <v/>
      </c>
      <c r="P4580" s="148">
        <f>M4580/1.1</f>
        <v/>
      </c>
      <c r="Q4580" s="94">
        <f>F4580&amp;E4580&amp;G4580&amp;L4580</f>
        <v/>
      </c>
    </row>
    <row r="4581">
      <c r="A4581" s="94" t="n"/>
      <c r="B4581" s="128" t="n">
        <v>43868</v>
      </c>
      <c r="C4581" s="94">
        <f>TEXT(B4581,"aaa")</f>
        <v/>
      </c>
      <c r="D4581" s="94" t="n"/>
      <c r="E4581" s="6" t="inlineStr">
        <is>
          <t>토너</t>
        </is>
      </c>
      <c r="F4581" s="5" t="inlineStr">
        <is>
          <t>카페24</t>
        </is>
      </c>
      <c r="G4581" s="94" t="inlineStr">
        <is>
          <t>스킨팩 화장솜 60P</t>
        </is>
      </c>
      <c r="H4581" s="7" t="n">
        <v>190801</v>
      </c>
      <c r="I4581" s="7" t="n">
        <v>190801</v>
      </c>
      <c r="J4581" s="94" t="n"/>
      <c r="K4581" s="149" t="n">
        <v>48</v>
      </c>
      <c r="L4581" s="94" t="n">
        <v>190801</v>
      </c>
      <c r="M4581" s="94">
        <f>VLOOKUP($Q4581,매칭테이블!$F:$I,2,0)*K4581</f>
        <v/>
      </c>
      <c r="N4581" s="94">
        <f>M4581-M4581*VLOOKUP($Q4581,매칭테이블!$F:$I,3,0)</f>
        <v/>
      </c>
      <c r="O4581" s="94">
        <f>VLOOKUP($Q4581,매칭테이블!$F:$I,4,0)*K4581</f>
        <v/>
      </c>
      <c r="P4581" s="148">
        <f>M4581/1.1</f>
        <v/>
      </c>
      <c r="Q4581" s="94">
        <f>F4581&amp;E4581&amp;G4581&amp;L4581</f>
        <v/>
      </c>
    </row>
    <row r="4582">
      <c r="A4582" s="94" t="n"/>
      <c r="B4582" s="128" t="n">
        <v>43868</v>
      </c>
      <c r="C4582" s="94">
        <f>TEXT(B4582,"aaa")</f>
        <v/>
      </c>
      <c r="D4582" s="94" t="n"/>
      <c r="E4582" s="94" t="inlineStr">
        <is>
          <t>토너</t>
        </is>
      </c>
      <c r="F4582" s="94" t="inlineStr">
        <is>
          <t>큐텐</t>
        </is>
      </c>
      <c r="G4582" s="94" t="inlineStr">
        <is>
          <t>250ml</t>
        </is>
      </c>
      <c r="H4582" s="7" t="n">
        <v>190801</v>
      </c>
      <c r="I4582" s="7" t="n">
        <v>190801</v>
      </c>
      <c r="J4582" s="94" t="n"/>
      <c r="K4582" s="149" t="n">
        <v>4</v>
      </c>
      <c r="L4582" s="92" t="n">
        <v>190801</v>
      </c>
      <c r="M4582" s="94">
        <f>VLOOKUP($Q4582,매칭테이블!$F:$I,2,0)*K4582</f>
        <v/>
      </c>
      <c r="N4582" s="94">
        <f>M4582-M4582*VLOOKUP($Q4582,매칭테이블!$F:$I,3,0)</f>
        <v/>
      </c>
      <c r="O4582" s="94">
        <f>VLOOKUP($Q4582,매칭테이블!$F:$I,4,0)*K4582</f>
        <v/>
      </c>
      <c r="P4582" s="148">
        <f>M4582/1.1</f>
        <v/>
      </c>
      <c r="Q4582" s="94">
        <f>F4582&amp;E4582&amp;G4582&amp;L4582</f>
        <v/>
      </c>
    </row>
    <row r="4583">
      <c r="A4583" s="94" t="n"/>
      <c r="B4583" s="128" t="n">
        <v>43868</v>
      </c>
      <c r="C4583" s="94">
        <f>TEXT(B4583,"aaa")</f>
        <v/>
      </c>
      <c r="D4583" s="94" t="n"/>
      <c r="E4583" s="94" t="inlineStr">
        <is>
          <t>토너</t>
        </is>
      </c>
      <c r="F4583" s="94" t="inlineStr">
        <is>
          <t>큐텐</t>
        </is>
      </c>
      <c r="G4583" s="94" t="inlineStr">
        <is>
          <t>250ml 2set</t>
        </is>
      </c>
      <c r="H4583" s="7" t="n">
        <v>190801</v>
      </c>
      <c r="I4583" s="7" t="n">
        <v>190801</v>
      </c>
      <c r="J4583" s="94" t="n"/>
      <c r="K4583" s="149" t="n">
        <v>1</v>
      </c>
      <c r="L4583" s="92" t="n">
        <v>190801</v>
      </c>
      <c r="M4583" s="94">
        <f>VLOOKUP($Q4583,매칭테이블!$F:$I,2,0)*K4583</f>
        <v/>
      </c>
      <c r="N4583" s="94">
        <f>M4583-M4583*VLOOKUP($Q4583,매칭테이블!$F:$I,3,0)</f>
        <v/>
      </c>
      <c r="O4583" s="94">
        <f>VLOOKUP($Q4583,매칭테이블!$F:$I,4,0)*K4583</f>
        <v/>
      </c>
      <c r="P4583" s="148">
        <f>M4583/1.1</f>
        <v/>
      </c>
      <c r="Q4583" s="94">
        <f>F4583&amp;E4583&amp;G4583&amp;L4583</f>
        <v/>
      </c>
    </row>
    <row r="4584">
      <c r="A4584" s="94" t="n"/>
      <c r="B4584" s="128" t="n">
        <v>43869</v>
      </c>
      <c r="C4584" s="94">
        <f>TEXT(B4584,"aaa")</f>
        <v/>
      </c>
      <c r="D4584" s="94" t="n"/>
      <c r="E4584" s="94" t="inlineStr">
        <is>
          <t>화장솜</t>
        </is>
      </c>
      <c r="F4584" s="94" t="inlineStr">
        <is>
          <t>카페24</t>
        </is>
      </c>
      <c r="G4584" s="94" t="inlineStr">
        <is>
          <t>스킨팩 화장솜 60P</t>
        </is>
      </c>
      <c r="H4584" s="7" t="n">
        <v>190801</v>
      </c>
      <c r="I4584" s="7" t="n">
        <v>190801</v>
      </c>
      <c r="J4584" s="94" t="n"/>
      <c r="K4584" s="149" t="n">
        <v>6</v>
      </c>
      <c r="L4584" s="94" t="n">
        <v>190801</v>
      </c>
      <c r="M4584" s="94">
        <f>VLOOKUP($Q4584,매칭테이블!$F:$I,2,0)*K4584</f>
        <v/>
      </c>
      <c r="N4584" s="94">
        <f>M4584-M4584*VLOOKUP($Q4584,매칭테이블!$F:$I,3,0)</f>
        <v/>
      </c>
      <c r="O4584" s="94">
        <f>VLOOKUP($Q4584,매칭테이블!$F:$I,4,0)*K4584</f>
        <v/>
      </c>
      <c r="P4584" s="148">
        <f>M4584/1.1</f>
        <v/>
      </c>
      <c r="Q4584" s="94">
        <f>F4584&amp;E4584&amp;G4584&amp;L4584</f>
        <v/>
      </c>
    </row>
    <row r="4585">
      <c r="A4585" s="94" t="n"/>
      <c r="B4585" s="128" t="n">
        <v>43869</v>
      </c>
      <c r="C4585" s="94">
        <f>TEXT(B4585,"aaa")</f>
        <v/>
      </c>
      <c r="D4585" s="94" t="n"/>
      <c r="E4585" s="94" t="inlineStr">
        <is>
          <t>머드크림마스크</t>
        </is>
      </c>
      <c r="F4585" s="94" t="inlineStr">
        <is>
          <t>카페24</t>
        </is>
      </c>
      <c r="G4585" s="94" t="inlineStr">
        <is>
          <t>머드크림마스크 100ml</t>
        </is>
      </c>
      <c r="H4585" s="7" t="n">
        <v>190801</v>
      </c>
      <c r="I4585" s="7" t="n">
        <v>190801</v>
      </c>
      <c r="J4585" s="94" t="n"/>
      <c r="K4585" s="149" t="n">
        <v>5</v>
      </c>
      <c r="L4585" s="94" t="n">
        <v>190801</v>
      </c>
      <c r="M4585" s="94">
        <f>VLOOKUP($Q4585,매칭테이블!$F:$I,2,0)*K4585</f>
        <v/>
      </c>
      <c r="N4585" s="94">
        <f>M4585-M4585*VLOOKUP($Q4585,매칭테이블!$F:$I,3,0)</f>
        <v/>
      </c>
      <c r="O4585" s="94">
        <f>VLOOKUP($Q4585,매칭테이블!$F:$I,4,0)*K4585</f>
        <v/>
      </c>
      <c r="P4585" s="148">
        <f>M4585/1.1</f>
        <v/>
      </c>
      <c r="Q4585" s="94">
        <f>F4585&amp;E4585&amp;G4585&amp;L4585</f>
        <v/>
      </c>
    </row>
    <row r="4586">
      <c r="A4586" s="94" t="n"/>
      <c r="B4586" s="128" t="n">
        <v>43869</v>
      </c>
      <c r="C4586" s="94">
        <f>TEXT(B4586,"aaa")</f>
        <v/>
      </c>
      <c r="D4586" s="94" t="n"/>
      <c r="E4586" s="94" t="inlineStr">
        <is>
          <t>머드크림마스크</t>
        </is>
      </c>
      <c r="F4586" s="94" t="inlineStr">
        <is>
          <t>카페24</t>
        </is>
      </c>
      <c r="G4586" s="94" t="inlineStr">
        <is>
          <t>머드크림마스크 100ml 2set</t>
        </is>
      </c>
      <c r="H4586" s="7" t="n">
        <v>190801</v>
      </c>
      <c r="I4586" s="7" t="n">
        <v>190801</v>
      </c>
      <c r="J4586" s="94" t="n"/>
      <c r="K4586" s="149" t="n">
        <v>1</v>
      </c>
      <c r="L4586" s="94" t="n">
        <v>190801</v>
      </c>
      <c r="M4586" s="94">
        <f>VLOOKUP($Q4586,매칭테이블!$F:$I,2,0)*K4586</f>
        <v/>
      </c>
      <c r="N4586" s="94">
        <f>M4586-M4586*VLOOKUP($Q4586,매칭테이블!$F:$I,3,0)</f>
        <v/>
      </c>
      <c r="O4586" s="94">
        <f>VLOOKUP($Q4586,매칭테이블!$F:$I,4,0)*K4586</f>
        <v/>
      </c>
      <c r="P4586" s="148">
        <f>M4586/1.1</f>
        <v/>
      </c>
      <c r="Q4586" s="94">
        <f>F4586&amp;E4586&amp;G4586&amp;L4586</f>
        <v/>
      </c>
    </row>
    <row r="4587">
      <c r="A4587" s="94" t="n"/>
      <c r="B4587" s="128" t="n">
        <v>43869</v>
      </c>
      <c r="C4587" s="94">
        <f>TEXT(B4587,"aaa")</f>
        <v/>
      </c>
      <c r="D4587" s="94" t="n"/>
      <c r="E4587" s="6" t="inlineStr">
        <is>
          <t>토너</t>
        </is>
      </c>
      <c r="F4587" s="5" t="inlineStr">
        <is>
          <t>카페24</t>
        </is>
      </c>
      <c r="G4587" s="5" t="inlineStr">
        <is>
          <t>250ml</t>
        </is>
      </c>
      <c r="H4587" s="7" t="n">
        <v>190801</v>
      </c>
      <c r="I4587" s="7" t="n">
        <v>190801</v>
      </c>
      <c r="J4587" s="94" t="n"/>
      <c r="K4587" s="149" t="n">
        <v>35</v>
      </c>
      <c r="L4587" s="7" t="n">
        <v>190801</v>
      </c>
      <c r="M4587" s="94">
        <f>VLOOKUP($Q4587,매칭테이블!$F:$I,2,0)*K4587</f>
        <v/>
      </c>
      <c r="N4587" s="94">
        <f>M4587-M4587*VLOOKUP($Q4587,매칭테이블!$F:$I,3,0)</f>
        <v/>
      </c>
      <c r="O4587" s="94">
        <f>VLOOKUP($Q4587,매칭테이블!$F:$I,4,0)*K4587</f>
        <v/>
      </c>
      <c r="P4587" s="148">
        <f>M4587/1.1</f>
        <v/>
      </c>
      <c r="Q4587" s="94">
        <f>F4587&amp;E4587&amp;G4587&amp;L4587</f>
        <v/>
      </c>
    </row>
    <row r="4588">
      <c r="A4588" s="94" t="n"/>
      <c r="B4588" s="128" t="n">
        <v>43869</v>
      </c>
      <c r="C4588" s="94">
        <f>TEXT(B4588,"aaa")</f>
        <v/>
      </c>
      <c r="D4588" s="94" t="n"/>
      <c r="E4588" s="6" t="inlineStr">
        <is>
          <t>토너</t>
        </is>
      </c>
      <c r="F4588" s="5" t="inlineStr">
        <is>
          <t>카페24</t>
        </is>
      </c>
      <c r="G4588" s="5" t="inlineStr">
        <is>
          <t>250ml 2set</t>
        </is>
      </c>
      <c r="H4588" s="7" t="n">
        <v>190801</v>
      </c>
      <c r="I4588" s="7" t="n">
        <v>190801</v>
      </c>
      <c r="J4588" s="94" t="n"/>
      <c r="K4588" s="149" t="n">
        <v>30</v>
      </c>
      <c r="L4588" s="7" t="n">
        <v>190801</v>
      </c>
      <c r="M4588" s="94">
        <f>VLOOKUP($Q4588,매칭테이블!$F:$I,2,0)*K4588</f>
        <v/>
      </c>
      <c r="N4588" s="94">
        <f>M4588-M4588*VLOOKUP($Q4588,매칭테이블!$F:$I,3,0)</f>
        <v/>
      </c>
      <c r="O4588" s="94">
        <f>VLOOKUP($Q4588,매칭테이블!$F:$I,4,0)*K4588</f>
        <v/>
      </c>
      <c r="P4588" s="148">
        <f>M4588/1.1</f>
        <v/>
      </c>
      <c r="Q4588" s="94">
        <f>F4588&amp;E4588&amp;G4588&amp;L4588</f>
        <v/>
      </c>
    </row>
    <row r="4589">
      <c r="A4589" s="94" t="n"/>
      <c r="B4589" s="128" t="n">
        <v>43869</v>
      </c>
      <c r="C4589" s="94">
        <f>TEXT(B4589,"aaa")</f>
        <v/>
      </c>
      <c r="D4589" s="94" t="n"/>
      <c r="E4589" s="6" t="inlineStr">
        <is>
          <t>토너</t>
        </is>
      </c>
      <c r="F4589" s="5" t="inlineStr">
        <is>
          <t>카페24</t>
        </is>
      </c>
      <c r="G4589" s="5" t="inlineStr">
        <is>
          <t>500ml</t>
        </is>
      </c>
      <c r="H4589" s="7" t="n">
        <v>190801</v>
      </c>
      <c r="I4589" s="7" t="n">
        <v>190801</v>
      </c>
      <c r="J4589" s="94" t="n"/>
      <c r="K4589" s="149" t="n">
        <v>33</v>
      </c>
      <c r="L4589" s="7" t="n">
        <v>190801</v>
      </c>
      <c r="M4589" s="94">
        <f>VLOOKUP($Q4589,매칭테이블!$F:$I,2,0)*K4589</f>
        <v/>
      </c>
      <c r="N4589" s="94">
        <f>M4589-M4589*VLOOKUP($Q4589,매칭테이블!$F:$I,3,0)</f>
        <v/>
      </c>
      <c r="O4589" s="94">
        <f>VLOOKUP($Q4589,매칭테이블!$F:$I,4,0)*K4589</f>
        <v/>
      </c>
      <c r="P4589" s="148">
        <f>M4589/1.1</f>
        <v/>
      </c>
      <c r="Q4589" s="94">
        <f>F4589&amp;E4589&amp;G4589&amp;L4589</f>
        <v/>
      </c>
    </row>
    <row r="4590">
      <c r="A4590" s="94" t="n"/>
      <c r="B4590" s="128" t="n">
        <v>43869</v>
      </c>
      <c r="C4590" s="94">
        <f>TEXT(B4590,"aaa")</f>
        <v/>
      </c>
      <c r="D4590" s="94" t="n"/>
      <c r="E4590" s="6" t="inlineStr">
        <is>
          <t>토너</t>
        </is>
      </c>
      <c r="F4590" s="5" t="inlineStr">
        <is>
          <t>카페24</t>
        </is>
      </c>
      <c r="G4590" s="94" t="inlineStr">
        <is>
          <t>스킨팩 화장솜 60P</t>
        </is>
      </c>
      <c r="H4590" s="7" t="n">
        <v>190801</v>
      </c>
      <c r="I4590" s="7" t="n">
        <v>190801</v>
      </c>
      <c r="J4590" s="94" t="n"/>
      <c r="K4590" s="149" t="n">
        <v>37</v>
      </c>
      <c r="L4590" s="94" t="n">
        <v>190801</v>
      </c>
      <c r="M4590" s="94">
        <f>VLOOKUP($Q4590,매칭테이블!$F:$I,2,0)*K4590</f>
        <v/>
      </c>
      <c r="N4590" s="94">
        <f>M4590-M4590*VLOOKUP($Q4590,매칭테이블!$F:$I,3,0)</f>
        <v/>
      </c>
      <c r="O4590" s="94">
        <f>VLOOKUP($Q4590,매칭테이블!$F:$I,4,0)*K4590</f>
        <v/>
      </c>
      <c r="P4590" s="148">
        <f>M4590/1.1</f>
        <v/>
      </c>
      <c r="Q4590" s="94">
        <f>F4590&amp;E4590&amp;G4590&amp;L4590</f>
        <v/>
      </c>
    </row>
    <row r="4591">
      <c r="A4591" s="94" t="n"/>
      <c r="B4591" s="128" t="n">
        <v>43870</v>
      </c>
      <c r="C4591" s="94">
        <f>TEXT(B4591,"aaa")</f>
        <v/>
      </c>
      <c r="D4591" s="94" t="n"/>
      <c r="E4591" s="94" t="inlineStr">
        <is>
          <t>머드크림마스크</t>
        </is>
      </c>
      <c r="F4591" s="94" t="inlineStr">
        <is>
          <t>카페24</t>
        </is>
      </c>
      <c r="G4591" s="94" t="inlineStr">
        <is>
          <t>머드크림마스크 100ml</t>
        </is>
      </c>
      <c r="H4591" s="7" t="n">
        <v>190801</v>
      </c>
      <c r="I4591" s="7" t="n">
        <v>190801</v>
      </c>
      <c r="J4591" s="94" t="n"/>
      <c r="K4591" s="149" t="n">
        <v>6</v>
      </c>
      <c r="L4591" s="94" t="n">
        <v>190801</v>
      </c>
      <c r="M4591" s="94">
        <f>VLOOKUP($Q4591,매칭테이블!$F:$I,2,0)*K4591</f>
        <v/>
      </c>
      <c r="N4591" s="94">
        <f>M4591-M4591*VLOOKUP($Q4591,매칭테이블!$F:$I,3,0)</f>
        <v/>
      </c>
      <c r="O4591" s="94">
        <f>VLOOKUP($Q4591,매칭테이블!$F:$I,4,0)*K4591</f>
        <v/>
      </c>
      <c r="P4591" s="148">
        <f>M4591/1.1</f>
        <v/>
      </c>
      <c r="Q4591" s="94">
        <f>F4591&amp;E4591&amp;G4591&amp;L4591</f>
        <v/>
      </c>
    </row>
    <row r="4592">
      <c r="A4592" s="94" t="n"/>
      <c r="B4592" s="128" t="n">
        <v>43870</v>
      </c>
      <c r="C4592" s="94">
        <f>TEXT(B4592,"aaa")</f>
        <v/>
      </c>
      <c r="D4592" s="94" t="n"/>
      <c r="E4592" s="94" t="inlineStr">
        <is>
          <t>머드크림마스크</t>
        </is>
      </c>
      <c r="F4592" s="94" t="inlineStr">
        <is>
          <t>카페24</t>
        </is>
      </c>
      <c r="G4592" s="94" t="inlineStr">
        <is>
          <t>머드크림마스크 100ml 2set</t>
        </is>
      </c>
      <c r="H4592" s="7" t="n">
        <v>190801</v>
      </c>
      <c r="I4592" s="7" t="n">
        <v>190801</v>
      </c>
      <c r="J4592" s="94" t="n"/>
      <c r="K4592" s="149" t="n">
        <v>1</v>
      </c>
      <c r="L4592" s="94" t="n">
        <v>190801</v>
      </c>
      <c r="M4592" s="94">
        <f>VLOOKUP($Q4592,매칭테이블!$F:$I,2,0)*K4592</f>
        <v/>
      </c>
      <c r="N4592" s="94">
        <f>M4592-M4592*VLOOKUP($Q4592,매칭테이블!$F:$I,3,0)</f>
        <v/>
      </c>
      <c r="O4592" s="94">
        <f>VLOOKUP($Q4592,매칭테이블!$F:$I,4,0)*K4592</f>
        <v/>
      </c>
      <c r="P4592" s="148">
        <f>M4592/1.1</f>
        <v/>
      </c>
      <c r="Q4592" s="94">
        <f>F4592&amp;E4592&amp;G4592&amp;L4592</f>
        <v/>
      </c>
    </row>
    <row r="4593">
      <c r="A4593" s="94" t="n"/>
      <c r="B4593" s="128" t="n">
        <v>43870</v>
      </c>
      <c r="C4593" s="94">
        <f>TEXT(B4593,"aaa")</f>
        <v/>
      </c>
      <c r="D4593" s="94" t="n"/>
      <c r="E4593" s="6" t="inlineStr">
        <is>
          <t>토너</t>
        </is>
      </c>
      <c r="F4593" s="5" t="inlineStr">
        <is>
          <t>카페24</t>
        </is>
      </c>
      <c r="G4593" s="5" t="inlineStr">
        <is>
          <t>250ml</t>
        </is>
      </c>
      <c r="H4593" s="7" t="n">
        <v>190801</v>
      </c>
      <c r="I4593" s="7" t="n">
        <v>190801</v>
      </c>
      <c r="J4593" s="94" t="n"/>
      <c r="K4593" s="149" t="n">
        <v>52</v>
      </c>
      <c r="L4593" s="7" t="n">
        <v>190801</v>
      </c>
      <c r="M4593" s="94">
        <f>VLOOKUP($Q4593,매칭테이블!$F:$I,2,0)*K4593</f>
        <v/>
      </c>
      <c r="N4593" s="94">
        <f>M4593-M4593*VLOOKUP($Q4593,매칭테이블!$F:$I,3,0)</f>
        <v/>
      </c>
      <c r="O4593" s="94">
        <f>VLOOKUP($Q4593,매칭테이블!$F:$I,4,0)*K4593</f>
        <v/>
      </c>
      <c r="P4593" s="148">
        <f>M4593/1.1</f>
        <v/>
      </c>
      <c r="Q4593" s="94">
        <f>F4593&amp;E4593&amp;G4593&amp;L4593</f>
        <v/>
      </c>
    </row>
    <row r="4594">
      <c r="A4594" s="94" t="n"/>
      <c r="B4594" s="128" t="n">
        <v>43870</v>
      </c>
      <c r="C4594" s="94">
        <f>TEXT(B4594,"aaa")</f>
        <v/>
      </c>
      <c r="D4594" s="94" t="n"/>
      <c r="E4594" s="6" t="inlineStr">
        <is>
          <t>토너</t>
        </is>
      </c>
      <c r="F4594" s="5" t="inlineStr">
        <is>
          <t>카페24</t>
        </is>
      </c>
      <c r="G4594" s="5" t="inlineStr">
        <is>
          <t>250ml 2set</t>
        </is>
      </c>
      <c r="H4594" s="7" t="n">
        <v>190801</v>
      </c>
      <c r="I4594" s="7" t="n">
        <v>190801</v>
      </c>
      <c r="J4594" s="94" t="n"/>
      <c r="K4594" s="149" t="n">
        <v>40</v>
      </c>
      <c r="L4594" s="7" t="n">
        <v>190801</v>
      </c>
      <c r="M4594" s="94">
        <f>VLOOKUP($Q4594,매칭테이블!$F:$I,2,0)*K4594</f>
        <v/>
      </c>
      <c r="N4594" s="94">
        <f>M4594-M4594*VLOOKUP($Q4594,매칭테이블!$F:$I,3,0)</f>
        <v/>
      </c>
      <c r="O4594" s="94">
        <f>VLOOKUP($Q4594,매칭테이블!$F:$I,4,0)*K4594</f>
        <v/>
      </c>
      <c r="P4594" s="148">
        <f>M4594/1.1</f>
        <v/>
      </c>
      <c r="Q4594" s="94">
        <f>F4594&amp;E4594&amp;G4594&amp;L4594</f>
        <v/>
      </c>
    </row>
    <row r="4595">
      <c r="A4595" s="94" t="n"/>
      <c r="B4595" s="128" t="n">
        <v>43870</v>
      </c>
      <c r="C4595" s="94">
        <f>TEXT(B4595,"aaa")</f>
        <v/>
      </c>
      <c r="D4595" s="94" t="n"/>
      <c r="E4595" s="6" t="inlineStr">
        <is>
          <t>토너</t>
        </is>
      </c>
      <c r="F4595" s="5" t="inlineStr">
        <is>
          <t>카페24</t>
        </is>
      </c>
      <c r="G4595" s="5" t="inlineStr">
        <is>
          <t>500ml</t>
        </is>
      </c>
      <c r="H4595" s="7" t="n">
        <v>190801</v>
      </c>
      <c r="I4595" s="7" t="n">
        <v>190801</v>
      </c>
      <c r="J4595" s="94" t="n"/>
      <c r="K4595" s="149" t="n">
        <v>33</v>
      </c>
      <c r="L4595" s="7" t="n">
        <v>190801</v>
      </c>
      <c r="M4595" s="94">
        <f>VLOOKUP($Q4595,매칭테이블!$F:$I,2,0)*K4595</f>
        <v/>
      </c>
      <c r="N4595" s="94">
        <f>M4595-M4595*VLOOKUP($Q4595,매칭테이블!$F:$I,3,0)</f>
        <v/>
      </c>
      <c r="O4595" s="94">
        <f>VLOOKUP($Q4595,매칭테이블!$F:$I,4,0)*K4595</f>
        <v/>
      </c>
      <c r="P4595" s="148">
        <f>M4595/1.1</f>
        <v/>
      </c>
      <c r="Q4595" s="94">
        <f>F4595&amp;E4595&amp;G4595&amp;L4595</f>
        <v/>
      </c>
    </row>
    <row r="4596">
      <c r="A4596" s="94" t="n"/>
      <c r="B4596" s="128" t="n">
        <v>43870</v>
      </c>
      <c r="C4596" s="94">
        <f>TEXT(B4596,"aaa")</f>
        <v/>
      </c>
      <c r="D4596" s="94" t="n"/>
      <c r="E4596" s="6" t="inlineStr">
        <is>
          <t>토너</t>
        </is>
      </c>
      <c r="F4596" s="5" t="inlineStr">
        <is>
          <t>카페24</t>
        </is>
      </c>
      <c r="G4596" s="94" t="inlineStr">
        <is>
          <t>스킨팩 화장솜 60P</t>
        </is>
      </c>
      <c r="H4596" s="7" t="n">
        <v>190801</v>
      </c>
      <c r="I4596" s="7" t="n">
        <v>190801</v>
      </c>
      <c r="J4596" s="94" t="n"/>
      <c r="K4596" s="149" t="n">
        <v>48</v>
      </c>
      <c r="L4596" s="94" t="n">
        <v>190801</v>
      </c>
      <c r="M4596" s="94">
        <f>VLOOKUP($Q4596,매칭테이블!$F:$I,2,0)*K4596</f>
        <v/>
      </c>
      <c r="N4596" s="94">
        <f>M4596-M4596*VLOOKUP($Q4596,매칭테이블!$F:$I,3,0)</f>
        <v/>
      </c>
      <c r="O4596" s="94">
        <f>VLOOKUP($Q4596,매칭테이블!$F:$I,4,0)*K4596</f>
        <v/>
      </c>
      <c r="P4596" s="148">
        <f>M4596/1.1</f>
        <v/>
      </c>
      <c r="Q4596" s="94">
        <f>F4596&amp;E4596&amp;G4596&amp;L4596</f>
        <v/>
      </c>
    </row>
    <row r="4597">
      <c r="A4597" s="94" t="n"/>
      <c r="B4597" s="128" t="n">
        <v>43871</v>
      </c>
      <c r="C4597" s="94">
        <f>TEXT(B4597,"aaa")</f>
        <v/>
      </c>
      <c r="D4597" s="94" t="n"/>
      <c r="E4597" s="6" t="inlineStr">
        <is>
          <t>토너</t>
        </is>
      </c>
      <c r="F4597" s="5" t="inlineStr">
        <is>
          <t>W컨셉</t>
        </is>
      </c>
      <c r="G4597" s="5" t="inlineStr">
        <is>
          <t>250ml</t>
        </is>
      </c>
      <c r="H4597" s="7" t="n">
        <v>190801</v>
      </c>
      <c r="I4597" s="7" t="n">
        <v>190801</v>
      </c>
      <c r="J4597" s="94" t="n"/>
      <c r="K4597" s="149" t="n">
        <v>7</v>
      </c>
      <c r="L4597" s="7" t="n">
        <v>190801</v>
      </c>
      <c r="M4597" s="94">
        <f>VLOOKUP($Q4597,매칭테이블!$F:$I,2,0)*K4597</f>
        <v/>
      </c>
      <c r="N4597" s="94">
        <f>M4597-M4597*VLOOKUP($Q4597,매칭테이블!$F:$I,3,0)</f>
        <v/>
      </c>
      <c r="O4597" s="94">
        <f>VLOOKUP($Q4597,매칭테이블!$F:$I,4,0)*K4597</f>
        <v/>
      </c>
      <c r="P4597" s="148">
        <f>M4597/1.1</f>
        <v/>
      </c>
      <c r="Q4597" s="94">
        <f>F4597&amp;E4597&amp;G4597&amp;L4597</f>
        <v/>
      </c>
    </row>
    <row r="4598">
      <c r="A4598" s="94" t="n"/>
      <c r="B4598" s="128" t="n">
        <v>43871</v>
      </c>
      <c r="C4598" s="94">
        <f>TEXT(B4598,"aaa")</f>
        <v/>
      </c>
      <c r="D4598" s="94" t="n"/>
      <c r="E4598" s="6" t="inlineStr">
        <is>
          <t>토너</t>
        </is>
      </c>
      <c r="F4598" s="5" t="inlineStr">
        <is>
          <t>W컨셉</t>
        </is>
      </c>
      <c r="G4598" s="5" t="inlineStr">
        <is>
          <t>250ml 2set</t>
        </is>
      </c>
      <c r="H4598" s="7" t="n">
        <v>190801</v>
      </c>
      <c r="I4598" s="7" t="n">
        <v>190801</v>
      </c>
      <c r="J4598" s="94" t="n"/>
      <c r="K4598" s="149" t="n">
        <v>27</v>
      </c>
      <c r="L4598" s="7" t="n">
        <v>190801</v>
      </c>
      <c r="M4598" s="94">
        <f>VLOOKUP($Q4598,매칭테이블!$F:$I,2,0)*K4598</f>
        <v/>
      </c>
      <c r="N4598" s="94">
        <f>M4598-M4598*VLOOKUP($Q4598,매칭테이블!$F:$I,3,0)</f>
        <v/>
      </c>
      <c r="O4598" s="94">
        <f>VLOOKUP($Q4598,매칭테이블!$F:$I,4,0)*K4598</f>
        <v/>
      </c>
      <c r="P4598" s="148">
        <f>M4598/1.1</f>
        <v/>
      </c>
      <c r="Q4598" s="94">
        <f>F4598&amp;E4598&amp;G4598&amp;L4598</f>
        <v/>
      </c>
    </row>
    <row r="4599">
      <c r="A4599" s="94" t="n"/>
      <c r="B4599" s="128" t="n">
        <v>43871</v>
      </c>
      <c r="C4599" s="94">
        <f>TEXT(B4599,"aaa")</f>
        <v/>
      </c>
      <c r="D4599" s="94" t="n"/>
      <c r="E4599" s="94" t="inlineStr">
        <is>
          <t>토너</t>
        </is>
      </c>
      <c r="F4599" s="94" t="inlineStr">
        <is>
          <t>아누아 CS</t>
        </is>
      </c>
      <c r="G4599" s="94" t="inlineStr">
        <is>
          <t>250ml</t>
        </is>
      </c>
      <c r="H4599" s="7" t="n">
        <v>190801</v>
      </c>
      <c r="I4599" s="7" t="n">
        <v>190801</v>
      </c>
      <c r="J4599" s="94" t="n"/>
      <c r="K4599" s="149" t="n">
        <v>85</v>
      </c>
      <c r="L4599" s="92" t="n">
        <v>190801</v>
      </c>
      <c r="M4599" s="94">
        <f>VLOOKUP($Q4599,매칭테이블!$F:$I,2,0)*K4599</f>
        <v/>
      </c>
      <c r="N4599" s="94">
        <f>M4599-M4599*VLOOKUP($Q4599,매칭테이블!$F:$I,3,0)</f>
        <v/>
      </c>
      <c r="O4599" s="94">
        <f>VLOOKUP($Q4599,매칭테이블!$F:$I,4,0)*K4599</f>
        <v/>
      </c>
      <c r="P4599" s="148">
        <f>M4599/1.1</f>
        <v/>
      </c>
      <c r="Q4599" s="94">
        <f>F4599&amp;E4599&amp;G4599&amp;L4599</f>
        <v/>
      </c>
    </row>
    <row r="4600">
      <c r="A4600" s="94" t="n"/>
      <c r="B4600" s="128" t="n">
        <v>43871</v>
      </c>
      <c r="C4600" s="94">
        <f>TEXT(B4600,"aaa")</f>
        <v/>
      </c>
      <c r="D4600" s="94" t="n"/>
      <c r="E4600" s="6" t="inlineStr">
        <is>
          <t>토너</t>
        </is>
      </c>
      <c r="F4600" s="94" t="inlineStr">
        <is>
          <t>아누아 CS</t>
        </is>
      </c>
      <c r="G4600" s="5" t="inlineStr">
        <is>
          <t>500ml</t>
        </is>
      </c>
      <c r="H4600" s="7" t="n">
        <v>190801</v>
      </c>
      <c r="I4600" s="7" t="n">
        <v>190801</v>
      </c>
      <c r="J4600" s="94" t="n"/>
      <c r="K4600" s="149" t="n">
        <v>2</v>
      </c>
      <c r="L4600" s="7" t="n">
        <v>190801</v>
      </c>
      <c r="M4600" s="94">
        <f>VLOOKUP($Q4600,매칭테이블!$F:$I,2,0)*K4600</f>
        <v/>
      </c>
      <c r="N4600" s="94">
        <f>M4600-M4600*VLOOKUP($Q4600,매칭테이블!$F:$I,3,0)</f>
        <v/>
      </c>
      <c r="O4600" s="94">
        <f>VLOOKUP($Q4600,매칭테이블!$F:$I,4,0)*K4600</f>
        <v/>
      </c>
      <c r="P4600" s="148">
        <f>M4600/1.1</f>
        <v/>
      </c>
      <c r="Q4600" s="94">
        <f>F4600&amp;E4600&amp;G4600&amp;L4600</f>
        <v/>
      </c>
    </row>
    <row r="4601" customFormat="1" s="94">
      <c r="B4601" s="128" t="n">
        <v>43871</v>
      </c>
      <c r="C4601" s="94">
        <f>TEXT(B4601,"aaa")</f>
        <v/>
      </c>
      <c r="E4601" s="94" t="inlineStr">
        <is>
          <t>머드크림마스크</t>
        </is>
      </c>
      <c r="F4601" s="94" t="inlineStr">
        <is>
          <t>아누아 CS</t>
        </is>
      </c>
      <c r="G4601" s="94" t="inlineStr">
        <is>
          <t>머드크림마스크 100ml</t>
        </is>
      </c>
      <c r="H4601" s="7" t="n">
        <v>190801</v>
      </c>
      <c r="I4601" s="7" t="n">
        <v>190801</v>
      </c>
      <c r="K4601" s="149" t="n">
        <v>81</v>
      </c>
      <c r="L4601" s="7" t="n">
        <v>190801</v>
      </c>
      <c r="M4601" s="94">
        <f>VLOOKUP($Q4601,매칭테이블!$F:$I,2,0)*K4601</f>
        <v/>
      </c>
      <c r="N4601" s="94">
        <f>M4601-M4601*VLOOKUP($Q4601,매칭테이블!$F:$I,3,0)</f>
        <v/>
      </c>
      <c r="O4601" s="94">
        <f>VLOOKUP($Q4601,매칭테이블!$F:$I,4,0)*K4601</f>
        <v/>
      </c>
      <c r="P4601" s="148">
        <f>M4601/1.1</f>
        <v/>
      </c>
      <c r="Q4601" s="94">
        <f>F4601&amp;E4601&amp;G4601&amp;L4601</f>
        <v/>
      </c>
    </row>
    <row r="4602">
      <c r="A4602" s="94" t="n"/>
      <c r="B4602" s="128" t="n">
        <v>43871</v>
      </c>
      <c r="C4602" s="94">
        <f>TEXT(B4602,"aaa")</f>
        <v/>
      </c>
      <c r="D4602" s="94" t="n"/>
      <c r="E4602" s="94" t="inlineStr">
        <is>
          <t>클렌징폼</t>
        </is>
      </c>
      <c r="F4602" s="94" t="inlineStr">
        <is>
          <t>아누아 CS</t>
        </is>
      </c>
      <c r="G4602" s="94" t="inlineStr">
        <is>
          <t>클렌징폼 120ml</t>
        </is>
      </c>
      <c r="H4602" s="7" t="n">
        <v>190801</v>
      </c>
      <c r="I4602" s="7" t="n">
        <v>190801</v>
      </c>
      <c r="J4602" s="94" t="n"/>
      <c r="K4602" s="149" t="n">
        <v>60</v>
      </c>
      <c r="L4602" s="7" t="n">
        <v>190801</v>
      </c>
      <c r="M4602" s="94">
        <f>VLOOKUP($Q4602,매칭테이블!$F:$I,2,0)*K4602</f>
        <v/>
      </c>
      <c r="N4602" s="94">
        <f>M4602-M4602*VLOOKUP($Q4602,매칭테이블!$F:$I,3,0)</f>
        <v/>
      </c>
      <c r="O4602" s="94">
        <f>VLOOKUP($Q4602,매칭테이블!$F:$I,4,0)*K4602</f>
        <v/>
      </c>
      <c r="P4602" s="148">
        <f>M4602/1.1</f>
        <v/>
      </c>
      <c r="Q4602" s="94">
        <f>F4602&amp;E4602&amp;G4602&amp;L4602</f>
        <v/>
      </c>
    </row>
    <row r="4603">
      <c r="A4603" s="94" t="n"/>
      <c r="B4603" s="128" t="n">
        <v>43871</v>
      </c>
      <c r="C4603" s="94">
        <f>TEXT(B4603,"aaa")</f>
        <v/>
      </c>
      <c r="D4603" s="94" t="n"/>
      <c r="E4603" s="94" t="inlineStr">
        <is>
          <t>머드크림마스크</t>
        </is>
      </c>
      <c r="F4603" s="94" t="inlineStr">
        <is>
          <t>카페24</t>
        </is>
      </c>
      <c r="G4603" s="94" t="inlineStr">
        <is>
          <t>머드크림마스크 100ml</t>
        </is>
      </c>
      <c r="H4603" s="7" t="n">
        <v>190801</v>
      </c>
      <c r="I4603" s="7" t="n">
        <v>190801</v>
      </c>
      <c r="J4603" s="94" t="n"/>
      <c r="K4603" s="149" t="n">
        <v>12</v>
      </c>
      <c r="L4603" s="94" t="n">
        <v>190801</v>
      </c>
      <c r="M4603" s="94">
        <f>VLOOKUP($Q4603,매칭테이블!$F:$I,2,0)*K4603</f>
        <v/>
      </c>
      <c r="N4603" s="94">
        <f>M4603-M4603*VLOOKUP($Q4603,매칭테이블!$F:$I,3,0)</f>
        <v/>
      </c>
      <c r="O4603" s="94">
        <f>VLOOKUP($Q4603,매칭테이블!$F:$I,4,0)*K4603</f>
        <v/>
      </c>
      <c r="P4603" s="148">
        <f>M4603/1.1</f>
        <v/>
      </c>
      <c r="Q4603" s="94">
        <f>F4603&amp;E4603&amp;G4603&amp;L4603</f>
        <v/>
      </c>
    </row>
    <row r="4604">
      <c r="A4604" s="94" t="n"/>
      <c r="B4604" s="128" t="n">
        <v>43871</v>
      </c>
      <c r="C4604" s="94">
        <f>TEXT(B4604,"aaa")</f>
        <v/>
      </c>
      <c r="D4604" s="94" t="n"/>
      <c r="E4604" s="6" t="inlineStr">
        <is>
          <t>토너</t>
        </is>
      </c>
      <c r="F4604" s="5" t="inlineStr">
        <is>
          <t>카페24</t>
        </is>
      </c>
      <c r="G4604" s="5" t="inlineStr">
        <is>
          <t>250ml</t>
        </is>
      </c>
      <c r="H4604" s="7" t="n">
        <v>190801</v>
      </c>
      <c r="I4604" s="7" t="n">
        <v>190801</v>
      </c>
      <c r="J4604" s="94" t="n"/>
      <c r="K4604" s="149" t="n">
        <v>94</v>
      </c>
      <c r="L4604" s="7" t="n">
        <v>190801</v>
      </c>
      <c r="M4604" s="94">
        <f>VLOOKUP($Q4604,매칭테이블!$F:$I,2,0)*K4604</f>
        <v/>
      </c>
      <c r="N4604" s="94">
        <f>M4604-M4604*VLOOKUP($Q4604,매칭테이블!$F:$I,3,0)</f>
        <v/>
      </c>
      <c r="O4604" s="94">
        <f>VLOOKUP($Q4604,매칭테이블!$F:$I,4,0)*K4604</f>
        <v/>
      </c>
      <c r="P4604" s="148">
        <f>M4604/1.1</f>
        <v/>
      </c>
      <c r="Q4604" s="94">
        <f>F4604&amp;E4604&amp;G4604&amp;L4604</f>
        <v/>
      </c>
    </row>
    <row r="4605">
      <c r="A4605" s="94" t="n"/>
      <c r="B4605" s="128" t="n">
        <v>43871</v>
      </c>
      <c r="C4605" s="94">
        <f>TEXT(B4605,"aaa")</f>
        <v/>
      </c>
      <c r="D4605" s="94" t="n"/>
      <c r="E4605" s="6" t="inlineStr">
        <is>
          <t>토너</t>
        </is>
      </c>
      <c r="F4605" s="5" t="inlineStr">
        <is>
          <t>카페24</t>
        </is>
      </c>
      <c r="G4605" s="5" t="inlineStr">
        <is>
          <t>250ml 2set</t>
        </is>
      </c>
      <c r="H4605" s="7" t="n">
        <v>190801</v>
      </c>
      <c r="I4605" s="7" t="n">
        <v>190801</v>
      </c>
      <c r="J4605" s="94" t="n"/>
      <c r="K4605" s="149" t="n">
        <v>172</v>
      </c>
      <c r="L4605" s="7" t="n">
        <v>190801</v>
      </c>
      <c r="M4605" s="94">
        <f>VLOOKUP($Q4605,매칭테이블!$F:$I,2,0)*K4605</f>
        <v/>
      </c>
      <c r="N4605" s="94">
        <f>M4605-M4605*VLOOKUP($Q4605,매칭테이블!$F:$I,3,0)</f>
        <v/>
      </c>
      <c r="O4605" s="94">
        <f>VLOOKUP($Q4605,매칭테이블!$F:$I,4,0)*K4605</f>
        <v/>
      </c>
      <c r="P4605" s="148">
        <f>M4605/1.1</f>
        <v/>
      </c>
      <c r="Q4605" s="94">
        <f>F4605&amp;E4605&amp;G4605&amp;L4605</f>
        <v/>
      </c>
    </row>
    <row r="4606">
      <c r="A4606" s="94" t="n"/>
      <c r="B4606" s="128" t="n">
        <v>43871</v>
      </c>
      <c r="C4606" s="94">
        <f>TEXT(B4606,"aaa")</f>
        <v/>
      </c>
      <c r="D4606" s="94" t="n"/>
      <c r="E4606" s="6" t="inlineStr">
        <is>
          <t>토너</t>
        </is>
      </c>
      <c r="F4606" s="5" t="inlineStr">
        <is>
          <t>카페24</t>
        </is>
      </c>
      <c r="G4606" s="5" t="inlineStr">
        <is>
          <t>500ml</t>
        </is>
      </c>
      <c r="H4606" s="7" t="n">
        <v>190801</v>
      </c>
      <c r="I4606" s="7" t="n">
        <v>190801</v>
      </c>
      <c r="J4606" s="94" t="n"/>
      <c r="K4606" s="149" t="n">
        <v>53</v>
      </c>
      <c r="L4606" s="7" t="n">
        <v>190801</v>
      </c>
      <c r="M4606" s="94">
        <f>VLOOKUP($Q4606,매칭테이블!$F:$I,2,0)*K4606</f>
        <v/>
      </c>
      <c r="N4606" s="94">
        <f>M4606-M4606*VLOOKUP($Q4606,매칭테이블!$F:$I,3,0)</f>
        <v/>
      </c>
      <c r="O4606" s="94">
        <f>VLOOKUP($Q4606,매칭테이블!$F:$I,4,0)*K4606</f>
        <v/>
      </c>
      <c r="P4606" s="148">
        <f>M4606/1.1</f>
        <v/>
      </c>
      <c r="Q4606" s="94">
        <f>F4606&amp;E4606&amp;G4606&amp;L4606</f>
        <v/>
      </c>
    </row>
    <row r="4607">
      <c r="A4607" s="94" t="n"/>
      <c r="B4607" s="128" t="n">
        <v>43871</v>
      </c>
      <c r="C4607" s="94">
        <f>TEXT(B4607,"aaa")</f>
        <v/>
      </c>
      <c r="D4607" s="94" t="n"/>
      <c r="E4607" s="6" t="inlineStr">
        <is>
          <t>토너</t>
        </is>
      </c>
      <c r="F4607" s="5" t="inlineStr">
        <is>
          <t>카페24</t>
        </is>
      </c>
      <c r="G4607" s="94" t="inlineStr">
        <is>
          <t>스킨팩 화장솜 60P</t>
        </is>
      </c>
      <c r="H4607" s="7" t="n">
        <v>190801</v>
      </c>
      <c r="I4607" s="7" t="n">
        <v>190801</v>
      </c>
      <c r="J4607" s="94" t="n"/>
      <c r="K4607" s="149" t="n">
        <v>85</v>
      </c>
      <c r="L4607" s="94" t="n">
        <v>190801</v>
      </c>
      <c r="M4607" s="94">
        <f>VLOOKUP($Q4607,매칭테이블!$F:$I,2,0)*K4607</f>
        <v/>
      </c>
      <c r="N4607" s="94">
        <f>M4607-M4607*VLOOKUP($Q4607,매칭테이블!$F:$I,3,0)</f>
        <v/>
      </c>
      <c r="O4607" s="94">
        <f>VLOOKUP($Q4607,매칭테이블!$F:$I,4,0)*K4607</f>
        <v/>
      </c>
      <c r="P4607" s="148">
        <f>M4607/1.1</f>
        <v/>
      </c>
      <c r="Q4607" s="94">
        <f>F4607&amp;E4607&amp;G4607&amp;L4607</f>
        <v/>
      </c>
    </row>
    <row r="4608">
      <c r="A4608" s="94" t="n"/>
      <c r="B4608" s="128" t="n">
        <v>43871</v>
      </c>
      <c r="C4608" s="94">
        <f>TEXT(B4608,"aaa")</f>
        <v/>
      </c>
      <c r="D4608" s="94" t="n"/>
      <c r="E4608" s="94" t="inlineStr">
        <is>
          <t>토너</t>
        </is>
      </c>
      <c r="F4608" s="94" t="inlineStr">
        <is>
          <t>큐텐</t>
        </is>
      </c>
      <c r="G4608" s="94" t="inlineStr">
        <is>
          <t>250ml</t>
        </is>
      </c>
      <c r="H4608" s="7" t="n">
        <v>190801</v>
      </c>
      <c r="I4608" s="7" t="n">
        <v>190801</v>
      </c>
      <c r="J4608" s="94" t="n"/>
      <c r="K4608" s="149" t="n">
        <v>31</v>
      </c>
      <c r="L4608" s="92" t="n">
        <v>190801</v>
      </c>
      <c r="M4608" s="94">
        <f>VLOOKUP($Q4608,매칭테이블!$F:$I,2,0)*K4608</f>
        <v/>
      </c>
      <c r="N4608" s="94">
        <f>M4608-M4608*VLOOKUP($Q4608,매칭테이블!$F:$I,3,0)</f>
        <v/>
      </c>
      <c r="O4608" s="94">
        <f>VLOOKUP($Q4608,매칭테이블!$F:$I,4,0)*K4608</f>
        <v/>
      </c>
      <c r="P4608" s="148">
        <f>M4608/1.1</f>
        <v/>
      </c>
      <c r="Q4608" s="94">
        <f>F4608&amp;E4608&amp;G4608&amp;L4608</f>
        <v/>
      </c>
    </row>
    <row r="4609">
      <c r="A4609" s="94" t="n"/>
      <c r="B4609" s="128" t="n">
        <v>43871</v>
      </c>
      <c r="C4609" s="94">
        <f>TEXT(B4609,"aaa")</f>
        <v/>
      </c>
      <c r="D4609" s="94" t="n"/>
      <c r="E4609" s="94" t="inlineStr">
        <is>
          <t>토너</t>
        </is>
      </c>
      <c r="F4609" s="94" t="inlineStr">
        <is>
          <t>큐텐</t>
        </is>
      </c>
      <c r="G4609" s="94" t="inlineStr">
        <is>
          <t>250ml 2set</t>
        </is>
      </c>
      <c r="H4609" s="7" t="n">
        <v>190801</v>
      </c>
      <c r="I4609" s="7" t="n">
        <v>190801</v>
      </c>
      <c r="J4609" s="94" t="n"/>
      <c r="K4609" s="149" t="n">
        <v>14</v>
      </c>
      <c r="L4609" s="92" t="n">
        <v>190801</v>
      </c>
      <c r="M4609" s="94">
        <f>VLOOKUP($Q4609,매칭테이블!$F:$I,2,0)*K4609</f>
        <v/>
      </c>
      <c r="N4609" s="94">
        <f>M4609-M4609*VLOOKUP($Q4609,매칭테이블!$F:$I,3,0)</f>
        <v/>
      </c>
      <c r="O4609" s="94">
        <f>VLOOKUP($Q4609,매칭테이블!$F:$I,4,0)*K4609</f>
        <v/>
      </c>
      <c r="P4609" s="148">
        <f>M4609/1.1</f>
        <v/>
      </c>
      <c r="Q4609" s="94">
        <f>F4609&amp;E4609&amp;G4609&amp;L4609</f>
        <v/>
      </c>
    </row>
    <row r="4610">
      <c r="A4610" s="94" t="n"/>
      <c r="B4610" s="128" t="n">
        <v>43872</v>
      </c>
      <c r="C4610" s="94">
        <f>TEXT(B4610,"aaa")</f>
        <v/>
      </c>
      <c r="D4610" s="94" t="n"/>
      <c r="E4610" s="6" t="inlineStr">
        <is>
          <t>토너</t>
        </is>
      </c>
      <c r="F4610" s="5" t="inlineStr">
        <is>
          <t>W컨셉</t>
        </is>
      </c>
      <c r="G4610" s="5" t="inlineStr">
        <is>
          <t>250ml</t>
        </is>
      </c>
      <c r="H4610" s="7" t="n">
        <v>190801</v>
      </c>
      <c r="I4610" s="7" t="n">
        <v>190801</v>
      </c>
      <c r="J4610" s="94" t="n"/>
      <c r="K4610" s="149" t="n">
        <v>6</v>
      </c>
      <c r="L4610" s="7" t="n">
        <v>190801</v>
      </c>
      <c r="M4610" s="94">
        <f>VLOOKUP($Q4610,매칭테이블!$F:$I,2,0)*K4610</f>
        <v/>
      </c>
      <c r="N4610" s="94">
        <f>M4610-M4610*VLOOKUP($Q4610,매칭테이블!$F:$I,3,0)</f>
        <v/>
      </c>
      <c r="O4610" s="94">
        <f>VLOOKUP($Q4610,매칭테이블!$F:$I,4,0)*K4610</f>
        <v/>
      </c>
      <c r="P4610" s="148">
        <f>M4610/1.1</f>
        <v/>
      </c>
      <c r="Q4610" s="94">
        <f>F4610&amp;E4610&amp;G4610&amp;L4610</f>
        <v/>
      </c>
    </row>
    <row r="4611">
      <c r="A4611" s="94" t="n"/>
      <c r="B4611" s="128" t="n">
        <v>43872</v>
      </c>
      <c r="C4611" s="94">
        <f>TEXT(B4611,"aaa")</f>
        <v/>
      </c>
      <c r="D4611" s="94" t="n"/>
      <c r="E4611" s="6" t="inlineStr">
        <is>
          <t>토너</t>
        </is>
      </c>
      <c r="F4611" s="5" t="inlineStr">
        <is>
          <t>W컨셉</t>
        </is>
      </c>
      <c r="G4611" s="5" t="inlineStr">
        <is>
          <t>250ml 2set</t>
        </is>
      </c>
      <c r="H4611" s="7" t="n">
        <v>190801</v>
      </c>
      <c r="I4611" s="7" t="n">
        <v>190801</v>
      </c>
      <c r="J4611" s="94" t="n"/>
      <c r="K4611" s="149" t="n">
        <v>15</v>
      </c>
      <c r="L4611" s="7" t="n">
        <v>190801</v>
      </c>
      <c r="M4611" s="94">
        <f>VLOOKUP($Q4611,매칭테이블!$F:$I,2,0)*K4611</f>
        <v/>
      </c>
      <c r="N4611" s="94">
        <f>M4611-M4611*VLOOKUP($Q4611,매칭테이블!$F:$I,3,0)</f>
        <v/>
      </c>
      <c r="O4611" s="94">
        <f>VLOOKUP($Q4611,매칭테이블!$F:$I,4,0)*K4611</f>
        <v/>
      </c>
      <c r="P4611" s="148">
        <f>M4611/1.1</f>
        <v/>
      </c>
      <c r="Q4611" s="94">
        <f>F4611&amp;E4611&amp;G4611&amp;L4611</f>
        <v/>
      </c>
    </row>
    <row r="4612">
      <c r="A4612" s="94" t="n"/>
      <c r="B4612" s="128" t="n">
        <v>43872</v>
      </c>
      <c r="C4612" s="94">
        <f>TEXT(B4612,"aaa")</f>
        <v/>
      </c>
      <c r="D4612" s="94" t="n"/>
      <c r="E4612" s="94" t="inlineStr">
        <is>
          <t>토너</t>
        </is>
      </c>
      <c r="F4612" s="94" t="inlineStr">
        <is>
          <t>아누아 CS</t>
        </is>
      </c>
      <c r="G4612" s="94" t="inlineStr">
        <is>
          <t>250ml</t>
        </is>
      </c>
      <c r="H4612" s="7" t="n">
        <v>190801</v>
      </c>
      <c r="I4612" s="7" t="n">
        <v>190801</v>
      </c>
      <c r="J4612" s="94" t="n"/>
      <c r="K4612" s="149" t="n">
        <v>7</v>
      </c>
      <c r="L4612" s="92" t="n">
        <v>190801</v>
      </c>
      <c r="M4612" s="94">
        <f>VLOOKUP($Q4612,매칭테이블!$F:$I,2,0)*K4612</f>
        <v/>
      </c>
      <c r="N4612" s="94">
        <f>M4612-M4612*VLOOKUP($Q4612,매칭테이블!$F:$I,3,0)</f>
        <v/>
      </c>
      <c r="O4612" s="94">
        <f>VLOOKUP($Q4612,매칭테이블!$F:$I,4,0)*K4612</f>
        <v/>
      </c>
      <c r="P4612" s="148">
        <f>M4612/1.1</f>
        <v/>
      </c>
      <c r="Q4612" s="94">
        <f>F4612&amp;E4612&amp;G4612&amp;L4612</f>
        <v/>
      </c>
    </row>
    <row r="4613">
      <c r="A4613" s="94" t="n"/>
      <c r="B4613" s="128" t="n">
        <v>43872</v>
      </c>
      <c r="C4613" s="94">
        <f>TEXT(B4613,"aaa")</f>
        <v/>
      </c>
      <c r="D4613" s="94" t="n"/>
      <c r="E4613" s="94" t="inlineStr">
        <is>
          <t>머드크림마스크</t>
        </is>
      </c>
      <c r="F4613" s="94" t="inlineStr">
        <is>
          <t>아누아 CS</t>
        </is>
      </c>
      <c r="G4613" s="94" t="inlineStr">
        <is>
          <t>머드크림마스크 100ml</t>
        </is>
      </c>
      <c r="H4613" s="7" t="n">
        <v>190801</v>
      </c>
      <c r="I4613" s="7" t="n">
        <v>190801</v>
      </c>
      <c r="J4613" s="94" t="n"/>
      <c r="K4613" s="149" t="n">
        <v>1</v>
      </c>
      <c r="L4613" s="7" t="n">
        <v>190801</v>
      </c>
      <c r="M4613" s="94">
        <f>VLOOKUP($Q4613,매칭테이블!$F:$I,2,0)*K4613</f>
        <v/>
      </c>
      <c r="N4613" s="94">
        <f>M4613-M4613*VLOOKUP($Q4613,매칭테이블!$F:$I,3,0)</f>
        <v/>
      </c>
      <c r="O4613" s="94">
        <f>VLOOKUP($Q4613,매칭테이블!$F:$I,4,0)*K4613</f>
        <v/>
      </c>
      <c r="P4613" s="148">
        <f>M4613/1.1</f>
        <v/>
      </c>
      <c r="Q4613" s="94">
        <f>F4613&amp;E4613&amp;G4613&amp;L4613</f>
        <v/>
      </c>
    </row>
    <row r="4614">
      <c r="A4614" s="94" t="n"/>
      <c r="B4614" s="128" t="n">
        <v>43872</v>
      </c>
      <c r="C4614" s="94">
        <f>TEXT(B4614,"aaa")</f>
        <v/>
      </c>
      <c r="D4614" s="94" t="n"/>
      <c r="E4614" s="94" t="inlineStr">
        <is>
          <t>클렌징폼</t>
        </is>
      </c>
      <c r="F4614" s="94" t="inlineStr">
        <is>
          <t>아누아 CS</t>
        </is>
      </c>
      <c r="G4614" s="94" t="inlineStr">
        <is>
          <t>클렌징폼 120ml</t>
        </is>
      </c>
      <c r="H4614" s="7" t="n">
        <v>190801</v>
      </c>
      <c r="I4614" s="7" t="n">
        <v>190801</v>
      </c>
      <c r="J4614" s="94" t="n"/>
      <c r="K4614" s="149" t="n">
        <v>1</v>
      </c>
      <c r="L4614" s="7" t="n">
        <v>190801</v>
      </c>
      <c r="M4614" s="94">
        <f>VLOOKUP($Q4614,매칭테이블!$F:$I,2,0)*K4614</f>
        <v/>
      </c>
      <c r="N4614" s="94">
        <f>M4614-M4614*VLOOKUP($Q4614,매칭테이블!$F:$I,3,0)</f>
        <v/>
      </c>
      <c r="O4614" s="94">
        <f>VLOOKUP($Q4614,매칭테이블!$F:$I,4,0)*K4614</f>
        <v/>
      </c>
      <c r="P4614" s="148">
        <f>M4614/1.1</f>
        <v/>
      </c>
      <c r="Q4614" s="94">
        <f>F4614&amp;E4614&amp;G4614&amp;L4614</f>
        <v/>
      </c>
    </row>
    <row r="4615">
      <c r="A4615" s="94" t="n"/>
      <c r="B4615" s="128" t="n">
        <v>43872</v>
      </c>
      <c r="C4615" s="94">
        <f>TEXT(B4615,"aaa")</f>
        <v/>
      </c>
      <c r="D4615" s="94" t="n"/>
      <c r="E4615" s="94" t="inlineStr">
        <is>
          <t>화장솜</t>
        </is>
      </c>
      <c r="F4615" s="94" t="inlineStr">
        <is>
          <t>카페24</t>
        </is>
      </c>
      <c r="G4615" s="94" t="inlineStr">
        <is>
          <t>스킨팩 화장솜 60P</t>
        </is>
      </c>
      <c r="H4615" s="7" t="n">
        <v>190801</v>
      </c>
      <c r="I4615" s="7" t="n">
        <v>190801</v>
      </c>
      <c r="J4615" s="94" t="n"/>
      <c r="K4615" s="149" t="n">
        <v>5</v>
      </c>
      <c r="L4615" s="94" t="n">
        <v>190801</v>
      </c>
      <c r="M4615" s="94">
        <f>VLOOKUP($Q4615,매칭테이블!$F:$I,2,0)*K4615</f>
        <v/>
      </c>
      <c r="N4615" s="94">
        <f>M4615-M4615*VLOOKUP($Q4615,매칭테이블!$F:$I,3,0)</f>
        <v/>
      </c>
      <c r="O4615" s="94">
        <f>VLOOKUP($Q4615,매칭테이블!$F:$I,4,0)*K4615</f>
        <v/>
      </c>
      <c r="P4615" s="148">
        <f>M4615/1.1</f>
        <v/>
      </c>
      <c r="Q4615" s="94">
        <f>F4615&amp;E4615&amp;G4615&amp;L4615</f>
        <v/>
      </c>
    </row>
    <row r="4616">
      <c r="A4616" s="94" t="n"/>
      <c r="B4616" s="128" t="n">
        <v>43872</v>
      </c>
      <c r="C4616" s="94">
        <f>TEXT(B4616,"aaa")</f>
        <v/>
      </c>
      <c r="D4616" s="94" t="n"/>
      <c r="E4616" s="94" t="inlineStr">
        <is>
          <t>머드크림마스크</t>
        </is>
      </c>
      <c r="F4616" s="94" t="inlineStr">
        <is>
          <t>카페24</t>
        </is>
      </c>
      <c r="G4616" s="94" t="inlineStr">
        <is>
          <t>머드크림마스크 100ml</t>
        </is>
      </c>
      <c r="H4616" s="7" t="n">
        <v>190801</v>
      </c>
      <c r="I4616" s="7" t="n">
        <v>190801</v>
      </c>
      <c r="J4616" s="94" t="n"/>
      <c r="K4616" s="149" t="n">
        <v>17</v>
      </c>
      <c r="L4616" s="94" t="n">
        <v>190801</v>
      </c>
      <c r="M4616" s="94">
        <f>VLOOKUP($Q4616,매칭테이블!$F:$I,2,0)*K4616</f>
        <v/>
      </c>
      <c r="N4616" s="94">
        <f>M4616-M4616*VLOOKUP($Q4616,매칭테이블!$F:$I,3,0)</f>
        <v/>
      </c>
      <c r="O4616" s="94">
        <f>VLOOKUP($Q4616,매칭테이블!$F:$I,4,0)*K4616</f>
        <v/>
      </c>
      <c r="P4616" s="148">
        <f>M4616/1.1</f>
        <v/>
      </c>
      <c r="Q4616" s="94">
        <f>F4616&amp;E4616&amp;G4616&amp;L4616</f>
        <v/>
      </c>
    </row>
    <row r="4617">
      <c r="A4617" s="94" t="n"/>
      <c r="B4617" s="128" t="n">
        <v>43872</v>
      </c>
      <c r="C4617" s="94">
        <f>TEXT(B4617,"aaa")</f>
        <v/>
      </c>
      <c r="D4617" s="94" t="n"/>
      <c r="E4617" s="94" t="inlineStr">
        <is>
          <t>머드크림마스크</t>
        </is>
      </c>
      <c r="F4617" s="94" t="inlineStr">
        <is>
          <t>카페24</t>
        </is>
      </c>
      <c r="G4617" s="94" t="inlineStr">
        <is>
          <t>머드크림마스크 100ml 2set</t>
        </is>
      </c>
      <c r="H4617" s="7" t="n">
        <v>190801</v>
      </c>
      <c r="I4617" s="7" t="n">
        <v>190801</v>
      </c>
      <c r="J4617" s="94" t="n"/>
      <c r="K4617" s="149" t="n">
        <v>4</v>
      </c>
      <c r="L4617" s="94" t="n">
        <v>190801</v>
      </c>
      <c r="M4617" s="94">
        <f>VLOOKUP($Q4617,매칭테이블!$F:$I,2,0)*K4617</f>
        <v/>
      </c>
      <c r="N4617" s="94">
        <f>M4617-M4617*VLOOKUP($Q4617,매칭테이블!$F:$I,3,0)</f>
        <v/>
      </c>
      <c r="O4617" s="94">
        <f>VLOOKUP($Q4617,매칭테이블!$F:$I,4,0)*K4617</f>
        <v/>
      </c>
      <c r="P4617" s="148">
        <f>M4617/1.1</f>
        <v/>
      </c>
      <c r="Q4617" s="94">
        <f>F4617&amp;E4617&amp;G4617&amp;L4617</f>
        <v/>
      </c>
    </row>
    <row r="4618">
      <c r="A4618" s="94" t="n"/>
      <c r="B4618" s="128" t="n">
        <v>43872</v>
      </c>
      <c r="C4618" s="94">
        <f>TEXT(B4618,"aaa")</f>
        <v/>
      </c>
      <c r="D4618" s="94" t="n"/>
      <c r="E4618" s="6" t="inlineStr">
        <is>
          <t>토너</t>
        </is>
      </c>
      <c r="F4618" s="5" t="inlineStr">
        <is>
          <t>카페24</t>
        </is>
      </c>
      <c r="G4618" s="5" t="inlineStr">
        <is>
          <t>250ml</t>
        </is>
      </c>
      <c r="H4618" s="7" t="n">
        <v>190801</v>
      </c>
      <c r="I4618" s="7" t="n">
        <v>190801</v>
      </c>
      <c r="J4618" s="94" t="n"/>
      <c r="K4618" s="149" t="n">
        <v>109</v>
      </c>
      <c r="L4618" s="7" t="n">
        <v>190801</v>
      </c>
      <c r="M4618" s="94">
        <f>VLOOKUP($Q4618,매칭테이블!$F:$I,2,0)*K4618</f>
        <v/>
      </c>
      <c r="N4618" s="94">
        <f>M4618-M4618*VLOOKUP($Q4618,매칭테이블!$F:$I,3,0)</f>
        <v/>
      </c>
      <c r="O4618" s="94">
        <f>VLOOKUP($Q4618,매칭테이블!$F:$I,4,0)*K4618</f>
        <v/>
      </c>
      <c r="P4618" s="148">
        <f>M4618/1.1</f>
        <v/>
      </c>
      <c r="Q4618" s="94">
        <f>F4618&amp;E4618&amp;G4618&amp;L4618</f>
        <v/>
      </c>
    </row>
    <row r="4619">
      <c r="A4619" s="94" t="n"/>
      <c r="B4619" s="128" t="n">
        <v>43872</v>
      </c>
      <c r="C4619" s="94">
        <f>TEXT(B4619,"aaa")</f>
        <v/>
      </c>
      <c r="D4619" s="94" t="n"/>
      <c r="E4619" s="6" t="inlineStr">
        <is>
          <t>토너</t>
        </is>
      </c>
      <c r="F4619" s="5" t="inlineStr">
        <is>
          <t>카페24</t>
        </is>
      </c>
      <c r="G4619" s="5" t="inlineStr">
        <is>
          <t>250ml 2set</t>
        </is>
      </c>
      <c r="H4619" s="7" t="n">
        <v>190801</v>
      </c>
      <c r="I4619" s="7" t="n">
        <v>190801</v>
      </c>
      <c r="J4619" s="94" t="n"/>
      <c r="K4619" s="149" t="n">
        <v>104</v>
      </c>
      <c r="L4619" s="7" t="n">
        <v>190801</v>
      </c>
      <c r="M4619" s="94">
        <f>VLOOKUP($Q4619,매칭테이블!$F:$I,2,0)*K4619</f>
        <v/>
      </c>
      <c r="N4619" s="94">
        <f>M4619-M4619*VLOOKUP($Q4619,매칭테이블!$F:$I,3,0)</f>
        <v/>
      </c>
      <c r="O4619" s="94">
        <f>VLOOKUP($Q4619,매칭테이블!$F:$I,4,0)*K4619</f>
        <v/>
      </c>
      <c r="P4619" s="148">
        <f>M4619/1.1</f>
        <v/>
      </c>
      <c r="Q4619" s="94">
        <f>F4619&amp;E4619&amp;G4619&amp;L4619</f>
        <v/>
      </c>
    </row>
    <row r="4620">
      <c r="A4620" s="94" t="n"/>
      <c r="B4620" s="128" t="n">
        <v>43872</v>
      </c>
      <c r="C4620" s="94">
        <f>TEXT(B4620,"aaa")</f>
        <v/>
      </c>
      <c r="D4620" s="94" t="n"/>
      <c r="E4620" s="6" t="inlineStr">
        <is>
          <t>토너</t>
        </is>
      </c>
      <c r="F4620" s="5" t="inlineStr">
        <is>
          <t>카페24</t>
        </is>
      </c>
      <c r="G4620" s="5" t="inlineStr">
        <is>
          <t>500ml</t>
        </is>
      </c>
      <c r="H4620" s="7" t="n">
        <v>190801</v>
      </c>
      <c r="I4620" s="7" t="n">
        <v>190801</v>
      </c>
      <c r="J4620" s="94" t="n"/>
      <c r="K4620" s="149" t="n">
        <v>58</v>
      </c>
      <c r="L4620" s="7" t="n">
        <v>190801</v>
      </c>
      <c r="M4620" s="94">
        <f>VLOOKUP($Q4620,매칭테이블!$F:$I,2,0)*K4620</f>
        <v/>
      </c>
      <c r="N4620" s="94">
        <f>M4620-M4620*VLOOKUP($Q4620,매칭테이블!$F:$I,3,0)</f>
        <v/>
      </c>
      <c r="O4620" s="94">
        <f>VLOOKUP($Q4620,매칭테이블!$F:$I,4,0)*K4620</f>
        <v/>
      </c>
      <c r="P4620" s="148">
        <f>M4620/1.1</f>
        <v/>
      </c>
      <c r="Q4620" s="94">
        <f>F4620&amp;E4620&amp;G4620&amp;L4620</f>
        <v/>
      </c>
    </row>
    <row r="4621">
      <c r="A4621" s="94" t="n"/>
      <c r="B4621" s="128" t="n">
        <v>43872</v>
      </c>
      <c r="C4621" s="94">
        <f>TEXT(B4621,"aaa")</f>
        <v/>
      </c>
      <c r="D4621" s="94" t="n"/>
      <c r="E4621" s="6" t="inlineStr">
        <is>
          <t>토너</t>
        </is>
      </c>
      <c r="F4621" s="5" t="inlineStr">
        <is>
          <t>카페24</t>
        </is>
      </c>
      <c r="G4621" s="94" t="inlineStr">
        <is>
          <t>스킨팩 화장솜 60P</t>
        </is>
      </c>
      <c r="H4621" s="7" t="n">
        <v>190801</v>
      </c>
      <c r="I4621" s="7" t="n">
        <v>190801</v>
      </c>
      <c r="J4621" s="94" t="n"/>
      <c r="K4621" s="149" t="n">
        <v>109</v>
      </c>
      <c r="L4621" s="7" t="n">
        <v>190801</v>
      </c>
      <c r="M4621" s="94">
        <f>VLOOKUP($Q4621,매칭테이블!$F:$I,2,0)*K4621</f>
        <v/>
      </c>
      <c r="N4621" s="94">
        <f>M4621-M4621*VLOOKUP($Q4621,매칭테이블!$F:$I,3,0)</f>
        <v/>
      </c>
      <c r="O4621" s="94">
        <f>VLOOKUP($Q4621,매칭테이블!$F:$I,4,0)*K4621</f>
        <v/>
      </c>
      <c r="P4621" s="148">
        <f>M4621/1.1</f>
        <v/>
      </c>
      <c r="Q4621" s="94">
        <f>F4621&amp;E4621&amp;G4621&amp;L4621</f>
        <v/>
      </c>
    </row>
    <row r="4622">
      <c r="A4622" s="94" t="n"/>
      <c r="B4622" s="128" t="n">
        <v>43872</v>
      </c>
      <c r="C4622" s="94">
        <f>TEXT(B4622,"aaa")</f>
        <v/>
      </c>
      <c r="D4622" s="94" t="n"/>
      <c r="E4622" s="94" t="inlineStr">
        <is>
          <t>클렌징폼</t>
        </is>
      </c>
      <c r="F4622" s="5" t="inlineStr">
        <is>
          <t>카페24</t>
        </is>
      </c>
      <c r="G4622" s="94" t="inlineStr">
        <is>
          <t>클렌징폼 120ml</t>
        </is>
      </c>
      <c r="H4622" s="7" t="n">
        <v>190801</v>
      </c>
      <c r="I4622" s="7" t="n">
        <v>190801</v>
      </c>
      <c r="J4622" s="94" t="n"/>
      <c r="K4622" s="149" t="n">
        <v>7</v>
      </c>
      <c r="L4622" s="7" t="n">
        <v>190801</v>
      </c>
      <c r="M4622" s="94">
        <f>VLOOKUP($Q4622,매칭테이블!$F:$I,2,0)*K4622</f>
        <v/>
      </c>
      <c r="N4622" s="94">
        <f>M4622-M4622*VLOOKUP($Q4622,매칭테이블!$F:$I,3,0)</f>
        <v/>
      </c>
      <c r="O4622" s="94">
        <f>VLOOKUP($Q4622,매칭테이블!$F:$I,4,0)*K4622</f>
        <v/>
      </c>
      <c r="P4622" s="148">
        <f>M4622/1.1</f>
        <v/>
      </c>
      <c r="Q4622" s="94">
        <f>F4622&amp;E4622&amp;G4622&amp;L4622</f>
        <v/>
      </c>
    </row>
    <row r="4623">
      <c r="A4623" s="94" t="n"/>
      <c r="B4623" s="128" t="n">
        <v>43872</v>
      </c>
      <c r="C4623" s="94">
        <f>TEXT(B4623,"aaa")</f>
        <v/>
      </c>
      <c r="D4623" s="94" t="n"/>
      <c r="E4623" s="94" t="inlineStr">
        <is>
          <t>클렌징폼</t>
        </is>
      </c>
      <c r="F4623" s="94" t="inlineStr">
        <is>
          <t>카페24</t>
        </is>
      </c>
      <c r="G4623" s="94" t="inlineStr">
        <is>
          <t>클렌징폼 120ml 2set</t>
        </is>
      </c>
      <c r="H4623" s="7" t="n">
        <v>190801</v>
      </c>
      <c r="I4623" s="7" t="n">
        <v>190801</v>
      </c>
      <c r="J4623" s="94" t="n"/>
      <c r="K4623" s="149" t="n">
        <v>2</v>
      </c>
      <c r="L4623" s="7" t="n">
        <v>190801</v>
      </c>
      <c r="M4623" s="94">
        <f>VLOOKUP($Q4623,매칭테이블!$F:$I,2,0)*K4623</f>
        <v/>
      </c>
      <c r="N4623" s="94">
        <f>M4623-M4623*VLOOKUP($Q4623,매칭테이블!$F:$I,3,0)</f>
        <v/>
      </c>
      <c r="O4623" s="94">
        <f>VLOOKUP($Q4623,매칭테이블!$F:$I,4,0)*K4623</f>
        <v/>
      </c>
      <c r="P4623" s="148">
        <f>M4623/1.1</f>
        <v/>
      </c>
      <c r="Q4623" s="94">
        <f>F4623&amp;E4623&amp;G4623&amp;L4623</f>
        <v/>
      </c>
    </row>
    <row r="4624">
      <c r="A4624" s="94" t="n"/>
      <c r="B4624" s="128" t="n">
        <v>43872</v>
      </c>
      <c r="C4624" s="94">
        <f>TEXT(B4624,"aaa")</f>
        <v/>
      </c>
      <c r="D4624" s="94" t="n"/>
      <c r="E4624" s="94" t="inlineStr">
        <is>
          <t>클렌징폼</t>
        </is>
      </c>
      <c r="F4624" s="94" t="inlineStr">
        <is>
          <t>카페24</t>
        </is>
      </c>
      <c r="G4624" s="94" t="inlineStr">
        <is>
          <t>클렌징폼 120ml 3set</t>
        </is>
      </c>
      <c r="H4624" s="7" t="n">
        <v>190801</v>
      </c>
      <c r="I4624" s="7" t="n">
        <v>190801</v>
      </c>
      <c r="J4624" s="94" t="n"/>
      <c r="K4624" s="149" t="n">
        <v>1</v>
      </c>
      <c r="L4624" s="7" t="n">
        <v>190801</v>
      </c>
      <c r="M4624" s="94">
        <f>VLOOKUP($Q4624,매칭테이블!$F:$I,2,0)*K4624</f>
        <v/>
      </c>
      <c r="N4624" s="94">
        <f>M4624-M4624*VLOOKUP($Q4624,매칭테이블!$F:$I,3,0)</f>
        <v/>
      </c>
      <c r="O4624" s="94">
        <f>VLOOKUP($Q4624,매칭테이블!$F:$I,4,0)*K4624</f>
        <v/>
      </c>
      <c r="P4624" s="148">
        <f>M4624/1.1</f>
        <v/>
      </c>
      <c r="Q4624" s="94">
        <f>F4624&amp;E4624&amp;G4624&amp;L4624</f>
        <v/>
      </c>
    </row>
    <row r="4625">
      <c r="A4625" s="94" t="n"/>
      <c r="B4625" s="128" t="n">
        <v>43872</v>
      </c>
      <c r="C4625" s="94">
        <f>TEXT(B4625,"aaa")</f>
        <v/>
      </c>
      <c r="D4625" s="94" t="n"/>
      <c r="E4625" s="94" t="inlineStr">
        <is>
          <t>토너</t>
        </is>
      </c>
      <c r="F4625" s="94" t="inlineStr">
        <is>
          <t>큐텐</t>
        </is>
      </c>
      <c r="G4625" s="94" t="inlineStr">
        <is>
          <t>250ml</t>
        </is>
      </c>
      <c r="H4625" s="7" t="n">
        <v>190801</v>
      </c>
      <c r="I4625" s="7" t="n">
        <v>190801</v>
      </c>
      <c r="J4625" s="94" t="n"/>
      <c r="K4625" s="149" t="n">
        <v>10</v>
      </c>
      <c r="L4625" s="92" t="n">
        <v>190801</v>
      </c>
      <c r="M4625" s="94">
        <f>VLOOKUP($Q4625,매칭테이블!$F:$I,2,0)*K4625</f>
        <v/>
      </c>
      <c r="N4625" s="94">
        <f>M4625-M4625*VLOOKUP($Q4625,매칭테이블!$F:$I,3,0)</f>
        <v/>
      </c>
      <c r="O4625" s="94">
        <f>VLOOKUP($Q4625,매칭테이블!$F:$I,4,0)*K4625</f>
        <v/>
      </c>
      <c r="P4625" s="148">
        <f>M4625/1.1</f>
        <v/>
      </c>
      <c r="Q4625" s="94">
        <f>F4625&amp;E4625&amp;G4625&amp;L4625</f>
        <v/>
      </c>
    </row>
    <row r="4626">
      <c r="A4626" s="94" t="n"/>
      <c r="B4626" s="128" t="n">
        <v>43872</v>
      </c>
      <c r="C4626" s="94">
        <f>TEXT(B4626,"aaa")</f>
        <v/>
      </c>
      <c r="D4626" s="94" t="n"/>
      <c r="E4626" s="94" t="inlineStr">
        <is>
          <t>토너</t>
        </is>
      </c>
      <c r="F4626" s="94" t="inlineStr">
        <is>
          <t>큐텐</t>
        </is>
      </c>
      <c r="G4626" s="94" t="inlineStr">
        <is>
          <t>250ml 2set</t>
        </is>
      </c>
      <c r="H4626" s="7" t="n">
        <v>190801</v>
      </c>
      <c r="I4626" s="7" t="n">
        <v>190801</v>
      </c>
      <c r="J4626" s="94" t="n"/>
      <c r="K4626" s="149" t="n">
        <v>1</v>
      </c>
      <c r="L4626" s="92" t="n">
        <v>190801</v>
      </c>
      <c r="M4626" s="94">
        <f>VLOOKUP($Q4626,매칭테이블!$F:$I,2,0)*K4626</f>
        <v/>
      </c>
      <c r="N4626" s="94">
        <f>M4626-M4626*VLOOKUP($Q4626,매칭테이블!$F:$I,3,0)</f>
        <v/>
      </c>
      <c r="O4626" s="94">
        <f>VLOOKUP($Q4626,매칭테이블!$F:$I,4,0)*K4626</f>
        <v/>
      </c>
      <c r="P4626" s="148">
        <f>M4626/1.1</f>
        <v/>
      </c>
      <c r="Q4626" s="94">
        <f>F4626&amp;E4626&amp;G4626&amp;L4626</f>
        <v/>
      </c>
    </row>
    <row r="4627">
      <c r="A4627" s="94" t="n"/>
      <c r="B4627" s="128" t="n">
        <v>43873</v>
      </c>
      <c r="C4627" s="94">
        <f>TEXT(B4627,"aaa")</f>
        <v/>
      </c>
      <c r="D4627" s="94" t="n"/>
      <c r="E4627" s="6" t="inlineStr">
        <is>
          <t>토너</t>
        </is>
      </c>
      <c r="F4627" s="5" t="inlineStr">
        <is>
          <t>W컨셉</t>
        </is>
      </c>
      <c r="G4627" s="5" t="inlineStr">
        <is>
          <t>250ml</t>
        </is>
      </c>
      <c r="H4627" s="7" t="n">
        <v>190801</v>
      </c>
      <c r="I4627" s="7" t="n">
        <v>190801</v>
      </c>
      <c r="J4627" s="94" t="n"/>
      <c r="K4627" s="149" t="n">
        <v>2</v>
      </c>
      <c r="L4627" s="7" t="n">
        <v>190801</v>
      </c>
      <c r="M4627" s="94">
        <f>VLOOKUP($Q4627,매칭테이블!$F:$I,2,0)*K4627</f>
        <v/>
      </c>
      <c r="N4627" s="94">
        <f>M4627-M4627*VLOOKUP($Q4627,매칭테이블!$F:$I,3,0)</f>
        <v/>
      </c>
      <c r="O4627" s="94">
        <f>VLOOKUP($Q4627,매칭테이블!$F:$I,4,0)*K4627</f>
        <v/>
      </c>
      <c r="P4627" s="148">
        <f>M4627/1.1</f>
        <v/>
      </c>
      <c r="Q4627" s="94">
        <f>F4627&amp;E4627&amp;G4627&amp;L4627</f>
        <v/>
      </c>
    </row>
    <row r="4628">
      <c r="A4628" s="94" t="n"/>
      <c r="B4628" s="128" t="n">
        <v>43873</v>
      </c>
      <c r="C4628" s="94">
        <f>TEXT(B4628,"aaa")</f>
        <v/>
      </c>
      <c r="D4628" s="94" t="n"/>
      <c r="E4628" s="6" t="inlineStr">
        <is>
          <t>토너</t>
        </is>
      </c>
      <c r="F4628" s="5" t="inlineStr">
        <is>
          <t>W컨셉</t>
        </is>
      </c>
      <c r="G4628" s="5" t="inlineStr">
        <is>
          <t>250ml 2set</t>
        </is>
      </c>
      <c r="H4628" s="7" t="n">
        <v>190801</v>
      </c>
      <c r="I4628" s="7" t="n">
        <v>190801</v>
      </c>
      <c r="J4628" s="94" t="n"/>
      <c r="K4628" s="149" t="n">
        <v>19</v>
      </c>
      <c r="L4628" s="7" t="n">
        <v>190801</v>
      </c>
      <c r="M4628" s="94">
        <f>VLOOKUP($Q4628,매칭테이블!$F:$I,2,0)*K4628</f>
        <v/>
      </c>
      <c r="N4628" s="94">
        <f>M4628-M4628*VLOOKUP($Q4628,매칭테이블!$F:$I,3,0)</f>
        <v/>
      </c>
      <c r="O4628" s="94">
        <f>VLOOKUP($Q4628,매칭테이블!$F:$I,4,0)*K4628</f>
        <v/>
      </c>
      <c r="P4628" s="148">
        <f>M4628/1.1</f>
        <v/>
      </c>
      <c r="Q4628" s="94">
        <f>F4628&amp;E4628&amp;G4628&amp;L4628</f>
        <v/>
      </c>
    </row>
    <row r="4629">
      <c r="A4629" s="94" t="n"/>
      <c r="B4629" s="128" t="n">
        <v>43873</v>
      </c>
      <c r="C4629" s="94">
        <f>TEXT(B4629,"aaa")</f>
        <v/>
      </c>
      <c r="D4629" s="94" t="n"/>
      <c r="E4629" s="94" t="inlineStr">
        <is>
          <t>화장솜</t>
        </is>
      </c>
      <c r="F4629" s="94" t="inlineStr">
        <is>
          <t>카페24</t>
        </is>
      </c>
      <c r="G4629" s="94" t="inlineStr">
        <is>
          <t>스킨팩 화장솜 60P</t>
        </is>
      </c>
      <c r="H4629" s="7" t="n">
        <v>190801</v>
      </c>
      <c r="I4629" s="7" t="n">
        <v>190801</v>
      </c>
      <c r="J4629" s="94" t="n"/>
      <c r="K4629" s="149" t="n">
        <v>1</v>
      </c>
      <c r="L4629" s="94" t="n">
        <v>190801</v>
      </c>
      <c r="M4629" s="94">
        <f>VLOOKUP($Q4629,매칭테이블!$F:$I,2,0)*K4629</f>
        <v/>
      </c>
      <c r="N4629" s="94">
        <f>M4629-M4629*VLOOKUP($Q4629,매칭테이블!$F:$I,3,0)</f>
        <v/>
      </c>
      <c r="O4629" s="94">
        <f>VLOOKUP($Q4629,매칭테이블!$F:$I,4,0)*K4629</f>
        <v/>
      </c>
      <c r="P4629" s="148">
        <f>M4629/1.1</f>
        <v/>
      </c>
      <c r="Q4629" s="94">
        <f>F4629&amp;E4629&amp;G4629&amp;L4629</f>
        <v/>
      </c>
    </row>
    <row r="4630">
      <c r="A4630" s="94" t="n"/>
      <c r="B4630" s="128" t="n">
        <v>43873</v>
      </c>
      <c r="C4630" s="94">
        <f>TEXT(B4630,"aaa")</f>
        <v/>
      </c>
      <c r="D4630" s="94" t="n"/>
      <c r="E4630" s="94" t="inlineStr">
        <is>
          <t>머드크림마스크</t>
        </is>
      </c>
      <c r="F4630" s="94" t="inlineStr">
        <is>
          <t>카페24</t>
        </is>
      </c>
      <c r="G4630" s="94" t="inlineStr">
        <is>
          <t>머드크림마스크 100ml</t>
        </is>
      </c>
      <c r="H4630" s="7" t="n">
        <v>190801</v>
      </c>
      <c r="I4630" s="7" t="n">
        <v>190801</v>
      </c>
      <c r="J4630" s="94" t="n"/>
      <c r="K4630" s="149" t="n">
        <v>4</v>
      </c>
      <c r="L4630" s="94" t="n">
        <v>190801</v>
      </c>
      <c r="M4630" s="94">
        <f>VLOOKUP($Q4630,매칭테이블!$F:$I,2,0)*K4630</f>
        <v/>
      </c>
      <c r="N4630" s="94">
        <f>M4630-M4630*VLOOKUP($Q4630,매칭테이블!$F:$I,3,0)</f>
        <v/>
      </c>
      <c r="O4630" s="94">
        <f>VLOOKUP($Q4630,매칭테이블!$F:$I,4,0)*K4630</f>
        <v/>
      </c>
      <c r="P4630" s="148">
        <f>M4630/1.1</f>
        <v/>
      </c>
      <c r="Q4630" s="94">
        <f>F4630&amp;E4630&amp;G4630&amp;L4630</f>
        <v/>
      </c>
    </row>
    <row r="4631">
      <c r="A4631" s="94" t="n"/>
      <c r="B4631" s="128" t="n">
        <v>43873</v>
      </c>
      <c r="C4631" s="94">
        <f>TEXT(B4631,"aaa")</f>
        <v/>
      </c>
      <c r="D4631" s="94" t="n"/>
      <c r="E4631" s="94" t="inlineStr">
        <is>
          <t>머드크림마스크</t>
        </is>
      </c>
      <c r="F4631" s="94" t="inlineStr">
        <is>
          <t>카페24</t>
        </is>
      </c>
      <c r="G4631" s="94" t="inlineStr">
        <is>
          <t>머드크림마스크 100ml 2set</t>
        </is>
      </c>
      <c r="H4631" s="7" t="n">
        <v>190801</v>
      </c>
      <c r="I4631" s="7" t="n">
        <v>190801</v>
      </c>
      <c r="J4631" s="94" t="n"/>
      <c r="K4631" s="149" t="n">
        <v>1</v>
      </c>
      <c r="L4631" s="94" t="n">
        <v>190801</v>
      </c>
      <c r="M4631" s="94">
        <f>VLOOKUP($Q4631,매칭테이블!$F:$I,2,0)*K4631</f>
        <v/>
      </c>
      <c r="N4631" s="94">
        <f>M4631-M4631*VLOOKUP($Q4631,매칭테이블!$F:$I,3,0)</f>
        <v/>
      </c>
      <c r="O4631" s="94">
        <f>VLOOKUP($Q4631,매칭테이블!$F:$I,4,0)*K4631</f>
        <v/>
      </c>
      <c r="P4631" s="148">
        <f>M4631/1.1</f>
        <v/>
      </c>
      <c r="Q4631" s="94">
        <f>F4631&amp;E4631&amp;G4631&amp;L4631</f>
        <v/>
      </c>
    </row>
    <row r="4632">
      <c r="A4632" s="94" t="n"/>
      <c r="B4632" s="128" t="n">
        <v>43873</v>
      </c>
      <c r="C4632" s="94">
        <f>TEXT(B4632,"aaa")</f>
        <v/>
      </c>
      <c r="D4632" s="94" t="n"/>
      <c r="E4632" s="6" t="inlineStr">
        <is>
          <t>토너</t>
        </is>
      </c>
      <c r="F4632" s="5" t="inlineStr">
        <is>
          <t>카페24</t>
        </is>
      </c>
      <c r="G4632" s="5" t="inlineStr">
        <is>
          <t>250ml</t>
        </is>
      </c>
      <c r="H4632" s="7" t="n">
        <v>190801</v>
      </c>
      <c r="I4632" s="7" t="n">
        <v>190801</v>
      </c>
      <c r="J4632" s="94" t="n"/>
      <c r="K4632" s="149" t="n">
        <v>94</v>
      </c>
      <c r="L4632" s="7" t="n">
        <v>190801</v>
      </c>
      <c r="M4632" s="94">
        <f>VLOOKUP($Q4632,매칭테이블!$F:$I,2,0)*K4632</f>
        <v/>
      </c>
      <c r="N4632" s="94">
        <f>M4632-M4632*VLOOKUP($Q4632,매칭테이블!$F:$I,3,0)</f>
        <v/>
      </c>
      <c r="O4632" s="94">
        <f>VLOOKUP($Q4632,매칭테이블!$F:$I,4,0)*K4632</f>
        <v/>
      </c>
      <c r="P4632" s="148">
        <f>M4632/1.1</f>
        <v/>
      </c>
      <c r="Q4632" s="94">
        <f>F4632&amp;E4632&amp;G4632&amp;L4632</f>
        <v/>
      </c>
    </row>
    <row r="4633">
      <c r="A4633" s="94" t="n"/>
      <c r="B4633" s="128" t="n">
        <v>43873</v>
      </c>
      <c r="C4633" s="94">
        <f>TEXT(B4633,"aaa")</f>
        <v/>
      </c>
      <c r="D4633" s="94" t="n"/>
      <c r="E4633" s="6" t="inlineStr">
        <is>
          <t>토너</t>
        </is>
      </c>
      <c r="F4633" s="5" t="inlineStr">
        <is>
          <t>카페24</t>
        </is>
      </c>
      <c r="G4633" s="5" t="inlineStr">
        <is>
          <t>250ml 2set</t>
        </is>
      </c>
      <c r="H4633" s="7" t="n">
        <v>190801</v>
      </c>
      <c r="I4633" s="7" t="n">
        <v>190801</v>
      </c>
      <c r="J4633" s="94" t="n"/>
      <c r="K4633" s="149" t="n">
        <v>182</v>
      </c>
      <c r="L4633" s="7" t="n">
        <v>190801</v>
      </c>
      <c r="M4633" s="94">
        <f>VLOOKUP($Q4633,매칭테이블!$F:$I,2,0)*K4633</f>
        <v/>
      </c>
      <c r="N4633" s="94">
        <f>M4633-M4633*VLOOKUP($Q4633,매칭테이블!$F:$I,3,0)</f>
        <v/>
      </c>
      <c r="O4633" s="94">
        <f>VLOOKUP($Q4633,매칭테이블!$F:$I,4,0)*K4633</f>
        <v/>
      </c>
      <c r="P4633" s="148">
        <f>M4633/1.1</f>
        <v/>
      </c>
      <c r="Q4633" s="94">
        <f>F4633&amp;E4633&amp;G4633&amp;L4633</f>
        <v/>
      </c>
    </row>
    <row r="4634">
      <c r="A4634" s="94" t="n"/>
      <c r="B4634" s="128" t="n">
        <v>43873</v>
      </c>
      <c r="C4634" s="94">
        <f>TEXT(B4634,"aaa")</f>
        <v/>
      </c>
      <c r="D4634" s="94" t="n"/>
      <c r="E4634" s="6" t="inlineStr">
        <is>
          <t>토너</t>
        </is>
      </c>
      <c r="F4634" s="5" t="inlineStr">
        <is>
          <t>카페24</t>
        </is>
      </c>
      <c r="G4634" s="5" t="inlineStr">
        <is>
          <t>500ml</t>
        </is>
      </c>
      <c r="H4634" s="7" t="n">
        <v>190801</v>
      </c>
      <c r="I4634" s="7" t="n">
        <v>190801</v>
      </c>
      <c r="J4634" s="94" t="n"/>
      <c r="K4634" s="149" t="n">
        <v>46</v>
      </c>
      <c r="L4634" s="7" t="n">
        <v>190801</v>
      </c>
      <c r="M4634" s="94">
        <f>VLOOKUP($Q4634,매칭테이블!$F:$I,2,0)*K4634</f>
        <v/>
      </c>
      <c r="N4634" s="94">
        <f>M4634-M4634*VLOOKUP($Q4634,매칭테이블!$F:$I,3,0)</f>
        <v/>
      </c>
      <c r="O4634" s="94">
        <f>VLOOKUP($Q4634,매칭테이블!$F:$I,4,0)*K4634</f>
        <v/>
      </c>
      <c r="P4634" s="148">
        <f>M4634/1.1</f>
        <v/>
      </c>
      <c r="Q4634" s="94">
        <f>F4634&amp;E4634&amp;G4634&amp;L4634</f>
        <v/>
      </c>
    </row>
    <row r="4635">
      <c r="A4635" s="94" t="n"/>
      <c r="B4635" s="128" t="n">
        <v>43873</v>
      </c>
      <c r="C4635" s="94">
        <f>TEXT(B4635,"aaa")</f>
        <v/>
      </c>
      <c r="D4635" s="94" t="n"/>
      <c r="E4635" s="6" t="inlineStr">
        <is>
          <t>토너</t>
        </is>
      </c>
      <c r="F4635" s="5" t="inlineStr">
        <is>
          <t>카페24</t>
        </is>
      </c>
      <c r="G4635" s="94" t="inlineStr">
        <is>
          <t>스킨팩 화장솜 60P</t>
        </is>
      </c>
      <c r="H4635" s="7" t="n">
        <v>190801</v>
      </c>
      <c r="I4635" s="7" t="n">
        <v>190801</v>
      </c>
      <c r="J4635" s="94" t="n"/>
      <c r="K4635" s="149" t="n">
        <v>86</v>
      </c>
      <c r="L4635" s="7" t="n">
        <v>190801</v>
      </c>
      <c r="M4635" s="94">
        <f>VLOOKUP($Q4635,매칭테이블!$F:$I,2,0)*K4635</f>
        <v/>
      </c>
      <c r="N4635" s="94">
        <f>M4635-M4635*VLOOKUP($Q4635,매칭테이블!$F:$I,3,0)</f>
        <v/>
      </c>
      <c r="O4635" s="94">
        <f>VLOOKUP($Q4635,매칭테이블!$F:$I,4,0)*K4635</f>
        <v/>
      </c>
      <c r="P4635" s="148">
        <f>M4635/1.1</f>
        <v/>
      </c>
      <c r="Q4635" s="94">
        <f>F4635&amp;E4635&amp;G4635&amp;L4635</f>
        <v/>
      </c>
    </row>
    <row r="4636">
      <c r="A4636" s="94" t="n"/>
      <c r="B4636" s="128" t="n">
        <v>43873</v>
      </c>
      <c r="C4636" s="94">
        <f>TEXT(B4636,"aaa")</f>
        <v/>
      </c>
      <c r="D4636" s="94" t="n"/>
      <c r="E4636" s="94" t="inlineStr">
        <is>
          <t>클렌징폼</t>
        </is>
      </c>
      <c r="F4636" s="5" t="inlineStr">
        <is>
          <t>카페24</t>
        </is>
      </c>
      <c r="G4636" s="94" t="inlineStr">
        <is>
          <t>클렌징폼 120ml</t>
        </is>
      </c>
      <c r="H4636" s="7" t="n">
        <v>190801</v>
      </c>
      <c r="I4636" s="7" t="n">
        <v>190801</v>
      </c>
      <c r="J4636" s="94" t="n"/>
      <c r="K4636" s="149" t="n">
        <v>11</v>
      </c>
      <c r="L4636" s="7" t="n">
        <v>190801</v>
      </c>
      <c r="M4636" s="94">
        <f>VLOOKUP($Q4636,매칭테이블!$F:$I,2,0)*K4636</f>
        <v/>
      </c>
      <c r="N4636" s="94">
        <f>M4636-M4636*VLOOKUP($Q4636,매칭테이블!$F:$I,3,0)</f>
        <v/>
      </c>
      <c r="O4636" s="94">
        <f>VLOOKUP($Q4636,매칭테이블!$F:$I,4,0)*K4636</f>
        <v/>
      </c>
      <c r="P4636" s="148">
        <f>M4636/1.1</f>
        <v/>
      </c>
      <c r="Q4636" s="94">
        <f>F4636&amp;E4636&amp;G4636&amp;L4636</f>
        <v/>
      </c>
    </row>
    <row r="4637">
      <c r="A4637" s="94" t="n"/>
      <c r="B4637" s="128" t="n">
        <v>43873</v>
      </c>
      <c r="C4637" s="94">
        <f>TEXT(B4637,"aaa")</f>
        <v/>
      </c>
      <c r="D4637" s="94" t="n"/>
      <c r="E4637" s="94" t="inlineStr">
        <is>
          <t>클렌징폼</t>
        </is>
      </c>
      <c r="F4637" s="94" t="inlineStr">
        <is>
          <t>카페24</t>
        </is>
      </c>
      <c r="G4637" s="94" t="inlineStr">
        <is>
          <t>클렌징폼 120ml 3set</t>
        </is>
      </c>
      <c r="H4637" s="7" t="n">
        <v>190801</v>
      </c>
      <c r="I4637" s="7" t="n">
        <v>190801</v>
      </c>
      <c r="J4637" s="94" t="n"/>
      <c r="K4637" s="149" t="n">
        <v>1</v>
      </c>
      <c r="L4637" s="7" t="n">
        <v>190801</v>
      </c>
      <c r="M4637" s="94">
        <f>VLOOKUP($Q4637,매칭테이블!$F:$I,2,0)*K4637</f>
        <v/>
      </c>
      <c r="N4637" s="94">
        <f>M4637-M4637*VLOOKUP($Q4637,매칭테이블!$F:$I,3,0)</f>
        <v/>
      </c>
      <c r="O4637" s="94">
        <f>VLOOKUP($Q4637,매칭테이블!$F:$I,4,0)*K4637</f>
        <v/>
      </c>
      <c r="P4637" s="148">
        <f>M4637/1.1</f>
        <v/>
      </c>
      <c r="Q4637" s="94">
        <f>F4637&amp;E4637&amp;G4637&amp;L4637</f>
        <v/>
      </c>
    </row>
    <row r="4638">
      <c r="A4638" s="94" t="n"/>
      <c r="B4638" s="128" t="n">
        <v>43873</v>
      </c>
      <c r="C4638" s="94">
        <f>TEXT(B4638,"aaa")</f>
        <v/>
      </c>
      <c r="D4638" s="94" t="n"/>
      <c r="E4638" s="94" t="inlineStr">
        <is>
          <t>토너</t>
        </is>
      </c>
      <c r="F4638" s="94" t="inlineStr">
        <is>
          <t>큐텐</t>
        </is>
      </c>
      <c r="G4638" s="94" t="inlineStr">
        <is>
          <t>250ml</t>
        </is>
      </c>
      <c r="H4638" s="7" t="n">
        <v>190801</v>
      </c>
      <c r="I4638" s="7" t="n">
        <v>190801</v>
      </c>
      <c r="J4638" s="94" t="n"/>
      <c r="K4638" s="149" t="n">
        <v>12</v>
      </c>
      <c r="L4638" s="92" t="n">
        <v>190801</v>
      </c>
      <c r="M4638" s="94">
        <f>VLOOKUP($Q4638,매칭테이블!$F:$I,2,0)*K4638</f>
        <v/>
      </c>
      <c r="N4638" s="94">
        <f>M4638-M4638*VLOOKUP($Q4638,매칭테이블!$F:$I,3,0)</f>
        <v/>
      </c>
      <c r="O4638" s="94">
        <f>VLOOKUP($Q4638,매칭테이블!$F:$I,4,0)*K4638</f>
        <v/>
      </c>
      <c r="P4638" s="148">
        <f>M4638/1.1</f>
        <v/>
      </c>
      <c r="Q4638" s="94">
        <f>F4638&amp;E4638&amp;G4638&amp;L4638</f>
        <v/>
      </c>
    </row>
    <row r="4639">
      <c r="A4639" s="94" t="n"/>
      <c r="B4639" s="128" t="n">
        <v>43873</v>
      </c>
      <c r="C4639" s="94">
        <f>TEXT(B4639,"aaa")</f>
        <v/>
      </c>
      <c r="D4639" s="94" t="n"/>
      <c r="E4639" s="94" t="inlineStr">
        <is>
          <t>토너</t>
        </is>
      </c>
      <c r="F4639" s="94" t="inlineStr">
        <is>
          <t>큐텐</t>
        </is>
      </c>
      <c r="G4639" s="94" t="inlineStr">
        <is>
          <t>250ml 2set</t>
        </is>
      </c>
      <c r="H4639" s="7" t="n">
        <v>190801</v>
      </c>
      <c r="I4639" s="7" t="n">
        <v>190801</v>
      </c>
      <c r="J4639" s="94" t="n"/>
      <c r="K4639" s="149" t="n">
        <v>4</v>
      </c>
      <c r="L4639" s="92" t="n">
        <v>190801</v>
      </c>
      <c r="M4639" s="94">
        <f>VLOOKUP($Q4639,매칭테이블!$F:$I,2,0)*K4639</f>
        <v/>
      </c>
      <c r="N4639" s="94">
        <f>M4639-M4639*VLOOKUP($Q4639,매칭테이블!$F:$I,3,0)</f>
        <v/>
      </c>
      <c r="O4639" s="94">
        <f>VLOOKUP($Q4639,매칭테이블!$F:$I,4,0)*K4639</f>
        <v/>
      </c>
      <c r="P4639" s="148">
        <f>M4639/1.1</f>
        <v/>
      </c>
      <c r="Q4639" s="94">
        <f>F4639&amp;E4639&amp;G4639&amp;L4639</f>
        <v/>
      </c>
    </row>
    <row r="4640">
      <c r="A4640" s="94" t="n"/>
      <c r="B4640" s="128" t="n">
        <v>43874</v>
      </c>
      <c r="C4640" s="94">
        <f>TEXT(B4640,"aaa")</f>
        <v/>
      </c>
      <c r="D4640" s="94" t="n"/>
      <c r="E4640" s="6" t="inlineStr">
        <is>
          <t>토너</t>
        </is>
      </c>
      <c r="F4640" s="5" t="inlineStr">
        <is>
          <t>W컨셉</t>
        </is>
      </c>
      <c r="G4640" s="5" t="inlineStr">
        <is>
          <t>250ml 2set</t>
        </is>
      </c>
      <c r="H4640" s="7" t="n">
        <v>190801</v>
      </c>
      <c r="I4640" s="7" t="n">
        <v>190801</v>
      </c>
      <c r="J4640" s="94" t="n"/>
      <c r="K4640" s="149" t="n">
        <v>16</v>
      </c>
      <c r="L4640" s="7" t="n">
        <v>190801</v>
      </c>
      <c r="M4640" s="94">
        <f>VLOOKUP($Q4640,매칭테이블!$F:$I,2,0)*K4640</f>
        <v/>
      </c>
      <c r="N4640" s="94">
        <f>M4640-M4640*VLOOKUP($Q4640,매칭테이블!$F:$I,3,0)</f>
        <v/>
      </c>
      <c r="O4640" s="94">
        <f>VLOOKUP($Q4640,매칭테이블!$F:$I,4,0)*K4640</f>
        <v/>
      </c>
      <c r="P4640" s="148">
        <f>M4640/1.1</f>
        <v/>
      </c>
      <c r="Q4640" s="94">
        <f>F4640&amp;E4640&amp;G4640&amp;L4640</f>
        <v/>
      </c>
    </row>
    <row r="4641">
      <c r="A4641" s="94" t="n"/>
      <c r="B4641" s="128" t="n">
        <v>43874</v>
      </c>
      <c r="C4641" s="94">
        <f>TEXT(B4641,"aaa")</f>
        <v/>
      </c>
      <c r="D4641" s="94" t="n"/>
      <c r="E4641" s="94" t="inlineStr">
        <is>
          <t>토너</t>
        </is>
      </c>
      <c r="F4641" s="94" t="inlineStr">
        <is>
          <t>아누아 CS</t>
        </is>
      </c>
      <c r="G4641" s="94" t="inlineStr">
        <is>
          <t>250ml</t>
        </is>
      </c>
      <c r="H4641" s="7" t="n">
        <v>190801</v>
      </c>
      <c r="I4641" s="7" t="n">
        <v>190801</v>
      </c>
      <c r="J4641" s="94" t="n"/>
      <c r="K4641" s="149" t="n">
        <v>10</v>
      </c>
      <c r="L4641" s="92" t="n">
        <v>190801</v>
      </c>
      <c r="M4641" s="94">
        <f>VLOOKUP($Q4641,매칭테이블!$F:$I,2,0)*K4641</f>
        <v/>
      </c>
      <c r="N4641" s="94">
        <f>M4641-M4641*VLOOKUP($Q4641,매칭테이블!$F:$I,3,0)</f>
        <v/>
      </c>
      <c r="O4641" s="94">
        <f>VLOOKUP($Q4641,매칭테이블!$F:$I,4,0)*K4641</f>
        <v/>
      </c>
      <c r="P4641" s="148">
        <f>M4641/1.1</f>
        <v/>
      </c>
      <c r="Q4641" s="94">
        <f>F4641&amp;E4641&amp;G4641&amp;L4641</f>
        <v/>
      </c>
    </row>
    <row r="4642">
      <c r="A4642" s="94" t="n"/>
      <c r="B4642" s="128" t="n">
        <v>43874</v>
      </c>
      <c r="C4642" s="94">
        <f>TEXT(B4642,"aaa")</f>
        <v/>
      </c>
      <c r="D4642" s="94" t="n"/>
      <c r="E4642" s="94" t="inlineStr">
        <is>
          <t>클렌징폼</t>
        </is>
      </c>
      <c r="F4642" s="94" t="inlineStr">
        <is>
          <t>아누아 CS</t>
        </is>
      </c>
      <c r="G4642" s="94" t="inlineStr">
        <is>
          <t>클렌징폼 120ml</t>
        </is>
      </c>
      <c r="H4642" s="7" t="n">
        <v>190801</v>
      </c>
      <c r="I4642" s="7" t="n">
        <v>190801</v>
      </c>
      <c r="J4642" s="94" t="n"/>
      <c r="K4642" s="149" t="n">
        <v>8</v>
      </c>
      <c r="L4642" s="7" t="n">
        <v>190801</v>
      </c>
      <c r="M4642" s="94">
        <f>VLOOKUP($Q4642,매칭테이블!$F:$I,2,0)*K4642</f>
        <v/>
      </c>
      <c r="N4642" s="94">
        <f>M4642-M4642*VLOOKUP($Q4642,매칭테이블!$F:$I,3,0)</f>
        <v/>
      </c>
      <c r="O4642" s="94">
        <f>VLOOKUP($Q4642,매칭테이블!$F:$I,4,0)*K4642</f>
        <v/>
      </c>
      <c r="P4642" s="148">
        <f>M4642/1.1</f>
        <v/>
      </c>
      <c r="Q4642" s="94">
        <f>F4642&amp;E4642&amp;G4642&amp;L4642</f>
        <v/>
      </c>
    </row>
    <row r="4643">
      <c r="A4643" s="94" t="n"/>
      <c r="B4643" s="128" t="n">
        <v>43874</v>
      </c>
      <c r="C4643" s="94">
        <f>TEXT(B4643,"aaa")</f>
        <v/>
      </c>
      <c r="D4643" s="94" t="n"/>
      <c r="E4643" s="94" t="inlineStr">
        <is>
          <t>화장솜</t>
        </is>
      </c>
      <c r="F4643" s="94" t="inlineStr">
        <is>
          <t>아누아 CS</t>
        </is>
      </c>
      <c r="G4643" s="94" t="inlineStr">
        <is>
          <t>스킨팩 화장솜 60P</t>
        </is>
      </c>
      <c r="H4643" s="7" t="n">
        <v>190801</v>
      </c>
      <c r="I4643" s="7" t="n">
        <v>190801</v>
      </c>
      <c r="J4643" s="94" t="n"/>
      <c r="K4643" s="149" t="n">
        <v>8</v>
      </c>
      <c r="L4643" s="94" t="n">
        <v>190801</v>
      </c>
      <c r="M4643" s="94">
        <f>VLOOKUP($Q4643,매칭테이블!$F:$I,2,0)*K4643</f>
        <v/>
      </c>
      <c r="N4643" s="94">
        <f>M4643-M4643*VLOOKUP($Q4643,매칭테이블!$F:$I,3,0)</f>
        <v/>
      </c>
      <c r="O4643" s="94">
        <f>VLOOKUP($Q4643,매칭테이블!$F:$I,4,0)*K4643</f>
        <v/>
      </c>
      <c r="P4643" s="148">
        <f>M4643/1.1</f>
        <v/>
      </c>
      <c r="Q4643" s="94">
        <f>F4643&amp;E4643&amp;G4643&amp;L4643</f>
        <v/>
      </c>
    </row>
    <row r="4644">
      <c r="A4644" s="94" t="n"/>
      <c r="B4644" s="128" t="n">
        <v>43874</v>
      </c>
      <c r="C4644" s="94">
        <f>TEXT(B4644,"aaa")</f>
        <v/>
      </c>
      <c r="D4644" s="94" t="n"/>
      <c r="E4644" s="94" t="inlineStr">
        <is>
          <t>머드크림마스크</t>
        </is>
      </c>
      <c r="F4644" s="94" t="inlineStr">
        <is>
          <t>카페24</t>
        </is>
      </c>
      <c r="G4644" s="94" t="inlineStr">
        <is>
          <t>머드크림마스크 100ml</t>
        </is>
      </c>
      <c r="H4644" s="7" t="n">
        <v>190801</v>
      </c>
      <c r="I4644" s="7" t="n">
        <v>190801</v>
      </c>
      <c r="J4644" s="94" t="n"/>
      <c r="K4644" s="149" t="n">
        <v>11</v>
      </c>
      <c r="L4644" s="94" t="n">
        <v>190801</v>
      </c>
      <c r="M4644" s="94">
        <f>VLOOKUP($Q4644,매칭테이블!$F:$I,2,0)*K4644</f>
        <v/>
      </c>
      <c r="N4644" s="94">
        <f>M4644-M4644*VLOOKUP($Q4644,매칭테이블!$F:$I,3,0)</f>
        <v/>
      </c>
      <c r="O4644" s="94">
        <f>VLOOKUP($Q4644,매칭테이블!$F:$I,4,0)*K4644</f>
        <v/>
      </c>
      <c r="P4644" s="148">
        <f>M4644/1.1</f>
        <v/>
      </c>
      <c r="Q4644" s="94">
        <f>F4644&amp;E4644&amp;G4644&amp;L4644</f>
        <v/>
      </c>
    </row>
    <row r="4645">
      <c r="A4645" s="94" t="n"/>
      <c r="B4645" s="128" t="n">
        <v>43874</v>
      </c>
      <c r="C4645" s="94">
        <f>TEXT(B4645,"aaa")</f>
        <v/>
      </c>
      <c r="D4645" s="94" t="n"/>
      <c r="E4645" s="94" t="inlineStr">
        <is>
          <t>머드크림마스크</t>
        </is>
      </c>
      <c r="F4645" s="94" t="inlineStr">
        <is>
          <t>카페24</t>
        </is>
      </c>
      <c r="G4645" s="94" t="inlineStr">
        <is>
          <t>머드크림마스크 100ml 2set</t>
        </is>
      </c>
      <c r="H4645" s="7" t="n">
        <v>190801</v>
      </c>
      <c r="I4645" s="7" t="n">
        <v>190801</v>
      </c>
      <c r="J4645" s="94" t="n"/>
      <c r="K4645" s="149" t="n">
        <v>2</v>
      </c>
      <c r="L4645" s="94" t="n">
        <v>190801</v>
      </c>
      <c r="M4645" s="94">
        <f>VLOOKUP($Q4645,매칭테이블!$F:$I,2,0)*K4645</f>
        <v/>
      </c>
      <c r="N4645" s="94">
        <f>M4645-M4645*VLOOKUP($Q4645,매칭테이블!$F:$I,3,0)</f>
        <v/>
      </c>
      <c r="O4645" s="94">
        <f>VLOOKUP($Q4645,매칭테이블!$F:$I,4,0)*K4645</f>
        <v/>
      </c>
      <c r="P4645" s="148">
        <f>M4645/1.1</f>
        <v/>
      </c>
      <c r="Q4645" s="94">
        <f>F4645&amp;E4645&amp;G4645&amp;L4645</f>
        <v/>
      </c>
    </row>
    <row r="4646">
      <c r="A4646" s="94" t="n"/>
      <c r="B4646" s="128" t="n">
        <v>43874</v>
      </c>
      <c r="C4646" s="94">
        <f>TEXT(B4646,"aaa")</f>
        <v/>
      </c>
      <c r="D4646" s="94" t="n"/>
      <c r="E4646" s="6" t="inlineStr">
        <is>
          <t>토너</t>
        </is>
      </c>
      <c r="F4646" s="5" t="inlineStr">
        <is>
          <t>카페24</t>
        </is>
      </c>
      <c r="G4646" s="5" t="inlineStr">
        <is>
          <t>250ml</t>
        </is>
      </c>
      <c r="H4646" s="7" t="n">
        <v>190801</v>
      </c>
      <c r="I4646" s="7" t="n">
        <v>190801</v>
      </c>
      <c r="J4646" s="94" t="n"/>
      <c r="K4646" s="149" t="n">
        <v>73</v>
      </c>
      <c r="L4646" s="7" t="n">
        <v>190801</v>
      </c>
      <c r="M4646" s="94">
        <f>VLOOKUP($Q4646,매칭테이블!$F:$I,2,0)*K4646</f>
        <v/>
      </c>
      <c r="N4646" s="94">
        <f>M4646-M4646*VLOOKUP($Q4646,매칭테이블!$F:$I,3,0)</f>
        <v/>
      </c>
      <c r="O4646" s="94">
        <f>VLOOKUP($Q4646,매칭테이블!$F:$I,4,0)*K4646</f>
        <v/>
      </c>
      <c r="P4646" s="148">
        <f>M4646/1.1</f>
        <v/>
      </c>
      <c r="Q4646" s="94">
        <f>F4646&amp;E4646&amp;G4646&amp;L4646</f>
        <v/>
      </c>
    </row>
    <row r="4647">
      <c r="A4647" s="94" t="n"/>
      <c r="B4647" s="128" t="n">
        <v>43874</v>
      </c>
      <c r="C4647" s="94">
        <f>TEXT(B4647,"aaa")</f>
        <v/>
      </c>
      <c r="D4647" s="94" t="n"/>
      <c r="E4647" s="6" t="inlineStr">
        <is>
          <t>토너</t>
        </is>
      </c>
      <c r="F4647" s="5" t="inlineStr">
        <is>
          <t>카페24</t>
        </is>
      </c>
      <c r="G4647" s="5" t="inlineStr">
        <is>
          <t>250ml 2set</t>
        </is>
      </c>
      <c r="H4647" s="7" t="n">
        <v>190801</v>
      </c>
      <c r="I4647" s="7" t="n">
        <v>190801</v>
      </c>
      <c r="J4647" s="94" t="n"/>
      <c r="K4647" s="149" t="n">
        <v>57</v>
      </c>
      <c r="L4647" s="7" t="n">
        <v>190801</v>
      </c>
      <c r="M4647" s="94">
        <f>VLOOKUP($Q4647,매칭테이블!$F:$I,2,0)*K4647</f>
        <v/>
      </c>
      <c r="N4647" s="94">
        <f>M4647-M4647*VLOOKUP($Q4647,매칭테이블!$F:$I,3,0)</f>
        <v/>
      </c>
      <c r="O4647" s="94">
        <f>VLOOKUP($Q4647,매칭테이블!$F:$I,4,0)*K4647</f>
        <v/>
      </c>
      <c r="P4647" s="148">
        <f>M4647/1.1</f>
        <v/>
      </c>
      <c r="Q4647" s="94">
        <f>F4647&amp;E4647&amp;G4647&amp;L4647</f>
        <v/>
      </c>
    </row>
    <row r="4648">
      <c r="A4648" s="94" t="n"/>
      <c r="B4648" s="128" t="n">
        <v>43874</v>
      </c>
      <c r="C4648" s="94">
        <f>TEXT(B4648,"aaa")</f>
        <v/>
      </c>
      <c r="D4648" s="94" t="n"/>
      <c r="E4648" s="6" t="inlineStr">
        <is>
          <t>토너</t>
        </is>
      </c>
      <c r="F4648" s="5" t="inlineStr">
        <is>
          <t>카페24</t>
        </is>
      </c>
      <c r="G4648" s="5" t="inlineStr">
        <is>
          <t>500ml</t>
        </is>
      </c>
      <c r="H4648" s="7" t="n">
        <v>190801</v>
      </c>
      <c r="I4648" s="7" t="n">
        <v>190801</v>
      </c>
      <c r="J4648" s="94" t="n"/>
      <c r="K4648" s="149" t="n">
        <v>39</v>
      </c>
      <c r="L4648" s="7" t="n">
        <v>190801</v>
      </c>
      <c r="M4648" s="94">
        <f>VLOOKUP($Q4648,매칭테이블!$F:$I,2,0)*K4648</f>
        <v/>
      </c>
      <c r="N4648" s="94">
        <f>M4648-M4648*VLOOKUP($Q4648,매칭테이블!$F:$I,3,0)</f>
        <v/>
      </c>
      <c r="O4648" s="94">
        <f>VLOOKUP($Q4648,매칭테이블!$F:$I,4,0)*K4648</f>
        <v/>
      </c>
      <c r="P4648" s="148">
        <f>M4648/1.1</f>
        <v/>
      </c>
      <c r="Q4648" s="94">
        <f>F4648&amp;E4648&amp;G4648&amp;L4648</f>
        <v/>
      </c>
    </row>
    <row r="4649">
      <c r="A4649" s="94" t="n"/>
      <c r="B4649" s="128" t="n">
        <v>43874</v>
      </c>
      <c r="C4649" s="94">
        <f>TEXT(B4649,"aaa")</f>
        <v/>
      </c>
      <c r="D4649" s="94" t="n"/>
      <c r="E4649" s="6" t="inlineStr">
        <is>
          <t>토너</t>
        </is>
      </c>
      <c r="F4649" s="5" t="inlineStr">
        <is>
          <t>카페24</t>
        </is>
      </c>
      <c r="G4649" s="94" t="inlineStr">
        <is>
          <t>스킨팩 화장솜 60P</t>
        </is>
      </c>
      <c r="H4649" s="7" t="n">
        <v>190801</v>
      </c>
      <c r="I4649" s="7" t="n">
        <v>190801</v>
      </c>
      <c r="J4649" s="94" t="n"/>
      <c r="K4649" s="149" t="n">
        <v>65</v>
      </c>
      <c r="L4649" s="7" t="n">
        <v>190801</v>
      </c>
      <c r="M4649" s="94">
        <f>VLOOKUP($Q4649,매칭테이블!$F:$I,2,0)*K4649</f>
        <v/>
      </c>
      <c r="N4649" s="94">
        <f>M4649-M4649*VLOOKUP($Q4649,매칭테이블!$F:$I,3,0)</f>
        <v/>
      </c>
      <c r="O4649" s="94">
        <f>VLOOKUP($Q4649,매칭테이블!$F:$I,4,0)*K4649</f>
        <v/>
      </c>
      <c r="P4649" s="148">
        <f>M4649/1.1</f>
        <v/>
      </c>
      <c r="Q4649" s="94">
        <f>F4649&amp;E4649&amp;G4649&amp;L4649</f>
        <v/>
      </c>
    </row>
    <row r="4650">
      <c r="A4650" s="94" t="n"/>
      <c r="B4650" s="128" t="n">
        <v>43874</v>
      </c>
      <c r="C4650" s="94">
        <f>TEXT(B4650,"aaa")</f>
        <v/>
      </c>
      <c r="D4650" s="94" t="n"/>
      <c r="E4650" s="94" t="inlineStr">
        <is>
          <t>클렌징폼</t>
        </is>
      </c>
      <c r="F4650" s="5" t="inlineStr">
        <is>
          <t>카페24</t>
        </is>
      </c>
      <c r="G4650" s="94" t="inlineStr">
        <is>
          <t>클렌징폼 120ml</t>
        </is>
      </c>
      <c r="H4650" s="7" t="n">
        <v>190801</v>
      </c>
      <c r="I4650" s="7" t="n">
        <v>190801</v>
      </c>
      <c r="J4650" s="94" t="n"/>
      <c r="K4650" s="149" t="n">
        <v>14</v>
      </c>
      <c r="L4650" s="7" t="n">
        <v>190801</v>
      </c>
      <c r="M4650" s="94">
        <f>VLOOKUP($Q4650,매칭테이블!$F:$I,2,0)*K4650</f>
        <v/>
      </c>
      <c r="N4650" s="94">
        <f>M4650-M4650*VLOOKUP($Q4650,매칭테이블!$F:$I,3,0)</f>
        <v/>
      </c>
      <c r="O4650" s="94">
        <f>VLOOKUP($Q4650,매칭테이블!$F:$I,4,0)*K4650</f>
        <v/>
      </c>
      <c r="P4650" s="148">
        <f>M4650/1.1</f>
        <v/>
      </c>
      <c r="Q4650" s="94">
        <f>F4650&amp;E4650&amp;G4650&amp;L4650</f>
        <v/>
      </c>
    </row>
    <row r="4651">
      <c r="A4651" s="94" t="n"/>
      <c r="B4651" s="128" t="n">
        <v>43874</v>
      </c>
      <c r="C4651" s="94">
        <f>TEXT(B4651,"aaa")</f>
        <v/>
      </c>
      <c r="D4651" s="94" t="n"/>
      <c r="E4651" s="94" t="inlineStr">
        <is>
          <t>토너</t>
        </is>
      </c>
      <c r="F4651" s="94" t="inlineStr">
        <is>
          <t>큐텐</t>
        </is>
      </c>
      <c r="G4651" s="94" t="inlineStr">
        <is>
          <t>250ml</t>
        </is>
      </c>
      <c r="H4651" s="7" t="n">
        <v>190801</v>
      </c>
      <c r="I4651" s="7" t="n">
        <v>190801</v>
      </c>
      <c r="J4651" s="94" t="n"/>
      <c r="K4651" s="149" t="n">
        <v>3</v>
      </c>
      <c r="L4651" s="92" t="n">
        <v>190801</v>
      </c>
      <c r="M4651" s="94">
        <f>VLOOKUP($Q4651,매칭테이블!$F:$I,2,0)*K4651</f>
        <v/>
      </c>
      <c r="N4651" s="94">
        <f>M4651-M4651*VLOOKUP($Q4651,매칭테이블!$F:$I,3,0)</f>
        <v/>
      </c>
      <c r="O4651" s="94">
        <f>VLOOKUP($Q4651,매칭테이블!$F:$I,4,0)*K4651</f>
        <v/>
      </c>
      <c r="P4651" s="148">
        <f>M4651/1.1</f>
        <v/>
      </c>
      <c r="Q4651" s="94">
        <f>F4651&amp;E4651&amp;G4651&amp;L4651</f>
        <v/>
      </c>
    </row>
    <row r="4652">
      <c r="A4652" s="94" t="n"/>
      <c r="B4652" s="128" t="n">
        <v>43874</v>
      </c>
      <c r="C4652" s="94">
        <f>TEXT(B4652,"aaa")</f>
        <v/>
      </c>
      <c r="D4652" s="94" t="n"/>
      <c r="E4652" s="94" t="inlineStr">
        <is>
          <t>토너</t>
        </is>
      </c>
      <c r="F4652" s="94" t="inlineStr">
        <is>
          <t>큐텐</t>
        </is>
      </c>
      <c r="G4652" s="94" t="inlineStr">
        <is>
          <t>250ml 2set</t>
        </is>
      </c>
      <c r="H4652" s="7" t="n">
        <v>190801</v>
      </c>
      <c r="I4652" s="7" t="n">
        <v>190801</v>
      </c>
      <c r="J4652" s="94" t="n"/>
      <c r="K4652" s="149" t="n">
        <v>1</v>
      </c>
      <c r="L4652" s="92" t="n">
        <v>190801</v>
      </c>
      <c r="M4652" s="94">
        <f>VLOOKUP($Q4652,매칭테이블!$F:$I,2,0)*K4652</f>
        <v/>
      </c>
      <c r="N4652" s="94">
        <f>M4652-M4652*VLOOKUP($Q4652,매칭테이블!$F:$I,3,0)</f>
        <v/>
      </c>
      <c r="O4652" s="94">
        <f>VLOOKUP($Q4652,매칭테이블!$F:$I,4,0)*K4652</f>
        <v/>
      </c>
      <c r="P4652" s="148">
        <f>M4652/1.1</f>
        <v/>
      </c>
      <c r="Q4652" s="94">
        <f>F4652&amp;E4652&amp;G4652&amp;L4652</f>
        <v/>
      </c>
    </row>
    <row r="4653">
      <c r="A4653" s="94" t="n"/>
      <c r="B4653" s="128" t="n">
        <v>43875</v>
      </c>
      <c r="C4653" s="94">
        <f>TEXT(B4653,"aaa")</f>
        <v/>
      </c>
      <c r="D4653" s="94" t="n"/>
      <c r="E4653" s="6" t="inlineStr">
        <is>
          <t>토너</t>
        </is>
      </c>
      <c r="F4653" s="5" t="inlineStr">
        <is>
          <t>W컨셉</t>
        </is>
      </c>
      <c r="G4653" s="5" t="inlineStr">
        <is>
          <t>250ml 2set</t>
        </is>
      </c>
      <c r="H4653" s="7" t="n">
        <v>190801</v>
      </c>
      <c r="I4653" s="7" t="n">
        <v>190801</v>
      </c>
      <c r="J4653" s="94" t="n"/>
      <c r="K4653" s="149" t="n">
        <v>9</v>
      </c>
      <c r="L4653" s="7" t="n">
        <v>190801</v>
      </c>
      <c r="M4653" s="94">
        <f>VLOOKUP($Q4653,매칭테이블!$F:$I,2,0)*K4653</f>
        <v/>
      </c>
      <c r="N4653" s="94">
        <f>M4653-M4653*VLOOKUP($Q4653,매칭테이블!$F:$I,3,0)</f>
        <v/>
      </c>
      <c r="O4653" s="94">
        <f>VLOOKUP($Q4653,매칭테이블!$F:$I,4,0)*K4653</f>
        <v/>
      </c>
      <c r="P4653" s="148">
        <f>M4653/1.1</f>
        <v/>
      </c>
      <c r="Q4653" s="94">
        <f>F4653&amp;E4653&amp;G4653&amp;L4653</f>
        <v/>
      </c>
    </row>
    <row r="4654">
      <c r="A4654" s="94" t="n"/>
      <c r="B4654" s="128" t="n">
        <v>43875</v>
      </c>
      <c r="C4654" s="94">
        <f>TEXT(B4654,"aaa")</f>
        <v/>
      </c>
      <c r="D4654" s="94" t="n"/>
      <c r="E4654" s="94" t="inlineStr">
        <is>
          <t>토너</t>
        </is>
      </c>
      <c r="F4654" s="5" t="inlineStr">
        <is>
          <t>스타일쉐어</t>
        </is>
      </c>
      <c r="G4654" s="94" t="inlineStr">
        <is>
          <t>250ml</t>
        </is>
      </c>
      <c r="H4654" s="7" t="n">
        <v>190801</v>
      </c>
      <c r="I4654" s="7" t="n">
        <v>190801</v>
      </c>
      <c r="J4654" s="94" t="n"/>
      <c r="K4654" s="149" t="n">
        <v>11</v>
      </c>
      <c r="L4654" s="92" t="n">
        <v>190801</v>
      </c>
      <c r="M4654" s="94">
        <f>VLOOKUP($Q4654,매칭테이블!$F:$I,2,0)*K4654</f>
        <v/>
      </c>
      <c r="N4654" s="94">
        <f>M4654-M4654*VLOOKUP($Q4654,매칭테이블!$F:$I,3,0)</f>
        <v/>
      </c>
      <c r="O4654" s="94">
        <f>VLOOKUP($Q4654,매칭테이블!$F:$I,4,0)*K4654</f>
        <v/>
      </c>
      <c r="P4654" s="148">
        <f>M4654/1.1</f>
        <v/>
      </c>
      <c r="Q4654" s="94">
        <f>F4654&amp;E4654&amp;G4654&amp;L4654</f>
        <v/>
      </c>
    </row>
    <row r="4655">
      <c r="A4655" s="94" t="n"/>
      <c r="B4655" s="128" t="n">
        <v>43875</v>
      </c>
      <c r="C4655" s="94">
        <f>TEXT(B4655,"aaa")</f>
        <v/>
      </c>
      <c r="D4655" s="94" t="n"/>
      <c r="E4655" s="94" t="inlineStr">
        <is>
          <t>머드크림마스크</t>
        </is>
      </c>
      <c r="F4655" s="94" t="inlineStr">
        <is>
          <t>카페24</t>
        </is>
      </c>
      <c r="G4655" s="94" t="inlineStr">
        <is>
          <t>머드크림마스크 100ml</t>
        </is>
      </c>
      <c r="H4655" s="7" t="n">
        <v>190801</v>
      </c>
      <c r="I4655" s="7" t="n">
        <v>190801</v>
      </c>
      <c r="J4655" s="94" t="n"/>
      <c r="K4655" s="149" t="n">
        <v>4</v>
      </c>
      <c r="L4655" s="94" t="n">
        <v>190801</v>
      </c>
      <c r="M4655" s="94">
        <f>VLOOKUP($Q4655,매칭테이블!$F:$I,2,0)*K4655</f>
        <v/>
      </c>
      <c r="N4655" s="94">
        <f>M4655-M4655*VLOOKUP($Q4655,매칭테이블!$F:$I,3,0)</f>
        <v/>
      </c>
      <c r="O4655" s="94">
        <f>VLOOKUP($Q4655,매칭테이블!$F:$I,4,0)*K4655</f>
        <v/>
      </c>
      <c r="P4655" s="148">
        <f>M4655/1.1</f>
        <v/>
      </c>
      <c r="Q4655" s="94">
        <f>F4655&amp;E4655&amp;G4655&amp;L4655</f>
        <v/>
      </c>
    </row>
    <row r="4656">
      <c r="A4656" s="94" t="n"/>
      <c r="B4656" s="128" t="n">
        <v>43875</v>
      </c>
      <c r="C4656" s="94">
        <f>TEXT(B4656,"aaa")</f>
        <v/>
      </c>
      <c r="D4656" s="94" t="n"/>
      <c r="E4656" s="94" t="inlineStr">
        <is>
          <t>머드크림마스크</t>
        </is>
      </c>
      <c r="F4656" s="94" t="inlineStr">
        <is>
          <t>카페24</t>
        </is>
      </c>
      <c r="G4656" s="94" t="inlineStr">
        <is>
          <t>머드크림마스크 100ml 2set</t>
        </is>
      </c>
      <c r="H4656" s="7" t="n">
        <v>190801</v>
      </c>
      <c r="I4656" s="7" t="n">
        <v>190801</v>
      </c>
      <c r="J4656" s="94" t="n"/>
      <c r="K4656" s="149" t="n">
        <v>4</v>
      </c>
      <c r="L4656" s="94" t="n">
        <v>190801</v>
      </c>
      <c r="M4656" s="94">
        <f>VLOOKUP($Q4656,매칭테이블!$F:$I,2,0)*K4656</f>
        <v/>
      </c>
      <c r="N4656" s="94">
        <f>M4656-M4656*VLOOKUP($Q4656,매칭테이블!$F:$I,3,0)</f>
        <v/>
      </c>
      <c r="O4656" s="94">
        <f>VLOOKUP($Q4656,매칭테이블!$F:$I,4,0)*K4656</f>
        <v/>
      </c>
      <c r="P4656" s="148">
        <f>M4656/1.1</f>
        <v/>
      </c>
      <c r="Q4656" s="94">
        <f>F4656&amp;E4656&amp;G4656&amp;L4656</f>
        <v/>
      </c>
    </row>
    <row r="4657">
      <c r="A4657" s="94" t="n"/>
      <c r="B4657" s="128" t="n">
        <v>43875</v>
      </c>
      <c r="C4657" s="94">
        <f>TEXT(B4657,"aaa")</f>
        <v/>
      </c>
      <c r="D4657" s="94" t="n"/>
      <c r="E4657" s="6" t="inlineStr">
        <is>
          <t>토너</t>
        </is>
      </c>
      <c r="F4657" s="5" t="inlineStr">
        <is>
          <t>카페24</t>
        </is>
      </c>
      <c r="G4657" s="5" t="inlineStr">
        <is>
          <t>250ml</t>
        </is>
      </c>
      <c r="H4657" s="7" t="n">
        <v>190801</v>
      </c>
      <c r="I4657" s="7" t="n">
        <v>190801</v>
      </c>
      <c r="J4657" s="94" t="n"/>
      <c r="K4657" s="149" t="n">
        <v>64</v>
      </c>
      <c r="L4657" s="7" t="n">
        <v>190801</v>
      </c>
      <c r="M4657" s="94">
        <f>VLOOKUP($Q4657,매칭테이블!$F:$I,2,0)*K4657</f>
        <v/>
      </c>
      <c r="N4657" s="94">
        <f>M4657-M4657*VLOOKUP($Q4657,매칭테이블!$F:$I,3,0)</f>
        <v/>
      </c>
      <c r="O4657" s="94">
        <f>VLOOKUP($Q4657,매칭테이블!$F:$I,4,0)*K4657</f>
        <v/>
      </c>
      <c r="P4657" s="148">
        <f>M4657/1.1</f>
        <v/>
      </c>
      <c r="Q4657" s="94">
        <f>F4657&amp;E4657&amp;G4657&amp;L4657</f>
        <v/>
      </c>
    </row>
    <row r="4658">
      <c r="A4658" s="94" t="n"/>
      <c r="B4658" s="128" t="n">
        <v>43875</v>
      </c>
      <c r="C4658" s="94">
        <f>TEXT(B4658,"aaa")</f>
        <v/>
      </c>
      <c r="D4658" s="94" t="n"/>
      <c r="E4658" s="6" t="inlineStr">
        <is>
          <t>토너</t>
        </is>
      </c>
      <c r="F4658" s="5" t="inlineStr">
        <is>
          <t>카페24</t>
        </is>
      </c>
      <c r="G4658" s="5" t="inlineStr">
        <is>
          <t>250ml 2set</t>
        </is>
      </c>
      <c r="H4658" s="7" t="n">
        <v>190801</v>
      </c>
      <c r="I4658" s="7" t="n">
        <v>190801</v>
      </c>
      <c r="J4658" s="94" t="n"/>
      <c r="K4658" s="149" t="n">
        <v>37</v>
      </c>
      <c r="L4658" s="7" t="n">
        <v>190801</v>
      </c>
      <c r="M4658" s="94">
        <f>VLOOKUP($Q4658,매칭테이블!$F:$I,2,0)*K4658</f>
        <v/>
      </c>
      <c r="N4658" s="94">
        <f>M4658-M4658*VLOOKUP($Q4658,매칭테이블!$F:$I,3,0)</f>
        <v/>
      </c>
      <c r="O4658" s="94">
        <f>VLOOKUP($Q4658,매칭테이블!$F:$I,4,0)*K4658</f>
        <v/>
      </c>
      <c r="P4658" s="148">
        <f>M4658/1.1</f>
        <v/>
      </c>
      <c r="Q4658" s="94">
        <f>F4658&amp;E4658&amp;G4658&amp;L4658</f>
        <v/>
      </c>
    </row>
    <row r="4659">
      <c r="A4659" s="94" t="n"/>
      <c r="B4659" s="128" t="n">
        <v>43875</v>
      </c>
      <c r="C4659" s="94">
        <f>TEXT(B4659,"aaa")</f>
        <v/>
      </c>
      <c r="D4659" s="94" t="n"/>
      <c r="E4659" s="6" t="inlineStr">
        <is>
          <t>토너</t>
        </is>
      </c>
      <c r="F4659" s="5" t="inlineStr">
        <is>
          <t>카페24</t>
        </is>
      </c>
      <c r="G4659" s="5" t="inlineStr">
        <is>
          <t>500ml</t>
        </is>
      </c>
      <c r="H4659" s="7" t="n">
        <v>190801</v>
      </c>
      <c r="I4659" s="7" t="n">
        <v>190801</v>
      </c>
      <c r="J4659" s="94" t="n"/>
      <c r="K4659" s="149" t="n">
        <v>31</v>
      </c>
      <c r="L4659" s="7" t="n">
        <v>190801</v>
      </c>
      <c r="M4659" s="94">
        <f>VLOOKUP($Q4659,매칭테이블!$F:$I,2,0)*K4659</f>
        <v/>
      </c>
      <c r="N4659" s="94">
        <f>M4659-M4659*VLOOKUP($Q4659,매칭테이블!$F:$I,3,0)</f>
        <v/>
      </c>
      <c r="O4659" s="94">
        <f>VLOOKUP($Q4659,매칭테이블!$F:$I,4,0)*K4659</f>
        <v/>
      </c>
      <c r="P4659" s="148">
        <f>M4659/1.1</f>
        <v/>
      </c>
      <c r="Q4659" s="94">
        <f>F4659&amp;E4659&amp;G4659&amp;L4659</f>
        <v/>
      </c>
    </row>
    <row r="4660">
      <c r="A4660" s="94" t="n"/>
      <c r="B4660" s="128" t="n">
        <v>43875</v>
      </c>
      <c r="C4660" s="94">
        <f>TEXT(B4660,"aaa")</f>
        <v/>
      </c>
      <c r="D4660" s="94" t="n"/>
      <c r="E4660" s="6" t="inlineStr">
        <is>
          <t>토너</t>
        </is>
      </c>
      <c r="F4660" s="5" t="inlineStr">
        <is>
          <t>카페24</t>
        </is>
      </c>
      <c r="G4660" s="94" t="inlineStr">
        <is>
          <t>스킨팩 화장솜 60P</t>
        </is>
      </c>
      <c r="H4660" s="7" t="n">
        <v>190801</v>
      </c>
      <c r="I4660" s="7" t="n">
        <v>190801</v>
      </c>
      <c r="J4660" s="94" t="n"/>
      <c r="K4660" s="149" t="n">
        <v>51</v>
      </c>
      <c r="L4660" s="7" t="n">
        <v>190801</v>
      </c>
      <c r="M4660" s="94">
        <f>VLOOKUP($Q4660,매칭테이블!$F:$I,2,0)*K4660</f>
        <v/>
      </c>
      <c r="N4660" s="94">
        <f>M4660-M4660*VLOOKUP($Q4660,매칭테이블!$F:$I,3,0)</f>
        <v/>
      </c>
      <c r="O4660" s="94">
        <f>VLOOKUP($Q4660,매칭테이블!$F:$I,4,0)*K4660</f>
        <v/>
      </c>
      <c r="P4660" s="148">
        <f>M4660/1.1</f>
        <v/>
      </c>
      <c r="Q4660" s="94">
        <f>F4660&amp;E4660&amp;G4660&amp;L4660</f>
        <v/>
      </c>
    </row>
    <row r="4661">
      <c r="A4661" s="94" t="n"/>
      <c r="B4661" s="128" t="n">
        <v>43875</v>
      </c>
      <c r="C4661" s="94">
        <f>TEXT(B4661,"aaa")</f>
        <v/>
      </c>
      <c r="D4661" s="94" t="n"/>
      <c r="E4661" s="94" t="inlineStr">
        <is>
          <t>클렌징폼</t>
        </is>
      </c>
      <c r="F4661" s="5" t="inlineStr">
        <is>
          <t>카페24</t>
        </is>
      </c>
      <c r="G4661" s="94" t="inlineStr">
        <is>
          <t>클렌징폼 120ml</t>
        </is>
      </c>
      <c r="H4661" s="7" t="n">
        <v>190801</v>
      </c>
      <c r="I4661" s="7" t="n">
        <v>190801</v>
      </c>
      <c r="J4661" s="94" t="n"/>
      <c r="K4661" s="149" t="n">
        <v>7</v>
      </c>
      <c r="L4661" s="7" t="n">
        <v>190801</v>
      </c>
      <c r="M4661" s="94">
        <f>VLOOKUP($Q4661,매칭테이블!$F:$I,2,0)*K4661</f>
        <v/>
      </c>
      <c r="N4661" s="94">
        <f>M4661-M4661*VLOOKUP($Q4661,매칭테이블!$F:$I,3,0)</f>
        <v/>
      </c>
      <c r="O4661" s="94">
        <f>VLOOKUP($Q4661,매칭테이블!$F:$I,4,0)*K4661</f>
        <v/>
      </c>
      <c r="P4661" s="148">
        <f>M4661/1.1</f>
        <v/>
      </c>
      <c r="Q4661" s="94">
        <f>F4661&amp;E4661&amp;G4661&amp;L4661</f>
        <v/>
      </c>
    </row>
    <row r="4662">
      <c r="A4662" s="94" t="n"/>
      <c r="B4662" s="128" t="n">
        <v>43875</v>
      </c>
      <c r="C4662" s="94">
        <f>TEXT(B4662,"aaa")</f>
        <v/>
      </c>
      <c r="D4662" s="94" t="n"/>
      <c r="E4662" s="94" t="inlineStr">
        <is>
          <t>클렌징폼</t>
        </is>
      </c>
      <c r="F4662" s="94" t="inlineStr">
        <is>
          <t>카페24</t>
        </is>
      </c>
      <c r="G4662" s="94" t="inlineStr">
        <is>
          <t>클렌징폼 120ml 2set</t>
        </is>
      </c>
      <c r="H4662" s="7" t="n">
        <v>190801</v>
      </c>
      <c r="I4662" s="7" t="n">
        <v>190801</v>
      </c>
      <c r="J4662" s="94" t="n"/>
      <c r="K4662" s="149" t="n">
        <v>2</v>
      </c>
      <c r="L4662" s="7" t="n">
        <v>190801</v>
      </c>
      <c r="M4662" s="94">
        <f>VLOOKUP($Q4662,매칭테이블!$F:$I,2,0)*K4662</f>
        <v/>
      </c>
      <c r="N4662" s="94">
        <f>M4662-M4662*VLOOKUP($Q4662,매칭테이블!$F:$I,3,0)</f>
        <v/>
      </c>
      <c r="O4662" s="94">
        <f>VLOOKUP($Q4662,매칭테이블!$F:$I,4,0)*K4662</f>
        <v/>
      </c>
      <c r="P4662" s="148">
        <f>M4662/1.1</f>
        <v/>
      </c>
      <c r="Q4662" s="94">
        <f>F4662&amp;E4662&amp;G4662&amp;L4662</f>
        <v/>
      </c>
    </row>
    <row r="4663">
      <c r="A4663" s="94" t="n"/>
      <c r="B4663" s="128" t="n">
        <v>43875</v>
      </c>
      <c r="C4663" s="94">
        <f>TEXT(B4663,"aaa")</f>
        <v/>
      </c>
      <c r="D4663" s="94" t="n"/>
      <c r="E4663" s="94" t="inlineStr">
        <is>
          <t>클렌징폼</t>
        </is>
      </c>
      <c r="F4663" s="94" t="inlineStr">
        <is>
          <t>카페24</t>
        </is>
      </c>
      <c r="G4663" s="94" t="inlineStr">
        <is>
          <t>클렌징폼 120ml 3set</t>
        </is>
      </c>
      <c r="H4663" s="7" t="n">
        <v>190801</v>
      </c>
      <c r="I4663" s="7" t="n">
        <v>190801</v>
      </c>
      <c r="J4663" s="94" t="n"/>
      <c r="K4663" s="149" t="n">
        <v>1</v>
      </c>
      <c r="L4663" s="7" t="n">
        <v>190801</v>
      </c>
      <c r="M4663" s="94">
        <f>VLOOKUP($Q4663,매칭테이블!$F:$I,2,0)*K4663</f>
        <v/>
      </c>
      <c r="N4663" s="94">
        <f>M4663-M4663*VLOOKUP($Q4663,매칭테이블!$F:$I,3,0)</f>
        <v/>
      </c>
      <c r="O4663" s="94">
        <f>VLOOKUP($Q4663,매칭테이블!$F:$I,4,0)*K4663</f>
        <v/>
      </c>
      <c r="P4663" s="148">
        <f>M4663/1.1</f>
        <v/>
      </c>
      <c r="Q4663" s="94">
        <f>F4663&amp;E4663&amp;G4663&amp;L4663</f>
        <v/>
      </c>
    </row>
    <row r="4664">
      <c r="A4664" s="94" t="n"/>
      <c r="B4664" s="128" t="n">
        <v>43875</v>
      </c>
      <c r="C4664" s="94">
        <f>TEXT(B4664,"aaa")</f>
        <v/>
      </c>
      <c r="D4664" s="94" t="n"/>
      <c r="E4664" s="94" t="inlineStr">
        <is>
          <t>토너</t>
        </is>
      </c>
      <c r="F4664" s="94" t="inlineStr">
        <is>
          <t>큐텐</t>
        </is>
      </c>
      <c r="G4664" s="94" t="inlineStr">
        <is>
          <t>250ml</t>
        </is>
      </c>
      <c r="H4664" s="7" t="n">
        <v>190801</v>
      </c>
      <c r="I4664" s="7" t="n">
        <v>190801</v>
      </c>
      <c r="J4664" s="94" t="n"/>
      <c r="K4664" s="149" t="n">
        <v>2</v>
      </c>
      <c r="L4664" s="92" t="n">
        <v>190801</v>
      </c>
      <c r="M4664" s="94">
        <f>VLOOKUP($Q4664,매칭테이블!$F:$I,2,0)*K4664</f>
        <v/>
      </c>
      <c r="N4664" s="94">
        <f>M4664-M4664*VLOOKUP($Q4664,매칭테이블!$F:$I,3,0)</f>
        <v/>
      </c>
      <c r="O4664" s="94">
        <f>VLOOKUP($Q4664,매칭테이블!$F:$I,4,0)*K4664</f>
        <v/>
      </c>
      <c r="P4664" s="148">
        <f>M4664/1.1</f>
        <v/>
      </c>
      <c r="Q4664" s="94">
        <f>F4664&amp;E4664&amp;G4664&amp;L4664</f>
        <v/>
      </c>
    </row>
    <row r="4665">
      <c r="A4665" s="94" t="n"/>
      <c r="B4665" s="128" t="n">
        <v>43875</v>
      </c>
      <c r="C4665" s="94">
        <f>TEXT(B4665,"aaa")</f>
        <v/>
      </c>
      <c r="D4665" s="94" t="n"/>
      <c r="E4665" s="94" t="inlineStr">
        <is>
          <t>토너</t>
        </is>
      </c>
      <c r="F4665" s="94" t="inlineStr">
        <is>
          <t>큐텐</t>
        </is>
      </c>
      <c r="G4665" s="94" t="inlineStr">
        <is>
          <t>250ml 2set</t>
        </is>
      </c>
      <c r="H4665" s="7" t="n">
        <v>190801</v>
      </c>
      <c r="I4665" s="7" t="n">
        <v>190801</v>
      </c>
      <c r="J4665" s="94" t="n"/>
      <c r="K4665" s="149" t="n">
        <v>2</v>
      </c>
      <c r="L4665" s="92" t="n">
        <v>190801</v>
      </c>
      <c r="M4665" s="94">
        <f>VLOOKUP($Q4665,매칭테이블!$F:$I,2,0)*K4665</f>
        <v/>
      </c>
      <c r="N4665" s="94">
        <f>M4665-M4665*VLOOKUP($Q4665,매칭테이블!$F:$I,3,0)</f>
        <v/>
      </c>
      <c r="O4665" s="94">
        <f>VLOOKUP($Q4665,매칭테이블!$F:$I,4,0)*K4665</f>
        <v/>
      </c>
      <c r="P4665" s="148">
        <f>M4665/1.1</f>
        <v/>
      </c>
      <c r="Q4665" s="94">
        <f>F4665&amp;E4665&amp;G4665&amp;L4665</f>
        <v/>
      </c>
    </row>
    <row r="4666">
      <c r="A4666" s="94" t="n"/>
      <c r="B4666" s="128" t="n">
        <v>43876</v>
      </c>
      <c r="C4666" s="94">
        <f>TEXT(B4666,"aaa")</f>
        <v/>
      </c>
      <c r="D4666" s="94" t="n"/>
      <c r="E4666" s="94" t="inlineStr">
        <is>
          <t>토너</t>
        </is>
      </c>
      <c r="F4666" s="5" t="inlineStr">
        <is>
          <t>스타일쉐어</t>
        </is>
      </c>
      <c r="G4666" s="94" t="inlineStr">
        <is>
          <t>250ml</t>
        </is>
      </c>
      <c r="H4666" s="7" t="n">
        <v>190801</v>
      </c>
      <c r="I4666" s="7" t="n">
        <v>190801</v>
      </c>
      <c r="J4666" s="94" t="n"/>
      <c r="K4666" s="149" t="n">
        <v>12</v>
      </c>
      <c r="L4666" s="92" t="n">
        <v>190801</v>
      </c>
      <c r="M4666" s="94">
        <f>VLOOKUP($Q4666,매칭테이블!$F:$I,2,0)*K4666</f>
        <v/>
      </c>
      <c r="N4666" s="94">
        <f>M4666-M4666*VLOOKUP($Q4666,매칭테이블!$F:$I,3,0)</f>
        <v/>
      </c>
      <c r="O4666" s="94">
        <f>VLOOKUP($Q4666,매칭테이블!$F:$I,4,0)*K4666</f>
        <v/>
      </c>
      <c r="P4666" s="148">
        <f>M4666/1.1</f>
        <v/>
      </c>
      <c r="Q4666" s="94">
        <f>F4666&amp;E4666&amp;G4666&amp;L4666</f>
        <v/>
      </c>
    </row>
    <row r="4667">
      <c r="A4667" s="94" t="n"/>
      <c r="B4667" s="128" t="n">
        <v>43876</v>
      </c>
      <c r="C4667" s="94">
        <f>TEXT(B4667,"aaa")</f>
        <v/>
      </c>
      <c r="D4667" s="94" t="n"/>
      <c r="E4667" s="94" t="inlineStr">
        <is>
          <t>머드크림마스크</t>
        </is>
      </c>
      <c r="F4667" s="94" t="inlineStr">
        <is>
          <t>카페24</t>
        </is>
      </c>
      <c r="G4667" s="94" t="inlineStr">
        <is>
          <t>머드크림마스크 100ml</t>
        </is>
      </c>
      <c r="H4667" s="7" t="n">
        <v>190801</v>
      </c>
      <c r="I4667" s="7" t="n">
        <v>190801</v>
      </c>
      <c r="J4667" s="94" t="n"/>
      <c r="K4667" s="149" t="n">
        <v>6</v>
      </c>
      <c r="L4667" s="94" t="n">
        <v>190801</v>
      </c>
      <c r="M4667" s="94">
        <f>VLOOKUP($Q4667,매칭테이블!$F:$I,2,0)*K4667</f>
        <v/>
      </c>
      <c r="N4667" s="94">
        <f>M4667-M4667*VLOOKUP($Q4667,매칭테이블!$F:$I,3,0)</f>
        <v/>
      </c>
      <c r="O4667" s="94">
        <f>VLOOKUP($Q4667,매칭테이블!$F:$I,4,0)*K4667</f>
        <v/>
      </c>
      <c r="P4667" s="148">
        <f>M4667/1.1</f>
        <v/>
      </c>
      <c r="Q4667" s="94">
        <f>F4667&amp;E4667&amp;G4667&amp;L4667</f>
        <v/>
      </c>
    </row>
    <row r="4668">
      <c r="A4668" s="94" t="n"/>
      <c r="B4668" s="128" t="n">
        <v>43876</v>
      </c>
      <c r="C4668" s="94">
        <f>TEXT(B4668,"aaa")</f>
        <v/>
      </c>
      <c r="D4668" s="94" t="n"/>
      <c r="E4668" s="6" t="inlineStr">
        <is>
          <t>토너</t>
        </is>
      </c>
      <c r="F4668" s="5" t="inlineStr">
        <is>
          <t>카페24</t>
        </is>
      </c>
      <c r="G4668" s="5" t="inlineStr">
        <is>
          <t>250ml</t>
        </is>
      </c>
      <c r="H4668" s="7" t="n">
        <v>190801</v>
      </c>
      <c r="I4668" s="7" t="n">
        <v>190801</v>
      </c>
      <c r="J4668" s="94" t="n"/>
      <c r="K4668" s="149" t="n">
        <v>40</v>
      </c>
      <c r="L4668" s="7" t="n">
        <v>190801</v>
      </c>
      <c r="M4668" s="94">
        <f>VLOOKUP($Q4668,매칭테이블!$F:$I,2,0)*K4668</f>
        <v/>
      </c>
      <c r="N4668" s="94">
        <f>M4668-M4668*VLOOKUP($Q4668,매칭테이블!$F:$I,3,0)</f>
        <v/>
      </c>
      <c r="O4668" s="94">
        <f>VLOOKUP($Q4668,매칭테이블!$F:$I,4,0)*K4668</f>
        <v/>
      </c>
      <c r="P4668" s="148">
        <f>M4668/1.1</f>
        <v/>
      </c>
      <c r="Q4668" s="94">
        <f>F4668&amp;E4668&amp;G4668&amp;L4668</f>
        <v/>
      </c>
    </row>
    <row r="4669">
      <c r="A4669" s="94" t="n"/>
      <c r="B4669" s="128" t="n">
        <v>43876</v>
      </c>
      <c r="C4669" s="94">
        <f>TEXT(B4669,"aaa")</f>
        <v/>
      </c>
      <c r="D4669" s="94" t="n"/>
      <c r="E4669" s="6" t="inlineStr">
        <is>
          <t>토너</t>
        </is>
      </c>
      <c r="F4669" s="5" t="inlineStr">
        <is>
          <t>카페24</t>
        </is>
      </c>
      <c r="G4669" s="5" t="inlineStr">
        <is>
          <t>250ml 2set</t>
        </is>
      </c>
      <c r="H4669" s="7" t="n">
        <v>190801</v>
      </c>
      <c r="I4669" s="7" t="n">
        <v>190801</v>
      </c>
      <c r="J4669" s="94" t="n"/>
      <c r="K4669" s="149" t="n">
        <v>40</v>
      </c>
      <c r="L4669" s="7" t="n">
        <v>190801</v>
      </c>
      <c r="M4669" s="94">
        <f>VLOOKUP($Q4669,매칭테이블!$F:$I,2,0)*K4669</f>
        <v/>
      </c>
      <c r="N4669" s="94">
        <f>M4669-M4669*VLOOKUP($Q4669,매칭테이블!$F:$I,3,0)</f>
        <v/>
      </c>
      <c r="O4669" s="94">
        <f>VLOOKUP($Q4669,매칭테이블!$F:$I,4,0)*K4669</f>
        <v/>
      </c>
      <c r="P4669" s="148">
        <f>M4669/1.1</f>
        <v/>
      </c>
      <c r="Q4669" s="94">
        <f>F4669&amp;E4669&amp;G4669&amp;L4669</f>
        <v/>
      </c>
    </row>
    <row r="4670">
      <c r="A4670" s="94" t="n"/>
      <c r="B4670" s="128" t="n">
        <v>43876</v>
      </c>
      <c r="C4670" s="94">
        <f>TEXT(B4670,"aaa")</f>
        <v/>
      </c>
      <c r="D4670" s="94" t="n"/>
      <c r="E4670" s="6" t="inlineStr">
        <is>
          <t>토너</t>
        </is>
      </c>
      <c r="F4670" s="5" t="inlineStr">
        <is>
          <t>카페24</t>
        </is>
      </c>
      <c r="G4670" s="5" t="inlineStr">
        <is>
          <t>500ml</t>
        </is>
      </c>
      <c r="H4670" s="7" t="n">
        <v>190801</v>
      </c>
      <c r="I4670" s="7" t="n">
        <v>190801</v>
      </c>
      <c r="J4670" s="94" t="n"/>
      <c r="K4670" s="149" t="n">
        <v>25</v>
      </c>
      <c r="L4670" s="7" t="n">
        <v>190801</v>
      </c>
      <c r="M4670" s="94">
        <f>VLOOKUP($Q4670,매칭테이블!$F:$I,2,0)*K4670</f>
        <v/>
      </c>
      <c r="N4670" s="94">
        <f>M4670-M4670*VLOOKUP($Q4670,매칭테이블!$F:$I,3,0)</f>
        <v/>
      </c>
      <c r="O4670" s="94">
        <f>VLOOKUP($Q4670,매칭테이블!$F:$I,4,0)*K4670</f>
        <v/>
      </c>
      <c r="P4670" s="148">
        <f>M4670/1.1</f>
        <v/>
      </c>
      <c r="Q4670" s="94">
        <f>F4670&amp;E4670&amp;G4670&amp;L4670</f>
        <v/>
      </c>
    </row>
    <row r="4671">
      <c r="A4671" s="94" t="n"/>
      <c r="B4671" s="128" t="n">
        <v>43876</v>
      </c>
      <c r="C4671" s="94">
        <f>TEXT(B4671,"aaa")</f>
        <v/>
      </c>
      <c r="D4671" s="94" t="n"/>
      <c r="E4671" s="6" t="inlineStr">
        <is>
          <t>토너</t>
        </is>
      </c>
      <c r="F4671" s="5" t="inlineStr">
        <is>
          <t>카페24</t>
        </is>
      </c>
      <c r="G4671" s="94" t="inlineStr">
        <is>
          <t>스킨팩 화장솜 60P</t>
        </is>
      </c>
      <c r="H4671" s="7" t="n">
        <v>190801</v>
      </c>
      <c r="I4671" s="7" t="n">
        <v>190801</v>
      </c>
      <c r="J4671" s="94" t="n"/>
      <c r="K4671" s="149" t="n">
        <v>38</v>
      </c>
      <c r="L4671" s="7" t="n">
        <v>190801</v>
      </c>
      <c r="M4671" s="94">
        <f>VLOOKUP($Q4671,매칭테이블!$F:$I,2,0)*K4671</f>
        <v/>
      </c>
      <c r="N4671" s="94">
        <f>M4671-M4671*VLOOKUP($Q4671,매칭테이블!$F:$I,3,0)</f>
        <v/>
      </c>
      <c r="O4671" s="94">
        <f>VLOOKUP($Q4671,매칭테이블!$F:$I,4,0)*K4671</f>
        <v/>
      </c>
      <c r="P4671" s="148">
        <f>M4671/1.1</f>
        <v/>
      </c>
      <c r="Q4671" s="94">
        <f>F4671&amp;E4671&amp;G4671&amp;L4671</f>
        <v/>
      </c>
    </row>
    <row r="4672">
      <c r="A4672" s="94" t="n"/>
      <c r="B4672" s="128" t="n">
        <v>43876</v>
      </c>
      <c r="C4672" s="94">
        <f>TEXT(B4672,"aaa")</f>
        <v/>
      </c>
      <c r="D4672" s="94" t="n"/>
      <c r="E4672" s="94" t="inlineStr">
        <is>
          <t>클렌징폼</t>
        </is>
      </c>
      <c r="F4672" s="5" t="inlineStr">
        <is>
          <t>카페24</t>
        </is>
      </c>
      <c r="G4672" s="94" t="inlineStr">
        <is>
          <t>클렌징폼 120ml</t>
        </is>
      </c>
      <c r="H4672" s="7" t="n">
        <v>190801</v>
      </c>
      <c r="I4672" s="7" t="n">
        <v>190801</v>
      </c>
      <c r="J4672" s="94" t="n"/>
      <c r="K4672" s="149" t="n">
        <v>6</v>
      </c>
      <c r="L4672" s="7" t="n">
        <v>190801</v>
      </c>
      <c r="M4672" s="94">
        <f>VLOOKUP($Q4672,매칭테이블!$F:$I,2,0)*K4672</f>
        <v/>
      </c>
      <c r="N4672" s="94">
        <f>M4672-M4672*VLOOKUP($Q4672,매칭테이블!$F:$I,3,0)</f>
        <v/>
      </c>
      <c r="O4672" s="94">
        <f>VLOOKUP($Q4672,매칭테이블!$F:$I,4,0)*K4672</f>
        <v/>
      </c>
      <c r="P4672" s="148">
        <f>M4672/1.1</f>
        <v/>
      </c>
      <c r="Q4672" s="94">
        <f>F4672&amp;E4672&amp;G4672&amp;L4672</f>
        <v/>
      </c>
    </row>
    <row r="4673">
      <c r="A4673" s="94" t="n"/>
      <c r="B4673" s="128" t="n">
        <v>43876</v>
      </c>
      <c r="C4673" s="94">
        <f>TEXT(B4673,"aaa")</f>
        <v/>
      </c>
      <c r="D4673" s="94" t="n"/>
      <c r="E4673" s="94" t="inlineStr">
        <is>
          <t>클렌징폼</t>
        </is>
      </c>
      <c r="F4673" s="94" t="inlineStr">
        <is>
          <t>카페24</t>
        </is>
      </c>
      <c r="G4673" s="94" t="inlineStr">
        <is>
          <t>클렌징폼 120ml 2set</t>
        </is>
      </c>
      <c r="H4673" s="7" t="n">
        <v>190801</v>
      </c>
      <c r="I4673" s="7" t="n">
        <v>190801</v>
      </c>
      <c r="J4673" s="94" t="n"/>
      <c r="K4673" s="149" t="n">
        <v>1</v>
      </c>
      <c r="L4673" s="7" t="n">
        <v>190801</v>
      </c>
      <c r="M4673" s="94">
        <f>VLOOKUP($Q4673,매칭테이블!$F:$I,2,0)*K4673</f>
        <v/>
      </c>
      <c r="N4673" s="94">
        <f>M4673-M4673*VLOOKUP($Q4673,매칭테이블!$F:$I,3,0)</f>
        <v/>
      </c>
      <c r="O4673" s="94">
        <f>VLOOKUP($Q4673,매칭테이블!$F:$I,4,0)*K4673</f>
        <v/>
      </c>
      <c r="P4673" s="148">
        <f>M4673/1.1</f>
        <v/>
      </c>
      <c r="Q4673" s="94">
        <f>F4673&amp;E4673&amp;G4673&amp;L4673</f>
        <v/>
      </c>
    </row>
    <row r="4674">
      <c r="A4674" s="94" t="n"/>
      <c r="B4674" s="128" t="n">
        <v>43876</v>
      </c>
      <c r="C4674" s="94">
        <f>TEXT(B4674,"aaa")</f>
        <v/>
      </c>
      <c r="D4674" s="94" t="n"/>
      <c r="E4674" s="94" t="inlineStr">
        <is>
          <t>클렌징폼</t>
        </is>
      </c>
      <c r="F4674" s="94" t="inlineStr">
        <is>
          <t>카페24</t>
        </is>
      </c>
      <c r="G4674" s="94" t="inlineStr">
        <is>
          <t>클렌징폼 120ml 3set</t>
        </is>
      </c>
      <c r="H4674" s="7" t="n">
        <v>190801</v>
      </c>
      <c r="I4674" s="7" t="n">
        <v>190801</v>
      </c>
      <c r="J4674" s="94" t="n"/>
      <c r="K4674" s="149" t="n">
        <v>1</v>
      </c>
      <c r="L4674" s="7" t="n">
        <v>190801</v>
      </c>
      <c r="M4674" s="94">
        <f>VLOOKUP($Q4674,매칭테이블!$F:$I,2,0)*K4674</f>
        <v/>
      </c>
      <c r="N4674" s="94">
        <f>M4674-M4674*VLOOKUP($Q4674,매칭테이블!$F:$I,3,0)</f>
        <v/>
      </c>
      <c r="O4674" s="94">
        <f>VLOOKUP($Q4674,매칭테이블!$F:$I,4,0)*K4674</f>
        <v/>
      </c>
      <c r="P4674" s="148">
        <f>M4674/1.1</f>
        <v/>
      </c>
      <c r="Q4674" s="94">
        <f>F4674&amp;E4674&amp;G4674&amp;L4674</f>
        <v/>
      </c>
    </row>
    <row r="4675">
      <c r="A4675" s="94" t="n"/>
      <c r="B4675" s="128" t="n">
        <v>43877</v>
      </c>
      <c r="C4675" s="94">
        <f>TEXT(B4675,"aaa")</f>
        <v/>
      </c>
      <c r="D4675" s="94" t="n"/>
      <c r="E4675" s="94" t="inlineStr">
        <is>
          <t>토너</t>
        </is>
      </c>
      <c r="F4675" s="5" t="inlineStr">
        <is>
          <t>스타일쉐어</t>
        </is>
      </c>
      <c r="G4675" s="94" t="inlineStr">
        <is>
          <t>250ml</t>
        </is>
      </c>
      <c r="H4675" s="7" t="n">
        <v>190801</v>
      </c>
      <c r="I4675" s="7" t="n">
        <v>190801</v>
      </c>
      <c r="J4675" s="94" t="n"/>
      <c r="K4675" s="149" t="n">
        <v>6</v>
      </c>
      <c r="L4675" s="92" t="n">
        <v>190801</v>
      </c>
      <c r="M4675" s="94">
        <f>VLOOKUP($Q4675,매칭테이블!$F:$I,2,0)*K4675</f>
        <v/>
      </c>
      <c r="N4675" s="94">
        <f>M4675-M4675*VLOOKUP($Q4675,매칭테이블!$F:$I,3,0)</f>
        <v/>
      </c>
      <c r="O4675" s="94">
        <f>VLOOKUP($Q4675,매칭테이블!$F:$I,4,0)*K4675</f>
        <v/>
      </c>
      <c r="P4675" s="148">
        <f>M4675/1.1</f>
        <v/>
      </c>
      <c r="Q4675" s="94">
        <f>F4675&amp;E4675&amp;G4675&amp;L4675</f>
        <v/>
      </c>
    </row>
    <row r="4676">
      <c r="A4676" s="94" t="n"/>
      <c r="B4676" s="128" t="n">
        <v>43877</v>
      </c>
      <c r="C4676" s="94">
        <f>TEXT(B4676,"aaa")</f>
        <v/>
      </c>
      <c r="D4676" s="94" t="n"/>
      <c r="E4676" s="94" t="inlineStr">
        <is>
          <t>머드크림마스크</t>
        </is>
      </c>
      <c r="F4676" s="94" t="inlineStr">
        <is>
          <t>카페24</t>
        </is>
      </c>
      <c r="G4676" s="94" t="inlineStr">
        <is>
          <t>머드크림마스크 100ml</t>
        </is>
      </c>
      <c r="H4676" s="7" t="n">
        <v>190801</v>
      </c>
      <c r="I4676" s="7" t="n">
        <v>190801</v>
      </c>
      <c r="J4676" s="94" t="n"/>
      <c r="K4676" s="149" t="n">
        <v>11</v>
      </c>
      <c r="L4676" s="94" t="n">
        <v>190801</v>
      </c>
      <c r="M4676" s="94">
        <f>VLOOKUP($Q4676,매칭테이블!$F:$I,2,0)*K4676</f>
        <v/>
      </c>
      <c r="N4676" s="94">
        <f>M4676-M4676*VLOOKUP($Q4676,매칭테이블!$F:$I,3,0)</f>
        <v/>
      </c>
      <c r="O4676" s="94">
        <f>VLOOKUP($Q4676,매칭테이블!$F:$I,4,0)*K4676</f>
        <v/>
      </c>
      <c r="P4676" s="148">
        <f>M4676/1.1</f>
        <v/>
      </c>
      <c r="Q4676" s="94">
        <f>F4676&amp;E4676&amp;G4676&amp;L4676</f>
        <v/>
      </c>
    </row>
    <row r="4677">
      <c r="A4677" s="94" t="n"/>
      <c r="B4677" s="128" t="n">
        <v>43877</v>
      </c>
      <c r="C4677" s="94">
        <f>TEXT(B4677,"aaa")</f>
        <v/>
      </c>
      <c r="D4677" s="94" t="n"/>
      <c r="E4677" s="94" t="inlineStr">
        <is>
          <t>머드크림마스크</t>
        </is>
      </c>
      <c r="F4677" s="94" t="inlineStr">
        <is>
          <t>카페24</t>
        </is>
      </c>
      <c r="G4677" s="94" t="inlineStr">
        <is>
          <t>머드크림마스크 100ml 2set</t>
        </is>
      </c>
      <c r="H4677" s="7" t="n">
        <v>190801</v>
      </c>
      <c r="I4677" s="7" t="n">
        <v>190801</v>
      </c>
      <c r="J4677" s="94" t="n"/>
      <c r="K4677" s="149" t="n">
        <v>3</v>
      </c>
      <c r="L4677" s="94" t="n">
        <v>190801</v>
      </c>
      <c r="M4677" s="94">
        <f>VLOOKUP($Q4677,매칭테이블!$F:$I,2,0)*K4677</f>
        <v/>
      </c>
      <c r="N4677" s="94">
        <f>M4677-M4677*VLOOKUP($Q4677,매칭테이블!$F:$I,3,0)</f>
        <v/>
      </c>
      <c r="O4677" s="94">
        <f>VLOOKUP($Q4677,매칭테이블!$F:$I,4,0)*K4677</f>
        <v/>
      </c>
      <c r="P4677" s="148">
        <f>M4677/1.1</f>
        <v/>
      </c>
      <c r="Q4677" s="94">
        <f>F4677&amp;E4677&amp;G4677&amp;L4677</f>
        <v/>
      </c>
    </row>
    <row r="4678">
      <c r="A4678" s="94" t="n"/>
      <c r="B4678" s="128" t="n">
        <v>43877</v>
      </c>
      <c r="C4678" s="94">
        <f>TEXT(B4678,"aaa")</f>
        <v/>
      </c>
      <c r="D4678" s="94" t="n"/>
      <c r="E4678" s="6" t="inlineStr">
        <is>
          <t>토너</t>
        </is>
      </c>
      <c r="F4678" s="5" t="inlineStr">
        <is>
          <t>카페24</t>
        </is>
      </c>
      <c r="G4678" s="5" t="inlineStr">
        <is>
          <t>250ml</t>
        </is>
      </c>
      <c r="H4678" s="7" t="n">
        <v>190801</v>
      </c>
      <c r="I4678" s="7" t="n">
        <v>190801</v>
      </c>
      <c r="J4678" s="94" t="n"/>
      <c r="K4678" s="149" t="n">
        <v>39</v>
      </c>
      <c r="L4678" s="7" t="n">
        <v>190801</v>
      </c>
      <c r="M4678" s="94">
        <f>VLOOKUP($Q4678,매칭테이블!$F:$I,2,0)*K4678</f>
        <v/>
      </c>
      <c r="N4678" s="94">
        <f>M4678-M4678*VLOOKUP($Q4678,매칭테이블!$F:$I,3,0)</f>
        <v/>
      </c>
      <c r="O4678" s="94">
        <f>VLOOKUP($Q4678,매칭테이블!$F:$I,4,0)*K4678</f>
        <v/>
      </c>
      <c r="P4678" s="148">
        <f>M4678/1.1</f>
        <v/>
      </c>
      <c r="Q4678" s="94">
        <f>F4678&amp;E4678&amp;G4678&amp;L4678</f>
        <v/>
      </c>
    </row>
    <row r="4679">
      <c r="A4679" s="94" t="n"/>
      <c r="B4679" s="128" t="n">
        <v>43877</v>
      </c>
      <c r="C4679" s="94">
        <f>TEXT(B4679,"aaa")</f>
        <v/>
      </c>
      <c r="D4679" s="94" t="n"/>
      <c r="E4679" s="6" t="inlineStr">
        <is>
          <t>토너</t>
        </is>
      </c>
      <c r="F4679" s="5" t="inlineStr">
        <is>
          <t>카페24</t>
        </is>
      </c>
      <c r="G4679" s="5" t="inlineStr">
        <is>
          <t>250ml 2set</t>
        </is>
      </c>
      <c r="H4679" s="7" t="n">
        <v>190801</v>
      </c>
      <c r="I4679" s="7" t="n">
        <v>190801</v>
      </c>
      <c r="J4679" s="94" t="n"/>
      <c r="K4679" s="149" t="n">
        <v>30</v>
      </c>
      <c r="L4679" s="7" t="n">
        <v>190801</v>
      </c>
      <c r="M4679" s="94">
        <f>VLOOKUP($Q4679,매칭테이블!$F:$I,2,0)*K4679</f>
        <v/>
      </c>
      <c r="N4679" s="94">
        <f>M4679-M4679*VLOOKUP($Q4679,매칭테이블!$F:$I,3,0)</f>
        <v/>
      </c>
      <c r="O4679" s="94">
        <f>VLOOKUP($Q4679,매칭테이블!$F:$I,4,0)*K4679</f>
        <v/>
      </c>
      <c r="P4679" s="148">
        <f>M4679/1.1</f>
        <v/>
      </c>
      <c r="Q4679" s="94">
        <f>F4679&amp;E4679&amp;G4679&amp;L4679</f>
        <v/>
      </c>
    </row>
    <row r="4680">
      <c r="A4680" s="94" t="n"/>
      <c r="B4680" s="128" t="n">
        <v>43877</v>
      </c>
      <c r="C4680" s="94">
        <f>TEXT(B4680,"aaa")</f>
        <v/>
      </c>
      <c r="D4680" s="94" t="n"/>
      <c r="E4680" s="6" t="inlineStr">
        <is>
          <t>토너</t>
        </is>
      </c>
      <c r="F4680" s="5" t="inlineStr">
        <is>
          <t>카페24</t>
        </is>
      </c>
      <c r="G4680" s="5" t="inlineStr">
        <is>
          <t>500ml</t>
        </is>
      </c>
      <c r="H4680" s="7" t="n">
        <v>190801</v>
      </c>
      <c r="I4680" s="7" t="n">
        <v>190801</v>
      </c>
      <c r="J4680" s="94" t="n"/>
      <c r="K4680" s="149" t="n">
        <v>33</v>
      </c>
      <c r="L4680" s="7" t="n">
        <v>190801</v>
      </c>
      <c r="M4680" s="94">
        <f>VLOOKUP($Q4680,매칭테이블!$F:$I,2,0)*K4680</f>
        <v/>
      </c>
      <c r="N4680" s="94">
        <f>M4680-M4680*VLOOKUP($Q4680,매칭테이블!$F:$I,3,0)</f>
        <v/>
      </c>
      <c r="O4680" s="94">
        <f>VLOOKUP($Q4680,매칭테이블!$F:$I,4,0)*K4680</f>
        <v/>
      </c>
      <c r="P4680" s="148">
        <f>M4680/1.1</f>
        <v/>
      </c>
      <c r="Q4680" s="94">
        <f>F4680&amp;E4680&amp;G4680&amp;L4680</f>
        <v/>
      </c>
    </row>
    <row r="4681">
      <c r="A4681" s="94" t="n"/>
      <c r="B4681" s="128" t="n">
        <v>43877</v>
      </c>
      <c r="C4681" s="94">
        <f>TEXT(B4681,"aaa")</f>
        <v/>
      </c>
      <c r="D4681" s="94" t="n"/>
      <c r="E4681" s="6" t="inlineStr">
        <is>
          <t>토너</t>
        </is>
      </c>
      <c r="F4681" s="5" t="inlineStr">
        <is>
          <t>카페24</t>
        </is>
      </c>
      <c r="G4681" s="94" t="inlineStr">
        <is>
          <t>스킨팩 화장솜 60P</t>
        </is>
      </c>
      <c r="H4681" s="7" t="n">
        <v>190801</v>
      </c>
      <c r="I4681" s="7" t="n">
        <v>190801</v>
      </c>
      <c r="J4681" s="94" t="n"/>
      <c r="K4681" s="149" t="n">
        <v>57</v>
      </c>
      <c r="L4681" s="7" t="n">
        <v>190801</v>
      </c>
      <c r="M4681" s="94">
        <f>VLOOKUP($Q4681,매칭테이블!$F:$I,2,0)*K4681</f>
        <v/>
      </c>
      <c r="N4681" s="94">
        <f>M4681-M4681*VLOOKUP($Q4681,매칭테이블!$F:$I,3,0)</f>
        <v/>
      </c>
      <c r="O4681" s="94">
        <f>VLOOKUP($Q4681,매칭테이블!$F:$I,4,0)*K4681</f>
        <v/>
      </c>
      <c r="P4681" s="148">
        <f>M4681/1.1</f>
        <v/>
      </c>
      <c r="Q4681" s="94">
        <f>F4681&amp;E4681&amp;G4681&amp;L4681</f>
        <v/>
      </c>
    </row>
    <row r="4682">
      <c r="A4682" s="94" t="n"/>
      <c r="B4682" s="128" t="n">
        <v>43877</v>
      </c>
      <c r="C4682" s="94">
        <f>TEXT(B4682,"aaa")</f>
        <v/>
      </c>
      <c r="D4682" s="94" t="n"/>
      <c r="E4682" s="94" t="inlineStr">
        <is>
          <t>클렌징폼</t>
        </is>
      </c>
      <c r="F4682" s="5" t="inlineStr">
        <is>
          <t>카페24</t>
        </is>
      </c>
      <c r="G4682" s="94" t="inlineStr">
        <is>
          <t>클렌징폼 120ml</t>
        </is>
      </c>
      <c r="H4682" s="7" t="n">
        <v>190801</v>
      </c>
      <c r="I4682" s="7" t="n">
        <v>190801</v>
      </c>
      <c r="J4682" s="94" t="n"/>
      <c r="K4682" s="149" t="n">
        <v>8</v>
      </c>
      <c r="L4682" s="7" t="n">
        <v>190801</v>
      </c>
      <c r="M4682" s="94">
        <f>VLOOKUP($Q4682,매칭테이블!$F:$I,2,0)*K4682</f>
        <v/>
      </c>
      <c r="N4682" s="94">
        <f>M4682-M4682*VLOOKUP($Q4682,매칭테이블!$F:$I,3,0)</f>
        <v/>
      </c>
      <c r="O4682" s="94">
        <f>VLOOKUP($Q4682,매칭테이블!$F:$I,4,0)*K4682</f>
        <v/>
      </c>
      <c r="P4682" s="148">
        <f>M4682/1.1</f>
        <v/>
      </c>
      <c r="Q4682" s="94">
        <f>F4682&amp;E4682&amp;G4682&amp;L4682</f>
        <v/>
      </c>
    </row>
    <row r="4683">
      <c r="A4683" s="94" t="n"/>
      <c r="B4683" s="128" t="n">
        <v>43877</v>
      </c>
      <c r="C4683" s="94">
        <f>TEXT(B4683,"aaa")</f>
        <v/>
      </c>
      <c r="D4683" s="94" t="n"/>
      <c r="E4683" s="94" t="inlineStr">
        <is>
          <t>클렌징폼</t>
        </is>
      </c>
      <c r="F4683" s="94" t="inlineStr">
        <is>
          <t>카페24</t>
        </is>
      </c>
      <c r="G4683" s="94" t="inlineStr">
        <is>
          <t>클렌징폼 120ml 2set</t>
        </is>
      </c>
      <c r="H4683" s="7" t="n">
        <v>190801</v>
      </c>
      <c r="I4683" s="7" t="n">
        <v>190801</v>
      </c>
      <c r="J4683" s="94" t="n"/>
      <c r="K4683" s="149" t="n">
        <v>1</v>
      </c>
      <c r="L4683" s="7" t="n">
        <v>190801</v>
      </c>
      <c r="M4683" s="94">
        <f>VLOOKUP($Q4683,매칭테이블!$F:$I,2,0)*K4683</f>
        <v/>
      </c>
      <c r="N4683" s="94">
        <f>M4683-M4683*VLOOKUP($Q4683,매칭테이블!$F:$I,3,0)</f>
        <v/>
      </c>
      <c r="O4683" s="94">
        <f>VLOOKUP($Q4683,매칭테이블!$F:$I,4,0)*K4683</f>
        <v/>
      </c>
      <c r="P4683" s="148">
        <f>M4683/1.1</f>
        <v/>
      </c>
      <c r="Q4683" s="94">
        <f>F4683&amp;E4683&amp;G4683&amp;L4683</f>
        <v/>
      </c>
    </row>
    <row r="4684">
      <c r="A4684" s="94" t="n"/>
      <c r="B4684" s="128" t="n">
        <v>43870</v>
      </c>
      <c r="C4684" s="94">
        <f>TEXT(B4684,"aaa")</f>
        <v/>
      </c>
      <c r="D4684" s="94" t="n"/>
      <c r="E4684" s="6" t="inlineStr">
        <is>
          <t>토너</t>
        </is>
      </c>
      <c r="F4684" s="5" t="inlineStr">
        <is>
          <t>랄라블라</t>
        </is>
      </c>
      <c r="G4684" s="5" t="inlineStr">
        <is>
          <t>250ml</t>
        </is>
      </c>
      <c r="H4684" s="7" t="n">
        <v>190801</v>
      </c>
      <c r="I4684" s="7" t="n">
        <v>190801</v>
      </c>
      <c r="J4684" s="94" t="n"/>
      <c r="K4684" s="149" t="n">
        <v>419</v>
      </c>
      <c r="L4684" s="7" t="n">
        <v>190801</v>
      </c>
      <c r="M4684" s="94">
        <f>VLOOKUP($Q4684,매칭테이블!$F:$I,2,0)*K4684</f>
        <v/>
      </c>
      <c r="N4684" s="94">
        <f>M4684-M4684*VLOOKUP($Q4684,매칭테이블!$F:$I,3,0)</f>
        <v/>
      </c>
      <c r="O4684" s="94">
        <f>VLOOKUP($Q4684,매칭테이블!$F:$I,4,0)*K4684</f>
        <v/>
      </c>
      <c r="P4684" s="148">
        <f>M4684/1.1</f>
        <v/>
      </c>
      <c r="Q4684" s="94">
        <f>F4684&amp;E4684&amp;G4684&amp;L4684</f>
        <v/>
      </c>
    </row>
    <row r="4685">
      <c r="A4685" s="94" t="n"/>
      <c r="B4685" s="128" t="n">
        <v>43870</v>
      </c>
      <c r="C4685" s="94">
        <f>TEXT(B4685,"aaa")</f>
        <v/>
      </c>
      <c r="D4685" s="94" t="n"/>
      <c r="E4685" s="94" t="inlineStr">
        <is>
          <t>클렌징폼</t>
        </is>
      </c>
      <c r="F4685" s="5" t="inlineStr">
        <is>
          <t>랄라블라</t>
        </is>
      </c>
      <c r="G4685" s="94" t="inlineStr">
        <is>
          <t>클렌징폼 120ml</t>
        </is>
      </c>
      <c r="H4685" s="7" t="n">
        <v>190801</v>
      </c>
      <c r="I4685" s="7" t="n">
        <v>190801</v>
      </c>
      <c r="J4685" s="94" t="n"/>
      <c r="K4685" s="149" t="n">
        <v>3</v>
      </c>
      <c r="L4685" s="7" t="n">
        <v>190801</v>
      </c>
      <c r="M4685" s="94">
        <f>VLOOKUP($Q4685,매칭테이블!$F:$I,2,0)*K4685</f>
        <v/>
      </c>
      <c r="N4685" s="94">
        <f>M4685-M4685*VLOOKUP($Q4685,매칭테이블!$F:$I,3,0)</f>
        <v/>
      </c>
      <c r="O4685" s="94">
        <f>VLOOKUP($Q4685,매칭테이블!$F:$I,4,0)*K4685</f>
        <v/>
      </c>
      <c r="P4685" s="148">
        <f>M4685/1.1</f>
        <v/>
      </c>
      <c r="Q4685" s="94">
        <f>F4685&amp;E4685&amp;G4685&amp;L4685</f>
        <v/>
      </c>
    </row>
    <row r="4686">
      <c r="A4686" s="94" t="n"/>
      <c r="B4686" s="128" t="n">
        <v>43877</v>
      </c>
      <c r="C4686" s="94">
        <f>TEXT(B4686,"aaa")</f>
        <v/>
      </c>
      <c r="D4686" s="94" t="n"/>
      <c r="E4686" s="6" t="inlineStr">
        <is>
          <t>토너</t>
        </is>
      </c>
      <c r="F4686" s="5" t="inlineStr">
        <is>
          <t>랄라블라</t>
        </is>
      </c>
      <c r="G4686" s="5" t="inlineStr">
        <is>
          <t>250ml</t>
        </is>
      </c>
      <c r="H4686" s="7" t="n">
        <v>190801</v>
      </c>
      <c r="I4686" s="7" t="n">
        <v>190801</v>
      </c>
      <c r="J4686" s="94" t="n"/>
      <c r="K4686" s="149" t="n">
        <v>551</v>
      </c>
      <c r="L4686" s="7" t="n">
        <v>190801</v>
      </c>
      <c r="M4686" s="94">
        <f>VLOOKUP($Q4686,매칭테이블!$F:$I,2,0)*K4686</f>
        <v/>
      </c>
      <c r="N4686" s="94">
        <f>M4686-M4686*VLOOKUP($Q4686,매칭테이블!$F:$I,3,0)</f>
        <v/>
      </c>
      <c r="O4686" s="94">
        <f>VLOOKUP($Q4686,매칭테이블!$F:$I,4,0)*K4686</f>
        <v/>
      </c>
      <c r="P4686" s="148">
        <f>M4686/1.1</f>
        <v/>
      </c>
      <c r="Q4686" s="94">
        <f>F4686&amp;E4686&amp;G4686&amp;L4686</f>
        <v/>
      </c>
    </row>
    <row r="4687">
      <c r="A4687" s="94" t="n"/>
      <c r="B4687" s="128" t="n">
        <v>43877</v>
      </c>
      <c r="C4687" s="94">
        <f>TEXT(B4687,"aaa")</f>
        <v/>
      </c>
      <c r="D4687" s="94" t="n"/>
      <c r="E4687" s="94" t="inlineStr">
        <is>
          <t>클렌징폼</t>
        </is>
      </c>
      <c r="F4687" s="5" t="inlineStr">
        <is>
          <t>랄라블라</t>
        </is>
      </c>
      <c r="G4687" s="94" t="inlineStr">
        <is>
          <t>클렌징폼 120ml</t>
        </is>
      </c>
      <c r="H4687" s="7" t="n">
        <v>190801</v>
      </c>
      <c r="I4687" s="7" t="n">
        <v>190801</v>
      </c>
      <c r="J4687" s="94" t="n"/>
      <c r="K4687" s="149" t="n">
        <v>8</v>
      </c>
      <c r="L4687" s="7" t="n">
        <v>190801</v>
      </c>
      <c r="M4687" s="94">
        <f>VLOOKUP($Q4687,매칭테이블!$F:$I,2,0)*K4687</f>
        <v/>
      </c>
      <c r="N4687" s="94">
        <f>M4687-M4687*VLOOKUP($Q4687,매칭테이블!$F:$I,3,0)</f>
        <v/>
      </c>
      <c r="O4687" s="94">
        <f>VLOOKUP($Q4687,매칭테이블!$F:$I,4,0)*K4687</f>
        <v/>
      </c>
      <c r="P4687" s="148">
        <f>M4687/1.1</f>
        <v/>
      </c>
      <c r="Q4687" s="94">
        <f>F4687&amp;E4687&amp;G4687&amp;L4687</f>
        <v/>
      </c>
    </row>
    <row r="4688">
      <c r="A4688" s="94" t="n"/>
      <c r="B4688" s="128" t="n">
        <v>43877</v>
      </c>
      <c r="C4688" s="94">
        <f>TEXT(B4688,"aaa")</f>
        <v/>
      </c>
      <c r="D4688" s="94" t="n"/>
      <c r="E4688" s="94" t="inlineStr">
        <is>
          <t>머드크림마스크</t>
        </is>
      </c>
      <c r="F4688" s="5" t="inlineStr">
        <is>
          <t>랄라블라</t>
        </is>
      </c>
      <c r="G4688" s="94" t="inlineStr">
        <is>
          <t>머드크림마스크 100ml</t>
        </is>
      </c>
      <c r="H4688" s="7" t="n">
        <v>190801</v>
      </c>
      <c r="I4688" s="7" t="n">
        <v>190801</v>
      </c>
      <c r="J4688" s="94" t="n"/>
      <c r="K4688" s="149" t="n">
        <v>5</v>
      </c>
      <c r="L4688" s="94" t="n">
        <v>190801</v>
      </c>
      <c r="M4688" s="94">
        <f>VLOOKUP($Q4688,매칭테이블!$F:$I,2,0)*K4688</f>
        <v/>
      </c>
      <c r="N4688" s="94">
        <f>M4688-M4688*VLOOKUP($Q4688,매칭테이블!$F:$I,3,0)</f>
        <v/>
      </c>
      <c r="O4688" s="94">
        <f>VLOOKUP($Q4688,매칭테이블!$F:$I,4,0)*K4688</f>
        <v/>
      </c>
      <c r="P4688" s="148">
        <f>M4688/1.1</f>
        <v/>
      </c>
      <c r="Q4688" s="94">
        <f>F4688&amp;E4688&amp;G4688&amp;L4688</f>
        <v/>
      </c>
    </row>
    <row r="4689">
      <c r="A4689" s="94" t="n"/>
      <c r="B4689" s="128" t="n">
        <v>43878</v>
      </c>
      <c r="C4689" s="94">
        <f>TEXT(B4689,"aaa")</f>
        <v/>
      </c>
      <c r="D4689" s="94" t="n"/>
      <c r="E4689" s="6" t="inlineStr">
        <is>
          <t>토너</t>
        </is>
      </c>
      <c r="F4689" s="5" t="inlineStr">
        <is>
          <t>W컨셉</t>
        </is>
      </c>
      <c r="G4689" s="5" t="inlineStr">
        <is>
          <t>250ml</t>
        </is>
      </c>
      <c r="H4689" s="7" t="n">
        <v>190801</v>
      </c>
      <c r="I4689" s="7" t="n">
        <v>190801</v>
      </c>
      <c r="J4689" s="94" t="n"/>
      <c r="K4689" s="149" t="n">
        <v>1</v>
      </c>
      <c r="L4689" s="7" t="n">
        <v>190801</v>
      </c>
      <c r="M4689" s="94">
        <f>VLOOKUP($Q4689,매칭테이블!$F:$I,2,0)*K4689</f>
        <v/>
      </c>
      <c r="N4689" s="94">
        <f>M4689-M4689*VLOOKUP($Q4689,매칭테이블!$F:$I,3,0)</f>
        <v/>
      </c>
      <c r="O4689" s="94">
        <f>VLOOKUP($Q4689,매칭테이블!$F:$I,4,0)*K4689</f>
        <v/>
      </c>
      <c r="P4689" s="148">
        <f>M4689/1.1</f>
        <v/>
      </c>
      <c r="Q4689" s="94">
        <f>F4689&amp;E4689&amp;G4689&amp;L4689</f>
        <v/>
      </c>
    </row>
    <row r="4690">
      <c r="A4690" s="94" t="n"/>
      <c r="B4690" s="128" t="n">
        <v>43878</v>
      </c>
      <c r="C4690" s="94">
        <f>TEXT(B4690,"aaa")</f>
        <v/>
      </c>
      <c r="D4690" s="94" t="n"/>
      <c r="E4690" s="6" t="inlineStr">
        <is>
          <t>토너</t>
        </is>
      </c>
      <c r="F4690" s="5" t="inlineStr">
        <is>
          <t>W컨셉</t>
        </is>
      </c>
      <c r="G4690" s="5" t="inlineStr">
        <is>
          <t>250ml 2set</t>
        </is>
      </c>
      <c r="H4690" s="7" t="n">
        <v>190801</v>
      </c>
      <c r="I4690" s="7" t="n">
        <v>190801</v>
      </c>
      <c r="J4690" s="94" t="n"/>
      <c r="K4690" s="149" t="n">
        <v>136</v>
      </c>
      <c r="L4690" s="7" t="n">
        <v>190801</v>
      </c>
      <c r="M4690" s="94">
        <f>VLOOKUP($Q4690,매칭테이블!$F:$I,2,0)*K4690</f>
        <v/>
      </c>
      <c r="N4690" s="94">
        <f>M4690-M4690*VLOOKUP($Q4690,매칭테이블!$F:$I,3,0)</f>
        <v/>
      </c>
      <c r="O4690" s="94">
        <f>VLOOKUP($Q4690,매칭테이블!$F:$I,4,0)*K4690</f>
        <v/>
      </c>
      <c r="P4690" s="148">
        <f>M4690/1.1</f>
        <v/>
      </c>
      <c r="Q4690" s="94">
        <f>F4690&amp;E4690&amp;G4690&amp;L4690</f>
        <v/>
      </c>
    </row>
    <row r="4691">
      <c r="A4691" s="94" t="n"/>
      <c r="B4691" s="128" t="n">
        <v>43878</v>
      </c>
      <c r="C4691" s="94">
        <f>TEXT(B4691,"aaa")</f>
        <v/>
      </c>
      <c r="D4691" s="94" t="n"/>
      <c r="E4691" s="94" t="inlineStr">
        <is>
          <t>토너</t>
        </is>
      </c>
      <c r="F4691" s="5" t="inlineStr">
        <is>
          <t>스타일쉐어</t>
        </is>
      </c>
      <c r="G4691" s="94" t="inlineStr">
        <is>
          <t>250ml</t>
        </is>
      </c>
      <c r="H4691" s="7" t="n">
        <v>190801</v>
      </c>
      <c r="I4691" s="7" t="n">
        <v>190801</v>
      </c>
      <c r="J4691" s="94" t="n"/>
      <c r="K4691" s="149" t="n">
        <v>11</v>
      </c>
      <c r="L4691" s="92" t="n">
        <v>190801</v>
      </c>
      <c r="M4691" s="94">
        <f>VLOOKUP($Q4691,매칭테이블!$F:$I,2,0)*K4691</f>
        <v/>
      </c>
      <c r="N4691" s="94">
        <f>M4691-M4691*VLOOKUP($Q4691,매칭테이블!$F:$I,3,0)</f>
        <v/>
      </c>
      <c r="O4691" s="94">
        <f>VLOOKUP($Q4691,매칭테이블!$F:$I,4,0)*K4691</f>
        <v/>
      </c>
      <c r="P4691" s="148">
        <f>M4691/1.1</f>
        <v/>
      </c>
      <c r="Q4691" s="94">
        <f>F4691&amp;E4691&amp;G4691&amp;L4691</f>
        <v/>
      </c>
    </row>
    <row r="4692">
      <c r="A4692" s="94" t="n"/>
      <c r="B4692" s="128" t="n">
        <v>43878</v>
      </c>
      <c r="C4692" s="94">
        <f>TEXT(B4692,"aaa")</f>
        <v/>
      </c>
      <c r="D4692" s="94" t="n"/>
      <c r="E4692" s="6" t="inlineStr">
        <is>
          <t>토너</t>
        </is>
      </c>
      <c r="F4692" s="94" t="inlineStr">
        <is>
          <t>아누아 CS</t>
        </is>
      </c>
      <c r="G4692" s="5" t="inlineStr">
        <is>
          <t>250ml</t>
        </is>
      </c>
      <c r="H4692" s="7" t="n">
        <v>190801</v>
      </c>
      <c r="I4692" s="7" t="n">
        <v>190801</v>
      </c>
      <c r="J4692" s="94" t="n"/>
      <c r="K4692" s="149" t="n">
        <v>2</v>
      </c>
      <c r="L4692" s="7" t="n">
        <v>190801</v>
      </c>
      <c r="M4692" s="94">
        <f>VLOOKUP($Q4692,매칭테이블!$F:$I,2,0)*K4692</f>
        <v/>
      </c>
      <c r="N4692" s="94">
        <f>M4692-M4692*VLOOKUP($Q4692,매칭테이블!$F:$I,3,0)</f>
        <v/>
      </c>
      <c r="O4692" s="94">
        <f>VLOOKUP($Q4692,매칭테이블!$F:$I,4,0)*K4692</f>
        <v/>
      </c>
      <c r="P4692" s="148">
        <f>M4692/1.1</f>
        <v/>
      </c>
      <c r="Q4692" s="94">
        <f>F4692&amp;E4692&amp;G4692&amp;L4692</f>
        <v/>
      </c>
    </row>
    <row r="4693">
      <c r="A4693" s="94" t="n"/>
      <c r="B4693" s="128" t="n">
        <v>43878</v>
      </c>
      <c r="C4693" s="94">
        <f>TEXT(B4693,"aaa")</f>
        <v/>
      </c>
      <c r="D4693" s="94" t="n"/>
      <c r="E4693" s="94" t="inlineStr">
        <is>
          <t>클렌징폼</t>
        </is>
      </c>
      <c r="F4693" s="94" t="inlineStr">
        <is>
          <t>아누아 CS</t>
        </is>
      </c>
      <c r="G4693" s="94" t="inlineStr">
        <is>
          <t>클렌징폼 120ml</t>
        </is>
      </c>
      <c r="H4693" s="7" t="n">
        <v>190801</v>
      </c>
      <c r="I4693" s="7" t="n">
        <v>190801</v>
      </c>
      <c r="J4693" s="94" t="n"/>
      <c r="K4693" s="149" t="n">
        <v>2</v>
      </c>
      <c r="L4693" s="7" t="n">
        <v>190801</v>
      </c>
      <c r="M4693" s="94">
        <f>VLOOKUP($Q4693,매칭테이블!$F:$I,2,0)*K4693</f>
        <v/>
      </c>
      <c r="N4693" s="94">
        <f>M4693-M4693*VLOOKUP($Q4693,매칭테이블!$F:$I,3,0)</f>
        <v/>
      </c>
      <c r="O4693" s="94">
        <f>VLOOKUP($Q4693,매칭테이블!$F:$I,4,0)*K4693</f>
        <v/>
      </c>
      <c r="P4693" s="148">
        <f>M4693/1.1</f>
        <v/>
      </c>
      <c r="Q4693" s="94">
        <f>F4693&amp;E4693&amp;G4693&amp;L4693</f>
        <v/>
      </c>
    </row>
    <row r="4694">
      <c r="A4694" s="94" t="n"/>
      <c r="B4694" s="128" t="n">
        <v>43878</v>
      </c>
      <c r="C4694" s="94">
        <f>TEXT(B4694,"aaa")</f>
        <v/>
      </c>
      <c r="D4694" s="94" t="n"/>
      <c r="E4694" s="6" t="inlineStr">
        <is>
          <t>토너</t>
        </is>
      </c>
      <c r="F4694" s="94" t="inlineStr">
        <is>
          <t>아누아 CS</t>
        </is>
      </c>
      <c r="G4694" s="94" t="inlineStr">
        <is>
          <t>스킨팩 화장솜 60P</t>
        </is>
      </c>
      <c r="H4694" s="7" t="n">
        <v>190801</v>
      </c>
      <c r="I4694" s="7" t="n">
        <v>190801</v>
      </c>
      <c r="J4694" s="94" t="n"/>
      <c r="K4694" s="149" t="n">
        <v>1</v>
      </c>
      <c r="L4694" s="7" t="n">
        <v>190801</v>
      </c>
      <c r="M4694" s="94">
        <f>VLOOKUP($Q4694,매칭테이블!$F:$I,2,0)*K4694</f>
        <v/>
      </c>
      <c r="N4694" s="94">
        <f>M4694-M4694*VLOOKUP($Q4694,매칭테이블!$F:$I,3,0)</f>
        <v/>
      </c>
      <c r="O4694" s="94">
        <f>VLOOKUP($Q4694,매칭테이블!$F:$I,4,0)*K4694</f>
        <v/>
      </c>
      <c r="P4694" s="148">
        <f>M4694/1.1</f>
        <v/>
      </c>
      <c r="Q4694" s="94">
        <f>F4694&amp;E4694&amp;G4694&amp;L4694</f>
        <v/>
      </c>
    </row>
    <row r="4695">
      <c r="A4695" s="94" t="n"/>
      <c r="B4695" s="128" t="n">
        <v>43878</v>
      </c>
      <c r="C4695" s="94">
        <f>TEXT(B4695,"aaa")</f>
        <v/>
      </c>
      <c r="D4695" s="94" t="n"/>
      <c r="E4695" s="94" t="inlineStr">
        <is>
          <t>화장솜</t>
        </is>
      </c>
      <c r="F4695" s="94" t="inlineStr">
        <is>
          <t>카페24</t>
        </is>
      </c>
      <c r="G4695" s="94" t="inlineStr">
        <is>
          <t>스킨팩 화장솜 60P</t>
        </is>
      </c>
      <c r="H4695" s="7" t="n">
        <v>190801</v>
      </c>
      <c r="I4695" s="7" t="n">
        <v>190801</v>
      </c>
      <c r="J4695" s="94" t="n"/>
      <c r="K4695" s="149" t="n">
        <v>4</v>
      </c>
      <c r="L4695" s="94" t="n">
        <v>190801</v>
      </c>
      <c r="M4695" s="94">
        <f>VLOOKUP($Q4695,매칭테이블!$F:$I,2,0)*K4695</f>
        <v/>
      </c>
      <c r="N4695" s="94">
        <f>M4695-M4695*VLOOKUP($Q4695,매칭테이블!$F:$I,3,0)</f>
        <v/>
      </c>
      <c r="O4695" s="94">
        <f>VLOOKUP($Q4695,매칭테이블!$F:$I,4,0)*K4695</f>
        <v/>
      </c>
      <c r="P4695" s="148">
        <f>M4695/1.1</f>
        <v/>
      </c>
      <c r="Q4695" s="94">
        <f>F4695&amp;E4695&amp;G4695&amp;L4695</f>
        <v/>
      </c>
    </row>
    <row r="4696">
      <c r="A4696" s="94" t="n"/>
      <c r="B4696" s="128" t="n">
        <v>43878</v>
      </c>
      <c r="C4696" s="94">
        <f>TEXT(B4696,"aaa")</f>
        <v/>
      </c>
      <c r="D4696" s="94" t="n"/>
      <c r="E4696" s="94" t="inlineStr">
        <is>
          <t>머드크림마스크</t>
        </is>
      </c>
      <c r="F4696" s="94" t="inlineStr">
        <is>
          <t>카페24</t>
        </is>
      </c>
      <c r="G4696" s="94" t="inlineStr">
        <is>
          <t>머드크림마스크 100ml</t>
        </is>
      </c>
      <c r="H4696" s="7" t="n">
        <v>190801</v>
      </c>
      <c r="I4696" s="7" t="n">
        <v>190801</v>
      </c>
      <c r="J4696" s="94" t="n"/>
      <c r="K4696" s="149" t="n">
        <v>12</v>
      </c>
      <c r="L4696" s="94" t="n">
        <v>190801</v>
      </c>
      <c r="M4696" s="94">
        <f>VLOOKUP($Q4696,매칭테이블!$F:$I,2,0)*K4696</f>
        <v/>
      </c>
      <c r="N4696" s="94">
        <f>M4696-M4696*VLOOKUP($Q4696,매칭테이블!$F:$I,3,0)</f>
        <v/>
      </c>
      <c r="O4696" s="94">
        <f>VLOOKUP($Q4696,매칭테이블!$F:$I,4,0)*K4696</f>
        <v/>
      </c>
      <c r="P4696" s="148">
        <f>M4696/1.1</f>
        <v/>
      </c>
      <c r="Q4696" s="94">
        <f>F4696&amp;E4696&amp;G4696&amp;L4696</f>
        <v/>
      </c>
    </row>
    <row r="4697">
      <c r="A4697" s="94" t="n"/>
      <c r="B4697" s="128" t="n">
        <v>43878</v>
      </c>
      <c r="C4697" s="94">
        <f>TEXT(B4697,"aaa")</f>
        <v/>
      </c>
      <c r="D4697" s="94" t="n"/>
      <c r="E4697" s="6" t="inlineStr">
        <is>
          <t>토너</t>
        </is>
      </c>
      <c r="F4697" s="5" t="inlineStr">
        <is>
          <t>카페24</t>
        </is>
      </c>
      <c r="G4697" s="5" t="inlineStr">
        <is>
          <t>250ml</t>
        </is>
      </c>
      <c r="H4697" s="7" t="n">
        <v>190801</v>
      </c>
      <c r="I4697" s="7" t="n">
        <v>190801</v>
      </c>
      <c r="J4697" s="94" t="n"/>
      <c r="K4697" s="149" t="n">
        <v>37</v>
      </c>
      <c r="L4697" s="7" t="n">
        <v>190801</v>
      </c>
      <c r="M4697" s="94">
        <f>VLOOKUP($Q4697,매칭테이블!$F:$I,2,0)*K4697</f>
        <v/>
      </c>
      <c r="N4697" s="94">
        <f>M4697-M4697*VLOOKUP($Q4697,매칭테이블!$F:$I,3,0)</f>
        <v/>
      </c>
      <c r="O4697" s="94">
        <f>VLOOKUP($Q4697,매칭테이블!$F:$I,4,0)*K4697</f>
        <v/>
      </c>
      <c r="P4697" s="148">
        <f>M4697/1.1</f>
        <v/>
      </c>
      <c r="Q4697" s="94">
        <f>F4697&amp;E4697&amp;G4697&amp;L4697</f>
        <v/>
      </c>
    </row>
    <row r="4698">
      <c r="A4698" s="94" t="n"/>
      <c r="B4698" s="128" t="n">
        <v>43878</v>
      </c>
      <c r="C4698" s="94">
        <f>TEXT(B4698,"aaa")</f>
        <v/>
      </c>
      <c r="D4698" s="94" t="n"/>
      <c r="E4698" s="6" t="inlineStr">
        <is>
          <t>토너</t>
        </is>
      </c>
      <c r="F4698" s="5" t="inlineStr">
        <is>
          <t>카페24</t>
        </is>
      </c>
      <c r="G4698" s="5" t="inlineStr">
        <is>
          <t>250ml 2set</t>
        </is>
      </c>
      <c r="H4698" s="7" t="n">
        <v>190801</v>
      </c>
      <c r="I4698" s="7" t="n">
        <v>190801</v>
      </c>
      <c r="J4698" s="94" t="n"/>
      <c r="K4698" s="149" t="n">
        <v>44</v>
      </c>
      <c r="L4698" s="7" t="n">
        <v>190801</v>
      </c>
      <c r="M4698" s="94">
        <f>VLOOKUP($Q4698,매칭테이블!$F:$I,2,0)*K4698</f>
        <v/>
      </c>
      <c r="N4698" s="94">
        <f>M4698-M4698*VLOOKUP($Q4698,매칭테이블!$F:$I,3,0)</f>
        <v/>
      </c>
      <c r="O4698" s="94">
        <f>VLOOKUP($Q4698,매칭테이블!$F:$I,4,0)*K4698</f>
        <v/>
      </c>
      <c r="P4698" s="148">
        <f>M4698/1.1</f>
        <v/>
      </c>
      <c r="Q4698" s="94">
        <f>F4698&amp;E4698&amp;G4698&amp;L4698</f>
        <v/>
      </c>
    </row>
    <row r="4699">
      <c r="A4699" s="94" t="n"/>
      <c r="B4699" s="128" t="n">
        <v>43878</v>
      </c>
      <c r="C4699" s="94">
        <f>TEXT(B4699,"aaa")</f>
        <v/>
      </c>
      <c r="D4699" s="94" t="n"/>
      <c r="E4699" s="6" t="inlineStr">
        <is>
          <t>토너</t>
        </is>
      </c>
      <c r="F4699" s="5" t="inlineStr">
        <is>
          <t>카페24</t>
        </is>
      </c>
      <c r="G4699" s="5" t="inlineStr">
        <is>
          <t>500ml</t>
        </is>
      </c>
      <c r="H4699" s="7" t="n">
        <v>190801</v>
      </c>
      <c r="I4699" s="7" t="n">
        <v>190801</v>
      </c>
      <c r="J4699" s="94" t="n"/>
      <c r="K4699" s="149" t="n">
        <v>45</v>
      </c>
      <c r="L4699" s="7" t="n">
        <v>190801</v>
      </c>
      <c r="M4699" s="94">
        <f>VLOOKUP($Q4699,매칭테이블!$F:$I,2,0)*K4699</f>
        <v/>
      </c>
      <c r="N4699" s="94">
        <f>M4699-M4699*VLOOKUP($Q4699,매칭테이블!$F:$I,3,0)</f>
        <v/>
      </c>
      <c r="O4699" s="94">
        <f>VLOOKUP($Q4699,매칭테이블!$F:$I,4,0)*K4699</f>
        <v/>
      </c>
      <c r="P4699" s="148">
        <f>M4699/1.1</f>
        <v/>
      </c>
      <c r="Q4699" s="94">
        <f>F4699&amp;E4699&amp;G4699&amp;L4699</f>
        <v/>
      </c>
    </row>
    <row r="4700">
      <c r="A4700" s="94" t="n"/>
      <c r="B4700" s="128" t="n">
        <v>43878</v>
      </c>
      <c r="C4700" s="94">
        <f>TEXT(B4700,"aaa")</f>
        <v/>
      </c>
      <c r="D4700" s="94" t="n"/>
      <c r="E4700" s="6" t="inlineStr">
        <is>
          <t>토너</t>
        </is>
      </c>
      <c r="F4700" s="5" t="inlineStr">
        <is>
          <t>카페24</t>
        </is>
      </c>
      <c r="G4700" s="94" t="inlineStr">
        <is>
          <t>스킨팩 화장솜 60P</t>
        </is>
      </c>
      <c r="H4700" s="7" t="n">
        <v>190801</v>
      </c>
      <c r="I4700" s="7" t="n">
        <v>190801</v>
      </c>
      <c r="J4700" s="94" t="n"/>
      <c r="K4700" s="149" t="n">
        <v>64</v>
      </c>
      <c r="L4700" s="7" t="n">
        <v>190801</v>
      </c>
      <c r="M4700" s="94">
        <f>VLOOKUP($Q4700,매칭테이블!$F:$I,2,0)*K4700</f>
        <v/>
      </c>
      <c r="N4700" s="94">
        <f>M4700-M4700*VLOOKUP($Q4700,매칭테이블!$F:$I,3,0)</f>
        <v/>
      </c>
      <c r="O4700" s="94">
        <f>VLOOKUP($Q4700,매칭테이블!$F:$I,4,0)*K4700</f>
        <v/>
      </c>
      <c r="P4700" s="148">
        <f>M4700/1.1</f>
        <v/>
      </c>
      <c r="Q4700" s="94">
        <f>F4700&amp;E4700&amp;G4700&amp;L4700</f>
        <v/>
      </c>
    </row>
    <row r="4701">
      <c r="A4701" s="94" t="n"/>
      <c r="B4701" s="128" t="n">
        <v>43878</v>
      </c>
      <c r="C4701" s="94">
        <f>TEXT(B4701,"aaa")</f>
        <v/>
      </c>
      <c r="D4701" s="94" t="n"/>
      <c r="E4701" s="94" t="inlineStr">
        <is>
          <t>클렌징폼</t>
        </is>
      </c>
      <c r="F4701" s="5" t="inlineStr">
        <is>
          <t>카페24</t>
        </is>
      </c>
      <c r="G4701" s="94" t="inlineStr">
        <is>
          <t>클렌징폼 120ml</t>
        </is>
      </c>
      <c r="H4701" s="7" t="n">
        <v>190801</v>
      </c>
      <c r="I4701" s="7" t="n">
        <v>190801</v>
      </c>
      <c r="J4701" s="94" t="n"/>
      <c r="K4701" s="149" t="n">
        <v>4</v>
      </c>
      <c r="L4701" s="7" t="n">
        <v>190801</v>
      </c>
      <c r="M4701" s="94">
        <f>VLOOKUP($Q4701,매칭테이블!$F:$I,2,0)*K4701</f>
        <v/>
      </c>
      <c r="N4701" s="94">
        <f>M4701-M4701*VLOOKUP($Q4701,매칭테이블!$F:$I,3,0)</f>
        <v/>
      </c>
      <c r="O4701" s="94">
        <f>VLOOKUP($Q4701,매칭테이블!$F:$I,4,0)*K4701</f>
        <v/>
      </c>
      <c r="P4701" s="148">
        <f>M4701/1.1</f>
        <v/>
      </c>
      <c r="Q4701" s="94">
        <f>F4701&amp;E4701&amp;G4701&amp;L4701</f>
        <v/>
      </c>
    </row>
    <row r="4702">
      <c r="A4702" s="94" t="n"/>
      <c r="B4702" s="128" t="n">
        <v>43878</v>
      </c>
      <c r="C4702" s="94">
        <f>TEXT(B4702,"aaa")</f>
        <v/>
      </c>
      <c r="D4702" s="94" t="n"/>
      <c r="E4702" s="94" t="inlineStr">
        <is>
          <t>클렌징폼</t>
        </is>
      </c>
      <c r="F4702" s="94" t="inlineStr">
        <is>
          <t>카페24</t>
        </is>
      </c>
      <c r="G4702" s="94" t="inlineStr">
        <is>
          <t>클렌징폼 120ml 2set</t>
        </is>
      </c>
      <c r="H4702" s="7" t="n">
        <v>190801</v>
      </c>
      <c r="I4702" s="7" t="n">
        <v>190801</v>
      </c>
      <c r="J4702" s="94" t="n"/>
      <c r="K4702" s="149" t="n">
        <v>4</v>
      </c>
      <c r="L4702" s="7" t="n">
        <v>190801</v>
      </c>
      <c r="M4702" s="94">
        <f>VLOOKUP($Q4702,매칭테이블!$F:$I,2,0)*K4702</f>
        <v/>
      </c>
      <c r="N4702" s="94">
        <f>M4702-M4702*VLOOKUP($Q4702,매칭테이블!$F:$I,3,0)</f>
        <v/>
      </c>
      <c r="O4702" s="94">
        <f>VLOOKUP($Q4702,매칭테이블!$F:$I,4,0)*K4702</f>
        <v/>
      </c>
      <c r="P4702" s="148">
        <f>M4702/1.1</f>
        <v/>
      </c>
      <c r="Q4702" s="94">
        <f>F4702&amp;E4702&amp;G4702&amp;L4702</f>
        <v/>
      </c>
    </row>
    <row r="4703">
      <c r="A4703" s="94" t="n"/>
      <c r="B4703" s="128" t="n">
        <v>43878</v>
      </c>
      <c r="C4703" s="94">
        <f>TEXT(B4703,"aaa")</f>
        <v/>
      </c>
      <c r="D4703" s="94" t="n"/>
      <c r="E4703" s="94" t="inlineStr">
        <is>
          <t>토너</t>
        </is>
      </c>
      <c r="F4703" s="94" t="inlineStr">
        <is>
          <t>큐텐</t>
        </is>
      </c>
      <c r="G4703" s="94" t="inlineStr">
        <is>
          <t>250ml</t>
        </is>
      </c>
      <c r="H4703" s="7" t="n">
        <v>190801</v>
      </c>
      <c r="I4703" s="7" t="n">
        <v>190801</v>
      </c>
      <c r="J4703" s="94" t="n"/>
      <c r="K4703" s="149" t="n">
        <v>24</v>
      </c>
      <c r="L4703" s="92" t="n">
        <v>190801</v>
      </c>
      <c r="M4703" s="94">
        <f>VLOOKUP($Q4703,매칭테이블!$F:$I,2,0)*K4703</f>
        <v/>
      </c>
      <c r="N4703" s="94">
        <f>M4703-M4703*VLOOKUP($Q4703,매칭테이블!$F:$I,3,0)</f>
        <v/>
      </c>
      <c r="O4703" s="94">
        <f>VLOOKUP($Q4703,매칭테이블!$F:$I,4,0)*K4703</f>
        <v/>
      </c>
      <c r="P4703" s="148">
        <f>M4703/1.1</f>
        <v/>
      </c>
      <c r="Q4703" s="94">
        <f>F4703&amp;E4703&amp;G4703&amp;L4703</f>
        <v/>
      </c>
    </row>
    <row r="4704">
      <c r="A4704" s="94" t="n"/>
      <c r="B4704" s="128" t="n">
        <v>43878</v>
      </c>
      <c r="C4704" s="94">
        <f>TEXT(B4704,"aaa")</f>
        <v/>
      </c>
      <c r="D4704" s="94" t="n"/>
      <c r="E4704" s="94" t="inlineStr">
        <is>
          <t>토너</t>
        </is>
      </c>
      <c r="F4704" s="94" t="inlineStr">
        <is>
          <t>큐텐</t>
        </is>
      </c>
      <c r="G4704" s="94" t="inlineStr">
        <is>
          <t>250ml 2set</t>
        </is>
      </c>
      <c r="H4704" s="7" t="n">
        <v>190801</v>
      </c>
      <c r="I4704" s="7" t="n">
        <v>190801</v>
      </c>
      <c r="J4704" s="94" t="n"/>
      <c r="K4704" s="149" t="n">
        <v>10</v>
      </c>
      <c r="L4704" s="92" t="n">
        <v>190801</v>
      </c>
      <c r="M4704" s="94">
        <f>VLOOKUP($Q4704,매칭테이블!$F:$I,2,0)*K4704</f>
        <v/>
      </c>
      <c r="N4704" s="94">
        <f>M4704-M4704*VLOOKUP($Q4704,매칭테이블!$F:$I,3,0)</f>
        <v/>
      </c>
      <c r="O4704" s="94">
        <f>VLOOKUP($Q4704,매칭테이블!$F:$I,4,0)*K4704</f>
        <v/>
      </c>
      <c r="P4704" s="148">
        <f>M4704/1.1</f>
        <v/>
      </c>
      <c r="Q4704" s="94">
        <f>F4704&amp;E4704&amp;G4704&amp;L4704</f>
        <v/>
      </c>
    </row>
    <row r="4705">
      <c r="A4705" s="94" t="n"/>
      <c r="B4705" s="128" t="n">
        <v>43878</v>
      </c>
      <c r="C4705" s="94">
        <f>TEXT(B4705,"aaa")</f>
        <v/>
      </c>
      <c r="D4705" s="94" t="n"/>
      <c r="E4705" s="94" t="inlineStr">
        <is>
          <t>머드크림마스크</t>
        </is>
      </c>
      <c r="F4705" s="94" t="inlineStr">
        <is>
          <t>큐텐</t>
        </is>
      </c>
      <c r="G4705" s="94" t="inlineStr">
        <is>
          <t>머드크림마스크 100ml</t>
        </is>
      </c>
      <c r="H4705" s="7" t="n">
        <v>190801</v>
      </c>
      <c r="I4705" s="7" t="n">
        <v>190801</v>
      </c>
      <c r="J4705" s="94" t="n"/>
      <c r="K4705" s="149" t="n">
        <v>1</v>
      </c>
      <c r="L4705" s="94" t="n">
        <v>190801</v>
      </c>
      <c r="M4705" s="94">
        <f>VLOOKUP($Q4705,매칭테이블!$F:$I,2,0)*K4705</f>
        <v/>
      </c>
      <c r="N4705" s="94">
        <f>M4705-M4705*VLOOKUP($Q4705,매칭테이블!$F:$I,3,0)</f>
        <v/>
      </c>
      <c r="O4705" s="94">
        <f>VLOOKUP($Q4705,매칭테이블!$F:$I,4,0)*K4705</f>
        <v/>
      </c>
      <c r="P4705" s="148">
        <f>M4705/1.1</f>
        <v/>
      </c>
      <c r="Q4705" s="94">
        <f>F4705&amp;E4705&amp;G4705&amp;L4705</f>
        <v/>
      </c>
    </row>
    <row r="4706">
      <c r="A4706" s="94" t="n"/>
      <c r="B4706" s="128" t="n">
        <v>43879</v>
      </c>
      <c r="C4706" s="94">
        <f>TEXT(B4706,"aaa")</f>
        <v/>
      </c>
      <c r="D4706" s="94" t="n"/>
      <c r="E4706" s="6" t="inlineStr">
        <is>
          <t>토너</t>
        </is>
      </c>
      <c r="F4706" s="5" t="inlineStr">
        <is>
          <t>W컨셉</t>
        </is>
      </c>
      <c r="G4706" s="5" t="inlineStr">
        <is>
          <t>250ml 2set</t>
        </is>
      </c>
      <c r="H4706" s="7" t="n">
        <v>190801</v>
      </c>
      <c r="I4706" s="7" t="n">
        <v>190801</v>
      </c>
      <c r="J4706" s="94" t="n"/>
      <c r="K4706" s="149" t="n">
        <v>7</v>
      </c>
      <c r="L4706" s="7" t="n">
        <v>190801</v>
      </c>
      <c r="M4706" s="94">
        <f>VLOOKUP($Q4706,매칭테이블!$F:$I,2,0)*K4706</f>
        <v/>
      </c>
      <c r="N4706" s="94">
        <f>M4706-M4706*VLOOKUP($Q4706,매칭테이블!$F:$I,3,0)</f>
        <v/>
      </c>
      <c r="O4706" s="94">
        <f>VLOOKUP($Q4706,매칭테이블!$F:$I,4,0)*K4706</f>
        <v/>
      </c>
      <c r="P4706" s="148">
        <f>M4706/1.1</f>
        <v/>
      </c>
      <c r="Q4706" s="94">
        <f>F4706&amp;E4706&amp;G4706&amp;L4706</f>
        <v/>
      </c>
    </row>
    <row r="4707">
      <c r="A4707" s="94" t="n"/>
      <c r="B4707" s="128" t="n">
        <v>43879</v>
      </c>
      <c r="C4707" s="94">
        <f>TEXT(B4707,"aaa")</f>
        <v/>
      </c>
      <c r="D4707" s="94" t="n"/>
      <c r="E4707" s="94" t="inlineStr">
        <is>
          <t>토너</t>
        </is>
      </c>
      <c r="F4707" s="5" t="inlineStr">
        <is>
          <t>스타일쉐어</t>
        </is>
      </c>
      <c r="G4707" s="94" t="inlineStr">
        <is>
          <t>250ml</t>
        </is>
      </c>
      <c r="H4707" s="7" t="n">
        <v>190801</v>
      </c>
      <c r="I4707" s="7" t="n">
        <v>190801</v>
      </c>
      <c r="J4707" s="94" t="n"/>
      <c r="K4707" s="149" t="n">
        <v>36</v>
      </c>
      <c r="L4707" s="92" t="n">
        <v>190801</v>
      </c>
      <c r="M4707" s="94">
        <f>VLOOKUP($Q4707,매칭테이블!$F:$I,2,0)*K4707</f>
        <v/>
      </c>
      <c r="N4707" s="94">
        <f>M4707-M4707*VLOOKUP($Q4707,매칭테이블!$F:$I,3,0)</f>
        <v/>
      </c>
      <c r="O4707" s="94">
        <f>VLOOKUP($Q4707,매칭테이블!$F:$I,4,0)*K4707</f>
        <v/>
      </c>
      <c r="P4707" s="148">
        <f>M4707/1.1</f>
        <v/>
      </c>
      <c r="Q4707" s="94">
        <f>F4707&amp;E4707&amp;G4707&amp;L4707</f>
        <v/>
      </c>
    </row>
    <row r="4708">
      <c r="A4708" s="94" t="n"/>
      <c r="B4708" s="128" t="n">
        <v>43879</v>
      </c>
      <c r="C4708" s="94">
        <f>TEXT(B4708,"aaa")</f>
        <v/>
      </c>
      <c r="D4708" s="94" t="n"/>
      <c r="E4708" s="6" t="inlineStr">
        <is>
          <t>토너</t>
        </is>
      </c>
      <c r="F4708" s="94" t="inlineStr">
        <is>
          <t>아누아 CS</t>
        </is>
      </c>
      <c r="G4708" s="5" t="inlineStr">
        <is>
          <t>250ml</t>
        </is>
      </c>
      <c r="H4708" s="7" t="n">
        <v>190801</v>
      </c>
      <c r="I4708" s="7" t="n">
        <v>190801</v>
      </c>
      <c r="J4708" s="94" t="n"/>
      <c r="K4708" s="149" t="n">
        <v>1</v>
      </c>
      <c r="L4708" s="7" t="n">
        <v>190801</v>
      </c>
      <c r="M4708" s="94">
        <f>VLOOKUP($Q4708,매칭테이블!$F:$I,2,0)*K4708</f>
        <v/>
      </c>
      <c r="N4708" s="94">
        <f>M4708-M4708*VLOOKUP($Q4708,매칭테이블!$F:$I,3,0)</f>
        <v/>
      </c>
      <c r="O4708" s="94">
        <f>VLOOKUP($Q4708,매칭테이블!$F:$I,4,0)*K4708</f>
        <v/>
      </c>
      <c r="P4708" s="148">
        <f>M4708/1.1</f>
        <v/>
      </c>
      <c r="Q4708" s="94">
        <f>F4708&amp;E4708&amp;G4708&amp;L4708</f>
        <v/>
      </c>
    </row>
    <row r="4709">
      <c r="A4709" s="94" t="n"/>
      <c r="B4709" s="128" t="n">
        <v>43879</v>
      </c>
      <c r="C4709" s="94">
        <f>TEXT(B4709,"aaa")</f>
        <v/>
      </c>
      <c r="D4709" s="94" t="n"/>
      <c r="E4709" s="94" t="inlineStr">
        <is>
          <t>머드크림마스크</t>
        </is>
      </c>
      <c r="F4709" s="94" t="inlineStr">
        <is>
          <t>아누아 CS</t>
        </is>
      </c>
      <c r="G4709" s="94" t="inlineStr">
        <is>
          <t>머드크림마스크 100ml</t>
        </is>
      </c>
      <c r="H4709" s="7" t="n">
        <v>190801</v>
      </c>
      <c r="I4709" s="7" t="n">
        <v>190801</v>
      </c>
      <c r="J4709" s="94" t="n"/>
      <c r="K4709" s="149" t="n">
        <v>1</v>
      </c>
      <c r="L4709" s="94" t="n">
        <v>190801</v>
      </c>
      <c r="M4709" s="94">
        <f>VLOOKUP($Q4709,매칭테이블!$F:$I,2,0)*K4709</f>
        <v/>
      </c>
      <c r="N4709" s="94">
        <f>M4709-M4709*VLOOKUP($Q4709,매칭테이블!$F:$I,3,0)</f>
        <v/>
      </c>
      <c r="O4709" s="94">
        <f>VLOOKUP($Q4709,매칭테이블!$F:$I,4,0)*K4709</f>
        <v/>
      </c>
      <c r="P4709" s="148">
        <f>M4709/1.1</f>
        <v/>
      </c>
      <c r="Q4709" s="94">
        <f>F4709&amp;E4709&amp;G4709&amp;L4709</f>
        <v/>
      </c>
    </row>
    <row r="4710">
      <c r="A4710" s="94" t="n"/>
      <c r="B4710" s="128" t="n">
        <v>43879</v>
      </c>
      <c r="C4710" s="94">
        <f>TEXT(B4710,"aaa")</f>
        <v/>
      </c>
      <c r="D4710" s="94" t="n"/>
      <c r="E4710" s="94" t="inlineStr">
        <is>
          <t>화장솜</t>
        </is>
      </c>
      <c r="F4710" s="94" t="inlineStr">
        <is>
          <t>카페24</t>
        </is>
      </c>
      <c r="G4710" s="94" t="inlineStr">
        <is>
          <t>스킨팩 화장솜 60P</t>
        </is>
      </c>
      <c r="H4710" s="7" t="n">
        <v>190801</v>
      </c>
      <c r="I4710" s="7" t="n">
        <v>190801</v>
      </c>
      <c r="J4710" s="94" t="n"/>
      <c r="K4710" s="149" t="n">
        <v>2</v>
      </c>
      <c r="L4710" s="94" t="n">
        <v>190801</v>
      </c>
      <c r="M4710" s="94">
        <f>VLOOKUP($Q4710,매칭테이블!$F:$I,2,0)*K4710</f>
        <v/>
      </c>
      <c r="N4710" s="94">
        <f>M4710-M4710*VLOOKUP($Q4710,매칭테이블!$F:$I,3,0)</f>
        <v/>
      </c>
      <c r="O4710" s="94">
        <f>VLOOKUP($Q4710,매칭테이블!$F:$I,4,0)*K4710</f>
        <v/>
      </c>
      <c r="P4710" s="148">
        <f>M4710/1.1</f>
        <v/>
      </c>
      <c r="Q4710" s="94">
        <f>F4710&amp;E4710&amp;G4710&amp;L4710</f>
        <v/>
      </c>
    </row>
    <row r="4711">
      <c r="A4711" s="94" t="n"/>
      <c r="B4711" s="128" t="n">
        <v>43879</v>
      </c>
      <c r="C4711" s="94">
        <f>TEXT(B4711,"aaa")</f>
        <v/>
      </c>
      <c r="D4711" s="94" t="n"/>
      <c r="E4711" s="94" t="inlineStr">
        <is>
          <t>머드크림마스크</t>
        </is>
      </c>
      <c r="F4711" s="94" t="inlineStr">
        <is>
          <t>카페24</t>
        </is>
      </c>
      <c r="G4711" s="94" t="inlineStr">
        <is>
          <t>머드크림마스크 100ml</t>
        </is>
      </c>
      <c r="H4711" s="7" t="n">
        <v>190801</v>
      </c>
      <c r="I4711" s="7" t="n">
        <v>190801</v>
      </c>
      <c r="J4711" s="94" t="n"/>
      <c r="K4711" s="149" t="n">
        <v>11</v>
      </c>
      <c r="L4711" s="94" t="n">
        <v>190801</v>
      </c>
      <c r="M4711" s="94">
        <f>VLOOKUP($Q4711,매칭테이블!$F:$I,2,0)*K4711</f>
        <v/>
      </c>
      <c r="N4711" s="94">
        <f>M4711-M4711*VLOOKUP($Q4711,매칭테이블!$F:$I,3,0)</f>
        <v/>
      </c>
      <c r="O4711" s="94">
        <f>VLOOKUP($Q4711,매칭테이블!$F:$I,4,0)*K4711</f>
        <v/>
      </c>
      <c r="P4711" s="148">
        <f>M4711/1.1</f>
        <v/>
      </c>
      <c r="Q4711" s="94">
        <f>F4711&amp;E4711&amp;G4711&amp;L4711</f>
        <v/>
      </c>
    </row>
    <row r="4712">
      <c r="A4712" s="94" t="n"/>
      <c r="B4712" s="128" t="n">
        <v>43879</v>
      </c>
      <c r="C4712" s="94">
        <f>TEXT(B4712,"aaa")</f>
        <v/>
      </c>
      <c r="D4712" s="94" t="n"/>
      <c r="E4712" s="94" t="inlineStr">
        <is>
          <t>머드크림마스크</t>
        </is>
      </c>
      <c r="F4712" s="94" t="inlineStr">
        <is>
          <t>카페24</t>
        </is>
      </c>
      <c r="G4712" s="94" t="inlineStr">
        <is>
          <t>머드크림마스크 100ml 2set</t>
        </is>
      </c>
      <c r="H4712" s="7" t="n">
        <v>190801</v>
      </c>
      <c r="I4712" s="7" t="n">
        <v>190801</v>
      </c>
      <c r="J4712" s="94" t="n"/>
      <c r="K4712" s="149" t="n">
        <v>4</v>
      </c>
      <c r="L4712" s="94" t="n">
        <v>190801</v>
      </c>
      <c r="M4712" s="94">
        <f>VLOOKUP($Q4712,매칭테이블!$F:$I,2,0)*K4712</f>
        <v/>
      </c>
      <c r="N4712" s="94">
        <f>M4712-M4712*VLOOKUP($Q4712,매칭테이블!$F:$I,3,0)</f>
        <v/>
      </c>
      <c r="O4712" s="94">
        <f>VLOOKUP($Q4712,매칭테이블!$F:$I,4,0)*K4712</f>
        <v/>
      </c>
      <c r="P4712" s="148">
        <f>M4712/1.1</f>
        <v/>
      </c>
      <c r="Q4712" s="94">
        <f>F4712&amp;E4712&amp;G4712&amp;L4712</f>
        <v/>
      </c>
    </row>
    <row r="4713">
      <c r="A4713" s="94" t="n"/>
      <c r="B4713" s="128" t="n">
        <v>43879</v>
      </c>
      <c r="C4713" s="94">
        <f>TEXT(B4713,"aaa")</f>
        <v/>
      </c>
      <c r="D4713" s="94" t="n"/>
      <c r="E4713" s="6" t="inlineStr">
        <is>
          <t>토너</t>
        </is>
      </c>
      <c r="F4713" s="5" t="inlineStr">
        <is>
          <t>카페24</t>
        </is>
      </c>
      <c r="G4713" s="5" t="inlineStr">
        <is>
          <t>250ml</t>
        </is>
      </c>
      <c r="H4713" s="7" t="n">
        <v>190801</v>
      </c>
      <c r="I4713" s="7" t="n">
        <v>190801</v>
      </c>
      <c r="J4713" s="94" t="n"/>
      <c r="K4713" s="149" t="n">
        <v>99</v>
      </c>
      <c r="L4713" s="7" t="n">
        <v>190801</v>
      </c>
      <c r="M4713" s="94">
        <f>VLOOKUP($Q4713,매칭테이블!$F:$I,2,0)*K4713</f>
        <v/>
      </c>
      <c r="N4713" s="94">
        <f>M4713-M4713*VLOOKUP($Q4713,매칭테이블!$F:$I,3,0)</f>
        <v/>
      </c>
      <c r="O4713" s="94">
        <f>VLOOKUP($Q4713,매칭테이블!$F:$I,4,0)*K4713</f>
        <v/>
      </c>
      <c r="P4713" s="148">
        <f>M4713/1.1</f>
        <v/>
      </c>
      <c r="Q4713" s="94">
        <f>F4713&amp;E4713&amp;G4713&amp;L4713</f>
        <v/>
      </c>
    </row>
    <row r="4714">
      <c r="A4714" s="94" t="n"/>
      <c r="B4714" s="128" t="n">
        <v>43879</v>
      </c>
      <c r="C4714" s="94">
        <f>TEXT(B4714,"aaa")</f>
        <v/>
      </c>
      <c r="D4714" s="94" t="n"/>
      <c r="E4714" s="6" t="inlineStr">
        <is>
          <t>토너</t>
        </is>
      </c>
      <c r="F4714" s="5" t="inlineStr">
        <is>
          <t>카페24</t>
        </is>
      </c>
      <c r="G4714" s="5" t="inlineStr">
        <is>
          <t>250ml 2set</t>
        </is>
      </c>
      <c r="H4714" s="7" t="n">
        <v>190801</v>
      </c>
      <c r="I4714" s="7" t="n">
        <v>190801</v>
      </c>
      <c r="J4714" s="94" t="n"/>
      <c r="K4714" s="149" t="n">
        <v>189</v>
      </c>
      <c r="L4714" s="7" t="n">
        <v>190801</v>
      </c>
      <c r="M4714" s="94">
        <f>VLOOKUP($Q4714,매칭테이블!$F:$I,2,0)*K4714</f>
        <v/>
      </c>
      <c r="N4714" s="94">
        <f>M4714-M4714*VLOOKUP($Q4714,매칭테이블!$F:$I,3,0)</f>
        <v/>
      </c>
      <c r="O4714" s="94">
        <f>VLOOKUP($Q4714,매칭테이블!$F:$I,4,0)*K4714</f>
        <v/>
      </c>
      <c r="P4714" s="148">
        <f>M4714/1.1</f>
        <v/>
      </c>
      <c r="Q4714" s="94">
        <f>F4714&amp;E4714&amp;G4714&amp;L4714</f>
        <v/>
      </c>
    </row>
    <row r="4715">
      <c r="A4715" s="94" t="n"/>
      <c r="B4715" s="128" t="n">
        <v>43879</v>
      </c>
      <c r="C4715" s="94">
        <f>TEXT(B4715,"aaa")</f>
        <v/>
      </c>
      <c r="D4715" s="94" t="n"/>
      <c r="E4715" s="6" t="inlineStr">
        <is>
          <t>토너</t>
        </is>
      </c>
      <c r="F4715" s="5" t="inlineStr">
        <is>
          <t>카페24</t>
        </is>
      </c>
      <c r="G4715" s="5" t="inlineStr">
        <is>
          <t>500ml</t>
        </is>
      </c>
      <c r="H4715" s="7" t="n">
        <v>190801</v>
      </c>
      <c r="I4715" s="7" t="n">
        <v>190801</v>
      </c>
      <c r="J4715" s="94" t="n"/>
      <c r="K4715" s="149" t="n">
        <v>32</v>
      </c>
      <c r="L4715" s="7" t="n">
        <v>190801</v>
      </c>
      <c r="M4715" s="94">
        <f>VLOOKUP($Q4715,매칭테이블!$F:$I,2,0)*K4715</f>
        <v/>
      </c>
      <c r="N4715" s="94">
        <f>M4715-M4715*VLOOKUP($Q4715,매칭테이블!$F:$I,3,0)</f>
        <v/>
      </c>
      <c r="O4715" s="94">
        <f>VLOOKUP($Q4715,매칭테이블!$F:$I,4,0)*K4715</f>
        <v/>
      </c>
      <c r="P4715" s="148">
        <f>M4715/1.1</f>
        <v/>
      </c>
      <c r="Q4715" s="94">
        <f>F4715&amp;E4715&amp;G4715&amp;L4715</f>
        <v/>
      </c>
    </row>
    <row r="4716">
      <c r="A4716" s="94" t="n"/>
      <c r="B4716" s="128" t="n">
        <v>43879</v>
      </c>
      <c r="C4716" s="94">
        <f>TEXT(B4716,"aaa")</f>
        <v/>
      </c>
      <c r="D4716" s="94" t="n"/>
      <c r="E4716" s="6" t="inlineStr">
        <is>
          <t>토너</t>
        </is>
      </c>
      <c r="F4716" s="5" t="inlineStr">
        <is>
          <t>카페24</t>
        </is>
      </c>
      <c r="G4716" s="94" t="inlineStr">
        <is>
          <t>스킨팩 화장솜 60P</t>
        </is>
      </c>
      <c r="H4716" s="7" t="n">
        <v>190801</v>
      </c>
      <c r="I4716" s="7" t="n">
        <v>190801</v>
      </c>
      <c r="J4716" s="94" t="n"/>
      <c r="K4716" s="149" t="n">
        <v>89</v>
      </c>
      <c r="L4716" s="7" t="n">
        <v>190801</v>
      </c>
      <c r="M4716" s="94">
        <f>VLOOKUP($Q4716,매칭테이블!$F:$I,2,0)*K4716</f>
        <v/>
      </c>
      <c r="N4716" s="94">
        <f>M4716-M4716*VLOOKUP($Q4716,매칭테이블!$F:$I,3,0)</f>
        <v/>
      </c>
      <c r="O4716" s="94">
        <f>VLOOKUP($Q4716,매칭테이블!$F:$I,4,0)*K4716</f>
        <v/>
      </c>
      <c r="P4716" s="148">
        <f>M4716/1.1</f>
        <v/>
      </c>
      <c r="Q4716" s="94">
        <f>F4716&amp;E4716&amp;G4716&amp;L4716</f>
        <v/>
      </c>
    </row>
    <row r="4717">
      <c r="A4717" s="94" t="n"/>
      <c r="B4717" s="128" t="n">
        <v>43879</v>
      </c>
      <c r="C4717" s="94">
        <f>TEXT(B4717,"aaa")</f>
        <v/>
      </c>
      <c r="D4717" s="94" t="n"/>
      <c r="E4717" s="94" t="inlineStr">
        <is>
          <t>클렌징폼</t>
        </is>
      </c>
      <c r="F4717" s="5" t="inlineStr">
        <is>
          <t>카페24</t>
        </is>
      </c>
      <c r="G4717" s="94" t="inlineStr">
        <is>
          <t>클렌징폼 120ml</t>
        </is>
      </c>
      <c r="H4717" s="7" t="n">
        <v>190801</v>
      </c>
      <c r="I4717" s="7" t="n">
        <v>190801</v>
      </c>
      <c r="J4717" s="94" t="n"/>
      <c r="K4717" s="149" t="n">
        <v>17</v>
      </c>
      <c r="L4717" s="7" t="n">
        <v>190801</v>
      </c>
      <c r="M4717" s="94">
        <f>VLOOKUP($Q4717,매칭테이블!$F:$I,2,0)*K4717</f>
        <v/>
      </c>
      <c r="N4717" s="94">
        <f>M4717-M4717*VLOOKUP($Q4717,매칭테이블!$F:$I,3,0)</f>
        <v/>
      </c>
      <c r="O4717" s="94">
        <f>VLOOKUP($Q4717,매칭테이블!$F:$I,4,0)*K4717</f>
        <v/>
      </c>
      <c r="P4717" s="148">
        <f>M4717/1.1</f>
        <v/>
      </c>
      <c r="Q4717" s="94">
        <f>F4717&amp;E4717&amp;G4717&amp;L4717</f>
        <v/>
      </c>
    </row>
    <row r="4718">
      <c r="A4718" s="94" t="n"/>
      <c r="B4718" s="128" t="n">
        <v>43879</v>
      </c>
      <c r="C4718" s="94">
        <f>TEXT(B4718,"aaa")</f>
        <v/>
      </c>
      <c r="D4718" s="94" t="n"/>
      <c r="E4718" s="94" t="inlineStr">
        <is>
          <t>클렌징폼</t>
        </is>
      </c>
      <c r="F4718" s="94" t="inlineStr">
        <is>
          <t>카페24</t>
        </is>
      </c>
      <c r="G4718" s="94" t="inlineStr">
        <is>
          <t>클렌징폼 120ml 2set</t>
        </is>
      </c>
      <c r="H4718" s="7" t="n">
        <v>190801</v>
      </c>
      <c r="I4718" s="7" t="n">
        <v>190801</v>
      </c>
      <c r="J4718" s="94" t="n"/>
      <c r="K4718" s="149" t="n">
        <v>2</v>
      </c>
      <c r="L4718" s="7" t="n">
        <v>190801</v>
      </c>
      <c r="M4718" s="94">
        <f>VLOOKUP($Q4718,매칭테이블!$F:$I,2,0)*K4718</f>
        <v/>
      </c>
      <c r="N4718" s="94">
        <f>M4718-M4718*VLOOKUP($Q4718,매칭테이블!$F:$I,3,0)</f>
        <v/>
      </c>
      <c r="O4718" s="94">
        <f>VLOOKUP($Q4718,매칭테이블!$F:$I,4,0)*K4718</f>
        <v/>
      </c>
      <c r="P4718" s="148">
        <f>M4718/1.1</f>
        <v/>
      </c>
      <c r="Q4718" s="94">
        <f>F4718&amp;E4718&amp;G4718&amp;L4718</f>
        <v/>
      </c>
    </row>
    <row r="4719">
      <c r="A4719" s="94" t="n"/>
      <c r="B4719" s="128" t="n">
        <v>43879</v>
      </c>
      <c r="C4719" s="94">
        <f>TEXT(B4719,"aaa")</f>
        <v/>
      </c>
      <c r="D4719" s="94" t="n"/>
      <c r="E4719" s="94" t="inlineStr">
        <is>
          <t>토너</t>
        </is>
      </c>
      <c r="F4719" s="94" t="inlineStr">
        <is>
          <t>큐텐</t>
        </is>
      </c>
      <c r="G4719" s="94" t="inlineStr">
        <is>
          <t>250ml</t>
        </is>
      </c>
      <c r="H4719" s="7" t="n">
        <v>190801</v>
      </c>
      <c r="I4719" s="7" t="n">
        <v>190801</v>
      </c>
      <c r="J4719" s="94" t="n"/>
      <c r="K4719" s="149" t="n">
        <v>8</v>
      </c>
      <c r="L4719" s="92" t="n">
        <v>190801</v>
      </c>
      <c r="M4719" s="94">
        <f>VLOOKUP($Q4719,매칭테이블!$F:$I,2,0)*K4719</f>
        <v/>
      </c>
      <c r="N4719" s="94">
        <f>M4719-M4719*VLOOKUP($Q4719,매칭테이블!$F:$I,3,0)</f>
        <v/>
      </c>
      <c r="O4719" s="94">
        <f>VLOOKUP($Q4719,매칭테이블!$F:$I,4,0)*K4719</f>
        <v/>
      </c>
      <c r="P4719" s="148">
        <f>M4719/1.1</f>
        <v/>
      </c>
      <c r="Q4719" s="94">
        <f>F4719&amp;E4719&amp;G4719&amp;L4719</f>
        <v/>
      </c>
    </row>
    <row r="4720">
      <c r="A4720" s="94" t="n"/>
      <c r="B4720" s="128" t="n">
        <v>43879</v>
      </c>
      <c r="C4720" s="94">
        <f>TEXT(B4720,"aaa")</f>
        <v/>
      </c>
      <c r="D4720" s="94" t="n"/>
      <c r="E4720" s="94" t="inlineStr">
        <is>
          <t>토너</t>
        </is>
      </c>
      <c r="F4720" s="94" t="inlineStr">
        <is>
          <t>큐텐</t>
        </is>
      </c>
      <c r="G4720" s="94" t="inlineStr">
        <is>
          <t>250ml 2set</t>
        </is>
      </c>
      <c r="H4720" s="7" t="n">
        <v>190801</v>
      </c>
      <c r="I4720" s="7" t="n">
        <v>190801</v>
      </c>
      <c r="J4720" s="94" t="n"/>
      <c r="K4720" s="149" t="n">
        <v>5</v>
      </c>
      <c r="L4720" s="92" t="n">
        <v>190801</v>
      </c>
      <c r="M4720" s="94">
        <f>VLOOKUP($Q4720,매칭테이블!$F:$I,2,0)*K4720</f>
        <v/>
      </c>
      <c r="N4720" s="94">
        <f>M4720-M4720*VLOOKUP($Q4720,매칭테이블!$F:$I,3,0)</f>
        <v/>
      </c>
      <c r="O4720" s="94">
        <f>VLOOKUP($Q4720,매칭테이블!$F:$I,4,0)*K4720</f>
        <v/>
      </c>
      <c r="P4720" s="148">
        <f>M4720/1.1</f>
        <v/>
      </c>
      <c r="Q4720" s="94">
        <f>F4720&amp;E4720&amp;G4720&amp;L4720</f>
        <v/>
      </c>
    </row>
    <row r="4721">
      <c r="A4721" s="94" t="n"/>
      <c r="B4721" s="128" t="n">
        <v>43880</v>
      </c>
      <c r="C4721" s="94">
        <f>TEXT(B4721,"aaa")</f>
        <v/>
      </c>
      <c r="D4721" s="94" t="n"/>
      <c r="E4721" s="6" t="inlineStr">
        <is>
          <t>토너</t>
        </is>
      </c>
      <c r="F4721" s="5" t="inlineStr">
        <is>
          <t>W컨셉</t>
        </is>
      </c>
      <c r="G4721" s="5" t="inlineStr">
        <is>
          <t>250ml</t>
        </is>
      </c>
      <c r="H4721" s="7" t="n">
        <v>190801</v>
      </c>
      <c r="I4721" s="7" t="n">
        <v>190801</v>
      </c>
      <c r="J4721" s="94" t="n"/>
      <c r="K4721" s="149" t="n">
        <v>29</v>
      </c>
      <c r="L4721" s="7" t="n">
        <v>190801</v>
      </c>
      <c r="M4721" s="94">
        <f>VLOOKUP($Q4721,매칭테이블!$F:$I,2,0)*K4721</f>
        <v/>
      </c>
      <c r="N4721" s="94">
        <f>M4721-M4721*VLOOKUP($Q4721,매칭테이블!$F:$I,3,0)</f>
        <v/>
      </c>
      <c r="O4721" s="94">
        <f>VLOOKUP($Q4721,매칭테이블!$F:$I,4,0)*K4721</f>
        <v/>
      </c>
      <c r="P4721" s="148">
        <f>M4721/1.1</f>
        <v/>
      </c>
      <c r="Q4721" s="94">
        <f>F4721&amp;E4721&amp;G4721&amp;L4721</f>
        <v/>
      </c>
    </row>
    <row r="4722">
      <c r="A4722" s="94" t="n"/>
      <c r="B4722" s="128" t="n">
        <v>43880</v>
      </c>
      <c r="C4722" s="94">
        <f>TEXT(B4722,"aaa")</f>
        <v/>
      </c>
      <c r="D4722" s="94" t="n"/>
      <c r="E4722" s="6" t="inlineStr">
        <is>
          <t>토너</t>
        </is>
      </c>
      <c r="F4722" s="5" t="inlineStr">
        <is>
          <t>W컨셉</t>
        </is>
      </c>
      <c r="G4722" s="5" t="inlineStr">
        <is>
          <t>250ml 2set</t>
        </is>
      </c>
      <c r="H4722" s="7" t="n">
        <v>190801</v>
      </c>
      <c r="I4722" s="7" t="n">
        <v>190801</v>
      </c>
      <c r="J4722" s="94" t="n"/>
      <c r="K4722" s="149" t="n">
        <v>5</v>
      </c>
      <c r="L4722" s="7" t="n">
        <v>190801</v>
      </c>
      <c r="M4722" s="94">
        <f>VLOOKUP($Q4722,매칭테이블!$F:$I,2,0)*K4722</f>
        <v/>
      </c>
      <c r="N4722" s="94">
        <f>M4722-M4722*VLOOKUP($Q4722,매칭테이블!$F:$I,3,0)</f>
        <v/>
      </c>
      <c r="O4722" s="94">
        <f>VLOOKUP($Q4722,매칭테이블!$F:$I,4,0)*K4722</f>
        <v/>
      </c>
      <c r="P4722" s="148">
        <f>M4722/1.1</f>
        <v/>
      </c>
      <c r="Q4722" s="94">
        <f>F4722&amp;E4722&amp;G4722&amp;L4722</f>
        <v/>
      </c>
    </row>
    <row r="4723">
      <c r="A4723" s="94" t="n"/>
      <c r="B4723" s="128" t="n">
        <v>43880</v>
      </c>
      <c r="C4723" s="94">
        <f>TEXT(B4723,"aaa")</f>
        <v/>
      </c>
      <c r="D4723" s="94" t="n"/>
      <c r="E4723" s="94" t="inlineStr">
        <is>
          <t>토너</t>
        </is>
      </c>
      <c r="F4723" s="5" t="inlineStr">
        <is>
          <t>스타일쉐어</t>
        </is>
      </c>
      <c r="G4723" s="94" t="inlineStr">
        <is>
          <t>250ml</t>
        </is>
      </c>
      <c r="H4723" s="7" t="n">
        <v>190801</v>
      </c>
      <c r="I4723" s="7" t="n">
        <v>190801</v>
      </c>
      <c r="J4723" s="94" t="n"/>
      <c r="K4723" s="149" t="n">
        <v>59</v>
      </c>
      <c r="L4723" s="92" t="n">
        <v>190801</v>
      </c>
      <c r="M4723" s="94">
        <f>VLOOKUP($Q4723,매칭테이블!$F:$I,2,0)*K4723</f>
        <v/>
      </c>
      <c r="N4723" s="94">
        <f>M4723-M4723*VLOOKUP($Q4723,매칭테이블!$F:$I,3,0)</f>
        <v/>
      </c>
      <c r="O4723" s="94">
        <f>VLOOKUP($Q4723,매칭테이블!$F:$I,4,0)*K4723</f>
        <v/>
      </c>
      <c r="P4723" s="148">
        <f>M4723/1.1</f>
        <v/>
      </c>
      <c r="Q4723" s="94">
        <f>F4723&amp;E4723&amp;G4723&amp;L4723</f>
        <v/>
      </c>
    </row>
    <row r="4724">
      <c r="A4724" s="94" t="n"/>
      <c r="B4724" s="128" t="n">
        <v>43880</v>
      </c>
      <c r="C4724" s="94">
        <f>TEXT(B4724,"aaa")</f>
        <v/>
      </c>
      <c r="D4724" s="94" t="n"/>
      <c r="E4724" s="94" t="inlineStr">
        <is>
          <t>화장솜</t>
        </is>
      </c>
      <c r="F4724" s="94" t="inlineStr">
        <is>
          <t>카페24</t>
        </is>
      </c>
      <c r="G4724" s="94" t="inlineStr">
        <is>
          <t>스킨팩 화장솜 60P</t>
        </is>
      </c>
      <c r="H4724" s="7" t="n">
        <v>190801</v>
      </c>
      <c r="I4724" s="7" t="n">
        <v>190801</v>
      </c>
      <c r="J4724" s="94" t="n"/>
      <c r="K4724" s="149" t="n">
        <v>2</v>
      </c>
      <c r="L4724" s="94" t="n">
        <v>190801</v>
      </c>
      <c r="M4724" s="94">
        <f>VLOOKUP($Q4724,매칭테이블!$F:$I,2,0)*K4724</f>
        <v/>
      </c>
      <c r="N4724" s="94">
        <f>M4724-M4724*VLOOKUP($Q4724,매칭테이블!$F:$I,3,0)</f>
        <v/>
      </c>
      <c r="O4724" s="94">
        <f>VLOOKUP($Q4724,매칭테이블!$F:$I,4,0)*K4724</f>
        <v/>
      </c>
      <c r="P4724" s="148">
        <f>M4724/1.1</f>
        <v/>
      </c>
      <c r="Q4724" s="94">
        <f>F4724&amp;E4724&amp;G4724&amp;L4724</f>
        <v/>
      </c>
    </row>
    <row r="4725">
      <c r="A4725" s="94" t="n"/>
      <c r="B4725" s="128" t="n">
        <v>43880</v>
      </c>
      <c r="C4725" s="94">
        <f>TEXT(B4725,"aaa")</f>
        <v/>
      </c>
      <c r="D4725" s="94" t="n"/>
      <c r="E4725" s="94" t="inlineStr">
        <is>
          <t>머드크림마스크</t>
        </is>
      </c>
      <c r="F4725" s="94" t="inlineStr">
        <is>
          <t>카페24</t>
        </is>
      </c>
      <c r="G4725" s="94" t="inlineStr">
        <is>
          <t>머드크림마스크 100ml</t>
        </is>
      </c>
      <c r="H4725" s="7" t="n">
        <v>190801</v>
      </c>
      <c r="I4725" s="7" t="n">
        <v>190801</v>
      </c>
      <c r="J4725" s="94" t="n"/>
      <c r="K4725" s="149" t="n">
        <v>10</v>
      </c>
      <c r="L4725" s="94" t="n">
        <v>190801</v>
      </c>
      <c r="M4725" s="94">
        <f>VLOOKUP($Q4725,매칭테이블!$F:$I,2,0)*K4725</f>
        <v/>
      </c>
      <c r="N4725" s="94">
        <f>M4725-M4725*VLOOKUP($Q4725,매칭테이블!$F:$I,3,0)</f>
        <v/>
      </c>
      <c r="O4725" s="94">
        <f>VLOOKUP($Q4725,매칭테이블!$F:$I,4,0)*K4725</f>
        <v/>
      </c>
      <c r="P4725" s="148">
        <f>M4725/1.1</f>
        <v/>
      </c>
      <c r="Q4725" s="94">
        <f>F4725&amp;E4725&amp;G4725&amp;L4725</f>
        <v/>
      </c>
    </row>
    <row r="4726">
      <c r="A4726" s="94" t="n"/>
      <c r="B4726" s="128" t="n">
        <v>43880</v>
      </c>
      <c r="C4726" s="94">
        <f>TEXT(B4726,"aaa")</f>
        <v/>
      </c>
      <c r="D4726" s="94" t="n"/>
      <c r="E4726" s="94" t="inlineStr">
        <is>
          <t>머드크림마스크</t>
        </is>
      </c>
      <c r="F4726" s="94" t="inlineStr">
        <is>
          <t>카페24</t>
        </is>
      </c>
      <c r="G4726" s="94" t="inlineStr">
        <is>
          <t>머드크림마스크 100ml 2set</t>
        </is>
      </c>
      <c r="H4726" s="7" t="n">
        <v>190801</v>
      </c>
      <c r="I4726" s="7" t="n">
        <v>190801</v>
      </c>
      <c r="J4726" s="94" t="n"/>
      <c r="K4726" s="149" t="n">
        <v>2</v>
      </c>
      <c r="L4726" s="94" t="n">
        <v>190801</v>
      </c>
      <c r="M4726" s="94">
        <f>VLOOKUP($Q4726,매칭테이블!$F:$I,2,0)*K4726</f>
        <v/>
      </c>
      <c r="N4726" s="94">
        <f>M4726-M4726*VLOOKUP($Q4726,매칭테이블!$F:$I,3,0)</f>
        <v/>
      </c>
      <c r="O4726" s="94">
        <f>VLOOKUP($Q4726,매칭테이블!$F:$I,4,0)*K4726</f>
        <v/>
      </c>
      <c r="P4726" s="148">
        <f>M4726/1.1</f>
        <v/>
      </c>
      <c r="Q4726" s="94">
        <f>F4726&amp;E4726&amp;G4726&amp;L4726</f>
        <v/>
      </c>
    </row>
    <row r="4727">
      <c r="A4727" s="94" t="n"/>
      <c r="B4727" s="128" t="n">
        <v>43880</v>
      </c>
      <c r="C4727" s="94">
        <f>TEXT(B4727,"aaa")</f>
        <v/>
      </c>
      <c r="D4727" s="94" t="n"/>
      <c r="E4727" s="6" t="inlineStr">
        <is>
          <t>토너</t>
        </is>
      </c>
      <c r="F4727" s="5" t="inlineStr">
        <is>
          <t>카페24</t>
        </is>
      </c>
      <c r="G4727" s="5" t="inlineStr">
        <is>
          <t>250ml</t>
        </is>
      </c>
      <c r="H4727" s="7" t="n">
        <v>190801</v>
      </c>
      <c r="I4727" s="7" t="n">
        <v>190801</v>
      </c>
      <c r="J4727" s="94" t="n"/>
      <c r="K4727" s="149" t="n">
        <v>163</v>
      </c>
      <c r="L4727" s="7" t="n">
        <v>190801</v>
      </c>
      <c r="M4727" s="94">
        <f>VLOOKUP($Q4727,매칭테이블!$F:$I,2,0)*K4727</f>
        <v/>
      </c>
      <c r="N4727" s="94">
        <f>M4727-M4727*VLOOKUP($Q4727,매칭테이블!$F:$I,3,0)</f>
        <v/>
      </c>
      <c r="O4727" s="94">
        <f>VLOOKUP($Q4727,매칭테이블!$F:$I,4,0)*K4727</f>
        <v/>
      </c>
      <c r="P4727" s="148">
        <f>M4727/1.1</f>
        <v/>
      </c>
      <c r="Q4727" s="94">
        <f>F4727&amp;E4727&amp;G4727&amp;L4727</f>
        <v/>
      </c>
    </row>
    <row r="4728">
      <c r="A4728" s="94" t="n"/>
      <c r="B4728" s="128" t="n">
        <v>43880</v>
      </c>
      <c r="C4728" s="94">
        <f>TEXT(B4728,"aaa")</f>
        <v/>
      </c>
      <c r="D4728" s="94" t="n"/>
      <c r="E4728" s="6" t="inlineStr">
        <is>
          <t>토너</t>
        </is>
      </c>
      <c r="F4728" s="5" t="inlineStr">
        <is>
          <t>카페24</t>
        </is>
      </c>
      <c r="G4728" s="5" t="inlineStr">
        <is>
          <t>250ml 2set</t>
        </is>
      </c>
      <c r="H4728" s="7" t="n">
        <v>190801</v>
      </c>
      <c r="I4728" s="7" t="n">
        <v>190801</v>
      </c>
      <c r="J4728" s="94" t="n"/>
      <c r="K4728" s="149" t="n">
        <v>233</v>
      </c>
      <c r="L4728" s="7" t="n">
        <v>190801</v>
      </c>
      <c r="M4728" s="94">
        <f>VLOOKUP($Q4728,매칭테이블!$F:$I,2,0)*K4728</f>
        <v/>
      </c>
      <c r="N4728" s="94">
        <f>M4728-M4728*VLOOKUP($Q4728,매칭테이블!$F:$I,3,0)</f>
        <v/>
      </c>
      <c r="O4728" s="94">
        <f>VLOOKUP($Q4728,매칭테이블!$F:$I,4,0)*K4728</f>
        <v/>
      </c>
      <c r="P4728" s="148">
        <f>M4728/1.1</f>
        <v/>
      </c>
      <c r="Q4728" s="94">
        <f>F4728&amp;E4728&amp;G4728&amp;L4728</f>
        <v/>
      </c>
    </row>
    <row r="4729">
      <c r="A4729" s="94" t="n"/>
      <c r="B4729" s="128" t="n">
        <v>43880</v>
      </c>
      <c r="C4729" s="94">
        <f>TEXT(B4729,"aaa")</f>
        <v/>
      </c>
      <c r="D4729" s="94" t="n"/>
      <c r="E4729" s="6" t="inlineStr">
        <is>
          <t>토너</t>
        </is>
      </c>
      <c r="F4729" s="5" t="inlineStr">
        <is>
          <t>카페24</t>
        </is>
      </c>
      <c r="G4729" s="5" t="inlineStr">
        <is>
          <t>500ml</t>
        </is>
      </c>
      <c r="H4729" s="7" t="n">
        <v>190801</v>
      </c>
      <c r="I4729" s="7" t="n">
        <v>190801</v>
      </c>
      <c r="J4729" s="94" t="n"/>
      <c r="K4729" s="149" t="n">
        <v>111</v>
      </c>
      <c r="L4729" s="7" t="n">
        <v>190801</v>
      </c>
      <c r="M4729" s="94">
        <f>VLOOKUP($Q4729,매칭테이블!$F:$I,2,0)*K4729</f>
        <v/>
      </c>
      <c r="N4729" s="94">
        <f>M4729-M4729*VLOOKUP($Q4729,매칭테이블!$F:$I,3,0)</f>
        <v/>
      </c>
      <c r="O4729" s="94">
        <f>VLOOKUP($Q4729,매칭테이블!$F:$I,4,0)*K4729</f>
        <v/>
      </c>
      <c r="P4729" s="148">
        <f>M4729/1.1</f>
        <v/>
      </c>
      <c r="Q4729" s="94">
        <f>F4729&amp;E4729&amp;G4729&amp;L4729</f>
        <v/>
      </c>
    </row>
    <row r="4730">
      <c r="A4730" s="94" t="n"/>
      <c r="B4730" s="128" t="n">
        <v>43880</v>
      </c>
      <c r="C4730" s="94">
        <f>TEXT(B4730,"aaa")</f>
        <v/>
      </c>
      <c r="D4730" s="94" t="n"/>
      <c r="E4730" s="6" t="inlineStr">
        <is>
          <t>토너</t>
        </is>
      </c>
      <c r="F4730" s="5" t="inlineStr">
        <is>
          <t>카페24</t>
        </is>
      </c>
      <c r="G4730" s="94" t="inlineStr">
        <is>
          <t>스킨팩 화장솜 60P</t>
        </is>
      </c>
      <c r="H4730" s="7" t="n">
        <v>190801</v>
      </c>
      <c r="I4730" s="7" t="n">
        <v>190801</v>
      </c>
      <c r="J4730" s="94" t="n"/>
      <c r="K4730" s="149" t="n">
        <v>81</v>
      </c>
      <c r="L4730" s="7" t="n">
        <v>190801</v>
      </c>
      <c r="M4730" s="94">
        <f>VLOOKUP($Q4730,매칭테이블!$F:$I,2,0)*K4730</f>
        <v/>
      </c>
      <c r="N4730" s="94">
        <f>M4730-M4730*VLOOKUP($Q4730,매칭테이블!$F:$I,3,0)</f>
        <v/>
      </c>
      <c r="O4730" s="94">
        <f>VLOOKUP($Q4730,매칭테이블!$F:$I,4,0)*K4730</f>
        <v/>
      </c>
      <c r="P4730" s="148">
        <f>M4730/1.1</f>
        <v/>
      </c>
      <c r="Q4730" s="94">
        <f>F4730&amp;E4730&amp;G4730&amp;L4730</f>
        <v/>
      </c>
    </row>
    <row r="4731">
      <c r="A4731" s="94" t="n"/>
      <c r="B4731" s="128" t="n">
        <v>43880</v>
      </c>
      <c r="C4731" s="94">
        <f>TEXT(B4731,"aaa")</f>
        <v/>
      </c>
      <c r="D4731" s="94" t="n"/>
      <c r="E4731" s="94" t="inlineStr">
        <is>
          <t>클렌징폼</t>
        </is>
      </c>
      <c r="F4731" s="5" t="inlineStr">
        <is>
          <t>카페24</t>
        </is>
      </c>
      <c r="G4731" s="94" t="inlineStr">
        <is>
          <t>클렌징폼 120ml</t>
        </is>
      </c>
      <c r="H4731" s="7" t="n">
        <v>190801</v>
      </c>
      <c r="I4731" s="7" t="n">
        <v>190801</v>
      </c>
      <c r="J4731" s="94" t="n"/>
      <c r="K4731" s="149" t="n">
        <v>41</v>
      </c>
      <c r="L4731" s="7" t="n">
        <v>190801</v>
      </c>
      <c r="M4731" s="94">
        <f>VLOOKUP($Q4731,매칭테이블!$F:$I,2,0)*K4731</f>
        <v/>
      </c>
      <c r="N4731" s="94">
        <f>M4731-M4731*VLOOKUP($Q4731,매칭테이블!$F:$I,3,0)</f>
        <v/>
      </c>
      <c r="O4731" s="94">
        <f>VLOOKUP($Q4731,매칭테이블!$F:$I,4,0)*K4731</f>
        <v/>
      </c>
      <c r="P4731" s="148">
        <f>M4731/1.1</f>
        <v/>
      </c>
      <c r="Q4731" s="94">
        <f>F4731&amp;E4731&amp;G4731&amp;L4731</f>
        <v/>
      </c>
    </row>
    <row r="4732">
      <c r="A4732" s="94" t="n"/>
      <c r="B4732" s="128" t="n">
        <v>43880</v>
      </c>
      <c r="C4732" s="94">
        <f>TEXT(B4732,"aaa")</f>
        <v/>
      </c>
      <c r="D4732" s="94" t="n"/>
      <c r="E4732" s="94" t="inlineStr">
        <is>
          <t>클렌징폼</t>
        </is>
      </c>
      <c r="F4732" s="94" t="inlineStr">
        <is>
          <t>카페24</t>
        </is>
      </c>
      <c r="G4732" s="94" t="inlineStr">
        <is>
          <t>클렌징폼 120ml 2set</t>
        </is>
      </c>
      <c r="H4732" s="7" t="n">
        <v>190801</v>
      </c>
      <c r="I4732" s="7" t="n">
        <v>190801</v>
      </c>
      <c r="J4732" s="94" t="n"/>
      <c r="K4732" s="149" t="n">
        <v>2</v>
      </c>
      <c r="L4732" s="7" t="n">
        <v>190801</v>
      </c>
      <c r="M4732" s="94">
        <f>VLOOKUP($Q4732,매칭테이블!$F:$I,2,0)*K4732</f>
        <v/>
      </c>
      <c r="N4732" s="94">
        <f>M4732-M4732*VLOOKUP($Q4732,매칭테이블!$F:$I,3,0)</f>
        <v/>
      </c>
      <c r="O4732" s="94">
        <f>VLOOKUP($Q4732,매칭테이블!$F:$I,4,0)*K4732</f>
        <v/>
      </c>
      <c r="P4732" s="148">
        <f>M4732/1.1</f>
        <v/>
      </c>
      <c r="Q4732" s="94">
        <f>F4732&amp;E4732&amp;G4732&amp;L4732</f>
        <v/>
      </c>
    </row>
    <row r="4733">
      <c r="A4733" s="94" t="n"/>
      <c r="B4733" s="128" t="n">
        <v>43880</v>
      </c>
      <c r="C4733" s="94">
        <f>TEXT(B4733,"aaa")</f>
        <v/>
      </c>
      <c r="D4733" s="94" t="n"/>
      <c r="E4733" s="94" t="inlineStr">
        <is>
          <t>토너</t>
        </is>
      </c>
      <c r="F4733" s="94" t="inlineStr">
        <is>
          <t>큐텐</t>
        </is>
      </c>
      <c r="G4733" s="94" t="inlineStr">
        <is>
          <t>250ml</t>
        </is>
      </c>
      <c r="H4733" s="7" t="n">
        <v>190801</v>
      </c>
      <c r="I4733" s="7" t="n">
        <v>190801</v>
      </c>
      <c r="J4733" s="94" t="n"/>
      <c r="K4733" s="149" t="n">
        <v>10</v>
      </c>
      <c r="L4733" s="92" t="n">
        <v>190801</v>
      </c>
      <c r="M4733" s="94">
        <f>VLOOKUP($Q4733,매칭테이블!$F:$I,2,0)*K4733</f>
        <v/>
      </c>
      <c r="N4733" s="94">
        <f>M4733-M4733*VLOOKUP($Q4733,매칭테이블!$F:$I,3,0)</f>
        <v/>
      </c>
      <c r="O4733" s="94">
        <f>VLOOKUP($Q4733,매칭테이블!$F:$I,4,0)*K4733</f>
        <v/>
      </c>
      <c r="P4733" s="148">
        <f>M4733/1.1</f>
        <v/>
      </c>
      <c r="Q4733" s="94">
        <f>F4733&amp;E4733&amp;G4733&amp;L4733</f>
        <v/>
      </c>
    </row>
    <row r="4734">
      <c r="A4734" s="94" t="n"/>
      <c r="B4734" s="128" t="n">
        <v>43880</v>
      </c>
      <c r="C4734" s="94">
        <f>TEXT(B4734,"aaa")</f>
        <v/>
      </c>
      <c r="D4734" s="94" t="n"/>
      <c r="E4734" s="94" t="inlineStr">
        <is>
          <t>토너</t>
        </is>
      </c>
      <c r="F4734" s="94" t="inlineStr">
        <is>
          <t>큐텐</t>
        </is>
      </c>
      <c r="G4734" s="94" t="inlineStr">
        <is>
          <t>250ml 2set</t>
        </is>
      </c>
      <c r="H4734" s="7" t="n">
        <v>190801</v>
      </c>
      <c r="I4734" s="7" t="n">
        <v>190801</v>
      </c>
      <c r="J4734" s="94" t="n"/>
      <c r="K4734" s="149" t="n">
        <v>5</v>
      </c>
      <c r="L4734" s="92" t="n">
        <v>190801</v>
      </c>
      <c r="M4734" s="94">
        <f>VLOOKUP($Q4734,매칭테이블!$F:$I,2,0)*K4734</f>
        <v/>
      </c>
      <c r="N4734" s="94">
        <f>M4734-M4734*VLOOKUP($Q4734,매칭테이블!$F:$I,3,0)</f>
        <v/>
      </c>
      <c r="O4734" s="94">
        <f>VLOOKUP($Q4734,매칭테이블!$F:$I,4,0)*K4734</f>
        <v/>
      </c>
      <c r="P4734" s="148">
        <f>M4734/1.1</f>
        <v/>
      </c>
      <c r="Q4734" s="94">
        <f>F4734&amp;E4734&amp;G4734&amp;L4734</f>
        <v/>
      </c>
    </row>
    <row r="4735">
      <c r="A4735" s="94" t="n"/>
      <c r="B4735" s="128" t="n">
        <v>43881</v>
      </c>
      <c r="C4735" s="94">
        <f>TEXT(B4735,"aaa")</f>
        <v/>
      </c>
      <c r="D4735" s="94" t="n"/>
      <c r="E4735" s="6" t="inlineStr">
        <is>
          <t>토너</t>
        </is>
      </c>
      <c r="F4735" s="5" t="inlineStr">
        <is>
          <t>W컨셉</t>
        </is>
      </c>
      <c r="G4735" s="5" t="inlineStr">
        <is>
          <t>250ml</t>
        </is>
      </c>
      <c r="H4735" s="7" t="n">
        <v>190801</v>
      </c>
      <c r="I4735" s="7" t="n">
        <v>190801</v>
      </c>
      <c r="J4735" s="94" t="n"/>
      <c r="K4735" s="149" t="n">
        <v>23</v>
      </c>
      <c r="L4735" s="7" t="n">
        <v>190801</v>
      </c>
      <c r="M4735" s="94">
        <f>VLOOKUP($Q4735,매칭테이블!$F:$I,2,0)*K4735</f>
        <v/>
      </c>
      <c r="N4735" s="94">
        <f>M4735-M4735*VLOOKUP($Q4735,매칭테이블!$F:$I,3,0)</f>
        <v/>
      </c>
      <c r="O4735" s="94">
        <f>VLOOKUP($Q4735,매칭테이블!$F:$I,4,0)*K4735</f>
        <v/>
      </c>
      <c r="P4735" s="148">
        <f>M4735/1.1</f>
        <v/>
      </c>
      <c r="Q4735" s="94">
        <f>F4735&amp;E4735&amp;G4735&amp;L4735</f>
        <v/>
      </c>
    </row>
    <row r="4736">
      <c r="A4736" s="94" t="n"/>
      <c r="B4736" s="128" t="n">
        <v>43881</v>
      </c>
      <c r="C4736" s="94">
        <f>TEXT(B4736,"aaa")</f>
        <v/>
      </c>
      <c r="D4736" s="94" t="n"/>
      <c r="E4736" s="6" t="inlineStr">
        <is>
          <t>토너</t>
        </is>
      </c>
      <c r="F4736" s="5" t="inlineStr">
        <is>
          <t>W컨셉</t>
        </is>
      </c>
      <c r="G4736" s="5" t="inlineStr">
        <is>
          <t>250ml 2set</t>
        </is>
      </c>
      <c r="H4736" s="7" t="n">
        <v>190801</v>
      </c>
      <c r="I4736" s="7" t="n">
        <v>190801</v>
      </c>
      <c r="J4736" s="94" t="n"/>
      <c r="K4736" s="149" t="n">
        <v>17</v>
      </c>
      <c r="L4736" s="7" t="n">
        <v>190801</v>
      </c>
      <c r="M4736" s="94">
        <f>VLOOKUP($Q4736,매칭테이블!$F:$I,2,0)*K4736</f>
        <v/>
      </c>
      <c r="N4736" s="94">
        <f>M4736-M4736*VLOOKUP($Q4736,매칭테이블!$F:$I,3,0)</f>
        <v/>
      </c>
      <c r="O4736" s="94">
        <f>VLOOKUP($Q4736,매칭테이블!$F:$I,4,0)*K4736</f>
        <v/>
      </c>
      <c r="P4736" s="148">
        <f>M4736/1.1</f>
        <v/>
      </c>
      <c r="Q4736" s="94">
        <f>F4736&amp;E4736&amp;G4736&amp;L4736</f>
        <v/>
      </c>
    </row>
    <row r="4737">
      <c r="A4737" s="94" t="n"/>
      <c r="B4737" s="128" t="n">
        <v>43881</v>
      </c>
      <c r="C4737" s="94">
        <f>TEXT(B4737,"aaa")</f>
        <v/>
      </c>
      <c r="D4737" s="94" t="n"/>
      <c r="E4737" s="94" t="inlineStr">
        <is>
          <t>토너</t>
        </is>
      </c>
      <c r="F4737" s="5" t="inlineStr">
        <is>
          <t>스타일쉐어</t>
        </is>
      </c>
      <c r="G4737" s="94" t="inlineStr">
        <is>
          <t>250ml</t>
        </is>
      </c>
      <c r="H4737" s="7" t="n">
        <v>190801</v>
      </c>
      <c r="I4737" s="7" t="n">
        <v>190801</v>
      </c>
      <c r="J4737" s="94" t="n"/>
      <c r="K4737" s="149" t="n">
        <v>45</v>
      </c>
      <c r="L4737" s="92" t="n">
        <v>190801</v>
      </c>
      <c r="M4737" s="94">
        <f>VLOOKUP($Q4737,매칭테이블!$F:$I,2,0)*K4737</f>
        <v/>
      </c>
      <c r="N4737" s="94">
        <f>M4737-M4737*VLOOKUP($Q4737,매칭테이블!$F:$I,3,0)</f>
        <v/>
      </c>
      <c r="O4737" s="94">
        <f>VLOOKUP($Q4737,매칭테이블!$F:$I,4,0)*K4737</f>
        <v/>
      </c>
      <c r="P4737" s="148">
        <f>M4737/1.1</f>
        <v/>
      </c>
      <c r="Q4737" s="94">
        <f>F4737&amp;E4737&amp;G4737&amp;L4737</f>
        <v/>
      </c>
    </row>
    <row r="4738">
      <c r="A4738" s="94" t="n"/>
      <c r="B4738" s="128" t="n">
        <v>43881</v>
      </c>
      <c r="C4738" s="94">
        <f>TEXT(B4738,"aaa")</f>
        <v/>
      </c>
      <c r="D4738" s="94" t="n"/>
      <c r="E4738" s="94" t="inlineStr">
        <is>
          <t>토너</t>
        </is>
      </c>
      <c r="F4738" s="5" t="inlineStr">
        <is>
          <t>글로우데이즈 시코르</t>
        </is>
      </c>
      <c r="G4738" s="94" t="inlineStr">
        <is>
          <t>250ml</t>
        </is>
      </c>
      <c r="H4738" s="7" t="n">
        <v>190801</v>
      </c>
      <c r="I4738" s="7" t="n">
        <v>190801</v>
      </c>
      <c r="J4738" s="94" t="n"/>
      <c r="K4738" s="149" t="n">
        <v>20</v>
      </c>
      <c r="L4738" s="92" t="n">
        <v>190801</v>
      </c>
      <c r="M4738" s="94">
        <f>VLOOKUP($Q4738,매칭테이블!$F:$I,2,0)*K4738</f>
        <v/>
      </c>
      <c r="N4738" s="94">
        <f>M4738-M4738*VLOOKUP($Q4738,매칭테이블!$F:$I,3,0)</f>
        <v/>
      </c>
      <c r="O4738" s="94">
        <f>VLOOKUP($Q4738,매칭테이블!$F:$I,4,0)*K4738</f>
        <v/>
      </c>
      <c r="P4738" s="148">
        <f>M4738/1.1</f>
        <v/>
      </c>
      <c r="Q4738" s="94">
        <f>F4738&amp;E4738&amp;G4738&amp;L4738</f>
        <v/>
      </c>
    </row>
    <row r="4739">
      <c r="A4739" s="94" t="n"/>
      <c r="B4739" s="128" t="n">
        <v>43881</v>
      </c>
      <c r="C4739" s="94">
        <f>TEXT(B4739,"aaa")</f>
        <v/>
      </c>
      <c r="D4739" s="94" t="n"/>
      <c r="E4739" s="94" t="inlineStr">
        <is>
          <t>머드크림마스크</t>
        </is>
      </c>
      <c r="F4739" s="94" t="inlineStr">
        <is>
          <t>카페24</t>
        </is>
      </c>
      <c r="G4739" s="94" t="inlineStr">
        <is>
          <t>머드크림마스크 100ml</t>
        </is>
      </c>
      <c r="H4739" s="7" t="n">
        <v>190801</v>
      </c>
      <c r="I4739" s="7" t="n">
        <v>190801</v>
      </c>
      <c r="J4739" s="94" t="n"/>
      <c r="K4739" s="149" t="n">
        <v>18</v>
      </c>
      <c r="L4739" s="94" t="n">
        <v>190801</v>
      </c>
      <c r="M4739" s="94">
        <f>VLOOKUP($Q4739,매칭테이블!$F:$I,2,0)*K4739</f>
        <v/>
      </c>
      <c r="N4739" s="94">
        <f>M4739-M4739*VLOOKUP($Q4739,매칭테이블!$F:$I,3,0)</f>
        <v/>
      </c>
      <c r="O4739" s="94">
        <f>VLOOKUP($Q4739,매칭테이블!$F:$I,4,0)*K4739</f>
        <v/>
      </c>
      <c r="P4739" s="148">
        <f>M4739/1.1</f>
        <v/>
      </c>
      <c r="Q4739" s="94">
        <f>F4739&amp;E4739&amp;G4739&amp;L4739</f>
        <v/>
      </c>
    </row>
    <row r="4740">
      <c r="A4740" s="94" t="n"/>
      <c r="B4740" s="128" t="n">
        <v>43881</v>
      </c>
      <c r="C4740" s="94">
        <f>TEXT(B4740,"aaa")</f>
        <v/>
      </c>
      <c r="D4740" s="94" t="n"/>
      <c r="E4740" s="94" t="inlineStr">
        <is>
          <t>머드크림마스크</t>
        </is>
      </c>
      <c r="F4740" s="94" t="inlineStr">
        <is>
          <t>카페24</t>
        </is>
      </c>
      <c r="G4740" s="94" t="inlineStr">
        <is>
          <t>머드크림마스크 100ml 2set</t>
        </is>
      </c>
      <c r="H4740" s="7" t="n">
        <v>190801</v>
      </c>
      <c r="I4740" s="7" t="n">
        <v>190801</v>
      </c>
      <c r="J4740" s="94" t="n"/>
      <c r="K4740" s="149" t="n">
        <v>5</v>
      </c>
      <c r="L4740" s="94" t="n">
        <v>190801</v>
      </c>
      <c r="M4740" s="94">
        <f>VLOOKUP($Q4740,매칭테이블!$F:$I,2,0)*K4740</f>
        <v/>
      </c>
      <c r="N4740" s="94">
        <f>M4740-M4740*VLOOKUP($Q4740,매칭테이블!$F:$I,3,0)</f>
        <v/>
      </c>
      <c r="O4740" s="94">
        <f>VLOOKUP($Q4740,매칭테이블!$F:$I,4,0)*K4740</f>
        <v/>
      </c>
      <c r="P4740" s="148">
        <f>M4740/1.1</f>
        <v/>
      </c>
      <c r="Q4740" s="94">
        <f>F4740&amp;E4740&amp;G4740&amp;L4740</f>
        <v/>
      </c>
    </row>
    <row r="4741">
      <c r="A4741" s="94" t="n"/>
      <c r="B4741" s="128" t="n">
        <v>43881</v>
      </c>
      <c r="C4741" s="94">
        <f>TEXT(B4741,"aaa")</f>
        <v/>
      </c>
      <c r="D4741" s="94" t="n"/>
      <c r="E4741" s="6" t="inlineStr">
        <is>
          <t>토너</t>
        </is>
      </c>
      <c r="F4741" s="5" t="inlineStr">
        <is>
          <t>카페24</t>
        </is>
      </c>
      <c r="G4741" s="5" t="inlineStr">
        <is>
          <t>250ml</t>
        </is>
      </c>
      <c r="H4741" s="7" t="n">
        <v>190801</v>
      </c>
      <c r="I4741" s="7" t="n">
        <v>190801</v>
      </c>
      <c r="J4741" s="94" t="n"/>
      <c r="K4741" s="149" t="n">
        <v>125</v>
      </c>
      <c r="L4741" s="7" t="n">
        <v>190801</v>
      </c>
      <c r="M4741" s="94">
        <f>VLOOKUP($Q4741,매칭테이블!$F:$I,2,0)*K4741</f>
        <v/>
      </c>
      <c r="N4741" s="94">
        <f>M4741-M4741*VLOOKUP($Q4741,매칭테이블!$F:$I,3,0)</f>
        <v/>
      </c>
      <c r="O4741" s="94">
        <f>VLOOKUP($Q4741,매칭테이블!$F:$I,4,0)*K4741</f>
        <v/>
      </c>
      <c r="P4741" s="148">
        <f>M4741/1.1</f>
        <v/>
      </c>
      <c r="Q4741" s="94">
        <f>F4741&amp;E4741&amp;G4741&amp;L4741</f>
        <v/>
      </c>
    </row>
    <row r="4742">
      <c r="A4742" s="94" t="n"/>
      <c r="B4742" s="128" t="n">
        <v>43881</v>
      </c>
      <c r="C4742" s="94">
        <f>TEXT(B4742,"aaa")</f>
        <v/>
      </c>
      <c r="D4742" s="94" t="n"/>
      <c r="E4742" s="6" t="inlineStr">
        <is>
          <t>토너</t>
        </is>
      </c>
      <c r="F4742" s="5" t="inlineStr">
        <is>
          <t>카페24</t>
        </is>
      </c>
      <c r="G4742" s="5" t="inlineStr">
        <is>
          <t>250ml 2set</t>
        </is>
      </c>
      <c r="H4742" s="7" t="n">
        <v>190801</v>
      </c>
      <c r="I4742" s="7" t="n">
        <v>190801</v>
      </c>
      <c r="J4742" s="94" t="n"/>
      <c r="K4742" s="149" t="n">
        <v>169</v>
      </c>
      <c r="L4742" s="7" t="n">
        <v>190801</v>
      </c>
      <c r="M4742" s="94">
        <f>VLOOKUP($Q4742,매칭테이블!$F:$I,2,0)*K4742</f>
        <v/>
      </c>
      <c r="N4742" s="94">
        <f>M4742-M4742*VLOOKUP($Q4742,매칭테이블!$F:$I,3,0)</f>
        <v/>
      </c>
      <c r="O4742" s="94">
        <f>VLOOKUP($Q4742,매칭테이블!$F:$I,4,0)*K4742</f>
        <v/>
      </c>
      <c r="P4742" s="148">
        <f>M4742/1.1</f>
        <v/>
      </c>
      <c r="Q4742" s="94">
        <f>F4742&amp;E4742&amp;G4742&amp;L4742</f>
        <v/>
      </c>
    </row>
    <row r="4743">
      <c r="A4743" s="94" t="n"/>
      <c r="B4743" s="128" t="n">
        <v>43881</v>
      </c>
      <c r="C4743" s="94">
        <f>TEXT(B4743,"aaa")</f>
        <v/>
      </c>
      <c r="D4743" s="94" t="n"/>
      <c r="E4743" s="6" t="inlineStr">
        <is>
          <t>토너</t>
        </is>
      </c>
      <c r="F4743" s="5" t="inlineStr">
        <is>
          <t>카페24</t>
        </is>
      </c>
      <c r="G4743" s="5" t="inlineStr">
        <is>
          <t>500ml</t>
        </is>
      </c>
      <c r="H4743" s="7" t="n">
        <v>190801</v>
      </c>
      <c r="I4743" s="7" t="n">
        <v>190801</v>
      </c>
      <c r="J4743" s="94" t="n"/>
      <c r="K4743" s="149" t="n">
        <v>117</v>
      </c>
      <c r="L4743" s="7" t="n">
        <v>190801</v>
      </c>
      <c r="M4743" s="94">
        <f>VLOOKUP($Q4743,매칭테이블!$F:$I,2,0)*K4743</f>
        <v/>
      </c>
      <c r="N4743" s="94">
        <f>M4743-M4743*VLOOKUP($Q4743,매칭테이블!$F:$I,3,0)</f>
        <v/>
      </c>
      <c r="O4743" s="94">
        <f>VLOOKUP($Q4743,매칭테이블!$F:$I,4,0)*K4743</f>
        <v/>
      </c>
      <c r="P4743" s="148">
        <f>M4743/1.1</f>
        <v/>
      </c>
      <c r="Q4743" s="94">
        <f>F4743&amp;E4743&amp;G4743&amp;L4743</f>
        <v/>
      </c>
    </row>
    <row r="4744">
      <c r="A4744" s="94" t="n"/>
      <c r="B4744" s="128" t="n">
        <v>43881</v>
      </c>
      <c r="C4744" s="94">
        <f>TEXT(B4744,"aaa")</f>
        <v/>
      </c>
      <c r="D4744" s="94" t="n"/>
      <c r="E4744" s="6" t="inlineStr">
        <is>
          <t>토너</t>
        </is>
      </c>
      <c r="F4744" s="5" t="inlineStr">
        <is>
          <t>카페24</t>
        </is>
      </c>
      <c r="G4744" s="94" t="inlineStr">
        <is>
          <t>스킨팩 화장솜 60P</t>
        </is>
      </c>
      <c r="H4744" s="7" t="n">
        <v>190801</v>
      </c>
      <c r="I4744" s="7" t="n">
        <v>190801</v>
      </c>
      <c r="J4744" s="94" t="n"/>
      <c r="K4744" s="149" t="n">
        <v>19</v>
      </c>
      <c r="L4744" s="7" t="n">
        <v>190801</v>
      </c>
      <c r="M4744" s="94">
        <f>VLOOKUP($Q4744,매칭테이블!$F:$I,2,0)*K4744</f>
        <v/>
      </c>
      <c r="N4744" s="94">
        <f>M4744-M4744*VLOOKUP($Q4744,매칭테이블!$F:$I,3,0)</f>
        <v/>
      </c>
      <c r="O4744" s="94">
        <f>VLOOKUP($Q4744,매칭테이블!$F:$I,4,0)*K4744</f>
        <v/>
      </c>
      <c r="P4744" s="148">
        <f>M4744/1.1</f>
        <v/>
      </c>
      <c r="Q4744" s="94">
        <f>F4744&amp;E4744&amp;G4744&amp;L4744</f>
        <v/>
      </c>
    </row>
    <row r="4745">
      <c r="A4745" s="94" t="n"/>
      <c r="B4745" s="128" t="n">
        <v>43881</v>
      </c>
      <c r="C4745" s="94">
        <f>TEXT(B4745,"aaa")</f>
        <v/>
      </c>
      <c r="D4745" s="94" t="n"/>
      <c r="E4745" s="94" t="inlineStr">
        <is>
          <t>클렌징폼</t>
        </is>
      </c>
      <c r="F4745" s="5" t="inlineStr">
        <is>
          <t>카페24</t>
        </is>
      </c>
      <c r="G4745" s="94" t="inlineStr">
        <is>
          <t>클렌징폼 120ml</t>
        </is>
      </c>
      <c r="H4745" s="7" t="n">
        <v>190801</v>
      </c>
      <c r="I4745" s="7" t="n">
        <v>190801</v>
      </c>
      <c r="J4745" s="94" t="n"/>
      <c r="K4745" s="149" t="n">
        <v>26</v>
      </c>
      <c r="L4745" s="7" t="n">
        <v>190801</v>
      </c>
      <c r="M4745" s="94">
        <f>VLOOKUP($Q4745,매칭테이블!$F:$I,2,0)*K4745</f>
        <v/>
      </c>
      <c r="N4745" s="94">
        <f>M4745-M4745*VLOOKUP($Q4745,매칭테이블!$F:$I,3,0)</f>
        <v/>
      </c>
      <c r="O4745" s="94">
        <f>VLOOKUP($Q4745,매칭테이블!$F:$I,4,0)*K4745</f>
        <v/>
      </c>
      <c r="P4745" s="148">
        <f>M4745/1.1</f>
        <v/>
      </c>
      <c r="Q4745" s="94">
        <f>F4745&amp;E4745&amp;G4745&amp;L4745</f>
        <v/>
      </c>
    </row>
    <row r="4746">
      <c r="A4746" s="94" t="n"/>
      <c r="B4746" s="128" t="n">
        <v>43881</v>
      </c>
      <c r="C4746" s="94">
        <f>TEXT(B4746,"aaa")</f>
        <v/>
      </c>
      <c r="D4746" s="94" t="n"/>
      <c r="E4746" s="94" t="inlineStr">
        <is>
          <t>클렌징폼</t>
        </is>
      </c>
      <c r="F4746" s="94" t="inlineStr">
        <is>
          <t>카페24</t>
        </is>
      </c>
      <c r="G4746" s="94" t="inlineStr">
        <is>
          <t>클렌징폼 120ml 2set</t>
        </is>
      </c>
      <c r="H4746" s="7" t="n">
        <v>190801</v>
      </c>
      <c r="I4746" s="7" t="n">
        <v>190801</v>
      </c>
      <c r="J4746" s="94" t="n"/>
      <c r="K4746" s="149" t="n">
        <v>1</v>
      </c>
      <c r="L4746" s="7" t="n">
        <v>190801</v>
      </c>
      <c r="M4746" s="94">
        <f>VLOOKUP($Q4746,매칭테이블!$F:$I,2,0)*K4746</f>
        <v/>
      </c>
      <c r="N4746" s="94">
        <f>M4746-M4746*VLOOKUP($Q4746,매칭테이블!$F:$I,3,0)</f>
        <v/>
      </c>
      <c r="O4746" s="94">
        <f>VLOOKUP($Q4746,매칭테이블!$F:$I,4,0)*K4746</f>
        <v/>
      </c>
      <c r="P4746" s="148">
        <f>M4746/1.1</f>
        <v/>
      </c>
      <c r="Q4746" s="94">
        <f>F4746&amp;E4746&amp;G4746&amp;L4746</f>
        <v/>
      </c>
    </row>
    <row r="4747">
      <c r="A4747" s="94" t="n"/>
      <c r="B4747" s="128" t="n">
        <v>43881</v>
      </c>
      <c r="C4747" s="94">
        <f>TEXT(B4747,"aaa")</f>
        <v/>
      </c>
      <c r="D4747" s="94" t="n"/>
      <c r="E4747" s="94" t="inlineStr">
        <is>
          <t>클렌징폼</t>
        </is>
      </c>
      <c r="F4747" s="94" t="inlineStr">
        <is>
          <t>카페24</t>
        </is>
      </c>
      <c r="G4747" s="94" t="inlineStr">
        <is>
          <t>클렌징폼 120ml 3set</t>
        </is>
      </c>
      <c r="H4747" s="7" t="n">
        <v>190801</v>
      </c>
      <c r="I4747" s="7" t="n">
        <v>190801</v>
      </c>
      <c r="J4747" s="94" t="n"/>
      <c r="K4747" s="149" t="n">
        <v>2</v>
      </c>
      <c r="L4747" s="7" t="n">
        <v>190801</v>
      </c>
      <c r="M4747" s="94">
        <f>VLOOKUP($Q4747,매칭테이블!$F:$I,2,0)*K4747</f>
        <v/>
      </c>
      <c r="N4747" s="94">
        <f>M4747-M4747*VLOOKUP($Q4747,매칭테이블!$F:$I,3,0)</f>
        <v/>
      </c>
      <c r="O4747" s="94">
        <f>VLOOKUP($Q4747,매칭테이블!$F:$I,4,0)*K4747</f>
        <v/>
      </c>
      <c r="P4747" s="148">
        <f>M4747/1.1</f>
        <v/>
      </c>
      <c r="Q4747" s="94">
        <f>F4747&amp;E4747&amp;G4747&amp;L4747</f>
        <v/>
      </c>
    </row>
    <row r="4748">
      <c r="A4748" s="94" t="n"/>
      <c r="B4748" s="128" t="n">
        <v>43881</v>
      </c>
      <c r="C4748" s="94">
        <f>TEXT(B4748,"aaa")</f>
        <v/>
      </c>
      <c r="D4748" s="94" t="n"/>
      <c r="E4748" s="94" t="inlineStr">
        <is>
          <t>토너</t>
        </is>
      </c>
      <c r="F4748" s="94" t="inlineStr">
        <is>
          <t>큐텐</t>
        </is>
      </c>
      <c r="G4748" s="94" t="inlineStr">
        <is>
          <t>250ml</t>
        </is>
      </c>
      <c r="H4748" s="7" t="n">
        <v>190801</v>
      </c>
      <c r="I4748" s="7" t="n">
        <v>190801</v>
      </c>
      <c r="J4748" s="94" t="n"/>
      <c r="K4748" s="149" t="n">
        <v>9</v>
      </c>
      <c r="L4748" s="92" t="n">
        <v>190801</v>
      </c>
      <c r="M4748" s="94">
        <f>VLOOKUP($Q4748,매칭테이블!$F:$I,2,0)*K4748</f>
        <v/>
      </c>
      <c r="N4748" s="94">
        <f>M4748-M4748*VLOOKUP($Q4748,매칭테이블!$F:$I,3,0)</f>
        <v/>
      </c>
      <c r="O4748" s="94">
        <f>VLOOKUP($Q4748,매칭테이블!$F:$I,4,0)*K4748</f>
        <v/>
      </c>
      <c r="P4748" s="148">
        <f>M4748/1.1</f>
        <v/>
      </c>
      <c r="Q4748" s="94">
        <f>F4748&amp;E4748&amp;G4748&amp;L4748</f>
        <v/>
      </c>
    </row>
    <row r="4749">
      <c r="A4749" s="94" t="n"/>
      <c r="B4749" s="128" t="n">
        <v>43881</v>
      </c>
      <c r="C4749" s="94">
        <f>TEXT(B4749,"aaa")</f>
        <v/>
      </c>
      <c r="D4749" s="94" t="n"/>
      <c r="E4749" s="94" t="inlineStr">
        <is>
          <t>토너</t>
        </is>
      </c>
      <c r="F4749" s="94" t="inlineStr">
        <is>
          <t>큐텐</t>
        </is>
      </c>
      <c r="G4749" s="94" t="inlineStr">
        <is>
          <t>250ml 2set</t>
        </is>
      </c>
      <c r="H4749" s="7" t="n">
        <v>190801</v>
      </c>
      <c r="I4749" s="7" t="n">
        <v>190801</v>
      </c>
      <c r="J4749" s="94" t="n"/>
      <c r="K4749" s="149" t="n">
        <v>4</v>
      </c>
      <c r="L4749" s="92" t="n">
        <v>190801</v>
      </c>
      <c r="M4749" s="94">
        <f>VLOOKUP($Q4749,매칭테이블!$F:$I,2,0)*K4749</f>
        <v/>
      </c>
      <c r="N4749" s="94">
        <f>M4749-M4749*VLOOKUP($Q4749,매칭테이블!$F:$I,3,0)</f>
        <v/>
      </c>
      <c r="O4749" s="94">
        <f>VLOOKUP($Q4749,매칭테이블!$F:$I,4,0)*K4749</f>
        <v/>
      </c>
      <c r="P4749" s="148">
        <f>M4749/1.1</f>
        <v/>
      </c>
      <c r="Q4749" s="94">
        <f>F4749&amp;E4749&amp;G4749&amp;L4749</f>
        <v/>
      </c>
    </row>
    <row r="4750">
      <c r="A4750" s="94" t="n"/>
      <c r="B4750" s="128" t="n">
        <v>43882</v>
      </c>
      <c r="C4750" s="94">
        <f>TEXT(B4750,"aaa")</f>
        <v/>
      </c>
      <c r="D4750" s="94" t="n"/>
      <c r="E4750" s="6" t="inlineStr">
        <is>
          <t>토너</t>
        </is>
      </c>
      <c r="F4750" s="5" t="inlineStr">
        <is>
          <t>W컨셉</t>
        </is>
      </c>
      <c r="G4750" s="5" t="inlineStr">
        <is>
          <t>250ml</t>
        </is>
      </c>
      <c r="H4750" s="7" t="n">
        <v>190801</v>
      </c>
      <c r="I4750" s="7" t="n">
        <v>190801</v>
      </c>
      <c r="J4750" s="94" t="n"/>
      <c r="K4750" s="149" t="n">
        <v>9</v>
      </c>
      <c r="L4750" s="7" t="n">
        <v>190801</v>
      </c>
      <c r="M4750" s="94">
        <f>VLOOKUP($Q4750,매칭테이블!$F:$I,2,0)*K4750</f>
        <v/>
      </c>
      <c r="N4750" s="94">
        <f>M4750-M4750*VLOOKUP($Q4750,매칭테이블!$F:$I,3,0)</f>
        <v/>
      </c>
      <c r="O4750" s="94">
        <f>VLOOKUP($Q4750,매칭테이블!$F:$I,4,0)*K4750</f>
        <v/>
      </c>
      <c r="P4750" s="148">
        <f>M4750/1.1</f>
        <v/>
      </c>
      <c r="Q4750" s="94">
        <f>F4750&amp;E4750&amp;G4750&amp;L4750</f>
        <v/>
      </c>
    </row>
    <row r="4751">
      <c r="A4751" s="94" t="n"/>
      <c r="B4751" s="128" t="n">
        <v>43882</v>
      </c>
      <c r="C4751" s="94">
        <f>TEXT(B4751,"aaa")</f>
        <v/>
      </c>
      <c r="D4751" s="94" t="n"/>
      <c r="E4751" s="6" t="inlineStr">
        <is>
          <t>토너</t>
        </is>
      </c>
      <c r="F4751" s="5" t="inlineStr">
        <is>
          <t>W컨셉</t>
        </is>
      </c>
      <c r="G4751" s="5" t="inlineStr">
        <is>
          <t>250ml 2set</t>
        </is>
      </c>
      <c r="H4751" s="7" t="n">
        <v>190801</v>
      </c>
      <c r="I4751" s="7" t="n">
        <v>190801</v>
      </c>
      <c r="J4751" s="94" t="n"/>
      <c r="K4751" s="149" t="n">
        <v>20</v>
      </c>
      <c r="L4751" s="7" t="n">
        <v>190801</v>
      </c>
      <c r="M4751" s="94">
        <f>VLOOKUP($Q4751,매칭테이블!$F:$I,2,0)*K4751</f>
        <v/>
      </c>
      <c r="N4751" s="94">
        <f>M4751-M4751*VLOOKUP($Q4751,매칭테이블!$F:$I,3,0)</f>
        <v/>
      </c>
      <c r="O4751" s="94">
        <f>VLOOKUP($Q4751,매칭테이블!$F:$I,4,0)*K4751</f>
        <v/>
      </c>
      <c r="P4751" s="148">
        <f>M4751/1.1</f>
        <v/>
      </c>
      <c r="Q4751" s="94">
        <f>F4751&amp;E4751&amp;G4751&amp;L4751</f>
        <v/>
      </c>
    </row>
    <row r="4752">
      <c r="A4752" s="94" t="n"/>
      <c r="B4752" s="128" t="n">
        <v>43882</v>
      </c>
      <c r="C4752" s="94">
        <f>TEXT(B4752,"aaa")</f>
        <v/>
      </c>
      <c r="D4752" s="94" t="n"/>
      <c r="E4752" s="94" t="inlineStr">
        <is>
          <t>토너</t>
        </is>
      </c>
      <c r="F4752" s="5" t="inlineStr">
        <is>
          <t>스타일쉐어</t>
        </is>
      </c>
      <c r="G4752" s="94" t="inlineStr">
        <is>
          <t>250ml</t>
        </is>
      </c>
      <c r="H4752" s="7" t="n">
        <v>190801</v>
      </c>
      <c r="I4752" s="7" t="n">
        <v>190801</v>
      </c>
      <c r="J4752" s="94" t="n"/>
      <c r="K4752" s="149" t="n">
        <v>31</v>
      </c>
      <c r="L4752" s="92" t="n">
        <v>190801</v>
      </c>
      <c r="M4752" s="94">
        <f>VLOOKUP($Q4752,매칭테이블!$F:$I,2,0)*K4752</f>
        <v/>
      </c>
      <c r="N4752" s="94">
        <f>M4752-M4752*VLOOKUP($Q4752,매칭테이블!$F:$I,3,0)</f>
        <v/>
      </c>
      <c r="O4752" s="94">
        <f>VLOOKUP($Q4752,매칭테이블!$F:$I,4,0)*K4752</f>
        <v/>
      </c>
      <c r="P4752" s="148">
        <f>M4752/1.1</f>
        <v/>
      </c>
      <c r="Q4752" s="94">
        <f>F4752&amp;E4752&amp;G4752&amp;L4752</f>
        <v/>
      </c>
    </row>
    <row r="4753">
      <c r="A4753" s="94" t="n"/>
      <c r="B4753" s="128" t="n">
        <v>43882</v>
      </c>
      <c r="C4753" s="94">
        <f>TEXT(B4753,"aaa")</f>
        <v/>
      </c>
      <c r="D4753" s="94" t="n"/>
      <c r="E4753" s="94" t="inlineStr">
        <is>
          <t>클렌징폼</t>
        </is>
      </c>
      <c r="F4753" s="94" t="inlineStr">
        <is>
          <t>아누아 CS</t>
        </is>
      </c>
      <c r="G4753" s="94" t="inlineStr">
        <is>
          <t>클렌징폼 120ml</t>
        </is>
      </c>
      <c r="H4753" s="7" t="n">
        <v>190801</v>
      </c>
      <c r="I4753" s="7" t="n">
        <v>190801</v>
      </c>
      <c r="J4753" s="94" t="n"/>
      <c r="K4753" s="149" t="n">
        <v>10</v>
      </c>
      <c r="L4753" s="7" t="n">
        <v>190801</v>
      </c>
      <c r="M4753" s="94">
        <f>VLOOKUP($Q4753,매칭테이블!$F:$I,2,0)*K4753</f>
        <v/>
      </c>
      <c r="N4753" s="94">
        <f>M4753-M4753*VLOOKUP($Q4753,매칭테이블!$F:$I,3,0)</f>
        <v/>
      </c>
      <c r="O4753" s="94">
        <f>VLOOKUP($Q4753,매칭테이블!$F:$I,4,0)*K4753</f>
        <v/>
      </c>
      <c r="P4753" s="148">
        <f>M4753/1.1</f>
        <v/>
      </c>
      <c r="Q4753" s="94">
        <f>F4753&amp;E4753&amp;G4753&amp;L4753</f>
        <v/>
      </c>
    </row>
    <row r="4754">
      <c r="A4754" s="94" t="n"/>
      <c r="B4754" s="128" t="n">
        <v>43882</v>
      </c>
      <c r="C4754" s="94">
        <f>TEXT(B4754,"aaa")</f>
        <v/>
      </c>
      <c r="D4754" s="94" t="n"/>
      <c r="E4754" s="6" t="inlineStr">
        <is>
          <t>토너</t>
        </is>
      </c>
      <c r="F4754" s="5" t="inlineStr">
        <is>
          <t>카페24</t>
        </is>
      </c>
      <c r="G4754" s="5" t="inlineStr">
        <is>
          <t>250ml</t>
        </is>
      </c>
      <c r="H4754" s="7" t="n">
        <v>190801</v>
      </c>
      <c r="I4754" s="7" t="n">
        <v>190801</v>
      </c>
      <c r="J4754" s="94" t="n"/>
      <c r="K4754" s="149" t="n">
        <v>84</v>
      </c>
      <c r="L4754" s="7" t="n">
        <v>190801</v>
      </c>
      <c r="M4754" s="94">
        <f>VLOOKUP($Q4754,매칭테이블!$F:$I,2,0)*K4754</f>
        <v/>
      </c>
      <c r="N4754" s="94">
        <f>M4754-M4754*VLOOKUP($Q4754,매칭테이블!$F:$I,3,0)</f>
        <v/>
      </c>
      <c r="O4754" s="94">
        <f>VLOOKUP($Q4754,매칭테이블!$F:$I,4,0)*K4754</f>
        <v/>
      </c>
      <c r="P4754" s="148">
        <f>M4754/1.1</f>
        <v/>
      </c>
      <c r="Q4754" s="94">
        <f>F4754&amp;E4754&amp;G4754&amp;L4754</f>
        <v/>
      </c>
    </row>
    <row r="4755">
      <c r="A4755" s="94" t="n"/>
      <c r="B4755" s="128" t="n">
        <v>43882</v>
      </c>
      <c r="C4755" s="94">
        <f>TEXT(B4755,"aaa")</f>
        <v/>
      </c>
      <c r="D4755" s="94" t="n"/>
      <c r="E4755" s="6" t="inlineStr">
        <is>
          <t>토너</t>
        </is>
      </c>
      <c r="F4755" s="5" t="inlineStr">
        <is>
          <t>카페24</t>
        </is>
      </c>
      <c r="G4755" s="5" t="inlineStr">
        <is>
          <t>250ml 2set</t>
        </is>
      </c>
      <c r="H4755" s="7" t="n">
        <v>190801</v>
      </c>
      <c r="I4755" s="7" t="n">
        <v>190801</v>
      </c>
      <c r="J4755" s="94" t="n"/>
      <c r="K4755" s="149" t="n">
        <v>48</v>
      </c>
      <c r="L4755" s="7" t="n">
        <v>190801</v>
      </c>
      <c r="M4755" s="94">
        <f>VLOOKUP($Q4755,매칭테이블!$F:$I,2,0)*K4755</f>
        <v/>
      </c>
      <c r="N4755" s="94">
        <f>M4755-M4755*VLOOKUP($Q4755,매칭테이블!$F:$I,3,0)</f>
        <v/>
      </c>
      <c r="O4755" s="94">
        <f>VLOOKUP($Q4755,매칭테이블!$F:$I,4,0)*K4755</f>
        <v/>
      </c>
      <c r="P4755" s="148">
        <f>M4755/1.1</f>
        <v/>
      </c>
      <c r="Q4755" s="94">
        <f>F4755&amp;E4755&amp;G4755&amp;L4755</f>
        <v/>
      </c>
    </row>
    <row r="4756">
      <c r="A4756" s="94" t="n"/>
      <c r="B4756" s="128" t="n">
        <v>43882</v>
      </c>
      <c r="C4756" s="94">
        <f>TEXT(B4756,"aaa")</f>
        <v/>
      </c>
      <c r="D4756" s="94" t="n"/>
      <c r="E4756" s="6" t="inlineStr">
        <is>
          <t>토너</t>
        </is>
      </c>
      <c r="F4756" s="5" t="inlineStr">
        <is>
          <t>카페24</t>
        </is>
      </c>
      <c r="G4756" s="5" t="inlineStr">
        <is>
          <t>500ml</t>
        </is>
      </c>
      <c r="H4756" s="7" t="n">
        <v>190801</v>
      </c>
      <c r="I4756" s="7" t="n">
        <v>190801</v>
      </c>
      <c r="J4756" s="94" t="n"/>
      <c r="K4756" s="149" t="n">
        <v>85</v>
      </c>
      <c r="L4756" s="7" t="n">
        <v>190801</v>
      </c>
      <c r="M4756" s="94">
        <f>VLOOKUP($Q4756,매칭테이블!$F:$I,2,0)*K4756</f>
        <v/>
      </c>
      <c r="N4756" s="94">
        <f>M4756-M4756*VLOOKUP($Q4756,매칭테이블!$F:$I,3,0)</f>
        <v/>
      </c>
      <c r="O4756" s="94">
        <f>VLOOKUP($Q4756,매칭테이블!$F:$I,4,0)*K4756</f>
        <v/>
      </c>
      <c r="P4756" s="148">
        <f>M4756/1.1</f>
        <v/>
      </c>
      <c r="Q4756" s="94">
        <f>F4756&amp;E4756&amp;G4756&amp;L4756</f>
        <v/>
      </c>
    </row>
    <row r="4757">
      <c r="A4757" s="94" t="n"/>
      <c r="B4757" s="128" t="n">
        <v>43882</v>
      </c>
      <c r="C4757" s="94">
        <f>TEXT(B4757,"aaa")</f>
        <v/>
      </c>
      <c r="D4757" s="94" t="n"/>
      <c r="E4757" s="6" t="inlineStr">
        <is>
          <t>토너</t>
        </is>
      </c>
      <c r="F4757" s="5" t="inlineStr">
        <is>
          <t>카페24</t>
        </is>
      </c>
      <c r="G4757" s="94" t="inlineStr">
        <is>
          <t>스킨팩 화장솜 60P</t>
        </is>
      </c>
      <c r="H4757" s="7" t="n">
        <v>190801</v>
      </c>
      <c r="I4757" s="7" t="n">
        <v>190801</v>
      </c>
      <c r="J4757" s="94" t="n"/>
      <c r="K4757" s="149" t="n">
        <v>60</v>
      </c>
      <c r="L4757" s="7" t="n">
        <v>190801</v>
      </c>
      <c r="M4757" s="94">
        <f>VLOOKUP($Q4757,매칭테이블!$F:$I,2,0)*K4757</f>
        <v/>
      </c>
      <c r="N4757" s="94">
        <f>M4757-M4757*VLOOKUP($Q4757,매칭테이블!$F:$I,3,0)</f>
        <v/>
      </c>
      <c r="O4757" s="94">
        <f>VLOOKUP($Q4757,매칭테이블!$F:$I,4,0)*K4757</f>
        <v/>
      </c>
      <c r="P4757" s="148">
        <f>M4757/1.1</f>
        <v/>
      </c>
      <c r="Q4757" s="94">
        <f>F4757&amp;E4757&amp;G4757&amp;L4757</f>
        <v/>
      </c>
    </row>
    <row r="4758">
      <c r="A4758" s="94" t="n"/>
      <c r="B4758" s="128" t="n">
        <v>43882</v>
      </c>
      <c r="C4758" s="94">
        <f>TEXT(B4758,"aaa")</f>
        <v/>
      </c>
      <c r="D4758" s="94" t="n"/>
      <c r="E4758" s="94" t="inlineStr">
        <is>
          <t>클렌징폼</t>
        </is>
      </c>
      <c r="F4758" s="5" t="inlineStr">
        <is>
          <t>카페24</t>
        </is>
      </c>
      <c r="G4758" s="94" t="inlineStr">
        <is>
          <t>클렌징폼 120ml</t>
        </is>
      </c>
      <c r="H4758" s="7" t="n">
        <v>190801</v>
      </c>
      <c r="I4758" s="7" t="n">
        <v>190801</v>
      </c>
      <c r="J4758" s="94" t="n"/>
      <c r="K4758" s="149" t="n">
        <v>23</v>
      </c>
      <c r="L4758" s="7" t="n">
        <v>190801</v>
      </c>
      <c r="M4758" s="94">
        <f>VLOOKUP($Q4758,매칭테이블!$F:$I,2,0)*K4758</f>
        <v/>
      </c>
      <c r="N4758" s="94">
        <f>M4758-M4758*VLOOKUP($Q4758,매칭테이블!$F:$I,3,0)</f>
        <v/>
      </c>
      <c r="O4758" s="94">
        <f>VLOOKUP($Q4758,매칭테이블!$F:$I,4,0)*K4758</f>
        <v/>
      </c>
      <c r="P4758" s="148">
        <f>M4758/1.1</f>
        <v/>
      </c>
      <c r="Q4758" s="94">
        <f>F4758&amp;E4758&amp;G4758&amp;L4758</f>
        <v/>
      </c>
    </row>
    <row r="4759">
      <c r="A4759" s="94" t="n"/>
      <c r="B4759" s="128" t="n">
        <v>43882</v>
      </c>
      <c r="C4759" s="94">
        <f>TEXT(B4759,"aaa")</f>
        <v/>
      </c>
      <c r="D4759" s="94" t="n"/>
      <c r="E4759" s="94" t="inlineStr">
        <is>
          <t>머드크림마스크</t>
        </is>
      </c>
      <c r="F4759" s="94" t="inlineStr">
        <is>
          <t>카페24</t>
        </is>
      </c>
      <c r="G4759" s="94" t="inlineStr">
        <is>
          <t>머드크림마스크 100ml</t>
        </is>
      </c>
      <c r="H4759" s="7" t="n">
        <v>190801</v>
      </c>
      <c r="I4759" s="7" t="n">
        <v>190801</v>
      </c>
      <c r="J4759" s="94" t="n"/>
      <c r="K4759" s="149" t="n">
        <v>12</v>
      </c>
      <c r="L4759" s="94" t="n">
        <v>190801</v>
      </c>
      <c r="M4759" s="94">
        <f>VLOOKUP($Q4759,매칭테이블!$F:$I,2,0)*K4759</f>
        <v/>
      </c>
      <c r="N4759" s="94">
        <f>M4759-M4759*VLOOKUP($Q4759,매칭테이블!$F:$I,3,0)</f>
        <v/>
      </c>
      <c r="O4759" s="94">
        <f>VLOOKUP($Q4759,매칭테이블!$F:$I,4,0)*K4759</f>
        <v/>
      </c>
      <c r="P4759" s="148">
        <f>M4759/1.1</f>
        <v/>
      </c>
      <c r="Q4759" s="94">
        <f>F4759&amp;E4759&amp;G4759&amp;L4759</f>
        <v/>
      </c>
    </row>
    <row r="4760">
      <c r="A4760" s="94" t="n"/>
      <c r="B4760" s="128" t="n">
        <v>43882</v>
      </c>
      <c r="C4760" s="94">
        <f>TEXT(B4760,"aaa")</f>
        <v/>
      </c>
      <c r="D4760" s="94" t="n"/>
      <c r="E4760" s="94" t="inlineStr">
        <is>
          <t>클렌징폼</t>
        </is>
      </c>
      <c r="F4760" s="94" t="inlineStr">
        <is>
          <t>카페24</t>
        </is>
      </c>
      <c r="G4760" s="94" t="inlineStr">
        <is>
          <t>클렌징폼 120ml 3set</t>
        </is>
      </c>
      <c r="H4760" s="7" t="n">
        <v>190801</v>
      </c>
      <c r="I4760" s="7" t="n">
        <v>190801</v>
      </c>
      <c r="J4760" s="94" t="n"/>
      <c r="K4760" s="149" t="n">
        <v>1</v>
      </c>
      <c r="L4760" s="7" t="n">
        <v>190801</v>
      </c>
      <c r="M4760" s="94">
        <f>VLOOKUP($Q4760,매칭테이블!$F:$I,2,0)*K4760</f>
        <v/>
      </c>
      <c r="N4760" s="94">
        <f>M4760-M4760*VLOOKUP($Q4760,매칭테이블!$F:$I,3,0)</f>
        <v/>
      </c>
      <c r="O4760" s="94">
        <f>VLOOKUP($Q4760,매칭테이블!$F:$I,4,0)*K4760</f>
        <v/>
      </c>
      <c r="P4760" s="148">
        <f>M4760/1.1</f>
        <v/>
      </c>
      <c r="Q4760" s="94">
        <f>F4760&amp;E4760&amp;G4760&amp;L4760</f>
        <v/>
      </c>
    </row>
    <row r="4761">
      <c r="A4761" s="94" t="n"/>
      <c r="B4761" s="128" t="n">
        <v>43883</v>
      </c>
      <c r="C4761" s="94">
        <f>TEXT(B4761,"aaa")</f>
        <v/>
      </c>
      <c r="D4761" s="94" t="n"/>
      <c r="E4761" s="94" t="inlineStr">
        <is>
          <t>토너</t>
        </is>
      </c>
      <c r="F4761" s="5" t="inlineStr">
        <is>
          <t>스타일쉐어</t>
        </is>
      </c>
      <c r="G4761" s="94" t="inlineStr">
        <is>
          <t>250ml</t>
        </is>
      </c>
      <c r="H4761" s="7" t="n">
        <v>190801</v>
      </c>
      <c r="I4761" s="7" t="n">
        <v>190801</v>
      </c>
      <c r="J4761" s="94" t="n"/>
      <c r="K4761" s="149" t="n">
        <v>42</v>
      </c>
      <c r="L4761" s="92" t="n">
        <v>190801</v>
      </c>
      <c r="M4761" s="94">
        <f>VLOOKUP($Q4761,매칭테이블!$F:$I,2,0)*K4761</f>
        <v/>
      </c>
      <c r="N4761" s="94">
        <f>M4761-M4761*VLOOKUP($Q4761,매칭테이블!$F:$I,3,0)</f>
        <v/>
      </c>
      <c r="O4761" s="94">
        <f>VLOOKUP($Q4761,매칭테이블!$F:$I,4,0)*K4761</f>
        <v/>
      </c>
      <c r="P4761" s="148">
        <f>M4761/1.1</f>
        <v/>
      </c>
      <c r="Q4761" s="94">
        <f>F4761&amp;E4761&amp;G4761&amp;L4761</f>
        <v/>
      </c>
    </row>
    <row r="4762">
      <c r="A4762" s="94" t="n"/>
      <c r="B4762" s="128" t="n">
        <v>43883</v>
      </c>
      <c r="C4762" s="94">
        <f>TEXT(B4762,"aaa")</f>
        <v/>
      </c>
      <c r="D4762" s="94" t="n"/>
      <c r="E4762" s="94" t="inlineStr">
        <is>
          <t>머드크림마스크</t>
        </is>
      </c>
      <c r="F4762" s="94" t="inlineStr">
        <is>
          <t>카페24</t>
        </is>
      </c>
      <c r="G4762" s="94" t="inlineStr">
        <is>
          <t>머드크림마스크 100ml</t>
        </is>
      </c>
      <c r="H4762" s="7" t="n">
        <v>190801</v>
      </c>
      <c r="I4762" s="7" t="n">
        <v>190801</v>
      </c>
      <c r="J4762" s="94" t="n"/>
      <c r="K4762" s="149" t="n">
        <v>7</v>
      </c>
      <c r="L4762" s="94" t="n">
        <v>190801</v>
      </c>
      <c r="M4762" s="94">
        <f>VLOOKUP($Q4762,매칭테이블!$F:$I,2,0)*K4762</f>
        <v/>
      </c>
      <c r="N4762" s="94">
        <f>M4762-M4762*VLOOKUP($Q4762,매칭테이블!$F:$I,3,0)</f>
        <v/>
      </c>
      <c r="O4762" s="94">
        <f>VLOOKUP($Q4762,매칭테이블!$F:$I,4,0)*K4762</f>
        <v/>
      </c>
      <c r="P4762" s="148">
        <f>M4762/1.1</f>
        <v/>
      </c>
      <c r="Q4762" s="94">
        <f>F4762&amp;E4762&amp;G4762&amp;L4762</f>
        <v/>
      </c>
    </row>
    <row r="4763">
      <c r="A4763" s="94" t="n"/>
      <c r="B4763" s="128" t="n">
        <v>43883</v>
      </c>
      <c r="C4763" s="94">
        <f>TEXT(B4763,"aaa")</f>
        <v/>
      </c>
      <c r="D4763" s="94" t="n"/>
      <c r="E4763" s="94" t="inlineStr">
        <is>
          <t>머드크림마스크</t>
        </is>
      </c>
      <c r="F4763" s="94" t="inlineStr">
        <is>
          <t>카페24</t>
        </is>
      </c>
      <c r="G4763" s="94" t="inlineStr">
        <is>
          <t>머드크림마스크 100ml 2set</t>
        </is>
      </c>
      <c r="H4763" s="7" t="n">
        <v>190801</v>
      </c>
      <c r="I4763" s="7" t="n">
        <v>190801</v>
      </c>
      <c r="J4763" s="94" t="n"/>
      <c r="K4763" s="149" t="n">
        <v>1</v>
      </c>
      <c r="L4763" s="94" t="n">
        <v>190801</v>
      </c>
      <c r="M4763" s="94">
        <f>VLOOKUP($Q4763,매칭테이블!$F:$I,2,0)*K4763</f>
        <v/>
      </c>
      <c r="N4763" s="94">
        <f>M4763-M4763*VLOOKUP($Q4763,매칭테이블!$F:$I,3,0)</f>
        <v/>
      </c>
      <c r="O4763" s="94">
        <f>VLOOKUP($Q4763,매칭테이블!$F:$I,4,0)*K4763</f>
        <v/>
      </c>
      <c r="P4763" s="148">
        <f>M4763/1.1</f>
        <v/>
      </c>
      <c r="Q4763" s="94">
        <f>F4763&amp;E4763&amp;G4763&amp;L4763</f>
        <v/>
      </c>
    </row>
    <row r="4764">
      <c r="A4764" s="94" t="n"/>
      <c r="B4764" s="128" t="n">
        <v>43883</v>
      </c>
      <c r="C4764" s="94">
        <f>TEXT(B4764,"aaa")</f>
        <v/>
      </c>
      <c r="D4764" s="94" t="n"/>
      <c r="E4764" s="6" t="inlineStr">
        <is>
          <t>토너</t>
        </is>
      </c>
      <c r="F4764" s="5" t="inlineStr">
        <is>
          <t>카페24</t>
        </is>
      </c>
      <c r="G4764" s="5" t="inlineStr">
        <is>
          <t>250ml</t>
        </is>
      </c>
      <c r="H4764" s="7" t="n">
        <v>190801</v>
      </c>
      <c r="I4764" s="7" t="n">
        <v>190801</v>
      </c>
      <c r="J4764" s="94" t="n"/>
      <c r="K4764" s="149" t="n">
        <v>60</v>
      </c>
      <c r="L4764" s="7" t="n">
        <v>190801</v>
      </c>
      <c r="M4764" s="94">
        <f>VLOOKUP($Q4764,매칭테이블!$F:$I,2,0)*K4764</f>
        <v/>
      </c>
      <c r="N4764" s="94">
        <f>M4764-M4764*VLOOKUP($Q4764,매칭테이블!$F:$I,3,0)</f>
        <v/>
      </c>
      <c r="O4764" s="94">
        <f>VLOOKUP($Q4764,매칭테이블!$F:$I,4,0)*K4764</f>
        <v/>
      </c>
      <c r="P4764" s="148">
        <f>M4764/1.1</f>
        <v/>
      </c>
      <c r="Q4764" s="94">
        <f>F4764&amp;E4764&amp;G4764&amp;L4764</f>
        <v/>
      </c>
    </row>
    <row r="4765">
      <c r="A4765" s="94" t="n"/>
      <c r="B4765" s="128" t="n">
        <v>43883</v>
      </c>
      <c r="C4765" s="94">
        <f>TEXT(B4765,"aaa")</f>
        <v/>
      </c>
      <c r="D4765" s="94" t="n"/>
      <c r="E4765" s="6" t="inlineStr">
        <is>
          <t>토너</t>
        </is>
      </c>
      <c r="F4765" s="5" t="inlineStr">
        <is>
          <t>카페24</t>
        </is>
      </c>
      <c r="G4765" s="5" t="inlineStr">
        <is>
          <t>250ml 2set</t>
        </is>
      </c>
      <c r="H4765" s="7" t="n">
        <v>190801</v>
      </c>
      <c r="I4765" s="7" t="n">
        <v>190801</v>
      </c>
      <c r="J4765" s="94" t="n"/>
      <c r="K4765" s="149" t="n">
        <v>58</v>
      </c>
      <c r="L4765" s="7" t="n">
        <v>190801</v>
      </c>
      <c r="M4765" s="94">
        <f>VLOOKUP($Q4765,매칭테이블!$F:$I,2,0)*K4765</f>
        <v/>
      </c>
      <c r="N4765" s="94">
        <f>M4765-M4765*VLOOKUP($Q4765,매칭테이블!$F:$I,3,0)</f>
        <v/>
      </c>
      <c r="O4765" s="94">
        <f>VLOOKUP($Q4765,매칭테이블!$F:$I,4,0)*K4765</f>
        <v/>
      </c>
      <c r="P4765" s="148">
        <f>M4765/1.1</f>
        <v/>
      </c>
      <c r="Q4765" s="94">
        <f>F4765&amp;E4765&amp;G4765&amp;L4765</f>
        <v/>
      </c>
    </row>
    <row r="4766">
      <c r="A4766" s="94" t="n"/>
      <c r="B4766" s="128" t="n">
        <v>43883</v>
      </c>
      <c r="C4766" s="94">
        <f>TEXT(B4766,"aaa")</f>
        <v/>
      </c>
      <c r="D4766" s="94" t="n"/>
      <c r="E4766" s="6" t="inlineStr">
        <is>
          <t>토너</t>
        </is>
      </c>
      <c r="F4766" s="5" t="inlineStr">
        <is>
          <t>카페24</t>
        </is>
      </c>
      <c r="G4766" s="5" t="inlineStr">
        <is>
          <t>500ml</t>
        </is>
      </c>
      <c r="H4766" s="7" t="n">
        <v>190801</v>
      </c>
      <c r="I4766" s="7" t="n">
        <v>190801</v>
      </c>
      <c r="J4766" s="94" t="n"/>
      <c r="K4766" s="149" t="n">
        <v>79</v>
      </c>
      <c r="L4766" s="7" t="n">
        <v>190801</v>
      </c>
      <c r="M4766" s="94">
        <f>VLOOKUP($Q4766,매칭테이블!$F:$I,2,0)*K4766</f>
        <v/>
      </c>
      <c r="N4766" s="94">
        <f>M4766-M4766*VLOOKUP($Q4766,매칭테이블!$F:$I,3,0)</f>
        <v/>
      </c>
      <c r="O4766" s="94">
        <f>VLOOKUP($Q4766,매칭테이블!$F:$I,4,0)*K4766</f>
        <v/>
      </c>
      <c r="P4766" s="148">
        <f>M4766/1.1</f>
        <v/>
      </c>
      <c r="Q4766" s="94">
        <f>F4766&amp;E4766&amp;G4766&amp;L4766</f>
        <v/>
      </c>
    </row>
    <row r="4767">
      <c r="A4767" s="94" t="n"/>
      <c r="B4767" s="128" t="n">
        <v>43883</v>
      </c>
      <c r="C4767" s="94">
        <f>TEXT(B4767,"aaa")</f>
        <v/>
      </c>
      <c r="D4767" s="94" t="n"/>
      <c r="E4767" s="6" t="inlineStr">
        <is>
          <t>토너</t>
        </is>
      </c>
      <c r="F4767" s="5" t="inlineStr">
        <is>
          <t>카페24</t>
        </is>
      </c>
      <c r="G4767" s="94" t="inlineStr">
        <is>
          <t>스킨팩 화장솜 60P</t>
        </is>
      </c>
      <c r="H4767" s="7" t="n">
        <v>190801</v>
      </c>
      <c r="I4767" s="7" t="n">
        <v>190801</v>
      </c>
      <c r="J4767" s="94" t="n"/>
      <c r="K4767" s="149" t="n">
        <v>32</v>
      </c>
      <c r="L4767" s="7" t="n">
        <v>190801</v>
      </c>
      <c r="M4767" s="94">
        <f>VLOOKUP($Q4767,매칭테이블!$F:$I,2,0)*K4767</f>
        <v/>
      </c>
      <c r="N4767" s="94">
        <f>M4767-M4767*VLOOKUP($Q4767,매칭테이블!$F:$I,3,0)</f>
        <v/>
      </c>
      <c r="O4767" s="94">
        <f>VLOOKUP($Q4767,매칭테이블!$F:$I,4,0)*K4767</f>
        <v/>
      </c>
      <c r="P4767" s="148">
        <f>M4767/1.1</f>
        <v/>
      </c>
      <c r="Q4767" s="94">
        <f>F4767&amp;E4767&amp;G4767&amp;L4767</f>
        <v/>
      </c>
    </row>
    <row r="4768">
      <c r="A4768" s="94" t="n"/>
      <c r="B4768" s="128" t="n">
        <v>43883</v>
      </c>
      <c r="C4768" s="94">
        <f>TEXT(B4768,"aaa")</f>
        <v/>
      </c>
      <c r="D4768" s="94" t="n"/>
      <c r="E4768" s="94" t="inlineStr">
        <is>
          <t>클렌징폼</t>
        </is>
      </c>
      <c r="F4768" s="5" t="inlineStr">
        <is>
          <t>카페24</t>
        </is>
      </c>
      <c r="G4768" s="94" t="inlineStr">
        <is>
          <t>클렌징폼 120ml</t>
        </is>
      </c>
      <c r="H4768" s="7" t="n">
        <v>190801</v>
      </c>
      <c r="I4768" s="7" t="n">
        <v>190801</v>
      </c>
      <c r="J4768" s="94" t="n"/>
      <c r="K4768" s="149" t="n">
        <v>22</v>
      </c>
      <c r="L4768" s="7" t="n">
        <v>190801</v>
      </c>
      <c r="M4768" s="94">
        <f>VLOOKUP($Q4768,매칭테이블!$F:$I,2,0)*K4768</f>
        <v/>
      </c>
      <c r="N4768" s="94">
        <f>M4768-M4768*VLOOKUP($Q4768,매칭테이블!$F:$I,3,0)</f>
        <v/>
      </c>
      <c r="O4768" s="94">
        <f>VLOOKUP($Q4768,매칭테이블!$F:$I,4,0)*K4768</f>
        <v/>
      </c>
      <c r="P4768" s="148">
        <f>M4768/1.1</f>
        <v/>
      </c>
      <c r="Q4768" s="94">
        <f>F4768&amp;E4768&amp;G4768&amp;L4768</f>
        <v/>
      </c>
    </row>
    <row r="4769">
      <c r="A4769" s="94" t="n"/>
      <c r="B4769" s="128" t="n">
        <v>43883</v>
      </c>
      <c r="C4769" s="94">
        <f>TEXT(B4769,"aaa")</f>
        <v/>
      </c>
      <c r="D4769" s="94" t="n"/>
      <c r="E4769" s="94" t="inlineStr">
        <is>
          <t>클렌징폼</t>
        </is>
      </c>
      <c r="F4769" s="94" t="inlineStr">
        <is>
          <t>카페24</t>
        </is>
      </c>
      <c r="G4769" s="94" t="inlineStr">
        <is>
          <t>클렌징폼 120ml 3set</t>
        </is>
      </c>
      <c r="H4769" s="7" t="n">
        <v>190801</v>
      </c>
      <c r="I4769" s="7" t="n">
        <v>190801</v>
      </c>
      <c r="J4769" s="94" t="n"/>
      <c r="K4769" s="149" t="n">
        <v>1</v>
      </c>
      <c r="L4769" s="7" t="n">
        <v>190801</v>
      </c>
      <c r="M4769" s="94">
        <f>VLOOKUP($Q4769,매칭테이블!$F:$I,2,0)*K4769</f>
        <v/>
      </c>
      <c r="N4769" s="94">
        <f>M4769-M4769*VLOOKUP($Q4769,매칭테이블!$F:$I,3,0)</f>
        <v/>
      </c>
      <c r="O4769" s="94">
        <f>VLOOKUP($Q4769,매칭테이블!$F:$I,4,0)*K4769</f>
        <v/>
      </c>
      <c r="P4769" s="148">
        <f>M4769/1.1</f>
        <v/>
      </c>
      <c r="Q4769" s="94">
        <f>F4769&amp;E4769&amp;G4769&amp;L4769</f>
        <v/>
      </c>
    </row>
    <row r="4770">
      <c r="A4770" s="94" t="n"/>
      <c r="B4770" s="128" t="n">
        <v>43884</v>
      </c>
      <c r="C4770" s="94">
        <f>TEXT(B4770,"aaa")</f>
        <v/>
      </c>
      <c r="D4770" s="94" t="n"/>
      <c r="E4770" s="94" t="inlineStr">
        <is>
          <t>토너</t>
        </is>
      </c>
      <c r="F4770" s="5" t="inlineStr">
        <is>
          <t>스타일쉐어</t>
        </is>
      </c>
      <c r="G4770" s="94" t="inlineStr">
        <is>
          <t>250ml</t>
        </is>
      </c>
      <c r="H4770" s="7" t="n">
        <v>190801</v>
      </c>
      <c r="I4770" s="7" t="n">
        <v>190801</v>
      </c>
      <c r="J4770" s="94" t="n"/>
      <c r="K4770" s="149" t="n">
        <v>40</v>
      </c>
      <c r="L4770" s="92" t="n">
        <v>190801</v>
      </c>
      <c r="M4770" s="94">
        <f>VLOOKUP($Q4770,매칭테이블!$F:$I,2,0)*K4770</f>
        <v/>
      </c>
      <c r="N4770" s="94">
        <f>M4770-M4770*VLOOKUP($Q4770,매칭테이블!$F:$I,3,0)</f>
        <v/>
      </c>
      <c r="O4770" s="94">
        <f>VLOOKUP($Q4770,매칭테이블!$F:$I,4,0)*K4770</f>
        <v/>
      </c>
      <c r="P4770" s="148">
        <f>M4770/1.1</f>
        <v/>
      </c>
      <c r="Q4770" s="94">
        <f>F4770&amp;E4770&amp;G4770&amp;L4770</f>
        <v/>
      </c>
    </row>
    <row r="4771">
      <c r="A4771" s="94" t="n"/>
      <c r="B4771" s="128" t="n">
        <v>43884</v>
      </c>
      <c r="C4771" s="94">
        <f>TEXT(B4771,"aaa")</f>
        <v/>
      </c>
      <c r="D4771" s="94" t="n"/>
      <c r="E4771" s="94" t="inlineStr">
        <is>
          <t>머드크림마스크</t>
        </is>
      </c>
      <c r="F4771" s="94" t="inlineStr">
        <is>
          <t>카페24</t>
        </is>
      </c>
      <c r="G4771" s="94" t="inlineStr">
        <is>
          <t>머드크림마스크 100ml</t>
        </is>
      </c>
      <c r="H4771" s="7" t="n">
        <v>190801</v>
      </c>
      <c r="I4771" s="7" t="n">
        <v>190801</v>
      </c>
      <c r="J4771" s="94" t="n"/>
      <c r="K4771" s="149" t="n">
        <v>13</v>
      </c>
      <c r="L4771" s="94" t="n">
        <v>190801</v>
      </c>
      <c r="M4771" s="94">
        <f>VLOOKUP($Q4771,매칭테이블!$F:$I,2,0)*K4771</f>
        <v/>
      </c>
      <c r="N4771" s="94">
        <f>M4771-M4771*VLOOKUP($Q4771,매칭테이블!$F:$I,3,0)</f>
        <v/>
      </c>
      <c r="O4771" s="94">
        <f>VLOOKUP($Q4771,매칭테이블!$F:$I,4,0)*K4771</f>
        <v/>
      </c>
      <c r="P4771" s="148">
        <f>M4771/1.1</f>
        <v/>
      </c>
      <c r="Q4771" s="94">
        <f>F4771&amp;E4771&amp;G4771&amp;L4771</f>
        <v/>
      </c>
    </row>
    <row r="4772">
      <c r="A4772" s="94" t="n"/>
      <c r="B4772" s="128" t="n">
        <v>43884</v>
      </c>
      <c r="C4772" s="94">
        <f>TEXT(B4772,"aaa")</f>
        <v/>
      </c>
      <c r="D4772" s="94" t="n"/>
      <c r="E4772" s="94" t="inlineStr">
        <is>
          <t>머드크림마스크</t>
        </is>
      </c>
      <c r="F4772" s="94" t="inlineStr">
        <is>
          <t>카페24</t>
        </is>
      </c>
      <c r="G4772" s="94" t="inlineStr">
        <is>
          <t>머드크림마스크 100ml 2set</t>
        </is>
      </c>
      <c r="H4772" s="7" t="n">
        <v>190801</v>
      </c>
      <c r="I4772" s="7" t="n">
        <v>190801</v>
      </c>
      <c r="J4772" s="94" t="n"/>
      <c r="K4772" s="149" t="n">
        <v>2</v>
      </c>
      <c r="L4772" s="94" t="n">
        <v>190801</v>
      </c>
      <c r="M4772" s="94">
        <f>VLOOKUP($Q4772,매칭테이블!$F:$I,2,0)*K4772</f>
        <v/>
      </c>
      <c r="N4772" s="94">
        <f>M4772-M4772*VLOOKUP($Q4772,매칭테이블!$F:$I,3,0)</f>
        <v/>
      </c>
      <c r="O4772" s="94">
        <f>VLOOKUP($Q4772,매칭테이블!$F:$I,4,0)*K4772</f>
        <v/>
      </c>
      <c r="P4772" s="148">
        <f>M4772/1.1</f>
        <v/>
      </c>
      <c r="Q4772" s="94">
        <f>F4772&amp;E4772&amp;G4772&amp;L4772</f>
        <v/>
      </c>
    </row>
    <row r="4773">
      <c r="A4773" s="94" t="n"/>
      <c r="B4773" s="128" t="n">
        <v>43884</v>
      </c>
      <c r="C4773" s="94">
        <f>TEXT(B4773,"aaa")</f>
        <v/>
      </c>
      <c r="D4773" s="94" t="n"/>
      <c r="E4773" s="6" t="inlineStr">
        <is>
          <t>토너</t>
        </is>
      </c>
      <c r="F4773" s="5" t="inlineStr">
        <is>
          <t>카페24</t>
        </is>
      </c>
      <c r="G4773" s="5" t="inlineStr">
        <is>
          <t>250ml</t>
        </is>
      </c>
      <c r="H4773" s="7" t="n">
        <v>190801</v>
      </c>
      <c r="I4773" s="7" t="n">
        <v>190801</v>
      </c>
      <c r="J4773" s="94" t="n"/>
      <c r="K4773" s="149" t="n">
        <v>82</v>
      </c>
      <c r="L4773" s="7" t="n">
        <v>190801</v>
      </c>
      <c r="M4773" s="94">
        <f>VLOOKUP($Q4773,매칭테이블!$F:$I,2,0)*K4773</f>
        <v/>
      </c>
      <c r="N4773" s="94">
        <f>M4773-M4773*VLOOKUP($Q4773,매칭테이블!$F:$I,3,0)</f>
        <v/>
      </c>
      <c r="O4773" s="94">
        <f>VLOOKUP($Q4773,매칭테이블!$F:$I,4,0)*K4773</f>
        <v/>
      </c>
      <c r="P4773" s="148">
        <f>M4773/1.1</f>
        <v/>
      </c>
      <c r="Q4773" s="94">
        <f>F4773&amp;E4773&amp;G4773&amp;L4773</f>
        <v/>
      </c>
    </row>
    <row r="4774">
      <c r="A4774" s="94" t="n"/>
      <c r="B4774" s="128" t="n">
        <v>43884</v>
      </c>
      <c r="C4774" s="94">
        <f>TEXT(B4774,"aaa")</f>
        <v/>
      </c>
      <c r="D4774" s="94" t="n"/>
      <c r="E4774" s="6" t="inlineStr">
        <is>
          <t>토너</t>
        </is>
      </c>
      <c r="F4774" s="5" t="inlineStr">
        <is>
          <t>카페24</t>
        </is>
      </c>
      <c r="G4774" s="5" t="inlineStr">
        <is>
          <t>250ml 2set</t>
        </is>
      </c>
      <c r="H4774" s="7" t="n">
        <v>190801</v>
      </c>
      <c r="I4774" s="7" t="n">
        <v>190801</v>
      </c>
      <c r="J4774" s="94" t="n"/>
      <c r="K4774" s="149" t="n">
        <v>168</v>
      </c>
      <c r="L4774" s="7" t="n">
        <v>190801</v>
      </c>
      <c r="M4774" s="94">
        <f>VLOOKUP($Q4774,매칭테이블!$F:$I,2,0)*K4774</f>
        <v/>
      </c>
      <c r="N4774" s="94">
        <f>M4774-M4774*VLOOKUP($Q4774,매칭테이블!$F:$I,3,0)</f>
        <v/>
      </c>
      <c r="O4774" s="94">
        <f>VLOOKUP($Q4774,매칭테이블!$F:$I,4,0)*K4774</f>
        <v/>
      </c>
      <c r="P4774" s="148">
        <f>M4774/1.1</f>
        <v/>
      </c>
      <c r="Q4774" s="94">
        <f>F4774&amp;E4774&amp;G4774&amp;L4774</f>
        <v/>
      </c>
    </row>
    <row r="4775">
      <c r="A4775" s="94" t="n"/>
      <c r="B4775" s="128" t="n">
        <v>43884</v>
      </c>
      <c r="C4775" s="94">
        <f>TEXT(B4775,"aaa")</f>
        <v/>
      </c>
      <c r="D4775" s="94" t="n"/>
      <c r="E4775" s="6" t="inlineStr">
        <is>
          <t>토너</t>
        </is>
      </c>
      <c r="F4775" s="5" t="inlineStr">
        <is>
          <t>카페24</t>
        </is>
      </c>
      <c r="G4775" s="5" t="inlineStr">
        <is>
          <t>500ml</t>
        </is>
      </c>
      <c r="H4775" s="7" t="n">
        <v>190801</v>
      </c>
      <c r="I4775" s="7" t="n">
        <v>190801</v>
      </c>
      <c r="J4775" s="94" t="n"/>
      <c r="K4775" s="149" t="n">
        <v>91</v>
      </c>
      <c r="L4775" s="7" t="n">
        <v>190801</v>
      </c>
      <c r="M4775" s="94">
        <f>VLOOKUP($Q4775,매칭테이블!$F:$I,2,0)*K4775</f>
        <v/>
      </c>
      <c r="N4775" s="94">
        <f>M4775-M4775*VLOOKUP($Q4775,매칭테이블!$F:$I,3,0)</f>
        <v/>
      </c>
      <c r="O4775" s="94">
        <f>VLOOKUP($Q4775,매칭테이블!$F:$I,4,0)*K4775</f>
        <v/>
      </c>
      <c r="P4775" s="148">
        <f>M4775/1.1</f>
        <v/>
      </c>
      <c r="Q4775" s="94">
        <f>F4775&amp;E4775&amp;G4775&amp;L4775</f>
        <v/>
      </c>
    </row>
    <row r="4776">
      <c r="A4776" s="94" t="n"/>
      <c r="B4776" s="128" t="n">
        <v>43884</v>
      </c>
      <c r="C4776" s="94">
        <f>TEXT(B4776,"aaa")</f>
        <v/>
      </c>
      <c r="D4776" s="94" t="n"/>
      <c r="E4776" s="6" t="inlineStr">
        <is>
          <t>토너</t>
        </is>
      </c>
      <c r="F4776" s="5" t="inlineStr">
        <is>
          <t>카페24</t>
        </is>
      </c>
      <c r="G4776" s="94" t="inlineStr">
        <is>
          <t>스킨팩 화장솜 60P</t>
        </is>
      </c>
      <c r="H4776" s="7" t="n">
        <v>190801</v>
      </c>
      <c r="I4776" s="7" t="n">
        <v>190801</v>
      </c>
      <c r="J4776" s="94" t="n"/>
      <c r="K4776" s="149" t="n">
        <v>38</v>
      </c>
      <c r="L4776" s="7" t="n">
        <v>190801</v>
      </c>
      <c r="M4776" s="94">
        <f>VLOOKUP($Q4776,매칭테이블!$F:$I,2,0)*K4776</f>
        <v/>
      </c>
      <c r="N4776" s="94">
        <f>M4776-M4776*VLOOKUP($Q4776,매칭테이블!$F:$I,3,0)</f>
        <v/>
      </c>
      <c r="O4776" s="94">
        <f>VLOOKUP($Q4776,매칭테이블!$F:$I,4,0)*K4776</f>
        <v/>
      </c>
      <c r="P4776" s="148">
        <f>M4776/1.1</f>
        <v/>
      </c>
      <c r="Q4776" s="94">
        <f>F4776&amp;E4776&amp;G4776&amp;L4776</f>
        <v/>
      </c>
    </row>
    <row r="4777">
      <c r="A4777" s="94" t="n"/>
      <c r="B4777" s="128" t="n">
        <v>43884</v>
      </c>
      <c r="C4777" s="94">
        <f>TEXT(B4777,"aaa")</f>
        <v/>
      </c>
      <c r="D4777" s="94" t="n"/>
      <c r="E4777" s="94" t="inlineStr">
        <is>
          <t>클렌징폼</t>
        </is>
      </c>
      <c r="F4777" s="5" t="inlineStr">
        <is>
          <t>카페24</t>
        </is>
      </c>
      <c r="G4777" s="94" t="inlineStr">
        <is>
          <t>클렌징폼 120ml</t>
        </is>
      </c>
      <c r="H4777" s="7" t="n">
        <v>190801</v>
      </c>
      <c r="I4777" s="7" t="n">
        <v>190801</v>
      </c>
      <c r="J4777" s="94" t="n"/>
      <c r="K4777" s="149" t="n">
        <v>24</v>
      </c>
      <c r="L4777" s="7" t="n">
        <v>190801</v>
      </c>
      <c r="M4777" s="94">
        <f>VLOOKUP($Q4777,매칭테이블!$F:$I,2,0)*K4777</f>
        <v/>
      </c>
      <c r="N4777" s="94">
        <f>M4777-M4777*VLOOKUP($Q4777,매칭테이블!$F:$I,3,0)</f>
        <v/>
      </c>
      <c r="O4777" s="94">
        <f>VLOOKUP($Q4777,매칭테이블!$F:$I,4,0)*K4777</f>
        <v/>
      </c>
      <c r="P4777" s="148">
        <f>M4777/1.1</f>
        <v/>
      </c>
      <c r="Q4777" s="94">
        <f>F4777&amp;E4777&amp;G4777&amp;L4777</f>
        <v/>
      </c>
    </row>
    <row r="4778">
      <c r="A4778" s="94" t="n"/>
      <c r="B4778" s="128" t="n">
        <v>43884</v>
      </c>
      <c r="C4778" s="94">
        <f>TEXT(B4778,"aaa")</f>
        <v/>
      </c>
      <c r="D4778" s="94" t="n"/>
      <c r="E4778" s="94" t="inlineStr">
        <is>
          <t>클렌징폼</t>
        </is>
      </c>
      <c r="F4778" s="94" t="inlineStr">
        <is>
          <t>카페24</t>
        </is>
      </c>
      <c r="G4778" s="94" t="inlineStr">
        <is>
          <t>클렌징폼 120ml 2set</t>
        </is>
      </c>
      <c r="H4778" s="7" t="n">
        <v>190801</v>
      </c>
      <c r="I4778" s="7" t="n">
        <v>190801</v>
      </c>
      <c r="J4778" s="94" t="n"/>
      <c r="K4778" s="149" t="n">
        <v>2</v>
      </c>
      <c r="L4778" s="7" t="n">
        <v>190801</v>
      </c>
      <c r="M4778" s="94">
        <f>VLOOKUP($Q4778,매칭테이블!$F:$I,2,0)*K4778</f>
        <v/>
      </c>
      <c r="N4778" s="94">
        <f>M4778-M4778*VLOOKUP($Q4778,매칭테이블!$F:$I,3,0)</f>
        <v/>
      </c>
      <c r="O4778" s="94">
        <f>VLOOKUP($Q4778,매칭테이블!$F:$I,4,0)*K4778</f>
        <v/>
      </c>
      <c r="P4778" s="148">
        <f>M4778/1.1</f>
        <v/>
      </c>
      <c r="Q4778" s="94">
        <f>F4778&amp;E4778&amp;G4778&amp;L4778</f>
        <v/>
      </c>
    </row>
    <row r="4779">
      <c r="A4779" s="94" t="n"/>
      <c r="B4779" s="128" t="n">
        <v>43885</v>
      </c>
      <c r="C4779" s="94">
        <f>TEXT(B4779,"aaa")</f>
        <v/>
      </c>
      <c r="D4779" s="94" t="n"/>
      <c r="E4779" s="6" t="inlineStr">
        <is>
          <t>토너</t>
        </is>
      </c>
      <c r="F4779" s="5" t="inlineStr">
        <is>
          <t>W컨셉</t>
        </is>
      </c>
      <c r="G4779" s="5" t="inlineStr">
        <is>
          <t>250ml</t>
        </is>
      </c>
      <c r="H4779" s="7" t="n">
        <v>190801</v>
      </c>
      <c r="I4779" s="7" t="n">
        <v>190801</v>
      </c>
      <c r="J4779" s="94" t="n"/>
      <c r="K4779" s="149" t="n">
        <v>13</v>
      </c>
      <c r="L4779" s="7" t="n">
        <v>190801</v>
      </c>
      <c r="M4779" s="94">
        <f>VLOOKUP($Q4779,매칭테이블!$F:$I,2,0)*K4779</f>
        <v/>
      </c>
      <c r="N4779" s="94">
        <f>M4779-M4779*VLOOKUP($Q4779,매칭테이블!$F:$I,3,0)</f>
        <v/>
      </c>
      <c r="O4779" s="94">
        <f>VLOOKUP($Q4779,매칭테이블!$F:$I,4,0)*K4779</f>
        <v/>
      </c>
      <c r="P4779" s="148">
        <f>M4779/1.1</f>
        <v/>
      </c>
      <c r="Q4779" s="94">
        <f>F4779&amp;E4779&amp;G4779&amp;L4779</f>
        <v/>
      </c>
    </row>
    <row r="4780">
      <c r="A4780" s="94" t="n"/>
      <c r="B4780" s="128" t="n">
        <v>43885</v>
      </c>
      <c r="C4780" s="94">
        <f>TEXT(B4780,"aaa")</f>
        <v/>
      </c>
      <c r="D4780" s="94" t="n"/>
      <c r="E4780" s="6" t="inlineStr">
        <is>
          <t>토너</t>
        </is>
      </c>
      <c r="F4780" s="5" t="inlineStr">
        <is>
          <t>W컨셉</t>
        </is>
      </c>
      <c r="G4780" s="5" t="inlineStr">
        <is>
          <t>250ml 2set</t>
        </is>
      </c>
      <c r="H4780" s="7" t="n">
        <v>190801</v>
      </c>
      <c r="I4780" s="7" t="n">
        <v>190801</v>
      </c>
      <c r="J4780" s="94" t="n"/>
      <c r="K4780" s="149" t="n">
        <v>52</v>
      </c>
      <c r="L4780" s="7" t="n">
        <v>190801</v>
      </c>
      <c r="M4780" s="94">
        <f>VLOOKUP($Q4780,매칭테이블!$F:$I,2,0)*K4780</f>
        <v/>
      </c>
      <c r="N4780" s="94">
        <f>M4780-M4780*VLOOKUP($Q4780,매칭테이블!$F:$I,3,0)</f>
        <v/>
      </c>
      <c r="O4780" s="94">
        <f>VLOOKUP($Q4780,매칭테이블!$F:$I,4,0)*K4780</f>
        <v/>
      </c>
      <c r="P4780" s="148">
        <f>M4780/1.1</f>
        <v/>
      </c>
      <c r="Q4780" s="94">
        <f>F4780&amp;E4780&amp;G4780&amp;L4780</f>
        <v/>
      </c>
    </row>
    <row r="4781">
      <c r="A4781" s="94" t="n"/>
      <c r="B4781" s="128" t="n">
        <v>43885</v>
      </c>
      <c r="C4781" s="94">
        <f>TEXT(B4781,"aaa")</f>
        <v/>
      </c>
      <c r="D4781" s="94" t="n"/>
      <c r="E4781" s="94" t="inlineStr">
        <is>
          <t>토너</t>
        </is>
      </c>
      <c r="F4781" s="5" t="inlineStr">
        <is>
          <t>스타일쉐어</t>
        </is>
      </c>
      <c r="G4781" s="94" t="inlineStr">
        <is>
          <t>250ml</t>
        </is>
      </c>
      <c r="H4781" s="7" t="n">
        <v>190801</v>
      </c>
      <c r="I4781" s="7" t="n">
        <v>190801</v>
      </c>
      <c r="J4781" s="94" t="n"/>
      <c r="K4781" s="149" t="n">
        <v>8</v>
      </c>
      <c r="L4781" s="92" t="n">
        <v>190801</v>
      </c>
      <c r="M4781" s="94">
        <f>VLOOKUP($Q4781,매칭테이블!$F:$I,2,0)*K4781</f>
        <v/>
      </c>
      <c r="N4781" s="94">
        <f>M4781-M4781*VLOOKUP($Q4781,매칭테이블!$F:$I,3,0)</f>
        <v/>
      </c>
      <c r="O4781" s="94">
        <f>VLOOKUP($Q4781,매칭테이블!$F:$I,4,0)*K4781</f>
        <v/>
      </c>
      <c r="P4781" s="148">
        <f>M4781/1.1</f>
        <v/>
      </c>
      <c r="Q4781" s="94">
        <f>F4781&amp;E4781&amp;G4781&amp;L4781</f>
        <v/>
      </c>
    </row>
    <row r="4782">
      <c r="A4782" s="94" t="n"/>
      <c r="B4782" s="128" t="n">
        <v>43885</v>
      </c>
      <c r="C4782" s="94">
        <f>TEXT(B4782,"aaa")</f>
        <v/>
      </c>
      <c r="D4782" s="94" t="n"/>
      <c r="E4782" s="94" t="inlineStr">
        <is>
          <t>토너</t>
        </is>
      </c>
      <c r="F4782" s="94" t="inlineStr">
        <is>
          <t>아누아 CS</t>
        </is>
      </c>
      <c r="G4782" s="94" t="inlineStr">
        <is>
          <t>250ml</t>
        </is>
      </c>
      <c r="H4782" s="7" t="n">
        <v>190801</v>
      </c>
      <c r="I4782" s="7" t="n">
        <v>190801</v>
      </c>
      <c r="J4782" s="94" t="n"/>
      <c r="K4782" s="149" t="n">
        <v>40</v>
      </c>
      <c r="L4782" s="92" t="n">
        <v>190801</v>
      </c>
      <c r="M4782" s="94">
        <f>VLOOKUP($Q4782,매칭테이블!$F:$I,2,0)*K4782</f>
        <v/>
      </c>
      <c r="N4782" s="94">
        <f>M4782-M4782*VLOOKUP($Q4782,매칭테이블!$F:$I,3,0)</f>
        <v/>
      </c>
      <c r="O4782" s="94">
        <f>VLOOKUP($Q4782,매칭테이블!$F:$I,4,0)*K4782</f>
        <v/>
      </c>
      <c r="P4782" s="148">
        <f>M4782/1.1</f>
        <v/>
      </c>
      <c r="Q4782" s="94">
        <f>F4782&amp;E4782&amp;G4782&amp;L4782</f>
        <v/>
      </c>
    </row>
    <row r="4783">
      <c r="A4783" s="94" t="n"/>
      <c r="B4783" s="128" t="n">
        <v>43885</v>
      </c>
      <c r="C4783" s="94">
        <f>TEXT(B4783,"aaa")</f>
        <v/>
      </c>
      <c r="D4783" s="94" t="n"/>
      <c r="E4783" s="94" t="inlineStr">
        <is>
          <t>클렌징폼</t>
        </is>
      </c>
      <c r="F4783" s="94" t="inlineStr">
        <is>
          <t>아누아 CS</t>
        </is>
      </c>
      <c r="G4783" s="94" t="inlineStr">
        <is>
          <t>클렌징폼 120ml</t>
        </is>
      </c>
      <c r="H4783" s="7" t="n">
        <v>190801</v>
      </c>
      <c r="I4783" s="7" t="n">
        <v>190801</v>
      </c>
      <c r="J4783" s="94" t="n"/>
      <c r="K4783" s="149" t="n">
        <v>19</v>
      </c>
      <c r="L4783" s="7" t="n">
        <v>190801</v>
      </c>
      <c r="M4783" s="94">
        <f>VLOOKUP($Q4783,매칭테이블!$F:$I,2,0)*K4783</f>
        <v/>
      </c>
      <c r="N4783" s="94">
        <f>M4783-M4783*VLOOKUP($Q4783,매칭테이블!$F:$I,3,0)</f>
        <v/>
      </c>
      <c r="O4783" s="94">
        <f>VLOOKUP($Q4783,매칭테이블!$F:$I,4,0)*K4783</f>
        <v/>
      </c>
      <c r="P4783" s="148">
        <f>M4783/1.1</f>
        <v/>
      </c>
      <c r="Q4783" s="94">
        <f>F4783&amp;E4783&amp;G4783&amp;L4783</f>
        <v/>
      </c>
    </row>
    <row r="4784">
      <c r="A4784" s="94" t="n"/>
      <c r="B4784" s="128" t="n">
        <v>43885</v>
      </c>
      <c r="C4784" s="94">
        <f>TEXT(B4784,"aaa")</f>
        <v/>
      </c>
      <c r="D4784" s="94" t="n"/>
      <c r="E4784" s="94" t="inlineStr">
        <is>
          <t>머드크림마스크</t>
        </is>
      </c>
      <c r="F4784" s="94" t="inlineStr">
        <is>
          <t>아누아 CS</t>
        </is>
      </c>
      <c r="G4784" s="94" t="inlineStr">
        <is>
          <t>머드크림마스크 100ml</t>
        </is>
      </c>
      <c r="H4784" s="7" t="n">
        <v>190801</v>
      </c>
      <c r="I4784" s="7" t="n">
        <v>190801</v>
      </c>
      <c r="J4784" s="94" t="n"/>
      <c r="K4784" s="149" t="n">
        <v>19</v>
      </c>
      <c r="L4784" s="94" t="n">
        <v>190801</v>
      </c>
      <c r="M4784" s="94">
        <f>VLOOKUP($Q4784,매칭테이블!$F:$I,2,0)*K4784</f>
        <v/>
      </c>
      <c r="N4784" s="94">
        <f>M4784-M4784*VLOOKUP($Q4784,매칭테이블!$F:$I,3,0)</f>
        <v/>
      </c>
      <c r="O4784" s="94">
        <f>VLOOKUP($Q4784,매칭테이블!$F:$I,4,0)*K4784</f>
        <v/>
      </c>
      <c r="P4784" s="148">
        <f>M4784/1.1</f>
        <v/>
      </c>
      <c r="Q4784" s="94">
        <f>F4784&amp;E4784&amp;G4784&amp;L4784</f>
        <v/>
      </c>
    </row>
    <row r="4785">
      <c r="A4785" s="94" t="n"/>
      <c r="B4785" s="128" t="n">
        <v>43885</v>
      </c>
      <c r="C4785" s="94">
        <f>TEXT(B4785,"aaa")</f>
        <v/>
      </c>
      <c r="D4785" s="94" t="n"/>
      <c r="E4785" s="94" t="inlineStr">
        <is>
          <t>머드크림마스크</t>
        </is>
      </c>
      <c r="F4785" s="94" t="inlineStr">
        <is>
          <t>카페24</t>
        </is>
      </c>
      <c r="G4785" s="94" t="inlineStr">
        <is>
          <t>머드크림마스크 100ml</t>
        </is>
      </c>
      <c r="H4785" s="7" t="n">
        <v>190801</v>
      </c>
      <c r="I4785" s="7" t="n">
        <v>190801</v>
      </c>
      <c r="J4785" s="94" t="n"/>
      <c r="K4785" s="149" t="n">
        <v>20</v>
      </c>
      <c r="L4785" s="94" t="n">
        <v>190801</v>
      </c>
      <c r="M4785" s="94">
        <f>VLOOKUP($Q4785,매칭테이블!$F:$I,2,0)*K4785</f>
        <v/>
      </c>
      <c r="N4785" s="94">
        <f>M4785-M4785*VLOOKUP($Q4785,매칭테이블!$F:$I,3,0)</f>
        <v/>
      </c>
      <c r="O4785" s="94">
        <f>VLOOKUP($Q4785,매칭테이블!$F:$I,4,0)*K4785</f>
        <v/>
      </c>
      <c r="P4785" s="148">
        <f>M4785/1.1</f>
        <v/>
      </c>
      <c r="Q4785" s="94">
        <f>F4785&amp;E4785&amp;G4785&amp;L4785</f>
        <v/>
      </c>
    </row>
    <row r="4786">
      <c r="A4786" s="94" t="n"/>
      <c r="B4786" s="128" t="n">
        <v>43885</v>
      </c>
      <c r="C4786" s="94">
        <f>TEXT(B4786,"aaa")</f>
        <v/>
      </c>
      <c r="D4786" s="94" t="n"/>
      <c r="E4786" s="94" t="inlineStr">
        <is>
          <t>머드크림마스크</t>
        </is>
      </c>
      <c r="F4786" s="94" t="inlineStr">
        <is>
          <t>카페24</t>
        </is>
      </c>
      <c r="G4786" s="94" t="inlineStr">
        <is>
          <t>머드크림마스크 100ml 2set</t>
        </is>
      </c>
      <c r="H4786" s="7" t="n">
        <v>190801</v>
      </c>
      <c r="I4786" s="7" t="n">
        <v>190801</v>
      </c>
      <c r="J4786" s="94" t="n"/>
      <c r="K4786" s="149" t="n">
        <v>2</v>
      </c>
      <c r="L4786" s="94" t="n">
        <v>190801</v>
      </c>
      <c r="M4786" s="94">
        <f>VLOOKUP($Q4786,매칭테이블!$F:$I,2,0)*K4786</f>
        <v/>
      </c>
      <c r="N4786" s="94">
        <f>M4786-M4786*VLOOKUP($Q4786,매칭테이블!$F:$I,3,0)</f>
        <v/>
      </c>
      <c r="O4786" s="94">
        <f>VLOOKUP($Q4786,매칭테이블!$F:$I,4,0)*K4786</f>
        <v/>
      </c>
      <c r="P4786" s="148">
        <f>M4786/1.1</f>
        <v/>
      </c>
      <c r="Q4786" s="94">
        <f>F4786&amp;E4786&amp;G4786&amp;L4786</f>
        <v/>
      </c>
    </row>
    <row r="4787">
      <c r="A4787" s="94" t="n"/>
      <c r="B4787" s="128" t="n">
        <v>43885</v>
      </c>
      <c r="C4787" s="94">
        <f>TEXT(B4787,"aaa")</f>
        <v/>
      </c>
      <c r="D4787" s="94" t="n"/>
      <c r="E4787" s="6" t="inlineStr">
        <is>
          <t>토너</t>
        </is>
      </c>
      <c r="F4787" s="5" t="inlineStr">
        <is>
          <t>카페24</t>
        </is>
      </c>
      <c r="G4787" s="5" t="inlineStr">
        <is>
          <t>250ml</t>
        </is>
      </c>
      <c r="H4787" s="7" t="n">
        <v>190801</v>
      </c>
      <c r="I4787" s="7" t="n">
        <v>190801</v>
      </c>
      <c r="J4787" s="94" t="n"/>
      <c r="K4787" s="149" t="n">
        <v>125</v>
      </c>
      <c r="L4787" s="7" t="n">
        <v>190801</v>
      </c>
      <c r="M4787" s="94">
        <f>VLOOKUP($Q4787,매칭테이블!$F:$I,2,0)*K4787</f>
        <v/>
      </c>
      <c r="N4787" s="94">
        <f>M4787-M4787*VLOOKUP($Q4787,매칭테이블!$F:$I,3,0)</f>
        <v/>
      </c>
      <c r="O4787" s="94">
        <f>VLOOKUP($Q4787,매칭테이블!$F:$I,4,0)*K4787</f>
        <v/>
      </c>
      <c r="P4787" s="148">
        <f>M4787/1.1</f>
        <v/>
      </c>
      <c r="Q4787" s="94">
        <f>F4787&amp;E4787&amp;G4787&amp;L4787</f>
        <v/>
      </c>
    </row>
    <row r="4788">
      <c r="A4788" s="94" t="n"/>
      <c r="B4788" s="128" t="n">
        <v>43885</v>
      </c>
      <c r="C4788" s="94">
        <f>TEXT(B4788,"aaa")</f>
        <v/>
      </c>
      <c r="D4788" s="94" t="n"/>
      <c r="E4788" s="6" t="inlineStr">
        <is>
          <t>토너</t>
        </is>
      </c>
      <c r="F4788" s="5" t="inlineStr">
        <is>
          <t>카페24</t>
        </is>
      </c>
      <c r="G4788" s="5" t="inlineStr">
        <is>
          <t>250ml 2set</t>
        </is>
      </c>
      <c r="H4788" s="7" t="n">
        <v>190801</v>
      </c>
      <c r="I4788" s="7" t="n">
        <v>190801</v>
      </c>
      <c r="J4788" s="94" t="n"/>
      <c r="K4788" s="149" t="n">
        <v>97</v>
      </c>
      <c r="L4788" s="7" t="n">
        <v>190801</v>
      </c>
      <c r="M4788" s="94">
        <f>VLOOKUP($Q4788,매칭테이블!$F:$I,2,0)*K4788</f>
        <v/>
      </c>
      <c r="N4788" s="94">
        <f>M4788-M4788*VLOOKUP($Q4788,매칭테이블!$F:$I,3,0)</f>
        <v/>
      </c>
      <c r="O4788" s="94">
        <f>VLOOKUP($Q4788,매칭테이블!$F:$I,4,0)*K4788</f>
        <v/>
      </c>
      <c r="P4788" s="148">
        <f>M4788/1.1</f>
        <v/>
      </c>
      <c r="Q4788" s="94">
        <f>F4788&amp;E4788&amp;G4788&amp;L4788</f>
        <v/>
      </c>
    </row>
    <row r="4789">
      <c r="A4789" s="94" t="n"/>
      <c r="B4789" s="128" t="n">
        <v>43885</v>
      </c>
      <c r="C4789" s="94">
        <f>TEXT(B4789,"aaa")</f>
        <v/>
      </c>
      <c r="D4789" s="94" t="n"/>
      <c r="E4789" s="6" t="inlineStr">
        <is>
          <t>토너</t>
        </is>
      </c>
      <c r="F4789" s="5" t="inlineStr">
        <is>
          <t>카페24</t>
        </is>
      </c>
      <c r="G4789" s="5" t="inlineStr">
        <is>
          <t>500ml</t>
        </is>
      </c>
      <c r="H4789" s="7" t="n">
        <v>190801</v>
      </c>
      <c r="I4789" s="7" t="n">
        <v>190801</v>
      </c>
      <c r="J4789" s="94" t="n"/>
      <c r="K4789" s="149" t="n">
        <v>103</v>
      </c>
      <c r="L4789" s="7" t="n">
        <v>190801</v>
      </c>
      <c r="M4789" s="94">
        <f>VLOOKUP($Q4789,매칭테이블!$F:$I,2,0)*K4789</f>
        <v/>
      </c>
      <c r="N4789" s="94">
        <f>M4789-M4789*VLOOKUP($Q4789,매칭테이블!$F:$I,3,0)</f>
        <v/>
      </c>
      <c r="O4789" s="94">
        <f>VLOOKUP($Q4789,매칭테이블!$F:$I,4,0)*K4789</f>
        <v/>
      </c>
      <c r="P4789" s="148">
        <f>M4789/1.1</f>
        <v/>
      </c>
      <c r="Q4789" s="94">
        <f>F4789&amp;E4789&amp;G4789&amp;L4789</f>
        <v/>
      </c>
    </row>
    <row r="4790">
      <c r="A4790" s="94" t="n"/>
      <c r="B4790" s="128" t="n">
        <v>43885</v>
      </c>
      <c r="C4790" s="94">
        <f>TEXT(B4790,"aaa")</f>
        <v/>
      </c>
      <c r="D4790" s="94" t="n"/>
      <c r="E4790" s="6" t="inlineStr">
        <is>
          <t>토너</t>
        </is>
      </c>
      <c r="F4790" s="5" t="inlineStr">
        <is>
          <t>카페24</t>
        </is>
      </c>
      <c r="G4790" s="94" t="inlineStr">
        <is>
          <t>스킨팩 화장솜 60P</t>
        </is>
      </c>
      <c r="H4790" s="7" t="n">
        <v>190801</v>
      </c>
      <c r="I4790" s="7" t="n">
        <v>190801</v>
      </c>
      <c r="J4790" s="94" t="n"/>
      <c r="K4790" s="149" t="n">
        <v>56</v>
      </c>
      <c r="L4790" s="7" t="n">
        <v>190801</v>
      </c>
      <c r="M4790" s="94">
        <f>VLOOKUP($Q4790,매칭테이블!$F:$I,2,0)*K4790</f>
        <v/>
      </c>
      <c r="N4790" s="94">
        <f>M4790-M4790*VLOOKUP($Q4790,매칭테이블!$F:$I,3,0)</f>
        <v/>
      </c>
      <c r="O4790" s="94">
        <f>VLOOKUP($Q4790,매칭테이블!$F:$I,4,0)*K4790</f>
        <v/>
      </c>
      <c r="P4790" s="148">
        <f>M4790/1.1</f>
        <v/>
      </c>
      <c r="Q4790" s="94">
        <f>F4790&amp;E4790&amp;G4790&amp;L4790</f>
        <v/>
      </c>
    </row>
    <row r="4791">
      <c r="A4791" s="94" t="n"/>
      <c r="B4791" s="128" t="n">
        <v>43885</v>
      </c>
      <c r="C4791" s="94">
        <f>TEXT(B4791,"aaa")</f>
        <v/>
      </c>
      <c r="D4791" s="94" t="n"/>
      <c r="E4791" s="94" t="inlineStr">
        <is>
          <t>클렌징폼</t>
        </is>
      </c>
      <c r="F4791" s="5" t="inlineStr">
        <is>
          <t>카페24</t>
        </is>
      </c>
      <c r="G4791" s="94" t="inlineStr">
        <is>
          <t>클렌징폼 120ml</t>
        </is>
      </c>
      <c r="H4791" s="7" t="n">
        <v>190801</v>
      </c>
      <c r="I4791" s="7" t="n">
        <v>190801</v>
      </c>
      <c r="J4791" s="94" t="n"/>
      <c r="K4791" s="149" t="n">
        <v>31</v>
      </c>
      <c r="L4791" s="7" t="n">
        <v>190801</v>
      </c>
      <c r="M4791" s="94">
        <f>VLOOKUP($Q4791,매칭테이블!$F:$I,2,0)*K4791</f>
        <v/>
      </c>
      <c r="N4791" s="94">
        <f>M4791-M4791*VLOOKUP($Q4791,매칭테이블!$F:$I,3,0)</f>
        <v/>
      </c>
      <c r="O4791" s="94">
        <f>VLOOKUP($Q4791,매칭테이블!$F:$I,4,0)*K4791</f>
        <v/>
      </c>
      <c r="P4791" s="148">
        <f>M4791/1.1</f>
        <v/>
      </c>
      <c r="Q4791" s="94">
        <f>F4791&amp;E4791&amp;G4791&amp;L4791</f>
        <v/>
      </c>
    </row>
    <row r="4792">
      <c r="A4792" s="94" t="n"/>
      <c r="B4792" s="128" t="n">
        <v>43885</v>
      </c>
      <c r="C4792" s="94">
        <f>TEXT(B4792,"aaa")</f>
        <v/>
      </c>
      <c r="D4792" s="94" t="n"/>
      <c r="E4792" s="94" t="inlineStr">
        <is>
          <t>클렌징폼</t>
        </is>
      </c>
      <c r="F4792" s="94" t="inlineStr">
        <is>
          <t>카페24</t>
        </is>
      </c>
      <c r="G4792" s="94" t="inlineStr">
        <is>
          <t>클렌징폼 120ml 2set</t>
        </is>
      </c>
      <c r="H4792" s="7" t="n">
        <v>190801</v>
      </c>
      <c r="I4792" s="7" t="n">
        <v>190801</v>
      </c>
      <c r="J4792" s="94" t="n"/>
      <c r="K4792" s="149" t="n">
        <v>3</v>
      </c>
      <c r="L4792" s="7" t="n">
        <v>190801</v>
      </c>
      <c r="M4792" s="94">
        <f>VLOOKUP($Q4792,매칭테이블!$F:$I,2,0)*K4792</f>
        <v/>
      </c>
      <c r="N4792" s="94">
        <f>M4792-M4792*VLOOKUP($Q4792,매칭테이블!$F:$I,3,0)</f>
        <v/>
      </c>
      <c r="O4792" s="94">
        <f>VLOOKUP($Q4792,매칭테이블!$F:$I,4,0)*K4792</f>
        <v/>
      </c>
      <c r="P4792" s="148">
        <f>M4792/1.1</f>
        <v/>
      </c>
      <c r="Q4792" s="94">
        <f>F4792&amp;E4792&amp;G4792&amp;L4792</f>
        <v/>
      </c>
    </row>
    <row r="4793">
      <c r="A4793" s="94" t="n"/>
      <c r="B4793" s="128" t="n">
        <v>43885</v>
      </c>
      <c r="C4793" s="94">
        <f>TEXT(B4793,"aaa")</f>
        <v/>
      </c>
      <c r="D4793" s="94" t="n"/>
      <c r="E4793" s="94" t="inlineStr">
        <is>
          <t>클렌징폼</t>
        </is>
      </c>
      <c r="F4793" s="94" t="inlineStr">
        <is>
          <t>카페24</t>
        </is>
      </c>
      <c r="G4793" s="94" t="inlineStr">
        <is>
          <t>클렌징폼 120ml 3set</t>
        </is>
      </c>
      <c r="H4793" s="7" t="n">
        <v>190801</v>
      </c>
      <c r="I4793" s="7" t="n">
        <v>190801</v>
      </c>
      <c r="J4793" s="94" t="n"/>
      <c r="K4793" s="149" t="n">
        <v>1</v>
      </c>
      <c r="L4793" s="7" t="n">
        <v>190801</v>
      </c>
      <c r="M4793" s="94">
        <f>VLOOKUP($Q4793,매칭테이블!$F:$I,2,0)*K4793</f>
        <v/>
      </c>
      <c r="N4793" s="94">
        <f>M4793-M4793*VLOOKUP($Q4793,매칭테이블!$F:$I,3,0)</f>
        <v/>
      </c>
      <c r="O4793" s="94">
        <f>VLOOKUP($Q4793,매칭테이블!$F:$I,4,0)*K4793</f>
        <v/>
      </c>
      <c r="P4793" s="148">
        <f>M4793/1.1</f>
        <v/>
      </c>
      <c r="Q4793" s="94">
        <f>F4793&amp;E4793&amp;G4793&amp;L4793</f>
        <v/>
      </c>
    </row>
    <row r="4794">
      <c r="A4794" s="94" t="n"/>
      <c r="B4794" s="128" t="n">
        <v>43885</v>
      </c>
      <c r="C4794" s="94">
        <f>TEXT(B4794,"aaa")</f>
        <v/>
      </c>
      <c r="D4794" s="94" t="n"/>
      <c r="E4794" s="94" t="inlineStr">
        <is>
          <t>토너</t>
        </is>
      </c>
      <c r="F4794" s="94" t="inlineStr">
        <is>
          <t>큐텐</t>
        </is>
      </c>
      <c r="G4794" s="94" t="inlineStr">
        <is>
          <t>250ml</t>
        </is>
      </c>
      <c r="H4794" s="7" t="n">
        <v>190801</v>
      </c>
      <c r="I4794" s="7" t="n">
        <v>190801</v>
      </c>
      <c r="J4794" s="94" t="n"/>
      <c r="K4794" s="149" t="n">
        <v>4</v>
      </c>
      <c r="L4794" s="92" t="n">
        <v>190801</v>
      </c>
      <c r="M4794" s="94">
        <f>VLOOKUP($Q4794,매칭테이블!$F:$I,2,0)*K4794</f>
        <v/>
      </c>
      <c r="N4794" s="94">
        <f>M4794-M4794*VLOOKUP($Q4794,매칭테이블!$F:$I,3,0)</f>
        <v/>
      </c>
      <c r="O4794" s="94">
        <f>VLOOKUP($Q4794,매칭테이블!$F:$I,4,0)*K4794</f>
        <v/>
      </c>
      <c r="P4794" s="148">
        <f>M4794/1.1</f>
        <v/>
      </c>
      <c r="Q4794" s="94">
        <f>F4794&amp;E4794&amp;G4794&amp;L4794</f>
        <v/>
      </c>
    </row>
    <row r="4795">
      <c r="A4795" s="94" t="n"/>
      <c r="B4795" s="128" t="n">
        <v>43886</v>
      </c>
      <c r="C4795" s="94">
        <f>TEXT(B4795,"aaa")</f>
        <v/>
      </c>
      <c r="D4795" s="94" t="n"/>
      <c r="E4795" s="6" t="inlineStr">
        <is>
          <t>토너</t>
        </is>
      </c>
      <c r="F4795" s="5" t="inlineStr">
        <is>
          <t>W컨셉</t>
        </is>
      </c>
      <c r="G4795" s="5" t="inlineStr">
        <is>
          <t>250ml</t>
        </is>
      </c>
      <c r="H4795" s="7" t="n">
        <v>190801</v>
      </c>
      <c r="I4795" s="7" t="n">
        <v>190801</v>
      </c>
      <c r="J4795" s="94" t="n"/>
      <c r="K4795" s="149" t="n">
        <v>15</v>
      </c>
      <c r="L4795" s="7" t="n">
        <v>190801</v>
      </c>
      <c r="M4795" s="94">
        <f>VLOOKUP($Q4795,매칭테이블!$F:$I,2,0)*K4795</f>
        <v/>
      </c>
      <c r="N4795" s="94">
        <f>M4795-M4795*VLOOKUP($Q4795,매칭테이블!$F:$I,3,0)</f>
        <v/>
      </c>
      <c r="O4795" s="94">
        <f>VLOOKUP($Q4795,매칭테이블!$F:$I,4,0)*K4795</f>
        <v/>
      </c>
      <c r="P4795" s="148">
        <f>M4795/1.1</f>
        <v/>
      </c>
      <c r="Q4795" s="94">
        <f>F4795&amp;E4795&amp;G4795&amp;L4795</f>
        <v/>
      </c>
    </row>
    <row r="4796">
      <c r="A4796" s="94" t="n"/>
      <c r="B4796" s="128" t="n">
        <v>43886</v>
      </c>
      <c r="C4796" s="94">
        <f>TEXT(B4796,"aaa")</f>
        <v/>
      </c>
      <c r="D4796" s="94" t="n"/>
      <c r="E4796" s="6" t="inlineStr">
        <is>
          <t>토너</t>
        </is>
      </c>
      <c r="F4796" s="5" t="inlineStr">
        <is>
          <t>W컨셉</t>
        </is>
      </c>
      <c r="G4796" s="5" t="inlineStr">
        <is>
          <t>250ml 2set</t>
        </is>
      </c>
      <c r="H4796" s="7" t="n">
        <v>190801</v>
      </c>
      <c r="I4796" s="7" t="n">
        <v>190801</v>
      </c>
      <c r="J4796" s="94" t="n"/>
      <c r="K4796" s="149" t="n">
        <v>50</v>
      </c>
      <c r="L4796" s="7" t="n">
        <v>190801</v>
      </c>
      <c r="M4796" s="94">
        <f>VLOOKUP($Q4796,매칭테이블!$F:$I,2,0)*K4796</f>
        <v/>
      </c>
      <c r="N4796" s="94">
        <f>M4796-M4796*VLOOKUP($Q4796,매칭테이블!$F:$I,3,0)</f>
        <v/>
      </c>
      <c r="O4796" s="94">
        <f>VLOOKUP($Q4796,매칭테이블!$F:$I,4,0)*K4796</f>
        <v/>
      </c>
      <c r="P4796" s="148">
        <f>M4796/1.1</f>
        <v/>
      </c>
      <c r="Q4796" s="94">
        <f>F4796&amp;E4796&amp;G4796&amp;L4796</f>
        <v/>
      </c>
    </row>
    <row r="4797">
      <c r="A4797" s="94" t="n"/>
      <c r="B4797" s="128" t="n">
        <v>43886</v>
      </c>
      <c r="C4797" s="94">
        <f>TEXT(B4797,"aaa")</f>
        <v/>
      </c>
      <c r="D4797" s="94" t="n"/>
      <c r="E4797" s="94" t="inlineStr">
        <is>
          <t>토너</t>
        </is>
      </c>
      <c r="F4797" s="5" t="inlineStr">
        <is>
          <t>스타일쉐어</t>
        </is>
      </c>
      <c r="G4797" s="94" t="inlineStr">
        <is>
          <t>250ml</t>
        </is>
      </c>
      <c r="H4797" s="7" t="n">
        <v>190801</v>
      </c>
      <c r="I4797" s="7" t="n">
        <v>190801</v>
      </c>
      <c r="J4797" s="94" t="n"/>
      <c r="K4797" s="149" t="n">
        <v>47</v>
      </c>
      <c r="L4797" s="92" t="n">
        <v>190801</v>
      </c>
      <c r="M4797" s="94">
        <f>VLOOKUP($Q4797,매칭테이블!$F:$I,2,0)*K4797</f>
        <v/>
      </c>
      <c r="N4797" s="94">
        <f>M4797-M4797*VLOOKUP($Q4797,매칭테이블!$F:$I,3,0)</f>
        <v/>
      </c>
      <c r="O4797" s="94">
        <f>VLOOKUP($Q4797,매칭테이블!$F:$I,4,0)*K4797</f>
        <v/>
      </c>
      <c r="P4797" s="148">
        <f>M4797/1.1</f>
        <v/>
      </c>
      <c r="Q4797" s="94">
        <f>F4797&amp;E4797&amp;G4797&amp;L4797</f>
        <v/>
      </c>
    </row>
    <row r="4798">
      <c r="A4798" s="94" t="n"/>
      <c r="B4798" s="128" t="n">
        <v>43886</v>
      </c>
      <c r="C4798" s="94">
        <f>TEXT(B4798,"aaa")</f>
        <v/>
      </c>
      <c r="D4798" s="94" t="n"/>
      <c r="E4798" s="94" t="inlineStr">
        <is>
          <t>머드크림마스크</t>
        </is>
      </c>
      <c r="F4798" s="94" t="inlineStr">
        <is>
          <t>카페24</t>
        </is>
      </c>
      <c r="G4798" s="94" t="inlineStr">
        <is>
          <t>머드크림마스크 100ml</t>
        </is>
      </c>
      <c r="H4798" s="7" t="n">
        <v>190801</v>
      </c>
      <c r="I4798" s="7" t="n">
        <v>190801</v>
      </c>
      <c r="J4798" s="94" t="n"/>
      <c r="K4798" s="149" t="n">
        <v>15</v>
      </c>
      <c r="L4798" s="94" t="n">
        <v>190801</v>
      </c>
      <c r="M4798" s="94">
        <f>VLOOKUP($Q4798,매칭테이블!$F:$I,2,0)*K4798</f>
        <v/>
      </c>
      <c r="N4798" s="94">
        <f>M4798-M4798*VLOOKUP($Q4798,매칭테이블!$F:$I,3,0)</f>
        <v/>
      </c>
      <c r="O4798" s="94">
        <f>VLOOKUP($Q4798,매칭테이블!$F:$I,4,0)*K4798</f>
        <v/>
      </c>
      <c r="P4798" s="148">
        <f>M4798/1.1</f>
        <v/>
      </c>
      <c r="Q4798" s="94">
        <f>F4798&amp;E4798&amp;G4798&amp;L4798</f>
        <v/>
      </c>
    </row>
    <row r="4799">
      <c r="A4799" s="94" t="n"/>
      <c r="B4799" s="128" t="n">
        <v>43886</v>
      </c>
      <c r="C4799" s="94">
        <f>TEXT(B4799,"aaa")</f>
        <v/>
      </c>
      <c r="D4799" s="94" t="n"/>
      <c r="E4799" s="94" t="inlineStr">
        <is>
          <t>머드크림마스크</t>
        </is>
      </c>
      <c r="F4799" s="94" t="inlineStr">
        <is>
          <t>카페24</t>
        </is>
      </c>
      <c r="G4799" s="94" t="inlineStr">
        <is>
          <t>머드크림마스크 100ml 2set</t>
        </is>
      </c>
      <c r="H4799" s="7" t="n">
        <v>190801</v>
      </c>
      <c r="I4799" s="7" t="n">
        <v>190801</v>
      </c>
      <c r="J4799" s="94" t="n"/>
      <c r="K4799" s="149" t="n">
        <v>1</v>
      </c>
      <c r="L4799" s="94" t="n">
        <v>190801</v>
      </c>
      <c r="M4799" s="94">
        <f>VLOOKUP($Q4799,매칭테이블!$F:$I,2,0)*K4799</f>
        <v/>
      </c>
      <c r="N4799" s="94">
        <f>M4799-M4799*VLOOKUP($Q4799,매칭테이블!$F:$I,3,0)</f>
        <v/>
      </c>
      <c r="O4799" s="94">
        <f>VLOOKUP($Q4799,매칭테이블!$F:$I,4,0)*K4799</f>
        <v/>
      </c>
      <c r="P4799" s="148">
        <f>M4799/1.1</f>
        <v/>
      </c>
      <c r="Q4799" s="94">
        <f>F4799&amp;E4799&amp;G4799&amp;L4799</f>
        <v/>
      </c>
    </row>
    <row r="4800">
      <c r="A4800" s="94" t="n"/>
      <c r="B4800" s="128" t="n">
        <v>43886</v>
      </c>
      <c r="C4800" s="94">
        <f>TEXT(B4800,"aaa")</f>
        <v/>
      </c>
      <c r="D4800" s="94" t="n"/>
      <c r="E4800" s="6" t="inlineStr">
        <is>
          <t>토너</t>
        </is>
      </c>
      <c r="F4800" s="5" t="inlineStr">
        <is>
          <t>카페24</t>
        </is>
      </c>
      <c r="G4800" s="5" t="inlineStr">
        <is>
          <t>250ml</t>
        </is>
      </c>
      <c r="H4800" s="7" t="n">
        <v>190801</v>
      </c>
      <c r="I4800" s="7" t="n">
        <v>190801</v>
      </c>
      <c r="J4800" s="94" t="n"/>
      <c r="K4800" s="149" t="n">
        <v>165</v>
      </c>
      <c r="L4800" s="7" t="n">
        <v>190801</v>
      </c>
      <c r="M4800" s="94">
        <f>VLOOKUP($Q4800,매칭테이블!$F:$I,2,0)*K4800</f>
        <v/>
      </c>
      <c r="N4800" s="94">
        <f>M4800-M4800*VLOOKUP($Q4800,매칭테이블!$F:$I,3,0)</f>
        <v/>
      </c>
      <c r="O4800" s="94">
        <f>VLOOKUP($Q4800,매칭테이블!$F:$I,4,0)*K4800</f>
        <v/>
      </c>
      <c r="P4800" s="148">
        <f>M4800/1.1</f>
        <v/>
      </c>
      <c r="Q4800" s="94">
        <f>F4800&amp;E4800&amp;G4800&amp;L4800</f>
        <v/>
      </c>
    </row>
    <row r="4801">
      <c r="A4801" s="94" t="n"/>
      <c r="B4801" s="128" t="n">
        <v>43886</v>
      </c>
      <c r="C4801" s="94">
        <f>TEXT(B4801,"aaa")</f>
        <v/>
      </c>
      <c r="D4801" s="94" t="n"/>
      <c r="E4801" s="6" t="inlineStr">
        <is>
          <t>토너</t>
        </is>
      </c>
      <c r="F4801" s="5" t="inlineStr">
        <is>
          <t>카페24</t>
        </is>
      </c>
      <c r="G4801" s="5" t="inlineStr">
        <is>
          <t>250ml 2set</t>
        </is>
      </c>
      <c r="H4801" s="7" t="n">
        <v>190801</v>
      </c>
      <c r="I4801" s="7" t="n">
        <v>190801</v>
      </c>
      <c r="J4801" s="94" t="n"/>
      <c r="K4801" s="149" t="n">
        <v>225</v>
      </c>
      <c r="L4801" s="7" t="n">
        <v>190801</v>
      </c>
      <c r="M4801" s="94">
        <f>VLOOKUP($Q4801,매칭테이블!$F:$I,2,0)*K4801</f>
        <v/>
      </c>
      <c r="N4801" s="94">
        <f>M4801-M4801*VLOOKUP($Q4801,매칭테이블!$F:$I,3,0)</f>
        <v/>
      </c>
      <c r="O4801" s="94">
        <f>VLOOKUP($Q4801,매칭테이블!$F:$I,4,0)*K4801</f>
        <v/>
      </c>
      <c r="P4801" s="148">
        <f>M4801/1.1</f>
        <v/>
      </c>
      <c r="Q4801" s="94">
        <f>F4801&amp;E4801&amp;G4801&amp;L4801</f>
        <v/>
      </c>
    </row>
    <row r="4802">
      <c r="A4802" s="94" t="n"/>
      <c r="B4802" s="128" t="n">
        <v>43886</v>
      </c>
      <c r="C4802" s="94">
        <f>TEXT(B4802,"aaa")</f>
        <v/>
      </c>
      <c r="D4802" s="94" t="n"/>
      <c r="E4802" s="6" t="inlineStr">
        <is>
          <t>토너</t>
        </is>
      </c>
      <c r="F4802" s="5" t="inlineStr">
        <is>
          <t>카페24</t>
        </is>
      </c>
      <c r="G4802" s="5" t="inlineStr">
        <is>
          <t>500ml</t>
        </is>
      </c>
      <c r="H4802" s="7" t="n">
        <v>190801</v>
      </c>
      <c r="I4802" s="7" t="n">
        <v>190801</v>
      </c>
      <c r="J4802" s="94" t="n"/>
      <c r="K4802" s="149" t="n">
        <v>138</v>
      </c>
      <c r="L4802" s="7" t="n">
        <v>190801</v>
      </c>
      <c r="M4802" s="94">
        <f>VLOOKUP($Q4802,매칭테이블!$F:$I,2,0)*K4802</f>
        <v/>
      </c>
      <c r="N4802" s="94">
        <f>M4802-M4802*VLOOKUP($Q4802,매칭테이블!$F:$I,3,0)</f>
        <v/>
      </c>
      <c r="O4802" s="94">
        <f>VLOOKUP($Q4802,매칭테이블!$F:$I,4,0)*K4802</f>
        <v/>
      </c>
      <c r="P4802" s="148">
        <f>M4802/1.1</f>
        <v/>
      </c>
      <c r="Q4802" s="94">
        <f>F4802&amp;E4802&amp;G4802&amp;L4802</f>
        <v/>
      </c>
    </row>
    <row r="4803">
      <c r="A4803" s="94" t="n"/>
      <c r="B4803" s="128" t="n">
        <v>43886</v>
      </c>
      <c r="C4803" s="94">
        <f>TEXT(B4803,"aaa")</f>
        <v/>
      </c>
      <c r="D4803" s="94" t="n"/>
      <c r="E4803" s="6" t="inlineStr">
        <is>
          <t>토너</t>
        </is>
      </c>
      <c r="F4803" s="5" t="inlineStr">
        <is>
          <t>카페24</t>
        </is>
      </c>
      <c r="G4803" s="94" t="inlineStr">
        <is>
          <t>스킨팩 화장솜 60P</t>
        </is>
      </c>
      <c r="H4803" s="7" t="n">
        <v>190801</v>
      </c>
      <c r="I4803" s="7" t="n">
        <v>190801</v>
      </c>
      <c r="J4803" s="94" t="n"/>
      <c r="K4803" s="149" t="n">
        <v>102</v>
      </c>
      <c r="L4803" s="7" t="n">
        <v>190801</v>
      </c>
      <c r="M4803" s="94">
        <f>VLOOKUP($Q4803,매칭테이블!$F:$I,2,0)*K4803</f>
        <v/>
      </c>
      <c r="N4803" s="94">
        <f>M4803-M4803*VLOOKUP($Q4803,매칭테이블!$F:$I,3,0)</f>
        <v/>
      </c>
      <c r="O4803" s="94">
        <f>VLOOKUP($Q4803,매칭테이블!$F:$I,4,0)*K4803</f>
        <v/>
      </c>
      <c r="P4803" s="148">
        <f>M4803/1.1</f>
        <v/>
      </c>
      <c r="Q4803" s="94">
        <f>F4803&amp;E4803&amp;G4803&amp;L4803</f>
        <v/>
      </c>
    </row>
    <row r="4804">
      <c r="A4804" s="94" t="n"/>
      <c r="B4804" s="128" t="n">
        <v>43886</v>
      </c>
      <c r="C4804" s="94">
        <f>TEXT(B4804,"aaa")</f>
        <v/>
      </c>
      <c r="D4804" s="94" t="n"/>
      <c r="E4804" s="94" t="inlineStr">
        <is>
          <t>클렌징폼</t>
        </is>
      </c>
      <c r="F4804" s="5" t="inlineStr">
        <is>
          <t>카페24</t>
        </is>
      </c>
      <c r="G4804" s="94" t="inlineStr">
        <is>
          <t>클렌징폼 120ml</t>
        </is>
      </c>
      <c r="H4804" s="7" t="n">
        <v>190801</v>
      </c>
      <c r="I4804" s="7" t="n">
        <v>190801</v>
      </c>
      <c r="J4804" s="94" t="n"/>
      <c r="K4804" s="149" t="n">
        <v>33</v>
      </c>
      <c r="L4804" s="7" t="n">
        <v>190801</v>
      </c>
      <c r="M4804" s="94">
        <f>VLOOKUP($Q4804,매칭테이블!$F:$I,2,0)*K4804</f>
        <v/>
      </c>
      <c r="N4804" s="94">
        <f>M4804-M4804*VLOOKUP($Q4804,매칭테이블!$F:$I,3,0)</f>
        <v/>
      </c>
      <c r="O4804" s="94">
        <f>VLOOKUP($Q4804,매칭테이블!$F:$I,4,0)*K4804</f>
        <v/>
      </c>
      <c r="P4804" s="148">
        <f>M4804/1.1</f>
        <v/>
      </c>
      <c r="Q4804" s="94">
        <f>F4804&amp;E4804&amp;G4804&amp;L4804</f>
        <v/>
      </c>
    </row>
    <row r="4805">
      <c r="A4805" s="94" t="n"/>
      <c r="B4805" s="128" t="n">
        <v>43886</v>
      </c>
      <c r="C4805" s="94">
        <f>TEXT(B4805,"aaa")</f>
        <v/>
      </c>
      <c r="D4805" s="94" t="n"/>
      <c r="E4805" s="94" t="inlineStr">
        <is>
          <t>클렌징폼</t>
        </is>
      </c>
      <c r="F4805" s="94" t="inlineStr">
        <is>
          <t>카페24</t>
        </is>
      </c>
      <c r="G4805" s="94" t="inlineStr">
        <is>
          <t>클렌징폼 120ml 2set</t>
        </is>
      </c>
      <c r="H4805" s="7" t="n">
        <v>190801</v>
      </c>
      <c r="I4805" s="7" t="n">
        <v>190801</v>
      </c>
      <c r="J4805" s="94" t="n"/>
      <c r="K4805" s="149" t="n">
        <v>5</v>
      </c>
      <c r="L4805" s="7" t="n">
        <v>190801</v>
      </c>
      <c r="M4805" s="94">
        <f>VLOOKUP($Q4805,매칭테이블!$F:$I,2,0)*K4805</f>
        <v/>
      </c>
      <c r="N4805" s="94">
        <f>M4805-M4805*VLOOKUP($Q4805,매칭테이블!$F:$I,3,0)</f>
        <v/>
      </c>
      <c r="O4805" s="94">
        <f>VLOOKUP($Q4805,매칭테이블!$F:$I,4,0)*K4805</f>
        <v/>
      </c>
      <c r="P4805" s="148">
        <f>M4805/1.1</f>
        <v/>
      </c>
      <c r="Q4805" s="94">
        <f>F4805&amp;E4805&amp;G4805&amp;L4805</f>
        <v/>
      </c>
    </row>
    <row r="4806">
      <c r="A4806" s="94" t="n"/>
      <c r="B4806" s="128" t="n">
        <v>43886</v>
      </c>
      <c r="C4806" s="94">
        <f>TEXT(B4806,"aaa")</f>
        <v/>
      </c>
      <c r="D4806" s="94" t="n"/>
      <c r="E4806" s="94" t="inlineStr">
        <is>
          <t>클렌징폼</t>
        </is>
      </c>
      <c r="F4806" s="94" t="inlineStr">
        <is>
          <t>카페24</t>
        </is>
      </c>
      <c r="G4806" s="94" t="inlineStr">
        <is>
          <t>클렌징폼 120ml 3set</t>
        </is>
      </c>
      <c r="H4806" s="7" t="n">
        <v>190801</v>
      </c>
      <c r="I4806" s="7" t="n">
        <v>190801</v>
      </c>
      <c r="J4806" s="94" t="n"/>
      <c r="K4806" s="149" t="n">
        <v>2</v>
      </c>
      <c r="L4806" s="7" t="n">
        <v>190801</v>
      </c>
      <c r="M4806" s="94">
        <f>VLOOKUP($Q4806,매칭테이블!$F:$I,2,0)*K4806</f>
        <v/>
      </c>
      <c r="N4806" s="94">
        <f>M4806-M4806*VLOOKUP($Q4806,매칭테이블!$F:$I,3,0)</f>
        <v/>
      </c>
      <c r="O4806" s="94">
        <f>VLOOKUP($Q4806,매칭테이블!$F:$I,4,0)*K4806</f>
        <v/>
      </c>
      <c r="P4806" s="148">
        <f>M4806/1.1</f>
        <v/>
      </c>
      <c r="Q4806" s="94">
        <f>F4806&amp;E4806&amp;G4806&amp;L4806</f>
        <v/>
      </c>
    </row>
    <row r="4807">
      <c r="A4807" s="94" t="n"/>
      <c r="B4807" s="128" t="n">
        <v>43886</v>
      </c>
      <c r="C4807" s="94">
        <f>TEXT(B4807,"aaa")</f>
        <v/>
      </c>
      <c r="D4807" s="94" t="n"/>
      <c r="E4807" s="94" t="inlineStr">
        <is>
          <t>토너</t>
        </is>
      </c>
      <c r="F4807" s="94" t="inlineStr">
        <is>
          <t>큐텐</t>
        </is>
      </c>
      <c r="G4807" s="94" t="inlineStr">
        <is>
          <t>250ml</t>
        </is>
      </c>
      <c r="H4807" s="7" t="n">
        <v>190801</v>
      </c>
      <c r="I4807" s="7" t="n">
        <v>190801</v>
      </c>
      <c r="J4807" s="94" t="n"/>
      <c r="K4807" s="149" t="n">
        <v>33</v>
      </c>
      <c r="L4807" s="92" t="n">
        <v>190801</v>
      </c>
      <c r="M4807" s="94">
        <f>VLOOKUP($Q4807,매칭테이블!$F:$I,2,0)*K4807</f>
        <v/>
      </c>
      <c r="N4807" s="94">
        <f>M4807-M4807*VLOOKUP($Q4807,매칭테이블!$F:$I,3,0)</f>
        <v/>
      </c>
      <c r="O4807" s="94">
        <f>VLOOKUP($Q4807,매칭테이블!$F:$I,4,0)*K4807</f>
        <v/>
      </c>
      <c r="P4807" s="148">
        <f>M4807/1.1</f>
        <v/>
      </c>
      <c r="Q4807" s="94">
        <f>F4807&amp;E4807&amp;G4807&amp;L4807</f>
        <v/>
      </c>
    </row>
    <row r="4808">
      <c r="A4808" s="94" t="n"/>
      <c r="B4808" s="128" t="n">
        <v>43886</v>
      </c>
      <c r="C4808" s="94">
        <f>TEXT(B4808,"aaa")</f>
        <v/>
      </c>
      <c r="D4808" s="94" t="n"/>
      <c r="E4808" s="94" t="inlineStr">
        <is>
          <t>토너</t>
        </is>
      </c>
      <c r="F4808" s="94" t="inlineStr">
        <is>
          <t>큐텐</t>
        </is>
      </c>
      <c r="G4808" s="94" t="inlineStr">
        <is>
          <t>250ml 2set</t>
        </is>
      </c>
      <c r="H4808" s="7" t="n">
        <v>190801</v>
      </c>
      <c r="I4808" s="7" t="n">
        <v>190801</v>
      </c>
      <c r="J4808" s="94" t="n"/>
      <c r="K4808" s="149" t="n">
        <v>10</v>
      </c>
      <c r="L4808" s="92" t="n">
        <v>190801</v>
      </c>
      <c r="M4808" s="94">
        <f>VLOOKUP($Q4808,매칭테이블!$F:$I,2,0)*K4808</f>
        <v/>
      </c>
      <c r="N4808" s="94">
        <f>M4808-M4808*VLOOKUP($Q4808,매칭테이블!$F:$I,3,0)</f>
        <v/>
      </c>
      <c r="O4808" s="94">
        <f>VLOOKUP($Q4808,매칭테이블!$F:$I,4,0)*K4808</f>
        <v/>
      </c>
      <c r="P4808" s="148">
        <f>M4808/1.1</f>
        <v/>
      </c>
      <c r="Q4808" s="94">
        <f>F4808&amp;E4808&amp;G4808&amp;L4808</f>
        <v/>
      </c>
    </row>
    <row r="4809">
      <c r="A4809" s="94" t="n"/>
      <c r="B4809" s="128" t="n">
        <v>43886</v>
      </c>
      <c r="C4809" s="94">
        <f>TEXT(B4809,"aaa")</f>
        <v/>
      </c>
      <c r="D4809" s="94" t="n"/>
      <c r="E4809" s="94" t="inlineStr">
        <is>
          <t>머드크림마스크</t>
        </is>
      </c>
      <c r="F4809" s="94" t="inlineStr">
        <is>
          <t>큐텐</t>
        </is>
      </c>
      <c r="G4809" s="94" t="inlineStr">
        <is>
          <t>머드크림마스크 100ml</t>
        </is>
      </c>
      <c r="H4809" s="7" t="n">
        <v>190801</v>
      </c>
      <c r="I4809" s="7" t="n">
        <v>190801</v>
      </c>
      <c r="J4809" s="94" t="n"/>
      <c r="K4809" s="149" t="n">
        <v>2</v>
      </c>
      <c r="L4809" s="94" t="n">
        <v>190801</v>
      </c>
      <c r="M4809" s="94">
        <f>VLOOKUP($Q4809,매칭테이블!$F:$I,2,0)*K4809</f>
        <v/>
      </c>
      <c r="N4809" s="94">
        <f>M4809-M4809*VLOOKUP($Q4809,매칭테이블!$F:$I,3,0)</f>
        <v/>
      </c>
      <c r="O4809" s="94">
        <f>VLOOKUP($Q4809,매칭테이블!$F:$I,4,0)*K4809</f>
        <v/>
      </c>
      <c r="P4809" s="148">
        <f>M4809/1.1</f>
        <v/>
      </c>
      <c r="Q4809" s="94">
        <f>F4809&amp;E4809&amp;G4809&amp;L4809</f>
        <v/>
      </c>
    </row>
    <row r="4810">
      <c r="A4810" s="94" t="n"/>
      <c r="B4810" s="128" t="n">
        <v>43887</v>
      </c>
      <c r="C4810" s="94">
        <f>TEXT(B4810,"aaa")</f>
        <v/>
      </c>
      <c r="D4810" s="94" t="n"/>
      <c r="E4810" s="6" t="inlineStr">
        <is>
          <t>토너</t>
        </is>
      </c>
      <c r="F4810" s="5" t="inlineStr">
        <is>
          <t>W컨셉</t>
        </is>
      </c>
      <c r="G4810" s="5" t="inlineStr">
        <is>
          <t>250ml</t>
        </is>
      </c>
      <c r="H4810" s="7" t="n">
        <v>190801</v>
      </c>
      <c r="I4810" s="7" t="n">
        <v>190801</v>
      </c>
      <c r="J4810" s="94" t="n"/>
      <c r="K4810" s="149" t="n">
        <v>4</v>
      </c>
      <c r="L4810" s="7" t="n">
        <v>190801</v>
      </c>
      <c r="M4810" s="94">
        <f>VLOOKUP($Q4810,매칭테이블!$F:$I,2,0)*K4810</f>
        <v/>
      </c>
      <c r="N4810" s="94">
        <f>M4810-M4810*VLOOKUP($Q4810,매칭테이블!$F:$I,3,0)</f>
        <v/>
      </c>
      <c r="O4810" s="94">
        <f>VLOOKUP($Q4810,매칭테이블!$F:$I,4,0)*K4810</f>
        <v/>
      </c>
      <c r="P4810" s="148">
        <f>M4810/1.1</f>
        <v/>
      </c>
      <c r="Q4810" s="94">
        <f>F4810&amp;E4810&amp;G4810&amp;L4810</f>
        <v/>
      </c>
    </row>
    <row r="4811">
      <c r="A4811" s="94" t="n"/>
      <c r="B4811" s="128" t="n">
        <v>43887</v>
      </c>
      <c r="C4811" s="94">
        <f>TEXT(B4811,"aaa")</f>
        <v/>
      </c>
      <c r="D4811" s="94" t="n"/>
      <c r="E4811" s="6" t="inlineStr">
        <is>
          <t>토너</t>
        </is>
      </c>
      <c r="F4811" s="5" t="inlineStr">
        <is>
          <t>W컨셉</t>
        </is>
      </c>
      <c r="G4811" s="5" t="inlineStr">
        <is>
          <t>250ml 2set</t>
        </is>
      </c>
      <c r="H4811" s="7" t="n">
        <v>190801</v>
      </c>
      <c r="I4811" s="7" t="n">
        <v>190801</v>
      </c>
      <c r="J4811" s="94" t="n"/>
      <c r="K4811" s="149" t="n">
        <v>24</v>
      </c>
      <c r="L4811" s="7" t="n">
        <v>190801</v>
      </c>
      <c r="M4811" s="94">
        <f>VLOOKUP($Q4811,매칭테이블!$F:$I,2,0)*K4811</f>
        <v/>
      </c>
      <c r="N4811" s="94">
        <f>M4811-M4811*VLOOKUP($Q4811,매칭테이블!$F:$I,3,0)</f>
        <v/>
      </c>
      <c r="O4811" s="94">
        <f>VLOOKUP($Q4811,매칭테이블!$F:$I,4,0)*K4811</f>
        <v/>
      </c>
      <c r="P4811" s="148">
        <f>M4811/1.1</f>
        <v/>
      </c>
      <c r="Q4811" s="94">
        <f>F4811&amp;E4811&amp;G4811&amp;L4811</f>
        <v/>
      </c>
    </row>
    <row r="4812">
      <c r="A4812" s="94" t="n"/>
      <c r="B4812" s="128" t="n">
        <v>43887</v>
      </c>
      <c r="C4812" s="94">
        <f>TEXT(B4812,"aaa")</f>
        <v/>
      </c>
      <c r="D4812" s="94" t="n"/>
      <c r="E4812" s="94" t="inlineStr">
        <is>
          <t>토너</t>
        </is>
      </c>
      <c r="F4812" s="5" t="inlineStr">
        <is>
          <t>스타일쉐어</t>
        </is>
      </c>
      <c r="G4812" s="94" t="inlineStr">
        <is>
          <t>250ml</t>
        </is>
      </c>
      <c r="H4812" s="7" t="n">
        <v>190801</v>
      </c>
      <c r="I4812" s="7" t="n">
        <v>190801</v>
      </c>
      <c r="J4812" s="94" t="n"/>
      <c r="K4812" s="149" t="n">
        <v>60</v>
      </c>
      <c r="L4812" s="92" t="n">
        <v>190801</v>
      </c>
      <c r="M4812" s="94">
        <f>VLOOKUP($Q4812,매칭테이블!$F:$I,2,0)*K4812</f>
        <v/>
      </c>
      <c r="N4812" s="94">
        <f>M4812-M4812*VLOOKUP($Q4812,매칭테이블!$F:$I,3,0)</f>
        <v/>
      </c>
      <c r="O4812" s="94">
        <f>VLOOKUP($Q4812,매칭테이블!$F:$I,4,0)*K4812</f>
        <v/>
      </c>
      <c r="P4812" s="148">
        <f>M4812/1.1</f>
        <v/>
      </c>
      <c r="Q4812" s="94">
        <f>F4812&amp;E4812&amp;G4812&amp;L4812</f>
        <v/>
      </c>
    </row>
    <row r="4813">
      <c r="A4813" s="94" t="n"/>
      <c r="B4813" s="128" t="n">
        <v>43887</v>
      </c>
      <c r="C4813" s="94">
        <f>TEXT(B4813,"aaa")</f>
        <v/>
      </c>
      <c r="D4813" s="94" t="n"/>
      <c r="E4813" s="94" t="inlineStr">
        <is>
          <t>토너</t>
        </is>
      </c>
      <c r="F4813" s="94" t="inlineStr">
        <is>
          <t>아누아 CS</t>
        </is>
      </c>
      <c r="G4813" s="94" t="inlineStr">
        <is>
          <t>250ml</t>
        </is>
      </c>
      <c r="H4813" s="7" t="n">
        <v>190801</v>
      </c>
      <c r="I4813" s="7" t="n">
        <v>190801</v>
      </c>
      <c r="J4813" s="94" t="n"/>
      <c r="K4813" s="149" t="n">
        <v>3</v>
      </c>
      <c r="L4813" s="92" t="n">
        <v>190801</v>
      </c>
      <c r="M4813" s="94">
        <f>VLOOKUP($Q4813,매칭테이블!$F:$I,2,0)*K4813</f>
        <v/>
      </c>
      <c r="N4813" s="94">
        <f>M4813-M4813*VLOOKUP($Q4813,매칭테이블!$F:$I,3,0)</f>
        <v/>
      </c>
      <c r="O4813" s="94">
        <f>VLOOKUP($Q4813,매칭테이블!$F:$I,4,0)*K4813</f>
        <v/>
      </c>
      <c r="P4813" s="148">
        <f>M4813/1.1</f>
        <v/>
      </c>
      <c r="Q4813" s="94">
        <f>F4813&amp;E4813&amp;G4813&amp;L4813</f>
        <v/>
      </c>
    </row>
    <row r="4814">
      <c r="A4814" s="94" t="n"/>
      <c r="B4814" s="128" t="n">
        <v>43887</v>
      </c>
      <c r="C4814" s="94">
        <f>TEXT(B4814,"aaa")</f>
        <v/>
      </c>
      <c r="D4814" s="94" t="n"/>
      <c r="E4814" s="94" t="inlineStr">
        <is>
          <t>클렌징폼</t>
        </is>
      </c>
      <c r="F4814" s="94" t="inlineStr">
        <is>
          <t>아누아 CS</t>
        </is>
      </c>
      <c r="G4814" s="94" t="inlineStr">
        <is>
          <t>클렌징폼 120ml</t>
        </is>
      </c>
      <c r="H4814" s="7" t="n">
        <v>190801</v>
      </c>
      <c r="I4814" s="7" t="n">
        <v>190801</v>
      </c>
      <c r="J4814" s="94" t="n"/>
      <c r="K4814" s="149" t="n">
        <v>1</v>
      </c>
      <c r="L4814" s="7" t="n">
        <v>190801</v>
      </c>
      <c r="M4814" s="94">
        <f>VLOOKUP($Q4814,매칭테이블!$F:$I,2,0)*K4814</f>
        <v/>
      </c>
      <c r="N4814" s="94">
        <f>M4814-M4814*VLOOKUP($Q4814,매칭테이블!$F:$I,3,0)</f>
        <v/>
      </c>
      <c r="O4814" s="94">
        <f>VLOOKUP($Q4814,매칭테이블!$F:$I,4,0)*K4814</f>
        <v/>
      </c>
      <c r="P4814" s="148">
        <f>M4814/1.1</f>
        <v/>
      </c>
      <c r="Q4814" s="94">
        <f>F4814&amp;E4814&amp;G4814&amp;L4814</f>
        <v/>
      </c>
    </row>
    <row r="4815">
      <c r="A4815" s="94" t="n"/>
      <c r="B4815" s="128" t="n">
        <v>43887</v>
      </c>
      <c r="C4815" s="94">
        <f>TEXT(B4815,"aaa")</f>
        <v/>
      </c>
      <c r="D4815" s="94" t="n"/>
      <c r="E4815" s="94" t="inlineStr">
        <is>
          <t>머드크림마스크</t>
        </is>
      </c>
      <c r="F4815" s="94" t="inlineStr">
        <is>
          <t>아누아 CS</t>
        </is>
      </c>
      <c r="G4815" s="94" t="inlineStr">
        <is>
          <t>머드크림마스크 100ml</t>
        </is>
      </c>
      <c r="H4815" s="7" t="n">
        <v>190801</v>
      </c>
      <c r="I4815" s="7" t="n">
        <v>190801</v>
      </c>
      <c r="J4815" s="94" t="n"/>
      <c r="K4815" s="149" t="n">
        <v>1</v>
      </c>
      <c r="L4815" s="94" t="n">
        <v>190801</v>
      </c>
      <c r="M4815" s="94">
        <f>VLOOKUP($Q4815,매칭테이블!$F:$I,2,0)*K4815</f>
        <v/>
      </c>
      <c r="N4815" s="94">
        <f>M4815-M4815*VLOOKUP($Q4815,매칭테이블!$F:$I,3,0)</f>
        <v/>
      </c>
      <c r="O4815" s="94">
        <f>VLOOKUP($Q4815,매칭테이블!$F:$I,4,0)*K4815</f>
        <v/>
      </c>
      <c r="P4815" s="148">
        <f>M4815/1.1</f>
        <v/>
      </c>
      <c r="Q4815" s="94">
        <f>F4815&amp;E4815&amp;G4815&amp;L4815</f>
        <v/>
      </c>
    </row>
    <row r="4816">
      <c r="A4816" s="94" t="n"/>
      <c r="B4816" s="128" t="n">
        <v>43887</v>
      </c>
      <c r="C4816" s="94">
        <f>TEXT(B4816,"aaa")</f>
        <v/>
      </c>
      <c r="D4816" s="94" t="n"/>
      <c r="E4816" s="94" t="inlineStr">
        <is>
          <t>화장솜</t>
        </is>
      </c>
      <c r="F4816" s="94" t="inlineStr">
        <is>
          <t>아누아 CS</t>
        </is>
      </c>
      <c r="G4816" s="94" t="inlineStr">
        <is>
          <t>스킨팩 화장솜 60P</t>
        </is>
      </c>
      <c r="H4816" s="7" t="n">
        <v>190801</v>
      </c>
      <c r="I4816" s="7" t="n">
        <v>190801</v>
      </c>
      <c r="J4816" s="94" t="n"/>
      <c r="K4816" s="149" t="n">
        <v>1</v>
      </c>
      <c r="L4816" s="94" t="n">
        <v>190801</v>
      </c>
      <c r="M4816" s="94">
        <f>VLOOKUP($Q4816,매칭테이블!$F:$I,2,0)*K4816</f>
        <v/>
      </c>
      <c r="N4816" s="94">
        <f>M4816-M4816*VLOOKUP($Q4816,매칭테이블!$F:$I,3,0)</f>
        <v/>
      </c>
      <c r="O4816" s="94">
        <f>VLOOKUP($Q4816,매칭테이블!$F:$I,4,0)*K4816</f>
        <v/>
      </c>
      <c r="P4816" s="148">
        <f>M4816/1.1</f>
        <v/>
      </c>
      <c r="Q4816" s="94">
        <f>F4816&amp;E4816&amp;G4816&amp;L4816</f>
        <v/>
      </c>
    </row>
    <row r="4817">
      <c r="A4817" s="94" t="n"/>
      <c r="B4817" s="128" t="n">
        <v>43887</v>
      </c>
      <c r="C4817" s="94">
        <f>TEXT(B4817,"aaa")</f>
        <v/>
      </c>
      <c r="D4817" s="94" t="n"/>
      <c r="E4817" s="94" t="inlineStr">
        <is>
          <t>머드크림마스크</t>
        </is>
      </c>
      <c r="F4817" s="94" t="inlineStr">
        <is>
          <t>카페24</t>
        </is>
      </c>
      <c r="G4817" s="94" t="inlineStr">
        <is>
          <t>머드크림마스크 100ml</t>
        </is>
      </c>
      <c r="H4817" s="7" t="n">
        <v>190801</v>
      </c>
      <c r="I4817" s="7" t="n">
        <v>190801</v>
      </c>
      <c r="J4817" s="94" t="n"/>
      <c r="K4817" s="149" t="n">
        <v>28</v>
      </c>
      <c r="L4817" s="94" t="n">
        <v>190801</v>
      </c>
      <c r="M4817" s="94">
        <f>VLOOKUP($Q4817,매칭테이블!$F:$I,2,0)*K4817</f>
        <v/>
      </c>
      <c r="N4817" s="94">
        <f>M4817-M4817*VLOOKUP($Q4817,매칭테이블!$F:$I,3,0)</f>
        <v/>
      </c>
      <c r="O4817" s="94">
        <f>VLOOKUP($Q4817,매칭테이블!$F:$I,4,0)*K4817</f>
        <v/>
      </c>
      <c r="P4817" s="148">
        <f>M4817/1.1</f>
        <v/>
      </c>
      <c r="Q4817" s="94">
        <f>F4817&amp;E4817&amp;G4817&amp;L4817</f>
        <v/>
      </c>
    </row>
    <row r="4818">
      <c r="A4818" s="94" t="n"/>
      <c r="B4818" s="128" t="n">
        <v>43887</v>
      </c>
      <c r="C4818" s="94">
        <f>TEXT(B4818,"aaa")</f>
        <v/>
      </c>
      <c r="D4818" s="94" t="n"/>
      <c r="E4818" s="94" t="inlineStr">
        <is>
          <t>머드크림마스크</t>
        </is>
      </c>
      <c r="F4818" s="94" t="inlineStr">
        <is>
          <t>카페24</t>
        </is>
      </c>
      <c r="G4818" s="94" t="inlineStr">
        <is>
          <t>머드크림마스크 100ml 2set</t>
        </is>
      </c>
      <c r="H4818" s="7" t="n">
        <v>190801</v>
      </c>
      <c r="I4818" s="7" t="n">
        <v>190801</v>
      </c>
      <c r="J4818" s="94" t="n"/>
      <c r="K4818" s="149" t="n">
        <v>4</v>
      </c>
      <c r="L4818" s="94" t="n">
        <v>190801</v>
      </c>
      <c r="M4818" s="94">
        <f>VLOOKUP($Q4818,매칭테이블!$F:$I,2,0)*K4818</f>
        <v/>
      </c>
      <c r="N4818" s="94">
        <f>M4818-M4818*VLOOKUP($Q4818,매칭테이블!$F:$I,3,0)</f>
        <v/>
      </c>
      <c r="O4818" s="94">
        <f>VLOOKUP($Q4818,매칭테이블!$F:$I,4,0)*K4818</f>
        <v/>
      </c>
      <c r="P4818" s="148">
        <f>M4818/1.1</f>
        <v/>
      </c>
      <c r="Q4818" s="94">
        <f>F4818&amp;E4818&amp;G4818&amp;L4818</f>
        <v/>
      </c>
    </row>
    <row r="4819">
      <c r="A4819" s="94" t="n"/>
      <c r="B4819" s="128" t="n">
        <v>43887</v>
      </c>
      <c r="C4819" s="94">
        <f>TEXT(B4819,"aaa")</f>
        <v/>
      </c>
      <c r="D4819" s="94" t="n"/>
      <c r="E4819" s="6" t="inlineStr">
        <is>
          <t>토너</t>
        </is>
      </c>
      <c r="F4819" s="5" t="inlineStr">
        <is>
          <t>카페24</t>
        </is>
      </c>
      <c r="G4819" s="5" t="inlineStr">
        <is>
          <t>250ml</t>
        </is>
      </c>
      <c r="H4819" s="7" t="n">
        <v>190801</v>
      </c>
      <c r="I4819" s="7" t="n">
        <v>190801</v>
      </c>
      <c r="J4819" s="94" t="n"/>
      <c r="K4819" s="149" t="n">
        <v>116</v>
      </c>
      <c r="L4819" s="7" t="n">
        <v>190801</v>
      </c>
      <c r="M4819" s="94">
        <f>VLOOKUP($Q4819,매칭테이블!$F:$I,2,0)*K4819</f>
        <v/>
      </c>
      <c r="N4819" s="94">
        <f>M4819-M4819*VLOOKUP($Q4819,매칭테이블!$F:$I,3,0)</f>
        <v/>
      </c>
      <c r="O4819" s="94">
        <f>VLOOKUP($Q4819,매칭테이블!$F:$I,4,0)*K4819</f>
        <v/>
      </c>
      <c r="P4819" s="148">
        <f>M4819/1.1</f>
        <v/>
      </c>
      <c r="Q4819" s="94">
        <f>F4819&amp;E4819&amp;G4819&amp;L4819</f>
        <v/>
      </c>
    </row>
    <row r="4820">
      <c r="A4820" s="94" t="n"/>
      <c r="B4820" s="128" t="n">
        <v>43887</v>
      </c>
      <c r="C4820" s="94">
        <f>TEXT(B4820,"aaa")</f>
        <v/>
      </c>
      <c r="D4820" s="94" t="n"/>
      <c r="E4820" s="6" t="inlineStr">
        <is>
          <t>토너</t>
        </is>
      </c>
      <c r="F4820" s="5" t="inlineStr">
        <is>
          <t>카페24</t>
        </is>
      </c>
      <c r="G4820" s="5" t="inlineStr">
        <is>
          <t>250ml 2set</t>
        </is>
      </c>
      <c r="H4820" s="7" t="n">
        <v>190801</v>
      </c>
      <c r="I4820" s="7" t="n">
        <v>190801</v>
      </c>
      <c r="J4820" s="94" t="n"/>
      <c r="K4820" s="149" t="n">
        <v>95</v>
      </c>
      <c r="L4820" s="7" t="n">
        <v>190801</v>
      </c>
      <c r="M4820" s="94">
        <f>VLOOKUP($Q4820,매칭테이블!$F:$I,2,0)*K4820</f>
        <v/>
      </c>
      <c r="N4820" s="94">
        <f>M4820-M4820*VLOOKUP($Q4820,매칭테이블!$F:$I,3,0)</f>
        <v/>
      </c>
      <c r="O4820" s="94">
        <f>VLOOKUP($Q4820,매칭테이블!$F:$I,4,0)*K4820</f>
        <v/>
      </c>
      <c r="P4820" s="148">
        <f>M4820/1.1</f>
        <v/>
      </c>
      <c r="Q4820" s="94">
        <f>F4820&amp;E4820&amp;G4820&amp;L4820</f>
        <v/>
      </c>
    </row>
    <row r="4821">
      <c r="A4821" s="94" t="n"/>
      <c r="B4821" s="128" t="n">
        <v>43887</v>
      </c>
      <c r="C4821" s="94">
        <f>TEXT(B4821,"aaa")</f>
        <v/>
      </c>
      <c r="D4821" s="94" t="n"/>
      <c r="E4821" s="6" t="inlineStr">
        <is>
          <t>토너</t>
        </is>
      </c>
      <c r="F4821" s="5" t="inlineStr">
        <is>
          <t>카페24</t>
        </is>
      </c>
      <c r="G4821" s="5" t="inlineStr">
        <is>
          <t>500ml</t>
        </is>
      </c>
      <c r="H4821" s="7" t="n">
        <v>190801</v>
      </c>
      <c r="I4821" s="7" t="n">
        <v>190801</v>
      </c>
      <c r="J4821" s="94" t="n"/>
      <c r="K4821" s="149" t="n">
        <v>158</v>
      </c>
      <c r="L4821" s="7" t="n">
        <v>190801</v>
      </c>
      <c r="M4821" s="94">
        <f>VLOOKUP($Q4821,매칭테이블!$F:$I,2,0)*K4821</f>
        <v/>
      </c>
      <c r="N4821" s="94">
        <f>M4821-M4821*VLOOKUP($Q4821,매칭테이블!$F:$I,3,0)</f>
        <v/>
      </c>
      <c r="O4821" s="94">
        <f>VLOOKUP($Q4821,매칭테이블!$F:$I,4,0)*K4821</f>
        <v/>
      </c>
      <c r="P4821" s="148">
        <f>M4821/1.1</f>
        <v/>
      </c>
      <c r="Q4821" s="94">
        <f>F4821&amp;E4821&amp;G4821&amp;L4821</f>
        <v/>
      </c>
    </row>
    <row r="4822">
      <c r="A4822" s="94" t="n"/>
      <c r="B4822" s="128" t="n">
        <v>43887</v>
      </c>
      <c r="C4822" s="94">
        <f>TEXT(B4822,"aaa")</f>
        <v/>
      </c>
      <c r="D4822" s="94" t="n"/>
      <c r="E4822" s="6" t="inlineStr">
        <is>
          <t>토너</t>
        </is>
      </c>
      <c r="F4822" s="5" t="inlineStr">
        <is>
          <t>카페24</t>
        </is>
      </c>
      <c r="G4822" s="94" t="inlineStr">
        <is>
          <t>스킨팩 화장솜 60P</t>
        </is>
      </c>
      <c r="H4822" s="7" t="n">
        <v>190801</v>
      </c>
      <c r="I4822" s="7" t="n">
        <v>190801</v>
      </c>
      <c r="J4822" s="94" t="n"/>
      <c r="K4822" s="149" t="n">
        <v>78</v>
      </c>
      <c r="L4822" s="7" t="n">
        <v>190801</v>
      </c>
      <c r="M4822" s="94">
        <f>VLOOKUP($Q4822,매칭테이블!$F:$I,2,0)*K4822</f>
        <v/>
      </c>
      <c r="N4822" s="94">
        <f>M4822-M4822*VLOOKUP($Q4822,매칭테이블!$F:$I,3,0)</f>
        <v/>
      </c>
      <c r="O4822" s="94">
        <f>VLOOKUP($Q4822,매칭테이블!$F:$I,4,0)*K4822</f>
        <v/>
      </c>
      <c r="P4822" s="148">
        <f>M4822/1.1</f>
        <v/>
      </c>
      <c r="Q4822" s="94">
        <f>F4822&amp;E4822&amp;G4822&amp;L4822</f>
        <v/>
      </c>
    </row>
    <row r="4823">
      <c r="A4823" s="94" t="n"/>
      <c r="B4823" s="128" t="n">
        <v>43887</v>
      </c>
      <c r="C4823" s="94">
        <f>TEXT(B4823,"aaa")</f>
        <v/>
      </c>
      <c r="D4823" s="94" t="n"/>
      <c r="E4823" s="94" t="inlineStr">
        <is>
          <t>클렌징폼</t>
        </is>
      </c>
      <c r="F4823" s="5" t="inlineStr">
        <is>
          <t>카페24</t>
        </is>
      </c>
      <c r="G4823" s="94" t="inlineStr">
        <is>
          <t>클렌징폼 120ml</t>
        </is>
      </c>
      <c r="H4823" s="7" t="n">
        <v>190801</v>
      </c>
      <c r="I4823" s="7" t="n">
        <v>190801</v>
      </c>
      <c r="J4823" s="94" t="n"/>
      <c r="K4823" s="149" t="n">
        <v>27</v>
      </c>
      <c r="L4823" s="7" t="n">
        <v>190801</v>
      </c>
      <c r="M4823" s="94">
        <f>VLOOKUP($Q4823,매칭테이블!$F:$I,2,0)*K4823</f>
        <v/>
      </c>
      <c r="N4823" s="94">
        <f>M4823-M4823*VLOOKUP($Q4823,매칭테이블!$F:$I,3,0)</f>
        <v/>
      </c>
      <c r="O4823" s="94">
        <f>VLOOKUP($Q4823,매칭테이블!$F:$I,4,0)*K4823</f>
        <v/>
      </c>
      <c r="P4823" s="148">
        <f>M4823/1.1</f>
        <v/>
      </c>
      <c r="Q4823" s="94">
        <f>F4823&amp;E4823&amp;G4823&amp;L4823</f>
        <v/>
      </c>
    </row>
    <row r="4824">
      <c r="A4824" s="94" t="n"/>
      <c r="B4824" s="128" t="n">
        <v>43887</v>
      </c>
      <c r="C4824" s="94">
        <f>TEXT(B4824,"aaa")</f>
        <v/>
      </c>
      <c r="D4824" s="94" t="n"/>
      <c r="E4824" s="94" t="inlineStr">
        <is>
          <t>클렌징폼</t>
        </is>
      </c>
      <c r="F4824" s="94" t="inlineStr">
        <is>
          <t>카페24</t>
        </is>
      </c>
      <c r="G4824" s="94" t="inlineStr">
        <is>
          <t>클렌징폼 120ml 2set</t>
        </is>
      </c>
      <c r="H4824" s="7" t="n">
        <v>190801</v>
      </c>
      <c r="I4824" s="7" t="n">
        <v>190801</v>
      </c>
      <c r="J4824" s="94" t="n"/>
      <c r="K4824" s="149" t="n">
        <v>3</v>
      </c>
      <c r="L4824" s="7" t="n">
        <v>190801</v>
      </c>
      <c r="M4824" s="94">
        <f>VLOOKUP($Q4824,매칭테이블!$F:$I,2,0)*K4824</f>
        <v/>
      </c>
      <c r="N4824" s="94">
        <f>M4824-M4824*VLOOKUP($Q4824,매칭테이블!$F:$I,3,0)</f>
        <v/>
      </c>
      <c r="O4824" s="94">
        <f>VLOOKUP($Q4824,매칭테이블!$F:$I,4,0)*K4824</f>
        <v/>
      </c>
      <c r="P4824" s="148">
        <f>M4824/1.1</f>
        <v/>
      </c>
      <c r="Q4824" s="94">
        <f>F4824&amp;E4824&amp;G4824&amp;L4824</f>
        <v/>
      </c>
    </row>
    <row r="4825">
      <c r="A4825" s="94" t="n"/>
      <c r="B4825" s="128" t="n">
        <v>43887</v>
      </c>
      <c r="C4825" s="94">
        <f>TEXT(B4825,"aaa")</f>
        <v/>
      </c>
      <c r="D4825" s="94" t="n"/>
      <c r="E4825" s="94" t="inlineStr">
        <is>
          <t>클렌징폼</t>
        </is>
      </c>
      <c r="F4825" s="94" t="inlineStr">
        <is>
          <t>카페24</t>
        </is>
      </c>
      <c r="G4825" s="94" t="inlineStr">
        <is>
          <t>클렌징폼 120ml 3set</t>
        </is>
      </c>
      <c r="H4825" s="7" t="n">
        <v>190801</v>
      </c>
      <c r="I4825" s="7" t="n">
        <v>190801</v>
      </c>
      <c r="J4825" s="94" t="n"/>
      <c r="K4825" s="149" t="n">
        <v>3</v>
      </c>
      <c r="L4825" s="7" t="n">
        <v>190801</v>
      </c>
      <c r="M4825" s="94">
        <f>VLOOKUP($Q4825,매칭테이블!$F:$I,2,0)*K4825</f>
        <v/>
      </c>
      <c r="N4825" s="94">
        <f>M4825-M4825*VLOOKUP($Q4825,매칭테이블!$F:$I,3,0)</f>
        <v/>
      </c>
      <c r="O4825" s="94">
        <f>VLOOKUP($Q4825,매칭테이블!$F:$I,4,0)*K4825</f>
        <v/>
      </c>
      <c r="P4825" s="148">
        <f>M4825/1.1</f>
        <v/>
      </c>
      <c r="Q4825" s="94">
        <f>F4825&amp;E4825&amp;G4825&amp;L4825</f>
        <v/>
      </c>
    </row>
    <row r="4826">
      <c r="A4826" s="94" t="n"/>
      <c r="B4826" s="128" t="n">
        <v>43887</v>
      </c>
      <c r="C4826" s="94">
        <f>TEXT(B4826,"aaa")</f>
        <v/>
      </c>
      <c r="D4826" s="94" t="n"/>
      <c r="E4826" s="94" t="inlineStr">
        <is>
          <t>토너</t>
        </is>
      </c>
      <c r="F4826" s="94" t="inlineStr">
        <is>
          <t>큐텐</t>
        </is>
      </c>
      <c r="G4826" s="94" t="inlineStr">
        <is>
          <t>250ml</t>
        </is>
      </c>
      <c r="H4826" s="7" t="n">
        <v>190801</v>
      </c>
      <c r="I4826" s="7" t="n">
        <v>190801</v>
      </c>
      <c r="J4826" s="94" t="n"/>
      <c r="K4826" s="149" t="n">
        <v>3</v>
      </c>
      <c r="L4826" s="92" t="n">
        <v>190801</v>
      </c>
      <c r="M4826" s="94">
        <f>VLOOKUP($Q4826,매칭테이블!$F:$I,2,0)*K4826</f>
        <v/>
      </c>
      <c r="N4826" s="94">
        <f>M4826-M4826*VLOOKUP($Q4826,매칭테이블!$F:$I,3,0)</f>
        <v/>
      </c>
      <c r="O4826" s="94">
        <f>VLOOKUP($Q4826,매칭테이블!$F:$I,4,0)*K4826</f>
        <v/>
      </c>
      <c r="P4826" s="148">
        <f>M4826/1.1</f>
        <v/>
      </c>
      <c r="Q4826" s="94">
        <f>F4826&amp;E4826&amp;G4826&amp;L4826</f>
        <v/>
      </c>
    </row>
    <row r="4827">
      <c r="A4827" s="94" t="n"/>
      <c r="B4827" s="128" t="n">
        <v>43887</v>
      </c>
      <c r="C4827" s="94">
        <f>TEXT(B4827,"aaa")</f>
        <v/>
      </c>
      <c r="D4827" s="94" t="n"/>
      <c r="E4827" s="94" t="inlineStr">
        <is>
          <t>토너</t>
        </is>
      </c>
      <c r="F4827" s="94" t="inlineStr">
        <is>
          <t>큐텐</t>
        </is>
      </c>
      <c r="G4827" s="94" t="inlineStr">
        <is>
          <t>250ml 2set</t>
        </is>
      </c>
      <c r="H4827" s="7" t="n">
        <v>190801</v>
      </c>
      <c r="I4827" s="7" t="n">
        <v>190801</v>
      </c>
      <c r="J4827" s="94" t="n"/>
      <c r="K4827" s="149" t="n">
        <v>5</v>
      </c>
      <c r="L4827" s="92" t="n">
        <v>190801</v>
      </c>
      <c r="M4827" s="94">
        <f>VLOOKUP($Q4827,매칭테이블!$F:$I,2,0)*K4827</f>
        <v/>
      </c>
      <c r="N4827" s="94">
        <f>M4827-M4827*VLOOKUP($Q4827,매칭테이블!$F:$I,3,0)</f>
        <v/>
      </c>
      <c r="O4827" s="94">
        <f>VLOOKUP($Q4827,매칭테이블!$F:$I,4,0)*K4827</f>
        <v/>
      </c>
      <c r="P4827" s="148">
        <f>M4827/1.1</f>
        <v/>
      </c>
      <c r="Q4827" s="94">
        <f>F4827&amp;E4827&amp;G4827&amp;L4827</f>
        <v/>
      </c>
    </row>
    <row r="4828">
      <c r="A4828" s="94" t="n"/>
      <c r="B4828" s="128" t="n">
        <v>43888</v>
      </c>
      <c r="C4828" s="94">
        <f>TEXT(B4828,"aaa")</f>
        <v/>
      </c>
      <c r="D4828" s="94" t="n"/>
      <c r="E4828" s="6" t="inlineStr">
        <is>
          <t>토너</t>
        </is>
      </c>
      <c r="F4828" s="5" t="inlineStr">
        <is>
          <t>W컨셉</t>
        </is>
      </c>
      <c r="G4828" s="5" t="inlineStr">
        <is>
          <t>250ml</t>
        </is>
      </c>
      <c r="H4828" s="7" t="n">
        <v>190801</v>
      </c>
      <c r="I4828" s="7" t="n">
        <v>190801</v>
      </c>
      <c r="J4828" s="94" t="n"/>
      <c r="K4828" s="149" t="n">
        <v>3</v>
      </c>
      <c r="L4828" s="7" t="n">
        <v>190801</v>
      </c>
      <c r="M4828" s="94">
        <f>VLOOKUP($Q4828,매칭테이블!$F:$I,2,0)*K4828</f>
        <v/>
      </c>
      <c r="N4828" s="94">
        <f>M4828-M4828*VLOOKUP($Q4828,매칭테이블!$F:$I,3,0)</f>
        <v/>
      </c>
      <c r="O4828" s="94">
        <f>VLOOKUP($Q4828,매칭테이블!$F:$I,4,0)*K4828</f>
        <v/>
      </c>
      <c r="P4828" s="148">
        <f>M4828/1.1</f>
        <v/>
      </c>
      <c r="Q4828" s="94">
        <f>F4828&amp;E4828&amp;G4828&amp;L4828</f>
        <v/>
      </c>
    </row>
    <row r="4829">
      <c r="A4829" s="94" t="n"/>
      <c r="B4829" s="128" t="n">
        <v>43888</v>
      </c>
      <c r="C4829" s="94">
        <f>TEXT(B4829,"aaa")</f>
        <v/>
      </c>
      <c r="D4829" s="94" t="n"/>
      <c r="E4829" s="6" t="inlineStr">
        <is>
          <t>토너</t>
        </is>
      </c>
      <c r="F4829" s="5" t="inlineStr">
        <is>
          <t>W컨셉</t>
        </is>
      </c>
      <c r="G4829" s="5" t="inlineStr">
        <is>
          <t>250ml 2set</t>
        </is>
      </c>
      <c r="H4829" s="7" t="n">
        <v>190801</v>
      </c>
      <c r="I4829" s="7" t="n">
        <v>190801</v>
      </c>
      <c r="J4829" s="94" t="n"/>
      <c r="K4829" s="149" t="n">
        <v>11</v>
      </c>
      <c r="L4829" s="7" t="n">
        <v>190801</v>
      </c>
      <c r="M4829" s="94">
        <f>VLOOKUP($Q4829,매칭테이블!$F:$I,2,0)*K4829</f>
        <v/>
      </c>
      <c r="N4829" s="94">
        <f>M4829-M4829*VLOOKUP($Q4829,매칭테이블!$F:$I,3,0)</f>
        <v/>
      </c>
      <c r="O4829" s="94">
        <f>VLOOKUP($Q4829,매칭테이블!$F:$I,4,0)*K4829</f>
        <v/>
      </c>
      <c r="P4829" s="148">
        <f>M4829/1.1</f>
        <v/>
      </c>
      <c r="Q4829" s="94">
        <f>F4829&amp;E4829&amp;G4829&amp;L4829</f>
        <v/>
      </c>
    </row>
    <row r="4830">
      <c r="A4830" s="94" t="n"/>
      <c r="B4830" s="128" t="n">
        <v>43888</v>
      </c>
      <c r="C4830" s="94">
        <f>TEXT(B4830,"aaa")</f>
        <v/>
      </c>
      <c r="D4830" s="94" t="n"/>
      <c r="E4830" s="94" t="inlineStr">
        <is>
          <t>토너</t>
        </is>
      </c>
      <c r="F4830" s="5" t="inlineStr">
        <is>
          <t>스타일쉐어</t>
        </is>
      </c>
      <c r="G4830" s="94" t="inlineStr">
        <is>
          <t>250ml</t>
        </is>
      </c>
      <c r="H4830" s="7" t="n">
        <v>190801</v>
      </c>
      <c r="I4830" s="7" t="n">
        <v>190801</v>
      </c>
      <c r="J4830" s="94" t="n"/>
      <c r="K4830" s="149" t="n">
        <v>40</v>
      </c>
      <c r="L4830" s="92" t="n">
        <v>190801</v>
      </c>
      <c r="M4830" s="94">
        <f>VLOOKUP($Q4830,매칭테이블!$F:$I,2,0)*K4830</f>
        <v/>
      </c>
      <c r="N4830" s="94">
        <f>M4830-M4830*VLOOKUP($Q4830,매칭테이블!$F:$I,3,0)</f>
        <v/>
      </c>
      <c r="O4830" s="94">
        <f>VLOOKUP($Q4830,매칭테이블!$F:$I,4,0)*K4830</f>
        <v/>
      </c>
      <c r="P4830" s="148">
        <f>M4830/1.1</f>
        <v/>
      </c>
      <c r="Q4830" s="94">
        <f>F4830&amp;E4830&amp;G4830&amp;L4830</f>
        <v/>
      </c>
    </row>
    <row r="4831">
      <c r="A4831" s="94" t="n"/>
      <c r="B4831" s="128" t="n">
        <v>43888</v>
      </c>
      <c r="C4831" s="94">
        <f>TEXT(B4831,"aaa")</f>
        <v/>
      </c>
      <c r="D4831" s="94" t="n"/>
      <c r="E4831" s="94" t="inlineStr">
        <is>
          <t>머드크림마스크</t>
        </is>
      </c>
      <c r="F4831" s="94" t="inlineStr">
        <is>
          <t>카페24</t>
        </is>
      </c>
      <c r="G4831" s="94" t="inlineStr">
        <is>
          <t>머드크림마스크 100ml</t>
        </is>
      </c>
      <c r="H4831" s="7" t="n">
        <v>190801</v>
      </c>
      <c r="I4831" s="7" t="n">
        <v>190801</v>
      </c>
      <c r="J4831" s="94" t="n"/>
      <c r="K4831" s="149" t="n">
        <v>12</v>
      </c>
      <c r="L4831" s="94" t="n">
        <v>190801</v>
      </c>
      <c r="M4831" s="94">
        <f>VLOOKUP($Q4831,매칭테이블!$F:$I,2,0)*K4831</f>
        <v/>
      </c>
      <c r="N4831" s="94">
        <f>M4831-M4831*VLOOKUP($Q4831,매칭테이블!$F:$I,3,0)</f>
        <v/>
      </c>
      <c r="O4831" s="94">
        <f>VLOOKUP($Q4831,매칭테이블!$F:$I,4,0)*K4831</f>
        <v/>
      </c>
      <c r="P4831" s="148">
        <f>M4831/1.1</f>
        <v/>
      </c>
      <c r="Q4831" s="94">
        <f>F4831&amp;E4831&amp;G4831&amp;L4831</f>
        <v/>
      </c>
    </row>
    <row r="4832">
      <c r="A4832" s="94" t="n"/>
      <c r="B4832" s="128" t="n">
        <v>43888</v>
      </c>
      <c r="C4832" s="94">
        <f>TEXT(B4832,"aaa")</f>
        <v/>
      </c>
      <c r="D4832" s="94" t="n"/>
      <c r="E4832" s="94" t="inlineStr">
        <is>
          <t>머드크림마스크</t>
        </is>
      </c>
      <c r="F4832" s="94" t="inlineStr">
        <is>
          <t>카페24</t>
        </is>
      </c>
      <c r="G4832" s="94" t="inlineStr">
        <is>
          <t>머드크림마스크 100ml 2set</t>
        </is>
      </c>
      <c r="H4832" s="7" t="n">
        <v>190801</v>
      </c>
      <c r="I4832" s="7" t="n">
        <v>190801</v>
      </c>
      <c r="J4832" s="94" t="n"/>
      <c r="K4832" s="149" t="n">
        <v>4</v>
      </c>
      <c r="L4832" s="94" t="n">
        <v>190801</v>
      </c>
      <c r="M4832" s="94">
        <f>VLOOKUP($Q4832,매칭테이블!$F:$I,2,0)*K4832</f>
        <v/>
      </c>
      <c r="N4832" s="94">
        <f>M4832-M4832*VLOOKUP($Q4832,매칭테이블!$F:$I,3,0)</f>
        <v/>
      </c>
      <c r="O4832" s="94">
        <f>VLOOKUP($Q4832,매칭테이블!$F:$I,4,0)*K4832</f>
        <v/>
      </c>
      <c r="P4832" s="148">
        <f>M4832/1.1</f>
        <v/>
      </c>
      <c r="Q4832" s="94">
        <f>F4832&amp;E4832&amp;G4832&amp;L4832</f>
        <v/>
      </c>
    </row>
    <row r="4833">
      <c r="A4833" s="94" t="n"/>
      <c r="B4833" s="128" t="n">
        <v>43888</v>
      </c>
      <c r="C4833" s="94">
        <f>TEXT(B4833,"aaa")</f>
        <v/>
      </c>
      <c r="D4833" s="94" t="n"/>
      <c r="E4833" s="6" t="inlineStr">
        <is>
          <t>토너</t>
        </is>
      </c>
      <c r="F4833" s="5" t="inlineStr">
        <is>
          <t>카페24</t>
        </is>
      </c>
      <c r="G4833" s="5" t="inlineStr">
        <is>
          <t>250ml</t>
        </is>
      </c>
      <c r="H4833" s="7" t="n">
        <v>190801</v>
      </c>
      <c r="I4833" s="7" t="n">
        <v>190801</v>
      </c>
      <c r="J4833" s="94" t="n"/>
      <c r="K4833" s="149" t="n">
        <v>116</v>
      </c>
      <c r="L4833" s="7" t="n">
        <v>190801</v>
      </c>
      <c r="M4833" s="94">
        <f>VLOOKUP($Q4833,매칭테이블!$F:$I,2,0)*K4833</f>
        <v/>
      </c>
      <c r="N4833" s="94">
        <f>M4833-M4833*VLOOKUP($Q4833,매칭테이블!$F:$I,3,0)</f>
        <v/>
      </c>
      <c r="O4833" s="94">
        <f>VLOOKUP($Q4833,매칭테이블!$F:$I,4,0)*K4833</f>
        <v/>
      </c>
      <c r="P4833" s="148">
        <f>M4833/1.1</f>
        <v/>
      </c>
      <c r="Q4833" s="94">
        <f>F4833&amp;E4833&amp;G4833&amp;L4833</f>
        <v/>
      </c>
    </row>
    <row r="4834">
      <c r="A4834" s="94" t="n"/>
      <c r="B4834" s="128" t="n">
        <v>43888</v>
      </c>
      <c r="C4834" s="94">
        <f>TEXT(B4834,"aaa")</f>
        <v/>
      </c>
      <c r="D4834" s="94" t="n"/>
      <c r="E4834" s="6" t="inlineStr">
        <is>
          <t>토너</t>
        </is>
      </c>
      <c r="F4834" s="5" t="inlineStr">
        <is>
          <t>카페24</t>
        </is>
      </c>
      <c r="G4834" s="5" t="inlineStr">
        <is>
          <t>250ml 2set</t>
        </is>
      </c>
      <c r="H4834" s="7" t="n">
        <v>190801</v>
      </c>
      <c r="I4834" s="7" t="n">
        <v>190801</v>
      </c>
      <c r="J4834" s="94" t="n"/>
      <c r="K4834" s="149" t="n">
        <v>89</v>
      </c>
      <c r="L4834" s="7" t="n">
        <v>190801</v>
      </c>
      <c r="M4834" s="94">
        <f>VLOOKUP($Q4834,매칭테이블!$F:$I,2,0)*K4834</f>
        <v/>
      </c>
      <c r="N4834" s="94">
        <f>M4834-M4834*VLOOKUP($Q4834,매칭테이블!$F:$I,3,0)</f>
        <v/>
      </c>
      <c r="O4834" s="94">
        <f>VLOOKUP($Q4834,매칭테이블!$F:$I,4,0)*K4834</f>
        <v/>
      </c>
      <c r="P4834" s="148">
        <f>M4834/1.1</f>
        <v/>
      </c>
      <c r="Q4834" s="94">
        <f>F4834&amp;E4834&amp;G4834&amp;L4834</f>
        <v/>
      </c>
    </row>
    <row r="4835">
      <c r="A4835" s="94" t="n"/>
      <c r="B4835" s="128" t="n">
        <v>43888</v>
      </c>
      <c r="C4835" s="94">
        <f>TEXT(B4835,"aaa")</f>
        <v/>
      </c>
      <c r="D4835" s="94" t="n"/>
      <c r="E4835" s="6" t="inlineStr">
        <is>
          <t>토너</t>
        </is>
      </c>
      <c r="F4835" s="5" t="inlineStr">
        <is>
          <t>카페24</t>
        </is>
      </c>
      <c r="G4835" s="5" t="inlineStr">
        <is>
          <t>500ml</t>
        </is>
      </c>
      <c r="H4835" s="7" t="n">
        <v>190801</v>
      </c>
      <c r="I4835" s="7" t="n">
        <v>190801</v>
      </c>
      <c r="J4835" s="94" t="n"/>
      <c r="K4835" s="149" t="n">
        <v>101</v>
      </c>
      <c r="L4835" s="7" t="n">
        <v>190801</v>
      </c>
      <c r="M4835" s="94">
        <f>VLOOKUP($Q4835,매칭테이블!$F:$I,2,0)*K4835</f>
        <v/>
      </c>
      <c r="N4835" s="94">
        <f>M4835-M4835*VLOOKUP($Q4835,매칭테이블!$F:$I,3,0)</f>
        <v/>
      </c>
      <c r="O4835" s="94">
        <f>VLOOKUP($Q4835,매칭테이블!$F:$I,4,0)*K4835</f>
        <v/>
      </c>
      <c r="P4835" s="148">
        <f>M4835/1.1</f>
        <v/>
      </c>
      <c r="Q4835" s="94">
        <f>F4835&amp;E4835&amp;G4835&amp;L4835</f>
        <v/>
      </c>
    </row>
    <row r="4836">
      <c r="A4836" s="94" t="n"/>
      <c r="B4836" s="128" t="n">
        <v>43888</v>
      </c>
      <c r="C4836" s="94">
        <f>TEXT(B4836,"aaa")</f>
        <v/>
      </c>
      <c r="D4836" s="94" t="n"/>
      <c r="E4836" s="6" t="inlineStr">
        <is>
          <t>토너</t>
        </is>
      </c>
      <c r="F4836" s="5" t="inlineStr">
        <is>
          <t>카페24</t>
        </is>
      </c>
      <c r="G4836" s="94" t="inlineStr">
        <is>
          <t>스킨팩 화장솜 60P</t>
        </is>
      </c>
      <c r="H4836" s="7" t="n">
        <v>190801</v>
      </c>
      <c r="I4836" s="7" t="n">
        <v>190801</v>
      </c>
      <c r="J4836" s="94" t="n"/>
      <c r="K4836" s="149" t="n">
        <v>72</v>
      </c>
      <c r="L4836" s="7" t="n">
        <v>190801</v>
      </c>
      <c r="M4836" s="94">
        <f>VLOOKUP($Q4836,매칭테이블!$F:$I,2,0)*K4836</f>
        <v/>
      </c>
      <c r="N4836" s="94">
        <f>M4836-M4836*VLOOKUP($Q4836,매칭테이블!$F:$I,3,0)</f>
        <v/>
      </c>
      <c r="O4836" s="94">
        <f>VLOOKUP($Q4836,매칭테이블!$F:$I,4,0)*K4836</f>
        <v/>
      </c>
      <c r="P4836" s="148">
        <f>M4836/1.1</f>
        <v/>
      </c>
      <c r="Q4836" s="94">
        <f>F4836&amp;E4836&amp;G4836&amp;L4836</f>
        <v/>
      </c>
    </row>
    <row r="4837">
      <c r="A4837" s="94" t="n"/>
      <c r="B4837" s="128" t="n">
        <v>43888</v>
      </c>
      <c r="C4837" s="94">
        <f>TEXT(B4837,"aaa")</f>
        <v/>
      </c>
      <c r="D4837" s="94" t="n"/>
      <c r="E4837" s="94" t="inlineStr">
        <is>
          <t>클렌징폼</t>
        </is>
      </c>
      <c r="F4837" s="5" t="inlineStr">
        <is>
          <t>카페24</t>
        </is>
      </c>
      <c r="G4837" s="94" t="inlineStr">
        <is>
          <t>클렌징폼 120ml</t>
        </is>
      </c>
      <c r="H4837" s="7" t="n">
        <v>190801</v>
      </c>
      <c r="I4837" s="7" t="n">
        <v>190801</v>
      </c>
      <c r="J4837" s="94" t="n"/>
      <c r="K4837" s="149" t="n">
        <v>20</v>
      </c>
      <c r="L4837" s="7" t="n">
        <v>190801</v>
      </c>
      <c r="M4837" s="94">
        <f>VLOOKUP($Q4837,매칭테이블!$F:$I,2,0)*K4837</f>
        <v/>
      </c>
      <c r="N4837" s="94">
        <f>M4837-M4837*VLOOKUP($Q4837,매칭테이블!$F:$I,3,0)</f>
        <v/>
      </c>
      <c r="O4837" s="94">
        <f>VLOOKUP($Q4837,매칭테이블!$F:$I,4,0)*K4837</f>
        <v/>
      </c>
      <c r="P4837" s="148">
        <f>M4837/1.1</f>
        <v/>
      </c>
      <c r="Q4837" s="94">
        <f>F4837&amp;E4837&amp;G4837&amp;L4837</f>
        <v/>
      </c>
    </row>
    <row r="4838">
      <c r="A4838" s="94" t="n"/>
      <c r="B4838" s="128" t="n">
        <v>43888</v>
      </c>
      <c r="C4838" s="94">
        <f>TEXT(B4838,"aaa")</f>
        <v/>
      </c>
      <c r="D4838" s="94" t="n"/>
      <c r="E4838" s="94" t="inlineStr">
        <is>
          <t>클렌징폼</t>
        </is>
      </c>
      <c r="F4838" s="94" t="inlineStr">
        <is>
          <t>카페24</t>
        </is>
      </c>
      <c r="G4838" s="94" t="inlineStr">
        <is>
          <t>클렌징폼 120ml 2set</t>
        </is>
      </c>
      <c r="H4838" s="7" t="n">
        <v>190801</v>
      </c>
      <c r="I4838" s="7" t="n">
        <v>190801</v>
      </c>
      <c r="J4838" s="94" t="n"/>
      <c r="K4838" s="149" t="n">
        <v>2</v>
      </c>
      <c r="L4838" s="7" t="n">
        <v>190801</v>
      </c>
      <c r="M4838" s="94">
        <f>VLOOKUP($Q4838,매칭테이블!$F:$I,2,0)*K4838</f>
        <v/>
      </c>
      <c r="N4838" s="94">
        <f>M4838-M4838*VLOOKUP($Q4838,매칭테이블!$F:$I,3,0)</f>
        <v/>
      </c>
      <c r="O4838" s="94">
        <f>VLOOKUP($Q4838,매칭테이블!$F:$I,4,0)*K4838</f>
        <v/>
      </c>
      <c r="P4838" s="148">
        <f>M4838/1.1</f>
        <v/>
      </c>
      <c r="Q4838" s="94">
        <f>F4838&amp;E4838&amp;G4838&amp;L4838</f>
        <v/>
      </c>
    </row>
    <row r="4839">
      <c r="A4839" s="94" t="n"/>
      <c r="B4839" s="128" t="n">
        <v>43888</v>
      </c>
      <c r="C4839" s="94">
        <f>TEXT(B4839,"aaa")</f>
        <v/>
      </c>
      <c r="D4839" s="94" t="n"/>
      <c r="E4839" s="94" t="inlineStr">
        <is>
          <t>클렌징폼</t>
        </is>
      </c>
      <c r="F4839" s="94" t="inlineStr">
        <is>
          <t>카페24</t>
        </is>
      </c>
      <c r="G4839" s="94" t="inlineStr">
        <is>
          <t>클렌징폼 120ml 3set</t>
        </is>
      </c>
      <c r="H4839" s="7" t="n">
        <v>190801</v>
      </c>
      <c r="I4839" s="7" t="n">
        <v>190801</v>
      </c>
      <c r="J4839" s="94" t="n"/>
      <c r="K4839" s="149" t="n">
        <v>1</v>
      </c>
      <c r="L4839" s="7" t="n">
        <v>190801</v>
      </c>
      <c r="M4839" s="94">
        <f>VLOOKUP($Q4839,매칭테이블!$F:$I,2,0)*K4839</f>
        <v/>
      </c>
      <c r="N4839" s="94">
        <f>M4839-M4839*VLOOKUP($Q4839,매칭테이블!$F:$I,3,0)</f>
        <v/>
      </c>
      <c r="O4839" s="94">
        <f>VLOOKUP($Q4839,매칭테이블!$F:$I,4,0)*K4839</f>
        <v/>
      </c>
      <c r="P4839" s="148">
        <f>M4839/1.1</f>
        <v/>
      </c>
      <c r="Q4839" s="94">
        <f>F4839&amp;E4839&amp;G4839&amp;L4839</f>
        <v/>
      </c>
    </row>
    <row r="4840">
      <c r="A4840" s="94" t="n"/>
      <c r="B4840" s="128" t="n">
        <v>43888</v>
      </c>
      <c r="C4840" s="94">
        <f>TEXT(B4840,"aaa")</f>
        <v/>
      </c>
      <c r="D4840" s="94" t="n"/>
      <c r="E4840" s="94" t="inlineStr">
        <is>
          <t>토너</t>
        </is>
      </c>
      <c r="F4840" s="94" t="inlineStr">
        <is>
          <t>큐텐</t>
        </is>
      </c>
      <c r="G4840" s="94" t="inlineStr">
        <is>
          <t>250ml</t>
        </is>
      </c>
      <c r="H4840" s="7" t="n">
        <v>190801</v>
      </c>
      <c r="I4840" s="7" t="n">
        <v>190801</v>
      </c>
      <c r="J4840" s="94" t="n"/>
      <c r="K4840" s="149" t="n">
        <v>7</v>
      </c>
      <c r="L4840" s="92" t="n">
        <v>190801</v>
      </c>
      <c r="M4840" s="94">
        <f>VLOOKUP($Q4840,매칭테이블!$F:$I,2,0)*K4840</f>
        <v/>
      </c>
      <c r="N4840" s="94">
        <f>M4840-M4840*VLOOKUP($Q4840,매칭테이블!$F:$I,3,0)</f>
        <v/>
      </c>
      <c r="O4840" s="94">
        <f>VLOOKUP($Q4840,매칭테이블!$F:$I,4,0)*K4840</f>
        <v/>
      </c>
      <c r="P4840" s="148">
        <f>M4840/1.1</f>
        <v/>
      </c>
      <c r="Q4840" s="94">
        <f>F4840&amp;E4840&amp;G4840&amp;L4840</f>
        <v/>
      </c>
    </row>
    <row r="4841">
      <c r="A4841" s="94" t="n"/>
      <c r="B4841" s="128" t="n">
        <v>43888</v>
      </c>
      <c r="C4841" s="94">
        <f>TEXT(B4841,"aaa")</f>
        <v/>
      </c>
      <c r="D4841" s="94" t="n"/>
      <c r="E4841" s="94" t="inlineStr">
        <is>
          <t>토너</t>
        </is>
      </c>
      <c r="F4841" s="94" t="inlineStr">
        <is>
          <t>큐텐</t>
        </is>
      </c>
      <c r="G4841" s="94" t="inlineStr">
        <is>
          <t>250ml 2set</t>
        </is>
      </c>
      <c r="H4841" s="7" t="n">
        <v>190801</v>
      </c>
      <c r="I4841" s="7" t="n">
        <v>190801</v>
      </c>
      <c r="J4841" s="94" t="n"/>
      <c r="K4841" s="149" t="n">
        <v>4</v>
      </c>
      <c r="L4841" s="92" t="n">
        <v>190801</v>
      </c>
      <c r="M4841" s="94">
        <f>VLOOKUP($Q4841,매칭테이블!$F:$I,2,0)*K4841</f>
        <v/>
      </c>
      <c r="N4841" s="94">
        <f>M4841-M4841*VLOOKUP($Q4841,매칭테이블!$F:$I,3,0)</f>
        <v/>
      </c>
      <c r="O4841" s="94">
        <f>VLOOKUP($Q4841,매칭테이블!$F:$I,4,0)*K4841</f>
        <v/>
      </c>
      <c r="P4841" s="148">
        <f>M4841/1.1</f>
        <v/>
      </c>
      <c r="Q4841" s="94">
        <f>F4841&amp;E4841&amp;G4841&amp;L4841</f>
        <v/>
      </c>
    </row>
    <row r="4842">
      <c r="A4842" s="94" t="n"/>
      <c r="B4842" s="128" t="n">
        <v>43889</v>
      </c>
      <c r="C4842" s="94">
        <f>TEXT(B4842,"aaa")</f>
        <v/>
      </c>
      <c r="D4842" s="94" t="n"/>
      <c r="E4842" s="6" t="inlineStr">
        <is>
          <t>토너</t>
        </is>
      </c>
      <c r="F4842" s="5" t="inlineStr">
        <is>
          <t>W컨셉</t>
        </is>
      </c>
      <c r="G4842" s="5" t="inlineStr">
        <is>
          <t>250ml</t>
        </is>
      </c>
      <c r="H4842" s="7" t="n">
        <v>190801</v>
      </c>
      <c r="I4842" s="7" t="n">
        <v>190801</v>
      </c>
      <c r="J4842" s="94" t="n"/>
      <c r="K4842" s="149" t="n">
        <v>2</v>
      </c>
      <c r="L4842" s="7" t="n">
        <v>190801</v>
      </c>
      <c r="M4842" s="94">
        <f>VLOOKUP($Q4842,매칭테이블!$F:$I,2,0)*K4842</f>
        <v/>
      </c>
      <c r="N4842" s="94">
        <f>M4842-M4842*VLOOKUP($Q4842,매칭테이블!$F:$I,3,0)</f>
        <v/>
      </c>
      <c r="O4842" s="94">
        <f>VLOOKUP($Q4842,매칭테이블!$F:$I,4,0)*K4842</f>
        <v/>
      </c>
      <c r="P4842" s="148">
        <f>M4842/1.1</f>
        <v/>
      </c>
      <c r="Q4842" s="94">
        <f>F4842&amp;E4842&amp;G4842&amp;L4842</f>
        <v/>
      </c>
    </row>
    <row r="4843">
      <c r="A4843" s="94" t="n"/>
      <c r="B4843" s="128" t="n">
        <v>43889</v>
      </c>
      <c r="C4843" s="94">
        <f>TEXT(B4843,"aaa")</f>
        <v/>
      </c>
      <c r="D4843" s="94" t="n"/>
      <c r="E4843" s="6" t="inlineStr">
        <is>
          <t>토너</t>
        </is>
      </c>
      <c r="F4843" s="5" t="inlineStr">
        <is>
          <t>W컨셉</t>
        </is>
      </c>
      <c r="G4843" s="5" t="inlineStr">
        <is>
          <t>250ml 2set</t>
        </is>
      </c>
      <c r="H4843" s="7" t="n">
        <v>190801</v>
      </c>
      <c r="I4843" s="7" t="n">
        <v>190801</v>
      </c>
      <c r="J4843" s="94" t="n"/>
      <c r="K4843" s="149" t="n">
        <v>9</v>
      </c>
      <c r="L4843" s="7" t="n">
        <v>190801</v>
      </c>
      <c r="M4843" s="94">
        <f>VLOOKUP($Q4843,매칭테이블!$F:$I,2,0)*K4843</f>
        <v/>
      </c>
      <c r="N4843" s="94">
        <f>M4843-M4843*VLOOKUP($Q4843,매칭테이블!$F:$I,3,0)</f>
        <v/>
      </c>
      <c r="O4843" s="94">
        <f>VLOOKUP($Q4843,매칭테이블!$F:$I,4,0)*K4843</f>
        <v/>
      </c>
      <c r="P4843" s="148">
        <f>M4843/1.1</f>
        <v/>
      </c>
      <c r="Q4843" s="94">
        <f>F4843&amp;E4843&amp;G4843&amp;L4843</f>
        <v/>
      </c>
    </row>
    <row r="4844">
      <c r="A4844" s="94" t="n"/>
      <c r="B4844" s="128" t="n">
        <v>43889</v>
      </c>
      <c r="C4844" s="94">
        <f>TEXT(B4844,"aaa")</f>
        <v/>
      </c>
      <c r="D4844" s="94" t="n"/>
      <c r="E4844" s="94" t="inlineStr">
        <is>
          <t>토너</t>
        </is>
      </c>
      <c r="F4844" s="5" t="inlineStr">
        <is>
          <t>스타일쉐어</t>
        </is>
      </c>
      <c r="G4844" s="94" t="inlineStr">
        <is>
          <t>250ml</t>
        </is>
      </c>
      <c r="H4844" s="7" t="n">
        <v>190801</v>
      </c>
      <c r="I4844" s="7" t="n">
        <v>190801</v>
      </c>
      <c r="J4844" s="94" t="n"/>
      <c r="K4844" s="149" t="n">
        <v>31</v>
      </c>
      <c r="L4844" s="92" t="n">
        <v>190801</v>
      </c>
      <c r="M4844" s="94">
        <f>VLOOKUP($Q4844,매칭테이블!$F:$I,2,0)*K4844</f>
        <v/>
      </c>
      <c r="N4844" s="94">
        <f>M4844-M4844*VLOOKUP($Q4844,매칭테이블!$F:$I,3,0)</f>
        <v/>
      </c>
      <c r="O4844" s="94">
        <f>VLOOKUP($Q4844,매칭테이블!$F:$I,4,0)*K4844</f>
        <v/>
      </c>
      <c r="P4844" s="148">
        <f>M4844/1.1</f>
        <v/>
      </c>
      <c r="Q4844" s="94">
        <f>F4844&amp;E4844&amp;G4844&amp;L4844</f>
        <v/>
      </c>
    </row>
    <row r="4845">
      <c r="A4845" s="94" t="n"/>
      <c r="B4845" s="128" t="n">
        <v>43889</v>
      </c>
      <c r="C4845" s="94">
        <f>TEXT(B4845,"aaa")</f>
        <v/>
      </c>
      <c r="D4845" s="94" t="n"/>
      <c r="E4845" s="94" t="inlineStr">
        <is>
          <t>머드크림마스크</t>
        </is>
      </c>
      <c r="F4845" s="94" t="inlineStr">
        <is>
          <t>카페24</t>
        </is>
      </c>
      <c r="G4845" s="94" t="inlineStr">
        <is>
          <t>머드크림마스크 100ml</t>
        </is>
      </c>
      <c r="H4845" s="7" t="n">
        <v>190801</v>
      </c>
      <c r="I4845" s="7" t="n">
        <v>190801</v>
      </c>
      <c r="J4845" s="94" t="n"/>
      <c r="K4845" s="149" t="n">
        <v>18</v>
      </c>
      <c r="L4845" s="94" t="n">
        <v>190801</v>
      </c>
      <c r="M4845" s="94">
        <f>VLOOKUP($Q4845,매칭테이블!$F:$I,2,0)*K4845</f>
        <v/>
      </c>
      <c r="N4845" s="94">
        <f>M4845-M4845*VLOOKUP($Q4845,매칭테이블!$F:$I,3,0)</f>
        <v/>
      </c>
      <c r="O4845" s="94">
        <f>VLOOKUP($Q4845,매칭테이블!$F:$I,4,0)*K4845</f>
        <v/>
      </c>
      <c r="P4845" s="148">
        <f>M4845/1.1</f>
        <v/>
      </c>
      <c r="Q4845" s="94">
        <f>F4845&amp;E4845&amp;G4845&amp;L4845</f>
        <v/>
      </c>
    </row>
    <row r="4846">
      <c r="A4846" s="94" t="n"/>
      <c r="B4846" s="128" t="n">
        <v>43889</v>
      </c>
      <c r="C4846" s="94">
        <f>TEXT(B4846,"aaa")</f>
        <v/>
      </c>
      <c r="D4846" s="94" t="n"/>
      <c r="E4846" s="6" t="inlineStr">
        <is>
          <t>토너</t>
        </is>
      </c>
      <c r="F4846" s="5" t="inlineStr">
        <is>
          <t>카페24</t>
        </is>
      </c>
      <c r="G4846" s="5" t="inlineStr">
        <is>
          <t>250ml</t>
        </is>
      </c>
      <c r="H4846" s="7" t="n">
        <v>190801</v>
      </c>
      <c r="I4846" s="7" t="n">
        <v>190801</v>
      </c>
      <c r="J4846" s="94" t="n"/>
      <c r="K4846" s="149" t="n">
        <v>100</v>
      </c>
      <c r="L4846" s="7" t="n">
        <v>190801</v>
      </c>
      <c r="M4846" s="94">
        <f>VLOOKUP($Q4846,매칭테이블!$F:$I,2,0)*K4846</f>
        <v/>
      </c>
      <c r="N4846" s="94">
        <f>M4846-M4846*VLOOKUP($Q4846,매칭테이블!$F:$I,3,0)</f>
        <v/>
      </c>
      <c r="O4846" s="94">
        <f>VLOOKUP($Q4846,매칭테이블!$F:$I,4,0)*K4846</f>
        <v/>
      </c>
      <c r="P4846" s="148">
        <f>M4846/1.1</f>
        <v/>
      </c>
      <c r="Q4846" s="94">
        <f>F4846&amp;E4846&amp;G4846&amp;L4846</f>
        <v/>
      </c>
    </row>
    <row r="4847">
      <c r="A4847" s="94" t="n"/>
      <c r="B4847" s="128" t="n">
        <v>43889</v>
      </c>
      <c r="C4847" s="94">
        <f>TEXT(B4847,"aaa")</f>
        <v/>
      </c>
      <c r="D4847" s="94" t="n"/>
      <c r="E4847" s="6" t="inlineStr">
        <is>
          <t>토너</t>
        </is>
      </c>
      <c r="F4847" s="5" t="inlineStr">
        <is>
          <t>카페24</t>
        </is>
      </c>
      <c r="G4847" s="5" t="inlineStr">
        <is>
          <t>250ml 2set</t>
        </is>
      </c>
      <c r="H4847" s="7" t="n">
        <v>190801</v>
      </c>
      <c r="I4847" s="7" t="n">
        <v>190801</v>
      </c>
      <c r="J4847" s="94" t="n"/>
      <c r="K4847" s="149" t="n">
        <v>85</v>
      </c>
      <c r="L4847" s="7" t="n">
        <v>190801</v>
      </c>
      <c r="M4847" s="94">
        <f>VLOOKUP($Q4847,매칭테이블!$F:$I,2,0)*K4847</f>
        <v/>
      </c>
      <c r="N4847" s="94">
        <f>M4847-M4847*VLOOKUP($Q4847,매칭테이블!$F:$I,3,0)</f>
        <v/>
      </c>
      <c r="O4847" s="94">
        <f>VLOOKUP($Q4847,매칭테이블!$F:$I,4,0)*K4847</f>
        <v/>
      </c>
      <c r="P4847" s="148">
        <f>M4847/1.1</f>
        <v/>
      </c>
      <c r="Q4847" s="94">
        <f>F4847&amp;E4847&amp;G4847&amp;L4847</f>
        <v/>
      </c>
    </row>
    <row r="4848">
      <c r="A4848" s="94" t="n"/>
      <c r="B4848" s="128" t="n">
        <v>43889</v>
      </c>
      <c r="C4848" s="94">
        <f>TEXT(B4848,"aaa")</f>
        <v/>
      </c>
      <c r="D4848" s="94" t="n"/>
      <c r="E4848" s="6" t="inlineStr">
        <is>
          <t>토너</t>
        </is>
      </c>
      <c r="F4848" s="5" t="inlineStr">
        <is>
          <t>카페24</t>
        </is>
      </c>
      <c r="G4848" s="5" t="inlineStr">
        <is>
          <t>500ml</t>
        </is>
      </c>
      <c r="H4848" s="7" t="n">
        <v>190801</v>
      </c>
      <c r="I4848" s="7" t="n">
        <v>190801</v>
      </c>
      <c r="J4848" s="94" t="n"/>
      <c r="K4848" s="149" t="n">
        <v>59</v>
      </c>
      <c r="L4848" s="7" t="n">
        <v>190801</v>
      </c>
      <c r="M4848" s="94">
        <f>VLOOKUP($Q4848,매칭테이블!$F:$I,2,0)*K4848</f>
        <v/>
      </c>
      <c r="N4848" s="94">
        <f>M4848-M4848*VLOOKUP($Q4848,매칭테이블!$F:$I,3,0)</f>
        <v/>
      </c>
      <c r="O4848" s="94">
        <f>VLOOKUP($Q4848,매칭테이블!$F:$I,4,0)*K4848</f>
        <v/>
      </c>
      <c r="P4848" s="148">
        <f>M4848/1.1</f>
        <v/>
      </c>
      <c r="Q4848" s="94">
        <f>F4848&amp;E4848&amp;G4848&amp;L4848</f>
        <v/>
      </c>
    </row>
    <row r="4849">
      <c r="A4849" s="94" t="n"/>
      <c r="B4849" s="128" t="n">
        <v>43889</v>
      </c>
      <c r="C4849" s="94">
        <f>TEXT(B4849,"aaa")</f>
        <v/>
      </c>
      <c r="D4849" s="94" t="n"/>
      <c r="E4849" s="6" t="inlineStr">
        <is>
          <t>토너</t>
        </is>
      </c>
      <c r="F4849" s="5" t="inlineStr">
        <is>
          <t>카페24</t>
        </is>
      </c>
      <c r="G4849" s="94" t="inlineStr">
        <is>
          <t>스킨팩 화장솜 60P</t>
        </is>
      </c>
      <c r="H4849" s="7" t="n">
        <v>190801</v>
      </c>
      <c r="I4849" s="7" t="n">
        <v>190801</v>
      </c>
      <c r="J4849" s="94" t="n"/>
      <c r="K4849" s="149" t="n">
        <v>75</v>
      </c>
      <c r="L4849" s="7" t="n">
        <v>190801</v>
      </c>
      <c r="M4849" s="94">
        <f>VLOOKUP($Q4849,매칭테이블!$F:$I,2,0)*K4849</f>
        <v/>
      </c>
      <c r="N4849" s="94">
        <f>M4849-M4849*VLOOKUP($Q4849,매칭테이블!$F:$I,3,0)</f>
        <v/>
      </c>
      <c r="O4849" s="94">
        <f>VLOOKUP($Q4849,매칭테이블!$F:$I,4,0)*K4849</f>
        <v/>
      </c>
      <c r="P4849" s="148">
        <f>M4849/1.1</f>
        <v/>
      </c>
      <c r="Q4849" s="94">
        <f>F4849&amp;E4849&amp;G4849&amp;L4849</f>
        <v/>
      </c>
    </row>
    <row r="4850">
      <c r="A4850" s="94" t="n"/>
      <c r="B4850" s="128" t="n">
        <v>43889</v>
      </c>
      <c r="C4850" s="94">
        <f>TEXT(B4850,"aaa")</f>
        <v/>
      </c>
      <c r="D4850" s="94" t="n"/>
      <c r="E4850" s="94" t="inlineStr">
        <is>
          <t>클렌징폼</t>
        </is>
      </c>
      <c r="F4850" s="5" t="inlineStr">
        <is>
          <t>카페24</t>
        </is>
      </c>
      <c r="G4850" s="94" t="inlineStr">
        <is>
          <t>클렌징폼 120ml</t>
        </is>
      </c>
      <c r="H4850" s="7" t="n">
        <v>190801</v>
      </c>
      <c r="I4850" s="7" t="n">
        <v>190801</v>
      </c>
      <c r="J4850" s="94" t="n"/>
      <c r="K4850" s="149" t="n">
        <v>19</v>
      </c>
      <c r="L4850" s="7" t="n">
        <v>190801</v>
      </c>
      <c r="M4850" s="94">
        <f>VLOOKUP($Q4850,매칭테이블!$F:$I,2,0)*K4850</f>
        <v/>
      </c>
      <c r="N4850" s="94">
        <f>M4850-M4850*VLOOKUP($Q4850,매칭테이블!$F:$I,3,0)</f>
        <v/>
      </c>
      <c r="O4850" s="94">
        <f>VLOOKUP($Q4850,매칭테이블!$F:$I,4,0)*K4850</f>
        <v/>
      </c>
      <c r="P4850" s="148">
        <f>M4850/1.1</f>
        <v/>
      </c>
      <c r="Q4850" s="94">
        <f>F4850&amp;E4850&amp;G4850&amp;L4850</f>
        <v/>
      </c>
    </row>
    <row r="4851">
      <c r="A4851" s="94" t="n"/>
      <c r="B4851" s="128" t="n">
        <v>43889</v>
      </c>
      <c r="C4851" s="94">
        <f>TEXT(B4851,"aaa")</f>
        <v/>
      </c>
      <c r="D4851" s="94" t="n"/>
      <c r="E4851" s="94" t="inlineStr">
        <is>
          <t>클렌징폼</t>
        </is>
      </c>
      <c r="F4851" s="94" t="inlineStr">
        <is>
          <t>카페24</t>
        </is>
      </c>
      <c r="G4851" s="94" t="inlineStr">
        <is>
          <t>클렌징폼 120ml 2set</t>
        </is>
      </c>
      <c r="H4851" s="7" t="n">
        <v>190801</v>
      </c>
      <c r="I4851" s="7" t="n">
        <v>190801</v>
      </c>
      <c r="J4851" s="94" t="n"/>
      <c r="K4851" s="149" t="n">
        <v>5</v>
      </c>
      <c r="L4851" s="7" t="n">
        <v>190801</v>
      </c>
      <c r="M4851" s="94">
        <f>VLOOKUP($Q4851,매칭테이블!$F:$I,2,0)*K4851</f>
        <v/>
      </c>
      <c r="N4851" s="94">
        <f>M4851-M4851*VLOOKUP($Q4851,매칭테이블!$F:$I,3,0)</f>
        <v/>
      </c>
      <c r="O4851" s="94">
        <f>VLOOKUP($Q4851,매칭테이블!$F:$I,4,0)*K4851</f>
        <v/>
      </c>
      <c r="P4851" s="148">
        <f>M4851/1.1</f>
        <v/>
      </c>
      <c r="Q4851" s="94">
        <f>F4851&amp;E4851&amp;G4851&amp;L4851</f>
        <v/>
      </c>
    </row>
    <row r="4852">
      <c r="A4852" s="94" t="n"/>
      <c r="B4852" s="128" t="n">
        <v>43889</v>
      </c>
      <c r="C4852" s="94">
        <f>TEXT(B4852,"aaa")</f>
        <v/>
      </c>
      <c r="D4852" s="94" t="n"/>
      <c r="E4852" s="94" t="inlineStr">
        <is>
          <t>토너</t>
        </is>
      </c>
      <c r="F4852" s="94" t="inlineStr">
        <is>
          <t>큐텐</t>
        </is>
      </c>
      <c r="G4852" s="94" t="inlineStr">
        <is>
          <t>250ml</t>
        </is>
      </c>
      <c r="H4852" s="7" t="n">
        <v>190801</v>
      </c>
      <c r="I4852" s="7" t="n">
        <v>190801</v>
      </c>
      <c r="J4852" s="94" t="n"/>
      <c r="K4852" s="149" t="n">
        <v>12</v>
      </c>
      <c r="L4852" s="92" t="n">
        <v>190801</v>
      </c>
      <c r="M4852" s="94">
        <f>VLOOKUP($Q4852,매칭테이블!$F:$I,2,0)*K4852</f>
        <v/>
      </c>
      <c r="N4852" s="94">
        <f>M4852-M4852*VLOOKUP($Q4852,매칭테이블!$F:$I,3,0)</f>
        <v/>
      </c>
      <c r="O4852" s="94">
        <f>VLOOKUP($Q4852,매칭테이블!$F:$I,4,0)*K4852</f>
        <v/>
      </c>
      <c r="P4852" s="148">
        <f>M4852/1.1</f>
        <v/>
      </c>
      <c r="Q4852" s="94">
        <f>F4852&amp;E4852&amp;G4852&amp;L4852</f>
        <v/>
      </c>
    </row>
    <row r="4853">
      <c r="A4853" s="94" t="n"/>
      <c r="B4853" s="128" t="n">
        <v>43889</v>
      </c>
      <c r="C4853" s="94">
        <f>TEXT(B4853,"aaa")</f>
        <v/>
      </c>
      <c r="D4853" s="94" t="n"/>
      <c r="E4853" s="94" t="inlineStr">
        <is>
          <t>토너</t>
        </is>
      </c>
      <c r="F4853" s="94" t="inlineStr">
        <is>
          <t>큐텐</t>
        </is>
      </c>
      <c r="G4853" s="94" t="inlineStr">
        <is>
          <t>250ml 2set</t>
        </is>
      </c>
      <c r="H4853" s="7" t="n">
        <v>190801</v>
      </c>
      <c r="I4853" s="7" t="n">
        <v>190801</v>
      </c>
      <c r="J4853" s="94" t="n"/>
      <c r="K4853" s="149" t="n">
        <v>7</v>
      </c>
      <c r="L4853" s="92" t="n">
        <v>190801</v>
      </c>
      <c r="M4853" s="94">
        <f>VLOOKUP($Q4853,매칭테이블!$F:$I,2,0)*K4853</f>
        <v/>
      </c>
      <c r="N4853" s="94">
        <f>M4853-M4853*VLOOKUP($Q4853,매칭테이블!$F:$I,3,0)</f>
        <v/>
      </c>
      <c r="O4853" s="94">
        <f>VLOOKUP($Q4853,매칭테이블!$F:$I,4,0)*K4853</f>
        <v/>
      </c>
      <c r="P4853" s="148">
        <f>M4853/1.1</f>
        <v/>
      </c>
      <c r="Q4853" s="94">
        <f>F4853&amp;E4853&amp;G4853&amp;L4853</f>
        <v/>
      </c>
    </row>
    <row r="4854">
      <c r="A4854" s="94" t="n"/>
      <c r="B4854" s="128" t="n">
        <v>43890</v>
      </c>
      <c r="C4854" s="94">
        <f>TEXT(B4854,"aaa")</f>
        <v/>
      </c>
      <c r="D4854" s="94" t="n"/>
      <c r="E4854" s="94" t="inlineStr">
        <is>
          <t>토너</t>
        </is>
      </c>
      <c r="F4854" s="5" t="inlineStr">
        <is>
          <t>스타일쉐어</t>
        </is>
      </c>
      <c r="G4854" s="94" t="inlineStr">
        <is>
          <t>250ml</t>
        </is>
      </c>
      <c r="H4854" s="7" t="n">
        <v>190801</v>
      </c>
      <c r="I4854" s="7" t="n">
        <v>190801</v>
      </c>
      <c r="J4854" s="94" t="n"/>
      <c r="K4854" s="149" t="n">
        <v>31</v>
      </c>
      <c r="L4854" s="92" t="n">
        <v>190801</v>
      </c>
      <c r="M4854" s="94">
        <f>VLOOKUP($Q4854,매칭테이블!$F:$I,2,0)*K4854</f>
        <v/>
      </c>
      <c r="N4854" s="94">
        <f>M4854-M4854*VLOOKUP($Q4854,매칭테이블!$F:$I,3,0)</f>
        <v/>
      </c>
      <c r="O4854" s="94">
        <f>VLOOKUP($Q4854,매칭테이블!$F:$I,4,0)*K4854</f>
        <v/>
      </c>
      <c r="P4854" s="148">
        <f>M4854/1.1</f>
        <v/>
      </c>
      <c r="Q4854" s="94">
        <f>F4854&amp;E4854&amp;G4854&amp;L4854</f>
        <v/>
      </c>
    </row>
    <row r="4855">
      <c r="A4855" s="94" t="n"/>
      <c r="B4855" s="128" t="n">
        <v>43890</v>
      </c>
      <c r="C4855" s="94">
        <f>TEXT(B4855,"aaa")</f>
        <v/>
      </c>
      <c r="D4855" s="94" t="n"/>
      <c r="E4855" s="94" t="inlineStr">
        <is>
          <t>머드크림마스크</t>
        </is>
      </c>
      <c r="F4855" s="94" t="inlineStr">
        <is>
          <t>카페24</t>
        </is>
      </c>
      <c r="G4855" s="94" t="inlineStr">
        <is>
          <t>머드크림마스크 100ml</t>
        </is>
      </c>
      <c r="H4855" s="7" t="n">
        <v>190801</v>
      </c>
      <c r="I4855" s="7" t="n">
        <v>190801</v>
      </c>
      <c r="J4855" s="94" t="n"/>
      <c r="K4855" s="149" t="n">
        <v>11</v>
      </c>
      <c r="L4855" s="94" t="n">
        <v>190801</v>
      </c>
      <c r="M4855" s="94">
        <f>VLOOKUP($Q4855,매칭테이블!$F:$I,2,0)*K4855</f>
        <v/>
      </c>
      <c r="N4855" s="94">
        <f>M4855-M4855*VLOOKUP($Q4855,매칭테이블!$F:$I,3,0)</f>
        <v/>
      </c>
      <c r="O4855" s="94">
        <f>VLOOKUP($Q4855,매칭테이블!$F:$I,4,0)*K4855</f>
        <v/>
      </c>
      <c r="P4855" s="148">
        <f>M4855/1.1</f>
        <v/>
      </c>
      <c r="Q4855" s="94">
        <f>F4855&amp;E4855&amp;G4855&amp;L4855</f>
        <v/>
      </c>
    </row>
    <row r="4856">
      <c r="A4856" s="94" t="n"/>
      <c r="B4856" s="128" t="n">
        <v>43890</v>
      </c>
      <c r="C4856" s="94">
        <f>TEXT(B4856,"aaa")</f>
        <v/>
      </c>
      <c r="D4856" s="94" t="n"/>
      <c r="E4856" s="94" t="inlineStr">
        <is>
          <t>머드크림마스크</t>
        </is>
      </c>
      <c r="F4856" s="94" t="inlineStr">
        <is>
          <t>카페24</t>
        </is>
      </c>
      <c r="G4856" s="94" t="inlineStr">
        <is>
          <t>머드크림마스크 100ml 2set</t>
        </is>
      </c>
      <c r="H4856" s="7" t="n">
        <v>190801</v>
      </c>
      <c r="I4856" s="7" t="n">
        <v>190801</v>
      </c>
      <c r="J4856" s="94" t="n"/>
      <c r="K4856" s="149" t="n">
        <v>3</v>
      </c>
      <c r="L4856" s="94" t="n">
        <v>190801</v>
      </c>
      <c r="M4856" s="94">
        <f>VLOOKUP($Q4856,매칭테이블!$F:$I,2,0)*K4856</f>
        <v/>
      </c>
      <c r="N4856" s="94">
        <f>M4856-M4856*VLOOKUP($Q4856,매칭테이블!$F:$I,3,0)</f>
        <v/>
      </c>
      <c r="O4856" s="94">
        <f>VLOOKUP($Q4856,매칭테이블!$F:$I,4,0)*K4856</f>
        <v/>
      </c>
      <c r="P4856" s="148">
        <f>M4856/1.1</f>
        <v/>
      </c>
      <c r="Q4856" s="94">
        <f>F4856&amp;E4856&amp;G4856&amp;L4856</f>
        <v/>
      </c>
    </row>
    <row r="4857">
      <c r="A4857" s="94" t="n"/>
      <c r="B4857" s="128" t="n">
        <v>43890</v>
      </c>
      <c r="C4857" s="94">
        <f>TEXT(B4857,"aaa")</f>
        <v/>
      </c>
      <c r="D4857" s="94" t="n"/>
      <c r="E4857" s="6" t="inlineStr">
        <is>
          <t>토너</t>
        </is>
      </c>
      <c r="F4857" s="5" t="inlineStr">
        <is>
          <t>카페24</t>
        </is>
      </c>
      <c r="G4857" s="5" t="inlineStr">
        <is>
          <t>250ml</t>
        </is>
      </c>
      <c r="H4857" s="7" t="n">
        <v>190801</v>
      </c>
      <c r="I4857" s="7" t="n">
        <v>190801</v>
      </c>
      <c r="J4857" s="94" t="n"/>
      <c r="K4857" s="149" t="n">
        <v>71</v>
      </c>
      <c r="L4857" s="7" t="n">
        <v>190801</v>
      </c>
      <c r="M4857" s="94">
        <f>VLOOKUP($Q4857,매칭테이블!$F:$I,2,0)*K4857</f>
        <v/>
      </c>
      <c r="N4857" s="94">
        <f>M4857-M4857*VLOOKUP($Q4857,매칭테이블!$F:$I,3,0)</f>
        <v/>
      </c>
      <c r="O4857" s="94">
        <f>VLOOKUP($Q4857,매칭테이블!$F:$I,4,0)*K4857</f>
        <v/>
      </c>
      <c r="P4857" s="148">
        <f>M4857/1.1</f>
        <v/>
      </c>
      <c r="Q4857" s="94">
        <f>F4857&amp;E4857&amp;G4857&amp;L4857</f>
        <v/>
      </c>
    </row>
    <row r="4858">
      <c r="A4858" s="94" t="n"/>
      <c r="B4858" s="128" t="n">
        <v>43890</v>
      </c>
      <c r="C4858" s="94">
        <f>TEXT(B4858,"aaa")</f>
        <v/>
      </c>
      <c r="D4858" s="94" t="n"/>
      <c r="E4858" s="6" t="inlineStr">
        <is>
          <t>토너</t>
        </is>
      </c>
      <c r="F4858" s="5" t="inlineStr">
        <is>
          <t>카페24</t>
        </is>
      </c>
      <c r="G4858" s="5" t="inlineStr">
        <is>
          <t>250ml 2set</t>
        </is>
      </c>
      <c r="H4858" s="7" t="n">
        <v>190801</v>
      </c>
      <c r="I4858" s="7" t="n">
        <v>190801</v>
      </c>
      <c r="J4858" s="94" t="n"/>
      <c r="K4858" s="149" t="n">
        <v>44</v>
      </c>
      <c r="L4858" s="7" t="n">
        <v>190801</v>
      </c>
      <c r="M4858" s="94">
        <f>VLOOKUP($Q4858,매칭테이블!$F:$I,2,0)*K4858</f>
        <v/>
      </c>
      <c r="N4858" s="94">
        <f>M4858-M4858*VLOOKUP($Q4858,매칭테이블!$F:$I,3,0)</f>
        <v/>
      </c>
      <c r="O4858" s="94">
        <f>VLOOKUP($Q4858,매칭테이블!$F:$I,4,0)*K4858</f>
        <v/>
      </c>
      <c r="P4858" s="148">
        <f>M4858/1.1</f>
        <v/>
      </c>
      <c r="Q4858" s="94">
        <f>F4858&amp;E4858&amp;G4858&amp;L4858</f>
        <v/>
      </c>
    </row>
    <row r="4859">
      <c r="A4859" s="94" t="n"/>
      <c r="B4859" s="128" t="n">
        <v>43890</v>
      </c>
      <c r="C4859" s="94">
        <f>TEXT(B4859,"aaa")</f>
        <v/>
      </c>
      <c r="D4859" s="94" t="n"/>
      <c r="E4859" s="6" t="inlineStr">
        <is>
          <t>토너</t>
        </is>
      </c>
      <c r="F4859" s="5" t="inlineStr">
        <is>
          <t>카페24</t>
        </is>
      </c>
      <c r="G4859" s="5" t="inlineStr">
        <is>
          <t>500ml</t>
        </is>
      </c>
      <c r="H4859" s="7" t="n">
        <v>190801</v>
      </c>
      <c r="I4859" s="7" t="n">
        <v>190801</v>
      </c>
      <c r="J4859" s="94" t="n"/>
      <c r="K4859" s="149" t="n">
        <v>75</v>
      </c>
      <c r="L4859" s="7" t="n">
        <v>190801</v>
      </c>
      <c r="M4859" s="94">
        <f>VLOOKUP($Q4859,매칭테이블!$F:$I,2,0)*K4859</f>
        <v/>
      </c>
      <c r="N4859" s="94">
        <f>M4859-M4859*VLOOKUP($Q4859,매칭테이블!$F:$I,3,0)</f>
        <v/>
      </c>
      <c r="O4859" s="94">
        <f>VLOOKUP($Q4859,매칭테이블!$F:$I,4,0)*K4859</f>
        <v/>
      </c>
      <c r="P4859" s="148">
        <f>M4859/1.1</f>
        <v/>
      </c>
      <c r="Q4859" s="94">
        <f>F4859&amp;E4859&amp;G4859&amp;L4859</f>
        <v/>
      </c>
    </row>
    <row r="4860">
      <c r="A4860" s="94" t="n"/>
      <c r="B4860" s="128" t="n">
        <v>43890</v>
      </c>
      <c r="C4860" s="94">
        <f>TEXT(B4860,"aaa")</f>
        <v/>
      </c>
      <c r="D4860" s="94" t="n"/>
      <c r="E4860" s="6" t="inlineStr">
        <is>
          <t>토너</t>
        </is>
      </c>
      <c r="F4860" s="5" t="inlineStr">
        <is>
          <t>카페24</t>
        </is>
      </c>
      <c r="G4860" s="94" t="inlineStr">
        <is>
          <t>스킨팩 화장솜 60P</t>
        </is>
      </c>
      <c r="H4860" s="7" t="n">
        <v>190801</v>
      </c>
      <c r="I4860" s="7" t="n">
        <v>190801</v>
      </c>
      <c r="J4860" s="94" t="n"/>
      <c r="K4860" s="149" t="n">
        <v>45</v>
      </c>
      <c r="L4860" s="7" t="n">
        <v>190801</v>
      </c>
      <c r="M4860" s="94">
        <f>VLOOKUP($Q4860,매칭테이블!$F:$I,2,0)*K4860</f>
        <v/>
      </c>
      <c r="N4860" s="94">
        <f>M4860-M4860*VLOOKUP($Q4860,매칭테이블!$F:$I,3,0)</f>
        <v/>
      </c>
      <c r="O4860" s="94">
        <f>VLOOKUP($Q4860,매칭테이블!$F:$I,4,0)*K4860</f>
        <v/>
      </c>
      <c r="P4860" s="148">
        <f>M4860/1.1</f>
        <v/>
      </c>
      <c r="Q4860" s="94">
        <f>F4860&amp;E4860&amp;G4860&amp;L4860</f>
        <v/>
      </c>
    </row>
    <row r="4861">
      <c r="A4861" s="94" t="n"/>
      <c r="B4861" s="128" t="n">
        <v>43890</v>
      </c>
      <c r="C4861" s="94">
        <f>TEXT(B4861,"aaa")</f>
        <v/>
      </c>
      <c r="D4861" s="94" t="n"/>
      <c r="E4861" s="94" t="inlineStr">
        <is>
          <t>클렌징폼</t>
        </is>
      </c>
      <c r="F4861" s="5" t="inlineStr">
        <is>
          <t>카페24</t>
        </is>
      </c>
      <c r="G4861" s="94" t="inlineStr">
        <is>
          <t>클렌징폼 120ml</t>
        </is>
      </c>
      <c r="H4861" s="7" t="n">
        <v>190801</v>
      </c>
      <c r="I4861" s="7" t="n">
        <v>190801</v>
      </c>
      <c r="J4861" s="94" t="n"/>
      <c r="K4861" s="149" t="n">
        <v>24</v>
      </c>
      <c r="L4861" s="7" t="n">
        <v>190801</v>
      </c>
      <c r="M4861" s="94">
        <f>VLOOKUP($Q4861,매칭테이블!$F:$I,2,0)*K4861</f>
        <v/>
      </c>
      <c r="N4861" s="94">
        <f>M4861-M4861*VLOOKUP($Q4861,매칭테이블!$F:$I,3,0)</f>
        <v/>
      </c>
      <c r="O4861" s="94">
        <f>VLOOKUP($Q4861,매칭테이블!$F:$I,4,0)*K4861</f>
        <v/>
      </c>
      <c r="P4861" s="148">
        <f>M4861/1.1</f>
        <v/>
      </c>
      <c r="Q4861" s="94">
        <f>F4861&amp;E4861&amp;G4861&amp;L4861</f>
        <v/>
      </c>
    </row>
    <row r="4862">
      <c r="A4862" s="94" t="n"/>
      <c r="B4862" s="128" t="n">
        <v>43890</v>
      </c>
      <c r="C4862" s="94">
        <f>TEXT(B4862,"aaa")</f>
        <v/>
      </c>
      <c r="D4862" s="94" t="n"/>
      <c r="E4862" s="94" t="inlineStr">
        <is>
          <t>클렌징폼</t>
        </is>
      </c>
      <c r="F4862" s="94" t="inlineStr">
        <is>
          <t>카페24</t>
        </is>
      </c>
      <c r="G4862" s="94" t="inlineStr">
        <is>
          <t>클렌징폼 120ml 2set</t>
        </is>
      </c>
      <c r="H4862" s="7" t="n">
        <v>190801</v>
      </c>
      <c r="I4862" s="7" t="n">
        <v>190801</v>
      </c>
      <c r="J4862" s="94" t="n"/>
      <c r="K4862" s="149" t="n">
        <v>2</v>
      </c>
      <c r="L4862" s="7" t="n">
        <v>190801</v>
      </c>
      <c r="M4862" s="94">
        <f>VLOOKUP($Q4862,매칭테이블!$F:$I,2,0)*K4862</f>
        <v/>
      </c>
      <c r="N4862" s="94">
        <f>M4862-M4862*VLOOKUP($Q4862,매칭테이블!$F:$I,3,0)</f>
        <v/>
      </c>
      <c r="O4862" s="94">
        <f>VLOOKUP($Q4862,매칭테이블!$F:$I,4,0)*K4862</f>
        <v/>
      </c>
      <c r="P4862" s="148">
        <f>M4862/1.1</f>
        <v/>
      </c>
      <c r="Q4862" s="94">
        <f>F4862&amp;E4862&amp;G4862&amp;L4862</f>
        <v/>
      </c>
    </row>
    <row r="4863">
      <c r="A4863" s="94" t="n"/>
      <c r="B4863" s="128" t="n">
        <v>43890</v>
      </c>
      <c r="C4863" s="94">
        <f>TEXT(B4863,"aaa")</f>
        <v/>
      </c>
      <c r="D4863" s="94" t="n"/>
      <c r="E4863" s="94" t="inlineStr">
        <is>
          <t>클렌징폼</t>
        </is>
      </c>
      <c r="F4863" s="94" t="inlineStr">
        <is>
          <t>카페24</t>
        </is>
      </c>
      <c r="G4863" s="94" t="inlineStr">
        <is>
          <t>클렌징폼 120ml 3set</t>
        </is>
      </c>
      <c r="H4863" s="7" t="n">
        <v>190801</v>
      </c>
      <c r="I4863" s="7" t="n">
        <v>190801</v>
      </c>
      <c r="J4863" s="94" t="n"/>
      <c r="K4863" s="149" t="n">
        <v>2</v>
      </c>
      <c r="L4863" s="7" t="n">
        <v>190801</v>
      </c>
      <c r="M4863" s="94">
        <f>VLOOKUP($Q4863,매칭테이블!$F:$I,2,0)*K4863</f>
        <v/>
      </c>
      <c r="N4863" s="94">
        <f>M4863-M4863*VLOOKUP($Q4863,매칭테이블!$F:$I,3,0)</f>
        <v/>
      </c>
      <c r="O4863" s="94">
        <f>VLOOKUP($Q4863,매칭테이블!$F:$I,4,0)*K4863</f>
        <v/>
      </c>
      <c r="P4863" s="148">
        <f>M4863/1.1</f>
        <v/>
      </c>
      <c r="Q4863" s="94">
        <f>F4863&amp;E4863&amp;G4863&amp;L4863</f>
        <v/>
      </c>
    </row>
    <row r="4864">
      <c r="A4864" s="94" t="n"/>
      <c r="B4864" s="128" t="n">
        <v>43891</v>
      </c>
      <c r="C4864" s="94">
        <f>TEXT(B4864,"aaa")</f>
        <v/>
      </c>
      <c r="D4864" s="94" t="n"/>
      <c r="E4864" s="94" t="inlineStr">
        <is>
          <t>토너</t>
        </is>
      </c>
      <c r="F4864" s="5" t="inlineStr">
        <is>
          <t>스타일쉐어</t>
        </is>
      </c>
      <c r="G4864" s="94" t="inlineStr">
        <is>
          <t>250ml</t>
        </is>
      </c>
      <c r="H4864" s="7" t="n">
        <v>190801</v>
      </c>
      <c r="I4864" s="7" t="n">
        <v>190801</v>
      </c>
      <c r="J4864" s="94" t="n"/>
      <c r="K4864" s="149" t="n">
        <v>33</v>
      </c>
      <c r="L4864" s="92" t="n">
        <v>190801</v>
      </c>
      <c r="M4864" s="94">
        <f>VLOOKUP($Q4864,매칭테이블!$F:$I,2,0)*K4864</f>
        <v/>
      </c>
      <c r="N4864" s="94">
        <f>M4864-M4864*VLOOKUP($Q4864,매칭테이블!$F:$I,3,0)</f>
        <v/>
      </c>
      <c r="O4864" s="94">
        <f>VLOOKUP($Q4864,매칭테이블!$F:$I,4,0)*K4864</f>
        <v/>
      </c>
      <c r="P4864" s="148">
        <f>M4864/1.1</f>
        <v/>
      </c>
      <c r="Q4864" s="94">
        <f>F4864&amp;E4864&amp;G4864&amp;L4864</f>
        <v/>
      </c>
    </row>
    <row r="4865">
      <c r="A4865" s="94" t="n"/>
      <c r="B4865" s="128" t="n">
        <v>43891</v>
      </c>
      <c r="C4865" s="94">
        <f>TEXT(B4865,"aaa")</f>
        <v/>
      </c>
      <c r="D4865" s="94" t="n"/>
      <c r="E4865" s="94" t="inlineStr">
        <is>
          <t>머드크림마스크</t>
        </is>
      </c>
      <c r="F4865" s="94" t="inlineStr">
        <is>
          <t>카페24</t>
        </is>
      </c>
      <c r="G4865" s="94" t="inlineStr">
        <is>
          <t>머드크림마스크 100ml</t>
        </is>
      </c>
      <c r="H4865" s="7" t="n">
        <v>190801</v>
      </c>
      <c r="I4865" s="7" t="n">
        <v>190801</v>
      </c>
      <c r="J4865" s="94" t="n"/>
      <c r="K4865" s="149" t="n">
        <v>6</v>
      </c>
      <c r="L4865" s="94" t="n">
        <v>190801</v>
      </c>
      <c r="M4865" s="94">
        <f>VLOOKUP($Q4865,매칭테이블!$F:$I,2,0)*K4865</f>
        <v/>
      </c>
      <c r="N4865" s="94">
        <f>M4865-M4865*VLOOKUP($Q4865,매칭테이블!$F:$I,3,0)</f>
        <v/>
      </c>
      <c r="O4865" s="94">
        <f>VLOOKUP($Q4865,매칭테이블!$F:$I,4,0)*K4865</f>
        <v/>
      </c>
      <c r="P4865" s="148">
        <f>M4865/1.1</f>
        <v/>
      </c>
      <c r="Q4865" s="94">
        <f>F4865&amp;E4865&amp;G4865&amp;L4865</f>
        <v/>
      </c>
    </row>
    <row r="4866">
      <c r="A4866" s="94" t="n"/>
      <c r="B4866" s="128" t="n">
        <v>43891</v>
      </c>
      <c r="C4866" s="94">
        <f>TEXT(B4866,"aaa")</f>
        <v/>
      </c>
      <c r="D4866" s="94" t="n"/>
      <c r="E4866" s="94" t="inlineStr">
        <is>
          <t>머드크림마스크</t>
        </is>
      </c>
      <c r="F4866" s="94" t="inlineStr">
        <is>
          <t>카페24</t>
        </is>
      </c>
      <c r="G4866" s="94" t="inlineStr">
        <is>
          <t>머드크림마스크 100ml 2set</t>
        </is>
      </c>
      <c r="H4866" s="7" t="n">
        <v>190801</v>
      </c>
      <c r="I4866" s="7" t="n">
        <v>190801</v>
      </c>
      <c r="J4866" s="94" t="n"/>
      <c r="K4866" s="149" t="n">
        <v>1</v>
      </c>
      <c r="L4866" s="94" t="n">
        <v>190801</v>
      </c>
      <c r="M4866" s="94">
        <f>VLOOKUP($Q4866,매칭테이블!$F:$I,2,0)*K4866</f>
        <v/>
      </c>
      <c r="N4866" s="94">
        <f>M4866-M4866*VLOOKUP($Q4866,매칭테이블!$F:$I,3,0)</f>
        <v/>
      </c>
      <c r="O4866" s="94">
        <f>VLOOKUP($Q4866,매칭테이블!$F:$I,4,0)*K4866</f>
        <v/>
      </c>
      <c r="P4866" s="148">
        <f>M4866/1.1</f>
        <v/>
      </c>
      <c r="Q4866" s="94">
        <f>F4866&amp;E4866&amp;G4866&amp;L4866</f>
        <v/>
      </c>
    </row>
    <row r="4867">
      <c r="A4867" s="94" t="n"/>
      <c r="B4867" s="128" t="n">
        <v>43891</v>
      </c>
      <c r="C4867" s="94">
        <f>TEXT(B4867,"aaa")</f>
        <v/>
      </c>
      <c r="D4867" s="94" t="n"/>
      <c r="E4867" s="6" t="inlineStr">
        <is>
          <t>토너</t>
        </is>
      </c>
      <c r="F4867" s="5" t="inlineStr">
        <is>
          <t>카페24</t>
        </is>
      </c>
      <c r="G4867" s="5" t="inlineStr">
        <is>
          <t>250ml</t>
        </is>
      </c>
      <c r="H4867" s="7" t="n">
        <v>190801</v>
      </c>
      <c r="I4867" s="7" t="n">
        <v>190801</v>
      </c>
      <c r="J4867" s="94" t="n"/>
      <c r="K4867" s="149" t="n">
        <v>93</v>
      </c>
      <c r="L4867" s="7" t="n">
        <v>190801</v>
      </c>
      <c r="M4867" s="94">
        <f>VLOOKUP($Q4867,매칭테이블!$F:$I,2,0)*K4867</f>
        <v/>
      </c>
      <c r="N4867" s="94">
        <f>M4867-M4867*VLOOKUP($Q4867,매칭테이블!$F:$I,3,0)</f>
        <v/>
      </c>
      <c r="O4867" s="94">
        <f>VLOOKUP($Q4867,매칭테이블!$F:$I,4,0)*K4867</f>
        <v/>
      </c>
      <c r="P4867" s="148">
        <f>M4867/1.1</f>
        <v/>
      </c>
      <c r="Q4867" s="94">
        <f>F4867&amp;E4867&amp;G4867&amp;L4867</f>
        <v/>
      </c>
    </row>
    <row r="4868">
      <c r="A4868" s="94" t="n"/>
      <c r="B4868" s="128" t="n">
        <v>43891</v>
      </c>
      <c r="C4868" s="94">
        <f>TEXT(B4868,"aaa")</f>
        <v/>
      </c>
      <c r="D4868" s="94" t="n"/>
      <c r="E4868" s="6" t="inlineStr">
        <is>
          <t>토너</t>
        </is>
      </c>
      <c r="F4868" s="5" t="inlineStr">
        <is>
          <t>카페24</t>
        </is>
      </c>
      <c r="G4868" s="5" t="inlineStr">
        <is>
          <t>250ml 2set</t>
        </is>
      </c>
      <c r="H4868" s="7" t="n">
        <v>190801</v>
      </c>
      <c r="I4868" s="7" t="n">
        <v>190801</v>
      </c>
      <c r="J4868" s="94" t="n"/>
      <c r="K4868" s="149" t="n">
        <v>111</v>
      </c>
      <c r="L4868" s="7" t="n">
        <v>190801</v>
      </c>
      <c r="M4868" s="94">
        <f>VLOOKUP($Q4868,매칭테이블!$F:$I,2,0)*K4868</f>
        <v/>
      </c>
      <c r="N4868" s="94">
        <f>M4868-M4868*VLOOKUP($Q4868,매칭테이블!$F:$I,3,0)</f>
        <v/>
      </c>
      <c r="O4868" s="94">
        <f>VLOOKUP($Q4868,매칭테이블!$F:$I,4,0)*K4868</f>
        <v/>
      </c>
      <c r="P4868" s="148">
        <f>M4868/1.1</f>
        <v/>
      </c>
      <c r="Q4868" s="94">
        <f>F4868&amp;E4868&amp;G4868&amp;L4868</f>
        <v/>
      </c>
    </row>
    <row r="4869">
      <c r="A4869" s="94" t="n"/>
      <c r="B4869" s="128" t="n">
        <v>43891</v>
      </c>
      <c r="C4869" s="94">
        <f>TEXT(B4869,"aaa")</f>
        <v/>
      </c>
      <c r="D4869" s="94" t="n"/>
      <c r="E4869" s="6" t="inlineStr">
        <is>
          <t>토너</t>
        </is>
      </c>
      <c r="F4869" s="5" t="inlineStr">
        <is>
          <t>카페24</t>
        </is>
      </c>
      <c r="G4869" s="5" t="inlineStr">
        <is>
          <t>500ml</t>
        </is>
      </c>
      <c r="H4869" s="7" t="n">
        <v>190801</v>
      </c>
      <c r="I4869" s="7" t="n">
        <v>190801</v>
      </c>
      <c r="J4869" s="94" t="n"/>
      <c r="K4869" s="149" t="n">
        <v>33</v>
      </c>
      <c r="L4869" s="7" t="n">
        <v>190801</v>
      </c>
      <c r="M4869" s="94">
        <f>VLOOKUP($Q4869,매칭테이블!$F:$I,2,0)*K4869</f>
        <v/>
      </c>
      <c r="N4869" s="94">
        <f>M4869-M4869*VLOOKUP($Q4869,매칭테이블!$F:$I,3,0)</f>
        <v/>
      </c>
      <c r="O4869" s="94">
        <f>VLOOKUP($Q4869,매칭테이블!$F:$I,4,0)*K4869</f>
        <v/>
      </c>
      <c r="P4869" s="148">
        <f>M4869/1.1</f>
        <v/>
      </c>
      <c r="Q4869" s="94">
        <f>F4869&amp;E4869&amp;G4869&amp;L4869</f>
        <v/>
      </c>
    </row>
    <row r="4870">
      <c r="A4870" s="94" t="n"/>
      <c r="B4870" s="128" t="n">
        <v>43891</v>
      </c>
      <c r="C4870" s="94">
        <f>TEXT(B4870,"aaa")</f>
        <v/>
      </c>
      <c r="D4870" s="94" t="n"/>
      <c r="E4870" s="6" t="inlineStr">
        <is>
          <t>토너</t>
        </is>
      </c>
      <c r="F4870" s="5" t="inlineStr">
        <is>
          <t>카페24</t>
        </is>
      </c>
      <c r="G4870" s="94" t="inlineStr">
        <is>
          <t>스킨팩 화장솜 60P</t>
        </is>
      </c>
      <c r="H4870" s="7" t="n">
        <v>190801</v>
      </c>
      <c r="I4870" s="7" t="n">
        <v>190801</v>
      </c>
      <c r="J4870" s="94" t="n"/>
      <c r="K4870" s="149" t="n">
        <v>61</v>
      </c>
      <c r="L4870" s="7" t="n">
        <v>190801</v>
      </c>
      <c r="M4870" s="94">
        <f>VLOOKUP($Q4870,매칭테이블!$F:$I,2,0)*K4870</f>
        <v/>
      </c>
      <c r="N4870" s="94">
        <f>M4870-M4870*VLOOKUP($Q4870,매칭테이블!$F:$I,3,0)</f>
        <v/>
      </c>
      <c r="O4870" s="94">
        <f>VLOOKUP($Q4870,매칭테이블!$F:$I,4,0)*K4870</f>
        <v/>
      </c>
      <c r="P4870" s="148">
        <f>M4870/1.1</f>
        <v/>
      </c>
      <c r="Q4870" s="94">
        <f>F4870&amp;E4870&amp;G4870&amp;L4870</f>
        <v/>
      </c>
    </row>
    <row r="4871">
      <c r="A4871" s="94" t="n"/>
      <c r="B4871" s="128" t="n">
        <v>43891</v>
      </c>
      <c r="C4871" s="94">
        <f>TEXT(B4871,"aaa")</f>
        <v/>
      </c>
      <c r="D4871" s="94" t="n"/>
      <c r="E4871" s="94" t="inlineStr">
        <is>
          <t>클렌징폼</t>
        </is>
      </c>
      <c r="F4871" s="5" t="inlineStr">
        <is>
          <t>카페24</t>
        </is>
      </c>
      <c r="G4871" s="94" t="inlineStr">
        <is>
          <t>클렌징폼 120ml</t>
        </is>
      </c>
      <c r="H4871" s="7" t="n">
        <v>190801</v>
      </c>
      <c r="I4871" s="7" t="n">
        <v>190801</v>
      </c>
      <c r="J4871" s="94" t="n"/>
      <c r="K4871" s="149" t="n">
        <v>25</v>
      </c>
      <c r="L4871" s="7" t="n">
        <v>190801</v>
      </c>
      <c r="M4871" s="94">
        <f>VLOOKUP($Q4871,매칭테이블!$F:$I,2,0)*K4871</f>
        <v/>
      </c>
      <c r="N4871" s="94">
        <f>M4871-M4871*VLOOKUP($Q4871,매칭테이블!$F:$I,3,0)</f>
        <v/>
      </c>
      <c r="O4871" s="94">
        <f>VLOOKUP($Q4871,매칭테이블!$F:$I,4,0)*K4871</f>
        <v/>
      </c>
      <c r="P4871" s="148">
        <f>M4871/1.1</f>
        <v/>
      </c>
      <c r="Q4871" s="94">
        <f>F4871&amp;E4871&amp;G4871&amp;L4871</f>
        <v/>
      </c>
    </row>
    <row r="4872">
      <c r="A4872" s="94" t="n"/>
      <c r="B4872" s="128" t="n">
        <v>43891</v>
      </c>
      <c r="C4872" s="94">
        <f>TEXT(B4872,"aaa")</f>
        <v/>
      </c>
      <c r="D4872" s="94" t="n"/>
      <c r="E4872" s="94" t="inlineStr">
        <is>
          <t>클렌징폼</t>
        </is>
      </c>
      <c r="F4872" s="94" t="inlineStr">
        <is>
          <t>카페24</t>
        </is>
      </c>
      <c r="G4872" s="94" t="inlineStr">
        <is>
          <t>클렌징폼 120ml 2set</t>
        </is>
      </c>
      <c r="H4872" s="7" t="n">
        <v>190801</v>
      </c>
      <c r="I4872" s="7" t="n">
        <v>190801</v>
      </c>
      <c r="J4872" s="94" t="n"/>
      <c r="K4872" s="149" t="n">
        <v>5</v>
      </c>
      <c r="L4872" s="7" t="n">
        <v>190801</v>
      </c>
      <c r="M4872" s="94">
        <f>VLOOKUP($Q4872,매칭테이블!$F:$I,2,0)*K4872</f>
        <v/>
      </c>
      <c r="N4872" s="94">
        <f>M4872-M4872*VLOOKUP($Q4872,매칭테이블!$F:$I,3,0)</f>
        <v/>
      </c>
      <c r="O4872" s="94">
        <f>VLOOKUP($Q4872,매칭테이블!$F:$I,4,0)*K4872</f>
        <v/>
      </c>
      <c r="P4872" s="148">
        <f>M4872/1.1</f>
        <v/>
      </c>
      <c r="Q4872" s="94">
        <f>F4872&amp;E4872&amp;G4872&amp;L4872</f>
        <v/>
      </c>
    </row>
    <row r="4873">
      <c r="A4873" s="94" t="n"/>
      <c r="B4873" s="128" t="n">
        <v>43891</v>
      </c>
      <c r="C4873" s="94">
        <f>TEXT(B4873,"aaa")</f>
        <v/>
      </c>
      <c r="D4873" s="94" t="n"/>
      <c r="E4873" s="94" t="inlineStr">
        <is>
          <t>클렌징폼</t>
        </is>
      </c>
      <c r="F4873" s="94" t="inlineStr">
        <is>
          <t>카페24</t>
        </is>
      </c>
      <c r="G4873" s="94" t="inlineStr">
        <is>
          <t>클렌징폼 120ml 3set</t>
        </is>
      </c>
      <c r="H4873" s="7" t="n">
        <v>190801</v>
      </c>
      <c r="I4873" s="7" t="n">
        <v>190801</v>
      </c>
      <c r="J4873" s="94" t="n"/>
      <c r="K4873" s="149" t="n">
        <v>1</v>
      </c>
      <c r="L4873" s="7" t="n">
        <v>190801</v>
      </c>
      <c r="M4873" s="94">
        <f>VLOOKUP($Q4873,매칭테이블!$F:$I,2,0)*K4873</f>
        <v/>
      </c>
      <c r="N4873" s="94">
        <f>M4873-M4873*VLOOKUP($Q4873,매칭테이블!$F:$I,3,0)</f>
        <v/>
      </c>
      <c r="O4873" s="94">
        <f>VLOOKUP($Q4873,매칭테이블!$F:$I,4,0)*K4873</f>
        <v/>
      </c>
      <c r="P4873" s="148">
        <f>M4873/1.1</f>
        <v/>
      </c>
      <c r="Q4873" s="94">
        <f>F4873&amp;E4873&amp;G4873&amp;L4873</f>
        <v/>
      </c>
    </row>
    <row r="4874">
      <c r="A4874" s="94" t="n"/>
      <c r="B4874" s="128" t="n">
        <v>43891</v>
      </c>
      <c r="C4874" s="94">
        <f>TEXT(B4874,"aaa")</f>
        <v/>
      </c>
      <c r="D4874" s="94" t="n"/>
      <c r="E4874" s="94" t="inlineStr">
        <is>
          <t>토너 기획세트</t>
        </is>
      </c>
      <c r="F4874" s="5" t="inlineStr">
        <is>
          <t>랄라블라</t>
        </is>
      </c>
      <c r="G4874" s="94" t="inlineStr">
        <is>
          <t>토너 기획세트</t>
        </is>
      </c>
      <c r="H4874" s="7" t="n">
        <v>190801</v>
      </c>
      <c r="I4874" s="7" t="n">
        <v>190801</v>
      </c>
      <c r="J4874" s="94" t="n"/>
      <c r="K4874" s="149" t="n">
        <v>1369</v>
      </c>
      <c r="L4874" s="7" t="n">
        <v>190801</v>
      </c>
      <c r="M4874" s="94">
        <f>VLOOKUP($Q4874,매칭테이블!$F:$I,2,0)*K4874</f>
        <v/>
      </c>
      <c r="N4874" s="94">
        <f>M4874-M4874*VLOOKUP($Q4874,매칭테이블!$F:$I,3,0)</f>
        <v/>
      </c>
      <c r="O4874" s="94">
        <f>VLOOKUP($Q4874,매칭테이블!$F:$I,4,0)*K4874</f>
        <v/>
      </c>
      <c r="P4874" s="148">
        <f>M4874/1.1</f>
        <v/>
      </c>
      <c r="Q4874" s="94">
        <f>F4874&amp;E4874&amp;G4874&amp;L4874</f>
        <v/>
      </c>
    </row>
    <row r="4875">
      <c r="A4875" s="94" t="n"/>
      <c r="B4875" s="128" t="n">
        <v>43891</v>
      </c>
      <c r="C4875" s="94">
        <f>TEXT(B4875,"aaa")</f>
        <v/>
      </c>
      <c r="D4875" s="94" t="n"/>
      <c r="E4875" s="94" t="inlineStr">
        <is>
          <t>토너</t>
        </is>
      </c>
      <c r="F4875" s="5" t="inlineStr">
        <is>
          <t>랄라블라</t>
        </is>
      </c>
      <c r="G4875" s="94" t="inlineStr">
        <is>
          <t>250ml</t>
        </is>
      </c>
      <c r="H4875" s="7" t="n">
        <v>190801</v>
      </c>
      <c r="I4875" s="7" t="n">
        <v>190801</v>
      </c>
      <c r="J4875" s="94" t="n"/>
      <c r="K4875" s="149" t="n">
        <v>557</v>
      </c>
      <c r="L4875" s="92" t="n">
        <v>190801</v>
      </c>
      <c r="M4875" s="94">
        <f>VLOOKUP($Q4875,매칭테이블!$F:$I,2,0)*K4875</f>
        <v/>
      </c>
      <c r="N4875" s="94">
        <f>M4875-M4875*VLOOKUP($Q4875,매칭테이블!$F:$I,3,0)</f>
        <v/>
      </c>
      <c r="O4875" s="94">
        <f>VLOOKUP($Q4875,매칭테이블!$F:$I,4,0)*K4875</f>
        <v/>
      </c>
      <c r="P4875" s="148">
        <f>M4875/1.1</f>
        <v/>
      </c>
      <c r="Q4875" s="94">
        <f>F4875&amp;E4875&amp;G4875&amp;L4875</f>
        <v/>
      </c>
    </row>
    <row r="4876">
      <c r="A4876" s="94" t="n"/>
      <c r="B4876" s="128" t="n">
        <v>43891</v>
      </c>
      <c r="C4876" s="94">
        <f>TEXT(B4876,"aaa")</f>
        <v/>
      </c>
      <c r="D4876" s="94" t="n"/>
      <c r="E4876" s="94" t="inlineStr">
        <is>
          <t>머드크림마스크</t>
        </is>
      </c>
      <c r="F4876" s="5" t="inlineStr">
        <is>
          <t>랄라블라</t>
        </is>
      </c>
      <c r="G4876" s="94" t="inlineStr">
        <is>
          <t>머드크림마스크 100ml</t>
        </is>
      </c>
      <c r="H4876" s="7" t="n">
        <v>190801</v>
      </c>
      <c r="I4876" s="7" t="n">
        <v>190801</v>
      </c>
      <c r="J4876" s="94" t="n"/>
      <c r="K4876" s="149" t="n">
        <v>6</v>
      </c>
      <c r="L4876" s="94" t="n">
        <v>190801</v>
      </c>
      <c r="M4876" s="94">
        <f>VLOOKUP($Q4876,매칭테이블!$F:$I,2,0)*K4876</f>
        <v/>
      </c>
      <c r="N4876" s="94">
        <f>M4876-M4876*VLOOKUP($Q4876,매칭테이블!$F:$I,3,0)</f>
        <v/>
      </c>
      <c r="O4876" s="94">
        <f>VLOOKUP($Q4876,매칭테이블!$F:$I,4,0)*K4876</f>
        <v/>
      </c>
      <c r="P4876" s="148">
        <f>M4876/1.1</f>
        <v/>
      </c>
      <c r="Q4876" s="94">
        <f>F4876&amp;E4876&amp;G4876&amp;L4876</f>
        <v/>
      </c>
    </row>
    <row r="4877">
      <c r="A4877" s="94" t="n"/>
      <c r="B4877" s="128" t="n">
        <v>43891</v>
      </c>
      <c r="C4877" s="94">
        <f>TEXT(B4877,"aaa")</f>
        <v/>
      </c>
      <c r="D4877" s="94" t="n"/>
      <c r="E4877" s="94" t="inlineStr">
        <is>
          <t>클렌징폼</t>
        </is>
      </c>
      <c r="F4877" s="5" t="inlineStr">
        <is>
          <t>랄라블라</t>
        </is>
      </c>
      <c r="G4877" s="94" t="inlineStr">
        <is>
          <t>클렌징폼 120ml</t>
        </is>
      </c>
      <c r="H4877" s="7" t="n">
        <v>190801</v>
      </c>
      <c r="I4877" s="7" t="n">
        <v>190801</v>
      </c>
      <c r="J4877" s="94" t="n"/>
      <c r="K4877" s="149" t="n">
        <v>11</v>
      </c>
      <c r="L4877" s="7" t="n">
        <v>190801</v>
      </c>
      <c r="M4877" s="94">
        <f>VLOOKUP($Q4877,매칭테이블!$F:$I,2,0)*K4877</f>
        <v/>
      </c>
      <c r="N4877" s="94">
        <f>M4877-M4877*VLOOKUP($Q4877,매칭테이블!$F:$I,3,0)</f>
        <v/>
      </c>
      <c r="O4877" s="94">
        <f>VLOOKUP($Q4877,매칭테이블!$F:$I,4,0)*K4877</f>
        <v/>
      </c>
      <c r="P4877" s="148">
        <f>M4877/1.1</f>
        <v/>
      </c>
      <c r="Q4877" s="94">
        <f>F4877&amp;E4877&amp;G4877&amp;L4877</f>
        <v/>
      </c>
    </row>
    <row r="4878">
      <c r="A4878" s="94" t="n"/>
      <c r="B4878" s="128" t="n">
        <v>43892</v>
      </c>
      <c r="C4878" s="94">
        <f>TEXT(B4878,"aaa")</f>
        <v/>
      </c>
      <c r="D4878" s="94" t="n"/>
      <c r="E4878" s="6" t="inlineStr">
        <is>
          <t>토너</t>
        </is>
      </c>
      <c r="F4878" s="5" t="inlineStr">
        <is>
          <t>W컨셉</t>
        </is>
      </c>
      <c r="G4878" s="5" t="inlineStr">
        <is>
          <t>250ml</t>
        </is>
      </c>
      <c r="H4878" s="7" t="n">
        <v>190801</v>
      </c>
      <c r="I4878" s="7" t="n">
        <v>190801</v>
      </c>
      <c r="J4878" s="94" t="n"/>
      <c r="K4878" s="149" t="n">
        <v>11</v>
      </c>
      <c r="L4878" s="7" t="n">
        <v>190801</v>
      </c>
      <c r="M4878" s="94">
        <f>VLOOKUP($Q4878,매칭테이블!$F:$I,2,0)*K4878</f>
        <v/>
      </c>
      <c r="N4878" s="94">
        <f>M4878-M4878*VLOOKUP($Q4878,매칭테이블!$F:$I,3,0)</f>
        <v/>
      </c>
      <c r="O4878" s="94">
        <f>VLOOKUP($Q4878,매칭테이블!$F:$I,4,0)*K4878</f>
        <v/>
      </c>
      <c r="P4878" s="148">
        <f>M4878/1.1</f>
        <v/>
      </c>
      <c r="Q4878" s="94">
        <f>F4878&amp;E4878&amp;G4878&amp;L4878</f>
        <v/>
      </c>
    </row>
    <row r="4879">
      <c r="A4879" s="94" t="n"/>
      <c r="B4879" s="128" t="n">
        <v>43892</v>
      </c>
      <c r="C4879" s="94">
        <f>TEXT(B4879,"aaa")</f>
        <v/>
      </c>
      <c r="D4879" s="94" t="n"/>
      <c r="E4879" s="6" t="inlineStr">
        <is>
          <t>토너</t>
        </is>
      </c>
      <c r="F4879" s="5" t="inlineStr">
        <is>
          <t>W컨셉</t>
        </is>
      </c>
      <c r="G4879" s="5" t="inlineStr">
        <is>
          <t>250ml 2set</t>
        </is>
      </c>
      <c r="H4879" s="7" t="n">
        <v>190801</v>
      </c>
      <c r="I4879" s="7" t="n">
        <v>190801</v>
      </c>
      <c r="J4879" s="94" t="n"/>
      <c r="K4879" s="149" t="n">
        <v>43</v>
      </c>
      <c r="L4879" s="7" t="n">
        <v>190801</v>
      </c>
      <c r="M4879" s="94">
        <f>VLOOKUP($Q4879,매칭테이블!$F:$I,2,0)*K4879</f>
        <v/>
      </c>
      <c r="N4879" s="94">
        <f>M4879-M4879*VLOOKUP($Q4879,매칭테이블!$F:$I,3,0)</f>
        <v/>
      </c>
      <c r="O4879" s="94">
        <f>VLOOKUP($Q4879,매칭테이블!$F:$I,4,0)*K4879</f>
        <v/>
      </c>
      <c r="P4879" s="148">
        <f>M4879/1.1</f>
        <v/>
      </c>
      <c r="Q4879" s="94">
        <f>F4879&amp;E4879&amp;G4879&amp;L4879</f>
        <v/>
      </c>
    </row>
    <row r="4880">
      <c r="A4880" s="94" t="n"/>
      <c r="B4880" s="128" t="n">
        <v>43892</v>
      </c>
      <c r="C4880" s="94">
        <f>TEXT(B4880,"aaa")</f>
        <v/>
      </c>
      <c r="D4880" s="94" t="n"/>
      <c r="E4880" s="94" t="inlineStr">
        <is>
          <t>토너</t>
        </is>
      </c>
      <c r="F4880" s="5" t="inlineStr">
        <is>
          <t>스타일쉐어</t>
        </is>
      </c>
      <c r="G4880" s="94" t="inlineStr">
        <is>
          <t>250ml</t>
        </is>
      </c>
      <c r="H4880" s="7" t="n">
        <v>190801</v>
      </c>
      <c r="I4880" s="7" t="n">
        <v>190801</v>
      </c>
      <c r="J4880" s="94" t="n"/>
      <c r="K4880" s="149" t="n">
        <v>34</v>
      </c>
      <c r="L4880" s="92" t="n">
        <v>190801</v>
      </c>
      <c r="M4880" s="94">
        <f>VLOOKUP($Q4880,매칭테이블!$F:$I,2,0)*K4880</f>
        <v/>
      </c>
      <c r="N4880" s="94">
        <f>M4880-M4880*VLOOKUP($Q4880,매칭테이블!$F:$I,3,0)</f>
        <v/>
      </c>
      <c r="O4880" s="94">
        <f>VLOOKUP($Q4880,매칭테이블!$F:$I,4,0)*K4880</f>
        <v/>
      </c>
      <c r="P4880" s="148">
        <f>M4880/1.1</f>
        <v/>
      </c>
      <c r="Q4880" s="94">
        <f>F4880&amp;E4880&amp;G4880&amp;L4880</f>
        <v/>
      </c>
    </row>
    <row r="4881">
      <c r="A4881" s="94" t="n"/>
      <c r="B4881" s="128" t="n">
        <v>43892</v>
      </c>
      <c r="C4881" s="94">
        <f>TEXT(B4881,"aaa")</f>
        <v/>
      </c>
      <c r="D4881" s="94" t="n"/>
      <c r="E4881" s="94" t="inlineStr">
        <is>
          <t>머드크림마스크</t>
        </is>
      </c>
      <c r="F4881" s="94" t="inlineStr">
        <is>
          <t>카페24</t>
        </is>
      </c>
      <c r="G4881" s="94" t="inlineStr">
        <is>
          <t>머드크림마스크 100ml</t>
        </is>
      </c>
      <c r="H4881" s="7" t="n">
        <v>190801</v>
      </c>
      <c r="I4881" s="7" t="n">
        <v>190801</v>
      </c>
      <c r="J4881" s="94" t="n"/>
      <c r="K4881" s="149" t="n">
        <v>15</v>
      </c>
      <c r="L4881" s="94" t="n">
        <v>190801</v>
      </c>
      <c r="M4881" s="94">
        <f>VLOOKUP($Q4881,매칭테이블!$F:$I,2,0)*K4881</f>
        <v/>
      </c>
      <c r="N4881" s="94">
        <f>M4881-M4881*VLOOKUP($Q4881,매칭테이블!$F:$I,3,0)</f>
        <v/>
      </c>
      <c r="O4881" s="94">
        <f>VLOOKUP($Q4881,매칭테이블!$F:$I,4,0)*K4881</f>
        <v/>
      </c>
      <c r="P4881" s="148">
        <f>M4881/1.1</f>
        <v/>
      </c>
      <c r="Q4881" s="94">
        <f>F4881&amp;E4881&amp;G4881&amp;L4881</f>
        <v/>
      </c>
    </row>
    <row r="4882">
      <c r="A4882" s="94" t="n"/>
      <c r="B4882" s="128" t="n">
        <v>43892</v>
      </c>
      <c r="C4882" s="94">
        <f>TEXT(B4882,"aaa")</f>
        <v/>
      </c>
      <c r="D4882" s="94" t="n"/>
      <c r="E4882" s="6" t="inlineStr">
        <is>
          <t>토너</t>
        </is>
      </c>
      <c r="F4882" s="5" t="inlineStr">
        <is>
          <t>카페24</t>
        </is>
      </c>
      <c r="G4882" s="5" t="inlineStr">
        <is>
          <t>250ml</t>
        </is>
      </c>
      <c r="H4882" s="7" t="n">
        <v>190801</v>
      </c>
      <c r="I4882" s="7" t="n">
        <v>190801</v>
      </c>
      <c r="J4882" s="94" t="n"/>
      <c r="K4882" s="149" t="n">
        <v>111</v>
      </c>
      <c r="L4882" s="7" t="n">
        <v>190801</v>
      </c>
      <c r="M4882" s="94">
        <f>VLOOKUP($Q4882,매칭테이블!$F:$I,2,0)*K4882</f>
        <v/>
      </c>
      <c r="N4882" s="94">
        <f>M4882-M4882*VLOOKUP($Q4882,매칭테이블!$F:$I,3,0)</f>
        <v/>
      </c>
      <c r="O4882" s="94">
        <f>VLOOKUP($Q4882,매칭테이블!$F:$I,4,0)*K4882</f>
        <v/>
      </c>
      <c r="P4882" s="148">
        <f>M4882/1.1</f>
        <v/>
      </c>
      <c r="Q4882" s="94">
        <f>F4882&amp;E4882&amp;G4882&amp;L4882</f>
        <v/>
      </c>
    </row>
    <row r="4883">
      <c r="A4883" s="94" t="n"/>
      <c r="B4883" s="128" t="n">
        <v>43892</v>
      </c>
      <c r="C4883" s="94">
        <f>TEXT(B4883,"aaa")</f>
        <v/>
      </c>
      <c r="D4883" s="94" t="n"/>
      <c r="E4883" s="6" t="inlineStr">
        <is>
          <t>토너</t>
        </is>
      </c>
      <c r="F4883" s="5" t="inlineStr">
        <is>
          <t>카페24</t>
        </is>
      </c>
      <c r="G4883" s="5" t="inlineStr">
        <is>
          <t>250ml 2set</t>
        </is>
      </c>
      <c r="H4883" s="7" t="n">
        <v>190801</v>
      </c>
      <c r="I4883" s="7" t="n">
        <v>190801</v>
      </c>
      <c r="J4883" s="94" t="n"/>
      <c r="K4883" s="149" t="n">
        <v>118</v>
      </c>
      <c r="L4883" s="7" t="n">
        <v>190801</v>
      </c>
      <c r="M4883" s="94">
        <f>VLOOKUP($Q4883,매칭테이블!$F:$I,2,0)*K4883</f>
        <v/>
      </c>
      <c r="N4883" s="94">
        <f>M4883-M4883*VLOOKUP($Q4883,매칭테이블!$F:$I,3,0)</f>
        <v/>
      </c>
      <c r="O4883" s="94">
        <f>VLOOKUP($Q4883,매칭테이블!$F:$I,4,0)*K4883</f>
        <v/>
      </c>
      <c r="P4883" s="148">
        <f>M4883/1.1</f>
        <v/>
      </c>
      <c r="Q4883" s="94">
        <f>F4883&amp;E4883&amp;G4883&amp;L4883</f>
        <v/>
      </c>
    </row>
    <row r="4884">
      <c r="A4884" s="94" t="n"/>
      <c r="B4884" s="128" t="n">
        <v>43892</v>
      </c>
      <c r="C4884" s="94">
        <f>TEXT(B4884,"aaa")</f>
        <v/>
      </c>
      <c r="D4884" s="94" t="n"/>
      <c r="E4884" s="6" t="inlineStr">
        <is>
          <t>토너</t>
        </is>
      </c>
      <c r="F4884" s="5" t="inlineStr">
        <is>
          <t>카페24</t>
        </is>
      </c>
      <c r="G4884" s="5" t="inlineStr">
        <is>
          <t>500ml</t>
        </is>
      </c>
      <c r="H4884" s="7" t="n">
        <v>190801</v>
      </c>
      <c r="I4884" s="7" t="n">
        <v>190801</v>
      </c>
      <c r="J4884" s="94" t="n"/>
      <c r="K4884" s="149" t="n">
        <v>1</v>
      </c>
      <c r="L4884" s="7" t="n">
        <v>190801</v>
      </c>
      <c r="M4884" s="94">
        <f>VLOOKUP($Q4884,매칭테이블!$F:$I,2,0)*K4884</f>
        <v/>
      </c>
      <c r="N4884" s="94">
        <f>M4884-M4884*VLOOKUP($Q4884,매칭테이블!$F:$I,3,0)</f>
        <v/>
      </c>
      <c r="O4884" s="94">
        <f>VLOOKUP($Q4884,매칭테이블!$F:$I,4,0)*K4884</f>
        <v/>
      </c>
      <c r="P4884" s="148">
        <f>M4884/1.1</f>
        <v/>
      </c>
      <c r="Q4884" s="94">
        <f>F4884&amp;E4884&amp;G4884&amp;L4884</f>
        <v/>
      </c>
    </row>
    <row r="4885">
      <c r="A4885" s="94" t="n"/>
      <c r="B4885" s="128" t="n">
        <v>43892</v>
      </c>
      <c r="C4885" s="94">
        <f>TEXT(B4885,"aaa")</f>
        <v/>
      </c>
      <c r="D4885" s="94" t="n"/>
      <c r="E4885" s="6" t="inlineStr">
        <is>
          <t>토너</t>
        </is>
      </c>
      <c r="F4885" s="5" t="inlineStr">
        <is>
          <t>카페24</t>
        </is>
      </c>
      <c r="G4885" s="94" t="inlineStr">
        <is>
          <t>스킨팩 화장솜 60P</t>
        </is>
      </c>
      <c r="H4885" s="7" t="n">
        <v>190801</v>
      </c>
      <c r="I4885" s="7" t="n">
        <v>190801</v>
      </c>
      <c r="J4885" s="94" t="n"/>
      <c r="K4885" s="149" t="n">
        <v>61</v>
      </c>
      <c r="L4885" s="7" t="n">
        <v>190801</v>
      </c>
      <c r="M4885" s="94">
        <f>VLOOKUP($Q4885,매칭테이블!$F:$I,2,0)*K4885</f>
        <v/>
      </c>
      <c r="N4885" s="94">
        <f>M4885-M4885*VLOOKUP($Q4885,매칭테이블!$F:$I,3,0)</f>
        <v/>
      </c>
      <c r="O4885" s="94">
        <f>VLOOKUP($Q4885,매칭테이블!$F:$I,4,0)*K4885</f>
        <v/>
      </c>
      <c r="P4885" s="148">
        <f>M4885/1.1</f>
        <v/>
      </c>
      <c r="Q4885" s="94">
        <f>F4885&amp;E4885&amp;G4885&amp;L4885</f>
        <v/>
      </c>
    </row>
    <row r="4886">
      <c r="A4886" s="94" t="n"/>
      <c r="B4886" s="128" t="n">
        <v>43892</v>
      </c>
      <c r="C4886" s="94">
        <f>TEXT(B4886,"aaa")</f>
        <v/>
      </c>
      <c r="D4886" s="94" t="n"/>
      <c r="E4886" s="94" t="inlineStr">
        <is>
          <t>클렌징폼</t>
        </is>
      </c>
      <c r="F4886" s="5" t="inlineStr">
        <is>
          <t>카페24</t>
        </is>
      </c>
      <c r="G4886" s="94" t="inlineStr">
        <is>
          <t>클렌징폼 120ml</t>
        </is>
      </c>
      <c r="H4886" s="7" t="n">
        <v>190801</v>
      </c>
      <c r="I4886" s="7" t="n">
        <v>190801</v>
      </c>
      <c r="J4886" s="94" t="n"/>
      <c r="K4886" s="149" t="n">
        <v>21</v>
      </c>
      <c r="L4886" s="7" t="n">
        <v>190801</v>
      </c>
      <c r="M4886" s="94">
        <f>VLOOKUP($Q4886,매칭테이블!$F:$I,2,0)*K4886</f>
        <v/>
      </c>
      <c r="N4886" s="94">
        <f>M4886-M4886*VLOOKUP($Q4886,매칭테이블!$F:$I,3,0)</f>
        <v/>
      </c>
      <c r="O4886" s="94">
        <f>VLOOKUP($Q4886,매칭테이블!$F:$I,4,0)*K4886</f>
        <v/>
      </c>
      <c r="P4886" s="148">
        <f>M4886/1.1</f>
        <v/>
      </c>
      <c r="Q4886" s="94">
        <f>F4886&amp;E4886&amp;G4886&amp;L4886</f>
        <v/>
      </c>
    </row>
    <row r="4887">
      <c r="A4887" s="94" t="n"/>
      <c r="B4887" s="128" t="n">
        <v>43892</v>
      </c>
      <c r="C4887" s="94">
        <f>TEXT(B4887,"aaa")</f>
        <v/>
      </c>
      <c r="D4887" s="94" t="n"/>
      <c r="E4887" s="94" t="inlineStr">
        <is>
          <t>클렌징폼</t>
        </is>
      </c>
      <c r="F4887" s="94" t="inlineStr">
        <is>
          <t>카페24</t>
        </is>
      </c>
      <c r="G4887" s="94" t="inlineStr">
        <is>
          <t>클렌징폼 120ml 2set</t>
        </is>
      </c>
      <c r="H4887" s="7" t="n">
        <v>190801</v>
      </c>
      <c r="I4887" s="7" t="n">
        <v>190801</v>
      </c>
      <c r="J4887" s="94" t="n"/>
      <c r="K4887" s="149" t="n">
        <v>1</v>
      </c>
      <c r="L4887" s="7" t="n">
        <v>190801</v>
      </c>
      <c r="M4887" s="94">
        <f>VLOOKUP($Q4887,매칭테이블!$F:$I,2,0)*K4887</f>
        <v/>
      </c>
      <c r="N4887" s="94">
        <f>M4887-M4887*VLOOKUP($Q4887,매칭테이블!$F:$I,3,0)</f>
        <v/>
      </c>
      <c r="O4887" s="94">
        <f>VLOOKUP($Q4887,매칭테이블!$F:$I,4,0)*K4887</f>
        <v/>
      </c>
      <c r="P4887" s="148">
        <f>M4887/1.1</f>
        <v/>
      </c>
      <c r="Q4887" s="94">
        <f>F4887&amp;E4887&amp;G4887&amp;L4887</f>
        <v/>
      </c>
    </row>
    <row r="4888">
      <c r="A4888" s="94" t="n"/>
      <c r="B4888" s="128" t="n">
        <v>43892</v>
      </c>
      <c r="C4888" s="94">
        <f>TEXT(B4888,"aaa")</f>
        <v/>
      </c>
      <c r="D4888" s="94" t="n"/>
      <c r="E4888" s="94" t="inlineStr">
        <is>
          <t>클렌징폼</t>
        </is>
      </c>
      <c r="F4888" s="94" t="inlineStr">
        <is>
          <t>카페24</t>
        </is>
      </c>
      <c r="G4888" s="94" t="inlineStr">
        <is>
          <t>클렌징폼 120ml 3set</t>
        </is>
      </c>
      <c r="H4888" s="7" t="n">
        <v>190801</v>
      </c>
      <c r="I4888" s="7" t="n">
        <v>190801</v>
      </c>
      <c r="J4888" s="94" t="n"/>
      <c r="K4888" s="149" t="n">
        <v>1</v>
      </c>
      <c r="L4888" s="7" t="n">
        <v>190801</v>
      </c>
      <c r="M4888" s="94">
        <f>VLOOKUP($Q4888,매칭테이블!$F:$I,2,0)*K4888</f>
        <v/>
      </c>
      <c r="N4888" s="94">
        <f>M4888-M4888*VLOOKUP($Q4888,매칭테이블!$F:$I,3,0)</f>
        <v/>
      </c>
      <c r="O4888" s="94">
        <f>VLOOKUP($Q4888,매칭테이블!$F:$I,4,0)*K4888</f>
        <v/>
      </c>
      <c r="P4888" s="148">
        <f>M4888/1.1</f>
        <v/>
      </c>
      <c r="Q4888" s="94">
        <f>F4888&amp;E4888&amp;G4888&amp;L4888</f>
        <v/>
      </c>
    </row>
    <row r="4889">
      <c r="A4889" s="94" t="n"/>
      <c r="B4889" s="128" t="n">
        <v>43892</v>
      </c>
      <c r="C4889" s="94">
        <f>TEXT(B4889,"aaa")</f>
        <v/>
      </c>
      <c r="D4889" s="94" t="n"/>
      <c r="E4889" s="94" t="inlineStr">
        <is>
          <t>토너</t>
        </is>
      </c>
      <c r="F4889" s="94" t="inlineStr">
        <is>
          <t>큐텐</t>
        </is>
      </c>
      <c r="G4889" s="94" t="inlineStr">
        <is>
          <t>250ml</t>
        </is>
      </c>
      <c r="H4889" s="7" t="n">
        <v>190801</v>
      </c>
      <c r="I4889" s="7" t="n">
        <v>190801</v>
      </c>
      <c r="J4889" s="94" t="n"/>
      <c r="K4889" s="149" t="n">
        <v>37</v>
      </c>
      <c r="L4889" s="92" t="n">
        <v>190801</v>
      </c>
      <c r="M4889" s="94">
        <f>VLOOKUP($Q4889,매칭테이블!$F:$I,2,0)*K4889</f>
        <v/>
      </c>
      <c r="N4889" s="94">
        <f>M4889-M4889*VLOOKUP($Q4889,매칭테이블!$F:$I,3,0)</f>
        <v/>
      </c>
      <c r="O4889" s="94">
        <f>VLOOKUP($Q4889,매칭테이블!$F:$I,4,0)*K4889</f>
        <v/>
      </c>
      <c r="P4889" s="148">
        <f>M4889/1.1</f>
        <v/>
      </c>
      <c r="Q4889" s="94">
        <f>F4889&amp;E4889&amp;G4889&amp;L4889</f>
        <v/>
      </c>
    </row>
    <row r="4890">
      <c r="A4890" s="94" t="n"/>
      <c r="B4890" s="128" t="n">
        <v>43892</v>
      </c>
      <c r="C4890" s="94">
        <f>TEXT(B4890,"aaa")</f>
        <v/>
      </c>
      <c r="D4890" s="94" t="n"/>
      <c r="E4890" s="94" t="inlineStr">
        <is>
          <t>토너</t>
        </is>
      </c>
      <c r="F4890" s="94" t="inlineStr">
        <is>
          <t>큐텐</t>
        </is>
      </c>
      <c r="G4890" s="94" t="inlineStr">
        <is>
          <t>250ml 2set</t>
        </is>
      </c>
      <c r="H4890" s="7" t="n">
        <v>190801</v>
      </c>
      <c r="I4890" s="7" t="n">
        <v>190801</v>
      </c>
      <c r="J4890" s="94" t="n"/>
      <c r="K4890" s="149" t="n">
        <v>10</v>
      </c>
      <c r="L4890" s="92" t="n">
        <v>190801</v>
      </c>
      <c r="M4890" s="94">
        <f>VLOOKUP($Q4890,매칭테이블!$F:$I,2,0)*K4890</f>
        <v/>
      </c>
      <c r="N4890" s="94">
        <f>M4890-M4890*VLOOKUP($Q4890,매칭테이블!$F:$I,3,0)</f>
        <v/>
      </c>
      <c r="O4890" s="94">
        <f>VLOOKUP($Q4890,매칭테이블!$F:$I,4,0)*K4890</f>
        <v/>
      </c>
      <c r="P4890" s="148">
        <f>M4890/1.1</f>
        <v/>
      </c>
      <c r="Q4890" s="94">
        <f>F4890&amp;E4890&amp;G4890&amp;L4890</f>
        <v/>
      </c>
    </row>
    <row r="4891">
      <c r="A4891" s="94" t="n"/>
      <c r="B4891" s="128" t="n">
        <v>43892</v>
      </c>
      <c r="C4891" s="94">
        <f>TEXT(B4891,"aaa")</f>
        <v/>
      </c>
      <c r="D4891" s="94" t="n"/>
      <c r="E4891" s="94" t="inlineStr">
        <is>
          <t>머드크림마스크</t>
        </is>
      </c>
      <c r="F4891" s="94" t="inlineStr">
        <is>
          <t>큐텐</t>
        </is>
      </c>
      <c r="G4891" s="94" t="inlineStr">
        <is>
          <t>머드크림마스크 100ml</t>
        </is>
      </c>
      <c r="H4891" s="7" t="n">
        <v>190801</v>
      </c>
      <c r="I4891" s="7" t="n">
        <v>190801</v>
      </c>
      <c r="J4891" s="94" t="n"/>
      <c r="K4891" s="149" t="n">
        <v>2</v>
      </c>
      <c r="L4891" s="94" t="n">
        <v>190801</v>
      </c>
      <c r="M4891" s="94">
        <f>VLOOKUP($Q4891,매칭테이블!$F:$I,2,0)*K4891</f>
        <v/>
      </c>
      <c r="N4891" s="94">
        <f>M4891-M4891*VLOOKUP($Q4891,매칭테이블!$F:$I,3,0)</f>
        <v/>
      </c>
      <c r="O4891" s="94">
        <f>VLOOKUP($Q4891,매칭테이블!$F:$I,4,0)*K4891</f>
        <v/>
      </c>
      <c r="P4891" s="148">
        <f>M4891/1.1</f>
        <v/>
      </c>
      <c r="Q4891" s="94">
        <f>F4891&amp;E4891&amp;G4891&amp;L4891</f>
        <v/>
      </c>
    </row>
    <row r="4892">
      <c r="A4892" s="94" t="n"/>
      <c r="B4892" s="128" t="n">
        <v>43893</v>
      </c>
      <c r="C4892" s="94">
        <f>TEXT(B4892,"aaa")</f>
        <v/>
      </c>
      <c r="D4892" s="94" t="n"/>
      <c r="E4892" s="6" t="inlineStr">
        <is>
          <t>토너</t>
        </is>
      </c>
      <c r="F4892" s="5" t="inlineStr">
        <is>
          <t>W컨셉</t>
        </is>
      </c>
      <c r="G4892" s="5" t="inlineStr">
        <is>
          <t>250ml</t>
        </is>
      </c>
      <c r="H4892" s="7" t="n">
        <v>190801</v>
      </c>
      <c r="I4892" s="7" t="n">
        <v>190801</v>
      </c>
      <c r="J4892" s="94" t="n"/>
      <c r="K4892" s="149" t="n">
        <v>4</v>
      </c>
      <c r="L4892" s="7" t="n">
        <v>190801</v>
      </c>
      <c r="M4892" s="94">
        <f>VLOOKUP($Q4892,매칭테이블!$F:$I,2,0)*K4892</f>
        <v/>
      </c>
      <c r="N4892" s="94">
        <f>M4892-M4892*VLOOKUP($Q4892,매칭테이블!$F:$I,3,0)</f>
        <v/>
      </c>
      <c r="O4892" s="94">
        <f>VLOOKUP($Q4892,매칭테이블!$F:$I,4,0)*K4892</f>
        <v/>
      </c>
      <c r="P4892" s="148">
        <f>M4892/1.1</f>
        <v/>
      </c>
      <c r="Q4892" s="94">
        <f>F4892&amp;E4892&amp;G4892&amp;L4892</f>
        <v/>
      </c>
    </row>
    <row r="4893">
      <c r="A4893" s="94" t="n"/>
      <c r="B4893" s="128" t="n">
        <v>43893</v>
      </c>
      <c r="C4893" s="94">
        <f>TEXT(B4893,"aaa")</f>
        <v/>
      </c>
      <c r="D4893" s="94" t="n"/>
      <c r="E4893" s="6" t="inlineStr">
        <is>
          <t>토너</t>
        </is>
      </c>
      <c r="F4893" s="5" t="inlineStr">
        <is>
          <t>W컨셉</t>
        </is>
      </c>
      <c r="G4893" s="5" t="inlineStr">
        <is>
          <t>250ml 2set</t>
        </is>
      </c>
      <c r="H4893" s="7" t="n">
        <v>190801</v>
      </c>
      <c r="I4893" s="7" t="n">
        <v>190801</v>
      </c>
      <c r="J4893" s="94" t="n"/>
      <c r="K4893" s="149" t="n">
        <v>22</v>
      </c>
      <c r="L4893" s="7" t="n">
        <v>190801</v>
      </c>
      <c r="M4893" s="94">
        <f>VLOOKUP($Q4893,매칭테이블!$F:$I,2,0)*K4893</f>
        <v/>
      </c>
      <c r="N4893" s="94">
        <f>M4893-M4893*VLOOKUP($Q4893,매칭테이블!$F:$I,3,0)</f>
        <v/>
      </c>
      <c r="O4893" s="94">
        <f>VLOOKUP($Q4893,매칭테이블!$F:$I,4,0)*K4893</f>
        <v/>
      </c>
      <c r="P4893" s="148">
        <f>M4893/1.1</f>
        <v/>
      </c>
      <c r="Q4893" s="94">
        <f>F4893&amp;E4893&amp;G4893&amp;L4893</f>
        <v/>
      </c>
    </row>
    <row r="4894">
      <c r="A4894" s="94" t="n"/>
      <c r="B4894" s="128" t="n">
        <v>43893</v>
      </c>
      <c r="C4894" s="94">
        <f>TEXT(B4894,"aaa")</f>
        <v/>
      </c>
      <c r="D4894" s="94" t="n"/>
      <c r="E4894" s="94" t="inlineStr">
        <is>
          <t>토너</t>
        </is>
      </c>
      <c r="F4894" s="5" t="inlineStr">
        <is>
          <t>스타일쉐어</t>
        </is>
      </c>
      <c r="G4894" s="94" t="inlineStr">
        <is>
          <t>250ml</t>
        </is>
      </c>
      <c r="H4894" s="7" t="n">
        <v>190801</v>
      </c>
      <c r="I4894" s="7" t="n">
        <v>190801</v>
      </c>
      <c r="J4894" s="94" t="n"/>
      <c r="K4894" s="149" t="n">
        <v>55</v>
      </c>
      <c r="L4894" s="92" t="n">
        <v>190801</v>
      </c>
      <c r="M4894" s="94">
        <f>VLOOKUP($Q4894,매칭테이블!$F:$I,2,0)*K4894</f>
        <v/>
      </c>
      <c r="N4894" s="94">
        <f>M4894-M4894*VLOOKUP($Q4894,매칭테이블!$F:$I,3,0)</f>
        <v/>
      </c>
      <c r="O4894" s="94">
        <f>VLOOKUP($Q4894,매칭테이블!$F:$I,4,0)*K4894</f>
        <v/>
      </c>
      <c r="P4894" s="148">
        <f>M4894/1.1</f>
        <v/>
      </c>
      <c r="Q4894" s="94">
        <f>F4894&amp;E4894&amp;G4894&amp;L4894</f>
        <v/>
      </c>
    </row>
    <row r="4895">
      <c r="A4895" s="94" t="n"/>
      <c r="B4895" s="128" t="n">
        <v>43893</v>
      </c>
      <c r="C4895" s="94">
        <f>TEXT(B4895,"aaa")</f>
        <v/>
      </c>
      <c r="D4895" s="94" t="n"/>
      <c r="E4895" s="94" t="inlineStr">
        <is>
          <t>화장솜</t>
        </is>
      </c>
      <c r="F4895" s="94" t="inlineStr">
        <is>
          <t>아누아 CS</t>
        </is>
      </c>
      <c r="G4895" s="94" t="inlineStr">
        <is>
          <t>스킨팩 화장솜 60P</t>
        </is>
      </c>
      <c r="H4895" s="7" t="n">
        <v>190801</v>
      </c>
      <c r="I4895" s="7" t="n">
        <v>190801</v>
      </c>
      <c r="J4895" s="94" t="n"/>
      <c r="K4895" s="149" t="n">
        <v>500</v>
      </c>
      <c r="L4895" s="94" t="n">
        <v>190801</v>
      </c>
      <c r="M4895" s="94">
        <f>VLOOKUP($Q4895,매칭테이블!$F:$I,2,0)*K4895</f>
        <v/>
      </c>
      <c r="N4895" s="94">
        <f>M4895-M4895*VLOOKUP($Q4895,매칭테이블!$F:$I,3,0)</f>
        <v/>
      </c>
      <c r="O4895" s="94">
        <f>VLOOKUP($Q4895,매칭테이블!$F:$I,4,0)*K4895</f>
        <v/>
      </c>
      <c r="P4895" s="148">
        <f>M4895/1.1</f>
        <v/>
      </c>
      <c r="Q4895" s="94">
        <f>F4895&amp;E4895&amp;G4895&amp;L4895</f>
        <v/>
      </c>
    </row>
    <row r="4896">
      <c r="A4896" s="94" t="n"/>
      <c r="B4896" s="128" t="n">
        <v>43893</v>
      </c>
      <c r="C4896" s="94">
        <f>TEXT(B4896,"aaa")</f>
        <v/>
      </c>
      <c r="D4896" s="94" t="n"/>
      <c r="E4896" s="94" t="inlineStr">
        <is>
          <t>토너</t>
        </is>
      </c>
      <c r="F4896" s="94" t="inlineStr">
        <is>
          <t>아누아 CS</t>
        </is>
      </c>
      <c r="G4896" s="94" t="inlineStr">
        <is>
          <t>40ml</t>
        </is>
      </c>
      <c r="H4896" s="7" t="n">
        <v>190801</v>
      </c>
      <c r="I4896" s="7" t="n">
        <v>190801</v>
      </c>
      <c r="J4896" s="94" t="n"/>
      <c r="K4896" s="149" t="n">
        <v>500</v>
      </c>
      <c r="L4896" s="94" t="n">
        <v>190801</v>
      </c>
      <c r="M4896" s="94">
        <f>VLOOKUP($Q4896,매칭테이블!$F:$I,2,0)*K4896</f>
        <v/>
      </c>
      <c r="N4896" s="94">
        <f>M4896-M4896*VLOOKUP($Q4896,매칭테이블!$F:$I,3,0)</f>
        <v/>
      </c>
      <c r="O4896" s="94">
        <f>VLOOKUP($Q4896,매칭테이블!$F:$I,4,0)*K4896</f>
        <v/>
      </c>
      <c r="P4896" s="148">
        <f>M4896/1.1</f>
        <v/>
      </c>
      <c r="Q4896" s="94">
        <f>F4896&amp;E4896&amp;G4896&amp;L4896</f>
        <v/>
      </c>
    </row>
    <row r="4897">
      <c r="A4897" s="94" t="n"/>
      <c r="B4897" s="128" t="n">
        <v>43893</v>
      </c>
      <c r="C4897" s="94">
        <f>TEXT(B4897,"aaa")</f>
        <v/>
      </c>
      <c r="D4897" s="94" t="n"/>
      <c r="E4897" s="6" t="inlineStr">
        <is>
          <t>토너</t>
        </is>
      </c>
      <c r="F4897" s="94" t="inlineStr">
        <is>
          <t>아누아 CS</t>
        </is>
      </c>
      <c r="G4897" s="5" t="inlineStr">
        <is>
          <t>500ml</t>
        </is>
      </c>
      <c r="H4897" s="7" t="n">
        <v>190801</v>
      </c>
      <c r="I4897" s="7" t="n">
        <v>190801</v>
      </c>
      <c r="J4897" s="94" t="n"/>
      <c r="K4897" s="149" t="n">
        <v>2</v>
      </c>
      <c r="L4897" s="7" t="n">
        <v>190801</v>
      </c>
      <c r="M4897" s="94">
        <f>VLOOKUP($Q4897,매칭테이블!$F:$I,2,0)*K4897</f>
        <v/>
      </c>
      <c r="N4897" s="94">
        <f>M4897-M4897*VLOOKUP($Q4897,매칭테이블!$F:$I,3,0)</f>
        <v/>
      </c>
      <c r="O4897" s="94">
        <f>VLOOKUP($Q4897,매칭테이블!$F:$I,4,0)*K4897</f>
        <v/>
      </c>
      <c r="P4897" s="148">
        <f>M4897/1.1</f>
        <v/>
      </c>
      <c r="Q4897" s="94">
        <f>F4897&amp;E4897&amp;G4897&amp;L4897</f>
        <v/>
      </c>
    </row>
    <row r="4898">
      <c r="A4898" s="94" t="n"/>
      <c r="B4898" s="128" t="n">
        <v>43893</v>
      </c>
      <c r="C4898" s="94">
        <f>TEXT(B4898,"aaa")</f>
        <v/>
      </c>
      <c r="D4898" s="94" t="n"/>
      <c r="E4898" s="94" t="inlineStr">
        <is>
          <t>머드크림마스크</t>
        </is>
      </c>
      <c r="F4898" s="94" t="inlineStr">
        <is>
          <t>카페24</t>
        </is>
      </c>
      <c r="G4898" s="94" t="inlineStr">
        <is>
          <t>머드크림마스크 100ml</t>
        </is>
      </c>
      <c r="H4898" s="7" t="n">
        <v>190801</v>
      </c>
      <c r="I4898" s="7" t="n">
        <v>190801</v>
      </c>
      <c r="J4898" s="94" t="n"/>
      <c r="K4898" s="149" t="n">
        <v>17</v>
      </c>
      <c r="L4898" s="94" t="n">
        <v>190801</v>
      </c>
      <c r="M4898" s="94">
        <f>VLOOKUP($Q4898,매칭테이블!$F:$I,2,0)*K4898</f>
        <v/>
      </c>
      <c r="N4898" s="94">
        <f>M4898-M4898*VLOOKUP($Q4898,매칭테이블!$F:$I,3,0)</f>
        <v/>
      </c>
      <c r="O4898" s="94">
        <f>VLOOKUP($Q4898,매칭테이블!$F:$I,4,0)*K4898</f>
        <v/>
      </c>
      <c r="P4898" s="148">
        <f>M4898/1.1</f>
        <v/>
      </c>
      <c r="Q4898" s="94">
        <f>F4898&amp;E4898&amp;G4898&amp;L4898</f>
        <v/>
      </c>
    </row>
    <row r="4899">
      <c r="A4899" s="94" t="n"/>
      <c r="B4899" s="128" t="n">
        <v>43893</v>
      </c>
      <c r="C4899" s="94">
        <f>TEXT(B4899,"aaa")</f>
        <v/>
      </c>
      <c r="D4899" s="94" t="n"/>
      <c r="E4899" s="94" t="inlineStr">
        <is>
          <t>머드크림마스크</t>
        </is>
      </c>
      <c r="F4899" s="94" t="inlineStr">
        <is>
          <t>카페24</t>
        </is>
      </c>
      <c r="G4899" s="94" t="inlineStr">
        <is>
          <t>머드크림마스크 100ml 2set</t>
        </is>
      </c>
      <c r="H4899" s="7" t="n">
        <v>190801</v>
      </c>
      <c r="I4899" s="7" t="n">
        <v>190801</v>
      </c>
      <c r="J4899" s="94" t="n"/>
      <c r="K4899" s="149" t="n">
        <v>2</v>
      </c>
      <c r="L4899" s="94" t="n">
        <v>190801</v>
      </c>
      <c r="M4899" s="94">
        <f>VLOOKUP($Q4899,매칭테이블!$F:$I,2,0)*K4899</f>
        <v/>
      </c>
      <c r="N4899" s="94">
        <f>M4899-M4899*VLOOKUP($Q4899,매칭테이블!$F:$I,3,0)</f>
        <v/>
      </c>
      <c r="O4899" s="94">
        <f>VLOOKUP($Q4899,매칭테이블!$F:$I,4,0)*K4899</f>
        <v/>
      </c>
      <c r="P4899" s="148">
        <f>M4899/1.1</f>
        <v/>
      </c>
      <c r="Q4899" s="94">
        <f>F4899&amp;E4899&amp;G4899&amp;L4899</f>
        <v/>
      </c>
    </row>
    <row r="4900">
      <c r="A4900" s="94" t="n"/>
      <c r="B4900" s="128" t="n">
        <v>43893</v>
      </c>
      <c r="C4900" s="94">
        <f>TEXT(B4900,"aaa")</f>
        <v/>
      </c>
      <c r="D4900" s="94" t="n"/>
      <c r="E4900" s="6" t="inlineStr">
        <is>
          <t>토너</t>
        </is>
      </c>
      <c r="F4900" s="5" t="inlineStr">
        <is>
          <t>카페24</t>
        </is>
      </c>
      <c r="G4900" s="5" t="inlineStr">
        <is>
          <t>250ml</t>
        </is>
      </c>
      <c r="H4900" s="7" t="n">
        <v>190801</v>
      </c>
      <c r="I4900" s="7" t="n">
        <v>190801</v>
      </c>
      <c r="J4900" s="94" t="n"/>
      <c r="K4900" s="149" t="n">
        <v>121</v>
      </c>
      <c r="L4900" s="7" t="n">
        <v>190801</v>
      </c>
      <c r="M4900" s="94">
        <f>VLOOKUP($Q4900,매칭테이블!$F:$I,2,0)*K4900</f>
        <v/>
      </c>
      <c r="N4900" s="94">
        <f>M4900-M4900*VLOOKUP($Q4900,매칭테이블!$F:$I,3,0)</f>
        <v/>
      </c>
      <c r="O4900" s="94">
        <f>VLOOKUP($Q4900,매칭테이블!$F:$I,4,0)*K4900</f>
        <v/>
      </c>
      <c r="P4900" s="148">
        <f>M4900/1.1</f>
        <v/>
      </c>
      <c r="Q4900" s="94">
        <f>F4900&amp;E4900&amp;G4900&amp;L4900</f>
        <v/>
      </c>
    </row>
    <row r="4901">
      <c r="A4901" s="94" t="n"/>
      <c r="B4901" s="128" t="n">
        <v>43893</v>
      </c>
      <c r="C4901" s="94">
        <f>TEXT(B4901,"aaa")</f>
        <v/>
      </c>
      <c r="D4901" s="94" t="n"/>
      <c r="E4901" s="6" t="inlineStr">
        <is>
          <t>토너</t>
        </is>
      </c>
      <c r="F4901" s="5" t="inlineStr">
        <is>
          <t>카페24</t>
        </is>
      </c>
      <c r="G4901" s="5" t="inlineStr">
        <is>
          <t>250ml 2set</t>
        </is>
      </c>
      <c r="H4901" s="7" t="n">
        <v>190801</v>
      </c>
      <c r="I4901" s="7" t="n">
        <v>190801</v>
      </c>
      <c r="J4901" s="94" t="n"/>
      <c r="K4901" s="149" t="n">
        <v>155</v>
      </c>
      <c r="L4901" s="7" t="n">
        <v>190801</v>
      </c>
      <c r="M4901" s="94">
        <f>VLOOKUP($Q4901,매칭테이블!$F:$I,2,0)*K4901</f>
        <v/>
      </c>
      <c r="N4901" s="94">
        <f>M4901-M4901*VLOOKUP($Q4901,매칭테이블!$F:$I,3,0)</f>
        <v/>
      </c>
      <c r="O4901" s="94">
        <f>VLOOKUP($Q4901,매칭테이블!$F:$I,4,0)*K4901</f>
        <v/>
      </c>
      <c r="P4901" s="148">
        <f>M4901/1.1</f>
        <v/>
      </c>
      <c r="Q4901" s="94">
        <f>F4901&amp;E4901&amp;G4901&amp;L4901</f>
        <v/>
      </c>
    </row>
    <row r="4902">
      <c r="A4902" s="94" t="n"/>
      <c r="B4902" s="128" t="n">
        <v>43893</v>
      </c>
      <c r="C4902" s="94">
        <f>TEXT(B4902,"aaa")</f>
        <v/>
      </c>
      <c r="D4902" s="94" t="n"/>
      <c r="E4902" s="6" t="inlineStr">
        <is>
          <t>토너</t>
        </is>
      </c>
      <c r="F4902" s="5" t="inlineStr">
        <is>
          <t>카페24</t>
        </is>
      </c>
      <c r="G4902" s="5" t="inlineStr">
        <is>
          <t>500ml</t>
        </is>
      </c>
      <c r="H4902" s="7" t="n">
        <v>190801</v>
      </c>
      <c r="I4902" s="7" t="n">
        <v>190801</v>
      </c>
      <c r="J4902" s="94" t="n"/>
      <c r="K4902" s="149" t="n">
        <v>1</v>
      </c>
      <c r="L4902" s="7" t="n">
        <v>190801</v>
      </c>
      <c r="M4902" s="94">
        <f>VLOOKUP($Q4902,매칭테이블!$F:$I,2,0)*K4902</f>
        <v/>
      </c>
      <c r="N4902" s="94">
        <f>M4902-M4902*VLOOKUP($Q4902,매칭테이블!$F:$I,3,0)</f>
        <v/>
      </c>
      <c r="O4902" s="94">
        <f>VLOOKUP($Q4902,매칭테이블!$F:$I,4,0)*K4902</f>
        <v/>
      </c>
      <c r="P4902" s="148">
        <f>M4902/1.1</f>
        <v/>
      </c>
      <c r="Q4902" s="94">
        <f>F4902&amp;E4902&amp;G4902&amp;L4902</f>
        <v/>
      </c>
    </row>
    <row r="4903">
      <c r="A4903" s="94" t="n"/>
      <c r="B4903" s="128" t="n">
        <v>43893</v>
      </c>
      <c r="C4903" s="94">
        <f>TEXT(B4903,"aaa")</f>
        <v/>
      </c>
      <c r="D4903" s="94" t="n"/>
      <c r="E4903" s="6" t="inlineStr">
        <is>
          <t>토너</t>
        </is>
      </c>
      <c r="F4903" s="5" t="inlineStr">
        <is>
          <t>카페24</t>
        </is>
      </c>
      <c r="G4903" s="94" t="inlineStr">
        <is>
          <t>스킨팩 화장솜 60P</t>
        </is>
      </c>
      <c r="H4903" s="7" t="n">
        <v>190801</v>
      </c>
      <c r="I4903" s="7" t="n">
        <v>190801</v>
      </c>
      <c r="J4903" s="94" t="n"/>
      <c r="K4903" s="149" t="n">
        <v>75</v>
      </c>
      <c r="L4903" s="7" t="n">
        <v>190801</v>
      </c>
      <c r="M4903" s="94">
        <f>VLOOKUP($Q4903,매칭테이블!$F:$I,2,0)*K4903</f>
        <v/>
      </c>
      <c r="N4903" s="94">
        <f>M4903-M4903*VLOOKUP($Q4903,매칭테이블!$F:$I,3,0)</f>
        <v/>
      </c>
      <c r="O4903" s="94">
        <f>VLOOKUP($Q4903,매칭테이블!$F:$I,4,0)*K4903</f>
        <v/>
      </c>
      <c r="P4903" s="148">
        <f>M4903/1.1</f>
        <v/>
      </c>
      <c r="Q4903" s="94">
        <f>F4903&amp;E4903&amp;G4903&amp;L4903</f>
        <v/>
      </c>
    </row>
    <row r="4904">
      <c r="A4904" s="94" t="n"/>
      <c r="B4904" s="128" t="n">
        <v>43893</v>
      </c>
      <c r="C4904" s="94">
        <f>TEXT(B4904,"aaa")</f>
        <v/>
      </c>
      <c r="D4904" s="94" t="n"/>
      <c r="E4904" s="94" t="inlineStr">
        <is>
          <t>클렌징폼</t>
        </is>
      </c>
      <c r="F4904" s="5" t="inlineStr">
        <is>
          <t>카페24</t>
        </is>
      </c>
      <c r="G4904" s="94" t="inlineStr">
        <is>
          <t>클렌징폼 120ml</t>
        </is>
      </c>
      <c r="H4904" s="7" t="n">
        <v>190801</v>
      </c>
      <c r="I4904" s="7" t="n">
        <v>190801</v>
      </c>
      <c r="J4904" s="94" t="n"/>
      <c r="K4904" s="149" t="n">
        <v>28</v>
      </c>
      <c r="L4904" s="7" t="n">
        <v>190801</v>
      </c>
      <c r="M4904" s="94">
        <f>VLOOKUP($Q4904,매칭테이블!$F:$I,2,0)*K4904</f>
        <v/>
      </c>
      <c r="N4904" s="94">
        <f>M4904-M4904*VLOOKUP($Q4904,매칭테이블!$F:$I,3,0)</f>
        <v/>
      </c>
      <c r="O4904" s="94">
        <f>VLOOKUP($Q4904,매칭테이블!$F:$I,4,0)*K4904</f>
        <v/>
      </c>
      <c r="P4904" s="148">
        <f>M4904/1.1</f>
        <v/>
      </c>
      <c r="Q4904" s="94">
        <f>F4904&amp;E4904&amp;G4904&amp;L4904</f>
        <v/>
      </c>
    </row>
    <row r="4905">
      <c r="A4905" s="94" t="n"/>
      <c r="B4905" s="128" t="n">
        <v>43893</v>
      </c>
      <c r="C4905" s="94">
        <f>TEXT(B4905,"aaa")</f>
        <v/>
      </c>
      <c r="D4905" s="94" t="n"/>
      <c r="E4905" s="94" t="inlineStr">
        <is>
          <t>클렌징폼</t>
        </is>
      </c>
      <c r="F4905" s="94" t="inlineStr">
        <is>
          <t>카페24</t>
        </is>
      </c>
      <c r="G4905" s="94" t="inlineStr">
        <is>
          <t>클렌징폼 120ml 2set</t>
        </is>
      </c>
      <c r="H4905" s="7" t="n">
        <v>190801</v>
      </c>
      <c r="I4905" s="7" t="n">
        <v>190801</v>
      </c>
      <c r="J4905" s="94" t="n"/>
      <c r="K4905" s="149" t="n">
        <v>6</v>
      </c>
      <c r="L4905" s="7" t="n">
        <v>190801</v>
      </c>
      <c r="M4905" s="94">
        <f>VLOOKUP($Q4905,매칭테이블!$F:$I,2,0)*K4905</f>
        <v/>
      </c>
      <c r="N4905" s="94">
        <f>M4905-M4905*VLOOKUP($Q4905,매칭테이블!$F:$I,3,0)</f>
        <v/>
      </c>
      <c r="O4905" s="94">
        <f>VLOOKUP($Q4905,매칭테이블!$F:$I,4,0)*K4905</f>
        <v/>
      </c>
      <c r="P4905" s="148">
        <f>M4905/1.1</f>
        <v/>
      </c>
      <c r="Q4905" s="94">
        <f>F4905&amp;E4905&amp;G4905&amp;L4905</f>
        <v/>
      </c>
    </row>
    <row r="4906">
      <c r="A4906" s="94" t="n"/>
      <c r="B4906" s="128" t="n">
        <v>43893</v>
      </c>
      <c r="C4906" s="94">
        <f>TEXT(B4906,"aaa")</f>
        <v/>
      </c>
      <c r="D4906" s="94" t="n"/>
      <c r="E4906" s="94" t="inlineStr">
        <is>
          <t>토너</t>
        </is>
      </c>
      <c r="F4906" s="94" t="inlineStr">
        <is>
          <t>큐텐</t>
        </is>
      </c>
      <c r="G4906" s="94" t="inlineStr">
        <is>
          <t>250ml</t>
        </is>
      </c>
      <c r="H4906" s="7" t="n">
        <v>190801</v>
      </c>
      <c r="I4906" s="7" t="n">
        <v>190801</v>
      </c>
      <c r="J4906" s="94" t="n"/>
      <c r="K4906" s="149" t="n">
        <v>7</v>
      </c>
      <c r="L4906" s="92" t="n">
        <v>190801</v>
      </c>
      <c r="M4906" s="94">
        <f>VLOOKUP($Q4906,매칭테이블!$F:$I,2,0)*K4906</f>
        <v/>
      </c>
      <c r="N4906" s="94">
        <f>M4906-M4906*VLOOKUP($Q4906,매칭테이블!$F:$I,3,0)</f>
        <v/>
      </c>
      <c r="O4906" s="94">
        <f>VLOOKUP($Q4906,매칭테이블!$F:$I,4,0)*K4906</f>
        <v/>
      </c>
      <c r="P4906" s="148">
        <f>M4906/1.1</f>
        <v/>
      </c>
      <c r="Q4906" s="94">
        <f>F4906&amp;E4906&amp;G4906&amp;L4906</f>
        <v/>
      </c>
    </row>
    <row r="4907">
      <c r="A4907" s="94" t="n"/>
      <c r="B4907" s="128" t="n">
        <v>43893</v>
      </c>
      <c r="C4907" s="94">
        <f>TEXT(B4907,"aaa")</f>
        <v/>
      </c>
      <c r="D4907" s="94" t="n"/>
      <c r="E4907" s="94" t="inlineStr">
        <is>
          <t>토너</t>
        </is>
      </c>
      <c r="F4907" s="94" t="inlineStr">
        <is>
          <t>큐텐</t>
        </is>
      </c>
      <c r="G4907" s="94" t="inlineStr">
        <is>
          <t>250ml 2set</t>
        </is>
      </c>
      <c r="H4907" s="7" t="n">
        <v>190801</v>
      </c>
      <c r="I4907" s="7" t="n">
        <v>190801</v>
      </c>
      <c r="J4907" s="94" t="n"/>
      <c r="K4907" s="149" t="n">
        <v>1</v>
      </c>
      <c r="L4907" s="92" t="n">
        <v>190801</v>
      </c>
      <c r="M4907" s="94">
        <f>VLOOKUP($Q4907,매칭테이블!$F:$I,2,0)*K4907</f>
        <v/>
      </c>
      <c r="N4907" s="94">
        <f>M4907-M4907*VLOOKUP($Q4907,매칭테이블!$F:$I,3,0)</f>
        <v/>
      </c>
      <c r="O4907" s="94">
        <f>VLOOKUP($Q4907,매칭테이블!$F:$I,4,0)*K4907</f>
        <v/>
      </c>
      <c r="P4907" s="148">
        <f>M4907/1.1</f>
        <v/>
      </c>
      <c r="Q4907" s="94">
        <f>F4907&amp;E4907&amp;G4907&amp;L4907</f>
        <v/>
      </c>
    </row>
    <row r="4908">
      <c r="A4908" s="94" t="n"/>
      <c r="B4908" s="128" t="n">
        <v>43894</v>
      </c>
      <c r="C4908" s="94">
        <f>TEXT(B4908,"aaa")</f>
        <v/>
      </c>
      <c r="D4908" s="94" t="n"/>
      <c r="E4908" s="6" t="inlineStr">
        <is>
          <t>토너</t>
        </is>
      </c>
      <c r="F4908" s="5" t="inlineStr">
        <is>
          <t>W컨셉</t>
        </is>
      </c>
      <c r="G4908" s="5" t="inlineStr">
        <is>
          <t>250ml</t>
        </is>
      </c>
      <c r="H4908" s="7" t="n">
        <v>190801</v>
      </c>
      <c r="I4908" s="7" t="n">
        <v>190801</v>
      </c>
      <c r="J4908" s="94" t="n"/>
      <c r="K4908" s="149" t="n">
        <v>2</v>
      </c>
      <c r="L4908" s="7" t="n">
        <v>190801</v>
      </c>
      <c r="M4908" s="94">
        <f>VLOOKUP($Q4908,매칭테이블!$F:$I,2,0)*K4908</f>
        <v/>
      </c>
      <c r="N4908" s="94">
        <f>M4908-M4908*VLOOKUP($Q4908,매칭테이블!$F:$I,3,0)</f>
        <v/>
      </c>
      <c r="O4908" s="94">
        <f>VLOOKUP($Q4908,매칭테이블!$F:$I,4,0)*K4908</f>
        <v/>
      </c>
      <c r="P4908" s="148">
        <f>M4908/1.1</f>
        <v/>
      </c>
      <c r="Q4908" s="94">
        <f>F4908&amp;E4908&amp;G4908&amp;L4908</f>
        <v/>
      </c>
    </row>
    <row r="4909">
      <c r="A4909" s="94" t="n"/>
      <c r="B4909" s="128" t="n">
        <v>43894</v>
      </c>
      <c r="C4909" s="94">
        <f>TEXT(B4909,"aaa")</f>
        <v/>
      </c>
      <c r="D4909" s="94" t="n"/>
      <c r="E4909" s="6" t="inlineStr">
        <is>
          <t>토너</t>
        </is>
      </c>
      <c r="F4909" s="5" t="inlineStr">
        <is>
          <t>W컨셉</t>
        </is>
      </c>
      <c r="G4909" s="5" t="inlineStr">
        <is>
          <t>250ml 2set</t>
        </is>
      </c>
      <c r="H4909" s="7" t="n">
        <v>190801</v>
      </c>
      <c r="I4909" s="7" t="n">
        <v>190801</v>
      </c>
      <c r="J4909" s="94" t="n"/>
      <c r="K4909" s="149" t="n">
        <v>21</v>
      </c>
      <c r="L4909" s="7" t="n">
        <v>190801</v>
      </c>
      <c r="M4909" s="94">
        <f>VLOOKUP($Q4909,매칭테이블!$F:$I,2,0)*K4909</f>
        <v/>
      </c>
      <c r="N4909" s="94">
        <f>M4909-M4909*VLOOKUP($Q4909,매칭테이블!$F:$I,3,0)</f>
        <v/>
      </c>
      <c r="O4909" s="94">
        <f>VLOOKUP($Q4909,매칭테이블!$F:$I,4,0)*K4909</f>
        <v/>
      </c>
      <c r="P4909" s="148">
        <f>M4909/1.1</f>
        <v/>
      </c>
      <c r="Q4909" s="94">
        <f>F4909&amp;E4909&amp;G4909&amp;L4909</f>
        <v/>
      </c>
    </row>
    <row r="4910">
      <c r="A4910" s="94" t="n"/>
      <c r="B4910" s="128" t="n">
        <v>43894</v>
      </c>
      <c r="C4910" s="94">
        <f>TEXT(B4910,"aaa")</f>
        <v/>
      </c>
      <c r="D4910" s="94" t="n"/>
      <c r="E4910" s="94" t="inlineStr">
        <is>
          <t>토너</t>
        </is>
      </c>
      <c r="F4910" s="5" t="inlineStr">
        <is>
          <t>스타일쉐어</t>
        </is>
      </c>
      <c r="G4910" s="94" t="inlineStr">
        <is>
          <t>250ml</t>
        </is>
      </c>
      <c r="H4910" s="7" t="n">
        <v>190801</v>
      </c>
      <c r="I4910" s="7" t="n">
        <v>190801</v>
      </c>
      <c r="J4910" s="94" t="n"/>
      <c r="K4910" s="149" t="n">
        <v>32</v>
      </c>
      <c r="L4910" s="92" t="n">
        <v>190801</v>
      </c>
      <c r="M4910" s="94">
        <f>VLOOKUP($Q4910,매칭테이블!$F:$I,2,0)*K4910</f>
        <v/>
      </c>
      <c r="N4910" s="94">
        <f>M4910-M4910*VLOOKUP($Q4910,매칭테이블!$F:$I,3,0)</f>
        <v/>
      </c>
      <c r="O4910" s="94">
        <f>VLOOKUP($Q4910,매칭테이블!$F:$I,4,0)*K4910</f>
        <v/>
      </c>
      <c r="P4910" s="148">
        <f>M4910/1.1</f>
        <v/>
      </c>
      <c r="Q4910" s="94">
        <f>F4910&amp;E4910&amp;G4910&amp;L4910</f>
        <v/>
      </c>
    </row>
    <row r="4911">
      <c r="A4911" s="94" t="n"/>
      <c r="B4911" s="128" t="n">
        <v>43894</v>
      </c>
      <c r="C4911" s="94">
        <f>TEXT(B4911,"aaa")</f>
        <v/>
      </c>
      <c r="D4911" s="94" t="n"/>
      <c r="E4911" s="94" t="inlineStr">
        <is>
          <t>머드크림마스크</t>
        </is>
      </c>
      <c r="F4911" s="94" t="inlineStr">
        <is>
          <t>카페24</t>
        </is>
      </c>
      <c r="G4911" s="94" t="inlineStr">
        <is>
          <t>머드크림마스크 100ml</t>
        </is>
      </c>
      <c r="H4911" s="7" t="n">
        <v>190801</v>
      </c>
      <c r="I4911" s="7" t="n">
        <v>190801</v>
      </c>
      <c r="J4911" s="94" t="n"/>
      <c r="K4911" s="149" t="n">
        <v>13</v>
      </c>
      <c r="L4911" s="94" t="n">
        <v>190801</v>
      </c>
      <c r="M4911" s="94">
        <f>VLOOKUP($Q4911,매칭테이블!$F:$I,2,0)*K4911</f>
        <v/>
      </c>
      <c r="N4911" s="94">
        <f>M4911-M4911*VLOOKUP($Q4911,매칭테이블!$F:$I,3,0)</f>
        <v/>
      </c>
      <c r="O4911" s="94">
        <f>VLOOKUP($Q4911,매칭테이블!$F:$I,4,0)*K4911</f>
        <v/>
      </c>
      <c r="P4911" s="148">
        <f>M4911/1.1</f>
        <v/>
      </c>
      <c r="Q4911" s="94">
        <f>F4911&amp;E4911&amp;G4911&amp;L4911</f>
        <v/>
      </c>
    </row>
    <row r="4912">
      <c r="A4912" s="94" t="n"/>
      <c r="B4912" s="128" t="n">
        <v>43894</v>
      </c>
      <c r="C4912" s="94">
        <f>TEXT(B4912,"aaa")</f>
        <v/>
      </c>
      <c r="D4912" s="94" t="n"/>
      <c r="E4912" s="94" t="inlineStr">
        <is>
          <t>머드크림마스크</t>
        </is>
      </c>
      <c r="F4912" s="94" t="inlineStr">
        <is>
          <t>카페24</t>
        </is>
      </c>
      <c r="G4912" s="94" t="inlineStr">
        <is>
          <t>머드크림마스크 100ml 2set</t>
        </is>
      </c>
      <c r="H4912" s="7" t="n">
        <v>190801</v>
      </c>
      <c r="I4912" s="7" t="n">
        <v>190801</v>
      </c>
      <c r="J4912" s="94" t="n"/>
      <c r="K4912" s="149" t="n">
        <v>2</v>
      </c>
      <c r="L4912" s="94" t="n">
        <v>190801</v>
      </c>
      <c r="M4912" s="94">
        <f>VLOOKUP($Q4912,매칭테이블!$F:$I,2,0)*K4912</f>
        <v/>
      </c>
      <c r="N4912" s="94">
        <f>M4912-M4912*VLOOKUP($Q4912,매칭테이블!$F:$I,3,0)</f>
        <v/>
      </c>
      <c r="O4912" s="94">
        <f>VLOOKUP($Q4912,매칭테이블!$F:$I,4,0)*K4912</f>
        <v/>
      </c>
      <c r="P4912" s="148">
        <f>M4912/1.1</f>
        <v/>
      </c>
      <c r="Q4912" s="94">
        <f>F4912&amp;E4912&amp;G4912&amp;L4912</f>
        <v/>
      </c>
    </row>
    <row r="4913">
      <c r="A4913" s="94" t="n"/>
      <c r="B4913" s="128" t="n">
        <v>43894</v>
      </c>
      <c r="C4913" s="94">
        <f>TEXT(B4913,"aaa")</f>
        <v/>
      </c>
      <c r="D4913" s="94" t="n"/>
      <c r="E4913" s="6" t="inlineStr">
        <is>
          <t>토너</t>
        </is>
      </c>
      <c r="F4913" s="5" t="inlineStr">
        <is>
          <t>카페24</t>
        </is>
      </c>
      <c r="G4913" s="5" t="inlineStr">
        <is>
          <t>250ml</t>
        </is>
      </c>
      <c r="H4913" s="7" t="n">
        <v>190801</v>
      </c>
      <c r="I4913" s="7" t="n">
        <v>190801</v>
      </c>
      <c r="J4913" s="94" t="n"/>
      <c r="K4913" s="149" t="n">
        <v>116</v>
      </c>
      <c r="L4913" s="7" t="n">
        <v>190801</v>
      </c>
      <c r="M4913" s="94">
        <f>VLOOKUP($Q4913,매칭테이블!$F:$I,2,0)*K4913</f>
        <v/>
      </c>
      <c r="N4913" s="94">
        <f>M4913-M4913*VLOOKUP($Q4913,매칭테이블!$F:$I,3,0)</f>
        <v/>
      </c>
      <c r="O4913" s="94">
        <f>VLOOKUP($Q4913,매칭테이블!$F:$I,4,0)*K4913</f>
        <v/>
      </c>
      <c r="P4913" s="148">
        <f>M4913/1.1</f>
        <v/>
      </c>
      <c r="Q4913" s="94">
        <f>F4913&amp;E4913&amp;G4913&amp;L4913</f>
        <v/>
      </c>
    </row>
    <row r="4914">
      <c r="A4914" s="94" t="n"/>
      <c r="B4914" s="128" t="n">
        <v>43894</v>
      </c>
      <c r="C4914" s="94">
        <f>TEXT(B4914,"aaa")</f>
        <v/>
      </c>
      <c r="D4914" s="94" t="n"/>
      <c r="E4914" s="6" t="inlineStr">
        <is>
          <t>토너</t>
        </is>
      </c>
      <c r="F4914" s="5" t="inlineStr">
        <is>
          <t>카페24</t>
        </is>
      </c>
      <c r="G4914" s="5" t="inlineStr">
        <is>
          <t>250ml 2set</t>
        </is>
      </c>
      <c r="H4914" s="7" t="n">
        <v>190801</v>
      </c>
      <c r="I4914" s="7" t="n">
        <v>190801</v>
      </c>
      <c r="J4914" s="94" t="n"/>
      <c r="K4914" s="149" t="n">
        <v>253</v>
      </c>
      <c r="L4914" s="7" t="n">
        <v>190801</v>
      </c>
      <c r="M4914" s="94">
        <f>VLOOKUP($Q4914,매칭테이블!$F:$I,2,0)*K4914</f>
        <v/>
      </c>
      <c r="N4914" s="94">
        <f>M4914-M4914*VLOOKUP($Q4914,매칭테이블!$F:$I,3,0)</f>
        <v/>
      </c>
      <c r="O4914" s="94">
        <f>VLOOKUP($Q4914,매칭테이블!$F:$I,4,0)*K4914</f>
        <v/>
      </c>
      <c r="P4914" s="148">
        <f>M4914/1.1</f>
        <v/>
      </c>
      <c r="Q4914" s="94">
        <f>F4914&amp;E4914&amp;G4914&amp;L4914</f>
        <v/>
      </c>
    </row>
    <row r="4915">
      <c r="A4915" s="94" t="n"/>
      <c r="B4915" s="128" t="n">
        <v>43894</v>
      </c>
      <c r="C4915" s="94">
        <f>TEXT(B4915,"aaa")</f>
        <v/>
      </c>
      <c r="D4915" s="94" t="n"/>
      <c r="E4915" s="6" t="inlineStr">
        <is>
          <t>토너</t>
        </is>
      </c>
      <c r="F4915" s="5" t="inlineStr">
        <is>
          <t>카페24</t>
        </is>
      </c>
      <c r="G4915" s="5" t="inlineStr">
        <is>
          <t>500ml</t>
        </is>
      </c>
      <c r="H4915" s="7" t="n">
        <v>190801</v>
      </c>
      <c r="I4915" s="7" t="n">
        <v>190801</v>
      </c>
      <c r="J4915" s="94" t="n"/>
      <c r="K4915" s="149" t="n">
        <v>2</v>
      </c>
      <c r="L4915" s="7" t="n">
        <v>190801</v>
      </c>
      <c r="M4915" s="94">
        <f>VLOOKUP($Q4915,매칭테이블!$F:$I,2,0)*K4915</f>
        <v/>
      </c>
      <c r="N4915" s="94">
        <f>M4915-M4915*VLOOKUP($Q4915,매칭테이블!$F:$I,3,0)</f>
        <v/>
      </c>
      <c r="O4915" s="94">
        <f>VLOOKUP($Q4915,매칭테이블!$F:$I,4,0)*K4915</f>
        <v/>
      </c>
      <c r="P4915" s="148">
        <f>M4915/1.1</f>
        <v/>
      </c>
      <c r="Q4915" s="94">
        <f>F4915&amp;E4915&amp;G4915&amp;L4915</f>
        <v/>
      </c>
    </row>
    <row r="4916">
      <c r="A4916" s="94" t="n"/>
      <c r="B4916" s="128" t="n">
        <v>43894</v>
      </c>
      <c r="C4916" s="94">
        <f>TEXT(B4916,"aaa")</f>
        <v/>
      </c>
      <c r="D4916" s="94" t="n"/>
      <c r="E4916" s="6" t="inlineStr">
        <is>
          <t>토너</t>
        </is>
      </c>
      <c r="F4916" s="5" t="inlineStr">
        <is>
          <t>카페24</t>
        </is>
      </c>
      <c r="G4916" s="94" t="inlineStr">
        <is>
          <t>스킨팩 화장솜 60P</t>
        </is>
      </c>
      <c r="H4916" s="7" t="n">
        <v>190801</v>
      </c>
      <c r="I4916" s="7" t="n">
        <v>190801</v>
      </c>
      <c r="J4916" s="94" t="n"/>
      <c r="K4916" s="149" t="n">
        <v>72</v>
      </c>
      <c r="L4916" s="7" t="n">
        <v>190801</v>
      </c>
      <c r="M4916" s="94">
        <f>VLOOKUP($Q4916,매칭테이블!$F:$I,2,0)*K4916</f>
        <v/>
      </c>
      <c r="N4916" s="94">
        <f>M4916-M4916*VLOOKUP($Q4916,매칭테이블!$F:$I,3,0)</f>
        <v/>
      </c>
      <c r="O4916" s="94">
        <f>VLOOKUP($Q4916,매칭테이블!$F:$I,4,0)*K4916</f>
        <v/>
      </c>
      <c r="P4916" s="148">
        <f>M4916/1.1</f>
        <v/>
      </c>
      <c r="Q4916" s="94">
        <f>F4916&amp;E4916&amp;G4916&amp;L4916</f>
        <v/>
      </c>
    </row>
    <row r="4917">
      <c r="A4917" s="94" t="n"/>
      <c r="B4917" s="128" t="n">
        <v>43894</v>
      </c>
      <c r="C4917" s="94">
        <f>TEXT(B4917,"aaa")</f>
        <v/>
      </c>
      <c r="D4917" s="94" t="n"/>
      <c r="E4917" s="94" t="inlineStr">
        <is>
          <t>클렌징폼</t>
        </is>
      </c>
      <c r="F4917" s="5" t="inlineStr">
        <is>
          <t>카페24</t>
        </is>
      </c>
      <c r="G4917" s="94" t="inlineStr">
        <is>
          <t>클렌징폼 120ml</t>
        </is>
      </c>
      <c r="H4917" s="7" t="n">
        <v>190801</v>
      </c>
      <c r="I4917" s="7" t="n">
        <v>190801</v>
      </c>
      <c r="J4917" s="94" t="n"/>
      <c r="K4917" s="149" t="n">
        <v>21</v>
      </c>
      <c r="L4917" s="7" t="n">
        <v>190801</v>
      </c>
      <c r="M4917" s="94">
        <f>VLOOKUP($Q4917,매칭테이블!$F:$I,2,0)*K4917</f>
        <v/>
      </c>
      <c r="N4917" s="94">
        <f>M4917-M4917*VLOOKUP($Q4917,매칭테이블!$F:$I,3,0)</f>
        <v/>
      </c>
      <c r="O4917" s="94">
        <f>VLOOKUP($Q4917,매칭테이블!$F:$I,4,0)*K4917</f>
        <v/>
      </c>
      <c r="P4917" s="148">
        <f>M4917/1.1</f>
        <v/>
      </c>
      <c r="Q4917" s="94">
        <f>F4917&amp;E4917&amp;G4917&amp;L4917</f>
        <v/>
      </c>
    </row>
    <row r="4918">
      <c r="A4918" s="94" t="n"/>
      <c r="B4918" s="128" t="n">
        <v>43894</v>
      </c>
      <c r="C4918" s="94">
        <f>TEXT(B4918,"aaa")</f>
        <v/>
      </c>
      <c r="D4918" s="94" t="n"/>
      <c r="E4918" s="94" t="inlineStr">
        <is>
          <t>클렌징폼</t>
        </is>
      </c>
      <c r="F4918" s="94" t="inlineStr">
        <is>
          <t>카페24</t>
        </is>
      </c>
      <c r="G4918" s="94" t="inlineStr">
        <is>
          <t>클렌징폼 120ml 2set</t>
        </is>
      </c>
      <c r="H4918" s="7" t="n">
        <v>190801</v>
      </c>
      <c r="I4918" s="7" t="n">
        <v>190801</v>
      </c>
      <c r="J4918" s="94" t="n"/>
      <c r="K4918" s="149" t="n">
        <v>16</v>
      </c>
      <c r="L4918" s="7" t="n">
        <v>190801</v>
      </c>
      <c r="M4918" s="94">
        <f>VLOOKUP($Q4918,매칭테이블!$F:$I,2,0)*K4918</f>
        <v/>
      </c>
      <c r="N4918" s="94">
        <f>M4918-M4918*VLOOKUP($Q4918,매칭테이블!$F:$I,3,0)</f>
        <v/>
      </c>
      <c r="O4918" s="94">
        <f>VLOOKUP($Q4918,매칭테이블!$F:$I,4,0)*K4918</f>
        <v/>
      </c>
      <c r="P4918" s="148">
        <f>M4918/1.1</f>
        <v/>
      </c>
      <c r="Q4918" s="94">
        <f>F4918&amp;E4918&amp;G4918&amp;L4918</f>
        <v/>
      </c>
    </row>
    <row r="4919">
      <c r="A4919" s="94" t="n"/>
      <c r="B4919" s="128" t="n">
        <v>43894</v>
      </c>
      <c r="C4919" s="94">
        <f>TEXT(B4919,"aaa")</f>
        <v/>
      </c>
      <c r="D4919" s="94" t="n"/>
      <c r="E4919" s="94" t="inlineStr">
        <is>
          <t>토너</t>
        </is>
      </c>
      <c r="F4919" s="94" t="inlineStr">
        <is>
          <t>큐텐</t>
        </is>
      </c>
      <c r="G4919" s="94" t="inlineStr">
        <is>
          <t>250ml</t>
        </is>
      </c>
      <c r="H4919" s="7" t="n">
        <v>190801</v>
      </c>
      <c r="I4919" s="7" t="n">
        <v>190801</v>
      </c>
      <c r="J4919" s="94" t="n"/>
      <c r="K4919" s="149" t="n">
        <v>19</v>
      </c>
      <c r="L4919" s="92" t="n">
        <v>190801</v>
      </c>
      <c r="M4919" s="94">
        <f>VLOOKUP($Q4919,매칭테이블!$F:$I,2,0)*K4919</f>
        <v/>
      </c>
      <c r="N4919" s="94">
        <f>M4919-M4919*VLOOKUP($Q4919,매칭테이블!$F:$I,3,0)</f>
        <v/>
      </c>
      <c r="O4919" s="94">
        <f>VLOOKUP($Q4919,매칭테이블!$F:$I,4,0)*K4919</f>
        <v/>
      </c>
      <c r="P4919" s="148">
        <f>M4919/1.1</f>
        <v/>
      </c>
      <c r="Q4919" s="94">
        <f>F4919&amp;E4919&amp;G4919&amp;L4919</f>
        <v/>
      </c>
    </row>
    <row r="4920">
      <c r="A4920" s="94" t="n"/>
      <c r="B4920" s="128" t="n">
        <v>43894</v>
      </c>
      <c r="C4920" s="94">
        <f>TEXT(B4920,"aaa")</f>
        <v/>
      </c>
      <c r="D4920" s="94" t="n"/>
      <c r="E4920" s="94" t="inlineStr">
        <is>
          <t>토너</t>
        </is>
      </c>
      <c r="F4920" s="94" t="inlineStr">
        <is>
          <t>큐텐</t>
        </is>
      </c>
      <c r="G4920" s="94" t="inlineStr">
        <is>
          <t>250ml 2set</t>
        </is>
      </c>
      <c r="H4920" s="7" t="n">
        <v>190801</v>
      </c>
      <c r="I4920" s="7" t="n">
        <v>190801</v>
      </c>
      <c r="J4920" s="94" t="n"/>
      <c r="K4920" s="149" t="n">
        <v>3</v>
      </c>
      <c r="L4920" s="92" t="n">
        <v>190801</v>
      </c>
      <c r="M4920" s="94">
        <f>VLOOKUP($Q4920,매칭테이블!$F:$I,2,0)*K4920</f>
        <v/>
      </c>
      <c r="N4920" s="94">
        <f>M4920-M4920*VLOOKUP($Q4920,매칭테이블!$F:$I,3,0)</f>
        <v/>
      </c>
      <c r="O4920" s="94">
        <f>VLOOKUP($Q4920,매칭테이블!$F:$I,4,0)*K4920</f>
        <v/>
      </c>
      <c r="P4920" s="148">
        <f>M4920/1.1</f>
        <v/>
      </c>
      <c r="Q4920" s="94">
        <f>F4920&amp;E4920&amp;G4920&amp;L4920</f>
        <v/>
      </c>
    </row>
    <row r="4921">
      <c r="A4921" s="94" t="n"/>
      <c r="B4921" s="128" t="n">
        <v>43895</v>
      </c>
      <c r="C4921" s="94">
        <f>TEXT(B4921,"aaa")</f>
        <v/>
      </c>
      <c r="D4921" s="94" t="n"/>
      <c r="E4921" s="6" t="inlineStr">
        <is>
          <t>토너</t>
        </is>
      </c>
      <c r="F4921" s="5" t="inlineStr">
        <is>
          <t>W컨셉</t>
        </is>
      </c>
      <c r="G4921" s="5" t="inlineStr">
        <is>
          <t>250ml</t>
        </is>
      </c>
      <c r="H4921" s="7" t="n">
        <v>190801</v>
      </c>
      <c r="I4921" s="7" t="n">
        <v>190801</v>
      </c>
      <c r="J4921" s="94" t="n"/>
      <c r="K4921" s="149" t="n">
        <v>1</v>
      </c>
      <c r="L4921" s="7" t="n">
        <v>190801</v>
      </c>
      <c r="M4921" s="94">
        <f>VLOOKUP($Q4921,매칭테이블!$F:$I,2,0)*K4921</f>
        <v/>
      </c>
      <c r="N4921" s="94">
        <f>M4921-M4921*VLOOKUP($Q4921,매칭테이블!$F:$I,3,0)</f>
        <v/>
      </c>
      <c r="O4921" s="94">
        <f>VLOOKUP($Q4921,매칭테이블!$F:$I,4,0)*K4921</f>
        <v/>
      </c>
      <c r="P4921" s="148">
        <f>M4921/1.1</f>
        <v/>
      </c>
      <c r="Q4921" s="94">
        <f>F4921&amp;E4921&amp;G4921&amp;L4921</f>
        <v/>
      </c>
    </row>
    <row r="4922">
      <c r="A4922" s="94" t="n"/>
      <c r="B4922" s="128" t="n">
        <v>43895</v>
      </c>
      <c r="C4922" s="94">
        <f>TEXT(B4922,"aaa")</f>
        <v/>
      </c>
      <c r="D4922" s="94" t="n"/>
      <c r="E4922" s="6" t="inlineStr">
        <is>
          <t>토너</t>
        </is>
      </c>
      <c r="F4922" s="5" t="inlineStr">
        <is>
          <t>W컨셉</t>
        </is>
      </c>
      <c r="G4922" s="5" t="inlineStr">
        <is>
          <t>250ml 2set</t>
        </is>
      </c>
      <c r="H4922" s="7" t="n">
        <v>190801</v>
      </c>
      <c r="I4922" s="7" t="n">
        <v>190801</v>
      </c>
      <c r="J4922" s="94" t="n"/>
      <c r="K4922" s="149" t="n">
        <v>18</v>
      </c>
      <c r="L4922" s="7" t="n">
        <v>190801</v>
      </c>
      <c r="M4922" s="94">
        <f>VLOOKUP($Q4922,매칭테이블!$F:$I,2,0)*K4922</f>
        <v/>
      </c>
      <c r="N4922" s="94">
        <f>M4922-M4922*VLOOKUP($Q4922,매칭테이블!$F:$I,3,0)</f>
        <v/>
      </c>
      <c r="O4922" s="94">
        <f>VLOOKUP($Q4922,매칭테이블!$F:$I,4,0)*K4922</f>
        <v/>
      </c>
      <c r="P4922" s="148">
        <f>M4922/1.1</f>
        <v/>
      </c>
      <c r="Q4922" s="94">
        <f>F4922&amp;E4922&amp;G4922&amp;L4922</f>
        <v/>
      </c>
    </row>
    <row r="4923">
      <c r="A4923" s="94" t="n"/>
      <c r="B4923" s="128" t="n">
        <v>43895</v>
      </c>
      <c r="C4923" s="94">
        <f>TEXT(B4923,"aaa")</f>
        <v/>
      </c>
      <c r="D4923" s="94" t="n"/>
      <c r="E4923" s="94" t="inlineStr">
        <is>
          <t>토너</t>
        </is>
      </c>
      <c r="F4923" s="5" t="inlineStr">
        <is>
          <t>스타일쉐어</t>
        </is>
      </c>
      <c r="G4923" s="94" t="inlineStr">
        <is>
          <t>250ml</t>
        </is>
      </c>
      <c r="H4923" s="7" t="n">
        <v>190801</v>
      </c>
      <c r="I4923" s="7" t="n">
        <v>190801</v>
      </c>
      <c r="J4923" s="94" t="n"/>
      <c r="K4923" s="149" t="n">
        <v>36</v>
      </c>
      <c r="L4923" s="92" t="n">
        <v>190801</v>
      </c>
      <c r="M4923" s="94">
        <f>VLOOKUP($Q4923,매칭테이블!$F:$I,2,0)*K4923</f>
        <v/>
      </c>
      <c r="N4923" s="94">
        <f>M4923-M4923*VLOOKUP($Q4923,매칭테이블!$F:$I,3,0)</f>
        <v/>
      </c>
      <c r="O4923" s="94">
        <f>VLOOKUP($Q4923,매칭테이블!$F:$I,4,0)*K4923</f>
        <v/>
      </c>
      <c r="P4923" s="148">
        <f>M4923/1.1</f>
        <v/>
      </c>
      <c r="Q4923" s="94">
        <f>F4923&amp;E4923&amp;G4923&amp;L4923</f>
        <v/>
      </c>
    </row>
    <row r="4924">
      <c r="A4924" s="94" t="n"/>
      <c r="B4924" s="128" t="n">
        <v>43895</v>
      </c>
      <c r="C4924" s="94">
        <f>TEXT(B4924,"aaa")</f>
        <v/>
      </c>
      <c r="D4924" s="94" t="n"/>
      <c r="E4924" s="94" t="inlineStr">
        <is>
          <t>머드크림마스크</t>
        </is>
      </c>
      <c r="F4924" s="94" t="inlineStr">
        <is>
          <t>카페24</t>
        </is>
      </c>
      <c r="G4924" s="94" t="inlineStr">
        <is>
          <t>머드크림마스크 100ml</t>
        </is>
      </c>
      <c r="H4924" s="7" t="n">
        <v>190801</v>
      </c>
      <c r="I4924" s="7" t="n">
        <v>190801</v>
      </c>
      <c r="J4924" s="94" t="n"/>
      <c r="K4924" s="149" t="n">
        <v>15</v>
      </c>
      <c r="L4924" s="94" t="n">
        <v>190801</v>
      </c>
      <c r="M4924" s="94">
        <f>VLOOKUP($Q4924,매칭테이블!$F:$I,2,0)*K4924</f>
        <v/>
      </c>
      <c r="N4924" s="94">
        <f>M4924-M4924*VLOOKUP($Q4924,매칭테이블!$F:$I,3,0)</f>
        <v/>
      </c>
      <c r="O4924" s="94">
        <f>VLOOKUP($Q4924,매칭테이블!$F:$I,4,0)*K4924</f>
        <v/>
      </c>
      <c r="P4924" s="148">
        <f>M4924/1.1</f>
        <v/>
      </c>
      <c r="Q4924" s="94">
        <f>F4924&amp;E4924&amp;G4924&amp;L4924</f>
        <v/>
      </c>
    </row>
    <row r="4925">
      <c r="A4925" s="94" t="n"/>
      <c r="B4925" s="128" t="n">
        <v>43895</v>
      </c>
      <c r="C4925" s="94">
        <f>TEXT(B4925,"aaa")</f>
        <v/>
      </c>
      <c r="D4925" s="94" t="n"/>
      <c r="E4925" s="94" t="inlineStr">
        <is>
          <t>머드크림마스크</t>
        </is>
      </c>
      <c r="F4925" s="94" t="inlineStr">
        <is>
          <t>카페24</t>
        </is>
      </c>
      <c r="G4925" s="94" t="inlineStr">
        <is>
          <t>머드크림마스크 100ml 2set</t>
        </is>
      </c>
      <c r="H4925" s="7" t="n">
        <v>190801</v>
      </c>
      <c r="I4925" s="7" t="n">
        <v>190801</v>
      </c>
      <c r="J4925" s="94" t="n"/>
      <c r="K4925" s="149" t="n">
        <v>3</v>
      </c>
      <c r="L4925" s="94" t="n">
        <v>190801</v>
      </c>
      <c r="M4925" s="94">
        <f>VLOOKUP($Q4925,매칭테이블!$F:$I,2,0)*K4925</f>
        <v/>
      </c>
      <c r="N4925" s="94">
        <f>M4925-M4925*VLOOKUP($Q4925,매칭테이블!$F:$I,3,0)</f>
        <v/>
      </c>
      <c r="O4925" s="94">
        <f>VLOOKUP($Q4925,매칭테이블!$F:$I,4,0)*K4925</f>
        <v/>
      </c>
      <c r="P4925" s="148">
        <f>M4925/1.1</f>
        <v/>
      </c>
      <c r="Q4925" s="94">
        <f>F4925&amp;E4925&amp;G4925&amp;L4925</f>
        <v/>
      </c>
    </row>
    <row r="4926">
      <c r="A4926" s="94" t="n"/>
      <c r="B4926" s="128" t="n">
        <v>43895</v>
      </c>
      <c r="C4926" s="94">
        <f>TEXT(B4926,"aaa")</f>
        <v/>
      </c>
      <c r="D4926" s="94" t="n"/>
      <c r="E4926" s="6" t="inlineStr">
        <is>
          <t>토너</t>
        </is>
      </c>
      <c r="F4926" s="5" t="inlineStr">
        <is>
          <t>카페24</t>
        </is>
      </c>
      <c r="G4926" s="5" t="inlineStr">
        <is>
          <t>250ml</t>
        </is>
      </c>
      <c r="H4926" s="7" t="n">
        <v>190801</v>
      </c>
      <c r="I4926" s="7" t="n">
        <v>190801</v>
      </c>
      <c r="J4926" s="94" t="n"/>
      <c r="K4926" s="149" t="n">
        <v>125</v>
      </c>
      <c r="L4926" s="7" t="n">
        <v>190801</v>
      </c>
      <c r="M4926" s="94">
        <f>VLOOKUP($Q4926,매칭테이블!$F:$I,2,0)*K4926</f>
        <v/>
      </c>
      <c r="N4926" s="94">
        <f>M4926-M4926*VLOOKUP($Q4926,매칭테이블!$F:$I,3,0)</f>
        <v/>
      </c>
      <c r="O4926" s="94">
        <f>VLOOKUP($Q4926,매칭테이블!$F:$I,4,0)*K4926</f>
        <v/>
      </c>
      <c r="P4926" s="148">
        <f>M4926/1.1</f>
        <v/>
      </c>
      <c r="Q4926" s="94">
        <f>F4926&amp;E4926&amp;G4926&amp;L4926</f>
        <v/>
      </c>
    </row>
    <row r="4927">
      <c r="A4927" s="94" t="n"/>
      <c r="B4927" s="128" t="n">
        <v>43895</v>
      </c>
      <c r="C4927" s="94">
        <f>TEXT(B4927,"aaa")</f>
        <v/>
      </c>
      <c r="D4927" s="94" t="n"/>
      <c r="E4927" s="6" t="inlineStr">
        <is>
          <t>토너</t>
        </is>
      </c>
      <c r="F4927" s="5" t="inlineStr">
        <is>
          <t>카페24</t>
        </is>
      </c>
      <c r="G4927" s="5" t="inlineStr">
        <is>
          <t>250ml 2set</t>
        </is>
      </c>
      <c r="H4927" s="7" t="n">
        <v>190801</v>
      </c>
      <c r="I4927" s="7" t="n">
        <v>190801</v>
      </c>
      <c r="J4927" s="94" t="n"/>
      <c r="K4927" s="149" t="n">
        <v>286</v>
      </c>
      <c r="L4927" s="7" t="n">
        <v>190801</v>
      </c>
      <c r="M4927" s="94">
        <f>VLOOKUP($Q4927,매칭테이블!$F:$I,2,0)*K4927</f>
        <v/>
      </c>
      <c r="N4927" s="94">
        <f>M4927-M4927*VLOOKUP($Q4927,매칭테이블!$F:$I,3,0)</f>
        <v/>
      </c>
      <c r="O4927" s="94">
        <f>VLOOKUP($Q4927,매칭테이블!$F:$I,4,0)*K4927</f>
        <v/>
      </c>
      <c r="P4927" s="148">
        <f>M4927/1.1</f>
        <v/>
      </c>
      <c r="Q4927" s="94">
        <f>F4927&amp;E4927&amp;G4927&amp;L4927</f>
        <v/>
      </c>
    </row>
    <row r="4928">
      <c r="A4928" s="94" t="n"/>
      <c r="B4928" s="128" t="n">
        <v>43895</v>
      </c>
      <c r="C4928" s="94">
        <f>TEXT(B4928,"aaa")</f>
        <v/>
      </c>
      <c r="D4928" s="94" t="n"/>
      <c r="E4928" s="6" t="inlineStr">
        <is>
          <t>토너</t>
        </is>
      </c>
      <c r="F4928" s="5" t="inlineStr">
        <is>
          <t>카페24</t>
        </is>
      </c>
      <c r="G4928" s="5" t="inlineStr">
        <is>
          <t>500ml</t>
        </is>
      </c>
      <c r="H4928" s="7" t="n">
        <v>190801</v>
      </c>
      <c r="I4928" s="7" t="n">
        <v>190801</v>
      </c>
      <c r="J4928" s="94" t="n"/>
      <c r="K4928" s="149" t="n">
        <v>2</v>
      </c>
      <c r="L4928" s="7" t="n">
        <v>190801</v>
      </c>
      <c r="M4928" s="94">
        <f>VLOOKUP($Q4928,매칭테이블!$F:$I,2,0)*K4928</f>
        <v/>
      </c>
      <c r="N4928" s="94">
        <f>M4928-M4928*VLOOKUP($Q4928,매칭테이블!$F:$I,3,0)</f>
        <v/>
      </c>
      <c r="O4928" s="94">
        <f>VLOOKUP($Q4928,매칭테이블!$F:$I,4,0)*K4928</f>
        <v/>
      </c>
      <c r="P4928" s="148">
        <f>M4928/1.1</f>
        <v/>
      </c>
      <c r="Q4928" s="94">
        <f>F4928&amp;E4928&amp;G4928&amp;L4928</f>
        <v/>
      </c>
    </row>
    <row r="4929">
      <c r="A4929" s="94" t="n"/>
      <c r="B4929" s="128" t="n">
        <v>43895</v>
      </c>
      <c r="C4929" s="94">
        <f>TEXT(B4929,"aaa")</f>
        <v/>
      </c>
      <c r="D4929" s="94" t="n"/>
      <c r="E4929" s="6" t="inlineStr">
        <is>
          <t>토너</t>
        </is>
      </c>
      <c r="F4929" s="5" t="inlineStr">
        <is>
          <t>카페24</t>
        </is>
      </c>
      <c r="G4929" s="94" t="inlineStr">
        <is>
          <t>스킨팩 화장솜 60P</t>
        </is>
      </c>
      <c r="H4929" s="7" t="n">
        <v>190801</v>
      </c>
      <c r="I4929" s="7" t="n">
        <v>190801</v>
      </c>
      <c r="J4929" s="94" t="n"/>
      <c r="K4929" s="149" t="n">
        <v>133</v>
      </c>
      <c r="L4929" s="7" t="n">
        <v>190801</v>
      </c>
      <c r="M4929" s="94">
        <f>VLOOKUP($Q4929,매칭테이블!$F:$I,2,0)*K4929</f>
        <v/>
      </c>
      <c r="N4929" s="94">
        <f>M4929-M4929*VLOOKUP($Q4929,매칭테이블!$F:$I,3,0)</f>
        <v/>
      </c>
      <c r="O4929" s="94">
        <f>VLOOKUP($Q4929,매칭테이블!$F:$I,4,0)*K4929</f>
        <v/>
      </c>
      <c r="P4929" s="148">
        <f>M4929/1.1</f>
        <v/>
      </c>
      <c r="Q4929" s="94">
        <f>F4929&amp;E4929&amp;G4929&amp;L4929</f>
        <v/>
      </c>
    </row>
    <row r="4930">
      <c r="A4930" s="94" t="n"/>
      <c r="B4930" s="128" t="n">
        <v>43895</v>
      </c>
      <c r="C4930" s="94">
        <f>TEXT(B4930,"aaa")</f>
        <v/>
      </c>
      <c r="D4930" s="94" t="n"/>
      <c r="E4930" s="94" t="inlineStr">
        <is>
          <t>클렌징폼</t>
        </is>
      </c>
      <c r="F4930" s="5" t="inlineStr">
        <is>
          <t>카페24</t>
        </is>
      </c>
      <c r="G4930" s="94" t="inlineStr">
        <is>
          <t>클렌징폼 120ml</t>
        </is>
      </c>
      <c r="H4930" s="7" t="n">
        <v>190801</v>
      </c>
      <c r="I4930" s="7" t="n">
        <v>190801</v>
      </c>
      <c r="J4930" s="94" t="n"/>
      <c r="K4930" s="149" t="n">
        <v>18</v>
      </c>
      <c r="L4930" s="7" t="n">
        <v>190801</v>
      </c>
      <c r="M4930" s="94">
        <f>VLOOKUP($Q4930,매칭테이블!$F:$I,2,0)*K4930</f>
        <v/>
      </c>
      <c r="N4930" s="94">
        <f>M4930-M4930*VLOOKUP($Q4930,매칭테이블!$F:$I,3,0)</f>
        <v/>
      </c>
      <c r="O4930" s="94">
        <f>VLOOKUP($Q4930,매칭테이블!$F:$I,4,0)*K4930</f>
        <v/>
      </c>
      <c r="P4930" s="148">
        <f>M4930/1.1</f>
        <v/>
      </c>
      <c r="Q4930" s="94">
        <f>F4930&amp;E4930&amp;G4930&amp;L4930</f>
        <v/>
      </c>
    </row>
    <row r="4931">
      <c r="A4931" s="94" t="n"/>
      <c r="B4931" s="128" t="n">
        <v>43895</v>
      </c>
      <c r="C4931" s="94">
        <f>TEXT(B4931,"aaa")</f>
        <v/>
      </c>
      <c r="D4931" s="94" t="n"/>
      <c r="E4931" s="94" t="inlineStr">
        <is>
          <t>클렌징폼</t>
        </is>
      </c>
      <c r="F4931" s="94" t="inlineStr">
        <is>
          <t>카페24</t>
        </is>
      </c>
      <c r="G4931" s="94" t="inlineStr">
        <is>
          <t>클렌징폼 120ml 2set</t>
        </is>
      </c>
      <c r="H4931" s="7" t="n">
        <v>190801</v>
      </c>
      <c r="I4931" s="7" t="n">
        <v>190801</v>
      </c>
      <c r="J4931" s="94" t="n"/>
      <c r="K4931" s="149" t="n">
        <v>1</v>
      </c>
      <c r="L4931" s="7" t="n">
        <v>190801</v>
      </c>
      <c r="M4931" s="94">
        <f>VLOOKUP($Q4931,매칭테이블!$F:$I,2,0)*K4931</f>
        <v/>
      </c>
      <c r="N4931" s="94">
        <f>M4931-M4931*VLOOKUP($Q4931,매칭테이블!$F:$I,3,0)</f>
        <v/>
      </c>
      <c r="O4931" s="94">
        <f>VLOOKUP($Q4931,매칭테이블!$F:$I,4,0)*K4931</f>
        <v/>
      </c>
      <c r="P4931" s="148">
        <f>M4931/1.1</f>
        <v/>
      </c>
      <c r="Q4931" s="94">
        <f>F4931&amp;E4931&amp;G4931&amp;L4931</f>
        <v/>
      </c>
    </row>
    <row r="4932">
      <c r="A4932" s="94" t="n"/>
      <c r="B4932" s="128" t="n">
        <v>43895</v>
      </c>
      <c r="C4932" s="94">
        <f>TEXT(B4932,"aaa")</f>
        <v/>
      </c>
      <c r="D4932" s="94" t="n"/>
      <c r="E4932" s="94" t="inlineStr">
        <is>
          <t>토너</t>
        </is>
      </c>
      <c r="F4932" s="94" t="inlineStr">
        <is>
          <t>큐텐</t>
        </is>
      </c>
      <c r="G4932" s="94" t="inlineStr">
        <is>
          <t>250ml</t>
        </is>
      </c>
      <c r="H4932" s="7" t="n">
        <v>190801</v>
      </c>
      <c r="I4932" s="7" t="n">
        <v>190801</v>
      </c>
      <c r="J4932" s="94" t="n"/>
      <c r="K4932" s="149" t="n">
        <v>44</v>
      </c>
      <c r="L4932" s="92" t="n">
        <v>190801</v>
      </c>
      <c r="M4932" s="94">
        <f>VLOOKUP($Q4932,매칭테이블!$F:$I,2,0)*K4932</f>
        <v/>
      </c>
      <c r="N4932" s="94">
        <f>M4932-M4932*VLOOKUP($Q4932,매칭테이블!$F:$I,3,0)</f>
        <v/>
      </c>
      <c r="O4932" s="94">
        <f>VLOOKUP($Q4932,매칭테이블!$F:$I,4,0)*K4932</f>
        <v/>
      </c>
      <c r="P4932" s="148">
        <f>M4932/1.1</f>
        <v/>
      </c>
      <c r="Q4932" s="94">
        <f>F4932&amp;E4932&amp;G4932&amp;L4932</f>
        <v/>
      </c>
    </row>
    <row r="4933">
      <c r="A4933" s="94" t="n"/>
      <c r="B4933" s="128" t="n">
        <v>43895</v>
      </c>
      <c r="C4933" s="94">
        <f>TEXT(B4933,"aaa")</f>
        <v/>
      </c>
      <c r="D4933" s="94" t="n"/>
      <c r="E4933" s="94" t="inlineStr">
        <is>
          <t>토너</t>
        </is>
      </c>
      <c r="F4933" s="94" t="inlineStr">
        <is>
          <t>큐텐</t>
        </is>
      </c>
      <c r="G4933" s="94" t="inlineStr">
        <is>
          <t>250ml 2set</t>
        </is>
      </c>
      <c r="H4933" s="7" t="n">
        <v>190801</v>
      </c>
      <c r="I4933" s="7" t="n">
        <v>190801</v>
      </c>
      <c r="J4933" s="94" t="n"/>
      <c r="K4933" s="149" t="n">
        <v>14</v>
      </c>
      <c r="L4933" s="92" t="n">
        <v>190801</v>
      </c>
      <c r="M4933" s="94">
        <f>VLOOKUP($Q4933,매칭테이블!$F:$I,2,0)*K4933</f>
        <v/>
      </c>
      <c r="N4933" s="94">
        <f>M4933-M4933*VLOOKUP($Q4933,매칭테이블!$F:$I,3,0)</f>
        <v/>
      </c>
      <c r="O4933" s="94">
        <f>VLOOKUP($Q4933,매칭테이블!$F:$I,4,0)*K4933</f>
        <v/>
      </c>
      <c r="P4933" s="148">
        <f>M4933/1.1</f>
        <v/>
      </c>
      <c r="Q4933" s="94">
        <f>F4933&amp;E4933&amp;G4933&amp;L4933</f>
        <v/>
      </c>
    </row>
    <row r="4934">
      <c r="A4934" s="94" t="n"/>
      <c r="B4934" s="128" t="n">
        <v>43895</v>
      </c>
      <c r="C4934" s="94">
        <f>TEXT(B4934,"aaa")</f>
        <v/>
      </c>
      <c r="D4934" s="94" t="n"/>
      <c r="E4934" s="94" t="inlineStr">
        <is>
          <t>머드크림마스크</t>
        </is>
      </c>
      <c r="F4934" s="94" t="inlineStr">
        <is>
          <t>큐텐</t>
        </is>
      </c>
      <c r="G4934" s="94" t="inlineStr">
        <is>
          <t>머드크림마스크 100ml</t>
        </is>
      </c>
      <c r="H4934" s="7" t="n">
        <v>190801</v>
      </c>
      <c r="I4934" s="7" t="n">
        <v>190801</v>
      </c>
      <c r="J4934" s="94" t="n"/>
      <c r="K4934" s="149" t="n">
        <v>2</v>
      </c>
      <c r="L4934" s="94" t="n">
        <v>190801</v>
      </c>
      <c r="M4934" s="94">
        <f>VLOOKUP($Q4934,매칭테이블!$F:$I,2,0)*K4934</f>
        <v/>
      </c>
      <c r="N4934" s="94">
        <f>M4934-M4934*VLOOKUP($Q4934,매칭테이블!$F:$I,3,0)</f>
        <v/>
      </c>
      <c r="O4934" s="94">
        <f>VLOOKUP($Q4934,매칭테이블!$F:$I,4,0)*K4934</f>
        <v/>
      </c>
      <c r="P4934" s="148">
        <f>M4934/1.1</f>
        <v/>
      </c>
      <c r="Q4934" s="94">
        <f>F4934&amp;E4934&amp;G4934&amp;L4934</f>
        <v/>
      </c>
    </row>
    <row r="4935">
      <c r="A4935" s="94" t="n"/>
      <c r="B4935" s="128" t="n">
        <v>43896</v>
      </c>
      <c r="C4935" s="94">
        <f>TEXT(B4935,"aaa")</f>
        <v/>
      </c>
      <c r="D4935" s="94" t="n"/>
      <c r="E4935" s="6" t="inlineStr">
        <is>
          <t>토너</t>
        </is>
      </c>
      <c r="F4935" s="5" t="inlineStr">
        <is>
          <t>W컨셉</t>
        </is>
      </c>
      <c r="G4935" s="5" t="inlineStr">
        <is>
          <t>250ml</t>
        </is>
      </c>
      <c r="H4935" s="7" t="n">
        <v>190801</v>
      </c>
      <c r="I4935" s="7" t="n">
        <v>190801</v>
      </c>
      <c r="J4935" s="94" t="n"/>
      <c r="K4935" s="149" t="n">
        <v>3</v>
      </c>
      <c r="L4935" s="7" t="n">
        <v>190801</v>
      </c>
      <c r="M4935" s="94">
        <f>VLOOKUP($Q4935,매칭테이블!$F:$I,2,0)*K4935</f>
        <v/>
      </c>
      <c r="N4935" s="94">
        <f>M4935-M4935*VLOOKUP($Q4935,매칭테이블!$F:$I,3,0)</f>
        <v/>
      </c>
      <c r="O4935" s="94">
        <f>VLOOKUP($Q4935,매칭테이블!$F:$I,4,0)*K4935</f>
        <v/>
      </c>
      <c r="P4935" s="148">
        <f>M4935/1.1</f>
        <v/>
      </c>
      <c r="Q4935" s="94">
        <f>F4935&amp;E4935&amp;G4935&amp;L4935</f>
        <v/>
      </c>
    </row>
    <row r="4936">
      <c r="A4936" s="94" t="n"/>
      <c r="B4936" s="128" t="n">
        <v>43896</v>
      </c>
      <c r="C4936" s="94">
        <f>TEXT(B4936,"aaa")</f>
        <v/>
      </c>
      <c r="D4936" s="94" t="n"/>
      <c r="E4936" s="6" t="inlineStr">
        <is>
          <t>토너</t>
        </is>
      </c>
      <c r="F4936" s="5" t="inlineStr">
        <is>
          <t>W컨셉</t>
        </is>
      </c>
      <c r="G4936" s="5" t="inlineStr">
        <is>
          <t>250ml 2set</t>
        </is>
      </c>
      <c r="H4936" s="7" t="n">
        <v>190801</v>
      </c>
      <c r="I4936" s="7" t="n">
        <v>190801</v>
      </c>
      <c r="J4936" s="94" t="n"/>
      <c r="K4936" s="149" t="n">
        <v>17</v>
      </c>
      <c r="L4936" s="7" t="n">
        <v>190801</v>
      </c>
      <c r="M4936" s="94">
        <f>VLOOKUP($Q4936,매칭테이블!$F:$I,2,0)*K4936</f>
        <v/>
      </c>
      <c r="N4936" s="94">
        <f>M4936-M4936*VLOOKUP($Q4936,매칭테이블!$F:$I,3,0)</f>
        <v/>
      </c>
      <c r="O4936" s="94">
        <f>VLOOKUP($Q4936,매칭테이블!$F:$I,4,0)*K4936</f>
        <v/>
      </c>
      <c r="P4936" s="148">
        <f>M4936/1.1</f>
        <v/>
      </c>
      <c r="Q4936" s="94">
        <f>F4936&amp;E4936&amp;G4936&amp;L4936</f>
        <v/>
      </c>
    </row>
    <row r="4937">
      <c r="A4937" s="94" t="n"/>
      <c r="B4937" s="128" t="n">
        <v>43896</v>
      </c>
      <c r="C4937" s="94">
        <f>TEXT(B4937,"aaa")</f>
        <v/>
      </c>
      <c r="D4937" s="94" t="n"/>
      <c r="E4937" s="94" t="inlineStr">
        <is>
          <t>토너</t>
        </is>
      </c>
      <c r="F4937" s="5" t="inlineStr">
        <is>
          <t>스타일쉐어</t>
        </is>
      </c>
      <c r="G4937" s="94" t="inlineStr">
        <is>
          <t>250ml</t>
        </is>
      </c>
      <c r="H4937" s="7" t="n">
        <v>190801</v>
      </c>
      <c r="I4937" s="7" t="n">
        <v>190801</v>
      </c>
      <c r="J4937" s="94" t="n"/>
      <c r="K4937" s="149" t="n">
        <v>25</v>
      </c>
      <c r="L4937" s="92" t="n">
        <v>190801</v>
      </c>
      <c r="M4937" s="94">
        <f>VLOOKUP($Q4937,매칭테이블!$F:$I,2,0)*K4937</f>
        <v/>
      </c>
      <c r="N4937" s="94">
        <f>M4937-M4937*VLOOKUP($Q4937,매칭테이블!$F:$I,3,0)</f>
        <v/>
      </c>
      <c r="O4937" s="94">
        <f>VLOOKUP($Q4937,매칭테이블!$F:$I,4,0)*K4937</f>
        <v/>
      </c>
      <c r="P4937" s="148">
        <f>M4937/1.1</f>
        <v/>
      </c>
      <c r="Q4937" s="94">
        <f>F4937&amp;E4937&amp;G4937&amp;L4937</f>
        <v/>
      </c>
    </row>
    <row r="4938">
      <c r="A4938" s="94" t="n"/>
      <c r="B4938" s="128" t="n">
        <v>43896</v>
      </c>
      <c r="C4938" s="94">
        <f>TEXT(B4938,"aaa")</f>
        <v/>
      </c>
      <c r="D4938" s="94" t="n"/>
      <c r="E4938" s="6" t="inlineStr">
        <is>
          <t>토너</t>
        </is>
      </c>
      <c r="F4938" s="94" t="inlineStr">
        <is>
          <t>아누아 CS</t>
        </is>
      </c>
      <c r="G4938" s="94" t="inlineStr">
        <is>
          <t>250ml</t>
        </is>
      </c>
      <c r="H4938" s="7" t="n">
        <v>190801</v>
      </c>
      <c r="I4938" s="7" t="n">
        <v>190801</v>
      </c>
      <c r="J4938" s="94" t="n"/>
      <c r="K4938" s="149" t="n">
        <v>1</v>
      </c>
      <c r="L4938" s="92" t="n">
        <v>190801</v>
      </c>
      <c r="M4938" s="94">
        <f>VLOOKUP($Q4938,매칭테이블!$F:$I,2,0)*K4938</f>
        <v/>
      </c>
      <c r="N4938" s="94">
        <f>M4938-M4938*VLOOKUP($Q4938,매칭테이블!$F:$I,3,0)</f>
        <v/>
      </c>
      <c r="O4938" s="94">
        <f>VLOOKUP($Q4938,매칭테이블!$F:$I,4,0)*K4938</f>
        <v/>
      </c>
      <c r="P4938" s="148">
        <f>M4938/1.1</f>
        <v/>
      </c>
      <c r="Q4938" s="94">
        <f>F4938&amp;E4938&amp;G4938&amp;L4938</f>
        <v/>
      </c>
    </row>
    <row r="4939">
      <c r="A4939" s="94" t="n"/>
      <c r="B4939" s="128" t="n">
        <v>43896</v>
      </c>
      <c r="C4939" s="94">
        <f>TEXT(B4939,"aaa")</f>
        <v/>
      </c>
      <c r="D4939" s="94" t="n"/>
      <c r="E4939" s="94" t="inlineStr">
        <is>
          <t>머드크림마스크</t>
        </is>
      </c>
      <c r="F4939" s="94" t="inlineStr">
        <is>
          <t>카페24</t>
        </is>
      </c>
      <c r="G4939" s="94" t="inlineStr">
        <is>
          <t>머드크림마스크 100ml</t>
        </is>
      </c>
      <c r="H4939" s="7" t="n">
        <v>190801</v>
      </c>
      <c r="I4939" s="7" t="n">
        <v>190801</v>
      </c>
      <c r="J4939" s="94" t="n"/>
      <c r="K4939" s="149" t="n">
        <v>13</v>
      </c>
      <c r="L4939" s="94" t="n">
        <v>190801</v>
      </c>
      <c r="M4939" s="94">
        <f>VLOOKUP($Q4939,매칭테이블!$F:$I,2,0)*K4939</f>
        <v/>
      </c>
      <c r="N4939" s="94">
        <f>M4939-M4939*VLOOKUP($Q4939,매칭테이블!$F:$I,3,0)</f>
        <v/>
      </c>
      <c r="O4939" s="94">
        <f>VLOOKUP($Q4939,매칭테이블!$F:$I,4,0)*K4939</f>
        <v/>
      </c>
      <c r="P4939" s="148">
        <f>M4939/1.1</f>
        <v/>
      </c>
      <c r="Q4939" s="94">
        <f>F4939&amp;E4939&amp;G4939&amp;L4939</f>
        <v/>
      </c>
    </row>
    <row r="4940">
      <c r="A4940" s="94" t="n"/>
      <c r="B4940" s="128" t="n">
        <v>43896</v>
      </c>
      <c r="C4940" s="94">
        <f>TEXT(B4940,"aaa")</f>
        <v/>
      </c>
      <c r="D4940" s="94" t="n"/>
      <c r="E4940" s="94" t="inlineStr">
        <is>
          <t>머드크림마스크</t>
        </is>
      </c>
      <c r="F4940" s="94" t="inlineStr">
        <is>
          <t>카페24</t>
        </is>
      </c>
      <c r="G4940" s="94" t="inlineStr">
        <is>
          <t>머드크림마스크 100ml 2set</t>
        </is>
      </c>
      <c r="H4940" s="7" t="n">
        <v>190801</v>
      </c>
      <c r="I4940" s="7" t="n">
        <v>190801</v>
      </c>
      <c r="J4940" s="94" t="n"/>
      <c r="K4940" s="149" t="n">
        <v>3</v>
      </c>
      <c r="L4940" s="94" t="n">
        <v>190801</v>
      </c>
      <c r="M4940" s="94">
        <f>VLOOKUP($Q4940,매칭테이블!$F:$I,2,0)*K4940</f>
        <v/>
      </c>
      <c r="N4940" s="94">
        <f>M4940-M4940*VLOOKUP($Q4940,매칭테이블!$F:$I,3,0)</f>
        <v/>
      </c>
      <c r="O4940" s="94">
        <f>VLOOKUP($Q4940,매칭테이블!$F:$I,4,0)*K4940</f>
        <v/>
      </c>
      <c r="P4940" s="148">
        <f>M4940/1.1</f>
        <v/>
      </c>
      <c r="Q4940" s="94">
        <f>F4940&amp;E4940&amp;G4940&amp;L4940</f>
        <v/>
      </c>
    </row>
    <row r="4941">
      <c r="A4941" s="94" t="n"/>
      <c r="B4941" s="128" t="n">
        <v>43896</v>
      </c>
      <c r="C4941" s="94">
        <f>TEXT(B4941,"aaa")</f>
        <v/>
      </c>
      <c r="D4941" s="94" t="n"/>
      <c r="E4941" s="6" t="inlineStr">
        <is>
          <t>토너</t>
        </is>
      </c>
      <c r="F4941" s="5" t="inlineStr">
        <is>
          <t>카페24</t>
        </is>
      </c>
      <c r="G4941" s="5" t="inlineStr">
        <is>
          <t>250ml</t>
        </is>
      </c>
      <c r="H4941" s="7" t="n">
        <v>190801</v>
      </c>
      <c r="I4941" s="7" t="n">
        <v>190801</v>
      </c>
      <c r="J4941" s="94" t="n"/>
      <c r="K4941" s="149" t="n">
        <v>97</v>
      </c>
      <c r="L4941" s="7" t="n">
        <v>190801</v>
      </c>
      <c r="M4941" s="94">
        <f>VLOOKUP($Q4941,매칭테이블!$F:$I,2,0)*K4941</f>
        <v/>
      </c>
      <c r="N4941" s="94">
        <f>M4941-M4941*VLOOKUP($Q4941,매칭테이블!$F:$I,3,0)</f>
        <v/>
      </c>
      <c r="O4941" s="94">
        <f>VLOOKUP($Q4941,매칭테이블!$F:$I,4,0)*K4941</f>
        <v/>
      </c>
      <c r="P4941" s="148">
        <f>M4941/1.1</f>
        <v/>
      </c>
      <c r="Q4941" s="94">
        <f>F4941&amp;E4941&amp;G4941&amp;L4941</f>
        <v/>
      </c>
    </row>
    <row r="4942">
      <c r="A4942" s="94" t="n"/>
      <c r="B4942" s="128" t="n">
        <v>43896</v>
      </c>
      <c r="C4942" s="94">
        <f>TEXT(B4942,"aaa")</f>
        <v/>
      </c>
      <c r="D4942" s="94" t="n"/>
      <c r="E4942" s="6" t="inlineStr">
        <is>
          <t>토너</t>
        </is>
      </c>
      <c r="F4942" s="5" t="inlineStr">
        <is>
          <t>카페24</t>
        </is>
      </c>
      <c r="G4942" s="5" t="inlineStr">
        <is>
          <t>250ml 2set</t>
        </is>
      </c>
      <c r="H4942" s="7" t="n">
        <v>190801</v>
      </c>
      <c r="I4942" s="7" t="n">
        <v>190801</v>
      </c>
      <c r="J4942" s="94" t="n"/>
      <c r="K4942" s="149" t="n">
        <v>100</v>
      </c>
      <c r="L4942" s="7" t="n">
        <v>190801</v>
      </c>
      <c r="M4942" s="94">
        <f>VLOOKUP($Q4942,매칭테이블!$F:$I,2,0)*K4942</f>
        <v/>
      </c>
      <c r="N4942" s="94">
        <f>M4942-M4942*VLOOKUP($Q4942,매칭테이블!$F:$I,3,0)</f>
        <v/>
      </c>
      <c r="O4942" s="94">
        <f>VLOOKUP($Q4942,매칭테이블!$F:$I,4,0)*K4942</f>
        <v/>
      </c>
      <c r="P4942" s="148">
        <f>M4942/1.1</f>
        <v/>
      </c>
      <c r="Q4942" s="94">
        <f>F4942&amp;E4942&amp;G4942&amp;L4942</f>
        <v/>
      </c>
    </row>
    <row r="4943">
      <c r="A4943" s="94" t="n"/>
      <c r="B4943" s="128" t="n">
        <v>43896</v>
      </c>
      <c r="C4943" s="94">
        <f>TEXT(B4943,"aaa")</f>
        <v/>
      </c>
      <c r="D4943" s="94" t="n"/>
      <c r="E4943" s="6" t="inlineStr">
        <is>
          <t>토너</t>
        </is>
      </c>
      <c r="F4943" s="5" t="inlineStr">
        <is>
          <t>카페24</t>
        </is>
      </c>
      <c r="G4943" s="5" t="inlineStr">
        <is>
          <t>500ml</t>
        </is>
      </c>
      <c r="H4943" s="7" t="n">
        <v>190801</v>
      </c>
      <c r="I4943" s="7" t="n">
        <v>190801</v>
      </c>
      <c r="J4943" s="94" t="n"/>
      <c r="K4943" s="149" t="n">
        <v>42</v>
      </c>
      <c r="L4943" s="7" t="n">
        <v>190801</v>
      </c>
      <c r="M4943" s="94">
        <f>VLOOKUP($Q4943,매칭테이블!$F:$I,2,0)*K4943</f>
        <v/>
      </c>
      <c r="N4943" s="94">
        <f>M4943-M4943*VLOOKUP($Q4943,매칭테이블!$F:$I,3,0)</f>
        <v/>
      </c>
      <c r="O4943" s="94">
        <f>VLOOKUP($Q4943,매칭테이블!$F:$I,4,0)*K4943</f>
        <v/>
      </c>
      <c r="P4943" s="148">
        <f>M4943/1.1</f>
        <v/>
      </c>
      <c r="Q4943" s="94">
        <f>F4943&amp;E4943&amp;G4943&amp;L4943</f>
        <v/>
      </c>
    </row>
    <row r="4944">
      <c r="A4944" s="94" t="n"/>
      <c r="B4944" s="128" t="n">
        <v>43896</v>
      </c>
      <c r="C4944" s="94">
        <f>TEXT(B4944,"aaa")</f>
        <v/>
      </c>
      <c r="D4944" s="94" t="n"/>
      <c r="E4944" s="6" t="inlineStr">
        <is>
          <t>토너</t>
        </is>
      </c>
      <c r="F4944" s="5" t="inlineStr">
        <is>
          <t>카페24</t>
        </is>
      </c>
      <c r="G4944" s="94" t="inlineStr">
        <is>
          <t>스킨팩 화장솜 60P</t>
        </is>
      </c>
      <c r="H4944" s="7" t="n">
        <v>190801</v>
      </c>
      <c r="I4944" s="7" t="n">
        <v>190801</v>
      </c>
      <c r="J4944" s="94" t="n"/>
      <c r="K4944" s="149" t="n">
        <v>104</v>
      </c>
      <c r="L4944" s="7" t="n">
        <v>190801</v>
      </c>
      <c r="M4944" s="94">
        <f>VLOOKUP($Q4944,매칭테이블!$F:$I,2,0)*K4944</f>
        <v/>
      </c>
      <c r="N4944" s="94">
        <f>M4944-M4944*VLOOKUP($Q4944,매칭테이블!$F:$I,3,0)</f>
        <v/>
      </c>
      <c r="O4944" s="94">
        <f>VLOOKUP($Q4944,매칭테이블!$F:$I,4,0)*K4944</f>
        <v/>
      </c>
      <c r="P4944" s="148">
        <f>M4944/1.1</f>
        <v/>
      </c>
      <c r="Q4944" s="94">
        <f>F4944&amp;E4944&amp;G4944&amp;L4944</f>
        <v/>
      </c>
    </row>
    <row r="4945">
      <c r="A4945" s="94" t="n"/>
      <c r="B4945" s="128" t="n">
        <v>43896</v>
      </c>
      <c r="C4945" s="94">
        <f>TEXT(B4945,"aaa")</f>
        <v/>
      </c>
      <c r="D4945" s="94" t="n"/>
      <c r="E4945" s="94" t="inlineStr">
        <is>
          <t>클렌징폼</t>
        </is>
      </c>
      <c r="F4945" s="5" t="inlineStr">
        <is>
          <t>카페24</t>
        </is>
      </c>
      <c r="G4945" s="94" t="inlineStr">
        <is>
          <t>클렌징폼 120ml</t>
        </is>
      </c>
      <c r="H4945" s="7" t="n">
        <v>190801</v>
      </c>
      <c r="I4945" s="7" t="n">
        <v>190801</v>
      </c>
      <c r="J4945" s="94" t="n"/>
      <c r="K4945" s="149" t="n">
        <v>14</v>
      </c>
      <c r="L4945" s="7" t="n">
        <v>190801</v>
      </c>
      <c r="M4945" s="94">
        <f>VLOOKUP($Q4945,매칭테이블!$F:$I,2,0)*K4945</f>
        <v/>
      </c>
      <c r="N4945" s="94">
        <f>M4945-M4945*VLOOKUP($Q4945,매칭테이블!$F:$I,3,0)</f>
        <v/>
      </c>
      <c r="O4945" s="94">
        <f>VLOOKUP($Q4945,매칭테이블!$F:$I,4,0)*K4945</f>
        <v/>
      </c>
      <c r="P4945" s="148">
        <f>M4945/1.1</f>
        <v/>
      </c>
      <c r="Q4945" s="94">
        <f>F4945&amp;E4945&amp;G4945&amp;L4945</f>
        <v/>
      </c>
    </row>
    <row r="4946">
      <c r="A4946" s="94" t="n"/>
      <c r="B4946" s="128" t="n">
        <v>43896</v>
      </c>
      <c r="C4946" s="94">
        <f>TEXT(B4946,"aaa")</f>
        <v/>
      </c>
      <c r="D4946" s="94" t="n"/>
      <c r="E4946" s="94" t="inlineStr">
        <is>
          <t>클렌징폼</t>
        </is>
      </c>
      <c r="F4946" s="94" t="inlineStr">
        <is>
          <t>카페24</t>
        </is>
      </c>
      <c r="G4946" s="94" t="inlineStr">
        <is>
          <t>클렌징폼 120ml 2set</t>
        </is>
      </c>
      <c r="H4946" s="7" t="n">
        <v>190801</v>
      </c>
      <c r="I4946" s="7" t="n">
        <v>190801</v>
      </c>
      <c r="J4946" s="94" t="n"/>
      <c r="K4946" s="149" t="n">
        <v>3</v>
      </c>
      <c r="L4946" s="7" t="n">
        <v>190801</v>
      </c>
      <c r="M4946" s="94">
        <f>VLOOKUP($Q4946,매칭테이블!$F:$I,2,0)*K4946</f>
        <v/>
      </c>
      <c r="N4946" s="94">
        <f>M4946-M4946*VLOOKUP($Q4946,매칭테이블!$F:$I,3,0)</f>
        <v/>
      </c>
      <c r="O4946" s="94">
        <f>VLOOKUP($Q4946,매칭테이블!$F:$I,4,0)*K4946</f>
        <v/>
      </c>
      <c r="P4946" s="148">
        <f>M4946/1.1</f>
        <v/>
      </c>
      <c r="Q4946" s="94">
        <f>F4946&amp;E4946&amp;G4946&amp;L4946</f>
        <v/>
      </c>
    </row>
    <row r="4947">
      <c r="A4947" s="94" t="n"/>
      <c r="B4947" s="128" t="n">
        <v>43896</v>
      </c>
      <c r="C4947" s="94">
        <f>TEXT(B4947,"aaa")</f>
        <v/>
      </c>
      <c r="D4947" s="94" t="n"/>
      <c r="E4947" s="94" t="inlineStr">
        <is>
          <t>토너</t>
        </is>
      </c>
      <c r="F4947" s="94" t="inlineStr">
        <is>
          <t>큐텐</t>
        </is>
      </c>
      <c r="G4947" s="94" t="inlineStr">
        <is>
          <t>250ml</t>
        </is>
      </c>
      <c r="H4947" s="7" t="n">
        <v>190801</v>
      </c>
      <c r="I4947" s="7" t="n">
        <v>190801</v>
      </c>
      <c r="J4947" s="94" t="n"/>
      <c r="K4947" s="149" t="n">
        <v>33</v>
      </c>
      <c r="L4947" s="92" t="n">
        <v>190801</v>
      </c>
      <c r="M4947" s="94">
        <f>VLOOKUP($Q4947,매칭테이블!$F:$I,2,0)*K4947</f>
        <v/>
      </c>
      <c r="N4947" s="94">
        <f>M4947-M4947*VLOOKUP($Q4947,매칭테이블!$F:$I,3,0)</f>
        <v/>
      </c>
      <c r="O4947" s="94">
        <f>VLOOKUP($Q4947,매칭테이블!$F:$I,4,0)*K4947</f>
        <v/>
      </c>
      <c r="P4947" s="148">
        <f>M4947/1.1</f>
        <v/>
      </c>
      <c r="Q4947" s="94">
        <f>F4947&amp;E4947&amp;G4947&amp;L4947</f>
        <v/>
      </c>
    </row>
    <row r="4948">
      <c r="A4948" s="94" t="n"/>
      <c r="B4948" s="128" t="n">
        <v>43896</v>
      </c>
      <c r="C4948" s="94">
        <f>TEXT(B4948,"aaa")</f>
        <v/>
      </c>
      <c r="D4948" s="94" t="n"/>
      <c r="E4948" s="94" t="inlineStr">
        <is>
          <t>토너</t>
        </is>
      </c>
      <c r="F4948" s="94" t="inlineStr">
        <is>
          <t>큐텐</t>
        </is>
      </c>
      <c r="G4948" s="94" t="inlineStr">
        <is>
          <t>250ml 2set</t>
        </is>
      </c>
      <c r="H4948" s="7" t="n">
        <v>190801</v>
      </c>
      <c r="I4948" s="7" t="n">
        <v>190801</v>
      </c>
      <c r="J4948" s="94" t="n"/>
      <c r="K4948" s="149" t="n">
        <v>25</v>
      </c>
      <c r="L4948" s="92" t="n">
        <v>190801</v>
      </c>
      <c r="M4948" s="94">
        <f>VLOOKUP($Q4948,매칭테이블!$F:$I,2,0)*K4948</f>
        <v/>
      </c>
      <c r="N4948" s="94">
        <f>M4948-M4948*VLOOKUP($Q4948,매칭테이블!$F:$I,3,0)</f>
        <v/>
      </c>
      <c r="O4948" s="94">
        <f>VLOOKUP($Q4948,매칭테이블!$F:$I,4,0)*K4948</f>
        <v/>
      </c>
      <c r="P4948" s="148">
        <f>M4948/1.1</f>
        <v/>
      </c>
      <c r="Q4948" s="94">
        <f>F4948&amp;E4948&amp;G4948&amp;L4948</f>
        <v/>
      </c>
    </row>
    <row r="4949">
      <c r="A4949" s="94" t="n"/>
      <c r="B4949" s="128" t="n">
        <v>43897</v>
      </c>
      <c r="C4949" s="94">
        <f>TEXT(B4949,"aaa")</f>
        <v/>
      </c>
      <c r="D4949" s="94" t="n"/>
      <c r="E4949" s="94" t="inlineStr">
        <is>
          <t>토너</t>
        </is>
      </c>
      <c r="F4949" s="5" t="inlineStr">
        <is>
          <t>스타일쉐어</t>
        </is>
      </c>
      <c r="G4949" s="94" t="inlineStr">
        <is>
          <t>250ml</t>
        </is>
      </c>
      <c r="H4949" s="7" t="n">
        <v>190801</v>
      </c>
      <c r="I4949" s="7" t="n">
        <v>190801</v>
      </c>
      <c r="J4949" s="94" t="n"/>
      <c r="K4949" s="149" t="n">
        <v>27</v>
      </c>
      <c r="L4949" s="92" t="n">
        <v>190801</v>
      </c>
      <c r="M4949" s="94">
        <f>VLOOKUP($Q4949,매칭테이블!$F:$I,2,0)*K4949</f>
        <v/>
      </c>
      <c r="N4949" s="94">
        <f>M4949-M4949*VLOOKUP($Q4949,매칭테이블!$F:$I,3,0)</f>
        <v/>
      </c>
      <c r="O4949" s="94">
        <f>VLOOKUP($Q4949,매칭테이블!$F:$I,4,0)*K4949</f>
        <v/>
      </c>
      <c r="P4949" s="148">
        <f>M4949/1.1</f>
        <v/>
      </c>
      <c r="Q4949" s="94">
        <f>F4949&amp;E4949&amp;G4949&amp;L4949</f>
        <v/>
      </c>
    </row>
    <row r="4950">
      <c r="A4950" s="94" t="n"/>
      <c r="B4950" s="128" t="n">
        <v>43897</v>
      </c>
      <c r="C4950" s="94">
        <f>TEXT(B4950,"aaa")</f>
        <v/>
      </c>
      <c r="D4950" s="94" t="n"/>
      <c r="E4950" s="94" t="inlineStr">
        <is>
          <t>머드크림마스크</t>
        </is>
      </c>
      <c r="F4950" s="94" t="inlineStr">
        <is>
          <t>카페24</t>
        </is>
      </c>
      <c r="G4950" s="94" t="inlineStr">
        <is>
          <t>머드크림마스크 100ml</t>
        </is>
      </c>
      <c r="H4950" s="7" t="n">
        <v>190801</v>
      </c>
      <c r="I4950" s="7" t="n">
        <v>190801</v>
      </c>
      <c r="J4950" s="94" t="n"/>
      <c r="K4950" s="149" t="n">
        <v>11</v>
      </c>
      <c r="L4950" s="94" t="n">
        <v>190801</v>
      </c>
      <c r="M4950" s="94">
        <f>VLOOKUP($Q4950,매칭테이블!$F:$I,2,0)*K4950</f>
        <v/>
      </c>
      <c r="N4950" s="94">
        <f>M4950-M4950*VLOOKUP($Q4950,매칭테이블!$F:$I,3,0)</f>
        <v/>
      </c>
      <c r="O4950" s="94">
        <f>VLOOKUP($Q4950,매칭테이블!$F:$I,4,0)*K4950</f>
        <v/>
      </c>
      <c r="P4950" s="148">
        <f>M4950/1.1</f>
        <v/>
      </c>
      <c r="Q4950" s="94">
        <f>F4950&amp;E4950&amp;G4950&amp;L4950</f>
        <v/>
      </c>
    </row>
    <row r="4951">
      <c r="A4951" s="94" t="n"/>
      <c r="B4951" s="128" t="n">
        <v>43897</v>
      </c>
      <c r="C4951" s="94">
        <f>TEXT(B4951,"aaa")</f>
        <v/>
      </c>
      <c r="D4951" s="94" t="n"/>
      <c r="E4951" s="94" t="inlineStr">
        <is>
          <t>머드크림마스크</t>
        </is>
      </c>
      <c r="F4951" s="94" t="inlineStr">
        <is>
          <t>카페24</t>
        </is>
      </c>
      <c r="G4951" s="94" t="inlineStr">
        <is>
          <t>머드크림마스크 100ml 2set</t>
        </is>
      </c>
      <c r="H4951" s="7" t="n">
        <v>190801</v>
      </c>
      <c r="I4951" s="7" t="n">
        <v>190801</v>
      </c>
      <c r="J4951" s="94" t="n"/>
      <c r="K4951" s="149" t="n">
        <v>2</v>
      </c>
      <c r="L4951" s="94" t="n">
        <v>190801</v>
      </c>
      <c r="M4951" s="94">
        <f>VLOOKUP($Q4951,매칭테이블!$F:$I,2,0)*K4951</f>
        <v/>
      </c>
      <c r="N4951" s="94">
        <f>M4951-M4951*VLOOKUP($Q4951,매칭테이블!$F:$I,3,0)</f>
        <v/>
      </c>
      <c r="O4951" s="94">
        <f>VLOOKUP($Q4951,매칭테이블!$F:$I,4,0)*K4951</f>
        <v/>
      </c>
      <c r="P4951" s="148">
        <f>M4951/1.1</f>
        <v/>
      </c>
      <c r="Q4951" s="94">
        <f>F4951&amp;E4951&amp;G4951&amp;L4951</f>
        <v/>
      </c>
    </row>
    <row r="4952">
      <c r="A4952" s="94" t="n"/>
      <c r="B4952" s="128" t="n">
        <v>43897</v>
      </c>
      <c r="C4952" s="94">
        <f>TEXT(B4952,"aaa")</f>
        <v/>
      </c>
      <c r="D4952" s="94" t="n"/>
      <c r="E4952" s="6" t="inlineStr">
        <is>
          <t>토너</t>
        </is>
      </c>
      <c r="F4952" s="5" t="inlineStr">
        <is>
          <t>카페24</t>
        </is>
      </c>
      <c r="G4952" s="5" t="inlineStr">
        <is>
          <t>250ml</t>
        </is>
      </c>
      <c r="H4952" s="7" t="n">
        <v>190801</v>
      </c>
      <c r="I4952" s="7" t="n">
        <v>190801</v>
      </c>
      <c r="J4952" s="94" t="n"/>
      <c r="K4952" s="149" t="n">
        <v>99</v>
      </c>
      <c r="L4952" s="7" t="n">
        <v>190801</v>
      </c>
      <c r="M4952" s="94">
        <f>VLOOKUP($Q4952,매칭테이블!$F:$I,2,0)*K4952</f>
        <v/>
      </c>
      <c r="N4952" s="94">
        <f>M4952-M4952*VLOOKUP($Q4952,매칭테이블!$F:$I,3,0)</f>
        <v/>
      </c>
      <c r="O4952" s="94">
        <f>VLOOKUP($Q4952,매칭테이블!$F:$I,4,0)*K4952</f>
        <v/>
      </c>
      <c r="P4952" s="148">
        <f>M4952/1.1</f>
        <v/>
      </c>
      <c r="Q4952" s="94">
        <f>F4952&amp;E4952&amp;G4952&amp;L4952</f>
        <v/>
      </c>
    </row>
    <row r="4953">
      <c r="A4953" s="94" t="n"/>
      <c r="B4953" s="128" t="n">
        <v>43897</v>
      </c>
      <c r="C4953" s="94">
        <f>TEXT(B4953,"aaa")</f>
        <v/>
      </c>
      <c r="D4953" s="94" t="n"/>
      <c r="E4953" s="6" t="inlineStr">
        <is>
          <t>토너</t>
        </is>
      </c>
      <c r="F4953" s="5" t="inlineStr">
        <is>
          <t>카페24</t>
        </is>
      </c>
      <c r="G4953" s="5" t="inlineStr">
        <is>
          <t>250ml 2set</t>
        </is>
      </c>
      <c r="H4953" s="7" t="n">
        <v>190801</v>
      </c>
      <c r="I4953" s="7" t="n">
        <v>190801</v>
      </c>
      <c r="J4953" s="94" t="n"/>
      <c r="K4953" s="149" t="n">
        <v>63</v>
      </c>
      <c r="L4953" s="7" t="n">
        <v>190801</v>
      </c>
      <c r="M4953" s="94">
        <f>VLOOKUP($Q4953,매칭테이블!$F:$I,2,0)*K4953</f>
        <v/>
      </c>
      <c r="N4953" s="94">
        <f>M4953-M4953*VLOOKUP($Q4953,매칭테이블!$F:$I,3,0)</f>
        <v/>
      </c>
      <c r="O4953" s="94">
        <f>VLOOKUP($Q4953,매칭테이블!$F:$I,4,0)*K4953</f>
        <v/>
      </c>
      <c r="P4953" s="148">
        <f>M4953/1.1</f>
        <v/>
      </c>
      <c r="Q4953" s="94">
        <f>F4953&amp;E4953&amp;G4953&amp;L4953</f>
        <v/>
      </c>
    </row>
    <row r="4954">
      <c r="A4954" s="94" t="n"/>
      <c r="B4954" s="128" t="n">
        <v>43897</v>
      </c>
      <c r="C4954" s="94">
        <f>TEXT(B4954,"aaa")</f>
        <v/>
      </c>
      <c r="D4954" s="94" t="n"/>
      <c r="E4954" s="6" t="inlineStr">
        <is>
          <t>토너</t>
        </is>
      </c>
      <c r="F4954" s="5" t="inlineStr">
        <is>
          <t>카페24</t>
        </is>
      </c>
      <c r="G4954" s="5" t="inlineStr">
        <is>
          <t>500ml</t>
        </is>
      </c>
      <c r="H4954" s="7" t="n">
        <v>190801</v>
      </c>
      <c r="I4954" s="7" t="n">
        <v>190801</v>
      </c>
      <c r="J4954" s="94" t="n"/>
      <c r="K4954" s="149" t="n">
        <v>93</v>
      </c>
      <c r="L4954" s="7" t="n">
        <v>190801</v>
      </c>
      <c r="M4954" s="94">
        <f>VLOOKUP($Q4954,매칭테이블!$F:$I,2,0)*K4954</f>
        <v/>
      </c>
      <c r="N4954" s="94">
        <f>M4954-M4954*VLOOKUP($Q4954,매칭테이블!$F:$I,3,0)</f>
        <v/>
      </c>
      <c r="O4954" s="94">
        <f>VLOOKUP($Q4954,매칭테이블!$F:$I,4,0)*K4954</f>
        <v/>
      </c>
      <c r="P4954" s="148">
        <f>M4954/1.1</f>
        <v/>
      </c>
      <c r="Q4954" s="94">
        <f>F4954&amp;E4954&amp;G4954&amp;L4954</f>
        <v/>
      </c>
    </row>
    <row r="4955">
      <c r="A4955" s="94" t="n"/>
      <c r="B4955" s="128" t="n">
        <v>43897</v>
      </c>
      <c r="C4955" s="94">
        <f>TEXT(B4955,"aaa")</f>
        <v/>
      </c>
      <c r="D4955" s="94" t="n"/>
      <c r="E4955" s="6" t="inlineStr">
        <is>
          <t>토너</t>
        </is>
      </c>
      <c r="F4955" s="5" t="inlineStr">
        <is>
          <t>카페24</t>
        </is>
      </c>
      <c r="G4955" s="94" t="inlineStr">
        <is>
          <t>스킨팩 화장솜 60P</t>
        </is>
      </c>
      <c r="H4955" s="7" t="n">
        <v>190801</v>
      </c>
      <c r="I4955" s="7" t="n">
        <v>190801</v>
      </c>
      <c r="J4955" s="94" t="n"/>
      <c r="K4955" s="149" t="n">
        <v>101</v>
      </c>
      <c r="L4955" s="7" t="n">
        <v>190801</v>
      </c>
      <c r="M4955" s="94">
        <f>VLOOKUP($Q4955,매칭테이블!$F:$I,2,0)*K4955</f>
        <v/>
      </c>
      <c r="N4955" s="94">
        <f>M4955-M4955*VLOOKUP($Q4955,매칭테이블!$F:$I,3,0)</f>
        <v/>
      </c>
      <c r="O4955" s="94">
        <f>VLOOKUP($Q4955,매칭테이블!$F:$I,4,0)*K4955</f>
        <v/>
      </c>
      <c r="P4955" s="148">
        <f>M4955/1.1</f>
        <v/>
      </c>
      <c r="Q4955" s="94">
        <f>F4955&amp;E4955&amp;G4955&amp;L4955</f>
        <v/>
      </c>
    </row>
    <row r="4956">
      <c r="A4956" s="94" t="n"/>
      <c r="B4956" s="128" t="n">
        <v>43897</v>
      </c>
      <c r="C4956" s="94">
        <f>TEXT(B4956,"aaa")</f>
        <v/>
      </c>
      <c r="D4956" s="94" t="n"/>
      <c r="E4956" s="94" t="inlineStr">
        <is>
          <t>클렌징폼</t>
        </is>
      </c>
      <c r="F4956" s="5" t="inlineStr">
        <is>
          <t>카페24</t>
        </is>
      </c>
      <c r="G4956" s="94" t="inlineStr">
        <is>
          <t>클렌징폼 120ml</t>
        </is>
      </c>
      <c r="H4956" s="7" t="n">
        <v>190801</v>
      </c>
      <c r="I4956" s="7" t="n">
        <v>190801</v>
      </c>
      <c r="J4956" s="94" t="n"/>
      <c r="K4956" s="149" t="n">
        <v>13</v>
      </c>
      <c r="L4956" s="7" t="n">
        <v>190801</v>
      </c>
      <c r="M4956" s="94">
        <f>VLOOKUP($Q4956,매칭테이블!$F:$I,2,0)*K4956</f>
        <v/>
      </c>
      <c r="N4956" s="94">
        <f>M4956-M4956*VLOOKUP($Q4956,매칭테이블!$F:$I,3,0)</f>
        <v/>
      </c>
      <c r="O4956" s="94">
        <f>VLOOKUP($Q4956,매칭테이블!$F:$I,4,0)*K4956</f>
        <v/>
      </c>
      <c r="P4956" s="148">
        <f>M4956/1.1</f>
        <v/>
      </c>
      <c r="Q4956" s="94">
        <f>F4956&amp;E4956&amp;G4956&amp;L4956</f>
        <v/>
      </c>
    </row>
    <row r="4957">
      <c r="A4957" s="94" t="n"/>
      <c r="B4957" s="128" t="n">
        <v>43897</v>
      </c>
      <c r="C4957" s="94">
        <f>TEXT(B4957,"aaa")</f>
        <v/>
      </c>
      <c r="D4957" s="94" t="n"/>
      <c r="E4957" s="94" t="inlineStr">
        <is>
          <t>클렌징폼</t>
        </is>
      </c>
      <c r="F4957" s="94" t="inlineStr">
        <is>
          <t>카페24</t>
        </is>
      </c>
      <c r="G4957" s="94" t="inlineStr">
        <is>
          <t>클렌징폼 120ml 2set</t>
        </is>
      </c>
      <c r="H4957" s="7" t="n">
        <v>190801</v>
      </c>
      <c r="I4957" s="7" t="n">
        <v>190801</v>
      </c>
      <c r="J4957" s="94" t="n"/>
      <c r="K4957" s="149" t="n">
        <v>2</v>
      </c>
      <c r="L4957" s="7" t="n">
        <v>190801</v>
      </c>
      <c r="M4957" s="94">
        <f>VLOOKUP($Q4957,매칭테이블!$F:$I,2,0)*K4957</f>
        <v/>
      </c>
      <c r="N4957" s="94">
        <f>M4957-M4957*VLOOKUP($Q4957,매칭테이블!$F:$I,3,0)</f>
        <v/>
      </c>
      <c r="O4957" s="94">
        <f>VLOOKUP($Q4957,매칭테이블!$F:$I,4,0)*K4957</f>
        <v/>
      </c>
      <c r="P4957" s="148">
        <f>M4957/1.1</f>
        <v/>
      </c>
      <c r="Q4957" s="94">
        <f>F4957&amp;E4957&amp;G4957&amp;L4957</f>
        <v/>
      </c>
    </row>
    <row r="4958">
      <c r="A4958" s="94" t="n"/>
      <c r="B4958" s="128" t="n">
        <v>43898</v>
      </c>
      <c r="C4958" s="94">
        <f>TEXT(B4958,"aaa")</f>
        <v/>
      </c>
      <c r="D4958" s="94" t="n"/>
      <c r="E4958" s="94" t="inlineStr">
        <is>
          <t>토너</t>
        </is>
      </c>
      <c r="F4958" s="5" t="inlineStr">
        <is>
          <t>스타일쉐어</t>
        </is>
      </c>
      <c r="G4958" s="94" t="inlineStr">
        <is>
          <t>250ml</t>
        </is>
      </c>
      <c r="H4958" s="7" t="n">
        <v>190801</v>
      </c>
      <c r="I4958" s="7" t="n">
        <v>190801</v>
      </c>
      <c r="J4958" s="94" t="n"/>
      <c r="K4958" s="149" t="n">
        <v>32</v>
      </c>
      <c r="L4958" s="92" t="n">
        <v>190801</v>
      </c>
      <c r="M4958" s="94">
        <f>VLOOKUP($Q4958,매칭테이블!$F:$I,2,0)*K4958</f>
        <v/>
      </c>
      <c r="N4958" s="94">
        <f>M4958-M4958*VLOOKUP($Q4958,매칭테이블!$F:$I,3,0)</f>
        <v/>
      </c>
      <c r="O4958" s="94">
        <f>VLOOKUP($Q4958,매칭테이블!$F:$I,4,0)*K4958</f>
        <v/>
      </c>
      <c r="P4958" s="148">
        <f>M4958/1.1</f>
        <v/>
      </c>
      <c r="Q4958" s="94">
        <f>F4958&amp;E4958&amp;G4958&amp;L4958</f>
        <v/>
      </c>
    </row>
    <row r="4959">
      <c r="A4959" s="94" t="n"/>
      <c r="B4959" s="128" t="n">
        <v>43898</v>
      </c>
      <c r="C4959" s="94">
        <f>TEXT(B4959,"aaa")</f>
        <v/>
      </c>
      <c r="D4959" s="94" t="n"/>
      <c r="E4959" s="94" t="inlineStr">
        <is>
          <t>머드크림마스크</t>
        </is>
      </c>
      <c r="F4959" s="94" t="inlineStr">
        <is>
          <t>카페24</t>
        </is>
      </c>
      <c r="G4959" s="94" t="inlineStr">
        <is>
          <t>머드크림마스크 100ml</t>
        </is>
      </c>
      <c r="H4959" s="7" t="n">
        <v>190801</v>
      </c>
      <c r="I4959" s="7" t="n">
        <v>190801</v>
      </c>
      <c r="J4959" s="94" t="n"/>
      <c r="K4959" s="149" t="n">
        <v>13</v>
      </c>
      <c r="L4959" s="94" t="n">
        <v>190801</v>
      </c>
      <c r="M4959" s="94">
        <f>VLOOKUP($Q4959,매칭테이블!$F:$I,2,0)*K4959</f>
        <v/>
      </c>
      <c r="N4959" s="94">
        <f>M4959-M4959*VLOOKUP($Q4959,매칭테이블!$F:$I,3,0)</f>
        <v/>
      </c>
      <c r="O4959" s="94">
        <f>VLOOKUP($Q4959,매칭테이블!$F:$I,4,0)*K4959</f>
        <v/>
      </c>
      <c r="P4959" s="148">
        <f>M4959/1.1</f>
        <v/>
      </c>
      <c r="Q4959" s="94">
        <f>F4959&amp;E4959&amp;G4959&amp;L4959</f>
        <v/>
      </c>
    </row>
    <row r="4960">
      <c r="A4960" s="94" t="n"/>
      <c r="B4960" s="128" t="n">
        <v>43898</v>
      </c>
      <c r="C4960" s="94">
        <f>TEXT(B4960,"aaa")</f>
        <v/>
      </c>
      <c r="D4960" s="94" t="n"/>
      <c r="E4960" s="94" t="inlineStr">
        <is>
          <t>머드크림마스크</t>
        </is>
      </c>
      <c r="F4960" s="94" t="inlineStr">
        <is>
          <t>카페24</t>
        </is>
      </c>
      <c r="G4960" s="94" t="inlineStr">
        <is>
          <t>머드크림마스크 100ml 2set</t>
        </is>
      </c>
      <c r="H4960" s="7" t="n">
        <v>190801</v>
      </c>
      <c r="I4960" s="7" t="n">
        <v>190801</v>
      </c>
      <c r="J4960" s="94" t="n"/>
      <c r="K4960" s="149" t="n">
        <v>1</v>
      </c>
      <c r="L4960" s="94" t="n">
        <v>190801</v>
      </c>
      <c r="M4960" s="94">
        <f>VLOOKUP($Q4960,매칭테이블!$F:$I,2,0)*K4960</f>
        <v/>
      </c>
      <c r="N4960" s="94">
        <f>M4960-M4960*VLOOKUP($Q4960,매칭테이블!$F:$I,3,0)</f>
        <v/>
      </c>
      <c r="O4960" s="94">
        <f>VLOOKUP($Q4960,매칭테이블!$F:$I,4,0)*K4960</f>
        <v/>
      </c>
      <c r="P4960" s="148">
        <f>M4960/1.1</f>
        <v/>
      </c>
      <c r="Q4960" s="94">
        <f>F4960&amp;E4960&amp;G4960&amp;L4960</f>
        <v/>
      </c>
    </row>
    <row r="4961">
      <c r="A4961" s="94" t="n"/>
      <c r="B4961" s="128" t="n">
        <v>43898</v>
      </c>
      <c r="C4961" s="94">
        <f>TEXT(B4961,"aaa")</f>
        <v/>
      </c>
      <c r="D4961" s="94" t="n"/>
      <c r="E4961" s="6" t="inlineStr">
        <is>
          <t>토너</t>
        </is>
      </c>
      <c r="F4961" s="5" t="inlineStr">
        <is>
          <t>카페24</t>
        </is>
      </c>
      <c r="G4961" s="5" t="inlineStr">
        <is>
          <t>250ml</t>
        </is>
      </c>
      <c r="H4961" s="7" t="n">
        <v>190801</v>
      </c>
      <c r="I4961" s="7" t="n">
        <v>190801</v>
      </c>
      <c r="J4961" s="94" t="n"/>
      <c r="K4961" s="149" t="n">
        <v>98</v>
      </c>
      <c r="L4961" s="7" t="n">
        <v>190801</v>
      </c>
      <c r="M4961" s="94">
        <f>VLOOKUP($Q4961,매칭테이블!$F:$I,2,0)*K4961</f>
        <v/>
      </c>
      <c r="N4961" s="94">
        <f>M4961-M4961*VLOOKUP($Q4961,매칭테이블!$F:$I,3,0)</f>
        <v/>
      </c>
      <c r="O4961" s="94">
        <f>VLOOKUP($Q4961,매칭테이블!$F:$I,4,0)*K4961</f>
        <v/>
      </c>
      <c r="P4961" s="148">
        <f>M4961/1.1</f>
        <v/>
      </c>
      <c r="Q4961" s="94">
        <f>F4961&amp;E4961&amp;G4961&amp;L4961</f>
        <v/>
      </c>
    </row>
    <row r="4962">
      <c r="A4962" s="94" t="n"/>
      <c r="B4962" s="128" t="n">
        <v>43898</v>
      </c>
      <c r="C4962" s="94">
        <f>TEXT(B4962,"aaa")</f>
        <v/>
      </c>
      <c r="D4962" s="94" t="n"/>
      <c r="E4962" s="6" t="inlineStr">
        <is>
          <t>토너</t>
        </is>
      </c>
      <c r="F4962" s="5" t="inlineStr">
        <is>
          <t>카페24</t>
        </is>
      </c>
      <c r="G4962" s="5" t="inlineStr">
        <is>
          <t>250ml 2set</t>
        </is>
      </c>
      <c r="H4962" s="7" t="n">
        <v>190801</v>
      </c>
      <c r="I4962" s="7" t="n">
        <v>190801</v>
      </c>
      <c r="J4962" s="94" t="n"/>
      <c r="K4962" s="149" t="n">
        <v>68</v>
      </c>
      <c r="L4962" s="7" t="n">
        <v>190801</v>
      </c>
      <c r="M4962" s="94">
        <f>VLOOKUP($Q4962,매칭테이블!$F:$I,2,0)*K4962</f>
        <v/>
      </c>
      <c r="N4962" s="94">
        <f>M4962-M4962*VLOOKUP($Q4962,매칭테이블!$F:$I,3,0)</f>
        <v/>
      </c>
      <c r="O4962" s="94">
        <f>VLOOKUP($Q4962,매칭테이블!$F:$I,4,0)*K4962</f>
        <v/>
      </c>
      <c r="P4962" s="148">
        <f>M4962/1.1</f>
        <v/>
      </c>
      <c r="Q4962" s="94">
        <f>F4962&amp;E4962&amp;G4962&amp;L4962</f>
        <v/>
      </c>
    </row>
    <row r="4963">
      <c r="A4963" s="94" t="n"/>
      <c r="B4963" s="128" t="n">
        <v>43898</v>
      </c>
      <c r="C4963" s="94">
        <f>TEXT(B4963,"aaa")</f>
        <v/>
      </c>
      <c r="D4963" s="94" t="n"/>
      <c r="E4963" s="6" t="inlineStr">
        <is>
          <t>토너</t>
        </is>
      </c>
      <c r="F4963" s="5" t="inlineStr">
        <is>
          <t>카페24</t>
        </is>
      </c>
      <c r="G4963" s="5" t="inlineStr">
        <is>
          <t>500ml</t>
        </is>
      </c>
      <c r="H4963" s="7" t="n">
        <v>190801</v>
      </c>
      <c r="I4963" s="7" t="n">
        <v>190801</v>
      </c>
      <c r="J4963" s="94" t="n"/>
      <c r="K4963" s="149" t="n">
        <v>112</v>
      </c>
      <c r="L4963" s="7" t="n">
        <v>190801</v>
      </c>
      <c r="M4963" s="94">
        <f>VLOOKUP($Q4963,매칭테이블!$F:$I,2,0)*K4963</f>
        <v/>
      </c>
      <c r="N4963" s="94">
        <f>M4963-M4963*VLOOKUP($Q4963,매칭테이블!$F:$I,3,0)</f>
        <v/>
      </c>
      <c r="O4963" s="94">
        <f>VLOOKUP($Q4963,매칭테이블!$F:$I,4,0)*K4963</f>
        <v/>
      </c>
      <c r="P4963" s="148">
        <f>M4963/1.1</f>
        <v/>
      </c>
      <c r="Q4963" s="94">
        <f>F4963&amp;E4963&amp;G4963&amp;L4963</f>
        <v/>
      </c>
    </row>
    <row r="4964">
      <c r="A4964" s="94" t="n"/>
      <c r="B4964" s="128" t="n">
        <v>43898</v>
      </c>
      <c r="C4964" s="94">
        <f>TEXT(B4964,"aaa")</f>
        <v/>
      </c>
      <c r="D4964" s="94" t="n"/>
      <c r="E4964" s="6" t="inlineStr">
        <is>
          <t>토너</t>
        </is>
      </c>
      <c r="F4964" s="5" t="inlineStr">
        <is>
          <t>카페24</t>
        </is>
      </c>
      <c r="G4964" s="94" t="inlineStr">
        <is>
          <t>스킨팩 화장솜 60P</t>
        </is>
      </c>
      <c r="H4964" s="7" t="n">
        <v>190801</v>
      </c>
      <c r="I4964" s="7" t="n">
        <v>190801</v>
      </c>
      <c r="J4964" s="94" t="n"/>
      <c r="K4964" s="149" t="n">
        <v>113</v>
      </c>
      <c r="L4964" s="7" t="n">
        <v>190801</v>
      </c>
      <c r="M4964" s="94">
        <f>VLOOKUP($Q4964,매칭테이블!$F:$I,2,0)*K4964</f>
        <v/>
      </c>
      <c r="N4964" s="94">
        <f>M4964-M4964*VLOOKUP($Q4964,매칭테이블!$F:$I,3,0)</f>
        <v/>
      </c>
      <c r="O4964" s="94">
        <f>VLOOKUP($Q4964,매칭테이블!$F:$I,4,0)*K4964</f>
        <v/>
      </c>
      <c r="P4964" s="148">
        <f>M4964/1.1</f>
        <v/>
      </c>
      <c r="Q4964" s="94">
        <f>F4964&amp;E4964&amp;G4964&amp;L4964</f>
        <v/>
      </c>
    </row>
    <row r="4965">
      <c r="A4965" s="94" t="n"/>
      <c r="B4965" s="128" t="n">
        <v>43898</v>
      </c>
      <c r="C4965" s="94">
        <f>TEXT(B4965,"aaa")</f>
        <v/>
      </c>
      <c r="D4965" s="94" t="n"/>
      <c r="E4965" s="94" t="inlineStr">
        <is>
          <t>클렌징폼</t>
        </is>
      </c>
      <c r="F4965" s="5" t="inlineStr">
        <is>
          <t>카페24</t>
        </is>
      </c>
      <c r="G4965" s="94" t="inlineStr">
        <is>
          <t>클렌징폼 120ml</t>
        </is>
      </c>
      <c r="H4965" s="7" t="n">
        <v>190801</v>
      </c>
      <c r="I4965" s="7" t="n">
        <v>190801</v>
      </c>
      <c r="J4965" s="94" t="n"/>
      <c r="K4965" s="149" t="n">
        <v>19</v>
      </c>
      <c r="L4965" s="7" t="n">
        <v>190801</v>
      </c>
      <c r="M4965" s="94">
        <f>VLOOKUP($Q4965,매칭테이블!$F:$I,2,0)*K4965</f>
        <v/>
      </c>
      <c r="N4965" s="94">
        <f>M4965-M4965*VLOOKUP($Q4965,매칭테이블!$F:$I,3,0)</f>
        <v/>
      </c>
      <c r="O4965" s="94">
        <f>VLOOKUP($Q4965,매칭테이블!$F:$I,4,0)*K4965</f>
        <v/>
      </c>
      <c r="P4965" s="148">
        <f>M4965/1.1</f>
        <v/>
      </c>
      <c r="Q4965" s="94">
        <f>F4965&amp;E4965&amp;G4965&amp;L4965</f>
        <v/>
      </c>
    </row>
    <row r="4966">
      <c r="A4966" s="94" t="n"/>
      <c r="B4966" s="128" t="n">
        <v>43898</v>
      </c>
      <c r="C4966" s="94">
        <f>TEXT(B4966,"aaa")</f>
        <v/>
      </c>
      <c r="D4966" s="94" t="n"/>
      <c r="E4966" s="94" t="inlineStr">
        <is>
          <t>클렌징폼</t>
        </is>
      </c>
      <c r="F4966" s="94" t="inlineStr">
        <is>
          <t>카페24</t>
        </is>
      </c>
      <c r="G4966" s="94" t="inlineStr">
        <is>
          <t>클렌징폼 120ml 2set</t>
        </is>
      </c>
      <c r="H4966" s="7" t="n">
        <v>190801</v>
      </c>
      <c r="I4966" s="7" t="n">
        <v>190801</v>
      </c>
      <c r="J4966" s="94" t="n"/>
      <c r="K4966" s="149" t="n">
        <v>2</v>
      </c>
      <c r="L4966" s="7" t="n">
        <v>190801</v>
      </c>
      <c r="M4966" s="94">
        <f>VLOOKUP($Q4966,매칭테이블!$F:$I,2,0)*K4966</f>
        <v/>
      </c>
      <c r="N4966" s="94">
        <f>M4966-M4966*VLOOKUP($Q4966,매칭테이블!$F:$I,3,0)</f>
        <v/>
      </c>
      <c r="O4966" s="94">
        <f>VLOOKUP($Q4966,매칭테이블!$F:$I,4,0)*K4966</f>
        <v/>
      </c>
      <c r="P4966" s="148">
        <f>M4966/1.1</f>
        <v/>
      </c>
      <c r="Q4966" s="94">
        <f>F4966&amp;E4966&amp;G4966&amp;L4966</f>
        <v/>
      </c>
    </row>
    <row r="4967">
      <c r="A4967" s="94" t="n"/>
      <c r="B4967" s="128" t="n">
        <v>43898</v>
      </c>
      <c r="C4967" s="94">
        <f>TEXT(B4967,"aaa")</f>
        <v/>
      </c>
      <c r="D4967" s="94" t="n"/>
      <c r="E4967" s="94" t="inlineStr">
        <is>
          <t>클렌징폼</t>
        </is>
      </c>
      <c r="F4967" s="94" t="inlineStr">
        <is>
          <t>카페24</t>
        </is>
      </c>
      <c r="G4967" s="94" t="inlineStr">
        <is>
          <t>클렌징폼 120ml 3set</t>
        </is>
      </c>
      <c r="H4967" s="7" t="n">
        <v>190801</v>
      </c>
      <c r="I4967" s="7" t="n">
        <v>190801</v>
      </c>
      <c r="J4967" s="94" t="n"/>
      <c r="K4967" s="149" t="n">
        <v>1</v>
      </c>
      <c r="L4967" s="7" t="n">
        <v>190801</v>
      </c>
      <c r="M4967" s="94">
        <f>VLOOKUP($Q4967,매칭테이블!$F:$I,2,0)*K4967</f>
        <v/>
      </c>
      <c r="N4967" s="94">
        <f>M4967-M4967*VLOOKUP($Q4967,매칭테이블!$F:$I,3,0)</f>
        <v/>
      </c>
      <c r="O4967" s="94">
        <f>VLOOKUP($Q4967,매칭테이블!$F:$I,4,0)*K4967</f>
        <v/>
      </c>
      <c r="P4967" s="148">
        <f>M4967/1.1</f>
        <v/>
      </c>
      <c r="Q4967" s="94">
        <f>F4967&amp;E4967&amp;G4967&amp;L4967</f>
        <v/>
      </c>
    </row>
    <row r="4968">
      <c r="A4968" s="94" t="n"/>
      <c r="B4968" s="128" t="n">
        <v>43898</v>
      </c>
      <c r="C4968" s="94">
        <f>TEXT(B4968,"aaa")</f>
        <v/>
      </c>
      <c r="D4968" s="94" t="n"/>
      <c r="E4968" s="94" t="inlineStr">
        <is>
          <t>토너 기획세트</t>
        </is>
      </c>
      <c r="F4968" s="5" t="inlineStr">
        <is>
          <t>랄라블라</t>
        </is>
      </c>
      <c r="G4968" s="94" t="inlineStr">
        <is>
          <t>토너 기획세트</t>
        </is>
      </c>
      <c r="H4968" s="7" t="n">
        <v>190801</v>
      </c>
      <c r="I4968" s="7" t="n">
        <v>190801</v>
      </c>
      <c r="J4968" s="94" t="n"/>
      <c r="K4968" s="149" t="n">
        <v>1325</v>
      </c>
      <c r="L4968" s="7" t="n">
        <v>190801</v>
      </c>
      <c r="M4968" s="94">
        <f>VLOOKUP($Q4968,매칭테이블!$F:$I,2,0)*K4968</f>
        <v/>
      </c>
      <c r="N4968" s="94">
        <f>M4968-M4968*VLOOKUP($Q4968,매칭테이블!$F:$I,3,0)</f>
        <v/>
      </c>
      <c r="O4968" s="94">
        <f>VLOOKUP($Q4968,매칭테이블!$F:$I,4,0)*K4968</f>
        <v/>
      </c>
      <c r="P4968" s="148">
        <f>M4968/1.1</f>
        <v/>
      </c>
      <c r="Q4968" s="94">
        <f>F4968&amp;E4968&amp;G4968&amp;L4968</f>
        <v/>
      </c>
    </row>
    <row r="4969">
      <c r="A4969" s="94" t="n"/>
      <c r="B4969" s="128" t="n">
        <v>43898</v>
      </c>
      <c r="C4969" s="94">
        <f>TEXT(B4969,"aaa")</f>
        <v/>
      </c>
      <c r="D4969" s="94" t="n"/>
      <c r="E4969" s="94" t="inlineStr">
        <is>
          <t>토너</t>
        </is>
      </c>
      <c r="F4969" s="5" t="inlineStr">
        <is>
          <t>랄라블라</t>
        </is>
      </c>
      <c r="G4969" s="94" t="inlineStr">
        <is>
          <t>250ml</t>
        </is>
      </c>
      <c r="H4969" s="7" t="n">
        <v>190801</v>
      </c>
      <c r="I4969" s="7" t="n">
        <v>190801</v>
      </c>
      <c r="J4969" s="94" t="n"/>
      <c r="K4969" s="149" t="n">
        <v>632</v>
      </c>
      <c r="L4969" s="92" t="n">
        <v>190801</v>
      </c>
      <c r="M4969" s="94">
        <f>VLOOKUP($Q4969,매칭테이블!$F:$I,2,0)*K4969</f>
        <v/>
      </c>
      <c r="N4969" s="94">
        <f>M4969-M4969*VLOOKUP($Q4969,매칭테이블!$F:$I,3,0)</f>
        <v/>
      </c>
      <c r="O4969" s="94">
        <f>VLOOKUP($Q4969,매칭테이블!$F:$I,4,0)*K4969</f>
        <v/>
      </c>
      <c r="P4969" s="148">
        <f>M4969/1.1</f>
        <v/>
      </c>
      <c r="Q4969" s="94">
        <f>F4969&amp;E4969&amp;G4969&amp;L4969</f>
        <v/>
      </c>
    </row>
    <row r="4970">
      <c r="A4970" s="94" t="n"/>
      <c r="B4970" s="128" t="n">
        <v>43898</v>
      </c>
      <c r="C4970" s="94">
        <f>TEXT(B4970,"aaa")</f>
        <v/>
      </c>
      <c r="D4970" s="94" t="n"/>
      <c r="E4970" s="94" t="inlineStr">
        <is>
          <t>머드크림마스크</t>
        </is>
      </c>
      <c r="F4970" s="5" t="inlineStr">
        <is>
          <t>랄라블라</t>
        </is>
      </c>
      <c r="G4970" s="94" t="inlineStr">
        <is>
          <t>머드크림마스크 100ml</t>
        </is>
      </c>
      <c r="H4970" s="7" t="n">
        <v>190801</v>
      </c>
      <c r="I4970" s="7" t="n">
        <v>190801</v>
      </c>
      <c r="J4970" s="94" t="n"/>
      <c r="K4970" s="149" t="n">
        <v>3</v>
      </c>
      <c r="L4970" s="94" t="n">
        <v>190801</v>
      </c>
      <c r="M4970" s="94">
        <f>VLOOKUP($Q4970,매칭테이블!$F:$I,2,0)*K4970</f>
        <v/>
      </c>
      <c r="N4970" s="94">
        <f>M4970-M4970*VLOOKUP($Q4970,매칭테이블!$F:$I,3,0)</f>
        <v/>
      </c>
      <c r="O4970" s="94">
        <f>VLOOKUP($Q4970,매칭테이블!$F:$I,4,0)*K4970</f>
        <v/>
      </c>
      <c r="P4970" s="148">
        <f>M4970/1.1</f>
        <v/>
      </c>
      <c r="Q4970" s="94">
        <f>F4970&amp;E4970&amp;G4970&amp;L4970</f>
        <v/>
      </c>
    </row>
    <row r="4971">
      <c r="A4971" s="94" t="n"/>
      <c r="B4971" s="128" t="n">
        <v>43898</v>
      </c>
      <c r="C4971" s="94">
        <f>TEXT(B4971,"aaa")</f>
        <v/>
      </c>
      <c r="D4971" s="94" t="n"/>
      <c r="E4971" s="94" t="inlineStr">
        <is>
          <t>클렌징폼</t>
        </is>
      </c>
      <c r="F4971" s="5" t="inlineStr">
        <is>
          <t>랄라블라</t>
        </is>
      </c>
      <c r="G4971" s="94" t="inlineStr">
        <is>
          <t>클렌징폼 120ml</t>
        </is>
      </c>
      <c r="H4971" s="7" t="n">
        <v>190801</v>
      </c>
      <c r="I4971" s="7" t="n">
        <v>190801</v>
      </c>
      <c r="J4971" s="94" t="n"/>
      <c r="K4971" s="149" t="n">
        <v>9</v>
      </c>
      <c r="L4971" s="7" t="n">
        <v>190801</v>
      </c>
      <c r="M4971" s="94">
        <f>VLOOKUP($Q4971,매칭테이블!$F:$I,2,0)*K4971</f>
        <v/>
      </c>
      <c r="N4971" s="94">
        <f>M4971-M4971*VLOOKUP($Q4971,매칭테이블!$F:$I,3,0)</f>
        <v/>
      </c>
      <c r="O4971" s="94">
        <f>VLOOKUP($Q4971,매칭테이블!$F:$I,4,0)*K4971</f>
        <v/>
      </c>
      <c r="P4971" s="148">
        <f>M4971/1.1</f>
        <v/>
      </c>
      <c r="Q4971" s="94">
        <f>F4971&amp;E4971&amp;G4971&amp;L4971</f>
        <v/>
      </c>
    </row>
    <row r="4972">
      <c r="A4972" s="94" t="n"/>
      <c r="B4972" s="128" t="n">
        <v>43899</v>
      </c>
      <c r="C4972" s="94">
        <f>TEXT(B4972,"aaa")</f>
        <v/>
      </c>
      <c r="D4972" s="94" t="n"/>
      <c r="E4972" s="6" t="inlineStr">
        <is>
          <t>토너</t>
        </is>
      </c>
      <c r="F4972" s="5" t="inlineStr">
        <is>
          <t>W컨셉</t>
        </is>
      </c>
      <c r="G4972" s="5" t="inlineStr">
        <is>
          <t>250ml</t>
        </is>
      </c>
      <c r="H4972" s="7" t="n">
        <v>190801</v>
      </c>
      <c r="I4972" s="7" t="n">
        <v>190801</v>
      </c>
      <c r="J4972" s="94" t="n"/>
      <c r="K4972" s="149" t="n">
        <v>4</v>
      </c>
      <c r="L4972" s="7" t="n">
        <v>190801</v>
      </c>
      <c r="M4972" s="94">
        <f>VLOOKUP($Q4972,매칭테이블!$F:$I,2,0)*K4972</f>
        <v/>
      </c>
      <c r="N4972" s="94">
        <f>M4972-M4972*VLOOKUP($Q4972,매칭테이블!$F:$I,3,0)</f>
        <v/>
      </c>
      <c r="O4972" s="94">
        <f>VLOOKUP($Q4972,매칭테이블!$F:$I,4,0)*K4972</f>
        <v/>
      </c>
      <c r="P4972" s="148">
        <f>M4972/1.1</f>
        <v/>
      </c>
      <c r="Q4972" s="94">
        <f>F4972&amp;E4972&amp;G4972&amp;L4972</f>
        <v/>
      </c>
    </row>
    <row r="4973">
      <c r="A4973" s="94" t="n"/>
      <c r="B4973" s="128" t="n">
        <v>43899</v>
      </c>
      <c r="C4973" s="94">
        <f>TEXT(B4973,"aaa")</f>
        <v/>
      </c>
      <c r="D4973" s="94" t="n"/>
      <c r="E4973" s="6" t="inlineStr">
        <is>
          <t>토너</t>
        </is>
      </c>
      <c r="F4973" s="5" t="inlineStr">
        <is>
          <t>W컨셉</t>
        </is>
      </c>
      <c r="G4973" s="5" t="inlineStr">
        <is>
          <t>250ml 2set</t>
        </is>
      </c>
      <c r="H4973" s="7" t="n">
        <v>190801</v>
      </c>
      <c r="I4973" s="7" t="n">
        <v>190801</v>
      </c>
      <c r="J4973" s="94" t="n"/>
      <c r="K4973" s="149" t="n">
        <v>34</v>
      </c>
      <c r="L4973" s="7" t="n">
        <v>190801</v>
      </c>
      <c r="M4973" s="94">
        <f>VLOOKUP($Q4973,매칭테이블!$F:$I,2,0)*K4973</f>
        <v/>
      </c>
      <c r="N4973" s="94">
        <f>M4973-M4973*VLOOKUP($Q4973,매칭테이블!$F:$I,3,0)</f>
        <v/>
      </c>
      <c r="O4973" s="94">
        <f>VLOOKUP($Q4973,매칭테이블!$F:$I,4,0)*K4973</f>
        <v/>
      </c>
      <c r="P4973" s="148">
        <f>M4973/1.1</f>
        <v/>
      </c>
      <c r="Q4973" s="94">
        <f>F4973&amp;E4973&amp;G4973&amp;L4973</f>
        <v/>
      </c>
    </row>
    <row r="4974">
      <c r="A4974" s="94" t="n"/>
      <c r="B4974" s="128" t="n">
        <v>43899</v>
      </c>
      <c r="C4974" s="94">
        <f>TEXT(B4974,"aaa")</f>
        <v/>
      </c>
      <c r="D4974" s="94" t="n"/>
      <c r="E4974" s="94" t="inlineStr">
        <is>
          <t>토너</t>
        </is>
      </c>
      <c r="F4974" s="5" t="inlineStr">
        <is>
          <t>스타일쉐어</t>
        </is>
      </c>
      <c r="G4974" s="94" t="inlineStr">
        <is>
          <t>250ml</t>
        </is>
      </c>
      <c r="H4974" s="7" t="n">
        <v>190801</v>
      </c>
      <c r="I4974" s="7" t="n">
        <v>190801</v>
      </c>
      <c r="J4974" s="94" t="n"/>
      <c r="K4974" s="149" t="n">
        <v>22</v>
      </c>
      <c r="L4974" s="92" t="n">
        <v>190801</v>
      </c>
      <c r="M4974" s="94">
        <f>VLOOKUP($Q4974,매칭테이블!$F:$I,2,0)*K4974</f>
        <v/>
      </c>
      <c r="N4974" s="94">
        <f>M4974-M4974*VLOOKUP($Q4974,매칭테이블!$F:$I,3,0)</f>
        <v/>
      </c>
      <c r="O4974" s="94">
        <f>VLOOKUP($Q4974,매칭테이블!$F:$I,4,0)*K4974</f>
        <v/>
      </c>
      <c r="P4974" s="148">
        <f>M4974/1.1</f>
        <v/>
      </c>
      <c r="Q4974" s="94">
        <f>F4974&amp;E4974&amp;G4974&amp;L4974</f>
        <v/>
      </c>
    </row>
    <row r="4975">
      <c r="A4975" s="94" t="n"/>
      <c r="B4975" s="128" t="n">
        <v>43899</v>
      </c>
      <c r="C4975" s="94">
        <f>TEXT(B4975,"aaa")</f>
        <v/>
      </c>
      <c r="D4975" s="94" t="n"/>
      <c r="E4975" s="94" t="inlineStr">
        <is>
          <t>머드크림마스크</t>
        </is>
      </c>
      <c r="F4975" s="94" t="inlineStr">
        <is>
          <t>카페24</t>
        </is>
      </c>
      <c r="G4975" s="94" t="inlineStr">
        <is>
          <t>머드크림마스크 100ml</t>
        </is>
      </c>
      <c r="H4975" s="7" t="n">
        <v>190801</v>
      </c>
      <c r="I4975" s="7" t="n">
        <v>190801</v>
      </c>
      <c r="J4975" s="94" t="n"/>
      <c r="K4975" s="149" t="n">
        <v>13</v>
      </c>
      <c r="L4975" s="94" t="n">
        <v>190801</v>
      </c>
      <c r="M4975" s="94">
        <f>VLOOKUP($Q4975,매칭테이블!$F:$I,2,0)*K4975</f>
        <v/>
      </c>
      <c r="N4975" s="94">
        <f>M4975-M4975*VLOOKUP($Q4975,매칭테이블!$F:$I,3,0)</f>
        <v/>
      </c>
      <c r="O4975" s="94">
        <f>VLOOKUP($Q4975,매칭테이블!$F:$I,4,0)*K4975</f>
        <v/>
      </c>
      <c r="P4975" s="148">
        <f>M4975/1.1</f>
        <v/>
      </c>
      <c r="Q4975" s="94">
        <f>F4975&amp;E4975&amp;G4975&amp;L4975</f>
        <v/>
      </c>
    </row>
    <row r="4976">
      <c r="A4976" s="94" t="n"/>
      <c r="B4976" s="128" t="n">
        <v>43899</v>
      </c>
      <c r="C4976" s="94">
        <f>TEXT(B4976,"aaa")</f>
        <v/>
      </c>
      <c r="D4976" s="94" t="n"/>
      <c r="E4976" s="94" t="inlineStr">
        <is>
          <t>머드크림마스크</t>
        </is>
      </c>
      <c r="F4976" s="94" t="inlineStr">
        <is>
          <t>카페24</t>
        </is>
      </c>
      <c r="G4976" s="94" t="inlineStr">
        <is>
          <t>머드크림마스크 100ml 2set</t>
        </is>
      </c>
      <c r="H4976" s="7" t="n">
        <v>190801</v>
      </c>
      <c r="I4976" s="7" t="n">
        <v>190801</v>
      </c>
      <c r="J4976" s="94" t="n"/>
      <c r="K4976" s="149" t="n">
        <v>3</v>
      </c>
      <c r="L4976" s="94" t="n">
        <v>190801</v>
      </c>
      <c r="M4976" s="94">
        <f>VLOOKUP($Q4976,매칭테이블!$F:$I,2,0)*K4976</f>
        <v/>
      </c>
      <c r="N4976" s="94">
        <f>M4976-M4976*VLOOKUP($Q4976,매칭테이블!$F:$I,3,0)</f>
        <v/>
      </c>
      <c r="O4976" s="94">
        <f>VLOOKUP($Q4976,매칭테이블!$F:$I,4,0)*K4976</f>
        <v/>
      </c>
      <c r="P4976" s="148">
        <f>M4976/1.1</f>
        <v/>
      </c>
      <c r="Q4976" s="94">
        <f>F4976&amp;E4976&amp;G4976&amp;L4976</f>
        <v/>
      </c>
    </row>
    <row r="4977">
      <c r="A4977" s="94" t="n"/>
      <c r="B4977" s="128" t="n">
        <v>43899</v>
      </c>
      <c r="C4977" s="94">
        <f>TEXT(B4977,"aaa")</f>
        <v/>
      </c>
      <c r="D4977" s="94" t="n"/>
      <c r="E4977" s="6" t="inlineStr">
        <is>
          <t>토너</t>
        </is>
      </c>
      <c r="F4977" s="5" t="inlineStr">
        <is>
          <t>카페24</t>
        </is>
      </c>
      <c r="G4977" s="5" t="inlineStr">
        <is>
          <t>250ml</t>
        </is>
      </c>
      <c r="H4977" s="7" t="n">
        <v>190801</v>
      </c>
      <c r="I4977" s="7" t="n">
        <v>190801</v>
      </c>
      <c r="J4977" s="94" t="n"/>
      <c r="K4977" s="149" t="n">
        <v>87</v>
      </c>
      <c r="L4977" s="7" t="n">
        <v>190801</v>
      </c>
      <c r="M4977" s="94">
        <f>VLOOKUP($Q4977,매칭테이블!$F:$I,2,0)*K4977</f>
        <v/>
      </c>
      <c r="N4977" s="94">
        <f>M4977-M4977*VLOOKUP($Q4977,매칭테이블!$F:$I,3,0)</f>
        <v/>
      </c>
      <c r="O4977" s="94">
        <f>VLOOKUP($Q4977,매칭테이블!$F:$I,4,0)*K4977</f>
        <v/>
      </c>
      <c r="P4977" s="148">
        <f>M4977/1.1</f>
        <v/>
      </c>
      <c r="Q4977" s="94">
        <f>F4977&amp;E4977&amp;G4977&amp;L4977</f>
        <v/>
      </c>
    </row>
    <row r="4978">
      <c r="A4978" s="94" t="n"/>
      <c r="B4978" s="128" t="n">
        <v>43899</v>
      </c>
      <c r="C4978" s="94">
        <f>TEXT(B4978,"aaa")</f>
        <v/>
      </c>
      <c r="D4978" s="94" t="n"/>
      <c r="E4978" s="6" t="inlineStr">
        <is>
          <t>토너</t>
        </is>
      </c>
      <c r="F4978" s="5" t="inlineStr">
        <is>
          <t>카페24</t>
        </is>
      </c>
      <c r="G4978" s="5" t="inlineStr">
        <is>
          <t>250ml 2set</t>
        </is>
      </c>
      <c r="H4978" s="7" t="n">
        <v>190801</v>
      </c>
      <c r="I4978" s="7" t="n">
        <v>190801</v>
      </c>
      <c r="J4978" s="94" t="n"/>
      <c r="K4978" s="149" t="n">
        <v>78</v>
      </c>
      <c r="L4978" s="7" t="n">
        <v>190801</v>
      </c>
      <c r="M4978" s="94">
        <f>VLOOKUP($Q4978,매칭테이블!$F:$I,2,0)*K4978</f>
        <v/>
      </c>
      <c r="N4978" s="94">
        <f>M4978-M4978*VLOOKUP($Q4978,매칭테이블!$F:$I,3,0)</f>
        <v/>
      </c>
      <c r="O4978" s="94">
        <f>VLOOKUP($Q4978,매칭테이블!$F:$I,4,0)*K4978</f>
        <v/>
      </c>
      <c r="P4978" s="148">
        <f>M4978/1.1</f>
        <v/>
      </c>
      <c r="Q4978" s="94">
        <f>F4978&amp;E4978&amp;G4978&amp;L4978</f>
        <v/>
      </c>
    </row>
    <row r="4979">
      <c r="A4979" s="94" t="n"/>
      <c r="B4979" s="128" t="n">
        <v>43899</v>
      </c>
      <c r="C4979" s="94">
        <f>TEXT(B4979,"aaa")</f>
        <v/>
      </c>
      <c r="D4979" s="94" t="n"/>
      <c r="E4979" s="6" t="inlineStr">
        <is>
          <t>토너</t>
        </is>
      </c>
      <c r="F4979" s="5" t="inlineStr">
        <is>
          <t>카페24</t>
        </is>
      </c>
      <c r="G4979" s="5" t="inlineStr">
        <is>
          <t>500ml</t>
        </is>
      </c>
      <c r="H4979" s="7" t="n">
        <v>190801</v>
      </c>
      <c r="I4979" s="7" t="n">
        <v>190801</v>
      </c>
      <c r="J4979" s="94" t="n"/>
      <c r="K4979" s="149" t="n">
        <v>137</v>
      </c>
      <c r="L4979" s="7" t="n">
        <v>190801</v>
      </c>
      <c r="M4979" s="94">
        <f>VLOOKUP($Q4979,매칭테이블!$F:$I,2,0)*K4979</f>
        <v/>
      </c>
      <c r="N4979" s="94">
        <f>M4979-M4979*VLOOKUP($Q4979,매칭테이블!$F:$I,3,0)</f>
        <v/>
      </c>
      <c r="O4979" s="94">
        <f>VLOOKUP($Q4979,매칭테이블!$F:$I,4,0)*K4979</f>
        <v/>
      </c>
      <c r="P4979" s="148">
        <f>M4979/1.1</f>
        <v/>
      </c>
      <c r="Q4979" s="94">
        <f>F4979&amp;E4979&amp;G4979&amp;L4979</f>
        <v/>
      </c>
    </row>
    <row r="4980">
      <c r="A4980" s="94" t="n"/>
      <c r="B4980" s="128" t="n">
        <v>43899</v>
      </c>
      <c r="C4980" s="94">
        <f>TEXT(B4980,"aaa")</f>
        <v/>
      </c>
      <c r="D4980" s="94" t="n"/>
      <c r="E4980" s="6" t="inlineStr">
        <is>
          <t>토너</t>
        </is>
      </c>
      <c r="F4980" s="5" t="inlineStr">
        <is>
          <t>카페24</t>
        </is>
      </c>
      <c r="G4980" s="94" t="inlineStr">
        <is>
          <t>스킨팩 화장솜 60P</t>
        </is>
      </c>
      <c r="H4980" s="7" t="n">
        <v>190801</v>
      </c>
      <c r="I4980" s="7" t="n">
        <v>190801</v>
      </c>
      <c r="J4980" s="94" t="n"/>
      <c r="K4980" s="149" t="n">
        <v>105</v>
      </c>
      <c r="L4980" s="7" t="n">
        <v>190801</v>
      </c>
      <c r="M4980" s="94">
        <f>VLOOKUP($Q4980,매칭테이블!$F:$I,2,0)*K4980</f>
        <v/>
      </c>
      <c r="N4980" s="94">
        <f>M4980-M4980*VLOOKUP($Q4980,매칭테이블!$F:$I,3,0)</f>
        <v/>
      </c>
      <c r="O4980" s="94">
        <f>VLOOKUP($Q4980,매칭테이블!$F:$I,4,0)*K4980</f>
        <v/>
      </c>
      <c r="P4980" s="148">
        <f>M4980/1.1</f>
        <v/>
      </c>
      <c r="Q4980" s="94">
        <f>F4980&amp;E4980&amp;G4980&amp;L4980</f>
        <v/>
      </c>
    </row>
    <row r="4981">
      <c r="A4981" s="94" t="n"/>
      <c r="B4981" s="128" t="n">
        <v>43899</v>
      </c>
      <c r="C4981" s="94">
        <f>TEXT(B4981,"aaa")</f>
        <v/>
      </c>
      <c r="D4981" s="94" t="n"/>
      <c r="E4981" s="94" t="inlineStr">
        <is>
          <t>클렌징폼</t>
        </is>
      </c>
      <c r="F4981" s="5" t="inlineStr">
        <is>
          <t>카페24</t>
        </is>
      </c>
      <c r="G4981" s="94" t="inlineStr">
        <is>
          <t>클렌징폼 120ml</t>
        </is>
      </c>
      <c r="H4981" s="7" t="n">
        <v>190801</v>
      </c>
      <c r="I4981" s="7" t="n">
        <v>190801</v>
      </c>
      <c r="J4981" s="94" t="n"/>
      <c r="K4981" s="149" t="n">
        <v>17</v>
      </c>
      <c r="L4981" s="7" t="n">
        <v>190801</v>
      </c>
      <c r="M4981" s="94">
        <f>VLOOKUP($Q4981,매칭테이블!$F:$I,2,0)*K4981</f>
        <v/>
      </c>
      <c r="N4981" s="94">
        <f>M4981-M4981*VLOOKUP($Q4981,매칭테이블!$F:$I,3,0)</f>
        <v/>
      </c>
      <c r="O4981" s="94">
        <f>VLOOKUP($Q4981,매칭테이블!$F:$I,4,0)*K4981</f>
        <v/>
      </c>
      <c r="P4981" s="148">
        <f>M4981/1.1</f>
        <v/>
      </c>
      <c r="Q4981" s="94">
        <f>F4981&amp;E4981&amp;G4981&amp;L4981</f>
        <v/>
      </c>
    </row>
    <row r="4982">
      <c r="A4982" s="94" t="n"/>
      <c r="B4982" s="128" t="n">
        <v>43899</v>
      </c>
      <c r="C4982" s="94">
        <f>TEXT(B4982,"aaa")</f>
        <v/>
      </c>
      <c r="D4982" s="94" t="n"/>
      <c r="E4982" s="94" t="inlineStr">
        <is>
          <t>클렌징폼</t>
        </is>
      </c>
      <c r="F4982" s="94" t="inlineStr">
        <is>
          <t>카페24</t>
        </is>
      </c>
      <c r="G4982" s="94" t="inlineStr">
        <is>
          <t>클렌징폼 120ml 2set</t>
        </is>
      </c>
      <c r="H4982" s="7" t="n">
        <v>190801</v>
      </c>
      <c r="I4982" s="7" t="n">
        <v>190801</v>
      </c>
      <c r="J4982" s="94" t="n"/>
      <c r="K4982" s="149" t="n">
        <v>3</v>
      </c>
      <c r="L4982" s="7" t="n">
        <v>190801</v>
      </c>
      <c r="M4982" s="94">
        <f>VLOOKUP($Q4982,매칭테이블!$F:$I,2,0)*K4982</f>
        <v/>
      </c>
      <c r="N4982" s="94">
        <f>M4982-M4982*VLOOKUP($Q4982,매칭테이블!$F:$I,3,0)</f>
        <v/>
      </c>
      <c r="O4982" s="94">
        <f>VLOOKUP($Q4982,매칭테이블!$F:$I,4,0)*K4982</f>
        <v/>
      </c>
      <c r="P4982" s="148">
        <f>M4982/1.1</f>
        <v/>
      </c>
      <c r="Q4982" s="94">
        <f>F4982&amp;E4982&amp;G4982&amp;L4982</f>
        <v/>
      </c>
    </row>
    <row r="4983">
      <c r="A4983" s="94" t="n"/>
      <c r="B4983" s="128" t="n">
        <v>43899</v>
      </c>
      <c r="C4983" s="94">
        <f>TEXT(B4983,"aaa")</f>
        <v/>
      </c>
      <c r="D4983" s="94" t="n"/>
      <c r="E4983" s="94" t="inlineStr">
        <is>
          <t>클렌징폼</t>
        </is>
      </c>
      <c r="F4983" s="94" t="inlineStr">
        <is>
          <t>카페24</t>
        </is>
      </c>
      <c r="G4983" s="94" t="inlineStr">
        <is>
          <t>클렌징폼 120ml 3set</t>
        </is>
      </c>
      <c r="H4983" s="7" t="n">
        <v>190801</v>
      </c>
      <c r="I4983" s="7" t="n">
        <v>190801</v>
      </c>
      <c r="J4983" s="94" t="n"/>
      <c r="K4983" s="149" t="n">
        <v>1</v>
      </c>
      <c r="L4983" s="7" t="n">
        <v>190801</v>
      </c>
      <c r="M4983" s="94">
        <f>VLOOKUP($Q4983,매칭테이블!$F:$I,2,0)*K4983</f>
        <v/>
      </c>
      <c r="N4983" s="94">
        <f>M4983-M4983*VLOOKUP($Q4983,매칭테이블!$F:$I,3,0)</f>
        <v/>
      </c>
      <c r="O4983" s="94">
        <f>VLOOKUP($Q4983,매칭테이블!$F:$I,4,0)*K4983</f>
        <v/>
      </c>
      <c r="P4983" s="148">
        <f>M4983/1.1</f>
        <v/>
      </c>
      <c r="Q4983" s="94">
        <f>F4983&amp;E4983&amp;G4983&amp;L4983</f>
        <v/>
      </c>
    </row>
    <row r="4984">
      <c r="A4984" s="94" t="n"/>
      <c r="B4984" s="128" t="n">
        <v>43899</v>
      </c>
      <c r="C4984" s="94">
        <f>TEXT(B4984,"aaa")</f>
        <v/>
      </c>
      <c r="D4984" s="94" t="n"/>
      <c r="E4984" s="94" t="inlineStr">
        <is>
          <t>토너</t>
        </is>
      </c>
      <c r="F4984" s="94" t="inlineStr">
        <is>
          <t>큐텐</t>
        </is>
      </c>
      <c r="G4984" s="94" t="inlineStr">
        <is>
          <t>250ml</t>
        </is>
      </c>
      <c r="H4984" s="7" t="n">
        <v>190801</v>
      </c>
      <c r="I4984" s="7" t="n">
        <v>190801</v>
      </c>
      <c r="J4984" s="94" t="n"/>
      <c r="K4984" s="149" t="n">
        <v>85</v>
      </c>
      <c r="L4984" s="92" t="n">
        <v>190801</v>
      </c>
      <c r="M4984" s="94">
        <f>VLOOKUP($Q4984,매칭테이블!$F:$I,2,0)*K4984</f>
        <v/>
      </c>
      <c r="N4984" s="94">
        <f>M4984-M4984*VLOOKUP($Q4984,매칭테이블!$F:$I,3,0)</f>
        <v/>
      </c>
      <c r="O4984" s="94">
        <f>VLOOKUP($Q4984,매칭테이블!$F:$I,4,0)*K4984</f>
        <v/>
      </c>
      <c r="P4984" s="148">
        <f>M4984/1.1</f>
        <v/>
      </c>
      <c r="Q4984" s="94">
        <f>F4984&amp;E4984&amp;G4984&amp;L4984</f>
        <v/>
      </c>
    </row>
    <row r="4985">
      <c r="A4985" s="94" t="n"/>
      <c r="B4985" s="128" t="n">
        <v>43899</v>
      </c>
      <c r="C4985" s="94">
        <f>TEXT(B4985,"aaa")</f>
        <v/>
      </c>
      <c r="D4985" s="94" t="n"/>
      <c r="E4985" s="94" t="inlineStr">
        <is>
          <t>토너</t>
        </is>
      </c>
      <c r="F4985" s="94" t="inlineStr">
        <is>
          <t>큐텐</t>
        </is>
      </c>
      <c r="G4985" s="94" t="inlineStr">
        <is>
          <t>250ml 2set</t>
        </is>
      </c>
      <c r="H4985" s="7" t="n">
        <v>190801</v>
      </c>
      <c r="I4985" s="7" t="n">
        <v>190801</v>
      </c>
      <c r="J4985" s="94" t="n"/>
      <c r="K4985" s="149" t="n">
        <v>42</v>
      </c>
      <c r="L4985" s="92" t="n">
        <v>190801</v>
      </c>
      <c r="M4985" s="94">
        <f>VLOOKUP($Q4985,매칭테이블!$F:$I,2,0)*K4985</f>
        <v/>
      </c>
      <c r="N4985" s="94">
        <f>M4985-M4985*VLOOKUP($Q4985,매칭테이블!$F:$I,3,0)</f>
        <v/>
      </c>
      <c r="O4985" s="94">
        <f>VLOOKUP($Q4985,매칭테이블!$F:$I,4,0)*K4985</f>
        <v/>
      </c>
      <c r="P4985" s="148">
        <f>M4985/1.1</f>
        <v/>
      </c>
      <c r="Q4985" s="94">
        <f>F4985&amp;E4985&amp;G4985&amp;L4985</f>
        <v/>
      </c>
    </row>
    <row r="4986">
      <c r="A4986" s="94" t="n"/>
      <c r="B4986" s="128" t="n">
        <v>43899</v>
      </c>
      <c r="C4986" s="94">
        <f>TEXT(B4986,"aaa")</f>
        <v/>
      </c>
      <c r="D4986" s="94" t="n"/>
      <c r="E4986" s="94" t="inlineStr">
        <is>
          <t>머드크림마스크</t>
        </is>
      </c>
      <c r="F4986" s="94" t="inlineStr">
        <is>
          <t>큐텐</t>
        </is>
      </c>
      <c r="G4986" s="94" t="inlineStr">
        <is>
          <t>머드크림마스크 100ml</t>
        </is>
      </c>
      <c r="H4986" s="7" t="n">
        <v>190801</v>
      </c>
      <c r="I4986" s="7" t="n">
        <v>190801</v>
      </c>
      <c r="J4986" s="94" t="n"/>
      <c r="K4986" s="149" t="n">
        <v>3</v>
      </c>
      <c r="L4986" s="94" t="n">
        <v>190801</v>
      </c>
      <c r="M4986" s="94">
        <f>VLOOKUP($Q4986,매칭테이블!$F:$I,2,0)*K4986</f>
        <v/>
      </c>
      <c r="N4986" s="94">
        <f>M4986-M4986*VLOOKUP($Q4986,매칭테이블!$F:$I,3,0)</f>
        <v/>
      </c>
      <c r="O4986" s="94">
        <f>VLOOKUP($Q4986,매칭테이블!$F:$I,4,0)*K4986</f>
        <v/>
      </c>
      <c r="P4986" s="148">
        <f>M4986/1.1</f>
        <v/>
      </c>
      <c r="Q4986" s="94">
        <f>F4986&amp;E4986&amp;G4986&amp;L4986</f>
        <v/>
      </c>
    </row>
    <row r="4987">
      <c r="A4987" s="94" t="n"/>
      <c r="B4987" s="128" t="n">
        <v>43900</v>
      </c>
      <c r="C4987" s="94">
        <f>TEXT(B4987,"aaa")</f>
        <v/>
      </c>
      <c r="D4987" s="94" t="n"/>
      <c r="E4987" s="6" t="inlineStr">
        <is>
          <t>토너</t>
        </is>
      </c>
      <c r="F4987" s="5" t="inlineStr">
        <is>
          <t>W컨셉</t>
        </is>
      </c>
      <c r="G4987" s="5" t="inlineStr">
        <is>
          <t>250ml</t>
        </is>
      </c>
      <c r="H4987" s="7" t="n">
        <v>190801</v>
      </c>
      <c r="I4987" s="7" t="n">
        <v>190801</v>
      </c>
      <c r="J4987" s="94" t="n"/>
      <c r="K4987" s="149" t="n">
        <v>4</v>
      </c>
      <c r="L4987" s="7" t="n">
        <v>190801</v>
      </c>
      <c r="M4987" s="94">
        <f>VLOOKUP($Q4987,매칭테이블!$F:$I,2,0)*K4987</f>
        <v/>
      </c>
      <c r="N4987" s="94">
        <f>M4987-M4987*VLOOKUP($Q4987,매칭테이블!$F:$I,3,0)</f>
        <v/>
      </c>
      <c r="O4987" s="94">
        <f>VLOOKUP($Q4987,매칭테이블!$F:$I,4,0)*K4987</f>
        <v/>
      </c>
      <c r="P4987" s="148">
        <f>M4987/1.1</f>
        <v/>
      </c>
      <c r="Q4987" s="94">
        <f>F4987&amp;E4987&amp;G4987&amp;L4987</f>
        <v/>
      </c>
    </row>
    <row r="4988">
      <c r="A4988" s="94" t="n"/>
      <c r="B4988" s="128" t="n">
        <v>43900</v>
      </c>
      <c r="C4988" s="94">
        <f>TEXT(B4988,"aaa")</f>
        <v/>
      </c>
      <c r="D4988" s="94" t="n"/>
      <c r="E4988" s="6" t="inlineStr">
        <is>
          <t>토너</t>
        </is>
      </c>
      <c r="F4988" s="5" t="inlineStr">
        <is>
          <t>W컨셉</t>
        </is>
      </c>
      <c r="G4988" s="5" t="inlineStr">
        <is>
          <t>250ml 2set</t>
        </is>
      </c>
      <c r="H4988" s="7" t="n">
        <v>190801</v>
      </c>
      <c r="I4988" s="7" t="n">
        <v>190801</v>
      </c>
      <c r="J4988" s="94" t="n"/>
      <c r="K4988" s="149" t="n">
        <v>12</v>
      </c>
      <c r="L4988" s="7" t="n">
        <v>190801</v>
      </c>
      <c r="M4988" s="94">
        <f>VLOOKUP($Q4988,매칭테이블!$F:$I,2,0)*K4988</f>
        <v/>
      </c>
      <c r="N4988" s="94">
        <f>M4988-M4988*VLOOKUP($Q4988,매칭테이블!$F:$I,3,0)</f>
        <v/>
      </c>
      <c r="O4988" s="94">
        <f>VLOOKUP($Q4988,매칭테이블!$F:$I,4,0)*K4988</f>
        <v/>
      </c>
      <c r="P4988" s="148">
        <f>M4988/1.1</f>
        <v/>
      </c>
      <c r="Q4988" s="94">
        <f>F4988&amp;E4988&amp;G4988&amp;L4988</f>
        <v/>
      </c>
    </row>
    <row r="4989">
      <c r="A4989" s="94" t="n"/>
      <c r="B4989" s="128" t="n">
        <v>43900</v>
      </c>
      <c r="C4989" s="94">
        <f>TEXT(B4989,"aaa")</f>
        <v/>
      </c>
      <c r="D4989" s="94" t="n"/>
      <c r="E4989" s="94" t="inlineStr">
        <is>
          <t>토너</t>
        </is>
      </c>
      <c r="F4989" s="5" t="inlineStr">
        <is>
          <t>스타일쉐어</t>
        </is>
      </c>
      <c r="G4989" s="94" t="inlineStr">
        <is>
          <t>250ml</t>
        </is>
      </c>
      <c r="H4989" s="7" t="n">
        <v>190801</v>
      </c>
      <c r="I4989" s="7" t="n">
        <v>190801</v>
      </c>
      <c r="J4989" s="94" t="n"/>
      <c r="K4989" s="149" t="n">
        <v>27</v>
      </c>
      <c r="L4989" s="92" t="n">
        <v>190801</v>
      </c>
      <c r="M4989" s="94">
        <f>VLOOKUP($Q4989,매칭테이블!$F:$I,2,0)*K4989</f>
        <v/>
      </c>
      <c r="N4989" s="94">
        <f>M4989-M4989*VLOOKUP($Q4989,매칭테이블!$F:$I,3,0)</f>
        <v/>
      </c>
      <c r="O4989" s="94">
        <f>VLOOKUP($Q4989,매칭테이블!$F:$I,4,0)*K4989</f>
        <v/>
      </c>
      <c r="P4989" s="148">
        <f>M4989/1.1</f>
        <v/>
      </c>
      <c r="Q4989" s="94">
        <f>F4989&amp;E4989&amp;G4989&amp;L4989</f>
        <v/>
      </c>
    </row>
    <row r="4990">
      <c r="A4990" s="94" t="n"/>
      <c r="B4990" s="128" t="n">
        <v>43900</v>
      </c>
      <c r="C4990" s="94">
        <f>TEXT(B4990,"aaa")</f>
        <v/>
      </c>
      <c r="D4990" s="94" t="n"/>
      <c r="E4990" s="94" t="inlineStr">
        <is>
          <t>머드크림마스크</t>
        </is>
      </c>
      <c r="F4990" s="94" t="inlineStr">
        <is>
          <t>카페24</t>
        </is>
      </c>
      <c r="G4990" s="94" t="inlineStr">
        <is>
          <t>머드크림마스크 100ml</t>
        </is>
      </c>
      <c r="H4990" s="7" t="n">
        <v>190801</v>
      </c>
      <c r="I4990" s="7" t="n">
        <v>190801</v>
      </c>
      <c r="J4990" s="94" t="n"/>
      <c r="K4990" s="149" t="n">
        <v>13</v>
      </c>
      <c r="L4990" s="94" t="n">
        <v>190801</v>
      </c>
      <c r="M4990" s="94">
        <f>VLOOKUP($Q4990,매칭테이블!$F:$I,2,0)*K4990</f>
        <v/>
      </c>
      <c r="N4990" s="94">
        <f>M4990-M4990*VLOOKUP($Q4990,매칭테이블!$F:$I,3,0)</f>
        <v/>
      </c>
      <c r="O4990" s="94">
        <f>VLOOKUP($Q4990,매칭테이블!$F:$I,4,0)*K4990</f>
        <v/>
      </c>
      <c r="P4990" s="148">
        <f>M4990/1.1</f>
        <v/>
      </c>
      <c r="Q4990" s="94">
        <f>F4990&amp;E4990&amp;G4990&amp;L4990</f>
        <v/>
      </c>
    </row>
    <row r="4991">
      <c r="A4991" s="94" t="n"/>
      <c r="B4991" s="128" t="n">
        <v>43900</v>
      </c>
      <c r="C4991" s="94">
        <f>TEXT(B4991,"aaa")</f>
        <v/>
      </c>
      <c r="D4991" s="94" t="n"/>
      <c r="E4991" s="94" t="inlineStr">
        <is>
          <t>머드크림마스크</t>
        </is>
      </c>
      <c r="F4991" s="94" t="inlineStr">
        <is>
          <t>카페24</t>
        </is>
      </c>
      <c r="G4991" s="94" t="inlineStr">
        <is>
          <t>머드크림마스크 100ml 2set</t>
        </is>
      </c>
      <c r="H4991" s="7" t="n">
        <v>190801</v>
      </c>
      <c r="I4991" s="7" t="n">
        <v>190801</v>
      </c>
      <c r="J4991" s="94" t="n"/>
      <c r="K4991" s="149" t="n">
        <v>2</v>
      </c>
      <c r="L4991" s="94" t="n">
        <v>190801</v>
      </c>
      <c r="M4991" s="94">
        <f>VLOOKUP($Q4991,매칭테이블!$F:$I,2,0)*K4991</f>
        <v/>
      </c>
      <c r="N4991" s="94">
        <f>M4991-M4991*VLOOKUP($Q4991,매칭테이블!$F:$I,3,0)</f>
        <v/>
      </c>
      <c r="O4991" s="94">
        <f>VLOOKUP($Q4991,매칭테이블!$F:$I,4,0)*K4991</f>
        <v/>
      </c>
      <c r="P4991" s="148">
        <f>M4991/1.1</f>
        <v/>
      </c>
      <c r="Q4991" s="94">
        <f>F4991&amp;E4991&amp;G4991&amp;L4991</f>
        <v/>
      </c>
    </row>
    <row r="4992">
      <c r="A4992" s="94" t="n"/>
      <c r="B4992" s="128" t="n">
        <v>43900</v>
      </c>
      <c r="C4992" s="94">
        <f>TEXT(B4992,"aaa")</f>
        <v/>
      </c>
      <c r="D4992" s="94" t="n"/>
      <c r="E4992" s="94" t="inlineStr">
        <is>
          <t>마스크팩</t>
        </is>
      </c>
      <c r="F4992" s="94" t="inlineStr">
        <is>
          <t>카페24</t>
        </is>
      </c>
      <c r="G4992" s="94" t="inlineStr">
        <is>
          <t>마스크팩 1매</t>
        </is>
      </c>
      <c r="H4992" s="7" t="n">
        <v>190801</v>
      </c>
      <c r="I4992" s="7" t="n">
        <v>190801</v>
      </c>
      <c r="J4992" s="94" t="n"/>
      <c r="K4992" s="149" t="n">
        <v>2</v>
      </c>
      <c r="L4992" s="94" t="n">
        <v>190801</v>
      </c>
      <c r="M4992" s="94">
        <f>VLOOKUP($Q4992,매칭테이블!$F:$I,2,0)*K4992</f>
        <v/>
      </c>
      <c r="N4992" s="94">
        <f>M4992-M4992*VLOOKUP($Q4992,매칭테이블!$F:$I,3,0)</f>
        <v/>
      </c>
      <c r="O4992" s="94">
        <f>VLOOKUP($Q4992,매칭테이블!$F:$I,4,0)*K4992</f>
        <v/>
      </c>
      <c r="P4992" s="148">
        <f>M4992/1.1</f>
        <v/>
      </c>
      <c r="Q4992" s="94">
        <f>F4992&amp;E4992&amp;G4992&amp;L4992</f>
        <v/>
      </c>
    </row>
    <row r="4993">
      <c r="A4993" s="94" t="n"/>
      <c r="B4993" s="128" t="n">
        <v>43900</v>
      </c>
      <c r="C4993" s="94">
        <f>TEXT(B4993,"aaa")</f>
        <v/>
      </c>
      <c r="D4993" s="94" t="n"/>
      <c r="E4993" s="94" t="inlineStr">
        <is>
          <t>마스크팩</t>
        </is>
      </c>
      <c r="F4993" s="94" t="inlineStr">
        <is>
          <t>카페24</t>
        </is>
      </c>
      <c r="G4993" s="94" t="inlineStr">
        <is>
          <t>마스크팩 10매</t>
        </is>
      </c>
      <c r="H4993" s="7" t="n">
        <v>190801</v>
      </c>
      <c r="I4993" s="7" t="n">
        <v>190801</v>
      </c>
      <c r="J4993" s="94" t="n"/>
      <c r="K4993" s="149" t="n">
        <v>6</v>
      </c>
      <c r="L4993" s="94" t="n">
        <v>190801</v>
      </c>
      <c r="M4993" s="94">
        <f>VLOOKUP($Q4993,매칭테이블!$F:$I,2,0)*K4993</f>
        <v/>
      </c>
      <c r="N4993" s="94">
        <f>M4993-M4993*VLOOKUP($Q4993,매칭테이블!$F:$I,3,0)</f>
        <v/>
      </c>
      <c r="O4993" s="94">
        <f>VLOOKUP($Q4993,매칭테이블!$F:$I,4,0)*K4993</f>
        <v/>
      </c>
      <c r="P4993" s="148">
        <f>M4993/1.1</f>
        <v/>
      </c>
      <c r="Q4993" s="94">
        <f>F4993&amp;E4993&amp;G4993&amp;L4993</f>
        <v/>
      </c>
    </row>
    <row r="4994">
      <c r="A4994" s="94" t="n"/>
      <c r="B4994" s="128" t="n">
        <v>43900</v>
      </c>
      <c r="C4994" s="94">
        <f>TEXT(B4994,"aaa")</f>
        <v/>
      </c>
      <c r="D4994" s="94" t="n"/>
      <c r="E4994" s="6" t="inlineStr">
        <is>
          <t>토너</t>
        </is>
      </c>
      <c r="F4994" s="5" t="inlineStr">
        <is>
          <t>카페24</t>
        </is>
      </c>
      <c r="G4994" s="5" t="inlineStr">
        <is>
          <t>250ml</t>
        </is>
      </c>
      <c r="H4994" s="7" t="n">
        <v>190801</v>
      </c>
      <c r="I4994" s="7" t="n">
        <v>190801</v>
      </c>
      <c r="J4994" s="94" t="n"/>
      <c r="K4994" s="149" t="n">
        <v>93</v>
      </c>
      <c r="L4994" s="7" t="n">
        <v>190801</v>
      </c>
      <c r="M4994" s="94">
        <f>VLOOKUP($Q4994,매칭테이블!$F:$I,2,0)*K4994</f>
        <v/>
      </c>
      <c r="N4994" s="94">
        <f>M4994-M4994*VLOOKUP($Q4994,매칭테이블!$F:$I,3,0)</f>
        <v/>
      </c>
      <c r="O4994" s="94">
        <f>VLOOKUP($Q4994,매칭테이블!$F:$I,4,0)*K4994</f>
        <v/>
      </c>
      <c r="P4994" s="148">
        <f>M4994/1.1</f>
        <v/>
      </c>
      <c r="Q4994" s="94">
        <f>F4994&amp;E4994&amp;G4994&amp;L4994</f>
        <v/>
      </c>
    </row>
    <row r="4995">
      <c r="A4995" s="94" t="n"/>
      <c r="B4995" s="128" t="n">
        <v>43900</v>
      </c>
      <c r="C4995" s="94">
        <f>TEXT(B4995,"aaa")</f>
        <v/>
      </c>
      <c r="D4995" s="94" t="n"/>
      <c r="E4995" s="6" t="inlineStr">
        <is>
          <t>토너</t>
        </is>
      </c>
      <c r="F4995" s="5" t="inlineStr">
        <is>
          <t>카페24</t>
        </is>
      </c>
      <c r="G4995" s="5" t="inlineStr">
        <is>
          <t>250ml 2set</t>
        </is>
      </c>
      <c r="H4995" s="7" t="n">
        <v>190801</v>
      </c>
      <c r="I4995" s="7" t="n">
        <v>190801</v>
      </c>
      <c r="J4995" s="94" t="n"/>
      <c r="K4995" s="149" t="n">
        <v>58</v>
      </c>
      <c r="L4995" s="7" t="n">
        <v>190801</v>
      </c>
      <c r="M4995" s="94">
        <f>VLOOKUP($Q4995,매칭테이블!$F:$I,2,0)*K4995</f>
        <v/>
      </c>
      <c r="N4995" s="94">
        <f>M4995-M4995*VLOOKUP($Q4995,매칭테이블!$F:$I,3,0)</f>
        <v/>
      </c>
      <c r="O4995" s="94">
        <f>VLOOKUP($Q4995,매칭테이블!$F:$I,4,0)*K4995</f>
        <v/>
      </c>
      <c r="P4995" s="148">
        <f>M4995/1.1</f>
        <v/>
      </c>
      <c r="Q4995" s="94">
        <f>F4995&amp;E4995&amp;G4995&amp;L4995</f>
        <v/>
      </c>
    </row>
    <row r="4996">
      <c r="A4996" s="94" t="n"/>
      <c r="B4996" s="128" t="n">
        <v>43900</v>
      </c>
      <c r="C4996" s="94">
        <f>TEXT(B4996,"aaa")</f>
        <v/>
      </c>
      <c r="D4996" s="94" t="n"/>
      <c r="E4996" s="6" t="inlineStr">
        <is>
          <t>토너</t>
        </is>
      </c>
      <c r="F4996" s="5" t="inlineStr">
        <is>
          <t>카페24</t>
        </is>
      </c>
      <c r="G4996" s="5" t="inlineStr">
        <is>
          <t>500ml</t>
        </is>
      </c>
      <c r="H4996" s="7" t="n">
        <v>190801</v>
      </c>
      <c r="I4996" s="7" t="n">
        <v>190801</v>
      </c>
      <c r="J4996" s="94" t="n"/>
      <c r="K4996" s="149" t="n">
        <v>106</v>
      </c>
      <c r="L4996" s="7" t="n">
        <v>190801</v>
      </c>
      <c r="M4996" s="94">
        <f>VLOOKUP($Q4996,매칭테이블!$F:$I,2,0)*K4996</f>
        <v/>
      </c>
      <c r="N4996" s="94">
        <f>M4996-M4996*VLOOKUP($Q4996,매칭테이블!$F:$I,3,0)</f>
        <v/>
      </c>
      <c r="O4996" s="94">
        <f>VLOOKUP($Q4996,매칭테이블!$F:$I,4,0)*K4996</f>
        <v/>
      </c>
      <c r="P4996" s="148">
        <f>M4996/1.1</f>
        <v/>
      </c>
      <c r="Q4996" s="94">
        <f>F4996&amp;E4996&amp;G4996&amp;L4996</f>
        <v/>
      </c>
    </row>
    <row r="4997">
      <c r="A4997" s="94" t="n"/>
      <c r="B4997" s="128" t="n">
        <v>43900</v>
      </c>
      <c r="C4997" s="94">
        <f>TEXT(B4997,"aaa")</f>
        <v/>
      </c>
      <c r="D4997" s="94" t="n"/>
      <c r="E4997" s="6" t="inlineStr">
        <is>
          <t>토너</t>
        </is>
      </c>
      <c r="F4997" s="5" t="inlineStr">
        <is>
          <t>카페24</t>
        </is>
      </c>
      <c r="G4997" s="94" t="inlineStr">
        <is>
          <t>스킨팩 화장솜 60P</t>
        </is>
      </c>
      <c r="H4997" s="7" t="n">
        <v>190801</v>
      </c>
      <c r="I4997" s="7" t="n">
        <v>190801</v>
      </c>
      <c r="J4997" s="94" t="n"/>
      <c r="K4997" s="149" t="n">
        <v>113</v>
      </c>
      <c r="L4997" s="7" t="n">
        <v>190801</v>
      </c>
      <c r="M4997" s="94">
        <f>VLOOKUP($Q4997,매칭테이블!$F:$I,2,0)*K4997</f>
        <v/>
      </c>
      <c r="N4997" s="94">
        <f>M4997-M4997*VLOOKUP($Q4997,매칭테이블!$F:$I,3,0)</f>
        <v/>
      </c>
      <c r="O4997" s="94">
        <f>VLOOKUP($Q4997,매칭테이블!$F:$I,4,0)*K4997</f>
        <v/>
      </c>
      <c r="P4997" s="148">
        <f>M4997/1.1</f>
        <v/>
      </c>
      <c r="Q4997" s="94">
        <f>F4997&amp;E4997&amp;G4997&amp;L4997</f>
        <v/>
      </c>
    </row>
    <row r="4998">
      <c r="A4998" s="94" t="n"/>
      <c r="B4998" s="128" t="n">
        <v>43900</v>
      </c>
      <c r="C4998" s="94">
        <f>TEXT(B4998,"aaa")</f>
        <v/>
      </c>
      <c r="D4998" s="94" t="n"/>
      <c r="E4998" s="94" t="inlineStr">
        <is>
          <t>클렌징폼</t>
        </is>
      </c>
      <c r="F4998" s="5" t="inlineStr">
        <is>
          <t>카페24</t>
        </is>
      </c>
      <c r="G4998" s="94" t="inlineStr">
        <is>
          <t>클렌징폼 120ml</t>
        </is>
      </c>
      <c r="H4998" s="7" t="n">
        <v>190801</v>
      </c>
      <c r="I4998" s="7" t="n">
        <v>190801</v>
      </c>
      <c r="J4998" s="94" t="n"/>
      <c r="K4998" s="149" t="n">
        <v>17</v>
      </c>
      <c r="L4998" s="7" t="n">
        <v>190801</v>
      </c>
      <c r="M4998" s="94">
        <f>VLOOKUP($Q4998,매칭테이블!$F:$I,2,0)*K4998</f>
        <v/>
      </c>
      <c r="N4998" s="94">
        <f>M4998-M4998*VLOOKUP($Q4998,매칭테이블!$F:$I,3,0)</f>
        <v/>
      </c>
      <c r="O4998" s="94">
        <f>VLOOKUP($Q4998,매칭테이블!$F:$I,4,0)*K4998</f>
        <v/>
      </c>
      <c r="P4998" s="148">
        <f>M4998/1.1</f>
        <v/>
      </c>
      <c r="Q4998" s="94">
        <f>F4998&amp;E4998&amp;G4998&amp;L4998</f>
        <v/>
      </c>
    </row>
    <row r="4999">
      <c r="A4999" s="94" t="n"/>
      <c r="B4999" s="128" t="n">
        <v>43900</v>
      </c>
      <c r="C4999" s="94">
        <f>TEXT(B4999,"aaa")</f>
        <v/>
      </c>
      <c r="D4999" s="94" t="n"/>
      <c r="E4999" s="94" t="inlineStr">
        <is>
          <t>클렌징폼</t>
        </is>
      </c>
      <c r="F4999" s="94" t="inlineStr">
        <is>
          <t>카페24</t>
        </is>
      </c>
      <c r="G4999" s="94" t="inlineStr">
        <is>
          <t>클렌징폼 120ml 2set</t>
        </is>
      </c>
      <c r="H4999" s="7" t="n">
        <v>190801</v>
      </c>
      <c r="I4999" s="7" t="n">
        <v>190801</v>
      </c>
      <c r="J4999" s="94" t="n"/>
      <c r="K4999" s="149" t="n">
        <v>1</v>
      </c>
      <c r="L4999" s="7" t="n">
        <v>190801</v>
      </c>
      <c r="M4999" s="94">
        <f>VLOOKUP($Q4999,매칭테이블!$F:$I,2,0)*K4999</f>
        <v/>
      </c>
      <c r="N4999" s="94">
        <f>M4999-M4999*VLOOKUP($Q4999,매칭테이블!$F:$I,3,0)</f>
        <v/>
      </c>
      <c r="O4999" s="94">
        <f>VLOOKUP($Q4999,매칭테이블!$F:$I,4,0)*K4999</f>
        <v/>
      </c>
      <c r="P4999" s="148">
        <f>M4999/1.1</f>
        <v/>
      </c>
      <c r="Q4999" s="94">
        <f>F4999&amp;E4999&amp;G4999&amp;L4999</f>
        <v/>
      </c>
    </row>
    <row r="5000">
      <c r="A5000" s="94" t="n"/>
      <c r="B5000" s="128" t="n">
        <v>43900</v>
      </c>
      <c r="C5000" s="94">
        <f>TEXT(B5000,"aaa")</f>
        <v/>
      </c>
      <c r="D5000" s="94" t="n"/>
      <c r="E5000" s="94" t="inlineStr">
        <is>
          <t>클렌징폼</t>
        </is>
      </c>
      <c r="F5000" s="94" t="inlineStr">
        <is>
          <t>카페24</t>
        </is>
      </c>
      <c r="G5000" s="94" t="inlineStr">
        <is>
          <t>클렌징폼 120ml 3set</t>
        </is>
      </c>
      <c r="H5000" s="7" t="n">
        <v>190801</v>
      </c>
      <c r="I5000" s="7" t="n">
        <v>190801</v>
      </c>
      <c r="J5000" s="94" t="n"/>
      <c r="K5000" s="149" t="n">
        <v>1</v>
      </c>
      <c r="L5000" s="7" t="n">
        <v>190801</v>
      </c>
      <c r="M5000" s="94">
        <f>VLOOKUP($Q5000,매칭테이블!$F:$I,2,0)*K5000</f>
        <v/>
      </c>
      <c r="N5000" s="94">
        <f>M5000-M5000*VLOOKUP($Q5000,매칭테이블!$F:$I,3,0)</f>
        <v/>
      </c>
      <c r="O5000" s="94">
        <f>VLOOKUP($Q5000,매칭테이블!$F:$I,4,0)*K5000</f>
        <v/>
      </c>
      <c r="P5000" s="148">
        <f>M5000/1.1</f>
        <v/>
      </c>
      <c r="Q5000" s="94">
        <f>F5000&amp;E5000&amp;G5000&amp;L5000</f>
        <v/>
      </c>
    </row>
    <row r="5001">
      <c r="A5001" s="94" t="n"/>
      <c r="B5001" s="128" t="n">
        <v>43900</v>
      </c>
      <c r="C5001" s="94">
        <f>TEXT(B5001,"aaa")</f>
        <v/>
      </c>
      <c r="D5001" s="94" t="n"/>
      <c r="E5001" s="94" t="inlineStr">
        <is>
          <t>토너</t>
        </is>
      </c>
      <c r="F5001" s="94" t="inlineStr">
        <is>
          <t>큐텐</t>
        </is>
      </c>
      <c r="G5001" s="94" t="inlineStr">
        <is>
          <t>250ml</t>
        </is>
      </c>
      <c r="H5001" s="7" t="n">
        <v>190801</v>
      </c>
      <c r="I5001" s="7" t="n">
        <v>190801</v>
      </c>
      <c r="J5001" s="94" t="n"/>
      <c r="K5001" s="149" t="n">
        <v>12</v>
      </c>
      <c r="L5001" s="92" t="n">
        <v>190801</v>
      </c>
      <c r="M5001" s="94">
        <f>VLOOKUP($Q5001,매칭테이블!$F:$I,2,0)*K5001</f>
        <v/>
      </c>
      <c r="N5001" s="94">
        <f>M5001-M5001*VLOOKUP($Q5001,매칭테이블!$F:$I,3,0)</f>
        <v/>
      </c>
      <c r="O5001" s="94">
        <f>VLOOKUP($Q5001,매칭테이블!$F:$I,4,0)*K5001</f>
        <v/>
      </c>
      <c r="P5001" s="148">
        <f>M5001/1.1</f>
        <v/>
      </c>
      <c r="Q5001" s="94">
        <f>F5001&amp;E5001&amp;G5001&amp;L5001</f>
        <v/>
      </c>
    </row>
    <row r="5002">
      <c r="A5002" s="94" t="n"/>
      <c r="B5002" s="128" t="n">
        <v>43900</v>
      </c>
      <c r="C5002" s="94">
        <f>TEXT(B5002,"aaa")</f>
        <v/>
      </c>
      <c r="D5002" s="94" t="n"/>
      <c r="E5002" s="94" t="inlineStr">
        <is>
          <t>토너</t>
        </is>
      </c>
      <c r="F5002" s="94" t="inlineStr">
        <is>
          <t>큐텐</t>
        </is>
      </c>
      <c r="G5002" s="94" t="inlineStr">
        <is>
          <t>250ml 2set</t>
        </is>
      </c>
      <c r="H5002" s="7" t="n">
        <v>190801</v>
      </c>
      <c r="I5002" s="7" t="n">
        <v>190801</v>
      </c>
      <c r="J5002" s="94" t="n"/>
      <c r="K5002" s="149" t="n">
        <v>12</v>
      </c>
      <c r="L5002" s="92" t="n">
        <v>190801</v>
      </c>
      <c r="M5002" s="94">
        <f>VLOOKUP($Q5002,매칭테이블!$F:$I,2,0)*K5002</f>
        <v/>
      </c>
      <c r="N5002" s="94">
        <f>M5002-M5002*VLOOKUP($Q5002,매칭테이블!$F:$I,3,0)</f>
        <v/>
      </c>
      <c r="O5002" s="94">
        <f>VLOOKUP($Q5002,매칭테이블!$F:$I,4,0)*K5002</f>
        <v/>
      </c>
      <c r="P5002" s="148">
        <f>M5002/1.1</f>
        <v/>
      </c>
      <c r="Q5002" s="94">
        <f>F5002&amp;E5002&amp;G5002&amp;L5002</f>
        <v/>
      </c>
    </row>
    <row r="5003">
      <c r="A5003" s="94" t="n"/>
      <c r="B5003" s="128" t="n">
        <v>43900</v>
      </c>
      <c r="C5003" s="94">
        <f>TEXT(B5003,"aaa")</f>
        <v/>
      </c>
      <c r="D5003" s="94" t="n"/>
      <c r="E5003" s="94" t="inlineStr">
        <is>
          <t>머드크림마스크</t>
        </is>
      </c>
      <c r="F5003" s="94" t="inlineStr">
        <is>
          <t>큐텐</t>
        </is>
      </c>
      <c r="G5003" s="94" t="inlineStr">
        <is>
          <t>머드크림마스크 100ml</t>
        </is>
      </c>
      <c r="H5003" s="7" t="n">
        <v>190801</v>
      </c>
      <c r="I5003" s="7" t="n">
        <v>190801</v>
      </c>
      <c r="J5003" s="94" t="n"/>
      <c r="K5003" s="149" t="n">
        <v>1</v>
      </c>
      <c r="L5003" s="94" t="n">
        <v>190801</v>
      </c>
      <c r="M5003" s="94">
        <f>VLOOKUP($Q5003,매칭테이블!$F:$I,2,0)*K5003</f>
        <v/>
      </c>
      <c r="N5003" s="94">
        <f>M5003-M5003*VLOOKUP($Q5003,매칭테이블!$F:$I,3,0)</f>
        <v/>
      </c>
      <c r="O5003" s="94">
        <f>VLOOKUP($Q5003,매칭테이블!$F:$I,4,0)*K5003</f>
        <v/>
      </c>
      <c r="P5003" s="148">
        <f>M5003/1.1</f>
        <v/>
      </c>
      <c r="Q5003" s="94">
        <f>F5003&amp;E5003&amp;G5003&amp;L5003</f>
        <v/>
      </c>
    </row>
    <row r="5004">
      <c r="A5004" s="94" t="n"/>
      <c r="B5004" s="128" t="n">
        <v>43901</v>
      </c>
      <c r="C5004" s="94">
        <f>TEXT(B5004,"aaa")</f>
        <v/>
      </c>
      <c r="D5004" s="94" t="n"/>
      <c r="E5004" s="6" t="inlineStr">
        <is>
          <t>토너</t>
        </is>
      </c>
      <c r="F5004" s="5" t="inlineStr">
        <is>
          <t>W컨셉</t>
        </is>
      </c>
      <c r="G5004" s="5" t="inlineStr">
        <is>
          <t>250ml</t>
        </is>
      </c>
      <c r="H5004" s="7" t="n">
        <v>190801</v>
      </c>
      <c r="I5004" s="7" t="n">
        <v>190801</v>
      </c>
      <c r="J5004" s="94" t="n"/>
      <c r="K5004" s="149" t="n">
        <v>5</v>
      </c>
      <c r="L5004" s="7" t="n">
        <v>190801</v>
      </c>
      <c r="M5004" s="94">
        <f>VLOOKUP($Q5004,매칭테이블!$F:$I,2,0)*K5004</f>
        <v/>
      </c>
      <c r="N5004" s="94">
        <f>M5004-M5004*VLOOKUP($Q5004,매칭테이블!$F:$I,3,0)</f>
        <v/>
      </c>
      <c r="O5004" s="94">
        <f>VLOOKUP($Q5004,매칭테이블!$F:$I,4,0)*K5004</f>
        <v/>
      </c>
      <c r="P5004" s="148">
        <f>M5004/1.1</f>
        <v/>
      </c>
      <c r="Q5004" s="94">
        <f>F5004&amp;E5004&amp;G5004&amp;L5004</f>
        <v/>
      </c>
    </row>
    <row r="5005">
      <c r="A5005" s="94" t="n"/>
      <c r="B5005" s="128" t="n">
        <v>43901</v>
      </c>
      <c r="C5005" s="94">
        <f>TEXT(B5005,"aaa")</f>
        <v/>
      </c>
      <c r="D5005" s="94" t="n"/>
      <c r="E5005" s="6" t="inlineStr">
        <is>
          <t>토너</t>
        </is>
      </c>
      <c r="F5005" s="5" t="inlineStr">
        <is>
          <t>W컨셉</t>
        </is>
      </c>
      <c r="G5005" s="5" t="inlineStr">
        <is>
          <t>250ml 2set</t>
        </is>
      </c>
      <c r="H5005" s="7" t="n">
        <v>190801</v>
      </c>
      <c r="I5005" s="7" t="n">
        <v>190801</v>
      </c>
      <c r="J5005" s="94" t="n"/>
      <c r="K5005" s="149" t="n">
        <v>21</v>
      </c>
      <c r="L5005" s="7" t="n">
        <v>190801</v>
      </c>
      <c r="M5005" s="94">
        <f>VLOOKUP($Q5005,매칭테이블!$F:$I,2,0)*K5005</f>
        <v/>
      </c>
      <c r="N5005" s="94">
        <f>M5005-M5005*VLOOKUP($Q5005,매칭테이블!$F:$I,3,0)</f>
        <v/>
      </c>
      <c r="O5005" s="94">
        <f>VLOOKUP($Q5005,매칭테이블!$F:$I,4,0)*K5005</f>
        <v/>
      </c>
      <c r="P5005" s="148">
        <f>M5005/1.1</f>
        <v/>
      </c>
      <c r="Q5005" s="94">
        <f>F5005&amp;E5005&amp;G5005&amp;L5005</f>
        <v/>
      </c>
    </row>
    <row r="5006">
      <c r="A5006" s="94" t="n"/>
      <c r="B5006" s="128" t="n">
        <v>43901</v>
      </c>
      <c r="C5006" s="94">
        <f>TEXT(B5006,"aaa")</f>
        <v/>
      </c>
      <c r="D5006" s="94" t="n"/>
      <c r="E5006" s="94" t="inlineStr">
        <is>
          <t>토너</t>
        </is>
      </c>
      <c r="F5006" s="5" t="inlineStr">
        <is>
          <t>스타일쉐어</t>
        </is>
      </c>
      <c r="G5006" s="94" t="inlineStr">
        <is>
          <t>250ml</t>
        </is>
      </c>
      <c r="H5006" s="7" t="n">
        <v>190801</v>
      </c>
      <c r="I5006" s="7" t="n">
        <v>190801</v>
      </c>
      <c r="J5006" s="94" t="n"/>
      <c r="K5006" s="149" t="n">
        <v>20</v>
      </c>
      <c r="L5006" s="92" t="n">
        <v>190801</v>
      </c>
      <c r="M5006" s="94">
        <f>VLOOKUP($Q5006,매칭테이블!$F:$I,2,0)*K5006</f>
        <v/>
      </c>
      <c r="N5006" s="94">
        <f>M5006-M5006*VLOOKUP($Q5006,매칭테이블!$F:$I,3,0)</f>
        <v/>
      </c>
      <c r="O5006" s="94">
        <f>VLOOKUP($Q5006,매칭테이블!$F:$I,4,0)*K5006</f>
        <v/>
      </c>
      <c r="P5006" s="148">
        <f>M5006/1.1</f>
        <v/>
      </c>
      <c r="Q5006" s="94">
        <f>F5006&amp;E5006&amp;G5006&amp;L5006</f>
        <v/>
      </c>
    </row>
    <row r="5007">
      <c r="A5007" s="94" t="n"/>
      <c r="B5007" s="128" t="n">
        <v>43901</v>
      </c>
      <c r="C5007" s="94">
        <f>TEXT(B5007,"aaa")</f>
        <v/>
      </c>
      <c r="D5007" s="94" t="n"/>
      <c r="E5007" s="94" t="inlineStr">
        <is>
          <t>머드크림마스크</t>
        </is>
      </c>
      <c r="F5007" s="94" t="inlineStr">
        <is>
          <t>카페24</t>
        </is>
      </c>
      <c r="G5007" s="94" t="inlineStr">
        <is>
          <t>머드크림마스크 100ml</t>
        </is>
      </c>
      <c r="H5007" s="7" t="n">
        <v>190801</v>
      </c>
      <c r="I5007" s="7" t="n">
        <v>190801</v>
      </c>
      <c r="J5007" s="94" t="n"/>
      <c r="K5007" s="149" t="n">
        <v>7</v>
      </c>
      <c r="L5007" s="94" t="n">
        <v>190801</v>
      </c>
      <c r="M5007" s="94">
        <f>VLOOKUP($Q5007,매칭테이블!$F:$I,2,0)*K5007</f>
        <v/>
      </c>
      <c r="N5007" s="94">
        <f>M5007-M5007*VLOOKUP($Q5007,매칭테이블!$F:$I,3,0)</f>
        <v/>
      </c>
      <c r="O5007" s="94">
        <f>VLOOKUP($Q5007,매칭테이블!$F:$I,4,0)*K5007</f>
        <v/>
      </c>
      <c r="P5007" s="148">
        <f>M5007/1.1</f>
        <v/>
      </c>
      <c r="Q5007" s="94">
        <f>F5007&amp;E5007&amp;G5007&amp;L5007</f>
        <v/>
      </c>
    </row>
    <row r="5008">
      <c r="A5008" s="94" t="n"/>
      <c r="B5008" s="128" t="n">
        <v>43901</v>
      </c>
      <c r="C5008" s="94">
        <f>TEXT(B5008,"aaa")</f>
        <v/>
      </c>
      <c r="D5008" s="94" t="n"/>
      <c r="E5008" s="94" t="inlineStr">
        <is>
          <t>머드크림마스크</t>
        </is>
      </c>
      <c r="F5008" s="94" t="inlineStr">
        <is>
          <t>카페24</t>
        </is>
      </c>
      <c r="G5008" s="94" t="inlineStr">
        <is>
          <t>머드크림마스크 100ml 2set</t>
        </is>
      </c>
      <c r="H5008" s="7" t="n">
        <v>190801</v>
      </c>
      <c r="I5008" s="7" t="n">
        <v>190801</v>
      </c>
      <c r="J5008" s="94" t="n"/>
      <c r="K5008" s="149" t="n">
        <v>2</v>
      </c>
      <c r="L5008" s="94" t="n">
        <v>190801</v>
      </c>
      <c r="M5008" s="94">
        <f>VLOOKUP($Q5008,매칭테이블!$F:$I,2,0)*K5008</f>
        <v/>
      </c>
      <c r="N5008" s="94">
        <f>M5008-M5008*VLOOKUP($Q5008,매칭테이블!$F:$I,3,0)</f>
        <v/>
      </c>
      <c r="O5008" s="94">
        <f>VLOOKUP($Q5008,매칭테이블!$F:$I,4,0)*K5008</f>
        <v/>
      </c>
      <c r="P5008" s="148">
        <f>M5008/1.1</f>
        <v/>
      </c>
      <c r="Q5008" s="94">
        <f>F5008&amp;E5008&amp;G5008&amp;L5008</f>
        <v/>
      </c>
    </row>
    <row r="5009">
      <c r="A5009" s="94" t="n"/>
      <c r="B5009" s="128" t="n">
        <v>43901</v>
      </c>
      <c r="C5009" s="94">
        <f>TEXT(B5009,"aaa")</f>
        <v/>
      </c>
      <c r="D5009" s="94" t="n"/>
      <c r="E5009" s="94" t="inlineStr">
        <is>
          <t>마스크팩</t>
        </is>
      </c>
      <c r="F5009" s="94" t="inlineStr">
        <is>
          <t>카페24</t>
        </is>
      </c>
      <c r="G5009" s="94" t="inlineStr">
        <is>
          <t>마스크팩 1매</t>
        </is>
      </c>
      <c r="H5009" s="7" t="n">
        <v>190801</v>
      </c>
      <c r="I5009" s="7" t="n">
        <v>190801</v>
      </c>
      <c r="J5009" s="94" t="n"/>
      <c r="K5009" s="149" t="n">
        <v>9</v>
      </c>
      <c r="L5009" s="94" t="n">
        <v>190801</v>
      </c>
      <c r="M5009" s="94">
        <f>VLOOKUP($Q5009,매칭테이블!$F:$I,2,0)*K5009</f>
        <v/>
      </c>
      <c r="N5009" s="94">
        <f>M5009-M5009*VLOOKUP($Q5009,매칭테이블!$F:$I,3,0)</f>
        <v/>
      </c>
      <c r="O5009" s="94">
        <f>VLOOKUP($Q5009,매칭테이블!$F:$I,4,0)*K5009</f>
        <v/>
      </c>
      <c r="P5009" s="148">
        <f>M5009/1.1</f>
        <v/>
      </c>
      <c r="Q5009" s="94">
        <f>F5009&amp;E5009&amp;G5009&amp;L5009</f>
        <v/>
      </c>
    </row>
    <row r="5010">
      <c r="A5010" s="94" t="n"/>
      <c r="B5010" s="128" t="n">
        <v>43901</v>
      </c>
      <c r="C5010" s="94">
        <f>TEXT(B5010,"aaa")</f>
        <v/>
      </c>
      <c r="D5010" s="94" t="n"/>
      <c r="E5010" s="94" t="inlineStr">
        <is>
          <t>마스크팩</t>
        </is>
      </c>
      <c r="F5010" s="94" t="inlineStr">
        <is>
          <t>카페24</t>
        </is>
      </c>
      <c r="G5010" s="94" t="inlineStr">
        <is>
          <t>마스크팩 10매</t>
        </is>
      </c>
      <c r="H5010" s="7" t="n">
        <v>190801</v>
      </c>
      <c r="I5010" s="7" t="n">
        <v>190801</v>
      </c>
      <c r="J5010" s="94" t="n"/>
      <c r="K5010" s="149" t="n">
        <v>10</v>
      </c>
      <c r="L5010" s="94" t="n">
        <v>190801</v>
      </c>
      <c r="M5010" s="94">
        <f>VLOOKUP($Q5010,매칭테이블!$F:$I,2,0)*K5010</f>
        <v/>
      </c>
      <c r="N5010" s="94">
        <f>M5010-M5010*VLOOKUP($Q5010,매칭테이블!$F:$I,3,0)</f>
        <v/>
      </c>
      <c r="O5010" s="94">
        <f>VLOOKUP($Q5010,매칭테이블!$F:$I,4,0)*K5010</f>
        <v/>
      </c>
      <c r="P5010" s="148">
        <f>M5010/1.1</f>
        <v/>
      </c>
      <c r="Q5010" s="94">
        <f>F5010&amp;E5010&amp;G5010&amp;L5010</f>
        <v/>
      </c>
    </row>
    <row r="5011">
      <c r="A5011" s="94" t="n"/>
      <c r="B5011" s="128" t="n">
        <v>43901</v>
      </c>
      <c r="C5011" s="94">
        <f>TEXT(B5011,"aaa")</f>
        <v/>
      </c>
      <c r="D5011" s="94" t="n"/>
      <c r="E5011" s="6" t="inlineStr">
        <is>
          <t>토너</t>
        </is>
      </c>
      <c r="F5011" s="5" t="inlineStr">
        <is>
          <t>카페24</t>
        </is>
      </c>
      <c r="G5011" s="5" t="inlineStr">
        <is>
          <t>250ml</t>
        </is>
      </c>
      <c r="H5011" s="7" t="n">
        <v>190801</v>
      </c>
      <c r="I5011" s="7" t="n">
        <v>190801</v>
      </c>
      <c r="J5011" s="94" t="n"/>
      <c r="K5011" s="149" t="n">
        <v>82</v>
      </c>
      <c r="L5011" s="7" t="n">
        <v>190801</v>
      </c>
      <c r="M5011" s="94">
        <f>VLOOKUP($Q5011,매칭테이블!$F:$I,2,0)*K5011</f>
        <v/>
      </c>
      <c r="N5011" s="94">
        <f>M5011-M5011*VLOOKUP($Q5011,매칭테이블!$F:$I,3,0)</f>
        <v/>
      </c>
      <c r="O5011" s="94">
        <f>VLOOKUP($Q5011,매칭테이블!$F:$I,4,0)*K5011</f>
        <v/>
      </c>
      <c r="P5011" s="148">
        <f>M5011/1.1</f>
        <v/>
      </c>
      <c r="Q5011" s="94">
        <f>F5011&amp;E5011&amp;G5011&amp;L5011</f>
        <v/>
      </c>
    </row>
    <row r="5012">
      <c r="A5012" s="94" t="n"/>
      <c r="B5012" s="128" t="n">
        <v>43901</v>
      </c>
      <c r="C5012" s="94">
        <f>TEXT(B5012,"aaa")</f>
        <v/>
      </c>
      <c r="D5012" s="94" t="n"/>
      <c r="E5012" s="6" t="inlineStr">
        <is>
          <t>토너</t>
        </is>
      </c>
      <c r="F5012" s="5" t="inlineStr">
        <is>
          <t>카페24</t>
        </is>
      </c>
      <c r="G5012" s="5" t="inlineStr">
        <is>
          <t>250ml 2set</t>
        </is>
      </c>
      <c r="H5012" s="7" t="n">
        <v>190801</v>
      </c>
      <c r="I5012" s="7" t="n">
        <v>190801</v>
      </c>
      <c r="J5012" s="94" t="n"/>
      <c r="K5012" s="149" t="n">
        <v>271</v>
      </c>
      <c r="L5012" s="7" t="n">
        <v>190801</v>
      </c>
      <c r="M5012" s="94">
        <f>VLOOKUP($Q5012,매칭테이블!$F:$I,2,0)*K5012</f>
        <v/>
      </c>
      <c r="N5012" s="94">
        <f>M5012-M5012*VLOOKUP($Q5012,매칭테이블!$F:$I,3,0)</f>
        <v/>
      </c>
      <c r="O5012" s="94">
        <f>VLOOKUP($Q5012,매칭테이블!$F:$I,4,0)*K5012</f>
        <v/>
      </c>
      <c r="P5012" s="148">
        <f>M5012/1.1</f>
        <v/>
      </c>
      <c r="Q5012" s="94">
        <f>F5012&amp;E5012&amp;G5012&amp;L5012</f>
        <v/>
      </c>
    </row>
    <row r="5013">
      <c r="A5013" s="94" t="n"/>
      <c r="B5013" s="128" t="n">
        <v>43901</v>
      </c>
      <c r="C5013" s="94">
        <f>TEXT(B5013,"aaa")</f>
        <v/>
      </c>
      <c r="D5013" s="94" t="n"/>
      <c r="E5013" s="6" t="inlineStr">
        <is>
          <t>토너</t>
        </is>
      </c>
      <c r="F5013" s="5" t="inlineStr">
        <is>
          <t>카페24</t>
        </is>
      </c>
      <c r="G5013" s="5" t="inlineStr">
        <is>
          <t>500ml</t>
        </is>
      </c>
      <c r="H5013" s="7" t="n">
        <v>190801</v>
      </c>
      <c r="I5013" s="7" t="n">
        <v>190801</v>
      </c>
      <c r="J5013" s="94" t="n"/>
      <c r="K5013" s="149" t="n">
        <v>216</v>
      </c>
      <c r="L5013" s="7" t="n">
        <v>190801</v>
      </c>
      <c r="M5013" s="94">
        <f>VLOOKUP($Q5013,매칭테이블!$F:$I,2,0)*K5013</f>
        <v/>
      </c>
      <c r="N5013" s="94">
        <f>M5013-M5013*VLOOKUP($Q5013,매칭테이블!$F:$I,3,0)</f>
        <v/>
      </c>
      <c r="O5013" s="94">
        <f>VLOOKUP($Q5013,매칭테이블!$F:$I,4,0)*K5013</f>
        <v/>
      </c>
      <c r="P5013" s="148">
        <f>M5013/1.1</f>
        <v/>
      </c>
      <c r="Q5013" s="94">
        <f>F5013&amp;E5013&amp;G5013&amp;L5013</f>
        <v/>
      </c>
    </row>
    <row r="5014">
      <c r="A5014" s="94" t="n"/>
      <c r="B5014" s="128" t="n">
        <v>43901</v>
      </c>
      <c r="C5014" s="94">
        <f>TEXT(B5014,"aaa")</f>
        <v/>
      </c>
      <c r="D5014" s="94" t="n"/>
      <c r="E5014" s="6" t="inlineStr">
        <is>
          <t>토너</t>
        </is>
      </c>
      <c r="F5014" s="5" t="inlineStr">
        <is>
          <t>카페24</t>
        </is>
      </c>
      <c r="G5014" s="94" t="inlineStr">
        <is>
          <t>스킨팩 화장솜 60P</t>
        </is>
      </c>
      <c r="H5014" s="7" t="n">
        <v>190801</v>
      </c>
      <c r="I5014" s="7" t="n">
        <v>190801</v>
      </c>
      <c r="J5014" s="94" t="n"/>
      <c r="K5014" s="149" t="n">
        <v>97</v>
      </c>
      <c r="L5014" s="7" t="n">
        <v>190801</v>
      </c>
      <c r="M5014" s="94">
        <f>VLOOKUP($Q5014,매칭테이블!$F:$I,2,0)*K5014</f>
        <v/>
      </c>
      <c r="N5014" s="94">
        <f>M5014-M5014*VLOOKUP($Q5014,매칭테이블!$F:$I,3,0)</f>
        <v/>
      </c>
      <c r="O5014" s="94">
        <f>VLOOKUP($Q5014,매칭테이블!$F:$I,4,0)*K5014</f>
        <v/>
      </c>
      <c r="P5014" s="148">
        <f>M5014/1.1</f>
        <v/>
      </c>
      <c r="Q5014" s="94">
        <f>F5014&amp;E5014&amp;G5014&amp;L5014</f>
        <v/>
      </c>
    </row>
    <row r="5015">
      <c r="A5015" s="94" t="n"/>
      <c r="B5015" s="128" t="n">
        <v>43901</v>
      </c>
      <c r="C5015" s="94">
        <f>TEXT(B5015,"aaa")</f>
        <v/>
      </c>
      <c r="D5015" s="94" t="n"/>
      <c r="E5015" s="94" t="inlineStr">
        <is>
          <t>클렌징폼</t>
        </is>
      </c>
      <c r="F5015" s="5" t="inlineStr">
        <is>
          <t>카페24</t>
        </is>
      </c>
      <c r="G5015" s="94" t="inlineStr">
        <is>
          <t>클렌징폼 120ml</t>
        </is>
      </c>
      <c r="H5015" s="7" t="n">
        <v>190801</v>
      </c>
      <c r="I5015" s="7" t="n">
        <v>190801</v>
      </c>
      <c r="J5015" s="94" t="n"/>
      <c r="K5015" s="149" t="n">
        <v>9</v>
      </c>
      <c r="L5015" s="7" t="n">
        <v>190801</v>
      </c>
      <c r="M5015" s="94">
        <f>VLOOKUP($Q5015,매칭테이블!$F:$I,2,0)*K5015</f>
        <v/>
      </c>
      <c r="N5015" s="94">
        <f>M5015-M5015*VLOOKUP($Q5015,매칭테이블!$F:$I,3,0)</f>
        <v/>
      </c>
      <c r="O5015" s="94">
        <f>VLOOKUP($Q5015,매칭테이블!$F:$I,4,0)*K5015</f>
        <v/>
      </c>
      <c r="P5015" s="148">
        <f>M5015/1.1</f>
        <v/>
      </c>
      <c r="Q5015" s="94">
        <f>F5015&amp;E5015&amp;G5015&amp;L5015</f>
        <v/>
      </c>
    </row>
    <row r="5016">
      <c r="A5016" s="94" t="n"/>
      <c r="B5016" s="128" t="n">
        <v>43901</v>
      </c>
      <c r="C5016" s="94">
        <f>TEXT(B5016,"aaa")</f>
        <v/>
      </c>
      <c r="D5016" s="94" t="n"/>
      <c r="E5016" s="94" t="inlineStr">
        <is>
          <t>토너</t>
        </is>
      </c>
      <c r="F5016" s="94" t="inlineStr">
        <is>
          <t>큐텐</t>
        </is>
      </c>
      <c r="G5016" s="94" t="inlineStr">
        <is>
          <t>250ml</t>
        </is>
      </c>
      <c r="H5016" s="7" t="n">
        <v>190801</v>
      </c>
      <c r="I5016" s="7" t="n">
        <v>190801</v>
      </c>
      <c r="J5016" s="94" t="n"/>
      <c r="K5016" s="149" t="n">
        <v>19</v>
      </c>
      <c r="L5016" s="92" t="n">
        <v>190801</v>
      </c>
      <c r="M5016" s="94">
        <f>VLOOKUP($Q5016,매칭테이블!$F:$I,2,0)*K5016</f>
        <v/>
      </c>
      <c r="N5016" s="94">
        <f>M5016-M5016*VLOOKUP($Q5016,매칭테이블!$F:$I,3,0)</f>
        <v/>
      </c>
      <c r="O5016" s="94">
        <f>VLOOKUP($Q5016,매칭테이블!$F:$I,4,0)*K5016</f>
        <v/>
      </c>
      <c r="P5016" s="148">
        <f>M5016/1.1</f>
        <v/>
      </c>
      <c r="Q5016" s="94">
        <f>F5016&amp;E5016&amp;G5016&amp;L5016</f>
        <v/>
      </c>
    </row>
    <row r="5017">
      <c r="A5017" s="94" t="n"/>
      <c r="B5017" s="128" t="n">
        <v>43901</v>
      </c>
      <c r="C5017" s="94">
        <f>TEXT(B5017,"aaa")</f>
        <v/>
      </c>
      <c r="D5017" s="94" t="n"/>
      <c r="E5017" s="94" t="inlineStr">
        <is>
          <t>토너</t>
        </is>
      </c>
      <c r="F5017" s="94" t="inlineStr">
        <is>
          <t>큐텐</t>
        </is>
      </c>
      <c r="G5017" s="94" t="inlineStr">
        <is>
          <t>250ml 2set</t>
        </is>
      </c>
      <c r="H5017" s="7" t="n">
        <v>190801</v>
      </c>
      <c r="I5017" s="7" t="n">
        <v>190801</v>
      </c>
      <c r="J5017" s="94" t="n"/>
      <c r="K5017" s="149" t="n">
        <v>10</v>
      </c>
      <c r="L5017" s="92" t="n">
        <v>190801</v>
      </c>
      <c r="M5017" s="94">
        <f>VLOOKUP($Q5017,매칭테이블!$F:$I,2,0)*K5017</f>
        <v/>
      </c>
      <c r="N5017" s="94">
        <f>M5017-M5017*VLOOKUP($Q5017,매칭테이블!$F:$I,3,0)</f>
        <v/>
      </c>
      <c r="O5017" s="94">
        <f>VLOOKUP($Q5017,매칭테이블!$F:$I,4,0)*K5017</f>
        <v/>
      </c>
      <c r="P5017" s="148">
        <f>M5017/1.1</f>
        <v/>
      </c>
      <c r="Q5017" s="94">
        <f>F5017&amp;E5017&amp;G5017&amp;L5017</f>
        <v/>
      </c>
    </row>
    <row r="5018">
      <c r="A5018" s="94" t="n"/>
      <c r="B5018" s="128" t="n">
        <v>43901</v>
      </c>
      <c r="C5018" s="94">
        <f>TEXT(B5018,"aaa")</f>
        <v/>
      </c>
      <c r="D5018" s="94" t="n"/>
      <c r="E5018" s="94" t="inlineStr">
        <is>
          <t>클렌징폼</t>
        </is>
      </c>
      <c r="F5018" s="94" t="inlineStr">
        <is>
          <t>아누아 CS</t>
        </is>
      </c>
      <c r="G5018" s="94" t="inlineStr">
        <is>
          <t>클렌징폼 120ml</t>
        </is>
      </c>
      <c r="H5018" s="7" t="n">
        <v>190801</v>
      </c>
      <c r="I5018" s="7" t="n">
        <v>190801</v>
      </c>
      <c r="J5018" s="94" t="n"/>
      <c r="K5018" s="149" t="n">
        <v>30</v>
      </c>
      <c r="L5018" s="7" t="n">
        <v>190801</v>
      </c>
      <c r="M5018" s="94">
        <f>VLOOKUP($Q5018,매칭테이블!$F:$I,2,0)*K5018</f>
        <v/>
      </c>
      <c r="N5018" s="94">
        <f>M5018-M5018*VLOOKUP($Q5018,매칭테이블!$F:$I,3,0)</f>
        <v/>
      </c>
      <c r="O5018" s="94">
        <f>VLOOKUP($Q5018,매칭테이블!$F:$I,4,0)*K5018</f>
        <v/>
      </c>
      <c r="P5018" s="148">
        <f>M5018/1.1</f>
        <v/>
      </c>
      <c r="Q5018" s="94">
        <f>F5018&amp;E5018&amp;G5018&amp;L5018</f>
        <v/>
      </c>
    </row>
    <row r="5019">
      <c r="A5019" s="94" t="n"/>
      <c r="B5019" s="128" t="n">
        <v>43902</v>
      </c>
      <c r="C5019" s="94">
        <f>TEXT(B5019,"aaa")</f>
        <v/>
      </c>
      <c r="D5019" s="94" t="n"/>
      <c r="E5019" s="6" t="inlineStr">
        <is>
          <t>토너</t>
        </is>
      </c>
      <c r="F5019" s="5" t="inlineStr">
        <is>
          <t>W컨셉</t>
        </is>
      </c>
      <c r="G5019" s="5" t="inlineStr">
        <is>
          <t>250ml</t>
        </is>
      </c>
      <c r="H5019" s="7" t="n">
        <v>190801</v>
      </c>
      <c r="I5019" s="7" t="n">
        <v>190801</v>
      </c>
      <c r="J5019" s="94" t="n"/>
      <c r="K5019" s="149" t="n">
        <v>2</v>
      </c>
      <c r="L5019" s="7" t="n">
        <v>190801</v>
      </c>
      <c r="M5019" s="94">
        <f>VLOOKUP($Q5019,매칭테이블!$F:$I,2,0)*K5019</f>
        <v/>
      </c>
      <c r="N5019" s="94">
        <f>M5019-M5019*VLOOKUP($Q5019,매칭테이블!$F:$I,3,0)</f>
        <v/>
      </c>
      <c r="O5019" s="94">
        <f>VLOOKUP($Q5019,매칭테이블!$F:$I,4,0)*K5019</f>
        <v/>
      </c>
      <c r="P5019" s="148">
        <f>M5019/1.1</f>
        <v/>
      </c>
      <c r="Q5019" s="94">
        <f>F5019&amp;E5019&amp;G5019&amp;L5019</f>
        <v/>
      </c>
    </row>
    <row r="5020">
      <c r="A5020" s="94" t="n"/>
      <c r="B5020" s="128" t="n">
        <v>43902</v>
      </c>
      <c r="C5020" s="94">
        <f>TEXT(B5020,"aaa")</f>
        <v/>
      </c>
      <c r="D5020" s="94" t="n"/>
      <c r="E5020" s="6" t="inlineStr">
        <is>
          <t>토너</t>
        </is>
      </c>
      <c r="F5020" s="5" t="inlineStr">
        <is>
          <t>W컨셉</t>
        </is>
      </c>
      <c r="G5020" s="5" t="inlineStr">
        <is>
          <t>250ml 2set</t>
        </is>
      </c>
      <c r="H5020" s="7" t="n">
        <v>190801</v>
      </c>
      <c r="I5020" s="7" t="n">
        <v>190801</v>
      </c>
      <c r="J5020" s="94" t="n"/>
      <c r="K5020" s="149" t="n">
        <v>4</v>
      </c>
      <c r="L5020" s="7" t="n">
        <v>190801</v>
      </c>
      <c r="M5020" s="94">
        <f>VLOOKUP($Q5020,매칭테이블!$F:$I,2,0)*K5020</f>
        <v/>
      </c>
      <c r="N5020" s="94">
        <f>M5020-M5020*VLOOKUP($Q5020,매칭테이블!$F:$I,3,0)</f>
        <v/>
      </c>
      <c r="O5020" s="94">
        <f>VLOOKUP($Q5020,매칭테이블!$F:$I,4,0)*K5020</f>
        <v/>
      </c>
      <c r="P5020" s="148">
        <f>M5020/1.1</f>
        <v/>
      </c>
      <c r="Q5020" s="94">
        <f>F5020&amp;E5020&amp;G5020&amp;L5020</f>
        <v/>
      </c>
    </row>
    <row r="5021">
      <c r="A5021" s="94" t="n"/>
      <c r="B5021" s="128" t="n">
        <v>43902</v>
      </c>
      <c r="C5021" s="94">
        <f>TEXT(B5021,"aaa")</f>
        <v/>
      </c>
      <c r="D5021" s="94" t="n"/>
      <c r="E5021" s="94" t="inlineStr">
        <is>
          <t>토너</t>
        </is>
      </c>
      <c r="F5021" s="5" t="inlineStr">
        <is>
          <t>스타일쉐어</t>
        </is>
      </c>
      <c r="G5021" s="94" t="inlineStr">
        <is>
          <t>250ml</t>
        </is>
      </c>
      <c r="H5021" s="7" t="n">
        <v>190801</v>
      </c>
      <c r="I5021" s="7" t="n">
        <v>190801</v>
      </c>
      <c r="J5021" s="94" t="n"/>
      <c r="K5021" s="149" t="n">
        <v>15</v>
      </c>
      <c r="L5021" s="92" t="n">
        <v>190801</v>
      </c>
      <c r="M5021" s="94">
        <f>VLOOKUP($Q5021,매칭테이블!$F:$I,2,0)*K5021</f>
        <v/>
      </c>
      <c r="N5021" s="94">
        <f>M5021-M5021*VLOOKUP($Q5021,매칭테이블!$F:$I,3,0)</f>
        <v/>
      </c>
      <c r="O5021" s="94">
        <f>VLOOKUP($Q5021,매칭테이블!$F:$I,4,0)*K5021</f>
        <v/>
      </c>
      <c r="P5021" s="148">
        <f>M5021/1.1</f>
        <v/>
      </c>
      <c r="Q5021" s="94">
        <f>F5021&amp;E5021&amp;G5021&amp;L5021</f>
        <v/>
      </c>
    </row>
    <row r="5022">
      <c r="A5022" s="94" t="n"/>
      <c r="B5022" s="128" t="n">
        <v>43902</v>
      </c>
      <c r="C5022" s="94">
        <f>TEXT(B5022,"aaa")</f>
        <v/>
      </c>
      <c r="D5022" s="94" t="n"/>
      <c r="E5022" s="94" t="inlineStr">
        <is>
          <t>머드크림마스크</t>
        </is>
      </c>
      <c r="F5022" s="94" t="inlineStr">
        <is>
          <t>카페24</t>
        </is>
      </c>
      <c r="G5022" s="94" t="inlineStr">
        <is>
          <t>머드크림마스크 100ml</t>
        </is>
      </c>
      <c r="H5022" s="7" t="n">
        <v>190801</v>
      </c>
      <c r="I5022" s="7" t="n">
        <v>190801</v>
      </c>
      <c r="J5022" s="94" t="n"/>
      <c r="K5022" s="149" t="n">
        <v>12</v>
      </c>
      <c r="L5022" s="94" t="n">
        <v>190801</v>
      </c>
      <c r="M5022" s="94">
        <f>VLOOKUP($Q5022,매칭테이블!$F:$I,2,0)*K5022</f>
        <v/>
      </c>
      <c r="N5022" s="94">
        <f>M5022-M5022*VLOOKUP($Q5022,매칭테이블!$F:$I,3,0)</f>
        <v/>
      </c>
      <c r="O5022" s="94">
        <f>VLOOKUP($Q5022,매칭테이블!$F:$I,4,0)*K5022</f>
        <v/>
      </c>
      <c r="P5022" s="148">
        <f>M5022/1.1</f>
        <v/>
      </c>
      <c r="Q5022" s="94">
        <f>F5022&amp;E5022&amp;G5022&amp;L5022</f>
        <v/>
      </c>
    </row>
    <row r="5023">
      <c r="A5023" s="94" t="n"/>
      <c r="B5023" s="128" t="n">
        <v>43902</v>
      </c>
      <c r="C5023" s="94">
        <f>TEXT(B5023,"aaa")</f>
        <v/>
      </c>
      <c r="D5023" s="94" t="n"/>
      <c r="E5023" s="94" t="inlineStr">
        <is>
          <t>머드크림마스크</t>
        </is>
      </c>
      <c r="F5023" s="94" t="inlineStr">
        <is>
          <t>카페24</t>
        </is>
      </c>
      <c r="G5023" s="94" t="inlineStr">
        <is>
          <t>머드크림마스크 100ml 2set</t>
        </is>
      </c>
      <c r="H5023" s="7" t="n">
        <v>190801</v>
      </c>
      <c r="I5023" s="7" t="n">
        <v>190801</v>
      </c>
      <c r="J5023" s="94" t="n"/>
      <c r="K5023" s="149" t="n">
        <v>1</v>
      </c>
      <c r="L5023" s="94" t="n">
        <v>190801</v>
      </c>
      <c r="M5023" s="94">
        <f>VLOOKUP($Q5023,매칭테이블!$F:$I,2,0)*K5023</f>
        <v/>
      </c>
      <c r="N5023" s="94">
        <f>M5023-M5023*VLOOKUP($Q5023,매칭테이블!$F:$I,3,0)</f>
        <v/>
      </c>
      <c r="O5023" s="94">
        <f>VLOOKUP($Q5023,매칭테이블!$F:$I,4,0)*K5023</f>
        <v/>
      </c>
      <c r="P5023" s="148">
        <f>M5023/1.1</f>
        <v/>
      </c>
      <c r="Q5023" s="94">
        <f>F5023&amp;E5023&amp;G5023&amp;L5023</f>
        <v/>
      </c>
    </row>
    <row r="5024">
      <c r="A5024" s="94" t="n"/>
      <c r="B5024" s="128" t="n">
        <v>43902</v>
      </c>
      <c r="C5024" s="94">
        <f>TEXT(B5024,"aaa")</f>
        <v/>
      </c>
      <c r="D5024" s="94" t="n"/>
      <c r="E5024" s="6" t="inlineStr">
        <is>
          <t>토너</t>
        </is>
      </c>
      <c r="F5024" s="5" t="inlineStr">
        <is>
          <t>카페24</t>
        </is>
      </c>
      <c r="G5024" s="5" t="inlineStr">
        <is>
          <t>250ml</t>
        </is>
      </c>
      <c r="H5024" s="7" t="n">
        <v>190801</v>
      </c>
      <c r="I5024" s="7" t="n">
        <v>190801</v>
      </c>
      <c r="J5024" s="94" t="n"/>
      <c r="K5024" s="149" t="n">
        <v>89</v>
      </c>
      <c r="L5024" s="7" t="n">
        <v>190801</v>
      </c>
      <c r="M5024" s="94">
        <f>VLOOKUP($Q5024,매칭테이블!$F:$I,2,0)*K5024</f>
        <v/>
      </c>
      <c r="N5024" s="94">
        <f>M5024-M5024*VLOOKUP($Q5024,매칭테이블!$F:$I,3,0)</f>
        <v/>
      </c>
      <c r="O5024" s="94">
        <f>VLOOKUP($Q5024,매칭테이블!$F:$I,4,0)*K5024</f>
        <v/>
      </c>
      <c r="P5024" s="148">
        <f>M5024/1.1</f>
        <v/>
      </c>
      <c r="Q5024" s="94">
        <f>F5024&amp;E5024&amp;G5024&amp;L5024</f>
        <v/>
      </c>
    </row>
    <row r="5025">
      <c r="A5025" s="94" t="n"/>
      <c r="B5025" s="128" t="n">
        <v>43902</v>
      </c>
      <c r="C5025" s="94">
        <f>TEXT(B5025,"aaa")</f>
        <v/>
      </c>
      <c r="D5025" s="94" t="n"/>
      <c r="E5025" s="6" t="inlineStr">
        <is>
          <t>토너</t>
        </is>
      </c>
      <c r="F5025" s="5" t="inlineStr">
        <is>
          <t>카페24</t>
        </is>
      </c>
      <c r="G5025" s="5" t="inlineStr">
        <is>
          <t>250ml 2set</t>
        </is>
      </c>
      <c r="H5025" s="7" t="n">
        <v>190801</v>
      </c>
      <c r="I5025" s="7" t="n">
        <v>190801</v>
      </c>
      <c r="J5025" s="94" t="n"/>
      <c r="K5025" s="149" t="n">
        <v>60</v>
      </c>
      <c r="L5025" s="7" t="n">
        <v>190801</v>
      </c>
      <c r="M5025" s="94">
        <f>VLOOKUP($Q5025,매칭테이블!$F:$I,2,0)*K5025</f>
        <v/>
      </c>
      <c r="N5025" s="94">
        <f>M5025-M5025*VLOOKUP($Q5025,매칭테이블!$F:$I,3,0)</f>
        <v/>
      </c>
      <c r="O5025" s="94">
        <f>VLOOKUP($Q5025,매칭테이블!$F:$I,4,0)*K5025</f>
        <v/>
      </c>
      <c r="P5025" s="148">
        <f>M5025/1.1</f>
        <v/>
      </c>
      <c r="Q5025" s="94">
        <f>F5025&amp;E5025&amp;G5025&amp;L5025</f>
        <v/>
      </c>
    </row>
    <row r="5026">
      <c r="A5026" s="94" t="n"/>
      <c r="B5026" s="128" t="n">
        <v>43902</v>
      </c>
      <c r="C5026" s="94">
        <f>TEXT(B5026,"aaa")</f>
        <v/>
      </c>
      <c r="D5026" s="94" t="n"/>
      <c r="E5026" s="6" t="inlineStr">
        <is>
          <t>토너</t>
        </is>
      </c>
      <c r="F5026" s="5" t="inlineStr">
        <is>
          <t>카페24</t>
        </is>
      </c>
      <c r="G5026" s="5" t="inlineStr">
        <is>
          <t>500ml</t>
        </is>
      </c>
      <c r="H5026" s="7" t="n">
        <v>190801</v>
      </c>
      <c r="I5026" s="7" t="n">
        <v>190801</v>
      </c>
      <c r="J5026" s="94" t="n"/>
      <c r="K5026" s="149" t="n">
        <v>80</v>
      </c>
      <c r="L5026" s="7" t="n">
        <v>190801</v>
      </c>
      <c r="M5026" s="94">
        <f>VLOOKUP($Q5026,매칭테이블!$F:$I,2,0)*K5026</f>
        <v/>
      </c>
      <c r="N5026" s="94">
        <f>M5026-M5026*VLOOKUP($Q5026,매칭테이블!$F:$I,3,0)</f>
        <v/>
      </c>
      <c r="O5026" s="94">
        <f>VLOOKUP($Q5026,매칭테이블!$F:$I,4,0)*K5026</f>
        <v/>
      </c>
      <c r="P5026" s="148">
        <f>M5026/1.1</f>
        <v/>
      </c>
      <c r="Q5026" s="94">
        <f>F5026&amp;E5026&amp;G5026&amp;L5026</f>
        <v/>
      </c>
    </row>
    <row r="5027">
      <c r="A5027" s="94" t="n"/>
      <c r="B5027" s="128" t="n">
        <v>43902</v>
      </c>
      <c r="C5027" s="94">
        <f>TEXT(B5027,"aaa")</f>
        <v/>
      </c>
      <c r="D5027" s="94" t="n"/>
      <c r="E5027" s="6" t="inlineStr">
        <is>
          <t>토너</t>
        </is>
      </c>
      <c r="F5027" s="5" t="inlineStr">
        <is>
          <t>카페24</t>
        </is>
      </c>
      <c r="G5027" s="94" t="inlineStr">
        <is>
          <t>스킨팩 화장솜 60P</t>
        </is>
      </c>
      <c r="H5027" s="7" t="n">
        <v>190801</v>
      </c>
      <c r="I5027" s="7" t="n">
        <v>190801</v>
      </c>
      <c r="J5027" s="94" t="n"/>
      <c r="K5027" s="149" t="n">
        <v>89</v>
      </c>
      <c r="L5027" s="7" t="n">
        <v>190801</v>
      </c>
      <c r="M5027" s="94">
        <f>VLOOKUP($Q5027,매칭테이블!$F:$I,2,0)*K5027</f>
        <v/>
      </c>
      <c r="N5027" s="94">
        <f>M5027-M5027*VLOOKUP($Q5027,매칭테이블!$F:$I,3,0)</f>
        <v/>
      </c>
      <c r="O5027" s="94">
        <f>VLOOKUP($Q5027,매칭테이블!$F:$I,4,0)*K5027</f>
        <v/>
      </c>
      <c r="P5027" s="148">
        <f>M5027/1.1</f>
        <v/>
      </c>
      <c r="Q5027" s="94">
        <f>F5027&amp;E5027&amp;G5027&amp;L5027</f>
        <v/>
      </c>
    </row>
    <row r="5028">
      <c r="A5028" s="94" t="n"/>
      <c r="B5028" s="128" t="n">
        <v>43902</v>
      </c>
      <c r="C5028" s="94">
        <f>TEXT(B5028,"aaa")</f>
        <v/>
      </c>
      <c r="D5028" s="94" t="n"/>
      <c r="E5028" s="94" t="inlineStr">
        <is>
          <t>클렌징폼</t>
        </is>
      </c>
      <c r="F5028" s="5" t="inlineStr">
        <is>
          <t>카페24</t>
        </is>
      </c>
      <c r="G5028" s="94" t="inlineStr">
        <is>
          <t>클렌징폼 120ml</t>
        </is>
      </c>
      <c r="H5028" s="7" t="n">
        <v>190801</v>
      </c>
      <c r="I5028" s="7" t="n">
        <v>190801</v>
      </c>
      <c r="J5028" s="94" t="n"/>
      <c r="K5028" s="149" t="n">
        <v>15</v>
      </c>
      <c r="L5028" s="7" t="n">
        <v>190801</v>
      </c>
      <c r="M5028" s="94">
        <f>VLOOKUP($Q5028,매칭테이블!$F:$I,2,0)*K5028</f>
        <v/>
      </c>
      <c r="N5028" s="94">
        <f>M5028-M5028*VLOOKUP($Q5028,매칭테이블!$F:$I,3,0)</f>
        <v/>
      </c>
      <c r="O5028" s="94">
        <f>VLOOKUP($Q5028,매칭테이블!$F:$I,4,0)*K5028</f>
        <v/>
      </c>
      <c r="P5028" s="148">
        <f>M5028/1.1</f>
        <v/>
      </c>
      <c r="Q5028" s="94">
        <f>F5028&amp;E5028&amp;G5028&amp;L5028</f>
        <v/>
      </c>
    </row>
    <row r="5029">
      <c r="A5029" s="94" t="n"/>
      <c r="B5029" s="128" t="n">
        <v>43902</v>
      </c>
      <c r="C5029" s="94">
        <f>TEXT(B5029,"aaa")</f>
        <v/>
      </c>
      <c r="D5029" s="94" t="n"/>
      <c r="E5029" s="94" t="inlineStr">
        <is>
          <t>토너</t>
        </is>
      </c>
      <c r="F5029" s="94" t="inlineStr">
        <is>
          <t>큐텐</t>
        </is>
      </c>
      <c r="G5029" s="94" t="inlineStr">
        <is>
          <t>250ml</t>
        </is>
      </c>
      <c r="H5029" s="7" t="n">
        <v>190801</v>
      </c>
      <c r="I5029" s="7" t="n">
        <v>190801</v>
      </c>
      <c r="J5029" s="94" t="n"/>
      <c r="K5029" s="149" t="n">
        <v>28</v>
      </c>
      <c r="L5029" s="92" t="n">
        <v>190801</v>
      </c>
      <c r="M5029" s="94">
        <f>VLOOKUP($Q5029,매칭테이블!$F:$I,2,0)*K5029</f>
        <v/>
      </c>
      <c r="N5029" s="94">
        <f>M5029-M5029*VLOOKUP($Q5029,매칭테이블!$F:$I,3,0)</f>
        <v/>
      </c>
      <c r="O5029" s="94">
        <f>VLOOKUP($Q5029,매칭테이블!$F:$I,4,0)*K5029</f>
        <v/>
      </c>
      <c r="P5029" s="148">
        <f>M5029/1.1</f>
        <v/>
      </c>
      <c r="Q5029" s="94">
        <f>F5029&amp;E5029&amp;G5029&amp;L5029</f>
        <v/>
      </c>
    </row>
    <row r="5030">
      <c r="A5030" s="94" t="n"/>
      <c r="B5030" s="128" t="n">
        <v>43902</v>
      </c>
      <c r="C5030" s="94">
        <f>TEXT(B5030,"aaa")</f>
        <v/>
      </c>
      <c r="D5030" s="94" t="n"/>
      <c r="E5030" s="94" t="inlineStr">
        <is>
          <t>토너</t>
        </is>
      </c>
      <c r="F5030" s="94" t="inlineStr">
        <is>
          <t>큐텐</t>
        </is>
      </c>
      <c r="G5030" s="94" t="inlineStr">
        <is>
          <t>250ml 2set</t>
        </is>
      </c>
      <c r="H5030" s="7" t="n">
        <v>190801</v>
      </c>
      <c r="I5030" s="7" t="n">
        <v>190801</v>
      </c>
      <c r="J5030" s="94" t="n"/>
      <c r="K5030" s="149" t="n">
        <v>13</v>
      </c>
      <c r="L5030" s="92" t="n">
        <v>190801</v>
      </c>
      <c r="M5030" s="94">
        <f>VLOOKUP($Q5030,매칭테이블!$F:$I,2,0)*K5030</f>
        <v/>
      </c>
      <c r="N5030" s="94">
        <f>M5030-M5030*VLOOKUP($Q5030,매칭테이블!$F:$I,3,0)</f>
        <v/>
      </c>
      <c r="O5030" s="94">
        <f>VLOOKUP($Q5030,매칭테이블!$F:$I,4,0)*K5030</f>
        <v/>
      </c>
      <c r="P5030" s="148">
        <f>M5030/1.1</f>
        <v/>
      </c>
      <c r="Q5030" s="94">
        <f>F5030&amp;E5030&amp;G5030&amp;L5030</f>
        <v/>
      </c>
    </row>
    <row r="5031">
      <c r="A5031" s="94" t="n"/>
      <c r="B5031" s="128" t="n">
        <v>43902</v>
      </c>
      <c r="C5031" s="94">
        <f>TEXT(B5031,"aaa")</f>
        <v/>
      </c>
      <c r="D5031" s="94" t="n"/>
      <c r="E5031" s="94" t="inlineStr">
        <is>
          <t>클렌징폼</t>
        </is>
      </c>
      <c r="F5031" s="94" t="inlineStr">
        <is>
          <t>큐텐</t>
        </is>
      </c>
      <c r="G5031" s="94" t="inlineStr">
        <is>
          <t>클렌징폼 120ml</t>
        </is>
      </c>
      <c r="H5031" s="7" t="n">
        <v>190801</v>
      </c>
      <c r="I5031" s="7" t="n">
        <v>190801</v>
      </c>
      <c r="J5031" s="94" t="n"/>
      <c r="K5031" s="149" t="n">
        <v>2</v>
      </c>
      <c r="L5031" s="7" t="n">
        <v>190801</v>
      </c>
      <c r="M5031" s="94">
        <f>VLOOKUP($Q5031,매칭테이블!$F:$I,2,0)*K5031</f>
        <v/>
      </c>
      <c r="N5031" s="94">
        <f>M5031-M5031*VLOOKUP($Q5031,매칭테이블!$F:$I,3,0)</f>
        <v/>
      </c>
      <c r="O5031" s="94">
        <f>VLOOKUP($Q5031,매칭테이블!$F:$I,4,0)*K5031</f>
        <v/>
      </c>
      <c r="P5031" s="148">
        <f>M5031/1.1</f>
        <v/>
      </c>
      <c r="Q5031" s="94">
        <f>F5031&amp;E5031&amp;G5031&amp;L5031</f>
        <v/>
      </c>
    </row>
    <row r="5032">
      <c r="A5032" s="94" t="n"/>
      <c r="B5032" s="128" t="n">
        <v>43902</v>
      </c>
      <c r="C5032" s="94">
        <f>TEXT(B5032,"aaa")</f>
        <v/>
      </c>
      <c r="D5032" s="94" t="n"/>
      <c r="E5032" s="94" t="inlineStr">
        <is>
          <t>머드크림마스크</t>
        </is>
      </c>
      <c r="F5032" s="94" t="inlineStr">
        <is>
          <t>큐텐</t>
        </is>
      </c>
      <c r="G5032" s="94" t="inlineStr">
        <is>
          <t>머드크림마스크 100ml</t>
        </is>
      </c>
      <c r="H5032" s="7" t="n">
        <v>190801</v>
      </c>
      <c r="I5032" s="7" t="n">
        <v>190801</v>
      </c>
      <c r="J5032" s="94" t="n"/>
      <c r="K5032" s="149" t="n">
        <v>1</v>
      </c>
      <c r="L5032" s="94" t="n">
        <v>190801</v>
      </c>
      <c r="M5032" s="94">
        <f>VLOOKUP($Q5032,매칭테이블!$F:$I,2,0)*K5032</f>
        <v/>
      </c>
      <c r="N5032" s="94">
        <f>M5032-M5032*VLOOKUP($Q5032,매칭테이블!$F:$I,3,0)</f>
        <v/>
      </c>
      <c r="O5032" s="94">
        <f>VLOOKUP($Q5032,매칭테이블!$F:$I,4,0)*K5032</f>
        <v/>
      </c>
      <c r="P5032" s="148">
        <f>M5032/1.1</f>
        <v/>
      </c>
      <c r="Q5032" s="94">
        <f>F5032&amp;E5032&amp;G5032&amp;L5032</f>
        <v/>
      </c>
    </row>
    <row r="5033">
      <c r="A5033" s="94" t="n"/>
      <c r="B5033" s="128" t="n">
        <v>43902</v>
      </c>
      <c r="C5033" s="94">
        <f>TEXT(B5033,"aaa")</f>
        <v/>
      </c>
      <c r="D5033" s="94" t="n"/>
      <c r="E5033" s="94" t="inlineStr">
        <is>
          <t>마스크팩</t>
        </is>
      </c>
      <c r="F5033" s="94" t="inlineStr">
        <is>
          <t>카페24</t>
        </is>
      </c>
      <c r="G5033" s="94" t="inlineStr">
        <is>
          <t>마스크팩 1매</t>
        </is>
      </c>
      <c r="H5033" s="7" t="n">
        <v>190801</v>
      </c>
      <c r="I5033" s="7" t="n">
        <v>190801</v>
      </c>
      <c r="J5033" s="94" t="n"/>
      <c r="K5033" s="149" t="n">
        <v>2</v>
      </c>
      <c r="L5033" s="94" t="n">
        <v>190801</v>
      </c>
      <c r="M5033" s="94">
        <f>VLOOKUP($Q5033,매칭테이블!$F:$I,2,0)*K5033</f>
        <v/>
      </c>
      <c r="N5033" s="94">
        <f>M5033-M5033*VLOOKUP($Q5033,매칭테이블!$F:$I,3,0)</f>
        <v/>
      </c>
      <c r="O5033" s="94">
        <f>VLOOKUP($Q5033,매칭테이블!$F:$I,4,0)*K5033</f>
        <v/>
      </c>
      <c r="P5033" s="148">
        <f>M5033/1.1</f>
        <v/>
      </c>
      <c r="Q5033" s="94">
        <f>F5033&amp;E5033&amp;G5033&amp;L5033</f>
        <v/>
      </c>
    </row>
    <row r="5034">
      <c r="A5034" s="94" t="n"/>
      <c r="B5034" s="128" t="n">
        <v>43902</v>
      </c>
      <c r="C5034" s="94">
        <f>TEXT(B5034,"aaa")</f>
        <v/>
      </c>
      <c r="D5034" s="94" t="n"/>
      <c r="E5034" s="94" t="inlineStr">
        <is>
          <t>마스크팩</t>
        </is>
      </c>
      <c r="F5034" s="94" t="inlineStr">
        <is>
          <t>카페24</t>
        </is>
      </c>
      <c r="G5034" s="94" t="inlineStr">
        <is>
          <t>마스크팩 10매</t>
        </is>
      </c>
      <c r="H5034" s="7" t="n">
        <v>190801</v>
      </c>
      <c r="I5034" s="7" t="n">
        <v>190801</v>
      </c>
      <c r="J5034" s="94" t="n"/>
      <c r="K5034" s="149" t="n">
        <v>8</v>
      </c>
      <c r="L5034" s="94" t="n">
        <v>190801</v>
      </c>
      <c r="M5034" s="94">
        <f>VLOOKUP($Q5034,매칭테이블!$F:$I,2,0)*K5034</f>
        <v/>
      </c>
      <c r="N5034" s="94">
        <f>M5034-M5034*VLOOKUP($Q5034,매칭테이블!$F:$I,3,0)</f>
        <v/>
      </c>
      <c r="O5034" s="94">
        <f>VLOOKUP($Q5034,매칭테이블!$F:$I,4,0)*K5034</f>
        <v/>
      </c>
      <c r="P5034" s="148">
        <f>M5034/1.1</f>
        <v/>
      </c>
      <c r="Q5034" s="94">
        <f>F5034&amp;E5034&amp;G5034&amp;L5034</f>
        <v/>
      </c>
    </row>
    <row r="5035">
      <c r="A5035" s="94" t="n"/>
      <c r="B5035" s="128" t="n">
        <v>43903</v>
      </c>
      <c r="C5035" s="94">
        <f>TEXT(B5035,"aaa")</f>
        <v/>
      </c>
      <c r="D5035" s="94" t="n"/>
      <c r="E5035" s="6" t="inlineStr">
        <is>
          <t>토너</t>
        </is>
      </c>
      <c r="F5035" s="5" t="inlineStr">
        <is>
          <t>W컨셉</t>
        </is>
      </c>
      <c r="G5035" s="5" t="inlineStr">
        <is>
          <t>250ml</t>
        </is>
      </c>
      <c r="H5035" s="7" t="n">
        <v>190801</v>
      </c>
      <c r="I5035" s="7" t="n">
        <v>190801</v>
      </c>
      <c r="J5035" s="94" t="n"/>
      <c r="K5035" s="149" t="n">
        <v>2</v>
      </c>
      <c r="L5035" s="7" t="n">
        <v>190801</v>
      </c>
      <c r="M5035" s="94">
        <f>VLOOKUP($Q5035,매칭테이블!$F:$I,2,0)*K5035</f>
        <v/>
      </c>
      <c r="N5035" s="94">
        <f>M5035-M5035*VLOOKUP($Q5035,매칭테이블!$F:$I,3,0)</f>
        <v/>
      </c>
      <c r="O5035" s="94">
        <f>VLOOKUP($Q5035,매칭테이블!$F:$I,4,0)*K5035</f>
        <v/>
      </c>
      <c r="P5035" s="148">
        <f>M5035/1.1</f>
        <v/>
      </c>
      <c r="Q5035" s="94">
        <f>F5035&amp;E5035&amp;G5035&amp;L5035</f>
        <v/>
      </c>
    </row>
    <row r="5036">
      <c r="A5036" s="94" t="n"/>
      <c r="B5036" s="128" t="n">
        <v>43903</v>
      </c>
      <c r="C5036" s="94">
        <f>TEXT(B5036,"aaa")</f>
        <v/>
      </c>
      <c r="D5036" s="94" t="n"/>
      <c r="E5036" s="6" t="inlineStr">
        <is>
          <t>토너</t>
        </is>
      </c>
      <c r="F5036" s="5" t="inlineStr">
        <is>
          <t>W컨셉</t>
        </is>
      </c>
      <c r="G5036" s="5" t="inlineStr">
        <is>
          <t>250ml 2set</t>
        </is>
      </c>
      <c r="H5036" s="7" t="n">
        <v>190801</v>
      </c>
      <c r="I5036" s="7" t="n">
        <v>190801</v>
      </c>
      <c r="J5036" s="94" t="n"/>
      <c r="K5036" s="149" t="n">
        <v>27</v>
      </c>
      <c r="L5036" s="7" t="n">
        <v>190801</v>
      </c>
      <c r="M5036" s="94">
        <f>VLOOKUP($Q5036,매칭테이블!$F:$I,2,0)*K5036</f>
        <v/>
      </c>
      <c r="N5036" s="94">
        <f>M5036-M5036*VLOOKUP($Q5036,매칭테이블!$F:$I,3,0)</f>
        <v/>
      </c>
      <c r="O5036" s="94">
        <f>VLOOKUP($Q5036,매칭테이블!$F:$I,4,0)*K5036</f>
        <v/>
      </c>
      <c r="P5036" s="148">
        <f>M5036/1.1</f>
        <v/>
      </c>
      <c r="Q5036" s="94">
        <f>F5036&amp;E5036&amp;G5036&amp;L5036</f>
        <v/>
      </c>
    </row>
    <row r="5037">
      <c r="A5037" s="94" t="n"/>
      <c r="B5037" s="128" t="n">
        <v>43903</v>
      </c>
      <c r="C5037" s="94">
        <f>TEXT(B5037,"aaa")</f>
        <v/>
      </c>
      <c r="D5037" s="94" t="n"/>
      <c r="E5037" s="94" t="inlineStr">
        <is>
          <t>토너</t>
        </is>
      </c>
      <c r="F5037" s="5" t="inlineStr">
        <is>
          <t>스타일쉐어</t>
        </is>
      </c>
      <c r="G5037" s="94" t="inlineStr">
        <is>
          <t>250ml</t>
        </is>
      </c>
      <c r="H5037" s="7" t="n">
        <v>190801</v>
      </c>
      <c r="I5037" s="7" t="n">
        <v>190801</v>
      </c>
      <c r="J5037" s="94" t="n"/>
      <c r="K5037" s="149" t="n">
        <v>8</v>
      </c>
      <c r="L5037" s="92" t="n">
        <v>190801</v>
      </c>
      <c r="M5037" s="94">
        <f>VLOOKUP($Q5037,매칭테이블!$F:$I,2,0)*K5037</f>
        <v/>
      </c>
      <c r="N5037" s="94">
        <f>M5037-M5037*VLOOKUP($Q5037,매칭테이블!$F:$I,3,0)</f>
        <v/>
      </c>
      <c r="O5037" s="94">
        <f>VLOOKUP($Q5037,매칭테이블!$F:$I,4,0)*K5037</f>
        <v/>
      </c>
      <c r="P5037" s="148">
        <f>M5037/1.1</f>
        <v/>
      </c>
      <c r="Q5037" s="94">
        <f>F5037&amp;E5037&amp;G5037&amp;L5037</f>
        <v/>
      </c>
    </row>
    <row r="5038">
      <c r="A5038" s="94" t="n"/>
      <c r="B5038" s="128" t="n">
        <v>43903</v>
      </c>
      <c r="C5038" s="94">
        <f>TEXT(B5038,"aaa")</f>
        <v/>
      </c>
      <c r="D5038" s="94" t="n"/>
      <c r="E5038" s="94" t="inlineStr">
        <is>
          <t>머드크림마스크</t>
        </is>
      </c>
      <c r="F5038" s="94" t="inlineStr">
        <is>
          <t>카페24</t>
        </is>
      </c>
      <c r="G5038" s="94" t="inlineStr">
        <is>
          <t>머드크림마스크 100ml</t>
        </is>
      </c>
      <c r="H5038" s="7" t="n">
        <v>190801</v>
      </c>
      <c r="I5038" s="7" t="n">
        <v>190801</v>
      </c>
      <c r="J5038" s="94" t="n"/>
      <c r="K5038" s="149" t="n">
        <v>10</v>
      </c>
      <c r="L5038" s="94" t="n">
        <v>190801</v>
      </c>
      <c r="M5038" s="94">
        <f>VLOOKUP($Q5038,매칭테이블!$F:$I,2,0)*K5038</f>
        <v/>
      </c>
      <c r="N5038" s="94">
        <f>M5038-M5038*VLOOKUP($Q5038,매칭테이블!$F:$I,3,0)</f>
        <v/>
      </c>
      <c r="O5038" s="94">
        <f>VLOOKUP($Q5038,매칭테이블!$F:$I,4,0)*K5038</f>
        <v/>
      </c>
      <c r="P5038" s="148">
        <f>M5038/1.1</f>
        <v/>
      </c>
      <c r="Q5038" s="94">
        <f>F5038&amp;E5038&amp;G5038&amp;L5038</f>
        <v/>
      </c>
    </row>
    <row r="5039">
      <c r="A5039" s="94" t="n"/>
      <c r="B5039" s="128" t="n">
        <v>43903</v>
      </c>
      <c r="C5039" s="94">
        <f>TEXT(B5039,"aaa")</f>
        <v/>
      </c>
      <c r="D5039" s="94" t="n"/>
      <c r="E5039" s="94" t="inlineStr">
        <is>
          <t>머드크림마스크</t>
        </is>
      </c>
      <c r="F5039" s="94" t="inlineStr">
        <is>
          <t>카페24</t>
        </is>
      </c>
      <c r="G5039" s="94" t="inlineStr">
        <is>
          <t>머드크림마스크 100ml 2set</t>
        </is>
      </c>
      <c r="H5039" s="7" t="n">
        <v>190801</v>
      </c>
      <c r="I5039" s="7" t="n">
        <v>190801</v>
      </c>
      <c r="J5039" s="94" t="n"/>
      <c r="K5039" s="149" t="n">
        <v>1</v>
      </c>
      <c r="L5039" s="94" t="n">
        <v>190801</v>
      </c>
      <c r="M5039" s="94">
        <f>VLOOKUP($Q5039,매칭테이블!$F:$I,2,0)*K5039</f>
        <v/>
      </c>
      <c r="N5039" s="94">
        <f>M5039-M5039*VLOOKUP($Q5039,매칭테이블!$F:$I,3,0)</f>
        <v/>
      </c>
      <c r="O5039" s="94">
        <f>VLOOKUP($Q5039,매칭테이블!$F:$I,4,0)*K5039</f>
        <v/>
      </c>
      <c r="P5039" s="148">
        <f>M5039/1.1</f>
        <v/>
      </c>
      <c r="Q5039" s="94">
        <f>F5039&amp;E5039&amp;G5039&amp;L5039</f>
        <v/>
      </c>
    </row>
    <row r="5040">
      <c r="A5040" s="94" t="n"/>
      <c r="B5040" s="128" t="n">
        <v>43903</v>
      </c>
      <c r="C5040" s="94">
        <f>TEXT(B5040,"aaa")</f>
        <v/>
      </c>
      <c r="D5040" s="94" t="n"/>
      <c r="E5040" s="6" t="inlineStr">
        <is>
          <t>토너</t>
        </is>
      </c>
      <c r="F5040" s="5" t="inlineStr">
        <is>
          <t>카페24</t>
        </is>
      </c>
      <c r="G5040" s="5" t="inlineStr">
        <is>
          <t>250ml</t>
        </is>
      </c>
      <c r="H5040" s="7" t="n">
        <v>190801</v>
      </c>
      <c r="I5040" s="7" t="n">
        <v>190801</v>
      </c>
      <c r="J5040" s="94" t="n"/>
      <c r="K5040" s="149" t="n">
        <v>34</v>
      </c>
      <c r="L5040" s="7" t="n">
        <v>190801</v>
      </c>
      <c r="M5040" s="94">
        <f>VLOOKUP($Q5040,매칭테이블!$F:$I,2,0)*K5040</f>
        <v/>
      </c>
      <c r="N5040" s="94">
        <f>M5040-M5040*VLOOKUP($Q5040,매칭테이블!$F:$I,3,0)</f>
        <v/>
      </c>
      <c r="O5040" s="94">
        <f>VLOOKUP($Q5040,매칭테이블!$F:$I,4,0)*K5040</f>
        <v/>
      </c>
      <c r="P5040" s="148">
        <f>M5040/1.1</f>
        <v/>
      </c>
      <c r="Q5040" s="94">
        <f>F5040&amp;E5040&amp;G5040&amp;L5040</f>
        <v/>
      </c>
    </row>
    <row r="5041">
      <c r="A5041" s="94" t="n"/>
      <c r="B5041" s="128" t="n">
        <v>43903</v>
      </c>
      <c r="C5041" s="94">
        <f>TEXT(B5041,"aaa")</f>
        <v/>
      </c>
      <c r="D5041" s="94" t="n"/>
      <c r="E5041" s="6" t="inlineStr">
        <is>
          <t>토너</t>
        </is>
      </c>
      <c r="F5041" s="5" t="inlineStr">
        <is>
          <t>카페24</t>
        </is>
      </c>
      <c r="G5041" s="5" t="inlineStr">
        <is>
          <t>250ml 2set</t>
        </is>
      </c>
      <c r="H5041" s="7" t="n">
        <v>190801</v>
      </c>
      <c r="I5041" s="7" t="n">
        <v>190801</v>
      </c>
      <c r="J5041" s="94" t="n"/>
      <c r="K5041" s="149" t="n">
        <v>27</v>
      </c>
      <c r="L5041" s="7" t="n">
        <v>190801</v>
      </c>
      <c r="M5041" s="94">
        <f>VLOOKUP($Q5041,매칭테이블!$F:$I,2,0)*K5041</f>
        <v/>
      </c>
      <c r="N5041" s="94">
        <f>M5041-M5041*VLOOKUP($Q5041,매칭테이블!$F:$I,3,0)</f>
        <v/>
      </c>
      <c r="O5041" s="94">
        <f>VLOOKUP($Q5041,매칭테이블!$F:$I,4,0)*K5041</f>
        <v/>
      </c>
      <c r="P5041" s="148">
        <f>M5041/1.1</f>
        <v/>
      </c>
      <c r="Q5041" s="94">
        <f>F5041&amp;E5041&amp;G5041&amp;L5041</f>
        <v/>
      </c>
    </row>
    <row r="5042">
      <c r="A5042" s="94" t="n"/>
      <c r="B5042" s="128" t="n">
        <v>43903</v>
      </c>
      <c r="C5042" s="94">
        <f>TEXT(B5042,"aaa")</f>
        <v/>
      </c>
      <c r="D5042" s="94" t="n"/>
      <c r="E5042" s="6" t="inlineStr">
        <is>
          <t>토너</t>
        </is>
      </c>
      <c r="F5042" s="5" t="inlineStr">
        <is>
          <t>카페24</t>
        </is>
      </c>
      <c r="G5042" s="5" t="inlineStr">
        <is>
          <t>500ml</t>
        </is>
      </c>
      <c r="H5042" s="7" t="n">
        <v>190801</v>
      </c>
      <c r="I5042" s="7" t="n">
        <v>190801</v>
      </c>
      <c r="J5042" s="94" t="n"/>
      <c r="K5042" s="149" t="n">
        <v>64</v>
      </c>
      <c r="L5042" s="7" t="n">
        <v>190801</v>
      </c>
      <c r="M5042" s="94">
        <f>VLOOKUP($Q5042,매칭테이블!$F:$I,2,0)*K5042</f>
        <v/>
      </c>
      <c r="N5042" s="94">
        <f>M5042-M5042*VLOOKUP($Q5042,매칭테이블!$F:$I,3,0)</f>
        <v/>
      </c>
      <c r="O5042" s="94">
        <f>VLOOKUP($Q5042,매칭테이블!$F:$I,4,0)*K5042</f>
        <v/>
      </c>
      <c r="P5042" s="148">
        <f>M5042/1.1</f>
        <v/>
      </c>
      <c r="Q5042" s="94">
        <f>F5042&amp;E5042&amp;G5042&amp;L5042</f>
        <v/>
      </c>
    </row>
    <row r="5043">
      <c r="A5043" s="94" t="n"/>
      <c r="B5043" s="128" t="n">
        <v>43903</v>
      </c>
      <c r="C5043" s="94">
        <f>TEXT(B5043,"aaa")</f>
        <v/>
      </c>
      <c r="D5043" s="94" t="n"/>
      <c r="E5043" s="6" t="inlineStr">
        <is>
          <t>토너</t>
        </is>
      </c>
      <c r="F5043" s="5" t="inlineStr">
        <is>
          <t>카페24</t>
        </is>
      </c>
      <c r="G5043" s="94" t="inlineStr">
        <is>
          <t>스킨팩 화장솜 60P</t>
        </is>
      </c>
      <c r="H5043" s="7" t="n">
        <v>190801</v>
      </c>
      <c r="I5043" s="7" t="n">
        <v>190801</v>
      </c>
      <c r="J5043" s="94" t="n"/>
      <c r="K5043" s="149" t="n">
        <v>56</v>
      </c>
      <c r="L5043" s="7" t="n">
        <v>190801</v>
      </c>
      <c r="M5043" s="94">
        <f>VLOOKUP($Q5043,매칭테이블!$F:$I,2,0)*K5043</f>
        <v/>
      </c>
      <c r="N5043" s="94">
        <f>M5043-M5043*VLOOKUP($Q5043,매칭테이블!$F:$I,3,0)</f>
        <v/>
      </c>
      <c r="O5043" s="94">
        <f>VLOOKUP($Q5043,매칭테이블!$F:$I,4,0)*K5043</f>
        <v/>
      </c>
      <c r="P5043" s="148">
        <f>M5043/1.1</f>
        <v/>
      </c>
      <c r="Q5043" s="94">
        <f>F5043&amp;E5043&amp;G5043&amp;L5043</f>
        <v/>
      </c>
    </row>
    <row r="5044">
      <c r="A5044" s="94" t="n"/>
      <c r="B5044" s="128" t="n">
        <v>43903</v>
      </c>
      <c r="C5044" s="94">
        <f>TEXT(B5044,"aaa")</f>
        <v/>
      </c>
      <c r="D5044" s="94" t="n"/>
      <c r="E5044" s="94" t="inlineStr">
        <is>
          <t>마스크팩</t>
        </is>
      </c>
      <c r="F5044" s="94" t="inlineStr">
        <is>
          <t>카페24</t>
        </is>
      </c>
      <c r="G5044" s="94" t="inlineStr">
        <is>
          <t>마스크팩 1매</t>
        </is>
      </c>
      <c r="H5044" s="7" t="n">
        <v>190801</v>
      </c>
      <c r="I5044" s="7" t="n">
        <v>190801</v>
      </c>
      <c r="J5044" s="94" t="n"/>
      <c r="K5044" s="149" t="n">
        <v>1</v>
      </c>
      <c r="L5044" s="94" t="n">
        <v>190801</v>
      </c>
      <c r="M5044" s="94">
        <f>VLOOKUP($Q5044,매칭테이블!$F:$I,2,0)*K5044</f>
        <v/>
      </c>
      <c r="N5044" s="94">
        <f>M5044-M5044*VLOOKUP($Q5044,매칭테이블!$F:$I,3,0)</f>
        <v/>
      </c>
      <c r="O5044" s="94">
        <f>VLOOKUP($Q5044,매칭테이블!$F:$I,4,0)*K5044</f>
        <v/>
      </c>
      <c r="P5044" s="148">
        <f>M5044/1.1</f>
        <v/>
      </c>
      <c r="Q5044" s="94">
        <f>F5044&amp;E5044&amp;G5044&amp;L5044</f>
        <v/>
      </c>
    </row>
    <row r="5045">
      <c r="A5045" s="94" t="n"/>
      <c r="B5045" s="128" t="n">
        <v>43903</v>
      </c>
      <c r="C5045" s="94">
        <f>TEXT(B5045,"aaa")</f>
        <v/>
      </c>
      <c r="D5045" s="94" t="n"/>
      <c r="E5045" s="94" t="inlineStr">
        <is>
          <t>마스크팩</t>
        </is>
      </c>
      <c r="F5045" s="94" t="inlineStr">
        <is>
          <t>카페24</t>
        </is>
      </c>
      <c r="G5045" s="94" t="inlineStr">
        <is>
          <t>마스크팩 10매</t>
        </is>
      </c>
      <c r="H5045" s="7" t="n">
        <v>190801</v>
      </c>
      <c r="I5045" s="7" t="n">
        <v>190801</v>
      </c>
      <c r="J5045" s="94" t="n"/>
      <c r="K5045" s="149" t="n">
        <v>6</v>
      </c>
      <c r="L5045" s="94" t="n">
        <v>190801</v>
      </c>
      <c r="M5045" s="94">
        <f>VLOOKUP($Q5045,매칭테이블!$F:$I,2,0)*K5045</f>
        <v/>
      </c>
      <c r="N5045" s="94">
        <f>M5045-M5045*VLOOKUP($Q5045,매칭테이블!$F:$I,3,0)</f>
        <v/>
      </c>
      <c r="O5045" s="94">
        <f>VLOOKUP($Q5045,매칭테이블!$F:$I,4,0)*K5045</f>
        <v/>
      </c>
      <c r="P5045" s="148">
        <f>M5045/1.1</f>
        <v/>
      </c>
      <c r="Q5045" s="94">
        <f>F5045&amp;E5045&amp;G5045&amp;L5045</f>
        <v/>
      </c>
    </row>
    <row r="5046">
      <c r="A5046" s="94" t="n"/>
      <c r="B5046" s="128" t="n">
        <v>43903</v>
      </c>
      <c r="C5046" s="94">
        <f>TEXT(B5046,"aaa")</f>
        <v/>
      </c>
      <c r="D5046" s="94" t="n"/>
      <c r="E5046" s="94" t="inlineStr">
        <is>
          <t>토너</t>
        </is>
      </c>
      <c r="F5046" s="94" t="inlineStr">
        <is>
          <t>큐텐</t>
        </is>
      </c>
      <c r="G5046" s="94" t="inlineStr">
        <is>
          <t>250ml</t>
        </is>
      </c>
      <c r="H5046" s="7" t="n">
        <v>190801</v>
      </c>
      <c r="I5046" s="7" t="n">
        <v>190801</v>
      </c>
      <c r="J5046" s="94" t="n"/>
      <c r="K5046" s="149" t="n">
        <v>9</v>
      </c>
      <c r="L5046" s="92" t="n">
        <v>190801</v>
      </c>
      <c r="M5046" s="94">
        <f>VLOOKUP($Q5046,매칭테이블!$F:$I,2,0)*K5046</f>
        <v/>
      </c>
      <c r="N5046" s="94">
        <f>M5046-M5046*VLOOKUP($Q5046,매칭테이블!$F:$I,3,0)</f>
        <v/>
      </c>
      <c r="O5046" s="94">
        <f>VLOOKUP($Q5046,매칭테이블!$F:$I,4,0)*K5046</f>
        <v/>
      </c>
      <c r="P5046" s="148">
        <f>M5046/1.1</f>
        <v/>
      </c>
      <c r="Q5046" s="94">
        <f>F5046&amp;E5046&amp;G5046&amp;L5046</f>
        <v/>
      </c>
    </row>
    <row r="5047">
      <c r="A5047" s="94" t="n"/>
      <c r="B5047" s="128" t="n">
        <v>43903</v>
      </c>
      <c r="C5047" s="94">
        <f>TEXT(B5047,"aaa")</f>
        <v/>
      </c>
      <c r="D5047" s="94" t="n"/>
      <c r="E5047" s="94" t="inlineStr">
        <is>
          <t>토너</t>
        </is>
      </c>
      <c r="F5047" s="94" t="inlineStr">
        <is>
          <t>큐텐</t>
        </is>
      </c>
      <c r="G5047" s="94" t="inlineStr">
        <is>
          <t>250ml 2set</t>
        </is>
      </c>
      <c r="H5047" s="7" t="n">
        <v>190801</v>
      </c>
      <c r="I5047" s="7" t="n">
        <v>190801</v>
      </c>
      <c r="J5047" s="94" t="n"/>
      <c r="K5047" s="149" t="n">
        <v>9</v>
      </c>
      <c r="L5047" s="92" t="n">
        <v>190801</v>
      </c>
      <c r="M5047" s="94">
        <f>VLOOKUP($Q5047,매칭테이블!$F:$I,2,0)*K5047</f>
        <v/>
      </c>
      <c r="N5047" s="94">
        <f>M5047-M5047*VLOOKUP($Q5047,매칭테이블!$F:$I,3,0)</f>
        <v/>
      </c>
      <c r="O5047" s="94">
        <f>VLOOKUP($Q5047,매칭테이블!$F:$I,4,0)*K5047</f>
        <v/>
      </c>
      <c r="P5047" s="148">
        <f>M5047/1.1</f>
        <v/>
      </c>
      <c r="Q5047" s="94">
        <f>F5047&amp;E5047&amp;G5047&amp;L5047</f>
        <v/>
      </c>
    </row>
    <row r="5048">
      <c r="A5048" s="94" t="n"/>
      <c r="B5048" s="128" t="n">
        <v>43903</v>
      </c>
      <c r="C5048" s="94">
        <f>TEXT(B5048,"aaa")</f>
        <v/>
      </c>
      <c r="D5048" s="94" t="n"/>
      <c r="E5048" s="94" t="inlineStr">
        <is>
          <t>클렌징폼</t>
        </is>
      </c>
      <c r="F5048" s="5" t="inlineStr">
        <is>
          <t>카페24</t>
        </is>
      </c>
      <c r="G5048" s="94" t="inlineStr">
        <is>
          <t>클렌징폼 120ml</t>
        </is>
      </c>
      <c r="H5048" s="7" t="n">
        <v>190801</v>
      </c>
      <c r="I5048" s="7" t="n">
        <v>190801</v>
      </c>
      <c r="J5048" s="94" t="n"/>
      <c r="K5048" s="149" t="n">
        <v>5</v>
      </c>
      <c r="L5048" s="7" t="n">
        <v>190801</v>
      </c>
      <c r="M5048" s="94">
        <f>VLOOKUP($Q5048,매칭테이블!$F:$I,2,0)*K5048</f>
        <v/>
      </c>
      <c r="N5048" s="94">
        <f>M5048-M5048*VLOOKUP($Q5048,매칭테이블!$F:$I,3,0)</f>
        <v/>
      </c>
      <c r="O5048" s="94">
        <f>VLOOKUP($Q5048,매칭테이블!$F:$I,4,0)*K5048</f>
        <v/>
      </c>
      <c r="P5048" s="148">
        <f>M5048/1.1</f>
        <v/>
      </c>
      <c r="Q5048" s="94">
        <f>F5048&amp;E5048&amp;G5048&amp;L5048</f>
        <v/>
      </c>
    </row>
    <row r="5049">
      <c r="A5049" s="94" t="n"/>
      <c r="B5049" s="128" t="n">
        <v>43904</v>
      </c>
      <c r="C5049" s="94">
        <f>TEXT(B5049,"aaa")</f>
        <v/>
      </c>
      <c r="D5049" s="94" t="n"/>
      <c r="E5049" s="94" t="inlineStr">
        <is>
          <t>토너</t>
        </is>
      </c>
      <c r="F5049" s="5" t="inlineStr">
        <is>
          <t>스타일쉐어</t>
        </is>
      </c>
      <c r="G5049" s="94" t="inlineStr">
        <is>
          <t>250ml</t>
        </is>
      </c>
      <c r="H5049" s="7" t="n">
        <v>190801</v>
      </c>
      <c r="I5049" s="7" t="n">
        <v>190801</v>
      </c>
      <c r="J5049" s="94" t="n"/>
      <c r="K5049" s="149" t="n">
        <v>3</v>
      </c>
      <c r="L5049" s="92" t="n">
        <v>190801</v>
      </c>
      <c r="M5049" s="94">
        <f>VLOOKUP($Q5049,매칭테이블!$F:$I,2,0)*K5049</f>
        <v/>
      </c>
      <c r="N5049" s="94">
        <f>M5049-M5049*VLOOKUP($Q5049,매칭테이블!$F:$I,3,0)</f>
        <v/>
      </c>
      <c r="O5049" s="94">
        <f>VLOOKUP($Q5049,매칭테이블!$F:$I,4,0)*K5049</f>
        <v/>
      </c>
      <c r="P5049" s="148">
        <f>M5049/1.1</f>
        <v/>
      </c>
      <c r="Q5049" s="94">
        <f>F5049&amp;E5049&amp;G5049&amp;L5049</f>
        <v/>
      </c>
    </row>
    <row r="5050">
      <c r="A5050" s="94" t="n"/>
      <c r="B5050" s="128" t="n">
        <v>43904</v>
      </c>
      <c r="C5050" s="94">
        <f>TEXT(B5050,"aaa")</f>
        <v/>
      </c>
      <c r="D5050" s="94" t="n"/>
      <c r="E5050" s="94" t="inlineStr">
        <is>
          <t>머드크림마스크</t>
        </is>
      </c>
      <c r="F5050" s="94" t="inlineStr">
        <is>
          <t>카페24</t>
        </is>
      </c>
      <c r="G5050" s="94" t="inlineStr">
        <is>
          <t>머드크림마스크 100ml</t>
        </is>
      </c>
      <c r="H5050" s="7" t="n">
        <v>190801</v>
      </c>
      <c r="I5050" s="7" t="n">
        <v>190801</v>
      </c>
      <c r="J5050" s="94" t="n"/>
      <c r="K5050" s="149" t="n">
        <v>8</v>
      </c>
      <c r="L5050" s="94" t="n">
        <v>190801</v>
      </c>
      <c r="M5050" s="94">
        <f>VLOOKUP($Q5050,매칭테이블!$F:$I,2,0)*K5050</f>
        <v/>
      </c>
      <c r="N5050" s="94">
        <f>M5050-M5050*VLOOKUP($Q5050,매칭테이블!$F:$I,3,0)</f>
        <v/>
      </c>
      <c r="O5050" s="94">
        <f>VLOOKUP($Q5050,매칭테이블!$F:$I,4,0)*K5050</f>
        <v/>
      </c>
      <c r="P5050" s="148">
        <f>M5050/1.1</f>
        <v/>
      </c>
      <c r="Q5050" s="94">
        <f>F5050&amp;E5050&amp;G5050&amp;L5050</f>
        <v/>
      </c>
    </row>
    <row r="5051">
      <c r="A5051" s="94" t="n"/>
      <c r="B5051" s="128" t="n">
        <v>43904</v>
      </c>
      <c r="C5051" s="94">
        <f>TEXT(B5051,"aaa")</f>
        <v/>
      </c>
      <c r="D5051" s="94" t="n"/>
      <c r="E5051" s="94" t="inlineStr">
        <is>
          <t>마스크팩</t>
        </is>
      </c>
      <c r="F5051" s="94" t="inlineStr">
        <is>
          <t>카페24</t>
        </is>
      </c>
      <c r="G5051" s="94" t="inlineStr">
        <is>
          <t>마스크팩 1매</t>
        </is>
      </c>
      <c r="H5051" s="7" t="n">
        <v>190801</v>
      </c>
      <c r="I5051" s="7" t="n">
        <v>190801</v>
      </c>
      <c r="J5051" s="94" t="n"/>
      <c r="K5051" s="149" t="n">
        <v>6</v>
      </c>
      <c r="L5051" s="94" t="n">
        <v>190801</v>
      </c>
      <c r="M5051" s="94">
        <f>VLOOKUP($Q5051,매칭테이블!$F:$I,2,0)*K5051</f>
        <v/>
      </c>
      <c r="N5051" s="94">
        <f>M5051-M5051*VLOOKUP($Q5051,매칭테이블!$F:$I,3,0)</f>
        <v/>
      </c>
      <c r="O5051" s="94">
        <f>VLOOKUP($Q5051,매칭테이블!$F:$I,4,0)*K5051</f>
        <v/>
      </c>
      <c r="P5051" s="148">
        <f>M5051/1.1</f>
        <v/>
      </c>
      <c r="Q5051" s="94">
        <f>F5051&amp;E5051&amp;G5051&amp;L5051</f>
        <v/>
      </c>
    </row>
    <row r="5052">
      <c r="A5052" s="94" t="n"/>
      <c r="B5052" s="128" t="n">
        <v>43904</v>
      </c>
      <c r="C5052" s="94">
        <f>TEXT(B5052,"aaa")</f>
        <v/>
      </c>
      <c r="D5052" s="94" t="n"/>
      <c r="E5052" s="94" t="inlineStr">
        <is>
          <t>마스크팩</t>
        </is>
      </c>
      <c r="F5052" s="94" t="inlineStr">
        <is>
          <t>카페24</t>
        </is>
      </c>
      <c r="G5052" s="94" t="inlineStr">
        <is>
          <t>마스크팩 10매</t>
        </is>
      </c>
      <c r="H5052" s="7" t="n">
        <v>190801</v>
      </c>
      <c r="I5052" s="7" t="n">
        <v>190801</v>
      </c>
      <c r="J5052" s="94" t="n"/>
      <c r="K5052" s="149" t="n">
        <v>6</v>
      </c>
      <c r="L5052" s="94" t="n">
        <v>190801</v>
      </c>
      <c r="M5052" s="94">
        <f>VLOOKUP($Q5052,매칭테이블!$F:$I,2,0)*K5052</f>
        <v/>
      </c>
      <c r="N5052" s="94">
        <f>M5052-M5052*VLOOKUP($Q5052,매칭테이블!$F:$I,3,0)</f>
        <v/>
      </c>
      <c r="O5052" s="94">
        <f>VLOOKUP($Q5052,매칭테이블!$F:$I,4,0)*K5052</f>
        <v/>
      </c>
      <c r="P5052" s="148">
        <f>M5052/1.1</f>
        <v/>
      </c>
      <c r="Q5052" s="94">
        <f>F5052&amp;E5052&amp;G5052&amp;L5052</f>
        <v/>
      </c>
    </row>
    <row r="5053">
      <c r="A5053" s="94" t="n"/>
      <c r="B5053" s="128" t="n">
        <v>43904</v>
      </c>
      <c r="C5053" s="94">
        <f>TEXT(B5053,"aaa")</f>
        <v/>
      </c>
      <c r="D5053" s="94" t="n"/>
      <c r="E5053" s="6" t="inlineStr">
        <is>
          <t>토너</t>
        </is>
      </c>
      <c r="F5053" s="5" t="inlineStr">
        <is>
          <t>카페24</t>
        </is>
      </c>
      <c r="G5053" s="5" t="inlineStr">
        <is>
          <t>250ml</t>
        </is>
      </c>
      <c r="H5053" s="7" t="n">
        <v>190801</v>
      </c>
      <c r="I5053" s="7" t="n">
        <v>190801</v>
      </c>
      <c r="J5053" s="94" t="n"/>
      <c r="K5053" s="149" t="n">
        <v>41</v>
      </c>
      <c r="L5053" s="7" t="n">
        <v>190801</v>
      </c>
      <c r="M5053" s="94">
        <f>VLOOKUP($Q5053,매칭테이블!$F:$I,2,0)*K5053</f>
        <v/>
      </c>
      <c r="N5053" s="94">
        <f>M5053-M5053*VLOOKUP($Q5053,매칭테이블!$F:$I,3,0)</f>
        <v/>
      </c>
      <c r="O5053" s="94">
        <f>VLOOKUP($Q5053,매칭테이블!$F:$I,4,0)*K5053</f>
        <v/>
      </c>
      <c r="P5053" s="148">
        <f>M5053/1.1</f>
        <v/>
      </c>
      <c r="Q5053" s="94">
        <f>F5053&amp;E5053&amp;G5053&amp;L5053</f>
        <v/>
      </c>
    </row>
    <row r="5054">
      <c r="A5054" s="94" t="n"/>
      <c r="B5054" s="128" t="n">
        <v>43904</v>
      </c>
      <c r="C5054" s="94">
        <f>TEXT(B5054,"aaa")</f>
        <v/>
      </c>
      <c r="D5054" s="94" t="n"/>
      <c r="E5054" s="6" t="inlineStr">
        <is>
          <t>토너</t>
        </is>
      </c>
      <c r="F5054" s="5" t="inlineStr">
        <is>
          <t>카페24</t>
        </is>
      </c>
      <c r="G5054" s="5" t="inlineStr">
        <is>
          <t>250ml 2set</t>
        </is>
      </c>
      <c r="H5054" s="7" t="n">
        <v>190801</v>
      </c>
      <c r="I5054" s="7" t="n">
        <v>190801</v>
      </c>
      <c r="J5054" s="94" t="n"/>
      <c r="K5054" s="149" t="n">
        <v>34</v>
      </c>
      <c r="L5054" s="7" t="n">
        <v>190801</v>
      </c>
      <c r="M5054" s="94">
        <f>VLOOKUP($Q5054,매칭테이블!$F:$I,2,0)*K5054</f>
        <v/>
      </c>
      <c r="N5054" s="94">
        <f>M5054-M5054*VLOOKUP($Q5054,매칭테이블!$F:$I,3,0)</f>
        <v/>
      </c>
      <c r="O5054" s="94">
        <f>VLOOKUP($Q5054,매칭테이블!$F:$I,4,0)*K5054</f>
        <v/>
      </c>
      <c r="P5054" s="148">
        <f>M5054/1.1</f>
        <v/>
      </c>
      <c r="Q5054" s="94">
        <f>F5054&amp;E5054&amp;G5054&amp;L5054</f>
        <v/>
      </c>
    </row>
    <row r="5055">
      <c r="A5055" s="94" t="n"/>
      <c r="B5055" s="128" t="n">
        <v>43904</v>
      </c>
      <c r="C5055" s="94">
        <f>TEXT(B5055,"aaa")</f>
        <v/>
      </c>
      <c r="D5055" s="94" t="n"/>
      <c r="E5055" s="6" t="inlineStr">
        <is>
          <t>토너</t>
        </is>
      </c>
      <c r="F5055" s="5" t="inlineStr">
        <is>
          <t>카페24</t>
        </is>
      </c>
      <c r="G5055" s="5" t="inlineStr">
        <is>
          <t>500ml</t>
        </is>
      </c>
      <c r="H5055" s="7" t="n">
        <v>190801</v>
      </c>
      <c r="I5055" s="7" t="n">
        <v>190801</v>
      </c>
      <c r="J5055" s="94" t="n"/>
      <c r="K5055" s="149" t="n">
        <v>60</v>
      </c>
      <c r="L5055" s="7" t="n">
        <v>190801</v>
      </c>
      <c r="M5055" s="94">
        <f>VLOOKUP($Q5055,매칭테이블!$F:$I,2,0)*K5055</f>
        <v/>
      </c>
      <c r="N5055" s="94">
        <f>M5055-M5055*VLOOKUP($Q5055,매칭테이블!$F:$I,3,0)</f>
        <v/>
      </c>
      <c r="O5055" s="94">
        <f>VLOOKUP($Q5055,매칭테이블!$F:$I,4,0)*K5055</f>
        <v/>
      </c>
      <c r="P5055" s="148">
        <f>M5055/1.1</f>
        <v/>
      </c>
      <c r="Q5055" s="94">
        <f>F5055&amp;E5055&amp;G5055&amp;L5055</f>
        <v/>
      </c>
    </row>
    <row r="5056">
      <c r="A5056" s="94" t="n"/>
      <c r="B5056" s="128" t="n">
        <v>43904</v>
      </c>
      <c r="C5056" s="94">
        <f>TEXT(B5056,"aaa")</f>
        <v/>
      </c>
      <c r="D5056" s="94" t="n"/>
      <c r="E5056" s="94" t="inlineStr">
        <is>
          <t>클렌징폼</t>
        </is>
      </c>
      <c r="F5056" s="5" t="inlineStr">
        <is>
          <t>카페24</t>
        </is>
      </c>
      <c r="G5056" s="94" t="inlineStr">
        <is>
          <t>클렌징폼 120ml</t>
        </is>
      </c>
      <c r="H5056" s="7" t="n">
        <v>190801</v>
      </c>
      <c r="I5056" s="7" t="n">
        <v>190801</v>
      </c>
      <c r="J5056" s="94" t="n"/>
      <c r="K5056" s="149" t="n">
        <v>11</v>
      </c>
      <c r="L5056" s="7" t="n">
        <v>190801</v>
      </c>
      <c r="M5056" s="94">
        <f>VLOOKUP($Q5056,매칭테이블!$F:$I,2,0)*K5056</f>
        <v/>
      </c>
      <c r="N5056" s="94">
        <f>M5056-M5056*VLOOKUP($Q5056,매칭테이블!$F:$I,3,0)</f>
        <v/>
      </c>
      <c r="O5056" s="94">
        <f>VLOOKUP($Q5056,매칭테이블!$F:$I,4,0)*K5056</f>
        <v/>
      </c>
      <c r="P5056" s="148">
        <f>M5056/1.1</f>
        <v/>
      </c>
      <c r="Q5056" s="94">
        <f>F5056&amp;E5056&amp;G5056&amp;L5056</f>
        <v/>
      </c>
    </row>
    <row r="5057">
      <c r="A5057" s="94" t="n"/>
      <c r="B5057" s="128" t="n">
        <v>43904</v>
      </c>
      <c r="C5057" s="94">
        <f>TEXT(B5057,"aaa")</f>
        <v/>
      </c>
      <c r="D5057" s="94" t="n"/>
      <c r="E5057" s="94" t="inlineStr">
        <is>
          <t>클렌징폼</t>
        </is>
      </c>
      <c r="F5057" s="94" t="inlineStr">
        <is>
          <t>카페24</t>
        </is>
      </c>
      <c r="G5057" s="94" t="inlineStr">
        <is>
          <t>클렌징폼 120ml 2set</t>
        </is>
      </c>
      <c r="H5057" s="7" t="n">
        <v>190801</v>
      </c>
      <c r="I5057" s="7" t="n">
        <v>190801</v>
      </c>
      <c r="J5057" s="94" t="n"/>
      <c r="K5057" s="149" t="n">
        <v>2</v>
      </c>
      <c r="L5057" s="7" t="n">
        <v>190801</v>
      </c>
      <c r="M5057" s="94">
        <f>VLOOKUP($Q5057,매칭테이블!$F:$I,2,0)*K5057</f>
        <v/>
      </c>
      <c r="N5057" s="94">
        <f>M5057-M5057*VLOOKUP($Q5057,매칭테이블!$F:$I,3,0)</f>
        <v/>
      </c>
      <c r="O5057" s="94">
        <f>VLOOKUP($Q5057,매칭테이블!$F:$I,4,0)*K5057</f>
        <v/>
      </c>
      <c r="P5057" s="148">
        <f>M5057/1.1</f>
        <v/>
      </c>
      <c r="Q5057" s="94">
        <f>F5057&amp;E5057&amp;G5057&amp;L5057</f>
        <v/>
      </c>
    </row>
    <row r="5058">
      <c r="A5058" s="94" t="n"/>
      <c r="B5058" s="128" t="n">
        <v>43904</v>
      </c>
      <c r="C5058" s="94">
        <f>TEXT(B5058,"aaa")</f>
        <v/>
      </c>
      <c r="D5058" s="94" t="n"/>
      <c r="E5058" s="6" t="inlineStr">
        <is>
          <t>토너</t>
        </is>
      </c>
      <c r="F5058" s="5" t="inlineStr">
        <is>
          <t>카페24</t>
        </is>
      </c>
      <c r="G5058" s="94" t="inlineStr">
        <is>
          <t>스킨팩 화장솜 60P</t>
        </is>
      </c>
      <c r="H5058" s="7" t="n">
        <v>190801</v>
      </c>
      <c r="I5058" s="7" t="n">
        <v>190801</v>
      </c>
      <c r="J5058" s="94" t="n"/>
      <c r="K5058" s="149" t="n">
        <v>53</v>
      </c>
      <c r="L5058" s="7" t="n">
        <v>190801</v>
      </c>
      <c r="M5058" s="94">
        <f>VLOOKUP($Q5058,매칭테이블!$F:$I,2,0)*K5058</f>
        <v/>
      </c>
      <c r="N5058" s="94">
        <f>M5058-M5058*VLOOKUP($Q5058,매칭테이블!$F:$I,3,0)</f>
        <v/>
      </c>
      <c r="O5058" s="94">
        <f>VLOOKUP($Q5058,매칭테이블!$F:$I,4,0)*K5058</f>
        <v/>
      </c>
      <c r="P5058" s="148">
        <f>M5058/1.1</f>
        <v/>
      </c>
      <c r="Q5058" s="94">
        <f>F5058&amp;E5058&amp;G5058&amp;L5058</f>
        <v/>
      </c>
    </row>
    <row r="5059">
      <c r="A5059" s="94" t="n"/>
      <c r="B5059" s="128" t="n">
        <v>43905</v>
      </c>
      <c r="C5059" s="94">
        <f>TEXT(B5059,"aaa")</f>
        <v/>
      </c>
      <c r="D5059" s="94" t="n"/>
      <c r="E5059" s="6" t="inlineStr">
        <is>
          <t>토너</t>
        </is>
      </c>
      <c r="F5059" s="5" t="inlineStr">
        <is>
          <t>W컨셉</t>
        </is>
      </c>
      <c r="G5059" s="5" t="inlineStr">
        <is>
          <t>250ml 2set</t>
        </is>
      </c>
      <c r="H5059" s="7" t="n">
        <v>190801</v>
      </c>
      <c r="I5059" s="7" t="n">
        <v>190801</v>
      </c>
      <c r="J5059" s="94" t="n"/>
      <c r="K5059" s="149" t="n">
        <v>7</v>
      </c>
      <c r="L5059" s="7" t="n">
        <v>190801</v>
      </c>
      <c r="M5059" s="94">
        <f>VLOOKUP($Q5059,매칭테이블!$F:$I,2,0)*K5059</f>
        <v/>
      </c>
      <c r="N5059" s="94">
        <f>M5059-M5059*VLOOKUP($Q5059,매칭테이블!$F:$I,3,0)</f>
        <v/>
      </c>
      <c r="O5059" s="94">
        <f>VLOOKUP($Q5059,매칭테이블!$F:$I,4,0)*K5059</f>
        <v/>
      </c>
      <c r="P5059" s="148">
        <f>M5059/1.1</f>
        <v/>
      </c>
      <c r="Q5059" s="94">
        <f>F5059&amp;E5059&amp;G5059&amp;L5059</f>
        <v/>
      </c>
    </row>
    <row r="5060">
      <c r="A5060" s="94" t="n"/>
      <c r="B5060" s="128" t="n">
        <v>43905</v>
      </c>
      <c r="C5060" s="94">
        <f>TEXT(B5060,"aaa")</f>
        <v/>
      </c>
      <c r="D5060" s="94" t="n"/>
      <c r="E5060" s="94" t="inlineStr">
        <is>
          <t>토너</t>
        </is>
      </c>
      <c r="F5060" s="5" t="inlineStr">
        <is>
          <t>스타일쉐어</t>
        </is>
      </c>
      <c r="G5060" s="94" t="inlineStr">
        <is>
          <t>250ml</t>
        </is>
      </c>
      <c r="H5060" s="7" t="n">
        <v>190801</v>
      </c>
      <c r="I5060" s="7" t="n">
        <v>190801</v>
      </c>
      <c r="J5060" s="94" t="n"/>
      <c r="K5060" s="149" t="n">
        <v>3</v>
      </c>
      <c r="L5060" s="92" t="n">
        <v>190801</v>
      </c>
      <c r="M5060" s="94">
        <f>VLOOKUP($Q5060,매칭테이블!$F:$I,2,0)*K5060</f>
        <v/>
      </c>
      <c r="N5060" s="94">
        <f>M5060-M5060*VLOOKUP($Q5060,매칭테이블!$F:$I,3,0)</f>
        <v/>
      </c>
      <c r="O5060" s="94">
        <f>VLOOKUP($Q5060,매칭테이블!$F:$I,4,0)*K5060</f>
        <v/>
      </c>
      <c r="P5060" s="148">
        <f>M5060/1.1</f>
        <v/>
      </c>
      <c r="Q5060" s="94">
        <f>F5060&amp;E5060&amp;G5060&amp;L5060</f>
        <v/>
      </c>
    </row>
    <row r="5061">
      <c r="A5061" s="94" t="n"/>
      <c r="B5061" s="128" t="n">
        <v>43905</v>
      </c>
      <c r="C5061" s="94">
        <f>TEXT(B5061,"aaa")</f>
        <v/>
      </c>
      <c r="D5061" s="94" t="n"/>
      <c r="E5061" s="94" t="inlineStr">
        <is>
          <t>머드크림마스크</t>
        </is>
      </c>
      <c r="F5061" s="94" t="inlineStr">
        <is>
          <t>카페24</t>
        </is>
      </c>
      <c r="G5061" s="94" t="inlineStr">
        <is>
          <t>머드크림마스크 100ml</t>
        </is>
      </c>
      <c r="H5061" s="7" t="n">
        <v>190801</v>
      </c>
      <c r="I5061" s="7" t="n">
        <v>190801</v>
      </c>
      <c r="J5061" s="94" t="n"/>
      <c r="K5061" s="149" t="n">
        <v>9</v>
      </c>
      <c r="L5061" s="94" t="n">
        <v>190801</v>
      </c>
      <c r="M5061" s="94">
        <f>VLOOKUP($Q5061,매칭테이블!$F:$I,2,0)*K5061</f>
        <v/>
      </c>
      <c r="N5061" s="94">
        <f>M5061-M5061*VLOOKUP($Q5061,매칭테이블!$F:$I,3,0)</f>
        <v/>
      </c>
      <c r="O5061" s="94">
        <f>VLOOKUP($Q5061,매칭테이블!$F:$I,4,0)*K5061</f>
        <v/>
      </c>
      <c r="P5061" s="148">
        <f>M5061/1.1</f>
        <v/>
      </c>
      <c r="Q5061" s="94">
        <f>F5061&amp;E5061&amp;G5061&amp;L5061</f>
        <v/>
      </c>
    </row>
    <row r="5062">
      <c r="A5062" s="94" t="n"/>
      <c r="B5062" s="128" t="n">
        <v>43905</v>
      </c>
      <c r="C5062" s="94">
        <f>TEXT(B5062,"aaa")</f>
        <v/>
      </c>
      <c r="D5062" s="94" t="n"/>
      <c r="E5062" s="94" t="inlineStr">
        <is>
          <t>마스크팩</t>
        </is>
      </c>
      <c r="F5062" s="94" t="inlineStr">
        <is>
          <t>카페24</t>
        </is>
      </c>
      <c r="G5062" s="94" t="inlineStr">
        <is>
          <t>마스크팩 1매</t>
        </is>
      </c>
      <c r="H5062" s="7" t="n">
        <v>190801</v>
      </c>
      <c r="I5062" s="7" t="n">
        <v>190801</v>
      </c>
      <c r="J5062" s="94" t="n"/>
      <c r="K5062" s="149" t="n">
        <v>2</v>
      </c>
      <c r="L5062" s="94" t="n">
        <v>190801</v>
      </c>
      <c r="M5062" s="94">
        <f>VLOOKUP($Q5062,매칭테이블!$F:$I,2,0)*K5062</f>
        <v/>
      </c>
      <c r="N5062" s="94">
        <f>M5062-M5062*VLOOKUP($Q5062,매칭테이블!$F:$I,3,0)</f>
        <v/>
      </c>
      <c r="O5062" s="94">
        <f>VLOOKUP($Q5062,매칭테이블!$F:$I,4,0)*K5062</f>
        <v/>
      </c>
      <c r="P5062" s="148">
        <f>M5062/1.1</f>
        <v/>
      </c>
      <c r="Q5062" s="94">
        <f>F5062&amp;E5062&amp;G5062&amp;L5062</f>
        <v/>
      </c>
    </row>
    <row r="5063">
      <c r="A5063" s="94" t="n"/>
      <c r="B5063" s="128" t="n">
        <v>43905</v>
      </c>
      <c r="C5063" s="94">
        <f>TEXT(B5063,"aaa")</f>
        <v/>
      </c>
      <c r="D5063" s="94" t="n"/>
      <c r="E5063" s="94" t="inlineStr">
        <is>
          <t>마스크팩</t>
        </is>
      </c>
      <c r="F5063" s="94" t="inlineStr">
        <is>
          <t>카페24</t>
        </is>
      </c>
      <c r="G5063" s="94" t="inlineStr">
        <is>
          <t>마스크팩 10매</t>
        </is>
      </c>
      <c r="H5063" s="7" t="n">
        <v>190801</v>
      </c>
      <c r="I5063" s="7" t="n">
        <v>190801</v>
      </c>
      <c r="J5063" s="94" t="n"/>
      <c r="K5063" s="149" t="n">
        <v>4</v>
      </c>
      <c r="L5063" s="94" t="n">
        <v>190801</v>
      </c>
      <c r="M5063" s="94">
        <f>VLOOKUP($Q5063,매칭테이블!$F:$I,2,0)*K5063</f>
        <v/>
      </c>
      <c r="N5063" s="94">
        <f>M5063-M5063*VLOOKUP($Q5063,매칭테이블!$F:$I,3,0)</f>
        <v/>
      </c>
      <c r="O5063" s="94">
        <f>VLOOKUP($Q5063,매칭테이블!$F:$I,4,0)*K5063</f>
        <v/>
      </c>
      <c r="P5063" s="148">
        <f>M5063/1.1</f>
        <v/>
      </c>
      <c r="Q5063" s="94">
        <f>F5063&amp;E5063&amp;G5063&amp;L5063</f>
        <v/>
      </c>
    </row>
    <row r="5064">
      <c r="A5064" s="94" t="n"/>
      <c r="B5064" s="128" t="n">
        <v>43905</v>
      </c>
      <c r="C5064" s="94">
        <f>TEXT(B5064,"aaa")</f>
        <v/>
      </c>
      <c r="D5064" s="94" t="n"/>
      <c r="E5064" s="6" t="inlineStr">
        <is>
          <t>토너</t>
        </is>
      </c>
      <c r="F5064" s="5" t="inlineStr">
        <is>
          <t>카페24</t>
        </is>
      </c>
      <c r="G5064" s="5" t="inlineStr">
        <is>
          <t>250ml</t>
        </is>
      </c>
      <c r="H5064" s="7" t="n">
        <v>190801</v>
      </c>
      <c r="I5064" s="7" t="n">
        <v>190801</v>
      </c>
      <c r="J5064" s="94" t="n"/>
      <c r="K5064" s="149" t="n">
        <v>64</v>
      </c>
      <c r="L5064" s="7" t="n">
        <v>190801</v>
      </c>
      <c r="M5064" s="94">
        <f>VLOOKUP($Q5064,매칭테이블!$F:$I,2,0)*K5064</f>
        <v/>
      </c>
      <c r="N5064" s="94">
        <f>M5064-M5064*VLOOKUP($Q5064,매칭테이블!$F:$I,3,0)</f>
        <v/>
      </c>
      <c r="O5064" s="94">
        <f>VLOOKUP($Q5064,매칭테이블!$F:$I,4,0)*K5064</f>
        <v/>
      </c>
      <c r="P5064" s="148">
        <f>M5064/1.1</f>
        <v/>
      </c>
      <c r="Q5064" s="94">
        <f>F5064&amp;E5064&amp;G5064&amp;L5064</f>
        <v/>
      </c>
    </row>
    <row r="5065">
      <c r="A5065" s="94" t="n"/>
      <c r="B5065" s="128" t="n">
        <v>43905</v>
      </c>
      <c r="C5065" s="94">
        <f>TEXT(B5065,"aaa")</f>
        <v/>
      </c>
      <c r="D5065" s="94" t="n"/>
      <c r="E5065" s="6" t="inlineStr">
        <is>
          <t>토너</t>
        </is>
      </c>
      <c r="F5065" s="5" t="inlineStr">
        <is>
          <t>카페24</t>
        </is>
      </c>
      <c r="G5065" s="5" t="inlineStr">
        <is>
          <t>250ml 2set</t>
        </is>
      </c>
      <c r="H5065" s="7" t="n">
        <v>190801</v>
      </c>
      <c r="I5065" s="7" t="n">
        <v>190801</v>
      </c>
      <c r="J5065" s="94" t="n"/>
      <c r="K5065" s="149" t="n">
        <v>43</v>
      </c>
      <c r="L5065" s="7" t="n">
        <v>190801</v>
      </c>
      <c r="M5065" s="94">
        <f>VLOOKUP($Q5065,매칭테이블!$F:$I,2,0)*K5065</f>
        <v/>
      </c>
      <c r="N5065" s="94">
        <f>M5065-M5065*VLOOKUP($Q5065,매칭테이블!$F:$I,3,0)</f>
        <v/>
      </c>
      <c r="O5065" s="94">
        <f>VLOOKUP($Q5065,매칭테이블!$F:$I,4,0)*K5065</f>
        <v/>
      </c>
      <c r="P5065" s="148">
        <f>M5065/1.1</f>
        <v/>
      </c>
      <c r="Q5065" s="94">
        <f>F5065&amp;E5065&amp;G5065&amp;L5065</f>
        <v/>
      </c>
    </row>
    <row r="5066">
      <c r="A5066" s="94" t="n"/>
      <c r="B5066" s="128" t="n">
        <v>43905</v>
      </c>
      <c r="C5066" s="94">
        <f>TEXT(B5066,"aaa")</f>
        <v/>
      </c>
      <c r="D5066" s="94" t="n"/>
      <c r="E5066" s="6" t="inlineStr">
        <is>
          <t>토너</t>
        </is>
      </c>
      <c r="F5066" s="5" t="inlineStr">
        <is>
          <t>카페24</t>
        </is>
      </c>
      <c r="G5066" s="5" t="inlineStr">
        <is>
          <t>500ml</t>
        </is>
      </c>
      <c r="H5066" s="7" t="n">
        <v>190801</v>
      </c>
      <c r="I5066" s="7" t="n">
        <v>190801</v>
      </c>
      <c r="J5066" s="94" t="n"/>
      <c r="K5066" s="149" t="n">
        <v>64</v>
      </c>
      <c r="L5066" s="7" t="n">
        <v>190801</v>
      </c>
      <c r="M5066" s="94">
        <f>VLOOKUP($Q5066,매칭테이블!$F:$I,2,0)*K5066</f>
        <v/>
      </c>
      <c r="N5066" s="94">
        <f>M5066-M5066*VLOOKUP($Q5066,매칭테이블!$F:$I,3,0)</f>
        <v/>
      </c>
      <c r="O5066" s="94">
        <f>VLOOKUP($Q5066,매칭테이블!$F:$I,4,0)*K5066</f>
        <v/>
      </c>
      <c r="P5066" s="148">
        <f>M5066/1.1</f>
        <v/>
      </c>
      <c r="Q5066" s="94">
        <f>F5066&amp;E5066&amp;G5066&amp;L5066</f>
        <v/>
      </c>
    </row>
    <row r="5067">
      <c r="A5067" s="94" t="n"/>
      <c r="B5067" s="128" t="n">
        <v>43905</v>
      </c>
      <c r="C5067" s="94">
        <f>TEXT(B5067,"aaa")</f>
        <v/>
      </c>
      <c r="D5067" s="94" t="n"/>
      <c r="E5067" s="94" t="inlineStr">
        <is>
          <t>클렌징폼</t>
        </is>
      </c>
      <c r="F5067" s="5" t="inlineStr">
        <is>
          <t>카페24</t>
        </is>
      </c>
      <c r="G5067" s="94" t="inlineStr">
        <is>
          <t>클렌징폼 120ml</t>
        </is>
      </c>
      <c r="H5067" s="7" t="n">
        <v>190801</v>
      </c>
      <c r="I5067" s="7" t="n">
        <v>190801</v>
      </c>
      <c r="J5067" s="94" t="n"/>
      <c r="K5067" s="149" t="n">
        <v>12</v>
      </c>
      <c r="L5067" s="7" t="n">
        <v>190801</v>
      </c>
      <c r="M5067" s="94">
        <f>VLOOKUP($Q5067,매칭테이블!$F:$I,2,0)*K5067</f>
        <v/>
      </c>
      <c r="N5067" s="94">
        <f>M5067-M5067*VLOOKUP($Q5067,매칭테이블!$F:$I,3,0)</f>
        <v/>
      </c>
      <c r="O5067" s="94">
        <f>VLOOKUP($Q5067,매칭테이블!$F:$I,4,0)*K5067</f>
        <v/>
      </c>
      <c r="P5067" s="148">
        <f>M5067/1.1</f>
        <v/>
      </c>
      <c r="Q5067" s="94">
        <f>F5067&amp;E5067&amp;G5067&amp;L5067</f>
        <v/>
      </c>
    </row>
    <row r="5068">
      <c r="A5068" s="94" t="n"/>
      <c r="B5068" s="128" t="n">
        <v>43905</v>
      </c>
      <c r="C5068" s="94">
        <f>TEXT(B5068,"aaa")</f>
        <v/>
      </c>
      <c r="D5068" s="94" t="n"/>
      <c r="E5068" s="6" t="inlineStr">
        <is>
          <t>토너</t>
        </is>
      </c>
      <c r="F5068" s="5" t="inlineStr">
        <is>
          <t>카페24</t>
        </is>
      </c>
      <c r="G5068" s="94" t="inlineStr">
        <is>
          <t>스킨팩 화장솜 60P</t>
        </is>
      </c>
      <c r="H5068" s="7" t="n">
        <v>190801</v>
      </c>
      <c r="I5068" s="7" t="n">
        <v>190801</v>
      </c>
      <c r="J5068" s="94" t="n"/>
      <c r="K5068" s="149" t="n">
        <v>74</v>
      </c>
      <c r="L5068" s="7" t="n">
        <v>190801</v>
      </c>
      <c r="M5068" s="94">
        <f>VLOOKUP($Q5068,매칭테이블!$F:$I,2,0)*K5068</f>
        <v/>
      </c>
      <c r="N5068" s="94">
        <f>M5068-M5068*VLOOKUP($Q5068,매칭테이블!$F:$I,3,0)</f>
        <v/>
      </c>
      <c r="O5068" s="94">
        <f>VLOOKUP($Q5068,매칭테이블!$F:$I,4,0)*K5068</f>
        <v/>
      </c>
      <c r="P5068" s="148">
        <f>M5068/1.1</f>
        <v/>
      </c>
      <c r="Q5068" s="94">
        <f>F5068&amp;E5068&amp;G5068&amp;L5068</f>
        <v/>
      </c>
    </row>
    <row r="5069">
      <c r="A5069" s="94" t="n"/>
      <c r="B5069" s="128" t="n">
        <v>43905</v>
      </c>
      <c r="C5069" s="94">
        <f>TEXT(B5069,"aaa")</f>
        <v/>
      </c>
      <c r="D5069" s="94" t="n"/>
      <c r="E5069" s="94" t="inlineStr">
        <is>
          <t>토너 기획세트</t>
        </is>
      </c>
      <c r="F5069" s="5" t="inlineStr">
        <is>
          <t>랄라블라</t>
        </is>
      </c>
      <c r="G5069" s="94" t="inlineStr">
        <is>
          <t>토너 기획세트</t>
        </is>
      </c>
      <c r="H5069" s="7" t="n">
        <v>190801</v>
      </c>
      <c r="I5069" s="7" t="n">
        <v>190801</v>
      </c>
      <c r="J5069" s="94" t="n"/>
      <c r="K5069" s="149" t="n">
        <v>646</v>
      </c>
      <c r="L5069" s="7" t="n">
        <v>190801</v>
      </c>
      <c r="M5069" s="94">
        <f>VLOOKUP($Q5069,매칭테이블!$F:$I,2,0)*K5069</f>
        <v/>
      </c>
      <c r="N5069" s="94">
        <f>M5069-M5069*VLOOKUP($Q5069,매칭테이블!$F:$I,3,0)</f>
        <v/>
      </c>
      <c r="O5069" s="94">
        <f>VLOOKUP($Q5069,매칭테이블!$F:$I,4,0)*K5069</f>
        <v/>
      </c>
      <c r="P5069" s="148">
        <f>M5069/1.1</f>
        <v/>
      </c>
      <c r="Q5069" s="94">
        <f>F5069&amp;E5069&amp;G5069&amp;L5069</f>
        <v/>
      </c>
    </row>
    <row r="5070">
      <c r="A5070" s="94" t="n"/>
      <c r="B5070" s="128" t="n">
        <v>43905</v>
      </c>
      <c r="C5070" s="94">
        <f>TEXT(B5070,"aaa")</f>
        <v/>
      </c>
      <c r="D5070" s="94" t="n"/>
      <c r="E5070" s="94" t="inlineStr">
        <is>
          <t>토너</t>
        </is>
      </c>
      <c r="F5070" s="5" t="inlineStr">
        <is>
          <t>랄라블라</t>
        </is>
      </c>
      <c r="G5070" s="94" t="inlineStr">
        <is>
          <t>250ml</t>
        </is>
      </c>
      <c r="H5070" s="7" t="n">
        <v>190801</v>
      </c>
      <c r="I5070" s="7" t="n">
        <v>190801</v>
      </c>
      <c r="J5070" s="94" t="n"/>
      <c r="K5070" s="149" t="n">
        <v>774</v>
      </c>
      <c r="L5070" s="92" t="n">
        <v>190801</v>
      </c>
      <c r="M5070" s="94">
        <f>VLOOKUP($Q5070,매칭테이블!$F:$I,2,0)*K5070</f>
        <v/>
      </c>
      <c r="N5070" s="94">
        <f>M5070-M5070*VLOOKUP($Q5070,매칭테이블!$F:$I,3,0)</f>
        <v/>
      </c>
      <c r="O5070" s="94">
        <f>VLOOKUP($Q5070,매칭테이블!$F:$I,4,0)*K5070</f>
        <v/>
      </c>
      <c r="P5070" s="148">
        <f>M5070/1.1</f>
        <v/>
      </c>
      <c r="Q5070" s="94">
        <f>F5070&amp;E5070&amp;G5070&amp;L5070</f>
        <v/>
      </c>
    </row>
    <row r="5071">
      <c r="A5071" s="94" t="n"/>
      <c r="B5071" s="128" t="n">
        <v>43905</v>
      </c>
      <c r="C5071" s="94">
        <f>TEXT(B5071,"aaa")</f>
        <v/>
      </c>
      <c r="D5071" s="94" t="n"/>
      <c r="E5071" s="94" t="inlineStr">
        <is>
          <t>머드크림마스크</t>
        </is>
      </c>
      <c r="F5071" s="5" t="inlineStr">
        <is>
          <t>랄라블라</t>
        </is>
      </c>
      <c r="G5071" s="94" t="inlineStr">
        <is>
          <t>머드크림마스크 100ml</t>
        </is>
      </c>
      <c r="H5071" s="7" t="n">
        <v>190801</v>
      </c>
      <c r="I5071" s="7" t="n">
        <v>190801</v>
      </c>
      <c r="J5071" s="94" t="n"/>
      <c r="K5071" s="149" t="n">
        <v>10</v>
      </c>
      <c r="L5071" s="94" t="n">
        <v>190801</v>
      </c>
      <c r="M5071" s="94">
        <f>VLOOKUP($Q5071,매칭테이블!$F:$I,2,0)*K5071</f>
        <v/>
      </c>
      <c r="N5071" s="94">
        <f>M5071-M5071*VLOOKUP($Q5071,매칭테이블!$F:$I,3,0)</f>
        <v/>
      </c>
      <c r="O5071" s="94">
        <f>VLOOKUP($Q5071,매칭테이블!$F:$I,4,0)*K5071</f>
        <v/>
      </c>
      <c r="P5071" s="148">
        <f>M5071/1.1</f>
        <v/>
      </c>
      <c r="Q5071" s="94">
        <f>F5071&amp;E5071&amp;G5071&amp;L5071</f>
        <v/>
      </c>
    </row>
    <row r="5072">
      <c r="A5072" s="94" t="n"/>
      <c r="B5072" s="128" t="n">
        <v>43905</v>
      </c>
      <c r="C5072" s="94">
        <f>TEXT(B5072,"aaa")</f>
        <v/>
      </c>
      <c r="D5072" s="94" t="n"/>
      <c r="E5072" s="94" t="inlineStr">
        <is>
          <t>클렌징폼</t>
        </is>
      </c>
      <c r="F5072" s="5" t="inlineStr">
        <is>
          <t>랄라블라</t>
        </is>
      </c>
      <c r="G5072" s="94" t="inlineStr">
        <is>
          <t>클렌징폼 120ml</t>
        </is>
      </c>
      <c r="H5072" s="7" t="n">
        <v>190801</v>
      </c>
      <c r="I5072" s="7" t="n">
        <v>190801</v>
      </c>
      <c r="J5072" s="94" t="n"/>
      <c r="K5072" s="149" t="n">
        <v>19</v>
      </c>
      <c r="L5072" s="7" t="n">
        <v>190801</v>
      </c>
      <c r="M5072" s="94">
        <f>VLOOKUP($Q5072,매칭테이블!$F:$I,2,0)*K5072</f>
        <v/>
      </c>
      <c r="N5072" s="94">
        <f>M5072-M5072*VLOOKUP($Q5072,매칭테이블!$F:$I,3,0)</f>
        <v/>
      </c>
      <c r="O5072" s="94">
        <f>VLOOKUP($Q5072,매칭테이블!$F:$I,4,0)*K5072</f>
        <v/>
      </c>
      <c r="P5072" s="148">
        <f>M5072/1.1</f>
        <v/>
      </c>
      <c r="Q5072" s="94">
        <f>F5072&amp;E5072&amp;G5072&amp;L5072</f>
        <v/>
      </c>
    </row>
    <row r="5073">
      <c r="A5073" s="94" t="n"/>
      <c r="B5073" s="128" t="n">
        <v>43906</v>
      </c>
      <c r="C5073" s="94">
        <f>TEXT(B5073,"aaa")</f>
        <v/>
      </c>
      <c r="D5073" s="94" t="n"/>
      <c r="E5073" s="6" t="inlineStr">
        <is>
          <t>토너</t>
        </is>
      </c>
      <c r="F5073" s="5" t="inlineStr">
        <is>
          <t>W컨셉</t>
        </is>
      </c>
      <c r="G5073" s="5" t="inlineStr">
        <is>
          <t>250ml 2set</t>
        </is>
      </c>
      <c r="H5073" s="7" t="n">
        <v>190801</v>
      </c>
      <c r="I5073" s="7" t="n">
        <v>190801</v>
      </c>
      <c r="J5073" s="94" t="n"/>
      <c r="K5073" s="149" t="n">
        <v>6</v>
      </c>
      <c r="L5073" s="7" t="n">
        <v>190801</v>
      </c>
      <c r="M5073" s="94">
        <f>VLOOKUP($Q5073,매칭테이블!$F:$I,2,0)*K5073</f>
        <v/>
      </c>
      <c r="N5073" s="94">
        <f>M5073-M5073*VLOOKUP($Q5073,매칭테이블!$F:$I,3,0)</f>
        <v/>
      </c>
      <c r="O5073" s="94">
        <f>VLOOKUP($Q5073,매칭테이블!$F:$I,4,0)*K5073</f>
        <v/>
      </c>
      <c r="P5073" s="148">
        <f>M5073/1.1</f>
        <v/>
      </c>
      <c r="Q5073" s="94">
        <f>F5073&amp;E5073&amp;G5073&amp;L5073</f>
        <v/>
      </c>
    </row>
    <row r="5074">
      <c r="A5074" s="94" t="n"/>
      <c r="B5074" s="128" t="n">
        <v>43906</v>
      </c>
      <c r="C5074" s="94">
        <f>TEXT(B5074,"aaa")</f>
        <v/>
      </c>
      <c r="D5074" s="94" t="n"/>
      <c r="E5074" s="94" t="inlineStr">
        <is>
          <t>토너</t>
        </is>
      </c>
      <c r="F5074" s="5" t="inlineStr">
        <is>
          <t>스타일쉐어</t>
        </is>
      </c>
      <c r="G5074" s="94" t="inlineStr">
        <is>
          <t>250ml</t>
        </is>
      </c>
      <c r="H5074" s="7" t="n">
        <v>190801</v>
      </c>
      <c r="I5074" s="7" t="n">
        <v>190801</v>
      </c>
      <c r="J5074" s="94" t="n"/>
      <c r="K5074" s="149" t="n">
        <v>7</v>
      </c>
      <c r="L5074" s="92" t="n">
        <v>190801</v>
      </c>
      <c r="M5074" s="94">
        <f>VLOOKUP($Q5074,매칭테이블!$F:$I,2,0)*K5074</f>
        <v/>
      </c>
      <c r="N5074" s="94">
        <f>M5074-M5074*VLOOKUP($Q5074,매칭테이블!$F:$I,3,0)</f>
        <v/>
      </c>
      <c r="O5074" s="94">
        <f>VLOOKUP($Q5074,매칭테이블!$F:$I,4,0)*K5074</f>
        <v/>
      </c>
      <c r="P5074" s="148">
        <f>M5074/1.1</f>
        <v/>
      </c>
      <c r="Q5074" s="94">
        <f>F5074&amp;E5074&amp;G5074&amp;L5074</f>
        <v/>
      </c>
    </row>
    <row r="5075">
      <c r="A5075" s="94" t="n"/>
      <c r="B5075" s="128" t="n">
        <v>43906</v>
      </c>
      <c r="C5075" s="94">
        <f>TEXT(B5075,"aaa")</f>
        <v/>
      </c>
      <c r="D5075" s="94" t="n"/>
      <c r="E5075" s="94" t="inlineStr">
        <is>
          <t>머드크림마스크</t>
        </is>
      </c>
      <c r="F5075" s="94" t="inlineStr">
        <is>
          <t>카페24</t>
        </is>
      </c>
      <c r="G5075" s="94" t="inlineStr">
        <is>
          <t>머드크림마스크 100ml</t>
        </is>
      </c>
      <c r="H5075" s="7" t="n">
        <v>190801</v>
      </c>
      <c r="I5075" s="7" t="n">
        <v>190801</v>
      </c>
      <c r="J5075" s="94" t="n"/>
      <c r="K5075" s="149" t="n">
        <v>6</v>
      </c>
      <c r="L5075" s="94" t="n">
        <v>190801</v>
      </c>
      <c r="M5075" s="94">
        <f>VLOOKUP($Q5075,매칭테이블!$F:$I,2,0)*K5075</f>
        <v/>
      </c>
      <c r="N5075" s="94">
        <f>M5075-M5075*VLOOKUP($Q5075,매칭테이블!$F:$I,3,0)</f>
        <v/>
      </c>
      <c r="O5075" s="94">
        <f>VLOOKUP($Q5075,매칭테이블!$F:$I,4,0)*K5075</f>
        <v/>
      </c>
      <c r="P5075" s="148">
        <f>M5075/1.1</f>
        <v/>
      </c>
      <c r="Q5075" s="94">
        <f>F5075&amp;E5075&amp;G5075&amp;L5075</f>
        <v/>
      </c>
    </row>
    <row r="5076">
      <c r="A5076" s="94" t="n"/>
      <c r="B5076" s="128" t="n">
        <v>43906</v>
      </c>
      <c r="C5076" s="94">
        <f>TEXT(B5076,"aaa")</f>
        <v/>
      </c>
      <c r="D5076" s="94" t="n"/>
      <c r="E5076" s="94" t="inlineStr">
        <is>
          <t>머드크림마스크</t>
        </is>
      </c>
      <c r="F5076" s="94" t="inlineStr">
        <is>
          <t>카페24</t>
        </is>
      </c>
      <c r="G5076" s="94" t="inlineStr">
        <is>
          <t>머드크림마스크 100ml 2set</t>
        </is>
      </c>
      <c r="H5076" s="7" t="n">
        <v>190801</v>
      </c>
      <c r="I5076" s="7" t="n">
        <v>190801</v>
      </c>
      <c r="J5076" s="94" t="n"/>
      <c r="K5076" s="149" t="n">
        <v>1</v>
      </c>
      <c r="L5076" s="94" t="n">
        <v>190801</v>
      </c>
      <c r="M5076" s="94">
        <f>VLOOKUP($Q5076,매칭테이블!$F:$I,2,0)*K5076</f>
        <v/>
      </c>
      <c r="N5076" s="94">
        <f>M5076-M5076*VLOOKUP($Q5076,매칭테이블!$F:$I,3,0)</f>
        <v/>
      </c>
      <c r="O5076" s="94">
        <f>VLOOKUP($Q5076,매칭테이블!$F:$I,4,0)*K5076</f>
        <v/>
      </c>
      <c r="P5076" s="148">
        <f>M5076/1.1</f>
        <v/>
      </c>
      <c r="Q5076" s="94">
        <f>F5076&amp;E5076&amp;G5076&amp;L5076</f>
        <v/>
      </c>
    </row>
    <row r="5077">
      <c r="A5077" s="94" t="n"/>
      <c r="B5077" s="128" t="n">
        <v>43906</v>
      </c>
      <c r="C5077" s="94">
        <f>TEXT(B5077,"aaa")</f>
        <v/>
      </c>
      <c r="D5077" s="94" t="n"/>
      <c r="E5077" s="6" t="inlineStr">
        <is>
          <t>토너</t>
        </is>
      </c>
      <c r="F5077" s="5" t="inlineStr">
        <is>
          <t>카페24</t>
        </is>
      </c>
      <c r="G5077" s="5" t="inlineStr">
        <is>
          <t>250ml</t>
        </is>
      </c>
      <c r="H5077" s="7" t="n">
        <v>190801</v>
      </c>
      <c r="I5077" s="7" t="n">
        <v>190801</v>
      </c>
      <c r="J5077" s="94" t="n"/>
      <c r="K5077" s="149" t="n">
        <v>64</v>
      </c>
      <c r="L5077" s="7" t="n">
        <v>190801</v>
      </c>
      <c r="M5077" s="94">
        <f>VLOOKUP($Q5077,매칭테이블!$F:$I,2,0)*K5077</f>
        <v/>
      </c>
      <c r="N5077" s="94">
        <f>M5077-M5077*VLOOKUP($Q5077,매칭테이블!$F:$I,3,0)</f>
        <v/>
      </c>
      <c r="O5077" s="94">
        <f>VLOOKUP($Q5077,매칭테이블!$F:$I,4,0)*K5077</f>
        <v/>
      </c>
      <c r="P5077" s="148">
        <f>M5077/1.1</f>
        <v/>
      </c>
      <c r="Q5077" s="94">
        <f>F5077&amp;E5077&amp;G5077&amp;L5077</f>
        <v/>
      </c>
    </row>
    <row r="5078">
      <c r="A5078" s="94" t="n"/>
      <c r="B5078" s="128" t="n">
        <v>43906</v>
      </c>
      <c r="C5078" s="94">
        <f>TEXT(B5078,"aaa")</f>
        <v/>
      </c>
      <c r="D5078" s="94" t="n"/>
      <c r="E5078" s="6" t="inlineStr">
        <is>
          <t>토너</t>
        </is>
      </c>
      <c r="F5078" s="5" t="inlineStr">
        <is>
          <t>카페24</t>
        </is>
      </c>
      <c r="G5078" s="5" t="inlineStr">
        <is>
          <t>250ml 2set</t>
        </is>
      </c>
      <c r="H5078" s="7" t="n">
        <v>190801</v>
      </c>
      <c r="I5078" s="7" t="n">
        <v>190801</v>
      </c>
      <c r="J5078" s="94" t="n"/>
      <c r="K5078" s="149" t="n">
        <v>26</v>
      </c>
      <c r="L5078" s="7" t="n">
        <v>190801</v>
      </c>
      <c r="M5078" s="94">
        <f>VLOOKUP($Q5078,매칭테이블!$F:$I,2,0)*K5078</f>
        <v/>
      </c>
      <c r="N5078" s="94">
        <f>M5078-M5078*VLOOKUP($Q5078,매칭테이블!$F:$I,3,0)</f>
        <v/>
      </c>
      <c r="O5078" s="94">
        <f>VLOOKUP($Q5078,매칭테이블!$F:$I,4,0)*K5078</f>
        <v/>
      </c>
      <c r="P5078" s="148">
        <f>M5078/1.1</f>
        <v/>
      </c>
      <c r="Q5078" s="94">
        <f>F5078&amp;E5078&amp;G5078&amp;L5078</f>
        <v/>
      </c>
    </row>
    <row r="5079">
      <c r="A5079" s="94" t="n"/>
      <c r="B5079" s="128" t="n">
        <v>43906</v>
      </c>
      <c r="C5079" s="94">
        <f>TEXT(B5079,"aaa")</f>
        <v/>
      </c>
      <c r="D5079" s="94" t="n"/>
      <c r="E5079" s="6" t="inlineStr">
        <is>
          <t>토너</t>
        </is>
      </c>
      <c r="F5079" s="5" t="inlineStr">
        <is>
          <t>카페24</t>
        </is>
      </c>
      <c r="G5079" s="5" t="inlineStr">
        <is>
          <t>500ml</t>
        </is>
      </c>
      <c r="H5079" s="7" t="n">
        <v>190801</v>
      </c>
      <c r="I5079" s="7" t="n">
        <v>190801</v>
      </c>
      <c r="J5079" s="94" t="n"/>
      <c r="K5079" s="149" t="n">
        <v>85</v>
      </c>
      <c r="L5079" s="7" t="n">
        <v>190801</v>
      </c>
      <c r="M5079" s="94">
        <f>VLOOKUP($Q5079,매칭테이블!$F:$I,2,0)*K5079</f>
        <v/>
      </c>
      <c r="N5079" s="94">
        <f>M5079-M5079*VLOOKUP($Q5079,매칭테이블!$F:$I,3,0)</f>
        <v/>
      </c>
      <c r="O5079" s="94">
        <f>VLOOKUP($Q5079,매칭테이블!$F:$I,4,0)*K5079</f>
        <v/>
      </c>
      <c r="P5079" s="148">
        <f>M5079/1.1</f>
        <v/>
      </c>
      <c r="Q5079" s="94">
        <f>F5079&amp;E5079&amp;G5079&amp;L5079</f>
        <v/>
      </c>
    </row>
    <row r="5080">
      <c r="A5080" s="94" t="n"/>
      <c r="B5080" s="128" t="n">
        <v>43906</v>
      </c>
      <c r="C5080" s="94">
        <f>TEXT(B5080,"aaa")</f>
        <v/>
      </c>
      <c r="D5080" s="94" t="n"/>
      <c r="E5080" s="6" t="inlineStr">
        <is>
          <t>토너</t>
        </is>
      </c>
      <c r="F5080" s="5" t="inlineStr">
        <is>
          <t>카페24</t>
        </is>
      </c>
      <c r="G5080" s="94" t="inlineStr">
        <is>
          <t>스킨팩 화장솜 60P</t>
        </is>
      </c>
      <c r="H5080" s="7" t="n">
        <v>190801</v>
      </c>
      <c r="I5080" s="7" t="n">
        <v>190801</v>
      </c>
      <c r="J5080" s="94" t="n"/>
      <c r="K5080" s="149" t="n">
        <v>56</v>
      </c>
      <c r="L5080" s="7" t="n">
        <v>190801</v>
      </c>
      <c r="M5080" s="94">
        <f>VLOOKUP($Q5080,매칭테이블!$F:$I,2,0)*K5080</f>
        <v/>
      </c>
      <c r="N5080" s="94">
        <f>M5080-M5080*VLOOKUP($Q5080,매칭테이블!$F:$I,3,0)</f>
        <v/>
      </c>
      <c r="O5080" s="94">
        <f>VLOOKUP($Q5080,매칭테이블!$F:$I,4,0)*K5080</f>
        <v/>
      </c>
      <c r="P5080" s="148">
        <f>M5080/1.1</f>
        <v/>
      </c>
      <c r="Q5080" s="94">
        <f>F5080&amp;E5080&amp;G5080&amp;L5080</f>
        <v/>
      </c>
    </row>
    <row r="5081">
      <c r="A5081" s="94" t="n"/>
      <c r="B5081" s="128" t="n">
        <v>43906</v>
      </c>
      <c r="C5081" s="94">
        <f>TEXT(B5081,"aaa")</f>
        <v/>
      </c>
      <c r="D5081" s="94" t="n"/>
      <c r="E5081" s="94" t="inlineStr">
        <is>
          <t>클렌징폼</t>
        </is>
      </c>
      <c r="F5081" s="5" t="inlineStr">
        <is>
          <t>카페24</t>
        </is>
      </c>
      <c r="G5081" s="94" t="inlineStr">
        <is>
          <t>클렌징폼 120ml</t>
        </is>
      </c>
      <c r="H5081" s="7" t="n">
        <v>190801</v>
      </c>
      <c r="I5081" s="7" t="n">
        <v>190801</v>
      </c>
      <c r="J5081" s="94" t="n"/>
      <c r="K5081" s="149" t="n">
        <v>10</v>
      </c>
      <c r="L5081" s="7" t="n">
        <v>190801</v>
      </c>
      <c r="M5081" s="94">
        <f>VLOOKUP($Q5081,매칭테이블!$F:$I,2,0)*K5081</f>
        <v/>
      </c>
      <c r="N5081" s="94">
        <f>M5081-M5081*VLOOKUP($Q5081,매칭테이블!$F:$I,3,0)</f>
        <v/>
      </c>
      <c r="O5081" s="94">
        <f>VLOOKUP($Q5081,매칭테이블!$F:$I,4,0)*K5081</f>
        <v/>
      </c>
      <c r="P5081" s="148">
        <f>M5081/1.1</f>
        <v/>
      </c>
      <c r="Q5081" s="94">
        <f>F5081&amp;E5081&amp;G5081&amp;L5081</f>
        <v/>
      </c>
    </row>
    <row r="5082">
      <c r="A5082" s="94" t="n"/>
      <c r="B5082" s="128" t="n">
        <v>43906</v>
      </c>
      <c r="C5082" s="94">
        <f>TEXT(B5082,"aaa")</f>
        <v/>
      </c>
      <c r="D5082" s="94" t="n"/>
      <c r="E5082" s="94" t="inlineStr">
        <is>
          <t>클렌징폼</t>
        </is>
      </c>
      <c r="F5082" s="94" t="inlineStr">
        <is>
          <t>카페24</t>
        </is>
      </c>
      <c r="G5082" s="94" t="inlineStr">
        <is>
          <t>클렌징폼 120ml 2set</t>
        </is>
      </c>
      <c r="H5082" s="7" t="n">
        <v>190801</v>
      </c>
      <c r="I5082" s="7" t="n">
        <v>190801</v>
      </c>
      <c r="J5082" s="94" t="n"/>
      <c r="K5082" s="149" t="n">
        <v>1</v>
      </c>
      <c r="L5082" s="7" t="n">
        <v>190801</v>
      </c>
      <c r="M5082" s="94">
        <f>VLOOKUP($Q5082,매칭테이블!$F:$I,2,0)*K5082</f>
        <v/>
      </c>
      <c r="N5082" s="94">
        <f>M5082-M5082*VLOOKUP($Q5082,매칭테이블!$F:$I,3,0)</f>
        <v/>
      </c>
      <c r="O5082" s="94">
        <f>VLOOKUP($Q5082,매칭테이블!$F:$I,4,0)*K5082</f>
        <v/>
      </c>
      <c r="P5082" s="148">
        <f>M5082/1.1</f>
        <v/>
      </c>
      <c r="Q5082" s="94">
        <f>F5082&amp;E5082&amp;G5082&amp;L5082</f>
        <v/>
      </c>
    </row>
    <row r="5083">
      <c r="A5083" s="94" t="n"/>
      <c r="B5083" s="128" t="n">
        <v>43906</v>
      </c>
      <c r="C5083" s="94">
        <f>TEXT(B5083,"aaa")</f>
        <v/>
      </c>
      <c r="D5083" s="94" t="n"/>
      <c r="E5083" s="94" t="inlineStr">
        <is>
          <t>마스크팩</t>
        </is>
      </c>
      <c r="F5083" s="94" t="inlineStr">
        <is>
          <t>카페24</t>
        </is>
      </c>
      <c r="G5083" s="94" t="inlineStr">
        <is>
          <t>마스크팩 1매</t>
        </is>
      </c>
      <c r="H5083" s="7" t="n">
        <v>190801</v>
      </c>
      <c r="I5083" s="7" t="n">
        <v>190801</v>
      </c>
      <c r="J5083" s="94" t="n"/>
      <c r="K5083" s="149" t="n">
        <v>8</v>
      </c>
      <c r="L5083" s="94" t="n">
        <v>190801</v>
      </c>
      <c r="M5083" s="94">
        <f>VLOOKUP($Q5083,매칭테이블!$F:$I,2,0)*K5083</f>
        <v/>
      </c>
      <c r="N5083" s="94">
        <f>M5083-M5083*VLOOKUP($Q5083,매칭테이블!$F:$I,3,0)</f>
        <v/>
      </c>
      <c r="O5083" s="94">
        <f>VLOOKUP($Q5083,매칭테이블!$F:$I,4,0)*K5083</f>
        <v/>
      </c>
      <c r="P5083" s="148">
        <f>M5083/1.1</f>
        <v/>
      </c>
      <c r="Q5083" s="94">
        <f>F5083&amp;E5083&amp;G5083&amp;L5083</f>
        <v/>
      </c>
    </row>
    <row r="5084">
      <c r="A5084" s="94" t="n"/>
      <c r="B5084" s="128" t="n">
        <v>43906</v>
      </c>
      <c r="C5084" s="94">
        <f>TEXT(B5084,"aaa")</f>
        <v/>
      </c>
      <c r="D5084" s="94" t="n"/>
      <c r="E5084" s="94" t="inlineStr">
        <is>
          <t>마스크팩</t>
        </is>
      </c>
      <c r="F5084" s="94" t="inlineStr">
        <is>
          <t>카페24</t>
        </is>
      </c>
      <c r="G5084" s="94" t="inlineStr">
        <is>
          <t>마스크팩 10매</t>
        </is>
      </c>
      <c r="H5084" s="7" t="n">
        <v>190801</v>
      </c>
      <c r="I5084" s="7" t="n">
        <v>190801</v>
      </c>
      <c r="J5084" s="94" t="n"/>
      <c r="K5084" s="149" t="n">
        <v>3</v>
      </c>
      <c r="L5084" s="94" t="n">
        <v>190801</v>
      </c>
      <c r="M5084" s="94">
        <f>VLOOKUP($Q5084,매칭테이블!$F:$I,2,0)*K5084</f>
        <v/>
      </c>
      <c r="N5084" s="94">
        <f>M5084-M5084*VLOOKUP($Q5084,매칭테이블!$F:$I,3,0)</f>
        <v/>
      </c>
      <c r="O5084" s="94">
        <f>VLOOKUP($Q5084,매칭테이블!$F:$I,4,0)*K5084</f>
        <v/>
      </c>
      <c r="P5084" s="148">
        <f>M5084/1.1</f>
        <v/>
      </c>
      <c r="Q5084" s="94">
        <f>F5084&amp;E5084&amp;G5084&amp;L5084</f>
        <v/>
      </c>
    </row>
    <row r="5085">
      <c r="A5085" s="94" t="n"/>
      <c r="B5085" s="128" t="n">
        <v>43906</v>
      </c>
      <c r="C5085" s="94">
        <f>TEXT(B5085,"aaa")</f>
        <v/>
      </c>
      <c r="D5085" s="94" t="n"/>
      <c r="E5085" s="94" t="inlineStr">
        <is>
          <t>토너</t>
        </is>
      </c>
      <c r="F5085" s="94" t="inlineStr">
        <is>
          <t>큐텐</t>
        </is>
      </c>
      <c r="G5085" s="94" t="inlineStr">
        <is>
          <t>250ml</t>
        </is>
      </c>
      <c r="H5085" s="7" t="n">
        <v>190801</v>
      </c>
      <c r="I5085" s="7" t="n">
        <v>190801</v>
      </c>
      <c r="J5085" s="94" t="n"/>
      <c r="K5085" s="149" t="n">
        <v>70</v>
      </c>
      <c r="L5085" s="92" t="n">
        <v>190801</v>
      </c>
      <c r="M5085" s="94">
        <f>VLOOKUP($Q5085,매칭테이블!$F:$I,2,0)*K5085</f>
        <v/>
      </c>
      <c r="N5085" s="94">
        <f>M5085-M5085*VLOOKUP($Q5085,매칭테이블!$F:$I,3,0)</f>
        <v/>
      </c>
      <c r="O5085" s="94">
        <f>VLOOKUP($Q5085,매칭테이블!$F:$I,4,0)*K5085</f>
        <v/>
      </c>
      <c r="P5085" s="148">
        <f>M5085/1.1</f>
        <v/>
      </c>
      <c r="Q5085" s="94">
        <f>F5085&amp;E5085&amp;G5085&amp;L5085</f>
        <v/>
      </c>
    </row>
    <row r="5086">
      <c r="A5086" s="94" t="n"/>
      <c r="B5086" s="128" t="n">
        <v>43906</v>
      </c>
      <c r="C5086" s="94">
        <f>TEXT(B5086,"aaa")</f>
        <v/>
      </c>
      <c r="D5086" s="94" t="n"/>
      <c r="E5086" s="94" t="inlineStr">
        <is>
          <t>토너</t>
        </is>
      </c>
      <c r="F5086" s="94" t="inlineStr">
        <is>
          <t>큐텐</t>
        </is>
      </c>
      <c r="G5086" s="94" t="inlineStr">
        <is>
          <t>250ml 2set</t>
        </is>
      </c>
      <c r="H5086" s="7" t="n">
        <v>190801</v>
      </c>
      <c r="I5086" s="7" t="n">
        <v>190801</v>
      </c>
      <c r="J5086" s="94" t="n"/>
      <c r="K5086" s="149" t="n">
        <v>33</v>
      </c>
      <c r="L5086" s="92" t="n">
        <v>190801</v>
      </c>
      <c r="M5086" s="94">
        <f>VLOOKUP($Q5086,매칭테이블!$F:$I,2,0)*K5086</f>
        <v/>
      </c>
      <c r="N5086" s="94">
        <f>M5086-M5086*VLOOKUP($Q5086,매칭테이블!$F:$I,3,0)</f>
        <v/>
      </c>
      <c r="O5086" s="94">
        <f>VLOOKUP($Q5086,매칭테이블!$F:$I,4,0)*K5086</f>
        <v/>
      </c>
      <c r="P5086" s="148">
        <f>M5086/1.1</f>
        <v/>
      </c>
      <c r="Q5086" s="94">
        <f>F5086&amp;E5086&amp;G5086&amp;L5086</f>
        <v/>
      </c>
    </row>
    <row r="5087">
      <c r="A5087" s="94" t="n"/>
      <c r="B5087" s="128" t="n">
        <v>43906</v>
      </c>
      <c r="C5087" s="94">
        <f>TEXT(B5087,"aaa")</f>
        <v/>
      </c>
      <c r="D5087" s="94" t="n"/>
      <c r="E5087" s="94" t="inlineStr">
        <is>
          <t>클렌징폼</t>
        </is>
      </c>
      <c r="F5087" s="94" t="inlineStr">
        <is>
          <t>큐텐</t>
        </is>
      </c>
      <c r="G5087" s="94" t="inlineStr">
        <is>
          <t>클렌징폼 120ml</t>
        </is>
      </c>
      <c r="H5087" s="7" t="n">
        <v>190801</v>
      </c>
      <c r="I5087" s="7" t="n">
        <v>190801</v>
      </c>
      <c r="J5087" s="94" t="n"/>
      <c r="K5087" s="149" t="n">
        <v>3</v>
      </c>
      <c r="L5087" s="7" t="n">
        <v>190801</v>
      </c>
      <c r="M5087" s="94">
        <f>VLOOKUP($Q5087,매칭테이블!$F:$I,2,0)*K5087</f>
        <v/>
      </c>
      <c r="N5087" s="94">
        <f>M5087-M5087*VLOOKUP($Q5087,매칭테이블!$F:$I,3,0)</f>
        <v/>
      </c>
      <c r="O5087" s="94">
        <f>VLOOKUP($Q5087,매칭테이블!$F:$I,4,0)*K5087</f>
        <v/>
      </c>
      <c r="P5087" s="148">
        <f>M5087/1.1</f>
        <v/>
      </c>
      <c r="Q5087" s="94">
        <f>F5087&amp;E5087&amp;G5087&amp;L5087</f>
        <v/>
      </c>
    </row>
    <row r="5088">
      <c r="A5088" s="94" t="n"/>
      <c r="B5088" s="128" t="n">
        <v>43906</v>
      </c>
      <c r="C5088" s="94">
        <f>TEXT(B5088,"aaa")</f>
        <v/>
      </c>
      <c r="D5088" s="94" t="n"/>
      <c r="E5088" s="94" t="inlineStr">
        <is>
          <t>머드크림마스크</t>
        </is>
      </c>
      <c r="F5088" s="94" t="inlineStr">
        <is>
          <t>큐텐</t>
        </is>
      </c>
      <c r="G5088" s="94" t="inlineStr">
        <is>
          <t>머드크림마스크 100ml</t>
        </is>
      </c>
      <c r="H5088" s="7" t="n">
        <v>190801</v>
      </c>
      <c r="I5088" s="7" t="n">
        <v>190801</v>
      </c>
      <c r="J5088" s="94" t="n"/>
      <c r="K5088" s="149" t="n">
        <v>2</v>
      </c>
      <c r="L5088" s="94" t="n">
        <v>190801</v>
      </c>
      <c r="M5088" s="94">
        <f>VLOOKUP($Q5088,매칭테이블!$F:$I,2,0)*K5088</f>
        <v/>
      </c>
      <c r="N5088" s="94">
        <f>M5088-M5088*VLOOKUP($Q5088,매칭테이블!$F:$I,3,0)</f>
        <v/>
      </c>
      <c r="O5088" s="94">
        <f>VLOOKUP($Q5088,매칭테이블!$F:$I,4,0)*K5088</f>
        <v/>
      </c>
      <c r="P5088" s="148">
        <f>M5088/1.1</f>
        <v/>
      </c>
      <c r="Q5088" s="94">
        <f>F5088&amp;E5088&amp;G5088&amp;L5088</f>
        <v/>
      </c>
    </row>
    <row r="5089">
      <c r="A5089" s="94" t="n"/>
      <c r="B5089" s="128" t="n">
        <v>43907</v>
      </c>
      <c r="C5089" s="94">
        <f>TEXT(B5089,"aaa")</f>
        <v/>
      </c>
      <c r="D5089" s="94" t="n"/>
      <c r="E5089" s="6" t="inlineStr">
        <is>
          <t>토너</t>
        </is>
      </c>
      <c r="F5089" s="5" t="inlineStr">
        <is>
          <t>W컨셉</t>
        </is>
      </c>
      <c r="G5089" s="5" t="inlineStr">
        <is>
          <t>250ml</t>
        </is>
      </c>
      <c r="H5089" s="7" t="n">
        <v>190801</v>
      </c>
      <c r="I5089" s="7" t="n">
        <v>190801</v>
      </c>
      <c r="J5089" s="94" t="n"/>
      <c r="K5089" s="149" t="n">
        <v>1</v>
      </c>
      <c r="L5089" s="7" t="n">
        <v>190801</v>
      </c>
      <c r="M5089" s="94">
        <f>VLOOKUP($Q5089,매칭테이블!$F:$I,2,0)*K5089</f>
        <v/>
      </c>
      <c r="N5089" s="94">
        <f>M5089-M5089*VLOOKUP($Q5089,매칭테이블!$F:$I,3,0)</f>
        <v/>
      </c>
      <c r="O5089" s="94">
        <f>VLOOKUP($Q5089,매칭테이블!$F:$I,4,0)*K5089</f>
        <v/>
      </c>
      <c r="P5089" s="148">
        <f>M5089/1.1</f>
        <v/>
      </c>
      <c r="Q5089" s="94">
        <f>F5089&amp;E5089&amp;G5089&amp;L5089</f>
        <v/>
      </c>
    </row>
    <row r="5090">
      <c r="A5090" s="94" t="n"/>
      <c r="B5090" s="128" t="n">
        <v>43907</v>
      </c>
      <c r="C5090" s="94">
        <f>TEXT(B5090,"aaa")</f>
        <v/>
      </c>
      <c r="D5090" s="94" t="n"/>
      <c r="E5090" s="6" t="inlineStr">
        <is>
          <t>토너</t>
        </is>
      </c>
      <c r="F5090" s="5" t="inlineStr">
        <is>
          <t>W컨셉</t>
        </is>
      </c>
      <c r="G5090" s="5" t="inlineStr">
        <is>
          <t>250ml 2set</t>
        </is>
      </c>
      <c r="H5090" s="7" t="n">
        <v>190801</v>
      </c>
      <c r="I5090" s="7" t="n">
        <v>190801</v>
      </c>
      <c r="J5090" s="94" t="n"/>
      <c r="K5090" s="149" t="n">
        <v>2</v>
      </c>
      <c r="L5090" s="7" t="n">
        <v>190801</v>
      </c>
      <c r="M5090" s="94">
        <f>VLOOKUP($Q5090,매칭테이블!$F:$I,2,0)*K5090</f>
        <v/>
      </c>
      <c r="N5090" s="94">
        <f>M5090-M5090*VLOOKUP($Q5090,매칭테이블!$F:$I,3,0)</f>
        <v/>
      </c>
      <c r="O5090" s="94">
        <f>VLOOKUP($Q5090,매칭테이블!$F:$I,4,0)*K5090</f>
        <v/>
      </c>
      <c r="P5090" s="148">
        <f>M5090/1.1</f>
        <v/>
      </c>
      <c r="Q5090" s="94">
        <f>F5090&amp;E5090&amp;G5090&amp;L5090</f>
        <v/>
      </c>
    </row>
    <row r="5091">
      <c r="A5091" s="94" t="n"/>
      <c r="B5091" s="128" t="n">
        <v>43907</v>
      </c>
      <c r="C5091" s="94">
        <f>TEXT(B5091,"aaa")</f>
        <v/>
      </c>
      <c r="D5091" s="94" t="n"/>
      <c r="E5091" s="94" t="inlineStr">
        <is>
          <t>토너</t>
        </is>
      </c>
      <c r="F5091" s="5" t="inlineStr">
        <is>
          <t>스타일쉐어</t>
        </is>
      </c>
      <c r="G5091" s="94" t="inlineStr">
        <is>
          <t>250ml</t>
        </is>
      </c>
      <c r="H5091" s="7" t="n">
        <v>190801</v>
      </c>
      <c r="I5091" s="7" t="n">
        <v>190801</v>
      </c>
      <c r="J5091" s="94" t="n"/>
      <c r="K5091" s="149" t="n">
        <v>7</v>
      </c>
      <c r="L5091" s="92" t="n">
        <v>190801</v>
      </c>
      <c r="M5091" s="94">
        <f>VLOOKUP($Q5091,매칭테이블!$F:$I,2,0)*K5091</f>
        <v/>
      </c>
      <c r="N5091" s="94">
        <f>M5091-M5091*VLOOKUP($Q5091,매칭테이블!$F:$I,3,0)</f>
        <v/>
      </c>
      <c r="O5091" s="94">
        <f>VLOOKUP($Q5091,매칭테이블!$F:$I,4,0)*K5091</f>
        <v/>
      </c>
      <c r="P5091" s="148">
        <f>M5091/1.1</f>
        <v/>
      </c>
      <c r="Q5091" s="94">
        <f>F5091&amp;E5091&amp;G5091&amp;L5091</f>
        <v/>
      </c>
    </row>
    <row r="5092">
      <c r="A5092" s="94" t="n"/>
      <c r="B5092" s="128" t="n">
        <v>43907</v>
      </c>
      <c r="C5092" s="94">
        <f>TEXT(B5092,"aaa")</f>
        <v/>
      </c>
      <c r="D5092" s="94" t="n"/>
      <c r="E5092" s="94" t="inlineStr">
        <is>
          <t>머드크림마스크</t>
        </is>
      </c>
      <c r="F5092" s="94" t="inlineStr">
        <is>
          <t>카페24</t>
        </is>
      </c>
      <c r="G5092" s="94" t="inlineStr">
        <is>
          <t>머드크림마스크 100ml</t>
        </is>
      </c>
      <c r="H5092" s="7" t="n">
        <v>190801</v>
      </c>
      <c r="I5092" s="7" t="n">
        <v>190801</v>
      </c>
      <c r="J5092" s="94" t="n"/>
      <c r="K5092" s="149" t="n">
        <v>6</v>
      </c>
      <c r="L5092" s="94" t="n">
        <v>190801</v>
      </c>
      <c r="M5092" s="94">
        <f>VLOOKUP($Q5092,매칭테이블!$F:$I,2,0)*K5092</f>
        <v/>
      </c>
      <c r="N5092" s="94">
        <f>M5092-M5092*VLOOKUP($Q5092,매칭테이블!$F:$I,3,0)</f>
        <v/>
      </c>
      <c r="O5092" s="94">
        <f>VLOOKUP($Q5092,매칭테이블!$F:$I,4,0)*K5092</f>
        <v/>
      </c>
      <c r="P5092" s="148">
        <f>M5092/1.1</f>
        <v/>
      </c>
      <c r="Q5092" s="94">
        <f>F5092&amp;E5092&amp;G5092&amp;L5092</f>
        <v/>
      </c>
    </row>
    <row r="5093">
      <c r="A5093" s="94" t="n"/>
      <c r="B5093" s="128" t="n">
        <v>43907</v>
      </c>
      <c r="C5093" s="94">
        <f>TEXT(B5093,"aaa")</f>
        <v/>
      </c>
      <c r="D5093" s="94" t="n"/>
      <c r="E5093" s="94" t="inlineStr">
        <is>
          <t>머드크림마스크</t>
        </is>
      </c>
      <c r="F5093" s="94" t="inlineStr">
        <is>
          <t>카페24</t>
        </is>
      </c>
      <c r="G5093" s="94" t="inlineStr">
        <is>
          <t>머드크림마스크 100ml 2set</t>
        </is>
      </c>
      <c r="H5093" s="7" t="n">
        <v>190801</v>
      </c>
      <c r="I5093" s="7" t="n">
        <v>190801</v>
      </c>
      <c r="J5093" s="94" t="n"/>
      <c r="K5093" s="149" t="n">
        <v>1</v>
      </c>
      <c r="L5093" s="94" t="n">
        <v>190801</v>
      </c>
      <c r="M5093" s="94">
        <f>VLOOKUP($Q5093,매칭테이블!$F:$I,2,0)*K5093</f>
        <v/>
      </c>
      <c r="N5093" s="94">
        <f>M5093-M5093*VLOOKUP($Q5093,매칭테이블!$F:$I,3,0)</f>
        <v/>
      </c>
      <c r="O5093" s="94">
        <f>VLOOKUP($Q5093,매칭테이블!$F:$I,4,0)*K5093</f>
        <v/>
      </c>
      <c r="P5093" s="148">
        <f>M5093/1.1</f>
        <v/>
      </c>
      <c r="Q5093" s="94">
        <f>F5093&amp;E5093&amp;G5093&amp;L5093</f>
        <v/>
      </c>
    </row>
    <row r="5094">
      <c r="A5094" s="94" t="n"/>
      <c r="B5094" s="128" t="n">
        <v>43907</v>
      </c>
      <c r="C5094" s="94">
        <f>TEXT(B5094,"aaa")</f>
        <v/>
      </c>
      <c r="D5094" s="94" t="n"/>
      <c r="E5094" s="6" t="inlineStr">
        <is>
          <t>토너</t>
        </is>
      </c>
      <c r="F5094" s="5" t="inlineStr">
        <is>
          <t>카페24</t>
        </is>
      </c>
      <c r="G5094" s="5" t="inlineStr">
        <is>
          <t>250ml</t>
        </is>
      </c>
      <c r="H5094" s="7" t="n">
        <v>190801</v>
      </c>
      <c r="I5094" s="7" t="n">
        <v>190801</v>
      </c>
      <c r="J5094" s="94" t="n"/>
      <c r="K5094" s="149" t="n">
        <v>58</v>
      </c>
      <c r="L5094" s="7" t="n">
        <v>190801</v>
      </c>
      <c r="M5094" s="94">
        <f>VLOOKUP($Q5094,매칭테이블!$F:$I,2,0)*K5094</f>
        <v/>
      </c>
      <c r="N5094" s="94">
        <f>M5094-M5094*VLOOKUP($Q5094,매칭테이블!$F:$I,3,0)</f>
        <v/>
      </c>
      <c r="O5094" s="94">
        <f>VLOOKUP($Q5094,매칭테이블!$F:$I,4,0)*K5094</f>
        <v/>
      </c>
      <c r="P5094" s="148">
        <f>M5094/1.1</f>
        <v/>
      </c>
      <c r="Q5094" s="94">
        <f>F5094&amp;E5094&amp;G5094&amp;L5094</f>
        <v/>
      </c>
    </row>
    <row r="5095">
      <c r="A5095" s="94" t="n"/>
      <c r="B5095" s="128" t="n">
        <v>43907</v>
      </c>
      <c r="C5095" s="94">
        <f>TEXT(B5095,"aaa")</f>
        <v/>
      </c>
      <c r="D5095" s="94" t="n"/>
      <c r="E5095" s="6" t="inlineStr">
        <is>
          <t>토너</t>
        </is>
      </c>
      <c r="F5095" s="5" t="inlineStr">
        <is>
          <t>카페24</t>
        </is>
      </c>
      <c r="G5095" s="5" t="inlineStr">
        <is>
          <t>250ml 2set</t>
        </is>
      </c>
      <c r="H5095" s="7" t="n">
        <v>190801</v>
      </c>
      <c r="I5095" s="7" t="n">
        <v>190801</v>
      </c>
      <c r="J5095" s="94" t="n"/>
      <c r="K5095" s="149" t="n">
        <v>31</v>
      </c>
      <c r="L5095" s="7" t="n">
        <v>190801</v>
      </c>
      <c r="M5095" s="94">
        <f>VLOOKUP($Q5095,매칭테이블!$F:$I,2,0)*K5095</f>
        <v/>
      </c>
      <c r="N5095" s="94">
        <f>M5095-M5095*VLOOKUP($Q5095,매칭테이블!$F:$I,3,0)</f>
        <v/>
      </c>
      <c r="O5095" s="94">
        <f>VLOOKUP($Q5095,매칭테이블!$F:$I,4,0)*K5095</f>
        <v/>
      </c>
      <c r="P5095" s="148">
        <f>M5095/1.1</f>
        <v/>
      </c>
      <c r="Q5095" s="94">
        <f>F5095&amp;E5095&amp;G5095&amp;L5095</f>
        <v/>
      </c>
    </row>
    <row r="5096">
      <c r="A5096" s="94" t="n"/>
      <c r="B5096" s="128" t="n">
        <v>43907</v>
      </c>
      <c r="C5096" s="94">
        <f>TEXT(B5096,"aaa")</f>
        <v/>
      </c>
      <c r="D5096" s="94" t="n"/>
      <c r="E5096" s="6" t="inlineStr">
        <is>
          <t>토너</t>
        </is>
      </c>
      <c r="F5096" s="5" t="inlineStr">
        <is>
          <t>카페24</t>
        </is>
      </c>
      <c r="G5096" s="5" t="inlineStr">
        <is>
          <t>500ml</t>
        </is>
      </c>
      <c r="H5096" s="7" t="n">
        <v>190801</v>
      </c>
      <c r="I5096" s="7" t="n">
        <v>190801</v>
      </c>
      <c r="J5096" s="94" t="n"/>
      <c r="K5096" s="149" t="n">
        <v>75</v>
      </c>
      <c r="L5096" s="7" t="n">
        <v>190801</v>
      </c>
      <c r="M5096" s="94">
        <f>VLOOKUP($Q5096,매칭테이블!$F:$I,2,0)*K5096</f>
        <v/>
      </c>
      <c r="N5096" s="94">
        <f>M5096-M5096*VLOOKUP($Q5096,매칭테이블!$F:$I,3,0)</f>
        <v/>
      </c>
      <c r="O5096" s="94">
        <f>VLOOKUP($Q5096,매칭테이블!$F:$I,4,0)*K5096</f>
        <v/>
      </c>
      <c r="P5096" s="148">
        <f>M5096/1.1</f>
        <v/>
      </c>
      <c r="Q5096" s="94">
        <f>F5096&amp;E5096&amp;G5096&amp;L5096</f>
        <v/>
      </c>
    </row>
    <row r="5097">
      <c r="A5097" s="94" t="n"/>
      <c r="B5097" s="128" t="n">
        <v>43907</v>
      </c>
      <c r="C5097" s="94">
        <f>TEXT(B5097,"aaa")</f>
        <v/>
      </c>
      <c r="D5097" s="94" t="n"/>
      <c r="E5097" s="6" t="inlineStr">
        <is>
          <t>토너</t>
        </is>
      </c>
      <c r="F5097" s="5" t="inlineStr">
        <is>
          <t>카페24</t>
        </is>
      </c>
      <c r="G5097" s="94" t="inlineStr">
        <is>
          <t>스킨팩 화장솜 60P</t>
        </is>
      </c>
      <c r="H5097" s="7" t="n">
        <v>190801</v>
      </c>
      <c r="I5097" s="7" t="n">
        <v>190801</v>
      </c>
      <c r="J5097" s="94" t="n"/>
      <c r="K5097" s="149" t="n">
        <v>77</v>
      </c>
      <c r="L5097" s="7" t="n">
        <v>190801</v>
      </c>
      <c r="M5097" s="94">
        <f>VLOOKUP($Q5097,매칭테이블!$F:$I,2,0)*K5097</f>
        <v/>
      </c>
      <c r="N5097" s="94">
        <f>M5097-M5097*VLOOKUP($Q5097,매칭테이블!$F:$I,3,0)</f>
        <v/>
      </c>
      <c r="O5097" s="94">
        <f>VLOOKUP($Q5097,매칭테이블!$F:$I,4,0)*K5097</f>
        <v/>
      </c>
      <c r="P5097" s="148">
        <f>M5097/1.1</f>
        <v/>
      </c>
      <c r="Q5097" s="94">
        <f>F5097&amp;E5097&amp;G5097&amp;L5097</f>
        <v/>
      </c>
    </row>
    <row r="5098">
      <c r="A5098" s="94" t="n"/>
      <c r="B5098" s="128" t="n">
        <v>43907</v>
      </c>
      <c r="C5098" s="94">
        <f>TEXT(B5098,"aaa")</f>
        <v/>
      </c>
      <c r="D5098" s="94" t="n"/>
      <c r="E5098" s="94" t="inlineStr">
        <is>
          <t>클렌징폼</t>
        </is>
      </c>
      <c r="F5098" s="5" t="inlineStr">
        <is>
          <t>카페24</t>
        </is>
      </c>
      <c r="G5098" s="94" t="inlineStr">
        <is>
          <t>클렌징폼 120ml</t>
        </is>
      </c>
      <c r="H5098" s="7" t="n">
        <v>190801</v>
      </c>
      <c r="I5098" s="7" t="n">
        <v>190801</v>
      </c>
      <c r="J5098" s="94" t="n"/>
      <c r="K5098" s="149" t="n">
        <v>11</v>
      </c>
      <c r="L5098" s="7" t="n">
        <v>190801</v>
      </c>
      <c r="M5098" s="94">
        <f>VLOOKUP($Q5098,매칭테이블!$F:$I,2,0)*K5098</f>
        <v/>
      </c>
      <c r="N5098" s="94">
        <f>M5098-M5098*VLOOKUP($Q5098,매칭테이블!$F:$I,3,0)</f>
        <v/>
      </c>
      <c r="O5098" s="94">
        <f>VLOOKUP($Q5098,매칭테이블!$F:$I,4,0)*K5098</f>
        <v/>
      </c>
      <c r="P5098" s="148">
        <f>M5098/1.1</f>
        <v/>
      </c>
      <c r="Q5098" s="94">
        <f>F5098&amp;E5098&amp;G5098&amp;L5098</f>
        <v/>
      </c>
    </row>
    <row r="5099">
      <c r="A5099" s="94" t="n"/>
      <c r="B5099" s="128" t="n">
        <v>43907</v>
      </c>
      <c r="C5099" s="94">
        <f>TEXT(B5099,"aaa")</f>
        <v/>
      </c>
      <c r="D5099" s="94" t="n"/>
      <c r="E5099" s="94" t="inlineStr">
        <is>
          <t>클렌징폼</t>
        </is>
      </c>
      <c r="F5099" s="94" t="inlineStr">
        <is>
          <t>카페24</t>
        </is>
      </c>
      <c r="G5099" s="94" t="inlineStr">
        <is>
          <t>클렌징폼 120ml 2set</t>
        </is>
      </c>
      <c r="H5099" s="7" t="n">
        <v>190801</v>
      </c>
      <c r="I5099" s="7" t="n">
        <v>190801</v>
      </c>
      <c r="J5099" s="94" t="n"/>
      <c r="K5099" s="149" t="n">
        <v>1</v>
      </c>
      <c r="L5099" s="7" t="n">
        <v>190801</v>
      </c>
      <c r="M5099" s="94">
        <f>VLOOKUP($Q5099,매칭테이블!$F:$I,2,0)*K5099</f>
        <v/>
      </c>
      <c r="N5099" s="94">
        <f>M5099-M5099*VLOOKUP($Q5099,매칭테이블!$F:$I,3,0)</f>
        <v/>
      </c>
      <c r="O5099" s="94">
        <f>VLOOKUP($Q5099,매칭테이블!$F:$I,4,0)*K5099</f>
        <v/>
      </c>
      <c r="P5099" s="148">
        <f>M5099/1.1</f>
        <v/>
      </c>
      <c r="Q5099" s="94">
        <f>F5099&amp;E5099&amp;G5099&amp;L5099</f>
        <v/>
      </c>
    </row>
    <row r="5100">
      <c r="A5100" s="94" t="n"/>
      <c r="B5100" s="128" t="n">
        <v>43907</v>
      </c>
      <c r="C5100" s="94">
        <f>TEXT(B5100,"aaa")</f>
        <v/>
      </c>
      <c r="D5100" s="94" t="n"/>
      <c r="E5100" s="94" t="inlineStr">
        <is>
          <t>클렌징폼</t>
        </is>
      </c>
      <c r="F5100" s="94" t="inlineStr">
        <is>
          <t>카페24</t>
        </is>
      </c>
      <c r="G5100" s="94" t="inlineStr">
        <is>
          <t>클렌징폼 120ml 3set</t>
        </is>
      </c>
      <c r="H5100" s="7" t="n">
        <v>190801</v>
      </c>
      <c r="I5100" s="7" t="n">
        <v>190801</v>
      </c>
      <c r="J5100" s="94" t="n"/>
      <c r="K5100" s="149" t="n">
        <v>1</v>
      </c>
      <c r="L5100" s="7" t="n">
        <v>190801</v>
      </c>
      <c r="M5100" s="94">
        <f>VLOOKUP($Q5100,매칭테이블!$F:$I,2,0)*K5100</f>
        <v/>
      </c>
      <c r="N5100" s="94">
        <f>M5100-M5100*VLOOKUP($Q5100,매칭테이블!$F:$I,3,0)</f>
        <v/>
      </c>
      <c r="O5100" s="94">
        <f>VLOOKUP($Q5100,매칭테이블!$F:$I,4,0)*K5100</f>
        <v/>
      </c>
      <c r="P5100" s="148">
        <f>M5100/1.1</f>
        <v/>
      </c>
      <c r="Q5100" s="94">
        <f>F5100&amp;E5100&amp;G5100&amp;L5100</f>
        <v/>
      </c>
    </row>
    <row r="5101">
      <c r="A5101" s="94" t="n"/>
      <c r="B5101" s="128" t="n">
        <v>43907</v>
      </c>
      <c r="C5101" s="94">
        <f>TEXT(B5101,"aaa")</f>
        <v/>
      </c>
      <c r="D5101" s="94" t="n"/>
      <c r="E5101" s="94" t="inlineStr">
        <is>
          <t>마스크팩</t>
        </is>
      </c>
      <c r="F5101" s="94" t="inlineStr">
        <is>
          <t>카페24</t>
        </is>
      </c>
      <c r="G5101" s="94" t="inlineStr">
        <is>
          <t>마스크팩 1매</t>
        </is>
      </c>
      <c r="H5101" s="7" t="n">
        <v>190801</v>
      </c>
      <c r="I5101" s="7" t="n">
        <v>190801</v>
      </c>
      <c r="J5101" s="94" t="n"/>
      <c r="K5101" s="149" t="n">
        <v>6</v>
      </c>
      <c r="L5101" s="94" t="n">
        <v>190801</v>
      </c>
      <c r="M5101" s="94">
        <f>VLOOKUP($Q5101,매칭테이블!$F:$I,2,0)*K5101</f>
        <v/>
      </c>
      <c r="N5101" s="94">
        <f>M5101-M5101*VLOOKUP($Q5101,매칭테이블!$F:$I,3,0)</f>
        <v/>
      </c>
      <c r="O5101" s="94">
        <f>VLOOKUP($Q5101,매칭테이블!$F:$I,4,0)*K5101</f>
        <v/>
      </c>
      <c r="P5101" s="148">
        <f>M5101/1.1</f>
        <v/>
      </c>
      <c r="Q5101" s="94">
        <f>F5101&amp;E5101&amp;G5101&amp;L5101</f>
        <v/>
      </c>
    </row>
    <row r="5102">
      <c r="A5102" s="94" t="n"/>
      <c r="B5102" s="128" t="n">
        <v>43907</v>
      </c>
      <c r="C5102" s="94">
        <f>TEXT(B5102,"aaa")</f>
        <v/>
      </c>
      <c r="D5102" s="94" t="n"/>
      <c r="E5102" s="94" t="inlineStr">
        <is>
          <t>마스크팩</t>
        </is>
      </c>
      <c r="F5102" s="94" t="inlineStr">
        <is>
          <t>카페24</t>
        </is>
      </c>
      <c r="G5102" s="94" t="inlineStr">
        <is>
          <t>마스크팩 10매</t>
        </is>
      </c>
      <c r="H5102" s="7" t="n">
        <v>190801</v>
      </c>
      <c r="I5102" s="7" t="n">
        <v>190801</v>
      </c>
      <c r="J5102" s="94" t="n"/>
      <c r="K5102" s="149" t="n">
        <v>15</v>
      </c>
      <c r="L5102" s="94" t="n">
        <v>190801</v>
      </c>
      <c r="M5102" s="94">
        <f>VLOOKUP($Q5102,매칭테이블!$F:$I,2,0)*K5102</f>
        <v/>
      </c>
      <c r="N5102" s="94">
        <f>M5102-M5102*VLOOKUP($Q5102,매칭테이블!$F:$I,3,0)</f>
        <v/>
      </c>
      <c r="O5102" s="94">
        <f>VLOOKUP($Q5102,매칭테이블!$F:$I,4,0)*K5102</f>
        <v/>
      </c>
      <c r="P5102" s="148">
        <f>M5102/1.1</f>
        <v/>
      </c>
      <c r="Q5102" s="94">
        <f>F5102&amp;E5102&amp;G5102&amp;L5102</f>
        <v/>
      </c>
    </row>
    <row r="5103">
      <c r="A5103" s="94" t="n"/>
      <c r="B5103" s="128" t="n">
        <v>43907</v>
      </c>
      <c r="C5103" s="94">
        <f>TEXT(B5103,"aaa")</f>
        <v/>
      </c>
      <c r="D5103" s="94" t="n"/>
      <c r="E5103" s="94" t="inlineStr">
        <is>
          <t>토너</t>
        </is>
      </c>
      <c r="F5103" s="94" t="inlineStr">
        <is>
          <t>큐텐</t>
        </is>
      </c>
      <c r="G5103" s="94" t="inlineStr">
        <is>
          <t>250ml</t>
        </is>
      </c>
      <c r="H5103" s="7" t="n">
        <v>190801</v>
      </c>
      <c r="I5103" s="7" t="n">
        <v>190801</v>
      </c>
      <c r="J5103" s="94" t="n"/>
      <c r="K5103" s="149" t="n">
        <v>5</v>
      </c>
      <c r="L5103" s="92" t="n">
        <v>190801</v>
      </c>
      <c r="M5103" s="94">
        <f>VLOOKUP($Q5103,매칭테이블!$F:$I,2,0)*K5103</f>
        <v/>
      </c>
      <c r="N5103" s="94">
        <f>M5103-M5103*VLOOKUP($Q5103,매칭테이블!$F:$I,3,0)</f>
        <v/>
      </c>
      <c r="O5103" s="94">
        <f>VLOOKUP($Q5103,매칭테이블!$F:$I,4,0)*K5103</f>
        <v/>
      </c>
      <c r="P5103" s="148">
        <f>M5103/1.1</f>
        <v/>
      </c>
      <c r="Q5103" s="94">
        <f>F5103&amp;E5103&amp;G5103&amp;L5103</f>
        <v/>
      </c>
    </row>
    <row r="5104">
      <c r="A5104" s="94" t="n"/>
      <c r="B5104" s="128" t="n">
        <v>43907</v>
      </c>
      <c r="C5104" s="94">
        <f>TEXT(B5104,"aaa")</f>
        <v/>
      </c>
      <c r="D5104" s="94" t="n"/>
      <c r="E5104" s="94" t="inlineStr">
        <is>
          <t>토너</t>
        </is>
      </c>
      <c r="F5104" s="94" t="inlineStr">
        <is>
          <t>큐텐</t>
        </is>
      </c>
      <c r="G5104" s="94" t="inlineStr">
        <is>
          <t>250ml 2set</t>
        </is>
      </c>
      <c r="H5104" s="7" t="n">
        <v>190801</v>
      </c>
      <c r="I5104" s="7" t="n">
        <v>190801</v>
      </c>
      <c r="J5104" s="94" t="n"/>
      <c r="K5104" s="149" t="n">
        <v>5</v>
      </c>
      <c r="L5104" s="92" t="n">
        <v>190801</v>
      </c>
      <c r="M5104" s="94">
        <f>VLOOKUP($Q5104,매칭테이블!$F:$I,2,0)*K5104</f>
        <v/>
      </c>
      <c r="N5104" s="94">
        <f>M5104-M5104*VLOOKUP($Q5104,매칭테이블!$F:$I,3,0)</f>
        <v/>
      </c>
      <c r="O5104" s="94">
        <f>VLOOKUP($Q5104,매칭테이블!$F:$I,4,0)*K5104</f>
        <v/>
      </c>
      <c r="P5104" s="148">
        <f>M5104/1.1</f>
        <v/>
      </c>
      <c r="Q5104" s="94">
        <f>F5104&amp;E5104&amp;G5104&amp;L5104</f>
        <v/>
      </c>
    </row>
    <row r="5105">
      <c r="A5105" s="94" t="n"/>
      <c r="B5105" s="128" t="n">
        <v>43908</v>
      </c>
      <c r="C5105" s="94">
        <f>TEXT(B5105,"aaa")</f>
        <v/>
      </c>
      <c r="D5105" s="94" t="n"/>
      <c r="E5105" s="6" t="inlineStr">
        <is>
          <t>토너</t>
        </is>
      </c>
      <c r="F5105" s="5" t="inlineStr">
        <is>
          <t>W컨셉</t>
        </is>
      </c>
      <c r="G5105" s="5" t="inlineStr">
        <is>
          <t>250ml</t>
        </is>
      </c>
      <c r="H5105" s="7" t="n">
        <v>190801</v>
      </c>
      <c r="I5105" s="7" t="n">
        <v>190801</v>
      </c>
      <c r="J5105" s="94" t="n"/>
      <c r="K5105" s="149" t="n">
        <v>2</v>
      </c>
      <c r="L5105" s="7" t="n">
        <v>190801</v>
      </c>
      <c r="M5105" s="94">
        <f>VLOOKUP($Q5105,매칭테이블!$F:$I,2,0)*K5105</f>
        <v/>
      </c>
      <c r="N5105" s="94">
        <f>M5105-M5105*VLOOKUP($Q5105,매칭테이블!$F:$I,3,0)</f>
        <v/>
      </c>
      <c r="O5105" s="94">
        <f>VLOOKUP($Q5105,매칭테이블!$F:$I,4,0)*K5105</f>
        <v/>
      </c>
      <c r="P5105" s="148">
        <f>M5105/1.1</f>
        <v/>
      </c>
      <c r="Q5105" s="94">
        <f>F5105&amp;E5105&amp;G5105&amp;L5105</f>
        <v/>
      </c>
    </row>
    <row r="5106">
      <c r="A5106" s="94" t="n"/>
      <c r="B5106" s="128" t="n">
        <v>43908</v>
      </c>
      <c r="C5106" s="94">
        <f>TEXT(B5106,"aaa")</f>
        <v/>
      </c>
      <c r="D5106" s="94" t="n"/>
      <c r="E5106" s="6" t="inlineStr">
        <is>
          <t>토너</t>
        </is>
      </c>
      <c r="F5106" s="5" t="inlineStr">
        <is>
          <t>W컨셉</t>
        </is>
      </c>
      <c r="G5106" s="5" t="inlineStr">
        <is>
          <t>250ml 2set</t>
        </is>
      </c>
      <c r="H5106" s="7" t="n">
        <v>190801</v>
      </c>
      <c r="I5106" s="7" t="n">
        <v>190801</v>
      </c>
      <c r="J5106" s="94" t="n"/>
      <c r="K5106" s="149" t="n">
        <v>9</v>
      </c>
      <c r="L5106" s="7" t="n">
        <v>190801</v>
      </c>
      <c r="M5106" s="94">
        <f>VLOOKUP($Q5106,매칭테이블!$F:$I,2,0)*K5106</f>
        <v/>
      </c>
      <c r="N5106" s="94">
        <f>M5106-M5106*VLOOKUP($Q5106,매칭테이블!$F:$I,3,0)</f>
        <v/>
      </c>
      <c r="O5106" s="94">
        <f>VLOOKUP($Q5106,매칭테이블!$F:$I,4,0)*K5106</f>
        <v/>
      </c>
      <c r="P5106" s="148">
        <f>M5106/1.1</f>
        <v/>
      </c>
      <c r="Q5106" s="94">
        <f>F5106&amp;E5106&amp;G5106&amp;L5106</f>
        <v/>
      </c>
    </row>
    <row r="5107">
      <c r="A5107" s="94" t="n"/>
      <c r="B5107" s="128" t="n">
        <v>43908</v>
      </c>
      <c r="C5107" s="94">
        <f>TEXT(B5107,"aaa")</f>
        <v/>
      </c>
      <c r="D5107" s="94" t="n"/>
      <c r="E5107" s="94" t="inlineStr">
        <is>
          <t>토너</t>
        </is>
      </c>
      <c r="F5107" s="5" t="inlineStr">
        <is>
          <t>스타일쉐어</t>
        </is>
      </c>
      <c r="G5107" s="94" t="inlineStr">
        <is>
          <t>250ml</t>
        </is>
      </c>
      <c r="H5107" s="7" t="n">
        <v>190801</v>
      </c>
      <c r="I5107" s="7" t="n">
        <v>190801</v>
      </c>
      <c r="J5107" s="94" t="n"/>
      <c r="K5107" s="149" t="n">
        <v>3</v>
      </c>
      <c r="L5107" s="92" t="n">
        <v>190801</v>
      </c>
      <c r="M5107" s="94">
        <f>VLOOKUP($Q5107,매칭테이블!$F:$I,2,0)*K5107</f>
        <v/>
      </c>
      <c r="N5107" s="94">
        <f>M5107-M5107*VLOOKUP($Q5107,매칭테이블!$F:$I,3,0)</f>
        <v/>
      </c>
      <c r="O5107" s="94">
        <f>VLOOKUP($Q5107,매칭테이블!$F:$I,4,0)*K5107</f>
        <v/>
      </c>
      <c r="P5107" s="148">
        <f>M5107/1.1</f>
        <v/>
      </c>
      <c r="Q5107" s="94">
        <f>F5107&amp;E5107&amp;G5107&amp;L5107</f>
        <v/>
      </c>
    </row>
    <row r="5108">
      <c r="A5108" s="94" t="n"/>
      <c r="B5108" s="128" t="n">
        <v>43908</v>
      </c>
      <c r="C5108" s="94">
        <f>TEXT(B5108,"aaa")</f>
        <v/>
      </c>
      <c r="D5108" s="94" t="n"/>
      <c r="E5108" s="94" t="inlineStr">
        <is>
          <t>머드크림마스크</t>
        </is>
      </c>
      <c r="F5108" s="94" t="inlineStr">
        <is>
          <t>카페24</t>
        </is>
      </c>
      <c r="G5108" s="94" t="inlineStr">
        <is>
          <t>머드크림마스크 100ml</t>
        </is>
      </c>
      <c r="H5108" s="7" t="n">
        <v>190801</v>
      </c>
      <c r="I5108" s="7" t="n">
        <v>190801</v>
      </c>
      <c r="J5108" s="94" t="n"/>
      <c r="K5108" s="149" t="n">
        <v>38</v>
      </c>
      <c r="L5108" s="94" t="n">
        <v>190801</v>
      </c>
      <c r="M5108" s="94">
        <f>VLOOKUP($Q5108,매칭테이블!$F:$I,2,0)*K5108</f>
        <v/>
      </c>
      <c r="N5108" s="94">
        <f>M5108-M5108*VLOOKUP($Q5108,매칭테이블!$F:$I,3,0)</f>
        <v/>
      </c>
      <c r="O5108" s="94">
        <f>VLOOKUP($Q5108,매칭테이블!$F:$I,4,0)*K5108</f>
        <v/>
      </c>
      <c r="P5108" s="148">
        <f>M5108/1.1</f>
        <v/>
      </c>
      <c r="Q5108" s="94">
        <f>F5108&amp;E5108&amp;G5108&amp;L5108</f>
        <v/>
      </c>
    </row>
    <row r="5109">
      <c r="A5109" s="94" t="n"/>
      <c r="B5109" s="128" t="n">
        <v>43908</v>
      </c>
      <c r="C5109" s="94">
        <f>TEXT(B5109,"aaa")</f>
        <v/>
      </c>
      <c r="D5109" s="94" t="n"/>
      <c r="E5109" s="94" t="inlineStr">
        <is>
          <t>머드크림마스크</t>
        </is>
      </c>
      <c r="F5109" s="94" t="inlineStr">
        <is>
          <t>카페24</t>
        </is>
      </c>
      <c r="G5109" s="94" t="inlineStr">
        <is>
          <t>머드크림마스크 100ml 2set</t>
        </is>
      </c>
      <c r="H5109" s="7" t="n">
        <v>190801</v>
      </c>
      <c r="I5109" s="7" t="n">
        <v>190801</v>
      </c>
      <c r="J5109" s="94" t="n"/>
      <c r="K5109" s="149" t="n">
        <v>22</v>
      </c>
      <c r="L5109" s="94" t="n">
        <v>190801</v>
      </c>
      <c r="M5109" s="94">
        <f>VLOOKUP($Q5109,매칭테이블!$F:$I,2,0)*K5109</f>
        <v/>
      </c>
      <c r="N5109" s="94">
        <f>M5109-M5109*VLOOKUP($Q5109,매칭테이블!$F:$I,3,0)</f>
        <v/>
      </c>
      <c r="O5109" s="94">
        <f>VLOOKUP($Q5109,매칭테이블!$F:$I,4,0)*K5109</f>
        <v/>
      </c>
      <c r="P5109" s="148">
        <f>M5109/1.1</f>
        <v/>
      </c>
      <c r="Q5109" s="94">
        <f>F5109&amp;E5109&amp;G5109&amp;L5109</f>
        <v/>
      </c>
    </row>
    <row r="5110">
      <c r="A5110" s="94" t="n"/>
      <c r="B5110" s="128" t="n">
        <v>43908</v>
      </c>
      <c r="C5110" s="94">
        <f>TEXT(B5110,"aaa")</f>
        <v/>
      </c>
      <c r="D5110" s="94" t="n"/>
      <c r="E5110" s="6" t="inlineStr">
        <is>
          <t>토너</t>
        </is>
      </c>
      <c r="F5110" s="5" t="inlineStr">
        <is>
          <t>카페24</t>
        </is>
      </c>
      <c r="G5110" s="5" t="inlineStr">
        <is>
          <t>250ml</t>
        </is>
      </c>
      <c r="H5110" s="7" t="n">
        <v>190801</v>
      </c>
      <c r="I5110" s="7" t="n">
        <v>190801</v>
      </c>
      <c r="J5110" s="94" t="n"/>
      <c r="K5110" s="149" t="n">
        <v>61</v>
      </c>
      <c r="L5110" s="7" t="n">
        <v>190801</v>
      </c>
      <c r="M5110" s="94">
        <f>VLOOKUP($Q5110,매칭테이블!$F:$I,2,0)*K5110</f>
        <v/>
      </c>
      <c r="N5110" s="94">
        <f>M5110-M5110*VLOOKUP($Q5110,매칭테이블!$F:$I,3,0)</f>
        <v/>
      </c>
      <c r="O5110" s="94">
        <f>VLOOKUP($Q5110,매칭테이블!$F:$I,4,0)*K5110</f>
        <v/>
      </c>
      <c r="P5110" s="148">
        <f>M5110/1.1</f>
        <v/>
      </c>
      <c r="Q5110" s="94">
        <f>F5110&amp;E5110&amp;G5110&amp;L5110</f>
        <v/>
      </c>
    </row>
    <row r="5111">
      <c r="A5111" s="94" t="n"/>
      <c r="B5111" s="128" t="n">
        <v>43908</v>
      </c>
      <c r="C5111" s="94">
        <f>TEXT(B5111,"aaa")</f>
        <v/>
      </c>
      <c r="D5111" s="94" t="n"/>
      <c r="E5111" s="6" t="inlineStr">
        <is>
          <t>토너</t>
        </is>
      </c>
      <c r="F5111" s="5" t="inlineStr">
        <is>
          <t>카페24</t>
        </is>
      </c>
      <c r="G5111" s="5" t="inlineStr">
        <is>
          <t>250ml 2set</t>
        </is>
      </c>
      <c r="H5111" s="7" t="n">
        <v>190801</v>
      </c>
      <c r="I5111" s="7" t="n">
        <v>190801</v>
      </c>
      <c r="J5111" s="94" t="n"/>
      <c r="K5111" s="149" t="n">
        <v>38</v>
      </c>
      <c r="L5111" s="7" t="n">
        <v>190801</v>
      </c>
      <c r="M5111" s="94">
        <f>VLOOKUP($Q5111,매칭테이블!$F:$I,2,0)*K5111</f>
        <v/>
      </c>
      <c r="N5111" s="94">
        <f>M5111-M5111*VLOOKUP($Q5111,매칭테이블!$F:$I,3,0)</f>
        <v/>
      </c>
      <c r="O5111" s="94">
        <f>VLOOKUP($Q5111,매칭테이블!$F:$I,4,0)*K5111</f>
        <v/>
      </c>
      <c r="P5111" s="148">
        <f>M5111/1.1</f>
        <v/>
      </c>
      <c r="Q5111" s="94">
        <f>F5111&amp;E5111&amp;G5111&amp;L5111</f>
        <v/>
      </c>
    </row>
    <row r="5112">
      <c r="A5112" s="94" t="n"/>
      <c r="B5112" s="128" t="n">
        <v>43908</v>
      </c>
      <c r="C5112" s="94">
        <f>TEXT(B5112,"aaa")</f>
        <v/>
      </c>
      <c r="D5112" s="94" t="n"/>
      <c r="E5112" s="6" t="inlineStr">
        <is>
          <t>토너</t>
        </is>
      </c>
      <c r="F5112" s="5" t="inlineStr">
        <is>
          <t>카페24</t>
        </is>
      </c>
      <c r="G5112" s="5" t="inlineStr">
        <is>
          <t>500ml</t>
        </is>
      </c>
      <c r="H5112" s="7" t="n">
        <v>190801</v>
      </c>
      <c r="I5112" s="7" t="n">
        <v>190801</v>
      </c>
      <c r="J5112" s="94" t="n"/>
      <c r="K5112" s="149" t="n">
        <v>75</v>
      </c>
      <c r="L5112" s="7" t="n">
        <v>190801</v>
      </c>
      <c r="M5112" s="94">
        <f>VLOOKUP($Q5112,매칭테이블!$F:$I,2,0)*K5112</f>
        <v/>
      </c>
      <c r="N5112" s="94">
        <f>M5112-M5112*VLOOKUP($Q5112,매칭테이블!$F:$I,3,0)</f>
        <v/>
      </c>
      <c r="O5112" s="94">
        <f>VLOOKUP($Q5112,매칭테이블!$F:$I,4,0)*K5112</f>
        <v/>
      </c>
      <c r="P5112" s="148">
        <f>M5112/1.1</f>
        <v/>
      </c>
      <c r="Q5112" s="94">
        <f>F5112&amp;E5112&amp;G5112&amp;L5112</f>
        <v/>
      </c>
    </row>
    <row r="5113">
      <c r="A5113" s="94" t="n"/>
      <c r="B5113" s="128" t="n">
        <v>43908</v>
      </c>
      <c r="C5113" s="94">
        <f>TEXT(B5113,"aaa")</f>
        <v/>
      </c>
      <c r="D5113" s="94" t="n"/>
      <c r="E5113" s="6" t="inlineStr">
        <is>
          <t>토너</t>
        </is>
      </c>
      <c r="F5113" s="5" t="inlineStr">
        <is>
          <t>카페24</t>
        </is>
      </c>
      <c r="G5113" s="94" t="inlineStr">
        <is>
          <t>스킨팩 화장솜 60P</t>
        </is>
      </c>
      <c r="H5113" s="7" t="n">
        <v>190801</v>
      </c>
      <c r="I5113" s="7" t="n">
        <v>190801</v>
      </c>
      <c r="J5113" s="94" t="n"/>
      <c r="K5113" s="149" t="n">
        <v>68</v>
      </c>
      <c r="L5113" s="7" t="n">
        <v>190801</v>
      </c>
      <c r="M5113" s="94">
        <f>VLOOKUP($Q5113,매칭테이블!$F:$I,2,0)*K5113</f>
        <v/>
      </c>
      <c r="N5113" s="94">
        <f>M5113-M5113*VLOOKUP($Q5113,매칭테이블!$F:$I,3,0)</f>
        <v/>
      </c>
      <c r="O5113" s="94">
        <f>VLOOKUP($Q5113,매칭테이블!$F:$I,4,0)*K5113</f>
        <v/>
      </c>
      <c r="P5113" s="148">
        <f>M5113/1.1</f>
        <v/>
      </c>
      <c r="Q5113" s="94">
        <f>F5113&amp;E5113&amp;G5113&amp;L5113</f>
        <v/>
      </c>
    </row>
    <row r="5114">
      <c r="A5114" s="94" t="n"/>
      <c r="B5114" s="128" t="n">
        <v>43908</v>
      </c>
      <c r="C5114" s="94">
        <f>TEXT(B5114,"aaa")</f>
        <v/>
      </c>
      <c r="D5114" s="94" t="n"/>
      <c r="E5114" s="94" t="inlineStr">
        <is>
          <t>클렌징폼</t>
        </is>
      </c>
      <c r="F5114" s="5" t="inlineStr">
        <is>
          <t>카페24</t>
        </is>
      </c>
      <c r="G5114" s="94" t="inlineStr">
        <is>
          <t>클렌징폼 120ml</t>
        </is>
      </c>
      <c r="H5114" s="7" t="n">
        <v>190801</v>
      </c>
      <c r="I5114" s="7" t="n">
        <v>190801</v>
      </c>
      <c r="J5114" s="94" t="n"/>
      <c r="K5114" s="149" t="n">
        <v>16</v>
      </c>
      <c r="L5114" s="7" t="n">
        <v>190801</v>
      </c>
      <c r="M5114" s="94">
        <f>VLOOKUP($Q5114,매칭테이블!$F:$I,2,0)*K5114</f>
        <v/>
      </c>
      <c r="N5114" s="94">
        <f>M5114-M5114*VLOOKUP($Q5114,매칭테이블!$F:$I,3,0)</f>
        <v/>
      </c>
      <c r="O5114" s="94">
        <f>VLOOKUP($Q5114,매칭테이블!$F:$I,4,0)*K5114</f>
        <v/>
      </c>
      <c r="P5114" s="148">
        <f>M5114/1.1</f>
        <v/>
      </c>
      <c r="Q5114" s="94">
        <f>F5114&amp;E5114&amp;G5114&amp;L5114</f>
        <v/>
      </c>
    </row>
    <row r="5115">
      <c r="A5115" s="94" t="n"/>
      <c r="B5115" s="128" t="n">
        <v>43908</v>
      </c>
      <c r="C5115" s="94">
        <f>TEXT(B5115,"aaa")</f>
        <v/>
      </c>
      <c r="D5115" s="94" t="n"/>
      <c r="E5115" s="94" t="inlineStr">
        <is>
          <t>클렌징폼</t>
        </is>
      </c>
      <c r="F5115" s="94" t="inlineStr">
        <is>
          <t>카페24</t>
        </is>
      </c>
      <c r="G5115" s="94" t="inlineStr">
        <is>
          <t>클렌징폼 120ml 2set</t>
        </is>
      </c>
      <c r="H5115" s="7" t="n">
        <v>190801</v>
      </c>
      <c r="I5115" s="7" t="n">
        <v>190801</v>
      </c>
      <c r="J5115" s="94" t="n"/>
      <c r="K5115" s="149" t="n">
        <v>1</v>
      </c>
      <c r="L5115" s="7" t="n">
        <v>190801</v>
      </c>
      <c r="M5115" s="94">
        <f>VLOOKUP($Q5115,매칭테이블!$F:$I,2,0)*K5115</f>
        <v/>
      </c>
      <c r="N5115" s="94">
        <f>M5115-M5115*VLOOKUP($Q5115,매칭테이블!$F:$I,3,0)</f>
        <v/>
      </c>
      <c r="O5115" s="94">
        <f>VLOOKUP($Q5115,매칭테이블!$F:$I,4,0)*K5115</f>
        <v/>
      </c>
      <c r="P5115" s="148">
        <f>M5115/1.1</f>
        <v/>
      </c>
      <c r="Q5115" s="94">
        <f>F5115&amp;E5115&amp;G5115&amp;L5115</f>
        <v/>
      </c>
    </row>
    <row r="5116">
      <c r="A5116" s="94" t="n"/>
      <c r="B5116" s="128" t="n">
        <v>43908</v>
      </c>
      <c r="C5116" s="94">
        <f>TEXT(B5116,"aaa")</f>
        <v/>
      </c>
      <c r="D5116" s="94" t="n"/>
      <c r="E5116" s="94" t="inlineStr">
        <is>
          <t>클렌징폼</t>
        </is>
      </c>
      <c r="F5116" s="94" t="inlineStr">
        <is>
          <t>카페24</t>
        </is>
      </c>
      <c r="G5116" s="94" t="inlineStr">
        <is>
          <t>클렌징폼 120ml 3set</t>
        </is>
      </c>
      <c r="H5116" s="7" t="n">
        <v>190801</v>
      </c>
      <c r="I5116" s="7" t="n">
        <v>190801</v>
      </c>
      <c r="J5116" s="94" t="n"/>
      <c r="K5116" s="149" t="n">
        <v>1</v>
      </c>
      <c r="L5116" s="7" t="n">
        <v>190801</v>
      </c>
      <c r="M5116" s="94">
        <f>VLOOKUP($Q5116,매칭테이블!$F:$I,2,0)*K5116</f>
        <v/>
      </c>
      <c r="N5116" s="94">
        <f>M5116-M5116*VLOOKUP($Q5116,매칭테이블!$F:$I,3,0)</f>
        <v/>
      </c>
      <c r="O5116" s="94">
        <f>VLOOKUP($Q5116,매칭테이블!$F:$I,4,0)*K5116</f>
        <v/>
      </c>
      <c r="P5116" s="148">
        <f>M5116/1.1</f>
        <v/>
      </c>
      <c r="Q5116" s="94">
        <f>F5116&amp;E5116&amp;G5116&amp;L5116</f>
        <v/>
      </c>
    </row>
    <row r="5117">
      <c r="A5117" s="94" t="n"/>
      <c r="B5117" s="128" t="n">
        <v>43908</v>
      </c>
      <c r="C5117" s="94">
        <f>TEXT(B5117,"aaa")</f>
        <v/>
      </c>
      <c r="D5117" s="94" t="n"/>
      <c r="E5117" s="94" t="inlineStr">
        <is>
          <t>마스크팩</t>
        </is>
      </c>
      <c r="F5117" s="94" t="inlineStr">
        <is>
          <t>카페24</t>
        </is>
      </c>
      <c r="G5117" s="94" t="inlineStr">
        <is>
          <t>마스크팩 1매</t>
        </is>
      </c>
      <c r="H5117" s="7" t="n">
        <v>190801</v>
      </c>
      <c r="I5117" s="7" t="n">
        <v>190801</v>
      </c>
      <c r="J5117" s="94" t="n"/>
      <c r="K5117" s="149" t="n">
        <v>8</v>
      </c>
      <c r="L5117" s="94" t="n">
        <v>190801</v>
      </c>
      <c r="M5117" s="94">
        <f>VLOOKUP($Q5117,매칭테이블!$F:$I,2,0)*K5117</f>
        <v/>
      </c>
      <c r="N5117" s="94">
        <f>M5117-M5117*VLOOKUP($Q5117,매칭테이블!$F:$I,3,0)</f>
        <v/>
      </c>
      <c r="O5117" s="94">
        <f>VLOOKUP($Q5117,매칭테이블!$F:$I,4,0)*K5117</f>
        <v/>
      </c>
      <c r="P5117" s="148">
        <f>M5117/1.1</f>
        <v/>
      </c>
      <c r="Q5117" s="94">
        <f>F5117&amp;E5117&amp;G5117&amp;L5117</f>
        <v/>
      </c>
    </row>
    <row r="5118">
      <c r="A5118" s="94" t="n"/>
      <c r="B5118" s="128" t="n">
        <v>43908</v>
      </c>
      <c r="C5118" s="94">
        <f>TEXT(B5118,"aaa")</f>
        <v/>
      </c>
      <c r="D5118" s="94" t="n"/>
      <c r="E5118" s="94" t="inlineStr">
        <is>
          <t>마스크팩</t>
        </is>
      </c>
      <c r="F5118" s="94" t="inlineStr">
        <is>
          <t>카페24</t>
        </is>
      </c>
      <c r="G5118" s="94" t="inlineStr">
        <is>
          <t>마스크팩 10매</t>
        </is>
      </c>
      <c r="H5118" s="7" t="n">
        <v>190801</v>
      </c>
      <c r="I5118" s="7" t="n">
        <v>190801</v>
      </c>
      <c r="J5118" s="94" t="n"/>
      <c r="K5118" s="149" t="n">
        <v>10</v>
      </c>
      <c r="L5118" s="94" t="n">
        <v>190801</v>
      </c>
      <c r="M5118" s="94">
        <f>VLOOKUP($Q5118,매칭테이블!$F:$I,2,0)*K5118</f>
        <v/>
      </c>
      <c r="N5118" s="94">
        <f>M5118-M5118*VLOOKUP($Q5118,매칭테이블!$F:$I,3,0)</f>
        <v/>
      </c>
      <c r="O5118" s="94">
        <f>VLOOKUP($Q5118,매칭테이블!$F:$I,4,0)*K5118</f>
        <v/>
      </c>
      <c r="P5118" s="148">
        <f>M5118/1.1</f>
        <v/>
      </c>
      <c r="Q5118" s="94">
        <f>F5118&amp;E5118&amp;G5118&amp;L5118</f>
        <v/>
      </c>
    </row>
    <row r="5119">
      <c r="A5119" s="94" t="n"/>
      <c r="B5119" s="128" t="n">
        <v>43908</v>
      </c>
      <c r="C5119" s="94">
        <f>TEXT(B5119,"aaa")</f>
        <v/>
      </c>
      <c r="D5119" s="94" t="n"/>
      <c r="E5119" s="94" t="inlineStr">
        <is>
          <t>토너</t>
        </is>
      </c>
      <c r="F5119" s="94" t="inlineStr">
        <is>
          <t>큐텐</t>
        </is>
      </c>
      <c r="G5119" s="94" t="inlineStr">
        <is>
          <t>250ml</t>
        </is>
      </c>
      <c r="H5119" s="7" t="n">
        <v>190801</v>
      </c>
      <c r="I5119" s="7" t="n">
        <v>190801</v>
      </c>
      <c r="J5119" s="94" t="n"/>
      <c r="K5119" s="149" t="n">
        <v>13</v>
      </c>
      <c r="L5119" s="92" t="n">
        <v>190801</v>
      </c>
      <c r="M5119" s="94">
        <f>VLOOKUP($Q5119,매칭테이블!$F:$I,2,0)*K5119</f>
        <v/>
      </c>
      <c r="N5119" s="94">
        <f>M5119-M5119*VLOOKUP($Q5119,매칭테이블!$F:$I,3,0)</f>
        <v/>
      </c>
      <c r="O5119" s="94">
        <f>VLOOKUP($Q5119,매칭테이블!$F:$I,4,0)*K5119</f>
        <v/>
      </c>
      <c r="P5119" s="148">
        <f>M5119/1.1</f>
        <v/>
      </c>
      <c r="Q5119" s="94">
        <f>F5119&amp;E5119&amp;G5119&amp;L5119</f>
        <v/>
      </c>
    </row>
    <row r="5120">
      <c r="A5120" s="94" t="n"/>
      <c r="B5120" s="128" t="n">
        <v>43908</v>
      </c>
      <c r="C5120" s="94">
        <f>TEXT(B5120,"aaa")</f>
        <v/>
      </c>
      <c r="D5120" s="94" t="n"/>
      <c r="E5120" s="94" t="inlineStr">
        <is>
          <t>토너</t>
        </is>
      </c>
      <c r="F5120" s="94" t="inlineStr">
        <is>
          <t>큐텐</t>
        </is>
      </c>
      <c r="G5120" s="94" t="inlineStr">
        <is>
          <t>250ml 2set</t>
        </is>
      </c>
      <c r="H5120" s="7" t="n">
        <v>190801</v>
      </c>
      <c r="I5120" s="7" t="n">
        <v>190801</v>
      </c>
      <c r="J5120" s="94" t="n"/>
      <c r="K5120" s="149" t="n">
        <v>5</v>
      </c>
      <c r="L5120" s="92" t="n">
        <v>190801</v>
      </c>
      <c r="M5120" s="94">
        <f>VLOOKUP($Q5120,매칭테이블!$F:$I,2,0)*K5120</f>
        <v/>
      </c>
      <c r="N5120" s="94">
        <f>M5120-M5120*VLOOKUP($Q5120,매칭테이블!$F:$I,3,0)</f>
        <v/>
      </c>
      <c r="O5120" s="94">
        <f>VLOOKUP($Q5120,매칭테이블!$F:$I,4,0)*K5120</f>
        <v/>
      </c>
      <c r="P5120" s="148">
        <f>M5120/1.1</f>
        <v/>
      </c>
      <c r="Q5120" s="94">
        <f>F5120&amp;E5120&amp;G5120&amp;L5120</f>
        <v/>
      </c>
    </row>
    <row r="5121">
      <c r="A5121" s="94" t="n"/>
      <c r="B5121" s="128" t="n">
        <v>43909</v>
      </c>
      <c r="C5121" s="94">
        <f>TEXT(B5121,"aaa")</f>
        <v/>
      </c>
      <c r="D5121" s="94" t="n"/>
      <c r="E5121" s="6" t="inlineStr">
        <is>
          <t>토너</t>
        </is>
      </c>
      <c r="F5121" s="5" t="inlineStr">
        <is>
          <t>W컨셉</t>
        </is>
      </c>
      <c r="G5121" s="5" t="inlineStr">
        <is>
          <t>250ml</t>
        </is>
      </c>
      <c r="H5121" s="7" t="n">
        <v>190801</v>
      </c>
      <c r="I5121" s="7" t="n">
        <v>190801</v>
      </c>
      <c r="J5121" s="94" t="n"/>
      <c r="K5121" s="149" t="n">
        <v>1</v>
      </c>
      <c r="L5121" s="7" t="n">
        <v>190801</v>
      </c>
      <c r="M5121" s="94">
        <f>VLOOKUP($Q5121,매칭테이블!$F:$I,2,0)*K5121</f>
        <v/>
      </c>
      <c r="N5121" s="94">
        <f>M5121-M5121*VLOOKUP($Q5121,매칭테이블!$F:$I,3,0)</f>
        <v/>
      </c>
      <c r="O5121" s="94">
        <f>VLOOKUP($Q5121,매칭테이블!$F:$I,4,0)*K5121</f>
        <v/>
      </c>
      <c r="P5121" s="148">
        <f>M5121/1.1</f>
        <v/>
      </c>
      <c r="Q5121" s="94">
        <f>F5121&amp;E5121&amp;G5121&amp;L5121</f>
        <v/>
      </c>
    </row>
    <row r="5122">
      <c r="A5122" s="94" t="n"/>
      <c r="B5122" s="128" t="n">
        <v>43909</v>
      </c>
      <c r="C5122" s="94">
        <f>TEXT(B5122,"aaa")</f>
        <v/>
      </c>
      <c r="D5122" s="94" t="n"/>
      <c r="E5122" s="6" t="inlineStr">
        <is>
          <t>토너</t>
        </is>
      </c>
      <c r="F5122" s="5" t="inlineStr">
        <is>
          <t>W컨셉</t>
        </is>
      </c>
      <c r="G5122" s="5" t="inlineStr">
        <is>
          <t>250ml 2set</t>
        </is>
      </c>
      <c r="H5122" s="7" t="n">
        <v>190801</v>
      </c>
      <c r="I5122" s="7" t="n">
        <v>190801</v>
      </c>
      <c r="J5122" s="94" t="n"/>
      <c r="K5122" s="149" t="n">
        <v>6</v>
      </c>
      <c r="L5122" s="7" t="n">
        <v>190801</v>
      </c>
      <c r="M5122" s="94">
        <f>VLOOKUP($Q5122,매칭테이블!$F:$I,2,0)*K5122</f>
        <v/>
      </c>
      <c r="N5122" s="94">
        <f>M5122-M5122*VLOOKUP($Q5122,매칭테이블!$F:$I,3,0)</f>
        <v/>
      </c>
      <c r="O5122" s="94">
        <f>VLOOKUP($Q5122,매칭테이블!$F:$I,4,0)*K5122</f>
        <v/>
      </c>
      <c r="P5122" s="148">
        <f>M5122/1.1</f>
        <v/>
      </c>
      <c r="Q5122" s="94">
        <f>F5122&amp;E5122&amp;G5122&amp;L5122</f>
        <v/>
      </c>
    </row>
    <row r="5123">
      <c r="A5123" s="94" t="n"/>
      <c r="B5123" s="128" t="n">
        <v>43909</v>
      </c>
      <c r="C5123" s="94">
        <f>TEXT(B5123,"aaa")</f>
        <v/>
      </c>
      <c r="D5123" s="94" t="n"/>
      <c r="E5123" s="94" t="inlineStr">
        <is>
          <t>토너</t>
        </is>
      </c>
      <c r="F5123" s="5" t="inlineStr">
        <is>
          <t>스타일쉐어</t>
        </is>
      </c>
      <c r="G5123" s="94" t="inlineStr">
        <is>
          <t>250ml</t>
        </is>
      </c>
      <c r="H5123" s="7" t="n">
        <v>190801</v>
      </c>
      <c r="I5123" s="7" t="n">
        <v>190801</v>
      </c>
      <c r="J5123" s="94" t="n"/>
      <c r="K5123" s="149" t="n">
        <v>8</v>
      </c>
      <c r="L5123" s="92" t="n">
        <v>190801</v>
      </c>
      <c r="M5123" s="94">
        <f>VLOOKUP($Q5123,매칭테이블!$F:$I,2,0)*K5123</f>
        <v/>
      </c>
      <c r="N5123" s="94">
        <f>M5123-M5123*VLOOKUP($Q5123,매칭테이블!$F:$I,3,0)</f>
        <v/>
      </c>
      <c r="O5123" s="94">
        <f>VLOOKUP($Q5123,매칭테이블!$F:$I,4,0)*K5123</f>
        <v/>
      </c>
      <c r="P5123" s="148">
        <f>M5123/1.1</f>
        <v/>
      </c>
      <c r="Q5123" s="94">
        <f>F5123&amp;E5123&amp;G5123&amp;L5123</f>
        <v/>
      </c>
    </row>
    <row r="5124">
      <c r="A5124" s="94" t="n"/>
      <c r="B5124" s="128" t="n">
        <v>43909</v>
      </c>
      <c r="C5124" s="94">
        <f>TEXT(B5124,"aaa")</f>
        <v/>
      </c>
      <c r="D5124" s="94" t="n"/>
      <c r="E5124" s="94" t="inlineStr">
        <is>
          <t>머드크림마스크</t>
        </is>
      </c>
      <c r="F5124" s="94" t="inlineStr">
        <is>
          <t>카페24</t>
        </is>
      </c>
      <c r="G5124" s="94" t="inlineStr">
        <is>
          <t>머드크림마스크 100ml</t>
        </is>
      </c>
      <c r="H5124" s="7" t="n">
        <v>190801</v>
      </c>
      <c r="I5124" s="7" t="n">
        <v>190801</v>
      </c>
      <c r="J5124" s="94" t="n"/>
      <c r="K5124" s="149" t="n">
        <v>51</v>
      </c>
      <c r="L5124" s="94" t="n">
        <v>190801</v>
      </c>
      <c r="M5124" s="94">
        <f>VLOOKUP($Q5124,매칭테이블!$F:$I,2,0)*K5124</f>
        <v/>
      </c>
      <c r="N5124" s="94">
        <f>M5124-M5124*VLOOKUP($Q5124,매칭테이블!$F:$I,3,0)</f>
        <v/>
      </c>
      <c r="O5124" s="94">
        <f>VLOOKUP($Q5124,매칭테이블!$F:$I,4,0)*K5124</f>
        <v/>
      </c>
      <c r="P5124" s="148">
        <f>M5124/1.1</f>
        <v/>
      </c>
      <c r="Q5124" s="94">
        <f>F5124&amp;E5124&amp;G5124&amp;L5124</f>
        <v/>
      </c>
    </row>
    <row r="5125">
      <c r="A5125" s="94" t="n"/>
      <c r="B5125" s="128" t="n">
        <v>43909</v>
      </c>
      <c r="C5125" s="94">
        <f>TEXT(B5125,"aaa")</f>
        <v/>
      </c>
      <c r="D5125" s="94" t="n"/>
      <c r="E5125" s="94" t="inlineStr">
        <is>
          <t>머드크림마스크</t>
        </is>
      </c>
      <c r="F5125" s="94" t="inlineStr">
        <is>
          <t>카페24</t>
        </is>
      </c>
      <c r="G5125" s="94" t="inlineStr">
        <is>
          <t>머드크림마스크 100ml 2set</t>
        </is>
      </c>
      <c r="H5125" s="7" t="n">
        <v>190801</v>
      </c>
      <c r="I5125" s="7" t="n">
        <v>190801</v>
      </c>
      <c r="J5125" s="94" t="n"/>
      <c r="K5125" s="149" t="n">
        <v>24</v>
      </c>
      <c r="L5125" s="94" t="n">
        <v>190801</v>
      </c>
      <c r="M5125" s="94">
        <f>VLOOKUP($Q5125,매칭테이블!$F:$I,2,0)*K5125</f>
        <v/>
      </c>
      <c r="N5125" s="94">
        <f>M5125-M5125*VLOOKUP($Q5125,매칭테이블!$F:$I,3,0)</f>
        <v/>
      </c>
      <c r="O5125" s="94">
        <f>VLOOKUP($Q5125,매칭테이블!$F:$I,4,0)*K5125</f>
        <v/>
      </c>
      <c r="P5125" s="148">
        <f>M5125/1.1</f>
        <v/>
      </c>
      <c r="Q5125" s="94">
        <f>F5125&amp;E5125&amp;G5125&amp;L5125</f>
        <v/>
      </c>
    </row>
    <row r="5126">
      <c r="A5126" s="94" t="n"/>
      <c r="B5126" s="128" t="n">
        <v>43909</v>
      </c>
      <c r="C5126" s="94">
        <f>TEXT(B5126,"aaa")</f>
        <v/>
      </c>
      <c r="D5126" s="94" t="n"/>
      <c r="E5126" s="6" t="inlineStr">
        <is>
          <t>토너</t>
        </is>
      </c>
      <c r="F5126" s="5" t="inlineStr">
        <is>
          <t>카페24</t>
        </is>
      </c>
      <c r="G5126" s="5" t="inlineStr">
        <is>
          <t>250ml</t>
        </is>
      </c>
      <c r="H5126" s="7" t="n">
        <v>190801</v>
      </c>
      <c r="I5126" s="7" t="n">
        <v>190801</v>
      </c>
      <c r="J5126" s="94" t="n"/>
      <c r="K5126" s="149" t="n">
        <v>73</v>
      </c>
      <c r="L5126" s="7" t="n">
        <v>190801</v>
      </c>
      <c r="M5126" s="94">
        <f>VLOOKUP($Q5126,매칭테이블!$F:$I,2,0)*K5126</f>
        <v/>
      </c>
      <c r="N5126" s="94">
        <f>M5126-M5126*VLOOKUP($Q5126,매칭테이블!$F:$I,3,0)</f>
        <v/>
      </c>
      <c r="O5126" s="94">
        <f>VLOOKUP($Q5126,매칭테이블!$F:$I,4,0)*K5126</f>
        <v/>
      </c>
      <c r="P5126" s="148">
        <f>M5126/1.1</f>
        <v/>
      </c>
      <c r="Q5126" s="94">
        <f>F5126&amp;E5126&amp;G5126&amp;L5126</f>
        <v/>
      </c>
    </row>
    <row r="5127">
      <c r="A5127" s="94" t="n"/>
      <c r="B5127" s="128" t="n">
        <v>43909</v>
      </c>
      <c r="C5127" s="94">
        <f>TEXT(B5127,"aaa")</f>
        <v/>
      </c>
      <c r="D5127" s="94" t="n"/>
      <c r="E5127" s="6" t="inlineStr">
        <is>
          <t>토너</t>
        </is>
      </c>
      <c r="F5127" s="5" t="inlineStr">
        <is>
          <t>카페24</t>
        </is>
      </c>
      <c r="G5127" s="5" t="inlineStr">
        <is>
          <t>250ml 2set</t>
        </is>
      </c>
      <c r="H5127" s="7" t="n">
        <v>190801</v>
      </c>
      <c r="I5127" s="7" t="n">
        <v>190801</v>
      </c>
      <c r="J5127" s="94" t="n"/>
      <c r="K5127" s="149" t="n">
        <v>55</v>
      </c>
      <c r="L5127" s="7" t="n">
        <v>190801</v>
      </c>
      <c r="M5127" s="94">
        <f>VLOOKUP($Q5127,매칭테이블!$F:$I,2,0)*K5127</f>
        <v/>
      </c>
      <c r="N5127" s="94">
        <f>M5127-M5127*VLOOKUP($Q5127,매칭테이블!$F:$I,3,0)</f>
        <v/>
      </c>
      <c r="O5127" s="94">
        <f>VLOOKUP($Q5127,매칭테이블!$F:$I,4,0)*K5127</f>
        <v/>
      </c>
      <c r="P5127" s="148">
        <f>M5127/1.1</f>
        <v/>
      </c>
      <c r="Q5127" s="94">
        <f>F5127&amp;E5127&amp;G5127&amp;L5127</f>
        <v/>
      </c>
    </row>
    <row r="5128">
      <c r="A5128" s="94" t="n"/>
      <c r="B5128" s="128" t="n">
        <v>43909</v>
      </c>
      <c r="C5128" s="94">
        <f>TEXT(B5128,"aaa")</f>
        <v/>
      </c>
      <c r="D5128" s="94" t="n"/>
      <c r="E5128" s="6" t="inlineStr">
        <is>
          <t>토너</t>
        </is>
      </c>
      <c r="F5128" s="5" t="inlineStr">
        <is>
          <t>카페24</t>
        </is>
      </c>
      <c r="G5128" s="5" t="inlineStr">
        <is>
          <t>500ml</t>
        </is>
      </c>
      <c r="H5128" s="7" t="n">
        <v>190801</v>
      </c>
      <c r="I5128" s="7" t="n">
        <v>190801</v>
      </c>
      <c r="J5128" s="94" t="n"/>
      <c r="K5128" s="149" t="n">
        <v>79</v>
      </c>
      <c r="L5128" s="7" t="n">
        <v>190801</v>
      </c>
      <c r="M5128" s="94">
        <f>VLOOKUP($Q5128,매칭테이블!$F:$I,2,0)*K5128</f>
        <v/>
      </c>
      <c r="N5128" s="94">
        <f>M5128-M5128*VLOOKUP($Q5128,매칭테이블!$F:$I,3,0)</f>
        <v/>
      </c>
      <c r="O5128" s="94">
        <f>VLOOKUP($Q5128,매칭테이블!$F:$I,4,0)*K5128</f>
        <v/>
      </c>
      <c r="P5128" s="148">
        <f>M5128/1.1</f>
        <v/>
      </c>
      <c r="Q5128" s="94">
        <f>F5128&amp;E5128&amp;G5128&amp;L5128</f>
        <v/>
      </c>
    </row>
    <row r="5129">
      <c r="A5129" s="94" t="n"/>
      <c r="B5129" s="128" t="n">
        <v>43909</v>
      </c>
      <c r="C5129" s="94">
        <f>TEXT(B5129,"aaa")</f>
        <v/>
      </c>
      <c r="D5129" s="94" t="n"/>
      <c r="E5129" s="6" t="inlineStr">
        <is>
          <t>토너</t>
        </is>
      </c>
      <c r="F5129" s="5" t="inlineStr">
        <is>
          <t>카페24</t>
        </is>
      </c>
      <c r="G5129" s="94" t="inlineStr">
        <is>
          <t>스킨팩 화장솜 60P</t>
        </is>
      </c>
      <c r="H5129" s="7" t="n">
        <v>190801</v>
      </c>
      <c r="I5129" s="7" t="n">
        <v>190801</v>
      </c>
      <c r="J5129" s="94" t="n"/>
      <c r="K5129" s="149" t="n">
        <v>93</v>
      </c>
      <c r="L5129" s="7" t="n">
        <v>190801</v>
      </c>
      <c r="M5129" s="94">
        <f>VLOOKUP($Q5129,매칭테이블!$F:$I,2,0)*K5129</f>
        <v/>
      </c>
      <c r="N5129" s="94">
        <f>M5129-M5129*VLOOKUP($Q5129,매칭테이블!$F:$I,3,0)</f>
        <v/>
      </c>
      <c r="O5129" s="94">
        <f>VLOOKUP($Q5129,매칭테이블!$F:$I,4,0)*K5129</f>
        <v/>
      </c>
      <c r="P5129" s="148">
        <f>M5129/1.1</f>
        <v/>
      </c>
      <c r="Q5129" s="94">
        <f>F5129&amp;E5129&amp;G5129&amp;L5129</f>
        <v/>
      </c>
    </row>
    <row r="5130">
      <c r="A5130" s="94" t="n"/>
      <c r="B5130" s="128" t="n">
        <v>43909</v>
      </c>
      <c r="C5130" s="94">
        <f>TEXT(B5130,"aaa")</f>
        <v/>
      </c>
      <c r="D5130" s="94" t="n"/>
      <c r="E5130" s="94" t="inlineStr">
        <is>
          <t>클렌징폼</t>
        </is>
      </c>
      <c r="F5130" s="5" t="inlineStr">
        <is>
          <t>카페24</t>
        </is>
      </c>
      <c r="G5130" s="94" t="inlineStr">
        <is>
          <t>클렌징폼 120ml</t>
        </is>
      </c>
      <c r="H5130" s="7" t="n">
        <v>190801</v>
      </c>
      <c r="I5130" s="7" t="n">
        <v>190801</v>
      </c>
      <c r="J5130" s="94" t="n"/>
      <c r="K5130" s="149" t="n">
        <v>21</v>
      </c>
      <c r="L5130" s="7" t="n">
        <v>190801</v>
      </c>
      <c r="M5130" s="94">
        <f>VLOOKUP($Q5130,매칭테이블!$F:$I,2,0)*K5130</f>
        <v/>
      </c>
      <c r="N5130" s="94">
        <f>M5130-M5130*VLOOKUP($Q5130,매칭테이블!$F:$I,3,0)</f>
        <v/>
      </c>
      <c r="O5130" s="94">
        <f>VLOOKUP($Q5130,매칭테이블!$F:$I,4,0)*K5130</f>
        <v/>
      </c>
      <c r="P5130" s="148">
        <f>M5130/1.1</f>
        <v/>
      </c>
      <c r="Q5130" s="94">
        <f>F5130&amp;E5130&amp;G5130&amp;L5130</f>
        <v/>
      </c>
    </row>
    <row r="5131">
      <c r="A5131" s="94" t="n"/>
      <c r="B5131" s="128" t="n">
        <v>43909</v>
      </c>
      <c r="C5131" s="94">
        <f>TEXT(B5131,"aaa")</f>
        <v/>
      </c>
      <c r="D5131" s="94" t="n"/>
      <c r="E5131" s="94" t="inlineStr">
        <is>
          <t>클렌징폼</t>
        </is>
      </c>
      <c r="F5131" s="94" t="inlineStr">
        <is>
          <t>카페24</t>
        </is>
      </c>
      <c r="G5131" s="94" t="inlineStr">
        <is>
          <t>클렌징폼 120ml 2set</t>
        </is>
      </c>
      <c r="H5131" s="7" t="n">
        <v>190801</v>
      </c>
      <c r="I5131" s="7" t="n">
        <v>190801</v>
      </c>
      <c r="J5131" s="94" t="n"/>
      <c r="K5131" s="149" t="n">
        <v>2</v>
      </c>
      <c r="L5131" s="7" t="n">
        <v>190801</v>
      </c>
      <c r="M5131" s="94">
        <f>VLOOKUP($Q5131,매칭테이블!$F:$I,2,0)*K5131</f>
        <v/>
      </c>
      <c r="N5131" s="94">
        <f>M5131-M5131*VLOOKUP($Q5131,매칭테이블!$F:$I,3,0)</f>
        <v/>
      </c>
      <c r="O5131" s="94">
        <f>VLOOKUP($Q5131,매칭테이블!$F:$I,4,0)*K5131</f>
        <v/>
      </c>
      <c r="P5131" s="148">
        <f>M5131/1.1</f>
        <v/>
      </c>
      <c r="Q5131" s="94">
        <f>F5131&amp;E5131&amp;G5131&amp;L5131</f>
        <v/>
      </c>
    </row>
    <row r="5132">
      <c r="A5132" s="94" t="n"/>
      <c r="B5132" s="128" t="n">
        <v>43909</v>
      </c>
      <c r="C5132" s="94">
        <f>TEXT(B5132,"aaa")</f>
        <v/>
      </c>
      <c r="D5132" s="94" t="n"/>
      <c r="E5132" s="94" t="inlineStr">
        <is>
          <t>클렌징폼</t>
        </is>
      </c>
      <c r="F5132" s="94" t="inlineStr">
        <is>
          <t>카페24</t>
        </is>
      </c>
      <c r="G5132" s="94" t="inlineStr">
        <is>
          <t>클렌징폼 120ml 3set</t>
        </is>
      </c>
      <c r="H5132" s="7" t="n">
        <v>190801</v>
      </c>
      <c r="I5132" s="7" t="n">
        <v>190801</v>
      </c>
      <c r="J5132" s="94" t="n"/>
      <c r="K5132" s="149" t="n">
        <v>1</v>
      </c>
      <c r="L5132" s="7" t="n">
        <v>190801</v>
      </c>
      <c r="M5132" s="94">
        <f>VLOOKUP($Q5132,매칭테이블!$F:$I,2,0)*K5132</f>
        <v/>
      </c>
      <c r="N5132" s="94">
        <f>M5132-M5132*VLOOKUP($Q5132,매칭테이블!$F:$I,3,0)</f>
        <v/>
      </c>
      <c r="O5132" s="94">
        <f>VLOOKUP($Q5132,매칭테이블!$F:$I,4,0)*K5132</f>
        <v/>
      </c>
      <c r="P5132" s="148">
        <f>M5132/1.1</f>
        <v/>
      </c>
      <c r="Q5132" s="94">
        <f>F5132&amp;E5132&amp;G5132&amp;L5132</f>
        <v/>
      </c>
    </row>
    <row r="5133">
      <c r="A5133" s="94" t="n"/>
      <c r="B5133" s="128" t="n">
        <v>43909</v>
      </c>
      <c r="C5133" s="94">
        <f>TEXT(B5133,"aaa")</f>
        <v/>
      </c>
      <c r="D5133" s="94" t="n"/>
      <c r="E5133" s="94" t="inlineStr">
        <is>
          <t>마스크팩</t>
        </is>
      </c>
      <c r="F5133" s="94" t="inlineStr">
        <is>
          <t>카페24</t>
        </is>
      </c>
      <c r="G5133" s="94" t="inlineStr">
        <is>
          <t>마스크팩 1매</t>
        </is>
      </c>
      <c r="H5133" s="7" t="n">
        <v>190801</v>
      </c>
      <c r="I5133" s="7" t="n">
        <v>190801</v>
      </c>
      <c r="J5133" s="94" t="n"/>
      <c r="K5133" s="149" t="n">
        <v>9</v>
      </c>
      <c r="L5133" s="94" t="n">
        <v>190801</v>
      </c>
      <c r="M5133" s="94">
        <f>VLOOKUP($Q5133,매칭테이블!$F:$I,2,0)*K5133</f>
        <v/>
      </c>
      <c r="N5133" s="94">
        <f>M5133-M5133*VLOOKUP($Q5133,매칭테이블!$F:$I,3,0)</f>
        <v/>
      </c>
      <c r="O5133" s="94">
        <f>VLOOKUP($Q5133,매칭테이블!$F:$I,4,0)*K5133</f>
        <v/>
      </c>
      <c r="P5133" s="148">
        <f>M5133/1.1</f>
        <v/>
      </c>
      <c r="Q5133" s="94">
        <f>F5133&amp;E5133&amp;G5133&amp;L5133</f>
        <v/>
      </c>
    </row>
    <row r="5134">
      <c r="A5134" s="94" t="n"/>
      <c r="B5134" s="128" t="n">
        <v>43909</v>
      </c>
      <c r="C5134" s="94">
        <f>TEXT(B5134,"aaa")</f>
        <v/>
      </c>
      <c r="D5134" s="94" t="n"/>
      <c r="E5134" s="94" t="inlineStr">
        <is>
          <t>마스크팩</t>
        </is>
      </c>
      <c r="F5134" s="94" t="inlineStr">
        <is>
          <t>카페24</t>
        </is>
      </c>
      <c r="G5134" s="94" t="inlineStr">
        <is>
          <t>마스크팩 10매</t>
        </is>
      </c>
      <c r="H5134" s="7" t="n">
        <v>190801</v>
      </c>
      <c r="I5134" s="7" t="n">
        <v>190801</v>
      </c>
      <c r="J5134" s="94" t="n"/>
      <c r="K5134" s="149" t="n">
        <v>6</v>
      </c>
      <c r="L5134" s="94" t="n">
        <v>190801</v>
      </c>
      <c r="M5134" s="94">
        <f>VLOOKUP($Q5134,매칭테이블!$F:$I,2,0)*K5134</f>
        <v/>
      </c>
      <c r="N5134" s="94">
        <f>M5134-M5134*VLOOKUP($Q5134,매칭테이블!$F:$I,3,0)</f>
        <v/>
      </c>
      <c r="O5134" s="94">
        <f>VLOOKUP($Q5134,매칭테이블!$F:$I,4,0)*K5134</f>
        <v/>
      </c>
      <c r="P5134" s="148">
        <f>M5134/1.1</f>
        <v/>
      </c>
      <c r="Q5134" s="94">
        <f>F5134&amp;E5134&amp;G5134&amp;L5134</f>
        <v/>
      </c>
    </row>
    <row r="5135">
      <c r="A5135" s="94" t="n"/>
      <c r="B5135" s="128" t="n">
        <v>43910</v>
      </c>
      <c r="C5135" s="94">
        <f>TEXT(B5135,"aaa")</f>
        <v/>
      </c>
      <c r="D5135" s="94" t="n"/>
      <c r="E5135" s="6" t="inlineStr">
        <is>
          <t>토너</t>
        </is>
      </c>
      <c r="F5135" s="5" t="inlineStr">
        <is>
          <t>W컨셉</t>
        </is>
      </c>
      <c r="G5135" s="5" t="inlineStr">
        <is>
          <t>250ml 2set</t>
        </is>
      </c>
      <c r="H5135" s="7" t="n">
        <v>190801</v>
      </c>
      <c r="I5135" s="7" t="n">
        <v>190801</v>
      </c>
      <c r="J5135" s="94" t="n"/>
      <c r="K5135" s="149" t="n">
        <v>4</v>
      </c>
      <c r="L5135" s="7" t="n">
        <v>190801</v>
      </c>
      <c r="M5135" s="94">
        <f>VLOOKUP($Q5135,매칭테이블!$F:$I,2,0)*K5135</f>
        <v/>
      </c>
      <c r="N5135" s="94">
        <f>M5135-M5135*VLOOKUP($Q5135,매칭테이블!$F:$I,3,0)</f>
        <v/>
      </c>
      <c r="O5135" s="94">
        <f>VLOOKUP($Q5135,매칭테이블!$F:$I,4,0)*K5135</f>
        <v/>
      </c>
      <c r="P5135" s="148">
        <f>M5135/1.1</f>
        <v/>
      </c>
      <c r="Q5135" s="94">
        <f>F5135&amp;E5135&amp;G5135&amp;L5135</f>
        <v/>
      </c>
    </row>
    <row r="5136">
      <c r="A5136" s="94" t="n"/>
      <c r="B5136" s="128" t="n">
        <v>43910</v>
      </c>
      <c r="C5136" s="94">
        <f>TEXT(B5136,"aaa")</f>
        <v/>
      </c>
      <c r="D5136" s="94" t="n"/>
      <c r="E5136" s="94" t="inlineStr">
        <is>
          <t>토너</t>
        </is>
      </c>
      <c r="F5136" s="5" t="inlineStr">
        <is>
          <t>스타일쉐어</t>
        </is>
      </c>
      <c r="G5136" s="94" t="inlineStr">
        <is>
          <t>250ml</t>
        </is>
      </c>
      <c r="H5136" s="7" t="n">
        <v>190801</v>
      </c>
      <c r="I5136" s="7" t="n">
        <v>190801</v>
      </c>
      <c r="J5136" s="94" t="n"/>
      <c r="K5136" s="149" t="n">
        <v>4</v>
      </c>
      <c r="L5136" s="92" t="n">
        <v>190801</v>
      </c>
      <c r="M5136" s="94">
        <f>VLOOKUP($Q5136,매칭테이블!$F:$I,2,0)*K5136</f>
        <v/>
      </c>
      <c r="N5136" s="94">
        <f>M5136-M5136*VLOOKUP($Q5136,매칭테이블!$F:$I,3,0)</f>
        <v/>
      </c>
      <c r="O5136" s="94">
        <f>VLOOKUP($Q5136,매칭테이블!$F:$I,4,0)*K5136</f>
        <v/>
      </c>
      <c r="P5136" s="148">
        <f>M5136/1.1</f>
        <v/>
      </c>
      <c r="Q5136" s="94">
        <f>F5136&amp;E5136&amp;G5136&amp;L5136</f>
        <v/>
      </c>
    </row>
    <row r="5137">
      <c r="A5137" s="94" t="n"/>
      <c r="B5137" s="128" t="n">
        <v>43910</v>
      </c>
      <c r="C5137" s="94">
        <f>TEXT(B5137,"aaa")</f>
        <v/>
      </c>
      <c r="D5137" s="94" t="n"/>
      <c r="E5137" s="94" t="inlineStr">
        <is>
          <t>머드크림마스크</t>
        </is>
      </c>
      <c r="F5137" s="94" t="inlineStr">
        <is>
          <t>카페24</t>
        </is>
      </c>
      <c r="G5137" s="94" t="inlineStr">
        <is>
          <t>머드크림마스크 100ml</t>
        </is>
      </c>
      <c r="H5137" s="7" t="n">
        <v>190801</v>
      </c>
      <c r="I5137" s="7" t="n">
        <v>190801</v>
      </c>
      <c r="J5137" s="94" t="n"/>
      <c r="K5137" s="149" t="n">
        <v>40</v>
      </c>
      <c r="L5137" s="94" t="n">
        <v>190801</v>
      </c>
      <c r="M5137" s="94">
        <f>VLOOKUP($Q5137,매칭테이블!$F:$I,2,0)*K5137</f>
        <v/>
      </c>
      <c r="N5137" s="94">
        <f>M5137-M5137*VLOOKUP($Q5137,매칭테이블!$F:$I,3,0)</f>
        <v/>
      </c>
      <c r="O5137" s="94">
        <f>VLOOKUP($Q5137,매칭테이블!$F:$I,4,0)*K5137</f>
        <v/>
      </c>
      <c r="P5137" s="148">
        <f>M5137/1.1</f>
        <v/>
      </c>
      <c r="Q5137" s="94">
        <f>F5137&amp;E5137&amp;G5137&amp;L5137</f>
        <v/>
      </c>
    </row>
    <row r="5138">
      <c r="A5138" s="94" t="n"/>
      <c r="B5138" s="128" t="n">
        <v>43910</v>
      </c>
      <c r="C5138" s="94">
        <f>TEXT(B5138,"aaa")</f>
        <v/>
      </c>
      <c r="D5138" s="94" t="n"/>
      <c r="E5138" s="94" t="inlineStr">
        <is>
          <t>머드크림마스크</t>
        </is>
      </c>
      <c r="F5138" s="94" t="inlineStr">
        <is>
          <t>카페24</t>
        </is>
      </c>
      <c r="G5138" s="94" t="inlineStr">
        <is>
          <t>머드크림마스크 100ml 2set</t>
        </is>
      </c>
      <c r="H5138" s="7" t="n">
        <v>190801</v>
      </c>
      <c r="I5138" s="7" t="n">
        <v>190801</v>
      </c>
      <c r="J5138" s="94" t="n"/>
      <c r="K5138" s="149" t="n">
        <v>18</v>
      </c>
      <c r="L5138" s="94" t="n">
        <v>190801</v>
      </c>
      <c r="M5138" s="94">
        <f>VLOOKUP($Q5138,매칭테이블!$F:$I,2,0)*K5138</f>
        <v/>
      </c>
      <c r="N5138" s="94">
        <f>M5138-M5138*VLOOKUP($Q5138,매칭테이블!$F:$I,3,0)</f>
        <v/>
      </c>
      <c r="O5138" s="94">
        <f>VLOOKUP($Q5138,매칭테이블!$F:$I,4,0)*K5138</f>
        <v/>
      </c>
      <c r="P5138" s="148">
        <f>M5138/1.1</f>
        <v/>
      </c>
      <c r="Q5138" s="94">
        <f>F5138&amp;E5138&amp;G5138&amp;L5138</f>
        <v/>
      </c>
    </row>
    <row r="5139">
      <c r="A5139" s="94" t="n"/>
      <c r="B5139" s="128" t="n">
        <v>43910</v>
      </c>
      <c r="C5139" s="94">
        <f>TEXT(B5139,"aaa")</f>
        <v/>
      </c>
      <c r="D5139" s="94" t="n"/>
      <c r="E5139" s="6" t="inlineStr">
        <is>
          <t>토너</t>
        </is>
      </c>
      <c r="F5139" s="5" t="inlineStr">
        <is>
          <t>카페24</t>
        </is>
      </c>
      <c r="G5139" s="5" t="inlineStr">
        <is>
          <t>250ml</t>
        </is>
      </c>
      <c r="H5139" s="7" t="n">
        <v>190801</v>
      </c>
      <c r="I5139" s="7" t="n">
        <v>190801</v>
      </c>
      <c r="J5139" s="94" t="n"/>
      <c r="K5139" s="149" t="n">
        <v>60</v>
      </c>
      <c r="L5139" s="7" t="n">
        <v>190801</v>
      </c>
      <c r="M5139" s="94">
        <f>VLOOKUP($Q5139,매칭테이블!$F:$I,2,0)*K5139</f>
        <v/>
      </c>
      <c r="N5139" s="94">
        <f>M5139-M5139*VLOOKUP($Q5139,매칭테이블!$F:$I,3,0)</f>
        <v/>
      </c>
      <c r="O5139" s="94">
        <f>VLOOKUP($Q5139,매칭테이블!$F:$I,4,0)*K5139</f>
        <v/>
      </c>
      <c r="P5139" s="148">
        <f>M5139/1.1</f>
        <v/>
      </c>
      <c r="Q5139" s="94">
        <f>F5139&amp;E5139&amp;G5139&amp;L5139</f>
        <v/>
      </c>
    </row>
    <row r="5140">
      <c r="A5140" s="94" t="n"/>
      <c r="B5140" s="128" t="n">
        <v>43910</v>
      </c>
      <c r="C5140" s="94">
        <f>TEXT(B5140,"aaa")</f>
        <v/>
      </c>
      <c r="D5140" s="94" t="n"/>
      <c r="E5140" s="6" t="inlineStr">
        <is>
          <t>토너</t>
        </is>
      </c>
      <c r="F5140" s="5" t="inlineStr">
        <is>
          <t>카페24</t>
        </is>
      </c>
      <c r="G5140" s="5" t="inlineStr">
        <is>
          <t>250ml 2set</t>
        </is>
      </c>
      <c r="H5140" s="7" t="n">
        <v>190801</v>
      </c>
      <c r="I5140" s="7" t="n">
        <v>190801</v>
      </c>
      <c r="J5140" s="94" t="n"/>
      <c r="K5140" s="149" t="n">
        <v>40</v>
      </c>
      <c r="L5140" s="7" t="n">
        <v>190801</v>
      </c>
      <c r="M5140" s="94">
        <f>VLOOKUP($Q5140,매칭테이블!$F:$I,2,0)*K5140</f>
        <v/>
      </c>
      <c r="N5140" s="94">
        <f>M5140-M5140*VLOOKUP($Q5140,매칭테이블!$F:$I,3,0)</f>
        <v/>
      </c>
      <c r="O5140" s="94">
        <f>VLOOKUP($Q5140,매칭테이블!$F:$I,4,0)*K5140</f>
        <v/>
      </c>
      <c r="P5140" s="148">
        <f>M5140/1.1</f>
        <v/>
      </c>
      <c r="Q5140" s="94">
        <f>F5140&amp;E5140&amp;G5140&amp;L5140</f>
        <v/>
      </c>
    </row>
    <row r="5141">
      <c r="A5141" s="94" t="n"/>
      <c r="B5141" s="128" t="n">
        <v>43910</v>
      </c>
      <c r="C5141" s="94">
        <f>TEXT(B5141,"aaa")</f>
        <v/>
      </c>
      <c r="D5141" s="94" t="n"/>
      <c r="E5141" s="6" t="inlineStr">
        <is>
          <t>토너</t>
        </is>
      </c>
      <c r="F5141" s="5" t="inlineStr">
        <is>
          <t>카페24</t>
        </is>
      </c>
      <c r="G5141" s="5" t="inlineStr">
        <is>
          <t>500ml</t>
        </is>
      </c>
      <c r="H5141" s="7" t="n">
        <v>190801</v>
      </c>
      <c r="I5141" s="7" t="n">
        <v>190801</v>
      </c>
      <c r="J5141" s="94" t="n"/>
      <c r="K5141" s="149" t="n">
        <v>67</v>
      </c>
      <c r="L5141" s="7" t="n">
        <v>190801</v>
      </c>
      <c r="M5141" s="94">
        <f>VLOOKUP($Q5141,매칭테이블!$F:$I,2,0)*K5141</f>
        <v/>
      </c>
      <c r="N5141" s="94">
        <f>M5141-M5141*VLOOKUP($Q5141,매칭테이블!$F:$I,3,0)</f>
        <v/>
      </c>
      <c r="O5141" s="94">
        <f>VLOOKUP($Q5141,매칭테이블!$F:$I,4,0)*K5141</f>
        <v/>
      </c>
      <c r="P5141" s="148">
        <f>M5141/1.1</f>
        <v/>
      </c>
      <c r="Q5141" s="94">
        <f>F5141&amp;E5141&amp;G5141&amp;L5141</f>
        <v/>
      </c>
    </row>
    <row r="5142">
      <c r="A5142" s="94" t="n"/>
      <c r="B5142" s="128" t="n">
        <v>43910</v>
      </c>
      <c r="C5142" s="94">
        <f>TEXT(B5142,"aaa")</f>
        <v/>
      </c>
      <c r="D5142" s="94" t="n"/>
      <c r="E5142" s="6" t="inlineStr">
        <is>
          <t>토너</t>
        </is>
      </c>
      <c r="F5142" s="5" t="inlineStr">
        <is>
          <t>카페24</t>
        </is>
      </c>
      <c r="G5142" s="94" t="inlineStr">
        <is>
          <t>스킨팩 화장솜 60P</t>
        </is>
      </c>
      <c r="H5142" s="7" t="n">
        <v>190801</v>
      </c>
      <c r="I5142" s="7" t="n">
        <v>190801</v>
      </c>
      <c r="J5142" s="94" t="n"/>
      <c r="K5142" s="149" t="n">
        <v>78</v>
      </c>
      <c r="L5142" s="7" t="n">
        <v>190801</v>
      </c>
      <c r="M5142" s="94">
        <f>VLOOKUP($Q5142,매칭테이블!$F:$I,2,0)*K5142</f>
        <v/>
      </c>
      <c r="N5142" s="94">
        <f>M5142-M5142*VLOOKUP($Q5142,매칭테이블!$F:$I,3,0)</f>
        <v/>
      </c>
      <c r="O5142" s="94">
        <f>VLOOKUP($Q5142,매칭테이블!$F:$I,4,0)*K5142</f>
        <v/>
      </c>
      <c r="P5142" s="148">
        <f>M5142/1.1</f>
        <v/>
      </c>
      <c r="Q5142" s="94">
        <f>F5142&amp;E5142&amp;G5142&amp;L5142</f>
        <v/>
      </c>
    </row>
    <row r="5143">
      <c r="A5143" s="94" t="n"/>
      <c r="B5143" s="128" t="n">
        <v>43910</v>
      </c>
      <c r="C5143" s="94">
        <f>TEXT(B5143,"aaa")</f>
        <v/>
      </c>
      <c r="D5143" s="94" t="n"/>
      <c r="E5143" s="94" t="inlineStr">
        <is>
          <t>클렌징폼</t>
        </is>
      </c>
      <c r="F5143" s="5" t="inlineStr">
        <is>
          <t>카페24</t>
        </is>
      </c>
      <c r="G5143" s="94" t="inlineStr">
        <is>
          <t>클렌징폼 120ml</t>
        </is>
      </c>
      <c r="H5143" s="7" t="n">
        <v>190801</v>
      </c>
      <c r="I5143" s="7" t="n">
        <v>190801</v>
      </c>
      <c r="J5143" s="94" t="n"/>
      <c r="K5143" s="149" t="n">
        <v>17</v>
      </c>
      <c r="L5143" s="7" t="n">
        <v>190801</v>
      </c>
      <c r="M5143" s="94">
        <f>VLOOKUP($Q5143,매칭테이블!$F:$I,2,0)*K5143</f>
        <v/>
      </c>
      <c r="N5143" s="94">
        <f>M5143-M5143*VLOOKUP($Q5143,매칭테이블!$F:$I,3,0)</f>
        <v/>
      </c>
      <c r="O5143" s="94">
        <f>VLOOKUP($Q5143,매칭테이블!$F:$I,4,0)*K5143</f>
        <v/>
      </c>
      <c r="P5143" s="148">
        <f>M5143/1.1</f>
        <v/>
      </c>
      <c r="Q5143" s="94">
        <f>F5143&amp;E5143&amp;G5143&amp;L5143</f>
        <v/>
      </c>
    </row>
    <row r="5144">
      <c r="A5144" s="94" t="n"/>
      <c r="B5144" s="128" t="n">
        <v>43910</v>
      </c>
      <c r="C5144" s="94">
        <f>TEXT(B5144,"aaa")</f>
        <v/>
      </c>
      <c r="D5144" s="94" t="n"/>
      <c r="E5144" s="94" t="inlineStr">
        <is>
          <t>클렌징폼</t>
        </is>
      </c>
      <c r="F5144" s="94" t="inlineStr">
        <is>
          <t>카페24</t>
        </is>
      </c>
      <c r="G5144" s="94" t="inlineStr">
        <is>
          <t>클렌징폼 120ml 2set</t>
        </is>
      </c>
      <c r="H5144" s="7" t="n">
        <v>190801</v>
      </c>
      <c r="I5144" s="7" t="n">
        <v>190801</v>
      </c>
      <c r="J5144" s="94" t="n"/>
      <c r="K5144" s="149" t="n">
        <v>1</v>
      </c>
      <c r="L5144" s="7" t="n">
        <v>190801</v>
      </c>
      <c r="M5144" s="94">
        <f>VLOOKUP($Q5144,매칭테이블!$F:$I,2,0)*K5144</f>
        <v/>
      </c>
      <c r="N5144" s="94">
        <f>M5144-M5144*VLOOKUP($Q5144,매칭테이블!$F:$I,3,0)</f>
        <v/>
      </c>
      <c r="O5144" s="94">
        <f>VLOOKUP($Q5144,매칭테이블!$F:$I,4,0)*K5144</f>
        <v/>
      </c>
      <c r="P5144" s="148">
        <f>M5144/1.1</f>
        <v/>
      </c>
      <c r="Q5144" s="94">
        <f>F5144&amp;E5144&amp;G5144&amp;L5144</f>
        <v/>
      </c>
    </row>
    <row r="5145">
      <c r="A5145" s="94" t="n"/>
      <c r="B5145" s="128" t="n">
        <v>43910</v>
      </c>
      <c r="C5145" s="94">
        <f>TEXT(B5145,"aaa")</f>
        <v/>
      </c>
      <c r="D5145" s="94" t="n"/>
      <c r="E5145" s="94" t="inlineStr">
        <is>
          <t>마스크팩</t>
        </is>
      </c>
      <c r="F5145" s="94" t="inlineStr">
        <is>
          <t>카페24</t>
        </is>
      </c>
      <c r="G5145" s="94" t="inlineStr">
        <is>
          <t>마스크팩 1매</t>
        </is>
      </c>
      <c r="H5145" s="7" t="n">
        <v>190801</v>
      </c>
      <c r="I5145" s="7" t="n">
        <v>190801</v>
      </c>
      <c r="J5145" s="94" t="n"/>
      <c r="K5145" s="149" t="n">
        <v>3</v>
      </c>
      <c r="L5145" s="94" t="n">
        <v>190801</v>
      </c>
      <c r="M5145" s="94">
        <f>VLOOKUP($Q5145,매칭테이블!$F:$I,2,0)*K5145</f>
        <v/>
      </c>
      <c r="N5145" s="94">
        <f>M5145-M5145*VLOOKUP($Q5145,매칭테이블!$F:$I,3,0)</f>
        <v/>
      </c>
      <c r="O5145" s="94">
        <f>VLOOKUP($Q5145,매칭테이블!$F:$I,4,0)*K5145</f>
        <v/>
      </c>
      <c r="P5145" s="148">
        <f>M5145/1.1</f>
        <v/>
      </c>
      <c r="Q5145" s="94">
        <f>F5145&amp;E5145&amp;G5145&amp;L5145</f>
        <v/>
      </c>
    </row>
    <row r="5146">
      <c r="A5146" s="94" t="n"/>
      <c r="B5146" s="128" t="n">
        <v>43910</v>
      </c>
      <c r="C5146" s="94">
        <f>TEXT(B5146,"aaa")</f>
        <v/>
      </c>
      <c r="D5146" s="94" t="n"/>
      <c r="E5146" s="94" t="inlineStr">
        <is>
          <t>마스크팩</t>
        </is>
      </c>
      <c r="F5146" s="94" t="inlineStr">
        <is>
          <t>카페24</t>
        </is>
      </c>
      <c r="G5146" s="94" t="inlineStr">
        <is>
          <t>마스크팩 10매</t>
        </is>
      </c>
      <c r="H5146" s="7" t="n">
        <v>190801</v>
      </c>
      <c r="I5146" s="7" t="n">
        <v>190801</v>
      </c>
      <c r="J5146" s="94" t="n"/>
      <c r="K5146" s="149" t="n">
        <v>10</v>
      </c>
      <c r="L5146" s="94" t="n">
        <v>190801</v>
      </c>
      <c r="M5146" s="94">
        <f>VLOOKUP($Q5146,매칭테이블!$F:$I,2,0)*K5146</f>
        <v/>
      </c>
      <c r="N5146" s="94">
        <f>M5146-M5146*VLOOKUP($Q5146,매칭테이블!$F:$I,3,0)</f>
        <v/>
      </c>
      <c r="O5146" s="94">
        <f>VLOOKUP($Q5146,매칭테이블!$F:$I,4,0)*K5146</f>
        <v/>
      </c>
      <c r="P5146" s="148">
        <f>M5146/1.1</f>
        <v/>
      </c>
      <c r="Q5146" s="94">
        <f>F5146&amp;E5146&amp;G5146&amp;L5146</f>
        <v/>
      </c>
    </row>
    <row r="5147">
      <c r="A5147" s="94" t="n"/>
      <c r="B5147" s="128" t="n">
        <v>43910</v>
      </c>
      <c r="C5147" s="94">
        <f>TEXT(B5147,"aaa")</f>
        <v/>
      </c>
      <c r="D5147" s="94" t="n"/>
      <c r="E5147" s="94" t="inlineStr">
        <is>
          <t>토너+머드크림세트</t>
        </is>
      </c>
      <c r="F5147" s="94" t="inlineStr">
        <is>
          <t>카페24</t>
        </is>
      </c>
      <c r="G5147" s="94" t="inlineStr">
        <is>
          <t>250ml</t>
        </is>
      </c>
      <c r="H5147" s="7" t="n">
        <v>190801</v>
      </c>
      <c r="I5147" s="7" t="n">
        <v>190801</v>
      </c>
      <c r="J5147" s="94" t="n"/>
      <c r="K5147" s="149" t="n">
        <v>3</v>
      </c>
      <c r="L5147" s="94" t="n">
        <v>190801</v>
      </c>
      <c r="M5147" s="94">
        <f>VLOOKUP($Q5147,매칭테이블!$F:$I,2,0)*K5147</f>
        <v/>
      </c>
      <c r="N5147" s="94">
        <f>M5147-M5147*VLOOKUP($Q5147,매칭테이블!$F:$I,3,0)</f>
        <v/>
      </c>
      <c r="O5147" s="94">
        <f>VLOOKUP($Q5147,매칭테이블!$F:$I,4,0)*K5147</f>
        <v/>
      </c>
      <c r="P5147" s="148">
        <f>M5147/1.1</f>
        <v/>
      </c>
      <c r="Q5147" s="94">
        <f>F5147&amp;E5147&amp;G5147&amp;L5147</f>
        <v/>
      </c>
    </row>
    <row r="5148">
      <c r="A5148" s="94" t="n"/>
      <c r="B5148" s="128" t="n">
        <v>43910</v>
      </c>
      <c r="C5148" s="94">
        <f>TEXT(B5148,"aaa")</f>
        <v/>
      </c>
      <c r="D5148" s="94" t="n"/>
      <c r="E5148" s="94" t="inlineStr">
        <is>
          <t>토너+머드크림세트</t>
        </is>
      </c>
      <c r="F5148" s="94" t="inlineStr">
        <is>
          <t>카페24</t>
        </is>
      </c>
      <c r="G5148" s="94" t="inlineStr">
        <is>
          <t>머드크림마스크 100ml</t>
        </is>
      </c>
      <c r="H5148" s="7" t="n">
        <v>190801</v>
      </c>
      <c r="I5148" s="7" t="n">
        <v>190801</v>
      </c>
      <c r="J5148" s="94" t="n"/>
      <c r="K5148" s="149" t="n">
        <v>3</v>
      </c>
      <c r="L5148" s="94" t="n">
        <v>190801</v>
      </c>
      <c r="M5148" s="94">
        <f>VLOOKUP($Q5148,매칭테이블!$F:$I,2,0)*K5148</f>
        <v/>
      </c>
      <c r="N5148" s="94">
        <f>M5148-M5148*VLOOKUP($Q5148,매칭테이블!$F:$I,3,0)</f>
        <v/>
      </c>
      <c r="O5148" s="94">
        <f>VLOOKUP($Q5148,매칭테이블!$F:$I,4,0)*K5148</f>
        <v/>
      </c>
      <c r="P5148" s="148">
        <f>M5148/1.1</f>
        <v/>
      </c>
      <c r="Q5148" s="94">
        <f>F5148&amp;E5148&amp;G5148&amp;L5148</f>
        <v/>
      </c>
    </row>
    <row r="5149">
      <c r="A5149" s="94" t="n"/>
      <c r="B5149" s="128" t="n">
        <v>43911</v>
      </c>
      <c r="C5149" s="94">
        <f>TEXT(B5149,"aaa")</f>
        <v/>
      </c>
      <c r="D5149" s="94" t="n"/>
      <c r="E5149" s="94" t="inlineStr">
        <is>
          <t>토너</t>
        </is>
      </c>
      <c r="F5149" s="5" t="inlineStr">
        <is>
          <t>스타일쉐어</t>
        </is>
      </c>
      <c r="G5149" s="94" t="inlineStr">
        <is>
          <t>250ml</t>
        </is>
      </c>
      <c r="H5149" s="7" t="n">
        <v>190801</v>
      </c>
      <c r="I5149" s="7" t="n">
        <v>190801</v>
      </c>
      <c r="J5149" s="94" t="n"/>
      <c r="K5149" s="149" t="n">
        <v>5</v>
      </c>
      <c r="L5149" s="92" t="n">
        <v>190801</v>
      </c>
      <c r="M5149" s="94">
        <f>VLOOKUP($Q5149,매칭테이블!$F:$I,2,0)*K5149</f>
        <v/>
      </c>
      <c r="N5149" s="94">
        <f>M5149-M5149*VLOOKUP($Q5149,매칭테이블!$F:$I,3,0)</f>
        <v/>
      </c>
      <c r="O5149" s="94">
        <f>VLOOKUP($Q5149,매칭테이블!$F:$I,4,0)*K5149</f>
        <v/>
      </c>
      <c r="P5149" s="148">
        <f>M5149/1.1</f>
        <v/>
      </c>
      <c r="Q5149" s="94">
        <f>F5149&amp;E5149&amp;G5149&amp;L5149</f>
        <v/>
      </c>
    </row>
    <row r="5150">
      <c r="A5150" s="94" t="n"/>
      <c r="B5150" s="128" t="n">
        <v>43911</v>
      </c>
      <c r="C5150" s="94">
        <f>TEXT(B5150,"aaa")</f>
        <v/>
      </c>
      <c r="D5150" s="94" t="n"/>
      <c r="E5150" s="94" t="inlineStr">
        <is>
          <t>머드크림마스크</t>
        </is>
      </c>
      <c r="F5150" s="94" t="inlineStr">
        <is>
          <t>카페24</t>
        </is>
      </c>
      <c r="G5150" s="94" t="inlineStr">
        <is>
          <t>머드크림마스크 100ml</t>
        </is>
      </c>
      <c r="H5150" s="7" t="n">
        <v>190801</v>
      </c>
      <c r="I5150" s="7" t="n">
        <v>190801</v>
      </c>
      <c r="J5150" s="94" t="n"/>
      <c r="K5150" s="149" t="n">
        <v>27</v>
      </c>
      <c r="L5150" s="94" t="n">
        <v>190801</v>
      </c>
      <c r="M5150" s="94">
        <f>VLOOKUP($Q5150,매칭테이블!$F:$I,2,0)*K5150</f>
        <v/>
      </c>
      <c r="N5150" s="94">
        <f>M5150-M5150*VLOOKUP($Q5150,매칭테이블!$F:$I,3,0)</f>
        <v/>
      </c>
      <c r="O5150" s="94">
        <f>VLOOKUP($Q5150,매칭테이블!$F:$I,4,0)*K5150</f>
        <v/>
      </c>
      <c r="P5150" s="148">
        <f>M5150/1.1</f>
        <v/>
      </c>
      <c r="Q5150" s="94">
        <f>F5150&amp;E5150&amp;G5150&amp;L5150</f>
        <v/>
      </c>
    </row>
    <row r="5151">
      <c r="A5151" s="94" t="n"/>
      <c r="B5151" s="128" t="n">
        <v>43911</v>
      </c>
      <c r="C5151" s="94">
        <f>TEXT(B5151,"aaa")</f>
        <v/>
      </c>
      <c r="D5151" s="94" t="n"/>
      <c r="E5151" s="94" t="inlineStr">
        <is>
          <t>머드크림마스크</t>
        </is>
      </c>
      <c r="F5151" s="94" t="inlineStr">
        <is>
          <t>카페24</t>
        </is>
      </c>
      <c r="G5151" s="94" t="inlineStr">
        <is>
          <t>머드크림마스크 100ml 2set</t>
        </is>
      </c>
      <c r="H5151" s="7" t="n">
        <v>190801</v>
      </c>
      <c r="I5151" s="7" t="n">
        <v>190801</v>
      </c>
      <c r="J5151" s="94" t="n"/>
      <c r="K5151" s="149" t="n">
        <v>17</v>
      </c>
      <c r="L5151" s="94" t="n">
        <v>190801</v>
      </c>
      <c r="M5151" s="94">
        <f>VLOOKUP($Q5151,매칭테이블!$F:$I,2,0)*K5151</f>
        <v/>
      </c>
      <c r="N5151" s="94">
        <f>M5151-M5151*VLOOKUP($Q5151,매칭테이블!$F:$I,3,0)</f>
        <v/>
      </c>
      <c r="O5151" s="94">
        <f>VLOOKUP($Q5151,매칭테이블!$F:$I,4,0)*K5151</f>
        <v/>
      </c>
      <c r="P5151" s="148">
        <f>M5151/1.1</f>
        <v/>
      </c>
      <c r="Q5151" s="94">
        <f>F5151&amp;E5151&amp;G5151&amp;L5151</f>
        <v/>
      </c>
    </row>
    <row r="5152">
      <c r="A5152" s="94" t="n"/>
      <c r="B5152" s="128" t="n">
        <v>43911</v>
      </c>
      <c r="C5152" s="94">
        <f>TEXT(B5152,"aaa")</f>
        <v/>
      </c>
      <c r="D5152" s="94" t="n"/>
      <c r="E5152" s="6" t="inlineStr">
        <is>
          <t>토너</t>
        </is>
      </c>
      <c r="F5152" s="5" t="inlineStr">
        <is>
          <t>카페24</t>
        </is>
      </c>
      <c r="G5152" s="5" t="inlineStr">
        <is>
          <t>250ml</t>
        </is>
      </c>
      <c r="H5152" s="7" t="n">
        <v>190801</v>
      </c>
      <c r="I5152" s="7" t="n">
        <v>190801</v>
      </c>
      <c r="J5152" s="94" t="n"/>
      <c r="K5152" s="149" t="n">
        <v>54</v>
      </c>
      <c r="L5152" s="7" t="n">
        <v>190801</v>
      </c>
      <c r="M5152" s="94">
        <f>VLOOKUP($Q5152,매칭테이블!$F:$I,2,0)*K5152</f>
        <v/>
      </c>
      <c r="N5152" s="94">
        <f>M5152-M5152*VLOOKUP($Q5152,매칭테이블!$F:$I,3,0)</f>
        <v/>
      </c>
      <c r="O5152" s="94">
        <f>VLOOKUP($Q5152,매칭테이블!$F:$I,4,0)*K5152</f>
        <v/>
      </c>
      <c r="P5152" s="148">
        <f>M5152/1.1</f>
        <v/>
      </c>
      <c r="Q5152" s="94">
        <f>F5152&amp;E5152&amp;G5152&amp;L5152</f>
        <v/>
      </c>
    </row>
    <row r="5153">
      <c r="A5153" s="94" t="n"/>
      <c r="B5153" s="128" t="n">
        <v>43911</v>
      </c>
      <c r="C5153" s="94">
        <f>TEXT(B5153,"aaa")</f>
        <v/>
      </c>
      <c r="D5153" s="94" t="n"/>
      <c r="E5153" s="6" t="inlineStr">
        <is>
          <t>토너</t>
        </is>
      </c>
      <c r="F5153" s="5" t="inlineStr">
        <is>
          <t>카페24</t>
        </is>
      </c>
      <c r="G5153" s="5" t="inlineStr">
        <is>
          <t>250ml 2set</t>
        </is>
      </c>
      <c r="H5153" s="7" t="n">
        <v>190801</v>
      </c>
      <c r="I5153" s="7" t="n">
        <v>190801</v>
      </c>
      <c r="J5153" s="94" t="n"/>
      <c r="K5153" s="149" t="n">
        <v>31</v>
      </c>
      <c r="L5153" s="7" t="n">
        <v>190801</v>
      </c>
      <c r="M5153" s="94">
        <f>VLOOKUP($Q5153,매칭테이블!$F:$I,2,0)*K5153</f>
        <v/>
      </c>
      <c r="N5153" s="94">
        <f>M5153-M5153*VLOOKUP($Q5153,매칭테이블!$F:$I,3,0)</f>
        <v/>
      </c>
      <c r="O5153" s="94">
        <f>VLOOKUP($Q5153,매칭테이블!$F:$I,4,0)*K5153</f>
        <v/>
      </c>
      <c r="P5153" s="148">
        <f>M5153/1.1</f>
        <v/>
      </c>
      <c r="Q5153" s="94">
        <f>F5153&amp;E5153&amp;G5153&amp;L5153</f>
        <v/>
      </c>
    </row>
    <row r="5154">
      <c r="A5154" s="94" t="n"/>
      <c r="B5154" s="128" t="n">
        <v>43911</v>
      </c>
      <c r="C5154" s="94">
        <f>TEXT(B5154,"aaa")</f>
        <v/>
      </c>
      <c r="D5154" s="94" t="n"/>
      <c r="E5154" s="6" t="inlineStr">
        <is>
          <t>토너</t>
        </is>
      </c>
      <c r="F5154" s="5" t="inlineStr">
        <is>
          <t>카페24</t>
        </is>
      </c>
      <c r="G5154" s="5" t="inlineStr">
        <is>
          <t>500ml</t>
        </is>
      </c>
      <c r="H5154" s="7" t="n">
        <v>190801</v>
      </c>
      <c r="I5154" s="7" t="n">
        <v>190801</v>
      </c>
      <c r="J5154" s="94" t="n"/>
      <c r="K5154" s="149" t="n">
        <v>50</v>
      </c>
      <c r="L5154" s="7" t="n">
        <v>190801</v>
      </c>
      <c r="M5154" s="94">
        <f>VLOOKUP($Q5154,매칭테이블!$F:$I,2,0)*K5154</f>
        <v/>
      </c>
      <c r="N5154" s="94">
        <f>M5154-M5154*VLOOKUP($Q5154,매칭테이블!$F:$I,3,0)</f>
        <v/>
      </c>
      <c r="O5154" s="94">
        <f>VLOOKUP($Q5154,매칭테이블!$F:$I,4,0)*K5154</f>
        <v/>
      </c>
      <c r="P5154" s="148">
        <f>M5154/1.1</f>
        <v/>
      </c>
      <c r="Q5154" s="94">
        <f>F5154&amp;E5154&amp;G5154&amp;L5154</f>
        <v/>
      </c>
    </row>
    <row r="5155">
      <c r="A5155" s="94" t="n"/>
      <c r="B5155" s="128" t="n">
        <v>43911</v>
      </c>
      <c r="C5155" s="94">
        <f>TEXT(B5155,"aaa")</f>
        <v/>
      </c>
      <c r="D5155" s="94" t="n"/>
      <c r="E5155" s="6" t="inlineStr">
        <is>
          <t>토너</t>
        </is>
      </c>
      <c r="F5155" s="5" t="inlineStr">
        <is>
          <t>카페24</t>
        </is>
      </c>
      <c r="G5155" s="94" t="inlineStr">
        <is>
          <t>스킨팩 화장솜 60P</t>
        </is>
      </c>
      <c r="H5155" s="7" t="n">
        <v>190801</v>
      </c>
      <c r="I5155" s="7" t="n">
        <v>190801</v>
      </c>
      <c r="J5155" s="94" t="n"/>
      <c r="K5155" s="149" t="n">
        <v>54</v>
      </c>
      <c r="L5155" s="7" t="n">
        <v>190801</v>
      </c>
      <c r="M5155" s="94">
        <f>VLOOKUP($Q5155,매칭테이블!$F:$I,2,0)*K5155</f>
        <v/>
      </c>
      <c r="N5155" s="94">
        <f>M5155-M5155*VLOOKUP($Q5155,매칭테이블!$F:$I,3,0)</f>
        <v/>
      </c>
      <c r="O5155" s="94">
        <f>VLOOKUP($Q5155,매칭테이블!$F:$I,4,0)*K5155</f>
        <v/>
      </c>
      <c r="P5155" s="148">
        <f>M5155/1.1</f>
        <v/>
      </c>
      <c r="Q5155" s="94">
        <f>F5155&amp;E5155&amp;G5155&amp;L5155</f>
        <v/>
      </c>
    </row>
    <row r="5156">
      <c r="A5156" s="94" t="n"/>
      <c r="B5156" s="128" t="n">
        <v>43911</v>
      </c>
      <c r="C5156" s="94">
        <f>TEXT(B5156,"aaa")</f>
        <v/>
      </c>
      <c r="D5156" s="94" t="n"/>
      <c r="E5156" s="94" t="inlineStr">
        <is>
          <t>클렌징폼</t>
        </is>
      </c>
      <c r="F5156" s="5" t="inlineStr">
        <is>
          <t>카페24</t>
        </is>
      </c>
      <c r="G5156" s="94" t="inlineStr">
        <is>
          <t>클렌징폼 120ml</t>
        </is>
      </c>
      <c r="H5156" s="7" t="n">
        <v>190801</v>
      </c>
      <c r="I5156" s="7" t="n">
        <v>190801</v>
      </c>
      <c r="J5156" s="94" t="n"/>
      <c r="K5156" s="149" t="n">
        <v>20</v>
      </c>
      <c r="L5156" s="7" t="n">
        <v>190801</v>
      </c>
      <c r="M5156" s="94">
        <f>VLOOKUP($Q5156,매칭테이블!$F:$I,2,0)*K5156</f>
        <v/>
      </c>
      <c r="N5156" s="94">
        <f>M5156-M5156*VLOOKUP($Q5156,매칭테이블!$F:$I,3,0)</f>
        <v/>
      </c>
      <c r="O5156" s="94">
        <f>VLOOKUP($Q5156,매칭테이블!$F:$I,4,0)*K5156</f>
        <v/>
      </c>
      <c r="P5156" s="148">
        <f>M5156/1.1</f>
        <v/>
      </c>
      <c r="Q5156" s="94">
        <f>F5156&amp;E5156&amp;G5156&amp;L5156</f>
        <v/>
      </c>
    </row>
    <row r="5157">
      <c r="A5157" s="94" t="n"/>
      <c r="B5157" s="128" t="n">
        <v>43911</v>
      </c>
      <c r="C5157" s="94">
        <f>TEXT(B5157,"aaa")</f>
        <v/>
      </c>
      <c r="D5157" s="94" t="n"/>
      <c r="E5157" s="94" t="inlineStr">
        <is>
          <t>마스크팩</t>
        </is>
      </c>
      <c r="F5157" s="94" t="inlineStr">
        <is>
          <t>카페24</t>
        </is>
      </c>
      <c r="G5157" s="94" t="inlineStr">
        <is>
          <t>마스크팩 1매</t>
        </is>
      </c>
      <c r="H5157" s="7" t="n">
        <v>190801</v>
      </c>
      <c r="I5157" s="7" t="n">
        <v>190801</v>
      </c>
      <c r="J5157" s="94" t="n"/>
      <c r="K5157" s="149" t="n">
        <v>1</v>
      </c>
      <c r="L5157" s="94" t="n">
        <v>190801</v>
      </c>
      <c r="M5157" s="94">
        <f>VLOOKUP($Q5157,매칭테이블!$F:$I,2,0)*K5157</f>
        <v/>
      </c>
      <c r="N5157" s="94">
        <f>M5157-M5157*VLOOKUP($Q5157,매칭테이블!$F:$I,3,0)</f>
        <v/>
      </c>
      <c r="O5157" s="94">
        <f>VLOOKUP($Q5157,매칭테이블!$F:$I,4,0)*K5157</f>
        <v/>
      </c>
      <c r="P5157" s="148">
        <f>M5157/1.1</f>
        <v/>
      </c>
      <c r="Q5157" s="94">
        <f>F5157&amp;E5157&amp;G5157&amp;L5157</f>
        <v/>
      </c>
    </row>
    <row r="5158">
      <c r="A5158" s="94" t="n"/>
      <c r="B5158" s="128" t="n">
        <v>43911</v>
      </c>
      <c r="C5158" s="94">
        <f>TEXT(B5158,"aaa")</f>
        <v/>
      </c>
      <c r="D5158" s="94" t="n"/>
      <c r="E5158" s="94" t="inlineStr">
        <is>
          <t>마스크팩</t>
        </is>
      </c>
      <c r="F5158" s="94" t="inlineStr">
        <is>
          <t>카페24</t>
        </is>
      </c>
      <c r="G5158" s="94" t="inlineStr">
        <is>
          <t>마스크팩 10매</t>
        </is>
      </c>
      <c r="H5158" s="7" t="n">
        <v>190801</v>
      </c>
      <c r="I5158" s="7" t="n">
        <v>190801</v>
      </c>
      <c r="J5158" s="94" t="n"/>
      <c r="K5158" s="149" t="n">
        <v>12</v>
      </c>
      <c r="L5158" s="94" t="n">
        <v>190801</v>
      </c>
      <c r="M5158" s="94">
        <f>VLOOKUP($Q5158,매칭테이블!$F:$I,2,0)*K5158</f>
        <v/>
      </c>
      <c r="N5158" s="94">
        <f>M5158-M5158*VLOOKUP($Q5158,매칭테이블!$F:$I,3,0)</f>
        <v/>
      </c>
      <c r="O5158" s="94">
        <f>VLOOKUP($Q5158,매칭테이블!$F:$I,4,0)*K5158</f>
        <v/>
      </c>
      <c r="P5158" s="148">
        <f>M5158/1.1</f>
        <v/>
      </c>
      <c r="Q5158" s="94">
        <f>F5158&amp;E5158&amp;G5158&amp;L5158</f>
        <v/>
      </c>
    </row>
    <row r="5159">
      <c r="A5159" s="94" t="n"/>
      <c r="B5159" s="128" t="n">
        <v>43911</v>
      </c>
      <c r="C5159" s="94">
        <f>TEXT(B5159,"aaa")</f>
        <v/>
      </c>
      <c r="D5159" s="94" t="n"/>
      <c r="E5159" s="94" t="inlineStr">
        <is>
          <t>토너+머드크림세트</t>
        </is>
      </c>
      <c r="F5159" s="94" t="inlineStr">
        <is>
          <t>카페24</t>
        </is>
      </c>
      <c r="G5159" s="94" t="inlineStr">
        <is>
          <t>250ml</t>
        </is>
      </c>
      <c r="H5159" s="7" t="n">
        <v>190801</v>
      </c>
      <c r="I5159" s="7" t="n">
        <v>190801</v>
      </c>
      <c r="J5159" s="94" t="n"/>
      <c r="K5159" s="149" t="n">
        <v>2</v>
      </c>
      <c r="L5159" s="94" t="n">
        <v>190801</v>
      </c>
      <c r="M5159" s="94">
        <f>VLOOKUP($Q5159,매칭테이블!$F:$I,2,0)*K5159</f>
        <v/>
      </c>
      <c r="N5159" s="94">
        <f>M5159-M5159*VLOOKUP($Q5159,매칭테이블!$F:$I,3,0)</f>
        <v/>
      </c>
      <c r="O5159" s="94">
        <f>VLOOKUP($Q5159,매칭테이블!$F:$I,4,0)*K5159</f>
        <v/>
      </c>
      <c r="P5159" s="148">
        <f>M5159/1.1</f>
        <v/>
      </c>
      <c r="Q5159" s="94">
        <f>F5159&amp;E5159&amp;G5159&amp;L5159</f>
        <v/>
      </c>
    </row>
    <row r="5160">
      <c r="A5160" s="94" t="n"/>
      <c r="B5160" s="128" t="n">
        <v>43911</v>
      </c>
      <c r="C5160" s="94">
        <f>TEXT(B5160,"aaa")</f>
        <v/>
      </c>
      <c r="D5160" s="94" t="n"/>
      <c r="E5160" s="94" t="inlineStr">
        <is>
          <t>토너+머드크림세트</t>
        </is>
      </c>
      <c r="F5160" s="94" t="inlineStr">
        <is>
          <t>카페24</t>
        </is>
      </c>
      <c r="G5160" s="94" t="inlineStr">
        <is>
          <t>머드크림마스크 100ml</t>
        </is>
      </c>
      <c r="H5160" s="7" t="n">
        <v>190801</v>
      </c>
      <c r="I5160" s="7" t="n">
        <v>190801</v>
      </c>
      <c r="J5160" s="94" t="n"/>
      <c r="K5160" s="149" t="n">
        <v>2</v>
      </c>
      <c r="L5160" s="94" t="n">
        <v>190801</v>
      </c>
      <c r="M5160" s="94">
        <f>VLOOKUP($Q5160,매칭테이블!$F:$I,2,0)*K5160</f>
        <v/>
      </c>
      <c r="N5160" s="94">
        <f>M5160-M5160*VLOOKUP($Q5160,매칭테이블!$F:$I,3,0)</f>
        <v/>
      </c>
      <c r="O5160" s="94">
        <f>VLOOKUP($Q5160,매칭테이블!$F:$I,4,0)*K5160</f>
        <v/>
      </c>
      <c r="P5160" s="148">
        <f>M5160/1.1</f>
        <v/>
      </c>
      <c r="Q5160" s="94">
        <f>F5160&amp;E5160&amp;G5160&amp;L5160</f>
        <v/>
      </c>
    </row>
    <row r="5161">
      <c r="A5161" s="94" t="n"/>
      <c r="B5161" s="128" t="n">
        <v>43912</v>
      </c>
      <c r="C5161" s="94">
        <f>TEXT(B5161,"aaa")</f>
        <v/>
      </c>
      <c r="D5161" s="94" t="n"/>
      <c r="E5161" s="94" t="inlineStr">
        <is>
          <t>토너</t>
        </is>
      </c>
      <c r="F5161" s="5" t="inlineStr">
        <is>
          <t>스타일쉐어</t>
        </is>
      </c>
      <c r="G5161" s="94" t="inlineStr">
        <is>
          <t>250ml</t>
        </is>
      </c>
      <c r="H5161" s="7" t="n">
        <v>190801</v>
      </c>
      <c r="I5161" s="7" t="n">
        <v>190801</v>
      </c>
      <c r="J5161" s="94" t="n"/>
      <c r="K5161" s="149" t="n">
        <v>16</v>
      </c>
      <c r="L5161" s="92" t="n">
        <v>190801</v>
      </c>
      <c r="M5161" s="94">
        <f>VLOOKUP($Q5161,매칭테이블!$F:$I,2,0)*K5161</f>
        <v/>
      </c>
      <c r="N5161" s="94">
        <f>M5161-M5161*VLOOKUP($Q5161,매칭테이블!$F:$I,3,0)</f>
        <v/>
      </c>
      <c r="O5161" s="94">
        <f>VLOOKUP($Q5161,매칭테이블!$F:$I,4,0)*K5161</f>
        <v/>
      </c>
      <c r="P5161" s="148">
        <f>M5161/1.1</f>
        <v/>
      </c>
      <c r="Q5161" s="94">
        <f>F5161&amp;E5161&amp;G5161&amp;L5161</f>
        <v/>
      </c>
    </row>
    <row r="5162">
      <c r="A5162" s="94" t="n"/>
      <c r="B5162" s="128" t="n">
        <v>43912</v>
      </c>
      <c r="C5162" s="94">
        <f>TEXT(B5162,"aaa")</f>
        <v/>
      </c>
      <c r="D5162" s="94" t="n"/>
      <c r="E5162" s="94" t="inlineStr">
        <is>
          <t>머드크림마스크</t>
        </is>
      </c>
      <c r="F5162" s="94" t="inlineStr">
        <is>
          <t>카페24</t>
        </is>
      </c>
      <c r="G5162" s="94" t="inlineStr">
        <is>
          <t>머드크림마스크 100ml</t>
        </is>
      </c>
      <c r="H5162" s="7" t="n">
        <v>190801</v>
      </c>
      <c r="I5162" s="7" t="n">
        <v>190801</v>
      </c>
      <c r="J5162" s="94" t="n"/>
      <c r="K5162" s="149" t="n">
        <v>30</v>
      </c>
      <c r="L5162" s="94" t="n">
        <v>190801</v>
      </c>
      <c r="M5162" s="94">
        <f>VLOOKUP($Q5162,매칭테이블!$F:$I,2,0)*K5162</f>
        <v/>
      </c>
      <c r="N5162" s="94">
        <f>M5162-M5162*VLOOKUP($Q5162,매칭테이블!$F:$I,3,0)</f>
        <v/>
      </c>
      <c r="O5162" s="94">
        <f>VLOOKUP($Q5162,매칭테이블!$F:$I,4,0)*K5162</f>
        <v/>
      </c>
      <c r="P5162" s="148">
        <f>M5162/1.1</f>
        <v/>
      </c>
      <c r="Q5162" s="94">
        <f>F5162&amp;E5162&amp;G5162&amp;L5162</f>
        <v/>
      </c>
    </row>
    <row r="5163">
      <c r="A5163" s="94" t="n"/>
      <c r="B5163" s="128" t="n">
        <v>43912</v>
      </c>
      <c r="C5163" s="94">
        <f>TEXT(B5163,"aaa")</f>
        <v/>
      </c>
      <c r="D5163" s="94" t="n"/>
      <c r="E5163" s="94" t="inlineStr">
        <is>
          <t>머드크림마스크</t>
        </is>
      </c>
      <c r="F5163" s="94" t="inlineStr">
        <is>
          <t>카페24</t>
        </is>
      </c>
      <c r="G5163" s="94" t="inlineStr">
        <is>
          <t>머드크림마스크 100ml 2set</t>
        </is>
      </c>
      <c r="H5163" s="7" t="n">
        <v>190801</v>
      </c>
      <c r="I5163" s="7" t="n">
        <v>190801</v>
      </c>
      <c r="J5163" s="94" t="n"/>
      <c r="K5163" s="149" t="n">
        <v>8</v>
      </c>
      <c r="L5163" s="94" t="n">
        <v>190801</v>
      </c>
      <c r="M5163" s="94">
        <f>VLOOKUP($Q5163,매칭테이블!$F:$I,2,0)*K5163</f>
        <v/>
      </c>
      <c r="N5163" s="94">
        <f>M5163-M5163*VLOOKUP($Q5163,매칭테이블!$F:$I,3,0)</f>
        <v/>
      </c>
      <c r="O5163" s="94">
        <f>VLOOKUP($Q5163,매칭테이블!$F:$I,4,0)*K5163</f>
        <v/>
      </c>
      <c r="P5163" s="148">
        <f>M5163/1.1</f>
        <v/>
      </c>
      <c r="Q5163" s="94">
        <f>F5163&amp;E5163&amp;G5163&amp;L5163</f>
        <v/>
      </c>
    </row>
    <row r="5164">
      <c r="A5164" s="94" t="n"/>
      <c r="B5164" s="128" t="n">
        <v>43912</v>
      </c>
      <c r="C5164" s="94">
        <f>TEXT(B5164,"aaa")</f>
        <v/>
      </c>
      <c r="D5164" s="94" t="n"/>
      <c r="E5164" s="6" t="inlineStr">
        <is>
          <t>토너</t>
        </is>
      </c>
      <c r="F5164" s="5" t="inlineStr">
        <is>
          <t>카페24</t>
        </is>
      </c>
      <c r="G5164" s="5" t="inlineStr">
        <is>
          <t>250ml</t>
        </is>
      </c>
      <c r="H5164" s="7" t="n">
        <v>190801</v>
      </c>
      <c r="I5164" s="7" t="n">
        <v>190801</v>
      </c>
      <c r="J5164" s="94" t="n"/>
      <c r="K5164" s="149" t="n">
        <v>63</v>
      </c>
      <c r="L5164" s="7" t="n">
        <v>190801</v>
      </c>
      <c r="M5164" s="94">
        <f>VLOOKUP($Q5164,매칭테이블!$F:$I,2,0)*K5164</f>
        <v/>
      </c>
      <c r="N5164" s="94">
        <f>M5164-M5164*VLOOKUP($Q5164,매칭테이블!$F:$I,3,0)</f>
        <v/>
      </c>
      <c r="O5164" s="94">
        <f>VLOOKUP($Q5164,매칭테이블!$F:$I,4,0)*K5164</f>
        <v/>
      </c>
      <c r="P5164" s="148">
        <f>M5164/1.1</f>
        <v/>
      </c>
      <c r="Q5164" s="94">
        <f>F5164&amp;E5164&amp;G5164&amp;L5164</f>
        <v/>
      </c>
    </row>
    <row r="5165">
      <c r="A5165" s="94" t="n"/>
      <c r="B5165" s="128" t="n">
        <v>43912</v>
      </c>
      <c r="C5165" s="94">
        <f>TEXT(B5165,"aaa")</f>
        <v/>
      </c>
      <c r="D5165" s="94" t="n"/>
      <c r="E5165" s="6" t="inlineStr">
        <is>
          <t>토너</t>
        </is>
      </c>
      <c r="F5165" s="5" t="inlineStr">
        <is>
          <t>카페24</t>
        </is>
      </c>
      <c r="G5165" s="5" t="inlineStr">
        <is>
          <t>250ml 2set</t>
        </is>
      </c>
      <c r="H5165" s="7" t="n">
        <v>190801</v>
      </c>
      <c r="I5165" s="7" t="n">
        <v>190801</v>
      </c>
      <c r="J5165" s="94" t="n"/>
      <c r="K5165" s="149" t="n">
        <v>31</v>
      </c>
      <c r="L5165" s="7" t="n">
        <v>190801</v>
      </c>
      <c r="M5165" s="94">
        <f>VLOOKUP($Q5165,매칭테이블!$F:$I,2,0)*K5165</f>
        <v/>
      </c>
      <c r="N5165" s="94">
        <f>M5165-M5165*VLOOKUP($Q5165,매칭테이블!$F:$I,3,0)</f>
        <v/>
      </c>
      <c r="O5165" s="94">
        <f>VLOOKUP($Q5165,매칭테이블!$F:$I,4,0)*K5165</f>
        <v/>
      </c>
      <c r="P5165" s="148">
        <f>M5165/1.1</f>
        <v/>
      </c>
      <c r="Q5165" s="94">
        <f>F5165&amp;E5165&amp;G5165&amp;L5165</f>
        <v/>
      </c>
    </row>
    <row r="5166">
      <c r="A5166" s="94" t="n"/>
      <c r="B5166" s="128" t="n">
        <v>43912</v>
      </c>
      <c r="C5166" s="94">
        <f>TEXT(B5166,"aaa")</f>
        <v/>
      </c>
      <c r="D5166" s="94" t="n"/>
      <c r="E5166" s="6" t="inlineStr">
        <is>
          <t>토너</t>
        </is>
      </c>
      <c r="F5166" s="5" t="inlineStr">
        <is>
          <t>카페24</t>
        </is>
      </c>
      <c r="G5166" s="5" t="inlineStr">
        <is>
          <t>500ml</t>
        </is>
      </c>
      <c r="H5166" s="7" t="n">
        <v>190801</v>
      </c>
      <c r="I5166" s="7" t="n">
        <v>190801</v>
      </c>
      <c r="J5166" s="94" t="n"/>
      <c r="K5166" s="149" t="n">
        <v>51</v>
      </c>
      <c r="L5166" s="7" t="n">
        <v>190801</v>
      </c>
      <c r="M5166" s="94">
        <f>VLOOKUP($Q5166,매칭테이블!$F:$I,2,0)*K5166</f>
        <v/>
      </c>
      <c r="N5166" s="94">
        <f>M5166-M5166*VLOOKUP($Q5166,매칭테이블!$F:$I,3,0)</f>
        <v/>
      </c>
      <c r="O5166" s="94">
        <f>VLOOKUP($Q5166,매칭테이블!$F:$I,4,0)*K5166</f>
        <v/>
      </c>
      <c r="P5166" s="148">
        <f>M5166/1.1</f>
        <v/>
      </c>
      <c r="Q5166" s="94">
        <f>F5166&amp;E5166&amp;G5166&amp;L5166</f>
        <v/>
      </c>
    </row>
    <row r="5167">
      <c r="A5167" s="94" t="n"/>
      <c r="B5167" s="128" t="n">
        <v>43912</v>
      </c>
      <c r="C5167" s="94">
        <f>TEXT(B5167,"aaa")</f>
        <v/>
      </c>
      <c r="D5167" s="94" t="n"/>
      <c r="E5167" s="6" t="inlineStr">
        <is>
          <t>토너</t>
        </is>
      </c>
      <c r="F5167" s="5" t="inlineStr">
        <is>
          <t>카페24</t>
        </is>
      </c>
      <c r="G5167" s="94" t="inlineStr">
        <is>
          <t>스킨팩 화장솜 60P</t>
        </is>
      </c>
      <c r="H5167" s="7" t="n">
        <v>190801</v>
      </c>
      <c r="I5167" s="7" t="n">
        <v>190801</v>
      </c>
      <c r="J5167" s="94" t="n"/>
      <c r="K5167" s="149" t="n">
        <v>58</v>
      </c>
      <c r="L5167" s="7" t="n">
        <v>190801</v>
      </c>
      <c r="M5167" s="94">
        <f>VLOOKUP($Q5167,매칭테이블!$F:$I,2,0)*K5167</f>
        <v/>
      </c>
      <c r="N5167" s="94">
        <f>M5167-M5167*VLOOKUP($Q5167,매칭테이블!$F:$I,3,0)</f>
        <v/>
      </c>
      <c r="O5167" s="94">
        <f>VLOOKUP($Q5167,매칭테이블!$F:$I,4,0)*K5167</f>
        <v/>
      </c>
      <c r="P5167" s="148">
        <f>M5167/1.1</f>
        <v/>
      </c>
      <c r="Q5167" s="94">
        <f>F5167&amp;E5167&amp;G5167&amp;L5167</f>
        <v/>
      </c>
    </row>
    <row r="5168">
      <c r="A5168" s="94" t="n"/>
      <c r="B5168" s="128" t="n">
        <v>43912</v>
      </c>
      <c r="C5168" s="94">
        <f>TEXT(B5168,"aaa")</f>
        <v/>
      </c>
      <c r="D5168" s="94" t="n"/>
      <c r="E5168" s="94" t="inlineStr">
        <is>
          <t>클렌징폼</t>
        </is>
      </c>
      <c r="F5168" s="5" t="inlineStr">
        <is>
          <t>카페24</t>
        </is>
      </c>
      <c r="G5168" s="94" t="inlineStr">
        <is>
          <t>클렌징폼 120ml</t>
        </is>
      </c>
      <c r="H5168" s="7" t="n">
        <v>190801</v>
      </c>
      <c r="I5168" s="7" t="n">
        <v>190801</v>
      </c>
      <c r="J5168" s="94" t="n"/>
      <c r="K5168" s="149" t="n">
        <v>14</v>
      </c>
      <c r="L5168" s="7" t="n">
        <v>190801</v>
      </c>
      <c r="M5168" s="94">
        <f>VLOOKUP($Q5168,매칭테이블!$F:$I,2,0)*K5168</f>
        <v/>
      </c>
      <c r="N5168" s="94">
        <f>M5168-M5168*VLOOKUP($Q5168,매칭테이블!$F:$I,3,0)</f>
        <v/>
      </c>
      <c r="O5168" s="94">
        <f>VLOOKUP($Q5168,매칭테이블!$F:$I,4,0)*K5168</f>
        <v/>
      </c>
      <c r="P5168" s="148">
        <f>M5168/1.1</f>
        <v/>
      </c>
      <c r="Q5168" s="94">
        <f>F5168&amp;E5168&amp;G5168&amp;L5168</f>
        <v/>
      </c>
    </row>
    <row r="5169">
      <c r="A5169" s="94" t="n"/>
      <c r="B5169" s="128" t="n">
        <v>43912</v>
      </c>
      <c r="C5169" s="94">
        <f>TEXT(B5169,"aaa")</f>
        <v/>
      </c>
      <c r="D5169" s="94" t="n"/>
      <c r="E5169" s="94" t="inlineStr">
        <is>
          <t>클렌징폼</t>
        </is>
      </c>
      <c r="F5169" s="94" t="inlineStr">
        <is>
          <t>카페24</t>
        </is>
      </c>
      <c r="G5169" s="94" t="inlineStr">
        <is>
          <t>클렌징폼 120ml 2set</t>
        </is>
      </c>
      <c r="H5169" s="7" t="n">
        <v>190801</v>
      </c>
      <c r="I5169" s="7" t="n">
        <v>190801</v>
      </c>
      <c r="J5169" s="94" t="n"/>
      <c r="K5169" s="149" t="n">
        <v>2</v>
      </c>
      <c r="L5169" s="7" t="n">
        <v>190801</v>
      </c>
      <c r="M5169" s="94">
        <f>VLOOKUP($Q5169,매칭테이블!$F:$I,2,0)*K5169</f>
        <v/>
      </c>
      <c r="N5169" s="94">
        <f>M5169-M5169*VLOOKUP($Q5169,매칭테이블!$F:$I,3,0)</f>
        <v/>
      </c>
      <c r="O5169" s="94">
        <f>VLOOKUP($Q5169,매칭테이블!$F:$I,4,0)*K5169</f>
        <v/>
      </c>
      <c r="P5169" s="148">
        <f>M5169/1.1</f>
        <v/>
      </c>
      <c r="Q5169" s="94">
        <f>F5169&amp;E5169&amp;G5169&amp;L5169</f>
        <v/>
      </c>
    </row>
    <row r="5170">
      <c r="A5170" s="94" t="n"/>
      <c r="B5170" s="128" t="n">
        <v>43912</v>
      </c>
      <c r="C5170" s="94">
        <f>TEXT(B5170,"aaa")</f>
        <v/>
      </c>
      <c r="D5170" s="94" t="n"/>
      <c r="E5170" s="94" t="inlineStr">
        <is>
          <t>마스크팩</t>
        </is>
      </c>
      <c r="F5170" s="94" t="inlineStr">
        <is>
          <t>카페24</t>
        </is>
      </c>
      <c r="G5170" s="94" t="inlineStr">
        <is>
          <t>마스크팩 1매</t>
        </is>
      </c>
      <c r="H5170" s="7" t="n">
        <v>190801</v>
      </c>
      <c r="I5170" s="7" t="n">
        <v>190801</v>
      </c>
      <c r="J5170" s="94" t="n"/>
      <c r="K5170" s="149" t="n">
        <v>2</v>
      </c>
      <c r="L5170" s="94" t="n">
        <v>190801</v>
      </c>
      <c r="M5170" s="94">
        <f>VLOOKUP($Q5170,매칭테이블!$F:$I,2,0)*K5170</f>
        <v/>
      </c>
      <c r="N5170" s="94">
        <f>M5170-M5170*VLOOKUP($Q5170,매칭테이블!$F:$I,3,0)</f>
        <v/>
      </c>
      <c r="O5170" s="94">
        <f>VLOOKUP($Q5170,매칭테이블!$F:$I,4,0)*K5170</f>
        <v/>
      </c>
      <c r="P5170" s="148">
        <f>M5170/1.1</f>
        <v/>
      </c>
      <c r="Q5170" s="94">
        <f>F5170&amp;E5170&amp;G5170&amp;L5170</f>
        <v/>
      </c>
    </row>
    <row r="5171">
      <c r="A5171" s="94" t="n"/>
      <c r="B5171" s="128" t="n">
        <v>43912</v>
      </c>
      <c r="C5171" s="94">
        <f>TEXT(B5171,"aaa")</f>
        <v/>
      </c>
      <c r="D5171" s="94" t="n"/>
      <c r="E5171" s="94" t="inlineStr">
        <is>
          <t>마스크팩</t>
        </is>
      </c>
      <c r="F5171" s="94" t="inlineStr">
        <is>
          <t>카페24</t>
        </is>
      </c>
      <c r="G5171" s="94" t="inlineStr">
        <is>
          <t>마스크팩 10매</t>
        </is>
      </c>
      <c r="H5171" s="7" t="n">
        <v>190801</v>
      </c>
      <c r="I5171" s="7" t="n">
        <v>190801</v>
      </c>
      <c r="J5171" s="94" t="n"/>
      <c r="K5171" s="149" t="n">
        <v>7</v>
      </c>
      <c r="L5171" s="94" t="n">
        <v>190801</v>
      </c>
      <c r="M5171" s="94">
        <f>VLOOKUP($Q5171,매칭테이블!$F:$I,2,0)*K5171</f>
        <v/>
      </c>
      <c r="N5171" s="94">
        <f>M5171-M5171*VLOOKUP($Q5171,매칭테이블!$F:$I,3,0)</f>
        <v/>
      </c>
      <c r="O5171" s="94">
        <f>VLOOKUP($Q5171,매칭테이블!$F:$I,4,0)*K5171</f>
        <v/>
      </c>
      <c r="P5171" s="148">
        <f>M5171/1.1</f>
        <v/>
      </c>
      <c r="Q5171" s="94">
        <f>F5171&amp;E5171&amp;G5171&amp;L5171</f>
        <v/>
      </c>
    </row>
    <row r="5172">
      <c r="A5172" s="94" t="n"/>
      <c r="B5172" s="128" t="n">
        <v>43912</v>
      </c>
      <c r="C5172" s="94">
        <f>TEXT(B5172,"aaa")</f>
        <v/>
      </c>
      <c r="D5172" s="94" t="n"/>
      <c r="E5172" s="94" t="inlineStr">
        <is>
          <t>토너+머드크림세트</t>
        </is>
      </c>
      <c r="F5172" s="94" t="inlineStr">
        <is>
          <t>카페24</t>
        </is>
      </c>
      <c r="G5172" s="94" t="inlineStr">
        <is>
          <t>250ml</t>
        </is>
      </c>
      <c r="H5172" s="7" t="n">
        <v>190801</v>
      </c>
      <c r="I5172" s="7" t="n">
        <v>190801</v>
      </c>
      <c r="J5172" s="94" t="n"/>
      <c r="K5172" s="149" t="n">
        <v>1</v>
      </c>
      <c r="L5172" s="94" t="n">
        <v>190801</v>
      </c>
      <c r="M5172" s="94">
        <f>VLOOKUP($Q5172,매칭테이블!$F:$I,2,0)*K5172</f>
        <v/>
      </c>
      <c r="N5172" s="94">
        <f>M5172-M5172*VLOOKUP($Q5172,매칭테이블!$F:$I,3,0)</f>
        <v/>
      </c>
      <c r="O5172" s="94">
        <f>VLOOKUP($Q5172,매칭테이블!$F:$I,4,0)*K5172</f>
        <v/>
      </c>
      <c r="P5172" s="148">
        <f>M5172/1.1</f>
        <v/>
      </c>
      <c r="Q5172" s="94">
        <f>F5172&amp;E5172&amp;G5172&amp;L5172</f>
        <v/>
      </c>
    </row>
    <row r="5173">
      <c r="A5173" s="94" t="n"/>
      <c r="B5173" s="128" t="n">
        <v>43912</v>
      </c>
      <c r="C5173" s="94">
        <f>TEXT(B5173,"aaa")</f>
        <v/>
      </c>
      <c r="D5173" s="94" t="n"/>
      <c r="E5173" s="94" t="inlineStr">
        <is>
          <t>토너+머드크림세트</t>
        </is>
      </c>
      <c r="F5173" s="94" t="inlineStr">
        <is>
          <t>카페24</t>
        </is>
      </c>
      <c r="G5173" s="94" t="inlineStr">
        <is>
          <t>머드크림마스크 100ml</t>
        </is>
      </c>
      <c r="H5173" s="7" t="n">
        <v>190801</v>
      </c>
      <c r="I5173" s="7" t="n">
        <v>190801</v>
      </c>
      <c r="J5173" s="94" t="n"/>
      <c r="K5173" s="149" t="n">
        <v>1</v>
      </c>
      <c r="L5173" s="94" t="n">
        <v>190801</v>
      </c>
      <c r="M5173" s="94">
        <f>VLOOKUP($Q5173,매칭테이블!$F:$I,2,0)*K5173</f>
        <v/>
      </c>
      <c r="N5173" s="94">
        <f>M5173-M5173*VLOOKUP($Q5173,매칭테이블!$F:$I,3,0)</f>
        <v/>
      </c>
      <c r="O5173" s="94">
        <f>VLOOKUP($Q5173,매칭테이블!$F:$I,4,0)*K5173</f>
        <v/>
      </c>
      <c r="P5173" s="148">
        <f>M5173/1.1</f>
        <v/>
      </c>
      <c r="Q5173" s="94">
        <f>F5173&amp;E5173&amp;G5173&amp;L5173</f>
        <v/>
      </c>
    </row>
    <row r="5174">
      <c r="A5174" s="94" t="n"/>
      <c r="B5174" s="128" t="n">
        <v>43912</v>
      </c>
      <c r="C5174" s="94">
        <f>TEXT(B5174,"aaa")</f>
        <v/>
      </c>
      <c r="D5174" s="94" t="n"/>
      <c r="E5174" s="94" t="inlineStr">
        <is>
          <t>토너 기획세트</t>
        </is>
      </c>
      <c r="F5174" s="5" t="inlineStr">
        <is>
          <t>랄라블라</t>
        </is>
      </c>
      <c r="G5174" s="94" t="inlineStr">
        <is>
          <t>토너 기획세트</t>
        </is>
      </c>
      <c r="H5174" s="7" t="n">
        <v>190801</v>
      </c>
      <c r="I5174" s="7" t="n">
        <v>190801</v>
      </c>
      <c r="J5174" s="94" t="n"/>
      <c r="K5174" s="149" t="n">
        <v>540</v>
      </c>
      <c r="L5174" s="7" t="n">
        <v>190801</v>
      </c>
      <c r="M5174" s="94">
        <f>VLOOKUP($Q5174,매칭테이블!$F:$I,2,0)*K5174</f>
        <v/>
      </c>
      <c r="N5174" s="94">
        <f>M5174-M5174*VLOOKUP($Q5174,매칭테이블!$F:$I,3,0)</f>
        <v/>
      </c>
      <c r="O5174" s="94">
        <f>VLOOKUP($Q5174,매칭테이블!$F:$I,4,0)*K5174</f>
        <v/>
      </c>
      <c r="P5174" s="148">
        <f>M5174/1.1</f>
        <v/>
      </c>
      <c r="Q5174" s="94">
        <f>F5174&amp;E5174&amp;G5174&amp;L5174</f>
        <v/>
      </c>
    </row>
    <row r="5175">
      <c r="A5175" s="94" t="n"/>
      <c r="B5175" s="128" t="n">
        <v>43912</v>
      </c>
      <c r="C5175" s="94">
        <f>TEXT(B5175,"aaa")</f>
        <v/>
      </c>
      <c r="D5175" s="94" t="n"/>
      <c r="E5175" s="94" t="inlineStr">
        <is>
          <t>토너</t>
        </is>
      </c>
      <c r="F5175" s="5" t="inlineStr">
        <is>
          <t>랄라블라</t>
        </is>
      </c>
      <c r="G5175" s="94" t="inlineStr">
        <is>
          <t>250ml</t>
        </is>
      </c>
      <c r="H5175" s="7" t="n">
        <v>190801</v>
      </c>
      <c r="I5175" s="7" t="n">
        <v>190801</v>
      </c>
      <c r="J5175" s="94" t="n"/>
      <c r="K5175" s="149" t="n">
        <v>605</v>
      </c>
      <c r="L5175" s="92" t="n">
        <v>190801</v>
      </c>
      <c r="M5175" s="94">
        <f>VLOOKUP($Q5175,매칭테이블!$F:$I,2,0)*K5175</f>
        <v/>
      </c>
      <c r="N5175" s="94">
        <f>M5175-M5175*VLOOKUP($Q5175,매칭테이블!$F:$I,3,0)</f>
        <v/>
      </c>
      <c r="O5175" s="94">
        <f>VLOOKUP($Q5175,매칭테이블!$F:$I,4,0)*K5175</f>
        <v/>
      </c>
      <c r="P5175" s="148">
        <f>M5175/1.1</f>
        <v/>
      </c>
      <c r="Q5175" s="94">
        <f>F5175&amp;E5175&amp;G5175&amp;L5175</f>
        <v/>
      </c>
    </row>
    <row r="5176">
      <c r="A5176" s="94" t="n"/>
      <c r="B5176" s="128" t="n">
        <v>43912</v>
      </c>
      <c r="C5176" s="94">
        <f>TEXT(B5176,"aaa")</f>
        <v/>
      </c>
      <c r="D5176" s="94" t="n"/>
      <c r="E5176" s="94" t="inlineStr">
        <is>
          <t>머드크림마스크</t>
        </is>
      </c>
      <c r="F5176" s="5" t="inlineStr">
        <is>
          <t>랄라블라</t>
        </is>
      </c>
      <c r="G5176" s="94" t="inlineStr">
        <is>
          <t>머드크림마스크 100ml</t>
        </is>
      </c>
      <c r="H5176" s="7" t="n">
        <v>190801</v>
      </c>
      <c r="I5176" s="7" t="n">
        <v>190801</v>
      </c>
      <c r="J5176" s="94" t="n"/>
      <c r="K5176" s="149" t="n">
        <v>8</v>
      </c>
      <c r="L5176" s="94" t="n">
        <v>190801</v>
      </c>
      <c r="M5176" s="94">
        <f>VLOOKUP($Q5176,매칭테이블!$F:$I,2,0)*K5176</f>
        <v/>
      </c>
      <c r="N5176" s="94">
        <f>M5176-M5176*VLOOKUP($Q5176,매칭테이블!$F:$I,3,0)</f>
        <v/>
      </c>
      <c r="O5176" s="94">
        <f>VLOOKUP($Q5176,매칭테이블!$F:$I,4,0)*K5176</f>
        <v/>
      </c>
      <c r="P5176" s="148">
        <f>M5176/1.1</f>
        <v/>
      </c>
      <c r="Q5176" s="94">
        <f>F5176&amp;E5176&amp;G5176&amp;L5176</f>
        <v/>
      </c>
    </row>
    <row r="5177">
      <c r="A5177" s="94" t="n"/>
      <c r="B5177" s="128" t="n">
        <v>43912</v>
      </c>
      <c r="C5177" s="94">
        <f>TEXT(B5177,"aaa")</f>
        <v/>
      </c>
      <c r="D5177" s="94" t="n"/>
      <c r="E5177" s="94" t="inlineStr">
        <is>
          <t>클렌징폼</t>
        </is>
      </c>
      <c r="F5177" s="5" t="inlineStr">
        <is>
          <t>랄라블라</t>
        </is>
      </c>
      <c r="G5177" s="94" t="inlineStr">
        <is>
          <t>클렌징폼 120ml</t>
        </is>
      </c>
      <c r="H5177" s="7" t="n">
        <v>190801</v>
      </c>
      <c r="I5177" s="7" t="n">
        <v>190801</v>
      </c>
      <c r="J5177" s="94" t="n"/>
      <c r="K5177" s="149" t="n">
        <v>11</v>
      </c>
      <c r="L5177" s="7" t="n">
        <v>190801</v>
      </c>
      <c r="M5177" s="94">
        <f>VLOOKUP($Q5177,매칭테이블!$F:$I,2,0)*K5177</f>
        <v/>
      </c>
      <c r="N5177" s="94">
        <f>M5177-M5177*VLOOKUP($Q5177,매칭테이블!$F:$I,3,0)</f>
        <v/>
      </c>
      <c r="O5177" s="94">
        <f>VLOOKUP($Q5177,매칭테이블!$F:$I,4,0)*K5177</f>
        <v/>
      </c>
      <c r="P5177" s="148">
        <f>M5177/1.1</f>
        <v/>
      </c>
      <c r="Q5177" s="94">
        <f>F5177&amp;E5177&amp;G5177&amp;L5177</f>
        <v/>
      </c>
    </row>
    <row r="5178">
      <c r="A5178" s="94" t="n"/>
      <c r="B5178" s="128" t="n">
        <v>43912</v>
      </c>
      <c r="C5178" s="94">
        <f>TEXT(B5178,"aaa")</f>
        <v/>
      </c>
      <c r="D5178" s="94" t="n"/>
      <c r="E5178" s="94" t="inlineStr">
        <is>
          <t>마스크팩</t>
        </is>
      </c>
      <c r="F5178" s="5" t="inlineStr">
        <is>
          <t>랄라블라</t>
        </is>
      </c>
      <c r="G5178" s="94" t="inlineStr">
        <is>
          <t>마스크팩 1매</t>
        </is>
      </c>
      <c r="H5178" s="7" t="n">
        <v>190801</v>
      </c>
      <c r="I5178" s="7" t="n">
        <v>190801</v>
      </c>
      <c r="J5178" s="94" t="n"/>
      <c r="K5178" s="149" t="n">
        <v>258</v>
      </c>
      <c r="L5178" s="94" t="n">
        <v>190801</v>
      </c>
      <c r="M5178" s="94">
        <f>VLOOKUP($Q5178,매칭테이블!$F:$I,2,0)*K5178</f>
        <v/>
      </c>
      <c r="N5178" s="94">
        <f>M5178-M5178*VLOOKUP($Q5178,매칭테이블!$F:$I,3,0)</f>
        <v/>
      </c>
      <c r="O5178" s="94">
        <f>VLOOKUP($Q5178,매칭테이블!$F:$I,4,0)*K5178</f>
        <v/>
      </c>
      <c r="P5178" s="148">
        <f>M5178/1.1</f>
        <v/>
      </c>
      <c r="Q5178" s="94">
        <f>F5178&amp;E5178&amp;G5178&amp;L5178</f>
        <v/>
      </c>
    </row>
    <row r="5179">
      <c r="A5179" s="94" t="n"/>
      <c r="B5179" s="128" t="n">
        <v>43913</v>
      </c>
      <c r="C5179" s="94">
        <f>TEXT(B5179,"aaa")</f>
        <v/>
      </c>
      <c r="D5179" s="94" t="n"/>
      <c r="E5179" s="6" t="inlineStr">
        <is>
          <t>토너</t>
        </is>
      </c>
      <c r="F5179" s="5" t="inlineStr">
        <is>
          <t>W컨셉</t>
        </is>
      </c>
      <c r="G5179" s="5" t="inlineStr">
        <is>
          <t>250ml</t>
        </is>
      </c>
      <c r="H5179" s="7" t="n">
        <v>190801</v>
      </c>
      <c r="I5179" s="7" t="n">
        <v>190801</v>
      </c>
      <c r="J5179" s="94" t="n"/>
      <c r="K5179" s="149" t="n">
        <v>3</v>
      </c>
      <c r="L5179" s="7" t="n">
        <v>190801</v>
      </c>
      <c r="M5179" s="94">
        <f>VLOOKUP($Q5179,매칭테이블!$F:$I,2,0)*K5179</f>
        <v/>
      </c>
      <c r="N5179" s="94">
        <f>M5179-M5179*VLOOKUP($Q5179,매칭테이블!$F:$I,3,0)</f>
        <v/>
      </c>
      <c r="O5179" s="94">
        <f>VLOOKUP($Q5179,매칭테이블!$F:$I,4,0)*K5179</f>
        <v/>
      </c>
      <c r="P5179" s="148">
        <f>M5179/1.1</f>
        <v/>
      </c>
      <c r="Q5179" s="94">
        <f>F5179&amp;E5179&amp;G5179&amp;L5179</f>
        <v/>
      </c>
    </row>
    <row r="5180">
      <c r="A5180" s="94" t="n"/>
      <c r="B5180" s="128" t="n">
        <v>43913</v>
      </c>
      <c r="C5180" s="94">
        <f>TEXT(B5180,"aaa")</f>
        <v/>
      </c>
      <c r="D5180" s="94" t="n"/>
      <c r="E5180" s="6" t="inlineStr">
        <is>
          <t>토너</t>
        </is>
      </c>
      <c r="F5180" s="5" t="inlineStr">
        <is>
          <t>W컨셉</t>
        </is>
      </c>
      <c r="G5180" s="5" t="inlineStr">
        <is>
          <t>250ml 2set</t>
        </is>
      </c>
      <c r="H5180" s="7" t="n">
        <v>190801</v>
      </c>
      <c r="I5180" s="7" t="n">
        <v>190801</v>
      </c>
      <c r="J5180" s="94" t="n"/>
      <c r="K5180" s="149" t="n">
        <v>12</v>
      </c>
      <c r="L5180" s="7" t="n">
        <v>190801</v>
      </c>
      <c r="M5180" s="94">
        <f>VLOOKUP($Q5180,매칭테이블!$F:$I,2,0)*K5180</f>
        <v/>
      </c>
      <c r="N5180" s="94">
        <f>M5180-M5180*VLOOKUP($Q5180,매칭테이블!$F:$I,3,0)</f>
        <v/>
      </c>
      <c r="O5180" s="94">
        <f>VLOOKUP($Q5180,매칭테이블!$F:$I,4,0)*K5180</f>
        <v/>
      </c>
      <c r="P5180" s="148">
        <f>M5180/1.1</f>
        <v/>
      </c>
      <c r="Q5180" s="94">
        <f>F5180&amp;E5180&amp;G5180&amp;L5180</f>
        <v/>
      </c>
    </row>
    <row r="5181">
      <c r="A5181" s="94" t="n"/>
      <c r="B5181" s="128" t="n">
        <v>43913</v>
      </c>
      <c r="C5181" s="94">
        <f>TEXT(B5181,"aaa")</f>
        <v/>
      </c>
      <c r="D5181" s="94" t="n"/>
      <c r="E5181" s="94" t="inlineStr">
        <is>
          <t>토너</t>
        </is>
      </c>
      <c r="F5181" s="5" t="inlineStr">
        <is>
          <t>스타일쉐어</t>
        </is>
      </c>
      <c r="G5181" s="94" t="inlineStr">
        <is>
          <t>250ml</t>
        </is>
      </c>
      <c r="H5181" s="7" t="n">
        <v>190801</v>
      </c>
      <c r="I5181" s="7" t="n">
        <v>190801</v>
      </c>
      <c r="J5181" s="94" t="n"/>
      <c r="K5181" s="149" t="n">
        <v>11</v>
      </c>
      <c r="L5181" s="92" t="n">
        <v>190801</v>
      </c>
      <c r="M5181" s="94">
        <f>VLOOKUP($Q5181,매칭테이블!$F:$I,2,0)*K5181</f>
        <v/>
      </c>
      <c r="N5181" s="94">
        <f>M5181-M5181*VLOOKUP($Q5181,매칭테이블!$F:$I,3,0)</f>
        <v/>
      </c>
      <c r="O5181" s="94">
        <f>VLOOKUP($Q5181,매칭테이블!$F:$I,4,0)*K5181</f>
        <v/>
      </c>
      <c r="P5181" s="148">
        <f>M5181/1.1</f>
        <v/>
      </c>
      <c r="Q5181" s="94">
        <f>F5181&amp;E5181&amp;G5181&amp;L5181</f>
        <v/>
      </c>
    </row>
    <row r="5182">
      <c r="A5182" s="94" t="n"/>
      <c r="B5182" s="128" t="n">
        <v>43913</v>
      </c>
      <c r="C5182" s="94">
        <f>TEXT(B5182,"aaa")</f>
        <v/>
      </c>
      <c r="D5182" s="94" t="n"/>
      <c r="E5182" s="94" t="inlineStr">
        <is>
          <t>앰플</t>
        </is>
      </c>
      <c r="F5182" s="94" t="inlineStr">
        <is>
          <t>아누아 CS</t>
        </is>
      </c>
      <c r="G5182" s="94" t="inlineStr">
        <is>
          <t>앰플 30ml</t>
        </is>
      </c>
      <c r="H5182" s="7" t="n">
        <v>190801</v>
      </c>
      <c r="I5182" s="7" t="n">
        <v>190801</v>
      </c>
      <c r="J5182" s="94" t="n"/>
      <c r="K5182" s="149" t="n">
        <v>11</v>
      </c>
      <c r="L5182" s="92" t="n">
        <v>190801</v>
      </c>
      <c r="M5182" s="94">
        <f>VLOOKUP($Q5182,매칭테이블!$F:$I,2,0)*K5182</f>
        <v/>
      </c>
      <c r="N5182" s="94">
        <f>M5182-M5182*VLOOKUP($Q5182,매칭테이블!$F:$I,3,0)</f>
        <v/>
      </c>
      <c r="O5182" s="94">
        <f>VLOOKUP($Q5182,매칭테이블!$F:$I,4,0)*K5182</f>
        <v/>
      </c>
      <c r="P5182" s="148">
        <f>M5182/1.1</f>
        <v/>
      </c>
      <c r="Q5182" s="94">
        <f>F5182&amp;E5182&amp;G5182&amp;L5182</f>
        <v/>
      </c>
    </row>
    <row r="5183">
      <c r="A5183" s="94" t="n"/>
      <c r="B5183" s="128" t="n">
        <v>43913</v>
      </c>
      <c r="C5183" s="94">
        <f>TEXT(B5183,"aaa")</f>
        <v/>
      </c>
      <c r="D5183" s="94" t="n"/>
      <c r="E5183" s="94" t="inlineStr">
        <is>
          <t>머드크림마스크</t>
        </is>
      </c>
      <c r="F5183" s="94" t="inlineStr">
        <is>
          <t>카페24</t>
        </is>
      </c>
      <c r="G5183" s="94" t="inlineStr">
        <is>
          <t>머드크림마스크 100ml</t>
        </is>
      </c>
      <c r="H5183" s="7" t="n">
        <v>190801</v>
      </c>
      <c r="I5183" s="7" t="n">
        <v>190801</v>
      </c>
      <c r="J5183" s="94" t="n"/>
      <c r="K5183" s="149" t="n">
        <v>39</v>
      </c>
      <c r="L5183" s="94" t="n">
        <v>190801</v>
      </c>
      <c r="M5183" s="94">
        <f>VLOOKUP($Q5183,매칭테이블!$F:$I,2,0)*K5183</f>
        <v/>
      </c>
      <c r="N5183" s="94">
        <f>M5183-M5183*VLOOKUP($Q5183,매칭테이블!$F:$I,3,0)</f>
        <v/>
      </c>
      <c r="O5183" s="94">
        <f>VLOOKUP($Q5183,매칭테이블!$F:$I,4,0)*K5183</f>
        <v/>
      </c>
      <c r="P5183" s="148">
        <f>M5183/1.1</f>
        <v/>
      </c>
      <c r="Q5183" s="94">
        <f>F5183&amp;E5183&amp;G5183&amp;L5183</f>
        <v/>
      </c>
    </row>
    <row r="5184">
      <c r="A5184" s="94" t="n"/>
      <c r="B5184" s="128" t="n">
        <v>43913</v>
      </c>
      <c r="C5184" s="94">
        <f>TEXT(B5184,"aaa")</f>
        <v/>
      </c>
      <c r="D5184" s="94" t="n"/>
      <c r="E5184" s="94" t="inlineStr">
        <is>
          <t>머드크림마스크</t>
        </is>
      </c>
      <c r="F5184" s="94" t="inlineStr">
        <is>
          <t>카페24</t>
        </is>
      </c>
      <c r="G5184" s="94" t="inlineStr">
        <is>
          <t>머드크림마스크 100ml 2set</t>
        </is>
      </c>
      <c r="H5184" s="7" t="n">
        <v>190801</v>
      </c>
      <c r="I5184" s="7" t="n">
        <v>190801</v>
      </c>
      <c r="J5184" s="94" t="n"/>
      <c r="K5184" s="149" t="n">
        <v>11</v>
      </c>
      <c r="L5184" s="94" t="n">
        <v>190801</v>
      </c>
      <c r="M5184" s="94">
        <f>VLOOKUP($Q5184,매칭테이블!$F:$I,2,0)*K5184</f>
        <v/>
      </c>
      <c r="N5184" s="94">
        <f>M5184-M5184*VLOOKUP($Q5184,매칭테이블!$F:$I,3,0)</f>
        <v/>
      </c>
      <c r="O5184" s="94">
        <f>VLOOKUP($Q5184,매칭테이블!$F:$I,4,0)*K5184</f>
        <v/>
      </c>
      <c r="P5184" s="148">
        <f>M5184/1.1</f>
        <v/>
      </c>
      <c r="Q5184" s="94">
        <f>F5184&amp;E5184&amp;G5184&amp;L5184</f>
        <v/>
      </c>
    </row>
    <row r="5185">
      <c r="A5185" s="94" t="n"/>
      <c r="B5185" s="128" t="n">
        <v>43913</v>
      </c>
      <c r="C5185" s="94">
        <f>TEXT(B5185,"aaa")</f>
        <v/>
      </c>
      <c r="D5185" s="94" t="n"/>
      <c r="E5185" s="6" t="inlineStr">
        <is>
          <t>토너</t>
        </is>
      </c>
      <c r="F5185" s="5" t="inlineStr">
        <is>
          <t>카페24</t>
        </is>
      </c>
      <c r="G5185" s="5" t="inlineStr">
        <is>
          <t>250ml</t>
        </is>
      </c>
      <c r="H5185" s="7" t="n">
        <v>190801</v>
      </c>
      <c r="I5185" s="7" t="n">
        <v>190801</v>
      </c>
      <c r="J5185" s="94" t="n"/>
      <c r="K5185" s="149" t="n">
        <v>100</v>
      </c>
      <c r="L5185" s="7" t="n">
        <v>190801</v>
      </c>
      <c r="M5185" s="94">
        <f>VLOOKUP($Q5185,매칭테이블!$F:$I,2,0)*K5185</f>
        <v/>
      </c>
      <c r="N5185" s="94">
        <f>M5185-M5185*VLOOKUP($Q5185,매칭테이블!$F:$I,3,0)</f>
        <v/>
      </c>
      <c r="O5185" s="94">
        <f>VLOOKUP($Q5185,매칭테이블!$F:$I,4,0)*K5185</f>
        <v/>
      </c>
      <c r="P5185" s="148">
        <f>M5185/1.1</f>
        <v/>
      </c>
      <c r="Q5185" s="94">
        <f>F5185&amp;E5185&amp;G5185&amp;L5185</f>
        <v/>
      </c>
    </row>
    <row r="5186">
      <c r="A5186" s="94" t="n"/>
      <c r="B5186" s="128" t="n">
        <v>43913</v>
      </c>
      <c r="C5186" s="94">
        <f>TEXT(B5186,"aaa")</f>
        <v/>
      </c>
      <c r="D5186" s="94" t="n"/>
      <c r="E5186" s="6" t="inlineStr">
        <is>
          <t>토너</t>
        </is>
      </c>
      <c r="F5186" s="5" t="inlineStr">
        <is>
          <t>카페24</t>
        </is>
      </c>
      <c r="G5186" s="5" t="inlineStr">
        <is>
          <t>250ml 2set</t>
        </is>
      </c>
      <c r="H5186" s="7" t="n">
        <v>190801</v>
      </c>
      <c r="I5186" s="7" t="n">
        <v>190801</v>
      </c>
      <c r="J5186" s="94" t="n"/>
      <c r="K5186" s="149" t="n">
        <v>47</v>
      </c>
      <c r="L5186" s="7" t="n">
        <v>190801</v>
      </c>
      <c r="M5186" s="94">
        <f>VLOOKUP($Q5186,매칭테이블!$F:$I,2,0)*K5186</f>
        <v/>
      </c>
      <c r="N5186" s="94">
        <f>M5186-M5186*VLOOKUP($Q5186,매칭테이블!$F:$I,3,0)</f>
        <v/>
      </c>
      <c r="O5186" s="94">
        <f>VLOOKUP($Q5186,매칭테이블!$F:$I,4,0)*K5186</f>
        <v/>
      </c>
      <c r="P5186" s="148">
        <f>M5186/1.1</f>
        <v/>
      </c>
      <c r="Q5186" s="94">
        <f>F5186&amp;E5186&amp;G5186&amp;L5186</f>
        <v/>
      </c>
    </row>
    <row r="5187">
      <c r="A5187" s="94" t="n"/>
      <c r="B5187" s="128" t="n">
        <v>43913</v>
      </c>
      <c r="C5187" s="94">
        <f>TEXT(B5187,"aaa")</f>
        <v/>
      </c>
      <c r="D5187" s="94" t="n"/>
      <c r="E5187" s="6" t="inlineStr">
        <is>
          <t>토너</t>
        </is>
      </c>
      <c r="F5187" s="5" t="inlineStr">
        <is>
          <t>카페24</t>
        </is>
      </c>
      <c r="G5187" s="5" t="inlineStr">
        <is>
          <t>500ml</t>
        </is>
      </c>
      <c r="H5187" s="7" t="n">
        <v>190801</v>
      </c>
      <c r="I5187" s="7" t="n">
        <v>190801</v>
      </c>
      <c r="J5187" s="94" t="n"/>
      <c r="K5187" s="149" t="n">
        <v>121</v>
      </c>
      <c r="L5187" s="7" t="n">
        <v>190801</v>
      </c>
      <c r="M5187" s="94">
        <f>VLOOKUP($Q5187,매칭테이블!$F:$I,2,0)*K5187</f>
        <v/>
      </c>
      <c r="N5187" s="94">
        <f>M5187-M5187*VLOOKUP($Q5187,매칭테이블!$F:$I,3,0)</f>
        <v/>
      </c>
      <c r="O5187" s="94">
        <f>VLOOKUP($Q5187,매칭테이블!$F:$I,4,0)*K5187</f>
        <v/>
      </c>
      <c r="P5187" s="148">
        <f>M5187/1.1</f>
        <v/>
      </c>
      <c r="Q5187" s="94">
        <f>F5187&amp;E5187&amp;G5187&amp;L5187</f>
        <v/>
      </c>
    </row>
    <row r="5188">
      <c r="A5188" s="94" t="n"/>
      <c r="B5188" s="128" t="n">
        <v>43913</v>
      </c>
      <c r="C5188" s="94">
        <f>TEXT(B5188,"aaa")</f>
        <v/>
      </c>
      <c r="D5188" s="94" t="n"/>
      <c r="E5188" s="6" t="inlineStr">
        <is>
          <t>토너</t>
        </is>
      </c>
      <c r="F5188" s="5" t="inlineStr">
        <is>
          <t>카페24</t>
        </is>
      </c>
      <c r="G5188" s="94" t="inlineStr">
        <is>
          <t>스킨팩 화장솜 60P</t>
        </is>
      </c>
      <c r="H5188" s="7" t="n">
        <v>190801</v>
      </c>
      <c r="I5188" s="7" t="n">
        <v>190801</v>
      </c>
      <c r="J5188" s="94" t="n"/>
      <c r="K5188" s="149" t="n">
        <v>118</v>
      </c>
      <c r="L5188" s="7" t="n">
        <v>190801</v>
      </c>
      <c r="M5188" s="94">
        <f>VLOOKUP($Q5188,매칭테이블!$F:$I,2,0)*K5188</f>
        <v/>
      </c>
      <c r="N5188" s="94">
        <f>M5188-M5188*VLOOKUP($Q5188,매칭테이블!$F:$I,3,0)</f>
        <v/>
      </c>
      <c r="O5188" s="94">
        <f>VLOOKUP($Q5188,매칭테이블!$F:$I,4,0)*K5188</f>
        <v/>
      </c>
      <c r="P5188" s="148">
        <f>M5188/1.1</f>
        <v/>
      </c>
      <c r="Q5188" s="94">
        <f>F5188&amp;E5188&amp;G5188&amp;L5188</f>
        <v/>
      </c>
    </row>
    <row r="5189">
      <c r="A5189" s="94" t="n"/>
      <c r="B5189" s="128" t="n">
        <v>43913</v>
      </c>
      <c r="C5189" s="94">
        <f>TEXT(B5189,"aaa")</f>
        <v/>
      </c>
      <c r="D5189" s="94" t="n"/>
      <c r="E5189" s="94" t="inlineStr">
        <is>
          <t>클렌징폼</t>
        </is>
      </c>
      <c r="F5189" s="5" t="inlineStr">
        <is>
          <t>카페24</t>
        </is>
      </c>
      <c r="G5189" s="94" t="inlineStr">
        <is>
          <t>클렌징폼 120ml</t>
        </is>
      </c>
      <c r="H5189" s="7" t="n">
        <v>190801</v>
      </c>
      <c r="I5189" s="7" t="n">
        <v>190801</v>
      </c>
      <c r="J5189" s="94" t="n"/>
      <c r="K5189" s="149" t="n">
        <v>22</v>
      </c>
      <c r="L5189" s="7" t="n">
        <v>190801</v>
      </c>
      <c r="M5189" s="94">
        <f>VLOOKUP($Q5189,매칭테이블!$F:$I,2,0)*K5189</f>
        <v/>
      </c>
      <c r="N5189" s="94">
        <f>M5189-M5189*VLOOKUP($Q5189,매칭테이블!$F:$I,3,0)</f>
        <v/>
      </c>
      <c r="O5189" s="94">
        <f>VLOOKUP($Q5189,매칭테이블!$F:$I,4,0)*K5189</f>
        <v/>
      </c>
      <c r="P5189" s="148">
        <f>M5189/1.1</f>
        <v/>
      </c>
      <c r="Q5189" s="94">
        <f>F5189&amp;E5189&amp;G5189&amp;L5189</f>
        <v/>
      </c>
    </row>
    <row r="5190">
      <c r="A5190" s="94" t="n"/>
      <c r="B5190" s="128" t="n">
        <v>43913</v>
      </c>
      <c r="C5190" s="94">
        <f>TEXT(B5190,"aaa")</f>
        <v/>
      </c>
      <c r="D5190" s="94" t="n"/>
      <c r="E5190" s="94" t="inlineStr">
        <is>
          <t>클렌징폼</t>
        </is>
      </c>
      <c r="F5190" s="94" t="inlineStr">
        <is>
          <t>카페24</t>
        </is>
      </c>
      <c r="G5190" s="94" t="inlineStr">
        <is>
          <t>클렌징폼 120ml 2set</t>
        </is>
      </c>
      <c r="H5190" s="7" t="n">
        <v>190801</v>
      </c>
      <c r="I5190" s="7" t="n">
        <v>190801</v>
      </c>
      <c r="J5190" s="94" t="n"/>
      <c r="K5190" s="149" t="n">
        <v>2</v>
      </c>
      <c r="L5190" s="7" t="n">
        <v>190801</v>
      </c>
      <c r="M5190" s="94">
        <f>VLOOKUP($Q5190,매칭테이블!$F:$I,2,0)*K5190</f>
        <v/>
      </c>
      <c r="N5190" s="94">
        <f>M5190-M5190*VLOOKUP($Q5190,매칭테이블!$F:$I,3,0)</f>
        <v/>
      </c>
      <c r="O5190" s="94">
        <f>VLOOKUP($Q5190,매칭테이블!$F:$I,4,0)*K5190</f>
        <v/>
      </c>
      <c r="P5190" s="148">
        <f>M5190/1.1</f>
        <v/>
      </c>
      <c r="Q5190" s="94">
        <f>F5190&amp;E5190&amp;G5190&amp;L5190</f>
        <v/>
      </c>
    </row>
    <row r="5191">
      <c r="A5191" s="94" t="n"/>
      <c r="B5191" s="128" t="n">
        <v>43913</v>
      </c>
      <c r="C5191" s="94">
        <f>TEXT(B5191,"aaa")</f>
        <v/>
      </c>
      <c r="D5191" s="94" t="n"/>
      <c r="E5191" s="94" t="inlineStr">
        <is>
          <t>마스크팩</t>
        </is>
      </c>
      <c r="F5191" s="94" t="inlineStr">
        <is>
          <t>카페24</t>
        </is>
      </c>
      <c r="G5191" s="94" t="inlineStr">
        <is>
          <t>마스크팩 1매</t>
        </is>
      </c>
      <c r="H5191" s="7" t="n">
        <v>190801</v>
      </c>
      <c r="I5191" s="7" t="n">
        <v>190801</v>
      </c>
      <c r="J5191" s="94" t="n"/>
      <c r="K5191" s="149" t="n">
        <v>804</v>
      </c>
      <c r="L5191" s="94" t="n">
        <v>190801</v>
      </c>
      <c r="M5191" s="94">
        <f>VLOOKUP($Q5191,매칭테이블!$F:$I,2,0)*K5191</f>
        <v/>
      </c>
      <c r="N5191" s="94">
        <f>M5191-M5191*VLOOKUP($Q5191,매칭테이블!$F:$I,3,0)</f>
        <v/>
      </c>
      <c r="O5191" s="94">
        <f>VLOOKUP($Q5191,매칭테이블!$F:$I,4,0)*K5191</f>
        <v/>
      </c>
      <c r="P5191" s="148">
        <f>M5191/1.1</f>
        <v/>
      </c>
      <c r="Q5191" s="94">
        <f>F5191&amp;E5191&amp;G5191&amp;L5191</f>
        <v/>
      </c>
    </row>
    <row r="5192">
      <c r="A5192" s="94" t="n"/>
      <c r="B5192" s="128" t="n">
        <v>43913</v>
      </c>
      <c r="C5192" s="94">
        <f>TEXT(B5192,"aaa")</f>
        <v/>
      </c>
      <c r="D5192" s="94" t="n"/>
      <c r="E5192" s="94" t="inlineStr">
        <is>
          <t>토너+머드크림세트</t>
        </is>
      </c>
      <c r="F5192" s="94" t="inlineStr">
        <is>
          <t>카페24</t>
        </is>
      </c>
      <c r="G5192" s="94" t="inlineStr">
        <is>
          <t>250ml</t>
        </is>
      </c>
      <c r="H5192" s="7" t="n">
        <v>190801</v>
      </c>
      <c r="I5192" s="7" t="n">
        <v>190801</v>
      </c>
      <c r="J5192" s="94" t="n"/>
      <c r="K5192" s="149" t="n">
        <v>2</v>
      </c>
      <c r="L5192" s="94" t="n">
        <v>190801</v>
      </c>
      <c r="M5192" s="94">
        <f>VLOOKUP($Q5192,매칭테이블!$F:$I,2,0)*K5192</f>
        <v/>
      </c>
      <c r="N5192" s="94">
        <f>M5192-M5192*VLOOKUP($Q5192,매칭테이블!$F:$I,3,0)</f>
        <v/>
      </c>
      <c r="O5192" s="94">
        <f>VLOOKUP($Q5192,매칭테이블!$F:$I,4,0)*K5192</f>
        <v/>
      </c>
      <c r="P5192" s="148">
        <f>M5192/1.1</f>
        <v/>
      </c>
      <c r="Q5192" s="94">
        <f>F5192&amp;E5192&amp;G5192&amp;L5192</f>
        <v/>
      </c>
    </row>
    <row r="5193">
      <c r="A5193" s="94" t="n"/>
      <c r="B5193" s="128" t="n">
        <v>43913</v>
      </c>
      <c r="C5193" s="94">
        <f>TEXT(B5193,"aaa")</f>
        <v/>
      </c>
      <c r="D5193" s="94" t="n"/>
      <c r="E5193" s="94" t="inlineStr">
        <is>
          <t>토너+머드크림세트</t>
        </is>
      </c>
      <c r="F5193" s="94" t="inlineStr">
        <is>
          <t>카페24</t>
        </is>
      </c>
      <c r="G5193" s="94" t="inlineStr">
        <is>
          <t>머드크림마스크 100ml</t>
        </is>
      </c>
      <c r="H5193" s="7" t="n">
        <v>190801</v>
      </c>
      <c r="I5193" s="7" t="n">
        <v>190801</v>
      </c>
      <c r="J5193" s="94" t="n"/>
      <c r="K5193" s="149" t="n">
        <v>2</v>
      </c>
      <c r="L5193" s="94" t="n">
        <v>190801</v>
      </c>
      <c r="M5193" s="94">
        <f>VLOOKUP($Q5193,매칭테이블!$F:$I,2,0)*K5193</f>
        <v/>
      </c>
      <c r="N5193" s="94">
        <f>M5193-M5193*VLOOKUP($Q5193,매칭테이블!$F:$I,3,0)</f>
        <v/>
      </c>
      <c r="O5193" s="94">
        <f>VLOOKUP($Q5193,매칭테이블!$F:$I,4,0)*K5193</f>
        <v/>
      </c>
      <c r="P5193" s="148">
        <f>M5193/1.1</f>
        <v/>
      </c>
      <c r="Q5193" s="94">
        <f>F5193&amp;E5193&amp;G5193&amp;L5193</f>
        <v/>
      </c>
    </row>
    <row r="5194">
      <c r="A5194" s="94" t="n"/>
      <c r="B5194" s="128" t="n">
        <v>43913</v>
      </c>
      <c r="C5194" s="94">
        <f>TEXT(B5194,"aaa")</f>
        <v/>
      </c>
      <c r="D5194" s="94" t="n"/>
      <c r="E5194" s="94" t="inlineStr">
        <is>
          <t>토너</t>
        </is>
      </c>
      <c r="F5194" s="94" t="inlineStr">
        <is>
          <t>큐텐</t>
        </is>
      </c>
      <c r="G5194" s="94" t="inlineStr">
        <is>
          <t>250ml</t>
        </is>
      </c>
      <c r="H5194" s="7" t="n">
        <v>190801</v>
      </c>
      <c r="I5194" s="7" t="n">
        <v>190801</v>
      </c>
      <c r="J5194" s="94" t="n"/>
      <c r="K5194" s="149" t="n">
        <v>37</v>
      </c>
      <c r="L5194" s="92" t="n">
        <v>190801</v>
      </c>
      <c r="M5194" s="94">
        <f>VLOOKUP($Q5194,매칭테이블!$F:$I,2,0)*K5194</f>
        <v/>
      </c>
      <c r="N5194" s="94">
        <f>M5194-M5194*VLOOKUP($Q5194,매칭테이블!$F:$I,3,0)</f>
        <v/>
      </c>
      <c r="O5194" s="94">
        <f>VLOOKUP($Q5194,매칭테이블!$F:$I,4,0)*K5194</f>
        <v/>
      </c>
      <c r="P5194" s="148">
        <f>M5194/1.1</f>
        <v/>
      </c>
      <c r="Q5194" s="94">
        <f>F5194&amp;E5194&amp;G5194&amp;L5194</f>
        <v/>
      </c>
    </row>
    <row r="5195">
      <c r="A5195" s="94" t="n"/>
      <c r="B5195" s="128" t="n">
        <v>43913</v>
      </c>
      <c r="C5195" s="94">
        <f>TEXT(B5195,"aaa")</f>
        <v/>
      </c>
      <c r="D5195" s="94" t="n"/>
      <c r="E5195" s="94" t="inlineStr">
        <is>
          <t>토너</t>
        </is>
      </c>
      <c r="F5195" s="94" t="inlineStr">
        <is>
          <t>큐텐</t>
        </is>
      </c>
      <c r="G5195" s="94" t="inlineStr">
        <is>
          <t>250ml 2set</t>
        </is>
      </c>
      <c r="H5195" s="7" t="n">
        <v>190801</v>
      </c>
      <c r="I5195" s="7" t="n">
        <v>190801</v>
      </c>
      <c r="J5195" s="94" t="n"/>
      <c r="K5195" s="149" t="n">
        <v>29</v>
      </c>
      <c r="L5195" s="92" t="n">
        <v>190801</v>
      </c>
      <c r="M5195" s="94">
        <f>VLOOKUP($Q5195,매칭테이블!$F:$I,2,0)*K5195</f>
        <v/>
      </c>
      <c r="N5195" s="94">
        <f>M5195-M5195*VLOOKUP($Q5195,매칭테이블!$F:$I,3,0)</f>
        <v/>
      </c>
      <c r="O5195" s="94">
        <f>VLOOKUP($Q5195,매칭테이블!$F:$I,4,0)*K5195</f>
        <v/>
      </c>
      <c r="P5195" s="148">
        <f>M5195/1.1</f>
        <v/>
      </c>
      <c r="Q5195" s="94">
        <f>F5195&amp;E5195&amp;G5195&amp;L5195</f>
        <v/>
      </c>
    </row>
    <row r="5196">
      <c r="A5196" s="94" t="n"/>
      <c r="B5196" s="128" t="n">
        <v>43913</v>
      </c>
      <c r="C5196" s="94">
        <f>TEXT(B5196,"aaa")</f>
        <v/>
      </c>
      <c r="D5196" s="94" t="n"/>
      <c r="E5196" s="94" t="inlineStr">
        <is>
          <t>클렌징폼</t>
        </is>
      </c>
      <c r="F5196" s="94" t="inlineStr">
        <is>
          <t>큐텐</t>
        </is>
      </c>
      <c r="G5196" s="94" t="inlineStr">
        <is>
          <t>클렌징폼 120ml</t>
        </is>
      </c>
      <c r="H5196" s="7" t="n">
        <v>190801</v>
      </c>
      <c r="I5196" s="7" t="n">
        <v>190801</v>
      </c>
      <c r="J5196" s="94" t="n"/>
      <c r="K5196" s="149" t="n">
        <v>1</v>
      </c>
      <c r="L5196" s="7" t="n">
        <v>190801</v>
      </c>
      <c r="M5196" s="94">
        <f>VLOOKUP($Q5196,매칭테이블!$F:$I,2,0)*K5196</f>
        <v/>
      </c>
      <c r="N5196" s="94">
        <f>M5196-M5196*VLOOKUP($Q5196,매칭테이블!$F:$I,3,0)</f>
        <v/>
      </c>
      <c r="O5196" s="94">
        <f>VLOOKUP($Q5196,매칭테이블!$F:$I,4,0)*K5196</f>
        <v/>
      </c>
      <c r="P5196" s="148">
        <f>M5196/1.1</f>
        <v/>
      </c>
      <c r="Q5196" s="94">
        <f>F5196&amp;E5196&amp;G5196&amp;L5196</f>
        <v/>
      </c>
    </row>
    <row r="5197">
      <c r="A5197" s="94" t="n"/>
      <c r="B5197" s="128" t="n">
        <v>43913</v>
      </c>
      <c r="C5197" s="94">
        <f>TEXT(B5197,"aaa")</f>
        <v/>
      </c>
      <c r="D5197" s="94" t="n"/>
      <c r="E5197" s="94" t="inlineStr">
        <is>
          <t>머드크림마스크</t>
        </is>
      </c>
      <c r="F5197" s="94" t="inlineStr">
        <is>
          <t>큐텐</t>
        </is>
      </c>
      <c r="G5197" s="94" t="inlineStr">
        <is>
          <t>머드크림마스크 100ml</t>
        </is>
      </c>
      <c r="H5197" s="7" t="n">
        <v>190801</v>
      </c>
      <c r="I5197" s="7" t="n">
        <v>190801</v>
      </c>
      <c r="J5197" s="94" t="n"/>
      <c r="K5197" s="149" t="n">
        <v>2</v>
      </c>
      <c r="L5197" s="94" t="n">
        <v>190801</v>
      </c>
      <c r="M5197" s="94">
        <f>VLOOKUP($Q5197,매칭테이블!$F:$I,2,0)*K5197</f>
        <v/>
      </c>
      <c r="N5197" s="94">
        <f>M5197-M5197*VLOOKUP($Q5197,매칭테이블!$F:$I,3,0)</f>
        <v/>
      </c>
      <c r="O5197" s="94">
        <f>VLOOKUP($Q5197,매칭테이블!$F:$I,4,0)*K5197</f>
        <v/>
      </c>
      <c r="P5197" s="148">
        <f>M5197/1.1</f>
        <v/>
      </c>
      <c r="Q5197" s="94">
        <f>F5197&amp;E5197&amp;G5197&amp;L5197</f>
        <v/>
      </c>
    </row>
    <row r="5198">
      <c r="A5198" s="94" t="n"/>
      <c r="B5198" s="128" t="n">
        <v>43914</v>
      </c>
      <c r="C5198" s="94">
        <f>TEXT(B5198,"aaa")</f>
        <v/>
      </c>
      <c r="D5198" s="94" t="n"/>
      <c r="E5198" s="6" t="inlineStr">
        <is>
          <t>토너</t>
        </is>
      </c>
      <c r="F5198" s="5" t="inlineStr">
        <is>
          <t>W컨셉</t>
        </is>
      </c>
      <c r="G5198" s="5" t="inlineStr">
        <is>
          <t>250ml</t>
        </is>
      </c>
      <c r="H5198" s="7" t="n">
        <v>190801</v>
      </c>
      <c r="I5198" s="7" t="n">
        <v>190801</v>
      </c>
      <c r="J5198" s="94" t="n"/>
      <c r="K5198" s="149" t="n">
        <v>1</v>
      </c>
      <c r="L5198" s="7" t="n">
        <v>190801</v>
      </c>
      <c r="M5198" s="94">
        <f>VLOOKUP($Q5198,매칭테이블!$F:$I,2,0)*K5198</f>
        <v/>
      </c>
      <c r="N5198" s="94">
        <f>M5198-M5198*VLOOKUP($Q5198,매칭테이블!$F:$I,3,0)</f>
        <v/>
      </c>
      <c r="O5198" s="94">
        <f>VLOOKUP($Q5198,매칭테이블!$F:$I,4,0)*K5198</f>
        <v/>
      </c>
      <c r="P5198" s="148">
        <f>M5198/1.1</f>
        <v/>
      </c>
      <c r="Q5198" s="94">
        <f>F5198&amp;E5198&amp;G5198&amp;L5198</f>
        <v/>
      </c>
    </row>
    <row r="5199">
      <c r="A5199" s="94" t="n"/>
      <c r="B5199" s="128" t="n">
        <v>43914</v>
      </c>
      <c r="C5199" s="94">
        <f>TEXT(B5199,"aaa")</f>
        <v/>
      </c>
      <c r="D5199" s="94" t="n"/>
      <c r="E5199" s="6" t="inlineStr">
        <is>
          <t>토너</t>
        </is>
      </c>
      <c r="F5199" s="5" t="inlineStr">
        <is>
          <t>W컨셉</t>
        </is>
      </c>
      <c r="G5199" s="5" t="inlineStr">
        <is>
          <t>250ml 2set</t>
        </is>
      </c>
      <c r="H5199" s="7" t="n">
        <v>190801</v>
      </c>
      <c r="I5199" s="7" t="n">
        <v>190801</v>
      </c>
      <c r="J5199" s="94" t="n"/>
      <c r="K5199" s="149" t="n">
        <v>11</v>
      </c>
      <c r="L5199" s="7" t="n">
        <v>190801</v>
      </c>
      <c r="M5199" s="94">
        <f>VLOOKUP($Q5199,매칭테이블!$F:$I,2,0)*K5199</f>
        <v/>
      </c>
      <c r="N5199" s="94">
        <f>M5199-M5199*VLOOKUP($Q5199,매칭테이블!$F:$I,3,0)</f>
        <v/>
      </c>
      <c r="O5199" s="94">
        <f>VLOOKUP($Q5199,매칭테이블!$F:$I,4,0)*K5199</f>
        <v/>
      </c>
      <c r="P5199" s="148">
        <f>M5199/1.1</f>
        <v/>
      </c>
      <c r="Q5199" s="94">
        <f>F5199&amp;E5199&amp;G5199&amp;L5199</f>
        <v/>
      </c>
    </row>
    <row r="5200">
      <c r="A5200" s="94" t="n"/>
      <c r="B5200" s="128" t="n">
        <v>43914</v>
      </c>
      <c r="C5200" s="94">
        <f>TEXT(B5200,"aaa")</f>
        <v/>
      </c>
      <c r="D5200" s="94" t="n"/>
      <c r="E5200" s="94" t="inlineStr">
        <is>
          <t>토너</t>
        </is>
      </c>
      <c r="F5200" s="5" t="inlineStr">
        <is>
          <t>스타일쉐어</t>
        </is>
      </c>
      <c r="G5200" s="94" t="inlineStr">
        <is>
          <t>250ml</t>
        </is>
      </c>
      <c r="H5200" s="7" t="n">
        <v>190801</v>
      </c>
      <c r="I5200" s="7" t="n">
        <v>190801</v>
      </c>
      <c r="J5200" s="94" t="n"/>
      <c r="K5200" s="149" t="n">
        <v>11</v>
      </c>
      <c r="L5200" s="92" t="n">
        <v>190801</v>
      </c>
      <c r="M5200" s="94">
        <f>VLOOKUP($Q5200,매칭테이블!$F:$I,2,0)*K5200</f>
        <v/>
      </c>
      <c r="N5200" s="94">
        <f>M5200-M5200*VLOOKUP($Q5200,매칭테이블!$F:$I,3,0)</f>
        <v/>
      </c>
      <c r="O5200" s="94">
        <f>VLOOKUP($Q5200,매칭테이블!$F:$I,4,0)*K5200</f>
        <v/>
      </c>
      <c r="P5200" s="148">
        <f>M5200/1.1</f>
        <v/>
      </c>
      <c r="Q5200" s="94">
        <f>F5200&amp;E5200&amp;G5200&amp;L5200</f>
        <v/>
      </c>
    </row>
    <row r="5201">
      <c r="A5201" s="94" t="n"/>
      <c r="B5201" s="128" t="n">
        <v>43914</v>
      </c>
      <c r="C5201" s="94">
        <f>TEXT(B5201,"aaa")</f>
        <v/>
      </c>
      <c r="D5201" s="94" t="n"/>
      <c r="E5201" s="94" t="inlineStr">
        <is>
          <t>앰플</t>
        </is>
      </c>
      <c r="F5201" s="94" t="inlineStr">
        <is>
          <t>아누아 CS</t>
        </is>
      </c>
      <c r="G5201" s="94" t="inlineStr">
        <is>
          <t>앰플 30ml</t>
        </is>
      </c>
      <c r="H5201" s="7" t="n">
        <v>190801</v>
      </c>
      <c r="I5201" s="7" t="n">
        <v>190801</v>
      </c>
      <c r="J5201" s="94" t="n"/>
      <c r="K5201" s="149" t="n">
        <v>2</v>
      </c>
      <c r="L5201" s="92" t="n">
        <v>190801</v>
      </c>
      <c r="M5201" s="94">
        <f>VLOOKUP($Q5201,매칭테이블!$F:$I,2,0)*K5201</f>
        <v/>
      </c>
      <c r="N5201" s="94">
        <f>M5201-M5201*VLOOKUP($Q5201,매칭테이블!$F:$I,3,0)</f>
        <v/>
      </c>
      <c r="O5201" s="94">
        <f>VLOOKUP($Q5201,매칭테이블!$F:$I,4,0)*K5201</f>
        <v/>
      </c>
      <c r="P5201" s="148">
        <f>M5201/1.1</f>
        <v/>
      </c>
      <c r="Q5201" s="94">
        <f>F5201&amp;E5201&amp;G5201&amp;L5201</f>
        <v/>
      </c>
    </row>
    <row r="5202">
      <c r="A5202" s="94" t="n"/>
      <c r="B5202" s="128" t="n">
        <v>43914</v>
      </c>
      <c r="C5202" s="94">
        <f>TEXT(B5202,"aaa")</f>
        <v/>
      </c>
      <c r="D5202" s="94" t="n"/>
      <c r="E5202" s="94" t="inlineStr">
        <is>
          <t>마스크팩</t>
        </is>
      </c>
      <c r="F5202" s="94" t="inlineStr">
        <is>
          <t>아누아 CS</t>
        </is>
      </c>
      <c r="G5202" s="94" t="inlineStr">
        <is>
          <t>마스크팩 10매</t>
        </is>
      </c>
      <c r="H5202" s="7" t="n">
        <v>190801</v>
      </c>
      <c r="I5202" s="7" t="n">
        <v>190801</v>
      </c>
      <c r="J5202" s="94" t="n"/>
      <c r="K5202" s="149" t="n">
        <v>16</v>
      </c>
      <c r="L5202" s="94" t="n">
        <v>190801</v>
      </c>
      <c r="M5202" s="94">
        <f>VLOOKUP($Q5202,매칭테이블!$F:$I,2,0)*K5202</f>
        <v/>
      </c>
      <c r="N5202" s="94">
        <f>M5202-M5202*VLOOKUP($Q5202,매칭테이블!$F:$I,3,0)</f>
        <v/>
      </c>
      <c r="O5202" s="94">
        <f>VLOOKUP($Q5202,매칭테이블!$F:$I,4,0)*K5202</f>
        <v/>
      </c>
      <c r="P5202" s="148">
        <f>M5202/1.1</f>
        <v/>
      </c>
      <c r="Q5202" s="94">
        <f>F5202&amp;E5202&amp;G5202&amp;L5202</f>
        <v/>
      </c>
    </row>
    <row r="5203">
      <c r="A5203" s="94" t="n"/>
      <c r="B5203" s="128" t="n">
        <v>43914</v>
      </c>
      <c r="C5203" s="94">
        <f>TEXT(B5203,"aaa")</f>
        <v/>
      </c>
      <c r="D5203" s="94" t="n"/>
      <c r="E5203" s="94" t="inlineStr">
        <is>
          <t>토너</t>
        </is>
      </c>
      <c r="F5203" s="94" t="inlineStr">
        <is>
          <t>아누아 CS</t>
        </is>
      </c>
      <c r="G5203" s="94" t="inlineStr">
        <is>
          <t>250ml</t>
        </is>
      </c>
      <c r="H5203" s="7" t="n">
        <v>190801</v>
      </c>
      <c r="I5203" s="7" t="n">
        <v>190801</v>
      </c>
      <c r="J5203" s="94" t="n"/>
      <c r="K5203" s="149" t="n">
        <v>8</v>
      </c>
      <c r="L5203" s="92" t="n">
        <v>190801</v>
      </c>
      <c r="M5203" s="94">
        <f>VLOOKUP($Q5203,매칭테이블!$F:$I,2,0)*K5203</f>
        <v/>
      </c>
      <c r="N5203" s="94">
        <f>M5203-M5203*VLOOKUP($Q5203,매칭테이블!$F:$I,3,0)</f>
        <v/>
      </c>
      <c r="O5203" s="94">
        <f>VLOOKUP($Q5203,매칭테이블!$F:$I,4,0)*K5203</f>
        <v/>
      </c>
      <c r="P5203" s="148">
        <f>M5203/1.1</f>
        <v/>
      </c>
      <c r="Q5203" s="94">
        <f>F5203&amp;E5203&amp;G5203&amp;L5203</f>
        <v/>
      </c>
    </row>
    <row r="5204">
      <c r="A5204" s="94" t="n"/>
      <c r="B5204" s="128" t="n">
        <v>43914</v>
      </c>
      <c r="C5204" s="94">
        <f>TEXT(B5204,"aaa")</f>
        <v/>
      </c>
      <c r="D5204" s="94" t="n"/>
      <c r="E5204" s="94" t="inlineStr">
        <is>
          <t>수딩크림</t>
        </is>
      </c>
      <c r="F5204" s="94" t="inlineStr">
        <is>
          <t>아누아 CS</t>
        </is>
      </c>
      <c r="G5204" s="94" t="inlineStr">
        <is>
          <t>수딩크림 100ml</t>
        </is>
      </c>
      <c r="H5204" s="7" t="n">
        <v>190801</v>
      </c>
      <c r="I5204" s="7" t="n">
        <v>190801</v>
      </c>
      <c r="J5204" s="94" t="n"/>
      <c r="K5204" s="149" t="n">
        <v>21</v>
      </c>
      <c r="L5204" s="94" t="n">
        <v>190801</v>
      </c>
      <c r="M5204" s="94">
        <f>VLOOKUP($Q5204,매칭테이블!$F:$I,2,0)*K5204</f>
        <v/>
      </c>
      <c r="N5204" s="94">
        <f>M5204-M5204*VLOOKUP($Q5204,매칭테이블!$F:$I,3,0)</f>
        <v/>
      </c>
      <c r="O5204" s="94">
        <f>VLOOKUP($Q5204,매칭테이블!$F:$I,4,0)*K5204</f>
        <v/>
      </c>
      <c r="P5204" s="148">
        <f>M5204/1.1</f>
        <v/>
      </c>
      <c r="Q5204" s="94">
        <f>F5204&amp;E5204&amp;G5204&amp;L5204</f>
        <v/>
      </c>
    </row>
    <row r="5205">
      <c r="A5205" s="94" t="n"/>
      <c r="B5205" s="128" t="n">
        <v>43914</v>
      </c>
      <c r="C5205" s="94">
        <f>TEXT(B5205,"aaa")</f>
        <v/>
      </c>
      <c r="D5205" s="94" t="n"/>
      <c r="E5205" s="94" t="inlineStr">
        <is>
          <t>머드크림마스크</t>
        </is>
      </c>
      <c r="F5205" s="94" t="inlineStr">
        <is>
          <t>카페24</t>
        </is>
      </c>
      <c r="G5205" s="94" t="inlineStr">
        <is>
          <t>머드크림마스크 100ml</t>
        </is>
      </c>
      <c r="H5205" s="7" t="n">
        <v>190801</v>
      </c>
      <c r="I5205" s="7" t="n">
        <v>190801</v>
      </c>
      <c r="J5205" s="94" t="n"/>
      <c r="K5205" s="149" t="n">
        <v>13</v>
      </c>
      <c r="L5205" s="94" t="n">
        <v>190801</v>
      </c>
      <c r="M5205" s="94">
        <f>VLOOKUP($Q5205,매칭테이블!$F:$I,2,0)*K5205</f>
        <v/>
      </c>
      <c r="N5205" s="94">
        <f>M5205-M5205*VLOOKUP($Q5205,매칭테이블!$F:$I,3,0)</f>
        <v/>
      </c>
      <c r="O5205" s="94">
        <f>VLOOKUP($Q5205,매칭테이블!$F:$I,4,0)*K5205</f>
        <v/>
      </c>
      <c r="P5205" s="148">
        <f>M5205/1.1</f>
        <v/>
      </c>
      <c r="Q5205" s="94">
        <f>F5205&amp;E5205&amp;G5205&amp;L5205</f>
        <v/>
      </c>
    </row>
    <row r="5206">
      <c r="A5206" s="94" t="n"/>
      <c r="B5206" s="128" t="n">
        <v>43914</v>
      </c>
      <c r="C5206" s="94">
        <f>TEXT(B5206,"aaa")</f>
        <v/>
      </c>
      <c r="D5206" s="94" t="n"/>
      <c r="E5206" s="94" t="inlineStr">
        <is>
          <t>머드크림마스크</t>
        </is>
      </c>
      <c r="F5206" s="94" t="inlineStr">
        <is>
          <t>카페24</t>
        </is>
      </c>
      <c r="G5206" s="94" t="inlineStr">
        <is>
          <t>머드크림마스크 100ml 2set</t>
        </is>
      </c>
      <c r="H5206" s="7" t="n">
        <v>190801</v>
      </c>
      <c r="I5206" s="7" t="n">
        <v>190801</v>
      </c>
      <c r="J5206" s="94" t="n"/>
      <c r="K5206" s="149" t="n">
        <v>4</v>
      </c>
      <c r="L5206" s="94" t="n">
        <v>190801</v>
      </c>
      <c r="M5206" s="94">
        <f>VLOOKUP($Q5206,매칭테이블!$F:$I,2,0)*K5206</f>
        <v/>
      </c>
      <c r="N5206" s="94">
        <f>M5206-M5206*VLOOKUP($Q5206,매칭테이블!$F:$I,3,0)</f>
        <v/>
      </c>
      <c r="O5206" s="94">
        <f>VLOOKUP($Q5206,매칭테이블!$F:$I,4,0)*K5206</f>
        <v/>
      </c>
      <c r="P5206" s="148">
        <f>M5206/1.1</f>
        <v/>
      </c>
      <c r="Q5206" s="94">
        <f>F5206&amp;E5206&amp;G5206&amp;L5206</f>
        <v/>
      </c>
    </row>
    <row r="5207">
      <c r="A5207" s="94" t="n"/>
      <c r="B5207" s="128" t="n">
        <v>43914</v>
      </c>
      <c r="C5207" s="94">
        <f>TEXT(B5207,"aaa")</f>
        <v/>
      </c>
      <c r="D5207" s="94" t="n"/>
      <c r="E5207" s="6" t="inlineStr">
        <is>
          <t>토너</t>
        </is>
      </c>
      <c r="F5207" s="5" t="inlineStr">
        <is>
          <t>카페24</t>
        </is>
      </c>
      <c r="G5207" s="5" t="inlineStr">
        <is>
          <t>250ml</t>
        </is>
      </c>
      <c r="H5207" s="7" t="n">
        <v>190801</v>
      </c>
      <c r="I5207" s="7" t="n">
        <v>190801</v>
      </c>
      <c r="J5207" s="94" t="n"/>
      <c r="K5207" s="149" t="n">
        <v>69</v>
      </c>
      <c r="L5207" s="7" t="n">
        <v>190801</v>
      </c>
      <c r="M5207" s="94">
        <f>VLOOKUP($Q5207,매칭테이블!$F:$I,2,0)*K5207</f>
        <v/>
      </c>
      <c r="N5207" s="94">
        <f>M5207-M5207*VLOOKUP($Q5207,매칭테이블!$F:$I,3,0)</f>
        <v/>
      </c>
      <c r="O5207" s="94">
        <f>VLOOKUP($Q5207,매칭테이블!$F:$I,4,0)*K5207</f>
        <v/>
      </c>
      <c r="P5207" s="148">
        <f>M5207/1.1</f>
        <v/>
      </c>
      <c r="Q5207" s="94">
        <f>F5207&amp;E5207&amp;G5207&amp;L5207</f>
        <v/>
      </c>
    </row>
    <row r="5208">
      <c r="A5208" s="94" t="n"/>
      <c r="B5208" s="128" t="n">
        <v>43914</v>
      </c>
      <c r="C5208" s="94">
        <f>TEXT(B5208,"aaa")</f>
        <v/>
      </c>
      <c r="D5208" s="94" t="n"/>
      <c r="E5208" s="6" t="inlineStr">
        <is>
          <t>토너</t>
        </is>
      </c>
      <c r="F5208" s="5" t="inlineStr">
        <is>
          <t>카페24</t>
        </is>
      </c>
      <c r="G5208" s="5" t="inlineStr">
        <is>
          <t>250ml 2set</t>
        </is>
      </c>
      <c r="H5208" s="7" t="n">
        <v>190801</v>
      </c>
      <c r="I5208" s="7" t="n">
        <v>190801</v>
      </c>
      <c r="J5208" s="94" t="n"/>
      <c r="K5208" s="149" t="n">
        <v>240</v>
      </c>
      <c r="L5208" s="7" t="n">
        <v>190801</v>
      </c>
      <c r="M5208" s="94">
        <f>VLOOKUP($Q5208,매칭테이블!$F:$I,2,0)*K5208</f>
        <v/>
      </c>
      <c r="N5208" s="94">
        <f>M5208-M5208*VLOOKUP($Q5208,매칭테이블!$F:$I,3,0)</f>
        <v/>
      </c>
      <c r="O5208" s="94">
        <f>VLOOKUP($Q5208,매칭테이블!$F:$I,4,0)*K5208</f>
        <v/>
      </c>
      <c r="P5208" s="148">
        <f>M5208/1.1</f>
        <v/>
      </c>
      <c r="Q5208" s="94">
        <f>F5208&amp;E5208&amp;G5208&amp;L5208</f>
        <v/>
      </c>
    </row>
    <row r="5209">
      <c r="A5209" s="94" t="n"/>
      <c r="B5209" s="128" t="n">
        <v>43914</v>
      </c>
      <c r="C5209" s="94">
        <f>TEXT(B5209,"aaa")</f>
        <v/>
      </c>
      <c r="D5209" s="94" t="n"/>
      <c r="E5209" s="6" t="inlineStr">
        <is>
          <t>토너</t>
        </is>
      </c>
      <c r="F5209" s="5" t="inlineStr">
        <is>
          <t>카페24</t>
        </is>
      </c>
      <c r="G5209" s="5" t="inlineStr">
        <is>
          <t>500ml</t>
        </is>
      </c>
      <c r="H5209" s="7" t="n">
        <v>190801</v>
      </c>
      <c r="I5209" s="7" t="n">
        <v>190801</v>
      </c>
      <c r="J5209" s="94" t="n"/>
      <c r="K5209" s="149" t="n">
        <v>76</v>
      </c>
      <c r="L5209" s="7" t="n">
        <v>190801</v>
      </c>
      <c r="M5209" s="94">
        <f>VLOOKUP($Q5209,매칭테이블!$F:$I,2,0)*K5209</f>
        <v/>
      </c>
      <c r="N5209" s="94">
        <f>M5209-M5209*VLOOKUP($Q5209,매칭테이블!$F:$I,3,0)</f>
        <v/>
      </c>
      <c r="O5209" s="94">
        <f>VLOOKUP($Q5209,매칭테이블!$F:$I,4,0)*K5209</f>
        <v/>
      </c>
      <c r="P5209" s="148">
        <f>M5209/1.1</f>
        <v/>
      </c>
      <c r="Q5209" s="94">
        <f>F5209&amp;E5209&amp;G5209&amp;L5209</f>
        <v/>
      </c>
    </row>
    <row r="5210">
      <c r="A5210" s="94" t="n"/>
      <c r="B5210" s="128" t="n">
        <v>43914</v>
      </c>
      <c r="C5210" s="94">
        <f>TEXT(B5210,"aaa")</f>
        <v/>
      </c>
      <c r="D5210" s="94" t="n"/>
      <c r="E5210" s="6" t="inlineStr">
        <is>
          <t>토너</t>
        </is>
      </c>
      <c r="F5210" s="5" t="inlineStr">
        <is>
          <t>카페24</t>
        </is>
      </c>
      <c r="G5210" s="94" t="inlineStr">
        <is>
          <t>스킨팩 화장솜 60P</t>
        </is>
      </c>
      <c r="H5210" s="7" t="n">
        <v>190801</v>
      </c>
      <c r="I5210" s="7" t="n">
        <v>190801</v>
      </c>
      <c r="J5210" s="94" t="n"/>
      <c r="K5210" s="149" t="n">
        <v>66</v>
      </c>
      <c r="L5210" s="7" t="n">
        <v>190801</v>
      </c>
      <c r="M5210" s="94">
        <f>VLOOKUP($Q5210,매칭테이블!$F:$I,2,0)*K5210</f>
        <v/>
      </c>
      <c r="N5210" s="94">
        <f>M5210-M5210*VLOOKUP($Q5210,매칭테이블!$F:$I,3,0)</f>
        <v/>
      </c>
      <c r="O5210" s="94">
        <f>VLOOKUP($Q5210,매칭테이블!$F:$I,4,0)*K5210</f>
        <v/>
      </c>
      <c r="P5210" s="148">
        <f>M5210/1.1</f>
        <v/>
      </c>
      <c r="Q5210" s="94">
        <f>F5210&amp;E5210&amp;G5210&amp;L5210</f>
        <v/>
      </c>
    </row>
    <row r="5211">
      <c r="A5211" s="94" t="n"/>
      <c r="B5211" s="128" t="n">
        <v>43914</v>
      </c>
      <c r="C5211" s="94">
        <f>TEXT(B5211,"aaa")</f>
        <v/>
      </c>
      <c r="D5211" s="94" t="n"/>
      <c r="E5211" s="94" t="inlineStr">
        <is>
          <t>클렌징폼</t>
        </is>
      </c>
      <c r="F5211" s="5" t="inlineStr">
        <is>
          <t>카페24</t>
        </is>
      </c>
      <c r="G5211" s="94" t="inlineStr">
        <is>
          <t>클렌징폼 120ml</t>
        </is>
      </c>
      <c r="H5211" s="7" t="n">
        <v>190801</v>
      </c>
      <c r="I5211" s="7" t="n">
        <v>190801</v>
      </c>
      <c r="J5211" s="94" t="n"/>
      <c r="K5211" s="149" t="n">
        <v>18</v>
      </c>
      <c r="L5211" s="7" t="n">
        <v>190801</v>
      </c>
      <c r="M5211" s="94">
        <f>VLOOKUP($Q5211,매칭테이블!$F:$I,2,0)*K5211</f>
        <v/>
      </c>
      <c r="N5211" s="94">
        <f>M5211-M5211*VLOOKUP($Q5211,매칭테이블!$F:$I,3,0)</f>
        <v/>
      </c>
      <c r="O5211" s="94">
        <f>VLOOKUP($Q5211,매칭테이블!$F:$I,4,0)*K5211</f>
        <v/>
      </c>
      <c r="P5211" s="148">
        <f>M5211/1.1</f>
        <v/>
      </c>
      <c r="Q5211" s="94">
        <f>F5211&amp;E5211&amp;G5211&amp;L5211</f>
        <v/>
      </c>
    </row>
    <row r="5212">
      <c r="A5212" s="94" t="n"/>
      <c r="B5212" s="128" t="n">
        <v>43914</v>
      </c>
      <c r="C5212" s="94">
        <f>TEXT(B5212,"aaa")</f>
        <v/>
      </c>
      <c r="D5212" s="94" t="n"/>
      <c r="E5212" s="94" t="inlineStr">
        <is>
          <t>마스크팩</t>
        </is>
      </c>
      <c r="F5212" s="94" t="inlineStr">
        <is>
          <t>카페24</t>
        </is>
      </c>
      <c r="G5212" s="94" t="inlineStr">
        <is>
          <t>마스크팩 10매</t>
        </is>
      </c>
      <c r="H5212" s="7" t="n">
        <v>190801</v>
      </c>
      <c r="I5212" s="7" t="n">
        <v>190801</v>
      </c>
      <c r="J5212" s="94" t="n"/>
      <c r="K5212" s="149" t="n">
        <v>8</v>
      </c>
      <c r="L5212" s="94" t="n">
        <v>190801</v>
      </c>
      <c r="M5212" s="94">
        <f>VLOOKUP($Q5212,매칭테이블!$F:$I,2,0)*K5212</f>
        <v/>
      </c>
      <c r="N5212" s="94">
        <f>M5212-M5212*VLOOKUP($Q5212,매칭테이블!$F:$I,3,0)</f>
        <v/>
      </c>
      <c r="O5212" s="94">
        <f>VLOOKUP($Q5212,매칭테이블!$F:$I,4,0)*K5212</f>
        <v/>
      </c>
      <c r="P5212" s="148">
        <f>M5212/1.1</f>
        <v/>
      </c>
      <c r="Q5212" s="94">
        <f>F5212&amp;E5212&amp;G5212&amp;L5212</f>
        <v/>
      </c>
    </row>
    <row r="5213">
      <c r="A5213" s="94" t="n"/>
      <c r="B5213" s="128" t="n">
        <v>43914</v>
      </c>
      <c r="C5213" s="94">
        <f>TEXT(B5213,"aaa")</f>
        <v/>
      </c>
      <c r="D5213" s="94" t="n"/>
      <c r="E5213" s="94" t="inlineStr">
        <is>
          <t>마스크팩</t>
        </is>
      </c>
      <c r="F5213" s="94" t="inlineStr">
        <is>
          <t>카페24</t>
        </is>
      </c>
      <c r="G5213" s="94" t="inlineStr">
        <is>
          <t>마스크팩 1매</t>
        </is>
      </c>
      <c r="H5213" s="7" t="n">
        <v>190801</v>
      </c>
      <c r="I5213" s="7" t="n">
        <v>190801</v>
      </c>
      <c r="J5213" s="94" t="n"/>
      <c r="K5213" s="149" t="n">
        <v>9</v>
      </c>
      <c r="L5213" s="94" t="n">
        <v>190801</v>
      </c>
      <c r="M5213" s="94">
        <f>VLOOKUP($Q5213,매칭테이블!$F:$I,2,0)*K5213</f>
        <v/>
      </c>
      <c r="N5213" s="94">
        <f>M5213-M5213*VLOOKUP($Q5213,매칭테이블!$F:$I,3,0)</f>
        <v/>
      </c>
      <c r="O5213" s="94">
        <f>VLOOKUP($Q5213,매칭테이블!$F:$I,4,0)*K5213</f>
        <v/>
      </c>
      <c r="P5213" s="148">
        <f>M5213/1.1</f>
        <v/>
      </c>
      <c r="Q5213" s="94">
        <f>F5213&amp;E5213&amp;G5213&amp;L5213</f>
        <v/>
      </c>
    </row>
    <row r="5214">
      <c r="A5214" s="94" t="n"/>
      <c r="B5214" s="128" t="n">
        <v>43914</v>
      </c>
      <c r="C5214" s="94">
        <f>TEXT(B5214,"aaa")</f>
        <v/>
      </c>
      <c r="D5214" s="94" t="n"/>
      <c r="E5214" s="94" t="inlineStr">
        <is>
          <t>토너</t>
        </is>
      </c>
      <c r="F5214" s="94" t="inlineStr">
        <is>
          <t>큐텐</t>
        </is>
      </c>
      <c r="G5214" s="94" t="inlineStr">
        <is>
          <t>250ml</t>
        </is>
      </c>
      <c r="H5214" s="7" t="n">
        <v>190801</v>
      </c>
      <c r="I5214" s="7" t="n">
        <v>190801</v>
      </c>
      <c r="J5214" s="94" t="n"/>
      <c r="K5214" s="149" t="n">
        <v>16</v>
      </c>
      <c r="L5214" s="92" t="n">
        <v>190801</v>
      </c>
      <c r="M5214" s="94">
        <f>VLOOKUP($Q5214,매칭테이블!$F:$I,2,0)*K5214</f>
        <v/>
      </c>
      <c r="N5214" s="94">
        <f>M5214-M5214*VLOOKUP($Q5214,매칭테이블!$F:$I,3,0)</f>
        <v/>
      </c>
      <c r="O5214" s="94">
        <f>VLOOKUP($Q5214,매칭테이블!$F:$I,4,0)*K5214</f>
        <v/>
      </c>
      <c r="P5214" s="148">
        <f>M5214/1.1</f>
        <v/>
      </c>
      <c r="Q5214" s="94">
        <f>F5214&amp;E5214&amp;G5214&amp;L5214</f>
        <v/>
      </c>
    </row>
    <row r="5215">
      <c r="A5215" s="94" t="n"/>
      <c r="B5215" s="128" t="n">
        <v>43914</v>
      </c>
      <c r="C5215" s="94">
        <f>TEXT(B5215,"aaa")</f>
        <v/>
      </c>
      <c r="D5215" s="94" t="n"/>
      <c r="E5215" s="94" t="inlineStr">
        <is>
          <t>토너</t>
        </is>
      </c>
      <c r="F5215" s="94" t="inlineStr">
        <is>
          <t>큐텐</t>
        </is>
      </c>
      <c r="G5215" s="94" t="inlineStr">
        <is>
          <t>250ml 2set</t>
        </is>
      </c>
      <c r="H5215" s="7" t="n">
        <v>190801</v>
      </c>
      <c r="I5215" s="7" t="n">
        <v>190801</v>
      </c>
      <c r="J5215" s="94" t="n"/>
      <c r="K5215" s="149" t="n">
        <v>7</v>
      </c>
      <c r="L5215" s="92" t="n">
        <v>190801</v>
      </c>
      <c r="M5215" s="94">
        <f>VLOOKUP($Q5215,매칭테이블!$F:$I,2,0)*K5215</f>
        <v/>
      </c>
      <c r="N5215" s="94">
        <f>M5215-M5215*VLOOKUP($Q5215,매칭테이블!$F:$I,3,0)</f>
        <v/>
      </c>
      <c r="O5215" s="94">
        <f>VLOOKUP($Q5215,매칭테이블!$F:$I,4,0)*K5215</f>
        <v/>
      </c>
      <c r="P5215" s="148">
        <f>M5215/1.1</f>
        <v/>
      </c>
      <c r="Q5215" s="94">
        <f>F5215&amp;E5215&amp;G5215&amp;L5215</f>
        <v/>
      </c>
    </row>
    <row r="5216">
      <c r="A5216" s="94" t="n"/>
      <c r="B5216" s="128" t="n">
        <v>43914</v>
      </c>
      <c r="C5216" s="94">
        <f>TEXT(B5216,"aaa")</f>
        <v/>
      </c>
      <c r="D5216" s="94" t="n"/>
      <c r="E5216" s="94" t="inlineStr">
        <is>
          <t>클렌징폼</t>
        </is>
      </c>
      <c r="F5216" s="94" t="inlineStr">
        <is>
          <t>큐텐</t>
        </is>
      </c>
      <c r="G5216" s="94" t="inlineStr">
        <is>
          <t>클렌징폼 120ml</t>
        </is>
      </c>
      <c r="H5216" s="7" t="n">
        <v>190801</v>
      </c>
      <c r="I5216" s="7" t="n">
        <v>190801</v>
      </c>
      <c r="J5216" s="94" t="n"/>
      <c r="K5216" s="149" t="n">
        <v>1</v>
      </c>
      <c r="L5216" s="7" t="n">
        <v>190801</v>
      </c>
      <c r="M5216" s="94">
        <f>VLOOKUP($Q5216,매칭테이블!$F:$I,2,0)*K5216</f>
        <v/>
      </c>
      <c r="N5216" s="94">
        <f>M5216-M5216*VLOOKUP($Q5216,매칭테이블!$F:$I,3,0)</f>
        <v/>
      </c>
      <c r="O5216" s="94">
        <f>VLOOKUP($Q5216,매칭테이블!$F:$I,4,0)*K5216</f>
        <v/>
      </c>
      <c r="P5216" s="148">
        <f>M5216/1.1</f>
        <v/>
      </c>
      <c r="Q5216" s="94">
        <f>F5216&amp;E5216&amp;G5216&amp;L5216</f>
        <v/>
      </c>
    </row>
    <row r="5217">
      <c r="A5217" s="94" t="n"/>
      <c r="B5217" s="128" t="n">
        <v>43915</v>
      </c>
      <c r="C5217" s="94">
        <f>TEXT(B5217,"aaa")</f>
        <v/>
      </c>
      <c r="D5217" s="94" t="n"/>
      <c r="E5217" s="6" t="inlineStr">
        <is>
          <t>토너</t>
        </is>
      </c>
      <c r="F5217" s="5" t="inlineStr">
        <is>
          <t>W컨셉</t>
        </is>
      </c>
      <c r="G5217" s="5" t="inlineStr">
        <is>
          <t>250ml</t>
        </is>
      </c>
      <c r="H5217" s="7" t="n">
        <v>190801</v>
      </c>
      <c r="I5217" s="7" t="n">
        <v>190801</v>
      </c>
      <c r="J5217" s="94" t="n"/>
      <c r="K5217" s="149" t="n">
        <v>5</v>
      </c>
      <c r="L5217" s="7" t="n">
        <v>190801</v>
      </c>
      <c r="M5217" s="94">
        <f>VLOOKUP($Q5217,매칭테이블!$F:$I,2,0)*K5217</f>
        <v/>
      </c>
      <c r="N5217" s="94">
        <f>M5217-M5217*VLOOKUP($Q5217,매칭테이블!$F:$I,3,0)</f>
        <v/>
      </c>
      <c r="O5217" s="94">
        <f>VLOOKUP($Q5217,매칭테이블!$F:$I,4,0)*K5217</f>
        <v/>
      </c>
      <c r="P5217" s="148">
        <f>M5217/1.1</f>
        <v/>
      </c>
      <c r="Q5217" s="94">
        <f>F5217&amp;E5217&amp;G5217&amp;L5217</f>
        <v/>
      </c>
    </row>
    <row r="5218">
      <c r="A5218" s="94" t="n"/>
      <c r="B5218" s="128" t="n">
        <v>43915</v>
      </c>
      <c r="C5218" s="94">
        <f>TEXT(B5218,"aaa")</f>
        <v/>
      </c>
      <c r="D5218" s="94" t="n"/>
      <c r="E5218" s="6" t="inlineStr">
        <is>
          <t>토너</t>
        </is>
      </c>
      <c r="F5218" s="5" t="inlineStr">
        <is>
          <t>W컨셉</t>
        </is>
      </c>
      <c r="G5218" s="5" t="inlineStr">
        <is>
          <t>250ml 2set</t>
        </is>
      </c>
      <c r="H5218" s="7" t="n">
        <v>190801</v>
      </c>
      <c r="I5218" s="7" t="n">
        <v>190801</v>
      </c>
      <c r="J5218" s="94" t="n"/>
      <c r="K5218" s="149" t="n">
        <v>10</v>
      </c>
      <c r="L5218" s="7" t="n">
        <v>190801</v>
      </c>
      <c r="M5218" s="94">
        <f>VLOOKUP($Q5218,매칭테이블!$F:$I,2,0)*K5218</f>
        <v/>
      </c>
      <c r="N5218" s="94">
        <f>M5218-M5218*VLOOKUP($Q5218,매칭테이블!$F:$I,3,0)</f>
        <v/>
      </c>
      <c r="O5218" s="94">
        <f>VLOOKUP($Q5218,매칭테이블!$F:$I,4,0)*K5218</f>
        <v/>
      </c>
      <c r="P5218" s="148">
        <f>M5218/1.1</f>
        <v/>
      </c>
      <c r="Q5218" s="94">
        <f>F5218&amp;E5218&amp;G5218&amp;L5218</f>
        <v/>
      </c>
    </row>
    <row r="5219">
      <c r="A5219" s="94" t="n"/>
      <c r="B5219" s="128" t="n">
        <v>43915</v>
      </c>
      <c r="C5219" s="94">
        <f>TEXT(B5219,"aaa")</f>
        <v/>
      </c>
      <c r="D5219" s="94" t="n"/>
      <c r="E5219" s="94" t="inlineStr">
        <is>
          <t>토너</t>
        </is>
      </c>
      <c r="F5219" s="5" t="inlineStr">
        <is>
          <t>스타일쉐어</t>
        </is>
      </c>
      <c r="G5219" s="94" t="inlineStr">
        <is>
          <t>250ml</t>
        </is>
      </c>
      <c r="H5219" s="7" t="n">
        <v>190801</v>
      </c>
      <c r="I5219" s="7" t="n">
        <v>190801</v>
      </c>
      <c r="J5219" s="94" t="n"/>
      <c r="K5219" s="149" t="n">
        <v>27</v>
      </c>
      <c r="L5219" s="92" t="n">
        <v>190801</v>
      </c>
      <c r="M5219" s="94">
        <f>VLOOKUP($Q5219,매칭테이블!$F:$I,2,0)*K5219</f>
        <v/>
      </c>
      <c r="N5219" s="94">
        <f>M5219-M5219*VLOOKUP($Q5219,매칭테이블!$F:$I,3,0)</f>
        <v/>
      </c>
      <c r="O5219" s="94">
        <f>VLOOKUP($Q5219,매칭테이블!$F:$I,4,0)*K5219</f>
        <v/>
      </c>
      <c r="P5219" s="148">
        <f>M5219/1.1</f>
        <v/>
      </c>
      <c r="Q5219" s="94">
        <f>F5219&amp;E5219&amp;G5219&amp;L5219</f>
        <v/>
      </c>
    </row>
    <row r="5220">
      <c r="A5220" s="94" t="n"/>
      <c r="B5220" s="128" t="n">
        <v>43915</v>
      </c>
      <c r="C5220" s="94">
        <f>TEXT(B5220,"aaa")</f>
        <v/>
      </c>
      <c r="D5220" s="94" t="n"/>
      <c r="E5220" s="94" t="inlineStr">
        <is>
          <t>토너</t>
        </is>
      </c>
      <c r="F5220" s="94" t="inlineStr">
        <is>
          <t>아누아 CS</t>
        </is>
      </c>
      <c r="G5220" s="94" t="inlineStr">
        <is>
          <t>250ml</t>
        </is>
      </c>
      <c r="H5220" s="7" t="n">
        <v>190801</v>
      </c>
      <c r="I5220" s="7" t="n">
        <v>190801</v>
      </c>
      <c r="J5220" s="94" t="n"/>
      <c r="K5220" s="149" t="n">
        <v>305</v>
      </c>
      <c r="L5220" s="92" t="n">
        <v>190801</v>
      </c>
      <c r="M5220" s="94">
        <f>VLOOKUP($Q5220,매칭테이블!$F:$I,2,0)*K5220</f>
        <v/>
      </c>
      <c r="N5220" s="94">
        <f>M5220-M5220*VLOOKUP($Q5220,매칭테이블!$F:$I,3,0)</f>
        <v/>
      </c>
      <c r="O5220" s="94">
        <f>VLOOKUP($Q5220,매칭테이블!$F:$I,4,0)*K5220</f>
        <v/>
      </c>
      <c r="P5220" s="148">
        <f>M5220/1.1</f>
        <v/>
      </c>
      <c r="Q5220" s="94">
        <f>F5220&amp;E5220&amp;G5220&amp;L5220</f>
        <v/>
      </c>
    </row>
    <row r="5221">
      <c r="A5221" s="94" t="n"/>
      <c r="B5221" s="128" t="n">
        <v>43915</v>
      </c>
      <c r="C5221" s="94">
        <f>TEXT(B5221,"aaa")</f>
        <v/>
      </c>
      <c r="D5221" s="94" t="n"/>
      <c r="E5221" s="94" t="inlineStr">
        <is>
          <t>토너</t>
        </is>
      </c>
      <c r="F5221" s="94" t="inlineStr">
        <is>
          <t>아누아 CS</t>
        </is>
      </c>
      <c r="G5221" s="94" t="inlineStr">
        <is>
          <t>40ml</t>
        </is>
      </c>
      <c r="H5221" s="7" t="n">
        <v>190801</v>
      </c>
      <c r="I5221" s="7" t="n">
        <v>190801</v>
      </c>
      <c r="J5221" s="94" t="n"/>
      <c r="K5221" s="149" t="n">
        <v>300</v>
      </c>
      <c r="L5221" s="92" t="n">
        <v>190801</v>
      </c>
      <c r="M5221" s="94">
        <f>VLOOKUP($Q5221,매칭테이블!$F:$I,2,0)*K5221</f>
        <v/>
      </c>
      <c r="N5221" s="94">
        <f>M5221-M5221*VLOOKUP($Q5221,매칭테이블!$F:$I,3,0)</f>
        <v/>
      </c>
      <c r="O5221" s="94">
        <f>VLOOKUP($Q5221,매칭테이블!$F:$I,4,0)*K5221</f>
        <v/>
      </c>
      <c r="P5221" s="148">
        <f>M5221/1.1</f>
        <v/>
      </c>
      <c r="Q5221" s="94">
        <f>F5221&amp;E5221&amp;G5221&amp;L5221</f>
        <v/>
      </c>
    </row>
    <row r="5222">
      <c r="A5222" s="94" t="n"/>
      <c r="B5222" s="128" t="n">
        <v>43915</v>
      </c>
      <c r="C5222" s="94">
        <f>TEXT(B5222,"aaa")</f>
        <v/>
      </c>
      <c r="D5222" s="94" t="n"/>
      <c r="E5222" s="94" t="inlineStr">
        <is>
          <t>앰플</t>
        </is>
      </c>
      <c r="F5222" s="94" t="inlineStr">
        <is>
          <t>아누아 CS</t>
        </is>
      </c>
      <c r="G5222" s="94" t="inlineStr">
        <is>
          <t>앰플 30ml</t>
        </is>
      </c>
      <c r="H5222" s="7" t="n">
        <v>190801</v>
      </c>
      <c r="I5222" s="7" t="n">
        <v>190801</v>
      </c>
      <c r="J5222" s="94" t="n"/>
      <c r="K5222" s="149" t="n">
        <v>1</v>
      </c>
      <c r="L5222" s="92" t="n">
        <v>190801</v>
      </c>
      <c r="M5222" s="94">
        <f>VLOOKUP($Q5222,매칭테이블!$F:$I,2,0)*K5222</f>
        <v/>
      </c>
      <c r="N5222" s="94">
        <f>M5222-M5222*VLOOKUP($Q5222,매칭테이블!$F:$I,3,0)</f>
        <v/>
      </c>
      <c r="O5222" s="94">
        <f>VLOOKUP($Q5222,매칭테이블!$F:$I,4,0)*K5222</f>
        <v/>
      </c>
      <c r="P5222" s="148">
        <f>M5222/1.1</f>
        <v/>
      </c>
      <c r="Q5222" s="94">
        <f>F5222&amp;E5222&amp;G5222&amp;L5222</f>
        <v/>
      </c>
    </row>
    <row r="5223">
      <c r="A5223" s="94" t="n"/>
      <c r="B5223" s="128" t="n">
        <v>43915</v>
      </c>
      <c r="C5223" s="94">
        <f>TEXT(B5223,"aaa")</f>
        <v/>
      </c>
      <c r="D5223" s="94" t="n"/>
      <c r="E5223" s="94" t="inlineStr">
        <is>
          <t>마스크팩</t>
        </is>
      </c>
      <c r="F5223" s="94" t="inlineStr">
        <is>
          <t>아누아 CS</t>
        </is>
      </c>
      <c r="G5223" s="94" t="inlineStr">
        <is>
          <t>마스크팩 10매</t>
        </is>
      </c>
      <c r="H5223" s="7" t="n">
        <v>190801</v>
      </c>
      <c r="I5223" s="7" t="n">
        <v>190801</v>
      </c>
      <c r="J5223" s="94" t="n"/>
      <c r="K5223" s="149" t="n">
        <v>4</v>
      </c>
      <c r="L5223" s="94" t="n">
        <v>190801</v>
      </c>
      <c r="M5223" s="94">
        <f>VLOOKUP($Q5223,매칭테이블!$F:$I,2,0)*K5223</f>
        <v/>
      </c>
      <c r="N5223" s="94">
        <f>M5223-M5223*VLOOKUP($Q5223,매칭테이블!$F:$I,3,0)</f>
        <v/>
      </c>
      <c r="O5223" s="94">
        <f>VLOOKUP($Q5223,매칭테이블!$F:$I,4,0)*K5223</f>
        <v/>
      </c>
      <c r="P5223" s="148">
        <f>M5223/1.1</f>
        <v/>
      </c>
      <c r="Q5223" s="94">
        <f>F5223&amp;E5223&amp;G5223&amp;L5223</f>
        <v/>
      </c>
    </row>
    <row r="5224">
      <c r="A5224" s="94" t="n"/>
      <c r="B5224" s="128" t="n">
        <v>43915</v>
      </c>
      <c r="C5224" s="94">
        <f>TEXT(B5224,"aaa")</f>
        <v/>
      </c>
      <c r="D5224" s="94" t="n"/>
      <c r="E5224" s="94" t="inlineStr">
        <is>
          <t>머드크림마스크</t>
        </is>
      </c>
      <c r="F5224" s="94" t="inlineStr">
        <is>
          <t>카페24</t>
        </is>
      </c>
      <c r="G5224" s="94" t="inlineStr">
        <is>
          <t>머드크림마스크 100ml</t>
        </is>
      </c>
      <c r="H5224" s="7" t="n">
        <v>190801</v>
      </c>
      <c r="I5224" s="7" t="n">
        <v>190801</v>
      </c>
      <c r="J5224" s="94" t="n"/>
      <c r="K5224" s="149" t="n">
        <v>24</v>
      </c>
      <c r="L5224" s="94" t="n">
        <v>190801</v>
      </c>
      <c r="M5224" s="94">
        <f>VLOOKUP($Q5224,매칭테이블!$F:$I,2,0)*K5224</f>
        <v/>
      </c>
      <c r="N5224" s="94">
        <f>M5224-M5224*VLOOKUP($Q5224,매칭테이블!$F:$I,3,0)</f>
        <v/>
      </c>
      <c r="O5224" s="94">
        <f>VLOOKUP($Q5224,매칭테이블!$F:$I,4,0)*K5224</f>
        <v/>
      </c>
      <c r="P5224" s="148">
        <f>M5224/1.1</f>
        <v/>
      </c>
      <c r="Q5224" s="94">
        <f>F5224&amp;E5224&amp;G5224&amp;L5224</f>
        <v/>
      </c>
    </row>
    <row r="5225">
      <c r="A5225" s="94" t="n"/>
      <c r="B5225" s="128" t="n">
        <v>43915</v>
      </c>
      <c r="C5225" s="94">
        <f>TEXT(B5225,"aaa")</f>
        <v/>
      </c>
      <c r="D5225" s="94" t="n"/>
      <c r="E5225" s="94" t="inlineStr">
        <is>
          <t>머드크림마스크</t>
        </is>
      </c>
      <c r="F5225" s="94" t="inlineStr">
        <is>
          <t>카페24</t>
        </is>
      </c>
      <c r="G5225" s="94" t="inlineStr">
        <is>
          <t>머드크림마스크 100ml 2set</t>
        </is>
      </c>
      <c r="H5225" s="7" t="n">
        <v>190801</v>
      </c>
      <c r="I5225" s="7" t="n">
        <v>190801</v>
      </c>
      <c r="J5225" s="94" t="n"/>
      <c r="K5225" s="149" t="n">
        <v>3</v>
      </c>
      <c r="L5225" s="94" t="n">
        <v>190801</v>
      </c>
      <c r="M5225" s="94">
        <f>VLOOKUP($Q5225,매칭테이블!$F:$I,2,0)*K5225</f>
        <v/>
      </c>
      <c r="N5225" s="94">
        <f>M5225-M5225*VLOOKUP($Q5225,매칭테이블!$F:$I,3,0)</f>
        <v/>
      </c>
      <c r="O5225" s="94">
        <f>VLOOKUP($Q5225,매칭테이블!$F:$I,4,0)*K5225</f>
        <v/>
      </c>
      <c r="P5225" s="148">
        <f>M5225/1.1</f>
        <v/>
      </c>
      <c r="Q5225" s="94">
        <f>F5225&amp;E5225&amp;G5225&amp;L5225</f>
        <v/>
      </c>
    </row>
    <row r="5226">
      <c r="A5226" s="94" t="n"/>
      <c r="B5226" s="128" t="n">
        <v>43915</v>
      </c>
      <c r="C5226" s="94">
        <f>TEXT(B5226,"aaa")</f>
        <v/>
      </c>
      <c r="D5226" s="94" t="n"/>
      <c r="E5226" s="6" t="inlineStr">
        <is>
          <t>토너</t>
        </is>
      </c>
      <c r="F5226" s="5" t="inlineStr">
        <is>
          <t>카페24</t>
        </is>
      </c>
      <c r="G5226" s="5" t="inlineStr">
        <is>
          <t>250ml</t>
        </is>
      </c>
      <c r="H5226" s="7" t="n">
        <v>190801</v>
      </c>
      <c r="I5226" s="7" t="n">
        <v>190801</v>
      </c>
      <c r="J5226" s="94" t="n"/>
      <c r="K5226" s="149" t="n">
        <v>130</v>
      </c>
      <c r="L5226" s="7" t="n">
        <v>190801</v>
      </c>
      <c r="M5226" s="94">
        <f>VLOOKUP($Q5226,매칭테이블!$F:$I,2,0)*K5226</f>
        <v/>
      </c>
      <c r="N5226" s="94">
        <f>M5226-M5226*VLOOKUP($Q5226,매칭테이블!$F:$I,3,0)</f>
        <v/>
      </c>
      <c r="O5226" s="94">
        <f>VLOOKUP($Q5226,매칭테이블!$F:$I,4,0)*K5226</f>
        <v/>
      </c>
      <c r="P5226" s="148">
        <f>M5226/1.1</f>
        <v/>
      </c>
      <c r="Q5226" s="94">
        <f>F5226&amp;E5226&amp;G5226&amp;L5226</f>
        <v/>
      </c>
    </row>
    <row r="5227">
      <c r="A5227" s="94" t="n"/>
      <c r="B5227" s="128" t="n">
        <v>43915</v>
      </c>
      <c r="C5227" s="94">
        <f>TEXT(B5227,"aaa")</f>
        <v/>
      </c>
      <c r="D5227" s="94" t="n"/>
      <c r="E5227" s="6" t="inlineStr">
        <is>
          <t>토너</t>
        </is>
      </c>
      <c r="F5227" s="5" t="inlineStr">
        <is>
          <t>카페24</t>
        </is>
      </c>
      <c r="G5227" s="5" t="inlineStr">
        <is>
          <t>250ml 2set</t>
        </is>
      </c>
      <c r="H5227" s="7" t="n">
        <v>190801</v>
      </c>
      <c r="I5227" s="7" t="n">
        <v>190801</v>
      </c>
      <c r="J5227" s="94" t="n"/>
      <c r="K5227" s="149" t="n">
        <v>101</v>
      </c>
      <c r="L5227" s="7" t="n">
        <v>190801</v>
      </c>
      <c r="M5227" s="94">
        <f>VLOOKUP($Q5227,매칭테이블!$F:$I,2,0)*K5227</f>
        <v/>
      </c>
      <c r="N5227" s="94">
        <f>M5227-M5227*VLOOKUP($Q5227,매칭테이블!$F:$I,3,0)</f>
        <v/>
      </c>
      <c r="O5227" s="94">
        <f>VLOOKUP($Q5227,매칭테이블!$F:$I,4,0)*K5227</f>
        <v/>
      </c>
      <c r="P5227" s="148">
        <f>M5227/1.1</f>
        <v/>
      </c>
      <c r="Q5227" s="94">
        <f>F5227&amp;E5227&amp;G5227&amp;L5227</f>
        <v/>
      </c>
    </row>
    <row r="5228">
      <c r="A5228" s="94" t="n"/>
      <c r="B5228" s="128" t="n">
        <v>43915</v>
      </c>
      <c r="C5228" s="94">
        <f>TEXT(B5228,"aaa")</f>
        <v/>
      </c>
      <c r="D5228" s="94" t="n"/>
      <c r="E5228" s="6" t="inlineStr">
        <is>
          <t>토너</t>
        </is>
      </c>
      <c r="F5228" s="5" t="inlineStr">
        <is>
          <t>카페24</t>
        </is>
      </c>
      <c r="G5228" s="5" t="inlineStr">
        <is>
          <t>500ml</t>
        </is>
      </c>
      <c r="H5228" s="7" t="n">
        <v>190801</v>
      </c>
      <c r="I5228" s="7" t="n">
        <v>190801</v>
      </c>
      <c r="J5228" s="94" t="n"/>
      <c r="K5228" s="149" t="n">
        <v>153</v>
      </c>
      <c r="L5228" s="7" t="n">
        <v>190801</v>
      </c>
      <c r="M5228" s="94">
        <f>VLOOKUP($Q5228,매칭테이블!$F:$I,2,0)*K5228</f>
        <v/>
      </c>
      <c r="N5228" s="94">
        <f>M5228-M5228*VLOOKUP($Q5228,매칭테이블!$F:$I,3,0)</f>
        <v/>
      </c>
      <c r="O5228" s="94">
        <f>VLOOKUP($Q5228,매칭테이블!$F:$I,4,0)*K5228</f>
        <v/>
      </c>
      <c r="P5228" s="148">
        <f>M5228/1.1</f>
        <v/>
      </c>
      <c r="Q5228" s="94">
        <f>F5228&amp;E5228&amp;G5228&amp;L5228</f>
        <v/>
      </c>
    </row>
    <row r="5229">
      <c r="A5229" s="94" t="n"/>
      <c r="B5229" s="128" t="n">
        <v>43915</v>
      </c>
      <c r="C5229" s="94">
        <f>TEXT(B5229,"aaa")</f>
        <v/>
      </c>
      <c r="D5229" s="94" t="n"/>
      <c r="E5229" s="6" t="inlineStr">
        <is>
          <t>토너</t>
        </is>
      </c>
      <c r="F5229" s="5" t="inlineStr">
        <is>
          <t>카페24</t>
        </is>
      </c>
      <c r="G5229" s="94" t="inlineStr">
        <is>
          <t>스킨팩 화장솜 60P</t>
        </is>
      </c>
      <c r="H5229" s="7" t="n">
        <v>190801</v>
      </c>
      <c r="I5229" s="7" t="n">
        <v>190801</v>
      </c>
      <c r="J5229" s="94" t="n"/>
      <c r="K5229" s="149" t="n">
        <v>122</v>
      </c>
      <c r="L5229" s="7" t="n">
        <v>190801</v>
      </c>
      <c r="M5229" s="94">
        <f>VLOOKUP($Q5229,매칭테이블!$F:$I,2,0)*K5229</f>
        <v/>
      </c>
      <c r="N5229" s="94">
        <f>M5229-M5229*VLOOKUP($Q5229,매칭테이블!$F:$I,3,0)</f>
        <v/>
      </c>
      <c r="O5229" s="94">
        <f>VLOOKUP($Q5229,매칭테이블!$F:$I,4,0)*K5229</f>
        <v/>
      </c>
      <c r="P5229" s="148">
        <f>M5229/1.1</f>
        <v/>
      </c>
      <c r="Q5229" s="94">
        <f>F5229&amp;E5229&amp;G5229&amp;L5229</f>
        <v/>
      </c>
    </row>
    <row r="5230">
      <c r="A5230" s="94" t="n"/>
      <c r="B5230" s="128" t="n">
        <v>43915</v>
      </c>
      <c r="C5230" s="94">
        <f>TEXT(B5230,"aaa")</f>
        <v/>
      </c>
      <c r="D5230" s="94" t="n"/>
      <c r="E5230" s="94" t="inlineStr">
        <is>
          <t>마스크팩</t>
        </is>
      </c>
      <c r="F5230" s="94" t="inlineStr">
        <is>
          <t>카페24</t>
        </is>
      </c>
      <c r="G5230" s="94" t="inlineStr">
        <is>
          <t>마스크팩 10매</t>
        </is>
      </c>
      <c r="H5230" s="7" t="n">
        <v>190801</v>
      </c>
      <c r="I5230" s="7" t="n">
        <v>190801</v>
      </c>
      <c r="J5230" s="94" t="n"/>
      <c r="K5230" s="149" t="n">
        <v>16</v>
      </c>
      <c r="L5230" s="94" t="n">
        <v>190801</v>
      </c>
      <c r="M5230" s="94">
        <f>VLOOKUP($Q5230,매칭테이블!$F:$I,2,0)*K5230</f>
        <v/>
      </c>
      <c r="N5230" s="94">
        <f>M5230-M5230*VLOOKUP($Q5230,매칭테이블!$F:$I,3,0)</f>
        <v/>
      </c>
      <c r="O5230" s="94">
        <f>VLOOKUP($Q5230,매칭테이블!$F:$I,4,0)*K5230</f>
        <v/>
      </c>
      <c r="P5230" s="148">
        <f>M5230/1.1</f>
        <v/>
      </c>
      <c r="Q5230" s="94">
        <f>F5230&amp;E5230&amp;G5230&amp;L5230</f>
        <v/>
      </c>
    </row>
    <row r="5231">
      <c r="A5231" s="94" t="n"/>
      <c r="B5231" s="128" t="n">
        <v>43915</v>
      </c>
      <c r="C5231" s="94">
        <f>TEXT(B5231,"aaa")</f>
        <v/>
      </c>
      <c r="D5231" s="94" t="n"/>
      <c r="E5231" s="94" t="inlineStr">
        <is>
          <t>마스크팩</t>
        </is>
      </c>
      <c r="F5231" s="94" t="inlineStr">
        <is>
          <t>카페24</t>
        </is>
      </c>
      <c r="G5231" s="94" t="inlineStr">
        <is>
          <t>마스크팩 1매</t>
        </is>
      </c>
      <c r="H5231" s="7" t="n">
        <v>190801</v>
      </c>
      <c r="I5231" s="7" t="n">
        <v>190801</v>
      </c>
      <c r="J5231" s="94" t="n"/>
      <c r="K5231" s="149" t="n">
        <v>12</v>
      </c>
      <c r="L5231" s="94" t="n">
        <v>190801</v>
      </c>
      <c r="M5231" s="94">
        <f>VLOOKUP($Q5231,매칭테이블!$F:$I,2,0)*K5231</f>
        <v/>
      </c>
      <c r="N5231" s="94">
        <f>M5231-M5231*VLOOKUP($Q5231,매칭테이블!$F:$I,3,0)</f>
        <v/>
      </c>
      <c r="O5231" s="94">
        <f>VLOOKUP($Q5231,매칭테이블!$F:$I,4,0)*K5231</f>
        <v/>
      </c>
      <c r="P5231" s="148">
        <f>M5231/1.1</f>
        <v/>
      </c>
      <c r="Q5231" s="94">
        <f>F5231&amp;E5231&amp;G5231&amp;L5231</f>
        <v/>
      </c>
    </row>
    <row r="5232">
      <c r="A5232" s="94" t="n"/>
      <c r="B5232" s="128" t="n">
        <v>43915</v>
      </c>
      <c r="C5232" s="94">
        <f>TEXT(B5232,"aaa")</f>
        <v/>
      </c>
      <c r="D5232" s="94" t="n"/>
      <c r="E5232" s="94" t="inlineStr">
        <is>
          <t>클렌징폼</t>
        </is>
      </c>
      <c r="F5232" s="5" t="inlineStr">
        <is>
          <t>카페24</t>
        </is>
      </c>
      <c r="G5232" s="94" t="inlineStr">
        <is>
          <t>클렌징폼 120ml</t>
        </is>
      </c>
      <c r="H5232" s="7" t="n">
        <v>190801</v>
      </c>
      <c r="I5232" s="7" t="n">
        <v>190801</v>
      </c>
      <c r="J5232" s="94" t="n"/>
      <c r="K5232" s="149" t="n">
        <v>21</v>
      </c>
      <c r="L5232" s="7" t="n">
        <v>190801</v>
      </c>
      <c r="M5232" s="94">
        <f>VLOOKUP($Q5232,매칭테이블!$F:$I,2,0)*K5232</f>
        <v/>
      </c>
      <c r="N5232" s="94">
        <f>M5232-M5232*VLOOKUP($Q5232,매칭테이블!$F:$I,3,0)</f>
        <v/>
      </c>
      <c r="O5232" s="94">
        <f>VLOOKUP($Q5232,매칭테이블!$F:$I,4,0)*K5232</f>
        <v/>
      </c>
      <c r="P5232" s="148">
        <f>M5232/1.1</f>
        <v/>
      </c>
      <c r="Q5232" s="94">
        <f>F5232&amp;E5232&amp;G5232&amp;L5232</f>
        <v/>
      </c>
    </row>
    <row r="5233">
      <c r="A5233" s="94" t="n"/>
      <c r="B5233" s="128" t="n">
        <v>43915</v>
      </c>
      <c r="C5233" s="94">
        <f>TEXT(B5233,"aaa")</f>
        <v/>
      </c>
      <c r="D5233" s="94" t="n"/>
      <c r="E5233" s="94" t="inlineStr">
        <is>
          <t>클렌징폼</t>
        </is>
      </c>
      <c r="F5233" s="94" t="inlineStr">
        <is>
          <t>카페24</t>
        </is>
      </c>
      <c r="G5233" s="94" t="inlineStr">
        <is>
          <t>클렌징폼 120ml 2set</t>
        </is>
      </c>
      <c r="H5233" s="7" t="n">
        <v>190801</v>
      </c>
      <c r="I5233" s="7" t="n">
        <v>190801</v>
      </c>
      <c r="J5233" s="94" t="n"/>
      <c r="K5233" s="149" t="n">
        <v>4</v>
      </c>
      <c r="L5233" s="7" t="n">
        <v>190801</v>
      </c>
      <c r="M5233" s="94">
        <f>VLOOKUP($Q5233,매칭테이블!$F:$I,2,0)*K5233</f>
        <v/>
      </c>
      <c r="N5233" s="94">
        <f>M5233-M5233*VLOOKUP($Q5233,매칭테이블!$F:$I,3,0)</f>
        <v/>
      </c>
      <c r="O5233" s="94">
        <f>VLOOKUP($Q5233,매칭테이블!$F:$I,4,0)*K5233</f>
        <v/>
      </c>
      <c r="P5233" s="148">
        <f>M5233/1.1</f>
        <v/>
      </c>
      <c r="Q5233" s="94">
        <f>F5233&amp;E5233&amp;G5233&amp;L5233</f>
        <v/>
      </c>
    </row>
    <row r="5234">
      <c r="A5234" s="94" t="n"/>
      <c r="B5234" s="128" t="n">
        <v>43915</v>
      </c>
      <c r="C5234" s="94">
        <f>TEXT(B5234,"aaa")</f>
        <v/>
      </c>
      <c r="D5234" s="94" t="n"/>
      <c r="E5234" s="94" t="inlineStr">
        <is>
          <t>토너</t>
        </is>
      </c>
      <c r="F5234" s="94" t="inlineStr">
        <is>
          <t>큐텐</t>
        </is>
      </c>
      <c r="G5234" s="94" t="inlineStr">
        <is>
          <t>250ml</t>
        </is>
      </c>
      <c r="H5234" s="7" t="n">
        <v>190801</v>
      </c>
      <c r="I5234" s="7" t="n">
        <v>190801</v>
      </c>
      <c r="J5234" s="94" t="n"/>
      <c r="K5234" s="149" t="n">
        <v>24</v>
      </c>
      <c r="L5234" s="92" t="n">
        <v>190801</v>
      </c>
      <c r="M5234" s="94">
        <f>VLOOKUP($Q5234,매칭테이블!$F:$I,2,0)*K5234</f>
        <v/>
      </c>
      <c r="N5234" s="94">
        <f>M5234-M5234*VLOOKUP($Q5234,매칭테이블!$F:$I,3,0)</f>
        <v/>
      </c>
      <c r="O5234" s="94">
        <f>VLOOKUP($Q5234,매칭테이블!$F:$I,4,0)*K5234</f>
        <v/>
      </c>
      <c r="P5234" s="148">
        <f>M5234/1.1</f>
        <v/>
      </c>
      <c r="Q5234" s="94">
        <f>F5234&amp;E5234&amp;G5234&amp;L5234</f>
        <v/>
      </c>
    </row>
    <row r="5235">
      <c r="A5235" s="94" t="n"/>
      <c r="B5235" s="128" t="n">
        <v>43915</v>
      </c>
      <c r="C5235" s="94">
        <f>TEXT(B5235,"aaa")</f>
        <v/>
      </c>
      <c r="D5235" s="94" t="n"/>
      <c r="E5235" s="94" t="inlineStr">
        <is>
          <t>토너</t>
        </is>
      </c>
      <c r="F5235" s="94" t="inlineStr">
        <is>
          <t>큐텐</t>
        </is>
      </c>
      <c r="G5235" s="94" t="inlineStr">
        <is>
          <t>250ml 2set</t>
        </is>
      </c>
      <c r="H5235" s="7" t="n">
        <v>190801</v>
      </c>
      <c r="I5235" s="7" t="n">
        <v>190801</v>
      </c>
      <c r="J5235" s="94" t="n"/>
      <c r="K5235" s="149" t="n">
        <v>4</v>
      </c>
      <c r="L5235" s="92" t="n">
        <v>190801</v>
      </c>
      <c r="M5235" s="94">
        <f>VLOOKUP($Q5235,매칭테이블!$F:$I,2,0)*K5235</f>
        <v/>
      </c>
      <c r="N5235" s="94">
        <f>M5235-M5235*VLOOKUP($Q5235,매칭테이블!$F:$I,3,0)</f>
        <v/>
      </c>
      <c r="O5235" s="94">
        <f>VLOOKUP($Q5235,매칭테이블!$F:$I,4,0)*K5235</f>
        <v/>
      </c>
      <c r="P5235" s="148">
        <f>M5235/1.1</f>
        <v/>
      </c>
      <c r="Q5235" s="94">
        <f>F5235&amp;E5235&amp;G5235&amp;L5235</f>
        <v/>
      </c>
    </row>
    <row r="5236">
      <c r="A5236" s="94" t="n"/>
      <c r="B5236" s="128" t="n">
        <v>43915</v>
      </c>
      <c r="C5236" s="94">
        <f>TEXT(B5236,"aaa")</f>
        <v/>
      </c>
      <c r="D5236" s="94" t="n"/>
      <c r="E5236" s="94" t="inlineStr">
        <is>
          <t>클렌징폼</t>
        </is>
      </c>
      <c r="F5236" s="94" t="inlineStr">
        <is>
          <t>큐텐</t>
        </is>
      </c>
      <c r="G5236" s="94" t="inlineStr">
        <is>
          <t>클렌징폼 120ml</t>
        </is>
      </c>
      <c r="H5236" s="7" t="n">
        <v>190801</v>
      </c>
      <c r="I5236" s="7" t="n">
        <v>190801</v>
      </c>
      <c r="J5236" s="94" t="n"/>
      <c r="K5236" s="149" t="n">
        <v>1</v>
      </c>
      <c r="L5236" s="7" t="n">
        <v>190801</v>
      </c>
      <c r="M5236" s="94">
        <f>VLOOKUP($Q5236,매칭테이블!$F:$I,2,0)*K5236</f>
        <v/>
      </c>
      <c r="N5236" s="94">
        <f>M5236-M5236*VLOOKUP($Q5236,매칭테이블!$F:$I,3,0)</f>
        <v/>
      </c>
      <c r="O5236" s="94">
        <f>VLOOKUP($Q5236,매칭테이블!$F:$I,4,0)*K5236</f>
        <v/>
      </c>
      <c r="P5236" s="148">
        <f>M5236/1.1</f>
        <v/>
      </c>
      <c r="Q5236" s="94">
        <f>F5236&amp;E5236&amp;G5236&amp;L5236</f>
        <v/>
      </c>
    </row>
    <row r="5237">
      <c r="A5237" s="94" t="n"/>
      <c r="B5237" s="128" t="n">
        <v>43916</v>
      </c>
      <c r="C5237" s="94">
        <f>TEXT(B5237,"aaa")</f>
        <v/>
      </c>
      <c r="D5237" s="94" t="n"/>
      <c r="E5237" s="6" t="inlineStr">
        <is>
          <t>토너</t>
        </is>
      </c>
      <c r="F5237" s="5" t="inlineStr">
        <is>
          <t>W컨셉</t>
        </is>
      </c>
      <c r="G5237" s="5" t="inlineStr">
        <is>
          <t>250ml</t>
        </is>
      </c>
      <c r="H5237" s="7" t="n">
        <v>190801</v>
      </c>
      <c r="I5237" s="7" t="n">
        <v>190801</v>
      </c>
      <c r="J5237" s="94" t="n"/>
      <c r="K5237" s="149" t="n">
        <v>5</v>
      </c>
      <c r="L5237" s="7" t="n">
        <v>190801</v>
      </c>
      <c r="M5237" s="94">
        <f>VLOOKUP($Q5237,매칭테이블!$F:$I,2,0)*K5237</f>
        <v/>
      </c>
      <c r="N5237" s="94">
        <f>M5237-M5237*VLOOKUP($Q5237,매칭테이블!$F:$I,3,0)</f>
        <v/>
      </c>
      <c r="O5237" s="94">
        <f>VLOOKUP($Q5237,매칭테이블!$F:$I,4,0)*K5237</f>
        <v/>
      </c>
      <c r="P5237" s="148">
        <f>M5237/1.1</f>
        <v/>
      </c>
      <c r="Q5237" s="94">
        <f>F5237&amp;E5237&amp;G5237&amp;L5237</f>
        <v/>
      </c>
    </row>
    <row r="5238">
      <c r="A5238" s="94" t="n"/>
      <c r="B5238" s="128" t="n">
        <v>43916</v>
      </c>
      <c r="C5238" s="94">
        <f>TEXT(B5238,"aaa")</f>
        <v/>
      </c>
      <c r="D5238" s="94" t="n"/>
      <c r="E5238" s="6" t="inlineStr">
        <is>
          <t>토너</t>
        </is>
      </c>
      <c r="F5238" s="5" t="inlineStr">
        <is>
          <t>W컨셉</t>
        </is>
      </c>
      <c r="G5238" s="5" t="inlineStr">
        <is>
          <t>250ml 2set</t>
        </is>
      </c>
      <c r="H5238" s="7" t="n">
        <v>190801</v>
      </c>
      <c r="I5238" s="7" t="n">
        <v>190801</v>
      </c>
      <c r="J5238" s="94" t="n"/>
      <c r="K5238" s="149" t="n">
        <v>17</v>
      </c>
      <c r="L5238" s="7" t="n">
        <v>190801</v>
      </c>
      <c r="M5238" s="94">
        <f>VLOOKUP($Q5238,매칭테이블!$F:$I,2,0)*K5238</f>
        <v/>
      </c>
      <c r="N5238" s="94">
        <f>M5238-M5238*VLOOKUP($Q5238,매칭테이블!$F:$I,3,0)</f>
        <v/>
      </c>
      <c r="O5238" s="94">
        <f>VLOOKUP($Q5238,매칭테이블!$F:$I,4,0)*K5238</f>
        <v/>
      </c>
      <c r="P5238" s="148">
        <f>M5238/1.1</f>
        <v/>
      </c>
      <c r="Q5238" s="94">
        <f>F5238&amp;E5238&amp;G5238&amp;L5238</f>
        <v/>
      </c>
    </row>
    <row r="5239">
      <c r="A5239" s="94" t="n"/>
      <c r="B5239" s="128" t="n">
        <v>43916</v>
      </c>
      <c r="C5239" s="94">
        <f>TEXT(B5239,"aaa")</f>
        <v/>
      </c>
      <c r="D5239" s="94" t="n"/>
      <c r="E5239" s="94" t="inlineStr">
        <is>
          <t>토너</t>
        </is>
      </c>
      <c r="F5239" s="5" t="inlineStr">
        <is>
          <t>스타일쉐어</t>
        </is>
      </c>
      <c r="G5239" s="94" t="inlineStr">
        <is>
          <t>250ml</t>
        </is>
      </c>
      <c r="H5239" s="7" t="n">
        <v>190801</v>
      </c>
      <c r="I5239" s="7" t="n">
        <v>190801</v>
      </c>
      <c r="J5239" s="94" t="n"/>
      <c r="K5239" s="149" t="n">
        <v>16</v>
      </c>
      <c r="L5239" s="92" t="n">
        <v>190801</v>
      </c>
      <c r="M5239" s="94">
        <f>VLOOKUP($Q5239,매칭테이블!$F:$I,2,0)*K5239</f>
        <v/>
      </c>
      <c r="N5239" s="94">
        <f>M5239-M5239*VLOOKUP($Q5239,매칭테이블!$F:$I,3,0)</f>
        <v/>
      </c>
      <c r="O5239" s="94">
        <f>VLOOKUP($Q5239,매칭테이블!$F:$I,4,0)*K5239</f>
        <v/>
      </c>
      <c r="P5239" s="148">
        <f>M5239/1.1</f>
        <v/>
      </c>
      <c r="Q5239" s="94">
        <f>F5239&amp;E5239&amp;G5239&amp;L5239</f>
        <v/>
      </c>
    </row>
    <row r="5240">
      <c r="A5240" s="94" t="n"/>
      <c r="B5240" s="128" t="n">
        <v>43916</v>
      </c>
      <c r="C5240" s="94">
        <f>TEXT(B5240,"aaa")</f>
        <v/>
      </c>
      <c r="D5240" s="94" t="n"/>
      <c r="E5240" s="94" t="inlineStr">
        <is>
          <t>마스크팩</t>
        </is>
      </c>
      <c r="F5240" s="94" t="inlineStr">
        <is>
          <t>아누아 CS</t>
        </is>
      </c>
      <c r="G5240" s="94" t="inlineStr">
        <is>
          <t>마스크팩 10매</t>
        </is>
      </c>
      <c r="H5240" s="7" t="n">
        <v>190801</v>
      </c>
      <c r="I5240" s="7" t="n">
        <v>190801</v>
      </c>
      <c r="J5240" s="94" t="n"/>
      <c r="K5240" s="149" t="n">
        <v>1</v>
      </c>
      <c r="L5240" s="94" t="n">
        <v>190801</v>
      </c>
      <c r="M5240" s="94">
        <f>VLOOKUP($Q5240,매칭테이블!$F:$I,2,0)*K5240</f>
        <v/>
      </c>
      <c r="N5240" s="94">
        <f>M5240-M5240*VLOOKUP($Q5240,매칭테이블!$F:$I,3,0)</f>
        <v/>
      </c>
      <c r="O5240" s="94">
        <f>VLOOKUP($Q5240,매칭테이블!$F:$I,4,0)*K5240</f>
        <v/>
      </c>
      <c r="P5240" s="148">
        <f>M5240/1.1</f>
        <v/>
      </c>
      <c r="Q5240" s="94">
        <f>F5240&amp;E5240&amp;G5240&amp;L5240</f>
        <v/>
      </c>
    </row>
    <row r="5241">
      <c r="A5241" s="94" t="n"/>
      <c r="B5241" s="128" t="n">
        <v>43916</v>
      </c>
      <c r="C5241" s="94">
        <f>TEXT(B5241,"aaa")</f>
        <v/>
      </c>
      <c r="D5241" s="94" t="n"/>
      <c r="E5241" s="94" t="inlineStr">
        <is>
          <t>토너</t>
        </is>
      </c>
      <c r="F5241" s="94" t="inlineStr">
        <is>
          <t>아누아 CS</t>
        </is>
      </c>
      <c r="G5241" s="94" t="inlineStr">
        <is>
          <t>250ml</t>
        </is>
      </c>
      <c r="H5241" s="7" t="n">
        <v>190801</v>
      </c>
      <c r="I5241" s="7" t="n">
        <v>190801</v>
      </c>
      <c r="J5241" s="94" t="n"/>
      <c r="K5241" s="149" t="n">
        <v>1</v>
      </c>
      <c r="L5241" s="92" t="n">
        <v>190801</v>
      </c>
      <c r="M5241" s="94">
        <f>VLOOKUP($Q5241,매칭테이블!$F:$I,2,0)*K5241</f>
        <v/>
      </c>
      <c r="N5241" s="94">
        <f>M5241-M5241*VLOOKUP($Q5241,매칭테이블!$F:$I,3,0)</f>
        <v/>
      </c>
      <c r="O5241" s="94">
        <f>VLOOKUP($Q5241,매칭테이블!$F:$I,4,0)*K5241</f>
        <v/>
      </c>
      <c r="P5241" s="148">
        <f>M5241/1.1</f>
        <v/>
      </c>
      <c r="Q5241" s="94">
        <f>F5241&amp;E5241&amp;G5241&amp;L5241</f>
        <v/>
      </c>
    </row>
    <row r="5242">
      <c r="A5242" s="94" t="n"/>
      <c r="B5242" s="128" t="n">
        <v>43916</v>
      </c>
      <c r="C5242" s="94">
        <f>TEXT(B5242,"aaa")</f>
        <v/>
      </c>
      <c r="D5242" s="94" t="n"/>
      <c r="E5242" s="94" t="inlineStr">
        <is>
          <t>화장솜</t>
        </is>
      </c>
      <c r="F5242" s="94" t="inlineStr">
        <is>
          <t>아누아 CS</t>
        </is>
      </c>
      <c r="G5242" s="94" t="inlineStr">
        <is>
          <t>스킨팩 화장솜 60P</t>
        </is>
      </c>
      <c r="H5242" s="7" t="n">
        <v>190801</v>
      </c>
      <c r="I5242" s="7" t="n">
        <v>190801</v>
      </c>
      <c r="J5242" s="94" t="n"/>
      <c r="K5242" s="149" t="n">
        <v>1</v>
      </c>
      <c r="L5242" s="94" t="n">
        <v>190801</v>
      </c>
      <c r="M5242" s="94">
        <f>VLOOKUP($Q5242,매칭테이블!$F:$I,2,0)*K5242</f>
        <v/>
      </c>
      <c r="N5242" s="94">
        <f>M5242-M5242*VLOOKUP($Q5242,매칭테이블!$F:$I,3,0)</f>
        <v/>
      </c>
      <c r="O5242" s="94">
        <f>VLOOKUP($Q5242,매칭테이블!$F:$I,4,0)*K5242</f>
        <v/>
      </c>
      <c r="P5242" s="148">
        <f>M5242/1.1</f>
        <v/>
      </c>
      <c r="Q5242" s="94">
        <f>F5242&amp;E5242&amp;G5242&amp;L5242</f>
        <v/>
      </c>
    </row>
    <row r="5243">
      <c r="A5243" s="94" t="n"/>
      <c r="B5243" s="128" t="n">
        <v>43916</v>
      </c>
      <c r="C5243" s="94">
        <f>TEXT(B5243,"aaa")</f>
        <v/>
      </c>
      <c r="D5243" s="94" t="n"/>
      <c r="E5243" s="94" t="inlineStr">
        <is>
          <t>머드크림마스크</t>
        </is>
      </c>
      <c r="F5243" s="94" t="inlineStr">
        <is>
          <t>카페24</t>
        </is>
      </c>
      <c r="G5243" s="94" t="inlineStr">
        <is>
          <t>머드크림마스크 100ml</t>
        </is>
      </c>
      <c r="H5243" s="7" t="n">
        <v>190801</v>
      </c>
      <c r="I5243" s="7" t="n">
        <v>190801</v>
      </c>
      <c r="J5243" s="94" t="n"/>
      <c r="K5243" s="149" t="n">
        <v>28</v>
      </c>
      <c r="L5243" s="94" t="n">
        <v>190801</v>
      </c>
      <c r="M5243" s="94">
        <f>VLOOKUP($Q5243,매칭테이블!$F:$I,2,0)*K5243</f>
        <v/>
      </c>
      <c r="N5243" s="94">
        <f>M5243-M5243*VLOOKUP($Q5243,매칭테이블!$F:$I,3,0)</f>
        <v/>
      </c>
      <c r="O5243" s="94">
        <f>VLOOKUP($Q5243,매칭테이블!$F:$I,4,0)*K5243</f>
        <v/>
      </c>
      <c r="P5243" s="148">
        <f>M5243/1.1</f>
        <v/>
      </c>
      <c r="Q5243" s="94">
        <f>F5243&amp;E5243&amp;G5243&amp;L5243</f>
        <v/>
      </c>
    </row>
    <row r="5244">
      <c r="A5244" s="94" t="n"/>
      <c r="B5244" s="128" t="n">
        <v>43916</v>
      </c>
      <c r="C5244" s="94">
        <f>TEXT(B5244,"aaa")</f>
        <v/>
      </c>
      <c r="D5244" s="94" t="n"/>
      <c r="E5244" s="94" t="inlineStr">
        <is>
          <t>머드크림마스크</t>
        </is>
      </c>
      <c r="F5244" s="94" t="inlineStr">
        <is>
          <t>카페24</t>
        </is>
      </c>
      <c r="G5244" s="94" t="inlineStr">
        <is>
          <t>머드크림마스크 100ml 2set</t>
        </is>
      </c>
      <c r="H5244" s="7" t="n">
        <v>190801</v>
      </c>
      <c r="I5244" s="7" t="n">
        <v>190801</v>
      </c>
      <c r="J5244" s="94" t="n"/>
      <c r="K5244" s="149" t="n">
        <v>3</v>
      </c>
      <c r="L5244" s="94" t="n">
        <v>190801</v>
      </c>
      <c r="M5244" s="94">
        <f>VLOOKUP($Q5244,매칭테이블!$F:$I,2,0)*K5244</f>
        <v/>
      </c>
      <c r="N5244" s="94">
        <f>M5244-M5244*VLOOKUP($Q5244,매칭테이블!$F:$I,3,0)</f>
        <v/>
      </c>
      <c r="O5244" s="94">
        <f>VLOOKUP($Q5244,매칭테이블!$F:$I,4,0)*K5244</f>
        <v/>
      </c>
      <c r="P5244" s="148">
        <f>M5244/1.1</f>
        <v/>
      </c>
      <c r="Q5244" s="94">
        <f>F5244&amp;E5244&amp;G5244&amp;L5244</f>
        <v/>
      </c>
    </row>
    <row r="5245">
      <c r="A5245" s="94" t="n"/>
      <c r="B5245" s="128" t="n">
        <v>43916</v>
      </c>
      <c r="C5245" s="94">
        <f>TEXT(B5245,"aaa")</f>
        <v/>
      </c>
      <c r="D5245" s="94" t="n"/>
      <c r="E5245" s="6" t="inlineStr">
        <is>
          <t>토너</t>
        </is>
      </c>
      <c r="F5245" s="5" t="inlineStr">
        <is>
          <t>카페24</t>
        </is>
      </c>
      <c r="G5245" s="5" t="inlineStr">
        <is>
          <t>250ml</t>
        </is>
      </c>
      <c r="H5245" s="7" t="n">
        <v>190801</v>
      </c>
      <c r="I5245" s="7" t="n">
        <v>190801</v>
      </c>
      <c r="J5245" s="94" t="n"/>
      <c r="K5245" s="149" t="n">
        <v>125</v>
      </c>
      <c r="L5245" s="7" t="n">
        <v>190801</v>
      </c>
      <c r="M5245" s="94">
        <f>VLOOKUP($Q5245,매칭테이블!$F:$I,2,0)*K5245</f>
        <v/>
      </c>
      <c r="N5245" s="94">
        <f>M5245-M5245*VLOOKUP($Q5245,매칭테이블!$F:$I,3,0)</f>
        <v/>
      </c>
      <c r="O5245" s="94">
        <f>VLOOKUP($Q5245,매칭테이블!$F:$I,4,0)*K5245</f>
        <v/>
      </c>
      <c r="P5245" s="148">
        <f>M5245/1.1</f>
        <v/>
      </c>
      <c r="Q5245" s="94">
        <f>F5245&amp;E5245&amp;G5245&amp;L5245</f>
        <v/>
      </c>
    </row>
    <row r="5246">
      <c r="A5246" s="94" t="n"/>
      <c r="B5246" s="128" t="n">
        <v>43916</v>
      </c>
      <c r="C5246" s="94">
        <f>TEXT(B5246,"aaa")</f>
        <v/>
      </c>
      <c r="D5246" s="94" t="n"/>
      <c r="E5246" s="6" t="inlineStr">
        <is>
          <t>토너</t>
        </is>
      </c>
      <c r="F5246" s="5" t="inlineStr">
        <is>
          <t>카페24</t>
        </is>
      </c>
      <c r="G5246" s="5" t="inlineStr">
        <is>
          <t>250ml 2set</t>
        </is>
      </c>
      <c r="H5246" s="7" t="n">
        <v>190801</v>
      </c>
      <c r="I5246" s="7" t="n">
        <v>190801</v>
      </c>
      <c r="J5246" s="94" t="n"/>
      <c r="K5246" s="149" t="n">
        <v>68</v>
      </c>
      <c r="L5246" s="7" t="n">
        <v>190801</v>
      </c>
      <c r="M5246" s="94">
        <f>VLOOKUP($Q5246,매칭테이블!$F:$I,2,0)*K5246</f>
        <v/>
      </c>
      <c r="N5246" s="94">
        <f>M5246-M5246*VLOOKUP($Q5246,매칭테이블!$F:$I,3,0)</f>
        <v/>
      </c>
      <c r="O5246" s="94">
        <f>VLOOKUP($Q5246,매칭테이블!$F:$I,4,0)*K5246</f>
        <v/>
      </c>
      <c r="P5246" s="148">
        <f>M5246/1.1</f>
        <v/>
      </c>
      <c r="Q5246" s="94">
        <f>F5246&amp;E5246&amp;G5246&amp;L5246</f>
        <v/>
      </c>
    </row>
    <row r="5247">
      <c r="A5247" s="94" t="n"/>
      <c r="B5247" s="128" t="n">
        <v>43916</v>
      </c>
      <c r="C5247" s="94">
        <f>TEXT(B5247,"aaa")</f>
        <v/>
      </c>
      <c r="D5247" s="94" t="n"/>
      <c r="E5247" s="6" t="inlineStr">
        <is>
          <t>토너</t>
        </is>
      </c>
      <c r="F5247" s="5" t="inlineStr">
        <is>
          <t>카페24</t>
        </is>
      </c>
      <c r="G5247" s="5" t="inlineStr">
        <is>
          <t>500ml</t>
        </is>
      </c>
      <c r="H5247" s="7" t="n">
        <v>190801</v>
      </c>
      <c r="I5247" s="7" t="n">
        <v>190801</v>
      </c>
      <c r="J5247" s="94" t="n"/>
      <c r="K5247" s="149" t="n">
        <v>120</v>
      </c>
      <c r="L5247" s="7" t="n">
        <v>190801</v>
      </c>
      <c r="M5247" s="94">
        <f>VLOOKUP($Q5247,매칭테이블!$F:$I,2,0)*K5247</f>
        <v/>
      </c>
      <c r="N5247" s="94">
        <f>M5247-M5247*VLOOKUP($Q5247,매칭테이블!$F:$I,3,0)</f>
        <v/>
      </c>
      <c r="O5247" s="94">
        <f>VLOOKUP($Q5247,매칭테이블!$F:$I,4,0)*K5247</f>
        <v/>
      </c>
      <c r="P5247" s="148">
        <f>M5247/1.1</f>
        <v/>
      </c>
      <c r="Q5247" s="94">
        <f>F5247&amp;E5247&amp;G5247&amp;L5247</f>
        <v/>
      </c>
    </row>
    <row r="5248">
      <c r="A5248" s="94" t="n"/>
      <c r="B5248" s="128" t="n">
        <v>43916</v>
      </c>
      <c r="C5248" s="94">
        <f>TEXT(B5248,"aaa")</f>
        <v/>
      </c>
      <c r="D5248" s="94" t="n"/>
      <c r="E5248" s="6" t="inlineStr">
        <is>
          <t>토너</t>
        </is>
      </c>
      <c r="F5248" s="5" t="inlineStr">
        <is>
          <t>카페24</t>
        </is>
      </c>
      <c r="G5248" s="94" t="inlineStr">
        <is>
          <t>스킨팩 화장솜 60P</t>
        </is>
      </c>
      <c r="H5248" s="7" t="n">
        <v>190801</v>
      </c>
      <c r="I5248" s="7" t="n">
        <v>190801</v>
      </c>
      <c r="J5248" s="94" t="n"/>
      <c r="K5248" s="149" t="n">
        <v>125</v>
      </c>
      <c r="L5248" s="7" t="n">
        <v>190801</v>
      </c>
      <c r="M5248" s="94">
        <f>VLOOKUP($Q5248,매칭테이블!$F:$I,2,0)*K5248</f>
        <v/>
      </c>
      <c r="N5248" s="94">
        <f>M5248-M5248*VLOOKUP($Q5248,매칭테이블!$F:$I,3,0)</f>
        <v/>
      </c>
      <c r="O5248" s="94">
        <f>VLOOKUP($Q5248,매칭테이블!$F:$I,4,0)*K5248</f>
        <v/>
      </c>
      <c r="P5248" s="148">
        <f>M5248/1.1</f>
        <v/>
      </c>
      <c r="Q5248" s="94">
        <f>F5248&amp;E5248&amp;G5248&amp;L5248</f>
        <v/>
      </c>
    </row>
    <row r="5249">
      <c r="A5249" s="94" t="n"/>
      <c r="B5249" s="128" t="n">
        <v>43916</v>
      </c>
      <c r="C5249" s="94">
        <f>TEXT(B5249,"aaa")</f>
        <v/>
      </c>
      <c r="D5249" s="94" t="n"/>
      <c r="E5249" s="94" t="inlineStr">
        <is>
          <t>마스크팩</t>
        </is>
      </c>
      <c r="F5249" s="94" t="inlineStr">
        <is>
          <t>카페24</t>
        </is>
      </c>
      <c r="G5249" s="94" t="inlineStr">
        <is>
          <t>마스크팩 10매</t>
        </is>
      </c>
      <c r="H5249" s="7" t="n">
        <v>190801</v>
      </c>
      <c r="I5249" s="7" t="n">
        <v>190801</v>
      </c>
      <c r="J5249" s="94" t="n"/>
      <c r="K5249" s="149" t="n">
        <v>12</v>
      </c>
      <c r="L5249" s="94" t="n">
        <v>190801</v>
      </c>
      <c r="M5249" s="94">
        <f>VLOOKUP($Q5249,매칭테이블!$F:$I,2,0)*K5249</f>
        <v/>
      </c>
      <c r="N5249" s="94">
        <f>M5249-M5249*VLOOKUP($Q5249,매칭테이블!$F:$I,3,0)</f>
        <v/>
      </c>
      <c r="O5249" s="94">
        <f>VLOOKUP($Q5249,매칭테이블!$F:$I,4,0)*K5249</f>
        <v/>
      </c>
      <c r="P5249" s="148">
        <f>M5249/1.1</f>
        <v/>
      </c>
      <c r="Q5249" s="94">
        <f>F5249&amp;E5249&amp;G5249&amp;L5249</f>
        <v/>
      </c>
    </row>
    <row r="5250">
      <c r="A5250" s="94" t="n"/>
      <c r="B5250" s="128" t="n">
        <v>43916</v>
      </c>
      <c r="C5250" s="94">
        <f>TEXT(B5250,"aaa")</f>
        <v/>
      </c>
      <c r="D5250" s="94" t="n"/>
      <c r="E5250" s="94" t="inlineStr">
        <is>
          <t>마스크팩</t>
        </is>
      </c>
      <c r="F5250" s="94" t="inlineStr">
        <is>
          <t>카페24</t>
        </is>
      </c>
      <c r="G5250" s="94" t="inlineStr">
        <is>
          <t>마스크팩 1매</t>
        </is>
      </c>
      <c r="H5250" s="7" t="n">
        <v>190801</v>
      </c>
      <c r="I5250" s="7" t="n">
        <v>190801</v>
      </c>
      <c r="J5250" s="94" t="n"/>
      <c r="K5250" s="149" t="n">
        <v>12</v>
      </c>
      <c r="L5250" s="94" t="n">
        <v>190801</v>
      </c>
      <c r="M5250" s="94">
        <f>VLOOKUP($Q5250,매칭테이블!$F:$I,2,0)*K5250</f>
        <v/>
      </c>
      <c r="N5250" s="94">
        <f>M5250-M5250*VLOOKUP($Q5250,매칭테이블!$F:$I,3,0)</f>
        <v/>
      </c>
      <c r="O5250" s="94">
        <f>VLOOKUP($Q5250,매칭테이블!$F:$I,4,0)*K5250</f>
        <v/>
      </c>
      <c r="P5250" s="148">
        <f>M5250/1.1</f>
        <v/>
      </c>
      <c r="Q5250" s="94">
        <f>F5250&amp;E5250&amp;G5250&amp;L5250</f>
        <v/>
      </c>
    </row>
    <row r="5251">
      <c r="A5251" s="94" t="n"/>
      <c r="B5251" s="128" t="n">
        <v>43916</v>
      </c>
      <c r="C5251" s="94">
        <f>TEXT(B5251,"aaa")</f>
        <v/>
      </c>
      <c r="D5251" s="94" t="n"/>
      <c r="E5251" s="94" t="inlineStr">
        <is>
          <t>클렌징폼</t>
        </is>
      </c>
      <c r="F5251" s="5" t="inlineStr">
        <is>
          <t>카페24</t>
        </is>
      </c>
      <c r="G5251" s="94" t="inlineStr">
        <is>
          <t>클렌징폼 120ml</t>
        </is>
      </c>
      <c r="H5251" s="7" t="n">
        <v>190801</v>
      </c>
      <c r="I5251" s="7" t="n">
        <v>190801</v>
      </c>
      <c r="J5251" s="94" t="n"/>
      <c r="K5251" s="149" t="n">
        <v>25</v>
      </c>
      <c r="L5251" s="7" t="n">
        <v>190801</v>
      </c>
      <c r="M5251" s="94">
        <f>VLOOKUP($Q5251,매칭테이블!$F:$I,2,0)*K5251</f>
        <v/>
      </c>
      <c r="N5251" s="94">
        <f>M5251-M5251*VLOOKUP($Q5251,매칭테이블!$F:$I,3,0)</f>
        <v/>
      </c>
      <c r="O5251" s="94">
        <f>VLOOKUP($Q5251,매칭테이블!$F:$I,4,0)*K5251</f>
        <v/>
      </c>
      <c r="P5251" s="148">
        <f>M5251/1.1</f>
        <v/>
      </c>
      <c r="Q5251" s="94">
        <f>F5251&amp;E5251&amp;G5251&amp;L5251</f>
        <v/>
      </c>
    </row>
    <row r="5252">
      <c r="A5252" s="94" t="n"/>
      <c r="B5252" s="128" t="n">
        <v>43916</v>
      </c>
      <c r="C5252" s="94">
        <f>TEXT(B5252,"aaa")</f>
        <v/>
      </c>
      <c r="D5252" s="94" t="n"/>
      <c r="E5252" s="94" t="inlineStr">
        <is>
          <t>클렌징폼</t>
        </is>
      </c>
      <c r="F5252" s="94" t="inlineStr">
        <is>
          <t>카페24</t>
        </is>
      </c>
      <c r="G5252" s="94" t="inlineStr">
        <is>
          <t>클렌징폼 120ml 2set</t>
        </is>
      </c>
      <c r="H5252" s="7" t="n">
        <v>190801</v>
      </c>
      <c r="I5252" s="7" t="n">
        <v>190801</v>
      </c>
      <c r="J5252" s="94" t="n"/>
      <c r="K5252" s="149" t="n">
        <v>1</v>
      </c>
      <c r="L5252" s="7" t="n">
        <v>190801</v>
      </c>
      <c r="M5252" s="94">
        <f>VLOOKUP($Q5252,매칭테이블!$F:$I,2,0)*K5252</f>
        <v/>
      </c>
      <c r="N5252" s="94">
        <f>M5252-M5252*VLOOKUP($Q5252,매칭테이블!$F:$I,3,0)</f>
        <v/>
      </c>
      <c r="O5252" s="94">
        <f>VLOOKUP($Q5252,매칭테이블!$F:$I,4,0)*K5252</f>
        <v/>
      </c>
      <c r="P5252" s="148">
        <f>M5252/1.1</f>
        <v/>
      </c>
      <c r="Q5252" s="94">
        <f>F5252&amp;E5252&amp;G5252&amp;L5252</f>
        <v/>
      </c>
    </row>
    <row r="5253">
      <c r="A5253" s="94" t="n"/>
      <c r="B5253" s="128" t="n">
        <v>43916</v>
      </c>
      <c r="C5253" s="94">
        <f>TEXT(B5253,"aaa")</f>
        <v/>
      </c>
      <c r="D5253" s="94" t="n"/>
      <c r="E5253" s="94" t="inlineStr">
        <is>
          <t>토너</t>
        </is>
      </c>
      <c r="F5253" s="94" t="inlineStr">
        <is>
          <t>큐텐</t>
        </is>
      </c>
      <c r="G5253" s="94" t="inlineStr">
        <is>
          <t>250ml</t>
        </is>
      </c>
      <c r="H5253" s="7" t="n">
        <v>190801</v>
      </c>
      <c r="I5253" s="7" t="n">
        <v>190801</v>
      </c>
      <c r="J5253" s="94" t="n"/>
      <c r="K5253" s="149" t="n">
        <v>20</v>
      </c>
      <c r="L5253" s="92" t="n">
        <v>190801</v>
      </c>
      <c r="M5253" s="94">
        <f>VLOOKUP($Q5253,매칭테이블!$F:$I,2,0)*K5253</f>
        <v/>
      </c>
      <c r="N5253" s="94">
        <f>M5253-M5253*VLOOKUP($Q5253,매칭테이블!$F:$I,3,0)</f>
        <v/>
      </c>
      <c r="O5253" s="94">
        <f>VLOOKUP($Q5253,매칭테이블!$F:$I,4,0)*K5253</f>
        <v/>
      </c>
      <c r="P5253" s="148">
        <f>M5253/1.1</f>
        <v/>
      </c>
      <c r="Q5253" s="94">
        <f>F5253&amp;E5253&amp;G5253&amp;L5253</f>
        <v/>
      </c>
    </row>
    <row r="5254">
      <c r="A5254" s="94" t="n"/>
      <c r="B5254" s="128" t="n">
        <v>43916</v>
      </c>
      <c r="C5254" s="94">
        <f>TEXT(B5254,"aaa")</f>
        <v/>
      </c>
      <c r="D5254" s="94" t="n"/>
      <c r="E5254" s="94" t="inlineStr">
        <is>
          <t>토너</t>
        </is>
      </c>
      <c r="F5254" s="94" t="inlineStr">
        <is>
          <t>큐텐</t>
        </is>
      </c>
      <c r="G5254" s="94" t="inlineStr">
        <is>
          <t>250ml 2set</t>
        </is>
      </c>
      <c r="H5254" s="7" t="n">
        <v>190801</v>
      </c>
      <c r="I5254" s="7" t="n">
        <v>190801</v>
      </c>
      <c r="J5254" s="94" t="n"/>
      <c r="K5254" s="149" t="n">
        <v>10</v>
      </c>
      <c r="L5254" s="92" t="n">
        <v>190801</v>
      </c>
      <c r="M5254" s="94">
        <f>VLOOKUP($Q5254,매칭테이블!$F:$I,2,0)*K5254</f>
        <v/>
      </c>
      <c r="N5254" s="94">
        <f>M5254-M5254*VLOOKUP($Q5254,매칭테이블!$F:$I,3,0)</f>
        <v/>
      </c>
      <c r="O5254" s="94">
        <f>VLOOKUP($Q5254,매칭테이블!$F:$I,4,0)*K5254</f>
        <v/>
      </c>
      <c r="P5254" s="148">
        <f>M5254/1.1</f>
        <v/>
      </c>
      <c r="Q5254" s="94">
        <f>F5254&amp;E5254&amp;G5254&amp;L5254</f>
        <v/>
      </c>
    </row>
    <row r="5255">
      <c r="A5255" s="94" t="n"/>
      <c r="B5255" s="128" t="n">
        <v>43916</v>
      </c>
      <c r="C5255" s="94">
        <f>TEXT(B5255,"aaa")</f>
        <v/>
      </c>
      <c r="D5255" s="94" t="n"/>
      <c r="E5255" s="94" t="inlineStr">
        <is>
          <t>머드크림마스크</t>
        </is>
      </c>
      <c r="F5255" s="94" t="inlineStr">
        <is>
          <t>큐텐</t>
        </is>
      </c>
      <c r="G5255" s="94" t="inlineStr">
        <is>
          <t>머드크림마스크 100ml</t>
        </is>
      </c>
      <c r="H5255" s="7" t="n">
        <v>190801</v>
      </c>
      <c r="I5255" s="7" t="n">
        <v>190801</v>
      </c>
      <c r="J5255" s="94" t="n"/>
      <c r="K5255" s="149" t="n">
        <v>1</v>
      </c>
      <c r="L5255" s="94" t="n">
        <v>190801</v>
      </c>
      <c r="M5255" s="94">
        <f>VLOOKUP($Q5255,매칭테이블!$F:$I,2,0)*K5255</f>
        <v/>
      </c>
      <c r="N5255" s="94">
        <f>M5255-M5255*VLOOKUP($Q5255,매칭테이블!$F:$I,3,0)</f>
        <v/>
      </c>
      <c r="O5255" s="94">
        <f>VLOOKUP($Q5255,매칭테이블!$F:$I,4,0)*K5255</f>
        <v/>
      </c>
      <c r="P5255" s="148">
        <f>M5255/1.1</f>
        <v/>
      </c>
      <c r="Q5255" s="94">
        <f>F5255&amp;E5255&amp;G5255&amp;L5255</f>
        <v/>
      </c>
    </row>
    <row r="5256">
      <c r="A5256" s="94" t="n"/>
      <c r="B5256" s="128" t="n">
        <v>43917</v>
      </c>
      <c r="C5256" s="94">
        <f>TEXT(B5256,"aaa")</f>
        <v/>
      </c>
      <c r="D5256" s="94" t="n"/>
      <c r="E5256" s="6" t="inlineStr">
        <is>
          <t>토너</t>
        </is>
      </c>
      <c r="F5256" s="5" t="inlineStr">
        <is>
          <t>W컨셉</t>
        </is>
      </c>
      <c r="G5256" s="5" t="inlineStr">
        <is>
          <t>250ml</t>
        </is>
      </c>
      <c r="H5256" s="7" t="n">
        <v>190801</v>
      </c>
      <c r="I5256" s="7" t="n">
        <v>190801</v>
      </c>
      <c r="J5256" s="94" t="n"/>
      <c r="K5256" s="149" t="n">
        <v>2</v>
      </c>
      <c r="L5256" s="7" t="n">
        <v>190801</v>
      </c>
      <c r="M5256" s="94">
        <f>VLOOKUP($Q5256,매칭테이블!$F:$I,2,0)*K5256</f>
        <v/>
      </c>
      <c r="N5256" s="94">
        <f>M5256-M5256*VLOOKUP($Q5256,매칭테이블!$F:$I,3,0)</f>
        <v/>
      </c>
      <c r="O5256" s="94">
        <f>VLOOKUP($Q5256,매칭테이블!$F:$I,4,0)*K5256</f>
        <v/>
      </c>
      <c r="P5256" s="148">
        <f>M5256/1.1</f>
        <v/>
      </c>
      <c r="Q5256" s="94">
        <f>F5256&amp;E5256&amp;G5256&amp;L5256</f>
        <v/>
      </c>
    </row>
    <row r="5257">
      <c r="A5257" s="94" t="n"/>
      <c r="B5257" s="128" t="n">
        <v>43917</v>
      </c>
      <c r="C5257" s="94">
        <f>TEXT(B5257,"aaa")</f>
        <v/>
      </c>
      <c r="D5257" s="94" t="n"/>
      <c r="E5257" s="6" t="inlineStr">
        <is>
          <t>토너</t>
        </is>
      </c>
      <c r="F5257" s="5" t="inlineStr">
        <is>
          <t>W컨셉</t>
        </is>
      </c>
      <c r="G5257" s="5" t="inlineStr">
        <is>
          <t>250ml 2set</t>
        </is>
      </c>
      <c r="H5257" s="7" t="n">
        <v>190801</v>
      </c>
      <c r="I5257" s="7" t="n">
        <v>190801</v>
      </c>
      <c r="J5257" s="94" t="n"/>
      <c r="K5257" s="149" t="n">
        <v>11</v>
      </c>
      <c r="L5257" s="7" t="n">
        <v>190801</v>
      </c>
      <c r="M5257" s="94">
        <f>VLOOKUP($Q5257,매칭테이블!$F:$I,2,0)*K5257</f>
        <v/>
      </c>
      <c r="N5257" s="94">
        <f>M5257-M5257*VLOOKUP($Q5257,매칭테이블!$F:$I,3,0)</f>
        <v/>
      </c>
      <c r="O5257" s="94">
        <f>VLOOKUP($Q5257,매칭테이블!$F:$I,4,0)*K5257</f>
        <v/>
      </c>
      <c r="P5257" s="148">
        <f>M5257/1.1</f>
        <v/>
      </c>
      <c r="Q5257" s="94">
        <f>F5257&amp;E5257&amp;G5257&amp;L5257</f>
        <v/>
      </c>
    </row>
    <row r="5258">
      <c r="A5258" s="94" t="n"/>
      <c r="B5258" s="128" t="n">
        <v>43917</v>
      </c>
      <c r="C5258" s="94">
        <f>TEXT(B5258,"aaa")</f>
        <v/>
      </c>
      <c r="D5258" s="94" t="n"/>
      <c r="E5258" s="94" t="inlineStr">
        <is>
          <t>토너</t>
        </is>
      </c>
      <c r="F5258" s="5" t="inlineStr">
        <is>
          <t>스타일쉐어</t>
        </is>
      </c>
      <c r="G5258" s="94" t="inlineStr">
        <is>
          <t>250ml</t>
        </is>
      </c>
      <c r="H5258" s="7" t="n">
        <v>190801</v>
      </c>
      <c r="I5258" s="7" t="n">
        <v>190801</v>
      </c>
      <c r="J5258" s="94" t="n"/>
      <c r="K5258" s="149" t="n">
        <v>7</v>
      </c>
      <c r="L5258" s="92" t="n">
        <v>190801</v>
      </c>
      <c r="M5258" s="94">
        <f>VLOOKUP($Q5258,매칭테이블!$F:$I,2,0)*K5258</f>
        <v/>
      </c>
      <c r="N5258" s="94">
        <f>M5258-M5258*VLOOKUP($Q5258,매칭테이블!$F:$I,3,0)</f>
        <v/>
      </c>
      <c r="O5258" s="94">
        <f>VLOOKUP($Q5258,매칭테이블!$F:$I,4,0)*K5258</f>
        <v/>
      </c>
      <c r="P5258" s="148">
        <f>M5258/1.1</f>
        <v/>
      </c>
      <c r="Q5258" s="94">
        <f>F5258&amp;E5258&amp;G5258&amp;L5258</f>
        <v/>
      </c>
    </row>
    <row r="5259">
      <c r="A5259" s="94" t="n"/>
      <c r="B5259" s="128" t="n">
        <v>43917</v>
      </c>
      <c r="C5259" s="94">
        <f>TEXT(B5259,"aaa")</f>
        <v/>
      </c>
      <c r="D5259" s="94" t="n"/>
      <c r="E5259" s="94" t="inlineStr">
        <is>
          <t>마스크팩</t>
        </is>
      </c>
      <c r="F5259" s="94" t="inlineStr">
        <is>
          <t>아누아 CS</t>
        </is>
      </c>
      <c r="G5259" s="94" t="inlineStr">
        <is>
          <t>마스크팩 10매</t>
        </is>
      </c>
      <c r="H5259" s="7" t="n">
        <v>190801</v>
      </c>
      <c r="I5259" s="7" t="n">
        <v>190801</v>
      </c>
      <c r="J5259" s="94" t="n"/>
      <c r="K5259" s="149" t="n">
        <v>4</v>
      </c>
      <c r="L5259" s="94" t="n">
        <v>190801</v>
      </c>
      <c r="M5259" s="94">
        <f>VLOOKUP($Q5259,매칭테이블!$F:$I,2,0)*K5259</f>
        <v/>
      </c>
      <c r="N5259" s="94">
        <f>M5259-M5259*VLOOKUP($Q5259,매칭테이블!$F:$I,3,0)</f>
        <v/>
      </c>
      <c r="O5259" s="94">
        <f>VLOOKUP($Q5259,매칭테이블!$F:$I,4,0)*K5259</f>
        <v/>
      </c>
      <c r="P5259" s="148">
        <f>M5259/1.1</f>
        <v/>
      </c>
      <c r="Q5259" s="94">
        <f>F5259&amp;E5259&amp;G5259&amp;L5259</f>
        <v/>
      </c>
    </row>
    <row r="5260">
      <c r="A5260" s="94" t="n"/>
      <c r="B5260" s="128" t="n">
        <v>43917</v>
      </c>
      <c r="C5260" s="94">
        <f>TEXT(B5260,"aaa")</f>
        <v/>
      </c>
      <c r="D5260" s="94" t="n"/>
      <c r="E5260" s="94" t="inlineStr">
        <is>
          <t>토너</t>
        </is>
      </c>
      <c r="F5260" s="94" t="inlineStr">
        <is>
          <t>아누아 CS</t>
        </is>
      </c>
      <c r="G5260" s="94" t="inlineStr">
        <is>
          <t>250ml</t>
        </is>
      </c>
      <c r="H5260" s="7" t="n">
        <v>190801</v>
      </c>
      <c r="I5260" s="7" t="n">
        <v>190801</v>
      </c>
      <c r="J5260" s="94" t="n"/>
      <c r="K5260" s="149" t="n">
        <v>7</v>
      </c>
      <c r="L5260" s="92" t="n">
        <v>190801</v>
      </c>
      <c r="M5260" s="94">
        <f>VLOOKUP($Q5260,매칭테이블!$F:$I,2,0)*K5260</f>
        <v/>
      </c>
      <c r="N5260" s="94">
        <f>M5260-M5260*VLOOKUP($Q5260,매칭테이블!$F:$I,3,0)</f>
        <v/>
      </c>
      <c r="O5260" s="94">
        <f>VLOOKUP($Q5260,매칭테이블!$F:$I,4,0)*K5260</f>
        <v/>
      </c>
      <c r="P5260" s="148">
        <f>M5260/1.1</f>
        <v/>
      </c>
      <c r="Q5260" s="94">
        <f>F5260&amp;E5260&amp;G5260&amp;L5260</f>
        <v/>
      </c>
    </row>
    <row r="5261">
      <c r="A5261" s="94" t="n"/>
      <c r="B5261" s="128" t="n">
        <v>43917</v>
      </c>
      <c r="C5261" s="94">
        <f>TEXT(B5261,"aaa")</f>
        <v/>
      </c>
      <c r="D5261" s="94" t="n"/>
      <c r="E5261" s="94" t="inlineStr">
        <is>
          <t>앰플</t>
        </is>
      </c>
      <c r="F5261" s="94" t="inlineStr">
        <is>
          <t>아누아 CS</t>
        </is>
      </c>
      <c r="G5261" s="94" t="inlineStr">
        <is>
          <t>앰플 30ml</t>
        </is>
      </c>
      <c r="H5261" s="7" t="n">
        <v>190801</v>
      </c>
      <c r="I5261" s="7" t="n">
        <v>190801</v>
      </c>
      <c r="J5261" s="94" t="n"/>
      <c r="K5261" s="149" t="n">
        <v>4</v>
      </c>
      <c r="L5261" s="92" t="n">
        <v>190801</v>
      </c>
      <c r="M5261" s="94">
        <f>VLOOKUP($Q5261,매칭테이블!$F:$I,2,0)*K5261</f>
        <v/>
      </c>
      <c r="N5261" s="94">
        <f>M5261-M5261*VLOOKUP($Q5261,매칭테이블!$F:$I,3,0)</f>
        <v/>
      </c>
      <c r="O5261" s="94">
        <f>VLOOKUP($Q5261,매칭테이블!$F:$I,4,0)*K5261</f>
        <v/>
      </c>
      <c r="P5261" s="148">
        <f>M5261/1.1</f>
        <v/>
      </c>
      <c r="Q5261" s="94">
        <f>F5261&amp;E5261&amp;G5261&amp;L5261</f>
        <v/>
      </c>
    </row>
    <row r="5262">
      <c r="A5262" s="94" t="n"/>
      <c r="B5262" s="128" t="n">
        <v>43917</v>
      </c>
      <c r="C5262" s="94">
        <f>TEXT(B5262,"aaa")</f>
        <v/>
      </c>
      <c r="D5262" s="94" t="n"/>
      <c r="E5262" s="94" t="inlineStr">
        <is>
          <t>머드크림마스크</t>
        </is>
      </c>
      <c r="F5262" s="94" t="inlineStr">
        <is>
          <t>카페24</t>
        </is>
      </c>
      <c r="G5262" s="94" t="inlineStr">
        <is>
          <t>머드크림마스크 100ml</t>
        </is>
      </c>
      <c r="H5262" s="7" t="n">
        <v>190801</v>
      </c>
      <c r="I5262" s="7" t="n">
        <v>190801</v>
      </c>
      <c r="J5262" s="94" t="n"/>
      <c r="K5262" s="149" t="n">
        <v>12</v>
      </c>
      <c r="L5262" s="94" t="n">
        <v>190801</v>
      </c>
      <c r="M5262" s="94">
        <f>VLOOKUP($Q5262,매칭테이블!$F:$I,2,0)*K5262</f>
        <v/>
      </c>
      <c r="N5262" s="94">
        <f>M5262-M5262*VLOOKUP($Q5262,매칭테이블!$F:$I,3,0)</f>
        <v/>
      </c>
      <c r="O5262" s="94">
        <f>VLOOKUP($Q5262,매칭테이블!$F:$I,4,0)*K5262</f>
        <v/>
      </c>
      <c r="P5262" s="148">
        <f>M5262/1.1</f>
        <v/>
      </c>
      <c r="Q5262" s="94">
        <f>F5262&amp;E5262&amp;G5262&amp;L5262</f>
        <v/>
      </c>
    </row>
    <row r="5263">
      <c r="A5263" s="94" t="n"/>
      <c r="B5263" s="128" t="n">
        <v>43917</v>
      </c>
      <c r="C5263" s="94">
        <f>TEXT(B5263,"aaa")</f>
        <v/>
      </c>
      <c r="D5263" s="94" t="n"/>
      <c r="E5263" s="94" t="inlineStr">
        <is>
          <t>머드크림마스크</t>
        </is>
      </c>
      <c r="F5263" s="94" t="inlineStr">
        <is>
          <t>카페24</t>
        </is>
      </c>
      <c r="G5263" s="94" t="inlineStr">
        <is>
          <t>머드크림마스크 100ml 2set</t>
        </is>
      </c>
      <c r="H5263" s="7" t="n">
        <v>190801</v>
      </c>
      <c r="I5263" s="7" t="n">
        <v>190801</v>
      </c>
      <c r="J5263" s="94" t="n"/>
      <c r="K5263" s="149" t="n">
        <v>3</v>
      </c>
      <c r="L5263" s="94" t="n">
        <v>190801</v>
      </c>
      <c r="M5263" s="94">
        <f>VLOOKUP($Q5263,매칭테이블!$F:$I,2,0)*K5263</f>
        <v/>
      </c>
      <c r="N5263" s="94">
        <f>M5263-M5263*VLOOKUP($Q5263,매칭테이블!$F:$I,3,0)</f>
        <v/>
      </c>
      <c r="O5263" s="94">
        <f>VLOOKUP($Q5263,매칭테이블!$F:$I,4,0)*K5263</f>
        <v/>
      </c>
      <c r="P5263" s="148">
        <f>M5263/1.1</f>
        <v/>
      </c>
      <c r="Q5263" s="94">
        <f>F5263&amp;E5263&amp;G5263&amp;L5263</f>
        <v/>
      </c>
    </row>
    <row r="5264">
      <c r="A5264" s="94" t="n"/>
      <c r="B5264" s="128" t="n">
        <v>43917</v>
      </c>
      <c r="C5264" s="94">
        <f>TEXT(B5264,"aaa")</f>
        <v/>
      </c>
      <c r="D5264" s="94" t="n"/>
      <c r="E5264" s="6" t="inlineStr">
        <is>
          <t>토너</t>
        </is>
      </c>
      <c r="F5264" s="5" t="inlineStr">
        <is>
          <t>카페24</t>
        </is>
      </c>
      <c r="G5264" s="5" t="inlineStr">
        <is>
          <t>250ml</t>
        </is>
      </c>
      <c r="H5264" s="7" t="n">
        <v>190801</v>
      </c>
      <c r="I5264" s="7" t="n">
        <v>190801</v>
      </c>
      <c r="J5264" s="94" t="n"/>
      <c r="K5264" s="149" t="n">
        <v>73</v>
      </c>
      <c r="L5264" s="7" t="n">
        <v>190801</v>
      </c>
      <c r="M5264" s="94">
        <f>VLOOKUP($Q5264,매칭테이블!$F:$I,2,0)*K5264</f>
        <v/>
      </c>
      <c r="N5264" s="94">
        <f>M5264-M5264*VLOOKUP($Q5264,매칭테이블!$F:$I,3,0)</f>
        <v/>
      </c>
      <c r="O5264" s="94">
        <f>VLOOKUP($Q5264,매칭테이블!$F:$I,4,0)*K5264</f>
        <v/>
      </c>
      <c r="P5264" s="148">
        <f>M5264/1.1</f>
        <v/>
      </c>
      <c r="Q5264" s="94">
        <f>F5264&amp;E5264&amp;G5264&amp;L5264</f>
        <v/>
      </c>
    </row>
    <row r="5265">
      <c r="A5265" s="94" t="n"/>
      <c r="B5265" s="128" t="n">
        <v>43917</v>
      </c>
      <c r="C5265" s="94">
        <f>TEXT(B5265,"aaa")</f>
        <v/>
      </c>
      <c r="D5265" s="94" t="n"/>
      <c r="E5265" s="6" t="inlineStr">
        <is>
          <t>토너</t>
        </is>
      </c>
      <c r="F5265" s="5" t="inlineStr">
        <is>
          <t>카페24</t>
        </is>
      </c>
      <c r="G5265" s="5" t="inlineStr">
        <is>
          <t>250ml 2set</t>
        </is>
      </c>
      <c r="H5265" s="7" t="n">
        <v>190801</v>
      </c>
      <c r="I5265" s="7" t="n">
        <v>190801</v>
      </c>
      <c r="J5265" s="94" t="n"/>
      <c r="K5265" s="149" t="n">
        <v>44</v>
      </c>
      <c r="L5265" s="7" t="n">
        <v>190801</v>
      </c>
      <c r="M5265" s="94">
        <f>VLOOKUP($Q5265,매칭테이블!$F:$I,2,0)*K5265</f>
        <v/>
      </c>
      <c r="N5265" s="94">
        <f>M5265-M5265*VLOOKUP($Q5265,매칭테이블!$F:$I,3,0)</f>
        <v/>
      </c>
      <c r="O5265" s="94">
        <f>VLOOKUP($Q5265,매칭테이블!$F:$I,4,0)*K5265</f>
        <v/>
      </c>
      <c r="P5265" s="148">
        <f>M5265/1.1</f>
        <v/>
      </c>
      <c r="Q5265" s="94">
        <f>F5265&amp;E5265&amp;G5265&amp;L5265</f>
        <v/>
      </c>
    </row>
    <row r="5266">
      <c r="A5266" s="94" t="n"/>
      <c r="B5266" s="128" t="n">
        <v>43917</v>
      </c>
      <c r="C5266" s="94">
        <f>TEXT(B5266,"aaa")</f>
        <v/>
      </c>
      <c r="D5266" s="94" t="n"/>
      <c r="E5266" s="6" t="inlineStr">
        <is>
          <t>토너</t>
        </is>
      </c>
      <c r="F5266" s="5" t="inlineStr">
        <is>
          <t>카페24</t>
        </is>
      </c>
      <c r="G5266" s="5" t="inlineStr">
        <is>
          <t>500ml</t>
        </is>
      </c>
      <c r="H5266" s="7" t="n">
        <v>190801</v>
      </c>
      <c r="I5266" s="7" t="n">
        <v>190801</v>
      </c>
      <c r="J5266" s="94" t="n"/>
      <c r="K5266" s="149" t="n">
        <v>61</v>
      </c>
      <c r="L5266" s="7" t="n">
        <v>190801</v>
      </c>
      <c r="M5266" s="94">
        <f>VLOOKUP($Q5266,매칭테이블!$F:$I,2,0)*K5266</f>
        <v/>
      </c>
      <c r="N5266" s="94">
        <f>M5266-M5266*VLOOKUP($Q5266,매칭테이블!$F:$I,3,0)</f>
        <v/>
      </c>
      <c r="O5266" s="94">
        <f>VLOOKUP($Q5266,매칭테이블!$F:$I,4,0)*K5266</f>
        <v/>
      </c>
      <c r="P5266" s="148">
        <f>M5266/1.1</f>
        <v/>
      </c>
      <c r="Q5266" s="94">
        <f>F5266&amp;E5266&amp;G5266&amp;L5266</f>
        <v/>
      </c>
    </row>
    <row r="5267">
      <c r="A5267" s="94" t="n"/>
      <c r="B5267" s="128" t="n">
        <v>43917</v>
      </c>
      <c r="C5267" s="94">
        <f>TEXT(B5267,"aaa")</f>
        <v/>
      </c>
      <c r="D5267" s="94" t="n"/>
      <c r="E5267" s="6" t="inlineStr">
        <is>
          <t>토너</t>
        </is>
      </c>
      <c r="F5267" s="5" t="inlineStr">
        <is>
          <t>카페24</t>
        </is>
      </c>
      <c r="G5267" s="94" t="inlineStr">
        <is>
          <t>스킨팩 화장솜 60P</t>
        </is>
      </c>
      <c r="H5267" s="7" t="n">
        <v>190801</v>
      </c>
      <c r="I5267" s="7" t="n">
        <v>190801</v>
      </c>
      <c r="J5267" s="94" t="n"/>
      <c r="K5267" s="149" t="n">
        <v>91</v>
      </c>
      <c r="L5267" s="7" t="n">
        <v>190801</v>
      </c>
      <c r="M5267" s="94">
        <f>VLOOKUP($Q5267,매칭테이블!$F:$I,2,0)*K5267</f>
        <v/>
      </c>
      <c r="N5267" s="94">
        <f>M5267-M5267*VLOOKUP($Q5267,매칭테이블!$F:$I,3,0)</f>
        <v/>
      </c>
      <c r="O5267" s="94">
        <f>VLOOKUP($Q5267,매칭테이블!$F:$I,4,0)*K5267</f>
        <v/>
      </c>
      <c r="P5267" s="148">
        <f>M5267/1.1</f>
        <v/>
      </c>
      <c r="Q5267" s="94">
        <f>F5267&amp;E5267&amp;G5267&amp;L5267</f>
        <v/>
      </c>
    </row>
    <row r="5268">
      <c r="A5268" s="94" t="n"/>
      <c r="B5268" s="128" t="n">
        <v>43917</v>
      </c>
      <c r="C5268" s="94">
        <f>TEXT(B5268,"aaa")</f>
        <v/>
      </c>
      <c r="D5268" s="94" t="n"/>
      <c r="E5268" s="94" t="inlineStr">
        <is>
          <t>마스크팩</t>
        </is>
      </c>
      <c r="F5268" s="94" t="inlineStr">
        <is>
          <t>카페24</t>
        </is>
      </c>
      <c r="G5268" s="94" t="inlineStr">
        <is>
          <t>마스크팩 10매</t>
        </is>
      </c>
      <c r="H5268" s="7" t="n">
        <v>190801</v>
      </c>
      <c r="I5268" s="7" t="n">
        <v>190801</v>
      </c>
      <c r="J5268" s="94" t="n"/>
      <c r="K5268" s="149" t="n">
        <v>8</v>
      </c>
      <c r="L5268" s="94" t="n">
        <v>190801</v>
      </c>
      <c r="M5268" s="94">
        <f>VLOOKUP($Q5268,매칭테이블!$F:$I,2,0)*K5268</f>
        <v/>
      </c>
      <c r="N5268" s="94">
        <f>M5268-M5268*VLOOKUP($Q5268,매칭테이블!$F:$I,3,0)</f>
        <v/>
      </c>
      <c r="O5268" s="94">
        <f>VLOOKUP($Q5268,매칭테이블!$F:$I,4,0)*K5268</f>
        <v/>
      </c>
      <c r="P5268" s="148">
        <f>M5268/1.1</f>
        <v/>
      </c>
      <c r="Q5268" s="94">
        <f>F5268&amp;E5268&amp;G5268&amp;L5268</f>
        <v/>
      </c>
    </row>
    <row r="5269">
      <c r="A5269" s="94" t="n"/>
      <c r="B5269" s="128" t="n">
        <v>43917</v>
      </c>
      <c r="C5269" s="94">
        <f>TEXT(B5269,"aaa")</f>
        <v/>
      </c>
      <c r="D5269" s="94" t="n"/>
      <c r="E5269" s="94" t="inlineStr">
        <is>
          <t>마스크팩</t>
        </is>
      </c>
      <c r="F5269" s="94" t="inlineStr">
        <is>
          <t>카페24</t>
        </is>
      </c>
      <c r="G5269" s="94" t="inlineStr">
        <is>
          <t>마스크팩 1매</t>
        </is>
      </c>
      <c r="H5269" s="7" t="n">
        <v>190801</v>
      </c>
      <c r="I5269" s="7" t="n">
        <v>190801</v>
      </c>
      <c r="J5269" s="94" t="n"/>
      <c r="K5269" s="149" t="n">
        <v>7</v>
      </c>
      <c r="L5269" s="94" t="n">
        <v>190801</v>
      </c>
      <c r="M5269" s="94">
        <f>VLOOKUP($Q5269,매칭테이블!$F:$I,2,0)*K5269</f>
        <v/>
      </c>
      <c r="N5269" s="94">
        <f>M5269-M5269*VLOOKUP($Q5269,매칭테이블!$F:$I,3,0)</f>
        <v/>
      </c>
      <c r="O5269" s="94">
        <f>VLOOKUP($Q5269,매칭테이블!$F:$I,4,0)*K5269</f>
        <v/>
      </c>
      <c r="P5269" s="148">
        <f>M5269/1.1</f>
        <v/>
      </c>
      <c r="Q5269" s="94">
        <f>F5269&amp;E5269&amp;G5269&amp;L5269</f>
        <v/>
      </c>
    </row>
    <row r="5270">
      <c r="A5270" s="94" t="n"/>
      <c r="B5270" s="128" t="n">
        <v>43917</v>
      </c>
      <c r="C5270" s="94">
        <f>TEXT(B5270,"aaa")</f>
        <v/>
      </c>
      <c r="D5270" s="94" t="n"/>
      <c r="E5270" s="94" t="inlineStr">
        <is>
          <t>클렌징폼</t>
        </is>
      </c>
      <c r="F5270" s="5" t="inlineStr">
        <is>
          <t>카페24</t>
        </is>
      </c>
      <c r="G5270" s="94" t="inlineStr">
        <is>
          <t>클렌징폼 120ml</t>
        </is>
      </c>
      <c r="H5270" s="7" t="n">
        <v>190801</v>
      </c>
      <c r="I5270" s="7" t="n">
        <v>190801</v>
      </c>
      <c r="J5270" s="94" t="n"/>
      <c r="K5270" s="149" t="n">
        <v>14</v>
      </c>
      <c r="L5270" s="7" t="n">
        <v>190801</v>
      </c>
      <c r="M5270" s="94">
        <f>VLOOKUP($Q5270,매칭테이블!$F:$I,2,0)*K5270</f>
        <v/>
      </c>
      <c r="N5270" s="94">
        <f>M5270-M5270*VLOOKUP($Q5270,매칭테이블!$F:$I,3,0)</f>
        <v/>
      </c>
      <c r="O5270" s="94">
        <f>VLOOKUP($Q5270,매칭테이블!$F:$I,4,0)*K5270</f>
        <v/>
      </c>
      <c r="P5270" s="148">
        <f>M5270/1.1</f>
        <v/>
      </c>
      <c r="Q5270" s="94">
        <f>F5270&amp;E5270&amp;G5270&amp;L5270</f>
        <v/>
      </c>
    </row>
    <row r="5271">
      <c r="A5271" s="94" t="n"/>
      <c r="B5271" s="128" t="n">
        <v>43917</v>
      </c>
      <c r="C5271" s="94">
        <f>TEXT(B5271,"aaa")</f>
        <v/>
      </c>
      <c r="D5271" s="94" t="n"/>
      <c r="E5271" s="94" t="inlineStr">
        <is>
          <t>토너</t>
        </is>
      </c>
      <c r="F5271" s="94" t="inlineStr">
        <is>
          <t>큐텐</t>
        </is>
      </c>
      <c r="G5271" s="94" t="inlineStr">
        <is>
          <t>250ml</t>
        </is>
      </c>
      <c r="H5271" s="7" t="n">
        <v>190801</v>
      </c>
      <c r="I5271" s="7" t="n">
        <v>190801</v>
      </c>
      <c r="J5271" s="94" t="n"/>
      <c r="K5271" s="149" t="n">
        <v>15</v>
      </c>
      <c r="L5271" s="92" t="n">
        <v>190801</v>
      </c>
      <c r="M5271" s="94">
        <f>VLOOKUP($Q5271,매칭테이블!$F:$I,2,0)*K5271</f>
        <v/>
      </c>
      <c r="N5271" s="94">
        <f>M5271-M5271*VLOOKUP($Q5271,매칭테이블!$F:$I,3,0)</f>
        <v/>
      </c>
      <c r="O5271" s="94">
        <f>VLOOKUP($Q5271,매칭테이블!$F:$I,4,0)*K5271</f>
        <v/>
      </c>
      <c r="P5271" s="148">
        <f>M5271/1.1</f>
        <v/>
      </c>
      <c r="Q5271" s="94">
        <f>F5271&amp;E5271&amp;G5271&amp;L5271</f>
        <v/>
      </c>
    </row>
    <row r="5272">
      <c r="A5272" s="94" t="n"/>
      <c r="B5272" s="128" t="n">
        <v>43917</v>
      </c>
      <c r="C5272" s="94">
        <f>TEXT(B5272,"aaa")</f>
        <v/>
      </c>
      <c r="D5272" s="94" t="n"/>
      <c r="E5272" s="94" t="inlineStr">
        <is>
          <t>토너</t>
        </is>
      </c>
      <c r="F5272" s="94" t="inlineStr">
        <is>
          <t>큐텐</t>
        </is>
      </c>
      <c r="G5272" s="94" t="inlineStr">
        <is>
          <t>250ml 2set</t>
        </is>
      </c>
      <c r="H5272" s="7" t="n">
        <v>190801</v>
      </c>
      <c r="I5272" s="7" t="n">
        <v>190801</v>
      </c>
      <c r="J5272" s="94" t="n"/>
      <c r="K5272" s="149" t="n">
        <v>9</v>
      </c>
      <c r="L5272" s="92" t="n">
        <v>190801</v>
      </c>
      <c r="M5272" s="94">
        <f>VLOOKUP($Q5272,매칭테이블!$F:$I,2,0)*K5272</f>
        <v/>
      </c>
      <c r="N5272" s="94">
        <f>M5272-M5272*VLOOKUP($Q5272,매칭테이블!$F:$I,3,0)</f>
        <v/>
      </c>
      <c r="O5272" s="94">
        <f>VLOOKUP($Q5272,매칭테이블!$F:$I,4,0)*K5272</f>
        <v/>
      </c>
      <c r="P5272" s="148">
        <f>M5272/1.1</f>
        <v/>
      </c>
      <c r="Q5272" s="94">
        <f>F5272&amp;E5272&amp;G5272&amp;L5272</f>
        <v/>
      </c>
    </row>
    <row r="5273">
      <c r="A5273" s="94" t="n"/>
      <c r="B5273" s="128" t="n">
        <v>43917</v>
      </c>
      <c r="C5273" s="94">
        <f>TEXT(B5273,"aaa")</f>
        <v/>
      </c>
      <c r="D5273" s="94" t="n"/>
      <c r="E5273" s="94" t="inlineStr">
        <is>
          <t>클렌징폼</t>
        </is>
      </c>
      <c r="F5273" s="94" t="inlineStr">
        <is>
          <t>큐텐</t>
        </is>
      </c>
      <c r="G5273" s="94" t="inlineStr">
        <is>
          <t>클렌징폼 120ml</t>
        </is>
      </c>
      <c r="H5273" s="7" t="n">
        <v>190801</v>
      </c>
      <c r="I5273" s="7" t="n">
        <v>190801</v>
      </c>
      <c r="J5273" s="94" t="n"/>
      <c r="K5273" s="149" t="n">
        <v>1</v>
      </c>
      <c r="L5273" s="7" t="n">
        <v>190801</v>
      </c>
      <c r="M5273" s="94">
        <f>VLOOKUP($Q5273,매칭테이블!$F:$I,2,0)*K5273</f>
        <v/>
      </c>
      <c r="N5273" s="94">
        <f>M5273-M5273*VLOOKUP($Q5273,매칭테이블!$F:$I,3,0)</f>
        <v/>
      </c>
      <c r="O5273" s="94">
        <f>VLOOKUP($Q5273,매칭테이블!$F:$I,4,0)*K5273</f>
        <v/>
      </c>
      <c r="P5273" s="148">
        <f>M5273/1.1</f>
        <v/>
      </c>
      <c r="Q5273" s="94">
        <f>F5273&amp;E5273&amp;G5273&amp;L5273</f>
        <v/>
      </c>
    </row>
    <row r="5274">
      <c r="A5274" s="94" t="n"/>
      <c r="B5274" s="128" t="n">
        <v>43918</v>
      </c>
      <c r="C5274" s="94">
        <f>TEXT(B5274,"aaa")</f>
        <v/>
      </c>
      <c r="D5274" s="94" t="n"/>
      <c r="E5274" s="94" t="inlineStr">
        <is>
          <t>토너</t>
        </is>
      </c>
      <c r="F5274" s="5" t="inlineStr">
        <is>
          <t>스타일쉐어</t>
        </is>
      </c>
      <c r="G5274" s="94" t="inlineStr">
        <is>
          <t>250ml</t>
        </is>
      </c>
      <c r="H5274" s="7" t="n">
        <v>190801</v>
      </c>
      <c r="I5274" s="7" t="n">
        <v>190801</v>
      </c>
      <c r="J5274" s="94" t="n"/>
      <c r="K5274" s="149" t="n">
        <v>7</v>
      </c>
      <c r="L5274" s="92" t="n">
        <v>190801</v>
      </c>
      <c r="M5274" s="94">
        <f>VLOOKUP($Q5274,매칭테이블!$F:$I,2,0)*K5274</f>
        <v/>
      </c>
      <c r="N5274" s="94">
        <f>M5274-M5274*VLOOKUP($Q5274,매칭테이블!$F:$I,3,0)</f>
        <v/>
      </c>
      <c r="O5274" s="94">
        <f>VLOOKUP($Q5274,매칭테이블!$F:$I,4,0)*K5274</f>
        <v/>
      </c>
      <c r="P5274" s="148">
        <f>M5274/1.1</f>
        <v/>
      </c>
      <c r="Q5274" s="94">
        <f>F5274&amp;E5274&amp;G5274&amp;L5274</f>
        <v/>
      </c>
    </row>
    <row r="5275">
      <c r="A5275" s="94" t="n"/>
      <c r="B5275" s="128" t="n">
        <v>43918</v>
      </c>
      <c r="C5275" s="94">
        <f>TEXT(B5275,"aaa")</f>
        <v/>
      </c>
      <c r="D5275" s="94" t="n"/>
      <c r="E5275" s="94" t="inlineStr">
        <is>
          <t>머드크림마스크</t>
        </is>
      </c>
      <c r="F5275" s="94" t="inlineStr">
        <is>
          <t>카페24</t>
        </is>
      </c>
      <c r="G5275" s="94" t="inlineStr">
        <is>
          <t>머드크림마스크 100ml</t>
        </is>
      </c>
      <c r="H5275" s="7" t="n">
        <v>190801</v>
      </c>
      <c r="I5275" s="7" t="n">
        <v>190801</v>
      </c>
      <c r="J5275" s="94" t="n"/>
      <c r="K5275" s="149" t="n">
        <v>11</v>
      </c>
      <c r="L5275" s="94" t="n">
        <v>190801</v>
      </c>
      <c r="M5275" s="94">
        <f>VLOOKUP($Q5275,매칭테이블!$F:$I,2,0)*K5275</f>
        <v/>
      </c>
      <c r="N5275" s="94">
        <f>M5275-M5275*VLOOKUP($Q5275,매칭테이블!$F:$I,3,0)</f>
        <v/>
      </c>
      <c r="O5275" s="94">
        <f>VLOOKUP($Q5275,매칭테이블!$F:$I,4,0)*K5275</f>
        <v/>
      </c>
      <c r="P5275" s="148">
        <f>M5275/1.1</f>
        <v/>
      </c>
      <c r="Q5275" s="94">
        <f>F5275&amp;E5275&amp;G5275&amp;L5275</f>
        <v/>
      </c>
    </row>
    <row r="5276">
      <c r="A5276" s="94" t="n"/>
      <c r="B5276" s="128" t="n">
        <v>43918</v>
      </c>
      <c r="C5276" s="94">
        <f>TEXT(B5276,"aaa")</f>
        <v/>
      </c>
      <c r="D5276" s="94" t="n"/>
      <c r="E5276" s="6" t="inlineStr">
        <is>
          <t>토너</t>
        </is>
      </c>
      <c r="F5276" s="5" t="inlineStr">
        <is>
          <t>카페24</t>
        </is>
      </c>
      <c r="G5276" s="5" t="inlineStr">
        <is>
          <t>250ml</t>
        </is>
      </c>
      <c r="H5276" s="7" t="n">
        <v>190801</v>
      </c>
      <c r="I5276" s="7" t="n">
        <v>190801</v>
      </c>
      <c r="J5276" s="94" t="n"/>
      <c r="K5276" s="149" t="n">
        <v>59</v>
      </c>
      <c r="L5276" s="7" t="n">
        <v>190801</v>
      </c>
      <c r="M5276" s="94">
        <f>VLOOKUP($Q5276,매칭테이블!$F:$I,2,0)*K5276</f>
        <v/>
      </c>
      <c r="N5276" s="94">
        <f>M5276-M5276*VLOOKUP($Q5276,매칭테이블!$F:$I,3,0)</f>
        <v/>
      </c>
      <c r="O5276" s="94">
        <f>VLOOKUP($Q5276,매칭테이블!$F:$I,4,0)*K5276</f>
        <v/>
      </c>
      <c r="P5276" s="148">
        <f>M5276/1.1</f>
        <v/>
      </c>
      <c r="Q5276" s="94">
        <f>F5276&amp;E5276&amp;G5276&amp;L5276</f>
        <v/>
      </c>
    </row>
    <row r="5277">
      <c r="A5277" s="94" t="n"/>
      <c r="B5277" s="128" t="n">
        <v>43918</v>
      </c>
      <c r="C5277" s="94">
        <f>TEXT(B5277,"aaa")</f>
        <v/>
      </c>
      <c r="D5277" s="94" t="n"/>
      <c r="E5277" s="6" t="inlineStr">
        <is>
          <t>토너</t>
        </is>
      </c>
      <c r="F5277" s="5" t="inlineStr">
        <is>
          <t>카페24</t>
        </is>
      </c>
      <c r="G5277" s="5" t="inlineStr">
        <is>
          <t>250ml 2set</t>
        </is>
      </c>
      <c r="H5277" s="7" t="n">
        <v>190801</v>
      </c>
      <c r="I5277" s="7" t="n">
        <v>190801</v>
      </c>
      <c r="J5277" s="94" t="n"/>
      <c r="K5277" s="149" t="n">
        <v>32</v>
      </c>
      <c r="L5277" s="7" t="n">
        <v>190801</v>
      </c>
      <c r="M5277" s="94">
        <f>VLOOKUP($Q5277,매칭테이블!$F:$I,2,0)*K5277</f>
        <v/>
      </c>
      <c r="N5277" s="94">
        <f>M5277-M5277*VLOOKUP($Q5277,매칭테이블!$F:$I,3,0)</f>
        <v/>
      </c>
      <c r="O5277" s="94">
        <f>VLOOKUP($Q5277,매칭테이블!$F:$I,4,0)*K5277</f>
        <v/>
      </c>
      <c r="P5277" s="148">
        <f>M5277/1.1</f>
        <v/>
      </c>
      <c r="Q5277" s="94">
        <f>F5277&amp;E5277&amp;G5277&amp;L5277</f>
        <v/>
      </c>
    </row>
    <row r="5278">
      <c r="A5278" s="94" t="n"/>
      <c r="B5278" s="128" t="n">
        <v>43918</v>
      </c>
      <c r="C5278" s="94">
        <f>TEXT(B5278,"aaa")</f>
        <v/>
      </c>
      <c r="D5278" s="94" t="n"/>
      <c r="E5278" s="6" t="inlineStr">
        <is>
          <t>토너</t>
        </is>
      </c>
      <c r="F5278" s="5" t="inlineStr">
        <is>
          <t>카페24</t>
        </is>
      </c>
      <c r="G5278" s="5" t="inlineStr">
        <is>
          <t>500ml</t>
        </is>
      </c>
      <c r="H5278" s="7" t="n">
        <v>190801</v>
      </c>
      <c r="I5278" s="7" t="n">
        <v>190801</v>
      </c>
      <c r="J5278" s="94" t="n"/>
      <c r="K5278" s="149" t="n">
        <v>53</v>
      </c>
      <c r="L5278" s="7" t="n">
        <v>190801</v>
      </c>
      <c r="M5278" s="94">
        <f>VLOOKUP($Q5278,매칭테이블!$F:$I,2,0)*K5278</f>
        <v/>
      </c>
      <c r="N5278" s="94">
        <f>M5278-M5278*VLOOKUP($Q5278,매칭테이블!$F:$I,3,0)</f>
        <v/>
      </c>
      <c r="O5278" s="94">
        <f>VLOOKUP($Q5278,매칭테이블!$F:$I,4,0)*K5278</f>
        <v/>
      </c>
      <c r="P5278" s="148">
        <f>M5278/1.1</f>
        <v/>
      </c>
      <c r="Q5278" s="94">
        <f>F5278&amp;E5278&amp;G5278&amp;L5278</f>
        <v/>
      </c>
    </row>
    <row r="5279">
      <c r="A5279" s="94" t="n"/>
      <c r="B5279" s="128" t="n">
        <v>43918</v>
      </c>
      <c r="C5279" s="94">
        <f>TEXT(B5279,"aaa")</f>
        <v/>
      </c>
      <c r="D5279" s="94" t="n"/>
      <c r="E5279" s="6" t="inlineStr">
        <is>
          <t>토너</t>
        </is>
      </c>
      <c r="F5279" s="5" t="inlineStr">
        <is>
          <t>카페24</t>
        </is>
      </c>
      <c r="G5279" s="94" t="inlineStr">
        <is>
          <t>스킨팩 화장솜 60P</t>
        </is>
      </c>
      <c r="H5279" s="7" t="n">
        <v>190801</v>
      </c>
      <c r="I5279" s="7" t="n">
        <v>190801</v>
      </c>
      <c r="J5279" s="94" t="n"/>
      <c r="K5279" s="149" t="n">
        <v>68</v>
      </c>
      <c r="L5279" s="7" t="n">
        <v>190801</v>
      </c>
      <c r="M5279" s="94">
        <f>VLOOKUP($Q5279,매칭테이블!$F:$I,2,0)*K5279</f>
        <v/>
      </c>
      <c r="N5279" s="94">
        <f>M5279-M5279*VLOOKUP($Q5279,매칭테이블!$F:$I,3,0)</f>
        <v/>
      </c>
      <c r="O5279" s="94">
        <f>VLOOKUP($Q5279,매칭테이블!$F:$I,4,0)*K5279</f>
        <v/>
      </c>
      <c r="P5279" s="148">
        <f>M5279/1.1</f>
        <v/>
      </c>
      <c r="Q5279" s="94">
        <f>F5279&amp;E5279&amp;G5279&amp;L5279</f>
        <v/>
      </c>
    </row>
    <row r="5280">
      <c r="A5280" s="94" t="n"/>
      <c r="B5280" s="128" t="n">
        <v>43918</v>
      </c>
      <c r="C5280" s="94">
        <f>TEXT(B5280,"aaa")</f>
        <v/>
      </c>
      <c r="D5280" s="94" t="n"/>
      <c r="E5280" s="94" t="inlineStr">
        <is>
          <t>마스크팩</t>
        </is>
      </c>
      <c r="F5280" s="94" t="inlineStr">
        <is>
          <t>카페24</t>
        </is>
      </c>
      <c r="G5280" s="94" t="inlineStr">
        <is>
          <t>마스크팩 10매</t>
        </is>
      </c>
      <c r="H5280" s="7" t="n">
        <v>190801</v>
      </c>
      <c r="I5280" s="7" t="n">
        <v>190801</v>
      </c>
      <c r="J5280" s="94" t="n"/>
      <c r="K5280" s="149" t="n">
        <v>12</v>
      </c>
      <c r="L5280" s="94" t="n">
        <v>190801</v>
      </c>
      <c r="M5280" s="94">
        <f>VLOOKUP($Q5280,매칭테이블!$F:$I,2,0)*K5280</f>
        <v/>
      </c>
      <c r="N5280" s="94">
        <f>M5280-M5280*VLOOKUP($Q5280,매칭테이블!$F:$I,3,0)</f>
        <v/>
      </c>
      <c r="O5280" s="94">
        <f>VLOOKUP($Q5280,매칭테이블!$F:$I,4,0)*K5280</f>
        <v/>
      </c>
      <c r="P5280" s="148">
        <f>M5280/1.1</f>
        <v/>
      </c>
      <c r="Q5280" s="94">
        <f>F5280&amp;E5280&amp;G5280&amp;L5280</f>
        <v/>
      </c>
    </row>
    <row r="5281">
      <c r="A5281" s="94" t="n"/>
      <c r="B5281" s="128" t="n">
        <v>43918</v>
      </c>
      <c r="C5281" s="94">
        <f>TEXT(B5281,"aaa")</f>
        <v/>
      </c>
      <c r="D5281" s="94" t="n"/>
      <c r="E5281" s="94" t="inlineStr">
        <is>
          <t>마스크팩</t>
        </is>
      </c>
      <c r="F5281" s="94" t="inlineStr">
        <is>
          <t>카페24</t>
        </is>
      </c>
      <c r="G5281" s="94" t="inlineStr">
        <is>
          <t>마스크팩 1매</t>
        </is>
      </c>
      <c r="H5281" s="7" t="n">
        <v>190801</v>
      </c>
      <c r="I5281" s="7" t="n">
        <v>190801</v>
      </c>
      <c r="J5281" s="94" t="n"/>
      <c r="K5281" s="149" t="n">
        <v>3</v>
      </c>
      <c r="L5281" s="94" t="n">
        <v>190801</v>
      </c>
      <c r="M5281" s="94">
        <f>VLOOKUP($Q5281,매칭테이블!$F:$I,2,0)*K5281</f>
        <v/>
      </c>
      <c r="N5281" s="94">
        <f>M5281-M5281*VLOOKUP($Q5281,매칭테이블!$F:$I,3,0)</f>
        <v/>
      </c>
      <c r="O5281" s="94">
        <f>VLOOKUP($Q5281,매칭테이블!$F:$I,4,0)*K5281</f>
        <v/>
      </c>
      <c r="P5281" s="148">
        <f>M5281/1.1</f>
        <v/>
      </c>
      <c r="Q5281" s="94">
        <f>F5281&amp;E5281&amp;G5281&amp;L5281</f>
        <v/>
      </c>
    </row>
    <row r="5282">
      <c r="A5282" s="94" t="n"/>
      <c r="B5282" s="128" t="n">
        <v>43918</v>
      </c>
      <c r="C5282" s="94">
        <f>TEXT(B5282,"aaa")</f>
        <v/>
      </c>
      <c r="D5282" s="94" t="n"/>
      <c r="E5282" s="94" t="inlineStr">
        <is>
          <t>클렌징폼</t>
        </is>
      </c>
      <c r="F5282" s="5" t="inlineStr">
        <is>
          <t>카페24</t>
        </is>
      </c>
      <c r="G5282" s="94" t="inlineStr">
        <is>
          <t>클렌징폼 120ml</t>
        </is>
      </c>
      <c r="H5282" s="7" t="n">
        <v>190801</v>
      </c>
      <c r="I5282" s="7" t="n">
        <v>190801</v>
      </c>
      <c r="J5282" s="94" t="n"/>
      <c r="K5282" s="149" t="n">
        <v>13</v>
      </c>
      <c r="L5282" s="7" t="n">
        <v>190801</v>
      </c>
      <c r="M5282" s="94">
        <f>VLOOKUP($Q5282,매칭테이블!$F:$I,2,0)*K5282</f>
        <v/>
      </c>
      <c r="N5282" s="94">
        <f>M5282-M5282*VLOOKUP($Q5282,매칭테이블!$F:$I,3,0)</f>
        <v/>
      </c>
      <c r="O5282" s="94">
        <f>VLOOKUP($Q5282,매칭테이블!$F:$I,4,0)*K5282</f>
        <v/>
      </c>
      <c r="P5282" s="148">
        <f>M5282/1.1</f>
        <v/>
      </c>
      <c r="Q5282" s="94">
        <f>F5282&amp;E5282&amp;G5282&amp;L5282</f>
        <v/>
      </c>
    </row>
    <row r="5283">
      <c r="A5283" s="94" t="n"/>
      <c r="B5283" s="128" t="n">
        <v>43918</v>
      </c>
      <c r="C5283" s="94">
        <f>TEXT(B5283,"aaa")</f>
        <v/>
      </c>
      <c r="D5283" s="94" t="n"/>
      <c r="E5283" s="94" t="inlineStr">
        <is>
          <t>클렌징폼</t>
        </is>
      </c>
      <c r="F5283" s="94" t="inlineStr">
        <is>
          <t>카페24</t>
        </is>
      </c>
      <c r="G5283" s="94" t="inlineStr">
        <is>
          <t>클렌징폼 120ml 2set</t>
        </is>
      </c>
      <c r="H5283" s="7" t="n">
        <v>190801</v>
      </c>
      <c r="I5283" s="7" t="n">
        <v>190801</v>
      </c>
      <c r="J5283" s="94" t="n"/>
      <c r="K5283" s="149" t="n">
        <v>1</v>
      </c>
      <c r="L5283" s="7" t="n">
        <v>190801</v>
      </c>
      <c r="M5283" s="94">
        <f>VLOOKUP($Q5283,매칭테이블!$F:$I,2,0)*K5283</f>
        <v/>
      </c>
      <c r="N5283" s="94">
        <f>M5283-M5283*VLOOKUP($Q5283,매칭테이블!$F:$I,3,0)</f>
        <v/>
      </c>
      <c r="O5283" s="94">
        <f>VLOOKUP($Q5283,매칭테이블!$F:$I,4,0)*K5283</f>
        <v/>
      </c>
      <c r="P5283" s="148">
        <f>M5283/1.1</f>
        <v/>
      </c>
      <c r="Q5283" s="94">
        <f>F5283&amp;E5283&amp;G5283&amp;L5283</f>
        <v/>
      </c>
    </row>
    <row r="5284">
      <c r="A5284" s="94" t="n"/>
      <c r="B5284" s="128" t="n">
        <v>43919</v>
      </c>
      <c r="C5284" s="94">
        <f>TEXT(B5284,"aaa")</f>
        <v/>
      </c>
      <c r="D5284" s="94" t="n"/>
      <c r="E5284" s="94" t="inlineStr">
        <is>
          <t>토너</t>
        </is>
      </c>
      <c r="F5284" s="5" t="inlineStr">
        <is>
          <t>스타일쉐어</t>
        </is>
      </c>
      <c r="G5284" s="94" t="inlineStr">
        <is>
          <t>250ml</t>
        </is>
      </c>
      <c r="H5284" s="7" t="n">
        <v>190801</v>
      </c>
      <c r="I5284" s="7" t="n">
        <v>190801</v>
      </c>
      <c r="J5284" s="94" t="n"/>
      <c r="K5284" s="149" t="n">
        <v>3</v>
      </c>
      <c r="L5284" s="92" t="n">
        <v>190801</v>
      </c>
      <c r="M5284" s="94">
        <f>VLOOKUP($Q5284,매칭테이블!$F:$I,2,0)*K5284</f>
        <v/>
      </c>
      <c r="N5284" s="94">
        <f>M5284-M5284*VLOOKUP($Q5284,매칭테이블!$F:$I,3,0)</f>
        <v/>
      </c>
      <c r="O5284" s="94">
        <f>VLOOKUP($Q5284,매칭테이블!$F:$I,4,0)*K5284</f>
        <v/>
      </c>
      <c r="P5284" s="148">
        <f>M5284/1.1</f>
        <v/>
      </c>
      <c r="Q5284" s="94">
        <f>F5284&amp;E5284&amp;G5284&amp;L5284</f>
        <v/>
      </c>
    </row>
    <row r="5285">
      <c r="A5285" s="94" t="n"/>
      <c r="B5285" s="128" t="n">
        <v>43919</v>
      </c>
      <c r="C5285" s="94">
        <f>TEXT(B5285,"aaa")</f>
        <v/>
      </c>
      <c r="D5285" s="94" t="n"/>
      <c r="E5285" s="94" t="inlineStr">
        <is>
          <t>머드크림마스크</t>
        </is>
      </c>
      <c r="F5285" s="94" t="inlineStr">
        <is>
          <t>카페24</t>
        </is>
      </c>
      <c r="G5285" s="94" t="inlineStr">
        <is>
          <t>머드크림마스크 100ml</t>
        </is>
      </c>
      <c r="H5285" s="7" t="n">
        <v>190801</v>
      </c>
      <c r="I5285" s="7" t="n">
        <v>190801</v>
      </c>
      <c r="J5285" s="94" t="n"/>
      <c r="K5285" s="149" t="n">
        <v>19</v>
      </c>
      <c r="L5285" s="94" t="n">
        <v>190801</v>
      </c>
      <c r="M5285" s="94">
        <f>VLOOKUP($Q5285,매칭테이블!$F:$I,2,0)*K5285</f>
        <v/>
      </c>
      <c r="N5285" s="94">
        <f>M5285-M5285*VLOOKUP($Q5285,매칭테이블!$F:$I,3,0)</f>
        <v/>
      </c>
      <c r="O5285" s="94">
        <f>VLOOKUP($Q5285,매칭테이블!$F:$I,4,0)*K5285</f>
        <v/>
      </c>
      <c r="P5285" s="148">
        <f>M5285/1.1</f>
        <v/>
      </c>
      <c r="Q5285" s="94">
        <f>F5285&amp;E5285&amp;G5285&amp;L5285</f>
        <v/>
      </c>
    </row>
    <row r="5286">
      <c r="A5286" s="94" t="n"/>
      <c r="B5286" s="128" t="n">
        <v>43919</v>
      </c>
      <c r="C5286" s="94">
        <f>TEXT(B5286,"aaa")</f>
        <v/>
      </c>
      <c r="D5286" s="94" t="n"/>
      <c r="E5286" s="94" t="inlineStr">
        <is>
          <t>머드크림마스크</t>
        </is>
      </c>
      <c r="F5286" s="94" t="inlineStr">
        <is>
          <t>카페24</t>
        </is>
      </c>
      <c r="G5286" s="94" t="inlineStr">
        <is>
          <t>머드크림마스크 100ml 2set</t>
        </is>
      </c>
      <c r="H5286" s="7" t="n">
        <v>190801</v>
      </c>
      <c r="I5286" s="7" t="n">
        <v>190801</v>
      </c>
      <c r="J5286" s="94" t="n"/>
      <c r="K5286" s="149" t="n">
        <v>2</v>
      </c>
      <c r="L5286" s="94" t="n">
        <v>190801</v>
      </c>
      <c r="M5286" s="94">
        <f>VLOOKUP($Q5286,매칭테이블!$F:$I,2,0)*K5286</f>
        <v/>
      </c>
      <c r="N5286" s="94">
        <f>M5286-M5286*VLOOKUP($Q5286,매칭테이블!$F:$I,3,0)</f>
        <v/>
      </c>
      <c r="O5286" s="94">
        <f>VLOOKUP($Q5286,매칭테이블!$F:$I,4,0)*K5286</f>
        <v/>
      </c>
      <c r="P5286" s="148">
        <f>M5286/1.1</f>
        <v/>
      </c>
      <c r="Q5286" s="94">
        <f>F5286&amp;E5286&amp;G5286&amp;L5286</f>
        <v/>
      </c>
    </row>
    <row r="5287">
      <c r="A5287" s="94" t="n"/>
      <c r="B5287" s="128" t="n">
        <v>43919</v>
      </c>
      <c r="C5287" s="94">
        <f>TEXT(B5287,"aaa")</f>
        <v/>
      </c>
      <c r="D5287" s="94" t="n"/>
      <c r="E5287" s="6" t="inlineStr">
        <is>
          <t>토너</t>
        </is>
      </c>
      <c r="F5287" s="5" t="inlineStr">
        <is>
          <t>카페24</t>
        </is>
      </c>
      <c r="G5287" s="5" t="inlineStr">
        <is>
          <t>250ml</t>
        </is>
      </c>
      <c r="H5287" s="7" t="n">
        <v>190801</v>
      </c>
      <c r="I5287" s="7" t="n">
        <v>190801</v>
      </c>
      <c r="J5287" s="94" t="n"/>
      <c r="K5287" s="149" t="n">
        <v>71</v>
      </c>
      <c r="L5287" s="7" t="n">
        <v>190801</v>
      </c>
      <c r="M5287" s="94">
        <f>VLOOKUP($Q5287,매칭테이블!$F:$I,2,0)*K5287</f>
        <v/>
      </c>
      <c r="N5287" s="94">
        <f>M5287-M5287*VLOOKUP($Q5287,매칭테이블!$F:$I,3,0)</f>
        <v/>
      </c>
      <c r="O5287" s="94">
        <f>VLOOKUP($Q5287,매칭테이블!$F:$I,4,0)*K5287</f>
        <v/>
      </c>
      <c r="P5287" s="148">
        <f>M5287/1.1</f>
        <v/>
      </c>
      <c r="Q5287" s="94">
        <f>F5287&amp;E5287&amp;G5287&amp;L5287</f>
        <v/>
      </c>
    </row>
    <row r="5288">
      <c r="A5288" s="94" t="n"/>
      <c r="B5288" s="128" t="n">
        <v>43919</v>
      </c>
      <c r="C5288" s="94">
        <f>TEXT(B5288,"aaa")</f>
        <v/>
      </c>
      <c r="D5288" s="94" t="n"/>
      <c r="E5288" s="6" t="inlineStr">
        <is>
          <t>토너</t>
        </is>
      </c>
      <c r="F5288" s="5" t="inlineStr">
        <is>
          <t>카페24</t>
        </is>
      </c>
      <c r="G5288" s="5" t="inlineStr">
        <is>
          <t>250ml 2set</t>
        </is>
      </c>
      <c r="H5288" s="7" t="n">
        <v>190801</v>
      </c>
      <c r="I5288" s="7" t="n">
        <v>190801</v>
      </c>
      <c r="J5288" s="94" t="n"/>
      <c r="K5288" s="149" t="n">
        <v>60</v>
      </c>
      <c r="L5288" s="7" t="n">
        <v>190801</v>
      </c>
      <c r="M5288" s="94">
        <f>VLOOKUP($Q5288,매칭테이블!$F:$I,2,0)*K5288</f>
        <v/>
      </c>
      <c r="N5288" s="94">
        <f>M5288-M5288*VLOOKUP($Q5288,매칭테이블!$F:$I,3,0)</f>
        <v/>
      </c>
      <c r="O5288" s="94">
        <f>VLOOKUP($Q5288,매칭테이블!$F:$I,4,0)*K5288</f>
        <v/>
      </c>
      <c r="P5288" s="148">
        <f>M5288/1.1</f>
        <v/>
      </c>
      <c r="Q5288" s="94">
        <f>F5288&amp;E5288&amp;G5288&amp;L5288</f>
        <v/>
      </c>
    </row>
    <row r="5289">
      <c r="A5289" s="94" t="n"/>
      <c r="B5289" s="128" t="n">
        <v>43919</v>
      </c>
      <c r="C5289" s="94">
        <f>TEXT(B5289,"aaa")</f>
        <v/>
      </c>
      <c r="D5289" s="94" t="n"/>
      <c r="E5289" s="6" t="inlineStr">
        <is>
          <t>토너</t>
        </is>
      </c>
      <c r="F5289" s="5" t="inlineStr">
        <is>
          <t>카페24</t>
        </is>
      </c>
      <c r="G5289" s="5" t="inlineStr">
        <is>
          <t>500ml</t>
        </is>
      </c>
      <c r="H5289" s="7" t="n">
        <v>190801</v>
      </c>
      <c r="I5289" s="7" t="n">
        <v>190801</v>
      </c>
      <c r="J5289" s="94" t="n"/>
      <c r="K5289" s="149" t="n">
        <v>87</v>
      </c>
      <c r="L5289" s="7" t="n">
        <v>190801</v>
      </c>
      <c r="M5289" s="94">
        <f>VLOOKUP($Q5289,매칭테이블!$F:$I,2,0)*K5289</f>
        <v/>
      </c>
      <c r="N5289" s="94">
        <f>M5289-M5289*VLOOKUP($Q5289,매칭테이블!$F:$I,3,0)</f>
        <v/>
      </c>
      <c r="O5289" s="94">
        <f>VLOOKUP($Q5289,매칭테이블!$F:$I,4,0)*K5289</f>
        <v/>
      </c>
      <c r="P5289" s="148">
        <f>M5289/1.1</f>
        <v/>
      </c>
      <c r="Q5289" s="94">
        <f>F5289&amp;E5289&amp;G5289&amp;L5289</f>
        <v/>
      </c>
    </row>
    <row r="5290">
      <c r="A5290" s="94" t="n"/>
      <c r="B5290" s="128" t="n">
        <v>43919</v>
      </c>
      <c r="C5290" s="94">
        <f>TEXT(B5290,"aaa")</f>
        <v/>
      </c>
      <c r="D5290" s="94" t="n"/>
      <c r="E5290" s="6" t="inlineStr">
        <is>
          <t>토너</t>
        </is>
      </c>
      <c r="F5290" s="5" t="inlineStr">
        <is>
          <t>카페24</t>
        </is>
      </c>
      <c r="G5290" s="94" t="inlineStr">
        <is>
          <t>스킨팩 화장솜 60P</t>
        </is>
      </c>
      <c r="H5290" s="7" t="n">
        <v>190801</v>
      </c>
      <c r="I5290" s="7" t="n">
        <v>190801</v>
      </c>
      <c r="J5290" s="94" t="n"/>
      <c r="K5290" s="149" t="n">
        <v>93</v>
      </c>
      <c r="L5290" s="7" t="n">
        <v>190801</v>
      </c>
      <c r="M5290" s="94">
        <f>VLOOKUP($Q5290,매칭테이블!$F:$I,2,0)*K5290</f>
        <v/>
      </c>
      <c r="N5290" s="94">
        <f>M5290-M5290*VLOOKUP($Q5290,매칭테이블!$F:$I,3,0)</f>
        <v/>
      </c>
      <c r="O5290" s="94">
        <f>VLOOKUP($Q5290,매칭테이블!$F:$I,4,0)*K5290</f>
        <v/>
      </c>
      <c r="P5290" s="148">
        <f>M5290/1.1</f>
        <v/>
      </c>
      <c r="Q5290" s="94">
        <f>F5290&amp;E5290&amp;G5290&amp;L5290</f>
        <v/>
      </c>
    </row>
    <row r="5291">
      <c r="A5291" s="94" t="n"/>
      <c r="B5291" s="128" t="n">
        <v>43919</v>
      </c>
      <c r="C5291" s="94">
        <f>TEXT(B5291,"aaa")</f>
        <v/>
      </c>
      <c r="D5291" s="94" t="n"/>
      <c r="E5291" s="94" t="inlineStr">
        <is>
          <t>마스크팩</t>
        </is>
      </c>
      <c r="F5291" s="94" t="inlineStr">
        <is>
          <t>카페24</t>
        </is>
      </c>
      <c r="G5291" s="94" t="inlineStr">
        <is>
          <t>마스크팩 10매</t>
        </is>
      </c>
      <c r="H5291" s="7" t="n">
        <v>190801</v>
      </c>
      <c r="I5291" s="7" t="n">
        <v>190801</v>
      </c>
      <c r="J5291" s="94" t="n"/>
      <c r="K5291" s="149" t="n">
        <v>13</v>
      </c>
      <c r="L5291" s="94" t="n">
        <v>190801</v>
      </c>
      <c r="M5291" s="94">
        <f>VLOOKUP($Q5291,매칭테이블!$F:$I,2,0)*K5291</f>
        <v/>
      </c>
      <c r="N5291" s="94">
        <f>M5291-M5291*VLOOKUP($Q5291,매칭테이블!$F:$I,3,0)</f>
        <v/>
      </c>
      <c r="O5291" s="94">
        <f>VLOOKUP($Q5291,매칭테이블!$F:$I,4,0)*K5291</f>
        <v/>
      </c>
      <c r="P5291" s="148">
        <f>M5291/1.1</f>
        <v/>
      </c>
      <c r="Q5291" s="94">
        <f>F5291&amp;E5291&amp;G5291&amp;L5291</f>
        <v/>
      </c>
    </row>
    <row r="5292">
      <c r="A5292" s="94" t="n"/>
      <c r="B5292" s="128" t="n">
        <v>43919</v>
      </c>
      <c r="C5292" s="94">
        <f>TEXT(B5292,"aaa")</f>
        <v/>
      </c>
      <c r="D5292" s="94" t="n"/>
      <c r="E5292" s="94" t="inlineStr">
        <is>
          <t>마스크팩</t>
        </is>
      </c>
      <c r="F5292" s="94" t="inlineStr">
        <is>
          <t>카페24</t>
        </is>
      </c>
      <c r="G5292" s="94" t="inlineStr">
        <is>
          <t>마스크팩 1매</t>
        </is>
      </c>
      <c r="H5292" s="7" t="n">
        <v>190801</v>
      </c>
      <c r="I5292" s="7" t="n">
        <v>190801</v>
      </c>
      <c r="J5292" s="94" t="n"/>
      <c r="K5292" s="149" t="n">
        <v>4</v>
      </c>
      <c r="L5292" s="94" t="n">
        <v>190801</v>
      </c>
      <c r="M5292" s="94">
        <f>VLOOKUP($Q5292,매칭테이블!$F:$I,2,0)*K5292</f>
        <v/>
      </c>
      <c r="N5292" s="94">
        <f>M5292-M5292*VLOOKUP($Q5292,매칭테이블!$F:$I,3,0)</f>
        <v/>
      </c>
      <c r="O5292" s="94">
        <f>VLOOKUP($Q5292,매칭테이블!$F:$I,4,0)*K5292</f>
        <v/>
      </c>
      <c r="P5292" s="148">
        <f>M5292/1.1</f>
        <v/>
      </c>
      <c r="Q5292" s="94">
        <f>F5292&amp;E5292&amp;G5292&amp;L5292</f>
        <v/>
      </c>
    </row>
    <row r="5293">
      <c r="A5293" s="94" t="n"/>
      <c r="B5293" s="128" t="n">
        <v>43919</v>
      </c>
      <c r="C5293" s="94">
        <f>TEXT(B5293,"aaa")</f>
        <v/>
      </c>
      <c r="D5293" s="94" t="n"/>
      <c r="E5293" s="94" t="inlineStr">
        <is>
          <t>클렌징폼</t>
        </is>
      </c>
      <c r="F5293" s="5" t="inlineStr">
        <is>
          <t>카페24</t>
        </is>
      </c>
      <c r="G5293" s="94" t="inlineStr">
        <is>
          <t>클렌징폼 120ml</t>
        </is>
      </c>
      <c r="H5293" s="7" t="n">
        <v>190801</v>
      </c>
      <c r="I5293" s="7" t="n">
        <v>190801</v>
      </c>
      <c r="J5293" s="94" t="n"/>
      <c r="K5293" s="149" t="n">
        <v>18</v>
      </c>
      <c r="L5293" s="7" t="n">
        <v>190801</v>
      </c>
      <c r="M5293" s="94">
        <f>VLOOKUP($Q5293,매칭테이블!$F:$I,2,0)*K5293</f>
        <v/>
      </c>
      <c r="N5293" s="94">
        <f>M5293-M5293*VLOOKUP($Q5293,매칭테이블!$F:$I,3,0)</f>
        <v/>
      </c>
      <c r="O5293" s="94">
        <f>VLOOKUP($Q5293,매칭테이블!$F:$I,4,0)*K5293</f>
        <v/>
      </c>
      <c r="P5293" s="148">
        <f>M5293/1.1</f>
        <v/>
      </c>
      <c r="Q5293" s="94">
        <f>F5293&amp;E5293&amp;G5293&amp;L5293</f>
        <v/>
      </c>
    </row>
    <row r="5294">
      <c r="A5294" s="94" t="n"/>
      <c r="B5294" s="128" t="n">
        <v>43919</v>
      </c>
      <c r="C5294" s="94">
        <f>TEXT(B5294,"aaa")</f>
        <v/>
      </c>
      <c r="D5294" s="94" t="n"/>
      <c r="E5294" s="94" t="inlineStr">
        <is>
          <t>토너+머드크림세트</t>
        </is>
      </c>
      <c r="F5294" s="94" t="inlineStr">
        <is>
          <t>카페24</t>
        </is>
      </c>
      <c r="G5294" s="94" t="inlineStr">
        <is>
          <t>250ml</t>
        </is>
      </c>
      <c r="H5294" s="7" t="n">
        <v>190801</v>
      </c>
      <c r="I5294" s="7" t="n">
        <v>190801</v>
      </c>
      <c r="J5294" s="94" t="n"/>
      <c r="K5294" s="149" t="n">
        <v>1</v>
      </c>
      <c r="L5294" s="94" t="n">
        <v>190801</v>
      </c>
      <c r="M5294" s="94">
        <f>VLOOKUP($Q5294,매칭테이블!$F:$I,2,0)*K5294</f>
        <v/>
      </c>
      <c r="N5294" s="94">
        <f>M5294-M5294*VLOOKUP($Q5294,매칭테이블!$F:$I,3,0)</f>
        <v/>
      </c>
      <c r="O5294" s="94">
        <f>VLOOKUP($Q5294,매칭테이블!$F:$I,4,0)*K5294</f>
        <v/>
      </c>
      <c r="P5294" s="148">
        <f>M5294/1.1</f>
        <v/>
      </c>
      <c r="Q5294" s="94">
        <f>F5294&amp;E5294&amp;G5294&amp;L5294</f>
        <v/>
      </c>
    </row>
    <row r="5295">
      <c r="A5295" s="94" t="n"/>
      <c r="B5295" s="128" t="n">
        <v>43919</v>
      </c>
      <c r="C5295" s="94">
        <f>TEXT(B5295,"aaa")</f>
        <v/>
      </c>
      <c r="D5295" s="94" t="n"/>
      <c r="E5295" s="94" t="inlineStr">
        <is>
          <t>토너+머드크림세트</t>
        </is>
      </c>
      <c r="F5295" s="94" t="inlineStr">
        <is>
          <t>카페24</t>
        </is>
      </c>
      <c r="G5295" s="94" t="inlineStr">
        <is>
          <t>머드크림마스크 100ml</t>
        </is>
      </c>
      <c r="H5295" s="7" t="n">
        <v>190801</v>
      </c>
      <c r="I5295" s="7" t="n">
        <v>190801</v>
      </c>
      <c r="J5295" s="94" t="n"/>
      <c r="K5295" s="149" t="n">
        <v>1</v>
      </c>
      <c r="L5295" s="94" t="n">
        <v>190801</v>
      </c>
      <c r="M5295" s="94">
        <f>VLOOKUP($Q5295,매칭테이블!$F:$I,2,0)*K5295</f>
        <v/>
      </c>
      <c r="N5295" s="94">
        <f>M5295-M5295*VLOOKUP($Q5295,매칭테이블!$F:$I,3,0)</f>
        <v/>
      </c>
      <c r="O5295" s="94">
        <f>VLOOKUP($Q5295,매칭테이블!$F:$I,4,0)*K5295</f>
        <v/>
      </c>
      <c r="P5295" s="148">
        <f>M5295/1.1</f>
        <v/>
      </c>
      <c r="Q5295" s="94">
        <f>F5295&amp;E5295&amp;G5295&amp;L5295</f>
        <v/>
      </c>
    </row>
    <row r="5296">
      <c r="A5296" s="94" t="n"/>
      <c r="B5296" s="128" t="n">
        <v>43919</v>
      </c>
      <c r="C5296" s="94">
        <f>TEXT(B5296,"aaa")</f>
        <v/>
      </c>
      <c r="D5296" s="94" t="n"/>
      <c r="E5296" s="94" t="inlineStr">
        <is>
          <t>토너 기획세트</t>
        </is>
      </c>
      <c r="F5296" s="5" t="inlineStr">
        <is>
          <t>랄라블라</t>
        </is>
      </c>
      <c r="G5296" s="94" t="inlineStr">
        <is>
          <t>토너 기획세트</t>
        </is>
      </c>
      <c r="H5296" s="7" t="n">
        <v>190801</v>
      </c>
      <c r="I5296" s="7" t="n">
        <v>190801</v>
      </c>
      <c r="J5296" s="94" t="n"/>
      <c r="K5296" s="149" t="n">
        <v>703</v>
      </c>
      <c r="L5296" s="7" t="n">
        <v>190801</v>
      </c>
      <c r="M5296" s="94">
        <f>VLOOKUP($Q5296,매칭테이블!$F:$I,2,0)*K5296</f>
        <v/>
      </c>
      <c r="N5296" s="94">
        <f>M5296-M5296*VLOOKUP($Q5296,매칭테이블!$F:$I,3,0)</f>
        <v/>
      </c>
      <c r="O5296" s="94">
        <f>VLOOKUP($Q5296,매칭테이블!$F:$I,4,0)*K5296</f>
        <v/>
      </c>
      <c r="P5296" s="148">
        <f>M5296/1.1</f>
        <v/>
      </c>
      <c r="Q5296" s="94">
        <f>F5296&amp;E5296&amp;G5296&amp;L5296</f>
        <v/>
      </c>
    </row>
    <row r="5297">
      <c r="A5297" s="94" t="n"/>
      <c r="B5297" s="128" t="n">
        <v>43919</v>
      </c>
      <c r="C5297" s="94">
        <f>TEXT(B5297,"aaa")</f>
        <v/>
      </c>
      <c r="D5297" s="94" t="n"/>
      <c r="E5297" s="94" t="inlineStr">
        <is>
          <t>토너</t>
        </is>
      </c>
      <c r="F5297" s="5" t="inlineStr">
        <is>
          <t>랄라블라</t>
        </is>
      </c>
      <c r="G5297" s="94" t="inlineStr">
        <is>
          <t>250ml</t>
        </is>
      </c>
      <c r="H5297" s="7" t="n">
        <v>190801</v>
      </c>
      <c r="I5297" s="7" t="n">
        <v>190801</v>
      </c>
      <c r="J5297" s="94" t="n"/>
      <c r="K5297" s="149" t="n">
        <v>1028</v>
      </c>
      <c r="L5297" s="92" t="n">
        <v>190801</v>
      </c>
      <c r="M5297" s="94">
        <f>VLOOKUP($Q5297,매칭테이블!$F:$I,2,0)*K5297</f>
        <v/>
      </c>
      <c r="N5297" s="94">
        <f>M5297-M5297*VLOOKUP($Q5297,매칭테이블!$F:$I,3,0)</f>
        <v/>
      </c>
      <c r="O5297" s="94">
        <f>VLOOKUP($Q5297,매칭테이블!$F:$I,4,0)*K5297</f>
        <v/>
      </c>
      <c r="P5297" s="148">
        <f>M5297/1.1</f>
        <v/>
      </c>
      <c r="Q5297" s="94">
        <f>F5297&amp;E5297&amp;G5297&amp;L5297</f>
        <v/>
      </c>
    </row>
    <row r="5298">
      <c r="A5298" s="94" t="n"/>
      <c r="B5298" s="128" t="n">
        <v>43919</v>
      </c>
      <c r="C5298" s="94">
        <f>TEXT(B5298,"aaa")</f>
        <v/>
      </c>
      <c r="D5298" s="94" t="n"/>
      <c r="E5298" s="94" t="inlineStr">
        <is>
          <t>머드크림마스크</t>
        </is>
      </c>
      <c r="F5298" s="5" t="inlineStr">
        <is>
          <t>랄라블라</t>
        </is>
      </c>
      <c r="G5298" s="94" t="inlineStr">
        <is>
          <t>머드크림마스크 100ml</t>
        </is>
      </c>
      <c r="H5298" s="7" t="n">
        <v>190801</v>
      </c>
      <c r="I5298" s="7" t="n">
        <v>190801</v>
      </c>
      <c r="J5298" s="94" t="n"/>
      <c r="K5298" s="149" t="n">
        <v>10</v>
      </c>
      <c r="L5298" s="94" t="n">
        <v>190801</v>
      </c>
      <c r="M5298" s="94">
        <f>VLOOKUP($Q5298,매칭테이블!$F:$I,2,0)*K5298</f>
        <v/>
      </c>
      <c r="N5298" s="94">
        <f>M5298-M5298*VLOOKUP($Q5298,매칭테이블!$F:$I,3,0)</f>
        <v/>
      </c>
      <c r="O5298" s="94">
        <f>VLOOKUP($Q5298,매칭테이블!$F:$I,4,0)*K5298</f>
        <v/>
      </c>
      <c r="P5298" s="148">
        <f>M5298/1.1</f>
        <v/>
      </c>
      <c r="Q5298" s="94">
        <f>F5298&amp;E5298&amp;G5298&amp;L5298</f>
        <v/>
      </c>
    </row>
    <row r="5299">
      <c r="A5299" s="94" t="n"/>
      <c r="B5299" s="128" t="n">
        <v>43919</v>
      </c>
      <c r="C5299" s="94">
        <f>TEXT(B5299,"aaa")</f>
        <v/>
      </c>
      <c r="D5299" s="94" t="n"/>
      <c r="E5299" s="94" t="inlineStr">
        <is>
          <t>클렌징폼</t>
        </is>
      </c>
      <c r="F5299" s="5" t="inlineStr">
        <is>
          <t>랄라블라</t>
        </is>
      </c>
      <c r="G5299" s="94" t="inlineStr">
        <is>
          <t>클렌징폼 120ml</t>
        </is>
      </c>
      <c r="H5299" s="7" t="n">
        <v>190801</v>
      </c>
      <c r="I5299" s="7" t="n">
        <v>190801</v>
      </c>
      <c r="J5299" s="94" t="n"/>
      <c r="K5299" s="149" t="n">
        <v>12</v>
      </c>
      <c r="L5299" s="7" t="n">
        <v>190801</v>
      </c>
      <c r="M5299" s="94">
        <f>VLOOKUP($Q5299,매칭테이블!$F:$I,2,0)*K5299</f>
        <v/>
      </c>
      <c r="N5299" s="94">
        <f>M5299-M5299*VLOOKUP($Q5299,매칭테이블!$F:$I,3,0)</f>
        <v/>
      </c>
      <c r="O5299" s="94">
        <f>VLOOKUP($Q5299,매칭테이블!$F:$I,4,0)*K5299</f>
        <v/>
      </c>
      <c r="P5299" s="148">
        <f>M5299/1.1</f>
        <v/>
      </c>
      <c r="Q5299" s="94">
        <f>F5299&amp;E5299&amp;G5299&amp;L5299</f>
        <v/>
      </c>
    </row>
    <row r="5300">
      <c r="A5300" s="94" t="n"/>
      <c r="B5300" s="128" t="n">
        <v>43919</v>
      </c>
      <c r="C5300" s="94">
        <f>TEXT(B5300,"aaa")</f>
        <v/>
      </c>
      <c r="D5300" s="94" t="n"/>
      <c r="E5300" s="94" t="inlineStr">
        <is>
          <t>마스크팩</t>
        </is>
      </c>
      <c r="F5300" s="5" t="inlineStr">
        <is>
          <t>랄라블라</t>
        </is>
      </c>
      <c r="G5300" s="94" t="inlineStr">
        <is>
          <t>마스크팩 1매</t>
        </is>
      </c>
      <c r="H5300" s="7" t="n">
        <v>190801</v>
      </c>
      <c r="I5300" s="7" t="n">
        <v>190801</v>
      </c>
      <c r="J5300" s="94" t="n"/>
      <c r="K5300" s="149" t="n">
        <v>487</v>
      </c>
      <c r="L5300" s="94" t="n">
        <v>190801</v>
      </c>
      <c r="M5300" s="94">
        <f>VLOOKUP($Q5300,매칭테이블!$F:$I,2,0)*K5300</f>
        <v/>
      </c>
      <c r="N5300" s="94">
        <f>M5300-M5300*VLOOKUP($Q5300,매칭테이블!$F:$I,3,0)</f>
        <v/>
      </c>
      <c r="O5300" s="94">
        <f>VLOOKUP($Q5300,매칭테이블!$F:$I,4,0)*K5300</f>
        <v/>
      </c>
      <c r="P5300" s="148">
        <f>M5300/1.1</f>
        <v/>
      </c>
      <c r="Q5300" s="94">
        <f>F5300&amp;E5300&amp;G5300&amp;L5300</f>
        <v/>
      </c>
    </row>
    <row r="5301">
      <c r="A5301" s="94" t="n"/>
      <c r="B5301" s="128" t="n">
        <v>43920</v>
      </c>
      <c r="C5301" s="94">
        <f>TEXT(B5301,"aaa")</f>
        <v/>
      </c>
      <c r="D5301" s="94" t="n"/>
      <c r="E5301" s="6" t="inlineStr">
        <is>
          <t>토너</t>
        </is>
      </c>
      <c r="F5301" s="5" t="inlineStr">
        <is>
          <t>W컨셉</t>
        </is>
      </c>
      <c r="G5301" s="5" t="inlineStr">
        <is>
          <t>250ml</t>
        </is>
      </c>
      <c r="H5301" s="7" t="n">
        <v>190801</v>
      </c>
      <c r="I5301" s="7" t="n">
        <v>190801</v>
      </c>
      <c r="J5301" s="94" t="n"/>
      <c r="K5301" s="149" t="n">
        <v>10</v>
      </c>
      <c r="L5301" s="7" t="n">
        <v>190801</v>
      </c>
      <c r="M5301" s="94">
        <f>VLOOKUP($Q5301,매칭테이블!$F:$I,2,0)*K5301</f>
        <v/>
      </c>
      <c r="N5301" s="94">
        <f>M5301-M5301*VLOOKUP($Q5301,매칭테이블!$F:$I,3,0)</f>
        <v/>
      </c>
      <c r="O5301" s="94">
        <f>VLOOKUP($Q5301,매칭테이블!$F:$I,4,0)*K5301</f>
        <v/>
      </c>
      <c r="P5301" s="148">
        <f>M5301/1.1</f>
        <v/>
      </c>
      <c r="Q5301" s="94">
        <f>F5301&amp;E5301&amp;G5301&amp;L5301</f>
        <v/>
      </c>
    </row>
    <row r="5302">
      <c r="A5302" s="94" t="n"/>
      <c r="B5302" s="128" t="n">
        <v>43920</v>
      </c>
      <c r="C5302" s="94">
        <f>TEXT(B5302,"aaa")</f>
        <v/>
      </c>
      <c r="D5302" s="94" t="n"/>
      <c r="E5302" s="6" t="inlineStr">
        <is>
          <t>토너</t>
        </is>
      </c>
      <c r="F5302" s="5" t="inlineStr">
        <is>
          <t>W컨셉</t>
        </is>
      </c>
      <c r="G5302" s="5" t="inlineStr">
        <is>
          <t>250ml 2set</t>
        </is>
      </c>
      <c r="H5302" s="7" t="n">
        <v>190801</v>
      </c>
      <c r="I5302" s="7" t="n">
        <v>190801</v>
      </c>
      <c r="J5302" s="94" t="n"/>
      <c r="K5302" s="149" t="n">
        <v>36</v>
      </c>
      <c r="L5302" s="7" t="n">
        <v>190801</v>
      </c>
      <c r="M5302" s="94">
        <f>VLOOKUP($Q5302,매칭테이블!$F:$I,2,0)*K5302</f>
        <v/>
      </c>
      <c r="N5302" s="94">
        <f>M5302-M5302*VLOOKUP($Q5302,매칭테이블!$F:$I,3,0)</f>
        <v/>
      </c>
      <c r="O5302" s="94">
        <f>VLOOKUP($Q5302,매칭테이블!$F:$I,4,0)*K5302</f>
        <v/>
      </c>
      <c r="P5302" s="148">
        <f>M5302/1.1</f>
        <v/>
      </c>
      <c r="Q5302" s="94">
        <f>F5302&amp;E5302&amp;G5302&amp;L5302</f>
        <v/>
      </c>
    </row>
    <row r="5303">
      <c r="A5303" s="94" t="n"/>
      <c r="B5303" s="128" t="n">
        <v>43920</v>
      </c>
      <c r="C5303" s="94">
        <f>TEXT(B5303,"aaa")</f>
        <v/>
      </c>
      <c r="D5303" s="94" t="n"/>
      <c r="E5303" s="94" t="inlineStr">
        <is>
          <t>토너</t>
        </is>
      </c>
      <c r="F5303" s="5" t="inlineStr">
        <is>
          <t>스타일쉐어</t>
        </is>
      </c>
      <c r="G5303" s="94" t="inlineStr">
        <is>
          <t>250ml</t>
        </is>
      </c>
      <c r="H5303" s="7" t="n">
        <v>190801</v>
      </c>
      <c r="I5303" s="7" t="n">
        <v>190801</v>
      </c>
      <c r="J5303" s="94" t="n"/>
      <c r="K5303" s="149" t="n">
        <v>10</v>
      </c>
      <c r="L5303" s="92" t="n">
        <v>190801</v>
      </c>
      <c r="M5303" s="94">
        <f>VLOOKUP($Q5303,매칭테이블!$F:$I,2,0)*K5303</f>
        <v/>
      </c>
      <c r="N5303" s="94">
        <f>M5303-M5303*VLOOKUP($Q5303,매칭테이블!$F:$I,3,0)</f>
        <v/>
      </c>
      <c r="O5303" s="94">
        <f>VLOOKUP($Q5303,매칭테이블!$F:$I,4,0)*K5303</f>
        <v/>
      </c>
      <c r="P5303" s="148">
        <f>M5303/1.1</f>
        <v/>
      </c>
      <c r="Q5303" s="94">
        <f>F5303&amp;E5303&amp;G5303&amp;L5303</f>
        <v/>
      </c>
    </row>
    <row r="5304">
      <c r="A5304" s="94" t="n"/>
      <c r="B5304" s="128" t="n">
        <v>43920</v>
      </c>
      <c r="C5304" s="94">
        <f>TEXT(B5304,"aaa")</f>
        <v/>
      </c>
      <c r="D5304" s="94" t="n"/>
      <c r="E5304" s="94" t="inlineStr">
        <is>
          <t>머드크림마스크</t>
        </is>
      </c>
      <c r="F5304" s="94" t="inlineStr">
        <is>
          <t>카페24</t>
        </is>
      </c>
      <c r="G5304" s="94" t="inlineStr">
        <is>
          <t>머드크림마스크 100ml</t>
        </is>
      </c>
      <c r="H5304" s="7" t="n">
        <v>190801</v>
      </c>
      <c r="I5304" s="7" t="n">
        <v>190801</v>
      </c>
      <c r="J5304" s="94" t="n"/>
      <c r="K5304" s="149" t="n">
        <v>17</v>
      </c>
      <c r="L5304" s="94" t="n">
        <v>190801</v>
      </c>
      <c r="M5304" s="94">
        <f>VLOOKUP($Q5304,매칭테이블!$F:$I,2,0)*K5304</f>
        <v/>
      </c>
      <c r="N5304" s="94">
        <f>M5304-M5304*VLOOKUP($Q5304,매칭테이블!$F:$I,3,0)</f>
        <v/>
      </c>
      <c r="O5304" s="94">
        <f>VLOOKUP($Q5304,매칭테이블!$F:$I,4,0)*K5304</f>
        <v/>
      </c>
      <c r="P5304" s="148">
        <f>M5304/1.1</f>
        <v/>
      </c>
      <c r="Q5304" s="94">
        <f>F5304&amp;E5304&amp;G5304&amp;L5304</f>
        <v/>
      </c>
    </row>
    <row r="5305">
      <c r="A5305" s="94" t="n"/>
      <c r="B5305" s="128" t="n">
        <v>43920</v>
      </c>
      <c r="C5305" s="94">
        <f>TEXT(B5305,"aaa")</f>
        <v/>
      </c>
      <c r="D5305" s="94" t="n"/>
      <c r="E5305" s="94" t="inlineStr">
        <is>
          <t>머드크림마스크</t>
        </is>
      </c>
      <c r="F5305" s="94" t="inlineStr">
        <is>
          <t>카페24</t>
        </is>
      </c>
      <c r="G5305" s="94" t="inlineStr">
        <is>
          <t>머드크림마스크 100ml 2set</t>
        </is>
      </c>
      <c r="H5305" s="7" t="n">
        <v>190801</v>
      </c>
      <c r="I5305" s="7" t="n">
        <v>190801</v>
      </c>
      <c r="J5305" s="94" t="n"/>
      <c r="K5305" s="149" t="n">
        <v>3</v>
      </c>
      <c r="L5305" s="94" t="n">
        <v>190801</v>
      </c>
      <c r="M5305" s="94">
        <f>VLOOKUP($Q5305,매칭테이블!$F:$I,2,0)*K5305</f>
        <v/>
      </c>
      <c r="N5305" s="94">
        <f>M5305-M5305*VLOOKUP($Q5305,매칭테이블!$F:$I,3,0)</f>
        <v/>
      </c>
      <c r="O5305" s="94">
        <f>VLOOKUP($Q5305,매칭테이블!$F:$I,4,0)*K5305</f>
        <v/>
      </c>
      <c r="P5305" s="148">
        <f>M5305/1.1</f>
        <v/>
      </c>
      <c r="Q5305" s="94">
        <f>F5305&amp;E5305&amp;G5305&amp;L5305</f>
        <v/>
      </c>
    </row>
    <row r="5306">
      <c r="A5306" s="94" t="n"/>
      <c r="B5306" s="128" t="n">
        <v>43920</v>
      </c>
      <c r="C5306" s="94">
        <f>TEXT(B5306,"aaa")</f>
        <v/>
      </c>
      <c r="D5306" s="94" t="n"/>
      <c r="E5306" s="94" t="inlineStr">
        <is>
          <t>마스크팩</t>
        </is>
      </c>
      <c r="F5306" s="94" t="inlineStr">
        <is>
          <t>카페24</t>
        </is>
      </c>
      <c r="G5306" s="94" t="inlineStr">
        <is>
          <t>마스크팩 1매</t>
        </is>
      </c>
      <c r="H5306" s="7" t="n">
        <v>190801</v>
      </c>
      <c r="I5306" s="7" t="n">
        <v>190801</v>
      </c>
      <c r="J5306" s="94" t="n"/>
      <c r="K5306" s="149" t="n">
        <v>7</v>
      </c>
      <c r="L5306" s="94" t="n">
        <v>190801</v>
      </c>
      <c r="M5306" s="94">
        <f>VLOOKUP($Q5306,매칭테이블!$F:$I,2,0)*K5306</f>
        <v/>
      </c>
      <c r="N5306" s="94">
        <f>M5306-M5306*VLOOKUP($Q5306,매칭테이블!$F:$I,3,0)</f>
        <v/>
      </c>
      <c r="O5306" s="94">
        <f>VLOOKUP($Q5306,매칭테이블!$F:$I,4,0)*K5306</f>
        <v/>
      </c>
      <c r="P5306" s="148">
        <f>M5306/1.1</f>
        <v/>
      </c>
      <c r="Q5306" s="94">
        <f>F5306&amp;E5306&amp;G5306&amp;L5306</f>
        <v/>
      </c>
    </row>
    <row r="5307">
      <c r="A5307" s="94" t="n"/>
      <c r="B5307" s="128" t="n">
        <v>43920</v>
      </c>
      <c r="C5307" s="94">
        <f>TEXT(B5307,"aaa")</f>
        <v/>
      </c>
      <c r="D5307" s="94" t="n"/>
      <c r="E5307" s="94" t="inlineStr">
        <is>
          <t>마스크팩</t>
        </is>
      </c>
      <c r="F5307" s="94" t="inlineStr">
        <is>
          <t>카페24</t>
        </is>
      </c>
      <c r="G5307" s="94" t="inlineStr">
        <is>
          <t>마스크팩 10매</t>
        </is>
      </c>
      <c r="H5307" s="7" t="n">
        <v>190801</v>
      </c>
      <c r="I5307" s="7" t="n">
        <v>190801</v>
      </c>
      <c r="J5307" s="94" t="n"/>
      <c r="K5307" s="149" t="n">
        <v>12</v>
      </c>
      <c r="L5307" s="94" t="n">
        <v>190801</v>
      </c>
      <c r="M5307" s="94">
        <f>VLOOKUP($Q5307,매칭테이블!$F:$I,2,0)*K5307</f>
        <v/>
      </c>
      <c r="N5307" s="94">
        <f>M5307-M5307*VLOOKUP($Q5307,매칭테이블!$F:$I,3,0)</f>
        <v/>
      </c>
      <c r="O5307" s="94">
        <f>VLOOKUP($Q5307,매칭테이블!$F:$I,4,0)*K5307</f>
        <v/>
      </c>
      <c r="P5307" s="148">
        <f>M5307/1.1</f>
        <v/>
      </c>
      <c r="Q5307" s="94">
        <f>F5307&amp;E5307&amp;G5307&amp;L5307</f>
        <v/>
      </c>
    </row>
    <row r="5308">
      <c r="A5308" s="94" t="n"/>
      <c r="B5308" s="128" t="n">
        <v>43920</v>
      </c>
      <c r="C5308" s="94">
        <f>TEXT(B5308,"aaa")</f>
        <v/>
      </c>
      <c r="D5308" s="94" t="n"/>
      <c r="E5308" s="6" t="inlineStr">
        <is>
          <t>토너</t>
        </is>
      </c>
      <c r="F5308" s="5" t="inlineStr">
        <is>
          <t>카페24</t>
        </is>
      </c>
      <c r="G5308" s="5" t="inlineStr">
        <is>
          <t>250ml</t>
        </is>
      </c>
      <c r="H5308" s="7" t="n">
        <v>190801</v>
      </c>
      <c r="I5308" s="7" t="n">
        <v>190801</v>
      </c>
      <c r="J5308" s="94" t="n"/>
      <c r="K5308" s="149" t="n">
        <v>91</v>
      </c>
      <c r="L5308" s="7" t="n">
        <v>190801</v>
      </c>
      <c r="M5308" s="94">
        <f>VLOOKUP($Q5308,매칭테이블!$F:$I,2,0)*K5308</f>
        <v/>
      </c>
      <c r="N5308" s="94">
        <f>M5308-M5308*VLOOKUP($Q5308,매칭테이블!$F:$I,3,0)</f>
        <v/>
      </c>
      <c r="O5308" s="94">
        <f>VLOOKUP($Q5308,매칭테이블!$F:$I,4,0)*K5308</f>
        <v/>
      </c>
      <c r="P5308" s="148">
        <f>M5308/1.1</f>
        <v/>
      </c>
      <c r="Q5308" s="94">
        <f>F5308&amp;E5308&amp;G5308&amp;L5308</f>
        <v/>
      </c>
    </row>
    <row r="5309">
      <c r="A5309" s="94" t="n"/>
      <c r="B5309" s="128" t="n">
        <v>43920</v>
      </c>
      <c r="C5309" s="94">
        <f>TEXT(B5309,"aaa")</f>
        <v/>
      </c>
      <c r="D5309" s="94" t="n"/>
      <c r="E5309" s="6" t="inlineStr">
        <is>
          <t>토너</t>
        </is>
      </c>
      <c r="F5309" s="5" t="inlineStr">
        <is>
          <t>카페24</t>
        </is>
      </c>
      <c r="G5309" s="5" t="inlineStr">
        <is>
          <t>250ml 2set</t>
        </is>
      </c>
      <c r="H5309" s="7" t="n">
        <v>190801</v>
      </c>
      <c r="I5309" s="7" t="n">
        <v>190801</v>
      </c>
      <c r="J5309" s="94" t="n"/>
      <c r="K5309" s="149" t="n">
        <v>50</v>
      </c>
      <c r="L5309" s="7" t="n">
        <v>190801</v>
      </c>
      <c r="M5309" s="94">
        <f>VLOOKUP($Q5309,매칭테이블!$F:$I,2,0)*K5309</f>
        <v/>
      </c>
      <c r="N5309" s="94">
        <f>M5309-M5309*VLOOKUP($Q5309,매칭테이블!$F:$I,3,0)</f>
        <v/>
      </c>
      <c r="O5309" s="94">
        <f>VLOOKUP($Q5309,매칭테이블!$F:$I,4,0)*K5309</f>
        <v/>
      </c>
      <c r="P5309" s="148">
        <f>M5309/1.1</f>
        <v/>
      </c>
      <c r="Q5309" s="94">
        <f>F5309&amp;E5309&amp;G5309&amp;L5309</f>
        <v/>
      </c>
    </row>
    <row r="5310">
      <c r="A5310" s="94" t="n"/>
      <c r="B5310" s="128" t="n">
        <v>43920</v>
      </c>
      <c r="C5310" s="94">
        <f>TEXT(B5310,"aaa")</f>
        <v/>
      </c>
      <c r="D5310" s="94" t="n"/>
      <c r="E5310" s="6" t="inlineStr">
        <is>
          <t>토너</t>
        </is>
      </c>
      <c r="F5310" s="5" t="inlineStr">
        <is>
          <t>카페24</t>
        </is>
      </c>
      <c r="G5310" s="5" t="inlineStr">
        <is>
          <t>500ml</t>
        </is>
      </c>
      <c r="H5310" s="7" t="n">
        <v>190801</v>
      </c>
      <c r="I5310" s="7" t="n">
        <v>190801</v>
      </c>
      <c r="J5310" s="94" t="n"/>
      <c r="K5310" s="149" t="n">
        <v>119</v>
      </c>
      <c r="L5310" s="7" t="n">
        <v>190801</v>
      </c>
      <c r="M5310" s="94">
        <f>VLOOKUP($Q5310,매칭테이블!$F:$I,2,0)*K5310</f>
        <v/>
      </c>
      <c r="N5310" s="94">
        <f>M5310-M5310*VLOOKUP($Q5310,매칭테이블!$F:$I,3,0)</f>
        <v/>
      </c>
      <c r="O5310" s="94">
        <f>VLOOKUP($Q5310,매칭테이블!$F:$I,4,0)*K5310</f>
        <v/>
      </c>
      <c r="P5310" s="148">
        <f>M5310/1.1</f>
        <v/>
      </c>
      <c r="Q5310" s="94">
        <f>F5310&amp;E5310&amp;G5310&amp;L5310</f>
        <v/>
      </c>
    </row>
    <row r="5311">
      <c r="A5311" s="94" t="n"/>
      <c r="B5311" s="128" t="n">
        <v>43920</v>
      </c>
      <c r="C5311" s="94">
        <f>TEXT(B5311,"aaa")</f>
        <v/>
      </c>
      <c r="D5311" s="94" t="n"/>
      <c r="E5311" s="94" t="inlineStr">
        <is>
          <t>클렌징폼</t>
        </is>
      </c>
      <c r="F5311" s="5" t="inlineStr">
        <is>
          <t>카페24</t>
        </is>
      </c>
      <c r="G5311" s="94" t="inlineStr">
        <is>
          <t>클렌징폼 120ml</t>
        </is>
      </c>
      <c r="H5311" s="7" t="n">
        <v>190801</v>
      </c>
      <c r="I5311" s="7" t="n">
        <v>190801</v>
      </c>
      <c r="J5311" s="94" t="n"/>
      <c r="K5311" s="149" t="n">
        <v>22</v>
      </c>
      <c r="L5311" s="7" t="n">
        <v>190801</v>
      </c>
      <c r="M5311" s="94">
        <f>VLOOKUP($Q5311,매칭테이블!$F:$I,2,0)*K5311</f>
        <v/>
      </c>
      <c r="N5311" s="94">
        <f>M5311-M5311*VLOOKUP($Q5311,매칭테이블!$F:$I,3,0)</f>
        <v/>
      </c>
      <c r="O5311" s="94">
        <f>VLOOKUP($Q5311,매칭테이블!$F:$I,4,0)*K5311</f>
        <v/>
      </c>
      <c r="P5311" s="148">
        <f>M5311/1.1</f>
        <v/>
      </c>
      <c r="Q5311" s="94">
        <f>F5311&amp;E5311&amp;G5311&amp;L5311</f>
        <v/>
      </c>
    </row>
    <row r="5312">
      <c r="A5312" s="94" t="n"/>
      <c r="B5312" s="128" t="n">
        <v>43920</v>
      </c>
      <c r="C5312" s="94">
        <f>TEXT(B5312,"aaa")</f>
        <v/>
      </c>
      <c r="D5312" s="94" t="n"/>
      <c r="E5312" s="6" t="inlineStr">
        <is>
          <t>토너</t>
        </is>
      </c>
      <c r="F5312" s="5" t="inlineStr">
        <is>
          <t>카페24</t>
        </is>
      </c>
      <c r="G5312" s="94" t="inlineStr">
        <is>
          <t>스킨팩 화장솜 60P</t>
        </is>
      </c>
      <c r="H5312" s="7" t="n">
        <v>190801</v>
      </c>
      <c r="I5312" s="7" t="n">
        <v>190801</v>
      </c>
      <c r="J5312" s="94" t="n"/>
      <c r="K5312" s="149" t="n">
        <v>92</v>
      </c>
      <c r="L5312" s="7" t="n">
        <v>190801</v>
      </c>
      <c r="M5312" s="94">
        <f>VLOOKUP($Q5312,매칭테이블!$F:$I,2,0)*K5312</f>
        <v/>
      </c>
      <c r="N5312" s="94">
        <f>M5312-M5312*VLOOKUP($Q5312,매칭테이블!$F:$I,3,0)</f>
        <v/>
      </c>
      <c r="O5312" s="94">
        <f>VLOOKUP($Q5312,매칭테이블!$F:$I,4,0)*K5312</f>
        <v/>
      </c>
      <c r="P5312" s="148">
        <f>M5312/1.1</f>
        <v/>
      </c>
      <c r="Q5312" s="94">
        <f>F5312&amp;E5312&amp;G5312&amp;L5312</f>
        <v/>
      </c>
    </row>
    <row r="5313">
      <c r="A5313" s="94" t="n"/>
      <c r="B5313" s="128" t="n">
        <v>43920</v>
      </c>
      <c r="C5313" s="94">
        <f>TEXT(B5313,"aaa")</f>
        <v/>
      </c>
      <c r="D5313" s="94" t="n"/>
      <c r="E5313" s="94" t="inlineStr">
        <is>
          <t>토너</t>
        </is>
      </c>
      <c r="F5313" s="94" t="inlineStr">
        <is>
          <t>아누아 CS</t>
        </is>
      </c>
      <c r="G5313" s="94" t="inlineStr">
        <is>
          <t>250ml</t>
        </is>
      </c>
      <c r="H5313" s="7" t="n">
        <v>190801</v>
      </c>
      <c r="I5313" s="7" t="n">
        <v>190801</v>
      </c>
      <c r="J5313" s="94" t="n"/>
      <c r="K5313" s="149" t="n">
        <v>2</v>
      </c>
      <c r="L5313" s="92" t="n">
        <v>190801</v>
      </c>
      <c r="M5313" s="94">
        <f>VLOOKUP($Q5313,매칭테이블!$F:$I,2,0)*K5313</f>
        <v/>
      </c>
      <c r="N5313" s="94">
        <f>M5313-M5313*VLOOKUP($Q5313,매칭테이블!$F:$I,3,0)</f>
        <v/>
      </c>
      <c r="O5313" s="94">
        <f>VLOOKUP($Q5313,매칭테이블!$F:$I,4,0)*K5313</f>
        <v/>
      </c>
      <c r="P5313" s="148">
        <f>M5313/1.1</f>
        <v/>
      </c>
      <c r="Q5313" s="94">
        <f>F5313&amp;E5313&amp;G5313&amp;L5313</f>
        <v/>
      </c>
    </row>
    <row r="5314">
      <c r="A5314" s="94" t="n"/>
      <c r="B5314" s="128" t="n">
        <v>43920</v>
      </c>
      <c r="C5314" s="94">
        <f>TEXT(B5314,"aaa")</f>
        <v/>
      </c>
      <c r="D5314" s="94" t="n"/>
      <c r="E5314" s="6" t="inlineStr">
        <is>
          <t>토너</t>
        </is>
      </c>
      <c r="F5314" s="94" t="inlineStr">
        <is>
          <t>아누아 CS</t>
        </is>
      </c>
      <c r="G5314" s="94" t="inlineStr">
        <is>
          <t>스킨팩 화장솜 60P</t>
        </is>
      </c>
      <c r="H5314" s="7" t="n">
        <v>190801</v>
      </c>
      <c r="I5314" s="7" t="n">
        <v>190801</v>
      </c>
      <c r="J5314" s="94" t="n"/>
      <c r="K5314" s="149" t="n">
        <v>2</v>
      </c>
      <c r="L5314" s="7" t="n">
        <v>190801</v>
      </c>
      <c r="M5314" s="94">
        <f>VLOOKUP($Q5314,매칭테이블!$F:$I,2,0)*K5314</f>
        <v/>
      </c>
      <c r="N5314" s="94">
        <f>M5314-M5314*VLOOKUP($Q5314,매칭테이블!$F:$I,3,0)</f>
        <v/>
      </c>
      <c r="O5314" s="94">
        <f>VLOOKUP($Q5314,매칭테이블!$F:$I,4,0)*K5314</f>
        <v/>
      </c>
      <c r="P5314" s="148">
        <f>M5314/1.1</f>
        <v/>
      </c>
      <c r="Q5314" s="94">
        <f>F5314&amp;E5314&amp;G5314&amp;L5314</f>
        <v/>
      </c>
    </row>
    <row r="5315">
      <c r="A5315" s="94" t="n"/>
      <c r="B5315" s="128" t="n">
        <v>43920</v>
      </c>
      <c r="C5315" s="94">
        <f>TEXT(B5315,"aaa")</f>
        <v/>
      </c>
      <c r="D5315" s="94" t="n"/>
      <c r="E5315" s="94" t="inlineStr">
        <is>
          <t>토너</t>
        </is>
      </c>
      <c r="F5315" s="94" t="inlineStr">
        <is>
          <t>큐텐</t>
        </is>
      </c>
      <c r="G5315" s="94" t="inlineStr">
        <is>
          <t>250ml</t>
        </is>
      </c>
      <c r="H5315" s="7" t="n">
        <v>190801</v>
      </c>
      <c r="I5315" s="7" t="n">
        <v>190801</v>
      </c>
      <c r="J5315" s="94" t="n"/>
      <c r="K5315" s="149" t="n">
        <v>61</v>
      </c>
      <c r="L5315" s="92" t="n">
        <v>190801</v>
      </c>
      <c r="M5315" s="94">
        <f>VLOOKUP($Q5315,매칭테이블!$F:$I,2,0)*K5315</f>
        <v/>
      </c>
      <c r="N5315" s="94">
        <f>M5315-M5315*VLOOKUP($Q5315,매칭테이블!$F:$I,3,0)</f>
        <v/>
      </c>
      <c r="O5315" s="94">
        <f>VLOOKUP($Q5315,매칭테이블!$F:$I,4,0)*K5315</f>
        <v/>
      </c>
      <c r="P5315" s="148">
        <f>M5315/1.1</f>
        <v/>
      </c>
      <c r="Q5315" s="94">
        <f>F5315&amp;E5315&amp;G5315&amp;L5315</f>
        <v/>
      </c>
    </row>
    <row r="5316">
      <c r="A5316" s="94" t="n"/>
      <c r="B5316" s="128" t="n">
        <v>43920</v>
      </c>
      <c r="C5316" s="94">
        <f>TEXT(B5316,"aaa")</f>
        <v/>
      </c>
      <c r="D5316" s="94" t="n"/>
      <c r="E5316" s="94" t="inlineStr">
        <is>
          <t>토너</t>
        </is>
      </c>
      <c r="F5316" s="94" t="inlineStr">
        <is>
          <t>큐텐</t>
        </is>
      </c>
      <c r="G5316" s="94" t="inlineStr">
        <is>
          <t>250ml 2set</t>
        </is>
      </c>
      <c r="H5316" s="7" t="n">
        <v>190801</v>
      </c>
      <c r="I5316" s="7" t="n">
        <v>190801</v>
      </c>
      <c r="J5316" s="94" t="n"/>
      <c r="K5316" s="149" t="n">
        <v>17</v>
      </c>
      <c r="L5316" s="92" t="n">
        <v>190801</v>
      </c>
      <c r="M5316" s="94">
        <f>VLOOKUP($Q5316,매칭테이블!$F:$I,2,0)*K5316</f>
        <v/>
      </c>
      <c r="N5316" s="94">
        <f>M5316-M5316*VLOOKUP($Q5316,매칭테이블!$F:$I,3,0)</f>
        <v/>
      </c>
      <c r="O5316" s="94">
        <f>VLOOKUP($Q5316,매칭테이블!$F:$I,4,0)*K5316</f>
        <v/>
      </c>
      <c r="P5316" s="148">
        <f>M5316/1.1</f>
        <v/>
      </c>
      <c r="Q5316" s="94">
        <f>F5316&amp;E5316&amp;G5316&amp;L5316</f>
        <v/>
      </c>
    </row>
    <row r="5317">
      <c r="A5317" s="94" t="n"/>
      <c r="B5317" s="128" t="n">
        <v>43920</v>
      </c>
      <c r="C5317" s="94">
        <f>TEXT(B5317,"aaa")</f>
        <v/>
      </c>
      <c r="D5317" s="94" t="n"/>
      <c r="E5317" s="94" t="inlineStr">
        <is>
          <t>클렌징폼</t>
        </is>
      </c>
      <c r="F5317" s="94" t="inlineStr">
        <is>
          <t>큐텐</t>
        </is>
      </c>
      <c r="G5317" s="94" t="inlineStr">
        <is>
          <t>클렌징폼 120ml</t>
        </is>
      </c>
      <c r="H5317" s="7" t="n">
        <v>190801</v>
      </c>
      <c r="I5317" s="7" t="n">
        <v>190801</v>
      </c>
      <c r="J5317" s="94" t="n"/>
      <c r="K5317" s="149" t="n">
        <v>1</v>
      </c>
      <c r="L5317" s="7" t="n">
        <v>190801</v>
      </c>
      <c r="M5317" s="94">
        <f>VLOOKUP($Q5317,매칭테이블!$F:$I,2,0)*K5317</f>
        <v/>
      </c>
      <c r="N5317" s="94">
        <f>M5317-M5317*VLOOKUP($Q5317,매칭테이블!$F:$I,3,0)</f>
        <v/>
      </c>
      <c r="O5317" s="94">
        <f>VLOOKUP($Q5317,매칭테이블!$F:$I,4,0)*K5317</f>
        <v/>
      </c>
      <c r="P5317" s="148">
        <f>M5317/1.1</f>
        <v/>
      </c>
      <c r="Q5317" s="94">
        <f>F5317&amp;E5317&amp;G5317&amp;L5317</f>
        <v/>
      </c>
    </row>
    <row r="5318">
      <c r="A5318" s="94" t="n"/>
      <c r="B5318" s="128" t="n">
        <v>43921</v>
      </c>
      <c r="C5318" s="94">
        <f>TEXT(B5318,"aaa")</f>
        <v/>
      </c>
      <c r="D5318" s="94" t="n"/>
      <c r="E5318" s="6" t="inlineStr">
        <is>
          <t>토너</t>
        </is>
      </c>
      <c r="F5318" s="5" t="inlineStr">
        <is>
          <t>W컨셉</t>
        </is>
      </c>
      <c r="G5318" s="5" t="inlineStr">
        <is>
          <t>250ml</t>
        </is>
      </c>
      <c r="H5318" s="7" t="n">
        <v>190801</v>
      </c>
      <c r="I5318" s="7" t="n">
        <v>190801</v>
      </c>
      <c r="J5318" s="94" t="n"/>
      <c r="K5318" s="149" t="n">
        <v>1</v>
      </c>
      <c r="L5318" s="7" t="n">
        <v>190801</v>
      </c>
      <c r="M5318" s="94">
        <f>VLOOKUP($Q5318,매칭테이블!$F:$I,2,0)*K5318</f>
        <v/>
      </c>
      <c r="N5318" s="94">
        <f>M5318-M5318*VLOOKUP($Q5318,매칭테이블!$F:$I,3,0)</f>
        <v/>
      </c>
      <c r="O5318" s="94">
        <f>VLOOKUP($Q5318,매칭테이블!$F:$I,4,0)*K5318</f>
        <v/>
      </c>
      <c r="P5318" s="148">
        <f>M5318/1.1</f>
        <v/>
      </c>
      <c r="Q5318" s="94">
        <f>F5318&amp;E5318&amp;G5318&amp;L5318</f>
        <v/>
      </c>
    </row>
    <row r="5319">
      <c r="A5319" s="94" t="n"/>
      <c r="B5319" s="128" t="n">
        <v>43921</v>
      </c>
      <c r="C5319" s="94">
        <f>TEXT(B5319,"aaa")</f>
        <v/>
      </c>
      <c r="D5319" s="94" t="n"/>
      <c r="E5319" s="6" t="inlineStr">
        <is>
          <t>토너</t>
        </is>
      </c>
      <c r="F5319" s="5" t="inlineStr">
        <is>
          <t>W컨셉</t>
        </is>
      </c>
      <c r="G5319" s="5" t="inlineStr">
        <is>
          <t>250ml 2set</t>
        </is>
      </c>
      <c r="H5319" s="7" t="n">
        <v>190801</v>
      </c>
      <c r="I5319" s="7" t="n">
        <v>190801</v>
      </c>
      <c r="J5319" s="94" t="n"/>
      <c r="K5319" s="149" t="n">
        <v>61</v>
      </c>
      <c r="L5319" s="7" t="n">
        <v>190801</v>
      </c>
      <c r="M5319" s="94">
        <f>VLOOKUP($Q5319,매칭테이블!$F:$I,2,0)*K5319</f>
        <v/>
      </c>
      <c r="N5319" s="94">
        <f>M5319-M5319*VLOOKUP($Q5319,매칭테이블!$F:$I,3,0)</f>
        <v/>
      </c>
      <c r="O5319" s="94">
        <f>VLOOKUP($Q5319,매칭테이블!$F:$I,4,0)*K5319</f>
        <v/>
      </c>
      <c r="P5319" s="148">
        <f>M5319/1.1</f>
        <v/>
      </c>
      <c r="Q5319" s="94">
        <f>F5319&amp;E5319&amp;G5319&amp;L5319</f>
        <v/>
      </c>
    </row>
    <row r="5320">
      <c r="A5320" s="94" t="n"/>
      <c r="B5320" s="128" t="n">
        <v>43921</v>
      </c>
      <c r="C5320" s="94">
        <f>TEXT(B5320,"aaa")</f>
        <v/>
      </c>
      <c r="D5320" s="94" t="n"/>
      <c r="E5320" s="94" t="inlineStr">
        <is>
          <t>토너</t>
        </is>
      </c>
      <c r="F5320" s="5" t="inlineStr">
        <is>
          <t>스타일쉐어</t>
        </is>
      </c>
      <c r="G5320" s="94" t="inlineStr">
        <is>
          <t>250ml</t>
        </is>
      </c>
      <c r="H5320" s="7" t="n">
        <v>190801</v>
      </c>
      <c r="I5320" s="7" t="n">
        <v>190801</v>
      </c>
      <c r="J5320" s="94" t="n"/>
      <c r="K5320" s="149" t="n">
        <v>14</v>
      </c>
      <c r="L5320" s="92" t="n">
        <v>190801</v>
      </c>
      <c r="M5320" s="94">
        <f>VLOOKUP($Q5320,매칭테이블!$F:$I,2,0)*K5320</f>
        <v/>
      </c>
      <c r="N5320" s="94">
        <f>M5320-M5320*VLOOKUP($Q5320,매칭테이블!$F:$I,3,0)</f>
        <v/>
      </c>
      <c r="O5320" s="94">
        <f>VLOOKUP($Q5320,매칭테이블!$F:$I,4,0)*K5320</f>
        <v/>
      </c>
      <c r="P5320" s="148">
        <f>M5320/1.1</f>
        <v/>
      </c>
      <c r="Q5320" s="94">
        <f>F5320&amp;E5320&amp;G5320&amp;L5320</f>
        <v/>
      </c>
    </row>
    <row r="5321">
      <c r="A5321" s="94" t="n"/>
      <c r="B5321" s="128" t="n">
        <v>43921</v>
      </c>
      <c r="C5321" s="94">
        <f>TEXT(B5321,"aaa")</f>
        <v/>
      </c>
      <c r="D5321" s="94" t="n"/>
      <c r="E5321" s="94" t="inlineStr">
        <is>
          <t>토너</t>
        </is>
      </c>
      <c r="F5321" s="94" t="inlineStr">
        <is>
          <t>글로우데이즈 시코르</t>
        </is>
      </c>
      <c r="G5321" s="94" t="inlineStr">
        <is>
          <t>250ml</t>
        </is>
      </c>
      <c r="H5321" s="7" t="n">
        <v>190801</v>
      </c>
      <c r="I5321" s="7" t="n">
        <v>190801</v>
      </c>
      <c r="J5321" s="94" t="n"/>
      <c r="K5321" s="149" t="n">
        <v>7</v>
      </c>
      <c r="L5321" s="92" t="n">
        <v>190801</v>
      </c>
      <c r="M5321" s="94">
        <f>VLOOKUP($Q5321,매칭테이블!$F:$I,2,0)*K5321</f>
        <v/>
      </c>
      <c r="N5321" s="94">
        <f>M5321-M5321*VLOOKUP($Q5321,매칭테이블!$F:$I,3,0)</f>
        <v/>
      </c>
      <c r="O5321" s="94">
        <f>VLOOKUP($Q5321,매칭테이블!$F:$I,4,0)*K5321</f>
        <v/>
      </c>
      <c r="P5321" s="148">
        <f>M5321/1.1</f>
        <v/>
      </c>
      <c r="Q5321" s="94">
        <f>F5321&amp;E5321&amp;G5321&amp;L5321</f>
        <v/>
      </c>
    </row>
    <row r="5322">
      <c r="A5322" s="94" t="n"/>
      <c r="B5322" s="128" t="n">
        <v>43921</v>
      </c>
      <c r="C5322" s="94">
        <f>TEXT(B5322,"aaa")</f>
        <v/>
      </c>
      <c r="D5322" s="94" t="n"/>
      <c r="E5322" s="94" t="inlineStr">
        <is>
          <t>머드크림마스크</t>
        </is>
      </c>
      <c r="F5322" s="94" t="inlineStr">
        <is>
          <t>카페24</t>
        </is>
      </c>
      <c r="G5322" s="94" t="inlineStr">
        <is>
          <t>머드크림마스크 100ml</t>
        </is>
      </c>
      <c r="H5322" s="7" t="n">
        <v>190801</v>
      </c>
      <c r="I5322" s="7" t="n">
        <v>190801</v>
      </c>
      <c r="J5322" s="94" t="n"/>
      <c r="K5322" s="149" t="n">
        <v>11</v>
      </c>
      <c r="L5322" s="94" t="n">
        <v>190801</v>
      </c>
      <c r="M5322" s="94">
        <f>VLOOKUP($Q5322,매칭테이블!$F:$I,2,0)*K5322</f>
        <v/>
      </c>
      <c r="N5322" s="94">
        <f>M5322-M5322*VLOOKUP($Q5322,매칭테이블!$F:$I,3,0)</f>
        <v/>
      </c>
      <c r="O5322" s="94">
        <f>VLOOKUP($Q5322,매칭테이블!$F:$I,4,0)*K5322</f>
        <v/>
      </c>
      <c r="P5322" s="148">
        <f>M5322/1.1</f>
        <v/>
      </c>
      <c r="Q5322" s="94">
        <f>F5322&amp;E5322&amp;G5322&amp;L5322</f>
        <v/>
      </c>
    </row>
    <row r="5323">
      <c r="A5323" s="94" t="n"/>
      <c r="B5323" s="128" t="n">
        <v>43921</v>
      </c>
      <c r="C5323" s="94">
        <f>TEXT(B5323,"aaa")</f>
        <v/>
      </c>
      <c r="D5323" s="94" t="n"/>
      <c r="E5323" s="94" t="inlineStr">
        <is>
          <t>머드크림마스크</t>
        </is>
      </c>
      <c r="F5323" s="94" t="inlineStr">
        <is>
          <t>카페24</t>
        </is>
      </c>
      <c r="G5323" s="94" t="inlineStr">
        <is>
          <t>머드크림마스크 100ml 2set</t>
        </is>
      </c>
      <c r="H5323" s="7" t="n">
        <v>190801</v>
      </c>
      <c r="I5323" s="7" t="n">
        <v>190801</v>
      </c>
      <c r="J5323" s="94" t="n"/>
      <c r="K5323" s="149" t="n">
        <v>7</v>
      </c>
      <c r="L5323" s="94" t="n">
        <v>190801</v>
      </c>
      <c r="M5323" s="94">
        <f>VLOOKUP($Q5323,매칭테이블!$F:$I,2,0)*K5323</f>
        <v/>
      </c>
      <c r="N5323" s="94">
        <f>M5323-M5323*VLOOKUP($Q5323,매칭테이블!$F:$I,3,0)</f>
        <v/>
      </c>
      <c r="O5323" s="94">
        <f>VLOOKUP($Q5323,매칭테이블!$F:$I,4,0)*K5323</f>
        <v/>
      </c>
      <c r="P5323" s="148">
        <f>M5323/1.1</f>
        <v/>
      </c>
      <c r="Q5323" s="94">
        <f>F5323&amp;E5323&amp;G5323&amp;L5323</f>
        <v/>
      </c>
    </row>
    <row r="5324">
      <c r="A5324" s="94" t="n"/>
      <c r="B5324" s="128" t="n">
        <v>43921</v>
      </c>
      <c r="C5324" s="94">
        <f>TEXT(B5324,"aaa")</f>
        <v/>
      </c>
      <c r="D5324" s="94" t="n"/>
      <c r="E5324" s="94" t="inlineStr">
        <is>
          <t>마스크팩</t>
        </is>
      </c>
      <c r="F5324" s="94" t="inlineStr">
        <is>
          <t>카페24</t>
        </is>
      </c>
      <c r="G5324" s="94" t="inlineStr">
        <is>
          <t>마스크팩 1매</t>
        </is>
      </c>
      <c r="H5324" s="7" t="n">
        <v>190801</v>
      </c>
      <c r="I5324" s="7" t="n">
        <v>190801</v>
      </c>
      <c r="J5324" s="94" t="n"/>
      <c r="K5324" s="149" t="n">
        <v>5</v>
      </c>
      <c r="L5324" s="94" t="n">
        <v>190801</v>
      </c>
      <c r="M5324" s="94">
        <f>VLOOKUP($Q5324,매칭테이블!$F:$I,2,0)*K5324</f>
        <v/>
      </c>
      <c r="N5324" s="94">
        <f>M5324-M5324*VLOOKUP($Q5324,매칭테이블!$F:$I,3,0)</f>
        <v/>
      </c>
      <c r="O5324" s="94">
        <f>VLOOKUP($Q5324,매칭테이블!$F:$I,4,0)*K5324</f>
        <v/>
      </c>
      <c r="P5324" s="148">
        <f>M5324/1.1</f>
        <v/>
      </c>
      <c r="Q5324" s="94">
        <f>F5324&amp;E5324&amp;G5324&amp;L5324</f>
        <v/>
      </c>
    </row>
    <row r="5325">
      <c r="A5325" s="94" t="n"/>
      <c r="B5325" s="128" t="n">
        <v>43921</v>
      </c>
      <c r="C5325" s="94">
        <f>TEXT(B5325,"aaa")</f>
        <v/>
      </c>
      <c r="D5325" s="94" t="n"/>
      <c r="E5325" s="94" t="inlineStr">
        <is>
          <t>마스크팩</t>
        </is>
      </c>
      <c r="F5325" s="94" t="inlineStr">
        <is>
          <t>카페24</t>
        </is>
      </c>
      <c r="G5325" s="94" t="inlineStr">
        <is>
          <t>마스크팩 10매</t>
        </is>
      </c>
      <c r="H5325" s="7" t="n">
        <v>190801</v>
      </c>
      <c r="I5325" s="7" t="n">
        <v>190801</v>
      </c>
      <c r="J5325" s="94" t="n"/>
      <c r="K5325" s="149" t="n">
        <v>23</v>
      </c>
      <c r="L5325" s="94" t="n">
        <v>190801</v>
      </c>
      <c r="M5325" s="94">
        <f>VLOOKUP($Q5325,매칭테이블!$F:$I,2,0)*K5325</f>
        <v/>
      </c>
      <c r="N5325" s="94">
        <f>M5325-M5325*VLOOKUP($Q5325,매칭테이블!$F:$I,3,0)</f>
        <v/>
      </c>
      <c r="O5325" s="94">
        <f>VLOOKUP($Q5325,매칭테이블!$F:$I,4,0)*K5325</f>
        <v/>
      </c>
      <c r="P5325" s="148">
        <f>M5325/1.1</f>
        <v/>
      </c>
      <c r="Q5325" s="94">
        <f>F5325&amp;E5325&amp;G5325&amp;L5325</f>
        <v/>
      </c>
    </row>
    <row r="5326">
      <c r="A5326" s="94" t="n"/>
      <c r="B5326" s="128" t="n">
        <v>43921</v>
      </c>
      <c r="C5326" s="94">
        <f>TEXT(B5326,"aaa")</f>
        <v/>
      </c>
      <c r="D5326" s="94" t="n"/>
      <c r="E5326" s="6" t="inlineStr">
        <is>
          <t>토너</t>
        </is>
      </c>
      <c r="F5326" s="5" t="inlineStr">
        <is>
          <t>카페24</t>
        </is>
      </c>
      <c r="G5326" s="5" t="inlineStr">
        <is>
          <t>250ml</t>
        </is>
      </c>
      <c r="H5326" s="7" t="n">
        <v>190801</v>
      </c>
      <c r="I5326" s="7" t="n">
        <v>190801</v>
      </c>
      <c r="J5326" s="94" t="n"/>
      <c r="K5326" s="149" t="n">
        <v>75</v>
      </c>
      <c r="L5326" s="7" t="n">
        <v>190801</v>
      </c>
      <c r="M5326" s="94">
        <f>VLOOKUP($Q5326,매칭테이블!$F:$I,2,0)*K5326</f>
        <v/>
      </c>
      <c r="N5326" s="94">
        <f>M5326-M5326*VLOOKUP($Q5326,매칭테이블!$F:$I,3,0)</f>
        <v/>
      </c>
      <c r="O5326" s="94">
        <f>VLOOKUP($Q5326,매칭테이블!$F:$I,4,0)*K5326</f>
        <v/>
      </c>
      <c r="P5326" s="148">
        <f>M5326/1.1</f>
        <v/>
      </c>
      <c r="Q5326" s="94">
        <f>F5326&amp;E5326&amp;G5326&amp;L5326</f>
        <v/>
      </c>
    </row>
    <row r="5327">
      <c r="A5327" s="94" t="n"/>
      <c r="B5327" s="128" t="n">
        <v>43921</v>
      </c>
      <c r="C5327" s="94">
        <f>TEXT(B5327,"aaa")</f>
        <v/>
      </c>
      <c r="D5327" s="94" t="n"/>
      <c r="E5327" s="6" t="inlineStr">
        <is>
          <t>토너</t>
        </is>
      </c>
      <c r="F5327" s="5" t="inlineStr">
        <is>
          <t>카페24</t>
        </is>
      </c>
      <c r="G5327" s="5" t="inlineStr">
        <is>
          <t>250ml 2set</t>
        </is>
      </c>
      <c r="H5327" s="7" t="n">
        <v>190801</v>
      </c>
      <c r="I5327" s="7" t="n">
        <v>190801</v>
      </c>
      <c r="J5327" s="94" t="n"/>
      <c r="K5327" s="149" t="n">
        <v>49</v>
      </c>
      <c r="L5327" s="7" t="n">
        <v>190801</v>
      </c>
      <c r="M5327" s="94">
        <f>VLOOKUP($Q5327,매칭테이블!$F:$I,2,0)*K5327</f>
        <v/>
      </c>
      <c r="N5327" s="94">
        <f>M5327-M5327*VLOOKUP($Q5327,매칭테이블!$F:$I,3,0)</f>
        <v/>
      </c>
      <c r="O5327" s="94">
        <f>VLOOKUP($Q5327,매칭테이블!$F:$I,4,0)*K5327</f>
        <v/>
      </c>
      <c r="P5327" s="148">
        <f>M5327/1.1</f>
        <v/>
      </c>
      <c r="Q5327" s="94">
        <f>F5327&amp;E5327&amp;G5327&amp;L5327</f>
        <v/>
      </c>
    </row>
    <row r="5328">
      <c r="A5328" s="94" t="n"/>
      <c r="B5328" s="128" t="n">
        <v>43921</v>
      </c>
      <c r="C5328" s="94">
        <f>TEXT(B5328,"aaa")</f>
        <v/>
      </c>
      <c r="D5328" s="94" t="n"/>
      <c r="E5328" s="6" t="inlineStr">
        <is>
          <t>토너</t>
        </is>
      </c>
      <c r="F5328" s="5" t="inlineStr">
        <is>
          <t>카페24</t>
        </is>
      </c>
      <c r="G5328" s="5" t="inlineStr">
        <is>
          <t>500ml</t>
        </is>
      </c>
      <c r="H5328" s="7" t="n">
        <v>190801</v>
      </c>
      <c r="I5328" s="7" t="n">
        <v>190801</v>
      </c>
      <c r="J5328" s="94" t="n"/>
      <c r="K5328" s="149" t="n">
        <v>124</v>
      </c>
      <c r="L5328" s="7" t="n">
        <v>190801</v>
      </c>
      <c r="M5328" s="94">
        <f>VLOOKUP($Q5328,매칭테이블!$F:$I,2,0)*K5328</f>
        <v/>
      </c>
      <c r="N5328" s="94">
        <f>M5328-M5328*VLOOKUP($Q5328,매칭테이블!$F:$I,3,0)</f>
        <v/>
      </c>
      <c r="O5328" s="94">
        <f>VLOOKUP($Q5328,매칭테이블!$F:$I,4,0)*K5328</f>
        <v/>
      </c>
      <c r="P5328" s="148">
        <f>M5328/1.1</f>
        <v/>
      </c>
      <c r="Q5328" s="94">
        <f>F5328&amp;E5328&amp;G5328&amp;L5328</f>
        <v/>
      </c>
    </row>
    <row r="5329">
      <c r="A5329" s="94" t="n"/>
      <c r="B5329" s="128" t="n">
        <v>43921</v>
      </c>
      <c r="C5329" s="94">
        <f>TEXT(B5329,"aaa")</f>
        <v/>
      </c>
      <c r="D5329" s="94" t="n"/>
      <c r="E5329" s="6" t="inlineStr">
        <is>
          <t>토너</t>
        </is>
      </c>
      <c r="F5329" s="5" t="inlineStr">
        <is>
          <t>카페24</t>
        </is>
      </c>
      <c r="G5329" s="94" t="inlineStr">
        <is>
          <t>스킨팩 화장솜 60P</t>
        </is>
      </c>
      <c r="H5329" s="7" t="n">
        <v>190801</v>
      </c>
      <c r="I5329" s="7" t="n">
        <v>190801</v>
      </c>
      <c r="J5329" s="94" t="n"/>
      <c r="K5329" s="149" t="n">
        <v>104</v>
      </c>
      <c r="L5329" s="7" t="n">
        <v>190801</v>
      </c>
      <c r="M5329" s="94">
        <f>VLOOKUP($Q5329,매칭테이블!$F:$I,2,0)*K5329</f>
        <v/>
      </c>
      <c r="N5329" s="94">
        <f>M5329-M5329*VLOOKUP($Q5329,매칭테이블!$F:$I,3,0)</f>
        <v/>
      </c>
      <c r="O5329" s="94">
        <f>VLOOKUP($Q5329,매칭테이블!$F:$I,4,0)*K5329</f>
        <v/>
      </c>
      <c r="P5329" s="148">
        <f>M5329/1.1</f>
        <v/>
      </c>
      <c r="Q5329" s="94">
        <f>F5329&amp;E5329&amp;G5329&amp;L5329</f>
        <v/>
      </c>
    </row>
    <row r="5330">
      <c r="A5330" s="94" t="n"/>
      <c r="B5330" s="128" t="n">
        <v>43921</v>
      </c>
      <c r="C5330" s="94">
        <f>TEXT(B5330,"aaa")</f>
        <v/>
      </c>
      <c r="D5330" s="94" t="n"/>
      <c r="E5330" s="94" t="inlineStr">
        <is>
          <t>토너</t>
        </is>
      </c>
      <c r="F5330" s="94" t="inlineStr">
        <is>
          <t>큐텐</t>
        </is>
      </c>
      <c r="G5330" s="94" t="inlineStr">
        <is>
          <t>250ml</t>
        </is>
      </c>
      <c r="H5330" s="7" t="n">
        <v>190801</v>
      </c>
      <c r="I5330" s="7" t="n">
        <v>190801</v>
      </c>
      <c r="J5330" s="94" t="n"/>
      <c r="K5330" s="149" t="n">
        <v>19</v>
      </c>
      <c r="L5330" s="92" t="n">
        <v>190801</v>
      </c>
      <c r="M5330" s="94">
        <f>VLOOKUP($Q5330,매칭테이블!$F:$I,2,0)*K5330</f>
        <v/>
      </c>
      <c r="N5330" s="94">
        <f>M5330-M5330*VLOOKUP($Q5330,매칭테이블!$F:$I,3,0)</f>
        <v/>
      </c>
      <c r="O5330" s="94">
        <f>VLOOKUP($Q5330,매칭테이블!$F:$I,4,0)*K5330</f>
        <v/>
      </c>
      <c r="P5330" s="148">
        <f>M5330/1.1</f>
        <v/>
      </c>
      <c r="Q5330" s="94">
        <f>F5330&amp;E5330&amp;G5330&amp;L5330</f>
        <v/>
      </c>
    </row>
    <row r="5331">
      <c r="A5331" s="94" t="n"/>
      <c r="B5331" s="128" t="n">
        <v>43921</v>
      </c>
      <c r="C5331" s="94">
        <f>TEXT(B5331,"aaa")</f>
        <v/>
      </c>
      <c r="D5331" s="94" t="n"/>
      <c r="E5331" s="94" t="inlineStr">
        <is>
          <t>토너</t>
        </is>
      </c>
      <c r="F5331" s="94" t="inlineStr">
        <is>
          <t>큐텐</t>
        </is>
      </c>
      <c r="G5331" s="94" t="inlineStr">
        <is>
          <t>250ml 2set</t>
        </is>
      </c>
      <c r="H5331" s="7" t="n">
        <v>190801</v>
      </c>
      <c r="I5331" s="7" t="n">
        <v>190801</v>
      </c>
      <c r="J5331" s="94" t="n"/>
      <c r="K5331" s="149" t="n">
        <v>2</v>
      </c>
      <c r="L5331" s="92" t="n">
        <v>190801</v>
      </c>
      <c r="M5331" s="94">
        <f>VLOOKUP($Q5331,매칭테이블!$F:$I,2,0)*K5331</f>
        <v/>
      </c>
      <c r="N5331" s="94">
        <f>M5331-M5331*VLOOKUP($Q5331,매칭테이블!$F:$I,3,0)</f>
        <v/>
      </c>
      <c r="O5331" s="94">
        <f>VLOOKUP($Q5331,매칭테이블!$F:$I,4,0)*K5331</f>
        <v/>
      </c>
      <c r="P5331" s="148">
        <f>M5331/1.1</f>
        <v/>
      </c>
      <c r="Q5331" s="94">
        <f>F5331&amp;E5331&amp;G5331&amp;L5331</f>
        <v/>
      </c>
    </row>
    <row r="5332">
      <c r="A5332" s="94" t="n"/>
      <c r="B5332" s="128" t="n">
        <v>43922</v>
      </c>
      <c r="C5332" s="94">
        <f>TEXT(B5332,"aaa")</f>
        <v/>
      </c>
      <c r="D5332" s="94" t="n"/>
      <c r="E5332" s="6" t="inlineStr">
        <is>
          <t>토너</t>
        </is>
      </c>
      <c r="F5332" s="5" t="inlineStr">
        <is>
          <t>W컨셉</t>
        </is>
      </c>
      <c r="G5332" s="5" t="inlineStr">
        <is>
          <t>250ml</t>
        </is>
      </c>
      <c r="H5332" s="7" t="n">
        <v>190801</v>
      </c>
      <c r="I5332" s="7" t="n">
        <v>190801</v>
      </c>
      <c r="J5332" s="94" t="n"/>
      <c r="K5332" s="149" t="n">
        <v>1</v>
      </c>
      <c r="L5332" s="7" t="n">
        <v>190801</v>
      </c>
      <c r="M5332" s="94">
        <f>VLOOKUP($Q5332,매칭테이블!$F:$I,2,0)*K5332</f>
        <v/>
      </c>
      <c r="N5332" s="94">
        <f>M5332-M5332*VLOOKUP($Q5332,매칭테이블!$F:$I,3,0)</f>
        <v/>
      </c>
      <c r="O5332" s="94">
        <f>VLOOKUP($Q5332,매칭테이블!$F:$I,4,0)*K5332</f>
        <v/>
      </c>
      <c r="P5332" s="148">
        <f>M5332/1.1</f>
        <v/>
      </c>
      <c r="Q5332" s="94">
        <f>F5332&amp;E5332&amp;G5332&amp;L5332</f>
        <v/>
      </c>
    </row>
    <row r="5333">
      <c r="A5333" s="94" t="n"/>
      <c r="B5333" s="128" t="n">
        <v>43922</v>
      </c>
      <c r="C5333" s="94">
        <f>TEXT(B5333,"aaa")</f>
        <v/>
      </c>
      <c r="D5333" s="94" t="n"/>
      <c r="E5333" s="6" t="inlineStr">
        <is>
          <t>토너</t>
        </is>
      </c>
      <c r="F5333" s="5" t="inlineStr">
        <is>
          <t>W컨셉</t>
        </is>
      </c>
      <c r="G5333" s="5" t="inlineStr">
        <is>
          <t>250ml 2set</t>
        </is>
      </c>
      <c r="H5333" s="7" t="n">
        <v>190801</v>
      </c>
      <c r="I5333" s="7" t="n">
        <v>190801</v>
      </c>
      <c r="J5333" s="94" t="n"/>
      <c r="K5333" s="149" t="n">
        <v>18</v>
      </c>
      <c r="L5333" s="7" t="n">
        <v>190801</v>
      </c>
      <c r="M5333" s="94">
        <f>VLOOKUP($Q5333,매칭테이블!$F:$I,2,0)*K5333</f>
        <v/>
      </c>
      <c r="N5333" s="94">
        <f>M5333-M5333*VLOOKUP($Q5333,매칭테이블!$F:$I,3,0)</f>
        <v/>
      </c>
      <c r="O5333" s="94">
        <f>VLOOKUP($Q5333,매칭테이블!$F:$I,4,0)*K5333</f>
        <v/>
      </c>
      <c r="P5333" s="148">
        <f>M5333/1.1</f>
        <v/>
      </c>
      <c r="Q5333" s="94">
        <f>F5333&amp;E5333&amp;G5333&amp;L5333</f>
        <v/>
      </c>
    </row>
    <row r="5334">
      <c r="A5334" s="94" t="n"/>
      <c r="B5334" s="128" t="n">
        <v>43922</v>
      </c>
      <c r="C5334" s="94">
        <f>TEXT(B5334,"aaa")</f>
        <v/>
      </c>
      <c r="D5334" s="94" t="n"/>
      <c r="E5334" s="94" t="inlineStr">
        <is>
          <t>토너</t>
        </is>
      </c>
      <c r="F5334" s="5" t="inlineStr">
        <is>
          <t>스타일쉐어</t>
        </is>
      </c>
      <c r="G5334" s="94" t="inlineStr">
        <is>
          <t>250ml</t>
        </is>
      </c>
      <c r="H5334" s="7" t="n">
        <v>190801</v>
      </c>
      <c r="I5334" s="7" t="n">
        <v>190801</v>
      </c>
      <c r="J5334" s="94" t="n"/>
      <c r="K5334" s="149" t="n">
        <v>20</v>
      </c>
      <c r="L5334" s="92" t="n">
        <v>190801</v>
      </c>
      <c r="M5334" s="94">
        <f>VLOOKUP($Q5334,매칭테이블!$F:$I,2,0)*K5334</f>
        <v/>
      </c>
      <c r="N5334" s="94">
        <f>M5334-M5334*VLOOKUP($Q5334,매칭테이블!$F:$I,3,0)</f>
        <v/>
      </c>
      <c r="O5334" s="94">
        <f>VLOOKUP($Q5334,매칭테이블!$F:$I,4,0)*K5334</f>
        <v/>
      </c>
      <c r="P5334" s="148">
        <f>M5334/1.1</f>
        <v/>
      </c>
      <c r="Q5334" s="94">
        <f>F5334&amp;E5334&amp;G5334&amp;L5334</f>
        <v/>
      </c>
    </row>
    <row r="5335">
      <c r="A5335" s="94" t="n"/>
      <c r="B5335" s="128" t="n">
        <v>43922</v>
      </c>
      <c r="C5335" s="94">
        <f>TEXT(B5335,"aaa")</f>
        <v/>
      </c>
      <c r="D5335" s="94" t="n"/>
      <c r="E5335" s="94" t="inlineStr">
        <is>
          <t>머드크림마스크</t>
        </is>
      </c>
      <c r="F5335" s="94" t="inlineStr">
        <is>
          <t>카페24</t>
        </is>
      </c>
      <c r="G5335" s="94" t="inlineStr">
        <is>
          <t>머드크림마스크 100ml</t>
        </is>
      </c>
      <c r="H5335" s="7" t="n">
        <v>190801</v>
      </c>
      <c r="I5335" s="7" t="n">
        <v>190801</v>
      </c>
      <c r="J5335" s="94" t="n"/>
      <c r="K5335" s="149" t="n">
        <v>24</v>
      </c>
      <c r="L5335" s="94" t="n">
        <v>190801</v>
      </c>
      <c r="M5335" s="94">
        <f>VLOOKUP($Q5335,매칭테이블!$F:$I,2,0)*K5335</f>
        <v/>
      </c>
      <c r="N5335" s="94">
        <f>M5335-M5335*VLOOKUP($Q5335,매칭테이블!$F:$I,3,0)</f>
        <v/>
      </c>
      <c r="O5335" s="94">
        <f>VLOOKUP($Q5335,매칭테이블!$F:$I,4,0)*K5335</f>
        <v/>
      </c>
      <c r="P5335" s="148">
        <f>M5335/1.1</f>
        <v/>
      </c>
      <c r="Q5335" s="94">
        <f>F5335&amp;E5335&amp;G5335&amp;L5335</f>
        <v/>
      </c>
    </row>
    <row r="5336">
      <c r="A5336" s="94" t="n"/>
      <c r="B5336" s="128" t="n">
        <v>43922</v>
      </c>
      <c r="C5336" s="94">
        <f>TEXT(B5336,"aaa")</f>
        <v/>
      </c>
      <c r="D5336" s="94" t="n"/>
      <c r="E5336" s="94" t="inlineStr">
        <is>
          <t>머드크림마스크</t>
        </is>
      </c>
      <c r="F5336" s="94" t="inlineStr">
        <is>
          <t>카페24</t>
        </is>
      </c>
      <c r="G5336" s="94" t="inlineStr">
        <is>
          <t>머드크림마스크 100ml 2set</t>
        </is>
      </c>
      <c r="H5336" s="7" t="n">
        <v>190801</v>
      </c>
      <c r="I5336" s="7" t="n">
        <v>190801</v>
      </c>
      <c r="J5336" s="94" t="n"/>
      <c r="K5336" s="149" t="n">
        <v>3</v>
      </c>
      <c r="L5336" s="94" t="n">
        <v>190801</v>
      </c>
      <c r="M5336" s="94">
        <f>VLOOKUP($Q5336,매칭테이블!$F:$I,2,0)*K5336</f>
        <v/>
      </c>
      <c r="N5336" s="94">
        <f>M5336-M5336*VLOOKUP($Q5336,매칭테이블!$F:$I,3,0)</f>
        <v/>
      </c>
      <c r="O5336" s="94">
        <f>VLOOKUP($Q5336,매칭테이블!$F:$I,4,0)*K5336</f>
        <v/>
      </c>
      <c r="P5336" s="148">
        <f>M5336/1.1</f>
        <v/>
      </c>
      <c r="Q5336" s="94">
        <f>F5336&amp;E5336&amp;G5336&amp;L5336</f>
        <v/>
      </c>
    </row>
    <row r="5337">
      <c r="A5337" s="94" t="n"/>
      <c r="B5337" s="128" t="n">
        <v>43922</v>
      </c>
      <c r="C5337" s="94">
        <f>TEXT(B5337,"aaa")</f>
        <v/>
      </c>
      <c r="D5337" s="94" t="n"/>
      <c r="E5337" s="94" t="inlineStr">
        <is>
          <t>마스크팩</t>
        </is>
      </c>
      <c r="F5337" s="94" t="inlineStr">
        <is>
          <t>카페24</t>
        </is>
      </c>
      <c r="G5337" s="94" t="inlineStr">
        <is>
          <t>마스크팩 1매</t>
        </is>
      </c>
      <c r="H5337" s="7" t="n">
        <v>190801</v>
      </c>
      <c r="I5337" s="7" t="n">
        <v>190801</v>
      </c>
      <c r="J5337" s="94" t="n"/>
      <c r="K5337" s="149" t="n">
        <v>8</v>
      </c>
      <c r="L5337" s="94" t="n">
        <v>190801</v>
      </c>
      <c r="M5337" s="94">
        <f>VLOOKUP($Q5337,매칭테이블!$F:$I,2,0)*K5337</f>
        <v/>
      </c>
      <c r="N5337" s="94">
        <f>M5337-M5337*VLOOKUP($Q5337,매칭테이블!$F:$I,3,0)</f>
        <v/>
      </c>
      <c r="O5337" s="94">
        <f>VLOOKUP($Q5337,매칭테이블!$F:$I,4,0)*K5337</f>
        <v/>
      </c>
      <c r="P5337" s="148">
        <f>M5337/1.1</f>
        <v/>
      </c>
      <c r="Q5337" s="94">
        <f>F5337&amp;E5337&amp;G5337&amp;L5337</f>
        <v/>
      </c>
    </row>
    <row r="5338">
      <c r="A5338" s="94" t="n"/>
      <c r="B5338" s="128" t="n">
        <v>43922</v>
      </c>
      <c r="C5338" s="94">
        <f>TEXT(B5338,"aaa")</f>
        <v/>
      </c>
      <c r="D5338" s="94" t="n"/>
      <c r="E5338" s="94" t="inlineStr">
        <is>
          <t>마스크팩</t>
        </is>
      </c>
      <c r="F5338" s="94" t="inlineStr">
        <is>
          <t>카페24</t>
        </is>
      </c>
      <c r="G5338" s="94" t="inlineStr">
        <is>
          <t>마스크팩 10매</t>
        </is>
      </c>
      <c r="H5338" s="7" t="n">
        <v>190801</v>
      </c>
      <c r="I5338" s="7" t="n">
        <v>190801</v>
      </c>
      <c r="J5338" s="94" t="n"/>
      <c r="K5338" s="149" t="n">
        <v>16</v>
      </c>
      <c r="L5338" s="94" t="n">
        <v>190801</v>
      </c>
      <c r="M5338" s="94">
        <f>VLOOKUP($Q5338,매칭테이블!$F:$I,2,0)*K5338</f>
        <v/>
      </c>
      <c r="N5338" s="94">
        <f>M5338-M5338*VLOOKUP($Q5338,매칭테이블!$F:$I,3,0)</f>
        <v/>
      </c>
      <c r="O5338" s="94">
        <f>VLOOKUP($Q5338,매칭테이블!$F:$I,4,0)*K5338</f>
        <v/>
      </c>
      <c r="P5338" s="148">
        <f>M5338/1.1</f>
        <v/>
      </c>
      <c r="Q5338" s="94">
        <f>F5338&amp;E5338&amp;G5338&amp;L5338</f>
        <v/>
      </c>
    </row>
    <row r="5339">
      <c r="A5339" s="94" t="n"/>
      <c r="B5339" s="128" t="n">
        <v>43922</v>
      </c>
      <c r="C5339" s="94">
        <f>TEXT(B5339,"aaa")</f>
        <v/>
      </c>
      <c r="D5339" s="94" t="n"/>
      <c r="E5339" s="6" t="inlineStr">
        <is>
          <t>토너</t>
        </is>
      </c>
      <c r="F5339" s="5" t="inlineStr">
        <is>
          <t>카페24</t>
        </is>
      </c>
      <c r="G5339" s="5" t="inlineStr">
        <is>
          <t>250ml</t>
        </is>
      </c>
      <c r="H5339" s="7" t="n">
        <v>190801</v>
      </c>
      <c r="I5339" s="7" t="n">
        <v>190801</v>
      </c>
      <c r="J5339" s="94" t="n"/>
      <c r="K5339" s="149" t="n">
        <v>118</v>
      </c>
      <c r="L5339" s="7" t="n">
        <v>190801</v>
      </c>
      <c r="M5339" s="94">
        <f>VLOOKUP($Q5339,매칭테이블!$F:$I,2,0)*K5339</f>
        <v/>
      </c>
      <c r="N5339" s="94">
        <f>M5339-M5339*VLOOKUP($Q5339,매칭테이블!$F:$I,3,0)</f>
        <v/>
      </c>
      <c r="O5339" s="94">
        <f>VLOOKUP($Q5339,매칭테이블!$F:$I,4,0)*K5339</f>
        <v/>
      </c>
      <c r="P5339" s="148">
        <f>M5339/1.1</f>
        <v/>
      </c>
      <c r="Q5339" s="94">
        <f>F5339&amp;E5339&amp;G5339&amp;L5339</f>
        <v/>
      </c>
    </row>
    <row r="5340">
      <c r="A5340" s="94" t="n"/>
      <c r="B5340" s="128" t="n">
        <v>43922</v>
      </c>
      <c r="C5340" s="94">
        <f>TEXT(B5340,"aaa")</f>
        <v/>
      </c>
      <c r="D5340" s="94" t="n"/>
      <c r="E5340" s="6" t="inlineStr">
        <is>
          <t>토너</t>
        </is>
      </c>
      <c r="F5340" s="5" t="inlineStr">
        <is>
          <t>카페24</t>
        </is>
      </c>
      <c r="G5340" s="5" t="inlineStr">
        <is>
          <t>250ml 2set</t>
        </is>
      </c>
      <c r="H5340" s="7" t="n">
        <v>190801</v>
      </c>
      <c r="I5340" s="7" t="n">
        <v>190801</v>
      </c>
      <c r="J5340" s="94" t="n"/>
      <c r="K5340" s="149" t="n">
        <v>80</v>
      </c>
      <c r="L5340" s="7" t="n">
        <v>190801</v>
      </c>
      <c r="M5340" s="94">
        <f>VLOOKUP($Q5340,매칭테이블!$F:$I,2,0)*K5340</f>
        <v/>
      </c>
      <c r="N5340" s="94">
        <f>M5340-M5340*VLOOKUP($Q5340,매칭테이블!$F:$I,3,0)</f>
        <v/>
      </c>
      <c r="O5340" s="94">
        <f>VLOOKUP($Q5340,매칭테이블!$F:$I,4,0)*K5340</f>
        <v/>
      </c>
      <c r="P5340" s="148">
        <f>M5340/1.1</f>
        <v/>
      </c>
      <c r="Q5340" s="94">
        <f>F5340&amp;E5340&amp;G5340&amp;L5340</f>
        <v/>
      </c>
    </row>
    <row r="5341">
      <c r="A5341" s="94" t="n"/>
      <c r="B5341" s="128" t="n">
        <v>43922</v>
      </c>
      <c r="C5341" s="94">
        <f>TEXT(B5341,"aaa")</f>
        <v/>
      </c>
      <c r="D5341" s="94" t="n"/>
      <c r="E5341" s="6" t="inlineStr">
        <is>
          <t>토너</t>
        </is>
      </c>
      <c r="F5341" s="5" t="inlineStr">
        <is>
          <t>카페24</t>
        </is>
      </c>
      <c r="G5341" s="5" t="inlineStr">
        <is>
          <t>500ml</t>
        </is>
      </c>
      <c r="H5341" s="7" t="n">
        <v>190801</v>
      </c>
      <c r="I5341" s="7" t="n">
        <v>190801</v>
      </c>
      <c r="J5341" s="94" t="n"/>
      <c r="K5341" s="149" t="n">
        <v>156</v>
      </c>
      <c r="L5341" s="7" t="n">
        <v>190801</v>
      </c>
      <c r="M5341" s="94">
        <f>VLOOKUP($Q5341,매칭테이블!$F:$I,2,0)*K5341</f>
        <v/>
      </c>
      <c r="N5341" s="94">
        <f>M5341-M5341*VLOOKUP($Q5341,매칭테이블!$F:$I,3,0)</f>
        <v/>
      </c>
      <c r="O5341" s="94">
        <f>VLOOKUP($Q5341,매칭테이블!$F:$I,4,0)*K5341</f>
        <v/>
      </c>
      <c r="P5341" s="148">
        <f>M5341/1.1</f>
        <v/>
      </c>
      <c r="Q5341" s="94">
        <f>F5341&amp;E5341&amp;G5341&amp;L5341</f>
        <v/>
      </c>
    </row>
    <row r="5342">
      <c r="A5342" s="94" t="n"/>
      <c r="B5342" s="128" t="n">
        <v>43922</v>
      </c>
      <c r="C5342" s="94">
        <f>TEXT(B5342,"aaa")</f>
        <v/>
      </c>
      <c r="D5342" s="94" t="n"/>
      <c r="E5342" s="6" t="inlineStr">
        <is>
          <t>토너</t>
        </is>
      </c>
      <c r="F5342" s="5" t="inlineStr">
        <is>
          <t>카페24</t>
        </is>
      </c>
      <c r="G5342" s="94" t="inlineStr">
        <is>
          <t>스킨팩 화장솜 60P</t>
        </is>
      </c>
      <c r="H5342" s="7" t="n">
        <v>190801</v>
      </c>
      <c r="I5342" s="7" t="n">
        <v>190801</v>
      </c>
      <c r="J5342" s="94" t="n"/>
      <c r="K5342" s="149" t="n">
        <v>128</v>
      </c>
      <c r="L5342" s="7" t="n">
        <v>190801</v>
      </c>
      <c r="M5342" s="94">
        <f>VLOOKUP($Q5342,매칭테이블!$F:$I,2,0)*K5342</f>
        <v/>
      </c>
      <c r="N5342" s="94">
        <f>M5342-M5342*VLOOKUP($Q5342,매칭테이블!$F:$I,3,0)</f>
        <v/>
      </c>
      <c r="O5342" s="94">
        <f>VLOOKUP($Q5342,매칭테이블!$F:$I,4,0)*K5342</f>
        <v/>
      </c>
      <c r="P5342" s="148">
        <f>M5342/1.1</f>
        <v/>
      </c>
      <c r="Q5342" s="94">
        <f>F5342&amp;E5342&amp;G5342&amp;L5342</f>
        <v/>
      </c>
    </row>
    <row r="5343">
      <c r="A5343" s="94" t="n"/>
      <c r="B5343" s="128" t="n">
        <v>43922</v>
      </c>
      <c r="C5343" s="94">
        <f>TEXT(B5343,"aaa")</f>
        <v/>
      </c>
      <c r="D5343" s="94" t="n"/>
      <c r="E5343" s="94" t="inlineStr">
        <is>
          <t>수딩크림</t>
        </is>
      </c>
      <c r="F5343" s="5" t="inlineStr">
        <is>
          <t>카페24</t>
        </is>
      </c>
      <c r="G5343" s="94" t="inlineStr">
        <is>
          <t>수딩크림 100ml</t>
        </is>
      </c>
      <c r="H5343" s="7" t="n">
        <v>190801</v>
      </c>
      <c r="I5343" s="7" t="n">
        <v>190801</v>
      </c>
      <c r="J5343" s="94" t="n"/>
      <c r="K5343" s="149" t="n">
        <v>7</v>
      </c>
      <c r="L5343" s="94" t="n">
        <v>190801</v>
      </c>
      <c r="M5343" s="94">
        <f>VLOOKUP($Q5343,매칭테이블!$F:$I,2,0)*K5343</f>
        <v/>
      </c>
      <c r="N5343" s="94">
        <f>M5343-M5343*VLOOKUP($Q5343,매칭테이블!$F:$I,3,0)</f>
        <v/>
      </c>
      <c r="O5343" s="94">
        <f>VLOOKUP($Q5343,매칭테이블!$F:$I,4,0)*K5343</f>
        <v/>
      </c>
      <c r="P5343" s="148">
        <f>M5343/1.1</f>
        <v/>
      </c>
      <c r="Q5343" s="94">
        <f>F5343&amp;E5343&amp;G5343&amp;L5343</f>
        <v/>
      </c>
    </row>
    <row r="5344">
      <c r="A5344" s="94" t="n"/>
      <c r="B5344" s="128" t="n">
        <v>43922</v>
      </c>
      <c r="C5344" s="94">
        <f>TEXT(B5344,"aaa")</f>
        <v/>
      </c>
      <c r="D5344" s="94" t="n"/>
      <c r="E5344" s="94" t="inlineStr">
        <is>
          <t>클렌징폼</t>
        </is>
      </c>
      <c r="F5344" s="5" t="inlineStr">
        <is>
          <t>카페24</t>
        </is>
      </c>
      <c r="G5344" s="94" t="inlineStr">
        <is>
          <t>클렌징폼 120ml</t>
        </is>
      </c>
      <c r="H5344" s="7" t="n">
        <v>190801</v>
      </c>
      <c r="I5344" s="7" t="n">
        <v>190801</v>
      </c>
      <c r="J5344" s="94" t="n"/>
      <c r="K5344" s="149" t="n">
        <v>25</v>
      </c>
      <c r="L5344" s="7" t="n">
        <v>190801</v>
      </c>
      <c r="M5344" s="94">
        <f>VLOOKUP($Q5344,매칭테이블!$F:$I,2,0)*K5344</f>
        <v/>
      </c>
      <c r="N5344" s="94">
        <f>M5344-M5344*VLOOKUP($Q5344,매칭테이블!$F:$I,3,0)</f>
        <v/>
      </c>
      <c r="O5344" s="94">
        <f>VLOOKUP($Q5344,매칭테이블!$F:$I,4,0)*K5344</f>
        <v/>
      </c>
      <c r="P5344" s="148">
        <f>M5344/1.1</f>
        <v/>
      </c>
      <c r="Q5344" s="94">
        <f>F5344&amp;E5344&amp;G5344&amp;L5344</f>
        <v/>
      </c>
    </row>
    <row r="5345">
      <c r="A5345" s="94" t="n"/>
      <c r="B5345" s="128" t="n">
        <v>43922</v>
      </c>
      <c r="C5345" s="94">
        <f>TEXT(B5345,"aaa")</f>
        <v/>
      </c>
      <c r="D5345" s="94" t="n"/>
      <c r="E5345" s="94" t="inlineStr">
        <is>
          <t>클렌징폼</t>
        </is>
      </c>
      <c r="F5345" s="94" t="inlineStr">
        <is>
          <t>카페24</t>
        </is>
      </c>
      <c r="G5345" s="94" t="inlineStr">
        <is>
          <t>클렌징폼 120ml 3set</t>
        </is>
      </c>
      <c r="H5345" s="7" t="n">
        <v>190801</v>
      </c>
      <c r="I5345" s="7" t="n">
        <v>190801</v>
      </c>
      <c r="J5345" s="94" t="n"/>
      <c r="K5345" s="149" t="n">
        <v>2</v>
      </c>
      <c r="L5345" s="7" t="n">
        <v>190801</v>
      </c>
      <c r="M5345" s="94">
        <f>VLOOKUP($Q5345,매칭테이블!$F:$I,2,0)*K5345</f>
        <v/>
      </c>
      <c r="N5345" s="94">
        <f>M5345-M5345*VLOOKUP($Q5345,매칭테이블!$F:$I,3,0)</f>
        <v/>
      </c>
      <c r="O5345" s="94">
        <f>VLOOKUP($Q5345,매칭테이블!$F:$I,4,0)*K5345</f>
        <v/>
      </c>
      <c r="P5345" s="148">
        <f>M5345/1.1</f>
        <v/>
      </c>
      <c r="Q5345" s="94">
        <f>F5345&amp;E5345&amp;G5345&amp;L5345</f>
        <v/>
      </c>
    </row>
    <row r="5346">
      <c r="A5346" s="94" t="n"/>
      <c r="B5346" s="128" t="n">
        <v>43922</v>
      </c>
      <c r="C5346" s="94">
        <f>TEXT(B5346,"aaa")</f>
        <v/>
      </c>
      <c r="D5346" s="94" t="n"/>
      <c r="E5346" s="94" t="inlineStr">
        <is>
          <t>토너+머드크림세트</t>
        </is>
      </c>
      <c r="F5346" s="94" t="inlineStr">
        <is>
          <t>카페24</t>
        </is>
      </c>
      <c r="G5346" s="94" t="inlineStr">
        <is>
          <t>250ml</t>
        </is>
      </c>
      <c r="H5346" s="7" t="n">
        <v>190801</v>
      </c>
      <c r="I5346" s="7" t="n">
        <v>190801</v>
      </c>
      <c r="J5346" s="94" t="n"/>
      <c r="K5346" s="149" t="n">
        <v>3</v>
      </c>
      <c r="L5346" s="94" t="n">
        <v>190801</v>
      </c>
      <c r="M5346" s="94">
        <f>VLOOKUP($Q5346,매칭테이블!$F:$I,2,0)*K5346</f>
        <v/>
      </c>
      <c r="N5346" s="94">
        <f>M5346-M5346*VLOOKUP($Q5346,매칭테이블!$F:$I,3,0)</f>
        <v/>
      </c>
      <c r="O5346" s="94">
        <f>VLOOKUP($Q5346,매칭테이블!$F:$I,4,0)*K5346</f>
        <v/>
      </c>
      <c r="P5346" s="148">
        <f>M5346/1.1</f>
        <v/>
      </c>
      <c r="Q5346" s="94">
        <f>F5346&amp;E5346&amp;G5346&amp;L5346</f>
        <v/>
      </c>
    </row>
    <row r="5347">
      <c r="A5347" s="94" t="n"/>
      <c r="B5347" s="128" t="n">
        <v>43922</v>
      </c>
      <c r="C5347" s="94">
        <f>TEXT(B5347,"aaa")</f>
        <v/>
      </c>
      <c r="D5347" s="94" t="n"/>
      <c r="E5347" s="94" t="inlineStr">
        <is>
          <t>토너+머드크림세트</t>
        </is>
      </c>
      <c r="F5347" s="94" t="inlineStr">
        <is>
          <t>카페24</t>
        </is>
      </c>
      <c r="G5347" s="94" t="inlineStr">
        <is>
          <t>머드크림마스크 100ml</t>
        </is>
      </c>
      <c r="H5347" s="7" t="n">
        <v>190801</v>
      </c>
      <c r="I5347" s="7" t="n">
        <v>190801</v>
      </c>
      <c r="J5347" s="94" t="n"/>
      <c r="K5347" s="149" t="n">
        <v>3</v>
      </c>
      <c r="L5347" s="94" t="n">
        <v>190801</v>
      </c>
      <c r="M5347" s="94">
        <f>VLOOKUP($Q5347,매칭테이블!$F:$I,2,0)*K5347</f>
        <v/>
      </c>
      <c r="N5347" s="94">
        <f>M5347-M5347*VLOOKUP($Q5347,매칭테이블!$F:$I,3,0)</f>
        <v/>
      </c>
      <c r="O5347" s="94">
        <f>VLOOKUP($Q5347,매칭테이블!$F:$I,4,0)*K5347</f>
        <v/>
      </c>
      <c r="P5347" s="148">
        <f>M5347/1.1</f>
        <v/>
      </c>
      <c r="Q5347" s="94">
        <f>F5347&amp;E5347&amp;G5347&amp;L5347</f>
        <v/>
      </c>
    </row>
    <row r="5348">
      <c r="A5348" s="94" t="n"/>
      <c r="B5348" s="128" t="n">
        <v>43922</v>
      </c>
      <c r="C5348" s="94">
        <f>TEXT(B5348,"aaa")</f>
        <v/>
      </c>
      <c r="D5348" s="94" t="n"/>
      <c r="E5348" s="94" t="inlineStr">
        <is>
          <t>토너</t>
        </is>
      </c>
      <c r="F5348" s="94" t="inlineStr">
        <is>
          <t>큐텐</t>
        </is>
      </c>
      <c r="G5348" s="94" t="inlineStr">
        <is>
          <t>250ml</t>
        </is>
      </c>
      <c r="H5348" s="7" t="n">
        <v>190801</v>
      </c>
      <c r="I5348" s="7" t="n">
        <v>190801</v>
      </c>
      <c r="J5348" s="94" t="n"/>
      <c r="K5348" s="149" t="n">
        <v>17</v>
      </c>
      <c r="L5348" s="92" t="n">
        <v>190801</v>
      </c>
      <c r="M5348" s="94">
        <f>VLOOKUP($Q5348,매칭테이블!$F:$I,2,0)*K5348</f>
        <v/>
      </c>
      <c r="N5348" s="94">
        <f>M5348-M5348*VLOOKUP($Q5348,매칭테이블!$F:$I,3,0)</f>
        <v/>
      </c>
      <c r="O5348" s="94">
        <f>VLOOKUP($Q5348,매칭테이블!$F:$I,4,0)*K5348</f>
        <v/>
      </c>
      <c r="P5348" s="148">
        <f>M5348/1.1</f>
        <v/>
      </c>
      <c r="Q5348" s="94">
        <f>F5348&amp;E5348&amp;G5348&amp;L5348</f>
        <v/>
      </c>
    </row>
    <row r="5349">
      <c r="A5349" s="94" t="n"/>
      <c r="B5349" s="128" t="n">
        <v>43922</v>
      </c>
      <c r="C5349" s="94">
        <f>TEXT(B5349,"aaa")</f>
        <v/>
      </c>
      <c r="D5349" s="94" t="n"/>
      <c r="E5349" s="94" t="inlineStr">
        <is>
          <t>토너</t>
        </is>
      </c>
      <c r="F5349" s="94" t="inlineStr">
        <is>
          <t>큐텐</t>
        </is>
      </c>
      <c r="G5349" s="94" t="inlineStr">
        <is>
          <t>250ml 2set</t>
        </is>
      </c>
      <c r="H5349" s="7" t="n">
        <v>190801</v>
      </c>
      <c r="I5349" s="7" t="n">
        <v>190801</v>
      </c>
      <c r="J5349" s="94" t="n"/>
      <c r="K5349" s="149" t="n">
        <v>9</v>
      </c>
      <c r="L5349" s="92" t="n">
        <v>190801</v>
      </c>
      <c r="M5349" s="94">
        <f>VLOOKUP($Q5349,매칭테이블!$F:$I,2,0)*K5349</f>
        <v/>
      </c>
      <c r="N5349" s="94">
        <f>M5349-M5349*VLOOKUP($Q5349,매칭테이블!$F:$I,3,0)</f>
        <v/>
      </c>
      <c r="O5349" s="94">
        <f>VLOOKUP($Q5349,매칭테이블!$F:$I,4,0)*K5349</f>
        <v/>
      </c>
      <c r="P5349" s="148">
        <f>M5349/1.1</f>
        <v/>
      </c>
      <c r="Q5349" s="94">
        <f>F5349&amp;E5349&amp;G5349&amp;L5349</f>
        <v/>
      </c>
    </row>
    <row r="5350">
      <c r="A5350" s="94" t="n"/>
      <c r="B5350" s="128" t="n">
        <v>43921</v>
      </c>
      <c r="C5350" s="94">
        <f>TEXT(B5350,"aaa")</f>
        <v/>
      </c>
      <c r="D5350" s="94" t="n"/>
      <c r="E5350" s="94" t="inlineStr">
        <is>
          <t>토너+머드크림세트</t>
        </is>
      </c>
      <c r="F5350" s="94" t="inlineStr">
        <is>
          <t>카페24</t>
        </is>
      </c>
      <c r="G5350" s="94" t="inlineStr">
        <is>
          <t>250ml</t>
        </is>
      </c>
      <c r="H5350" s="7" t="n">
        <v>190801</v>
      </c>
      <c r="I5350" s="7" t="n">
        <v>190801</v>
      </c>
      <c r="J5350" s="94" t="n"/>
      <c r="K5350" s="149" t="n">
        <v>2</v>
      </c>
      <c r="L5350" s="94" t="n">
        <v>190801</v>
      </c>
      <c r="M5350" s="94">
        <f>VLOOKUP($Q5350,매칭테이블!$F:$I,2,0)*K5350</f>
        <v/>
      </c>
      <c r="N5350" s="94">
        <f>M5350-M5350*VLOOKUP($Q5350,매칭테이블!$F:$I,3,0)</f>
        <v/>
      </c>
      <c r="O5350" s="94">
        <f>VLOOKUP($Q5350,매칭테이블!$F:$I,4,0)*K5350</f>
        <v/>
      </c>
      <c r="P5350" s="148">
        <f>M5350/1.1</f>
        <v/>
      </c>
      <c r="Q5350" s="94">
        <f>F5350&amp;E5350&amp;G5350&amp;L5350</f>
        <v/>
      </c>
    </row>
    <row r="5351">
      <c r="A5351" s="94" t="n"/>
      <c r="B5351" s="128" t="n">
        <v>43921</v>
      </c>
      <c r="C5351" s="94">
        <f>TEXT(B5351,"aaa")</f>
        <v/>
      </c>
      <c r="D5351" s="94" t="n"/>
      <c r="E5351" s="94" t="inlineStr">
        <is>
          <t>토너+머드크림세트</t>
        </is>
      </c>
      <c r="F5351" s="94" t="inlineStr">
        <is>
          <t>카페24</t>
        </is>
      </c>
      <c r="G5351" s="94" t="inlineStr">
        <is>
          <t>머드크림마스크 100ml</t>
        </is>
      </c>
      <c r="H5351" s="7" t="n">
        <v>190801</v>
      </c>
      <c r="I5351" s="7" t="n">
        <v>190801</v>
      </c>
      <c r="J5351" s="94" t="n"/>
      <c r="K5351" s="149" t="n">
        <v>2</v>
      </c>
      <c r="L5351" s="94" t="n">
        <v>190801</v>
      </c>
      <c r="M5351" s="94">
        <f>VLOOKUP($Q5351,매칭테이블!$F:$I,2,0)*K5351</f>
        <v/>
      </c>
      <c r="N5351" s="94">
        <f>M5351-M5351*VLOOKUP($Q5351,매칭테이블!$F:$I,3,0)</f>
        <v/>
      </c>
      <c r="O5351" s="94">
        <f>VLOOKUP($Q5351,매칭테이블!$F:$I,4,0)*K5351</f>
        <v/>
      </c>
      <c r="P5351" s="148">
        <f>M5351/1.1</f>
        <v/>
      </c>
      <c r="Q5351" s="94">
        <f>F5351&amp;E5351&amp;G5351&amp;L5351</f>
        <v/>
      </c>
    </row>
    <row r="5352">
      <c r="A5352" s="94" t="n"/>
      <c r="B5352" s="128" t="n">
        <v>43921</v>
      </c>
      <c r="C5352" s="94">
        <f>TEXT(B5352,"aaa")</f>
        <v/>
      </c>
      <c r="D5352" s="94" t="n"/>
      <c r="E5352" s="94" t="inlineStr">
        <is>
          <t>클렌징폼</t>
        </is>
      </c>
      <c r="F5352" s="5" t="inlineStr">
        <is>
          <t>카페24</t>
        </is>
      </c>
      <c r="G5352" s="94" t="inlineStr">
        <is>
          <t>클렌징폼 120ml</t>
        </is>
      </c>
      <c r="H5352" s="7" t="n">
        <v>190801</v>
      </c>
      <c r="I5352" s="7" t="n">
        <v>190801</v>
      </c>
      <c r="J5352" s="94" t="n"/>
      <c r="K5352" s="149" t="n">
        <v>24</v>
      </c>
      <c r="L5352" s="7" t="n">
        <v>190801</v>
      </c>
      <c r="M5352" s="94">
        <f>VLOOKUP($Q5352,매칭테이블!$F:$I,2,0)*K5352</f>
        <v/>
      </c>
      <c r="N5352" s="94">
        <f>M5352-M5352*VLOOKUP($Q5352,매칭테이블!$F:$I,3,0)</f>
        <v/>
      </c>
      <c r="O5352" s="94">
        <f>VLOOKUP($Q5352,매칭테이블!$F:$I,4,0)*K5352</f>
        <v/>
      </c>
      <c r="P5352" s="148">
        <f>M5352/1.1</f>
        <v/>
      </c>
      <c r="Q5352" s="94">
        <f>F5352&amp;E5352&amp;G5352&amp;L5352</f>
        <v/>
      </c>
    </row>
    <row r="5353">
      <c r="A5353" s="94" t="n"/>
      <c r="B5353" s="128" t="n">
        <v>43921</v>
      </c>
      <c r="C5353" s="94">
        <f>TEXT(B5353,"aaa")</f>
        <v/>
      </c>
      <c r="D5353" s="94" t="n"/>
      <c r="E5353" s="94" t="inlineStr">
        <is>
          <t>클렌징폼</t>
        </is>
      </c>
      <c r="F5353" s="94" t="inlineStr">
        <is>
          <t>카페24</t>
        </is>
      </c>
      <c r="G5353" s="94" t="inlineStr">
        <is>
          <t>클렌징폼 120ml 2set</t>
        </is>
      </c>
      <c r="H5353" s="7" t="n">
        <v>190801</v>
      </c>
      <c r="I5353" s="7" t="n">
        <v>190801</v>
      </c>
      <c r="J5353" s="94" t="n"/>
      <c r="K5353" s="149" t="n">
        <v>3</v>
      </c>
      <c r="L5353" s="7" t="n">
        <v>190801</v>
      </c>
      <c r="M5353" s="94">
        <f>VLOOKUP($Q5353,매칭테이블!$F:$I,2,0)*K5353</f>
        <v/>
      </c>
      <c r="N5353" s="94">
        <f>M5353-M5353*VLOOKUP($Q5353,매칭테이블!$F:$I,3,0)</f>
        <v/>
      </c>
      <c r="O5353" s="94">
        <f>VLOOKUP($Q5353,매칭테이블!$F:$I,4,0)*K5353</f>
        <v/>
      </c>
      <c r="P5353" s="148">
        <f>M5353/1.1</f>
        <v/>
      </c>
      <c r="Q5353" s="94">
        <f>F5353&amp;E5353&amp;G5353&amp;L5353</f>
        <v/>
      </c>
    </row>
    <row r="5354">
      <c r="A5354" s="94" t="n"/>
      <c r="B5354" s="128" t="n">
        <v>43921</v>
      </c>
      <c r="C5354" s="94">
        <f>TEXT(B5354,"aaa")</f>
        <v/>
      </c>
      <c r="D5354" s="94" t="n"/>
      <c r="E5354" s="94" t="inlineStr">
        <is>
          <t>클렌징폼</t>
        </is>
      </c>
      <c r="F5354" s="94" t="inlineStr">
        <is>
          <t>카페24</t>
        </is>
      </c>
      <c r="G5354" s="94" t="inlineStr">
        <is>
          <t>클렌징폼 120ml 3set</t>
        </is>
      </c>
      <c r="H5354" s="7" t="n">
        <v>190801</v>
      </c>
      <c r="I5354" s="7" t="n">
        <v>190801</v>
      </c>
      <c r="J5354" s="94" t="n"/>
      <c r="K5354" s="149" t="n">
        <v>1</v>
      </c>
      <c r="L5354" s="7" t="n">
        <v>190801</v>
      </c>
      <c r="M5354" s="94">
        <f>VLOOKUP($Q5354,매칭테이블!$F:$I,2,0)*K5354</f>
        <v/>
      </c>
      <c r="N5354" s="94">
        <f>M5354-M5354*VLOOKUP($Q5354,매칭테이블!$F:$I,3,0)</f>
        <v/>
      </c>
      <c r="O5354" s="94">
        <f>VLOOKUP($Q5354,매칭테이블!$F:$I,4,0)*K5354</f>
        <v/>
      </c>
      <c r="P5354" s="148">
        <f>M5354/1.1</f>
        <v/>
      </c>
      <c r="Q5354" s="94">
        <f>F5354&amp;E5354&amp;G5354&amp;L5354</f>
        <v/>
      </c>
    </row>
    <row r="5355">
      <c r="A5355" s="94" t="n"/>
      <c r="B5355" s="128" t="n">
        <v>43923</v>
      </c>
      <c r="C5355" s="94">
        <f>TEXT(B5355,"aaa")</f>
        <v/>
      </c>
      <c r="D5355" s="94" t="n"/>
      <c r="E5355" s="6" t="inlineStr">
        <is>
          <t>토너</t>
        </is>
      </c>
      <c r="F5355" s="5" t="inlineStr">
        <is>
          <t>W컨셉</t>
        </is>
      </c>
      <c r="G5355" s="5" t="inlineStr">
        <is>
          <t>250ml</t>
        </is>
      </c>
      <c r="H5355" s="7" t="n">
        <v>190801</v>
      </c>
      <c r="I5355" s="7" t="n">
        <v>190801</v>
      </c>
      <c r="J5355" s="94" t="n"/>
      <c r="K5355" s="149" t="n">
        <v>4</v>
      </c>
      <c r="L5355" s="7" t="n">
        <v>190801</v>
      </c>
      <c r="M5355" s="94">
        <f>VLOOKUP($Q5355,매칭테이블!$F:$I,2,0)*K5355</f>
        <v/>
      </c>
      <c r="N5355" s="94">
        <f>M5355-M5355*VLOOKUP($Q5355,매칭테이블!$F:$I,3,0)</f>
        <v/>
      </c>
      <c r="O5355" s="94">
        <f>VLOOKUP($Q5355,매칭테이블!$F:$I,4,0)*K5355</f>
        <v/>
      </c>
      <c r="P5355" s="148">
        <f>M5355/1.1</f>
        <v/>
      </c>
      <c r="Q5355" s="94">
        <f>F5355&amp;E5355&amp;G5355&amp;L5355</f>
        <v/>
      </c>
    </row>
    <row r="5356">
      <c r="A5356" s="94" t="n"/>
      <c r="B5356" s="128" t="n">
        <v>43923</v>
      </c>
      <c r="C5356" s="94">
        <f>TEXT(B5356,"aaa")</f>
        <v/>
      </c>
      <c r="D5356" s="94" t="n"/>
      <c r="E5356" s="6" t="inlineStr">
        <is>
          <t>토너</t>
        </is>
      </c>
      <c r="F5356" s="5" t="inlineStr">
        <is>
          <t>W컨셉</t>
        </is>
      </c>
      <c r="G5356" s="5" t="inlineStr">
        <is>
          <t>250ml 2set</t>
        </is>
      </c>
      <c r="H5356" s="7" t="n">
        <v>190801</v>
      </c>
      <c r="I5356" s="7" t="n">
        <v>190801</v>
      </c>
      <c r="J5356" s="94" t="n"/>
      <c r="K5356" s="149" t="n">
        <v>6</v>
      </c>
      <c r="L5356" s="7" t="n">
        <v>190801</v>
      </c>
      <c r="M5356" s="94">
        <f>VLOOKUP($Q5356,매칭테이블!$F:$I,2,0)*K5356</f>
        <v/>
      </c>
      <c r="N5356" s="94">
        <f>M5356-M5356*VLOOKUP($Q5356,매칭테이블!$F:$I,3,0)</f>
        <v/>
      </c>
      <c r="O5356" s="94">
        <f>VLOOKUP($Q5356,매칭테이블!$F:$I,4,0)*K5356</f>
        <v/>
      </c>
      <c r="P5356" s="148">
        <f>M5356/1.1</f>
        <v/>
      </c>
      <c r="Q5356" s="94">
        <f>F5356&amp;E5356&amp;G5356&amp;L5356</f>
        <v/>
      </c>
    </row>
    <row r="5357">
      <c r="A5357" s="94" t="n"/>
      <c r="B5357" s="128" t="n">
        <v>43923</v>
      </c>
      <c r="C5357" s="94">
        <f>TEXT(B5357,"aaa")</f>
        <v/>
      </c>
      <c r="D5357" s="94" t="n"/>
      <c r="E5357" s="94" t="inlineStr">
        <is>
          <t>토너</t>
        </is>
      </c>
      <c r="F5357" s="5" t="inlineStr">
        <is>
          <t>스타일쉐어</t>
        </is>
      </c>
      <c r="G5357" s="94" t="inlineStr">
        <is>
          <t>250ml</t>
        </is>
      </c>
      <c r="H5357" s="7" t="n">
        <v>190801</v>
      </c>
      <c r="I5357" s="7" t="n">
        <v>190801</v>
      </c>
      <c r="J5357" s="94" t="n"/>
      <c r="K5357" s="149" t="n">
        <v>22</v>
      </c>
      <c r="L5357" s="92" t="n">
        <v>190801</v>
      </c>
      <c r="M5357" s="94">
        <f>VLOOKUP($Q5357,매칭테이블!$F:$I,2,0)*K5357</f>
        <v/>
      </c>
      <c r="N5357" s="94">
        <f>M5357-M5357*VLOOKUP($Q5357,매칭테이블!$F:$I,3,0)</f>
        <v/>
      </c>
      <c r="O5357" s="94">
        <f>VLOOKUP($Q5357,매칭테이블!$F:$I,4,0)*K5357</f>
        <v/>
      </c>
      <c r="P5357" s="148">
        <f>M5357/1.1</f>
        <v/>
      </c>
      <c r="Q5357" s="94">
        <f>F5357&amp;E5357&amp;G5357&amp;L5357</f>
        <v/>
      </c>
    </row>
    <row r="5358">
      <c r="A5358" s="94" t="n"/>
      <c r="B5358" s="128" t="n">
        <v>43923</v>
      </c>
      <c r="C5358" s="94">
        <f>TEXT(B5358,"aaa")</f>
        <v/>
      </c>
      <c r="D5358" s="94" t="n"/>
      <c r="E5358" s="94" t="inlineStr">
        <is>
          <t>머드크림마스크</t>
        </is>
      </c>
      <c r="F5358" s="94" t="inlineStr">
        <is>
          <t>카페24</t>
        </is>
      </c>
      <c r="G5358" s="94" t="inlineStr">
        <is>
          <t>머드크림마스크 100ml</t>
        </is>
      </c>
      <c r="H5358" s="7" t="n">
        <v>190801</v>
      </c>
      <c r="I5358" s="7" t="n">
        <v>190801</v>
      </c>
      <c r="J5358" s="94" t="n"/>
      <c r="K5358" s="149" t="n">
        <v>20</v>
      </c>
      <c r="L5358" s="94" t="n">
        <v>190801</v>
      </c>
      <c r="M5358" s="94">
        <f>VLOOKUP($Q5358,매칭테이블!$F:$I,2,0)*K5358</f>
        <v/>
      </c>
      <c r="N5358" s="94">
        <f>M5358-M5358*VLOOKUP($Q5358,매칭테이블!$F:$I,3,0)</f>
        <v/>
      </c>
      <c r="O5358" s="94">
        <f>VLOOKUP($Q5358,매칭테이블!$F:$I,4,0)*K5358</f>
        <v/>
      </c>
      <c r="P5358" s="148">
        <f>M5358/1.1</f>
        <v/>
      </c>
      <c r="Q5358" s="94">
        <f>F5358&amp;E5358&amp;G5358&amp;L5358</f>
        <v/>
      </c>
    </row>
    <row r="5359">
      <c r="A5359" s="94" t="n"/>
      <c r="B5359" s="128" t="n">
        <v>43923</v>
      </c>
      <c r="C5359" s="94">
        <f>TEXT(B5359,"aaa")</f>
        <v/>
      </c>
      <c r="D5359" s="94" t="n"/>
      <c r="E5359" s="94" t="inlineStr">
        <is>
          <t>머드크림마스크</t>
        </is>
      </c>
      <c r="F5359" s="94" t="inlineStr">
        <is>
          <t>카페24</t>
        </is>
      </c>
      <c r="G5359" s="94" t="inlineStr">
        <is>
          <t>머드크림마스크 100ml 2set</t>
        </is>
      </c>
      <c r="H5359" s="7" t="n">
        <v>190801</v>
      </c>
      <c r="I5359" s="7" t="n">
        <v>190801</v>
      </c>
      <c r="J5359" s="94" t="n"/>
      <c r="K5359" s="149" t="n">
        <v>4</v>
      </c>
      <c r="L5359" s="94" t="n">
        <v>190801</v>
      </c>
      <c r="M5359" s="94">
        <f>VLOOKUP($Q5359,매칭테이블!$F:$I,2,0)*K5359</f>
        <v/>
      </c>
      <c r="N5359" s="94">
        <f>M5359-M5359*VLOOKUP($Q5359,매칭테이블!$F:$I,3,0)</f>
        <v/>
      </c>
      <c r="O5359" s="94">
        <f>VLOOKUP($Q5359,매칭테이블!$F:$I,4,0)*K5359</f>
        <v/>
      </c>
      <c r="P5359" s="148">
        <f>M5359/1.1</f>
        <v/>
      </c>
      <c r="Q5359" s="94">
        <f>F5359&amp;E5359&amp;G5359&amp;L5359</f>
        <v/>
      </c>
    </row>
    <row r="5360">
      <c r="A5360" s="94" t="n"/>
      <c r="B5360" s="128" t="n">
        <v>43923</v>
      </c>
      <c r="C5360" s="94">
        <f>TEXT(B5360,"aaa")</f>
        <v/>
      </c>
      <c r="D5360" s="94" t="n"/>
      <c r="E5360" s="94" t="inlineStr">
        <is>
          <t>마스크팩</t>
        </is>
      </c>
      <c r="F5360" s="94" t="inlineStr">
        <is>
          <t>카페24</t>
        </is>
      </c>
      <c r="G5360" s="94" t="inlineStr">
        <is>
          <t>마스크팩 1매</t>
        </is>
      </c>
      <c r="H5360" s="7" t="n">
        <v>190801</v>
      </c>
      <c r="I5360" s="7" t="n">
        <v>190801</v>
      </c>
      <c r="J5360" s="94" t="n"/>
      <c r="K5360" s="149" t="n">
        <v>9</v>
      </c>
      <c r="L5360" s="94" t="n">
        <v>190801</v>
      </c>
      <c r="M5360" s="94">
        <f>VLOOKUP($Q5360,매칭테이블!$F:$I,2,0)*K5360</f>
        <v/>
      </c>
      <c r="N5360" s="94">
        <f>M5360-M5360*VLOOKUP($Q5360,매칭테이블!$F:$I,3,0)</f>
        <v/>
      </c>
      <c r="O5360" s="94">
        <f>VLOOKUP($Q5360,매칭테이블!$F:$I,4,0)*K5360</f>
        <v/>
      </c>
      <c r="P5360" s="148">
        <f>M5360/1.1</f>
        <v/>
      </c>
      <c r="Q5360" s="94">
        <f>F5360&amp;E5360&amp;G5360&amp;L5360</f>
        <v/>
      </c>
    </row>
    <row r="5361">
      <c r="A5361" s="94" t="n"/>
      <c r="B5361" s="128" t="n">
        <v>43923</v>
      </c>
      <c r="C5361" s="94">
        <f>TEXT(B5361,"aaa")</f>
        <v/>
      </c>
      <c r="D5361" s="94" t="n"/>
      <c r="E5361" s="94" t="inlineStr">
        <is>
          <t>마스크팩</t>
        </is>
      </c>
      <c r="F5361" s="94" t="inlineStr">
        <is>
          <t>카페24</t>
        </is>
      </c>
      <c r="G5361" s="94" t="inlineStr">
        <is>
          <t>마스크팩 10매</t>
        </is>
      </c>
      <c r="H5361" s="7" t="n">
        <v>190801</v>
      </c>
      <c r="I5361" s="7" t="n">
        <v>190801</v>
      </c>
      <c r="J5361" s="94" t="n"/>
      <c r="K5361" s="149" t="n">
        <v>6</v>
      </c>
      <c r="L5361" s="94" t="n">
        <v>190801</v>
      </c>
      <c r="M5361" s="94">
        <f>VLOOKUP($Q5361,매칭테이블!$F:$I,2,0)*K5361</f>
        <v/>
      </c>
      <c r="N5361" s="94">
        <f>M5361-M5361*VLOOKUP($Q5361,매칭테이블!$F:$I,3,0)</f>
        <v/>
      </c>
      <c r="O5361" s="94">
        <f>VLOOKUP($Q5361,매칭테이블!$F:$I,4,0)*K5361</f>
        <v/>
      </c>
      <c r="P5361" s="148">
        <f>M5361/1.1</f>
        <v/>
      </c>
      <c r="Q5361" s="94">
        <f>F5361&amp;E5361&amp;G5361&amp;L5361</f>
        <v/>
      </c>
    </row>
    <row r="5362">
      <c r="A5362" s="94" t="n"/>
      <c r="B5362" s="128" t="n">
        <v>43923</v>
      </c>
      <c r="C5362" s="94">
        <f>TEXT(B5362,"aaa")</f>
        <v/>
      </c>
      <c r="D5362" s="94" t="n"/>
      <c r="E5362" s="6" t="inlineStr">
        <is>
          <t>토너</t>
        </is>
      </c>
      <c r="F5362" s="5" t="inlineStr">
        <is>
          <t>카페24</t>
        </is>
      </c>
      <c r="G5362" s="5" t="inlineStr">
        <is>
          <t>250ml</t>
        </is>
      </c>
      <c r="H5362" s="7" t="n">
        <v>190801</v>
      </c>
      <c r="I5362" s="7" t="n">
        <v>190801</v>
      </c>
      <c r="J5362" s="94" t="n"/>
      <c r="K5362" s="149" t="n">
        <v>123</v>
      </c>
      <c r="L5362" s="7" t="n">
        <v>190801</v>
      </c>
      <c r="M5362" s="94">
        <f>VLOOKUP($Q5362,매칭테이블!$F:$I,2,0)*K5362</f>
        <v/>
      </c>
      <c r="N5362" s="94">
        <f>M5362-M5362*VLOOKUP($Q5362,매칭테이블!$F:$I,3,0)</f>
        <v/>
      </c>
      <c r="O5362" s="94">
        <f>VLOOKUP($Q5362,매칭테이블!$F:$I,4,0)*K5362</f>
        <v/>
      </c>
      <c r="P5362" s="148">
        <f>M5362/1.1</f>
        <v/>
      </c>
      <c r="Q5362" s="94">
        <f>F5362&amp;E5362&amp;G5362&amp;L5362</f>
        <v/>
      </c>
    </row>
    <row r="5363">
      <c r="A5363" s="94" t="n"/>
      <c r="B5363" s="128" t="n">
        <v>43923</v>
      </c>
      <c r="C5363" s="94">
        <f>TEXT(B5363,"aaa")</f>
        <v/>
      </c>
      <c r="D5363" s="94" t="n"/>
      <c r="E5363" s="6" t="inlineStr">
        <is>
          <t>토너</t>
        </is>
      </c>
      <c r="F5363" s="5" t="inlineStr">
        <is>
          <t>카페24</t>
        </is>
      </c>
      <c r="G5363" s="5" t="inlineStr">
        <is>
          <t>250ml 2set</t>
        </is>
      </c>
      <c r="H5363" s="7" t="n">
        <v>190801</v>
      </c>
      <c r="I5363" s="7" t="n">
        <v>190801</v>
      </c>
      <c r="J5363" s="94" t="n"/>
      <c r="K5363" s="149" t="n">
        <v>190</v>
      </c>
      <c r="L5363" s="7" t="n">
        <v>190801</v>
      </c>
      <c r="M5363" s="94">
        <f>VLOOKUP($Q5363,매칭테이블!$F:$I,2,0)*K5363</f>
        <v/>
      </c>
      <c r="N5363" s="94">
        <f>M5363-M5363*VLOOKUP($Q5363,매칭테이블!$F:$I,3,0)</f>
        <v/>
      </c>
      <c r="O5363" s="94">
        <f>VLOOKUP($Q5363,매칭테이블!$F:$I,4,0)*K5363</f>
        <v/>
      </c>
      <c r="P5363" s="148">
        <f>M5363/1.1</f>
        <v/>
      </c>
      <c r="Q5363" s="94">
        <f>F5363&amp;E5363&amp;G5363&amp;L5363</f>
        <v/>
      </c>
    </row>
    <row r="5364">
      <c r="A5364" s="94" t="n"/>
      <c r="B5364" s="128" t="n">
        <v>43923</v>
      </c>
      <c r="C5364" s="94">
        <f>TEXT(B5364,"aaa")</f>
        <v/>
      </c>
      <c r="D5364" s="94" t="n"/>
      <c r="E5364" s="6" t="inlineStr">
        <is>
          <t>토너</t>
        </is>
      </c>
      <c r="F5364" s="5" t="inlineStr">
        <is>
          <t>카페24</t>
        </is>
      </c>
      <c r="G5364" s="5" t="inlineStr">
        <is>
          <t>500ml</t>
        </is>
      </c>
      <c r="H5364" s="7" t="n">
        <v>190801</v>
      </c>
      <c r="I5364" s="7" t="n">
        <v>190801</v>
      </c>
      <c r="J5364" s="94" t="n"/>
      <c r="K5364" s="149" t="n">
        <v>96</v>
      </c>
      <c r="L5364" s="7" t="n">
        <v>190801</v>
      </c>
      <c r="M5364" s="94">
        <f>VLOOKUP($Q5364,매칭테이블!$F:$I,2,0)*K5364</f>
        <v/>
      </c>
      <c r="N5364" s="94">
        <f>M5364-M5364*VLOOKUP($Q5364,매칭테이블!$F:$I,3,0)</f>
        <v/>
      </c>
      <c r="O5364" s="94">
        <f>VLOOKUP($Q5364,매칭테이블!$F:$I,4,0)*K5364</f>
        <v/>
      </c>
      <c r="P5364" s="148">
        <f>M5364/1.1</f>
        <v/>
      </c>
      <c r="Q5364" s="94">
        <f>F5364&amp;E5364&amp;G5364&amp;L5364</f>
        <v/>
      </c>
    </row>
    <row r="5365">
      <c r="A5365" s="94" t="n"/>
      <c r="B5365" s="128" t="n">
        <v>43923</v>
      </c>
      <c r="C5365" s="94">
        <f>TEXT(B5365,"aaa")</f>
        <v/>
      </c>
      <c r="D5365" s="94" t="n"/>
      <c r="E5365" s="6" t="inlineStr">
        <is>
          <t>토너</t>
        </is>
      </c>
      <c r="F5365" s="5" t="inlineStr">
        <is>
          <t>카페24</t>
        </is>
      </c>
      <c r="G5365" s="94" t="inlineStr">
        <is>
          <t>스킨팩 화장솜 60P</t>
        </is>
      </c>
      <c r="H5365" s="7" t="n">
        <v>190801</v>
      </c>
      <c r="I5365" s="7" t="n">
        <v>190801</v>
      </c>
      <c r="J5365" s="94" t="n"/>
      <c r="K5365" s="149" t="n">
        <v>150</v>
      </c>
      <c r="L5365" s="7" t="n">
        <v>190801</v>
      </c>
      <c r="M5365" s="94">
        <f>VLOOKUP($Q5365,매칭테이블!$F:$I,2,0)*K5365</f>
        <v/>
      </c>
      <c r="N5365" s="94">
        <f>M5365-M5365*VLOOKUP($Q5365,매칭테이블!$F:$I,3,0)</f>
        <v/>
      </c>
      <c r="O5365" s="94">
        <f>VLOOKUP($Q5365,매칭테이블!$F:$I,4,0)*K5365</f>
        <v/>
      </c>
      <c r="P5365" s="148">
        <f>M5365/1.1</f>
        <v/>
      </c>
      <c r="Q5365" s="94">
        <f>F5365&amp;E5365&amp;G5365&amp;L5365</f>
        <v/>
      </c>
    </row>
    <row r="5366">
      <c r="A5366" s="94" t="n"/>
      <c r="B5366" s="128" t="n">
        <v>43923</v>
      </c>
      <c r="C5366" s="94">
        <f>TEXT(B5366,"aaa")</f>
        <v/>
      </c>
      <c r="D5366" s="94" t="n"/>
      <c r="E5366" s="94" t="inlineStr">
        <is>
          <t>토너</t>
        </is>
      </c>
      <c r="F5366" s="94" t="inlineStr">
        <is>
          <t>글로우데이즈 시코르</t>
        </is>
      </c>
      <c r="G5366" s="94" t="inlineStr">
        <is>
          <t>250ml</t>
        </is>
      </c>
      <c r="H5366" s="7" t="n">
        <v>190801</v>
      </c>
      <c r="I5366" s="7" t="n">
        <v>190801</v>
      </c>
      <c r="J5366" s="94" t="n"/>
      <c r="K5366" s="6" t="n">
        <v>10</v>
      </c>
      <c r="L5366" s="92" t="n">
        <v>190801</v>
      </c>
      <c r="M5366" s="94">
        <f>VLOOKUP($Q5366,매칭테이블!$F:$I,2,0)*K5366</f>
        <v/>
      </c>
      <c r="N5366" s="94">
        <f>M5366-M5366*VLOOKUP($Q5366,매칭테이블!$F:$I,3,0)</f>
        <v/>
      </c>
      <c r="O5366" s="94">
        <f>VLOOKUP($Q5366,매칭테이블!$F:$I,4,0)*K5366</f>
        <v/>
      </c>
      <c r="P5366" s="148">
        <f>M5366/1.1</f>
        <v/>
      </c>
      <c r="Q5366" s="94">
        <f>F5366&amp;E5366&amp;G5366&amp;L5366</f>
        <v/>
      </c>
    </row>
    <row r="5367">
      <c r="A5367" s="94" t="n"/>
      <c r="B5367" s="128" t="n">
        <v>43923</v>
      </c>
      <c r="C5367" s="94">
        <f>TEXT(B5367,"aaa")</f>
        <v/>
      </c>
      <c r="D5367" s="94" t="n"/>
      <c r="E5367" s="94" t="inlineStr">
        <is>
          <t>앰플</t>
        </is>
      </c>
      <c r="F5367" s="94" t="inlineStr">
        <is>
          <t>글로우데이즈 시코르</t>
        </is>
      </c>
      <c r="G5367" s="94" t="inlineStr">
        <is>
          <t>앰플 30ml</t>
        </is>
      </c>
      <c r="H5367" s="7" t="n">
        <v>190801</v>
      </c>
      <c r="I5367" s="7" t="n">
        <v>190801</v>
      </c>
      <c r="J5367" s="94" t="n"/>
      <c r="K5367" s="94" t="n">
        <v>5</v>
      </c>
      <c r="L5367" s="94" t="n">
        <v>190801</v>
      </c>
      <c r="M5367" s="94">
        <f>VLOOKUP($Q5367,매칭테이블!$F:$I,2,0)*K5367</f>
        <v/>
      </c>
      <c r="N5367" s="94">
        <f>M5367-M5367*VLOOKUP($Q5367,매칭테이블!$F:$I,3,0)</f>
        <v/>
      </c>
      <c r="O5367" s="94">
        <f>VLOOKUP($Q5367,매칭테이블!$F:$I,4,0)*K5367</f>
        <v/>
      </c>
      <c r="P5367" s="148">
        <f>M5367/1.1</f>
        <v/>
      </c>
      <c r="Q5367" s="94">
        <f>F5367&amp;E5367&amp;G5367&amp;L5367</f>
        <v/>
      </c>
    </row>
    <row r="5368">
      <c r="A5368" s="94" t="n"/>
      <c r="B5368" s="128" t="n">
        <v>43923</v>
      </c>
      <c r="C5368" s="94">
        <f>TEXT(B5368,"aaa")</f>
        <v/>
      </c>
      <c r="D5368" s="94" t="n"/>
      <c r="E5368" s="94" t="inlineStr">
        <is>
          <t>수딩크림</t>
        </is>
      </c>
      <c r="F5368" s="94" t="inlineStr">
        <is>
          <t>글로우데이즈 시코르</t>
        </is>
      </c>
      <c r="G5368" s="94" t="inlineStr">
        <is>
          <t>수딩크림 100ml</t>
        </is>
      </c>
      <c r="H5368" s="7" t="n">
        <v>190801</v>
      </c>
      <c r="I5368" s="7" t="n">
        <v>190801</v>
      </c>
      <c r="J5368" s="94" t="n"/>
      <c r="K5368" s="94" t="n">
        <v>5</v>
      </c>
      <c r="L5368" s="94" t="n">
        <v>190801</v>
      </c>
      <c r="M5368" s="94">
        <f>VLOOKUP($Q5368,매칭테이블!$F:$I,2,0)*K5368</f>
        <v/>
      </c>
      <c r="N5368" s="94">
        <f>M5368-M5368*VLOOKUP($Q5368,매칭테이블!$F:$I,3,0)</f>
        <v/>
      </c>
      <c r="O5368" s="94">
        <f>VLOOKUP($Q5368,매칭테이블!$F:$I,4,0)*K5368</f>
        <v/>
      </c>
      <c r="P5368" s="148">
        <f>M5368/1.1</f>
        <v/>
      </c>
      <c r="Q5368" s="94">
        <f>F5368&amp;E5368&amp;G5368&amp;L5368</f>
        <v/>
      </c>
    </row>
    <row r="5369">
      <c r="A5369" s="94" t="n"/>
      <c r="B5369" s="128" t="n">
        <v>43923</v>
      </c>
      <c r="C5369" s="94">
        <f>TEXT(B5369,"aaa")</f>
        <v/>
      </c>
      <c r="D5369" s="94" t="n"/>
      <c r="E5369" s="94" t="inlineStr">
        <is>
          <t>마스크팩</t>
        </is>
      </c>
      <c r="F5369" s="94" t="inlineStr">
        <is>
          <t>글로우데이즈 시코르</t>
        </is>
      </c>
      <c r="G5369" s="94" t="inlineStr">
        <is>
          <t>마스크팩 1매</t>
        </is>
      </c>
      <c r="H5369" s="7" t="n">
        <v>190801</v>
      </c>
      <c r="I5369" s="7" t="n">
        <v>190801</v>
      </c>
      <c r="J5369" s="94" t="n"/>
      <c r="K5369" s="94" t="n">
        <v>5</v>
      </c>
      <c r="L5369" s="94" t="n">
        <v>190801</v>
      </c>
      <c r="M5369" s="94">
        <f>VLOOKUP($Q5369,매칭테이블!$F:$I,2,0)*K5369</f>
        <v/>
      </c>
      <c r="N5369" s="94">
        <f>M5369-M5369*VLOOKUP($Q5369,매칭테이블!$F:$I,3,0)</f>
        <v/>
      </c>
      <c r="O5369" s="94">
        <f>VLOOKUP($Q5369,매칭테이블!$F:$I,4,0)*K5369</f>
        <v/>
      </c>
      <c r="P5369" s="148">
        <f>M5369/1.1</f>
        <v/>
      </c>
      <c r="Q5369" s="94">
        <f>F5369&amp;E5369&amp;G5369&amp;L5369</f>
        <v/>
      </c>
    </row>
    <row r="5370">
      <c r="A5370" s="94" t="n"/>
      <c r="B5370" s="128" t="n">
        <v>43923</v>
      </c>
      <c r="C5370" s="94">
        <f>TEXT(B5370,"aaa")</f>
        <v/>
      </c>
      <c r="D5370" s="94" t="n"/>
      <c r="E5370" s="94" t="inlineStr">
        <is>
          <t>머드크림마스크</t>
        </is>
      </c>
      <c r="F5370" s="94" t="inlineStr">
        <is>
          <t>글로우데이즈 시코르</t>
        </is>
      </c>
      <c r="G5370" s="94" t="inlineStr">
        <is>
          <t>머드크림마스크 100ml</t>
        </is>
      </c>
      <c r="H5370" s="7" t="n">
        <v>190801</v>
      </c>
      <c r="I5370" s="7" t="n">
        <v>190801</v>
      </c>
      <c r="J5370" s="94" t="n"/>
      <c r="K5370" s="6" t="n">
        <v>5</v>
      </c>
      <c r="L5370" s="7" t="n">
        <v>190801</v>
      </c>
      <c r="M5370" s="94">
        <f>VLOOKUP($Q5370,매칭테이블!$F:$I,2,0)*K5370</f>
        <v/>
      </c>
      <c r="N5370" s="94">
        <f>M5370-M5370*VLOOKUP($Q5370,매칭테이블!$F:$I,3,0)</f>
        <v/>
      </c>
      <c r="O5370" s="94">
        <f>VLOOKUP($Q5370,매칭테이블!$F:$I,4,0)*K5370</f>
        <v/>
      </c>
      <c r="P5370" s="148">
        <f>M5370/1.1</f>
        <v/>
      </c>
      <c r="Q5370" s="94">
        <f>F5370&amp;E5370&amp;G5370&amp;L5370</f>
        <v/>
      </c>
    </row>
    <row r="5371">
      <c r="A5371" s="94" t="n"/>
      <c r="B5371" s="128" t="n">
        <v>43923</v>
      </c>
      <c r="C5371" s="94">
        <f>TEXT(B5371,"aaa")</f>
        <v/>
      </c>
      <c r="D5371" s="94" t="n"/>
      <c r="E5371" s="94" t="inlineStr">
        <is>
          <t>클렌징폼</t>
        </is>
      </c>
      <c r="F5371" s="94" t="inlineStr">
        <is>
          <t>글로우데이즈 시코르</t>
        </is>
      </c>
      <c r="G5371" s="94" t="inlineStr">
        <is>
          <t>클렌징폼 120ml</t>
        </is>
      </c>
      <c r="H5371" s="7" t="n">
        <v>190801</v>
      </c>
      <c r="I5371" s="7" t="n">
        <v>190801</v>
      </c>
      <c r="J5371" s="94" t="n"/>
      <c r="K5371" s="6" t="n">
        <v>5</v>
      </c>
      <c r="L5371" s="7" t="n">
        <v>190801</v>
      </c>
      <c r="M5371" s="94">
        <f>VLOOKUP($Q5371,매칭테이블!$F:$I,2,0)*K5371</f>
        <v/>
      </c>
      <c r="N5371" s="94">
        <f>M5371-M5371*VLOOKUP($Q5371,매칭테이블!$F:$I,3,0)</f>
        <v/>
      </c>
      <c r="O5371" s="94">
        <f>VLOOKUP($Q5371,매칭테이블!$F:$I,4,0)*K5371</f>
        <v/>
      </c>
      <c r="P5371" s="148">
        <f>M5371/1.1</f>
        <v/>
      </c>
      <c r="Q5371" s="94">
        <f>F5371&amp;E5371&amp;G5371&amp;L5371</f>
        <v/>
      </c>
    </row>
    <row r="5372">
      <c r="A5372" s="94" t="n"/>
      <c r="B5372" s="128" t="n">
        <v>43923</v>
      </c>
      <c r="C5372" s="94">
        <f>TEXT(B5372,"aaa")</f>
        <v/>
      </c>
      <c r="D5372" s="94" t="n"/>
      <c r="E5372" s="94" t="inlineStr">
        <is>
          <t>마스크팩</t>
        </is>
      </c>
      <c r="F5372" s="94" t="inlineStr">
        <is>
          <t>글로우데이즈 시코르</t>
        </is>
      </c>
      <c r="G5372" s="94" t="inlineStr">
        <is>
          <t>마스크팩 10매</t>
        </is>
      </c>
      <c r="H5372" s="7" t="n">
        <v>190801</v>
      </c>
      <c r="I5372" s="7" t="n">
        <v>190801</v>
      </c>
      <c r="J5372" s="94" t="n"/>
      <c r="K5372" s="6" t="n">
        <v>5</v>
      </c>
      <c r="L5372" s="94" t="n">
        <v>190801</v>
      </c>
      <c r="M5372" s="94">
        <f>VLOOKUP($Q5372,매칭테이블!$F:$I,2,0)*K5372</f>
        <v/>
      </c>
      <c r="N5372" s="94">
        <f>M5372-M5372*VLOOKUP($Q5372,매칭테이블!$F:$I,3,0)</f>
        <v/>
      </c>
      <c r="O5372" s="94">
        <f>VLOOKUP($Q5372,매칭테이블!$F:$I,4,0)*K5372</f>
        <v/>
      </c>
      <c r="P5372" s="148">
        <f>M5372/1.1</f>
        <v/>
      </c>
      <c r="Q5372" s="94">
        <f>F5372&amp;E5372&amp;G5372&amp;L5372</f>
        <v/>
      </c>
    </row>
    <row r="5373">
      <c r="A5373" s="94" t="n"/>
      <c r="B5373" s="128" t="n">
        <v>43923</v>
      </c>
      <c r="C5373" s="94">
        <f>TEXT(B5373,"aaa")</f>
        <v/>
      </c>
      <c r="D5373" s="94" t="n"/>
      <c r="E5373" s="94" t="inlineStr">
        <is>
          <t>마스크팩</t>
        </is>
      </c>
      <c r="F5373" s="94" t="inlineStr">
        <is>
          <t>아누아 CS</t>
        </is>
      </c>
      <c r="G5373" s="94" t="inlineStr">
        <is>
          <t>마스크팩 10매</t>
        </is>
      </c>
      <c r="H5373" s="7" t="n">
        <v>190801</v>
      </c>
      <c r="I5373" s="7" t="n">
        <v>190801</v>
      </c>
      <c r="J5373" s="94" t="n"/>
      <c r="K5373" s="6" t="n">
        <v>1</v>
      </c>
      <c r="L5373" s="94" t="n">
        <v>190801</v>
      </c>
      <c r="M5373" s="94">
        <f>VLOOKUP($Q5373,매칭테이블!$F:$I,2,0)*K5373</f>
        <v/>
      </c>
      <c r="N5373" s="94">
        <f>M5373-M5373*VLOOKUP($Q5373,매칭테이블!$F:$I,3,0)</f>
        <v/>
      </c>
      <c r="O5373" s="94">
        <f>VLOOKUP($Q5373,매칭테이블!$F:$I,4,0)*K5373</f>
        <v/>
      </c>
      <c r="P5373" s="148">
        <f>M5373/1.1</f>
        <v/>
      </c>
      <c r="Q5373" s="94">
        <f>F5373&amp;E5373&amp;G5373&amp;L5373</f>
        <v/>
      </c>
    </row>
    <row r="5374">
      <c r="A5374" s="94" t="n"/>
      <c r="B5374" s="128" t="n">
        <v>43923</v>
      </c>
      <c r="C5374" s="94">
        <f>TEXT(B5374,"aaa")</f>
        <v/>
      </c>
      <c r="D5374" s="94" t="n"/>
      <c r="E5374" s="94" t="inlineStr">
        <is>
          <t>토너</t>
        </is>
      </c>
      <c r="F5374" s="94" t="inlineStr">
        <is>
          <t>아누아 CS</t>
        </is>
      </c>
      <c r="G5374" s="94" t="inlineStr">
        <is>
          <t>250ml</t>
        </is>
      </c>
      <c r="H5374" s="7" t="n">
        <v>190801</v>
      </c>
      <c r="I5374" s="7" t="n">
        <v>190801</v>
      </c>
      <c r="J5374" s="94" t="n"/>
      <c r="K5374" s="6" t="n">
        <v>12</v>
      </c>
      <c r="L5374" s="92" t="n">
        <v>190801</v>
      </c>
      <c r="M5374" s="94">
        <f>VLOOKUP($Q5374,매칭테이블!$F:$I,2,0)*K5374</f>
        <v/>
      </c>
      <c r="N5374" s="94">
        <f>M5374-M5374*VLOOKUP($Q5374,매칭테이블!$F:$I,3,0)</f>
        <v/>
      </c>
      <c r="O5374" s="94">
        <f>VLOOKUP($Q5374,매칭테이블!$F:$I,4,0)*K5374</f>
        <v/>
      </c>
      <c r="P5374" s="148">
        <f>M5374/1.1</f>
        <v/>
      </c>
      <c r="Q5374" s="94">
        <f>F5374&amp;E5374&amp;G5374&amp;L5374</f>
        <v/>
      </c>
    </row>
    <row r="5375">
      <c r="A5375" s="94" t="n"/>
      <c r="B5375" s="128" t="n">
        <v>43923</v>
      </c>
      <c r="C5375" s="94">
        <f>TEXT(B5375,"aaa")</f>
        <v/>
      </c>
      <c r="D5375" s="94" t="n"/>
      <c r="E5375" s="94" t="inlineStr">
        <is>
          <t>앰플</t>
        </is>
      </c>
      <c r="F5375" s="94" t="inlineStr">
        <is>
          <t>아누아 CS</t>
        </is>
      </c>
      <c r="G5375" s="94" t="inlineStr">
        <is>
          <t>앰플 30ml</t>
        </is>
      </c>
      <c r="H5375" s="7" t="n">
        <v>190801</v>
      </c>
      <c r="I5375" s="7" t="n">
        <v>190801</v>
      </c>
      <c r="J5375" s="94" t="n"/>
      <c r="K5375" s="6" t="n">
        <v>32</v>
      </c>
      <c r="L5375" s="94" t="n">
        <v>190801</v>
      </c>
      <c r="M5375" s="94">
        <f>VLOOKUP($Q5375,매칭테이블!$F:$I,2,0)*K5375</f>
        <v/>
      </c>
      <c r="N5375" s="94">
        <f>M5375-M5375*VLOOKUP($Q5375,매칭테이블!$F:$I,3,0)</f>
        <v/>
      </c>
      <c r="O5375" s="94">
        <f>VLOOKUP($Q5375,매칭테이블!$F:$I,4,0)*K5375</f>
        <v/>
      </c>
      <c r="P5375" s="148">
        <f>M5375/1.1</f>
        <v/>
      </c>
      <c r="Q5375" s="94">
        <f>F5375&amp;E5375&amp;G5375&amp;L5375</f>
        <v/>
      </c>
    </row>
    <row r="5376">
      <c r="A5376" s="94" t="n"/>
      <c r="B5376" s="128" t="n">
        <v>43923</v>
      </c>
      <c r="C5376" s="94">
        <f>TEXT(B5376,"aaa")</f>
        <v/>
      </c>
      <c r="D5376" s="94" t="n"/>
      <c r="E5376" s="94" t="inlineStr">
        <is>
          <t>머드크림마스크</t>
        </is>
      </c>
      <c r="F5376" s="94" t="inlineStr">
        <is>
          <t>아누아 CS</t>
        </is>
      </c>
      <c r="G5376" s="94" t="inlineStr">
        <is>
          <t>머드크림마스크 100ml</t>
        </is>
      </c>
      <c r="H5376" s="7" t="n">
        <v>190801</v>
      </c>
      <c r="I5376" s="7" t="n">
        <v>190801</v>
      </c>
      <c r="J5376" s="94" t="n"/>
      <c r="K5376" s="6" t="n">
        <v>1</v>
      </c>
      <c r="L5376" s="7" t="n">
        <v>190801</v>
      </c>
      <c r="M5376" s="94">
        <f>VLOOKUP($Q5376,매칭테이블!$F:$I,2,0)*K5376</f>
        <v/>
      </c>
      <c r="N5376" s="94">
        <f>M5376-M5376*VLOOKUP($Q5376,매칭테이블!$F:$I,3,0)</f>
        <v/>
      </c>
      <c r="O5376" s="94">
        <f>VLOOKUP($Q5376,매칭테이블!$F:$I,4,0)*K5376</f>
        <v/>
      </c>
      <c r="P5376" s="148">
        <f>M5376/1.1</f>
        <v/>
      </c>
      <c r="Q5376" s="94">
        <f>F5376&amp;E5376&amp;G5376&amp;L5376</f>
        <v/>
      </c>
    </row>
    <row r="5377">
      <c r="A5377" s="94" t="n"/>
      <c r="B5377" s="128" t="n">
        <v>43923</v>
      </c>
      <c r="C5377" s="94">
        <f>TEXT(B5377,"aaa")</f>
        <v/>
      </c>
      <c r="D5377" s="94" t="n"/>
      <c r="E5377" s="94" t="inlineStr">
        <is>
          <t>클렌징폼</t>
        </is>
      </c>
      <c r="F5377" s="94" t="inlineStr">
        <is>
          <t>아누아 CS</t>
        </is>
      </c>
      <c r="G5377" s="94" t="inlineStr">
        <is>
          <t>클렌징폼 120ml</t>
        </is>
      </c>
      <c r="H5377" s="7" t="n">
        <v>190801</v>
      </c>
      <c r="I5377" s="7" t="n">
        <v>190801</v>
      </c>
      <c r="J5377" s="94" t="n"/>
      <c r="K5377" s="6" t="n">
        <v>2</v>
      </c>
      <c r="L5377" s="7" t="n">
        <v>190801</v>
      </c>
      <c r="M5377" s="94">
        <f>VLOOKUP($Q5377,매칭테이블!$F:$I,2,0)*K5377</f>
        <v/>
      </c>
      <c r="N5377" s="94">
        <f>M5377-M5377*VLOOKUP($Q5377,매칭테이블!$F:$I,3,0)</f>
        <v/>
      </c>
      <c r="O5377" s="94">
        <f>VLOOKUP($Q5377,매칭테이블!$F:$I,4,0)*K5377</f>
        <v/>
      </c>
      <c r="P5377" s="148">
        <f>M5377/1.1</f>
        <v/>
      </c>
      <c r="Q5377" s="94">
        <f>F5377&amp;E5377&amp;G5377&amp;L5377</f>
        <v/>
      </c>
    </row>
    <row r="5378">
      <c r="A5378" s="94" t="n"/>
      <c r="B5378" s="128" t="n">
        <v>43923</v>
      </c>
      <c r="C5378" s="94">
        <f>TEXT(B5378,"aaa")</f>
        <v/>
      </c>
      <c r="D5378" s="94" t="n"/>
      <c r="E5378" s="94" t="inlineStr">
        <is>
          <t>앰플</t>
        </is>
      </c>
      <c r="F5378" s="5" t="inlineStr">
        <is>
          <t>카페24</t>
        </is>
      </c>
      <c r="G5378" s="94" t="inlineStr">
        <is>
          <t>앰플 30ml</t>
        </is>
      </c>
      <c r="H5378" s="7" t="n">
        <v>190801</v>
      </c>
      <c r="I5378" s="7" t="n">
        <v>190801</v>
      </c>
      <c r="J5378" s="94" t="n"/>
      <c r="K5378" s="6" t="n">
        <v>5</v>
      </c>
      <c r="L5378" s="94" t="n">
        <v>190801</v>
      </c>
      <c r="M5378" s="94">
        <f>VLOOKUP($Q5378,매칭테이블!$F:$I,2,0)*K5378</f>
        <v/>
      </c>
      <c r="N5378" s="94">
        <f>M5378-M5378*VLOOKUP($Q5378,매칭테이블!$F:$I,3,0)</f>
        <v/>
      </c>
      <c r="O5378" s="94">
        <f>VLOOKUP($Q5378,매칭테이블!$F:$I,4,0)*K5378</f>
        <v/>
      </c>
      <c r="P5378" s="148">
        <f>M5378/1.1</f>
        <v/>
      </c>
      <c r="Q5378" s="94">
        <f>F5378&amp;E5378&amp;G5378&amp;L5378</f>
        <v/>
      </c>
    </row>
    <row r="5379">
      <c r="A5379" s="94" t="n"/>
      <c r="B5379" s="128" t="n">
        <v>43923</v>
      </c>
      <c r="C5379" s="94">
        <f>TEXT(B5379,"aaa")</f>
        <v/>
      </c>
      <c r="D5379" s="94" t="n"/>
      <c r="E5379" s="94" t="inlineStr">
        <is>
          <t>수딩크림</t>
        </is>
      </c>
      <c r="F5379" s="5" t="inlineStr">
        <is>
          <t>카페24</t>
        </is>
      </c>
      <c r="G5379" s="94" t="inlineStr">
        <is>
          <t>수딩크림 100ml</t>
        </is>
      </c>
      <c r="H5379" s="7" t="n">
        <v>190801</v>
      </c>
      <c r="I5379" s="7" t="n">
        <v>190801</v>
      </c>
      <c r="J5379" s="94" t="n"/>
      <c r="K5379" s="6" t="n">
        <v>13</v>
      </c>
      <c r="L5379" s="94" t="n">
        <v>190801</v>
      </c>
      <c r="M5379" s="94">
        <f>VLOOKUP($Q5379,매칭테이블!$F:$I,2,0)*K5379</f>
        <v/>
      </c>
      <c r="N5379" s="94">
        <f>M5379-M5379*VLOOKUP($Q5379,매칭테이블!$F:$I,3,0)</f>
        <v/>
      </c>
      <c r="O5379" s="94">
        <f>VLOOKUP($Q5379,매칭테이블!$F:$I,4,0)*K5379</f>
        <v/>
      </c>
      <c r="P5379" s="148">
        <f>M5379/1.1</f>
        <v/>
      </c>
      <c r="Q5379" s="94">
        <f>F5379&amp;E5379&amp;G5379&amp;L5379</f>
        <v/>
      </c>
    </row>
    <row r="5380">
      <c r="A5380" s="94" t="n"/>
      <c r="B5380" s="128" t="n">
        <v>43923</v>
      </c>
      <c r="C5380" s="94">
        <f>TEXT(B5380,"aaa")</f>
        <v/>
      </c>
      <c r="D5380" s="94" t="n"/>
      <c r="E5380" s="94" t="inlineStr">
        <is>
          <t>토너+머드크림세트</t>
        </is>
      </c>
      <c r="F5380" s="94" t="inlineStr">
        <is>
          <t>카페24</t>
        </is>
      </c>
      <c r="G5380" s="94" t="inlineStr">
        <is>
          <t>250ml</t>
        </is>
      </c>
      <c r="H5380" s="7" t="n">
        <v>190801</v>
      </c>
      <c r="I5380" s="7" t="n">
        <v>190801</v>
      </c>
      <c r="J5380" s="94" t="n"/>
      <c r="K5380" s="6" t="n">
        <v>4</v>
      </c>
      <c r="L5380" s="94" t="n">
        <v>190801</v>
      </c>
      <c r="M5380" s="94">
        <f>VLOOKUP($Q5380,매칭테이블!$F:$I,2,0)*K5380</f>
        <v/>
      </c>
      <c r="N5380" s="94">
        <f>M5380-M5380*VLOOKUP($Q5380,매칭테이블!$F:$I,3,0)</f>
        <v/>
      </c>
      <c r="O5380" s="94">
        <f>VLOOKUP($Q5380,매칭테이블!$F:$I,4,0)*K5380</f>
        <v/>
      </c>
      <c r="P5380" s="148">
        <f>M5380/1.1</f>
        <v/>
      </c>
      <c r="Q5380" s="94">
        <f>F5380&amp;E5380&amp;G5380&amp;L5380</f>
        <v/>
      </c>
    </row>
    <row r="5381">
      <c r="A5381" s="94" t="n"/>
      <c r="B5381" s="128" t="n">
        <v>43923</v>
      </c>
      <c r="C5381" s="94">
        <f>TEXT(B5381,"aaa")</f>
        <v/>
      </c>
      <c r="D5381" s="94" t="n"/>
      <c r="E5381" s="94" t="inlineStr">
        <is>
          <t>토너+머드크림세트</t>
        </is>
      </c>
      <c r="F5381" s="94" t="inlineStr">
        <is>
          <t>카페24</t>
        </is>
      </c>
      <c r="G5381" s="94" t="inlineStr">
        <is>
          <t>머드크림마스크 100ml</t>
        </is>
      </c>
      <c r="H5381" s="7" t="n">
        <v>190801</v>
      </c>
      <c r="I5381" s="7" t="n">
        <v>190801</v>
      </c>
      <c r="J5381" s="94" t="n"/>
      <c r="K5381" s="6" t="n">
        <v>4</v>
      </c>
      <c r="L5381" s="94" t="n">
        <v>190801</v>
      </c>
      <c r="M5381" s="94">
        <f>VLOOKUP($Q5381,매칭테이블!$F:$I,2,0)*K5381</f>
        <v/>
      </c>
      <c r="N5381" s="94">
        <f>M5381-M5381*VLOOKUP($Q5381,매칭테이블!$F:$I,3,0)</f>
        <v/>
      </c>
      <c r="O5381" s="94">
        <f>VLOOKUP($Q5381,매칭테이블!$F:$I,4,0)*K5381</f>
        <v/>
      </c>
      <c r="P5381" s="148">
        <f>M5381/1.1</f>
        <v/>
      </c>
      <c r="Q5381" s="94">
        <f>F5381&amp;E5381&amp;G5381&amp;L5381</f>
        <v/>
      </c>
    </row>
    <row r="5382">
      <c r="A5382" s="94" t="n"/>
      <c r="B5382" s="128" t="n">
        <v>43923</v>
      </c>
      <c r="C5382" s="94">
        <f>TEXT(B5382,"aaa")</f>
        <v/>
      </c>
      <c r="D5382" s="94" t="n"/>
      <c r="E5382" s="94" t="inlineStr">
        <is>
          <t>클렌징폼</t>
        </is>
      </c>
      <c r="F5382" s="5" t="inlineStr">
        <is>
          <t>카페24</t>
        </is>
      </c>
      <c r="G5382" s="94" t="inlineStr">
        <is>
          <t>클렌징폼 120ml</t>
        </is>
      </c>
      <c r="H5382" s="7" t="n">
        <v>190801</v>
      </c>
      <c r="I5382" s="7" t="n">
        <v>190801</v>
      </c>
      <c r="J5382" s="94" t="n"/>
      <c r="K5382" s="6" t="n">
        <v>21</v>
      </c>
      <c r="L5382" s="7" t="n">
        <v>190801</v>
      </c>
      <c r="M5382" s="94">
        <f>VLOOKUP($Q5382,매칭테이블!$F:$I,2,0)*K5382</f>
        <v/>
      </c>
      <c r="N5382" s="94">
        <f>M5382-M5382*VLOOKUP($Q5382,매칭테이블!$F:$I,3,0)</f>
        <v/>
      </c>
      <c r="O5382" s="94">
        <f>VLOOKUP($Q5382,매칭테이블!$F:$I,4,0)*K5382</f>
        <v/>
      </c>
      <c r="P5382" s="148">
        <f>M5382/1.1</f>
        <v/>
      </c>
      <c r="Q5382" s="94">
        <f>F5382&amp;E5382&amp;G5382&amp;L5382</f>
        <v/>
      </c>
    </row>
    <row r="5383">
      <c r="A5383" s="94" t="n"/>
      <c r="B5383" s="128" t="n">
        <v>43923</v>
      </c>
      <c r="C5383" s="94">
        <f>TEXT(B5383,"aaa")</f>
        <v/>
      </c>
      <c r="D5383" s="94" t="n"/>
      <c r="E5383" s="94" t="inlineStr">
        <is>
          <t>클렌징폼</t>
        </is>
      </c>
      <c r="F5383" s="94" t="inlineStr">
        <is>
          <t>카페24</t>
        </is>
      </c>
      <c r="G5383" s="94" t="inlineStr">
        <is>
          <t>클렌징폼 120ml 2set</t>
        </is>
      </c>
      <c r="H5383" s="7" t="n">
        <v>190801</v>
      </c>
      <c r="I5383" s="7" t="n">
        <v>190801</v>
      </c>
      <c r="J5383" s="94" t="n"/>
      <c r="K5383" s="6" t="n">
        <v>3</v>
      </c>
      <c r="L5383" s="7" t="n">
        <v>190801</v>
      </c>
      <c r="M5383" s="94">
        <f>VLOOKUP($Q5383,매칭테이블!$F:$I,2,0)*K5383</f>
        <v/>
      </c>
      <c r="N5383" s="94">
        <f>M5383-M5383*VLOOKUP($Q5383,매칭테이블!$F:$I,3,0)</f>
        <v/>
      </c>
      <c r="O5383" s="94">
        <f>VLOOKUP($Q5383,매칭테이블!$F:$I,4,0)*K5383</f>
        <v/>
      </c>
      <c r="P5383" s="148">
        <f>M5383/1.1</f>
        <v/>
      </c>
      <c r="Q5383" s="94">
        <f>F5383&amp;E5383&amp;G5383&amp;L5383</f>
        <v/>
      </c>
    </row>
    <row r="5384">
      <c r="A5384" s="94" t="n"/>
      <c r="B5384" s="128" t="n">
        <v>43923</v>
      </c>
      <c r="C5384" s="94">
        <f>TEXT(B5384,"aaa")</f>
        <v/>
      </c>
      <c r="D5384" s="94" t="n"/>
      <c r="E5384" s="94" t="inlineStr">
        <is>
          <t>클렌징폼</t>
        </is>
      </c>
      <c r="F5384" s="94" t="inlineStr">
        <is>
          <t>카페24</t>
        </is>
      </c>
      <c r="G5384" s="94" t="inlineStr">
        <is>
          <t>클렌징폼 120ml 3set</t>
        </is>
      </c>
      <c r="H5384" s="7" t="n">
        <v>190801</v>
      </c>
      <c r="I5384" s="7" t="n">
        <v>190801</v>
      </c>
      <c r="J5384" s="94" t="n"/>
      <c r="K5384" s="6" t="n">
        <v>4</v>
      </c>
      <c r="L5384" s="7" t="n">
        <v>190801</v>
      </c>
      <c r="M5384" s="94">
        <f>VLOOKUP($Q5384,매칭테이블!$F:$I,2,0)*K5384</f>
        <v/>
      </c>
      <c r="N5384" s="94">
        <f>M5384-M5384*VLOOKUP($Q5384,매칭테이블!$F:$I,3,0)</f>
        <v/>
      </c>
      <c r="O5384" s="94">
        <f>VLOOKUP($Q5384,매칭테이블!$F:$I,4,0)*K5384</f>
        <v/>
      </c>
      <c r="P5384" s="148">
        <f>M5384/1.1</f>
        <v/>
      </c>
      <c r="Q5384" s="94">
        <f>F5384&amp;E5384&amp;G5384&amp;L5384</f>
        <v/>
      </c>
    </row>
    <row r="5385">
      <c r="A5385" s="94" t="n"/>
      <c r="B5385" s="128" t="n">
        <v>43923</v>
      </c>
      <c r="C5385" s="94">
        <f>TEXT(B5385,"aaa")</f>
        <v/>
      </c>
      <c r="D5385" s="94" t="n"/>
      <c r="E5385" s="94" t="inlineStr">
        <is>
          <t>토너</t>
        </is>
      </c>
      <c r="F5385" s="94" t="inlineStr">
        <is>
          <t>큐텐</t>
        </is>
      </c>
      <c r="G5385" s="94" t="inlineStr">
        <is>
          <t>250ml</t>
        </is>
      </c>
      <c r="H5385" s="7" t="n">
        <v>190801</v>
      </c>
      <c r="I5385" s="7" t="n">
        <v>190801</v>
      </c>
      <c r="J5385" s="94" t="n"/>
      <c r="K5385" s="6" t="n">
        <v>23</v>
      </c>
      <c r="L5385" s="92" t="n">
        <v>190801</v>
      </c>
      <c r="M5385" s="94">
        <f>VLOOKUP($Q5385,매칭테이블!$F:$I,2,0)*K5385</f>
        <v/>
      </c>
      <c r="N5385" s="94">
        <f>M5385-M5385*VLOOKUP($Q5385,매칭테이블!$F:$I,3,0)</f>
        <v/>
      </c>
      <c r="O5385" s="94">
        <f>VLOOKUP($Q5385,매칭테이블!$F:$I,4,0)*K5385</f>
        <v/>
      </c>
      <c r="P5385" s="148">
        <f>M5385/1.1</f>
        <v/>
      </c>
      <c r="Q5385" s="94">
        <f>F5385&amp;E5385&amp;G5385&amp;L5385</f>
        <v/>
      </c>
    </row>
    <row r="5386">
      <c r="A5386" s="94" t="n"/>
      <c r="B5386" s="128" t="n">
        <v>43923</v>
      </c>
      <c r="C5386" s="94">
        <f>TEXT(B5386,"aaa")</f>
        <v/>
      </c>
      <c r="D5386" s="94" t="n"/>
      <c r="E5386" s="94" t="inlineStr">
        <is>
          <t>토너</t>
        </is>
      </c>
      <c r="F5386" s="94" t="inlineStr">
        <is>
          <t>큐텐</t>
        </is>
      </c>
      <c r="G5386" s="94" t="inlineStr">
        <is>
          <t>250ml 2set</t>
        </is>
      </c>
      <c r="H5386" s="7" t="n">
        <v>190801</v>
      </c>
      <c r="I5386" s="7" t="n">
        <v>190801</v>
      </c>
      <c r="J5386" s="94" t="n"/>
      <c r="K5386" s="6" t="n">
        <v>6</v>
      </c>
      <c r="L5386" s="92" t="n">
        <v>190801</v>
      </c>
      <c r="M5386" s="94">
        <f>VLOOKUP($Q5386,매칭테이블!$F:$I,2,0)*K5386</f>
        <v/>
      </c>
      <c r="N5386" s="94">
        <f>M5386-M5386*VLOOKUP($Q5386,매칭테이블!$F:$I,3,0)</f>
        <v/>
      </c>
      <c r="O5386" s="94">
        <f>VLOOKUP($Q5386,매칭테이블!$F:$I,4,0)*K5386</f>
        <v/>
      </c>
      <c r="P5386" s="148">
        <f>M5386/1.1</f>
        <v/>
      </c>
      <c r="Q5386" s="94">
        <f>F5386&amp;E5386&amp;G5386&amp;L5386</f>
        <v/>
      </c>
    </row>
    <row r="5387">
      <c r="A5387" s="94" t="n"/>
      <c r="B5387" s="128" t="n">
        <v>43923</v>
      </c>
      <c r="C5387" s="94">
        <f>TEXT(B5387,"aaa")</f>
        <v/>
      </c>
      <c r="D5387" s="94" t="n"/>
      <c r="E5387" s="94" t="inlineStr">
        <is>
          <t>클렌징폼</t>
        </is>
      </c>
      <c r="F5387" s="94" t="inlineStr">
        <is>
          <t>큐텐</t>
        </is>
      </c>
      <c r="G5387" s="94" t="inlineStr">
        <is>
          <t>클렌징폼 120ml</t>
        </is>
      </c>
      <c r="H5387" s="7" t="n">
        <v>190801</v>
      </c>
      <c r="I5387" s="7" t="n">
        <v>190801</v>
      </c>
      <c r="J5387" s="94" t="n"/>
      <c r="K5387" s="6" t="n">
        <v>1</v>
      </c>
      <c r="L5387" s="7" t="n">
        <v>190801</v>
      </c>
      <c r="M5387" s="94">
        <f>VLOOKUP($Q5387,매칭테이블!$F:$I,2,0)*K5387</f>
        <v/>
      </c>
      <c r="N5387" s="94">
        <f>M5387-M5387*VLOOKUP($Q5387,매칭테이블!$F:$I,3,0)</f>
        <v/>
      </c>
      <c r="O5387" s="94">
        <f>VLOOKUP($Q5387,매칭테이블!$F:$I,4,0)*K5387</f>
        <v/>
      </c>
      <c r="P5387" s="148">
        <f>M5387/1.1</f>
        <v/>
      </c>
      <c r="Q5387" s="94">
        <f>F5387&amp;E5387&amp;G5387&amp;L5387</f>
        <v/>
      </c>
    </row>
    <row r="5388">
      <c r="A5388" s="94" t="n"/>
      <c r="B5388" s="128" t="n">
        <v>43921</v>
      </c>
      <c r="C5388" s="94">
        <f>TEXT(B5388,"aaa")</f>
        <v/>
      </c>
      <c r="D5388" s="94" t="n"/>
      <c r="E5388" s="94" t="inlineStr">
        <is>
          <t>머드크림마스크</t>
        </is>
      </c>
      <c r="F5388" s="94" t="inlineStr">
        <is>
          <t>글로우데이즈 시코르</t>
        </is>
      </c>
      <c r="G5388" s="94" t="inlineStr">
        <is>
          <t>머드크림마스크 100ml</t>
        </is>
      </c>
      <c r="H5388" s="7" t="n">
        <v>190801</v>
      </c>
      <c r="I5388" s="7" t="n">
        <v>190801</v>
      </c>
      <c r="J5388" s="94" t="n"/>
      <c r="K5388" s="6" t="n">
        <v>7</v>
      </c>
      <c r="L5388" s="7" t="n">
        <v>190801</v>
      </c>
      <c r="M5388" s="94">
        <f>VLOOKUP($Q5388,매칭테이블!$F:$I,2,0)*K5388</f>
        <v/>
      </c>
      <c r="N5388" s="94">
        <f>M5388-M5388*VLOOKUP($Q5388,매칭테이블!$F:$I,3,0)</f>
        <v/>
      </c>
      <c r="O5388" s="94">
        <f>VLOOKUP($Q5388,매칭테이블!$F:$I,4,0)*K5388</f>
        <v/>
      </c>
      <c r="P5388" s="148">
        <f>M5388/1.1</f>
        <v/>
      </c>
      <c r="Q5388" s="94">
        <f>F5388&amp;E5388&amp;G5388&amp;L5388</f>
        <v/>
      </c>
    </row>
    <row r="5389">
      <c r="A5389" s="94" t="n"/>
      <c r="B5389" s="128" t="n">
        <v>43921</v>
      </c>
      <c r="C5389" s="94">
        <f>TEXT(B5389,"aaa")</f>
        <v/>
      </c>
      <c r="D5389" s="94" t="n"/>
      <c r="E5389" s="6" t="inlineStr">
        <is>
          <t>토너</t>
        </is>
      </c>
      <c r="F5389" s="94" t="inlineStr">
        <is>
          <t>글로우데이즈 시코르</t>
        </is>
      </c>
      <c r="G5389" s="5" t="inlineStr">
        <is>
          <t>500ml</t>
        </is>
      </c>
      <c r="H5389" s="7" t="n">
        <v>190801</v>
      </c>
      <c r="I5389" s="7" t="n">
        <v>190801</v>
      </c>
      <c r="J5389" s="94" t="n"/>
      <c r="K5389" s="6" t="n">
        <v>7</v>
      </c>
      <c r="L5389" s="7" t="n">
        <v>190801</v>
      </c>
      <c r="M5389" s="94">
        <f>VLOOKUP($Q5389,매칭테이블!$F:$I,2,0)*K5389</f>
        <v/>
      </c>
      <c r="N5389" s="94">
        <f>M5389-M5389*VLOOKUP($Q5389,매칭테이블!$F:$I,3,0)</f>
        <v/>
      </c>
      <c r="O5389" s="94">
        <f>VLOOKUP($Q5389,매칭테이블!$F:$I,4,0)*K5389</f>
        <v/>
      </c>
      <c r="P5389" s="148">
        <f>M5389/1.1</f>
        <v/>
      </c>
      <c r="Q5389" s="94">
        <f>F5389&amp;E5389&amp;G5389&amp;L5389</f>
        <v/>
      </c>
    </row>
    <row r="5390">
      <c r="A5390" s="94" t="n"/>
      <c r="B5390" s="128" t="n">
        <v>43924</v>
      </c>
      <c r="C5390" s="94">
        <f>TEXT(B5390,"aaa")</f>
        <v/>
      </c>
      <c r="D5390" s="94" t="n"/>
      <c r="E5390" s="6" t="inlineStr">
        <is>
          <t>토너</t>
        </is>
      </c>
      <c r="F5390" s="5" t="inlineStr">
        <is>
          <t>W컨셉</t>
        </is>
      </c>
      <c r="G5390" s="5" t="inlineStr">
        <is>
          <t>250ml</t>
        </is>
      </c>
      <c r="H5390" s="7" t="n">
        <v>190801</v>
      </c>
      <c r="I5390" s="7" t="n">
        <v>190801</v>
      </c>
      <c r="J5390" s="94" t="n"/>
      <c r="K5390" s="6" t="n">
        <v>3</v>
      </c>
      <c r="L5390" s="7" t="n">
        <v>190801</v>
      </c>
      <c r="M5390" s="94">
        <f>VLOOKUP($Q5390,매칭테이블!$F:$I,2,0)*K5390</f>
        <v/>
      </c>
      <c r="N5390" s="94">
        <f>M5390-M5390*VLOOKUP($Q5390,매칭테이블!$F:$I,3,0)</f>
        <v/>
      </c>
      <c r="O5390" s="94">
        <f>VLOOKUP($Q5390,매칭테이블!$F:$I,4,0)*K5390</f>
        <v/>
      </c>
      <c r="P5390" s="148">
        <f>M5390/1.1</f>
        <v/>
      </c>
      <c r="Q5390" s="94">
        <f>F5390&amp;E5390&amp;G5390&amp;L5390</f>
        <v/>
      </c>
    </row>
    <row r="5391">
      <c r="A5391" s="94" t="n"/>
      <c r="B5391" s="128" t="n">
        <v>43924</v>
      </c>
      <c r="C5391" s="94">
        <f>TEXT(B5391,"aaa")</f>
        <v/>
      </c>
      <c r="D5391" s="94" t="n"/>
      <c r="E5391" s="6" t="inlineStr">
        <is>
          <t>토너</t>
        </is>
      </c>
      <c r="F5391" s="5" t="inlineStr">
        <is>
          <t>W컨셉</t>
        </is>
      </c>
      <c r="G5391" s="5" t="inlineStr">
        <is>
          <t>250ml 2set</t>
        </is>
      </c>
      <c r="H5391" s="7" t="n">
        <v>190801</v>
      </c>
      <c r="I5391" s="7" t="n">
        <v>190801</v>
      </c>
      <c r="J5391" s="94" t="n"/>
      <c r="K5391" s="6" t="n">
        <v>17</v>
      </c>
      <c r="L5391" s="7" t="n">
        <v>190801</v>
      </c>
      <c r="M5391" s="94">
        <f>VLOOKUP($Q5391,매칭테이블!$F:$I,2,0)*K5391</f>
        <v/>
      </c>
      <c r="N5391" s="94">
        <f>M5391-M5391*VLOOKUP($Q5391,매칭테이블!$F:$I,3,0)</f>
        <v/>
      </c>
      <c r="O5391" s="94">
        <f>VLOOKUP($Q5391,매칭테이블!$F:$I,4,0)*K5391</f>
        <v/>
      </c>
      <c r="P5391" s="148">
        <f>M5391/1.1</f>
        <v/>
      </c>
      <c r="Q5391" s="94">
        <f>F5391&amp;E5391&amp;G5391&amp;L5391</f>
        <v/>
      </c>
    </row>
    <row r="5392">
      <c r="A5392" s="94" t="n"/>
      <c r="B5392" s="128" t="n">
        <v>43924</v>
      </c>
      <c r="C5392" s="94">
        <f>TEXT(B5392,"aaa")</f>
        <v/>
      </c>
      <c r="D5392" s="94" t="n"/>
      <c r="E5392" s="94" t="inlineStr">
        <is>
          <t>토너</t>
        </is>
      </c>
      <c r="F5392" s="5" t="inlineStr">
        <is>
          <t>스타일쉐어</t>
        </is>
      </c>
      <c r="G5392" s="94" t="inlineStr">
        <is>
          <t>250ml</t>
        </is>
      </c>
      <c r="H5392" s="7" t="n">
        <v>190801</v>
      </c>
      <c r="I5392" s="7" t="n">
        <v>190801</v>
      </c>
      <c r="J5392" s="94" t="n"/>
      <c r="K5392" s="6" t="n">
        <v>32</v>
      </c>
      <c r="L5392" s="92" t="n">
        <v>190801</v>
      </c>
      <c r="M5392" s="94">
        <f>VLOOKUP($Q5392,매칭테이블!$F:$I,2,0)*K5392</f>
        <v/>
      </c>
      <c r="N5392" s="94">
        <f>M5392-M5392*VLOOKUP($Q5392,매칭테이블!$F:$I,3,0)</f>
        <v/>
      </c>
      <c r="O5392" s="94">
        <f>VLOOKUP($Q5392,매칭테이블!$F:$I,4,0)*K5392</f>
        <v/>
      </c>
      <c r="P5392" s="148">
        <f>M5392/1.1</f>
        <v/>
      </c>
      <c r="Q5392" s="94">
        <f>F5392&amp;E5392&amp;G5392&amp;L5392</f>
        <v/>
      </c>
    </row>
    <row r="5393">
      <c r="A5393" s="94" t="n"/>
      <c r="B5393" s="128" t="n">
        <v>43924</v>
      </c>
      <c r="C5393" s="94">
        <f>TEXT(B5393,"aaa")</f>
        <v/>
      </c>
      <c r="D5393" s="94" t="n"/>
      <c r="E5393" s="94" t="inlineStr">
        <is>
          <t>토너</t>
        </is>
      </c>
      <c r="F5393" s="94" t="inlineStr">
        <is>
          <t>아누아 CS</t>
        </is>
      </c>
      <c r="G5393" s="94" t="inlineStr">
        <is>
          <t>250ml</t>
        </is>
      </c>
      <c r="H5393" s="7" t="n">
        <v>190801</v>
      </c>
      <c r="I5393" s="7" t="n">
        <v>190801</v>
      </c>
      <c r="J5393" s="94" t="n"/>
      <c r="K5393" s="6" t="n">
        <v>1</v>
      </c>
      <c r="L5393" s="92" t="n">
        <v>190801</v>
      </c>
      <c r="M5393" s="94">
        <f>VLOOKUP($Q5393,매칭테이블!$F:$I,2,0)*K5393</f>
        <v/>
      </c>
      <c r="N5393" s="94">
        <f>M5393-M5393*VLOOKUP($Q5393,매칭테이블!$F:$I,3,0)</f>
        <v/>
      </c>
      <c r="O5393" s="94">
        <f>VLOOKUP($Q5393,매칭테이블!$F:$I,4,0)*K5393</f>
        <v/>
      </c>
      <c r="P5393" s="148">
        <f>M5393/1.1</f>
        <v/>
      </c>
      <c r="Q5393" s="94">
        <f>F5393&amp;E5393&amp;G5393&amp;L5393</f>
        <v/>
      </c>
    </row>
    <row r="5394">
      <c r="A5394" s="94" t="n"/>
      <c r="B5394" s="128" t="n">
        <v>43924</v>
      </c>
      <c r="C5394" s="94">
        <f>TEXT(B5394,"aaa")</f>
        <v/>
      </c>
      <c r="D5394" s="94" t="n"/>
      <c r="E5394" s="94" t="inlineStr">
        <is>
          <t>머드크림마스크</t>
        </is>
      </c>
      <c r="F5394" s="94" t="inlineStr">
        <is>
          <t>카페24</t>
        </is>
      </c>
      <c r="G5394" s="94" t="inlineStr">
        <is>
          <t>머드크림마스크 100ml</t>
        </is>
      </c>
      <c r="H5394" s="7" t="n">
        <v>190801</v>
      </c>
      <c r="I5394" s="7" t="n">
        <v>190801</v>
      </c>
      <c r="J5394" s="94" t="n"/>
      <c r="K5394" s="6" t="n">
        <v>16</v>
      </c>
      <c r="L5394" s="94" t="n">
        <v>190801</v>
      </c>
      <c r="M5394" s="94">
        <f>VLOOKUP($Q5394,매칭테이블!$F:$I,2,0)*K5394</f>
        <v/>
      </c>
      <c r="N5394" s="94">
        <f>M5394-M5394*VLOOKUP($Q5394,매칭테이블!$F:$I,3,0)</f>
        <v/>
      </c>
      <c r="O5394" s="94">
        <f>VLOOKUP($Q5394,매칭테이블!$F:$I,4,0)*K5394</f>
        <v/>
      </c>
      <c r="P5394" s="148">
        <f>M5394/1.1</f>
        <v/>
      </c>
      <c r="Q5394" s="94">
        <f>F5394&amp;E5394&amp;G5394&amp;L5394</f>
        <v/>
      </c>
    </row>
    <row r="5395">
      <c r="A5395" s="94" t="n"/>
      <c r="B5395" s="128" t="n">
        <v>43924</v>
      </c>
      <c r="C5395" s="94">
        <f>TEXT(B5395,"aaa")</f>
        <v/>
      </c>
      <c r="D5395" s="94" t="n"/>
      <c r="E5395" s="94" t="inlineStr">
        <is>
          <t>머드크림마스크</t>
        </is>
      </c>
      <c r="F5395" s="94" t="inlineStr">
        <is>
          <t>카페24</t>
        </is>
      </c>
      <c r="G5395" s="94" t="inlineStr">
        <is>
          <t>머드크림마스크 100ml 2set</t>
        </is>
      </c>
      <c r="H5395" s="7" t="n">
        <v>190801</v>
      </c>
      <c r="I5395" s="7" t="n">
        <v>190801</v>
      </c>
      <c r="J5395" s="94" t="n"/>
      <c r="K5395" s="6" t="n">
        <v>3</v>
      </c>
      <c r="L5395" s="94" t="n">
        <v>190801</v>
      </c>
      <c r="M5395" s="94">
        <f>VLOOKUP($Q5395,매칭테이블!$F:$I,2,0)*K5395</f>
        <v/>
      </c>
      <c r="N5395" s="94">
        <f>M5395-M5395*VLOOKUP($Q5395,매칭테이블!$F:$I,3,0)</f>
        <v/>
      </c>
      <c r="O5395" s="94">
        <f>VLOOKUP($Q5395,매칭테이블!$F:$I,4,0)*K5395</f>
        <v/>
      </c>
      <c r="P5395" s="148">
        <f>M5395/1.1</f>
        <v/>
      </c>
      <c r="Q5395" s="94">
        <f>F5395&amp;E5395&amp;G5395&amp;L5395</f>
        <v/>
      </c>
    </row>
    <row r="5396">
      <c r="A5396" s="94" t="n"/>
      <c r="B5396" s="128" t="n">
        <v>43924</v>
      </c>
      <c r="C5396" s="94">
        <f>TEXT(B5396,"aaa")</f>
        <v/>
      </c>
      <c r="D5396" s="94" t="n"/>
      <c r="E5396" s="94" t="inlineStr">
        <is>
          <t>마스크팩</t>
        </is>
      </c>
      <c r="F5396" s="94" t="inlineStr">
        <is>
          <t>카페24</t>
        </is>
      </c>
      <c r="G5396" s="94" t="inlineStr">
        <is>
          <t>마스크팩 1매</t>
        </is>
      </c>
      <c r="H5396" s="7" t="n">
        <v>190801</v>
      </c>
      <c r="I5396" s="7" t="n">
        <v>190801</v>
      </c>
      <c r="J5396" s="94" t="n"/>
      <c r="K5396" s="6" t="n">
        <v>5</v>
      </c>
      <c r="L5396" s="94" t="n">
        <v>190801</v>
      </c>
      <c r="M5396" s="94">
        <f>VLOOKUP($Q5396,매칭테이블!$F:$I,2,0)*K5396</f>
        <v/>
      </c>
      <c r="N5396" s="94">
        <f>M5396-M5396*VLOOKUP($Q5396,매칭테이블!$F:$I,3,0)</f>
        <v/>
      </c>
      <c r="O5396" s="94">
        <f>VLOOKUP($Q5396,매칭테이블!$F:$I,4,0)*K5396</f>
        <v/>
      </c>
      <c r="P5396" s="148">
        <f>M5396/1.1</f>
        <v/>
      </c>
      <c r="Q5396" s="94">
        <f>F5396&amp;E5396&amp;G5396&amp;L5396</f>
        <v/>
      </c>
    </row>
    <row r="5397">
      <c r="A5397" s="94" t="n"/>
      <c r="B5397" s="128" t="n">
        <v>43924</v>
      </c>
      <c r="C5397" s="94">
        <f>TEXT(B5397,"aaa")</f>
        <v/>
      </c>
      <c r="D5397" s="94" t="n"/>
      <c r="E5397" s="94" t="inlineStr">
        <is>
          <t>마스크팩</t>
        </is>
      </c>
      <c r="F5397" s="94" t="inlineStr">
        <is>
          <t>카페24</t>
        </is>
      </c>
      <c r="G5397" s="94" t="inlineStr">
        <is>
          <t>마스크팩 10매</t>
        </is>
      </c>
      <c r="H5397" s="7" t="n">
        <v>190801</v>
      </c>
      <c r="I5397" s="7" t="n">
        <v>190801</v>
      </c>
      <c r="J5397" s="94" t="n"/>
      <c r="K5397" s="6" t="n">
        <v>7</v>
      </c>
      <c r="L5397" s="94" t="n">
        <v>190801</v>
      </c>
      <c r="M5397" s="94">
        <f>VLOOKUP($Q5397,매칭테이블!$F:$I,2,0)*K5397</f>
        <v/>
      </c>
      <c r="N5397" s="94">
        <f>M5397-M5397*VLOOKUP($Q5397,매칭테이블!$F:$I,3,0)</f>
        <v/>
      </c>
      <c r="O5397" s="94">
        <f>VLOOKUP($Q5397,매칭테이블!$F:$I,4,0)*K5397</f>
        <v/>
      </c>
      <c r="P5397" s="148">
        <f>M5397/1.1</f>
        <v/>
      </c>
      <c r="Q5397" s="94">
        <f>F5397&amp;E5397&amp;G5397&amp;L5397</f>
        <v/>
      </c>
    </row>
    <row r="5398">
      <c r="A5398" s="94" t="n"/>
      <c r="B5398" s="128" t="n">
        <v>43924</v>
      </c>
      <c r="C5398" s="94">
        <f>TEXT(B5398,"aaa")</f>
        <v/>
      </c>
      <c r="D5398" s="94" t="n"/>
      <c r="E5398" s="6" t="inlineStr">
        <is>
          <t>토너</t>
        </is>
      </c>
      <c r="F5398" s="5" t="inlineStr">
        <is>
          <t>카페24</t>
        </is>
      </c>
      <c r="G5398" s="5" t="inlineStr">
        <is>
          <t>250ml</t>
        </is>
      </c>
      <c r="H5398" s="7" t="n">
        <v>190801</v>
      </c>
      <c r="I5398" s="7" t="n">
        <v>190801</v>
      </c>
      <c r="J5398" s="94" t="n"/>
      <c r="K5398" s="6" t="n">
        <v>84</v>
      </c>
      <c r="L5398" s="7" t="n">
        <v>190801</v>
      </c>
      <c r="M5398" s="94">
        <f>VLOOKUP($Q5398,매칭테이블!$F:$I,2,0)*K5398</f>
        <v/>
      </c>
      <c r="N5398" s="94">
        <f>M5398-M5398*VLOOKUP($Q5398,매칭테이블!$F:$I,3,0)</f>
        <v/>
      </c>
      <c r="O5398" s="94">
        <f>VLOOKUP($Q5398,매칭테이블!$F:$I,4,0)*K5398</f>
        <v/>
      </c>
      <c r="P5398" s="148">
        <f>M5398/1.1</f>
        <v/>
      </c>
      <c r="Q5398" s="94">
        <f>F5398&amp;E5398&amp;G5398&amp;L5398</f>
        <v/>
      </c>
    </row>
    <row r="5399">
      <c r="A5399" s="94" t="n"/>
      <c r="B5399" s="128" t="n">
        <v>43924</v>
      </c>
      <c r="C5399" s="94">
        <f>TEXT(B5399,"aaa")</f>
        <v/>
      </c>
      <c r="D5399" s="94" t="n"/>
      <c r="E5399" s="6" t="inlineStr">
        <is>
          <t>토너</t>
        </is>
      </c>
      <c r="F5399" s="5" t="inlineStr">
        <is>
          <t>카페24</t>
        </is>
      </c>
      <c r="G5399" s="5" t="inlineStr">
        <is>
          <t>250ml 2set</t>
        </is>
      </c>
      <c r="H5399" s="7" t="n">
        <v>190801</v>
      </c>
      <c r="I5399" s="7" t="n">
        <v>190801</v>
      </c>
      <c r="J5399" s="94" t="n"/>
      <c r="K5399" s="6" t="n">
        <v>71</v>
      </c>
      <c r="L5399" s="7" t="n">
        <v>190801</v>
      </c>
      <c r="M5399" s="94">
        <f>VLOOKUP($Q5399,매칭테이블!$F:$I,2,0)*K5399</f>
        <v/>
      </c>
      <c r="N5399" s="94">
        <f>M5399-M5399*VLOOKUP($Q5399,매칭테이블!$F:$I,3,0)</f>
        <v/>
      </c>
      <c r="O5399" s="94">
        <f>VLOOKUP($Q5399,매칭테이블!$F:$I,4,0)*K5399</f>
        <v/>
      </c>
      <c r="P5399" s="148">
        <f>M5399/1.1</f>
        <v/>
      </c>
      <c r="Q5399" s="94">
        <f>F5399&amp;E5399&amp;G5399&amp;L5399</f>
        <v/>
      </c>
    </row>
    <row r="5400">
      <c r="A5400" s="94" t="n"/>
      <c r="B5400" s="128" t="n">
        <v>43924</v>
      </c>
      <c r="C5400" s="94">
        <f>TEXT(B5400,"aaa")</f>
        <v/>
      </c>
      <c r="D5400" s="94" t="n"/>
      <c r="E5400" s="6" t="inlineStr">
        <is>
          <t>토너</t>
        </is>
      </c>
      <c r="F5400" s="5" t="inlineStr">
        <is>
          <t>카페24</t>
        </is>
      </c>
      <c r="G5400" s="5" t="inlineStr">
        <is>
          <t>500ml</t>
        </is>
      </c>
      <c r="H5400" s="7" t="n">
        <v>190801</v>
      </c>
      <c r="I5400" s="7" t="n">
        <v>190801</v>
      </c>
      <c r="J5400" s="94" t="n"/>
      <c r="K5400" s="6" t="n">
        <v>68</v>
      </c>
      <c r="L5400" s="7" t="n">
        <v>190801</v>
      </c>
      <c r="M5400" s="94">
        <f>VLOOKUP($Q5400,매칭테이블!$F:$I,2,0)*K5400</f>
        <v/>
      </c>
      <c r="N5400" s="94">
        <f>M5400-M5400*VLOOKUP($Q5400,매칭테이블!$F:$I,3,0)</f>
        <v/>
      </c>
      <c r="O5400" s="94">
        <f>VLOOKUP($Q5400,매칭테이블!$F:$I,4,0)*K5400</f>
        <v/>
      </c>
      <c r="P5400" s="148">
        <f>M5400/1.1</f>
        <v/>
      </c>
      <c r="Q5400" s="94">
        <f>F5400&amp;E5400&amp;G5400&amp;L5400</f>
        <v/>
      </c>
    </row>
    <row r="5401">
      <c r="A5401" s="94" t="n"/>
      <c r="B5401" s="128" t="n">
        <v>43924</v>
      </c>
      <c r="C5401" s="94">
        <f>TEXT(B5401,"aaa")</f>
        <v/>
      </c>
      <c r="D5401" s="94" t="n"/>
      <c r="E5401" s="6" t="inlineStr">
        <is>
          <t>토너</t>
        </is>
      </c>
      <c r="F5401" s="5" t="inlineStr">
        <is>
          <t>카페24</t>
        </is>
      </c>
      <c r="G5401" s="94" t="inlineStr">
        <is>
          <t>스킨팩 화장솜 60P</t>
        </is>
      </c>
      <c r="H5401" s="7" t="n">
        <v>190801</v>
      </c>
      <c r="I5401" s="7" t="n">
        <v>190801</v>
      </c>
      <c r="J5401" s="94" t="n"/>
      <c r="K5401" s="6" t="n">
        <v>76</v>
      </c>
      <c r="L5401" s="7" t="n">
        <v>190801</v>
      </c>
      <c r="M5401" s="94">
        <f>VLOOKUP($Q5401,매칭테이블!$F:$I,2,0)*K5401</f>
        <v/>
      </c>
      <c r="N5401" s="94">
        <f>M5401-M5401*VLOOKUP($Q5401,매칭테이블!$F:$I,3,0)</f>
        <v/>
      </c>
      <c r="O5401" s="94">
        <f>VLOOKUP($Q5401,매칭테이블!$F:$I,4,0)*K5401</f>
        <v/>
      </c>
      <c r="P5401" s="148">
        <f>M5401/1.1</f>
        <v/>
      </c>
      <c r="Q5401" s="94">
        <f>F5401&amp;E5401&amp;G5401&amp;L5401</f>
        <v/>
      </c>
    </row>
    <row r="5402">
      <c r="A5402" s="94" t="n"/>
      <c r="B5402" s="128" t="n">
        <v>43924</v>
      </c>
      <c r="C5402" s="94">
        <f>TEXT(B5402,"aaa")</f>
        <v/>
      </c>
      <c r="D5402" s="94" t="n"/>
      <c r="E5402" s="94" t="inlineStr">
        <is>
          <t>앰플</t>
        </is>
      </c>
      <c r="F5402" s="5" t="inlineStr">
        <is>
          <t>카페24</t>
        </is>
      </c>
      <c r="G5402" s="94" t="inlineStr">
        <is>
          <t>앰플 30ml</t>
        </is>
      </c>
      <c r="H5402" s="7" t="n">
        <v>190801</v>
      </c>
      <c r="I5402" s="7" t="n">
        <v>190801</v>
      </c>
      <c r="J5402" s="94" t="n"/>
      <c r="K5402" s="6" t="n">
        <v>9</v>
      </c>
      <c r="L5402" s="94" t="n">
        <v>190801</v>
      </c>
      <c r="M5402" s="94">
        <f>VLOOKUP($Q5402,매칭테이블!$F:$I,2,0)*K5402</f>
        <v/>
      </c>
      <c r="N5402" s="94">
        <f>M5402-M5402*VLOOKUP($Q5402,매칭테이블!$F:$I,3,0)</f>
        <v/>
      </c>
      <c r="O5402" s="94">
        <f>VLOOKUP($Q5402,매칭테이블!$F:$I,4,0)*K5402</f>
        <v/>
      </c>
      <c r="P5402" s="148">
        <f>M5402/1.1</f>
        <v/>
      </c>
      <c r="Q5402" s="94">
        <f>F5402&amp;E5402&amp;G5402&amp;L5402</f>
        <v/>
      </c>
    </row>
    <row r="5403">
      <c r="A5403" s="94" t="n"/>
      <c r="B5403" s="128" t="n">
        <v>43924</v>
      </c>
      <c r="C5403" s="94">
        <f>TEXT(B5403,"aaa")</f>
        <v/>
      </c>
      <c r="D5403" s="94" t="n"/>
      <c r="E5403" s="94" t="inlineStr">
        <is>
          <t>수딩크림</t>
        </is>
      </c>
      <c r="F5403" s="5" t="inlineStr">
        <is>
          <t>카페24</t>
        </is>
      </c>
      <c r="G5403" s="94" t="inlineStr">
        <is>
          <t>수딩크림 100ml</t>
        </is>
      </c>
      <c r="H5403" s="7" t="n">
        <v>190801</v>
      </c>
      <c r="I5403" s="7" t="n">
        <v>190801</v>
      </c>
      <c r="J5403" s="94" t="n"/>
      <c r="K5403" s="6" t="n">
        <v>12</v>
      </c>
      <c r="L5403" s="94" t="n">
        <v>190801</v>
      </c>
      <c r="M5403" s="94">
        <f>VLOOKUP($Q5403,매칭테이블!$F:$I,2,0)*K5403</f>
        <v/>
      </c>
      <c r="N5403" s="94">
        <f>M5403-M5403*VLOOKUP($Q5403,매칭테이블!$F:$I,3,0)</f>
        <v/>
      </c>
      <c r="O5403" s="94">
        <f>VLOOKUP($Q5403,매칭테이블!$F:$I,4,0)*K5403</f>
        <v/>
      </c>
      <c r="P5403" s="148">
        <f>M5403/1.1</f>
        <v/>
      </c>
      <c r="Q5403" s="94">
        <f>F5403&amp;E5403&amp;G5403&amp;L5403</f>
        <v/>
      </c>
    </row>
    <row r="5404">
      <c r="A5404" s="94" t="n"/>
      <c r="B5404" s="128" t="n">
        <v>43924</v>
      </c>
      <c r="C5404" s="94">
        <f>TEXT(B5404,"aaa")</f>
        <v/>
      </c>
      <c r="D5404" s="94" t="n"/>
      <c r="E5404" s="94" t="inlineStr">
        <is>
          <t>토너+머드크림세트</t>
        </is>
      </c>
      <c r="F5404" s="94" t="inlineStr">
        <is>
          <t>카페24</t>
        </is>
      </c>
      <c r="G5404" s="94" t="inlineStr">
        <is>
          <t>250ml</t>
        </is>
      </c>
      <c r="H5404" s="7" t="n">
        <v>190801</v>
      </c>
      <c r="I5404" s="7" t="n">
        <v>190801</v>
      </c>
      <c r="J5404" s="94" t="n"/>
      <c r="K5404" s="6" t="n">
        <v>2</v>
      </c>
      <c r="L5404" s="94" t="n">
        <v>190801</v>
      </c>
      <c r="M5404" s="94">
        <f>VLOOKUP($Q5404,매칭테이블!$F:$I,2,0)*K5404</f>
        <v/>
      </c>
      <c r="N5404" s="94">
        <f>M5404-M5404*VLOOKUP($Q5404,매칭테이블!$F:$I,3,0)</f>
        <v/>
      </c>
      <c r="O5404" s="94">
        <f>VLOOKUP($Q5404,매칭테이블!$F:$I,4,0)*K5404</f>
        <v/>
      </c>
      <c r="P5404" s="148">
        <f>M5404/1.1</f>
        <v/>
      </c>
      <c r="Q5404" s="94">
        <f>F5404&amp;E5404&amp;G5404&amp;L5404</f>
        <v/>
      </c>
    </row>
    <row r="5405">
      <c r="A5405" s="94" t="n"/>
      <c r="B5405" s="128" t="n">
        <v>43924</v>
      </c>
      <c r="C5405" s="94">
        <f>TEXT(B5405,"aaa")</f>
        <v/>
      </c>
      <c r="D5405" s="94" t="n"/>
      <c r="E5405" s="94" t="inlineStr">
        <is>
          <t>토너+머드크림세트</t>
        </is>
      </c>
      <c r="F5405" s="94" t="inlineStr">
        <is>
          <t>카페24</t>
        </is>
      </c>
      <c r="G5405" s="94" t="inlineStr">
        <is>
          <t>머드크림마스크 100ml</t>
        </is>
      </c>
      <c r="H5405" s="7" t="n">
        <v>190801</v>
      </c>
      <c r="I5405" s="7" t="n">
        <v>190801</v>
      </c>
      <c r="J5405" s="94" t="n"/>
      <c r="K5405" s="6" t="n">
        <v>2</v>
      </c>
      <c r="L5405" s="94" t="n">
        <v>190801</v>
      </c>
      <c r="M5405" s="94">
        <f>VLOOKUP($Q5405,매칭테이블!$F:$I,2,0)*K5405</f>
        <v/>
      </c>
      <c r="N5405" s="94">
        <f>M5405-M5405*VLOOKUP($Q5405,매칭테이블!$F:$I,3,0)</f>
        <v/>
      </c>
      <c r="O5405" s="94">
        <f>VLOOKUP($Q5405,매칭테이블!$F:$I,4,0)*K5405</f>
        <v/>
      </c>
      <c r="P5405" s="148">
        <f>M5405/1.1</f>
        <v/>
      </c>
      <c r="Q5405" s="94">
        <f>F5405&amp;E5405&amp;G5405&amp;L5405</f>
        <v/>
      </c>
    </row>
    <row r="5406">
      <c r="A5406" s="94" t="n"/>
      <c r="B5406" s="128" t="n">
        <v>43924</v>
      </c>
      <c r="C5406" s="94">
        <f>TEXT(B5406,"aaa")</f>
        <v/>
      </c>
      <c r="D5406" s="94" t="n"/>
      <c r="E5406" s="94" t="inlineStr">
        <is>
          <t>클렌징폼</t>
        </is>
      </c>
      <c r="F5406" s="5" t="inlineStr">
        <is>
          <t>카페24</t>
        </is>
      </c>
      <c r="G5406" s="94" t="inlineStr">
        <is>
          <t>클렌징폼 120ml</t>
        </is>
      </c>
      <c r="H5406" s="7" t="n">
        <v>190801</v>
      </c>
      <c r="I5406" s="7" t="n">
        <v>190801</v>
      </c>
      <c r="J5406" s="94" t="n"/>
      <c r="K5406" s="6" t="n">
        <v>8</v>
      </c>
      <c r="L5406" s="7" t="n">
        <v>190801</v>
      </c>
      <c r="M5406" s="94">
        <f>VLOOKUP($Q5406,매칭테이블!$F:$I,2,0)*K5406</f>
        <v/>
      </c>
      <c r="N5406" s="94">
        <f>M5406-M5406*VLOOKUP($Q5406,매칭테이블!$F:$I,3,0)</f>
        <v/>
      </c>
      <c r="O5406" s="94">
        <f>VLOOKUP($Q5406,매칭테이블!$F:$I,4,0)*K5406</f>
        <v/>
      </c>
      <c r="P5406" s="148">
        <f>M5406/1.1</f>
        <v/>
      </c>
      <c r="Q5406" s="94">
        <f>F5406&amp;E5406&amp;G5406&amp;L5406</f>
        <v/>
      </c>
    </row>
    <row r="5407">
      <c r="A5407" s="94" t="n"/>
      <c r="B5407" s="128" t="n">
        <v>43924</v>
      </c>
      <c r="C5407" s="94">
        <f>TEXT(B5407,"aaa")</f>
        <v/>
      </c>
      <c r="D5407" s="94" t="n"/>
      <c r="E5407" s="94" t="inlineStr">
        <is>
          <t>클렌징폼</t>
        </is>
      </c>
      <c r="F5407" s="94" t="inlineStr">
        <is>
          <t>카페24</t>
        </is>
      </c>
      <c r="G5407" s="94" t="inlineStr">
        <is>
          <t>클렌징폼 120ml 2set</t>
        </is>
      </c>
      <c r="H5407" s="7" t="n">
        <v>190801</v>
      </c>
      <c r="I5407" s="7" t="n">
        <v>190801</v>
      </c>
      <c r="J5407" s="94" t="n"/>
      <c r="K5407" s="6" t="n">
        <v>1</v>
      </c>
      <c r="L5407" s="7" t="n">
        <v>190801</v>
      </c>
      <c r="M5407" s="94">
        <f>VLOOKUP($Q5407,매칭테이블!$F:$I,2,0)*K5407</f>
        <v/>
      </c>
      <c r="N5407" s="94">
        <f>M5407-M5407*VLOOKUP($Q5407,매칭테이블!$F:$I,3,0)</f>
        <v/>
      </c>
      <c r="O5407" s="94">
        <f>VLOOKUP($Q5407,매칭테이블!$F:$I,4,0)*K5407</f>
        <v/>
      </c>
      <c r="P5407" s="148">
        <f>M5407/1.1</f>
        <v/>
      </c>
      <c r="Q5407" s="94">
        <f>F5407&amp;E5407&amp;G5407&amp;L5407</f>
        <v/>
      </c>
    </row>
    <row r="5408">
      <c r="A5408" s="94" t="n"/>
      <c r="B5408" s="128" t="n">
        <v>43924</v>
      </c>
      <c r="C5408" s="94">
        <f>TEXT(B5408,"aaa")</f>
        <v/>
      </c>
      <c r="D5408" s="94" t="n"/>
      <c r="E5408" s="94" t="inlineStr">
        <is>
          <t>클렌징폼</t>
        </is>
      </c>
      <c r="F5408" s="94" t="inlineStr">
        <is>
          <t>카페24</t>
        </is>
      </c>
      <c r="G5408" s="94" t="inlineStr">
        <is>
          <t>클렌징폼 120ml 3set</t>
        </is>
      </c>
      <c r="H5408" s="7" t="n">
        <v>190801</v>
      </c>
      <c r="I5408" s="7" t="n">
        <v>190801</v>
      </c>
      <c r="J5408" s="94" t="n"/>
      <c r="K5408" s="6" t="n">
        <v>1</v>
      </c>
      <c r="L5408" s="7" t="n">
        <v>190801</v>
      </c>
      <c r="M5408" s="94">
        <f>VLOOKUP($Q5408,매칭테이블!$F:$I,2,0)*K5408</f>
        <v/>
      </c>
      <c r="N5408" s="94">
        <f>M5408-M5408*VLOOKUP($Q5408,매칭테이블!$F:$I,3,0)</f>
        <v/>
      </c>
      <c r="O5408" s="94">
        <f>VLOOKUP($Q5408,매칭테이블!$F:$I,4,0)*K5408</f>
        <v/>
      </c>
      <c r="P5408" s="148">
        <f>M5408/1.1</f>
        <v/>
      </c>
      <c r="Q5408" s="94">
        <f>F5408&amp;E5408&amp;G5408&amp;L5408</f>
        <v/>
      </c>
    </row>
    <row r="5409">
      <c r="A5409" s="94" t="n"/>
      <c r="B5409" s="128" t="n">
        <v>43924</v>
      </c>
      <c r="C5409" s="94">
        <f>TEXT(B5409,"aaa")</f>
        <v/>
      </c>
      <c r="D5409" s="94" t="n"/>
      <c r="E5409" s="94" t="inlineStr">
        <is>
          <t>토너</t>
        </is>
      </c>
      <c r="F5409" s="94" t="inlineStr">
        <is>
          <t>큐텐</t>
        </is>
      </c>
      <c r="G5409" s="94" t="inlineStr">
        <is>
          <t>250ml</t>
        </is>
      </c>
      <c r="H5409" s="7" t="n">
        <v>190801</v>
      </c>
      <c r="I5409" s="7" t="n">
        <v>190801</v>
      </c>
      <c r="J5409" s="94" t="n"/>
      <c r="K5409" s="6" t="n">
        <v>30</v>
      </c>
      <c r="L5409" s="92" t="n">
        <v>190801</v>
      </c>
      <c r="M5409" s="94">
        <f>VLOOKUP($Q5409,매칭테이블!$F:$I,2,0)*K5409</f>
        <v/>
      </c>
      <c r="N5409" s="94">
        <f>M5409-M5409*VLOOKUP($Q5409,매칭테이블!$F:$I,3,0)</f>
        <v/>
      </c>
      <c r="O5409" s="94">
        <f>VLOOKUP($Q5409,매칭테이블!$F:$I,4,0)*K5409</f>
        <v/>
      </c>
      <c r="P5409" s="148">
        <f>M5409/1.1</f>
        <v/>
      </c>
      <c r="Q5409" s="94">
        <f>F5409&amp;E5409&amp;G5409&amp;L5409</f>
        <v/>
      </c>
    </row>
    <row r="5410">
      <c r="A5410" s="94" t="n"/>
      <c r="B5410" s="128" t="n">
        <v>43924</v>
      </c>
      <c r="C5410" s="94">
        <f>TEXT(B5410,"aaa")</f>
        <v/>
      </c>
      <c r="D5410" s="94" t="n"/>
      <c r="E5410" s="94" t="inlineStr">
        <is>
          <t>토너</t>
        </is>
      </c>
      <c r="F5410" s="94" t="inlineStr">
        <is>
          <t>큐텐</t>
        </is>
      </c>
      <c r="G5410" s="94" t="inlineStr">
        <is>
          <t>250ml 2set</t>
        </is>
      </c>
      <c r="H5410" s="7" t="n">
        <v>190801</v>
      </c>
      <c r="I5410" s="7" t="n">
        <v>190801</v>
      </c>
      <c r="J5410" s="94" t="n"/>
      <c r="K5410" s="6" t="n">
        <v>6</v>
      </c>
      <c r="L5410" s="92" t="n">
        <v>190801</v>
      </c>
      <c r="M5410" s="94">
        <f>VLOOKUP($Q5410,매칭테이블!$F:$I,2,0)*K5410</f>
        <v/>
      </c>
      <c r="N5410" s="94">
        <f>M5410-M5410*VLOOKUP($Q5410,매칭테이블!$F:$I,3,0)</f>
        <v/>
      </c>
      <c r="O5410" s="94">
        <f>VLOOKUP($Q5410,매칭테이블!$F:$I,4,0)*K5410</f>
        <v/>
      </c>
      <c r="P5410" s="148">
        <f>M5410/1.1</f>
        <v/>
      </c>
      <c r="Q5410" s="94">
        <f>F5410&amp;E5410&amp;G5410&amp;L5410</f>
        <v/>
      </c>
    </row>
    <row r="5411">
      <c r="A5411" s="94" t="n"/>
      <c r="B5411" s="128" t="n">
        <v>43925</v>
      </c>
      <c r="C5411" s="94">
        <f>TEXT(B5411,"aaa")</f>
        <v/>
      </c>
      <c r="D5411" s="94" t="n"/>
      <c r="E5411" s="94" t="inlineStr">
        <is>
          <t>토너</t>
        </is>
      </c>
      <c r="F5411" s="5" t="inlineStr">
        <is>
          <t>스타일쉐어</t>
        </is>
      </c>
      <c r="G5411" s="94" t="inlineStr">
        <is>
          <t>250ml</t>
        </is>
      </c>
      <c r="H5411" s="7" t="n">
        <v>190801</v>
      </c>
      <c r="I5411" s="7" t="n">
        <v>190801</v>
      </c>
      <c r="J5411" s="94" t="n"/>
      <c r="K5411" s="6" t="n">
        <v>24</v>
      </c>
      <c r="L5411" s="92" t="n">
        <v>190801</v>
      </c>
      <c r="M5411" s="94">
        <f>VLOOKUP($Q5411,매칭테이블!$F:$I,2,0)*K5411</f>
        <v/>
      </c>
      <c r="N5411" s="94">
        <f>M5411-M5411*VLOOKUP($Q5411,매칭테이블!$F:$I,3,0)</f>
        <v/>
      </c>
      <c r="O5411" s="94">
        <f>VLOOKUP($Q5411,매칭테이블!$F:$I,4,0)*K5411</f>
        <v/>
      </c>
      <c r="P5411" s="148">
        <f>M5411/1.1</f>
        <v/>
      </c>
      <c r="Q5411" s="94">
        <f>F5411&amp;E5411&amp;G5411&amp;L5411</f>
        <v/>
      </c>
    </row>
    <row r="5412">
      <c r="A5412" s="94" t="n"/>
      <c r="B5412" s="128" t="n">
        <v>43925</v>
      </c>
      <c r="C5412" s="94">
        <f>TEXT(B5412,"aaa")</f>
        <v/>
      </c>
      <c r="D5412" s="94" t="n"/>
      <c r="E5412" s="94" t="inlineStr">
        <is>
          <t>머드크림마스크</t>
        </is>
      </c>
      <c r="F5412" s="94" t="inlineStr">
        <is>
          <t>카페24</t>
        </is>
      </c>
      <c r="G5412" s="94" t="inlineStr">
        <is>
          <t>머드크림마스크 100ml</t>
        </is>
      </c>
      <c r="H5412" s="7" t="n">
        <v>190801</v>
      </c>
      <c r="I5412" s="7" t="n">
        <v>190801</v>
      </c>
      <c r="J5412" s="94" t="n"/>
      <c r="K5412" s="6" t="n">
        <v>10</v>
      </c>
      <c r="L5412" s="94" t="n">
        <v>190801</v>
      </c>
      <c r="M5412" s="94">
        <f>VLOOKUP($Q5412,매칭테이블!$F:$I,2,0)*K5412</f>
        <v/>
      </c>
      <c r="N5412" s="94">
        <f>M5412-M5412*VLOOKUP($Q5412,매칭테이블!$F:$I,3,0)</f>
        <v/>
      </c>
      <c r="O5412" s="94">
        <f>VLOOKUP($Q5412,매칭테이블!$F:$I,4,0)*K5412</f>
        <v/>
      </c>
      <c r="P5412" s="148">
        <f>M5412/1.1</f>
        <v/>
      </c>
      <c r="Q5412" s="94">
        <f>F5412&amp;E5412&amp;G5412&amp;L5412</f>
        <v/>
      </c>
    </row>
    <row r="5413">
      <c r="A5413" s="94" t="n"/>
      <c r="B5413" s="128" t="n">
        <v>43925</v>
      </c>
      <c r="C5413" s="94">
        <f>TEXT(B5413,"aaa")</f>
        <v/>
      </c>
      <c r="D5413" s="94" t="n"/>
      <c r="E5413" s="94" t="inlineStr">
        <is>
          <t>마스크팩</t>
        </is>
      </c>
      <c r="F5413" s="94" t="inlineStr">
        <is>
          <t>카페24</t>
        </is>
      </c>
      <c r="G5413" s="94" t="inlineStr">
        <is>
          <t>마스크팩 1매</t>
        </is>
      </c>
      <c r="H5413" s="7" t="n">
        <v>190801</v>
      </c>
      <c r="I5413" s="7" t="n">
        <v>190801</v>
      </c>
      <c r="J5413" s="94" t="n"/>
      <c r="K5413" s="6" t="n">
        <v>11</v>
      </c>
      <c r="L5413" s="94" t="n">
        <v>190801</v>
      </c>
      <c r="M5413" s="94">
        <f>VLOOKUP($Q5413,매칭테이블!$F:$I,2,0)*K5413</f>
        <v/>
      </c>
      <c r="N5413" s="94">
        <f>M5413-M5413*VLOOKUP($Q5413,매칭테이블!$F:$I,3,0)</f>
        <v/>
      </c>
      <c r="O5413" s="94">
        <f>VLOOKUP($Q5413,매칭테이블!$F:$I,4,0)*K5413</f>
        <v/>
      </c>
      <c r="P5413" s="148">
        <f>M5413/1.1</f>
        <v/>
      </c>
      <c r="Q5413" s="94">
        <f>F5413&amp;E5413&amp;G5413&amp;L5413</f>
        <v/>
      </c>
    </row>
    <row r="5414">
      <c r="A5414" s="94" t="n"/>
      <c r="B5414" s="128" t="n">
        <v>43925</v>
      </c>
      <c r="C5414" s="94">
        <f>TEXT(B5414,"aaa")</f>
        <v/>
      </c>
      <c r="D5414" s="94" t="n"/>
      <c r="E5414" s="94" t="inlineStr">
        <is>
          <t>마스크팩</t>
        </is>
      </c>
      <c r="F5414" s="94" t="inlineStr">
        <is>
          <t>카페24</t>
        </is>
      </c>
      <c r="G5414" s="94" t="inlineStr">
        <is>
          <t>마스크팩 10매</t>
        </is>
      </c>
      <c r="H5414" s="7" t="n">
        <v>190801</v>
      </c>
      <c r="I5414" s="7" t="n">
        <v>190801</v>
      </c>
      <c r="J5414" s="94" t="n"/>
      <c r="K5414" s="6" t="n">
        <v>7</v>
      </c>
      <c r="L5414" s="94" t="n">
        <v>190801</v>
      </c>
      <c r="M5414" s="94">
        <f>VLOOKUP($Q5414,매칭테이블!$F:$I,2,0)*K5414</f>
        <v/>
      </c>
      <c r="N5414" s="94">
        <f>M5414-M5414*VLOOKUP($Q5414,매칭테이블!$F:$I,3,0)</f>
        <v/>
      </c>
      <c r="O5414" s="94">
        <f>VLOOKUP($Q5414,매칭테이블!$F:$I,4,0)*K5414</f>
        <v/>
      </c>
      <c r="P5414" s="148">
        <f>M5414/1.1</f>
        <v/>
      </c>
      <c r="Q5414" s="94">
        <f>F5414&amp;E5414&amp;G5414&amp;L5414</f>
        <v/>
      </c>
    </row>
    <row r="5415">
      <c r="A5415" s="94" t="n"/>
      <c r="B5415" s="128" t="n">
        <v>43925</v>
      </c>
      <c r="C5415" s="94">
        <f>TEXT(B5415,"aaa")</f>
        <v/>
      </c>
      <c r="D5415" s="94" t="n"/>
      <c r="E5415" s="6" t="inlineStr">
        <is>
          <t>토너</t>
        </is>
      </c>
      <c r="F5415" s="5" t="inlineStr">
        <is>
          <t>카페24</t>
        </is>
      </c>
      <c r="G5415" s="5" t="inlineStr">
        <is>
          <t>250ml</t>
        </is>
      </c>
      <c r="H5415" s="7" t="n">
        <v>190801</v>
      </c>
      <c r="I5415" s="7" t="n">
        <v>190801</v>
      </c>
      <c r="J5415" s="94" t="n"/>
      <c r="K5415" s="6" t="n">
        <v>85</v>
      </c>
      <c r="L5415" s="7" t="n">
        <v>190801</v>
      </c>
      <c r="M5415" s="94">
        <f>VLOOKUP($Q5415,매칭테이블!$F:$I,2,0)*K5415</f>
        <v/>
      </c>
      <c r="N5415" s="94">
        <f>M5415-M5415*VLOOKUP($Q5415,매칭테이블!$F:$I,3,0)</f>
        <v/>
      </c>
      <c r="O5415" s="94">
        <f>VLOOKUP($Q5415,매칭테이블!$F:$I,4,0)*K5415</f>
        <v/>
      </c>
      <c r="P5415" s="148">
        <f>M5415/1.1</f>
        <v/>
      </c>
      <c r="Q5415" s="94">
        <f>F5415&amp;E5415&amp;G5415&amp;L5415</f>
        <v/>
      </c>
    </row>
    <row r="5416">
      <c r="A5416" s="94" t="n"/>
      <c r="B5416" s="128" t="n">
        <v>43925</v>
      </c>
      <c r="C5416" s="94">
        <f>TEXT(B5416,"aaa")</f>
        <v/>
      </c>
      <c r="D5416" s="94" t="n"/>
      <c r="E5416" s="6" t="inlineStr">
        <is>
          <t>토너</t>
        </is>
      </c>
      <c r="F5416" s="5" t="inlineStr">
        <is>
          <t>카페24</t>
        </is>
      </c>
      <c r="G5416" s="5" t="inlineStr">
        <is>
          <t>250ml 2set</t>
        </is>
      </c>
      <c r="H5416" s="7" t="n">
        <v>190801</v>
      </c>
      <c r="I5416" s="7" t="n">
        <v>190801</v>
      </c>
      <c r="J5416" s="94" t="n"/>
      <c r="K5416" s="6" t="n">
        <v>78</v>
      </c>
      <c r="L5416" s="7" t="n">
        <v>190801</v>
      </c>
      <c r="M5416" s="94">
        <f>VLOOKUP($Q5416,매칭테이블!$F:$I,2,0)*K5416</f>
        <v/>
      </c>
      <c r="N5416" s="94">
        <f>M5416-M5416*VLOOKUP($Q5416,매칭테이블!$F:$I,3,0)</f>
        <v/>
      </c>
      <c r="O5416" s="94">
        <f>VLOOKUP($Q5416,매칭테이블!$F:$I,4,0)*K5416</f>
        <v/>
      </c>
      <c r="P5416" s="148">
        <f>M5416/1.1</f>
        <v/>
      </c>
      <c r="Q5416" s="94">
        <f>F5416&amp;E5416&amp;G5416&amp;L5416</f>
        <v/>
      </c>
    </row>
    <row r="5417">
      <c r="A5417" s="94" t="n"/>
      <c r="B5417" s="128" t="n">
        <v>43925</v>
      </c>
      <c r="C5417" s="94">
        <f>TEXT(B5417,"aaa")</f>
        <v/>
      </c>
      <c r="D5417" s="94" t="n"/>
      <c r="E5417" s="6" t="inlineStr">
        <is>
          <t>토너</t>
        </is>
      </c>
      <c r="F5417" s="5" t="inlineStr">
        <is>
          <t>카페24</t>
        </is>
      </c>
      <c r="G5417" s="5" t="inlineStr">
        <is>
          <t>500ml</t>
        </is>
      </c>
      <c r="H5417" s="7" t="n">
        <v>190801</v>
      </c>
      <c r="I5417" s="7" t="n">
        <v>190801</v>
      </c>
      <c r="J5417" s="94" t="n"/>
      <c r="K5417" s="6" t="n">
        <v>67</v>
      </c>
      <c r="L5417" s="7" t="n">
        <v>190801</v>
      </c>
      <c r="M5417" s="94">
        <f>VLOOKUP($Q5417,매칭테이블!$F:$I,2,0)*K5417</f>
        <v/>
      </c>
      <c r="N5417" s="94">
        <f>M5417-M5417*VLOOKUP($Q5417,매칭테이블!$F:$I,3,0)</f>
        <v/>
      </c>
      <c r="O5417" s="94">
        <f>VLOOKUP($Q5417,매칭테이블!$F:$I,4,0)*K5417</f>
        <v/>
      </c>
      <c r="P5417" s="148">
        <f>M5417/1.1</f>
        <v/>
      </c>
      <c r="Q5417" s="94">
        <f>F5417&amp;E5417&amp;G5417&amp;L5417</f>
        <v/>
      </c>
    </row>
    <row r="5418">
      <c r="A5418" s="94" t="n"/>
      <c r="B5418" s="128" t="n">
        <v>43925</v>
      </c>
      <c r="C5418" s="94">
        <f>TEXT(B5418,"aaa")</f>
        <v/>
      </c>
      <c r="D5418" s="94" t="n"/>
      <c r="E5418" s="6" t="inlineStr">
        <is>
          <t>토너</t>
        </is>
      </c>
      <c r="F5418" s="5" t="inlineStr">
        <is>
          <t>카페24</t>
        </is>
      </c>
      <c r="G5418" s="94" t="inlineStr">
        <is>
          <t>스킨팩 화장솜 60P</t>
        </is>
      </c>
      <c r="H5418" s="7" t="n">
        <v>190801</v>
      </c>
      <c r="I5418" s="7" t="n">
        <v>190801</v>
      </c>
      <c r="J5418" s="94" t="n"/>
      <c r="K5418" s="6" t="n">
        <v>92</v>
      </c>
      <c r="L5418" s="7" t="n">
        <v>190801</v>
      </c>
      <c r="M5418" s="94">
        <f>VLOOKUP($Q5418,매칭테이블!$F:$I,2,0)*K5418</f>
        <v/>
      </c>
      <c r="N5418" s="94">
        <f>M5418-M5418*VLOOKUP($Q5418,매칭테이블!$F:$I,3,0)</f>
        <v/>
      </c>
      <c r="O5418" s="94">
        <f>VLOOKUP($Q5418,매칭테이블!$F:$I,4,0)*K5418</f>
        <v/>
      </c>
      <c r="P5418" s="148">
        <f>M5418/1.1</f>
        <v/>
      </c>
      <c r="Q5418" s="94">
        <f>F5418&amp;E5418&amp;G5418&amp;L5418</f>
        <v/>
      </c>
    </row>
    <row r="5419">
      <c r="A5419" s="94" t="n"/>
      <c r="B5419" s="128" t="n">
        <v>43925</v>
      </c>
      <c r="C5419" s="94">
        <f>TEXT(B5419,"aaa")</f>
        <v/>
      </c>
      <c r="D5419" s="94" t="n"/>
      <c r="E5419" s="94" t="inlineStr">
        <is>
          <t>앰플</t>
        </is>
      </c>
      <c r="F5419" s="5" t="inlineStr">
        <is>
          <t>카페24</t>
        </is>
      </c>
      <c r="G5419" s="94" t="inlineStr">
        <is>
          <t>앰플 30ml</t>
        </is>
      </c>
      <c r="H5419" s="7" t="n">
        <v>190801</v>
      </c>
      <c r="I5419" s="7" t="n">
        <v>190801</v>
      </c>
      <c r="J5419" s="94" t="n"/>
      <c r="K5419" s="6" t="n">
        <v>10</v>
      </c>
      <c r="L5419" s="94" t="n">
        <v>190801</v>
      </c>
      <c r="M5419" s="94">
        <f>VLOOKUP($Q5419,매칭테이블!$F:$I,2,0)*K5419</f>
        <v/>
      </c>
      <c r="N5419" s="94">
        <f>M5419-M5419*VLOOKUP($Q5419,매칭테이블!$F:$I,3,0)</f>
        <v/>
      </c>
      <c r="O5419" s="94">
        <f>VLOOKUP($Q5419,매칭테이블!$F:$I,4,0)*K5419</f>
        <v/>
      </c>
      <c r="P5419" s="148">
        <f>M5419/1.1</f>
        <v/>
      </c>
      <c r="Q5419" s="94">
        <f>F5419&amp;E5419&amp;G5419&amp;L5419</f>
        <v/>
      </c>
    </row>
    <row r="5420">
      <c r="A5420" s="94" t="n"/>
      <c r="B5420" s="128" t="n">
        <v>43925</v>
      </c>
      <c r="C5420" s="94">
        <f>TEXT(B5420,"aaa")</f>
        <v/>
      </c>
      <c r="D5420" s="94" t="n"/>
      <c r="E5420" s="94" t="inlineStr">
        <is>
          <t>수딩크림</t>
        </is>
      </c>
      <c r="F5420" s="5" t="inlineStr">
        <is>
          <t>카페24</t>
        </is>
      </c>
      <c r="G5420" s="94" t="inlineStr">
        <is>
          <t>수딩크림 100ml</t>
        </is>
      </c>
      <c r="H5420" s="7" t="n">
        <v>190801</v>
      </c>
      <c r="I5420" s="7" t="n">
        <v>190801</v>
      </c>
      <c r="J5420" s="94" t="n"/>
      <c r="K5420" s="6" t="n">
        <v>10</v>
      </c>
      <c r="L5420" s="94" t="n">
        <v>190801</v>
      </c>
      <c r="M5420" s="94">
        <f>VLOOKUP($Q5420,매칭테이블!$F:$I,2,0)*K5420</f>
        <v/>
      </c>
      <c r="N5420" s="94">
        <f>M5420-M5420*VLOOKUP($Q5420,매칭테이블!$F:$I,3,0)</f>
        <v/>
      </c>
      <c r="O5420" s="94">
        <f>VLOOKUP($Q5420,매칭테이블!$F:$I,4,0)*K5420</f>
        <v/>
      </c>
      <c r="P5420" s="148">
        <f>M5420/1.1</f>
        <v/>
      </c>
      <c r="Q5420" s="94">
        <f>F5420&amp;E5420&amp;G5420&amp;L5420</f>
        <v/>
      </c>
    </row>
    <row r="5421">
      <c r="A5421" s="94" t="n"/>
      <c r="B5421" s="128" t="n">
        <v>43926</v>
      </c>
      <c r="C5421" s="94">
        <f>TEXT(B5421,"aaa")</f>
        <v/>
      </c>
      <c r="D5421" s="94" t="n"/>
      <c r="E5421" s="94" t="inlineStr">
        <is>
          <t>토너</t>
        </is>
      </c>
      <c r="F5421" s="5" t="inlineStr">
        <is>
          <t>스타일쉐어</t>
        </is>
      </c>
      <c r="G5421" s="94" t="inlineStr">
        <is>
          <t>250ml</t>
        </is>
      </c>
      <c r="H5421" s="7" t="n">
        <v>190801</v>
      </c>
      <c r="I5421" s="7" t="n">
        <v>190801</v>
      </c>
      <c r="J5421" s="94" t="n"/>
      <c r="K5421" s="6" t="n">
        <v>32</v>
      </c>
      <c r="L5421" s="92" t="n">
        <v>190801</v>
      </c>
      <c r="M5421" s="94">
        <f>VLOOKUP($Q5421,매칭테이블!$F:$I,2,0)*K5421</f>
        <v/>
      </c>
      <c r="N5421" s="94">
        <f>M5421-M5421*VLOOKUP($Q5421,매칭테이블!$F:$I,3,0)</f>
        <v/>
      </c>
      <c r="O5421" s="94">
        <f>VLOOKUP($Q5421,매칭테이블!$F:$I,4,0)*K5421</f>
        <v/>
      </c>
      <c r="P5421" s="148">
        <f>M5421/1.1</f>
        <v/>
      </c>
      <c r="Q5421" s="94">
        <f>F5421&amp;E5421&amp;G5421&amp;L5421</f>
        <v/>
      </c>
    </row>
    <row r="5422">
      <c r="A5422" s="94" t="n"/>
      <c r="B5422" s="128" t="n">
        <v>43926</v>
      </c>
      <c r="C5422" s="94">
        <f>TEXT(B5422,"aaa")</f>
        <v/>
      </c>
      <c r="D5422" s="94" t="n"/>
      <c r="E5422" s="94" t="inlineStr">
        <is>
          <t>머드크림마스크</t>
        </is>
      </c>
      <c r="F5422" s="94" t="inlineStr">
        <is>
          <t>카페24</t>
        </is>
      </c>
      <c r="G5422" s="94" t="inlineStr">
        <is>
          <t>머드크림마스크 100ml</t>
        </is>
      </c>
      <c r="H5422" s="7" t="n">
        <v>190801</v>
      </c>
      <c r="I5422" s="7" t="n">
        <v>190801</v>
      </c>
      <c r="J5422" s="94" t="n"/>
      <c r="K5422" s="6" t="n">
        <v>17</v>
      </c>
      <c r="L5422" s="94" t="n">
        <v>190801</v>
      </c>
      <c r="M5422" s="94">
        <f>VLOOKUP($Q5422,매칭테이블!$F:$I,2,0)*K5422</f>
        <v/>
      </c>
      <c r="N5422" s="94">
        <f>M5422-M5422*VLOOKUP($Q5422,매칭테이블!$F:$I,3,0)</f>
        <v/>
      </c>
      <c r="O5422" s="94">
        <f>VLOOKUP($Q5422,매칭테이블!$F:$I,4,0)*K5422</f>
        <v/>
      </c>
      <c r="P5422" s="148">
        <f>M5422/1.1</f>
        <v/>
      </c>
      <c r="Q5422" s="94">
        <f>F5422&amp;E5422&amp;G5422&amp;L5422</f>
        <v/>
      </c>
    </row>
    <row r="5423">
      <c r="A5423" s="94" t="n"/>
      <c r="B5423" s="128" t="n">
        <v>43926</v>
      </c>
      <c r="C5423" s="94">
        <f>TEXT(B5423,"aaa")</f>
        <v/>
      </c>
      <c r="D5423" s="94" t="n"/>
      <c r="E5423" s="94" t="inlineStr">
        <is>
          <t>머드크림마스크</t>
        </is>
      </c>
      <c r="F5423" s="94" t="inlineStr">
        <is>
          <t>카페24</t>
        </is>
      </c>
      <c r="G5423" s="94" t="inlineStr">
        <is>
          <t>머드크림마스크 100ml 2set</t>
        </is>
      </c>
      <c r="H5423" s="7" t="n">
        <v>190801</v>
      </c>
      <c r="I5423" s="7" t="n">
        <v>190801</v>
      </c>
      <c r="J5423" s="94" t="n"/>
      <c r="K5423" s="6" t="n">
        <v>7</v>
      </c>
      <c r="L5423" s="94" t="n">
        <v>190801</v>
      </c>
      <c r="M5423" s="94">
        <f>VLOOKUP($Q5423,매칭테이블!$F:$I,2,0)*K5423</f>
        <v/>
      </c>
      <c r="N5423" s="94">
        <f>M5423-M5423*VLOOKUP($Q5423,매칭테이블!$F:$I,3,0)</f>
        <v/>
      </c>
      <c r="O5423" s="94">
        <f>VLOOKUP($Q5423,매칭테이블!$F:$I,4,0)*K5423</f>
        <v/>
      </c>
      <c r="P5423" s="148">
        <f>M5423/1.1</f>
        <v/>
      </c>
      <c r="Q5423" s="94">
        <f>F5423&amp;E5423&amp;G5423&amp;L5423</f>
        <v/>
      </c>
    </row>
    <row r="5424">
      <c r="A5424" s="94" t="n"/>
      <c r="B5424" s="128" t="n">
        <v>43926</v>
      </c>
      <c r="C5424" s="94">
        <f>TEXT(B5424,"aaa")</f>
        <v/>
      </c>
      <c r="D5424" s="94" t="n"/>
      <c r="E5424" s="94" t="inlineStr">
        <is>
          <t>마스크팩</t>
        </is>
      </c>
      <c r="F5424" s="94" t="inlineStr">
        <is>
          <t>카페24</t>
        </is>
      </c>
      <c r="G5424" s="94" t="inlineStr">
        <is>
          <t>마스크팩 1매</t>
        </is>
      </c>
      <c r="H5424" s="7" t="n">
        <v>190801</v>
      </c>
      <c r="I5424" s="7" t="n">
        <v>190801</v>
      </c>
      <c r="J5424" s="94" t="n"/>
      <c r="K5424" s="6" t="n">
        <v>4</v>
      </c>
      <c r="L5424" s="94" t="n">
        <v>190801</v>
      </c>
      <c r="M5424" s="94">
        <f>VLOOKUP($Q5424,매칭테이블!$F:$I,2,0)*K5424</f>
        <v/>
      </c>
      <c r="N5424" s="94">
        <f>M5424-M5424*VLOOKUP($Q5424,매칭테이블!$F:$I,3,0)</f>
        <v/>
      </c>
      <c r="O5424" s="94">
        <f>VLOOKUP($Q5424,매칭테이블!$F:$I,4,0)*K5424</f>
        <v/>
      </c>
      <c r="P5424" s="148">
        <f>M5424/1.1</f>
        <v/>
      </c>
      <c r="Q5424" s="94">
        <f>F5424&amp;E5424&amp;G5424&amp;L5424</f>
        <v/>
      </c>
    </row>
    <row r="5425">
      <c r="A5425" s="94" t="n"/>
      <c r="B5425" s="128" t="n">
        <v>43926</v>
      </c>
      <c r="C5425" s="94">
        <f>TEXT(B5425,"aaa")</f>
        <v/>
      </c>
      <c r="D5425" s="94" t="n"/>
      <c r="E5425" s="94" t="inlineStr">
        <is>
          <t>마스크팩</t>
        </is>
      </c>
      <c r="F5425" s="94" t="inlineStr">
        <is>
          <t>카페24</t>
        </is>
      </c>
      <c r="G5425" s="94" t="inlineStr">
        <is>
          <t>마스크팩 10매</t>
        </is>
      </c>
      <c r="H5425" s="7" t="n">
        <v>190801</v>
      </c>
      <c r="I5425" s="7" t="n">
        <v>190801</v>
      </c>
      <c r="J5425" s="94" t="n"/>
      <c r="K5425" s="6" t="n">
        <v>5</v>
      </c>
      <c r="L5425" s="94" t="n">
        <v>190801</v>
      </c>
      <c r="M5425" s="94">
        <f>VLOOKUP($Q5425,매칭테이블!$F:$I,2,0)*K5425</f>
        <v/>
      </c>
      <c r="N5425" s="94">
        <f>M5425-M5425*VLOOKUP($Q5425,매칭테이블!$F:$I,3,0)</f>
        <v/>
      </c>
      <c r="O5425" s="94">
        <f>VLOOKUP($Q5425,매칭테이블!$F:$I,4,0)*K5425</f>
        <v/>
      </c>
      <c r="P5425" s="148">
        <f>M5425/1.1</f>
        <v/>
      </c>
      <c r="Q5425" s="94">
        <f>F5425&amp;E5425&amp;G5425&amp;L5425</f>
        <v/>
      </c>
    </row>
    <row r="5426">
      <c r="A5426" s="94" t="n"/>
      <c r="B5426" s="128" t="n">
        <v>43926</v>
      </c>
      <c r="C5426" s="94">
        <f>TEXT(B5426,"aaa")</f>
        <v/>
      </c>
      <c r="D5426" s="94" t="n"/>
      <c r="E5426" s="6" t="inlineStr">
        <is>
          <t>토너</t>
        </is>
      </c>
      <c r="F5426" s="5" t="inlineStr">
        <is>
          <t>카페24</t>
        </is>
      </c>
      <c r="G5426" s="5" t="inlineStr">
        <is>
          <t>250ml</t>
        </is>
      </c>
      <c r="H5426" s="7" t="n">
        <v>190801</v>
      </c>
      <c r="I5426" s="7" t="n">
        <v>190801</v>
      </c>
      <c r="J5426" s="94" t="n"/>
      <c r="K5426" s="6" t="n">
        <v>117</v>
      </c>
      <c r="L5426" s="7" t="n">
        <v>190801</v>
      </c>
      <c r="M5426" s="94">
        <f>VLOOKUP($Q5426,매칭테이블!$F:$I,2,0)*K5426</f>
        <v/>
      </c>
      <c r="N5426" s="94">
        <f>M5426-M5426*VLOOKUP($Q5426,매칭테이블!$F:$I,3,0)</f>
        <v/>
      </c>
      <c r="O5426" s="94">
        <f>VLOOKUP($Q5426,매칭테이블!$F:$I,4,0)*K5426</f>
        <v/>
      </c>
      <c r="P5426" s="148">
        <f>M5426/1.1</f>
        <v/>
      </c>
      <c r="Q5426" s="94">
        <f>F5426&amp;E5426&amp;G5426&amp;L5426</f>
        <v/>
      </c>
    </row>
    <row r="5427">
      <c r="A5427" s="94" t="n"/>
      <c r="B5427" s="128" t="n">
        <v>43926</v>
      </c>
      <c r="C5427" s="94">
        <f>TEXT(B5427,"aaa")</f>
        <v/>
      </c>
      <c r="D5427" s="94" t="n"/>
      <c r="E5427" s="6" t="inlineStr">
        <is>
          <t>토너</t>
        </is>
      </c>
      <c r="F5427" s="5" t="inlineStr">
        <is>
          <t>카페24</t>
        </is>
      </c>
      <c r="G5427" s="5" t="inlineStr">
        <is>
          <t>250ml 2set</t>
        </is>
      </c>
      <c r="H5427" s="7" t="n">
        <v>190801</v>
      </c>
      <c r="I5427" s="7" t="n">
        <v>190801</v>
      </c>
      <c r="J5427" s="94" t="n"/>
      <c r="K5427" s="6" t="n">
        <v>63</v>
      </c>
      <c r="L5427" s="7" t="n">
        <v>190801</v>
      </c>
      <c r="M5427" s="94">
        <f>VLOOKUP($Q5427,매칭테이블!$F:$I,2,0)*K5427</f>
        <v/>
      </c>
      <c r="N5427" s="94">
        <f>M5427-M5427*VLOOKUP($Q5427,매칭테이블!$F:$I,3,0)</f>
        <v/>
      </c>
      <c r="O5427" s="94">
        <f>VLOOKUP($Q5427,매칭테이블!$F:$I,4,0)*K5427</f>
        <v/>
      </c>
      <c r="P5427" s="148">
        <f>M5427/1.1</f>
        <v/>
      </c>
      <c r="Q5427" s="94">
        <f>F5427&amp;E5427&amp;G5427&amp;L5427</f>
        <v/>
      </c>
    </row>
    <row r="5428">
      <c r="A5428" s="94" t="n"/>
      <c r="B5428" s="128" t="n">
        <v>43926</v>
      </c>
      <c r="C5428" s="94">
        <f>TEXT(B5428,"aaa")</f>
        <v/>
      </c>
      <c r="D5428" s="94" t="n"/>
      <c r="E5428" s="6" t="inlineStr">
        <is>
          <t>토너</t>
        </is>
      </c>
      <c r="F5428" s="5" t="inlineStr">
        <is>
          <t>카페24</t>
        </is>
      </c>
      <c r="G5428" s="5" t="inlineStr">
        <is>
          <t>500ml</t>
        </is>
      </c>
      <c r="H5428" s="7" t="n">
        <v>190801</v>
      </c>
      <c r="I5428" s="7" t="n">
        <v>190801</v>
      </c>
      <c r="J5428" s="94" t="n"/>
      <c r="K5428" s="6" t="n">
        <v>85</v>
      </c>
      <c r="L5428" s="7" t="n">
        <v>190801</v>
      </c>
      <c r="M5428" s="94">
        <f>VLOOKUP($Q5428,매칭테이블!$F:$I,2,0)*K5428</f>
        <v/>
      </c>
      <c r="N5428" s="94">
        <f>M5428-M5428*VLOOKUP($Q5428,매칭테이블!$F:$I,3,0)</f>
        <v/>
      </c>
      <c r="O5428" s="94">
        <f>VLOOKUP($Q5428,매칭테이블!$F:$I,4,0)*K5428</f>
        <v/>
      </c>
      <c r="P5428" s="148">
        <f>M5428/1.1</f>
        <v/>
      </c>
      <c r="Q5428" s="94">
        <f>F5428&amp;E5428&amp;G5428&amp;L5428</f>
        <v/>
      </c>
    </row>
    <row r="5429">
      <c r="A5429" s="94" t="n"/>
      <c r="B5429" s="128" t="n">
        <v>43926</v>
      </c>
      <c r="C5429" s="94">
        <f>TEXT(B5429,"aaa")</f>
        <v/>
      </c>
      <c r="D5429" s="94" t="n"/>
      <c r="E5429" s="6" t="inlineStr">
        <is>
          <t>토너</t>
        </is>
      </c>
      <c r="F5429" s="5" t="inlineStr">
        <is>
          <t>카페24</t>
        </is>
      </c>
      <c r="G5429" s="94" t="inlineStr">
        <is>
          <t>스킨팩 화장솜 60P</t>
        </is>
      </c>
      <c r="H5429" s="7" t="n">
        <v>190801</v>
      </c>
      <c r="I5429" s="7" t="n">
        <v>190801</v>
      </c>
      <c r="J5429" s="94" t="n"/>
      <c r="K5429" s="6" t="n">
        <v>94</v>
      </c>
      <c r="L5429" s="7" t="n">
        <v>190801</v>
      </c>
      <c r="M5429" s="94">
        <f>VLOOKUP($Q5429,매칭테이블!$F:$I,2,0)*K5429</f>
        <v/>
      </c>
      <c r="N5429" s="94">
        <f>M5429-M5429*VLOOKUP($Q5429,매칭테이블!$F:$I,3,0)</f>
        <v/>
      </c>
      <c r="O5429" s="94">
        <f>VLOOKUP($Q5429,매칭테이블!$F:$I,4,0)*K5429</f>
        <v/>
      </c>
      <c r="P5429" s="148">
        <f>M5429/1.1</f>
        <v/>
      </c>
      <c r="Q5429" s="94">
        <f>F5429&amp;E5429&amp;G5429&amp;L5429</f>
        <v/>
      </c>
    </row>
    <row r="5430">
      <c r="A5430" s="94" t="n"/>
      <c r="B5430" s="128" t="n">
        <v>43926</v>
      </c>
      <c r="C5430" s="94">
        <f>TEXT(B5430,"aaa")</f>
        <v/>
      </c>
      <c r="D5430" s="94" t="n"/>
      <c r="E5430" s="94" t="inlineStr">
        <is>
          <t>앰플</t>
        </is>
      </c>
      <c r="F5430" s="5" t="inlineStr">
        <is>
          <t>카페24</t>
        </is>
      </c>
      <c r="G5430" s="94" t="inlineStr">
        <is>
          <t>앰플 30ml</t>
        </is>
      </c>
      <c r="H5430" s="7" t="n">
        <v>190801</v>
      </c>
      <c r="I5430" s="7" t="n">
        <v>190801</v>
      </c>
      <c r="J5430" s="94" t="n"/>
      <c r="K5430" s="6" t="n">
        <v>19</v>
      </c>
      <c r="L5430" s="94" t="n">
        <v>190801</v>
      </c>
      <c r="M5430" s="94">
        <f>VLOOKUP($Q5430,매칭테이블!$F:$I,2,0)*K5430</f>
        <v/>
      </c>
      <c r="N5430" s="94">
        <f>M5430-M5430*VLOOKUP($Q5430,매칭테이블!$F:$I,3,0)</f>
        <v/>
      </c>
      <c r="O5430" s="94">
        <f>VLOOKUP($Q5430,매칭테이블!$F:$I,4,0)*K5430</f>
        <v/>
      </c>
      <c r="P5430" s="148">
        <f>M5430/1.1</f>
        <v/>
      </c>
      <c r="Q5430" s="94">
        <f>F5430&amp;E5430&amp;G5430&amp;L5430</f>
        <v/>
      </c>
    </row>
    <row r="5431">
      <c r="A5431" s="94" t="n"/>
      <c r="B5431" s="128" t="n">
        <v>43926</v>
      </c>
      <c r="C5431" s="94">
        <f>TEXT(B5431,"aaa")</f>
        <v/>
      </c>
      <c r="D5431" s="94" t="n"/>
      <c r="E5431" s="94" t="inlineStr">
        <is>
          <t>수딩크림</t>
        </is>
      </c>
      <c r="F5431" s="5" t="inlineStr">
        <is>
          <t>카페24</t>
        </is>
      </c>
      <c r="G5431" s="94" t="inlineStr">
        <is>
          <t>수딩크림 100ml</t>
        </is>
      </c>
      <c r="H5431" s="7" t="n">
        <v>190801</v>
      </c>
      <c r="I5431" s="7" t="n">
        <v>190801</v>
      </c>
      <c r="J5431" s="94" t="n"/>
      <c r="K5431" s="6" t="n">
        <v>9</v>
      </c>
      <c r="L5431" s="94" t="n">
        <v>190801</v>
      </c>
      <c r="M5431" s="94">
        <f>VLOOKUP($Q5431,매칭테이블!$F:$I,2,0)*K5431</f>
        <v/>
      </c>
      <c r="N5431" s="94">
        <f>M5431-M5431*VLOOKUP($Q5431,매칭테이블!$F:$I,3,0)</f>
        <v/>
      </c>
      <c r="O5431" s="94">
        <f>VLOOKUP($Q5431,매칭테이블!$F:$I,4,0)*K5431</f>
        <v/>
      </c>
      <c r="P5431" s="148">
        <f>M5431/1.1</f>
        <v/>
      </c>
      <c r="Q5431" s="94">
        <f>F5431&amp;E5431&amp;G5431&amp;L5431</f>
        <v/>
      </c>
    </row>
    <row r="5432">
      <c r="A5432" s="94" t="n"/>
      <c r="B5432" s="128" t="n">
        <v>43926</v>
      </c>
      <c r="C5432" s="94">
        <f>TEXT(B5432,"aaa")</f>
        <v/>
      </c>
      <c r="D5432" s="94" t="n"/>
      <c r="E5432" s="94" t="inlineStr">
        <is>
          <t>토너 기획세트</t>
        </is>
      </c>
      <c r="F5432" s="5" t="inlineStr">
        <is>
          <t>랄라블라</t>
        </is>
      </c>
      <c r="G5432" s="94" t="inlineStr">
        <is>
          <t>토너 기획세트</t>
        </is>
      </c>
      <c r="H5432" s="7" t="n">
        <v>190801</v>
      </c>
      <c r="I5432" s="7" t="n">
        <v>190801</v>
      </c>
      <c r="J5432" s="94" t="n"/>
      <c r="K5432" s="6" t="n">
        <v>192</v>
      </c>
      <c r="L5432" s="7" t="n">
        <v>190801</v>
      </c>
      <c r="M5432" s="94">
        <f>VLOOKUP($Q5432,매칭테이블!$F:$I,2,0)*K5432</f>
        <v/>
      </c>
      <c r="N5432" s="94">
        <f>M5432-M5432*VLOOKUP($Q5432,매칭테이블!$F:$I,3,0)</f>
        <v/>
      </c>
      <c r="O5432" s="94">
        <f>VLOOKUP($Q5432,매칭테이블!$F:$I,4,0)*K5432</f>
        <v/>
      </c>
      <c r="P5432" s="148">
        <f>M5432/1.1</f>
        <v/>
      </c>
      <c r="Q5432" s="94">
        <f>F5432&amp;E5432&amp;G5432&amp;L5432</f>
        <v/>
      </c>
    </row>
    <row r="5433">
      <c r="A5433" s="94" t="n"/>
      <c r="B5433" s="128" t="n">
        <v>43926</v>
      </c>
      <c r="C5433" s="94">
        <f>TEXT(B5433,"aaa")</f>
        <v/>
      </c>
      <c r="D5433" s="94" t="n"/>
      <c r="E5433" s="94" t="inlineStr">
        <is>
          <t>토너</t>
        </is>
      </c>
      <c r="F5433" s="5" t="inlineStr">
        <is>
          <t>랄라블라</t>
        </is>
      </c>
      <c r="G5433" s="94" t="inlineStr">
        <is>
          <t>250ml</t>
        </is>
      </c>
      <c r="H5433" s="7" t="n">
        <v>190801</v>
      </c>
      <c r="I5433" s="7" t="n">
        <v>190801</v>
      </c>
      <c r="J5433" s="94" t="n"/>
      <c r="K5433" s="6" t="n">
        <v>1169</v>
      </c>
      <c r="L5433" s="92" t="n">
        <v>190801</v>
      </c>
      <c r="M5433" s="94">
        <f>VLOOKUP($Q5433,매칭테이블!$F:$I,2,0)*K5433</f>
        <v/>
      </c>
      <c r="N5433" s="94">
        <f>M5433-M5433*VLOOKUP($Q5433,매칭테이블!$F:$I,3,0)</f>
        <v/>
      </c>
      <c r="O5433" s="94">
        <f>VLOOKUP($Q5433,매칭테이블!$F:$I,4,0)*K5433</f>
        <v/>
      </c>
      <c r="P5433" s="148">
        <f>M5433/1.1</f>
        <v/>
      </c>
      <c r="Q5433" s="94">
        <f>F5433&amp;E5433&amp;G5433&amp;L5433</f>
        <v/>
      </c>
    </row>
    <row r="5434">
      <c r="A5434" s="94" t="n"/>
      <c r="B5434" s="128" t="n">
        <v>43926</v>
      </c>
      <c r="C5434" s="94">
        <f>TEXT(B5434,"aaa")</f>
        <v/>
      </c>
      <c r="D5434" s="94" t="n"/>
      <c r="E5434" s="94" t="inlineStr">
        <is>
          <t>머드크림마스크</t>
        </is>
      </c>
      <c r="F5434" s="5" t="inlineStr">
        <is>
          <t>랄라블라</t>
        </is>
      </c>
      <c r="G5434" s="94" t="inlineStr">
        <is>
          <t>머드크림마스크 100ml</t>
        </is>
      </c>
      <c r="H5434" s="7" t="n">
        <v>190801</v>
      </c>
      <c r="I5434" s="7" t="n">
        <v>190801</v>
      </c>
      <c r="J5434" s="94" t="n"/>
      <c r="K5434" s="6" t="n">
        <v>6</v>
      </c>
      <c r="L5434" s="94" t="n">
        <v>190801</v>
      </c>
      <c r="M5434" s="94">
        <f>VLOOKUP($Q5434,매칭테이블!$F:$I,2,0)*K5434</f>
        <v/>
      </c>
      <c r="N5434" s="94">
        <f>M5434-M5434*VLOOKUP($Q5434,매칭테이블!$F:$I,3,0)</f>
        <v/>
      </c>
      <c r="O5434" s="94">
        <f>VLOOKUP($Q5434,매칭테이블!$F:$I,4,0)*K5434</f>
        <v/>
      </c>
      <c r="P5434" s="148">
        <f>M5434/1.1</f>
        <v/>
      </c>
      <c r="Q5434" s="94">
        <f>F5434&amp;E5434&amp;G5434&amp;L5434</f>
        <v/>
      </c>
    </row>
    <row r="5435">
      <c r="A5435" s="94" t="n"/>
      <c r="B5435" s="128" t="n">
        <v>43926</v>
      </c>
      <c r="C5435" s="94">
        <f>TEXT(B5435,"aaa")</f>
        <v/>
      </c>
      <c r="D5435" s="94" t="n"/>
      <c r="E5435" s="94" t="inlineStr">
        <is>
          <t>클렌징폼</t>
        </is>
      </c>
      <c r="F5435" s="5" t="inlineStr">
        <is>
          <t>랄라블라</t>
        </is>
      </c>
      <c r="G5435" s="94" t="inlineStr">
        <is>
          <t>클렌징폼 120ml</t>
        </is>
      </c>
      <c r="H5435" s="7" t="n">
        <v>190801</v>
      </c>
      <c r="I5435" s="7" t="n">
        <v>190801</v>
      </c>
      <c r="J5435" s="94" t="n"/>
      <c r="K5435" s="6" t="n">
        <v>10</v>
      </c>
      <c r="L5435" s="7" t="n">
        <v>190801</v>
      </c>
      <c r="M5435" s="94">
        <f>VLOOKUP($Q5435,매칭테이블!$F:$I,2,0)*K5435</f>
        <v/>
      </c>
      <c r="N5435" s="94">
        <f>M5435-M5435*VLOOKUP($Q5435,매칭테이블!$F:$I,3,0)</f>
        <v/>
      </c>
      <c r="O5435" s="94">
        <f>VLOOKUP($Q5435,매칭테이블!$F:$I,4,0)*K5435</f>
        <v/>
      </c>
      <c r="P5435" s="148">
        <f>M5435/1.1</f>
        <v/>
      </c>
      <c r="Q5435" s="94">
        <f>F5435&amp;E5435&amp;G5435&amp;L5435</f>
        <v/>
      </c>
    </row>
    <row r="5436">
      <c r="A5436" s="94" t="n"/>
      <c r="B5436" s="128" t="n">
        <v>43926</v>
      </c>
      <c r="C5436" s="94">
        <f>TEXT(B5436,"aaa")</f>
        <v/>
      </c>
      <c r="D5436" s="94" t="n"/>
      <c r="E5436" s="94" t="inlineStr">
        <is>
          <t>마스크팩</t>
        </is>
      </c>
      <c r="F5436" s="5" t="inlineStr">
        <is>
          <t>랄라블라</t>
        </is>
      </c>
      <c r="G5436" s="94" t="inlineStr">
        <is>
          <t>마스크팩 1매</t>
        </is>
      </c>
      <c r="H5436" s="7" t="n">
        <v>190801</v>
      </c>
      <c r="I5436" s="7" t="n">
        <v>190801</v>
      </c>
      <c r="J5436" s="94" t="n"/>
      <c r="K5436" s="6" t="n">
        <v>615</v>
      </c>
      <c r="L5436" s="94" t="n">
        <v>190801</v>
      </c>
      <c r="M5436" s="94">
        <f>VLOOKUP($Q5436,매칭테이블!$F:$I,2,0)*K5436</f>
        <v/>
      </c>
      <c r="N5436" s="94">
        <f>M5436-M5436*VLOOKUP($Q5436,매칭테이블!$F:$I,3,0)</f>
        <v/>
      </c>
      <c r="O5436" s="94">
        <f>VLOOKUP($Q5436,매칭테이블!$F:$I,4,0)*K5436</f>
        <v/>
      </c>
      <c r="P5436" s="148">
        <f>M5436/1.1</f>
        <v/>
      </c>
      <c r="Q5436" s="94">
        <f>F5436&amp;E5436&amp;G5436&amp;L5436</f>
        <v/>
      </c>
    </row>
    <row r="5437">
      <c r="A5437" s="94" t="n"/>
      <c r="B5437" s="128" t="n">
        <v>43926</v>
      </c>
      <c r="C5437" s="94">
        <f>TEXT(B5437,"aaa")</f>
        <v/>
      </c>
      <c r="D5437" s="94" t="n"/>
      <c r="E5437" s="94" t="inlineStr">
        <is>
          <t>클렌징폼 기획세트</t>
        </is>
      </c>
      <c r="F5437" s="94" t="inlineStr">
        <is>
          <t>랄라블라</t>
        </is>
      </c>
      <c r="G5437" s="94" t="inlineStr">
        <is>
          <t>클렌징폼 기획세트</t>
        </is>
      </c>
      <c r="H5437" s="7" t="n">
        <v>190801</v>
      </c>
      <c r="I5437" s="7" t="n">
        <v>190801</v>
      </c>
      <c r="J5437" s="94" t="n"/>
      <c r="K5437" s="6" t="n">
        <v>56</v>
      </c>
      <c r="L5437" s="92" t="n">
        <v>190801</v>
      </c>
      <c r="M5437" s="94">
        <f>VLOOKUP($Q5437,매칭테이블!$F:$I,2,0)*K5437</f>
        <v/>
      </c>
      <c r="N5437" s="94">
        <f>M5437-M5437*VLOOKUP($Q5437,매칭테이블!$F:$I,3,0)</f>
        <v/>
      </c>
      <c r="O5437" s="94">
        <f>VLOOKUP($Q5437,매칭테이블!$F:$I,4,0)*K5437</f>
        <v/>
      </c>
      <c r="P5437" s="148">
        <f>M5437/1.1</f>
        <v/>
      </c>
      <c r="Q5437" s="94">
        <f>F5437&amp;E5437&amp;G5437&amp;L5437</f>
        <v/>
      </c>
    </row>
    <row r="5438">
      <c r="A5438" s="94" t="n"/>
      <c r="B5438" s="128" t="n">
        <v>43926</v>
      </c>
      <c r="C5438" s="94">
        <f>TEXT(B5438,"aaa")</f>
        <v/>
      </c>
      <c r="D5438" s="94" t="n"/>
      <c r="E5438" s="94" t="inlineStr">
        <is>
          <t>앰플 기획세트</t>
        </is>
      </c>
      <c r="F5438" s="94" t="inlineStr">
        <is>
          <t>랄라블라</t>
        </is>
      </c>
      <c r="G5438" s="94" t="inlineStr">
        <is>
          <t>앰플 기획세트</t>
        </is>
      </c>
      <c r="H5438" s="7" t="n">
        <v>190801</v>
      </c>
      <c r="I5438" s="7" t="n">
        <v>190801</v>
      </c>
      <c r="J5438" s="94" t="n"/>
      <c r="K5438" s="6" t="n">
        <v>72</v>
      </c>
      <c r="L5438" s="92" t="n">
        <v>190801</v>
      </c>
      <c r="M5438" s="94">
        <f>VLOOKUP($Q5438,매칭테이블!$F:$I,2,0)*K5438</f>
        <v/>
      </c>
      <c r="N5438" s="94">
        <f>M5438-M5438*VLOOKUP($Q5438,매칭테이블!$F:$I,3,0)</f>
        <v/>
      </c>
      <c r="O5438" s="94">
        <f>VLOOKUP($Q5438,매칭테이블!$F:$I,4,0)*K5438</f>
        <v/>
      </c>
      <c r="P5438" s="148">
        <f>M5438/1.1</f>
        <v/>
      </c>
      <c r="Q5438" s="94">
        <f>F5438&amp;E5438&amp;G5438&amp;L5438</f>
        <v/>
      </c>
    </row>
    <row r="5439">
      <c r="A5439" s="94" t="n"/>
      <c r="B5439" s="128" t="n">
        <v>43926</v>
      </c>
      <c r="C5439" s="94">
        <f>TEXT(B5439,"aaa")</f>
        <v/>
      </c>
      <c r="D5439" s="94" t="n"/>
      <c r="E5439" s="94" t="inlineStr">
        <is>
          <t>앰플</t>
        </is>
      </c>
      <c r="F5439" s="94" t="inlineStr">
        <is>
          <t>랄라블라</t>
        </is>
      </c>
      <c r="G5439" s="94" t="inlineStr">
        <is>
          <t>앰플 30ml</t>
        </is>
      </c>
      <c r="H5439" s="7" t="n">
        <v>190801</v>
      </c>
      <c r="I5439" s="7" t="n">
        <v>190801</v>
      </c>
      <c r="J5439" s="94" t="n"/>
      <c r="K5439" s="6" t="n">
        <v>2</v>
      </c>
      <c r="L5439" s="94" t="n">
        <v>190801</v>
      </c>
      <c r="M5439" s="94">
        <f>VLOOKUP($Q5439,매칭테이블!$F:$I,2,0)*K5439</f>
        <v/>
      </c>
      <c r="N5439" s="94">
        <f>M5439-M5439*VLOOKUP($Q5439,매칭테이블!$F:$I,3,0)</f>
        <v/>
      </c>
      <c r="O5439" s="94">
        <f>VLOOKUP($Q5439,매칭테이블!$F:$I,4,0)*K5439</f>
        <v/>
      </c>
      <c r="P5439" s="148">
        <f>M5439/1.1</f>
        <v/>
      </c>
      <c r="Q5439" s="94">
        <f>F5439&amp;E5439&amp;G5439&amp;L5439</f>
        <v/>
      </c>
    </row>
    <row r="5440">
      <c r="A5440" s="94" t="n"/>
      <c r="B5440" s="128" t="n">
        <v>43926</v>
      </c>
      <c r="C5440" s="94">
        <f>TEXT(B5440,"aaa")</f>
        <v/>
      </c>
      <c r="D5440" s="94" t="n"/>
      <c r="E5440" s="94" t="inlineStr">
        <is>
          <t>토너</t>
        </is>
      </c>
      <c r="F5440" s="94" t="inlineStr">
        <is>
          <t>랄라블라</t>
        </is>
      </c>
      <c r="G5440" s="94" t="inlineStr">
        <is>
          <t>500ml</t>
        </is>
      </c>
      <c r="H5440" s="7" t="n">
        <v>190801</v>
      </c>
      <c r="I5440" s="7" t="n">
        <v>190801</v>
      </c>
      <c r="J5440" s="94" t="n"/>
      <c r="K5440" s="6" t="n">
        <v>273</v>
      </c>
      <c r="L5440" s="92" t="n">
        <v>190801</v>
      </c>
      <c r="M5440" s="94">
        <f>VLOOKUP($Q5440,매칭테이블!$F:$I,2,0)*K5440</f>
        <v/>
      </c>
      <c r="N5440" s="94">
        <f>M5440-M5440*VLOOKUP($Q5440,매칭테이블!$F:$I,3,0)</f>
        <v/>
      </c>
      <c r="O5440" s="94">
        <f>VLOOKUP($Q5440,매칭테이블!$F:$I,4,0)*K5440</f>
        <v/>
      </c>
      <c r="P5440" s="148">
        <f>M5440/1.1</f>
        <v/>
      </c>
      <c r="Q5440" s="94">
        <f>F5440&amp;E5440&amp;G5440&amp;L5440</f>
        <v/>
      </c>
    </row>
    <row r="5441">
      <c r="A5441" s="94" t="n"/>
      <c r="B5441" s="128" t="n">
        <v>43927</v>
      </c>
      <c r="C5441" s="94">
        <f>TEXT(B5441,"aaa")</f>
        <v/>
      </c>
      <c r="D5441" s="94" t="n"/>
      <c r="E5441" s="6" t="inlineStr">
        <is>
          <t>토너</t>
        </is>
      </c>
      <c r="F5441" s="5" t="inlineStr">
        <is>
          <t>W컨셉</t>
        </is>
      </c>
      <c r="G5441" s="5" t="inlineStr">
        <is>
          <t>250ml</t>
        </is>
      </c>
      <c r="H5441" s="7" t="n">
        <v>190801</v>
      </c>
      <c r="I5441" s="7" t="n">
        <v>190801</v>
      </c>
      <c r="J5441" s="94" t="n"/>
      <c r="K5441" s="6" t="n">
        <v>14</v>
      </c>
      <c r="L5441" s="7" t="n">
        <v>190801</v>
      </c>
      <c r="M5441" s="94">
        <f>VLOOKUP($Q5441,매칭테이블!$F:$I,2,0)*K5441</f>
        <v/>
      </c>
      <c r="N5441" s="94">
        <f>M5441-M5441*VLOOKUP($Q5441,매칭테이블!$F:$I,3,0)</f>
        <v/>
      </c>
      <c r="O5441" s="94">
        <f>VLOOKUP($Q5441,매칭테이블!$F:$I,4,0)*K5441</f>
        <v/>
      </c>
      <c r="P5441" s="148">
        <f>M5441/1.1</f>
        <v/>
      </c>
      <c r="Q5441" s="94">
        <f>F5441&amp;E5441&amp;G5441&amp;L5441</f>
        <v/>
      </c>
    </row>
    <row r="5442">
      <c r="A5442" s="94" t="n"/>
      <c r="B5442" s="128" t="n">
        <v>43927</v>
      </c>
      <c r="C5442" s="94">
        <f>TEXT(B5442,"aaa")</f>
        <v/>
      </c>
      <c r="D5442" s="94" t="n"/>
      <c r="E5442" s="6" t="inlineStr">
        <is>
          <t>토너</t>
        </is>
      </c>
      <c r="F5442" s="5" t="inlineStr">
        <is>
          <t>W컨셉</t>
        </is>
      </c>
      <c r="G5442" s="5" t="inlineStr">
        <is>
          <t>250ml 2set</t>
        </is>
      </c>
      <c r="H5442" s="7" t="n">
        <v>190801</v>
      </c>
      <c r="I5442" s="7" t="n">
        <v>190801</v>
      </c>
      <c r="J5442" s="94" t="n"/>
      <c r="K5442" s="6" t="n">
        <v>39</v>
      </c>
      <c r="L5442" s="7" t="n">
        <v>190801</v>
      </c>
      <c r="M5442" s="94">
        <f>VLOOKUP($Q5442,매칭테이블!$F:$I,2,0)*K5442</f>
        <v/>
      </c>
      <c r="N5442" s="94">
        <f>M5442-M5442*VLOOKUP($Q5442,매칭테이블!$F:$I,3,0)</f>
        <v/>
      </c>
      <c r="O5442" s="94">
        <f>VLOOKUP($Q5442,매칭테이블!$F:$I,4,0)*K5442</f>
        <v/>
      </c>
      <c r="P5442" s="148">
        <f>M5442/1.1</f>
        <v/>
      </c>
      <c r="Q5442" s="94">
        <f>F5442&amp;E5442&amp;G5442&amp;L5442</f>
        <v/>
      </c>
    </row>
    <row r="5443">
      <c r="A5443" s="94" t="n"/>
      <c r="B5443" s="128" t="n">
        <v>43927</v>
      </c>
      <c r="C5443" s="94">
        <f>TEXT(B5443,"aaa")</f>
        <v/>
      </c>
      <c r="D5443" s="94" t="n"/>
      <c r="E5443" s="94" t="inlineStr">
        <is>
          <t>토너</t>
        </is>
      </c>
      <c r="F5443" s="5" t="inlineStr">
        <is>
          <t>스타일쉐어</t>
        </is>
      </c>
      <c r="G5443" s="94" t="inlineStr">
        <is>
          <t>250ml</t>
        </is>
      </c>
      <c r="H5443" s="7" t="n">
        <v>190801</v>
      </c>
      <c r="I5443" s="7" t="n">
        <v>190801</v>
      </c>
      <c r="J5443" s="94" t="n"/>
      <c r="K5443" s="6" t="n">
        <v>29</v>
      </c>
      <c r="L5443" s="92" t="n">
        <v>190801</v>
      </c>
      <c r="M5443" s="94">
        <f>VLOOKUP($Q5443,매칭테이블!$F:$I,2,0)*K5443</f>
        <v/>
      </c>
      <c r="N5443" s="94">
        <f>M5443-M5443*VLOOKUP($Q5443,매칭테이블!$F:$I,3,0)</f>
        <v/>
      </c>
      <c r="O5443" s="94">
        <f>VLOOKUP($Q5443,매칭테이블!$F:$I,4,0)*K5443</f>
        <v/>
      </c>
      <c r="P5443" s="148">
        <f>M5443/1.1</f>
        <v/>
      </c>
      <c r="Q5443" s="94">
        <f>F5443&amp;E5443&amp;G5443&amp;L5443</f>
        <v/>
      </c>
    </row>
    <row r="5444">
      <c r="A5444" s="94" t="n"/>
      <c r="B5444" s="128" t="n">
        <v>43927</v>
      </c>
      <c r="C5444" s="94">
        <f>TEXT(B5444,"aaa")</f>
        <v/>
      </c>
      <c r="D5444" s="94" t="n"/>
      <c r="E5444" s="94" t="inlineStr">
        <is>
          <t>화장솜</t>
        </is>
      </c>
      <c r="F5444" s="94" t="inlineStr">
        <is>
          <t>아누아 CS</t>
        </is>
      </c>
      <c r="G5444" s="94" t="inlineStr">
        <is>
          <t>스킨팩 화장솜 60P</t>
        </is>
      </c>
      <c r="H5444" s="7" t="n">
        <v>190801</v>
      </c>
      <c r="I5444" s="7" t="n">
        <v>190801</v>
      </c>
      <c r="J5444" s="94" t="n"/>
      <c r="K5444" s="6" t="n">
        <v>2</v>
      </c>
      <c r="L5444" s="92" t="n">
        <v>190801</v>
      </c>
      <c r="M5444" s="94">
        <f>VLOOKUP($Q5444,매칭테이블!$F:$I,2,0)*K5444</f>
        <v/>
      </c>
      <c r="N5444" s="94">
        <f>M5444-M5444*VLOOKUP($Q5444,매칭테이블!$F:$I,3,0)</f>
        <v/>
      </c>
      <c r="O5444" s="94">
        <f>VLOOKUP($Q5444,매칭테이블!$F:$I,4,0)*K5444</f>
        <v/>
      </c>
      <c r="P5444" s="148">
        <f>M5444/1.1</f>
        <v/>
      </c>
      <c r="Q5444" s="94">
        <f>F5444&amp;E5444&amp;G5444&amp;L5444</f>
        <v/>
      </c>
    </row>
    <row r="5445">
      <c r="A5445" s="94" t="n"/>
      <c r="B5445" s="128" t="n">
        <v>43927</v>
      </c>
      <c r="C5445" s="94">
        <f>TEXT(B5445,"aaa")</f>
        <v/>
      </c>
      <c r="D5445" s="94" t="n"/>
      <c r="E5445" s="94" t="inlineStr">
        <is>
          <t>머드크림마스크</t>
        </is>
      </c>
      <c r="F5445" s="94" t="inlineStr">
        <is>
          <t>카페24</t>
        </is>
      </c>
      <c r="G5445" s="94" t="inlineStr">
        <is>
          <t>머드크림마스크 100ml</t>
        </is>
      </c>
      <c r="H5445" s="7" t="n">
        <v>190801</v>
      </c>
      <c r="I5445" s="7" t="n">
        <v>190801</v>
      </c>
      <c r="J5445" s="94" t="n"/>
      <c r="K5445" s="6" t="n">
        <v>30</v>
      </c>
      <c r="L5445" s="94" t="n">
        <v>190801</v>
      </c>
      <c r="M5445" s="94">
        <f>VLOOKUP($Q5445,매칭테이블!$F:$I,2,0)*K5445</f>
        <v/>
      </c>
      <c r="N5445" s="94">
        <f>M5445-M5445*VLOOKUP($Q5445,매칭테이블!$F:$I,3,0)</f>
        <v/>
      </c>
      <c r="O5445" s="94">
        <f>VLOOKUP($Q5445,매칭테이블!$F:$I,4,0)*K5445</f>
        <v/>
      </c>
      <c r="P5445" s="148">
        <f>M5445/1.1</f>
        <v/>
      </c>
      <c r="Q5445" s="94">
        <f>F5445&amp;E5445&amp;G5445&amp;L5445</f>
        <v/>
      </c>
    </row>
    <row r="5446">
      <c r="A5446" s="94" t="n"/>
      <c r="B5446" s="128" t="n">
        <v>43927</v>
      </c>
      <c r="C5446" s="94">
        <f>TEXT(B5446,"aaa")</f>
        <v/>
      </c>
      <c r="D5446" s="94" t="n"/>
      <c r="E5446" s="94" t="inlineStr">
        <is>
          <t>머드크림마스크</t>
        </is>
      </c>
      <c r="F5446" s="94" t="inlineStr">
        <is>
          <t>카페24</t>
        </is>
      </c>
      <c r="G5446" s="94" t="inlineStr">
        <is>
          <t>머드크림마스크 100ml 2set</t>
        </is>
      </c>
      <c r="H5446" s="7" t="n">
        <v>190801</v>
      </c>
      <c r="I5446" s="7" t="n">
        <v>190801</v>
      </c>
      <c r="J5446" s="94" t="n"/>
      <c r="K5446" s="6" t="n">
        <v>3</v>
      </c>
      <c r="L5446" s="94" t="n">
        <v>190801</v>
      </c>
      <c r="M5446" s="94">
        <f>VLOOKUP($Q5446,매칭테이블!$F:$I,2,0)*K5446</f>
        <v/>
      </c>
      <c r="N5446" s="94">
        <f>M5446-M5446*VLOOKUP($Q5446,매칭테이블!$F:$I,3,0)</f>
        <v/>
      </c>
      <c r="O5446" s="94">
        <f>VLOOKUP($Q5446,매칭테이블!$F:$I,4,0)*K5446</f>
        <v/>
      </c>
      <c r="P5446" s="148">
        <f>M5446/1.1</f>
        <v/>
      </c>
      <c r="Q5446" s="94">
        <f>F5446&amp;E5446&amp;G5446&amp;L5446</f>
        <v/>
      </c>
    </row>
    <row r="5447">
      <c r="A5447" s="94" t="n"/>
      <c r="B5447" s="128" t="n">
        <v>43927</v>
      </c>
      <c r="C5447" s="94">
        <f>TEXT(B5447,"aaa")</f>
        <v/>
      </c>
      <c r="D5447" s="94" t="n"/>
      <c r="E5447" s="94" t="inlineStr">
        <is>
          <t>마스크팩</t>
        </is>
      </c>
      <c r="F5447" s="94" t="inlineStr">
        <is>
          <t>카페24</t>
        </is>
      </c>
      <c r="G5447" s="94" t="inlineStr">
        <is>
          <t>마스크팩 1매</t>
        </is>
      </c>
      <c r="H5447" s="7" t="n">
        <v>190801</v>
      </c>
      <c r="I5447" s="7" t="n">
        <v>190801</v>
      </c>
      <c r="J5447" s="94" t="n"/>
      <c r="K5447" s="6" t="n">
        <v>19</v>
      </c>
      <c r="L5447" s="94" t="n">
        <v>190801</v>
      </c>
      <c r="M5447" s="94">
        <f>VLOOKUP($Q5447,매칭테이블!$F:$I,2,0)*K5447</f>
        <v/>
      </c>
      <c r="N5447" s="94">
        <f>M5447-M5447*VLOOKUP($Q5447,매칭테이블!$F:$I,3,0)</f>
        <v/>
      </c>
      <c r="O5447" s="94">
        <f>VLOOKUP($Q5447,매칭테이블!$F:$I,4,0)*K5447</f>
        <v/>
      </c>
      <c r="P5447" s="148">
        <f>M5447/1.1</f>
        <v/>
      </c>
      <c r="Q5447" s="94">
        <f>F5447&amp;E5447&amp;G5447&amp;L5447</f>
        <v/>
      </c>
    </row>
    <row r="5448">
      <c r="A5448" s="94" t="n"/>
      <c r="B5448" s="128" t="n">
        <v>43927</v>
      </c>
      <c r="C5448" s="94">
        <f>TEXT(B5448,"aaa")</f>
        <v/>
      </c>
      <c r="D5448" s="94" t="n"/>
      <c r="E5448" s="94" t="inlineStr">
        <is>
          <t>마스크팩</t>
        </is>
      </c>
      <c r="F5448" s="94" t="inlineStr">
        <is>
          <t>카페24</t>
        </is>
      </c>
      <c r="G5448" s="94" t="inlineStr">
        <is>
          <t>마스크팩 10매</t>
        </is>
      </c>
      <c r="H5448" s="7" t="n">
        <v>190801</v>
      </c>
      <c r="I5448" s="7" t="n">
        <v>190801</v>
      </c>
      <c r="J5448" s="94" t="n"/>
      <c r="K5448" s="6" t="n">
        <v>2</v>
      </c>
      <c r="L5448" s="94" t="n">
        <v>190801</v>
      </c>
      <c r="M5448" s="94">
        <f>VLOOKUP($Q5448,매칭테이블!$F:$I,2,0)*K5448</f>
        <v/>
      </c>
      <c r="N5448" s="94">
        <f>M5448-M5448*VLOOKUP($Q5448,매칭테이블!$F:$I,3,0)</f>
        <v/>
      </c>
      <c r="O5448" s="94">
        <f>VLOOKUP($Q5448,매칭테이블!$F:$I,4,0)*K5448</f>
        <v/>
      </c>
      <c r="P5448" s="148">
        <f>M5448/1.1</f>
        <v/>
      </c>
      <c r="Q5448" s="94">
        <f>F5448&amp;E5448&amp;G5448&amp;L5448</f>
        <v/>
      </c>
    </row>
    <row r="5449">
      <c r="A5449" s="94" t="n"/>
      <c r="B5449" s="128" t="n">
        <v>43927</v>
      </c>
      <c r="C5449" s="94">
        <f>TEXT(B5449,"aaa")</f>
        <v/>
      </c>
      <c r="D5449" s="94" t="n"/>
      <c r="E5449" s="6" t="inlineStr">
        <is>
          <t>토너</t>
        </is>
      </c>
      <c r="F5449" s="5" t="inlineStr">
        <is>
          <t>카페24</t>
        </is>
      </c>
      <c r="G5449" s="5" t="inlineStr">
        <is>
          <t>250ml</t>
        </is>
      </c>
      <c r="H5449" s="7" t="n">
        <v>190801</v>
      </c>
      <c r="I5449" s="7" t="n">
        <v>190801</v>
      </c>
      <c r="J5449" s="94" t="n"/>
      <c r="K5449" s="6" t="n">
        <v>122</v>
      </c>
      <c r="L5449" s="7" t="n">
        <v>190801</v>
      </c>
      <c r="M5449" s="94">
        <f>VLOOKUP($Q5449,매칭테이블!$F:$I,2,0)*K5449</f>
        <v/>
      </c>
      <c r="N5449" s="94">
        <f>M5449-M5449*VLOOKUP($Q5449,매칭테이블!$F:$I,3,0)</f>
        <v/>
      </c>
      <c r="O5449" s="94">
        <f>VLOOKUP($Q5449,매칭테이블!$F:$I,4,0)*K5449</f>
        <v/>
      </c>
      <c r="P5449" s="148">
        <f>M5449/1.1</f>
        <v/>
      </c>
      <c r="Q5449" s="94">
        <f>F5449&amp;E5449&amp;G5449&amp;L5449</f>
        <v/>
      </c>
    </row>
    <row r="5450">
      <c r="A5450" s="94" t="n"/>
      <c r="B5450" s="128" t="n">
        <v>43927</v>
      </c>
      <c r="C5450" s="94">
        <f>TEXT(B5450,"aaa")</f>
        <v/>
      </c>
      <c r="D5450" s="94" t="n"/>
      <c r="E5450" s="6" t="inlineStr">
        <is>
          <t>토너</t>
        </is>
      </c>
      <c r="F5450" s="5" t="inlineStr">
        <is>
          <t>카페24</t>
        </is>
      </c>
      <c r="G5450" s="5" t="inlineStr">
        <is>
          <t>250ml 2set</t>
        </is>
      </c>
      <c r="H5450" s="7" t="n">
        <v>190801</v>
      </c>
      <c r="I5450" s="7" t="n">
        <v>190801</v>
      </c>
      <c r="J5450" s="94" t="n"/>
      <c r="K5450" s="6" t="n">
        <v>77</v>
      </c>
      <c r="L5450" s="7" t="n">
        <v>190801</v>
      </c>
      <c r="M5450" s="94">
        <f>VLOOKUP($Q5450,매칭테이블!$F:$I,2,0)*K5450</f>
        <v/>
      </c>
      <c r="N5450" s="94">
        <f>M5450-M5450*VLOOKUP($Q5450,매칭테이블!$F:$I,3,0)</f>
        <v/>
      </c>
      <c r="O5450" s="94">
        <f>VLOOKUP($Q5450,매칭테이블!$F:$I,4,0)*K5450</f>
        <v/>
      </c>
      <c r="P5450" s="148">
        <f>M5450/1.1</f>
        <v/>
      </c>
      <c r="Q5450" s="94">
        <f>F5450&amp;E5450&amp;G5450&amp;L5450</f>
        <v/>
      </c>
    </row>
    <row r="5451">
      <c r="A5451" s="94" t="n"/>
      <c r="B5451" s="128" t="n">
        <v>43927</v>
      </c>
      <c r="C5451" s="94">
        <f>TEXT(B5451,"aaa")</f>
        <v/>
      </c>
      <c r="D5451" s="94" t="n"/>
      <c r="E5451" s="6" t="inlineStr">
        <is>
          <t>토너</t>
        </is>
      </c>
      <c r="F5451" s="5" t="inlineStr">
        <is>
          <t>카페24</t>
        </is>
      </c>
      <c r="G5451" s="5" t="inlineStr">
        <is>
          <t>500ml</t>
        </is>
      </c>
      <c r="H5451" s="7" t="n">
        <v>190801</v>
      </c>
      <c r="I5451" s="7" t="n">
        <v>190801</v>
      </c>
      <c r="J5451" s="94" t="n"/>
      <c r="K5451" s="6" t="n">
        <v>84</v>
      </c>
      <c r="L5451" s="7" t="n">
        <v>190801</v>
      </c>
      <c r="M5451" s="94">
        <f>VLOOKUP($Q5451,매칭테이블!$F:$I,2,0)*K5451</f>
        <v/>
      </c>
      <c r="N5451" s="94">
        <f>M5451-M5451*VLOOKUP($Q5451,매칭테이블!$F:$I,3,0)</f>
        <v/>
      </c>
      <c r="O5451" s="94">
        <f>VLOOKUP($Q5451,매칭테이블!$F:$I,4,0)*K5451</f>
        <v/>
      </c>
      <c r="P5451" s="148">
        <f>M5451/1.1</f>
        <v/>
      </c>
      <c r="Q5451" s="94">
        <f>F5451&amp;E5451&amp;G5451&amp;L5451</f>
        <v/>
      </c>
    </row>
    <row r="5452">
      <c r="A5452" s="94" t="n"/>
      <c r="B5452" s="128" t="n">
        <v>43927</v>
      </c>
      <c r="C5452" s="94">
        <f>TEXT(B5452,"aaa")</f>
        <v/>
      </c>
      <c r="D5452" s="94" t="n"/>
      <c r="E5452" s="6" t="inlineStr">
        <is>
          <t>토너</t>
        </is>
      </c>
      <c r="F5452" s="5" t="inlineStr">
        <is>
          <t>카페24</t>
        </is>
      </c>
      <c r="G5452" s="94" t="inlineStr">
        <is>
          <t>스킨팩 화장솜 60P</t>
        </is>
      </c>
      <c r="H5452" s="7" t="n">
        <v>190801</v>
      </c>
      <c r="I5452" s="7" t="n">
        <v>190801</v>
      </c>
      <c r="J5452" s="94" t="n"/>
      <c r="K5452" s="6" t="n">
        <v>115</v>
      </c>
      <c r="L5452" s="7" t="n">
        <v>190801</v>
      </c>
      <c r="M5452" s="94">
        <f>VLOOKUP($Q5452,매칭테이블!$F:$I,2,0)*K5452</f>
        <v/>
      </c>
      <c r="N5452" s="94">
        <f>M5452-M5452*VLOOKUP($Q5452,매칭테이블!$F:$I,3,0)</f>
        <v/>
      </c>
      <c r="O5452" s="94">
        <f>VLOOKUP($Q5452,매칭테이블!$F:$I,4,0)*K5452</f>
        <v/>
      </c>
      <c r="P5452" s="148">
        <f>M5452/1.1</f>
        <v/>
      </c>
      <c r="Q5452" s="94">
        <f>F5452&amp;E5452&amp;G5452&amp;L5452</f>
        <v/>
      </c>
    </row>
    <row r="5453">
      <c r="A5453" s="94" t="n"/>
      <c r="B5453" s="128" t="n">
        <v>43927</v>
      </c>
      <c r="C5453" s="94">
        <f>TEXT(B5453,"aaa")</f>
        <v/>
      </c>
      <c r="D5453" s="94" t="n"/>
      <c r="E5453" s="94" t="inlineStr">
        <is>
          <t>앰플</t>
        </is>
      </c>
      <c r="F5453" s="5" t="inlineStr">
        <is>
          <t>카페24</t>
        </is>
      </c>
      <c r="G5453" s="94" t="inlineStr">
        <is>
          <t>앰플 30ml</t>
        </is>
      </c>
      <c r="H5453" s="7" t="n">
        <v>190801</v>
      </c>
      <c r="I5453" s="7" t="n">
        <v>190801</v>
      </c>
      <c r="J5453" s="94" t="n"/>
      <c r="K5453" s="6" t="n">
        <v>17</v>
      </c>
      <c r="L5453" s="94" t="n">
        <v>190801</v>
      </c>
      <c r="M5453" s="94">
        <f>VLOOKUP($Q5453,매칭테이블!$F:$I,2,0)*K5453</f>
        <v/>
      </c>
      <c r="N5453" s="94">
        <f>M5453-M5453*VLOOKUP($Q5453,매칭테이블!$F:$I,3,0)</f>
        <v/>
      </c>
      <c r="O5453" s="94">
        <f>VLOOKUP($Q5453,매칭테이블!$F:$I,4,0)*K5453</f>
        <v/>
      </c>
      <c r="P5453" s="148">
        <f>M5453/1.1</f>
        <v/>
      </c>
      <c r="Q5453" s="94">
        <f>F5453&amp;E5453&amp;G5453&amp;L5453</f>
        <v/>
      </c>
    </row>
    <row r="5454">
      <c r="A5454" s="94" t="n"/>
      <c r="B5454" s="128" t="n">
        <v>43927</v>
      </c>
      <c r="C5454" s="94">
        <f>TEXT(B5454,"aaa")</f>
        <v/>
      </c>
      <c r="D5454" s="94" t="n"/>
      <c r="E5454" s="94" t="inlineStr">
        <is>
          <t>수딩크림</t>
        </is>
      </c>
      <c r="F5454" s="5" t="inlineStr">
        <is>
          <t>카페24</t>
        </is>
      </c>
      <c r="G5454" s="94" t="inlineStr">
        <is>
          <t>수딩크림 100ml</t>
        </is>
      </c>
      <c r="H5454" s="7" t="n">
        <v>190801</v>
      </c>
      <c r="I5454" s="7" t="n">
        <v>190801</v>
      </c>
      <c r="J5454" s="94" t="n"/>
      <c r="K5454" s="6" t="n">
        <v>19</v>
      </c>
      <c r="L5454" s="94" t="n">
        <v>190801</v>
      </c>
      <c r="M5454" s="94">
        <f>VLOOKUP($Q5454,매칭테이블!$F:$I,2,0)*K5454</f>
        <v/>
      </c>
      <c r="N5454" s="94">
        <f>M5454-M5454*VLOOKUP($Q5454,매칭테이블!$F:$I,3,0)</f>
        <v/>
      </c>
      <c r="O5454" s="94">
        <f>VLOOKUP($Q5454,매칭테이블!$F:$I,4,0)*K5454</f>
        <v/>
      </c>
      <c r="P5454" s="148">
        <f>M5454/1.1</f>
        <v/>
      </c>
      <c r="Q5454" s="94">
        <f>F5454&amp;E5454&amp;G5454&amp;L5454</f>
        <v/>
      </c>
    </row>
    <row r="5455">
      <c r="A5455" s="94" t="n"/>
      <c r="B5455" s="128" t="n">
        <v>43927</v>
      </c>
      <c r="C5455" s="94">
        <f>TEXT(B5455,"aaa")</f>
        <v/>
      </c>
      <c r="D5455" s="94" t="n"/>
      <c r="E5455" s="94" t="inlineStr">
        <is>
          <t>토너+머드크림세트</t>
        </is>
      </c>
      <c r="F5455" s="94" t="inlineStr">
        <is>
          <t>카페24</t>
        </is>
      </c>
      <c r="G5455" s="94" t="inlineStr">
        <is>
          <t>250ml</t>
        </is>
      </c>
      <c r="H5455" s="7" t="n">
        <v>190801</v>
      </c>
      <c r="I5455" s="7" t="n">
        <v>190801</v>
      </c>
      <c r="J5455" s="94" t="n"/>
      <c r="K5455" s="6" t="n">
        <v>3</v>
      </c>
      <c r="L5455" s="94" t="n">
        <v>190801</v>
      </c>
      <c r="M5455" s="94">
        <f>VLOOKUP($Q5455,매칭테이블!$F:$I,2,0)*K5455</f>
        <v/>
      </c>
      <c r="N5455" s="94">
        <f>M5455-M5455*VLOOKUP($Q5455,매칭테이블!$F:$I,3,0)</f>
        <v/>
      </c>
      <c r="O5455" s="94">
        <f>VLOOKUP($Q5455,매칭테이블!$F:$I,4,0)*K5455</f>
        <v/>
      </c>
      <c r="P5455" s="148">
        <f>M5455/1.1</f>
        <v/>
      </c>
      <c r="Q5455" s="94">
        <f>F5455&amp;E5455&amp;G5455&amp;L5455</f>
        <v/>
      </c>
    </row>
    <row r="5456">
      <c r="A5456" s="94" t="n"/>
      <c r="B5456" s="128" t="n">
        <v>43927</v>
      </c>
      <c r="C5456" s="94">
        <f>TEXT(B5456,"aaa")</f>
        <v/>
      </c>
      <c r="D5456" s="94" t="n"/>
      <c r="E5456" s="94" t="inlineStr">
        <is>
          <t>토너+머드크림세트</t>
        </is>
      </c>
      <c r="F5456" s="94" t="inlineStr">
        <is>
          <t>카페24</t>
        </is>
      </c>
      <c r="G5456" s="94" t="inlineStr">
        <is>
          <t>머드크림마스크 100ml</t>
        </is>
      </c>
      <c r="H5456" s="7" t="n">
        <v>190801</v>
      </c>
      <c r="I5456" s="7" t="n">
        <v>190801</v>
      </c>
      <c r="J5456" s="94" t="n"/>
      <c r="K5456" s="6" t="n">
        <v>3</v>
      </c>
      <c r="L5456" s="94" t="n">
        <v>190801</v>
      </c>
      <c r="M5456" s="94">
        <f>VLOOKUP($Q5456,매칭테이블!$F:$I,2,0)*K5456</f>
        <v/>
      </c>
      <c r="N5456" s="94">
        <f>M5456-M5456*VLOOKUP($Q5456,매칭테이블!$F:$I,3,0)</f>
        <v/>
      </c>
      <c r="O5456" s="94">
        <f>VLOOKUP($Q5456,매칭테이블!$F:$I,4,0)*K5456</f>
        <v/>
      </c>
      <c r="P5456" s="148">
        <f>M5456/1.1</f>
        <v/>
      </c>
      <c r="Q5456" s="94">
        <f>F5456&amp;E5456&amp;G5456&amp;L5456</f>
        <v/>
      </c>
    </row>
    <row r="5457">
      <c r="A5457" s="94" t="n"/>
      <c r="B5457" s="128" t="n">
        <v>43927</v>
      </c>
      <c r="C5457" s="94">
        <f>TEXT(B5457,"aaa")</f>
        <v/>
      </c>
      <c r="D5457" s="94" t="n"/>
      <c r="E5457" s="94" t="inlineStr">
        <is>
          <t>토너</t>
        </is>
      </c>
      <c r="F5457" s="94" t="inlineStr">
        <is>
          <t>큐텐</t>
        </is>
      </c>
      <c r="G5457" s="94" t="inlineStr">
        <is>
          <t>250ml</t>
        </is>
      </c>
      <c r="H5457" s="7" t="n">
        <v>190801</v>
      </c>
      <c r="I5457" s="7" t="n">
        <v>190801</v>
      </c>
      <c r="J5457" s="94" t="n"/>
      <c r="K5457" s="6" t="n">
        <v>86</v>
      </c>
      <c r="L5457" s="92" t="n">
        <v>190801</v>
      </c>
      <c r="M5457" s="94">
        <f>VLOOKUP($Q5457,매칭테이블!$F:$I,2,0)*K5457</f>
        <v/>
      </c>
      <c r="N5457" s="94">
        <f>M5457-M5457*VLOOKUP($Q5457,매칭테이블!$F:$I,3,0)</f>
        <v/>
      </c>
      <c r="O5457" s="94">
        <f>VLOOKUP($Q5457,매칭테이블!$F:$I,4,0)*K5457</f>
        <v/>
      </c>
      <c r="P5457" s="148">
        <f>M5457/1.1</f>
        <v/>
      </c>
      <c r="Q5457" s="94">
        <f>F5457&amp;E5457&amp;G5457&amp;L5457</f>
        <v/>
      </c>
    </row>
    <row r="5458">
      <c r="A5458" s="94" t="n"/>
      <c r="B5458" s="128" t="n">
        <v>43927</v>
      </c>
      <c r="C5458" s="94">
        <f>TEXT(B5458,"aaa")</f>
        <v/>
      </c>
      <c r="D5458" s="94" t="n"/>
      <c r="E5458" s="94" t="inlineStr">
        <is>
          <t>토너</t>
        </is>
      </c>
      <c r="F5458" s="94" t="inlineStr">
        <is>
          <t>큐텐</t>
        </is>
      </c>
      <c r="G5458" s="94" t="inlineStr">
        <is>
          <t>250ml 2set</t>
        </is>
      </c>
      <c r="H5458" s="7" t="n">
        <v>190801</v>
      </c>
      <c r="I5458" s="7" t="n">
        <v>190801</v>
      </c>
      <c r="J5458" s="94" t="n"/>
      <c r="K5458" s="6" t="n">
        <v>40</v>
      </c>
      <c r="L5458" s="92" t="n">
        <v>190801</v>
      </c>
      <c r="M5458" s="94">
        <f>VLOOKUP($Q5458,매칭테이블!$F:$I,2,0)*K5458</f>
        <v/>
      </c>
      <c r="N5458" s="94">
        <f>M5458-M5458*VLOOKUP($Q5458,매칭테이블!$F:$I,3,0)</f>
        <v/>
      </c>
      <c r="O5458" s="94">
        <f>VLOOKUP($Q5458,매칭테이블!$F:$I,4,0)*K5458</f>
        <v/>
      </c>
      <c r="P5458" s="148">
        <f>M5458/1.1</f>
        <v/>
      </c>
      <c r="Q5458" s="94">
        <f>F5458&amp;E5458&amp;G5458&amp;L5458</f>
        <v/>
      </c>
    </row>
    <row r="5459">
      <c r="A5459" s="94" t="n"/>
      <c r="B5459" s="128" t="n">
        <v>43927</v>
      </c>
      <c r="C5459" s="94">
        <f>TEXT(B5459,"aaa")</f>
        <v/>
      </c>
      <c r="D5459" s="94" t="n"/>
      <c r="E5459" s="94" t="inlineStr">
        <is>
          <t>머드크림마스크</t>
        </is>
      </c>
      <c r="F5459" s="94" t="inlineStr">
        <is>
          <t>큐텐</t>
        </is>
      </c>
      <c r="G5459" s="94" t="inlineStr">
        <is>
          <t>머드크림마스크 100ml</t>
        </is>
      </c>
      <c r="H5459" s="7" t="n">
        <v>190801</v>
      </c>
      <c r="I5459" s="7" t="n">
        <v>190801</v>
      </c>
      <c r="J5459" s="94" t="n"/>
      <c r="K5459" s="6" t="n">
        <v>1</v>
      </c>
      <c r="L5459" s="94" t="n">
        <v>190801</v>
      </c>
      <c r="M5459" s="94">
        <f>VLOOKUP($Q5459,매칭테이블!$F:$I,2,0)*K5459</f>
        <v/>
      </c>
      <c r="N5459" s="94">
        <f>M5459-M5459*VLOOKUP($Q5459,매칭테이블!$F:$I,3,0)</f>
        <v/>
      </c>
      <c r="O5459" s="94">
        <f>VLOOKUP($Q5459,매칭테이블!$F:$I,4,0)*K5459</f>
        <v/>
      </c>
      <c r="P5459" s="148">
        <f>M5459/1.1</f>
        <v/>
      </c>
      <c r="Q5459" s="94">
        <f>F5459&amp;E5459&amp;G5459&amp;L5459</f>
        <v/>
      </c>
    </row>
    <row r="5460">
      <c r="A5460" s="94" t="n"/>
      <c r="B5460" s="128" t="n">
        <v>43928</v>
      </c>
      <c r="C5460" s="94">
        <f>TEXT(B5460,"aaa")</f>
        <v/>
      </c>
      <c r="D5460" s="94" t="n"/>
      <c r="E5460" s="6" t="inlineStr">
        <is>
          <t>토너</t>
        </is>
      </c>
      <c r="F5460" s="5" t="inlineStr">
        <is>
          <t>W컨셉</t>
        </is>
      </c>
      <c r="G5460" s="5" t="inlineStr">
        <is>
          <t>250ml</t>
        </is>
      </c>
      <c r="H5460" s="7" t="n">
        <v>190801</v>
      </c>
      <c r="I5460" s="7" t="n">
        <v>190801</v>
      </c>
      <c r="J5460" s="94" t="n"/>
      <c r="K5460" s="6" t="n">
        <v>6</v>
      </c>
      <c r="L5460" s="7" t="n">
        <v>190801</v>
      </c>
      <c r="M5460" s="94">
        <f>VLOOKUP($Q5460,매칭테이블!$F:$I,2,0)*K5460</f>
        <v/>
      </c>
      <c r="N5460" s="94">
        <f>M5460-M5460*VLOOKUP($Q5460,매칭테이블!$F:$I,3,0)</f>
        <v/>
      </c>
      <c r="O5460" s="94">
        <f>VLOOKUP($Q5460,매칭테이블!$F:$I,4,0)*K5460</f>
        <v/>
      </c>
      <c r="P5460" s="148">
        <f>M5460/1.1</f>
        <v/>
      </c>
      <c r="Q5460" s="94">
        <f>F5460&amp;E5460&amp;G5460&amp;L5460</f>
        <v/>
      </c>
    </row>
    <row r="5461">
      <c r="A5461" s="94" t="n"/>
      <c r="B5461" s="128" t="n">
        <v>43928</v>
      </c>
      <c r="C5461" s="94">
        <f>TEXT(B5461,"aaa")</f>
        <v/>
      </c>
      <c r="D5461" s="94" t="n"/>
      <c r="E5461" s="6" t="inlineStr">
        <is>
          <t>토너</t>
        </is>
      </c>
      <c r="F5461" s="5" t="inlineStr">
        <is>
          <t>W컨셉</t>
        </is>
      </c>
      <c r="G5461" s="5" t="inlineStr">
        <is>
          <t>250ml 2set</t>
        </is>
      </c>
      <c r="H5461" s="7" t="n">
        <v>190801</v>
      </c>
      <c r="I5461" s="7" t="n">
        <v>190801</v>
      </c>
      <c r="J5461" s="94" t="n"/>
      <c r="K5461" s="6" t="n">
        <v>7</v>
      </c>
      <c r="L5461" s="7" t="n">
        <v>190801</v>
      </c>
      <c r="M5461" s="94">
        <f>VLOOKUP($Q5461,매칭테이블!$F:$I,2,0)*K5461</f>
        <v/>
      </c>
      <c r="N5461" s="94">
        <f>M5461-M5461*VLOOKUP($Q5461,매칭테이블!$F:$I,3,0)</f>
        <v/>
      </c>
      <c r="O5461" s="94">
        <f>VLOOKUP($Q5461,매칭테이블!$F:$I,4,0)*K5461</f>
        <v/>
      </c>
      <c r="P5461" s="148">
        <f>M5461/1.1</f>
        <v/>
      </c>
      <c r="Q5461" s="94">
        <f>F5461&amp;E5461&amp;G5461&amp;L5461</f>
        <v/>
      </c>
    </row>
    <row r="5462">
      <c r="A5462" s="94" t="n"/>
      <c r="B5462" s="128" t="n">
        <v>43928</v>
      </c>
      <c r="C5462" s="94">
        <f>TEXT(B5462,"aaa")</f>
        <v/>
      </c>
      <c r="D5462" s="94" t="n"/>
      <c r="E5462" s="94" t="inlineStr">
        <is>
          <t>토너</t>
        </is>
      </c>
      <c r="F5462" s="5" t="inlineStr">
        <is>
          <t>스타일쉐어</t>
        </is>
      </c>
      <c r="G5462" s="94" t="inlineStr">
        <is>
          <t>250ml</t>
        </is>
      </c>
      <c r="H5462" s="7" t="n">
        <v>190801</v>
      </c>
      <c r="I5462" s="7" t="n">
        <v>190801</v>
      </c>
      <c r="J5462" s="94" t="n"/>
      <c r="K5462" s="6" t="n">
        <v>6</v>
      </c>
      <c r="L5462" s="92" t="n">
        <v>190801</v>
      </c>
      <c r="M5462" s="94">
        <f>VLOOKUP($Q5462,매칭테이블!$F:$I,2,0)*K5462</f>
        <v/>
      </c>
      <c r="N5462" s="94">
        <f>M5462-M5462*VLOOKUP($Q5462,매칭테이블!$F:$I,3,0)</f>
        <v/>
      </c>
      <c r="O5462" s="94">
        <f>VLOOKUP($Q5462,매칭테이블!$F:$I,4,0)*K5462</f>
        <v/>
      </c>
      <c r="P5462" s="148">
        <f>M5462/1.1</f>
        <v/>
      </c>
      <c r="Q5462" s="94">
        <f>F5462&amp;E5462&amp;G5462&amp;L5462</f>
        <v/>
      </c>
    </row>
    <row r="5463">
      <c r="A5463" s="94" t="n"/>
      <c r="B5463" s="128" t="n">
        <v>43928</v>
      </c>
      <c r="C5463" s="94">
        <f>TEXT(B5463,"aaa")</f>
        <v/>
      </c>
      <c r="D5463" s="94" t="n"/>
      <c r="E5463" s="94" t="inlineStr">
        <is>
          <t>수딩크림</t>
        </is>
      </c>
      <c r="F5463" s="94" t="inlineStr">
        <is>
          <t>아누아 CS</t>
        </is>
      </c>
      <c r="G5463" s="94" t="inlineStr">
        <is>
          <t>수딩크림 100ml</t>
        </is>
      </c>
      <c r="H5463" s="7" t="n">
        <v>190801</v>
      </c>
      <c r="I5463" s="7" t="n">
        <v>190801</v>
      </c>
      <c r="J5463" s="94" t="n"/>
      <c r="K5463" s="6" t="n">
        <v>60</v>
      </c>
      <c r="L5463" s="94" t="n">
        <v>190801</v>
      </c>
      <c r="M5463" s="94">
        <f>VLOOKUP($Q5463,매칭테이블!$F:$I,2,0)*K5463</f>
        <v/>
      </c>
      <c r="N5463" s="94">
        <f>M5463-M5463*VLOOKUP($Q5463,매칭테이블!$F:$I,3,0)</f>
        <v/>
      </c>
      <c r="O5463" s="94">
        <f>VLOOKUP($Q5463,매칭테이블!$F:$I,4,0)*K5463</f>
        <v/>
      </c>
      <c r="P5463" s="148">
        <f>M5463/1.1</f>
        <v/>
      </c>
      <c r="Q5463" s="94">
        <f>F5463&amp;E5463&amp;G5463&amp;L5463</f>
        <v/>
      </c>
    </row>
    <row r="5464">
      <c r="A5464" s="94" t="n"/>
      <c r="B5464" s="128" t="n">
        <v>43928</v>
      </c>
      <c r="C5464" s="94">
        <f>TEXT(B5464,"aaa")</f>
        <v/>
      </c>
      <c r="D5464" s="94" t="n"/>
      <c r="E5464" s="94" t="inlineStr">
        <is>
          <t>앰플</t>
        </is>
      </c>
      <c r="F5464" s="94" t="inlineStr">
        <is>
          <t>아누아 CS</t>
        </is>
      </c>
      <c r="G5464" s="94" t="inlineStr">
        <is>
          <t>앰플 30ml</t>
        </is>
      </c>
      <c r="H5464" s="7" t="n">
        <v>190801</v>
      </c>
      <c r="I5464" s="7" t="n">
        <v>190801</v>
      </c>
      <c r="J5464" s="94" t="n"/>
      <c r="K5464" s="6" t="n">
        <v>2</v>
      </c>
      <c r="L5464" s="94" t="n">
        <v>190801</v>
      </c>
      <c r="M5464" s="94">
        <f>VLOOKUP($Q5464,매칭테이블!$F:$I,2,0)*K5464</f>
        <v/>
      </c>
      <c r="N5464" s="94">
        <f>M5464-M5464*VLOOKUP($Q5464,매칭테이블!$F:$I,3,0)</f>
        <v/>
      </c>
      <c r="O5464" s="94">
        <f>VLOOKUP($Q5464,매칭테이블!$F:$I,4,0)*K5464</f>
        <v/>
      </c>
      <c r="P5464" s="148">
        <f>M5464/1.1</f>
        <v/>
      </c>
      <c r="Q5464" s="94">
        <f>F5464&amp;E5464&amp;G5464&amp;L5464</f>
        <v/>
      </c>
    </row>
    <row r="5465">
      <c r="A5465" s="94" t="n"/>
      <c r="B5465" s="128" t="n">
        <v>43928</v>
      </c>
      <c r="C5465" s="94">
        <f>TEXT(B5465,"aaa")</f>
        <v/>
      </c>
      <c r="D5465" s="94" t="n"/>
      <c r="E5465" s="94" t="inlineStr">
        <is>
          <t>마스크팩</t>
        </is>
      </c>
      <c r="F5465" s="94" t="inlineStr">
        <is>
          <t>아누아 CS</t>
        </is>
      </c>
      <c r="G5465" s="94" t="inlineStr">
        <is>
          <t>마스크팩 1매</t>
        </is>
      </c>
      <c r="H5465" s="7" t="n">
        <v>190801</v>
      </c>
      <c r="I5465" s="7" t="n">
        <v>190801</v>
      </c>
      <c r="J5465" s="94" t="n"/>
      <c r="K5465" s="6" t="n">
        <v>10</v>
      </c>
      <c r="L5465" s="94" t="n">
        <v>190801</v>
      </c>
      <c r="M5465" s="94">
        <f>VLOOKUP($Q5465,매칭테이블!$F:$I,2,0)*K5465</f>
        <v/>
      </c>
      <c r="N5465" s="94">
        <f>M5465-M5465*VLOOKUP($Q5465,매칭테이블!$F:$I,3,0)</f>
        <v/>
      </c>
      <c r="O5465" s="94">
        <f>VLOOKUP($Q5465,매칭테이블!$F:$I,4,0)*K5465</f>
        <v/>
      </c>
      <c r="P5465" s="148">
        <f>M5465/1.1</f>
        <v/>
      </c>
      <c r="Q5465" s="94">
        <f>F5465&amp;E5465&amp;G5465&amp;L5465</f>
        <v/>
      </c>
    </row>
    <row r="5466">
      <c r="A5466" s="94" t="n"/>
      <c r="B5466" s="128" t="n">
        <v>43928</v>
      </c>
      <c r="C5466" s="94">
        <f>TEXT(B5466,"aaa")</f>
        <v/>
      </c>
      <c r="D5466" s="94" t="n"/>
      <c r="E5466" s="94" t="inlineStr">
        <is>
          <t>마스크팩</t>
        </is>
      </c>
      <c r="F5466" s="94" t="inlineStr">
        <is>
          <t>아누아 CS</t>
        </is>
      </c>
      <c r="G5466" s="94" t="inlineStr">
        <is>
          <t>마스크팩 10매</t>
        </is>
      </c>
      <c r="H5466" s="7" t="n">
        <v>190801</v>
      </c>
      <c r="I5466" s="7" t="n">
        <v>190801</v>
      </c>
      <c r="J5466" s="94" t="n"/>
      <c r="K5466" s="6" t="n">
        <v>5</v>
      </c>
      <c r="L5466" s="94" t="n">
        <v>190801</v>
      </c>
      <c r="M5466" s="94">
        <f>VLOOKUP($Q5466,매칭테이블!$F:$I,2,0)*K5466</f>
        <v/>
      </c>
      <c r="N5466" s="94">
        <f>M5466-M5466*VLOOKUP($Q5466,매칭테이블!$F:$I,3,0)</f>
        <v/>
      </c>
      <c r="O5466" s="94">
        <f>VLOOKUP($Q5466,매칭테이블!$F:$I,4,0)*K5466</f>
        <v/>
      </c>
      <c r="P5466" s="148">
        <f>M5466/1.1</f>
        <v/>
      </c>
      <c r="Q5466" s="94">
        <f>F5466&amp;E5466&amp;G5466&amp;L5466</f>
        <v/>
      </c>
    </row>
    <row r="5467">
      <c r="A5467" s="94" t="n"/>
      <c r="B5467" s="128" t="n">
        <v>43928</v>
      </c>
      <c r="C5467" s="94">
        <f>TEXT(B5467,"aaa")</f>
        <v/>
      </c>
      <c r="D5467" s="94" t="n"/>
      <c r="E5467" s="94" t="inlineStr">
        <is>
          <t>머드크림마스크</t>
        </is>
      </c>
      <c r="F5467" s="94" t="inlineStr">
        <is>
          <t>아누아 CS</t>
        </is>
      </c>
      <c r="G5467" s="94" t="inlineStr">
        <is>
          <t>머드크림마스크 100ml</t>
        </is>
      </c>
      <c r="H5467" s="7" t="n">
        <v>190801</v>
      </c>
      <c r="I5467" s="7" t="n">
        <v>190801</v>
      </c>
      <c r="J5467" s="94" t="n"/>
      <c r="K5467" s="6" t="n">
        <v>40</v>
      </c>
      <c r="L5467" s="94" t="n">
        <v>190801</v>
      </c>
      <c r="M5467" s="94">
        <f>VLOOKUP($Q5467,매칭테이블!$F:$I,2,0)*K5467</f>
        <v/>
      </c>
      <c r="N5467" s="94">
        <f>M5467-M5467*VLOOKUP($Q5467,매칭테이블!$F:$I,3,0)</f>
        <v/>
      </c>
      <c r="O5467" s="94">
        <f>VLOOKUP($Q5467,매칭테이블!$F:$I,4,0)*K5467</f>
        <v/>
      </c>
      <c r="P5467" s="148">
        <f>M5467/1.1</f>
        <v/>
      </c>
      <c r="Q5467" s="94">
        <f>F5467&amp;E5467&amp;G5467&amp;L5467</f>
        <v/>
      </c>
    </row>
    <row r="5468">
      <c r="A5468" s="94" t="n"/>
      <c r="B5468" s="128" t="n">
        <v>43928</v>
      </c>
      <c r="C5468" s="94">
        <f>TEXT(B5468,"aaa")</f>
        <v/>
      </c>
      <c r="D5468" s="94" t="n"/>
      <c r="E5468" s="94" t="inlineStr">
        <is>
          <t>머드크림마스크</t>
        </is>
      </c>
      <c r="F5468" s="94" t="inlineStr">
        <is>
          <t>카페24</t>
        </is>
      </c>
      <c r="G5468" s="94" t="inlineStr">
        <is>
          <t>머드크림마스크 100ml</t>
        </is>
      </c>
      <c r="H5468" s="7" t="n">
        <v>190801</v>
      </c>
      <c r="I5468" s="7" t="n">
        <v>190801</v>
      </c>
      <c r="J5468" s="94" t="n"/>
      <c r="K5468" s="6" t="n">
        <v>17</v>
      </c>
      <c r="L5468" s="94" t="n">
        <v>190801</v>
      </c>
      <c r="M5468" s="94">
        <f>VLOOKUP($Q5468,매칭테이블!$F:$I,2,0)*K5468</f>
        <v/>
      </c>
      <c r="N5468" s="94">
        <f>M5468-M5468*VLOOKUP($Q5468,매칭테이블!$F:$I,3,0)</f>
        <v/>
      </c>
      <c r="O5468" s="94">
        <f>VLOOKUP($Q5468,매칭테이블!$F:$I,4,0)*K5468</f>
        <v/>
      </c>
      <c r="P5468" s="148">
        <f>M5468/1.1</f>
        <v/>
      </c>
      <c r="Q5468" s="94">
        <f>F5468&amp;E5468&amp;G5468&amp;L5468</f>
        <v/>
      </c>
    </row>
    <row r="5469">
      <c r="A5469" s="94" t="n"/>
      <c r="B5469" s="128" t="n">
        <v>43928</v>
      </c>
      <c r="C5469" s="94">
        <f>TEXT(B5469,"aaa")</f>
        <v/>
      </c>
      <c r="D5469" s="94" t="n"/>
      <c r="E5469" s="94" t="inlineStr">
        <is>
          <t>머드크림마스크</t>
        </is>
      </c>
      <c r="F5469" s="94" t="inlineStr">
        <is>
          <t>카페24</t>
        </is>
      </c>
      <c r="G5469" s="94" t="inlineStr">
        <is>
          <t>머드크림마스크 100ml 2set</t>
        </is>
      </c>
      <c r="H5469" s="7" t="n">
        <v>190801</v>
      </c>
      <c r="I5469" s="7" t="n">
        <v>190801</v>
      </c>
      <c r="J5469" s="94" t="n"/>
      <c r="K5469" s="6" t="n">
        <v>9</v>
      </c>
      <c r="L5469" s="94" t="n">
        <v>190801</v>
      </c>
      <c r="M5469" s="94">
        <f>VLOOKUP($Q5469,매칭테이블!$F:$I,2,0)*K5469</f>
        <v/>
      </c>
      <c r="N5469" s="94">
        <f>M5469-M5469*VLOOKUP($Q5469,매칭테이블!$F:$I,3,0)</f>
        <v/>
      </c>
      <c r="O5469" s="94">
        <f>VLOOKUP($Q5469,매칭테이블!$F:$I,4,0)*K5469</f>
        <v/>
      </c>
      <c r="P5469" s="148">
        <f>M5469/1.1</f>
        <v/>
      </c>
      <c r="Q5469" s="94">
        <f>F5469&amp;E5469&amp;G5469&amp;L5469</f>
        <v/>
      </c>
    </row>
    <row r="5470">
      <c r="A5470" s="94" t="n"/>
      <c r="B5470" s="128" t="n">
        <v>43928</v>
      </c>
      <c r="C5470" s="94">
        <f>TEXT(B5470,"aaa")</f>
        <v/>
      </c>
      <c r="D5470" s="94" t="n"/>
      <c r="E5470" s="94" t="inlineStr">
        <is>
          <t>마스크팩</t>
        </is>
      </c>
      <c r="F5470" s="94" t="inlineStr">
        <is>
          <t>카페24</t>
        </is>
      </c>
      <c r="G5470" s="94" t="inlineStr">
        <is>
          <t>마스크팩 1매</t>
        </is>
      </c>
      <c r="H5470" s="7" t="n">
        <v>190801</v>
      </c>
      <c r="I5470" s="7" t="n">
        <v>190801</v>
      </c>
      <c r="J5470" s="94" t="n"/>
      <c r="K5470" s="6" t="n">
        <v>3</v>
      </c>
      <c r="L5470" s="94" t="n">
        <v>190801</v>
      </c>
      <c r="M5470" s="94">
        <f>VLOOKUP($Q5470,매칭테이블!$F:$I,2,0)*K5470</f>
        <v/>
      </c>
      <c r="N5470" s="94">
        <f>M5470-M5470*VLOOKUP($Q5470,매칭테이블!$F:$I,3,0)</f>
        <v/>
      </c>
      <c r="O5470" s="94">
        <f>VLOOKUP($Q5470,매칭테이블!$F:$I,4,0)*K5470</f>
        <v/>
      </c>
      <c r="P5470" s="148">
        <f>M5470/1.1</f>
        <v/>
      </c>
      <c r="Q5470" s="94">
        <f>F5470&amp;E5470&amp;G5470&amp;L5470</f>
        <v/>
      </c>
    </row>
    <row r="5471">
      <c r="A5471" s="94" t="n"/>
      <c r="B5471" s="128" t="n">
        <v>43928</v>
      </c>
      <c r="C5471" s="94">
        <f>TEXT(B5471,"aaa")</f>
        <v/>
      </c>
      <c r="D5471" s="94" t="n"/>
      <c r="E5471" s="94" t="inlineStr">
        <is>
          <t>마스크팩</t>
        </is>
      </c>
      <c r="F5471" s="94" t="inlineStr">
        <is>
          <t>카페24</t>
        </is>
      </c>
      <c r="G5471" s="94" t="inlineStr">
        <is>
          <t>마스크팩 10매</t>
        </is>
      </c>
      <c r="H5471" s="7" t="n">
        <v>190801</v>
      </c>
      <c r="I5471" s="7" t="n">
        <v>190801</v>
      </c>
      <c r="J5471" s="94" t="n"/>
      <c r="K5471" s="6" t="n">
        <v>4</v>
      </c>
      <c r="L5471" s="94" t="n">
        <v>190801</v>
      </c>
      <c r="M5471" s="94">
        <f>VLOOKUP($Q5471,매칭테이블!$F:$I,2,0)*K5471</f>
        <v/>
      </c>
      <c r="N5471" s="94">
        <f>M5471-M5471*VLOOKUP($Q5471,매칭테이블!$F:$I,3,0)</f>
        <v/>
      </c>
      <c r="O5471" s="94">
        <f>VLOOKUP($Q5471,매칭테이블!$F:$I,4,0)*K5471</f>
        <v/>
      </c>
      <c r="P5471" s="148">
        <f>M5471/1.1</f>
        <v/>
      </c>
      <c r="Q5471" s="94">
        <f>F5471&amp;E5471&amp;G5471&amp;L5471</f>
        <v/>
      </c>
    </row>
    <row r="5472">
      <c r="A5472" s="94" t="n"/>
      <c r="B5472" s="128" t="n">
        <v>43928</v>
      </c>
      <c r="C5472" s="94">
        <f>TEXT(B5472,"aaa")</f>
        <v/>
      </c>
      <c r="D5472" s="94" t="n"/>
      <c r="E5472" s="6" t="inlineStr">
        <is>
          <t>토너</t>
        </is>
      </c>
      <c r="F5472" s="5" t="inlineStr">
        <is>
          <t>카페24</t>
        </is>
      </c>
      <c r="G5472" s="5" t="inlineStr">
        <is>
          <t>250ml</t>
        </is>
      </c>
      <c r="H5472" s="7" t="n">
        <v>190801</v>
      </c>
      <c r="I5472" s="7" t="n">
        <v>190801</v>
      </c>
      <c r="J5472" s="94" t="n"/>
      <c r="K5472" s="6" t="n">
        <v>119</v>
      </c>
      <c r="L5472" s="7" t="n">
        <v>190801</v>
      </c>
      <c r="M5472" s="94">
        <f>VLOOKUP($Q5472,매칭테이블!$F:$I,2,0)*K5472</f>
        <v/>
      </c>
      <c r="N5472" s="94">
        <f>M5472-M5472*VLOOKUP($Q5472,매칭테이블!$F:$I,3,0)</f>
        <v/>
      </c>
      <c r="O5472" s="94">
        <f>VLOOKUP($Q5472,매칭테이블!$F:$I,4,0)*K5472</f>
        <v/>
      </c>
      <c r="P5472" s="148">
        <f>M5472/1.1</f>
        <v/>
      </c>
      <c r="Q5472" s="94">
        <f>F5472&amp;E5472&amp;G5472&amp;L5472</f>
        <v/>
      </c>
    </row>
    <row r="5473">
      <c r="A5473" s="94" t="n"/>
      <c r="B5473" s="128" t="n">
        <v>43928</v>
      </c>
      <c r="C5473" s="94">
        <f>TEXT(B5473,"aaa")</f>
        <v/>
      </c>
      <c r="D5473" s="94" t="n"/>
      <c r="E5473" s="6" t="inlineStr">
        <is>
          <t>토너</t>
        </is>
      </c>
      <c r="F5473" s="5" t="inlineStr">
        <is>
          <t>카페24</t>
        </is>
      </c>
      <c r="G5473" s="5" t="inlineStr">
        <is>
          <t>250ml 2set</t>
        </is>
      </c>
      <c r="H5473" s="7" t="n">
        <v>190801</v>
      </c>
      <c r="I5473" s="7" t="n">
        <v>190801</v>
      </c>
      <c r="J5473" s="94" t="n"/>
      <c r="K5473" s="6" t="n">
        <v>63</v>
      </c>
      <c r="L5473" s="7" t="n">
        <v>190801</v>
      </c>
      <c r="M5473" s="94">
        <f>VLOOKUP($Q5473,매칭테이블!$F:$I,2,0)*K5473</f>
        <v/>
      </c>
      <c r="N5473" s="94">
        <f>M5473-M5473*VLOOKUP($Q5473,매칭테이블!$F:$I,3,0)</f>
        <v/>
      </c>
      <c r="O5473" s="94">
        <f>VLOOKUP($Q5473,매칭테이블!$F:$I,4,0)*K5473</f>
        <v/>
      </c>
      <c r="P5473" s="148">
        <f>M5473/1.1</f>
        <v/>
      </c>
      <c r="Q5473" s="94">
        <f>F5473&amp;E5473&amp;G5473&amp;L5473</f>
        <v/>
      </c>
    </row>
    <row r="5474">
      <c r="A5474" s="94" t="n"/>
      <c r="B5474" s="128" t="n">
        <v>43928</v>
      </c>
      <c r="C5474" s="94">
        <f>TEXT(B5474,"aaa")</f>
        <v/>
      </c>
      <c r="D5474" s="94" t="n"/>
      <c r="E5474" s="6" t="inlineStr">
        <is>
          <t>토너</t>
        </is>
      </c>
      <c r="F5474" s="5" t="inlineStr">
        <is>
          <t>카페24</t>
        </is>
      </c>
      <c r="G5474" s="5" t="inlineStr">
        <is>
          <t>500ml</t>
        </is>
      </c>
      <c r="H5474" s="7" t="n">
        <v>190801</v>
      </c>
      <c r="I5474" s="7" t="n">
        <v>190801</v>
      </c>
      <c r="J5474" s="94" t="n"/>
      <c r="K5474" s="6" t="n">
        <v>71</v>
      </c>
      <c r="L5474" s="7" t="n">
        <v>190801</v>
      </c>
      <c r="M5474" s="94">
        <f>VLOOKUP($Q5474,매칭테이블!$F:$I,2,0)*K5474</f>
        <v/>
      </c>
      <c r="N5474" s="94">
        <f>M5474-M5474*VLOOKUP($Q5474,매칭테이블!$F:$I,3,0)</f>
        <v/>
      </c>
      <c r="O5474" s="94">
        <f>VLOOKUP($Q5474,매칭테이블!$F:$I,4,0)*K5474</f>
        <v/>
      </c>
      <c r="P5474" s="148">
        <f>M5474/1.1</f>
        <v/>
      </c>
      <c r="Q5474" s="94">
        <f>F5474&amp;E5474&amp;G5474&amp;L5474</f>
        <v/>
      </c>
    </row>
    <row r="5475">
      <c r="A5475" s="94" t="n"/>
      <c r="B5475" s="128" t="n">
        <v>43928</v>
      </c>
      <c r="C5475" s="94">
        <f>TEXT(B5475,"aaa")</f>
        <v/>
      </c>
      <c r="D5475" s="94" t="n"/>
      <c r="E5475" s="6" t="inlineStr">
        <is>
          <t>토너</t>
        </is>
      </c>
      <c r="F5475" s="5" t="inlineStr">
        <is>
          <t>카페24</t>
        </is>
      </c>
      <c r="G5475" s="94" t="inlineStr">
        <is>
          <t>스킨팩 화장솜 60P</t>
        </is>
      </c>
      <c r="H5475" s="7" t="n">
        <v>190801</v>
      </c>
      <c r="I5475" s="7" t="n">
        <v>190801</v>
      </c>
      <c r="J5475" s="94" t="n"/>
      <c r="K5475" s="6" t="n">
        <v>106</v>
      </c>
      <c r="L5475" s="7" t="n">
        <v>190801</v>
      </c>
      <c r="M5475" s="94">
        <f>VLOOKUP($Q5475,매칭테이블!$F:$I,2,0)*K5475</f>
        <v/>
      </c>
      <c r="N5475" s="94">
        <f>M5475-M5475*VLOOKUP($Q5475,매칭테이블!$F:$I,3,0)</f>
        <v/>
      </c>
      <c r="O5475" s="94">
        <f>VLOOKUP($Q5475,매칭테이블!$F:$I,4,0)*K5475</f>
        <v/>
      </c>
      <c r="P5475" s="148">
        <f>M5475/1.1</f>
        <v/>
      </c>
      <c r="Q5475" s="94">
        <f>F5475&amp;E5475&amp;G5475&amp;L5475</f>
        <v/>
      </c>
    </row>
    <row r="5476">
      <c r="A5476" s="94" t="n"/>
      <c r="B5476" s="128" t="n">
        <v>43928</v>
      </c>
      <c r="C5476" s="94">
        <f>TEXT(B5476,"aaa")</f>
        <v/>
      </c>
      <c r="D5476" s="94" t="n"/>
      <c r="E5476" s="94" t="inlineStr">
        <is>
          <t>앰플</t>
        </is>
      </c>
      <c r="F5476" s="5" t="inlineStr">
        <is>
          <t>카페24</t>
        </is>
      </c>
      <c r="G5476" s="94" t="inlineStr">
        <is>
          <t>앰플 30ml</t>
        </is>
      </c>
      <c r="H5476" s="7" t="n">
        <v>190801</v>
      </c>
      <c r="I5476" s="7" t="n">
        <v>190801</v>
      </c>
      <c r="J5476" s="94" t="n"/>
      <c r="K5476" s="6" t="n">
        <v>11</v>
      </c>
      <c r="L5476" s="94" t="n">
        <v>190801</v>
      </c>
      <c r="M5476" s="94">
        <f>VLOOKUP($Q5476,매칭테이블!$F:$I,2,0)*K5476</f>
        <v/>
      </c>
      <c r="N5476" s="94">
        <f>M5476-M5476*VLOOKUP($Q5476,매칭테이블!$F:$I,3,0)</f>
        <v/>
      </c>
      <c r="O5476" s="94">
        <f>VLOOKUP($Q5476,매칭테이블!$F:$I,4,0)*K5476</f>
        <v/>
      </c>
      <c r="P5476" s="148">
        <f>M5476/1.1</f>
        <v/>
      </c>
      <c r="Q5476" s="94">
        <f>F5476&amp;E5476&amp;G5476&amp;L5476</f>
        <v/>
      </c>
    </row>
    <row r="5477">
      <c r="A5477" s="94" t="n"/>
      <c r="B5477" s="128" t="n">
        <v>43928</v>
      </c>
      <c r="C5477" s="94">
        <f>TEXT(B5477,"aaa")</f>
        <v/>
      </c>
      <c r="D5477" s="94" t="n"/>
      <c r="E5477" s="94" t="inlineStr">
        <is>
          <t>수딩크림</t>
        </is>
      </c>
      <c r="F5477" s="5" t="inlineStr">
        <is>
          <t>카페24</t>
        </is>
      </c>
      <c r="G5477" s="94" t="inlineStr">
        <is>
          <t>수딩크림 100ml</t>
        </is>
      </c>
      <c r="H5477" s="7" t="n">
        <v>190801</v>
      </c>
      <c r="I5477" s="7" t="n">
        <v>190801</v>
      </c>
      <c r="J5477" s="94" t="n"/>
      <c r="K5477" s="6" t="n">
        <v>14</v>
      </c>
      <c r="L5477" s="94" t="n">
        <v>190801</v>
      </c>
      <c r="M5477" s="94">
        <f>VLOOKUP($Q5477,매칭테이블!$F:$I,2,0)*K5477</f>
        <v/>
      </c>
      <c r="N5477" s="94">
        <f>M5477-M5477*VLOOKUP($Q5477,매칭테이블!$F:$I,3,0)</f>
        <v/>
      </c>
      <c r="O5477" s="94">
        <f>VLOOKUP($Q5477,매칭테이블!$F:$I,4,0)*K5477</f>
        <v/>
      </c>
      <c r="P5477" s="148">
        <f>M5477/1.1</f>
        <v/>
      </c>
      <c r="Q5477" s="94">
        <f>F5477&amp;E5477&amp;G5477&amp;L5477</f>
        <v/>
      </c>
    </row>
    <row r="5478">
      <c r="A5478" s="94" t="n"/>
      <c r="B5478" s="128" t="n">
        <v>43928</v>
      </c>
      <c r="C5478" s="94">
        <f>TEXT(B5478,"aaa")</f>
        <v/>
      </c>
      <c r="D5478" s="94" t="n"/>
      <c r="E5478" s="94" t="inlineStr">
        <is>
          <t>토너+머드크림세트</t>
        </is>
      </c>
      <c r="F5478" s="94" t="inlineStr">
        <is>
          <t>카페24</t>
        </is>
      </c>
      <c r="G5478" s="94" t="inlineStr">
        <is>
          <t>250ml</t>
        </is>
      </c>
      <c r="H5478" s="7" t="n">
        <v>190801</v>
      </c>
      <c r="I5478" s="7" t="n">
        <v>190801</v>
      </c>
      <c r="J5478" s="94" t="n"/>
      <c r="K5478" s="6" t="n">
        <v>2</v>
      </c>
      <c r="L5478" s="94" t="n">
        <v>190801</v>
      </c>
      <c r="M5478" s="94">
        <f>VLOOKUP($Q5478,매칭테이블!$F:$I,2,0)*K5478</f>
        <v/>
      </c>
      <c r="N5478" s="94">
        <f>M5478-M5478*VLOOKUP($Q5478,매칭테이블!$F:$I,3,0)</f>
        <v/>
      </c>
      <c r="O5478" s="94">
        <f>VLOOKUP($Q5478,매칭테이블!$F:$I,4,0)*K5478</f>
        <v/>
      </c>
      <c r="P5478" s="148">
        <f>M5478/1.1</f>
        <v/>
      </c>
      <c r="Q5478" s="94">
        <f>F5478&amp;E5478&amp;G5478&amp;L5478</f>
        <v/>
      </c>
    </row>
    <row r="5479">
      <c r="A5479" s="94" t="n"/>
      <c r="B5479" s="128" t="n">
        <v>43928</v>
      </c>
      <c r="C5479" s="94">
        <f>TEXT(B5479,"aaa")</f>
        <v/>
      </c>
      <c r="D5479" s="94" t="n"/>
      <c r="E5479" s="94" t="inlineStr">
        <is>
          <t>토너+머드크림세트</t>
        </is>
      </c>
      <c r="F5479" s="94" t="inlineStr">
        <is>
          <t>카페24</t>
        </is>
      </c>
      <c r="G5479" s="94" t="inlineStr">
        <is>
          <t>머드크림마스크 100ml</t>
        </is>
      </c>
      <c r="H5479" s="7" t="n">
        <v>190801</v>
      </c>
      <c r="I5479" s="7" t="n">
        <v>190801</v>
      </c>
      <c r="J5479" s="94" t="n"/>
      <c r="K5479" s="6" t="n">
        <v>2</v>
      </c>
      <c r="L5479" s="94" t="n">
        <v>190801</v>
      </c>
      <c r="M5479" s="94">
        <f>VLOOKUP($Q5479,매칭테이블!$F:$I,2,0)*K5479</f>
        <v/>
      </c>
      <c r="N5479" s="94">
        <f>M5479-M5479*VLOOKUP($Q5479,매칭테이블!$F:$I,3,0)</f>
        <v/>
      </c>
      <c r="O5479" s="94">
        <f>VLOOKUP($Q5479,매칭테이블!$F:$I,4,0)*K5479</f>
        <v/>
      </c>
      <c r="P5479" s="148">
        <f>M5479/1.1</f>
        <v/>
      </c>
      <c r="Q5479" s="94">
        <f>F5479&amp;E5479&amp;G5479&amp;L5479</f>
        <v/>
      </c>
    </row>
    <row r="5480">
      <c r="A5480" s="94" t="n"/>
      <c r="B5480" s="128" t="n">
        <v>43928</v>
      </c>
      <c r="C5480" s="94">
        <f>TEXT(B5480,"aaa")</f>
        <v/>
      </c>
      <c r="D5480" s="94" t="n"/>
      <c r="E5480" s="94" t="inlineStr">
        <is>
          <t>토너</t>
        </is>
      </c>
      <c r="F5480" s="94" t="inlineStr">
        <is>
          <t>큐텐</t>
        </is>
      </c>
      <c r="G5480" s="94" t="inlineStr">
        <is>
          <t>250ml</t>
        </is>
      </c>
      <c r="H5480" s="7" t="n">
        <v>190801</v>
      </c>
      <c r="I5480" s="7" t="n">
        <v>190801</v>
      </c>
      <c r="J5480" s="94" t="n"/>
      <c r="K5480" s="6" t="n">
        <v>27</v>
      </c>
      <c r="L5480" s="92" t="n">
        <v>190801</v>
      </c>
      <c r="M5480" s="94">
        <f>VLOOKUP($Q5480,매칭테이블!$F:$I,2,0)*K5480</f>
        <v/>
      </c>
      <c r="N5480" s="94">
        <f>M5480-M5480*VLOOKUP($Q5480,매칭테이블!$F:$I,3,0)</f>
        <v/>
      </c>
      <c r="O5480" s="94">
        <f>VLOOKUP($Q5480,매칭테이블!$F:$I,4,0)*K5480</f>
        <v/>
      </c>
      <c r="P5480" s="148">
        <f>M5480/1.1</f>
        <v/>
      </c>
      <c r="Q5480" s="94">
        <f>F5480&amp;E5480&amp;G5480&amp;L5480</f>
        <v/>
      </c>
    </row>
    <row r="5481">
      <c r="A5481" s="94" t="n"/>
      <c r="B5481" s="128" t="n">
        <v>43928</v>
      </c>
      <c r="C5481" s="94">
        <f>TEXT(B5481,"aaa")</f>
        <v/>
      </c>
      <c r="D5481" s="94" t="n"/>
      <c r="E5481" s="94" t="inlineStr">
        <is>
          <t>토너</t>
        </is>
      </c>
      <c r="F5481" s="94" t="inlineStr">
        <is>
          <t>큐텐</t>
        </is>
      </c>
      <c r="G5481" s="94" t="inlineStr">
        <is>
          <t>250ml 2set</t>
        </is>
      </c>
      <c r="H5481" s="7" t="n">
        <v>190801</v>
      </c>
      <c r="I5481" s="7" t="n">
        <v>190801</v>
      </c>
      <c r="J5481" s="94" t="n"/>
      <c r="K5481" s="6" t="n">
        <v>4</v>
      </c>
      <c r="L5481" s="92" t="n">
        <v>190801</v>
      </c>
      <c r="M5481" s="94">
        <f>VLOOKUP($Q5481,매칭테이블!$F:$I,2,0)*K5481</f>
        <v/>
      </c>
      <c r="N5481" s="94">
        <f>M5481-M5481*VLOOKUP($Q5481,매칭테이블!$F:$I,3,0)</f>
        <v/>
      </c>
      <c r="O5481" s="94">
        <f>VLOOKUP($Q5481,매칭테이블!$F:$I,4,0)*K5481</f>
        <v/>
      </c>
      <c r="P5481" s="148">
        <f>M5481/1.1</f>
        <v/>
      </c>
      <c r="Q5481" s="94">
        <f>F5481&amp;E5481&amp;G5481&amp;L5481</f>
        <v/>
      </c>
    </row>
    <row r="5482">
      <c r="A5482" s="94" t="n"/>
      <c r="B5482" s="128" t="n">
        <v>43929</v>
      </c>
      <c r="C5482" s="94">
        <f>TEXT(B5482,"aaa")</f>
        <v/>
      </c>
      <c r="D5482" s="94" t="n"/>
      <c r="E5482" s="6" t="inlineStr">
        <is>
          <t>토너</t>
        </is>
      </c>
      <c r="F5482" s="5" t="inlineStr">
        <is>
          <t>W컨셉</t>
        </is>
      </c>
      <c r="G5482" s="5" t="inlineStr">
        <is>
          <t>250ml</t>
        </is>
      </c>
      <c r="H5482" s="7" t="n">
        <v>190801</v>
      </c>
      <c r="I5482" s="7" t="n">
        <v>190801</v>
      </c>
      <c r="J5482" s="94" t="n"/>
      <c r="K5482" s="6" t="n">
        <v>5</v>
      </c>
      <c r="L5482" s="7" t="n">
        <v>190801</v>
      </c>
      <c r="M5482" s="94">
        <f>VLOOKUP($Q5482,매칭테이블!$F:$I,2,0)*K5482</f>
        <v/>
      </c>
      <c r="N5482" s="94">
        <f>M5482-M5482*VLOOKUP($Q5482,매칭테이블!$F:$I,3,0)</f>
        <v/>
      </c>
      <c r="O5482" s="94">
        <f>VLOOKUP($Q5482,매칭테이블!$F:$I,4,0)*K5482</f>
        <v/>
      </c>
      <c r="P5482" s="148">
        <f>M5482/1.1</f>
        <v/>
      </c>
      <c r="Q5482" s="94">
        <f>F5482&amp;E5482&amp;G5482&amp;L5482</f>
        <v/>
      </c>
    </row>
    <row r="5483">
      <c r="A5483" s="94" t="n"/>
      <c r="B5483" s="128" t="n">
        <v>43929</v>
      </c>
      <c r="C5483" s="94">
        <f>TEXT(B5483,"aaa")</f>
        <v/>
      </c>
      <c r="D5483" s="94" t="n"/>
      <c r="E5483" s="6" t="inlineStr">
        <is>
          <t>토너</t>
        </is>
      </c>
      <c r="F5483" s="5" t="inlineStr">
        <is>
          <t>W컨셉</t>
        </is>
      </c>
      <c r="G5483" s="5" t="inlineStr">
        <is>
          <t>250ml 2set</t>
        </is>
      </c>
      <c r="H5483" s="7" t="n">
        <v>190801</v>
      </c>
      <c r="I5483" s="7" t="n">
        <v>190801</v>
      </c>
      <c r="J5483" s="94" t="n"/>
      <c r="K5483" s="6" t="n">
        <v>24</v>
      </c>
      <c r="L5483" s="7" t="n">
        <v>190801</v>
      </c>
      <c r="M5483" s="94">
        <f>VLOOKUP($Q5483,매칭테이블!$F:$I,2,0)*K5483</f>
        <v/>
      </c>
      <c r="N5483" s="94">
        <f>M5483-M5483*VLOOKUP($Q5483,매칭테이블!$F:$I,3,0)</f>
        <v/>
      </c>
      <c r="O5483" s="94">
        <f>VLOOKUP($Q5483,매칭테이블!$F:$I,4,0)*K5483</f>
        <v/>
      </c>
      <c r="P5483" s="148">
        <f>M5483/1.1</f>
        <v/>
      </c>
      <c r="Q5483" s="94">
        <f>F5483&amp;E5483&amp;G5483&amp;L5483</f>
        <v/>
      </c>
    </row>
    <row r="5484">
      <c r="A5484" s="94" t="n"/>
      <c r="B5484" s="128" t="n">
        <v>43929</v>
      </c>
      <c r="C5484" s="94">
        <f>TEXT(B5484,"aaa")</f>
        <v/>
      </c>
      <c r="D5484" s="94" t="n"/>
      <c r="E5484" s="94" t="inlineStr">
        <is>
          <t>토너</t>
        </is>
      </c>
      <c r="F5484" s="5" t="inlineStr">
        <is>
          <t>스타일쉐어</t>
        </is>
      </c>
      <c r="G5484" s="94" t="inlineStr">
        <is>
          <t>250ml</t>
        </is>
      </c>
      <c r="H5484" s="7" t="n">
        <v>190801</v>
      </c>
      <c r="I5484" s="7" t="n">
        <v>190801</v>
      </c>
      <c r="J5484" s="94" t="n"/>
      <c r="K5484" s="6" t="n">
        <v>4</v>
      </c>
      <c r="L5484" s="92" t="n">
        <v>190801</v>
      </c>
      <c r="M5484" s="94">
        <f>VLOOKUP($Q5484,매칭테이블!$F:$I,2,0)*K5484</f>
        <v/>
      </c>
      <c r="N5484" s="94">
        <f>M5484-M5484*VLOOKUP($Q5484,매칭테이블!$F:$I,3,0)</f>
        <v/>
      </c>
      <c r="O5484" s="94">
        <f>VLOOKUP($Q5484,매칭테이블!$F:$I,4,0)*K5484</f>
        <v/>
      </c>
      <c r="P5484" s="148">
        <f>M5484/1.1</f>
        <v/>
      </c>
      <c r="Q5484" s="94">
        <f>F5484&amp;E5484&amp;G5484&amp;L5484</f>
        <v/>
      </c>
    </row>
    <row r="5485">
      <c r="A5485" s="94" t="n"/>
      <c r="B5485" s="128" t="n">
        <v>43929</v>
      </c>
      <c r="C5485" s="94">
        <f>TEXT(B5485,"aaa")</f>
        <v/>
      </c>
      <c r="D5485" s="94" t="n"/>
      <c r="E5485" s="94" t="inlineStr">
        <is>
          <t>토너</t>
        </is>
      </c>
      <c r="F5485" s="94" t="inlineStr">
        <is>
          <t>아누아 CS</t>
        </is>
      </c>
      <c r="G5485" s="94" t="inlineStr">
        <is>
          <t>250ml</t>
        </is>
      </c>
      <c r="H5485" s="7" t="n">
        <v>190801</v>
      </c>
      <c r="I5485" s="7" t="n">
        <v>190801</v>
      </c>
      <c r="J5485" s="94" t="n"/>
      <c r="K5485" s="6" t="n">
        <v>2</v>
      </c>
      <c r="L5485" s="92" t="n">
        <v>190801</v>
      </c>
      <c r="M5485" s="94">
        <f>VLOOKUP($Q5485,매칭테이블!$F:$I,2,0)*K5485</f>
        <v/>
      </c>
      <c r="N5485" s="94">
        <f>M5485-M5485*VLOOKUP($Q5485,매칭테이블!$F:$I,3,0)</f>
        <v/>
      </c>
      <c r="O5485" s="94">
        <f>VLOOKUP($Q5485,매칭테이블!$F:$I,4,0)*K5485</f>
        <v/>
      </c>
      <c r="P5485" s="148">
        <f>M5485/1.1</f>
        <v/>
      </c>
      <c r="Q5485" s="94">
        <f>F5485&amp;E5485&amp;G5485&amp;L5485</f>
        <v/>
      </c>
    </row>
    <row r="5486">
      <c r="A5486" s="94" t="n"/>
      <c r="B5486" s="128" t="n">
        <v>43929</v>
      </c>
      <c r="C5486" s="94">
        <f>TEXT(B5486,"aaa")</f>
        <v/>
      </c>
      <c r="D5486" s="94" t="n"/>
      <c r="E5486" s="94" t="inlineStr">
        <is>
          <t>머드크림마스크</t>
        </is>
      </c>
      <c r="F5486" s="94" t="inlineStr">
        <is>
          <t>카페24</t>
        </is>
      </c>
      <c r="G5486" s="94" t="inlineStr">
        <is>
          <t>머드크림마스크 100ml</t>
        </is>
      </c>
      <c r="H5486" s="7" t="n">
        <v>190801</v>
      </c>
      <c r="I5486" s="7" t="n">
        <v>190801</v>
      </c>
      <c r="J5486" s="94" t="n"/>
      <c r="K5486" s="6" t="n">
        <v>14</v>
      </c>
      <c r="L5486" s="94" t="n">
        <v>190801</v>
      </c>
      <c r="M5486" s="94">
        <f>VLOOKUP($Q5486,매칭테이블!$F:$I,2,0)*K5486</f>
        <v/>
      </c>
      <c r="N5486" s="94">
        <f>M5486-M5486*VLOOKUP($Q5486,매칭테이블!$F:$I,3,0)</f>
        <v/>
      </c>
      <c r="O5486" s="94">
        <f>VLOOKUP($Q5486,매칭테이블!$F:$I,4,0)*K5486</f>
        <v/>
      </c>
      <c r="P5486" s="148">
        <f>M5486/1.1</f>
        <v/>
      </c>
      <c r="Q5486" s="94">
        <f>F5486&amp;E5486&amp;G5486&amp;L5486</f>
        <v/>
      </c>
    </row>
    <row r="5487">
      <c r="A5487" s="94" t="n"/>
      <c r="B5487" s="128" t="n">
        <v>43929</v>
      </c>
      <c r="C5487" s="94">
        <f>TEXT(B5487,"aaa")</f>
        <v/>
      </c>
      <c r="D5487" s="94" t="n"/>
      <c r="E5487" s="94" t="inlineStr">
        <is>
          <t>머드크림마스크</t>
        </is>
      </c>
      <c r="F5487" s="94" t="inlineStr">
        <is>
          <t>카페24</t>
        </is>
      </c>
      <c r="G5487" s="94" t="inlineStr">
        <is>
          <t>머드크림마스크 100ml 2set</t>
        </is>
      </c>
      <c r="H5487" s="7" t="n">
        <v>190801</v>
      </c>
      <c r="I5487" s="7" t="n">
        <v>190801</v>
      </c>
      <c r="J5487" s="94" t="n"/>
      <c r="K5487" s="6" t="n">
        <v>2</v>
      </c>
      <c r="L5487" s="94" t="n">
        <v>190801</v>
      </c>
      <c r="M5487" s="94">
        <f>VLOOKUP($Q5487,매칭테이블!$F:$I,2,0)*K5487</f>
        <v/>
      </c>
      <c r="N5487" s="94">
        <f>M5487-M5487*VLOOKUP($Q5487,매칭테이블!$F:$I,3,0)</f>
        <v/>
      </c>
      <c r="O5487" s="94">
        <f>VLOOKUP($Q5487,매칭테이블!$F:$I,4,0)*K5487</f>
        <v/>
      </c>
      <c r="P5487" s="148">
        <f>M5487/1.1</f>
        <v/>
      </c>
      <c r="Q5487" s="94">
        <f>F5487&amp;E5487&amp;G5487&amp;L5487</f>
        <v/>
      </c>
    </row>
    <row r="5488">
      <c r="A5488" s="94" t="n"/>
      <c r="B5488" s="128" t="n">
        <v>43929</v>
      </c>
      <c r="C5488" s="94">
        <f>TEXT(B5488,"aaa")</f>
        <v/>
      </c>
      <c r="D5488" s="94" t="n"/>
      <c r="E5488" s="94" t="inlineStr">
        <is>
          <t>마스크팩</t>
        </is>
      </c>
      <c r="F5488" s="94" t="inlineStr">
        <is>
          <t>카페24</t>
        </is>
      </c>
      <c r="G5488" s="94" t="inlineStr">
        <is>
          <t>마스크팩 1매</t>
        </is>
      </c>
      <c r="H5488" s="7" t="n">
        <v>190801</v>
      </c>
      <c r="I5488" s="7" t="n">
        <v>190801</v>
      </c>
      <c r="J5488" s="94" t="n"/>
      <c r="K5488" s="6" t="n">
        <v>8</v>
      </c>
      <c r="L5488" s="94" t="n">
        <v>190801</v>
      </c>
      <c r="M5488" s="94">
        <f>VLOOKUP($Q5488,매칭테이블!$F:$I,2,0)*K5488</f>
        <v/>
      </c>
      <c r="N5488" s="94">
        <f>M5488-M5488*VLOOKUP($Q5488,매칭테이블!$F:$I,3,0)</f>
        <v/>
      </c>
      <c r="O5488" s="94">
        <f>VLOOKUP($Q5488,매칭테이블!$F:$I,4,0)*K5488</f>
        <v/>
      </c>
      <c r="P5488" s="148">
        <f>M5488/1.1</f>
        <v/>
      </c>
      <c r="Q5488" s="94">
        <f>F5488&amp;E5488&amp;G5488&amp;L5488</f>
        <v/>
      </c>
    </row>
    <row r="5489">
      <c r="A5489" s="94" t="n"/>
      <c r="B5489" s="128" t="n">
        <v>43929</v>
      </c>
      <c r="C5489" s="94">
        <f>TEXT(B5489,"aaa")</f>
        <v/>
      </c>
      <c r="D5489" s="94" t="n"/>
      <c r="E5489" s="94" t="inlineStr">
        <is>
          <t>마스크팩</t>
        </is>
      </c>
      <c r="F5489" s="94" t="inlineStr">
        <is>
          <t>카페24</t>
        </is>
      </c>
      <c r="G5489" s="94" t="inlineStr">
        <is>
          <t>마스크팩 10매</t>
        </is>
      </c>
      <c r="H5489" s="7" t="n">
        <v>190801</v>
      </c>
      <c r="I5489" s="7" t="n">
        <v>190801</v>
      </c>
      <c r="J5489" s="94" t="n"/>
      <c r="K5489" s="6" t="n">
        <v>2</v>
      </c>
      <c r="L5489" s="94" t="n">
        <v>190801</v>
      </c>
      <c r="M5489" s="94">
        <f>VLOOKUP($Q5489,매칭테이블!$F:$I,2,0)*K5489</f>
        <v/>
      </c>
      <c r="N5489" s="94">
        <f>M5489-M5489*VLOOKUP($Q5489,매칭테이블!$F:$I,3,0)</f>
        <v/>
      </c>
      <c r="O5489" s="94">
        <f>VLOOKUP($Q5489,매칭테이블!$F:$I,4,0)*K5489</f>
        <v/>
      </c>
      <c r="P5489" s="148">
        <f>M5489/1.1</f>
        <v/>
      </c>
      <c r="Q5489" s="94">
        <f>F5489&amp;E5489&amp;G5489&amp;L5489</f>
        <v/>
      </c>
    </row>
    <row r="5490">
      <c r="A5490" s="94" t="n"/>
      <c r="B5490" s="128" t="n">
        <v>43929</v>
      </c>
      <c r="C5490" s="94">
        <f>TEXT(B5490,"aaa")</f>
        <v/>
      </c>
      <c r="D5490" s="94" t="n"/>
      <c r="E5490" s="6" t="inlineStr">
        <is>
          <t>토너</t>
        </is>
      </c>
      <c r="F5490" s="5" t="inlineStr">
        <is>
          <t>카페24</t>
        </is>
      </c>
      <c r="G5490" s="5" t="inlineStr">
        <is>
          <t>250ml</t>
        </is>
      </c>
      <c r="H5490" s="7" t="n">
        <v>190801</v>
      </c>
      <c r="I5490" s="7" t="n">
        <v>190801</v>
      </c>
      <c r="J5490" s="94" t="n"/>
      <c r="K5490" s="6" t="n">
        <v>92</v>
      </c>
      <c r="L5490" s="7" t="n">
        <v>190801</v>
      </c>
      <c r="M5490" s="94">
        <f>VLOOKUP($Q5490,매칭테이블!$F:$I,2,0)*K5490</f>
        <v/>
      </c>
      <c r="N5490" s="94">
        <f>M5490-M5490*VLOOKUP($Q5490,매칭테이블!$F:$I,3,0)</f>
        <v/>
      </c>
      <c r="O5490" s="94">
        <f>VLOOKUP($Q5490,매칭테이블!$F:$I,4,0)*K5490</f>
        <v/>
      </c>
      <c r="P5490" s="148">
        <f>M5490/1.1</f>
        <v/>
      </c>
      <c r="Q5490" s="94">
        <f>F5490&amp;E5490&amp;G5490&amp;L5490</f>
        <v/>
      </c>
    </row>
    <row r="5491">
      <c r="A5491" s="94" t="n"/>
      <c r="B5491" s="128" t="n">
        <v>43929</v>
      </c>
      <c r="C5491" s="94">
        <f>TEXT(B5491,"aaa")</f>
        <v/>
      </c>
      <c r="D5491" s="94" t="n"/>
      <c r="E5491" s="6" t="inlineStr">
        <is>
          <t>토너</t>
        </is>
      </c>
      <c r="F5491" s="5" t="inlineStr">
        <is>
          <t>카페24</t>
        </is>
      </c>
      <c r="G5491" s="5" t="inlineStr">
        <is>
          <t>250ml 2set</t>
        </is>
      </c>
      <c r="H5491" s="7" t="n">
        <v>190801</v>
      </c>
      <c r="I5491" s="7" t="n">
        <v>190801</v>
      </c>
      <c r="J5491" s="94" t="n"/>
      <c r="K5491" s="6" t="n">
        <v>69</v>
      </c>
      <c r="L5491" s="7" t="n">
        <v>190801</v>
      </c>
      <c r="M5491" s="94">
        <f>VLOOKUP($Q5491,매칭테이블!$F:$I,2,0)*K5491</f>
        <v/>
      </c>
      <c r="N5491" s="94">
        <f>M5491-M5491*VLOOKUP($Q5491,매칭테이블!$F:$I,3,0)</f>
        <v/>
      </c>
      <c r="O5491" s="94">
        <f>VLOOKUP($Q5491,매칭테이블!$F:$I,4,0)*K5491</f>
        <v/>
      </c>
      <c r="P5491" s="148">
        <f>M5491/1.1</f>
        <v/>
      </c>
      <c r="Q5491" s="94">
        <f>F5491&amp;E5491&amp;G5491&amp;L5491</f>
        <v/>
      </c>
    </row>
    <row r="5492">
      <c r="A5492" s="94" t="n"/>
      <c r="B5492" s="128" t="n">
        <v>43929</v>
      </c>
      <c r="C5492" s="94">
        <f>TEXT(B5492,"aaa")</f>
        <v/>
      </c>
      <c r="D5492" s="94" t="n"/>
      <c r="E5492" s="6" t="inlineStr">
        <is>
          <t>토너</t>
        </is>
      </c>
      <c r="F5492" s="5" t="inlineStr">
        <is>
          <t>카페24</t>
        </is>
      </c>
      <c r="G5492" s="5" t="inlineStr">
        <is>
          <t>500ml</t>
        </is>
      </c>
      <c r="H5492" s="7" t="n">
        <v>190801</v>
      </c>
      <c r="I5492" s="7" t="n">
        <v>190801</v>
      </c>
      <c r="J5492" s="94" t="n"/>
      <c r="K5492" s="6" t="n">
        <v>54</v>
      </c>
      <c r="L5492" s="7" t="n">
        <v>190801</v>
      </c>
      <c r="M5492" s="94">
        <f>VLOOKUP($Q5492,매칭테이블!$F:$I,2,0)*K5492</f>
        <v/>
      </c>
      <c r="N5492" s="94">
        <f>M5492-M5492*VLOOKUP($Q5492,매칭테이블!$F:$I,3,0)</f>
        <v/>
      </c>
      <c r="O5492" s="94">
        <f>VLOOKUP($Q5492,매칭테이블!$F:$I,4,0)*K5492</f>
        <v/>
      </c>
      <c r="P5492" s="148">
        <f>M5492/1.1</f>
        <v/>
      </c>
      <c r="Q5492" s="94">
        <f>F5492&amp;E5492&amp;G5492&amp;L5492</f>
        <v/>
      </c>
    </row>
    <row r="5493">
      <c r="A5493" s="94" t="n"/>
      <c r="B5493" s="128" t="n">
        <v>43929</v>
      </c>
      <c r="C5493" s="94">
        <f>TEXT(B5493,"aaa")</f>
        <v/>
      </c>
      <c r="D5493" s="94" t="n"/>
      <c r="E5493" s="6" t="inlineStr">
        <is>
          <t>토너</t>
        </is>
      </c>
      <c r="F5493" s="5" t="inlineStr">
        <is>
          <t>카페24</t>
        </is>
      </c>
      <c r="G5493" s="94" t="inlineStr">
        <is>
          <t>스킨팩 화장솜 60P</t>
        </is>
      </c>
      <c r="H5493" s="7" t="n">
        <v>190801</v>
      </c>
      <c r="I5493" s="7" t="n">
        <v>190801</v>
      </c>
      <c r="J5493" s="94" t="n"/>
      <c r="K5493" s="6" t="n">
        <v>73</v>
      </c>
      <c r="L5493" s="7" t="n">
        <v>190801</v>
      </c>
      <c r="M5493" s="94">
        <f>VLOOKUP($Q5493,매칭테이블!$F:$I,2,0)*K5493</f>
        <v/>
      </c>
      <c r="N5493" s="94">
        <f>M5493-M5493*VLOOKUP($Q5493,매칭테이블!$F:$I,3,0)</f>
        <v/>
      </c>
      <c r="O5493" s="94">
        <f>VLOOKUP($Q5493,매칭테이블!$F:$I,4,0)*K5493</f>
        <v/>
      </c>
      <c r="P5493" s="148">
        <f>M5493/1.1</f>
        <v/>
      </c>
      <c r="Q5493" s="94">
        <f>F5493&amp;E5493&amp;G5493&amp;L5493</f>
        <v/>
      </c>
    </row>
    <row r="5494">
      <c r="A5494" s="94" t="n"/>
      <c r="B5494" s="128" t="n">
        <v>43929</v>
      </c>
      <c r="C5494" s="94">
        <f>TEXT(B5494,"aaa")</f>
        <v/>
      </c>
      <c r="D5494" s="94" t="n"/>
      <c r="E5494" s="94" t="inlineStr">
        <is>
          <t>앰플</t>
        </is>
      </c>
      <c r="F5494" s="5" t="inlineStr">
        <is>
          <t>카페24</t>
        </is>
      </c>
      <c r="G5494" s="94" t="inlineStr">
        <is>
          <t>앰플 30ml</t>
        </is>
      </c>
      <c r="H5494" s="7" t="n">
        <v>190801</v>
      </c>
      <c r="I5494" s="7" t="n">
        <v>190801</v>
      </c>
      <c r="J5494" s="94" t="n"/>
      <c r="K5494" s="6" t="n">
        <v>12</v>
      </c>
      <c r="L5494" s="94" t="n">
        <v>190801</v>
      </c>
      <c r="M5494" s="94">
        <f>VLOOKUP($Q5494,매칭테이블!$F:$I,2,0)*K5494</f>
        <v/>
      </c>
      <c r="N5494" s="94">
        <f>M5494-M5494*VLOOKUP($Q5494,매칭테이블!$F:$I,3,0)</f>
        <v/>
      </c>
      <c r="O5494" s="94">
        <f>VLOOKUP($Q5494,매칭테이블!$F:$I,4,0)*K5494</f>
        <v/>
      </c>
      <c r="P5494" s="148">
        <f>M5494/1.1</f>
        <v/>
      </c>
      <c r="Q5494" s="94">
        <f>F5494&amp;E5494&amp;G5494&amp;L5494</f>
        <v/>
      </c>
    </row>
    <row r="5495">
      <c r="A5495" s="94" t="n"/>
      <c r="B5495" s="128" t="n">
        <v>43929</v>
      </c>
      <c r="C5495" s="94">
        <f>TEXT(B5495,"aaa")</f>
        <v/>
      </c>
      <c r="D5495" s="94" t="n"/>
      <c r="E5495" s="94" t="inlineStr">
        <is>
          <t>수딩크림</t>
        </is>
      </c>
      <c r="F5495" s="5" t="inlineStr">
        <is>
          <t>카페24</t>
        </is>
      </c>
      <c r="G5495" s="94" t="inlineStr">
        <is>
          <t>수딩크림 100ml</t>
        </is>
      </c>
      <c r="H5495" s="7" t="n">
        <v>190801</v>
      </c>
      <c r="I5495" s="7" t="n">
        <v>190801</v>
      </c>
      <c r="J5495" s="94" t="n"/>
      <c r="K5495" s="6" t="n">
        <v>11</v>
      </c>
      <c r="L5495" s="94" t="n">
        <v>190801</v>
      </c>
      <c r="M5495" s="94">
        <f>VLOOKUP($Q5495,매칭테이블!$F:$I,2,0)*K5495</f>
        <v/>
      </c>
      <c r="N5495" s="94">
        <f>M5495-M5495*VLOOKUP($Q5495,매칭테이블!$F:$I,3,0)</f>
        <v/>
      </c>
      <c r="O5495" s="94">
        <f>VLOOKUP($Q5495,매칭테이블!$F:$I,4,0)*K5495</f>
        <v/>
      </c>
      <c r="P5495" s="148">
        <f>M5495/1.1</f>
        <v/>
      </c>
      <c r="Q5495" s="94">
        <f>F5495&amp;E5495&amp;G5495&amp;L5495</f>
        <v/>
      </c>
    </row>
    <row r="5496">
      <c r="A5496" s="94" t="n"/>
      <c r="B5496" s="128" t="n">
        <v>43929</v>
      </c>
      <c r="C5496" s="94">
        <f>TEXT(B5496,"aaa")</f>
        <v/>
      </c>
      <c r="D5496" s="94" t="n"/>
      <c r="E5496" s="94" t="inlineStr">
        <is>
          <t>토너</t>
        </is>
      </c>
      <c r="F5496" s="94" t="inlineStr">
        <is>
          <t>큐텐</t>
        </is>
      </c>
      <c r="G5496" s="94" t="inlineStr">
        <is>
          <t>250ml</t>
        </is>
      </c>
      <c r="H5496" s="7" t="n">
        <v>190801</v>
      </c>
      <c r="I5496" s="7" t="n">
        <v>190801</v>
      </c>
      <c r="J5496" s="94" t="n"/>
      <c r="K5496" s="6" t="n">
        <v>20</v>
      </c>
      <c r="L5496" s="92" t="n">
        <v>190801</v>
      </c>
      <c r="M5496" s="94">
        <f>VLOOKUP($Q5496,매칭테이블!$F:$I,2,0)*K5496</f>
        <v/>
      </c>
      <c r="N5496" s="94">
        <f>M5496-M5496*VLOOKUP($Q5496,매칭테이블!$F:$I,3,0)</f>
        <v/>
      </c>
      <c r="O5496" s="94">
        <f>VLOOKUP($Q5496,매칭테이블!$F:$I,4,0)*K5496</f>
        <v/>
      </c>
      <c r="P5496" s="148">
        <f>M5496/1.1</f>
        <v/>
      </c>
      <c r="Q5496" s="94">
        <f>F5496&amp;E5496&amp;G5496&amp;L5496</f>
        <v/>
      </c>
    </row>
    <row r="5497">
      <c r="A5497" s="94" t="n"/>
      <c r="B5497" s="128" t="n">
        <v>43929</v>
      </c>
      <c r="C5497" s="94">
        <f>TEXT(B5497,"aaa")</f>
        <v/>
      </c>
      <c r="D5497" s="94" t="n"/>
      <c r="E5497" s="94" t="inlineStr">
        <is>
          <t>토너</t>
        </is>
      </c>
      <c r="F5497" s="94" t="inlineStr">
        <is>
          <t>큐텐</t>
        </is>
      </c>
      <c r="G5497" s="94" t="inlineStr">
        <is>
          <t>250ml 2set</t>
        </is>
      </c>
      <c r="H5497" s="7" t="n">
        <v>190801</v>
      </c>
      <c r="I5497" s="7" t="n">
        <v>190801</v>
      </c>
      <c r="J5497" s="94" t="n"/>
      <c r="K5497" s="6" t="n">
        <v>6</v>
      </c>
      <c r="L5497" s="92" t="n">
        <v>190801</v>
      </c>
      <c r="M5497" s="94">
        <f>VLOOKUP($Q5497,매칭테이블!$F:$I,2,0)*K5497</f>
        <v/>
      </c>
      <c r="N5497" s="94">
        <f>M5497-M5497*VLOOKUP($Q5497,매칭테이블!$F:$I,3,0)</f>
        <v/>
      </c>
      <c r="O5497" s="94">
        <f>VLOOKUP($Q5497,매칭테이블!$F:$I,4,0)*K5497</f>
        <v/>
      </c>
      <c r="P5497" s="148">
        <f>M5497/1.1</f>
        <v/>
      </c>
      <c r="Q5497" s="94">
        <f>F5497&amp;E5497&amp;G5497&amp;L5497</f>
        <v/>
      </c>
    </row>
    <row r="5498">
      <c r="A5498" s="94" t="n"/>
      <c r="B5498" s="128" t="n">
        <v>43930</v>
      </c>
      <c r="C5498" s="94">
        <f>TEXT(B5498,"aaa")</f>
        <v/>
      </c>
      <c r="D5498" s="94" t="n"/>
      <c r="E5498" s="6" t="inlineStr">
        <is>
          <t>토너</t>
        </is>
      </c>
      <c r="F5498" s="5" t="inlineStr">
        <is>
          <t>W컨셉</t>
        </is>
      </c>
      <c r="G5498" s="5" t="inlineStr">
        <is>
          <t>250ml</t>
        </is>
      </c>
      <c r="H5498" s="7" t="n">
        <v>190801</v>
      </c>
      <c r="I5498" s="7" t="n">
        <v>190801</v>
      </c>
      <c r="J5498" s="94" t="n"/>
      <c r="K5498" s="6" t="n">
        <v>1</v>
      </c>
      <c r="L5498" s="7" t="n">
        <v>190801</v>
      </c>
      <c r="M5498" s="94">
        <f>VLOOKUP($Q5498,매칭테이블!$F:$I,2,0)*K5498</f>
        <v/>
      </c>
      <c r="N5498" s="94">
        <f>M5498-M5498*VLOOKUP($Q5498,매칭테이블!$F:$I,3,0)</f>
        <v/>
      </c>
      <c r="O5498" s="94">
        <f>VLOOKUP($Q5498,매칭테이블!$F:$I,4,0)*K5498</f>
        <v/>
      </c>
      <c r="P5498" s="148">
        <f>M5498/1.1</f>
        <v/>
      </c>
      <c r="Q5498" s="94">
        <f>F5498&amp;E5498&amp;G5498&amp;L5498</f>
        <v/>
      </c>
    </row>
    <row r="5499">
      <c r="A5499" s="94" t="n"/>
      <c r="B5499" s="128" t="n">
        <v>43930</v>
      </c>
      <c r="C5499" s="94">
        <f>TEXT(B5499,"aaa")</f>
        <v/>
      </c>
      <c r="D5499" s="94" t="n"/>
      <c r="E5499" s="6" t="inlineStr">
        <is>
          <t>토너</t>
        </is>
      </c>
      <c r="F5499" s="5" t="inlineStr">
        <is>
          <t>W컨셉</t>
        </is>
      </c>
      <c r="G5499" s="5" t="inlineStr">
        <is>
          <t>250ml 2set</t>
        </is>
      </c>
      <c r="H5499" s="7" t="n">
        <v>190801</v>
      </c>
      <c r="I5499" s="7" t="n">
        <v>190801</v>
      </c>
      <c r="J5499" s="94" t="n"/>
      <c r="K5499" s="6" t="n">
        <v>11</v>
      </c>
      <c r="L5499" s="7" t="n">
        <v>190801</v>
      </c>
      <c r="M5499" s="94">
        <f>VLOOKUP($Q5499,매칭테이블!$F:$I,2,0)*K5499</f>
        <v/>
      </c>
      <c r="N5499" s="94">
        <f>M5499-M5499*VLOOKUP($Q5499,매칭테이블!$F:$I,3,0)</f>
        <v/>
      </c>
      <c r="O5499" s="94">
        <f>VLOOKUP($Q5499,매칭테이블!$F:$I,4,0)*K5499</f>
        <v/>
      </c>
      <c r="P5499" s="148">
        <f>M5499/1.1</f>
        <v/>
      </c>
      <c r="Q5499" s="94">
        <f>F5499&amp;E5499&amp;G5499&amp;L5499</f>
        <v/>
      </c>
    </row>
    <row r="5500">
      <c r="A5500" s="94" t="n"/>
      <c r="B5500" s="128" t="n">
        <v>43930</v>
      </c>
      <c r="C5500" s="94">
        <f>TEXT(B5500,"aaa")</f>
        <v/>
      </c>
      <c r="D5500" s="94" t="n"/>
      <c r="E5500" s="94" t="inlineStr">
        <is>
          <t>토너</t>
        </is>
      </c>
      <c r="F5500" s="5" t="inlineStr">
        <is>
          <t>스타일쉐어</t>
        </is>
      </c>
      <c r="G5500" s="94" t="inlineStr">
        <is>
          <t>250ml</t>
        </is>
      </c>
      <c r="H5500" s="7" t="n">
        <v>190801</v>
      </c>
      <c r="I5500" s="7" t="n">
        <v>190801</v>
      </c>
      <c r="J5500" s="94" t="n"/>
      <c r="K5500" s="6" t="n">
        <v>1</v>
      </c>
      <c r="L5500" s="92" t="n">
        <v>190801</v>
      </c>
      <c r="M5500" s="94">
        <f>VLOOKUP($Q5500,매칭테이블!$F:$I,2,0)*K5500</f>
        <v/>
      </c>
      <c r="N5500" s="94">
        <f>M5500-M5500*VLOOKUP($Q5500,매칭테이블!$F:$I,3,0)</f>
        <v/>
      </c>
      <c r="O5500" s="94">
        <f>VLOOKUP($Q5500,매칭테이블!$F:$I,4,0)*K5500</f>
        <v/>
      </c>
      <c r="P5500" s="148">
        <f>M5500/1.1</f>
        <v/>
      </c>
      <c r="Q5500" s="94">
        <f>F5500&amp;E5500&amp;G5500&amp;L5500</f>
        <v/>
      </c>
    </row>
    <row r="5501">
      <c r="A5501" s="94" t="n"/>
      <c r="B5501" s="128" t="n">
        <v>43930</v>
      </c>
      <c r="C5501" s="94">
        <f>TEXT(B5501,"aaa")</f>
        <v/>
      </c>
      <c r="D5501" s="94" t="n"/>
      <c r="E5501" s="94" t="inlineStr">
        <is>
          <t>앰플</t>
        </is>
      </c>
      <c r="F5501" s="94" t="inlineStr">
        <is>
          <t>아누아 CS</t>
        </is>
      </c>
      <c r="G5501" s="94" t="inlineStr">
        <is>
          <t>앰플 30ml</t>
        </is>
      </c>
      <c r="H5501" s="7" t="n">
        <v>190801</v>
      </c>
      <c r="I5501" s="7" t="n">
        <v>190801</v>
      </c>
      <c r="J5501" s="94" t="n"/>
      <c r="K5501" s="6" t="n">
        <v>1</v>
      </c>
      <c r="L5501" s="94" t="n">
        <v>190801</v>
      </c>
      <c r="M5501" s="94">
        <f>VLOOKUP($Q5501,매칭테이블!$F:$I,2,0)*K5501</f>
        <v/>
      </c>
      <c r="N5501" s="94">
        <f>M5501-M5501*VLOOKUP($Q5501,매칭테이블!$F:$I,3,0)</f>
        <v/>
      </c>
      <c r="O5501" s="94">
        <f>VLOOKUP($Q5501,매칭테이블!$F:$I,4,0)*K5501</f>
        <v/>
      </c>
      <c r="P5501" s="148">
        <f>M5501/1.1</f>
        <v/>
      </c>
      <c r="Q5501" s="94">
        <f>F5501&amp;E5501&amp;G5501&amp;L5501</f>
        <v/>
      </c>
    </row>
    <row r="5502">
      <c r="A5502" s="94" t="n"/>
      <c r="B5502" s="128" t="n">
        <v>43930</v>
      </c>
      <c r="C5502" s="94">
        <f>TEXT(B5502,"aaa")</f>
        <v/>
      </c>
      <c r="D5502" s="94" t="n"/>
      <c r="E5502" s="94" t="inlineStr">
        <is>
          <t>머드크림마스크</t>
        </is>
      </c>
      <c r="F5502" s="94" t="inlineStr">
        <is>
          <t>카페24</t>
        </is>
      </c>
      <c r="G5502" s="94" t="inlineStr">
        <is>
          <t>머드크림마스크 100ml</t>
        </is>
      </c>
      <c r="H5502" s="7" t="n">
        <v>190801</v>
      </c>
      <c r="I5502" s="7" t="n">
        <v>190801</v>
      </c>
      <c r="J5502" s="94" t="n"/>
      <c r="K5502" s="6" t="n">
        <v>15</v>
      </c>
      <c r="L5502" s="94" t="n">
        <v>190801</v>
      </c>
      <c r="M5502" s="94">
        <f>VLOOKUP($Q5502,매칭테이블!$F:$I,2,0)*K5502</f>
        <v/>
      </c>
      <c r="N5502" s="94">
        <f>M5502-M5502*VLOOKUP($Q5502,매칭테이블!$F:$I,3,0)</f>
        <v/>
      </c>
      <c r="O5502" s="94">
        <f>VLOOKUP($Q5502,매칭테이블!$F:$I,4,0)*K5502</f>
        <v/>
      </c>
      <c r="P5502" s="148">
        <f>M5502/1.1</f>
        <v/>
      </c>
      <c r="Q5502" s="94">
        <f>F5502&amp;E5502&amp;G5502&amp;L5502</f>
        <v/>
      </c>
    </row>
    <row r="5503">
      <c r="A5503" s="94" t="n"/>
      <c r="B5503" s="128" t="n">
        <v>43930</v>
      </c>
      <c r="C5503" s="94">
        <f>TEXT(B5503,"aaa")</f>
        <v/>
      </c>
      <c r="D5503" s="94" t="n"/>
      <c r="E5503" s="94" t="inlineStr">
        <is>
          <t>머드크림마스크</t>
        </is>
      </c>
      <c r="F5503" s="94" t="inlineStr">
        <is>
          <t>카페24</t>
        </is>
      </c>
      <c r="G5503" s="94" t="inlineStr">
        <is>
          <t>머드크림마스크 100ml 2set</t>
        </is>
      </c>
      <c r="H5503" s="7" t="n">
        <v>190801</v>
      </c>
      <c r="I5503" s="7" t="n">
        <v>190801</v>
      </c>
      <c r="J5503" s="94" t="n"/>
      <c r="K5503" s="6" t="n">
        <v>6</v>
      </c>
      <c r="L5503" s="94" t="n">
        <v>190801</v>
      </c>
      <c r="M5503" s="94">
        <f>VLOOKUP($Q5503,매칭테이블!$F:$I,2,0)*K5503</f>
        <v/>
      </c>
      <c r="N5503" s="94">
        <f>M5503-M5503*VLOOKUP($Q5503,매칭테이블!$F:$I,3,0)</f>
        <v/>
      </c>
      <c r="O5503" s="94">
        <f>VLOOKUP($Q5503,매칭테이블!$F:$I,4,0)*K5503</f>
        <v/>
      </c>
      <c r="P5503" s="148">
        <f>M5503/1.1</f>
        <v/>
      </c>
      <c r="Q5503" s="94">
        <f>F5503&amp;E5503&amp;G5503&amp;L5503</f>
        <v/>
      </c>
    </row>
    <row r="5504">
      <c r="A5504" s="94" t="n"/>
      <c r="B5504" s="128" t="n">
        <v>43930</v>
      </c>
      <c r="C5504" s="94">
        <f>TEXT(B5504,"aaa")</f>
        <v/>
      </c>
      <c r="D5504" s="94" t="n"/>
      <c r="E5504" s="94" t="inlineStr">
        <is>
          <t>마스크팩</t>
        </is>
      </c>
      <c r="F5504" s="94" t="inlineStr">
        <is>
          <t>카페24</t>
        </is>
      </c>
      <c r="G5504" s="94" t="inlineStr">
        <is>
          <t>마스크팩 1매</t>
        </is>
      </c>
      <c r="H5504" s="7" t="n">
        <v>190801</v>
      </c>
      <c r="I5504" s="7" t="n">
        <v>190801</v>
      </c>
      <c r="J5504" s="94" t="n"/>
      <c r="K5504" s="6" t="n">
        <v>5</v>
      </c>
      <c r="L5504" s="94" t="n">
        <v>190801</v>
      </c>
      <c r="M5504" s="94">
        <f>VLOOKUP($Q5504,매칭테이블!$F:$I,2,0)*K5504</f>
        <v/>
      </c>
      <c r="N5504" s="94">
        <f>M5504-M5504*VLOOKUP($Q5504,매칭테이블!$F:$I,3,0)</f>
        <v/>
      </c>
      <c r="O5504" s="94">
        <f>VLOOKUP($Q5504,매칭테이블!$F:$I,4,0)*K5504</f>
        <v/>
      </c>
      <c r="P5504" s="148">
        <f>M5504/1.1</f>
        <v/>
      </c>
      <c r="Q5504" s="94">
        <f>F5504&amp;E5504&amp;G5504&amp;L5504</f>
        <v/>
      </c>
    </row>
    <row r="5505">
      <c r="A5505" s="94" t="n"/>
      <c r="B5505" s="128" t="n">
        <v>43930</v>
      </c>
      <c r="C5505" s="94">
        <f>TEXT(B5505,"aaa")</f>
        <v/>
      </c>
      <c r="D5505" s="94" t="n"/>
      <c r="E5505" s="94" t="inlineStr">
        <is>
          <t>마스크팩</t>
        </is>
      </c>
      <c r="F5505" s="94" t="inlineStr">
        <is>
          <t>카페24</t>
        </is>
      </c>
      <c r="G5505" s="94" t="inlineStr">
        <is>
          <t>마스크팩 10매</t>
        </is>
      </c>
      <c r="H5505" s="7" t="n">
        <v>190801</v>
      </c>
      <c r="I5505" s="7" t="n">
        <v>190801</v>
      </c>
      <c r="J5505" s="94" t="n"/>
      <c r="K5505" s="6" t="n">
        <v>6</v>
      </c>
      <c r="L5505" s="94" t="n">
        <v>190801</v>
      </c>
      <c r="M5505" s="94">
        <f>VLOOKUP($Q5505,매칭테이블!$F:$I,2,0)*K5505</f>
        <v/>
      </c>
      <c r="N5505" s="94">
        <f>M5505-M5505*VLOOKUP($Q5505,매칭테이블!$F:$I,3,0)</f>
        <v/>
      </c>
      <c r="O5505" s="94">
        <f>VLOOKUP($Q5505,매칭테이블!$F:$I,4,0)*K5505</f>
        <v/>
      </c>
      <c r="P5505" s="148">
        <f>M5505/1.1</f>
        <v/>
      </c>
      <c r="Q5505" s="94">
        <f>F5505&amp;E5505&amp;G5505&amp;L5505</f>
        <v/>
      </c>
    </row>
    <row r="5506">
      <c r="A5506" s="94" t="n"/>
      <c r="B5506" s="128" t="n">
        <v>43930</v>
      </c>
      <c r="C5506" s="94">
        <f>TEXT(B5506,"aaa")</f>
        <v/>
      </c>
      <c r="D5506" s="94" t="n"/>
      <c r="E5506" s="6" t="inlineStr">
        <is>
          <t>토너</t>
        </is>
      </c>
      <c r="F5506" s="5" t="inlineStr">
        <is>
          <t>카페24</t>
        </is>
      </c>
      <c r="G5506" s="5" t="inlineStr">
        <is>
          <t>250ml</t>
        </is>
      </c>
      <c r="H5506" s="7" t="n">
        <v>190801</v>
      </c>
      <c r="I5506" s="7" t="n">
        <v>190801</v>
      </c>
      <c r="J5506" s="94" t="n"/>
      <c r="K5506" s="6" t="n">
        <v>75</v>
      </c>
      <c r="L5506" s="7" t="n">
        <v>190801</v>
      </c>
      <c r="M5506" s="94">
        <f>VLOOKUP($Q5506,매칭테이블!$F:$I,2,0)*K5506</f>
        <v/>
      </c>
      <c r="N5506" s="94">
        <f>M5506-M5506*VLOOKUP($Q5506,매칭테이블!$F:$I,3,0)</f>
        <v/>
      </c>
      <c r="O5506" s="94">
        <f>VLOOKUP($Q5506,매칭테이블!$F:$I,4,0)*K5506</f>
        <v/>
      </c>
      <c r="P5506" s="148">
        <f>M5506/1.1</f>
        <v/>
      </c>
      <c r="Q5506" s="94">
        <f>F5506&amp;E5506&amp;G5506&amp;L5506</f>
        <v/>
      </c>
    </row>
    <row r="5507">
      <c r="A5507" s="94" t="n"/>
      <c r="B5507" s="128" t="n">
        <v>43930</v>
      </c>
      <c r="C5507" s="94">
        <f>TEXT(B5507,"aaa")</f>
        <v/>
      </c>
      <c r="D5507" s="94" t="n"/>
      <c r="E5507" s="6" t="inlineStr">
        <is>
          <t>토너</t>
        </is>
      </c>
      <c r="F5507" s="5" t="inlineStr">
        <is>
          <t>카페24</t>
        </is>
      </c>
      <c r="G5507" s="5" t="inlineStr">
        <is>
          <t>250ml 2set</t>
        </is>
      </c>
      <c r="H5507" s="7" t="n">
        <v>190801</v>
      </c>
      <c r="I5507" s="7" t="n">
        <v>190801</v>
      </c>
      <c r="J5507" s="94" t="n"/>
      <c r="K5507" s="6" t="n">
        <v>63</v>
      </c>
      <c r="L5507" s="7" t="n">
        <v>190801</v>
      </c>
      <c r="M5507" s="94">
        <f>VLOOKUP($Q5507,매칭테이블!$F:$I,2,0)*K5507</f>
        <v/>
      </c>
      <c r="N5507" s="94">
        <f>M5507-M5507*VLOOKUP($Q5507,매칭테이블!$F:$I,3,0)</f>
        <v/>
      </c>
      <c r="O5507" s="94">
        <f>VLOOKUP($Q5507,매칭테이블!$F:$I,4,0)*K5507</f>
        <v/>
      </c>
      <c r="P5507" s="148">
        <f>M5507/1.1</f>
        <v/>
      </c>
      <c r="Q5507" s="94">
        <f>F5507&amp;E5507&amp;G5507&amp;L5507</f>
        <v/>
      </c>
    </row>
    <row r="5508">
      <c r="A5508" s="94" t="n"/>
      <c r="B5508" s="128" t="n">
        <v>43930</v>
      </c>
      <c r="C5508" s="94">
        <f>TEXT(B5508,"aaa")</f>
        <v/>
      </c>
      <c r="D5508" s="94" t="n"/>
      <c r="E5508" s="6" t="inlineStr">
        <is>
          <t>토너</t>
        </is>
      </c>
      <c r="F5508" s="5" t="inlineStr">
        <is>
          <t>카페24</t>
        </is>
      </c>
      <c r="G5508" s="5" t="inlineStr">
        <is>
          <t>500ml</t>
        </is>
      </c>
      <c r="H5508" s="7" t="n">
        <v>190801</v>
      </c>
      <c r="I5508" s="7" t="n">
        <v>190801</v>
      </c>
      <c r="J5508" s="94" t="n"/>
      <c r="K5508" s="6" t="n">
        <v>57</v>
      </c>
      <c r="L5508" s="7" t="n">
        <v>190801</v>
      </c>
      <c r="M5508" s="94">
        <f>VLOOKUP($Q5508,매칭테이블!$F:$I,2,0)*K5508</f>
        <v/>
      </c>
      <c r="N5508" s="94">
        <f>M5508-M5508*VLOOKUP($Q5508,매칭테이블!$F:$I,3,0)</f>
        <v/>
      </c>
      <c r="O5508" s="94">
        <f>VLOOKUP($Q5508,매칭테이블!$F:$I,4,0)*K5508</f>
        <v/>
      </c>
      <c r="P5508" s="148">
        <f>M5508/1.1</f>
        <v/>
      </c>
      <c r="Q5508" s="94">
        <f>F5508&amp;E5508&amp;G5508&amp;L5508</f>
        <v/>
      </c>
    </row>
    <row r="5509">
      <c r="A5509" s="94" t="n"/>
      <c r="B5509" s="128" t="n">
        <v>43930</v>
      </c>
      <c r="C5509" s="94">
        <f>TEXT(B5509,"aaa")</f>
        <v/>
      </c>
      <c r="D5509" s="94" t="n"/>
      <c r="E5509" s="6" t="inlineStr">
        <is>
          <t>토너</t>
        </is>
      </c>
      <c r="F5509" s="5" t="inlineStr">
        <is>
          <t>카페24</t>
        </is>
      </c>
      <c r="G5509" s="94" t="inlineStr">
        <is>
          <t>스킨팩 화장솜 60P</t>
        </is>
      </c>
      <c r="H5509" s="7" t="n">
        <v>190801</v>
      </c>
      <c r="I5509" s="7" t="n">
        <v>190801</v>
      </c>
      <c r="J5509" s="94" t="n"/>
      <c r="K5509" s="6" t="n">
        <v>93</v>
      </c>
      <c r="L5509" s="7" t="n">
        <v>190801</v>
      </c>
      <c r="M5509" s="94">
        <f>VLOOKUP($Q5509,매칭테이블!$F:$I,2,0)*K5509</f>
        <v/>
      </c>
      <c r="N5509" s="94">
        <f>M5509-M5509*VLOOKUP($Q5509,매칭테이블!$F:$I,3,0)</f>
        <v/>
      </c>
      <c r="O5509" s="94">
        <f>VLOOKUP($Q5509,매칭테이블!$F:$I,4,0)*K5509</f>
        <v/>
      </c>
      <c r="P5509" s="148">
        <f>M5509/1.1</f>
        <v/>
      </c>
      <c r="Q5509" s="94">
        <f>F5509&amp;E5509&amp;G5509&amp;L5509</f>
        <v/>
      </c>
    </row>
    <row r="5510">
      <c r="A5510" s="94" t="n"/>
      <c r="B5510" s="128" t="n">
        <v>43930</v>
      </c>
      <c r="C5510" s="94">
        <f>TEXT(B5510,"aaa")</f>
        <v/>
      </c>
      <c r="D5510" s="94" t="n"/>
      <c r="E5510" s="94" t="inlineStr">
        <is>
          <t>앰플</t>
        </is>
      </c>
      <c r="F5510" s="5" t="inlineStr">
        <is>
          <t>카페24</t>
        </is>
      </c>
      <c r="G5510" s="94" t="inlineStr">
        <is>
          <t>앰플 30ml</t>
        </is>
      </c>
      <c r="H5510" s="7" t="n">
        <v>190801</v>
      </c>
      <c r="I5510" s="7" t="n">
        <v>190801</v>
      </c>
      <c r="J5510" s="94" t="n"/>
      <c r="K5510" s="6" t="n">
        <v>11</v>
      </c>
      <c r="L5510" s="94" t="n">
        <v>190801</v>
      </c>
      <c r="M5510" s="94">
        <f>VLOOKUP($Q5510,매칭테이블!$F:$I,2,0)*K5510</f>
        <v/>
      </c>
      <c r="N5510" s="94">
        <f>M5510-M5510*VLOOKUP($Q5510,매칭테이블!$F:$I,3,0)</f>
        <v/>
      </c>
      <c r="O5510" s="94">
        <f>VLOOKUP($Q5510,매칭테이블!$F:$I,4,0)*K5510</f>
        <v/>
      </c>
      <c r="P5510" s="148">
        <f>M5510/1.1</f>
        <v/>
      </c>
      <c r="Q5510" s="94">
        <f>F5510&amp;E5510&amp;G5510&amp;L5510</f>
        <v/>
      </c>
    </row>
    <row r="5511">
      <c r="A5511" s="94" t="n"/>
      <c r="B5511" s="128" t="n">
        <v>43930</v>
      </c>
      <c r="C5511" s="94">
        <f>TEXT(B5511,"aaa")</f>
        <v/>
      </c>
      <c r="D5511" s="94" t="n"/>
      <c r="E5511" s="94" t="inlineStr">
        <is>
          <t>수딩크림</t>
        </is>
      </c>
      <c r="F5511" s="5" t="inlineStr">
        <is>
          <t>카페24</t>
        </is>
      </c>
      <c r="G5511" s="94" t="inlineStr">
        <is>
          <t>수딩크림 100ml</t>
        </is>
      </c>
      <c r="H5511" s="7" t="n">
        <v>190801</v>
      </c>
      <c r="I5511" s="7" t="n">
        <v>190801</v>
      </c>
      <c r="J5511" s="94" t="n"/>
      <c r="K5511" s="6" t="n">
        <v>7</v>
      </c>
      <c r="L5511" s="94" t="n">
        <v>190801</v>
      </c>
      <c r="M5511" s="94">
        <f>VLOOKUP($Q5511,매칭테이블!$F:$I,2,0)*K5511</f>
        <v/>
      </c>
      <c r="N5511" s="94">
        <f>M5511-M5511*VLOOKUP($Q5511,매칭테이블!$F:$I,3,0)</f>
        <v/>
      </c>
      <c r="O5511" s="94">
        <f>VLOOKUP($Q5511,매칭테이블!$F:$I,4,0)*K5511</f>
        <v/>
      </c>
      <c r="P5511" s="148">
        <f>M5511/1.1</f>
        <v/>
      </c>
      <c r="Q5511" s="94">
        <f>F5511&amp;E5511&amp;G5511&amp;L5511</f>
        <v/>
      </c>
    </row>
    <row r="5512">
      <c r="A5512" s="94" t="n"/>
      <c r="B5512" s="128" t="n">
        <v>43930</v>
      </c>
      <c r="C5512" s="94">
        <f>TEXT(B5512,"aaa")</f>
        <v/>
      </c>
      <c r="D5512" s="94" t="n"/>
      <c r="E5512" s="94" t="inlineStr">
        <is>
          <t>토너</t>
        </is>
      </c>
      <c r="F5512" s="94" t="inlineStr">
        <is>
          <t>큐텐</t>
        </is>
      </c>
      <c r="G5512" s="94" t="inlineStr">
        <is>
          <t>250ml</t>
        </is>
      </c>
      <c r="H5512" s="7" t="n">
        <v>190801</v>
      </c>
      <c r="I5512" s="7" t="n">
        <v>190801</v>
      </c>
      <c r="J5512" s="94" t="n"/>
      <c r="K5512" s="6" t="n">
        <v>12</v>
      </c>
      <c r="L5512" s="92" t="n">
        <v>190801</v>
      </c>
      <c r="M5512" s="94">
        <f>VLOOKUP($Q5512,매칭테이블!$F:$I,2,0)*K5512</f>
        <v/>
      </c>
      <c r="N5512" s="94">
        <f>M5512-M5512*VLOOKUP($Q5512,매칭테이블!$F:$I,3,0)</f>
        <v/>
      </c>
      <c r="O5512" s="94">
        <f>VLOOKUP($Q5512,매칭테이블!$F:$I,4,0)*K5512</f>
        <v/>
      </c>
      <c r="P5512" s="148">
        <f>M5512/1.1</f>
        <v/>
      </c>
      <c r="Q5512" s="94">
        <f>F5512&amp;E5512&amp;G5512&amp;L5512</f>
        <v/>
      </c>
    </row>
    <row r="5513">
      <c r="A5513" s="94" t="n"/>
      <c r="B5513" s="128" t="n">
        <v>43930</v>
      </c>
      <c r="C5513" s="94">
        <f>TEXT(B5513,"aaa")</f>
        <v/>
      </c>
      <c r="D5513" s="94" t="n"/>
      <c r="E5513" s="94" t="inlineStr">
        <is>
          <t>토너</t>
        </is>
      </c>
      <c r="F5513" s="94" t="inlineStr">
        <is>
          <t>큐텐</t>
        </is>
      </c>
      <c r="G5513" s="94" t="inlineStr">
        <is>
          <t>250ml 2set</t>
        </is>
      </c>
      <c r="H5513" s="7" t="n">
        <v>190801</v>
      </c>
      <c r="I5513" s="7" t="n">
        <v>190801</v>
      </c>
      <c r="J5513" s="94" t="n"/>
      <c r="K5513" s="6" t="n">
        <v>5</v>
      </c>
      <c r="L5513" s="92" t="n">
        <v>190801</v>
      </c>
      <c r="M5513" s="94">
        <f>VLOOKUP($Q5513,매칭테이블!$F:$I,2,0)*K5513</f>
        <v/>
      </c>
      <c r="N5513" s="94">
        <f>M5513-M5513*VLOOKUP($Q5513,매칭테이블!$F:$I,3,0)</f>
        <v/>
      </c>
      <c r="O5513" s="94">
        <f>VLOOKUP($Q5513,매칭테이블!$F:$I,4,0)*K5513</f>
        <v/>
      </c>
      <c r="P5513" s="148">
        <f>M5513/1.1</f>
        <v/>
      </c>
      <c r="Q5513" s="94">
        <f>F5513&amp;E5513&amp;G5513&amp;L5513</f>
        <v/>
      </c>
    </row>
    <row r="5514">
      <c r="A5514" s="94" t="n"/>
      <c r="B5514" s="128" t="n">
        <v>43931</v>
      </c>
      <c r="C5514" s="94">
        <f>TEXT(B5514,"aaa")</f>
        <v/>
      </c>
      <c r="D5514" s="94" t="n"/>
      <c r="E5514" s="6" t="inlineStr">
        <is>
          <t>토너</t>
        </is>
      </c>
      <c r="F5514" s="5" t="inlineStr">
        <is>
          <t>W컨셉</t>
        </is>
      </c>
      <c r="G5514" s="5" t="inlineStr">
        <is>
          <t>250ml</t>
        </is>
      </c>
      <c r="H5514" s="7" t="n">
        <v>190801</v>
      </c>
      <c r="I5514" s="7" t="n">
        <v>190801</v>
      </c>
      <c r="J5514" s="94" t="n"/>
      <c r="K5514" s="6" t="n">
        <v>6</v>
      </c>
      <c r="L5514" s="7" t="n">
        <v>190801</v>
      </c>
      <c r="M5514" s="94">
        <f>VLOOKUP($Q5514,매칭테이블!$F:$I,2,0)*K5514</f>
        <v/>
      </c>
      <c r="N5514" s="94">
        <f>M5514-M5514*VLOOKUP($Q5514,매칭테이블!$F:$I,3,0)</f>
        <v/>
      </c>
      <c r="O5514" s="94">
        <f>VLOOKUP($Q5514,매칭테이블!$F:$I,4,0)*K5514</f>
        <v/>
      </c>
      <c r="P5514" s="148">
        <f>M5514/1.1</f>
        <v/>
      </c>
      <c r="Q5514" s="94">
        <f>F5514&amp;E5514&amp;G5514&amp;L5514</f>
        <v/>
      </c>
    </row>
    <row r="5515">
      <c r="A5515" s="94" t="n"/>
      <c r="B5515" s="128" t="n">
        <v>43931</v>
      </c>
      <c r="C5515" s="94">
        <f>TEXT(B5515,"aaa")</f>
        <v/>
      </c>
      <c r="D5515" s="94" t="n"/>
      <c r="E5515" s="6" t="inlineStr">
        <is>
          <t>토너</t>
        </is>
      </c>
      <c r="F5515" s="5" t="inlineStr">
        <is>
          <t>W컨셉</t>
        </is>
      </c>
      <c r="G5515" s="5" t="inlineStr">
        <is>
          <t>250ml 2set</t>
        </is>
      </c>
      <c r="H5515" s="7" t="n">
        <v>190801</v>
      </c>
      <c r="I5515" s="7" t="n">
        <v>190801</v>
      </c>
      <c r="J5515" s="94" t="n"/>
      <c r="K5515" s="6" t="n">
        <v>19</v>
      </c>
      <c r="L5515" s="7" t="n">
        <v>190801</v>
      </c>
      <c r="M5515" s="94">
        <f>VLOOKUP($Q5515,매칭테이블!$F:$I,2,0)*K5515</f>
        <v/>
      </c>
      <c r="N5515" s="94">
        <f>M5515-M5515*VLOOKUP($Q5515,매칭테이블!$F:$I,3,0)</f>
        <v/>
      </c>
      <c r="O5515" s="94">
        <f>VLOOKUP($Q5515,매칭테이블!$F:$I,4,0)*K5515</f>
        <v/>
      </c>
      <c r="P5515" s="148">
        <f>M5515/1.1</f>
        <v/>
      </c>
      <c r="Q5515" s="94">
        <f>F5515&amp;E5515&amp;G5515&amp;L5515</f>
        <v/>
      </c>
    </row>
    <row r="5516">
      <c r="A5516" s="94" t="n"/>
      <c r="B5516" s="128" t="n">
        <v>43931</v>
      </c>
      <c r="C5516" s="94">
        <f>TEXT(B5516,"aaa")</f>
        <v/>
      </c>
      <c r="D5516" s="94" t="n"/>
      <c r="E5516" s="94" t="inlineStr">
        <is>
          <t>토너</t>
        </is>
      </c>
      <c r="F5516" s="5" t="inlineStr">
        <is>
          <t>스타일쉐어</t>
        </is>
      </c>
      <c r="G5516" s="94" t="inlineStr">
        <is>
          <t>250ml</t>
        </is>
      </c>
      <c r="H5516" s="7" t="n">
        <v>190801</v>
      </c>
      <c r="I5516" s="7" t="n">
        <v>190801</v>
      </c>
      <c r="J5516" s="94" t="n"/>
      <c r="K5516" s="6" t="n">
        <v>4</v>
      </c>
      <c r="L5516" s="92" t="n">
        <v>190801</v>
      </c>
      <c r="M5516" s="94">
        <f>VLOOKUP($Q5516,매칭테이블!$F:$I,2,0)*K5516</f>
        <v/>
      </c>
      <c r="N5516" s="94">
        <f>M5516-M5516*VLOOKUP($Q5516,매칭테이블!$F:$I,3,0)</f>
        <v/>
      </c>
      <c r="O5516" s="94">
        <f>VLOOKUP($Q5516,매칭테이블!$F:$I,4,0)*K5516</f>
        <v/>
      </c>
      <c r="P5516" s="148">
        <f>M5516/1.1</f>
        <v/>
      </c>
      <c r="Q5516" s="94">
        <f>F5516&amp;E5516&amp;G5516&amp;L5516</f>
        <v/>
      </c>
    </row>
    <row r="5517">
      <c r="A5517" s="94" t="n"/>
      <c r="B5517" s="128" t="n">
        <v>43931</v>
      </c>
      <c r="C5517" s="94">
        <f>TEXT(B5517,"aaa")</f>
        <v/>
      </c>
      <c r="D5517" s="94" t="n"/>
      <c r="E5517" s="94" t="inlineStr">
        <is>
          <t>마스크팩</t>
        </is>
      </c>
      <c r="F5517" s="94" t="inlineStr">
        <is>
          <t>아누아 CS</t>
        </is>
      </c>
      <c r="G5517" s="94" t="inlineStr">
        <is>
          <t>마스크팩 10매</t>
        </is>
      </c>
      <c r="H5517" s="7" t="n">
        <v>190801</v>
      </c>
      <c r="I5517" s="7" t="n">
        <v>190801</v>
      </c>
      <c r="J5517" s="94" t="n"/>
      <c r="K5517" s="6" t="n">
        <v>3</v>
      </c>
      <c r="L5517" s="94" t="n">
        <v>190801</v>
      </c>
      <c r="M5517" s="94">
        <f>VLOOKUP($Q5517,매칭테이블!$F:$I,2,0)*K5517</f>
        <v/>
      </c>
      <c r="N5517" s="94">
        <f>M5517-M5517*VLOOKUP($Q5517,매칭테이블!$F:$I,3,0)</f>
        <v/>
      </c>
      <c r="O5517" s="94">
        <f>VLOOKUP($Q5517,매칭테이블!$F:$I,4,0)*K5517</f>
        <v/>
      </c>
      <c r="P5517" s="148">
        <f>M5517/1.1</f>
        <v/>
      </c>
      <c r="Q5517" s="94">
        <f>F5517&amp;E5517&amp;G5517&amp;L5517</f>
        <v/>
      </c>
    </row>
    <row r="5518">
      <c r="A5518" s="94" t="n"/>
      <c r="B5518" s="128" t="n">
        <v>43931</v>
      </c>
      <c r="C5518" s="94">
        <f>TEXT(B5518,"aaa")</f>
        <v/>
      </c>
      <c r="D5518" s="94" t="n"/>
      <c r="E5518" s="94" t="inlineStr">
        <is>
          <t>토너</t>
        </is>
      </c>
      <c r="F5518" s="94" t="inlineStr">
        <is>
          <t>아누아 CS</t>
        </is>
      </c>
      <c r="G5518" s="94" t="inlineStr">
        <is>
          <t>250ml</t>
        </is>
      </c>
      <c r="H5518" s="7" t="n">
        <v>190801</v>
      </c>
      <c r="I5518" s="7" t="n">
        <v>190801</v>
      </c>
      <c r="J5518" s="94" t="n"/>
      <c r="K5518" s="6" t="n">
        <v>1</v>
      </c>
      <c r="L5518" s="92" t="n">
        <v>190801</v>
      </c>
      <c r="M5518" s="94">
        <f>VLOOKUP($Q5518,매칭테이블!$F:$I,2,0)*K5518</f>
        <v/>
      </c>
      <c r="N5518" s="94">
        <f>M5518-M5518*VLOOKUP($Q5518,매칭테이블!$F:$I,3,0)</f>
        <v/>
      </c>
      <c r="O5518" s="94">
        <f>VLOOKUP($Q5518,매칭테이블!$F:$I,4,0)*K5518</f>
        <v/>
      </c>
      <c r="P5518" s="148">
        <f>M5518/1.1</f>
        <v/>
      </c>
      <c r="Q5518" s="94">
        <f>F5518&amp;E5518&amp;G5518&amp;L5518</f>
        <v/>
      </c>
    </row>
    <row r="5519">
      <c r="A5519" s="94" t="n"/>
      <c r="B5519" s="128" t="n">
        <v>43931</v>
      </c>
      <c r="C5519" s="94">
        <f>TEXT(B5519,"aaa")</f>
        <v/>
      </c>
      <c r="D5519" s="94" t="n"/>
      <c r="E5519" s="6" t="inlineStr">
        <is>
          <t>토너</t>
        </is>
      </c>
      <c r="F5519" s="94" t="inlineStr">
        <is>
          <t>아누아 CS</t>
        </is>
      </c>
      <c r="G5519" s="94" t="inlineStr">
        <is>
          <t>스킨팩 화장솜 60P</t>
        </is>
      </c>
      <c r="H5519" s="7" t="n">
        <v>190801</v>
      </c>
      <c r="I5519" s="7" t="n">
        <v>190801</v>
      </c>
      <c r="J5519" s="94" t="n"/>
      <c r="K5519" s="6" t="n">
        <v>1</v>
      </c>
      <c r="L5519" s="7" t="n">
        <v>190801</v>
      </c>
      <c r="M5519" s="94">
        <f>VLOOKUP($Q5519,매칭테이블!$F:$I,2,0)*K5519</f>
        <v/>
      </c>
      <c r="N5519" s="94">
        <f>M5519-M5519*VLOOKUP($Q5519,매칭테이블!$F:$I,3,0)</f>
        <v/>
      </c>
      <c r="O5519" s="94">
        <f>VLOOKUP($Q5519,매칭테이블!$F:$I,4,0)*K5519</f>
        <v/>
      </c>
      <c r="P5519" s="148">
        <f>M5519/1.1</f>
        <v/>
      </c>
      <c r="Q5519" s="94">
        <f>F5519&amp;E5519&amp;G5519&amp;L5519</f>
        <v/>
      </c>
    </row>
    <row r="5520">
      <c r="A5520" s="94" t="n"/>
      <c r="B5520" s="128" t="n">
        <v>43931</v>
      </c>
      <c r="C5520" s="94">
        <f>TEXT(B5520,"aaa")</f>
        <v/>
      </c>
      <c r="D5520" s="94" t="n"/>
      <c r="E5520" s="94" t="inlineStr">
        <is>
          <t>머드크림마스크</t>
        </is>
      </c>
      <c r="F5520" s="94" t="inlineStr">
        <is>
          <t>카페24</t>
        </is>
      </c>
      <c r="G5520" s="94" t="inlineStr">
        <is>
          <t>머드크림마스크 100ml</t>
        </is>
      </c>
      <c r="H5520" s="7" t="n">
        <v>190801</v>
      </c>
      <c r="I5520" s="7" t="n">
        <v>190801</v>
      </c>
      <c r="J5520" s="94" t="n"/>
      <c r="K5520" s="6" t="n">
        <v>11</v>
      </c>
      <c r="L5520" s="94" t="n">
        <v>190801</v>
      </c>
      <c r="M5520" s="94">
        <f>VLOOKUP($Q5520,매칭테이블!$F:$I,2,0)*K5520</f>
        <v/>
      </c>
      <c r="N5520" s="94">
        <f>M5520-M5520*VLOOKUP($Q5520,매칭테이블!$F:$I,3,0)</f>
        <v/>
      </c>
      <c r="O5520" s="94">
        <f>VLOOKUP($Q5520,매칭테이블!$F:$I,4,0)*K5520</f>
        <v/>
      </c>
      <c r="P5520" s="148">
        <f>M5520/1.1</f>
        <v/>
      </c>
      <c r="Q5520" s="94">
        <f>F5520&amp;E5520&amp;G5520&amp;L5520</f>
        <v/>
      </c>
    </row>
    <row r="5521">
      <c r="A5521" s="94" t="n"/>
      <c r="B5521" s="128" t="n">
        <v>43931</v>
      </c>
      <c r="C5521" s="94">
        <f>TEXT(B5521,"aaa")</f>
        <v/>
      </c>
      <c r="D5521" s="94" t="n"/>
      <c r="E5521" s="94" t="inlineStr">
        <is>
          <t>머드크림마스크</t>
        </is>
      </c>
      <c r="F5521" s="94" t="inlineStr">
        <is>
          <t>카페24</t>
        </is>
      </c>
      <c r="G5521" s="94" t="inlineStr">
        <is>
          <t>머드크림마스크 100ml 2set</t>
        </is>
      </c>
      <c r="H5521" s="7" t="n">
        <v>190801</v>
      </c>
      <c r="I5521" s="7" t="n">
        <v>190801</v>
      </c>
      <c r="J5521" s="94" t="n"/>
      <c r="K5521" s="6" t="n">
        <v>4</v>
      </c>
      <c r="L5521" s="94" t="n">
        <v>190801</v>
      </c>
      <c r="M5521" s="94">
        <f>VLOOKUP($Q5521,매칭테이블!$F:$I,2,0)*K5521</f>
        <v/>
      </c>
      <c r="N5521" s="94">
        <f>M5521-M5521*VLOOKUP($Q5521,매칭테이블!$F:$I,3,0)</f>
        <v/>
      </c>
      <c r="O5521" s="94">
        <f>VLOOKUP($Q5521,매칭테이블!$F:$I,4,0)*K5521</f>
        <v/>
      </c>
      <c r="P5521" s="148">
        <f>M5521/1.1</f>
        <v/>
      </c>
      <c r="Q5521" s="94">
        <f>F5521&amp;E5521&amp;G5521&amp;L5521</f>
        <v/>
      </c>
    </row>
    <row r="5522">
      <c r="A5522" s="94" t="n"/>
      <c r="B5522" s="128" t="n">
        <v>43931</v>
      </c>
      <c r="C5522" s="94">
        <f>TEXT(B5522,"aaa")</f>
        <v/>
      </c>
      <c r="D5522" s="94" t="n"/>
      <c r="E5522" s="94" t="inlineStr">
        <is>
          <t>마스크팩</t>
        </is>
      </c>
      <c r="F5522" s="94" t="inlineStr">
        <is>
          <t>카페24</t>
        </is>
      </c>
      <c r="G5522" s="94" t="inlineStr">
        <is>
          <t>마스크팩 1매</t>
        </is>
      </c>
      <c r="H5522" s="7" t="n">
        <v>190801</v>
      </c>
      <c r="I5522" s="7" t="n">
        <v>190801</v>
      </c>
      <c r="J5522" s="94" t="n"/>
      <c r="K5522" s="6" t="n">
        <v>2</v>
      </c>
      <c r="L5522" s="94" t="n">
        <v>190801</v>
      </c>
      <c r="M5522" s="94">
        <f>VLOOKUP($Q5522,매칭테이블!$F:$I,2,0)*K5522</f>
        <v/>
      </c>
      <c r="N5522" s="94">
        <f>M5522-M5522*VLOOKUP($Q5522,매칭테이블!$F:$I,3,0)</f>
        <v/>
      </c>
      <c r="O5522" s="94">
        <f>VLOOKUP($Q5522,매칭테이블!$F:$I,4,0)*K5522</f>
        <v/>
      </c>
      <c r="P5522" s="148">
        <f>M5522/1.1</f>
        <v/>
      </c>
      <c r="Q5522" s="94">
        <f>F5522&amp;E5522&amp;G5522&amp;L5522</f>
        <v/>
      </c>
    </row>
    <row r="5523">
      <c r="A5523" s="94" t="n"/>
      <c r="B5523" s="128" t="n">
        <v>43931</v>
      </c>
      <c r="C5523" s="94">
        <f>TEXT(B5523,"aaa")</f>
        <v/>
      </c>
      <c r="D5523" s="94" t="n"/>
      <c r="E5523" s="94" t="inlineStr">
        <is>
          <t>마스크팩</t>
        </is>
      </c>
      <c r="F5523" s="94" t="inlineStr">
        <is>
          <t>카페24</t>
        </is>
      </c>
      <c r="G5523" s="94" t="inlineStr">
        <is>
          <t>마스크팩 10매</t>
        </is>
      </c>
      <c r="H5523" s="7" t="n">
        <v>190801</v>
      </c>
      <c r="I5523" s="7" t="n">
        <v>190801</v>
      </c>
      <c r="J5523" s="94" t="n"/>
      <c r="K5523" s="6" t="n">
        <v>3</v>
      </c>
      <c r="L5523" s="94" t="n">
        <v>190801</v>
      </c>
      <c r="M5523" s="94">
        <f>VLOOKUP($Q5523,매칭테이블!$F:$I,2,0)*K5523</f>
        <v/>
      </c>
      <c r="N5523" s="94">
        <f>M5523-M5523*VLOOKUP($Q5523,매칭테이블!$F:$I,3,0)</f>
        <v/>
      </c>
      <c r="O5523" s="94">
        <f>VLOOKUP($Q5523,매칭테이블!$F:$I,4,0)*K5523</f>
        <v/>
      </c>
      <c r="P5523" s="148">
        <f>M5523/1.1</f>
        <v/>
      </c>
      <c r="Q5523" s="94">
        <f>F5523&amp;E5523&amp;G5523&amp;L5523</f>
        <v/>
      </c>
    </row>
    <row r="5524">
      <c r="A5524" s="94" t="n"/>
      <c r="B5524" s="128" t="n">
        <v>43931</v>
      </c>
      <c r="C5524" s="94">
        <f>TEXT(B5524,"aaa")</f>
        <v/>
      </c>
      <c r="D5524" s="94" t="n"/>
      <c r="E5524" s="6" t="inlineStr">
        <is>
          <t>토너</t>
        </is>
      </c>
      <c r="F5524" s="5" t="inlineStr">
        <is>
          <t>카페24</t>
        </is>
      </c>
      <c r="G5524" s="5" t="inlineStr">
        <is>
          <t>250ml</t>
        </is>
      </c>
      <c r="H5524" s="7" t="n">
        <v>190801</v>
      </c>
      <c r="I5524" s="7" t="n">
        <v>190801</v>
      </c>
      <c r="J5524" s="94" t="n"/>
      <c r="K5524" s="6" t="n">
        <v>73</v>
      </c>
      <c r="L5524" s="7" t="n">
        <v>190801</v>
      </c>
      <c r="M5524" s="94">
        <f>VLOOKUP($Q5524,매칭테이블!$F:$I,2,0)*K5524</f>
        <v/>
      </c>
      <c r="N5524" s="94">
        <f>M5524-M5524*VLOOKUP($Q5524,매칭테이블!$F:$I,3,0)</f>
        <v/>
      </c>
      <c r="O5524" s="94">
        <f>VLOOKUP($Q5524,매칭테이블!$F:$I,4,0)*K5524</f>
        <v/>
      </c>
      <c r="P5524" s="148">
        <f>M5524/1.1</f>
        <v/>
      </c>
      <c r="Q5524" s="94">
        <f>F5524&amp;E5524&amp;G5524&amp;L5524</f>
        <v/>
      </c>
    </row>
    <row r="5525">
      <c r="A5525" s="94" t="n"/>
      <c r="B5525" s="128" t="n">
        <v>43931</v>
      </c>
      <c r="C5525" s="94">
        <f>TEXT(B5525,"aaa")</f>
        <v/>
      </c>
      <c r="D5525" s="94" t="n"/>
      <c r="E5525" s="6" t="inlineStr">
        <is>
          <t>토너</t>
        </is>
      </c>
      <c r="F5525" s="5" t="inlineStr">
        <is>
          <t>카페24</t>
        </is>
      </c>
      <c r="G5525" s="5" t="inlineStr">
        <is>
          <t>250ml 2set</t>
        </is>
      </c>
      <c r="H5525" s="7" t="n">
        <v>190801</v>
      </c>
      <c r="I5525" s="7" t="n">
        <v>190801</v>
      </c>
      <c r="J5525" s="94" t="n"/>
      <c r="K5525" s="6" t="n">
        <v>64</v>
      </c>
      <c r="L5525" s="7" t="n">
        <v>190801</v>
      </c>
      <c r="M5525" s="94">
        <f>VLOOKUP($Q5525,매칭테이블!$F:$I,2,0)*K5525</f>
        <v/>
      </c>
      <c r="N5525" s="94">
        <f>M5525-M5525*VLOOKUP($Q5525,매칭테이블!$F:$I,3,0)</f>
        <v/>
      </c>
      <c r="O5525" s="94">
        <f>VLOOKUP($Q5525,매칭테이블!$F:$I,4,0)*K5525</f>
        <v/>
      </c>
      <c r="P5525" s="148">
        <f>M5525/1.1</f>
        <v/>
      </c>
      <c r="Q5525" s="94">
        <f>F5525&amp;E5525&amp;G5525&amp;L5525</f>
        <v/>
      </c>
    </row>
    <row r="5526">
      <c r="A5526" s="94" t="n"/>
      <c r="B5526" s="128" t="n">
        <v>43931</v>
      </c>
      <c r="C5526" s="94">
        <f>TEXT(B5526,"aaa")</f>
        <v/>
      </c>
      <c r="D5526" s="94" t="n"/>
      <c r="E5526" s="6" t="inlineStr">
        <is>
          <t>토너</t>
        </is>
      </c>
      <c r="F5526" s="5" t="inlineStr">
        <is>
          <t>카페24</t>
        </is>
      </c>
      <c r="G5526" s="5" t="inlineStr">
        <is>
          <t>500ml</t>
        </is>
      </c>
      <c r="H5526" s="7" t="n">
        <v>190801</v>
      </c>
      <c r="I5526" s="7" t="n">
        <v>190801</v>
      </c>
      <c r="J5526" s="94" t="n"/>
      <c r="K5526" s="6" t="n">
        <v>62</v>
      </c>
      <c r="L5526" s="7" t="n">
        <v>190801</v>
      </c>
      <c r="M5526" s="94">
        <f>VLOOKUP($Q5526,매칭테이블!$F:$I,2,0)*K5526</f>
        <v/>
      </c>
      <c r="N5526" s="94">
        <f>M5526-M5526*VLOOKUP($Q5526,매칭테이블!$F:$I,3,0)</f>
        <v/>
      </c>
      <c r="O5526" s="94">
        <f>VLOOKUP($Q5526,매칭테이블!$F:$I,4,0)*K5526</f>
        <v/>
      </c>
      <c r="P5526" s="148">
        <f>M5526/1.1</f>
        <v/>
      </c>
      <c r="Q5526" s="94">
        <f>F5526&amp;E5526&amp;G5526&amp;L5526</f>
        <v/>
      </c>
    </row>
    <row r="5527">
      <c r="A5527" s="94" t="n"/>
      <c r="B5527" s="128" t="n">
        <v>43931</v>
      </c>
      <c r="C5527" s="94">
        <f>TEXT(B5527,"aaa")</f>
        <v/>
      </c>
      <c r="D5527" s="94" t="n"/>
      <c r="E5527" s="6" t="inlineStr">
        <is>
          <t>토너</t>
        </is>
      </c>
      <c r="F5527" s="5" t="inlineStr">
        <is>
          <t>카페24</t>
        </is>
      </c>
      <c r="G5527" s="94" t="inlineStr">
        <is>
          <t>스킨팩 화장솜 60P</t>
        </is>
      </c>
      <c r="H5527" s="7" t="n">
        <v>190801</v>
      </c>
      <c r="I5527" s="7" t="n">
        <v>190801</v>
      </c>
      <c r="J5527" s="94" t="n"/>
      <c r="K5527" s="6" t="n">
        <v>78</v>
      </c>
      <c r="L5527" s="7" t="n">
        <v>190801</v>
      </c>
      <c r="M5527" s="94">
        <f>VLOOKUP($Q5527,매칭테이블!$F:$I,2,0)*K5527</f>
        <v/>
      </c>
      <c r="N5527" s="94">
        <f>M5527-M5527*VLOOKUP($Q5527,매칭테이블!$F:$I,3,0)</f>
        <v/>
      </c>
      <c r="O5527" s="94">
        <f>VLOOKUP($Q5527,매칭테이블!$F:$I,4,0)*K5527</f>
        <v/>
      </c>
      <c r="P5527" s="148">
        <f>M5527/1.1</f>
        <v/>
      </c>
      <c r="Q5527" s="94">
        <f>F5527&amp;E5527&amp;G5527&amp;L5527</f>
        <v/>
      </c>
    </row>
    <row r="5528">
      <c r="A5528" s="94" t="n"/>
      <c r="B5528" s="128" t="n">
        <v>43931</v>
      </c>
      <c r="C5528" s="94">
        <f>TEXT(B5528,"aaa")</f>
        <v/>
      </c>
      <c r="D5528" s="94" t="n"/>
      <c r="E5528" s="94" t="inlineStr">
        <is>
          <t>앰플</t>
        </is>
      </c>
      <c r="F5528" s="5" t="inlineStr">
        <is>
          <t>카페24</t>
        </is>
      </c>
      <c r="G5528" s="94" t="inlineStr">
        <is>
          <t>앰플 30ml</t>
        </is>
      </c>
      <c r="H5528" s="7" t="n">
        <v>190801</v>
      </c>
      <c r="I5528" s="7" t="n">
        <v>190801</v>
      </c>
      <c r="J5528" s="94" t="n"/>
      <c r="K5528" s="6" t="n">
        <v>11</v>
      </c>
      <c r="L5528" s="94" t="n">
        <v>190801</v>
      </c>
      <c r="M5528" s="94">
        <f>VLOOKUP($Q5528,매칭테이블!$F:$I,2,0)*K5528</f>
        <v/>
      </c>
      <c r="N5528" s="94">
        <f>M5528-M5528*VLOOKUP($Q5528,매칭테이블!$F:$I,3,0)</f>
        <v/>
      </c>
      <c r="O5528" s="94">
        <f>VLOOKUP($Q5528,매칭테이블!$F:$I,4,0)*K5528</f>
        <v/>
      </c>
      <c r="P5528" s="148">
        <f>M5528/1.1</f>
        <v/>
      </c>
      <c r="Q5528" s="94">
        <f>F5528&amp;E5528&amp;G5528&amp;L5528</f>
        <v/>
      </c>
    </row>
    <row r="5529">
      <c r="A5529" s="94" t="n"/>
      <c r="B5529" s="128" t="n">
        <v>43931</v>
      </c>
      <c r="C5529" s="94">
        <f>TEXT(B5529,"aaa")</f>
        <v/>
      </c>
      <c r="D5529" s="94" t="n"/>
      <c r="E5529" s="94" t="inlineStr">
        <is>
          <t>수딩크림</t>
        </is>
      </c>
      <c r="F5529" s="5" t="inlineStr">
        <is>
          <t>카페24</t>
        </is>
      </c>
      <c r="G5529" s="94" t="inlineStr">
        <is>
          <t>수딩크림 100ml</t>
        </is>
      </c>
      <c r="H5529" s="7" t="n">
        <v>190801</v>
      </c>
      <c r="I5529" s="7" t="n">
        <v>190801</v>
      </c>
      <c r="J5529" s="94" t="n"/>
      <c r="K5529" s="6" t="n">
        <v>8</v>
      </c>
      <c r="L5529" s="94" t="n">
        <v>190801</v>
      </c>
      <c r="M5529" s="94">
        <f>VLOOKUP($Q5529,매칭테이블!$F:$I,2,0)*K5529</f>
        <v/>
      </c>
      <c r="N5529" s="94">
        <f>M5529-M5529*VLOOKUP($Q5529,매칭테이블!$F:$I,3,0)</f>
        <v/>
      </c>
      <c r="O5529" s="94">
        <f>VLOOKUP($Q5529,매칭테이블!$F:$I,4,0)*K5529</f>
        <v/>
      </c>
      <c r="P5529" s="148">
        <f>M5529/1.1</f>
        <v/>
      </c>
      <c r="Q5529" s="94">
        <f>F5529&amp;E5529&amp;G5529&amp;L5529</f>
        <v/>
      </c>
    </row>
    <row r="5530">
      <c r="A5530" s="94" t="n"/>
      <c r="B5530" s="128" t="n">
        <v>43931</v>
      </c>
      <c r="C5530" s="94">
        <f>TEXT(B5530,"aaa")</f>
        <v/>
      </c>
      <c r="D5530" s="94" t="n"/>
      <c r="E5530" s="94" t="inlineStr">
        <is>
          <t>토너</t>
        </is>
      </c>
      <c r="F5530" s="94" t="inlineStr">
        <is>
          <t>큐텐</t>
        </is>
      </c>
      <c r="G5530" s="94" t="inlineStr">
        <is>
          <t>250ml</t>
        </is>
      </c>
      <c r="H5530" s="7" t="n">
        <v>190801</v>
      </c>
      <c r="I5530" s="7" t="n">
        <v>190801</v>
      </c>
      <c r="J5530" s="94" t="n"/>
      <c r="K5530" s="6" t="n">
        <v>12</v>
      </c>
      <c r="L5530" s="92" t="n">
        <v>190801</v>
      </c>
      <c r="M5530" s="94">
        <f>VLOOKUP($Q5530,매칭테이블!$F:$I,2,0)*K5530</f>
        <v/>
      </c>
      <c r="N5530" s="94">
        <f>M5530-M5530*VLOOKUP($Q5530,매칭테이블!$F:$I,3,0)</f>
        <v/>
      </c>
      <c r="O5530" s="94">
        <f>VLOOKUP($Q5530,매칭테이블!$F:$I,4,0)*K5530</f>
        <v/>
      </c>
      <c r="P5530" s="148">
        <f>M5530/1.1</f>
        <v/>
      </c>
      <c r="Q5530" s="94">
        <f>F5530&amp;E5530&amp;G5530&amp;L5530</f>
        <v/>
      </c>
    </row>
    <row r="5531">
      <c r="A5531" s="94" t="n"/>
      <c r="B5531" s="128" t="n">
        <v>43931</v>
      </c>
      <c r="C5531" s="94">
        <f>TEXT(B5531,"aaa")</f>
        <v/>
      </c>
      <c r="D5531" s="94" t="n"/>
      <c r="E5531" s="94" t="inlineStr">
        <is>
          <t>토너</t>
        </is>
      </c>
      <c r="F5531" s="94" t="inlineStr">
        <is>
          <t>큐텐</t>
        </is>
      </c>
      <c r="G5531" s="94" t="inlineStr">
        <is>
          <t>250ml 2set</t>
        </is>
      </c>
      <c r="H5531" s="7" t="n">
        <v>190801</v>
      </c>
      <c r="I5531" s="7" t="n">
        <v>190801</v>
      </c>
      <c r="J5531" s="94" t="n"/>
      <c r="K5531" s="6" t="n">
        <v>4</v>
      </c>
      <c r="L5531" s="92" t="n">
        <v>190801</v>
      </c>
      <c r="M5531" s="94">
        <f>VLOOKUP($Q5531,매칭테이블!$F:$I,2,0)*K5531</f>
        <v/>
      </c>
      <c r="N5531" s="94">
        <f>M5531-M5531*VLOOKUP($Q5531,매칭테이블!$F:$I,3,0)</f>
        <v/>
      </c>
      <c r="O5531" s="94">
        <f>VLOOKUP($Q5531,매칭테이블!$F:$I,4,0)*K5531</f>
        <v/>
      </c>
      <c r="P5531" s="148">
        <f>M5531/1.1</f>
        <v/>
      </c>
      <c r="Q5531" s="94">
        <f>F5531&amp;E5531&amp;G5531&amp;L5531</f>
        <v/>
      </c>
    </row>
    <row r="5532">
      <c r="A5532" s="94" t="n"/>
      <c r="B5532" s="128" t="n">
        <v>43932</v>
      </c>
      <c r="C5532" s="94">
        <f>TEXT(B5532,"aaa")</f>
        <v/>
      </c>
      <c r="D5532" s="94" t="n"/>
      <c r="E5532" s="94" t="inlineStr">
        <is>
          <t>토너</t>
        </is>
      </c>
      <c r="F5532" s="5" t="inlineStr">
        <is>
          <t>스타일쉐어</t>
        </is>
      </c>
      <c r="G5532" s="94" t="inlineStr">
        <is>
          <t>250ml</t>
        </is>
      </c>
      <c r="H5532" s="7" t="n">
        <v>190801</v>
      </c>
      <c r="I5532" s="7" t="n">
        <v>190801</v>
      </c>
      <c r="J5532" s="94" t="n"/>
      <c r="K5532" s="6" t="n">
        <v>4</v>
      </c>
      <c r="L5532" s="92" t="n">
        <v>190801</v>
      </c>
      <c r="M5532" s="94">
        <f>VLOOKUP($Q5532,매칭테이블!$F:$I,2,0)*K5532</f>
        <v/>
      </c>
      <c r="N5532" s="94">
        <f>M5532-M5532*VLOOKUP($Q5532,매칭테이블!$F:$I,3,0)</f>
        <v/>
      </c>
      <c r="O5532" s="94">
        <f>VLOOKUP($Q5532,매칭테이블!$F:$I,4,0)*K5532</f>
        <v/>
      </c>
      <c r="P5532" s="148">
        <f>M5532/1.1</f>
        <v/>
      </c>
      <c r="Q5532" s="94">
        <f>F5532&amp;E5532&amp;G5532&amp;L5532</f>
        <v/>
      </c>
    </row>
    <row r="5533">
      <c r="A5533" s="94" t="n"/>
      <c r="B5533" s="128" t="n">
        <v>43932</v>
      </c>
      <c r="C5533" s="94">
        <f>TEXT(B5533,"aaa")</f>
        <v/>
      </c>
      <c r="D5533" s="94" t="n"/>
      <c r="E5533" s="94" t="inlineStr">
        <is>
          <t>머드크림마스크</t>
        </is>
      </c>
      <c r="F5533" s="94" t="inlineStr">
        <is>
          <t>카페24</t>
        </is>
      </c>
      <c r="G5533" s="94" t="inlineStr">
        <is>
          <t>머드크림마스크 100ml</t>
        </is>
      </c>
      <c r="H5533" s="7" t="n">
        <v>190801</v>
      </c>
      <c r="I5533" s="7" t="n">
        <v>190801</v>
      </c>
      <c r="J5533" s="94" t="n"/>
      <c r="K5533" s="6" t="n">
        <v>11</v>
      </c>
      <c r="L5533" s="94" t="n">
        <v>190801</v>
      </c>
      <c r="M5533" s="94">
        <f>VLOOKUP($Q5533,매칭테이블!$F:$I,2,0)*K5533</f>
        <v/>
      </c>
      <c r="N5533" s="94">
        <f>M5533-M5533*VLOOKUP($Q5533,매칭테이블!$F:$I,3,0)</f>
        <v/>
      </c>
      <c r="O5533" s="94">
        <f>VLOOKUP($Q5533,매칭테이블!$F:$I,4,0)*K5533</f>
        <v/>
      </c>
      <c r="P5533" s="148">
        <f>M5533/1.1</f>
        <v/>
      </c>
      <c r="Q5533" s="94">
        <f>F5533&amp;E5533&amp;G5533&amp;L5533</f>
        <v/>
      </c>
    </row>
    <row r="5534">
      <c r="A5534" s="94" t="n"/>
      <c r="B5534" s="128" t="n">
        <v>43932</v>
      </c>
      <c r="C5534" s="94">
        <f>TEXT(B5534,"aaa")</f>
        <v/>
      </c>
      <c r="D5534" s="94" t="n"/>
      <c r="E5534" s="94" t="inlineStr">
        <is>
          <t>머드크림마스크</t>
        </is>
      </c>
      <c r="F5534" s="94" t="inlineStr">
        <is>
          <t>카페24</t>
        </is>
      </c>
      <c r="G5534" s="94" t="inlineStr">
        <is>
          <t>머드크림마스크 100ml 2set</t>
        </is>
      </c>
      <c r="H5534" s="7" t="n">
        <v>190801</v>
      </c>
      <c r="I5534" s="7" t="n">
        <v>190801</v>
      </c>
      <c r="J5534" s="94" t="n"/>
      <c r="K5534" s="6" t="n">
        <v>3</v>
      </c>
      <c r="L5534" s="94" t="n">
        <v>190801</v>
      </c>
      <c r="M5534" s="94">
        <f>VLOOKUP($Q5534,매칭테이블!$F:$I,2,0)*K5534</f>
        <v/>
      </c>
      <c r="N5534" s="94">
        <f>M5534-M5534*VLOOKUP($Q5534,매칭테이블!$F:$I,3,0)</f>
        <v/>
      </c>
      <c r="O5534" s="94">
        <f>VLOOKUP($Q5534,매칭테이블!$F:$I,4,0)*K5534</f>
        <v/>
      </c>
      <c r="P5534" s="148">
        <f>M5534/1.1</f>
        <v/>
      </c>
      <c r="Q5534" s="94">
        <f>F5534&amp;E5534&amp;G5534&amp;L5534</f>
        <v/>
      </c>
    </row>
    <row r="5535">
      <c r="A5535" s="94" t="n"/>
      <c r="B5535" s="128" t="n">
        <v>43932</v>
      </c>
      <c r="C5535" s="94">
        <f>TEXT(B5535,"aaa")</f>
        <v/>
      </c>
      <c r="D5535" s="94" t="n"/>
      <c r="E5535" s="94" t="inlineStr">
        <is>
          <t>마스크팩</t>
        </is>
      </c>
      <c r="F5535" s="94" t="inlineStr">
        <is>
          <t>카페24</t>
        </is>
      </c>
      <c r="G5535" s="94" t="inlineStr">
        <is>
          <t>마스크팩 10매</t>
        </is>
      </c>
      <c r="H5535" s="7" t="n">
        <v>190801</v>
      </c>
      <c r="I5535" s="7" t="n">
        <v>190801</v>
      </c>
      <c r="J5535" s="94" t="n"/>
      <c r="K5535" s="6" t="n">
        <v>7</v>
      </c>
      <c r="L5535" s="94" t="n">
        <v>190801</v>
      </c>
      <c r="M5535" s="94">
        <f>VLOOKUP($Q5535,매칭테이블!$F:$I,2,0)*K5535</f>
        <v/>
      </c>
      <c r="N5535" s="94">
        <f>M5535-M5535*VLOOKUP($Q5535,매칭테이블!$F:$I,3,0)</f>
        <v/>
      </c>
      <c r="O5535" s="94">
        <f>VLOOKUP($Q5535,매칭테이블!$F:$I,4,0)*K5535</f>
        <v/>
      </c>
      <c r="P5535" s="148">
        <f>M5535/1.1</f>
        <v/>
      </c>
      <c r="Q5535" s="94">
        <f>F5535&amp;E5535&amp;G5535&amp;L5535</f>
        <v/>
      </c>
    </row>
    <row r="5536">
      <c r="A5536" s="94" t="n"/>
      <c r="B5536" s="128" t="n">
        <v>43932</v>
      </c>
      <c r="C5536" s="94">
        <f>TEXT(B5536,"aaa")</f>
        <v/>
      </c>
      <c r="D5536" s="94" t="n"/>
      <c r="E5536" s="6" t="inlineStr">
        <is>
          <t>토너</t>
        </is>
      </c>
      <c r="F5536" s="5" t="inlineStr">
        <is>
          <t>카페24</t>
        </is>
      </c>
      <c r="G5536" s="5" t="inlineStr">
        <is>
          <t>250ml</t>
        </is>
      </c>
      <c r="H5536" s="7" t="n">
        <v>190801</v>
      </c>
      <c r="I5536" s="7" t="n">
        <v>190801</v>
      </c>
      <c r="J5536" s="94" t="n"/>
      <c r="K5536" s="6" t="n">
        <v>61</v>
      </c>
      <c r="L5536" s="7" t="n">
        <v>190801</v>
      </c>
      <c r="M5536" s="94">
        <f>VLOOKUP($Q5536,매칭테이블!$F:$I,2,0)*K5536</f>
        <v/>
      </c>
      <c r="N5536" s="94">
        <f>M5536-M5536*VLOOKUP($Q5536,매칭테이블!$F:$I,3,0)</f>
        <v/>
      </c>
      <c r="O5536" s="94">
        <f>VLOOKUP($Q5536,매칭테이블!$F:$I,4,0)*K5536</f>
        <v/>
      </c>
      <c r="P5536" s="148">
        <f>M5536/1.1</f>
        <v/>
      </c>
      <c r="Q5536" s="94">
        <f>F5536&amp;E5536&amp;G5536&amp;L5536</f>
        <v/>
      </c>
    </row>
    <row r="5537">
      <c r="A5537" s="94" t="n"/>
      <c r="B5537" s="128" t="n">
        <v>43932</v>
      </c>
      <c r="C5537" s="94">
        <f>TEXT(B5537,"aaa")</f>
        <v/>
      </c>
      <c r="D5537" s="94" t="n"/>
      <c r="E5537" s="6" t="inlineStr">
        <is>
          <t>토너</t>
        </is>
      </c>
      <c r="F5537" s="5" t="inlineStr">
        <is>
          <t>카페24</t>
        </is>
      </c>
      <c r="G5537" s="5" t="inlineStr">
        <is>
          <t>250ml 2set</t>
        </is>
      </c>
      <c r="H5537" s="7" t="n">
        <v>190801</v>
      </c>
      <c r="I5537" s="7" t="n">
        <v>190801</v>
      </c>
      <c r="J5537" s="94" t="n"/>
      <c r="K5537" s="6" t="n">
        <v>52</v>
      </c>
      <c r="L5537" s="7" t="n">
        <v>190801</v>
      </c>
      <c r="M5537" s="94">
        <f>VLOOKUP($Q5537,매칭테이블!$F:$I,2,0)*K5537</f>
        <v/>
      </c>
      <c r="N5537" s="94">
        <f>M5537-M5537*VLOOKUP($Q5537,매칭테이블!$F:$I,3,0)</f>
        <v/>
      </c>
      <c r="O5537" s="94">
        <f>VLOOKUP($Q5537,매칭테이블!$F:$I,4,0)*K5537</f>
        <v/>
      </c>
      <c r="P5537" s="148">
        <f>M5537/1.1</f>
        <v/>
      </c>
      <c r="Q5537" s="94">
        <f>F5537&amp;E5537&amp;G5537&amp;L5537</f>
        <v/>
      </c>
    </row>
    <row r="5538">
      <c r="A5538" s="94" t="n"/>
      <c r="B5538" s="128" t="n">
        <v>43932</v>
      </c>
      <c r="C5538" s="94">
        <f>TEXT(B5538,"aaa")</f>
        <v/>
      </c>
      <c r="D5538" s="94" t="n"/>
      <c r="E5538" s="6" t="inlineStr">
        <is>
          <t>토너</t>
        </is>
      </c>
      <c r="F5538" s="5" t="inlineStr">
        <is>
          <t>카페24</t>
        </is>
      </c>
      <c r="G5538" s="5" t="inlineStr">
        <is>
          <t>500ml</t>
        </is>
      </c>
      <c r="H5538" s="7" t="n">
        <v>190801</v>
      </c>
      <c r="I5538" s="7" t="n">
        <v>190801</v>
      </c>
      <c r="J5538" s="94" t="n"/>
      <c r="K5538" s="6" t="n">
        <v>45</v>
      </c>
      <c r="L5538" s="7" t="n">
        <v>190801</v>
      </c>
      <c r="M5538" s="94">
        <f>VLOOKUP($Q5538,매칭테이블!$F:$I,2,0)*K5538</f>
        <v/>
      </c>
      <c r="N5538" s="94">
        <f>M5538-M5538*VLOOKUP($Q5538,매칭테이블!$F:$I,3,0)</f>
        <v/>
      </c>
      <c r="O5538" s="94">
        <f>VLOOKUP($Q5538,매칭테이블!$F:$I,4,0)*K5538</f>
        <v/>
      </c>
      <c r="P5538" s="148">
        <f>M5538/1.1</f>
        <v/>
      </c>
      <c r="Q5538" s="94">
        <f>F5538&amp;E5538&amp;G5538&amp;L5538</f>
        <v/>
      </c>
    </row>
    <row r="5539">
      <c r="A5539" s="94" t="n"/>
      <c r="B5539" s="128" t="n">
        <v>43932</v>
      </c>
      <c r="C5539" s="94">
        <f>TEXT(B5539,"aaa")</f>
        <v/>
      </c>
      <c r="D5539" s="94" t="n"/>
      <c r="E5539" s="6" t="inlineStr">
        <is>
          <t>토너</t>
        </is>
      </c>
      <c r="F5539" s="5" t="inlineStr">
        <is>
          <t>카페24</t>
        </is>
      </c>
      <c r="G5539" s="94" t="inlineStr">
        <is>
          <t>스킨팩 화장솜 60P</t>
        </is>
      </c>
      <c r="H5539" s="7" t="n">
        <v>190801</v>
      </c>
      <c r="I5539" s="7" t="n">
        <v>190801</v>
      </c>
      <c r="J5539" s="94" t="n"/>
      <c r="K5539" s="6" t="n">
        <v>56</v>
      </c>
      <c r="L5539" s="7" t="n">
        <v>190801</v>
      </c>
      <c r="M5539" s="94">
        <f>VLOOKUP($Q5539,매칭테이블!$F:$I,2,0)*K5539</f>
        <v/>
      </c>
      <c r="N5539" s="94">
        <f>M5539-M5539*VLOOKUP($Q5539,매칭테이블!$F:$I,3,0)</f>
        <v/>
      </c>
      <c r="O5539" s="94">
        <f>VLOOKUP($Q5539,매칭테이블!$F:$I,4,0)*K5539</f>
        <v/>
      </c>
      <c r="P5539" s="148">
        <f>M5539/1.1</f>
        <v/>
      </c>
      <c r="Q5539" s="94">
        <f>F5539&amp;E5539&amp;G5539&amp;L5539</f>
        <v/>
      </c>
    </row>
    <row r="5540">
      <c r="A5540" s="94" t="n"/>
      <c r="B5540" s="128" t="n">
        <v>43932</v>
      </c>
      <c r="C5540" s="94">
        <f>TEXT(B5540,"aaa")</f>
        <v/>
      </c>
      <c r="D5540" s="94" t="n"/>
      <c r="E5540" s="94" t="inlineStr">
        <is>
          <t>앰플</t>
        </is>
      </c>
      <c r="F5540" s="5" t="inlineStr">
        <is>
          <t>카페24</t>
        </is>
      </c>
      <c r="G5540" s="94" t="inlineStr">
        <is>
          <t>앰플 30ml</t>
        </is>
      </c>
      <c r="H5540" s="7" t="n">
        <v>190801</v>
      </c>
      <c r="I5540" s="7" t="n">
        <v>190801</v>
      </c>
      <c r="J5540" s="94" t="n"/>
      <c r="K5540" s="6" t="n">
        <v>10</v>
      </c>
      <c r="L5540" s="94" t="n">
        <v>190801</v>
      </c>
      <c r="M5540" s="94">
        <f>VLOOKUP($Q5540,매칭테이블!$F:$I,2,0)*K5540</f>
        <v/>
      </c>
      <c r="N5540" s="94">
        <f>M5540-M5540*VLOOKUP($Q5540,매칭테이블!$F:$I,3,0)</f>
        <v/>
      </c>
      <c r="O5540" s="94">
        <f>VLOOKUP($Q5540,매칭테이블!$F:$I,4,0)*K5540</f>
        <v/>
      </c>
      <c r="P5540" s="148">
        <f>M5540/1.1</f>
        <v/>
      </c>
      <c r="Q5540" s="94">
        <f>F5540&amp;E5540&amp;G5540&amp;L5540</f>
        <v/>
      </c>
    </row>
    <row r="5541">
      <c r="A5541" s="94" t="n"/>
      <c r="B5541" s="128" t="n">
        <v>43932</v>
      </c>
      <c r="C5541" s="94">
        <f>TEXT(B5541,"aaa")</f>
        <v/>
      </c>
      <c r="D5541" s="94" t="n"/>
      <c r="E5541" s="94" t="inlineStr">
        <is>
          <t>수딩크림</t>
        </is>
      </c>
      <c r="F5541" s="5" t="inlineStr">
        <is>
          <t>카페24</t>
        </is>
      </c>
      <c r="G5541" s="94" t="inlineStr">
        <is>
          <t>수딩크림 100ml</t>
        </is>
      </c>
      <c r="H5541" s="7" t="n">
        <v>190801</v>
      </c>
      <c r="I5541" s="7" t="n">
        <v>190801</v>
      </c>
      <c r="J5541" s="94" t="n"/>
      <c r="K5541" s="6" t="n">
        <v>3</v>
      </c>
      <c r="L5541" s="94" t="n">
        <v>190801</v>
      </c>
      <c r="M5541" s="94">
        <f>VLOOKUP($Q5541,매칭테이블!$F:$I,2,0)*K5541</f>
        <v/>
      </c>
      <c r="N5541" s="94">
        <f>M5541-M5541*VLOOKUP($Q5541,매칭테이블!$F:$I,3,0)</f>
        <v/>
      </c>
      <c r="O5541" s="94">
        <f>VLOOKUP($Q5541,매칭테이블!$F:$I,4,0)*K5541</f>
        <v/>
      </c>
      <c r="P5541" s="148">
        <f>M5541/1.1</f>
        <v/>
      </c>
      <c r="Q5541" s="94">
        <f>F5541&amp;E5541&amp;G5541&amp;L5541</f>
        <v/>
      </c>
    </row>
    <row r="5542">
      <c r="A5542" s="94" t="n"/>
      <c r="B5542" s="128" t="n">
        <v>43933</v>
      </c>
      <c r="C5542" s="94">
        <f>TEXT(B5542,"aaa")</f>
        <v/>
      </c>
      <c r="D5542" s="94" t="n"/>
      <c r="E5542" s="94" t="inlineStr">
        <is>
          <t>토너</t>
        </is>
      </c>
      <c r="F5542" s="5" t="inlineStr">
        <is>
          <t>스타일쉐어</t>
        </is>
      </c>
      <c r="G5542" s="94" t="inlineStr">
        <is>
          <t>250ml</t>
        </is>
      </c>
      <c r="H5542" s="7" t="n">
        <v>190801</v>
      </c>
      <c r="I5542" s="7" t="n">
        <v>190801</v>
      </c>
      <c r="J5542" s="94" t="n"/>
      <c r="K5542" s="6" t="n">
        <v>3</v>
      </c>
      <c r="L5542" s="92" t="n">
        <v>190801</v>
      </c>
      <c r="M5542" s="94">
        <f>VLOOKUP($Q5542,매칭테이블!$F:$I,2,0)*K5542</f>
        <v/>
      </c>
      <c r="N5542" s="94">
        <f>M5542-M5542*VLOOKUP($Q5542,매칭테이블!$F:$I,3,0)</f>
        <v/>
      </c>
      <c r="O5542" s="94">
        <f>VLOOKUP($Q5542,매칭테이블!$F:$I,4,0)*K5542</f>
        <v/>
      </c>
      <c r="P5542" s="148">
        <f>M5542/1.1</f>
        <v/>
      </c>
      <c r="Q5542" s="94">
        <f>F5542&amp;E5542&amp;G5542&amp;L5542</f>
        <v/>
      </c>
    </row>
    <row r="5543">
      <c r="A5543" s="94" t="n"/>
      <c r="B5543" s="128" t="n">
        <v>43933</v>
      </c>
      <c r="C5543" s="94">
        <f>TEXT(B5543,"aaa")</f>
        <v/>
      </c>
      <c r="D5543" s="94" t="n"/>
      <c r="E5543" s="94" t="inlineStr">
        <is>
          <t>머드크림마스크</t>
        </is>
      </c>
      <c r="F5543" s="94" t="inlineStr">
        <is>
          <t>카페24</t>
        </is>
      </c>
      <c r="G5543" s="94" t="inlineStr">
        <is>
          <t>머드크림마스크 100ml</t>
        </is>
      </c>
      <c r="H5543" s="7" t="n">
        <v>190801</v>
      </c>
      <c r="I5543" s="7" t="n">
        <v>190801</v>
      </c>
      <c r="J5543" s="94" t="n"/>
      <c r="K5543" s="6" t="n">
        <v>20</v>
      </c>
      <c r="L5543" s="94" t="n">
        <v>190801</v>
      </c>
      <c r="M5543" s="94">
        <f>VLOOKUP($Q5543,매칭테이블!$F:$I,2,0)*K5543</f>
        <v/>
      </c>
      <c r="N5543" s="94">
        <f>M5543-M5543*VLOOKUP($Q5543,매칭테이블!$F:$I,3,0)</f>
        <v/>
      </c>
      <c r="O5543" s="94">
        <f>VLOOKUP($Q5543,매칭테이블!$F:$I,4,0)*K5543</f>
        <v/>
      </c>
      <c r="P5543" s="148">
        <f>M5543/1.1</f>
        <v/>
      </c>
      <c r="Q5543" s="94">
        <f>F5543&amp;E5543&amp;G5543&amp;L5543</f>
        <v/>
      </c>
    </row>
    <row r="5544">
      <c r="A5544" s="94" t="n"/>
      <c r="B5544" s="128" t="n">
        <v>43933</v>
      </c>
      <c r="C5544" s="94">
        <f>TEXT(B5544,"aaa")</f>
        <v/>
      </c>
      <c r="D5544" s="94" t="n"/>
      <c r="E5544" s="94" t="inlineStr">
        <is>
          <t>머드크림마스크</t>
        </is>
      </c>
      <c r="F5544" s="94" t="inlineStr">
        <is>
          <t>카페24</t>
        </is>
      </c>
      <c r="G5544" s="94" t="inlineStr">
        <is>
          <t>머드크림마스크 100ml 2set</t>
        </is>
      </c>
      <c r="H5544" s="7" t="n">
        <v>190801</v>
      </c>
      <c r="I5544" s="7" t="n">
        <v>190801</v>
      </c>
      <c r="J5544" s="94" t="n"/>
      <c r="K5544" s="6" t="n">
        <v>7</v>
      </c>
      <c r="L5544" s="94" t="n">
        <v>190801</v>
      </c>
      <c r="M5544" s="94">
        <f>VLOOKUP($Q5544,매칭테이블!$F:$I,2,0)*K5544</f>
        <v/>
      </c>
      <c r="N5544" s="94">
        <f>M5544-M5544*VLOOKUP($Q5544,매칭테이블!$F:$I,3,0)</f>
        <v/>
      </c>
      <c r="O5544" s="94">
        <f>VLOOKUP($Q5544,매칭테이블!$F:$I,4,0)*K5544</f>
        <v/>
      </c>
      <c r="P5544" s="148">
        <f>M5544/1.1</f>
        <v/>
      </c>
      <c r="Q5544" s="94">
        <f>F5544&amp;E5544&amp;G5544&amp;L5544</f>
        <v/>
      </c>
    </row>
    <row r="5545">
      <c r="A5545" s="94" t="n"/>
      <c r="B5545" s="128" t="n">
        <v>43933</v>
      </c>
      <c r="C5545" s="94">
        <f>TEXT(B5545,"aaa")</f>
        <v/>
      </c>
      <c r="D5545" s="94" t="n"/>
      <c r="E5545" s="94" t="inlineStr">
        <is>
          <t>마스크팩</t>
        </is>
      </c>
      <c r="F5545" s="94" t="inlineStr">
        <is>
          <t>카페24</t>
        </is>
      </c>
      <c r="G5545" s="94" t="inlineStr">
        <is>
          <t>마스크팩 1매</t>
        </is>
      </c>
      <c r="H5545" s="7" t="n">
        <v>190801</v>
      </c>
      <c r="I5545" s="7" t="n">
        <v>190801</v>
      </c>
      <c r="J5545" s="94" t="n"/>
      <c r="K5545" s="6" t="n">
        <v>3</v>
      </c>
      <c r="L5545" s="94" t="n">
        <v>190801</v>
      </c>
      <c r="M5545" s="94">
        <f>VLOOKUP($Q5545,매칭테이블!$F:$I,2,0)*K5545</f>
        <v/>
      </c>
      <c r="N5545" s="94">
        <f>M5545-M5545*VLOOKUP($Q5545,매칭테이블!$F:$I,3,0)</f>
        <v/>
      </c>
      <c r="O5545" s="94">
        <f>VLOOKUP($Q5545,매칭테이블!$F:$I,4,0)*K5545</f>
        <v/>
      </c>
      <c r="P5545" s="148">
        <f>M5545/1.1</f>
        <v/>
      </c>
      <c r="Q5545" s="94">
        <f>F5545&amp;E5545&amp;G5545&amp;L5545</f>
        <v/>
      </c>
    </row>
    <row r="5546">
      <c r="A5546" s="94" t="n"/>
      <c r="B5546" s="128" t="n">
        <v>43933</v>
      </c>
      <c r="C5546" s="94">
        <f>TEXT(B5546,"aaa")</f>
        <v/>
      </c>
      <c r="D5546" s="94" t="n"/>
      <c r="E5546" s="94" t="inlineStr">
        <is>
          <t>마스크팩</t>
        </is>
      </c>
      <c r="F5546" s="94" t="inlineStr">
        <is>
          <t>카페24</t>
        </is>
      </c>
      <c r="G5546" s="94" t="inlineStr">
        <is>
          <t>마스크팩 10매</t>
        </is>
      </c>
      <c r="H5546" s="7" t="n">
        <v>190801</v>
      </c>
      <c r="I5546" s="7" t="n">
        <v>190801</v>
      </c>
      <c r="J5546" s="94" t="n"/>
      <c r="K5546" s="6" t="n">
        <v>2</v>
      </c>
      <c r="L5546" s="94" t="n">
        <v>190801</v>
      </c>
      <c r="M5546" s="94">
        <f>VLOOKUP($Q5546,매칭테이블!$F:$I,2,0)*K5546</f>
        <v/>
      </c>
      <c r="N5546" s="94">
        <f>M5546-M5546*VLOOKUP($Q5546,매칭테이블!$F:$I,3,0)</f>
        <v/>
      </c>
      <c r="O5546" s="94">
        <f>VLOOKUP($Q5546,매칭테이블!$F:$I,4,0)*K5546</f>
        <v/>
      </c>
      <c r="P5546" s="148">
        <f>M5546/1.1</f>
        <v/>
      </c>
      <c r="Q5546" s="94">
        <f>F5546&amp;E5546&amp;G5546&amp;L5546</f>
        <v/>
      </c>
    </row>
    <row r="5547">
      <c r="A5547" s="94" t="n"/>
      <c r="B5547" s="128" t="n">
        <v>43933</v>
      </c>
      <c r="C5547" s="94">
        <f>TEXT(B5547,"aaa")</f>
        <v/>
      </c>
      <c r="D5547" s="94" t="n"/>
      <c r="E5547" s="6" t="inlineStr">
        <is>
          <t>토너</t>
        </is>
      </c>
      <c r="F5547" s="5" t="inlineStr">
        <is>
          <t>카페24</t>
        </is>
      </c>
      <c r="G5547" s="5" t="inlineStr">
        <is>
          <t>250ml</t>
        </is>
      </c>
      <c r="H5547" s="7" t="n">
        <v>190801</v>
      </c>
      <c r="I5547" s="7" t="n">
        <v>190801</v>
      </c>
      <c r="J5547" s="94" t="n"/>
      <c r="K5547" s="6" t="n">
        <v>75</v>
      </c>
      <c r="L5547" s="7" t="n">
        <v>190801</v>
      </c>
      <c r="M5547" s="94">
        <f>VLOOKUP($Q5547,매칭테이블!$F:$I,2,0)*K5547</f>
        <v/>
      </c>
      <c r="N5547" s="94">
        <f>M5547-M5547*VLOOKUP($Q5547,매칭테이블!$F:$I,3,0)</f>
        <v/>
      </c>
      <c r="O5547" s="94">
        <f>VLOOKUP($Q5547,매칭테이블!$F:$I,4,0)*K5547</f>
        <v/>
      </c>
      <c r="P5547" s="148">
        <f>M5547/1.1</f>
        <v/>
      </c>
      <c r="Q5547" s="94">
        <f>F5547&amp;E5547&amp;G5547&amp;L5547</f>
        <v/>
      </c>
    </row>
    <row r="5548">
      <c r="A5548" s="94" t="n"/>
      <c r="B5548" s="128" t="n">
        <v>43933</v>
      </c>
      <c r="C5548" s="94">
        <f>TEXT(B5548,"aaa")</f>
        <v/>
      </c>
      <c r="D5548" s="94" t="n"/>
      <c r="E5548" s="6" t="inlineStr">
        <is>
          <t>토너</t>
        </is>
      </c>
      <c r="F5548" s="5" t="inlineStr">
        <is>
          <t>카페24</t>
        </is>
      </c>
      <c r="G5548" s="5" t="inlineStr">
        <is>
          <t>250ml 2set</t>
        </is>
      </c>
      <c r="H5548" s="7" t="n">
        <v>190801</v>
      </c>
      <c r="I5548" s="7" t="n">
        <v>190801</v>
      </c>
      <c r="J5548" s="94" t="n"/>
      <c r="K5548" s="6" t="n">
        <v>57</v>
      </c>
      <c r="L5548" s="7" t="n">
        <v>190801</v>
      </c>
      <c r="M5548" s="94">
        <f>VLOOKUP($Q5548,매칭테이블!$F:$I,2,0)*K5548</f>
        <v/>
      </c>
      <c r="N5548" s="94">
        <f>M5548-M5548*VLOOKUP($Q5548,매칭테이블!$F:$I,3,0)</f>
        <v/>
      </c>
      <c r="O5548" s="94">
        <f>VLOOKUP($Q5548,매칭테이블!$F:$I,4,0)*K5548</f>
        <v/>
      </c>
      <c r="P5548" s="148">
        <f>M5548/1.1</f>
        <v/>
      </c>
      <c r="Q5548" s="94">
        <f>F5548&amp;E5548&amp;G5548&amp;L5548</f>
        <v/>
      </c>
    </row>
    <row r="5549">
      <c r="A5549" s="94" t="n"/>
      <c r="B5549" s="128" t="n">
        <v>43933</v>
      </c>
      <c r="C5549" s="94">
        <f>TEXT(B5549,"aaa")</f>
        <v/>
      </c>
      <c r="D5549" s="94" t="n"/>
      <c r="E5549" s="6" t="inlineStr">
        <is>
          <t>토너</t>
        </is>
      </c>
      <c r="F5549" s="5" t="inlineStr">
        <is>
          <t>카페24</t>
        </is>
      </c>
      <c r="G5549" s="5" t="inlineStr">
        <is>
          <t>500ml</t>
        </is>
      </c>
      <c r="H5549" s="7" t="n">
        <v>190801</v>
      </c>
      <c r="I5549" s="7" t="n">
        <v>190801</v>
      </c>
      <c r="J5549" s="94" t="n"/>
      <c r="K5549" s="6" t="n">
        <v>76</v>
      </c>
      <c r="L5549" s="7" t="n">
        <v>190801</v>
      </c>
      <c r="M5549" s="94">
        <f>VLOOKUP($Q5549,매칭테이블!$F:$I,2,0)*K5549</f>
        <v/>
      </c>
      <c r="N5549" s="94">
        <f>M5549-M5549*VLOOKUP($Q5549,매칭테이블!$F:$I,3,0)</f>
        <v/>
      </c>
      <c r="O5549" s="94">
        <f>VLOOKUP($Q5549,매칭테이블!$F:$I,4,0)*K5549</f>
        <v/>
      </c>
      <c r="P5549" s="148">
        <f>M5549/1.1</f>
        <v/>
      </c>
      <c r="Q5549" s="94">
        <f>F5549&amp;E5549&amp;G5549&amp;L5549</f>
        <v/>
      </c>
    </row>
    <row r="5550">
      <c r="A5550" s="94" t="n"/>
      <c r="B5550" s="128" t="n">
        <v>43933</v>
      </c>
      <c r="C5550" s="94">
        <f>TEXT(B5550,"aaa")</f>
        <v/>
      </c>
      <c r="D5550" s="94" t="n"/>
      <c r="E5550" s="6" t="inlineStr">
        <is>
          <t>토너</t>
        </is>
      </c>
      <c r="F5550" s="5" t="inlineStr">
        <is>
          <t>카페24</t>
        </is>
      </c>
      <c r="G5550" s="94" t="inlineStr">
        <is>
          <t>스킨팩 화장솜 60P</t>
        </is>
      </c>
      <c r="H5550" s="7" t="n">
        <v>190801</v>
      </c>
      <c r="I5550" s="7" t="n">
        <v>190801</v>
      </c>
      <c r="J5550" s="94" t="n"/>
      <c r="K5550" s="6" t="n">
        <v>79</v>
      </c>
      <c r="L5550" s="7" t="n">
        <v>190801</v>
      </c>
      <c r="M5550" s="94">
        <f>VLOOKUP($Q5550,매칭테이블!$F:$I,2,0)*K5550</f>
        <v/>
      </c>
      <c r="N5550" s="94">
        <f>M5550-M5550*VLOOKUP($Q5550,매칭테이블!$F:$I,3,0)</f>
        <v/>
      </c>
      <c r="O5550" s="94">
        <f>VLOOKUP($Q5550,매칭테이블!$F:$I,4,0)*K5550</f>
        <v/>
      </c>
      <c r="P5550" s="148">
        <f>M5550/1.1</f>
        <v/>
      </c>
      <c r="Q5550" s="94">
        <f>F5550&amp;E5550&amp;G5550&amp;L5550</f>
        <v/>
      </c>
    </row>
    <row r="5551">
      <c r="A5551" s="94" t="n"/>
      <c r="B5551" s="128" t="n">
        <v>43933</v>
      </c>
      <c r="C5551" s="94">
        <f>TEXT(B5551,"aaa")</f>
        <v/>
      </c>
      <c r="D5551" s="94" t="n"/>
      <c r="E5551" s="94" t="inlineStr">
        <is>
          <t>앰플</t>
        </is>
      </c>
      <c r="F5551" s="5" t="inlineStr">
        <is>
          <t>카페24</t>
        </is>
      </c>
      <c r="G5551" s="94" t="inlineStr">
        <is>
          <t>앰플 30ml</t>
        </is>
      </c>
      <c r="H5551" s="7" t="n">
        <v>190801</v>
      </c>
      <c r="I5551" s="7" t="n">
        <v>190801</v>
      </c>
      <c r="J5551" s="94" t="n"/>
      <c r="K5551" s="6" t="n">
        <v>19</v>
      </c>
      <c r="L5551" s="94" t="n">
        <v>190801</v>
      </c>
      <c r="M5551" s="94">
        <f>VLOOKUP($Q5551,매칭테이블!$F:$I,2,0)*K5551</f>
        <v/>
      </c>
      <c r="N5551" s="94">
        <f>M5551-M5551*VLOOKUP($Q5551,매칭테이블!$F:$I,3,0)</f>
        <v/>
      </c>
      <c r="O5551" s="94">
        <f>VLOOKUP($Q5551,매칭테이블!$F:$I,4,0)*K5551</f>
        <v/>
      </c>
      <c r="P5551" s="148">
        <f>M5551/1.1</f>
        <v/>
      </c>
      <c r="Q5551" s="94">
        <f>F5551&amp;E5551&amp;G5551&amp;L5551</f>
        <v/>
      </c>
    </row>
    <row r="5552">
      <c r="A5552" s="94" t="n"/>
      <c r="B5552" s="128" t="n">
        <v>43933</v>
      </c>
      <c r="C5552" s="94">
        <f>TEXT(B5552,"aaa")</f>
        <v/>
      </c>
      <c r="D5552" s="94" t="n"/>
      <c r="E5552" s="94" t="inlineStr">
        <is>
          <t>수딩크림</t>
        </is>
      </c>
      <c r="F5552" s="5" t="inlineStr">
        <is>
          <t>카페24</t>
        </is>
      </c>
      <c r="G5552" s="94" t="inlineStr">
        <is>
          <t>수딩크림 100ml</t>
        </is>
      </c>
      <c r="H5552" s="7" t="n">
        <v>190801</v>
      </c>
      <c r="I5552" s="7" t="n">
        <v>190801</v>
      </c>
      <c r="J5552" s="94" t="n"/>
      <c r="K5552" s="6" t="n">
        <v>6</v>
      </c>
      <c r="L5552" s="94" t="n">
        <v>190801</v>
      </c>
      <c r="M5552" s="94">
        <f>VLOOKUP($Q5552,매칭테이블!$F:$I,2,0)*K5552</f>
        <v/>
      </c>
      <c r="N5552" s="94">
        <f>M5552-M5552*VLOOKUP($Q5552,매칭테이블!$F:$I,3,0)</f>
        <v/>
      </c>
      <c r="O5552" s="94">
        <f>VLOOKUP($Q5552,매칭테이블!$F:$I,4,0)*K5552</f>
        <v/>
      </c>
      <c r="P5552" s="148">
        <f>M5552/1.1</f>
        <v/>
      </c>
      <c r="Q5552" s="94">
        <f>F5552&amp;E5552&amp;G5552&amp;L5552</f>
        <v/>
      </c>
    </row>
    <row r="5553">
      <c r="A5553" s="94" t="n"/>
      <c r="B5553" s="128" t="n">
        <v>43933</v>
      </c>
      <c r="C5553" s="94">
        <f>TEXT(B5553,"aaa")</f>
        <v/>
      </c>
      <c r="D5553" s="94" t="n"/>
      <c r="E5553" s="94" t="inlineStr">
        <is>
          <t>토너+머드크림세트</t>
        </is>
      </c>
      <c r="F5553" s="94" t="inlineStr">
        <is>
          <t>카페24</t>
        </is>
      </c>
      <c r="G5553" s="94" t="inlineStr">
        <is>
          <t>250ml</t>
        </is>
      </c>
      <c r="H5553" s="7" t="n">
        <v>190801</v>
      </c>
      <c r="I5553" s="7" t="n">
        <v>190801</v>
      </c>
      <c r="J5553" s="94" t="n"/>
      <c r="K5553" s="6" t="n">
        <v>1</v>
      </c>
      <c r="L5553" s="94" t="n">
        <v>190801</v>
      </c>
      <c r="M5553" s="94">
        <f>VLOOKUP($Q5553,매칭테이블!$F:$I,2,0)*K5553</f>
        <v/>
      </c>
      <c r="N5553" s="94">
        <f>M5553-M5553*VLOOKUP($Q5553,매칭테이블!$F:$I,3,0)</f>
        <v/>
      </c>
      <c r="O5553" s="94">
        <f>VLOOKUP($Q5553,매칭테이블!$F:$I,4,0)*K5553</f>
        <v/>
      </c>
      <c r="P5553" s="148">
        <f>M5553/1.1</f>
        <v/>
      </c>
      <c r="Q5553" s="94">
        <f>F5553&amp;E5553&amp;G5553&amp;L5553</f>
        <v/>
      </c>
    </row>
    <row r="5554">
      <c r="A5554" s="94" t="n"/>
      <c r="B5554" s="128" t="n">
        <v>43933</v>
      </c>
      <c r="C5554" s="94">
        <f>TEXT(B5554,"aaa")</f>
        <v/>
      </c>
      <c r="D5554" s="94" t="n"/>
      <c r="E5554" s="94" t="inlineStr">
        <is>
          <t>토너+머드크림세트</t>
        </is>
      </c>
      <c r="F5554" s="94" t="inlineStr">
        <is>
          <t>카페24</t>
        </is>
      </c>
      <c r="G5554" s="94" t="inlineStr">
        <is>
          <t>머드크림마스크 100ml</t>
        </is>
      </c>
      <c r="H5554" s="7" t="n">
        <v>190801</v>
      </c>
      <c r="I5554" s="7" t="n">
        <v>190801</v>
      </c>
      <c r="J5554" s="94" t="n"/>
      <c r="K5554" s="6" t="n">
        <v>1</v>
      </c>
      <c r="L5554" s="94" t="n">
        <v>190801</v>
      </c>
      <c r="M5554" s="94">
        <f>VLOOKUP($Q5554,매칭테이블!$F:$I,2,0)*K5554</f>
        <v/>
      </c>
      <c r="N5554" s="94">
        <f>M5554-M5554*VLOOKUP($Q5554,매칭테이블!$F:$I,3,0)</f>
        <v/>
      </c>
      <c r="O5554" s="94">
        <f>VLOOKUP($Q5554,매칭테이블!$F:$I,4,0)*K5554</f>
        <v/>
      </c>
      <c r="P5554" s="148">
        <f>M5554/1.1</f>
        <v/>
      </c>
      <c r="Q5554" s="94">
        <f>F5554&amp;E5554&amp;G5554&amp;L5554</f>
        <v/>
      </c>
    </row>
    <row r="5555">
      <c r="A5555" s="94" t="n"/>
      <c r="B5555" s="128" t="n">
        <v>43933</v>
      </c>
      <c r="C5555" s="94">
        <f>TEXT(B5555,"aaa")</f>
        <v/>
      </c>
      <c r="D5555" s="94" t="n"/>
      <c r="E5555" s="6" t="inlineStr">
        <is>
          <t>토너</t>
        </is>
      </c>
      <c r="F5555" s="94" t="inlineStr">
        <is>
          <t>랄라블라</t>
        </is>
      </c>
      <c r="G5555" s="5" t="inlineStr">
        <is>
          <t>250ml</t>
        </is>
      </c>
      <c r="H5555" s="7" t="n">
        <v>190801</v>
      </c>
      <c r="I5555" s="7" t="n">
        <v>190801</v>
      </c>
      <c r="J5555" s="94" t="n"/>
      <c r="K5555" s="6" t="n">
        <v>592</v>
      </c>
      <c r="L5555" s="7" t="n">
        <v>190801</v>
      </c>
      <c r="M5555" s="94">
        <f>VLOOKUP($Q5555,매칭테이블!$F:$I,2,0)*K5555</f>
        <v/>
      </c>
      <c r="N5555" s="94">
        <f>M5555-M5555*VLOOKUP($Q5555,매칭테이블!$F:$I,3,0)</f>
        <v/>
      </c>
      <c r="O5555" s="94">
        <f>VLOOKUP($Q5555,매칭테이블!$F:$I,4,0)*K5555</f>
        <v/>
      </c>
      <c r="P5555" s="148">
        <f>M5555/1.1</f>
        <v/>
      </c>
      <c r="Q5555" s="94">
        <f>F5555&amp;E5555&amp;G5555&amp;L5555</f>
        <v/>
      </c>
    </row>
    <row r="5556">
      <c r="A5556" s="94" t="n"/>
      <c r="B5556" s="128" t="n">
        <v>43933</v>
      </c>
      <c r="C5556" s="94">
        <f>TEXT(B5556,"aaa")</f>
        <v/>
      </c>
      <c r="D5556" s="94" t="n"/>
      <c r="E5556" s="6" t="inlineStr">
        <is>
          <t>토너</t>
        </is>
      </c>
      <c r="F5556" s="94" t="inlineStr">
        <is>
          <t>랄라블라</t>
        </is>
      </c>
      <c r="G5556" s="5" t="inlineStr">
        <is>
          <t>500ml</t>
        </is>
      </c>
      <c r="H5556" s="7" t="n">
        <v>190801</v>
      </c>
      <c r="I5556" s="7" t="n">
        <v>190801</v>
      </c>
      <c r="J5556" s="94" t="n"/>
      <c r="K5556" s="6" t="n">
        <v>483</v>
      </c>
      <c r="L5556" s="7" t="n">
        <v>190801</v>
      </c>
      <c r="M5556" s="94">
        <f>VLOOKUP($Q5556,매칭테이블!$F:$I,2,0)*K5556</f>
        <v/>
      </c>
      <c r="N5556" s="94">
        <f>M5556-M5556*VLOOKUP($Q5556,매칭테이블!$F:$I,3,0)</f>
        <v/>
      </c>
      <c r="O5556" s="94">
        <f>VLOOKUP($Q5556,매칭테이블!$F:$I,4,0)*K5556</f>
        <v/>
      </c>
      <c r="P5556" s="148">
        <f>M5556/1.1</f>
        <v/>
      </c>
      <c r="Q5556" s="94">
        <f>F5556&amp;E5556&amp;G5556&amp;L5556</f>
        <v/>
      </c>
    </row>
    <row r="5557">
      <c r="A5557" s="94" t="n"/>
      <c r="B5557" s="128" t="n">
        <v>43933</v>
      </c>
      <c r="C5557" s="94">
        <f>TEXT(B5557,"aaa")</f>
        <v/>
      </c>
      <c r="D5557" s="94" t="n"/>
      <c r="E5557" s="94" t="inlineStr">
        <is>
          <t>마스크팩</t>
        </is>
      </c>
      <c r="F5557" s="94" t="inlineStr">
        <is>
          <t>랄라블라</t>
        </is>
      </c>
      <c r="G5557" s="94" t="inlineStr">
        <is>
          <t>마스크팩 1매</t>
        </is>
      </c>
      <c r="H5557" s="7" t="n">
        <v>190801</v>
      </c>
      <c r="I5557" s="7" t="n">
        <v>190801</v>
      </c>
      <c r="J5557" s="94" t="n"/>
      <c r="K5557" s="6" t="n">
        <v>655</v>
      </c>
      <c r="L5557" s="94" t="n">
        <v>190801</v>
      </c>
      <c r="M5557" s="94">
        <f>VLOOKUP($Q5557,매칭테이블!$F:$I,2,0)*K5557</f>
        <v/>
      </c>
      <c r="N5557" s="94">
        <f>M5557-M5557*VLOOKUP($Q5557,매칭테이블!$F:$I,3,0)</f>
        <v/>
      </c>
      <c r="O5557" s="94">
        <f>VLOOKUP($Q5557,매칭테이블!$F:$I,4,0)*K5557</f>
        <v/>
      </c>
      <c r="P5557" s="148">
        <f>M5557/1.1</f>
        <v/>
      </c>
      <c r="Q5557" s="94">
        <f>F5557&amp;E5557&amp;G5557&amp;L5557</f>
        <v/>
      </c>
    </row>
    <row r="5558">
      <c r="A5558" s="94" t="n"/>
      <c r="B5558" s="128" t="n">
        <v>43933</v>
      </c>
      <c r="C5558" s="94">
        <f>TEXT(B5558,"aaa")</f>
        <v/>
      </c>
      <c r="D5558" s="94" t="n"/>
      <c r="E5558" s="94" t="inlineStr">
        <is>
          <t>앰플</t>
        </is>
      </c>
      <c r="F5558" s="94" t="inlineStr">
        <is>
          <t>랄라블라</t>
        </is>
      </c>
      <c r="G5558" s="94" t="inlineStr">
        <is>
          <t>앰플 30ml</t>
        </is>
      </c>
      <c r="H5558" s="7" t="n">
        <v>190801</v>
      </c>
      <c r="I5558" s="7" t="n">
        <v>190801</v>
      </c>
      <c r="J5558" s="94" t="n"/>
      <c r="K5558" s="6" t="n">
        <v>3</v>
      </c>
      <c r="L5558" s="94" t="n">
        <v>190801</v>
      </c>
      <c r="M5558" s="94">
        <f>VLOOKUP($Q5558,매칭테이블!$F:$I,2,0)*K5558</f>
        <v/>
      </c>
      <c r="N5558" s="94">
        <f>M5558-M5558*VLOOKUP($Q5558,매칭테이블!$F:$I,3,0)</f>
        <v/>
      </c>
      <c r="O5558" s="94">
        <f>VLOOKUP($Q5558,매칭테이블!$F:$I,4,0)*K5558</f>
        <v/>
      </c>
      <c r="P5558" s="148">
        <f>M5558/1.1</f>
        <v/>
      </c>
      <c r="Q5558" s="94">
        <f>F5558&amp;E5558&amp;G5558&amp;L5558</f>
        <v/>
      </c>
    </row>
    <row r="5559">
      <c r="A5559" s="94" t="n"/>
      <c r="B5559" s="128" t="n">
        <v>43933</v>
      </c>
      <c r="C5559" s="94">
        <f>TEXT(B5559,"aaa")</f>
        <v/>
      </c>
      <c r="D5559" s="94" t="n"/>
      <c r="E5559" s="94" t="inlineStr">
        <is>
          <t>수딩크림</t>
        </is>
      </c>
      <c r="F5559" s="94" t="inlineStr">
        <is>
          <t>랄라블라</t>
        </is>
      </c>
      <c r="G5559" s="94" t="inlineStr">
        <is>
          <t>수딩크림 100ml</t>
        </is>
      </c>
      <c r="H5559" s="7" t="n">
        <v>190801</v>
      </c>
      <c r="I5559" s="7" t="n">
        <v>190801</v>
      </c>
      <c r="J5559" s="94" t="n"/>
      <c r="K5559" s="6" t="n">
        <v>11</v>
      </c>
      <c r="L5559" s="94" t="n">
        <v>190801</v>
      </c>
      <c r="M5559" s="94">
        <f>VLOOKUP($Q5559,매칭테이블!$F:$I,2,0)*K5559</f>
        <v/>
      </c>
      <c r="N5559" s="94">
        <f>M5559-M5559*VLOOKUP($Q5559,매칭테이블!$F:$I,3,0)</f>
        <v/>
      </c>
      <c r="O5559" s="94">
        <f>VLOOKUP($Q5559,매칭테이블!$F:$I,4,0)*K5559</f>
        <v/>
      </c>
      <c r="P5559" s="148">
        <f>M5559/1.1</f>
        <v/>
      </c>
      <c r="Q5559" s="94">
        <f>F5559&amp;E5559&amp;G5559&amp;L5559</f>
        <v/>
      </c>
    </row>
    <row r="5560">
      <c r="A5560" s="94" t="n"/>
      <c r="B5560" s="128" t="n">
        <v>43933</v>
      </c>
      <c r="C5560" s="94">
        <f>TEXT(B5560,"aaa")</f>
        <v/>
      </c>
      <c r="D5560" s="94" t="n"/>
      <c r="E5560" s="94" t="inlineStr">
        <is>
          <t>앰플 기획세트</t>
        </is>
      </c>
      <c r="F5560" s="94" t="inlineStr">
        <is>
          <t>랄라블라</t>
        </is>
      </c>
      <c r="G5560" s="94" t="inlineStr">
        <is>
          <t>앰플 기획세트</t>
        </is>
      </c>
      <c r="H5560" s="7" t="n">
        <v>190801</v>
      </c>
      <c r="I5560" s="7" t="n">
        <v>190801</v>
      </c>
      <c r="J5560" s="94" t="n"/>
      <c r="K5560" s="6" t="n">
        <v>116</v>
      </c>
      <c r="L5560" s="94" t="n">
        <v>190801</v>
      </c>
      <c r="M5560" s="94">
        <f>VLOOKUP($Q5560,매칭테이블!$F:$I,2,0)*K5560</f>
        <v/>
      </c>
      <c r="N5560" s="94">
        <f>M5560-M5560*VLOOKUP($Q5560,매칭테이블!$F:$I,3,0)</f>
        <v/>
      </c>
      <c r="O5560" s="94">
        <f>VLOOKUP($Q5560,매칭테이블!$F:$I,4,0)*K5560</f>
        <v/>
      </c>
      <c r="P5560" s="148">
        <f>M5560/1.1</f>
        <v/>
      </c>
      <c r="Q5560" s="94">
        <f>F5560&amp;E5560&amp;G5560&amp;L5560</f>
        <v/>
      </c>
    </row>
    <row r="5561">
      <c r="A5561" s="94" t="n"/>
      <c r="B5561" s="128" t="n">
        <v>43933</v>
      </c>
      <c r="C5561" s="94">
        <f>TEXT(B5561,"aaa")</f>
        <v/>
      </c>
      <c r="D5561" s="94" t="n"/>
      <c r="E5561" s="94" t="inlineStr">
        <is>
          <t>클렌징폼 기획세트</t>
        </is>
      </c>
      <c r="F5561" s="94" t="inlineStr">
        <is>
          <t>랄라블라</t>
        </is>
      </c>
      <c r="G5561" s="94" t="inlineStr">
        <is>
          <t>클렌징폼 기획세트</t>
        </is>
      </c>
      <c r="H5561" s="7" t="n">
        <v>190801</v>
      </c>
      <c r="I5561" s="7" t="n">
        <v>190801</v>
      </c>
      <c r="J5561" s="94" t="n"/>
      <c r="K5561" s="6" t="n">
        <v>106</v>
      </c>
      <c r="L5561" s="94" t="n">
        <v>190801</v>
      </c>
      <c r="M5561" s="94">
        <f>VLOOKUP($Q5561,매칭테이블!$F:$I,2,0)*K5561</f>
        <v/>
      </c>
      <c r="N5561" s="94">
        <f>M5561-M5561*VLOOKUP($Q5561,매칭테이블!$F:$I,3,0)</f>
        <v/>
      </c>
      <c r="O5561" s="94">
        <f>VLOOKUP($Q5561,매칭테이블!$F:$I,4,0)*K5561</f>
        <v/>
      </c>
      <c r="P5561" s="148">
        <f>M5561/1.1</f>
        <v/>
      </c>
      <c r="Q5561" s="94">
        <f>F5561&amp;E5561&amp;G5561&amp;L5561</f>
        <v/>
      </c>
    </row>
    <row r="5562">
      <c r="A5562" s="94" t="n"/>
      <c r="B5562" s="128" t="n">
        <v>43933</v>
      </c>
      <c r="C5562" s="94">
        <f>TEXT(B5562,"aaa")</f>
        <v/>
      </c>
      <c r="D5562" s="94" t="n"/>
      <c r="E5562" s="94" t="inlineStr">
        <is>
          <t>토너 기획세트</t>
        </is>
      </c>
      <c r="F5562" s="94" t="inlineStr">
        <is>
          <t>랄라블라</t>
        </is>
      </c>
      <c r="G5562" s="94" t="inlineStr">
        <is>
          <t>토너 기획세트</t>
        </is>
      </c>
      <c r="H5562" s="7" t="n">
        <v>190801</v>
      </c>
      <c r="I5562" s="7" t="n">
        <v>190801</v>
      </c>
      <c r="J5562" s="94" t="n"/>
      <c r="K5562" s="6" t="n">
        <v>76</v>
      </c>
      <c r="L5562" s="94" t="n">
        <v>190801</v>
      </c>
      <c r="M5562" s="94">
        <f>VLOOKUP($Q5562,매칭테이블!$F:$I,2,0)*K5562</f>
        <v/>
      </c>
      <c r="N5562" s="94">
        <f>M5562-M5562*VLOOKUP($Q5562,매칭테이블!$F:$I,3,0)</f>
        <v/>
      </c>
      <c r="O5562" s="94">
        <f>VLOOKUP($Q5562,매칭테이블!$F:$I,4,0)*K5562</f>
        <v/>
      </c>
      <c r="P5562" s="148">
        <f>M5562/1.1</f>
        <v/>
      </c>
      <c r="Q5562" s="94">
        <f>F5562&amp;E5562&amp;G5562&amp;L5562</f>
        <v/>
      </c>
    </row>
    <row r="5563">
      <c r="A5563" s="94" t="n"/>
      <c r="B5563" s="128" t="n">
        <v>43933</v>
      </c>
      <c r="C5563" s="94">
        <f>TEXT(B5563,"aaa")</f>
        <v/>
      </c>
      <c r="D5563" s="94" t="n"/>
      <c r="E5563" s="94" t="inlineStr">
        <is>
          <t>머드크림마스크</t>
        </is>
      </c>
      <c r="F5563" s="94" t="inlineStr">
        <is>
          <t>랄라블라</t>
        </is>
      </c>
      <c r="G5563" s="94" t="inlineStr">
        <is>
          <t>머드크림마스크 100ml</t>
        </is>
      </c>
      <c r="H5563" s="7" t="n">
        <v>190801</v>
      </c>
      <c r="I5563" s="7" t="n">
        <v>190801</v>
      </c>
      <c r="J5563" s="94" t="n"/>
      <c r="K5563" s="6" t="n">
        <v>11</v>
      </c>
      <c r="L5563" s="94" t="n">
        <v>190801</v>
      </c>
      <c r="M5563" s="94">
        <f>VLOOKUP($Q5563,매칭테이블!$F:$I,2,0)*K5563</f>
        <v/>
      </c>
      <c r="N5563" s="94">
        <f>M5563-M5563*VLOOKUP($Q5563,매칭테이블!$F:$I,3,0)</f>
        <v/>
      </c>
      <c r="O5563" s="94">
        <f>VLOOKUP($Q5563,매칭테이블!$F:$I,4,0)*K5563</f>
        <v/>
      </c>
      <c r="P5563" s="148">
        <f>M5563/1.1</f>
        <v/>
      </c>
      <c r="Q5563" s="94">
        <f>F5563&amp;E5563&amp;G5563&amp;L5563</f>
        <v/>
      </c>
    </row>
    <row r="5564">
      <c r="A5564" s="94" t="n"/>
      <c r="B5564" s="128" t="n">
        <v>43934</v>
      </c>
      <c r="C5564" s="94">
        <f>TEXT(B5564,"aaa")</f>
        <v/>
      </c>
      <c r="D5564" s="94" t="n"/>
      <c r="E5564" s="6" t="inlineStr">
        <is>
          <t>토너</t>
        </is>
      </c>
      <c r="F5564" s="5" t="inlineStr">
        <is>
          <t>W컨셉</t>
        </is>
      </c>
      <c r="G5564" s="5" t="inlineStr">
        <is>
          <t>250ml</t>
        </is>
      </c>
      <c r="H5564" s="7" t="n">
        <v>190801</v>
      </c>
      <c r="I5564" s="7" t="n">
        <v>190801</v>
      </c>
      <c r="J5564" s="94" t="n"/>
      <c r="K5564" s="6" t="n">
        <v>5</v>
      </c>
      <c r="L5564" s="7" t="n">
        <v>190801</v>
      </c>
      <c r="M5564" s="94">
        <f>VLOOKUP($Q5564,매칭테이블!$F:$I,2,0)*K5564</f>
        <v/>
      </c>
      <c r="N5564" s="94">
        <f>M5564-M5564*VLOOKUP($Q5564,매칭테이블!$F:$I,3,0)</f>
        <v/>
      </c>
      <c r="O5564" s="94">
        <f>VLOOKUP($Q5564,매칭테이블!$F:$I,4,0)*K5564</f>
        <v/>
      </c>
      <c r="P5564" s="148">
        <f>M5564/1.1</f>
        <v/>
      </c>
      <c r="Q5564" s="94">
        <f>F5564&amp;E5564&amp;G5564&amp;L5564</f>
        <v/>
      </c>
    </row>
    <row r="5565">
      <c r="A5565" s="94" t="n"/>
      <c r="B5565" s="128" t="n">
        <v>43934</v>
      </c>
      <c r="C5565" s="94">
        <f>TEXT(B5565,"aaa")</f>
        <v/>
      </c>
      <c r="D5565" s="94" t="n"/>
      <c r="E5565" s="6" t="inlineStr">
        <is>
          <t>토너</t>
        </is>
      </c>
      <c r="F5565" s="5" t="inlineStr">
        <is>
          <t>W컨셉</t>
        </is>
      </c>
      <c r="G5565" s="5" t="inlineStr">
        <is>
          <t>250ml 2set</t>
        </is>
      </c>
      <c r="H5565" s="7" t="n">
        <v>190801</v>
      </c>
      <c r="I5565" s="7" t="n">
        <v>190801</v>
      </c>
      <c r="J5565" s="94" t="n"/>
      <c r="K5565" s="6" t="n">
        <v>32</v>
      </c>
      <c r="L5565" s="7" t="n">
        <v>190801</v>
      </c>
      <c r="M5565" s="94">
        <f>VLOOKUP($Q5565,매칭테이블!$F:$I,2,0)*K5565</f>
        <v/>
      </c>
      <c r="N5565" s="94">
        <f>M5565-M5565*VLOOKUP($Q5565,매칭테이블!$F:$I,3,0)</f>
        <v/>
      </c>
      <c r="O5565" s="94">
        <f>VLOOKUP($Q5565,매칭테이블!$F:$I,4,0)*K5565</f>
        <v/>
      </c>
      <c r="P5565" s="148">
        <f>M5565/1.1</f>
        <v/>
      </c>
      <c r="Q5565" s="94">
        <f>F5565&amp;E5565&amp;G5565&amp;L5565</f>
        <v/>
      </c>
    </row>
    <row r="5566">
      <c r="A5566" s="94" t="n"/>
      <c r="B5566" s="128" t="n">
        <v>43934</v>
      </c>
      <c r="C5566" s="94">
        <f>TEXT(B5566,"aaa")</f>
        <v/>
      </c>
      <c r="D5566" s="94" t="n"/>
      <c r="E5566" s="94" t="inlineStr">
        <is>
          <t>토너</t>
        </is>
      </c>
      <c r="F5566" s="5" t="inlineStr">
        <is>
          <t>스타일쉐어</t>
        </is>
      </c>
      <c r="G5566" s="94" t="inlineStr">
        <is>
          <t>250ml</t>
        </is>
      </c>
      <c r="H5566" s="7" t="n">
        <v>190801</v>
      </c>
      <c r="I5566" s="7" t="n">
        <v>190801</v>
      </c>
      <c r="J5566" s="94" t="n"/>
      <c r="K5566" s="6" t="n">
        <v>5</v>
      </c>
      <c r="L5566" s="7" t="n">
        <v>190801</v>
      </c>
      <c r="M5566" s="94">
        <f>VLOOKUP($Q5566,매칭테이블!$F:$I,2,0)*K5566</f>
        <v/>
      </c>
      <c r="N5566" s="94">
        <f>M5566-M5566*VLOOKUP($Q5566,매칭테이블!$F:$I,3,0)</f>
        <v/>
      </c>
      <c r="O5566" s="94">
        <f>VLOOKUP($Q5566,매칭테이블!$F:$I,4,0)*K5566</f>
        <v/>
      </c>
      <c r="P5566" s="148">
        <f>M5566/1.1</f>
        <v/>
      </c>
      <c r="Q5566" s="94">
        <f>F5566&amp;E5566&amp;G5566&amp;L5566</f>
        <v/>
      </c>
    </row>
    <row r="5567">
      <c r="A5567" s="94" t="n"/>
      <c r="B5567" s="128" t="n">
        <v>43934</v>
      </c>
      <c r="C5567" s="94">
        <f>TEXT(B5567,"aaa")</f>
        <v/>
      </c>
      <c r="D5567" s="94" t="n"/>
      <c r="E5567" s="94" t="inlineStr">
        <is>
          <t>수딩크림</t>
        </is>
      </c>
      <c r="F5567" s="94" t="inlineStr">
        <is>
          <t>카페24</t>
        </is>
      </c>
      <c r="G5567" s="94" t="inlineStr">
        <is>
          <t>[플친 단독 30% off] 어성초 78 수딩 크림</t>
        </is>
      </c>
      <c r="H5567" s="7" t="n">
        <v>190801</v>
      </c>
      <c r="I5567" s="7" t="n">
        <v>190801</v>
      </c>
      <c r="J5567" s="94" t="n"/>
      <c r="K5567" s="6" t="n">
        <v>42</v>
      </c>
      <c r="L5567" s="92" t="n">
        <v>190801</v>
      </c>
      <c r="M5567" s="94">
        <f>VLOOKUP($Q5567,매칭테이블!$F:$I,2,0)*K5567</f>
        <v/>
      </c>
      <c r="N5567" s="94">
        <f>M5567-M5567*VLOOKUP($Q5567,매칭테이블!$F:$I,3,0)</f>
        <v/>
      </c>
      <c r="O5567" s="94">
        <f>VLOOKUP($Q5567,매칭테이블!$F:$I,4,0)*K5567</f>
        <v/>
      </c>
      <c r="P5567" s="148">
        <f>M5567/1.1</f>
        <v/>
      </c>
      <c r="Q5567" s="94">
        <f>F5567&amp;E5567&amp;G5567&amp;L5567</f>
        <v/>
      </c>
    </row>
    <row r="5568">
      <c r="A5568" s="94" t="n"/>
      <c r="B5568" s="128" t="n">
        <v>43934</v>
      </c>
      <c r="C5568" s="94">
        <f>TEXT(B5568,"aaa")</f>
        <v/>
      </c>
      <c r="D5568" s="94" t="n"/>
      <c r="E5568" s="94" t="inlineStr">
        <is>
          <t>앰플</t>
        </is>
      </c>
      <c r="F5568" s="94" t="inlineStr">
        <is>
          <t>카페24</t>
        </is>
      </c>
      <c r="G5568" s="94" t="inlineStr">
        <is>
          <t>[플친 단독 30% off] 어성초 80 수분 진정 앰플</t>
        </is>
      </c>
      <c r="H5568" s="7" t="n">
        <v>190801</v>
      </c>
      <c r="I5568" s="7" t="n">
        <v>190801</v>
      </c>
      <c r="J5568" s="94" t="n"/>
      <c r="K5568" s="6" t="n">
        <v>22</v>
      </c>
      <c r="L5568" s="92" t="n">
        <v>190801</v>
      </c>
      <c r="M5568" s="94">
        <f>VLOOKUP($Q5568,매칭테이블!$F:$I,2,0)*K5568</f>
        <v/>
      </c>
      <c r="N5568" s="94">
        <f>M5568-M5568*VLOOKUP($Q5568,매칭테이블!$F:$I,3,0)</f>
        <v/>
      </c>
      <c r="O5568" s="94">
        <f>VLOOKUP($Q5568,매칭테이블!$F:$I,4,0)*K5568</f>
        <v/>
      </c>
      <c r="P5568" s="148">
        <f>M5568/1.1</f>
        <v/>
      </c>
      <c r="Q5568" s="94">
        <f>F5568&amp;E5568&amp;G5568&amp;L5568</f>
        <v/>
      </c>
    </row>
    <row r="5569">
      <c r="A5569" s="94" t="n"/>
      <c r="B5569" s="128" t="n">
        <v>43934</v>
      </c>
      <c r="C5569" s="94">
        <f>TEXT(B5569,"aaa")</f>
        <v/>
      </c>
      <c r="D5569" s="94" t="n"/>
      <c r="E5569" s="94" t="inlineStr">
        <is>
          <t>머드크림마스크</t>
        </is>
      </c>
      <c r="F5569" s="94" t="inlineStr">
        <is>
          <t>카페24</t>
        </is>
      </c>
      <c r="G5569" s="94" t="inlineStr">
        <is>
          <t>머드크림마스크 100ml</t>
        </is>
      </c>
      <c r="H5569" s="7" t="n">
        <v>190801</v>
      </c>
      <c r="I5569" s="7" t="n">
        <v>190801</v>
      </c>
      <c r="J5569" s="94" t="n"/>
      <c r="K5569" s="6" t="n">
        <v>21</v>
      </c>
      <c r="L5569" s="94" t="n">
        <v>190801</v>
      </c>
      <c r="M5569" s="94">
        <f>VLOOKUP($Q5569,매칭테이블!$F:$I,2,0)*K5569</f>
        <v/>
      </c>
      <c r="N5569" s="94">
        <f>M5569-M5569*VLOOKUP($Q5569,매칭테이블!$F:$I,3,0)</f>
        <v/>
      </c>
      <c r="O5569" s="94">
        <f>VLOOKUP($Q5569,매칭테이블!$F:$I,4,0)*K5569</f>
        <v/>
      </c>
      <c r="P5569" s="148">
        <f>M5569/1.1</f>
        <v/>
      </c>
      <c r="Q5569" s="94">
        <f>F5569&amp;E5569&amp;G5569&amp;L5569</f>
        <v/>
      </c>
    </row>
    <row r="5570">
      <c r="A5570" s="94" t="n"/>
      <c r="B5570" s="128" t="n">
        <v>43934</v>
      </c>
      <c r="C5570" s="94">
        <f>TEXT(B5570,"aaa")</f>
        <v/>
      </c>
      <c r="D5570" s="94" t="n"/>
      <c r="E5570" s="94" t="inlineStr">
        <is>
          <t>머드크림마스크</t>
        </is>
      </c>
      <c r="F5570" s="94" t="inlineStr">
        <is>
          <t>카페24</t>
        </is>
      </c>
      <c r="G5570" s="94" t="inlineStr">
        <is>
          <t>머드크림마스크 100ml 2set</t>
        </is>
      </c>
      <c r="H5570" s="7" t="n">
        <v>190801</v>
      </c>
      <c r="I5570" s="7" t="n">
        <v>190801</v>
      </c>
      <c r="J5570" s="94" t="n"/>
      <c r="K5570" s="6" t="n">
        <v>3</v>
      </c>
      <c r="L5570" s="94" t="n">
        <v>190801</v>
      </c>
      <c r="M5570" s="94">
        <f>VLOOKUP($Q5570,매칭테이블!$F:$I,2,0)*K5570</f>
        <v/>
      </c>
      <c r="N5570" s="94">
        <f>M5570-M5570*VLOOKUP($Q5570,매칭테이블!$F:$I,3,0)</f>
        <v/>
      </c>
      <c r="O5570" s="94">
        <f>VLOOKUP($Q5570,매칭테이블!$F:$I,4,0)*K5570</f>
        <v/>
      </c>
      <c r="P5570" s="148">
        <f>M5570/1.1</f>
        <v/>
      </c>
      <c r="Q5570" s="94">
        <f>F5570&amp;E5570&amp;G5570&amp;L5570</f>
        <v/>
      </c>
    </row>
    <row r="5571">
      <c r="A5571" s="94" t="n"/>
      <c r="B5571" s="128" t="n">
        <v>43934</v>
      </c>
      <c r="C5571" s="94">
        <f>TEXT(B5571,"aaa")</f>
        <v/>
      </c>
      <c r="D5571" s="94" t="n"/>
      <c r="E5571" s="94" t="inlineStr">
        <is>
          <t>마스크팩</t>
        </is>
      </c>
      <c r="F5571" s="94" t="inlineStr">
        <is>
          <t>카페24</t>
        </is>
      </c>
      <c r="G5571" s="94" t="inlineStr">
        <is>
          <t>마스크팩 1매</t>
        </is>
      </c>
      <c r="H5571" s="7" t="n">
        <v>190801</v>
      </c>
      <c r="I5571" s="7" t="n">
        <v>190801</v>
      </c>
      <c r="J5571" s="94" t="n"/>
      <c r="K5571" s="6" t="n">
        <v>9</v>
      </c>
      <c r="L5571" s="94" t="n">
        <v>190801</v>
      </c>
      <c r="M5571" s="94">
        <f>VLOOKUP($Q5571,매칭테이블!$F:$I,2,0)*K5571</f>
        <v/>
      </c>
      <c r="N5571" s="94">
        <f>M5571-M5571*VLOOKUP($Q5571,매칭테이블!$F:$I,3,0)</f>
        <v/>
      </c>
      <c r="O5571" s="94">
        <f>VLOOKUP($Q5571,매칭테이블!$F:$I,4,0)*K5571</f>
        <v/>
      </c>
      <c r="P5571" s="148">
        <f>M5571/1.1</f>
        <v/>
      </c>
      <c r="Q5571" s="94">
        <f>F5571&amp;E5571&amp;G5571&amp;L5571</f>
        <v/>
      </c>
    </row>
    <row r="5572">
      <c r="A5572" s="94" t="n"/>
      <c r="B5572" s="128" t="n">
        <v>43934</v>
      </c>
      <c r="C5572" s="94">
        <f>TEXT(B5572,"aaa")</f>
        <v/>
      </c>
      <c r="D5572" s="94" t="n"/>
      <c r="E5572" s="94" t="inlineStr">
        <is>
          <t>마스크팩</t>
        </is>
      </c>
      <c r="F5572" s="94" t="inlineStr">
        <is>
          <t>카페24</t>
        </is>
      </c>
      <c r="G5572" s="94" t="inlineStr">
        <is>
          <t>마스크팩 10매</t>
        </is>
      </c>
      <c r="H5572" s="7" t="n">
        <v>190801</v>
      </c>
      <c r="I5572" s="7" t="n">
        <v>190801</v>
      </c>
      <c r="J5572" s="94" t="n"/>
      <c r="K5572" s="6" t="n">
        <v>12</v>
      </c>
      <c r="L5572" s="94" t="n">
        <v>190801</v>
      </c>
      <c r="M5572" s="94">
        <f>VLOOKUP($Q5572,매칭테이블!$F:$I,2,0)*K5572</f>
        <v/>
      </c>
      <c r="N5572" s="94">
        <f>M5572-M5572*VLOOKUP($Q5572,매칭테이블!$F:$I,3,0)</f>
        <v/>
      </c>
      <c r="O5572" s="94">
        <f>VLOOKUP($Q5572,매칭테이블!$F:$I,4,0)*K5572</f>
        <v/>
      </c>
      <c r="P5572" s="148">
        <f>M5572/1.1</f>
        <v/>
      </c>
      <c r="Q5572" s="94">
        <f>F5572&amp;E5572&amp;G5572&amp;L5572</f>
        <v/>
      </c>
    </row>
    <row r="5573">
      <c r="A5573" s="94" t="n"/>
      <c r="B5573" s="128" t="n">
        <v>43934</v>
      </c>
      <c r="C5573" s="94">
        <f>TEXT(B5573,"aaa")</f>
        <v/>
      </c>
      <c r="D5573" s="94" t="n"/>
      <c r="E5573" s="6" t="inlineStr">
        <is>
          <t>토너</t>
        </is>
      </c>
      <c r="F5573" s="5" t="inlineStr">
        <is>
          <t>카페24</t>
        </is>
      </c>
      <c r="G5573" s="5" t="inlineStr">
        <is>
          <t>250ml</t>
        </is>
      </c>
      <c r="H5573" s="7" t="n">
        <v>190801</v>
      </c>
      <c r="I5573" s="7" t="n">
        <v>190801</v>
      </c>
      <c r="J5573" s="94" t="n"/>
      <c r="K5573" s="6" t="n">
        <v>95</v>
      </c>
      <c r="L5573" s="7" t="n">
        <v>190801</v>
      </c>
      <c r="M5573" s="94">
        <f>VLOOKUP($Q5573,매칭테이블!$F:$I,2,0)*K5573</f>
        <v/>
      </c>
      <c r="N5573" s="94">
        <f>M5573-M5573*VLOOKUP($Q5573,매칭테이블!$F:$I,3,0)</f>
        <v/>
      </c>
      <c r="O5573" s="94">
        <f>VLOOKUP($Q5573,매칭테이블!$F:$I,4,0)*K5573</f>
        <v/>
      </c>
      <c r="P5573" s="148">
        <f>M5573/1.1</f>
        <v/>
      </c>
      <c r="Q5573" s="94">
        <f>F5573&amp;E5573&amp;G5573&amp;L5573</f>
        <v/>
      </c>
    </row>
    <row r="5574">
      <c r="A5574" s="94" t="n"/>
      <c r="B5574" s="128" t="n">
        <v>43934</v>
      </c>
      <c r="C5574" s="94">
        <f>TEXT(B5574,"aaa")</f>
        <v/>
      </c>
      <c r="D5574" s="94" t="n"/>
      <c r="E5574" s="6" t="inlineStr">
        <is>
          <t>토너</t>
        </is>
      </c>
      <c r="F5574" s="5" t="inlineStr">
        <is>
          <t>카페24</t>
        </is>
      </c>
      <c r="G5574" s="5" t="inlineStr">
        <is>
          <t>250ml 2set</t>
        </is>
      </c>
      <c r="H5574" s="7" t="n">
        <v>190801</v>
      </c>
      <c r="I5574" s="7" t="n">
        <v>190801</v>
      </c>
      <c r="J5574" s="94" t="n"/>
      <c r="K5574" s="6" t="n">
        <v>336</v>
      </c>
      <c r="L5574" s="7" t="n">
        <v>190801</v>
      </c>
      <c r="M5574" s="94">
        <f>VLOOKUP($Q5574,매칭테이블!$F:$I,2,0)*K5574</f>
        <v/>
      </c>
      <c r="N5574" s="94">
        <f>M5574-M5574*VLOOKUP($Q5574,매칭테이블!$F:$I,3,0)</f>
        <v/>
      </c>
      <c r="O5574" s="94">
        <f>VLOOKUP($Q5574,매칭테이블!$F:$I,4,0)*K5574</f>
        <v/>
      </c>
      <c r="P5574" s="148">
        <f>M5574/1.1</f>
        <v/>
      </c>
      <c r="Q5574" s="94">
        <f>F5574&amp;E5574&amp;G5574&amp;L5574</f>
        <v/>
      </c>
    </row>
    <row r="5575">
      <c r="A5575" s="94" t="n"/>
      <c r="B5575" s="128" t="n">
        <v>43934</v>
      </c>
      <c r="C5575" s="94">
        <f>TEXT(B5575,"aaa")</f>
        <v/>
      </c>
      <c r="D5575" s="94" t="n"/>
      <c r="E5575" s="6" t="inlineStr">
        <is>
          <t>토너</t>
        </is>
      </c>
      <c r="F5575" s="5" t="inlineStr">
        <is>
          <t>카페24</t>
        </is>
      </c>
      <c r="G5575" s="5" t="inlineStr">
        <is>
          <t>500ml</t>
        </is>
      </c>
      <c r="H5575" s="7" t="n">
        <v>190801</v>
      </c>
      <c r="I5575" s="7" t="n">
        <v>190801</v>
      </c>
      <c r="J5575" s="94" t="n"/>
      <c r="K5575" s="6" t="n">
        <v>87</v>
      </c>
      <c r="L5575" s="7" t="n">
        <v>190801</v>
      </c>
      <c r="M5575" s="94">
        <f>VLOOKUP($Q5575,매칭테이블!$F:$I,2,0)*K5575</f>
        <v/>
      </c>
      <c r="N5575" s="94">
        <f>M5575-M5575*VLOOKUP($Q5575,매칭테이블!$F:$I,3,0)</f>
        <v/>
      </c>
      <c r="O5575" s="94">
        <f>VLOOKUP($Q5575,매칭테이블!$F:$I,4,0)*K5575</f>
        <v/>
      </c>
      <c r="P5575" s="148">
        <f>M5575/1.1</f>
        <v/>
      </c>
      <c r="Q5575" s="94">
        <f>F5575&amp;E5575&amp;G5575&amp;L5575</f>
        <v/>
      </c>
    </row>
    <row r="5576">
      <c r="A5576" s="94" t="n"/>
      <c r="B5576" s="128" t="n">
        <v>43934</v>
      </c>
      <c r="C5576" s="94">
        <f>TEXT(B5576,"aaa")</f>
        <v/>
      </c>
      <c r="D5576" s="94" t="n"/>
      <c r="E5576" s="6" t="inlineStr">
        <is>
          <t>토너</t>
        </is>
      </c>
      <c r="F5576" s="5" t="inlineStr">
        <is>
          <t>카페24</t>
        </is>
      </c>
      <c r="G5576" s="94" t="inlineStr">
        <is>
          <t>스킨팩 화장솜 60P</t>
        </is>
      </c>
      <c r="H5576" s="7" t="n">
        <v>190801</v>
      </c>
      <c r="I5576" s="7" t="n">
        <v>190801</v>
      </c>
      <c r="J5576" s="94" t="n"/>
      <c r="K5576" s="6" t="n">
        <v>86</v>
      </c>
      <c r="L5576" s="7" t="n">
        <v>190801</v>
      </c>
      <c r="M5576" s="94">
        <f>VLOOKUP($Q5576,매칭테이블!$F:$I,2,0)*K5576</f>
        <v/>
      </c>
      <c r="N5576" s="94">
        <f>M5576-M5576*VLOOKUP($Q5576,매칭테이블!$F:$I,3,0)</f>
        <v/>
      </c>
      <c r="O5576" s="94">
        <f>VLOOKUP($Q5576,매칭테이블!$F:$I,4,0)*K5576</f>
        <v/>
      </c>
      <c r="P5576" s="148">
        <f>M5576/1.1</f>
        <v/>
      </c>
      <c r="Q5576" s="94">
        <f>F5576&amp;E5576&amp;G5576&amp;L5576</f>
        <v/>
      </c>
    </row>
    <row r="5577">
      <c r="A5577" s="94" t="n"/>
      <c r="B5577" s="128" t="n">
        <v>43934</v>
      </c>
      <c r="C5577" s="94">
        <f>TEXT(B5577,"aaa")</f>
        <v/>
      </c>
      <c r="D5577" s="94" t="n"/>
      <c r="E5577" s="94" t="inlineStr">
        <is>
          <t>앰플</t>
        </is>
      </c>
      <c r="F5577" s="5" t="inlineStr">
        <is>
          <t>카페24</t>
        </is>
      </c>
      <c r="G5577" s="94" t="inlineStr">
        <is>
          <t>앰플 30ml</t>
        </is>
      </c>
      <c r="H5577" s="7" t="n">
        <v>190801</v>
      </c>
      <c r="I5577" s="7" t="n">
        <v>190801</v>
      </c>
      <c r="J5577" s="94" t="n"/>
      <c r="K5577" s="6" t="n">
        <v>21</v>
      </c>
      <c r="L5577" s="94" t="n">
        <v>190801</v>
      </c>
      <c r="M5577" s="94">
        <f>VLOOKUP($Q5577,매칭테이블!$F:$I,2,0)*K5577</f>
        <v/>
      </c>
      <c r="N5577" s="94">
        <f>M5577-M5577*VLOOKUP($Q5577,매칭테이블!$F:$I,3,0)</f>
        <v/>
      </c>
      <c r="O5577" s="94">
        <f>VLOOKUP($Q5577,매칭테이블!$F:$I,4,0)*K5577</f>
        <v/>
      </c>
      <c r="P5577" s="148">
        <f>M5577/1.1</f>
        <v/>
      </c>
      <c r="Q5577" s="94">
        <f>F5577&amp;E5577&amp;G5577&amp;L5577</f>
        <v/>
      </c>
    </row>
    <row r="5578">
      <c r="A5578" s="94" t="n"/>
      <c r="B5578" s="128" t="n">
        <v>43934</v>
      </c>
      <c r="C5578" s="94">
        <f>TEXT(B5578,"aaa")</f>
        <v/>
      </c>
      <c r="D5578" s="94" t="n"/>
      <c r="E5578" s="94" t="inlineStr">
        <is>
          <t>수딩크림</t>
        </is>
      </c>
      <c r="F5578" s="5" t="inlineStr">
        <is>
          <t>카페24</t>
        </is>
      </c>
      <c r="G5578" s="94" t="inlineStr">
        <is>
          <t>수딩크림 100ml</t>
        </is>
      </c>
      <c r="H5578" s="7" t="n">
        <v>190801</v>
      </c>
      <c r="I5578" s="7" t="n">
        <v>190801</v>
      </c>
      <c r="J5578" s="94" t="n"/>
      <c r="K5578" s="6" t="n">
        <v>18</v>
      </c>
      <c r="L5578" s="94" t="n">
        <v>190801</v>
      </c>
      <c r="M5578" s="94">
        <f>VLOOKUP($Q5578,매칭테이블!$F:$I,2,0)*K5578</f>
        <v/>
      </c>
      <c r="N5578" s="94">
        <f>M5578-M5578*VLOOKUP($Q5578,매칭테이블!$F:$I,3,0)</f>
        <v/>
      </c>
      <c r="O5578" s="94">
        <f>VLOOKUP($Q5578,매칭테이블!$F:$I,4,0)*K5578</f>
        <v/>
      </c>
      <c r="P5578" s="148">
        <f>M5578/1.1</f>
        <v/>
      </c>
      <c r="Q5578" s="94">
        <f>F5578&amp;E5578&amp;G5578&amp;L5578</f>
        <v/>
      </c>
    </row>
    <row r="5579">
      <c r="A5579" s="94" t="n"/>
      <c r="B5579" s="128" t="n">
        <v>43934</v>
      </c>
      <c r="C5579" s="94">
        <f>TEXT(B5579,"aaa")</f>
        <v/>
      </c>
      <c r="D5579" s="94" t="n"/>
      <c r="E5579" s="94" t="inlineStr">
        <is>
          <t>토너+머드크림세트</t>
        </is>
      </c>
      <c r="F5579" s="94" t="inlineStr">
        <is>
          <t>카페24</t>
        </is>
      </c>
      <c r="G5579" s="94" t="inlineStr">
        <is>
          <t>250ml</t>
        </is>
      </c>
      <c r="H5579" s="7" t="n">
        <v>190801</v>
      </c>
      <c r="I5579" s="7" t="n">
        <v>190801</v>
      </c>
      <c r="J5579" s="94" t="n"/>
      <c r="K5579" s="6" t="n">
        <v>1</v>
      </c>
      <c r="L5579" s="94" t="n">
        <v>190801</v>
      </c>
      <c r="M5579" s="94">
        <f>VLOOKUP($Q5579,매칭테이블!$F:$I,2,0)*K5579</f>
        <v/>
      </c>
      <c r="N5579" s="94">
        <f>M5579-M5579*VLOOKUP($Q5579,매칭테이블!$F:$I,3,0)</f>
        <v/>
      </c>
      <c r="O5579" s="94">
        <f>VLOOKUP($Q5579,매칭테이블!$F:$I,4,0)*K5579</f>
        <v/>
      </c>
      <c r="P5579" s="148">
        <f>M5579/1.1</f>
        <v/>
      </c>
      <c r="Q5579" s="94">
        <f>F5579&amp;E5579&amp;G5579&amp;L5579</f>
        <v/>
      </c>
    </row>
    <row r="5580">
      <c r="A5580" s="94" t="n"/>
      <c r="B5580" s="128" t="n">
        <v>43934</v>
      </c>
      <c r="C5580" s="94">
        <f>TEXT(B5580,"aaa")</f>
        <v/>
      </c>
      <c r="D5580" s="94" t="n"/>
      <c r="E5580" s="94" t="inlineStr">
        <is>
          <t>토너+머드크림세트</t>
        </is>
      </c>
      <c r="F5580" s="94" t="inlineStr">
        <is>
          <t>카페24</t>
        </is>
      </c>
      <c r="G5580" s="94" t="inlineStr">
        <is>
          <t>머드크림마스크 100ml</t>
        </is>
      </c>
      <c r="H5580" s="7" t="n">
        <v>190801</v>
      </c>
      <c r="I5580" s="7" t="n">
        <v>190801</v>
      </c>
      <c r="J5580" s="94" t="n"/>
      <c r="K5580" s="6" t="n">
        <v>1</v>
      </c>
      <c r="L5580" s="94" t="n">
        <v>190801</v>
      </c>
      <c r="M5580" s="94">
        <f>VLOOKUP($Q5580,매칭테이블!$F:$I,2,0)*K5580</f>
        <v/>
      </c>
      <c r="N5580" s="94">
        <f>M5580-M5580*VLOOKUP($Q5580,매칭테이블!$F:$I,3,0)</f>
        <v/>
      </c>
      <c r="O5580" s="94">
        <f>VLOOKUP($Q5580,매칭테이블!$F:$I,4,0)*K5580</f>
        <v/>
      </c>
      <c r="P5580" s="148">
        <f>M5580/1.1</f>
        <v/>
      </c>
      <c r="Q5580" s="94">
        <f>F5580&amp;E5580&amp;G5580&amp;L5580</f>
        <v/>
      </c>
    </row>
    <row r="5581">
      <c r="A5581" s="94" t="n"/>
      <c r="B5581" s="128" t="n">
        <v>43934</v>
      </c>
      <c r="C5581" s="94">
        <f>TEXT(B5581,"aaa")</f>
        <v/>
      </c>
      <c r="D5581" s="94" t="n"/>
      <c r="E5581" s="94" t="inlineStr">
        <is>
          <t>토너</t>
        </is>
      </c>
      <c r="F5581" s="94" t="inlineStr">
        <is>
          <t>큐텐</t>
        </is>
      </c>
      <c r="G5581" s="94" t="inlineStr">
        <is>
          <t>250ml</t>
        </is>
      </c>
      <c r="H5581" s="7" t="n">
        <v>190801</v>
      </c>
      <c r="I5581" s="7" t="n">
        <v>190801</v>
      </c>
      <c r="J5581" s="94" t="n"/>
      <c r="K5581" s="6" t="n">
        <v>50</v>
      </c>
      <c r="L5581" s="92" t="n">
        <v>190801</v>
      </c>
      <c r="M5581" s="94">
        <f>VLOOKUP($Q5581,매칭테이블!$F:$I,2,0)*K5581</f>
        <v/>
      </c>
      <c r="N5581" s="94">
        <f>M5581-M5581*VLOOKUP($Q5581,매칭테이블!$F:$I,3,0)</f>
        <v/>
      </c>
      <c r="O5581" s="94">
        <f>VLOOKUP($Q5581,매칭테이블!$F:$I,4,0)*K5581</f>
        <v/>
      </c>
      <c r="P5581" s="148">
        <f>M5581/1.1</f>
        <v/>
      </c>
      <c r="Q5581" s="94">
        <f>F5581&amp;E5581&amp;G5581&amp;L5581</f>
        <v/>
      </c>
    </row>
    <row r="5582">
      <c r="A5582" s="94" t="n"/>
      <c r="B5582" s="128" t="n">
        <v>43934</v>
      </c>
      <c r="C5582" s="94">
        <f>TEXT(B5582,"aaa")</f>
        <v/>
      </c>
      <c r="D5582" s="94" t="n"/>
      <c r="E5582" s="94" t="inlineStr">
        <is>
          <t>토너</t>
        </is>
      </c>
      <c r="F5582" s="94" t="inlineStr">
        <is>
          <t>큐텐</t>
        </is>
      </c>
      <c r="G5582" s="94" t="inlineStr">
        <is>
          <t>250ml 2set</t>
        </is>
      </c>
      <c r="H5582" s="7" t="n">
        <v>190801</v>
      </c>
      <c r="I5582" s="7" t="n">
        <v>190801</v>
      </c>
      <c r="J5582" s="94" t="n"/>
      <c r="K5582" s="6" t="n">
        <v>19</v>
      </c>
      <c r="L5582" s="92" t="n">
        <v>190801</v>
      </c>
      <c r="M5582" s="94">
        <f>VLOOKUP($Q5582,매칭테이블!$F:$I,2,0)*K5582</f>
        <v/>
      </c>
      <c r="N5582" s="94">
        <f>M5582-M5582*VLOOKUP($Q5582,매칭테이블!$F:$I,3,0)</f>
        <v/>
      </c>
      <c r="O5582" s="94">
        <f>VLOOKUP($Q5582,매칭테이블!$F:$I,4,0)*K5582</f>
        <v/>
      </c>
      <c r="P5582" s="148">
        <f>M5582/1.1</f>
        <v/>
      </c>
      <c r="Q5582" s="94">
        <f>F5582&amp;E5582&amp;G5582&amp;L5582</f>
        <v/>
      </c>
    </row>
    <row r="5583">
      <c r="A5583" s="94" t="n"/>
      <c r="B5583" s="128" t="n">
        <v>43934</v>
      </c>
      <c r="C5583" s="94">
        <f>TEXT(B5583,"aaa")</f>
        <v/>
      </c>
      <c r="D5583" s="94" t="n"/>
      <c r="E5583" s="94" t="inlineStr">
        <is>
          <t>머드크림마스크</t>
        </is>
      </c>
      <c r="F5583" s="94" t="inlineStr">
        <is>
          <t>큐텐</t>
        </is>
      </c>
      <c r="G5583" s="94" t="inlineStr">
        <is>
          <t>머드크림마스크 100ml</t>
        </is>
      </c>
      <c r="H5583" s="7" t="n">
        <v>190801</v>
      </c>
      <c r="I5583" s="7" t="n">
        <v>190801</v>
      </c>
      <c r="J5583" s="94" t="n"/>
      <c r="K5583" s="6" t="n">
        <v>1</v>
      </c>
      <c r="L5583" s="94" t="n">
        <v>190801</v>
      </c>
      <c r="M5583" s="94">
        <f>VLOOKUP($Q5583,매칭테이블!$F:$I,2,0)*K5583</f>
        <v/>
      </c>
      <c r="N5583" s="94">
        <f>M5583-M5583*VLOOKUP($Q5583,매칭테이블!$F:$I,3,0)</f>
        <v/>
      </c>
      <c r="O5583" s="94">
        <f>VLOOKUP($Q5583,매칭테이블!$F:$I,4,0)*K5583</f>
        <v/>
      </c>
      <c r="P5583" s="148">
        <f>M5583/1.1</f>
        <v/>
      </c>
      <c r="Q5583" s="94">
        <f>F5583&amp;E5583&amp;G5583&amp;L5583</f>
        <v/>
      </c>
    </row>
    <row r="5584">
      <c r="A5584" s="94" t="n"/>
      <c r="B5584" s="128" t="n">
        <v>43935</v>
      </c>
      <c r="C5584" s="94">
        <f>TEXT(B5584,"aaa")</f>
        <v/>
      </c>
      <c r="D5584" s="94" t="n"/>
      <c r="E5584" s="6" t="inlineStr">
        <is>
          <t>토너</t>
        </is>
      </c>
      <c r="F5584" s="5" t="inlineStr">
        <is>
          <t>W컨셉</t>
        </is>
      </c>
      <c r="G5584" s="5" t="inlineStr">
        <is>
          <t>250ml</t>
        </is>
      </c>
      <c r="H5584" s="7" t="n">
        <v>190801</v>
      </c>
      <c r="I5584" s="7" t="n">
        <v>190801</v>
      </c>
      <c r="J5584" s="94" t="n"/>
      <c r="K5584" s="6" t="n">
        <v>1</v>
      </c>
      <c r="L5584" s="7" t="n">
        <v>190801</v>
      </c>
      <c r="M5584" s="94">
        <f>VLOOKUP($Q5584,매칭테이블!$F:$I,2,0)*K5584</f>
        <v/>
      </c>
      <c r="N5584" s="94">
        <f>M5584-M5584*VLOOKUP($Q5584,매칭테이블!$F:$I,3,0)</f>
        <v/>
      </c>
      <c r="O5584" s="94">
        <f>VLOOKUP($Q5584,매칭테이블!$F:$I,4,0)*K5584</f>
        <v/>
      </c>
      <c r="P5584" s="148">
        <f>M5584/1.1</f>
        <v/>
      </c>
      <c r="Q5584" s="94">
        <f>F5584&amp;E5584&amp;G5584&amp;L5584</f>
        <v/>
      </c>
    </row>
    <row r="5585">
      <c r="A5585" s="94" t="n"/>
      <c r="B5585" s="128" t="n">
        <v>43935</v>
      </c>
      <c r="C5585" s="94">
        <f>TEXT(B5585,"aaa")</f>
        <v/>
      </c>
      <c r="D5585" s="94" t="n"/>
      <c r="E5585" s="6" t="inlineStr">
        <is>
          <t>토너</t>
        </is>
      </c>
      <c r="F5585" s="5" t="inlineStr">
        <is>
          <t>W컨셉</t>
        </is>
      </c>
      <c r="G5585" s="5" t="inlineStr">
        <is>
          <t>250ml 2set</t>
        </is>
      </c>
      <c r="H5585" s="7" t="n">
        <v>190801</v>
      </c>
      <c r="I5585" s="7" t="n">
        <v>190801</v>
      </c>
      <c r="J5585" s="94" t="n"/>
      <c r="K5585" s="6" t="n">
        <v>4</v>
      </c>
      <c r="L5585" s="7" t="n">
        <v>190801</v>
      </c>
      <c r="M5585" s="94">
        <f>VLOOKUP($Q5585,매칭테이블!$F:$I,2,0)*K5585</f>
        <v/>
      </c>
      <c r="N5585" s="94">
        <f>M5585-M5585*VLOOKUP($Q5585,매칭테이블!$F:$I,3,0)</f>
        <v/>
      </c>
      <c r="O5585" s="94">
        <f>VLOOKUP($Q5585,매칭테이블!$F:$I,4,0)*K5585</f>
        <v/>
      </c>
      <c r="P5585" s="148">
        <f>M5585/1.1</f>
        <v/>
      </c>
      <c r="Q5585" s="94">
        <f>F5585&amp;E5585&amp;G5585&amp;L5585</f>
        <v/>
      </c>
    </row>
    <row r="5586">
      <c r="A5586" s="94" t="n"/>
      <c r="B5586" s="128" t="n">
        <v>43935</v>
      </c>
      <c r="C5586" s="94">
        <f>TEXT(B5586,"aaa")</f>
        <v/>
      </c>
      <c r="D5586" s="94" t="n"/>
      <c r="E5586" s="94" t="inlineStr">
        <is>
          <t>토너</t>
        </is>
      </c>
      <c r="F5586" s="5" t="inlineStr">
        <is>
          <t>스타일쉐어</t>
        </is>
      </c>
      <c r="G5586" s="94" t="inlineStr">
        <is>
          <t>250ml</t>
        </is>
      </c>
      <c r="H5586" s="7" t="n">
        <v>190801</v>
      </c>
      <c r="I5586" s="7" t="n">
        <v>190801</v>
      </c>
      <c r="J5586" s="94" t="n"/>
      <c r="K5586" s="6" t="n">
        <v>5</v>
      </c>
      <c r="L5586" s="7" t="n">
        <v>190801</v>
      </c>
      <c r="M5586" s="94">
        <f>VLOOKUP($Q5586,매칭테이블!$F:$I,2,0)*K5586</f>
        <v/>
      </c>
      <c r="N5586" s="94">
        <f>M5586-M5586*VLOOKUP($Q5586,매칭테이블!$F:$I,3,0)</f>
        <v/>
      </c>
      <c r="O5586" s="94">
        <f>VLOOKUP($Q5586,매칭테이블!$F:$I,4,0)*K5586</f>
        <v/>
      </c>
      <c r="P5586" s="148">
        <f>M5586/1.1</f>
        <v/>
      </c>
      <c r="Q5586" s="94">
        <f>F5586&amp;E5586&amp;G5586&amp;L5586</f>
        <v/>
      </c>
    </row>
    <row r="5587">
      <c r="A5587" s="94" t="n"/>
      <c r="B5587" s="128" t="n">
        <v>43935</v>
      </c>
      <c r="C5587" s="94">
        <f>TEXT(B5587,"aaa")</f>
        <v/>
      </c>
      <c r="D5587" s="94" t="n"/>
      <c r="E5587" s="94" t="inlineStr">
        <is>
          <t>토너</t>
        </is>
      </c>
      <c r="F5587" s="94" t="inlineStr">
        <is>
          <t>글로우데이즈 시코르</t>
        </is>
      </c>
      <c r="G5587" s="94" t="inlineStr">
        <is>
          <t>250ml</t>
        </is>
      </c>
      <c r="H5587" s="7" t="n">
        <v>190801</v>
      </c>
      <c r="I5587" s="7" t="n">
        <v>190801</v>
      </c>
      <c r="J5587" s="94" t="n"/>
      <c r="K5587" s="6" t="n">
        <v>100</v>
      </c>
      <c r="L5587" s="92" t="n">
        <v>190801</v>
      </c>
      <c r="M5587" s="94">
        <f>VLOOKUP($Q5587,매칭테이블!$F:$I,2,0)*K5587</f>
        <v/>
      </c>
      <c r="N5587" s="94">
        <f>M5587-M5587*VLOOKUP($Q5587,매칭테이블!$F:$I,3,0)</f>
        <v/>
      </c>
      <c r="O5587" s="94">
        <f>VLOOKUP($Q5587,매칭테이블!$F:$I,4,0)*K5587</f>
        <v/>
      </c>
      <c r="P5587" s="148">
        <f>M5587/1.1</f>
        <v/>
      </c>
      <c r="Q5587" s="94">
        <f>F5587&amp;E5587&amp;G5587&amp;L5587</f>
        <v/>
      </c>
    </row>
    <row r="5588">
      <c r="A5588" s="94" t="n"/>
      <c r="B5588" s="128" t="n">
        <v>43935</v>
      </c>
      <c r="C5588" s="94">
        <f>TEXT(B5588,"aaa")</f>
        <v/>
      </c>
      <c r="D5588" s="94" t="n"/>
      <c r="E5588" s="6" t="inlineStr">
        <is>
          <t>토너</t>
        </is>
      </c>
      <c r="F5588" s="94" t="inlineStr">
        <is>
          <t>아누아 CS</t>
        </is>
      </c>
      <c r="G5588" s="5" t="inlineStr">
        <is>
          <t>250ml</t>
        </is>
      </c>
      <c r="H5588" s="7" t="n">
        <v>190801</v>
      </c>
      <c r="I5588" s="7" t="n">
        <v>190801</v>
      </c>
      <c r="J5588" s="94" t="n"/>
      <c r="K5588" s="6" t="n">
        <v>20</v>
      </c>
      <c r="L5588" s="7" t="n">
        <v>190801</v>
      </c>
      <c r="M5588" s="94">
        <f>VLOOKUP($Q5588,매칭테이블!$F:$I,2,0)*K5588</f>
        <v/>
      </c>
      <c r="N5588" s="94">
        <f>M5588-M5588*VLOOKUP($Q5588,매칭테이블!$F:$I,3,0)</f>
        <v/>
      </c>
      <c r="O5588" s="94">
        <f>VLOOKUP($Q5588,매칭테이블!$F:$I,4,0)*K5588</f>
        <v/>
      </c>
      <c r="P5588" s="148">
        <f>M5588/1.1</f>
        <v/>
      </c>
      <c r="Q5588" s="94">
        <f>F5588&amp;E5588&amp;G5588&amp;L5588</f>
        <v/>
      </c>
    </row>
    <row r="5589">
      <c r="A5589" s="94" t="n"/>
      <c r="B5589" s="128" t="n">
        <v>43935</v>
      </c>
      <c r="C5589" s="94">
        <f>TEXT(B5589,"aaa")</f>
        <v/>
      </c>
      <c r="D5589" s="94" t="n"/>
      <c r="E5589" s="6" t="inlineStr">
        <is>
          <t>토너</t>
        </is>
      </c>
      <c r="F5589" s="94" t="inlineStr">
        <is>
          <t>아누아 CS</t>
        </is>
      </c>
      <c r="G5589" s="5" t="inlineStr">
        <is>
          <t>500ml</t>
        </is>
      </c>
      <c r="H5589" s="7" t="n">
        <v>190801</v>
      </c>
      <c r="I5589" s="7" t="n">
        <v>190801</v>
      </c>
      <c r="J5589" s="94" t="n"/>
      <c r="K5589" s="6" t="n">
        <v>20</v>
      </c>
      <c r="L5589" s="7" t="n">
        <v>190801</v>
      </c>
      <c r="M5589" s="94">
        <f>VLOOKUP($Q5589,매칭테이블!$F:$I,2,0)*K5589</f>
        <v/>
      </c>
      <c r="N5589" s="94">
        <f>M5589-M5589*VLOOKUP($Q5589,매칭테이블!$F:$I,3,0)</f>
        <v/>
      </c>
      <c r="O5589" s="94">
        <f>VLOOKUP($Q5589,매칭테이블!$F:$I,4,0)*K5589</f>
        <v/>
      </c>
      <c r="P5589" s="148">
        <f>M5589/1.1</f>
        <v/>
      </c>
      <c r="Q5589" s="94">
        <f>F5589&amp;E5589&amp;G5589&amp;L5589</f>
        <v/>
      </c>
    </row>
    <row r="5590">
      <c r="A5590" s="94" t="n"/>
      <c r="B5590" s="128" t="n">
        <v>43935</v>
      </c>
      <c r="C5590" s="94">
        <f>TEXT(B5590,"aaa")</f>
        <v/>
      </c>
      <c r="D5590" s="94" t="n"/>
      <c r="E5590" s="94" t="inlineStr">
        <is>
          <t>앰플</t>
        </is>
      </c>
      <c r="F5590" s="94" t="inlineStr">
        <is>
          <t>아누아 CS</t>
        </is>
      </c>
      <c r="G5590" s="94" t="inlineStr">
        <is>
          <t>앰플 30ml</t>
        </is>
      </c>
      <c r="H5590" s="7" t="n">
        <v>190801</v>
      </c>
      <c r="I5590" s="7" t="n">
        <v>190801</v>
      </c>
      <c r="J5590" s="94" t="n"/>
      <c r="K5590" s="94" t="n">
        <v>22</v>
      </c>
      <c r="L5590" s="94" t="n">
        <v>190801</v>
      </c>
      <c r="M5590" s="94">
        <f>VLOOKUP($Q5590,매칭테이블!$F:$I,2,0)*K5590</f>
        <v/>
      </c>
      <c r="N5590" s="94">
        <f>M5590-M5590*VLOOKUP($Q5590,매칭테이블!$F:$I,3,0)</f>
        <v/>
      </c>
      <c r="O5590" s="94">
        <f>VLOOKUP($Q5590,매칭테이블!$F:$I,4,0)*K5590</f>
        <v/>
      </c>
      <c r="P5590" s="148">
        <f>M5590/1.1</f>
        <v/>
      </c>
      <c r="Q5590" s="94">
        <f>F5590&amp;E5590&amp;G5590&amp;L5590</f>
        <v/>
      </c>
    </row>
    <row r="5591">
      <c r="A5591" s="94" t="n"/>
      <c r="B5591" s="128" t="n">
        <v>43935</v>
      </c>
      <c r="C5591" s="94">
        <f>TEXT(B5591,"aaa")</f>
        <v/>
      </c>
      <c r="D5591" s="94" t="n"/>
      <c r="E5591" s="94" t="inlineStr">
        <is>
          <t>수딩크림</t>
        </is>
      </c>
      <c r="F5591" s="94" t="inlineStr">
        <is>
          <t>아누아 CS</t>
        </is>
      </c>
      <c r="G5591" s="94" t="inlineStr">
        <is>
          <t>수딩크림 100ml</t>
        </is>
      </c>
      <c r="H5591" s="7" t="n">
        <v>190801</v>
      </c>
      <c r="I5591" s="7" t="n">
        <v>190801</v>
      </c>
      <c r="J5591" s="94" t="n"/>
      <c r="K5591" s="94" t="n">
        <v>22</v>
      </c>
      <c r="L5591" s="94" t="n">
        <v>190801</v>
      </c>
      <c r="M5591" s="94">
        <f>VLOOKUP($Q5591,매칭테이블!$F:$I,2,0)*K5591</f>
        <v/>
      </c>
      <c r="N5591" s="94">
        <f>M5591-M5591*VLOOKUP($Q5591,매칭테이블!$F:$I,3,0)</f>
        <v/>
      </c>
      <c r="O5591" s="94">
        <f>VLOOKUP($Q5591,매칭테이블!$F:$I,4,0)*K5591</f>
        <v/>
      </c>
      <c r="P5591" s="148">
        <f>M5591/1.1</f>
        <v/>
      </c>
      <c r="Q5591" s="94">
        <f>F5591&amp;E5591&amp;G5591&amp;L5591</f>
        <v/>
      </c>
    </row>
    <row r="5592">
      <c r="A5592" s="94" t="n"/>
      <c r="B5592" s="128" t="n">
        <v>43935</v>
      </c>
      <c r="C5592" s="94">
        <f>TEXT(B5592,"aaa")</f>
        <v/>
      </c>
      <c r="D5592" s="94" t="n"/>
      <c r="E5592" s="94" t="inlineStr">
        <is>
          <t>마스크팩</t>
        </is>
      </c>
      <c r="F5592" s="94" t="inlineStr">
        <is>
          <t>아누아 CS</t>
        </is>
      </c>
      <c r="G5592" s="94" t="inlineStr">
        <is>
          <t>마스크팩 10매</t>
        </is>
      </c>
      <c r="H5592" s="7" t="n">
        <v>190801</v>
      </c>
      <c r="I5592" s="7" t="n">
        <v>190801</v>
      </c>
      <c r="J5592" s="94" t="n"/>
      <c r="K5592" s="94" t="n">
        <v>22</v>
      </c>
      <c r="L5592" s="94" t="n">
        <v>190801</v>
      </c>
      <c r="M5592" s="94">
        <f>VLOOKUP($Q5592,매칭테이블!$F:$I,2,0)*K5592</f>
        <v/>
      </c>
      <c r="N5592" s="94">
        <f>M5592-M5592*VLOOKUP($Q5592,매칭테이블!$F:$I,3,0)</f>
        <v/>
      </c>
      <c r="O5592" s="94">
        <f>VLOOKUP($Q5592,매칭테이블!$F:$I,4,0)*K5592</f>
        <v/>
      </c>
      <c r="P5592" s="148">
        <f>M5592/1.1</f>
        <v/>
      </c>
      <c r="Q5592" s="94">
        <f>F5592&amp;E5592&amp;G5592&amp;L5592</f>
        <v/>
      </c>
    </row>
    <row r="5593">
      <c r="A5593" s="94" t="n"/>
      <c r="B5593" s="128" t="n">
        <v>43935</v>
      </c>
      <c r="C5593" s="94">
        <f>TEXT(B5593,"aaa")</f>
        <v/>
      </c>
      <c r="D5593" s="94" t="n"/>
      <c r="E5593" s="94" t="inlineStr">
        <is>
          <t>수딩크림</t>
        </is>
      </c>
      <c r="F5593" s="94" t="inlineStr">
        <is>
          <t>카페24</t>
        </is>
      </c>
      <c r="G5593" s="94" t="inlineStr">
        <is>
          <t>[플친 단독 30% off] 어성초 78 수딩 크림</t>
        </is>
      </c>
      <c r="H5593" s="7" t="n">
        <v>190801</v>
      </c>
      <c r="I5593" s="7" t="n">
        <v>190801</v>
      </c>
      <c r="J5593" s="94" t="n"/>
      <c r="K5593" s="6" t="n">
        <v>52</v>
      </c>
      <c r="L5593" s="7" t="n">
        <v>190801</v>
      </c>
      <c r="M5593" s="94">
        <f>VLOOKUP($Q5593,매칭테이블!$F:$I,2,0)*K5593</f>
        <v/>
      </c>
      <c r="N5593" s="94">
        <f>M5593-M5593*VLOOKUP($Q5593,매칭테이블!$F:$I,3,0)</f>
        <v/>
      </c>
      <c r="O5593" s="94">
        <f>VLOOKUP($Q5593,매칭테이블!$F:$I,4,0)*K5593</f>
        <v/>
      </c>
      <c r="P5593" s="148">
        <f>M5593/1.1</f>
        <v/>
      </c>
      <c r="Q5593" s="94">
        <f>F5593&amp;E5593&amp;G5593&amp;L5593</f>
        <v/>
      </c>
    </row>
    <row r="5594">
      <c r="A5594" s="94" t="n"/>
      <c r="B5594" s="128" t="n">
        <v>43935</v>
      </c>
      <c r="C5594" s="94">
        <f>TEXT(B5594,"aaa")</f>
        <v/>
      </c>
      <c r="D5594" s="94" t="n"/>
      <c r="E5594" s="94" t="inlineStr">
        <is>
          <t>앰플</t>
        </is>
      </c>
      <c r="F5594" s="94" t="inlineStr">
        <is>
          <t>카페24</t>
        </is>
      </c>
      <c r="G5594" s="94" t="inlineStr">
        <is>
          <t>[플친 단독 30% off] 어성초 80 수분 진정 앰플</t>
        </is>
      </c>
      <c r="H5594" s="7" t="n">
        <v>190801</v>
      </c>
      <c r="I5594" s="7" t="n">
        <v>190801</v>
      </c>
      <c r="J5594" s="94" t="n"/>
      <c r="K5594" s="6" t="n">
        <v>57</v>
      </c>
      <c r="L5594" s="7" t="n">
        <v>190801</v>
      </c>
      <c r="M5594" s="94">
        <f>VLOOKUP($Q5594,매칭테이블!$F:$I,2,0)*K5594</f>
        <v/>
      </c>
      <c r="N5594" s="94">
        <f>M5594-M5594*VLOOKUP($Q5594,매칭테이블!$F:$I,3,0)</f>
        <v/>
      </c>
      <c r="O5594" s="94">
        <f>VLOOKUP($Q5594,매칭테이블!$F:$I,4,0)*K5594</f>
        <v/>
      </c>
      <c r="P5594" s="148">
        <f>M5594/1.1</f>
        <v/>
      </c>
      <c r="Q5594" s="94">
        <f>F5594&amp;E5594&amp;G5594&amp;L5594</f>
        <v/>
      </c>
    </row>
    <row r="5595">
      <c r="A5595" s="94" t="n"/>
      <c r="B5595" s="128" t="n">
        <v>43935</v>
      </c>
      <c r="C5595" s="94">
        <f>TEXT(B5595,"aaa")</f>
        <v/>
      </c>
      <c r="D5595" s="94" t="n"/>
      <c r="E5595" s="94" t="inlineStr">
        <is>
          <t>머드크림마스크</t>
        </is>
      </c>
      <c r="F5595" s="94" t="inlineStr">
        <is>
          <t>카페24</t>
        </is>
      </c>
      <c r="G5595" s="94" t="inlineStr">
        <is>
          <t>머드크림마스크 100ml</t>
        </is>
      </c>
      <c r="H5595" s="7" t="n">
        <v>190801</v>
      </c>
      <c r="I5595" s="7" t="n">
        <v>190801</v>
      </c>
      <c r="J5595" s="94" t="n"/>
      <c r="K5595" s="6" t="n">
        <v>19</v>
      </c>
      <c r="L5595" s="94" t="n">
        <v>190801</v>
      </c>
      <c r="M5595" s="94">
        <f>VLOOKUP($Q5595,매칭테이블!$F:$I,2,0)*K5595</f>
        <v/>
      </c>
      <c r="N5595" s="94">
        <f>M5595-M5595*VLOOKUP($Q5595,매칭테이블!$F:$I,3,0)</f>
        <v/>
      </c>
      <c r="O5595" s="94">
        <f>VLOOKUP($Q5595,매칭테이블!$F:$I,4,0)*K5595</f>
        <v/>
      </c>
      <c r="P5595" s="148">
        <f>M5595/1.1</f>
        <v/>
      </c>
      <c r="Q5595" s="94">
        <f>F5595&amp;E5595&amp;G5595&amp;L5595</f>
        <v/>
      </c>
    </row>
    <row r="5596">
      <c r="A5596" s="94" t="n"/>
      <c r="B5596" s="128" t="n">
        <v>43935</v>
      </c>
      <c r="C5596" s="94">
        <f>TEXT(B5596,"aaa")</f>
        <v/>
      </c>
      <c r="D5596" s="94" t="n"/>
      <c r="E5596" s="94" t="inlineStr">
        <is>
          <t>머드크림마스크</t>
        </is>
      </c>
      <c r="F5596" s="94" t="inlineStr">
        <is>
          <t>카페24</t>
        </is>
      </c>
      <c r="G5596" s="94" t="inlineStr">
        <is>
          <t>머드크림마스크 100ml 2set</t>
        </is>
      </c>
      <c r="H5596" s="7" t="n">
        <v>190801</v>
      </c>
      <c r="I5596" s="7" t="n">
        <v>190801</v>
      </c>
      <c r="J5596" s="94" t="n"/>
      <c r="K5596" s="6" t="n">
        <v>5</v>
      </c>
      <c r="L5596" s="94" t="n">
        <v>190801</v>
      </c>
      <c r="M5596" s="94">
        <f>VLOOKUP($Q5596,매칭테이블!$F:$I,2,0)*K5596</f>
        <v/>
      </c>
      <c r="N5596" s="94">
        <f>M5596-M5596*VLOOKUP($Q5596,매칭테이블!$F:$I,3,0)</f>
        <v/>
      </c>
      <c r="O5596" s="94">
        <f>VLOOKUP($Q5596,매칭테이블!$F:$I,4,0)*K5596</f>
        <v/>
      </c>
      <c r="P5596" s="148">
        <f>M5596/1.1</f>
        <v/>
      </c>
      <c r="Q5596" s="94">
        <f>F5596&amp;E5596&amp;G5596&amp;L5596</f>
        <v/>
      </c>
    </row>
    <row r="5597">
      <c r="A5597" s="94" t="n"/>
      <c r="B5597" s="128" t="n">
        <v>43935</v>
      </c>
      <c r="C5597" s="94">
        <f>TEXT(B5597,"aaa")</f>
        <v/>
      </c>
      <c r="D5597" s="94" t="n"/>
      <c r="E5597" s="94" t="inlineStr">
        <is>
          <t>마스크팩</t>
        </is>
      </c>
      <c r="F5597" s="94" t="inlineStr">
        <is>
          <t>카페24</t>
        </is>
      </c>
      <c r="G5597" s="94" t="inlineStr">
        <is>
          <t>마스크팩 1매</t>
        </is>
      </c>
      <c r="H5597" s="7" t="n">
        <v>190801</v>
      </c>
      <c r="I5597" s="7" t="n">
        <v>190801</v>
      </c>
      <c r="J5597" s="94" t="n"/>
      <c r="K5597" s="6" t="n">
        <v>9</v>
      </c>
      <c r="L5597" s="94" t="n">
        <v>190801</v>
      </c>
      <c r="M5597" s="94">
        <f>VLOOKUP($Q5597,매칭테이블!$F:$I,2,0)*K5597</f>
        <v/>
      </c>
      <c r="N5597" s="94">
        <f>M5597-M5597*VLOOKUP($Q5597,매칭테이블!$F:$I,3,0)</f>
        <v/>
      </c>
      <c r="O5597" s="94">
        <f>VLOOKUP($Q5597,매칭테이블!$F:$I,4,0)*K5597</f>
        <v/>
      </c>
      <c r="P5597" s="148">
        <f>M5597/1.1</f>
        <v/>
      </c>
      <c r="Q5597" s="94">
        <f>F5597&amp;E5597&amp;G5597&amp;L5597</f>
        <v/>
      </c>
    </row>
    <row r="5598">
      <c r="A5598" s="94" t="n"/>
      <c r="B5598" s="128" t="n">
        <v>43935</v>
      </c>
      <c r="C5598" s="94">
        <f>TEXT(B5598,"aaa")</f>
        <v/>
      </c>
      <c r="D5598" s="94" t="n"/>
      <c r="E5598" s="94" t="inlineStr">
        <is>
          <t>마스크팩</t>
        </is>
      </c>
      <c r="F5598" s="94" t="inlineStr">
        <is>
          <t>카페24</t>
        </is>
      </c>
      <c r="G5598" s="94" t="inlineStr">
        <is>
          <t>마스크팩 10매</t>
        </is>
      </c>
      <c r="H5598" s="7" t="n">
        <v>190801</v>
      </c>
      <c r="I5598" s="7" t="n">
        <v>190801</v>
      </c>
      <c r="J5598" s="94" t="n"/>
      <c r="K5598" s="6" t="n">
        <v>10</v>
      </c>
      <c r="L5598" s="94" t="n">
        <v>190801</v>
      </c>
      <c r="M5598" s="94">
        <f>VLOOKUP($Q5598,매칭테이블!$F:$I,2,0)*K5598</f>
        <v/>
      </c>
      <c r="N5598" s="94">
        <f>M5598-M5598*VLOOKUP($Q5598,매칭테이블!$F:$I,3,0)</f>
        <v/>
      </c>
      <c r="O5598" s="94">
        <f>VLOOKUP($Q5598,매칭테이블!$F:$I,4,0)*K5598</f>
        <v/>
      </c>
      <c r="P5598" s="148">
        <f>M5598/1.1</f>
        <v/>
      </c>
      <c r="Q5598" s="94">
        <f>F5598&amp;E5598&amp;G5598&amp;L5598</f>
        <v/>
      </c>
    </row>
    <row r="5599">
      <c r="A5599" s="94" t="n"/>
      <c r="B5599" s="128" t="n">
        <v>43935</v>
      </c>
      <c r="C5599" s="94">
        <f>TEXT(B5599,"aaa")</f>
        <v/>
      </c>
      <c r="D5599" s="94" t="n"/>
      <c r="E5599" s="6" t="inlineStr">
        <is>
          <t>토너</t>
        </is>
      </c>
      <c r="F5599" s="5" t="inlineStr">
        <is>
          <t>카페24</t>
        </is>
      </c>
      <c r="G5599" s="5" t="inlineStr">
        <is>
          <t>250ml</t>
        </is>
      </c>
      <c r="H5599" s="7" t="n">
        <v>190801</v>
      </c>
      <c r="I5599" s="7" t="n">
        <v>190801</v>
      </c>
      <c r="J5599" s="94" t="n"/>
      <c r="K5599" s="6" t="n">
        <v>99</v>
      </c>
      <c r="L5599" s="7" t="n">
        <v>190801</v>
      </c>
      <c r="M5599" s="94">
        <f>VLOOKUP($Q5599,매칭테이블!$F:$I,2,0)*K5599</f>
        <v/>
      </c>
      <c r="N5599" s="94">
        <f>M5599-M5599*VLOOKUP($Q5599,매칭테이블!$F:$I,3,0)</f>
        <v/>
      </c>
      <c r="O5599" s="94">
        <f>VLOOKUP($Q5599,매칭테이블!$F:$I,4,0)*K5599</f>
        <v/>
      </c>
      <c r="P5599" s="148">
        <f>M5599/1.1</f>
        <v/>
      </c>
      <c r="Q5599" s="94">
        <f>F5599&amp;E5599&amp;G5599&amp;L5599</f>
        <v/>
      </c>
    </row>
    <row r="5600">
      <c r="A5600" s="94" t="n"/>
      <c r="B5600" s="128" t="n">
        <v>43935</v>
      </c>
      <c r="C5600" s="94">
        <f>TEXT(B5600,"aaa")</f>
        <v/>
      </c>
      <c r="D5600" s="94" t="n"/>
      <c r="E5600" s="6" t="inlineStr">
        <is>
          <t>토너</t>
        </is>
      </c>
      <c r="F5600" s="5" t="inlineStr">
        <is>
          <t>카페24</t>
        </is>
      </c>
      <c r="G5600" s="5" t="inlineStr">
        <is>
          <t>250ml 2set</t>
        </is>
      </c>
      <c r="H5600" s="7" t="n">
        <v>190801</v>
      </c>
      <c r="I5600" s="7" t="n">
        <v>190801</v>
      </c>
      <c r="J5600" s="94" t="n"/>
      <c r="K5600" s="6" t="n">
        <v>52</v>
      </c>
      <c r="L5600" s="7" t="n">
        <v>190801</v>
      </c>
      <c r="M5600" s="94">
        <f>VLOOKUP($Q5600,매칭테이블!$F:$I,2,0)*K5600</f>
        <v/>
      </c>
      <c r="N5600" s="94">
        <f>M5600-M5600*VLOOKUP($Q5600,매칭테이블!$F:$I,3,0)</f>
        <v/>
      </c>
      <c r="O5600" s="94">
        <f>VLOOKUP($Q5600,매칭테이블!$F:$I,4,0)*K5600</f>
        <v/>
      </c>
      <c r="P5600" s="148">
        <f>M5600/1.1</f>
        <v/>
      </c>
      <c r="Q5600" s="94">
        <f>F5600&amp;E5600&amp;G5600&amp;L5600</f>
        <v/>
      </c>
    </row>
    <row r="5601">
      <c r="A5601" s="94" t="n"/>
      <c r="B5601" s="128" t="n">
        <v>43935</v>
      </c>
      <c r="C5601" s="94">
        <f>TEXT(B5601,"aaa")</f>
        <v/>
      </c>
      <c r="D5601" s="94" t="n"/>
      <c r="E5601" s="6" t="inlineStr">
        <is>
          <t>토너</t>
        </is>
      </c>
      <c r="F5601" s="5" t="inlineStr">
        <is>
          <t>카페24</t>
        </is>
      </c>
      <c r="G5601" s="5" t="inlineStr">
        <is>
          <t>500ml</t>
        </is>
      </c>
      <c r="H5601" s="7" t="n">
        <v>190801</v>
      </c>
      <c r="I5601" s="7" t="n">
        <v>190801</v>
      </c>
      <c r="J5601" s="94" t="n"/>
      <c r="K5601" s="6" t="n">
        <v>72</v>
      </c>
      <c r="L5601" s="7" t="n">
        <v>190801</v>
      </c>
      <c r="M5601" s="94">
        <f>VLOOKUP($Q5601,매칭테이블!$F:$I,2,0)*K5601</f>
        <v/>
      </c>
      <c r="N5601" s="94">
        <f>M5601-M5601*VLOOKUP($Q5601,매칭테이블!$F:$I,3,0)</f>
        <v/>
      </c>
      <c r="O5601" s="94">
        <f>VLOOKUP($Q5601,매칭테이블!$F:$I,4,0)*K5601</f>
        <v/>
      </c>
      <c r="P5601" s="148">
        <f>M5601/1.1</f>
        <v/>
      </c>
      <c r="Q5601" s="94">
        <f>F5601&amp;E5601&amp;G5601&amp;L5601</f>
        <v/>
      </c>
    </row>
    <row r="5602">
      <c r="A5602" s="94" t="n"/>
      <c r="B5602" s="128" t="n">
        <v>43935</v>
      </c>
      <c r="C5602" s="94">
        <f>TEXT(B5602,"aaa")</f>
        <v/>
      </c>
      <c r="D5602" s="94" t="n"/>
      <c r="E5602" s="6" t="inlineStr">
        <is>
          <t>토너</t>
        </is>
      </c>
      <c r="F5602" s="5" t="inlineStr">
        <is>
          <t>카페24</t>
        </is>
      </c>
      <c r="G5602" s="94" t="inlineStr">
        <is>
          <t>스킨팩 화장솜 60P</t>
        </is>
      </c>
      <c r="H5602" s="7" t="n">
        <v>190801</v>
      </c>
      <c r="I5602" s="7" t="n">
        <v>190801</v>
      </c>
      <c r="J5602" s="94" t="n"/>
      <c r="K5602" s="6" t="n">
        <v>105</v>
      </c>
      <c r="L5602" s="7" t="n">
        <v>190801</v>
      </c>
      <c r="M5602" s="94">
        <f>VLOOKUP($Q5602,매칭테이블!$F:$I,2,0)*K5602</f>
        <v/>
      </c>
      <c r="N5602" s="94">
        <f>M5602-M5602*VLOOKUP($Q5602,매칭테이블!$F:$I,3,0)</f>
        <v/>
      </c>
      <c r="O5602" s="94">
        <f>VLOOKUP($Q5602,매칭테이블!$F:$I,4,0)*K5602</f>
        <v/>
      </c>
      <c r="P5602" s="148">
        <f>M5602/1.1</f>
        <v/>
      </c>
      <c r="Q5602" s="94">
        <f>F5602&amp;E5602&amp;G5602&amp;L5602</f>
        <v/>
      </c>
    </row>
    <row r="5603">
      <c r="A5603" s="94" t="n"/>
      <c r="B5603" s="128" t="n">
        <v>43935</v>
      </c>
      <c r="C5603" s="94">
        <f>TEXT(B5603,"aaa")</f>
        <v/>
      </c>
      <c r="D5603" s="94" t="n"/>
      <c r="E5603" s="94" t="inlineStr">
        <is>
          <t>앰플</t>
        </is>
      </c>
      <c r="F5603" s="5" t="inlineStr">
        <is>
          <t>카페24</t>
        </is>
      </c>
      <c r="G5603" s="94" t="inlineStr">
        <is>
          <t>앰플 30ml</t>
        </is>
      </c>
      <c r="H5603" s="7" t="n">
        <v>190801</v>
      </c>
      <c r="I5603" s="7" t="n">
        <v>190801</v>
      </c>
      <c r="J5603" s="94" t="n"/>
      <c r="K5603" s="6" t="n">
        <v>15</v>
      </c>
      <c r="L5603" s="94" t="n">
        <v>190801</v>
      </c>
      <c r="M5603" s="94">
        <f>VLOOKUP($Q5603,매칭테이블!$F:$I,2,0)*K5603</f>
        <v/>
      </c>
      <c r="N5603" s="94">
        <f>M5603-M5603*VLOOKUP($Q5603,매칭테이블!$F:$I,3,0)</f>
        <v/>
      </c>
      <c r="O5603" s="94">
        <f>VLOOKUP($Q5603,매칭테이블!$F:$I,4,0)*K5603</f>
        <v/>
      </c>
      <c r="P5603" s="148">
        <f>M5603/1.1</f>
        <v/>
      </c>
      <c r="Q5603" s="94">
        <f>F5603&amp;E5603&amp;G5603&amp;L5603</f>
        <v/>
      </c>
    </row>
    <row r="5604">
      <c r="A5604" s="94" t="n"/>
      <c r="B5604" s="128" t="n">
        <v>43935</v>
      </c>
      <c r="C5604" s="94">
        <f>TEXT(B5604,"aaa")</f>
        <v/>
      </c>
      <c r="D5604" s="94" t="n"/>
      <c r="E5604" s="94" t="inlineStr">
        <is>
          <t>수딩크림</t>
        </is>
      </c>
      <c r="F5604" s="5" t="inlineStr">
        <is>
          <t>카페24</t>
        </is>
      </c>
      <c r="G5604" s="94" t="inlineStr">
        <is>
          <t>수딩크림 100ml</t>
        </is>
      </c>
      <c r="H5604" s="7" t="n">
        <v>190801</v>
      </c>
      <c r="I5604" s="7" t="n">
        <v>190801</v>
      </c>
      <c r="J5604" s="94" t="n"/>
      <c r="K5604" s="6" t="n">
        <v>7</v>
      </c>
      <c r="L5604" s="94" t="n">
        <v>190801</v>
      </c>
      <c r="M5604" s="94">
        <f>VLOOKUP($Q5604,매칭테이블!$F:$I,2,0)*K5604</f>
        <v/>
      </c>
      <c r="N5604" s="94">
        <f>M5604-M5604*VLOOKUP($Q5604,매칭테이블!$F:$I,3,0)</f>
        <v/>
      </c>
      <c r="O5604" s="94">
        <f>VLOOKUP($Q5604,매칭테이블!$F:$I,4,0)*K5604</f>
        <v/>
      </c>
      <c r="P5604" s="148">
        <f>M5604/1.1</f>
        <v/>
      </c>
      <c r="Q5604" s="94">
        <f>F5604&amp;E5604&amp;G5604&amp;L5604</f>
        <v/>
      </c>
    </row>
    <row r="5605">
      <c r="A5605" s="94" t="n"/>
      <c r="B5605" s="128" t="n">
        <v>43935</v>
      </c>
      <c r="C5605" s="94">
        <f>TEXT(B5605,"aaa")</f>
        <v/>
      </c>
      <c r="D5605" s="94" t="n"/>
      <c r="E5605" s="94" t="inlineStr">
        <is>
          <t>토너+머드크림세트</t>
        </is>
      </c>
      <c r="F5605" s="94" t="inlineStr">
        <is>
          <t>카페24</t>
        </is>
      </c>
      <c r="G5605" s="94" t="inlineStr">
        <is>
          <t>250ml</t>
        </is>
      </c>
      <c r="H5605" s="7" t="n">
        <v>190801</v>
      </c>
      <c r="I5605" s="7" t="n">
        <v>190801</v>
      </c>
      <c r="J5605" s="94" t="n"/>
      <c r="K5605" s="6" t="n">
        <v>1</v>
      </c>
      <c r="L5605" s="94" t="n">
        <v>190801</v>
      </c>
      <c r="M5605" s="94">
        <f>VLOOKUP($Q5605,매칭테이블!$F:$I,2,0)*K5605</f>
        <v/>
      </c>
      <c r="N5605" s="94">
        <f>M5605-M5605*VLOOKUP($Q5605,매칭테이블!$F:$I,3,0)</f>
        <v/>
      </c>
      <c r="O5605" s="94">
        <f>VLOOKUP($Q5605,매칭테이블!$F:$I,4,0)*K5605</f>
        <v/>
      </c>
      <c r="P5605" s="148">
        <f>M5605/1.1</f>
        <v/>
      </c>
      <c r="Q5605" s="94">
        <f>F5605&amp;E5605&amp;G5605&amp;L5605</f>
        <v/>
      </c>
    </row>
    <row r="5606">
      <c r="A5606" s="94" t="n"/>
      <c r="B5606" s="128" t="n">
        <v>43935</v>
      </c>
      <c r="C5606" s="94">
        <f>TEXT(B5606,"aaa")</f>
        <v/>
      </c>
      <c r="D5606" s="94" t="n"/>
      <c r="E5606" s="94" t="inlineStr">
        <is>
          <t>토너+머드크림세트</t>
        </is>
      </c>
      <c r="F5606" s="94" t="inlineStr">
        <is>
          <t>카페24</t>
        </is>
      </c>
      <c r="G5606" s="94" t="inlineStr">
        <is>
          <t>머드크림마스크 100ml</t>
        </is>
      </c>
      <c r="H5606" s="7" t="n">
        <v>190801</v>
      </c>
      <c r="I5606" s="7" t="n">
        <v>190801</v>
      </c>
      <c r="J5606" s="94" t="n"/>
      <c r="K5606" s="6" t="n">
        <v>1</v>
      </c>
      <c r="L5606" s="94" t="n">
        <v>190801</v>
      </c>
      <c r="M5606" s="94">
        <f>VLOOKUP($Q5606,매칭테이블!$F:$I,2,0)*K5606</f>
        <v/>
      </c>
      <c r="N5606" s="94">
        <f>M5606-M5606*VLOOKUP($Q5606,매칭테이블!$F:$I,3,0)</f>
        <v/>
      </c>
      <c r="O5606" s="94">
        <f>VLOOKUP($Q5606,매칭테이블!$F:$I,4,0)*K5606</f>
        <v/>
      </c>
      <c r="P5606" s="148">
        <f>M5606/1.1</f>
        <v/>
      </c>
      <c r="Q5606" s="94">
        <f>F5606&amp;E5606&amp;G5606&amp;L5606</f>
        <v/>
      </c>
    </row>
    <row r="5607">
      <c r="A5607" s="94" t="n"/>
      <c r="B5607" s="128" t="n">
        <v>43935</v>
      </c>
      <c r="C5607" s="94">
        <f>TEXT(B5607,"aaa")</f>
        <v/>
      </c>
      <c r="D5607" s="94" t="n"/>
      <c r="E5607" s="94" t="inlineStr">
        <is>
          <t>토너</t>
        </is>
      </c>
      <c r="F5607" s="94" t="inlineStr">
        <is>
          <t>큐텐</t>
        </is>
      </c>
      <c r="G5607" s="94" t="inlineStr">
        <is>
          <t>250ml</t>
        </is>
      </c>
      <c r="H5607" s="7" t="n">
        <v>190801</v>
      </c>
      <c r="I5607" s="7" t="n">
        <v>190801</v>
      </c>
      <c r="J5607" s="94" t="n"/>
      <c r="K5607" s="6" t="n">
        <v>17</v>
      </c>
      <c r="L5607" s="92" t="n">
        <v>190801</v>
      </c>
      <c r="M5607" s="94">
        <f>VLOOKUP($Q5607,매칭테이블!$F:$I,2,0)*K5607</f>
        <v/>
      </c>
      <c r="N5607" s="94">
        <f>M5607-M5607*VLOOKUP($Q5607,매칭테이블!$F:$I,3,0)</f>
        <v/>
      </c>
      <c r="O5607" s="94">
        <f>VLOOKUP($Q5607,매칭테이블!$F:$I,4,0)*K5607</f>
        <v/>
      </c>
      <c r="P5607" s="148">
        <f>M5607/1.1</f>
        <v/>
      </c>
      <c r="Q5607" s="94">
        <f>F5607&amp;E5607&amp;G5607&amp;L5607</f>
        <v/>
      </c>
    </row>
    <row r="5608">
      <c r="A5608" s="94" t="n"/>
      <c r="B5608" s="128" t="n">
        <v>43935</v>
      </c>
      <c r="C5608" s="94">
        <f>TEXT(B5608,"aaa")</f>
        <v/>
      </c>
      <c r="D5608" s="94" t="n"/>
      <c r="E5608" s="94" t="inlineStr">
        <is>
          <t>토너</t>
        </is>
      </c>
      <c r="F5608" s="94" t="inlineStr">
        <is>
          <t>큐텐</t>
        </is>
      </c>
      <c r="G5608" s="94" t="inlineStr">
        <is>
          <t>250ml 2set</t>
        </is>
      </c>
      <c r="H5608" s="7" t="n">
        <v>190801</v>
      </c>
      <c r="I5608" s="7" t="n">
        <v>190801</v>
      </c>
      <c r="J5608" s="94" t="n"/>
      <c r="K5608" s="6" t="n">
        <v>5</v>
      </c>
      <c r="L5608" s="92" t="n">
        <v>190801</v>
      </c>
      <c r="M5608" s="94">
        <f>VLOOKUP($Q5608,매칭테이블!$F:$I,2,0)*K5608</f>
        <v/>
      </c>
      <c r="N5608" s="94">
        <f>M5608-M5608*VLOOKUP($Q5608,매칭테이블!$F:$I,3,0)</f>
        <v/>
      </c>
      <c r="O5608" s="94">
        <f>VLOOKUP($Q5608,매칭테이블!$F:$I,4,0)*K5608</f>
        <v/>
      </c>
      <c r="P5608" s="148">
        <f>M5608/1.1</f>
        <v/>
      </c>
      <c r="Q5608" s="94">
        <f>F5608&amp;E5608&amp;G5608&amp;L5608</f>
        <v/>
      </c>
    </row>
    <row r="5609">
      <c r="A5609" s="94" t="n"/>
      <c r="B5609" s="128" t="n">
        <v>43936</v>
      </c>
      <c r="C5609" s="94">
        <f>TEXT(B5609,"aaa")</f>
        <v/>
      </c>
      <c r="D5609" s="94" t="n"/>
      <c r="E5609" s="94" t="inlineStr">
        <is>
          <t>토너</t>
        </is>
      </c>
      <c r="F5609" s="5" t="inlineStr">
        <is>
          <t>스타일쉐어</t>
        </is>
      </c>
      <c r="G5609" s="94" t="inlineStr">
        <is>
          <t>250ml</t>
        </is>
      </c>
      <c r="H5609" s="7" t="n">
        <v>190801</v>
      </c>
      <c r="I5609" s="7" t="n">
        <v>190801</v>
      </c>
      <c r="J5609" s="94" t="n"/>
      <c r="K5609" s="6" t="n">
        <v>15</v>
      </c>
      <c r="L5609" s="7" t="n">
        <v>190801</v>
      </c>
      <c r="M5609" s="94">
        <f>VLOOKUP($Q5609,매칭테이블!$F:$I,2,0)*K5609</f>
        <v/>
      </c>
      <c r="N5609" s="94">
        <f>M5609-M5609*VLOOKUP($Q5609,매칭테이블!$F:$I,3,0)</f>
        <v/>
      </c>
      <c r="O5609" s="94">
        <f>VLOOKUP($Q5609,매칭테이블!$F:$I,4,0)*K5609</f>
        <v/>
      </c>
      <c r="P5609" s="148">
        <f>M5609/1.1</f>
        <v/>
      </c>
      <c r="Q5609" s="94">
        <f>F5609&amp;E5609&amp;G5609&amp;L5609</f>
        <v/>
      </c>
    </row>
    <row r="5610">
      <c r="A5610" s="94" t="n"/>
      <c r="B5610" s="128" t="n">
        <v>43936</v>
      </c>
      <c r="C5610" s="94">
        <f>TEXT(B5610,"aaa")</f>
        <v/>
      </c>
      <c r="D5610" s="94" t="n"/>
      <c r="E5610" s="94" t="inlineStr">
        <is>
          <t>앰플</t>
        </is>
      </c>
      <c r="F5610" s="94" t="inlineStr">
        <is>
          <t>카페24</t>
        </is>
      </c>
      <c r="G5610" s="94" t="inlineStr">
        <is>
          <t>[플친 단독 30% off] 어성초 80 수분 진정 앰플</t>
        </is>
      </c>
      <c r="H5610" s="7" t="n">
        <v>190801</v>
      </c>
      <c r="I5610" s="7" t="n">
        <v>190801</v>
      </c>
      <c r="J5610" s="94" t="n"/>
      <c r="K5610" s="6" t="n">
        <v>2</v>
      </c>
      <c r="L5610" s="7" t="n">
        <v>190801</v>
      </c>
      <c r="M5610" s="94">
        <f>VLOOKUP($Q5610,매칭테이블!$F:$I,2,0)*K5610</f>
        <v/>
      </c>
      <c r="N5610" s="94">
        <f>M5610-M5610*VLOOKUP($Q5610,매칭테이블!$F:$I,3,0)</f>
        <v/>
      </c>
      <c r="O5610" s="94">
        <f>VLOOKUP($Q5610,매칭테이블!$F:$I,4,0)*K5610</f>
        <v/>
      </c>
      <c r="P5610" s="148">
        <f>M5610/1.1</f>
        <v/>
      </c>
      <c r="Q5610" s="94">
        <f>F5610&amp;E5610&amp;G5610&amp;L5610</f>
        <v/>
      </c>
    </row>
    <row r="5611">
      <c r="A5611" s="94" t="n"/>
      <c r="B5611" s="128" t="n">
        <v>43936</v>
      </c>
      <c r="C5611" s="94">
        <f>TEXT(B5611,"aaa")</f>
        <v/>
      </c>
      <c r="D5611" s="94" t="n"/>
      <c r="E5611" s="94" t="inlineStr">
        <is>
          <t>수딩크림</t>
        </is>
      </c>
      <c r="F5611" s="94" t="inlineStr">
        <is>
          <t>카페24</t>
        </is>
      </c>
      <c r="G5611" s="94" t="inlineStr">
        <is>
          <t>[플친 단독 30% off] 어성초 78 수딩 크림</t>
        </is>
      </c>
      <c r="H5611" s="7" t="n">
        <v>190801</v>
      </c>
      <c r="I5611" s="7" t="n">
        <v>190801</v>
      </c>
      <c r="J5611" s="94" t="n"/>
      <c r="K5611" s="6" t="n">
        <v>1</v>
      </c>
      <c r="L5611" s="7" t="n">
        <v>190801</v>
      </c>
      <c r="M5611" s="94">
        <f>VLOOKUP($Q5611,매칭테이블!$F:$I,2,0)*K5611</f>
        <v/>
      </c>
      <c r="N5611" s="94">
        <f>M5611-M5611*VLOOKUP($Q5611,매칭테이블!$F:$I,3,0)</f>
        <v/>
      </c>
      <c r="O5611" s="94">
        <f>VLOOKUP($Q5611,매칭테이블!$F:$I,4,0)*K5611</f>
        <v/>
      </c>
      <c r="P5611" s="148">
        <f>M5611/1.1</f>
        <v/>
      </c>
      <c r="Q5611" s="94">
        <f>F5611&amp;E5611&amp;G5611&amp;L5611</f>
        <v/>
      </c>
    </row>
    <row r="5612">
      <c r="A5612" s="94" t="n"/>
      <c r="B5612" s="128" t="n">
        <v>43936</v>
      </c>
      <c r="C5612" s="94">
        <f>TEXT(B5612,"aaa")</f>
        <v/>
      </c>
      <c r="D5612" s="94" t="n"/>
      <c r="E5612" s="94" t="inlineStr">
        <is>
          <t>머드크림마스크</t>
        </is>
      </c>
      <c r="F5612" s="94" t="inlineStr">
        <is>
          <t>카페24</t>
        </is>
      </c>
      <c r="G5612" s="94" t="inlineStr">
        <is>
          <t>머드크림마스크 100ml</t>
        </is>
      </c>
      <c r="H5612" s="7" t="n">
        <v>190801</v>
      </c>
      <c r="I5612" s="7" t="n">
        <v>190801</v>
      </c>
      <c r="J5612" s="94" t="n"/>
      <c r="K5612" s="6" t="n">
        <v>15</v>
      </c>
      <c r="L5612" s="94" t="n">
        <v>190801</v>
      </c>
      <c r="M5612" s="94">
        <f>VLOOKUP($Q5612,매칭테이블!$F:$I,2,0)*K5612</f>
        <v/>
      </c>
      <c r="N5612" s="94">
        <f>M5612-M5612*VLOOKUP($Q5612,매칭테이블!$F:$I,3,0)</f>
        <v/>
      </c>
      <c r="O5612" s="94">
        <f>VLOOKUP($Q5612,매칭테이블!$F:$I,4,0)*K5612</f>
        <v/>
      </c>
      <c r="P5612" s="148">
        <f>M5612/1.1</f>
        <v/>
      </c>
      <c r="Q5612" s="94">
        <f>F5612&amp;E5612&amp;G5612&amp;L5612</f>
        <v/>
      </c>
    </row>
    <row r="5613">
      <c r="A5613" s="94" t="n"/>
      <c r="B5613" s="128" t="n">
        <v>43936</v>
      </c>
      <c r="C5613" s="94">
        <f>TEXT(B5613,"aaa")</f>
        <v/>
      </c>
      <c r="D5613" s="94" t="n"/>
      <c r="E5613" s="94" t="inlineStr">
        <is>
          <t>머드크림마스크</t>
        </is>
      </c>
      <c r="F5613" s="94" t="inlineStr">
        <is>
          <t>카페24</t>
        </is>
      </c>
      <c r="G5613" s="94" t="inlineStr">
        <is>
          <t>머드크림마스크 100ml 2set</t>
        </is>
      </c>
      <c r="H5613" s="7" t="n">
        <v>190801</v>
      </c>
      <c r="I5613" s="7" t="n">
        <v>190801</v>
      </c>
      <c r="J5613" s="94" t="n"/>
      <c r="K5613" s="6" t="n">
        <v>3</v>
      </c>
      <c r="L5613" s="94" t="n">
        <v>190801</v>
      </c>
      <c r="M5613" s="94">
        <f>VLOOKUP($Q5613,매칭테이블!$F:$I,2,0)*K5613</f>
        <v/>
      </c>
      <c r="N5613" s="94">
        <f>M5613-M5613*VLOOKUP($Q5613,매칭테이블!$F:$I,3,0)</f>
        <v/>
      </c>
      <c r="O5613" s="94">
        <f>VLOOKUP($Q5613,매칭테이블!$F:$I,4,0)*K5613</f>
        <v/>
      </c>
      <c r="P5613" s="148">
        <f>M5613/1.1</f>
        <v/>
      </c>
      <c r="Q5613" s="94">
        <f>F5613&amp;E5613&amp;G5613&amp;L5613</f>
        <v/>
      </c>
    </row>
    <row r="5614">
      <c r="A5614" s="94" t="n"/>
      <c r="B5614" s="128" t="n">
        <v>43936</v>
      </c>
      <c r="C5614" s="94">
        <f>TEXT(B5614,"aaa")</f>
        <v/>
      </c>
      <c r="D5614" s="94" t="n"/>
      <c r="E5614" s="94" t="inlineStr">
        <is>
          <t>마스크팩</t>
        </is>
      </c>
      <c r="F5614" s="94" t="inlineStr">
        <is>
          <t>카페24</t>
        </is>
      </c>
      <c r="G5614" s="94" t="inlineStr">
        <is>
          <t>마스크팩 1매</t>
        </is>
      </c>
      <c r="H5614" s="7" t="n">
        <v>190801</v>
      </c>
      <c r="I5614" s="7" t="n">
        <v>190801</v>
      </c>
      <c r="J5614" s="94" t="n"/>
      <c r="K5614" s="6" t="n">
        <v>2</v>
      </c>
      <c r="L5614" s="94" t="n">
        <v>190801</v>
      </c>
      <c r="M5614" s="94">
        <f>VLOOKUP($Q5614,매칭테이블!$F:$I,2,0)*K5614</f>
        <v/>
      </c>
      <c r="N5614" s="94">
        <f>M5614-M5614*VLOOKUP($Q5614,매칭테이블!$F:$I,3,0)</f>
        <v/>
      </c>
      <c r="O5614" s="94">
        <f>VLOOKUP($Q5614,매칭테이블!$F:$I,4,0)*K5614</f>
        <v/>
      </c>
      <c r="P5614" s="148">
        <f>M5614/1.1</f>
        <v/>
      </c>
      <c r="Q5614" s="94">
        <f>F5614&amp;E5614&amp;G5614&amp;L5614</f>
        <v/>
      </c>
    </row>
    <row r="5615">
      <c r="A5615" s="94" t="n"/>
      <c r="B5615" s="128" t="n">
        <v>43936</v>
      </c>
      <c r="C5615" s="94">
        <f>TEXT(B5615,"aaa")</f>
        <v/>
      </c>
      <c r="D5615" s="94" t="n"/>
      <c r="E5615" s="94" t="inlineStr">
        <is>
          <t>마스크팩</t>
        </is>
      </c>
      <c r="F5615" s="94" t="inlineStr">
        <is>
          <t>카페24</t>
        </is>
      </c>
      <c r="G5615" s="94" t="inlineStr">
        <is>
          <t>마스크팩 10매</t>
        </is>
      </c>
      <c r="H5615" s="7" t="n">
        <v>190801</v>
      </c>
      <c r="I5615" s="7" t="n">
        <v>190801</v>
      </c>
      <c r="J5615" s="94" t="n"/>
      <c r="K5615" s="6" t="n">
        <v>7</v>
      </c>
      <c r="L5615" s="94" t="n">
        <v>190801</v>
      </c>
      <c r="M5615" s="94">
        <f>VLOOKUP($Q5615,매칭테이블!$F:$I,2,0)*K5615</f>
        <v/>
      </c>
      <c r="N5615" s="94">
        <f>M5615-M5615*VLOOKUP($Q5615,매칭테이블!$F:$I,3,0)</f>
        <v/>
      </c>
      <c r="O5615" s="94">
        <f>VLOOKUP($Q5615,매칭테이블!$F:$I,4,0)*K5615</f>
        <v/>
      </c>
      <c r="P5615" s="148">
        <f>M5615/1.1</f>
        <v/>
      </c>
      <c r="Q5615" s="94">
        <f>F5615&amp;E5615&amp;G5615&amp;L5615</f>
        <v/>
      </c>
    </row>
    <row r="5616">
      <c r="A5616" s="94" t="n"/>
      <c r="B5616" s="128" t="n">
        <v>43936</v>
      </c>
      <c r="C5616" s="94">
        <f>TEXT(B5616,"aaa")</f>
        <v/>
      </c>
      <c r="D5616" s="94" t="n"/>
      <c r="E5616" s="6" t="inlineStr">
        <is>
          <t>토너</t>
        </is>
      </c>
      <c r="F5616" s="5" t="inlineStr">
        <is>
          <t>카페24</t>
        </is>
      </c>
      <c r="G5616" s="5" t="inlineStr">
        <is>
          <t>250ml</t>
        </is>
      </c>
      <c r="H5616" s="7" t="n">
        <v>190801</v>
      </c>
      <c r="I5616" s="7" t="n">
        <v>190801</v>
      </c>
      <c r="J5616" s="94" t="n"/>
      <c r="K5616" s="6" t="n">
        <v>68</v>
      </c>
      <c r="L5616" s="7" t="n">
        <v>190801</v>
      </c>
      <c r="M5616" s="94">
        <f>VLOOKUP($Q5616,매칭테이블!$F:$I,2,0)*K5616</f>
        <v/>
      </c>
      <c r="N5616" s="94">
        <f>M5616-M5616*VLOOKUP($Q5616,매칭테이블!$F:$I,3,0)</f>
        <v/>
      </c>
      <c r="O5616" s="94">
        <f>VLOOKUP($Q5616,매칭테이블!$F:$I,4,0)*K5616</f>
        <v/>
      </c>
      <c r="P5616" s="148">
        <f>M5616/1.1</f>
        <v/>
      </c>
      <c r="Q5616" s="94">
        <f>F5616&amp;E5616&amp;G5616&amp;L5616</f>
        <v/>
      </c>
    </row>
    <row r="5617">
      <c r="A5617" s="94" t="n"/>
      <c r="B5617" s="128" t="n">
        <v>43936</v>
      </c>
      <c r="C5617" s="94">
        <f>TEXT(B5617,"aaa")</f>
        <v/>
      </c>
      <c r="D5617" s="94" t="n"/>
      <c r="E5617" s="6" t="inlineStr">
        <is>
          <t>토너</t>
        </is>
      </c>
      <c r="F5617" s="5" t="inlineStr">
        <is>
          <t>카페24</t>
        </is>
      </c>
      <c r="G5617" s="5" t="inlineStr">
        <is>
          <t>250ml 2set</t>
        </is>
      </c>
      <c r="H5617" s="7" t="n">
        <v>190801</v>
      </c>
      <c r="I5617" s="7" t="n">
        <v>190801</v>
      </c>
      <c r="J5617" s="94" t="n"/>
      <c r="K5617" s="6" t="n">
        <v>57</v>
      </c>
      <c r="L5617" s="7" t="n">
        <v>190801</v>
      </c>
      <c r="M5617" s="94">
        <f>VLOOKUP($Q5617,매칭테이블!$F:$I,2,0)*K5617</f>
        <v/>
      </c>
      <c r="N5617" s="94">
        <f>M5617-M5617*VLOOKUP($Q5617,매칭테이블!$F:$I,3,0)</f>
        <v/>
      </c>
      <c r="O5617" s="94">
        <f>VLOOKUP($Q5617,매칭테이블!$F:$I,4,0)*K5617</f>
        <v/>
      </c>
      <c r="P5617" s="148">
        <f>M5617/1.1</f>
        <v/>
      </c>
      <c r="Q5617" s="94">
        <f>F5617&amp;E5617&amp;G5617&amp;L5617</f>
        <v/>
      </c>
    </row>
    <row r="5618">
      <c r="A5618" s="94" t="n"/>
      <c r="B5618" s="128" t="n">
        <v>43936</v>
      </c>
      <c r="C5618" s="94">
        <f>TEXT(B5618,"aaa")</f>
        <v/>
      </c>
      <c r="D5618" s="94" t="n"/>
      <c r="E5618" s="6" t="inlineStr">
        <is>
          <t>토너</t>
        </is>
      </c>
      <c r="F5618" s="5" t="inlineStr">
        <is>
          <t>카페24</t>
        </is>
      </c>
      <c r="G5618" s="5" t="inlineStr">
        <is>
          <t>500ml</t>
        </is>
      </c>
      <c r="H5618" s="7" t="n">
        <v>190801</v>
      </c>
      <c r="I5618" s="7" t="n">
        <v>190801</v>
      </c>
      <c r="J5618" s="94" t="n"/>
      <c r="K5618" s="6" t="n">
        <v>52</v>
      </c>
      <c r="L5618" s="7" t="n">
        <v>190801</v>
      </c>
      <c r="M5618" s="94">
        <f>VLOOKUP($Q5618,매칭테이블!$F:$I,2,0)*K5618</f>
        <v/>
      </c>
      <c r="N5618" s="94">
        <f>M5618-M5618*VLOOKUP($Q5618,매칭테이블!$F:$I,3,0)</f>
        <v/>
      </c>
      <c r="O5618" s="94">
        <f>VLOOKUP($Q5618,매칭테이블!$F:$I,4,0)*K5618</f>
        <v/>
      </c>
      <c r="P5618" s="148">
        <f>M5618/1.1</f>
        <v/>
      </c>
      <c r="Q5618" s="94">
        <f>F5618&amp;E5618&amp;G5618&amp;L5618</f>
        <v/>
      </c>
    </row>
    <row r="5619">
      <c r="A5619" s="94" t="n"/>
      <c r="B5619" s="128" t="n">
        <v>43936</v>
      </c>
      <c r="C5619" s="94">
        <f>TEXT(B5619,"aaa")</f>
        <v/>
      </c>
      <c r="D5619" s="94" t="n"/>
      <c r="E5619" s="6" t="inlineStr">
        <is>
          <t>토너</t>
        </is>
      </c>
      <c r="F5619" s="5" t="inlineStr">
        <is>
          <t>카페24</t>
        </is>
      </c>
      <c r="G5619" s="94" t="inlineStr">
        <is>
          <t>스킨팩 화장솜 60P</t>
        </is>
      </c>
      <c r="H5619" s="7" t="n">
        <v>190801</v>
      </c>
      <c r="I5619" s="7" t="n">
        <v>190801</v>
      </c>
      <c r="J5619" s="94" t="n"/>
      <c r="K5619" s="6" t="n">
        <v>72</v>
      </c>
      <c r="L5619" s="7" t="n">
        <v>190801</v>
      </c>
      <c r="M5619" s="94">
        <f>VLOOKUP($Q5619,매칭테이블!$F:$I,2,0)*K5619</f>
        <v/>
      </c>
      <c r="N5619" s="94">
        <f>M5619-M5619*VLOOKUP($Q5619,매칭테이블!$F:$I,3,0)</f>
        <v/>
      </c>
      <c r="O5619" s="94">
        <f>VLOOKUP($Q5619,매칭테이블!$F:$I,4,0)*K5619</f>
        <v/>
      </c>
      <c r="P5619" s="148">
        <f>M5619/1.1</f>
        <v/>
      </c>
      <c r="Q5619" s="94">
        <f>F5619&amp;E5619&amp;G5619&amp;L5619</f>
        <v/>
      </c>
    </row>
    <row r="5620">
      <c r="A5620" s="94" t="n"/>
      <c r="B5620" s="128" t="n">
        <v>43936</v>
      </c>
      <c r="C5620" s="94">
        <f>TEXT(B5620,"aaa")</f>
        <v/>
      </c>
      <c r="D5620" s="94" t="n"/>
      <c r="E5620" s="94" t="inlineStr">
        <is>
          <t>앰플</t>
        </is>
      </c>
      <c r="F5620" s="5" t="inlineStr">
        <is>
          <t>카페24</t>
        </is>
      </c>
      <c r="G5620" s="94" t="inlineStr">
        <is>
          <t>앰플 30ml</t>
        </is>
      </c>
      <c r="H5620" s="7" t="n">
        <v>190801</v>
      </c>
      <c r="I5620" s="7" t="n">
        <v>190801</v>
      </c>
      <c r="J5620" s="94" t="n"/>
      <c r="K5620" s="6" t="n">
        <v>20</v>
      </c>
      <c r="L5620" s="94" t="n">
        <v>190801</v>
      </c>
      <c r="M5620" s="94">
        <f>VLOOKUP($Q5620,매칭테이블!$F:$I,2,0)*K5620</f>
        <v/>
      </c>
      <c r="N5620" s="94">
        <f>M5620-M5620*VLOOKUP($Q5620,매칭테이블!$F:$I,3,0)</f>
        <v/>
      </c>
      <c r="O5620" s="94">
        <f>VLOOKUP($Q5620,매칭테이블!$F:$I,4,0)*K5620</f>
        <v/>
      </c>
      <c r="P5620" s="148">
        <f>M5620/1.1</f>
        <v/>
      </c>
      <c r="Q5620" s="94">
        <f>F5620&amp;E5620&amp;G5620&amp;L5620</f>
        <v/>
      </c>
    </row>
    <row r="5621">
      <c r="A5621" s="94" t="n"/>
      <c r="B5621" s="128" t="n">
        <v>43936</v>
      </c>
      <c r="C5621" s="94">
        <f>TEXT(B5621,"aaa")</f>
        <v/>
      </c>
      <c r="D5621" s="94" t="n"/>
      <c r="E5621" s="94" t="inlineStr">
        <is>
          <t>수딩크림</t>
        </is>
      </c>
      <c r="F5621" s="5" t="inlineStr">
        <is>
          <t>카페24</t>
        </is>
      </c>
      <c r="G5621" s="94" t="inlineStr">
        <is>
          <t>수딩크림 100ml</t>
        </is>
      </c>
      <c r="H5621" s="7" t="n">
        <v>190801</v>
      </c>
      <c r="I5621" s="7" t="n">
        <v>190801</v>
      </c>
      <c r="J5621" s="94" t="n"/>
      <c r="K5621" s="6" t="n">
        <v>11</v>
      </c>
      <c r="L5621" s="94" t="n">
        <v>190801</v>
      </c>
      <c r="M5621" s="94">
        <f>VLOOKUP($Q5621,매칭테이블!$F:$I,2,0)*K5621</f>
        <v/>
      </c>
      <c r="N5621" s="94">
        <f>M5621-M5621*VLOOKUP($Q5621,매칭테이블!$F:$I,3,0)</f>
        <v/>
      </c>
      <c r="O5621" s="94">
        <f>VLOOKUP($Q5621,매칭테이블!$F:$I,4,0)*K5621</f>
        <v/>
      </c>
      <c r="P5621" s="148">
        <f>M5621/1.1</f>
        <v/>
      </c>
      <c r="Q5621" s="94">
        <f>F5621&amp;E5621&amp;G5621&amp;L5621</f>
        <v/>
      </c>
    </row>
    <row r="5622">
      <c r="A5622" s="94" t="n"/>
      <c r="B5622" s="128" t="n">
        <v>43936</v>
      </c>
      <c r="C5622" s="94">
        <f>TEXT(B5622,"aaa")</f>
        <v/>
      </c>
      <c r="D5622" s="94" t="n"/>
      <c r="E5622" s="94" t="inlineStr">
        <is>
          <t>토너+머드크림세트</t>
        </is>
      </c>
      <c r="F5622" s="94" t="inlineStr">
        <is>
          <t>카페24</t>
        </is>
      </c>
      <c r="G5622" s="94" t="inlineStr">
        <is>
          <t>250ml</t>
        </is>
      </c>
      <c r="H5622" s="7" t="n">
        <v>190801</v>
      </c>
      <c r="I5622" s="7" t="n">
        <v>190801</v>
      </c>
      <c r="J5622" s="94" t="n"/>
      <c r="K5622" s="6" t="n">
        <v>1</v>
      </c>
      <c r="L5622" s="94" t="n">
        <v>190801</v>
      </c>
      <c r="M5622" s="94">
        <f>VLOOKUP($Q5622,매칭테이블!$F:$I,2,0)*K5622</f>
        <v/>
      </c>
      <c r="N5622" s="94">
        <f>M5622-M5622*VLOOKUP($Q5622,매칭테이블!$F:$I,3,0)</f>
        <v/>
      </c>
      <c r="O5622" s="94">
        <f>VLOOKUP($Q5622,매칭테이블!$F:$I,4,0)*K5622</f>
        <v/>
      </c>
      <c r="P5622" s="148">
        <f>M5622/1.1</f>
        <v/>
      </c>
      <c r="Q5622" s="94">
        <f>F5622&amp;E5622&amp;G5622&amp;L5622</f>
        <v/>
      </c>
    </row>
    <row r="5623">
      <c r="A5623" s="94" t="n"/>
      <c r="B5623" s="128" t="n">
        <v>43936</v>
      </c>
      <c r="C5623" s="94">
        <f>TEXT(B5623,"aaa")</f>
        <v/>
      </c>
      <c r="D5623" s="94" t="n"/>
      <c r="E5623" s="94" t="inlineStr">
        <is>
          <t>토너+머드크림세트</t>
        </is>
      </c>
      <c r="F5623" s="94" t="inlineStr">
        <is>
          <t>카페24</t>
        </is>
      </c>
      <c r="G5623" s="94" t="inlineStr">
        <is>
          <t>머드크림마스크 100ml</t>
        </is>
      </c>
      <c r="H5623" s="7" t="n">
        <v>190801</v>
      </c>
      <c r="I5623" s="7" t="n">
        <v>190801</v>
      </c>
      <c r="J5623" s="94" t="n"/>
      <c r="K5623" s="6" t="n">
        <v>1</v>
      </c>
      <c r="L5623" s="94" t="n">
        <v>190801</v>
      </c>
      <c r="M5623" s="94">
        <f>VLOOKUP($Q5623,매칭테이블!$F:$I,2,0)*K5623</f>
        <v/>
      </c>
      <c r="N5623" s="94">
        <f>M5623-M5623*VLOOKUP($Q5623,매칭테이블!$F:$I,3,0)</f>
        <v/>
      </c>
      <c r="O5623" s="94">
        <f>VLOOKUP($Q5623,매칭테이블!$F:$I,4,0)*K5623</f>
        <v/>
      </c>
      <c r="P5623" s="148">
        <f>M5623/1.1</f>
        <v/>
      </c>
      <c r="Q5623" s="94">
        <f>F5623&amp;E5623&amp;G5623&amp;L5623</f>
        <v/>
      </c>
    </row>
    <row r="5624">
      <c r="A5624" s="94" t="n"/>
      <c r="B5624" s="128" t="n">
        <v>43936</v>
      </c>
      <c r="C5624" s="94">
        <f>TEXT(B5624,"aaa")</f>
        <v/>
      </c>
      <c r="D5624" s="94" t="n"/>
      <c r="E5624" s="94" t="inlineStr">
        <is>
          <t>클렌징폼</t>
        </is>
      </c>
      <c r="F5624" s="94" t="inlineStr">
        <is>
          <t>카페24</t>
        </is>
      </c>
      <c r="G5624" s="94" t="inlineStr">
        <is>
          <t>클렌징폼 120ml</t>
        </is>
      </c>
      <c r="H5624" s="7" t="n">
        <v>190801</v>
      </c>
      <c r="I5624" s="7" t="n">
        <v>190801</v>
      </c>
      <c r="J5624" s="94" t="n"/>
      <c r="K5624" s="6" t="n">
        <v>1</v>
      </c>
      <c r="L5624" s="7" t="n">
        <v>190801</v>
      </c>
      <c r="M5624" s="94">
        <f>VLOOKUP($Q5624,매칭테이블!$F:$I,2,0)*K5624</f>
        <v/>
      </c>
      <c r="N5624" s="94">
        <f>M5624-M5624*VLOOKUP($Q5624,매칭테이블!$F:$I,3,0)</f>
        <v/>
      </c>
      <c r="O5624" s="94">
        <f>VLOOKUP($Q5624,매칭테이블!$F:$I,4,0)*K5624</f>
        <v/>
      </c>
      <c r="P5624" s="148">
        <f>M5624/1.1</f>
        <v/>
      </c>
      <c r="Q5624" s="94">
        <f>F5624&amp;E5624&amp;G5624&amp;L5624</f>
        <v/>
      </c>
    </row>
    <row r="5625">
      <c r="A5625" s="94" t="n"/>
      <c r="B5625" s="128" t="n">
        <v>43937</v>
      </c>
      <c r="C5625" s="94">
        <f>TEXT(B5625,"aaa")</f>
        <v/>
      </c>
      <c r="D5625" s="94" t="n"/>
      <c r="E5625" s="6" t="inlineStr">
        <is>
          <t>토너</t>
        </is>
      </c>
      <c r="F5625" s="5" t="inlineStr">
        <is>
          <t>W컨셉</t>
        </is>
      </c>
      <c r="G5625" s="5" t="inlineStr">
        <is>
          <t>250ml</t>
        </is>
      </c>
      <c r="H5625" s="7" t="n">
        <v>190801</v>
      </c>
      <c r="I5625" s="7" t="n">
        <v>190801</v>
      </c>
      <c r="J5625" s="94" t="n"/>
      <c r="K5625" s="6" t="n">
        <v>2</v>
      </c>
      <c r="L5625" s="7" t="n">
        <v>190801</v>
      </c>
      <c r="M5625" s="94">
        <f>VLOOKUP($Q5625,매칭테이블!$F:$I,2,0)*K5625</f>
        <v/>
      </c>
      <c r="N5625" s="94">
        <f>M5625-M5625*VLOOKUP($Q5625,매칭테이블!$F:$I,3,0)</f>
        <v/>
      </c>
      <c r="O5625" s="94">
        <f>VLOOKUP($Q5625,매칭테이블!$F:$I,4,0)*K5625</f>
        <v/>
      </c>
      <c r="P5625" s="148">
        <f>M5625/1.1</f>
        <v/>
      </c>
      <c r="Q5625" s="94">
        <f>F5625&amp;E5625&amp;G5625&amp;L5625</f>
        <v/>
      </c>
    </row>
    <row r="5626">
      <c r="A5626" s="94" t="n"/>
      <c r="B5626" s="128" t="n">
        <v>43937</v>
      </c>
      <c r="C5626" s="94">
        <f>TEXT(B5626,"aaa")</f>
        <v/>
      </c>
      <c r="D5626" s="94" t="n"/>
      <c r="E5626" s="6" t="inlineStr">
        <is>
          <t>토너</t>
        </is>
      </c>
      <c r="F5626" s="5" t="inlineStr">
        <is>
          <t>W컨셉</t>
        </is>
      </c>
      <c r="G5626" s="5" t="inlineStr">
        <is>
          <t>250ml 2set</t>
        </is>
      </c>
      <c r="H5626" s="7" t="n">
        <v>190801</v>
      </c>
      <c r="I5626" s="7" t="n">
        <v>190801</v>
      </c>
      <c r="J5626" s="94" t="n"/>
      <c r="K5626" s="6" t="n">
        <v>26</v>
      </c>
      <c r="L5626" s="7" t="n">
        <v>190801</v>
      </c>
      <c r="M5626" s="94">
        <f>VLOOKUP($Q5626,매칭테이블!$F:$I,2,0)*K5626</f>
        <v/>
      </c>
      <c r="N5626" s="94">
        <f>M5626-M5626*VLOOKUP($Q5626,매칭테이블!$F:$I,3,0)</f>
        <v/>
      </c>
      <c r="O5626" s="94">
        <f>VLOOKUP($Q5626,매칭테이블!$F:$I,4,0)*K5626</f>
        <v/>
      </c>
      <c r="P5626" s="148">
        <f>M5626/1.1</f>
        <v/>
      </c>
      <c r="Q5626" s="94">
        <f>F5626&amp;E5626&amp;G5626&amp;L5626</f>
        <v/>
      </c>
    </row>
    <row r="5627">
      <c r="A5627" s="94" t="n"/>
      <c r="B5627" s="128" t="n">
        <v>43937</v>
      </c>
      <c r="C5627" s="94">
        <f>TEXT(B5627,"aaa")</f>
        <v/>
      </c>
      <c r="D5627" s="94" t="n"/>
      <c r="E5627" s="94" t="inlineStr">
        <is>
          <t>토너</t>
        </is>
      </c>
      <c r="F5627" s="5" t="inlineStr">
        <is>
          <t>스타일쉐어</t>
        </is>
      </c>
      <c r="G5627" s="94" t="inlineStr">
        <is>
          <t>250ml</t>
        </is>
      </c>
      <c r="H5627" s="7" t="n">
        <v>190801</v>
      </c>
      <c r="I5627" s="7" t="n">
        <v>190801</v>
      </c>
      <c r="J5627" s="94" t="n"/>
      <c r="K5627" s="6" t="n">
        <v>11</v>
      </c>
      <c r="L5627" s="7" t="n">
        <v>190801</v>
      </c>
      <c r="M5627" s="94">
        <f>VLOOKUP($Q5627,매칭테이블!$F:$I,2,0)*K5627</f>
        <v/>
      </c>
      <c r="N5627" s="94">
        <f>M5627-M5627*VLOOKUP($Q5627,매칭테이블!$F:$I,3,0)</f>
        <v/>
      </c>
      <c r="O5627" s="94">
        <f>VLOOKUP($Q5627,매칭테이블!$F:$I,4,0)*K5627</f>
        <v/>
      </c>
      <c r="P5627" s="148">
        <f>M5627/1.1</f>
        <v/>
      </c>
      <c r="Q5627" s="94">
        <f>F5627&amp;E5627&amp;G5627&amp;L5627</f>
        <v/>
      </c>
    </row>
    <row r="5628">
      <c r="A5628" s="94" t="n"/>
      <c r="B5628" s="128" t="n">
        <v>43937</v>
      </c>
      <c r="C5628" s="94">
        <f>TEXT(B5628,"aaa")</f>
        <v/>
      </c>
      <c r="D5628" s="94" t="n"/>
      <c r="E5628" s="94" t="inlineStr">
        <is>
          <t>토너</t>
        </is>
      </c>
      <c r="F5628" s="94" t="inlineStr">
        <is>
          <t>글로우데이즈 시코르</t>
        </is>
      </c>
      <c r="G5628" s="94" t="inlineStr">
        <is>
          <t>250ml</t>
        </is>
      </c>
      <c r="H5628" s="7" t="n">
        <v>190801</v>
      </c>
      <c r="I5628" s="7" t="n">
        <v>190801</v>
      </c>
      <c r="J5628" s="94" t="n"/>
      <c r="K5628" s="6" t="n">
        <v>200</v>
      </c>
      <c r="L5628" s="7" t="n">
        <v>190801</v>
      </c>
      <c r="M5628" s="94">
        <f>VLOOKUP($Q5628,매칭테이블!$F:$I,2,0)*K5628</f>
        <v/>
      </c>
      <c r="N5628" s="94">
        <f>M5628-M5628*VLOOKUP($Q5628,매칭테이블!$F:$I,3,0)</f>
        <v/>
      </c>
      <c r="O5628" s="94">
        <f>VLOOKUP($Q5628,매칭테이블!$F:$I,4,0)*K5628</f>
        <v/>
      </c>
      <c r="P5628" s="148">
        <f>M5628/1.1</f>
        <v/>
      </c>
      <c r="Q5628" s="94">
        <f>F5628&amp;E5628&amp;G5628&amp;L5628</f>
        <v/>
      </c>
    </row>
    <row r="5629">
      <c r="A5629" s="94" t="n"/>
      <c r="B5629" s="128" t="n">
        <v>43937</v>
      </c>
      <c r="C5629" s="94">
        <f>TEXT(B5629,"aaa")</f>
        <v/>
      </c>
      <c r="D5629" s="94" t="n"/>
      <c r="E5629" s="94" t="inlineStr">
        <is>
          <t>클렌징폼</t>
        </is>
      </c>
      <c r="F5629" s="94" t="inlineStr">
        <is>
          <t>글로우데이즈 시코르</t>
        </is>
      </c>
      <c r="G5629" s="94" t="inlineStr">
        <is>
          <t>클렌징폼 120ml</t>
        </is>
      </c>
      <c r="H5629" s="7" t="n">
        <v>190801</v>
      </c>
      <c r="I5629" s="7" t="n">
        <v>190801</v>
      </c>
      <c r="J5629" s="94" t="n"/>
      <c r="K5629" s="6" t="n">
        <v>3</v>
      </c>
      <c r="L5629" s="7" t="n">
        <v>190801</v>
      </c>
      <c r="M5629" s="94">
        <f>VLOOKUP($Q5629,매칭테이블!$F:$I,2,0)*K5629</f>
        <v/>
      </c>
      <c r="N5629" s="94">
        <f>M5629-M5629*VLOOKUP($Q5629,매칭테이블!$F:$I,3,0)</f>
        <v/>
      </c>
      <c r="O5629" s="94">
        <f>VLOOKUP($Q5629,매칭테이블!$F:$I,4,0)*K5629</f>
        <v/>
      </c>
      <c r="P5629" s="148">
        <f>M5629/1.1</f>
        <v/>
      </c>
      <c r="Q5629" s="94">
        <f>F5629&amp;E5629&amp;G5629&amp;L5629</f>
        <v/>
      </c>
    </row>
    <row r="5630">
      <c r="A5630" s="94" t="n"/>
      <c r="B5630" s="128" t="n">
        <v>43937</v>
      </c>
      <c r="C5630" s="94">
        <f>TEXT(B5630,"aaa")</f>
        <v/>
      </c>
      <c r="D5630" s="94" t="n"/>
      <c r="E5630" s="94" t="inlineStr">
        <is>
          <t>수딩크림</t>
        </is>
      </c>
      <c r="F5630" s="94" t="inlineStr">
        <is>
          <t>카페24</t>
        </is>
      </c>
      <c r="G5630" s="94" t="inlineStr">
        <is>
          <t>[플친 단독 30% off] 어성초 78 수딩 크림</t>
        </is>
      </c>
      <c r="H5630" s="7" t="n">
        <v>190801</v>
      </c>
      <c r="I5630" s="7" t="n">
        <v>190801</v>
      </c>
      <c r="J5630" s="94" t="n"/>
      <c r="K5630" s="6" t="n">
        <v>1</v>
      </c>
      <c r="L5630" s="7" t="n">
        <v>190801</v>
      </c>
      <c r="M5630" s="94">
        <f>VLOOKUP($Q5630,매칭테이블!$F:$I,2,0)*K5630</f>
        <v/>
      </c>
      <c r="N5630" s="94">
        <f>M5630-M5630*VLOOKUP($Q5630,매칭테이블!$F:$I,3,0)</f>
        <v/>
      </c>
      <c r="O5630" s="94">
        <f>VLOOKUP($Q5630,매칭테이블!$F:$I,4,0)*K5630</f>
        <v/>
      </c>
      <c r="P5630" s="148">
        <f>M5630/1.1</f>
        <v/>
      </c>
      <c r="Q5630" s="94">
        <f>F5630&amp;E5630&amp;G5630&amp;L5630</f>
        <v/>
      </c>
    </row>
    <row r="5631">
      <c r="A5631" s="94" t="n"/>
      <c r="B5631" s="128" t="n">
        <v>43937</v>
      </c>
      <c r="C5631" s="94">
        <f>TEXT(B5631,"aaa")</f>
        <v/>
      </c>
      <c r="D5631" s="94" t="n"/>
      <c r="E5631" s="94" t="inlineStr">
        <is>
          <t>머드크림마스크</t>
        </is>
      </c>
      <c r="F5631" s="94" t="inlineStr">
        <is>
          <t>카페24</t>
        </is>
      </c>
      <c r="G5631" s="94" t="inlineStr">
        <is>
          <t>머드크림마스크 100ml</t>
        </is>
      </c>
      <c r="H5631" s="7" t="n">
        <v>190801</v>
      </c>
      <c r="I5631" s="7" t="n">
        <v>190801</v>
      </c>
      <c r="J5631" s="94" t="n"/>
      <c r="K5631" s="6" t="n">
        <v>12</v>
      </c>
      <c r="L5631" s="94" t="n">
        <v>190801</v>
      </c>
      <c r="M5631" s="94">
        <f>VLOOKUP($Q5631,매칭테이블!$F:$I,2,0)*K5631</f>
        <v/>
      </c>
      <c r="N5631" s="94">
        <f>M5631-M5631*VLOOKUP($Q5631,매칭테이블!$F:$I,3,0)</f>
        <v/>
      </c>
      <c r="O5631" s="94">
        <f>VLOOKUP($Q5631,매칭테이블!$F:$I,4,0)*K5631</f>
        <v/>
      </c>
      <c r="P5631" s="148">
        <f>M5631/1.1</f>
        <v/>
      </c>
      <c r="Q5631" s="94">
        <f>F5631&amp;E5631&amp;G5631&amp;L5631</f>
        <v/>
      </c>
    </row>
    <row r="5632">
      <c r="A5632" s="94" t="n"/>
      <c r="B5632" s="128" t="n">
        <v>43937</v>
      </c>
      <c r="C5632" s="94">
        <f>TEXT(B5632,"aaa")</f>
        <v/>
      </c>
      <c r="D5632" s="94" t="n"/>
      <c r="E5632" s="94" t="inlineStr">
        <is>
          <t>머드크림마스크</t>
        </is>
      </c>
      <c r="F5632" s="94" t="inlineStr">
        <is>
          <t>카페24</t>
        </is>
      </c>
      <c r="G5632" s="94" t="inlineStr">
        <is>
          <t>머드크림마스크 100ml 2set</t>
        </is>
      </c>
      <c r="H5632" s="7" t="n">
        <v>190801</v>
      </c>
      <c r="I5632" s="7" t="n">
        <v>190801</v>
      </c>
      <c r="J5632" s="94" t="n"/>
      <c r="K5632" s="6" t="n">
        <v>3</v>
      </c>
      <c r="L5632" s="94" t="n">
        <v>190801</v>
      </c>
      <c r="M5632" s="94">
        <f>VLOOKUP($Q5632,매칭테이블!$F:$I,2,0)*K5632</f>
        <v/>
      </c>
      <c r="N5632" s="94">
        <f>M5632-M5632*VLOOKUP($Q5632,매칭테이블!$F:$I,3,0)</f>
        <v/>
      </c>
      <c r="O5632" s="94">
        <f>VLOOKUP($Q5632,매칭테이블!$F:$I,4,0)*K5632</f>
        <v/>
      </c>
      <c r="P5632" s="148">
        <f>M5632/1.1</f>
        <v/>
      </c>
      <c r="Q5632" s="94">
        <f>F5632&amp;E5632&amp;G5632&amp;L5632</f>
        <v/>
      </c>
    </row>
    <row r="5633">
      <c r="A5633" s="94" t="n"/>
      <c r="B5633" s="128" t="n">
        <v>43937</v>
      </c>
      <c r="C5633" s="94">
        <f>TEXT(B5633,"aaa")</f>
        <v/>
      </c>
      <c r="D5633" s="94" t="n"/>
      <c r="E5633" s="94" t="inlineStr">
        <is>
          <t>마스크팩</t>
        </is>
      </c>
      <c r="F5633" s="94" t="inlineStr">
        <is>
          <t>카페24</t>
        </is>
      </c>
      <c r="G5633" s="94" t="inlineStr">
        <is>
          <t>마스크팩 1매</t>
        </is>
      </c>
      <c r="H5633" s="7" t="n">
        <v>190801</v>
      </c>
      <c r="I5633" s="7" t="n">
        <v>190801</v>
      </c>
      <c r="J5633" s="94" t="n"/>
      <c r="K5633" s="6" t="n">
        <v>4</v>
      </c>
      <c r="L5633" s="94" t="n">
        <v>190801</v>
      </c>
      <c r="M5633" s="94">
        <f>VLOOKUP($Q5633,매칭테이블!$F:$I,2,0)*K5633</f>
        <v/>
      </c>
      <c r="N5633" s="94">
        <f>M5633-M5633*VLOOKUP($Q5633,매칭테이블!$F:$I,3,0)</f>
        <v/>
      </c>
      <c r="O5633" s="94">
        <f>VLOOKUP($Q5633,매칭테이블!$F:$I,4,0)*K5633</f>
        <v/>
      </c>
      <c r="P5633" s="148">
        <f>M5633/1.1</f>
        <v/>
      </c>
      <c r="Q5633" s="94">
        <f>F5633&amp;E5633&amp;G5633&amp;L5633</f>
        <v/>
      </c>
    </row>
    <row r="5634">
      <c r="A5634" s="94" t="n"/>
      <c r="B5634" s="128" t="n">
        <v>43937</v>
      </c>
      <c r="C5634" s="94">
        <f>TEXT(B5634,"aaa")</f>
        <v/>
      </c>
      <c r="D5634" s="94" t="n"/>
      <c r="E5634" s="94" t="inlineStr">
        <is>
          <t>마스크팩</t>
        </is>
      </c>
      <c r="F5634" s="94" t="inlineStr">
        <is>
          <t>카페24</t>
        </is>
      </c>
      <c r="G5634" s="94" t="inlineStr">
        <is>
          <t>마스크팩 10매</t>
        </is>
      </c>
      <c r="H5634" s="7" t="n">
        <v>190801</v>
      </c>
      <c r="I5634" s="7" t="n">
        <v>190801</v>
      </c>
      <c r="J5634" s="94" t="n"/>
      <c r="K5634" s="6" t="n">
        <v>6</v>
      </c>
      <c r="L5634" s="94" t="n">
        <v>190801</v>
      </c>
      <c r="M5634" s="94">
        <f>VLOOKUP($Q5634,매칭테이블!$F:$I,2,0)*K5634</f>
        <v/>
      </c>
      <c r="N5634" s="94">
        <f>M5634-M5634*VLOOKUP($Q5634,매칭테이블!$F:$I,3,0)</f>
        <v/>
      </c>
      <c r="O5634" s="94">
        <f>VLOOKUP($Q5634,매칭테이블!$F:$I,4,0)*K5634</f>
        <v/>
      </c>
      <c r="P5634" s="148">
        <f>M5634/1.1</f>
        <v/>
      </c>
      <c r="Q5634" s="94">
        <f>F5634&amp;E5634&amp;G5634&amp;L5634</f>
        <v/>
      </c>
    </row>
    <row r="5635">
      <c r="A5635" s="94" t="n"/>
      <c r="B5635" s="128" t="n">
        <v>43937</v>
      </c>
      <c r="C5635" s="94">
        <f>TEXT(B5635,"aaa")</f>
        <v/>
      </c>
      <c r="D5635" s="94" t="n"/>
      <c r="E5635" s="6" t="inlineStr">
        <is>
          <t>토너</t>
        </is>
      </c>
      <c r="F5635" s="5" t="inlineStr">
        <is>
          <t>카페24</t>
        </is>
      </c>
      <c r="G5635" s="5" t="inlineStr">
        <is>
          <t>250ml</t>
        </is>
      </c>
      <c r="H5635" s="7" t="n">
        <v>190801</v>
      </c>
      <c r="I5635" s="7" t="n">
        <v>190801</v>
      </c>
      <c r="J5635" s="94" t="n"/>
      <c r="K5635" s="6" t="n">
        <v>83</v>
      </c>
      <c r="L5635" s="7" t="n">
        <v>190801</v>
      </c>
      <c r="M5635" s="94">
        <f>VLOOKUP($Q5635,매칭테이블!$F:$I,2,0)*K5635</f>
        <v/>
      </c>
      <c r="N5635" s="94">
        <f>M5635-M5635*VLOOKUP($Q5635,매칭테이블!$F:$I,3,0)</f>
        <v/>
      </c>
      <c r="O5635" s="94">
        <f>VLOOKUP($Q5635,매칭테이블!$F:$I,4,0)*K5635</f>
        <v/>
      </c>
      <c r="P5635" s="148">
        <f>M5635/1.1</f>
        <v/>
      </c>
      <c r="Q5635" s="94">
        <f>F5635&amp;E5635&amp;G5635&amp;L5635</f>
        <v/>
      </c>
    </row>
    <row r="5636">
      <c r="A5636" s="94" t="n"/>
      <c r="B5636" s="128" t="n">
        <v>43937</v>
      </c>
      <c r="C5636" s="94">
        <f>TEXT(B5636,"aaa")</f>
        <v/>
      </c>
      <c r="D5636" s="94" t="n"/>
      <c r="E5636" s="6" t="inlineStr">
        <is>
          <t>토너</t>
        </is>
      </c>
      <c r="F5636" s="5" t="inlineStr">
        <is>
          <t>카페24</t>
        </is>
      </c>
      <c r="G5636" s="5" t="inlineStr">
        <is>
          <t>250ml 2set</t>
        </is>
      </c>
      <c r="H5636" s="7" t="n">
        <v>190801</v>
      </c>
      <c r="I5636" s="7" t="n">
        <v>190801</v>
      </c>
      <c r="J5636" s="94" t="n"/>
      <c r="K5636" s="6" t="n">
        <v>33</v>
      </c>
      <c r="L5636" s="7" t="n">
        <v>190801</v>
      </c>
      <c r="M5636" s="94">
        <f>VLOOKUP($Q5636,매칭테이블!$F:$I,2,0)*K5636</f>
        <v/>
      </c>
      <c r="N5636" s="94">
        <f>M5636-M5636*VLOOKUP($Q5636,매칭테이블!$F:$I,3,0)</f>
        <v/>
      </c>
      <c r="O5636" s="94">
        <f>VLOOKUP($Q5636,매칭테이블!$F:$I,4,0)*K5636</f>
        <v/>
      </c>
      <c r="P5636" s="148">
        <f>M5636/1.1</f>
        <v/>
      </c>
      <c r="Q5636" s="94">
        <f>F5636&amp;E5636&amp;G5636&amp;L5636</f>
        <v/>
      </c>
    </row>
    <row r="5637">
      <c r="A5637" s="94" t="n"/>
      <c r="B5637" s="128" t="n">
        <v>43937</v>
      </c>
      <c r="C5637" s="94">
        <f>TEXT(B5637,"aaa")</f>
        <v/>
      </c>
      <c r="D5637" s="94" t="n"/>
      <c r="E5637" s="6" t="inlineStr">
        <is>
          <t>토너</t>
        </is>
      </c>
      <c r="F5637" s="5" t="inlineStr">
        <is>
          <t>카페24</t>
        </is>
      </c>
      <c r="G5637" s="5" t="inlineStr">
        <is>
          <t>500ml</t>
        </is>
      </c>
      <c r="H5637" s="7" t="n">
        <v>190801</v>
      </c>
      <c r="I5637" s="7" t="n">
        <v>190801</v>
      </c>
      <c r="J5637" s="94" t="n"/>
      <c r="K5637" s="6" t="n">
        <v>41</v>
      </c>
      <c r="L5637" s="7" t="n">
        <v>190801</v>
      </c>
      <c r="M5637" s="94">
        <f>VLOOKUP($Q5637,매칭테이블!$F:$I,2,0)*K5637</f>
        <v/>
      </c>
      <c r="N5637" s="94">
        <f>M5637-M5637*VLOOKUP($Q5637,매칭테이블!$F:$I,3,0)</f>
        <v/>
      </c>
      <c r="O5637" s="94">
        <f>VLOOKUP($Q5637,매칭테이블!$F:$I,4,0)*K5637</f>
        <v/>
      </c>
      <c r="P5637" s="148">
        <f>M5637/1.1</f>
        <v/>
      </c>
      <c r="Q5637" s="94">
        <f>F5637&amp;E5637&amp;G5637&amp;L5637</f>
        <v/>
      </c>
    </row>
    <row r="5638">
      <c r="A5638" s="94" t="n"/>
      <c r="B5638" s="128" t="n">
        <v>43937</v>
      </c>
      <c r="C5638" s="94">
        <f>TEXT(B5638,"aaa")</f>
        <v/>
      </c>
      <c r="D5638" s="94" t="n"/>
      <c r="E5638" s="6" t="inlineStr">
        <is>
          <t>토너</t>
        </is>
      </c>
      <c r="F5638" s="5" t="inlineStr">
        <is>
          <t>카페24</t>
        </is>
      </c>
      <c r="G5638" s="94" t="inlineStr">
        <is>
          <t>스킨팩 화장솜 60P</t>
        </is>
      </c>
      <c r="H5638" s="7" t="n">
        <v>190801</v>
      </c>
      <c r="I5638" s="7" t="n">
        <v>190801</v>
      </c>
      <c r="J5638" s="94" t="n"/>
      <c r="K5638" s="6" t="n">
        <v>66</v>
      </c>
      <c r="L5638" s="7" t="n">
        <v>190801</v>
      </c>
      <c r="M5638" s="94">
        <f>VLOOKUP($Q5638,매칭테이블!$F:$I,2,0)*K5638</f>
        <v/>
      </c>
      <c r="N5638" s="94">
        <f>M5638-M5638*VLOOKUP($Q5638,매칭테이블!$F:$I,3,0)</f>
        <v/>
      </c>
      <c r="O5638" s="94">
        <f>VLOOKUP($Q5638,매칭테이블!$F:$I,4,0)*K5638</f>
        <v/>
      </c>
      <c r="P5638" s="148">
        <f>M5638/1.1</f>
        <v/>
      </c>
      <c r="Q5638" s="94">
        <f>F5638&amp;E5638&amp;G5638&amp;L5638</f>
        <v/>
      </c>
    </row>
    <row r="5639">
      <c r="A5639" s="94" t="n"/>
      <c r="B5639" s="128" t="n">
        <v>43937</v>
      </c>
      <c r="C5639" s="94">
        <f>TEXT(B5639,"aaa")</f>
        <v/>
      </c>
      <c r="D5639" s="94" t="n"/>
      <c r="E5639" s="94" t="inlineStr">
        <is>
          <t>앰플</t>
        </is>
      </c>
      <c r="F5639" s="5" t="inlineStr">
        <is>
          <t>카페24</t>
        </is>
      </c>
      <c r="G5639" s="94" t="inlineStr">
        <is>
          <t>앰플 30ml</t>
        </is>
      </c>
      <c r="H5639" s="7" t="n">
        <v>190801</v>
      </c>
      <c r="I5639" s="7" t="n">
        <v>190801</v>
      </c>
      <c r="J5639" s="94" t="n"/>
      <c r="K5639" s="6" t="n">
        <v>15</v>
      </c>
      <c r="L5639" s="94" t="n">
        <v>190801</v>
      </c>
      <c r="M5639" s="94">
        <f>VLOOKUP($Q5639,매칭테이블!$F:$I,2,0)*K5639</f>
        <v/>
      </c>
      <c r="N5639" s="94">
        <f>M5639-M5639*VLOOKUP($Q5639,매칭테이블!$F:$I,3,0)</f>
        <v/>
      </c>
      <c r="O5639" s="94">
        <f>VLOOKUP($Q5639,매칭테이블!$F:$I,4,0)*K5639</f>
        <v/>
      </c>
      <c r="P5639" s="148">
        <f>M5639/1.1</f>
        <v/>
      </c>
      <c r="Q5639" s="94">
        <f>F5639&amp;E5639&amp;G5639&amp;L5639</f>
        <v/>
      </c>
    </row>
    <row r="5640">
      <c r="A5640" s="94" t="n"/>
      <c r="B5640" s="128" t="n">
        <v>43937</v>
      </c>
      <c r="C5640" s="94">
        <f>TEXT(B5640,"aaa")</f>
        <v/>
      </c>
      <c r="D5640" s="94" t="n"/>
      <c r="E5640" s="94" t="inlineStr">
        <is>
          <t>수딩크림</t>
        </is>
      </c>
      <c r="F5640" s="5" t="inlineStr">
        <is>
          <t>카페24</t>
        </is>
      </c>
      <c r="G5640" s="94" t="inlineStr">
        <is>
          <t>수딩크림 100ml</t>
        </is>
      </c>
      <c r="H5640" s="7" t="n">
        <v>190801</v>
      </c>
      <c r="I5640" s="7" t="n">
        <v>190801</v>
      </c>
      <c r="J5640" s="94" t="n"/>
      <c r="K5640" s="6" t="n">
        <v>6</v>
      </c>
      <c r="L5640" s="94" t="n">
        <v>190801</v>
      </c>
      <c r="M5640" s="94">
        <f>VLOOKUP($Q5640,매칭테이블!$F:$I,2,0)*K5640</f>
        <v/>
      </c>
      <c r="N5640" s="94">
        <f>M5640-M5640*VLOOKUP($Q5640,매칭테이블!$F:$I,3,0)</f>
        <v/>
      </c>
      <c r="O5640" s="94">
        <f>VLOOKUP($Q5640,매칭테이블!$F:$I,4,0)*K5640</f>
        <v/>
      </c>
      <c r="P5640" s="148">
        <f>M5640/1.1</f>
        <v/>
      </c>
      <c r="Q5640" s="94">
        <f>F5640&amp;E5640&amp;G5640&amp;L5640</f>
        <v/>
      </c>
    </row>
    <row r="5641">
      <c r="A5641" s="94" t="n"/>
      <c r="B5641" s="128" t="n">
        <v>43937</v>
      </c>
      <c r="C5641" s="94">
        <f>TEXT(B5641,"aaa")</f>
        <v/>
      </c>
      <c r="D5641" s="94" t="n"/>
      <c r="E5641" s="94" t="inlineStr">
        <is>
          <t>토너+머드크림세트</t>
        </is>
      </c>
      <c r="F5641" s="94" t="inlineStr">
        <is>
          <t>카페24</t>
        </is>
      </c>
      <c r="G5641" s="94" t="inlineStr">
        <is>
          <t>250ml</t>
        </is>
      </c>
      <c r="H5641" s="7" t="n">
        <v>190801</v>
      </c>
      <c r="I5641" s="7" t="n">
        <v>190801</v>
      </c>
      <c r="J5641" s="94" t="n"/>
      <c r="K5641" s="6" t="n">
        <v>1</v>
      </c>
      <c r="L5641" s="94" t="n">
        <v>190801</v>
      </c>
      <c r="M5641" s="94">
        <f>VLOOKUP($Q5641,매칭테이블!$F:$I,2,0)*K5641</f>
        <v/>
      </c>
      <c r="N5641" s="94">
        <f>M5641-M5641*VLOOKUP($Q5641,매칭테이블!$F:$I,3,0)</f>
        <v/>
      </c>
      <c r="O5641" s="94">
        <f>VLOOKUP($Q5641,매칭테이블!$F:$I,4,0)*K5641</f>
        <v/>
      </c>
      <c r="P5641" s="148">
        <f>M5641/1.1</f>
        <v/>
      </c>
      <c r="Q5641" s="94">
        <f>F5641&amp;E5641&amp;G5641&amp;L5641</f>
        <v/>
      </c>
    </row>
    <row r="5642">
      <c r="A5642" s="94" t="n"/>
      <c r="B5642" s="128" t="n">
        <v>43937</v>
      </c>
      <c r="C5642" s="94">
        <f>TEXT(B5642,"aaa")</f>
        <v/>
      </c>
      <c r="D5642" s="94" t="n"/>
      <c r="E5642" s="94" t="inlineStr">
        <is>
          <t>토너+머드크림세트</t>
        </is>
      </c>
      <c r="F5642" s="94" t="inlineStr">
        <is>
          <t>카페24</t>
        </is>
      </c>
      <c r="G5642" s="94" t="inlineStr">
        <is>
          <t>머드크림마스크 100ml</t>
        </is>
      </c>
      <c r="H5642" s="7" t="n">
        <v>190801</v>
      </c>
      <c r="I5642" s="7" t="n">
        <v>190801</v>
      </c>
      <c r="J5642" s="94" t="n"/>
      <c r="K5642" s="6" t="n">
        <v>1</v>
      </c>
      <c r="L5642" s="94" t="n">
        <v>190801</v>
      </c>
      <c r="M5642" s="94">
        <f>VLOOKUP($Q5642,매칭테이블!$F:$I,2,0)*K5642</f>
        <v/>
      </c>
      <c r="N5642" s="94">
        <f>M5642-M5642*VLOOKUP($Q5642,매칭테이블!$F:$I,3,0)</f>
        <v/>
      </c>
      <c r="O5642" s="94">
        <f>VLOOKUP($Q5642,매칭테이블!$F:$I,4,0)*K5642</f>
        <v/>
      </c>
      <c r="P5642" s="148">
        <f>M5642/1.1</f>
        <v/>
      </c>
      <c r="Q5642" s="94">
        <f>F5642&amp;E5642&amp;G5642&amp;L5642</f>
        <v/>
      </c>
    </row>
    <row r="5643">
      <c r="A5643" s="94" t="n"/>
      <c r="B5643" s="128" t="n">
        <v>43937</v>
      </c>
      <c r="C5643" s="94">
        <f>TEXT(B5643,"aaa")</f>
        <v/>
      </c>
      <c r="D5643" s="94" t="n"/>
      <c r="E5643" s="6" t="inlineStr">
        <is>
          <t>토너</t>
        </is>
      </c>
      <c r="F5643" s="94" t="inlineStr">
        <is>
          <t>큐텐</t>
        </is>
      </c>
      <c r="G5643" s="5" t="inlineStr">
        <is>
          <t>250ml</t>
        </is>
      </c>
      <c r="H5643" s="7" t="n">
        <v>190801</v>
      </c>
      <c r="I5643" s="7" t="n">
        <v>190801</v>
      </c>
      <c r="J5643" s="94" t="n"/>
      <c r="K5643" s="6" t="n">
        <v>50</v>
      </c>
      <c r="L5643" s="94" t="n">
        <v>190801</v>
      </c>
      <c r="M5643" s="94">
        <f>VLOOKUP($Q5643,매칭테이블!$F:$I,2,0)*K5643</f>
        <v/>
      </c>
      <c r="N5643" s="94">
        <f>M5643-M5643*VLOOKUP($Q5643,매칭테이블!$F:$I,3,0)</f>
        <v/>
      </c>
      <c r="O5643" s="94">
        <f>VLOOKUP($Q5643,매칭테이블!$F:$I,4,0)*K5643</f>
        <v/>
      </c>
      <c r="P5643" s="148">
        <f>M5643/1.1</f>
        <v/>
      </c>
      <c r="Q5643" s="94">
        <f>F5643&amp;E5643&amp;G5643&amp;L5643</f>
        <v/>
      </c>
    </row>
    <row r="5644">
      <c r="A5644" s="94" t="n"/>
      <c r="B5644" s="128" t="n">
        <v>43937</v>
      </c>
      <c r="C5644" s="94">
        <f>TEXT(B5644,"aaa")</f>
        <v/>
      </c>
      <c r="D5644" s="94" t="n"/>
      <c r="E5644" s="6" t="inlineStr">
        <is>
          <t>토너</t>
        </is>
      </c>
      <c r="F5644" s="94" t="inlineStr">
        <is>
          <t>큐텐</t>
        </is>
      </c>
      <c r="G5644" s="5" t="inlineStr">
        <is>
          <t>250ml 2set</t>
        </is>
      </c>
      <c r="H5644" s="7" t="n">
        <v>190801</v>
      </c>
      <c r="I5644" s="7" t="n">
        <v>190801</v>
      </c>
      <c r="J5644" s="94" t="n"/>
      <c r="K5644" s="6" t="n">
        <v>7</v>
      </c>
      <c r="L5644" s="94" t="n">
        <v>190801</v>
      </c>
      <c r="M5644" s="94">
        <f>VLOOKUP($Q5644,매칭테이블!$F:$I,2,0)*K5644</f>
        <v/>
      </c>
      <c r="N5644" s="94">
        <f>M5644-M5644*VLOOKUP($Q5644,매칭테이블!$F:$I,3,0)</f>
        <v/>
      </c>
      <c r="O5644" s="94">
        <f>VLOOKUP($Q5644,매칭테이블!$F:$I,4,0)*K5644</f>
        <v/>
      </c>
      <c r="P5644" s="148">
        <f>M5644/1.1</f>
        <v/>
      </c>
      <c r="Q5644" s="94">
        <f>F5644&amp;E5644&amp;G5644&amp;L5644</f>
        <v/>
      </c>
    </row>
    <row r="5645">
      <c r="A5645" s="94" t="n"/>
      <c r="B5645" s="128" t="n">
        <v>43937</v>
      </c>
      <c r="C5645" s="94">
        <f>TEXT(B5645,"aaa")</f>
        <v/>
      </c>
      <c r="D5645" s="94" t="n"/>
      <c r="E5645" s="94" t="inlineStr">
        <is>
          <t>앰플</t>
        </is>
      </c>
      <c r="F5645" s="94" t="inlineStr">
        <is>
          <t>큐텐</t>
        </is>
      </c>
      <c r="G5645" s="94" t="inlineStr">
        <is>
          <t>앰플 30ml</t>
        </is>
      </c>
      <c r="H5645" s="7" t="n">
        <v>190801</v>
      </c>
      <c r="I5645" s="7" t="n">
        <v>190801</v>
      </c>
      <c r="J5645" s="94" t="n"/>
      <c r="K5645" s="6" t="n">
        <v>2</v>
      </c>
      <c r="L5645" s="94" t="n">
        <v>190801</v>
      </c>
      <c r="M5645" s="94">
        <f>VLOOKUP($Q5645,매칭테이블!$F:$I,2,0)*K5645</f>
        <v/>
      </c>
      <c r="N5645" s="94">
        <f>M5645-M5645*VLOOKUP($Q5645,매칭테이블!$F:$I,3,0)</f>
        <v/>
      </c>
      <c r="O5645" s="94">
        <f>VLOOKUP($Q5645,매칭테이블!$F:$I,4,0)*K5645</f>
        <v/>
      </c>
      <c r="P5645" s="148">
        <f>M5645/1.1</f>
        <v/>
      </c>
      <c r="Q5645" s="94">
        <f>F5645&amp;E5645&amp;G5645&amp;L5645</f>
        <v/>
      </c>
    </row>
    <row r="5646">
      <c r="A5646" s="94" t="n"/>
      <c r="B5646" s="128" t="n">
        <v>43937</v>
      </c>
      <c r="C5646" s="94">
        <f>TEXT(B5646,"aaa")</f>
        <v/>
      </c>
      <c r="D5646" s="94" t="n"/>
      <c r="E5646" s="94" t="inlineStr">
        <is>
          <t>머드크림마스크</t>
        </is>
      </c>
      <c r="F5646" s="94" t="inlineStr">
        <is>
          <t>큐텐</t>
        </is>
      </c>
      <c r="G5646" s="94" t="inlineStr">
        <is>
          <t>머드크림마스크 100ml</t>
        </is>
      </c>
      <c r="H5646" s="7" t="n">
        <v>190801</v>
      </c>
      <c r="I5646" s="7" t="n">
        <v>190801</v>
      </c>
      <c r="J5646" s="94" t="n"/>
      <c r="K5646" s="6" t="n">
        <v>1</v>
      </c>
      <c r="L5646" s="94" t="n">
        <v>190801</v>
      </c>
      <c r="M5646" s="94">
        <f>VLOOKUP($Q5646,매칭테이블!$F:$I,2,0)*K5646</f>
        <v/>
      </c>
      <c r="N5646" s="94">
        <f>M5646-M5646*VLOOKUP($Q5646,매칭테이블!$F:$I,3,0)</f>
        <v/>
      </c>
      <c r="O5646" s="94">
        <f>VLOOKUP($Q5646,매칭테이블!$F:$I,4,0)*K5646</f>
        <v/>
      </c>
      <c r="P5646" s="148">
        <f>M5646/1.1</f>
        <v/>
      </c>
      <c r="Q5646" s="94">
        <f>F5646&amp;E5646&amp;G5646&amp;L5646</f>
        <v/>
      </c>
    </row>
    <row r="5647">
      <c r="A5647" s="94" t="n"/>
      <c r="B5647" s="128" t="n">
        <v>43938</v>
      </c>
      <c r="C5647" s="94">
        <f>TEXT(B5647,"aaa")</f>
        <v/>
      </c>
      <c r="D5647" s="94" t="n"/>
      <c r="E5647" s="6" t="inlineStr">
        <is>
          <t>토너</t>
        </is>
      </c>
      <c r="F5647" s="5" t="inlineStr">
        <is>
          <t>W컨셉</t>
        </is>
      </c>
      <c r="G5647" s="5" t="inlineStr">
        <is>
          <t>250ml</t>
        </is>
      </c>
      <c r="H5647" s="7" t="n">
        <v>190801</v>
      </c>
      <c r="I5647" s="7" t="n">
        <v>190801</v>
      </c>
      <c r="J5647" s="94" t="n"/>
      <c r="K5647" s="6" t="n">
        <v>1</v>
      </c>
      <c r="L5647" s="7" t="n">
        <v>190801</v>
      </c>
      <c r="M5647" s="94">
        <f>VLOOKUP($Q5647,매칭테이블!$F:$I,2,0)*K5647</f>
        <v/>
      </c>
      <c r="N5647" s="94">
        <f>M5647-M5647*VLOOKUP($Q5647,매칭테이블!$F:$I,3,0)</f>
        <v/>
      </c>
      <c r="O5647" s="94">
        <f>VLOOKUP($Q5647,매칭테이블!$F:$I,4,0)*K5647</f>
        <v/>
      </c>
      <c r="P5647" s="148">
        <f>M5647/1.1</f>
        <v/>
      </c>
      <c r="Q5647" s="94">
        <f>F5647&amp;E5647&amp;G5647&amp;L5647</f>
        <v/>
      </c>
    </row>
    <row r="5648">
      <c r="A5648" s="94" t="n"/>
      <c r="B5648" s="128" t="n">
        <v>43938</v>
      </c>
      <c r="C5648" s="94">
        <f>TEXT(B5648,"aaa")</f>
        <v/>
      </c>
      <c r="D5648" s="94" t="n"/>
      <c r="E5648" s="6" t="inlineStr">
        <is>
          <t>토너</t>
        </is>
      </c>
      <c r="F5648" s="5" t="inlineStr">
        <is>
          <t>W컨셉</t>
        </is>
      </c>
      <c r="G5648" s="5" t="inlineStr">
        <is>
          <t>250ml 2set</t>
        </is>
      </c>
      <c r="H5648" s="7" t="n">
        <v>190801</v>
      </c>
      <c r="I5648" s="7" t="n">
        <v>190801</v>
      </c>
      <c r="J5648" s="94" t="n"/>
      <c r="K5648" s="6" t="n">
        <v>4</v>
      </c>
      <c r="L5648" s="7" t="n">
        <v>190801</v>
      </c>
      <c r="M5648" s="94">
        <f>VLOOKUP($Q5648,매칭테이블!$F:$I,2,0)*K5648</f>
        <v/>
      </c>
      <c r="N5648" s="94">
        <f>M5648-M5648*VLOOKUP($Q5648,매칭테이블!$F:$I,3,0)</f>
        <v/>
      </c>
      <c r="O5648" s="94">
        <f>VLOOKUP($Q5648,매칭테이블!$F:$I,4,0)*K5648</f>
        <v/>
      </c>
      <c r="P5648" s="148">
        <f>M5648/1.1</f>
        <v/>
      </c>
      <c r="Q5648" s="94">
        <f>F5648&amp;E5648&amp;G5648&amp;L5648</f>
        <v/>
      </c>
    </row>
    <row r="5649">
      <c r="A5649" s="94" t="n"/>
      <c r="B5649" s="128" t="n">
        <v>43938</v>
      </c>
      <c r="C5649" s="94">
        <f>TEXT(B5649,"aaa")</f>
        <v/>
      </c>
      <c r="D5649" s="94" t="n"/>
      <c r="E5649" s="94" t="inlineStr">
        <is>
          <t>토너</t>
        </is>
      </c>
      <c r="F5649" s="5" t="inlineStr">
        <is>
          <t>스타일쉐어</t>
        </is>
      </c>
      <c r="G5649" s="94" t="inlineStr">
        <is>
          <t>250ml</t>
        </is>
      </c>
      <c r="H5649" s="7" t="n">
        <v>190801</v>
      </c>
      <c r="I5649" s="7" t="n">
        <v>190801</v>
      </c>
      <c r="J5649" s="94" t="n"/>
      <c r="K5649" s="6" t="n">
        <v>2</v>
      </c>
      <c r="L5649" s="7" t="n">
        <v>190801</v>
      </c>
      <c r="M5649" s="94">
        <f>VLOOKUP($Q5649,매칭테이블!$F:$I,2,0)*K5649</f>
        <v/>
      </c>
      <c r="N5649" s="94">
        <f>M5649-M5649*VLOOKUP($Q5649,매칭테이블!$F:$I,3,0)</f>
        <v/>
      </c>
      <c r="O5649" s="94">
        <f>VLOOKUP($Q5649,매칭테이블!$F:$I,4,0)*K5649</f>
        <v/>
      </c>
      <c r="P5649" s="148">
        <f>M5649/1.1</f>
        <v/>
      </c>
      <c r="Q5649" s="94">
        <f>F5649&amp;E5649&amp;G5649&amp;L5649</f>
        <v/>
      </c>
    </row>
    <row r="5650">
      <c r="A5650" s="94" t="n"/>
      <c r="B5650" s="128" t="n">
        <v>43938</v>
      </c>
      <c r="C5650" s="94">
        <f>TEXT(B5650,"aaa")</f>
        <v/>
      </c>
      <c r="D5650" s="94" t="n"/>
      <c r="E5650" s="94" t="inlineStr">
        <is>
          <t>토너</t>
        </is>
      </c>
      <c r="F5650" s="94" t="inlineStr">
        <is>
          <t>글로우데이즈 시코르</t>
        </is>
      </c>
      <c r="G5650" s="94" t="inlineStr">
        <is>
          <t>250ml</t>
        </is>
      </c>
      <c r="H5650" s="7" t="n">
        <v>190801</v>
      </c>
      <c r="I5650" s="7" t="n">
        <v>190801</v>
      </c>
      <c r="J5650" s="94" t="n"/>
      <c r="K5650" s="6" t="n">
        <v>3</v>
      </c>
      <c r="L5650" s="7" t="n">
        <v>190801</v>
      </c>
      <c r="M5650" s="94">
        <f>VLOOKUP($Q5650,매칭테이블!$F:$I,2,0)*K5650</f>
        <v/>
      </c>
      <c r="N5650" s="94">
        <f>M5650-M5650*VLOOKUP($Q5650,매칭테이블!$F:$I,3,0)</f>
        <v/>
      </c>
      <c r="O5650" s="94">
        <f>VLOOKUP($Q5650,매칭테이블!$F:$I,4,0)*K5650</f>
        <v/>
      </c>
      <c r="P5650" s="148">
        <f>M5650/1.1</f>
        <v/>
      </c>
      <c r="Q5650" s="94">
        <f>F5650&amp;E5650&amp;G5650&amp;L5650</f>
        <v/>
      </c>
    </row>
    <row r="5651">
      <c r="A5651" s="94" t="n"/>
      <c r="B5651" s="128" t="n">
        <v>43938</v>
      </c>
      <c r="C5651" s="94">
        <f>TEXT(B5651,"aaa")</f>
        <v/>
      </c>
      <c r="D5651" s="94" t="n"/>
      <c r="E5651" s="94" t="inlineStr">
        <is>
          <t>머드크림마스크</t>
        </is>
      </c>
      <c r="F5651" s="94" t="inlineStr">
        <is>
          <t>글로우데이즈 시코르</t>
        </is>
      </c>
      <c r="G5651" s="94" t="inlineStr">
        <is>
          <t>머드크림마스크 100ml</t>
        </is>
      </c>
      <c r="H5651" s="7" t="n">
        <v>190801</v>
      </c>
      <c r="I5651" s="7" t="n">
        <v>190801</v>
      </c>
      <c r="J5651" s="94" t="n"/>
      <c r="K5651" s="6" t="n">
        <v>1</v>
      </c>
      <c r="L5651" s="94" t="n">
        <v>190801</v>
      </c>
      <c r="M5651" s="94">
        <f>VLOOKUP($Q5651,매칭테이블!$F:$I,2,0)*K5651</f>
        <v/>
      </c>
      <c r="N5651" s="94">
        <f>M5651-M5651*VLOOKUP($Q5651,매칭테이블!$F:$I,3,0)</f>
        <v/>
      </c>
      <c r="O5651" s="94">
        <f>VLOOKUP($Q5651,매칭테이블!$F:$I,4,0)*K5651</f>
        <v/>
      </c>
      <c r="P5651" s="148">
        <f>M5651/1.1</f>
        <v/>
      </c>
      <c r="Q5651" s="94">
        <f>F5651&amp;E5651&amp;G5651&amp;L5651</f>
        <v/>
      </c>
    </row>
    <row r="5652">
      <c r="A5652" s="94" t="n"/>
      <c r="B5652" s="128" t="n">
        <v>43938</v>
      </c>
      <c r="C5652" s="94">
        <f>TEXT(B5652,"aaa")</f>
        <v/>
      </c>
      <c r="D5652" s="94" t="n"/>
      <c r="E5652" s="94" t="inlineStr">
        <is>
          <t>마스크팩</t>
        </is>
      </c>
      <c r="F5652" s="94" t="inlineStr">
        <is>
          <t>글로우데이즈 시코르</t>
        </is>
      </c>
      <c r="G5652" s="94" t="inlineStr">
        <is>
          <t>마스크팩 1매</t>
        </is>
      </c>
      <c r="H5652" s="7" t="n">
        <v>190801</v>
      </c>
      <c r="I5652" s="7" t="n">
        <v>190801</v>
      </c>
      <c r="J5652" s="94" t="n"/>
      <c r="K5652" s="6" t="n">
        <v>1</v>
      </c>
      <c r="L5652" s="94" t="n">
        <v>190801</v>
      </c>
      <c r="M5652" s="94">
        <f>VLOOKUP($Q5652,매칭테이블!$F:$I,2,0)*K5652</f>
        <v/>
      </c>
      <c r="N5652" s="94">
        <f>M5652-M5652*VLOOKUP($Q5652,매칭테이블!$F:$I,3,0)</f>
        <v/>
      </c>
      <c r="O5652" s="94">
        <f>VLOOKUP($Q5652,매칭테이블!$F:$I,4,0)*K5652</f>
        <v/>
      </c>
      <c r="P5652" s="148">
        <f>M5652/1.1</f>
        <v/>
      </c>
      <c r="Q5652" s="94">
        <f>F5652&amp;E5652&amp;G5652&amp;L5652</f>
        <v/>
      </c>
    </row>
    <row r="5653">
      <c r="A5653" s="94" t="n"/>
      <c r="B5653" s="128" t="n">
        <v>43938</v>
      </c>
      <c r="C5653" s="94">
        <f>TEXT(B5653,"aaa")</f>
        <v/>
      </c>
      <c r="D5653" s="94" t="n"/>
      <c r="E5653" s="94" t="inlineStr">
        <is>
          <t>마스크팩</t>
        </is>
      </c>
      <c r="F5653" s="94" t="inlineStr">
        <is>
          <t>글로우데이즈 시코르</t>
        </is>
      </c>
      <c r="G5653" s="94" t="inlineStr">
        <is>
          <t>마스크팩 10매</t>
        </is>
      </c>
      <c r="H5653" s="7" t="n">
        <v>190801</v>
      </c>
      <c r="I5653" s="7" t="n">
        <v>190801</v>
      </c>
      <c r="J5653" s="94" t="n"/>
      <c r="K5653" s="6" t="n">
        <v>1</v>
      </c>
      <c r="L5653" s="94" t="n">
        <v>190801</v>
      </c>
      <c r="M5653" s="94">
        <f>VLOOKUP($Q5653,매칭테이블!$F:$I,2,0)*K5653</f>
        <v/>
      </c>
      <c r="N5653" s="94">
        <f>M5653-M5653*VLOOKUP($Q5653,매칭테이블!$F:$I,3,0)</f>
        <v/>
      </c>
      <c r="O5653" s="94">
        <f>VLOOKUP($Q5653,매칭테이블!$F:$I,4,0)*K5653</f>
        <v/>
      </c>
      <c r="P5653" s="148">
        <f>M5653/1.1</f>
        <v/>
      </c>
      <c r="Q5653" s="94">
        <f>F5653&amp;E5653&amp;G5653&amp;L5653</f>
        <v/>
      </c>
    </row>
    <row r="5654">
      <c r="A5654" s="94" t="n"/>
      <c r="B5654" s="128" t="n">
        <v>43938</v>
      </c>
      <c r="C5654" s="94">
        <f>TEXT(B5654,"aaa")</f>
        <v/>
      </c>
      <c r="D5654" s="94" t="n"/>
      <c r="E5654" s="94" t="inlineStr">
        <is>
          <t>앰플</t>
        </is>
      </c>
      <c r="F5654" s="94" t="inlineStr">
        <is>
          <t>글로우데이즈 시코르</t>
        </is>
      </c>
      <c r="G5654" s="94" t="inlineStr">
        <is>
          <t>앰플 30ml</t>
        </is>
      </c>
      <c r="H5654" s="7" t="n">
        <v>190801</v>
      </c>
      <c r="I5654" s="7" t="n">
        <v>190801</v>
      </c>
      <c r="J5654" s="94" t="n"/>
      <c r="K5654" s="6" t="n">
        <v>1</v>
      </c>
      <c r="L5654" s="94" t="n">
        <v>190801</v>
      </c>
      <c r="M5654" s="94">
        <f>VLOOKUP($Q5654,매칭테이블!$F:$I,2,0)*K5654</f>
        <v/>
      </c>
      <c r="N5654" s="94">
        <f>M5654-M5654*VLOOKUP($Q5654,매칭테이블!$F:$I,3,0)</f>
        <v/>
      </c>
      <c r="O5654" s="94">
        <f>VLOOKUP($Q5654,매칭테이블!$F:$I,4,0)*K5654</f>
        <v/>
      </c>
      <c r="P5654" s="148">
        <f>M5654/1.1</f>
        <v/>
      </c>
      <c r="Q5654" s="94">
        <f>F5654&amp;E5654&amp;G5654&amp;L5654</f>
        <v/>
      </c>
    </row>
    <row r="5655">
      <c r="A5655" s="94" t="n"/>
      <c r="B5655" s="128" t="n">
        <v>43938</v>
      </c>
      <c r="C5655" s="94">
        <f>TEXT(B5655,"aaa")</f>
        <v/>
      </c>
      <c r="D5655" s="94" t="n"/>
      <c r="E5655" s="94" t="inlineStr">
        <is>
          <t>수딩크림</t>
        </is>
      </c>
      <c r="F5655" s="94" t="inlineStr">
        <is>
          <t>글로우데이즈 시코르</t>
        </is>
      </c>
      <c r="G5655" s="94" t="inlineStr">
        <is>
          <t>수딩크림 100ml</t>
        </is>
      </c>
      <c r="H5655" s="7" t="n">
        <v>190801</v>
      </c>
      <c r="I5655" s="7" t="n">
        <v>190801</v>
      </c>
      <c r="J5655" s="94" t="n"/>
      <c r="K5655" s="6" t="n">
        <v>1</v>
      </c>
      <c r="L5655" s="94" t="n">
        <v>190801</v>
      </c>
      <c r="M5655" s="94">
        <f>VLOOKUP($Q5655,매칭테이블!$F:$I,2,0)*K5655</f>
        <v/>
      </c>
      <c r="N5655" s="94">
        <f>M5655-M5655*VLOOKUP($Q5655,매칭테이블!$F:$I,3,0)</f>
        <v/>
      </c>
      <c r="O5655" s="94">
        <f>VLOOKUP($Q5655,매칭테이블!$F:$I,4,0)*K5655</f>
        <v/>
      </c>
      <c r="P5655" s="148">
        <f>M5655/1.1</f>
        <v/>
      </c>
      <c r="Q5655" s="94">
        <f>F5655&amp;E5655&amp;G5655&amp;L5655</f>
        <v/>
      </c>
    </row>
    <row r="5656">
      <c r="A5656" s="94" t="n"/>
      <c r="B5656" s="128" t="n">
        <v>43938</v>
      </c>
      <c r="C5656" s="94">
        <f>TEXT(B5656,"aaa")</f>
        <v/>
      </c>
      <c r="D5656" s="94" t="n"/>
      <c r="E5656" s="94" t="inlineStr">
        <is>
          <t>클렌징폼</t>
        </is>
      </c>
      <c r="F5656" s="94" t="inlineStr">
        <is>
          <t>글로우데이즈 시코르</t>
        </is>
      </c>
      <c r="G5656" s="94" t="inlineStr">
        <is>
          <t>클렌징폼 120ml</t>
        </is>
      </c>
      <c r="H5656" s="7" t="n">
        <v>190801</v>
      </c>
      <c r="I5656" s="7" t="n">
        <v>190801</v>
      </c>
      <c r="J5656" s="94" t="n"/>
      <c r="K5656" s="6" t="n">
        <v>1</v>
      </c>
      <c r="L5656" s="7" t="n">
        <v>190801</v>
      </c>
      <c r="M5656" s="94">
        <f>VLOOKUP($Q5656,매칭테이블!$F:$I,2,0)*K5656</f>
        <v/>
      </c>
      <c r="N5656" s="94">
        <f>M5656-M5656*VLOOKUP($Q5656,매칭테이블!$F:$I,3,0)</f>
        <v/>
      </c>
      <c r="O5656" s="94">
        <f>VLOOKUP($Q5656,매칭테이블!$F:$I,4,0)*K5656</f>
        <v/>
      </c>
      <c r="P5656" s="148">
        <f>M5656/1.1</f>
        <v/>
      </c>
      <c r="Q5656" s="94">
        <f>F5656&amp;E5656&amp;G5656&amp;L5656</f>
        <v/>
      </c>
    </row>
    <row r="5657">
      <c r="A5657" s="94" t="n"/>
      <c r="B5657" s="128" t="n">
        <v>43938</v>
      </c>
      <c r="C5657" s="94">
        <f>TEXT(B5657,"aaa")</f>
        <v/>
      </c>
      <c r="D5657" s="94" t="n"/>
      <c r="E5657" s="94" t="inlineStr">
        <is>
          <t>머드크림마스크</t>
        </is>
      </c>
      <c r="F5657" s="94" t="inlineStr">
        <is>
          <t>카페24</t>
        </is>
      </c>
      <c r="G5657" s="94" t="inlineStr">
        <is>
          <t>머드크림마스크 100ml</t>
        </is>
      </c>
      <c r="H5657" s="7" t="n">
        <v>190801</v>
      </c>
      <c r="I5657" s="7" t="n">
        <v>190801</v>
      </c>
      <c r="J5657" s="94" t="n"/>
      <c r="K5657" s="6" t="n">
        <v>11</v>
      </c>
      <c r="L5657" s="94" t="n">
        <v>190801</v>
      </c>
      <c r="M5657" s="94">
        <f>VLOOKUP($Q5657,매칭테이블!$F:$I,2,0)*K5657</f>
        <v/>
      </c>
      <c r="N5657" s="94">
        <f>M5657-M5657*VLOOKUP($Q5657,매칭테이블!$F:$I,3,0)</f>
        <v/>
      </c>
      <c r="O5657" s="94">
        <f>VLOOKUP($Q5657,매칭테이블!$F:$I,4,0)*K5657</f>
        <v/>
      </c>
      <c r="P5657" s="148">
        <f>M5657/1.1</f>
        <v/>
      </c>
      <c r="Q5657" s="94">
        <f>F5657&amp;E5657&amp;G5657&amp;L5657</f>
        <v/>
      </c>
    </row>
    <row r="5658">
      <c r="A5658" s="94" t="n"/>
      <c r="B5658" s="128" t="n">
        <v>43938</v>
      </c>
      <c r="C5658" s="94">
        <f>TEXT(B5658,"aaa")</f>
        <v/>
      </c>
      <c r="D5658" s="94" t="n"/>
      <c r="E5658" s="94" t="inlineStr">
        <is>
          <t>머드크림마스크</t>
        </is>
      </c>
      <c r="F5658" s="94" t="inlineStr">
        <is>
          <t>카페24</t>
        </is>
      </c>
      <c r="G5658" s="94" t="inlineStr">
        <is>
          <t>머드크림마스크 100ml 2set</t>
        </is>
      </c>
      <c r="H5658" s="7" t="n">
        <v>190801</v>
      </c>
      <c r="I5658" s="7" t="n">
        <v>190801</v>
      </c>
      <c r="J5658" s="94" t="n"/>
      <c r="K5658" s="6" t="n">
        <v>2</v>
      </c>
      <c r="L5658" s="94" t="n">
        <v>190801</v>
      </c>
      <c r="M5658" s="94">
        <f>VLOOKUP($Q5658,매칭테이블!$F:$I,2,0)*K5658</f>
        <v/>
      </c>
      <c r="N5658" s="94">
        <f>M5658-M5658*VLOOKUP($Q5658,매칭테이블!$F:$I,3,0)</f>
        <v/>
      </c>
      <c r="O5658" s="94">
        <f>VLOOKUP($Q5658,매칭테이블!$F:$I,4,0)*K5658</f>
        <v/>
      </c>
      <c r="P5658" s="148">
        <f>M5658/1.1</f>
        <v/>
      </c>
      <c r="Q5658" s="94">
        <f>F5658&amp;E5658&amp;G5658&amp;L5658</f>
        <v/>
      </c>
    </row>
    <row r="5659">
      <c r="A5659" s="94" t="n"/>
      <c r="B5659" s="128" t="n">
        <v>43938</v>
      </c>
      <c r="C5659" s="94">
        <f>TEXT(B5659,"aaa")</f>
        <v/>
      </c>
      <c r="D5659" s="94" t="n"/>
      <c r="E5659" s="94" t="inlineStr">
        <is>
          <t>마스크팩</t>
        </is>
      </c>
      <c r="F5659" s="94" t="inlineStr">
        <is>
          <t>카페24</t>
        </is>
      </c>
      <c r="G5659" s="94" t="inlineStr">
        <is>
          <t>마스크팩 1매</t>
        </is>
      </c>
      <c r="H5659" s="7" t="n">
        <v>190801</v>
      </c>
      <c r="I5659" s="7" t="n">
        <v>190801</v>
      </c>
      <c r="J5659" s="94" t="n"/>
      <c r="K5659" s="6" t="n">
        <v>7</v>
      </c>
      <c r="L5659" s="94" t="n">
        <v>190801</v>
      </c>
      <c r="M5659" s="94">
        <f>VLOOKUP($Q5659,매칭테이블!$F:$I,2,0)*K5659</f>
        <v/>
      </c>
      <c r="N5659" s="94">
        <f>M5659-M5659*VLOOKUP($Q5659,매칭테이블!$F:$I,3,0)</f>
        <v/>
      </c>
      <c r="O5659" s="94">
        <f>VLOOKUP($Q5659,매칭테이블!$F:$I,4,0)*K5659</f>
        <v/>
      </c>
      <c r="P5659" s="148">
        <f>M5659/1.1</f>
        <v/>
      </c>
      <c r="Q5659" s="94">
        <f>F5659&amp;E5659&amp;G5659&amp;L5659</f>
        <v/>
      </c>
    </row>
    <row r="5660">
      <c r="A5660" s="94" t="n"/>
      <c r="B5660" s="128" t="n">
        <v>43938</v>
      </c>
      <c r="C5660" s="94">
        <f>TEXT(B5660,"aaa")</f>
        <v/>
      </c>
      <c r="D5660" s="94" t="n"/>
      <c r="E5660" s="94" t="inlineStr">
        <is>
          <t>마스크팩</t>
        </is>
      </c>
      <c r="F5660" s="94" t="inlineStr">
        <is>
          <t>카페24</t>
        </is>
      </c>
      <c r="G5660" s="94" t="inlineStr">
        <is>
          <t>마스크팩 10매</t>
        </is>
      </c>
      <c r="H5660" s="7" t="n">
        <v>190801</v>
      </c>
      <c r="I5660" s="7" t="n">
        <v>190801</v>
      </c>
      <c r="J5660" s="94" t="n"/>
      <c r="K5660" s="6" t="n">
        <v>9</v>
      </c>
      <c r="L5660" s="94" t="n">
        <v>190801</v>
      </c>
      <c r="M5660" s="94">
        <f>VLOOKUP($Q5660,매칭테이블!$F:$I,2,0)*K5660</f>
        <v/>
      </c>
      <c r="N5660" s="94">
        <f>M5660-M5660*VLOOKUP($Q5660,매칭테이블!$F:$I,3,0)</f>
        <v/>
      </c>
      <c r="O5660" s="94">
        <f>VLOOKUP($Q5660,매칭테이블!$F:$I,4,0)*K5660</f>
        <v/>
      </c>
      <c r="P5660" s="148">
        <f>M5660/1.1</f>
        <v/>
      </c>
      <c r="Q5660" s="94">
        <f>F5660&amp;E5660&amp;G5660&amp;L5660</f>
        <v/>
      </c>
    </row>
    <row r="5661">
      <c r="A5661" s="94" t="n"/>
      <c r="B5661" s="128" t="n">
        <v>43938</v>
      </c>
      <c r="C5661" s="94">
        <f>TEXT(B5661,"aaa")</f>
        <v/>
      </c>
      <c r="D5661" s="94" t="n"/>
      <c r="E5661" s="6" t="inlineStr">
        <is>
          <t>토너</t>
        </is>
      </c>
      <c r="F5661" s="5" t="inlineStr">
        <is>
          <t>카페24</t>
        </is>
      </c>
      <c r="G5661" s="5" t="inlineStr">
        <is>
          <t>250ml</t>
        </is>
      </c>
      <c r="H5661" s="7" t="n">
        <v>190801</v>
      </c>
      <c r="I5661" s="7" t="n">
        <v>190801</v>
      </c>
      <c r="J5661" s="94" t="n"/>
      <c r="K5661" s="6" t="n">
        <v>58</v>
      </c>
      <c r="L5661" s="7" t="n">
        <v>190801</v>
      </c>
      <c r="M5661" s="94">
        <f>VLOOKUP($Q5661,매칭테이블!$F:$I,2,0)*K5661</f>
        <v/>
      </c>
      <c r="N5661" s="94">
        <f>M5661-M5661*VLOOKUP($Q5661,매칭테이블!$F:$I,3,0)</f>
        <v/>
      </c>
      <c r="O5661" s="94">
        <f>VLOOKUP($Q5661,매칭테이블!$F:$I,4,0)*K5661</f>
        <v/>
      </c>
      <c r="P5661" s="148">
        <f>M5661/1.1</f>
        <v/>
      </c>
      <c r="Q5661" s="94">
        <f>F5661&amp;E5661&amp;G5661&amp;L5661</f>
        <v/>
      </c>
    </row>
    <row r="5662">
      <c r="A5662" s="94" t="n"/>
      <c r="B5662" s="128" t="n">
        <v>43938</v>
      </c>
      <c r="C5662" s="94">
        <f>TEXT(B5662,"aaa")</f>
        <v/>
      </c>
      <c r="D5662" s="94" t="n"/>
      <c r="E5662" s="6" t="inlineStr">
        <is>
          <t>토너</t>
        </is>
      </c>
      <c r="F5662" s="5" t="inlineStr">
        <is>
          <t>카페24</t>
        </is>
      </c>
      <c r="G5662" s="5" t="inlineStr">
        <is>
          <t>250ml 2set</t>
        </is>
      </c>
      <c r="H5662" s="7" t="n">
        <v>190801</v>
      </c>
      <c r="I5662" s="7" t="n">
        <v>190801</v>
      </c>
      <c r="J5662" s="94" t="n"/>
      <c r="K5662" s="6" t="n">
        <v>51</v>
      </c>
      <c r="L5662" s="7" t="n">
        <v>190801</v>
      </c>
      <c r="M5662" s="94">
        <f>VLOOKUP($Q5662,매칭테이블!$F:$I,2,0)*K5662</f>
        <v/>
      </c>
      <c r="N5662" s="94">
        <f>M5662-M5662*VLOOKUP($Q5662,매칭테이블!$F:$I,3,0)</f>
        <v/>
      </c>
      <c r="O5662" s="94">
        <f>VLOOKUP($Q5662,매칭테이블!$F:$I,4,0)*K5662</f>
        <v/>
      </c>
      <c r="P5662" s="148">
        <f>M5662/1.1</f>
        <v/>
      </c>
      <c r="Q5662" s="94">
        <f>F5662&amp;E5662&amp;G5662&amp;L5662</f>
        <v/>
      </c>
    </row>
    <row r="5663">
      <c r="A5663" s="94" t="n"/>
      <c r="B5663" s="128" t="n">
        <v>43938</v>
      </c>
      <c r="C5663" s="94">
        <f>TEXT(B5663,"aaa")</f>
        <v/>
      </c>
      <c r="D5663" s="94" t="n"/>
      <c r="E5663" s="6" t="inlineStr">
        <is>
          <t>토너</t>
        </is>
      </c>
      <c r="F5663" s="5" t="inlineStr">
        <is>
          <t>카페24</t>
        </is>
      </c>
      <c r="G5663" s="5" t="inlineStr">
        <is>
          <t>500ml</t>
        </is>
      </c>
      <c r="H5663" s="7" t="n">
        <v>190801</v>
      </c>
      <c r="I5663" s="7" t="n">
        <v>190801</v>
      </c>
      <c r="J5663" s="94" t="n"/>
      <c r="K5663" s="6" t="n">
        <v>39</v>
      </c>
      <c r="L5663" s="7" t="n">
        <v>190801</v>
      </c>
      <c r="M5663" s="94">
        <f>VLOOKUP($Q5663,매칭테이블!$F:$I,2,0)*K5663</f>
        <v/>
      </c>
      <c r="N5663" s="94">
        <f>M5663-M5663*VLOOKUP($Q5663,매칭테이블!$F:$I,3,0)</f>
        <v/>
      </c>
      <c r="O5663" s="94">
        <f>VLOOKUP($Q5663,매칭테이블!$F:$I,4,0)*K5663</f>
        <v/>
      </c>
      <c r="P5663" s="148">
        <f>M5663/1.1</f>
        <v/>
      </c>
      <c r="Q5663" s="94">
        <f>F5663&amp;E5663&amp;G5663&amp;L5663</f>
        <v/>
      </c>
    </row>
    <row r="5664">
      <c r="A5664" s="94" t="n"/>
      <c r="B5664" s="128" t="n">
        <v>43938</v>
      </c>
      <c r="C5664" s="94">
        <f>TEXT(B5664,"aaa")</f>
        <v/>
      </c>
      <c r="D5664" s="94" t="n"/>
      <c r="E5664" s="6" t="inlineStr">
        <is>
          <t>토너</t>
        </is>
      </c>
      <c r="F5664" s="5" t="inlineStr">
        <is>
          <t>카페24</t>
        </is>
      </c>
      <c r="G5664" s="94" t="inlineStr">
        <is>
          <t>스킨팩 화장솜 60P</t>
        </is>
      </c>
      <c r="H5664" s="7" t="n">
        <v>190801</v>
      </c>
      <c r="I5664" s="7" t="n">
        <v>190801</v>
      </c>
      <c r="J5664" s="94" t="n"/>
      <c r="K5664" s="6" t="n">
        <v>54</v>
      </c>
      <c r="L5664" s="7" t="n">
        <v>190801</v>
      </c>
      <c r="M5664" s="94">
        <f>VLOOKUP($Q5664,매칭테이블!$F:$I,2,0)*K5664</f>
        <v/>
      </c>
      <c r="N5664" s="94">
        <f>M5664-M5664*VLOOKUP($Q5664,매칭테이블!$F:$I,3,0)</f>
        <v/>
      </c>
      <c r="O5664" s="94">
        <f>VLOOKUP($Q5664,매칭테이블!$F:$I,4,0)*K5664</f>
        <v/>
      </c>
      <c r="P5664" s="148">
        <f>M5664/1.1</f>
        <v/>
      </c>
      <c r="Q5664" s="94">
        <f>F5664&amp;E5664&amp;G5664&amp;L5664</f>
        <v/>
      </c>
    </row>
    <row r="5665">
      <c r="A5665" s="94" t="n"/>
      <c r="B5665" s="128" t="n">
        <v>43938</v>
      </c>
      <c r="C5665" s="94">
        <f>TEXT(B5665,"aaa")</f>
        <v/>
      </c>
      <c r="D5665" s="94" t="n"/>
      <c r="E5665" s="94" t="inlineStr">
        <is>
          <t>앰플</t>
        </is>
      </c>
      <c r="F5665" s="5" t="inlineStr">
        <is>
          <t>카페24</t>
        </is>
      </c>
      <c r="G5665" s="94" t="inlineStr">
        <is>
          <t>앰플 30ml</t>
        </is>
      </c>
      <c r="H5665" s="7" t="n">
        <v>190801</v>
      </c>
      <c r="I5665" s="7" t="n">
        <v>190801</v>
      </c>
      <c r="J5665" s="94" t="n"/>
      <c r="K5665" s="6" t="n">
        <v>19</v>
      </c>
      <c r="L5665" s="94" t="n">
        <v>190801</v>
      </c>
      <c r="M5665" s="94">
        <f>VLOOKUP($Q5665,매칭테이블!$F:$I,2,0)*K5665</f>
        <v/>
      </c>
      <c r="N5665" s="94">
        <f>M5665-M5665*VLOOKUP($Q5665,매칭테이블!$F:$I,3,0)</f>
        <v/>
      </c>
      <c r="O5665" s="94">
        <f>VLOOKUP($Q5665,매칭테이블!$F:$I,4,0)*K5665</f>
        <v/>
      </c>
      <c r="P5665" s="148">
        <f>M5665/1.1</f>
        <v/>
      </c>
      <c r="Q5665" s="94">
        <f>F5665&amp;E5665&amp;G5665&amp;L5665</f>
        <v/>
      </c>
    </row>
    <row r="5666">
      <c r="A5666" s="94" t="n"/>
      <c r="B5666" s="128" t="n">
        <v>43938</v>
      </c>
      <c r="C5666" s="94">
        <f>TEXT(B5666,"aaa")</f>
        <v/>
      </c>
      <c r="D5666" s="94" t="n"/>
      <c r="E5666" s="94" t="inlineStr">
        <is>
          <t>수딩크림</t>
        </is>
      </c>
      <c r="F5666" s="5" t="inlineStr">
        <is>
          <t>카페24</t>
        </is>
      </c>
      <c r="G5666" s="94" t="inlineStr">
        <is>
          <t>수딩크림 100ml</t>
        </is>
      </c>
      <c r="H5666" s="7" t="n">
        <v>190801</v>
      </c>
      <c r="I5666" s="7" t="n">
        <v>190801</v>
      </c>
      <c r="J5666" s="94" t="n"/>
      <c r="K5666" s="6" t="n">
        <v>8</v>
      </c>
      <c r="L5666" s="94" t="n">
        <v>190801</v>
      </c>
      <c r="M5666" s="94">
        <f>VLOOKUP($Q5666,매칭테이블!$F:$I,2,0)*K5666</f>
        <v/>
      </c>
      <c r="N5666" s="94">
        <f>M5666-M5666*VLOOKUP($Q5666,매칭테이블!$F:$I,3,0)</f>
        <v/>
      </c>
      <c r="O5666" s="94">
        <f>VLOOKUP($Q5666,매칭테이블!$F:$I,4,0)*K5666</f>
        <v/>
      </c>
      <c r="P5666" s="148">
        <f>M5666/1.1</f>
        <v/>
      </c>
      <c r="Q5666" s="94">
        <f>F5666&amp;E5666&amp;G5666&amp;L5666</f>
        <v/>
      </c>
    </row>
    <row r="5667">
      <c r="A5667" s="94" t="n"/>
      <c r="B5667" s="128" t="n">
        <v>43938</v>
      </c>
      <c r="C5667" s="94">
        <f>TEXT(B5667,"aaa")</f>
        <v/>
      </c>
      <c r="D5667" s="94" t="n"/>
      <c r="E5667" s="94" t="inlineStr">
        <is>
          <t>토너+머드크림세트</t>
        </is>
      </c>
      <c r="F5667" s="94" t="inlineStr">
        <is>
          <t>카페24</t>
        </is>
      </c>
      <c r="G5667" s="94" t="inlineStr">
        <is>
          <t>250ml</t>
        </is>
      </c>
      <c r="H5667" s="7" t="n">
        <v>190801</v>
      </c>
      <c r="I5667" s="7" t="n">
        <v>190801</v>
      </c>
      <c r="J5667" s="94" t="n"/>
      <c r="K5667" s="6" t="n">
        <v>3</v>
      </c>
      <c r="L5667" s="94" t="n">
        <v>190801</v>
      </c>
      <c r="M5667" s="94">
        <f>VLOOKUP($Q5667,매칭테이블!$F:$I,2,0)*K5667</f>
        <v/>
      </c>
      <c r="N5667" s="94">
        <f>M5667-M5667*VLOOKUP($Q5667,매칭테이블!$F:$I,3,0)</f>
        <v/>
      </c>
      <c r="O5667" s="94">
        <f>VLOOKUP($Q5667,매칭테이블!$F:$I,4,0)*K5667</f>
        <v/>
      </c>
      <c r="P5667" s="148">
        <f>M5667/1.1</f>
        <v/>
      </c>
      <c r="Q5667" s="94">
        <f>F5667&amp;E5667&amp;G5667&amp;L5667</f>
        <v/>
      </c>
    </row>
    <row r="5668">
      <c r="A5668" s="94" t="n"/>
      <c r="B5668" s="128" t="n">
        <v>43938</v>
      </c>
      <c r="C5668" s="94">
        <f>TEXT(B5668,"aaa")</f>
        <v/>
      </c>
      <c r="D5668" s="94" t="n"/>
      <c r="E5668" s="94" t="inlineStr">
        <is>
          <t>토너+머드크림세트</t>
        </is>
      </c>
      <c r="F5668" s="94" t="inlineStr">
        <is>
          <t>카페24</t>
        </is>
      </c>
      <c r="G5668" s="94" t="inlineStr">
        <is>
          <t>머드크림마스크 100ml</t>
        </is>
      </c>
      <c r="H5668" s="7" t="n">
        <v>190801</v>
      </c>
      <c r="I5668" s="7" t="n">
        <v>190801</v>
      </c>
      <c r="J5668" s="94" t="n"/>
      <c r="K5668" s="6" t="n">
        <v>3</v>
      </c>
      <c r="L5668" s="94" t="n">
        <v>190801</v>
      </c>
      <c r="M5668" s="94">
        <f>VLOOKUP($Q5668,매칭테이블!$F:$I,2,0)*K5668</f>
        <v/>
      </c>
      <c r="N5668" s="94">
        <f>M5668-M5668*VLOOKUP($Q5668,매칭테이블!$F:$I,3,0)</f>
        <v/>
      </c>
      <c r="O5668" s="94">
        <f>VLOOKUP($Q5668,매칭테이블!$F:$I,4,0)*K5668</f>
        <v/>
      </c>
      <c r="P5668" s="148">
        <f>M5668/1.1</f>
        <v/>
      </c>
      <c r="Q5668" s="94">
        <f>F5668&amp;E5668&amp;G5668&amp;L5668</f>
        <v/>
      </c>
    </row>
    <row r="5669">
      <c r="A5669" s="94" t="n"/>
      <c r="B5669" s="128" t="n">
        <v>43938</v>
      </c>
      <c r="C5669" s="94">
        <f>TEXT(B5669,"aaa")</f>
        <v/>
      </c>
      <c r="D5669" s="94" t="n"/>
      <c r="E5669" s="6" t="inlineStr">
        <is>
          <t>토너</t>
        </is>
      </c>
      <c r="F5669" s="94" t="inlineStr">
        <is>
          <t>큐텐</t>
        </is>
      </c>
      <c r="G5669" s="5" t="inlineStr">
        <is>
          <t>250ml</t>
        </is>
      </c>
      <c r="H5669" s="7" t="n">
        <v>190801</v>
      </c>
      <c r="I5669" s="7" t="n">
        <v>190801</v>
      </c>
      <c r="J5669" s="94" t="n"/>
      <c r="K5669" s="6" t="n">
        <v>34</v>
      </c>
      <c r="L5669" s="94" t="n">
        <v>190801</v>
      </c>
      <c r="M5669" s="94">
        <f>VLOOKUP($Q5669,매칭테이블!$F:$I,2,0)*K5669</f>
        <v/>
      </c>
      <c r="N5669" s="94">
        <f>M5669-M5669*VLOOKUP($Q5669,매칭테이블!$F:$I,3,0)</f>
        <v/>
      </c>
      <c r="O5669" s="94">
        <f>VLOOKUP($Q5669,매칭테이블!$F:$I,4,0)*K5669</f>
        <v/>
      </c>
      <c r="P5669" s="148">
        <f>M5669/1.1</f>
        <v/>
      </c>
      <c r="Q5669" s="94">
        <f>F5669&amp;E5669&amp;G5669&amp;L5669</f>
        <v/>
      </c>
    </row>
    <row r="5670">
      <c r="A5670" s="94" t="n"/>
      <c r="B5670" s="128" t="n">
        <v>43938</v>
      </c>
      <c r="C5670" s="94">
        <f>TEXT(B5670,"aaa")</f>
        <v/>
      </c>
      <c r="D5670" s="94" t="n"/>
      <c r="E5670" s="6" t="inlineStr">
        <is>
          <t>토너</t>
        </is>
      </c>
      <c r="F5670" s="94" t="inlineStr">
        <is>
          <t>큐텐</t>
        </is>
      </c>
      <c r="G5670" s="5" t="inlineStr">
        <is>
          <t>250ml 2set</t>
        </is>
      </c>
      <c r="H5670" s="7" t="n">
        <v>190801</v>
      </c>
      <c r="I5670" s="7" t="n">
        <v>190801</v>
      </c>
      <c r="J5670" s="94" t="n"/>
      <c r="K5670" s="6" t="n">
        <v>3</v>
      </c>
      <c r="L5670" s="94" t="n">
        <v>190801</v>
      </c>
      <c r="M5670" s="94">
        <f>VLOOKUP($Q5670,매칭테이블!$F:$I,2,0)*K5670</f>
        <v/>
      </c>
      <c r="N5670" s="94">
        <f>M5670-M5670*VLOOKUP($Q5670,매칭테이블!$F:$I,3,0)</f>
        <v/>
      </c>
      <c r="O5670" s="94">
        <f>VLOOKUP($Q5670,매칭테이블!$F:$I,4,0)*K5670</f>
        <v/>
      </c>
      <c r="P5670" s="148">
        <f>M5670/1.1</f>
        <v/>
      </c>
      <c r="Q5670" s="94">
        <f>F5670&amp;E5670&amp;G5670&amp;L5670</f>
        <v/>
      </c>
    </row>
    <row r="5671">
      <c r="A5671" s="94" t="n"/>
      <c r="B5671" s="128" t="n">
        <v>43939</v>
      </c>
      <c r="C5671" s="94">
        <f>TEXT(B5671,"aaa")</f>
        <v/>
      </c>
      <c r="D5671" s="94" t="n"/>
      <c r="E5671" s="94" t="inlineStr">
        <is>
          <t>토너</t>
        </is>
      </c>
      <c r="F5671" s="5" t="inlineStr">
        <is>
          <t>스타일쉐어</t>
        </is>
      </c>
      <c r="G5671" s="94" t="inlineStr">
        <is>
          <t>250ml</t>
        </is>
      </c>
      <c r="H5671" s="7" t="n">
        <v>190801</v>
      </c>
      <c r="I5671" s="7" t="n">
        <v>190801</v>
      </c>
      <c r="J5671" s="94" t="n"/>
      <c r="K5671" s="6" t="n">
        <v>1</v>
      </c>
      <c r="L5671" s="7" t="n">
        <v>190801</v>
      </c>
      <c r="M5671" s="94">
        <f>VLOOKUP($Q5671,매칭테이블!$F:$I,2,0)*K5671</f>
        <v/>
      </c>
      <c r="N5671" s="94">
        <f>M5671-M5671*VLOOKUP($Q5671,매칭테이블!$F:$I,3,0)</f>
        <v/>
      </c>
      <c r="O5671" s="94">
        <f>VLOOKUP($Q5671,매칭테이블!$F:$I,4,0)*K5671</f>
        <v/>
      </c>
      <c r="P5671" s="148">
        <f>M5671/1.1</f>
        <v/>
      </c>
      <c r="Q5671" s="94">
        <f>F5671&amp;E5671&amp;G5671&amp;L5671</f>
        <v/>
      </c>
    </row>
    <row r="5672">
      <c r="A5672" s="94" t="n"/>
      <c r="B5672" s="128" t="n">
        <v>43939</v>
      </c>
      <c r="C5672" s="94">
        <f>TEXT(B5672,"aaa")</f>
        <v/>
      </c>
      <c r="D5672" s="94" t="n"/>
      <c r="E5672" s="94" t="inlineStr">
        <is>
          <t>머드크림마스크</t>
        </is>
      </c>
      <c r="F5672" s="94" t="inlineStr">
        <is>
          <t>카페24</t>
        </is>
      </c>
      <c r="G5672" s="94" t="inlineStr">
        <is>
          <t>머드크림마스크 100ml</t>
        </is>
      </c>
      <c r="H5672" s="7" t="n">
        <v>190801</v>
      </c>
      <c r="I5672" s="7" t="n">
        <v>190801</v>
      </c>
      <c r="J5672" s="94" t="n"/>
      <c r="K5672" s="6" t="n">
        <v>5</v>
      </c>
      <c r="L5672" s="94" t="n">
        <v>190801</v>
      </c>
      <c r="M5672" s="94">
        <f>VLOOKUP($Q5672,매칭테이블!$F:$I,2,0)*K5672</f>
        <v/>
      </c>
      <c r="N5672" s="94">
        <f>M5672-M5672*VLOOKUP($Q5672,매칭테이블!$F:$I,3,0)</f>
        <v/>
      </c>
      <c r="O5672" s="94">
        <f>VLOOKUP($Q5672,매칭테이블!$F:$I,4,0)*K5672</f>
        <v/>
      </c>
      <c r="P5672" s="148">
        <f>M5672/1.1</f>
        <v/>
      </c>
      <c r="Q5672" s="94">
        <f>F5672&amp;E5672&amp;G5672&amp;L5672</f>
        <v/>
      </c>
    </row>
    <row r="5673">
      <c r="A5673" s="94" t="n"/>
      <c r="B5673" s="128" t="n">
        <v>43939</v>
      </c>
      <c r="C5673" s="94">
        <f>TEXT(B5673,"aaa")</f>
        <v/>
      </c>
      <c r="D5673" s="94" t="n"/>
      <c r="E5673" s="94" t="inlineStr">
        <is>
          <t>머드크림마스크</t>
        </is>
      </c>
      <c r="F5673" s="94" t="inlineStr">
        <is>
          <t>카페24</t>
        </is>
      </c>
      <c r="G5673" s="94" t="inlineStr">
        <is>
          <t>머드크림마스크 100ml 2set</t>
        </is>
      </c>
      <c r="H5673" s="7" t="n">
        <v>190801</v>
      </c>
      <c r="I5673" s="7" t="n">
        <v>190801</v>
      </c>
      <c r="J5673" s="94" t="n"/>
      <c r="K5673" s="6" t="n">
        <v>4</v>
      </c>
      <c r="L5673" s="94" t="n">
        <v>190801</v>
      </c>
      <c r="M5673" s="94">
        <f>VLOOKUP($Q5673,매칭테이블!$F:$I,2,0)*K5673</f>
        <v/>
      </c>
      <c r="N5673" s="94">
        <f>M5673-M5673*VLOOKUP($Q5673,매칭테이블!$F:$I,3,0)</f>
        <v/>
      </c>
      <c r="O5673" s="94">
        <f>VLOOKUP($Q5673,매칭테이블!$F:$I,4,0)*K5673</f>
        <v/>
      </c>
      <c r="P5673" s="148">
        <f>M5673/1.1</f>
        <v/>
      </c>
      <c r="Q5673" s="94">
        <f>F5673&amp;E5673&amp;G5673&amp;L5673</f>
        <v/>
      </c>
    </row>
    <row r="5674">
      <c r="A5674" s="94" t="n"/>
      <c r="B5674" s="128" t="n">
        <v>43939</v>
      </c>
      <c r="C5674" s="94">
        <f>TEXT(B5674,"aaa")</f>
        <v/>
      </c>
      <c r="D5674" s="94" t="n"/>
      <c r="E5674" s="94" t="inlineStr">
        <is>
          <t>마스크팩</t>
        </is>
      </c>
      <c r="F5674" s="94" t="inlineStr">
        <is>
          <t>카페24</t>
        </is>
      </c>
      <c r="G5674" s="94" t="inlineStr">
        <is>
          <t>마스크팩 10매</t>
        </is>
      </c>
      <c r="H5674" s="7" t="n">
        <v>190801</v>
      </c>
      <c r="I5674" s="7" t="n">
        <v>190801</v>
      </c>
      <c r="J5674" s="94" t="n"/>
      <c r="K5674" s="6" t="n">
        <v>1</v>
      </c>
      <c r="L5674" s="94" t="n">
        <v>190801</v>
      </c>
      <c r="M5674" s="94">
        <f>VLOOKUP($Q5674,매칭테이블!$F:$I,2,0)*K5674</f>
        <v/>
      </c>
      <c r="N5674" s="94">
        <f>M5674-M5674*VLOOKUP($Q5674,매칭테이블!$F:$I,3,0)</f>
        <v/>
      </c>
      <c r="O5674" s="94">
        <f>VLOOKUP($Q5674,매칭테이블!$F:$I,4,0)*K5674</f>
        <v/>
      </c>
      <c r="P5674" s="148">
        <f>M5674/1.1</f>
        <v/>
      </c>
      <c r="Q5674" s="94">
        <f>F5674&amp;E5674&amp;G5674&amp;L5674</f>
        <v/>
      </c>
    </row>
    <row r="5675">
      <c r="A5675" s="94" t="n"/>
      <c r="B5675" s="128" t="n">
        <v>43939</v>
      </c>
      <c r="C5675" s="94">
        <f>TEXT(B5675,"aaa")</f>
        <v/>
      </c>
      <c r="D5675" s="94" t="n"/>
      <c r="E5675" s="6" t="inlineStr">
        <is>
          <t>토너</t>
        </is>
      </c>
      <c r="F5675" s="5" t="inlineStr">
        <is>
          <t>카페24</t>
        </is>
      </c>
      <c r="G5675" s="5" t="inlineStr">
        <is>
          <t>250ml</t>
        </is>
      </c>
      <c r="H5675" s="7" t="n">
        <v>190801</v>
      </c>
      <c r="I5675" s="7" t="n">
        <v>190801</v>
      </c>
      <c r="J5675" s="94" t="n"/>
      <c r="K5675" s="6" t="n">
        <v>43</v>
      </c>
      <c r="L5675" s="7" t="n">
        <v>190801</v>
      </c>
      <c r="M5675" s="94">
        <f>VLOOKUP($Q5675,매칭테이블!$F:$I,2,0)*K5675</f>
        <v/>
      </c>
      <c r="N5675" s="94">
        <f>M5675-M5675*VLOOKUP($Q5675,매칭테이블!$F:$I,3,0)</f>
        <v/>
      </c>
      <c r="O5675" s="94">
        <f>VLOOKUP($Q5675,매칭테이블!$F:$I,4,0)*K5675</f>
        <v/>
      </c>
      <c r="P5675" s="148">
        <f>M5675/1.1</f>
        <v/>
      </c>
      <c r="Q5675" s="94">
        <f>F5675&amp;E5675&amp;G5675&amp;L5675</f>
        <v/>
      </c>
    </row>
    <row r="5676">
      <c r="A5676" s="94" t="n"/>
      <c r="B5676" s="128" t="n">
        <v>43939</v>
      </c>
      <c r="C5676" s="94">
        <f>TEXT(B5676,"aaa")</f>
        <v/>
      </c>
      <c r="D5676" s="94" t="n"/>
      <c r="E5676" s="6" t="inlineStr">
        <is>
          <t>토너</t>
        </is>
      </c>
      <c r="F5676" s="5" t="inlineStr">
        <is>
          <t>카페24</t>
        </is>
      </c>
      <c r="G5676" s="5" t="inlineStr">
        <is>
          <t>250ml 2set</t>
        </is>
      </c>
      <c r="H5676" s="7" t="n">
        <v>190801</v>
      </c>
      <c r="I5676" s="7" t="n">
        <v>190801</v>
      </c>
      <c r="J5676" s="94" t="n"/>
      <c r="K5676" s="6" t="n">
        <v>27</v>
      </c>
      <c r="L5676" s="7" t="n">
        <v>190801</v>
      </c>
      <c r="M5676" s="94">
        <f>VLOOKUP($Q5676,매칭테이블!$F:$I,2,0)*K5676</f>
        <v/>
      </c>
      <c r="N5676" s="94">
        <f>M5676-M5676*VLOOKUP($Q5676,매칭테이블!$F:$I,3,0)</f>
        <v/>
      </c>
      <c r="O5676" s="94">
        <f>VLOOKUP($Q5676,매칭테이블!$F:$I,4,0)*K5676</f>
        <v/>
      </c>
      <c r="P5676" s="148">
        <f>M5676/1.1</f>
        <v/>
      </c>
      <c r="Q5676" s="94">
        <f>F5676&amp;E5676&amp;G5676&amp;L5676</f>
        <v/>
      </c>
    </row>
    <row r="5677">
      <c r="A5677" s="94" t="n"/>
      <c r="B5677" s="128" t="n">
        <v>43939</v>
      </c>
      <c r="C5677" s="94">
        <f>TEXT(B5677,"aaa")</f>
        <v/>
      </c>
      <c r="D5677" s="94" t="n"/>
      <c r="E5677" s="6" t="inlineStr">
        <is>
          <t>토너</t>
        </is>
      </c>
      <c r="F5677" s="5" t="inlineStr">
        <is>
          <t>카페24</t>
        </is>
      </c>
      <c r="G5677" s="5" t="inlineStr">
        <is>
          <t>500ml</t>
        </is>
      </c>
      <c r="H5677" s="7" t="n">
        <v>190801</v>
      </c>
      <c r="I5677" s="7" t="n">
        <v>190801</v>
      </c>
      <c r="J5677" s="94" t="n"/>
      <c r="K5677" s="6" t="n">
        <v>42</v>
      </c>
      <c r="L5677" s="7" t="n">
        <v>190801</v>
      </c>
      <c r="M5677" s="94">
        <f>VLOOKUP($Q5677,매칭테이블!$F:$I,2,0)*K5677</f>
        <v/>
      </c>
      <c r="N5677" s="94">
        <f>M5677-M5677*VLOOKUP($Q5677,매칭테이블!$F:$I,3,0)</f>
        <v/>
      </c>
      <c r="O5677" s="94">
        <f>VLOOKUP($Q5677,매칭테이블!$F:$I,4,0)*K5677</f>
        <v/>
      </c>
      <c r="P5677" s="148">
        <f>M5677/1.1</f>
        <v/>
      </c>
      <c r="Q5677" s="94">
        <f>F5677&amp;E5677&amp;G5677&amp;L5677</f>
        <v/>
      </c>
    </row>
    <row r="5678">
      <c r="A5678" s="94" t="n"/>
      <c r="B5678" s="128" t="n">
        <v>43939</v>
      </c>
      <c r="C5678" s="94">
        <f>TEXT(B5678,"aaa")</f>
        <v/>
      </c>
      <c r="D5678" s="94" t="n"/>
      <c r="E5678" s="6" t="inlineStr">
        <is>
          <t>토너</t>
        </is>
      </c>
      <c r="F5678" s="5" t="inlineStr">
        <is>
          <t>카페24</t>
        </is>
      </c>
      <c r="G5678" s="94" t="inlineStr">
        <is>
          <t>스킨팩 화장솜 60P</t>
        </is>
      </c>
      <c r="H5678" s="7" t="n">
        <v>190801</v>
      </c>
      <c r="I5678" s="7" t="n">
        <v>190801</v>
      </c>
      <c r="J5678" s="94" t="n"/>
      <c r="K5678" s="6" t="n">
        <v>39</v>
      </c>
      <c r="L5678" s="7" t="n">
        <v>190801</v>
      </c>
      <c r="M5678" s="94">
        <f>VLOOKUP($Q5678,매칭테이블!$F:$I,2,0)*K5678</f>
        <v/>
      </c>
      <c r="N5678" s="94">
        <f>M5678-M5678*VLOOKUP($Q5678,매칭테이블!$F:$I,3,0)</f>
        <v/>
      </c>
      <c r="O5678" s="94">
        <f>VLOOKUP($Q5678,매칭테이블!$F:$I,4,0)*K5678</f>
        <v/>
      </c>
      <c r="P5678" s="148">
        <f>M5678/1.1</f>
        <v/>
      </c>
      <c r="Q5678" s="94">
        <f>F5678&amp;E5678&amp;G5678&amp;L5678</f>
        <v/>
      </c>
    </row>
    <row r="5679">
      <c r="A5679" s="94" t="n"/>
      <c r="B5679" s="128" t="n">
        <v>43939</v>
      </c>
      <c r="C5679" s="94">
        <f>TEXT(B5679,"aaa")</f>
        <v/>
      </c>
      <c r="D5679" s="94" t="n"/>
      <c r="E5679" s="94" t="inlineStr">
        <is>
          <t>앰플</t>
        </is>
      </c>
      <c r="F5679" s="5" t="inlineStr">
        <is>
          <t>카페24</t>
        </is>
      </c>
      <c r="G5679" s="94" t="inlineStr">
        <is>
          <t>앰플 30ml</t>
        </is>
      </c>
      <c r="H5679" s="7" t="n">
        <v>190801</v>
      </c>
      <c r="I5679" s="7" t="n">
        <v>190801</v>
      </c>
      <c r="J5679" s="94" t="n"/>
      <c r="K5679" s="6" t="n">
        <v>4</v>
      </c>
      <c r="L5679" s="94" t="n">
        <v>190801</v>
      </c>
      <c r="M5679" s="94">
        <f>VLOOKUP($Q5679,매칭테이블!$F:$I,2,0)*K5679</f>
        <v/>
      </c>
      <c r="N5679" s="94">
        <f>M5679-M5679*VLOOKUP($Q5679,매칭테이블!$F:$I,3,0)</f>
        <v/>
      </c>
      <c r="O5679" s="94">
        <f>VLOOKUP($Q5679,매칭테이블!$F:$I,4,0)*K5679</f>
        <v/>
      </c>
      <c r="P5679" s="148">
        <f>M5679/1.1</f>
        <v/>
      </c>
      <c r="Q5679" s="94">
        <f>F5679&amp;E5679&amp;G5679&amp;L5679</f>
        <v/>
      </c>
    </row>
    <row r="5680">
      <c r="A5680" s="94" t="n"/>
      <c r="B5680" s="128" t="n">
        <v>43939</v>
      </c>
      <c r="C5680" s="94">
        <f>TEXT(B5680,"aaa")</f>
        <v/>
      </c>
      <c r="D5680" s="94" t="n"/>
      <c r="E5680" s="94" t="inlineStr">
        <is>
          <t>수딩크림</t>
        </is>
      </c>
      <c r="F5680" s="5" t="inlineStr">
        <is>
          <t>카페24</t>
        </is>
      </c>
      <c r="G5680" s="94" t="inlineStr">
        <is>
          <t>수딩크림 100ml</t>
        </is>
      </c>
      <c r="H5680" s="7" t="n">
        <v>190801</v>
      </c>
      <c r="I5680" s="7" t="n">
        <v>190801</v>
      </c>
      <c r="J5680" s="94" t="n"/>
      <c r="K5680" s="6" t="n">
        <v>6</v>
      </c>
      <c r="L5680" s="94" t="n">
        <v>190801</v>
      </c>
      <c r="M5680" s="94">
        <f>VLOOKUP($Q5680,매칭테이블!$F:$I,2,0)*K5680</f>
        <v/>
      </c>
      <c r="N5680" s="94">
        <f>M5680-M5680*VLOOKUP($Q5680,매칭테이블!$F:$I,3,0)</f>
        <v/>
      </c>
      <c r="O5680" s="94">
        <f>VLOOKUP($Q5680,매칭테이블!$F:$I,4,0)*K5680</f>
        <v/>
      </c>
      <c r="P5680" s="148">
        <f>M5680/1.1</f>
        <v/>
      </c>
      <c r="Q5680" s="94">
        <f>F5680&amp;E5680&amp;G5680&amp;L5680</f>
        <v/>
      </c>
    </row>
    <row r="5681">
      <c r="A5681" s="94" t="n"/>
      <c r="B5681" s="128" t="n">
        <v>43939</v>
      </c>
      <c r="C5681" s="94">
        <f>TEXT(B5681,"aaa")</f>
        <v/>
      </c>
      <c r="D5681" s="94" t="n"/>
      <c r="E5681" s="94" t="inlineStr">
        <is>
          <t>토너+머드크림세트</t>
        </is>
      </c>
      <c r="F5681" s="94" t="inlineStr">
        <is>
          <t>카페24</t>
        </is>
      </c>
      <c r="G5681" s="94" t="inlineStr">
        <is>
          <t>250ml</t>
        </is>
      </c>
      <c r="H5681" s="7" t="n">
        <v>190801</v>
      </c>
      <c r="I5681" s="7" t="n">
        <v>190801</v>
      </c>
      <c r="J5681" s="94" t="n"/>
      <c r="K5681" s="6" t="n">
        <v>1</v>
      </c>
      <c r="L5681" s="94" t="n">
        <v>190801</v>
      </c>
      <c r="M5681" s="94">
        <f>VLOOKUP($Q5681,매칭테이블!$F:$I,2,0)*K5681</f>
        <v/>
      </c>
      <c r="N5681" s="94">
        <f>M5681-M5681*VLOOKUP($Q5681,매칭테이블!$F:$I,3,0)</f>
        <v/>
      </c>
      <c r="O5681" s="94">
        <f>VLOOKUP($Q5681,매칭테이블!$F:$I,4,0)*K5681</f>
        <v/>
      </c>
      <c r="P5681" s="148">
        <f>M5681/1.1</f>
        <v/>
      </c>
      <c r="Q5681" s="94">
        <f>F5681&amp;E5681&amp;G5681&amp;L5681</f>
        <v/>
      </c>
    </row>
    <row r="5682">
      <c r="A5682" s="94" t="n"/>
      <c r="B5682" s="128" t="n">
        <v>43939</v>
      </c>
      <c r="C5682" s="94">
        <f>TEXT(B5682,"aaa")</f>
        <v/>
      </c>
      <c r="D5682" s="94" t="n"/>
      <c r="E5682" s="94" t="inlineStr">
        <is>
          <t>토너+머드크림세트</t>
        </is>
      </c>
      <c r="F5682" s="94" t="inlineStr">
        <is>
          <t>카페24</t>
        </is>
      </c>
      <c r="G5682" s="94" t="inlineStr">
        <is>
          <t>머드크림마스크 100ml</t>
        </is>
      </c>
      <c r="H5682" s="7" t="n">
        <v>190801</v>
      </c>
      <c r="I5682" s="7" t="n">
        <v>190801</v>
      </c>
      <c r="J5682" s="94" t="n"/>
      <c r="K5682" s="6" t="n">
        <v>1</v>
      </c>
      <c r="L5682" s="94" t="n">
        <v>190801</v>
      </c>
      <c r="M5682" s="94">
        <f>VLOOKUP($Q5682,매칭테이블!$F:$I,2,0)*K5682</f>
        <v/>
      </c>
      <c r="N5682" s="94">
        <f>M5682-M5682*VLOOKUP($Q5682,매칭테이블!$F:$I,3,0)</f>
        <v/>
      </c>
      <c r="O5682" s="94">
        <f>VLOOKUP($Q5682,매칭테이블!$F:$I,4,0)*K5682</f>
        <v/>
      </c>
      <c r="P5682" s="148">
        <f>M5682/1.1</f>
        <v/>
      </c>
      <c r="Q5682" s="94">
        <f>F5682&amp;E5682&amp;G5682&amp;L5682</f>
        <v/>
      </c>
    </row>
    <row r="5683">
      <c r="A5683" s="94" t="n"/>
      <c r="B5683" s="128" t="n">
        <v>43940</v>
      </c>
      <c r="C5683" s="94">
        <f>TEXT(B5683,"aaa")</f>
        <v/>
      </c>
      <c r="D5683" s="94" t="n"/>
      <c r="E5683" s="94" t="inlineStr">
        <is>
          <t>토너</t>
        </is>
      </c>
      <c r="F5683" s="5" t="inlineStr">
        <is>
          <t>스타일쉐어</t>
        </is>
      </c>
      <c r="G5683" s="94" t="inlineStr">
        <is>
          <t>250ml</t>
        </is>
      </c>
      <c r="H5683" s="7" t="n">
        <v>190801</v>
      </c>
      <c r="I5683" s="7" t="n">
        <v>190801</v>
      </c>
      <c r="J5683" s="94" t="n"/>
      <c r="K5683" s="6" t="n">
        <v>2</v>
      </c>
      <c r="L5683" s="7" t="n">
        <v>190801</v>
      </c>
      <c r="M5683" s="94">
        <f>VLOOKUP($Q5683,매칭테이블!$F:$I,2,0)*K5683</f>
        <v/>
      </c>
      <c r="N5683" s="94">
        <f>M5683-M5683*VLOOKUP($Q5683,매칭테이블!$F:$I,3,0)</f>
        <v/>
      </c>
      <c r="O5683" s="94">
        <f>VLOOKUP($Q5683,매칭테이블!$F:$I,4,0)*K5683</f>
        <v/>
      </c>
      <c r="P5683" s="148">
        <f>M5683/1.1</f>
        <v/>
      </c>
      <c r="Q5683" s="94">
        <f>F5683&amp;E5683&amp;G5683&amp;L5683</f>
        <v/>
      </c>
    </row>
    <row r="5684">
      <c r="A5684" s="94" t="n"/>
      <c r="B5684" s="128" t="n">
        <v>43940</v>
      </c>
      <c r="C5684" s="94">
        <f>TEXT(B5684,"aaa")</f>
        <v/>
      </c>
      <c r="D5684" s="94" t="n"/>
      <c r="E5684" s="94" t="inlineStr">
        <is>
          <t>머드크림마스크</t>
        </is>
      </c>
      <c r="F5684" s="94" t="inlineStr">
        <is>
          <t>카페24</t>
        </is>
      </c>
      <c r="G5684" s="94" t="inlineStr">
        <is>
          <t>머드크림마스크 100ml</t>
        </is>
      </c>
      <c r="H5684" s="7" t="n">
        <v>190801</v>
      </c>
      <c r="I5684" s="7" t="n">
        <v>190801</v>
      </c>
      <c r="J5684" s="94" t="n"/>
      <c r="K5684" s="6" t="n">
        <v>9</v>
      </c>
      <c r="L5684" s="94" t="n">
        <v>190801</v>
      </c>
      <c r="M5684" s="94">
        <f>VLOOKUP($Q5684,매칭테이블!$F:$I,2,0)*K5684</f>
        <v/>
      </c>
      <c r="N5684" s="94">
        <f>M5684-M5684*VLOOKUP($Q5684,매칭테이블!$F:$I,3,0)</f>
        <v/>
      </c>
      <c r="O5684" s="94">
        <f>VLOOKUP($Q5684,매칭테이블!$F:$I,4,0)*K5684</f>
        <v/>
      </c>
      <c r="P5684" s="148">
        <f>M5684/1.1</f>
        <v/>
      </c>
      <c r="Q5684" s="94">
        <f>F5684&amp;E5684&amp;G5684&amp;L5684</f>
        <v/>
      </c>
    </row>
    <row r="5685">
      <c r="A5685" s="94" t="n"/>
      <c r="B5685" s="128" t="n">
        <v>43940</v>
      </c>
      <c r="C5685" s="94">
        <f>TEXT(B5685,"aaa")</f>
        <v/>
      </c>
      <c r="D5685" s="94" t="n"/>
      <c r="E5685" s="94" t="inlineStr">
        <is>
          <t>머드크림마스크</t>
        </is>
      </c>
      <c r="F5685" s="94" t="inlineStr">
        <is>
          <t>카페24</t>
        </is>
      </c>
      <c r="G5685" s="94" t="inlineStr">
        <is>
          <t>머드크림마스크 100ml 2set</t>
        </is>
      </c>
      <c r="H5685" s="7" t="n">
        <v>190801</v>
      </c>
      <c r="I5685" s="7" t="n">
        <v>190801</v>
      </c>
      <c r="J5685" s="94" t="n"/>
      <c r="K5685" s="6" t="n">
        <v>4</v>
      </c>
      <c r="L5685" s="94" t="n">
        <v>190801</v>
      </c>
      <c r="M5685" s="94">
        <f>VLOOKUP($Q5685,매칭테이블!$F:$I,2,0)*K5685</f>
        <v/>
      </c>
      <c r="N5685" s="94">
        <f>M5685-M5685*VLOOKUP($Q5685,매칭테이블!$F:$I,3,0)</f>
        <v/>
      </c>
      <c r="O5685" s="94">
        <f>VLOOKUP($Q5685,매칭테이블!$F:$I,4,0)*K5685</f>
        <v/>
      </c>
      <c r="P5685" s="148">
        <f>M5685/1.1</f>
        <v/>
      </c>
      <c r="Q5685" s="94">
        <f>F5685&amp;E5685&amp;G5685&amp;L5685</f>
        <v/>
      </c>
    </row>
    <row r="5686">
      <c r="A5686" s="94" t="n"/>
      <c r="B5686" s="128" t="n">
        <v>43940</v>
      </c>
      <c r="C5686" s="94">
        <f>TEXT(B5686,"aaa")</f>
        <v/>
      </c>
      <c r="D5686" s="94" t="n"/>
      <c r="E5686" s="94" t="inlineStr">
        <is>
          <t>마스크팩</t>
        </is>
      </c>
      <c r="F5686" s="94" t="inlineStr">
        <is>
          <t>카페24</t>
        </is>
      </c>
      <c r="G5686" s="94" t="inlineStr">
        <is>
          <t>마스크팩 10매</t>
        </is>
      </c>
      <c r="H5686" s="7" t="n">
        <v>190801</v>
      </c>
      <c r="I5686" s="7" t="n">
        <v>190801</v>
      </c>
      <c r="J5686" s="94" t="n"/>
      <c r="K5686" s="6" t="n">
        <v>6</v>
      </c>
      <c r="L5686" s="94" t="n">
        <v>190801</v>
      </c>
      <c r="M5686" s="94">
        <f>VLOOKUP($Q5686,매칭테이블!$F:$I,2,0)*K5686</f>
        <v/>
      </c>
      <c r="N5686" s="94">
        <f>M5686-M5686*VLOOKUP($Q5686,매칭테이블!$F:$I,3,0)</f>
        <v/>
      </c>
      <c r="O5686" s="94">
        <f>VLOOKUP($Q5686,매칭테이블!$F:$I,4,0)*K5686</f>
        <v/>
      </c>
      <c r="P5686" s="148">
        <f>M5686/1.1</f>
        <v/>
      </c>
      <c r="Q5686" s="94">
        <f>F5686&amp;E5686&amp;G5686&amp;L5686</f>
        <v/>
      </c>
    </row>
    <row r="5687">
      <c r="A5687" s="94" t="n"/>
      <c r="B5687" s="128" t="n">
        <v>43940</v>
      </c>
      <c r="C5687" s="94">
        <f>TEXT(B5687,"aaa")</f>
        <v/>
      </c>
      <c r="D5687" s="94" t="n"/>
      <c r="E5687" s="6" t="inlineStr">
        <is>
          <t>토너</t>
        </is>
      </c>
      <c r="F5687" s="5" t="inlineStr">
        <is>
          <t>카페24</t>
        </is>
      </c>
      <c r="G5687" s="5" t="inlineStr">
        <is>
          <t>250ml</t>
        </is>
      </c>
      <c r="H5687" s="7" t="n">
        <v>190801</v>
      </c>
      <c r="I5687" s="7" t="n">
        <v>190801</v>
      </c>
      <c r="J5687" s="94" t="n"/>
      <c r="K5687" s="6" t="n">
        <v>60</v>
      </c>
      <c r="L5687" s="7" t="n">
        <v>190801</v>
      </c>
      <c r="M5687" s="94">
        <f>VLOOKUP($Q5687,매칭테이블!$F:$I,2,0)*K5687</f>
        <v/>
      </c>
      <c r="N5687" s="94">
        <f>M5687-M5687*VLOOKUP($Q5687,매칭테이블!$F:$I,3,0)</f>
        <v/>
      </c>
      <c r="O5687" s="94">
        <f>VLOOKUP($Q5687,매칭테이블!$F:$I,4,0)*K5687</f>
        <v/>
      </c>
      <c r="P5687" s="148">
        <f>M5687/1.1</f>
        <v/>
      </c>
      <c r="Q5687" s="94">
        <f>F5687&amp;E5687&amp;G5687&amp;L5687</f>
        <v/>
      </c>
    </row>
    <row r="5688">
      <c r="A5688" s="94" t="n"/>
      <c r="B5688" s="128" t="n">
        <v>43940</v>
      </c>
      <c r="C5688" s="94">
        <f>TEXT(B5688,"aaa")</f>
        <v/>
      </c>
      <c r="D5688" s="94" t="n"/>
      <c r="E5688" s="6" t="inlineStr">
        <is>
          <t>토너</t>
        </is>
      </c>
      <c r="F5688" s="5" t="inlineStr">
        <is>
          <t>카페24</t>
        </is>
      </c>
      <c r="G5688" s="5" t="inlineStr">
        <is>
          <t>250ml 2set</t>
        </is>
      </c>
      <c r="H5688" s="7" t="n">
        <v>190801</v>
      </c>
      <c r="I5688" s="7" t="n">
        <v>190801</v>
      </c>
      <c r="J5688" s="94" t="n"/>
      <c r="K5688" s="6" t="n">
        <v>257</v>
      </c>
      <c r="L5688" s="7" t="n">
        <v>190801</v>
      </c>
      <c r="M5688" s="94">
        <f>VLOOKUP($Q5688,매칭테이블!$F:$I,2,0)*K5688</f>
        <v/>
      </c>
      <c r="N5688" s="94">
        <f>M5688-M5688*VLOOKUP($Q5688,매칭테이블!$F:$I,3,0)</f>
        <v/>
      </c>
      <c r="O5688" s="94">
        <f>VLOOKUP($Q5688,매칭테이블!$F:$I,4,0)*K5688</f>
        <v/>
      </c>
      <c r="P5688" s="148">
        <f>M5688/1.1</f>
        <v/>
      </c>
      <c r="Q5688" s="94">
        <f>F5688&amp;E5688&amp;G5688&amp;L5688</f>
        <v/>
      </c>
    </row>
    <row r="5689">
      <c r="A5689" s="94" t="n"/>
      <c r="B5689" s="128" t="n">
        <v>43940</v>
      </c>
      <c r="C5689" s="94">
        <f>TEXT(B5689,"aaa")</f>
        <v/>
      </c>
      <c r="D5689" s="94" t="n"/>
      <c r="E5689" s="6" t="inlineStr">
        <is>
          <t>토너</t>
        </is>
      </c>
      <c r="F5689" s="5" t="inlineStr">
        <is>
          <t>카페24</t>
        </is>
      </c>
      <c r="G5689" s="5" t="inlineStr">
        <is>
          <t>500ml</t>
        </is>
      </c>
      <c r="H5689" s="7" t="n">
        <v>190801</v>
      </c>
      <c r="I5689" s="7" t="n">
        <v>190801</v>
      </c>
      <c r="J5689" s="94" t="n"/>
      <c r="K5689" s="6" t="n">
        <v>50</v>
      </c>
      <c r="L5689" s="7" t="n">
        <v>190801</v>
      </c>
      <c r="M5689" s="94">
        <f>VLOOKUP($Q5689,매칭테이블!$F:$I,2,0)*K5689</f>
        <v/>
      </c>
      <c r="N5689" s="94">
        <f>M5689-M5689*VLOOKUP($Q5689,매칭테이블!$F:$I,3,0)</f>
        <v/>
      </c>
      <c r="O5689" s="94">
        <f>VLOOKUP($Q5689,매칭테이블!$F:$I,4,0)*K5689</f>
        <v/>
      </c>
      <c r="P5689" s="148">
        <f>M5689/1.1</f>
        <v/>
      </c>
      <c r="Q5689" s="94">
        <f>F5689&amp;E5689&amp;G5689&amp;L5689</f>
        <v/>
      </c>
    </row>
    <row r="5690">
      <c r="A5690" s="94" t="n"/>
      <c r="B5690" s="128" t="n">
        <v>43940</v>
      </c>
      <c r="C5690" s="94">
        <f>TEXT(B5690,"aaa")</f>
        <v/>
      </c>
      <c r="D5690" s="94" t="n"/>
      <c r="E5690" s="6" t="inlineStr">
        <is>
          <t>토너</t>
        </is>
      </c>
      <c r="F5690" s="5" t="inlineStr">
        <is>
          <t>카페24</t>
        </is>
      </c>
      <c r="G5690" s="94" t="inlineStr">
        <is>
          <t>스킨팩 화장솜 60P</t>
        </is>
      </c>
      <c r="H5690" s="7" t="n">
        <v>190801</v>
      </c>
      <c r="I5690" s="7" t="n">
        <v>190801</v>
      </c>
      <c r="J5690" s="94" t="n"/>
      <c r="K5690" s="6" t="n">
        <v>52</v>
      </c>
      <c r="L5690" s="7" t="n">
        <v>190801</v>
      </c>
      <c r="M5690" s="94">
        <f>VLOOKUP($Q5690,매칭테이블!$F:$I,2,0)*K5690</f>
        <v/>
      </c>
      <c r="N5690" s="94">
        <f>M5690-M5690*VLOOKUP($Q5690,매칭테이블!$F:$I,3,0)</f>
        <v/>
      </c>
      <c r="O5690" s="94">
        <f>VLOOKUP($Q5690,매칭테이블!$F:$I,4,0)*K5690</f>
        <v/>
      </c>
      <c r="P5690" s="148">
        <f>M5690/1.1</f>
        <v/>
      </c>
      <c r="Q5690" s="94">
        <f>F5690&amp;E5690&amp;G5690&amp;L5690</f>
        <v/>
      </c>
    </row>
    <row r="5691">
      <c r="A5691" s="94" t="n"/>
      <c r="B5691" s="128" t="n">
        <v>43940</v>
      </c>
      <c r="C5691" s="94">
        <f>TEXT(B5691,"aaa")</f>
        <v/>
      </c>
      <c r="D5691" s="94" t="n"/>
      <c r="E5691" s="94" t="inlineStr">
        <is>
          <t>앰플</t>
        </is>
      </c>
      <c r="F5691" s="5" t="inlineStr">
        <is>
          <t>카페24</t>
        </is>
      </c>
      <c r="G5691" s="94" t="inlineStr">
        <is>
          <t>앰플 30ml</t>
        </is>
      </c>
      <c r="H5691" s="7" t="n">
        <v>190801</v>
      </c>
      <c r="I5691" s="7" t="n">
        <v>190801</v>
      </c>
      <c r="J5691" s="94" t="n"/>
      <c r="K5691" s="6" t="n">
        <v>18</v>
      </c>
      <c r="L5691" s="94" t="n">
        <v>190801</v>
      </c>
      <c r="M5691" s="94">
        <f>VLOOKUP($Q5691,매칭테이블!$F:$I,2,0)*K5691</f>
        <v/>
      </c>
      <c r="N5691" s="94">
        <f>M5691-M5691*VLOOKUP($Q5691,매칭테이블!$F:$I,3,0)</f>
        <v/>
      </c>
      <c r="O5691" s="94">
        <f>VLOOKUP($Q5691,매칭테이블!$F:$I,4,0)*K5691</f>
        <v/>
      </c>
      <c r="P5691" s="148">
        <f>M5691/1.1</f>
        <v/>
      </c>
      <c r="Q5691" s="94">
        <f>F5691&amp;E5691&amp;G5691&amp;L5691</f>
        <v/>
      </c>
    </row>
    <row r="5692">
      <c r="A5692" s="94" t="n"/>
      <c r="B5692" s="128" t="n">
        <v>43940</v>
      </c>
      <c r="C5692" s="94">
        <f>TEXT(B5692,"aaa")</f>
        <v/>
      </c>
      <c r="D5692" s="94" t="n"/>
      <c r="E5692" s="94" t="inlineStr">
        <is>
          <t>수딩크림</t>
        </is>
      </c>
      <c r="F5692" s="5" t="inlineStr">
        <is>
          <t>카페24</t>
        </is>
      </c>
      <c r="G5692" s="94" t="inlineStr">
        <is>
          <t>수딩크림 100ml</t>
        </is>
      </c>
      <c r="H5692" s="7" t="n">
        <v>190801</v>
      </c>
      <c r="I5692" s="7" t="n">
        <v>190801</v>
      </c>
      <c r="J5692" s="94" t="n"/>
      <c r="K5692" s="6" t="n">
        <v>6</v>
      </c>
      <c r="L5692" s="94" t="n">
        <v>190801</v>
      </c>
      <c r="M5692" s="94">
        <f>VLOOKUP($Q5692,매칭테이블!$F:$I,2,0)*K5692</f>
        <v/>
      </c>
      <c r="N5692" s="94">
        <f>M5692-M5692*VLOOKUP($Q5692,매칭테이블!$F:$I,3,0)</f>
        <v/>
      </c>
      <c r="O5692" s="94">
        <f>VLOOKUP($Q5692,매칭테이블!$F:$I,4,0)*K5692</f>
        <v/>
      </c>
      <c r="P5692" s="148">
        <f>M5692/1.1</f>
        <v/>
      </c>
      <c r="Q5692" s="94">
        <f>F5692&amp;E5692&amp;G5692&amp;L5692</f>
        <v/>
      </c>
    </row>
    <row r="5693">
      <c r="A5693" s="94" t="n"/>
      <c r="B5693" s="128" t="n">
        <v>43940</v>
      </c>
      <c r="C5693" s="94">
        <f>TEXT(B5693,"aaa")</f>
        <v/>
      </c>
      <c r="D5693" s="94" t="n"/>
      <c r="E5693" s="94" t="inlineStr">
        <is>
          <t>토너+머드크림세트</t>
        </is>
      </c>
      <c r="F5693" s="94" t="inlineStr">
        <is>
          <t>카페24</t>
        </is>
      </c>
      <c r="G5693" s="94" t="inlineStr">
        <is>
          <t>250ml</t>
        </is>
      </c>
      <c r="H5693" s="7" t="n">
        <v>190801</v>
      </c>
      <c r="I5693" s="7" t="n">
        <v>190801</v>
      </c>
      <c r="J5693" s="94" t="n"/>
      <c r="K5693" s="6" t="n">
        <v>2</v>
      </c>
      <c r="L5693" s="94" t="n">
        <v>190801</v>
      </c>
      <c r="M5693" s="94">
        <f>VLOOKUP($Q5693,매칭테이블!$F:$I,2,0)*K5693</f>
        <v/>
      </c>
      <c r="N5693" s="94">
        <f>M5693-M5693*VLOOKUP($Q5693,매칭테이블!$F:$I,3,0)</f>
        <v/>
      </c>
      <c r="O5693" s="94">
        <f>VLOOKUP($Q5693,매칭테이블!$F:$I,4,0)*K5693</f>
        <v/>
      </c>
      <c r="P5693" s="148">
        <f>M5693/1.1</f>
        <v/>
      </c>
      <c r="Q5693" s="94">
        <f>F5693&amp;E5693&amp;G5693&amp;L5693</f>
        <v/>
      </c>
    </row>
    <row r="5694">
      <c r="A5694" s="94" t="n"/>
      <c r="B5694" s="128" t="n">
        <v>43940</v>
      </c>
      <c r="C5694" s="94">
        <f>TEXT(B5694,"aaa")</f>
        <v/>
      </c>
      <c r="D5694" s="94" t="n"/>
      <c r="E5694" s="94" t="inlineStr">
        <is>
          <t>토너+머드크림세트</t>
        </is>
      </c>
      <c r="F5694" s="94" t="inlineStr">
        <is>
          <t>카페24</t>
        </is>
      </c>
      <c r="G5694" s="94" t="inlineStr">
        <is>
          <t>머드크림마스크 100ml</t>
        </is>
      </c>
      <c r="H5694" s="7" t="n">
        <v>190801</v>
      </c>
      <c r="I5694" s="7" t="n">
        <v>190801</v>
      </c>
      <c r="J5694" s="94" t="n"/>
      <c r="K5694" s="6" t="n">
        <v>2</v>
      </c>
      <c r="L5694" s="94" t="n">
        <v>190801</v>
      </c>
      <c r="M5694" s="94">
        <f>VLOOKUP($Q5694,매칭테이블!$F:$I,2,0)*K5694</f>
        <v/>
      </c>
      <c r="N5694" s="94">
        <f>M5694-M5694*VLOOKUP($Q5694,매칭테이블!$F:$I,3,0)</f>
        <v/>
      </c>
      <c r="O5694" s="94">
        <f>VLOOKUP($Q5694,매칭테이블!$F:$I,4,0)*K5694</f>
        <v/>
      </c>
      <c r="P5694" s="148">
        <f>M5694/1.1</f>
        <v/>
      </c>
      <c r="Q5694" s="94">
        <f>F5694&amp;E5694&amp;G5694&amp;L5694</f>
        <v/>
      </c>
    </row>
    <row r="5695">
      <c r="A5695" s="94" t="n"/>
      <c r="B5695" s="128" t="n">
        <v>43940</v>
      </c>
      <c r="C5695" s="94">
        <f>TEXT(B5695,"aaa")</f>
        <v/>
      </c>
      <c r="D5695" s="94" t="n"/>
      <c r="E5695" s="6" t="inlineStr">
        <is>
          <t>토너</t>
        </is>
      </c>
      <c r="F5695" s="94" t="inlineStr">
        <is>
          <t>랄라블라</t>
        </is>
      </c>
      <c r="G5695" s="5" t="inlineStr">
        <is>
          <t>250ml</t>
        </is>
      </c>
      <c r="H5695" s="7" t="n">
        <v>190801</v>
      </c>
      <c r="I5695" s="7" t="n">
        <v>190801</v>
      </c>
      <c r="J5695" s="94" t="n"/>
      <c r="K5695" s="6" t="n">
        <v>692</v>
      </c>
      <c r="L5695" s="7" t="n">
        <v>190801</v>
      </c>
      <c r="M5695" s="94">
        <f>VLOOKUP($Q5695,매칭테이블!$F:$I,2,0)*K5695</f>
        <v/>
      </c>
      <c r="N5695" s="94">
        <f>M5695-M5695*VLOOKUP($Q5695,매칭테이블!$F:$I,3,0)</f>
        <v/>
      </c>
      <c r="O5695" s="94">
        <f>VLOOKUP($Q5695,매칭테이블!$F:$I,4,0)*K5695</f>
        <v/>
      </c>
      <c r="P5695" s="148">
        <f>M5695/1.1</f>
        <v/>
      </c>
      <c r="Q5695" s="94">
        <f>F5695&amp;E5695&amp;G5695&amp;L5695</f>
        <v/>
      </c>
    </row>
    <row r="5696">
      <c r="A5696" s="94" t="n"/>
      <c r="B5696" s="128" t="n">
        <v>43940</v>
      </c>
      <c r="C5696" s="94">
        <f>TEXT(B5696,"aaa")</f>
        <v/>
      </c>
      <c r="D5696" s="94" t="n"/>
      <c r="E5696" s="6" t="inlineStr">
        <is>
          <t>토너</t>
        </is>
      </c>
      <c r="F5696" s="94" t="inlineStr">
        <is>
          <t>랄라블라</t>
        </is>
      </c>
      <c r="G5696" s="5" t="inlineStr">
        <is>
          <t>500ml</t>
        </is>
      </c>
      <c r="H5696" s="7" t="n">
        <v>190801</v>
      </c>
      <c r="I5696" s="7" t="n">
        <v>190801</v>
      </c>
      <c r="J5696" s="94" t="n"/>
      <c r="K5696" s="6" t="n">
        <v>537</v>
      </c>
      <c r="L5696" s="7" t="n">
        <v>190801</v>
      </c>
      <c r="M5696" s="94">
        <f>VLOOKUP($Q5696,매칭테이블!$F:$I,2,0)*K5696</f>
        <v/>
      </c>
      <c r="N5696" s="94">
        <f>M5696-M5696*VLOOKUP($Q5696,매칭테이블!$F:$I,3,0)</f>
        <v/>
      </c>
      <c r="O5696" s="94">
        <f>VLOOKUP($Q5696,매칭테이블!$F:$I,4,0)*K5696</f>
        <v/>
      </c>
      <c r="P5696" s="148">
        <f>M5696/1.1</f>
        <v/>
      </c>
      <c r="Q5696" s="94">
        <f>F5696&amp;E5696&amp;G5696&amp;L5696</f>
        <v/>
      </c>
    </row>
    <row r="5697">
      <c r="A5697" s="94" t="n"/>
      <c r="B5697" s="128" t="n">
        <v>43940</v>
      </c>
      <c r="C5697" s="94">
        <f>TEXT(B5697,"aaa")</f>
        <v/>
      </c>
      <c r="D5697" s="94" t="n"/>
      <c r="E5697" s="94" t="inlineStr">
        <is>
          <t>마스크팩</t>
        </is>
      </c>
      <c r="F5697" s="94" t="inlineStr">
        <is>
          <t>랄라블라</t>
        </is>
      </c>
      <c r="G5697" s="94" t="inlineStr">
        <is>
          <t>마스크팩 1매</t>
        </is>
      </c>
      <c r="H5697" s="7" t="n">
        <v>190801</v>
      </c>
      <c r="I5697" s="7" t="n">
        <v>190801</v>
      </c>
      <c r="J5697" s="94" t="n"/>
      <c r="K5697" s="6" t="n">
        <v>1034</v>
      </c>
      <c r="L5697" s="94" t="n">
        <v>190801</v>
      </c>
      <c r="M5697" s="94">
        <f>VLOOKUP($Q5697,매칭테이블!$F:$I,2,0)*K5697</f>
        <v/>
      </c>
      <c r="N5697" s="94">
        <f>M5697-M5697*VLOOKUP($Q5697,매칭테이블!$F:$I,3,0)</f>
        <v/>
      </c>
      <c r="O5697" s="94">
        <f>VLOOKUP($Q5697,매칭테이블!$F:$I,4,0)*K5697</f>
        <v/>
      </c>
      <c r="P5697" s="148">
        <f>M5697/1.1</f>
        <v/>
      </c>
      <c r="Q5697" s="94">
        <f>F5697&amp;E5697&amp;G5697&amp;L5697</f>
        <v/>
      </c>
    </row>
    <row r="5698">
      <c r="A5698" s="94" t="n"/>
      <c r="B5698" s="128" t="n">
        <v>43940</v>
      </c>
      <c r="C5698" s="94">
        <f>TEXT(B5698,"aaa")</f>
        <v/>
      </c>
      <c r="D5698" s="94" t="n"/>
      <c r="E5698" s="94" t="inlineStr">
        <is>
          <t>앰플</t>
        </is>
      </c>
      <c r="F5698" s="94" t="inlineStr">
        <is>
          <t>랄라블라</t>
        </is>
      </c>
      <c r="G5698" s="94" t="inlineStr">
        <is>
          <t>앰플 30ml</t>
        </is>
      </c>
      <c r="H5698" s="7" t="n">
        <v>190801</v>
      </c>
      <c r="I5698" s="7" t="n">
        <v>190801</v>
      </c>
      <c r="J5698" s="94" t="n"/>
      <c r="K5698" s="6" t="n">
        <v>1</v>
      </c>
      <c r="L5698" s="94" t="n">
        <v>190801</v>
      </c>
      <c r="M5698" s="94">
        <f>VLOOKUP($Q5698,매칭테이블!$F:$I,2,0)*K5698</f>
        <v/>
      </c>
      <c r="N5698" s="94">
        <f>M5698-M5698*VLOOKUP($Q5698,매칭테이블!$F:$I,3,0)</f>
        <v/>
      </c>
      <c r="O5698" s="94">
        <f>VLOOKUP($Q5698,매칭테이블!$F:$I,4,0)*K5698</f>
        <v/>
      </c>
      <c r="P5698" s="148">
        <f>M5698/1.1</f>
        <v/>
      </c>
      <c r="Q5698" s="94">
        <f>F5698&amp;E5698&amp;G5698&amp;L5698</f>
        <v/>
      </c>
    </row>
    <row r="5699">
      <c r="A5699" s="94" t="n"/>
      <c r="B5699" s="128" t="n">
        <v>43940</v>
      </c>
      <c r="C5699" s="94">
        <f>TEXT(B5699,"aaa")</f>
        <v/>
      </c>
      <c r="D5699" s="94" t="n"/>
      <c r="E5699" s="94" t="inlineStr">
        <is>
          <t>수딩크림</t>
        </is>
      </c>
      <c r="F5699" s="94" t="inlineStr">
        <is>
          <t>랄라블라</t>
        </is>
      </c>
      <c r="G5699" s="94" t="inlineStr">
        <is>
          <t>수딩크림 100ml</t>
        </is>
      </c>
      <c r="H5699" s="7" t="n">
        <v>190801</v>
      </c>
      <c r="I5699" s="7" t="n">
        <v>190801</v>
      </c>
      <c r="J5699" s="94" t="n"/>
      <c r="K5699" s="6" t="n">
        <v>36</v>
      </c>
      <c r="L5699" s="94" t="n">
        <v>190801</v>
      </c>
      <c r="M5699" s="94">
        <f>VLOOKUP($Q5699,매칭테이블!$F:$I,2,0)*K5699</f>
        <v/>
      </c>
      <c r="N5699" s="94">
        <f>M5699-M5699*VLOOKUP($Q5699,매칭테이블!$F:$I,3,0)</f>
        <v/>
      </c>
      <c r="O5699" s="94">
        <f>VLOOKUP($Q5699,매칭테이블!$F:$I,4,0)*K5699</f>
        <v/>
      </c>
      <c r="P5699" s="148">
        <f>M5699/1.1</f>
        <v/>
      </c>
      <c r="Q5699" s="94">
        <f>F5699&amp;E5699&amp;G5699&amp;L5699</f>
        <v/>
      </c>
    </row>
    <row r="5700">
      <c r="A5700" s="94" t="n"/>
      <c r="B5700" s="128" t="n">
        <v>43940</v>
      </c>
      <c r="C5700" s="94">
        <f>TEXT(B5700,"aaa")</f>
        <v/>
      </c>
      <c r="D5700" s="94" t="n"/>
      <c r="E5700" s="94" t="inlineStr">
        <is>
          <t>앰플 기획세트</t>
        </is>
      </c>
      <c r="F5700" s="94" t="inlineStr">
        <is>
          <t>랄라블라</t>
        </is>
      </c>
      <c r="G5700" s="94" t="inlineStr">
        <is>
          <t>앰플 기획세트</t>
        </is>
      </c>
      <c r="H5700" s="7" t="n">
        <v>190801</v>
      </c>
      <c r="I5700" s="7" t="n">
        <v>190801</v>
      </c>
      <c r="J5700" s="94" t="n"/>
      <c r="K5700" s="6" t="n">
        <v>152</v>
      </c>
      <c r="L5700" s="94" t="n">
        <v>190801</v>
      </c>
      <c r="M5700" s="94">
        <f>VLOOKUP($Q5700,매칭테이블!$F:$I,2,0)*K5700</f>
        <v/>
      </c>
      <c r="N5700" s="94">
        <f>M5700-M5700*VLOOKUP($Q5700,매칭테이블!$F:$I,3,0)</f>
        <v/>
      </c>
      <c r="O5700" s="94">
        <f>VLOOKUP($Q5700,매칭테이블!$F:$I,4,0)*K5700</f>
        <v/>
      </c>
      <c r="P5700" s="148">
        <f>M5700/1.1</f>
        <v/>
      </c>
      <c r="Q5700" s="94">
        <f>F5700&amp;E5700&amp;G5700&amp;L5700</f>
        <v/>
      </c>
    </row>
    <row r="5701">
      <c r="A5701" s="94" t="n"/>
      <c r="B5701" s="128" t="n">
        <v>43940</v>
      </c>
      <c r="C5701" s="94">
        <f>TEXT(B5701,"aaa")</f>
        <v/>
      </c>
      <c r="D5701" s="94" t="n"/>
      <c r="E5701" s="94" t="inlineStr">
        <is>
          <t>클렌징폼 기획세트</t>
        </is>
      </c>
      <c r="F5701" s="94" t="inlineStr">
        <is>
          <t>랄라블라</t>
        </is>
      </c>
      <c r="G5701" s="94" t="inlineStr">
        <is>
          <t>클렌징폼 기획세트</t>
        </is>
      </c>
      <c r="H5701" s="7" t="n">
        <v>190801</v>
      </c>
      <c r="I5701" s="7" t="n">
        <v>190801</v>
      </c>
      <c r="J5701" s="94" t="n"/>
      <c r="K5701" s="6" t="n">
        <v>132</v>
      </c>
      <c r="L5701" s="94" t="n">
        <v>190801</v>
      </c>
      <c r="M5701" s="94">
        <f>VLOOKUP($Q5701,매칭테이블!$F:$I,2,0)*K5701</f>
        <v/>
      </c>
      <c r="N5701" s="94">
        <f>M5701-M5701*VLOOKUP($Q5701,매칭테이블!$F:$I,3,0)</f>
        <v/>
      </c>
      <c r="O5701" s="94">
        <f>VLOOKUP($Q5701,매칭테이블!$F:$I,4,0)*K5701</f>
        <v/>
      </c>
      <c r="P5701" s="148">
        <f>M5701/1.1</f>
        <v/>
      </c>
      <c r="Q5701" s="94">
        <f>F5701&amp;E5701&amp;G5701&amp;L5701</f>
        <v/>
      </c>
    </row>
    <row r="5702">
      <c r="A5702" s="94" t="n"/>
      <c r="B5702" s="128" t="n">
        <v>43940</v>
      </c>
      <c r="C5702" s="94">
        <f>TEXT(B5702,"aaa")</f>
        <v/>
      </c>
      <c r="D5702" s="94" t="n"/>
      <c r="E5702" s="94" t="inlineStr">
        <is>
          <t>토너 기획세트</t>
        </is>
      </c>
      <c r="F5702" s="94" t="inlineStr">
        <is>
          <t>랄라블라</t>
        </is>
      </c>
      <c r="G5702" s="94" t="inlineStr">
        <is>
          <t>토너 기획세트</t>
        </is>
      </c>
      <c r="H5702" s="7" t="n">
        <v>190801</v>
      </c>
      <c r="I5702" s="7" t="n">
        <v>190801</v>
      </c>
      <c r="J5702" s="94" t="n"/>
      <c r="K5702" s="6" t="n">
        <v>56</v>
      </c>
      <c r="L5702" s="94" t="n">
        <v>190801</v>
      </c>
      <c r="M5702" s="94">
        <f>VLOOKUP($Q5702,매칭테이블!$F:$I,2,0)*K5702</f>
        <v/>
      </c>
      <c r="N5702" s="94">
        <f>M5702-M5702*VLOOKUP($Q5702,매칭테이블!$F:$I,3,0)</f>
        <v/>
      </c>
      <c r="O5702" s="94">
        <f>VLOOKUP($Q5702,매칭테이블!$F:$I,4,0)*K5702</f>
        <v/>
      </c>
      <c r="P5702" s="148">
        <f>M5702/1.1</f>
        <v/>
      </c>
      <c r="Q5702" s="94">
        <f>F5702&amp;E5702&amp;G5702&amp;L5702</f>
        <v/>
      </c>
    </row>
    <row r="5703">
      <c r="A5703" s="94" t="n"/>
      <c r="B5703" s="128" t="n">
        <v>43940</v>
      </c>
      <c r="C5703" s="94">
        <f>TEXT(B5703,"aaa")</f>
        <v/>
      </c>
      <c r="D5703" s="94" t="n"/>
      <c r="E5703" s="94" t="inlineStr">
        <is>
          <t>머드크림마스크</t>
        </is>
      </c>
      <c r="F5703" s="94" t="inlineStr">
        <is>
          <t>랄라블라</t>
        </is>
      </c>
      <c r="G5703" s="94" t="inlineStr">
        <is>
          <t>머드크림마스크 100ml</t>
        </is>
      </c>
      <c r="H5703" s="7" t="n">
        <v>190801</v>
      </c>
      <c r="I5703" s="7" t="n">
        <v>190801</v>
      </c>
      <c r="J5703" s="94" t="n"/>
      <c r="K5703" s="6" t="n">
        <v>24</v>
      </c>
      <c r="L5703" s="94" t="n">
        <v>190801</v>
      </c>
      <c r="M5703" s="94">
        <f>VLOOKUP($Q5703,매칭테이블!$F:$I,2,0)*K5703</f>
        <v/>
      </c>
      <c r="N5703" s="94">
        <f>M5703-M5703*VLOOKUP($Q5703,매칭테이블!$F:$I,3,0)</f>
        <v/>
      </c>
      <c r="O5703" s="94">
        <f>VLOOKUP($Q5703,매칭테이블!$F:$I,4,0)*K5703</f>
        <v/>
      </c>
      <c r="P5703" s="148">
        <f>M5703/1.1</f>
        <v/>
      </c>
      <c r="Q5703" s="94">
        <f>F5703&amp;E5703&amp;G5703&amp;L5703</f>
        <v/>
      </c>
    </row>
    <row r="5704">
      <c r="A5704" s="94" t="n"/>
      <c r="B5704" s="128" t="n">
        <v>43940</v>
      </c>
      <c r="C5704" s="94">
        <f>TEXT(B5704,"aaa")</f>
        <v/>
      </c>
      <c r="D5704" s="94" t="n"/>
      <c r="E5704" s="94" t="inlineStr">
        <is>
          <t>클렌징폼</t>
        </is>
      </c>
      <c r="F5704" s="94" t="inlineStr">
        <is>
          <t>랄라블라</t>
        </is>
      </c>
      <c r="G5704" s="94" t="inlineStr">
        <is>
          <t>클렌징폼 120ml</t>
        </is>
      </c>
      <c r="H5704" s="7" t="n">
        <v>190801</v>
      </c>
      <c r="I5704" s="7" t="n">
        <v>190801</v>
      </c>
      <c r="J5704" s="94" t="n"/>
      <c r="K5704" s="6" t="n">
        <v>2</v>
      </c>
      <c r="L5704" s="7" t="n">
        <v>190801</v>
      </c>
      <c r="M5704" s="94">
        <f>VLOOKUP($Q5704,매칭테이블!$F:$I,2,0)*K5704</f>
        <v/>
      </c>
      <c r="N5704" s="94">
        <f>M5704-M5704*VLOOKUP($Q5704,매칭테이블!$F:$I,3,0)</f>
        <v/>
      </c>
      <c r="O5704" s="94">
        <f>VLOOKUP($Q5704,매칭테이블!$F:$I,4,0)*K5704</f>
        <v/>
      </c>
      <c r="P5704" s="148">
        <f>M5704/1.1</f>
        <v/>
      </c>
      <c r="Q5704" s="94">
        <f>F5704&amp;E5704&amp;G5704&amp;L5704</f>
        <v/>
      </c>
    </row>
    <row r="5705">
      <c r="A5705" s="94" t="n"/>
      <c r="B5705" s="128" t="n">
        <v>43941</v>
      </c>
      <c r="C5705" s="94">
        <f>TEXT(B5705,"aaa")</f>
        <v/>
      </c>
      <c r="D5705" s="94" t="n"/>
      <c r="E5705" s="6" t="inlineStr">
        <is>
          <t>토너</t>
        </is>
      </c>
      <c r="F5705" s="5" t="inlineStr">
        <is>
          <t>W컨셉</t>
        </is>
      </c>
      <c r="G5705" s="5" t="inlineStr">
        <is>
          <t>250ml</t>
        </is>
      </c>
      <c r="H5705" s="7" t="n">
        <v>190801</v>
      </c>
      <c r="I5705" s="7" t="n">
        <v>190801</v>
      </c>
      <c r="J5705" s="94" t="n"/>
      <c r="K5705" s="6" t="n">
        <v>3</v>
      </c>
      <c r="L5705" s="7" t="n">
        <v>190801</v>
      </c>
      <c r="M5705" s="94">
        <f>VLOOKUP($Q5705,매칭테이블!$F:$I,2,0)*K5705</f>
        <v/>
      </c>
      <c r="N5705" s="94">
        <f>M5705-M5705*VLOOKUP($Q5705,매칭테이블!$F:$I,3,0)</f>
        <v/>
      </c>
      <c r="O5705" s="94">
        <f>VLOOKUP($Q5705,매칭테이블!$F:$I,4,0)*K5705</f>
        <v/>
      </c>
      <c r="P5705" s="148">
        <f>M5705/1.1</f>
        <v/>
      </c>
      <c r="Q5705" s="94">
        <f>F5705&amp;E5705&amp;G5705&amp;L5705</f>
        <v/>
      </c>
    </row>
    <row r="5706">
      <c r="A5706" s="94" t="n"/>
      <c r="B5706" s="128" t="n">
        <v>43941</v>
      </c>
      <c r="C5706" s="94">
        <f>TEXT(B5706,"aaa")</f>
        <v/>
      </c>
      <c r="D5706" s="94" t="n"/>
      <c r="E5706" s="6" t="inlineStr">
        <is>
          <t>토너</t>
        </is>
      </c>
      <c r="F5706" s="5" t="inlineStr">
        <is>
          <t>W컨셉</t>
        </is>
      </c>
      <c r="G5706" s="5" t="inlineStr">
        <is>
          <t>250ml 2set</t>
        </is>
      </c>
      <c r="H5706" s="7" t="n">
        <v>190801</v>
      </c>
      <c r="I5706" s="7" t="n">
        <v>190801</v>
      </c>
      <c r="J5706" s="94" t="n"/>
      <c r="K5706" s="6" t="n">
        <v>14</v>
      </c>
      <c r="L5706" s="7" t="n">
        <v>190801</v>
      </c>
      <c r="M5706" s="94">
        <f>VLOOKUP($Q5706,매칭테이블!$F:$I,2,0)*K5706</f>
        <v/>
      </c>
      <c r="N5706" s="94">
        <f>M5706-M5706*VLOOKUP($Q5706,매칭테이블!$F:$I,3,0)</f>
        <v/>
      </c>
      <c r="O5706" s="94">
        <f>VLOOKUP($Q5706,매칭테이블!$F:$I,4,0)*K5706</f>
        <v/>
      </c>
      <c r="P5706" s="148">
        <f>M5706/1.1</f>
        <v/>
      </c>
      <c r="Q5706" s="94">
        <f>F5706&amp;E5706&amp;G5706&amp;L5706</f>
        <v/>
      </c>
    </row>
    <row r="5707">
      <c r="A5707" s="94" t="n"/>
      <c r="B5707" s="128" t="n">
        <v>43941</v>
      </c>
      <c r="C5707" s="94">
        <f>TEXT(B5707,"aaa")</f>
        <v/>
      </c>
      <c r="D5707" s="94" t="n"/>
      <c r="E5707" s="94" t="inlineStr">
        <is>
          <t>토너</t>
        </is>
      </c>
      <c r="F5707" s="5" t="inlineStr">
        <is>
          <t>스타일쉐어</t>
        </is>
      </c>
      <c r="G5707" s="94" t="inlineStr">
        <is>
          <t>250ml</t>
        </is>
      </c>
      <c r="H5707" s="7" t="n">
        <v>190801</v>
      </c>
      <c r="I5707" s="7" t="n">
        <v>190801</v>
      </c>
      <c r="J5707" s="94" t="n"/>
      <c r="K5707" s="6" t="n">
        <v>3</v>
      </c>
      <c r="L5707" s="7" t="n">
        <v>190801</v>
      </c>
      <c r="M5707" s="94">
        <f>VLOOKUP($Q5707,매칭테이블!$F:$I,2,0)*K5707</f>
        <v/>
      </c>
      <c r="N5707" s="94">
        <f>M5707-M5707*VLOOKUP($Q5707,매칭테이블!$F:$I,3,0)</f>
        <v/>
      </c>
      <c r="O5707" s="94">
        <f>VLOOKUP($Q5707,매칭테이블!$F:$I,4,0)*K5707</f>
        <v/>
      </c>
      <c r="P5707" s="148">
        <f>M5707/1.1</f>
        <v/>
      </c>
      <c r="Q5707" s="94">
        <f>F5707&amp;E5707&amp;G5707&amp;L5707</f>
        <v/>
      </c>
    </row>
    <row r="5708">
      <c r="A5708" s="94" t="n"/>
      <c r="B5708" s="128" t="n">
        <v>43941</v>
      </c>
      <c r="C5708" s="94">
        <f>TEXT(B5708,"aaa")</f>
        <v/>
      </c>
      <c r="D5708" s="94" t="n"/>
      <c r="E5708" s="6" t="inlineStr">
        <is>
          <t>토너</t>
        </is>
      </c>
      <c r="F5708" s="94" t="inlineStr">
        <is>
          <t>아누아 CS</t>
        </is>
      </c>
      <c r="G5708" s="5" t="inlineStr">
        <is>
          <t>250ml</t>
        </is>
      </c>
      <c r="H5708" s="7" t="n">
        <v>190801</v>
      </c>
      <c r="I5708" s="7" t="n">
        <v>190801</v>
      </c>
      <c r="J5708" s="94" t="n"/>
      <c r="K5708" s="6" t="n">
        <v>28</v>
      </c>
      <c r="L5708" s="7" t="n">
        <v>190801</v>
      </c>
      <c r="M5708" s="94">
        <f>VLOOKUP($Q5708,매칭테이블!$F:$I,2,0)*K5708</f>
        <v/>
      </c>
      <c r="N5708" s="94">
        <f>M5708-M5708*VLOOKUP($Q5708,매칭테이블!$F:$I,3,0)</f>
        <v/>
      </c>
      <c r="O5708" s="94">
        <f>VLOOKUP($Q5708,매칭테이블!$F:$I,4,0)*K5708</f>
        <v/>
      </c>
      <c r="P5708" s="148">
        <f>M5708/1.1</f>
        <v/>
      </c>
      <c r="Q5708" s="94">
        <f>F5708&amp;E5708&amp;G5708&amp;L5708</f>
        <v/>
      </c>
    </row>
    <row r="5709">
      <c r="A5709" s="94" t="n"/>
      <c r="B5709" s="128" t="n">
        <v>43941</v>
      </c>
      <c r="C5709" s="94">
        <f>TEXT(B5709,"aaa")</f>
        <v/>
      </c>
      <c r="D5709" s="94" t="n"/>
      <c r="E5709" s="94" t="inlineStr">
        <is>
          <t>머드크림마스크</t>
        </is>
      </c>
      <c r="F5709" s="94" t="inlineStr">
        <is>
          <t>카페24</t>
        </is>
      </c>
      <c r="G5709" s="94" t="inlineStr">
        <is>
          <t>머드크림마스크 100ml</t>
        </is>
      </c>
      <c r="H5709" s="7" t="n">
        <v>190801</v>
      </c>
      <c r="I5709" s="7" t="n">
        <v>190801</v>
      </c>
      <c r="J5709" s="94" t="n"/>
      <c r="K5709" s="6" t="n">
        <v>8</v>
      </c>
      <c r="L5709" s="94" t="n">
        <v>190801</v>
      </c>
      <c r="M5709" s="94">
        <f>VLOOKUP($Q5709,매칭테이블!$F:$I,2,0)*K5709</f>
        <v/>
      </c>
      <c r="N5709" s="94">
        <f>M5709-M5709*VLOOKUP($Q5709,매칭테이블!$F:$I,3,0)</f>
        <v/>
      </c>
      <c r="O5709" s="94">
        <f>VLOOKUP($Q5709,매칭테이블!$F:$I,4,0)*K5709</f>
        <v/>
      </c>
      <c r="P5709" s="148">
        <f>M5709/1.1</f>
        <v/>
      </c>
      <c r="Q5709" s="94">
        <f>F5709&amp;E5709&amp;G5709&amp;L5709</f>
        <v/>
      </c>
    </row>
    <row r="5710">
      <c r="A5710" s="94" t="n"/>
      <c r="B5710" s="128" t="n">
        <v>43941</v>
      </c>
      <c r="C5710" s="94">
        <f>TEXT(B5710,"aaa")</f>
        <v/>
      </c>
      <c r="D5710" s="94" t="n"/>
      <c r="E5710" s="94" t="inlineStr">
        <is>
          <t>머드크림마스크</t>
        </is>
      </c>
      <c r="F5710" s="94" t="inlineStr">
        <is>
          <t>카페24</t>
        </is>
      </c>
      <c r="G5710" s="94" t="inlineStr">
        <is>
          <t>머드크림마스크 100ml 2set</t>
        </is>
      </c>
      <c r="H5710" s="7" t="n">
        <v>190801</v>
      </c>
      <c r="I5710" s="7" t="n">
        <v>190801</v>
      </c>
      <c r="J5710" s="94" t="n"/>
      <c r="K5710" s="6" t="n">
        <v>2</v>
      </c>
      <c r="L5710" s="94" t="n">
        <v>190801</v>
      </c>
      <c r="M5710" s="94">
        <f>VLOOKUP($Q5710,매칭테이블!$F:$I,2,0)*K5710</f>
        <v/>
      </c>
      <c r="N5710" s="94">
        <f>M5710-M5710*VLOOKUP($Q5710,매칭테이블!$F:$I,3,0)</f>
        <v/>
      </c>
      <c r="O5710" s="94">
        <f>VLOOKUP($Q5710,매칭테이블!$F:$I,4,0)*K5710</f>
        <v/>
      </c>
      <c r="P5710" s="148">
        <f>M5710/1.1</f>
        <v/>
      </c>
      <c r="Q5710" s="94">
        <f>F5710&amp;E5710&amp;G5710&amp;L5710</f>
        <v/>
      </c>
    </row>
    <row r="5711">
      <c r="A5711" s="94" t="n"/>
      <c r="B5711" s="128" t="n">
        <v>43941</v>
      </c>
      <c r="C5711" s="94">
        <f>TEXT(B5711,"aaa")</f>
        <v/>
      </c>
      <c r="D5711" s="94" t="n"/>
      <c r="E5711" s="94" t="inlineStr">
        <is>
          <t>마스크팩</t>
        </is>
      </c>
      <c r="F5711" s="94" t="inlineStr">
        <is>
          <t>카페24</t>
        </is>
      </c>
      <c r="G5711" s="94" t="inlineStr">
        <is>
          <t>마스크팩 1매</t>
        </is>
      </c>
      <c r="H5711" s="7" t="n">
        <v>190801</v>
      </c>
      <c r="I5711" s="7" t="n">
        <v>190801</v>
      </c>
      <c r="J5711" s="94" t="n"/>
      <c r="K5711" s="6" t="n">
        <v>2</v>
      </c>
      <c r="L5711" s="94" t="n">
        <v>190801</v>
      </c>
      <c r="M5711" s="94">
        <f>VLOOKUP($Q5711,매칭테이블!$F:$I,2,0)*K5711</f>
        <v/>
      </c>
      <c r="N5711" s="94">
        <f>M5711-M5711*VLOOKUP($Q5711,매칭테이블!$F:$I,3,0)</f>
        <v/>
      </c>
      <c r="O5711" s="94">
        <f>VLOOKUP($Q5711,매칭테이블!$F:$I,4,0)*K5711</f>
        <v/>
      </c>
      <c r="P5711" s="148">
        <f>M5711/1.1</f>
        <v/>
      </c>
      <c r="Q5711" s="94">
        <f>F5711&amp;E5711&amp;G5711&amp;L5711</f>
        <v/>
      </c>
    </row>
    <row r="5712">
      <c r="A5712" s="94" t="n"/>
      <c r="B5712" s="128" t="n">
        <v>43941</v>
      </c>
      <c r="C5712" s="94">
        <f>TEXT(B5712,"aaa")</f>
        <v/>
      </c>
      <c r="D5712" s="94" t="n"/>
      <c r="E5712" s="94" t="inlineStr">
        <is>
          <t>마스크팩</t>
        </is>
      </c>
      <c r="F5712" s="94" t="inlineStr">
        <is>
          <t>카페24</t>
        </is>
      </c>
      <c r="G5712" s="94" t="inlineStr">
        <is>
          <t>마스크팩 10매</t>
        </is>
      </c>
      <c r="H5712" s="7" t="n">
        <v>190801</v>
      </c>
      <c r="I5712" s="7" t="n">
        <v>190801</v>
      </c>
      <c r="J5712" s="94" t="n"/>
      <c r="K5712" s="6" t="n">
        <v>6</v>
      </c>
      <c r="L5712" s="94" t="n">
        <v>190801</v>
      </c>
      <c r="M5712" s="94">
        <f>VLOOKUP($Q5712,매칭테이블!$F:$I,2,0)*K5712</f>
        <v/>
      </c>
      <c r="N5712" s="94">
        <f>M5712-M5712*VLOOKUP($Q5712,매칭테이블!$F:$I,3,0)</f>
        <v/>
      </c>
      <c r="O5712" s="94">
        <f>VLOOKUP($Q5712,매칭테이블!$F:$I,4,0)*K5712</f>
        <v/>
      </c>
      <c r="P5712" s="148">
        <f>M5712/1.1</f>
        <v/>
      </c>
      <c r="Q5712" s="94">
        <f>F5712&amp;E5712&amp;G5712&amp;L5712</f>
        <v/>
      </c>
    </row>
    <row r="5713">
      <c r="A5713" s="94" t="n"/>
      <c r="B5713" s="128" t="n">
        <v>43941</v>
      </c>
      <c r="C5713" s="94">
        <f>TEXT(B5713,"aaa")</f>
        <v/>
      </c>
      <c r="D5713" s="94" t="n"/>
      <c r="E5713" s="6" t="inlineStr">
        <is>
          <t>토너</t>
        </is>
      </c>
      <c r="F5713" s="5" t="inlineStr">
        <is>
          <t>카페24</t>
        </is>
      </c>
      <c r="G5713" s="5" t="inlineStr">
        <is>
          <t>250ml</t>
        </is>
      </c>
      <c r="H5713" s="7" t="n">
        <v>190801</v>
      </c>
      <c r="I5713" s="7" t="n">
        <v>190801</v>
      </c>
      <c r="J5713" s="94" t="n"/>
      <c r="K5713" s="6" t="n">
        <v>60</v>
      </c>
      <c r="L5713" s="7" t="n">
        <v>190801</v>
      </c>
      <c r="M5713" s="94">
        <f>VLOOKUP($Q5713,매칭테이블!$F:$I,2,0)*K5713</f>
        <v/>
      </c>
      <c r="N5713" s="94">
        <f>M5713-M5713*VLOOKUP($Q5713,매칭테이블!$F:$I,3,0)</f>
        <v/>
      </c>
      <c r="O5713" s="94">
        <f>VLOOKUP($Q5713,매칭테이블!$F:$I,4,0)*K5713</f>
        <v/>
      </c>
      <c r="P5713" s="148">
        <f>M5713/1.1</f>
        <v/>
      </c>
      <c r="Q5713" s="94">
        <f>F5713&amp;E5713&amp;G5713&amp;L5713</f>
        <v/>
      </c>
    </row>
    <row r="5714">
      <c r="A5714" s="94" t="n"/>
      <c r="B5714" s="128" t="n">
        <v>43941</v>
      </c>
      <c r="C5714" s="94">
        <f>TEXT(B5714,"aaa")</f>
        <v/>
      </c>
      <c r="D5714" s="94" t="n"/>
      <c r="E5714" s="6" t="inlineStr">
        <is>
          <t>토너</t>
        </is>
      </c>
      <c r="F5714" s="5" t="inlineStr">
        <is>
          <t>카페24</t>
        </is>
      </c>
      <c r="G5714" s="5" t="inlineStr">
        <is>
          <t>250ml 2set</t>
        </is>
      </c>
      <c r="H5714" s="7" t="n">
        <v>190801</v>
      </c>
      <c r="I5714" s="7" t="n">
        <v>190801</v>
      </c>
      <c r="J5714" s="94" t="n"/>
      <c r="K5714" s="6" t="n">
        <v>44</v>
      </c>
      <c r="L5714" s="7" t="n">
        <v>190801</v>
      </c>
      <c r="M5714" s="94">
        <f>VLOOKUP($Q5714,매칭테이블!$F:$I,2,0)*K5714</f>
        <v/>
      </c>
      <c r="N5714" s="94">
        <f>M5714-M5714*VLOOKUP($Q5714,매칭테이블!$F:$I,3,0)</f>
        <v/>
      </c>
      <c r="O5714" s="94">
        <f>VLOOKUP($Q5714,매칭테이블!$F:$I,4,0)*K5714</f>
        <v/>
      </c>
      <c r="P5714" s="148">
        <f>M5714/1.1</f>
        <v/>
      </c>
      <c r="Q5714" s="94">
        <f>F5714&amp;E5714&amp;G5714&amp;L5714</f>
        <v/>
      </c>
    </row>
    <row r="5715">
      <c r="A5715" s="94" t="n"/>
      <c r="B5715" s="128" t="n">
        <v>43941</v>
      </c>
      <c r="C5715" s="94">
        <f>TEXT(B5715,"aaa")</f>
        <v/>
      </c>
      <c r="D5715" s="94" t="n"/>
      <c r="E5715" s="6" t="inlineStr">
        <is>
          <t>토너</t>
        </is>
      </c>
      <c r="F5715" s="5" t="inlineStr">
        <is>
          <t>카페24</t>
        </is>
      </c>
      <c r="G5715" s="5" t="inlineStr">
        <is>
          <t>500ml</t>
        </is>
      </c>
      <c r="H5715" s="7" t="n">
        <v>190801</v>
      </c>
      <c r="I5715" s="7" t="n">
        <v>190801</v>
      </c>
      <c r="J5715" s="94" t="n"/>
      <c r="K5715" s="6" t="n">
        <v>69</v>
      </c>
      <c r="L5715" s="7" t="n">
        <v>190801</v>
      </c>
      <c r="M5715" s="94">
        <f>VLOOKUP($Q5715,매칭테이블!$F:$I,2,0)*K5715</f>
        <v/>
      </c>
      <c r="N5715" s="94">
        <f>M5715-M5715*VLOOKUP($Q5715,매칭테이블!$F:$I,3,0)</f>
        <v/>
      </c>
      <c r="O5715" s="94">
        <f>VLOOKUP($Q5715,매칭테이블!$F:$I,4,0)*K5715</f>
        <v/>
      </c>
      <c r="P5715" s="148">
        <f>M5715/1.1</f>
        <v/>
      </c>
      <c r="Q5715" s="94">
        <f>F5715&amp;E5715&amp;G5715&amp;L5715</f>
        <v/>
      </c>
    </row>
    <row r="5716">
      <c r="A5716" s="94" t="n"/>
      <c r="B5716" s="128" t="n">
        <v>43941</v>
      </c>
      <c r="C5716" s="94">
        <f>TEXT(B5716,"aaa")</f>
        <v/>
      </c>
      <c r="D5716" s="94" t="n"/>
      <c r="E5716" s="6" t="inlineStr">
        <is>
          <t>토너</t>
        </is>
      </c>
      <c r="F5716" s="5" t="inlineStr">
        <is>
          <t>카페24</t>
        </is>
      </c>
      <c r="G5716" s="94" t="inlineStr">
        <is>
          <t>스킨팩 화장솜 60P</t>
        </is>
      </c>
      <c r="H5716" s="7" t="n">
        <v>190801</v>
      </c>
      <c r="I5716" s="7" t="n">
        <v>190801</v>
      </c>
      <c r="J5716" s="94" t="n"/>
      <c r="K5716" s="6" t="n">
        <v>61</v>
      </c>
      <c r="L5716" s="7" t="n">
        <v>190801</v>
      </c>
      <c r="M5716" s="94">
        <f>VLOOKUP($Q5716,매칭테이블!$F:$I,2,0)*K5716</f>
        <v/>
      </c>
      <c r="N5716" s="94">
        <f>M5716-M5716*VLOOKUP($Q5716,매칭테이블!$F:$I,3,0)</f>
        <v/>
      </c>
      <c r="O5716" s="94">
        <f>VLOOKUP($Q5716,매칭테이블!$F:$I,4,0)*K5716</f>
        <v/>
      </c>
      <c r="P5716" s="148">
        <f>M5716/1.1</f>
        <v/>
      </c>
      <c r="Q5716" s="94">
        <f>F5716&amp;E5716&amp;G5716&amp;L5716</f>
        <v/>
      </c>
    </row>
    <row r="5717">
      <c r="A5717" s="94" t="n"/>
      <c r="B5717" s="128" t="n">
        <v>43941</v>
      </c>
      <c r="C5717" s="94">
        <f>TEXT(B5717,"aaa")</f>
        <v/>
      </c>
      <c r="D5717" s="94" t="n"/>
      <c r="E5717" s="94" t="inlineStr">
        <is>
          <t>앰플</t>
        </is>
      </c>
      <c r="F5717" s="5" t="inlineStr">
        <is>
          <t>카페24</t>
        </is>
      </c>
      <c r="G5717" s="94" t="inlineStr">
        <is>
          <t>앰플 30ml</t>
        </is>
      </c>
      <c r="H5717" s="7" t="n">
        <v>190801</v>
      </c>
      <c r="I5717" s="7" t="n">
        <v>190801</v>
      </c>
      <c r="J5717" s="94" t="n"/>
      <c r="K5717" s="6" t="n">
        <v>17</v>
      </c>
      <c r="L5717" s="94" t="n">
        <v>190801</v>
      </c>
      <c r="M5717" s="94">
        <f>VLOOKUP($Q5717,매칭테이블!$F:$I,2,0)*K5717</f>
        <v/>
      </c>
      <c r="N5717" s="94">
        <f>M5717-M5717*VLOOKUP($Q5717,매칭테이블!$F:$I,3,0)</f>
        <v/>
      </c>
      <c r="O5717" s="94">
        <f>VLOOKUP($Q5717,매칭테이블!$F:$I,4,0)*K5717</f>
        <v/>
      </c>
      <c r="P5717" s="148">
        <f>M5717/1.1</f>
        <v/>
      </c>
      <c r="Q5717" s="94">
        <f>F5717&amp;E5717&amp;G5717&amp;L5717</f>
        <v/>
      </c>
    </row>
    <row r="5718">
      <c r="A5718" s="94" t="n"/>
      <c r="B5718" s="128" t="n">
        <v>43941</v>
      </c>
      <c r="C5718" s="94">
        <f>TEXT(B5718,"aaa")</f>
        <v/>
      </c>
      <c r="D5718" s="94" t="n"/>
      <c r="E5718" s="94" t="inlineStr">
        <is>
          <t>수딩크림</t>
        </is>
      </c>
      <c r="F5718" s="5" t="inlineStr">
        <is>
          <t>카페24</t>
        </is>
      </c>
      <c r="G5718" s="94" t="inlineStr">
        <is>
          <t>수딩크림 100ml</t>
        </is>
      </c>
      <c r="H5718" s="7" t="n">
        <v>190801</v>
      </c>
      <c r="I5718" s="7" t="n">
        <v>190801</v>
      </c>
      <c r="J5718" s="94" t="n"/>
      <c r="K5718" s="6" t="n">
        <v>12</v>
      </c>
      <c r="L5718" s="94" t="n">
        <v>190801</v>
      </c>
      <c r="M5718" s="94">
        <f>VLOOKUP($Q5718,매칭테이블!$F:$I,2,0)*K5718</f>
        <v/>
      </c>
      <c r="N5718" s="94">
        <f>M5718-M5718*VLOOKUP($Q5718,매칭테이블!$F:$I,3,0)</f>
        <v/>
      </c>
      <c r="O5718" s="94">
        <f>VLOOKUP($Q5718,매칭테이블!$F:$I,4,0)*K5718</f>
        <v/>
      </c>
      <c r="P5718" s="148">
        <f>M5718/1.1</f>
        <v/>
      </c>
      <c r="Q5718" s="94">
        <f>F5718&amp;E5718&amp;G5718&amp;L5718</f>
        <v/>
      </c>
    </row>
    <row r="5719">
      <c r="A5719" s="94" t="n"/>
      <c r="B5719" s="128" t="n">
        <v>43941</v>
      </c>
      <c r="C5719" s="94">
        <f>TEXT(B5719,"aaa")</f>
        <v/>
      </c>
      <c r="D5719" s="94" t="n"/>
      <c r="E5719" s="94" t="inlineStr">
        <is>
          <t>토너+머드크림세트</t>
        </is>
      </c>
      <c r="F5719" s="94" t="inlineStr">
        <is>
          <t>카페24</t>
        </is>
      </c>
      <c r="G5719" s="94" t="inlineStr">
        <is>
          <t>250ml</t>
        </is>
      </c>
      <c r="H5719" s="7" t="n">
        <v>190801</v>
      </c>
      <c r="I5719" s="7" t="n">
        <v>190801</v>
      </c>
      <c r="J5719" s="94" t="n"/>
      <c r="K5719" s="6" t="n">
        <v>1</v>
      </c>
      <c r="L5719" s="94" t="n">
        <v>190801</v>
      </c>
      <c r="M5719" s="94">
        <f>VLOOKUP($Q5719,매칭테이블!$F:$I,2,0)*K5719</f>
        <v/>
      </c>
      <c r="N5719" s="94">
        <f>M5719-M5719*VLOOKUP($Q5719,매칭테이블!$F:$I,3,0)</f>
        <v/>
      </c>
      <c r="O5719" s="94">
        <f>VLOOKUP($Q5719,매칭테이블!$F:$I,4,0)*K5719</f>
        <v/>
      </c>
      <c r="P5719" s="148">
        <f>M5719/1.1</f>
        <v/>
      </c>
      <c r="Q5719" s="94">
        <f>F5719&amp;E5719&amp;G5719&amp;L5719</f>
        <v/>
      </c>
    </row>
    <row r="5720">
      <c r="A5720" s="94" t="n"/>
      <c r="B5720" s="128" t="n">
        <v>43941</v>
      </c>
      <c r="C5720" s="94">
        <f>TEXT(B5720,"aaa")</f>
        <v/>
      </c>
      <c r="D5720" s="94" t="n"/>
      <c r="E5720" s="94" t="inlineStr">
        <is>
          <t>토너+머드크림세트</t>
        </is>
      </c>
      <c r="F5720" s="94" t="inlineStr">
        <is>
          <t>카페24</t>
        </is>
      </c>
      <c r="G5720" s="94" t="inlineStr">
        <is>
          <t>머드크림마스크 100ml</t>
        </is>
      </c>
      <c r="H5720" s="7" t="n">
        <v>190801</v>
      </c>
      <c r="I5720" s="7" t="n">
        <v>190801</v>
      </c>
      <c r="J5720" s="94" t="n"/>
      <c r="K5720" s="6" t="n">
        <v>1</v>
      </c>
      <c r="L5720" s="94" t="n">
        <v>190801</v>
      </c>
      <c r="M5720" s="94">
        <f>VLOOKUP($Q5720,매칭테이블!$F:$I,2,0)*K5720</f>
        <v/>
      </c>
      <c r="N5720" s="94">
        <f>M5720-M5720*VLOOKUP($Q5720,매칭테이블!$F:$I,3,0)</f>
        <v/>
      </c>
      <c r="O5720" s="94">
        <f>VLOOKUP($Q5720,매칭테이블!$F:$I,4,0)*K5720</f>
        <v/>
      </c>
      <c r="P5720" s="148">
        <f>M5720/1.1</f>
        <v/>
      </c>
      <c r="Q5720" s="94">
        <f>F5720&amp;E5720&amp;G5720&amp;L5720</f>
        <v/>
      </c>
    </row>
    <row r="5721">
      <c r="A5721" s="94" t="n"/>
      <c r="B5721" s="128" t="n">
        <v>43941</v>
      </c>
      <c r="C5721" s="94">
        <f>TEXT(B5721,"aaa")</f>
        <v/>
      </c>
      <c r="D5721" s="94" t="n"/>
      <c r="E5721" s="6" t="inlineStr">
        <is>
          <t>토너</t>
        </is>
      </c>
      <c r="F5721" s="94" t="inlineStr">
        <is>
          <t>큐텐</t>
        </is>
      </c>
      <c r="G5721" s="5" t="inlineStr">
        <is>
          <t>250ml</t>
        </is>
      </c>
      <c r="H5721" s="7" t="n">
        <v>190801</v>
      </c>
      <c r="I5721" s="7" t="n">
        <v>190801</v>
      </c>
      <c r="J5721" s="94" t="n"/>
      <c r="K5721" s="6" t="n">
        <v>79</v>
      </c>
      <c r="L5721" s="94" t="n">
        <v>190801</v>
      </c>
      <c r="M5721" s="94">
        <f>VLOOKUP($Q5721,매칭테이블!$F:$I,2,0)*K5721</f>
        <v/>
      </c>
      <c r="N5721" s="94">
        <f>M5721-M5721*VLOOKUP($Q5721,매칭테이블!$F:$I,3,0)</f>
        <v/>
      </c>
      <c r="O5721" s="94">
        <f>VLOOKUP($Q5721,매칭테이블!$F:$I,4,0)*K5721</f>
        <v/>
      </c>
      <c r="P5721" s="148">
        <f>M5721/1.1</f>
        <v/>
      </c>
      <c r="Q5721" s="94">
        <f>F5721&amp;E5721&amp;G5721&amp;L5721</f>
        <v/>
      </c>
    </row>
    <row r="5722">
      <c r="A5722" s="94" t="n"/>
      <c r="B5722" s="128" t="n">
        <v>43941</v>
      </c>
      <c r="C5722" s="94">
        <f>TEXT(B5722,"aaa")</f>
        <v/>
      </c>
      <c r="D5722" s="94" t="n"/>
      <c r="E5722" s="6" t="inlineStr">
        <is>
          <t>토너</t>
        </is>
      </c>
      <c r="F5722" s="94" t="inlineStr">
        <is>
          <t>큐텐</t>
        </is>
      </c>
      <c r="G5722" s="5" t="inlineStr">
        <is>
          <t>250ml 2set</t>
        </is>
      </c>
      <c r="H5722" s="7" t="n">
        <v>190801</v>
      </c>
      <c r="I5722" s="7" t="n">
        <v>190801</v>
      </c>
      <c r="J5722" s="94" t="n"/>
      <c r="K5722" s="6" t="n">
        <v>30</v>
      </c>
      <c r="L5722" s="94" t="n">
        <v>190801</v>
      </c>
      <c r="M5722" s="94">
        <f>VLOOKUP($Q5722,매칭테이블!$F:$I,2,0)*K5722</f>
        <v/>
      </c>
      <c r="N5722" s="94">
        <f>M5722-M5722*VLOOKUP($Q5722,매칭테이블!$F:$I,3,0)</f>
        <v/>
      </c>
      <c r="O5722" s="94">
        <f>VLOOKUP($Q5722,매칭테이블!$F:$I,4,0)*K5722</f>
        <v/>
      </c>
      <c r="P5722" s="148">
        <f>M5722/1.1</f>
        <v/>
      </c>
      <c r="Q5722" s="94">
        <f>F5722&amp;E5722&amp;G5722&amp;L5722</f>
        <v/>
      </c>
    </row>
    <row r="5723">
      <c r="A5723" s="94" t="n"/>
      <c r="B5723" s="128" t="n">
        <v>43941</v>
      </c>
      <c r="C5723" s="94">
        <f>TEXT(B5723,"aaa")</f>
        <v/>
      </c>
      <c r="D5723" s="94" t="n"/>
      <c r="E5723" s="94" t="inlineStr">
        <is>
          <t>앰플</t>
        </is>
      </c>
      <c r="F5723" s="94" t="inlineStr">
        <is>
          <t>큐텐</t>
        </is>
      </c>
      <c r="G5723" s="94" t="inlineStr">
        <is>
          <t>앰플 30ml</t>
        </is>
      </c>
      <c r="H5723" s="7" t="n">
        <v>190801</v>
      </c>
      <c r="I5723" s="7" t="n">
        <v>190801</v>
      </c>
      <c r="J5723" s="94" t="n"/>
      <c r="K5723" s="6" t="n">
        <v>6</v>
      </c>
      <c r="L5723" s="94" t="n">
        <v>190801</v>
      </c>
      <c r="M5723" s="94">
        <f>VLOOKUP($Q5723,매칭테이블!$F:$I,2,0)*K5723</f>
        <v/>
      </c>
      <c r="N5723" s="94">
        <f>M5723-M5723*VLOOKUP($Q5723,매칭테이블!$F:$I,3,0)</f>
        <v/>
      </c>
      <c r="O5723" s="94">
        <f>VLOOKUP($Q5723,매칭테이블!$F:$I,4,0)*K5723</f>
        <v/>
      </c>
      <c r="P5723" s="148">
        <f>M5723/1.1</f>
        <v/>
      </c>
      <c r="Q5723" s="94">
        <f>F5723&amp;E5723&amp;G5723&amp;L5723</f>
        <v/>
      </c>
    </row>
    <row r="5724">
      <c r="A5724" s="94" t="n"/>
      <c r="B5724" s="128" t="n">
        <v>43941</v>
      </c>
      <c r="C5724" s="94">
        <f>TEXT(B5724,"aaa")</f>
        <v/>
      </c>
      <c r="D5724" s="94" t="n"/>
      <c r="E5724" s="94" t="inlineStr">
        <is>
          <t>머드크림마스크</t>
        </is>
      </c>
      <c r="F5724" s="94" t="inlineStr">
        <is>
          <t>큐텐</t>
        </is>
      </c>
      <c r="G5724" s="94" t="inlineStr">
        <is>
          <t>머드크림마스크 100ml</t>
        </is>
      </c>
      <c r="H5724" s="7" t="n">
        <v>190801</v>
      </c>
      <c r="I5724" s="7" t="n">
        <v>190801</v>
      </c>
      <c r="J5724" s="94" t="n"/>
      <c r="K5724" s="6" t="n">
        <v>2</v>
      </c>
      <c r="L5724" s="94" t="n">
        <v>190801</v>
      </c>
      <c r="M5724" s="94">
        <f>VLOOKUP($Q5724,매칭테이블!$F:$I,2,0)*K5724</f>
        <v/>
      </c>
      <c r="N5724" s="94">
        <f>M5724-M5724*VLOOKUP($Q5724,매칭테이블!$F:$I,3,0)</f>
        <v/>
      </c>
      <c r="O5724" s="94">
        <f>VLOOKUP($Q5724,매칭테이블!$F:$I,4,0)*K5724</f>
        <v/>
      </c>
      <c r="P5724" s="148">
        <f>M5724/1.1</f>
        <v/>
      </c>
      <c r="Q5724" s="94">
        <f>F5724&amp;E5724&amp;G5724&amp;L5724</f>
        <v/>
      </c>
    </row>
    <row r="5725">
      <c r="A5725" s="94" t="n"/>
      <c r="B5725" s="128" t="n">
        <v>43941</v>
      </c>
      <c r="C5725" s="94">
        <f>TEXT(B5725,"aaa")</f>
        <v/>
      </c>
      <c r="D5725" s="94" t="n"/>
      <c r="E5725" s="94" t="inlineStr">
        <is>
          <t>마스크팩</t>
        </is>
      </c>
      <c r="F5725" s="94" t="inlineStr">
        <is>
          <t>큐텐</t>
        </is>
      </c>
      <c r="G5725" s="94" t="inlineStr">
        <is>
          <t>마스크팩 10매</t>
        </is>
      </c>
      <c r="H5725" s="7" t="n">
        <v>190801</v>
      </c>
      <c r="I5725" s="7" t="n">
        <v>190801</v>
      </c>
      <c r="J5725" s="94" t="n"/>
      <c r="K5725" s="6" t="n">
        <v>1</v>
      </c>
      <c r="L5725" s="94" t="n">
        <v>190801</v>
      </c>
      <c r="M5725" s="94">
        <f>VLOOKUP($Q5725,매칭테이블!$F:$I,2,0)*K5725</f>
        <v/>
      </c>
      <c r="N5725" s="94">
        <f>M5725-M5725*VLOOKUP($Q5725,매칭테이블!$F:$I,3,0)</f>
        <v/>
      </c>
      <c r="O5725" s="94">
        <f>VLOOKUP($Q5725,매칭테이블!$F:$I,4,0)*K5725</f>
        <v/>
      </c>
      <c r="P5725" s="148">
        <f>M5725/1.1</f>
        <v/>
      </c>
      <c r="Q5725" s="94">
        <f>F5725&amp;E5725&amp;G5725&amp;L5725</f>
        <v/>
      </c>
    </row>
    <row r="5726">
      <c r="A5726" s="94" t="n"/>
      <c r="B5726" s="128" t="n">
        <v>43942</v>
      </c>
      <c r="C5726" s="94">
        <f>TEXT(B5726,"aaa")</f>
        <v/>
      </c>
      <c r="D5726" s="94" t="n"/>
      <c r="E5726" s="6" t="inlineStr">
        <is>
          <t>토너</t>
        </is>
      </c>
      <c r="F5726" s="5" t="inlineStr">
        <is>
          <t>W컨셉</t>
        </is>
      </c>
      <c r="G5726" s="5" t="inlineStr">
        <is>
          <t>250ml</t>
        </is>
      </c>
      <c r="H5726" s="7" t="n">
        <v>190801</v>
      </c>
      <c r="I5726" s="7" t="n">
        <v>190801</v>
      </c>
      <c r="J5726" s="94" t="n"/>
      <c r="K5726" s="6" t="n">
        <v>1</v>
      </c>
      <c r="L5726" s="7" t="n">
        <v>190801</v>
      </c>
      <c r="M5726" s="94">
        <f>VLOOKUP($Q5726,매칭테이블!$F:$I,2,0)*K5726</f>
        <v/>
      </c>
      <c r="N5726" s="94">
        <f>M5726-M5726*VLOOKUP($Q5726,매칭테이블!$F:$I,3,0)</f>
        <v/>
      </c>
      <c r="O5726" s="94">
        <f>VLOOKUP($Q5726,매칭테이블!$F:$I,4,0)*K5726</f>
        <v/>
      </c>
      <c r="P5726" s="148">
        <f>M5726/1.1</f>
        <v/>
      </c>
      <c r="Q5726" s="94">
        <f>F5726&amp;E5726&amp;G5726&amp;L5726</f>
        <v/>
      </c>
    </row>
    <row r="5727">
      <c r="A5727" s="94" t="n"/>
      <c r="B5727" s="128" t="n">
        <v>43942</v>
      </c>
      <c r="C5727" s="94">
        <f>TEXT(B5727,"aaa")</f>
        <v/>
      </c>
      <c r="D5727" s="94" t="n"/>
      <c r="E5727" s="6" t="inlineStr">
        <is>
          <t>토너</t>
        </is>
      </c>
      <c r="F5727" s="5" t="inlineStr">
        <is>
          <t>W컨셉</t>
        </is>
      </c>
      <c r="G5727" s="5" t="inlineStr">
        <is>
          <t>250ml 2set</t>
        </is>
      </c>
      <c r="H5727" s="7" t="n">
        <v>190801</v>
      </c>
      <c r="I5727" s="7" t="n">
        <v>190801</v>
      </c>
      <c r="J5727" s="94" t="n"/>
      <c r="K5727" s="6" t="n">
        <v>7</v>
      </c>
      <c r="L5727" s="7" t="n">
        <v>190801</v>
      </c>
      <c r="M5727" s="94">
        <f>VLOOKUP($Q5727,매칭테이블!$F:$I,2,0)*K5727</f>
        <v/>
      </c>
      <c r="N5727" s="94">
        <f>M5727-M5727*VLOOKUP($Q5727,매칭테이블!$F:$I,3,0)</f>
        <v/>
      </c>
      <c r="O5727" s="94">
        <f>VLOOKUP($Q5727,매칭테이블!$F:$I,4,0)*K5727</f>
        <v/>
      </c>
      <c r="P5727" s="148">
        <f>M5727/1.1</f>
        <v/>
      </c>
      <c r="Q5727" s="94">
        <f>F5727&amp;E5727&amp;G5727&amp;L5727</f>
        <v/>
      </c>
    </row>
    <row r="5728">
      <c r="A5728" s="94" t="n"/>
      <c r="B5728" s="128" t="n">
        <v>43942</v>
      </c>
      <c r="C5728" s="94">
        <f>TEXT(B5728,"aaa")</f>
        <v/>
      </c>
      <c r="D5728" s="94" t="n"/>
      <c r="E5728" s="94" t="inlineStr">
        <is>
          <t>토너</t>
        </is>
      </c>
      <c r="F5728" s="5" t="inlineStr">
        <is>
          <t>스타일쉐어</t>
        </is>
      </c>
      <c r="G5728" s="94" t="inlineStr">
        <is>
          <t>250ml</t>
        </is>
      </c>
      <c r="H5728" s="7" t="n">
        <v>190801</v>
      </c>
      <c r="I5728" s="7" t="n">
        <v>190801</v>
      </c>
      <c r="J5728" s="94" t="n"/>
      <c r="K5728" s="6" t="n">
        <v>4</v>
      </c>
      <c r="L5728" s="7" t="n">
        <v>190801</v>
      </c>
      <c r="M5728" s="94">
        <f>VLOOKUP($Q5728,매칭테이블!$F:$I,2,0)*K5728</f>
        <v/>
      </c>
      <c r="N5728" s="94">
        <f>M5728-M5728*VLOOKUP($Q5728,매칭테이블!$F:$I,3,0)</f>
        <v/>
      </c>
      <c r="O5728" s="94">
        <f>VLOOKUP($Q5728,매칭테이블!$F:$I,4,0)*K5728</f>
        <v/>
      </c>
      <c r="P5728" s="148">
        <f>M5728/1.1</f>
        <v/>
      </c>
      <c r="Q5728" s="94">
        <f>F5728&amp;E5728&amp;G5728&amp;L5728</f>
        <v/>
      </c>
    </row>
    <row r="5729">
      <c r="A5729" s="94" t="n"/>
      <c r="B5729" s="128" t="n">
        <v>43942</v>
      </c>
      <c r="C5729" s="94">
        <f>TEXT(B5729,"aaa")</f>
        <v/>
      </c>
      <c r="D5729" s="94" t="n"/>
      <c r="E5729" s="94" t="inlineStr">
        <is>
          <t>머드크림마스크</t>
        </is>
      </c>
      <c r="F5729" s="94" t="inlineStr">
        <is>
          <t>카페24</t>
        </is>
      </c>
      <c r="G5729" s="94" t="inlineStr">
        <is>
          <t>머드크림마스크 100ml</t>
        </is>
      </c>
      <c r="H5729" s="7" t="n">
        <v>190801</v>
      </c>
      <c r="I5729" s="7" t="n">
        <v>190801</v>
      </c>
      <c r="J5729" s="94" t="n"/>
      <c r="K5729" s="6" t="n">
        <v>10</v>
      </c>
      <c r="L5729" s="94" t="n">
        <v>190801</v>
      </c>
      <c r="M5729" s="94">
        <f>VLOOKUP($Q5729,매칭테이블!$F:$I,2,0)*K5729</f>
        <v/>
      </c>
      <c r="N5729" s="94">
        <f>M5729-M5729*VLOOKUP($Q5729,매칭테이블!$F:$I,3,0)</f>
        <v/>
      </c>
      <c r="O5729" s="94">
        <f>VLOOKUP($Q5729,매칭테이블!$F:$I,4,0)*K5729</f>
        <v/>
      </c>
      <c r="P5729" s="148">
        <f>M5729/1.1</f>
        <v/>
      </c>
      <c r="Q5729" s="94">
        <f>F5729&amp;E5729&amp;G5729&amp;L5729</f>
        <v/>
      </c>
    </row>
    <row r="5730">
      <c r="A5730" s="94" t="n"/>
      <c r="B5730" s="128" t="n">
        <v>43942</v>
      </c>
      <c r="C5730" s="94">
        <f>TEXT(B5730,"aaa")</f>
        <v/>
      </c>
      <c r="D5730" s="94" t="n"/>
      <c r="E5730" s="94" t="inlineStr">
        <is>
          <t>머드크림마스크</t>
        </is>
      </c>
      <c r="F5730" s="94" t="inlineStr">
        <is>
          <t>카페24</t>
        </is>
      </c>
      <c r="G5730" s="94" t="inlineStr">
        <is>
          <t>머드크림마스크 100ml 2set</t>
        </is>
      </c>
      <c r="H5730" s="7" t="n">
        <v>190801</v>
      </c>
      <c r="I5730" s="7" t="n">
        <v>190801</v>
      </c>
      <c r="J5730" s="94" t="n"/>
      <c r="K5730" s="6" t="n">
        <v>4</v>
      </c>
      <c r="L5730" s="94" t="n">
        <v>190801</v>
      </c>
      <c r="M5730" s="94">
        <f>VLOOKUP($Q5730,매칭테이블!$F:$I,2,0)*K5730</f>
        <v/>
      </c>
      <c r="N5730" s="94">
        <f>M5730-M5730*VLOOKUP($Q5730,매칭테이블!$F:$I,3,0)</f>
        <v/>
      </c>
      <c r="O5730" s="94">
        <f>VLOOKUP($Q5730,매칭테이블!$F:$I,4,0)*K5730</f>
        <v/>
      </c>
      <c r="P5730" s="148">
        <f>M5730/1.1</f>
        <v/>
      </c>
      <c r="Q5730" s="94">
        <f>F5730&amp;E5730&amp;G5730&amp;L5730</f>
        <v/>
      </c>
    </row>
    <row r="5731">
      <c r="A5731" s="94" t="n"/>
      <c r="B5731" s="128" t="n">
        <v>43942</v>
      </c>
      <c r="C5731" s="94">
        <f>TEXT(B5731,"aaa")</f>
        <v/>
      </c>
      <c r="D5731" s="94" t="n"/>
      <c r="E5731" s="94" t="inlineStr">
        <is>
          <t>마스크팩</t>
        </is>
      </c>
      <c r="F5731" s="94" t="inlineStr">
        <is>
          <t>카페24</t>
        </is>
      </c>
      <c r="G5731" s="94" t="inlineStr">
        <is>
          <t>마스크팩 1매</t>
        </is>
      </c>
      <c r="H5731" s="7" t="n">
        <v>190801</v>
      </c>
      <c r="I5731" s="7" t="n">
        <v>190801</v>
      </c>
      <c r="J5731" s="94" t="n"/>
      <c r="K5731" s="6" t="n">
        <v>11</v>
      </c>
      <c r="L5731" s="94" t="n">
        <v>190801</v>
      </c>
      <c r="M5731" s="94">
        <f>VLOOKUP($Q5731,매칭테이블!$F:$I,2,0)*K5731</f>
        <v/>
      </c>
      <c r="N5731" s="94">
        <f>M5731-M5731*VLOOKUP($Q5731,매칭테이블!$F:$I,3,0)</f>
        <v/>
      </c>
      <c r="O5731" s="94">
        <f>VLOOKUP($Q5731,매칭테이블!$F:$I,4,0)*K5731</f>
        <v/>
      </c>
      <c r="P5731" s="148">
        <f>M5731/1.1</f>
        <v/>
      </c>
      <c r="Q5731" s="94">
        <f>F5731&amp;E5731&amp;G5731&amp;L5731</f>
        <v/>
      </c>
    </row>
    <row r="5732">
      <c r="A5732" s="94" t="n"/>
      <c r="B5732" s="128" t="n">
        <v>43942</v>
      </c>
      <c r="C5732" s="94">
        <f>TEXT(B5732,"aaa")</f>
        <v/>
      </c>
      <c r="D5732" s="94" t="n"/>
      <c r="E5732" s="94" t="inlineStr">
        <is>
          <t>마스크팩</t>
        </is>
      </c>
      <c r="F5732" s="94" t="inlineStr">
        <is>
          <t>카페24</t>
        </is>
      </c>
      <c r="G5732" s="94" t="inlineStr">
        <is>
          <t>마스크팩 10매</t>
        </is>
      </c>
      <c r="H5732" s="7" t="n">
        <v>190801</v>
      </c>
      <c r="I5732" s="7" t="n">
        <v>190801</v>
      </c>
      <c r="J5732" s="94" t="n"/>
      <c r="K5732" s="6" t="n">
        <v>6</v>
      </c>
      <c r="L5732" s="94" t="n">
        <v>190801</v>
      </c>
      <c r="M5732" s="94">
        <f>VLOOKUP($Q5732,매칭테이블!$F:$I,2,0)*K5732</f>
        <v/>
      </c>
      <c r="N5732" s="94">
        <f>M5732-M5732*VLOOKUP($Q5732,매칭테이블!$F:$I,3,0)</f>
        <v/>
      </c>
      <c r="O5732" s="94">
        <f>VLOOKUP($Q5732,매칭테이블!$F:$I,4,0)*K5732</f>
        <v/>
      </c>
      <c r="P5732" s="148">
        <f>M5732/1.1</f>
        <v/>
      </c>
      <c r="Q5732" s="94">
        <f>F5732&amp;E5732&amp;G5732&amp;L5732</f>
        <v/>
      </c>
    </row>
    <row r="5733">
      <c r="A5733" s="94" t="n"/>
      <c r="B5733" s="128" t="n">
        <v>43942</v>
      </c>
      <c r="C5733" s="94">
        <f>TEXT(B5733,"aaa")</f>
        <v/>
      </c>
      <c r="D5733" s="94" t="n"/>
      <c r="E5733" s="6" t="inlineStr">
        <is>
          <t>토너</t>
        </is>
      </c>
      <c r="F5733" s="5" t="inlineStr">
        <is>
          <t>카페24</t>
        </is>
      </c>
      <c r="G5733" s="5" t="inlineStr">
        <is>
          <t>250ml</t>
        </is>
      </c>
      <c r="H5733" s="7" t="n">
        <v>190801</v>
      </c>
      <c r="I5733" s="7" t="n">
        <v>190801</v>
      </c>
      <c r="J5733" s="94" t="n"/>
      <c r="K5733" s="6" t="n">
        <v>55</v>
      </c>
      <c r="L5733" s="7" t="n">
        <v>190801</v>
      </c>
      <c r="M5733" s="94">
        <f>VLOOKUP($Q5733,매칭테이블!$F:$I,2,0)*K5733</f>
        <v/>
      </c>
      <c r="N5733" s="94">
        <f>M5733-M5733*VLOOKUP($Q5733,매칭테이블!$F:$I,3,0)</f>
        <v/>
      </c>
      <c r="O5733" s="94">
        <f>VLOOKUP($Q5733,매칭테이블!$F:$I,4,0)*K5733</f>
        <v/>
      </c>
      <c r="P5733" s="148">
        <f>M5733/1.1</f>
        <v/>
      </c>
      <c r="Q5733" s="94">
        <f>F5733&amp;E5733&amp;G5733&amp;L5733</f>
        <v/>
      </c>
    </row>
    <row r="5734">
      <c r="A5734" s="94" t="n"/>
      <c r="B5734" s="128" t="n">
        <v>43942</v>
      </c>
      <c r="C5734" s="94">
        <f>TEXT(B5734,"aaa")</f>
        <v/>
      </c>
      <c r="D5734" s="94" t="n"/>
      <c r="E5734" s="6" t="inlineStr">
        <is>
          <t>토너</t>
        </is>
      </c>
      <c r="F5734" s="5" t="inlineStr">
        <is>
          <t>카페24</t>
        </is>
      </c>
      <c r="G5734" s="5" t="inlineStr">
        <is>
          <t>250ml 2set</t>
        </is>
      </c>
      <c r="H5734" s="7" t="n">
        <v>190801</v>
      </c>
      <c r="I5734" s="7" t="n">
        <v>190801</v>
      </c>
      <c r="J5734" s="94" t="n"/>
      <c r="K5734" s="6" t="n">
        <v>50</v>
      </c>
      <c r="L5734" s="7" t="n">
        <v>190801</v>
      </c>
      <c r="M5734" s="94">
        <f>VLOOKUP($Q5734,매칭테이블!$F:$I,2,0)*K5734</f>
        <v/>
      </c>
      <c r="N5734" s="94">
        <f>M5734-M5734*VLOOKUP($Q5734,매칭테이블!$F:$I,3,0)</f>
        <v/>
      </c>
      <c r="O5734" s="94">
        <f>VLOOKUP($Q5734,매칭테이블!$F:$I,4,0)*K5734</f>
        <v/>
      </c>
      <c r="P5734" s="148">
        <f>M5734/1.1</f>
        <v/>
      </c>
      <c r="Q5734" s="94">
        <f>F5734&amp;E5734&amp;G5734&amp;L5734</f>
        <v/>
      </c>
    </row>
    <row r="5735">
      <c r="A5735" s="94" t="n"/>
      <c r="B5735" s="128" t="n">
        <v>43942</v>
      </c>
      <c r="C5735" s="94">
        <f>TEXT(B5735,"aaa")</f>
        <v/>
      </c>
      <c r="D5735" s="94" t="n"/>
      <c r="E5735" s="6" t="inlineStr">
        <is>
          <t>토너</t>
        </is>
      </c>
      <c r="F5735" s="5" t="inlineStr">
        <is>
          <t>카페24</t>
        </is>
      </c>
      <c r="G5735" s="5" t="inlineStr">
        <is>
          <t>500ml</t>
        </is>
      </c>
      <c r="H5735" s="7" t="n">
        <v>190801</v>
      </c>
      <c r="I5735" s="7" t="n">
        <v>190801</v>
      </c>
      <c r="J5735" s="94" t="n"/>
      <c r="K5735" s="6" t="n">
        <v>46</v>
      </c>
      <c r="L5735" s="7" t="n">
        <v>190801</v>
      </c>
      <c r="M5735" s="94">
        <f>VLOOKUP($Q5735,매칭테이블!$F:$I,2,0)*K5735</f>
        <v/>
      </c>
      <c r="N5735" s="94">
        <f>M5735-M5735*VLOOKUP($Q5735,매칭테이블!$F:$I,3,0)</f>
        <v/>
      </c>
      <c r="O5735" s="94">
        <f>VLOOKUP($Q5735,매칭테이블!$F:$I,4,0)*K5735</f>
        <v/>
      </c>
      <c r="P5735" s="148">
        <f>M5735/1.1</f>
        <v/>
      </c>
      <c r="Q5735" s="94">
        <f>F5735&amp;E5735&amp;G5735&amp;L5735</f>
        <v/>
      </c>
    </row>
    <row r="5736">
      <c r="A5736" s="94" t="n"/>
      <c r="B5736" s="128" t="n">
        <v>43942</v>
      </c>
      <c r="C5736" s="94">
        <f>TEXT(B5736,"aaa")</f>
        <v/>
      </c>
      <c r="D5736" s="94" t="n"/>
      <c r="E5736" s="6" t="inlineStr">
        <is>
          <t>토너</t>
        </is>
      </c>
      <c r="F5736" s="5" t="inlineStr">
        <is>
          <t>카페24</t>
        </is>
      </c>
      <c r="G5736" s="94" t="inlineStr">
        <is>
          <t>스킨팩 화장솜 60P</t>
        </is>
      </c>
      <c r="H5736" s="7" t="n">
        <v>190801</v>
      </c>
      <c r="I5736" s="7" t="n">
        <v>190801</v>
      </c>
      <c r="J5736" s="94" t="n"/>
      <c r="K5736" s="6" t="n">
        <v>67</v>
      </c>
      <c r="L5736" s="7" t="n">
        <v>190801</v>
      </c>
      <c r="M5736" s="94">
        <f>VLOOKUP($Q5736,매칭테이블!$F:$I,2,0)*K5736</f>
        <v/>
      </c>
      <c r="N5736" s="94">
        <f>M5736-M5736*VLOOKUP($Q5736,매칭테이블!$F:$I,3,0)</f>
        <v/>
      </c>
      <c r="O5736" s="94">
        <f>VLOOKUP($Q5736,매칭테이블!$F:$I,4,0)*K5736</f>
        <v/>
      </c>
      <c r="P5736" s="148">
        <f>M5736/1.1</f>
        <v/>
      </c>
      <c r="Q5736" s="94">
        <f>F5736&amp;E5736&amp;G5736&amp;L5736</f>
        <v/>
      </c>
    </row>
    <row r="5737">
      <c r="A5737" s="94" t="n"/>
      <c r="B5737" s="128" t="n">
        <v>43942</v>
      </c>
      <c r="C5737" s="94">
        <f>TEXT(B5737,"aaa")</f>
        <v/>
      </c>
      <c r="D5737" s="94" t="n"/>
      <c r="E5737" s="94" t="inlineStr">
        <is>
          <t>앰플</t>
        </is>
      </c>
      <c r="F5737" s="5" t="inlineStr">
        <is>
          <t>카페24</t>
        </is>
      </c>
      <c r="G5737" s="94" t="inlineStr">
        <is>
          <t>앰플 30ml</t>
        </is>
      </c>
      <c r="H5737" s="7" t="n">
        <v>190801</v>
      </c>
      <c r="I5737" s="7" t="n">
        <v>190801</v>
      </c>
      <c r="J5737" s="94" t="n"/>
      <c r="K5737" s="6" t="n">
        <v>17</v>
      </c>
      <c r="L5737" s="94" t="n">
        <v>190801</v>
      </c>
      <c r="M5737" s="94">
        <f>VLOOKUP($Q5737,매칭테이블!$F:$I,2,0)*K5737</f>
        <v/>
      </c>
      <c r="N5737" s="94">
        <f>M5737-M5737*VLOOKUP($Q5737,매칭테이블!$F:$I,3,0)</f>
        <v/>
      </c>
      <c r="O5737" s="94">
        <f>VLOOKUP($Q5737,매칭테이블!$F:$I,4,0)*K5737</f>
        <v/>
      </c>
      <c r="P5737" s="148">
        <f>M5737/1.1</f>
        <v/>
      </c>
      <c r="Q5737" s="94">
        <f>F5737&amp;E5737&amp;G5737&amp;L5737</f>
        <v/>
      </c>
    </row>
    <row r="5738">
      <c r="A5738" s="94" t="n"/>
      <c r="B5738" s="128" t="n">
        <v>43942</v>
      </c>
      <c r="C5738" s="94">
        <f>TEXT(B5738,"aaa")</f>
        <v/>
      </c>
      <c r="D5738" s="94" t="n"/>
      <c r="E5738" s="94" t="inlineStr">
        <is>
          <t>수딩크림</t>
        </is>
      </c>
      <c r="F5738" s="5" t="inlineStr">
        <is>
          <t>카페24</t>
        </is>
      </c>
      <c r="G5738" s="94" t="inlineStr">
        <is>
          <t>수딩크림 100ml</t>
        </is>
      </c>
      <c r="H5738" s="7" t="n">
        <v>190801</v>
      </c>
      <c r="I5738" s="7" t="n">
        <v>190801</v>
      </c>
      <c r="J5738" s="94" t="n"/>
      <c r="K5738" s="6" t="n">
        <v>7</v>
      </c>
      <c r="L5738" s="94" t="n">
        <v>190801</v>
      </c>
      <c r="M5738" s="94">
        <f>VLOOKUP($Q5738,매칭테이블!$F:$I,2,0)*K5738</f>
        <v/>
      </c>
      <c r="N5738" s="94">
        <f>M5738-M5738*VLOOKUP($Q5738,매칭테이블!$F:$I,3,0)</f>
        <v/>
      </c>
      <c r="O5738" s="94">
        <f>VLOOKUP($Q5738,매칭테이블!$F:$I,4,0)*K5738</f>
        <v/>
      </c>
      <c r="P5738" s="148">
        <f>M5738/1.1</f>
        <v/>
      </c>
      <c r="Q5738" s="94">
        <f>F5738&amp;E5738&amp;G5738&amp;L5738</f>
        <v/>
      </c>
    </row>
    <row r="5739">
      <c r="A5739" s="94" t="n"/>
      <c r="B5739" s="128" t="n">
        <v>43942</v>
      </c>
      <c r="C5739" s="94">
        <f>TEXT(B5739,"aaa")</f>
        <v/>
      </c>
      <c r="D5739" s="94" t="n"/>
      <c r="E5739" s="94" t="inlineStr">
        <is>
          <t>토너+머드크림세트</t>
        </is>
      </c>
      <c r="F5739" s="94" t="inlineStr">
        <is>
          <t>카페24</t>
        </is>
      </c>
      <c r="G5739" s="94" t="inlineStr">
        <is>
          <t>250ml</t>
        </is>
      </c>
      <c r="H5739" s="7" t="n">
        <v>190801</v>
      </c>
      <c r="I5739" s="7" t="n">
        <v>190801</v>
      </c>
      <c r="J5739" s="94" t="n"/>
      <c r="K5739" s="6" t="n">
        <v>2</v>
      </c>
      <c r="L5739" s="94" t="n">
        <v>190801</v>
      </c>
      <c r="M5739" s="94">
        <f>VLOOKUP($Q5739,매칭테이블!$F:$I,2,0)*K5739</f>
        <v/>
      </c>
      <c r="N5739" s="94">
        <f>M5739-M5739*VLOOKUP($Q5739,매칭테이블!$F:$I,3,0)</f>
        <v/>
      </c>
      <c r="O5739" s="94">
        <f>VLOOKUP($Q5739,매칭테이블!$F:$I,4,0)*K5739</f>
        <v/>
      </c>
      <c r="P5739" s="148">
        <f>M5739/1.1</f>
        <v/>
      </c>
      <c r="Q5739" s="94">
        <f>F5739&amp;E5739&amp;G5739&amp;L5739</f>
        <v/>
      </c>
    </row>
    <row r="5740">
      <c r="A5740" s="94" t="n"/>
      <c r="B5740" s="128" t="n">
        <v>43942</v>
      </c>
      <c r="C5740" s="94">
        <f>TEXT(B5740,"aaa")</f>
        <v/>
      </c>
      <c r="D5740" s="94" t="n"/>
      <c r="E5740" s="94" t="inlineStr">
        <is>
          <t>토너+머드크림세트</t>
        </is>
      </c>
      <c r="F5740" s="94" t="inlineStr">
        <is>
          <t>카페24</t>
        </is>
      </c>
      <c r="G5740" s="94" t="inlineStr">
        <is>
          <t>머드크림마스크 100ml</t>
        </is>
      </c>
      <c r="H5740" s="7" t="n">
        <v>190801</v>
      </c>
      <c r="I5740" s="7" t="n">
        <v>190801</v>
      </c>
      <c r="J5740" s="94" t="n"/>
      <c r="K5740" s="6" t="n">
        <v>2</v>
      </c>
      <c r="L5740" s="94" t="n">
        <v>190801</v>
      </c>
      <c r="M5740" s="94">
        <f>VLOOKUP($Q5740,매칭테이블!$F:$I,2,0)*K5740</f>
        <v/>
      </c>
      <c r="N5740" s="94">
        <f>M5740-M5740*VLOOKUP($Q5740,매칭테이블!$F:$I,3,0)</f>
        <v/>
      </c>
      <c r="O5740" s="94">
        <f>VLOOKUP($Q5740,매칭테이블!$F:$I,4,0)*K5740</f>
        <v/>
      </c>
      <c r="P5740" s="148">
        <f>M5740/1.1</f>
        <v/>
      </c>
      <c r="Q5740" s="94">
        <f>F5740&amp;E5740&amp;G5740&amp;L5740</f>
        <v/>
      </c>
    </row>
    <row r="5741">
      <c r="A5741" s="94" t="n"/>
      <c r="B5741" s="128" t="n">
        <v>43942</v>
      </c>
      <c r="C5741" s="94">
        <f>TEXT(B5741,"aaa")</f>
        <v/>
      </c>
      <c r="D5741" s="94" t="n"/>
      <c r="E5741" s="94" t="inlineStr">
        <is>
          <t>클렌징폼</t>
        </is>
      </c>
      <c r="F5741" s="94" t="inlineStr">
        <is>
          <t>카페24</t>
        </is>
      </c>
      <c r="G5741" s="94" t="inlineStr">
        <is>
          <t>클렌징폼 120ml</t>
        </is>
      </c>
      <c r="H5741" s="7" t="n">
        <v>190801</v>
      </c>
      <c r="I5741" s="7" t="n">
        <v>190801</v>
      </c>
      <c r="J5741" s="94" t="n"/>
      <c r="K5741" s="6" t="n">
        <v>1</v>
      </c>
      <c r="L5741" s="7" t="n">
        <v>190801</v>
      </c>
      <c r="M5741" s="94">
        <f>VLOOKUP($Q5741,매칭테이블!$F:$I,2,0)*K5741</f>
        <v/>
      </c>
      <c r="N5741" s="94">
        <f>M5741-M5741*VLOOKUP($Q5741,매칭테이블!$F:$I,3,0)</f>
        <v/>
      </c>
      <c r="O5741" s="94">
        <f>VLOOKUP($Q5741,매칭테이블!$F:$I,4,0)*K5741</f>
        <v/>
      </c>
      <c r="P5741" s="148">
        <f>M5741/1.1</f>
        <v/>
      </c>
      <c r="Q5741" s="94">
        <f>F5741&amp;E5741&amp;G5741&amp;L5741</f>
        <v/>
      </c>
    </row>
    <row r="5742">
      <c r="A5742" s="94" t="n"/>
      <c r="B5742" s="128" t="n">
        <v>43942</v>
      </c>
      <c r="C5742" s="94">
        <f>TEXT(B5742,"aaa")</f>
        <v/>
      </c>
      <c r="D5742" s="94" t="n"/>
      <c r="E5742" s="6" t="inlineStr">
        <is>
          <t>토너</t>
        </is>
      </c>
      <c r="F5742" s="94" t="inlineStr">
        <is>
          <t>큐텐</t>
        </is>
      </c>
      <c r="G5742" s="5" t="inlineStr">
        <is>
          <t>250ml</t>
        </is>
      </c>
      <c r="H5742" s="7" t="n">
        <v>190801</v>
      </c>
      <c r="I5742" s="7" t="n">
        <v>190801</v>
      </c>
      <c r="J5742" s="94" t="n"/>
      <c r="K5742" s="6" t="n">
        <v>22</v>
      </c>
      <c r="L5742" s="94" t="n">
        <v>190801</v>
      </c>
      <c r="M5742" s="94">
        <f>VLOOKUP($Q5742,매칭테이블!$F:$I,2,0)*K5742</f>
        <v/>
      </c>
      <c r="N5742" s="94">
        <f>M5742-M5742*VLOOKUP($Q5742,매칭테이블!$F:$I,3,0)</f>
        <v/>
      </c>
      <c r="O5742" s="94">
        <f>VLOOKUP($Q5742,매칭테이블!$F:$I,4,0)*K5742</f>
        <v/>
      </c>
      <c r="P5742" s="148">
        <f>M5742/1.1</f>
        <v/>
      </c>
      <c r="Q5742" s="94">
        <f>F5742&amp;E5742&amp;G5742&amp;L5742</f>
        <v/>
      </c>
    </row>
    <row r="5743">
      <c r="A5743" s="94" t="n"/>
      <c r="B5743" s="128" t="n">
        <v>43942</v>
      </c>
      <c r="C5743" s="94">
        <f>TEXT(B5743,"aaa")</f>
        <v/>
      </c>
      <c r="D5743" s="94" t="n"/>
      <c r="E5743" s="6" t="inlineStr">
        <is>
          <t>토너</t>
        </is>
      </c>
      <c r="F5743" s="94" t="inlineStr">
        <is>
          <t>큐텐</t>
        </is>
      </c>
      <c r="G5743" s="5" t="inlineStr">
        <is>
          <t>250ml 2set</t>
        </is>
      </c>
      <c r="H5743" s="7" t="n">
        <v>190801</v>
      </c>
      <c r="I5743" s="7" t="n">
        <v>190801</v>
      </c>
      <c r="J5743" s="94" t="n"/>
      <c r="K5743" s="6" t="n">
        <v>7</v>
      </c>
      <c r="L5743" s="94" t="n">
        <v>190801</v>
      </c>
      <c r="M5743" s="94">
        <f>VLOOKUP($Q5743,매칭테이블!$F:$I,2,0)*K5743</f>
        <v/>
      </c>
      <c r="N5743" s="94">
        <f>M5743-M5743*VLOOKUP($Q5743,매칭테이블!$F:$I,3,0)</f>
        <v/>
      </c>
      <c r="O5743" s="94">
        <f>VLOOKUP($Q5743,매칭테이블!$F:$I,4,0)*K5743</f>
        <v/>
      </c>
      <c r="P5743" s="148">
        <f>M5743/1.1</f>
        <v/>
      </c>
      <c r="Q5743" s="94">
        <f>F5743&amp;E5743&amp;G5743&amp;L5743</f>
        <v/>
      </c>
    </row>
    <row r="5744">
      <c r="A5744" s="94" t="n"/>
      <c r="B5744" s="128" t="n">
        <v>43942</v>
      </c>
      <c r="C5744" s="94">
        <f>TEXT(B5744,"aaa")</f>
        <v/>
      </c>
      <c r="D5744" s="94" t="n"/>
      <c r="E5744" s="94" t="inlineStr">
        <is>
          <t>앰플</t>
        </is>
      </c>
      <c r="F5744" s="94" t="inlineStr">
        <is>
          <t>큐텐</t>
        </is>
      </c>
      <c r="G5744" s="94" t="inlineStr">
        <is>
          <t>앰플 30ml</t>
        </is>
      </c>
      <c r="H5744" s="7" t="n">
        <v>190801</v>
      </c>
      <c r="I5744" s="7" t="n">
        <v>190801</v>
      </c>
      <c r="J5744" s="94" t="n"/>
      <c r="K5744" s="6" t="n">
        <v>1</v>
      </c>
      <c r="L5744" s="94" t="n">
        <v>190801</v>
      </c>
      <c r="M5744" s="94">
        <f>VLOOKUP($Q5744,매칭테이블!$F:$I,2,0)*K5744</f>
        <v/>
      </c>
      <c r="N5744" s="94">
        <f>M5744-M5744*VLOOKUP($Q5744,매칭테이블!$F:$I,3,0)</f>
        <v/>
      </c>
      <c r="O5744" s="94">
        <f>VLOOKUP($Q5744,매칭테이블!$F:$I,4,0)*K5744</f>
        <v/>
      </c>
      <c r="P5744" s="148">
        <f>M5744/1.1</f>
        <v/>
      </c>
      <c r="Q5744" s="94">
        <f>F5744&amp;E5744&amp;G5744&amp;L5744</f>
        <v/>
      </c>
    </row>
    <row r="5745">
      <c r="A5745" s="94" t="n"/>
      <c r="B5745" s="128" t="n">
        <v>43942</v>
      </c>
      <c r="C5745" s="94">
        <f>TEXT(B5745,"aaa")</f>
        <v/>
      </c>
      <c r="D5745" s="94" t="n"/>
      <c r="E5745" s="94" t="inlineStr">
        <is>
          <t>머드크림마스크</t>
        </is>
      </c>
      <c r="F5745" s="94" t="inlineStr">
        <is>
          <t>큐텐</t>
        </is>
      </c>
      <c r="G5745" s="94" t="inlineStr">
        <is>
          <t>머드크림마스크 100ml</t>
        </is>
      </c>
      <c r="H5745" s="7" t="n">
        <v>190801</v>
      </c>
      <c r="I5745" s="7" t="n">
        <v>190801</v>
      </c>
      <c r="J5745" s="94" t="n"/>
      <c r="K5745" s="6" t="n">
        <v>1</v>
      </c>
      <c r="L5745" s="94" t="n">
        <v>190801</v>
      </c>
      <c r="M5745" s="94">
        <f>VLOOKUP($Q5745,매칭테이블!$F:$I,2,0)*K5745</f>
        <v/>
      </c>
      <c r="N5745" s="94">
        <f>M5745-M5745*VLOOKUP($Q5745,매칭테이블!$F:$I,3,0)</f>
        <v/>
      </c>
      <c r="O5745" s="94">
        <f>VLOOKUP($Q5745,매칭테이블!$F:$I,4,0)*K5745</f>
        <v/>
      </c>
      <c r="P5745" s="148">
        <f>M5745/1.1</f>
        <v/>
      </c>
      <c r="Q5745" s="94">
        <f>F5745&amp;E5745&amp;G5745&amp;L5745</f>
        <v/>
      </c>
    </row>
    <row r="5746">
      <c r="A5746" s="94" t="n"/>
      <c r="B5746" s="128" t="n">
        <v>43942</v>
      </c>
      <c r="C5746" s="94">
        <f>TEXT(B5746,"aaa")</f>
        <v/>
      </c>
      <c r="D5746" s="94" t="n"/>
      <c r="E5746" s="94" t="inlineStr">
        <is>
          <t>마스크팩</t>
        </is>
      </c>
      <c r="F5746" s="94" t="inlineStr">
        <is>
          <t>큐텐</t>
        </is>
      </c>
      <c r="G5746" s="94" t="inlineStr">
        <is>
          <t>마스크팩 10매</t>
        </is>
      </c>
      <c r="H5746" s="7" t="n">
        <v>190801</v>
      </c>
      <c r="I5746" s="7" t="n">
        <v>190801</v>
      </c>
      <c r="J5746" s="94" t="n"/>
      <c r="K5746" s="6" t="n">
        <v>1</v>
      </c>
      <c r="L5746" s="94" t="n">
        <v>190801</v>
      </c>
      <c r="M5746" s="94">
        <f>VLOOKUP($Q5746,매칭테이블!$F:$I,2,0)*K5746</f>
        <v/>
      </c>
      <c r="N5746" s="94">
        <f>M5746-M5746*VLOOKUP($Q5746,매칭테이블!$F:$I,3,0)</f>
        <v/>
      </c>
      <c r="O5746" s="94">
        <f>VLOOKUP($Q5746,매칭테이블!$F:$I,4,0)*K5746</f>
        <v/>
      </c>
      <c r="P5746" s="148">
        <f>M5746/1.1</f>
        <v/>
      </c>
      <c r="Q5746" s="94">
        <f>F5746&amp;E5746&amp;G5746&amp;L5746</f>
        <v/>
      </c>
    </row>
    <row r="5747">
      <c r="A5747" s="94" t="n"/>
      <c r="B5747" s="128" t="n">
        <v>43943</v>
      </c>
      <c r="C5747" s="94">
        <f>TEXT(B5747,"aaa")</f>
        <v/>
      </c>
      <c r="D5747" s="94" t="n"/>
      <c r="E5747" s="6" t="inlineStr">
        <is>
          <t>토너</t>
        </is>
      </c>
      <c r="F5747" s="5" t="inlineStr">
        <is>
          <t>W컨셉</t>
        </is>
      </c>
      <c r="G5747" s="5" t="inlineStr">
        <is>
          <t>250ml 2set</t>
        </is>
      </c>
      <c r="H5747" s="7" t="n">
        <v>190801</v>
      </c>
      <c r="I5747" s="7" t="n">
        <v>190801</v>
      </c>
      <c r="J5747" s="94" t="n"/>
      <c r="K5747" s="6" t="n">
        <v>3</v>
      </c>
      <c r="L5747" s="7" t="n">
        <v>190801</v>
      </c>
      <c r="M5747" s="94">
        <f>VLOOKUP($Q5747,매칭테이블!$F:$I,2,0)*K5747</f>
        <v/>
      </c>
      <c r="N5747" s="94">
        <f>M5747-M5747*VLOOKUP($Q5747,매칭테이블!$F:$I,3,0)</f>
        <v/>
      </c>
      <c r="O5747" s="94">
        <f>VLOOKUP($Q5747,매칭테이블!$F:$I,4,0)*K5747</f>
        <v/>
      </c>
      <c r="P5747" s="148">
        <f>M5747/1.1</f>
        <v/>
      </c>
      <c r="Q5747" s="94">
        <f>F5747&amp;E5747&amp;G5747&amp;L5747</f>
        <v/>
      </c>
    </row>
    <row r="5748">
      <c r="A5748" s="94" t="n"/>
      <c r="B5748" s="128" t="n">
        <v>43943</v>
      </c>
      <c r="C5748" s="94">
        <f>TEXT(B5748,"aaa")</f>
        <v/>
      </c>
      <c r="D5748" s="94" t="n"/>
      <c r="E5748" s="94" t="inlineStr">
        <is>
          <t>토너</t>
        </is>
      </c>
      <c r="F5748" s="5" t="inlineStr">
        <is>
          <t>스타일쉐어</t>
        </is>
      </c>
      <c r="G5748" s="94" t="inlineStr">
        <is>
          <t>250ml</t>
        </is>
      </c>
      <c r="H5748" s="7" t="n">
        <v>190801</v>
      </c>
      <c r="I5748" s="7" t="n">
        <v>190801</v>
      </c>
      <c r="J5748" s="94" t="n"/>
      <c r="K5748" s="6" t="n">
        <v>3</v>
      </c>
      <c r="L5748" s="7" t="n">
        <v>190801</v>
      </c>
      <c r="M5748" s="94">
        <f>VLOOKUP($Q5748,매칭테이블!$F:$I,2,0)*K5748</f>
        <v/>
      </c>
      <c r="N5748" s="94">
        <f>M5748-M5748*VLOOKUP($Q5748,매칭테이블!$F:$I,3,0)</f>
        <v/>
      </c>
      <c r="O5748" s="94">
        <f>VLOOKUP($Q5748,매칭테이블!$F:$I,4,0)*K5748</f>
        <v/>
      </c>
      <c r="P5748" s="148">
        <f>M5748/1.1</f>
        <v/>
      </c>
      <c r="Q5748" s="94">
        <f>F5748&amp;E5748&amp;G5748&amp;L5748</f>
        <v/>
      </c>
    </row>
    <row r="5749">
      <c r="A5749" s="94" t="n"/>
      <c r="B5749" s="128" t="n">
        <v>43943</v>
      </c>
      <c r="C5749" s="94">
        <f>TEXT(B5749,"aaa")</f>
        <v/>
      </c>
      <c r="D5749" s="94" t="n"/>
      <c r="E5749" s="94" t="inlineStr">
        <is>
          <t>토너</t>
        </is>
      </c>
      <c r="F5749" s="94" t="inlineStr">
        <is>
          <t>글로우데이즈 시코르</t>
        </is>
      </c>
      <c r="G5749" s="94" t="inlineStr">
        <is>
          <t>250ml</t>
        </is>
      </c>
      <c r="H5749" s="7" t="n">
        <v>190801</v>
      </c>
      <c r="I5749" s="7" t="n">
        <v>190801</v>
      </c>
      <c r="J5749" s="94" t="n"/>
      <c r="K5749" s="6" t="n">
        <v>200</v>
      </c>
      <c r="L5749" s="92" t="n">
        <v>190801</v>
      </c>
      <c r="M5749" s="94">
        <f>VLOOKUP($Q5749,매칭테이블!$F:$I,2,0)*K5749</f>
        <v/>
      </c>
      <c r="N5749" s="94">
        <f>M5749-M5749*VLOOKUP($Q5749,매칭테이블!$F:$I,3,0)</f>
        <v/>
      </c>
      <c r="O5749" s="94">
        <f>VLOOKUP($Q5749,매칭테이블!$F:$I,4,0)*K5749</f>
        <v/>
      </c>
      <c r="P5749" s="148">
        <f>M5749/1.1</f>
        <v/>
      </c>
      <c r="Q5749" s="94">
        <f>F5749&amp;E5749&amp;G5749&amp;L5749</f>
        <v/>
      </c>
    </row>
    <row r="5750">
      <c r="A5750" s="94" t="n"/>
      <c r="B5750" s="128" t="n">
        <v>43943</v>
      </c>
      <c r="C5750" s="94">
        <f>TEXT(B5750,"aaa")</f>
        <v/>
      </c>
      <c r="D5750" s="94" t="n"/>
      <c r="E5750" s="94" t="inlineStr">
        <is>
          <t>마스크팩</t>
        </is>
      </c>
      <c r="F5750" s="94" t="inlineStr">
        <is>
          <t>글로우데이즈 시코르</t>
        </is>
      </c>
      <c r="G5750" s="94" t="inlineStr">
        <is>
          <t>마스크팩 10매</t>
        </is>
      </c>
      <c r="H5750" s="7" t="n">
        <v>190801</v>
      </c>
      <c r="I5750" s="7" t="n">
        <v>190801</v>
      </c>
      <c r="J5750" s="94" t="n"/>
      <c r="K5750" s="6" t="n">
        <v>50</v>
      </c>
      <c r="L5750" s="94" t="n">
        <v>190801</v>
      </c>
      <c r="M5750" s="94">
        <f>VLOOKUP($Q5750,매칭테이블!$F:$I,2,0)*K5750</f>
        <v/>
      </c>
      <c r="N5750" s="94">
        <f>M5750-M5750*VLOOKUP($Q5750,매칭테이블!$F:$I,3,0)</f>
        <v/>
      </c>
      <c r="O5750" s="94">
        <f>VLOOKUP($Q5750,매칭테이블!$F:$I,4,0)*K5750</f>
        <v/>
      </c>
      <c r="P5750" s="148">
        <f>M5750/1.1</f>
        <v/>
      </c>
      <c r="Q5750" s="94">
        <f>F5750&amp;E5750&amp;G5750&amp;L5750</f>
        <v/>
      </c>
    </row>
    <row r="5751">
      <c r="A5751" s="94" t="n"/>
      <c r="B5751" s="128" t="n">
        <v>43943</v>
      </c>
      <c r="C5751" s="94">
        <f>TEXT(B5751,"aaa")</f>
        <v/>
      </c>
      <c r="D5751" s="94" t="n"/>
      <c r="E5751" s="94" t="inlineStr">
        <is>
          <t>머드크림마스크</t>
        </is>
      </c>
      <c r="F5751" s="94" t="inlineStr">
        <is>
          <t>카페24</t>
        </is>
      </c>
      <c r="G5751" s="94" t="inlineStr">
        <is>
          <t>머드크림마스크 100ml</t>
        </is>
      </c>
      <c r="H5751" s="7" t="n">
        <v>190801</v>
      </c>
      <c r="I5751" s="7" t="n">
        <v>190801</v>
      </c>
      <c r="J5751" s="94" t="n"/>
      <c r="K5751" s="6" t="n">
        <v>6</v>
      </c>
      <c r="L5751" s="94" t="n">
        <v>190801</v>
      </c>
      <c r="M5751" s="94">
        <f>VLOOKUP($Q5751,매칭테이블!$F:$I,2,0)*K5751</f>
        <v/>
      </c>
      <c r="N5751" s="94">
        <f>M5751-M5751*VLOOKUP($Q5751,매칭테이블!$F:$I,3,0)</f>
        <v/>
      </c>
      <c r="O5751" s="94">
        <f>VLOOKUP($Q5751,매칭테이블!$F:$I,4,0)*K5751</f>
        <v/>
      </c>
      <c r="P5751" s="148">
        <f>M5751/1.1</f>
        <v/>
      </c>
      <c r="Q5751" s="94">
        <f>F5751&amp;E5751&amp;G5751&amp;L5751</f>
        <v/>
      </c>
    </row>
    <row r="5752">
      <c r="A5752" s="94" t="n"/>
      <c r="B5752" s="128" t="n">
        <v>43943</v>
      </c>
      <c r="C5752" s="94">
        <f>TEXT(B5752,"aaa")</f>
        <v/>
      </c>
      <c r="D5752" s="94" t="n"/>
      <c r="E5752" s="94" t="inlineStr">
        <is>
          <t>머드크림마스크</t>
        </is>
      </c>
      <c r="F5752" s="94" t="inlineStr">
        <is>
          <t>카페24</t>
        </is>
      </c>
      <c r="G5752" s="94" t="inlineStr">
        <is>
          <t>머드크림마스크 100ml 2set</t>
        </is>
      </c>
      <c r="H5752" s="7" t="n">
        <v>190801</v>
      </c>
      <c r="I5752" s="7" t="n">
        <v>190801</v>
      </c>
      <c r="J5752" s="94" t="n"/>
      <c r="K5752" s="6" t="n">
        <v>1</v>
      </c>
      <c r="L5752" s="94" t="n">
        <v>190801</v>
      </c>
      <c r="M5752" s="94">
        <f>VLOOKUP($Q5752,매칭테이블!$F:$I,2,0)*K5752</f>
        <v/>
      </c>
      <c r="N5752" s="94">
        <f>M5752-M5752*VLOOKUP($Q5752,매칭테이블!$F:$I,3,0)</f>
        <v/>
      </c>
      <c r="O5752" s="94">
        <f>VLOOKUP($Q5752,매칭테이블!$F:$I,4,0)*K5752</f>
        <v/>
      </c>
      <c r="P5752" s="148">
        <f>M5752/1.1</f>
        <v/>
      </c>
      <c r="Q5752" s="94">
        <f>F5752&amp;E5752&amp;G5752&amp;L5752</f>
        <v/>
      </c>
    </row>
    <row r="5753">
      <c r="A5753" s="94" t="n"/>
      <c r="B5753" s="128" t="n">
        <v>43943</v>
      </c>
      <c r="C5753" s="94">
        <f>TEXT(B5753,"aaa")</f>
        <v/>
      </c>
      <c r="D5753" s="94" t="n"/>
      <c r="E5753" s="94" t="inlineStr">
        <is>
          <t>마스크팩</t>
        </is>
      </c>
      <c r="F5753" s="94" t="inlineStr">
        <is>
          <t>카페24</t>
        </is>
      </c>
      <c r="G5753" s="94" t="inlineStr">
        <is>
          <t>마스크팩 1매</t>
        </is>
      </c>
      <c r="H5753" s="7" t="n">
        <v>190801</v>
      </c>
      <c r="I5753" s="7" t="n">
        <v>190801</v>
      </c>
      <c r="J5753" s="94" t="n"/>
      <c r="K5753" s="6" t="n">
        <v>4</v>
      </c>
      <c r="L5753" s="94" t="n">
        <v>190801</v>
      </c>
      <c r="M5753" s="94">
        <f>VLOOKUP($Q5753,매칭테이블!$F:$I,2,0)*K5753</f>
        <v/>
      </c>
      <c r="N5753" s="94">
        <f>M5753-M5753*VLOOKUP($Q5753,매칭테이블!$F:$I,3,0)</f>
        <v/>
      </c>
      <c r="O5753" s="94">
        <f>VLOOKUP($Q5753,매칭테이블!$F:$I,4,0)*K5753</f>
        <v/>
      </c>
      <c r="P5753" s="148">
        <f>M5753/1.1</f>
        <v/>
      </c>
      <c r="Q5753" s="94">
        <f>F5753&amp;E5753&amp;G5753&amp;L5753</f>
        <v/>
      </c>
    </row>
    <row r="5754">
      <c r="A5754" s="94" t="n"/>
      <c r="B5754" s="128" t="n">
        <v>43943</v>
      </c>
      <c r="C5754" s="94">
        <f>TEXT(B5754,"aaa")</f>
        <v/>
      </c>
      <c r="D5754" s="94" t="n"/>
      <c r="E5754" s="94" t="inlineStr">
        <is>
          <t>마스크팩</t>
        </is>
      </c>
      <c r="F5754" s="94" t="inlineStr">
        <is>
          <t>카페24</t>
        </is>
      </c>
      <c r="G5754" s="94" t="inlineStr">
        <is>
          <t>마스크팩 10매</t>
        </is>
      </c>
      <c r="H5754" s="7" t="n">
        <v>190801</v>
      </c>
      <c r="I5754" s="7" t="n">
        <v>190801</v>
      </c>
      <c r="J5754" s="94" t="n"/>
      <c r="K5754" s="6" t="n">
        <v>1</v>
      </c>
      <c r="L5754" s="94" t="n">
        <v>190801</v>
      </c>
      <c r="M5754" s="94">
        <f>VLOOKUP($Q5754,매칭테이블!$F:$I,2,0)*K5754</f>
        <v/>
      </c>
      <c r="N5754" s="94">
        <f>M5754-M5754*VLOOKUP($Q5754,매칭테이블!$F:$I,3,0)</f>
        <v/>
      </c>
      <c r="O5754" s="94">
        <f>VLOOKUP($Q5754,매칭테이블!$F:$I,4,0)*K5754</f>
        <v/>
      </c>
      <c r="P5754" s="148">
        <f>M5754/1.1</f>
        <v/>
      </c>
      <c r="Q5754" s="94">
        <f>F5754&amp;E5754&amp;G5754&amp;L5754</f>
        <v/>
      </c>
    </row>
    <row r="5755">
      <c r="A5755" s="94" t="n"/>
      <c r="B5755" s="128" t="n">
        <v>43943</v>
      </c>
      <c r="C5755" s="94">
        <f>TEXT(B5755,"aaa")</f>
        <v/>
      </c>
      <c r="D5755" s="94" t="n"/>
      <c r="E5755" s="6" t="inlineStr">
        <is>
          <t>토너</t>
        </is>
      </c>
      <c r="F5755" s="5" t="inlineStr">
        <is>
          <t>카페24</t>
        </is>
      </c>
      <c r="G5755" s="5" t="inlineStr">
        <is>
          <t>250ml</t>
        </is>
      </c>
      <c r="H5755" s="7" t="n">
        <v>190801</v>
      </c>
      <c r="I5755" s="7" t="n">
        <v>190801</v>
      </c>
      <c r="J5755" s="94" t="n"/>
      <c r="K5755" s="6" t="n">
        <v>47</v>
      </c>
      <c r="L5755" s="7" t="n">
        <v>190801</v>
      </c>
      <c r="M5755" s="94">
        <f>VLOOKUP($Q5755,매칭테이블!$F:$I,2,0)*K5755</f>
        <v/>
      </c>
      <c r="N5755" s="94">
        <f>M5755-M5755*VLOOKUP($Q5755,매칭테이블!$F:$I,3,0)</f>
        <v/>
      </c>
      <c r="O5755" s="94">
        <f>VLOOKUP($Q5755,매칭테이블!$F:$I,4,0)*K5755</f>
        <v/>
      </c>
      <c r="P5755" s="148">
        <f>M5755/1.1</f>
        <v/>
      </c>
      <c r="Q5755" s="94">
        <f>F5755&amp;E5755&amp;G5755&amp;L5755</f>
        <v/>
      </c>
    </row>
    <row r="5756">
      <c r="A5756" s="94" t="n"/>
      <c r="B5756" s="128" t="n">
        <v>43943</v>
      </c>
      <c r="C5756" s="94">
        <f>TEXT(B5756,"aaa")</f>
        <v/>
      </c>
      <c r="D5756" s="94" t="n"/>
      <c r="E5756" s="6" t="inlineStr">
        <is>
          <t>토너</t>
        </is>
      </c>
      <c r="F5756" s="5" t="inlineStr">
        <is>
          <t>카페24</t>
        </is>
      </c>
      <c r="G5756" s="5" t="inlineStr">
        <is>
          <t>250ml 2set</t>
        </is>
      </c>
      <c r="H5756" s="7" t="n">
        <v>190801</v>
      </c>
      <c r="I5756" s="7" t="n">
        <v>190801</v>
      </c>
      <c r="J5756" s="94" t="n"/>
      <c r="K5756" s="6" t="n">
        <v>30</v>
      </c>
      <c r="L5756" s="7" t="n">
        <v>190801</v>
      </c>
      <c r="M5756" s="94">
        <f>VLOOKUP($Q5756,매칭테이블!$F:$I,2,0)*K5756</f>
        <v/>
      </c>
      <c r="N5756" s="94">
        <f>M5756-M5756*VLOOKUP($Q5756,매칭테이블!$F:$I,3,0)</f>
        <v/>
      </c>
      <c r="O5756" s="94">
        <f>VLOOKUP($Q5756,매칭테이블!$F:$I,4,0)*K5756</f>
        <v/>
      </c>
      <c r="P5756" s="148">
        <f>M5756/1.1</f>
        <v/>
      </c>
      <c r="Q5756" s="94">
        <f>F5756&amp;E5756&amp;G5756&amp;L5756</f>
        <v/>
      </c>
    </row>
    <row r="5757">
      <c r="A5757" s="94" t="n"/>
      <c r="B5757" s="128" t="n">
        <v>43943</v>
      </c>
      <c r="C5757" s="94">
        <f>TEXT(B5757,"aaa")</f>
        <v/>
      </c>
      <c r="D5757" s="94" t="n"/>
      <c r="E5757" s="6" t="inlineStr">
        <is>
          <t>토너</t>
        </is>
      </c>
      <c r="F5757" s="5" t="inlineStr">
        <is>
          <t>카페24</t>
        </is>
      </c>
      <c r="G5757" s="5" t="inlineStr">
        <is>
          <t>500ml</t>
        </is>
      </c>
      <c r="H5757" s="7" t="n">
        <v>190801</v>
      </c>
      <c r="I5757" s="7" t="n">
        <v>190801</v>
      </c>
      <c r="J5757" s="94" t="n"/>
      <c r="K5757" s="6" t="n">
        <v>43</v>
      </c>
      <c r="L5757" s="7" t="n">
        <v>190801</v>
      </c>
      <c r="M5757" s="94">
        <f>VLOOKUP($Q5757,매칭테이블!$F:$I,2,0)*K5757</f>
        <v/>
      </c>
      <c r="N5757" s="94">
        <f>M5757-M5757*VLOOKUP($Q5757,매칭테이블!$F:$I,3,0)</f>
        <v/>
      </c>
      <c r="O5757" s="94">
        <f>VLOOKUP($Q5757,매칭테이블!$F:$I,4,0)*K5757</f>
        <v/>
      </c>
      <c r="P5757" s="148">
        <f>M5757/1.1</f>
        <v/>
      </c>
      <c r="Q5757" s="94">
        <f>F5757&amp;E5757&amp;G5757&amp;L5757</f>
        <v/>
      </c>
    </row>
    <row r="5758">
      <c r="A5758" s="94" t="n"/>
      <c r="B5758" s="128" t="n">
        <v>43943</v>
      </c>
      <c r="C5758" s="94">
        <f>TEXT(B5758,"aaa")</f>
        <v/>
      </c>
      <c r="D5758" s="94" t="n"/>
      <c r="E5758" s="6" t="inlineStr">
        <is>
          <t>토너</t>
        </is>
      </c>
      <c r="F5758" s="5" t="inlineStr">
        <is>
          <t>카페24</t>
        </is>
      </c>
      <c r="G5758" s="94" t="inlineStr">
        <is>
          <t>스킨팩 화장솜 60P</t>
        </is>
      </c>
      <c r="H5758" s="7" t="n">
        <v>190801</v>
      </c>
      <c r="I5758" s="7" t="n">
        <v>190801</v>
      </c>
      <c r="J5758" s="94" t="n"/>
      <c r="K5758" s="6" t="n">
        <v>63</v>
      </c>
      <c r="L5758" s="7" t="n">
        <v>190801</v>
      </c>
      <c r="M5758" s="94">
        <f>VLOOKUP($Q5758,매칭테이블!$F:$I,2,0)*K5758</f>
        <v/>
      </c>
      <c r="N5758" s="94">
        <f>M5758-M5758*VLOOKUP($Q5758,매칭테이블!$F:$I,3,0)</f>
        <v/>
      </c>
      <c r="O5758" s="94">
        <f>VLOOKUP($Q5758,매칭테이블!$F:$I,4,0)*K5758</f>
        <v/>
      </c>
      <c r="P5758" s="148">
        <f>M5758/1.1</f>
        <v/>
      </c>
      <c r="Q5758" s="94">
        <f>F5758&amp;E5758&amp;G5758&amp;L5758</f>
        <v/>
      </c>
    </row>
    <row r="5759">
      <c r="A5759" s="94" t="n"/>
      <c r="B5759" s="128" t="n">
        <v>43943</v>
      </c>
      <c r="C5759" s="94">
        <f>TEXT(B5759,"aaa")</f>
        <v/>
      </c>
      <c r="D5759" s="94" t="n"/>
      <c r="E5759" s="94" t="inlineStr">
        <is>
          <t>앰플</t>
        </is>
      </c>
      <c r="F5759" s="5" t="inlineStr">
        <is>
          <t>카페24</t>
        </is>
      </c>
      <c r="G5759" s="94" t="inlineStr">
        <is>
          <t>앰플 30ml</t>
        </is>
      </c>
      <c r="H5759" s="7" t="n">
        <v>190801</v>
      </c>
      <c r="I5759" s="7" t="n">
        <v>190801</v>
      </c>
      <c r="J5759" s="94" t="n"/>
      <c r="K5759" s="6" t="n">
        <v>16</v>
      </c>
      <c r="L5759" s="94" t="n">
        <v>190801</v>
      </c>
      <c r="M5759" s="94">
        <f>VLOOKUP($Q5759,매칭테이블!$F:$I,2,0)*K5759</f>
        <v/>
      </c>
      <c r="N5759" s="94">
        <f>M5759-M5759*VLOOKUP($Q5759,매칭테이블!$F:$I,3,0)</f>
        <v/>
      </c>
      <c r="O5759" s="94">
        <f>VLOOKUP($Q5759,매칭테이블!$F:$I,4,0)*K5759</f>
        <v/>
      </c>
      <c r="P5759" s="148">
        <f>M5759/1.1</f>
        <v/>
      </c>
      <c r="Q5759" s="94">
        <f>F5759&amp;E5759&amp;G5759&amp;L5759</f>
        <v/>
      </c>
    </row>
    <row r="5760">
      <c r="A5760" s="94" t="n"/>
      <c r="B5760" s="128" t="n">
        <v>43943</v>
      </c>
      <c r="C5760" s="94">
        <f>TEXT(B5760,"aaa")</f>
        <v/>
      </c>
      <c r="D5760" s="94" t="n"/>
      <c r="E5760" s="94" t="inlineStr">
        <is>
          <t>수딩크림</t>
        </is>
      </c>
      <c r="F5760" s="5" t="inlineStr">
        <is>
          <t>카페24</t>
        </is>
      </c>
      <c r="G5760" s="94" t="inlineStr">
        <is>
          <t>수딩크림 100ml</t>
        </is>
      </c>
      <c r="H5760" s="7" t="n">
        <v>190801</v>
      </c>
      <c r="I5760" s="7" t="n">
        <v>190801</v>
      </c>
      <c r="J5760" s="94" t="n"/>
      <c r="K5760" s="6" t="n">
        <v>7</v>
      </c>
      <c r="L5760" s="94" t="n">
        <v>190801</v>
      </c>
      <c r="M5760" s="94">
        <f>VLOOKUP($Q5760,매칭테이블!$F:$I,2,0)*K5760</f>
        <v/>
      </c>
      <c r="N5760" s="94">
        <f>M5760-M5760*VLOOKUP($Q5760,매칭테이블!$F:$I,3,0)</f>
        <v/>
      </c>
      <c r="O5760" s="94">
        <f>VLOOKUP($Q5760,매칭테이블!$F:$I,4,0)*K5760</f>
        <v/>
      </c>
      <c r="P5760" s="148">
        <f>M5760/1.1</f>
        <v/>
      </c>
      <c r="Q5760" s="94">
        <f>F5760&amp;E5760&amp;G5760&amp;L5760</f>
        <v/>
      </c>
    </row>
    <row r="5761">
      <c r="A5761" s="94" t="n"/>
      <c r="B5761" s="128" t="n">
        <v>43943</v>
      </c>
      <c r="C5761" s="94">
        <f>TEXT(B5761,"aaa")</f>
        <v/>
      </c>
      <c r="D5761" s="94" t="n"/>
      <c r="E5761" s="94" t="inlineStr">
        <is>
          <t>토너+머드크림세트</t>
        </is>
      </c>
      <c r="F5761" s="94" t="inlineStr">
        <is>
          <t>카페24</t>
        </is>
      </c>
      <c r="G5761" s="94" t="inlineStr">
        <is>
          <t>250ml</t>
        </is>
      </c>
      <c r="H5761" s="7" t="n">
        <v>190801</v>
      </c>
      <c r="I5761" s="7" t="n">
        <v>190801</v>
      </c>
      <c r="J5761" s="94" t="n"/>
      <c r="K5761" s="6" t="n">
        <v>3</v>
      </c>
      <c r="L5761" s="94" t="n">
        <v>190801</v>
      </c>
      <c r="M5761" s="94">
        <f>VLOOKUP($Q5761,매칭테이블!$F:$I,2,0)*K5761</f>
        <v/>
      </c>
      <c r="N5761" s="94">
        <f>M5761-M5761*VLOOKUP($Q5761,매칭테이블!$F:$I,3,0)</f>
        <v/>
      </c>
      <c r="O5761" s="94">
        <f>VLOOKUP($Q5761,매칭테이블!$F:$I,4,0)*K5761</f>
        <v/>
      </c>
      <c r="P5761" s="148">
        <f>M5761/1.1</f>
        <v/>
      </c>
      <c r="Q5761" s="94">
        <f>F5761&amp;E5761&amp;G5761&amp;L5761</f>
        <v/>
      </c>
    </row>
    <row r="5762">
      <c r="A5762" s="94" t="n"/>
      <c r="B5762" s="128" t="n">
        <v>43943</v>
      </c>
      <c r="C5762" s="94">
        <f>TEXT(B5762,"aaa")</f>
        <v/>
      </c>
      <c r="D5762" s="94" t="n"/>
      <c r="E5762" s="94" t="inlineStr">
        <is>
          <t>토너+머드크림세트</t>
        </is>
      </c>
      <c r="F5762" s="94" t="inlineStr">
        <is>
          <t>카페24</t>
        </is>
      </c>
      <c r="G5762" s="94" t="inlineStr">
        <is>
          <t>머드크림마스크 100ml</t>
        </is>
      </c>
      <c r="H5762" s="7" t="n">
        <v>190801</v>
      </c>
      <c r="I5762" s="7" t="n">
        <v>190801</v>
      </c>
      <c r="J5762" s="94" t="n"/>
      <c r="K5762" s="6" t="n">
        <v>3</v>
      </c>
      <c r="L5762" s="94" t="n">
        <v>190801</v>
      </c>
      <c r="M5762" s="94">
        <f>VLOOKUP($Q5762,매칭테이블!$F:$I,2,0)*K5762</f>
        <v/>
      </c>
      <c r="N5762" s="94">
        <f>M5762-M5762*VLOOKUP($Q5762,매칭테이블!$F:$I,3,0)</f>
        <v/>
      </c>
      <c r="O5762" s="94">
        <f>VLOOKUP($Q5762,매칭테이블!$F:$I,4,0)*K5762</f>
        <v/>
      </c>
      <c r="P5762" s="148">
        <f>M5762/1.1</f>
        <v/>
      </c>
      <c r="Q5762" s="94">
        <f>F5762&amp;E5762&amp;G5762&amp;L5762</f>
        <v/>
      </c>
    </row>
    <row r="5763">
      <c r="A5763" s="94" t="n"/>
      <c r="B5763" s="128" t="n">
        <v>43943</v>
      </c>
      <c r="C5763" s="94">
        <f>TEXT(B5763,"aaa")</f>
        <v/>
      </c>
      <c r="D5763" s="94" t="n"/>
      <c r="E5763" s="6" t="inlineStr">
        <is>
          <t>토너</t>
        </is>
      </c>
      <c r="F5763" s="94" t="inlineStr">
        <is>
          <t>큐텐</t>
        </is>
      </c>
      <c r="G5763" s="5" t="inlineStr">
        <is>
          <t>250ml</t>
        </is>
      </c>
      <c r="H5763" s="7" t="n">
        <v>190801</v>
      </c>
      <c r="I5763" s="7" t="n">
        <v>190801</v>
      </c>
      <c r="J5763" s="94" t="n"/>
      <c r="K5763" s="6" t="n">
        <v>10</v>
      </c>
      <c r="L5763" s="94" t="n">
        <v>190801</v>
      </c>
      <c r="M5763" s="94">
        <f>VLOOKUP($Q5763,매칭테이블!$F:$I,2,0)*K5763</f>
        <v/>
      </c>
      <c r="N5763" s="94">
        <f>M5763-M5763*VLOOKUP($Q5763,매칭테이블!$F:$I,3,0)</f>
        <v/>
      </c>
      <c r="O5763" s="94">
        <f>VLOOKUP($Q5763,매칭테이블!$F:$I,4,0)*K5763</f>
        <v/>
      </c>
      <c r="P5763" s="148">
        <f>M5763/1.1</f>
        <v/>
      </c>
      <c r="Q5763" s="94">
        <f>F5763&amp;E5763&amp;G5763&amp;L5763</f>
        <v/>
      </c>
    </row>
    <row r="5764">
      <c r="A5764" s="94" t="n"/>
      <c r="B5764" s="128" t="n">
        <v>43943</v>
      </c>
      <c r="C5764" s="94">
        <f>TEXT(B5764,"aaa")</f>
        <v/>
      </c>
      <c r="D5764" s="94" t="n"/>
      <c r="E5764" s="6" t="inlineStr">
        <is>
          <t>토너</t>
        </is>
      </c>
      <c r="F5764" s="94" t="inlineStr">
        <is>
          <t>큐텐</t>
        </is>
      </c>
      <c r="G5764" s="5" t="inlineStr">
        <is>
          <t>250ml 2set</t>
        </is>
      </c>
      <c r="H5764" s="7" t="n">
        <v>190801</v>
      </c>
      <c r="I5764" s="7" t="n">
        <v>190801</v>
      </c>
      <c r="J5764" s="94" t="n"/>
      <c r="K5764" s="6" t="n">
        <v>7</v>
      </c>
      <c r="L5764" s="94" t="n">
        <v>190801</v>
      </c>
      <c r="M5764" s="94">
        <f>VLOOKUP($Q5764,매칭테이블!$F:$I,2,0)*K5764</f>
        <v/>
      </c>
      <c r="N5764" s="94">
        <f>M5764-M5764*VLOOKUP($Q5764,매칭테이블!$F:$I,3,0)</f>
        <v/>
      </c>
      <c r="O5764" s="94">
        <f>VLOOKUP($Q5764,매칭테이블!$F:$I,4,0)*K5764</f>
        <v/>
      </c>
      <c r="P5764" s="148">
        <f>M5764/1.1</f>
        <v/>
      </c>
      <c r="Q5764" s="94">
        <f>F5764&amp;E5764&amp;G5764&amp;L5764</f>
        <v/>
      </c>
    </row>
    <row r="5765">
      <c r="A5765" s="94" t="n"/>
      <c r="B5765" s="128" t="n">
        <v>43943</v>
      </c>
      <c r="C5765" s="94">
        <f>TEXT(B5765,"aaa")</f>
        <v/>
      </c>
      <c r="D5765" s="94" t="n"/>
      <c r="E5765" s="94" t="inlineStr">
        <is>
          <t>앰플</t>
        </is>
      </c>
      <c r="F5765" s="94" t="inlineStr">
        <is>
          <t>큐텐</t>
        </is>
      </c>
      <c r="G5765" s="94" t="inlineStr">
        <is>
          <t>앰플 30ml</t>
        </is>
      </c>
      <c r="H5765" s="7" t="n">
        <v>190801</v>
      </c>
      <c r="I5765" s="7" t="n">
        <v>190801</v>
      </c>
      <c r="J5765" s="94" t="n"/>
      <c r="K5765" s="6" t="n">
        <v>3</v>
      </c>
      <c r="L5765" s="94" t="n">
        <v>190801</v>
      </c>
      <c r="M5765" s="94">
        <f>VLOOKUP($Q5765,매칭테이블!$F:$I,2,0)*K5765</f>
        <v/>
      </c>
      <c r="N5765" s="94">
        <f>M5765-M5765*VLOOKUP($Q5765,매칭테이블!$F:$I,3,0)</f>
        <v/>
      </c>
      <c r="O5765" s="94">
        <f>VLOOKUP($Q5765,매칭테이블!$F:$I,4,0)*K5765</f>
        <v/>
      </c>
      <c r="P5765" s="148">
        <f>M5765/1.1</f>
        <v/>
      </c>
      <c r="Q5765" s="94">
        <f>F5765&amp;E5765&amp;G5765&amp;L5765</f>
        <v/>
      </c>
    </row>
    <row r="5766">
      <c r="A5766" s="94" t="n"/>
      <c r="B5766" s="128" t="n">
        <v>43943</v>
      </c>
      <c r="C5766" s="94">
        <f>TEXT(B5766,"aaa")</f>
        <v/>
      </c>
      <c r="D5766" s="94" t="n"/>
      <c r="E5766" s="94" t="inlineStr">
        <is>
          <t>어성초진정패키지</t>
        </is>
      </c>
      <c r="F5766" s="94" t="inlineStr">
        <is>
          <t>카페24</t>
        </is>
      </c>
      <c r="G5766" s="94" t="inlineStr">
        <is>
          <t>어성초 진정패키지세트</t>
        </is>
      </c>
      <c r="H5766" s="7" t="n">
        <v>190801</v>
      </c>
      <c r="I5766" s="7" t="n">
        <v>190801</v>
      </c>
      <c r="J5766" s="94" t="n"/>
      <c r="K5766" s="6" t="n">
        <v>3</v>
      </c>
      <c r="L5766" s="94" t="n">
        <v>190801</v>
      </c>
      <c r="M5766" s="94">
        <f>VLOOKUP($Q5766,매칭테이블!$F:$I,2,0)*K5766</f>
        <v/>
      </c>
      <c r="N5766" s="94">
        <f>M5766-M5766*VLOOKUP($Q5766,매칭테이블!$F:$I,3,0)</f>
        <v/>
      </c>
      <c r="O5766" s="94">
        <f>VLOOKUP($Q5766,매칭테이블!$F:$I,4,0)*K5766</f>
        <v/>
      </c>
      <c r="P5766" s="148">
        <f>M5766/1.1</f>
        <v/>
      </c>
      <c r="Q5766" s="94">
        <f>F5766&amp;E5766&amp;G5766&amp;L5766</f>
        <v/>
      </c>
    </row>
    <row r="5767">
      <c r="A5767" s="94" t="n"/>
      <c r="B5767" s="128" t="n">
        <v>43944</v>
      </c>
      <c r="C5767" s="94">
        <f>TEXT(B5767,"aaa")</f>
        <v/>
      </c>
      <c r="D5767" s="94" t="n"/>
      <c r="E5767" s="6" t="inlineStr">
        <is>
          <t>토너</t>
        </is>
      </c>
      <c r="F5767" s="5" t="inlineStr">
        <is>
          <t>W컨셉</t>
        </is>
      </c>
      <c r="G5767" s="5" t="inlineStr">
        <is>
          <t>250ml</t>
        </is>
      </c>
      <c r="H5767" s="7" t="n">
        <v>190801</v>
      </c>
      <c r="I5767" s="7" t="n">
        <v>190801</v>
      </c>
      <c r="J5767" s="94" t="n"/>
      <c r="K5767" s="6" t="n">
        <v>1</v>
      </c>
      <c r="L5767" s="7" t="n">
        <v>190801</v>
      </c>
      <c r="M5767" s="94">
        <f>VLOOKUP($Q5767,매칭테이블!$F:$I,2,0)*K5767</f>
        <v/>
      </c>
      <c r="N5767" s="94">
        <f>M5767-M5767*VLOOKUP($Q5767,매칭테이블!$F:$I,3,0)</f>
        <v/>
      </c>
      <c r="O5767" s="94">
        <f>VLOOKUP($Q5767,매칭테이블!$F:$I,4,0)*K5767</f>
        <v/>
      </c>
      <c r="P5767" s="148">
        <f>M5767/1.1</f>
        <v/>
      </c>
      <c r="Q5767" s="94">
        <f>F5767&amp;E5767&amp;G5767&amp;L5767</f>
        <v/>
      </c>
    </row>
    <row r="5768">
      <c r="A5768" s="94" t="n"/>
      <c r="B5768" s="128" t="n">
        <v>43944</v>
      </c>
      <c r="C5768" s="94">
        <f>TEXT(B5768,"aaa")</f>
        <v/>
      </c>
      <c r="D5768" s="94" t="n"/>
      <c r="E5768" s="6" t="inlineStr">
        <is>
          <t>토너</t>
        </is>
      </c>
      <c r="F5768" s="5" t="inlineStr">
        <is>
          <t>W컨셉</t>
        </is>
      </c>
      <c r="G5768" s="5" t="inlineStr">
        <is>
          <t>250ml 2set</t>
        </is>
      </c>
      <c r="H5768" s="7" t="n">
        <v>190801</v>
      </c>
      <c r="I5768" s="7" t="n">
        <v>190801</v>
      </c>
      <c r="J5768" s="94" t="n"/>
      <c r="K5768" s="6" t="n">
        <v>7</v>
      </c>
      <c r="L5768" s="7" t="n">
        <v>190801</v>
      </c>
      <c r="M5768" s="94">
        <f>VLOOKUP($Q5768,매칭테이블!$F:$I,2,0)*K5768</f>
        <v/>
      </c>
      <c r="N5768" s="94">
        <f>M5768-M5768*VLOOKUP($Q5768,매칭테이블!$F:$I,3,0)</f>
        <v/>
      </c>
      <c r="O5768" s="94">
        <f>VLOOKUP($Q5768,매칭테이블!$F:$I,4,0)*K5768</f>
        <v/>
      </c>
      <c r="P5768" s="148">
        <f>M5768/1.1</f>
        <v/>
      </c>
      <c r="Q5768" s="94">
        <f>F5768&amp;E5768&amp;G5768&amp;L5768</f>
        <v/>
      </c>
    </row>
    <row r="5769">
      <c r="A5769" s="94" t="n"/>
      <c r="B5769" s="128" t="n">
        <v>43944</v>
      </c>
      <c r="C5769" s="94">
        <f>TEXT(B5769,"aaa")</f>
        <v/>
      </c>
      <c r="D5769" s="94" t="n"/>
      <c r="E5769" s="94" t="inlineStr">
        <is>
          <t>토너</t>
        </is>
      </c>
      <c r="F5769" s="5" t="inlineStr">
        <is>
          <t>스타일쉐어</t>
        </is>
      </c>
      <c r="G5769" s="94" t="inlineStr">
        <is>
          <t>250ml</t>
        </is>
      </c>
      <c r="H5769" s="7" t="n">
        <v>190801</v>
      </c>
      <c r="I5769" s="7" t="n">
        <v>190801</v>
      </c>
      <c r="J5769" s="94" t="n"/>
      <c r="K5769" s="6" t="n">
        <v>3</v>
      </c>
      <c r="L5769" s="7" t="n">
        <v>190801</v>
      </c>
      <c r="M5769" s="94">
        <f>VLOOKUP($Q5769,매칭테이블!$F:$I,2,0)*K5769</f>
        <v/>
      </c>
      <c r="N5769" s="94">
        <f>M5769-M5769*VLOOKUP($Q5769,매칭테이블!$F:$I,3,0)</f>
        <v/>
      </c>
      <c r="O5769" s="94">
        <f>VLOOKUP($Q5769,매칭테이블!$F:$I,4,0)*K5769</f>
        <v/>
      </c>
      <c r="P5769" s="148">
        <f>M5769/1.1</f>
        <v/>
      </c>
      <c r="Q5769" s="94">
        <f>F5769&amp;E5769&amp;G5769&amp;L5769</f>
        <v/>
      </c>
    </row>
    <row r="5770">
      <c r="A5770" s="94" t="n"/>
      <c r="B5770" s="128" t="n">
        <v>43944</v>
      </c>
      <c r="C5770" s="94">
        <f>TEXT(B5770,"aaa")</f>
        <v/>
      </c>
      <c r="D5770" s="94" t="n"/>
      <c r="E5770" s="94" t="inlineStr">
        <is>
          <t>어성초진정패키지</t>
        </is>
      </c>
      <c r="F5770" s="94" t="inlineStr">
        <is>
          <t>카페24</t>
        </is>
      </c>
      <c r="G5770" s="94" t="inlineStr">
        <is>
          <t>어성초 진정패키지세트</t>
        </is>
      </c>
      <c r="H5770" s="7" t="n">
        <v>190801</v>
      </c>
      <c r="I5770" s="7" t="n">
        <v>190801</v>
      </c>
      <c r="J5770" s="94" t="n"/>
      <c r="K5770" s="6" t="n">
        <v>9</v>
      </c>
      <c r="L5770" s="94" t="n">
        <v>190801</v>
      </c>
      <c r="M5770" s="94">
        <f>VLOOKUP($Q5770,매칭테이블!$F:$I,2,0)*K5770</f>
        <v/>
      </c>
      <c r="N5770" s="94">
        <f>M5770-M5770*VLOOKUP($Q5770,매칭테이블!$F:$I,3,0)</f>
        <v/>
      </c>
      <c r="O5770" s="94">
        <f>VLOOKUP($Q5770,매칭테이블!$F:$I,4,0)*K5770</f>
        <v/>
      </c>
      <c r="P5770" s="148">
        <f>M5770/1.1</f>
        <v/>
      </c>
      <c r="Q5770" s="94">
        <f>F5770&amp;E5770&amp;G5770&amp;L5770</f>
        <v/>
      </c>
    </row>
    <row r="5771">
      <c r="A5771" s="94" t="n"/>
      <c r="B5771" s="128" t="n">
        <v>43944</v>
      </c>
      <c r="C5771" s="94">
        <f>TEXT(B5771,"aaa")</f>
        <v/>
      </c>
      <c r="D5771" s="94" t="n"/>
      <c r="E5771" s="94" t="inlineStr">
        <is>
          <t>머드크림마스크</t>
        </is>
      </c>
      <c r="F5771" s="94" t="inlineStr">
        <is>
          <t>카페24</t>
        </is>
      </c>
      <c r="G5771" s="94" t="inlineStr">
        <is>
          <t>머드크림마스크 100ml</t>
        </is>
      </c>
      <c r="H5771" s="7" t="n">
        <v>190801</v>
      </c>
      <c r="I5771" s="7" t="n">
        <v>190801</v>
      </c>
      <c r="J5771" s="94" t="n"/>
      <c r="K5771" s="6" t="n">
        <v>3</v>
      </c>
      <c r="L5771" s="94" t="n">
        <v>190801</v>
      </c>
      <c r="M5771" s="94">
        <f>VLOOKUP($Q5771,매칭테이블!$F:$I,2,0)*K5771</f>
        <v/>
      </c>
      <c r="N5771" s="94">
        <f>M5771-M5771*VLOOKUP($Q5771,매칭테이블!$F:$I,3,0)</f>
        <v/>
      </c>
      <c r="O5771" s="94">
        <f>VLOOKUP($Q5771,매칭테이블!$F:$I,4,0)*K5771</f>
        <v/>
      </c>
      <c r="P5771" s="148">
        <f>M5771/1.1</f>
        <v/>
      </c>
      <c r="Q5771" s="94">
        <f>F5771&amp;E5771&amp;G5771&amp;L5771</f>
        <v/>
      </c>
    </row>
    <row r="5772">
      <c r="A5772" s="94" t="n"/>
      <c r="B5772" s="128" t="n">
        <v>43944</v>
      </c>
      <c r="C5772" s="94">
        <f>TEXT(B5772,"aaa")</f>
        <v/>
      </c>
      <c r="D5772" s="94" t="n"/>
      <c r="E5772" s="94" t="inlineStr">
        <is>
          <t>마스크팩</t>
        </is>
      </c>
      <c r="F5772" s="94" t="inlineStr">
        <is>
          <t>카페24</t>
        </is>
      </c>
      <c r="G5772" s="94" t="inlineStr">
        <is>
          <t>마스크팩 10매</t>
        </is>
      </c>
      <c r="H5772" s="7" t="n">
        <v>190801</v>
      </c>
      <c r="I5772" s="7" t="n">
        <v>190801</v>
      </c>
      <c r="J5772" s="94" t="n"/>
      <c r="K5772" s="6" t="n">
        <v>1</v>
      </c>
      <c r="L5772" s="94" t="n">
        <v>190801</v>
      </c>
      <c r="M5772" s="94">
        <f>VLOOKUP($Q5772,매칭테이블!$F:$I,2,0)*K5772</f>
        <v/>
      </c>
      <c r="N5772" s="94">
        <f>M5772-M5772*VLOOKUP($Q5772,매칭테이블!$F:$I,3,0)</f>
        <v/>
      </c>
      <c r="O5772" s="94">
        <f>VLOOKUP($Q5772,매칭테이블!$F:$I,4,0)*K5772</f>
        <v/>
      </c>
      <c r="P5772" s="148">
        <f>M5772/1.1</f>
        <v/>
      </c>
      <c r="Q5772" s="94">
        <f>F5772&amp;E5772&amp;G5772&amp;L5772</f>
        <v/>
      </c>
    </row>
    <row r="5773">
      <c r="A5773" s="94" t="n"/>
      <c r="B5773" s="128" t="n">
        <v>43944</v>
      </c>
      <c r="C5773" s="94">
        <f>TEXT(B5773,"aaa")</f>
        <v/>
      </c>
      <c r="D5773" s="94" t="n"/>
      <c r="E5773" s="6" t="inlineStr">
        <is>
          <t>토너</t>
        </is>
      </c>
      <c r="F5773" s="5" t="inlineStr">
        <is>
          <t>카페24</t>
        </is>
      </c>
      <c r="G5773" s="5" t="inlineStr">
        <is>
          <t>250ml</t>
        </is>
      </c>
      <c r="H5773" s="7" t="n">
        <v>190801</v>
      </c>
      <c r="I5773" s="7" t="n">
        <v>190801</v>
      </c>
      <c r="J5773" s="94" t="n"/>
      <c r="K5773" s="6" t="n">
        <v>35</v>
      </c>
      <c r="L5773" s="7" t="n">
        <v>190801</v>
      </c>
      <c r="M5773" s="94">
        <f>VLOOKUP($Q5773,매칭테이블!$F:$I,2,0)*K5773</f>
        <v/>
      </c>
      <c r="N5773" s="94">
        <f>M5773-M5773*VLOOKUP($Q5773,매칭테이블!$F:$I,3,0)</f>
        <v/>
      </c>
      <c r="O5773" s="94">
        <f>VLOOKUP($Q5773,매칭테이블!$F:$I,4,0)*K5773</f>
        <v/>
      </c>
      <c r="P5773" s="148">
        <f>M5773/1.1</f>
        <v/>
      </c>
      <c r="Q5773" s="94">
        <f>F5773&amp;E5773&amp;G5773&amp;L5773</f>
        <v/>
      </c>
    </row>
    <row r="5774">
      <c r="A5774" s="94" t="n"/>
      <c r="B5774" s="128" t="n">
        <v>43944</v>
      </c>
      <c r="C5774" s="94">
        <f>TEXT(B5774,"aaa")</f>
        <v/>
      </c>
      <c r="D5774" s="94" t="n"/>
      <c r="E5774" s="6" t="inlineStr">
        <is>
          <t>토너</t>
        </is>
      </c>
      <c r="F5774" s="5" t="inlineStr">
        <is>
          <t>카페24</t>
        </is>
      </c>
      <c r="G5774" s="5" t="inlineStr">
        <is>
          <t>250ml 2set</t>
        </is>
      </c>
      <c r="H5774" s="7" t="n">
        <v>190801</v>
      </c>
      <c r="I5774" s="7" t="n">
        <v>190801</v>
      </c>
      <c r="J5774" s="94" t="n"/>
      <c r="K5774" s="6" t="n">
        <v>41</v>
      </c>
      <c r="L5774" s="7" t="n">
        <v>190801</v>
      </c>
      <c r="M5774" s="94">
        <f>VLOOKUP($Q5774,매칭테이블!$F:$I,2,0)*K5774</f>
        <v/>
      </c>
      <c r="N5774" s="94">
        <f>M5774-M5774*VLOOKUP($Q5774,매칭테이블!$F:$I,3,0)</f>
        <v/>
      </c>
      <c r="O5774" s="94">
        <f>VLOOKUP($Q5774,매칭테이블!$F:$I,4,0)*K5774</f>
        <v/>
      </c>
      <c r="P5774" s="148">
        <f>M5774/1.1</f>
        <v/>
      </c>
      <c r="Q5774" s="94">
        <f>F5774&amp;E5774&amp;G5774&amp;L5774</f>
        <v/>
      </c>
    </row>
    <row r="5775">
      <c r="A5775" s="94" t="n"/>
      <c r="B5775" s="128" t="n">
        <v>43944</v>
      </c>
      <c r="C5775" s="94">
        <f>TEXT(B5775,"aaa")</f>
        <v/>
      </c>
      <c r="D5775" s="94" t="n"/>
      <c r="E5775" s="6" t="inlineStr">
        <is>
          <t>토너</t>
        </is>
      </c>
      <c r="F5775" s="5" t="inlineStr">
        <is>
          <t>카페24</t>
        </is>
      </c>
      <c r="G5775" s="5" t="inlineStr">
        <is>
          <t>500ml</t>
        </is>
      </c>
      <c r="H5775" s="7" t="n">
        <v>190801</v>
      </c>
      <c r="I5775" s="7" t="n">
        <v>190801</v>
      </c>
      <c r="J5775" s="94" t="n"/>
      <c r="K5775" s="6" t="n">
        <v>42</v>
      </c>
      <c r="L5775" s="7" t="n">
        <v>190801</v>
      </c>
      <c r="M5775" s="94">
        <f>VLOOKUP($Q5775,매칭테이블!$F:$I,2,0)*K5775</f>
        <v/>
      </c>
      <c r="N5775" s="94">
        <f>M5775-M5775*VLOOKUP($Q5775,매칭테이블!$F:$I,3,0)</f>
        <v/>
      </c>
      <c r="O5775" s="94">
        <f>VLOOKUP($Q5775,매칭테이블!$F:$I,4,0)*K5775</f>
        <v/>
      </c>
      <c r="P5775" s="148">
        <f>M5775/1.1</f>
        <v/>
      </c>
      <c r="Q5775" s="94">
        <f>F5775&amp;E5775&amp;G5775&amp;L5775</f>
        <v/>
      </c>
    </row>
    <row r="5776">
      <c r="A5776" s="94" t="n"/>
      <c r="B5776" s="128" t="n">
        <v>43944</v>
      </c>
      <c r="C5776" s="94">
        <f>TEXT(B5776,"aaa")</f>
        <v/>
      </c>
      <c r="D5776" s="94" t="n"/>
      <c r="E5776" s="6" t="inlineStr">
        <is>
          <t>토너</t>
        </is>
      </c>
      <c r="F5776" s="5" t="inlineStr">
        <is>
          <t>카페24</t>
        </is>
      </c>
      <c r="G5776" s="94" t="inlineStr">
        <is>
          <t>스킨팩 화장솜 60P</t>
        </is>
      </c>
      <c r="H5776" s="7" t="n">
        <v>190801</v>
      </c>
      <c r="I5776" s="7" t="n">
        <v>190801</v>
      </c>
      <c r="J5776" s="94" t="n"/>
      <c r="K5776" s="6" t="n">
        <v>46</v>
      </c>
      <c r="L5776" s="7" t="n">
        <v>190801</v>
      </c>
      <c r="M5776" s="94">
        <f>VLOOKUP($Q5776,매칭테이블!$F:$I,2,0)*K5776</f>
        <v/>
      </c>
      <c r="N5776" s="94">
        <f>M5776-M5776*VLOOKUP($Q5776,매칭테이블!$F:$I,3,0)</f>
        <v/>
      </c>
      <c r="O5776" s="94">
        <f>VLOOKUP($Q5776,매칭테이블!$F:$I,4,0)*K5776</f>
        <v/>
      </c>
      <c r="P5776" s="148">
        <f>M5776/1.1</f>
        <v/>
      </c>
      <c r="Q5776" s="94">
        <f>F5776&amp;E5776&amp;G5776&amp;L5776</f>
        <v/>
      </c>
    </row>
    <row r="5777">
      <c r="A5777" s="94" t="n"/>
      <c r="B5777" s="128" t="n">
        <v>43944</v>
      </c>
      <c r="C5777" s="94">
        <f>TEXT(B5777,"aaa")</f>
        <v/>
      </c>
      <c r="D5777" s="94" t="n"/>
      <c r="E5777" s="94" t="inlineStr">
        <is>
          <t>앰플</t>
        </is>
      </c>
      <c r="F5777" s="5" t="inlineStr">
        <is>
          <t>카페24</t>
        </is>
      </c>
      <c r="G5777" s="94" t="inlineStr">
        <is>
          <t>앰플 30ml</t>
        </is>
      </c>
      <c r="H5777" s="7" t="n">
        <v>190801</v>
      </c>
      <c r="I5777" s="7" t="n">
        <v>190801</v>
      </c>
      <c r="J5777" s="94" t="n"/>
      <c r="K5777" s="6" t="n">
        <v>11</v>
      </c>
      <c r="L5777" s="94" t="n">
        <v>190801</v>
      </c>
      <c r="M5777" s="94">
        <f>VLOOKUP($Q5777,매칭테이블!$F:$I,2,0)*K5777</f>
        <v/>
      </c>
      <c r="N5777" s="94">
        <f>M5777-M5777*VLOOKUP($Q5777,매칭테이블!$F:$I,3,0)</f>
        <v/>
      </c>
      <c r="O5777" s="94">
        <f>VLOOKUP($Q5777,매칭테이블!$F:$I,4,0)*K5777</f>
        <v/>
      </c>
      <c r="P5777" s="148">
        <f>M5777/1.1</f>
        <v/>
      </c>
      <c r="Q5777" s="94">
        <f>F5777&amp;E5777&amp;G5777&amp;L5777</f>
        <v/>
      </c>
    </row>
    <row r="5778">
      <c r="A5778" s="94" t="n"/>
      <c r="B5778" s="128" t="n">
        <v>43944</v>
      </c>
      <c r="C5778" s="94">
        <f>TEXT(B5778,"aaa")</f>
        <v/>
      </c>
      <c r="D5778" s="94" t="n"/>
      <c r="E5778" s="94" t="inlineStr">
        <is>
          <t>수딩크림</t>
        </is>
      </c>
      <c r="F5778" s="5" t="inlineStr">
        <is>
          <t>카페24</t>
        </is>
      </c>
      <c r="G5778" s="94" t="inlineStr">
        <is>
          <t>수딩크림 100ml</t>
        </is>
      </c>
      <c r="H5778" s="7" t="n">
        <v>190801</v>
      </c>
      <c r="I5778" s="7" t="n">
        <v>190801</v>
      </c>
      <c r="J5778" s="94" t="n"/>
      <c r="K5778" s="6" t="n">
        <v>4</v>
      </c>
      <c r="L5778" s="94" t="n">
        <v>190801</v>
      </c>
      <c r="M5778" s="94">
        <f>VLOOKUP($Q5778,매칭테이블!$F:$I,2,0)*K5778</f>
        <v/>
      </c>
      <c r="N5778" s="94">
        <f>M5778-M5778*VLOOKUP($Q5778,매칭테이블!$F:$I,3,0)</f>
        <v/>
      </c>
      <c r="O5778" s="94">
        <f>VLOOKUP($Q5778,매칭테이블!$F:$I,4,0)*K5778</f>
        <v/>
      </c>
      <c r="P5778" s="148">
        <f>M5778/1.1</f>
        <v/>
      </c>
      <c r="Q5778" s="94">
        <f>F5778&amp;E5778&amp;G5778&amp;L5778</f>
        <v/>
      </c>
    </row>
    <row r="5779">
      <c r="A5779" s="94" t="n"/>
      <c r="B5779" s="128" t="n">
        <v>43944</v>
      </c>
      <c r="C5779" s="94">
        <f>TEXT(B5779,"aaa")</f>
        <v/>
      </c>
      <c r="D5779" s="94" t="n"/>
      <c r="E5779" s="94" t="inlineStr">
        <is>
          <t>토너+머드크림세트</t>
        </is>
      </c>
      <c r="F5779" s="94" t="inlineStr">
        <is>
          <t>카페24</t>
        </is>
      </c>
      <c r="G5779" s="94" t="inlineStr">
        <is>
          <t>250ml</t>
        </is>
      </c>
      <c r="H5779" s="7" t="n">
        <v>190801</v>
      </c>
      <c r="I5779" s="7" t="n">
        <v>190801</v>
      </c>
      <c r="J5779" s="94" t="n"/>
      <c r="K5779" s="6" t="n">
        <v>1</v>
      </c>
      <c r="L5779" s="94" t="n">
        <v>190801</v>
      </c>
      <c r="M5779" s="94">
        <f>VLOOKUP($Q5779,매칭테이블!$F:$I,2,0)*K5779</f>
        <v/>
      </c>
      <c r="N5779" s="94">
        <f>M5779-M5779*VLOOKUP($Q5779,매칭테이블!$F:$I,3,0)</f>
        <v/>
      </c>
      <c r="O5779" s="94">
        <f>VLOOKUP($Q5779,매칭테이블!$F:$I,4,0)*K5779</f>
        <v/>
      </c>
      <c r="P5779" s="148">
        <f>M5779/1.1</f>
        <v/>
      </c>
      <c r="Q5779" s="94">
        <f>F5779&amp;E5779&amp;G5779&amp;L5779</f>
        <v/>
      </c>
    </row>
    <row r="5780">
      <c r="A5780" s="94" t="n"/>
      <c r="B5780" s="128" t="n">
        <v>43944</v>
      </c>
      <c r="C5780" s="94">
        <f>TEXT(B5780,"aaa")</f>
        <v/>
      </c>
      <c r="D5780" s="94" t="n"/>
      <c r="E5780" s="94" t="inlineStr">
        <is>
          <t>토너+머드크림세트</t>
        </is>
      </c>
      <c r="F5780" s="94" t="inlineStr">
        <is>
          <t>카페24</t>
        </is>
      </c>
      <c r="G5780" s="94" t="inlineStr">
        <is>
          <t>머드크림마스크 100ml</t>
        </is>
      </c>
      <c r="H5780" s="7" t="n">
        <v>190801</v>
      </c>
      <c r="I5780" s="7" t="n">
        <v>190801</v>
      </c>
      <c r="J5780" s="94" t="n"/>
      <c r="K5780" s="6" t="n">
        <v>1</v>
      </c>
      <c r="L5780" s="94" t="n">
        <v>190801</v>
      </c>
      <c r="M5780" s="94">
        <f>VLOOKUP($Q5780,매칭테이블!$F:$I,2,0)*K5780</f>
        <v/>
      </c>
      <c r="N5780" s="94">
        <f>M5780-M5780*VLOOKUP($Q5780,매칭테이블!$F:$I,3,0)</f>
        <v/>
      </c>
      <c r="O5780" s="94">
        <f>VLOOKUP($Q5780,매칭테이블!$F:$I,4,0)*K5780</f>
        <v/>
      </c>
      <c r="P5780" s="148">
        <f>M5780/1.1</f>
        <v/>
      </c>
      <c r="Q5780" s="94">
        <f>F5780&amp;E5780&amp;G5780&amp;L5780</f>
        <v/>
      </c>
    </row>
    <row r="5781">
      <c r="A5781" s="94" t="n"/>
      <c r="B5781" s="128" t="n">
        <v>43944</v>
      </c>
      <c r="C5781" s="94">
        <f>TEXT(B5781,"aaa")</f>
        <v/>
      </c>
      <c r="D5781" s="94" t="n"/>
      <c r="E5781" s="6" t="inlineStr">
        <is>
          <t>토너</t>
        </is>
      </c>
      <c r="F5781" s="94" t="inlineStr">
        <is>
          <t>큐텐</t>
        </is>
      </c>
      <c r="G5781" s="5" t="inlineStr">
        <is>
          <t>250ml</t>
        </is>
      </c>
      <c r="H5781" s="7" t="n">
        <v>190801</v>
      </c>
      <c r="I5781" s="7" t="n">
        <v>190801</v>
      </c>
      <c r="J5781" s="94" t="n"/>
      <c r="K5781" s="6" t="n">
        <v>20</v>
      </c>
      <c r="L5781" s="94" t="n">
        <v>190801</v>
      </c>
      <c r="M5781" s="94">
        <f>VLOOKUP($Q5781,매칭테이블!$F:$I,2,0)*K5781</f>
        <v/>
      </c>
      <c r="N5781" s="94">
        <f>M5781-M5781*VLOOKUP($Q5781,매칭테이블!$F:$I,3,0)</f>
        <v/>
      </c>
      <c r="O5781" s="94">
        <f>VLOOKUP($Q5781,매칭테이블!$F:$I,4,0)*K5781</f>
        <v/>
      </c>
      <c r="P5781" s="148">
        <f>M5781/1.1</f>
        <v/>
      </c>
      <c r="Q5781" s="94">
        <f>F5781&amp;E5781&amp;G5781&amp;L5781</f>
        <v/>
      </c>
    </row>
    <row r="5782">
      <c r="A5782" s="94" t="n"/>
      <c r="B5782" s="128" t="n">
        <v>43944</v>
      </c>
      <c r="C5782" s="94">
        <f>TEXT(B5782,"aaa")</f>
        <v/>
      </c>
      <c r="D5782" s="94" t="n"/>
      <c r="E5782" s="6" t="inlineStr">
        <is>
          <t>토너</t>
        </is>
      </c>
      <c r="F5782" s="94" t="inlineStr">
        <is>
          <t>큐텐</t>
        </is>
      </c>
      <c r="G5782" s="5" t="inlineStr">
        <is>
          <t>250ml 2set</t>
        </is>
      </c>
      <c r="H5782" s="7" t="n">
        <v>190801</v>
      </c>
      <c r="I5782" s="7" t="n">
        <v>190801</v>
      </c>
      <c r="J5782" s="94" t="n"/>
      <c r="K5782" s="6" t="n">
        <v>11</v>
      </c>
      <c r="L5782" s="94" t="n">
        <v>190801</v>
      </c>
      <c r="M5782" s="94">
        <f>VLOOKUP($Q5782,매칭테이블!$F:$I,2,0)*K5782</f>
        <v/>
      </c>
      <c r="N5782" s="94">
        <f>M5782-M5782*VLOOKUP($Q5782,매칭테이블!$F:$I,3,0)</f>
        <v/>
      </c>
      <c r="O5782" s="94">
        <f>VLOOKUP($Q5782,매칭테이블!$F:$I,4,0)*K5782</f>
        <v/>
      </c>
      <c r="P5782" s="148">
        <f>M5782/1.1</f>
        <v/>
      </c>
      <c r="Q5782" s="94">
        <f>F5782&amp;E5782&amp;G5782&amp;L5782</f>
        <v/>
      </c>
    </row>
    <row r="5783">
      <c r="A5783" s="94" t="n"/>
      <c r="B5783" s="128" t="n">
        <v>43944</v>
      </c>
      <c r="C5783" s="94">
        <f>TEXT(B5783,"aaa")</f>
        <v/>
      </c>
      <c r="D5783" s="94" t="n"/>
      <c r="E5783" s="94" t="inlineStr">
        <is>
          <t>앰플</t>
        </is>
      </c>
      <c r="F5783" s="94" t="inlineStr">
        <is>
          <t>큐텐</t>
        </is>
      </c>
      <c r="G5783" s="94" t="inlineStr">
        <is>
          <t>앰플 30ml</t>
        </is>
      </c>
      <c r="H5783" s="7" t="n">
        <v>190801</v>
      </c>
      <c r="I5783" s="7" t="n">
        <v>190801</v>
      </c>
      <c r="J5783" s="94" t="n"/>
      <c r="K5783" s="6" t="n">
        <v>2</v>
      </c>
      <c r="L5783" s="94" t="n">
        <v>190801</v>
      </c>
      <c r="M5783" s="94">
        <f>VLOOKUP($Q5783,매칭테이블!$F:$I,2,0)*K5783</f>
        <v/>
      </c>
      <c r="N5783" s="94">
        <f>M5783-M5783*VLOOKUP($Q5783,매칭테이블!$F:$I,3,0)</f>
        <v/>
      </c>
      <c r="O5783" s="94">
        <f>VLOOKUP($Q5783,매칭테이블!$F:$I,4,0)*K5783</f>
        <v/>
      </c>
      <c r="P5783" s="148">
        <f>M5783/1.1</f>
        <v/>
      </c>
      <c r="Q5783" s="94">
        <f>F5783&amp;E5783&amp;G5783&amp;L5783</f>
        <v/>
      </c>
    </row>
    <row r="5784">
      <c r="A5784" s="94" t="n"/>
      <c r="B5784" s="128" t="n">
        <v>43945</v>
      </c>
      <c r="C5784" s="94">
        <f>TEXT(B5784,"aaa")</f>
        <v/>
      </c>
      <c r="D5784" s="94" t="n"/>
      <c r="E5784" s="6" t="inlineStr">
        <is>
          <t>토너</t>
        </is>
      </c>
      <c r="F5784" s="5" t="inlineStr">
        <is>
          <t>W컨셉</t>
        </is>
      </c>
      <c r="G5784" s="5" t="inlineStr">
        <is>
          <t>250ml 2set</t>
        </is>
      </c>
      <c r="H5784" s="7" t="n">
        <v>190801</v>
      </c>
      <c r="I5784" s="7" t="n">
        <v>190801</v>
      </c>
      <c r="J5784" s="94" t="n"/>
      <c r="K5784" s="6" t="n">
        <v>2</v>
      </c>
      <c r="L5784" s="7" t="n">
        <v>190801</v>
      </c>
      <c r="M5784" s="94">
        <f>VLOOKUP($Q5784,매칭테이블!$F:$I,2,0)*K5784</f>
        <v/>
      </c>
      <c r="N5784" s="94">
        <f>M5784-M5784*VLOOKUP($Q5784,매칭테이블!$F:$I,3,0)</f>
        <v/>
      </c>
      <c r="O5784" s="94">
        <f>VLOOKUP($Q5784,매칭테이블!$F:$I,4,0)*K5784</f>
        <v/>
      </c>
      <c r="P5784" s="148">
        <f>M5784/1.1</f>
        <v/>
      </c>
      <c r="Q5784" s="94">
        <f>F5784&amp;E5784&amp;G5784&amp;L5784</f>
        <v/>
      </c>
    </row>
    <row r="5785">
      <c r="A5785" s="94" t="n"/>
      <c r="B5785" s="128" t="n">
        <v>43945</v>
      </c>
      <c r="C5785" s="94">
        <f>TEXT(B5785,"aaa")</f>
        <v/>
      </c>
      <c r="D5785" s="94" t="n"/>
      <c r="E5785" s="94" t="inlineStr">
        <is>
          <t>토너</t>
        </is>
      </c>
      <c r="F5785" s="5" t="inlineStr">
        <is>
          <t>스타일쉐어</t>
        </is>
      </c>
      <c r="G5785" s="94" t="inlineStr">
        <is>
          <t>250ml</t>
        </is>
      </c>
      <c r="H5785" s="7" t="n">
        <v>190801</v>
      </c>
      <c r="I5785" s="7" t="n">
        <v>190801</v>
      </c>
      <c r="J5785" s="94" t="n"/>
      <c r="K5785" s="6" t="n">
        <v>3</v>
      </c>
      <c r="L5785" s="7" t="n">
        <v>190801</v>
      </c>
      <c r="M5785" s="94">
        <f>VLOOKUP($Q5785,매칭테이블!$F:$I,2,0)*K5785</f>
        <v/>
      </c>
      <c r="N5785" s="94">
        <f>M5785-M5785*VLOOKUP($Q5785,매칭테이블!$F:$I,3,0)</f>
        <v/>
      </c>
      <c r="O5785" s="94">
        <f>VLOOKUP($Q5785,매칭테이블!$F:$I,4,0)*K5785</f>
        <v/>
      </c>
      <c r="P5785" s="148">
        <f>M5785/1.1</f>
        <v/>
      </c>
      <c r="Q5785" s="94">
        <f>F5785&amp;E5785&amp;G5785&amp;L5785</f>
        <v/>
      </c>
    </row>
    <row r="5786">
      <c r="A5786" s="94" t="n"/>
      <c r="B5786" s="128" t="n">
        <v>43945</v>
      </c>
      <c r="C5786" s="94">
        <f>TEXT(B5786,"aaa")</f>
        <v/>
      </c>
      <c r="D5786" s="94" t="n"/>
      <c r="E5786" s="94" t="inlineStr">
        <is>
          <t>어성초진정패키지</t>
        </is>
      </c>
      <c r="F5786" s="94" t="inlineStr">
        <is>
          <t>카페24</t>
        </is>
      </c>
      <c r="G5786" s="94" t="inlineStr">
        <is>
          <t>어성초 진정패키지세트</t>
        </is>
      </c>
      <c r="H5786" s="7" t="n">
        <v>190801</v>
      </c>
      <c r="I5786" s="7" t="n">
        <v>190801</v>
      </c>
      <c r="J5786" s="94" t="n"/>
      <c r="K5786" s="6" t="n">
        <v>6</v>
      </c>
      <c r="L5786" s="94" t="n">
        <v>190801</v>
      </c>
      <c r="M5786" s="94">
        <f>VLOOKUP($Q5786,매칭테이블!$F:$I,2,0)*K5786</f>
        <v/>
      </c>
      <c r="N5786" s="94">
        <f>M5786-M5786*VLOOKUP($Q5786,매칭테이블!$F:$I,3,0)</f>
        <v/>
      </c>
      <c r="O5786" s="94">
        <f>VLOOKUP($Q5786,매칭테이블!$F:$I,4,0)*K5786</f>
        <v/>
      </c>
      <c r="P5786" s="148">
        <f>M5786/1.1</f>
        <v/>
      </c>
      <c r="Q5786" s="94">
        <f>F5786&amp;E5786&amp;G5786&amp;L5786</f>
        <v/>
      </c>
    </row>
    <row r="5787">
      <c r="A5787" s="94" t="n"/>
      <c r="B5787" s="128" t="n">
        <v>43945</v>
      </c>
      <c r="C5787" s="94">
        <f>TEXT(B5787,"aaa")</f>
        <v/>
      </c>
      <c r="D5787" s="94" t="n"/>
      <c r="E5787" s="94" t="inlineStr">
        <is>
          <t>머드크림마스크</t>
        </is>
      </c>
      <c r="F5787" s="94" t="inlineStr">
        <is>
          <t>카페24</t>
        </is>
      </c>
      <c r="G5787" s="94" t="inlineStr">
        <is>
          <t>머드크림마스크 100ml</t>
        </is>
      </c>
      <c r="H5787" s="7" t="n">
        <v>190801</v>
      </c>
      <c r="I5787" s="7" t="n">
        <v>190801</v>
      </c>
      <c r="J5787" s="94" t="n"/>
      <c r="K5787" s="6" t="n">
        <v>1</v>
      </c>
      <c r="L5787" s="94" t="n">
        <v>190801</v>
      </c>
      <c r="M5787" s="94">
        <f>VLOOKUP($Q5787,매칭테이블!$F:$I,2,0)*K5787</f>
        <v/>
      </c>
      <c r="N5787" s="94">
        <f>M5787-M5787*VLOOKUP($Q5787,매칭테이블!$F:$I,3,0)</f>
        <v/>
      </c>
      <c r="O5787" s="94">
        <f>VLOOKUP($Q5787,매칭테이블!$F:$I,4,0)*K5787</f>
        <v/>
      </c>
      <c r="P5787" s="148">
        <f>M5787/1.1</f>
        <v/>
      </c>
      <c r="Q5787" s="94">
        <f>F5787&amp;E5787&amp;G5787&amp;L5787</f>
        <v/>
      </c>
    </row>
    <row r="5788">
      <c r="A5788" s="94" t="n"/>
      <c r="B5788" s="128" t="n">
        <v>43945</v>
      </c>
      <c r="C5788" s="94">
        <f>TEXT(B5788,"aaa")</f>
        <v/>
      </c>
      <c r="D5788" s="94" t="n"/>
      <c r="E5788" s="94" t="inlineStr">
        <is>
          <t>머드크림마스크</t>
        </is>
      </c>
      <c r="F5788" s="94" t="inlineStr">
        <is>
          <t>카페24</t>
        </is>
      </c>
      <c r="G5788" s="94" t="inlineStr">
        <is>
          <t>머드크림마스크 100ml 2set</t>
        </is>
      </c>
      <c r="H5788" s="7" t="n">
        <v>190801</v>
      </c>
      <c r="I5788" s="7" t="n">
        <v>190801</v>
      </c>
      <c r="J5788" s="94" t="n"/>
      <c r="K5788" s="6" t="n">
        <v>1</v>
      </c>
      <c r="L5788" s="94" t="n">
        <v>190801</v>
      </c>
      <c r="M5788" s="94">
        <f>VLOOKUP($Q5788,매칭테이블!$F:$I,2,0)*K5788</f>
        <v/>
      </c>
      <c r="N5788" s="94">
        <f>M5788-M5788*VLOOKUP($Q5788,매칭테이블!$F:$I,3,0)</f>
        <v/>
      </c>
      <c r="O5788" s="94">
        <f>VLOOKUP($Q5788,매칭테이블!$F:$I,4,0)*K5788</f>
        <v/>
      </c>
      <c r="P5788" s="148">
        <f>M5788/1.1</f>
        <v/>
      </c>
      <c r="Q5788" s="94">
        <f>F5788&amp;E5788&amp;G5788&amp;L5788</f>
        <v/>
      </c>
    </row>
    <row r="5789">
      <c r="A5789" s="94" t="n"/>
      <c r="B5789" s="128" t="n">
        <v>43945</v>
      </c>
      <c r="C5789" s="94">
        <f>TEXT(B5789,"aaa")</f>
        <v/>
      </c>
      <c r="D5789" s="94" t="n"/>
      <c r="E5789" s="94" t="inlineStr">
        <is>
          <t>마스크팩</t>
        </is>
      </c>
      <c r="F5789" s="94" t="inlineStr">
        <is>
          <t>카페24</t>
        </is>
      </c>
      <c r="G5789" s="94" t="inlineStr">
        <is>
          <t>마스크팩 1매</t>
        </is>
      </c>
      <c r="H5789" s="7" t="n">
        <v>190801</v>
      </c>
      <c r="I5789" s="7" t="n">
        <v>190801</v>
      </c>
      <c r="J5789" s="94" t="n"/>
      <c r="K5789" s="6" t="n">
        <v>3</v>
      </c>
      <c r="L5789" s="94" t="n">
        <v>190801</v>
      </c>
      <c r="M5789" s="94">
        <f>VLOOKUP($Q5789,매칭테이블!$F:$I,2,0)*K5789</f>
        <v/>
      </c>
      <c r="N5789" s="94">
        <f>M5789-M5789*VLOOKUP($Q5789,매칭테이블!$F:$I,3,0)</f>
        <v/>
      </c>
      <c r="O5789" s="94">
        <f>VLOOKUP($Q5789,매칭테이블!$F:$I,4,0)*K5789</f>
        <v/>
      </c>
      <c r="P5789" s="148">
        <f>M5789/1.1</f>
        <v/>
      </c>
      <c r="Q5789" s="94">
        <f>F5789&amp;E5789&amp;G5789&amp;L5789</f>
        <v/>
      </c>
    </row>
    <row r="5790">
      <c r="A5790" s="94" t="n"/>
      <c r="B5790" s="128" t="n">
        <v>43945</v>
      </c>
      <c r="C5790" s="94">
        <f>TEXT(B5790,"aaa")</f>
        <v/>
      </c>
      <c r="D5790" s="94" t="n"/>
      <c r="E5790" s="94" t="inlineStr">
        <is>
          <t>마스크팩</t>
        </is>
      </c>
      <c r="F5790" s="94" t="inlineStr">
        <is>
          <t>카페24</t>
        </is>
      </c>
      <c r="G5790" s="94" t="inlineStr">
        <is>
          <t>마스크팩 10매</t>
        </is>
      </c>
      <c r="H5790" s="7" t="n">
        <v>190801</v>
      </c>
      <c r="I5790" s="7" t="n">
        <v>190801</v>
      </c>
      <c r="J5790" s="94" t="n"/>
      <c r="K5790" s="6" t="n">
        <v>10</v>
      </c>
      <c r="L5790" s="94" t="n">
        <v>190801</v>
      </c>
      <c r="M5790" s="94">
        <f>VLOOKUP($Q5790,매칭테이블!$F:$I,2,0)*K5790</f>
        <v/>
      </c>
      <c r="N5790" s="94">
        <f>M5790-M5790*VLOOKUP($Q5790,매칭테이블!$F:$I,3,0)</f>
        <v/>
      </c>
      <c r="O5790" s="94">
        <f>VLOOKUP($Q5790,매칭테이블!$F:$I,4,0)*K5790</f>
        <v/>
      </c>
      <c r="P5790" s="148">
        <f>M5790/1.1</f>
        <v/>
      </c>
      <c r="Q5790" s="94">
        <f>F5790&amp;E5790&amp;G5790&amp;L5790</f>
        <v/>
      </c>
    </row>
    <row r="5791">
      <c r="A5791" s="94" t="n"/>
      <c r="B5791" s="128" t="n">
        <v>43945</v>
      </c>
      <c r="C5791" s="94">
        <f>TEXT(B5791,"aaa")</f>
        <v/>
      </c>
      <c r="D5791" s="94" t="n"/>
      <c r="E5791" s="6" t="inlineStr">
        <is>
          <t>토너</t>
        </is>
      </c>
      <c r="F5791" s="5" t="inlineStr">
        <is>
          <t>카페24</t>
        </is>
      </c>
      <c r="G5791" s="5" t="inlineStr">
        <is>
          <t>250ml</t>
        </is>
      </c>
      <c r="H5791" s="7" t="n">
        <v>190801</v>
      </c>
      <c r="I5791" s="7" t="n">
        <v>190801</v>
      </c>
      <c r="J5791" s="94" t="n"/>
      <c r="K5791" s="6" t="n">
        <v>38</v>
      </c>
      <c r="L5791" s="7" t="n">
        <v>190801</v>
      </c>
      <c r="M5791" s="94">
        <f>VLOOKUP($Q5791,매칭테이블!$F:$I,2,0)*K5791</f>
        <v/>
      </c>
      <c r="N5791" s="94">
        <f>M5791-M5791*VLOOKUP($Q5791,매칭테이블!$F:$I,3,0)</f>
        <v/>
      </c>
      <c r="O5791" s="94">
        <f>VLOOKUP($Q5791,매칭테이블!$F:$I,4,0)*K5791</f>
        <v/>
      </c>
      <c r="P5791" s="148">
        <f>M5791/1.1</f>
        <v/>
      </c>
      <c r="Q5791" s="94">
        <f>F5791&amp;E5791&amp;G5791&amp;L5791</f>
        <v/>
      </c>
    </row>
    <row r="5792">
      <c r="A5792" s="94" t="n"/>
      <c r="B5792" s="128" t="n">
        <v>43945</v>
      </c>
      <c r="C5792" s="94">
        <f>TEXT(B5792,"aaa")</f>
        <v/>
      </c>
      <c r="D5792" s="94" t="n"/>
      <c r="E5792" s="6" t="inlineStr">
        <is>
          <t>토너</t>
        </is>
      </c>
      <c r="F5792" s="5" t="inlineStr">
        <is>
          <t>카페24</t>
        </is>
      </c>
      <c r="G5792" s="5" t="inlineStr">
        <is>
          <t>250ml 2set</t>
        </is>
      </c>
      <c r="H5792" s="7" t="n">
        <v>190801</v>
      </c>
      <c r="I5792" s="7" t="n">
        <v>190801</v>
      </c>
      <c r="J5792" s="94" t="n"/>
      <c r="K5792" s="6" t="n">
        <v>33</v>
      </c>
      <c r="L5792" s="7" t="n">
        <v>190801</v>
      </c>
      <c r="M5792" s="94">
        <f>VLOOKUP($Q5792,매칭테이블!$F:$I,2,0)*K5792</f>
        <v/>
      </c>
      <c r="N5792" s="94">
        <f>M5792-M5792*VLOOKUP($Q5792,매칭테이블!$F:$I,3,0)</f>
        <v/>
      </c>
      <c r="O5792" s="94">
        <f>VLOOKUP($Q5792,매칭테이블!$F:$I,4,0)*K5792</f>
        <v/>
      </c>
      <c r="P5792" s="148">
        <f>M5792/1.1</f>
        <v/>
      </c>
      <c r="Q5792" s="94">
        <f>F5792&amp;E5792&amp;G5792&amp;L5792</f>
        <v/>
      </c>
    </row>
    <row r="5793">
      <c r="A5793" s="94" t="n"/>
      <c r="B5793" s="128" t="n">
        <v>43945</v>
      </c>
      <c r="C5793" s="94">
        <f>TEXT(B5793,"aaa")</f>
        <v/>
      </c>
      <c r="D5793" s="94" t="n"/>
      <c r="E5793" s="6" t="inlineStr">
        <is>
          <t>토너</t>
        </is>
      </c>
      <c r="F5793" s="5" t="inlineStr">
        <is>
          <t>카페24</t>
        </is>
      </c>
      <c r="G5793" s="5" t="inlineStr">
        <is>
          <t>500ml</t>
        </is>
      </c>
      <c r="H5793" s="7" t="n">
        <v>190801</v>
      </c>
      <c r="I5793" s="7" t="n">
        <v>190801</v>
      </c>
      <c r="J5793" s="94" t="n"/>
      <c r="K5793" s="6" t="n">
        <v>49</v>
      </c>
      <c r="L5793" s="7" t="n">
        <v>190801</v>
      </c>
      <c r="M5793" s="94">
        <f>VLOOKUP($Q5793,매칭테이블!$F:$I,2,0)*K5793</f>
        <v/>
      </c>
      <c r="N5793" s="94">
        <f>M5793-M5793*VLOOKUP($Q5793,매칭테이블!$F:$I,3,0)</f>
        <v/>
      </c>
      <c r="O5793" s="94">
        <f>VLOOKUP($Q5793,매칭테이블!$F:$I,4,0)*K5793</f>
        <v/>
      </c>
      <c r="P5793" s="148">
        <f>M5793/1.1</f>
        <v/>
      </c>
      <c r="Q5793" s="94">
        <f>F5793&amp;E5793&amp;G5793&amp;L5793</f>
        <v/>
      </c>
    </row>
    <row r="5794">
      <c r="A5794" s="94" t="n"/>
      <c r="B5794" s="128" t="n">
        <v>43945</v>
      </c>
      <c r="C5794" s="94">
        <f>TEXT(B5794,"aaa")</f>
        <v/>
      </c>
      <c r="D5794" s="94" t="n"/>
      <c r="E5794" s="6" t="inlineStr">
        <is>
          <t>토너</t>
        </is>
      </c>
      <c r="F5794" s="5" t="inlineStr">
        <is>
          <t>카페24</t>
        </is>
      </c>
      <c r="G5794" s="94" t="inlineStr">
        <is>
          <t>스킨팩 화장솜 60P</t>
        </is>
      </c>
      <c r="H5794" s="7" t="n">
        <v>190801</v>
      </c>
      <c r="I5794" s="7" t="n">
        <v>190801</v>
      </c>
      <c r="J5794" s="94" t="n"/>
      <c r="K5794" s="6" t="n">
        <v>49</v>
      </c>
      <c r="L5794" s="7" t="n">
        <v>190801</v>
      </c>
      <c r="M5794" s="94">
        <f>VLOOKUP($Q5794,매칭테이블!$F:$I,2,0)*K5794</f>
        <v/>
      </c>
      <c r="N5794" s="94">
        <f>M5794-M5794*VLOOKUP($Q5794,매칭테이블!$F:$I,3,0)</f>
        <v/>
      </c>
      <c r="O5794" s="94">
        <f>VLOOKUP($Q5794,매칭테이블!$F:$I,4,0)*K5794</f>
        <v/>
      </c>
      <c r="P5794" s="148">
        <f>M5794/1.1</f>
        <v/>
      </c>
      <c r="Q5794" s="94">
        <f>F5794&amp;E5794&amp;G5794&amp;L5794</f>
        <v/>
      </c>
    </row>
    <row r="5795">
      <c r="A5795" s="94" t="n"/>
      <c r="B5795" s="128" t="n">
        <v>43945</v>
      </c>
      <c r="C5795" s="94">
        <f>TEXT(B5795,"aaa")</f>
        <v/>
      </c>
      <c r="D5795" s="94" t="n"/>
      <c r="E5795" s="94" t="inlineStr">
        <is>
          <t>앰플</t>
        </is>
      </c>
      <c r="F5795" s="5" t="inlineStr">
        <is>
          <t>카페24</t>
        </is>
      </c>
      <c r="G5795" s="94" t="inlineStr">
        <is>
          <t>앰플 30ml</t>
        </is>
      </c>
      <c r="H5795" s="7" t="n">
        <v>190801</v>
      </c>
      <c r="I5795" s="7" t="n">
        <v>190801</v>
      </c>
      <c r="J5795" s="94" t="n"/>
      <c r="K5795" s="6" t="n">
        <v>5</v>
      </c>
      <c r="L5795" s="94" t="n">
        <v>190801</v>
      </c>
      <c r="M5795" s="94">
        <f>VLOOKUP($Q5795,매칭테이블!$F:$I,2,0)*K5795</f>
        <v/>
      </c>
      <c r="N5795" s="94">
        <f>M5795-M5795*VLOOKUP($Q5795,매칭테이블!$F:$I,3,0)</f>
        <v/>
      </c>
      <c r="O5795" s="94">
        <f>VLOOKUP($Q5795,매칭테이블!$F:$I,4,0)*K5795</f>
        <v/>
      </c>
      <c r="P5795" s="148">
        <f>M5795/1.1</f>
        <v/>
      </c>
      <c r="Q5795" s="94">
        <f>F5795&amp;E5795&amp;G5795&amp;L5795</f>
        <v/>
      </c>
    </row>
    <row r="5796">
      <c r="A5796" s="94" t="n"/>
      <c r="B5796" s="128" t="n">
        <v>43945</v>
      </c>
      <c r="C5796" s="94">
        <f>TEXT(B5796,"aaa")</f>
        <v/>
      </c>
      <c r="D5796" s="94" t="n"/>
      <c r="E5796" s="94" t="inlineStr">
        <is>
          <t>수딩크림</t>
        </is>
      </c>
      <c r="F5796" s="5" t="inlineStr">
        <is>
          <t>카페24</t>
        </is>
      </c>
      <c r="G5796" s="94" t="inlineStr">
        <is>
          <t>수딩크림 100ml</t>
        </is>
      </c>
      <c r="H5796" s="7" t="n">
        <v>190801</v>
      </c>
      <c r="I5796" s="7" t="n">
        <v>190801</v>
      </c>
      <c r="J5796" s="94" t="n"/>
      <c r="K5796" s="6" t="n">
        <v>3</v>
      </c>
      <c r="L5796" s="94" t="n">
        <v>190801</v>
      </c>
      <c r="M5796" s="94">
        <f>VLOOKUP($Q5796,매칭테이블!$F:$I,2,0)*K5796</f>
        <v/>
      </c>
      <c r="N5796" s="94">
        <f>M5796-M5796*VLOOKUP($Q5796,매칭테이블!$F:$I,3,0)</f>
        <v/>
      </c>
      <c r="O5796" s="94">
        <f>VLOOKUP($Q5796,매칭테이블!$F:$I,4,0)*K5796</f>
        <v/>
      </c>
      <c r="P5796" s="148">
        <f>M5796/1.1</f>
        <v/>
      </c>
      <c r="Q5796" s="94">
        <f>F5796&amp;E5796&amp;G5796&amp;L5796</f>
        <v/>
      </c>
    </row>
    <row r="5797">
      <c r="A5797" s="94" t="n"/>
      <c r="B5797" s="128" t="n">
        <v>43945</v>
      </c>
      <c r="C5797" s="94">
        <f>TEXT(B5797,"aaa")</f>
        <v/>
      </c>
      <c r="D5797" s="94" t="n"/>
      <c r="E5797" s="94" t="inlineStr">
        <is>
          <t>클렌징폼</t>
        </is>
      </c>
      <c r="F5797" s="94" t="inlineStr">
        <is>
          <t>카페24</t>
        </is>
      </c>
      <c r="G5797" s="94" t="inlineStr">
        <is>
          <t>클렌징폼 120ml</t>
        </is>
      </c>
      <c r="H5797" s="7" t="n">
        <v>190801</v>
      </c>
      <c r="I5797" s="7" t="n">
        <v>190801</v>
      </c>
      <c r="J5797" s="94" t="n"/>
      <c r="K5797" s="6" t="n">
        <v>4</v>
      </c>
      <c r="L5797" s="92" t="n">
        <v>190801</v>
      </c>
      <c r="M5797" s="94">
        <f>VLOOKUP($Q5797,매칭테이블!$F:$I,2,0)*K5797</f>
        <v/>
      </c>
      <c r="N5797" s="94">
        <f>M5797-M5797*VLOOKUP($Q5797,매칭테이블!$F:$I,3,0)</f>
        <v/>
      </c>
      <c r="O5797" s="94">
        <f>VLOOKUP($Q5797,매칭테이블!$F:$I,4,0)*K5797</f>
        <v/>
      </c>
      <c r="P5797" s="148">
        <f>M5797/1.1</f>
        <v/>
      </c>
      <c r="Q5797" s="94">
        <f>F5797&amp;E5797&amp;G5797&amp;L5797</f>
        <v/>
      </c>
    </row>
    <row r="5798">
      <c r="A5798" s="94" t="n"/>
      <c r="B5798" s="128" t="n">
        <v>43945</v>
      </c>
      <c r="C5798" s="94">
        <f>TEXT(B5798,"aaa")</f>
        <v/>
      </c>
      <c r="D5798" s="94" t="n"/>
      <c r="E5798" s="94" t="inlineStr">
        <is>
          <t>클렌징폼</t>
        </is>
      </c>
      <c r="F5798" s="94" t="inlineStr">
        <is>
          <t>카페24</t>
        </is>
      </c>
      <c r="G5798" s="94" t="inlineStr">
        <is>
          <t>클렌징폼 120ml 2set</t>
        </is>
      </c>
      <c r="H5798" s="7" t="n">
        <v>190801</v>
      </c>
      <c r="I5798" s="7" t="n">
        <v>190801</v>
      </c>
      <c r="J5798" s="94" t="n"/>
      <c r="K5798" s="6" t="n">
        <v>1</v>
      </c>
      <c r="L5798" s="92" t="n">
        <v>190801</v>
      </c>
      <c r="M5798" s="94">
        <f>VLOOKUP($Q5798,매칭테이블!$F:$I,2,0)*K5798</f>
        <v/>
      </c>
      <c r="N5798" s="94">
        <f>M5798-M5798*VLOOKUP($Q5798,매칭테이블!$F:$I,3,0)</f>
        <v/>
      </c>
      <c r="O5798" s="94">
        <f>VLOOKUP($Q5798,매칭테이블!$F:$I,4,0)*K5798</f>
        <v/>
      </c>
      <c r="P5798" s="148">
        <f>M5798/1.1</f>
        <v/>
      </c>
      <c r="Q5798" s="94">
        <f>F5798&amp;E5798&amp;G5798&amp;L5798</f>
        <v/>
      </c>
    </row>
    <row r="5799">
      <c r="A5799" s="94" t="n"/>
      <c r="B5799" s="128" t="n">
        <v>43945</v>
      </c>
      <c r="C5799" s="94">
        <f>TEXT(B5799,"aaa")</f>
        <v/>
      </c>
      <c r="D5799" s="94" t="n"/>
      <c r="E5799" s="94" t="inlineStr">
        <is>
          <t>토너+머드크림세트</t>
        </is>
      </c>
      <c r="F5799" s="94" t="inlineStr">
        <is>
          <t>카페24</t>
        </is>
      </c>
      <c r="G5799" s="94" t="inlineStr">
        <is>
          <t>250ml</t>
        </is>
      </c>
      <c r="H5799" s="7" t="n">
        <v>190801</v>
      </c>
      <c r="I5799" s="7" t="n">
        <v>190801</v>
      </c>
      <c r="J5799" s="94" t="n"/>
      <c r="K5799" s="6" t="n">
        <v>1</v>
      </c>
      <c r="L5799" s="94" t="n">
        <v>190801</v>
      </c>
      <c r="M5799" s="94">
        <f>VLOOKUP($Q5799,매칭테이블!$F:$I,2,0)*K5799</f>
        <v/>
      </c>
      <c r="N5799" s="94">
        <f>M5799-M5799*VLOOKUP($Q5799,매칭테이블!$F:$I,3,0)</f>
        <v/>
      </c>
      <c r="O5799" s="94">
        <f>VLOOKUP($Q5799,매칭테이블!$F:$I,4,0)*K5799</f>
        <v/>
      </c>
      <c r="P5799" s="148">
        <f>M5799/1.1</f>
        <v/>
      </c>
      <c r="Q5799" s="94">
        <f>F5799&amp;E5799&amp;G5799&amp;L5799</f>
        <v/>
      </c>
    </row>
    <row r="5800">
      <c r="A5800" s="94" t="n"/>
      <c r="B5800" s="128" t="n">
        <v>43945</v>
      </c>
      <c r="C5800" s="94">
        <f>TEXT(B5800,"aaa")</f>
        <v/>
      </c>
      <c r="D5800" s="94" t="n"/>
      <c r="E5800" s="94" t="inlineStr">
        <is>
          <t>토너+머드크림세트</t>
        </is>
      </c>
      <c r="F5800" s="94" t="inlineStr">
        <is>
          <t>카페24</t>
        </is>
      </c>
      <c r="G5800" s="94" t="inlineStr">
        <is>
          <t>머드크림마스크 100ml</t>
        </is>
      </c>
      <c r="H5800" s="7" t="n">
        <v>190801</v>
      </c>
      <c r="I5800" s="7" t="n">
        <v>190801</v>
      </c>
      <c r="J5800" s="94" t="n"/>
      <c r="K5800" s="6" t="n">
        <v>1</v>
      </c>
      <c r="L5800" s="94" t="n">
        <v>190801</v>
      </c>
      <c r="M5800" s="94">
        <f>VLOOKUP($Q5800,매칭테이블!$F:$I,2,0)*K5800</f>
        <v/>
      </c>
      <c r="N5800" s="94">
        <f>M5800-M5800*VLOOKUP($Q5800,매칭테이블!$F:$I,3,0)</f>
        <v/>
      </c>
      <c r="O5800" s="94">
        <f>VLOOKUP($Q5800,매칭테이블!$F:$I,4,0)*K5800</f>
        <v/>
      </c>
      <c r="P5800" s="148">
        <f>M5800/1.1</f>
        <v/>
      </c>
      <c r="Q5800" s="94">
        <f>F5800&amp;E5800&amp;G5800&amp;L5800</f>
        <v/>
      </c>
    </row>
    <row r="5801">
      <c r="A5801" s="94" t="n"/>
      <c r="B5801" s="128" t="n">
        <v>43945</v>
      </c>
      <c r="C5801" s="94">
        <f>TEXT(B5801,"aaa")</f>
        <v/>
      </c>
      <c r="D5801" s="94" t="n"/>
      <c r="E5801" s="6" t="inlineStr">
        <is>
          <t>토너</t>
        </is>
      </c>
      <c r="F5801" s="94" t="inlineStr">
        <is>
          <t>큐텐</t>
        </is>
      </c>
      <c r="G5801" s="5" t="inlineStr">
        <is>
          <t>250ml</t>
        </is>
      </c>
      <c r="H5801" s="7" t="n">
        <v>190801</v>
      </c>
      <c r="I5801" s="7" t="n">
        <v>190801</v>
      </c>
      <c r="J5801" s="94" t="n"/>
      <c r="K5801" s="6" t="n">
        <v>32</v>
      </c>
      <c r="L5801" s="94" t="n">
        <v>190801</v>
      </c>
      <c r="M5801" s="94">
        <f>VLOOKUP($Q5801,매칭테이블!$F:$I,2,0)*K5801</f>
        <v/>
      </c>
      <c r="N5801" s="94">
        <f>M5801-M5801*VLOOKUP($Q5801,매칭테이블!$F:$I,3,0)</f>
        <v/>
      </c>
      <c r="O5801" s="94">
        <f>VLOOKUP($Q5801,매칭테이블!$F:$I,4,0)*K5801</f>
        <v/>
      </c>
      <c r="P5801" s="148">
        <f>M5801/1.1</f>
        <v/>
      </c>
      <c r="Q5801" s="94">
        <f>F5801&amp;E5801&amp;G5801&amp;L5801</f>
        <v/>
      </c>
    </row>
    <row r="5802">
      <c r="A5802" s="94" t="n"/>
      <c r="B5802" s="128" t="n">
        <v>43945</v>
      </c>
      <c r="C5802" s="94">
        <f>TEXT(B5802,"aaa")</f>
        <v/>
      </c>
      <c r="D5802" s="94" t="n"/>
      <c r="E5802" s="6" t="inlineStr">
        <is>
          <t>토너</t>
        </is>
      </c>
      <c r="F5802" s="94" t="inlineStr">
        <is>
          <t>큐텐</t>
        </is>
      </c>
      <c r="G5802" s="5" t="inlineStr">
        <is>
          <t>250ml 2set</t>
        </is>
      </c>
      <c r="H5802" s="7" t="n">
        <v>190801</v>
      </c>
      <c r="I5802" s="7" t="n">
        <v>190801</v>
      </c>
      <c r="J5802" s="94" t="n"/>
      <c r="K5802" s="6" t="n">
        <v>13</v>
      </c>
      <c r="L5802" s="94" t="n">
        <v>190801</v>
      </c>
      <c r="M5802" s="94">
        <f>VLOOKUP($Q5802,매칭테이블!$F:$I,2,0)*K5802</f>
        <v/>
      </c>
      <c r="N5802" s="94">
        <f>M5802-M5802*VLOOKUP($Q5802,매칭테이블!$F:$I,3,0)</f>
        <v/>
      </c>
      <c r="O5802" s="94">
        <f>VLOOKUP($Q5802,매칭테이블!$F:$I,4,0)*K5802</f>
        <v/>
      </c>
      <c r="P5802" s="148">
        <f>M5802/1.1</f>
        <v/>
      </c>
      <c r="Q5802" s="94">
        <f>F5802&amp;E5802&amp;G5802&amp;L5802</f>
        <v/>
      </c>
    </row>
    <row r="5803">
      <c r="A5803" s="94" t="n"/>
      <c r="B5803" s="128" t="n">
        <v>43945</v>
      </c>
      <c r="C5803" s="94">
        <f>TEXT(B5803,"aaa")</f>
        <v/>
      </c>
      <c r="D5803" s="94" t="n"/>
      <c r="E5803" s="94" t="inlineStr">
        <is>
          <t>앰플</t>
        </is>
      </c>
      <c r="F5803" s="94" t="inlineStr">
        <is>
          <t>큐텐</t>
        </is>
      </c>
      <c r="G5803" s="94" t="inlineStr">
        <is>
          <t>앰플 30ml</t>
        </is>
      </c>
      <c r="H5803" s="7" t="n">
        <v>190801</v>
      </c>
      <c r="I5803" s="7" t="n">
        <v>190801</v>
      </c>
      <c r="J5803" s="94" t="n"/>
      <c r="K5803" s="6" t="n">
        <v>8</v>
      </c>
      <c r="L5803" s="94" t="n">
        <v>190801</v>
      </c>
      <c r="M5803" s="94">
        <f>VLOOKUP($Q5803,매칭테이블!$F:$I,2,0)*K5803</f>
        <v/>
      </c>
      <c r="N5803" s="94">
        <f>M5803-M5803*VLOOKUP($Q5803,매칭테이블!$F:$I,3,0)</f>
        <v/>
      </c>
      <c r="O5803" s="94">
        <f>VLOOKUP($Q5803,매칭테이블!$F:$I,4,0)*K5803</f>
        <v/>
      </c>
      <c r="P5803" s="148">
        <f>M5803/1.1</f>
        <v/>
      </c>
      <c r="Q5803" s="94">
        <f>F5803&amp;E5803&amp;G5803&amp;L5803</f>
        <v/>
      </c>
    </row>
    <row r="5804">
      <c r="A5804" s="94" t="n"/>
      <c r="B5804" s="128" t="n">
        <v>43945</v>
      </c>
      <c r="C5804" s="94">
        <f>TEXT(B5804,"aaa")</f>
        <v/>
      </c>
      <c r="D5804" s="94" t="n"/>
      <c r="E5804" s="94" t="inlineStr">
        <is>
          <t>머드크림마스크</t>
        </is>
      </c>
      <c r="F5804" s="94" t="inlineStr">
        <is>
          <t>큐텐</t>
        </is>
      </c>
      <c r="G5804" s="94" t="inlineStr">
        <is>
          <t>머드크림마스크 100ml</t>
        </is>
      </c>
      <c r="H5804" s="7" t="n">
        <v>190801</v>
      </c>
      <c r="I5804" s="7" t="n">
        <v>190801</v>
      </c>
      <c r="J5804" s="94" t="n"/>
      <c r="K5804" s="6" t="n">
        <v>4</v>
      </c>
      <c r="L5804" s="94" t="n">
        <v>190801</v>
      </c>
      <c r="M5804" s="94">
        <f>VLOOKUP($Q5804,매칭테이블!$F:$I,2,0)*K5804</f>
        <v/>
      </c>
      <c r="N5804" s="94">
        <f>M5804-M5804*VLOOKUP($Q5804,매칭테이블!$F:$I,3,0)</f>
        <v/>
      </c>
      <c r="O5804" s="94">
        <f>VLOOKUP($Q5804,매칭테이블!$F:$I,4,0)*K5804</f>
        <v/>
      </c>
      <c r="P5804" s="148">
        <f>M5804/1.1</f>
        <v/>
      </c>
      <c r="Q5804" s="94">
        <f>F5804&amp;E5804&amp;G5804&amp;L5804</f>
        <v/>
      </c>
    </row>
    <row r="5805">
      <c r="A5805" s="94" t="n"/>
      <c r="B5805" s="128" t="n">
        <v>43945</v>
      </c>
      <c r="C5805" s="94">
        <f>TEXT(B5805,"aaa")</f>
        <v/>
      </c>
      <c r="D5805" s="94" t="n"/>
      <c r="E5805" s="94" t="inlineStr">
        <is>
          <t>마스크팩</t>
        </is>
      </c>
      <c r="F5805" s="94" t="inlineStr">
        <is>
          <t>큐텐</t>
        </is>
      </c>
      <c r="G5805" s="94" t="inlineStr">
        <is>
          <t>마스크팩 10매</t>
        </is>
      </c>
      <c r="H5805" s="7" t="n">
        <v>190801</v>
      </c>
      <c r="I5805" s="7" t="n">
        <v>190801</v>
      </c>
      <c r="J5805" s="94" t="n"/>
      <c r="K5805" s="6" t="n">
        <v>1</v>
      </c>
      <c r="L5805" s="94" t="n">
        <v>190801</v>
      </c>
      <c r="M5805" s="94">
        <f>VLOOKUP($Q5805,매칭테이블!$F:$I,2,0)*K5805</f>
        <v/>
      </c>
      <c r="N5805" s="94">
        <f>M5805-M5805*VLOOKUP($Q5805,매칭테이블!$F:$I,3,0)</f>
        <v/>
      </c>
      <c r="O5805" s="94">
        <f>VLOOKUP($Q5805,매칭테이블!$F:$I,4,0)*K5805</f>
        <v/>
      </c>
      <c r="P5805" s="148">
        <f>M5805/1.1</f>
        <v/>
      </c>
      <c r="Q5805" s="94">
        <f>F5805&amp;E5805&amp;G5805&amp;L5805</f>
        <v/>
      </c>
    </row>
    <row r="5806">
      <c r="A5806" s="94" t="n"/>
      <c r="B5806" s="128" t="n">
        <v>43946</v>
      </c>
      <c r="C5806" s="94">
        <f>TEXT(B5806,"aaa")</f>
        <v/>
      </c>
      <c r="D5806" s="94" t="n"/>
      <c r="E5806" s="94" t="inlineStr">
        <is>
          <t>토너</t>
        </is>
      </c>
      <c r="F5806" s="5" t="inlineStr">
        <is>
          <t>스타일쉐어</t>
        </is>
      </c>
      <c r="G5806" s="94" t="inlineStr">
        <is>
          <t>250ml</t>
        </is>
      </c>
      <c r="H5806" s="7" t="n">
        <v>190801</v>
      </c>
      <c r="I5806" s="7" t="n">
        <v>190801</v>
      </c>
      <c r="J5806" s="94" t="n"/>
      <c r="K5806" s="6" t="n">
        <v>1</v>
      </c>
      <c r="L5806" s="7" t="n">
        <v>190801</v>
      </c>
      <c r="M5806" s="94">
        <f>VLOOKUP($Q5806,매칭테이블!$F:$I,2,0)*K5806</f>
        <v/>
      </c>
      <c r="N5806" s="94">
        <f>M5806-M5806*VLOOKUP($Q5806,매칭테이블!$F:$I,3,0)</f>
        <v/>
      </c>
      <c r="O5806" s="94">
        <f>VLOOKUP($Q5806,매칭테이블!$F:$I,4,0)*K5806</f>
        <v/>
      </c>
      <c r="P5806" s="148">
        <f>M5806/1.1</f>
        <v/>
      </c>
      <c r="Q5806" s="94">
        <f>F5806&amp;E5806&amp;G5806&amp;L5806</f>
        <v/>
      </c>
    </row>
    <row r="5807">
      <c r="A5807" s="94" t="n"/>
      <c r="B5807" s="128" t="n">
        <v>43946</v>
      </c>
      <c r="C5807" s="94">
        <f>TEXT(B5807,"aaa")</f>
        <v/>
      </c>
      <c r="D5807" s="94" t="n"/>
      <c r="E5807" s="94" t="inlineStr">
        <is>
          <t>어성초진정패키지</t>
        </is>
      </c>
      <c r="F5807" s="94" t="inlineStr">
        <is>
          <t>카페24</t>
        </is>
      </c>
      <c r="G5807" s="94" t="inlineStr">
        <is>
          <t>어성초 진정패키지세트</t>
        </is>
      </c>
      <c r="H5807" s="7" t="n">
        <v>190801</v>
      </c>
      <c r="I5807" s="7" t="n">
        <v>190801</v>
      </c>
      <c r="J5807" s="94" t="n"/>
      <c r="K5807" s="6" t="n">
        <v>4</v>
      </c>
      <c r="L5807" s="94" t="n">
        <v>190801</v>
      </c>
      <c r="M5807" s="94">
        <f>VLOOKUP($Q5807,매칭테이블!$F:$I,2,0)*K5807</f>
        <v/>
      </c>
      <c r="N5807" s="94">
        <f>M5807-M5807*VLOOKUP($Q5807,매칭테이블!$F:$I,3,0)</f>
        <v/>
      </c>
      <c r="O5807" s="94">
        <f>VLOOKUP($Q5807,매칭테이블!$F:$I,4,0)*K5807</f>
        <v/>
      </c>
      <c r="P5807" s="148">
        <f>M5807/1.1</f>
        <v/>
      </c>
      <c r="Q5807" s="94">
        <f>F5807&amp;E5807&amp;G5807&amp;L5807</f>
        <v/>
      </c>
    </row>
    <row r="5808">
      <c r="A5808" s="94" t="n"/>
      <c r="B5808" s="128" t="n">
        <v>43946</v>
      </c>
      <c r="C5808" s="94">
        <f>TEXT(B5808,"aaa")</f>
        <v/>
      </c>
      <c r="D5808" s="94" t="n"/>
      <c r="E5808" s="94" t="inlineStr">
        <is>
          <t>머드크림마스크</t>
        </is>
      </c>
      <c r="F5808" s="94" t="inlineStr">
        <is>
          <t>카페24</t>
        </is>
      </c>
      <c r="G5808" s="94" t="inlineStr">
        <is>
          <t>머드크림마스크 100ml</t>
        </is>
      </c>
      <c r="H5808" s="7" t="n">
        <v>190801</v>
      </c>
      <c r="I5808" s="7" t="n">
        <v>190801</v>
      </c>
      <c r="J5808" s="94" t="n"/>
      <c r="K5808" s="6" t="n">
        <v>2</v>
      </c>
      <c r="L5808" s="94" t="n">
        <v>190801</v>
      </c>
      <c r="M5808" s="94">
        <f>VLOOKUP($Q5808,매칭테이블!$F:$I,2,0)*K5808</f>
        <v/>
      </c>
      <c r="N5808" s="94">
        <f>M5808-M5808*VLOOKUP($Q5808,매칭테이블!$F:$I,3,0)</f>
        <v/>
      </c>
      <c r="O5808" s="94">
        <f>VLOOKUP($Q5808,매칭테이블!$F:$I,4,0)*K5808</f>
        <v/>
      </c>
      <c r="P5808" s="148">
        <f>M5808/1.1</f>
        <v/>
      </c>
      <c r="Q5808" s="94">
        <f>F5808&amp;E5808&amp;G5808&amp;L5808</f>
        <v/>
      </c>
    </row>
    <row r="5809">
      <c r="A5809" s="94" t="n"/>
      <c r="B5809" s="128" t="n">
        <v>43946</v>
      </c>
      <c r="C5809" s="94">
        <f>TEXT(B5809,"aaa")</f>
        <v/>
      </c>
      <c r="D5809" s="94" t="n"/>
      <c r="E5809" s="94" t="inlineStr">
        <is>
          <t>머드크림마스크</t>
        </is>
      </c>
      <c r="F5809" s="94" t="inlineStr">
        <is>
          <t>카페24</t>
        </is>
      </c>
      <c r="G5809" s="94" t="inlineStr">
        <is>
          <t>머드크림마스크 100ml 2set</t>
        </is>
      </c>
      <c r="H5809" s="7" t="n">
        <v>190801</v>
      </c>
      <c r="I5809" s="7" t="n">
        <v>190801</v>
      </c>
      <c r="J5809" s="94" t="n"/>
      <c r="K5809" s="6" t="n">
        <v>2</v>
      </c>
      <c r="L5809" s="94" t="n">
        <v>190801</v>
      </c>
      <c r="M5809" s="94">
        <f>VLOOKUP($Q5809,매칭테이블!$F:$I,2,0)*K5809</f>
        <v/>
      </c>
      <c r="N5809" s="94">
        <f>M5809-M5809*VLOOKUP($Q5809,매칭테이블!$F:$I,3,0)</f>
        <v/>
      </c>
      <c r="O5809" s="94">
        <f>VLOOKUP($Q5809,매칭테이블!$F:$I,4,0)*K5809</f>
        <v/>
      </c>
      <c r="P5809" s="148">
        <f>M5809/1.1</f>
        <v/>
      </c>
      <c r="Q5809" s="94">
        <f>F5809&amp;E5809&amp;G5809&amp;L5809</f>
        <v/>
      </c>
    </row>
    <row r="5810">
      <c r="A5810" s="94" t="n"/>
      <c r="B5810" s="128" t="n">
        <v>43946</v>
      </c>
      <c r="C5810" s="94">
        <f>TEXT(B5810,"aaa")</f>
        <v/>
      </c>
      <c r="D5810" s="94" t="n"/>
      <c r="E5810" s="94" t="inlineStr">
        <is>
          <t>마스크팩</t>
        </is>
      </c>
      <c r="F5810" s="94" t="inlineStr">
        <is>
          <t>카페24</t>
        </is>
      </c>
      <c r="G5810" s="94" t="inlineStr">
        <is>
          <t>마스크팩 1매</t>
        </is>
      </c>
      <c r="H5810" s="7" t="n">
        <v>190801</v>
      </c>
      <c r="I5810" s="7" t="n">
        <v>190801</v>
      </c>
      <c r="J5810" s="94" t="n"/>
      <c r="K5810" s="6" t="n">
        <v>2</v>
      </c>
      <c r="L5810" s="94" t="n">
        <v>190801</v>
      </c>
      <c r="M5810" s="94">
        <f>VLOOKUP($Q5810,매칭테이블!$F:$I,2,0)*K5810</f>
        <v/>
      </c>
      <c r="N5810" s="94">
        <f>M5810-M5810*VLOOKUP($Q5810,매칭테이블!$F:$I,3,0)</f>
        <v/>
      </c>
      <c r="O5810" s="94">
        <f>VLOOKUP($Q5810,매칭테이블!$F:$I,4,0)*K5810</f>
        <v/>
      </c>
      <c r="P5810" s="148">
        <f>M5810/1.1</f>
        <v/>
      </c>
      <c r="Q5810" s="94">
        <f>F5810&amp;E5810&amp;G5810&amp;L5810</f>
        <v/>
      </c>
    </row>
    <row r="5811">
      <c r="A5811" s="94" t="n"/>
      <c r="B5811" s="128" t="n">
        <v>43946</v>
      </c>
      <c r="C5811" s="94">
        <f>TEXT(B5811,"aaa")</f>
        <v/>
      </c>
      <c r="D5811" s="94" t="n"/>
      <c r="E5811" s="94" t="inlineStr">
        <is>
          <t>마스크팩</t>
        </is>
      </c>
      <c r="F5811" s="94" t="inlineStr">
        <is>
          <t>카페24</t>
        </is>
      </c>
      <c r="G5811" s="94" t="inlineStr">
        <is>
          <t>마스크팩 10매</t>
        </is>
      </c>
      <c r="H5811" s="7" t="n">
        <v>190801</v>
      </c>
      <c r="I5811" s="7" t="n">
        <v>190801</v>
      </c>
      <c r="J5811" s="94" t="n"/>
      <c r="K5811" s="6" t="n">
        <v>1</v>
      </c>
      <c r="L5811" s="94" t="n">
        <v>190801</v>
      </c>
      <c r="M5811" s="94">
        <f>VLOOKUP($Q5811,매칭테이블!$F:$I,2,0)*K5811</f>
        <v/>
      </c>
      <c r="N5811" s="94">
        <f>M5811-M5811*VLOOKUP($Q5811,매칭테이블!$F:$I,3,0)</f>
        <v/>
      </c>
      <c r="O5811" s="94">
        <f>VLOOKUP($Q5811,매칭테이블!$F:$I,4,0)*K5811</f>
        <v/>
      </c>
      <c r="P5811" s="148">
        <f>M5811/1.1</f>
        <v/>
      </c>
      <c r="Q5811" s="94">
        <f>F5811&amp;E5811&amp;G5811&amp;L5811</f>
        <v/>
      </c>
    </row>
    <row r="5812">
      <c r="A5812" s="94" t="n"/>
      <c r="B5812" s="128" t="n">
        <v>43946</v>
      </c>
      <c r="C5812" s="94">
        <f>TEXT(B5812,"aaa")</f>
        <v/>
      </c>
      <c r="D5812" s="94" t="n"/>
      <c r="E5812" s="6" t="inlineStr">
        <is>
          <t>토너</t>
        </is>
      </c>
      <c r="F5812" s="5" t="inlineStr">
        <is>
          <t>카페24</t>
        </is>
      </c>
      <c r="G5812" s="5" t="inlineStr">
        <is>
          <t>250ml</t>
        </is>
      </c>
      <c r="H5812" s="7" t="n">
        <v>190801</v>
      </c>
      <c r="I5812" s="7" t="n">
        <v>190801</v>
      </c>
      <c r="J5812" s="94" t="n"/>
      <c r="K5812" s="6" t="n">
        <v>49</v>
      </c>
      <c r="L5812" s="7" t="n">
        <v>190801</v>
      </c>
      <c r="M5812" s="94">
        <f>VLOOKUP($Q5812,매칭테이블!$F:$I,2,0)*K5812</f>
        <v/>
      </c>
      <c r="N5812" s="94">
        <f>M5812-M5812*VLOOKUP($Q5812,매칭테이블!$F:$I,3,0)</f>
        <v/>
      </c>
      <c r="O5812" s="94">
        <f>VLOOKUP($Q5812,매칭테이블!$F:$I,4,0)*K5812</f>
        <v/>
      </c>
      <c r="P5812" s="148">
        <f>M5812/1.1</f>
        <v/>
      </c>
      <c r="Q5812" s="94">
        <f>F5812&amp;E5812&amp;G5812&amp;L5812</f>
        <v/>
      </c>
    </row>
    <row r="5813">
      <c r="A5813" s="94" t="n"/>
      <c r="B5813" s="128" t="n">
        <v>43946</v>
      </c>
      <c r="C5813" s="94">
        <f>TEXT(B5813,"aaa")</f>
        <v/>
      </c>
      <c r="D5813" s="94" t="n"/>
      <c r="E5813" s="6" t="inlineStr">
        <is>
          <t>토너</t>
        </is>
      </c>
      <c r="F5813" s="5" t="inlineStr">
        <is>
          <t>카페24</t>
        </is>
      </c>
      <c r="G5813" s="5" t="inlineStr">
        <is>
          <t>250ml 2set</t>
        </is>
      </c>
      <c r="H5813" s="7" t="n">
        <v>190801</v>
      </c>
      <c r="I5813" s="7" t="n">
        <v>190801</v>
      </c>
      <c r="J5813" s="94" t="n"/>
      <c r="K5813" s="6" t="n">
        <v>31</v>
      </c>
      <c r="L5813" s="7" t="n">
        <v>190801</v>
      </c>
      <c r="M5813" s="94">
        <f>VLOOKUP($Q5813,매칭테이블!$F:$I,2,0)*K5813</f>
        <v/>
      </c>
      <c r="N5813" s="94">
        <f>M5813-M5813*VLOOKUP($Q5813,매칭테이블!$F:$I,3,0)</f>
        <v/>
      </c>
      <c r="O5813" s="94">
        <f>VLOOKUP($Q5813,매칭테이블!$F:$I,4,0)*K5813</f>
        <v/>
      </c>
      <c r="P5813" s="148">
        <f>M5813/1.1</f>
        <v/>
      </c>
      <c r="Q5813" s="94">
        <f>F5813&amp;E5813&amp;G5813&amp;L5813</f>
        <v/>
      </c>
    </row>
    <row r="5814">
      <c r="A5814" s="94" t="n"/>
      <c r="B5814" s="128" t="n">
        <v>43946</v>
      </c>
      <c r="C5814" s="94">
        <f>TEXT(B5814,"aaa")</f>
        <v/>
      </c>
      <c r="D5814" s="94" t="n"/>
      <c r="E5814" s="6" t="inlineStr">
        <is>
          <t>토너</t>
        </is>
      </c>
      <c r="F5814" s="5" t="inlineStr">
        <is>
          <t>카페24</t>
        </is>
      </c>
      <c r="G5814" s="5" t="inlineStr">
        <is>
          <t>500ml</t>
        </is>
      </c>
      <c r="H5814" s="7" t="n">
        <v>190801</v>
      </c>
      <c r="I5814" s="7" t="n">
        <v>190801</v>
      </c>
      <c r="J5814" s="94" t="n"/>
      <c r="K5814" s="6" t="n">
        <v>33</v>
      </c>
      <c r="L5814" s="7" t="n">
        <v>190801</v>
      </c>
      <c r="M5814" s="94">
        <f>VLOOKUP($Q5814,매칭테이블!$F:$I,2,0)*K5814</f>
        <v/>
      </c>
      <c r="N5814" s="94">
        <f>M5814-M5814*VLOOKUP($Q5814,매칭테이블!$F:$I,3,0)</f>
        <v/>
      </c>
      <c r="O5814" s="94">
        <f>VLOOKUP($Q5814,매칭테이블!$F:$I,4,0)*K5814</f>
        <v/>
      </c>
      <c r="P5814" s="148">
        <f>M5814/1.1</f>
        <v/>
      </c>
      <c r="Q5814" s="94">
        <f>F5814&amp;E5814&amp;G5814&amp;L5814</f>
        <v/>
      </c>
    </row>
    <row r="5815">
      <c r="A5815" s="94" t="n"/>
      <c r="B5815" s="128" t="n">
        <v>43946</v>
      </c>
      <c r="C5815" s="94">
        <f>TEXT(B5815,"aaa")</f>
        <v/>
      </c>
      <c r="D5815" s="94" t="n"/>
      <c r="E5815" s="6" t="inlineStr">
        <is>
          <t>토너</t>
        </is>
      </c>
      <c r="F5815" s="5" t="inlineStr">
        <is>
          <t>카페24</t>
        </is>
      </c>
      <c r="G5815" s="94" t="inlineStr">
        <is>
          <t>스킨팩 화장솜 60P</t>
        </is>
      </c>
      <c r="H5815" s="7" t="n">
        <v>190801</v>
      </c>
      <c r="I5815" s="7" t="n">
        <v>190801</v>
      </c>
      <c r="J5815" s="94" t="n"/>
      <c r="K5815" s="6" t="n">
        <v>39</v>
      </c>
      <c r="L5815" s="7" t="n">
        <v>190801</v>
      </c>
      <c r="M5815" s="94">
        <f>VLOOKUP($Q5815,매칭테이블!$F:$I,2,0)*K5815</f>
        <v/>
      </c>
      <c r="N5815" s="94">
        <f>M5815-M5815*VLOOKUP($Q5815,매칭테이블!$F:$I,3,0)</f>
        <v/>
      </c>
      <c r="O5815" s="94">
        <f>VLOOKUP($Q5815,매칭테이블!$F:$I,4,0)*K5815</f>
        <v/>
      </c>
      <c r="P5815" s="148">
        <f>M5815/1.1</f>
        <v/>
      </c>
      <c r="Q5815" s="94">
        <f>F5815&amp;E5815&amp;G5815&amp;L5815</f>
        <v/>
      </c>
    </row>
    <row r="5816">
      <c r="A5816" s="94" t="n"/>
      <c r="B5816" s="128" t="n">
        <v>43946</v>
      </c>
      <c r="C5816" s="94">
        <f>TEXT(B5816,"aaa")</f>
        <v/>
      </c>
      <c r="D5816" s="94" t="n"/>
      <c r="E5816" s="94" t="inlineStr">
        <is>
          <t>앰플</t>
        </is>
      </c>
      <c r="F5816" s="5" t="inlineStr">
        <is>
          <t>카페24</t>
        </is>
      </c>
      <c r="G5816" s="94" t="inlineStr">
        <is>
          <t>앰플 30ml</t>
        </is>
      </c>
      <c r="H5816" s="7" t="n">
        <v>190801</v>
      </c>
      <c r="I5816" s="7" t="n">
        <v>190801</v>
      </c>
      <c r="J5816" s="94" t="n"/>
      <c r="K5816" s="6" t="n">
        <v>12</v>
      </c>
      <c r="L5816" s="94" t="n">
        <v>190801</v>
      </c>
      <c r="M5816" s="94">
        <f>VLOOKUP($Q5816,매칭테이블!$F:$I,2,0)*K5816</f>
        <v/>
      </c>
      <c r="N5816" s="94">
        <f>M5816-M5816*VLOOKUP($Q5816,매칭테이블!$F:$I,3,0)</f>
        <v/>
      </c>
      <c r="O5816" s="94">
        <f>VLOOKUP($Q5816,매칭테이블!$F:$I,4,0)*K5816</f>
        <v/>
      </c>
      <c r="P5816" s="148">
        <f>M5816/1.1</f>
        <v/>
      </c>
      <c r="Q5816" s="94">
        <f>F5816&amp;E5816&amp;G5816&amp;L5816</f>
        <v/>
      </c>
    </row>
    <row r="5817">
      <c r="A5817" s="94" t="n"/>
      <c r="B5817" s="128" t="n">
        <v>43946</v>
      </c>
      <c r="C5817" s="94">
        <f>TEXT(B5817,"aaa")</f>
        <v/>
      </c>
      <c r="D5817" s="94" t="n"/>
      <c r="E5817" s="94" t="inlineStr">
        <is>
          <t>수딩크림</t>
        </is>
      </c>
      <c r="F5817" s="5" t="inlineStr">
        <is>
          <t>카페24</t>
        </is>
      </c>
      <c r="G5817" s="94" t="inlineStr">
        <is>
          <t>수딩크림 100ml</t>
        </is>
      </c>
      <c r="H5817" s="7" t="n">
        <v>190801</v>
      </c>
      <c r="I5817" s="7" t="n">
        <v>190801</v>
      </c>
      <c r="J5817" s="94" t="n"/>
      <c r="K5817" s="6" t="n">
        <v>8</v>
      </c>
      <c r="L5817" s="94" t="n">
        <v>190801</v>
      </c>
      <c r="M5817" s="94">
        <f>VLOOKUP($Q5817,매칭테이블!$F:$I,2,0)*K5817</f>
        <v/>
      </c>
      <c r="N5817" s="94">
        <f>M5817-M5817*VLOOKUP($Q5817,매칭테이블!$F:$I,3,0)</f>
        <v/>
      </c>
      <c r="O5817" s="94">
        <f>VLOOKUP($Q5817,매칭테이블!$F:$I,4,0)*K5817</f>
        <v/>
      </c>
      <c r="P5817" s="148">
        <f>M5817/1.1</f>
        <v/>
      </c>
      <c r="Q5817" s="94">
        <f>F5817&amp;E5817&amp;G5817&amp;L5817</f>
        <v/>
      </c>
    </row>
    <row r="5818">
      <c r="A5818" s="94" t="n"/>
      <c r="B5818" s="128" t="n">
        <v>43946</v>
      </c>
      <c r="C5818" s="94">
        <f>TEXT(B5818,"aaa")</f>
        <v/>
      </c>
      <c r="D5818" s="94" t="n"/>
      <c r="E5818" s="94" t="inlineStr">
        <is>
          <t>클렌징폼</t>
        </is>
      </c>
      <c r="F5818" s="94" t="inlineStr">
        <is>
          <t>카페24</t>
        </is>
      </c>
      <c r="G5818" s="94" t="inlineStr">
        <is>
          <t>클렌징폼 120ml</t>
        </is>
      </c>
      <c r="H5818" s="7" t="n">
        <v>190801</v>
      </c>
      <c r="I5818" s="7" t="n">
        <v>190801</v>
      </c>
      <c r="J5818" s="94" t="n"/>
      <c r="K5818" s="6" t="n">
        <v>4</v>
      </c>
      <c r="L5818" s="92" t="n">
        <v>190801</v>
      </c>
      <c r="M5818" s="94">
        <f>VLOOKUP($Q5818,매칭테이블!$F:$I,2,0)*K5818</f>
        <v/>
      </c>
      <c r="N5818" s="94">
        <f>M5818-M5818*VLOOKUP($Q5818,매칭테이블!$F:$I,3,0)</f>
        <v/>
      </c>
      <c r="O5818" s="94">
        <f>VLOOKUP($Q5818,매칭테이블!$F:$I,4,0)*K5818</f>
        <v/>
      </c>
      <c r="P5818" s="148">
        <f>M5818/1.1</f>
        <v/>
      </c>
      <c r="Q5818" s="94">
        <f>F5818&amp;E5818&amp;G5818&amp;L5818</f>
        <v/>
      </c>
    </row>
    <row r="5819">
      <c r="A5819" s="94" t="n"/>
      <c r="B5819" s="128" t="n">
        <v>43946</v>
      </c>
      <c r="C5819" s="94">
        <f>TEXT(B5819,"aaa")</f>
        <v/>
      </c>
      <c r="D5819" s="94" t="n"/>
      <c r="E5819" s="94" t="inlineStr">
        <is>
          <t>클렌징폼</t>
        </is>
      </c>
      <c r="F5819" s="94" t="inlineStr">
        <is>
          <t>카페24</t>
        </is>
      </c>
      <c r="G5819" s="94" t="inlineStr">
        <is>
          <t>클렌징폼 120ml 3set</t>
        </is>
      </c>
      <c r="H5819" s="7" t="n">
        <v>190801</v>
      </c>
      <c r="I5819" s="7" t="n">
        <v>190801</v>
      </c>
      <c r="J5819" s="94" t="n"/>
      <c r="K5819" s="6" t="n">
        <v>3</v>
      </c>
      <c r="L5819" s="92" t="n">
        <v>190801</v>
      </c>
      <c r="M5819" s="94">
        <f>VLOOKUP($Q5819,매칭테이블!$F:$I,2,0)*K5819</f>
        <v/>
      </c>
      <c r="N5819" s="94">
        <f>M5819-M5819*VLOOKUP($Q5819,매칭테이블!$F:$I,3,0)</f>
        <v/>
      </c>
      <c r="O5819" s="94">
        <f>VLOOKUP($Q5819,매칭테이블!$F:$I,4,0)*K5819</f>
        <v/>
      </c>
      <c r="P5819" s="148">
        <f>M5819/1.1</f>
        <v/>
      </c>
      <c r="Q5819" s="94">
        <f>F5819&amp;E5819&amp;G5819&amp;L5819</f>
        <v/>
      </c>
    </row>
    <row r="5820">
      <c r="A5820" s="94" t="n"/>
      <c r="B5820" s="128" t="n">
        <v>43947</v>
      </c>
      <c r="C5820" s="94">
        <f>TEXT(B5820,"aaa")</f>
        <v/>
      </c>
      <c r="D5820" s="94" t="n"/>
      <c r="E5820" s="94" t="inlineStr">
        <is>
          <t>토너</t>
        </is>
      </c>
      <c r="F5820" s="5" t="inlineStr">
        <is>
          <t>스타일쉐어</t>
        </is>
      </c>
      <c r="G5820" s="94" t="inlineStr">
        <is>
          <t>250ml</t>
        </is>
      </c>
      <c r="H5820" s="7" t="n">
        <v>190801</v>
      </c>
      <c r="I5820" s="7" t="n">
        <v>190801</v>
      </c>
      <c r="J5820" s="94" t="n"/>
      <c r="K5820" s="6" t="n">
        <v>1</v>
      </c>
      <c r="L5820" s="7" t="n">
        <v>190801</v>
      </c>
      <c r="M5820" s="94">
        <f>VLOOKUP($Q5820,매칭테이블!$F:$I,2,0)*K5820</f>
        <v/>
      </c>
      <c r="N5820" s="94">
        <f>M5820-M5820*VLOOKUP($Q5820,매칭테이블!$F:$I,3,0)</f>
        <v/>
      </c>
      <c r="O5820" s="94">
        <f>VLOOKUP($Q5820,매칭테이블!$F:$I,4,0)*K5820</f>
        <v/>
      </c>
      <c r="P5820" s="148">
        <f>M5820/1.1</f>
        <v/>
      </c>
      <c r="Q5820" s="94">
        <f>F5820&amp;E5820&amp;G5820&amp;L5820</f>
        <v/>
      </c>
    </row>
    <row r="5821">
      <c r="A5821" s="94" t="n"/>
      <c r="B5821" s="128" t="n">
        <v>43947</v>
      </c>
      <c r="C5821" s="94">
        <f>TEXT(B5821,"aaa")</f>
        <v/>
      </c>
      <c r="D5821" s="94" t="n"/>
      <c r="E5821" s="94" t="inlineStr">
        <is>
          <t>어성초진정패키지</t>
        </is>
      </c>
      <c r="F5821" s="94" t="inlineStr">
        <is>
          <t>카페24</t>
        </is>
      </c>
      <c r="G5821" s="94" t="inlineStr">
        <is>
          <t>어성초 진정패키지세트</t>
        </is>
      </c>
      <c r="H5821" s="7" t="n">
        <v>190801</v>
      </c>
      <c r="I5821" s="7" t="n">
        <v>190801</v>
      </c>
      <c r="J5821" s="94" t="n"/>
      <c r="K5821" s="6" t="n">
        <v>3</v>
      </c>
      <c r="L5821" s="94" t="n">
        <v>190801</v>
      </c>
      <c r="M5821" s="94">
        <f>VLOOKUP($Q5821,매칭테이블!$F:$I,2,0)*K5821</f>
        <v/>
      </c>
      <c r="N5821" s="94">
        <f>M5821-M5821*VLOOKUP($Q5821,매칭테이블!$F:$I,3,0)</f>
        <v/>
      </c>
      <c r="O5821" s="94">
        <f>VLOOKUP($Q5821,매칭테이블!$F:$I,4,0)*K5821</f>
        <v/>
      </c>
      <c r="P5821" s="148">
        <f>M5821/1.1</f>
        <v/>
      </c>
      <c r="Q5821" s="94">
        <f>F5821&amp;E5821&amp;G5821&amp;L5821</f>
        <v/>
      </c>
    </row>
    <row r="5822">
      <c r="A5822" s="94" t="n"/>
      <c r="B5822" s="128" t="n">
        <v>43947</v>
      </c>
      <c r="C5822" s="94">
        <f>TEXT(B5822,"aaa")</f>
        <v/>
      </c>
      <c r="D5822" s="94" t="n"/>
      <c r="E5822" s="94" t="inlineStr">
        <is>
          <t>머드크림마스크</t>
        </is>
      </c>
      <c r="F5822" s="94" t="inlineStr">
        <is>
          <t>카페24</t>
        </is>
      </c>
      <c r="G5822" s="94" t="inlineStr">
        <is>
          <t>머드크림마스크 100ml</t>
        </is>
      </c>
      <c r="H5822" s="7" t="n">
        <v>190801</v>
      </c>
      <c r="I5822" s="7" t="n">
        <v>190801</v>
      </c>
      <c r="J5822" s="94" t="n"/>
      <c r="K5822" s="6" t="n">
        <v>2</v>
      </c>
      <c r="L5822" s="94" t="n">
        <v>190801</v>
      </c>
      <c r="M5822" s="94">
        <f>VLOOKUP($Q5822,매칭테이블!$F:$I,2,0)*K5822</f>
        <v/>
      </c>
      <c r="N5822" s="94">
        <f>M5822-M5822*VLOOKUP($Q5822,매칭테이블!$F:$I,3,0)</f>
        <v/>
      </c>
      <c r="O5822" s="94">
        <f>VLOOKUP($Q5822,매칭테이블!$F:$I,4,0)*K5822</f>
        <v/>
      </c>
      <c r="P5822" s="148">
        <f>M5822/1.1</f>
        <v/>
      </c>
      <c r="Q5822" s="94">
        <f>F5822&amp;E5822&amp;G5822&amp;L5822</f>
        <v/>
      </c>
    </row>
    <row r="5823">
      <c r="A5823" s="94" t="n"/>
      <c r="B5823" s="128" t="n">
        <v>43947</v>
      </c>
      <c r="C5823" s="94">
        <f>TEXT(B5823,"aaa")</f>
        <v/>
      </c>
      <c r="D5823" s="94" t="n"/>
      <c r="E5823" s="94" t="inlineStr">
        <is>
          <t>마스크팩</t>
        </is>
      </c>
      <c r="F5823" s="94" t="inlineStr">
        <is>
          <t>카페24</t>
        </is>
      </c>
      <c r="G5823" s="94" t="inlineStr">
        <is>
          <t>마스크팩 10매</t>
        </is>
      </c>
      <c r="H5823" s="7" t="n">
        <v>190801</v>
      </c>
      <c r="I5823" s="7" t="n">
        <v>190801</v>
      </c>
      <c r="J5823" s="94" t="n"/>
      <c r="K5823" s="6" t="n">
        <v>2</v>
      </c>
      <c r="L5823" s="94" t="n">
        <v>190801</v>
      </c>
      <c r="M5823" s="94">
        <f>VLOOKUP($Q5823,매칭테이블!$F:$I,2,0)*K5823</f>
        <v/>
      </c>
      <c r="N5823" s="94">
        <f>M5823-M5823*VLOOKUP($Q5823,매칭테이블!$F:$I,3,0)</f>
        <v/>
      </c>
      <c r="O5823" s="94">
        <f>VLOOKUP($Q5823,매칭테이블!$F:$I,4,0)*K5823</f>
        <v/>
      </c>
      <c r="P5823" s="148">
        <f>M5823/1.1</f>
        <v/>
      </c>
      <c r="Q5823" s="94">
        <f>F5823&amp;E5823&amp;G5823&amp;L5823</f>
        <v/>
      </c>
    </row>
    <row r="5824">
      <c r="A5824" s="94" t="n"/>
      <c r="B5824" s="128" t="n">
        <v>43947</v>
      </c>
      <c r="C5824" s="94">
        <f>TEXT(B5824,"aaa")</f>
        <v/>
      </c>
      <c r="D5824" s="94" t="n"/>
      <c r="E5824" s="6" t="inlineStr">
        <is>
          <t>토너</t>
        </is>
      </c>
      <c r="F5824" s="5" t="inlineStr">
        <is>
          <t>카페24</t>
        </is>
      </c>
      <c r="G5824" s="5" t="inlineStr">
        <is>
          <t>250ml</t>
        </is>
      </c>
      <c r="H5824" s="7" t="n">
        <v>190801</v>
      </c>
      <c r="I5824" s="7" t="n">
        <v>190801</v>
      </c>
      <c r="J5824" s="94" t="n"/>
      <c r="K5824" s="6" t="n">
        <v>51</v>
      </c>
      <c r="L5824" s="7" t="n">
        <v>190801</v>
      </c>
      <c r="M5824" s="94">
        <f>VLOOKUP($Q5824,매칭테이블!$F:$I,2,0)*K5824</f>
        <v/>
      </c>
      <c r="N5824" s="94">
        <f>M5824-M5824*VLOOKUP($Q5824,매칭테이블!$F:$I,3,0)</f>
        <v/>
      </c>
      <c r="O5824" s="94">
        <f>VLOOKUP($Q5824,매칭테이블!$F:$I,4,0)*K5824</f>
        <v/>
      </c>
      <c r="P5824" s="148">
        <f>M5824/1.1</f>
        <v/>
      </c>
      <c r="Q5824" s="94">
        <f>F5824&amp;E5824&amp;G5824&amp;L5824</f>
        <v/>
      </c>
    </row>
    <row r="5825">
      <c r="A5825" s="94" t="n"/>
      <c r="B5825" s="128" t="n">
        <v>43947</v>
      </c>
      <c r="C5825" s="94">
        <f>TEXT(B5825,"aaa")</f>
        <v/>
      </c>
      <c r="D5825" s="94" t="n"/>
      <c r="E5825" s="6" t="inlineStr">
        <is>
          <t>토너</t>
        </is>
      </c>
      <c r="F5825" s="5" t="inlineStr">
        <is>
          <t>카페24</t>
        </is>
      </c>
      <c r="G5825" s="5" t="inlineStr">
        <is>
          <t>250ml 2set</t>
        </is>
      </c>
      <c r="H5825" s="7" t="n">
        <v>190801</v>
      </c>
      <c r="I5825" s="7" t="n">
        <v>190801</v>
      </c>
      <c r="J5825" s="94" t="n"/>
      <c r="K5825" s="6" t="n">
        <v>335</v>
      </c>
      <c r="L5825" s="7" t="n">
        <v>190801</v>
      </c>
      <c r="M5825" s="94">
        <f>VLOOKUP($Q5825,매칭테이블!$F:$I,2,0)*K5825</f>
        <v/>
      </c>
      <c r="N5825" s="94">
        <f>M5825-M5825*VLOOKUP($Q5825,매칭테이블!$F:$I,3,0)</f>
        <v/>
      </c>
      <c r="O5825" s="94">
        <f>VLOOKUP($Q5825,매칭테이블!$F:$I,4,0)*K5825</f>
        <v/>
      </c>
      <c r="P5825" s="148">
        <f>M5825/1.1</f>
        <v/>
      </c>
      <c r="Q5825" s="94">
        <f>F5825&amp;E5825&amp;G5825&amp;L5825</f>
        <v/>
      </c>
    </row>
    <row r="5826">
      <c r="A5826" s="94" t="n"/>
      <c r="B5826" s="128" t="n">
        <v>43947</v>
      </c>
      <c r="C5826" s="94">
        <f>TEXT(B5826,"aaa")</f>
        <v/>
      </c>
      <c r="D5826" s="94" t="n"/>
      <c r="E5826" s="6" t="inlineStr">
        <is>
          <t>토너</t>
        </is>
      </c>
      <c r="F5826" s="5" t="inlineStr">
        <is>
          <t>카페24</t>
        </is>
      </c>
      <c r="G5826" s="5" t="inlineStr">
        <is>
          <t>500ml</t>
        </is>
      </c>
      <c r="H5826" s="7" t="n">
        <v>190801</v>
      </c>
      <c r="I5826" s="7" t="n">
        <v>190801</v>
      </c>
      <c r="J5826" s="94" t="n"/>
      <c r="K5826" s="6" t="n">
        <v>50</v>
      </c>
      <c r="L5826" s="7" t="n">
        <v>190801</v>
      </c>
      <c r="M5826" s="94">
        <f>VLOOKUP($Q5826,매칭테이블!$F:$I,2,0)*K5826</f>
        <v/>
      </c>
      <c r="N5826" s="94">
        <f>M5826-M5826*VLOOKUP($Q5826,매칭테이블!$F:$I,3,0)</f>
        <v/>
      </c>
      <c r="O5826" s="94">
        <f>VLOOKUP($Q5826,매칭테이블!$F:$I,4,0)*K5826</f>
        <v/>
      </c>
      <c r="P5826" s="148">
        <f>M5826/1.1</f>
        <v/>
      </c>
      <c r="Q5826" s="94">
        <f>F5826&amp;E5826&amp;G5826&amp;L5826</f>
        <v/>
      </c>
    </row>
    <row r="5827">
      <c r="A5827" s="94" t="n"/>
      <c r="B5827" s="128" t="n">
        <v>43947</v>
      </c>
      <c r="C5827" s="94">
        <f>TEXT(B5827,"aaa")</f>
        <v/>
      </c>
      <c r="D5827" s="94" t="n"/>
      <c r="E5827" s="6" t="inlineStr">
        <is>
          <t>토너</t>
        </is>
      </c>
      <c r="F5827" s="5" t="inlineStr">
        <is>
          <t>카페24</t>
        </is>
      </c>
      <c r="G5827" s="94" t="inlineStr">
        <is>
          <t>스킨팩 화장솜 60P</t>
        </is>
      </c>
      <c r="H5827" s="7" t="n">
        <v>190801</v>
      </c>
      <c r="I5827" s="7" t="n">
        <v>190801</v>
      </c>
      <c r="J5827" s="94" t="n"/>
      <c r="K5827" s="6" t="n">
        <v>65</v>
      </c>
      <c r="L5827" s="7" t="n">
        <v>190801</v>
      </c>
      <c r="M5827" s="94">
        <f>VLOOKUP($Q5827,매칭테이블!$F:$I,2,0)*K5827</f>
        <v/>
      </c>
      <c r="N5827" s="94">
        <f>M5827-M5827*VLOOKUP($Q5827,매칭테이블!$F:$I,3,0)</f>
        <v/>
      </c>
      <c r="O5827" s="94">
        <f>VLOOKUP($Q5827,매칭테이블!$F:$I,4,0)*K5827</f>
        <v/>
      </c>
      <c r="P5827" s="148">
        <f>M5827/1.1</f>
        <v/>
      </c>
      <c r="Q5827" s="94">
        <f>F5827&amp;E5827&amp;G5827&amp;L5827</f>
        <v/>
      </c>
    </row>
    <row r="5828">
      <c r="A5828" s="94" t="n"/>
      <c r="B5828" s="128" t="n">
        <v>43947</v>
      </c>
      <c r="C5828" s="94">
        <f>TEXT(B5828,"aaa")</f>
        <v/>
      </c>
      <c r="D5828" s="94" t="n"/>
      <c r="E5828" s="94" t="inlineStr">
        <is>
          <t>앰플</t>
        </is>
      </c>
      <c r="F5828" s="5" t="inlineStr">
        <is>
          <t>카페24</t>
        </is>
      </c>
      <c r="G5828" s="94" t="inlineStr">
        <is>
          <t>앰플 30ml</t>
        </is>
      </c>
      <c r="H5828" s="7" t="n">
        <v>190801</v>
      </c>
      <c r="I5828" s="7" t="n">
        <v>190801</v>
      </c>
      <c r="J5828" s="94" t="n"/>
      <c r="K5828" s="6" t="n">
        <v>16</v>
      </c>
      <c r="L5828" s="94" t="n">
        <v>190801</v>
      </c>
      <c r="M5828" s="94">
        <f>VLOOKUP($Q5828,매칭테이블!$F:$I,2,0)*K5828</f>
        <v/>
      </c>
      <c r="N5828" s="94">
        <f>M5828-M5828*VLOOKUP($Q5828,매칭테이블!$F:$I,3,0)</f>
        <v/>
      </c>
      <c r="O5828" s="94">
        <f>VLOOKUP($Q5828,매칭테이블!$F:$I,4,0)*K5828</f>
        <v/>
      </c>
      <c r="P5828" s="148">
        <f>M5828/1.1</f>
        <v/>
      </c>
      <c r="Q5828" s="94">
        <f>F5828&amp;E5828&amp;G5828&amp;L5828</f>
        <v/>
      </c>
    </row>
    <row r="5829">
      <c r="A5829" s="94" t="n"/>
      <c r="B5829" s="128" t="n">
        <v>43947</v>
      </c>
      <c r="C5829" s="94">
        <f>TEXT(B5829,"aaa")</f>
        <v/>
      </c>
      <c r="D5829" s="94" t="n"/>
      <c r="E5829" s="94" t="inlineStr">
        <is>
          <t>수딩크림</t>
        </is>
      </c>
      <c r="F5829" s="5" t="inlineStr">
        <is>
          <t>카페24</t>
        </is>
      </c>
      <c r="G5829" s="94" t="inlineStr">
        <is>
          <t>수딩크림 100ml</t>
        </is>
      </c>
      <c r="H5829" s="7" t="n">
        <v>190801</v>
      </c>
      <c r="I5829" s="7" t="n">
        <v>190801</v>
      </c>
      <c r="J5829" s="94" t="n"/>
      <c r="K5829" s="6" t="n">
        <v>6</v>
      </c>
      <c r="L5829" s="94" t="n">
        <v>190801</v>
      </c>
      <c r="M5829" s="94">
        <f>VLOOKUP($Q5829,매칭테이블!$F:$I,2,0)*K5829</f>
        <v/>
      </c>
      <c r="N5829" s="94">
        <f>M5829-M5829*VLOOKUP($Q5829,매칭테이블!$F:$I,3,0)</f>
        <v/>
      </c>
      <c r="O5829" s="94">
        <f>VLOOKUP($Q5829,매칭테이블!$F:$I,4,0)*K5829</f>
        <v/>
      </c>
      <c r="P5829" s="148">
        <f>M5829/1.1</f>
        <v/>
      </c>
      <c r="Q5829" s="94">
        <f>F5829&amp;E5829&amp;G5829&amp;L5829</f>
        <v/>
      </c>
    </row>
    <row r="5830">
      <c r="A5830" s="94" t="n"/>
      <c r="B5830" s="128" t="n">
        <v>43947</v>
      </c>
      <c r="C5830" s="94">
        <f>TEXT(B5830,"aaa")</f>
        <v/>
      </c>
      <c r="D5830" s="94" t="n"/>
      <c r="E5830" s="94" t="inlineStr">
        <is>
          <t>클렌징폼</t>
        </is>
      </c>
      <c r="F5830" s="94" t="inlineStr">
        <is>
          <t>카페24</t>
        </is>
      </c>
      <c r="G5830" s="94" t="inlineStr">
        <is>
          <t>클렌징폼 120ml</t>
        </is>
      </c>
      <c r="H5830" s="7" t="n">
        <v>190801</v>
      </c>
      <c r="I5830" s="7" t="n">
        <v>190801</v>
      </c>
      <c r="J5830" s="94" t="n"/>
      <c r="K5830" s="6" t="n">
        <v>7</v>
      </c>
      <c r="L5830" s="92" t="n">
        <v>190801</v>
      </c>
      <c r="M5830" s="94">
        <f>VLOOKUP($Q5830,매칭테이블!$F:$I,2,0)*K5830</f>
        <v/>
      </c>
      <c r="N5830" s="94">
        <f>M5830-M5830*VLOOKUP($Q5830,매칭테이블!$F:$I,3,0)</f>
        <v/>
      </c>
      <c r="O5830" s="94">
        <f>VLOOKUP($Q5830,매칭테이블!$F:$I,4,0)*K5830</f>
        <v/>
      </c>
      <c r="P5830" s="148">
        <f>M5830/1.1</f>
        <v/>
      </c>
      <c r="Q5830" s="94">
        <f>F5830&amp;E5830&amp;G5830&amp;L5830</f>
        <v/>
      </c>
    </row>
    <row r="5831">
      <c r="A5831" s="94" t="n"/>
      <c r="B5831" s="128" t="n">
        <v>43947</v>
      </c>
      <c r="C5831" s="94">
        <f>TEXT(B5831,"aaa")</f>
        <v/>
      </c>
      <c r="D5831" s="94" t="n"/>
      <c r="E5831" s="94" t="inlineStr">
        <is>
          <t>클렌징폼</t>
        </is>
      </c>
      <c r="F5831" s="94" t="inlineStr">
        <is>
          <t>카페24</t>
        </is>
      </c>
      <c r="G5831" s="94" t="inlineStr">
        <is>
          <t>클렌징폼 120ml 2set</t>
        </is>
      </c>
      <c r="H5831" s="7" t="n">
        <v>190801</v>
      </c>
      <c r="I5831" s="7" t="n">
        <v>190801</v>
      </c>
      <c r="J5831" s="94" t="n"/>
      <c r="K5831" s="6" t="n">
        <v>4</v>
      </c>
      <c r="L5831" s="92" t="n">
        <v>190801</v>
      </c>
      <c r="M5831" s="94">
        <f>VLOOKUP($Q5831,매칭테이블!$F:$I,2,0)*K5831</f>
        <v/>
      </c>
      <c r="N5831" s="94">
        <f>M5831-M5831*VLOOKUP($Q5831,매칭테이블!$F:$I,3,0)</f>
        <v/>
      </c>
      <c r="O5831" s="94">
        <f>VLOOKUP($Q5831,매칭테이블!$F:$I,4,0)*K5831</f>
        <v/>
      </c>
      <c r="P5831" s="148">
        <f>M5831/1.1</f>
        <v/>
      </c>
      <c r="Q5831" s="94">
        <f>F5831&amp;E5831&amp;G5831&amp;L5831</f>
        <v/>
      </c>
    </row>
    <row r="5832">
      <c r="A5832" s="94" t="n"/>
      <c r="B5832" s="128" t="n">
        <v>43947</v>
      </c>
      <c r="C5832" s="94">
        <f>TEXT(B5832,"aaa")</f>
        <v/>
      </c>
      <c r="D5832" s="94" t="n"/>
      <c r="E5832" s="94" t="inlineStr">
        <is>
          <t>클렌징폼</t>
        </is>
      </c>
      <c r="F5832" s="94" t="inlineStr">
        <is>
          <t>카페24</t>
        </is>
      </c>
      <c r="G5832" s="94" t="inlineStr">
        <is>
          <t>클렌징폼 120ml 3set</t>
        </is>
      </c>
      <c r="H5832" s="7" t="n">
        <v>190801</v>
      </c>
      <c r="I5832" s="7" t="n">
        <v>190801</v>
      </c>
      <c r="J5832" s="94" t="n"/>
      <c r="K5832" s="6" t="n">
        <v>1</v>
      </c>
      <c r="L5832" s="92" t="n">
        <v>190801</v>
      </c>
      <c r="M5832" s="94">
        <f>VLOOKUP($Q5832,매칭테이블!$F:$I,2,0)*K5832</f>
        <v/>
      </c>
      <c r="N5832" s="94">
        <f>M5832-M5832*VLOOKUP($Q5832,매칭테이블!$F:$I,3,0)</f>
        <v/>
      </c>
      <c r="O5832" s="94">
        <f>VLOOKUP($Q5832,매칭테이블!$F:$I,4,0)*K5832</f>
        <v/>
      </c>
      <c r="P5832" s="148">
        <f>M5832/1.1</f>
        <v/>
      </c>
      <c r="Q5832" s="94">
        <f>F5832&amp;E5832&amp;G5832&amp;L5832</f>
        <v/>
      </c>
    </row>
    <row r="5833">
      <c r="A5833" s="94" t="n"/>
      <c r="B5833" s="128" t="n">
        <v>43947</v>
      </c>
      <c r="C5833" s="94">
        <f>TEXT(B5833,"aaa")</f>
        <v/>
      </c>
      <c r="D5833" s="94" t="n"/>
      <c r="E5833" s="6" t="inlineStr">
        <is>
          <t>토너</t>
        </is>
      </c>
      <c r="F5833" s="94" t="inlineStr">
        <is>
          <t>랄라블라</t>
        </is>
      </c>
      <c r="G5833" s="5" t="inlineStr">
        <is>
          <t>250ml</t>
        </is>
      </c>
      <c r="H5833" s="7" t="n">
        <v>190801</v>
      </c>
      <c r="I5833" s="7" t="n">
        <v>190801</v>
      </c>
      <c r="J5833" s="94" t="n"/>
      <c r="K5833" s="6" t="n">
        <v>433</v>
      </c>
      <c r="L5833" s="7" t="n">
        <v>190801</v>
      </c>
      <c r="M5833" s="94">
        <f>VLOOKUP($Q5833,매칭테이블!$F:$I,2,0)*K5833</f>
        <v/>
      </c>
      <c r="N5833" s="94">
        <f>M5833-M5833*VLOOKUP($Q5833,매칭테이블!$F:$I,3,0)</f>
        <v/>
      </c>
      <c r="O5833" s="94">
        <f>VLOOKUP($Q5833,매칭테이블!$F:$I,4,0)*K5833</f>
        <v/>
      </c>
      <c r="P5833" s="148">
        <f>M5833/1.1</f>
        <v/>
      </c>
      <c r="Q5833" s="94">
        <f>F5833&amp;E5833&amp;G5833&amp;L5833</f>
        <v/>
      </c>
    </row>
    <row r="5834">
      <c r="A5834" s="94" t="n"/>
      <c r="B5834" s="128" t="n">
        <v>43947</v>
      </c>
      <c r="C5834" s="94">
        <f>TEXT(B5834,"aaa")</f>
        <v/>
      </c>
      <c r="D5834" s="94" t="n"/>
      <c r="E5834" s="6" t="inlineStr">
        <is>
          <t>토너</t>
        </is>
      </c>
      <c r="F5834" s="94" t="inlineStr">
        <is>
          <t>랄라블라</t>
        </is>
      </c>
      <c r="G5834" s="5" t="inlineStr">
        <is>
          <t>500ml</t>
        </is>
      </c>
      <c r="H5834" s="7" t="n">
        <v>190801</v>
      </c>
      <c r="I5834" s="7" t="n">
        <v>190801</v>
      </c>
      <c r="J5834" s="94" t="n"/>
      <c r="K5834" s="6" t="n">
        <v>444</v>
      </c>
      <c r="L5834" s="7" t="n">
        <v>190801</v>
      </c>
      <c r="M5834" s="94">
        <f>VLOOKUP($Q5834,매칭테이블!$F:$I,2,0)*K5834</f>
        <v/>
      </c>
      <c r="N5834" s="94">
        <f>M5834-M5834*VLOOKUP($Q5834,매칭테이블!$F:$I,3,0)</f>
        <v/>
      </c>
      <c r="O5834" s="94">
        <f>VLOOKUP($Q5834,매칭테이블!$F:$I,4,0)*K5834</f>
        <v/>
      </c>
      <c r="P5834" s="148">
        <f>M5834/1.1</f>
        <v/>
      </c>
      <c r="Q5834" s="94">
        <f>F5834&amp;E5834&amp;G5834&amp;L5834</f>
        <v/>
      </c>
    </row>
    <row r="5835">
      <c r="A5835" s="94" t="n"/>
      <c r="B5835" s="128" t="n">
        <v>43947</v>
      </c>
      <c r="C5835" s="94">
        <f>TEXT(B5835,"aaa")</f>
        <v/>
      </c>
      <c r="D5835" s="94" t="n"/>
      <c r="E5835" s="94" t="inlineStr">
        <is>
          <t>마스크팩</t>
        </is>
      </c>
      <c r="F5835" s="94" t="inlineStr">
        <is>
          <t>랄라블라</t>
        </is>
      </c>
      <c r="G5835" s="94" t="inlineStr">
        <is>
          <t>마스크팩 1매</t>
        </is>
      </c>
      <c r="H5835" s="7" t="n">
        <v>190801</v>
      </c>
      <c r="I5835" s="7" t="n">
        <v>190801</v>
      </c>
      <c r="J5835" s="94" t="n"/>
      <c r="K5835" s="6" t="n">
        <v>606</v>
      </c>
      <c r="L5835" s="94" t="n">
        <v>190801</v>
      </c>
      <c r="M5835" s="94">
        <f>VLOOKUP($Q5835,매칭테이블!$F:$I,2,0)*K5835</f>
        <v/>
      </c>
      <c r="N5835" s="94">
        <f>M5835-M5835*VLOOKUP($Q5835,매칭테이블!$F:$I,3,0)</f>
        <v/>
      </c>
      <c r="O5835" s="94">
        <f>VLOOKUP($Q5835,매칭테이블!$F:$I,4,0)*K5835</f>
        <v/>
      </c>
      <c r="P5835" s="148">
        <f>M5835/1.1</f>
        <v/>
      </c>
      <c r="Q5835" s="94">
        <f>F5835&amp;E5835&amp;G5835&amp;L5835</f>
        <v/>
      </c>
    </row>
    <row r="5836">
      <c r="A5836" s="94" t="n"/>
      <c r="B5836" s="128" t="n">
        <v>43947</v>
      </c>
      <c r="C5836" s="94">
        <f>TEXT(B5836,"aaa")</f>
        <v/>
      </c>
      <c r="D5836" s="94" t="n"/>
      <c r="E5836" s="94" t="inlineStr">
        <is>
          <t>앰플</t>
        </is>
      </c>
      <c r="F5836" s="94" t="inlineStr">
        <is>
          <t>랄라블라</t>
        </is>
      </c>
      <c r="G5836" s="94" t="inlineStr">
        <is>
          <t>앰플 30ml</t>
        </is>
      </c>
      <c r="H5836" s="7" t="n">
        <v>190801</v>
      </c>
      <c r="I5836" s="7" t="n">
        <v>190801</v>
      </c>
      <c r="J5836" s="94" t="n"/>
      <c r="K5836" s="6" t="n">
        <v>1</v>
      </c>
      <c r="L5836" s="94" t="n">
        <v>190801</v>
      </c>
      <c r="M5836" s="94">
        <f>VLOOKUP($Q5836,매칭테이블!$F:$I,2,0)*K5836</f>
        <v/>
      </c>
      <c r="N5836" s="94">
        <f>M5836-M5836*VLOOKUP($Q5836,매칭테이블!$F:$I,3,0)</f>
        <v/>
      </c>
      <c r="O5836" s="94">
        <f>VLOOKUP($Q5836,매칭테이블!$F:$I,4,0)*K5836</f>
        <v/>
      </c>
      <c r="P5836" s="148">
        <f>M5836/1.1</f>
        <v/>
      </c>
      <c r="Q5836" s="94">
        <f>F5836&amp;E5836&amp;G5836&amp;L5836</f>
        <v/>
      </c>
    </row>
    <row r="5837">
      <c r="A5837" s="94" t="n"/>
      <c r="B5837" s="128" t="n">
        <v>43947</v>
      </c>
      <c r="C5837" s="94">
        <f>TEXT(B5837,"aaa")</f>
        <v/>
      </c>
      <c r="D5837" s="94" t="n"/>
      <c r="E5837" s="94" t="inlineStr">
        <is>
          <t>수딩크림</t>
        </is>
      </c>
      <c r="F5837" s="94" t="inlineStr">
        <is>
          <t>랄라블라</t>
        </is>
      </c>
      <c r="G5837" s="94" t="inlineStr">
        <is>
          <t>수딩크림 100ml</t>
        </is>
      </c>
      <c r="H5837" s="7" t="n">
        <v>190801</v>
      </c>
      <c r="I5837" s="7" t="n">
        <v>190801</v>
      </c>
      <c r="J5837" s="94" t="n"/>
      <c r="K5837" s="6" t="n">
        <v>25</v>
      </c>
      <c r="L5837" s="94" t="n">
        <v>190801</v>
      </c>
      <c r="M5837" s="94">
        <f>VLOOKUP($Q5837,매칭테이블!$F:$I,2,0)*K5837</f>
        <v/>
      </c>
      <c r="N5837" s="94">
        <f>M5837-M5837*VLOOKUP($Q5837,매칭테이블!$F:$I,3,0)</f>
        <v/>
      </c>
      <c r="O5837" s="94">
        <f>VLOOKUP($Q5837,매칭테이블!$F:$I,4,0)*K5837</f>
        <v/>
      </c>
      <c r="P5837" s="148">
        <f>M5837/1.1</f>
        <v/>
      </c>
      <c r="Q5837" s="94">
        <f>F5837&amp;E5837&amp;G5837&amp;L5837</f>
        <v/>
      </c>
    </row>
    <row r="5838">
      <c r="A5838" s="94" t="n"/>
      <c r="B5838" s="128" t="n">
        <v>43947</v>
      </c>
      <c r="C5838" s="94">
        <f>TEXT(B5838,"aaa")</f>
        <v/>
      </c>
      <c r="D5838" s="94" t="n"/>
      <c r="E5838" s="94" t="inlineStr">
        <is>
          <t>앰플 기획세트</t>
        </is>
      </c>
      <c r="F5838" s="94" t="inlineStr">
        <is>
          <t>랄라블라</t>
        </is>
      </c>
      <c r="G5838" s="94" t="inlineStr">
        <is>
          <t>앰플 기획세트</t>
        </is>
      </c>
      <c r="H5838" s="7" t="n">
        <v>190801</v>
      </c>
      <c r="I5838" s="7" t="n">
        <v>190801</v>
      </c>
      <c r="J5838" s="94" t="n"/>
      <c r="K5838" s="6" t="n">
        <v>100</v>
      </c>
      <c r="L5838" s="94" t="n">
        <v>190801</v>
      </c>
      <c r="M5838" s="94">
        <f>VLOOKUP($Q5838,매칭테이블!$F:$I,2,0)*K5838</f>
        <v/>
      </c>
      <c r="N5838" s="94">
        <f>M5838-M5838*VLOOKUP($Q5838,매칭테이블!$F:$I,3,0)</f>
        <v/>
      </c>
      <c r="O5838" s="94">
        <f>VLOOKUP($Q5838,매칭테이블!$F:$I,4,0)*K5838</f>
        <v/>
      </c>
      <c r="P5838" s="148">
        <f>M5838/1.1</f>
        <v/>
      </c>
      <c r="Q5838" s="94">
        <f>F5838&amp;E5838&amp;G5838&amp;L5838</f>
        <v/>
      </c>
    </row>
    <row r="5839">
      <c r="A5839" s="94" t="n"/>
      <c r="B5839" s="128" t="n">
        <v>43947</v>
      </c>
      <c r="C5839" s="94">
        <f>TEXT(B5839,"aaa")</f>
        <v/>
      </c>
      <c r="D5839" s="94" t="n"/>
      <c r="E5839" s="94" t="inlineStr">
        <is>
          <t>클렌징폼 기획세트</t>
        </is>
      </c>
      <c r="F5839" s="94" t="inlineStr">
        <is>
          <t>랄라블라</t>
        </is>
      </c>
      <c r="G5839" s="94" t="inlineStr">
        <is>
          <t>클렌징폼 기획세트</t>
        </is>
      </c>
      <c r="H5839" s="7" t="n">
        <v>190801</v>
      </c>
      <c r="I5839" s="7" t="n">
        <v>190801</v>
      </c>
      <c r="J5839" s="94" t="n"/>
      <c r="K5839" s="6" t="n">
        <v>86</v>
      </c>
      <c r="L5839" s="94" t="n">
        <v>190801</v>
      </c>
      <c r="M5839" s="94">
        <f>VLOOKUP($Q5839,매칭테이블!$F:$I,2,0)*K5839</f>
        <v/>
      </c>
      <c r="N5839" s="94">
        <f>M5839-M5839*VLOOKUP($Q5839,매칭테이블!$F:$I,3,0)</f>
        <v/>
      </c>
      <c r="O5839" s="94">
        <f>VLOOKUP($Q5839,매칭테이블!$F:$I,4,0)*K5839</f>
        <v/>
      </c>
      <c r="P5839" s="148">
        <f>M5839/1.1</f>
        <v/>
      </c>
      <c r="Q5839" s="94">
        <f>F5839&amp;E5839&amp;G5839&amp;L5839</f>
        <v/>
      </c>
    </row>
    <row r="5840">
      <c r="A5840" s="94" t="n"/>
      <c r="B5840" s="128" t="n">
        <v>43947</v>
      </c>
      <c r="C5840" s="94">
        <f>TEXT(B5840,"aaa")</f>
        <v/>
      </c>
      <c r="D5840" s="94" t="n"/>
      <c r="E5840" s="94" t="inlineStr">
        <is>
          <t>토너 기획세트</t>
        </is>
      </c>
      <c r="F5840" s="94" t="inlineStr">
        <is>
          <t>랄라블라</t>
        </is>
      </c>
      <c r="G5840" s="94" t="inlineStr">
        <is>
          <t>토너 기획세트</t>
        </is>
      </c>
      <c r="H5840" s="7" t="n">
        <v>190801</v>
      </c>
      <c r="I5840" s="7" t="n">
        <v>190801</v>
      </c>
      <c r="J5840" s="94" t="n"/>
      <c r="K5840" s="6" t="n">
        <v>24</v>
      </c>
      <c r="L5840" s="94" t="n">
        <v>190801</v>
      </c>
      <c r="M5840" s="94">
        <f>VLOOKUP($Q5840,매칭테이블!$F:$I,2,0)*K5840</f>
        <v/>
      </c>
      <c r="N5840" s="94">
        <f>M5840-M5840*VLOOKUP($Q5840,매칭테이블!$F:$I,3,0)</f>
        <v/>
      </c>
      <c r="O5840" s="94">
        <f>VLOOKUP($Q5840,매칭테이블!$F:$I,4,0)*K5840</f>
        <v/>
      </c>
      <c r="P5840" s="148">
        <f>M5840/1.1</f>
        <v/>
      </c>
      <c r="Q5840" s="94">
        <f>F5840&amp;E5840&amp;G5840&amp;L5840</f>
        <v/>
      </c>
    </row>
    <row r="5841">
      <c r="A5841" s="94" t="n"/>
      <c r="B5841" s="128" t="n">
        <v>43947</v>
      </c>
      <c r="C5841" s="94">
        <f>TEXT(B5841,"aaa")</f>
        <v/>
      </c>
      <c r="D5841" s="94" t="n"/>
      <c r="E5841" s="94" t="inlineStr">
        <is>
          <t>머드크림마스크</t>
        </is>
      </c>
      <c r="F5841" s="94" t="inlineStr">
        <is>
          <t>랄라블라</t>
        </is>
      </c>
      <c r="G5841" s="94" t="inlineStr">
        <is>
          <t>머드크림마스크 100ml</t>
        </is>
      </c>
      <c r="H5841" s="7" t="n">
        <v>190801</v>
      </c>
      <c r="I5841" s="7" t="n">
        <v>190801</v>
      </c>
      <c r="J5841" s="94" t="n"/>
      <c r="K5841" s="6" t="n">
        <v>9</v>
      </c>
      <c r="L5841" s="94" t="n">
        <v>190801</v>
      </c>
      <c r="M5841" s="94">
        <f>VLOOKUP($Q5841,매칭테이블!$F:$I,2,0)*K5841</f>
        <v/>
      </c>
      <c r="N5841" s="94">
        <f>M5841-M5841*VLOOKUP($Q5841,매칭테이블!$F:$I,3,0)</f>
        <v/>
      </c>
      <c r="O5841" s="94">
        <f>VLOOKUP($Q5841,매칭테이블!$F:$I,4,0)*K5841</f>
        <v/>
      </c>
      <c r="P5841" s="148">
        <f>M5841/1.1</f>
        <v/>
      </c>
      <c r="Q5841" s="94">
        <f>F5841&amp;E5841&amp;G5841&amp;L5841</f>
        <v/>
      </c>
    </row>
    <row r="5842">
      <c r="A5842" s="94" t="n"/>
      <c r="B5842" s="128" t="n">
        <v>43947</v>
      </c>
      <c r="C5842" s="94">
        <f>TEXT(B5842,"aaa")</f>
        <v/>
      </c>
      <c r="D5842" s="94" t="n"/>
      <c r="E5842" s="94" t="inlineStr">
        <is>
          <t>클렌징폼</t>
        </is>
      </c>
      <c r="F5842" s="94" t="inlineStr">
        <is>
          <t>랄라블라</t>
        </is>
      </c>
      <c r="G5842" s="94" t="inlineStr">
        <is>
          <t>클렌징폼 120ml</t>
        </is>
      </c>
      <c r="H5842" s="7" t="n">
        <v>190801</v>
      </c>
      <c r="I5842" s="7" t="n">
        <v>190801</v>
      </c>
      <c r="J5842" s="94" t="n"/>
      <c r="K5842" s="6" t="n">
        <v>7</v>
      </c>
      <c r="L5842" s="7" t="n">
        <v>190801</v>
      </c>
      <c r="M5842" s="94">
        <f>VLOOKUP($Q5842,매칭테이블!$F:$I,2,0)*K5842</f>
        <v/>
      </c>
      <c r="N5842" s="94">
        <f>M5842-M5842*VLOOKUP($Q5842,매칭테이블!$F:$I,3,0)</f>
        <v/>
      </c>
      <c r="O5842" s="94">
        <f>VLOOKUP($Q5842,매칭테이블!$F:$I,4,0)*K5842</f>
        <v/>
      </c>
      <c r="P5842" s="148">
        <f>M5842/1.1</f>
        <v/>
      </c>
      <c r="Q5842" s="94">
        <f>F5842&amp;E5842&amp;G5842&amp;L5842</f>
        <v/>
      </c>
    </row>
    <row r="5843">
      <c r="A5843" s="94" t="n"/>
      <c r="B5843" s="128" t="n">
        <v>43948</v>
      </c>
      <c r="C5843" s="94">
        <f>TEXT(B5843,"aaa")</f>
        <v/>
      </c>
      <c r="D5843" s="94" t="n"/>
      <c r="E5843" s="6" t="inlineStr">
        <is>
          <t>토너</t>
        </is>
      </c>
      <c r="F5843" s="5" t="inlineStr">
        <is>
          <t>W컨셉</t>
        </is>
      </c>
      <c r="G5843" s="5" t="inlineStr">
        <is>
          <t>250ml</t>
        </is>
      </c>
      <c r="H5843" s="7" t="n">
        <v>190801</v>
      </c>
      <c r="I5843" s="7" t="n">
        <v>190801</v>
      </c>
      <c r="J5843" s="94" t="n"/>
      <c r="K5843" s="6" t="n">
        <v>5</v>
      </c>
      <c r="L5843" s="7" t="n">
        <v>190801</v>
      </c>
      <c r="M5843" s="94">
        <f>VLOOKUP($Q5843,매칭테이블!$F:$I,2,0)*K5843</f>
        <v/>
      </c>
      <c r="N5843" s="94">
        <f>M5843-M5843*VLOOKUP($Q5843,매칭테이블!$F:$I,3,0)</f>
        <v/>
      </c>
      <c r="O5843" s="94">
        <f>VLOOKUP($Q5843,매칭테이블!$F:$I,4,0)*K5843</f>
        <v/>
      </c>
      <c r="P5843" s="148">
        <f>M5843/1.1</f>
        <v/>
      </c>
      <c r="Q5843" s="94">
        <f>F5843&amp;E5843&amp;G5843&amp;L5843</f>
        <v/>
      </c>
    </row>
    <row r="5844">
      <c r="A5844" s="94" t="n"/>
      <c r="B5844" s="128" t="n">
        <v>43948</v>
      </c>
      <c r="C5844" s="94">
        <f>TEXT(B5844,"aaa")</f>
        <v/>
      </c>
      <c r="D5844" s="94" t="n"/>
      <c r="E5844" s="6" t="inlineStr">
        <is>
          <t>토너</t>
        </is>
      </c>
      <c r="F5844" s="5" t="inlineStr">
        <is>
          <t>W컨셉</t>
        </is>
      </c>
      <c r="G5844" s="5" t="inlineStr">
        <is>
          <t>250ml 2set</t>
        </is>
      </c>
      <c r="H5844" s="7" t="n">
        <v>190801</v>
      </c>
      <c r="I5844" s="7" t="n">
        <v>190801</v>
      </c>
      <c r="J5844" s="94" t="n"/>
      <c r="K5844" s="6" t="n">
        <v>20</v>
      </c>
      <c r="L5844" s="7" t="n">
        <v>190801</v>
      </c>
      <c r="M5844" s="94">
        <f>VLOOKUP($Q5844,매칭테이블!$F:$I,2,0)*K5844</f>
        <v/>
      </c>
      <c r="N5844" s="94">
        <f>M5844-M5844*VLOOKUP($Q5844,매칭테이블!$F:$I,3,0)</f>
        <v/>
      </c>
      <c r="O5844" s="94">
        <f>VLOOKUP($Q5844,매칭테이블!$F:$I,4,0)*K5844</f>
        <v/>
      </c>
      <c r="P5844" s="148">
        <f>M5844/1.1</f>
        <v/>
      </c>
      <c r="Q5844" s="94">
        <f>F5844&amp;E5844&amp;G5844&amp;L5844</f>
        <v/>
      </c>
    </row>
    <row r="5845">
      <c r="A5845" s="94" t="n"/>
      <c r="B5845" s="128" t="n">
        <v>43948</v>
      </c>
      <c r="C5845" s="94">
        <f>TEXT(B5845,"aaa")</f>
        <v/>
      </c>
      <c r="D5845" s="94" t="n"/>
      <c r="E5845" s="94" t="inlineStr">
        <is>
          <t>토너</t>
        </is>
      </c>
      <c r="F5845" s="5" t="inlineStr">
        <is>
          <t>스타일쉐어</t>
        </is>
      </c>
      <c r="G5845" s="94" t="inlineStr">
        <is>
          <t>250ml</t>
        </is>
      </c>
      <c r="H5845" s="7" t="n">
        <v>190801</v>
      </c>
      <c r="I5845" s="7" t="n">
        <v>190801</v>
      </c>
      <c r="J5845" s="94" t="n"/>
      <c r="K5845" s="6" t="n">
        <v>1</v>
      </c>
      <c r="L5845" s="7" t="n">
        <v>190801</v>
      </c>
      <c r="M5845" s="94">
        <f>VLOOKUP($Q5845,매칭테이블!$F:$I,2,0)*K5845</f>
        <v/>
      </c>
      <c r="N5845" s="94">
        <f>M5845-M5845*VLOOKUP($Q5845,매칭테이블!$F:$I,3,0)</f>
        <v/>
      </c>
      <c r="O5845" s="94">
        <f>VLOOKUP($Q5845,매칭테이블!$F:$I,4,0)*K5845</f>
        <v/>
      </c>
      <c r="P5845" s="148">
        <f>M5845/1.1</f>
        <v/>
      </c>
      <c r="Q5845" s="94">
        <f>F5845&amp;E5845&amp;G5845&amp;L5845</f>
        <v/>
      </c>
    </row>
    <row r="5846">
      <c r="A5846" s="94" t="n"/>
      <c r="B5846" s="128" t="n">
        <v>43948</v>
      </c>
      <c r="C5846" s="94">
        <f>TEXT(B5846,"aaa")</f>
        <v/>
      </c>
      <c r="D5846" s="94" t="n"/>
      <c r="E5846" s="94" t="inlineStr">
        <is>
          <t>토너</t>
        </is>
      </c>
      <c r="F5846" s="94" t="inlineStr">
        <is>
          <t>글로우데이즈 시코르</t>
        </is>
      </c>
      <c r="G5846" s="94" t="inlineStr">
        <is>
          <t>250ml</t>
        </is>
      </c>
      <c r="H5846" s="7" t="n">
        <v>190801</v>
      </c>
      <c r="I5846" s="7" t="n">
        <v>190801</v>
      </c>
      <c r="J5846" s="94" t="n"/>
      <c r="K5846" s="6" t="n">
        <v>300</v>
      </c>
      <c r="L5846" s="7" t="n">
        <v>190801</v>
      </c>
      <c r="M5846" s="94">
        <f>VLOOKUP($Q5846,매칭테이블!$F:$I,2,0)*K5846</f>
        <v/>
      </c>
      <c r="N5846" s="94">
        <f>M5846-M5846*VLOOKUP($Q5846,매칭테이블!$F:$I,3,0)</f>
        <v/>
      </c>
      <c r="O5846" s="94">
        <f>VLOOKUP($Q5846,매칭테이블!$F:$I,4,0)*K5846</f>
        <v/>
      </c>
      <c r="P5846" s="148">
        <f>M5846/1.1</f>
        <v/>
      </c>
      <c r="Q5846" s="94">
        <f>F5846&amp;E5846&amp;G5846&amp;L5846</f>
        <v/>
      </c>
    </row>
    <row r="5847">
      <c r="A5847" s="94" t="n"/>
      <c r="B5847" s="128" t="n">
        <v>43948</v>
      </c>
      <c r="C5847" s="94">
        <f>TEXT(B5847,"aaa")</f>
        <v/>
      </c>
      <c r="D5847" s="94" t="n"/>
      <c r="E5847" s="94" t="inlineStr">
        <is>
          <t>어성초진정패키지</t>
        </is>
      </c>
      <c r="F5847" s="94" t="inlineStr">
        <is>
          <t>카페24</t>
        </is>
      </c>
      <c r="G5847" s="94" t="inlineStr">
        <is>
          <t>어성초 진정패키지세트</t>
        </is>
      </c>
      <c r="H5847" s="7" t="n">
        <v>190801</v>
      </c>
      <c r="I5847" s="7" t="n">
        <v>190801</v>
      </c>
      <c r="J5847" s="94" t="n"/>
      <c r="K5847" s="6" t="n">
        <v>5</v>
      </c>
      <c r="L5847" s="94" t="n">
        <v>190801</v>
      </c>
      <c r="M5847" s="94">
        <f>VLOOKUP($Q5847,매칭테이블!$F:$I,2,0)*K5847</f>
        <v/>
      </c>
      <c r="N5847" s="94">
        <f>M5847-M5847*VLOOKUP($Q5847,매칭테이블!$F:$I,3,0)</f>
        <v/>
      </c>
      <c r="O5847" s="94">
        <f>VLOOKUP($Q5847,매칭테이블!$F:$I,4,0)*K5847</f>
        <v/>
      </c>
      <c r="P5847" s="148">
        <f>M5847/1.1</f>
        <v/>
      </c>
      <c r="Q5847" s="94">
        <f>F5847&amp;E5847&amp;G5847&amp;L5847</f>
        <v/>
      </c>
    </row>
    <row r="5848">
      <c r="A5848" s="94" t="n"/>
      <c r="B5848" s="128" t="n">
        <v>43948</v>
      </c>
      <c r="C5848" s="94">
        <f>TEXT(B5848,"aaa")</f>
        <v/>
      </c>
      <c r="D5848" s="94" t="n"/>
      <c r="E5848" s="94" t="inlineStr">
        <is>
          <t>머드크림마스크</t>
        </is>
      </c>
      <c r="F5848" s="94" t="inlineStr">
        <is>
          <t>카페24</t>
        </is>
      </c>
      <c r="G5848" s="94" t="inlineStr">
        <is>
          <t>머드크림마스크 100ml</t>
        </is>
      </c>
      <c r="H5848" s="7" t="n">
        <v>190801</v>
      </c>
      <c r="I5848" s="7" t="n">
        <v>190801</v>
      </c>
      <c r="J5848" s="94" t="n"/>
      <c r="K5848" s="6" t="n">
        <v>6</v>
      </c>
      <c r="L5848" s="94" t="n">
        <v>190801</v>
      </c>
      <c r="M5848" s="94">
        <f>VLOOKUP($Q5848,매칭테이블!$F:$I,2,0)*K5848</f>
        <v/>
      </c>
      <c r="N5848" s="94">
        <f>M5848-M5848*VLOOKUP($Q5848,매칭테이블!$F:$I,3,0)</f>
        <v/>
      </c>
      <c r="O5848" s="94">
        <f>VLOOKUP($Q5848,매칭테이블!$F:$I,4,0)*K5848</f>
        <v/>
      </c>
      <c r="P5848" s="148">
        <f>M5848/1.1</f>
        <v/>
      </c>
      <c r="Q5848" s="94">
        <f>F5848&amp;E5848&amp;G5848&amp;L5848</f>
        <v/>
      </c>
    </row>
    <row r="5849">
      <c r="A5849" s="94" t="n"/>
      <c r="B5849" s="128" t="n">
        <v>43948</v>
      </c>
      <c r="C5849" s="94">
        <f>TEXT(B5849,"aaa")</f>
        <v/>
      </c>
      <c r="D5849" s="94" t="n"/>
      <c r="E5849" s="94" t="inlineStr">
        <is>
          <t>머드크림마스크</t>
        </is>
      </c>
      <c r="F5849" s="94" t="inlineStr">
        <is>
          <t>카페24</t>
        </is>
      </c>
      <c r="G5849" s="94" t="inlineStr">
        <is>
          <t>머드크림마스크 100ml 2set</t>
        </is>
      </c>
      <c r="H5849" s="7" t="n">
        <v>190801</v>
      </c>
      <c r="I5849" s="7" t="n">
        <v>190801</v>
      </c>
      <c r="J5849" s="94" t="n"/>
      <c r="K5849" s="6" t="n">
        <v>1</v>
      </c>
      <c r="L5849" s="94" t="n">
        <v>190801</v>
      </c>
      <c r="M5849" s="94">
        <f>VLOOKUP($Q5849,매칭테이블!$F:$I,2,0)*K5849</f>
        <v/>
      </c>
      <c r="N5849" s="94">
        <f>M5849-M5849*VLOOKUP($Q5849,매칭테이블!$F:$I,3,0)</f>
        <v/>
      </c>
      <c r="O5849" s="94">
        <f>VLOOKUP($Q5849,매칭테이블!$F:$I,4,0)*K5849</f>
        <v/>
      </c>
      <c r="P5849" s="148">
        <f>M5849/1.1</f>
        <v/>
      </c>
      <c r="Q5849" s="94">
        <f>F5849&amp;E5849&amp;G5849&amp;L5849</f>
        <v/>
      </c>
    </row>
    <row r="5850">
      <c r="A5850" s="94" t="n"/>
      <c r="B5850" s="128" t="n">
        <v>43948</v>
      </c>
      <c r="C5850" s="94">
        <f>TEXT(B5850,"aaa")</f>
        <v/>
      </c>
      <c r="D5850" s="94" t="n"/>
      <c r="E5850" s="94" t="inlineStr">
        <is>
          <t>마스크팩</t>
        </is>
      </c>
      <c r="F5850" s="94" t="inlineStr">
        <is>
          <t>카페24</t>
        </is>
      </c>
      <c r="G5850" s="94" t="inlineStr">
        <is>
          <t>마스크팩 10매</t>
        </is>
      </c>
      <c r="H5850" s="7" t="n">
        <v>190801</v>
      </c>
      <c r="I5850" s="7" t="n">
        <v>190801</v>
      </c>
      <c r="J5850" s="94" t="n"/>
      <c r="K5850" s="6" t="n">
        <v>4</v>
      </c>
      <c r="L5850" s="94" t="n">
        <v>190801</v>
      </c>
      <c r="M5850" s="94">
        <f>VLOOKUP($Q5850,매칭테이블!$F:$I,2,0)*K5850</f>
        <v/>
      </c>
      <c r="N5850" s="94">
        <f>M5850-M5850*VLOOKUP($Q5850,매칭테이블!$F:$I,3,0)</f>
        <v/>
      </c>
      <c r="O5850" s="94">
        <f>VLOOKUP($Q5850,매칭테이블!$F:$I,4,0)*K5850</f>
        <v/>
      </c>
      <c r="P5850" s="148">
        <f>M5850/1.1</f>
        <v/>
      </c>
      <c r="Q5850" s="94">
        <f>F5850&amp;E5850&amp;G5850&amp;L5850</f>
        <v/>
      </c>
    </row>
    <row r="5851">
      <c r="A5851" s="94" t="n"/>
      <c r="B5851" s="128" t="n">
        <v>43948</v>
      </c>
      <c r="C5851" s="94">
        <f>TEXT(B5851,"aaa")</f>
        <v/>
      </c>
      <c r="D5851" s="94" t="n"/>
      <c r="E5851" s="6" t="inlineStr">
        <is>
          <t>토너</t>
        </is>
      </c>
      <c r="F5851" s="5" t="inlineStr">
        <is>
          <t>카페24</t>
        </is>
      </c>
      <c r="G5851" s="5" t="inlineStr">
        <is>
          <t>250ml</t>
        </is>
      </c>
      <c r="H5851" s="7" t="n">
        <v>190801</v>
      </c>
      <c r="I5851" s="7" t="n">
        <v>190801</v>
      </c>
      <c r="J5851" s="94" t="n"/>
      <c r="K5851" s="6" t="n">
        <v>53</v>
      </c>
      <c r="L5851" s="7" t="n">
        <v>190801</v>
      </c>
      <c r="M5851" s="94">
        <f>VLOOKUP($Q5851,매칭테이블!$F:$I,2,0)*K5851</f>
        <v/>
      </c>
      <c r="N5851" s="94">
        <f>M5851-M5851*VLOOKUP($Q5851,매칭테이블!$F:$I,3,0)</f>
        <v/>
      </c>
      <c r="O5851" s="94">
        <f>VLOOKUP($Q5851,매칭테이블!$F:$I,4,0)*K5851</f>
        <v/>
      </c>
      <c r="P5851" s="148">
        <f>M5851/1.1</f>
        <v/>
      </c>
      <c r="Q5851" s="94">
        <f>F5851&amp;E5851&amp;G5851&amp;L5851</f>
        <v/>
      </c>
    </row>
    <row r="5852">
      <c r="A5852" s="94" t="n"/>
      <c r="B5852" s="128" t="n">
        <v>43948</v>
      </c>
      <c r="C5852" s="94">
        <f>TEXT(B5852,"aaa")</f>
        <v/>
      </c>
      <c r="D5852" s="94" t="n"/>
      <c r="E5852" s="6" t="inlineStr">
        <is>
          <t>토너</t>
        </is>
      </c>
      <c r="F5852" s="5" t="inlineStr">
        <is>
          <t>카페24</t>
        </is>
      </c>
      <c r="G5852" s="5" t="inlineStr">
        <is>
          <t>250ml 2set</t>
        </is>
      </c>
      <c r="H5852" s="7" t="n">
        <v>190801</v>
      </c>
      <c r="I5852" s="7" t="n">
        <v>190801</v>
      </c>
      <c r="J5852" s="94" t="n"/>
      <c r="K5852" s="6" t="n">
        <v>42</v>
      </c>
      <c r="L5852" s="7" t="n">
        <v>190801</v>
      </c>
      <c r="M5852" s="94">
        <f>VLOOKUP($Q5852,매칭테이블!$F:$I,2,0)*K5852</f>
        <v/>
      </c>
      <c r="N5852" s="94">
        <f>M5852-M5852*VLOOKUP($Q5852,매칭테이블!$F:$I,3,0)</f>
        <v/>
      </c>
      <c r="O5852" s="94">
        <f>VLOOKUP($Q5852,매칭테이블!$F:$I,4,0)*K5852</f>
        <v/>
      </c>
      <c r="P5852" s="148">
        <f>M5852/1.1</f>
        <v/>
      </c>
      <c r="Q5852" s="94">
        <f>F5852&amp;E5852&amp;G5852&amp;L5852</f>
        <v/>
      </c>
    </row>
    <row r="5853">
      <c r="A5853" s="94" t="n"/>
      <c r="B5853" s="128" t="n">
        <v>43948</v>
      </c>
      <c r="C5853" s="94">
        <f>TEXT(B5853,"aaa")</f>
        <v/>
      </c>
      <c r="D5853" s="94" t="n"/>
      <c r="E5853" s="6" t="inlineStr">
        <is>
          <t>토너</t>
        </is>
      </c>
      <c r="F5853" s="5" t="inlineStr">
        <is>
          <t>카페24</t>
        </is>
      </c>
      <c r="G5853" s="5" t="inlineStr">
        <is>
          <t>500ml</t>
        </is>
      </c>
      <c r="H5853" s="7" t="n">
        <v>190801</v>
      </c>
      <c r="I5853" s="7" t="n">
        <v>190801</v>
      </c>
      <c r="J5853" s="94" t="n"/>
      <c r="K5853" s="6" t="n">
        <v>59</v>
      </c>
      <c r="L5853" s="7" t="n">
        <v>190801</v>
      </c>
      <c r="M5853" s="94">
        <f>VLOOKUP($Q5853,매칭테이블!$F:$I,2,0)*K5853</f>
        <v/>
      </c>
      <c r="N5853" s="94">
        <f>M5853-M5853*VLOOKUP($Q5853,매칭테이블!$F:$I,3,0)</f>
        <v/>
      </c>
      <c r="O5853" s="94">
        <f>VLOOKUP($Q5853,매칭테이블!$F:$I,4,0)*K5853</f>
        <v/>
      </c>
      <c r="P5853" s="148">
        <f>M5853/1.1</f>
        <v/>
      </c>
      <c r="Q5853" s="94">
        <f>F5853&amp;E5853&amp;G5853&amp;L5853</f>
        <v/>
      </c>
    </row>
    <row r="5854">
      <c r="A5854" s="94" t="n"/>
      <c r="B5854" s="128" t="n">
        <v>43948</v>
      </c>
      <c r="C5854" s="94">
        <f>TEXT(B5854,"aaa")</f>
        <v/>
      </c>
      <c r="D5854" s="94" t="n"/>
      <c r="E5854" s="6" t="inlineStr">
        <is>
          <t>토너</t>
        </is>
      </c>
      <c r="F5854" s="5" t="inlineStr">
        <is>
          <t>카페24</t>
        </is>
      </c>
      <c r="G5854" s="94" t="inlineStr">
        <is>
          <t>스킨팩 화장솜 60P</t>
        </is>
      </c>
      <c r="H5854" s="7" t="n">
        <v>190801</v>
      </c>
      <c r="I5854" s="7" t="n">
        <v>190801</v>
      </c>
      <c r="J5854" s="94" t="n"/>
      <c r="K5854" s="6" t="n">
        <v>71</v>
      </c>
      <c r="L5854" s="7" t="n">
        <v>190801</v>
      </c>
      <c r="M5854" s="94">
        <f>VLOOKUP($Q5854,매칭테이블!$F:$I,2,0)*K5854</f>
        <v/>
      </c>
      <c r="N5854" s="94">
        <f>M5854-M5854*VLOOKUP($Q5854,매칭테이블!$F:$I,3,0)</f>
        <v/>
      </c>
      <c r="O5854" s="94">
        <f>VLOOKUP($Q5854,매칭테이블!$F:$I,4,0)*K5854</f>
        <v/>
      </c>
      <c r="P5854" s="148">
        <f>M5854/1.1</f>
        <v/>
      </c>
      <c r="Q5854" s="94">
        <f>F5854&amp;E5854&amp;G5854&amp;L5854</f>
        <v/>
      </c>
    </row>
    <row r="5855">
      <c r="A5855" s="94" t="n"/>
      <c r="B5855" s="128" t="n">
        <v>43948</v>
      </c>
      <c r="C5855" s="94">
        <f>TEXT(B5855,"aaa")</f>
        <v/>
      </c>
      <c r="D5855" s="94" t="n"/>
      <c r="E5855" s="94" t="inlineStr">
        <is>
          <t>앰플</t>
        </is>
      </c>
      <c r="F5855" s="5" t="inlineStr">
        <is>
          <t>카페24</t>
        </is>
      </c>
      <c r="G5855" s="94" t="inlineStr">
        <is>
          <t>앰플 30ml</t>
        </is>
      </c>
      <c r="H5855" s="7" t="n">
        <v>190801</v>
      </c>
      <c r="I5855" s="7" t="n">
        <v>190801</v>
      </c>
      <c r="J5855" s="94" t="n"/>
      <c r="K5855" s="6" t="n">
        <v>17</v>
      </c>
      <c r="L5855" s="94" t="n">
        <v>190801</v>
      </c>
      <c r="M5855" s="94">
        <f>VLOOKUP($Q5855,매칭테이블!$F:$I,2,0)*K5855</f>
        <v/>
      </c>
      <c r="N5855" s="94">
        <f>M5855-M5855*VLOOKUP($Q5855,매칭테이블!$F:$I,3,0)</f>
        <v/>
      </c>
      <c r="O5855" s="94">
        <f>VLOOKUP($Q5855,매칭테이블!$F:$I,4,0)*K5855</f>
        <v/>
      </c>
      <c r="P5855" s="148">
        <f>M5855/1.1</f>
        <v/>
      </c>
      <c r="Q5855" s="94">
        <f>F5855&amp;E5855&amp;G5855&amp;L5855</f>
        <v/>
      </c>
    </row>
    <row r="5856">
      <c r="A5856" s="94" t="n"/>
      <c r="B5856" s="128" t="n">
        <v>43948</v>
      </c>
      <c r="C5856" s="94">
        <f>TEXT(B5856,"aaa")</f>
        <v/>
      </c>
      <c r="D5856" s="94" t="n"/>
      <c r="E5856" s="94" t="inlineStr">
        <is>
          <t>수딩크림</t>
        </is>
      </c>
      <c r="F5856" s="5" t="inlineStr">
        <is>
          <t>카페24</t>
        </is>
      </c>
      <c r="G5856" s="94" t="inlineStr">
        <is>
          <t>수딩크림 100ml</t>
        </is>
      </c>
      <c r="H5856" s="7" t="n">
        <v>190801</v>
      </c>
      <c r="I5856" s="7" t="n">
        <v>190801</v>
      </c>
      <c r="J5856" s="94" t="n"/>
      <c r="K5856" s="6" t="n">
        <v>4</v>
      </c>
      <c r="L5856" s="94" t="n">
        <v>190801</v>
      </c>
      <c r="M5856" s="94">
        <f>VLOOKUP($Q5856,매칭테이블!$F:$I,2,0)*K5856</f>
        <v/>
      </c>
      <c r="N5856" s="94">
        <f>M5856-M5856*VLOOKUP($Q5856,매칭테이블!$F:$I,3,0)</f>
        <v/>
      </c>
      <c r="O5856" s="94">
        <f>VLOOKUP($Q5856,매칭테이블!$F:$I,4,0)*K5856</f>
        <v/>
      </c>
      <c r="P5856" s="148">
        <f>M5856/1.1</f>
        <v/>
      </c>
      <c r="Q5856" s="94">
        <f>F5856&amp;E5856&amp;G5856&amp;L5856</f>
        <v/>
      </c>
    </row>
    <row r="5857">
      <c r="A5857" s="94" t="n"/>
      <c r="B5857" s="128" t="n">
        <v>43948</v>
      </c>
      <c r="C5857" s="94">
        <f>TEXT(B5857,"aaa")</f>
        <v/>
      </c>
      <c r="D5857" s="94" t="n"/>
      <c r="E5857" s="94" t="inlineStr">
        <is>
          <t>클렌징폼</t>
        </is>
      </c>
      <c r="F5857" s="94" t="inlineStr">
        <is>
          <t>카페24</t>
        </is>
      </c>
      <c r="G5857" s="94" t="inlineStr">
        <is>
          <t>클렌징폼 120ml</t>
        </is>
      </c>
      <c r="H5857" s="7" t="n">
        <v>190801</v>
      </c>
      <c r="I5857" s="7" t="n">
        <v>190801</v>
      </c>
      <c r="J5857" s="94" t="n"/>
      <c r="K5857" s="6" t="n">
        <v>8</v>
      </c>
      <c r="L5857" s="92" t="n">
        <v>190801</v>
      </c>
      <c r="M5857" s="94">
        <f>VLOOKUP($Q5857,매칭테이블!$F:$I,2,0)*K5857</f>
        <v/>
      </c>
      <c r="N5857" s="94">
        <f>M5857-M5857*VLOOKUP($Q5857,매칭테이블!$F:$I,3,0)</f>
        <v/>
      </c>
      <c r="O5857" s="94">
        <f>VLOOKUP($Q5857,매칭테이블!$F:$I,4,0)*K5857</f>
        <v/>
      </c>
      <c r="P5857" s="148">
        <f>M5857/1.1</f>
        <v/>
      </c>
      <c r="Q5857" s="94">
        <f>F5857&amp;E5857&amp;G5857&amp;L5857</f>
        <v/>
      </c>
    </row>
    <row r="5858">
      <c r="A5858" s="94" t="n"/>
      <c r="B5858" s="128" t="n">
        <v>43948</v>
      </c>
      <c r="C5858" s="94">
        <f>TEXT(B5858,"aaa")</f>
        <v/>
      </c>
      <c r="D5858" s="94" t="n"/>
      <c r="E5858" s="94" t="inlineStr">
        <is>
          <t>클렌징폼</t>
        </is>
      </c>
      <c r="F5858" s="94" t="inlineStr">
        <is>
          <t>카페24</t>
        </is>
      </c>
      <c r="G5858" s="94" t="inlineStr">
        <is>
          <t>클렌징폼 120ml 2set</t>
        </is>
      </c>
      <c r="H5858" s="7" t="n">
        <v>190801</v>
      </c>
      <c r="I5858" s="7" t="n">
        <v>190801</v>
      </c>
      <c r="J5858" s="94" t="n"/>
      <c r="K5858" s="6" t="n">
        <v>5</v>
      </c>
      <c r="L5858" s="92" t="n">
        <v>190801</v>
      </c>
      <c r="M5858" s="94">
        <f>VLOOKUP($Q5858,매칭테이블!$F:$I,2,0)*K5858</f>
        <v/>
      </c>
      <c r="N5858" s="94">
        <f>M5858-M5858*VLOOKUP($Q5858,매칭테이블!$F:$I,3,0)</f>
        <v/>
      </c>
      <c r="O5858" s="94">
        <f>VLOOKUP($Q5858,매칭테이블!$F:$I,4,0)*K5858</f>
        <v/>
      </c>
      <c r="P5858" s="148">
        <f>M5858/1.1</f>
        <v/>
      </c>
      <c r="Q5858" s="94">
        <f>F5858&amp;E5858&amp;G5858&amp;L5858</f>
        <v/>
      </c>
    </row>
    <row r="5859">
      <c r="A5859" s="94" t="n"/>
      <c r="B5859" s="128" t="n">
        <v>43948</v>
      </c>
      <c r="C5859" s="94">
        <f>TEXT(B5859,"aaa")</f>
        <v/>
      </c>
      <c r="D5859" s="94" t="n"/>
      <c r="E5859" s="6" t="inlineStr">
        <is>
          <t>토너</t>
        </is>
      </c>
      <c r="F5859" s="94" t="inlineStr">
        <is>
          <t>큐텐</t>
        </is>
      </c>
      <c r="G5859" s="5" t="inlineStr">
        <is>
          <t>250ml</t>
        </is>
      </c>
      <c r="H5859" s="7" t="n">
        <v>190801</v>
      </c>
      <c r="I5859" s="7" t="n">
        <v>190801</v>
      </c>
      <c r="J5859" s="94" t="n"/>
      <c r="K5859" s="6" t="n">
        <v>90</v>
      </c>
      <c r="L5859" s="94" t="n">
        <v>190801</v>
      </c>
      <c r="M5859" s="94">
        <f>VLOOKUP($Q5859,매칭테이블!$F:$I,2,0)*K5859</f>
        <v/>
      </c>
      <c r="N5859" s="94">
        <f>M5859-M5859*VLOOKUP($Q5859,매칭테이블!$F:$I,3,0)</f>
        <v/>
      </c>
      <c r="O5859" s="94">
        <f>VLOOKUP($Q5859,매칭테이블!$F:$I,4,0)*K5859</f>
        <v/>
      </c>
      <c r="P5859" s="148">
        <f>M5859/1.1</f>
        <v/>
      </c>
      <c r="Q5859" s="94">
        <f>F5859&amp;E5859&amp;G5859&amp;L5859</f>
        <v/>
      </c>
    </row>
    <row r="5860">
      <c r="A5860" s="94" t="n"/>
      <c r="B5860" s="128" t="n">
        <v>43948</v>
      </c>
      <c r="C5860" s="94">
        <f>TEXT(B5860,"aaa")</f>
        <v/>
      </c>
      <c r="D5860" s="94" t="n"/>
      <c r="E5860" s="6" t="inlineStr">
        <is>
          <t>토너</t>
        </is>
      </c>
      <c r="F5860" s="94" t="inlineStr">
        <is>
          <t>큐텐</t>
        </is>
      </c>
      <c r="G5860" s="5" t="inlineStr">
        <is>
          <t>250ml 2set</t>
        </is>
      </c>
      <c r="H5860" s="7" t="n">
        <v>190801</v>
      </c>
      <c r="I5860" s="7" t="n">
        <v>190801</v>
      </c>
      <c r="J5860" s="94" t="n"/>
      <c r="K5860" s="6" t="n">
        <v>16</v>
      </c>
      <c r="L5860" s="94" t="n">
        <v>190801</v>
      </c>
      <c r="M5860" s="94">
        <f>VLOOKUP($Q5860,매칭테이블!$F:$I,2,0)*K5860</f>
        <v/>
      </c>
      <c r="N5860" s="94">
        <f>M5860-M5860*VLOOKUP($Q5860,매칭테이블!$F:$I,3,0)</f>
        <v/>
      </c>
      <c r="O5860" s="94">
        <f>VLOOKUP($Q5860,매칭테이블!$F:$I,4,0)*K5860</f>
        <v/>
      </c>
      <c r="P5860" s="148">
        <f>M5860/1.1</f>
        <v/>
      </c>
      <c r="Q5860" s="94">
        <f>F5860&amp;E5860&amp;G5860&amp;L5860</f>
        <v/>
      </c>
    </row>
    <row r="5861">
      <c r="A5861" s="94" t="n"/>
      <c r="B5861" s="128" t="n">
        <v>43948</v>
      </c>
      <c r="C5861" s="94">
        <f>TEXT(B5861,"aaa")</f>
        <v/>
      </c>
      <c r="D5861" s="94" t="n"/>
      <c r="E5861" s="94" t="inlineStr">
        <is>
          <t>앰플</t>
        </is>
      </c>
      <c r="F5861" s="94" t="inlineStr">
        <is>
          <t>큐텐</t>
        </is>
      </c>
      <c r="G5861" s="94" t="inlineStr">
        <is>
          <t>앰플 30ml</t>
        </is>
      </c>
      <c r="H5861" s="7" t="n">
        <v>190801</v>
      </c>
      <c r="I5861" s="7" t="n">
        <v>190801</v>
      </c>
      <c r="J5861" s="94" t="n"/>
      <c r="K5861" s="6" t="n">
        <v>7</v>
      </c>
      <c r="L5861" s="94" t="n">
        <v>190801</v>
      </c>
      <c r="M5861" s="94">
        <f>VLOOKUP($Q5861,매칭테이블!$F:$I,2,0)*K5861</f>
        <v/>
      </c>
      <c r="N5861" s="94">
        <f>M5861-M5861*VLOOKUP($Q5861,매칭테이블!$F:$I,3,0)</f>
        <v/>
      </c>
      <c r="O5861" s="94">
        <f>VLOOKUP($Q5861,매칭테이블!$F:$I,4,0)*K5861</f>
        <v/>
      </c>
      <c r="P5861" s="148">
        <f>M5861/1.1</f>
        <v/>
      </c>
      <c r="Q5861" s="94">
        <f>F5861&amp;E5861&amp;G5861&amp;L5861</f>
        <v/>
      </c>
    </row>
    <row r="5862">
      <c r="A5862" s="94" t="n"/>
      <c r="B5862" s="128" t="n">
        <v>43948</v>
      </c>
      <c r="C5862" s="94">
        <f>TEXT(B5862,"aaa")</f>
        <v/>
      </c>
      <c r="D5862" s="94" t="n"/>
      <c r="E5862" s="94" t="inlineStr">
        <is>
          <t>클렌징폼</t>
        </is>
      </c>
      <c r="F5862" s="94" t="inlineStr">
        <is>
          <t>큐텐</t>
        </is>
      </c>
      <c r="G5862" s="94" t="inlineStr">
        <is>
          <t>클렌징폼 120ml</t>
        </is>
      </c>
      <c r="H5862" s="7" t="n">
        <v>190801</v>
      </c>
      <c r="I5862" s="7" t="n">
        <v>190801</v>
      </c>
      <c r="J5862" s="94" t="n"/>
      <c r="K5862" s="6" t="n">
        <v>2</v>
      </c>
      <c r="L5862" s="94" t="n">
        <v>190801</v>
      </c>
      <c r="M5862" s="94">
        <f>VLOOKUP($Q5862,매칭테이블!$F:$I,2,0)*K5862</f>
        <v/>
      </c>
      <c r="N5862" s="94">
        <f>M5862-M5862*VLOOKUP($Q5862,매칭테이블!$F:$I,3,0)</f>
        <v/>
      </c>
      <c r="O5862" s="94">
        <f>VLOOKUP($Q5862,매칭테이블!$F:$I,4,0)*K5862</f>
        <v/>
      </c>
      <c r="P5862" s="148">
        <f>M5862/1.1</f>
        <v/>
      </c>
      <c r="Q5862" s="94">
        <f>F5862&amp;E5862&amp;G5862&amp;L5862</f>
        <v/>
      </c>
    </row>
    <row r="5863">
      <c r="A5863" s="94" t="n"/>
      <c r="B5863" s="128" t="n">
        <v>43948</v>
      </c>
      <c r="C5863" s="94">
        <f>TEXT(B5863,"aaa")</f>
        <v/>
      </c>
      <c r="D5863" s="94" t="n"/>
      <c r="E5863" s="94" t="inlineStr">
        <is>
          <t>마스크팩</t>
        </is>
      </c>
      <c r="F5863" s="94" t="inlineStr">
        <is>
          <t>큐텐</t>
        </is>
      </c>
      <c r="G5863" s="94" t="inlineStr">
        <is>
          <t>마스크팩 10매</t>
        </is>
      </c>
      <c r="H5863" s="7" t="n">
        <v>190801</v>
      </c>
      <c r="I5863" s="7" t="n">
        <v>190801</v>
      </c>
      <c r="J5863" s="94" t="n"/>
      <c r="K5863" s="94" t="n">
        <v>2</v>
      </c>
      <c r="L5863" s="94" t="n">
        <v>190801</v>
      </c>
      <c r="M5863" s="94">
        <f>VLOOKUP($Q5863,매칭테이블!$F:$I,2,0)*K5863</f>
        <v/>
      </c>
      <c r="N5863" s="94">
        <f>M5863-M5863*VLOOKUP($Q5863,매칭테이블!$F:$I,3,0)</f>
        <v/>
      </c>
      <c r="O5863" s="94">
        <f>VLOOKUP($Q5863,매칭테이블!$F:$I,4,0)*K5863</f>
        <v/>
      </c>
      <c r="P5863" s="148">
        <f>M5863/1.1</f>
        <v/>
      </c>
      <c r="Q5863" s="94">
        <f>F5863&amp;E5863&amp;G5863&amp;L5863</f>
        <v/>
      </c>
    </row>
    <row r="5864">
      <c r="A5864" s="94" t="n"/>
      <c r="B5864" s="128" t="n">
        <v>43949</v>
      </c>
      <c r="C5864" s="94">
        <f>TEXT(B5864,"aaa")</f>
        <v/>
      </c>
      <c r="D5864" s="94" t="n"/>
      <c r="E5864" s="6" t="inlineStr">
        <is>
          <t>토너</t>
        </is>
      </c>
      <c r="F5864" s="5" t="inlineStr">
        <is>
          <t>W컨셉</t>
        </is>
      </c>
      <c r="G5864" s="5" t="inlineStr">
        <is>
          <t>250ml</t>
        </is>
      </c>
      <c r="H5864" s="7" t="n">
        <v>190801</v>
      </c>
      <c r="I5864" s="7" t="n">
        <v>190801</v>
      </c>
      <c r="J5864" s="94" t="n"/>
      <c r="K5864" s="6" t="n">
        <v>1</v>
      </c>
      <c r="L5864" s="7" t="n">
        <v>190801</v>
      </c>
      <c r="M5864" s="94">
        <f>VLOOKUP($Q5864,매칭테이블!$F:$I,2,0)*K5864</f>
        <v/>
      </c>
      <c r="N5864" s="94">
        <f>M5864-M5864*VLOOKUP($Q5864,매칭테이블!$F:$I,3,0)</f>
        <v/>
      </c>
      <c r="O5864" s="94">
        <f>VLOOKUP($Q5864,매칭테이블!$F:$I,4,0)*K5864</f>
        <v/>
      </c>
      <c r="P5864" s="148">
        <f>M5864/1.1</f>
        <v/>
      </c>
      <c r="Q5864" s="94">
        <f>F5864&amp;E5864&amp;G5864&amp;L5864</f>
        <v/>
      </c>
    </row>
    <row r="5865">
      <c r="A5865" s="94" t="n"/>
      <c r="B5865" s="128" t="n">
        <v>43949</v>
      </c>
      <c r="C5865" s="94">
        <f>TEXT(B5865,"aaa")</f>
        <v/>
      </c>
      <c r="D5865" s="94" t="n"/>
      <c r="E5865" s="6" t="inlineStr">
        <is>
          <t>토너</t>
        </is>
      </c>
      <c r="F5865" s="5" t="inlineStr">
        <is>
          <t>W컨셉</t>
        </is>
      </c>
      <c r="G5865" s="5" t="inlineStr">
        <is>
          <t>250ml 2set</t>
        </is>
      </c>
      <c r="H5865" s="7" t="n">
        <v>190801</v>
      </c>
      <c r="I5865" s="7" t="n">
        <v>190801</v>
      </c>
      <c r="J5865" s="94" t="n"/>
      <c r="K5865" s="6" t="n">
        <v>13</v>
      </c>
      <c r="L5865" s="7" t="n">
        <v>190801</v>
      </c>
      <c r="M5865" s="94">
        <f>VLOOKUP($Q5865,매칭테이블!$F:$I,2,0)*K5865</f>
        <v/>
      </c>
      <c r="N5865" s="94">
        <f>M5865-M5865*VLOOKUP($Q5865,매칭테이블!$F:$I,3,0)</f>
        <v/>
      </c>
      <c r="O5865" s="94">
        <f>VLOOKUP($Q5865,매칭테이블!$F:$I,4,0)*K5865</f>
        <v/>
      </c>
      <c r="P5865" s="148">
        <f>M5865/1.1</f>
        <v/>
      </c>
      <c r="Q5865" s="94">
        <f>F5865&amp;E5865&amp;G5865&amp;L5865</f>
        <v/>
      </c>
    </row>
    <row r="5866">
      <c r="A5866" s="94" t="n"/>
      <c r="B5866" s="128" t="n">
        <v>43949</v>
      </c>
      <c r="C5866" s="94">
        <f>TEXT(B5866,"aaa")</f>
        <v/>
      </c>
      <c r="D5866" s="94" t="n"/>
      <c r="E5866" s="94" t="inlineStr">
        <is>
          <t>토너</t>
        </is>
      </c>
      <c r="F5866" s="5" t="inlineStr">
        <is>
          <t>스타일쉐어</t>
        </is>
      </c>
      <c r="G5866" s="94" t="inlineStr">
        <is>
          <t>250ml</t>
        </is>
      </c>
      <c r="H5866" s="7" t="n">
        <v>190801</v>
      </c>
      <c r="I5866" s="7" t="n">
        <v>190801</v>
      </c>
      <c r="J5866" s="94" t="n"/>
      <c r="K5866" s="6" t="n">
        <v>4</v>
      </c>
      <c r="L5866" s="7" t="n">
        <v>190801</v>
      </c>
      <c r="M5866" s="94">
        <f>VLOOKUP($Q5866,매칭테이블!$F:$I,2,0)*K5866</f>
        <v/>
      </c>
      <c r="N5866" s="94">
        <f>M5866-M5866*VLOOKUP($Q5866,매칭테이블!$F:$I,3,0)</f>
        <v/>
      </c>
      <c r="O5866" s="94">
        <f>VLOOKUP($Q5866,매칭테이블!$F:$I,4,0)*K5866</f>
        <v/>
      </c>
      <c r="P5866" s="148">
        <f>M5866/1.1</f>
        <v/>
      </c>
      <c r="Q5866" s="94">
        <f>F5866&amp;E5866&amp;G5866&amp;L5866</f>
        <v/>
      </c>
    </row>
    <row r="5867">
      <c r="A5867" s="94" t="n"/>
      <c r="B5867" s="128" t="n">
        <v>43949</v>
      </c>
      <c r="C5867" s="94">
        <f>TEXT(B5867,"aaa")</f>
        <v/>
      </c>
      <c r="D5867" s="94" t="n"/>
      <c r="E5867" s="94" t="inlineStr">
        <is>
          <t>어성초진정패키지</t>
        </is>
      </c>
      <c r="F5867" s="94" t="inlineStr">
        <is>
          <t>카페24</t>
        </is>
      </c>
      <c r="G5867" s="94" t="inlineStr">
        <is>
          <t>어성초 진정패키지세트</t>
        </is>
      </c>
      <c r="H5867" s="7" t="n">
        <v>190801</v>
      </c>
      <c r="I5867" s="7" t="n">
        <v>190801</v>
      </c>
      <c r="J5867" s="94" t="n"/>
      <c r="K5867" s="6" t="n">
        <v>4</v>
      </c>
      <c r="L5867" s="94" t="n">
        <v>190801</v>
      </c>
      <c r="M5867" s="94">
        <f>VLOOKUP($Q5867,매칭테이블!$F:$I,2,0)*K5867</f>
        <v/>
      </c>
      <c r="N5867" s="94">
        <f>M5867-M5867*VLOOKUP($Q5867,매칭테이블!$F:$I,3,0)</f>
        <v/>
      </c>
      <c r="O5867" s="94">
        <f>VLOOKUP($Q5867,매칭테이블!$F:$I,4,0)*K5867</f>
        <v/>
      </c>
      <c r="P5867" s="148">
        <f>M5867/1.1</f>
        <v/>
      </c>
      <c r="Q5867" s="94">
        <f>F5867&amp;E5867&amp;G5867&amp;L5867</f>
        <v/>
      </c>
    </row>
    <row r="5868">
      <c r="A5868" s="94" t="n"/>
      <c r="B5868" s="128" t="n">
        <v>43949</v>
      </c>
      <c r="C5868" s="94">
        <f>TEXT(B5868,"aaa")</f>
        <v/>
      </c>
      <c r="D5868" s="94" t="n"/>
      <c r="E5868" s="94" t="inlineStr">
        <is>
          <t>머드크림마스크</t>
        </is>
      </c>
      <c r="F5868" s="94" t="inlineStr">
        <is>
          <t>카페24</t>
        </is>
      </c>
      <c r="G5868" s="94" t="inlineStr">
        <is>
          <t>머드크림마스크 100ml</t>
        </is>
      </c>
      <c r="H5868" s="7" t="n">
        <v>190801</v>
      </c>
      <c r="I5868" s="7" t="n">
        <v>190801</v>
      </c>
      <c r="J5868" s="94" t="n"/>
      <c r="K5868" s="6" t="n">
        <v>1</v>
      </c>
      <c r="L5868" s="94" t="n">
        <v>190801</v>
      </c>
      <c r="M5868" s="94">
        <f>VLOOKUP($Q5868,매칭테이블!$F:$I,2,0)*K5868</f>
        <v/>
      </c>
      <c r="N5868" s="94">
        <f>M5868-M5868*VLOOKUP($Q5868,매칭테이블!$F:$I,3,0)</f>
        <v/>
      </c>
      <c r="O5868" s="94">
        <f>VLOOKUP($Q5868,매칭테이블!$F:$I,4,0)*K5868</f>
        <v/>
      </c>
      <c r="P5868" s="148">
        <f>M5868/1.1</f>
        <v/>
      </c>
      <c r="Q5868" s="94">
        <f>F5868&amp;E5868&amp;G5868&amp;L5868</f>
        <v/>
      </c>
    </row>
    <row r="5869">
      <c r="A5869" s="94" t="n"/>
      <c r="B5869" s="128" t="n">
        <v>43949</v>
      </c>
      <c r="C5869" s="94">
        <f>TEXT(B5869,"aaa")</f>
        <v/>
      </c>
      <c r="D5869" s="94" t="n"/>
      <c r="E5869" s="94" t="inlineStr">
        <is>
          <t>마스크팩</t>
        </is>
      </c>
      <c r="F5869" s="94" t="inlineStr">
        <is>
          <t>카페24</t>
        </is>
      </c>
      <c r="G5869" s="94" t="inlineStr">
        <is>
          <t>마스크팩 1매</t>
        </is>
      </c>
      <c r="H5869" s="7" t="n">
        <v>190801</v>
      </c>
      <c r="I5869" s="7" t="n">
        <v>190801</v>
      </c>
      <c r="J5869" s="94" t="n"/>
      <c r="K5869" s="6" t="n">
        <v>10</v>
      </c>
      <c r="L5869" s="94" t="n">
        <v>190801</v>
      </c>
      <c r="M5869" s="94">
        <f>VLOOKUP($Q5869,매칭테이블!$F:$I,2,0)*K5869</f>
        <v/>
      </c>
      <c r="N5869" s="94">
        <f>M5869-M5869*VLOOKUP($Q5869,매칭테이블!$F:$I,3,0)</f>
        <v/>
      </c>
      <c r="O5869" s="94">
        <f>VLOOKUP($Q5869,매칭테이블!$F:$I,4,0)*K5869</f>
        <v/>
      </c>
      <c r="P5869" s="148">
        <f>M5869/1.1</f>
        <v/>
      </c>
      <c r="Q5869" s="94">
        <f>F5869&amp;E5869&amp;G5869&amp;L5869</f>
        <v/>
      </c>
    </row>
    <row r="5870">
      <c r="A5870" s="94" t="n"/>
      <c r="B5870" s="128" t="n">
        <v>43949</v>
      </c>
      <c r="C5870" s="94">
        <f>TEXT(B5870,"aaa")</f>
        <v/>
      </c>
      <c r="D5870" s="94" t="n"/>
      <c r="E5870" s="94" t="inlineStr">
        <is>
          <t>마스크팩</t>
        </is>
      </c>
      <c r="F5870" s="94" t="inlineStr">
        <is>
          <t>카페24</t>
        </is>
      </c>
      <c r="G5870" s="94" t="inlineStr">
        <is>
          <t>마스크팩 10매</t>
        </is>
      </c>
      <c r="H5870" s="7" t="n">
        <v>190801</v>
      </c>
      <c r="I5870" s="7" t="n">
        <v>190801</v>
      </c>
      <c r="J5870" s="94" t="n"/>
      <c r="K5870" s="6" t="n">
        <v>5</v>
      </c>
      <c r="L5870" s="94" t="n">
        <v>190801</v>
      </c>
      <c r="M5870" s="94">
        <f>VLOOKUP($Q5870,매칭테이블!$F:$I,2,0)*K5870</f>
        <v/>
      </c>
      <c r="N5870" s="94">
        <f>M5870-M5870*VLOOKUP($Q5870,매칭테이블!$F:$I,3,0)</f>
        <v/>
      </c>
      <c r="O5870" s="94">
        <f>VLOOKUP($Q5870,매칭테이블!$F:$I,4,0)*K5870</f>
        <v/>
      </c>
      <c r="P5870" s="148">
        <f>M5870/1.1</f>
        <v/>
      </c>
      <c r="Q5870" s="94">
        <f>F5870&amp;E5870&amp;G5870&amp;L5870</f>
        <v/>
      </c>
    </row>
    <row r="5871">
      <c r="A5871" s="94" t="n"/>
      <c r="B5871" s="128" t="n">
        <v>43949</v>
      </c>
      <c r="C5871" s="94">
        <f>TEXT(B5871,"aaa")</f>
        <v/>
      </c>
      <c r="D5871" s="94" t="n"/>
      <c r="E5871" s="6" t="inlineStr">
        <is>
          <t>토너</t>
        </is>
      </c>
      <c r="F5871" s="5" t="inlineStr">
        <is>
          <t>카페24</t>
        </is>
      </c>
      <c r="G5871" s="5" t="inlineStr">
        <is>
          <t>250ml</t>
        </is>
      </c>
      <c r="H5871" s="7" t="n">
        <v>190801</v>
      </c>
      <c r="I5871" s="7" t="n">
        <v>190801</v>
      </c>
      <c r="J5871" s="94" t="n"/>
      <c r="K5871" s="6" t="n">
        <v>46</v>
      </c>
      <c r="L5871" s="7" t="n">
        <v>190801</v>
      </c>
      <c r="M5871" s="94">
        <f>VLOOKUP($Q5871,매칭테이블!$F:$I,2,0)*K5871</f>
        <v/>
      </c>
      <c r="N5871" s="94">
        <f>M5871-M5871*VLOOKUP($Q5871,매칭테이블!$F:$I,3,0)</f>
        <v/>
      </c>
      <c r="O5871" s="94">
        <f>VLOOKUP($Q5871,매칭테이블!$F:$I,4,0)*K5871</f>
        <v/>
      </c>
      <c r="P5871" s="148">
        <f>M5871/1.1</f>
        <v/>
      </c>
      <c r="Q5871" s="94">
        <f>F5871&amp;E5871&amp;G5871&amp;L5871</f>
        <v/>
      </c>
    </row>
    <row r="5872">
      <c r="A5872" s="94" t="n"/>
      <c r="B5872" s="128" t="n">
        <v>43949</v>
      </c>
      <c r="C5872" s="94">
        <f>TEXT(B5872,"aaa")</f>
        <v/>
      </c>
      <c r="D5872" s="94" t="n"/>
      <c r="E5872" s="6" t="inlineStr">
        <is>
          <t>토너</t>
        </is>
      </c>
      <c r="F5872" s="5" t="inlineStr">
        <is>
          <t>카페24</t>
        </is>
      </c>
      <c r="G5872" s="5" t="inlineStr">
        <is>
          <t>250ml 2set</t>
        </is>
      </c>
      <c r="H5872" s="7" t="n">
        <v>190801</v>
      </c>
      <c r="I5872" s="7" t="n">
        <v>190801</v>
      </c>
      <c r="J5872" s="94" t="n"/>
      <c r="K5872" s="6" t="n">
        <v>133</v>
      </c>
      <c r="L5872" s="7" t="n">
        <v>190801</v>
      </c>
      <c r="M5872" s="94">
        <f>VLOOKUP($Q5872,매칭테이블!$F:$I,2,0)*K5872</f>
        <v/>
      </c>
      <c r="N5872" s="94">
        <f>M5872-M5872*VLOOKUP($Q5872,매칭테이블!$F:$I,3,0)</f>
        <v/>
      </c>
      <c r="O5872" s="94">
        <f>VLOOKUP($Q5872,매칭테이블!$F:$I,4,0)*K5872</f>
        <v/>
      </c>
      <c r="P5872" s="148">
        <f>M5872/1.1</f>
        <v/>
      </c>
      <c r="Q5872" s="94">
        <f>F5872&amp;E5872&amp;G5872&amp;L5872</f>
        <v/>
      </c>
    </row>
    <row r="5873">
      <c r="A5873" s="94" t="n"/>
      <c r="B5873" s="128" t="n">
        <v>43949</v>
      </c>
      <c r="C5873" s="94">
        <f>TEXT(B5873,"aaa")</f>
        <v/>
      </c>
      <c r="D5873" s="94" t="n"/>
      <c r="E5873" s="6" t="inlineStr">
        <is>
          <t>토너</t>
        </is>
      </c>
      <c r="F5873" s="5" t="inlineStr">
        <is>
          <t>카페24</t>
        </is>
      </c>
      <c r="G5873" s="5" t="inlineStr">
        <is>
          <t>500ml</t>
        </is>
      </c>
      <c r="H5873" s="7" t="n">
        <v>190801</v>
      </c>
      <c r="I5873" s="7" t="n">
        <v>190801</v>
      </c>
      <c r="J5873" s="94" t="n"/>
      <c r="K5873" s="6" t="n">
        <v>34</v>
      </c>
      <c r="L5873" s="7" t="n">
        <v>190801</v>
      </c>
      <c r="M5873" s="94">
        <f>VLOOKUP($Q5873,매칭테이블!$F:$I,2,0)*K5873</f>
        <v/>
      </c>
      <c r="N5873" s="94">
        <f>M5873-M5873*VLOOKUP($Q5873,매칭테이블!$F:$I,3,0)</f>
        <v/>
      </c>
      <c r="O5873" s="94">
        <f>VLOOKUP($Q5873,매칭테이블!$F:$I,4,0)*K5873</f>
        <v/>
      </c>
      <c r="P5873" s="148">
        <f>M5873/1.1</f>
        <v/>
      </c>
      <c r="Q5873" s="94">
        <f>F5873&amp;E5873&amp;G5873&amp;L5873</f>
        <v/>
      </c>
    </row>
    <row r="5874">
      <c r="A5874" s="94" t="n"/>
      <c r="B5874" s="128" t="n">
        <v>43949</v>
      </c>
      <c r="C5874" s="94">
        <f>TEXT(B5874,"aaa")</f>
        <v/>
      </c>
      <c r="D5874" s="94" t="n"/>
      <c r="E5874" s="6" t="inlineStr">
        <is>
          <t>토너</t>
        </is>
      </c>
      <c r="F5874" s="5" t="inlineStr">
        <is>
          <t>카페24</t>
        </is>
      </c>
      <c r="G5874" s="94" t="inlineStr">
        <is>
          <t>스킨팩 화장솜 60P</t>
        </is>
      </c>
      <c r="H5874" s="7" t="n">
        <v>190801</v>
      </c>
      <c r="I5874" s="7" t="n">
        <v>190801</v>
      </c>
      <c r="J5874" s="94" t="n"/>
      <c r="K5874" s="6" t="n">
        <v>45</v>
      </c>
      <c r="L5874" s="7" t="n">
        <v>190801</v>
      </c>
      <c r="M5874" s="94">
        <f>VLOOKUP($Q5874,매칭테이블!$F:$I,2,0)*K5874</f>
        <v/>
      </c>
      <c r="N5874" s="94">
        <f>M5874-M5874*VLOOKUP($Q5874,매칭테이블!$F:$I,3,0)</f>
        <v/>
      </c>
      <c r="O5874" s="94">
        <f>VLOOKUP($Q5874,매칭테이블!$F:$I,4,0)*K5874</f>
        <v/>
      </c>
      <c r="P5874" s="148">
        <f>M5874/1.1</f>
        <v/>
      </c>
      <c r="Q5874" s="94">
        <f>F5874&amp;E5874&amp;G5874&amp;L5874</f>
        <v/>
      </c>
    </row>
    <row r="5875">
      <c r="A5875" s="94" t="n"/>
      <c r="B5875" s="128" t="n">
        <v>43949</v>
      </c>
      <c r="C5875" s="94">
        <f>TEXT(B5875,"aaa")</f>
        <v/>
      </c>
      <c r="D5875" s="94" t="n"/>
      <c r="E5875" s="94" t="inlineStr">
        <is>
          <t>앰플</t>
        </is>
      </c>
      <c r="F5875" s="5" t="inlineStr">
        <is>
          <t>카페24</t>
        </is>
      </c>
      <c r="G5875" s="94" t="inlineStr">
        <is>
          <t>앰플 30ml</t>
        </is>
      </c>
      <c r="H5875" s="7" t="n">
        <v>190801</v>
      </c>
      <c r="I5875" s="7" t="n">
        <v>190801</v>
      </c>
      <c r="J5875" s="94" t="n"/>
      <c r="K5875" s="6" t="n">
        <v>11</v>
      </c>
      <c r="L5875" s="94" t="n">
        <v>190801</v>
      </c>
      <c r="M5875" s="94">
        <f>VLOOKUP($Q5875,매칭테이블!$F:$I,2,0)*K5875</f>
        <v/>
      </c>
      <c r="N5875" s="94">
        <f>M5875-M5875*VLOOKUP($Q5875,매칭테이블!$F:$I,3,0)</f>
        <v/>
      </c>
      <c r="O5875" s="94">
        <f>VLOOKUP($Q5875,매칭테이블!$F:$I,4,0)*K5875</f>
        <v/>
      </c>
      <c r="P5875" s="148">
        <f>M5875/1.1</f>
        <v/>
      </c>
      <c r="Q5875" s="94">
        <f>F5875&amp;E5875&amp;G5875&amp;L5875</f>
        <v/>
      </c>
    </row>
    <row r="5876">
      <c r="A5876" s="94" t="n"/>
      <c r="B5876" s="128" t="n">
        <v>43949</v>
      </c>
      <c r="C5876" s="94">
        <f>TEXT(B5876,"aaa")</f>
        <v/>
      </c>
      <c r="D5876" s="94" t="n"/>
      <c r="E5876" s="94" t="inlineStr">
        <is>
          <t>수딩크림</t>
        </is>
      </c>
      <c r="F5876" s="5" t="inlineStr">
        <is>
          <t>카페24</t>
        </is>
      </c>
      <c r="G5876" s="94" t="inlineStr">
        <is>
          <t>수딩크림 100ml</t>
        </is>
      </c>
      <c r="H5876" s="7" t="n">
        <v>190801</v>
      </c>
      <c r="I5876" s="7" t="n">
        <v>190801</v>
      </c>
      <c r="J5876" s="94" t="n"/>
      <c r="K5876" s="6" t="n">
        <v>3</v>
      </c>
      <c r="L5876" s="94" t="n">
        <v>190801</v>
      </c>
      <c r="M5876" s="94">
        <f>VLOOKUP($Q5876,매칭테이블!$F:$I,2,0)*K5876</f>
        <v/>
      </c>
      <c r="N5876" s="94">
        <f>M5876-M5876*VLOOKUP($Q5876,매칭테이블!$F:$I,3,0)</f>
        <v/>
      </c>
      <c r="O5876" s="94">
        <f>VLOOKUP($Q5876,매칭테이블!$F:$I,4,0)*K5876</f>
        <v/>
      </c>
      <c r="P5876" s="148">
        <f>M5876/1.1</f>
        <v/>
      </c>
      <c r="Q5876" s="94">
        <f>F5876&amp;E5876&amp;G5876&amp;L5876</f>
        <v/>
      </c>
    </row>
    <row r="5877">
      <c r="A5877" s="94" t="n"/>
      <c r="B5877" s="128" t="n">
        <v>43949</v>
      </c>
      <c r="C5877" s="94">
        <f>TEXT(B5877,"aaa")</f>
        <v/>
      </c>
      <c r="D5877" s="94" t="n"/>
      <c r="E5877" s="94" t="inlineStr">
        <is>
          <t>클렌징폼</t>
        </is>
      </c>
      <c r="F5877" s="94" t="inlineStr">
        <is>
          <t>카페24</t>
        </is>
      </c>
      <c r="G5877" s="94" t="inlineStr">
        <is>
          <t>클렌징폼 120ml</t>
        </is>
      </c>
      <c r="H5877" s="7" t="n">
        <v>190801</v>
      </c>
      <c r="I5877" s="7" t="n">
        <v>190801</v>
      </c>
      <c r="J5877" s="94" t="n"/>
      <c r="K5877" s="6" t="n">
        <v>5</v>
      </c>
      <c r="L5877" s="92" t="n">
        <v>190801</v>
      </c>
      <c r="M5877" s="94">
        <f>VLOOKUP($Q5877,매칭테이블!$F:$I,2,0)*K5877</f>
        <v/>
      </c>
      <c r="N5877" s="94">
        <f>M5877-M5877*VLOOKUP($Q5877,매칭테이블!$F:$I,3,0)</f>
        <v/>
      </c>
      <c r="O5877" s="94">
        <f>VLOOKUP($Q5877,매칭테이블!$F:$I,4,0)*K5877</f>
        <v/>
      </c>
      <c r="P5877" s="148">
        <f>M5877/1.1</f>
        <v/>
      </c>
      <c r="Q5877" s="94">
        <f>F5877&amp;E5877&amp;G5877&amp;L5877</f>
        <v/>
      </c>
    </row>
    <row r="5878">
      <c r="A5878" s="94" t="n"/>
      <c r="B5878" s="128" t="n">
        <v>43949</v>
      </c>
      <c r="C5878" s="94">
        <f>TEXT(B5878,"aaa")</f>
        <v/>
      </c>
      <c r="D5878" s="94" t="n"/>
      <c r="E5878" s="94" t="inlineStr">
        <is>
          <t>클렌징폼</t>
        </is>
      </c>
      <c r="F5878" s="94" t="inlineStr">
        <is>
          <t>카페24</t>
        </is>
      </c>
      <c r="G5878" s="94" t="inlineStr">
        <is>
          <t>클렌징폼 120ml 3set</t>
        </is>
      </c>
      <c r="H5878" s="7" t="n">
        <v>190801</v>
      </c>
      <c r="I5878" s="7" t="n">
        <v>190801</v>
      </c>
      <c r="J5878" s="94" t="n"/>
      <c r="K5878" s="6" t="n">
        <v>1</v>
      </c>
      <c r="L5878" s="92" t="n">
        <v>190801</v>
      </c>
      <c r="M5878" s="94">
        <f>VLOOKUP($Q5878,매칭테이블!$F:$I,2,0)*K5878</f>
        <v/>
      </c>
      <c r="N5878" s="94">
        <f>M5878-M5878*VLOOKUP($Q5878,매칭테이블!$F:$I,3,0)</f>
        <v/>
      </c>
      <c r="O5878" s="94">
        <f>VLOOKUP($Q5878,매칭테이블!$F:$I,4,0)*K5878</f>
        <v/>
      </c>
      <c r="P5878" s="148">
        <f>M5878/1.1</f>
        <v/>
      </c>
      <c r="Q5878" s="94">
        <f>F5878&amp;E5878&amp;G5878&amp;L5878</f>
        <v/>
      </c>
    </row>
    <row r="5879">
      <c r="A5879" s="94" t="n"/>
      <c r="B5879" s="128" t="n">
        <v>43949</v>
      </c>
      <c r="C5879" s="94">
        <f>TEXT(B5879,"aaa")</f>
        <v/>
      </c>
      <c r="D5879" s="94" t="n"/>
      <c r="E5879" s="6" t="inlineStr">
        <is>
          <t>토너</t>
        </is>
      </c>
      <c r="F5879" s="94" t="inlineStr">
        <is>
          <t>큐텐</t>
        </is>
      </c>
      <c r="G5879" s="5" t="inlineStr">
        <is>
          <t>250ml</t>
        </is>
      </c>
      <c r="H5879" s="7" t="n">
        <v>190801</v>
      </c>
      <c r="I5879" s="7" t="n">
        <v>190801</v>
      </c>
      <c r="J5879" s="94" t="n"/>
      <c r="K5879" s="6" t="n">
        <v>25</v>
      </c>
      <c r="L5879" s="94" t="n">
        <v>190801</v>
      </c>
      <c r="M5879" s="94">
        <f>VLOOKUP($Q5879,매칭테이블!$F:$I,2,0)*K5879</f>
        <v/>
      </c>
      <c r="N5879" s="94">
        <f>M5879-M5879*VLOOKUP($Q5879,매칭테이블!$F:$I,3,0)</f>
        <v/>
      </c>
      <c r="O5879" s="94">
        <f>VLOOKUP($Q5879,매칭테이블!$F:$I,4,0)*K5879</f>
        <v/>
      </c>
      <c r="P5879" s="148">
        <f>M5879/1.1</f>
        <v/>
      </c>
      <c r="Q5879" s="94">
        <f>F5879&amp;E5879&amp;G5879&amp;L5879</f>
        <v/>
      </c>
    </row>
    <row r="5880">
      <c r="A5880" s="94" t="n"/>
      <c r="B5880" s="128" t="n">
        <v>43949</v>
      </c>
      <c r="C5880" s="94">
        <f>TEXT(B5880,"aaa")</f>
        <v/>
      </c>
      <c r="D5880" s="94" t="n"/>
      <c r="E5880" s="6" t="inlineStr">
        <is>
          <t>토너</t>
        </is>
      </c>
      <c r="F5880" s="94" t="inlineStr">
        <is>
          <t>큐텐</t>
        </is>
      </c>
      <c r="G5880" s="5" t="inlineStr">
        <is>
          <t>250ml 2set</t>
        </is>
      </c>
      <c r="H5880" s="7" t="n">
        <v>190801</v>
      </c>
      <c r="I5880" s="7" t="n">
        <v>190801</v>
      </c>
      <c r="J5880" s="94" t="n"/>
      <c r="K5880" s="6" t="n">
        <v>7</v>
      </c>
      <c r="L5880" s="94" t="n">
        <v>190801</v>
      </c>
      <c r="M5880" s="94">
        <f>VLOOKUP($Q5880,매칭테이블!$F:$I,2,0)*K5880</f>
        <v/>
      </c>
      <c r="N5880" s="94">
        <f>M5880-M5880*VLOOKUP($Q5880,매칭테이블!$F:$I,3,0)</f>
        <v/>
      </c>
      <c r="O5880" s="94">
        <f>VLOOKUP($Q5880,매칭테이블!$F:$I,4,0)*K5880</f>
        <v/>
      </c>
      <c r="P5880" s="148">
        <f>M5880/1.1</f>
        <v/>
      </c>
      <c r="Q5880" s="94">
        <f>F5880&amp;E5880&amp;G5880&amp;L5880</f>
        <v/>
      </c>
    </row>
    <row r="5881">
      <c r="A5881" s="94" t="n"/>
      <c r="B5881" s="128" t="n">
        <v>43949</v>
      </c>
      <c r="C5881" s="94">
        <f>TEXT(B5881,"aaa")</f>
        <v/>
      </c>
      <c r="D5881" s="94" t="n"/>
      <c r="E5881" s="94" t="inlineStr">
        <is>
          <t>앰플</t>
        </is>
      </c>
      <c r="F5881" s="94" t="inlineStr">
        <is>
          <t>큐텐</t>
        </is>
      </c>
      <c r="G5881" s="94" t="inlineStr">
        <is>
          <t>앰플 30ml</t>
        </is>
      </c>
      <c r="H5881" s="7" t="n">
        <v>190801</v>
      </c>
      <c r="I5881" s="7" t="n">
        <v>190801</v>
      </c>
      <c r="J5881" s="94" t="n"/>
      <c r="K5881" s="6" t="n">
        <v>1</v>
      </c>
      <c r="L5881" s="94" t="n">
        <v>190801</v>
      </c>
      <c r="M5881" s="94">
        <f>VLOOKUP($Q5881,매칭테이블!$F:$I,2,0)*K5881</f>
        <v/>
      </c>
      <c r="N5881" s="94">
        <f>M5881-M5881*VLOOKUP($Q5881,매칭테이블!$F:$I,3,0)</f>
        <v/>
      </c>
      <c r="O5881" s="94">
        <f>VLOOKUP($Q5881,매칭테이블!$F:$I,4,0)*K5881</f>
        <v/>
      </c>
      <c r="P5881" s="148">
        <f>M5881/1.1</f>
        <v/>
      </c>
      <c r="Q5881" s="94">
        <f>F5881&amp;E5881&amp;G5881&amp;L5881</f>
        <v/>
      </c>
    </row>
    <row r="5882">
      <c r="A5882" s="94" t="n"/>
      <c r="B5882" s="128" t="n">
        <v>43949</v>
      </c>
      <c r="C5882" s="94">
        <f>TEXT(B5882,"aaa")</f>
        <v/>
      </c>
      <c r="D5882" s="94" t="n"/>
      <c r="E5882" s="94" t="inlineStr">
        <is>
          <t>클렌징폼</t>
        </is>
      </c>
      <c r="F5882" s="94" t="inlineStr">
        <is>
          <t>큐텐</t>
        </is>
      </c>
      <c r="G5882" s="94" t="inlineStr">
        <is>
          <t>클렌징폼 120ml</t>
        </is>
      </c>
      <c r="H5882" s="7" t="n">
        <v>190801</v>
      </c>
      <c r="I5882" s="7" t="n">
        <v>190801</v>
      </c>
      <c r="J5882" s="94" t="n"/>
      <c r="K5882" s="6" t="n">
        <v>1</v>
      </c>
      <c r="L5882" s="94" t="n">
        <v>190801</v>
      </c>
      <c r="M5882" s="94">
        <f>VLOOKUP($Q5882,매칭테이블!$F:$I,2,0)*K5882</f>
        <v/>
      </c>
      <c r="N5882" s="94">
        <f>M5882-M5882*VLOOKUP($Q5882,매칭테이블!$F:$I,3,0)</f>
        <v/>
      </c>
      <c r="O5882" s="94">
        <f>VLOOKUP($Q5882,매칭테이블!$F:$I,4,0)*K5882</f>
        <v/>
      </c>
      <c r="P5882" s="148">
        <f>M5882/1.1</f>
        <v/>
      </c>
      <c r="Q5882" s="94">
        <f>F5882&amp;E5882&amp;G5882&amp;L5882</f>
        <v/>
      </c>
    </row>
    <row r="5883">
      <c r="A5883" s="94" t="n"/>
      <c r="B5883" s="128" t="n">
        <v>43949</v>
      </c>
      <c r="C5883" s="94">
        <f>TEXT(B5883,"aaa")</f>
        <v/>
      </c>
      <c r="D5883" s="94" t="n"/>
      <c r="E5883" s="94" t="inlineStr">
        <is>
          <t>마스크팩</t>
        </is>
      </c>
      <c r="F5883" s="94" t="inlineStr">
        <is>
          <t>큐텐</t>
        </is>
      </c>
      <c r="G5883" s="94" t="inlineStr">
        <is>
          <t>마스크팩 10매</t>
        </is>
      </c>
      <c r="H5883" s="7" t="n">
        <v>190801</v>
      </c>
      <c r="I5883" s="7" t="n">
        <v>190801</v>
      </c>
      <c r="J5883" s="94" t="n"/>
      <c r="K5883" s="6" t="n">
        <v>2</v>
      </c>
      <c r="L5883" s="94" t="n">
        <v>190801</v>
      </c>
      <c r="M5883" s="94">
        <f>VLOOKUP($Q5883,매칭테이블!$F:$I,2,0)*K5883</f>
        <v/>
      </c>
      <c r="N5883" s="94">
        <f>M5883-M5883*VLOOKUP($Q5883,매칭테이블!$F:$I,3,0)</f>
        <v/>
      </c>
      <c r="O5883" s="94">
        <f>VLOOKUP($Q5883,매칭테이블!$F:$I,4,0)*K5883</f>
        <v/>
      </c>
      <c r="P5883" s="148">
        <f>M5883/1.1</f>
        <v/>
      </c>
      <c r="Q5883" s="94">
        <f>F5883&amp;E5883&amp;G5883&amp;L5883</f>
        <v/>
      </c>
    </row>
    <row r="5884">
      <c r="A5884" s="94" t="n"/>
      <c r="B5884" s="128" t="n">
        <v>43950</v>
      </c>
      <c r="C5884" s="94">
        <f>TEXT(B5884,"aaa")</f>
        <v/>
      </c>
      <c r="D5884" s="94" t="n"/>
      <c r="E5884" s="6" t="inlineStr">
        <is>
          <t>토너</t>
        </is>
      </c>
      <c r="F5884" s="5" t="inlineStr">
        <is>
          <t>W컨셉</t>
        </is>
      </c>
      <c r="G5884" s="5" t="inlineStr">
        <is>
          <t>250ml</t>
        </is>
      </c>
      <c r="H5884" s="7" t="n">
        <v>190801</v>
      </c>
      <c r="I5884" s="7" t="n">
        <v>190801</v>
      </c>
      <c r="J5884" s="94" t="n"/>
      <c r="K5884" s="6" t="n">
        <v>3</v>
      </c>
      <c r="L5884" s="7" t="n">
        <v>190801</v>
      </c>
      <c r="M5884" s="94">
        <f>VLOOKUP($Q5884,매칭테이블!$F:$I,2,0)*K5884</f>
        <v/>
      </c>
      <c r="N5884" s="94">
        <f>M5884-M5884*VLOOKUP($Q5884,매칭테이블!$F:$I,3,0)</f>
        <v/>
      </c>
      <c r="O5884" s="94">
        <f>VLOOKUP($Q5884,매칭테이블!$F:$I,4,0)*K5884</f>
        <v/>
      </c>
      <c r="P5884" s="148">
        <f>M5884/1.1</f>
        <v/>
      </c>
      <c r="Q5884" s="94">
        <f>F5884&amp;E5884&amp;G5884&amp;L5884</f>
        <v/>
      </c>
    </row>
    <row r="5885">
      <c r="A5885" s="94" t="n"/>
      <c r="B5885" s="128" t="n">
        <v>43950</v>
      </c>
      <c r="C5885" s="94">
        <f>TEXT(B5885,"aaa")</f>
        <v/>
      </c>
      <c r="D5885" s="94" t="n"/>
      <c r="E5885" s="6" t="inlineStr">
        <is>
          <t>토너</t>
        </is>
      </c>
      <c r="F5885" s="5" t="inlineStr">
        <is>
          <t>W컨셉</t>
        </is>
      </c>
      <c r="G5885" s="5" t="inlineStr">
        <is>
          <t>250ml 2set</t>
        </is>
      </c>
      <c r="H5885" s="7" t="n">
        <v>190801</v>
      </c>
      <c r="I5885" s="7" t="n">
        <v>190801</v>
      </c>
      <c r="J5885" s="94" t="n"/>
      <c r="K5885" s="6" t="n">
        <v>4</v>
      </c>
      <c r="L5885" s="7" t="n">
        <v>190801</v>
      </c>
      <c r="M5885" s="94">
        <f>VLOOKUP($Q5885,매칭테이블!$F:$I,2,0)*K5885</f>
        <v/>
      </c>
      <c r="N5885" s="94">
        <f>M5885-M5885*VLOOKUP($Q5885,매칭테이블!$F:$I,3,0)</f>
        <v/>
      </c>
      <c r="O5885" s="94">
        <f>VLOOKUP($Q5885,매칭테이블!$F:$I,4,0)*K5885</f>
        <v/>
      </c>
      <c r="P5885" s="148">
        <f>M5885/1.1</f>
        <v/>
      </c>
      <c r="Q5885" s="94">
        <f>F5885&amp;E5885&amp;G5885&amp;L5885</f>
        <v/>
      </c>
    </row>
    <row r="5886">
      <c r="A5886" s="94" t="n"/>
      <c r="B5886" s="128" t="n">
        <v>43950</v>
      </c>
      <c r="C5886" s="94">
        <f>TEXT(B5886,"aaa")</f>
        <v/>
      </c>
      <c r="D5886" s="94" t="n"/>
      <c r="E5886" s="94" t="inlineStr">
        <is>
          <t>토너</t>
        </is>
      </c>
      <c r="F5886" s="5" t="inlineStr">
        <is>
          <t>스타일쉐어</t>
        </is>
      </c>
      <c r="G5886" s="94" t="inlineStr">
        <is>
          <t>250ml</t>
        </is>
      </c>
      <c r="H5886" s="7" t="n">
        <v>190801</v>
      </c>
      <c r="I5886" s="7" t="n">
        <v>190801</v>
      </c>
      <c r="J5886" s="94" t="n"/>
      <c r="K5886" s="6" t="n">
        <v>1</v>
      </c>
      <c r="L5886" s="7" t="n">
        <v>190801</v>
      </c>
      <c r="M5886" s="94">
        <f>VLOOKUP($Q5886,매칭테이블!$F:$I,2,0)*K5886</f>
        <v/>
      </c>
      <c r="N5886" s="94">
        <f>M5886-M5886*VLOOKUP($Q5886,매칭테이블!$F:$I,3,0)</f>
        <v/>
      </c>
      <c r="O5886" s="94">
        <f>VLOOKUP($Q5886,매칭테이블!$F:$I,4,0)*K5886</f>
        <v/>
      </c>
      <c r="P5886" s="148">
        <f>M5886/1.1</f>
        <v/>
      </c>
      <c r="Q5886" s="94">
        <f>F5886&amp;E5886&amp;G5886&amp;L5886</f>
        <v/>
      </c>
    </row>
    <row r="5887">
      <c r="A5887" s="94" t="n"/>
      <c r="B5887" s="128" t="n">
        <v>43950</v>
      </c>
      <c r="C5887" s="94">
        <f>TEXT(B5887,"aaa")</f>
        <v/>
      </c>
      <c r="D5887" s="94" t="n"/>
      <c r="E5887" s="94" t="inlineStr">
        <is>
          <t>어성초진정패키지</t>
        </is>
      </c>
      <c r="F5887" s="94" t="inlineStr">
        <is>
          <t>카페24</t>
        </is>
      </c>
      <c r="G5887" s="94" t="inlineStr">
        <is>
          <t>어성초 진정패키지세트</t>
        </is>
      </c>
      <c r="H5887" s="7" t="n">
        <v>190801</v>
      </c>
      <c r="I5887" s="7" t="n">
        <v>190801</v>
      </c>
      <c r="J5887" s="94" t="n"/>
      <c r="K5887" s="6" t="n">
        <v>7</v>
      </c>
      <c r="L5887" s="94" t="n">
        <v>190801</v>
      </c>
      <c r="M5887" s="94">
        <f>VLOOKUP($Q5887,매칭테이블!$F:$I,2,0)*K5887</f>
        <v/>
      </c>
      <c r="N5887" s="94">
        <f>M5887-M5887*VLOOKUP($Q5887,매칭테이블!$F:$I,3,0)</f>
        <v/>
      </c>
      <c r="O5887" s="94">
        <f>VLOOKUP($Q5887,매칭테이블!$F:$I,4,0)*K5887</f>
        <v/>
      </c>
      <c r="P5887" s="148">
        <f>M5887/1.1</f>
        <v/>
      </c>
      <c r="Q5887" s="94">
        <f>F5887&amp;E5887&amp;G5887&amp;L5887</f>
        <v/>
      </c>
    </row>
    <row r="5888">
      <c r="A5888" s="94" t="n"/>
      <c r="B5888" s="128" t="n">
        <v>43950</v>
      </c>
      <c r="C5888" s="94">
        <f>TEXT(B5888,"aaa")</f>
        <v/>
      </c>
      <c r="D5888" s="94" t="n"/>
      <c r="E5888" s="94" t="inlineStr">
        <is>
          <t>마스크팩</t>
        </is>
      </c>
      <c r="F5888" s="94" t="inlineStr">
        <is>
          <t>카페24</t>
        </is>
      </c>
      <c r="G5888" s="94" t="inlineStr">
        <is>
          <t>마스크팩 1매</t>
        </is>
      </c>
      <c r="H5888" s="7" t="n">
        <v>190801</v>
      </c>
      <c r="I5888" s="7" t="n">
        <v>190801</v>
      </c>
      <c r="J5888" s="94" t="n"/>
      <c r="K5888" s="6" t="n">
        <v>1</v>
      </c>
      <c r="L5888" s="94" t="n">
        <v>190801</v>
      </c>
      <c r="M5888" s="94">
        <f>VLOOKUP($Q5888,매칭테이블!$F:$I,2,0)*K5888</f>
        <v/>
      </c>
      <c r="N5888" s="94">
        <f>M5888-M5888*VLOOKUP($Q5888,매칭테이블!$F:$I,3,0)</f>
        <v/>
      </c>
      <c r="O5888" s="94">
        <f>VLOOKUP($Q5888,매칭테이블!$F:$I,4,0)*K5888</f>
        <v/>
      </c>
      <c r="P5888" s="148">
        <f>M5888/1.1</f>
        <v/>
      </c>
      <c r="Q5888" s="94">
        <f>F5888&amp;E5888&amp;G5888&amp;L5888</f>
        <v/>
      </c>
    </row>
    <row r="5889">
      <c r="A5889" s="94" t="n"/>
      <c r="B5889" s="128" t="n">
        <v>43950</v>
      </c>
      <c r="C5889" s="94">
        <f>TEXT(B5889,"aaa")</f>
        <v/>
      </c>
      <c r="D5889" s="94" t="n"/>
      <c r="E5889" s="94" t="inlineStr">
        <is>
          <t>마스크팩</t>
        </is>
      </c>
      <c r="F5889" s="94" t="inlineStr">
        <is>
          <t>카페24</t>
        </is>
      </c>
      <c r="G5889" s="94" t="inlineStr">
        <is>
          <t>마스크팩 10매</t>
        </is>
      </c>
      <c r="H5889" s="7" t="n">
        <v>190801</v>
      </c>
      <c r="I5889" s="7" t="n">
        <v>190801</v>
      </c>
      <c r="J5889" s="94" t="n"/>
      <c r="K5889" s="6" t="n">
        <v>4</v>
      </c>
      <c r="L5889" s="94" t="n">
        <v>190801</v>
      </c>
      <c r="M5889" s="94">
        <f>VLOOKUP($Q5889,매칭테이블!$F:$I,2,0)*K5889</f>
        <v/>
      </c>
      <c r="N5889" s="94">
        <f>M5889-M5889*VLOOKUP($Q5889,매칭테이블!$F:$I,3,0)</f>
        <v/>
      </c>
      <c r="O5889" s="94">
        <f>VLOOKUP($Q5889,매칭테이블!$F:$I,4,0)*K5889</f>
        <v/>
      </c>
      <c r="P5889" s="148">
        <f>M5889/1.1</f>
        <v/>
      </c>
      <c r="Q5889" s="94">
        <f>F5889&amp;E5889&amp;G5889&amp;L5889</f>
        <v/>
      </c>
    </row>
    <row r="5890">
      <c r="A5890" s="94" t="n"/>
      <c r="B5890" s="128" t="n">
        <v>43950</v>
      </c>
      <c r="C5890" s="94">
        <f>TEXT(B5890,"aaa")</f>
        <v/>
      </c>
      <c r="D5890" s="94" t="n"/>
      <c r="E5890" s="94" t="inlineStr">
        <is>
          <t>머드크림마스크</t>
        </is>
      </c>
      <c r="F5890" s="94" t="inlineStr">
        <is>
          <t>카페24</t>
        </is>
      </c>
      <c r="G5890" s="94" t="inlineStr">
        <is>
          <t>머드크림마스크 100ml</t>
        </is>
      </c>
      <c r="H5890" s="7" t="n">
        <v>190801</v>
      </c>
      <c r="I5890" s="7" t="n">
        <v>190801</v>
      </c>
      <c r="J5890" s="94" t="n"/>
      <c r="K5890" s="6" t="n">
        <v>2</v>
      </c>
      <c r="L5890" s="94" t="n">
        <v>190801</v>
      </c>
      <c r="M5890" s="94">
        <f>VLOOKUP($Q5890,매칭테이블!$F:$I,2,0)*K5890</f>
        <v/>
      </c>
      <c r="N5890" s="94">
        <f>M5890-M5890*VLOOKUP($Q5890,매칭테이블!$F:$I,3,0)</f>
        <v/>
      </c>
      <c r="O5890" s="94">
        <f>VLOOKUP($Q5890,매칭테이블!$F:$I,4,0)*K5890</f>
        <v/>
      </c>
      <c r="P5890" s="148">
        <f>M5890/1.1</f>
        <v/>
      </c>
      <c r="Q5890" s="94">
        <f>F5890&amp;E5890&amp;G5890&amp;L5890</f>
        <v/>
      </c>
    </row>
    <row r="5891">
      <c r="A5891" s="94" t="n"/>
      <c r="B5891" s="128" t="n">
        <v>43950</v>
      </c>
      <c r="C5891" s="94">
        <f>TEXT(B5891,"aaa")</f>
        <v/>
      </c>
      <c r="D5891" s="94" t="n"/>
      <c r="E5891" s="6" t="inlineStr">
        <is>
          <t>토너</t>
        </is>
      </c>
      <c r="F5891" s="5" t="inlineStr">
        <is>
          <t>카페24</t>
        </is>
      </c>
      <c r="G5891" s="5" t="inlineStr">
        <is>
          <t>250ml</t>
        </is>
      </c>
      <c r="H5891" s="7" t="n">
        <v>190801</v>
      </c>
      <c r="I5891" s="7" t="n">
        <v>190801</v>
      </c>
      <c r="J5891" s="94" t="n"/>
      <c r="K5891" s="6" t="n">
        <v>42</v>
      </c>
      <c r="L5891" s="7" t="n">
        <v>190801</v>
      </c>
      <c r="M5891" s="94">
        <f>VLOOKUP($Q5891,매칭테이블!$F:$I,2,0)*K5891</f>
        <v/>
      </c>
      <c r="N5891" s="94">
        <f>M5891-M5891*VLOOKUP($Q5891,매칭테이블!$F:$I,3,0)</f>
        <v/>
      </c>
      <c r="O5891" s="94">
        <f>VLOOKUP($Q5891,매칭테이블!$F:$I,4,0)*K5891</f>
        <v/>
      </c>
      <c r="P5891" s="148">
        <f>M5891/1.1</f>
        <v/>
      </c>
      <c r="Q5891" s="94">
        <f>F5891&amp;E5891&amp;G5891&amp;L5891</f>
        <v/>
      </c>
    </row>
    <row r="5892">
      <c r="A5892" s="94" t="n"/>
      <c r="B5892" s="128" t="n">
        <v>43950</v>
      </c>
      <c r="C5892" s="94">
        <f>TEXT(B5892,"aaa")</f>
        <v/>
      </c>
      <c r="D5892" s="94" t="n"/>
      <c r="E5892" s="6" t="inlineStr">
        <is>
          <t>토너</t>
        </is>
      </c>
      <c r="F5892" s="5" t="inlineStr">
        <is>
          <t>카페24</t>
        </is>
      </c>
      <c r="G5892" s="5" t="inlineStr">
        <is>
          <t>250ml 2set</t>
        </is>
      </c>
      <c r="H5892" s="7" t="n">
        <v>190801</v>
      </c>
      <c r="I5892" s="7" t="n">
        <v>190801</v>
      </c>
      <c r="J5892" s="94" t="n"/>
      <c r="K5892" s="6" t="n">
        <v>39</v>
      </c>
      <c r="L5892" s="7" t="n">
        <v>190801</v>
      </c>
      <c r="M5892" s="94">
        <f>VLOOKUP($Q5892,매칭테이블!$F:$I,2,0)*K5892</f>
        <v/>
      </c>
      <c r="N5892" s="94">
        <f>M5892-M5892*VLOOKUP($Q5892,매칭테이블!$F:$I,3,0)</f>
        <v/>
      </c>
      <c r="O5892" s="94">
        <f>VLOOKUP($Q5892,매칭테이블!$F:$I,4,0)*K5892</f>
        <v/>
      </c>
      <c r="P5892" s="148">
        <f>M5892/1.1</f>
        <v/>
      </c>
      <c r="Q5892" s="94">
        <f>F5892&amp;E5892&amp;G5892&amp;L5892</f>
        <v/>
      </c>
    </row>
    <row r="5893">
      <c r="A5893" s="94" t="n"/>
      <c r="B5893" s="128" t="n">
        <v>43950</v>
      </c>
      <c r="C5893" s="94">
        <f>TEXT(B5893,"aaa")</f>
        <v/>
      </c>
      <c r="D5893" s="94" t="n"/>
      <c r="E5893" s="6" t="inlineStr">
        <is>
          <t>토너</t>
        </is>
      </c>
      <c r="F5893" s="5" t="inlineStr">
        <is>
          <t>카페24</t>
        </is>
      </c>
      <c r="G5893" s="5" t="inlineStr">
        <is>
          <t>500ml</t>
        </is>
      </c>
      <c r="H5893" s="7" t="n">
        <v>190801</v>
      </c>
      <c r="I5893" s="7" t="n">
        <v>190801</v>
      </c>
      <c r="J5893" s="94" t="n"/>
      <c r="K5893" s="6" t="n">
        <v>32</v>
      </c>
      <c r="L5893" s="7" t="n">
        <v>190801</v>
      </c>
      <c r="M5893" s="94">
        <f>VLOOKUP($Q5893,매칭테이블!$F:$I,2,0)*K5893</f>
        <v/>
      </c>
      <c r="N5893" s="94">
        <f>M5893-M5893*VLOOKUP($Q5893,매칭테이블!$F:$I,3,0)</f>
        <v/>
      </c>
      <c r="O5893" s="94">
        <f>VLOOKUP($Q5893,매칭테이블!$F:$I,4,0)*K5893</f>
        <v/>
      </c>
      <c r="P5893" s="148">
        <f>M5893/1.1</f>
        <v/>
      </c>
      <c r="Q5893" s="94">
        <f>F5893&amp;E5893&amp;G5893&amp;L5893</f>
        <v/>
      </c>
    </row>
    <row r="5894">
      <c r="A5894" s="94" t="n"/>
      <c r="B5894" s="128" t="n">
        <v>43950</v>
      </c>
      <c r="C5894" s="94">
        <f>TEXT(B5894,"aaa")</f>
        <v/>
      </c>
      <c r="D5894" s="94" t="n"/>
      <c r="E5894" s="6" t="inlineStr">
        <is>
          <t>토너</t>
        </is>
      </c>
      <c r="F5894" s="5" t="inlineStr">
        <is>
          <t>카페24</t>
        </is>
      </c>
      <c r="G5894" s="94" t="inlineStr">
        <is>
          <t>스킨팩 화장솜 60P</t>
        </is>
      </c>
      <c r="H5894" s="7" t="n">
        <v>190801</v>
      </c>
      <c r="I5894" s="7" t="n">
        <v>190801</v>
      </c>
      <c r="J5894" s="94" t="n"/>
      <c r="K5894" s="6" t="n">
        <v>58</v>
      </c>
      <c r="L5894" s="7" t="n">
        <v>190801</v>
      </c>
      <c r="M5894" s="94">
        <f>VLOOKUP($Q5894,매칭테이블!$F:$I,2,0)*K5894</f>
        <v/>
      </c>
      <c r="N5894" s="94">
        <f>M5894-M5894*VLOOKUP($Q5894,매칭테이블!$F:$I,3,0)</f>
        <v/>
      </c>
      <c r="O5894" s="94">
        <f>VLOOKUP($Q5894,매칭테이블!$F:$I,4,0)*K5894</f>
        <v/>
      </c>
      <c r="P5894" s="148">
        <f>M5894/1.1</f>
        <v/>
      </c>
      <c r="Q5894" s="94">
        <f>F5894&amp;E5894&amp;G5894&amp;L5894</f>
        <v/>
      </c>
    </row>
    <row r="5895">
      <c r="A5895" s="94" t="n"/>
      <c r="B5895" s="128" t="n">
        <v>43950</v>
      </c>
      <c r="C5895" s="94">
        <f>TEXT(B5895,"aaa")</f>
        <v/>
      </c>
      <c r="D5895" s="94" t="n"/>
      <c r="E5895" s="94" t="inlineStr">
        <is>
          <t>앰플</t>
        </is>
      </c>
      <c r="F5895" s="5" t="inlineStr">
        <is>
          <t>카페24</t>
        </is>
      </c>
      <c r="G5895" s="94" t="inlineStr">
        <is>
          <t>앰플 30ml</t>
        </is>
      </c>
      <c r="H5895" s="7" t="n">
        <v>190801</v>
      </c>
      <c r="I5895" s="7" t="n">
        <v>190801</v>
      </c>
      <c r="J5895" s="94" t="n"/>
      <c r="K5895" s="6" t="n">
        <v>11</v>
      </c>
      <c r="L5895" s="94" t="n">
        <v>190801</v>
      </c>
      <c r="M5895" s="94">
        <f>VLOOKUP($Q5895,매칭테이블!$F:$I,2,0)*K5895</f>
        <v/>
      </c>
      <c r="N5895" s="94">
        <f>M5895-M5895*VLOOKUP($Q5895,매칭테이블!$F:$I,3,0)</f>
        <v/>
      </c>
      <c r="O5895" s="94">
        <f>VLOOKUP($Q5895,매칭테이블!$F:$I,4,0)*K5895</f>
        <v/>
      </c>
      <c r="P5895" s="148">
        <f>M5895/1.1</f>
        <v/>
      </c>
      <c r="Q5895" s="94">
        <f>F5895&amp;E5895&amp;G5895&amp;L5895</f>
        <v/>
      </c>
    </row>
    <row r="5896">
      <c r="A5896" s="94" t="n"/>
      <c r="B5896" s="128" t="n">
        <v>43950</v>
      </c>
      <c r="C5896" s="94">
        <f>TEXT(B5896,"aaa")</f>
        <v/>
      </c>
      <c r="D5896" s="94" t="n"/>
      <c r="E5896" s="94" t="inlineStr">
        <is>
          <t>수딩크림</t>
        </is>
      </c>
      <c r="F5896" s="5" t="inlineStr">
        <is>
          <t>카페24</t>
        </is>
      </c>
      <c r="G5896" s="94" t="inlineStr">
        <is>
          <t>수딩크림 100ml</t>
        </is>
      </c>
      <c r="H5896" s="7" t="n">
        <v>190801</v>
      </c>
      <c r="I5896" s="7" t="n">
        <v>190801</v>
      </c>
      <c r="J5896" s="94" t="n"/>
      <c r="K5896" s="6" t="n">
        <v>2</v>
      </c>
      <c r="L5896" s="94" t="n">
        <v>190801</v>
      </c>
      <c r="M5896" s="94">
        <f>VLOOKUP($Q5896,매칭테이블!$F:$I,2,0)*K5896</f>
        <v/>
      </c>
      <c r="N5896" s="94">
        <f>M5896-M5896*VLOOKUP($Q5896,매칭테이블!$F:$I,3,0)</f>
        <v/>
      </c>
      <c r="O5896" s="94">
        <f>VLOOKUP($Q5896,매칭테이블!$F:$I,4,0)*K5896</f>
        <v/>
      </c>
      <c r="P5896" s="148">
        <f>M5896/1.1</f>
        <v/>
      </c>
      <c r="Q5896" s="94">
        <f>F5896&amp;E5896&amp;G5896&amp;L5896</f>
        <v/>
      </c>
    </row>
    <row r="5897">
      <c r="A5897" s="94" t="n"/>
      <c r="B5897" s="128" t="n">
        <v>43950</v>
      </c>
      <c r="C5897" s="94">
        <f>TEXT(B5897,"aaa")</f>
        <v/>
      </c>
      <c r="D5897" s="94" t="n"/>
      <c r="E5897" s="94" t="inlineStr">
        <is>
          <t>클렌징폼</t>
        </is>
      </c>
      <c r="F5897" s="94" t="inlineStr">
        <is>
          <t>카페24</t>
        </is>
      </c>
      <c r="G5897" s="94" t="inlineStr">
        <is>
          <t>클렌징폼 120ml</t>
        </is>
      </c>
      <c r="H5897" s="7" t="n">
        <v>190801</v>
      </c>
      <c r="I5897" s="7" t="n">
        <v>190801</v>
      </c>
      <c r="J5897" s="94" t="n"/>
      <c r="K5897" s="6" t="n">
        <v>14</v>
      </c>
      <c r="L5897" s="92" t="n">
        <v>190801</v>
      </c>
      <c r="M5897" s="94">
        <f>VLOOKUP($Q5897,매칭테이블!$F:$I,2,0)*K5897</f>
        <v/>
      </c>
      <c r="N5897" s="94">
        <f>M5897-M5897*VLOOKUP($Q5897,매칭테이블!$F:$I,3,0)</f>
        <v/>
      </c>
      <c r="O5897" s="94">
        <f>VLOOKUP($Q5897,매칭테이블!$F:$I,4,0)*K5897</f>
        <v/>
      </c>
      <c r="P5897" s="148">
        <f>M5897/1.1</f>
        <v/>
      </c>
      <c r="Q5897" s="94">
        <f>F5897&amp;E5897&amp;G5897&amp;L5897</f>
        <v/>
      </c>
    </row>
    <row r="5898">
      <c r="A5898" s="94" t="n"/>
      <c r="B5898" s="128" t="n">
        <v>43950</v>
      </c>
      <c r="C5898" s="94">
        <f>TEXT(B5898,"aaa")</f>
        <v/>
      </c>
      <c r="D5898" s="94" t="n"/>
      <c r="E5898" s="94" t="inlineStr">
        <is>
          <t>클렌징폼</t>
        </is>
      </c>
      <c r="F5898" s="94" t="inlineStr">
        <is>
          <t>카페24</t>
        </is>
      </c>
      <c r="G5898" s="94" t="inlineStr">
        <is>
          <t>클렌징폼 120ml 2set</t>
        </is>
      </c>
      <c r="H5898" s="7" t="n">
        <v>190801</v>
      </c>
      <c r="I5898" s="7" t="n">
        <v>190801</v>
      </c>
      <c r="J5898" s="94" t="n"/>
      <c r="K5898" s="6" t="n">
        <v>1</v>
      </c>
      <c r="L5898" s="92" t="n">
        <v>190801</v>
      </c>
      <c r="M5898" s="94">
        <f>VLOOKUP($Q5898,매칭테이블!$F:$I,2,0)*K5898</f>
        <v/>
      </c>
      <c r="N5898" s="94">
        <f>M5898-M5898*VLOOKUP($Q5898,매칭테이블!$F:$I,3,0)</f>
        <v/>
      </c>
      <c r="O5898" s="94">
        <f>VLOOKUP($Q5898,매칭테이블!$F:$I,4,0)*K5898</f>
        <v/>
      </c>
      <c r="P5898" s="148">
        <f>M5898/1.1</f>
        <v/>
      </c>
      <c r="Q5898" s="94">
        <f>F5898&amp;E5898&amp;G5898&amp;L5898</f>
        <v/>
      </c>
    </row>
    <row r="5899">
      <c r="A5899" s="94" t="n"/>
      <c r="B5899" s="128" t="n">
        <v>43950</v>
      </c>
      <c r="C5899" s="94">
        <f>TEXT(B5899,"aaa")</f>
        <v/>
      </c>
      <c r="D5899" s="94" t="n"/>
      <c r="E5899" s="94" t="inlineStr">
        <is>
          <t>클렌징폼</t>
        </is>
      </c>
      <c r="F5899" s="94" t="inlineStr">
        <is>
          <t>카페24</t>
        </is>
      </c>
      <c r="G5899" s="94" t="inlineStr">
        <is>
          <t>클렌징폼 120ml 3set</t>
        </is>
      </c>
      <c r="H5899" s="7" t="n">
        <v>190801</v>
      </c>
      <c r="I5899" s="7" t="n">
        <v>190801</v>
      </c>
      <c r="J5899" s="94" t="n"/>
      <c r="K5899" s="6" t="n">
        <v>1</v>
      </c>
      <c r="L5899" s="92" t="n">
        <v>190801</v>
      </c>
      <c r="M5899" s="94">
        <f>VLOOKUP($Q5899,매칭테이블!$F:$I,2,0)*K5899</f>
        <v/>
      </c>
      <c r="N5899" s="94">
        <f>M5899-M5899*VLOOKUP($Q5899,매칭테이블!$F:$I,3,0)</f>
        <v/>
      </c>
      <c r="O5899" s="94">
        <f>VLOOKUP($Q5899,매칭테이블!$F:$I,4,0)*K5899</f>
        <v/>
      </c>
      <c r="P5899" s="148">
        <f>M5899/1.1</f>
        <v/>
      </c>
      <c r="Q5899" s="94">
        <f>F5899&amp;E5899&amp;G5899&amp;L5899</f>
        <v/>
      </c>
    </row>
    <row r="5900">
      <c r="A5900" s="94" t="n"/>
      <c r="B5900" s="128" t="n">
        <v>43950</v>
      </c>
      <c r="C5900" s="94">
        <f>TEXT(B5900,"aaa")</f>
        <v/>
      </c>
      <c r="D5900" s="94" t="n"/>
      <c r="E5900" s="6" t="inlineStr">
        <is>
          <t>토너</t>
        </is>
      </c>
      <c r="F5900" s="94" t="inlineStr">
        <is>
          <t>큐텐</t>
        </is>
      </c>
      <c r="G5900" s="5" t="inlineStr">
        <is>
          <t>250ml</t>
        </is>
      </c>
      <c r="H5900" s="7" t="n">
        <v>190801</v>
      </c>
      <c r="I5900" s="7" t="n">
        <v>190801</v>
      </c>
      <c r="J5900" s="94" t="n"/>
      <c r="K5900" s="6" t="n">
        <v>26</v>
      </c>
      <c r="L5900" s="94" t="n">
        <v>190801</v>
      </c>
      <c r="M5900" s="94">
        <f>VLOOKUP($Q5900,매칭테이블!$F:$I,2,0)*K5900</f>
        <v/>
      </c>
      <c r="N5900" s="94">
        <f>M5900-M5900*VLOOKUP($Q5900,매칭테이블!$F:$I,3,0)</f>
        <v/>
      </c>
      <c r="O5900" s="94">
        <f>VLOOKUP($Q5900,매칭테이블!$F:$I,4,0)*K5900</f>
        <v/>
      </c>
      <c r="P5900" s="148">
        <f>M5900/1.1</f>
        <v/>
      </c>
      <c r="Q5900" s="94">
        <f>F5900&amp;E5900&amp;G5900&amp;L5900</f>
        <v/>
      </c>
    </row>
    <row r="5901">
      <c r="A5901" s="94" t="n"/>
      <c r="B5901" s="128" t="n">
        <v>43950</v>
      </c>
      <c r="C5901" s="94">
        <f>TEXT(B5901,"aaa")</f>
        <v/>
      </c>
      <c r="D5901" s="94" t="n"/>
      <c r="E5901" s="6" t="inlineStr">
        <is>
          <t>토너</t>
        </is>
      </c>
      <c r="F5901" s="94" t="inlineStr">
        <is>
          <t>큐텐</t>
        </is>
      </c>
      <c r="G5901" s="5" t="inlineStr">
        <is>
          <t>250ml 2set</t>
        </is>
      </c>
      <c r="H5901" s="7" t="n">
        <v>190801</v>
      </c>
      <c r="I5901" s="7" t="n">
        <v>190801</v>
      </c>
      <c r="J5901" s="94" t="n"/>
      <c r="K5901" s="6" t="n">
        <v>7</v>
      </c>
      <c r="L5901" s="94" t="n">
        <v>190801</v>
      </c>
      <c r="M5901" s="94">
        <f>VLOOKUP($Q5901,매칭테이블!$F:$I,2,0)*K5901</f>
        <v/>
      </c>
      <c r="N5901" s="94">
        <f>M5901-M5901*VLOOKUP($Q5901,매칭테이블!$F:$I,3,0)</f>
        <v/>
      </c>
      <c r="O5901" s="94">
        <f>VLOOKUP($Q5901,매칭테이블!$F:$I,4,0)*K5901</f>
        <v/>
      </c>
      <c r="P5901" s="148">
        <f>M5901/1.1</f>
        <v/>
      </c>
      <c r="Q5901" s="94">
        <f>F5901&amp;E5901&amp;G5901&amp;L5901</f>
        <v/>
      </c>
    </row>
    <row r="5902">
      <c r="A5902" s="94" t="n"/>
      <c r="B5902" s="128" t="n">
        <v>43950</v>
      </c>
      <c r="C5902" s="94">
        <f>TEXT(B5902,"aaa")</f>
        <v/>
      </c>
      <c r="D5902" s="94" t="n"/>
      <c r="E5902" s="94" t="inlineStr">
        <is>
          <t>앰플</t>
        </is>
      </c>
      <c r="F5902" s="94" t="inlineStr">
        <is>
          <t>큐텐</t>
        </is>
      </c>
      <c r="G5902" s="94" t="inlineStr">
        <is>
          <t>앰플 30ml</t>
        </is>
      </c>
      <c r="H5902" s="7" t="n">
        <v>190801</v>
      </c>
      <c r="I5902" s="7" t="n">
        <v>190801</v>
      </c>
      <c r="J5902" s="94" t="n"/>
      <c r="K5902" s="6" t="n">
        <v>2</v>
      </c>
      <c r="L5902" s="94" t="n">
        <v>190801</v>
      </c>
      <c r="M5902" s="94">
        <f>VLOOKUP($Q5902,매칭테이블!$F:$I,2,0)*K5902</f>
        <v/>
      </c>
      <c r="N5902" s="94">
        <f>M5902-M5902*VLOOKUP($Q5902,매칭테이블!$F:$I,3,0)</f>
        <v/>
      </c>
      <c r="O5902" s="94">
        <f>VLOOKUP($Q5902,매칭테이블!$F:$I,4,0)*K5902</f>
        <v/>
      </c>
      <c r="P5902" s="148">
        <f>M5902/1.1</f>
        <v/>
      </c>
      <c r="Q5902" s="94">
        <f>F5902&amp;E5902&amp;G5902&amp;L5902</f>
        <v/>
      </c>
    </row>
    <row r="5903">
      <c r="A5903" s="94" t="n"/>
      <c r="B5903" s="128" t="n">
        <v>43951</v>
      </c>
      <c r="C5903" s="94">
        <f>TEXT(B5903,"aaa")</f>
        <v/>
      </c>
      <c r="D5903" s="94" t="n"/>
      <c r="E5903" s="94" t="inlineStr">
        <is>
          <t>토너</t>
        </is>
      </c>
      <c r="F5903" s="5" t="inlineStr">
        <is>
          <t>스타일쉐어</t>
        </is>
      </c>
      <c r="G5903" s="94" t="inlineStr">
        <is>
          <t>250ml</t>
        </is>
      </c>
      <c r="H5903" s="7" t="n">
        <v>190801</v>
      </c>
      <c r="I5903" s="7" t="n">
        <v>190801</v>
      </c>
      <c r="J5903" s="94" t="n"/>
      <c r="K5903" s="6" t="n">
        <v>1</v>
      </c>
      <c r="L5903" s="7" t="n">
        <v>190801</v>
      </c>
      <c r="M5903" s="94">
        <f>VLOOKUP($Q5903,매칭테이블!$F:$I,2,0)*K5903</f>
        <v/>
      </c>
      <c r="N5903" s="94">
        <f>M5903-M5903*VLOOKUP($Q5903,매칭테이블!$F:$I,3,0)</f>
        <v/>
      </c>
      <c r="O5903" s="94">
        <f>VLOOKUP($Q5903,매칭테이블!$F:$I,4,0)*K5903</f>
        <v/>
      </c>
      <c r="P5903" s="148">
        <f>M5903/1.1</f>
        <v/>
      </c>
      <c r="Q5903" s="94">
        <f>F5903&amp;E5903&amp;G5903&amp;L5903</f>
        <v/>
      </c>
    </row>
    <row r="5904">
      <c r="A5904" s="94" t="n"/>
      <c r="B5904" s="128" t="n">
        <v>43951</v>
      </c>
      <c r="C5904" s="94">
        <f>TEXT(B5904,"aaa")</f>
        <v/>
      </c>
      <c r="D5904" s="94" t="n"/>
      <c r="E5904" s="94" t="inlineStr">
        <is>
          <t>어성초진정패키지</t>
        </is>
      </c>
      <c r="F5904" s="94" t="inlineStr">
        <is>
          <t>카페24</t>
        </is>
      </c>
      <c r="G5904" s="94" t="inlineStr">
        <is>
          <t>어성초 진정패키지세트</t>
        </is>
      </c>
      <c r="H5904" s="7" t="n">
        <v>190801</v>
      </c>
      <c r="I5904" s="7" t="n">
        <v>190801</v>
      </c>
      <c r="J5904" s="94" t="n"/>
      <c r="K5904" s="6" t="n">
        <v>9</v>
      </c>
      <c r="L5904" s="94" t="n">
        <v>190801</v>
      </c>
      <c r="M5904" s="94">
        <f>VLOOKUP($Q5904,매칭테이블!$F:$I,2,0)*K5904</f>
        <v/>
      </c>
      <c r="N5904" s="94">
        <f>M5904-M5904*VLOOKUP($Q5904,매칭테이블!$F:$I,3,0)</f>
        <v/>
      </c>
      <c r="O5904" s="94">
        <f>VLOOKUP($Q5904,매칭테이블!$F:$I,4,0)*K5904</f>
        <v/>
      </c>
      <c r="P5904" s="148">
        <f>M5904/1.1</f>
        <v/>
      </c>
      <c r="Q5904" s="94">
        <f>F5904&amp;E5904&amp;G5904&amp;L5904</f>
        <v/>
      </c>
    </row>
    <row r="5905">
      <c r="A5905" s="94" t="n"/>
      <c r="B5905" s="128" t="n">
        <v>43951</v>
      </c>
      <c r="C5905" s="94">
        <f>TEXT(B5905,"aaa")</f>
        <v/>
      </c>
      <c r="D5905" s="94" t="n"/>
      <c r="E5905" s="94" t="inlineStr">
        <is>
          <t>머드크림마스크</t>
        </is>
      </c>
      <c r="F5905" s="94" t="inlineStr">
        <is>
          <t>카페24</t>
        </is>
      </c>
      <c r="G5905" s="94" t="inlineStr">
        <is>
          <t>머드크림마스크 100ml</t>
        </is>
      </c>
      <c r="H5905" s="7" t="n">
        <v>190801</v>
      </c>
      <c r="I5905" s="7" t="n">
        <v>190801</v>
      </c>
      <c r="J5905" s="94" t="n"/>
      <c r="K5905" s="6" t="n">
        <v>2</v>
      </c>
      <c r="L5905" s="94" t="n">
        <v>190801</v>
      </c>
      <c r="M5905" s="94">
        <f>VLOOKUP($Q5905,매칭테이블!$F:$I,2,0)*K5905</f>
        <v/>
      </c>
      <c r="N5905" s="94">
        <f>M5905-M5905*VLOOKUP($Q5905,매칭테이블!$F:$I,3,0)</f>
        <v/>
      </c>
      <c r="O5905" s="94">
        <f>VLOOKUP($Q5905,매칭테이블!$F:$I,4,0)*K5905</f>
        <v/>
      </c>
      <c r="P5905" s="148">
        <f>M5905/1.1</f>
        <v/>
      </c>
      <c r="Q5905" s="94">
        <f>F5905&amp;E5905&amp;G5905&amp;L5905</f>
        <v/>
      </c>
    </row>
    <row r="5906">
      <c r="A5906" s="94" t="n"/>
      <c r="B5906" s="128" t="n">
        <v>43951</v>
      </c>
      <c r="C5906" s="94">
        <f>TEXT(B5906,"aaa")</f>
        <v/>
      </c>
      <c r="D5906" s="94" t="n"/>
      <c r="E5906" s="94" t="inlineStr">
        <is>
          <t>머드크림마스크</t>
        </is>
      </c>
      <c r="F5906" s="94" t="inlineStr">
        <is>
          <t>카페24</t>
        </is>
      </c>
      <c r="G5906" s="94" t="inlineStr">
        <is>
          <t>머드크림마스크 100ml 2set</t>
        </is>
      </c>
      <c r="H5906" s="7" t="n">
        <v>190801</v>
      </c>
      <c r="I5906" s="7" t="n">
        <v>190801</v>
      </c>
      <c r="J5906" s="94" t="n"/>
      <c r="K5906" s="6" t="n">
        <v>4</v>
      </c>
      <c r="L5906" s="94" t="n">
        <v>190801</v>
      </c>
      <c r="M5906" s="94">
        <f>VLOOKUP($Q5906,매칭테이블!$F:$I,2,0)*K5906</f>
        <v/>
      </c>
      <c r="N5906" s="94">
        <f>M5906-M5906*VLOOKUP($Q5906,매칭테이블!$F:$I,3,0)</f>
        <v/>
      </c>
      <c r="O5906" s="94">
        <f>VLOOKUP($Q5906,매칭테이블!$F:$I,4,0)*K5906</f>
        <v/>
      </c>
      <c r="P5906" s="148">
        <f>M5906/1.1</f>
        <v/>
      </c>
      <c r="Q5906" s="94">
        <f>F5906&amp;E5906&amp;G5906&amp;L5906</f>
        <v/>
      </c>
    </row>
    <row r="5907">
      <c r="A5907" s="94" t="n"/>
      <c r="B5907" s="128" t="n">
        <v>43951</v>
      </c>
      <c r="C5907" s="94">
        <f>TEXT(B5907,"aaa")</f>
        <v/>
      </c>
      <c r="D5907" s="94" t="n"/>
      <c r="E5907" s="94" t="inlineStr">
        <is>
          <t>마스크팩</t>
        </is>
      </c>
      <c r="F5907" s="94" t="inlineStr">
        <is>
          <t>카페24</t>
        </is>
      </c>
      <c r="G5907" s="94" t="inlineStr">
        <is>
          <t>마스크팩 10매</t>
        </is>
      </c>
      <c r="H5907" s="7" t="n">
        <v>190801</v>
      </c>
      <c r="I5907" s="7" t="n">
        <v>190801</v>
      </c>
      <c r="J5907" s="94" t="n"/>
      <c r="K5907" s="6" t="n">
        <v>1</v>
      </c>
      <c r="L5907" s="94" t="n">
        <v>190801</v>
      </c>
      <c r="M5907" s="94">
        <f>VLOOKUP($Q5907,매칭테이블!$F:$I,2,0)*K5907</f>
        <v/>
      </c>
      <c r="N5907" s="94">
        <f>M5907-M5907*VLOOKUP($Q5907,매칭테이블!$F:$I,3,0)</f>
        <v/>
      </c>
      <c r="O5907" s="94">
        <f>VLOOKUP($Q5907,매칭테이블!$F:$I,4,0)*K5907</f>
        <v/>
      </c>
      <c r="P5907" s="148">
        <f>M5907/1.1</f>
        <v/>
      </c>
      <c r="Q5907" s="94">
        <f>F5907&amp;E5907&amp;G5907&amp;L5907</f>
        <v/>
      </c>
    </row>
    <row r="5908">
      <c r="A5908" s="94" t="n"/>
      <c r="B5908" s="128" t="n">
        <v>43951</v>
      </c>
      <c r="C5908" s="94">
        <f>TEXT(B5908,"aaa")</f>
        <v/>
      </c>
      <c r="D5908" s="94" t="n"/>
      <c r="E5908" s="6" t="inlineStr">
        <is>
          <t>토너</t>
        </is>
      </c>
      <c r="F5908" s="5" t="inlineStr">
        <is>
          <t>카페24</t>
        </is>
      </c>
      <c r="G5908" s="5" t="inlineStr">
        <is>
          <t>250ml</t>
        </is>
      </c>
      <c r="H5908" s="7" t="n">
        <v>190801</v>
      </c>
      <c r="I5908" s="7" t="n">
        <v>190801</v>
      </c>
      <c r="J5908" s="94" t="n"/>
      <c r="K5908" s="6" t="n">
        <v>30</v>
      </c>
      <c r="L5908" s="7" t="n">
        <v>190801</v>
      </c>
      <c r="M5908" s="94">
        <f>VLOOKUP($Q5908,매칭테이블!$F:$I,2,0)*K5908</f>
        <v/>
      </c>
      <c r="N5908" s="94">
        <f>M5908-M5908*VLOOKUP($Q5908,매칭테이블!$F:$I,3,0)</f>
        <v/>
      </c>
      <c r="O5908" s="94">
        <f>VLOOKUP($Q5908,매칭테이블!$F:$I,4,0)*K5908</f>
        <v/>
      </c>
      <c r="P5908" s="148">
        <f>M5908/1.1</f>
        <v/>
      </c>
      <c r="Q5908" s="94">
        <f>F5908&amp;E5908&amp;G5908&amp;L5908</f>
        <v/>
      </c>
    </row>
    <row r="5909">
      <c r="A5909" s="94" t="n"/>
      <c r="B5909" s="128" t="n">
        <v>43951</v>
      </c>
      <c r="C5909" s="94">
        <f>TEXT(B5909,"aaa")</f>
        <v/>
      </c>
      <c r="D5909" s="94" t="n"/>
      <c r="E5909" s="6" t="inlineStr">
        <is>
          <t>토너</t>
        </is>
      </c>
      <c r="F5909" s="5" t="inlineStr">
        <is>
          <t>카페24</t>
        </is>
      </c>
      <c r="G5909" s="5" t="inlineStr">
        <is>
          <t>250ml 2set</t>
        </is>
      </c>
      <c r="H5909" s="7" t="n">
        <v>190801</v>
      </c>
      <c r="I5909" s="7" t="n">
        <v>190801</v>
      </c>
      <c r="J5909" s="94" t="n"/>
      <c r="K5909" s="6" t="n">
        <v>26</v>
      </c>
      <c r="L5909" s="7" t="n">
        <v>190801</v>
      </c>
      <c r="M5909" s="94">
        <f>VLOOKUP($Q5909,매칭테이블!$F:$I,2,0)*K5909</f>
        <v/>
      </c>
      <c r="N5909" s="94">
        <f>M5909-M5909*VLOOKUP($Q5909,매칭테이블!$F:$I,3,0)</f>
        <v/>
      </c>
      <c r="O5909" s="94">
        <f>VLOOKUP($Q5909,매칭테이블!$F:$I,4,0)*K5909</f>
        <v/>
      </c>
      <c r="P5909" s="148">
        <f>M5909/1.1</f>
        <v/>
      </c>
      <c r="Q5909" s="94">
        <f>F5909&amp;E5909&amp;G5909&amp;L5909</f>
        <v/>
      </c>
    </row>
    <row r="5910">
      <c r="A5910" s="94" t="n"/>
      <c r="B5910" s="128" t="n">
        <v>43951</v>
      </c>
      <c r="C5910" s="94">
        <f>TEXT(B5910,"aaa")</f>
        <v/>
      </c>
      <c r="D5910" s="94" t="n"/>
      <c r="E5910" s="6" t="inlineStr">
        <is>
          <t>토너</t>
        </is>
      </c>
      <c r="F5910" s="5" t="inlineStr">
        <is>
          <t>카페24</t>
        </is>
      </c>
      <c r="G5910" s="5" t="inlineStr">
        <is>
          <t>500ml</t>
        </is>
      </c>
      <c r="H5910" s="7" t="n">
        <v>190801</v>
      </c>
      <c r="I5910" s="7" t="n">
        <v>190801</v>
      </c>
      <c r="J5910" s="94" t="n"/>
      <c r="K5910" s="6" t="n">
        <v>39</v>
      </c>
      <c r="L5910" s="7" t="n">
        <v>190801</v>
      </c>
      <c r="M5910" s="94">
        <f>VLOOKUP($Q5910,매칭테이블!$F:$I,2,0)*K5910</f>
        <v/>
      </c>
      <c r="N5910" s="94">
        <f>M5910-M5910*VLOOKUP($Q5910,매칭테이블!$F:$I,3,0)</f>
        <v/>
      </c>
      <c r="O5910" s="94">
        <f>VLOOKUP($Q5910,매칭테이블!$F:$I,4,0)*K5910</f>
        <v/>
      </c>
      <c r="P5910" s="148">
        <f>M5910/1.1</f>
        <v/>
      </c>
      <c r="Q5910" s="94">
        <f>F5910&amp;E5910&amp;G5910&amp;L5910</f>
        <v/>
      </c>
    </row>
    <row r="5911">
      <c r="A5911" s="94" t="n"/>
      <c r="B5911" s="128" t="n">
        <v>43951</v>
      </c>
      <c r="C5911" s="94">
        <f>TEXT(B5911,"aaa")</f>
        <v/>
      </c>
      <c r="D5911" s="94" t="n"/>
      <c r="E5911" s="6" t="inlineStr">
        <is>
          <t>토너</t>
        </is>
      </c>
      <c r="F5911" s="5" t="inlineStr">
        <is>
          <t>카페24</t>
        </is>
      </c>
      <c r="G5911" s="94" t="inlineStr">
        <is>
          <t>스킨팩 화장솜 60P</t>
        </is>
      </c>
      <c r="H5911" s="7" t="n">
        <v>190801</v>
      </c>
      <c r="I5911" s="7" t="n">
        <v>190801</v>
      </c>
      <c r="J5911" s="94" t="n"/>
      <c r="K5911" s="6" t="n">
        <v>38</v>
      </c>
      <c r="L5911" s="7" t="n">
        <v>190801</v>
      </c>
      <c r="M5911" s="94">
        <f>VLOOKUP($Q5911,매칭테이블!$F:$I,2,0)*K5911</f>
        <v/>
      </c>
      <c r="N5911" s="94">
        <f>M5911-M5911*VLOOKUP($Q5911,매칭테이블!$F:$I,3,0)</f>
        <v/>
      </c>
      <c r="O5911" s="94">
        <f>VLOOKUP($Q5911,매칭테이블!$F:$I,4,0)*K5911</f>
        <v/>
      </c>
      <c r="P5911" s="148">
        <f>M5911/1.1</f>
        <v/>
      </c>
      <c r="Q5911" s="94">
        <f>F5911&amp;E5911&amp;G5911&amp;L5911</f>
        <v/>
      </c>
    </row>
    <row r="5912">
      <c r="A5912" s="94" t="n"/>
      <c r="B5912" s="128" t="n">
        <v>43951</v>
      </c>
      <c r="C5912" s="94">
        <f>TEXT(B5912,"aaa")</f>
        <v/>
      </c>
      <c r="D5912" s="94" t="n"/>
      <c r="E5912" s="94" t="inlineStr">
        <is>
          <t>앰플</t>
        </is>
      </c>
      <c r="F5912" s="5" t="inlineStr">
        <is>
          <t>카페24</t>
        </is>
      </c>
      <c r="G5912" s="94" t="inlineStr">
        <is>
          <t>앰플 30ml</t>
        </is>
      </c>
      <c r="H5912" s="7" t="n">
        <v>190801</v>
      </c>
      <c r="I5912" s="7" t="n">
        <v>190801</v>
      </c>
      <c r="J5912" s="94" t="n"/>
      <c r="K5912" s="6" t="n">
        <v>11</v>
      </c>
      <c r="L5912" s="94" t="n">
        <v>190801</v>
      </c>
      <c r="M5912" s="94">
        <f>VLOOKUP($Q5912,매칭테이블!$F:$I,2,0)*K5912</f>
        <v/>
      </c>
      <c r="N5912" s="94">
        <f>M5912-M5912*VLOOKUP($Q5912,매칭테이블!$F:$I,3,0)</f>
        <v/>
      </c>
      <c r="O5912" s="94">
        <f>VLOOKUP($Q5912,매칭테이블!$F:$I,4,0)*K5912</f>
        <v/>
      </c>
      <c r="P5912" s="148">
        <f>M5912/1.1</f>
        <v/>
      </c>
      <c r="Q5912" s="94">
        <f>F5912&amp;E5912&amp;G5912&amp;L5912</f>
        <v/>
      </c>
    </row>
    <row r="5913">
      <c r="A5913" s="94" t="n"/>
      <c r="B5913" s="128" t="n">
        <v>43951</v>
      </c>
      <c r="C5913" s="94">
        <f>TEXT(B5913,"aaa")</f>
        <v/>
      </c>
      <c r="D5913" s="94" t="n"/>
      <c r="E5913" s="94" t="inlineStr">
        <is>
          <t>수딩크림</t>
        </is>
      </c>
      <c r="F5913" s="5" t="inlineStr">
        <is>
          <t>카페24</t>
        </is>
      </c>
      <c r="G5913" s="94" t="inlineStr">
        <is>
          <t>수딩크림 100ml</t>
        </is>
      </c>
      <c r="H5913" s="7" t="n">
        <v>190801</v>
      </c>
      <c r="I5913" s="7" t="n">
        <v>190801</v>
      </c>
      <c r="J5913" s="94" t="n"/>
      <c r="K5913" s="6" t="n">
        <v>3</v>
      </c>
      <c r="L5913" s="94" t="n">
        <v>190801</v>
      </c>
      <c r="M5913" s="94">
        <f>VLOOKUP($Q5913,매칭테이블!$F:$I,2,0)*K5913</f>
        <v/>
      </c>
      <c r="N5913" s="94">
        <f>M5913-M5913*VLOOKUP($Q5913,매칭테이블!$F:$I,3,0)</f>
        <v/>
      </c>
      <c r="O5913" s="94">
        <f>VLOOKUP($Q5913,매칭테이블!$F:$I,4,0)*K5913</f>
        <v/>
      </c>
      <c r="P5913" s="148">
        <f>M5913/1.1</f>
        <v/>
      </c>
      <c r="Q5913" s="94">
        <f>F5913&amp;E5913&amp;G5913&amp;L5913</f>
        <v/>
      </c>
    </row>
    <row r="5914">
      <c r="A5914" s="94" t="n"/>
      <c r="B5914" s="128" t="n">
        <v>43951</v>
      </c>
      <c r="C5914" s="94">
        <f>TEXT(B5914,"aaa")</f>
        <v/>
      </c>
      <c r="D5914" s="94" t="n"/>
      <c r="E5914" s="94" t="inlineStr">
        <is>
          <t>클렌징폼</t>
        </is>
      </c>
      <c r="F5914" s="94" t="inlineStr">
        <is>
          <t>카페24</t>
        </is>
      </c>
      <c r="G5914" s="94" t="inlineStr">
        <is>
          <t>클렌징폼 120ml</t>
        </is>
      </c>
      <c r="H5914" s="7" t="n">
        <v>190801</v>
      </c>
      <c r="I5914" s="7" t="n">
        <v>190801</v>
      </c>
      <c r="J5914" s="94" t="n"/>
      <c r="K5914" s="6" t="n">
        <v>5</v>
      </c>
      <c r="L5914" s="92" t="n">
        <v>190801</v>
      </c>
      <c r="M5914" s="94">
        <f>VLOOKUP($Q5914,매칭테이블!$F:$I,2,0)*K5914</f>
        <v/>
      </c>
      <c r="N5914" s="94">
        <f>M5914-M5914*VLOOKUP($Q5914,매칭테이블!$F:$I,3,0)</f>
        <v/>
      </c>
      <c r="O5914" s="94">
        <f>VLOOKUP($Q5914,매칭테이블!$F:$I,4,0)*K5914</f>
        <v/>
      </c>
      <c r="P5914" s="148">
        <f>M5914/1.1</f>
        <v/>
      </c>
      <c r="Q5914" s="94">
        <f>F5914&amp;E5914&amp;G5914&amp;L5914</f>
        <v/>
      </c>
    </row>
    <row r="5915">
      <c r="A5915" s="94" t="n"/>
      <c r="B5915" s="128" t="n">
        <v>43951</v>
      </c>
      <c r="C5915" s="94">
        <f>TEXT(B5915,"aaa")</f>
        <v/>
      </c>
      <c r="D5915" s="94" t="n"/>
      <c r="E5915" s="94" t="inlineStr">
        <is>
          <t>클렌징폼</t>
        </is>
      </c>
      <c r="F5915" s="94" t="inlineStr">
        <is>
          <t>카페24</t>
        </is>
      </c>
      <c r="G5915" s="94" t="inlineStr">
        <is>
          <t>클렌징폼 120ml 2set</t>
        </is>
      </c>
      <c r="H5915" s="7" t="n">
        <v>190801</v>
      </c>
      <c r="I5915" s="7" t="n">
        <v>190801</v>
      </c>
      <c r="J5915" s="94" t="n"/>
      <c r="K5915" s="6" t="n">
        <v>1</v>
      </c>
      <c r="L5915" s="92" t="n">
        <v>190801</v>
      </c>
      <c r="M5915" s="94">
        <f>VLOOKUP($Q5915,매칭테이블!$F:$I,2,0)*K5915</f>
        <v/>
      </c>
      <c r="N5915" s="94">
        <f>M5915-M5915*VLOOKUP($Q5915,매칭테이블!$F:$I,3,0)</f>
        <v/>
      </c>
      <c r="O5915" s="94">
        <f>VLOOKUP($Q5915,매칭테이블!$F:$I,4,0)*K5915</f>
        <v/>
      </c>
      <c r="P5915" s="148">
        <f>M5915/1.1</f>
        <v/>
      </c>
      <c r="Q5915" s="94">
        <f>F5915&amp;E5915&amp;G5915&amp;L5915</f>
        <v/>
      </c>
    </row>
    <row r="5916">
      <c r="A5916" s="94" t="n"/>
      <c r="B5916" s="128" t="n">
        <v>43952</v>
      </c>
      <c r="C5916" s="94">
        <f>TEXT(B5916,"aaa")</f>
        <v/>
      </c>
      <c r="D5916" s="94" t="n"/>
      <c r="E5916" s="94" t="inlineStr">
        <is>
          <t>토너</t>
        </is>
      </c>
      <c r="F5916" s="5" t="inlineStr">
        <is>
          <t>스타일쉐어</t>
        </is>
      </c>
      <c r="G5916" s="94" t="inlineStr">
        <is>
          <t>250ml</t>
        </is>
      </c>
      <c r="H5916" s="7" t="n">
        <v>190801</v>
      </c>
      <c r="I5916" s="7" t="n">
        <v>190801</v>
      </c>
      <c r="J5916" s="94" t="n"/>
      <c r="K5916" s="6" t="n">
        <v>5</v>
      </c>
      <c r="L5916" s="7" t="n">
        <v>190801</v>
      </c>
      <c r="M5916" s="94">
        <f>VLOOKUP($Q5916,매칭테이블!$F:$I,2,0)*K5916</f>
        <v/>
      </c>
      <c r="N5916" s="94">
        <f>M5916-M5916*VLOOKUP($Q5916,매칭테이블!$F:$I,3,0)</f>
        <v/>
      </c>
      <c r="O5916" s="94">
        <f>VLOOKUP($Q5916,매칭테이블!$F:$I,4,0)*K5916</f>
        <v/>
      </c>
      <c r="P5916" s="148">
        <f>M5916/1.1</f>
        <v/>
      </c>
      <c r="Q5916" s="94">
        <f>F5916&amp;E5916&amp;G5916&amp;L5916</f>
        <v/>
      </c>
    </row>
    <row r="5917">
      <c r="A5917" s="94" t="n"/>
      <c r="B5917" s="128" t="n">
        <v>43952</v>
      </c>
      <c r="C5917" s="94">
        <f>TEXT(B5917,"aaa")</f>
        <v/>
      </c>
      <c r="D5917" s="94" t="n"/>
      <c r="E5917" s="94" t="inlineStr">
        <is>
          <t>어성초진정패키지</t>
        </is>
      </c>
      <c r="F5917" s="94" t="inlineStr">
        <is>
          <t>카페24</t>
        </is>
      </c>
      <c r="G5917" s="94" t="inlineStr">
        <is>
          <t>어성초 진정패키지세트</t>
        </is>
      </c>
      <c r="H5917" s="7" t="n">
        <v>190801</v>
      </c>
      <c r="I5917" s="7" t="n">
        <v>190801</v>
      </c>
      <c r="J5917" s="94" t="n"/>
      <c r="K5917" s="6" t="n">
        <v>4</v>
      </c>
      <c r="L5917" s="94" t="n">
        <v>190801</v>
      </c>
      <c r="M5917" s="94">
        <f>VLOOKUP($Q5917,매칭테이블!$F:$I,2,0)*K5917</f>
        <v/>
      </c>
      <c r="N5917" s="94">
        <f>M5917-M5917*VLOOKUP($Q5917,매칭테이블!$F:$I,3,0)</f>
        <v/>
      </c>
      <c r="O5917" s="94">
        <f>VLOOKUP($Q5917,매칭테이블!$F:$I,4,0)*K5917</f>
        <v/>
      </c>
      <c r="P5917" s="148">
        <f>M5917/1.1</f>
        <v/>
      </c>
      <c r="Q5917" s="94">
        <f>F5917&amp;E5917&amp;G5917&amp;L5917</f>
        <v/>
      </c>
    </row>
    <row r="5918">
      <c r="A5918" s="94" t="n"/>
      <c r="B5918" s="128" t="n">
        <v>43952</v>
      </c>
      <c r="C5918" s="94">
        <f>TEXT(B5918,"aaa")</f>
        <v/>
      </c>
      <c r="D5918" s="94" t="n"/>
      <c r="E5918" s="94" t="inlineStr">
        <is>
          <t>머드크림마스크</t>
        </is>
      </c>
      <c r="F5918" s="94" t="inlineStr">
        <is>
          <t>카페24</t>
        </is>
      </c>
      <c r="G5918" s="94" t="inlineStr">
        <is>
          <t>머드크림마스크 100ml</t>
        </is>
      </c>
      <c r="H5918" s="7" t="n">
        <v>190801</v>
      </c>
      <c r="I5918" s="7" t="n">
        <v>190801</v>
      </c>
      <c r="J5918" s="94" t="n"/>
      <c r="K5918" s="6" t="n">
        <v>4</v>
      </c>
      <c r="L5918" s="94" t="n">
        <v>190801</v>
      </c>
      <c r="M5918" s="94">
        <f>VLOOKUP($Q5918,매칭테이블!$F:$I,2,0)*K5918</f>
        <v/>
      </c>
      <c r="N5918" s="94">
        <f>M5918-M5918*VLOOKUP($Q5918,매칭테이블!$F:$I,3,0)</f>
        <v/>
      </c>
      <c r="O5918" s="94">
        <f>VLOOKUP($Q5918,매칭테이블!$F:$I,4,0)*K5918</f>
        <v/>
      </c>
      <c r="P5918" s="148">
        <f>M5918/1.1</f>
        <v/>
      </c>
      <c r="Q5918" s="94">
        <f>F5918&amp;E5918&amp;G5918&amp;L5918</f>
        <v/>
      </c>
    </row>
    <row r="5919">
      <c r="A5919" s="94" t="n"/>
      <c r="B5919" s="128" t="n">
        <v>43952</v>
      </c>
      <c r="C5919" s="94">
        <f>TEXT(B5919,"aaa")</f>
        <v/>
      </c>
      <c r="D5919" s="94" t="n"/>
      <c r="E5919" s="94" t="inlineStr">
        <is>
          <t>머드크림마스크</t>
        </is>
      </c>
      <c r="F5919" s="94" t="inlineStr">
        <is>
          <t>카페24</t>
        </is>
      </c>
      <c r="G5919" s="94" t="inlineStr">
        <is>
          <t>머드크림마스크 100ml 2set</t>
        </is>
      </c>
      <c r="H5919" s="7" t="n">
        <v>190801</v>
      </c>
      <c r="I5919" s="7" t="n">
        <v>190801</v>
      </c>
      <c r="J5919" s="94" t="n"/>
      <c r="K5919" s="6" t="n">
        <v>1</v>
      </c>
      <c r="L5919" s="94" t="n">
        <v>190801</v>
      </c>
      <c r="M5919" s="94">
        <f>VLOOKUP($Q5919,매칭테이블!$F:$I,2,0)*K5919</f>
        <v/>
      </c>
      <c r="N5919" s="94">
        <f>M5919-M5919*VLOOKUP($Q5919,매칭테이블!$F:$I,3,0)</f>
        <v/>
      </c>
      <c r="O5919" s="94">
        <f>VLOOKUP($Q5919,매칭테이블!$F:$I,4,0)*K5919</f>
        <v/>
      </c>
      <c r="P5919" s="148">
        <f>M5919/1.1</f>
        <v/>
      </c>
      <c r="Q5919" s="94">
        <f>F5919&amp;E5919&amp;G5919&amp;L5919</f>
        <v/>
      </c>
    </row>
    <row r="5920">
      <c r="A5920" s="94" t="n"/>
      <c r="B5920" s="128" t="n">
        <v>43952</v>
      </c>
      <c r="C5920" s="94">
        <f>TEXT(B5920,"aaa")</f>
        <v/>
      </c>
      <c r="D5920" s="94" t="n"/>
      <c r="E5920" s="94" t="inlineStr">
        <is>
          <t>마스크팩</t>
        </is>
      </c>
      <c r="F5920" s="94" t="inlineStr">
        <is>
          <t>카페24</t>
        </is>
      </c>
      <c r="G5920" s="94" t="inlineStr">
        <is>
          <t>마스크팩 1매</t>
        </is>
      </c>
      <c r="H5920" s="7" t="n">
        <v>190801</v>
      </c>
      <c r="I5920" s="7" t="n">
        <v>190801</v>
      </c>
      <c r="J5920" s="94" t="n"/>
      <c r="K5920" s="6" t="n">
        <v>2</v>
      </c>
      <c r="L5920" s="94" t="n">
        <v>190801</v>
      </c>
      <c r="M5920" s="94">
        <f>VLOOKUP($Q5920,매칭테이블!$F:$I,2,0)*K5920</f>
        <v/>
      </c>
      <c r="N5920" s="94">
        <f>M5920-M5920*VLOOKUP($Q5920,매칭테이블!$F:$I,3,0)</f>
        <v/>
      </c>
      <c r="O5920" s="94">
        <f>VLOOKUP($Q5920,매칭테이블!$F:$I,4,0)*K5920</f>
        <v/>
      </c>
      <c r="P5920" s="148">
        <f>M5920/1.1</f>
        <v/>
      </c>
      <c r="Q5920" s="94">
        <f>F5920&amp;E5920&amp;G5920&amp;L5920</f>
        <v/>
      </c>
    </row>
    <row r="5921">
      <c r="A5921" s="94" t="n"/>
      <c r="B5921" s="128" t="n">
        <v>43952</v>
      </c>
      <c r="C5921" s="94">
        <f>TEXT(B5921,"aaa")</f>
        <v/>
      </c>
      <c r="D5921" s="94" t="n"/>
      <c r="E5921" s="94" t="inlineStr">
        <is>
          <t>마스크팩</t>
        </is>
      </c>
      <c r="F5921" s="94" t="inlineStr">
        <is>
          <t>카페24</t>
        </is>
      </c>
      <c r="G5921" s="94" t="inlineStr">
        <is>
          <t>마스크팩 10매</t>
        </is>
      </c>
      <c r="H5921" s="7" t="n">
        <v>190801</v>
      </c>
      <c r="I5921" s="7" t="n">
        <v>190801</v>
      </c>
      <c r="J5921" s="94" t="n"/>
      <c r="K5921" s="6" t="n">
        <v>6</v>
      </c>
      <c r="L5921" s="94" t="n">
        <v>190801</v>
      </c>
      <c r="M5921" s="94">
        <f>VLOOKUP($Q5921,매칭테이블!$F:$I,2,0)*K5921</f>
        <v/>
      </c>
      <c r="N5921" s="94">
        <f>M5921-M5921*VLOOKUP($Q5921,매칭테이블!$F:$I,3,0)</f>
        <v/>
      </c>
      <c r="O5921" s="94">
        <f>VLOOKUP($Q5921,매칭테이블!$F:$I,4,0)*K5921</f>
        <v/>
      </c>
      <c r="P5921" s="148">
        <f>M5921/1.1</f>
        <v/>
      </c>
      <c r="Q5921" s="94">
        <f>F5921&amp;E5921&amp;G5921&amp;L5921</f>
        <v/>
      </c>
    </row>
    <row r="5922">
      <c r="A5922" s="94" t="n"/>
      <c r="B5922" s="128" t="n">
        <v>43952</v>
      </c>
      <c r="C5922" s="94">
        <f>TEXT(B5922,"aaa")</f>
        <v/>
      </c>
      <c r="D5922" s="94" t="n"/>
      <c r="E5922" s="6" t="inlineStr">
        <is>
          <t>토너</t>
        </is>
      </c>
      <c r="F5922" s="5" t="inlineStr">
        <is>
          <t>카페24</t>
        </is>
      </c>
      <c r="G5922" s="5" t="inlineStr">
        <is>
          <t>250ml</t>
        </is>
      </c>
      <c r="H5922" s="7" t="n">
        <v>190801</v>
      </c>
      <c r="I5922" s="7" t="n">
        <v>190801</v>
      </c>
      <c r="J5922" s="94" t="n"/>
      <c r="K5922" s="6" t="n">
        <v>59</v>
      </c>
      <c r="L5922" s="7" t="n">
        <v>190801</v>
      </c>
      <c r="M5922" s="94">
        <f>VLOOKUP($Q5922,매칭테이블!$F:$I,2,0)*K5922</f>
        <v/>
      </c>
      <c r="N5922" s="94">
        <f>M5922-M5922*VLOOKUP($Q5922,매칭테이블!$F:$I,3,0)</f>
        <v/>
      </c>
      <c r="O5922" s="94">
        <f>VLOOKUP($Q5922,매칭테이블!$F:$I,4,0)*K5922</f>
        <v/>
      </c>
      <c r="P5922" s="148">
        <f>M5922/1.1</f>
        <v/>
      </c>
      <c r="Q5922" s="94">
        <f>F5922&amp;E5922&amp;G5922&amp;L5922</f>
        <v/>
      </c>
    </row>
    <row r="5923">
      <c r="A5923" s="94" t="n"/>
      <c r="B5923" s="128" t="n">
        <v>43952</v>
      </c>
      <c r="C5923" s="94">
        <f>TEXT(B5923,"aaa")</f>
        <v/>
      </c>
      <c r="D5923" s="94" t="n"/>
      <c r="E5923" s="6" t="inlineStr">
        <is>
          <t>토너</t>
        </is>
      </c>
      <c r="F5923" s="5" t="inlineStr">
        <is>
          <t>카페24</t>
        </is>
      </c>
      <c r="G5923" s="5" t="inlineStr">
        <is>
          <t>250ml 2set</t>
        </is>
      </c>
      <c r="H5923" s="7" t="n">
        <v>190801</v>
      </c>
      <c r="I5923" s="7" t="n">
        <v>190801</v>
      </c>
      <c r="J5923" s="94" t="n"/>
      <c r="K5923" s="6" t="n">
        <v>44</v>
      </c>
      <c r="L5923" s="7" t="n">
        <v>190801</v>
      </c>
      <c r="M5923" s="94">
        <f>VLOOKUP($Q5923,매칭테이블!$F:$I,2,0)*K5923</f>
        <v/>
      </c>
      <c r="N5923" s="94">
        <f>M5923-M5923*VLOOKUP($Q5923,매칭테이블!$F:$I,3,0)</f>
        <v/>
      </c>
      <c r="O5923" s="94">
        <f>VLOOKUP($Q5923,매칭테이블!$F:$I,4,0)*K5923</f>
        <v/>
      </c>
      <c r="P5923" s="148">
        <f>M5923/1.1</f>
        <v/>
      </c>
      <c r="Q5923" s="94">
        <f>F5923&amp;E5923&amp;G5923&amp;L5923</f>
        <v/>
      </c>
    </row>
    <row r="5924">
      <c r="A5924" s="94" t="n"/>
      <c r="B5924" s="128" t="n">
        <v>43952</v>
      </c>
      <c r="C5924" s="94">
        <f>TEXT(B5924,"aaa")</f>
        <v/>
      </c>
      <c r="D5924" s="94" t="n"/>
      <c r="E5924" s="6" t="inlineStr">
        <is>
          <t>토너</t>
        </is>
      </c>
      <c r="F5924" s="5" t="inlineStr">
        <is>
          <t>카페24</t>
        </is>
      </c>
      <c r="G5924" s="5" t="inlineStr">
        <is>
          <t>500ml</t>
        </is>
      </c>
      <c r="H5924" s="7" t="n">
        <v>190801</v>
      </c>
      <c r="I5924" s="7" t="n">
        <v>190801</v>
      </c>
      <c r="J5924" s="94" t="n"/>
      <c r="K5924" s="6" t="n">
        <v>66</v>
      </c>
      <c r="L5924" s="7" t="n">
        <v>190801</v>
      </c>
      <c r="M5924" s="94">
        <f>VLOOKUP($Q5924,매칭테이블!$F:$I,2,0)*K5924</f>
        <v/>
      </c>
      <c r="N5924" s="94">
        <f>M5924-M5924*VLOOKUP($Q5924,매칭테이블!$F:$I,3,0)</f>
        <v/>
      </c>
      <c r="O5924" s="94">
        <f>VLOOKUP($Q5924,매칭테이블!$F:$I,4,0)*K5924</f>
        <v/>
      </c>
      <c r="P5924" s="148">
        <f>M5924/1.1</f>
        <v/>
      </c>
      <c r="Q5924" s="94">
        <f>F5924&amp;E5924&amp;G5924&amp;L5924</f>
        <v/>
      </c>
    </row>
    <row r="5925">
      <c r="A5925" s="94" t="n"/>
      <c r="B5925" s="128" t="n">
        <v>43952</v>
      </c>
      <c r="C5925" s="94">
        <f>TEXT(B5925,"aaa")</f>
        <v/>
      </c>
      <c r="D5925" s="94" t="n"/>
      <c r="E5925" s="94" t="inlineStr">
        <is>
          <t>클렌징폼</t>
        </is>
      </c>
      <c r="F5925" s="94" t="inlineStr">
        <is>
          <t>카페24</t>
        </is>
      </c>
      <c r="G5925" s="94" t="inlineStr">
        <is>
          <t>클렌징폼 120ml</t>
        </is>
      </c>
      <c r="H5925" s="7" t="n">
        <v>190801</v>
      </c>
      <c r="I5925" s="7" t="n">
        <v>190801</v>
      </c>
      <c r="J5925" s="94" t="n"/>
      <c r="K5925" s="6" t="n">
        <v>9</v>
      </c>
      <c r="L5925" s="92" t="n">
        <v>190801</v>
      </c>
      <c r="M5925" s="94">
        <f>VLOOKUP($Q5925,매칭테이블!$F:$I,2,0)*K5925</f>
        <v/>
      </c>
      <c r="N5925" s="94">
        <f>M5925-M5925*VLOOKUP($Q5925,매칭테이블!$F:$I,3,0)</f>
        <v/>
      </c>
      <c r="O5925" s="94">
        <f>VLOOKUP($Q5925,매칭테이블!$F:$I,4,0)*K5925</f>
        <v/>
      </c>
      <c r="P5925" s="148">
        <f>M5925/1.1</f>
        <v/>
      </c>
      <c r="Q5925" s="94">
        <f>F5925&amp;E5925&amp;G5925&amp;L5925</f>
        <v/>
      </c>
    </row>
    <row r="5926">
      <c r="A5926" s="94" t="n"/>
      <c r="B5926" s="128" t="n">
        <v>43952</v>
      </c>
      <c r="C5926" s="94">
        <f>TEXT(B5926,"aaa")</f>
        <v/>
      </c>
      <c r="D5926" s="94" t="n"/>
      <c r="E5926" s="94" t="inlineStr">
        <is>
          <t>클렌징폼</t>
        </is>
      </c>
      <c r="F5926" s="94" t="inlineStr">
        <is>
          <t>카페24</t>
        </is>
      </c>
      <c r="G5926" s="94" t="inlineStr">
        <is>
          <t>클렌징폼 120ml 3set</t>
        </is>
      </c>
      <c r="H5926" s="7" t="n">
        <v>190801</v>
      </c>
      <c r="I5926" s="7" t="n">
        <v>190801</v>
      </c>
      <c r="J5926" s="94" t="n"/>
      <c r="K5926" s="6" t="n">
        <v>1</v>
      </c>
      <c r="L5926" s="92" t="n">
        <v>190801</v>
      </c>
      <c r="M5926" s="94">
        <f>VLOOKUP($Q5926,매칭테이블!$F:$I,2,0)*K5926</f>
        <v/>
      </c>
      <c r="N5926" s="94">
        <f>M5926-M5926*VLOOKUP($Q5926,매칭테이블!$F:$I,3,0)</f>
        <v/>
      </c>
      <c r="O5926" s="94">
        <f>VLOOKUP($Q5926,매칭테이블!$F:$I,4,0)*K5926</f>
        <v/>
      </c>
      <c r="P5926" s="148">
        <f>M5926/1.1</f>
        <v/>
      </c>
      <c r="Q5926" s="94">
        <f>F5926&amp;E5926&amp;G5926&amp;L5926</f>
        <v/>
      </c>
    </row>
    <row r="5927">
      <c r="A5927" s="94" t="n"/>
      <c r="B5927" s="128" t="n">
        <v>43952</v>
      </c>
      <c r="C5927" s="94">
        <f>TEXT(B5927,"aaa")</f>
        <v/>
      </c>
      <c r="D5927" s="94" t="n"/>
      <c r="E5927" s="6" t="inlineStr">
        <is>
          <t>토너</t>
        </is>
      </c>
      <c r="F5927" s="5" t="inlineStr">
        <is>
          <t>카페24</t>
        </is>
      </c>
      <c r="G5927" s="94" t="inlineStr">
        <is>
          <t>스킨팩 화장솜 60P</t>
        </is>
      </c>
      <c r="H5927" s="7" t="n">
        <v>190801</v>
      </c>
      <c r="I5927" s="7" t="n">
        <v>190801</v>
      </c>
      <c r="J5927" s="94" t="n"/>
      <c r="K5927" s="6" t="n">
        <v>56</v>
      </c>
      <c r="L5927" s="7" t="n">
        <v>190801</v>
      </c>
      <c r="M5927" s="94">
        <f>VLOOKUP($Q5927,매칭테이블!$F:$I,2,0)*K5927</f>
        <v/>
      </c>
      <c r="N5927" s="94">
        <f>M5927-M5927*VLOOKUP($Q5927,매칭테이블!$F:$I,3,0)</f>
        <v/>
      </c>
      <c r="O5927" s="94">
        <f>VLOOKUP($Q5927,매칭테이블!$F:$I,4,0)*K5927</f>
        <v/>
      </c>
      <c r="P5927" s="148">
        <f>M5927/1.1</f>
        <v/>
      </c>
      <c r="Q5927" s="94">
        <f>F5927&amp;E5927&amp;G5927&amp;L5927</f>
        <v/>
      </c>
    </row>
    <row r="5928">
      <c r="A5928" s="94" t="n"/>
      <c r="B5928" s="128" t="n">
        <v>43952</v>
      </c>
      <c r="C5928" s="94">
        <f>TEXT(B5928,"aaa")</f>
        <v/>
      </c>
      <c r="D5928" s="94" t="n"/>
      <c r="E5928" s="94" t="inlineStr">
        <is>
          <t>앰플</t>
        </is>
      </c>
      <c r="F5928" s="5" t="inlineStr">
        <is>
          <t>카페24</t>
        </is>
      </c>
      <c r="G5928" s="94" t="inlineStr">
        <is>
          <t>앰플 30ml</t>
        </is>
      </c>
      <c r="H5928" s="7" t="n">
        <v>190801</v>
      </c>
      <c r="I5928" s="7" t="n">
        <v>190801</v>
      </c>
      <c r="J5928" s="94" t="n"/>
      <c r="K5928" s="6" t="n">
        <v>12</v>
      </c>
      <c r="L5928" s="94" t="n">
        <v>190801</v>
      </c>
      <c r="M5928" s="94">
        <f>VLOOKUP($Q5928,매칭테이블!$F:$I,2,0)*K5928</f>
        <v/>
      </c>
      <c r="N5928" s="94">
        <f>M5928-M5928*VLOOKUP($Q5928,매칭테이블!$F:$I,3,0)</f>
        <v/>
      </c>
      <c r="O5928" s="94">
        <f>VLOOKUP($Q5928,매칭테이블!$F:$I,4,0)*K5928</f>
        <v/>
      </c>
      <c r="P5928" s="148">
        <f>M5928/1.1</f>
        <v/>
      </c>
      <c r="Q5928" s="94">
        <f>F5928&amp;E5928&amp;G5928&amp;L5928</f>
        <v/>
      </c>
    </row>
    <row r="5929">
      <c r="A5929" s="94" t="n"/>
      <c r="B5929" s="128" t="n">
        <v>43952</v>
      </c>
      <c r="C5929" s="94">
        <f>TEXT(B5929,"aaa")</f>
        <v/>
      </c>
      <c r="D5929" s="94" t="n"/>
      <c r="E5929" s="94" t="inlineStr">
        <is>
          <t>수딩크림</t>
        </is>
      </c>
      <c r="F5929" s="5" t="inlineStr">
        <is>
          <t>카페24</t>
        </is>
      </c>
      <c r="G5929" s="94" t="inlineStr">
        <is>
          <t>수딩크림 100ml</t>
        </is>
      </c>
      <c r="H5929" s="7" t="n">
        <v>190801</v>
      </c>
      <c r="I5929" s="7" t="n">
        <v>190801</v>
      </c>
      <c r="J5929" s="94" t="n"/>
      <c r="K5929" s="6" t="n">
        <v>3</v>
      </c>
      <c r="L5929" s="94" t="n">
        <v>190801</v>
      </c>
      <c r="M5929" s="94">
        <f>VLOOKUP($Q5929,매칭테이블!$F:$I,2,0)*K5929</f>
        <v/>
      </c>
      <c r="N5929" s="94">
        <f>M5929-M5929*VLOOKUP($Q5929,매칭테이블!$F:$I,3,0)</f>
        <v/>
      </c>
      <c r="O5929" s="94">
        <f>VLOOKUP($Q5929,매칭테이블!$F:$I,4,0)*K5929</f>
        <v/>
      </c>
      <c r="P5929" s="148">
        <f>M5929/1.1</f>
        <v/>
      </c>
      <c r="Q5929" s="94">
        <f>F5929&amp;E5929&amp;G5929&amp;L5929</f>
        <v/>
      </c>
    </row>
    <row r="5930">
      <c r="A5930" s="94" t="n"/>
      <c r="B5930" s="128" t="n">
        <v>43953</v>
      </c>
      <c r="C5930" s="94">
        <f>TEXT(B5930,"aaa")</f>
        <v/>
      </c>
      <c r="D5930" s="94" t="n"/>
      <c r="E5930" s="94" t="inlineStr">
        <is>
          <t>토너</t>
        </is>
      </c>
      <c r="F5930" s="5" t="inlineStr">
        <is>
          <t>스타일쉐어</t>
        </is>
      </c>
      <c r="G5930" s="94" t="inlineStr">
        <is>
          <t>250ml</t>
        </is>
      </c>
      <c r="H5930" s="7" t="n">
        <v>190801</v>
      </c>
      <c r="I5930" s="7" t="n">
        <v>190801</v>
      </c>
      <c r="J5930" s="94" t="n"/>
      <c r="K5930" s="6" t="n">
        <v>5</v>
      </c>
      <c r="L5930" s="7" t="n">
        <v>190801</v>
      </c>
      <c r="M5930" s="94">
        <f>VLOOKUP($Q5930,매칭테이블!$F:$I,2,0)*K5930</f>
        <v/>
      </c>
      <c r="N5930" s="94">
        <f>M5930-M5930*VLOOKUP($Q5930,매칭테이블!$F:$I,3,0)</f>
        <v/>
      </c>
      <c r="O5930" s="94">
        <f>VLOOKUP($Q5930,매칭테이블!$F:$I,4,0)*K5930</f>
        <v/>
      </c>
      <c r="P5930" s="148">
        <f>M5930/1.1</f>
        <v/>
      </c>
      <c r="Q5930" s="94">
        <f>F5930&amp;E5930&amp;G5930&amp;L5930</f>
        <v/>
      </c>
    </row>
    <row r="5931">
      <c r="A5931" s="94" t="n"/>
      <c r="B5931" s="128" t="n">
        <v>43953</v>
      </c>
      <c r="C5931" s="94">
        <f>TEXT(B5931,"aaa")</f>
        <v/>
      </c>
      <c r="D5931" s="94" t="n"/>
      <c r="E5931" s="94" t="inlineStr">
        <is>
          <t>어성초진정패키지</t>
        </is>
      </c>
      <c r="F5931" s="94" t="inlineStr">
        <is>
          <t>카페24</t>
        </is>
      </c>
      <c r="G5931" s="94" t="inlineStr">
        <is>
          <t>어성초 진정패키지세트</t>
        </is>
      </c>
      <c r="H5931" s="7" t="n">
        <v>190801</v>
      </c>
      <c r="I5931" s="7" t="n">
        <v>190801</v>
      </c>
      <c r="J5931" s="94" t="n"/>
      <c r="K5931" s="6" t="n">
        <v>7</v>
      </c>
      <c r="L5931" s="94" t="n">
        <v>190801</v>
      </c>
      <c r="M5931" s="94">
        <f>VLOOKUP($Q5931,매칭테이블!$F:$I,2,0)*K5931</f>
        <v/>
      </c>
      <c r="N5931" s="94">
        <f>M5931-M5931*VLOOKUP($Q5931,매칭테이블!$F:$I,3,0)</f>
        <v/>
      </c>
      <c r="O5931" s="94">
        <f>VLOOKUP($Q5931,매칭테이블!$F:$I,4,0)*K5931</f>
        <v/>
      </c>
      <c r="P5931" s="148">
        <f>M5931/1.1</f>
        <v/>
      </c>
      <c r="Q5931" s="94">
        <f>F5931&amp;E5931&amp;G5931&amp;L5931</f>
        <v/>
      </c>
    </row>
    <row r="5932">
      <c r="A5932" s="94" t="n"/>
      <c r="B5932" s="128" t="n">
        <v>43953</v>
      </c>
      <c r="C5932" s="94">
        <f>TEXT(B5932,"aaa")</f>
        <v/>
      </c>
      <c r="D5932" s="94" t="n"/>
      <c r="E5932" s="94" t="inlineStr">
        <is>
          <t>머드크림마스크</t>
        </is>
      </c>
      <c r="F5932" s="94" t="inlineStr">
        <is>
          <t>카페24</t>
        </is>
      </c>
      <c r="G5932" s="94" t="inlineStr">
        <is>
          <t>머드크림마스크 100ml</t>
        </is>
      </c>
      <c r="H5932" s="7" t="n">
        <v>190801</v>
      </c>
      <c r="I5932" s="7" t="n">
        <v>190801</v>
      </c>
      <c r="J5932" s="94" t="n"/>
      <c r="K5932" s="6" t="n">
        <v>3</v>
      </c>
      <c r="L5932" s="94" t="n">
        <v>190801</v>
      </c>
      <c r="M5932" s="94">
        <f>VLOOKUP($Q5932,매칭테이블!$F:$I,2,0)*K5932</f>
        <v/>
      </c>
      <c r="N5932" s="94">
        <f>M5932-M5932*VLOOKUP($Q5932,매칭테이블!$F:$I,3,0)</f>
        <v/>
      </c>
      <c r="O5932" s="94">
        <f>VLOOKUP($Q5932,매칭테이블!$F:$I,4,0)*K5932</f>
        <v/>
      </c>
      <c r="P5932" s="148">
        <f>M5932/1.1</f>
        <v/>
      </c>
      <c r="Q5932" s="94">
        <f>F5932&amp;E5932&amp;G5932&amp;L5932</f>
        <v/>
      </c>
    </row>
    <row r="5933">
      <c r="A5933" s="94" t="n"/>
      <c r="B5933" s="128" t="n">
        <v>43953</v>
      </c>
      <c r="C5933" s="94">
        <f>TEXT(B5933,"aaa")</f>
        <v/>
      </c>
      <c r="D5933" s="94" t="n"/>
      <c r="E5933" s="94" t="inlineStr">
        <is>
          <t>마스크팩</t>
        </is>
      </c>
      <c r="F5933" s="94" t="inlineStr">
        <is>
          <t>카페24</t>
        </is>
      </c>
      <c r="G5933" s="94" t="inlineStr">
        <is>
          <t>마스크팩 1매</t>
        </is>
      </c>
      <c r="H5933" s="7" t="n">
        <v>190801</v>
      </c>
      <c r="I5933" s="7" t="n">
        <v>190801</v>
      </c>
      <c r="J5933" s="94" t="n"/>
      <c r="K5933" s="6" t="n">
        <v>10</v>
      </c>
      <c r="L5933" s="94" t="n">
        <v>190801</v>
      </c>
      <c r="M5933" s="94">
        <f>VLOOKUP($Q5933,매칭테이블!$F:$I,2,0)*K5933</f>
        <v/>
      </c>
      <c r="N5933" s="94">
        <f>M5933-M5933*VLOOKUP($Q5933,매칭테이블!$F:$I,3,0)</f>
        <v/>
      </c>
      <c r="O5933" s="94">
        <f>VLOOKUP($Q5933,매칭테이블!$F:$I,4,0)*K5933</f>
        <v/>
      </c>
      <c r="P5933" s="148">
        <f>M5933/1.1</f>
        <v/>
      </c>
      <c r="Q5933" s="94">
        <f>F5933&amp;E5933&amp;G5933&amp;L5933</f>
        <v/>
      </c>
    </row>
    <row r="5934">
      <c r="A5934" s="94" t="n"/>
      <c r="B5934" s="128" t="n">
        <v>43953</v>
      </c>
      <c r="C5934" s="94">
        <f>TEXT(B5934,"aaa")</f>
        <v/>
      </c>
      <c r="D5934" s="94" t="n"/>
      <c r="E5934" s="94" t="inlineStr">
        <is>
          <t>마스크팩</t>
        </is>
      </c>
      <c r="F5934" s="94" t="inlineStr">
        <is>
          <t>카페24</t>
        </is>
      </c>
      <c r="G5934" s="94" t="inlineStr">
        <is>
          <t>마스크팩 10매</t>
        </is>
      </c>
      <c r="H5934" s="7" t="n">
        <v>190801</v>
      </c>
      <c r="I5934" s="7" t="n">
        <v>190801</v>
      </c>
      <c r="J5934" s="94" t="n"/>
      <c r="K5934" s="6" t="n">
        <v>4</v>
      </c>
      <c r="L5934" s="94" t="n">
        <v>190801</v>
      </c>
      <c r="M5934" s="94">
        <f>VLOOKUP($Q5934,매칭테이블!$F:$I,2,0)*K5934</f>
        <v/>
      </c>
      <c r="N5934" s="94">
        <f>M5934-M5934*VLOOKUP($Q5934,매칭테이블!$F:$I,3,0)</f>
        <v/>
      </c>
      <c r="O5934" s="94">
        <f>VLOOKUP($Q5934,매칭테이블!$F:$I,4,0)*K5934</f>
        <v/>
      </c>
      <c r="P5934" s="148">
        <f>M5934/1.1</f>
        <v/>
      </c>
      <c r="Q5934" s="94">
        <f>F5934&amp;E5934&amp;G5934&amp;L5934</f>
        <v/>
      </c>
    </row>
    <row r="5935">
      <c r="A5935" s="94" t="n"/>
      <c r="B5935" s="128" t="n">
        <v>43953</v>
      </c>
      <c r="C5935" s="94">
        <f>TEXT(B5935,"aaa")</f>
        <v/>
      </c>
      <c r="D5935" s="94" t="n"/>
      <c r="E5935" s="6" t="inlineStr">
        <is>
          <t>토너</t>
        </is>
      </c>
      <c r="F5935" s="5" t="inlineStr">
        <is>
          <t>카페24</t>
        </is>
      </c>
      <c r="G5935" s="5" t="inlineStr">
        <is>
          <t>250ml</t>
        </is>
      </c>
      <c r="H5935" s="7" t="n">
        <v>190801</v>
      </c>
      <c r="I5935" s="7" t="n">
        <v>190801</v>
      </c>
      <c r="J5935" s="94" t="n"/>
      <c r="K5935" s="6" t="n">
        <v>49</v>
      </c>
      <c r="L5935" s="7" t="n">
        <v>190801</v>
      </c>
      <c r="M5935" s="94">
        <f>VLOOKUP($Q5935,매칭테이블!$F:$I,2,0)*K5935</f>
        <v/>
      </c>
      <c r="N5935" s="94">
        <f>M5935-M5935*VLOOKUP($Q5935,매칭테이블!$F:$I,3,0)</f>
        <v/>
      </c>
      <c r="O5935" s="94">
        <f>VLOOKUP($Q5935,매칭테이블!$F:$I,4,0)*K5935</f>
        <v/>
      </c>
      <c r="P5935" s="148">
        <f>M5935/1.1</f>
        <v/>
      </c>
      <c r="Q5935" s="94">
        <f>F5935&amp;E5935&amp;G5935&amp;L5935</f>
        <v/>
      </c>
    </row>
    <row r="5936">
      <c r="A5936" s="94" t="n"/>
      <c r="B5936" s="128" t="n">
        <v>43953</v>
      </c>
      <c r="C5936" s="94">
        <f>TEXT(B5936,"aaa")</f>
        <v/>
      </c>
      <c r="D5936" s="94" t="n"/>
      <c r="E5936" s="6" t="inlineStr">
        <is>
          <t>토너</t>
        </is>
      </c>
      <c r="F5936" s="5" t="inlineStr">
        <is>
          <t>카페24</t>
        </is>
      </c>
      <c r="G5936" s="5" t="inlineStr">
        <is>
          <t>250ml 2set</t>
        </is>
      </c>
      <c r="H5936" s="7" t="n">
        <v>190801</v>
      </c>
      <c r="I5936" s="7" t="n">
        <v>190801</v>
      </c>
      <c r="J5936" s="94" t="n"/>
      <c r="K5936" s="6" t="n">
        <v>35</v>
      </c>
      <c r="L5936" s="7" t="n">
        <v>190801</v>
      </c>
      <c r="M5936" s="94">
        <f>VLOOKUP($Q5936,매칭테이블!$F:$I,2,0)*K5936</f>
        <v/>
      </c>
      <c r="N5936" s="94">
        <f>M5936-M5936*VLOOKUP($Q5936,매칭테이블!$F:$I,3,0)</f>
        <v/>
      </c>
      <c r="O5936" s="94">
        <f>VLOOKUP($Q5936,매칭테이블!$F:$I,4,0)*K5936</f>
        <v/>
      </c>
      <c r="P5936" s="148">
        <f>M5936/1.1</f>
        <v/>
      </c>
      <c r="Q5936" s="94">
        <f>F5936&amp;E5936&amp;G5936&amp;L5936</f>
        <v/>
      </c>
    </row>
    <row r="5937">
      <c r="A5937" s="94" t="n"/>
      <c r="B5937" s="128" t="n">
        <v>43953</v>
      </c>
      <c r="C5937" s="94">
        <f>TEXT(B5937,"aaa")</f>
        <v/>
      </c>
      <c r="D5937" s="94" t="n"/>
      <c r="E5937" s="6" t="inlineStr">
        <is>
          <t>토너</t>
        </is>
      </c>
      <c r="F5937" s="5" t="inlineStr">
        <is>
          <t>카페24</t>
        </is>
      </c>
      <c r="G5937" s="5" t="inlineStr">
        <is>
          <t>500ml</t>
        </is>
      </c>
      <c r="H5937" s="7" t="n">
        <v>190801</v>
      </c>
      <c r="I5937" s="7" t="n">
        <v>190801</v>
      </c>
      <c r="J5937" s="94" t="n"/>
      <c r="K5937" s="6" t="n">
        <v>41</v>
      </c>
      <c r="L5937" s="7" t="n">
        <v>190801</v>
      </c>
      <c r="M5937" s="94">
        <f>VLOOKUP($Q5937,매칭테이블!$F:$I,2,0)*K5937</f>
        <v/>
      </c>
      <c r="N5937" s="94">
        <f>M5937-M5937*VLOOKUP($Q5937,매칭테이블!$F:$I,3,0)</f>
        <v/>
      </c>
      <c r="O5937" s="94">
        <f>VLOOKUP($Q5937,매칭테이블!$F:$I,4,0)*K5937</f>
        <v/>
      </c>
      <c r="P5937" s="148">
        <f>M5937/1.1</f>
        <v/>
      </c>
      <c r="Q5937" s="94">
        <f>F5937&amp;E5937&amp;G5937&amp;L5937</f>
        <v/>
      </c>
    </row>
    <row r="5938">
      <c r="A5938" s="94" t="n"/>
      <c r="B5938" s="128" t="n">
        <v>43953</v>
      </c>
      <c r="C5938" s="94">
        <f>TEXT(B5938,"aaa")</f>
        <v/>
      </c>
      <c r="D5938" s="94" t="n"/>
      <c r="E5938" s="6" t="inlineStr">
        <is>
          <t>토너</t>
        </is>
      </c>
      <c r="F5938" s="5" t="inlineStr">
        <is>
          <t>카페24</t>
        </is>
      </c>
      <c r="G5938" s="94" t="inlineStr">
        <is>
          <t>스킨팩 화장솜 60P</t>
        </is>
      </c>
      <c r="H5938" s="7" t="n">
        <v>190801</v>
      </c>
      <c r="I5938" s="7" t="n">
        <v>190801</v>
      </c>
      <c r="J5938" s="94" t="n"/>
      <c r="K5938" s="6" t="n">
        <v>48</v>
      </c>
      <c r="L5938" s="7" t="n">
        <v>190801</v>
      </c>
      <c r="M5938" s="94">
        <f>VLOOKUP($Q5938,매칭테이블!$F:$I,2,0)*K5938</f>
        <v/>
      </c>
      <c r="N5938" s="94">
        <f>M5938-M5938*VLOOKUP($Q5938,매칭테이블!$F:$I,3,0)</f>
        <v/>
      </c>
      <c r="O5938" s="94">
        <f>VLOOKUP($Q5938,매칭테이블!$F:$I,4,0)*K5938</f>
        <v/>
      </c>
      <c r="P5938" s="148">
        <f>M5938/1.1</f>
        <v/>
      </c>
      <c r="Q5938" s="94">
        <f>F5938&amp;E5938&amp;G5938&amp;L5938</f>
        <v/>
      </c>
    </row>
    <row r="5939">
      <c r="A5939" s="94" t="n"/>
      <c r="B5939" s="128" t="n">
        <v>43953</v>
      </c>
      <c r="C5939" s="94">
        <f>TEXT(B5939,"aaa")</f>
        <v/>
      </c>
      <c r="D5939" s="94" t="n"/>
      <c r="E5939" s="94" t="inlineStr">
        <is>
          <t>앰플</t>
        </is>
      </c>
      <c r="F5939" s="5" t="inlineStr">
        <is>
          <t>카페24</t>
        </is>
      </c>
      <c r="G5939" s="94" t="inlineStr">
        <is>
          <t>앰플 30ml</t>
        </is>
      </c>
      <c r="H5939" s="7" t="n">
        <v>190801</v>
      </c>
      <c r="I5939" s="7" t="n">
        <v>190801</v>
      </c>
      <c r="J5939" s="94" t="n"/>
      <c r="K5939" s="6" t="n">
        <v>9</v>
      </c>
      <c r="L5939" s="94" t="n">
        <v>190801</v>
      </c>
      <c r="M5939" s="94">
        <f>VLOOKUP($Q5939,매칭테이블!$F:$I,2,0)*K5939</f>
        <v/>
      </c>
      <c r="N5939" s="94">
        <f>M5939-M5939*VLOOKUP($Q5939,매칭테이블!$F:$I,3,0)</f>
        <v/>
      </c>
      <c r="O5939" s="94">
        <f>VLOOKUP($Q5939,매칭테이블!$F:$I,4,0)*K5939</f>
        <v/>
      </c>
      <c r="P5939" s="148">
        <f>M5939/1.1</f>
        <v/>
      </c>
      <c r="Q5939" s="94">
        <f>F5939&amp;E5939&amp;G5939&amp;L5939</f>
        <v/>
      </c>
    </row>
    <row r="5940">
      <c r="A5940" s="94" t="n"/>
      <c r="B5940" s="128" t="n">
        <v>43953</v>
      </c>
      <c r="C5940" s="94">
        <f>TEXT(B5940,"aaa")</f>
        <v/>
      </c>
      <c r="D5940" s="94" t="n"/>
      <c r="E5940" s="94" t="inlineStr">
        <is>
          <t>수딩크림</t>
        </is>
      </c>
      <c r="F5940" s="5" t="inlineStr">
        <is>
          <t>카페24</t>
        </is>
      </c>
      <c r="G5940" s="94" t="inlineStr">
        <is>
          <t>수딩크림 100ml</t>
        </is>
      </c>
      <c r="H5940" s="7" t="n">
        <v>190801</v>
      </c>
      <c r="I5940" s="7" t="n">
        <v>190801</v>
      </c>
      <c r="J5940" s="94" t="n"/>
      <c r="K5940" s="6" t="n">
        <v>2</v>
      </c>
      <c r="L5940" s="94" t="n">
        <v>190801</v>
      </c>
      <c r="M5940" s="94">
        <f>VLOOKUP($Q5940,매칭테이블!$F:$I,2,0)*K5940</f>
        <v/>
      </c>
      <c r="N5940" s="94">
        <f>M5940-M5940*VLOOKUP($Q5940,매칭테이블!$F:$I,3,0)</f>
        <v/>
      </c>
      <c r="O5940" s="94">
        <f>VLOOKUP($Q5940,매칭테이블!$F:$I,4,0)*K5940</f>
        <v/>
      </c>
      <c r="P5940" s="148">
        <f>M5940/1.1</f>
        <v/>
      </c>
      <c r="Q5940" s="94">
        <f>F5940&amp;E5940&amp;G5940&amp;L5940</f>
        <v/>
      </c>
    </row>
    <row r="5941">
      <c r="A5941" s="94" t="n"/>
      <c r="B5941" s="128" t="n">
        <v>43953</v>
      </c>
      <c r="C5941" s="94">
        <f>TEXT(B5941,"aaa")</f>
        <v/>
      </c>
      <c r="D5941" s="94" t="n"/>
      <c r="E5941" s="94" t="inlineStr">
        <is>
          <t>클렌징폼</t>
        </is>
      </c>
      <c r="F5941" s="94" t="inlineStr">
        <is>
          <t>카페24</t>
        </is>
      </c>
      <c r="G5941" s="94" t="inlineStr">
        <is>
          <t>클렌징폼 120ml</t>
        </is>
      </c>
      <c r="H5941" s="7" t="n">
        <v>190801</v>
      </c>
      <c r="I5941" s="7" t="n">
        <v>190801</v>
      </c>
      <c r="J5941" s="94" t="n"/>
      <c r="K5941" s="6" t="n">
        <v>2</v>
      </c>
      <c r="L5941" s="92" t="n">
        <v>190801</v>
      </c>
      <c r="M5941" s="94">
        <f>VLOOKUP($Q5941,매칭테이블!$F:$I,2,0)*K5941</f>
        <v/>
      </c>
      <c r="N5941" s="94">
        <f>M5941-M5941*VLOOKUP($Q5941,매칭테이블!$F:$I,3,0)</f>
        <v/>
      </c>
      <c r="O5941" s="94">
        <f>VLOOKUP($Q5941,매칭테이블!$F:$I,4,0)*K5941</f>
        <v/>
      </c>
      <c r="P5941" s="148">
        <f>M5941/1.1</f>
        <v/>
      </c>
      <c r="Q5941" s="94">
        <f>F5941&amp;E5941&amp;G5941&amp;L5941</f>
        <v/>
      </c>
    </row>
    <row r="5942">
      <c r="A5942" s="94" t="n"/>
      <c r="B5942" s="128" t="n">
        <v>43953</v>
      </c>
      <c r="C5942" s="94">
        <f>TEXT(B5942,"aaa")</f>
        <v/>
      </c>
      <c r="D5942" s="94" t="n"/>
      <c r="E5942" s="94" t="inlineStr">
        <is>
          <t>클렌징폼</t>
        </is>
      </c>
      <c r="F5942" s="94" t="inlineStr">
        <is>
          <t>카페24</t>
        </is>
      </c>
      <c r="G5942" s="94" t="inlineStr">
        <is>
          <t>클렌징폼 120ml 2set</t>
        </is>
      </c>
      <c r="H5942" s="7" t="n">
        <v>190801</v>
      </c>
      <c r="I5942" s="7" t="n">
        <v>190801</v>
      </c>
      <c r="J5942" s="94" t="n"/>
      <c r="K5942" s="6" t="n">
        <v>1</v>
      </c>
      <c r="L5942" s="92" t="n">
        <v>190801</v>
      </c>
      <c r="M5942" s="94">
        <f>VLOOKUP($Q5942,매칭테이블!$F:$I,2,0)*K5942</f>
        <v/>
      </c>
      <c r="N5942" s="94">
        <f>M5942-M5942*VLOOKUP($Q5942,매칭테이블!$F:$I,3,0)</f>
        <v/>
      </c>
      <c r="O5942" s="94">
        <f>VLOOKUP($Q5942,매칭테이블!$F:$I,4,0)*K5942</f>
        <v/>
      </c>
      <c r="P5942" s="148">
        <f>M5942/1.1</f>
        <v/>
      </c>
      <c r="Q5942" s="94">
        <f>F5942&amp;E5942&amp;G5942&amp;L5942</f>
        <v/>
      </c>
    </row>
    <row r="5943">
      <c r="A5943" s="94" t="n"/>
      <c r="B5943" s="128" t="n">
        <v>43953</v>
      </c>
      <c r="C5943" s="94">
        <f>TEXT(B5943,"aaa")</f>
        <v/>
      </c>
      <c r="D5943" s="94" t="n"/>
      <c r="E5943" s="94" t="inlineStr">
        <is>
          <t>클렌징폼</t>
        </is>
      </c>
      <c r="F5943" s="94" t="inlineStr">
        <is>
          <t>카페24</t>
        </is>
      </c>
      <c r="G5943" s="94" t="inlineStr">
        <is>
          <t>클렌징폼 120ml 3set</t>
        </is>
      </c>
      <c r="H5943" s="7" t="n">
        <v>190801</v>
      </c>
      <c r="I5943" s="7" t="n">
        <v>190801</v>
      </c>
      <c r="J5943" s="94" t="n"/>
      <c r="K5943" s="6" t="n">
        <v>1</v>
      </c>
      <c r="L5943" s="92" t="n">
        <v>190801</v>
      </c>
      <c r="M5943" s="94">
        <f>VLOOKUP($Q5943,매칭테이블!$F:$I,2,0)*K5943</f>
        <v/>
      </c>
      <c r="N5943" s="94">
        <f>M5943-M5943*VLOOKUP($Q5943,매칭테이블!$F:$I,3,0)</f>
        <v/>
      </c>
      <c r="O5943" s="94">
        <f>VLOOKUP($Q5943,매칭테이블!$F:$I,4,0)*K5943</f>
        <v/>
      </c>
      <c r="P5943" s="148">
        <f>M5943/1.1</f>
        <v/>
      </c>
      <c r="Q5943" s="94">
        <f>F5943&amp;E5943&amp;G5943&amp;L5943</f>
        <v/>
      </c>
    </row>
    <row r="5944">
      <c r="A5944" s="94" t="n"/>
      <c r="B5944" s="128" t="n">
        <v>43954</v>
      </c>
      <c r="C5944" s="94">
        <f>TEXT(B5944,"aaa")</f>
        <v/>
      </c>
      <c r="D5944" s="94" t="n"/>
      <c r="E5944" s="94" t="inlineStr">
        <is>
          <t>토너</t>
        </is>
      </c>
      <c r="F5944" s="5" t="inlineStr">
        <is>
          <t>스타일쉐어</t>
        </is>
      </c>
      <c r="G5944" s="94" t="inlineStr">
        <is>
          <t>250ml</t>
        </is>
      </c>
      <c r="H5944" s="7" t="n">
        <v>190801</v>
      </c>
      <c r="I5944" s="7" t="n">
        <v>190801</v>
      </c>
      <c r="J5944" s="94" t="n"/>
      <c r="K5944" s="6" t="n">
        <v>1</v>
      </c>
      <c r="L5944" s="7" t="n">
        <v>190801</v>
      </c>
      <c r="M5944" s="94">
        <f>VLOOKUP($Q5944,매칭테이블!$F:$I,2,0)*K5944</f>
        <v/>
      </c>
      <c r="N5944" s="94">
        <f>M5944-M5944*VLOOKUP($Q5944,매칭테이블!$F:$I,3,0)</f>
        <v/>
      </c>
      <c r="O5944" s="94">
        <f>VLOOKUP($Q5944,매칭테이블!$F:$I,4,0)*K5944</f>
        <v/>
      </c>
      <c r="P5944" s="148">
        <f>M5944/1.1</f>
        <v/>
      </c>
      <c r="Q5944" s="94">
        <f>F5944&amp;E5944&amp;G5944&amp;L5944</f>
        <v/>
      </c>
    </row>
    <row r="5945">
      <c r="A5945" s="94" t="n"/>
      <c r="B5945" s="128" t="n">
        <v>43954</v>
      </c>
      <c r="C5945" s="94">
        <f>TEXT(B5945,"aaa")</f>
        <v/>
      </c>
      <c r="D5945" s="94" t="n"/>
      <c r="E5945" s="94" t="inlineStr">
        <is>
          <t>어성초진정패키지</t>
        </is>
      </c>
      <c r="F5945" s="94" t="inlineStr">
        <is>
          <t>카페24</t>
        </is>
      </c>
      <c r="G5945" s="94" t="inlineStr">
        <is>
          <t>어성초 진정패키지세트</t>
        </is>
      </c>
      <c r="H5945" s="7" t="n">
        <v>190801</v>
      </c>
      <c r="I5945" s="7" t="n">
        <v>190801</v>
      </c>
      <c r="J5945" s="94" t="n"/>
      <c r="K5945" s="6" t="n">
        <v>7</v>
      </c>
      <c r="L5945" s="94" t="n">
        <v>190801</v>
      </c>
      <c r="M5945" s="94">
        <f>VLOOKUP($Q5945,매칭테이블!$F:$I,2,0)*K5945</f>
        <v/>
      </c>
      <c r="N5945" s="94">
        <f>M5945-M5945*VLOOKUP($Q5945,매칭테이블!$F:$I,3,0)</f>
        <v/>
      </c>
      <c r="O5945" s="94">
        <f>VLOOKUP($Q5945,매칭테이블!$F:$I,4,0)*K5945</f>
        <v/>
      </c>
      <c r="P5945" s="148">
        <f>M5945/1.1</f>
        <v/>
      </c>
      <c r="Q5945" s="94">
        <f>F5945&amp;E5945&amp;G5945&amp;L5945</f>
        <v/>
      </c>
    </row>
    <row r="5946">
      <c r="A5946" s="94" t="n"/>
      <c r="B5946" s="128" t="n">
        <v>43954</v>
      </c>
      <c r="C5946" s="94">
        <f>TEXT(B5946,"aaa")</f>
        <v/>
      </c>
      <c r="D5946" s="94" t="n"/>
      <c r="E5946" s="94" t="inlineStr">
        <is>
          <t>머드크림마스크</t>
        </is>
      </c>
      <c r="F5946" s="94" t="inlineStr">
        <is>
          <t>카페24</t>
        </is>
      </c>
      <c r="G5946" s="94" t="inlineStr">
        <is>
          <t>머드크림마스크 100ml</t>
        </is>
      </c>
      <c r="H5946" s="7" t="n">
        <v>190801</v>
      </c>
      <c r="I5946" s="7" t="n">
        <v>190801</v>
      </c>
      <c r="J5946" s="94" t="n"/>
      <c r="K5946" s="6" t="n">
        <v>8</v>
      </c>
      <c r="L5946" s="94" t="n">
        <v>190801</v>
      </c>
      <c r="M5946" s="94">
        <f>VLOOKUP($Q5946,매칭테이블!$F:$I,2,0)*K5946</f>
        <v/>
      </c>
      <c r="N5946" s="94">
        <f>M5946-M5946*VLOOKUP($Q5946,매칭테이블!$F:$I,3,0)</f>
        <v/>
      </c>
      <c r="O5946" s="94">
        <f>VLOOKUP($Q5946,매칭테이블!$F:$I,4,0)*K5946</f>
        <v/>
      </c>
      <c r="P5946" s="148">
        <f>M5946/1.1</f>
        <v/>
      </c>
      <c r="Q5946" s="94">
        <f>F5946&amp;E5946&amp;G5946&amp;L5946</f>
        <v/>
      </c>
    </row>
    <row r="5947">
      <c r="A5947" s="94" t="n"/>
      <c r="B5947" s="128" t="n">
        <v>43954</v>
      </c>
      <c r="C5947" s="94">
        <f>TEXT(B5947,"aaa")</f>
        <v/>
      </c>
      <c r="D5947" s="94" t="n"/>
      <c r="E5947" s="94" t="inlineStr">
        <is>
          <t>마스크팩</t>
        </is>
      </c>
      <c r="F5947" s="94" t="inlineStr">
        <is>
          <t>카페24</t>
        </is>
      </c>
      <c r="G5947" s="94" t="inlineStr">
        <is>
          <t>마스크팩 1매</t>
        </is>
      </c>
      <c r="H5947" s="7" t="n">
        <v>190801</v>
      </c>
      <c r="I5947" s="7" t="n">
        <v>190801</v>
      </c>
      <c r="J5947" s="94" t="n"/>
      <c r="K5947" s="6" t="n">
        <v>11</v>
      </c>
      <c r="L5947" s="94" t="n">
        <v>190801</v>
      </c>
      <c r="M5947" s="94">
        <f>VLOOKUP($Q5947,매칭테이블!$F:$I,2,0)*K5947</f>
        <v/>
      </c>
      <c r="N5947" s="94">
        <f>M5947-M5947*VLOOKUP($Q5947,매칭테이블!$F:$I,3,0)</f>
        <v/>
      </c>
      <c r="O5947" s="94">
        <f>VLOOKUP($Q5947,매칭테이블!$F:$I,4,0)*K5947</f>
        <v/>
      </c>
      <c r="P5947" s="148">
        <f>M5947/1.1</f>
        <v/>
      </c>
      <c r="Q5947" s="94">
        <f>F5947&amp;E5947&amp;G5947&amp;L5947</f>
        <v/>
      </c>
    </row>
    <row r="5948">
      <c r="A5948" s="94" t="n"/>
      <c r="B5948" s="128" t="n">
        <v>43954</v>
      </c>
      <c r="C5948" s="94">
        <f>TEXT(B5948,"aaa")</f>
        <v/>
      </c>
      <c r="D5948" s="94" t="n"/>
      <c r="E5948" s="94" t="inlineStr">
        <is>
          <t>마스크팩</t>
        </is>
      </c>
      <c r="F5948" s="94" t="inlineStr">
        <is>
          <t>카페24</t>
        </is>
      </c>
      <c r="G5948" s="94" t="inlineStr">
        <is>
          <t>마스크팩 10매</t>
        </is>
      </c>
      <c r="H5948" s="7" t="n">
        <v>190801</v>
      </c>
      <c r="I5948" s="7" t="n">
        <v>190801</v>
      </c>
      <c r="J5948" s="94" t="n"/>
      <c r="K5948" s="6" t="n">
        <v>3</v>
      </c>
      <c r="L5948" s="94" t="n">
        <v>190801</v>
      </c>
      <c r="M5948" s="94">
        <f>VLOOKUP($Q5948,매칭테이블!$F:$I,2,0)*K5948</f>
        <v/>
      </c>
      <c r="N5948" s="94">
        <f>M5948-M5948*VLOOKUP($Q5948,매칭테이블!$F:$I,3,0)</f>
        <v/>
      </c>
      <c r="O5948" s="94">
        <f>VLOOKUP($Q5948,매칭테이블!$F:$I,4,0)*K5948</f>
        <v/>
      </c>
      <c r="P5948" s="148">
        <f>M5948/1.1</f>
        <v/>
      </c>
      <c r="Q5948" s="94">
        <f>F5948&amp;E5948&amp;G5948&amp;L5948</f>
        <v/>
      </c>
    </row>
    <row r="5949">
      <c r="A5949" s="94" t="n"/>
      <c r="B5949" s="128" t="n">
        <v>43954</v>
      </c>
      <c r="C5949" s="94">
        <f>TEXT(B5949,"aaa")</f>
        <v/>
      </c>
      <c r="D5949" s="94" t="n"/>
      <c r="E5949" s="6" t="inlineStr">
        <is>
          <t>토너</t>
        </is>
      </c>
      <c r="F5949" s="5" t="inlineStr">
        <is>
          <t>카페24</t>
        </is>
      </c>
      <c r="G5949" s="5" t="inlineStr">
        <is>
          <t>250ml</t>
        </is>
      </c>
      <c r="H5949" s="7" t="n">
        <v>190801</v>
      </c>
      <c r="I5949" s="7" t="n">
        <v>190801</v>
      </c>
      <c r="J5949" s="94" t="n"/>
      <c r="K5949" s="6" t="n">
        <v>45</v>
      </c>
      <c r="L5949" s="7" t="n">
        <v>190801</v>
      </c>
      <c r="M5949" s="94">
        <f>VLOOKUP($Q5949,매칭테이블!$F:$I,2,0)*K5949</f>
        <v/>
      </c>
      <c r="N5949" s="94">
        <f>M5949-M5949*VLOOKUP($Q5949,매칭테이블!$F:$I,3,0)</f>
        <v/>
      </c>
      <c r="O5949" s="94">
        <f>VLOOKUP($Q5949,매칭테이블!$F:$I,4,0)*K5949</f>
        <v/>
      </c>
      <c r="P5949" s="148">
        <f>M5949/1.1</f>
        <v/>
      </c>
      <c r="Q5949" s="94">
        <f>F5949&amp;E5949&amp;G5949&amp;L5949</f>
        <v/>
      </c>
    </row>
    <row r="5950">
      <c r="A5950" s="94" t="n"/>
      <c r="B5950" s="128" t="n">
        <v>43954</v>
      </c>
      <c r="C5950" s="94">
        <f>TEXT(B5950,"aaa")</f>
        <v/>
      </c>
      <c r="D5950" s="94" t="n"/>
      <c r="E5950" s="6" t="inlineStr">
        <is>
          <t>토너</t>
        </is>
      </c>
      <c r="F5950" s="5" t="inlineStr">
        <is>
          <t>카페24</t>
        </is>
      </c>
      <c r="G5950" s="5" t="inlineStr">
        <is>
          <t>250ml 2set</t>
        </is>
      </c>
      <c r="H5950" s="7" t="n">
        <v>190801</v>
      </c>
      <c r="I5950" s="7" t="n">
        <v>190801</v>
      </c>
      <c r="J5950" s="94" t="n"/>
      <c r="K5950" s="6" t="n">
        <v>22</v>
      </c>
      <c r="L5950" s="7" t="n">
        <v>190801</v>
      </c>
      <c r="M5950" s="94">
        <f>VLOOKUP($Q5950,매칭테이블!$F:$I,2,0)*K5950</f>
        <v/>
      </c>
      <c r="N5950" s="94">
        <f>M5950-M5950*VLOOKUP($Q5950,매칭테이블!$F:$I,3,0)</f>
        <v/>
      </c>
      <c r="O5950" s="94">
        <f>VLOOKUP($Q5950,매칭테이블!$F:$I,4,0)*K5950</f>
        <v/>
      </c>
      <c r="P5950" s="148">
        <f>M5950/1.1</f>
        <v/>
      </c>
      <c r="Q5950" s="94">
        <f>F5950&amp;E5950&amp;G5950&amp;L5950</f>
        <v/>
      </c>
    </row>
    <row r="5951">
      <c r="A5951" s="94" t="n"/>
      <c r="B5951" s="128" t="n">
        <v>43954</v>
      </c>
      <c r="C5951" s="94">
        <f>TEXT(B5951,"aaa")</f>
        <v/>
      </c>
      <c r="D5951" s="94" t="n"/>
      <c r="E5951" s="6" t="inlineStr">
        <is>
          <t>토너</t>
        </is>
      </c>
      <c r="F5951" s="5" t="inlineStr">
        <is>
          <t>카페24</t>
        </is>
      </c>
      <c r="G5951" s="5" t="inlineStr">
        <is>
          <t>500ml</t>
        </is>
      </c>
      <c r="H5951" s="7" t="n">
        <v>190801</v>
      </c>
      <c r="I5951" s="7" t="n">
        <v>190801</v>
      </c>
      <c r="J5951" s="94" t="n"/>
      <c r="K5951" s="6" t="n">
        <v>54</v>
      </c>
      <c r="L5951" s="7" t="n">
        <v>190801</v>
      </c>
      <c r="M5951" s="94">
        <f>VLOOKUP($Q5951,매칭테이블!$F:$I,2,0)*K5951</f>
        <v/>
      </c>
      <c r="N5951" s="94">
        <f>M5951-M5951*VLOOKUP($Q5951,매칭테이블!$F:$I,3,0)</f>
        <v/>
      </c>
      <c r="O5951" s="94">
        <f>VLOOKUP($Q5951,매칭테이블!$F:$I,4,0)*K5951</f>
        <v/>
      </c>
      <c r="P5951" s="148">
        <f>M5951/1.1</f>
        <v/>
      </c>
      <c r="Q5951" s="94">
        <f>F5951&amp;E5951&amp;G5951&amp;L5951</f>
        <v/>
      </c>
    </row>
    <row r="5952">
      <c r="A5952" s="94" t="n"/>
      <c r="B5952" s="128" t="n">
        <v>43954</v>
      </c>
      <c r="C5952" s="94">
        <f>TEXT(B5952,"aaa")</f>
        <v/>
      </c>
      <c r="D5952" s="94" t="n"/>
      <c r="E5952" s="6" t="inlineStr">
        <is>
          <t>토너</t>
        </is>
      </c>
      <c r="F5952" s="5" t="inlineStr">
        <is>
          <t>카페24</t>
        </is>
      </c>
      <c r="G5952" s="94" t="inlineStr">
        <is>
          <t>스킨팩 화장솜 60P</t>
        </is>
      </c>
      <c r="H5952" s="7" t="n">
        <v>190801</v>
      </c>
      <c r="I5952" s="7" t="n">
        <v>190801</v>
      </c>
      <c r="J5952" s="94" t="n"/>
      <c r="K5952" s="6" t="n">
        <v>47</v>
      </c>
      <c r="L5952" s="7" t="n">
        <v>190801</v>
      </c>
      <c r="M5952" s="94">
        <f>VLOOKUP($Q5952,매칭테이블!$F:$I,2,0)*K5952</f>
        <v/>
      </c>
      <c r="N5952" s="94">
        <f>M5952-M5952*VLOOKUP($Q5952,매칭테이블!$F:$I,3,0)</f>
        <v/>
      </c>
      <c r="O5952" s="94">
        <f>VLOOKUP($Q5952,매칭테이블!$F:$I,4,0)*K5952</f>
        <v/>
      </c>
      <c r="P5952" s="148">
        <f>M5952/1.1</f>
        <v/>
      </c>
      <c r="Q5952" s="94">
        <f>F5952&amp;E5952&amp;G5952&amp;L5952</f>
        <v/>
      </c>
    </row>
    <row r="5953">
      <c r="A5953" s="94" t="n"/>
      <c r="B5953" s="128" t="n">
        <v>43954</v>
      </c>
      <c r="C5953" s="94">
        <f>TEXT(B5953,"aaa")</f>
        <v/>
      </c>
      <c r="D5953" s="94" t="n"/>
      <c r="E5953" s="94" t="inlineStr">
        <is>
          <t>앰플</t>
        </is>
      </c>
      <c r="F5953" s="5" t="inlineStr">
        <is>
          <t>카페24</t>
        </is>
      </c>
      <c r="G5953" s="94" t="inlineStr">
        <is>
          <t>앰플 30ml</t>
        </is>
      </c>
      <c r="H5953" s="7" t="n">
        <v>190801</v>
      </c>
      <c r="I5953" s="7" t="n">
        <v>190801</v>
      </c>
      <c r="J5953" s="94" t="n"/>
      <c r="K5953" s="6" t="n">
        <v>10</v>
      </c>
      <c r="L5953" s="94" t="n">
        <v>190801</v>
      </c>
      <c r="M5953" s="94">
        <f>VLOOKUP($Q5953,매칭테이블!$F:$I,2,0)*K5953</f>
        <v/>
      </c>
      <c r="N5953" s="94">
        <f>M5953-M5953*VLOOKUP($Q5953,매칭테이블!$F:$I,3,0)</f>
        <v/>
      </c>
      <c r="O5953" s="94">
        <f>VLOOKUP($Q5953,매칭테이블!$F:$I,4,0)*K5953</f>
        <v/>
      </c>
      <c r="P5953" s="148">
        <f>M5953/1.1</f>
        <v/>
      </c>
      <c r="Q5953" s="94">
        <f>F5953&amp;E5953&amp;G5953&amp;L5953</f>
        <v/>
      </c>
    </row>
    <row r="5954">
      <c r="A5954" s="94" t="n"/>
      <c r="B5954" s="128" t="n">
        <v>43954</v>
      </c>
      <c r="C5954" s="94">
        <f>TEXT(B5954,"aaa")</f>
        <v/>
      </c>
      <c r="D5954" s="94" t="n"/>
      <c r="E5954" s="94" t="inlineStr">
        <is>
          <t>수딩크림</t>
        </is>
      </c>
      <c r="F5954" s="5" t="inlineStr">
        <is>
          <t>카페24</t>
        </is>
      </c>
      <c r="G5954" s="94" t="inlineStr">
        <is>
          <t>수딩크림 100ml</t>
        </is>
      </c>
      <c r="H5954" s="7" t="n">
        <v>190801</v>
      </c>
      <c r="I5954" s="7" t="n">
        <v>190801</v>
      </c>
      <c r="J5954" s="94" t="n"/>
      <c r="K5954" s="6" t="n">
        <v>6</v>
      </c>
      <c r="L5954" s="94" t="n">
        <v>190801</v>
      </c>
      <c r="M5954" s="94">
        <f>VLOOKUP($Q5954,매칭테이블!$F:$I,2,0)*K5954</f>
        <v/>
      </c>
      <c r="N5954" s="94">
        <f>M5954-M5954*VLOOKUP($Q5954,매칭테이블!$F:$I,3,0)</f>
        <v/>
      </c>
      <c r="O5954" s="94">
        <f>VLOOKUP($Q5954,매칭테이블!$F:$I,4,0)*K5954</f>
        <v/>
      </c>
      <c r="P5954" s="148">
        <f>M5954/1.1</f>
        <v/>
      </c>
      <c r="Q5954" s="94">
        <f>F5954&amp;E5954&amp;G5954&amp;L5954</f>
        <v/>
      </c>
    </row>
    <row r="5955">
      <c r="A5955" s="94" t="n"/>
      <c r="B5955" s="128" t="n">
        <v>43954</v>
      </c>
      <c r="C5955" s="94">
        <f>TEXT(B5955,"aaa")</f>
        <v/>
      </c>
      <c r="D5955" s="94" t="n"/>
      <c r="E5955" s="94" t="inlineStr">
        <is>
          <t>클렌징폼</t>
        </is>
      </c>
      <c r="F5955" s="94" t="inlineStr">
        <is>
          <t>카페24</t>
        </is>
      </c>
      <c r="G5955" s="94" t="inlineStr">
        <is>
          <t>클렌징폼 120ml</t>
        </is>
      </c>
      <c r="H5955" s="7" t="n">
        <v>190801</v>
      </c>
      <c r="I5955" s="7" t="n">
        <v>190801</v>
      </c>
      <c r="J5955" s="94" t="n"/>
      <c r="K5955" s="6" t="n">
        <v>10</v>
      </c>
      <c r="L5955" s="92" t="n">
        <v>190801</v>
      </c>
      <c r="M5955" s="94">
        <f>VLOOKUP($Q5955,매칭테이블!$F:$I,2,0)*K5955</f>
        <v/>
      </c>
      <c r="N5955" s="94">
        <f>M5955-M5955*VLOOKUP($Q5955,매칭테이블!$F:$I,3,0)</f>
        <v/>
      </c>
      <c r="O5955" s="94">
        <f>VLOOKUP($Q5955,매칭테이블!$F:$I,4,0)*K5955</f>
        <v/>
      </c>
      <c r="P5955" s="148">
        <f>M5955/1.1</f>
        <v/>
      </c>
      <c r="Q5955" s="94">
        <f>F5955&amp;E5955&amp;G5955&amp;L5955</f>
        <v/>
      </c>
    </row>
    <row r="5956">
      <c r="A5956" s="94" t="n"/>
      <c r="B5956" s="128" t="n">
        <v>43954</v>
      </c>
      <c r="C5956" s="94">
        <f>TEXT(B5956,"aaa")</f>
        <v/>
      </c>
      <c r="D5956" s="94" t="n"/>
      <c r="E5956" s="94" t="inlineStr">
        <is>
          <t>클렌징폼</t>
        </is>
      </c>
      <c r="F5956" s="94" t="inlineStr">
        <is>
          <t>카페24</t>
        </is>
      </c>
      <c r="G5956" s="94" t="inlineStr">
        <is>
          <t>클렌징폼 120ml 2set</t>
        </is>
      </c>
      <c r="H5956" s="7" t="n">
        <v>190801</v>
      </c>
      <c r="I5956" s="7" t="n">
        <v>190801</v>
      </c>
      <c r="J5956" s="94" t="n"/>
      <c r="K5956" s="6" t="n">
        <v>2</v>
      </c>
      <c r="L5956" s="92" t="n">
        <v>190801</v>
      </c>
      <c r="M5956" s="94">
        <f>VLOOKUP($Q5956,매칭테이블!$F:$I,2,0)*K5956</f>
        <v/>
      </c>
      <c r="N5956" s="94">
        <f>M5956-M5956*VLOOKUP($Q5956,매칭테이블!$F:$I,3,0)</f>
        <v/>
      </c>
      <c r="O5956" s="94">
        <f>VLOOKUP($Q5956,매칭테이블!$F:$I,4,0)*K5956</f>
        <v/>
      </c>
      <c r="P5956" s="148">
        <f>M5956/1.1</f>
        <v/>
      </c>
      <c r="Q5956" s="94">
        <f>F5956&amp;E5956&amp;G5956&amp;L5956</f>
        <v/>
      </c>
    </row>
    <row r="5957">
      <c r="A5957" s="94" t="n"/>
      <c r="B5957" s="128" t="n">
        <v>43954</v>
      </c>
      <c r="C5957" s="94">
        <f>TEXT(B5957,"aaa")</f>
        <v/>
      </c>
      <c r="D5957" s="94" t="n"/>
      <c r="E5957" s="94" t="inlineStr">
        <is>
          <t>클렌징폼</t>
        </is>
      </c>
      <c r="F5957" s="94" t="inlineStr">
        <is>
          <t>카페24</t>
        </is>
      </c>
      <c r="G5957" s="94" t="inlineStr">
        <is>
          <t>클렌징폼 120ml 3set</t>
        </is>
      </c>
      <c r="H5957" s="7" t="n">
        <v>190801</v>
      </c>
      <c r="I5957" s="7" t="n">
        <v>190801</v>
      </c>
      <c r="J5957" s="94" t="n"/>
      <c r="K5957" s="6" t="n">
        <v>1</v>
      </c>
      <c r="L5957" s="92" t="n">
        <v>190801</v>
      </c>
      <c r="M5957" s="94">
        <f>VLOOKUP($Q5957,매칭테이블!$F:$I,2,0)*K5957</f>
        <v/>
      </c>
      <c r="N5957" s="94">
        <f>M5957-M5957*VLOOKUP($Q5957,매칭테이블!$F:$I,3,0)</f>
        <v/>
      </c>
      <c r="O5957" s="94">
        <f>VLOOKUP($Q5957,매칭테이블!$F:$I,4,0)*K5957</f>
        <v/>
      </c>
      <c r="P5957" s="148">
        <f>M5957/1.1</f>
        <v/>
      </c>
      <c r="Q5957" s="94">
        <f>F5957&amp;E5957&amp;G5957&amp;L5957</f>
        <v/>
      </c>
    </row>
    <row r="5958">
      <c r="A5958" s="94" t="n"/>
      <c r="B5958" s="128" t="n">
        <v>43954</v>
      </c>
      <c r="C5958" s="94">
        <f>TEXT(B5958,"aaa")</f>
        <v/>
      </c>
      <c r="D5958" s="94" t="n"/>
      <c r="E5958" s="6" t="inlineStr">
        <is>
          <t>토너</t>
        </is>
      </c>
      <c r="F5958" s="94" t="inlineStr">
        <is>
          <t>랄라블라</t>
        </is>
      </c>
      <c r="G5958" s="5" t="inlineStr">
        <is>
          <t>250ml</t>
        </is>
      </c>
      <c r="H5958" s="7" t="n">
        <v>190801</v>
      </c>
      <c r="I5958" s="7" t="n">
        <v>190801</v>
      </c>
      <c r="J5958" s="94" t="n"/>
      <c r="K5958" s="6" t="n">
        <v>338</v>
      </c>
      <c r="L5958" s="7" t="n">
        <v>190801</v>
      </c>
      <c r="M5958" s="94">
        <f>VLOOKUP($Q5958,매칭테이블!$F:$I,2,0)*K5958</f>
        <v/>
      </c>
      <c r="N5958" s="94">
        <f>M5958-M5958*VLOOKUP($Q5958,매칭테이블!$F:$I,3,0)</f>
        <v/>
      </c>
      <c r="O5958" s="94">
        <f>VLOOKUP($Q5958,매칭테이블!$F:$I,4,0)*K5958</f>
        <v/>
      </c>
      <c r="P5958" s="148">
        <f>M5958/1.1</f>
        <v/>
      </c>
      <c r="Q5958" s="94">
        <f>F5958&amp;E5958&amp;G5958&amp;L5958</f>
        <v/>
      </c>
    </row>
    <row r="5959">
      <c r="A5959" s="94" t="n"/>
      <c r="B5959" s="128" t="n">
        <v>43954</v>
      </c>
      <c r="C5959" s="94">
        <f>TEXT(B5959,"aaa")</f>
        <v/>
      </c>
      <c r="D5959" s="94" t="n"/>
      <c r="E5959" s="6" t="inlineStr">
        <is>
          <t>토너</t>
        </is>
      </c>
      <c r="F5959" s="94" t="inlineStr">
        <is>
          <t>랄라블라</t>
        </is>
      </c>
      <c r="G5959" s="5" t="inlineStr">
        <is>
          <t>500ml</t>
        </is>
      </c>
      <c r="H5959" s="7" t="n">
        <v>190801</v>
      </c>
      <c r="I5959" s="7" t="n">
        <v>190801</v>
      </c>
      <c r="J5959" s="94" t="n"/>
      <c r="K5959" s="6" t="n">
        <v>271</v>
      </c>
      <c r="L5959" s="7" t="n">
        <v>190801</v>
      </c>
      <c r="M5959" s="94">
        <f>VLOOKUP($Q5959,매칭테이블!$F:$I,2,0)*K5959</f>
        <v/>
      </c>
      <c r="N5959" s="94">
        <f>M5959-M5959*VLOOKUP($Q5959,매칭테이블!$F:$I,3,0)</f>
        <v/>
      </c>
      <c r="O5959" s="94">
        <f>VLOOKUP($Q5959,매칭테이블!$F:$I,4,0)*K5959</f>
        <v/>
      </c>
      <c r="P5959" s="148">
        <f>M5959/1.1</f>
        <v/>
      </c>
      <c r="Q5959" s="94">
        <f>F5959&amp;E5959&amp;G5959&amp;L5959</f>
        <v/>
      </c>
    </row>
    <row r="5960">
      <c r="A5960" s="94" t="n"/>
      <c r="B5960" s="128" t="n">
        <v>43954</v>
      </c>
      <c r="C5960" s="94">
        <f>TEXT(B5960,"aaa")</f>
        <v/>
      </c>
      <c r="D5960" s="94" t="n"/>
      <c r="E5960" s="94" t="inlineStr">
        <is>
          <t>마스크팩</t>
        </is>
      </c>
      <c r="F5960" s="94" t="inlineStr">
        <is>
          <t>랄라블라</t>
        </is>
      </c>
      <c r="G5960" s="94" t="inlineStr">
        <is>
          <t>마스크팩 1매</t>
        </is>
      </c>
      <c r="H5960" s="7" t="n">
        <v>190801</v>
      </c>
      <c r="I5960" s="7" t="n">
        <v>190801</v>
      </c>
      <c r="J5960" s="94" t="n"/>
      <c r="K5960" s="6" t="n">
        <v>710</v>
      </c>
      <c r="L5960" s="94" t="n">
        <v>190801</v>
      </c>
      <c r="M5960" s="94">
        <f>VLOOKUP($Q5960,매칭테이블!$F:$I,2,0)*K5960</f>
        <v/>
      </c>
      <c r="N5960" s="94">
        <f>M5960-M5960*VLOOKUP($Q5960,매칭테이블!$F:$I,3,0)</f>
        <v/>
      </c>
      <c r="O5960" s="94">
        <f>VLOOKUP($Q5960,매칭테이블!$F:$I,4,0)*K5960</f>
        <v/>
      </c>
      <c r="P5960" s="148">
        <f>M5960/1.1</f>
        <v/>
      </c>
      <c r="Q5960" s="94">
        <f>F5960&amp;E5960&amp;G5960&amp;L5960</f>
        <v/>
      </c>
    </row>
    <row r="5961">
      <c r="A5961" s="94" t="n"/>
      <c r="B5961" s="128" t="n">
        <v>43954</v>
      </c>
      <c r="C5961" s="94">
        <f>TEXT(B5961,"aaa")</f>
        <v/>
      </c>
      <c r="D5961" s="94" t="n"/>
      <c r="E5961" s="94" t="inlineStr">
        <is>
          <t>수딩크림 증정기획</t>
        </is>
      </c>
      <c r="F5961" s="94" t="inlineStr">
        <is>
          <t>랄라블라</t>
        </is>
      </c>
      <c r="G5961" s="94" t="inlineStr">
        <is>
          <t>수딩크림 증정기획</t>
        </is>
      </c>
      <c r="H5961" s="7" t="n">
        <v>190801</v>
      </c>
      <c r="I5961" s="7" t="n">
        <v>190801</v>
      </c>
      <c r="J5961" s="94" t="n"/>
      <c r="K5961" s="6" t="n">
        <v>56</v>
      </c>
      <c r="L5961" s="94" t="n">
        <v>190801</v>
      </c>
      <c r="M5961" s="94">
        <f>VLOOKUP($Q5961,매칭테이블!$F:$I,2,0)*K5961</f>
        <v/>
      </c>
      <c r="N5961" s="94">
        <f>M5961-M5961*VLOOKUP($Q5961,매칭테이블!$F:$I,3,0)</f>
        <v/>
      </c>
      <c r="O5961" s="94">
        <f>VLOOKUP($Q5961,매칭테이블!$F:$I,4,0)*K5961</f>
        <v/>
      </c>
      <c r="P5961" s="148">
        <f>M5961/1.1</f>
        <v/>
      </c>
      <c r="Q5961" s="94">
        <f>F5961&amp;E5961&amp;G5961&amp;L5961</f>
        <v/>
      </c>
    </row>
    <row r="5962">
      <c r="A5962" s="94" t="n"/>
      <c r="B5962" s="128" t="n">
        <v>43954</v>
      </c>
      <c r="C5962" s="94">
        <f>TEXT(B5962,"aaa")</f>
        <v/>
      </c>
      <c r="D5962" s="94" t="n"/>
      <c r="E5962" s="94" t="inlineStr">
        <is>
          <t>수딩크림</t>
        </is>
      </c>
      <c r="F5962" s="94" t="inlineStr">
        <is>
          <t>랄라블라</t>
        </is>
      </c>
      <c r="G5962" s="94" t="inlineStr">
        <is>
          <t>수딩크림 100ml</t>
        </is>
      </c>
      <c r="H5962" s="7" t="n">
        <v>190801</v>
      </c>
      <c r="I5962" s="7" t="n">
        <v>190801</v>
      </c>
      <c r="J5962" s="94" t="n"/>
      <c r="K5962" s="94" t="n">
        <v>15</v>
      </c>
      <c r="L5962" s="94" t="n">
        <v>190801</v>
      </c>
      <c r="M5962" s="94">
        <f>VLOOKUP($Q5962,매칭테이블!$F:$I,2,0)*K5962</f>
        <v/>
      </c>
      <c r="N5962" s="94">
        <f>M5962-M5962*VLOOKUP($Q5962,매칭테이블!$F:$I,3,0)</f>
        <v/>
      </c>
      <c r="O5962" s="94">
        <f>VLOOKUP($Q5962,매칭테이블!$F:$I,4,0)*K5962</f>
        <v/>
      </c>
      <c r="P5962" s="148">
        <f>M5962/1.1</f>
        <v/>
      </c>
      <c r="Q5962" s="94">
        <f>F5962&amp;E5962&amp;G5962&amp;L5962</f>
        <v/>
      </c>
    </row>
    <row r="5963">
      <c r="A5963" s="94" t="n"/>
      <c r="B5963" s="128" t="n">
        <v>43954</v>
      </c>
      <c r="C5963" s="94">
        <f>TEXT(B5963,"aaa")</f>
        <v/>
      </c>
      <c r="D5963" s="94" t="n"/>
      <c r="E5963" s="94" t="inlineStr">
        <is>
          <t>앰플 기획세트</t>
        </is>
      </c>
      <c r="F5963" s="94" t="inlineStr">
        <is>
          <t>랄라블라</t>
        </is>
      </c>
      <c r="G5963" s="94" t="inlineStr">
        <is>
          <t>앰플 기획세트</t>
        </is>
      </c>
      <c r="H5963" s="7" t="n">
        <v>190801</v>
      </c>
      <c r="I5963" s="7" t="n">
        <v>190801</v>
      </c>
      <c r="J5963" s="94" t="n"/>
      <c r="K5963" s="94" t="n">
        <v>107</v>
      </c>
      <c r="L5963" s="94" t="n">
        <v>190801</v>
      </c>
      <c r="M5963" s="94">
        <f>VLOOKUP($Q5963,매칭테이블!$F:$I,2,0)*K5963</f>
        <v/>
      </c>
      <c r="N5963" s="94">
        <f>M5963-M5963*VLOOKUP($Q5963,매칭테이블!$F:$I,3,0)</f>
        <v/>
      </c>
      <c r="O5963" s="94">
        <f>VLOOKUP($Q5963,매칭테이블!$F:$I,4,0)*K5963</f>
        <v/>
      </c>
      <c r="P5963" s="148">
        <f>M5963/1.1</f>
        <v/>
      </c>
      <c r="Q5963" s="94">
        <f>F5963&amp;E5963&amp;G5963&amp;L5963</f>
        <v/>
      </c>
    </row>
    <row r="5964">
      <c r="A5964" s="94" t="n"/>
      <c r="B5964" s="128" t="n">
        <v>43954</v>
      </c>
      <c r="C5964" s="94">
        <f>TEXT(B5964,"aaa")</f>
        <v/>
      </c>
      <c r="D5964" s="94" t="n"/>
      <c r="E5964" s="94" t="inlineStr">
        <is>
          <t>클렌징폼 기획세트</t>
        </is>
      </c>
      <c r="F5964" s="94" t="inlineStr">
        <is>
          <t>랄라블라</t>
        </is>
      </c>
      <c r="G5964" s="94" t="inlineStr">
        <is>
          <t>클렌징폼 기획세트</t>
        </is>
      </c>
      <c r="H5964" s="7" t="n">
        <v>190801</v>
      </c>
      <c r="I5964" s="7" t="n">
        <v>190801</v>
      </c>
      <c r="J5964" s="94" t="n"/>
      <c r="K5964" s="94" t="n">
        <v>88</v>
      </c>
      <c r="L5964" s="94" t="n">
        <v>190801</v>
      </c>
      <c r="M5964" s="94">
        <f>VLOOKUP($Q5964,매칭테이블!$F:$I,2,0)*K5964</f>
        <v/>
      </c>
      <c r="N5964" s="94">
        <f>M5964-M5964*VLOOKUP($Q5964,매칭테이블!$F:$I,3,0)</f>
        <v/>
      </c>
      <c r="O5964" s="94">
        <f>VLOOKUP($Q5964,매칭테이블!$F:$I,4,0)*K5964</f>
        <v/>
      </c>
      <c r="P5964" s="148">
        <f>M5964/1.1</f>
        <v/>
      </c>
      <c r="Q5964" s="94">
        <f>F5964&amp;E5964&amp;G5964&amp;L5964</f>
        <v/>
      </c>
    </row>
    <row r="5965">
      <c r="A5965" s="94" t="n"/>
      <c r="B5965" s="128" t="n">
        <v>43954</v>
      </c>
      <c r="C5965" s="94">
        <f>TEXT(B5965,"aaa")</f>
        <v/>
      </c>
      <c r="D5965" s="94" t="n"/>
      <c r="E5965" s="94" t="inlineStr">
        <is>
          <t>토너 기획세트</t>
        </is>
      </c>
      <c r="F5965" s="94" t="inlineStr">
        <is>
          <t>랄라블라</t>
        </is>
      </c>
      <c r="G5965" s="94" t="inlineStr">
        <is>
          <t>토너 기획세트</t>
        </is>
      </c>
      <c r="H5965" s="7" t="n">
        <v>190801</v>
      </c>
      <c r="I5965" s="7" t="n">
        <v>190801</v>
      </c>
      <c r="J5965" s="94" t="n"/>
      <c r="K5965" s="94" t="n">
        <v>22</v>
      </c>
      <c r="L5965" s="94" t="n">
        <v>190801</v>
      </c>
      <c r="M5965" s="94">
        <f>VLOOKUP($Q5965,매칭테이블!$F:$I,2,0)*K5965</f>
        <v/>
      </c>
      <c r="N5965" s="94">
        <f>M5965-M5965*VLOOKUP($Q5965,매칭테이블!$F:$I,3,0)</f>
        <v/>
      </c>
      <c r="O5965" s="94">
        <f>VLOOKUP($Q5965,매칭테이블!$F:$I,4,0)*K5965</f>
        <v/>
      </c>
      <c r="P5965" s="148">
        <f>M5965/1.1</f>
        <v/>
      </c>
      <c r="Q5965" s="94">
        <f>F5965&amp;E5965&amp;G5965&amp;L5965</f>
        <v/>
      </c>
    </row>
    <row r="5966">
      <c r="A5966" s="94" t="n"/>
      <c r="B5966" s="128" t="n">
        <v>43954</v>
      </c>
      <c r="C5966" s="94">
        <f>TEXT(B5966,"aaa")</f>
        <v/>
      </c>
      <c r="D5966" s="94" t="n"/>
      <c r="E5966" s="94" t="inlineStr">
        <is>
          <t>머드크림마스크</t>
        </is>
      </c>
      <c r="F5966" s="94" t="inlineStr">
        <is>
          <t>랄라블라</t>
        </is>
      </c>
      <c r="G5966" s="94" t="inlineStr">
        <is>
          <t>머드크림마스크 100ml</t>
        </is>
      </c>
      <c r="H5966" s="7" t="n">
        <v>190801</v>
      </c>
      <c r="I5966" s="7" t="n">
        <v>190801</v>
      </c>
      <c r="J5966" s="94" t="n"/>
      <c r="K5966" s="94" t="n">
        <v>3</v>
      </c>
      <c r="L5966" s="94" t="n">
        <v>190801</v>
      </c>
      <c r="M5966" s="94">
        <f>VLOOKUP($Q5966,매칭테이블!$F:$I,2,0)*K5966</f>
        <v/>
      </c>
      <c r="N5966" s="94">
        <f>M5966-M5966*VLOOKUP($Q5966,매칭테이블!$F:$I,3,0)</f>
        <v/>
      </c>
      <c r="O5966" s="94">
        <f>VLOOKUP($Q5966,매칭테이블!$F:$I,4,0)*K5966</f>
        <v/>
      </c>
      <c r="P5966" s="148">
        <f>M5966/1.1</f>
        <v/>
      </c>
      <c r="Q5966" s="94">
        <f>F5966&amp;E5966&amp;G5966&amp;L5966</f>
        <v/>
      </c>
    </row>
    <row r="5967">
      <c r="A5967" s="94" t="n"/>
      <c r="B5967" s="128" t="n">
        <v>43954</v>
      </c>
      <c r="C5967" s="94">
        <f>TEXT(B5967,"aaa")</f>
        <v/>
      </c>
      <c r="D5967" s="94" t="n"/>
      <c r="E5967" s="94" t="inlineStr">
        <is>
          <t>클렌징폼</t>
        </is>
      </c>
      <c r="F5967" s="94" t="inlineStr">
        <is>
          <t>랄라블라</t>
        </is>
      </c>
      <c r="G5967" s="94" t="inlineStr">
        <is>
          <t>클렌징폼 120ml</t>
        </is>
      </c>
      <c r="H5967" s="7" t="n">
        <v>190801</v>
      </c>
      <c r="I5967" s="7" t="n">
        <v>190801</v>
      </c>
      <c r="J5967" s="94" t="n"/>
      <c r="K5967" s="6" t="n">
        <v>4</v>
      </c>
      <c r="L5967" s="7" t="n">
        <v>190801</v>
      </c>
      <c r="M5967" s="94">
        <f>VLOOKUP($Q5967,매칭테이블!$F:$I,2,0)*K5967</f>
        <v/>
      </c>
      <c r="N5967" s="94">
        <f>M5967-M5967*VLOOKUP($Q5967,매칭테이블!$F:$I,3,0)</f>
        <v/>
      </c>
      <c r="O5967" s="94">
        <f>VLOOKUP($Q5967,매칭테이블!$F:$I,4,0)*K5967</f>
        <v/>
      </c>
      <c r="P5967" s="148">
        <f>M5967/1.1</f>
        <v/>
      </c>
      <c r="Q5967" s="94">
        <f>F5967&amp;E5967&amp;G5967&amp;L5967</f>
        <v/>
      </c>
    </row>
    <row r="5968">
      <c r="A5968" s="94" t="n"/>
      <c r="B5968" s="128" t="n">
        <v>43954</v>
      </c>
      <c r="C5968" s="94">
        <f>TEXT(B5968,"aaa")</f>
        <v/>
      </c>
      <c r="D5968" s="94" t="n"/>
      <c r="E5968" s="94" t="inlineStr">
        <is>
          <t>토너 증정기획</t>
        </is>
      </c>
      <c r="F5968" s="94" t="inlineStr">
        <is>
          <t>랄라블라</t>
        </is>
      </c>
      <c r="G5968" s="94" t="inlineStr">
        <is>
          <t>토너 증정기획</t>
        </is>
      </c>
      <c r="H5968" s="7" t="n">
        <v>190801</v>
      </c>
      <c r="I5968" s="7" t="n">
        <v>190801</v>
      </c>
      <c r="J5968" s="94" t="n"/>
      <c r="K5968" s="6" t="n">
        <v>473</v>
      </c>
      <c r="L5968" s="7" t="n">
        <v>190801</v>
      </c>
      <c r="M5968" s="94">
        <f>VLOOKUP($Q5968,매칭테이블!$F:$I,2,0)*K5968</f>
        <v/>
      </c>
      <c r="N5968" s="94">
        <f>M5968-M5968*VLOOKUP($Q5968,매칭테이블!$F:$I,3,0)</f>
        <v/>
      </c>
      <c r="O5968" s="94">
        <f>VLOOKUP($Q5968,매칭테이블!$F:$I,4,0)*K5968</f>
        <v/>
      </c>
      <c r="P5968" s="148">
        <f>M5968/1.1</f>
        <v/>
      </c>
      <c r="Q5968" s="94">
        <f>F5968&amp;E5968&amp;G5968&amp;L5968</f>
        <v/>
      </c>
    </row>
    <row r="5969">
      <c r="A5969" s="94" t="n"/>
      <c r="B5969" s="128" t="n">
        <v>43955</v>
      </c>
      <c r="C5969" s="94">
        <f>TEXT(B5969,"aaa")</f>
        <v/>
      </c>
      <c r="D5969" s="94" t="n"/>
      <c r="E5969" s="6" t="inlineStr">
        <is>
          <t>토너</t>
        </is>
      </c>
      <c r="F5969" s="5" t="inlineStr">
        <is>
          <t>W컨셉</t>
        </is>
      </c>
      <c r="G5969" s="5" t="inlineStr">
        <is>
          <t>250ml</t>
        </is>
      </c>
      <c r="H5969" s="7" t="n">
        <v>190801</v>
      </c>
      <c r="I5969" s="7" t="n">
        <v>190801</v>
      </c>
      <c r="J5969" s="94" t="n"/>
      <c r="K5969" s="6" t="n">
        <v>4</v>
      </c>
      <c r="L5969" s="7" t="n">
        <v>190801</v>
      </c>
      <c r="M5969" s="94">
        <f>VLOOKUP($Q5969,매칭테이블!$F:$I,2,0)*K5969</f>
        <v/>
      </c>
      <c r="N5969" s="94">
        <f>M5969-M5969*VLOOKUP($Q5969,매칭테이블!$F:$I,3,0)</f>
        <v/>
      </c>
      <c r="O5969" s="94">
        <f>VLOOKUP($Q5969,매칭테이블!$F:$I,4,0)*K5969</f>
        <v/>
      </c>
      <c r="P5969" s="148">
        <f>M5969/1.1</f>
        <v/>
      </c>
      <c r="Q5969" s="94">
        <f>F5969&amp;E5969&amp;G5969&amp;L5969</f>
        <v/>
      </c>
    </row>
    <row r="5970">
      <c r="A5970" s="94" t="n"/>
      <c r="B5970" s="128" t="n">
        <v>43955</v>
      </c>
      <c r="C5970" s="94">
        <f>TEXT(B5970,"aaa")</f>
        <v/>
      </c>
      <c r="D5970" s="94" t="n"/>
      <c r="E5970" s="6" t="inlineStr">
        <is>
          <t>토너</t>
        </is>
      </c>
      <c r="F5970" s="5" t="inlineStr">
        <is>
          <t>W컨셉</t>
        </is>
      </c>
      <c r="G5970" s="5" t="inlineStr">
        <is>
          <t>250ml 2set</t>
        </is>
      </c>
      <c r="H5970" s="7" t="n">
        <v>190801</v>
      </c>
      <c r="I5970" s="7" t="n">
        <v>190801</v>
      </c>
      <c r="J5970" s="94" t="n"/>
      <c r="K5970" s="6" t="n">
        <v>38</v>
      </c>
      <c r="L5970" s="7" t="n">
        <v>190801</v>
      </c>
      <c r="M5970" s="94">
        <f>VLOOKUP($Q5970,매칭테이블!$F:$I,2,0)*K5970</f>
        <v/>
      </c>
      <c r="N5970" s="94">
        <f>M5970-M5970*VLOOKUP($Q5970,매칭테이블!$F:$I,3,0)</f>
        <v/>
      </c>
      <c r="O5970" s="94">
        <f>VLOOKUP($Q5970,매칭테이블!$F:$I,4,0)*K5970</f>
        <v/>
      </c>
      <c r="P5970" s="148">
        <f>M5970/1.1</f>
        <v/>
      </c>
      <c r="Q5970" s="94">
        <f>F5970&amp;E5970&amp;G5970&amp;L5970</f>
        <v/>
      </c>
    </row>
    <row r="5971">
      <c r="A5971" s="94" t="n"/>
      <c r="B5971" s="128" t="n">
        <v>43955</v>
      </c>
      <c r="C5971" s="94">
        <f>TEXT(B5971,"aaa")</f>
        <v/>
      </c>
      <c r="D5971" s="94" t="n"/>
      <c r="E5971" s="94" t="inlineStr">
        <is>
          <t>토너</t>
        </is>
      </c>
      <c r="F5971" s="5" t="inlineStr">
        <is>
          <t>스타일쉐어</t>
        </is>
      </c>
      <c r="G5971" s="94" t="inlineStr">
        <is>
          <t>250ml</t>
        </is>
      </c>
      <c r="H5971" s="7" t="n">
        <v>190801</v>
      </c>
      <c r="I5971" s="7" t="n">
        <v>190801</v>
      </c>
      <c r="J5971" s="94" t="n"/>
      <c r="K5971" s="6" t="n">
        <v>3</v>
      </c>
      <c r="L5971" s="7" t="n">
        <v>190801</v>
      </c>
      <c r="M5971" s="94">
        <f>VLOOKUP($Q5971,매칭테이블!$F:$I,2,0)*K5971</f>
        <v/>
      </c>
      <c r="N5971" s="94">
        <f>M5971-M5971*VLOOKUP($Q5971,매칭테이블!$F:$I,3,0)</f>
        <v/>
      </c>
      <c r="O5971" s="94">
        <f>VLOOKUP($Q5971,매칭테이블!$F:$I,4,0)*K5971</f>
        <v/>
      </c>
      <c r="P5971" s="148">
        <f>M5971/1.1</f>
        <v/>
      </c>
      <c r="Q5971" s="94">
        <f>F5971&amp;E5971&amp;G5971&amp;L5971</f>
        <v/>
      </c>
    </row>
    <row r="5972">
      <c r="A5972" s="94" t="n"/>
      <c r="B5972" s="128" t="n">
        <v>43955</v>
      </c>
      <c r="C5972" s="94">
        <f>TEXT(B5972,"aaa")</f>
        <v/>
      </c>
      <c r="D5972" s="94" t="n"/>
      <c r="E5972" s="94" t="inlineStr">
        <is>
          <t>어성초진정패키지</t>
        </is>
      </c>
      <c r="F5972" s="94" t="inlineStr">
        <is>
          <t>카페24</t>
        </is>
      </c>
      <c r="G5972" s="94" t="inlineStr">
        <is>
          <t>어성초 진정패키지세트</t>
        </is>
      </c>
      <c r="H5972" s="7" t="n">
        <v>190801</v>
      </c>
      <c r="I5972" s="7" t="n">
        <v>190801</v>
      </c>
      <c r="J5972" s="94" t="n"/>
      <c r="K5972" s="6" t="n">
        <v>6</v>
      </c>
      <c r="L5972" s="94" t="n">
        <v>190801</v>
      </c>
      <c r="M5972" s="94">
        <f>VLOOKUP($Q5972,매칭테이블!$F:$I,2,0)*K5972</f>
        <v/>
      </c>
      <c r="N5972" s="94">
        <f>M5972-M5972*VLOOKUP($Q5972,매칭테이블!$F:$I,3,0)</f>
        <v/>
      </c>
      <c r="O5972" s="94">
        <f>VLOOKUP($Q5972,매칭테이블!$F:$I,4,0)*K5972</f>
        <v/>
      </c>
      <c r="P5972" s="148">
        <f>M5972/1.1</f>
        <v/>
      </c>
      <c r="Q5972" s="94">
        <f>F5972&amp;E5972&amp;G5972&amp;L5972</f>
        <v/>
      </c>
    </row>
    <row r="5973">
      <c r="A5973" s="94" t="n"/>
      <c r="B5973" s="128" t="n">
        <v>43955</v>
      </c>
      <c r="C5973" s="94">
        <f>TEXT(B5973,"aaa")</f>
        <v/>
      </c>
      <c r="D5973" s="94" t="n"/>
      <c r="E5973" s="94" t="inlineStr">
        <is>
          <t>머드크림마스크</t>
        </is>
      </c>
      <c r="F5973" s="94" t="inlineStr">
        <is>
          <t>카페24</t>
        </is>
      </c>
      <c r="G5973" s="94" t="inlineStr">
        <is>
          <t>머드크림마스크 100ml</t>
        </is>
      </c>
      <c r="H5973" s="7" t="n">
        <v>190801</v>
      </c>
      <c r="I5973" s="7" t="n">
        <v>190801</v>
      </c>
      <c r="J5973" s="94" t="n"/>
      <c r="K5973" s="6" t="n">
        <v>2</v>
      </c>
      <c r="L5973" s="94" t="n">
        <v>190801</v>
      </c>
      <c r="M5973" s="94">
        <f>VLOOKUP($Q5973,매칭테이블!$F:$I,2,0)*K5973</f>
        <v/>
      </c>
      <c r="N5973" s="94">
        <f>M5973-M5973*VLOOKUP($Q5973,매칭테이블!$F:$I,3,0)</f>
        <v/>
      </c>
      <c r="O5973" s="94">
        <f>VLOOKUP($Q5973,매칭테이블!$F:$I,4,0)*K5973</f>
        <v/>
      </c>
      <c r="P5973" s="148">
        <f>M5973/1.1</f>
        <v/>
      </c>
      <c r="Q5973" s="94">
        <f>F5973&amp;E5973&amp;G5973&amp;L5973</f>
        <v/>
      </c>
    </row>
    <row r="5974">
      <c r="A5974" s="94" t="n"/>
      <c r="B5974" s="128" t="n">
        <v>43955</v>
      </c>
      <c r="C5974" s="94">
        <f>TEXT(B5974,"aaa")</f>
        <v/>
      </c>
      <c r="D5974" s="94" t="n"/>
      <c r="E5974" s="94" t="inlineStr">
        <is>
          <t>마스크팩</t>
        </is>
      </c>
      <c r="F5974" s="94" t="inlineStr">
        <is>
          <t>카페24</t>
        </is>
      </c>
      <c r="G5974" s="94" t="inlineStr">
        <is>
          <t>마스크팩 1매</t>
        </is>
      </c>
      <c r="H5974" s="7" t="n">
        <v>190801</v>
      </c>
      <c r="I5974" s="7" t="n">
        <v>190801</v>
      </c>
      <c r="J5974" s="94" t="n"/>
      <c r="K5974" s="6" t="n">
        <v>3</v>
      </c>
      <c r="L5974" s="94" t="n">
        <v>190801</v>
      </c>
      <c r="M5974" s="94">
        <f>VLOOKUP($Q5974,매칭테이블!$F:$I,2,0)*K5974</f>
        <v/>
      </c>
      <c r="N5974" s="94">
        <f>M5974-M5974*VLOOKUP($Q5974,매칭테이블!$F:$I,3,0)</f>
        <v/>
      </c>
      <c r="O5974" s="94">
        <f>VLOOKUP($Q5974,매칭테이블!$F:$I,4,0)*K5974</f>
        <v/>
      </c>
      <c r="P5974" s="148">
        <f>M5974/1.1</f>
        <v/>
      </c>
      <c r="Q5974" s="94">
        <f>F5974&amp;E5974&amp;G5974&amp;L5974</f>
        <v/>
      </c>
    </row>
    <row r="5975">
      <c r="A5975" s="94" t="n"/>
      <c r="B5975" s="128" t="n">
        <v>43955</v>
      </c>
      <c r="C5975" s="94">
        <f>TEXT(B5975,"aaa")</f>
        <v/>
      </c>
      <c r="D5975" s="94" t="n"/>
      <c r="E5975" s="94" t="inlineStr">
        <is>
          <t>마스크팩</t>
        </is>
      </c>
      <c r="F5975" s="94" t="inlineStr">
        <is>
          <t>카페24</t>
        </is>
      </c>
      <c r="G5975" s="94" t="inlineStr">
        <is>
          <t>마스크팩 10매</t>
        </is>
      </c>
      <c r="H5975" s="7" t="n">
        <v>190801</v>
      </c>
      <c r="I5975" s="7" t="n">
        <v>190801</v>
      </c>
      <c r="J5975" s="94" t="n"/>
      <c r="K5975" s="6" t="n">
        <v>10</v>
      </c>
      <c r="L5975" s="94" t="n">
        <v>190801</v>
      </c>
      <c r="M5975" s="94">
        <f>VLOOKUP($Q5975,매칭테이블!$F:$I,2,0)*K5975</f>
        <v/>
      </c>
      <c r="N5975" s="94">
        <f>M5975-M5975*VLOOKUP($Q5975,매칭테이블!$F:$I,3,0)</f>
        <v/>
      </c>
      <c r="O5975" s="94">
        <f>VLOOKUP($Q5975,매칭테이블!$F:$I,4,0)*K5975</f>
        <v/>
      </c>
      <c r="P5975" s="148">
        <f>M5975/1.1</f>
        <v/>
      </c>
      <c r="Q5975" s="94">
        <f>F5975&amp;E5975&amp;G5975&amp;L5975</f>
        <v/>
      </c>
    </row>
    <row r="5976">
      <c r="A5976" s="94" t="n"/>
      <c r="B5976" s="128" t="n">
        <v>43955</v>
      </c>
      <c r="C5976" s="94">
        <f>TEXT(B5976,"aaa")</f>
        <v/>
      </c>
      <c r="D5976" s="94" t="n"/>
      <c r="E5976" s="6" t="inlineStr">
        <is>
          <t>토너</t>
        </is>
      </c>
      <c r="F5976" s="5" t="inlineStr">
        <is>
          <t>카페24</t>
        </is>
      </c>
      <c r="G5976" s="5" t="inlineStr">
        <is>
          <t>250ml</t>
        </is>
      </c>
      <c r="H5976" s="7" t="n">
        <v>190801</v>
      </c>
      <c r="I5976" s="7" t="n">
        <v>190801</v>
      </c>
      <c r="J5976" s="94" t="n"/>
      <c r="K5976" s="6" t="n">
        <v>49</v>
      </c>
      <c r="L5976" s="7" t="n">
        <v>190801</v>
      </c>
      <c r="M5976" s="94">
        <f>VLOOKUP($Q5976,매칭테이블!$F:$I,2,0)*K5976</f>
        <v/>
      </c>
      <c r="N5976" s="94">
        <f>M5976-M5976*VLOOKUP($Q5976,매칭테이블!$F:$I,3,0)</f>
        <v/>
      </c>
      <c r="O5976" s="94">
        <f>VLOOKUP($Q5976,매칭테이블!$F:$I,4,0)*K5976</f>
        <v/>
      </c>
      <c r="P5976" s="148">
        <f>M5976/1.1</f>
        <v/>
      </c>
      <c r="Q5976" s="94">
        <f>F5976&amp;E5976&amp;G5976&amp;L5976</f>
        <v/>
      </c>
    </row>
    <row r="5977">
      <c r="A5977" s="94" t="n"/>
      <c r="B5977" s="128" t="n">
        <v>43955</v>
      </c>
      <c r="C5977" s="94">
        <f>TEXT(B5977,"aaa")</f>
        <v/>
      </c>
      <c r="D5977" s="94" t="n"/>
      <c r="E5977" s="6" t="inlineStr">
        <is>
          <t>토너</t>
        </is>
      </c>
      <c r="F5977" s="5" t="inlineStr">
        <is>
          <t>카페24</t>
        </is>
      </c>
      <c r="G5977" s="5" t="inlineStr">
        <is>
          <t>250ml 2set</t>
        </is>
      </c>
      <c r="H5977" s="7" t="n">
        <v>190801</v>
      </c>
      <c r="I5977" s="7" t="n">
        <v>190801</v>
      </c>
      <c r="J5977" s="94" t="n"/>
      <c r="K5977" s="6" t="n">
        <v>46</v>
      </c>
      <c r="L5977" s="7" t="n">
        <v>190801</v>
      </c>
      <c r="M5977" s="94">
        <f>VLOOKUP($Q5977,매칭테이블!$F:$I,2,0)*K5977</f>
        <v/>
      </c>
      <c r="N5977" s="94">
        <f>M5977-M5977*VLOOKUP($Q5977,매칭테이블!$F:$I,3,0)</f>
        <v/>
      </c>
      <c r="O5977" s="94">
        <f>VLOOKUP($Q5977,매칭테이블!$F:$I,4,0)*K5977</f>
        <v/>
      </c>
      <c r="P5977" s="148">
        <f>M5977/1.1</f>
        <v/>
      </c>
      <c r="Q5977" s="94">
        <f>F5977&amp;E5977&amp;G5977&amp;L5977</f>
        <v/>
      </c>
    </row>
    <row r="5978">
      <c r="A5978" s="94" t="n"/>
      <c r="B5978" s="128" t="n">
        <v>43955</v>
      </c>
      <c r="C5978" s="94">
        <f>TEXT(B5978,"aaa")</f>
        <v/>
      </c>
      <c r="D5978" s="94" t="n"/>
      <c r="E5978" s="6" t="inlineStr">
        <is>
          <t>토너</t>
        </is>
      </c>
      <c r="F5978" s="5" t="inlineStr">
        <is>
          <t>카페24</t>
        </is>
      </c>
      <c r="G5978" s="5" t="inlineStr">
        <is>
          <t>500ml</t>
        </is>
      </c>
      <c r="H5978" s="7" t="n">
        <v>190801</v>
      </c>
      <c r="I5978" s="7" t="n">
        <v>190801</v>
      </c>
      <c r="J5978" s="94" t="n"/>
      <c r="K5978" s="6" t="n">
        <v>57</v>
      </c>
      <c r="L5978" s="7" t="n">
        <v>190801</v>
      </c>
      <c r="M5978" s="94">
        <f>VLOOKUP($Q5978,매칭테이블!$F:$I,2,0)*K5978</f>
        <v/>
      </c>
      <c r="N5978" s="94">
        <f>M5978-M5978*VLOOKUP($Q5978,매칭테이블!$F:$I,3,0)</f>
        <v/>
      </c>
      <c r="O5978" s="94">
        <f>VLOOKUP($Q5978,매칭테이블!$F:$I,4,0)*K5978</f>
        <v/>
      </c>
      <c r="P5978" s="148">
        <f>M5978/1.1</f>
        <v/>
      </c>
      <c r="Q5978" s="94">
        <f>F5978&amp;E5978&amp;G5978&amp;L5978</f>
        <v/>
      </c>
    </row>
    <row r="5979">
      <c r="A5979" s="94" t="n"/>
      <c r="B5979" s="128" t="n">
        <v>43955</v>
      </c>
      <c r="C5979" s="94">
        <f>TEXT(B5979,"aaa")</f>
        <v/>
      </c>
      <c r="D5979" s="94" t="n"/>
      <c r="E5979" s="6" t="inlineStr">
        <is>
          <t>토너</t>
        </is>
      </c>
      <c r="F5979" s="5" t="inlineStr">
        <is>
          <t>카페24</t>
        </is>
      </c>
      <c r="G5979" s="94" t="inlineStr">
        <is>
          <t>스킨팩 화장솜 60P</t>
        </is>
      </c>
      <c r="H5979" s="7" t="n">
        <v>190801</v>
      </c>
      <c r="I5979" s="7" t="n">
        <v>190801</v>
      </c>
      <c r="J5979" s="94" t="n"/>
      <c r="K5979" s="6" t="n">
        <v>53</v>
      </c>
      <c r="L5979" s="7" t="n">
        <v>190801</v>
      </c>
      <c r="M5979" s="94">
        <f>VLOOKUP($Q5979,매칭테이블!$F:$I,2,0)*K5979</f>
        <v/>
      </c>
      <c r="N5979" s="94">
        <f>M5979-M5979*VLOOKUP($Q5979,매칭테이블!$F:$I,3,0)</f>
        <v/>
      </c>
      <c r="O5979" s="94">
        <f>VLOOKUP($Q5979,매칭테이블!$F:$I,4,0)*K5979</f>
        <v/>
      </c>
      <c r="P5979" s="148">
        <f>M5979/1.1</f>
        <v/>
      </c>
      <c r="Q5979" s="94">
        <f>F5979&amp;E5979&amp;G5979&amp;L5979</f>
        <v/>
      </c>
    </row>
    <row r="5980">
      <c r="A5980" s="94" t="n"/>
      <c r="B5980" s="128" t="n">
        <v>43955</v>
      </c>
      <c r="C5980" s="94">
        <f>TEXT(B5980,"aaa")</f>
        <v/>
      </c>
      <c r="D5980" s="94" t="n"/>
      <c r="E5980" s="94" t="inlineStr">
        <is>
          <t>앰플</t>
        </is>
      </c>
      <c r="F5980" s="5" t="inlineStr">
        <is>
          <t>카페24</t>
        </is>
      </c>
      <c r="G5980" s="94" t="inlineStr">
        <is>
          <t>앰플 30ml</t>
        </is>
      </c>
      <c r="H5980" s="7" t="n">
        <v>190801</v>
      </c>
      <c r="I5980" s="7" t="n">
        <v>190801</v>
      </c>
      <c r="J5980" s="94" t="n"/>
      <c r="K5980" s="6" t="n">
        <v>15</v>
      </c>
      <c r="L5980" s="94" t="n">
        <v>190801</v>
      </c>
      <c r="M5980" s="94">
        <f>VLOOKUP($Q5980,매칭테이블!$F:$I,2,0)*K5980</f>
        <v/>
      </c>
      <c r="N5980" s="94">
        <f>M5980-M5980*VLOOKUP($Q5980,매칭테이블!$F:$I,3,0)</f>
        <v/>
      </c>
      <c r="O5980" s="94">
        <f>VLOOKUP($Q5980,매칭테이블!$F:$I,4,0)*K5980</f>
        <v/>
      </c>
      <c r="P5980" s="148">
        <f>M5980/1.1</f>
        <v/>
      </c>
      <c r="Q5980" s="94">
        <f>F5980&amp;E5980&amp;G5980&amp;L5980</f>
        <v/>
      </c>
    </row>
    <row r="5981">
      <c r="A5981" s="94" t="n"/>
      <c r="B5981" s="128" t="n">
        <v>43955</v>
      </c>
      <c r="C5981" s="94">
        <f>TEXT(B5981,"aaa")</f>
        <v/>
      </c>
      <c r="D5981" s="94" t="n"/>
      <c r="E5981" s="94" t="inlineStr">
        <is>
          <t>수딩크림</t>
        </is>
      </c>
      <c r="F5981" s="5" t="inlineStr">
        <is>
          <t>카페24</t>
        </is>
      </c>
      <c r="G5981" s="94" t="inlineStr">
        <is>
          <t>수딩크림 100ml</t>
        </is>
      </c>
      <c r="H5981" s="7" t="n">
        <v>190801</v>
      </c>
      <c r="I5981" s="7" t="n">
        <v>190801</v>
      </c>
      <c r="J5981" s="94" t="n"/>
      <c r="K5981" s="6" t="n">
        <v>4</v>
      </c>
      <c r="L5981" s="94" t="n">
        <v>190801</v>
      </c>
      <c r="M5981" s="94">
        <f>VLOOKUP($Q5981,매칭테이블!$F:$I,2,0)*K5981</f>
        <v/>
      </c>
      <c r="N5981" s="94">
        <f>M5981-M5981*VLOOKUP($Q5981,매칭테이블!$F:$I,3,0)</f>
        <v/>
      </c>
      <c r="O5981" s="94">
        <f>VLOOKUP($Q5981,매칭테이블!$F:$I,4,0)*K5981</f>
        <v/>
      </c>
      <c r="P5981" s="148">
        <f>M5981/1.1</f>
        <v/>
      </c>
      <c r="Q5981" s="94">
        <f>F5981&amp;E5981&amp;G5981&amp;L5981</f>
        <v/>
      </c>
    </row>
    <row r="5982">
      <c r="A5982" s="94" t="n"/>
      <c r="B5982" s="128" t="n">
        <v>43955</v>
      </c>
      <c r="C5982" s="94">
        <f>TEXT(B5982,"aaa")</f>
        <v/>
      </c>
      <c r="D5982" s="94" t="n"/>
      <c r="E5982" s="94" t="inlineStr">
        <is>
          <t>클렌징폼</t>
        </is>
      </c>
      <c r="F5982" s="94" t="inlineStr">
        <is>
          <t>카페24</t>
        </is>
      </c>
      <c r="G5982" s="94" t="inlineStr">
        <is>
          <t>클렌징폼 120ml</t>
        </is>
      </c>
      <c r="H5982" s="7" t="n">
        <v>190801</v>
      </c>
      <c r="I5982" s="7" t="n">
        <v>190801</v>
      </c>
      <c r="J5982" s="94" t="n"/>
      <c r="K5982" s="6" t="n">
        <v>4</v>
      </c>
      <c r="L5982" s="92" t="n">
        <v>190801</v>
      </c>
      <c r="M5982" s="94">
        <f>VLOOKUP($Q5982,매칭테이블!$F:$I,2,0)*K5982</f>
        <v/>
      </c>
      <c r="N5982" s="94">
        <f>M5982-M5982*VLOOKUP($Q5982,매칭테이블!$F:$I,3,0)</f>
        <v/>
      </c>
      <c r="O5982" s="94">
        <f>VLOOKUP($Q5982,매칭테이블!$F:$I,4,0)*K5982</f>
        <v/>
      </c>
      <c r="P5982" s="148">
        <f>M5982/1.1</f>
        <v/>
      </c>
      <c r="Q5982" s="94">
        <f>F5982&amp;E5982&amp;G5982&amp;L5982</f>
        <v/>
      </c>
    </row>
    <row r="5983">
      <c r="A5983" s="94" t="n"/>
      <c r="B5983" s="128" t="n">
        <v>43955</v>
      </c>
      <c r="C5983" s="94">
        <f>TEXT(B5983,"aaa")</f>
        <v/>
      </c>
      <c r="D5983" s="94" t="n"/>
      <c r="E5983" s="94" t="inlineStr">
        <is>
          <t>클렌징폼</t>
        </is>
      </c>
      <c r="F5983" s="94" t="inlineStr">
        <is>
          <t>카페24</t>
        </is>
      </c>
      <c r="G5983" s="94" t="inlineStr">
        <is>
          <t>클렌징폼 120ml 2set</t>
        </is>
      </c>
      <c r="H5983" s="7" t="n">
        <v>190801</v>
      </c>
      <c r="I5983" s="7" t="n">
        <v>190801</v>
      </c>
      <c r="J5983" s="94" t="n"/>
      <c r="K5983" s="6" t="n">
        <v>1</v>
      </c>
      <c r="L5983" s="92" t="n">
        <v>190801</v>
      </c>
      <c r="M5983" s="94">
        <f>VLOOKUP($Q5983,매칭테이블!$F:$I,2,0)*K5983</f>
        <v/>
      </c>
      <c r="N5983" s="94">
        <f>M5983-M5983*VLOOKUP($Q5983,매칭테이블!$F:$I,3,0)</f>
        <v/>
      </c>
      <c r="O5983" s="94">
        <f>VLOOKUP($Q5983,매칭테이블!$F:$I,4,0)*K5983</f>
        <v/>
      </c>
      <c r="P5983" s="148">
        <f>M5983/1.1</f>
        <v/>
      </c>
      <c r="Q5983" s="94">
        <f>F5983&amp;E5983&amp;G5983&amp;L5983</f>
        <v/>
      </c>
    </row>
    <row r="5984">
      <c r="A5984" s="94" t="n"/>
      <c r="B5984" s="128" t="n">
        <v>43955</v>
      </c>
      <c r="C5984" s="94">
        <f>TEXT(B5984,"aaa")</f>
        <v/>
      </c>
      <c r="D5984" s="94" t="n"/>
      <c r="E5984" s="94" t="inlineStr">
        <is>
          <t>클렌징폼</t>
        </is>
      </c>
      <c r="F5984" s="94" t="inlineStr">
        <is>
          <t>카페24</t>
        </is>
      </c>
      <c r="G5984" s="94" t="inlineStr">
        <is>
          <t>클렌징폼 120ml 3set</t>
        </is>
      </c>
      <c r="H5984" s="7" t="n">
        <v>190801</v>
      </c>
      <c r="I5984" s="7" t="n">
        <v>190801</v>
      </c>
      <c r="J5984" s="94" t="n"/>
      <c r="K5984" s="6" t="n">
        <v>1</v>
      </c>
      <c r="L5984" s="92" t="n">
        <v>190801</v>
      </c>
      <c r="M5984" s="94">
        <f>VLOOKUP($Q5984,매칭테이블!$F:$I,2,0)*K5984</f>
        <v/>
      </c>
      <c r="N5984" s="94">
        <f>M5984-M5984*VLOOKUP($Q5984,매칭테이블!$F:$I,3,0)</f>
        <v/>
      </c>
      <c r="O5984" s="94">
        <f>VLOOKUP($Q5984,매칭테이블!$F:$I,4,0)*K5984</f>
        <v/>
      </c>
      <c r="P5984" s="148">
        <f>M5984/1.1</f>
        <v/>
      </c>
      <c r="Q5984" s="94">
        <f>F5984&amp;E5984&amp;G5984&amp;L5984</f>
        <v/>
      </c>
    </row>
    <row r="5985">
      <c r="A5985" s="94" t="n"/>
      <c r="B5985" s="128" t="n">
        <v>43955</v>
      </c>
      <c r="C5985" s="94">
        <f>TEXT(B5985,"aaa")</f>
        <v/>
      </c>
      <c r="D5985" s="94" t="n"/>
      <c r="E5985" s="6" t="inlineStr">
        <is>
          <t>토너</t>
        </is>
      </c>
      <c r="F5985" s="94" t="inlineStr">
        <is>
          <t>큐텐</t>
        </is>
      </c>
      <c r="G5985" s="5" t="inlineStr">
        <is>
          <t>250ml</t>
        </is>
      </c>
      <c r="H5985" s="7" t="n">
        <v>190801</v>
      </c>
      <c r="I5985" s="7" t="n">
        <v>190801</v>
      </c>
      <c r="J5985" s="94" t="n"/>
      <c r="K5985" s="6" t="n">
        <v>121</v>
      </c>
      <c r="L5985" s="94" t="n">
        <v>190801</v>
      </c>
      <c r="M5985" s="94">
        <f>VLOOKUP($Q5985,매칭테이블!$F:$I,2,0)*K5985</f>
        <v/>
      </c>
      <c r="N5985" s="94">
        <f>M5985-M5985*VLOOKUP($Q5985,매칭테이블!$F:$I,3,0)</f>
        <v/>
      </c>
      <c r="O5985" s="94">
        <f>VLOOKUP($Q5985,매칭테이블!$F:$I,4,0)*K5985</f>
        <v/>
      </c>
      <c r="P5985" s="148">
        <f>M5985/1.1</f>
        <v/>
      </c>
      <c r="Q5985" s="94">
        <f>F5985&amp;E5985&amp;G5985&amp;L5985</f>
        <v/>
      </c>
    </row>
    <row r="5986">
      <c r="A5986" s="94" t="n"/>
      <c r="B5986" s="128" t="n">
        <v>43955</v>
      </c>
      <c r="C5986" s="94">
        <f>TEXT(B5986,"aaa")</f>
        <v/>
      </c>
      <c r="D5986" s="94" t="n"/>
      <c r="E5986" s="6" t="inlineStr">
        <is>
          <t>토너</t>
        </is>
      </c>
      <c r="F5986" s="94" t="inlineStr">
        <is>
          <t>큐텐</t>
        </is>
      </c>
      <c r="G5986" s="5" t="inlineStr">
        <is>
          <t>250ml 2set</t>
        </is>
      </c>
      <c r="H5986" s="7" t="n">
        <v>190801</v>
      </c>
      <c r="I5986" s="7" t="n">
        <v>190801</v>
      </c>
      <c r="J5986" s="94" t="n"/>
      <c r="K5986" s="6" t="n">
        <v>42</v>
      </c>
      <c r="L5986" s="94" t="n">
        <v>190801</v>
      </c>
      <c r="M5986" s="94">
        <f>VLOOKUP($Q5986,매칭테이블!$F:$I,2,0)*K5986</f>
        <v/>
      </c>
      <c r="N5986" s="94">
        <f>M5986-M5986*VLOOKUP($Q5986,매칭테이블!$F:$I,3,0)</f>
        <v/>
      </c>
      <c r="O5986" s="94">
        <f>VLOOKUP($Q5986,매칭테이블!$F:$I,4,0)*K5986</f>
        <v/>
      </c>
      <c r="P5986" s="148">
        <f>M5986/1.1</f>
        <v/>
      </c>
      <c r="Q5986" s="94">
        <f>F5986&amp;E5986&amp;G5986&amp;L5986</f>
        <v/>
      </c>
    </row>
    <row r="5987">
      <c r="A5987" s="94" t="n"/>
      <c r="B5987" s="128" t="n">
        <v>43955</v>
      </c>
      <c r="C5987" s="94">
        <f>TEXT(B5987,"aaa")</f>
        <v/>
      </c>
      <c r="D5987" s="94" t="n"/>
      <c r="E5987" s="94" t="inlineStr">
        <is>
          <t>앰플</t>
        </is>
      </c>
      <c r="F5987" s="94" t="inlineStr">
        <is>
          <t>큐텐</t>
        </is>
      </c>
      <c r="G5987" s="94" t="inlineStr">
        <is>
          <t>앰플 30ml</t>
        </is>
      </c>
      <c r="H5987" s="7" t="n">
        <v>190801</v>
      </c>
      <c r="I5987" s="7" t="n">
        <v>190801</v>
      </c>
      <c r="J5987" s="94" t="n"/>
      <c r="K5987" s="6" t="n">
        <v>10</v>
      </c>
      <c r="L5987" s="94" t="n">
        <v>190801</v>
      </c>
      <c r="M5987" s="94">
        <f>VLOOKUP($Q5987,매칭테이블!$F:$I,2,0)*K5987</f>
        <v/>
      </c>
      <c r="N5987" s="94">
        <f>M5987-M5987*VLOOKUP($Q5987,매칭테이블!$F:$I,3,0)</f>
        <v/>
      </c>
      <c r="O5987" s="94">
        <f>VLOOKUP($Q5987,매칭테이블!$F:$I,4,0)*K5987</f>
        <v/>
      </c>
      <c r="P5987" s="148">
        <f>M5987/1.1</f>
        <v/>
      </c>
      <c r="Q5987" s="94">
        <f>F5987&amp;E5987&amp;G5987&amp;L5987</f>
        <v/>
      </c>
    </row>
    <row r="5988">
      <c r="A5988" s="94" t="n"/>
      <c r="B5988" s="128" t="n">
        <v>43955</v>
      </c>
      <c r="C5988" s="94">
        <f>TEXT(B5988,"aaa")</f>
        <v/>
      </c>
      <c r="D5988" s="94" t="n"/>
      <c r="E5988" s="94" t="inlineStr">
        <is>
          <t>클렌징폼</t>
        </is>
      </c>
      <c r="F5988" s="94" t="inlineStr">
        <is>
          <t>큐텐</t>
        </is>
      </c>
      <c r="G5988" s="94" t="inlineStr">
        <is>
          <t>클렌징폼 120ml</t>
        </is>
      </c>
      <c r="H5988" s="7" t="n">
        <v>190801</v>
      </c>
      <c r="I5988" s="7" t="n">
        <v>190801</v>
      </c>
      <c r="J5988" s="94" t="n"/>
      <c r="K5988" s="6" t="n">
        <v>2</v>
      </c>
      <c r="L5988" s="94" t="n">
        <v>190801</v>
      </c>
      <c r="M5988" s="94">
        <f>VLOOKUP($Q5988,매칭테이블!$F:$I,2,0)*K5988</f>
        <v/>
      </c>
      <c r="N5988" s="94">
        <f>M5988-M5988*VLOOKUP($Q5988,매칭테이블!$F:$I,3,0)</f>
        <v/>
      </c>
      <c r="O5988" s="94">
        <f>VLOOKUP($Q5988,매칭테이블!$F:$I,4,0)*K5988</f>
        <v/>
      </c>
      <c r="P5988" s="148">
        <f>M5988/1.1</f>
        <v/>
      </c>
      <c r="Q5988" s="94">
        <f>F5988&amp;E5988&amp;G5988&amp;L5988</f>
        <v/>
      </c>
    </row>
    <row r="5989">
      <c r="A5989" s="94" t="n"/>
      <c r="B5989" s="128" t="n">
        <v>43955</v>
      </c>
      <c r="C5989" s="94">
        <f>TEXT(B5989,"aaa")</f>
        <v/>
      </c>
      <c r="D5989" s="94" t="n"/>
      <c r="E5989" s="94" t="inlineStr">
        <is>
          <t>마스크팩</t>
        </is>
      </c>
      <c r="F5989" s="94" t="inlineStr">
        <is>
          <t>큐텐</t>
        </is>
      </c>
      <c r="G5989" s="94" t="inlineStr">
        <is>
          <t>마스크팩 10매</t>
        </is>
      </c>
      <c r="H5989" s="7" t="n">
        <v>190801</v>
      </c>
      <c r="I5989" s="7" t="n">
        <v>190801</v>
      </c>
      <c r="J5989" s="94" t="n"/>
      <c r="K5989" s="6" t="n">
        <v>1</v>
      </c>
      <c r="L5989" s="94" t="n">
        <v>190801</v>
      </c>
      <c r="M5989" s="94">
        <f>VLOOKUP($Q5989,매칭테이블!$F:$I,2,0)*K5989</f>
        <v/>
      </c>
      <c r="N5989" s="94">
        <f>M5989-M5989*VLOOKUP($Q5989,매칭테이블!$F:$I,3,0)</f>
        <v/>
      </c>
      <c r="O5989" s="94">
        <f>VLOOKUP($Q5989,매칭테이블!$F:$I,4,0)*K5989</f>
        <v/>
      </c>
      <c r="P5989" s="148">
        <f>M5989/1.1</f>
        <v/>
      </c>
      <c r="Q5989" s="94">
        <f>F5989&amp;E5989&amp;G5989&amp;L5989</f>
        <v/>
      </c>
    </row>
    <row r="5990">
      <c r="A5990" s="94" t="n"/>
      <c r="B5990" s="128" t="n">
        <v>43955</v>
      </c>
      <c r="C5990" s="94">
        <f>TEXT(B5990,"aaa")</f>
        <v/>
      </c>
      <c r="D5990" s="94" t="n"/>
      <c r="E5990" s="94" t="inlineStr">
        <is>
          <t>머드크림마스크</t>
        </is>
      </c>
      <c r="F5990" s="94" t="inlineStr">
        <is>
          <t>큐텐</t>
        </is>
      </c>
      <c r="G5990" s="94" t="inlineStr">
        <is>
          <t>머드크림마스크 100ml</t>
        </is>
      </c>
      <c r="H5990" s="7" t="n">
        <v>190801</v>
      </c>
      <c r="I5990" s="7" t="n">
        <v>190801</v>
      </c>
      <c r="J5990" s="94" t="n"/>
      <c r="K5990" s="6" t="n">
        <v>1</v>
      </c>
      <c r="L5990" s="94" t="n">
        <v>190801</v>
      </c>
      <c r="M5990" s="94">
        <f>VLOOKUP($Q5990,매칭테이블!$F:$I,2,0)*K5990</f>
        <v/>
      </c>
      <c r="N5990" s="94">
        <f>M5990-M5990*VLOOKUP($Q5990,매칭테이블!$F:$I,3,0)</f>
        <v/>
      </c>
      <c r="O5990" s="94">
        <f>VLOOKUP($Q5990,매칭테이블!$F:$I,4,0)*K5990</f>
        <v/>
      </c>
      <c r="P5990" s="148">
        <f>M5990/1.1</f>
        <v/>
      </c>
      <c r="Q5990" s="94">
        <f>F5990&amp;E5990&amp;G5990&amp;L5990</f>
        <v/>
      </c>
    </row>
    <row r="5991">
      <c r="A5991" s="94" t="n"/>
      <c r="B5991" s="128" t="n">
        <v>43956</v>
      </c>
      <c r="C5991" s="94">
        <f>TEXT(B5991,"aaa")</f>
        <v/>
      </c>
      <c r="D5991" s="94" t="n"/>
      <c r="E5991" s="94" t="inlineStr">
        <is>
          <t>토너</t>
        </is>
      </c>
      <c r="F5991" s="5" t="inlineStr">
        <is>
          <t>스타일쉐어</t>
        </is>
      </c>
      <c r="G5991" s="94" t="inlineStr">
        <is>
          <t>250ml</t>
        </is>
      </c>
      <c r="H5991" s="7" t="n">
        <v>190801</v>
      </c>
      <c r="I5991" s="7" t="n">
        <v>190801</v>
      </c>
      <c r="J5991" s="94" t="n"/>
      <c r="K5991" s="6" t="n">
        <v>5</v>
      </c>
      <c r="L5991" s="7" t="n">
        <v>190801</v>
      </c>
      <c r="M5991" s="94">
        <f>VLOOKUP($Q5991,매칭테이블!$F:$I,2,0)*K5991</f>
        <v/>
      </c>
      <c r="N5991" s="94">
        <f>M5991-M5991*VLOOKUP($Q5991,매칭테이블!$F:$I,3,0)</f>
        <v/>
      </c>
      <c r="O5991" s="94">
        <f>VLOOKUP($Q5991,매칭테이블!$F:$I,4,0)*K5991</f>
        <v/>
      </c>
      <c r="P5991" s="148">
        <f>M5991/1.1</f>
        <v/>
      </c>
      <c r="Q5991" s="94">
        <f>F5991&amp;E5991&amp;G5991&amp;L5991</f>
        <v/>
      </c>
    </row>
    <row r="5992">
      <c r="A5992" s="94" t="n"/>
      <c r="B5992" s="128" t="n">
        <v>43956</v>
      </c>
      <c r="C5992" s="94">
        <f>TEXT(B5992,"aaa")</f>
        <v/>
      </c>
      <c r="D5992" s="94" t="n"/>
      <c r="E5992" s="94" t="inlineStr">
        <is>
          <t>어성초진정패키지</t>
        </is>
      </c>
      <c r="F5992" s="94" t="inlineStr">
        <is>
          <t>카페24</t>
        </is>
      </c>
      <c r="G5992" s="94" t="inlineStr">
        <is>
          <t>어성초 진정패키지세트</t>
        </is>
      </c>
      <c r="H5992" s="7" t="n">
        <v>190801</v>
      </c>
      <c r="I5992" s="7" t="n">
        <v>190801</v>
      </c>
      <c r="J5992" s="94" t="n"/>
      <c r="K5992" s="6" t="n">
        <v>5</v>
      </c>
      <c r="L5992" s="94" t="n">
        <v>190801</v>
      </c>
      <c r="M5992" s="94">
        <f>VLOOKUP($Q5992,매칭테이블!$F:$I,2,0)*K5992</f>
        <v/>
      </c>
      <c r="N5992" s="94">
        <f>M5992-M5992*VLOOKUP($Q5992,매칭테이블!$F:$I,3,0)</f>
        <v/>
      </c>
      <c r="O5992" s="94">
        <f>VLOOKUP($Q5992,매칭테이블!$F:$I,4,0)*K5992</f>
        <v/>
      </c>
      <c r="P5992" s="148">
        <f>M5992/1.1</f>
        <v/>
      </c>
      <c r="Q5992" s="94">
        <f>F5992&amp;E5992&amp;G5992&amp;L5992</f>
        <v/>
      </c>
    </row>
    <row r="5993">
      <c r="A5993" s="94" t="n"/>
      <c r="B5993" s="128" t="n">
        <v>43956</v>
      </c>
      <c r="C5993" s="94">
        <f>TEXT(B5993,"aaa")</f>
        <v/>
      </c>
      <c r="D5993" s="94" t="n"/>
      <c r="E5993" s="94" t="inlineStr">
        <is>
          <t>머드크림마스크</t>
        </is>
      </c>
      <c r="F5993" s="94" t="inlineStr">
        <is>
          <t>카페24</t>
        </is>
      </c>
      <c r="G5993" s="94" t="inlineStr">
        <is>
          <t>머드크림마스크 100ml</t>
        </is>
      </c>
      <c r="H5993" s="7" t="n">
        <v>190801</v>
      </c>
      <c r="I5993" s="7" t="n">
        <v>190801</v>
      </c>
      <c r="J5993" s="94" t="n"/>
      <c r="K5993" s="6" t="n">
        <v>3</v>
      </c>
      <c r="L5993" s="94" t="n">
        <v>190801</v>
      </c>
      <c r="M5993" s="94">
        <f>VLOOKUP($Q5993,매칭테이블!$F:$I,2,0)*K5993</f>
        <v/>
      </c>
      <c r="N5993" s="94">
        <f>M5993-M5993*VLOOKUP($Q5993,매칭테이블!$F:$I,3,0)</f>
        <v/>
      </c>
      <c r="O5993" s="94">
        <f>VLOOKUP($Q5993,매칭테이블!$F:$I,4,0)*K5993</f>
        <v/>
      </c>
      <c r="P5993" s="148">
        <f>M5993/1.1</f>
        <v/>
      </c>
      <c r="Q5993" s="94">
        <f>F5993&amp;E5993&amp;G5993&amp;L5993</f>
        <v/>
      </c>
    </row>
    <row r="5994">
      <c r="A5994" s="94" t="n"/>
      <c r="B5994" s="128" t="n">
        <v>43956</v>
      </c>
      <c r="C5994" s="94">
        <f>TEXT(B5994,"aaa")</f>
        <v/>
      </c>
      <c r="D5994" s="94" t="n"/>
      <c r="E5994" s="94" t="inlineStr">
        <is>
          <t>머드크림마스크</t>
        </is>
      </c>
      <c r="F5994" s="94" t="inlineStr">
        <is>
          <t>카페24</t>
        </is>
      </c>
      <c r="G5994" s="94" t="inlineStr">
        <is>
          <t>머드크림마스크 100ml 2set</t>
        </is>
      </c>
      <c r="H5994" s="7" t="n">
        <v>190801</v>
      </c>
      <c r="I5994" s="7" t="n">
        <v>190801</v>
      </c>
      <c r="J5994" s="94" t="n"/>
      <c r="K5994" s="6" t="n">
        <v>1</v>
      </c>
      <c r="L5994" s="94" t="n">
        <v>190801</v>
      </c>
      <c r="M5994" s="94">
        <f>VLOOKUP($Q5994,매칭테이블!$F:$I,2,0)*K5994</f>
        <v/>
      </c>
      <c r="N5994" s="94">
        <f>M5994-M5994*VLOOKUP($Q5994,매칭테이블!$F:$I,3,0)</f>
        <v/>
      </c>
      <c r="O5994" s="94">
        <f>VLOOKUP($Q5994,매칭테이블!$F:$I,4,0)*K5994</f>
        <v/>
      </c>
      <c r="P5994" s="148">
        <f>M5994/1.1</f>
        <v/>
      </c>
      <c r="Q5994" s="94">
        <f>F5994&amp;E5994&amp;G5994&amp;L5994</f>
        <v/>
      </c>
    </row>
    <row r="5995">
      <c r="A5995" s="94" t="n"/>
      <c r="B5995" s="128" t="n">
        <v>43956</v>
      </c>
      <c r="C5995" s="94">
        <f>TEXT(B5995,"aaa")</f>
        <v/>
      </c>
      <c r="D5995" s="94" t="n"/>
      <c r="E5995" s="94" t="inlineStr">
        <is>
          <t>마스크팩</t>
        </is>
      </c>
      <c r="F5995" s="94" t="inlineStr">
        <is>
          <t>카페24</t>
        </is>
      </c>
      <c r="G5995" s="94" t="inlineStr">
        <is>
          <t>마스크팩 1매</t>
        </is>
      </c>
      <c r="H5995" s="7" t="n">
        <v>190801</v>
      </c>
      <c r="I5995" s="7" t="n">
        <v>190801</v>
      </c>
      <c r="J5995" s="94" t="n"/>
      <c r="K5995" s="6" t="n">
        <v>3</v>
      </c>
      <c r="L5995" s="94" t="n">
        <v>190801</v>
      </c>
      <c r="M5995" s="94">
        <f>VLOOKUP($Q5995,매칭테이블!$F:$I,2,0)*K5995</f>
        <v/>
      </c>
      <c r="N5995" s="94">
        <f>M5995-M5995*VLOOKUP($Q5995,매칭테이블!$F:$I,3,0)</f>
        <v/>
      </c>
      <c r="O5995" s="94">
        <f>VLOOKUP($Q5995,매칭테이블!$F:$I,4,0)*K5995</f>
        <v/>
      </c>
      <c r="P5995" s="148">
        <f>M5995/1.1</f>
        <v/>
      </c>
      <c r="Q5995" s="94">
        <f>F5995&amp;E5995&amp;G5995&amp;L5995</f>
        <v/>
      </c>
    </row>
    <row r="5996">
      <c r="A5996" s="94" t="n"/>
      <c r="B5996" s="128" t="n">
        <v>43956</v>
      </c>
      <c r="C5996" s="94">
        <f>TEXT(B5996,"aaa")</f>
        <v/>
      </c>
      <c r="D5996" s="94" t="n"/>
      <c r="E5996" s="94" t="inlineStr">
        <is>
          <t>마스크팩</t>
        </is>
      </c>
      <c r="F5996" s="94" t="inlineStr">
        <is>
          <t>카페24</t>
        </is>
      </c>
      <c r="G5996" s="94" t="inlineStr">
        <is>
          <t>마스크팩 10매</t>
        </is>
      </c>
      <c r="H5996" s="7" t="n">
        <v>190801</v>
      </c>
      <c r="I5996" s="7" t="n">
        <v>190801</v>
      </c>
      <c r="J5996" s="94" t="n"/>
      <c r="K5996" s="6" t="n">
        <v>5</v>
      </c>
      <c r="L5996" s="94" t="n">
        <v>190801</v>
      </c>
      <c r="M5996" s="94">
        <f>VLOOKUP($Q5996,매칭테이블!$F:$I,2,0)*K5996</f>
        <v/>
      </c>
      <c r="N5996" s="94">
        <f>M5996-M5996*VLOOKUP($Q5996,매칭테이블!$F:$I,3,0)</f>
        <v/>
      </c>
      <c r="O5996" s="94">
        <f>VLOOKUP($Q5996,매칭테이블!$F:$I,4,0)*K5996</f>
        <v/>
      </c>
      <c r="P5996" s="148">
        <f>M5996/1.1</f>
        <v/>
      </c>
      <c r="Q5996" s="94">
        <f>F5996&amp;E5996&amp;G5996&amp;L5996</f>
        <v/>
      </c>
    </row>
    <row r="5997">
      <c r="A5997" s="94" t="n"/>
      <c r="B5997" s="128" t="n">
        <v>43956</v>
      </c>
      <c r="C5997" s="94">
        <f>TEXT(B5997,"aaa")</f>
        <v/>
      </c>
      <c r="D5997" s="94" t="n"/>
      <c r="E5997" s="6" t="inlineStr">
        <is>
          <t>토너</t>
        </is>
      </c>
      <c r="F5997" s="5" t="inlineStr">
        <is>
          <t>카페24</t>
        </is>
      </c>
      <c r="G5997" s="5" t="inlineStr">
        <is>
          <t>250ml</t>
        </is>
      </c>
      <c r="H5997" s="7" t="n">
        <v>190801</v>
      </c>
      <c r="I5997" s="7" t="n">
        <v>190801</v>
      </c>
      <c r="J5997" s="94" t="n"/>
      <c r="K5997" s="6" t="n">
        <v>62</v>
      </c>
      <c r="L5997" s="7" t="n">
        <v>190801</v>
      </c>
      <c r="M5997" s="94">
        <f>VLOOKUP($Q5997,매칭테이블!$F:$I,2,0)*K5997</f>
        <v/>
      </c>
      <c r="N5997" s="94">
        <f>M5997-M5997*VLOOKUP($Q5997,매칭테이블!$F:$I,3,0)</f>
        <v/>
      </c>
      <c r="O5997" s="94">
        <f>VLOOKUP($Q5997,매칭테이블!$F:$I,4,0)*K5997</f>
        <v/>
      </c>
      <c r="P5997" s="148">
        <f>M5997/1.1</f>
        <v/>
      </c>
      <c r="Q5997" s="94">
        <f>F5997&amp;E5997&amp;G5997&amp;L5997</f>
        <v/>
      </c>
    </row>
    <row r="5998">
      <c r="A5998" s="94" t="n"/>
      <c r="B5998" s="128" t="n">
        <v>43956</v>
      </c>
      <c r="C5998" s="94">
        <f>TEXT(B5998,"aaa")</f>
        <v/>
      </c>
      <c r="D5998" s="94" t="n"/>
      <c r="E5998" s="6" t="inlineStr">
        <is>
          <t>토너</t>
        </is>
      </c>
      <c r="F5998" s="5" t="inlineStr">
        <is>
          <t>카페24</t>
        </is>
      </c>
      <c r="G5998" s="5" t="inlineStr">
        <is>
          <t>250ml 2set</t>
        </is>
      </c>
      <c r="H5998" s="7" t="n">
        <v>190801</v>
      </c>
      <c r="I5998" s="7" t="n">
        <v>190801</v>
      </c>
      <c r="J5998" s="94" t="n"/>
      <c r="K5998" s="6" t="n">
        <v>63</v>
      </c>
      <c r="L5998" s="7" t="n">
        <v>190801</v>
      </c>
      <c r="M5998" s="94">
        <f>VLOOKUP($Q5998,매칭테이블!$F:$I,2,0)*K5998</f>
        <v/>
      </c>
      <c r="N5998" s="94">
        <f>M5998-M5998*VLOOKUP($Q5998,매칭테이블!$F:$I,3,0)</f>
        <v/>
      </c>
      <c r="O5998" s="94">
        <f>VLOOKUP($Q5998,매칭테이블!$F:$I,4,0)*K5998</f>
        <v/>
      </c>
      <c r="P5998" s="148">
        <f>M5998/1.1</f>
        <v/>
      </c>
      <c r="Q5998" s="94">
        <f>F5998&amp;E5998&amp;G5998&amp;L5998</f>
        <v/>
      </c>
    </row>
    <row r="5999">
      <c r="A5999" s="94" t="n"/>
      <c r="B5999" s="128" t="n">
        <v>43956</v>
      </c>
      <c r="C5999" s="94">
        <f>TEXT(B5999,"aaa")</f>
        <v/>
      </c>
      <c r="D5999" s="94" t="n"/>
      <c r="E5999" s="6" t="inlineStr">
        <is>
          <t>토너</t>
        </is>
      </c>
      <c r="F5999" s="5" t="inlineStr">
        <is>
          <t>카페24</t>
        </is>
      </c>
      <c r="G5999" s="5" t="inlineStr">
        <is>
          <t>500ml</t>
        </is>
      </c>
      <c r="H5999" s="7" t="n">
        <v>190801</v>
      </c>
      <c r="I5999" s="7" t="n">
        <v>190801</v>
      </c>
      <c r="J5999" s="94" t="n"/>
      <c r="K5999" s="6" t="n">
        <v>50</v>
      </c>
      <c r="L5999" s="7" t="n">
        <v>190801</v>
      </c>
      <c r="M5999" s="94">
        <f>VLOOKUP($Q5999,매칭테이블!$F:$I,2,0)*K5999</f>
        <v/>
      </c>
      <c r="N5999" s="94">
        <f>M5999-M5999*VLOOKUP($Q5999,매칭테이블!$F:$I,3,0)</f>
        <v/>
      </c>
      <c r="O5999" s="94">
        <f>VLOOKUP($Q5999,매칭테이블!$F:$I,4,0)*K5999</f>
        <v/>
      </c>
      <c r="P5999" s="148">
        <f>M5999/1.1</f>
        <v/>
      </c>
      <c r="Q5999" s="94">
        <f>F5999&amp;E5999&amp;G5999&amp;L5999</f>
        <v/>
      </c>
    </row>
    <row r="6000">
      <c r="A6000" s="94" t="n"/>
      <c r="B6000" s="128" t="n">
        <v>43956</v>
      </c>
      <c r="C6000" s="94">
        <f>TEXT(B6000,"aaa")</f>
        <v/>
      </c>
      <c r="D6000" s="94" t="n"/>
      <c r="E6000" s="6" t="inlineStr">
        <is>
          <t>토너</t>
        </is>
      </c>
      <c r="F6000" s="5" t="inlineStr">
        <is>
          <t>카페24</t>
        </is>
      </c>
      <c r="G6000" s="94" t="inlineStr">
        <is>
          <t>스킨팩 화장솜 60P</t>
        </is>
      </c>
      <c r="H6000" s="7" t="n">
        <v>190801</v>
      </c>
      <c r="I6000" s="7" t="n">
        <v>190801</v>
      </c>
      <c r="J6000" s="94" t="n"/>
      <c r="K6000" s="6" t="n">
        <v>58</v>
      </c>
      <c r="L6000" s="7" t="n">
        <v>190801</v>
      </c>
      <c r="M6000" s="94">
        <f>VLOOKUP($Q6000,매칭테이블!$F:$I,2,0)*K6000</f>
        <v/>
      </c>
      <c r="N6000" s="94">
        <f>M6000-M6000*VLOOKUP($Q6000,매칭테이블!$F:$I,3,0)</f>
        <v/>
      </c>
      <c r="O6000" s="94">
        <f>VLOOKUP($Q6000,매칭테이블!$F:$I,4,0)*K6000</f>
        <v/>
      </c>
      <c r="P6000" s="148">
        <f>M6000/1.1</f>
        <v/>
      </c>
      <c r="Q6000" s="94">
        <f>F6000&amp;E6000&amp;G6000&amp;L6000</f>
        <v/>
      </c>
    </row>
    <row r="6001">
      <c r="A6001" s="94" t="n"/>
      <c r="B6001" s="128" t="n">
        <v>43956</v>
      </c>
      <c r="C6001" s="94">
        <f>TEXT(B6001,"aaa")</f>
        <v/>
      </c>
      <c r="D6001" s="94" t="n"/>
      <c r="E6001" s="94" t="inlineStr">
        <is>
          <t>앰플</t>
        </is>
      </c>
      <c r="F6001" s="5" t="inlineStr">
        <is>
          <t>카페24</t>
        </is>
      </c>
      <c r="G6001" s="94" t="inlineStr">
        <is>
          <t>앰플 30ml</t>
        </is>
      </c>
      <c r="H6001" s="7" t="n">
        <v>190801</v>
      </c>
      <c r="I6001" s="7" t="n">
        <v>190801</v>
      </c>
      <c r="J6001" s="94" t="n"/>
      <c r="K6001" s="6" t="n">
        <v>16</v>
      </c>
      <c r="L6001" s="94" t="n">
        <v>190801</v>
      </c>
      <c r="M6001" s="94">
        <f>VLOOKUP($Q6001,매칭테이블!$F:$I,2,0)*K6001</f>
        <v/>
      </c>
      <c r="N6001" s="94">
        <f>M6001-M6001*VLOOKUP($Q6001,매칭테이블!$F:$I,3,0)</f>
        <v/>
      </c>
      <c r="O6001" s="94">
        <f>VLOOKUP($Q6001,매칭테이블!$F:$I,4,0)*K6001</f>
        <v/>
      </c>
      <c r="P6001" s="148">
        <f>M6001/1.1</f>
        <v/>
      </c>
      <c r="Q6001" s="94">
        <f>F6001&amp;E6001&amp;G6001&amp;L6001</f>
        <v/>
      </c>
    </row>
    <row r="6002">
      <c r="A6002" s="94" t="n"/>
      <c r="B6002" s="128" t="n">
        <v>43956</v>
      </c>
      <c r="C6002" s="94">
        <f>TEXT(B6002,"aaa")</f>
        <v/>
      </c>
      <c r="D6002" s="94" t="n"/>
      <c r="E6002" s="94" t="inlineStr">
        <is>
          <t>수딩크림</t>
        </is>
      </c>
      <c r="F6002" s="5" t="inlineStr">
        <is>
          <t>카페24</t>
        </is>
      </c>
      <c r="G6002" s="94" t="inlineStr">
        <is>
          <t>수딩크림 100ml</t>
        </is>
      </c>
      <c r="H6002" s="7" t="n">
        <v>190801</v>
      </c>
      <c r="I6002" s="7" t="n">
        <v>190801</v>
      </c>
      <c r="J6002" s="94" t="n"/>
      <c r="K6002" s="6" t="n">
        <v>10</v>
      </c>
      <c r="L6002" s="94" t="n">
        <v>190801</v>
      </c>
      <c r="M6002" s="94">
        <f>VLOOKUP($Q6002,매칭테이블!$F:$I,2,0)*K6002</f>
        <v/>
      </c>
      <c r="N6002" s="94">
        <f>M6002-M6002*VLOOKUP($Q6002,매칭테이블!$F:$I,3,0)</f>
        <v/>
      </c>
      <c r="O6002" s="94">
        <f>VLOOKUP($Q6002,매칭테이블!$F:$I,4,0)*K6002</f>
        <v/>
      </c>
      <c r="P6002" s="148">
        <f>M6002/1.1</f>
        <v/>
      </c>
      <c r="Q6002" s="94">
        <f>F6002&amp;E6002&amp;G6002&amp;L6002</f>
        <v/>
      </c>
    </row>
    <row r="6003">
      <c r="A6003" s="94" t="n"/>
      <c r="B6003" s="128" t="n">
        <v>43956</v>
      </c>
      <c r="C6003" s="94">
        <f>TEXT(B6003,"aaa")</f>
        <v/>
      </c>
      <c r="D6003" s="94" t="n"/>
      <c r="E6003" s="94" t="inlineStr">
        <is>
          <t>클렌징폼</t>
        </is>
      </c>
      <c r="F6003" s="94" t="inlineStr">
        <is>
          <t>카페24</t>
        </is>
      </c>
      <c r="G6003" s="94" t="inlineStr">
        <is>
          <t>클렌징폼 120ml</t>
        </is>
      </c>
      <c r="H6003" s="7" t="n">
        <v>190801</v>
      </c>
      <c r="I6003" s="7" t="n">
        <v>190801</v>
      </c>
      <c r="J6003" s="94" t="n"/>
      <c r="K6003" s="6" t="n">
        <v>7</v>
      </c>
      <c r="L6003" s="92" t="n">
        <v>190801</v>
      </c>
      <c r="M6003" s="94">
        <f>VLOOKUP($Q6003,매칭테이블!$F:$I,2,0)*K6003</f>
        <v/>
      </c>
      <c r="N6003" s="94">
        <f>M6003-M6003*VLOOKUP($Q6003,매칭테이블!$F:$I,3,0)</f>
        <v/>
      </c>
      <c r="O6003" s="94">
        <f>VLOOKUP($Q6003,매칭테이블!$F:$I,4,0)*K6003</f>
        <v/>
      </c>
      <c r="P6003" s="148">
        <f>M6003/1.1</f>
        <v/>
      </c>
      <c r="Q6003" s="94">
        <f>F6003&amp;E6003&amp;G6003&amp;L6003</f>
        <v/>
      </c>
    </row>
    <row r="6004">
      <c r="A6004" s="94" t="n"/>
      <c r="B6004" s="128" t="n">
        <v>43956</v>
      </c>
      <c r="C6004" s="94">
        <f>TEXT(B6004,"aaa")</f>
        <v/>
      </c>
      <c r="D6004" s="94" t="n"/>
      <c r="E6004" s="94" t="inlineStr">
        <is>
          <t>클렌징폼</t>
        </is>
      </c>
      <c r="F6004" s="94" t="inlineStr">
        <is>
          <t>카페24</t>
        </is>
      </c>
      <c r="G6004" s="94" t="inlineStr">
        <is>
          <t>클렌징폼 120ml 2set</t>
        </is>
      </c>
      <c r="H6004" s="7" t="n">
        <v>190801</v>
      </c>
      <c r="I6004" s="7" t="n">
        <v>190801</v>
      </c>
      <c r="J6004" s="94" t="n"/>
      <c r="K6004" s="6" t="n">
        <v>1</v>
      </c>
      <c r="L6004" s="92" t="n">
        <v>190801</v>
      </c>
      <c r="M6004" s="94">
        <f>VLOOKUP($Q6004,매칭테이블!$F:$I,2,0)*K6004</f>
        <v/>
      </c>
      <c r="N6004" s="94">
        <f>M6004-M6004*VLOOKUP($Q6004,매칭테이블!$F:$I,3,0)</f>
        <v/>
      </c>
      <c r="O6004" s="94">
        <f>VLOOKUP($Q6004,매칭테이블!$F:$I,4,0)*K6004</f>
        <v/>
      </c>
      <c r="P6004" s="148">
        <f>M6004/1.1</f>
        <v/>
      </c>
      <c r="Q6004" s="94">
        <f>F6004&amp;E6004&amp;G6004&amp;L6004</f>
        <v/>
      </c>
    </row>
    <row r="6005">
      <c r="A6005" s="94" t="n"/>
      <c r="B6005" s="128" t="n">
        <v>43956</v>
      </c>
      <c r="C6005" s="94">
        <f>TEXT(B6005,"aaa")</f>
        <v/>
      </c>
      <c r="D6005" s="94" t="n"/>
      <c r="E6005" s="94" t="inlineStr">
        <is>
          <t>클렌징폼</t>
        </is>
      </c>
      <c r="F6005" s="94" t="inlineStr">
        <is>
          <t>카페24</t>
        </is>
      </c>
      <c r="G6005" s="94" t="inlineStr">
        <is>
          <t>클렌징폼 120ml 3set</t>
        </is>
      </c>
      <c r="H6005" s="7" t="n">
        <v>190801</v>
      </c>
      <c r="I6005" s="7" t="n">
        <v>190801</v>
      </c>
      <c r="J6005" s="94" t="n"/>
      <c r="K6005" s="6" t="n">
        <v>2</v>
      </c>
      <c r="L6005" s="92" t="n">
        <v>190801</v>
      </c>
      <c r="M6005" s="94">
        <f>VLOOKUP($Q6005,매칭테이블!$F:$I,2,0)*K6005</f>
        <v/>
      </c>
      <c r="N6005" s="94">
        <f>M6005-M6005*VLOOKUP($Q6005,매칭테이블!$F:$I,3,0)</f>
        <v/>
      </c>
      <c r="O6005" s="94">
        <f>VLOOKUP($Q6005,매칭테이블!$F:$I,4,0)*K6005</f>
        <v/>
      </c>
      <c r="P6005" s="148">
        <f>M6005/1.1</f>
        <v/>
      </c>
      <c r="Q6005" s="94">
        <f>F6005&amp;E6005&amp;G6005&amp;L6005</f>
        <v/>
      </c>
    </row>
    <row r="6006">
      <c r="A6006" s="94" t="n"/>
      <c r="B6006" s="128" t="n">
        <v>43957</v>
      </c>
      <c r="C6006" s="94">
        <f>TEXT(B6006,"aaa")</f>
        <v/>
      </c>
      <c r="D6006" s="94" t="n"/>
      <c r="E6006" s="6" t="inlineStr">
        <is>
          <t>토너</t>
        </is>
      </c>
      <c r="F6006" s="5" t="inlineStr">
        <is>
          <t>W컨셉</t>
        </is>
      </c>
      <c r="G6006" s="5" t="inlineStr">
        <is>
          <t>250ml</t>
        </is>
      </c>
      <c r="H6006" s="7" t="n">
        <v>190801</v>
      </c>
      <c r="I6006" s="7" t="n">
        <v>190801</v>
      </c>
      <c r="J6006" s="94" t="n"/>
      <c r="K6006" s="6" t="n">
        <v>2</v>
      </c>
      <c r="L6006" s="7" t="n">
        <v>190801</v>
      </c>
      <c r="M6006" s="94">
        <f>VLOOKUP($Q6006,매칭테이블!$F:$I,2,0)*K6006</f>
        <v/>
      </c>
      <c r="N6006" s="94">
        <f>M6006-M6006*VLOOKUP($Q6006,매칭테이블!$F:$I,3,0)</f>
        <v/>
      </c>
      <c r="O6006" s="94">
        <f>VLOOKUP($Q6006,매칭테이블!$F:$I,4,0)*K6006</f>
        <v/>
      </c>
      <c r="P6006" s="148">
        <f>M6006/1.1</f>
        <v/>
      </c>
      <c r="Q6006" s="94">
        <f>F6006&amp;E6006&amp;G6006&amp;L6006</f>
        <v/>
      </c>
    </row>
    <row r="6007">
      <c r="A6007" s="94" t="n"/>
      <c r="B6007" s="128" t="n">
        <v>43957</v>
      </c>
      <c r="C6007" s="94">
        <f>TEXT(B6007,"aaa")</f>
        <v/>
      </c>
      <c r="D6007" s="94" t="n"/>
      <c r="E6007" s="6" t="inlineStr">
        <is>
          <t>토너</t>
        </is>
      </c>
      <c r="F6007" s="5" t="inlineStr">
        <is>
          <t>W컨셉</t>
        </is>
      </c>
      <c r="G6007" s="5" t="inlineStr">
        <is>
          <t>250ml 2set</t>
        </is>
      </c>
      <c r="H6007" s="7" t="n">
        <v>190801</v>
      </c>
      <c r="I6007" s="7" t="n">
        <v>190801</v>
      </c>
      <c r="J6007" s="94" t="n"/>
      <c r="K6007" s="6" t="n">
        <v>22</v>
      </c>
      <c r="L6007" s="7" t="n">
        <v>190801</v>
      </c>
      <c r="M6007" s="94">
        <f>VLOOKUP($Q6007,매칭테이블!$F:$I,2,0)*K6007</f>
        <v/>
      </c>
      <c r="N6007" s="94">
        <f>M6007-M6007*VLOOKUP($Q6007,매칭테이블!$F:$I,3,0)</f>
        <v/>
      </c>
      <c r="O6007" s="94">
        <f>VLOOKUP($Q6007,매칭테이블!$F:$I,4,0)*K6007</f>
        <v/>
      </c>
      <c r="P6007" s="148">
        <f>M6007/1.1</f>
        <v/>
      </c>
      <c r="Q6007" s="94">
        <f>F6007&amp;E6007&amp;G6007&amp;L6007</f>
        <v/>
      </c>
    </row>
    <row r="6008">
      <c r="A6008" s="94" t="n"/>
      <c r="B6008" s="128" t="n">
        <v>43957</v>
      </c>
      <c r="C6008" s="94">
        <f>TEXT(B6008,"aaa")</f>
        <v/>
      </c>
      <c r="D6008" s="94" t="n"/>
      <c r="E6008" s="94" t="inlineStr">
        <is>
          <t>토너</t>
        </is>
      </c>
      <c r="F6008" s="5" t="inlineStr">
        <is>
          <t>스타일쉐어</t>
        </is>
      </c>
      <c r="G6008" s="94" t="inlineStr">
        <is>
          <t>250ml</t>
        </is>
      </c>
      <c r="H6008" s="7" t="n">
        <v>190801</v>
      </c>
      <c r="I6008" s="7" t="n">
        <v>190801</v>
      </c>
      <c r="J6008" s="94" t="n"/>
      <c r="K6008" s="6" t="n">
        <v>7</v>
      </c>
      <c r="L6008" s="7" t="n">
        <v>190801</v>
      </c>
      <c r="M6008" s="94">
        <f>VLOOKUP($Q6008,매칭테이블!$F:$I,2,0)*K6008</f>
        <v/>
      </c>
      <c r="N6008" s="94">
        <f>M6008-M6008*VLOOKUP($Q6008,매칭테이블!$F:$I,3,0)</f>
        <v/>
      </c>
      <c r="O6008" s="94">
        <f>VLOOKUP($Q6008,매칭테이블!$F:$I,4,0)*K6008</f>
        <v/>
      </c>
      <c r="P6008" s="148">
        <f>M6008/1.1</f>
        <v/>
      </c>
      <c r="Q6008" s="94">
        <f>F6008&amp;E6008&amp;G6008&amp;L6008</f>
        <v/>
      </c>
    </row>
    <row r="6009">
      <c r="A6009" s="94" t="n"/>
      <c r="B6009" s="128" t="n">
        <v>43957</v>
      </c>
      <c r="C6009" s="94">
        <f>TEXT(B6009,"aaa")</f>
        <v/>
      </c>
      <c r="D6009" s="94" t="n"/>
      <c r="E6009" s="94" t="inlineStr">
        <is>
          <t>어성초진정패키지</t>
        </is>
      </c>
      <c r="F6009" s="94" t="inlineStr">
        <is>
          <t>카페24</t>
        </is>
      </c>
      <c r="G6009" s="94" t="inlineStr">
        <is>
          <t>어성초 진정패키지세트</t>
        </is>
      </c>
      <c r="H6009" s="7" t="n">
        <v>190801</v>
      </c>
      <c r="I6009" s="7" t="n">
        <v>190801</v>
      </c>
      <c r="J6009" s="94" t="n"/>
      <c r="K6009" s="6" t="n">
        <v>12</v>
      </c>
      <c r="L6009" s="94" t="n">
        <v>190801</v>
      </c>
      <c r="M6009" s="94">
        <f>VLOOKUP($Q6009,매칭테이블!$F:$I,2,0)*K6009</f>
        <v/>
      </c>
      <c r="N6009" s="94">
        <f>M6009-M6009*VLOOKUP($Q6009,매칭테이블!$F:$I,3,0)</f>
        <v/>
      </c>
      <c r="O6009" s="94">
        <f>VLOOKUP($Q6009,매칭테이블!$F:$I,4,0)*K6009</f>
        <v/>
      </c>
      <c r="P6009" s="148">
        <f>M6009/1.1</f>
        <v/>
      </c>
      <c r="Q6009" s="94">
        <f>F6009&amp;E6009&amp;G6009&amp;L6009</f>
        <v/>
      </c>
    </row>
    <row r="6010">
      <c r="A6010" s="94" t="n"/>
      <c r="B6010" s="128" t="n">
        <v>43957</v>
      </c>
      <c r="C6010" s="94">
        <f>TEXT(B6010,"aaa")</f>
        <v/>
      </c>
      <c r="D6010" s="94" t="n"/>
      <c r="E6010" s="94" t="inlineStr">
        <is>
          <t>머드크림마스크</t>
        </is>
      </c>
      <c r="F6010" s="94" t="inlineStr">
        <is>
          <t>카페24</t>
        </is>
      </c>
      <c r="G6010" s="94" t="inlineStr">
        <is>
          <t>머드크림마스크 100ml</t>
        </is>
      </c>
      <c r="H6010" s="7" t="n">
        <v>190801</v>
      </c>
      <c r="I6010" s="7" t="n">
        <v>190801</v>
      </c>
      <c r="J6010" s="94" t="n"/>
      <c r="K6010" s="6" t="n">
        <v>4</v>
      </c>
      <c r="L6010" s="94" t="n">
        <v>190801</v>
      </c>
      <c r="M6010" s="94">
        <f>VLOOKUP($Q6010,매칭테이블!$F:$I,2,0)*K6010</f>
        <v/>
      </c>
      <c r="N6010" s="94">
        <f>M6010-M6010*VLOOKUP($Q6010,매칭테이블!$F:$I,3,0)</f>
        <v/>
      </c>
      <c r="O6010" s="94">
        <f>VLOOKUP($Q6010,매칭테이블!$F:$I,4,0)*K6010</f>
        <v/>
      </c>
      <c r="P6010" s="148">
        <f>M6010/1.1</f>
        <v/>
      </c>
      <c r="Q6010" s="94">
        <f>F6010&amp;E6010&amp;G6010&amp;L6010</f>
        <v/>
      </c>
    </row>
    <row r="6011">
      <c r="A6011" s="94" t="n"/>
      <c r="B6011" s="128" t="n">
        <v>43957</v>
      </c>
      <c r="C6011" s="94">
        <f>TEXT(B6011,"aaa")</f>
        <v/>
      </c>
      <c r="D6011" s="94" t="n"/>
      <c r="E6011" s="94" t="inlineStr">
        <is>
          <t>마스크팩</t>
        </is>
      </c>
      <c r="F6011" s="94" t="inlineStr">
        <is>
          <t>카페24</t>
        </is>
      </c>
      <c r="G6011" s="94" t="inlineStr">
        <is>
          <t>마스크팩 1매</t>
        </is>
      </c>
      <c r="H6011" s="7" t="n">
        <v>190801</v>
      </c>
      <c r="I6011" s="7" t="n">
        <v>190801</v>
      </c>
      <c r="J6011" s="94" t="n"/>
      <c r="K6011" s="6" t="n">
        <v>9</v>
      </c>
      <c r="L6011" s="94" t="n">
        <v>190801</v>
      </c>
      <c r="M6011" s="94">
        <f>VLOOKUP($Q6011,매칭테이블!$F:$I,2,0)*K6011</f>
        <v/>
      </c>
      <c r="N6011" s="94">
        <f>M6011-M6011*VLOOKUP($Q6011,매칭테이블!$F:$I,3,0)</f>
        <v/>
      </c>
      <c r="O6011" s="94">
        <f>VLOOKUP($Q6011,매칭테이블!$F:$I,4,0)*K6011</f>
        <v/>
      </c>
      <c r="P6011" s="148">
        <f>M6011/1.1</f>
        <v/>
      </c>
      <c r="Q6011" s="94">
        <f>F6011&amp;E6011&amp;G6011&amp;L6011</f>
        <v/>
      </c>
    </row>
    <row r="6012">
      <c r="A6012" s="94" t="n"/>
      <c r="B6012" s="128" t="n">
        <v>43957</v>
      </c>
      <c r="C6012" s="94">
        <f>TEXT(B6012,"aaa")</f>
        <v/>
      </c>
      <c r="D6012" s="94" t="n"/>
      <c r="E6012" s="94" t="inlineStr">
        <is>
          <t>마스크팩</t>
        </is>
      </c>
      <c r="F6012" s="94" t="inlineStr">
        <is>
          <t>카페24</t>
        </is>
      </c>
      <c r="G6012" s="94" t="inlineStr">
        <is>
          <t>마스크팩 10매</t>
        </is>
      </c>
      <c r="H6012" s="7" t="n">
        <v>190801</v>
      </c>
      <c r="I6012" s="7" t="n">
        <v>190801</v>
      </c>
      <c r="J6012" s="94" t="n"/>
      <c r="K6012" s="6" t="n">
        <v>7</v>
      </c>
      <c r="L6012" s="94" t="n">
        <v>190801</v>
      </c>
      <c r="M6012" s="94">
        <f>VLOOKUP($Q6012,매칭테이블!$F:$I,2,0)*K6012</f>
        <v/>
      </c>
      <c r="N6012" s="94">
        <f>M6012-M6012*VLOOKUP($Q6012,매칭테이블!$F:$I,3,0)</f>
        <v/>
      </c>
      <c r="O6012" s="94">
        <f>VLOOKUP($Q6012,매칭테이블!$F:$I,4,0)*K6012</f>
        <v/>
      </c>
      <c r="P6012" s="148">
        <f>M6012/1.1</f>
        <v/>
      </c>
      <c r="Q6012" s="94">
        <f>F6012&amp;E6012&amp;G6012&amp;L6012</f>
        <v/>
      </c>
    </row>
    <row r="6013">
      <c r="A6013" s="94" t="n"/>
      <c r="B6013" s="128" t="n">
        <v>43957</v>
      </c>
      <c r="C6013" s="94">
        <f>TEXT(B6013,"aaa")</f>
        <v/>
      </c>
      <c r="D6013" s="94" t="n"/>
      <c r="E6013" s="6" t="inlineStr">
        <is>
          <t>토너</t>
        </is>
      </c>
      <c r="F6013" s="5" t="inlineStr">
        <is>
          <t>카페24</t>
        </is>
      </c>
      <c r="G6013" s="5" t="inlineStr">
        <is>
          <t>250ml</t>
        </is>
      </c>
      <c r="H6013" s="7" t="n">
        <v>190801</v>
      </c>
      <c r="I6013" s="7" t="n">
        <v>190801</v>
      </c>
      <c r="J6013" s="94" t="n"/>
      <c r="K6013" s="6" t="n">
        <v>62</v>
      </c>
      <c r="L6013" s="7" t="n">
        <v>190801</v>
      </c>
      <c r="M6013" s="94">
        <f>VLOOKUP($Q6013,매칭테이블!$F:$I,2,0)*K6013</f>
        <v/>
      </c>
      <c r="N6013" s="94">
        <f>M6013-M6013*VLOOKUP($Q6013,매칭테이블!$F:$I,3,0)</f>
        <v/>
      </c>
      <c r="O6013" s="94">
        <f>VLOOKUP($Q6013,매칭테이블!$F:$I,4,0)*K6013</f>
        <v/>
      </c>
      <c r="P6013" s="148">
        <f>M6013/1.1</f>
        <v/>
      </c>
      <c r="Q6013" s="94">
        <f>F6013&amp;E6013&amp;G6013&amp;L6013</f>
        <v/>
      </c>
    </row>
    <row r="6014">
      <c r="A6014" s="94" t="n"/>
      <c r="B6014" s="128" t="n">
        <v>43957</v>
      </c>
      <c r="C6014" s="94">
        <f>TEXT(B6014,"aaa")</f>
        <v/>
      </c>
      <c r="D6014" s="94" t="n"/>
      <c r="E6014" s="6" t="inlineStr">
        <is>
          <t>토너</t>
        </is>
      </c>
      <c r="F6014" s="5" t="inlineStr">
        <is>
          <t>카페24</t>
        </is>
      </c>
      <c r="G6014" s="5" t="inlineStr">
        <is>
          <t>250ml 2set</t>
        </is>
      </c>
      <c r="H6014" s="7" t="n">
        <v>190801</v>
      </c>
      <c r="I6014" s="7" t="n">
        <v>190801</v>
      </c>
      <c r="J6014" s="94" t="n"/>
      <c r="K6014" s="6" t="n">
        <v>50</v>
      </c>
      <c r="L6014" s="7" t="n">
        <v>190801</v>
      </c>
      <c r="M6014" s="94">
        <f>VLOOKUP($Q6014,매칭테이블!$F:$I,2,0)*K6014</f>
        <v/>
      </c>
      <c r="N6014" s="94">
        <f>M6014-M6014*VLOOKUP($Q6014,매칭테이블!$F:$I,3,0)</f>
        <v/>
      </c>
      <c r="O6014" s="94">
        <f>VLOOKUP($Q6014,매칭테이블!$F:$I,4,0)*K6014</f>
        <v/>
      </c>
      <c r="P6014" s="148">
        <f>M6014/1.1</f>
        <v/>
      </c>
      <c r="Q6014" s="94">
        <f>F6014&amp;E6014&amp;G6014&amp;L6014</f>
        <v/>
      </c>
    </row>
    <row r="6015">
      <c r="A6015" s="94" t="n"/>
      <c r="B6015" s="128" t="n">
        <v>43957</v>
      </c>
      <c r="C6015" s="94">
        <f>TEXT(B6015,"aaa")</f>
        <v/>
      </c>
      <c r="D6015" s="94" t="n"/>
      <c r="E6015" s="6" t="inlineStr">
        <is>
          <t>토너</t>
        </is>
      </c>
      <c r="F6015" s="5" t="inlineStr">
        <is>
          <t>카페24</t>
        </is>
      </c>
      <c r="G6015" s="5" t="inlineStr">
        <is>
          <t>500ml</t>
        </is>
      </c>
      <c r="H6015" s="7" t="n">
        <v>190801</v>
      </c>
      <c r="I6015" s="7" t="n">
        <v>190801</v>
      </c>
      <c r="J6015" s="94" t="n"/>
      <c r="K6015" s="6" t="n">
        <v>58</v>
      </c>
      <c r="L6015" s="7" t="n">
        <v>190801</v>
      </c>
      <c r="M6015" s="94">
        <f>VLOOKUP($Q6015,매칭테이블!$F:$I,2,0)*K6015</f>
        <v/>
      </c>
      <c r="N6015" s="94">
        <f>M6015-M6015*VLOOKUP($Q6015,매칭테이블!$F:$I,3,0)</f>
        <v/>
      </c>
      <c r="O6015" s="94">
        <f>VLOOKUP($Q6015,매칭테이블!$F:$I,4,0)*K6015</f>
        <v/>
      </c>
      <c r="P6015" s="148">
        <f>M6015/1.1</f>
        <v/>
      </c>
      <c r="Q6015" s="94">
        <f>F6015&amp;E6015&amp;G6015&amp;L6015</f>
        <v/>
      </c>
    </row>
    <row r="6016">
      <c r="A6016" s="94" t="n"/>
      <c r="B6016" s="128" t="n">
        <v>43957</v>
      </c>
      <c r="C6016" s="94">
        <f>TEXT(B6016,"aaa")</f>
        <v/>
      </c>
      <c r="D6016" s="94" t="n"/>
      <c r="E6016" s="6" t="inlineStr">
        <is>
          <t>토너</t>
        </is>
      </c>
      <c r="F6016" s="5" t="inlineStr">
        <is>
          <t>카페24</t>
        </is>
      </c>
      <c r="G6016" s="94" t="inlineStr">
        <is>
          <t>스킨팩 화장솜 60P</t>
        </is>
      </c>
      <c r="H6016" s="7" t="n">
        <v>190801</v>
      </c>
      <c r="I6016" s="7" t="n">
        <v>190801</v>
      </c>
      <c r="J6016" s="94" t="n"/>
      <c r="K6016" s="6" t="n">
        <v>77</v>
      </c>
      <c r="L6016" s="7" t="n">
        <v>190801</v>
      </c>
      <c r="M6016" s="94">
        <f>VLOOKUP($Q6016,매칭테이블!$F:$I,2,0)*K6016</f>
        <v/>
      </c>
      <c r="N6016" s="94">
        <f>M6016-M6016*VLOOKUP($Q6016,매칭테이블!$F:$I,3,0)</f>
        <v/>
      </c>
      <c r="O6016" s="94">
        <f>VLOOKUP($Q6016,매칭테이블!$F:$I,4,0)*K6016</f>
        <v/>
      </c>
      <c r="P6016" s="148">
        <f>M6016/1.1</f>
        <v/>
      </c>
      <c r="Q6016" s="94">
        <f>F6016&amp;E6016&amp;G6016&amp;L6016</f>
        <v/>
      </c>
    </row>
    <row r="6017">
      <c r="A6017" s="94" t="n"/>
      <c r="B6017" s="128" t="n">
        <v>43957</v>
      </c>
      <c r="C6017" s="94">
        <f>TEXT(B6017,"aaa")</f>
        <v/>
      </c>
      <c r="D6017" s="94" t="n"/>
      <c r="E6017" s="94" t="inlineStr">
        <is>
          <t>앰플</t>
        </is>
      </c>
      <c r="F6017" s="5" t="inlineStr">
        <is>
          <t>카페24</t>
        </is>
      </c>
      <c r="G6017" s="94" t="inlineStr">
        <is>
          <t>앰플 30ml</t>
        </is>
      </c>
      <c r="H6017" s="7" t="n">
        <v>190801</v>
      </c>
      <c r="I6017" s="7" t="n">
        <v>190801</v>
      </c>
      <c r="J6017" s="94" t="n"/>
      <c r="K6017" s="6" t="n">
        <v>12</v>
      </c>
      <c r="L6017" s="94" t="n">
        <v>190801</v>
      </c>
      <c r="M6017" s="94">
        <f>VLOOKUP($Q6017,매칭테이블!$F:$I,2,0)*K6017</f>
        <v/>
      </c>
      <c r="N6017" s="94">
        <f>M6017-M6017*VLOOKUP($Q6017,매칭테이블!$F:$I,3,0)</f>
        <v/>
      </c>
      <c r="O6017" s="94">
        <f>VLOOKUP($Q6017,매칭테이블!$F:$I,4,0)*K6017</f>
        <v/>
      </c>
      <c r="P6017" s="148">
        <f>M6017/1.1</f>
        <v/>
      </c>
      <c r="Q6017" s="94">
        <f>F6017&amp;E6017&amp;G6017&amp;L6017</f>
        <v/>
      </c>
    </row>
    <row r="6018">
      <c r="A6018" s="94" t="n"/>
      <c r="B6018" s="128" t="n">
        <v>43957</v>
      </c>
      <c r="C6018" s="94">
        <f>TEXT(B6018,"aaa")</f>
        <v/>
      </c>
      <c r="D6018" s="94" t="n"/>
      <c r="E6018" s="94" t="inlineStr">
        <is>
          <t>수딩크림</t>
        </is>
      </c>
      <c r="F6018" s="5" t="inlineStr">
        <is>
          <t>카페24</t>
        </is>
      </c>
      <c r="G6018" s="94" t="inlineStr">
        <is>
          <t>수딩크림 100ml</t>
        </is>
      </c>
      <c r="H6018" s="7" t="n">
        <v>190801</v>
      </c>
      <c r="I6018" s="7" t="n">
        <v>190801</v>
      </c>
      <c r="J6018" s="94" t="n"/>
      <c r="K6018" s="6" t="n">
        <v>8</v>
      </c>
      <c r="L6018" s="94" t="n">
        <v>190801</v>
      </c>
      <c r="M6018" s="94">
        <f>VLOOKUP($Q6018,매칭테이블!$F:$I,2,0)*K6018</f>
        <v/>
      </c>
      <c r="N6018" s="94">
        <f>M6018-M6018*VLOOKUP($Q6018,매칭테이블!$F:$I,3,0)</f>
        <v/>
      </c>
      <c r="O6018" s="94">
        <f>VLOOKUP($Q6018,매칭테이블!$F:$I,4,0)*K6018</f>
        <v/>
      </c>
      <c r="P6018" s="148">
        <f>M6018/1.1</f>
        <v/>
      </c>
      <c r="Q6018" s="94">
        <f>F6018&amp;E6018&amp;G6018&amp;L6018</f>
        <v/>
      </c>
    </row>
    <row r="6019">
      <c r="A6019" s="94" t="n"/>
      <c r="B6019" s="128" t="n">
        <v>43957</v>
      </c>
      <c r="C6019" s="94">
        <f>TEXT(B6019,"aaa")</f>
        <v/>
      </c>
      <c r="D6019" s="94" t="n"/>
      <c r="E6019" s="94" t="inlineStr">
        <is>
          <t>클렌징폼</t>
        </is>
      </c>
      <c r="F6019" s="94" t="inlineStr">
        <is>
          <t>카페24</t>
        </is>
      </c>
      <c r="G6019" s="94" t="inlineStr">
        <is>
          <t>클렌징폼 120ml</t>
        </is>
      </c>
      <c r="H6019" s="7" t="n">
        <v>190801</v>
      </c>
      <c r="I6019" s="7" t="n">
        <v>190801</v>
      </c>
      <c r="J6019" s="94" t="n"/>
      <c r="K6019" s="6" t="n">
        <v>12</v>
      </c>
      <c r="L6019" s="92" t="n">
        <v>190801</v>
      </c>
      <c r="M6019" s="94">
        <f>VLOOKUP($Q6019,매칭테이블!$F:$I,2,0)*K6019</f>
        <v/>
      </c>
      <c r="N6019" s="94">
        <f>M6019-M6019*VLOOKUP($Q6019,매칭테이블!$F:$I,3,0)</f>
        <v/>
      </c>
      <c r="O6019" s="94">
        <f>VLOOKUP($Q6019,매칭테이블!$F:$I,4,0)*K6019</f>
        <v/>
      </c>
      <c r="P6019" s="148">
        <f>M6019/1.1</f>
        <v/>
      </c>
      <c r="Q6019" s="94">
        <f>F6019&amp;E6019&amp;G6019&amp;L6019</f>
        <v/>
      </c>
    </row>
    <row r="6020">
      <c r="A6020" s="94" t="n"/>
      <c r="B6020" s="128" t="n">
        <v>43957</v>
      </c>
      <c r="C6020" s="94">
        <f>TEXT(B6020,"aaa")</f>
        <v/>
      </c>
      <c r="D6020" s="94" t="n"/>
      <c r="E6020" s="94" t="inlineStr">
        <is>
          <t>클렌징폼</t>
        </is>
      </c>
      <c r="F6020" s="94" t="inlineStr">
        <is>
          <t>카페24</t>
        </is>
      </c>
      <c r="G6020" s="94" t="inlineStr">
        <is>
          <t>클렌징폼 120ml 2set</t>
        </is>
      </c>
      <c r="H6020" s="7" t="n">
        <v>190801</v>
      </c>
      <c r="I6020" s="7" t="n">
        <v>190801</v>
      </c>
      <c r="J6020" s="94" t="n"/>
      <c r="K6020" s="6" t="n">
        <v>5</v>
      </c>
      <c r="L6020" s="92" t="n">
        <v>190801</v>
      </c>
      <c r="M6020" s="94">
        <f>VLOOKUP($Q6020,매칭테이블!$F:$I,2,0)*K6020</f>
        <v/>
      </c>
      <c r="N6020" s="94">
        <f>M6020-M6020*VLOOKUP($Q6020,매칭테이블!$F:$I,3,0)</f>
        <v/>
      </c>
      <c r="O6020" s="94">
        <f>VLOOKUP($Q6020,매칭테이블!$F:$I,4,0)*K6020</f>
        <v/>
      </c>
      <c r="P6020" s="148">
        <f>M6020/1.1</f>
        <v/>
      </c>
      <c r="Q6020" s="94">
        <f>F6020&amp;E6020&amp;G6020&amp;L6020</f>
        <v/>
      </c>
    </row>
    <row r="6021">
      <c r="A6021" s="94" t="n"/>
      <c r="B6021" s="128" t="n">
        <v>43957</v>
      </c>
      <c r="C6021" s="94">
        <f>TEXT(B6021,"aaa")</f>
        <v/>
      </c>
      <c r="D6021" s="94" t="n"/>
      <c r="E6021" s="94" t="inlineStr">
        <is>
          <t>클렌징폼</t>
        </is>
      </c>
      <c r="F6021" s="94" t="inlineStr">
        <is>
          <t>카페24</t>
        </is>
      </c>
      <c r="G6021" s="94" t="inlineStr">
        <is>
          <t>클렌징폼 120ml 3set</t>
        </is>
      </c>
      <c r="H6021" s="7" t="n">
        <v>190801</v>
      </c>
      <c r="I6021" s="7" t="n">
        <v>190801</v>
      </c>
      <c r="J6021" s="94" t="n"/>
      <c r="K6021" s="6" t="n">
        <v>1</v>
      </c>
      <c r="L6021" s="92" t="n">
        <v>190801</v>
      </c>
      <c r="M6021" s="94">
        <f>VLOOKUP($Q6021,매칭테이블!$F:$I,2,0)*K6021</f>
        <v/>
      </c>
      <c r="N6021" s="94">
        <f>M6021-M6021*VLOOKUP($Q6021,매칭테이블!$F:$I,3,0)</f>
        <v/>
      </c>
      <c r="O6021" s="94">
        <f>VLOOKUP($Q6021,매칭테이블!$F:$I,4,0)*K6021</f>
        <v/>
      </c>
      <c r="P6021" s="148">
        <f>M6021/1.1</f>
        <v/>
      </c>
      <c r="Q6021" s="94">
        <f>F6021&amp;E6021&amp;G6021&amp;L6021</f>
        <v/>
      </c>
    </row>
    <row r="6022">
      <c r="A6022" s="94" t="n"/>
      <c r="B6022" s="128" t="n">
        <v>43957</v>
      </c>
      <c r="C6022" s="94">
        <f>TEXT(B6022,"aaa")</f>
        <v/>
      </c>
      <c r="D6022" s="94" t="n"/>
      <c r="E6022" s="6" t="inlineStr">
        <is>
          <t>토너</t>
        </is>
      </c>
      <c r="F6022" s="94" t="inlineStr">
        <is>
          <t>큐텐</t>
        </is>
      </c>
      <c r="G6022" s="5" t="inlineStr">
        <is>
          <t>250ml</t>
        </is>
      </c>
      <c r="H6022" s="7" t="n">
        <v>190801</v>
      </c>
      <c r="I6022" s="7" t="n">
        <v>190801</v>
      </c>
      <c r="J6022" s="94" t="n"/>
      <c r="K6022" s="94" t="n">
        <v>38</v>
      </c>
      <c r="L6022" s="94" t="n">
        <v>190801</v>
      </c>
      <c r="M6022" s="94">
        <f>VLOOKUP($Q6022,매칭테이블!$F:$I,2,0)*K6022</f>
        <v/>
      </c>
      <c r="N6022" s="94">
        <f>M6022-M6022*VLOOKUP($Q6022,매칭테이블!$F:$I,3,0)</f>
        <v/>
      </c>
      <c r="O6022" s="94">
        <f>VLOOKUP($Q6022,매칭테이블!$F:$I,4,0)*K6022</f>
        <v/>
      </c>
      <c r="P6022" s="148">
        <f>M6022/1.1</f>
        <v/>
      </c>
      <c r="Q6022" s="94">
        <f>F6022&amp;E6022&amp;G6022&amp;L6022</f>
        <v/>
      </c>
    </row>
    <row r="6023">
      <c r="A6023" s="94" t="n"/>
      <c r="B6023" s="128" t="n">
        <v>43957</v>
      </c>
      <c r="C6023" s="94">
        <f>TEXT(B6023,"aaa")</f>
        <v/>
      </c>
      <c r="D6023" s="94" t="n"/>
      <c r="E6023" s="6" t="inlineStr">
        <is>
          <t>토너</t>
        </is>
      </c>
      <c r="F6023" s="94" t="inlineStr">
        <is>
          <t>큐텐</t>
        </is>
      </c>
      <c r="G6023" s="5" t="inlineStr">
        <is>
          <t>250ml 2set</t>
        </is>
      </c>
      <c r="H6023" s="7" t="n">
        <v>190801</v>
      </c>
      <c r="I6023" s="7" t="n">
        <v>190801</v>
      </c>
      <c r="J6023" s="94" t="n"/>
      <c r="K6023" s="94" t="n">
        <v>8</v>
      </c>
      <c r="L6023" s="94" t="n">
        <v>190801</v>
      </c>
      <c r="M6023" s="94">
        <f>VLOOKUP($Q6023,매칭테이블!$F:$I,2,0)*K6023</f>
        <v/>
      </c>
      <c r="N6023" s="94">
        <f>M6023-M6023*VLOOKUP($Q6023,매칭테이블!$F:$I,3,0)</f>
        <v/>
      </c>
      <c r="O6023" s="94">
        <f>VLOOKUP($Q6023,매칭테이블!$F:$I,4,0)*K6023</f>
        <v/>
      </c>
      <c r="P6023" s="148">
        <f>M6023/1.1</f>
        <v/>
      </c>
      <c r="Q6023" s="94">
        <f>F6023&amp;E6023&amp;G6023&amp;L6023</f>
        <v/>
      </c>
    </row>
    <row r="6024">
      <c r="A6024" s="94" t="n"/>
      <c r="B6024" s="128" t="n">
        <v>43957</v>
      </c>
      <c r="C6024" s="94">
        <f>TEXT(B6024,"aaa")</f>
        <v/>
      </c>
      <c r="D6024" s="94" t="n"/>
      <c r="E6024" s="94" t="inlineStr">
        <is>
          <t>앰플</t>
        </is>
      </c>
      <c r="F6024" s="94" t="inlineStr">
        <is>
          <t>큐텐</t>
        </is>
      </c>
      <c r="G6024" s="94" t="inlineStr">
        <is>
          <t>앰플 30ml</t>
        </is>
      </c>
      <c r="H6024" s="7" t="n">
        <v>190801</v>
      </c>
      <c r="I6024" s="7" t="n">
        <v>190801</v>
      </c>
      <c r="J6024" s="94" t="n"/>
      <c r="K6024" s="94" t="n">
        <v>3</v>
      </c>
      <c r="L6024" s="94" t="n">
        <v>190801</v>
      </c>
      <c r="M6024" s="94">
        <f>VLOOKUP($Q6024,매칭테이블!$F:$I,2,0)*K6024</f>
        <v/>
      </c>
      <c r="N6024" s="94">
        <f>M6024-M6024*VLOOKUP($Q6024,매칭테이블!$F:$I,3,0)</f>
        <v/>
      </c>
      <c r="O6024" s="94">
        <f>VLOOKUP($Q6024,매칭테이블!$F:$I,4,0)*K6024</f>
        <v/>
      </c>
      <c r="P6024" s="148">
        <f>M6024/1.1</f>
        <v/>
      </c>
      <c r="Q6024" s="94">
        <f>F6024&amp;E6024&amp;G6024&amp;L6024</f>
        <v/>
      </c>
    </row>
    <row r="6025">
      <c r="A6025" s="94" t="n"/>
      <c r="B6025" s="128" t="n">
        <v>43957</v>
      </c>
      <c r="C6025" s="94">
        <f>TEXT(B6025,"aaa")</f>
        <v/>
      </c>
      <c r="D6025" s="94" t="n"/>
      <c r="E6025" s="94" t="inlineStr">
        <is>
          <t>마스크팩</t>
        </is>
      </c>
      <c r="F6025" s="94" t="inlineStr">
        <is>
          <t>큐텐</t>
        </is>
      </c>
      <c r="G6025" s="94" t="inlineStr">
        <is>
          <t>마스크팩 10매</t>
        </is>
      </c>
      <c r="H6025" s="7" t="n">
        <v>190801</v>
      </c>
      <c r="I6025" s="7" t="n">
        <v>190801</v>
      </c>
      <c r="J6025" s="94" t="n"/>
      <c r="K6025" s="94" t="n">
        <v>1</v>
      </c>
      <c r="L6025" s="94" t="n">
        <v>190801</v>
      </c>
      <c r="M6025" s="94">
        <f>VLOOKUP($Q6025,매칭테이블!$F:$I,2,0)*K6025</f>
        <v/>
      </c>
      <c r="N6025" s="94">
        <f>M6025-M6025*VLOOKUP($Q6025,매칭테이블!$F:$I,3,0)</f>
        <v/>
      </c>
      <c r="O6025" s="94">
        <f>VLOOKUP($Q6025,매칭테이블!$F:$I,4,0)*K6025</f>
        <v/>
      </c>
      <c r="P6025" s="148">
        <f>M6025/1.1</f>
        <v/>
      </c>
      <c r="Q6025" s="94">
        <f>F6025&amp;E6025&amp;G6025&amp;L6025</f>
        <v/>
      </c>
    </row>
    <row r="6026">
      <c r="A6026" s="94" t="n"/>
      <c r="B6026" s="128" t="n">
        <v>43958</v>
      </c>
      <c r="C6026" s="94">
        <f>TEXT(B6026,"aaa")</f>
        <v/>
      </c>
      <c r="D6026" s="94" t="n"/>
      <c r="E6026" s="6" t="inlineStr">
        <is>
          <t>토너</t>
        </is>
      </c>
      <c r="F6026" s="5" t="inlineStr">
        <is>
          <t>W컨셉</t>
        </is>
      </c>
      <c r="G6026" s="5" t="inlineStr">
        <is>
          <t>250ml</t>
        </is>
      </c>
      <c r="H6026" s="7" t="n">
        <v>190801</v>
      </c>
      <c r="I6026" s="7" t="n">
        <v>190801</v>
      </c>
      <c r="J6026" s="94" t="n"/>
      <c r="K6026" s="6" t="n">
        <v>2</v>
      </c>
      <c r="L6026" s="7" t="n">
        <v>190801</v>
      </c>
      <c r="M6026" s="94">
        <f>VLOOKUP($Q6026,매칭테이블!$F:$I,2,0)*K6026</f>
        <v/>
      </c>
      <c r="N6026" s="94">
        <f>M6026-M6026*VLOOKUP($Q6026,매칭테이블!$F:$I,3,0)</f>
        <v/>
      </c>
      <c r="O6026" s="94">
        <f>VLOOKUP($Q6026,매칭테이블!$F:$I,4,0)*K6026</f>
        <v/>
      </c>
      <c r="P6026" s="148">
        <f>M6026/1.1</f>
        <v/>
      </c>
      <c r="Q6026" s="94">
        <f>F6026&amp;E6026&amp;G6026&amp;L6026</f>
        <v/>
      </c>
    </row>
    <row r="6027">
      <c r="A6027" s="94" t="n"/>
      <c r="B6027" s="128" t="n">
        <v>43958</v>
      </c>
      <c r="C6027" s="94">
        <f>TEXT(B6027,"aaa")</f>
        <v/>
      </c>
      <c r="D6027" s="94" t="n"/>
      <c r="E6027" s="6" t="inlineStr">
        <is>
          <t>토너</t>
        </is>
      </c>
      <c r="F6027" s="5" t="inlineStr">
        <is>
          <t>W컨셉</t>
        </is>
      </c>
      <c r="G6027" s="5" t="inlineStr">
        <is>
          <t>250ml 2set</t>
        </is>
      </c>
      <c r="H6027" s="7" t="n">
        <v>190801</v>
      </c>
      <c r="I6027" s="7" t="n">
        <v>190801</v>
      </c>
      <c r="J6027" s="94" t="n"/>
      <c r="K6027" s="6" t="n">
        <v>5</v>
      </c>
      <c r="L6027" s="7" t="n">
        <v>190801</v>
      </c>
      <c r="M6027" s="94">
        <f>VLOOKUP($Q6027,매칭테이블!$F:$I,2,0)*K6027</f>
        <v/>
      </c>
      <c r="N6027" s="94">
        <f>M6027-M6027*VLOOKUP($Q6027,매칭테이블!$F:$I,3,0)</f>
        <v/>
      </c>
      <c r="O6027" s="94">
        <f>VLOOKUP($Q6027,매칭테이블!$F:$I,4,0)*K6027</f>
        <v/>
      </c>
      <c r="P6027" s="148">
        <f>M6027/1.1</f>
        <v/>
      </c>
      <c r="Q6027" s="94">
        <f>F6027&amp;E6027&amp;G6027&amp;L6027</f>
        <v/>
      </c>
    </row>
    <row r="6028">
      <c r="A6028" s="94" t="n"/>
      <c r="B6028" s="128" t="n">
        <v>43958</v>
      </c>
      <c r="C6028" s="94">
        <f>TEXT(B6028,"aaa")</f>
        <v/>
      </c>
      <c r="D6028" s="94" t="n"/>
      <c r="E6028" s="94" t="inlineStr">
        <is>
          <t>토너</t>
        </is>
      </c>
      <c r="F6028" s="5" t="inlineStr">
        <is>
          <t>스타일쉐어</t>
        </is>
      </c>
      <c r="G6028" s="94" t="inlineStr">
        <is>
          <t>250ml</t>
        </is>
      </c>
      <c r="H6028" s="7" t="n">
        <v>190801</v>
      </c>
      <c r="I6028" s="7" t="n">
        <v>190801</v>
      </c>
      <c r="J6028" s="94" t="n"/>
      <c r="K6028" s="6" t="n">
        <v>4</v>
      </c>
      <c r="L6028" s="7" t="n">
        <v>190801</v>
      </c>
      <c r="M6028" s="94">
        <f>VLOOKUP($Q6028,매칭테이블!$F:$I,2,0)*K6028</f>
        <v/>
      </c>
      <c r="N6028" s="94">
        <f>M6028-M6028*VLOOKUP($Q6028,매칭테이블!$F:$I,3,0)</f>
        <v/>
      </c>
      <c r="O6028" s="94">
        <f>VLOOKUP($Q6028,매칭테이블!$F:$I,4,0)*K6028</f>
        <v/>
      </c>
      <c r="P6028" s="148">
        <f>M6028/1.1</f>
        <v/>
      </c>
      <c r="Q6028" s="94">
        <f>F6028&amp;E6028&amp;G6028&amp;L6028</f>
        <v/>
      </c>
    </row>
    <row r="6029">
      <c r="A6029" s="94" t="n"/>
      <c r="B6029" s="128" t="n">
        <v>43958</v>
      </c>
      <c r="C6029" s="94">
        <f>TEXT(B6029,"aaa")</f>
        <v/>
      </c>
      <c r="D6029" s="94" t="n"/>
      <c r="E6029" s="94" t="inlineStr">
        <is>
          <t>토너</t>
        </is>
      </c>
      <c r="F6029" s="94" t="inlineStr">
        <is>
          <t>글로우데이즈 시코르</t>
        </is>
      </c>
      <c r="G6029" s="94" t="inlineStr">
        <is>
          <t>250ml</t>
        </is>
      </c>
      <c r="H6029" s="7" t="n">
        <v>190801</v>
      </c>
      <c r="I6029" s="7" t="n">
        <v>190801</v>
      </c>
      <c r="J6029" s="94" t="n"/>
      <c r="K6029" s="6" t="n">
        <v>200</v>
      </c>
      <c r="L6029" s="7" t="n">
        <v>190801</v>
      </c>
      <c r="M6029" s="94">
        <f>VLOOKUP($Q6029,매칭테이블!$F:$I,2,0)*K6029</f>
        <v/>
      </c>
      <c r="N6029" s="94">
        <f>M6029-M6029*VLOOKUP($Q6029,매칭테이블!$F:$I,3,0)</f>
        <v/>
      </c>
      <c r="O6029" s="94">
        <f>VLOOKUP($Q6029,매칭테이블!$F:$I,4,0)*K6029</f>
        <v/>
      </c>
      <c r="P6029" s="148">
        <f>M6029/1.1</f>
        <v/>
      </c>
      <c r="Q6029" s="94">
        <f>F6029&amp;E6029&amp;G6029&amp;L6029</f>
        <v/>
      </c>
    </row>
    <row r="6030">
      <c r="A6030" s="94" t="n"/>
      <c r="B6030" s="128" t="n">
        <v>43958</v>
      </c>
      <c r="C6030" s="94">
        <f>TEXT(B6030,"aaa")</f>
        <v/>
      </c>
      <c r="D6030" s="94" t="n"/>
      <c r="E6030" s="94" t="inlineStr">
        <is>
          <t>어성초진정패키지</t>
        </is>
      </c>
      <c r="F6030" s="94" t="inlineStr">
        <is>
          <t>카페24</t>
        </is>
      </c>
      <c r="G6030" s="94" t="inlineStr">
        <is>
          <t>어성초 진정패키지세트</t>
        </is>
      </c>
      <c r="H6030" s="7" t="n">
        <v>190801</v>
      </c>
      <c r="I6030" s="7" t="n">
        <v>190801</v>
      </c>
      <c r="J6030" s="94" t="n"/>
      <c r="K6030" s="6" t="n">
        <v>11</v>
      </c>
      <c r="L6030" s="94" t="n">
        <v>190801</v>
      </c>
      <c r="M6030" s="94">
        <f>VLOOKUP($Q6030,매칭테이블!$F:$I,2,0)*K6030</f>
        <v/>
      </c>
      <c r="N6030" s="94">
        <f>M6030-M6030*VLOOKUP($Q6030,매칭테이블!$F:$I,3,0)</f>
        <v/>
      </c>
      <c r="O6030" s="94">
        <f>VLOOKUP($Q6030,매칭테이블!$F:$I,4,0)*K6030</f>
        <v/>
      </c>
      <c r="P6030" s="148">
        <f>M6030/1.1</f>
        <v/>
      </c>
      <c r="Q6030" s="94">
        <f>F6030&amp;E6030&amp;G6030&amp;L6030</f>
        <v/>
      </c>
    </row>
    <row r="6031">
      <c r="A6031" s="94" t="n"/>
      <c r="B6031" s="128" t="n">
        <v>43958</v>
      </c>
      <c r="C6031" s="94">
        <f>TEXT(B6031,"aaa")</f>
        <v/>
      </c>
      <c r="D6031" s="94" t="n"/>
      <c r="E6031" s="94" t="inlineStr">
        <is>
          <t>머드크림마스크</t>
        </is>
      </c>
      <c r="F6031" s="94" t="inlineStr">
        <is>
          <t>카페24</t>
        </is>
      </c>
      <c r="G6031" s="94" t="inlineStr">
        <is>
          <t>머드크림마스크 100ml</t>
        </is>
      </c>
      <c r="H6031" s="7" t="n">
        <v>190801</v>
      </c>
      <c r="I6031" s="7" t="n">
        <v>190801</v>
      </c>
      <c r="J6031" s="94" t="n"/>
      <c r="K6031" s="6" t="n">
        <v>3</v>
      </c>
      <c r="L6031" s="94" t="n">
        <v>190801</v>
      </c>
      <c r="M6031" s="94">
        <f>VLOOKUP($Q6031,매칭테이블!$F:$I,2,0)*K6031</f>
        <v/>
      </c>
      <c r="N6031" s="94">
        <f>M6031-M6031*VLOOKUP($Q6031,매칭테이블!$F:$I,3,0)</f>
        <v/>
      </c>
      <c r="O6031" s="94">
        <f>VLOOKUP($Q6031,매칭테이블!$F:$I,4,0)*K6031</f>
        <v/>
      </c>
      <c r="P6031" s="148">
        <f>M6031/1.1</f>
        <v/>
      </c>
      <c r="Q6031" s="94">
        <f>F6031&amp;E6031&amp;G6031&amp;L6031</f>
        <v/>
      </c>
    </row>
    <row r="6032">
      <c r="A6032" s="94" t="n"/>
      <c r="B6032" s="128" t="n">
        <v>43958</v>
      </c>
      <c r="C6032" s="94">
        <f>TEXT(B6032,"aaa")</f>
        <v/>
      </c>
      <c r="D6032" s="94" t="n"/>
      <c r="E6032" s="94" t="inlineStr">
        <is>
          <t>머드크림마스크</t>
        </is>
      </c>
      <c r="F6032" s="94" t="inlineStr">
        <is>
          <t>카페24</t>
        </is>
      </c>
      <c r="G6032" s="94" t="inlineStr">
        <is>
          <t>머드크림마스크 100ml 2set</t>
        </is>
      </c>
      <c r="H6032" s="7" t="n">
        <v>190801</v>
      </c>
      <c r="I6032" s="7" t="n">
        <v>190801</v>
      </c>
      <c r="J6032" s="94" t="n"/>
      <c r="K6032" s="6" t="n">
        <v>1</v>
      </c>
      <c r="L6032" s="94" t="n">
        <v>190801</v>
      </c>
      <c r="M6032" s="94">
        <f>VLOOKUP($Q6032,매칭테이블!$F:$I,2,0)*K6032</f>
        <v/>
      </c>
      <c r="N6032" s="94">
        <f>M6032-M6032*VLOOKUP($Q6032,매칭테이블!$F:$I,3,0)</f>
        <v/>
      </c>
      <c r="O6032" s="94">
        <f>VLOOKUP($Q6032,매칭테이블!$F:$I,4,0)*K6032</f>
        <v/>
      </c>
      <c r="P6032" s="148">
        <f>M6032/1.1</f>
        <v/>
      </c>
      <c r="Q6032" s="94">
        <f>F6032&amp;E6032&amp;G6032&amp;L6032</f>
        <v/>
      </c>
    </row>
    <row r="6033">
      <c r="A6033" s="94" t="n"/>
      <c r="B6033" s="128" t="n">
        <v>43958</v>
      </c>
      <c r="C6033" s="94">
        <f>TEXT(B6033,"aaa")</f>
        <v/>
      </c>
      <c r="D6033" s="94" t="n"/>
      <c r="E6033" s="94" t="inlineStr">
        <is>
          <t>마스크팩</t>
        </is>
      </c>
      <c r="F6033" s="94" t="inlineStr">
        <is>
          <t>카페24</t>
        </is>
      </c>
      <c r="G6033" s="94" t="inlineStr">
        <is>
          <t>마스크팩 1매</t>
        </is>
      </c>
      <c r="H6033" s="7" t="n">
        <v>190801</v>
      </c>
      <c r="I6033" s="7" t="n">
        <v>190801</v>
      </c>
      <c r="J6033" s="94" t="n"/>
      <c r="K6033" s="6" t="n">
        <v>2</v>
      </c>
      <c r="L6033" s="94" t="n">
        <v>190801</v>
      </c>
      <c r="M6033" s="94">
        <f>VLOOKUP($Q6033,매칭테이블!$F:$I,2,0)*K6033</f>
        <v/>
      </c>
      <c r="N6033" s="94">
        <f>M6033-M6033*VLOOKUP($Q6033,매칭테이블!$F:$I,3,0)</f>
        <v/>
      </c>
      <c r="O6033" s="94">
        <f>VLOOKUP($Q6033,매칭테이블!$F:$I,4,0)*K6033</f>
        <v/>
      </c>
      <c r="P6033" s="148">
        <f>M6033/1.1</f>
        <v/>
      </c>
      <c r="Q6033" s="94">
        <f>F6033&amp;E6033&amp;G6033&amp;L6033</f>
        <v/>
      </c>
    </row>
    <row r="6034">
      <c r="A6034" s="94" t="n"/>
      <c r="B6034" s="128" t="n">
        <v>43958</v>
      </c>
      <c r="C6034" s="94">
        <f>TEXT(B6034,"aaa")</f>
        <v/>
      </c>
      <c r="D6034" s="94" t="n"/>
      <c r="E6034" s="94" t="inlineStr">
        <is>
          <t>마스크팩</t>
        </is>
      </c>
      <c r="F6034" s="94" t="inlineStr">
        <is>
          <t>카페24</t>
        </is>
      </c>
      <c r="G6034" s="94" t="inlineStr">
        <is>
          <t>마스크팩 10매</t>
        </is>
      </c>
      <c r="H6034" s="7" t="n">
        <v>190801</v>
      </c>
      <c r="I6034" s="7" t="n">
        <v>190801</v>
      </c>
      <c r="J6034" s="94" t="n"/>
      <c r="K6034" s="6" t="n">
        <v>1</v>
      </c>
      <c r="L6034" s="94" t="n">
        <v>190801</v>
      </c>
      <c r="M6034" s="94">
        <f>VLOOKUP($Q6034,매칭테이블!$F:$I,2,0)*K6034</f>
        <v/>
      </c>
      <c r="N6034" s="94">
        <f>M6034-M6034*VLOOKUP($Q6034,매칭테이블!$F:$I,3,0)</f>
        <v/>
      </c>
      <c r="O6034" s="94">
        <f>VLOOKUP($Q6034,매칭테이블!$F:$I,4,0)*K6034</f>
        <v/>
      </c>
      <c r="P6034" s="148">
        <f>M6034/1.1</f>
        <v/>
      </c>
      <c r="Q6034" s="94">
        <f>F6034&amp;E6034&amp;G6034&amp;L6034</f>
        <v/>
      </c>
    </row>
    <row r="6035">
      <c r="A6035" s="94" t="n"/>
      <c r="B6035" s="128" t="n">
        <v>43958</v>
      </c>
      <c r="C6035" s="94">
        <f>TEXT(B6035,"aaa")</f>
        <v/>
      </c>
      <c r="D6035" s="94" t="n"/>
      <c r="E6035" s="6" t="inlineStr">
        <is>
          <t>토너</t>
        </is>
      </c>
      <c r="F6035" s="5" t="inlineStr">
        <is>
          <t>카페24</t>
        </is>
      </c>
      <c r="G6035" s="5" t="inlineStr">
        <is>
          <t>250ml</t>
        </is>
      </c>
      <c r="H6035" s="7" t="n">
        <v>190801</v>
      </c>
      <c r="I6035" s="7" t="n">
        <v>190801</v>
      </c>
      <c r="J6035" s="94" t="n"/>
      <c r="K6035" s="6" t="n">
        <v>56</v>
      </c>
      <c r="L6035" s="7" t="n">
        <v>190801</v>
      </c>
      <c r="M6035" s="94">
        <f>VLOOKUP($Q6035,매칭테이블!$F:$I,2,0)*K6035</f>
        <v/>
      </c>
      <c r="N6035" s="94">
        <f>M6035-M6035*VLOOKUP($Q6035,매칭테이블!$F:$I,3,0)</f>
        <v/>
      </c>
      <c r="O6035" s="94">
        <f>VLOOKUP($Q6035,매칭테이블!$F:$I,4,0)*K6035</f>
        <v/>
      </c>
      <c r="P6035" s="148">
        <f>M6035/1.1</f>
        <v/>
      </c>
      <c r="Q6035" s="94">
        <f>F6035&amp;E6035&amp;G6035&amp;L6035</f>
        <v/>
      </c>
    </row>
    <row r="6036">
      <c r="A6036" s="94" t="n"/>
      <c r="B6036" s="128" t="n">
        <v>43958</v>
      </c>
      <c r="C6036" s="94">
        <f>TEXT(B6036,"aaa")</f>
        <v/>
      </c>
      <c r="D6036" s="94" t="n"/>
      <c r="E6036" s="6" t="inlineStr">
        <is>
          <t>토너</t>
        </is>
      </c>
      <c r="F6036" s="5" t="inlineStr">
        <is>
          <t>카페24</t>
        </is>
      </c>
      <c r="G6036" s="5" t="inlineStr">
        <is>
          <t>250ml 2set</t>
        </is>
      </c>
      <c r="H6036" s="7" t="n">
        <v>190801</v>
      </c>
      <c r="I6036" s="7" t="n">
        <v>190801</v>
      </c>
      <c r="J6036" s="94" t="n"/>
      <c r="K6036" s="6" t="n">
        <v>52</v>
      </c>
      <c r="L6036" s="7" t="n">
        <v>190801</v>
      </c>
      <c r="M6036" s="94">
        <f>VLOOKUP($Q6036,매칭테이블!$F:$I,2,0)*K6036</f>
        <v/>
      </c>
      <c r="N6036" s="94">
        <f>M6036-M6036*VLOOKUP($Q6036,매칭테이블!$F:$I,3,0)</f>
        <v/>
      </c>
      <c r="O6036" s="94">
        <f>VLOOKUP($Q6036,매칭테이블!$F:$I,4,0)*K6036</f>
        <v/>
      </c>
      <c r="P6036" s="148">
        <f>M6036/1.1</f>
        <v/>
      </c>
      <c r="Q6036" s="94">
        <f>F6036&amp;E6036&amp;G6036&amp;L6036</f>
        <v/>
      </c>
    </row>
    <row r="6037">
      <c r="A6037" s="94" t="n"/>
      <c r="B6037" s="128" t="n">
        <v>43958</v>
      </c>
      <c r="C6037" s="94">
        <f>TEXT(B6037,"aaa")</f>
        <v/>
      </c>
      <c r="D6037" s="94" t="n"/>
      <c r="E6037" s="6" t="inlineStr">
        <is>
          <t>토너</t>
        </is>
      </c>
      <c r="F6037" s="5" t="inlineStr">
        <is>
          <t>카페24</t>
        </is>
      </c>
      <c r="G6037" s="5" t="inlineStr">
        <is>
          <t>500ml</t>
        </is>
      </c>
      <c r="H6037" s="7" t="n">
        <v>190801</v>
      </c>
      <c r="I6037" s="7" t="n">
        <v>190801</v>
      </c>
      <c r="J6037" s="94" t="n"/>
      <c r="K6037" s="6" t="n">
        <v>48</v>
      </c>
      <c r="L6037" s="7" t="n">
        <v>190801</v>
      </c>
      <c r="M6037" s="94">
        <f>VLOOKUP($Q6037,매칭테이블!$F:$I,2,0)*K6037</f>
        <v/>
      </c>
      <c r="N6037" s="94">
        <f>M6037-M6037*VLOOKUP($Q6037,매칭테이블!$F:$I,3,0)</f>
        <v/>
      </c>
      <c r="O6037" s="94">
        <f>VLOOKUP($Q6037,매칭테이블!$F:$I,4,0)*K6037</f>
        <v/>
      </c>
      <c r="P6037" s="148">
        <f>M6037/1.1</f>
        <v/>
      </c>
      <c r="Q6037" s="94">
        <f>F6037&amp;E6037&amp;G6037&amp;L6037</f>
        <v/>
      </c>
    </row>
    <row r="6038">
      <c r="A6038" s="94" t="n"/>
      <c r="B6038" s="128" t="n">
        <v>43958</v>
      </c>
      <c r="C6038" s="94">
        <f>TEXT(B6038,"aaa")</f>
        <v/>
      </c>
      <c r="D6038" s="94" t="n"/>
      <c r="E6038" s="6" t="inlineStr">
        <is>
          <t>토너</t>
        </is>
      </c>
      <c r="F6038" s="5" t="inlineStr">
        <is>
          <t>카페24</t>
        </is>
      </c>
      <c r="G6038" s="94" t="inlineStr">
        <is>
          <t>스킨팩 화장솜 60P</t>
        </is>
      </c>
      <c r="H6038" s="7" t="n">
        <v>190801</v>
      </c>
      <c r="I6038" s="7" t="n">
        <v>190801</v>
      </c>
      <c r="J6038" s="94" t="n"/>
      <c r="K6038" s="6" t="n">
        <v>73</v>
      </c>
      <c r="L6038" s="7" t="n">
        <v>190801</v>
      </c>
      <c r="M6038" s="94">
        <f>VLOOKUP($Q6038,매칭테이블!$F:$I,2,0)*K6038</f>
        <v/>
      </c>
      <c r="N6038" s="94">
        <f>M6038-M6038*VLOOKUP($Q6038,매칭테이블!$F:$I,3,0)</f>
        <v/>
      </c>
      <c r="O6038" s="94">
        <f>VLOOKUP($Q6038,매칭테이블!$F:$I,4,0)*K6038</f>
        <v/>
      </c>
      <c r="P6038" s="148">
        <f>M6038/1.1</f>
        <v/>
      </c>
      <c r="Q6038" s="94">
        <f>F6038&amp;E6038&amp;G6038&amp;L6038</f>
        <v/>
      </c>
    </row>
    <row r="6039">
      <c r="A6039" s="94" t="n"/>
      <c r="B6039" s="128" t="n">
        <v>43958</v>
      </c>
      <c r="C6039" s="94">
        <f>TEXT(B6039,"aaa")</f>
        <v/>
      </c>
      <c r="D6039" s="94" t="n"/>
      <c r="E6039" s="94" t="inlineStr">
        <is>
          <t>앰플</t>
        </is>
      </c>
      <c r="F6039" s="5" t="inlineStr">
        <is>
          <t>카페24</t>
        </is>
      </c>
      <c r="G6039" s="94" t="inlineStr">
        <is>
          <t>앰플 30ml</t>
        </is>
      </c>
      <c r="H6039" s="7" t="n">
        <v>190801</v>
      </c>
      <c r="I6039" s="7" t="n">
        <v>190801</v>
      </c>
      <c r="J6039" s="94" t="n"/>
      <c r="K6039" s="6" t="n">
        <v>13</v>
      </c>
      <c r="L6039" s="94" t="n">
        <v>190801</v>
      </c>
      <c r="M6039" s="94">
        <f>VLOOKUP($Q6039,매칭테이블!$F:$I,2,0)*K6039</f>
        <v/>
      </c>
      <c r="N6039" s="94">
        <f>M6039-M6039*VLOOKUP($Q6039,매칭테이블!$F:$I,3,0)</f>
        <v/>
      </c>
      <c r="O6039" s="94">
        <f>VLOOKUP($Q6039,매칭테이블!$F:$I,4,0)*K6039</f>
        <v/>
      </c>
      <c r="P6039" s="148">
        <f>M6039/1.1</f>
        <v/>
      </c>
      <c r="Q6039" s="94">
        <f>F6039&amp;E6039&amp;G6039&amp;L6039</f>
        <v/>
      </c>
    </row>
    <row r="6040">
      <c r="A6040" s="94" t="n"/>
      <c r="B6040" s="128" t="n">
        <v>43958</v>
      </c>
      <c r="C6040" s="94">
        <f>TEXT(B6040,"aaa")</f>
        <v/>
      </c>
      <c r="D6040" s="94" t="n"/>
      <c r="E6040" s="94" t="inlineStr">
        <is>
          <t>수딩크림</t>
        </is>
      </c>
      <c r="F6040" s="5" t="inlineStr">
        <is>
          <t>카페24</t>
        </is>
      </c>
      <c r="G6040" s="94" t="inlineStr">
        <is>
          <t>수딩크림 100ml</t>
        </is>
      </c>
      <c r="H6040" s="7" t="n">
        <v>190801</v>
      </c>
      <c r="I6040" s="7" t="n">
        <v>190801</v>
      </c>
      <c r="J6040" s="94" t="n"/>
      <c r="K6040" s="6" t="n">
        <v>6</v>
      </c>
      <c r="L6040" s="94" t="n">
        <v>190801</v>
      </c>
      <c r="M6040" s="94">
        <f>VLOOKUP($Q6040,매칭테이블!$F:$I,2,0)*K6040</f>
        <v/>
      </c>
      <c r="N6040" s="94">
        <f>M6040-M6040*VLOOKUP($Q6040,매칭테이블!$F:$I,3,0)</f>
        <v/>
      </c>
      <c r="O6040" s="94">
        <f>VLOOKUP($Q6040,매칭테이블!$F:$I,4,0)*K6040</f>
        <v/>
      </c>
      <c r="P6040" s="148">
        <f>M6040/1.1</f>
        <v/>
      </c>
      <c r="Q6040" s="94">
        <f>F6040&amp;E6040&amp;G6040&amp;L6040</f>
        <v/>
      </c>
    </row>
    <row r="6041">
      <c r="A6041" s="94" t="n"/>
      <c r="B6041" s="128" t="n">
        <v>43958</v>
      </c>
      <c r="C6041" s="94">
        <f>TEXT(B6041,"aaa")</f>
        <v/>
      </c>
      <c r="D6041" s="94" t="n"/>
      <c r="E6041" s="94" t="inlineStr">
        <is>
          <t>클렌징폼</t>
        </is>
      </c>
      <c r="F6041" s="94" t="inlineStr">
        <is>
          <t>카페24</t>
        </is>
      </c>
      <c r="G6041" s="94" t="inlineStr">
        <is>
          <t>클렌징폼 120ml</t>
        </is>
      </c>
      <c r="H6041" s="7" t="n">
        <v>190801</v>
      </c>
      <c r="I6041" s="7" t="n">
        <v>190801</v>
      </c>
      <c r="J6041" s="94" t="n"/>
      <c r="K6041" s="6" t="n">
        <v>11</v>
      </c>
      <c r="L6041" s="92" t="n">
        <v>190801</v>
      </c>
      <c r="M6041" s="94">
        <f>VLOOKUP($Q6041,매칭테이블!$F:$I,2,0)*K6041</f>
        <v/>
      </c>
      <c r="N6041" s="94">
        <f>M6041-M6041*VLOOKUP($Q6041,매칭테이블!$F:$I,3,0)</f>
        <v/>
      </c>
      <c r="O6041" s="94">
        <f>VLOOKUP($Q6041,매칭테이블!$F:$I,4,0)*K6041</f>
        <v/>
      </c>
      <c r="P6041" s="148">
        <f>M6041/1.1</f>
        <v/>
      </c>
      <c r="Q6041" s="94">
        <f>F6041&amp;E6041&amp;G6041&amp;L6041</f>
        <v/>
      </c>
    </row>
    <row r="6042">
      <c r="A6042" s="94" t="n"/>
      <c r="B6042" s="128" t="n">
        <v>43958</v>
      </c>
      <c r="C6042" s="94">
        <f>TEXT(B6042,"aaa")</f>
        <v/>
      </c>
      <c r="D6042" s="94" t="n"/>
      <c r="E6042" s="94" t="inlineStr">
        <is>
          <t>클렌징폼</t>
        </is>
      </c>
      <c r="F6042" s="94" t="inlineStr">
        <is>
          <t>카페24</t>
        </is>
      </c>
      <c r="G6042" s="94" t="inlineStr">
        <is>
          <t>클렌징폼 120ml 2set</t>
        </is>
      </c>
      <c r="H6042" s="7" t="n">
        <v>190801</v>
      </c>
      <c r="I6042" s="7" t="n">
        <v>190801</v>
      </c>
      <c r="J6042" s="94" t="n"/>
      <c r="K6042" s="6" t="n">
        <v>2</v>
      </c>
      <c r="L6042" s="92" t="n">
        <v>190801</v>
      </c>
      <c r="M6042" s="94">
        <f>VLOOKUP($Q6042,매칭테이블!$F:$I,2,0)*K6042</f>
        <v/>
      </c>
      <c r="N6042" s="94">
        <f>M6042-M6042*VLOOKUP($Q6042,매칭테이블!$F:$I,3,0)</f>
        <v/>
      </c>
      <c r="O6042" s="94">
        <f>VLOOKUP($Q6042,매칭테이블!$F:$I,4,0)*K6042</f>
        <v/>
      </c>
      <c r="P6042" s="148">
        <f>M6042/1.1</f>
        <v/>
      </c>
      <c r="Q6042" s="94">
        <f>F6042&amp;E6042&amp;G6042&amp;L6042</f>
        <v/>
      </c>
    </row>
    <row r="6043">
      <c r="A6043" s="94" t="n"/>
      <c r="B6043" s="128" t="n">
        <v>43958</v>
      </c>
      <c r="C6043" s="94">
        <f>TEXT(B6043,"aaa")</f>
        <v/>
      </c>
      <c r="D6043" s="94" t="n"/>
      <c r="E6043" s="6" t="inlineStr">
        <is>
          <t>토너</t>
        </is>
      </c>
      <c r="F6043" s="94" t="inlineStr">
        <is>
          <t>큐텐</t>
        </is>
      </c>
      <c r="G6043" s="5" t="inlineStr">
        <is>
          <t>250ml</t>
        </is>
      </c>
      <c r="H6043" s="7" t="n">
        <v>190801</v>
      </c>
      <c r="I6043" s="7" t="n">
        <v>190801</v>
      </c>
      <c r="J6043" s="94" t="n"/>
      <c r="K6043" s="6" t="n">
        <v>11</v>
      </c>
      <c r="L6043" s="94" t="n">
        <v>190801</v>
      </c>
      <c r="M6043" s="94">
        <f>VLOOKUP($Q6043,매칭테이블!$F:$I,2,0)*K6043</f>
        <v/>
      </c>
      <c r="N6043" s="94">
        <f>M6043-M6043*VLOOKUP($Q6043,매칭테이블!$F:$I,3,0)</f>
        <v/>
      </c>
      <c r="O6043" s="94">
        <f>VLOOKUP($Q6043,매칭테이블!$F:$I,4,0)*K6043</f>
        <v/>
      </c>
      <c r="P6043" s="148">
        <f>M6043/1.1</f>
        <v/>
      </c>
      <c r="Q6043" s="94">
        <f>F6043&amp;E6043&amp;G6043&amp;L6043</f>
        <v/>
      </c>
    </row>
    <row r="6044">
      <c r="A6044" s="94" t="n"/>
      <c r="B6044" s="128" t="n">
        <v>43958</v>
      </c>
      <c r="C6044" s="94">
        <f>TEXT(B6044,"aaa")</f>
        <v/>
      </c>
      <c r="D6044" s="94" t="n"/>
      <c r="E6044" s="6" t="inlineStr">
        <is>
          <t>토너</t>
        </is>
      </c>
      <c r="F6044" s="94" t="inlineStr">
        <is>
          <t>큐텐</t>
        </is>
      </c>
      <c r="G6044" s="5" t="inlineStr">
        <is>
          <t>250ml 2set</t>
        </is>
      </c>
      <c r="H6044" s="7" t="n">
        <v>190801</v>
      </c>
      <c r="I6044" s="7" t="n">
        <v>190801</v>
      </c>
      <c r="J6044" s="94" t="n"/>
      <c r="K6044" s="6" t="n">
        <v>7</v>
      </c>
      <c r="L6044" s="94" t="n">
        <v>190801</v>
      </c>
      <c r="M6044" s="94">
        <f>VLOOKUP($Q6044,매칭테이블!$F:$I,2,0)*K6044</f>
        <v/>
      </c>
      <c r="N6044" s="94">
        <f>M6044-M6044*VLOOKUP($Q6044,매칭테이블!$F:$I,3,0)</f>
        <v/>
      </c>
      <c r="O6044" s="94">
        <f>VLOOKUP($Q6044,매칭테이블!$F:$I,4,0)*K6044</f>
        <v/>
      </c>
      <c r="P6044" s="148">
        <f>M6044/1.1</f>
        <v/>
      </c>
      <c r="Q6044" s="94">
        <f>F6044&amp;E6044&amp;G6044&amp;L6044</f>
        <v/>
      </c>
    </row>
    <row r="6045">
      <c r="A6045" s="94" t="n"/>
      <c r="B6045" s="128" t="n">
        <v>43958</v>
      </c>
      <c r="C6045" s="94">
        <f>TEXT(B6045,"aaa")</f>
        <v/>
      </c>
      <c r="D6045" s="94" t="n"/>
      <c r="E6045" s="94" t="inlineStr">
        <is>
          <t>앰플</t>
        </is>
      </c>
      <c r="F6045" s="94" t="inlineStr">
        <is>
          <t>큐텐</t>
        </is>
      </c>
      <c r="G6045" s="94" t="inlineStr">
        <is>
          <t>앰플 30ml</t>
        </is>
      </c>
      <c r="H6045" s="7" t="n">
        <v>190801</v>
      </c>
      <c r="I6045" s="7" t="n">
        <v>190801</v>
      </c>
      <c r="J6045" s="94" t="n"/>
      <c r="K6045" s="6" t="n">
        <v>1</v>
      </c>
      <c r="L6045" s="94" t="n">
        <v>190801</v>
      </c>
      <c r="M6045" s="94">
        <f>VLOOKUP($Q6045,매칭테이블!$F:$I,2,0)*K6045</f>
        <v/>
      </c>
      <c r="N6045" s="94">
        <f>M6045-M6045*VLOOKUP($Q6045,매칭테이블!$F:$I,3,0)</f>
        <v/>
      </c>
      <c r="O6045" s="94">
        <f>VLOOKUP($Q6045,매칭테이블!$F:$I,4,0)*K6045</f>
        <v/>
      </c>
      <c r="P6045" s="148">
        <f>M6045/1.1</f>
        <v/>
      </c>
      <c r="Q6045" s="94">
        <f>F6045&amp;E6045&amp;G6045&amp;L6045</f>
        <v/>
      </c>
    </row>
    <row r="6046">
      <c r="A6046" s="94" t="n"/>
      <c r="B6046" s="128" t="n">
        <v>43958</v>
      </c>
      <c r="C6046" s="94">
        <f>TEXT(B6046,"aaa")</f>
        <v/>
      </c>
      <c r="D6046" s="94" t="n"/>
      <c r="E6046" s="94" t="inlineStr">
        <is>
          <t>클렌징폼</t>
        </is>
      </c>
      <c r="F6046" s="94" t="inlineStr">
        <is>
          <t>큐텐</t>
        </is>
      </c>
      <c r="G6046" s="94" t="inlineStr">
        <is>
          <t>클렌징폼 120ml</t>
        </is>
      </c>
      <c r="H6046" s="7" t="n">
        <v>190801</v>
      </c>
      <c r="I6046" s="7" t="n">
        <v>190801</v>
      </c>
      <c r="J6046" s="94" t="n"/>
      <c r="K6046" s="6" t="n">
        <v>1</v>
      </c>
      <c r="L6046" s="92" t="n">
        <v>190801</v>
      </c>
      <c r="M6046" s="94">
        <f>VLOOKUP($Q6046,매칭테이블!$F:$I,2,0)*K6046</f>
        <v/>
      </c>
      <c r="N6046" s="94">
        <f>M6046-M6046*VLOOKUP($Q6046,매칭테이블!$F:$I,3,0)</f>
        <v/>
      </c>
      <c r="O6046" s="94">
        <f>VLOOKUP($Q6046,매칭테이블!$F:$I,4,0)*K6046</f>
        <v/>
      </c>
      <c r="P6046" s="148">
        <f>M6046/1.1</f>
        <v/>
      </c>
      <c r="Q6046" s="94">
        <f>F6046&amp;E6046&amp;G6046&amp;L6046</f>
        <v/>
      </c>
    </row>
    <row r="6047">
      <c r="A6047" s="94" t="n"/>
      <c r="B6047" s="128" t="n">
        <v>43959</v>
      </c>
      <c r="C6047" s="94">
        <f>TEXT(B6047,"aaa")</f>
        <v/>
      </c>
      <c r="D6047" s="94" t="n"/>
      <c r="E6047" s="6" t="inlineStr">
        <is>
          <t>토너</t>
        </is>
      </c>
      <c r="F6047" s="5" t="inlineStr">
        <is>
          <t>W컨셉</t>
        </is>
      </c>
      <c r="G6047" s="5" t="inlineStr">
        <is>
          <t>250ml</t>
        </is>
      </c>
      <c r="H6047" s="7" t="n">
        <v>190801</v>
      </c>
      <c r="I6047" s="7" t="n">
        <v>190801</v>
      </c>
      <c r="J6047" s="94" t="n"/>
      <c r="K6047" s="6" t="n">
        <v>1</v>
      </c>
      <c r="L6047" s="7" t="n">
        <v>190801</v>
      </c>
      <c r="M6047" s="94">
        <f>VLOOKUP($Q6047,매칭테이블!$F:$I,2,0)*K6047</f>
        <v/>
      </c>
      <c r="N6047" s="94">
        <f>M6047-M6047*VLOOKUP($Q6047,매칭테이블!$F:$I,3,0)</f>
        <v/>
      </c>
      <c r="O6047" s="94">
        <f>VLOOKUP($Q6047,매칭테이블!$F:$I,4,0)*K6047</f>
        <v/>
      </c>
      <c r="P6047" s="148">
        <f>M6047/1.1</f>
        <v/>
      </c>
      <c r="Q6047" s="94">
        <f>F6047&amp;E6047&amp;G6047&amp;L6047</f>
        <v/>
      </c>
    </row>
    <row r="6048">
      <c r="A6048" s="94" t="n"/>
      <c r="B6048" s="128" t="n">
        <v>43959</v>
      </c>
      <c r="C6048" s="94">
        <f>TEXT(B6048,"aaa")</f>
        <v/>
      </c>
      <c r="D6048" s="94" t="n"/>
      <c r="E6048" s="6" t="inlineStr">
        <is>
          <t>토너</t>
        </is>
      </c>
      <c r="F6048" s="5" t="inlineStr">
        <is>
          <t>W컨셉</t>
        </is>
      </c>
      <c r="G6048" s="5" t="inlineStr">
        <is>
          <t>250ml 2set</t>
        </is>
      </c>
      <c r="H6048" s="7" t="n">
        <v>190801</v>
      </c>
      <c r="I6048" s="7" t="n">
        <v>190801</v>
      </c>
      <c r="J6048" s="94" t="n"/>
      <c r="K6048" s="6" t="n">
        <v>5</v>
      </c>
      <c r="L6048" s="7" t="n">
        <v>190801</v>
      </c>
      <c r="M6048" s="94">
        <f>VLOOKUP($Q6048,매칭테이블!$F:$I,2,0)*K6048</f>
        <v/>
      </c>
      <c r="N6048" s="94">
        <f>M6048-M6048*VLOOKUP($Q6048,매칭테이블!$F:$I,3,0)</f>
        <v/>
      </c>
      <c r="O6048" s="94">
        <f>VLOOKUP($Q6048,매칭테이블!$F:$I,4,0)*K6048</f>
        <v/>
      </c>
      <c r="P6048" s="148">
        <f>M6048/1.1</f>
        <v/>
      </c>
      <c r="Q6048" s="94">
        <f>F6048&amp;E6048&amp;G6048&amp;L6048</f>
        <v/>
      </c>
    </row>
    <row r="6049">
      <c r="A6049" s="94" t="n"/>
      <c r="B6049" s="128" t="n">
        <v>43959</v>
      </c>
      <c r="C6049" s="94">
        <f>TEXT(B6049,"aaa")</f>
        <v/>
      </c>
      <c r="D6049" s="94" t="n"/>
      <c r="E6049" s="94" t="inlineStr">
        <is>
          <t>토너</t>
        </is>
      </c>
      <c r="F6049" s="5" t="inlineStr">
        <is>
          <t>스타일쉐어</t>
        </is>
      </c>
      <c r="G6049" s="94" t="inlineStr">
        <is>
          <t>250ml</t>
        </is>
      </c>
      <c r="H6049" s="7" t="n">
        <v>190801</v>
      </c>
      <c r="I6049" s="7" t="n">
        <v>190801</v>
      </c>
      <c r="J6049" s="94" t="n"/>
      <c r="K6049" s="6" t="n">
        <v>2</v>
      </c>
      <c r="L6049" s="7" t="n">
        <v>190801</v>
      </c>
      <c r="M6049" s="94">
        <f>VLOOKUP($Q6049,매칭테이블!$F:$I,2,0)*K6049</f>
        <v/>
      </c>
      <c r="N6049" s="94">
        <f>M6049-M6049*VLOOKUP($Q6049,매칭테이블!$F:$I,3,0)</f>
        <v/>
      </c>
      <c r="O6049" s="94">
        <f>VLOOKUP($Q6049,매칭테이블!$F:$I,4,0)*K6049</f>
        <v/>
      </c>
      <c r="P6049" s="148">
        <f>M6049/1.1</f>
        <v/>
      </c>
      <c r="Q6049" s="94">
        <f>F6049&amp;E6049&amp;G6049&amp;L6049</f>
        <v/>
      </c>
    </row>
    <row r="6050">
      <c r="A6050" s="94" t="n"/>
      <c r="B6050" s="128" t="n">
        <v>43959</v>
      </c>
      <c r="C6050" s="94">
        <f>TEXT(B6050,"aaa")</f>
        <v/>
      </c>
      <c r="D6050" s="94" t="n"/>
      <c r="E6050" s="94" t="inlineStr">
        <is>
          <t>어성초진정패키지</t>
        </is>
      </c>
      <c r="F6050" s="94" t="inlineStr">
        <is>
          <t>카페24</t>
        </is>
      </c>
      <c r="G6050" s="94" t="inlineStr">
        <is>
          <t>어성초 진정패키지세트</t>
        </is>
      </c>
      <c r="H6050" s="7" t="n">
        <v>190801</v>
      </c>
      <c r="I6050" s="7" t="n">
        <v>190801</v>
      </c>
      <c r="J6050" s="94" t="n"/>
      <c r="K6050" s="6" t="n">
        <v>6</v>
      </c>
      <c r="L6050" s="94" t="n">
        <v>190801</v>
      </c>
      <c r="M6050" s="94">
        <f>VLOOKUP($Q6050,매칭테이블!$F:$I,2,0)*K6050</f>
        <v/>
      </c>
      <c r="N6050" s="94">
        <f>M6050-M6050*VLOOKUP($Q6050,매칭테이블!$F:$I,3,0)</f>
        <v/>
      </c>
      <c r="O6050" s="94">
        <f>VLOOKUP($Q6050,매칭테이블!$F:$I,4,0)*K6050</f>
        <v/>
      </c>
      <c r="P6050" s="148">
        <f>M6050/1.1</f>
        <v/>
      </c>
      <c r="Q6050" s="94">
        <f>F6050&amp;E6050&amp;G6050&amp;L6050</f>
        <v/>
      </c>
    </row>
    <row r="6051">
      <c r="A6051" s="94" t="n"/>
      <c r="B6051" s="128" t="n">
        <v>43959</v>
      </c>
      <c r="C6051" s="94">
        <f>TEXT(B6051,"aaa")</f>
        <v/>
      </c>
      <c r="D6051" s="94" t="n"/>
      <c r="E6051" s="94" t="inlineStr">
        <is>
          <t>머드크림마스크</t>
        </is>
      </c>
      <c r="F6051" s="94" t="inlineStr">
        <is>
          <t>카페24</t>
        </is>
      </c>
      <c r="G6051" s="94" t="inlineStr">
        <is>
          <t>머드크림마스크 100ml</t>
        </is>
      </c>
      <c r="H6051" s="7" t="n">
        <v>190801</v>
      </c>
      <c r="I6051" s="7" t="n">
        <v>190801</v>
      </c>
      <c r="J6051" s="94" t="n"/>
      <c r="K6051" s="6" t="n">
        <v>1</v>
      </c>
      <c r="L6051" s="94" t="n">
        <v>190801</v>
      </c>
      <c r="M6051" s="94">
        <f>VLOOKUP($Q6051,매칭테이블!$F:$I,2,0)*K6051</f>
        <v/>
      </c>
      <c r="N6051" s="94">
        <f>M6051-M6051*VLOOKUP($Q6051,매칭테이블!$F:$I,3,0)</f>
        <v/>
      </c>
      <c r="O6051" s="94">
        <f>VLOOKUP($Q6051,매칭테이블!$F:$I,4,0)*K6051</f>
        <v/>
      </c>
      <c r="P6051" s="148">
        <f>M6051/1.1</f>
        <v/>
      </c>
      <c r="Q6051" s="94">
        <f>F6051&amp;E6051&amp;G6051&amp;L6051</f>
        <v/>
      </c>
    </row>
    <row r="6052">
      <c r="A6052" s="94" t="n"/>
      <c r="B6052" s="128" t="n">
        <v>43959</v>
      </c>
      <c r="C6052" s="94">
        <f>TEXT(B6052,"aaa")</f>
        <v/>
      </c>
      <c r="D6052" s="94" t="n"/>
      <c r="E6052" s="94" t="inlineStr">
        <is>
          <t>마스크팩</t>
        </is>
      </c>
      <c r="F6052" s="94" t="inlineStr">
        <is>
          <t>카페24</t>
        </is>
      </c>
      <c r="G6052" s="94" t="inlineStr">
        <is>
          <t>마스크팩 1매</t>
        </is>
      </c>
      <c r="H6052" s="7" t="n">
        <v>190801</v>
      </c>
      <c r="I6052" s="7" t="n">
        <v>190801</v>
      </c>
      <c r="J6052" s="94" t="n"/>
      <c r="K6052" s="6" t="n">
        <v>3</v>
      </c>
      <c r="L6052" s="94" t="n">
        <v>190801</v>
      </c>
      <c r="M6052" s="94">
        <f>VLOOKUP($Q6052,매칭테이블!$F:$I,2,0)*K6052</f>
        <v/>
      </c>
      <c r="N6052" s="94">
        <f>M6052-M6052*VLOOKUP($Q6052,매칭테이블!$F:$I,3,0)</f>
        <v/>
      </c>
      <c r="O6052" s="94">
        <f>VLOOKUP($Q6052,매칭테이블!$F:$I,4,0)*K6052</f>
        <v/>
      </c>
      <c r="P6052" s="148">
        <f>M6052/1.1</f>
        <v/>
      </c>
      <c r="Q6052" s="94">
        <f>F6052&amp;E6052&amp;G6052&amp;L6052</f>
        <v/>
      </c>
    </row>
    <row r="6053">
      <c r="A6053" s="94" t="n"/>
      <c r="B6053" s="128" t="n">
        <v>43959</v>
      </c>
      <c r="C6053" s="94">
        <f>TEXT(B6053,"aaa")</f>
        <v/>
      </c>
      <c r="D6053" s="94" t="n"/>
      <c r="E6053" s="94" t="inlineStr">
        <is>
          <t>마스크팩</t>
        </is>
      </c>
      <c r="F6053" s="94" t="inlineStr">
        <is>
          <t>카페24</t>
        </is>
      </c>
      <c r="G6053" s="94" t="inlineStr">
        <is>
          <t>마스크팩 10매</t>
        </is>
      </c>
      <c r="H6053" s="7" t="n">
        <v>190801</v>
      </c>
      <c r="I6053" s="7" t="n">
        <v>190801</v>
      </c>
      <c r="J6053" s="94" t="n"/>
      <c r="K6053" s="6" t="n">
        <v>6</v>
      </c>
      <c r="L6053" s="94" t="n">
        <v>190801</v>
      </c>
      <c r="M6053" s="94">
        <f>VLOOKUP($Q6053,매칭테이블!$F:$I,2,0)*K6053</f>
        <v/>
      </c>
      <c r="N6053" s="94">
        <f>M6053-M6053*VLOOKUP($Q6053,매칭테이블!$F:$I,3,0)</f>
        <v/>
      </c>
      <c r="O6053" s="94">
        <f>VLOOKUP($Q6053,매칭테이블!$F:$I,4,0)*K6053</f>
        <v/>
      </c>
      <c r="P6053" s="148">
        <f>M6053/1.1</f>
        <v/>
      </c>
      <c r="Q6053" s="94">
        <f>F6053&amp;E6053&amp;G6053&amp;L6053</f>
        <v/>
      </c>
    </row>
    <row r="6054">
      <c r="A6054" s="94" t="n"/>
      <c r="B6054" s="128" t="n">
        <v>43959</v>
      </c>
      <c r="C6054" s="94">
        <f>TEXT(B6054,"aaa")</f>
        <v/>
      </c>
      <c r="D6054" s="94" t="n"/>
      <c r="E6054" s="6" t="inlineStr">
        <is>
          <t>토너</t>
        </is>
      </c>
      <c r="F6054" s="5" t="inlineStr">
        <is>
          <t>카페24</t>
        </is>
      </c>
      <c r="G6054" s="5" t="inlineStr">
        <is>
          <t>250ml</t>
        </is>
      </c>
      <c r="H6054" s="7" t="n">
        <v>190801</v>
      </c>
      <c r="I6054" s="7" t="n">
        <v>190801</v>
      </c>
      <c r="J6054" s="94" t="n"/>
      <c r="K6054" s="6" t="n">
        <v>77</v>
      </c>
      <c r="L6054" s="7" t="n">
        <v>190801</v>
      </c>
      <c r="M6054" s="94">
        <f>VLOOKUP($Q6054,매칭테이블!$F:$I,2,0)*K6054</f>
        <v/>
      </c>
      <c r="N6054" s="94">
        <f>M6054-M6054*VLOOKUP($Q6054,매칭테이블!$F:$I,3,0)</f>
        <v/>
      </c>
      <c r="O6054" s="94">
        <f>VLOOKUP($Q6054,매칭테이블!$F:$I,4,0)*K6054</f>
        <v/>
      </c>
      <c r="P6054" s="148">
        <f>M6054/1.1</f>
        <v/>
      </c>
      <c r="Q6054" s="94">
        <f>F6054&amp;E6054&amp;G6054&amp;L6054</f>
        <v/>
      </c>
    </row>
    <row r="6055">
      <c r="A6055" s="94" t="n"/>
      <c r="B6055" s="128" t="n">
        <v>43959</v>
      </c>
      <c r="C6055" s="94">
        <f>TEXT(B6055,"aaa")</f>
        <v/>
      </c>
      <c r="D6055" s="94" t="n"/>
      <c r="E6055" s="6" t="inlineStr">
        <is>
          <t>토너</t>
        </is>
      </c>
      <c r="F6055" s="5" t="inlineStr">
        <is>
          <t>카페24</t>
        </is>
      </c>
      <c r="G6055" s="5" t="inlineStr">
        <is>
          <t>250ml 2set</t>
        </is>
      </c>
      <c r="H6055" s="7" t="n">
        <v>190801</v>
      </c>
      <c r="I6055" s="7" t="n">
        <v>190801</v>
      </c>
      <c r="J6055" s="94" t="n"/>
      <c r="K6055" s="6" t="n">
        <v>76</v>
      </c>
      <c r="L6055" s="7" t="n">
        <v>190801</v>
      </c>
      <c r="M6055" s="94">
        <f>VLOOKUP($Q6055,매칭테이블!$F:$I,2,0)*K6055</f>
        <v/>
      </c>
      <c r="N6055" s="94">
        <f>M6055-M6055*VLOOKUP($Q6055,매칭테이블!$F:$I,3,0)</f>
        <v/>
      </c>
      <c r="O6055" s="94">
        <f>VLOOKUP($Q6055,매칭테이블!$F:$I,4,0)*K6055</f>
        <v/>
      </c>
      <c r="P6055" s="148">
        <f>M6055/1.1</f>
        <v/>
      </c>
      <c r="Q6055" s="94">
        <f>F6055&amp;E6055&amp;G6055&amp;L6055</f>
        <v/>
      </c>
    </row>
    <row r="6056">
      <c r="A6056" s="94" t="n"/>
      <c r="B6056" s="128" t="n">
        <v>43959</v>
      </c>
      <c r="C6056" s="94">
        <f>TEXT(B6056,"aaa")</f>
        <v/>
      </c>
      <c r="D6056" s="94" t="n"/>
      <c r="E6056" s="6" t="inlineStr">
        <is>
          <t>토너</t>
        </is>
      </c>
      <c r="F6056" s="5" t="inlineStr">
        <is>
          <t>카페24</t>
        </is>
      </c>
      <c r="G6056" s="5" t="inlineStr">
        <is>
          <t>500ml</t>
        </is>
      </c>
      <c r="H6056" s="7" t="n">
        <v>190801</v>
      </c>
      <c r="I6056" s="7" t="n">
        <v>190801</v>
      </c>
      <c r="J6056" s="94" t="n"/>
      <c r="K6056" s="6" t="n">
        <v>77</v>
      </c>
      <c r="L6056" s="7" t="n">
        <v>190801</v>
      </c>
      <c r="M6056" s="94">
        <f>VLOOKUP($Q6056,매칭테이블!$F:$I,2,0)*K6056</f>
        <v/>
      </c>
      <c r="N6056" s="94">
        <f>M6056-M6056*VLOOKUP($Q6056,매칭테이블!$F:$I,3,0)</f>
        <v/>
      </c>
      <c r="O6056" s="94">
        <f>VLOOKUP($Q6056,매칭테이블!$F:$I,4,0)*K6056</f>
        <v/>
      </c>
      <c r="P6056" s="148">
        <f>M6056/1.1</f>
        <v/>
      </c>
      <c r="Q6056" s="94">
        <f>F6056&amp;E6056&amp;G6056&amp;L6056</f>
        <v/>
      </c>
    </row>
    <row r="6057">
      <c r="A6057" s="94" t="n"/>
      <c r="B6057" s="128" t="n">
        <v>43959</v>
      </c>
      <c r="C6057" s="94">
        <f>TEXT(B6057,"aaa")</f>
        <v/>
      </c>
      <c r="D6057" s="94" t="n"/>
      <c r="E6057" s="6" t="inlineStr">
        <is>
          <t>토너</t>
        </is>
      </c>
      <c r="F6057" s="5" t="inlineStr">
        <is>
          <t>카페24</t>
        </is>
      </c>
      <c r="G6057" s="94" t="inlineStr">
        <is>
          <t>스킨팩 화장솜 60P</t>
        </is>
      </c>
      <c r="H6057" s="7" t="n">
        <v>190801</v>
      </c>
      <c r="I6057" s="7" t="n">
        <v>190801</v>
      </c>
      <c r="J6057" s="94" t="n"/>
      <c r="K6057" s="6" t="n">
        <v>78</v>
      </c>
      <c r="L6057" s="7" t="n">
        <v>190801</v>
      </c>
      <c r="M6057" s="94">
        <f>VLOOKUP($Q6057,매칭테이블!$F:$I,2,0)*K6057</f>
        <v/>
      </c>
      <c r="N6057" s="94">
        <f>M6057-M6057*VLOOKUP($Q6057,매칭테이블!$F:$I,3,0)</f>
        <v/>
      </c>
      <c r="O6057" s="94">
        <f>VLOOKUP($Q6057,매칭테이블!$F:$I,4,0)*K6057</f>
        <v/>
      </c>
      <c r="P6057" s="148">
        <f>M6057/1.1</f>
        <v/>
      </c>
      <c r="Q6057" s="94">
        <f>F6057&amp;E6057&amp;G6057&amp;L6057</f>
        <v/>
      </c>
    </row>
    <row r="6058">
      <c r="A6058" s="94" t="n"/>
      <c r="B6058" s="128" t="n">
        <v>43959</v>
      </c>
      <c r="C6058" s="94">
        <f>TEXT(B6058,"aaa")</f>
        <v/>
      </c>
      <c r="D6058" s="94" t="n"/>
      <c r="E6058" s="94" t="inlineStr">
        <is>
          <t>앰플</t>
        </is>
      </c>
      <c r="F6058" s="5" t="inlineStr">
        <is>
          <t>카페24</t>
        </is>
      </c>
      <c r="G6058" s="94" t="inlineStr">
        <is>
          <t>앰플 30ml</t>
        </is>
      </c>
      <c r="H6058" s="7" t="n">
        <v>190801</v>
      </c>
      <c r="I6058" s="7" t="n">
        <v>190801</v>
      </c>
      <c r="J6058" s="94" t="n"/>
      <c r="K6058" s="6" t="n">
        <v>10</v>
      </c>
      <c r="L6058" s="94" t="n">
        <v>190801</v>
      </c>
      <c r="M6058" s="94">
        <f>VLOOKUP($Q6058,매칭테이블!$F:$I,2,0)*K6058</f>
        <v/>
      </c>
      <c r="N6058" s="94">
        <f>M6058-M6058*VLOOKUP($Q6058,매칭테이블!$F:$I,3,0)</f>
        <v/>
      </c>
      <c r="O6058" s="94">
        <f>VLOOKUP($Q6058,매칭테이블!$F:$I,4,0)*K6058</f>
        <v/>
      </c>
      <c r="P6058" s="148">
        <f>M6058/1.1</f>
        <v/>
      </c>
      <c r="Q6058" s="94">
        <f>F6058&amp;E6058&amp;G6058&amp;L6058</f>
        <v/>
      </c>
    </row>
    <row r="6059">
      <c r="A6059" s="94" t="n"/>
      <c r="B6059" s="128" t="n">
        <v>43959</v>
      </c>
      <c r="C6059" s="94">
        <f>TEXT(B6059,"aaa")</f>
        <v/>
      </c>
      <c r="D6059" s="94" t="n"/>
      <c r="E6059" s="94" t="inlineStr">
        <is>
          <t>수딩크림</t>
        </is>
      </c>
      <c r="F6059" s="5" t="inlineStr">
        <is>
          <t>카페24</t>
        </is>
      </c>
      <c r="G6059" s="94" t="inlineStr">
        <is>
          <t>수딩크림 100ml</t>
        </is>
      </c>
      <c r="H6059" s="7" t="n">
        <v>190801</v>
      </c>
      <c r="I6059" s="7" t="n">
        <v>190801</v>
      </c>
      <c r="J6059" s="94" t="n"/>
      <c r="K6059" s="6" t="n">
        <v>2</v>
      </c>
      <c r="L6059" s="94" t="n">
        <v>190801</v>
      </c>
      <c r="M6059" s="94">
        <f>VLOOKUP($Q6059,매칭테이블!$F:$I,2,0)*K6059</f>
        <v/>
      </c>
      <c r="N6059" s="94">
        <f>M6059-M6059*VLOOKUP($Q6059,매칭테이블!$F:$I,3,0)</f>
        <v/>
      </c>
      <c r="O6059" s="94">
        <f>VLOOKUP($Q6059,매칭테이블!$F:$I,4,0)*K6059</f>
        <v/>
      </c>
      <c r="P6059" s="148">
        <f>M6059/1.1</f>
        <v/>
      </c>
      <c r="Q6059" s="94">
        <f>F6059&amp;E6059&amp;G6059&amp;L6059</f>
        <v/>
      </c>
    </row>
    <row r="6060">
      <c r="A6060" s="94" t="n"/>
      <c r="B6060" s="128" t="n">
        <v>43959</v>
      </c>
      <c r="C6060" s="94">
        <f>TEXT(B6060,"aaa")</f>
        <v/>
      </c>
      <c r="D6060" s="94" t="n"/>
      <c r="E6060" s="6" t="inlineStr">
        <is>
          <t>토너</t>
        </is>
      </c>
      <c r="F6060" s="94" t="inlineStr">
        <is>
          <t>큐텐</t>
        </is>
      </c>
      <c r="G6060" s="5" t="inlineStr">
        <is>
          <t>250ml</t>
        </is>
      </c>
      <c r="H6060" s="7" t="n">
        <v>190801</v>
      </c>
      <c r="I6060" s="7" t="n">
        <v>190801</v>
      </c>
      <c r="J6060" s="94" t="n"/>
      <c r="K6060" s="6" t="n">
        <v>18</v>
      </c>
      <c r="L6060" s="94" t="n">
        <v>190801</v>
      </c>
      <c r="M6060" s="94">
        <f>VLOOKUP($Q6060,매칭테이블!$F:$I,2,0)*K6060</f>
        <v/>
      </c>
      <c r="N6060" s="94">
        <f>M6060-M6060*VLOOKUP($Q6060,매칭테이블!$F:$I,3,0)</f>
        <v/>
      </c>
      <c r="O6060" s="94">
        <f>VLOOKUP($Q6060,매칭테이블!$F:$I,4,0)*K6060</f>
        <v/>
      </c>
      <c r="P6060" s="148">
        <f>M6060/1.1</f>
        <v/>
      </c>
      <c r="Q6060" s="94">
        <f>F6060&amp;E6060&amp;G6060&amp;L6060</f>
        <v/>
      </c>
    </row>
    <row r="6061">
      <c r="A6061" s="94" t="n"/>
      <c r="B6061" s="128" t="n">
        <v>43959</v>
      </c>
      <c r="C6061" s="94">
        <f>TEXT(B6061,"aaa")</f>
        <v/>
      </c>
      <c r="D6061" s="94" t="n"/>
      <c r="E6061" s="6" t="inlineStr">
        <is>
          <t>토너</t>
        </is>
      </c>
      <c r="F6061" s="94" t="inlineStr">
        <is>
          <t>큐텐</t>
        </is>
      </c>
      <c r="G6061" s="5" t="inlineStr">
        <is>
          <t>250ml 2set</t>
        </is>
      </c>
      <c r="H6061" s="7" t="n">
        <v>190801</v>
      </c>
      <c r="I6061" s="7" t="n">
        <v>190801</v>
      </c>
      <c r="J6061" s="94" t="n"/>
      <c r="K6061" s="6" t="n">
        <v>10</v>
      </c>
      <c r="L6061" s="94" t="n">
        <v>190801</v>
      </c>
      <c r="M6061" s="94">
        <f>VLOOKUP($Q6061,매칭테이블!$F:$I,2,0)*K6061</f>
        <v/>
      </c>
      <c r="N6061" s="94">
        <f>M6061-M6061*VLOOKUP($Q6061,매칭테이블!$F:$I,3,0)</f>
        <v/>
      </c>
      <c r="O6061" s="94">
        <f>VLOOKUP($Q6061,매칭테이블!$F:$I,4,0)*K6061</f>
        <v/>
      </c>
      <c r="P6061" s="148">
        <f>M6061/1.1</f>
        <v/>
      </c>
      <c r="Q6061" s="94">
        <f>F6061&amp;E6061&amp;G6061&amp;L6061</f>
        <v/>
      </c>
    </row>
    <row r="6062">
      <c r="A6062" s="94" t="n"/>
      <c r="B6062" s="128" t="n">
        <v>43959</v>
      </c>
      <c r="C6062" s="94">
        <f>TEXT(B6062,"aaa")</f>
        <v/>
      </c>
      <c r="D6062" s="94" t="n"/>
      <c r="E6062" s="94" t="inlineStr">
        <is>
          <t>앰플</t>
        </is>
      </c>
      <c r="F6062" s="94" t="inlineStr">
        <is>
          <t>큐텐</t>
        </is>
      </c>
      <c r="G6062" s="94" t="inlineStr">
        <is>
          <t>앰플 30ml</t>
        </is>
      </c>
      <c r="H6062" s="7" t="n">
        <v>190801</v>
      </c>
      <c r="I6062" s="7" t="n">
        <v>190801</v>
      </c>
      <c r="J6062" s="94" t="n"/>
      <c r="K6062" s="6" t="n">
        <v>3</v>
      </c>
      <c r="L6062" s="94" t="n">
        <v>190801</v>
      </c>
      <c r="M6062" s="94">
        <f>VLOOKUP($Q6062,매칭테이블!$F:$I,2,0)*K6062</f>
        <v/>
      </c>
      <c r="N6062" s="94">
        <f>M6062-M6062*VLOOKUP($Q6062,매칭테이블!$F:$I,3,0)</f>
        <v/>
      </c>
      <c r="O6062" s="94">
        <f>VLOOKUP($Q6062,매칭테이블!$F:$I,4,0)*K6062</f>
        <v/>
      </c>
      <c r="P6062" s="148">
        <f>M6062/1.1</f>
        <v/>
      </c>
      <c r="Q6062" s="94">
        <f>F6062&amp;E6062&amp;G6062&amp;L6062</f>
        <v/>
      </c>
    </row>
    <row r="6063">
      <c r="A6063" s="94" t="n"/>
      <c r="B6063" s="128" t="n">
        <v>43959</v>
      </c>
      <c r="C6063" s="94">
        <f>TEXT(B6063,"aaa")</f>
        <v/>
      </c>
      <c r="D6063" s="94" t="n"/>
      <c r="E6063" s="94" t="inlineStr">
        <is>
          <t>클렌징폼</t>
        </is>
      </c>
      <c r="F6063" s="94" t="inlineStr">
        <is>
          <t>카페24</t>
        </is>
      </c>
      <c r="G6063" s="94" t="inlineStr">
        <is>
          <t>클렌징폼 120ml</t>
        </is>
      </c>
      <c r="H6063" s="7" t="n">
        <v>190801</v>
      </c>
      <c r="I6063" s="7" t="n">
        <v>190801</v>
      </c>
      <c r="J6063" s="94" t="n"/>
      <c r="K6063" s="6" t="n">
        <v>7</v>
      </c>
      <c r="L6063" s="92" t="n">
        <v>190801</v>
      </c>
      <c r="M6063" s="94">
        <f>VLOOKUP($Q6063,매칭테이블!$F:$I,2,0)*K6063</f>
        <v/>
      </c>
      <c r="N6063" s="94">
        <f>M6063-M6063*VLOOKUP($Q6063,매칭테이블!$F:$I,3,0)</f>
        <v/>
      </c>
      <c r="O6063" s="94">
        <f>VLOOKUP($Q6063,매칭테이블!$F:$I,4,0)*K6063</f>
        <v/>
      </c>
      <c r="P6063" s="148">
        <f>M6063/1.1</f>
        <v/>
      </c>
      <c r="Q6063" s="94">
        <f>F6063&amp;E6063&amp;G6063&amp;L6063</f>
        <v/>
      </c>
    </row>
    <row r="6064">
      <c r="A6064" s="94" t="n"/>
      <c r="B6064" s="128" t="n">
        <v>43959</v>
      </c>
      <c r="C6064" s="94">
        <f>TEXT(B6064,"aaa")</f>
        <v/>
      </c>
      <c r="D6064" s="94" t="n"/>
      <c r="E6064" s="94" t="inlineStr">
        <is>
          <t>클렌징폼</t>
        </is>
      </c>
      <c r="F6064" s="94" t="inlineStr">
        <is>
          <t>카페24</t>
        </is>
      </c>
      <c r="G6064" s="94" t="inlineStr">
        <is>
          <t>클렌징폼 120ml 2set</t>
        </is>
      </c>
      <c r="H6064" s="7" t="n">
        <v>190801</v>
      </c>
      <c r="I6064" s="7" t="n">
        <v>190801</v>
      </c>
      <c r="J6064" s="94" t="n"/>
      <c r="K6064" s="6" t="n">
        <v>1</v>
      </c>
      <c r="L6064" s="92" t="n">
        <v>190801</v>
      </c>
      <c r="M6064" s="94">
        <f>VLOOKUP($Q6064,매칭테이블!$F:$I,2,0)*K6064</f>
        <v/>
      </c>
      <c r="N6064" s="94">
        <f>M6064-M6064*VLOOKUP($Q6064,매칭테이블!$F:$I,3,0)</f>
        <v/>
      </c>
      <c r="O6064" s="94">
        <f>VLOOKUP($Q6064,매칭테이블!$F:$I,4,0)*K6064</f>
        <v/>
      </c>
      <c r="P6064" s="148">
        <f>M6064/1.1</f>
        <v/>
      </c>
      <c r="Q6064" s="94">
        <f>F6064&amp;E6064&amp;G6064&amp;L6064</f>
        <v/>
      </c>
    </row>
    <row r="6065">
      <c r="A6065" s="94" t="n"/>
      <c r="B6065" s="128" t="n">
        <v>43959</v>
      </c>
      <c r="C6065" s="94">
        <f>TEXT(B6065,"aaa")</f>
        <v/>
      </c>
      <c r="D6065" s="94" t="n"/>
      <c r="E6065" s="94" t="inlineStr">
        <is>
          <t>클렌징폼</t>
        </is>
      </c>
      <c r="F6065" s="94" t="inlineStr">
        <is>
          <t>카페24</t>
        </is>
      </c>
      <c r="G6065" s="94" t="inlineStr">
        <is>
          <t>클렌징폼 120ml 3set</t>
        </is>
      </c>
      <c r="H6065" s="7" t="n">
        <v>190801</v>
      </c>
      <c r="I6065" s="7" t="n">
        <v>190801</v>
      </c>
      <c r="J6065" s="94" t="n"/>
      <c r="K6065" s="6" t="n">
        <v>1</v>
      </c>
      <c r="L6065" s="92" t="n">
        <v>190801</v>
      </c>
      <c r="M6065" s="94">
        <f>VLOOKUP($Q6065,매칭테이블!$F:$I,2,0)*K6065</f>
        <v/>
      </c>
      <c r="N6065" s="94">
        <f>M6065-M6065*VLOOKUP($Q6065,매칭테이블!$F:$I,3,0)</f>
        <v/>
      </c>
      <c r="O6065" s="94">
        <f>VLOOKUP($Q6065,매칭테이블!$F:$I,4,0)*K6065</f>
        <v/>
      </c>
      <c r="P6065" s="148">
        <f>M6065/1.1</f>
        <v/>
      </c>
      <c r="Q6065" s="94">
        <f>F6065&amp;E6065&amp;G6065&amp;L6065</f>
        <v/>
      </c>
    </row>
    <row r="6066">
      <c r="A6066" s="94" t="n"/>
      <c r="B6066" s="128" t="n">
        <v>43960</v>
      </c>
      <c r="C6066" s="94">
        <f>TEXT(B6066,"aaa")</f>
        <v/>
      </c>
      <c r="D6066" s="94" t="n"/>
      <c r="E6066" s="94" t="inlineStr">
        <is>
          <t>토너</t>
        </is>
      </c>
      <c r="F6066" s="5" t="inlineStr">
        <is>
          <t>스타일쉐어</t>
        </is>
      </c>
      <c r="G6066" s="94" t="inlineStr">
        <is>
          <t>250ml</t>
        </is>
      </c>
      <c r="H6066" s="7" t="n">
        <v>190801</v>
      </c>
      <c r="I6066" s="7" t="n">
        <v>190801</v>
      </c>
      <c r="J6066" s="94" t="n"/>
      <c r="K6066" s="6" t="n">
        <v>2</v>
      </c>
      <c r="L6066" s="7" t="n">
        <v>190801</v>
      </c>
      <c r="M6066" s="94">
        <f>VLOOKUP($Q6066,매칭테이블!$F:$I,2,0)*K6066</f>
        <v/>
      </c>
      <c r="N6066" s="94">
        <f>M6066-M6066*VLOOKUP($Q6066,매칭테이블!$F:$I,3,0)</f>
        <v/>
      </c>
      <c r="O6066" s="94">
        <f>VLOOKUP($Q6066,매칭테이블!$F:$I,4,0)*K6066</f>
        <v/>
      </c>
      <c r="P6066" s="148">
        <f>M6066/1.1</f>
        <v/>
      </c>
      <c r="Q6066" s="94">
        <f>F6066&amp;E6066&amp;G6066&amp;L6066</f>
        <v/>
      </c>
    </row>
    <row r="6067">
      <c r="A6067" s="94" t="n"/>
      <c r="B6067" s="128" t="n">
        <v>43960</v>
      </c>
      <c r="C6067" s="94">
        <f>TEXT(B6067,"aaa")</f>
        <v/>
      </c>
      <c r="D6067" s="94" t="n"/>
      <c r="E6067" s="94" t="inlineStr">
        <is>
          <t>어성초진정패키지</t>
        </is>
      </c>
      <c r="F6067" s="94" t="inlineStr">
        <is>
          <t>카페24</t>
        </is>
      </c>
      <c r="G6067" s="94" t="inlineStr">
        <is>
          <t>어성초 진정패키지세트</t>
        </is>
      </c>
      <c r="H6067" s="7" t="n">
        <v>190801</v>
      </c>
      <c r="I6067" s="7" t="n">
        <v>190801</v>
      </c>
      <c r="J6067" s="94" t="n"/>
      <c r="K6067" s="6" t="n">
        <v>2</v>
      </c>
      <c r="L6067" s="94" t="n">
        <v>190801</v>
      </c>
      <c r="M6067" s="94">
        <f>VLOOKUP($Q6067,매칭테이블!$F:$I,2,0)*K6067</f>
        <v/>
      </c>
      <c r="N6067" s="94">
        <f>M6067-M6067*VLOOKUP($Q6067,매칭테이블!$F:$I,3,0)</f>
        <v/>
      </c>
      <c r="O6067" s="94">
        <f>VLOOKUP($Q6067,매칭테이블!$F:$I,4,0)*K6067</f>
        <v/>
      </c>
      <c r="P6067" s="148">
        <f>M6067/1.1</f>
        <v/>
      </c>
      <c r="Q6067" s="94">
        <f>F6067&amp;E6067&amp;G6067&amp;L6067</f>
        <v/>
      </c>
    </row>
    <row r="6068">
      <c r="A6068" s="94" t="n"/>
      <c r="B6068" s="128" t="n">
        <v>43960</v>
      </c>
      <c r="C6068" s="94">
        <f>TEXT(B6068,"aaa")</f>
        <v/>
      </c>
      <c r="D6068" s="94" t="n"/>
      <c r="E6068" s="94" t="inlineStr">
        <is>
          <t>머드크림마스크</t>
        </is>
      </c>
      <c r="F6068" s="94" t="inlineStr">
        <is>
          <t>카페24</t>
        </is>
      </c>
      <c r="G6068" s="94" t="inlineStr">
        <is>
          <t>머드크림마스크 100ml</t>
        </is>
      </c>
      <c r="H6068" s="7" t="n">
        <v>190801</v>
      </c>
      <c r="I6068" s="7" t="n">
        <v>190801</v>
      </c>
      <c r="J6068" s="94" t="n"/>
      <c r="K6068" s="6" t="n">
        <v>2</v>
      </c>
      <c r="L6068" s="94" t="n">
        <v>190801</v>
      </c>
      <c r="M6068" s="94">
        <f>VLOOKUP($Q6068,매칭테이블!$F:$I,2,0)*K6068</f>
        <v/>
      </c>
      <c r="N6068" s="94">
        <f>M6068-M6068*VLOOKUP($Q6068,매칭테이블!$F:$I,3,0)</f>
        <v/>
      </c>
      <c r="O6068" s="94">
        <f>VLOOKUP($Q6068,매칭테이블!$F:$I,4,0)*K6068</f>
        <v/>
      </c>
      <c r="P6068" s="148">
        <f>M6068/1.1</f>
        <v/>
      </c>
      <c r="Q6068" s="94">
        <f>F6068&amp;E6068&amp;G6068&amp;L6068</f>
        <v/>
      </c>
    </row>
    <row r="6069">
      <c r="A6069" s="94" t="n"/>
      <c r="B6069" s="128" t="n">
        <v>43960</v>
      </c>
      <c r="C6069" s="94">
        <f>TEXT(B6069,"aaa")</f>
        <v/>
      </c>
      <c r="D6069" s="94" t="n"/>
      <c r="E6069" s="94" t="inlineStr">
        <is>
          <t>머드크림마스크</t>
        </is>
      </c>
      <c r="F6069" s="94" t="inlineStr">
        <is>
          <t>카페24</t>
        </is>
      </c>
      <c r="G6069" s="94" t="inlineStr">
        <is>
          <t>머드크림마스크 100ml 2set</t>
        </is>
      </c>
      <c r="H6069" s="7" t="n">
        <v>190801</v>
      </c>
      <c r="I6069" s="7" t="n">
        <v>190801</v>
      </c>
      <c r="J6069" s="94" t="n"/>
      <c r="K6069" s="6" t="n">
        <v>2</v>
      </c>
      <c r="L6069" s="94" t="n">
        <v>190801</v>
      </c>
      <c r="M6069" s="94">
        <f>VLOOKUP($Q6069,매칭테이블!$F:$I,2,0)*K6069</f>
        <v/>
      </c>
      <c r="N6069" s="94">
        <f>M6069-M6069*VLOOKUP($Q6069,매칭테이블!$F:$I,3,0)</f>
        <v/>
      </c>
      <c r="O6069" s="94">
        <f>VLOOKUP($Q6069,매칭테이블!$F:$I,4,0)*K6069</f>
        <v/>
      </c>
      <c r="P6069" s="148">
        <f>M6069/1.1</f>
        <v/>
      </c>
      <c r="Q6069" s="94">
        <f>F6069&amp;E6069&amp;G6069&amp;L6069</f>
        <v/>
      </c>
    </row>
    <row r="6070">
      <c r="A6070" s="94" t="n"/>
      <c r="B6070" s="128" t="n">
        <v>43960</v>
      </c>
      <c r="C6070" s="94">
        <f>TEXT(B6070,"aaa")</f>
        <v/>
      </c>
      <c r="D6070" s="94" t="n"/>
      <c r="E6070" s="94" t="inlineStr">
        <is>
          <t>마스크팩</t>
        </is>
      </c>
      <c r="F6070" s="94" t="inlineStr">
        <is>
          <t>카페24</t>
        </is>
      </c>
      <c r="G6070" s="94" t="inlineStr">
        <is>
          <t>마스크팩 1매</t>
        </is>
      </c>
      <c r="H6070" s="7" t="n">
        <v>190801</v>
      </c>
      <c r="I6070" s="7" t="n">
        <v>190801</v>
      </c>
      <c r="J6070" s="94" t="n"/>
      <c r="K6070" s="6" t="n">
        <v>3</v>
      </c>
      <c r="L6070" s="94" t="n">
        <v>190801</v>
      </c>
      <c r="M6070" s="94">
        <f>VLOOKUP($Q6070,매칭테이블!$F:$I,2,0)*K6070</f>
        <v/>
      </c>
      <c r="N6070" s="94">
        <f>M6070-M6070*VLOOKUP($Q6070,매칭테이블!$F:$I,3,0)</f>
        <v/>
      </c>
      <c r="O6070" s="94">
        <f>VLOOKUP($Q6070,매칭테이블!$F:$I,4,0)*K6070</f>
        <v/>
      </c>
      <c r="P6070" s="148">
        <f>M6070/1.1</f>
        <v/>
      </c>
      <c r="Q6070" s="94">
        <f>F6070&amp;E6070&amp;G6070&amp;L6070</f>
        <v/>
      </c>
    </row>
    <row r="6071">
      <c r="A6071" s="94" t="n"/>
      <c r="B6071" s="128" t="n">
        <v>43960</v>
      </c>
      <c r="C6071" s="94">
        <f>TEXT(B6071,"aaa")</f>
        <v/>
      </c>
      <c r="D6071" s="94" t="n"/>
      <c r="E6071" s="94" t="inlineStr">
        <is>
          <t>마스크팩</t>
        </is>
      </c>
      <c r="F6071" s="94" t="inlineStr">
        <is>
          <t>카페24</t>
        </is>
      </c>
      <c r="G6071" s="94" t="inlineStr">
        <is>
          <t>마스크팩 10매</t>
        </is>
      </c>
      <c r="H6071" s="7" t="n">
        <v>190801</v>
      </c>
      <c r="I6071" s="7" t="n">
        <v>190801</v>
      </c>
      <c r="J6071" s="94" t="n"/>
      <c r="K6071" s="6" t="n">
        <v>3</v>
      </c>
      <c r="L6071" s="94" t="n">
        <v>190801</v>
      </c>
      <c r="M6071" s="94">
        <f>VLOOKUP($Q6071,매칭테이블!$F:$I,2,0)*K6071</f>
        <v/>
      </c>
      <c r="N6071" s="94">
        <f>M6071-M6071*VLOOKUP($Q6071,매칭테이블!$F:$I,3,0)</f>
        <v/>
      </c>
      <c r="O6071" s="94">
        <f>VLOOKUP($Q6071,매칭테이블!$F:$I,4,0)*K6071</f>
        <v/>
      </c>
      <c r="P6071" s="148">
        <f>M6071/1.1</f>
        <v/>
      </c>
      <c r="Q6071" s="94">
        <f>F6071&amp;E6071&amp;G6071&amp;L6071</f>
        <v/>
      </c>
    </row>
    <row r="6072">
      <c r="A6072" s="94" t="n"/>
      <c r="B6072" s="128" t="n">
        <v>43960</v>
      </c>
      <c r="C6072" s="94">
        <f>TEXT(B6072,"aaa")</f>
        <v/>
      </c>
      <c r="D6072" s="94" t="n"/>
      <c r="E6072" s="6" t="inlineStr">
        <is>
          <t>토너</t>
        </is>
      </c>
      <c r="F6072" s="5" t="inlineStr">
        <is>
          <t>카페24</t>
        </is>
      </c>
      <c r="G6072" s="5" t="inlineStr">
        <is>
          <t>250ml</t>
        </is>
      </c>
      <c r="H6072" s="7" t="n">
        <v>190801</v>
      </c>
      <c r="I6072" s="7" t="n">
        <v>190801</v>
      </c>
      <c r="J6072" s="94" t="n"/>
      <c r="K6072" s="6" t="n">
        <v>52</v>
      </c>
      <c r="L6072" s="7" t="n">
        <v>190801</v>
      </c>
      <c r="M6072" s="94">
        <f>VLOOKUP($Q6072,매칭테이블!$F:$I,2,0)*K6072</f>
        <v/>
      </c>
      <c r="N6072" s="94">
        <f>M6072-M6072*VLOOKUP($Q6072,매칭테이블!$F:$I,3,0)</f>
        <v/>
      </c>
      <c r="O6072" s="94">
        <f>VLOOKUP($Q6072,매칭테이블!$F:$I,4,0)*K6072</f>
        <v/>
      </c>
      <c r="P6072" s="148">
        <f>M6072/1.1</f>
        <v/>
      </c>
      <c r="Q6072" s="94">
        <f>F6072&amp;E6072&amp;G6072&amp;L6072</f>
        <v/>
      </c>
    </row>
    <row r="6073">
      <c r="A6073" s="94" t="n"/>
      <c r="B6073" s="128" t="n">
        <v>43960</v>
      </c>
      <c r="C6073" s="94">
        <f>TEXT(B6073,"aaa")</f>
        <v/>
      </c>
      <c r="D6073" s="94" t="n"/>
      <c r="E6073" s="6" t="inlineStr">
        <is>
          <t>토너</t>
        </is>
      </c>
      <c r="F6073" s="5" t="inlineStr">
        <is>
          <t>카페24</t>
        </is>
      </c>
      <c r="G6073" s="5" t="inlineStr">
        <is>
          <t>250ml 2set</t>
        </is>
      </c>
      <c r="H6073" s="7" t="n">
        <v>190801</v>
      </c>
      <c r="I6073" s="7" t="n">
        <v>190801</v>
      </c>
      <c r="J6073" s="94" t="n"/>
      <c r="K6073" s="6" t="n">
        <v>35</v>
      </c>
      <c r="L6073" s="7" t="n">
        <v>190801</v>
      </c>
      <c r="M6073" s="94">
        <f>VLOOKUP($Q6073,매칭테이블!$F:$I,2,0)*K6073</f>
        <v/>
      </c>
      <c r="N6073" s="94">
        <f>M6073-M6073*VLOOKUP($Q6073,매칭테이블!$F:$I,3,0)</f>
        <v/>
      </c>
      <c r="O6073" s="94">
        <f>VLOOKUP($Q6073,매칭테이블!$F:$I,4,0)*K6073</f>
        <v/>
      </c>
      <c r="P6073" s="148">
        <f>M6073/1.1</f>
        <v/>
      </c>
      <c r="Q6073" s="94">
        <f>F6073&amp;E6073&amp;G6073&amp;L6073</f>
        <v/>
      </c>
    </row>
    <row r="6074">
      <c r="A6074" s="94" t="n"/>
      <c r="B6074" s="128" t="n">
        <v>43960</v>
      </c>
      <c r="C6074" s="94">
        <f>TEXT(B6074,"aaa")</f>
        <v/>
      </c>
      <c r="D6074" s="94" t="n"/>
      <c r="E6074" s="6" t="inlineStr">
        <is>
          <t>토너</t>
        </is>
      </c>
      <c r="F6074" s="5" t="inlineStr">
        <is>
          <t>카페24</t>
        </is>
      </c>
      <c r="G6074" s="5" t="inlineStr">
        <is>
          <t>500ml</t>
        </is>
      </c>
      <c r="H6074" s="7" t="n">
        <v>190801</v>
      </c>
      <c r="I6074" s="7" t="n">
        <v>190801</v>
      </c>
      <c r="J6074" s="94" t="n"/>
      <c r="K6074" s="6" t="n">
        <v>60</v>
      </c>
      <c r="L6074" s="7" t="n">
        <v>190801</v>
      </c>
      <c r="M6074" s="94">
        <f>VLOOKUP($Q6074,매칭테이블!$F:$I,2,0)*K6074</f>
        <v/>
      </c>
      <c r="N6074" s="94">
        <f>M6074-M6074*VLOOKUP($Q6074,매칭테이블!$F:$I,3,0)</f>
        <v/>
      </c>
      <c r="O6074" s="94">
        <f>VLOOKUP($Q6074,매칭테이블!$F:$I,4,0)*K6074</f>
        <v/>
      </c>
      <c r="P6074" s="148">
        <f>M6074/1.1</f>
        <v/>
      </c>
      <c r="Q6074" s="94">
        <f>F6074&amp;E6074&amp;G6074&amp;L6074</f>
        <v/>
      </c>
    </row>
    <row r="6075">
      <c r="A6075" s="94" t="n"/>
      <c r="B6075" s="128" t="n">
        <v>43960</v>
      </c>
      <c r="C6075" s="94">
        <f>TEXT(B6075,"aaa")</f>
        <v/>
      </c>
      <c r="D6075" s="94" t="n"/>
      <c r="E6075" s="6" t="inlineStr">
        <is>
          <t>토너</t>
        </is>
      </c>
      <c r="F6075" s="5" t="inlineStr">
        <is>
          <t>카페24</t>
        </is>
      </c>
      <c r="G6075" s="94" t="inlineStr">
        <is>
          <t>스킨팩 화장솜 60P</t>
        </is>
      </c>
      <c r="H6075" s="7" t="n">
        <v>190801</v>
      </c>
      <c r="I6075" s="7" t="n">
        <v>190801</v>
      </c>
      <c r="J6075" s="94" t="n"/>
      <c r="K6075" s="6" t="n">
        <v>46</v>
      </c>
      <c r="L6075" s="7" t="n">
        <v>190801</v>
      </c>
      <c r="M6075" s="94">
        <f>VLOOKUP($Q6075,매칭테이블!$F:$I,2,0)*K6075</f>
        <v/>
      </c>
      <c r="N6075" s="94">
        <f>M6075-M6075*VLOOKUP($Q6075,매칭테이블!$F:$I,3,0)</f>
        <v/>
      </c>
      <c r="O6075" s="94">
        <f>VLOOKUP($Q6075,매칭테이블!$F:$I,4,0)*K6075</f>
        <v/>
      </c>
      <c r="P6075" s="148">
        <f>M6075/1.1</f>
        <v/>
      </c>
      <c r="Q6075" s="94">
        <f>F6075&amp;E6075&amp;G6075&amp;L6075</f>
        <v/>
      </c>
    </row>
    <row r="6076">
      <c r="A6076" s="94" t="n"/>
      <c r="B6076" s="128" t="n">
        <v>43960</v>
      </c>
      <c r="C6076" s="94">
        <f>TEXT(B6076,"aaa")</f>
        <v/>
      </c>
      <c r="D6076" s="94" t="n"/>
      <c r="E6076" s="94" t="inlineStr">
        <is>
          <t>앰플</t>
        </is>
      </c>
      <c r="F6076" s="5" t="inlineStr">
        <is>
          <t>카페24</t>
        </is>
      </c>
      <c r="G6076" s="94" t="inlineStr">
        <is>
          <t>앰플 30ml</t>
        </is>
      </c>
      <c r="H6076" s="7" t="n">
        <v>190801</v>
      </c>
      <c r="I6076" s="7" t="n">
        <v>190801</v>
      </c>
      <c r="J6076" s="94" t="n"/>
      <c r="K6076" s="6" t="n">
        <v>16</v>
      </c>
      <c r="L6076" s="94" t="n">
        <v>190801</v>
      </c>
      <c r="M6076" s="94">
        <f>VLOOKUP($Q6076,매칭테이블!$F:$I,2,0)*K6076</f>
        <v/>
      </c>
      <c r="N6076" s="94">
        <f>M6076-M6076*VLOOKUP($Q6076,매칭테이블!$F:$I,3,0)</f>
        <v/>
      </c>
      <c r="O6076" s="94">
        <f>VLOOKUP($Q6076,매칭테이블!$F:$I,4,0)*K6076</f>
        <v/>
      </c>
      <c r="P6076" s="148">
        <f>M6076/1.1</f>
        <v/>
      </c>
      <c r="Q6076" s="94">
        <f>F6076&amp;E6076&amp;G6076&amp;L6076</f>
        <v/>
      </c>
    </row>
    <row r="6077">
      <c r="A6077" s="94" t="n"/>
      <c r="B6077" s="128" t="n">
        <v>43960</v>
      </c>
      <c r="C6077" s="94">
        <f>TEXT(B6077,"aaa")</f>
        <v/>
      </c>
      <c r="D6077" s="94" t="n"/>
      <c r="E6077" s="94" t="inlineStr">
        <is>
          <t>수딩크림</t>
        </is>
      </c>
      <c r="F6077" s="5" t="inlineStr">
        <is>
          <t>카페24</t>
        </is>
      </c>
      <c r="G6077" s="94" t="inlineStr">
        <is>
          <t>수딩크림 100ml</t>
        </is>
      </c>
      <c r="H6077" s="7" t="n">
        <v>190801</v>
      </c>
      <c r="I6077" s="7" t="n">
        <v>190801</v>
      </c>
      <c r="J6077" s="94" t="n"/>
      <c r="K6077" s="6" t="n">
        <v>6</v>
      </c>
      <c r="L6077" s="94" t="n">
        <v>190801</v>
      </c>
      <c r="M6077" s="94">
        <f>VLOOKUP($Q6077,매칭테이블!$F:$I,2,0)*K6077</f>
        <v/>
      </c>
      <c r="N6077" s="94">
        <f>M6077-M6077*VLOOKUP($Q6077,매칭테이블!$F:$I,3,0)</f>
        <v/>
      </c>
      <c r="O6077" s="94">
        <f>VLOOKUP($Q6077,매칭테이블!$F:$I,4,0)*K6077</f>
        <v/>
      </c>
      <c r="P6077" s="148">
        <f>M6077/1.1</f>
        <v/>
      </c>
      <c r="Q6077" s="94">
        <f>F6077&amp;E6077&amp;G6077&amp;L6077</f>
        <v/>
      </c>
    </row>
    <row r="6078">
      <c r="A6078" s="94" t="n"/>
      <c r="B6078" s="128" t="n">
        <v>43960</v>
      </c>
      <c r="C6078" s="94">
        <f>TEXT(B6078,"aaa")</f>
        <v/>
      </c>
      <c r="D6078" s="94" t="n"/>
      <c r="E6078" s="94" t="inlineStr">
        <is>
          <t>클렌징폼</t>
        </is>
      </c>
      <c r="F6078" s="94" t="inlineStr">
        <is>
          <t>카페24</t>
        </is>
      </c>
      <c r="G6078" s="94" t="inlineStr">
        <is>
          <t>클렌징폼 120ml</t>
        </is>
      </c>
      <c r="H6078" s="7" t="n">
        <v>190801</v>
      </c>
      <c r="I6078" s="7" t="n">
        <v>190801</v>
      </c>
      <c r="J6078" s="94" t="n"/>
      <c r="K6078" s="6" t="n">
        <v>7</v>
      </c>
      <c r="L6078" s="92" t="n">
        <v>190801</v>
      </c>
      <c r="M6078" s="94">
        <f>VLOOKUP($Q6078,매칭테이블!$F:$I,2,0)*K6078</f>
        <v/>
      </c>
      <c r="N6078" s="94">
        <f>M6078-M6078*VLOOKUP($Q6078,매칭테이블!$F:$I,3,0)</f>
        <v/>
      </c>
      <c r="O6078" s="94">
        <f>VLOOKUP($Q6078,매칭테이블!$F:$I,4,0)*K6078</f>
        <v/>
      </c>
      <c r="P6078" s="148">
        <f>M6078/1.1</f>
        <v/>
      </c>
      <c r="Q6078" s="94">
        <f>F6078&amp;E6078&amp;G6078&amp;L6078</f>
        <v/>
      </c>
    </row>
    <row r="6079">
      <c r="A6079" s="94" t="n"/>
      <c r="B6079" s="128" t="n">
        <v>43960</v>
      </c>
      <c r="C6079" s="94">
        <f>TEXT(B6079,"aaa")</f>
        <v/>
      </c>
      <c r="D6079" s="94" t="n"/>
      <c r="E6079" s="94" t="inlineStr">
        <is>
          <t>클렌징폼</t>
        </is>
      </c>
      <c r="F6079" s="94" t="inlineStr">
        <is>
          <t>카페24</t>
        </is>
      </c>
      <c r="G6079" s="94" t="inlineStr">
        <is>
          <t>클렌징폼 120ml 3set</t>
        </is>
      </c>
      <c r="H6079" s="7" t="n">
        <v>190801</v>
      </c>
      <c r="I6079" s="7" t="n">
        <v>190801</v>
      </c>
      <c r="J6079" s="94" t="n"/>
      <c r="K6079" s="6" t="n">
        <v>1</v>
      </c>
      <c r="L6079" s="92" t="n">
        <v>190801</v>
      </c>
      <c r="M6079" s="94">
        <f>VLOOKUP($Q6079,매칭테이블!$F:$I,2,0)*K6079</f>
        <v/>
      </c>
      <c r="N6079" s="94">
        <f>M6079-M6079*VLOOKUP($Q6079,매칭테이블!$F:$I,3,0)</f>
        <v/>
      </c>
      <c r="O6079" s="94">
        <f>VLOOKUP($Q6079,매칭테이블!$F:$I,4,0)*K6079</f>
        <v/>
      </c>
      <c r="P6079" s="148">
        <f>M6079/1.1</f>
        <v/>
      </c>
      <c r="Q6079" s="94">
        <f>F6079&amp;E6079&amp;G6079&amp;L6079</f>
        <v/>
      </c>
    </row>
    <row r="6080">
      <c r="A6080" s="94" t="n"/>
      <c r="B6080" s="128" t="n">
        <v>43961</v>
      </c>
      <c r="C6080" s="94">
        <f>TEXT(B6080,"aaa")</f>
        <v/>
      </c>
      <c r="D6080" s="94" t="n"/>
      <c r="E6080" s="94" t="inlineStr">
        <is>
          <t>토너</t>
        </is>
      </c>
      <c r="F6080" s="5" t="inlineStr">
        <is>
          <t>스타일쉐어</t>
        </is>
      </c>
      <c r="G6080" s="94" t="inlineStr">
        <is>
          <t>250ml</t>
        </is>
      </c>
      <c r="H6080" s="7" t="n">
        <v>190801</v>
      </c>
      <c r="I6080" s="7" t="n">
        <v>190801</v>
      </c>
      <c r="J6080" s="94" t="n"/>
      <c r="K6080" s="6" t="n">
        <v>6</v>
      </c>
      <c r="L6080" s="7" t="n">
        <v>190801</v>
      </c>
      <c r="M6080" s="94">
        <f>VLOOKUP($Q6080,매칭테이블!$F:$I,2,0)*K6080</f>
        <v/>
      </c>
      <c r="N6080" s="94">
        <f>M6080-M6080*VLOOKUP($Q6080,매칭테이블!$F:$I,3,0)</f>
        <v/>
      </c>
      <c r="O6080" s="94">
        <f>VLOOKUP($Q6080,매칭테이블!$F:$I,4,0)*K6080</f>
        <v/>
      </c>
      <c r="P6080" s="148">
        <f>M6080/1.1</f>
        <v/>
      </c>
      <c r="Q6080" s="94">
        <f>F6080&amp;E6080&amp;G6080&amp;L6080</f>
        <v/>
      </c>
    </row>
    <row r="6081">
      <c r="A6081" s="94" t="n"/>
      <c r="B6081" s="128" t="n">
        <v>43961</v>
      </c>
      <c r="C6081" s="94">
        <f>TEXT(B6081,"aaa")</f>
        <v/>
      </c>
      <c r="D6081" s="94" t="n"/>
      <c r="E6081" s="94" t="inlineStr">
        <is>
          <t>어성초진정패키지</t>
        </is>
      </c>
      <c r="F6081" s="94" t="inlineStr">
        <is>
          <t>카페24</t>
        </is>
      </c>
      <c r="G6081" s="94" t="inlineStr">
        <is>
          <t>어성초 진정패키지세트</t>
        </is>
      </c>
      <c r="H6081" s="7" t="n">
        <v>190801</v>
      </c>
      <c r="I6081" s="7" t="n">
        <v>190801</v>
      </c>
      <c r="J6081" s="94" t="n"/>
      <c r="K6081" s="6" t="n">
        <v>4</v>
      </c>
      <c r="L6081" s="94" t="n">
        <v>190801</v>
      </c>
      <c r="M6081" s="94">
        <f>VLOOKUP($Q6081,매칭테이블!$F:$I,2,0)*K6081</f>
        <v/>
      </c>
      <c r="N6081" s="94">
        <f>M6081-M6081*VLOOKUP($Q6081,매칭테이블!$F:$I,3,0)</f>
        <v/>
      </c>
      <c r="O6081" s="94">
        <f>VLOOKUP($Q6081,매칭테이블!$F:$I,4,0)*K6081</f>
        <v/>
      </c>
      <c r="P6081" s="148">
        <f>M6081/1.1</f>
        <v/>
      </c>
      <c r="Q6081" s="94">
        <f>F6081&amp;E6081&amp;G6081&amp;L6081</f>
        <v/>
      </c>
    </row>
    <row r="6082">
      <c r="A6082" s="94" t="n"/>
      <c r="B6082" s="128" t="n">
        <v>43961</v>
      </c>
      <c r="C6082" s="94">
        <f>TEXT(B6082,"aaa")</f>
        <v/>
      </c>
      <c r="D6082" s="94" t="n"/>
      <c r="E6082" s="94" t="inlineStr">
        <is>
          <t>머드크림마스크</t>
        </is>
      </c>
      <c r="F6082" s="94" t="inlineStr">
        <is>
          <t>카페24</t>
        </is>
      </c>
      <c r="G6082" s="94" t="inlineStr">
        <is>
          <t>머드크림마스크 100ml</t>
        </is>
      </c>
      <c r="H6082" s="7" t="n">
        <v>190801</v>
      </c>
      <c r="I6082" s="7" t="n">
        <v>190801</v>
      </c>
      <c r="J6082" s="94" t="n"/>
      <c r="K6082" s="6" t="n">
        <v>2</v>
      </c>
      <c r="L6082" s="94" t="n">
        <v>190801</v>
      </c>
      <c r="M6082" s="94">
        <f>VLOOKUP($Q6082,매칭테이블!$F:$I,2,0)*K6082</f>
        <v/>
      </c>
      <c r="N6082" s="94">
        <f>M6082-M6082*VLOOKUP($Q6082,매칭테이블!$F:$I,3,0)</f>
        <v/>
      </c>
      <c r="O6082" s="94">
        <f>VLOOKUP($Q6082,매칭테이블!$F:$I,4,0)*K6082</f>
        <v/>
      </c>
      <c r="P6082" s="148">
        <f>M6082/1.1</f>
        <v/>
      </c>
      <c r="Q6082" s="94">
        <f>F6082&amp;E6082&amp;G6082&amp;L6082</f>
        <v/>
      </c>
    </row>
    <row r="6083">
      <c r="A6083" s="94" t="n"/>
      <c r="B6083" s="128" t="n">
        <v>43961</v>
      </c>
      <c r="C6083" s="94">
        <f>TEXT(B6083,"aaa")</f>
        <v/>
      </c>
      <c r="D6083" s="94" t="n"/>
      <c r="E6083" s="94" t="inlineStr">
        <is>
          <t>마스크팩</t>
        </is>
      </c>
      <c r="F6083" s="94" t="inlineStr">
        <is>
          <t>카페24</t>
        </is>
      </c>
      <c r="G6083" s="94" t="inlineStr">
        <is>
          <t>마스크팩 10매</t>
        </is>
      </c>
      <c r="H6083" s="7" t="n">
        <v>190801</v>
      </c>
      <c r="I6083" s="7" t="n">
        <v>190801</v>
      </c>
      <c r="J6083" s="94" t="n"/>
      <c r="K6083" s="6" t="n">
        <v>1</v>
      </c>
      <c r="L6083" s="94" t="n">
        <v>190801</v>
      </c>
      <c r="M6083" s="94">
        <f>VLOOKUP($Q6083,매칭테이블!$F:$I,2,0)*K6083</f>
        <v/>
      </c>
      <c r="N6083" s="94">
        <f>M6083-M6083*VLOOKUP($Q6083,매칭테이블!$F:$I,3,0)</f>
        <v/>
      </c>
      <c r="O6083" s="94">
        <f>VLOOKUP($Q6083,매칭테이블!$F:$I,4,0)*K6083</f>
        <v/>
      </c>
      <c r="P6083" s="148">
        <f>M6083/1.1</f>
        <v/>
      </c>
      <c r="Q6083" s="94">
        <f>F6083&amp;E6083&amp;G6083&amp;L6083</f>
        <v/>
      </c>
    </row>
    <row r="6084">
      <c r="A6084" s="94" t="n"/>
      <c r="B6084" s="128" t="n">
        <v>43961</v>
      </c>
      <c r="C6084" s="94">
        <f>TEXT(B6084,"aaa")</f>
        <v/>
      </c>
      <c r="D6084" s="94" t="n"/>
      <c r="E6084" s="6" t="inlineStr">
        <is>
          <t>토너</t>
        </is>
      </c>
      <c r="F6084" s="5" t="inlineStr">
        <is>
          <t>카페24</t>
        </is>
      </c>
      <c r="G6084" s="5" t="inlineStr">
        <is>
          <t>250ml</t>
        </is>
      </c>
      <c r="H6084" s="7" t="n">
        <v>190801</v>
      </c>
      <c r="I6084" s="7" t="n">
        <v>190801</v>
      </c>
      <c r="J6084" s="94" t="n"/>
      <c r="K6084" s="6" t="n">
        <v>59</v>
      </c>
      <c r="L6084" s="7" t="n">
        <v>190801</v>
      </c>
      <c r="M6084" s="94">
        <f>VLOOKUP($Q6084,매칭테이블!$F:$I,2,0)*K6084</f>
        <v/>
      </c>
      <c r="N6084" s="94">
        <f>M6084-M6084*VLOOKUP($Q6084,매칭테이블!$F:$I,3,0)</f>
        <v/>
      </c>
      <c r="O6084" s="94">
        <f>VLOOKUP($Q6084,매칭테이블!$F:$I,4,0)*K6084</f>
        <v/>
      </c>
      <c r="P6084" s="148">
        <f>M6084/1.1</f>
        <v/>
      </c>
      <c r="Q6084" s="94">
        <f>F6084&amp;E6084&amp;G6084&amp;L6084</f>
        <v/>
      </c>
    </row>
    <row r="6085">
      <c r="A6085" s="94" t="n"/>
      <c r="B6085" s="128" t="n">
        <v>43961</v>
      </c>
      <c r="C6085" s="94">
        <f>TEXT(B6085,"aaa")</f>
        <v/>
      </c>
      <c r="D6085" s="94" t="n"/>
      <c r="E6085" s="6" t="inlineStr">
        <is>
          <t>토너</t>
        </is>
      </c>
      <c r="F6085" s="5" t="inlineStr">
        <is>
          <t>카페24</t>
        </is>
      </c>
      <c r="G6085" s="5" t="inlineStr">
        <is>
          <t>250ml 2set</t>
        </is>
      </c>
      <c r="H6085" s="7" t="n">
        <v>190801</v>
      </c>
      <c r="I6085" s="7" t="n">
        <v>190801</v>
      </c>
      <c r="J6085" s="94" t="n"/>
      <c r="K6085" s="6" t="n">
        <v>61</v>
      </c>
      <c r="L6085" s="7" t="n">
        <v>190801</v>
      </c>
      <c r="M6085" s="94">
        <f>VLOOKUP($Q6085,매칭테이블!$F:$I,2,0)*K6085</f>
        <v/>
      </c>
      <c r="N6085" s="94">
        <f>M6085-M6085*VLOOKUP($Q6085,매칭테이블!$F:$I,3,0)</f>
        <v/>
      </c>
      <c r="O6085" s="94">
        <f>VLOOKUP($Q6085,매칭테이블!$F:$I,4,0)*K6085</f>
        <v/>
      </c>
      <c r="P6085" s="148">
        <f>M6085/1.1</f>
        <v/>
      </c>
      <c r="Q6085" s="94">
        <f>F6085&amp;E6085&amp;G6085&amp;L6085</f>
        <v/>
      </c>
    </row>
    <row r="6086">
      <c r="A6086" s="94" t="n"/>
      <c r="B6086" s="128" t="n">
        <v>43961</v>
      </c>
      <c r="C6086" s="94">
        <f>TEXT(B6086,"aaa")</f>
        <v/>
      </c>
      <c r="D6086" s="94" t="n"/>
      <c r="E6086" s="6" t="inlineStr">
        <is>
          <t>토너</t>
        </is>
      </c>
      <c r="F6086" s="5" t="inlineStr">
        <is>
          <t>카페24</t>
        </is>
      </c>
      <c r="G6086" s="5" t="inlineStr">
        <is>
          <t>500ml</t>
        </is>
      </c>
      <c r="H6086" s="7" t="n">
        <v>190801</v>
      </c>
      <c r="I6086" s="7" t="n">
        <v>190801</v>
      </c>
      <c r="J6086" s="94" t="n"/>
      <c r="K6086" s="6" t="n">
        <v>58</v>
      </c>
      <c r="L6086" s="7" t="n">
        <v>190801</v>
      </c>
      <c r="M6086" s="94">
        <f>VLOOKUP($Q6086,매칭테이블!$F:$I,2,0)*K6086</f>
        <v/>
      </c>
      <c r="N6086" s="94">
        <f>M6086-M6086*VLOOKUP($Q6086,매칭테이블!$F:$I,3,0)</f>
        <v/>
      </c>
      <c r="O6086" s="94">
        <f>VLOOKUP($Q6086,매칭테이블!$F:$I,4,0)*K6086</f>
        <v/>
      </c>
      <c r="P6086" s="148">
        <f>M6086/1.1</f>
        <v/>
      </c>
      <c r="Q6086" s="94">
        <f>F6086&amp;E6086&amp;G6086&amp;L6086</f>
        <v/>
      </c>
    </row>
    <row r="6087">
      <c r="A6087" s="94" t="n"/>
      <c r="B6087" s="128" t="n">
        <v>43961</v>
      </c>
      <c r="C6087" s="94">
        <f>TEXT(B6087,"aaa")</f>
        <v/>
      </c>
      <c r="D6087" s="94" t="n"/>
      <c r="E6087" s="6" t="inlineStr">
        <is>
          <t>토너</t>
        </is>
      </c>
      <c r="F6087" s="5" t="inlineStr">
        <is>
          <t>카페24</t>
        </is>
      </c>
      <c r="G6087" s="94" t="inlineStr">
        <is>
          <t>스킨팩 화장솜 60P</t>
        </is>
      </c>
      <c r="H6087" s="7" t="n">
        <v>190801</v>
      </c>
      <c r="I6087" s="7" t="n">
        <v>190801</v>
      </c>
      <c r="J6087" s="94" t="n"/>
      <c r="K6087" s="6" t="n">
        <v>67</v>
      </c>
      <c r="L6087" s="7" t="n">
        <v>190801</v>
      </c>
      <c r="M6087" s="94">
        <f>VLOOKUP($Q6087,매칭테이블!$F:$I,2,0)*K6087</f>
        <v/>
      </c>
      <c r="N6087" s="94">
        <f>M6087-M6087*VLOOKUP($Q6087,매칭테이블!$F:$I,3,0)</f>
        <v/>
      </c>
      <c r="O6087" s="94">
        <f>VLOOKUP($Q6087,매칭테이블!$F:$I,4,0)*K6087</f>
        <v/>
      </c>
      <c r="P6087" s="148">
        <f>M6087/1.1</f>
        <v/>
      </c>
      <c r="Q6087" s="94">
        <f>F6087&amp;E6087&amp;G6087&amp;L6087</f>
        <v/>
      </c>
    </row>
    <row r="6088">
      <c r="A6088" s="94" t="n"/>
      <c r="B6088" s="128" t="n">
        <v>43961</v>
      </c>
      <c r="C6088" s="94">
        <f>TEXT(B6088,"aaa")</f>
        <v/>
      </c>
      <c r="D6088" s="94" t="n"/>
      <c r="E6088" s="94" t="inlineStr">
        <is>
          <t>앰플</t>
        </is>
      </c>
      <c r="F6088" s="5" t="inlineStr">
        <is>
          <t>카페24</t>
        </is>
      </c>
      <c r="G6088" s="94" t="inlineStr">
        <is>
          <t>앰플 30ml</t>
        </is>
      </c>
      <c r="H6088" s="7" t="n">
        <v>190801</v>
      </c>
      <c r="I6088" s="7" t="n">
        <v>190801</v>
      </c>
      <c r="J6088" s="94" t="n"/>
      <c r="K6088" s="6" t="n">
        <v>12</v>
      </c>
      <c r="L6088" s="94" t="n">
        <v>190801</v>
      </c>
      <c r="M6088" s="94">
        <f>VLOOKUP($Q6088,매칭테이블!$F:$I,2,0)*K6088</f>
        <v/>
      </c>
      <c r="N6088" s="94">
        <f>M6088-M6088*VLOOKUP($Q6088,매칭테이블!$F:$I,3,0)</f>
        <v/>
      </c>
      <c r="O6088" s="94">
        <f>VLOOKUP($Q6088,매칭테이블!$F:$I,4,0)*K6088</f>
        <v/>
      </c>
      <c r="P6088" s="148">
        <f>M6088/1.1</f>
        <v/>
      </c>
      <c r="Q6088" s="94">
        <f>F6088&amp;E6088&amp;G6088&amp;L6088</f>
        <v/>
      </c>
    </row>
    <row r="6089">
      <c r="A6089" s="94" t="n"/>
      <c r="B6089" s="128" t="n">
        <v>43961</v>
      </c>
      <c r="C6089" s="94">
        <f>TEXT(B6089,"aaa")</f>
        <v/>
      </c>
      <c r="D6089" s="94" t="n"/>
      <c r="E6089" s="94" t="inlineStr">
        <is>
          <t>수딩크림</t>
        </is>
      </c>
      <c r="F6089" s="5" t="inlineStr">
        <is>
          <t>카페24</t>
        </is>
      </c>
      <c r="G6089" s="94" t="inlineStr">
        <is>
          <t>수딩크림 100ml</t>
        </is>
      </c>
      <c r="H6089" s="7" t="n">
        <v>190801</v>
      </c>
      <c r="I6089" s="7" t="n">
        <v>190801</v>
      </c>
      <c r="J6089" s="94" t="n"/>
      <c r="K6089" s="6" t="n">
        <v>5</v>
      </c>
      <c r="L6089" s="94" t="n">
        <v>190801</v>
      </c>
      <c r="M6089" s="94">
        <f>VLOOKUP($Q6089,매칭테이블!$F:$I,2,0)*K6089</f>
        <v/>
      </c>
      <c r="N6089" s="94">
        <f>M6089-M6089*VLOOKUP($Q6089,매칭테이블!$F:$I,3,0)</f>
        <v/>
      </c>
      <c r="O6089" s="94">
        <f>VLOOKUP($Q6089,매칭테이블!$F:$I,4,0)*K6089</f>
        <v/>
      </c>
      <c r="P6089" s="148">
        <f>M6089/1.1</f>
        <v/>
      </c>
      <c r="Q6089" s="94">
        <f>F6089&amp;E6089&amp;G6089&amp;L6089</f>
        <v/>
      </c>
    </row>
    <row r="6090">
      <c r="A6090" s="94" t="n"/>
      <c r="B6090" s="128" t="n">
        <v>43961</v>
      </c>
      <c r="C6090" s="94">
        <f>TEXT(B6090,"aaa")</f>
        <v/>
      </c>
      <c r="D6090" s="94" t="n"/>
      <c r="E6090" s="94" t="inlineStr">
        <is>
          <t>클렌징폼</t>
        </is>
      </c>
      <c r="F6090" s="94" t="inlineStr">
        <is>
          <t>카페24</t>
        </is>
      </c>
      <c r="G6090" s="94" t="inlineStr">
        <is>
          <t>클렌징폼 120ml</t>
        </is>
      </c>
      <c r="H6090" s="7" t="n">
        <v>190801</v>
      </c>
      <c r="I6090" s="7" t="n">
        <v>190801</v>
      </c>
      <c r="J6090" s="94" t="n"/>
      <c r="K6090" s="6" t="n">
        <v>7</v>
      </c>
      <c r="L6090" s="92" t="n">
        <v>190801</v>
      </c>
      <c r="M6090" s="94">
        <f>VLOOKUP($Q6090,매칭테이블!$F:$I,2,0)*K6090</f>
        <v/>
      </c>
      <c r="N6090" s="94">
        <f>M6090-M6090*VLOOKUP($Q6090,매칭테이블!$F:$I,3,0)</f>
        <v/>
      </c>
      <c r="O6090" s="94">
        <f>VLOOKUP($Q6090,매칭테이블!$F:$I,4,0)*K6090</f>
        <v/>
      </c>
      <c r="P6090" s="148">
        <f>M6090/1.1</f>
        <v/>
      </c>
      <c r="Q6090" s="94">
        <f>F6090&amp;E6090&amp;G6090&amp;L6090</f>
        <v/>
      </c>
    </row>
    <row r="6091">
      <c r="A6091" s="94" t="n"/>
      <c r="B6091" s="128" t="n">
        <v>43961</v>
      </c>
      <c r="C6091" s="94">
        <f>TEXT(B6091,"aaa")</f>
        <v/>
      </c>
      <c r="D6091" s="94" t="n"/>
      <c r="E6091" s="94" t="inlineStr">
        <is>
          <t>클렌징폼</t>
        </is>
      </c>
      <c r="F6091" s="94" t="inlineStr">
        <is>
          <t>카페24</t>
        </is>
      </c>
      <c r="G6091" s="94" t="inlineStr">
        <is>
          <t>클렌징폼 120ml 2set</t>
        </is>
      </c>
      <c r="H6091" s="7" t="n">
        <v>190801</v>
      </c>
      <c r="I6091" s="7" t="n">
        <v>190801</v>
      </c>
      <c r="J6091" s="94" t="n"/>
      <c r="K6091" s="6" t="n">
        <v>1</v>
      </c>
      <c r="L6091" s="92" t="n">
        <v>190801</v>
      </c>
      <c r="M6091" s="94">
        <f>VLOOKUP($Q6091,매칭테이블!$F:$I,2,0)*K6091</f>
        <v/>
      </c>
      <c r="N6091" s="94">
        <f>M6091-M6091*VLOOKUP($Q6091,매칭테이블!$F:$I,3,0)</f>
        <v/>
      </c>
      <c r="O6091" s="94">
        <f>VLOOKUP($Q6091,매칭테이블!$F:$I,4,0)*K6091</f>
        <v/>
      </c>
      <c r="P6091" s="148">
        <f>M6091/1.1</f>
        <v/>
      </c>
      <c r="Q6091" s="94">
        <f>F6091&amp;E6091&amp;G6091&amp;L6091</f>
        <v/>
      </c>
    </row>
    <row r="6092">
      <c r="A6092" s="94" t="n"/>
      <c r="B6092" s="128" t="n">
        <v>43961</v>
      </c>
      <c r="C6092" s="94">
        <f>TEXT(B6092,"aaa")</f>
        <v/>
      </c>
      <c r="D6092" s="94" t="n"/>
      <c r="E6092" s="6" t="inlineStr">
        <is>
          <t>토너</t>
        </is>
      </c>
      <c r="F6092" s="94" t="inlineStr">
        <is>
          <t>랄라블라</t>
        </is>
      </c>
      <c r="G6092" s="5" t="inlineStr">
        <is>
          <t>250ml</t>
        </is>
      </c>
      <c r="H6092" s="7" t="n">
        <v>190801</v>
      </c>
      <c r="I6092" s="7" t="n">
        <v>190801</v>
      </c>
      <c r="J6092" s="94" t="n"/>
      <c r="K6092" s="6" t="n">
        <v>375</v>
      </c>
      <c r="L6092" s="7" t="n">
        <v>190801</v>
      </c>
      <c r="M6092" s="94">
        <f>VLOOKUP($Q6092,매칭테이블!$F:$I,2,0)*K6092</f>
        <v/>
      </c>
      <c r="N6092" s="94">
        <f>M6092-M6092*VLOOKUP($Q6092,매칭테이블!$F:$I,3,0)</f>
        <v/>
      </c>
      <c r="O6092" s="94">
        <f>VLOOKUP($Q6092,매칭테이블!$F:$I,4,0)*K6092</f>
        <v/>
      </c>
      <c r="P6092" s="148">
        <f>M6092/1.1</f>
        <v/>
      </c>
      <c r="Q6092" s="94">
        <f>F6092&amp;E6092&amp;G6092&amp;L6092</f>
        <v/>
      </c>
    </row>
    <row r="6093">
      <c r="A6093" s="94" t="n"/>
      <c r="B6093" s="128" t="n">
        <v>43961</v>
      </c>
      <c r="C6093" s="94">
        <f>TEXT(B6093,"aaa")</f>
        <v/>
      </c>
      <c r="D6093" s="94" t="n"/>
      <c r="E6093" s="6" t="inlineStr">
        <is>
          <t>토너</t>
        </is>
      </c>
      <c r="F6093" s="94" t="inlineStr">
        <is>
          <t>랄라블라</t>
        </is>
      </c>
      <c r="G6093" s="5" t="inlineStr">
        <is>
          <t>500ml</t>
        </is>
      </c>
      <c r="H6093" s="7" t="n">
        <v>190801</v>
      </c>
      <c r="I6093" s="7" t="n">
        <v>190801</v>
      </c>
      <c r="J6093" s="94" t="n"/>
      <c r="K6093" s="6" t="n">
        <v>15</v>
      </c>
      <c r="L6093" s="7" t="n">
        <v>190801</v>
      </c>
      <c r="M6093" s="94">
        <f>VLOOKUP($Q6093,매칭테이블!$F:$I,2,0)*K6093</f>
        <v/>
      </c>
      <c r="N6093" s="94">
        <f>M6093-M6093*VLOOKUP($Q6093,매칭테이블!$F:$I,3,0)</f>
        <v/>
      </c>
      <c r="O6093" s="94">
        <f>VLOOKUP($Q6093,매칭테이블!$F:$I,4,0)*K6093</f>
        <v/>
      </c>
      <c r="P6093" s="148">
        <f>M6093/1.1</f>
        <v/>
      </c>
      <c r="Q6093" s="94">
        <f>F6093&amp;E6093&amp;G6093&amp;L6093</f>
        <v/>
      </c>
    </row>
    <row r="6094">
      <c r="A6094" s="94" t="n"/>
      <c r="B6094" s="128" t="n">
        <v>43961</v>
      </c>
      <c r="C6094" s="94">
        <f>TEXT(B6094,"aaa")</f>
        <v/>
      </c>
      <c r="D6094" s="94" t="n"/>
      <c r="E6094" s="94" t="inlineStr">
        <is>
          <t>마스크팩</t>
        </is>
      </c>
      <c r="F6094" s="94" t="inlineStr">
        <is>
          <t>랄라블라</t>
        </is>
      </c>
      <c r="G6094" s="94" t="inlineStr">
        <is>
          <t>마스크팩 1매</t>
        </is>
      </c>
      <c r="H6094" s="7" t="n">
        <v>190801</v>
      </c>
      <c r="I6094" s="7" t="n">
        <v>190801</v>
      </c>
      <c r="J6094" s="94" t="n"/>
      <c r="K6094" s="6" t="n">
        <v>718</v>
      </c>
      <c r="L6094" s="94" t="n">
        <v>190801</v>
      </c>
      <c r="M6094" s="94">
        <f>VLOOKUP($Q6094,매칭테이블!$F:$I,2,0)*K6094</f>
        <v/>
      </c>
      <c r="N6094" s="94">
        <f>M6094-M6094*VLOOKUP($Q6094,매칭테이블!$F:$I,3,0)</f>
        <v/>
      </c>
      <c r="O6094" s="94">
        <f>VLOOKUP($Q6094,매칭테이블!$F:$I,4,0)*K6094</f>
        <v/>
      </c>
      <c r="P6094" s="148">
        <f>M6094/1.1</f>
        <v/>
      </c>
      <c r="Q6094" s="94">
        <f>F6094&amp;E6094&amp;G6094&amp;L6094</f>
        <v/>
      </c>
    </row>
    <row r="6095">
      <c r="A6095" s="94" t="n"/>
      <c r="B6095" s="128" t="n">
        <v>43961</v>
      </c>
      <c r="C6095" s="94">
        <f>TEXT(B6095,"aaa")</f>
        <v/>
      </c>
      <c r="D6095" s="94" t="n"/>
      <c r="E6095" s="94" t="inlineStr">
        <is>
          <t>수딩크림 증정기획</t>
        </is>
      </c>
      <c r="F6095" s="94" t="inlineStr">
        <is>
          <t>랄라블라</t>
        </is>
      </c>
      <c r="G6095" s="94" t="inlineStr">
        <is>
          <t>수딩크림 증정기획</t>
        </is>
      </c>
      <c r="H6095" s="7" t="n">
        <v>190801</v>
      </c>
      <c r="I6095" s="7" t="n">
        <v>190801</v>
      </c>
      <c r="J6095" s="94" t="n"/>
      <c r="K6095" s="6" t="n">
        <v>85</v>
      </c>
      <c r="L6095" s="94" t="n">
        <v>190801</v>
      </c>
      <c r="M6095" s="94">
        <f>VLOOKUP($Q6095,매칭테이블!$F:$I,2,0)*K6095</f>
        <v/>
      </c>
      <c r="N6095" s="94">
        <f>M6095-M6095*VLOOKUP($Q6095,매칭테이블!$F:$I,3,0)</f>
        <v/>
      </c>
      <c r="O6095" s="94">
        <f>VLOOKUP($Q6095,매칭테이블!$F:$I,4,0)*K6095</f>
        <v/>
      </c>
      <c r="P6095" s="148">
        <f>M6095/1.1</f>
        <v/>
      </c>
      <c r="Q6095" s="94">
        <f>F6095&amp;E6095&amp;G6095&amp;L6095</f>
        <v/>
      </c>
    </row>
    <row r="6096">
      <c r="A6096" s="94" t="n"/>
      <c r="B6096" s="128" t="n">
        <v>43961</v>
      </c>
      <c r="C6096" s="94">
        <f>TEXT(B6096,"aaa")</f>
        <v/>
      </c>
      <c r="D6096" s="94" t="n"/>
      <c r="E6096" s="94" t="inlineStr">
        <is>
          <t>수딩크림</t>
        </is>
      </c>
      <c r="F6096" s="94" t="inlineStr">
        <is>
          <t>랄라블라</t>
        </is>
      </c>
      <c r="G6096" s="94" t="inlineStr">
        <is>
          <t>수딩크림 100ml</t>
        </is>
      </c>
      <c r="H6096" s="7" t="n">
        <v>190801</v>
      </c>
      <c r="I6096" s="7" t="n">
        <v>190801</v>
      </c>
      <c r="J6096" s="94" t="n"/>
      <c r="K6096" s="6" t="n">
        <v>8</v>
      </c>
      <c r="L6096" s="94" t="n">
        <v>190801</v>
      </c>
      <c r="M6096" s="94">
        <f>VLOOKUP($Q6096,매칭테이블!$F:$I,2,0)*K6096</f>
        <v/>
      </c>
      <c r="N6096" s="94">
        <f>M6096-M6096*VLOOKUP($Q6096,매칭테이블!$F:$I,3,0)</f>
        <v/>
      </c>
      <c r="O6096" s="94">
        <f>VLOOKUP($Q6096,매칭테이블!$F:$I,4,0)*K6096</f>
        <v/>
      </c>
      <c r="P6096" s="148">
        <f>M6096/1.1</f>
        <v/>
      </c>
      <c r="Q6096" s="94">
        <f>F6096&amp;E6096&amp;G6096&amp;L6096</f>
        <v/>
      </c>
    </row>
    <row r="6097">
      <c r="A6097" s="94" t="n"/>
      <c r="B6097" s="128" t="n">
        <v>43961</v>
      </c>
      <c r="C6097" s="94">
        <f>TEXT(B6097,"aaa")</f>
        <v/>
      </c>
      <c r="D6097" s="94" t="n"/>
      <c r="E6097" s="94" t="inlineStr">
        <is>
          <t>앰플 기획세트</t>
        </is>
      </c>
      <c r="F6097" s="94" t="inlineStr">
        <is>
          <t>랄라블라</t>
        </is>
      </c>
      <c r="G6097" s="94" t="inlineStr">
        <is>
          <t>앰플 기획세트</t>
        </is>
      </c>
      <c r="H6097" s="7" t="n">
        <v>190801</v>
      </c>
      <c r="I6097" s="7" t="n">
        <v>190801</v>
      </c>
      <c r="J6097" s="94" t="n"/>
      <c r="K6097" s="6" t="n">
        <v>82</v>
      </c>
      <c r="L6097" s="94" t="n">
        <v>190801</v>
      </c>
      <c r="M6097" s="94">
        <f>VLOOKUP($Q6097,매칭테이블!$F:$I,2,0)*K6097</f>
        <v/>
      </c>
      <c r="N6097" s="94">
        <f>M6097-M6097*VLOOKUP($Q6097,매칭테이블!$F:$I,3,0)</f>
        <v/>
      </c>
      <c r="O6097" s="94">
        <f>VLOOKUP($Q6097,매칭테이블!$F:$I,4,0)*K6097</f>
        <v/>
      </c>
      <c r="P6097" s="148">
        <f>M6097/1.1</f>
        <v/>
      </c>
      <c r="Q6097" s="94">
        <f>F6097&amp;E6097&amp;G6097&amp;L6097</f>
        <v/>
      </c>
    </row>
    <row r="6098">
      <c r="A6098" s="94" t="n"/>
      <c r="B6098" s="128" t="n">
        <v>43961</v>
      </c>
      <c r="C6098" s="94">
        <f>TEXT(B6098,"aaa")</f>
        <v/>
      </c>
      <c r="D6098" s="94" t="n"/>
      <c r="E6098" s="94" t="inlineStr">
        <is>
          <t>클렌징폼 기획세트</t>
        </is>
      </c>
      <c r="F6098" s="94" t="inlineStr">
        <is>
          <t>랄라블라</t>
        </is>
      </c>
      <c r="G6098" s="94" t="inlineStr">
        <is>
          <t>클렌징폼 기획세트</t>
        </is>
      </c>
      <c r="H6098" s="7" t="n">
        <v>190801</v>
      </c>
      <c r="I6098" s="7" t="n">
        <v>190801</v>
      </c>
      <c r="J6098" s="94" t="n"/>
      <c r="K6098" s="6" t="n">
        <v>69</v>
      </c>
      <c r="L6098" s="94" t="n">
        <v>190801</v>
      </c>
      <c r="M6098" s="94">
        <f>VLOOKUP($Q6098,매칭테이블!$F:$I,2,0)*K6098</f>
        <v/>
      </c>
      <c r="N6098" s="94">
        <f>M6098-M6098*VLOOKUP($Q6098,매칭테이블!$F:$I,3,0)</f>
        <v/>
      </c>
      <c r="O6098" s="94">
        <f>VLOOKUP($Q6098,매칭테이블!$F:$I,4,0)*K6098</f>
        <v/>
      </c>
      <c r="P6098" s="148">
        <f>M6098/1.1</f>
        <v/>
      </c>
      <c r="Q6098" s="94">
        <f>F6098&amp;E6098&amp;G6098&amp;L6098</f>
        <v/>
      </c>
    </row>
    <row r="6099">
      <c r="A6099" s="94" t="n"/>
      <c r="B6099" s="128" t="n">
        <v>43961</v>
      </c>
      <c r="C6099" s="94">
        <f>TEXT(B6099,"aaa")</f>
        <v/>
      </c>
      <c r="D6099" s="94" t="n"/>
      <c r="E6099" s="94" t="inlineStr">
        <is>
          <t>토너 기획세트</t>
        </is>
      </c>
      <c r="F6099" s="94" t="inlineStr">
        <is>
          <t>랄라블라</t>
        </is>
      </c>
      <c r="G6099" s="94" t="inlineStr">
        <is>
          <t>토너 기획세트</t>
        </is>
      </c>
      <c r="H6099" s="7" t="n">
        <v>190801</v>
      </c>
      <c r="I6099" s="7" t="n">
        <v>190801</v>
      </c>
      <c r="J6099" s="94" t="n"/>
      <c r="K6099" s="6" t="n">
        <v>15</v>
      </c>
      <c r="L6099" s="94" t="n">
        <v>190801</v>
      </c>
      <c r="M6099" s="94">
        <f>VLOOKUP($Q6099,매칭테이블!$F:$I,2,0)*K6099</f>
        <v/>
      </c>
      <c r="N6099" s="94">
        <f>M6099-M6099*VLOOKUP($Q6099,매칭테이블!$F:$I,3,0)</f>
        <v/>
      </c>
      <c r="O6099" s="94">
        <f>VLOOKUP($Q6099,매칭테이블!$F:$I,4,0)*K6099</f>
        <v/>
      </c>
      <c r="P6099" s="148">
        <f>M6099/1.1</f>
        <v/>
      </c>
      <c r="Q6099" s="94">
        <f>F6099&amp;E6099&amp;G6099&amp;L6099</f>
        <v/>
      </c>
    </row>
    <row r="6100">
      <c r="A6100" s="94" t="n"/>
      <c r="B6100" s="128" t="n">
        <v>43961</v>
      </c>
      <c r="C6100" s="94">
        <f>TEXT(B6100,"aaa")</f>
        <v/>
      </c>
      <c r="D6100" s="94" t="n"/>
      <c r="E6100" s="94" t="inlineStr">
        <is>
          <t>머드크림마스크</t>
        </is>
      </c>
      <c r="F6100" s="94" t="inlineStr">
        <is>
          <t>랄라블라</t>
        </is>
      </c>
      <c r="G6100" s="94" t="inlineStr">
        <is>
          <t>머드크림마스크 100ml</t>
        </is>
      </c>
      <c r="H6100" s="7" t="n">
        <v>190801</v>
      </c>
      <c r="I6100" s="7" t="n">
        <v>190801</v>
      </c>
      <c r="J6100" s="94" t="n"/>
      <c r="K6100" s="6" t="n">
        <v>12</v>
      </c>
      <c r="L6100" s="94" t="n">
        <v>190801</v>
      </c>
      <c r="M6100" s="94">
        <f>VLOOKUP($Q6100,매칭테이블!$F:$I,2,0)*K6100</f>
        <v/>
      </c>
      <c r="N6100" s="94">
        <f>M6100-M6100*VLOOKUP($Q6100,매칭테이블!$F:$I,3,0)</f>
        <v/>
      </c>
      <c r="O6100" s="94">
        <f>VLOOKUP($Q6100,매칭테이블!$F:$I,4,0)*K6100</f>
        <v/>
      </c>
      <c r="P6100" s="148">
        <f>M6100/1.1</f>
        <v/>
      </c>
      <c r="Q6100" s="94">
        <f>F6100&amp;E6100&amp;G6100&amp;L6100</f>
        <v/>
      </c>
    </row>
    <row r="6101">
      <c r="A6101" s="94" t="n"/>
      <c r="B6101" s="128" t="n">
        <v>43961</v>
      </c>
      <c r="C6101" s="94">
        <f>TEXT(B6101,"aaa")</f>
        <v/>
      </c>
      <c r="D6101" s="94" t="n"/>
      <c r="E6101" s="94" t="inlineStr">
        <is>
          <t>클렌징폼</t>
        </is>
      </c>
      <c r="F6101" s="94" t="inlineStr">
        <is>
          <t>랄라블라</t>
        </is>
      </c>
      <c r="G6101" s="94" t="inlineStr">
        <is>
          <t>클렌징폼 120ml</t>
        </is>
      </c>
      <c r="H6101" s="7" t="n">
        <v>190801</v>
      </c>
      <c r="I6101" s="7" t="n">
        <v>190801</v>
      </c>
      <c r="J6101" s="94" t="n"/>
      <c r="K6101" s="6" t="n">
        <v>4</v>
      </c>
      <c r="L6101" s="7" t="n">
        <v>190801</v>
      </c>
      <c r="M6101" s="94">
        <f>VLOOKUP($Q6101,매칭테이블!$F:$I,2,0)*K6101</f>
        <v/>
      </c>
      <c r="N6101" s="94">
        <f>M6101-M6101*VLOOKUP($Q6101,매칭테이블!$F:$I,3,0)</f>
        <v/>
      </c>
      <c r="O6101" s="94">
        <f>VLOOKUP($Q6101,매칭테이블!$F:$I,4,0)*K6101</f>
        <v/>
      </c>
      <c r="P6101" s="148">
        <f>M6101/1.1</f>
        <v/>
      </c>
      <c r="Q6101" s="94">
        <f>F6101&amp;E6101&amp;G6101&amp;L6101</f>
        <v/>
      </c>
    </row>
    <row r="6102">
      <c r="A6102" s="94" t="n"/>
      <c r="B6102" s="128" t="n">
        <v>43961</v>
      </c>
      <c r="C6102" s="94">
        <f>TEXT(B6102,"aaa")</f>
        <v/>
      </c>
      <c r="D6102" s="94" t="n"/>
      <c r="E6102" s="94" t="inlineStr">
        <is>
          <t>토너 증정기획</t>
        </is>
      </c>
      <c r="F6102" s="94" t="inlineStr">
        <is>
          <t>랄라블라</t>
        </is>
      </c>
      <c r="G6102" s="94" t="inlineStr">
        <is>
          <t>토너 증정기획</t>
        </is>
      </c>
      <c r="H6102" s="7" t="n">
        <v>190801</v>
      </c>
      <c r="I6102" s="7" t="n">
        <v>190801</v>
      </c>
      <c r="J6102" s="94" t="n"/>
      <c r="K6102" s="6" t="n">
        <v>1239</v>
      </c>
      <c r="L6102" s="7" t="n">
        <v>190801</v>
      </c>
      <c r="M6102" s="94">
        <f>VLOOKUP($Q6102,매칭테이블!$F:$I,2,0)*K6102</f>
        <v/>
      </c>
      <c r="N6102" s="94">
        <f>M6102-M6102*VLOOKUP($Q6102,매칭테이블!$F:$I,3,0)</f>
        <v/>
      </c>
      <c r="O6102" s="94">
        <f>VLOOKUP($Q6102,매칭테이블!$F:$I,4,0)*K6102</f>
        <v/>
      </c>
      <c r="P6102" s="148">
        <f>M6102/1.1</f>
        <v/>
      </c>
      <c r="Q6102" s="94">
        <f>F6102&amp;E6102&amp;G6102&amp;L6102</f>
        <v/>
      </c>
    </row>
    <row r="6103">
      <c r="A6103" s="94" t="n"/>
      <c r="B6103" s="128" t="n">
        <v>43962</v>
      </c>
      <c r="C6103" s="94">
        <f>TEXT(B6103,"aaa")</f>
        <v/>
      </c>
      <c r="D6103" s="94" t="n"/>
      <c r="E6103" s="6" t="inlineStr">
        <is>
          <t>토너</t>
        </is>
      </c>
      <c r="F6103" s="5" t="inlineStr">
        <is>
          <t>W컨셉</t>
        </is>
      </c>
      <c r="G6103" s="5" t="inlineStr">
        <is>
          <t>250ml</t>
        </is>
      </c>
      <c r="H6103" s="7" t="n">
        <v>190801</v>
      </c>
      <c r="I6103" s="7" t="n">
        <v>190801</v>
      </c>
      <c r="J6103" s="94" t="n"/>
      <c r="K6103" s="6" t="n">
        <v>1</v>
      </c>
      <c r="L6103" s="7" t="n">
        <v>190801</v>
      </c>
      <c r="M6103" s="94">
        <f>VLOOKUP($Q6103,매칭테이블!$F:$I,2,0)*K6103</f>
        <v/>
      </c>
      <c r="N6103" s="94">
        <f>M6103-M6103*VLOOKUP($Q6103,매칭테이블!$F:$I,3,0)</f>
        <v/>
      </c>
      <c r="O6103" s="94">
        <f>VLOOKUP($Q6103,매칭테이블!$F:$I,4,0)*K6103</f>
        <v/>
      </c>
      <c r="P6103" s="148">
        <f>M6103/1.1</f>
        <v/>
      </c>
      <c r="Q6103" s="94">
        <f>F6103&amp;E6103&amp;G6103&amp;L6103</f>
        <v/>
      </c>
    </row>
    <row r="6104">
      <c r="A6104" s="94" t="n"/>
      <c r="B6104" s="128" t="n">
        <v>43962</v>
      </c>
      <c r="C6104" s="94">
        <f>TEXT(B6104,"aaa")</f>
        <v/>
      </c>
      <c r="D6104" s="94" t="n"/>
      <c r="E6104" s="6" t="inlineStr">
        <is>
          <t>토너</t>
        </is>
      </c>
      <c r="F6104" s="5" t="inlineStr">
        <is>
          <t>W컨셉</t>
        </is>
      </c>
      <c r="G6104" s="5" t="inlineStr">
        <is>
          <t>250ml 2set</t>
        </is>
      </c>
      <c r="H6104" s="7" t="n">
        <v>190801</v>
      </c>
      <c r="I6104" s="7" t="n">
        <v>190801</v>
      </c>
      <c r="J6104" s="94" t="n"/>
      <c r="K6104" s="6" t="n">
        <v>9</v>
      </c>
      <c r="L6104" s="7" t="n">
        <v>190801</v>
      </c>
      <c r="M6104" s="94">
        <f>VLOOKUP($Q6104,매칭테이블!$F:$I,2,0)*K6104</f>
        <v/>
      </c>
      <c r="N6104" s="94">
        <f>M6104-M6104*VLOOKUP($Q6104,매칭테이블!$F:$I,3,0)</f>
        <v/>
      </c>
      <c r="O6104" s="94">
        <f>VLOOKUP($Q6104,매칭테이블!$F:$I,4,0)*K6104</f>
        <v/>
      </c>
      <c r="P6104" s="148">
        <f>M6104/1.1</f>
        <v/>
      </c>
      <c r="Q6104" s="94">
        <f>F6104&amp;E6104&amp;G6104&amp;L6104</f>
        <v/>
      </c>
    </row>
    <row r="6105">
      <c r="A6105" s="94" t="n"/>
      <c r="B6105" s="128" t="n">
        <v>43962</v>
      </c>
      <c r="C6105" s="94">
        <f>TEXT(B6105,"aaa")</f>
        <v/>
      </c>
      <c r="D6105" s="94" t="n"/>
      <c r="E6105" s="94" t="inlineStr">
        <is>
          <t>토너</t>
        </is>
      </c>
      <c r="F6105" s="5" t="inlineStr">
        <is>
          <t>스타일쉐어</t>
        </is>
      </c>
      <c r="G6105" s="94" t="inlineStr">
        <is>
          <t>250ml</t>
        </is>
      </c>
      <c r="H6105" s="7" t="n">
        <v>190801</v>
      </c>
      <c r="I6105" s="7" t="n">
        <v>190801</v>
      </c>
      <c r="J6105" s="94" t="n"/>
      <c r="K6105" s="6" t="n">
        <v>5</v>
      </c>
      <c r="L6105" s="7" t="n">
        <v>190801</v>
      </c>
      <c r="M6105" s="94">
        <f>VLOOKUP($Q6105,매칭테이블!$F:$I,2,0)*K6105</f>
        <v/>
      </c>
      <c r="N6105" s="94">
        <f>M6105-M6105*VLOOKUP($Q6105,매칭테이블!$F:$I,3,0)</f>
        <v/>
      </c>
      <c r="O6105" s="94">
        <f>VLOOKUP($Q6105,매칭테이블!$F:$I,4,0)*K6105</f>
        <v/>
      </c>
      <c r="P6105" s="148">
        <f>M6105/1.1</f>
        <v/>
      </c>
      <c r="Q6105" s="94">
        <f>F6105&amp;E6105&amp;G6105&amp;L6105</f>
        <v/>
      </c>
    </row>
    <row r="6106">
      <c r="A6106" s="94" t="n"/>
      <c r="B6106" s="128" t="n">
        <v>43962</v>
      </c>
      <c r="C6106" s="94">
        <f>TEXT(B6106,"aaa")</f>
        <v/>
      </c>
      <c r="D6106" s="94" t="n"/>
      <c r="E6106" s="94" t="inlineStr">
        <is>
          <t>토너</t>
        </is>
      </c>
      <c r="F6106" s="94" t="inlineStr">
        <is>
          <t>글로우데이즈 시코르</t>
        </is>
      </c>
      <c r="G6106" s="94" t="inlineStr">
        <is>
          <t>250ml</t>
        </is>
      </c>
      <c r="H6106" s="7" t="n">
        <v>190801</v>
      </c>
      <c r="I6106" s="7" t="n">
        <v>190801</v>
      </c>
      <c r="J6106" s="94" t="n"/>
      <c r="K6106" s="6" t="n">
        <v>300</v>
      </c>
      <c r="L6106" s="7" t="n">
        <v>190801</v>
      </c>
      <c r="M6106" s="94">
        <f>VLOOKUP($Q6106,매칭테이블!$F:$I,2,0)*K6106</f>
        <v/>
      </c>
      <c r="N6106" s="94">
        <f>M6106-M6106*VLOOKUP($Q6106,매칭테이블!$F:$I,3,0)</f>
        <v/>
      </c>
      <c r="O6106" s="94">
        <f>VLOOKUP($Q6106,매칭테이블!$F:$I,4,0)*K6106</f>
        <v/>
      </c>
      <c r="P6106" s="148">
        <f>M6106/1.1</f>
        <v/>
      </c>
      <c r="Q6106" s="94">
        <f>F6106&amp;E6106&amp;G6106&amp;L6106</f>
        <v/>
      </c>
    </row>
    <row r="6107">
      <c r="A6107" s="94" t="n"/>
      <c r="B6107" s="128" t="n">
        <v>43962</v>
      </c>
      <c r="C6107" s="94">
        <f>TEXT(B6107,"aaa")</f>
        <v/>
      </c>
      <c r="D6107" s="94" t="n"/>
      <c r="E6107" s="94" t="inlineStr">
        <is>
          <t>클렌징폼</t>
        </is>
      </c>
      <c r="F6107" s="94" t="inlineStr">
        <is>
          <t>글로우데이즈 시코르</t>
        </is>
      </c>
      <c r="G6107" s="94" t="inlineStr">
        <is>
          <t>클렌징폼 120ml</t>
        </is>
      </c>
      <c r="H6107" s="7" t="n">
        <v>190801</v>
      </c>
      <c r="I6107" s="7" t="n">
        <v>190801</v>
      </c>
      <c r="J6107" s="94" t="n"/>
      <c r="K6107" s="6" t="n">
        <v>20</v>
      </c>
      <c r="L6107" s="7" t="n">
        <v>190801</v>
      </c>
      <c r="M6107" s="94">
        <f>VLOOKUP($Q6107,매칭테이블!$F:$I,2,0)*K6107</f>
        <v/>
      </c>
      <c r="N6107" s="94">
        <f>M6107-M6107*VLOOKUP($Q6107,매칭테이블!$F:$I,3,0)</f>
        <v/>
      </c>
      <c r="O6107" s="94">
        <f>VLOOKUP($Q6107,매칭테이블!$F:$I,4,0)*K6107</f>
        <v/>
      </c>
      <c r="P6107" s="148">
        <f>M6107/1.1</f>
        <v/>
      </c>
      <c r="Q6107" s="94">
        <f>F6107&amp;E6107&amp;G6107&amp;L6107</f>
        <v/>
      </c>
    </row>
    <row r="6108">
      <c r="A6108" s="94" t="n"/>
      <c r="B6108" s="128" t="n">
        <v>43962</v>
      </c>
      <c r="C6108" s="94">
        <f>TEXT(B6108,"aaa")</f>
        <v/>
      </c>
      <c r="D6108" s="94" t="n"/>
      <c r="E6108" s="94" t="inlineStr">
        <is>
          <t>수딩크림</t>
        </is>
      </c>
      <c r="F6108" s="94" t="inlineStr">
        <is>
          <t>글로우데이즈 시코르</t>
        </is>
      </c>
      <c r="G6108" s="94" t="inlineStr">
        <is>
          <t>수딩크림 100ml</t>
        </is>
      </c>
      <c r="H6108" s="7" t="n">
        <v>190801</v>
      </c>
      <c r="I6108" s="7" t="n">
        <v>190801</v>
      </c>
      <c r="J6108" s="94" t="n"/>
      <c r="K6108" s="6" t="n">
        <v>20</v>
      </c>
      <c r="L6108" s="94" t="n">
        <v>190801</v>
      </c>
      <c r="M6108" s="94">
        <f>VLOOKUP($Q6108,매칭테이블!$F:$I,2,0)*K6108</f>
        <v/>
      </c>
      <c r="N6108" s="94">
        <f>M6108-M6108*VLOOKUP($Q6108,매칭테이블!$F:$I,3,0)</f>
        <v/>
      </c>
      <c r="O6108" s="94">
        <f>VLOOKUP($Q6108,매칭테이블!$F:$I,4,0)*K6108</f>
        <v/>
      </c>
      <c r="P6108" s="148">
        <f>M6108/1.1</f>
        <v/>
      </c>
      <c r="Q6108" s="94">
        <f>F6108&amp;E6108&amp;G6108&amp;L6108</f>
        <v/>
      </c>
    </row>
    <row r="6109">
      <c r="A6109" s="94" t="n"/>
      <c r="B6109" s="128" t="n">
        <v>43962</v>
      </c>
      <c r="C6109" s="94">
        <f>TEXT(B6109,"aaa")</f>
        <v/>
      </c>
      <c r="D6109" s="94" t="n"/>
      <c r="E6109" s="94" t="inlineStr">
        <is>
          <t>어성초진정패키지</t>
        </is>
      </c>
      <c r="F6109" s="94" t="inlineStr">
        <is>
          <t>카페24</t>
        </is>
      </c>
      <c r="G6109" s="94" t="inlineStr">
        <is>
          <t>어성초 진정패키지세트</t>
        </is>
      </c>
      <c r="H6109" s="7" t="n">
        <v>190801</v>
      </c>
      <c r="I6109" s="7" t="n">
        <v>190801</v>
      </c>
      <c r="J6109" s="94" t="n"/>
      <c r="K6109" s="6" t="n">
        <v>11</v>
      </c>
      <c r="L6109" s="94" t="n">
        <v>190801</v>
      </c>
      <c r="M6109" s="94">
        <f>VLOOKUP($Q6109,매칭테이블!$F:$I,2,0)*K6109</f>
        <v/>
      </c>
      <c r="N6109" s="94">
        <f>M6109-M6109*VLOOKUP($Q6109,매칭테이블!$F:$I,3,0)</f>
        <v/>
      </c>
      <c r="O6109" s="94">
        <f>VLOOKUP($Q6109,매칭테이블!$F:$I,4,0)*K6109</f>
        <v/>
      </c>
      <c r="P6109" s="148">
        <f>M6109/1.1</f>
        <v/>
      </c>
      <c r="Q6109" s="94">
        <f>F6109&amp;E6109&amp;G6109&amp;L6109</f>
        <v/>
      </c>
    </row>
    <row r="6110">
      <c r="A6110" s="94" t="n"/>
      <c r="B6110" s="128" t="n">
        <v>43962</v>
      </c>
      <c r="C6110" s="94">
        <f>TEXT(B6110,"aaa")</f>
        <v/>
      </c>
      <c r="D6110" s="94" t="n"/>
      <c r="E6110" s="94" t="inlineStr">
        <is>
          <t>머드크림마스크</t>
        </is>
      </c>
      <c r="F6110" s="94" t="inlineStr">
        <is>
          <t>카페24</t>
        </is>
      </c>
      <c r="G6110" s="94" t="inlineStr">
        <is>
          <t>머드크림마스크 100ml</t>
        </is>
      </c>
      <c r="H6110" s="7" t="n">
        <v>190801</v>
      </c>
      <c r="I6110" s="7" t="n">
        <v>190801</v>
      </c>
      <c r="J6110" s="94" t="n"/>
      <c r="K6110" s="6" t="n">
        <v>2</v>
      </c>
      <c r="L6110" s="94" t="n">
        <v>190801</v>
      </c>
      <c r="M6110" s="94">
        <f>VLOOKUP($Q6110,매칭테이블!$F:$I,2,0)*K6110</f>
        <v/>
      </c>
      <c r="N6110" s="94">
        <f>M6110-M6110*VLOOKUP($Q6110,매칭테이블!$F:$I,3,0)</f>
        <v/>
      </c>
      <c r="O6110" s="94">
        <f>VLOOKUP($Q6110,매칭테이블!$F:$I,4,0)*K6110</f>
        <v/>
      </c>
      <c r="P6110" s="148">
        <f>M6110/1.1</f>
        <v/>
      </c>
      <c r="Q6110" s="94">
        <f>F6110&amp;E6110&amp;G6110&amp;L6110</f>
        <v/>
      </c>
    </row>
    <row r="6111">
      <c r="A6111" s="94" t="n"/>
      <c r="B6111" s="128" t="n">
        <v>43962</v>
      </c>
      <c r="C6111" s="94">
        <f>TEXT(B6111,"aaa")</f>
        <v/>
      </c>
      <c r="D6111" s="94" t="n"/>
      <c r="E6111" s="94" t="inlineStr">
        <is>
          <t>마스크팩</t>
        </is>
      </c>
      <c r="F6111" s="94" t="inlineStr">
        <is>
          <t>카페24</t>
        </is>
      </c>
      <c r="G6111" s="94" t="inlineStr">
        <is>
          <t>마스크팩 1매</t>
        </is>
      </c>
      <c r="H6111" s="7" t="n">
        <v>190801</v>
      </c>
      <c r="I6111" s="7" t="n">
        <v>190801</v>
      </c>
      <c r="J6111" s="94" t="n"/>
      <c r="K6111" s="6" t="n">
        <v>1</v>
      </c>
      <c r="L6111" s="94" t="n">
        <v>190801</v>
      </c>
      <c r="M6111" s="94">
        <f>VLOOKUP($Q6111,매칭테이블!$F:$I,2,0)*K6111</f>
        <v/>
      </c>
      <c r="N6111" s="94">
        <f>M6111-M6111*VLOOKUP($Q6111,매칭테이블!$F:$I,3,0)</f>
        <v/>
      </c>
      <c r="O6111" s="94">
        <f>VLOOKUP($Q6111,매칭테이블!$F:$I,4,0)*K6111</f>
        <v/>
      </c>
      <c r="P6111" s="148">
        <f>M6111/1.1</f>
        <v/>
      </c>
      <c r="Q6111" s="94">
        <f>F6111&amp;E6111&amp;G6111&amp;L6111</f>
        <v/>
      </c>
    </row>
    <row r="6112">
      <c r="A6112" s="94" t="n"/>
      <c r="B6112" s="128" t="n">
        <v>43962</v>
      </c>
      <c r="C6112" s="94">
        <f>TEXT(B6112,"aaa")</f>
        <v/>
      </c>
      <c r="D6112" s="94" t="n"/>
      <c r="E6112" s="94" t="inlineStr">
        <is>
          <t>마스크팩</t>
        </is>
      </c>
      <c r="F6112" s="94" t="inlineStr">
        <is>
          <t>카페24</t>
        </is>
      </c>
      <c r="G6112" s="94" t="inlineStr">
        <is>
          <t>마스크팩 10매</t>
        </is>
      </c>
      <c r="H6112" s="7" t="n">
        <v>190801</v>
      </c>
      <c r="I6112" s="7" t="n">
        <v>190801</v>
      </c>
      <c r="J6112" s="94" t="n"/>
      <c r="K6112" s="6" t="n">
        <v>5</v>
      </c>
      <c r="L6112" s="94" t="n">
        <v>190801</v>
      </c>
      <c r="M6112" s="94">
        <f>VLOOKUP($Q6112,매칭테이블!$F:$I,2,0)*K6112</f>
        <v/>
      </c>
      <c r="N6112" s="94">
        <f>M6112-M6112*VLOOKUP($Q6112,매칭테이블!$F:$I,3,0)</f>
        <v/>
      </c>
      <c r="O6112" s="94">
        <f>VLOOKUP($Q6112,매칭테이블!$F:$I,4,0)*K6112</f>
        <v/>
      </c>
      <c r="P6112" s="148">
        <f>M6112/1.1</f>
        <v/>
      </c>
      <c r="Q6112" s="94">
        <f>F6112&amp;E6112&amp;G6112&amp;L6112</f>
        <v/>
      </c>
    </row>
    <row r="6113">
      <c r="A6113" s="94" t="n"/>
      <c r="B6113" s="128" t="n">
        <v>43962</v>
      </c>
      <c r="C6113" s="94">
        <f>TEXT(B6113,"aaa")</f>
        <v/>
      </c>
      <c r="D6113" s="94" t="n"/>
      <c r="E6113" s="6" t="inlineStr">
        <is>
          <t>토너</t>
        </is>
      </c>
      <c r="F6113" s="5" t="inlineStr">
        <is>
          <t>카페24</t>
        </is>
      </c>
      <c r="G6113" s="5" t="inlineStr">
        <is>
          <t>250ml</t>
        </is>
      </c>
      <c r="H6113" s="7" t="n">
        <v>190801</v>
      </c>
      <c r="I6113" s="7" t="n">
        <v>190801</v>
      </c>
      <c r="J6113" s="94" t="n"/>
      <c r="K6113" s="6" t="n">
        <v>60</v>
      </c>
      <c r="L6113" s="7" t="n">
        <v>190801</v>
      </c>
      <c r="M6113" s="94">
        <f>VLOOKUP($Q6113,매칭테이블!$F:$I,2,0)*K6113</f>
        <v/>
      </c>
      <c r="N6113" s="94">
        <f>M6113-M6113*VLOOKUP($Q6113,매칭테이블!$F:$I,3,0)</f>
        <v/>
      </c>
      <c r="O6113" s="94">
        <f>VLOOKUP($Q6113,매칭테이블!$F:$I,4,0)*K6113</f>
        <v/>
      </c>
      <c r="P6113" s="148">
        <f>M6113/1.1</f>
        <v/>
      </c>
      <c r="Q6113" s="94">
        <f>F6113&amp;E6113&amp;G6113&amp;L6113</f>
        <v/>
      </c>
    </row>
    <row r="6114">
      <c r="A6114" s="94" t="n"/>
      <c r="B6114" s="128" t="n">
        <v>43962</v>
      </c>
      <c r="C6114" s="94">
        <f>TEXT(B6114,"aaa")</f>
        <v/>
      </c>
      <c r="D6114" s="94" t="n"/>
      <c r="E6114" s="6" t="inlineStr">
        <is>
          <t>토너</t>
        </is>
      </c>
      <c r="F6114" s="5" t="inlineStr">
        <is>
          <t>카페24</t>
        </is>
      </c>
      <c r="G6114" s="5" t="inlineStr">
        <is>
          <t>250ml 2set</t>
        </is>
      </c>
      <c r="H6114" s="7" t="n">
        <v>190801</v>
      </c>
      <c r="I6114" s="7" t="n">
        <v>190801</v>
      </c>
      <c r="J6114" s="94" t="n"/>
      <c r="K6114" s="6" t="n">
        <v>254</v>
      </c>
      <c r="L6114" s="7" t="n">
        <v>190801</v>
      </c>
      <c r="M6114" s="94">
        <f>VLOOKUP($Q6114,매칭테이블!$F:$I,2,0)*K6114</f>
        <v/>
      </c>
      <c r="N6114" s="94">
        <f>M6114-M6114*VLOOKUP($Q6114,매칭테이블!$F:$I,3,0)</f>
        <v/>
      </c>
      <c r="O6114" s="94">
        <f>VLOOKUP($Q6114,매칭테이블!$F:$I,4,0)*K6114</f>
        <v/>
      </c>
      <c r="P6114" s="148">
        <f>M6114/1.1</f>
        <v/>
      </c>
      <c r="Q6114" s="94">
        <f>F6114&amp;E6114&amp;G6114&amp;L6114</f>
        <v/>
      </c>
    </row>
    <row r="6115">
      <c r="A6115" s="94" t="n"/>
      <c r="B6115" s="128" t="n">
        <v>43962</v>
      </c>
      <c r="C6115" s="94">
        <f>TEXT(B6115,"aaa")</f>
        <v/>
      </c>
      <c r="D6115" s="94" t="n"/>
      <c r="E6115" s="6" t="inlineStr">
        <is>
          <t>토너</t>
        </is>
      </c>
      <c r="F6115" s="5" t="inlineStr">
        <is>
          <t>카페24</t>
        </is>
      </c>
      <c r="G6115" s="5" t="inlineStr">
        <is>
          <t>500ml</t>
        </is>
      </c>
      <c r="H6115" s="7" t="n">
        <v>190801</v>
      </c>
      <c r="I6115" s="7" t="n">
        <v>190801</v>
      </c>
      <c r="J6115" s="94" t="n"/>
      <c r="K6115" s="6" t="n">
        <v>63</v>
      </c>
      <c r="L6115" s="7" t="n">
        <v>190801</v>
      </c>
      <c r="M6115" s="94">
        <f>VLOOKUP($Q6115,매칭테이블!$F:$I,2,0)*K6115</f>
        <v/>
      </c>
      <c r="N6115" s="94">
        <f>M6115-M6115*VLOOKUP($Q6115,매칭테이블!$F:$I,3,0)</f>
        <v/>
      </c>
      <c r="O6115" s="94">
        <f>VLOOKUP($Q6115,매칭테이블!$F:$I,4,0)*K6115</f>
        <v/>
      </c>
      <c r="P6115" s="148">
        <f>M6115/1.1</f>
        <v/>
      </c>
      <c r="Q6115" s="94">
        <f>F6115&amp;E6115&amp;G6115&amp;L6115</f>
        <v/>
      </c>
    </row>
    <row r="6116">
      <c r="A6116" s="94" t="n"/>
      <c r="B6116" s="128" t="n">
        <v>43962</v>
      </c>
      <c r="C6116" s="94">
        <f>TEXT(B6116,"aaa")</f>
        <v/>
      </c>
      <c r="D6116" s="94" t="n"/>
      <c r="E6116" s="6" t="inlineStr">
        <is>
          <t>토너</t>
        </is>
      </c>
      <c r="F6116" s="5" t="inlineStr">
        <is>
          <t>카페24</t>
        </is>
      </c>
      <c r="G6116" s="94" t="inlineStr">
        <is>
          <t>스킨팩 화장솜 60P</t>
        </is>
      </c>
      <c r="H6116" s="7" t="n">
        <v>190801</v>
      </c>
      <c r="I6116" s="7" t="n">
        <v>190801</v>
      </c>
      <c r="J6116" s="94" t="n"/>
      <c r="K6116" s="6" t="n">
        <v>83</v>
      </c>
      <c r="L6116" s="7" t="n">
        <v>190801</v>
      </c>
      <c r="M6116" s="94">
        <f>VLOOKUP($Q6116,매칭테이블!$F:$I,2,0)*K6116</f>
        <v/>
      </c>
      <c r="N6116" s="94">
        <f>M6116-M6116*VLOOKUP($Q6116,매칭테이블!$F:$I,3,0)</f>
        <v/>
      </c>
      <c r="O6116" s="94">
        <f>VLOOKUP($Q6116,매칭테이블!$F:$I,4,0)*K6116</f>
        <v/>
      </c>
      <c r="P6116" s="148">
        <f>M6116/1.1</f>
        <v/>
      </c>
      <c r="Q6116" s="94">
        <f>F6116&amp;E6116&amp;G6116&amp;L6116</f>
        <v/>
      </c>
    </row>
    <row r="6117">
      <c r="A6117" s="94" t="n"/>
      <c r="B6117" s="128" t="n">
        <v>43962</v>
      </c>
      <c r="C6117" s="94">
        <f>TEXT(B6117,"aaa")</f>
        <v/>
      </c>
      <c r="D6117" s="94" t="n"/>
      <c r="E6117" s="94" t="inlineStr">
        <is>
          <t>앰플</t>
        </is>
      </c>
      <c r="F6117" s="5" t="inlineStr">
        <is>
          <t>카페24</t>
        </is>
      </c>
      <c r="G6117" s="94" t="inlineStr">
        <is>
          <t>앰플 30ml</t>
        </is>
      </c>
      <c r="H6117" s="7" t="n">
        <v>190801</v>
      </c>
      <c r="I6117" s="7" t="n">
        <v>190801</v>
      </c>
      <c r="J6117" s="94" t="n"/>
      <c r="K6117" s="6" t="n">
        <v>19</v>
      </c>
      <c r="L6117" s="94" t="n">
        <v>190801</v>
      </c>
      <c r="M6117" s="94">
        <f>VLOOKUP($Q6117,매칭테이블!$F:$I,2,0)*K6117</f>
        <v/>
      </c>
      <c r="N6117" s="94">
        <f>M6117-M6117*VLOOKUP($Q6117,매칭테이블!$F:$I,3,0)</f>
        <v/>
      </c>
      <c r="O6117" s="94">
        <f>VLOOKUP($Q6117,매칭테이블!$F:$I,4,0)*K6117</f>
        <v/>
      </c>
      <c r="P6117" s="148">
        <f>M6117/1.1</f>
        <v/>
      </c>
      <c r="Q6117" s="94">
        <f>F6117&amp;E6117&amp;G6117&amp;L6117</f>
        <v/>
      </c>
    </row>
    <row r="6118">
      <c r="A6118" s="94" t="n"/>
      <c r="B6118" s="128" t="n">
        <v>43962</v>
      </c>
      <c r="C6118" s="94">
        <f>TEXT(B6118,"aaa")</f>
        <v/>
      </c>
      <c r="D6118" s="94" t="n"/>
      <c r="E6118" s="94" t="inlineStr">
        <is>
          <t>수딩크림</t>
        </is>
      </c>
      <c r="F6118" s="5" t="inlineStr">
        <is>
          <t>카페24</t>
        </is>
      </c>
      <c r="G6118" s="94" t="inlineStr">
        <is>
          <t>수딩크림 100ml</t>
        </is>
      </c>
      <c r="H6118" s="7" t="n">
        <v>190801</v>
      </c>
      <c r="I6118" s="7" t="n">
        <v>190801</v>
      </c>
      <c r="J6118" s="94" t="n"/>
      <c r="K6118" s="6" t="n">
        <v>7</v>
      </c>
      <c r="L6118" s="94" t="n">
        <v>190801</v>
      </c>
      <c r="M6118" s="94">
        <f>VLOOKUP($Q6118,매칭테이블!$F:$I,2,0)*K6118</f>
        <v/>
      </c>
      <c r="N6118" s="94">
        <f>M6118-M6118*VLOOKUP($Q6118,매칭테이블!$F:$I,3,0)</f>
        <v/>
      </c>
      <c r="O6118" s="94">
        <f>VLOOKUP($Q6118,매칭테이블!$F:$I,4,0)*K6118</f>
        <v/>
      </c>
      <c r="P6118" s="148">
        <f>M6118/1.1</f>
        <v/>
      </c>
      <c r="Q6118" s="94">
        <f>F6118&amp;E6118&amp;G6118&amp;L6118</f>
        <v/>
      </c>
    </row>
    <row r="6119">
      <c r="A6119" s="94" t="n"/>
      <c r="B6119" s="128" t="n">
        <v>43962</v>
      </c>
      <c r="C6119" s="94">
        <f>TEXT(B6119,"aaa")</f>
        <v/>
      </c>
      <c r="D6119" s="94" t="n"/>
      <c r="E6119" s="94" t="inlineStr">
        <is>
          <t>클렌징폼</t>
        </is>
      </c>
      <c r="F6119" s="94" t="inlineStr">
        <is>
          <t>카페24</t>
        </is>
      </c>
      <c r="G6119" s="94" t="inlineStr">
        <is>
          <t>클렌징폼 120ml</t>
        </is>
      </c>
      <c r="H6119" s="7" t="n">
        <v>190801</v>
      </c>
      <c r="I6119" s="7" t="n">
        <v>190801</v>
      </c>
      <c r="J6119" s="94" t="n"/>
      <c r="K6119" s="6" t="n">
        <v>5</v>
      </c>
      <c r="L6119" s="92" t="n">
        <v>190801</v>
      </c>
      <c r="M6119" s="94">
        <f>VLOOKUP($Q6119,매칭테이블!$F:$I,2,0)*K6119</f>
        <v/>
      </c>
      <c r="N6119" s="94">
        <f>M6119-M6119*VLOOKUP($Q6119,매칭테이블!$F:$I,3,0)</f>
        <v/>
      </c>
      <c r="O6119" s="94">
        <f>VLOOKUP($Q6119,매칭테이블!$F:$I,4,0)*K6119</f>
        <v/>
      </c>
      <c r="P6119" s="148">
        <f>M6119/1.1</f>
        <v/>
      </c>
      <c r="Q6119" s="94">
        <f>F6119&amp;E6119&amp;G6119&amp;L6119</f>
        <v/>
      </c>
    </row>
    <row r="6120">
      <c r="A6120" s="94" t="n"/>
      <c r="B6120" s="128" t="n">
        <v>43962</v>
      </c>
      <c r="C6120" s="94">
        <f>TEXT(B6120,"aaa")</f>
        <v/>
      </c>
      <c r="D6120" s="94" t="n"/>
      <c r="E6120" s="94" t="inlineStr">
        <is>
          <t>클렌징폼</t>
        </is>
      </c>
      <c r="F6120" s="94" t="inlineStr">
        <is>
          <t>카페24</t>
        </is>
      </c>
      <c r="G6120" s="94" t="inlineStr">
        <is>
          <t>클렌징폼 120ml 2set</t>
        </is>
      </c>
      <c r="H6120" s="7" t="n">
        <v>190801</v>
      </c>
      <c r="I6120" s="7" t="n">
        <v>190801</v>
      </c>
      <c r="J6120" s="94" t="n"/>
      <c r="K6120" s="6" t="n">
        <v>1</v>
      </c>
      <c r="L6120" s="92" t="n">
        <v>190801</v>
      </c>
      <c r="M6120" s="94">
        <f>VLOOKUP($Q6120,매칭테이블!$F:$I,2,0)*K6120</f>
        <v/>
      </c>
      <c r="N6120" s="94">
        <f>M6120-M6120*VLOOKUP($Q6120,매칭테이블!$F:$I,3,0)</f>
        <v/>
      </c>
      <c r="O6120" s="94">
        <f>VLOOKUP($Q6120,매칭테이블!$F:$I,4,0)*K6120</f>
        <v/>
      </c>
      <c r="P6120" s="148">
        <f>M6120/1.1</f>
        <v/>
      </c>
      <c r="Q6120" s="94">
        <f>F6120&amp;E6120&amp;G6120&amp;L6120</f>
        <v/>
      </c>
    </row>
    <row r="6121">
      <c r="A6121" s="94" t="n"/>
      <c r="B6121" s="128" t="n">
        <v>43962</v>
      </c>
      <c r="C6121" s="94">
        <f>TEXT(B6121,"aaa")</f>
        <v/>
      </c>
      <c r="D6121" s="94" t="n"/>
      <c r="E6121" s="94" t="inlineStr">
        <is>
          <t>클렌징폼</t>
        </is>
      </c>
      <c r="F6121" s="94" t="inlineStr">
        <is>
          <t>카페24</t>
        </is>
      </c>
      <c r="G6121" s="94" t="inlineStr">
        <is>
          <t>클렌징폼 120ml 3set</t>
        </is>
      </c>
      <c r="H6121" s="7" t="n">
        <v>190801</v>
      </c>
      <c r="I6121" s="7" t="n">
        <v>190801</v>
      </c>
      <c r="J6121" s="94" t="n"/>
      <c r="K6121" s="6" t="n">
        <v>2</v>
      </c>
      <c r="L6121" s="92" t="n">
        <v>190801</v>
      </c>
      <c r="M6121" s="94">
        <f>VLOOKUP($Q6121,매칭테이블!$F:$I,2,0)*K6121</f>
        <v/>
      </c>
      <c r="N6121" s="94">
        <f>M6121-M6121*VLOOKUP($Q6121,매칭테이블!$F:$I,3,0)</f>
        <v/>
      </c>
      <c r="O6121" s="94">
        <f>VLOOKUP($Q6121,매칭테이블!$F:$I,4,0)*K6121</f>
        <v/>
      </c>
      <c r="P6121" s="148">
        <f>M6121/1.1</f>
        <v/>
      </c>
      <c r="Q6121" s="94">
        <f>F6121&amp;E6121&amp;G6121&amp;L6121</f>
        <v/>
      </c>
    </row>
    <row r="6122">
      <c r="A6122" s="94" t="n"/>
      <c r="B6122" s="128" t="n">
        <v>43962</v>
      </c>
      <c r="C6122" s="94">
        <f>TEXT(B6122,"aaa")</f>
        <v/>
      </c>
      <c r="D6122" s="94" t="n"/>
      <c r="E6122" s="6" t="inlineStr">
        <is>
          <t>토너</t>
        </is>
      </c>
      <c r="F6122" s="94" t="inlineStr">
        <is>
          <t>큐텐</t>
        </is>
      </c>
      <c r="G6122" s="5" t="inlineStr">
        <is>
          <t>250ml</t>
        </is>
      </c>
      <c r="H6122" s="7" t="n">
        <v>190801</v>
      </c>
      <c r="I6122" s="7" t="n">
        <v>190801</v>
      </c>
      <c r="J6122" s="94" t="n"/>
      <c r="K6122" s="94" t="n">
        <v>57</v>
      </c>
      <c r="L6122" s="94" t="n">
        <v>190801</v>
      </c>
      <c r="M6122" s="94">
        <f>VLOOKUP($Q6122,매칭테이블!$F:$I,2,0)*K6122</f>
        <v/>
      </c>
      <c r="N6122" s="94">
        <f>M6122-M6122*VLOOKUP($Q6122,매칭테이블!$F:$I,3,0)</f>
        <v/>
      </c>
      <c r="O6122" s="94">
        <f>VLOOKUP($Q6122,매칭테이블!$F:$I,4,0)*K6122</f>
        <v/>
      </c>
      <c r="P6122" s="148">
        <f>M6122/1.1</f>
        <v/>
      </c>
      <c r="Q6122" s="94">
        <f>F6122&amp;E6122&amp;G6122&amp;L6122</f>
        <v/>
      </c>
    </row>
    <row r="6123">
      <c r="A6123" s="94" t="n"/>
      <c r="B6123" s="128" t="n">
        <v>43962</v>
      </c>
      <c r="C6123" s="94">
        <f>TEXT(B6123,"aaa")</f>
        <v/>
      </c>
      <c r="D6123" s="94" t="n"/>
      <c r="E6123" s="6" t="inlineStr">
        <is>
          <t>토너</t>
        </is>
      </c>
      <c r="F6123" s="94" t="inlineStr">
        <is>
          <t>큐텐</t>
        </is>
      </c>
      <c r="G6123" s="5" t="inlineStr">
        <is>
          <t>250ml 2set</t>
        </is>
      </c>
      <c r="H6123" s="7" t="n">
        <v>190801</v>
      </c>
      <c r="I6123" s="7" t="n">
        <v>190801</v>
      </c>
      <c r="J6123" s="94" t="n"/>
      <c r="K6123" s="94" t="n">
        <v>37</v>
      </c>
      <c r="L6123" s="94" t="n">
        <v>190801</v>
      </c>
      <c r="M6123" s="94">
        <f>VLOOKUP($Q6123,매칭테이블!$F:$I,2,0)*K6123</f>
        <v/>
      </c>
      <c r="N6123" s="94">
        <f>M6123-M6123*VLOOKUP($Q6123,매칭테이블!$F:$I,3,0)</f>
        <v/>
      </c>
      <c r="O6123" s="94">
        <f>VLOOKUP($Q6123,매칭테이블!$F:$I,4,0)*K6123</f>
        <v/>
      </c>
      <c r="P6123" s="148">
        <f>M6123/1.1</f>
        <v/>
      </c>
      <c r="Q6123" s="94">
        <f>F6123&amp;E6123&amp;G6123&amp;L6123</f>
        <v/>
      </c>
    </row>
    <row r="6124">
      <c r="A6124" s="94" t="n"/>
      <c r="B6124" s="128" t="n">
        <v>43962</v>
      </c>
      <c r="C6124" s="94">
        <f>TEXT(B6124,"aaa")</f>
        <v/>
      </c>
      <c r="D6124" s="94" t="n"/>
      <c r="E6124" s="94" t="inlineStr">
        <is>
          <t>앰플</t>
        </is>
      </c>
      <c r="F6124" s="94" t="inlineStr">
        <is>
          <t>큐텐</t>
        </is>
      </c>
      <c r="G6124" s="94" t="inlineStr">
        <is>
          <t>앰플 30ml</t>
        </is>
      </c>
      <c r="H6124" s="7" t="n">
        <v>190801</v>
      </c>
      <c r="I6124" s="7" t="n">
        <v>190801</v>
      </c>
      <c r="J6124" s="94" t="n"/>
      <c r="K6124" s="94" t="n">
        <v>6</v>
      </c>
      <c r="L6124" s="94" t="n">
        <v>190801</v>
      </c>
      <c r="M6124" s="94">
        <f>VLOOKUP($Q6124,매칭테이블!$F:$I,2,0)*K6124</f>
        <v/>
      </c>
      <c r="N6124" s="94">
        <f>M6124-M6124*VLOOKUP($Q6124,매칭테이블!$F:$I,3,0)</f>
        <v/>
      </c>
      <c r="O6124" s="94">
        <f>VLOOKUP($Q6124,매칭테이블!$F:$I,4,0)*K6124</f>
        <v/>
      </c>
      <c r="P6124" s="148">
        <f>M6124/1.1</f>
        <v/>
      </c>
      <c r="Q6124" s="94">
        <f>F6124&amp;E6124&amp;G6124&amp;L6124</f>
        <v/>
      </c>
    </row>
    <row r="6125">
      <c r="A6125" s="94" t="n"/>
      <c r="B6125" s="128" t="n">
        <v>43962</v>
      </c>
      <c r="C6125" s="94">
        <f>TEXT(B6125,"aaa")</f>
        <v/>
      </c>
      <c r="D6125" s="94" t="n"/>
      <c r="E6125" s="94" t="inlineStr">
        <is>
          <t>머드크림마스크</t>
        </is>
      </c>
      <c r="F6125" s="94" t="inlineStr">
        <is>
          <t>큐텐</t>
        </is>
      </c>
      <c r="G6125" s="94" t="inlineStr">
        <is>
          <t>머드크림마스크 100ml</t>
        </is>
      </c>
      <c r="H6125" s="7" t="n">
        <v>190801</v>
      </c>
      <c r="I6125" s="7" t="n">
        <v>190801</v>
      </c>
      <c r="J6125" s="94" t="n"/>
      <c r="K6125" s="94" t="n">
        <v>2</v>
      </c>
      <c r="L6125" s="94" t="n">
        <v>190801</v>
      </c>
      <c r="M6125" s="94">
        <f>VLOOKUP($Q6125,매칭테이블!$F:$I,2,0)*K6125</f>
        <v/>
      </c>
      <c r="N6125" s="94">
        <f>M6125-M6125*VLOOKUP($Q6125,매칭테이블!$F:$I,3,0)</f>
        <v/>
      </c>
      <c r="O6125" s="94">
        <f>VLOOKUP($Q6125,매칭테이블!$F:$I,4,0)*K6125</f>
        <v/>
      </c>
      <c r="P6125" s="148">
        <f>M6125/1.1</f>
        <v/>
      </c>
      <c r="Q6125" s="94">
        <f>F6125&amp;E6125&amp;G6125&amp;L6125</f>
        <v/>
      </c>
    </row>
    <row r="6126">
      <c r="A6126" s="94" t="n"/>
      <c r="B6126" s="128" t="n">
        <v>43963</v>
      </c>
      <c r="C6126" s="94">
        <f>TEXT(B6126,"aaa")</f>
        <v/>
      </c>
      <c r="D6126" s="94" t="n"/>
      <c r="E6126" s="6" t="inlineStr">
        <is>
          <t>토너</t>
        </is>
      </c>
      <c r="F6126" s="5" t="inlineStr">
        <is>
          <t>W컨셉</t>
        </is>
      </c>
      <c r="G6126" s="5" t="inlineStr">
        <is>
          <t>250ml 2set</t>
        </is>
      </c>
      <c r="H6126" s="7" t="n">
        <v>190801</v>
      </c>
      <c r="I6126" s="7" t="n">
        <v>190801</v>
      </c>
      <c r="J6126" s="94" t="n"/>
      <c r="K6126" s="6" t="n">
        <v>5</v>
      </c>
      <c r="L6126" s="7" t="n">
        <v>190801</v>
      </c>
      <c r="M6126" s="94">
        <f>VLOOKUP($Q6126,매칭테이블!$F:$I,2,0)*K6126</f>
        <v/>
      </c>
      <c r="N6126" s="94">
        <f>M6126-M6126*VLOOKUP($Q6126,매칭테이블!$F:$I,3,0)</f>
        <v/>
      </c>
      <c r="O6126" s="94">
        <f>VLOOKUP($Q6126,매칭테이블!$F:$I,4,0)*K6126</f>
        <v/>
      </c>
      <c r="P6126" s="148">
        <f>M6126/1.1</f>
        <v/>
      </c>
      <c r="Q6126" s="94">
        <f>F6126&amp;E6126&amp;G6126&amp;L6126</f>
        <v/>
      </c>
    </row>
    <row r="6127">
      <c r="A6127" s="94" t="n"/>
      <c r="B6127" s="128" t="n">
        <v>43963</v>
      </c>
      <c r="C6127" s="94">
        <f>TEXT(B6127,"aaa")</f>
        <v/>
      </c>
      <c r="D6127" s="94" t="n"/>
      <c r="E6127" s="94" t="inlineStr">
        <is>
          <t>어성초진정패키지</t>
        </is>
      </c>
      <c r="F6127" s="94" t="inlineStr">
        <is>
          <t>카페24</t>
        </is>
      </c>
      <c r="G6127" s="94" t="inlineStr">
        <is>
          <t>어성초 진정패키지세트</t>
        </is>
      </c>
      <c r="H6127" s="7" t="n">
        <v>190801</v>
      </c>
      <c r="I6127" s="7" t="n">
        <v>190801</v>
      </c>
      <c r="J6127" s="94" t="n"/>
      <c r="K6127" s="6" t="n">
        <v>7</v>
      </c>
      <c r="L6127" s="94" t="n">
        <v>190801</v>
      </c>
      <c r="M6127" s="94">
        <f>VLOOKUP($Q6127,매칭테이블!$F:$I,2,0)*K6127</f>
        <v/>
      </c>
      <c r="N6127" s="94">
        <f>M6127-M6127*VLOOKUP($Q6127,매칭테이블!$F:$I,3,0)</f>
        <v/>
      </c>
      <c r="O6127" s="94">
        <f>VLOOKUP($Q6127,매칭테이블!$F:$I,4,0)*K6127</f>
        <v/>
      </c>
      <c r="P6127" s="148">
        <f>M6127/1.1</f>
        <v/>
      </c>
      <c r="Q6127" s="94">
        <f>F6127&amp;E6127&amp;G6127&amp;L6127</f>
        <v/>
      </c>
    </row>
    <row r="6128">
      <c r="A6128" s="94" t="n"/>
      <c r="B6128" s="128" t="n">
        <v>43963</v>
      </c>
      <c r="C6128" s="94">
        <f>TEXT(B6128,"aaa")</f>
        <v/>
      </c>
      <c r="D6128" s="94" t="n"/>
      <c r="E6128" s="94" t="inlineStr">
        <is>
          <t>머드크림마스크</t>
        </is>
      </c>
      <c r="F6128" s="94" t="inlineStr">
        <is>
          <t>카페24</t>
        </is>
      </c>
      <c r="G6128" s="94" t="inlineStr">
        <is>
          <t>머드크림마스크 100ml</t>
        </is>
      </c>
      <c r="H6128" s="7" t="n">
        <v>190801</v>
      </c>
      <c r="I6128" s="7" t="n">
        <v>190801</v>
      </c>
      <c r="J6128" s="94" t="n"/>
      <c r="K6128" s="6" t="n">
        <v>3</v>
      </c>
      <c r="L6128" s="94" t="n">
        <v>190801</v>
      </c>
      <c r="M6128" s="94">
        <f>VLOOKUP($Q6128,매칭테이블!$F:$I,2,0)*K6128</f>
        <v/>
      </c>
      <c r="N6128" s="94">
        <f>M6128-M6128*VLOOKUP($Q6128,매칭테이블!$F:$I,3,0)</f>
        <v/>
      </c>
      <c r="O6128" s="94">
        <f>VLOOKUP($Q6128,매칭테이블!$F:$I,4,0)*K6128</f>
        <v/>
      </c>
      <c r="P6128" s="148">
        <f>M6128/1.1</f>
        <v/>
      </c>
      <c r="Q6128" s="94">
        <f>F6128&amp;E6128&amp;G6128&amp;L6128</f>
        <v/>
      </c>
    </row>
    <row r="6129">
      <c r="A6129" s="94" t="n"/>
      <c r="B6129" s="128" t="n">
        <v>43963</v>
      </c>
      <c r="C6129" s="94">
        <f>TEXT(B6129,"aaa")</f>
        <v/>
      </c>
      <c r="D6129" s="94" t="n"/>
      <c r="E6129" s="94" t="inlineStr">
        <is>
          <t>마스크팩</t>
        </is>
      </c>
      <c r="F6129" s="94" t="inlineStr">
        <is>
          <t>카페24</t>
        </is>
      </c>
      <c r="G6129" s="94" t="inlineStr">
        <is>
          <t>마스크팩 1매</t>
        </is>
      </c>
      <c r="H6129" s="7" t="n">
        <v>190801</v>
      </c>
      <c r="I6129" s="7" t="n">
        <v>190801</v>
      </c>
      <c r="J6129" s="94" t="n"/>
      <c r="K6129" s="6" t="n">
        <v>6</v>
      </c>
      <c r="L6129" s="94" t="n">
        <v>190801</v>
      </c>
      <c r="M6129" s="94">
        <f>VLOOKUP($Q6129,매칭테이블!$F:$I,2,0)*K6129</f>
        <v/>
      </c>
      <c r="N6129" s="94">
        <f>M6129-M6129*VLOOKUP($Q6129,매칭테이블!$F:$I,3,0)</f>
        <v/>
      </c>
      <c r="O6129" s="94">
        <f>VLOOKUP($Q6129,매칭테이블!$F:$I,4,0)*K6129</f>
        <v/>
      </c>
      <c r="P6129" s="148">
        <f>M6129/1.1</f>
        <v/>
      </c>
      <c r="Q6129" s="94">
        <f>F6129&amp;E6129&amp;G6129&amp;L6129</f>
        <v/>
      </c>
    </row>
    <row r="6130">
      <c r="A6130" s="94" t="n"/>
      <c r="B6130" s="128" t="n">
        <v>43963</v>
      </c>
      <c r="C6130" s="94">
        <f>TEXT(B6130,"aaa")</f>
        <v/>
      </c>
      <c r="D6130" s="94" t="n"/>
      <c r="E6130" s="94" t="inlineStr">
        <is>
          <t>마스크팩</t>
        </is>
      </c>
      <c r="F6130" s="94" t="inlineStr">
        <is>
          <t>카페24</t>
        </is>
      </c>
      <c r="G6130" s="94" t="inlineStr">
        <is>
          <t>마스크팩 10매</t>
        </is>
      </c>
      <c r="H6130" s="7" t="n">
        <v>190801</v>
      </c>
      <c r="I6130" s="7" t="n">
        <v>190801</v>
      </c>
      <c r="J6130" s="94" t="n"/>
      <c r="K6130" s="6" t="n">
        <v>4</v>
      </c>
      <c r="L6130" s="94" t="n">
        <v>190801</v>
      </c>
      <c r="M6130" s="94">
        <f>VLOOKUP($Q6130,매칭테이블!$F:$I,2,0)*K6130</f>
        <v/>
      </c>
      <c r="N6130" s="94">
        <f>M6130-M6130*VLOOKUP($Q6130,매칭테이블!$F:$I,3,0)</f>
        <v/>
      </c>
      <c r="O6130" s="94">
        <f>VLOOKUP($Q6130,매칭테이블!$F:$I,4,0)*K6130</f>
        <v/>
      </c>
      <c r="P6130" s="148">
        <f>M6130/1.1</f>
        <v/>
      </c>
      <c r="Q6130" s="94">
        <f>F6130&amp;E6130&amp;G6130&amp;L6130</f>
        <v/>
      </c>
    </row>
    <row r="6131">
      <c r="A6131" s="94" t="n"/>
      <c r="B6131" s="128" t="n">
        <v>43963</v>
      </c>
      <c r="C6131" s="94">
        <f>TEXT(B6131,"aaa")</f>
        <v/>
      </c>
      <c r="D6131" s="94" t="n"/>
      <c r="E6131" s="6" t="inlineStr">
        <is>
          <t>토너</t>
        </is>
      </c>
      <c r="F6131" s="5" t="inlineStr">
        <is>
          <t>카페24</t>
        </is>
      </c>
      <c r="G6131" s="5" t="inlineStr">
        <is>
          <t>250ml</t>
        </is>
      </c>
      <c r="H6131" s="7" t="n">
        <v>190801</v>
      </c>
      <c r="I6131" s="7" t="n">
        <v>190801</v>
      </c>
      <c r="J6131" s="94" t="n"/>
      <c r="K6131" s="6" t="n">
        <v>79</v>
      </c>
      <c r="L6131" s="7" t="n">
        <v>190801</v>
      </c>
      <c r="M6131" s="94">
        <f>VLOOKUP($Q6131,매칭테이블!$F:$I,2,0)*K6131</f>
        <v/>
      </c>
      <c r="N6131" s="94">
        <f>M6131-M6131*VLOOKUP($Q6131,매칭테이블!$F:$I,3,0)</f>
        <v/>
      </c>
      <c r="O6131" s="94">
        <f>VLOOKUP($Q6131,매칭테이블!$F:$I,4,0)*K6131</f>
        <v/>
      </c>
      <c r="P6131" s="148">
        <f>M6131/1.1</f>
        <v/>
      </c>
      <c r="Q6131" s="94">
        <f>F6131&amp;E6131&amp;G6131&amp;L6131</f>
        <v/>
      </c>
    </row>
    <row r="6132">
      <c r="A6132" s="94" t="n"/>
      <c r="B6132" s="128" t="n">
        <v>43963</v>
      </c>
      <c r="C6132" s="94">
        <f>TEXT(B6132,"aaa")</f>
        <v/>
      </c>
      <c r="D6132" s="94" t="n"/>
      <c r="E6132" s="6" t="inlineStr">
        <is>
          <t>토너</t>
        </is>
      </c>
      <c r="F6132" s="5" t="inlineStr">
        <is>
          <t>카페24</t>
        </is>
      </c>
      <c r="G6132" s="5" t="inlineStr">
        <is>
          <t>250ml 2set</t>
        </is>
      </c>
      <c r="H6132" s="7" t="n">
        <v>190801</v>
      </c>
      <c r="I6132" s="7" t="n">
        <v>190801</v>
      </c>
      <c r="J6132" s="94" t="n"/>
      <c r="K6132" s="6" t="n">
        <v>37</v>
      </c>
      <c r="L6132" s="7" t="n">
        <v>190801</v>
      </c>
      <c r="M6132" s="94">
        <f>VLOOKUP($Q6132,매칭테이블!$F:$I,2,0)*K6132</f>
        <v/>
      </c>
      <c r="N6132" s="94">
        <f>M6132-M6132*VLOOKUP($Q6132,매칭테이블!$F:$I,3,0)</f>
        <v/>
      </c>
      <c r="O6132" s="94">
        <f>VLOOKUP($Q6132,매칭테이블!$F:$I,4,0)*K6132</f>
        <v/>
      </c>
      <c r="P6132" s="148">
        <f>M6132/1.1</f>
        <v/>
      </c>
      <c r="Q6132" s="94">
        <f>F6132&amp;E6132&amp;G6132&amp;L6132</f>
        <v/>
      </c>
    </row>
    <row r="6133">
      <c r="A6133" s="94" t="n"/>
      <c r="B6133" s="128" t="n">
        <v>43963</v>
      </c>
      <c r="C6133" s="94">
        <f>TEXT(B6133,"aaa")</f>
        <v/>
      </c>
      <c r="D6133" s="94" t="n"/>
      <c r="E6133" s="6" t="inlineStr">
        <is>
          <t>토너</t>
        </is>
      </c>
      <c r="F6133" s="5" t="inlineStr">
        <is>
          <t>카페24</t>
        </is>
      </c>
      <c r="G6133" s="5" t="inlineStr">
        <is>
          <t>500ml</t>
        </is>
      </c>
      <c r="H6133" s="7" t="n">
        <v>190801</v>
      </c>
      <c r="I6133" s="7" t="n">
        <v>190801</v>
      </c>
      <c r="J6133" s="94" t="n"/>
      <c r="K6133" s="6" t="n">
        <v>56</v>
      </c>
      <c r="L6133" s="7" t="n">
        <v>190801</v>
      </c>
      <c r="M6133" s="94">
        <f>VLOOKUP($Q6133,매칭테이블!$F:$I,2,0)*K6133</f>
        <v/>
      </c>
      <c r="N6133" s="94">
        <f>M6133-M6133*VLOOKUP($Q6133,매칭테이블!$F:$I,3,0)</f>
        <v/>
      </c>
      <c r="O6133" s="94">
        <f>VLOOKUP($Q6133,매칭테이블!$F:$I,4,0)*K6133</f>
        <v/>
      </c>
      <c r="P6133" s="148">
        <f>M6133/1.1</f>
        <v/>
      </c>
      <c r="Q6133" s="94">
        <f>F6133&amp;E6133&amp;G6133&amp;L6133</f>
        <v/>
      </c>
    </row>
    <row r="6134">
      <c r="A6134" s="94" t="n"/>
      <c r="B6134" s="128" t="n">
        <v>43963</v>
      </c>
      <c r="C6134" s="94">
        <f>TEXT(B6134,"aaa")</f>
        <v/>
      </c>
      <c r="D6134" s="94" t="n"/>
      <c r="E6134" s="6" t="inlineStr">
        <is>
          <t>토너</t>
        </is>
      </c>
      <c r="F6134" s="5" t="inlineStr">
        <is>
          <t>카페24</t>
        </is>
      </c>
      <c r="G6134" s="94" t="inlineStr">
        <is>
          <t>스킨팩 화장솜 60P</t>
        </is>
      </c>
      <c r="H6134" s="7" t="n">
        <v>190801</v>
      </c>
      <c r="I6134" s="7" t="n">
        <v>190801</v>
      </c>
      <c r="J6134" s="94" t="n"/>
      <c r="K6134" s="6" t="n">
        <v>60</v>
      </c>
      <c r="L6134" s="7" t="n">
        <v>190801</v>
      </c>
      <c r="M6134" s="94">
        <f>VLOOKUP($Q6134,매칭테이블!$F:$I,2,0)*K6134</f>
        <v/>
      </c>
      <c r="N6134" s="94">
        <f>M6134-M6134*VLOOKUP($Q6134,매칭테이블!$F:$I,3,0)</f>
        <v/>
      </c>
      <c r="O6134" s="94">
        <f>VLOOKUP($Q6134,매칭테이블!$F:$I,4,0)*K6134</f>
        <v/>
      </c>
      <c r="P6134" s="148">
        <f>M6134/1.1</f>
        <v/>
      </c>
      <c r="Q6134" s="94">
        <f>F6134&amp;E6134&amp;G6134&amp;L6134</f>
        <v/>
      </c>
    </row>
    <row r="6135">
      <c r="A6135" s="94" t="n"/>
      <c r="B6135" s="128" t="n">
        <v>43963</v>
      </c>
      <c r="C6135" s="94">
        <f>TEXT(B6135,"aaa")</f>
        <v/>
      </c>
      <c r="D6135" s="94" t="n"/>
      <c r="E6135" s="94" t="inlineStr">
        <is>
          <t>앰플</t>
        </is>
      </c>
      <c r="F6135" s="5" t="inlineStr">
        <is>
          <t>카페24</t>
        </is>
      </c>
      <c r="G6135" s="94" t="inlineStr">
        <is>
          <t>앰플 30ml</t>
        </is>
      </c>
      <c r="H6135" s="7" t="n">
        <v>190801</v>
      </c>
      <c r="I6135" s="7" t="n">
        <v>190801</v>
      </c>
      <c r="J6135" s="94" t="n"/>
      <c r="K6135" s="6" t="n">
        <v>16</v>
      </c>
      <c r="L6135" s="94" t="n">
        <v>190801</v>
      </c>
      <c r="M6135" s="94">
        <f>VLOOKUP($Q6135,매칭테이블!$F:$I,2,0)*K6135</f>
        <v/>
      </c>
      <c r="N6135" s="94">
        <f>M6135-M6135*VLOOKUP($Q6135,매칭테이블!$F:$I,3,0)</f>
        <v/>
      </c>
      <c r="O6135" s="94">
        <f>VLOOKUP($Q6135,매칭테이블!$F:$I,4,0)*K6135</f>
        <v/>
      </c>
      <c r="P6135" s="148">
        <f>M6135/1.1</f>
        <v/>
      </c>
      <c r="Q6135" s="94">
        <f>F6135&amp;E6135&amp;G6135&amp;L6135</f>
        <v/>
      </c>
    </row>
    <row r="6136">
      <c r="A6136" s="94" t="n"/>
      <c r="B6136" s="128" t="n">
        <v>43963</v>
      </c>
      <c r="C6136" s="94">
        <f>TEXT(B6136,"aaa")</f>
        <v/>
      </c>
      <c r="D6136" s="94" t="n"/>
      <c r="E6136" s="94" t="inlineStr">
        <is>
          <t>수딩크림</t>
        </is>
      </c>
      <c r="F6136" s="5" t="inlineStr">
        <is>
          <t>카페24</t>
        </is>
      </c>
      <c r="G6136" s="94" t="inlineStr">
        <is>
          <t>수딩크림 100ml</t>
        </is>
      </c>
      <c r="H6136" s="7" t="n">
        <v>190801</v>
      </c>
      <c r="I6136" s="7" t="n">
        <v>190801</v>
      </c>
      <c r="J6136" s="94" t="n"/>
      <c r="K6136" s="6" t="n">
        <v>5</v>
      </c>
      <c r="L6136" s="94" t="n">
        <v>190801</v>
      </c>
      <c r="M6136" s="94">
        <f>VLOOKUP($Q6136,매칭테이블!$F:$I,2,0)*K6136</f>
        <v/>
      </c>
      <c r="N6136" s="94">
        <f>M6136-M6136*VLOOKUP($Q6136,매칭테이블!$F:$I,3,0)</f>
        <v/>
      </c>
      <c r="O6136" s="94">
        <f>VLOOKUP($Q6136,매칭테이블!$F:$I,4,0)*K6136</f>
        <v/>
      </c>
      <c r="P6136" s="148">
        <f>M6136/1.1</f>
        <v/>
      </c>
      <c r="Q6136" s="94">
        <f>F6136&amp;E6136&amp;G6136&amp;L6136</f>
        <v/>
      </c>
    </row>
    <row r="6137">
      <c r="A6137" s="94" t="n"/>
      <c r="B6137" s="128" t="n">
        <v>43963</v>
      </c>
      <c r="C6137" s="94">
        <f>TEXT(B6137,"aaa")</f>
        <v/>
      </c>
      <c r="D6137" s="94" t="n"/>
      <c r="E6137" s="6" t="inlineStr">
        <is>
          <t>토너</t>
        </is>
      </c>
      <c r="F6137" s="94" t="inlineStr">
        <is>
          <t>큐텐</t>
        </is>
      </c>
      <c r="G6137" s="5" t="inlineStr">
        <is>
          <t>250ml</t>
        </is>
      </c>
      <c r="H6137" s="7" t="n">
        <v>190801</v>
      </c>
      <c r="I6137" s="7" t="n">
        <v>190801</v>
      </c>
      <c r="J6137" s="94" t="n"/>
      <c r="K6137" s="6" t="n">
        <v>18</v>
      </c>
      <c r="L6137" s="94" t="n">
        <v>190801</v>
      </c>
      <c r="M6137" s="94">
        <f>VLOOKUP($Q6137,매칭테이블!$F:$I,2,0)*K6137</f>
        <v/>
      </c>
      <c r="N6137" s="94">
        <f>M6137-M6137*VLOOKUP($Q6137,매칭테이블!$F:$I,3,0)</f>
        <v/>
      </c>
      <c r="O6137" s="94">
        <f>VLOOKUP($Q6137,매칭테이블!$F:$I,4,0)*K6137</f>
        <v/>
      </c>
      <c r="P6137" s="148">
        <f>M6137/1.1</f>
        <v/>
      </c>
      <c r="Q6137" s="94">
        <f>F6137&amp;E6137&amp;G6137&amp;L6137</f>
        <v/>
      </c>
    </row>
    <row r="6138">
      <c r="A6138" s="94" t="n"/>
      <c r="B6138" s="128" t="n">
        <v>43963</v>
      </c>
      <c r="C6138" s="94">
        <f>TEXT(B6138,"aaa")</f>
        <v/>
      </c>
      <c r="D6138" s="94" t="n"/>
      <c r="E6138" s="6" t="inlineStr">
        <is>
          <t>토너</t>
        </is>
      </c>
      <c r="F6138" s="94" t="inlineStr">
        <is>
          <t>큐텐</t>
        </is>
      </c>
      <c r="G6138" s="5" t="inlineStr">
        <is>
          <t>250ml 2set</t>
        </is>
      </c>
      <c r="H6138" s="7" t="n">
        <v>190801</v>
      </c>
      <c r="I6138" s="7" t="n">
        <v>190801</v>
      </c>
      <c r="J6138" s="94" t="n"/>
      <c r="K6138" s="6" t="n">
        <v>6</v>
      </c>
      <c r="L6138" s="94" t="n">
        <v>190801</v>
      </c>
      <c r="M6138" s="94">
        <f>VLOOKUP($Q6138,매칭테이블!$F:$I,2,0)*K6138</f>
        <v/>
      </c>
      <c r="N6138" s="94">
        <f>M6138-M6138*VLOOKUP($Q6138,매칭테이블!$F:$I,3,0)</f>
        <v/>
      </c>
      <c r="O6138" s="94">
        <f>VLOOKUP($Q6138,매칭테이블!$F:$I,4,0)*K6138</f>
        <v/>
      </c>
      <c r="P6138" s="148">
        <f>M6138/1.1</f>
        <v/>
      </c>
      <c r="Q6138" s="94">
        <f>F6138&amp;E6138&amp;G6138&amp;L6138</f>
        <v/>
      </c>
    </row>
    <row r="6139">
      <c r="A6139" s="94" t="n"/>
      <c r="B6139" s="128" t="n">
        <v>43963</v>
      </c>
      <c r="C6139" s="94">
        <f>TEXT(B6139,"aaa")</f>
        <v/>
      </c>
      <c r="D6139" s="94" t="n"/>
      <c r="E6139" s="94" t="inlineStr">
        <is>
          <t>앰플</t>
        </is>
      </c>
      <c r="F6139" s="94" t="inlineStr">
        <is>
          <t>큐텐</t>
        </is>
      </c>
      <c r="G6139" s="94" t="inlineStr">
        <is>
          <t>앰플 30ml</t>
        </is>
      </c>
      <c r="H6139" s="7" t="n">
        <v>190801</v>
      </c>
      <c r="I6139" s="7" t="n">
        <v>190801</v>
      </c>
      <c r="J6139" s="94" t="n"/>
      <c r="K6139" s="6" t="n">
        <v>4</v>
      </c>
      <c r="L6139" s="94" t="n">
        <v>190801</v>
      </c>
      <c r="M6139" s="94">
        <f>VLOOKUP($Q6139,매칭테이블!$F:$I,2,0)*K6139</f>
        <v/>
      </c>
      <c r="N6139" s="94">
        <f>M6139-M6139*VLOOKUP($Q6139,매칭테이블!$F:$I,3,0)</f>
        <v/>
      </c>
      <c r="O6139" s="94">
        <f>VLOOKUP($Q6139,매칭테이블!$F:$I,4,0)*K6139</f>
        <v/>
      </c>
      <c r="P6139" s="148">
        <f>M6139/1.1</f>
        <v/>
      </c>
      <c r="Q6139" s="94">
        <f>F6139&amp;E6139&amp;G6139&amp;L6139</f>
        <v/>
      </c>
    </row>
    <row r="6140">
      <c r="A6140" s="94" t="n"/>
      <c r="B6140" s="128" t="n">
        <v>43963</v>
      </c>
      <c r="C6140" s="94">
        <f>TEXT(B6140,"aaa")</f>
        <v/>
      </c>
      <c r="D6140" s="94" t="n"/>
      <c r="E6140" s="94" t="inlineStr">
        <is>
          <t>머드크림마스크</t>
        </is>
      </c>
      <c r="F6140" s="94" t="inlineStr">
        <is>
          <t>큐텐</t>
        </is>
      </c>
      <c r="G6140" s="94" t="inlineStr">
        <is>
          <t>머드크림마스크 100ml</t>
        </is>
      </c>
      <c r="H6140" s="7" t="n">
        <v>190801</v>
      </c>
      <c r="I6140" s="7" t="n">
        <v>190801</v>
      </c>
      <c r="J6140" s="94" t="n"/>
      <c r="K6140" s="6" t="n">
        <v>1</v>
      </c>
      <c r="L6140" s="94" t="n">
        <v>190801</v>
      </c>
      <c r="M6140" s="94">
        <f>VLOOKUP($Q6140,매칭테이블!$F:$I,2,0)*K6140</f>
        <v/>
      </c>
      <c r="N6140" s="94">
        <f>M6140-M6140*VLOOKUP($Q6140,매칭테이블!$F:$I,3,0)</f>
        <v/>
      </c>
      <c r="O6140" s="94">
        <f>VLOOKUP($Q6140,매칭테이블!$F:$I,4,0)*K6140</f>
        <v/>
      </c>
      <c r="P6140" s="148">
        <f>M6140/1.1</f>
        <v/>
      </c>
      <c r="Q6140" s="94">
        <f>F6140&amp;E6140&amp;G6140&amp;L6140</f>
        <v/>
      </c>
    </row>
    <row r="6141">
      <c r="A6141" s="94" t="n"/>
      <c r="B6141" s="128" t="n">
        <v>43963</v>
      </c>
      <c r="C6141" s="94">
        <f>TEXT(B6141,"aaa")</f>
        <v/>
      </c>
      <c r="D6141" s="94" t="n"/>
      <c r="E6141" s="94" t="inlineStr">
        <is>
          <t>클렌징폼</t>
        </is>
      </c>
      <c r="F6141" s="94" t="inlineStr">
        <is>
          <t>카페24</t>
        </is>
      </c>
      <c r="G6141" s="94" t="inlineStr">
        <is>
          <t>클렌징폼 120ml</t>
        </is>
      </c>
      <c r="H6141" s="7" t="n">
        <v>190801</v>
      </c>
      <c r="I6141" s="7" t="n">
        <v>190801</v>
      </c>
      <c r="J6141" s="94" t="n"/>
      <c r="K6141" s="6" t="n">
        <v>12</v>
      </c>
      <c r="L6141" s="92" t="n">
        <v>190801</v>
      </c>
      <c r="M6141" s="94">
        <f>VLOOKUP($Q6141,매칭테이블!$F:$I,2,0)*K6141</f>
        <v/>
      </c>
      <c r="N6141" s="94">
        <f>M6141-M6141*VLOOKUP($Q6141,매칭테이블!$F:$I,3,0)</f>
        <v/>
      </c>
      <c r="O6141" s="94">
        <f>VLOOKUP($Q6141,매칭테이블!$F:$I,4,0)*K6141</f>
        <v/>
      </c>
      <c r="P6141" s="148">
        <f>M6141/1.1</f>
        <v/>
      </c>
      <c r="Q6141" s="94">
        <f>F6141&amp;E6141&amp;G6141&amp;L6141</f>
        <v/>
      </c>
    </row>
    <row r="6142">
      <c r="A6142" s="94" t="n"/>
      <c r="B6142" s="128" t="n">
        <v>43963</v>
      </c>
      <c r="C6142" s="94">
        <f>TEXT(B6142,"aaa")</f>
        <v/>
      </c>
      <c r="D6142" s="94" t="n"/>
      <c r="E6142" s="94" t="inlineStr">
        <is>
          <t>클렌징폼</t>
        </is>
      </c>
      <c r="F6142" s="94" t="inlineStr">
        <is>
          <t>카페24</t>
        </is>
      </c>
      <c r="G6142" s="94" t="inlineStr">
        <is>
          <t>클렌징폼 120ml 2set</t>
        </is>
      </c>
      <c r="H6142" s="7" t="n">
        <v>190801</v>
      </c>
      <c r="I6142" s="7" t="n">
        <v>190801</v>
      </c>
      <c r="J6142" s="94" t="n"/>
      <c r="K6142" s="6" t="n">
        <v>3</v>
      </c>
      <c r="L6142" s="92" t="n">
        <v>190801</v>
      </c>
      <c r="M6142" s="94">
        <f>VLOOKUP($Q6142,매칭테이블!$F:$I,2,0)*K6142</f>
        <v/>
      </c>
      <c r="N6142" s="94">
        <f>M6142-M6142*VLOOKUP($Q6142,매칭테이블!$F:$I,3,0)</f>
        <v/>
      </c>
      <c r="O6142" s="94">
        <f>VLOOKUP($Q6142,매칭테이블!$F:$I,4,0)*K6142</f>
        <v/>
      </c>
      <c r="P6142" s="148">
        <f>M6142/1.1</f>
        <v/>
      </c>
      <c r="Q6142" s="94">
        <f>F6142&amp;E6142&amp;G6142&amp;L6142</f>
        <v/>
      </c>
    </row>
    <row r="6143">
      <c r="A6143" s="94" t="n"/>
      <c r="B6143" s="128" t="n">
        <v>43964</v>
      </c>
      <c r="C6143" s="94">
        <f>TEXT(B6143,"aaa")</f>
        <v/>
      </c>
      <c r="D6143" s="94" t="n"/>
      <c r="E6143" s="6" t="inlineStr">
        <is>
          <t>토너</t>
        </is>
      </c>
      <c r="F6143" s="5" t="inlineStr">
        <is>
          <t>W컨셉</t>
        </is>
      </c>
      <c r="G6143" s="5" t="inlineStr">
        <is>
          <t>250ml 2set</t>
        </is>
      </c>
      <c r="H6143" s="7" t="n">
        <v>190801</v>
      </c>
      <c r="I6143" s="7" t="n">
        <v>190801</v>
      </c>
      <c r="J6143" s="94" t="n"/>
      <c r="K6143" s="6" t="n">
        <v>8</v>
      </c>
      <c r="L6143" s="7" t="n">
        <v>190801</v>
      </c>
      <c r="M6143" s="94">
        <f>VLOOKUP($Q6143,매칭테이블!$F:$I,2,0)*K6143</f>
        <v/>
      </c>
      <c r="N6143" s="94">
        <f>M6143-M6143*VLOOKUP($Q6143,매칭테이블!$F:$I,3,0)</f>
        <v/>
      </c>
      <c r="O6143" s="94">
        <f>VLOOKUP($Q6143,매칭테이블!$F:$I,4,0)*K6143</f>
        <v/>
      </c>
      <c r="P6143" s="148">
        <f>M6143/1.1</f>
        <v/>
      </c>
      <c r="Q6143" s="94">
        <f>F6143&amp;E6143&amp;G6143&amp;L6143</f>
        <v/>
      </c>
    </row>
    <row r="6144">
      <c r="A6144" s="94" t="n"/>
      <c r="B6144" s="128" t="n">
        <v>43964</v>
      </c>
      <c r="C6144" s="94">
        <f>TEXT(B6144,"aaa")</f>
        <v/>
      </c>
      <c r="D6144" s="94" t="n"/>
      <c r="E6144" s="94" t="inlineStr">
        <is>
          <t>토너</t>
        </is>
      </c>
      <c r="F6144" s="5" t="inlineStr">
        <is>
          <t>스타일쉐어</t>
        </is>
      </c>
      <c r="G6144" s="94" t="inlineStr">
        <is>
          <t>250ml</t>
        </is>
      </c>
      <c r="H6144" s="7" t="n">
        <v>190801</v>
      </c>
      <c r="I6144" s="7" t="n">
        <v>190801</v>
      </c>
      <c r="J6144" s="94" t="n"/>
      <c r="K6144" s="6" t="n">
        <v>1</v>
      </c>
      <c r="L6144" s="7" t="n">
        <v>190801</v>
      </c>
      <c r="M6144" s="94">
        <f>VLOOKUP($Q6144,매칭테이블!$F:$I,2,0)*K6144</f>
        <v/>
      </c>
      <c r="N6144" s="94">
        <f>M6144-M6144*VLOOKUP($Q6144,매칭테이블!$F:$I,3,0)</f>
        <v/>
      </c>
      <c r="O6144" s="94">
        <f>VLOOKUP($Q6144,매칭테이블!$F:$I,4,0)*K6144</f>
        <v/>
      </c>
      <c r="P6144" s="148">
        <f>M6144/1.1</f>
        <v/>
      </c>
      <c r="Q6144" s="94">
        <f>F6144&amp;E6144&amp;G6144&amp;L6144</f>
        <v/>
      </c>
    </row>
    <row r="6145">
      <c r="A6145" s="94" t="n"/>
      <c r="B6145" s="128" t="n">
        <v>43964</v>
      </c>
      <c r="C6145" s="94">
        <f>TEXT(B6145,"aaa")</f>
        <v/>
      </c>
      <c r="D6145" s="94" t="n"/>
      <c r="E6145" s="94" t="inlineStr">
        <is>
          <t>어성초진정패키지</t>
        </is>
      </c>
      <c r="F6145" s="94" t="inlineStr">
        <is>
          <t>카페24</t>
        </is>
      </c>
      <c r="G6145" s="94" t="inlineStr">
        <is>
          <t>어성초 진정패키지세트</t>
        </is>
      </c>
      <c r="H6145" s="7" t="n">
        <v>190801</v>
      </c>
      <c r="I6145" s="7" t="n">
        <v>190801</v>
      </c>
      <c r="J6145" s="94" t="n"/>
      <c r="K6145" s="6" t="n">
        <v>6</v>
      </c>
      <c r="L6145" s="94" t="n">
        <v>190801</v>
      </c>
      <c r="M6145" s="94">
        <f>VLOOKUP($Q6145,매칭테이블!$F:$I,2,0)*K6145</f>
        <v/>
      </c>
      <c r="N6145" s="94">
        <f>M6145-M6145*VLOOKUP($Q6145,매칭테이블!$F:$I,3,0)</f>
        <v/>
      </c>
      <c r="O6145" s="94">
        <f>VLOOKUP($Q6145,매칭테이블!$F:$I,4,0)*K6145</f>
        <v/>
      </c>
      <c r="P6145" s="148">
        <f>M6145/1.1</f>
        <v/>
      </c>
      <c r="Q6145" s="94">
        <f>F6145&amp;E6145&amp;G6145&amp;L6145</f>
        <v/>
      </c>
    </row>
    <row r="6146">
      <c r="A6146" s="94" t="n"/>
      <c r="B6146" s="128" t="n">
        <v>43964</v>
      </c>
      <c r="C6146" s="94">
        <f>TEXT(B6146,"aaa")</f>
        <v/>
      </c>
      <c r="D6146" s="94" t="n"/>
      <c r="E6146" s="94" t="inlineStr">
        <is>
          <t>머드크림마스크</t>
        </is>
      </c>
      <c r="F6146" s="94" t="inlineStr">
        <is>
          <t>카페24</t>
        </is>
      </c>
      <c r="G6146" s="94" t="inlineStr">
        <is>
          <t>머드크림마스크 100ml</t>
        </is>
      </c>
      <c r="H6146" s="7" t="n">
        <v>190801</v>
      </c>
      <c r="I6146" s="7" t="n">
        <v>190801</v>
      </c>
      <c r="J6146" s="94" t="n"/>
      <c r="K6146" s="6" t="n">
        <v>5</v>
      </c>
      <c r="L6146" s="94" t="n">
        <v>190801</v>
      </c>
      <c r="M6146" s="94">
        <f>VLOOKUP($Q6146,매칭테이블!$F:$I,2,0)*K6146</f>
        <v/>
      </c>
      <c r="N6146" s="94">
        <f>M6146-M6146*VLOOKUP($Q6146,매칭테이블!$F:$I,3,0)</f>
        <v/>
      </c>
      <c r="O6146" s="94">
        <f>VLOOKUP($Q6146,매칭테이블!$F:$I,4,0)*K6146</f>
        <v/>
      </c>
      <c r="P6146" s="148">
        <f>M6146/1.1</f>
        <v/>
      </c>
      <c r="Q6146" s="94">
        <f>F6146&amp;E6146&amp;G6146&amp;L6146</f>
        <v/>
      </c>
    </row>
    <row r="6147">
      <c r="A6147" s="94" t="n"/>
      <c r="B6147" s="128" t="n">
        <v>43964</v>
      </c>
      <c r="C6147" s="94">
        <f>TEXT(B6147,"aaa")</f>
        <v/>
      </c>
      <c r="D6147" s="94" t="n"/>
      <c r="E6147" s="94" t="inlineStr">
        <is>
          <t>마스크팩</t>
        </is>
      </c>
      <c r="F6147" s="94" t="inlineStr">
        <is>
          <t>카페24</t>
        </is>
      </c>
      <c r="G6147" s="94" t="inlineStr">
        <is>
          <t>마스크팩 1매</t>
        </is>
      </c>
      <c r="H6147" s="7" t="n">
        <v>190801</v>
      </c>
      <c r="I6147" s="7" t="n">
        <v>190801</v>
      </c>
      <c r="J6147" s="94" t="n"/>
      <c r="K6147" s="6" t="n">
        <v>1</v>
      </c>
      <c r="L6147" s="94" t="n">
        <v>190801</v>
      </c>
      <c r="M6147" s="94">
        <f>VLOOKUP($Q6147,매칭테이블!$F:$I,2,0)*K6147</f>
        <v/>
      </c>
      <c r="N6147" s="94">
        <f>M6147-M6147*VLOOKUP($Q6147,매칭테이블!$F:$I,3,0)</f>
        <v/>
      </c>
      <c r="O6147" s="94">
        <f>VLOOKUP($Q6147,매칭테이블!$F:$I,4,0)*K6147</f>
        <v/>
      </c>
      <c r="P6147" s="148">
        <f>M6147/1.1</f>
        <v/>
      </c>
      <c r="Q6147" s="94">
        <f>F6147&amp;E6147&amp;G6147&amp;L6147</f>
        <v/>
      </c>
    </row>
    <row r="6148">
      <c r="A6148" s="94" t="n"/>
      <c r="B6148" s="128" t="n">
        <v>43964</v>
      </c>
      <c r="C6148" s="94">
        <f>TEXT(B6148,"aaa")</f>
        <v/>
      </c>
      <c r="D6148" s="94" t="n"/>
      <c r="E6148" s="94" t="inlineStr">
        <is>
          <t>마스크팩</t>
        </is>
      </c>
      <c r="F6148" s="94" t="inlineStr">
        <is>
          <t>카페24</t>
        </is>
      </c>
      <c r="G6148" s="94" t="inlineStr">
        <is>
          <t>마스크팩 10매</t>
        </is>
      </c>
      <c r="H6148" s="7" t="n">
        <v>190801</v>
      </c>
      <c r="I6148" s="7" t="n">
        <v>190801</v>
      </c>
      <c r="J6148" s="94" t="n"/>
      <c r="K6148" s="6" t="n">
        <v>4</v>
      </c>
      <c r="L6148" s="94" t="n">
        <v>190801</v>
      </c>
      <c r="M6148" s="94">
        <f>VLOOKUP($Q6148,매칭테이블!$F:$I,2,0)*K6148</f>
        <v/>
      </c>
      <c r="N6148" s="94">
        <f>M6148-M6148*VLOOKUP($Q6148,매칭테이블!$F:$I,3,0)</f>
        <v/>
      </c>
      <c r="O6148" s="94">
        <f>VLOOKUP($Q6148,매칭테이블!$F:$I,4,0)*K6148</f>
        <v/>
      </c>
      <c r="P6148" s="148">
        <f>M6148/1.1</f>
        <v/>
      </c>
      <c r="Q6148" s="94">
        <f>F6148&amp;E6148&amp;G6148&amp;L6148</f>
        <v/>
      </c>
    </row>
    <row r="6149">
      <c r="A6149" s="94" t="n"/>
      <c r="B6149" s="128" t="n">
        <v>43964</v>
      </c>
      <c r="C6149" s="94">
        <f>TEXT(B6149,"aaa")</f>
        <v/>
      </c>
      <c r="D6149" s="94" t="n"/>
      <c r="E6149" s="6" t="inlineStr">
        <is>
          <t>토너</t>
        </is>
      </c>
      <c r="F6149" s="5" t="inlineStr">
        <is>
          <t>카페24</t>
        </is>
      </c>
      <c r="G6149" s="5" t="inlineStr">
        <is>
          <t>250ml</t>
        </is>
      </c>
      <c r="H6149" s="7" t="n">
        <v>190801</v>
      </c>
      <c r="I6149" s="7" t="n">
        <v>190801</v>
      </c>
      <c r="J6149" s="94" t="n"/>
      <c r="K6149" s="6" t="n">
        <v>67</v>
      </c>
      <c r="L6149" s="7" t="n">
        <v>190801</v>
      </c>
      <c r="M6149" s="94">
        <f>VLOOKUP($Q6149,매칭테이블!$F:$I,2,0)*K6149</f>
        <v/>
      </c>
      <c r="N6149" s="94">
        <f>M6149-M6149*VLOOKUP($Q6149,매칭테이블!$F:$I,3,0)</f>
        <v/>
      </c>
      <c r="O6149" s="94">
        <f>VLOOKUP($Q6149,매칭테이블!$F:$I,4,0)*K6149</f>
        <v/>
      </c>
      <c r="P6149" s="148">
        <f>M6149/1.1</f>
        <v/>
      </c>
      <c r="Q6149" s="94">
        <f>F6149&amp;E6149&amp;G6149&amp;L6149</f>
        <v/>
      </c>
    </row>
    <row r="6150">
      <c r="A6150" s="94" t="n"/>
      <c r="B6150" s="128" t="n">
        <v>43964</v>
      </c>
      <c r="C6150" s="94">
        <f>TEXT(B6150,"aaa")</f>
        <v/>
      </c>
      <c r="D6150" s="94" t="n"/>
      <c r="E6150" s="6" t="inlineStr">
        <is>
          <t>토너</t>
        </is>
      </c>
      <c r="F6150" s="5" t="inlineStr">
        <is>
          <t>카페24</t>
        </is>
      </c>
      <c r="G6150" s="5" t="inlineStr">
        <is>
          <t>250ml 2set</t>
        </is>
      </c>
      <c r="H6150" s="7" t="n">
        <v>190801</v>
      </c>
      <c r="I6150" s="7" t="n">
        <v>190801</v>
      </c>
      <c r="J6150" s="94" t="n"/>
      <c r="K6150" s="6" t="n">
        <v>59</v>
      </c>
      <c r="L6150" s="7" t="n">
        <v>190801</v>
      </c>
      <c r="M6150" s="94">
        <f>VLOOKUP($Q6150,매칭테이블!$F:$I,2,0)*K6150</f>
        <v/>
      </c>
      <c r="N6150" s="94">
        <f>M6150-M6150*VLOOKUP($Q6150,매칭테이블!$F:$I,3,0)</f>
        <v/>
      </c>
      <c r="O6150" s="94">
        <f>VLOOKUP($Q6150,매칭테이블!$F:$I,4,0)*K6150</f>
        <v/>
      </c>
      <c r="P6150" s="148">
        <f>M6150/1.1</f>
        <v/>
      </c>
      <c r="Q6150" s="94">
        <f>F6150&amp;E6150&amp;G6150&amp;L6150</f>
        <v/>
      </c>
    </row>
    <row r="6151">
      <c r="A6151" s="94" t="n"/>
      <c r="B6151" s="128" t="n">
        <v>43964</v>
      </c>
      <c r="C6151" s="94">
        <f>TEXT(B6151,"aaa")</f>
        <v/>
      </c>
      <c r="D6151" s="94" t="n"/>
      <c r="E6151" s="6" t="inlineStr">
        <is>
          <t>토너</t>
        </is>
      </c>
      <c r="F6151" s="5" t="inlineStr">
        <is>
          <t>카페24</t>
        </is>
      </c>
      <c r="G6151" s="5" t="inlineStr">
        <is>
          <t>500ml</t>
        </is>
      </c>
      <c r="H6151" s="7" t="n">
        <v>190801</v>
      </c>
      <c r="I6151" s="7" t="n">
        <v>190801</v>
      </c>
      <c r="J6151" s="94" t="n"/>
      <c r="K6151" s="6" t="n">
        <v>60</v>
      </c>
      <c r="L6151" s="7" t="n">
        <v>190801</v>
      </c>
      <c r="M6151" s="94">
        <f>VLOOKUP($Q6151,매칭테이블!$F:$I,2,0)*K6151</f>
        <v/>
      </c>
      <c r="N6151" s="94">
        <f>M6151-M6151*VLOOKUP($Q6151,매칭테이블!$F:$I,3,0)</f>
        <v/>
      </c>
      <c r="O6151" s="94">
        <f>VLOOKUP($Q6151,매칭테이블!$F:$I,4,0)*K6151</f>
        <v/>
      </c>
      <c r="P6151" s="148">
        <f>M6151/1.1</f>
        <v/>
      </c>
      <c r="Q6151" s="94">
        <f>F6151&amp;E6151&amp;G6151&amp;L6151</f>
        <v/>
      </c>
    </row>
    <row r="6152">
      <c r="A6152" s="94" t="n"/>
      <c r="B6152" s="128" t="n">
        <v>43964</v>
      </c>
      <c r="C6152" s="94">
        <f>TEXT(B6152,"aaa")</f>
        <v/>
      </c>
      <c r="D6152" s="94" t="n"/>
      <c r="E6152" s="6" t="inlineStr">
        <is>
          <t>토너</t>
        </is>
      </c>
      <c r="F6152" s="5" t="inlineStr">
        <is>
          <t>카페24</t>
        </is>
      </c>
      <c r="G6152" s="94" t="inlineStr">
        <is>
          <t>스킨팩 화장솜 60P</t>
        </is>
      </c>
      <c r="H6152" s="7" t="n">
        <v>190801</v>
      </c>
      <c r="I6152" s="7" t="n">
        <v>190801</v>
      </c>
      <c r="J6152" s="94" t="n"/>
      <c r="K6152" s="6" t="n">
        <v>73</v>
      </c>
      <c r="L6152" s="7" t="n">
        <v>190801</v>
      </c>
      <c r="M6152" s="94">
        <f>VLOOKUP($Q6152,매칭테이블!$F:$I,2,0)*K6152</f>
        <v/>
      </c>
      <c r="N6152" s="94">
        <f>M6152-M6152*VLOOKUP($Q6152,매칭테이블!$F:$I,3,0)</f>
        <v/>
      </c>
      <c r="O6152" s="94">
        <f>VLOOKUP($Q6152,매칭테이블!$F:$I,4,0)*K6152</f>
        <v/>
      </c>
      <c r="P6152" s="148">
        <f>M6152/1.1</f>
        <v/>
      </c>
      <c r="Q6152" s="94">
        <f>F6152&amp;E6152&amp;G6152&amp;L6152</f>
        <v/>
      </c>
    </row>
    <row r="6153">
      <c r="A6153" s="94" t="n"/>
      <c r="B6153" s="128" t="n">
        <v>43964</v>
      </c>
      <c r="C6153" s="94">
        <f>TEXT(B6153,"aaa")</f>
        <v/>
      </c>
      <c r="D6153" s="94" t="n"/>
      <c r="E6153" s="94" t="inlineStr">
        <is>
          <t>앰플</t>
        </is>
      </c>
      <c r="F6153" s="5" t="inlineStr">
        <is>
          <t>카페24</t>
        </is>
      </c>
      <c r="G6153" s="94" t="inlineStr">
        <is>
          <t>앰플 30ml</t>
        </is>
      </c>
      <c r="H6153" s="7" t="n">
        <v>190801</v>
      </c>
      <c r="I6153" s="7" t="n">
        <v>190801</v>
      </c>
      <c r="J6153" s="94" t="n"/>
      <c r="K6153" s="6" t="n">
        <v>18</v>
      </c>
      <c r="L6153" s="94" t="n">
        <v>190801</v>
      </c>
      <c r="M6153" s="94">
        <f>VLOOKUP($Q6153,매칭테이블!$F:$I,2,0)*K6153</f>
        <v/>
      </c>
      <c r="N6153" s="94">
        <f>M6153-M6153*VLOOKUP($Q6153,매칭테이블!$F:$I,3,0)</f>
        <v/>
      </c>
      <c r="O6153" s="94">
        <f>VLOOKUP($Q6153,매칭테이블!$F:$I,4,0)*K6153</f>
        <v/>
      </c>
      <c r="P6153" s="148">
        <f>M6153/1.1</f>
        <v/>
      </c>
      <c r="Q6153" s="94">
        <f>F6153&amp;E6153&amp;G6153&amp;L6153</f>
        <v/>
      </c>
    </row>
    <row r="6154">
      <c r="A6154" s="94" t="n"/>
      <c r="B6154" s="128" t="n">
        <v>43964</v>
      </c>
      <c r="C6154" s="94">
        <f>TEXT(B6154,"aaa")</f>
        <v/>
      </c>
      <c r="D6154" s="94" t="n"/>
      <c r="E6154" s="94" t="inlineStr">
        <is>
          <t>수딩크림</t>
        </is>
      </c>
      <c r="F6154" s="5" t="inlineStr">
        <is>
          <t>카페24</t>
        </is>
      </c>
      <c r="G6154" s="94" t="inlineStr">
        <is>
          <t>수딩크림 100ml</t>
        </is>
      </c>
      <c r="H6154" s="7" t="n">
        <v>190801</v>
      </c>
      <c r="I6154" s="7" t="n">
        <v>190801</v>
      </c>
      <c r="J6154" s="94" t="n"/>
      <c r="K6154" s="6" t="n">
        <v>8</v>
      </c>
      <c r="L6154" s="94" t="n">
        <v>190801</v>
      </c>
      <c r="M6154" s="94">
        <f>VLOOKUP($Q6154,매칭테이블!$F:$I,2,0)*K6154</f>
        <v/>
      </c>
      <c r="N6154" s="94">
        <f>M6154-M6154*VLOOKUP($Q6154,매칭테이블!$F:$I,3,0)</f>
        <v/>
      </c>
      <c r="O6154" s="94">
        <f>VLOOKUP($Q6154,매칭테이블!$F:$I,4,0)*K6154</f>
        <v/>
      </c>
      <c r="P6154" s="148">
        <f>M6154/1.1</f>
        <v/>
      </c>
      <c r="Q6154" s="94">
        <f>F6154&amp;E6154&amp;G6154&amp;L6154</f>
        <v/>
      </c>
    </row>
    <row r="6155">
      <c r="A6155" s="94" t="n"/>
      <c r="B6155" s="128" t="n">
        <v>43964</v>
      </c>
      <c r="C6155" s="94">
        <f>TEXT(B6155,"aaa")</f>
        <v/>
      </c>
      <c r="D6155" s="94" t="n"/>
      <c r="E6155" s="94" t="inlineStr">
        <is>
          <t>클렌징폼</t>
        </is>
      </c>
      <c r="F6155" s="94" t="inlineStr">
        <is>
          <t>카페24</t>
        </is>
      </c>
      <c r="G6155" s="94" t="inlineStr">
        <is>
          <t>클렌징폼 120ml</t>
        </is>
      </c>
      <c r="H6155" s="7" t="n">
        <v>190801</v>
      </c>
      <c r="I6155" s="7" t="n">
        <v>190801</v>
      </c>
      <c r="J6155" s="94" t="n"/>
      <c r="K6155" s="6" t="n">
        <v>11</v>
      </c>
      <c r="L6155" s="92" t="n">
        <v>190801</v>
      </c>
      <c r="M6155" s="94">
        <f>VLOOKUP($Q6155,매칭테이블!$F:$I,2,0)*K6155</f>
        <v/>
      </c>
      <c r="N6155" s="94">
        <f>M6155-M6155*VLOOKUP($Q6155,매칭테이블!$F:$I,3,0)</f>
        <v/>
      </c>
      <c r="O6155" s="94">
        <f>VLOOKUP($Q6155,매칭테이블!$F:$I,4,0)*K6155</f>
        <v/>
      </c>
      <c r="P6155" s="148">
        <f>M6155/1.1</f>
        <v/>
      </c>
      <c r="Q6155" s="94">
        <f>F6155&amp;E6155&amp;G6155&amp;L6155</f>
        <v/>
      </c>
    </row>
    <row r="6156">
      <c r="A6156" s="94" t="n"/>
      <c r="B6156" s="128" t="n">
        <v>43964</v>
      </c>
      <c r="C6156" s="94">
        <f>TEXT(B6156,"aaa")</f>
        <v/>
      </c>
      <c r="D6156" s="94" t="n"/>
      <c r="E6156" s="94" t="inlineStr">
        <is>
          <t>클렌징폼</t>
        </is>
      </c>
      <c r="F6156" s="94" t="inlineStr">
        <is>
          <t>카페24</t>
        </is>
      </c>
      <c r="G6156" s="94" t="inlineStr">
        <is>
          <t>클렌징폼 120ml 2set</t>
        </is>
      </c>
      <c r="H6156" s="7" t="n">
        <v>190801</v>
      </c>
      <c r="I6156" s="7" t="n">
        <v>190801</v>
      </c>
      <c r="J6156" s="94" t="n"/>
      <c r="K6156" s="6" t="n">
        <v>2</v>
      </c>
      <c r="L6156" s="92" t="n">
        <v>190801</v>
      </c>
      <c r="M6156" s="94">
        <f>VLOOKUP($Q6156,매칭테이블!$F:$I,2,0)*K6156</f>
        <v/>
      </c>
      <c r="N6156" s="94">
        <f>M6156-M6156*VLOOKUP($Q6156,매칭테이블!$F:$I,3,0)</f>
        <v/>
      </c>
      <c r="O6156" s="94">
        <f>VLOOKUP($Q6156,매칭테이블!$F:$I,4,0)*K6156</f>
        <v/>
      </c>
      <c r="P6156" s="148">
        <f>M6156/1.1</f>
        <v/>
      </c>
      <c r="Q6156" s="94">
        <f>F6156&amp;E6156&amp;G6156&amp;L6156</f>
        <v/>
      </c>
    </row>
    <row r="6157">
      <c r="A6157" s="94" t="n"/>
      <c r="B6157" s="128" t="n">
        <v>43964</v>
      </c>
      <c r="C6157" s="94">
        <f>TEXT(B6157,"aaa")</f>
        <v/>
      </c>
      <c r="D6157" s="94" t="n"/>
      <c r="E6157" s="94" t="inlineStr">
        <is>
          <t>클렌징폼</t>
        </is>
      </c>
      <c r="F6157" s="94" t="inlineStr">
        <is>
          <t>카페24</t>
        </is>
      </c>
      <c r="G6157" s="94" t="inlineStr">
        <is>
          <t>클렌징폼 120ml 3set</t>
        </is>
      </c>
      <c r="H6157" s="7" t="n">
        <v>190801</v>
      </c>
      <c r="I6157" s="7" t="n">
        <v>190801</v>
      </c>
      <c r="J6157" s="94" t="n"/>
      <c r="K6157" s="6" t="n">
        <v>1</v>
      </c>
      <c r="L6157" s="92" t="n">
        <v>190801</v>
      </c>
      <c r="M6157" s="94">
        <f>VLOOKUP($Q6157,매칭테이블!$F:$I,2,0)*K6157</f>
        <v/>
      </c>
      <c r="N6157" s="94">
        <f>M6157-M6157*VLOOKUP($Q6157,매칭테이블!$F:$I,3,0)</f>
        <v/>
      </c>
      <c r="O6157" s="94">
        <f>VLOOKUP($Q6157,매칭테이블!$F:$I,4,0)*K6157</f>
        <v/>
      </c>
      <c r="P6157" s="148">
        <f>M6157/1.1</f>
        <v/>
      </c>
      <c r="Q6157" s="94">
        <f>F6157&amp;E6157&amp;G6157&amp;L6157</f>
        <v/>
      </c>
    </row>
    <row r="6158">
      <c r="A6158" s="94" t="n"/>
      <c r="B6158" s="128" t="n">
        <v>43964</v>
      </c>
      <c r="C6158" s="94">
        <f>TEXT(B6158,"aaa")</f>
        <v/>
      </c>
      <c r="D6158" s="94" t="n"/>
      <c r="E6158" s="6" t="inlineStr">
        <is>
          <t>토너</t>
        </is>
      </c>
      <c r="F6158" s="94" t="inlineStr">
        <is>
          <t>큐텐</t>
        </is>
      </c>
      <c r="G6158" s="5" t="inlineStr">
        <is>
          <t>250ml</t>
        </is>
      </c>
      <c r="H6158" s="7" t="n">
        <v>190801</v>
      </c>
      <c r="I6158" s="7" t="n">
        <v>190801</v>
      </c>
      <c r="J6158" s="94" t="n"/>
      <c r="K6158" s="6" t="n">
        <v>21</v>
      </c>
      <c r="L6158" s="94" t="n">
        <v>190801</v>
      </c>
      <c r="M6158" s="94">
        <f>VLOOKUP($Q6158,매칭테이블!$F:$I,2,0)*K6158</f>
        <v/>
      </c>
      <c r="N6158" s="94">
        <f>M6158-M6158*VLOOKUP($Q6158,매칭테이블!$F:$I,3,0)</f>
        <v/>
      </c>
      <c r="O6158" s="94">
        <f>VLOOKUP($Q6158,매칭테이블!$F:$I,4,0)*K6158</f>
        <v/>
      </c>
      <c r="P6158" s="148">
        <f>M6158/1.1</f>
        <v/>
      </c>
      <c r="Q6158" s="94">
        <f>F6158&amp;E6158&amp;G6158&amp;L6158</f>
        <v/>
      </c>
    </row>
    <row r="6159">
      <c r="A6159" s="94" t="n"/>
      <c r="B6159" s="128" t="n">
        <v>43964</v>
      </c>
      <c r="C6159" s="94">
        <f>TEXT(B6159,"aaa")</f>
        <v/>
      </c>
      <c r="D6159" s="94" t="n"/>
      <c r="E6159" s="6" t="inlineStr">
        <is>
          <t>토너</t>
        </is>
      </c>
      <c r="F6159" s="94" t="inlineStr">
        <is>
          <t>큐텐</t>
        </is>
      </c>
      <c r="G6159" s="5" t="inlineStr">
        <is>
          <t>250ml 2set</t>
        </is>
      </c>
      <c r="H6159" s="7" t="n">
        <v>190801</v>
      </c>
      <c r="I6159" s="7" t="n">
        <v>190801</v>
      </c>
      <c r="J6159" s="94" t="n"/>
      <c r="K6159" s="6" t="n">
        <v>13</v>
      </c>
      <c r="L6159" s="94" t="n">
        <v>190801</v>
      </c>
      <c r="M6159" s="94">
        <f>VLOOKUP($Q6159,매칭테이블!$F:$I,2,0)*K6159</f>
        <v/>
      </c>
      <c r="N6159" s="94">
        <f>M6159-M6159*VLOOKUP($Q6159,매칭테이블!$F:$I,3,0)</f>
        <v/>
      </c>
      <c r="O6159" s="94">
        <f>VLOOKUP($Q6159,매칭테이블!$F:$I,4,0)*K6159</f>
        <v/>
      </c>
      <c r="P6159" s="148">
        <f>M6159/1.1</f>
        <v/>
      </c>
      <c r="Q6159" s="94">
        <f>F6159&amp;E6159&amp;G6159&amp;L6159</f>
        <v/>
      </c>
    </row>
    <row r="6160">
      <c r="A6160" s="94" t="n"/>
      <c r="B6160" s="128" t="n">
        <v>43964</v>
      </c>
      <c r="C6160" s="94">
        <f>TEXT(B6160,"aaa")</f>
        <v/>
      </c>
      <c r="D6160" s="94" t="n"/>
      <c r="E6160" s="94" t="inlineStr">
        <is>
          <t>앰플</t>
        </is>
      </c>
      <c r="F6160" s="94" t="inlineStr">
        <is>
          <t>큐텐</t>
        </is>
      </c>
      <c r="G6160" s="94" t="inlineStr">
        <is>
          <t>앰플 30ml</t>
        </is>
      </c>
      <c r="H6160" s="7" t="n">
        <v>190801</v>
      </c>
      <c r="I6160" s="7" t="n">
        <v>190801</v>
      </c>
      <c r="J6160" s="94" t="n"/>
      <c r="K6160" s="6" t="n">
        <v>5</v>
      </c>
      <c r="L6160" s="94" t="n">
        <v>190801</v>
      </c>
      <c r="M6160" s="94">
        <f>VLOOKUP($Q6160,매칭테이블!$F:$I,2,0)*K6160</f>
        <v/>
      </c>
      <c r="N6160" s="94">
        <f>M6160-M6160*VLOOKUP($Q6160,매칭테이블!$F:$I,3,0)</f>
        <v/>
      </c>
      <c r="O6160" s="94">
        <f>VLOOKUP($Q6160,매칭테이블!$F:$I,4,0)*K6160</f>
        <v/>
      </c>
      <c r="P6160" s="148">
        <f>M6160/1.1</f>
        <v/>
      </c>
      <c r="Q6160" s="94">
        <f>F6160&amp;E6160&amp;G6160&amp;L6160</f>
        <v/>
      </c>
    </row>
    <row r="6161">
      <c r="A6161" s="94" t="n"/>
      <c r="B6161" s="128" t="n">
        <v>43964</v>
      </c>
      <c r="C6161" s="94">
        <f>TEXT(B6161,"aaa")</f>
        <v/>
      </c>
      <c r="D6161" s="94" t="n"/>
      <c r="E6161" s="94" t="inlineStr">
        <is>
          <t>머드크림마스크</t>
        </is>
      </c>
      <c r="F6161" s="94" t="inlineStr">
        <is>
          <t>큐텐</t>
        </is>
      </c>
      <c r="G6161" s="94" t="inlineStr">
        <is>
          <t>머드크림마스크 100ml</t>
        </is>
      </c>
      <c r="H6161" s="7" t="n">
        <v>190801</v>
      </c>
      <c r="I6161" s="7" t="n">
        <v>190801</v>
      </c>
      <c r="J6161" s="94" t="n"/>
      <c r="K6161" s="6" t="n">
        <v>4</v>
      </c>
      <c r="L6161" s="94" t="n">
        <v>190801</v>
      </c>
      <c r="M6161" s="94">
        <f>VLOOKUP($Q6161,매칭테이블!$F:$I,2,0)*K6161</f>
        <v/>
      </c>
      <c r="N6161" s="94">
        <f>M6161-M6161*VLOOKUP($Q6161,매칭테이블!$F:$I,3,0)</f>
        <v/>
      </c>
      <c r="O6161" s="94">
        <f>VLOOKUP($Q6161,매칭테이블!$F:$I,4,0)*K6161</f>
        <v/>
      </c>
      <c r="P6161" s="148">
        <f>M6161/1.1</f>
        <v/>
      </c>
      <c r="Q6161" s="94">
        <f>F6161&amp;E6161&amp;G6161&amp;L6161</f>
        <v/>
      </c>
    </row>
    <row r="6162">
      <c r="A6162" s="94" t="n"/>
      <c r="B6162" s="128" t="n">
        <v>43964</v>
      </c>
      <c r="C6162" s="94">
        <f>TEXT(B6162,"aaa")</f>
        <v/>
      </c>
      <c r="D6162" s="94" t="n"/>
      <c r="E6162" s="94" t="inlineStr">
        <is>
          <t>클렌징폼</t>
        </is>
      </c>
      <c r="F6162" s="94" t="inlineStr">
        <is>
          <t>큐텐</t>
        </is>
      </c>
      <c r="G6162" s="94" t="inlineStr">
        <is>
          <t>클렌징폼 120ml</t>
        </is>
      </c>
      <c r="H6162" s="7" t="n">
        <v>190801</v>
      </c>
      <c r="I6162" s="7" t="n">
        <v>190801</v>
      </c>
      <c r="J6162" s="94" t="n"/>
      <c r="K6162" s="6" t="n">
        <v>2</v>
      </c>
      <c r="L6162" s="92" t="n">
        <v>190801</v>
      </c>
      <c r="M6162" s="94">
        <f>VLOOKUP($Q6162,매칭테이블!$F:$I,2,0)*K6162</f>
        <v/>
      </c>
      <c r="N6162" s="94">
        <f>M6162-M6162*VLOOKUP($Q6162,매칭테이블!$F:$I,3,0)</f>
        <v/>
      </c>
      <c r="O6162" s="94">
        <f>VLOOKUP($Q6162,매칭테이블!$F:$I,4,0)*K6162</f>
        <v/>
      </c>
      <c r="P6162" s="148">
        <f>M6162/1.1</f>
        <v/>
      </c>
      <c r="Q6162" s="94">
        <f>F6162&amp;E6162&amp;G6162&amp;L6162</f>
        <v/>
      </c>
    </row>
    <row r="6163">
      <c r="A6163" s="94" t="n"/>
      <c r="B6163" s="128" t="n">
        <v>43965</v>
      </c>
      <c r="C6163" s="94">
        <f>TEXT(B6163,"aaa")</f>
        <v/>
      </c>
      <c r="D6163" s="94" t="n"/>
      <c r="E6163" s="6" t="inlineStr">
        <is>
          <t>토너</t>
        </is>
      </c>
      <c r="F6163" s="5" t="inlineStr">
        <is>
          <t>W컨셉</t>
        </is>
      </c>
      <c r="G6163" s="5" t="inlineStr">
        <is>
          <t>250ml 2set</t>
        </is>
      </c>
      <c r="H6163" s="7" t="n">
        <v>190801</v>
      </c>
      <c r="I6163" s="7" t="n">
        <v>190801</v>
      </c>
      <c r="J6163" s="94" t="n"/>
      <c r="K6163" s="6" t="n">
        <v>3</v>
      </c>
      <c r="L6163" s="7" t="n">
        <v>190801</v>
      </c>
      <c r="M6163" s="94">
        <f>VLOOKUP($Q6163,매칭테이블!$F:$I,2,0)*K6163</f>
        <v/>
      </c>
      <c r="N6163" s="94">
        <f>M6163-M6163*VLOOKUP($Q6163,매칭테이블!$F:$I,3,0)</f>
        <v/>
      </c>
      <c r="O6163" s="94">
        <f>VLOOKUP($Q6163,매칭테이블!$F:$I,4,0)*K6163</f>
        <v/>
      </c>
      <c r="P6163" s="148">
        <f>M6163/1.1</f>
        <v/>
      </c>
      <c r="Q6163" s="94">
        <f>F6163&amp;E6163&amp;G6163&amp;L6163</f>
        <v/>
      </c>
    </row>
    <row r="6164">
      <c r="A6164" s="94" t="n"/>
      <c r="B6164" s="128" t="n">
        <v>43965</v>
      </c>
      <c r="C6164" s="94">
        <f>TEXT(B6164,"aaa")</f>
        <v/>
      </c>
      <c r="D6164" s="94" t="n"/>
      <c r="E6164" s="94" t="inlineStr">
        <is>
          <t>토너</t>
        </is>
      </c>
      <c r="F6164" s="94" t="inlineStr">
        <is>
          <t>글로우데이즈 시코르</t>
        </is>
      </c>
      <c r="G6164" s="94" t="inlineStr">
        <is>
          <t>250ml</t>
        </is>
      </c>
      <c r="H6164" s="7" t="n">
        <v>190801</v>
      </c>
      <c r="I6164" s="7" t="n">
        <v>190801</v>
      </c>
      <c r="J6164" s="94" t="n"/>
      <c r="K6164" s="6" t="n">
        <v>500</v>
      </c>
      <c r="L6164" s="7" t="n">
        <v>190801</v>
      </c>
      <c r="M6164" s="94">
        <f>VLOOKUP($Q6164,매칭테이블!$F:$I,2,0)*K6164</f>
        <v/>
      </c>
      <c r="N6164" s="94">
        <f>M6164-M6164*VLOOKUP($Q6164,매칭테이블!$F:$I,3,0)</f>
        <v/>
      </c>
      <c r="O6164" s="94">
        <f>VLOOKUP($Q6164,매칭테이블!$F:$I,4,0)*K6164</f>
        <v/>
      </c>
      <c r="P6164" s="148">
        <f>M6164/1.1</f>
        <v/>
      </c>
      <c r="Q6164" s="94">
        <f>F6164&amp;E6164&amp;G6164&amp;L6164</f>
        <v/>
      </c>
    </row>
    <row r="6165">
      <c r="A6165" s="94" t="n"/>
      <c r="B6165" s="128" t="n">
        <v>43965</v>
      </c>
      <c r="C6165" s="94">
        <f>TEXT(B6165,"aaa")</f>
        <v/>
      </c>
      <c r="D6165" s="94" t="n"/>
      <c r="E6165" s="94" t="inlineStr">
        <is>
          <t>앰플</t>
        </is>
      </c>
      <c r="F6165" s="94" t="inlineStr">
        <is>
          <t>글로우데이즈 시코르</t>
        </is>
      </c>
      <c r="G6165" s="94" t="inlineStr">
        <is>
          <t>앰플 30ml</t>
        </is>
      </c>
      <c r="H6165" s="7" t="n">
        <v>190801</v>
      </c>
      <c r="I6165" s="7" t="n">
        <v>190801</v>
      </c>
      <c r="J6165" s="94" t="n"/>
      <c r="K6165" s="6" t="n">
        <v>20</v>
      </c>
      <c r="L6165" s="94" t="n">
        <v>190801</v>
      </c>
      <c r="M6165" s="94">
        <f>VLOOKUP($Q6165,매칭테이블!$F:$I,2,0)*K6165</f>
        <v/>
      </c>
      <c r="N6165" s="94">
        <f>M6165-M6165*VLOOKUP($Q6165,매칭테이블!$F:$I,3,0)</f>
        <v/>
      </c>
      <c r="O6165" s="94">
        <f>VLOOKUP($Q6165,매칭테이블!$F:$I,4,0)*K6165</f>
        <v/>
      </c>
      <c r="P6165" s="148">
        <f>M6165/1.1</f>
        <v/>
      </c>
      <c r="Q6165" s="94">
        <f>F6165&amp;E6165&amp;G6165&amp;L6165</f>
        <v/>
      </c>
    </row>
    <row r="6166">
      <c r="A6166" s="94" t="n"/>
      <c r="B6166" s="128" t="n">
        <v>43965</v>
      </c>
      <c r="C6166" s="94">
        <f>TEXT(B6166,"aaa")</f>
        <v/>
      </c>
      <c r="D6166" s="94" t="n"/>
      <c r="E6166" s="94" t="inlineStr">
        <is>
          <t>마스크팩</t>
        </is>
      </c>
      <c r="F6166" s="94" t="inlineStr">
        <is>
          <t>글로우데이즈 시코르</t>
        </is>
      </c>
      <c r="G6166" s="94" t="inlineStr">
        <is>
          <t>마스크팩 10매</t>
        </is>
      </c>
      <c r="H6166" s="7" t="n">
        <v>190801</v>
      </c>
      <c r="I6166" s="7" t="n">
        <v>190801</v>
      </c>
      <c r="J6166" s="94" t="n"/>
      <c r="K6166" s="6" t="n">
        <v>8</v>
      </c>
      <c r="L6166" s="94" t="n">
        <v>190801</v>
      </c>
      <c r="M6166" s="94">
        <f>VLOOKUP($Q6166,매칭테이블!$F:$I,2,0)*K6166</f>
        <v/>
      </c>
      <c r="N6166" s="94">
        <f>M6166-M6166*VLOOKUP($Q6166,매칭테이블!$F:$I,3,0)</f>
        <v/>
      </c>
      <c r="O6166" s="94">
        <f>VLOOKUP($Q6166,매칭테이블!$F:$I,4,0)*K6166</f>
        <v/>
      </c>
      <c r="P6166" s="148">
        <f>M6166/1.1</f>
        <v/>
      </c>
      <c r="Q6166" s="94">
        <f>F6166&amp;E6166&amp;G6166&amp;L6166</f>
        <v/>
      </c>
    </row>
    <row r="6167">
      <c r="A6167" s="94" t="n"/>
      <c r="B6167" s="128" t="n">
        <v>43965</v>
      </c>
      <c r="C6167" s="94">
        <f>TEXT(B6167,"aaa")</f>
        <v/>
      </c>
      <c r="D6167" s="94" t="n"/>
      <c r="E6167" s="94" t="inlineStr">
        <is>
          <t>어성초진정패키지</t>
        </is>
      </c>
      <c r="F6167" s="94" t="inlineStr">
        <is>
          <t>카페24</t>
        </is>
      </c>
      <c r="G6167" s="94" t="inlineStr">
        <is>
          <t>어성초 진정패키지세트</t>
        </is>
      </c>
      <c r="H6167" s="7" t="n">
        <v>190801</v>
      </c>
      <c r="I6167" s="7" t="n">
        <v>190801</v>
      </c>
      <c r="J6167" s="94" t="n"/>
      <c r="K6167" s="6" t="n">
        <v>8</v>
      </c>
      <c r="L6167" s="94" t="n">
        <v>190801</v>
      </c>
      <c r="M6167" s="94">
        <f>VLOOKUP($Q6167,매칭테이블!$F:$I,2,0)*K6167</f>
        <v/>
      </c>
      <c r="N6167" s="94">
        <f>M6167-M6167*VLOOKUP($Q6167,매칭테이블!$F:$I,3,0)</f>
        <v/>
      </c>
      <c r="O6167" s="94">
        <f>VLOOKUP($Q6167,매칭테이블!$F:$I,4,0)*K6167</f>
        <v/>
      </c>
      <c r="P6167" s="148">
        <f>M6167/1.1</f>
        <v/>
      </c>
      <c r="Q6167" s="94">
        <f>F6167&amp;E6167&amp;G6167&amp;L6167</f>
        <v/>
      </c>
    </row>
    <row r="6168">
      <c r="A6168" s="94" t="n"/>
      <c r="B6168" s="128" t="n">
        <v>43965</v>
      </c>
      <c r="C6168" s="94">
        <f>TEXT(B6168,"aaa")</f>
        <v/>
      </c>
      <c r="D6168" s="94" t="n"/>
      <c r="E6168" s="94" t="inlineStr">
        <is>
          <t>머드크림마스크</t>
        </is>
      </c>
      <c r="F6168" s="94" t="inlineStr">
        <is>
          <t>카페24</t>
        </is>
      </c>
      <c r="G6168" s="94" t="inlineStr">
        <is>
          <t>머드크림마스크 100ml</t>
        </is>
      </c>
      <c r="H6168" s="7" t="n">
        <v>190801</v>
      </c>
      <c r="I6168" s="7" t="n">
        <v>190801</v>
      </c>
      <c r="J6168" s="94" t="n"/>
      <c r="K6168" s="6" t="n">
        <v>3</v>
      </c>
      <c r="L6168" s="94" t="n">
        <v>190801</v>
      </c>
      <c r="M6168" s="94">
        <f>VLOOKUP($Q6168,매칭테이블!$F:$I,2,0)*K6168</f>
        <v/>
      </c>
      <c r="N6168" s="94">
        <f>M6168-M6168*VLOOKUP($Q6168,매칭테이블!$F:$I,3,0)</f>
        <v/>
      </c>
      <c r="O6168" s="94">
        <f>VLOOKUP($Q6168,매칭테이블!$F:$I,4,0)*K6168</f>
        <v/>
      </c>
      <c r="P6168" s="148">
        <f>M6168/1.1</f>
        <v/>
      </c>
      <c r="Q6168" s="94">
        <f>F6168&amp;E6168&amp;G6168&amp;L6168</f>
        <v/>
      </c>
    </row>
    <row r="6169">
      <c r="A6169" s="94" t="n"/>
      <c r="B6169" s="128" t="n">
        <v>43965</v>
      </c>
      <c r="C6169" s="94">
        <f>TEXT(B6169,"aaa")</f>
        <v/>
      </c>
      <c r="D6169" s="94" t="n"/>
      <c r="E6169" s="94" t="inlineStr">
        <is>
          <t>머드크림마스크</t>
        </is>
      </c>
      <c r="F6169" s="94" t="inlineStr">
        <is>
          <t>카페24</t>
        </is>
      </c>
      <c r="G6169" s="94" t="inlineStr">
        <is>
          <t>머드크림마스크 100ml 2set</t>
        </is>
      </c>
      <c r="H6169" s="7" t="n">
        <v>190801</v>
      </c>
      <c r="I6169" s="7" t="n">
        <v>190801</v>
      </c>
      <c r="J6169" s="94" t="n"/>
      <c r="K6169" s="6" t="n">
        <v>1</v>
      </c>
      <c r="L6169" s="94" t="n">
        <v>190801</v>
      </c>
      <c r="M6169" s="94">
        <f>VLOOKUP($Q6169,매칭테이블!$F:$I,2,0)*K6169</f>
        <v/>
      </c>
      <c r="N6169" s="94">
        <f>M6169-M6169*VLOOKUP($Q6169,매칭테이블!$F:$I,3,0)</f>
        <v/>
      </c>
      <c r="O6169" s="94">
        <f>VLOOKUP($Q6169,매칭테이블!$F:$I,4,0)*K6169</f>
        <v/>
      </c>
      <c r="P6169" s="148">
        <f>M6169/1.1</f>
        <v/>
      </c>
      <c r="Q6169" s="94">
        <f>F6169&amp;E6169&amp;G6169&amp;L6169</f>
        <v/>
      </c>
    </row>
    <row r="6170">
      <c r="A6170" s="94" t="n"/>
      <c r="B6170" s="128" t="n">
        <v>43965</v>
      </c>
      <c r="C6170" s="94">
        <f>TEXT(B6170,"aaa")</f>
        <v/>
      </c>
      <c r="D6170" s="94" t="n"/>
      <c r="E6170" s="94" t="inlineStr">
        <is>
          <t>마스크팩</t>
        </is>
      </c>
      <c r="F6170" s="94" t="inlineStr">
        <is>
          <t>카페24</t>
        </is>
      </c>
      <c r="G6170" s="94" t="inlineStr">
        <is>
          <t>마스크팩 1매</t>
        </is>
      </c>
      <c r="H6170" s="7" t="n">
        <v>190801</v>
      </c>
      <c r="I6170" s="7" t="n">
        <v>190801</v>
      </c>
      <c r="J6170" s="94" t="n"/>
      <c r="K6170" s="6" t="n">
        <v>17</v>
      </c>
      <c r="L6170" s="94" t="n">
        <v>190801</v>
      </c>
      <c r="M6170" s="94">
        <f>VLOOKUP($Q6170,매칭테이블!$F:$I,2,0)*K6170</f>
        <v/>
      </c>
      <c r="N6170" s="94">
        <f>M6170-M6170*VLOOKUP($Q6170,매칭테이블!$F:$I,3,0)</f>
        <v/>
      </c>
      <c r="O6170" s="94">
        <f>VLOOKUP($Q6170,매칭테이블!$F:$I,4,0)*K6170</f>
        <v/>
      </c>
      <c r="P6170" s="148">
        <f>M6170/1.1</f>
        <v/>
      </c>
      <c r="Q6170" s="94">
        <f>F6170&amp;E6170&amp;G6170&amp;L6170</f>
        <v/>
      </c>
    </row>
    <row r="6171">
      <c r="A6171" s="94" t="n"/>
      <c r="B6171" s="128" t="n">
        <v>43965</v>
      </c>
      <c r="C6171" s="94">
        <f>TEXT(B6171,"aaa")</f>
        <v/>
      </c>
      <c r="D6171" s="94" t="n"/>
      <c r="E6171" s="94" t="inlineStr">
        <is>
          <t>마스크팩</t>
        </is>
      </c>
      <c r="F6171" s="94" t="inlineStr">
        <is>
          <t>카페24</t>
        </is>
      </c>
      <c r="G6171" s="94" t="inlineStr">
        <is>
          <t>마스크팩 10매</t>
        </is>
      </c>
      <c r="H6171" s="7" t="n">
        <v>190801</v>
      </c>
      <c r="I6171" s="7" t="n">
        <v>190801</v>
      </c>
      <c r="J6171" s="94" t="n"/>
      <c r="K6171" s="6" t="n">
        <v>2</v>
      </c>
      <c r="L6171" s="94" t="n">
        <v>190801</v>
      </c>
      <c r="M6171" s="94">
        <f>VLOOKUP($Q6171,매칭테이블!$F:$I,2,0)*K6171</f>
        <v/>
      </c>
      <c r="N6171" s="94">
        <f>M6171-M6171*VLOOKUP($Q6171,매칭테이블!$F:$I,3,0)</f>
        <v/>
      </c>
      <c r="O6171" s="94">
        <f>VLOOKUP($Q6171,매칭테이블!$F:$I,4,0)*K6171</f>
        <v/>
      </c>
      <c r="P6171" s="148">
        <f>M6171/1.1</f>
        <v/>
      </c>
      <c r="Q6171" s="94">
        <f>F6171&amp;E6171&amp;G6171&amp;L6171</f>
        <v/>
      </c>
    </row>
    <row r="6172">
      <c r="A6172" s="94" t="n"/>
      <c r="B6172" s="128" t="n">
        <v>43965</v>
      </c>
      <c r="C6172" s="94">
        <f>TEXT(B6172,"aaa")</f>
        <v/>
      </c>
      <c r="D6172" s="94" t="n"/>
      <c r="E6172" s="6" t="inlineStr">
        <is>
          <t>토너</t>
        </is>
      </c>
      <c r="F6172" s="5" t="inlineStr">
        <is>
          <t>카페24</t>
        </is>
      </c>
      <c r="G6172" s="5" t="inlineStr">
        <is>
          <t>250ml</t>
        </is>
      </c>
      <c r="H6172" s="7" t="n">
        <v>190801</v>
      </c>
      <c r="I6172" s="7" t="n">
        <v>190801</v>
      </c>
      <c r="J6172" s="94" t="n"/>
      <c r="K6172" s="6" t="n">
        <v>74</v>
      </c>
      <c r="L6172" s="7" t="n">
        <v>190801</v>
      </c>
      <c r="M6172" s="94">
        <f>VLOOKUP($Q6172,매칭테이블!$F:$I,2,0)*K6172</f>
        <v/>
      </c>
      <c r="N6172" s="94">
        <f>M6172-M6172*VLOOKUP($Q6172,매칭테이블!$F:$I,3,0)</f>
        <v/>
      </c>
      <c r="O6172" s="94">
        <f>VLOOKUP($Q6172,매칭테이블!$F:$I,4,0)*K6172</f>
        <v/>
      </c>
      <c r="P6172" s="148">
        <f>M6172/1.1</f>
        <v/>
      </c>
      <c r="Q6172" s="94">
        <f>F6172&amp;E6172&amp;G6172&amp;L6172</f>
        <v/>
      </c>
    </row>
    <row r="6173">
      <c r="A6173" s="94" t="n"/>
      <c r="B6173" s="128" t="n">
        <v>43965</v>
      </c>
      <c r="C6173" s="94">
        <f>TEXT(B6173,"aaa")</f>
        <v/>
      </c>
      <c r="D6173" s="94" t="n"/>
      <c r="E6173" s="6" t="inlineStr">
        <is>
          <t>토너</t>
        </is>
      </c>
      <c r="F6173" s="5" t="inlineStr">
        <is>
          <t>카페24</t>
        </is>
      </c>
      <c r="G6173" s="5" t="inlineStr">
        <is>
          <t>250ml 2set</t>
        </is>
      </c>
      <c r="H6173" s="7" t="n">
        <v>190801</v>
      </c>
      <c r="I6173" s="7" t="n">
        <v>190801</v>
      </c>
      <c r="J6173" s="94" t="n"/>
      <c r="K6173" s="6" t="n">
        <v>53</v>
      </c>
      <c r="L6173" s="7" t="n">
        <v>190801</v>
      </c>
      <c r="M6173" s="94">
        <f>VLOOKUP($Q6173,매칭테이블!$F:$I,2,0)*K6173</f>
        <v/>
      </c>
      <c r="N6173" s="94">
        <f>M6173-M6173*VLOOKUP($Q6173,매칭테이블!$F:$I,3,0)</f>
        <v/>
      </c>
      <c r="O6173" s="94">
        <f>VLOOKUP($Q6173,매칭테이블!$F:$I,4,0)*K6173</f>
        <v/>
      </c>
      <c r="P6173" s="148">
        <f>M6173/1.1</f>
        <v/>
      </c>
      <c r="Q6173" s="94">
        <f>F6173&amp;E6173&amp;G6173&amp;L6173</f>
        <v/>
      </c>
    </row>
    <row r="6174">
      <c r="A6174" s="94" t="n"/>
      <c r="B6174" s="128" t="n">
        <v>43965</v>
      </c>
      <c r="C6174" s="94">
        <f>TEXT(B6174,"aaa")</f>
        <v/>
      </c>
      <c r="D6174" s="94" t="n"/>
      <c r="E6174" s="6" t="inlineStr">
        <is>
          <t>토너</t>
        </is>
      </c>
      <c r="F6174" s="5" t="inlineStr">
        <is>
          <t>카페24</t>
        </is>
      </c>
      <c r="G6174" s="5" t="inlineStr">
        <is>
          <t>500ml</t>
        </is>
      </c>
      <c r="H6174" s="7" t="n">
        <v>190801</v>
      </c>
      <c r="I6174" s="7" t="n">
        <v>190801</v>
      </c>
      <c r="J6174" s="94" t="n"/>
      <c r="K6174" s="6" t="n">
        <v>50</v>
      </c>
      <c r="L6174" s="7" t="n">
        <v>190801</v>
      </c>
      <c r="M6174" s="94">
        <f>VLOOKUP($Q6174,매칭테이블!$F:$I,2,0)*K6174</f>
        <v/>
      </c>
      <c r="N6174" s="94">
        <f>M6174-M6174*VLOOKUP($Q6174,매칭테이블!$F:$I,3,0)</f>
        <v/>
      </c>
      <c r="O6174" s="94">
        <f>VLOOKUP($Q6174,매칭테이블!$F:$I,4,0)*K6174</f>
        <v/>
      </c>
      <c r="P6174" s="148">
        <f>M6174/1.1</f>
        <v/>
      </c>
      <c r="Q6174" s="94">
        <f>F6174&amp;E6174&amp;G6174&amp;L6174</f>
        <v/>
      </c>
    </row>
    <row r="6175">
      <c r="A6175" s="94" t="n"/>
      <c r="B6175" s="128" t="n">
        <v>43965</v>
      </c>
      <c r="C6175" s="94">
        <f>TEXT(B6175,"aaa")</f>
        <v/>
      </c>
      <c r="D6175" s="94" t="n"/>
      <c r="E6175" s="6" t="inlineStr">
        <is>
          <t>토너</t>
        </is>
      </c>
      <c r="F6175" s="5" t="inlineStr">
        <is>
          <t>카페24</t>
        </is>
      </c>
      <c r="G6175" s="94" t="inlineStr">
        <is>
          <t>스킨팩 화장솜 60P</t>
        </is>
      </c>
      <c r="H6175" s="7" t="n">
        <v>190801</v>
      </c>
      <c r="I6175" s="7" t="n">
        <v>190801</v>
      </c>
      <c r="J6175" s="94" t="n"/>
      <c r="K6175" s="6" t="n">
        <v>70</v>
      </c>
      <c r="L6175" s="7" t="n">
        <v>190801</v>
      </c>
      <c r="M6175" s="94">
        <f>VLOOKUP($Q6175,매칭테이블!$F:$I,2,0)*K6175</f>
        <v/>
      </c>
      <c r="N6175" s="94">
        <f>M6175-M6175*VLOOKUP($Q6175,매칭테이블!$F:$I,3,0)</f>
        <v/>
      </c>
      <c r="O6175" s="94">
        <f>VLOOKUP($Q6175,매칭테이블!$F:$I,4,0)*K6175</f>
        <v/>
      </c>
      <c r="P6175" s="148">
        <f>M6175/1.1</f>
        <v/>
      </c>
      <c r="Q6175" s="94">
        <f>F6175&amp;E6175&amp;G6175&amp;L6175</f>
        <v/>
      </c>
    </row>
    <row r="6176">
      <c r="A6176" s="94" t="n"/>
      <c r="B6176" s="128" t="n">
        <v>43965</v>
      </c>
      <c r="C6176" s="94">
        <f>TEXT(B6176,"aaa")</f>
        <v/>
      </c>
      <c r="D6176" s="94" t="n"/>
      <c r="E6176" s="94" t="inlineStr">
        <is>
          <t>앰플</t>
        </is>
      </c>
      <c r="F6176" s="5" t="inlineStr">
        <is>
          <t>카페24</t>
        </is>
      </c>
      <c r="G6176" s="94" t="inlineStr">
        <is>
          <t>앰플 30ml</t>
        </is>
      </c>
      <c r="H6176" s="7" t="n">
        <v>190801</v>
      </c>
      <c r="I6176" s="7" t="n">
        <v>190801</v>
      </c>
      <c r="J6176" s="94" t="n"/>
      <c r="K6176" s="6" t="n">
        <v>18</v>
      </c>
      <c r="L6176" s="94" t="n">
        <v>190801</v>
      </c>
      <c r="M6176" s="94">
        <f>VLOOKUP($Q6176,매칭테이블!$F:$I,2,0)*K6176</f>
        <v/>
      </c>
      <c r="N6176" s="94">
        <f>M6176-M6176*VLOOKUP($Q6176,매칭테이블!$F:$I,3,0)</f>
        <v/>
      </c>
      <c r="O6176" s="94">
        <f>VLOOKUP($Q6176,매칭테이블!$F:$I,4,0)*K6176</f>
        <v/>
      </c>
      <c r="P6176" s="148">
        <f>M6176/1.1</f>
        <v/>
      </c>
      <c r="Q6176" s="94">
        <f>F6176&amp;E6176&amp;G6176&amp;L6176</f>
        <v/>
      </c>
    </row>
    <row r="6177">
      <c r="A6177" s="94" t="n"/>
      <c r="B6177" s="128" t="n">
        <v>43965</v>
      </c>
      <c r="C6177" s="94">
        <f>TEXT(B6177,"aaa")</f>
        <v/>
      </c>
      <c r="D6177" s="94" t="n"/>
      <c r="E6177" s="94" t="inlineStr">
        <is>
          <t>수딩크림</t>
        </is>
      </c>
      <c r="F6177" s="5" t="inlineStr">
        <is>
          <t>카페24</t>
        </is>
      </c>
      <c r="G6177" s="94" t="inlineStr">
        <is>
          <t>수딩크림 100ml</t>
        </is>
      </c>
      <c r="H6177" s="7" t="n">
        <v>190801</v>
      </c>
      <c r="I6177" s="7" t="n">
        <v>190801</v>
      </c>
      <c r="J6177" s="94" t="n"/>
      <c r="K6177" s="6" t="n">
        <v>4</v>
      </c>
      <c r="L6177" s="94" t="n">
        <v>190801</v>
      </c>
      <c r="M6177" s="94">
        <f>VLOOKUP($Q6177,매칭테이블!$F:$I,2,0)*K6177</f>
        <v/>
      </c>
      <c r="N6177" s="94">
        <f>M6177-M6177*VLOOKUP($Q6177,매칭테이블!$F:$I,3,0)</f>
        <v/>
      </c>
      <c r="O6177" s="94">
        <f>VLOOKUP($Q6177,매칭테이블!$F:$I,4,0)*K6177</f>
        <v/>
      </c>
      <c r="P6177" s="148">
        <f>M6177/1.1</f>
        <v/>
      </c>
      <c r="Q6177" s="94">
        <f>F6177&amp;E6177&amp;G6177&amp;L6177</f>
        <v/>
      </c>
    </row>
    <row r="6178">
      <c r="A6178" s="94" t="n"/>
      <c r="B6178" s="128" t="n">
        <v>43965</v>
      </c>
      <c r="C6178" s="94">
        <f>TEXT(B6178,"aaa")</f>
        <v/>
      </c>
      <c r="D6178" s="94" t="n"/>
      <c r="E6178" s="94" t="inlineStr">
        <is>
          <t>클렌징폼</t>
        </is>
      </c>
      <c r="F6178" s="94" t="inlineStr">
        <is>
          <t>카페24</t>
        </is>
      </c>
      <c r="G6178" s="94" t="inlineStr">
        <is>
          <t>클렌징폼 120ml</t>
        </is>
      </c>
      <c r="H6178" s="7" t="n">
        <v>190801</v>
      </c>
      <c r="I6178" s="7" t="n">
        <v>190801</v>
      </c>
      <c r="J6178" s="94" t="n"/>
      <c r="K6178" s="6" t="n">
        <v>9</v>
      </c>
      <c r="L6178" s="92" t="n">
        <v>190801</v>
      </c>
      <c r="M6178" s="94">
        <f>VLOOKUP($Q6178,매칭테이블!$F:$I,2,0)*K6178</f>
        <v/>
      </c>
      <c r="N6178" s="94">
        <f>M6178-M6178*VLOOKUP($Q6178,매칭테이블!$F:$I,3,0)</f>
        <v/>
      </c>
      <c r="O6178" s="94">
        <f>VLOOKUP($Q6178,매칭테이블!$F:$I,4,0)*K6178</f>
        <v/>
      </c>
      <c r="P6178" s="148">
        <f>M6178/1.1</f>
        <v/>
      </c>
      <c r="Q6178" s="94">
        <f>F6178&amp;E6178&amp;G6178&amp;L6178</f>
        <v/>
      </c>
    </row>
    <row r="6179">
      <c r="A6179" s="94" t="n"/>
      <c r="B6179" s="128" t="n">
        <v>43965</v>
      </c>
      <c r="C6179" s="94">
        <f>TEXT(B6179,"aaa")</f>
        <v/>
      </c>
      <c r="D6179" s="94" t="n"/>
      <c r="E6179" s="94" t="inlineStr">
        <is>
          <t>클렌징폼</t>
        </is>
      </c>
      <c r="F6179" s="94" t="inlineStr">
        <is>
          <t>카페24</t>
        </is>
      </c>
      <c r="G6179" s="94" t="inlineStr">
        <is>
          <t>클렌징폼 120ml 3set</t>
        </is>
      </c>
      <c r="H6179" s="7" t="n">
        <v>190801</v>
      </c>
      <c r="I6179" s="7" t="n">
        <v>190801</v>
      </c>
      <c r="J6179" s="94" t="n"/>
      <c r="K6179" s="6" t="n">
        <v>1</v>
      </c>
      <c r="L6179" s="92" t="n">
        <v>190801</v>
      </c>
      <c r="M6179" s="94">
        <f>VLOOKUP($Q6179,매칭테이블!$F:$I,2,0)*K6179</f>
        <v/>
      </c>
      <c r="N6179" s="94">
        <f>M6179-M6179*VLOOKUP($Q6179,매칭테이블!$F:$I,3,0)</f>
        <v/>
      </c>
      <c r="O6179" s="94">
        <f>VLOOKUP($Q6179,매칭테이블!$F:$I,4,0)*K6179</f>
        <v/>
      </c>
      <c r="P6179" s="148">
        <f>M6179/1.1</f>
        <v/>
      </c>
      <c r="Q6179" s="94">
        <f>F6179&amp;E6179&amp;G6179&amp;L6179</f>
        <v/>
      </c>
    </row>
    <row r="6180">
      <c r="A6180" s="94" t="n"/>
      <c r="B6180" s="128" t="n">
        <v>43965</v>
      </c>
      <c r="C6180" s="94">
        <f>TEXT(B6180,"aaa")</f>
        <v/>
      </c>
      <c r="D6180" s="94" t="n"/>
      <c r="E6180" s="6" t="inlineStr">
        <is>
          <t>토너</t>
        </is>
      </c>
      <c r="F6180" s="94" t="inlineStr">
        <is>
          <t>큐텐</t>
        </is>
      </c>
      <c r="G6180" s="5" t="inlineStr">
        <is>
          <t>250ml</t>
        </is>
      </c>
      <c r="H6180" s="7" t="n">
        <v>190801</v>
      </c>
      <c r="I6180" s="7" t="n">
        <v>190801</v>
      </c>
      <c r="J6180" s="94" t="n"/>
      <c r="K6180" s="6" t="n">
        <v>17</v>
      </c>
      <c r="L6180" s="94" t="n">
        <v>190801</v>
      </c>
      <c r="M6180" s="94">
        <f>VLOOKUP($Q6180,매칭테이블!$F:$I,2,0)*K6180</f>
        <v/>
      </c>
      <c r="N6180" s="94">
        <f>M6180-M6180*VLOOKUP($Q6180,매칭테이블!$F:$I,3,0)</f>
        <v/>
      </c>
      <c r="O6180" s="94">
        <f>VLOOKUP($Q6180,매칭테이블!$F:$I,4,0)*K6180</f>
        <v/>
      </c>
      <c r="P6180" s="148">
        <f>M6180/1.1</f>
        <v/>
      </c>
      <c r="Q6180" s="94">
        <f>F6180&amp;E6180&amp;G6180&amp;L6180</f>
        <v/>
      </c>
    </row>
    <row r="6181">
      <c r="A6181" s="94" t="n"/>
      <c r="B6181" s="128" t="n">
        <v>43965</v>
      </c>
      <c r="C6181" s="94">
        <f>TEXT(B6181,"aaa")</f>
        <v/>
      </c>
      <c r="D6181" s="94" t="n"/>
      <c r="E6181" s="6" t="inlineStr">
        <is>
          <t>토너</t>
        </is>
      </c>
      <c r="F6181" s="94" t="inlineStr">
        <is>
          <t>큐텐</t>
        </is>
      </c>
      <c r="G6181" s="5" t="inlineStr">
        <is>
          <t>250ml 2set</t>
        </is>
      </c>
      <c r="H6181" s="7" t="n">
        <v>190801</v>
      </c>
      <c r="I6181" s="7" t="n">
        <v>190801</v>
      </c>
      <c r="J6181" s="94" t="n"/>
      <c r="K6181" s="6" t="n">
        <v>6</v>
      </c>
      <c r="L6181" s="94" t="n">
        <v>190801</v>
      </c>
      <c r="M6181" s="94">
        <f>VLOOKUP($Q6181,매칭테이블!$F:$I,2,0)*K6181</f>
        <v/>
      </c>
      <c r="N6181" s="94">
        <f>M6181-M6181*VLOOKUP($Q6181,매칭테이블!$F:$I,3,0)</f>
        <v/>
      </c>
      <c r="O6181" s="94">
        <f>VLOOKUP($Q6181,매칭테이블!$F:$I,4,0)*K6181</f>
        <v/>
      </c>
      <c r="P6181" s="148">
        <f>M6181/1.1</f>
        <v/>
      </c>
      <c r="Q6181" s="94">
        <f>F6181&amp;E6181&amp;G6181&amp;L6181</f>
        <v/>
      </c>
    </row>
    <row r="6182">
      <c r="A6182" s="94" t="n"/>
      <c r="B6182" s="128" t="n">
        <v>43965</v>
      </c>
      <c r="C6182" s="94">
        <f>TEXT(B6182,"aaa")</f>
        <v/>
      </c>
      <c r="D6182" s="94" t="n"/>
      <c r="E6182" s="94" t="inlineStr">
        <is>
          <t>앰플</t>
        </is>
      </c>
      <c r="F6182" s="94" t="inlineStr">
        <is>
          <t>큐텐</t>
        </is>
      </c>
      <c r="G6182" s="94" t="inlineStr">
        <is>
          <t>앰플 30ml</t>
        </is>
      </c>
      <c r="H6182" s="7" t="n">
        <v>190801</v>
      </c>
      <c r="I6182" s="7" t="n">
        <v>190801</v>
      </c>
      <c r="J6182" s="94" t="n"/>
      <c r="K6182" s="6" t="n">
        <v>3</v>
      </c>
      <c r="L6182" s="94" t="n">
        <v>190801</v>
      </c>
      <c r="M6182" s="94">
        <f>VLOOKUP($Q6182,매칭테이블!$F:$I,2,0)*K6182</f>
        <v/>
      </c>
      <c r="N6182" s="94">
        <f>M6182-M6182*VLOOKUP($Q6182,매칭테이블!$F:$I,3,0)</f>
        <v/>
      </c>
      <c r="O6182" s="94">
        <f>VLOOKUP($Q6182,매칭테이블!$F:$I,4,0)*K6182</f>
        <v/>
      </c>
      <c r="P6182" s="148">
        <f>M6182/1.1</f>
        <v/>
      </c>
      <c r="Q6182" s="94">
        <f>F6182&amp;E6182&amp;G6182&amp;L6182</f>
        <v/>
      </c>
    </row>
    <row r="6183">
      <c r="A6183" s="94" t="n"/>
      <c r="B6183" s="128" t="n">
        <v>43965</v>
      </c>
      <c r="C6183" s="94">
        <f>TEXT(B6183,"aaa")</f>
        <v/>
      </c>
      <c r="D6183" s="94" t="n"/>
      <c r="E6183" s="94" t="inlineStr">
        <is>
          <t>머드크림마스크</t>
        </is>
      </c>
      <c r="F6183" s="94" t="inlineStr">
        <is>
          <t>큐텐</t>
        </is>
      </c>
      <c r="G6183" s="94" t="inlineStr">
        <is>
          <t>머드크림마스크 100ml</t>
        </is>
      </c>
      <c r="H6183" s="7" t="n">
        <v>190801</v>
      </c>
      <c r="I6183" s="7" t="n">
        <v>190801</v>
      </c>
      <c r="J6183" s="94" t="n"/>
      <c r="K6183" s="6" t="n">
        <v>1</v>
      </c>
      <c r="L6183" s="94" t="n">
        <v>190801</v>
      </c>
      <c r="M6183" s="94">
        <f>VLOOKUP($Q6183,매칭테이블!$F:$I,2,0)*K6183</f>
        <v/>
      </c>
      <c r="N6183" s="94">
        <f>M6183-M6183*VLOOKUP($Q6183,매칭테이블!$F:$I,3,0)</f>
        <v/>
      </c>
      <c r="O6183" s="94">
        <f>VLOOKUP($Q6183,매칭테이블!$F:$I,4,0)*K6183</f>
        <v/>
      </c>
      <c r="P6183" s="148">
        <f>M6183/1.1</f>
        <v/>
      </c>
      <c r="Q6183" s="94">
        <f>F6183&amp;E6183&amp;G6183&amp;L6183</f>
        <v/>
      </c>
    </row>
    <row r="6184">
      <c r="A6184" s="94" t="n"/>
      <c r="B6184" s="128" t="n">
        <v>43965</v>
      </c>
      <c r="C6184" s="94">
        <f>TEXT(B6184,"aaa")</f>
        <v/>
      </c>
      <c r="D6184" s="94" t="n"/>
      <c r="E6184" s="94" t="inlineStr">
        <is>
          <t>클렌징폼</t>
        </is>
      </c>
      <c r="F6184" s="94" t="inlineStr">
        <is>
          <t>큐텐</t>
        </is>
      </c>
      <c r="G6184" s="94" t="inlineStr">
        <is>
          <t>클렌징폼 120ml</t>
        </is>
      </c>
      <c r="H6184" s="7" t="n">
        <v>190801</v>
      </c>
      <c r="I6184" s="7" t="n">
        <v>190801</v>
      </c>
      <c r="J6184" s="94" t="n"/>
      <c r="K6184" s="6" t="n">
        <v>3</v>
      </c>
      <c r="L6184" s="92" t="n">
        <v>190801</v>
      </c>
      <c r="M6184" s="94">
        <f>VLOOKUP($Q6184,매칭테이블!$F:$I,2,0)*K6184</f>
        <v/>
      </c>
      <c r="N6184" s="94">
        <f>M6184-M6184*VLOOKUP($Q6184,매칭테이블!$F:$I,3,0)</f>
        <v/>
      </c>
      <c r="O6184" s="94">
        <f>VLOOKUP($Q6184,매칭테이블!$F:$I,4,0)*K6184</f>
        <v/>
      </c>
      <c r="P6184" s="148">
        <f>M6184/1.1</f>
        <v/>
      </c>
      <c r="Q6184" s="94">
        <f>F6184&amp;E6184&amp;G6184&amp;L6184</f>
        <v/>
      </c>
    </row>
    <row r="6185">
      <c r="A6185" s="94" t="n"/>
      <c r="B6185" s="128" t="n">
        <v>43966</v>
      </c>
      <c r="C6185" s="94">
        <f>TEXT(B6185,"aaa")</f>
        <v/>
      </c>
      <c r="D6185" s="94" t="n"/>
      <c r="E6185" s="6" t="inlineStr">
        <is>
          <t>토너</t>
        </is>
      </c>
      <c r="F6185" s="5" t="inlineStr">
        <is>
          <t>W컨셉</t>
        </is>
      </c>
      <c r="G6185" s="5" t="inlineStr">
        <is>
          <t>250ml 2set</t>
        </is>
      </c>
      <c r="H6185" s="7" t="n">
        <v>190801</v>
      </c>
      <c r="I6185" s="7" t="n">
        <v>190801</v>
      </c>
      <c r="J6185" s="94" t="n"/>
      <c r="K6185" s="6" t="n">
        <v>8</v>
      </c>
      <c r="L6185" s="7" t="n">
        <v>190801</v>
      </c>
      <c r="M6185" s="94">
        <f>VLOOKUP($Q6185,매칭테이블!$F:$I,2,0)*K6185</f>
        <v/>
      </c>
      <c r="N6185" s="94">
        <f>M6185-M6185*VLOOKUP($Q6185,매칭테이블!$F:$I,3,0)</f>
        <v/>
      </c>
      <c r="O6185" s="94">
        <f>VLOOKUP($Q6185,매칭테이블!$F:$I,4,0)*K6185</f>
        <v/>
      </c>
      <c r="P6185" s="148">
        <f>M6185/1.1</f>
        <v/>
      </c>
      <c r="Q6185" s="94">
        <f>F6185&amp;E6185&amp;G6185&amp;L6185</f>
        <v/>
      </c>
    </row>
    <row r="6186">
      <c r="A6186" s="94" t="n"/>
      <c r="B6186" s="128" t="n">
        <v>43966</v>
      </c>
      <c r="C6186" s="94">
        <f>TEXT(B6186,"aaa")</f>
        <v/>
      </c>
      <c r="D6186" s="94" t="n"/>
      <c r="E6186" s="94" t="inlineStr">
        <is>
          <t>토너</t>
        </is>
      </c>
      <c r="F6186" s="5" t="inlineStr">
        <is>
          <t>스타일쉐어</t>
        </is>
      </c>
      <c r="G6186" s="94" t="inlineStr">
        <is>
          <t>250ml</t>
        </is>
      </c>
      <c r="H6186" s="7" t="n">
        <v>190801</v>
      </c>
      <c r="I6186" s="7" t="n">
        <v>190801</v>
      </c>
      <c r="J6186" s="94" t="n"/>
      <c r="K6186" s="6" t="n">
        <v>4</v>
      </c>
      <c r="L6186" s="7" t="n">
        <v>190801</v>
      </c>
      <c r="M6186" s="94">
        <f>VLOOKUP($Q6186,매칭테이블!$F:$I,2,0)*K6186</f>
        <v/>
      </c>
      <c r="N6186" s="94">
        <f>M6186-M6186*VLOOKUP($Q6186,매칭테이블!$F:$I,3,0)</f>
        <v/>
      </c>
      <c r="O6186" s="94">
        <f>VLOOKUP($Q6186,매칭테이블!$F:$I,4,0)*K6186</f>
        <v/>
      </c>
      <c r="P6186" s="148">
        <f>M6186/1.1</f>
        <v/>
      </c>
      <c r="Q6186" s="94">
        <f>F6186&amp;E6186&amp;G6186&amp;L6186</f>
        <v/>
      </c>
    </row>
    <row r="6187">
      <c r="A6187" s="94" t="n"/>
      <c r="B6187" s="128" t="n">
        <v>43966</v>
      </c>
      <c r="C6187" s="94">
        <f>TEXT(B6187,"aaa")</f>
        <v/>
      </c>
      <c r="D6187" s="94" t="n"/>
      <c r="E6187" s="94" t="inlineStr">
        <is>
          <t>어성초진정패키지</t>
        </is>
      </c>
      <c r="F6187" s="94" t="inlineStr">
        <is>
          <t>카페24</t>
        </is>
      </c>
      <c r="G6187" s="94" t="inlineStr">
        <is>
          <t>어성초 진정패키지세트</t>
        </is>
      </c>
      <c r="H6187" s="7" t="n">
        <v>190801</v>
      </c>
      <c r="I6187" s="7" t="n">
        <v>190801</v>
      </c>
      <c r="J6187" s="94" t="n"/>
      <c r="K6187" s="6" t="n">
        <v>7</v>
      </c>
      <c r="L6187" s="94" t="n">
        <v>190801</v>
      </c>
      <c r="M6187" s="94">
        <f>VLOOKUP($Q6187,매칭테이블!$F:$I,2,0)*K6187</f>
        <v/>
      </c>
      <c r="N6187" s="94">
        <f>M6187-M6187*VLOOKUP($Q6187,매칭테이블!$F:$I,3,0)</f>
        <v/>
      </c>
      <c r="O6187" s="94">
        <f>VLOOKUP($Q6187,매칭테이블!$F:$I,4,0)*K6187</f>
        <v/>
      </c>
      <c r="P6187" s="148">
        <f>M6187/1.1</f>
        <v/>
      </c>
      <c r="Q6187" s="94">
        <f>F6187&amp;E6187&amp;G6187&amp;L6187</f>
        <v/>
      </c>
    </row>
    <row r="6188">
      <c r="A6188" s="94" t="n"/>
      <c r="B6188" s="128" t="n">
        <v>43966</v>
      </c>
      <c r="C6188" s="94">
        <f>TEXT(B6188,"aaa")</f>
        <v/>
      </c>
      <c r="D6188" s="94" t="n"/>
      <c r="E6188" s="94" t="inlineStr">
        <is>
          <t>머드크림마스크</t>
        </is>
      </c>
      <c r="F6188" s="94" t="inlineStr">
        <is>
          <t>카페24</t>
        </is>
      </c>
      <c r="G6188" s="94" t="inlineStr">
        <is>
          <t>머드크림마스크 100ml</t>
        </is>
      </c>
      <c r="H6188" s="7" t="n">
        <v>190801</v>
      </c>
      <c r="I6188" s="7" t="n">
        <v>190801</v>
      </c>
      <c r="J6188" s="94" t="n"/>
      <c r="K6188" s="6" t="n">
        <v>3</v>
      </c>
      <c r="L6188" s="94" t="n">
        <v>190801</v>
      </c>
      <c r="M6188" s="94">
        <f>VLOOKUP($Q6188,매칭테이블!$F:$I,2,0)*K6188</f>
        <v/>
      </c>
      <c r="N6188" s="94">
        <f>M6188-M6188*VLOOKUP($Q6188,매칭테이블!$F:$I,3,0)</f>
        <v/>
      </c>
      <c r="O6188" s="94">
        <f>VLOOKUP($Q6188,매칭테이블!$F:$I,4,0)*K6188</f>
        <v/>
      </c>
      <c r="P6188" s="148">
        <f>M6188/1.1</f>
        <v/>
      </c>
      <c r="Q6188" s="94">
        <f>F6188&amp;E6188&amp;G6188&amp;L6188</f>
        <v/>
      </c>
    </row>
    <row r="6189">
      <c r="A6189" s="94" t="n"/>
      <c r="B6189" s="128" t="n">
        <v>43966</v>
      </c>
      <c r="C6189" s="94">
        <f>TEXT(B6189,"aaa")</f>
        <v/>
      </c>
      <c r="D6189" s="94" t="n"/>
      <c r="E6189" s="94" t="inlineStr">
        <is>
          <t>마스크팩</t>
        </is>
      </c>
      <c r="F6189" s="94" t="inlineStr">
        <is>
          <t>카페24</t>
        </is>
      </c>
      <c r="G6189" s="94" t="inlineStr">
        <is>
          <t>마스크팩 1매</t>
        </is>
      </c>
      <c r="H6189" s="7" t="n">
        <v>190801</v>
      </c>
      <c r="I6189" s="7" t="n">
        <v>190801</v>
      </c>
      <c r="J6189" s="94" t="n"/>
      <c r="K6189" s="6" t="n">
        <v>5</v>
      </c>
      <c r="L6189" s="94" t="n">
        <v>190801</v>
      </c>
      <c r="M6189" s="94">
        <f>VLOOKUP($Q6189,매칭테이블!$F:$I,2,0)*K6189</f>
        <v/>
      </c>
      <c r="N6189" s="94">
        <f>M6189-M6189*VLOOKUP($Q6189,매칭테이블!$F:$I,3,0)</f>
        <v/>
      </c>
      <c r="O6189" s="94">
        <f>VLOOKUP($Q6189,매칭테이블!$F:$I,4,0)*K6189</f>
        <v/>
      </c>
      <c r="P6189" s="148">
        <f>M6189/1.1</f>
        <v/>
      </c>
      <c r="Q6189" s="94">
        <f>F6189&amp;E6189&amp;G6189&amp;L6189</f>
        <v/>
      </c>
    </row>
    <row r="6190">
      <c r="A6190" s="94" t="n"/>
      <c r="B6190" s="128" t="n">
        <v>43966</v>
      </c>
      <c r="C6190" s="94">
        <f>TEXT(B6190,"aaa")</f>
        <v/>
      </c>
      <c r="D6190" s="94" t="n"/>
      <c r="E6190" s="94" t="inlineStr">
        <is>
          <t>마스크팩</t>
        </is>
      </c>
      <c r="F6190" s="94" t="inlineStr">
        <is>
          <t>카페24</t>
        </is>
      </c>
      <c r="G6190" s="94" t="inlineStr">
        <is>
          <t>마스크팩 10매</t>
        </is>
      </c>
      <c r="H6190" s="7" t="n">
        <v>190801</v>
      </c>
      <c r="I6190" s="7" t="n">
        <v>190801</v>
      </c>
      <c r="J6190" s="94" t="n"/>
      <c r="K6190" s="6" t="n">
        <v>2</v>
      </c>
      <c r="L6190" s="94" t="n">
        <v>190801</v>
      </c>
      <c r="M6190" s="94">
        <f>VLOOKUP($Q6190,매칭테이블!$F:$I,2,0)*K6190</f>
        <v/>
      </c>
      <c r="N6190" s="94">
        <f>M6190-M6190*VLOOKUP($Q6190,매칭테이블!$F:$I,3,0)</f>
        <v/>
      </c>
      <c r="O6190" s="94">
        <f>VLOOKUP($Q6190,매칭테이블!$F:$I,4,0)*K6190</f>
        <v/>
      </c>
      <c r="P6190" s="148">
        <f>M6190/1.1</f>
        <v/>
      </c>
      <c r="Q6190" s="94">
        <f>F6190&amp;E6190&amp;G6190&amp;L6190</f>
        <v/>
      </c>
    </row>
    <row r="6191">
      <c r="A6191" s="94" t="n"/>
      <c r="B6191" s="128" t="n">
        <v>43966</v>
      </c>
      <c r="C6191" s="94">
        <f>TEXT(B6191,"aaa")</f>
        <v/>
      </c>
      <c r="D6191" s="94" t="n"/>
      <c r="E6191" s="6" t="inlineStr">
        <is>
          <t>토너</t>
        </is>
      </c>
      <c r="F6191" s="5" t="inlineStr">
        <is>
          <t>카페24</t>
        </is>
      </c>
      <c r="G6191" s="5" t="inlineStr">
        <is>
          <t>250ml</t>
        </is>
      </c>
      <c r="H6191" s="7" t="n">
        <v>190801</v>
      </c>
      <c r="I6191" s="7" t="n">
        <v>190801</v>
      </c>
      <c r="J6191" s="94" t="n"/>
      <c r="K6191" s="6" t="n">
        <v>64</v>
      </c>
      <c r="L6191" s="7" t="n">
        <v>190801</v>
      </c>
      <c r="M6191" s="94">
        <f>VLOOKUP($Q6191,매칭테이블!$F:$I,2,0)*K6191</f>
        <v/>
      </c>
      <c r="N6191" s="94">
        <f>M6191-M6191*VLOOKUP($Q6191,매칭테이블!$F:$I,3,0)</f>
        <v/>
      </c>
      <c r="O6191" s="94">
        <f>VLOOKUP($Q6191,매칭테이블!$F:$I,4,0)*K6191</f>
        <v/>
      </c>
      <c r="P6191" s="148">
        <f>M6191/1.1</f>
        <v/>
      </c>
      <c r="Q6191" s="94">
        <f>F6191&amp;E6191&amp;G6191&amp;L6191</f>
        <v/>
      </c>
    </row>
    <row r="6192">
      <c r="A6192" s="94" t="n"/>
      <c r="B6192" s="128" t="n">
        <v>43966</v>
      </c>
      <c r="C6192" s="94">
        <f>TEXT(B6192,"aaa")</f>
        <v/>
      </c>
      <c r="D6192" s="94" t="n"/>
      <c r="E6192" s="6" t="inlineStr">
        <is>
          <t>토너</t>
        </is>
      </c>
      <c r="F6192" s="5" t="inlineStr">
        <is>
          <t>카페24</t>
        </is>
      </c>
      <c r="G6192" s="5" t="inlineStr">
        <is>
          <t>250ml 2set</t>
        </is>
      </c>
      <c r="H6192" s="7" t="n">
        <v>190801</v>
      </c>
      <c r="I6192" s="7" t="n">
        <v>190801</v>
      </c>
      <c r="J6192" s="94" t="n"/>
      <c r="K6192" s="6" t="n">
        <v>37</v>
      </c>
      <c r="L6192" s="7" t="n">
        <v>190801</v>
      </c>
      <c r="M6192" s="94">
        <f>VLOOKUP($Q6192,매칭테이블!$F:$I,2,0)*K6192</f>
        <v/>
      </c>
      <c r="N6192" s="94">
        <f>M6192-M6192*VLOOKUP($Q6192,매칭테이블!$F:$I,3,0)</f>
        <v/>
      </c>
      <c r="O6192" s="94">
        <f>VLOOKUP($Q6192,매칭테이블!$F:$I,4,0)*K6192</f>
        <v/>
      </c>
      <c r="P6192" s="148">
        <f>M6192/1.1</f>
        <v/>
      </c>
      <c r="Q6192" s="94">
        <f>F6192&amp;E6192&amp;G6192&amp;L6192</f>
        <v/>
      </c>
    </row>
    <row r="6193">
      <c r="A6193" s="94" t="n"/>
      <c r="B6193" s="128" t="n">
        <v>43966</v>
      </c>
      <c r="C6193" s="94">
        <f>TEXT(B6193,"aaa")</f>
        <v/>
      </c>
      <c r="D6193" s="94" t="n"/>
      <c r="E6193" s="6" t="inlineStr">
        <is>
          <t>토너</t>
        </is>
      </c>
      <c r="F6193" s="5" t="inlineStr">
        <is>
          <t>카페24</t>
        </is>
      </c>
      <c r="G6193" s="5" t="inlineStr">
        <is>
          <t>500ml</t>
        </is>
      </c>
      <c r="H6193" s="7" t="n">
        <v>190801</v>
      </c>
      <c r="I6193" s="7" t="n">
        <v>190801</v>
      </c>
      <c r="J6193" s="94" t="n"/>
      <c r="K6193" s="6" t="n">
        <v>46</v>
      </c>
      <c r="L6193" s="7" t="n">
        <v>190801</v>
      </c>
      <c r="M6193" s="94">
        <f>VLOOKUP($Q6193,매칭테이블!$F:$I,2,0)*K6193</f>
        <v/>
      </c>
      <c r="N6193" s="94">
        <f>M6193-M6193*VLOOKUP($Q6193,매칭테이블!$F:$I,3,0)</f>
        <v/>
      </c>
      <c r="O6193" s="94">
        <f>VLOOKUP($Q6193,매칭테이블!$F:$I,4,0)*K6193</f>
        <v/>
      </c>
      <c r="P6193" s="148">
        <f>M6193/1.1</f>
        <v/>
      </c>
      <c r="Q6193" s="94">
        <f>F6193&amp;E6193&amp;G6193&amp;L6193</f>
        <v/>
      </c>
    </row>
    <row r="6194">
      <c r="A6194" s="94" t="n"/>
      <c r="B6194" s="128" t="n">
        <v>43966</v>
      </c>
      <c r="C6194" s="94">
        <f>TEXT(B6194,"aaa")</f>
        <v/>
      </c>
      <c r="D6194" s="94" t="n"/>
      <c r="E6194" s="6" t="inlineStr">
        <is>
          <t>토너</t>
        </is>
      </c>
      <c r="F6194" s="5" t="inlineStr">
        <is>
          <t>카페24</t>
        </is>
      </c>
      <c r="G6194" s="94" t="inlineStr">
        <is>
          <t>스킨팩 화장솜 60P</t>
        </is>
      </c>
      <c r="H6194" s="7" t="n">
        <v>190801</v>
      </c>
      <c r="I6194" s="7" t="n">
        <v>190801</v>
      </c>
      <c r="J6194" s="94" t="n"/>
      <c r="K6194" s="6" t="n">
        <v>59</v>
      </c>
      <c r="L6194" s="7" t="n">
        <v>190801</v>
      </c>
      <c r="M6194" s="94">
        <f>VLOOKUP($Q6194,매칭테이블!$F:$I,2,0)*K6194</f>
        <v/>
      </c>
      <c r="N6194" s="94">
        <f>M6194-M6194*VLOOKUP($Q6194,매칭테이블!$F:$I,3,0)</f>
        <v/>
      </c>
      <c r="O6194" s="94">
        <f>VLOOKUP($Q6194,매칭테이블!$F:$I,4,0)*K6194</f>
        <v/>
      </c>
      <c r="P6194" s="148">
        <f>M6194/1.1</f>
        <v/>
      </c>
      <c r="Q6194" s="94">
        <f>F6194&amp;E6194&amp;G6194&amp;L6194</f>
        <v/>
      </c>
    </row>
    <row r="6195">
      <c r="A6195" s="94" t="n"/>
      <c r="B6195" s="128" t="n">
        <v>43966</v>
      </c>
      <c r="C6195" s="94">
        <f>TEXT(B6195,"aaa")</f>
        <v/>
      </c>
      <c r="D6195" s="94" t="n"/>
      <c r="E6195" s="94" t="inlineStr">
        <is>
          <t>앰플</t>
        </is>
      </c>
      <c r="F6195" s="5" t="inlineStr">
        <is>
          <t>카페24</t>
        </is>
      </c>
      <c r="G6195" s="94" t="inlineStr">
        <is>
          <t>앰플 30ml</t>
        </is>
      </c>
      <c r="H6195" s="7" t="n">
        <v>190801</v>
      </c>
      <c r="I6195" s="7" t="n">
        <v>190801</v>
      </c>
      <c r="J6195" s="94" t="n"/>
      <c r="K6195" s="6" t="n">
        <v>11</v>
      </c>
      <c r="L6195" s="94" t="n">
        <v>190801</v>
      </c>
      <c r="M6195" s="94">
        <f>VLOOKUP($Q6195,매칭테이블!$F:$I,2,0)*K6195</f>
        <v/>
      </c>
      <c r="N6195" s="94">
        <f>M6195-M6195*VLOOKUP($Q6195,매칭테이블!$F:$I,3,0)</f>
        <v/>
      </c>
      <c r="O6195" s="94">
        <f>VLOOKUP($Q6195,매칭테이블!$F:$I,4,0)*K6195</f>
        <v/>
      </c>
      <c r="P6195" s="148">
        <f>M6195/1.1</f>
        <v/>
      </c>
      <c r="Q6195" s="94">
        <f>F6195&amp;E6195&amp;G6195&amp;L6195</f>
        <v/>
      </c>
    </row>
    <row r="6196">
      <c r="A6196" s="94" t="n"/>
      <c r="B6196" s="128" t="n">
        <v>43966</v>
      </c>
      <c r="C6196" s="94">
        <f>TEXT(B6196,"aaa")</f>
        <v/>
      </c>
      <c r="D6196" s="94" t="n"/>
      <c r="E6196" s="94" t="inlineStr">
        <is>
          <t>수딩크림</t>
        </is>
      </c>
      <c r="F6196" s="5" t="inlineStr">
        <is>
          <t>카페24</t>
        </is>
      </c>
      <c r="G6196" s="94" t="inlineStr">
        <is>
          <t>수딩크림 100ml</t>
        </is>
      </c>
      <c r="H6196" s="7" t="n">
        <v>190801</v>
      </c>
      <c r="I6196" s="7" t="n">
        <v>190801</v>
      </c>
      <c r="J6196" s="94" t="n"/>
      <c r="K6196" s="6" t="n">
        <v>5</v>
      </c>
      <c r="L6196" s="94" t="n">
        <v>190801</v>
      </c>
      <c r="M6196" s="94">
        <f>VLOOKUP($Q6196,매칭테이블!$F:$I,2,0)*K6196</f>
        <v/>
      </c>
      <c r="N6196" s="94">
        <f>M6196-M6196*VLOOKUP($Q6196,매칭테이블!$F:$I,3,0)</f>
        <v/>
      </c>
      <c r="O6196" s="94">
        <f>VLOOKUP($Q6196,매칭테이블!$F:$I,4,0)*K6196</f>
        <v/>
      </c>
      <c r="P6196" s="148">
        <f>M6196/1.1</f>
        <v/>
      </c>
      <c r="Q6196" s="94">
        <f>F6196&amp;E6196&amp;G6196&amp;L6196</f>
        <v/>
      </c>
    </row>
    <row r="6197">
      <c r="A6197" s="94" t="n"/>
      <c r="B6197" s="128" t="n">
        <v>43966</v>
      </c>
      <c r="C6197" s="94">
        <f>TEXT(B6197,"aaa")</f>
        <v/>
      </c>
      <c r="D6197" s="94" t="n"/>
      <c r="E6197" s="6" t="inlineStr">
        <is>
          <t>토너</t>
        </is>
      </c>
      <c r="F6197" s="94" t="inlineStr">
        <is>
          <t>큐텐</t>
        </is>
      </c>
      <c r="G6197" s="5" t="inlineStr">
        <is>
          <t>250ml</t>
        </is>
      </c>
      <c r="H6197" s="7" t="n">
        <v>190801</v>
      </c>
      <c r="I6197" s="7" t="n">
        <v>190801</v>
      </c>
      <c r="J6197" s="94" t="n"/>
      <c r="K6197" s="6" t="n">
        <v>15</v>
      </c>
      <c r="L6197" s="94" t="n">
        <v>190801</v>
      </c>
      <c r="M6197" s="94">
        <f>VLOOKUP($Q6197,매칭테이블!$F:$I,2,0)*K6197</f>
        <v/>
      </c>
      <c r="N6197" s="94">
        <f>M6197-M6197*VLOOKUP($Q6197,매칭테이블!$F:$I,3,0)</f>
        <v/>
      </c>
      <c r="O6197" s="94">
        <f>VLOOKUP($Q6197,매칭테이블!$F:$I,4,0)*K6197</f>
        <v/>
      </c>
      <c r="P6197" s="148">
        <f>M6197/1.1</f>
        <v/>
      </c>
      <c r="Q6197" s="94">
        <f>F6197&amp;E6197&amp;G6197&amp;L6197</f>
        <v/>
      </c>
    </row>
    <row r="6198">
      <c r="A6198" s="94" t="n"/>
      <c r="B6198" s="128" t="n">
        <v>43966</v>
      </c>
      <c r="C6198" s="94">
        <f>TEXT(B6198,"aaa")</f>
        <v/>
      </c>
      <c r="D6198" s="94" t="n"/>
      <c r="E6198" s="6" t="inlineStr">
        <is>
          <t>토너</t>
        </is>
      </c>
      <c r="F6198" s="94" t="inlineStr">
        <is>
          <t>큐텐</t>
        </is>
      </c>
      <c r="G6198" s="5" t="inlineStr">
        <is>
          <t>250ml 2set</t>
        </is>
      </c>
      <c r="H6198" s="7" t="n">
        <v>190801</v>
      </c>
      <c r="I6198" s="7" t="n">
        <v>190801</v>
      </c>
      <c r="J6198" s="94" t="n"/>
      <c r="K6198" s="6" t="n">
        <v>8</v>
      </c>
      <c r="L6198" s="94" t="n">
        <v>190801</v>
      </c>
      <c r="M6198" s="94">
        <f>VLOOKUP($Q6198,매칭테이블!$F:$I,2,0)*K6198</f>
        <v/>
      </c>
      <c r="N6198" s="94">
        <f>M6198-M6198*VLOOKUP($Q6198,매칭테이블!$F:$I,3,0)</f>
        <v/>
      </c>
      <c r="O6198" s="94">
        <f>VLOOKUP($Q6198,매칭테이블!$F:$I,4,0)*K6198</f>
        <v/>
      </c>
      <c r="P6198" s="148">
        <f>M6198/1.1</f>
        <v/>
      </c>
      <c r="Q6198" s="94">
        <f>F6198&amp;E6198&amp;G6198&amp;L6198</f>
        <v/>
      </c>
    </row>
    <row r="6199">
      <c r="A6199" s="94" t="n"/>
      <c r="B6199" s="128" t="n">
        <v>43966</v>
      </c>
      <c r="C6199" s="94">
        <f>TEXT(B6199,"aaa")</f>
        <v/>
      </c>
      <c r="D6199" s="94" t="n"/>
      <c r="E6199" s="94" t="inlineStr">
        <is>
          <t>앰플</t>
        </is>
      </c>
      <c r="F6199" s="94" t="inlineStr">
        <is>
          <t>큐텐</t>
        </is>
      </c>
      <c r="G6199" s="94" t="inlineStr">
        <is>
          <t>앰플 30ml</t>
        </is>
      </c>
      <c r="H6199" s="7" t="n">
        <v>190801</v>
      </c>
      <c r="I6199" s="7" t="n">
        <v>190801</v>
      </c>
      <c r="J6199" s="94" t="n"/>
      <c r="K6199" s="6" t="n">
        <v>2</v>
      </c>
      <c r="L6199" s="94" t="n">
        <v>190801</v>
      </c>
      <c r="M6199" s="94">
        <f>VLOOKUP($Q6199,매칭테이블!$F:$I,2,0)*K6199</f>
        <v/>
      </c>
      <c r="N6199" s="94">
        <f>M6199-M6199*VLOOKUP($Q6199,매칭테이블!$F:$I,3,0)</f>
        <v/>
      </c>
      <c r="O6199" s="94">
        <f>VLOOKUP($Q6199,매칭테이블!$F:$I,4,0)*K6199</f>
        <v/>
      </c>
      <c r="P6199" s="148">
        <f>M6199/1.1</f>
        <v/>
      </c>
      <c r="Q6199" s="94">
        <f>F6199&amp;E6199&amp;G6199&amp;L6199</f>
        <v/>
      </c>
    </row>
    <row r="6200">
      <c r="A6200" s="94" t="n"/>
      <c r="B6200" s="128" t="n">
        <v>43966</v>
      </c>
      <c r="C6200" s="94">
        <f>TEXT(B6200,"aaa")</f>
        <v/>
      </c>
      <c r="D6200" s="94" t="n"/>
      <c r="E6200" s="94" t="inlineStr">
        <is>
          <t>토너</t>
        </is>
      </c>
      <c r="F6200" s="94" t="inlineStr">
        <is>
          <t>현대면세점</t>
        </is>
      </c>
      <c r="G6200" s="94" t="inlineStr">
        <is>
          <t>250ml</t>
        </is>
      </c>
      <c r="H6200" s="7" t="n">
        <v>190801</v>
      </c>
      <c r="I6200" s="7" t="n">
        <v>190801</v>
      </c>
      <c r="J6200" s="94" t="n"/>
      <c r="K6200" s="6" t="n">
        <v>80</v>
      </c>
      <c r="L6200" s="94" t="n">
        <v>190801</v>
      </c>
      <c r="M6200" s="94">
        <f>VLOOKUP($Q6200,매칭테이블!$F:$I,2,0)*K6200</f>
        <v/>
      </c>
      <c r="N6200" s="94">
        <f>M6200-M6200*VLOOKUP($Q6200,매칭테이블!$F:$I,3,0)</f>
        <v/>
      </c>
      <c r="O6200" s="94">
        <f>VLOOKUP($Q6200,매칭테이블!$F:$I,4,0)*K6200</f>
        <v/>
      </c>
      <c r="P6200" s="148">
        <f>M6200/1.1</f>
        <v/>
      </c>
      <c r="Q6200" s="94">
        <f>F6200&amp;E6200&amp;G6200&amp;L6200</f>
        <v/>
      </c>
    </row>
    <row r="6201">
      <c r="A6201" s="94" t="n"/>
      <c r="B6201" s="128" t="n">
        <v>43966</v>
      </c>
      <c r="C6201" s="94">
        <f>TEXT(B6201,"aaa")</f>
        <v/>
      </c>
      <c r="D6201" s="94" t="n"/>
      <c r="E6201" s="94" t="inlineStr">
        <is>
          <t>클렌징폼</t>
        </is>
      </c>
      <c r="F6201" s="94" t="inlineStr">
        <is>
          <t>카페24</t>
        </is>
      </c>
      <c r="G6201" s="94" t="inlineStr">
        <is>
          <t>클렌징폼 120ml</t>
        </is>
      </c>
      <c r="H6201" s="7" t="n">
        <v>190801</v>
      </c>
      <c r="I6201" s="7" t="n">
        <v>190801</v>
      </c>
      <c r="J6201" s="94" t="n"/>
      <c r="K6201" s="6" t="n">
        <v>8</v>
      </c>
      <c r="L6201" s="92" t="n">
        <v>190801</v>
      </c>
      <c r="M6201" s="94">
        <f>VLOOKUP($Q6201,매칭테이블!$F:$I,2,0)*K6201</f>
        <v/>
      </c>
      <c r="N6201" s="94">
        <f>M6201-M6201*VLOOKUP($Q6201,매칭테이블!$F:$I,3,0)</f>
        <v/>
      </c>
      <c r="O6201" s="94">
        <f>VLOOKUP($Q6201,매칭테이블!$F:$I,4,0)*K6201</f>
        <v/>
      </c>
      <c r="P6201" s="148">
        <f>M6201/1.1</f>
        <v/>
      </c>
      <c r="Q6201" s="94">
        <f>F6201&amp;E6201&amp;G6201&amp;L6201</f>
        <v/>
      </c>
    </row>
    <row r="6202">
      <c r="A6202" s="94" t="n"/>
      <c r="B6202" s="128" t="n">
        <v>43966</v>
      </c>
      <c r="C6202" s="94">
        <f>TEXT(B6202,"aaa")</f>
        <v/>
      </c>
      <c r="D6202" s="94" t="n"/>
      <c r="E6202" s="94" t="inlineStr">
        <is>
          <t>클렌징폼</t>
        </is>
      </c>
      <c r="F6202" s="94" t="inlineStr">
        <is>
          <t>카페24</t>
        </is>
      </c>
      <c r="G6202" s="94" t="inlineStr">
        <is>
          <t>클렌징폼 120ml 2set</t>
        </is>
      </c>
      <c r="H6202" s="7" t="n">
        <v>190801</v>
      </c>
      <c r="I6202" s="7" t="n">
        <v>190801</v>
      </c>
      <c r="J6202" s="94" t="n"/>
      <c r="K6202" s="6" t="n">
        <v>1</v>
      </c>
      <c r="L6202" s="92" t="n">
        <v>190801</v>
      </c>
      <c r="M6202" s="94">
        <f>VLOOKUP($Q6202,매칭테이블!$F:$I,2,0)*K6202</f>
        <v/>
      </c>
      <c r="N6202" s="94">
        <f>M6202-M6202*VLOOKUP($Q6202,매칭테이블!$F:$I,3,0)</f>
        <v/>
      </c>
      <c r="O6202" s="94">
        <f>VLOOKUP($Q6202,매칭테이블!$F:$I,4,0)*K6202</f>
        <v/>
      </c>
      <c r="P6202" s="148">
        <f>M6202/1.1</f>
        <v/>
      </c>
      <c r="Q6202" s="94">
        <f>F6202&amp;E6202&amp;G6202&amp;L6202</f>
        <v/>
      </c>
    </row>
    <row r="6203">
      <c r="A6203" s="94" t="n"/>
      <c r="B6203" s="128" t="n">
        <v>43966</v>
      </c>
      <c r="C6203" s="94">
        <f>TEXT(B6203,"aaa")</f>
        <v/>
      </c>
      <c r="D6203" s="94" t="n"/>
      <c r="E6203" s="94" t="inlineStr">
        <is>
          <t>클렌징폼</t>
        </is>
      </c>
      <c r="F6203" s="94" t="inlineStr">
        <is>
          <t>카페24</t>
        </is>
      </c>
      <c r="G6203" s="94" t="inlineStr">
        <is>
          <t>클렌징폼 120ml 3set</t>
        </is>
      </c>
      <c r="H6203" s="7" t="n">
        <v>190801</v>
      </c>
      <c r="I6203" s="7" t="n">
        <v>190801</v>
      </c>
      <c r="J6203" s="94" t="n"/>
      <c r="K6203" s="6" t="n">
        <v>2</v>
      </c>
      <c r="L6203" s="92" t="n">
        <v>190801</v>
      </c>
      <c r="M6203" s="94">
        <f>VLOOKUP($Q6203,매칭테이블!$F:$I,2,0)*K6203</f>
        <v/>
      </c>
      <c r="N6203" s="94">
        <f>M6203-M6203*VLOOKUP($Q6203,매칭테이블!$F:$I,3,0)</f>
        <v/>
      </c>
      <c r="O6203" s="94">
        <f>VLOOKUP($Q6203,매칭테이블!$F:$I,4,0)*K6203</f>
        <v/>
      </c>
      <c r="P6203" s="148">
        <f>M6203/1.1</f>
        <v/>
      </c>
      <c r="Q6203" s="94">
        <f>F6203&amp;E6203&amp;G6203&amp;L6203</f>
        <v/>
      </c>
    </row>
    <row r="6204">
      <c r="A6204" s="94" t="n"/>
      <c r="B6204" s="128" t="n">
        <v>43967</v>
      </c>
      <c r="C6204" s="94">
        <f>TEXT(B6204,"aaa")</f>
        <v/>
      </c>
      <c r="D6204" s="94" t="n"/>
      <c r="E6204" s="94" t="inlineStr">
        <is>
          <t>토너</t>
        </is>
      </c>
      <c r="F6204" s="5" t="inlineStr">
        <is>
          <t>스타일쉐어</t>
        </is>
      </c>
      <c r="G6204" s="94" t="inlineStr">
        <is>
          <t>250ml</t>
        </is>
      </c>
      <c r="H6204" s="7" t="n">
        <v>190801</v>
      </c>
      <c r="I6204" s="7" t="n">
        <v>190801</v>
      </c>
      <c r="J6204" s="94" t="n"/>
      <c r="K6204" s="6" t="n">
        <v>2</v>
      </c>
      <c r="L6204" s="7" t="n">
        <v>190801</v>
      </c>
      <c r="M6204" s="94">
        <f>VLOOKUP($Q6204,매칭테이블!$F:$I,2,0)*K6204</f>
        <v/>
      </c>
      <c r="N6204" s="94">
        <f>M6204-M6204*VLOOKUP($Q6204,매칭테이블!$F:$I,3,0)</f>
        <v/>
      </c>
      <c r="O6204" s="94">
        <f>VLOOKUP($Q6204,매칭테이블!$F:$I,4,0)*K6204</f>
        <v/>
      </c>
      <c r="P6204" s="148">
        <f>M6204/1.1</f>
        <v/>
      </c>
      <c r="Q6204" s="94">
        <f>F6204&amp;E6204&amp;G6204&amp;L6204</f>
        <v/>
      </c>
    </row>
    <row r="6205">
      <c r="A6205" s="94" t="n"/>
      <c r="B6205" s="128" t="n">
        <v>43967</v>
      </c>
      <c r="C6205" s="94">
        <f>TEXT(B6205,"aaa")</f>
        <v/>
      </c>
      <c r="D6205" s="94" t="n"/>
      <c r="E6205" s="94" t="inlineStr">
        <is>
          <t>어성초진정패키지</t>
        </is>
      </c>
      <c r="F6205" s="94" t="inlineStr">
        <is>
          <t>카페24</t>
        </is>
      </c>
      <c r="G6205" s="94" t="inlineStr">
        <is>
          <t>어성초 진정패키지세트</t>
        </is>
      </c>
      <c r="H6205" s="7" t="n">
        <v>190801</v>
      </c>
      <c r="I6205" s="7" t="n">
        <v>190801</v>
      </c>
      <c r="J6205" s="94" t="n"/>
      <c r="K6205" s="6" t="n">
        <v>7</v>
      </c>
      <c r="L6205" s="94" t="n">
        <v>190801</v>
      </c>
      <c r="M6205" s="94">
        <f>VLOOKUP($Q6205,매칭테이블!$F:$I,2,0)*K6205</f>
        <v/>
      </c>
      <c r="N6205" s="94">
        <f>M6205-M6205*VLOOKUP($Q6205,매칭테이블!$F:$I,3,0)</f>
        <v/>
      </c>
      <c r="O6205" s="94">
        <f>VLOOKUP($Q6205,매칭테이블!$F:$I,4,0)*K6205</f>
        <v/>
      </c>
      <c r="P6205" s="148">
        <f>M6205/1.1</f>
        <v/>
      </c>
      <c r="Q6205" s="94">
        <f>F6205&amp;E6205&amp;G6205&amp;L6205</f>
        <v/>
      </c>
    </row>
    <row r="6206">
      <c r="A6206" s="94" t="n"/>
      <c r="B6206" s="128" t="n">
        <v>43967</v>
      </c>
      <c r="C6206" s="94">
        <f>TEXT(B6206,"aaa")</f>
        <v/>
      </c>
      <c r="D6206" s="94" t="n"/>
      <c r="E6206" s="94" t="inlineStr">
        <is>
          <t>머드크림마스크</t>
        </is>
      </c>
      <c r="F6206" s="94" t="inlineStr">
        <is>
          <t>카페24</t>
        </is>
      </c>
      <c r="G6206" s="94" t="inlineStr">
        <is>
          <t>머드크림마스크 100ml</t>
        </is>
      </c>
      <c r="H6206" s="7" t="n">
        <v>190801</v>
      </c>
      <c r="I6206" s="7" t="n">
        <v>190801</v>
      </c>
      <c r="J6206" s="94" t="n"/>
      <c r="K6206" s="6" t="n">
        <v>3</v>
      </c>
      <c r="L6206" s="94" t="n">
        <v>190801</v>
      </c>
      <c r="M6206" s="94">
        <f>VLOOKUP($Q6206,매칭테이블!$F:$I,2,0)*K6206</f>
        <v/>
      </c>
      <c r="N6206" s="94">
        <f>M6206-M6206*VLOOKUP($Q6206,매칭테이블!$F:$I,3,0)</f>
        <v/>
      </c>
      <c r="O6206" s="94">
        <f>VLOOKUP($Q6206,매칭테이블!$F:$I,4,0)*K6206</f>
        <v/>
      </c>
      <c r="P6206" s="148">
        <f>M6206/1.1</f>
        <v/>
      </c>
      <c r="Q6206" s="94">
        <f>F6206&amp;E6206&amp;G6206&amp;L6206</f>
        <v/>
      </c>
    </row>
    <row r="6207">
      <c r="A6207" s="94" t="n"/>
      <c r="B6207" s="128" t="n">
        <v>43967</v>
      </c>
      <c r="C6207" s="94">
        <f>TEXT(B6207,"aaa")</f>
        <v/>
      </c>
      <c r="D6207" s="94" t="n"/>
      <c r="E6207" s="94" t="inlineStr">
        <is>
          <t>머드크림마스크</t>
        </is>
      </c>
      <c r="F6207" s="94" t="inlineStr">
        <is>
          <t>카페24</t>
        </is>
      </c>
      <c r="G6207" s="94" t="inlineStr">
        <is>
          <t>머드크림마스크 100ml 2set</t>
        </is>
      </c>
      <c r="H6207" s="7" t="n">
        <v>190801</v>
      </c>
      <c r="I6207" s="7" t="n">
        <v>190801</v>
      </c>
      <c r="J6207" s="94" t="n"/>
      <c r="K6207" s="6" t="n">
        <v>1</v>
      </c>
      <c r="L6207" s="94" t="n">
        <v>190801</v>
      </c>
      <c r="M6207" s="94">
        <f>VLOOKUP($Q6207,매칭테이블!$F:$I,2,0)*K6207</f>
        <v/>
      </c>
      <c r="N6207" s="94">
        <f>M6207-M6207*VLOOKUP($Q6207,매칭테이블!$F:$I,3,0)</f>
        <v/>
      </c>
      <c r="O6207" s="94">
        <f>VLOOKUP($Q6207,매칭테이블!$F:$I,4,0)*K6207</f>
        <v/>
      </c>
      <c r="P6207" s="148">
        <f>M6207/1.1</f>
        <v/>
      </c>
      <c r="Q6207" s="94">
        <f>F6207&amp;E6207&amp;G6207&amp;L6207</f>
        <v/>
      </c>
    </row>
    <row r="6208">
      <c r="A6208" s="94" t="n"/>
      <c r="B6208" s="128" t="n">
        <v>43967</v>
      </c>
      <c r="C6208" s="94">
        <f>TEXT(B6208,"aaa")</f>
        <v/>
      </c>
      <c r="D6208" s="94" t="n"/>
      <c r="E6208" s="94" t="inlineStr">
        <is>
          <t>마스크팩</t>
        </is>
      </c>
      <c r="F6208" s="94" t="inlineStr">
        <is>
          <t>카페24</t>
        </is>
      </c>
      <c r="G6208" s="94" t="inlineStr">
        <is>
          <t>마스크팩 1매</t>
        </is>
      </c>
      <c r="H6208" s="7" t="n">
        <v>190801</v>
      </c>
      <c r="I6208" s="7" t="n">
        <v>190801</v>
      </c>
      <c r="J6208" s="94" t="n"/>
      <c r="K6208" s="6" t="n">
        <v>14</v>
      </c>
      <c r="L6208" s="94" t="n">
        <v>190801</v>
      </c>
      <c r="M6208" s="94">
        <f>VLOOKUP($Q6208,매칭테이블!$F:$I,2,0)*K6208</f>
        <v/>
      </c>
      <c r="N6208" s="94">
        <f>M6208-M6208*VLOOKUP($Q6208,매칭테이블!$F:$I,3,0)</f>
        <v/>
      </c>
      <c r="O6208" s="94">
        <f>VLOOKUP($Q6208,매칭테이블!$F:$I,4,0)*K6208</f>
        <v/>
      </c>
      <c r="P6208" s="148">
        <f>M6208/1.1</f>
        <v/>
      </c>
      <c r="Q6208" s="94">
        <f>F6208&amp;E6208&amp;G6208&amp;L6208</f>
        <v/>
      </c>
    </row>
    <row r="6209">
      <c r="A6209" s="94" t="n"/>
      <c r="B6209" s="128" t="n">
        <v>43967</v>
      </c>
      <c r="C6209" s="94">
        <f>TEXT(B6209,"aaa")</f>
        <v/>
      </c>
      <c r="D6209" s="94" t="n"/>
      <c r="E6209" s="94" t="inlineStr">
        <is>
          <t>마스크팩</t>
        </is>
      </c>
      <c r="F6209" s="94" t="inlineStr">
        <is>
          <t>카페24</t>
        </is>
      </c>
      <c r="G6209" s="94" t="inlineStr">
        <is>
          <t>마스크팩 10매</t>
        </is>
      </c>
      <c r="H6209" s="7" t="n">
        <v>190801</v>
      </c>
      <c r="I6209" s="7" t="n">
        <v>190801</v>
      </c>
      <c r="J6209" s="94" t="n"/>
      <c r="K6209" s="6" t="n">
        <v>3</v>
      </c>
      <c r="L6209" s="94" t="n">
        <v>190801</v>
      </c>
      <c r="M6209" s="94">
        <f>VLOOKUP($Q6209,매칭테이블!$F:$I,2,0)*K6209</f>
        <v/>
      </c>
      <c r="N6209" s="94">
        <f>M6209-M6209*VLOOKUP($Q6209,매칭테이블!$F:$I,3,0)</f>
        <v/>
      </c>
      <c r="O6209" s="94">
        <f>VLOOKUP($Q6209,매칭테이블!$F:$I,4,0)*K6209</f>
        <v/>
      </c>
      <c r="P6209" s="148">
        <f>M6209/1.1</f>
        <v/>
      </c>
      <c r="Q6209" s="94">
        <f>F6209&amp;E6209&amp;G6209&amp;L6209</f>
        <v/>
      </c>
    </row>
    <row r="6210">
      <c r="A6210" s="94" t="n"/>
      <c r="B6210" s="128" t="n">
        <v>43967</v>
      </c>
      <c r="C6210" s="94">
        <f>TEXT(B6210,"aaa")</f>
        <v/>
      </c>
      <c r="D6210" s="94" t="n"/>
      <c r="E6210" s="6" t="inlineStr">
        <is>
          <t>토너</t>
        </is>
      </c>
      <c r="F6210" s="5" t="inlineStr">
        <is>
          <t>카페24</t>
        </is>
      </c>
      <c r="G6210" s="5" t="inlineStr">
        <is>
          <t>250ml</t>
        </is>
      </c>
      <c r="H6210" s="7" t="n">
        <v>190801</v>
      </c>
      <c r="I6210" s="7" t="n">
        <v>190801</v>
      </c>
      <c r="J6210" s="94" t="n"/>
      <c r="K6210" s="6" t="n">
        <v>58</v>
      </c>
      <c r="L6210" s="7" t="n">
        <v>190801</v>
      </c>
      <c r="M6210" s="94">
        <f>VLOOKUP($Q6210,매칭테이블!$F:$I,2,0)*K6210</f>
        <v/>
      </c>
      <c r="N6210" s="94">
        <f>M6210-M6210*VLOOKUP($Q6210,매칭테이블!$F:$I,3,0)</f>
        <v/>
      </c>
      <c r="O6210" s="94">
        <f>VLOOKUP($Q6210,매칭테이블!$F:$I,4,0)*K6210</f>
        <v/>
      </c>
      <c r="P6210" s="148">
        <f>M6210/1.1</f>
        <v/>
      </c>
      <c r="Q6210" s="94">
        <f>F6210&amp;E6210&amp;G6210&amp;L6210</f>
        <v/>
      </c>
    </row>
    <row r="6211">
      <c r="A6211" s="94" t="n"/>
      <c r="B6211" s="128" t="n">
        <v>43967</v>
      </c>
      <c r="C6211" s="94">
        <f>TEXT(B6211,"aaa")</f>
        <v/>
      </c>
      <c r="D6211" s="94" t="n"/>
      <c r="E6211" s="6" t="inlineStr">
        <is>
          <t>토너</t>
        </is>
      </c>
      <c r="F6211" s="5" t="inlineStr">
        <is>
          <t>카페24</t>
        </is>
      </c>
      <c r="G6211" s="5" t="inlineStr">
        <is>
          <t>250ml 2set</t>
        </is>
      </c>
      <c r="H6211" s="7" t="n">
        <v>190801</v>
      </c>
      <c r="I6211" s="7" t="n">
        <v>190801</v>
      </c>
      <c r="J6211" s="94" t="n"/>
      <c r="K6211" s="6" t="n">
        <v>38</v>
      </c>
      <c r="L6211" s="7" t="n">
        <v>190801</v>
      </c>
      <c r="M6211" s="94">
        <f>VLOOKUP($Q6211,매칭테이블!$F:$I,2,0)*K6211</f>
        <v/>
      </c>
      <c r="N6211" s="94">
        <f>M6211-M6211*VLOOKUP($Q6211,매칭테이블!$F:$I,3,0)</f>
        <v/>
      </c>
      <c r="O6211" s="94">
        <f>VLOOKUP($Q6211,매칭테이블!$F:$I,4,0)*K6211</f>
        <v/>
      </c>
      <c r="P6211" s="148">
        <f>M6211/1.1</f>
        <v/>
      </c>
      <c r="Q6211" s="94">
        <f>F6211&amp;E6211&amp;G6211&amp;L6211</f>
        <v/>
      </c>
    </row>
    <row r="6212">
      <c r="A6212" s="94" t="n"/>
      <c r="B6212" s="128" t="n">
        <v>43967</v>
      </c>
      <c r="C6212" s="94">
        <f>TEXT(B6212,"aaa")</f>
        <v/>
      </c>
      <c r="D6212" s="94" t="n"/>
      <c r="E6212" s="6" t="inlineStr">
        <is>
          <t>토너</t>
        </is>
      </c>
      <c r="F6212" s="5" t="inlineStr">
        <is>
          <t>카페24</t>
        </is>
      </c>
      <c r="G6212" s="5" t="inlineStr">
        <is>
          <t>500ml</t>
        </is>
      </c>
      <c r="H6212" s="7" t="n">
        <v>190801</v>
      </c>
      <c r="I6212" s="7" t="n">
        <v>190801</v>
      </c>
      <c r="J6212" s="94" t="n"/>
      <c r="K6212" s="6" t="n">
        <v>29</v>
      </c>
      <c r="L6212" s="7" t="n">
        <v>190801</v>
      </c>
      <c r="M6212" s="94">
        <f>VLOOKUP($Q6212,매칭테이블!$F:$I,2,0)*K6212</f>
        <v/>
      </c>
      <c r="N6212" s="94">
        <f>M6212-M6212*VLOOKUP($Q6212,매칭테이블!$F:$I,3,0)</f>
        <v/>
      </c>
      <c r="O6212" s="94">
        <f>VLOOKUP($Q6212,매칭테이블!$F:$I,4,0)*K6212</f>
        <v/>
      </c>
      <c r="P6212" s="148">
        <f>M6212/1.1</f>
        <v/>
      </c>
      <c r="Q6212" s="94">
        <f>F6212&amp;E6212&amp;G6212&amp;L6212</f>
        <v/>
      </c>
    </row>
    <row r="6213">
      <c r="A6213" s="94" t="n"/>
      <c r="B6213" s="128" t="n">
        <v>43967</v>
      </c>
      <c r="C6213" s="94">
        <f>TEXT(B6213,"aaa")</f>
        <v/>
      </c>
      <c r="D6213" s="94" t="n"/>
      <c r="E6213" s="6" t="inlineStr">
        <is>
          <t>토너</t>
        </is>
      </c>
      <c r="F6213" s="5" t="inlineStr">
        <is>
          <t>카페24</t>
        </is>
      </c>
      <c r="G6213" s="94" t="inlineStr">
        <is>
          <t>스킨팩 화장솜 60P</t>
        </is>
      </c>
      <c r="H6213" s="7" t="n">
        <v>190801</v>
      </c>
      <c r="I6213" s="7" t="n">
        <v>190801</v>
      </c>
      <c r="J6213" s="94" t="n"/>
      <c r="K6213" s="6" t="n">
        <v>42</v>
      </c>
      <c r="L6213" s="7" t="n">
        <v>190801</v>
      </c>
      <c r="M6213" s="94">
        <f>VLOOKUP($Q6213,매칭테이블!$F:$I,2,0)*K6213</f>
        <v/>
      </c>
      <c r="N6213" s="94">
        <f>M6213-M6213*VLOOKUP($Q6213,매칭테이블!$F:$I,3,0)</f>
        <v/>
      </c>
      <c r="O6213" s="94">
        <f>VLOOKUP($Q6213,매칭테이블!$F:$I,4,0)*K6213</f>
        <v/>
      </c>
      <c r="P6213" s="148">
        <f>M6213/1.1</f>
        <v/>
      </c>
      <c r="Q6213" s="94">
        <f>F6213&amp;E6213&amp;G6213&amp;L6213</f>
        <v/>
      </c>
    </row>
    <row r="6214">
      <c r="A6214" s="94" t="n"/>
      <c r="B6214" s="128" t="n">
        <v>43967</v>
      </c>
      <c r="C6214" s="94">
        <f>TEXT(B6214,"aaa")</f>
        <v/>
      </c>
      <c r="D6214" s="94" t="n"/>
      <c r="E6214" s="94" t="inlineStr">
        <is>
          <t>앰플</t>
        </is>
      </c>
      <c r="F6214" s="5" t="inlineStr">
        <is>
          <t>카페24</t>
        </is>
      </c>
      <c r="G6214" s="94" t="inlineStr">
        <is>
          <t>앰플 30ml</t>
        </is>
      </c>
      <c r="H6214" s="7" t="n">
        <v>190801</v>
      </c>
      <c r="I6214" s="7" t="n">
        <v>190801</v>
      </c>
      <c r="J6214" s="94" t="n"/>
      <c r="K6214" s="6" t="n">
        <v>17</v>
      </c>
      <c r="L6214" s="94" t="n">
        <v>190801</v>
      </c>
      <c r="M6214" s="94">
        <f>VLOOKUP($Q6214,매칭테이블!$F:$I,2,0)*K6214</f>
        <v/>
      </c>
      <c r="N6214" s="94">
        <f>M6214-M6214*VLOOKUP($Q6214,매칭테이블!$F:$I,3,0)</f>
        <v/>
      </c>
      <c r="O6214" s="94">
        <f>VLOOKUP($Q6214,매칭테이블!$F:$I,4,0)*K6214</f>
        <v/>
      </c>
      <c r="P6214" s="148">
        <f>M6214/1.1</f>
        <v/>
      </c>
      <c r="Q6214" s="94">
        <f>F6214&amp;E6214&amp;G6214&amp;L6214</f>
        <v/>
      </c>
    </row>
    <row r="6215">
      <c r="A6215" s="94" t="n"/>
      <c r="B6215" s="128" t="n">
        <v>43967</v>
      </c>
      <c r="C6215" s="94">
        <f>TEXT(B6215,"aaa")</f>
        <v/>
      </c>
      <c r="D6215" s="94" t="n"/>
      <c r="E6215" s="94" t="inlineStr">
        <is>
          <t>수딩크림</t>
        </is>
      </c>
      <c r="F6215" s="5" t="inlineStr">
        <is>
          <t>카페24</t>
        </is>
      </c>
      <c r="G6215" s="94" t="inlineStr">
        <is>
          <t>수딩크림 100ml</t>
        </is>
      </c>
      <c r="H6215" s="7" t="n">
        <v>190801</v>
      </c>
      <c r="I6215" s="7" t="n">
        <v>190801</v>
      </c>
      <c r="J6215" s="94" t="n"/>
      <c r="K6215" s="6" t="n">
        <v>1</v>
      </c>
      <c r="L6215" s="94" t="n">
        <v>190801</v>
      </c>
      <c r="M6215" s="94">
        <f>VLOOKUP($Q6215,매칭테이블!$F:$I,2,0)*K6215</f>
        <v/>
      </c>
      <c r="N6215" s="94">
        <f>M6215-M6215*VLOOKUP($Q6215,매칭테이블!$F:$I,3,0)</f>
        <v/>
      </c>
      <c r="O6215" s="94">
        <f>VLOOKUP($Q6215,매칭테이블!$F:$I,4,0)*K6215</f>
        <v/>
      </c>
      <c r="P6215" s="148">
        <f>M6215/1.1</f>
        <v/>
      </c>
      <c r="Q6215" s="94">
        <f>F6215&amp;E6215&amp;G6215&amp;L6215</f>
        <v/>
      </c>
    </row>
    <row r="6216">
      <c r="A6216" s="94" t="n"/>
      <c r="B6216" s="128" t="n">
        <v>43967</v>
      </c>
      <c r="C6216" s="94">
        <f>TEXT(B6216,"aaa")</f>
        <v/>
      </c>
      <c r="D6216" s="94" t="n"/>
      <c r="E6216" s="94" t="inlineStr">
        <is>
          <t>클렌징폼</t>
        </is>
      </c>
      <c r="F6216" s="94" t="inlineStr">
        <is>
          <t>카페24</t>
        </is>
      </c>
      <c r="G6216" s="94" t="inlineStr">
        <is>
          <t>클렌징폼 120ml</t>
        </is>
      </c>
      <c r="H6216" s="7" t="n">
        <v>190801</v>
      </c>
      <c r="I6216" s="7" t="n">
        <v>190801</v>
      </c>
      <c r="J6216" s="94" t="n"/>
      <c r="K6216" s="6" t="n">
        <v>6</v>
      </c>
      <c r="L6216" s="92" t="n">
        <v>190801</v>
      </c>
      <c r="M6216" s="94">
        <f>VLOOKUP($Q6216,매칭테이블!$F:$I,2,0)*K6216</f>
        <v/>
      </c>
      <c r="N6216" s="94">
        <f>M6216-M6216*VLOOKUP($Q6216,매칭테이블!$F:$I,3,0)</f>
        <v/>
      </c>
      <c r="O6216" s="94">
        <f>VLOOKUP($Q6216,매칭테이블!$F:$I,4,0)*K6216</f>
        <v/>
      </c>
      <c r="P6216" s="148">
        <f>M6216/1.1</f>
        <v/>
      </c>
      <c r="Q6216" s="94">
        <f>F6216&amp;E6216&amp;G6216&amp;L6216</f>
        <v/>
      </c>
    </row>
    <row r="6217">
      <c r="A6217" s="94" t="n"/>
      <c r="B6217" s="128" t="n">
        <v>43967</v>
      </c>
      <c r="C6217" s="94">
        <f>TEXT(B6217,"aaa")</f>
        <v/>
      </c>
      <c r="D6217" s="94" t="n"/>
      <c r="E6217" s="94" t="inlineStr">
        <is>
          <t>클렌징폼</t>
        </is>
      </c>
      <c r="F6217" s="94" t="inlineStr">
        <is>
          <t>카페24</t>
        </is>
      </c>
      <c r="G6217" s="94" t="inlineStr">
        <is>
          <t>클렌징폼 120ml 2set</t>
        </is>
      </c>
      <c r="H6217" s="7" t="n">
        <v>190801</v>
      </c>
      <c r="I6217" s="7" t="n">
        <v>190801</v>
      </c>
      <c r="J6217" s="94" t="n"/>
      <c r="K6217" s="6" t="n">
        <v>3</v>
      </c>
      <c r="L6217" s="92" t="n">
        <v>190801</v>
      </c>
      <c r="M6217" s="94">
        <f>VLOOKUP($Q6217,매칭테이블!$F:$I,2,0)*K6217</f>
        <v/>
      </c>
      <c r="N6217" s="94">
        <f>M6217-M6217*VLOOKUP($Q6217,매칭테이블!$F:$I,3,0)</f>
        <v/>
      </c>
      <c r="O6217" s="94">
        <f>VLOOKUP($Q6217,매칭테이블!$F:$I,4,0)*K6217</f>
        <v/>
      </c>
      <c r="P6217" s="148">
        <f>M6217/1.1</f>
        <v/>
      </c>
      <c r="Q6217" s="94">
        <f>F6217&amp;E6217&amp;G6217&amp;L6217</f>
        <v/>
      </c>
    </row>
    <row r="6218">
      <c r="A6218" s="94" t="n"/>
      <c r="B6218" s="128" t="n">
        <v>43968</v>
      </c>
      <c r="C6218" s="94">
        <f>TEXT(B6218,"aaa")</f>
        <v/>
      </c>
      <c r="D6218" s="94" t="n"/>
      <c r="E6218" s="94" t="inlineStr">
        <is>
          <t>토너</t>
        </is>
      </c>
      <c r="F6218" s="5" t="inlineStr">
        <is>
          <t>스타일쉐어</t>
        </is>
      </c>
      <c r="G6218" s="94" t="inlineStr">
        <is>
          <t>250ml</t>
        </is>
      </c>
      <c r="H6218" s="7" t="n">
        <v>190801</v>
      </c>
      <c r="I6218" s="7" t="n">
        <v>190801</v>
      </c>
      <c r="J6218" s="94" t="n"/>
      <c r="K6218" s="6" t="n">
        <v>2</v>
      </c>
      <c r="L6218" s="7" t="n">
        <v>190801</v>
      </c>
      <c r="M6218" s="94">
        <f>VLOOKUP($Q6218,매칭테이블!$F:$I,2,0)*K6218</f>
        <v/>
      </c>
      <c r="N6218" s="94">
        <f>M6218-M6218*VLOOKUP($Q6218,매칭테이블!$F:$I,3,0)</f>
        <v/>
      </c>
      <c r="O6218" s="94">
        <f>VLOOKUP($Q6218,매칭테이블!$F:$I,4,0)*K6218</f>
        <v/>
      </c>
      <c r="P6218" s="148">
        <f>M6218/1.1</f>
        <v/>
      </c>
      <c r="Q6218" s="94">
        <f>F6218&amp;E6218&amp;G6218&amp;L6218</f>
        <v/>
      </c>
    </row>
    <row r="6219">
      <c r="A6219" s="94" t="n"/>
      <c r="B6219" s="128" t="n">
        <v>43968</v>
      </c>
      <c r="C6219" s="94">
        <f>TEXT(B6219,"aaa")</f>
        <v/>
      </c>
      <c r="D6219" s="94" t="n"/>
      <c r="E6219" s="94" t="inlineStr">
        <is>
          <t>어성초진정패키지</t>
        </is>
      </c>
      <c r="F6219" s="94" t="inlineStr">
        <is>
          <t>카페24</t>
        </is>
      </c>
      <c r="G6219" s="94" t="inlineStr">
        <is>
          <t>어성초 진정패키지세트</t>
        </is>
      </c>
      <c r="H6219" s="7" t="n">
        <v>190801</v>
      </c>
      <c r="I6219" s="7" t="n">
        <v>190801</v>
      </c>
      <c r="J6219" s="94" t="n"/>
      <c r="K6219" s="6" t="n">
        <v>4</v>
      </c>
      <c r="L6219" s="94" t="n">
        <v>190801</v>
      </c>
      <c r="M6219" s="94">
        <f>VLOOKUP($Q6219,매칭테이블!$F:$I,2,0)*K6219</f>
        <v/>
      </c>
      <c r="N6219" s="94">
        <f>M6219-M6219*VLOOKUP($Q6219,매칭테이블!$F:$I,3,0)</f>
        <v/>
      </c>
      <c r="O6219" s="94">
        <f>VLOOKUP($Q6219,매칭테이블!$F:$I,4,0)*K6219</f>
        <v/>
      </c>
      <c r="P6219" s="148">
        <f>M6219/1.1</f>
        <v/>
      </c>
      <c r="Q6219" s="94">
        <f>F6219&amp;E6219&amp;G6219&amp;L6219</f>
        <v/>
      </c>
    </row>
    <row r="6220">
      <c r="A6220" s="94" t="n"/>
      <c r="B6220" s="128" t="n">
        <v>43968</v>
      </c>
      <c r="C6220" s="94">
        <f>TEXT(B6220,"aaa")</f>
        <v/>
      </c>
      <c r="D6220" s="94" t="n"/>
      <c r="E6220" s="94" t="inlineStr">
        <is>
          <t>머드크림마스크</t>
        </is>
      </c>
      <c r="F6220" s="94" t="inlineStr">
        <is>
          <t>카페24</t>
        </is>
      </c>
      <c r="G6220" s="94" t="inlineStr">
        <is>
          <t>머드크림마스크 100ml</t>
        </is>
      </c>
      <c r="H6220" s="7" t="n">
        <v>190801</v>
      </c>
      <c r="I6220" s="7" t="n">
        <v>190801</v>
      </c>
      <c r="J6220" s="94" t="n"/>
      <c r="K6220" s="6" t="n">
        <v>3</v>
      </c>
      <c r="L6220" s="94" t="n">
        <v>190801</v>
      </c>
      <c r="M6220" s="94">
        <f>VLOOKUP($Q6220,매칭테이블!$F:$I,2,0)*K6220</f>
        <v/>
      </c>
      <c r="N6220" s="94">
        <f>M6220-M6220*VLOOKUP($Q6220,매칭테이블!$F:$I,3,0)</f>
        <v/>
      </c>
      <c r="O6220" s="94">
        <f>VLOOKUP($Q6220,매칭테이블!$F:$I,4,0)*K6220</f>
        <v/>
      </c>
      <c r="P6220" s="148">
        <f>M6220/1.1</f>
        <v/>
      </c>
      <c r="Q6220" s="94">
        <f>F6220&amp;E6220&amp;G6220&amp;L6220</f>
        <v/>
      </c>
    </row>
    <row r="6221">
      <c r="A6221" s="94" t="n"/>
      <c r="B6221" s="128" t="n">
        <v>43968</v>
      </c>
      <c r="C6221" s="94">
        <f>TEXT(B6221,"aaa")</f>
        <v/>
      </c>
      <c r="D6221" s="94" t="n"/>
      <c r="E6221" s="94" t="inlineStr">
        <is>
          <t>마스크팩</t>
        </is>
      </c>
      <c r="F6221" s="94" t="inlineStr">
        <is>
          <t>카페24</t>
        </is>
      </c>
      <c r="G6221" s="94" t="inlineStr">
        <is>
          <t>마스크팩 1매</t>
        </is>
      </c>
      <c r="H6221" s="7" t="n">
        <v>190801</v>
      </c>
      <c r="I6221" s="7" t="n">
        <v>190801</v>
      </c>
      <c r="J6221" s="94" t="n"/>
      <c r="K6221" s="6" t="n">
        <v>3</v>
      </c>
      <c r="L6221" s="94" t="n">
        <v>190801</v>
      </c>
      <c r="M6221" s="94">
        <f>VLOOKUP($Q6221,매칭테이블!$F:$I,2,0)*K6221</f>
        <v/>
      </c>
      <c r="N6221" s="94">
        <f>M6221-M6221*VLOOKUP($Q6221,매칭테이블!$F:$I,3,0)</f>
        <v/>
      </c>
      <c r="O6221" s="94">
        <f>VLOOKUP($Q6221,매칭테이블!$F:$I,4,0)*K6221</f>
        <v/>
      </c>
      <c r="P6221" s="148">
        <f>M6221/1.1</f>
        <v/>
      </c>
      <c r="Q6221" s="94">
        <f>F6221&amp;E6221&amp;G6221&amp;L6221</f>
        <v/>
      </c>
    </row>
    <row r="6222">
      <c r="A6222" s="94" t="n"/>
      <c r="B6222" s="128" t="n">
        <v>43968</v>
      </c>
      <c r="C6222" s="94">
        <f>TEXT(B6222,"aaa")</f>
        <v/>
      </c>
      <c r="D6222" s="94" t="n"/>
      <c r="E6222" s="94" t="inlineStr">
        <is>
          <t>마스크팩</t>
        </is>
      </c>
      <c r="F6222" s="94" t="inlineStr">
        <is>
          <t>카페24</t>
        </is>
      </c>
      <c r="G6222" s="94" t="inlineStr">
        <is>
          <t>마스크팩 10매</t>
        </is>
      </c>
      <c r="H6222" s="7" t="n">
        <v>190801</v>
      </c>
      <c r="I6222" s="7" t="n">
        <v>190801</v>
      </c>
      <c r="J6222" s="94" t="n"/>
      <c r="K6222" s="6" t="n">
        <v>8</v>
      </c>
      <c r="L6222" s="94" t="n">
        <v>190801</v>
      </c>
      <c r="M6222" s="94">
        <f>VLOOKUP($Q6222,매칭테이블!$F:$I,2,0)*K6222</f>
        <v/>
      </c>
      <c r="N6222" s="94">
        <f>M6222-M6222*VLOOKUP($Q6222,매칭테이블!$F:$I,3,0)</f>
        <v/>
      </c>
      <c r="O6222" s="94">
        <f>VLOOKUP($Q6222,매칭테이블!$F:$I,4,0)*K6222</f>
        <v/>
      </c>
      <c r="P6222" s="148">
        <f>M6222/1.1</f>
        <v/>
      </c>
      <c r="Q6222" s="94">
        <f>F6222&amp;E6222&amp;G6222&amp;L6222</f>
        <v/>
      </c>
    </row>
    <row r="6223">
      <c r="A6223" s="94" t="n"/>
      <c r="B6223" s="128" t="n">
        <v>43968</v>
      </c>
      <c r="C6223" s="94">
        <f>TEXT(B6223,"aaa")</f>
        <v/>
      </c>
      <c r="D6223" s="94" t="n"/>
      <c r="E6223" s="6" t="inlineStr">
        <is>
          <t>토너</t>
        </is>
      </c>
      <c r="F6223" s="5" t="inlineStr">
        <is>
          <t>카페24</t>
        </is>
      </c>
      <c r="G6223" s="5" t="inlineStr">
        <is>
          <t>250ml</t>
        </is>
      </c>
      <c r="H6223" s="7" t="n">
        <v>190801</v>
      </c>
      <c r="I6223" s="7" t="n">
        <v>190801</v>
      </c>
      <c r="J6223" s="94" t="n"/>
      <c r="K6223" s="6" t="n">
        <v>5</v>
      </c>
      <c r="L6223" s="7" t="n">
        <v>190801</v>
      </c>
      <c r="M6223" s="94">
        <f>VLOOKUP($Q6223,매칭테이블!$F:$I,2,0)*K6223</f>
        <v/>
      </c>
      <c r="N6223" s="94">
        <f>M6223-M6223*VLOOKUP($Q6223,매칭테이블!$F:$I,3,0)</f>
        <v/>
      </c>
      <c r="O6223" s="94">
        <f>VLOOKUP($Q6223,매칭테이블!$F:$I,4,0)*K6223</f>
        <v/>
      </c>
      <c r="P6223" s="148">
        <f>M6223/1.1</f>
        <v/>
      </c>
      <c r="Q6223" s="94">
        <f>F6223&amp;E6223&amp;G6223&amp;L6223</f>
        <v/>
      </c>
    </row>
    <row r="6224">
      <c r="A6224" s="94" t="n"/>
      <c r="B6224" s="128" t="n">
        <v>43968</v>
      </c>
      <c r="C6224" s="94">
        <f>TEXT(B6224,"aaa")</f>
        <v/>
      </c>
      <c r="D6224" s="94" t="n"/>
      <c r="E6224" s="6" t="inlineStr">
        <is>
          <t>토너</t>
        </is>
      </c>
      <c r="F6224" s="5" t="inlineStr">
        <is>
          <t>카페24</t>
        </is>
      </c>
      <c r="G6224" s="5" t="inlineStr">
        <is>
          <t>250ml 2set</t>
        </is>
      </c>
      <c r="H6224" s="7" t="n">
        <v>190801</v>
      </c>
      <c r="I6224" s="7" t="n">
        <v>190801</v>
      </c>
      <c r="J6224" s="94" t="n"/>
      <c r="K6224" s="6" t="n">
        <v>69</v>
      </c>
      <c r="L6224" s="7" t="n">
        <v>190801</v>
      </c>
      <c r="M6224" s="94">
        <f>VLOOKUP($Q6224,매칭테이블!$F:$I,2,0)*K6224</f>
        <v/>
      </c>
      <c r="N6224" s="94">
        <f>M6224-M6224*VLOOKUP($Q6224,매칭테이블!$F:$I,3,0)</f>
        <v/>
      </c>
      <c r="O6224" s="94">
        <f>VLOOKUP($Q6224,매칭테이블!$F:$I,4,0)*K6224</f>
        <v/>
      </c>
      <c r="P6224" s="148">
        <f>M6224/1.1</f>
        <v/>
      </c>
      <c r="Q6224" s="94">
        <f>F6224&amp;E6224&amp;G6224&amp;L6224</f>
        <v/>
      </c>
    </row>
    <row r="6225">
      <c r="A6225" s="94" t="n"/>
      <c r="B6225" s="128" t="n">
        <v>43968</v>
      </c>
      <c r="C6225" s="94">
        <f>TEXT(B6225,"aaa")</f>
        <v/>
      </c>
      <c r="D6225" s="94" t="n"/>
      <c r="E6225" s="6" t="inlineStr">
        <is>
          <t>토너</t>
        </is>
      </c>
      <c r="F6225" s="5" t="inlineStr">
        <is>
          <t>카페24</t>
        </is>
      </c>
      <c r="G6225" s="5" t="inlineStr">
        <is>
          <t>500ml</t>
        </is>
      </c>
      <c r="H6225" s="7" t="n">
        <v>190801</v>
      </c>
      <c r="I6225" s="7" t="n">
        <v>190801</v>
      </c>
      <c r="J6225" s="94" t="n"/>
      <c r="K6225" s="6" t="n">
        <v>43</v>
      </c>
      <c r="L6225" s="7" t="n">
        <v>190801</v>
      </c>
      <c r="M6225" s="94">
        <f>VLOOKUP($Q6225,매칭테이블!$F:$I,2,0)*K6225</f>
        <v/>
      </c>
      <c r="N6225" s="94">
        <f>M6225-M6225*VLOOKUP($Q6225,매칭테이블!$F:$I,3,0)</f>
        <v/>
      </c>
      <c r="O6225" s="94">
        <f>VLOOKUP($Q6225,매칭테이블!$F:$I,4,0)*K6225</f>
        <v/>
      </c>
      <c r="P6225" s="148">
        <f>M6225/1.1</f>
        <v/>
      </c>
      <c r="Q6225" s="94">
        <f>F6225&amp;E6225&amp;G6225&amp;L6225</f>
        <v/>
      </c>
    </row>
    <row r="6226">
      <c r="A6226" s="94" t="n"/>
      <c r="B6226" s="128" t="n">
        <v>43968</v>
      </c>
      <c r="C6226" s="94">
        <f>TEXT(B6226,"aaa")</f>
        <v/>
      </c>
      <c r="D6226" s="94" t="n"/>
      <c r="E6226" s="6" t="inlineStr">
        <is>
          <t>토너</t>
        </is>
      </c>
      <c r="F6226" s="5" t="inlineStr">
        <is>
          <t>카페24</t>
        </is>
      </c>
      <c r="G6226" s="94" t="inlineStr">
        <is>
          <t>스킨팩 화장솜 60P</t>
        </is>
      </c>
      <c r="H6226" s="7" t="n">
        <v>190801</v>
      </c>
      <c r="I6226" s="7" t="n">
        <v>190801</v>
      </c>
      <c r="J6226" s="94" t="n"/>
      <c r="K6226" s="6" t="n">
        <v>65</v>
      </c>
      <c r="L6226" s="7" t="n">
        <v>190801</v>
      </c>
      <c r="M6226" s="94">
        <f>VLOOKUP($Q6226,매칭테이블!$F:$I,2,0)*K6226</f>
        <v/>
      </c>
      <c r="N6226" s="94">
        <f>M6226-M6226*VLOOKUP($Q6226,매칭테이블!$F:$I,3,0)</f>
        <v/>
      </c>
      <c r="O6226" s="94">
        <f>VLOOKUP($Q6226,매칭테이블!$F:$I,4,0)*K6226</f>
        <v/>
      </c>
      <c r="P6226" s="148">
        <f>M6226/1.1</f>
        <v/>
      </c>
      <c r="Q6226" s="94">
        <f>F6226&amp;E6226&amp;G6226&amp;L6226</f>
        <v/>
      </c>
    </row>
    <row r="6227">
      <c r="A6227" s="94" t="n"/>
      <c r="B6227" s="128" t="n">
        <v>43968</v>
      </c>
      <c r="C6227" s="94">
        <f>TEXT(B6227,"aaa")</f>
        <v/>
      </c>
      <c r="D6227" s="94" t="n"/>
      <c r="E6227" s="94" t="inlineStr">
        <is>
          <t>앰플</t>
        </is>
      </c>
      <c r="F6227" s="5" t="inlineStr">
        <is>
          <t>카페24</t>
        </is>
      </c>
      <c r="G6227" s="94" t="inlineStr">
        <is>
          <t>앰플 30ml</t>
        </is>
      </c>
      <c r="H6227" s="7" t="n">
        <v>190801</v>
      </c>
      <c r="I6227" s="7" t="n">
        <v>190801</v>
      </c>
      <c r="J6227" s="94" t="n"/>
      <c r="K6227" s="6" t="n">
        <v>15</v>
      </c>
      <c r="L6227" s="94" t="n">
        <v>190801</v>
      </c>
      <c r="M6227" s="94">
        <f>VLOOKUP($Q6227,매칭테이블!$F:$I,2,0)*K6227</f>
        <v/>
      </c>
      <c r="N6227" s="94">
        <f>M6227-M6227*VLOOKUP($Q6227,매칭테이블!$F:$I,3,0)</f>
        <v/>
      </c>
      <c r="O6227" s="94">
        <f>VLOOKUP($Q6227,매칭테이블!$F:$I,4,0)*K6227</f>
        <v/>
      </c>
      <c r="P6227" s="148">
        <f>M6227/1.1</f>
        <v/>
      </c>
      <c r="Q6227" s="94">
        <f>F6227&amp;E6227&amp;G6227&amp;L6227</f>
        <v/>
      </c>
    </row>
    <row r="6228">
      <c r="A6228" s="94" t="n"/>
      <c r="B6228" s="128" t="n">
        <v>43968</v>
      </c>
      <c r="C6228" s="94">
        <f>TEXT(B6228,"aaa")</f>
        <v/>
      </c>
      <c r="D6228" s="94" t="n"/>
      <c r="E6228" s="94" t="inlineStr">
        <is>
          <t>수딩크림</t>
        </is>
      </c>
      <c r="F6228" s="5" t="inlineStr">
        <is>
          <t>카페24</t>
        </is>
      </c>
      <c r="G6228" s="94" t="inlineStr">
        <is>
          <t>수딩크림 100ml</t>
        </is>
      </c>
      <c r="H6228" s="7" t="n">
        <v>190801</v>
      </c>
      <c r="I6228" s="7" t="n">
        <v>190801</v>
      </c>
      <c r="J6228" s="94" t="n"/>
      <c r="K6228" s="6" t="n">
        <v>9</v>
      </c>
      <c r="L6228" s="94" t="n">
        <v>190801</v>
      </c>
      <c r="M6228" s="94">
        <f>VLOOKUP($Q6228,매칭테이블!$F:$I,2,0)*K6228</f>
        <v/>
      </c>
      <c r="N6228" s="94">
        <f>M6228-M6228*VLOOKUP($Q6228,매칭테이블!$F:$I,3,0)</f>
        <v/>
      </c>
      <c r="O6228" s="94">
        <f>VLOOKUP($Q6228,매칭테이블!$F:$I,4,0)*K6228</f>
        <v/>
      </c>
      <c r="P6228" s="148">
        <f>M6228/1.1</f>
        <v/>
      </c>
      <c r="Q6228" s="94">
        <f>F6228&amp;E6228&amp;G6228&amp;L6228</f>
        <v/>
      </c>
    </row>
    <row r="6229">
      <c r="A6229" s="94" t="n"/>
      <c r="B6229" s="128" t="n">
        <v>43968</v>
      </c>
      <c r="C6229" s="94">
        <f>TEXT(B6229,"aaa")</f>
        <v/>
      </c>
      <c r="D6229" s="94" t="n"/>
      <c r="E6229" s="94" t="inlineStr">
        <is>
          <t>클렌징폼</t>
        </is>
      </c>
      <c r="F6229" s="94" t="inlineStr">
        <is>
          <t>카페24</t>
        </is>
      </c>
      <c r="G6229" s="94" t="inlineStr">
        <is>
          <t>클렌징폼 120ml</t>
        </is>
      </c>
      <c r="H6229" s="7" t="n">
        <v>190801</v>
      </c>
      <c r="I6229" s="7" t="n">
        <v>190801</v>
      </c>
      <c r="J6229" s="94" t="n"/>
      <c r="K6229" s="6" t="n">
        <v>12</v>
      </c>
      <c r="L6229" s="92" t="n">
        <v>190801</v>
      </c>
      <c r="M6229" s="94">
        <f>VLOOKUP($Q6229,매칭테이블!$F:$I,2,0)*K6229</f>
        <v/>
      </c>
      <c r="N6229" s="94">
        <f>M6229-M6229*VLOOKUP($Q6229,매칭테이블!$F:$I,3,0)</f>
        <v/>
      </c>
      <c r="O6229" s="94">
        <f>VLOOKUP($Q6229,매칭테이블!$F:$I,4,0)*K6229</f>
        <v/>
      </c>
      <c r="P6229" s="148">
        <f>M6229/1.1</f>
        <v/>
      </c>
      <c r="Q6229" s="94">
        <f>F6229&amp;E6229&amp;G6229&amp;L6229</f>
        <v/>
      </c>
    </row>
    <row r="6230">
      <c r="A6230" s="94" t="n"/>
      <c r="B6230" s="128" t="n">
        <v>43968</v>
      </c>
      <c r="C6230" s="94">
        <f>TEXT(B6230,"aaa")</f>
        <v/>
      </c>
      <c r="D6230" s="94" t="n"/>
      <c r="E6230" s="94" t="inlineStr">
        <is>
          <t>클렌징폼</t>
        </is>
      </c>
      <c r="F6230" s="94" t="inlineStr">
        <is>
          <t>카페24</t>
        </is>
      </c>
      <c r="G6230" s="94" t="inlineStr">
        <is>
          <t>클렌징폼 120ml 3set</t>
        </is>
      </c>
      <c r="H6230" s="7" t="n">
        <v>190801</v>
      </c>
      <c r="I6230" s="7" t="n">
        <v>190801</v>
      </c>
      <c r="J6230" s="94" t="n"/>
      <c r="K6230" s="6" t="n">
        <v>2</v>
      </c>
      <c r="L6230" s="92" t="n">
        <v>190801</v>
      </c>
      <c r="M6230" s="94">
        <f>VLOOKUP($Q6230,매칭테이블!$F:$I,2,0)*K6230</f>
        <v/>
      </c>
      <c r="N6230" s="94">
        <f>M6230-M6230*VLOOKUP($Q6230,매칭테이블!$F:$I,3,0)</f>
        <v/>
      </c>
      <c r="O6230" s="94">
        <f>VLOOKUP($Q6230,매칭테이블!$F:$I,4,0)*K6230</f>
        <v/>
      </c>
      <c r="P6230" s="148">
        <f>M6230/1.1</f>
        <v/>
      </c>
      <c r="Q6230" s="94">
        <f>F6230&amp;E6230&amp;G6230&amp;L6230</f>
        <v/>
      </c>
    </row>
    <row r="6231">
      <c r="A6231" s="94" t="n"/>
      <c r="B6231" s="128" t="n">
        <v>43968</v>
      </c>
      <c r="C6231" s="94">
        <f>TEXT(B6231,"aaa")</f>
        <v/>
      </c>
      <c r="D6231" s="94" t="n"/>
      <c r="E6231" s="6" t="inlineStr">
        <is>
          <t>토너</t>
        </is>
      </c>
      <c r="F6231" s="94" t="inlineStr">
        <is>
          <t>랄라블라</t>
        </is>
      </c>
      <c r="G6231" s="5" t="inlineStr">
        <is>
          <t>250ml</t>
        </is>
      </c>
      <c r="H6231" s="7" t="n">
        <v>190801</v>
      </c>
      <c r="I6231" s="7" t="n">
        <v>190801</v>
      </c>
      <c r="J6231" s="94" t="n"/>
      <c r="K6231" s="6" t="n">
        <v>424</v>
      </c>
      <c r="L6231" s="7" t="n">
        <v>190801</v>
      </c>
      <c r="M6231" s="94">
        <f>VLOOKUP($Q6231,매칭테이블!$F:$I,2,0)*K6231</f>
        <v/>
      </c>
      <c r="N6231" s="94">
        <f>M6231-M6231*VLOOKUP($Q6231,매칭테이블!$F:$I,3,0)</f>
        <v/>
      </c>
      <c r="O6231" s="94">
        <f>VLOOKUP($Q6231,매칭테이블!$F:$I,4,0)*K6231</f>
        <v/>
      </c>
      <c r="P6231" s="148">
        <f>M6231/1.1</f>
        <v/>
      </c>
      <c r="Q6231" s="94">
        <f>F6231&amp;E6231&amp;G6231&amp;L6231</f>
        <v/>
      </c>
    </row>
    <row r="6232">
      <c r="A6232" s="94" t="n"/>
      <c r="B6232" s="128" t="n">
        <v>43968</v>
      </c>
      <c r="C6232" s="94">
        <f>TEXT(B6232,"aaa")</f>
        <v/>
      </c>
      <c r="D6232" s="94" t="n"/>
      <c r="E6232" s="6" t="inlineStr">
        <is>
          <t>토너</t>
        </is>
      </c>
      <c r="F6232" s="94" t="inlineStr">
        <is>
          <t>랄라블라</t>
        </is>
      </c>
      <c r="G6232" s="5" t="inlineStr">
        <is>
          <t>500ml</t>
        </is>
      </c>
      <c r="H6232" s="7" t="n">
        <v>190801</v>
      </c>
      <c r="I6232" s="7" t="n">
        <v>190801</v>
      </c>
      <c r="J6232" s="94" t="n"/>
      <c r="K6232" s="6" t="n">
        <v>11</v>
      </c>
      <c r="L6232" s="7" t="n">
        <v>190801</v>
      </c>
      <c r="M6232" s="94">
        <f>VLOOKUP($Q6232,매칭테이블!$F:$I,2,0)*K6232</f>
        <v/>
      </c>
      <c r="N6232" s="94">
        <f>M6232-M6232*VLOOKUP($Q6232,매칭테이블!$F:$I,3,0)</f>
        <v/>
      </c>
      <c r="O6232" s="94">
        <f>VLOOKUP($Q6232,매칭테이블!$F:$I,4,0)*K6232</f>
        <v/>
      </c>
      <c r="P6232" s="148">
        <f>M6232/1.1</f>
        <v/>
      </c>
      <c r="Q6232" s="94">
        <f>F6232&amp;E6232&amp;G6232&amp;L6232</f>
        <v/>
      </c>
    </row>
    <row r="6233">
      <c r="A6233" s="94" t="n"/>
      <c r="B6233" s="128" t="n">
        <v>43968</v>
      </c>
      <c r="C6233" s="94">
        <f>TEXT(B6233,"aaa")</f>
        <v/>
      </c>
      <c r="D6233" s="94" t="n"/>
      <c r="E6233" s="94" t="inlineStr">
        <is>
          <t>마스크팩</t>
        </is>
      </c>
      <c r="F6233" s="94" t="inlineStr">
        <is>
          <t>랄라블라</t>
        </is>
      </c>
      <c r="G6233" s="94" t="inlineStr">
        <is>
          <t>마스크팩 1매</t>
        </is>
      </c>
      <c r="H6233" s="7" t="n">
        <v>190801</v>
      </c>
      <c r="I6233" s="7" t="n">
        <v>190801</v>
      </c>
      <c r="J6233" s="94" t="n"/>
      <c r="K6233" s="6" t="n">
        <v>729</v>
      </c>
      <c r="L6233" s="94" t="n">
        <v>190801</v>
      </c>
      <c r="M6233" s="94">
        <f>VLOOKUP($Q6233,매칭테이블!$F:$I,2,0)*K6233</f>
        <v/>
      </c>
      <c r="N6233" s="94">
        <f>M6233-M6233*VLOOKUP($Q6233,매칭테이블!$F:$I,3,0)</f>
        <v/>
      </c>
      <c r="O6233" s="94">
        <f>VLOOKUP($Q6233,매칭테이블!$F:$I,4,0)*K6233</f>
        <v/>
      </c>
      <c r="P6233" s="148">
        <f>M6233/1.1</f>
        <v/>
      </c>
      <c r="Q6233" s="94">
        <f>F6233&amp;E6233&amp;G6233&amp;L6233</f>
        <v/>
      </c>
    </row>
    <row r="6234">
      <c r="A6234" s="94" t="n"/>
      <c r="B6234" s="128" t="n">
        <v>43968</v>
      </c>
      <c r="C6234" s="94">
        <f>TEXT(B6234,"aaa")</f>
        <v/>
      </c>
      <c r="D6234" s="94" t="n"/>
      <c r="E6234" s="94" t="inlineStr">
        <is>
          <t>수딩크림 증정기획</t>
        </is>
      </c>
      <c r="F6234" s="94" t="inlineStr">
        <is>
          <t>랄라블라</t>
        </is>
      </c>
      <c r="G6234" s="94" t="inlineStr">
        <is>
          <t>수딩크림 증정기획</t>
        </is>
      </c>
      <c r="H6234" s="7" t="n">
        <v>190801</v>
      </c>
      <c r="I6234" s="7" t="n">
        <v>190801</v>
      </c>
      <c r="J6234" s="94" t="n"/>
      <c r="K6234" s="6" t="n">
        <v>94</v>
      </c>
      <c r="L6234" s="94" t="n">
        <v>190801</v>
      </c>
      <c r="M6234" s="94">
        <f>VLOOKUP($Q6234,매칭테이블!$F:$I,2,0)*K6234</f>
        <v/>
      </c>
      <c r="N6234" s="94">
        <f>M6234-M6234*VLOOKUP($Q6234,매칭테이블!$F:$I,3,0)</f>
        <v/>
      </c>
      <c r="O6234" s="94">
        <f>VLOOKUP($Q6234,매칭테이블!$F:$I,4,0)*K6234</f>
        <v/>
      </c>
      <c r="P6234" s="148">
        <f>M6234/1.1</f>
        <v/>
      </c>
      <c r="Q6234" s="94">
        <f>F6234&amp;E6234&amp;G6234&amp;L6234</f>
        <v/>
      </c>
    </row>
    <row r="6235">
      <c r="A6235" s="94" t="n"/>
      <c r="B6235" s="128" t="n">
        <v>43968</v>
      </c>
      <c r="C6235" s="94">
        <f>TEXT(B6235,"aaa")</f>
        <v/>
      </c>
      <c r="D6235" s="94" t="n"/>
      <c r="E6235" s="94" t="inlineStr">
        <is>
          <t>수딩크림</t>
        </is>
      </c>
      <c r="F6235" s="94" t="inlineStr">
        <is>
          <t>랄라블라</t>
        </is>
      </c>
      <c r="G6235" s="94" t="inlineStr">
        <is>
          <t>수딩크림 100ml</t>
        </is>
      </c>
      <c r="H6235" s="7" t="n">
        <v>190801</v>
      </c>
      <c r="I6235" s="7" t="n">
        <v>190801</v>
      </c>
      <c r="J6235" s="94" t="n"/>
      <c r="K6235" s="6" t="n">
        <v>7</v>
      </c>
      <c r="L6235" s="94" t="n">
        <v>190801</v>
      </c>
      <c r="M6235" s="94">
        <f>VLOOKUP($Q6235,매칭테이블!$F:$I,2,0)*K6235</f>
        <v/>
      </c>
      <c r="N6235" s="94">
        <f>M6235-M6235*VLOOKUP($Q6235,매칭테이블!$F:$I,3,0)</f>
        <v/>
      </c>
      <c r="O6235" s="94">
        <f>VLOOKUP($Q6235,매칭테이블!$F:$I,4,0)*K6235</f>
        <v/>
      </c>
      <c r="P6235" s="148">
        <f>M6235/1.1</f>
        <v/>
      </c>
      <c r="Q6235" s="94">
        <f>F6235&amp;E6235&amp;G6235&amp;L6235</f>
        <v/>
      </c>
    </row>
    <row r="6236">
      <c r="A6236" s="94" t="n"/>
      <c r="B6236" s="128" t="n">
        <v>43968</v>
      </c>
      <c r="C6236" s="94">
        <f>TEXT(B6236,"aaa")</f>
        <v/>
      </c>
      <c r="D6236" s="94" t="n"/>
      <c r="E6236" s="94" t="inlineStr">
        <is>
          <t>앰플 기획세트</t>
        </is>
      </c>
      <c r="F6236" s="94" t="inlineStr">
        <is>
          <t>랄라블라</t>
        </is>
      </c>
      <c r="G6236" s="94" t="inlineStr">
        <is>
          <t>앰플 기획세트</t>
        </is>
      </c>
      <c r="H6236" s="7" t="n">
        <v>190801</v>
      </c>
      <c r="I6236" s="7" t="n">
        <v>190801</v>
      </c>
      <c r="J6236" s="94" t="n"/>
      <c r="K6236" s="6" t="n">
        <v>97</v>
      </c>
      <c r="L6236" s="94" t="n">
        <v>190801</v>
      </c>
      <c r="M6236" s="94">
        <f>VLOOKUP($Q6236,매칭테이블!$F:$I,2,0)*K6236</f>
        <v/>
      </c>
      <c r="N6236" s="94">
        <f>M6236-M6236*VLOOKUP($Q6236,매칭테이블!$F:$I,3,0)</f>
        <v/>
      </c>
      <c r="O6236" s="94">
        <f>VLOOKUP($Q6236,매칭테이블!$F:$I,4,0)*K6236</f>
        <v/>
      </c>
      <c r="P6236" s="148">
        <f>M6236/1.1</f>
        <v/>
      </c>
      <c r="Q6236" s="94">
        <f>F6236&amp;E6236&amp;G6236&amp;L6236</f>
        <v/>
      </c>
    </row>
    <row r="6237">
      <c r="A6237" s="94" t="n"/>
      <c r="B6237" s="128" t="n">
        <v>43968</v>
      </c>
      <c r="C6237" s="94">
        <f>TEXT(B6237,"aaa")</f>
        <v/>
      </c>
      <c r="D6237" s="94" t="n"/>
      <c r="E6237" s="94" t="inlineStr">
        <is>
          <t>클렌징폼 기획세트</t>
        </is>
      </c>
      <c r="F6237" s="94" t="inlineStr">
        <is>
          <t>랄라블라</t>
        </is>
      </c>
      <c r="G6237" s="94" t="inlineStr">
        <is>
          <t>클렌징폼 기획세트</t>
        </is>
      </c>
      <c r="H6237" s="7" t="n">
        <v>190801</v>
      </c>
      <c r="I6237" s="7" t="n">
        <v>190801</v>
      </c>
      <c r="J6237" s="94" t="n"/>
      <c r="K6237" s="6" t="n">
        <v>89</v>
      </c>
      <c r="L6237" s="94" t="n">
        <v>190801</v>
      </c>
      <c r="M6237" s="94">
        <f>VLOOKUP($Q6237,매칭테이블!$F:$I,2,0)*K6237</f>
        <v/>
      </c>
      <c r="N6237" s="94">
        <f>M6237-M6237*VLOOKUP($Q6237,매칭테이블!$F:$I,3,0)</f>
        <v/>
      </c>
      <c r="O6237" s="94">
        <f>VLOOKUP($Q6237,매칭테이블!$F:$I,4,0)*K6237</f>
        <v/>
      </c>
      <c r="P6237" s="148">
        <f>M6237/1.1</f>
        <v/>
      </c>
      <c r="Q6237" s="94">
        <f>F6237&amp;E6237&amp;G6237&amp;L6237</f>
        <v/>
      </c>
    </row>
    <row r="6238">
      <c r="A6238" s="94" t="n"/>
      <c r="B6238" s="128" t="n">
        <v>43968</v>
      </c>
      <c r="C6238" s="94">
        <f>TEXT(B6238,"aaa")</f>
        <v/>
      </c>
      <c r="D6238" s="94" t="n"/>
      <c r="E6238" s="94" t="inlineStr">
        <is>
          <t>토너 기획세트</t>
        </is>
      </c>
      <c r="F6238" s="94" t="inlineStr">
        <is>
          <t>랄라블라</t>
        </is>
      </c>
      <c r="G6238" s="94" t="inlineStr">
        <is>
          <t>토너 기획세트</t>
        </is>
      </c>
      <c r="H6238" s="7" t="n">
        <v>190801</v>
      </c>
      <c r="I6238" s="7" t="n">
        <v>190801</v>
      </c>
      <c r="J6238" s="94" t="n"/>
      <c r="K6238" s="6" t="n">
        <v>11</v>
      </c>
      <c r="L6238" s="94" t="n">
        <v>190801</v>
      </c>
      <c r="M6238" s="94">
        <f>VLOOKUP($Q6238,매칭테이블!$F:$I,2,0)*K6238</f>
        <v/>
      </c>
      <c r="N6238" s="94">
        <f>M6238-M6238*VLOOKUP($Q6238,매칭테이블!$F:$I,3,0)</f>
        <v/>
      </c>
      <c r="O6238" s="94">
        <f>VLOOKUP($Q6238,매칭테이블!$F:$I,4,0)*K6238</f>
        <v/>
      </c>
      <c r="P6238" s="148">
        <f>M6238/1.1</f>
        <v/>
      </c>
      <c r="Q6238" s="94">
        <f>F6238&amp;E6238&amp;G6238&amp;L6238</f>
        <v/>
      </c>
    </row>
    <row r="6239">
      <c r="A6239" s="94" t="n"/>
      <c r="B6239" s="128" t="n">
        <v>43968</v>
      </c>
      <c r="C6239" s="94">
        <f>TEXT(B6239,"aaa")</f>
        <v/>
      </c>
      <c r="D6239" s="94" t="n"/>
      <c r="E6239" s="94" t="inlineStr">
        <is>
          <t>머드크림마스크</t>
        </is>
      </c>
      <c r="F6239" s="94" t="inlineStr">
        <is>
          <t>랄라블라</t>
        </is>
      </c>
      <c r="G6239" s="94" t="inlineStr">
        <is>
          <t>머드크림마스크 100ml</t>
        </is>
      </c>
      <c r="H6239" s="7" t="n">
        <v>190801</v>
      </c>
      <c r="I6239" s="7" t="n">
        <v>190801</v>
      </c>
      <c r="J6239" s="94" t="n"/>
      <c r="K6239" s="6" t="n">
        <v>1</v>
      </c>
      <c r="L6239" s="94" t="n">
        <v>190801</v>
      </c>
      <c r="M6239" s="94">
        <f>VLOOKUP($Q6239,매칭테이블!$F:$I,2,0)*K6239</f>
        <v/>
      </c>
      <c r="N6239" s="94">
        <f>M6239-M6239*VLOOKUP($Q6239,매칭테이블!$F:$I,3,0)</f>
        <v/>
      </c>
      <c r="O6239" s="94">
        <f>VLOOKUP($Q6239,매칭테이블!$F:$I,4,0)*K6239</f>
        <v/>
      </c>
      <c r="P6239" s="148">
        <f>M6239/1.1</f>
        <v/>
      </c>
      <c r="Q6239" s="94">
        <f>F6239&amp;E6239&amp;G6239&amp;L6239</f>
        <v/>
      </c>
    </row>
    <row r="6240">
      <c r="A6240" s="94" t="n"/>
      <c r="B6240" s="128" t="n">
        <v>43968</v>
      </c>
      <c r="C6240" s="94">
        <f>TEXT(B6240,"aaa")</f>
        <v/>
      </c>
      <c r="D6240" s="94" t="n"/>
      <c r="E6240" s="94" t="inlineStr">
        <is>
          <t>클렌징폼</t>
        </is>
      </c>
      <c r="F6240" s="94" t="inlineStr">
        <is>
          <t>랄라블라</t>
        </is>
      </c>
      <c r="G6240" s="94" t="inlineStr">
        <is>
          <t>클렌징폼 120ml</t>
        </is>
      </c>
      <c r="H6240" s="7" t="n">
        <v>190801</v>
      </c>
      <c r="I6240" s="7" t="n">
        <v>190801</v>
      </c>
      <c r="J6240" s="94" t="n"/>
      <c r="K6240" s="6" t="n">
        <v>1</v>
      </c>
      <c r="L6240" s="7" t="n">
        <v>190801</v>
      </c>
      <c r="M6240" s="94">
        <f>VLOOKUP($Q6240,매칭테이블!$F:$I,2,0)*K6240</f>
        <v/>
      </c>
      <c r="N6240" s="94">
        <f>M6240-M6240*VLOOKUP($Q6240,매칭테이블!$F:$I,3,0)</f>
        <v/>
      </c>
      <c r="O6240" s="94">
        <f>VLOOKUP($Q6240,매칭테이블!$F:$I,4,0)*K6240</f>
        <v/>
      </c>
      <c r="P6240" s="148">
        <f>M6240/1.1</f>
        <v/>
      </c>
      <c r="Q6240" s="94">
        <f>F6240&amp;E6240&amp;G6240&amp;L6240</f>
        <v/>
      </c>
    </row>
    <row r="6241">
      <c r="A6241" s="94" t="n"/>
      <c r="B6241" s="128" t="n">
        <v>43968</v>
      </c>
      <c r="C6241" s="94">
        <f>TEXT(B6241,"aaa")</f>
        <v/>
      </c>
      <c r="D6241" s="94" t="n"/>
      <c r="E6241" s="94" t="inlineStr">
        <is>
          <t>토너 증정기획</t>
        </is>
      </c>
      <c r="F6241" s="94" t="inlineStr">
        <is>
          <t>랄라블라</t>
        </is>
      </c>
      <c r="G6241" s="94" t="inlineStr">
        <is>
          <t>토너 증정기획</t>
        </is>
      </c>
      <c r="H6241" s="7" t="n">
        <v>190801</v>
      </c>
      <c r="I6241" s="7" t="n">
        <v>190801</v>
      </c>
      <c r="J6241" s="94" t="n"/>
      <c r="K6241" s="6" t="n">
        <v>1371</v>
      </c>
      <c r="L6241" s="7" t="n">
        <v>190801</v>
      </c>
      <c r="M6241" s="94">
        <f>VLOOKUP($Q6241,매칭테이블!$F:$I,2,0)*K6241</f>
        <v/>
      </c>
      <c r="N6241" s="94">
        <f>M6241-M6241*VLOOKUP($Q6241,매칭테이블!$F:$I,3,0)</f>
        <v/>
      </c>
      <c r="O6241" s="94">
        <f>VLOOKUP($Q6241,매칭테이블!$F:$I,4,0)*K6241</f>
        <v/>
      </c>
      <c r="P6241" s="148">
        <f>M6241/1.1</f>
        <v/>
      </c>
      <c r="Q6241" s="94">
        <f>F6241&amp;E6241&amp;G6241&amp;L6241</f>
        <v/>
      </c>
    </row>
    <row r="6242">
      <c r="A6242" s="94" t="n"/>
      <c r="B6242" s="128" t="n">
        <v>43968</v>
      </c>
      <c r="C6242" s="94">
        <f>TEXT(B6242,"aaa")</f>
        <v/>
      </c>
      <c r="D6242" s="94" t="n"/>
      <c r="E6242" s="94" t="inlineStr">
        <is>
          <t>선크림</t>
        </is>
      </c>
      <c r="F6242" s="94" t="inlineStr">
        <is>
          <t>랄라블라</t>
        </is>
      </c>
      <c r="G6242" s="94" t="inlineStr">
        <is>
          <t>선크림 50ml</t>
        </is>
      </c>
      <c r="H6242" s="7" t="n">
        <v>190801</v>
      </c>
      <c r="I6242" s="7" t="n">
        <v>190801</v>
      </c>
      <c r="J6242" s="94" t="n"/>
      <c r="K6242" s="6" t="n">
        <v>10</v>
      </c>
      <c r="L6242" s="94" t="n">
        <v>190801</v>
      </c>
      <c r="M6242" s="94">
        <f>VLOOKUP($Q6242,매칭테이블!$F:$I,2,0)*K6242</f>
        <v/>
      </c>
      <c r="N6242" s="94">
        <f>M6242-M6242*VLOOKUP($Q6242,매칭테이블!$F:$I,3,0)</f>
        <v/>
      </c>
      <c r="O6242" s="94">
        <f>VLOOKUP($Q6242,매칭테이블!$F:$I,4,0)*K6242</f>
        <v/>
      </c>
      <c r="P6242" s="148">
        <f>M6242/1.1</f>
        <v/>
      </c>
      <c r="Q6242" s="94">
        <f>F6242&amp;E6242&amp;G6242&amp;L6242</f>
        <v/>
      </c>
    </row>
    <row r="6243">
      <c r="A6243" s="94" t="n"/>
      <c r="B6243" s="128" t="n">
        <v>43969</v>
      </c>
      <c r="C6243" s="94">
        <f>TEXT(B6243,"aaa")</f>
        <v/>
      </c>
      <c r="D6243" s="94" t="n"/>
      <c r="E6243" s="6" t="inlineStr">
        <is>
          <t>토너</t>
        </is>
      </c>
      <c r="F6243" s="5" t="inlineStr">
        <is>
          <t>W컨셉</t>
        </is>
      </c>
      <c r="G6243" s="5" t="inlineStr">
        <is>
          <t>250ml</t>
        </is>
      </c>
      <c r="H6243" s="7" t="n">
        <v>190801</v>
      </c>
      <c r="I6243" s="7" t="n">
        <v>190801</v>
      </c>
      <c r="J6243" s="94" t="n"/>
      <c r="K6243" s="6" t="n">
        <v>1</v>
      </c>
      <c r="L6243" s="7" t="n">
        <v>190801</v>
      </c>
      <c r="M6243" s="94">
        <f>VLOOKUP($Q6243,매칭테이블!$F:$I,2,0)*K6243</f>
        <v/>
      </c>
      <c r="N6243" s="94">
        <f>M6243-M6243*VLOOKUP($Q6243,매칭테이블!$F:$I,3,0)</f>
        <v/>
      </c>
      <c r="O6243" s="94">
        <f>VLOOKUP($Q6243,매칭테이블!$F:$I,4,0)*K6243</f>
        <v/>
      </c>
      <c r="P6243" s="148">
        <f>M6243/1.1</f>
        <v/>
      </c>
      <c r="Q6243" s="94">
        <f>F6243&amp;E6243&amp;G6243&amp;L6243</f>
        <v/>
      </c>
    </row>
    <row r="6244">
      <c r="A6244" s="94" t="n"/>
      <c r="B6244" s="128" t="n">
        <v>43969</v>
      </c>
      <c r="C6244" s="94">
        <f>TEXT(B6244,"aaa")</f>
        <v/>
      </c>
      <c r="D6244" s="94" t="n"/>
      <c r="E6244" s="6" t="inlineStr">
        <is>
          <t>토너</t>
        </is>
      </c>
      <c r="F6244" s="5" t="inlineStr">
        <is>
          <t>W컨셉</t>
        </is>
      </c>
      <c r="G6244" s="5" t="inlineStr">
        <is>
          <t>250ml 2set</t>
        </is>
      </c>
      <c r="H6244" s="7" t="n">
        <v>190801</v>
      </c>
      <c r="I6244" s="7" t="n">
        <v>190801</v>
      </c>
      <c r="J6244" s="94" t="n"/>
      <c r="K6244" s="6" t="n">
        <v>6</v>
      </c>
      <c r="L6244" s="7" t="n">
        <v>190801</v>
      </c>
      <c r="M6244" s="94">
        <f>VLOOKUP($Q6244,매칭테이블!$F:$I,2,0)*K6244</f>
        <v/>
      </c>
      <c r="N6244" s="94">
        <f>M6244-M6244*VLOOKUP($Q6244,매칭테이블!$F:$I,3,0)</f>
        <v/>
      </c>
      <c r="O6244" s="94">
        <f>VLOOKUP($Q6244,매칭테이블!$F:$I,4,0)*K6244</f>
        <v/>
      </c>
      <c r="P6244" s="148">
        <f>M6244/1.1</f>
        <v/>
      </c>
      <c r="Q6244" s="94">
        <f>F6244&amp;E6244&amp;G6244&amp;L6244</f>
        <v/>
      </c>
    </row>
    <row r="6245">
      <c r="A6245" s="94" t="n"/>
      <c r="B6245" s="128" t="n">
        <v>43969</v>
      </c>
      <c r="C6245" s="94">
        <f>TEXT(B6245,"aaa")</f>
        <v/>
      </c>
      <c r="D6245" s="94" t="n"/>
      <c r="E6245" s="94" t="inlineStr">
        <is>
          <t>토너</t>
        </is>
      </c>
      <c r="F6245" s="5" t="inlineStr">
        <is>
          <t>스타일쉐어</t>
        </is>
      </c>
      <c r="G6245" s="94" t="inlineStr">
        <is>
          <t>250ml</t>
        </is>
      </c>
      <c r="H6245" s="7" t="n">
        <v>190801</v>
      </c>
      <c r="I6245" s="7" t="n">
        <v>190801</v>
      </c>
      <c r="J6245" s="94" t="n"/>
      <c r="K6245" s="6" t="n">
        <v>5</v>
      </c>
      <c r="L6245" s="7" t="n">
        <v>190801</v>
      </c>
      <c r="M6245" s="94">
        <f>VLOOKUP($Q6245,매칭테이블!$F:$I,2,0)*K6245</f>
        <v/>
      </c>
      <c r="N6245" s="94">
        <f>M6245-M6245*VLOOKUP($Q6245,매칭테이블!$F:$I,3,0)</f>
        <v/>
      </c>
      <c r="O6245" s="94">
        <f>VLOOKUP($Q6245,매칭테이블!$F:$I,4,0)*K6245</f>
        <v/>
      </c>
      <c r="P6245" s="148">
        <f>M6245/1.1</f>
        <v/>
      </c>
      <c r="Q6245" s="94">
        <f>F6245&amp;E6245&amp;G6245&amp;L6245</f>
        <v/>
      </c>
    </row>
    <row r="6246">
      <c r="A6246" s="94" t="n"/>
      <c r="B6246" s="128" t="n">
        <v>43969</v>
      </c>
      <c r="C6246" s="94">
        <f>TEXT(B6246,"aaa")</f>
        <v/>
      </c>
      <c r="D6246" s="94" t="n"/>
      <c r="E6246" s="94" t="inlineStr">
        <is>
          <t>수딩크림</t>
        </is>
      </c>
      <c r="F6246" s="94" t="inlineStr">
        <is>
          <t>글로우데이즈 시코르</t>
        </is>
      </c>
      <c r="G6246" s="94" t="inlineStr">
        <is>
          <t>수딩크림 100ml</t>
        </is>
      </c>
      <c r="H6246" s="7" t="n">
        <v>190801</v>
      </c>
      <c r="I6246" s="7" t="n">
        <v>190801</v>
      </c>
      <c r="J6246" s="94" t="n"/>
      <c r="K6246" s="6" t="n">
        <v>20</v>
      </c>
      <c r="L6246" s="7" t="n">
        <v>190801</v>
      </c>
      <c r="M6246" s="94">
        <f>VLOOKUP($Q6246,매칭테이블!$F:$I,2,0)*K6246</f>
        <v/>
      </c>
      <c r="N6246" s="94">
        <f>M6246-M6246*VLOOKUP($Q6246,매칭테이블!$F:$I,3,0)</f>
        <v/>
      </c>
      <c r="O6246" s="94">
        <f>VLOOKUP($Q6246,매칭테이블!$F:$I,4,0)*K6246</f>
        <v/>
      </c>
      <c r="P6246" s="148">
        <f>M6246/1.1</f>
        <v/>
      </c>
      <c r="Q6246" s="94">
        <f>F6246&amp;E6246&amp;G6246&amp;L6246</f>
        <v/>
      </c>
    </row>
    <row r="6247">
      <c r="A6247" s="94" t="n"/>
      <c r="B6247" s="128" t="n">
        <v>43969</v>
      </c>
      <c r="C6247" s="94">
        <f>TEXT(B6247,"aaa")</f>
        <v/>
      </c>
      <c r="D6247" s="94" t="n"/>
      <c r="E6247" s="94" t="inlineStr">
        <is>
          <t>마스크팩</t>
        </is>
      </c>
      <c r="F6247" s="94" t="inlineStr">
        <is>
          <t>글로우데이즈 시코르</t>
        </is>
      </c>
      <c r="G6247" s="94" t="inlineStr">
        <is>
          <t>마스크팩 10매</t>
        </is>
      </c>
      <c r="H6247" s="7" t="n">
        <v>190801</v>
      </c>
      <c r="I6247" s="7" t="n">
        <v>190801</v>
      </c>
      <c r="J6247" s="94" t="n"/>
      <c r="K6247" s="6" t="n">
        <v>1</v>
      </c>
      <c r="L6247" s="7" t="n">
        <v>190801</v>
      </c>
      <c r="M6247" s="94">
        <f>VLOOKUP($Q6247,매칭테이블!$F:$I,2,0)*K6247</f>
        <v/>
      </c>
      <c r="N6247" s="94">
        <f>M6247-M6247*VLOOKUP($Q6247,매칭테이블!$F:$I,3,0)</f>
        <v/>
      </c>
      <c r="O6247" s="94">
        <f>VLOOKUP($Q6247,매칭테이블!$F:$I,4,0)*K6247</f>
        <v/>
      </c>
      <c r="P6247" s="148">
        <f>M6247/1.1</f>
        <v/>
      </c>
      <c r="Q6247" s="94">
        <f>F6247&amp;E6247&amp;G6247&amp;L6247</f>
        <v/>
      </c>
    </row>
    <row r="6248">
      <c r="A6248" s="94" t="n"/>
      <c r="B6248" s="128" t="n">
        <v>43969</v>
      </c>
      <c r="C6248" s="94">
        <f>TEXT(B6248,"aaa")</f>
        <v/>
      </c>
      <c r="D6248" s="94" t="n"/>
      <c r="E6248" s="94" t="inlineStr">
        <is>
          <t>선크림</t>
        </is>
      </c>
      <c r="F6248" s="94" t="inlineStr">
        <is>
          <t>카페24</t>
        </is>
      </c>
      <c r="G6248" s="94" t="inlineStr">
        <is>
          <t>선크림 50ml</t>
        </is>
      </c>
      <c r="H6248" s="7" t="n">
        <v>190801</v>
      </c>
      <c r="I6248" s="7" t="n">
        <v>190801</v>
      </c>
      <c r="J6248" s="94" t="n"/>
      <c r="K6248" s="6" t="n">
        <v>5</v>
      </c>
      <c r="L6248" s="7" t="n">
        <v>190801</v>
      </c>
      <c r="M6248" s="94">
        <f>VLOOKUP($Q6248,매칭테이블!$F:$I,2,0)*K6248</f>
        <v/>
      </c>
      <c r="N6248" s="94">
        <f>M6248-M6248*VLOOKUP($Q6248,매칭테이블!$F:$I,3,0)</f>
        <v/>
      </c>
      <c r="O6248" s="94">
        <f>VLOOKUP($Q6248,매칭테이블!$F:$I,4,0)*K6248</f>
        <v/>
      </c>
      <c r="P6248" s="148">
        <f>M6248/1.1</f>
        <v/>
      </c>
      <c r="Q6248" s="94">
        <f>F6248&amp;E6248&amp;G6248&amp;L6248</f>
        <v/>
      </c>
    </row>
    <row r="6249">
      <c r="A6249" s="94" t="n"/>
      <c r="B6249" s="128" t="n">
        <v>43969</v>
      </c>
      <c r="C6249" s="94">
        <f>TEXT(B6249,"aaa")</f>
        <v/>
      </c>
      <c r="D6249" s="94" t="n"/>
      <c r="E6249" s="94" t="inlineStr">
        <is>
          <t>어성초진정패키지</t>
        </is>
      </c>
      <c r="F6249" s="94" t="inlineStr">
        <is>
          <t>카페24</t>
        </is>
      </c>
      <c r="G6249" s="94" t="inlineStr">
        <is>
          <t>어성초 진정패키지세트</t>
        </is>
      </c>
      <c r="H6249" s="7" t="n">
        <v>190801</v>
      </c>
      <c r="I6249" s="7" t="n">
        <v>190801</v>
      </c>
      <c r="J6249" s="94" t="n"/>
      <c r="K6249" s="6" t="n">
        <v>6</v>
      </c>
      <c r="L6249" s="94" t="n">
        <v>190801</v>
      </c>
      <c r="M6249" s="94">
        <f>VLOOKUP($Q6249,매칭테이블!$F:$I,2,0)*K6249</f>
        <v/>
      </c>
      <c r="N6249" s="94">
        <f>M6249-M6249*VLOOKUP($Q6249,매칭테이블!$F:$I,3,0)</f>
        <v/>
      </c>
      <c r="O6249" s="94">
        <f>VLOOKUP($Q6249,매칭테이블!$F:$I,4,0)*K6249</f>
        <v/>
      </c>
      <c r="P6249" s="148">
        <f>M6249/1.1</f>
        <v/>
      </c>
      <c r="Q6249" s="94">
        <f>F6249&amp;E6249&amp;G6249&amp;L6249</f>
        <v/>
      </c>
    </row>
    <row r="6250">
      <c r="A6250" s="94" t="n"/>
      <c r="B6250" s="128" t="n">
        <v>43969</v>
      </c>
      <c r="C6250" s="94">
        <f>TEXT(B6250,"aaa")</f>
        <v/>
      </c>
      <c r="D6250" s="94" t="n"/>
      <c r="E6250" s="94" t="inlineStr">
        <is>
          <t>머드크림마스크</t>
        </is>
      </c>
      <c r="F6250" s="94" t="inlineStr">
        <is>
          <t>카페24</t>
        </is>
      </c>
      <c r="G6250" s="94" t="inlineStr">
        <is>
          <t>머드크림마스크 100ml</t>
        </is>
      </c>
      <c r="H6250" s="7" t="n">
        <v>190801</v>
      </c>
      <c r="I6250" s="7" t="n">
        <v>190801</v>
      </c>
      <c r="J6250" s="94" t="n"/>
      <c r="K6250" s="6" t="n">
        <v>2</v>
      </c>
      <c r="L6250" s="94" t="n">
        <v>190801</v>
      </c>
      <c r="M6250" s="94">
        <f>VLOOKUP($Q6250,매칭테이블!$F:$I,2,0)*K6250</f>
        <v/>
      </c>
      <c r="N6250" s="94">
        <f>M6250-M6250*VLOOKUP($Q6250,매칭테이블!$F:$I,3,0)</f>
        <v/>
      </c>
      <c r="O6250" s="94">
        <f>VLOOKUP($Q6250,매칭테이블!$F:$I,4,0)*K6250</f>
        <v/>
      </c>
      <c r="P6250" s="148">
        <f>M6250/1.1</f>
        <v/>
      </c>
      <c r="Q6250" s="94">
        <f>F6250&amp;E6250&amp;G6250&amp;L6250</f>
        <v/>
      </c>
    </row>
    <row r="6251">
      <c r="A6251" s="94" t="n"/>
      <c r="B6251" s="128" t="n">
        <v>43969</v>
      </c>
      <c r="C6251" s="94">
        <f>TEXT(B6251,"aaa")</f>
        <v/>
      </c>
      <c r="D6251" s="94" t="n"/>
      <c r="E6251" s="94" t="inlineStr">
        <is>
          <t>마스크팩</t>
        </is>
      </c>
      <c r="F6251" s="94" t="inlineStr">
        <is>
          <t>카페24</t>
        </is>
      </c>
      <c r="G6251" s="94" t="inlineStr">
        <is>
          <t>마스크팩 1매</t>
        </is>
      </c>
      <c r="H6251" s="7" t="n">
        <v>190801</v>
      </c>
      <c r="I6251" s="7" t="n">
        <v>190801</v>
      </c>
      <c r="J6251" s="94" t="n"/>
      <c r="K6251" s="6" t="n">
        <v>10</v>
      </c>
      <c r="L6251" s="94" t="n">
        <v>190801</v>
      </c>
      <c r="M6251" s="94">
        <f>VLOOKUP($Q6251,매칭테이블!$F:$I,2,0)*K6251</f>
        <v/>
      </c>
      <c r="N6251" s="94">
        <f>M6251-M6251*VLOOKUP($Q6251,매칭테이블!$F:$I,3,0)</f>
        <v/>
      </c>
      <c r="O6251" s="94">
        <f>VLOOKUP($Q6251,매칭테이블!$F:$I,4,0)*K6251</f>
        <v/>
      </c>
      <c r="P6251" s="148">
        <f>M6251/1.1</f>
        <v/>
      </c>
      <c r="Q6251" s="94">
        <f>F6251&amp;E6251&amp;G6251&amp;L6251</f>
        <v/>
      </c>
    </row>
    <row r="6252">
      <c r="A6252" s="94" t="n"/>
      <c r="B6252" s="128" t="n">
        <v>43969</v>
      </c>
      <c r="C6252" s="94">
        <f>TEXT(B6252,"aaa")</f>
        <v/>
      </c>
      <c r="D6252" s="94" t="n"/>
      <c r="E6252" s="94" t="inlineStr">
        <is>
          <t>마스크팩</t>
        </is>
      </c>
      <c r="F6252" s="94" t="inlineStr">
        <is>
          <t>카페24</t>
        </is>
      </c>
      <c r="G6252" s="94" t="inlineStr">
        <is>
          <t>마스크팩 10매</t>
        </is>
      </c>
      <c r="H6252" s="7" t="n">
        <v>190801</v>
      </c>
      <c r="I6252" s="7" t="n">
        <v>190801</v>
      </c>
      <c r="J6252" s="94" t="n"/>
      <c r="K6252" s="6" t="n">
        <v>5</v>
      </c>
      <c r="L6252" s="94" t="n">
        <v>190801</v>
      </c>
      <c r="M6252" s="94">
        <f>VLOOKUP($Q6252,매칭테이블!$F:$I,2,0)*K6252</f>
        <v/>
      </c>
      <c r="N6252" s="94">
        <f>M6252-M6252*VLOOKUP($Q6252,매칭테이블!$F:$I,3,0)</f>
        <v/>
      </c>
      <c r="O6252" s="94">
        <f>VLOOKUP($Q6252,매칭테이블!$F:$I,4,0)*K6252</f>
        <v/>
      </c>
      <c r="P6252" s="148">
        <f>M6252/1.1</f>
        <v/>
      </c>
      <c r="Q6252" s="94">
        <f>F6252&amp;E6252&amp;G6252&amp;L6252</f>
        <v/>
      </c>
    </row>
    <row r="6253">
      <c r="A6253" s="94" t="n"/>
      <c r="B6253" s="128" t="n">
        <v>43969</v>
      </c>
      <c r="C6253" s="94">
        <f>TEXT(B6253,"aaa")</f>
        <v/>
      </c>
      <c r="D6253" s="94" t="n"/>
      <c r="E6253" s="6" t="inlineStr">
        <is>
          <t>토너</t>
        </is>
      </c>
      <c r="F6253" s="5" t="inlineStr">
        <is>
          <t>카페24</t>
        </is>
      </c>
      <c r="G6253" s="5" t="inlineStr">
        <is>
          <t>250ml</t>
        </is>
      </c>
      <c r="H6253" s="7" t="n">
        <v>190801</v>
      </c>
      <c r="I6253" s="7" t="n">
        <v>190801</v>
      </c>
      <c r="J6253" s="94" t="n"/>
      <c r="K6253" s="6" t="n">
        <v>84</v>
      </c>
      <c r="L6253" s="7" t="n">
        <v>190801</v>
      </c>
      <c r="M6253" s="94">
        <f>VLOOKUP($Q6253,매칭테이블!$F:$I,2,0)*K6253</f>
        <v/>
      </c>
      <c r="N6253" s="94">
        <f>M6253-M6253*VLOOKUP($Q6253,매칭테이블!$F:$I,3,0)</f>
        <v/>
      </c>
      <c r="O6253" s="94">
        <f>VLOOKUP($Q6253,매칭테이블!$F:$I,4,0)*K6253</f>
        <v/>
      </c>
      <c r="P6253" s="148">
        <f>M6253/1.1</f>
        <v/>
      </c>
      <c r="Q6253" s="94">
        <f>F6253&amp;E6253&amp;G6253&amp;L6253</f>
        <v/>
      </c>
    </row>
    <row r="6254">
      <c r="A6254" s="94" t="n"/>
      <c r="B6254" s="128" t="n">
        <v>43969</v>
      </c>
      <c r="C6254" s="94">
        <f>TEXT(B6254,"aaa")</f>
        <v/>
      </c>
      <c r="D6254" s="94" t="n"/>
      <c r="E6254" s="6" t="inlineStr">
        <is>
          <t>토너</t>
        </is>
      </c>
      <c r="F6254" s="5" t="inlineStr">
        <is>
          <t>카페24</t>
        </is>
      </c>
      <c r="G6254" s="5" t="inlineStr">
        <is>
          <t>250ml 2set</t>
        </is>
      </c>
      <c r="H6254" s="7" t="n">
        <v>190801</v>
      </c>
      <c r="I6254" s="7" t="n">
        <v>190801</v>
      </c>
      <c r="J6254" s="94" t="n"/>
      <c r="K6254" s="6" t="n">
        <v>293</v>
      </c>
      <c r="L6254" s="7" t="n">
        <v>190801</v>
      </c>
      <c r="M6254" s="94">
        <f>VLOOKUP($Q6254,매칭테이블!$F:$I,2,0)*K6254</f>
        <v/>
      </c>
      <c r="N6254" s="94">
        <f>M6254-M6254*VLOOKUP($Q6254,매칭테이블!$F:$I,3,0)</f>
        <v/>
      </c>
      <c r="O6254" s="94">
        <f>VLOOKUP($Q6254,매칭테이블!$F:$I,4,0)*K6254</f>
        <v/>
      </c>
      <c r="P6254" s="148">
        <f>M6254/1.1</f>
        <v/>
      </c>
      <c r="Q6254" s="94">
        <f>F6254&amp;E6254&amp;G6254&amp;L6254</f>
        <v/>
      </c>
    </row>
    <row r="6255">
      <c r="A6255" s="94" t="n"/>
      <c r="B6255" s="128" t="n">
        <v>43969</v>
      </c>
      <c r="C6255" s="94">
        <f>TEXT(B6255,"aaa")</f>
        <v/>
      </c>
      <c r="D6255" s="94" t="n"/>
      <c r="E6255" s="6" t="inlineStr">
        <is>
          <t>토너</t>
        </is>
      </c>
      <c r="F6255" s="5" t="inlineStr">
        <is>
          <t>카페24</t>
        </is>
      </c>
      <c r="G6255" s="5" t="inlineStr">
        <is>
          <t>500ml</t>
        </is>
      </c>
      <c r="H6255" s="7" t="n">
        <v>190801</v>
      </c>
      <c r="I6255" s="7" t="n">
        <v>190801</v>
      </c>
      <c r="J6255" s="94" t="n"/>
      <c r="K6255" s="6" t="n">
        <v>66</v>
      </c>
      <c r="L6255" s="7" t="n">
        <v>190801</v>
      </c>
      <c r="M6255" s="94">
        <f>VLOOKUP($Q6255,매칭테이블!$F:$I,2,0)*K6255</f>
        <v/>
      </c>
      <c r="N6255" s="94">
        <f>M6255-M6255*VLOOKUP($Q6255,매칭테이블!$F:$I,3,0)</f>
        <v/>
      </c>
      <c r="O6255" s="94">
        <f>VLOOKUP($Q6255,매칭테이블!$F:$I,4,0)*K6255</f>
        <v/>
      </c>
      <c r="P6255" s="148">
        <f>M6255/1.1</f>
        <v/>
      </c>
      <c r="Q6255" s="94">
        <f>F6255&amp;E6255&amp;G6255&amp;L6255</f>
        <v/>
      </c>
    </row>
    <row r="6256">
      <c r="A6256" s="94" t="n"/>
      <c r="B6256" s="128" t="n">
        <v>43969</v>
      </c>
      <c r="C6256" s="94">
        <f>TEXT(B6256,"aaa")</f>
        <v/>
      </c>
      <c r="D6256" s="94" t="n"/>
      <c r="E6256" s="6" t="inlineStr">
        <is>
          <t>토너</t>
        </is>
      </c>
      <c r="F6256" s="5" t="inlineStr">
        <is>
          <t>카페24</t>
        </is>
      </c>
      <c r="G6256" s="94" t="inlineStr">
        <is>
          <t>스킨팩 화장솜 60P</t>
        </is>
      </c>
      <c r="H6256" s="7" t="n">
        <v>190801</v>
      </c>
      <c r="I6256" s="7" t="n">
        <v>190801</v>
      </c>
      <c r="J6256" s="94" t="n"/>
      <c r="K6256" s="6" t="n">
        <v>85</v>
      </c>
      <c r="L6256" s="7" t="n">
        <v>190801</v>
      </c>
      <c r="M6256" s="94">
        <f>VLOOKUP($Q6256,매칭테이블!$F:$I,2,0)*K6256</f>
        <v/>
      </c>
      <c r="N6256" s="94">
        <f>M6256-M6256*VLOOKUP($Q6256,매칭테이블!$F:$I,3,0)</f>
        <v/>
      </c>
      <c r="O6256" s="94">
        <f>VLOOKUP($Q6256,매칭테이블!$F:$I,4,0)*K6256</f>
        <v/>
      </c>
      <c r="P6256" s="148">
        <f>M6256/1.1</f>
        <v/>
      </c>
      <c r="Q6256" s="94">
        <f>F6256&amp;E6256&amp;G6256&amp;L6256</f>
        <v/>
      </c>
    </row>
    <row r="6257">
      <c r="A6257" s="94" t="n"/>
      <c r="B6257" s="128" t="n">
        <v>43969</v>
      </c>
      <c r="C6257" s="94">
        <f>TEXT(B6257,"aaa")</f>
        <v/>
      </c>
      <c r="D6257" s="94" t="n"/>
      <c r="E6257" s="94" t="inlineStr">
        <is>
          <t>앰플</t>
        </is>
      </c>
      <c r="F6257" s="5" t="inlineStr">
        <is>
          <t>카페24</t>
        </is>
      </c>
      <c r="G6257" s="94" t="inlineStr">
        <is>
          <t>앰플 30ml</t>
        </is>
      </c>
      <c r="H6257" s="7" t="n">
        <v>190801</v>
      </c>
      <c r="I6257" s="7" t="n">
        <v>190801</v>
      </c>
      <c r="J6257" s="94" t="n"/>
      <c r="K6257" s="6" t="n">
        <v>20</v>
      </c>
      <c r="L6257" s="94" t="n">
        <v>190801</v>
      </c>
      <c r="M6257" s="94">
        <f>VLOOKUP($Q6257,매칭테이블!$F:$I,2,0)*K6257</f>
        <v/>
      </c>
      <c r="N6257" s="94">
        <f>M6257-M6257*VLOOKUP($Q6257,매칭테이블!$F:$I,3,0)</f>
        <v/>
      </c>
      <c r="O6257" s="94">
        <f>VLOOKUP($Q6257,매칭테이블!$F:$I,4,0)*K6257</f>
        <v/>
      </c>
      <c r="P6257" s="148">
        <f>M6257/1.1</f>
        <v/>
      </c>
      <c r="Q6257" s="94">
        <f>F6257&amp;E6257&amp;G6257&amp;L6257</f>
        <v/>
      </c>
    </row>
    <row r="6258">
      <c r="A6258" s="94" t="n"/>
      <c r="B6258" s="128" t="n">
        <v>43969</v>
      </c>
      <c r="C6258" s="94">
        <f>TEXT(B6258,"aaa")</f>
        <v/>
      </c>
      <c r="D6258" s="94" t="n"/>
      <c r="E6258" s="94" t="inlineStr">
        <is>
          <t>수딩크림</t>
        </is>
      </c>
      <c r="F6258" s="5" t="inlineStr">
        <is>
          <t>카페24</t>
        </is>
      </c>
      <c r="G6258" s="94" t="inlineStr">
        <is>
          <t>수딩크림 100ml</t>
        </is>
      </c>
      <c r="H6258" s="7" t="n">
        <v>190801</v>
      </c>
      <c r="I6258" s="7" t="n">
        <v>190801</v>
      </c>
      <c r="J6258" s="94" t="n"/>
      <c r="K6258" s="6" t="n">
        <v>4</v>
      </c>
      <c r="L6258" s="94" t="n">
        <v>190801</v>
      </c>
      <c r="M6258" s="94">
        <f>VLOOKUP($Q6258,매칭테이블!$F:$I,2,0)*K6258</f>
        <v/>
      </c>
      <c r="N6258" s="94">
        <f>M6258-M6258*VLOOKUP($Q6258,매칭테이블!$F:$I,3,0)</f>
        <v/>
      </c>
      <c r="O6258" s="94">
        <f>VLOOKUP($Q6258,매칭테이블!$F:$I,4,0)*K6258</f>
        <v/>
      </c>
      <c r="P6258" s="148">
        <f>M6258/1.1</f>
        <v/>
      </c>
      <c r="Q6258" s="94">
        <f>F6258&amp;E6258&amp;G6258&amp;L6258</f>
        <v/>
      </c>
    </row>
    <row r="6259">
      <c r="A6259" s="94" t="n"/>
      <c r="B6259" s="128" t="n">
        <v>43969</v>
      </c>
      <c r="C6259" s="94">
        <f>TEXT(B6259,"aaa")</f>
        <v/>
      </c>
      <c r="D6259" s="94" t="n"/>
      <c r="E6259" s="94" t="inlineStr">
        <is>
          <t>클렌징폼</t>
        </is>
      </c>
      <c r="F6259" s="94" t="inlineStr">
        <is>
          <t>카페24</t>
        </is>
      </c>
      <c r="G6259" s="94" t="inlineStr">
        <is>
          <t>클렌징폼 120ml</t>
        </is>
      </c>
      <c r="H6259" s="7" t="n">
        <v>190801</v>
      </c>
      <c r="I6259" s="7" t="n">
        <v>190801</v>
      </c>
      <c r="J6259" s="94" t="n"/>
      <c r="K6259" s="6" t="n">
        <v>13</v>
      </c>
      <c r="L6259" s="92" t="n">
        <v>190801</v>
      </c>
      <c r="M6259" s="94">
        <f>VLOOKUP($Q6259,매칭테이블!$F:$I,2,0)*K6259</f>
        <v/>
      </c>
      <c r="N6259" s="94">
        <f>M6259-M6259*VLOOKUP($Q6259,매칭테이블!$F:$I,3,0)</f>
        <v/>
      </c>
      <c r="O6259" s="94">
        <f>VLOOKUP($Q6259,매칭테이블!$F:$I,4,0)*K6259</f>
        <v/>
      </c>
      <c r="P6259" s="148">
        <f>M6259/1.1</f>
        <v/>
      </c>
      <c r="Q6259" s="94">
        <f>F6259&amp;E6259&amp;G6259&amp;L6259</f>
        <v/>
      </c>
    </row>
    <row r="6260">
      <c r="A6260" s="94" t="n"/>
      <c r="B6260" s="128" t="n">
        <v>43969</v>
      </c>
      <c r="C6260" s="94">
        <f>TEXT(B6260,"aaa")</f>
        <v/>
      </c>
      <c r="D6260" s="94" t="n"/>
      <c r="E6260" s="94" t="inlineStr">
        <is>
          <t>클렌징폼</t>
        </is>
      </c>
      <c r="F6260" s="94" t="inlineStr">
        <is>
          <t>카페24</t>
        </is>
      </c>
      <c r="G6260" s="94" t="inlineStr">
        <is>
          <t>클렌징폼 120ml 2set</t>
        </is>
      </c>
      <c r="H6260" s="7" t="n">
        <v>190801</v>
      </c>
      <c r="I6260" s="7" t="n">
        <v>190801</v>
      </c>
      <c r="J6260" s="94" t="n"/>
      <c r="K6260" s="6" t="n">
        <v>3</v>
      </c>
      <c r="L6260" s="92" t="n">
        <v>190801</v>
      </c>
      <c r="M6260" s="94">
        <f>VLOOKUP($Q6260,매칭테이블!$F:$I,2,0)*K6260</f>
        <v/>
      </c>
      <c r="N6260" s="94">
        <f>M6260-M6260*VLOOKUP($Q6260,매칭테이블!$F:$I,3,0)</f>
        <v/>
      </c>
      <c r="O6260" s="94">
        <f>VLOOKUP($Q6260,매칭테이블!$F:$I,4,0)*K6260</f>
        <v/>
      </c>
      <c r="P6260" s="148">
        <f>M6260/1.1</f>
        <v/>
      </c>
      <c r="Q6260" s="94">
        <f>F6260&amp;E6260&amp;G6260&amp;L6260</f>
        <v/>
      </c>
    </row>
    <row r="6261">
      <c r="A6261" s="94" t="n"/>
      <c r="B6261" s="128" t="n">
        <v>43969</v>
      </c>
      <c r="C6261" s="94">
        <f>TEXT(B6261,"aaa")</f>
        <v/>
      </c>
      <c r="D6261" s="94" t="n"/>
      <c r="E6261" s="6" t="inlineStr">
        <is>
          <t>토너</t>
        </is>
      </c>
      <c r="F6261" s="5" t="inlineStr">
        <is>
          <t>큐텐</t>
        </is>
      </c>
      <c r="G6261" s="5" t="inlineStr">
        <is>
          <t>250ml</t>
        </is>
      </c>
      <c r="H6261" s="7" t="n">
        <v>190801</v>
      </c>
      <c r="I6261" s="7" t="n">
        <v>190801</v>
      </c>
      <c r="J6261" s="94" t="n"/>
      <c r="K6261" s="6" t="n">
        <v>54</v>
      </c>
      <c r="L6261" s="92" t="n">
        <v>190801</v>
      </c>
      <c r="M6261" s="94">
        <f>VLOOKUP($Q6261,매칭테이블!$F:$I,2,0)*K6261</f>
        <v/>
      </c>
      <c r="N6261" s="94">
        <f>M6261-M6261*VLOOKUP($Q6261,매칭테이블!$F:$I,3,0)</f>
        <v/>
      </c>
      <c r="O6261" s="94">
        <f>VLOOKUP($Q6261,매칭테이블!$F:$I,4,0)*K6261</f>
        <v/>
      </c>
      <c r="P6261" s="148">
        <f>M6261/1.1</f>
        <v/>
      </c>
      <c r="Q6261" s="94">
        <f>F6261&amp;E6261&amp;G6261&amp;L6261</f>
        <v/>
      </c>
    </row>
    <row r="6262">
      <c r="A6262" s="94" t="n"/>
      <c r="B6262" s="128" t="n">
        <v>43969</v>
      </c>
      <c r="C6262" s="94">
        <f>TEXT(B6262,"aaa")</f>
        <v/>
      </c>
      <c r="D6262" s="94" t="n"/>
      <c r="E6262" s="6" t="inlineStr">
        <is>
          <t>토너</t>
        </is>
      </c>
      <c r="F6262" s="5" t="inlineStr">
        <is>
          <t>큐텐</t>
        </is>
      </c>
      <c r="G6262" s="5" t="inlineStr">
        <is>
          <t>250ml 2set</t>
        </is>
      </c>
      <c r="H6262" s="7" t="n">
        <v>190801</v>
      </c>
      <c r="I6262" s="7" t="n">
        <v>190801</v>
      </c>
      <c r="J6262" s="94" t="n"/>
      <c r="K6262" s="6" t="n">
        <v>18</v>
      </c>
      <c r="L6262" s="92" t="n">
        <v>190801</v>
      </c>
      <c r="M6262" s="94">
        <f>VLOOKUP($Q6262,매칭테이블!$F:$I,2,0)*K6262</f>
        <v/>
      </c>
      <c r="N6262" s="94">
        <f>M6262-M6262*VLOOKUP($Q6262,매칭테이블!$F:$I,3,0)</f>
        <v/>
      </c>
      <c r="O6262" s="94">
        <f>VLOOKUP($Q6262,매칭테이블!$F:$I,4,0)*K6262</f>
        <v/>
      </c>
      <c r="P6262" s="148">
        <f>M6262/1.1</f>
        <v/>
      </c>
      <c r="Q6262" s="94">
        <f>F6262&amp;E6262&amp;G6262&amp;L6262</f>
        <v/>
      </c>
    </row>
    <row r="6263">
      <c r="A6263" s="94" t="n"/>
      <c r="B6263" s="128" t="n">
        <v>43969</v>
      </c>
      <c r="C6263" s="94">
        <f>TEXT(B6263,"aaa")</f>
        <v/>
      </c>
      <c r="D6263" s="94" t="n"/>
      <c r="E6263" s="94" t="inlineStr">
        <is>
          <t>앰플</t>
        </is>
      </c>
      <c r="F6263" s="5" t="inlineStr">
        <is>
          <t>큐텐</t>
        </is>
      </c>
      <c r="G6263" s="94" t="inlineStr">
        <is>
          <t>앰플 30ml</t>
        </is>
      </c>
      <c r="H6263" s="7" t="n">
        <v>190801</v>
      </c>
      <c r="I6263" s="7" t="n">
        <v>190801</v>
      </c>
      <c r="J6263" s="94" t="n"/>
      <c r="K6263" s="6" t="n">
        <v>8</v>
      </c>
      <c r="L6263" s="92" t="n">
        <v>190801</v>
      </c>
      <c r="M6263" s="94">
        <f>VLOOKUP($Q6263,매칭테이블!$F:$I,2,0)*K6263</f>
        <v/>
      </c>
      <c r="N6263" s="94">
        <f>M6263-M6263*VLOOKUP($Q6263,매칭테이블!$F:$I,3,0)</f>
        <v/>
      </c>
      <c r="O6263" s="94">
        <f>VLOOKUP($Q6263,매칭테이블!$F:$I,4,0)*K6263</f>
        <v/>
      </c>
      <c r="P6263" s="148">
        <f>M6263/1.1</f>
        <v/>
      </c>
      <c r="Q6263" s="94">
        <f>F6263&amp;E6263&amp;G6263&amp;L6263</f>
        <v/>
      </c>
    </row>
    <row r="6264">
      <c r="A6264" s="94" t="n"/>
      <c r="B6264" s="128" t="n">
        <v>43969</v>
      </c>
      <c r="C6264" s="94">
        <f>TEXT(B6264,"aaa")</f>
        <v/>
      </c>
      <c r="D6264" s="94" t="n"/>
      <c r="E6264" s="94" t="inlineStr">
        <is>
          <t>머드크림마스크</t>
        </is>
      </c>
      <c r="F6264" s="5" t="inlineStr">
        <is>
          <t>큐텐</t>
        </is>
      </c>
      <c r="G6264" s="94" t="inlineStr">
        <is>
          <t>머드크림마스크 100ml</t>
        </is>
      </c>
      <c r="H6264" s="7" t="n">
        <v>190801</v>
      </c>
      <c r="I6264" s="7" t="n">
        <v>190801</v>
      </c>
      <c r="J6264" s="94" t="n"/>
      <c r="K6264" s="6" t="n">
        <v>1</v>
      </c>
      <c r="L6264" s="92" t="n">
        <v>190801</v>
      </c>
      <c r="M6264" s="94">
        <f>VLOOKUP($Q6264,매칭테이블!$F:$I,2,0)*K6264</f>
        <v/>
      </c>
      <c r="N6264" s="94">
        <f>M6264-M6264*VLOOKUP($Q6264,매칭테이블!$F:$I,3,0)</f>
        <v/>
      </c>
      <c r="O6264" s="94">
        <f>VLOOKUP($Q6264,매칭테이블!$F:$I,4,0)*K6264</f>
        <v/>
      </c>
      <c r="P6264" s="148">
        <f>M6264/1.1</f>
        <v/>
      </c>
      <c r="Q6264" s="94">
        <f>F6264&amp;E6264&amp;G6264&amp;L6264</f>
        <v/>
      </c>
    </row>
    <row r="6265">
      <c r="A6265" s="94" t="n"/>
      <c r="B6265" s="128" t="n">
        <v>43969</v>
      </c>
      <c r="C6265" s="94">
        <f>TEXT(B6265,"aaa")</f>
        <v/>
      </c>
      <c r="D6265" s="94" t="n"/>
      <c r="E6265" s="94" t="inlineStr">
        <is>
          <t>클렌징폼</t>
        </is>
      </c>
      <c r="F6265" s="5" t="inlineStr">
        <is>
          <t>큐텐</t>
        </is>
      </c>
      <c r="G6265" s="94" t="inlineStr">
        <is>
          <t>클렌징폼 120ml</t>
        </is>
      </c>
      <c r="H6265" s="7" t="n">
        <v>190801</v>
      </c>
      <c r="I6265" s="7" t="n">
        <v>190801</v>
      </c>
      <c r="J6265" s="94" t="n"/>
      <c r="K6265" s="6" t="n">
        <v>1</v>
      </c>
      <c r="L6265" s="92" t="n">
        <v>190801</v>
      </c>
      <c r="M6265" s="94">
        <f>VLOOKUP($Q6265,매칭테이블!$F:$I,2,0)*K6265</f>
        <v/>
      </c>
      <c r="N6265" s="94">
        <f>M6265-M6265*VLOOKUP($Q6265,매칭테이블!$F:$I,3,0)</f>
        <v/>
      </c>
      <c r="O6265" s="94">
        <f>VLOOKUP($Q6265,매칭테이블!$F:$I,4,0)*K6265</f>
        <v/>
      </c>
      <c r="P6265" s="148">
        <f>M6265/1.1</f>
        <v/>
      </c>
      <c r="Q6265" s="94">
        <f>F6265&amp;E6265&amp;G6265&amp;L6265</f>
        <v/>
      </c>
    </row>
    <row r="6266">
      <c r="A6266" s="94" t="n"/>
      <c r="B6266" s="128" t="n">
        <v>43969</v>
      </c>
      <c r="C6266" s="94">
        <f>TEXT(B6266,"aaa")</f>
        <v/>
      </c>
      <c r="D6266" s="94" t="n"/>
      <c r="E6266" s="94" t="inlineStr">
        <is>
          <t>마스크팩</t>
        </is>
      </c>
      <c r="F6266" s="5" t="inlineStr">
        <is>
          <t>큐텐</t>
        </is>
      </c>
      <c r="G6266" s="94" t="inlineStr">
        <is>
          <t>마스크팩 10매</t>
        </is>
      </c>
      <c r="H6266" s="7" t="n">
        <v>190801</v>
      </c>
      <c r="I6266" s="7" t="n">
        <v>190801</v>
      </c>
      <c r="J6266" s="94" t="n"/>
      <c r="K6266" s="6" t="n">
        <v>1</v>
      </c>
      <c r="L6266" s="92" t="n">
        <v>190801</v>
      </c>
      <c r="M6266" s="94">
        <f>VLOOKUP($Q6266,매칭테이블!$F:$I,2,0)*K6266</f>
        <v/>
      </c>
      <c r="N6266" s="94">
        <f>M6266-M6266*VLOOKUP($Q6266,매칭테이블!$F:$I,3,0)</f>
        <v/>
      </c>
      <c r="O6266" s="94">
        <f>VLOOKUP($Q6266,매칭테이블!$F:$I,4,0)*K6266</f>
        <v/>
      </c>
      <c r="P6266" s="148">
        <f>M6266/1.1</f>
        <v/>
      </c>
      <c r="Q6266" s="94">
        <f>F6266&amp;E6266&amp;G6266&amp;L6266</f>
        <v/>
      </c>
    </row>
    <row r="6267">
      <c r="A6267" s="94" t="n"/>
      <c r="B6267" s="128" t="n">
        <v>43970</v>
      </c>
      <c r="C6267" s="94">
        <f>TEXT(B6267,"aaa")</f>
        <v/>
      </c>
      <c r="D6267" s="94" t="n"/>
      <c r="E6267" s="6" t="inlineStr">
        <is>
          <t>토너</t>
        </is>
      </c>
      <c r="F6267" s="5" t="inlineStr">
        <is>
          <t>W컨셉</t>
        </is>
      </c>
      <c r="G6267" s="5" t="inlineStr">
        <is>
          <t>250ml 2set</t>
        </is>
      </c>
      <c r="H6267" s="7" t="n">
        <v>190801</v>
      </c>
      <c r="I6267" s="7" t="n">
        <v>190801</v>
      </c>
      <c r="J6267" s="94" t="n"/>
      <c r="K6267" s="6" t="n">
        <v>4</v>
      </c>
      <c r="L6267" s="7" t="n">
        <v>190801</v>
      </c>
      <c r="M6267" s="94">
        <f>VLOOKUP($Q6267,매칭테이블!$F:$I,2,0)*K6267</f>
        <v/>
      </c>
      <c r="N6267" s="94">
        <f>M6267-M6267*VLOOKUP($Q6267,매칭테이블!$F:$I,3,0)</f>
        <v/>
      </c>
      <c r="O6267" s="94">
        <f>VLOOKUP($Q6267,매칭테이블!$F:$I,4,0)*K6267</f>
        <v/>
      </c>
      <c r="P6267" s="148">
        <f>M6267/1.1</f>
        <v/>
      </c>
      <c r="Q6267" s="94">
        <f>F6267&amp;E6267&amp;G6267&amp;L6267</f>
        <v/>
      </c>
    </row>
    <row r="6268">
      <c r="A6268" s="94" t="n"/>
      <c r="B6268" s="128" t="n">
        <v>43970</v>
      </c>
      <c r="C6268" s="94">
        <f>TEXT(B6268,"aaa")</f>
        <v/>
      </c>
      <c r="D6268" s="94" t="n"/>
      <c r="E6268" s="94" t="inlineStr">
        <is>
          <t>토너</t>
        </is>
      </c>
      <c r="F6268" s="5" t="inlineStr">
        <is>
          <t>스타일쉐어</t>
        </is>
      </c>
      <c r="G6268" s="94" t="inlineStr">
        <is>
          <t>250ml</t>
        </is>
      </c>
      <c r="H6268" s="7" t="n">
        <v>190801</v>
      </c>
      <c r="I6268" s="7" t="n">
        <v>190801</v>
      </c>
      <c r="J6268" s="94" t="n"/>
      <c r="K6268" s="6" t="n">
        <v>9</v>
      </c>
      <c r="L6268" s="7" t="n">
        <v>190801</v>
      </c>
      <c r="M6268" s="94">
        <f>VLOOKUP($Q6268,매칭테이블!$F:$I,2,0)*K6268</f>
        <v/>
      </c>
      <c r="N6268" s="94">
        <f>M6268-M6268*VLOOKUP($Q6268,매칭테이블!$F:$I,3,0)</f>
        <v/>
      </c>
      <c r="O6268" s="94">
        <f>VLOOKUP($Q6268,매칭테이블!$F:$I,4,0)*K6268</f>
        <v/>
      </c>
      <c r="P6268" s="148">
        <f>M6268/1.1</f>
        <v/>
      </c>
      <c r="Q6268" s="94">
        <f>F6268&amp;E6268&amp;G6268&amp;L6268</f>
        <v/>
      </c>
    </row>
    <row r="6269">
      <c r="A6269" s="94" t="n"/>
      <c r="B6269" s="128" t="n">
        <v>43970</v>
      </c>
      <c r="C6269" s="94">
        <f>TEXT(B6269,"aaa")</f>
        <v/>
      </c>
      <c r="D6269" s="94" t="n"/>
      <c r="E6269" s="94" t="inlineStr">
        <is>
          <t>선크림</t>
        </is>
      </c>
      <c r="F6269" s="94" t="inlineStr">
        <is>
          <t>카페24</t>
        </is>
      </c>
      <c r="G6269" s="94" t="inlineStr">
        <is>
          <t>선크림 50ml</t>
        </is>
      </c>
      <c r="H6269" s="7" t="n">
        <v>190801</v>
      </c>
      <c r="I6269" s="7" t="n">
        <v>190801</v>
      </c>
      <c r="J6269" s="94" t="n"/>
      <c r="K6269" s="6" t="n">
        <v>3</v>
      </c>
      <c r="L6269" s="7" t="n">
        <v>190801</v>
      </c>
      <c r="M6269" s="94">
        <f>VLOOKUP($Q6269,매칭테이블!$F:$I,2,0)*K6269</f>
        <v/>
      </c>
      <c r="N6269" s="94">
        <f>M6269-M6269*VLOOKUP($Q6269,매칭테이블!$F:$I,3,0)</f>
        <v/>
      </c>
      <c r="O6269" s="94">
        <f>VLOOKUP($Q6269,매칭테이블!$F:$I,4,0)*K6269</f>
        <v/>
      </c>
      <c r="P6269" s="148">
        <f>M6269/1.1</f>
        <v/>
      </c>
      <c r="Q6269" s="94">
        <f>F6269&amp;E6269&amp;G6269&amp;L6269</f>
        <v/>
      </c>
    </row>
    <row r="6270">
      <c r="A6270" s="94" t="n"/>
      <c r="B6270" s="128" t="n">
        <v>43970</v>
      </c>
      <c r="C6270" s="94">
        <f>TEXT(B6270,"aaa")</f>
        <v/>
      </c>
      <c r="D6270" s="94" t="n"/>
      <c r="E6270" s="94" t="inlineStr">
        <is>
          <t>어성초진정패키지</t>
        </is>
      </c>
      <c r="F6270" s="94" t="inlineStr">
        <is>
          <t>카페24</t>
        </is>
      </c>
      <c r="G6270" s="94" t="inlineStr">
        <is>
          <t>어성초 진정패키지세트</t>
        </is>
      </c>
      <c r="H6270" s="7" t="n">
        <v>190801</v>
      </c>
      <c r="I6270" s="7" t="n">
        <v>190801</v>
      </c>
      <c r="J6270" s="94" t="n"/>
      <c r="K6270" s="6" t="n">
        <v>10</v>
      </c>
      <c r="L6270" s="94" t="n">
        <v>190801</v>
      </c>
      <c r="M6270" s="94">
        <f>VLOOKUP($Q6270,매칭테이블!$F:$I,2,0)*K6270</f>
        <v/>
      </c>
      <c r="N6270" s="94">
        <f>M6270-M6270*VLOOKUP($Q6270,매칭테이블!$F:$I,3,0)</f>
        <v/>
      </c>
      <c r="O6270" s="94">
        <f>VLOOKUP($Q6270,매칭테이블!$F:$I,4,0)*K6270</f>
        <v/>
      </c>
      <c r="P6270" s="148">
        <f>M6270/1.1</f>
        <v/>
      </c>
      <c r="Q6270" s="94">
        <f>F6270&amp;E6270&amp;G6270&amp;L6270</f>
        <v/>
      </c>
    </row>
    <row r="6271">
      <c r="A6271" s="94" t="n"/>
      <c r="B6271" s="128" t="n">
        <v>43970</v>
      </c>
      <c r="C6271" s="94">
        <f>TEXT(B6271,"aaa")</f>
        <v/>
      </c>
      <c r="D6271" s="94" t="n"/>
      <c r="E6271" s="94" t="inlineStr">
        <is>
          <t>머드크림마스크</t>
        </is>
      </c>
      <c r="F6271" s="94" t="inlineStr">
        <is>
          <t>카페24</t>
        </is>
      </c>
      <c r="G6271" s="94" t="inlineStr">
        <is>
          <t>머드크림마스크 100ml</t>
        </is>
      </c>
      <c r="H6271" s="7" t="n">
        <v>190801</v>
      </c>
      <c r="I6271" s="7" t="n">
        <v>190801</v>
      </c>
      <c r="J6271" s="94" t="n"/>
      <c r="K6271" s="6" t="n">
        <v>4</v>
      </c>
      <c r="L6271" s="94" t="n">
        <v>190801</v>
      </c>
      <c r="M6271" s="94">
        <f>VLOOKUP($Q6271,매칭테이블!$F:$I,2,0)*K6271</f>
        <v/>
      </c>
      <c r="N6271" s="94">
        <f>M6271-M6271*VLOOKUP($Q6271,매칭테이블!$F:$I,3,0)</f>
        <v/>
      </c>
      <c r="O6271" s="94">
        <f>VLOOKUP($Q6271,매칭테이블!$F:$I,4,0)*K6271</f>
        <v/>
      </c>
      <c r="P6271" s="148">
        <f>M6271/1.1</f>
        <v/>
      </c>
      <c r="Q6271" s="94">
        <f>F6271&amp;E6271&amp;G6271&amp;L6271</f>
        <v/>
      </c>
    </row>
    <row r="6272">
      <c r="A6272" s="94" t="n"/>
      <c r="B6272" s="128" t="n">
        <v>43970</v>
      </c>
      <c r="C6272" s="94">
        <f>TEXT(B6272,"aaa")</f>
        <v/>
      </c>
      <c r="D6272" s="94" t="n"/>
      <c r="E6272" s="94" t="inlineStr">
        <is>
          <t>마스크팩</t>
        </is>
      </c>
      <c r="F6272" s="94" t="inlineStr">
        <is>
          <t>카페24</t>
        </is>
      </c>
      <c r="G6272" s="94" t="inlineStr">
        <is>
          <t>마스크팩 1매</t>
        </is>
      </c>
      <c r="H6272" s="7" t="n">
        <v>190801</v>
      </c>
      <c r="I6272" s="7" t="n">
        <v>190801</v>
      </c>
      <c r="J6272" s="94" t="n"/>
      <c r="K6272" s="6" t="n">
        <v>2</v>
      </c>
      <c r="L6272" s="94" t="n">
        <v>190801</v>
      </c>
      <c r="M6272" s="94">
        <f>VLOOKUP($Q6272,매칭테이블!$F:$I,2,0)*K6272</f>
        <v/>
      </c>
      <c r="N6272" s="94">
        <f>M6272-M6272*VLOOKUP($Q6272,매칭테이블!$F:$I,3,0)</f>
        <v/>
      </c>
      <c r="O6272" s="94">
        <f>VLOOKUP($Q6272,매칭테이블!$F:$I,4,0)*K6272</f>
        <v/>
      </c>
      <c r="P6272" s="148">
        <f>M6272/1.1</f>
        <v/>
      </c>
      <c r="Q6272" s="94">
        <f>F6272&amp;E6272&amp;G6272&amp;L6272</f>
        <v/>
      </c>
    </row>
    <row r="6273">
      <c r="A6273" s="94" t="n"/>
      <c r="B6273" s="128" t="n">
        <v>43970</v>
      </c>
      <c r="C6273" s="94">
        <f>TEXT(B6273,"aaa")</f>
        <v/>
      </c>
      <c r="D6273" s="94" t="n"/>
      <c r="E6273" s="94" t="inlineStr">
        <is>
          <t>마스크팩</t>
        </is>
      </c>
      <c r="F6273" s="94" t="inlineStr">
        <is>
          <t>카페24</t>
        </is>
      </c>
      <c r="G6273" s="94" t="inlineStr">
        <is>
          <t>마스크팩 10매</t>
        </is>
      </c>
      <c r="H6273" s="7" t="n">
        <v>190801</v>
      </c>
      <c r="I6273" s="7" t="n">
        <v>190801</v>
      </c>
      <c r="J6273" s="94" t="n"/>
      <c r="K6273" s="6" t="n">
        <v>1</v>
      </c>
      <c r="L6273" s="94" t="n">
        <v>190801</v>
      </c>
      <c r="M6273" s="94">
        <f>VLOOKUP($Q6273,매칭테이블!$F:$I,2,0)*K6273</f>
        <v/>
      </c>
      <c r="N6273" s="94">
        <f>M6273-M6273*VLOOKUP($Q6273,매칭테이블!$F:$I,3,0)</f>
        <v/>
      </c>
      <c r="O6273" s="94">
        <f>VLOOKUP($Q6273,매칭테이블!$F:$I,4,0)*K6273</f>
        <v/>
      </c>
      <c r="P6273" s="148">
        <f>M6273/1.1</f>
        <v/>
      </c>
      <c r="Q6273" s="94">
        <f>F6273&amp;E6273&amp;G6273&amp;L6273</f>
        <v/>
      </c>
    </row>
    <row r="6274">
      <c r="A6274" s="94" t="n"/>
      <c r="B6274" s="128" t="n">
        <v>43970</v>
      </c>
      <c r="C6274" s="94">
        <f>TEXT(B6274,"aaa")</f>
        <v/>
      </c>
      <c r="D6274" s="94" t="n"/>
      <c r="E6274" s="6" t="inlineStr">
        <is>
          <t>토너</t>
        </is>
      </c>
      <c r="F6274" s="5" t="inlineStr">
        <is>
          <t>카페24</t>
        </is>
      </c>
      <c r="G6274" s="5" t="inlineStr">
        <is>
          <t>250ml</t>
        </is>
      </c>
      <c r="H6274" s="7" t="n">
        <v>190801</v>
      </c>
      <c r="I6274" s="7" t="n">
        <v>190801</v>
      </c>
      <c r="J6274" s="94" t="n"/>
      <c r="K6274" s="6" t="n">
        <v>68</v>
      </c>
      <c r="L6274" s="7" t="n">
        <v>190801</v>
      </c>
      <c r="M6274" s="94">
        <f>VLOOKUP($Q6274,매칭테이블!$F:$I,2,0)*K6274</f>
        <v/>
      </c>
      <c r="N6274" s="94">
        <f>M6274-M6274*VLOOKUP($Q6274,매칭테이블!$F:$I,3,0)</f>
        <v/>
      </c>
      <c r="O6274" s="94">
        <f>VLOOKUP($Q6274,매칭테이블!$F:$I,4,0)*K6274</f>
        <v/>
      </c>
      <c r="P6274" s="148">
        <f>M6274/1.1</f>
        <v/>
      </c>
      <c r="Q6274" s="94">
        <f>F6274&amp;E6274&amp;G6274&amp;L6274</f>
        <v/>
      </c>
    </row>
    <row r="6275">
      <c r="A6275" s="94" t="n"/>
      <c r="B6275" s="128" t="n">
        <v>43970</v>
      </c>
      <c r="C6275" s="94">
        <f>TEXT(B6275,"aaa")</f>
        <v/>
      </c>
      <c r="D6275" s="94" t="n"/>
      <c r="E6275" s="6" t="inlineStr">
        <is>
          <t>토너</t>
        </is>
      </c>
      <c r="F6275" s="5" t="inlineStr">
        <is>
          <t>카페24</t>
        </is>
      </c>
      <c r="G6275" s="5" t="inlineStr">
        <is>
          <t>250ml 2set</t>
        </is>
      </c>
      <c r="H6275" s="7" t="n">
        <v>190801</v>
      </c>
      <c r="I6275" s="7" t="n">
        <v>190801</v>
      </c>
      <c r="J6275" s="94" t="n"/>
      <c r="K6275" s="6" t="n">
        <v>49</v>
      </c>
      <c r="L6275" s="7" t="n">
        <v>190801</v>
      </c>
      <c r="M6275" s="94">
        <f>VLOOKUP($Q6275,매칭테이블!$F:$I,2,0)*K6275</f>
        <v/>
      </c>
      <c r="N6275" s="94">
        <f>M6275-M6275*VLOOKUP($Q6275,매칭테이블!$F:$I,3,0)</f>
        <v/>
      </c>
      <c r="O6275" s="94">
        <f>VLOOKUP($Q6275,매칭테이블!$F:$I,4,0)*K6275</f>
        <v/>
      </c>
      <c r="P6275" s="148">
        <f>M6275/1.1</f>
        <v/>
      </c>
      <c r="Q6275" s="94">
        <f>F6275&amp;E6275&amp;G6275&amp;L6275</f>
        <v/>
      </c>
    </row>
    <row r="6276">
      <c r="A6276" s="94" t="n"/>
      <c r="B6276" s="128" t="n">
        <v>43970</v>
      </c>
      <c r="C6276" s="94">
        <f>TEXT(B6276,"aaa")</f>
        <v/>
      </c>
      <c r="D6276" s="94" t="n"/>
      <c r="E6276" s="6" t="inlineStr">
        <is>
          <t>토너</t>
        </is>
      </c>
      <c r="F6276" s="5" t="inlineStr">
        <is>
          <t>카페24</t>
        </is>
      </c>
      <c r="G6276" s="5" t="inlineStr">
        <is>
          <t>500ml</t>
        </is>
      </c>
      <c r="H6276" s="7" t="n">
        <v>190801</v>
      </c>
      <c r="I6276" s="7" t="n">
        <v>190801</v>
      </c>
      <c r="J6276" s="94" t="n"/>
      <c r="K6276" s="6" t="n">
        <v>54</v>
      </c>
      <c r="L6276" s="7" t="n">
        <v>190801</v>
      </c>
      <c r="M6276" s="94">
        <f>VLOOKUP($Q6276,매칭테이블!$F:$I,2,0)*K6276</f>
        <v/>
      </c>
      <c r="N6276" s="94">
        <f>M6276-M6276*VLOOKUP($Q6276,매칭테이블!$F:$I,3,0)</f>
        <v/>
      </c>
      <c r="O6276" s="94">
        <f>VLOOKUP($Q6276,매칭테이블!$F:$I,4,0)*K6276</f>
        <v/>
      </c>
      <c r="P6276" s="148">
        <f>M6276/1.1</f>
        <v/>
      </c>
      <c r="Q6276" s="94">
        <f>F6276&amp;E6276&amp;G6276&amp;L6276</f>
        <v/>
      </c>
    </row>
    <row r="6277">
      <c r="A6277" s="94" t="n"/>
      <c r="B6277" s="128" t="n">
        <v>43970</v>
      </c>
      <c r="C6277" s="94">
        <f>TEXT(B6277,"aaa")</f>
        <v/>
      </c>
      <c r="D6277" s="94" t="n"/>
      <c r="E6277" s="6" t="inlineStr">
        <is>
          <t>토너</t>
        </is>
      </c>
      <c r="F6277" s="5" t="inlineStr">
        <is>
          <t>카페24</t>
        </is>
      </c>
      <c r="G6277" s="94" t="inlineStr">
        <is>
          <t>스킨팩 화장솜 60P</t>
        </is>
      </c>
      <c r="H6277" s="7" t="n">
        <v>190801</v>
      </c>
      <c r="I6277" s="7" t="n">
        <v>190801</v>
      </c>
      <c r="J6277" s="94" t="n"/>
      <c r="K6277" s="6" t="n">
        <v>71</v>
      </c>
      <c r="L6277" s="7" t="n">
        <v>190801</v>
      </c>
      <c r="M6277" s="94">
        <f>VLOOKUP($Q6277,매칭테이블!$F:$I,2,0)*K6277</f>
        <v/>
      </c>
      <c r="N6277" s="94">
        <f>M6277-M6277*VLOOKUP($Q6277,매칭테이블!$F:$I,3,0)</f>
        <v/>
      </c>
      <c r="O6277" s="94">
        <f>VLOOKUP($Q6277,매칭테이블!$F:$I,4,0)*K6277</f>
        <v/>
      </c>
      <c r="P6277" s="148">
        <f>M6277/1.1</f>
        <v/>
      </c>
      <c r="Q6277" s="94">
        <f>F6277&amp;E6277&amp;G6277&amp;L6277</f>
        <v/>
      </c>
    </row>
    <row r="6278">
      <c r="A6278" s="94" t="n"/>
      <c r="B6278" s="128" t="n">
        <v>43970</v>
      </c>
      <c r="C6278" s="94">
        <f>TEXT(B6278,"aaa")</f>
        <v/>
      </c>
      <c r="D6278" s="94" t="n"/>
      <c r="E6278" s="94" t="inlineStr">
        <is>
          <t>앰플</t>
        </is>
      </c>
      <c r="F6278" s="5" t="inlineStr">
        <is>
          <t>카페24</t>
        </is>
      </c>
      <c r="G6278" s="94" t="inlineStr">
        <is>
          <t>앰플 30ml</t>
        </is>
      </c>
      <c r="H6278" s="7" t="n">
        <v>190801</v>
      </c>
      <c r="I6278" s="7" t="n">
        <v>190801</v>
      </c>
      <c r="J6278" s="94" t="n"/>
      <c r="K6278" s="6" t="n">
        <v>13</v>
      </c>
      <c r="L6278" s="94" t="n">
        <v>190801</v>
      </c>
      <c r="M6278" s="94">
        <f>VLOOKUP($Q6278,매칭테이블!$F:$I,2,0)*K6278</f>
        <v/>
      </c>
      <c r="N6278" s="94">
        <f>M6278-M6278*VLOOKUP($Q6278,매칭테이블!$F:$I,3,0)</f>
        <v/>
      </c>
      <c r="O6278" s="94">
        <f>VLOOKUP($Q6278,매칭테이블!$F:$I,4,0)*K6278</f>
        <v/>
      </c>
      <c r="P6278" s="148">
        <f>M6278/1.1</f>
        <v/>
      </c>
      <c r="Q6278" s="94">
        <f>F6278&amp;E6278&amp;G6278&amp;L6278</f>
        <v/>
      </c>
    </row>
    <row r="6279">
      <c r="A6279" s="94" t="n"/>
      <c r="B6279" s="128" t="n">
        <v>43970</v>
      </c>
      <c r="C6279" s="94">
        <f>TEXT(B6279,"aaa")</f>
        <v/>
      </c>
      <c r="D6279" s="94" t="n"/>
      <c r="E6279" s="94" t="inlineStr">
        <is>
          <t>수딩크림</t>
        </is>
      </c>
      <c r="F6279" s="5" t="inlineStr">
        <is>
          <t>카페24</t>
        </is>
      </c>
      <c r="G6279" s="94" t="inlineStr">
        <is>
          <t>수딩크림 100ml</t>
        </is>
      </c>
      <c r="H6279" s="7" t="n">
        <v>190801</v>
      </c>
      <c r="I6279" s="7" t="n">
        <v>190801</v>
      </c>
      <c r="J6279" s="94" t="n"/>
      <c r="K6279" s="6" t="n">
        <v>4</v>
      </c>
      <c r="L6279" s="94" t="n">
        <v>190801</v>
      </c>
      <c r="M6279" s="94">
        <f>VLOOKUP($Q6279,매칭테이블!$F:$I,2,0)*K6279</f>
        <v/>
      </c>
      <c r="N6279" s="94">
        <f>M6279-M6279*VLOOKUP($Q6279,매칭테이블!$F:$I,3,0)</f>
        <v/>
      </c>
      <c r="O6279" s="94">
        <f>VLOOKUP($Q6279,매칭테이블!$F:$I,4,0)*K6279</f>
        <v/>
      </c>
      <c r="P6279" s="148">
        <f>M6279/1.1</f>
        <v/>
      </c>
      <c r="Q6279" s="94">
        <f>F6279&amp;E6279&amp;G6279&amp;L6279</f>
        <v/>
      </c>
    </row>
    <row r="6280">
      <c r="A6280" s="94" t="n"/>
      <c r="B6280" s="128" t="n">
        <v>43970</v>
      </c>
      <c r="C6280" s="94">
        <f>TEXT(B6280,"aaa")</f>
        <v/>
      </c>
      <c r="D6280" s="94" t="n"/>
      <c r="E6280" s="94" t="inlineStr">
        <is>
          <t>클렌징폼</t>
        </is>
      </c>
      <c r="F6280" s="94" t="inlineStr">
        <is>
          <t>카페24</t>
        </is>
      </c>
      <c r="G6280" s="94" t="inlineStr">
        <is>
          <t>클렌징폼 120ml</t>
        </is>
      </c>
      <c r="H6280" s="7" t="n">
        <v>190801</v>
      </c>
      <c r="I6280" s="7" t="n">
        <v>190801</v>
      </c>
      <c r="J6280" s="94" t="n"/>
      <c r="K6280" s="6" t="n">
        <v>6</v>
      </c>
      <c r="L6280" s="92" t="n">
        <v>190801</v>
      </c>
      <c r="M6280" s="94">
        <f>VLOOKUP($Q6280,매칭테이블!$F:$I,2,0)*K6280</f>
        <v/>
      </c>
      <c r="N6280" s="94">
        <f>M6280-M6280*VLOOKUP($Q6280,매칭테이블!$F:$I,3,0)</f>
        <v/>
      </c>
      <c r="O6280" s="94">
        <f>VLOOKUP($Q6280,매칭테이블!$F:$I,4,0)*K6280</f>
        <v/>
      </c>
      <c r="P6280" s="148">
        <f>M6280/1.1</f>
        <v/>
      </c>
      <c r="Q6280" s="94">
        <f>F6280&amp;E6280&amp;G6280&amp;L6280</f>
        <v/>
      </c>
    </row>
    <row r="6281">
      <c r="A6281" s="94" t="n"/>
      <c r="B6281" s="128" t="n">
        <v>43970</v>
      </c>
      <c r="C6281" s="94">
        <f>TEXT(B6281,"aaa")</f>
        <v/>
      </c>
      <c r="D6281" s="94" t="n"/>
      <c r="E6281" s="94" t="inlineStr">
        <is>
          <t>클렌징폼</t>
        </is>
      </c>
      <c r="F6281" s="94" t="inlineStr">
        <is>
          <t>카페24</t>
        </is>
      </c>
      <c r="G6281" s="94" t="inlineStr">
        <is>
          <t>클렌징폼 120ml 2set</t>
        </is>
      </c>
      <c r="H6281" s="7" t="n">
        <v>190801</v>
      </c>
      <c r="I6281" s="7" t="n">
        <v>190801</v>
      </c>
      <c r="J6281" s="94" t="n"/>
      <c r="K6281" s="6" t="n">
        <v>1</v>
      </c>
      <c r="L6281" s="92" t="n">
        <v>190801</v>
      </c>
      <c r="M6281" s="94">
        <f>VLOOKUP($Q6281,매칭테이블!$F:$I,2,0)*K6281</f>
        <v/>
      </c>
      <c r="N6281" s="94">
        <f>M6281-M6281*VLOOKUP($Q6281,매칭테이블!$F:$I,3,0)</f>
        <v/>
      </c>
      <c r="O6281" s="94">
        <f>VLOOKUP($Q6281,매칭테이블!$F:$I,4,0)*K6281</f>
        <v/>
      </c>
      <c r="P6281" s="148">
        <f>M6281/1.1</f>
        <v/>
      </c>
      <c r="Q6281" s="94">
        <f>F6281&amp;E6281&amp;G6281&amp;L6281</f>
        <v/>
      </c>
    </row>
    <row r="6282">
      <c r="A6282" s="94" t="n"/>
      <c r="B6282" s="128" t="n">
        <v>43970</v>
      </c>
      <c r="C6282" s="94">
        <f>TEXT(B6282,"aaa")</f>
        <v/>
      </c>
      <c r="D6282" s="94" t="n"/>
      <c r="E6282" s="94" t="inlineStr">
        <is>
          <t>클렌징폼</t>
        </is>
      </c>
      <c r="F6282" s="94" t="inlineStr">
        <is>
          <t>카페24</t>
        </is>
      </c>
      <c r="G6282" s="94" t="inlineStr">
        <is>
          <t>클렌징폼 120ml 3set</t>
        </is>
      </c>
      <c r="H6282" s="7" t="n">
        <v>190801</v>
      </c>
      <c r="I6282" s="7" t="n">
        <v>190801</v>
      </c>
      <c r="J6282" s="94" t="n"/>
      <c r="K6282" s="6" t="n">
        <v>1</v>
      </c>
      <c r="L6282" s="92" t="n">
        <v>190801</v>
      </c>
      <c r="M6282" s="94">
        <f>VLOOKUP($Q6282,매칭테이블!$F:$I,2,0)*K6282</f>
        <v/>
      </c>
      <c r="N6282" s="94">
        <f>M6282-M6282*VLOOKUP($Q6282,매칭테이블!$F:$I,3,0)</f>
        <v/>
      </c>
      <c r="O6282" s="94">
        <f>VLOOKUP($Q6282,매칭테이블!$F:$I,4,0)*K6282</f>
        <v/>
      </c>
      <c r="P6282" s="148">
        <f>M6282/1.1</f>
        <v/>
      </c>
      <c r="Q6282" s="94">
        <f>F6282&amp;E6282&amp;G6282&amp;L6282</f>
        <v/>
      </c>
    </row>
    <row r="6283">
      <c r="A6283" s="94" t="n"/>
      <c r="B6283" s="128" t="n">
        <v>43970</v>
      </c>
      <c r="C6283" s="94">
        <f>TEXT(B6283,"aaa")</f>
        <v/>
      </c>
      <c r="D6283" s="94" t="n"/>
      <c r="E6283" s="6" t="inlineStr">
        <is>
          <t>토너</t>
        </is>
      </c>
      <c r="F6283" s="5" t="inlineStr">
        <is>
          <t>큐텐</t>
        </is>
      </c>
      <c r="G6283" s="5" t="inlineStr">
        <is>
          <t>250ml</t>
        </is>
      </c>
      <c r="H6283" s="7" t="n">
        <v>190801</v>
      </c>
      <c r="I6283" s="7" t="n">
        <v>190801</v>
      </c>
      <c r="J6283" s="94" t="n"/>
      <c r="K6283" s="6" t="n">
        <v>18</v>
      </c>
      <c r="L6283" s="92" t="n">
        <v>190801</v>
      </c>
      <c r="M6283" s="94">
        <f>VLOOKUP($Q6283,매칭테이블!$F:$I,2,0)*K6283</f>
        <v/>
      </c>
      <c r="N6283" s="94">
        <f>M6283-M6283*VLOOKUP($Q6283,매칭테이블!$F:$I,3,0)</f>
        <v/>
      </c>
      <c r="O6283" s="94">
        <f>VLOOKUP($Q6283,매칭테이블!$F:$I,4,0)*K6283</f>
        <v/>
      </c>
      <c r="P6283" s="148">
        <f>M6283/1.1</f>
        <v/>
      </c>
      <c r="Q6283" s="94">
        <f>F6283&amp;E6283&amp;G6283&amp;L6283</f>
        <v/>
      </c>
    </row>
    <row r="6284">
      <c r="A6284" s="94" t="n"/>
      <c r="B6284" s="128" t="n">
        <v>43970</v>
      </c>
      <c r="C6284" s="94">
        <f>TEXT(B6284,"aaa")</f>
        <v/>
      </c>
      <c r="D6284" s="94" t="n"/>
      <c r="E6284" s="6" t="inlineStr">
        <is>
          <t>토너</t>
        </is>
      </c>
      <c r="F6284" s="5" t="inlineStr">
        <is>
          <t>큐텐</t>
        </is>
      </c>
      <c r="G6284" s="5" t="inlineStr">
        <is>
          <t>250ml 2set</t>
        </is>
      </c>
      <c r="H6284" s="7" t="n">
        <v>190801</v>
      </c>
      <c r="I6284" s="7" t="n">
        <v>190801</v>
      </c>
      <c r="J6284" s="94" t="n"/>
      <c r="K6284" s="6" t="n">
        <v>8</v>
      </c>
      <c r="L6284" s="92" t="n">
        <v>190801</v>
      </c>
      <c r="M6284" s="94">
        <f>VLOOKUP($Q6284,매칭테이블!$F:$I,2,0)*K6284</f>
        <v/>
      </c>
      <c r="N6284" s="94">
        <f>M6284-M6284*VLOOKUP($Q6284,매칭테이블!$F:$I,3,0)</f>
        <v/>
      </c>
      <c r="O6284" s="94">
        <f>VLOOKUP($Q6284,매칭테이블!$F:$I,4,0)*K6284</f>
        <v/>
      </c>
      <c r="P6284" s="148">
        <f>M6284/1.1</f>
        <v/>
      </c>
      <c r="Q6284" s="94">
        <f>F6284&amp;E6284&amp;G6284&amp;L6284</f>
        <v/>
      </c>
    </row>
    <row r="6285">
      <c r="A6285" s="94" t="n"/>
      <c r="B6285" s="128" t="n">
        <v>43971</v>
      </c>
      <c r="C6285" s="94">
        <f>TEXT(B6285,"aaa")</f>
        <v/>
      </c>
      <c r="D6285" s="94" t="n"/>
      <c r="E6285" s="6" t="inlineStr">
        <is>
          <t>토너</t>
        </is>
      </c>
      <c r="F6285" s="5" t="inlineStr">
        <is>
          <t>W컨셉</t>
        </is>
      </c>
      <c r="G6285" s="5" t="inlineStr">
        <is>
          <t>250ml 2set</t>
        </is>
      </c>
      <c r="H6285" s="7" t="n">
        <v>190801</v>
      </c>
      <c r="I6285" s="7" t="n">
        <v>190801</v>
      </c>
      <c r="J6285" s="94" t="n"/>
      <c r="K6285" s="6" t="n">
        <v>1</v>
      </c>
      <c r="L6285" s="7" t="n">
        <v>190801</v>
      </c>
      <c r="M6285" s="94">
        <f>VLOOKUP($Q6285,매칭테이블!$F:$I,2,0)*K6285</f>
        <v/>
      </c>
      <c r="N6285" s="94">
        <f>M6285-M6285*VLOOKUP($Q6285,매칭테이블!$F:$I,3,0)</f>
        <v/>
      </c>
      <c r="O6285" s="94">
        <f>VLOOKUP($Q6285,매칭테이블!$F:$I,4,0)*K6285</f>
        <v/>
      </c>
      <c r="P6285" s="148">
        <f>M6285/1.1</f>
        <v/>
      </c>
      <c r="Q6285" s="94">
        <f>F6285&amp;E6285&amp;G6285&amp;L6285</f>
        <v/>
      </c>
    </row>
    <row r="6286">
      <c r="A6286" s="94" t="n"/>
      <c r="B6286" s="128" t="n">
        <v>43971</v>
      </c>
      <c r="C6286" s="94">
        <f>TEXT(B6286,"aaa")</f>
        <v/>
      </c>
      <c r="D6286" s="94" t="n"/>
      <c r="E6286" s="94" t="inlineStr">
        <is>
          <t>토너</t>
        </is>
      </c>
      <c r="F6286" s="5" t="inlineStr">
        <is>
          <t>스타일쉐어</t>
        </is>
      </c>
      <c r="G6286" s="94" t="inlineStr">
        <is>
          <t>250ml</t>
        </is>
      </c>
      <c r="H6286" s="7" t="n">
        <v>190801</v>
      </c>
      <c r="I6286" s="7" t="n">
        <v>190801</v>
      </c>
      <c r="J6286" s="94" t="n"/>
      <c r="K6286" s="6" t="n">
        <v>4</v>
      </c>
      <c r="L6286" s="7" t="n">
        <v>190801</v>
      </c>
      <c r="M6286" s="94">
        <f>VLOOKUP($Q6286,매칭테이블!$F:$I,2,0)*K6286</f>
        <v/>
      </c>
      <c r="N6286" s="94">
        <f>M6286-M6286*VLOOKUP($Q6286,매칭테이블!$F:$I,3,0)</f>
        <v/>
      </c>
      <c r="O6286" s="94">
        <f>VLOOKUP($Q6286,매칭테이블!$F:$I,4,0)*K6286</f>
        <v/>
      </c>
      <c r="P6286" s="148">
        <f>M6286/1.1</f>
        <v/>
      </c>
      <c r="Q6286" s="94">
        <f>F6286&amp;E6286&amp;G6286&amp;L6286</f>
        <v/>
      </c>
    </row>
    <row r="6287">
      <c r="A6287" s="94" t="n"/>
      <c r="B6287" s="128" t="n">
        <v>43971</v>
      </c>
      <c r="C6287" s="94">
        <f>TEXT(B6287,"aaa")</f>
        <v/>
      </c>
      <c r="D6287" s="94" t="n"/>
      <c r="E6287" s="94" t="inlineStr">
        <is>
          <t>선크림</t>
        </is>
      </c>
      <c r="F6287" s="94" t="inlineStr">
        <is>
          <t>카페24</t>
        </is>
      </c>
      <c r="G6287" s="94" t="inlineStr">
        <is>
          <t>선크림 50ml</t>
        </is>
      </c>
      <c r="H6287" s="7" t="n">
        <v>190801</v>
      </c>
      <c r="I6287" s="7" t="n">
        <v>190801</v>
      </c>
      <c r="J6287" s="94" t="n"/>
      <c r="K6287" s="6" t="n">
        <v>4</v>
      </c>
      <c r="L6287" s="7" t="n">
        <v>190801</v>
      </c>
      <c r="M6287" s="94">
        <f>VLOOKUP($Q6287,매칭테이블!$F:$I,2,0)*K6287</f>
        <v/>
      </c>
      <c r="N6287" s="94">
        <f>M6287-M6287*VLOOKUP($Q6287,매칭테이블!$F:$I,3,0)</f>
        <v/>
      </c>
      <c r="O6287" s="94">
        <f>VLOOKUP($Q6287,매칭테이블!$F:$I,4,0)*K6287</f>
        <v/>
      </c>
      <c r="P6287" s="148">
        <f>M6287/1.1</f>
        <v/>
      </c>
      <c r="Q6287" s="94">
        <f>F6287&amp;E6287&amp;G6287&amp;L6287</f>
        <v/>
      </c>
    </row>
    <row r="6288">
      <c r="A6288" s="94" t="n"/>
      <c r="B6288" s="128" t="n">
        <v>43971</v>
      </c>
      <c r="C6288" s="94">
        <f>TEXT(B6288,"aaa")</f>
        <v/>
      </c>
      <c r="D6288" s="94" t="n"/>
      <c r="E6288" s="94" t="inlineStr">
        <is>
          <t>어성초진정패키지</t>
        </is>
      </c>
      <c r="F6288" s="94" t="inlineStr">
        <is>
          <t>카페24</t>
        </is>
      </c>
      <c r="G6288" s="94" t="inlineStr">
        <is>
          <t>어성초 진정패키지세트</t>
        </is>
      </c>
      <c r="H6288" s="7" t="n">
        <v>190801</v>
      </c>
      <c r="I6288" s="7" t="n">
        <v>190801</v>
      </c>
      <c r="J6288" s="94" t="n"/>
      <c r="K6288" s="6" t="n">
        <v>7</v>
      </c>
      <c r="L6288" s="94" t="n">
        <v>190801</v>
      </c>
      <c r="M6288" s="94">
        <f>VLOOKUP($Q6288,매칭테이블!$F:$I,2,0)*K6288</f>
        <v/>
      </c>
      <c r="N6288" s="94">
        <f>M6288-M6288*VLOOKUP($Q6288,매칭테이블!$F:$I,3,0)</f>
        <v/>
      </c>
      <c r="O6288" s="94">
        <f>VLOOKUP($Q6288,매칭테이블!$F:$I,4,0)*K6288</f>
        <v/>
      </c>
      <c r="P6288" s="148">
        <f>M6288/1.1</f>
        <v/>
      </c>
      <c r="Q6288" s="94">
        <f>F6288&amp;E6288&amp;G6288&amp;L6288</f>
        <v/>
      </c>
    </row>
    <row r="6289">
      <c r="A6289" s="94" t="n"/>
      <c r="B6289" s="128" t="n">
        <v>43971</v>
      </c>
      <c r="C6289" s="94">
        <f>TEXT(B6289,"aaa")</f>
        <v/>
      </c>
      <c r="D6289" s="94" t="n"/>
      <c r="E6289" s="94" t="inlineStr">
        <is>
          <t>머드크림마스크</t>
        </is>
      </c>
      <c r="F6289" s="94" t="inlineStr">
        <is>
          <t>카페24</t>
        </is>
      </c>
      <c r="G6289" s="94" t="inlineStr">
        <is>
          <t>머드크림마스크 100ml</t>
        </is>
      </c>
      <c r="H6289" s="7" t="n">
        <v>190801</v>
      </c>
      <c r="I6289" s="7" t="n">
        <v>190801</v>
      </c>
      <c r="J6289" s="94" t="n"/>
      <c r="K6289" s="6" t="n">
        <v>3</v>
      </c>
      <c r="L6289" s="94" t="n">
        <v>190801</v>
      </c>
      <c r="M6289" s="94">
        <f>VLOOKUP($Q6289,매칭테이블!$F:$I,2,0)*K6289</f>
        <v/>
      </c>
      <c r="N6289" s="94">
        <f>M6289-M6289*VLOOKUP($Q6289,매칭테이블!$F:$I,3,0)</f>
        <v/>
      </c>
      <c r="O6289" s="94">
        <f>VLOOKUP($Q6289,매칭테이블!$F:$I,4,0)*K6289</f>
        <v/>
      </c>
      <c r="P6289" s="148">
        <f>M6289/1.1</f>
        <v/>
      </c>
      <c r="Q6289" s="94">
        <f>F6289&amp;E6289&amp;G6289&amp;L6289</f>
        <v/>
      </c>
    </row>
    <row r="6290">
      <c r="A6290" s="94" t="n"/>
      <c r="B6290" s="128" t="n">
        <v>43971</v>
      </c>
      <c r="C6290" s="94">
        <f>TEXT(B6290,"aaa")</f>
        <v/>
      </c>
      <c r="D6290" s="94" t="n"/>
      <c r="E6290" s="94" t="inlineStr">
        <is>
          <t>마스크팩</t>
        </is>
      </c>
      <c r="F6290" s="94" t="inlineStr">
        <is>
          <t>카페24</t>
        </is>
      </c>
      <c r="G6290" s="94" t="inlineStr">
        <is>
          <t>마스크팩 1매</t>
        </is>
      </c>
      <c r="H6290" s="7" t="n">
        <v>190801</v>
      </c>
      <c r="I6290" s="7" t="n">
        <v>190801</v>
      </c>
      <c r="J6290" s="94" t="n"/>
      <c r="K6290" s="6" t="n">
        <v>6</v>
      </c>
      <c r="L6290" s="94" t="n">
        <v>190801</v>
      </c>
      <c r="M6290" s="94">
        <f>VLOOKUP($Q6290,매칭테이블!$F:$I,2,0)*K6290</f>
        <v/>
      </c>
      <c r="N6290" s="94">
        <f>M6290-M6290*VLOOKUP($Q6290,매칭테이블!$F:$I,3,0)</f>
        <v/>
      </c>
      <c r="O6290" s="94">
        <f>VLOOKUP($Q6290,매칭테이블!$F:$I,4,0)*K6290</f>
        <v/>
      </c>
      <c r="P6290" s="148">
        <f>M6290/1.1</f>
        <v/>
      </c>
      <c r="Q6290" s="94">
        <f>F6290&amp;E6290&amp;G6290&amp;L6290</f>
        <v/>
      </c>
    </row>
    <row r="6291">
      <c r="A6291" s="94" t="n"/>
      <c r="B6291" s="128" t="n">
        <v>43971</v>
      </c>
      <c r="C6291" s="94">
        <f>TEXT(B6291,"aaa")</f>
        <v/>
      </c>
      <c r="D6291" s="94" t="n"/>
      <c r="E6291" s="94" t="inlineStr">
        <is>
          <t>마스크팩</t>
        </is>
      </c>
      <c r="F6291" s="94" t="inlineStr">
        <is>
          <t>카페24</t>
        </is>
      </c>
      <c r="G6291" s="94" t="inlineStr">
        <is>
          <t>마스크팩 10매</t>
        </is>
      </c>
      <c r="H6291" s="7" t="n">
        <v>190801</v>
      </c>
      <c r="I6291" s="7" t="n">
        <v>190801</v>
      </c>
      <c r="J6291" s="94" t="n"/>
      <c r="K6291" s="6" t="n">
        <v>4</v>
      </c>
      <c r="L6291" s="94" t="n">
        <v>190801</v>
      </c>
      <c r="M6291" s="94">
        <f>VLOOKUP($Q6291,매칭테이블!$F:$I,2,0)*K6291</f>
        <v/>
      </c>
      <c r="N6291" s="94">
        <f>M6291-M6291*VLOOKUP($Q6291,매칭테이블!$F:$I,3,0)</f>
        <v/>
      </c>
      <c r="O6291" s="94">
        <f>VLOOKUP($Q6291,매칭테이블!$F:$I,4,0)*K6291</f>
        <v/>
      </c>
      <c r="P6291" s="148">
        <f>M6291/1.1</f>
        <v/>
      </c>
      <c r="Q6291" s="94">
        <f>F6291&amp;E6291&amp;G6291&amp;L6291</f>
        <v/>
      </c>
    </row>
    <row r="6292">
      <c r="A6292" s="94" t="n"/>
      <c r="B6292" s="128" t="n">
        <v>43971</v>
      </c>
      <c r="C6292" s="94">
        <f>TEXT(B6292,"aaa")</f>
        <v/>
      </c>
      <c r="D6292" s="94" t="n"/>
      <c r="E6292" s="6" t="inlineStr">
        <is>
          <t>토너</t>
        </is>
      </c>
      <c r="F6292" s="5" t="inlineStr">
        <is>
          <t>카페24</t>
        </is>
      </c>
      <c r="G6292" s="5" t="inlineStr">
        <is>
          <t>250ml</t>
        </is>
      </c>
      <c r="H6292" s="7" t="n">
        <v>190801</v>
      </c>
      <c r="I6292" s="7" t="n">
        <v>190801</v>
      </c>
      <c r="J6292" s="94" t="n"/>
      <c r="K6292" s="6" t="n">
        <v>57</v>
      </c>
      <c r="L6292" s="7" t="n">
        <v>190801</v>
      </c>
      <c r="M6292" s="94">
        <f>VLOOKUP($Q6292,매칭테이블!$F:$I,2,0)*K6292</f>
        <v/>
      </c>
      <c r="N6292" s="94">
        <f>M6292-M6292*VLOOKUP($Q6292,매칭테이블!$F:$I,3,0)</f>
        <v/>
      </c>
      <c r="O6292" s="94">
        <f>VLOOKUP($Q6292,매칭테이블!$F:$I,4,0)*K6292</f>
        <v/>
      </c>
      <c r="P6292" s="148">
        <f>M6292/1.1</f>
        <v/>
      </c>
      <c r="Q6292" s="94">
        <f>F6292&amp;E6292&amp;G6292&amp;L6292</f>
        <v/>
      </c>
    </row>
    <row r="6293">
      <c r="A6293" s="94" t="n"/>
      <c r="B6293" s="128" t="n">
        <v>43971</v>
      </c>
      <c r="C6293" s="94">
        <f>TEXT(B6293,"aaa")</f>
        <v/>
      </c>
      <c r="D6293" s="94" t="n"/>
      <c r="E6293" s="6" t="inlineStr">
        <is>
          <t>토너</t>
        </is>
      </c>
      <c r="F6293" s="5" t="inlineStr">
        <is>
          <t>카페24</t>
        </is>
      </c>
      <c r="G6293" s="5" t="inlineStr">
        <is>
          <t>250ml 2set</t>
        </is>
      </c>
      <c r="H6293" s="7" t="n">
        <v>190801</v>
      </c>
      <c r="I6293" s="7" t="n">
        <v>190801</v>
      </c>
      <c r="J6293" s="94" t="n"/>
      <c r="K6293" s="6" t="n">
        <v>165</v>
      </c>
      <c r="L6293" s="7" t="n">
        <v>190801</v>
      </c>
      <c r="M6293" s="94">
        <f>VLOOKUP($Q6293,매칭테이블!$F:$I,2,0)*K6293</f>
        <v/>
      </c>
      <c r="N6293" s="94">
        <f>M6293-M6293*VLOOKUP($Q6293,매칭테이블!$F:$I,3,0)</f>
        <v/>
      </c>
      <c r="O6293" s="94">
        <f>VLOOKUP($Q6293,매칭테이블!$F:$I,4,0)*K6293</f>
        <v/>
      </c>
      <c r="P6293" s="148">
        <f>M6293/1.1</f>
        <v/>
      </c>
      <c r="Q6293" s="94">
        <f>F6293&amp;E6293&amp;G6293&amp;L6293</f>
        <v/>
      </c>
    </row>
    <row r="6294">
      <c r="A6294" s="94" t="n"/>
      <c r="B6294" s="128" t="n">
        <v>43971</v>
      </c>
      <c r="C6294" s="94">
        <f>TEXT(B6294,"aaa")</f>
        <v/>
      </c>
      <c r="D6294" s="94" t="n"/>
      <c r="E6294" s="6" t="inlineStr">
        <is>
          <t>토너</t>
        </is>
      </c>
      <c r="F6294" s="5" t="inlineStr">
        <is>
          <t>카페24</t>
        </is>
      </c>
      <c r="G6294" s="5" t="inlineStr">
        <is>
          <t>500ml</t>
        </is>
      </c>
      <c r="H6294" s="7" t="n">
        <v>190801</v>
      </c>
      <c r="I6294" s="7" t="n">
        <v>190801</v>
      </c>
      <c r="J6294" s="94" t="n"/>
      <c r="K6294" s="6" t="n">
        <v>56</v>
      </c>
      <c r="L6294" s="7" t="n">
        <v>190801</v>
      </c>
      <c r="M6294" s="94">
        <f>VLOOKUP($Q6294,매칭테이블!$F:$I,2,0)*K6294</f>
        <v/>
      </c>
      <c r="N6294" s="94">
        <f>M6294-M6294*VLOOKUP($Q6294,매칭테이블!$F:$I,3,0)</f>
        <v/>
      </c>
      <c r="O6294" s="94">
        <f>VLOOKUP($Q6294,매칭테이블!$F:$I,4,0)*K6294</f>
        <v/>
      </c>
      <c r="P6294" s="148">
        <f>M6294/1.1</f>
        <v/>
      </c>
      <c r="Q6294" s="94">
        <f>F6294&amp;E6294&amp;G6294&amp;L6294</f>
        <v/>
      </c>
    </row>
    <row r="6295">
      <c r="A6295" s="94" t="n"/>
      <c r="B6295" s="128" t="n">
        <v>43971</v>
      </c>
      <c r="C6295" s="94">
        <f>TEXT(B6295,"aaa")</f>
        <v/>
      </c>
      <c r="D6295" s="94" t="n"/>
      <c r="E6295" s="6" t="inlineStr">
        <is>
          <t>토너</t>
        </is>
      </c>
      <c r="F6295" s="5" t="inlineStr">
        <is>
          <t>카페24</t>
        </is>
      </c>
      <c r="G6295" s="94" t="inlineStr">
        <is>
          <t>스킨팩 화장솜 60P</t>
        </is>
      </c>
      <c r="H6295" s="7" t="n">
        <v>190801</v>
      </c>
      <c r="I6295" s="7" t="n">
        <v>190801</v>
      </c>
      <c r="J6295" s="94" t="n"/>
      <c r="K6295" s="6" t="n">
        <v>66</v>
      </c>
      <c r="L6295" s="7" t="n">
        <v>190801</v>
      </c>
      <c r="M6295" s="94">
        <f>VLOOKUP($Q6295,매칭테이블!$F:$I,2,0)*K6295</f>
        <v/>
      </c>
      <c r="N6295" s="94">
        <f>M6295-M6295*VLOOKUP($Q6295,매칭테이블!$F:$I,3,0)</f>
        <v/>
      </c>
      <c r="O6295" s="94">
        <f>VLOOKUP($Q6295,매칭테이블!$F:$I,4,0)*K6295</f>
        <v/>
      </c>
      <c r="P6295" s="148">
        <f>M6295/1.1</f>
        <v/>
      </c>
      <c r="Q6295" s="94">
        <f>F6295&amp;E6295&amp;G6295&amp;L6295</f>
        <v/>
      </c>
    </row>
    <row r="6296">
      <c r="A6296" s="94" t="n"/>
      <c r="B6296" s="128" t="n">
        <v>43971</v>
      </c>
      <c r="C6296" s="94">
        <f>TEXT(B6296,"aaa")</f>
        <v/>
      </c>
      <c r="D6296" s="94" t="n"/>
      <c r="E6296" s="94" t="inlineStr">
        <is>
          <t>앰플</t>
        </is>
      </c>
      <c r="F6296" s="5" t="inlineStr">
        <is>
          <t>카페24</t>
        </is>
      </c>
      <c r="G6296" s="94" t="inlineStr">
        <is>
          <t>앰플 30ml</t>
        </is>
      </c>
      <c r="H6296" s="7" t="n">
        <v>190801</v>
      </c>
      <c r="I6296" s="7" t="n">
        <v>190801</v>
      </c>
      <c r="J6296" s="94" t="n"/>
      <c r="K6296" s="6" t="n">
        <v>15</v>
      </c>
      <c r="L6296" s="94" t="n">
        <v>190801</v>
      </c>
      <c r="M6296" s="94">
        <f>VLOOKUP($Q6296,매칭테이블!$F:$I,2,0)*K6296</f>
        <v/>
      </c>
      <c r="N6296" s="94">
        <f>M6296-M6296*VLOOKUP($Q6296,매칭테이블!$F:$I,3,0)</f>
        <v/>
      </c>
      <c r="O6296" s="94">
        <f>VLOOKUP($Q6296,매칭테이블!$F:$I,4,0)*K6296</f>
        <v/>
      </c>
      <c r="P6296" s="148">
        <f>M6296/1.1</f>
        <v/>
      </c>
      <c r="Q6296" s="94">
        <f>F6296&amp;E6296&amp;G6296&amp;L6296</f>
        <v/>
      </c>
    </row>
    <row r="6297">
      <c r="A6297" s="94" t="n"/>
      <c r="B6297" s="128" t="n">
        <v>43971</v>
      </c>
      <c r="C6297" s="94">
        <f>TEXT(B6297,"aaa")</f>
        <v/>
      </c>
      <c r="D6297" s="94" t="n"/>
      <c r="E6297" s="94" t="inlineStr">
        <is>
          <t>수딩크림</t>
        </is>
      </c>
      <c r="F6297" s="5" t="inlineStr">
        <is>
          <t>카페24</t>
        </is>
      </c>
      <c r="G6297" s="94" t="inlineStr">
        <is>
          <t>수딩크림 100ml</t>
        </is>
      </c>
      <c r="H6297" s="7" t="n">
        <v>190801</v>
      </c>
      <c r="I6297" s="7" t="n">
        <v>190801</v>
      </c>
      <c r="J6297" s="94" t="n"/>
      <c r="K6297" s="6" t="n">
        <v>5</v>
      </c>
      <c r="L6297" s="94" t="n">
        <v>190801</v>
      </c>
      <c r="M6297" s="94">
        <f>VLOOKUP($Q6297,매칭테이블!$F:$I,2,0)*K6297</f>
        <v/>
      </c>
      <c r="N6297" s="94">
        <f>M6297-M6297*VLOOKUP($Q6297,매칭테이블!$F:$I,3,0)</f>
        <v/>
      </c>
      <c r="O6297" s="94">
        <f>VLOOKUP($Q6297,매칭테이블!$F:$I,4,0)*K6297</f>
        <v/>
      </c>
      <c r="P6297" s="148">
        <f>M6297/1.1</f>
        <v/>
      </c>
      <c r="Q6297" s="94">
        <f>F6297&amp;E6297&amp;G6297&amp;L6297</f>
        <v/>
      </c>
    </row>
    <row r="6298">
      <c r="A6298" s="94" t="n"/>
      <c r="B6298" s="128" t="n">
        <v>43971</v>
      </c>
      <c r="C6298" s="94">
        <f>TEXT(B6298,"aaa")</f>
        <v/>
      </c>
      <c r="D6298" s="94" t="n"/>
      <c r="E6298" s="94" t="inlineStr">
        <is>
          <t>클렌징폼</t>
        </is>
      </c>
      <c r="F6298" s="94" t="inlineStr">
        <is>
          <t>카페24</t>
        </is>
      </c>
      <c r="G6298" s="94" t="inlineStr">
        <is>
          <t>클렌징폼 120ml</t>
        </is>
      </c>
      <c r="H6298" s="7" t="n">
        <v>190801</v>
      </c>
      <c r="I6298" s="7" t="n">
        <v>190801</v>
      </c>
      <c r="J6298" s="94" t="n"/>
      <c r="K6298" s="6" t="n">
        <v>7</v>
      </c>
      <c r="L6298" s="92" t="n">
        <v>190801</v>
      </c>
      <c r="M6298" s="94">
        <f>VLOOKUP($Q6298,매칭테이블!$F:$I,2,0)*K6298</f>
        <v/>
      </c>
      <c r="N6298" s="94">
        <f>M6298-M6298*VLOOKUP($Q6298,매칭테이블!$F:$I,3,0)</f>
        <v/>
      </c>
      <c r="O6298" s="94">
        <f>VLOOKUP($Q6298,매칭테이블!$F:$I,4,0)*K6298</f>
        <v/>
      </c>
      <c r="P6298" s="148">
        <f>M6298/1.1</f>
        <v/>
      </c>
      <c r="Q6298" s="94">
        <f>F6298&amp;E6298&amp;G6298&amp;L6298</f>
        <v/>
      </c>
    </row>
    <row r="6299">
      <c r="A6299" s="94" t="n"/>
      <c r="B6299" s="128" t="n">
        <v>43971</v>
      </c>
      <c r="C6299" s="94">
        <f>TEXT(B6299,"aaa")</f>
        <v/>
      </c>
      <c r="D6299" s="94" t="n"/>
      <c r="E6299" s="94" t="inlineStr">
        <is>
          <t>클렌징폼</t>
        </is>
      </c>
      <c r="F6299" s="94" t="inlineStr">
        <is>
          <t>카페24</t>
        </is>
      </c>
      <c r="G6299" s="94" t="inlineStr">
        <is>
          <t>클렌징폼 120ml 2set</t>
        </is>
      </c>
      <c r="H6299" s="7" t="n">
        <v>190801</v>
      </c>
      <c r="I6299" s="7" t="n">
        <v>190801</v>
      </c>
      <c r="J6299" s="94" t="n"/>
      <c r="K6299" s="6" t="n">
        <v>1</v>
      </c>
      <c r="L6299" s="92" t="n">
        <v>190801</v>
      </c>
      <c r="M6299" s="94">
        <f>VLOOKUP($Q6299,매칭테이블!$F:$I,2,0)*K6299</f>
        <v/>
      </c>
      <c r="N6299" s="94">
        <f>M6299-M6299*VLOOKUP($Q6299,매칭테이블!$F:$I,3,0)</f>
        <v/>
      </c>
      <c r="O6299" s="94">
        <f>VLOOKUP($Q6299,매칭테이블!$F:$I,4,0)*K6299</f>
        <v/>
      </c>
      <c r="P6299" s="148">
        <f>M6299/1.1</f>
        <v/>
      </c>
      <c r="Q6299" s="94">
        <f>F6299&amp;E6299&amp;G6299&amp;L6299</f>
        <v/>
      </c>
    </row>
    <row r="6300">
      <c r="A6300" s="94" t="n"/>
      <c r="B6300" s="128" t="n">
        <v>43971</v>
      </c>
      <c r="C6300" s="94">
        <f>TEXT(B6300,"aaa")</f>
        <v/>
      </c>
      <c r="D6300" s="94" t="n"/>
      <c r="E6300" s="94" t="inlineStr">
        <is>
          <t>토너</t>
        </is>
      </c>
      <c r="F6300" s="5" t="inlineStr">
        <is>
          <t>현대면세점</t>
        </is>
      </c>
      <c r="G6300" s="94" t="inlineStr">
        <is>
          <t>250ml</t>
        </is>
      </c>
      <c r="H6300" s="7" t="n">
        <v>190801</v>
      </c>
      <c r="I6300" s="7" t="n">
        <v>190801</v>
      </c>
      <c r="J6300" s="94" t="n"/>
      <c r="K6300" s="6" t="n">
        <v>200</v>
      </c>
      <c r="L6300" s="92" t="n">
        <v>190801</v>
      </c>
      <c r="M6300" s="94">
        <f>VLOOKUP($Q6300,매칭테이블!$F:$I,2,0)*K6300</f>
        <v/>
      </c>
      <c r="N6300" s="94">
        <f>M6300-M6300*VLOOKUP($Q6300,매칭테이블!$F:$I,3,0)</f>
        <v/>
      </c>
      <c r="O6300" s="94">
        <f>VLOOKUP($Q6300,매칭테이블!$F:$I,4,0)*K6300</f>
        <v/>
      </c>
      <c r="P6300" s="148">
        <f>M6300/1.1</f>
        <v/>
      </c>
      <c r="Q6300" s="94">
        <f>F6300&amp;E6300&amp;G6300&amp;L6300</f>
        <v/>
      </c>
    </row>
    <row r="6301">
      <c r="A6301" s="94" t="n"/>
      <c r="B6301" s="128" t="n">
        <v>43971</v>
      </c>
      <c r="C6301" s="94">
        <f>TEXT(B6301,"aaa")</f>
        <v/>
      </c>
      <c r="D6301" s="94" t="n"/>
      <c r="E6301" s="6" t="inlineStr">
        <is>
          <t>토너</t>
        </is>
      </c>
      <c r="F6301" s="5" t="inlineStr">
        <is>
          <t>큐텐</t>
        </is>
      </c>
      <c r="G6301" s="5" t="inlineStr">
        <is>
          <t>250ml</t>
        </is>
      </c>
      <c r="H6301" s="7" t="n">
        <v>190801</v>
      </c>
      <c r="I6301" s="7" t="n">
        <v>190801</v>
      </c>
      <c r="J6301" s="94" t="n"/>
      <c r="K6301" s="6" t="n">
        <v>13</v>
      </c>
      <c r="L6301" s="92" t="n">
        <v>190801</v>
      </c>
      <c r="M6301" s="94">
        <f>VLOOKUP($Q6301,매칭테이블!$F:$I,2,0)*K6301</f>
        <v/>
      </c>
      <c r="N6301" s="94">
        <f>M6301-M6301*VLOOKUP($Q6301,매칭테이블!$F:$I,3,0)</f>
        <v/>
      </c>
      <c r="O6301" s="94">
        <f>VLOOKUP($Q6301,매칭테이블!$F:$I,4,0)*K6301</f>
        <v/>
      </c>
      <c r="P6301" s="148">
        <f>M6301/1.1</f>
        <v/>
      </c>
      <c r="Q6301" s="94">
        <f>F6301&amp;E6301&amp;G6301&amp;L6301</f>
        <v/>
      </c>
    </row>
    <row r="6302">
      <c r="A6302" s="94" t="n"/>
      <c r="B6302" s="128" t="n">
        <v>43971</v>
      </c>
      <c r="C6302" s="94">
        <f>TEXT(B6302,"aaa")</f>
        <v/>
      </c>
      <c r="D6302" s="94" t="n"/>
      <c r="E6302" s="6" t="inlineStr">
        <is>
          <t>토너</t>
        </is>
      </c>
      <c r="F6302" s="5" t="inlineStr">
        <is>
          <t>큐텐</t>
        </is>
      </c>
      <c r="G6302" s="5" t="inlineStr">
        <is>
          <t>250ml 2set</t>
        </is>
      </c>
      <c r="H6302" s="7" t="n">
        <v>190801</v>
      </c>
      <c r="I6302" s="7" t="n">
        <v>190801</v>
      </c>
      <c r="J6302" s="94" t="n"/>
      <c r="K6302" s="6" t="n">
        <v>7</v>
      </c>
      <c r="L6302" s="92" t="n">
        <v>190801</v>
      </c>
      <c r="M6302" s="94">
        <f>VLOOKUP($Q6302,매칭테이블!$F:$I,2,0)*K6302</f>
        <v/>
      </c>
      <c r="N6302" s="94">
        <f>M6302-M6302*VLOOKUP($Q6302,매칭테이블!$F:$I,3,0)</f>
        <v/>
      </c>
      <c r="O6302" s="94">
        <f>VLOOKUP($Q6302,매칭테이블!$F:$I,4,0)*K6302</f>
        <v/>
      </c>
      <c r="P6302" s="148">
        <f>M6302/1.1</f>
        <v/>
      </c>
      <c r="Q6302" s="94">
        <f>F6302&amp;E6302&amp;G6302&amp;L6302</f>
        <v/>
      </c>
    </row>
    <row r="6303">
      <c r="A6303" s="94" t="n"/>
      <c r="B6303" s="128" t="n">
        <v>43971</v>
      </c>
      <c r="C6303" s="94">
        <f>TEXT(B6303,"aaa")</f>
        <v/>
      </c>
      <c r="D6303" s="94" t="n"/>
      <c r="E6303" s="94" t="inlineStr">
        <is>
          <t>앰플</t>
        </is>
      </c>
      <c r="F6303" s="5" t="inlineStr">
        <is>
          <t>큐텐</t>
        </is>
      </c>
      <c r="G6303" s="94" t="inlineStr">
        <is>
          <t>앰플 30ml</t>
        </is>
      </c>
      <c r="H6303" s="7" t="n">
        <v>190801</v>
      </c>
      <c r="I6303" s="7" t="n">
        <v>190801</v>
      </c>
      <c r="J6303" s="94" t="n"/>
      <c r="K6303" s="6" t="n">
        <v>3</v>
      </c>
      <c r="L6303" s="94" t="n">
        <v>190801</v>
      </c>
      <c r="M6303" s="94">
        <f>VLOOKUP($Q6303,매칭테이블!$F:$I,2,0)*K6303</f>
        <v/>
      </c>
      <c r="N6303" s="94">
        <f>M6303-M6303*VLOOKUP($Q6303,매칭테이블!$F:$I,3,0)</f>
        <v/>
      </c>
      <c r="O6303" s="94">
        <f>VLOOKUP($Q6303,매칭테이블!$F:$I,4,0)*K6303</f>
        <v/>
      </c>
      <c r="P6303" s="148">
        <f>M6303/1.1</f>
        <v/>
      </c>
      <c r="Q6303" s="94">
        <f>F6303&amp;E6303&amp;G6303&amp;L6303</f>
        <v/>
      </c>
    </row>
    <row r="6304">
      <c r="A6304" s="94" t="n"/>
      <c r="B6304" s="128" t="n">
        <v>43971</v>
      </c>
      <c r="C6304" s="94">
        <f>TEXT(B6304,"aaa")</f>
        <v/>
      </c>
      <c r="D6304" s="94" t="n"/>
      <c r="E6304" s="94" t="inlineStr">
        <is>
          <t>마스크팩</t>
        </is>
      </c>
      <c r="F6304" s="5" t="inlineStr">
        <is>
          <t>큐텐</t>
        </is>
      </c>
      <c r="G6304" s="94" t="inlineStr">
        <is>
          <t>마스크팩 10매</t>
        </is>
      </c>
      <c r="H6304" s="7" t="n">
        <v>190801</v>
      </c>
      <c r="I6304" s="7" t="n">
        <v>190801</v>
      </c>
      <c r="J6304" s="94" t="n"/>
      <c r="K6304" s="6" t="n">
        <v>1</v>
      </c>
      <c r="L6304" s="94" t="n">
        <v>190801</v>
      </c>
      <c r="M6304" s="94">
        <f>VLOOKUP($Q6304,매칭테이블!$F:$I,2,0)*K6304</f>
        <v/>
      </c>
      <c r="N6304" s="94">
        <f>M6304-M6304*VLOOKUP($Q6304,매칭테이블!$F:$I,3,0)</f>
        <v/>
      </c>
      <c r="O6304" s="94">
        <f>VLOOKUP($Q6304,매칭테이블!$F:$I,4,0)*K6304</f>
        <v/>
      </c>
      <c r="P6304" s="148">
        <f>M6304/1.1</f>
        <v/>
      </c>
      <c r="Q6304" s="94">
        <f>F6304&amp;E6304&amp;G6304&amp;L6304</f>
        <v/>
      </c>
    </row>
    <row r="6305">
      <c r="A6305" s="94" t="n"/>
      <c r="B6305" s="128" t="n">
        <v>43971</v>
      </c>
      <c r="C6305" s="94">
        <f>TEXT(B6305,"aaa")</f>
        <v/>
      </c>
      <c r="D6305" s="94" t="n"/>
      <c r="E6305" s="94" t="inlineStr">
        <is>
          <t>머드크림마스크</t>
        </is>
      </c>
      <c r="F6305" s="5" t="inlineStr">
        <is>
          <t>큐텐</t>
        </is>
      </c>
      <c r="G6305" s="94" t="inlineStr">
        <is>
          <t>머드크림마스크 100ml</t>
        </is>
      </c>
      <c r="H6305" s="7" t="n">
        <v>190801</v>
      </c>
      <c r="I6305" s="7" t="n">
        <v>190801</v>
      </c>
      <c r="J6305" s="94" t="n"/>
      <c r="K6305" s="6" t="n">
        <v>2</v>
      </c>
      <c r="L6305" s="94" t="n">
        <v>190801</v>
      </c>
      <c r="M6305" s="94">
        <f>VLOOKUP($Q6305,매칭테이블!$F:$I,2,0)*K6305</f>
        <v/>
      </c>
      <c r="N6305" s="94">
        <f>M6305-M6305*VLOOKUP($Q6305,매칭테이블!$F:$I,3,0)</f>
        <v/>
      </c>
      <c r="O6305" s="94">
        <f>VLOOKUP($Q6305,매칭테이블!$F:$I,4,0)*K6305</f>
        <v/>
      </c>
      <c r="P6305" s="148">
        <f>M6305/1.1</f>
        <v/>
      </c>
      <c r="Q6305" s="94">
        <f>F6305&amp;E6305&amp;G6305&amp;L6305</f>
        <v/>
      </c>
    </row>
    <row r="6306">
      <c r="A6306" s="94" t="n"/>
      <c r="B6306" s="128" t="n">
        <v>43971</v>
      </c>
      <c r="C6306" s="94">
        <f>TEXT(B6306,"aaa")</f>
        <v/>
      </c>
      <c r="D6306" s="94" t="n"/>
      <c r="E6306" s="94" t="inlineStr">
        <is>
          <t>클렌징폼</t>
        </is>
      </c>
      <c r="F6306" s="5" t="inlineStr">
        <is>
          <t>큐텐</t>
        </is>
      </c>
      <c r="G6306" s="94" t="inlineStr">
        <is>
          <t>클렌징폼 120ml</t>
        </is>
      </c>
      <c r="H6306" s="7" t="n">
        <v>190801</v>
      </c>
      <c r="I6306" s="7" t="n">
        <v>190801</v>
      </c>
      <c r="J6306" s="94" t="n"/>
      <c r="K6306" s="6" t="n">
        <v>1</v>
      </c>
      <c r="L6306" s="92" t="n">
        <v>190801</v>
      </c>
      <c r="M6306" s="94">
        <f>VLOOKUP($Q6306,매칭테이블!$F:$I,2,0)*K6306</f>
        <v/>
      </c>
      <c r="N6306" s="94">
        <f>M6306-M6306*VLOOKUP($Q6306,매칭테이블!$F:$I,3,0)</f>
        <v/>
      </c>
      <c r="O6306" s="94">
        <f>VLOOKUP($Q6306,매칭테이블!$F:$I,4,0)*K6306</f>
        <v/>
      </c>
      <c r="P6306" s="148">
        <f>M6306/1.1</f>
        <v/>
      </c>
      <c r="Q6306" s="94">
        <f>F6306&amp;E6306&amp;G6306&amp;L6306</f>
        <v/>
      </c>
    </row>
    <row r="6307">
      <c r="A6307" s="94" t="n"/>
      <c r="B6307" s="128" t="n">
        <v>43972</v>
      </c>
      <c r="C6307" s="94">
        <f>TEXT(B6307,"aaa")</f>
        <v/>
      </c>
      <c r="D6307" s="94" t="n"/>
      <c r="E6307" s="6" t="inlineStr">
        <is>
          <t>토너</t>
        </is>
      </c>
      <c r="F6307" s="5" t="inlineStr">
        <is>
          <t>W컨셉</t>
        </is>
      </c>
      <c r="G6307" s="5" t="inlineStr">
        <is>
          <t>250ml 2set</t>
        </is>
      </c>
      <c r="H6307" s="7" t="n">
        <v>190801</v>
      </c>
      <c r="I6307" s="7" t="n">
        <v>190801</v>
      </c>
      <c r="J6307" s="94" t="n"/>
      <c r="K6307" s="6" t="n">
        <v>2</v>
      </c>
      <c r="L6307" s="7" t="n">
        <v>190801</v>
      </c>
      <c r="M6307" s="94">
        <f>VLOOKUP($Q6307,매칭테이블!$F:$I,2,0)*K6307</f>
        <v/>
      </c>
      <c r="N6307" s="94">
        <f>M6307-M6307*VLOOKUP($Q6307,매칭테이블!$F:$I,3,0)</f>
        <v/>
      </c>
      <c r="O6307" s="94">
        <f>VLOOKUP($Q6307,매칭테이블!$F:$I,4,0)*K6307</f>
        <v/>
      </c>
      <c r="P6307" s="148">
        <f>M6307/1.1</f>
        <v/>
      </c>
      <c r="Q6307" s="94">
        <f>F6307&amp;E6307&amp;G6307&amp;L6307</f>
        <v/>
      </c>
    </row>
    <row r="6308">
      <c r="A6308" s="94" t="n"/>
      <c r="B6308" s="128" t="n">
        <v>43972</v>
      </c>
      <c r="C6308" s="94">
        <f>TEXT(B6308,"aaa")</f>
        <v/>
      </c>
      <c r="D6308" s="94" t="n"/>
      <c r="E6308" s="94" t="inlineStr">
        <is>
          <t>토너</t>
        </is>
      </c>
      <c r="F6308" s="5" t="inlineStr">
        <is>
          <t>스타일쉐어</t>
        </is>
      </c>
      <c r="G6308" s="94" t="inlineStr">
        <is>
          <t>250ml</t>
        </is>
      </c>
      <c r="H6308" s="7" t="n">
        <v>190801</v>
      </c>
      <c r="I6308" s="7" t="n">
        <v>190801</v>
      </c>
      <c r="J6308" s="94" t="n"/>
      <c r="K6308" s="6" t="n">
        <v>2</v>
      </c>
      <c r="L6308" s="7" t="n">
        <v>190801</v>
      </c>
      <c r="M6308" s="94">
        <f>VLOOKUP($Q6308,매칭테이블!$F:$I,2,0)*K6308</f>
        <v/>
      </c>
      <c r="N6308" s="94">
        <f>M6308-M6308*VLOOKUP($Q6308,매칭테이블!$F:$I,3,0)</f>
        <v/>
      </c>
      <c r="O6308" s="94">
        <f>VLOOKUP($Q6308,매칭테이블!$F:$I,4,0)*K6308</f>
        <v/>
      </c>
      <c r="P6308" s="148">
        <f>M6308/1.1</f>
        <v/>
      </c>
      <c r="Q6308" s="94">
        <f>F6308&amp;E6308&amp;G6308&amp;L6308</f>
        <v/>
      </c>
    </row>
    <row r="6309">
      <c r="A6309" s="94" t="n"/>
      <c r="B6309" s="128" t="n">
        <v>43972</v>
      </c>
      <c r="C6309" s="94">
        <f>TEXT(B6309,"aaa")</f>
        <v/>
      </c>
      <c r="D6309" s="94" t="n"/>
      <c r="E6309" s="94" t="inlineStr">
        <is>
          <t>선크림</t>
        </is>
      </c>
      <c r="F6309" s="94" t="inlineStr">
        <is>
          <t>카페24</t>
        </is>
      </c>
      <c r="G6309" s="94" t="inlineStr">
        <is>
          <t>선크림 50ml</t>
        </is>
      </c>
      <c r="H6309" s="7" t="n">
        <v>190801</v>
      </c>
      <c r="I6309" s="7" t="n">
        <v>190801</v>
      </c>
      <c r="J6309" s="94" t="n"/>
      <c r="K6309" s="6" t="n">
        <v>1</v>
      </c>
      <c r="L6309" s="7" t="n">
        <v>190801</v>
      </c>
      <c r="M6309" s="94">
        <f>VLOOKUP($Q6309,매칭테이블!$F:$I,2,0)*K6309</f>
        <v/>
      </c>
      <c r="N6309" s="94">
        <f>M6309-M6309*VLOOKUP($Q6309,매칭테이블!$F:$I,3,0)</f>
        <v/>
      </c>
      <c r="O6309" s="94">
        <f>VLOOKUP($Q6309,매칭테이블!$F:$I,4,0)*K6309</f>
        <v/>
      </c>
      <c r="P6309" s="148">
        <f>M6309/1.1</f>
        <v/>
      </c>
      <c r="Q6309" s="94">
        <f>F6309&amp;E6309&amp;G6309&amp;L6309</f>
        <v/>
      </c>
    </row>
    <row r="6310">
      <c r="A6310" s="94" t="n"/>
      <c r="B6310" s="128" t="n">
        <v>43972</v>
      </c>
      <c r="C6310" s="94">
        <f>TEXT(B6310,"aaa")</f>
        <v/>
      </c>
      <c r="D6310" s="94" t="n"/>
      <c r="E6310" s="94" t="inlineStr">
        <is>
          <t>어성초진정패키지</t>
        </is>
      </c>
      <c r="F6310" s="94" t="inlineStr">
        <is>
          <t>카페24</t>
        </is>
      </c>
      <c r="G6310" s="94" t="inlineStr">
        <is>
          <t>어성초 진정패키지세트</t>
        </is>
      </c>
      <c r="H6310" s="7" t="n">
        <v>190801</v>
      </c>
      <c r="I6310" s="7" t="n">
        <v>190801</v>
      </c>
      <c r="J6310" s="94" t="n"/>
      <c r="K6310" s="6" t="n">
        <v>10</v>
      </c>
      <c r="L6310" s="94" t="n">
        <v>190801</v>
      </c>
      <c r="M6310" s="94">
        <f>VLOOKUP($Q6310,매칭테이블!$F:$I,2,0)*K6310</f>
        <v/>
      </c>
      <c r="N6310" s="94">
        <f>M6310-M6310*VLOOKUP($Q6310,매칭테이블!$F:$I,3,0)</f>
        <v/>
      </c>
      <c r="O6310" s="94">
        <f>VLOOKUP($Q6310,매칭테이블!$F:$I,4,0)*K6310</f>
        <v/>
      </c>
      <c r="P6310" s="148">
        <f>M6310/1.1</f>
        <v/>
      </c>
      <c r="Q6310" s="94">
        <f>F6310&amp;E6310&amp;G6310&amp;L6310</f>
        <v/>
      </c>
    </row>
    <row r="6311">
      <c r="A6311" s="94" t="n"/>
      <c r="B6311" s="128" t="n">
        <v>43972</v>
      </c>
      <c r="C6311" s="94">
        <f>TEXT(B6311,"aaa")</f>
        <v/>
      </c>
      <c r="D6311" s="94" t="n"/>
      <c r="E6311" s="94" t="inlineStr">
        <is>
          <t>머드크림마스크</t>
        </is>
      </c>
      <c r="F6311" s="94" t="inlineStr">
        <is>
          <t>카페24</t>
        </is>
      </c>
      <c r="G6311" s="94" t="inlineStr">
        <is>
          <t>머드크림마스크 100ml</t>
        </is>
      </c>
      <c r="H6311" s="7" t="n">
        <v>190801</v>
      </c>
      <c r="I6311" s="7" t="n">
        <v>190801</v>
      </c>
      <c r="J6311" s="94" t="n"/>
      <c r="K6311" s="6" t="n">
        <v>3</v>
      </c>
      <c r="L6311" s="94" t="n">
        <v>190801</v>
      </c>
      <c r="M6311" s="94">
        <f>VLOOKUP($Q6311,매칭테이블!$F:$I,2,0)*K6311</f>
        <v/>
      </c>
      <c r="N6311" s="94">
        <f>M6311-M6311*VLOOKUP($Q6311,매칭테이블!$F:$I,3,0)</f>
        <v/>
      </c>
      <c r="O6311" s="94">
        <f>VLOOKUP($Q6311,매칭테이블!$F:$I,4,0)*K6311</f>
        <v/>
      </c>
      <c r="P6311" s="148">
        <f>M6311/1.1</f>
        <v/>
      </c>
      <c r="Q6311" s="94">
        <f>F6311&amp;E6311&amp;G6311&amp;L6311</f>
        <v/>
      </c>
    </row>
    <row r="6312">
      <c r="A6312" s="94" t="n"/>
      <c r="B6312" s="128" t="n">
        <v>43972</v>
      </c>
      <c r="C6312" s="94">
        <f>TEXT(B6312,"aaa")</f>
        <v/>
      </c>
      <c r="D6312" s="94" t="n"/>
      <c r="E6312" s="94" t="inlineStr">
        <is>
          <t>마스크팩</t>
        </is>
      </c>
      <c r="F6312" s="94" t="inlineStr">
        <is>
          <t>카페24</t>
        </is>
      </c>
      <c r="G6312" s="94" t="inlineStr">
        <is>
          <t>마스크팩 1매</t>
        </is>
      </c>
      <c r="H6312" s="7" t="n">
        <v>190801</v>
      </c>
      <c r="I6312" s="7" t="n">
        <v>190801</v>
      </c>
      <c r="J6312" s="94" t="n"/>
      <c r="K6312" s="6" t="n">
        <v>1</v>
      </c>
      <c r="L6312" s="94" t="n">
        <v>190801</v>
      </c>
      <c r="M6312" s="94">
        <f>VLOOKUP($Q6312,매칭테이블!$F:$I,2,0)*K6312</f>
        <v/>
      </c>
      <c r="N6312" s="94">
        <f>M6312-M6312*VLOOKUP($Q6312,매칭테이블!$F:$I,3,0)</f>
        <v/>
      </c>
      <c r="O6312" s="94">
        <f>VLOOKUP($Q6312,매칭테이블!$F:$I,4,0)*K6312</f>
        <v/>
      </c>
      <c r="P6312" s="148">
        <f>M6312/1.1</f>
        <v/>
      </c>
      <c r="Q6312" s="94">
        <f>F6312&amp;E6312&amp;G6312&amp;L6312</f>
        <v/>
      </c>
    </row>
    <row r="6313">
      <c r="A6313" s="94" t="n"/>
      <c r="B6313" s="128" t="n">
        <v>43972</v>
      </c>
      <c r="C6313" s="94">
        <f>TEXT(B6313,"aaa")</f>
        <v/>
      </c>
      <c r="D6313" s="94" t="n"/>
      <c r="E6313" s="94" t="inlineStr">
        <is>
          <t>마스크팩</t>
        </is>
      </c>
      <c r="F6313" s="94" t="inlineStr">
        <is>
          <t>카페24</t>
        </is>
      </c>
      <c r="G6313" s="94" t="inlineStr">
        <is>
          <t>마스크팩 10매</t>
        </is>
      </c>
      <c r="H6313" s="7" t="n">
        <v>190801</v>
      </c>
      <c r="I6313" s="7" t="n">
        <v>190801</v>
      </c>
      <c r="J6313" s="94" t="n"/>
      <c r="K6313" s="6" t="n">
        <v>2</v>
      </c>
      <c r="L6313" s="94" t="n">
        <v>190801</v>
      </c>
      <c r="M6313" s="94">
        <f>VLOOKUP($Q6313,매칭테이블!$F:$I,2,0)*K6313</f>
        <v/>
      </c>
      <c r="N6313" s="94">
        <f>M6313-M6313*VLOOKUP($Q6313,매칭테이블!$F:$I,3,0)</f>
        <v/>
      </c>
      <c r="O6313" s="94">
        <f>VLOOKUP($Q6313,매칭테이블!$F:$I,4,0)*K6313</f>
        <v/>
      </c>
      <c r="P6313" s="148">
        <f>M6313/1.1</f>
        <v/>
      </c>
      <c r="Q6313" s="94">
        <f>F6313&amp;E6313&amp;G6313&amp;L6313</f>
        <v/>
      </c>
    </row>
    <row r="6314">
      <c r="A6314" s="94" t="n"/>
      <c r="B6314" s="128" t="n">
        <v>43972</v>
      </c>
      <c r="C6314" s="94">
        <f>TEXT(B6314,"aaa")</f>
        <v/>
      </c>
      <c r="D6314" s="94" t="n"/>
      <c r="E6314" s="6" t="inlineStr">
        <is>
          <t>토너</t>
        </is>
      </c>
      <c r="F6314" s="5" t="inlineStr">
        <is>
          <t>카페24</t>
        </is>
      </c>
      <c r="G6314" s="5" t="inlineStr">
        <is>
          <t>250ml</t>
        </is>
      </c>
      <c r="H6314" s="7" t="n">
        <v>190801</v>
      </c>
      <c r="I6314" s="7" t="n">
        <v>190801</v>
      </c>
      <c r="J6314" s="94" t="n"/>
      <c r="K6314" s="6" t="n">
        <v>50</v>
      </c>
      <c r="L6314" s="7" t="n">
        <v>190801</v>
      </c>
      <c r="M6314" s="94">
        <f>VLOOKUP($Q6314,매칭테이블!$F:$I,2,0)*K6314</f>
        <v/>
      </c>
      <c r="N6314" s="94">
        <f>M6314-M6314*VLOOKUP($Q6314,매칭테이블!$F:$I,3,0)</f>
        <v/>
      </c>
      <c r="O6314" s="94">
        <f>VLOOKUP($Q6314,매칭테이블!$F:$I,4,0)*K6314</f>
        <v/>
      </c>
      <c r="P6314" s="148">
        <f>M6314/1.1</f>
        <v/>
      </c>
      <c r="Q6314" s="94">
        <f>F6314&amp;E6314&amp;G6314&amp;L6314</f>
        <v/>
      </c>
    </row>
    <row r="6315">
      <c r="A6315" s="94" t="n"/>
      <c r="B6315" s="128" t="n">
        <v>43972</v>
      </c>
      <c r="C6315" s="94">
        <f>TEXT(B6315,"aaa")</f>
        <v/>
      </c>
      <c r="D6315" s="94" t="n"/>
      <c r="E6315" s="6" t="inlineStr">
        <is>
          <t>토너</t>
        </is>
      </c>
      <c r="F6315" s="5" t="inlineStr">
        <is>
          <t>카페24</t>
        </is>
      </c>
      <c r="G6315" s="5" t="inlineStr">
        <is>
          <t>250ml 2set</t>
        </is>
      </c>
      <c r="H6315" s="7" t="n">
        <v>190801</v>
      </c>
      <c r="I6315" s="7" t="n">
        <v>190801</v>
      </c>
      <c r="J6315" s="94" t="n"/>
      <c r="K6315" s="6" t="n">
        <v>32</v>
      </c>
      <c r="L6315" s="7" t="n">
        <v>190801</v>
      </c>
      <c r="M6315" s="94">
        <f>VLOOKUP($Q6315,매칭테이블!$F:$I,2,0)*K6315</f>
        <v/>
      </c>
      <c r="N6315" s="94">
        <f>M6315-M6315*VLOOKUP($Q6315,매칭테이블!$F:$I,3,0)</f>
        <v/>
      </c>
      <c r="O6315" s="94">
        <f>VLOOKUP($Q6315,매칭테이블!$F:$I,4,0)*K6315</f>
        <v/>
      </c>
      <c r="P6315" s="148">
        <f>M6315/1.1</f>
        <v/>
      </c>
      <c r="Q6315" s="94">
        <f>F6315&amp;E6315&amp;G6315&amp;L6315</f>
        <v/>
      </c>
    </row>
    <row r="6316">
      <c r="A6316" s="94" t="n"/>
      <c r="B6316" s="128" t="n">
        <v>43972</v>
      </c>
      <c r="C6316" s="94">
        <f>TEXT(B6316,"aaa")</f>
        <v/>
      </c>
      <c r="D6316" s="94" t="n"/>
      <c r="E6316" s="6" t="inlineStr">
        <is>
          <t>토너</t>
        </is>
      </c>
      <c r="F6316" s="5" t="inlineStr">
        <is>
          <t>카페24</t>
        </is>
      </c>
      <c r="G6316" s="5" t="inlineStr">
        <is>
          <t>500ml</t>
        </is>
      </c>
      <c r="H6316" s="7" t="n">
        <v>190801</v>
      </c>
      <c r="I6316" s="7" t="n">
        <v>190801</v>
      </c>
      <c r="J6316" s="94" t="n"/>
      <c r="K6316" s="6" t="n">
        <v>47</v>
      </c>
      <c r="L6316" s="7" t="n">
        <v>190801</v>
      </c>
      <c r="M6316" s="94">
        <f>VLOOKUP($Q6316,매칭테이블!$F:$I,2,0)*K6316</f>
        <v/>
      </c>
      <c r="N6316" s="94">
        <f>M6316-M6316*VLOOKUP($Q6316,매칭테이블!$F:$I,3,0)</f>
        <v/>
      </c>
      <c r="O6316" s="94">
        <f>VLOOKUP($Q6316,매칭테이블!$F:$I,4,0)*K6316</f>
        <v/>
      </c>
      <c r="P6316" s="148">
        <f>M6316/1.1</f>
        <v/>
      </c>
      <c r="Q6316" s="94">
        <f>F6316&amp;E6316&amp;G6316&amp;L6316</f>
        <v/>
      </c>
    </row>
    <row r="6317">
      <c r="A6317" s="94" t="n"/>
      <c r="B6317" s="128" t="n">
        <v>43972</v>
      </c>
      <c r="C6317" s="94">
        <f>TEXT(B6317,"aaa")</f>
        <v/>
      </c>
      <c r="D6317" s="94" t="n"/>
      <c r="E6317" s="6" t="inlineStr">
        <is>
          <t>토너</t>
        </is>
      </c>
      <c r="F6317" s="5" t="inlineStr">
        <is>
          <t>카페24</t>
        </is>
      </c>
      <c r="G6317" s="94" t="inlineStr">
        <is>
          <t>스킨팩 화장솜 60P</t>
        </is>
      </c>
      <c r="H6317" s="7" t="n">
        <v>190801</v>
      </c>
      <c r="I6317" s="7" t="n">
        <v>190801</v>
      </c>
      <c r="J6317" s="94" t="n"/>
      <c r="K6317" s="6" t="n">
        <v>49</v>
      </c>
      <c r="L6317" s="7" t="n">
        <v>190801</v>
      </c>
      <c r="M6317" s="94">
        <f>VLOOKUP($Q6317,매칭테이블!$F:$I,2,0)*K6317</f>
        <v/>
      </c>
      <c r="N6317" s="94">
        <f>M6317-M6317*VLOOKUP($Q6317,매칭테이블!$F:$I,3,0)</f>
        <v/>
      </c>
      <c r="O6317" s="94">
        <f>VLOOKUP($Q6317,매칭테이블!$F:$I,4,0)*K6317</f>
        <v/>
      </c>
      <c r="P6317" s="148">
        <f>M6317/1.1</f>
        <v/>
      </c>
      <c r="Q6317" s="94">
        <f>F6317&amp;E6317&amp;G6317&amp;L6317</f>
        <v/>
      </c>
    </row>
    <row r="6318">
      <c r="A6318" s="94" t="n"/>
      <c r="B6318" s="128" t="n">
        <v>43972</v>
      </c>
      <c r="C6318" s="94">
        <f>TEXT(B6318,"aaa")</f>
        <v/>
      </c>
      <c r="D6318" s="94" t="n"/>
      <c r="E6318" s="94" t="inlineStr">
        <is>
          <t>앰플</t>
        </is>
      </c>
      <c r="F6318" s="5" t="inlineStr">
        <is>
          <t>카페24</t>
        </is>
      </c>
      <c r="G6318" s="94" t="inlineStr">
        <is>
          <t>앰플 30ml</t>
        </is>
      </c>
      <c r="H6318" s="7" t="n">
        <v>190801</v>
      </c>
      <c r="I6318" s="7" t="n">
        <v>190801</v>
      </c>
      <c r="J6318" s="94" t="n"/>
      <c r="K6318" s="6" t="n">
        <v>17</v>
      </c>
      <c r="L6318" s="94" t="n">
        <v>190801</v>
      </c>
      <c r="M6318" s="94">
        <f>VLOOKUP($Q6318,매칭테이블!$F:$I,2,0)*K6318</f>
        <v/>
      </c>
      <c r="N6318" s="94">
        <f>M6318-M6318*VLOOKUP($Q6318,매칭테이블!$F:$I,3,0)</f>
        <v/>
      </c>
      <c r="O6318" s="94">
        <f>VLOOKUP($Q6318,매칭테이블!$F:$I,4,0)*K6318</f>
        <v/>
      </c>
      <c r="P6318" s="148">
        <f>M6318/1.1</f>
        <v/>
      </c>
      <c r="Q6318" s="94">
        <f>F6318&amp;E6318&amp;G6318&amp;L6318</f>
        <v/>
      </c>
    </row>
    <row r="6319">
      <c r="A6319" s="94" t="n"/>
      <c r="B6319" s="128" t="n">
        <v>43972</v>
      </c>
      <c r="C6319" s="94">
        <f>TEXT(B6319,"aaa")</f>
        <v/>
      </c>
      <c r="D6319" s="94" t="n"/>
      <c r="E6319" s="94" t="inlineStr">
        <is>
          <t>수딩크림</t>
        </is>
      </c>
      <c r="F6319" s="5" t="inlineStr">
        <is>
          <t>카페24</t>
        </is>
      </c>
      <c r="G6319" s="94" t="inlineStr">
        <is>
          <t>수딩크림 100ml</t>
        </is>
      </c>
      <c r="H6319" s="7" t="n">
        <v>190801</v>
      </c>
      <c r="I6319" s="7" t="n">
        <v>190801</v>
      </c>
      <c r="J6319" s="94" t="n"/>
      <c r="K6319" s="6" t="n">
        <v>8</v>
      </c>
      <c r="L6319" s="94" t="n">
        <v>190801</v>
      </c>
      <c r="M6319" s="94">
        <f>VLOOKUP($Q6319,매칭테이블!$F:$I,2,0)*K6319</f>
        <v/>
      </c>
      <c r="N6319" s="94">
        <f>M6319-M6319*VLOOKUP($Q6319,매칭테이블!$F:$I,3,0)</f>
        <v/>
      </c>
      <c r="O6319" s="94">
        <f>VLOOKUP($Q6319,매칭테이블!$F:$I,4,0)*K6319</f>
        <v/>
      </c>
      <c r="P6319" s="148">
        <f>M6319/1.1</f>
        <v/>
      </c>
      <c r="Q6319" s="94">
        <f>F6319&amp;E6319&amp;G6319&amp;L6319</f>
        <v/>
      </c>
    </row>
    <row r="6320">
      <c r="A6320" s="94" t="n"/>
      <c r="B6320" s="128" t="n">
        <v>43972</v>
      </c>
      <c r="C6320" s="94">
        <f>TEXT(B6320,"aaa")</f>
        <v/>
      </c>
      <c r="D6320" s="94" t="n"/>
      <c r="E6320" s="6" t="inlineStr">
        <is>
          <t>토너</t>
        </is>
      </c>
      <c r="F6320" s="5" t="inlineStr">
        <is>
          <t>큐텐</t>
        </is>
      </c>
      <c r="G6320" s="5" t="inlineStr">
        <is>
          <t>250ml</t>
        </is>
      </c>
      <c r="H6320" s="7" t="n">
        <v>190801</v>
      </c>
      <c r="I6320" s="7" t="n">
        <v>190801</v>
      </c>
      <c r="J6320" s="94" t="n"/>
      <c r="K6320" s="6" t="n">
        <v>18</v>
      </c>
      <c r="L6320" s="92" t="n">
        <v>190801</v>
      </c>
      <c r="M6320" s="94">
        <f>VLOOKUP($Q6320,매칭테이블!$F:$I,2,0)*K6320</f>
        <v/>
      </c>
      <c r="N6320" s="94">
        <f>M6320-M6320*VLOOKUP($Q6320,매칭테이블!$F:$I,3,0)</f>
        <v/>
      </c>
      <c r="O6320" s="94">
        <f>VLOOKUP($Q6320,매칭테이블!$F:$I,4,0)*K6320</f>
        <v/>
      </c>
      <c r="P6320" s="148">
        <f>M6320/1.1</f>
        <v/>
      </c>
      <c r="Q6320" s="94">
        <f>F6320&amp;E6320&amp;G6320&amp;L6320</f>
        <v/>
      </c>
    </row>
    <row r="6321">
      <c r="A6321" s="94" t="n"/>
      <c r="B6321" s="128" t="n">
        <v>43972</v>
      </c>
      <c r="C6321" s="94">
        <f>TEXT(B6321,"aaa")</f>
        <v/>
      </c>
      <c r="D6321" s="94" t="n"/>
      <c r="E6321" s="6" t="inlineStr">
        <is>
          <t>토너</t>
        </is>
      </c>
      <c r="F6321" s="5" t="inlineStr">
        <is>
          <t>큐텐</t>
        </is>
      </c>
      <c r="G6321" s="5" t="inlineStr">
        <is>
          <t>250ml 2set</t>
        </is>
      </c>
      <c r="H6321" s="7" t="n">
        <v>190801</v>
      </c>
      <c r="I6321" s="7" t="n">
        <v>190801</v>
      </c>
      <c r="J6321" s="94" t="n"/>
      <c r="K6321" s="6" t="n">
        <v>12</v>
      </c>
      <c r="L6321" s="92" t="n">
        <v>190801</v>
      </c>
      <c r="M6321" s="94">
        <f>VLOOKUP($Q6321,매칭테이블!$F:$I,2,0)*K6321</f>
        <v/>
      </c>
      <c r="N6321" s="94">
        <f>M6321-M6321*VLOOKUP($Q6321,매칭테이블!$F:$I,3,0)</f>
        <v/>
      </c>
      <c r="O6321" s="94">
        <f>VLOOKUP($Q6321,매칭테이블!$F:$I,4,0)*K6321</f>
        <v/>
      </c>
      <c r="P6321" s="148">
        <f>M6321/1.1</f>
        <v/>
      </c>
      <c r="Q6321" s="94">
        <f>F6321&amp;E6321&amp;G6321&amp;L6321</f>
        <v/>
      </c>
    </row>
    <row r="6322">
      <c r="A6322" s="94" t="n"/>
      <c r="B6322" s="128" t="n">
        <v>43972</v>
      </c>
      <c r="C6322" s="94">
        <f>TEXT(B6322,"aaa")</f>
        <v/>
      </c>
      <c r="D6322" s="94" t="n"/>
      <c r="E6322" s="94" t="inlineStr">
        <is>
          <t>앰플</t>
        </is>
      </c>
      <c r="F6322" s="5" t="inlineStr">
        <is>
          <t>큐텐</t>
        </is>
      </c>
      <c r="G6322" s="94" t="inlineStr">
        <is>
          <t>앰플 30ml</t>
        </is>
      </c>
      <c r="H6322" s="7" t="n">
        <v>190801</v>
      </c>
      <c r="I6322" s="7" t="n">
        <v>190801</v>
      </c>
      <c r="J6322" s="94" t="n"/>
      <c r="K6322" s="6" t="n">
        <v>7</v>
      </c>
      <c r="L6322" s="94" t="n">
        <v>190801</v>
      </c>
      <c r="M6322" s="94">
        <f>VLOOKUP($Q6322,매칭테이블!$F:$I,2,0)*K6322</f>
        <v/>
      </c>
      <c r="N6322" s="94">
        <f>M6322-M6322*VLOOKUP($Q6322,매칭테이블!$F:$I,3,0)</f>
        <v/>
      </c>
      <c r="O6322" s="94">
        <f>VLOOKUP($Q6322,매칭테이블!$F:$I,4,0)*K6322</f>
        <v/>
      </c>
      <c r="P6322" s="148">
        <f>M6322/1.1</f>
        <v/>
      </c>
      <c r="Q6322" s="94">
        <f>F6322&amp;E6322&amp;G6322&amp;L6322</f>
        <v/>
      </c>
    </row>
    <row r="6323">
      <c r="A6323" s="94" t="n"/>
      <c r="B6323" s="128" t="n">
        <v>43972</v>
      </c>
      <c r="C6323" s="94">
        <f>TEXT(B6323,"aaa")</f>
        <v/>
      </c>
      <c r="D6323" s="94" t="n"/>
      <c r="E6323" s="94" t="inlineStr">
        <is>
          <t>머드크림마스크</t>
        </is>
      </c>
      <c r="F6323" s="5" t="inlineStr">
        <is>
          <t>큐텐</t>
        </is>
      </c>
      <c r="G6323" s="94" t="inlineStr">
        <is>
          <t>머드크림마스크 100ml</t>
        </is>
      </c>
      <c r="H6323" s="7" t="n">
        <v>190801</v>
      </c>
      <c r="I6323" s="7" t="n">
        <v>190801</v>
      </c>
      <c r="J6323" s="94" t="n"/>
      <c r="K6323" s="6" t="n">
        <v>1</v>
      </c>
      <c r="L6323" s="94" t="n">
        <v>190801</v>
      </c>
      <c r="M6323" s="94">
        <f>VLOOKUP($Q6323,매칭테이블!$F:$I,2,0)*K6323</f>
        <v/>
      </c>
      <c r="N6323" s="94">
        <f>M6323-M6323*VLOOKUP($Q6323,매칭테이블!$F:$I,3,0)</f>
        <v/>
      </c>
      <c r="O6323" s="94">
        <f>VLOOKUP($Q6323,매칭테이블!$F:$I,4,0)*K6323</f>
        <v/>
      </c>
      <c r="P6323" s="148">
        <f>M6323/1.1</f>
        <v/>
      </c>
      <c r="Q6323" s="94">
        <f>F6323&amp;E6323&amp;G6323&amp;L6323</f>
        <v/>
      </c>
    </row>
    <row r="6324">
      <c r="A6324" s="94" t="n"/>
      <c r="B6324" s="128" t="n">
        <v>43972</v>
      </c>
      <c r="C6324" s="94">
        <f>TEXT(B6324,"aaa")</f>
        <v/>
      </c>
      <c r="D6324" s="94" t="n"/>
      <c r="E6324" s="94" t="inlineStr">
        <is>
          <t>클렌징폼</t>
        </is>
      </c>
      <c r="F6324" s="5" t="inlineStr">
        <is>
          <t>큐텐</t>
        </is>
      </c>
      <c r="G6324" s="94" t="inlineStr">
        <is>
          <t>클렌징폼 120ml</t>
        </is>
      </c>
      <c r="H6324" s="7" t="n">
        <v>190801</v>
      </c>
      <c r="I6324" s="7" t="n">
        <v>190801</v>
      </c>
      <c r="J6324" s="94" t="n"/>
      <c r="K6324" s="6" t="n">
        <v>1</v>
      </c>
      <c r="L6324" s="92" t="n">
        <v>190801</v>
      </c>
      <c r="M6324" s="94">
        <f>VLOOKUP($Q6324,매칭테이블!$F:$I,2,0)*K6324</f>
        <v/>
      </c>
      <c r="N6324" s="94">
        <f>M6324-M6324*VLOOKUP($Q6324,매칭테이블!$F:$I,3,0)</f>
        <v/>
      </c>
      <c r="O6324" s="94">
        <f>VLOOKUP($Q6324,매칭테이블!$F:$I,4,0)*K6324</f>
        <v/>
      </c>
      <c r="P6324" s="148">
        <f>M6324/1.1</f>
        <v/>
      </c>
      <c r="Q6324" s="94">
        <f>F6324&amp;E6324&amp;G6324&amp;L6324</f>
        <v/>
      </c>
    </row>
    <row r="6325">
      <c r="A6325" s="94" t="n"/>
      <c r="B6325" s="128" t="n">
        <v>43973</v>
      </c>
      <c r="C6325" s="94">
        <f>TEXT(B6325,"aaa")</f>
        <v/>
      </c>
      <c r="D6325" s="94" t="n"/>
      <c r="E6325" s="6" t="inlineStr">
        <is>
          <t>토너</t>
        </is>
      </c>
      <c r="F6325" s="5" t="inlineStr">
        <is>
          <t>W컨셉</t>
        </is>
      </c>
      <c r="G6325" s="5" t="inlineStr">
        <is>
          <t>250ml 2set</t>
        </is>
      </c>
      <c r="H6325" s="7" t="n">
        <v>190801</v>
      </c>
      <c r="I6325" s="7" t="n">
        <v>190801</v>
      </c>
      <c r="J6325" s="94" t="n"/>
      <c r="K6325" s="6" t="n">
        <v>5</v>
      </c>
      <c r="L6325" s="7" t="n">
        <v>190801</v>
      </c>
      <c r="M6325" s="94">
        <f>VLOOKUP($Q6325,매칭테이블!$F:$I,2,0)*K6325</f>
        <v/>
      </c>
      <c r="N6325" s="94">
        <f>M6325-M6325*VLOOKUP($Q6325,매칭테이블!$F:$I,3,0)</f>
        <v/>
      </c>
      <c r="O6325" s="94">
        <f>VLOOKUP($Q6325,매칭테이블!$F:$I,4,0)*K6325</f>
        <v/>
      </c>
      <c r="P6325" s="148">
        <f>M6325/1.1</f>
        <v/>
      </c>
      <c r="Q6325" s="94">
        <f>F6325&amp;E6325&amp;G6325&amp;L6325</f>
        <v/>
      </c>
    </row>
    <row r="6326">
      <c r="A6326" s="94" t="n"/>
      <c r="B6326" s="128" t="n">
        <v>43973</v>
      </c>
      <c r="C6326" s="94">
        <f>TEXT(B6326,"aaa")</f>
        <v/>
      </c>
      <c r="D6326" s="94" t="n"/>
      <c r="E6326" s="94" t="inlineStr">
        <is>
          <t>토너</t>
        </is>
      </c>
      <c r="F6326" s="5" t="inlineStr">
        <is>
          <t>스타일쉐어</t>
        </is>
      </c>
      <c r="G6326" s="94" t="inlineStr">
        <is>
          <t>250ml</t>
        </is>
      </c>
      <c r="H6326" s="7" t="n">
        <v>190801</v>
      </c>
      <c r="I6326" s="7" t="n">
        <v>190801</v>
      </c>
      <c r="J6326" s="94" t="n"/>
      <c r="K6326" s="6" t="n">
        <v>6</v>
      </c>
      <c r="L6326" s="7" t="n">
        <v>190801</v>
      </c>
      <c r="M6326" s="94">
        <f>VLOOKUP($Q6326,매칭테이블!$F:$I,2,0)*K6326</f>
        <v/>
      </c>
      <c r="N6326" s="94">
        <f>M6326-M6326*VLOOKUP($Q6326,매칭테이블!$F:$I,3,0)</f>
        <v/>
      </c>
      <c r="O6326" s="94">
        <f>VLOOKUP($Q6326,매칭테이블!$F:$I,4,0)*K6326</f>
        <v/>
      </c>
      <c r="P6326" s="148">
        <f>M6326/1.1</f>
        <v/>
      </c>
      <c r="Q6326" s="94">
        <f>F6326&amp;E6326&amp;G6326&amp;L6326</f>
        <v/>
      </c>
    </row>
    <row r="6327">
      <c r="A6327" s="94" t="n"/>
      <c r="B6327" s="128" t="n">
        <v>43973</v>
      </c>
      <c r="C6327" s="94">
        <f>TEXT(B6327,"aaa")</f>
        <v/>
      </c>
      <c r="D6327" s="94" t="n"/>
      <c r="E6327" s="94" t="inlineStr">
        <is>
          <t>어성초진정패키지</t>
        </is>
      </c>
      <c r="F6327" s="94" t="inlineStr">
        <is>
          <t>카페24</t>
        </is>
      </c>
      <c r="G6327" s="94" t="inlineStr">
        <is>
          <t>어성초 진정패키지세트</t>
        </is>
      </c>
      <c r="H6327" s="7" t="n">
        <v>190801</v>
      </c>
      <c r="I6327" s="7" t="n">
        <v>190801</v>
      </c>
      <c r="J6327" s="94" t="n"/>
      <c r="K6327" s="6" t="n">
        <v>4</v>
      </c>
      <c r="L6327" s="94" t="n">
        <v>190801</v>
      </c>
      <c r="M6327" s="94">
        <f>VLOOKUP($Q6327,매칭테이블!$F:$I,2,0)*K6327</f>
        <v/>
      </c>
      <c r="N6327" s="94">
        <f>M6327-M6327*VLOOKUP($Q6327,매칭테이블!$F:$I,3,0)</f>
        <v/>
      </c>
      <c r="O6327" s="94">
        <f>VLOOKUP($Q6327,매칭테이블!$F:$I,4,0)*K6327</f>
        <v/>
      </c>
      <c r="P6327" s="148">
        <f>M6327/1.1</f>
        <v/>
      </c>
      <c r="Q6327" s="94">
        <f>F6327&amp;E6327&amp;G6327&amp;L6327</f>
        <v/>
      </c>
    </row>
    <row r="6328">
      <c r="A6328" s="94" t="n"/>
      <c r="B6328" s="128" t="n">
        <v>43973</v>
      </c>
      <c r="C6328" s="94">
        <f>TEXT(B6328,"aaa")</f>
        <v/>
      </c>
      <c r="D6328" s="94" t="n"/>
      <c r="E6328" s="94" t="inlineStr">
        <is>
          <t>머드크림마스크</t>
        </is>
      </c>
      <c r="F6328" s="94" t="inlineStr">
        <is>
          <t>카페24</t>
        </is>
      </c>
      <c r="G6328" s="94" t="inlineStr">
        <is>
          <t>머드크림마스크 100ml</t>
        </is>
      </c>
      <c r="H6328" s="7" t="n">
        <v>190801</v>
      </c>
      <c r="I6328" s="7" t="n">
        <v>190801</v>
      </c>
      <c r="J6328" s="94" t="n"/>
      <c r="K6328" s="6" t="n">
        <v>1</v>
      </c>
      <c r="L6328" s="94" t="n">
        <v>190801</v>
      </c>
      <c r="M6328" s="94">
        <f>VLOOKUP($Q6328,매칭테이블!$F:$I,2,0)*K6328</f>
        <v/>
      </c>
      <c r="N6328" s="94">
        <f>M6328-M6328*VLOOKUP($Q6328,매칭테이블!$F:$I,3,0)</f>
        <v/>
      </c>
      <c r="O6328" s="94">
        <f>VLOOKUP($Q6328,매칭테이블!$F:$I,4,0)*K6328</f>
        <v/>
      </c>
      <c r="P6328" s="148">
        <f>M6328/1.1</f>
        <v/>
      </c>
      <c r="Q6328" s="94">
        <f>F6328&amp;E6328&amp;G6328&amp;L6328</f>
        <v/>
      </c>
    </row>
    <row r="6329">
      <c r="A6329" s="94" t="n"/>
      <c r="B6329" s="128" t="n">
        <v>43973</v>
      </c>
      <c r="C6329" s="94">
        <f>TEXT(B6329,"aaa")</f>
        <v/>
      </c>
      <c r="D6329" s="94" t="n"/>
      <c r="E6329" s="94" t="inlineStr">
        <is>
          <t>머드크림마스크</t>
        </is>
      </c>
      <c r="F6329" s="94" t="inlineStr">
        <is>
          <t>카페24</t>
        </is>
      </c>
      <c r="G6329" s="94" t="inlineStr">
        <is>
          <t>머드크림마스크 100ml 2set</t>
        </is>
      </c>
      <c r="H6329" s="7" t="n">
        <v>190801</v>
      </c>
      <c r="I6329" s="7" t="n">
        <v>190801</v>
      </c>
      <c r="J6329" s="94" t="n"/>
      <c r="K6329" s="6" t="n">
        <v>1</v>
      </c>
      <c r="L6329" s="94" t="n">
        <v>190801</v>
      </c>
      <c r="M6329" s="94">
        <f>VLOOKUP($Q6329,매칭테이블!$F:$I,2,0)*K6329</f>
        <v/>
      </c>
      <c r="N6329" s="94">
        <f>M6329-M6329*VLOOKUP($Q6329,매칭테이블!$F:$I,3,0)</f>
        <v/>
      </c>
      <c r="O6329" s="94">
        <f>VLOOKUP($Q6329,매칭테이블!$F:$I,4,0)*K6329</f>
        <v/>
      </c>
      <c r="P6329" s="148">
        <f>M6329/1.1</f>
        <v/>
      </c>
      <c r="Q6329" s="94">
        <f>F6329&amp;E6329&amp;G6329&amp;L6329</f>
        <v/>
      </c>
    </row>
    <row r="6330">
      <c r="A6330" s="94" t="n"/>
      <c r="B6330" s="128" t="n">
        <v>43973</v>
      </c>
      <c r="C6330" s="94">
        <f>TEXT(B6330,"aaa")</f>
        <v/>
      </c>
      <c r="D6330" s="94" t="n"/>
      <c r="E6330" s="6" t="inlineStr">
        <is>
          <t>토너</t>
        </is>
      </c>
      <c r="F6330" s="5" t="inlineStr">
        <is>
          <t>카페24</t>
        </is>
      </c>
      <c r="G6330" s="5" t="inlineStr">
        <is>
          <t>250ml</t>
        </is>
      </c>
      <c r="H6330" s="7" t="n">
        <v>190801</v>
      </c>
      <c r="I6330" s="7" t="n">
        <v>190801</v>
      </c>
      <c r="J6330" s="94" t="n"/>
      <c r="K6330" s="6" t="n">
        <v>24</v>
      </c>
      <c r="L6330" s="7" t="n">
        <v>190801</v>
      </c>
      <c r="M6330" s="94">
        <f>VLOOKUP($Q6330,매칭테이블!$F:$I,2,0)*K6330</f>
        <v/>
      </c>
      <c r="N6330" s="94">
        <f>M6330-M6330*VLOOKUP($Q6330,매칭테이블!$F:$I,3,0)</f>
        <v/>
      </c>
      <c r="O6330" s="94">
        <f>VLOOKUP($Q6330,매칭테이블!$F:$I,4,0)*K6330</f>
        <v/>
      </c>
      <c r="P6330" s="148">
        <f>M6330/1.1</f>
        <v/>
      </c>
      <c r="Q6330" s="94">
        <f>F6330&amp;E6330&amp;G6330&amp;L6330</f>
        <v/>
      </c>
    </row>
    <row r="6331">
      <c r="A6331" s="94" t="n"/>
      <c r="B6331" s="128" t="n">
        <v>43973</v>
      </c>
      <c r="C6331" s="94">
        <f>TEXT(B6331,"aaa")</f>
        <v/>
      </c>
      <c r="D6331" s="94" t="n"/>
      <c r="E6331" s="6" t="inlineStr">
        <is>
          <t>토너</t>
        </is>
      </c>
      <c r="F6331" s="5" t="inlineStr">
        <is>
          <t>카페24</t>
        </is>
      </c>
      <c r="G6331" s="5" t="inlineStr">
        <is>
          <t>250ml 2set</t>
        </is>
      </c>
      <c r="H6331" s="7" t="n">
        <v>190801</v>
      </c>
      <c r="I6331" s="7" t="n">
        <v>190801</v>
      </c>
      <c r="J6331" s="94" t="n"/>
      <c r="K6331" s="6" t="n">
        <v>33</v>
      </c>
      <c r="L6331" s="7" t="n">
        <v>190801</v>
      </c>
      <c r="M6331" s="94">
        <f>VLOOKUP($Q6331,매칭테이블!$F:$I,2,0)*K6331</f>
        <v/>
      </c>
      <c r="N6331" s="94">
        <f>M6331-M6331*VLOOKUP($Q6331,매칭테이블!$F:$I,3,0)</f>
        <v/>
      </c>
      <c r="O6331" s="94">
        <f>VLOOKUP($Q6331,매칭테이블!$F:$I,4,0)*K6331</f>
        <v/>
      </c>
      <c r="P6331" s="148">
        <f>M6331/1.1</f>
        <v/>
      </c>
      <c r="Q6331" s="94">
        <f>F6331&amp;E6331&amp;G6331&amp;L6331</f>
        <v/>
      </c>
    </row>
    <row r="6332">
      <c r="A6332" s="94" t="n"/>
      <c r="B6332" s="128" t="n">
        <v>43973</v>
      </c>
      <c r="C6332" s="94">
        <f>TEXT(B6332,"aaa")</f>
        <v/>
      </c>
      <c r="D6332" s="94" t="n"/>
      <c r="E6332" s="6" t="inlineStr">
        <is>
          <t>토너</t>
        </is>
      </c>
      <c r="F6332" s="5" t="inlineStr">
        <is>
          <t>카페24</t>
        </is>
      </c>
      <c r="G6332" s="5" t="inlineStr">
        <is>
          <t>500ml</t>
        </is>
      </c>
      <c r="H6332" s="7" t="n">
        <v>190801</v>
      </c>
      <c r="I6332" s="7" t="n">
        <v>190801</v>
      </c>
      <c r="J6332" s="94" t="n"/>
      <c r="K6332" s="6" t="n">
        <v>44</v>
      </c>
      <c r="L6332" s="7" t="n">
        <v>190801</v>
      </c>
      <c r="M6332" s="94">
        <f>VLOOKUP($Q6332,매칭테이블!$F:$I,2,0)*K6332</f>
        <v/>
      </c>
      <c r="N6332" s="94">
        <f>M6332-M6332*VLOOKUP($Q6332,매칭테이블!$F:$I,3,0)</f>
        <v/>
      </c>
      <c r="O6332" s="94">
        <f>VLOOKUP($Q6332,매칭테이블!$F:$I,4,0)*K6332</f>
        <v/>
      </c>
      <c r="P6332" s="148">
        <f>M6332/1.1</f>
        <v/>
      </c>
      <c r="Q6332" s="94">
        <f>F6332&amp;E6332&amp;G6332&amp;L6332</f>
        <v/>
      </c>
    </row>
    <row r="6333">
      <c r="A6333" s="94" t="n"/>
      <c r="B6333" s="128" t="n">
        <v>43973</v>
      </c>
      <c r="C6333" s="94">
        <f>TEXT(B6333,"aaa")</f>
        <v/>
      </c>
      <c r="D6333" s="94" t="n"/>
      <c r="E6333" s="6" t="inlineStr">
        <is>
          <t>토너</t>
        </is>
      </c>
      <c r="F6333" s="5" t="inlineStr">
        <is>
          <t>카페24</t>
        </is>
      </c>
      <c r="G6333" s="94" t="inlineStr">
        <is>
          <t>스킨팩 화장솜 60P</t>
        </is>
      </c>
      <c r="H6333" s="7" t="n">
        <v>190801</v>
      </c>
      <c r="I6333" s="7" t="n">
        <v>190801</v>
      </c>
      <c r="J6333" s="94" t="n"/>
      <c r="K6333" s="6" t="n">
        <v>40</v>
      </c>
      <c r="L6333" s="7" t="n">
        <v>190801</v>
      </c>
      <c r="M6333" s="94">
        <f>VLOOKUP($Q6333,매칭테이블!$F:$I,2,0)*K6333</f>
        <v/>
      </c>
      <c r="N6333" s="94">
        <f>M6333-M6333*VLOOKUP($Q6333,매칭테이블!$F:$I,3,0)</f>
        <v/>
      </c>
      <c r="O6333" s="94">
        <f>VLOOKUP($Q6333,매칭테이블!$F:$I,4,0)*K6333</f>
        <v/>
      </c>
      <c r="P6333" s="148">
        <f>M6333/1.1</f>
        <v/>
      </c>
      <c r="Q6333" s="94">
        <f>F6333&amp;E6333&amp;G6333&amp;L6333</f>
        <v/>
      </c>
    </row>
    <row r="6334">
      <c r="A6334" s="94" t="n"/>
      <c r="B6334" s="128" t="n">
        <v>43973</v>
      </c>
      <c r="C6334" s="94">
        <f>TEXT(B6334,"aaa")</f>
        <v/>
      </c>
      <c r="D6334" s="94" t="n"/>
      <c r="E6334" s="94" t="inlineStr">
        <is>
          <t>앰플</t>
        </is>
      </c>
      <c r="F6334" s="5" t="inlineStr">
        <is>
          <t>카페24</t>
        </is>
      </c>
      <c r="G6334" s="94" t="inlineStr">
        <is>
          <t>앰플 30ml</t>
        </is>
      </c>
      <c r="H6334" s="7" t="n">
        <v>190801</v>
      </c>
      <c r="I6334" s="7" t="n">
        <v>190801</v>
      </c>
      <c r="J6334" s="94" t="n"/>
      <c r="K6334" s="6" t="n">
        <v>3</v>
      </c>
      <c r="L6334" s="94" t="n">
        <v>190801</v>
      </c>
      <c r="M6334" s="94">
        <f>VLOOKUP($Q6334,매칭테이블!$F:$I,2,0)*K6334</f>
        <v/>
      </c>
      <c r="N6334" s="94">
        <f>M6334-M6334*VLOOKUP($Q6334,매칭테이블!$F:$I,3,0)</f>
        <v/>
      </c>
      <c r="O6334" s="94">
        <f>VLOOKUP($Q6334,매칭테이블!$F:$I,4,0)*K6334</f>
        <v/>
      </c>
      <c r="P6334" s="148">
        <f>M6334/1.1</f>
        <v/>
      </c>
      <c r="Q6334" s="94">
        <f>F6334&amp;E6334&amp;G6334&amp;L6334</f>
        <v/>
      </c>
    </row>
    <row r="6335">
      <c r="A6335" s="94" t="n"/>
      <c r="B6335" s="128" t="n">
        <v>43973</v>
      </c>
      <c r="C6335" s="94">
        <f>TEXT(B6335,"aaa")</f>
        <v/>
      </c>
      <c r="D6335" s="94" t="n"/>
      <c r="E6335" s="94" t="inlineStr">
        <is>
          <t>수딩크림</t>
        </is>
      </c>
      <c r="F6335" s="5" t="inlineStr">
        <is>
          <t>카페24</t>
        </is>
      </c>
      <c r="G6335" s="94" t="inlineStr">
        <is>
          <t>수딩크림 100ml</t>
        </is>
      </c>
      <c r="H6335" s="7" t="n">
        <v>190801</v>
      </c>
      <c r="I6335" s="7" t="n">
        <v>190801</v>
      </c>
      <c r="J6335" s="94" t="n"/>
      <c r="K6335" s="6" t="n">
        <v>3</v>
      </c>
      <c r="L6335" s="94" t="n">
        <v>190801</v>
      </c>
      <c r="M6335" s="94">
        <f>VLOOKUP($Q6335,매칭테이블!$F:$I,2,0)*K6335</f>
        <v/>
      </c>
      <c r="N6335" s="94">
        <f>M6335-M6335*VLOOKUP($Q6335,매칭테이블!$F:$I,3,0)</f>
        <v/>
      </c>
      <c r="O6335" s="94">
        <f>VLOOKUP($Q6335,매칭테이블!$F:$I,4,0)*K6335</f>
        <v/>
      </c>
      <c r="P6335" s="148">
        <f>M6335/1.1</f>
        <v/>
      </c>
      <c r="Q6335" s="94">
        <f>F6335&amp;E6335&amp;G6335&amp;L6335</f>
        <v/>
      </c>
    </row>
    <row r="6336">
      <c r="A6336" s="94" t="n"/>
      <c r="B6336" s="128" t="n">
        <v>43973</v>
      </c>
      <c r="C6336" s="94">
        <f>TEXT(B6336,"aaa")</f>
        <v/>
      </c>
      <c r="D6336" s="94" t="n"/>
      <c r="E6336" s="94" t="inlineStr">
        <is>
          <t>클렌징폼</t>
        </is>
      </c>
      <c r="F6336" s="94" t="inlineStr">
        <is>
          <t>카페24</t>
        </is>
      </c>
      <c r="G6336" s="94" t="inlineStr">
        <is>
          <t>클렌징폼 120ml</t>
        </is>
      </c>
      <c r="H6336" s="7" t="n">
        <v>190801</v>
      </c>
      <c r="I6336" s="7" t="n">
        <v>190801</v>
      </c>
      <c r="J6336" s="94" t="n"/>
      <c r="K6336" s="6" t="n">
        <v>4</v>
      </c>
      <c r="L6336" s="92" t="n">
        <v>190801</v>
      </c>
      <c r="M6336" s="94">
        <f>VLOOKUP($Q6336,매칭테이블!$F:$I,2,0)*K6336</f>
        <v/>
      </c>
      <c r="N6336" s="94">
        <f>M6336-M6336*VLOOKUP($Q6336,매칭테이블!$F:$I,3,0)</f>
        <v/>
      </c>
      <c r="O6336" s="94">
        <f>VLOOKUP($Q6336,매칭테이블!$F:$I,4,0)*K6336</f>
        <v/>
      </c>
      <c r="P6336" s="148">
        <f>M6336/1.1</f>
        <v/>
      </c>
      <c r="Q6336" s="94">
        <f>F6336&amp;E6336&amp;G6336&amp;L6336</f>
        <v/>
      </c>
    </row>
    <row r="6337">
      <c r="A6337" s="94" t="n"/>
      <c r="B6337" s="128" t="n">
        <v>43973</v>
      </c>
      <c r="C6337" s="94">
        <f>TEXT(B6337,"aaa")</f>
        <v/>
      </c>
      <c r="D6337" s="94" t="n"/>
      <c r="E6337" s="94" t="inlineStr">
        <is>
          <t>클렌징폼</t>
        </is>
      </c>
      <c r="F6337" s="94" t="inlineStr">
        <is>
          <t>카페24</t>
        </is>
      </c>
      <c r="G6337" s="94" t="inlineStr">
        <is>
          <t>클렌징폼 120ml 2set</t>
        </is>
      </c>
      <c r="H6337" s="7" t="n">
        <v>190801</v>
      </c>
      <c r="I6337" s="7" t="n">
        <v>190801</v>
      </c>
      <c r="J6337" s="94" t="n"/>
      <c r="K6337" s="6" t="n">
        <v>1</v>
      </c>
      <c r="L6337" s="92" t="n">
        <v>190801</v>
      </c>
      <c r="M6337" s="94">
        <f>VLOOKUP($Q6337,매칭테이블!$F:$I,2,0)*K6337</f>
        <v/>
      </c>
      <c r="N6337" s="94">
        <f>M6337-M6337*VLOOKUP($Q6337,매칭테이블!$F:$I,3,0)</f>
        <v/>
      </c>
      <c r="O6337" s="94">
        <f>VLOOKUP($Q6337,매칭테이블!$F:$I,4,0)*K6337</f>
        <v/>
      </c>
      <c r="P6337" s="148">
        <f>M6337/1.1</f>
        <v/>
      </c>
      <c r="Q6337" s="94">
        <f>F6337&amp;E6337&amp;G6337&amp;L6337</f>
        <v/>
      </c>
    </row>
    <row r="6338">
      <c r="A6338" s="94" t="n"/>
      <c r="B6338" s="128" t="n">
        <v>43973</v>
      </c>
      <c r="C6338" s="94">
        <f>TEXT(B6338,"aaa")</f>
        <v/>
      </c>
      <c r="D6338" s="94" t="n"/>
      <c r="E6338" s="6" t="inlineStr">
        <is>
          <t>토너</t>
        </is>
      </c>
      <c r="F6338" s="5" t="inlineStr">
        <is>
          <t>큐텐</t>
        </is>
      </c>
      <c r="G6338" s="5" t="inlineStr">
        <is>
          <t>250ml</t>
        </is>
      </c>
      <c r="H6338" s="7" t="n">
        <v>190801</v>
      </c>
      <c r="I6338" s="7" t="n">
        <v>190801</v>
      </c>
      <c r="J6338" s="94" t="n"/>
      <c r="K6338" s="6" t="n">
        <v>25</v>
      </c>
      <c r="L6338" s="92" t="n">
        <v>190801</v>
      </c>
      <c r="M6338" s="94">
        <f>VLOOKUP($Q6338,매칭테이블!$F:$I,2,0)*K6338</f>
        <v/>
      </c>
      <c r="N6338" s="94">
        <f>M6338-M6338*VLOOKUP($Q6338,매칭테이블!$F:$I,3,0)</f>
        <v/>
      </c>
      <c r="O6338" s="94">
        <f>VLOOKUP($Q6338,매칭테이블!$F:$I,4,0)*K6338</f>
        <v/>
      </c>
      <c r="P6338" s="148">
        <f>M6338/1.1</f>
        <v/>
      </c>
      <c r="Q6338" s="94">
        <f>F6338&amp;E6338&amp;G6338&amp;L6338</f>
        <v/>
      </c>
    </row>
    <row r="6339">
      <c r="A6339" s="94" t="n"/>
      <c r="B6339" s="128" t="n">
        <v>43973</v>
      </c>
      <c r="C6339" s="94">
        <f>TEXT(B6339,"aaa")</f>
        <v/>
      </c>
      <c r="D6339" s="94" t="n"/>
      <c r="E6339" s="6" t="inlineStr">
        <is>
          <t>토너</t>
        </is>
      </c>
      <c r="F6339" s="5" t="inlineStr">
        <is>
          <t>큐텐</t>
        </is>
      </c>
      <c r="G6339" s="5" t="inlineStr">
        <is>
          <t>250ml 2set</t>
        </is>
      </c>
      <c r="H6339" s="7" t="n">
        <v>190801</v>
      </c>
      <c r="I6339" s="7" t="n">
        <v>190801</v>
      </c>
      <c r="J6339" s="94" t="n"/>
      <c r="K6339" s="6" t="n">
        <v>8</v>
      </c>
      <c r="L6339" s="92" t="n">
        <v>190801</v>
      </c>
      <c r="M6339" s="94">
        <f>VLOOKUP($Q6339,매칭테이블!$F:$I,2,0)*K6339</f>
        <v/>
      </c>
      <c r="N6339" s="94">
        <f>M6339-M6339*VLOOKUP($Q6339,매칭테이블!$F:$I,3,0)</f>
        <v/>
      </c>
      <c r="O6339" s="94">
        <f>VLOOKUP($Q6339,매칭테이블!$F:$I,4,0)*K6339</f>
        <v/>
      </c>
      <c r="P6339" s="148">
        <f>M6339/1.1</f>
        <v/>
      </c>
      <c r="Q6339" s="94">
        <f>F6339&amp;E6339&amp;G6339&amp;L6339</f>
        <v/>
      </c>
    </row>
    <row r="6340">
      <c r="A6340" s="94" t="n"/>
      <c r="B6340" s="128" t="n">
        <v>43973</v>
      </c>
      <c r="C6340" s="94">
        <f>TEXT(B6340,"aaa")</f>
        <v/>
      </c>
      <c r="D6340" s="94" t="n"/>
      <c r="E6340" s="94" t="inlineStr">
        <is>
          <t>앰플</t>
        </is>
      </c>
      <c r="F6340" s="5" t="inlineStr">
        <is>
          <t>큐텐</t>
        </is>
      </c>
      <c r="G6340" s="94" t="inlineStr">
        <is>
          <t>앰플 30ml</t>
        </is>
      </c>
      <c r="H6340" s="7" t="n">
        <v>190801</v>
      </c>
      <c r="I6340" s="7" t="n">
        <v>190801</v>
      </c>
      <c r="J6340" s="94" t="n"/>
      <c r="K6340" s="6" t="n">
        <v>5</v>
      </c>
      <c r="L6340" s="94" t="n">
        <v>190801</v>
      </c>
      <c r="M6340" s="94">
        <f>VLOOKUP($Q6340,매칭테이블!$F:$I,2,0)*K6340</f>
        <v/>
      </c>
      <c r="N6340" s="94">
        <f>M6340-M6340*VLOOKUP($Q6340,매칭테이블!$F:$I,3,0)</f>
        <v/>
      </c>
      <c r="O6340" s="94">
        <f>VLOOKUP($Q6340,매칭테이블!$F:$I,4,0)*K6340</f>
        <v/>
      </c>
      <c r="P6340" s="148">
        <f>M6340/1.1</f>
        <v/>
      </c>
      <c r="Q6340" s="94">
        <f>F6340&amp;E6340&amp;G6340&amp;L6340</f>
        <v/>
      </c>
    </row>
    <row r="6341">
      <c r="A6341" s="94" t="n"/>
      <c r="B6341" s="128" t="n">
        <v>43973</v>
      </c>
      <c r="C6341" s="94">
        <f>TEXT(B6341,"aaa")</f>
        <v/>
      </c>
      <c r="D6341" s="94" t="n"/>
      <c r="E6341" s="94" t="inlineStr">
        <is>
          <t>머드크림마스크</t>
        </is>
      </c>
      <c r="F6341" s="5" t="inlineStr">
        <is>
          <t>큐텐</t>
        </is>
      </c>
      <c r="G6341" s="94" t="inlineStr">
        <is>
          <t>머드크림마스크 100ml</t>
        </is>
      </c>
      <c r="H6341" s="7" t="n">
        <v>190801</v>
      </c>
      <c r="I6341" s="7" t="n">
        <v>190801</v>
      </c>
      <c r="J6341" s="94" t="n"/>
      <c r="K6341" s="6" t="n">
        <v>1</v>
      </c>
      <c r="L6341" s="94" t="n">
        <v>190801</v>
      </c>
      <c r="M6341" s="94">
        <f>VLOOKUP($Q6341,매칭테이블!$F:$I,2,0)*K6341</f>
        <v/>
      </c>
      <c r="N6341" s="94">
        <f>M6341-M6341*VLOOKUP($Q6341,매칭테이블!$F:$I,3,0)</f>
        <v/>
      </c>
      <c r="O6341" s="94">
        <f>VLOOKUP($Q6341,매칭테이블!$F:$I,4,0)*K6341</f>
        <v/>
      </c>
      <c r="P6341" s="148">
        <f>M6341/1.1</f>
        <v/>
      </c>
      <c r="Q6341" s="94">
        <f>F6341&amp;E6341&amp;G6341&amp;L6341</f>
        <v/>
      </c>
    </row>
    <row r="6342">
      <c r="A6342" s="94" t="n"/>
      <c r="B6342" s="128" t="n">
        <v>43973</v>
      </c>
      <c r="C6342" s="94">
        <f>TEXT(B6342,"aaa")</f>
        <v/>
      </c>
      <c r="D6342" s="94" t="n"/>
      <c r="E6342" s="94" t="inlineStr">
        <is>
          <t>클렌징폼</t>
        </is>
      </c>
      <c r="F6342" s="5" t="inlineStr">
        <is>
          <t>큐텐</t>
        </is>
      </c>
      <c r="G6342" s="94" t="inlineStr">
        <is>
          <t>클렌징폼 120ml</t>
        </is>
      </c>
      <c r="H6342" s="7" t="n">
        <v>190801</v>
      </c>
      <c r="I6342" s="7" t="n">
        <v>190801</v>
      </c>
      <c r="J6342" s="94" t="n"/>
      <c r="K6342" s="6" t="n">
        <v>1</v>
      </c>
      <c r="L6342" s="92" t="n">
        <v>190801</v>
      </c>
      <c r="M6342" s="94">
        <f>VLOOKUP($Q6342,매칭테이블!$F:$I,2,0)*K6342</f>
        <v/>
      </c>
      <c r="N6342" s="94">
        <f>M6342-M6342*VLOOKUP($Q6342,매칭테이블!$F:$I,3,0)</f>
        <v/>
      </c>
      <c r="O6342" s="94">
        <f>VLOOKUP($Q6342,매칭테이블!$F:$I,4,0)*K6342</f>
        <v/>
      </c>
      <c r="P6342" s="148">
        <f>M6342/1.1</f>
        <v/>
      </c>
      <c r="Q6342" s="94">
        <f>F6342&amp;E6342&amp;G6342&amp;L6342</f>
        <v/>
      </c>
    </row>
    <row r="6343">
      <c r="A6343" s="94" t="n"/>
      <c r="B6343" s="128" t="n">
        <v>43973</v>
      </c>
      <c r="C6343" s="94">
        <f>TEXT(B6343,"aaa")</f>
        <v/>
      </c>
      <c r="D6343" s="94" t="n"/>
      <c r="E6343" s="94" t="inlineStr">
        <is>
          <t>마스크팩</t>
        </is>
      </c>
      <c r="F6343" s="5" t="inlineStr">
        <is>
          <t>큐텐</t>
        </is>
      </c>
      <c r="G6343" s="94" t="inlineStr">
        <is>
          <t>마스크팩 10매</t>
        </is>
      </c>
      <c r="H6343" s="7" t="n">
        <v>190801</v>
      </c>
      <c r="I6343" s="7" t="n">
        <v>190801</v>
      </c>
      <c r="J6343" s="94" t="n"/>
      <c r="K6343" s="6" t="n">
        <v>1</v>
      </c>
      <c r="L6343" s="94" t="n">
        <v>190801</v>
      </c>
      <c r="M6343" s="94">
        <f>VLOOKUP($Q6343,매칭테이블!$F:$I,2,0)*K6343</f>
        <v/>
      </c>
      <c r="N6343" s="94">
        <f>M6343-M6343*VLOOKUP($Q6343,매칭테이블!$F:$I,3,0)</f>
        <v/>
      </c>
      <c r="O6343" s="94">
        <f>VLOOKUP($Q6343,매칭테이블!$F:$I,4,0)*K6343</f>
        <v/>
      </c>
      <c r="P6343" s="148">
        <f>M6343/1.1</f>
        <v/>
      </c>
      <c r="Q6343" s="94">
        <f>F6343&amp;E6343&amp;G6343&amp;L6343</f>
        <v/>
      </c>
    </row>
    <row r="6344">
      <c r="A6344" s="94" t="n"/>
      <c r="B6344" s="128" t="n">
        <v>43972</v>
      </c>
      <c r="C6344" s="94">
        <f>TEXT(B6344,"aaa")</f>
        <v/>
      </c>
      <c r="D6344" s="94" t="n"/>
      <c r="E6344" s="94" t="inlineStr">
        <is>
          <t>클렌징폼</t>
        </is>
      </c>
      <c r="F6344" s="94" t="inlineStr">
        <is>
          <t>카페24</t>
        </is>
      </c>
      <c r="G6344" s="94" t="inlineStr">
        <is>
          <t>클렌징폼 120ml</t>
        </is>
      </c>
      <c r="H6344" s="7" t="n">
        <v>190801</v>
      </c>
      <c r="I6344" s="7" t="n">
        <v>190801</v>
      </c>
      <c r="J6344" s="94" t="n"/>
      <c r="K6344" s="6" t="n">
        <v>12</v>
      </c>
      <c r="L6344" s="92" t="n">
        <v>190801</v>
      </c>
      <c r="M6344" s="94">
        <f>VLOOKUP($Q6344,매칭테이블!$F:$I,2,0)*K6344</f>
        <v/>
      </c>
      <c r="N6344" s="94">
        <f>M6344-M6344*VLOOKUP($Q6344,매칭테이블!$F:$I,3,0)</f>
        <v/>
      </c>
      <c r="O6344" s="94">
        <f>VLOOKUP($Q6344,매칭테이블!$F:$I,4,0)*K6344</f>
        <v/>
      </c>
      <c r="P6344" s="148">
        <f>M6344/1.1</f>
        <v/>
      </c>
      <c r="Q6344" s="94">
        <f>F6344&amp;E6344&amp;G6344&amp;L6344</f>
        <v/>
      </c>
    </row>
    <row r="6345">
      <c r="A6345" s="94" t="n"/>
      <c r="B6345" s="128" t="n">
        <v>43972</v>
      </c>
      <c r="C6345" s="94">
        <f>TEXT(B6345,"aaa")</f>
        <v/>
      </c>
      <c r="D6345" s="94" t="n"/>
      <c r="E6345" s="94" t="inlineStr">
        <is>
          <t>클렌징폼</t>
        </is>
      </c>
      <c r="F6345" s="94" t="inlineStr">
        <is>
          <t>카페24</t>
        </is>
      </c>
      <c r="G6345" s="94" t="inlineStr">
        <is>
          <t>클렌징폼 120ml 3set</t>
        </is>
      </c>
      <c r="H6345" s="7" t="n">
        <v>190801</v>
      </c>
      <c r="I6345" s="7" t="n">
        <v>190801</v>
      </c>
      <c r="J6345" s="94" t="n"/>
      <c r="K6345" s="6" t="n">
        <v>2</v>
      </c>
      <c r="L6345" s="92" t="n">
        <v>190801</v>
      </c>
      <c r="M6345" s="94">
        <f>VLOOKUP($Q6345,매칭테이블!$F:$I,2,0)*K6345</f>
        <v/>
      </c>
      <c r="N6345" s="94">
        <f>M6345-M6345*VLOOKUP($Q6345,매칭테이블!$F:$I,3,0)</f>
        <v/>
      </c>
      <c r="O6345" s="94">
        <f>VLOOKUP($Q6345,매칭테이블!$F:$I,4,0)*K6345</f>
        <v/>
      </c>
      <c r="P6345" s="148">
        <f>M6345/1.1</f>
        <v/>
      </c>
      <c r="Q6345" s="94">
        <f>F6345&amp;E6345&amp;G6345&amp;L6345</f>
        <v/>
      </c>
    </row>
    <row r="6346">
      <c r="A6346" s="94" t="n"/>
      <c r="B6346" s="128" t="n">
        <v>43974</v>
      </c>
      <c r="C6346" s="94">
        <f>TEXT(B6346,"aaa")</f>
        <v/>
      </c>
      <c r="D6346" s="94" t="n"/>
      <c r="E6346" s="94" t="inlineStr">
        <is>
          <t>토너</t>
        </is>
      </c>
      <c r="F6346" s="5" t="inlineStr">
        <is>
          <t>스타일쉐어</t>
        </is>
      </c>
      <c r="G6346" s="94" t="inlineStr">
        <is>
          <t>250ml</t>
        </is>
      </c>
      <c r="H6346" s="7" t="n">
        <v>190801</v>
      </c>
      <c r="I6346" s="7" t="n">
        <v>190801</v>
      </c>
      <c r="J6346" s="94" t="n"/>
      <c r="K6346" s="6" t="n">
        <v>3</v>
      </c>
      <c r="L6346" s="7" t="n">
        <v>190801</v>
      </c>
      <c r="M6346" s="94">
        <f>VLOOKUP($Q6346,매칭테이블!$F:$I,2,0)*K6346</f>
        <v/>
      </c>
      <c r="N6346" s="94">
        <f>M6346-M6346*VLOOKUP($Q6346,매칭테이블!$F:$I,3,0)</f>
        <v/>
      </c>
      <c r="O6346" s="94">
        <f>VLOOKUP($Q6346,매칭테이블!$F:$I,4,0)*K6346</f>
        <v/>
      </c>
      <c r="P6346" s="148">
        <f>M6346/1.1</f>
        <v/>
      </c>
      <c r="Q6346" s="94">
        <f>F6346&amp;E6346&amp;G6346&amp;L6346</f>
        <v/>
      </c>
    </row>
    <row r="6347">
      <c r="A6347" s="94" t="n"/>
      <c r="B6347" s="128" t="n">
        <v>43974</v>
      </c>
      <c r="C6347" s="94">
        <f>TEXT(B6347,"aaa")</f>
        <v/>
      </c>
      <c r="D6347" s="94" t="n"/>
      <c r="E6347" s="94" t="inlineStr">
        <is>
          <t>어성초진정패키지</t>
        </is>
      </c>
      <c r="F6347" s="94" t="inlineStr">
        <is>
          <t>카페24</t>
        </is>
      </c>
      <c r="G6347" s="94" t="inlineStr">
        <is>
          <t>어성초 진정패키지세트</t>
        </is>
      </c>
      <c r="H6347" s="7" t="n">
        <v>190801</v>
      </c>
      <c r="I6347" s="7" t="n">
        <v>190801</v>
      </c>
      <c r="J6347" s="94" t="n"/>
      <c r="K6347" s="6" t="n">
        <v>3</v>
      </c>
      <c r="L6347" s="94" t="n">
        <v>190801</v>
      </c>
      <c r="M6347" s="94">
        <f>VLOOKUP($Q6347,매칭테이블!$F:$I,2,0)*K6347</f>
        <v/>
      </c>
      <c r="N6347" s="94">
        <f>M6347-M6347*VLOOKUP($Q6347,매칭테이블!$F:$I,3,0)</f>
        <v/>
      </c>
      <c r="O6347" s="94">
        <f>VLOOKUP($Q6347,매칭테이블!$F:$I,4,0)*K6347</f>
        <v/>
      </c>
      <c r="P6347" s="148">
        <f>M6347/1.1</f>
        <v/>
      </c>
      <c r="Q6347" s="94">
        <f>F6347&amp;E6347&amp;G6347&amp;L6347</f>
        <v/>
      </c>
    </row>
    <row r="6348">
      <c r="A6348" s="94" t="n"/>
      <c r="B6348" s="128" t="n">
        <v>43974</v>
      </c>
      <c r="C6348" s="94">
        <f>TEXT(B6348,"aaa")</f>
        <v/>
      </c>
      <c r="D6348" s="94" t="n"/>
      <c r="E6348" s="94" t="inlineStr">
        <is>
          <t>머드크림마스크</t>
        </is>
      </c>
      <c r="F6348" s="94" t="inlineStr">
        <is>
          <t>카페24</t>
        </is>
      </c>
      <c r="G6348" s="94" t="inlineStr">
        <is>
          <t>머드크림마스크 100ml</t>
        </is>
      </c>
      <c r="H6348" s="7" t="n">
        <v>190801</v>
      </c>
      <c r="I6348" s="7" t="n">
        <v>190801</v>
      </c>
      <c r="J6348" s="94" t="n"/>
      <c r="K6348" s="6" t="n">
        <v>2</v>
      </c>
      <c r="L6348" s="94" t="n">
        <v>190801</v>
      </c>
      <c r="M6348" s="94">
        <f>VLOOKUP($Q6348,매칭테이블!$F:$I,2,0)*K6348</f>
        <v/>
      </c>
      <c r="N6348" s="94">
        <f>M6348-M6348*VLOOKUP($Q6348,매칭테이블!$F:$I,3,0)</f>
        <v/>
      </c>
      <c r="O6348" s="94">
        <f>VLOOKUP($Q6348,매칭테이블!$F:$I,4,0)*K6348</f>
        <v/>
      </c>
      <c r="P6348" s="148">
        <f>M6348/1.1</f>
        <v/>
      </c>
      <c r="Q6348" s="94">
        <f>F6348&amp;E6348&amp;G6348&amp;L6348</f>
        <v/>
      </c>
    </row>
    <row r="6349">
      <c r="A6349" s="94" t="n"/>
      <c r="B6349" s="128" t="n">
        <v>43974</v>
      </c>
      <c r="C6349" s="94">
        <f>TEXT(B6349,"aaa")</f>
        <v/>
      </c>
      <c r="D6349" s="94" t="n"/>
      <c r="E6349" s="94" t="inlineStr">
        <is>
          <t>마스크팩</t>
        </is>
      </c>
      <c r="F6349" s="94" t="inlineStr">
        <is>
          <t>카페24</t>
        </is>
      </c>
      <c r="G6349" s="94" t="inlineStr">
        <is>
          <t>마스크팩 1매</t>
        </is>
      </c>
      <c r="H6349" s="7" t="n">
        <v>190801</v>
      </c>
      <c r="I6349" s="7" t="n">
        <v>190801</v>
      </c>
      <c r="J6349" s="94" t="n"/>
      <c r="K6349" s="6" t="n">
        <v>2</v>
      </c>
      <c r="L6349" s="94" t="n">
        <v>190801</v>
      </c>
      <c r="M6349" s="94">
        <f>VLOOKUP($Q6349,매칭테이블!$F:$I,2,0)*K6349</f>
        <v/>
      </c>
      <c r="N6349" s="94">
        <f>M6349-M6349*VLOOKUP($Q6349,매칭테이블!$F:$I,3,0)</f>
        <v/>
      </c>
      <c r="O6349" s="94">
        <f>VLOOKUP($Q6349,매칭테이블!$F:$I,4,0)*K6349</f>
        <v/>
      </c>
      <c r="P6349" s="148">
        <f>M6349/1.1</f>
        <v/>
      </c>
      <c r="Q6349" s="94">
        <f>F6349&amp;E6349&amp;G6349&amp;L6349</f>
        <v/>
      </c>
    </row>
    <row r="6350">
      <c r="A6350" s="94" t="n"/>
      <c r="B6350" s="128" t="n">
        <v>43974</v>
      </c>
      <c r="C6350" s="94">
        <f>TEXT(B6350,"aaa")</f>
        <v/>
      </c>
      <c r="D6350" s="94" t="n"/>
      <c r="E6350" s="94" t="inlineStr">
        <is>
          <t>마스크팩</t>
        </is>
      </c>
      <c r="F6350" s="94" t="inlineStr">
        <is>
          <t>카페24</t>
        </is>
      </c>
      <c r="G6350" s="94" t="inlineStr">
        <is>
          <t>마스크팩 10매</t>
        </is>
      </c>
      <c r="H6350" s="7" t="n">
        <v>190801</v>
      </c>
      <c r="I6350" s="7" t="n">
        <v>190801</v>
      </c>
      <c r="J6350" s="94" t="n"/>
      <c r="K6350" s="6" t="n">
        <v>2</v>
      </c>
      <c r="L6350" s="94" t="n">
        <v>190801</v>
      </c>
      <c r="M6350" s="94">
        <f>VLOOKUP($Q6350,매칭테이블!$F:$I,2,0)*K6350</f>
        <v/>
      </c>
      <c r="N6350" s="94">
        <f>M6350-M6350*VLOOKUP($Q6350,매칭테이블!$F:$I,3,0)</f>
        <v/>
      </c>
      <c r="O6350" s="94">
        <f>VLOOKUP($Q6350,매칭테이블!$F:$I,4,0)*K6350</f>
        <v/>
      </c>
      <c r="P6350" s="148">
        <f>M6350/1.1</f>
        <v/>
      </c>
      <c r="Q6350" s="94">
        <f>F6350&amp;E6350&amp;G6350&amp;L6350</f>
        <v/>
      </c>
    </row>
    <row r="6351">
      <c r="A6351" s="94" t="n"/>
      <c r="B6351" s="128" t="n">
        <v>43974</v>
      </c>
      <c r="C6351" s="94">
        <f>TEXT(B6351,"aaa")</f>
        <v/>
      </c>
      <c r="D6351" s="94" t="n"/>
      <c r="E6351" s="6" t="inlineStr">
        <is>
          <t>토너</t>
        </is>
      </c>
      <c r="F6351" s="5" t="inlineStr">
        <is>
          <t>카페24</t>
        </is>
      </c>
      <c r="G6351" s="5" t="inlineStr">
        <is>
          <t>250ml</t>
        </is>
      </c>
      <c r="H6351" s="7" t="n">
        <v>190801</v>
      </c>
      <c r="I6351" s="7" t="n">
        <v>190801</v>
      </c>
      <c r="J6351" s="94" t="n"/>
      <c r="K6351" s="6" t="n">
        <v>22</v>
      </c>
      <c r="L6351" s="7" t="n">
        <v>190801</v>
      </c>
      <c r="M6351" s="94">
        <f>VLOOKUP($Q6351,매칭테이블!$F:$I,2,0)*K6351</f>
        <v/>
      </c>
      <c r="N6351" s="94">
        <f>M6351-M6351*VLOOKUP($Q6351,매칭테이블!$F:$I,3,0)</f>
        <v/>
      </c>
      <c r="O6351" s="94">
        <f>VLOOKUP($Q6351,매칭테이블!$F:$I,4,0)*K6351</f>
        <v/>
      </c>
      <c r="P6351" s="148">
        <f>M6351/1.1</f>
        <v/>
      </c>
      <c r="Q6351" s="94">
        <f>F6351&amp;E6351&amp;G6351&amp;L6351</f>
        <v/>
      </c>
    </row>
    <row r="6352">
      <c r="A6352" s="94" t="n"/>
      <c r="B6352" s="128" t="n">
        <v>43974</v>
      </c>
      <c r="C6352" s="94">
        <f>TEXT(B6352,"aaa")</f>
        <v/>
      </c>
      <c r="D6352" s="94" t="n"/>
      <c r="E6352" s="6" t="inlineStr">
        <is>
          <t>토너</t>
        </is>
      </c>
      <c r="F6352" s="5" t="inlineStr">
        <is>
          <t>카페24</t>
        </is>
      </c>
      <c r="G6352" s="5" t="inlineStr">
        <is>
          <t>250ml 2set</t>
        </is>
      </c>
      <c r="H6352" s="7" t="n">
        <v>190801</v>
      </c>
      <c r="I6352" s="7" t="n">
        <v>190801</v>
      </c>
      <c r="J6352" s="94" t="n"/>
      <c r="K6352" s="6" t="n">
        <v>33</v>
      </c>
      <c r="L6352" s="7" t="n">
        <v>190801</v>
      </c>
      <c r="M6352" s="94">
        <f>VLOOKUP($Q6352,매칭테이블!$F:$I,2,0)*K6352</f>
        <v/>
      </c>
      <c r="N6352" s="94">
        <f>M6352-M6352*VLOOKUP($Q6352,매칭테이블!$F:$I,3,0)</f>
        <v/>
      </c>
      <c r="O6352" s="94">
        <f>VLOOKUP($Q6352,매칭테이블!$F:$I,4,0)*K6352</f>
        <v/>
      </c>
      <c r="P6352" s="148">
        <f>M6352/1.1</f>
        <v/>
      </c>
      <c r="Q6352" s="94">
        <f>F6352&amp;E6352&amp;G6352&amp;L6352</f>
        <v/>
      </c>
    </row>
    <row r="6353">
      <c r="A6353" s="94" t="n"/>
      <c r="B6353" s="128" t="n">
        <v>43974</v>
      </c>
      <c r="C6353" s="94">
        <f>TEXT(B6353,"aaa")</f>
        <v/>
      </c>
      <c r="D6353" s="94" t="n"/>
      <c r="E6353" s="6" t="inlineStr">
        <is>
          <t>토너</t>
        </is>
      </c>
      <c r="F6353" s="5" t="inlineStr">
        <is>
          <t>카페24</t>
        </is>
      </c>
      <c r="G6353" s="5" t="inlineStr">
        <is>
          <t>500ml</t>
        </is>
      </c>
      <c r="H6353" s="7" t="n">
        <v>190801</v>
      </c>
      <c r="I6353" s="7" t="n">
        <v>190801</v>
      </c>
      <c r="J6353" s="94" t="n"/>
      <c r="K6353" s="6" t="n">
        <v>39</v>
      </c>
      <c r="L6353" s="7" t="n">
        <v>190801</v>
      </c>
      <c r="M6353" s="94">
        <f>VLOOKUP($Q6353,매칭테이블!$F:$I,2,0)*K6353</f>
        <v/>
      </c>
      <c r="N6353" s="94">
        <f>M6353-M6353*VLOOKUP($Q6353,매칭테이블!$F:$I,3,0)</f>
        <v/>
      </c>
      <c r="O6353" s="94">
        <f>VLOOKUP($Q6353,매칭테이블!$F:$I,4,0)*K6353</f>
        <v/>
      </c>
      <c r="P6353" s="148">
        <f>M6353/1.1</f>
        <v/>
      </c>
      <c r="Q6353" s="94">
        <f>F6353&amp;E6353&amp;G6353&amp;L6353</f>
        <v/>
      </c>
    </row>
    <row r="6354">
      <c r="A6354" s="94" t="n"/>
      <c r="B6354" s="128" t="n">
        <v>43974</v>
      </c>
      <c r="C6354" s="94">
        <f>TEXT(B6354,"aaa")</f>
        <v/>
      </c>
      <c r="D6354" s="94" t="n"/>
      <c r="E6354" s="6" t="inlineStr">
        <is>
          <t>토너</t>
        </is>
      </c>
      <c r="F6354" s="5" t="inlineStr">
        <is>
          <t>카페24</t>
        </is>
      </c>
      <c r="G6354" s="94" t="inlineStr">
        <is>
          <t>스킨팩 화장솜 60P</t>
        </is>
      </c>
      <c r="H6354" s="7" t="n">
        <v>190801</v>
      </c>
      <c r="I6354" s="7" t="n">
        <v>190801</v>
      </c>
      <c r="J6354" s="94" t="n"/>
      <c r="K6354" s="6" t="n">
        <v>31</v>
      </c>
      <c r="L6354" s="7" t="n">
        <v>190801</v>
      </c>
      <c r="M6354" s="94">
        <f>VLOOKUP($Q6354,매칭테이블!$F:$I,2,0)*K6354</f>
        <v/>
      </c>
      <c r="N6354" s="94">
        <f>M6354-M6354*VLOOKUP($Q6354,매칭테이블!$F:$I,3,0)</f>
        <v/>
      </c>
      <c r="O6354" s="94">
        <f>VLOOKUP($Q6354,매칭테이블!$F:$I,4,0)*K6354</f>
        <v/>
      </c>
      <c r="P6354" s="148">
        <f>M6354/1.1</f>
        <v/>
      </c>
      <c r="Q6354" s="94">
        <f>F6354&amp;E6354&amp;G6354&amp;L6354</f>
        <v/>
      </c>
    </row>
    <row r="6355">
      <c r="A6355" s="94" t="n"/>
      <c r="B6355" s="128" t="n">
        <v>43974</v>
      </c>
      <c r="C6355" s="94">
        <f>TEXT(B6355,"aaa")</f>
        <v/>
      </c>
      <c r="D6355" s="94" t="n"/>
      <c r="E6355" s="94" t="inlineStr">
        <is>
          <t>앰플</t>
        </is>
      </c>
      <c r="F6355" s="5" t="inlineStr">
        <is>
          <t>카페24</t>
        </is>
      </c>
      <c r="G6355" s="94" t="inlineStr">
        <is>
          <t>앰플 30ml</t>
        </is>
      </c>
      <c r="H6355" s="7" t="n">
        <v>190801</v>
      </c>
      <c r="I6355" s="7" t="n">
        <v>190801</v>
      </c>
      <c r="J6355" s="94" t="n"/>
      <c r="K6355" s="6" t="n">
        <v>8</v>
      </c>
      <c r="L6355" s="94" t="n">
        <v>190801</v>
      </c>
      <c r="M6355" s="94">
        <f>VLOOKUP($Q6355,매칭테이블!$F:$I,2,0)*K6355</f>
        <v/>
      </c>
      <c r="N6355" s="94">
        <f>M6355-M6355*VLOOKUP($Q6355,매칭테이블!$F:$I,3,0)</f>
        <v/>
      </c>
      <c r="O6355" s="94">
        <f>VLOOKUP($Q6355,매칭테이블!$F:$I,4,0)*K6355</f>
        <v/>
      </c>
      <c r="P6355" s="148">
        <f>M6355/1.1</f>
        <v/>
      </c>
      <c r="Q6355" s="94">
        <f>F6355&amp;E6355&amp;G6355&amp;L6355</f>
        <v/>
      </c>
    </row>
    <row r="6356">
      <c r="A6356" s="94" t="n"/>
      <c r="B6356" s="128" t="n">
        <v>43974</v>
      </c>
      <c r="C6356" s="94">
        <f>TEXT(B6356,"aaa")</f>
        <v/>
      </c>
      <c r="D6356" s="94" t="n"/>
      <c r="E6356" s="94" t="inlineStr">
        <is>
          <t>수딩크림</t>
        </is>
      </c>
      <c r="F6356" s="5" t="inlineStr">
        <is>
          <t>카페24</t>
        </is>
      </c>
      <c r="G6356" s="94" t="inlineStr">
        <is>
          <t>수딩크림 100ml</t>
        </is>
      </c>
      <c r="H6356" s="7" t="n">
        <v>190801</v>
      </c>
      <c r="I6356" s="7" t="n">
        <v>190801</v>
      </c>
      <c r="J6356" s="94" t="n"/>
      <c r="K6356" s="6" t="n">
        <v>2</v>
      </c>
      <c r="L6356" s="94" t="n">
        <v>190801</v>
      </c>
      <c r="M6356" s="94">
        <f>VLOOKUP($Q6356,매칭테이블!$F:$I,2,0)*K6356</f>
        <v/>
      </c>
      <c r="N6356" s="94">
        <f>M6356-M6356*VLOOKUP($Q6356,매칭테이블!$F:$I,3,0)</f>
        <v/>
      </c>
      <c r="O6356" s="94">
        <f>VLOOKUP($Q6356,매칭테이블!$F:$I,4,0)*K6356</f>
        <v/>
      </c>
      <c r="P6356" s="148">
        <f>M6356/1.1</f>
        <v/>
      </c>
      <c r="Q6356" s="94">
        <f>F6356&amp;E6356&amp;G6356&amp;L6356</f>
        <v/>
      </c>
    </row>
    <row r="6357">
      <c r="A6357" s="94" t="n"/>
      <c r="B6357" s="128" t="n">
        <v>43974</v>
      </c>
      <c r="C6357" s="94">
        <f>TEXT(B6357,"aaa")</f>
        <v/>
      </c>
      <c r="D6357" s="94" t="n"/>
      <c r="E6357" s="94" t="inlineStr">
        <is>
          <t>클렌징폼</t>
        </is>
      </c>
      <c r="F6357" s="94" t="inlineStr">
        <is>
          <t>카페24</t>
        </is>
      </c>
      <c r="G6357" s="94" t="inlineStr">
        <is>
          <t>클렌징폼 120ml</t>
        </is>
      </c>
      <c r="H6357" s="7" t="n">
        <v>190801</v>
      </c>
      <c r="I6357" s="7" t="n">
        <v>190801</v>
      </c>
      <c r="J6357" s="94" t="n"/>
      <c r="K6357" s="6" t="n">
        <v>4</v>
      </c>
      <c r="L6357" s="92" t="n">
        <v>190801</v>
      </c>
      <c r="M6357" s="94">
        <f>VLOOKUP($Q6357,매칭테이블!$F:$I,2,0)*K6357</f>
        <v/>
      </c>
      <c r="N6357" s="94">
        <f>M6357-M6357*VLOOKUP($Q6357,매칭테이블!$F:$I,3,0)</f>
        <v/>
      </c>
      <c r="O6357" s="94">
        <f>VLOOKUP($Q6357,매칭테이블!$F:$I,4,0)*K6357</f>
        <v/>
      </c>
      <c r="P6357" s="148">
        <f>M6357/1.1</f>
        <v/>
      </c>
      <c r="Q6357" s="94">
        <f>F6357&amp;E6357&amp;G6357&amp;L6357</f>
        <v/>
      </c>
    </row>
    <row r="6358">
      <c r="A6358" s="94" t="n"/>
      <c r="B6358" s="128" t="n">
        <v>43974</v>
      </c>
      <c r="C6358" s="94">
        <f>TEXT(B6358,"aaa")</f>
        <v/>
      </c>
      <c r="D6358" s="94" t="n"/>
      <c r="E6358" s="94" t="inlineStr">
        <is>
          <t>클렌징폼</t>
        </is>
      </c>
      <c r="F6358" s="94" t="inlineStr">
        <is>
          <t>카페24</t>
        </is>
      </c>
      <c r="G6358" s="94" t="inlineStr">
        <is>
          <t>클렌징폼 120ml 2set</t>
        </is>
      </c>
      <c r="H6358" s="7" t="n">
        <v>190801</v>
      </c>
      <c r="I6358" s="7" t="n">
        <v>190801</v>
      </c>
      <c r="J6358" s="94" t="n"/>
      <c r="K6358" s="6" t="n">
        <v>2</v>
      </c>
      <c r="L6358" s="92" t="n">
        <v>190801</v>
      </c>
      <c r="M6358" s="94">
        <f>VLOOKUP($Q6358,매칭테이블!$F:$I,2,0)*K6358</f>
        <v/>
      </c>
      <c r="N6358" s="94">
        <f>M6358-M6358*VLOOKUP($Q6358,매칭테이블!$F:$I,3,0)</f>
        <v/>
      </c>
      <c r="O6358" s="94">
        <f>VLOOKUP($Q6358,매칭테이블!$F:$I,4,0)*K6358</f>
        <v/>
      </c>
      <c r="P6358" s="148">
        <f>M6358/1.1</f>
        <v/>
      </c>
      <c r="Q6358" s="94">
        <f>F6358&amp;E6358&amp;G6358&amp;L6358</f>
        <v/>
      </c>
    </row>
    <row r="6359">
      <c r="A6359" s="94" t="n"/>
      <c r="B6359" s="128" t="n">
        <v>43975</v>
      </c>
      <c r="C6359" s="94">
        <f>TEXT(B6359,"aaa")</f>
        <v/>
      </c>
      <c r="D6359" s="94" t="n"/>
      <c r="E6359" s="94" t="inlineStr">
        <is>
          <t>토너</t>
        </is>
      </c>
      <c r="F6359" s="5" t="inlineStr">
        <is>
          <t>스타일쉐어</t>
        </is>
      </c>
      <c r="G6359" s="94" t="inlineStr">
        <is>
          <t>250ml</t>
        </is>
      </c>
      <c r="H6359" s="7" t="n">
        <v>190801</v>
      </c>
      <c r="I6359" s="7" t="n">
        <v>190801</v>
      </c>
      <c r="J6359" s="94" t="n"/>
      <c r="K6359" s="6" t="n">
        <v>1</v>
      </c>
      <c r="L6359" s="7" t="n">
        <v>190801</v>
      </c>
      <c r="M6359" s="94">
        <f>VLOOKUP($Q6359,매칭테이블!$F:$I,2,0)*K6359</f>
        <v/>
      </c>
      <c r="N6359" s="94">
        <f>M6359-M6359*VLOOKUP($Q6359,매칭테이블!$F:$I,3,0)</f>
        <v/>
      </c>
      <c r="O6359" s="94">
        <f>VLOOKUP($Q6359,매칭테이블!$F:$I,4,0)*K6359</f>
        <v/>
      </c>
      <c r="P6359" s="148">
        <f>M6359/1.1</f>
        <v/>
      </c>
      <c r="Q6359" s="94">
        <f>F6359&amp;E6359&amp;G6359&amp;L6359</f>
        <v/>
      </c>
    </row>
    <row r="6360">
      <c r="A6360" s="94" t="n"/>
      <c r="B6360" s="128" t="n">
        <v>43975</v>
      </c>
      <c r="C6360" s="94">
        <f>TEXT(B6360,"aaa")</f>
        <v/>
      </c>
      <c r="D6360" s="94" t="n"/>
      <c r="E6360" s="94" t="inlineStr">
        <is>
          <t>어성초진정패키지</t>
        </is>
      </c>
      <c r="F6360" s="94" t="inlineStr">
        <is>
          <t>카페24</t>
        </is>
      </c>
      <c r="G6360" s="94" t="inlineStr">
        <is>
          <t>어성초 진정패키지세트</t>
        </is>
      </c>
      <c r="H6360" s="7" t="n">
        <v>190801</v>
      </c>
      <c r="I6360" s="7" t="n">
        <v>190801</v>
      </c>
      <c r="J6360" s="94" t="n"/>
      <c r="K6360" s="6" t="n">
        <v>7</v>
      </c>
      <c r="L6360" s="94" t="n">
        <v>190801</v>
      </c>
      <c r="M6360" s="94">
        <f>VLOOKUP($Q6360,매칭테이블!$F:$I,2,0)*K6360</f>
        <v/>
      </c>
      <c r="N6360" s="94">
        <f>M6360-M6360*VLOOKUP($Q6360,매칭테이블!$F:$I,3,0)</f>
        <v/>
      </c>
      <c r="O6360" s="94">
        <f>VLOOKUP($Q6360,매칭테이블!$F:$I,4,0)*K6360</f>
        <v/>
      </c>
      <c r="P6360" s="148">
        <f>M6360/1.1</f>
        <v/>
      </c>
      <c r="Q6360" s="94">
        <f>F6360&amp;E6360&amp;G6360&amp;L6360</f>
        <v/>
      </c>
    </row>
    <row r="6361">
      <c r="A6361" s="94" t="n"/>
      <c r="B6361" s="128" t="n">
        <v>43975</v>
      </c>
      <c r="C6361" s="94">
        <f>TEXT(B6361,"aaa")</f>
        <v/>
      </c>
      <c r="D6361" s="94" t="n"/>
      <c r="E6361" s="94" t="inlineStr">
        <is>
          <t>머드크림마스크</t>
        </is>
      </c>
      <c r="F6361" s="94" t="inlineStr">
        <is>
          <t>카페24</t>
        </is>
      </c>
      <c r="G6361" s="94" t="inlineStr">
        <is>
          <t>머드크림마스크 100ml</t>
        </is>
      </c>
      <c r="H6361" s="7" t="n">
        <v>190801</v>
      </c>
      <c r="I6361" s="7" t="n">
        <v>190801</v>
      </c>
      <c r="J6361" s="94" t="n"/>
      <c r="K6361" s="6" t="n">
        <v>5</v>
      </c>
      <c r="L6361" s="94" t="n">
        <v>190801</v>
      </c>
      <c r="M6361" s="94">
        <f>VLOOKUP($Q6361,매칭테이블!$F:$I,2,0)*K6361</f>
        <v/>
      </c>
      <c r="N6361" s="94">
        <f>M6361-M6361*VLOOKUP($Q6361,매칭테이블!$F:$I,3,0)</f>
        <v/>
      </c>
      <c r="O6361" s="94">
        <f>VLOOKUP($Q6361,매칭테이블!$F:$I,4,0)*K6361</f>
        <v/>
      </c>
      <c r="P6361" s="148">
        <f>M6361/1.1</f>
        <v/>
      </c>
      <c r="Q6361" s="94">
        <f>F6361&amp;E6361&amp;G6361&amp;L6361</f>
        <v/>
      </c>
    </row>
    <row r="6362">
      <c r="A6362" s="94" t="n"/>
      <c r="B6362" s="128" t="n">
        <v>43975</v>
      </c>
      <c r="C6362" s="94">
        <f>TEXT(B6362,"aaa")</f>
        <v/>
      </c>
      <c r="D6362" s="94" t="n"/>
      <c r="E6362" s="94" t="inlineStr">
        <is>
          <t>마스크팩</t>
        </is>
      </c>
      <c r="F6362" s="94" t="inlineStr">
        <is>
          <t>카페24</t>
        </is>
      </c>
      <c r="G6362" s="94" t="inlineStr">
        <is>
          <t>마스크팩 1매</t>
        </is>
      </c>
      <c r="H6362" s="7" t="n">
        <v>190801</v>
      </c>
      <c r="I6362" s="7" t="n">
        <v>190801</v>
      </c>
      <c r="J6362" s="94" t="n"/>
      <c r="K6362" s="6" t="n">
        <v>2</v>
      </c>
      <c r="L6362" s="94" t="n">
        <v>190801</v>
      </c>
      <c r="M6362" s="94">
        <f>VLOOKUP($Q6362,매칭테이블!$F:$I,2,0)*K6362</f>
        <v/>
      </c>
      <c r="N6362" s="94">
        <f>M6362-M6362*VLOOKUP($Q6362,매칭테이블!$F:$I,3,0)</f>
        <v/>
      </c>
      <c r="O6362" s="94">
        <f>VLOOKUP($Q6362,매칭테이블!$F:$I,4,0)*K6362</f>
        <v/>
      </c>
      <c r="P6362" s="148">
        <f>M6362/1.1</f>
        <v/>
      </c>
      <c r="Q6362" s="94">
        <f>F6362&amp;E6362&amp;G6362&amp;L6362</f>
        <v/>
      </c>
    </row>
    <row r="6363">
      <c r="A6363" s="94" t="n"/>
      <c r="B6363" s="128" t="n">
        <v>43975</v>
      </c>
      <c r="C6363" s="94">
        <f>TEXT(B6363,"aaa")</f>
        <v/>
      </c>
      <c r="D6363" s="94" t="n"/>
      <c r="E6363" s="94" t="inlineStr">
        <is>
          <t>마스크팩</t>
        </is>
      </c>
      <c r="F6363" s="94" t="inlineStr">
        <is>
          <t>카페24</t>
        </is>
      </c>
      <c r="G6363" s="94" t="inlineStr">
        <is>
          <t>마스크팩 10매</t>
        </is>
      </c>
      <c r="H6363" s="7" t="n">
        <v>190801</v>
      </c>
      <c r="I6363" s="7" t="n">
        <v>190801</v>
      </c>
      <c r="J6363" s="94" t="n"/>
      <c r="K6363" s="6" t="n">
        <v>2</v>
      </c>
      <c r="L6363" s="94" t="n">
        <v>190801</v>
      </c>
      <c r="M6363" s="94">
        <f>VLOOKUP($Q6363,매칭테이블!$F:$I,2,0)*K6363</f>
        <v/>
      </c>
      <c r="N6363" s="94">
        <f>M6363-M6363*VLOOKUP($Q6363,매칭테이블!$F:$I,3,0)</f>
        <v/>
      </c>
      <c r="O6363" s="94">
        <f>VLOOKUP($Q6363,매칭테이블!$F:$I,4,0)*K6363</f>
        <v/>
      </c>
      <c r="P6363" s="148">
        <f>M6363/1.1</f>
        <v/>
      </c>
      <c r="Q6363" s="94">
        <f>F6363&amp;E6363&amp;G6363&amp;L6363</f>
        <v/>
      </c>
    </row>
    <row r="6364">
      <c r="A6364" s="94" t="n"/>
      <c r="B6364" s="128" t="n">
        <v>43975</v>
      </c>
      <c r="C6364" s="94">
        <f>TEXT(B6364,"aaa")</f>
        <v/>
      </c>
      <c r="D6364" s="94" t="n"/>
      <c r="E6364" s="6" t="inlineStr">
        <is>
          <t>토너</t>
        </is>
      </c>
      <c r="F6364" s="5" t="inlineStr">
        <is>
          <t>카페24</t>
        </is>
      </c>
      <c r="G6364" s="5" t="inlineStr">
        <is>
          <t>250ml</t>
        </is>
      </c>
      <c r="H6364" s="7" t="n">
        <v>190801</v>
      </c>
      <c r="I6364" s="7" t="n">
        <v>190801</v>
      </c>
      <c r="J6364" s="94" t="n"/>
      <c r="K6364" s="6" t="n">
        <v>48</v>
      </c>
      <c r="L6364" s="7" t="n">
        <v>190801</v>
      </c>
      <c r="M6364" s="94">
        <f>VLOOKUP($Q6364,매칭테이블!$F:$I,2,0)*K6364</f>
        <v/>
      </c>
      <c r="N6364" s="94">
        <f>M6364-M6364*VLOOKUP($Q6364,매칭테이블!$F:$I,3,0)</f>
        <v/>
      </c>
      <c r="O6364" s="94">
        <f>VLOOKUP($Q6364,매칭테이블!$F:$I,4,0)*K6364</f>
        <v/>
      </c>
      <c r="P6364" s="148">
        <f>M6364/1.1</f>
        <v/>
      </c>
      <c r="Q6364" s="94">
        <f>F6364&amp;E6364&amp;G6364&amp;L6364</f>
        <v/>
      </c>
    </row>
    <row r="6365">
      <c r="A6365" s="94" t="n"/>
      <c r="B6365" s="128" t="n">
        <v>43975</v>
      </c>
      <c r="C6365" s="94">
        <f>TEXT(B6365,"aaa")</f>
        <v/>
      </c>
      <c r="D6365" s="94" t="n"/>
      <c r="E6365" s="6" t="inlineStr">
        <is>
          <t>토너</t>
        </is>
      </c>
      <c r="F6365" s="5" t="inlineStr">
        <is>
          <t>카페24</t>
        </is>
      </c>
      <c r="G6365" s="5" t="inlineStr">
        <is>
          <t>250ml 2set</t>
        </is>
      </c>
      <c r="H6365" s="7" t="n">
        <v>190801</v>
      </c>
      <c r="I6365" s="7" t="n">
        <v>190801</v>
      </c>
      <c r="J6365" s="94" t="n"/>
      <c r="K6365" s="6" t="n">
        <v>41</v>
      </c>
      <c r="L6365" s="7" t="n">
        <v>190801</v>
      </c>
      <c r="M6365" s="94">
        <f>VLOOKUP($Q6365,매칭테이블!$F:$I,2,0)*K6365</f>
        <v/>
      </c>
      <c r="N6365" s="94">
        <f>M6365-M6365*VLOOKUP($Q6365,매칭테이블!$F:$I,3,0)</f>
        <v/>
      </c>
      <c r="O6365" s="94">
        <f>VLOOKUP($Q6365,매칭테이블!$F:$I,4,0)*K6365</f>
        <v/>
      </c>
      <c r="P6365" s="148">
        <f>M6365/1.1</f>
        <v/>
      </c>
      <c r="Q6365" s="94">
        <f>F6365&amp;E6365&amp;G6365&amp;L6365</f>
        <v/>
      </c>
    </row>
    <row r="6366">
      <c r="A6366" s="94" t="n"/>
      <c r="B6366" s="128" t="n">
        <v>43975</v>
      </c>
      <c r="C6366" s="94">
        <f>TEXT(B6366,"aaa")</f>
        <v/>
      </c>
      <c r="D6366" s="94" t="n"/>
      <c r="E6366" s="6" t="inlineStr">
        <is>
          <t>토너</t>
        </is>
      </c>
      <c r="F6366" s="5" t="inlineStr">
        <is>
          <t>카페24</t>
        </is>
      </c>
      <c r="G6366" s="5" t="inlineStr">
        <is>
          <t>500ml</t>
        </is>
      </c>
      <c r="H6366" s="7" t="n">
        <v>190801</v>
      </c>
      <c r="I6366" s="7" t="n">
        <v>190801</v>
      </c>
      <c r="J6366" s="94" t="n"/>
      <c r="K6366" s="6" t="n">
        <v>37</v>
      </c>
      <c r="L6366" s="7" t="n">
        <v>190801</v>
      </c>
      <c r="M6366" s="94">
        <f>VLOOKUP($Q6366,매칭테이블!$F:$I,2,0)*K6366</f>
        <v/>
      </c>
      <c r="N6366" s="94">
        <f>M6366-M6366*VLOOKUP($Q6366,매칭테이블!$F:$I,3,0)</f>
        <v/>
      </c>
      <c r="O6366" s="94">
        <f>VLOOKUP($Q6366,매칭테이블!$F:$I,4,0)*K6366</f>
        <v/>
      </c>
      <c r="P6366" s="148">
        <f>M6366/1.1</f>
        <v/>
      </c>
      <c r="Q6366" s="94">
        <f>F6366&amp;E6366&amp;G6366&amp;L6366</f>
        <v/>
      </c>
    </row>
    <row r="6367">
      <c r="A6367" s="94" t="n"/>
      <c r="B6367" s="128" t="n">
        <v>43975</v>
      </c>
      <c r="C6367" s="94">
        <f>TEXT(B6367,"aaa")</f>
        <v/>
      </c>
      <c r="D6367" s="94" t="n"/>
      <c r="E6367" s="6" t="inlineStr">
        <is>
          <t>토너</t>
        </is>
      </c>
      <c r="F6367" s="5" t="inlineStr">
        <is>
          <t>카페24</t>
        </is>
      </c>
      <c r="G6367" s="94" t="inlineStr">
        <is>
          <t>스킨팩 화장솜 60P</t>
        </is>
      </c>
      <c r="H6367" s="7" t="n">
        <v>190801</v>
      </c>
      <c r="I6367" s="7" t="n">
        <v>190801</v>
      </c>
      <c r="J6367" s="94" t="n"/>
      <c r="K6367" s="6" t="n">
        <v>50</v>
      </c>
      <c r="L6367" s="7" t="n">
        <v>190801</v>
      </c>
      <c r="M6367" s="94">
        <f>VLOOKUP($Q6367,매칭테이블!$F:$I,2,0)*K6367</f>
        <v/>
      </c>
      <c r="N6367" s="94">
        <f>M6367-M6367*VLOOKUP($Q6367,매칭테이블!$F:$I,3,0)</f>
        <v/>
      </c>
      <c r="O6367" s="94">
        <f>VLOOKUP($Q6367,매칭테이블!$F:$I,4,0)*K6367</f>
        <v/>
      </c>
      <c r="P6367" s="148">
        <f>M6367/1.1</f>
        <v/>
      </c>
      <c r="Q6367" s="94">
        <f>F6367&amp;E6367&amp;G6367&amp;L6367</f>
        <v/>
      </c>
    </row>
    <row r="6368">
      <c r="A6368" s="94" t="n"/>
      <c r="B6368" s="128" t="n">
        <v>43975</v>
      </c>
      <c r="C6368" s="94">
        <f>TEXT(B6368,"aaa")</f>
        <v/>
      </c>
      <c r="D6368" s="94" t="n"/>
      <c r="E6368" s="94" t="inlineStr">
        <is>
          <t>앰플</t>
        </is>
      </c>
      <c r="F6368" s="5" t="inlineStr">
        <is>
          <t>카페24</t>
        </is>
      </c>
      <c r="G6368" s="94" t="inlineStr">
        <is>
          <t>앰플 30ml</t>
        </is>
      </c>
      <c r="H6368" s="7" t="n">
        <v>190801</v>
      </c>
      <c r="I6368" s="7" t="n">
        <v>190801</v>
      </c>
      <c r="J6368" s="94" t="n"/>
      <c r="K6368" s="6" t="n">
        <v>13</v>
      </c>
      <c r="L6368" s="94" t="n">
        <v>190801</v>
      </c>
      <c r="M6368" s="94">
        <f>VLOOKUP($Q6368,매칭테이블!$F:$I,2,0)*K6368</f>
        <v/>
      </c>
      <c r="N6368" s="94">
        <f>M6368-M6368*VLOOKUP($Q6368,매칭테이블!$F:$I,3,0)</f>
        <v/>
      </c>
      <c r="O6368" s="94">
        <f>VLOOKUP($Q6368,매칭테이블!$F:$I,4,0)*K6368</f>
        <v/>
      </c>
      <c r="P6368" s="148">
        <f>M6368/1.1</f>
        <v/>
      </c>
      <c r="Q6368" s="94">
        <f>F6368&amp;E6368&amp;G6368&amp;L6368</f>
        <v/>
      </c>
    </row>
    <row r="6369">
      <c r="A6369" s="94" t="n"/>
      <c r="B6369" s="128" t="n">
        <v>43975</v>
      </c>
      <c r="C6369" s="94">
        <f>TEXT(B6369,"aaa")</f>
        <v/>
      </c>
      <c r="D6369" s="94" t="n"/>
      <c r="E6369" s="94" t="inlineStr">
        <is>
          <t>수딩크림</t>
        </is>
      </c>
      <c r="F6369" s="5" t="inlineStr">
        <is>
          <t>카페24</t>
        </is>
      </c>
      <c r="G6369" s="94" t="inlineStr">
        <is>
          <t>수딩크림 100ml</t>
        </is>
      </c>
      <c r="H6369" s="7" t="n">
        <v>190801</v>
      </c>
      <c r="I6369" s="7" t="n">
        <v>190801</v>
      </c>
      <c r="J6369" s="94" t="n"/>
      <c r="K6369" s="6" t="n">
        <v>7</v>
      </c>
      <c r="L6369" s="94" t="n">
        <v>190801</v>
      </c>
      <c r="M6369" s="94">
        <f>VLOOKUP($Q6369,매칭테이블!$F:$I,2,0)*K6369</f>
        <v/>
      </c>
      <c r="N6369" s="94">
        <f>M6369-M6369*VLOOKUP($Q6369,매칭테이블!$F:$I,3,0)</f>
        <v/>
      </c>
      <c r="O6369" s="94">
        <f>VLOOKUP($Q6369,매칭테이블!$F:$I,4,0)*K6369</f>
        <v/>
      </c>
      <c r="P6369" s="148">
        <f>M6369/1.1</f>
        <v/>
      </c>
      <c r="Q6369" s="94">
        <f>F6369&amp;E6369&amp;G6369&amp;L6369</f>
        <v/>
      </c>
    </row>
    <row r="6370">
      <c r="A6370" s="94" t="n"/>
      <c r="B6370" s="128" t="n">
        <v>43975</v>
      </c>
      <c r="C6370" s="94">
        <f>TEXT(B6370,"aaa")</f>
        <v/>
      </c>
      <c r="D6370" s="94" t="n"/>
      <c r="E6370" s="94" t="inlineStr">
        <is>
          <t>클렌징폼</t>
        </is>
      </c>
      <c r="F6370" s="94" t="inlineStr">
        <is>
          <t>카페24</t>
        </is>
      </c>
      <c r="G6370" s="94" t="inlineStr">
        <is>
          <t>클렌징폼 120ml</t>
        </is>
      </c>
      <c r="H6370" s="7" t="n">
        <v>190801</v>
      </c>
      <c r="I6370" s="7" t="n">
        <v>190801</v>
      </c>
      <c r="J6370" s="94" t="n"/>
      <c r="K6370" s="6" t="n">
        <v>9</v>
      </c>
      <c r="L6370" s="92" t="n">
        <v>190801</v>
      </c>
      <c r="M6370" s="94">
        <f>VLOOKUP($Q6370,매칭테이블!$F:$I,2,0)*K6370</f>
        <v/>
      </c>
      <c r="N6370" s="94">
        <f>M6370-M6370*VLOOKUP($Q6370,매칭테이블!$F:$I,3,0)</f>
        <v/>
      </c>
      <c r="O6370" s="94">
        <f>VLOOKUP($Q6370,매칭테이블!$F:$I,4,0)*K6370</f>
        <v/>
      </c>
      <c r="P6370" s="148">
        <f>M6370/1.1</f>
        <v/>
      </c>
      <c r="Q6370" s="94">
        <f>F6370&amp;E6370&amp;G6370&amp;L6370</f>
        <v/>
      </c>
    </row>
    <row r="6371">
      <c r="A6371" s="94" t="n"/>
      <c r="B6371" s="128" t="n">
        <v>43975</v>
      </c>
      <c r="C6371" s="94">
        <f>TEXT(B6371,"aaa")</f>
        <v/>
      </c>
      <c r="D6371" s="94" t="n"/>
      <c r="E6371" s="94" t="inlineStr">
        <is>
          <t>클렌징폼</t>
        </is>
      </c>
      <c r="F6371" s="94" t="inlineStr">
        <is>
          <t>카페24</t>
        </is>
      </c>
      <c r="G6371" s="94" t="inlineStr">
        <is>
          <t>클렌징폼 120ml 2set</t>
        </is>
      </c>
      <c r="H6371" s="7" t="n">
        <v>190801</v>
      </c>
      <c r="I6371" s="7" t="n">
        <v>190801</v>
      </c>
      <c r="J6371" s="94" t="n"/>
      <c r="K6371" s="6" t="n">
        <v>4</v>
      </c>
      <c r="L6371" s="92" t="n">
        <v>190801</v>
      </c>
      <c r="M6371" s="94">
        <f>VLOOKUP($Q6371,매칭테이블!$F:$I,2,0)*K6371</f>
        <v/>
      </c>
      <c r="N6371" s="94">
        <f>M6371-M6371*VLOOKUP($Q6371,매칭테이블!$F:$I,3,0)</f>
        <v/>
      </c>
      <c r="O6371" s="94">
        <f>VLOOKUP($Q6371,매칭테이블!$F:$I,4,0)*K6371</f>
        <v/>
      </c>
      <c r="P6371" s="148">
        <f>M6371/1.1</f>
        <v/>
      </c>
      <c r="Q6371" s="94">
        <f>F6371&amp;E6371&amp;G6371&amp;L6371</f>
        <v/>
      </c>
    </row>
    <row r="6372">
      <c r="A6372" s="94" t="n"/>
      <c r="B6372" s="128" t="n">
        <v>43975</v>
      </c>
      <c r="C6372" s="94">
        <f>TEXT(B6372,"aaa")</f>
        <v/>
      </c>
      <c r="D6372" s="94" t="n"/>
      <c r="E6372" s="94" t="inlineStr">
        <is>
          <t>클렌징폼</t>
        </is>
      </c>
      <c r="F6372" s="94" t="inlineStr">
        <is>
          <t>카페24</t>
        </is>
      </c>
      <c r="G6372" s="94" t="inlineStr">
        <is>
          <t>클렌징폼 120ml 3set</t>
        </is>
      </c>
      <c r="H6372" s="7" t="n">
        <v>190801</v>
      </c>
      <c r="I6372" s="7" t="n">
        <v>190801</v>
      </c>
      <c r="J6372" s="94" t="n"/>
      <c r="K6372" s="6" t="n">
        <v>1</v>
      </c>
      <c r="L6372" s="92" t="n">
        <v>190801</v>
      </c>
      <c r="M6372" s="94">
        <f>VLOOKUP($Q6372,매칭테이블!$F:$I,2,0)*K6372</f>
        <v/>
      </c>
      <c r="N6372" s="94">
        <f>M6372-M6372*VLOOKUP($Q6372,매칭테이블!$F:$I,3,0)</f>
        <v/>
      </c>
      <c r="O6372" s="94">
        <f>VLOOKUP($Q6372,매칭테이블!$F:$I,4,0)*K6372</f>
        <v/>
      </c>
      <c r="P6372" s="148">
        <f>M6372/1.1</f>
        <v/>
      </c>
      <c r="Q6372" s="94">
        <f>F6372&amp;E6372&amp;G6372&amp;L6372</f>
        <v/>
      </c>
    </row>
    <row r="6373">
      <c r="A6373" s="94" t="n"/>
      <c r="B6373" s="128" t="n">
        <v>43975</v>
      </c>
      <c r="C6373" s="94">
        <f>TEXT(B6373,"aaa")</f>
        <v/>
      </c>
      <c r="D6373" s="94" t="n"/>
      <c r="E6373" s="6" t="inlineStr">
        <is>
          <t>토너</t>
        </is>
      </c>
      <c r="F6373" s="94" t="inlineStr">
        <is>
          <t>랄라블라</t>
        </is>
      </c>
      <c r="G6373" s="5" t="inlineStr">
        <is>
          <t>250ml</t>
        </is>
      </c>
      <c r="H6373" s="7" t="n">
        <v>190801</v>
      </c>
      <c r="I6373" s="7" t="n">
        <v>190801</v>
      </c>
      <c r="J6373" s="94" t="n"/>
      <c r="K6373" s="6" t="n">
        <v>362</v>
      </c>
      <c r="L6373" s="7" t="n">
        <v>190801</v>
      </c>
      <c r="M6373" s="94">
        <f>VLOOKUP($Q6373,매칭테이블!$F:$I,2,0)*K6373</f>
        <v/>
      </c>
      <c r="N6373" s="94">
        <f>M6373-M6373*VLOOKUP($Q6373,매칭테이블!$F:$I,3,0)</f>
        <v/>
      </c>
      <c r="O6373" s="94">
        <f>VLOOKUP($Q6373,매칭테이블!$F:$I,4,0)*K6373</f>
        <v/>
      </c>
      <c r="P6373" s="148">
        <f>M6373/1.1</f>
        <v/>
      </c>
      <c r="Q6373" s="94">
        <f>F6373&amp;E6373&amp;G6373&amp;L6373</f>
        <v/>
      </c>
    </row>
    <row r="6374">
      <c r="A6374" s="94" t="n"/>
      <c r="B6374" s="128" t="n">
        <v>43975</v>
      </c>
      <c r="C6374" s="94">
        <f>TEXT(B6374,"aaa")</f>
        <v/>
      </c>
      <c r="D6374" s="94" t="n"/>
      <c r="E6374" s="6" t="inlineStr">
        <is>
          <t>토너</t>
        </is>
      </c>
      <c r="F6374" s="94" t="inlineStr">
        <is>
          <t>랄라블라</t>
        </is>
      </c>
      <c r="G6374" s="5" t="inlineStr">
        <is>
          <t>500ml</t>
        </is>
      </c>
      <c r="H6374" s="7" t="n">
        <v>190801</v>
      </c>
      <c r="I6374" s="7" t="n">
        <v>190801</v>
      </c>
      <c r="J6374" s="94" t="n"/>
      <c r="K6374" s="6" t="n">
        <v>9</v>
      </c>
      <c r="L6374" s="7" t="n">
        <v>190801</v>
      </c>
      <c r="M6374" s="94">
        <f>VLOOKUP($Q6374,매칭테이블!$F:$I,2,0)*K6374</f>
        <v/>
      </c>
      <c r="N6374" s="94">
        <f>M6374-M6374*VLOOKUP($Q6374,매칭테이블!$F:$I,3,0)</f>
        <v/>
      </c>
      <c r="O6374" s="94">
        <f>VLOOKUP($Q6374,매칭테이블!$F:$I,4,0)*K6374</f>
        <v/>
      </c>
      <c r="P6374" s="148">
        <f>M6374/1.1</f>
        <v/>
      </c>
      <c r="Q6374" s="94">
        <f>F6374&amp;E6374&amp;G6374&amp;L6374</f>
        <v/>
      </c>
    </row>
    <row r="6375">
      <c r="A6375" s="94" t="n"/>
      <c r="B6375" s="128" t="n">
        <v>43975</v>
      </c>
      <c r="C6375" s="94">
        <f>TEXT(B6375,"aaa")</f>
        <v/>
      </c>
      <c r="D6375" s="94" t="n"/>
      <c r="E6375" s="94" t="inlineStr">
        <is>
          <t>마스크팩</t>
        </is>
      </c>
      <c r="F6375" s="94" t="inlineStr">
        <is>
          <t>랄라블라</t>
        </is>
      </c>
      <c r="G6375" s="94" t="inlineStr">
        <is>
          <t>마스크팩 1매</t>
        </is>
      </c>
      <c r="H6375" s="7" t="n">
        <v>190801</v>
      </c>
      <c r="I6375" s="7" t="n">
        <v>190801</v>
      </c>
      <c r="J6375" s="94" t="n"/>
      <c r="K6375" s="6" t="n">
        <v>793</v>
      </c>
      <c r="L6375" s="94" t="n">
        <v>190801</v>
      </c>
      <c r="M6375" s="94">
        <f>VLOOKUP($Q6375,매칭테이블!$F:$I,2,0)*K6375</f>
        <v/>
      </c>
      <c r="N6375" s="94">
        <f>M6375-M6375*VLOOKUP($Q6375,매칭테이블!$F:$I,3,0)</f>
        <v/>
      </c>
      <c r="O6375" s="94">
        <f>VLOOKUP($Q6375,매칭테이블!$F:$I,4,0)*K6375</f>
        <v/>
      </c>
      <c r="P6375" s="148">
        <f>M6375/1.1</f>
        <v/>
      </c>
      <c r="Q6375" s="94">
        <f>F6375&amp;E6375&amp;G6375&amp;L6375</f>
        <v/>
      </c>
    </row>
    <row r="6376">
      <c r="A6376" s="94" t="n"/>
      <c r="B6376" s="128" t="n">
        <v>43975</v>
      </c>
      <c r="C6376" s="94">
        <f>TEXT(B6376,"aaa")</f>
        <v/>
      </c>
      <c r="D6376" s="94" t="n"/>
      <c r="E6376" s="94" t="inlineStr">
        <is>
          <t>수딩크림 증정기획</t>
        </is>
      </c>
      <c r="F6376" s="94" t="inlineStr">
        <is>
          <t>랄라블라</t>
        </is>
      </c>
      <c r="G6376" s="94" t="inlineStr">
        <is>
          <t>수딩크림 증정기획</t>
        </is>
      </c>
      <c r="H6376" s="7" t="n">
        <v>190801</v>
      </c>
      <c r="I6376" s="7" t="n">
        <v>190801</v>
      </c>
      <c r="J6376" s="94" t="n"/>
      <c r="K6376" s="6" t="n">
        <v>99</v>
      </c>
      <c r="L6376" s="94" t="n">
        <v>190801</v>
      </c>
      <c r="M6376" s="94">
        <f>VLOOKUP($Q6376,매칭테이블!$F:$I,2,0)*K6376</f>
        <v/>
      </c>
      <c r="N6376" s="94">
        <f>M6376-M6376*VLOOKUP($Q6376,매칭테이블!$F:$I,3,0)</f>
        <v/>
      </c>
      <c r="O6376" s="94">
        <f>VLOOKUP($Q6376,매칭테이블!$F:$I,4,0)*K6376</f>
        <v/>
      </c>
      <c r="P6376" s="148">
        <f>M6376/1.1</f>
        <v/>
      </c>
      <c r="Q6376" s="94">
        <f>F6376&amp;E6376&amp;G6376&amp;L6376</f>
        <v/>
      </c>
    </row>
    <row r="6377">
      <c r="A6377" s="94" t="n"/>
      <c r="B6377" s="128" t="n">
        <v>43975</v>
      </c>
      <c r="C6377" s="94">
        <f>TEXT(B6377,"aaa")</f>
        <v/>
      </c>
      <c r="D6377" s="94" t="n"/>
      <c r="E6377" s="94" t="inlineStr">
        <is>
          <t>수딩크림</t>
        </is>
      </c>
      <c r="F6377" s="94" t="inlineStr">
        <is>
          <t>랄라블라</t>
        </is>
      </c>
      <c r="G6377" s="94" t="inlineStr">
        <is>
          <t>수딩크림 100ml</t>
        </is>
      </c>
      <c r="H6377" s="7" t="n">
        <v>190801</v>
      </c>
      <c r="I6377" s="7" t="n">
        <v>190801</v>
      </c>
      <c r="J6377" s="94" t="n"/>
      <c r="K6377" s="6" t="n">
        <v>9</v>
      </c>
      <c r="L6377" s="94" t="n">
        <v>190801</v>
      </c>
      <c r="M6377" s="94">
        <f>VLOOKUP($Q6377,매칭테이블!$F:$I,2,0)*K6377</f>
        <v/>
      </c>
      <c r="N6377" s="94">
        <f>M6377-M6377*VLOOKUP($Q6377,매칭테이블!$F:$I,3,0)</f>
        <v/>
      </c>
      <c r="O6377" s="94">
        <f>VLOOKUP($Q6377,매칭테이블!$F:$I,4,0)*K6377</f>
        <v/>
      </c>
      <c r="P6377" s="148">
        <f>M6377/1.1</f>
        <v/>
      </c>
      <c r="Q6377" s="94">
        <f>F6377&amp;E6377&amp;G6377&amp;L6377</f>
        <v/>
      </c>
    </row>
    <row r="6378">
      <c r="A6378" s="94" t="n"/>
      <c r="B6378" s="128" t="n">
        <v>43975</v>
      </c>
      <c r="C6378" s="94">
        <f>TEXT(B6378,"aaa")</f>
        <v/>
      </c>
      <c r="D6378" s="94" t="n"/>
      <c r="E6378" s="94" t="inlineStr">
        <is>
          <t>앰플 기획세트</t>
        </is>
      </c>
      <c r="F6378" s="94" t="inlineStr">
        <is>
          <t>랄라블라</t>
        </is>
      </c>
      <c r="G6378" s="94" t="inlineStr">
        <is>
          <t>앰플 기획세트</t>
        </is>
      </c>
      <c r="H6378" s="7" t="n">
        <v>190801</v>
      </c>
      <c r="I6378" s="7" t="n">
        <v>190801</v>
      </c>
      <c r="J6378" s="94" t="n"/>
      <c r="K6378" s="6" t="n">
        <v>108</v>
      </c>
      <c r="L6378" s="94" t="n">
        <v>190801</v>
      </c>
      <c r="M6378" s="94">
        <f>VLOOKUP($Q6378,매칭테이블!$F:$I,2,0)*K6378</f>
        <v/>
      </c>
      <c r="N6378" s="94">
        <f>M6378-M6378*VLOOKUP($Q6378,매칭테이블!$F:$I,3,0)</f>
        <v/>
      </c>
      <c r="O6378" s="94">
        <f>VLOOKUP($Q6378,매칭테이블!$F:$I,4,0)*K6378</f>
        <v/>
      </c>
      <c r="P6378" s="148">
        <f>M6378/1.1</f>
        <v/>
      </c>
      <c r="Q6378" s="94">
        <f>F6378&amp;E6378&amp;G6378&amp;L6378</f>
        <v/>
      </c>
    </row>
    <row r="6379">
      <c r="A6379" s="94" t="n"/>
      <c r="B6379" s="128" t="n">
        <v>43975</v>
      </c>
      <c r="C6379" s="94">
        <f>TEXT(B6379,"aaa")</f>
        <v/>
      </c>
      <c r="D6379" s="94" t="n"/>
      <c r="E6379" s="94" t="inlineStr">
        <is>
          <t>클렌징폼 기획세트</t>
        </is>
      </c>
      <c r="F6379" s="94" t="inlineStr">
        <is>
          <t>랄라블라</t>
        </is>
      </c>
      <c r="G6379" s="94" t="inlineStr">
        <is>
          <t>클렌징폼 기획세트</t>
        </is>
      </c>
      <c r="H6379" s="7" t="n">
        <v>190801</v>
      </c>
      <c r="I6379" s="7" t="n">
        <v>190801</v>
      </c>
      <c r="J6379" s="94" t="n"/>
      <c r="K6379" s="6" t="n">
        <v>93</v>
      </c>
      <c r="L6379" s="94" t="n">
        <v>190801</v>
      </c>
      <c r="M6379" s="94">
        <f>VLOOKUP($Q6379,매칭테이블!$F:$I,2,0)*K6379</f>
        <v/>
      </c>
      <c r="N6379" s="94">
        <f>M6379-M6379*VLOOKUP($Q6379,매칭테이블!$F:$I,3,0)</f>
        <v/>
      </c>
      <c r="O6379" s="94">
        <f>VLOOKUP($Q6379,매칭테이블!$F:$I,4,0)*K6379</f>
        <v/>
      </c>
      <c r="P6379" s="148">
        <f>M6379/1.1</f>
        <v/>
      </c>
      <c r="Q6379" s="94">
        <f>F6379&amp;E6379&amp;G6379&amp;L6379</f>
        <v/>
      </c>
    </row>
    <row r="6380">
      <c r="A6380" s="94" t="n"/>
      <c r="B6380" s="128" t="n">
        <v>43975</v>
      </c>
      <c r="C6380" s="94">
        <f>TEXT(B6380,"aaa")</f>
        <v/>
      </c>
      <c r="D6380" s="94" t="n"/>
      <c r="E6380" s="94" t="inlineStr">
        <is>
          <t>토너 기획세트</t>
        </is>
      </c>
      <c r="F6380" s="94" t="inlineStr">
        <is>
          <t>랄라블라</t>
        </is>
      </c>
      <c r="G6380" s="94" t="inlineStr">
        <is>
          <t>토너 기획세트</t>
        </is>
      </c>
      <c r="H6380" s="7" t="n">
        <v>190801</v>
      </c>
      <c r="I6380" s="7" t="n">
        <v>190801</v>
      </c>
      <c r="J6380" s="94" t="n"/>
      <c r="K6380" s="6" t="n">
        <v>3</v>
      </c>
      <c r="L6380" s="94" t="n">
        <v>190801</v>
      </c>
      <c r="M6380" s="94">
        <f>VLOOKUP($Q6380,매칭테이블!$F:$I,2,0)*K6380</f>
        <v/>
      </c>
      <c r="N6380" s="94">
        <f>M6380-M6380*VLOOKUP($Q6380,매칭테이블!$F:$I,3,0)</f>
        <v/>
      </c>
      <c r="O6380" s="94">
        <f>VLOOKUP($Q6380,매칭테이블!$F:$I,4,0)*K6380</f>
        <v/>
      </c>
      <c r="P6380" s="148">
        <f>M6380/1.1</f>
        <v/>
      </c>
      <c r="Q6380" s="94">
        <f>F6380&amp;E6380&amp;G6380&amp;L6380</f>
        <v/>
      </c>
    </row>
    <row r="6381">
      <c r="A6381" s="94" t="n"/>
      <c r="B6381" s="128" t="n">
        <v>43975</v>
      </c>
      <c r="C6381" s="94">
        <f>TEXT(B6381,"aaa")</f>
        <v/>
      </c>
      <c r="D6381" s="94" t="n"/>
      <c r="E6381" s="94" t="inlineStr">
        <is>
          <t>클렌징폼</t>
        </is>
      </c>
      <c r="F6381" s="94" t="inlineStr">
        <is>
          <t>랄라블라</t>
        </is>
      </c>
      <c r="G6381" s="94" t="inlineStr">
        <is>
          <t>클렌징폼 120ml</t>
        </is>
      </c>
      <c r="H6381" s="7" t="n">
        <v>190801</v>
      </c>
      <c r="I6381" s="7" t="n">
        <v>190801</v>
      </c>
      <c r="J6381" s="94" t="n"/>
      <c r="K6381" s="6" t="n">
        <v>1</v>
      </c>
      <c r="L6381" s="7" t="n">
        <v>190801</v>
      </c>
      <c r="M6381" s="94">
        <f>VLOOKUP($Q6381,매칭테이블!$F:$I,2,0)*K6381</f>
        <v/>
      </c>
      <c r="N6381" s="94">
        <f>M6381-M6381*VLOOKUP($Q6381,매칭테이블!$F:$I,3,0)</f>
        <v/>
      </c>
      <c r="O6381" s="94">
        <f>VLOOKUP($Q6381,매칭테이블!$F:$I,4,0)*K6381</f>
        <v/>
      </c>
      <c r="P6381" s="148">
        <f>M6381/1.1</f>
        <v/>
      </c>
      <c r="Q6381" s="94">
        <f>F6381&amp;E6381&amp;G6381&amp;L6381</f>
        <v/>
      </c>
    </row>
    <row r="6382">
      <c r="A6382" s="94" t="n"/>
      <c r="B6382" s="128" t="n">
        <v>43975</v>
      </c>
      <c r="C6382" s="94">
        <f>TEXT(B6382,"aaa")</f>
        <v/>
      </c>
      <c r="D6382" s="94" t="n"/>
      <c r="E6382" s="94" t="inlineStr">
        <is>
          <t>토너 증정기획</t>
        </is>
      </c>
      <c r="F6382" s="94" t="inlineStr">
        <is>
          <t>랄라블라</t>
        </is>
      </c>
      <c r="G6382" s="94" t="inlineStr">
        <is>
          <t>토너 증정기획</t>
        </is>
      </c>
      <c r="H6382" s="7" t="n">
        <v>190801</v>
      </c>
      <c r="I6382" s="7" t="n">
        <v>190801</v>
      </c>
      <c r="J6382" s="94" t="n"/>
      <c r="K6382" s="6" t="n">
        <v>1273</v>
      </c>
      <c r="L6382" s="7" t="n">
        <v>190801</v>
      </c>
      <c r="M6382" s="94">
        <f>VLOOKUP($Q6382,매칭테이블!$F:$I,2,0)*K6382</f>
        <v/>
      </c>
      <c r="N6382" s="94">
        <f>M6382-M6382*VLOOKUP($Q6382,매칭테이블!$F:$I,3,0)</f>
        <v/>
      </c>
      <c r="O6382" s="94">
        <f>VLOOKUP($Q6382,매칭테이블!$F:$I,4,0)*K6382</f>
        <v/>
      </c>
      <c r="P6382" s="148">
        <f>M6382/1.1</f>
        <v/>
      </c>
      <c r="Q6382" s="94">
        <f>F6382&amp;E6382&amp;G6382&amp;L6382</f>
        <v/>
      </c>
    </row>
    <row r="6383">
      <c r="A6383" s="94" t="n"/>
      <c r="B6383" s="128" t="n">
        <v>43975</v>
      </c>
      <c r="C6383" s="94">
        <f>TEXT(B6383,"aaa")</f>
        <v/>
      </c>
      <c r="D6383" s="94" t="n"/>
      <c r="E6383" s="94" t="inlineStr">
        <is>
          <t>선크림</t>
        </is>
      </c>
      <c r="F6383" s="94" t="inlineStr">
        <is>
          <t>랄라블라</t>
        </is>
      </c>
      <c r="G6383" s="94" t="inlineStr">
        <is>
          <t>선크림 50ml</t>
        </is>
      </c>
      <c r="H6383" s="7" t="n">
        <v>190801</v>
      </c>
      <c r="I6383" s="7" t="n">
        <v>190801</v>
      </c>
      <c r="J6383" s="94" t="n"/>
      <c r="K6383" s="6" t="n">
        <v>19</v>
      </c>
      <c r="L6383" s="94" t="n">
        <v>190801</v>
      </c>
      <c r="M6383" s="94">
        <f>VLOOKUP($Q6383,매칭테이블!$F:$I,2,0)*K6383</f>
        <v/>
      </c>
      <c r="N6383" s="94">
        <f>M6383-M6383*VLOOKUP($Q6383,매칭테이블!$F:$I,3,0)</f>
        <v/>
      </c>
      <c r="O6383" s="94">
        <f>VLOOKUP($Q6383,매칭테이블!$F:$I,4,0)*K6383</f>
        <v/>
      </c>
      <c r="P6383" s="148">
        <f>M6383/1.1</f>
        <v/>
      </c>
      <c r="Q6383" s="94">
        <f>F6383&amp;E6383&amp;G6383&amp;L6383</f>
        <v/>
      </c>
    </row>
    <row r="6384">
      <c r="A6384" s="94" t="n"/>
      <c r="B6384" s="128" t="n">
        <v>43976</v>
      </c>
      <c r="C6384" s="94">
        <f>TEXT(B6384,"aaa")</f>
        <v/>
      </c>
      <c r="D6384" s="94" t="n"/>
      <c r="E6384" s="6" t="inlineStr">
        <is>
          <t>토너</t>
        </is>
      </c>
      <c r="F6384" s="5" t="inlineStr">
        <is>
          <t>W컨셉</t>
        </is>
      </c>
      <c r="G6384" s="5" t="inlineStr">
        <is>
          <t>250ml</t>
        </is>
      </c>
      <c r="H6384" s="7" t="n">
        <v>190801</v>
      </c>
      <c r="I6384" s="7" t="n">
        <v>190801</v>
      </c>
      <c r="J6384" s="94" t="n"/>
      <c r="K6384" s="6" t="n">
        <v>2</v>
      </c>
      <c r="L6384" s="7" t="n">
        <v>190801</v>
      </c>
      <c r="M6384" s="94">
        <f>VLOOKUP($Q6384,매칭테이블!$F:$I,2,0)*K6384</f>
        <v/>
      </c>
      <c r="N6384" s="94">
        <f>M6384-M6384*VLOOKUP($Q6384,매칭테이블!$F:$I,3,0)</f>
        <v/>
      </c>
      <c r="O6384" s="94">
        <f>VLOOKUP($Q6384,매칭테이블!$F:$I,4,0)*K6384</f>
        <v/>
      </c>
      <c r="P6384" s="148">
        <f>M6384/1.1</f>
        <v/>
      </c>
      <c r="Q6384" s="94">
        <f>F6384&amp;E6384&amp;G6384&amp;L6384</f>
        <v/>
      </c>
    </row>
    <row r="6385">
      <c r="A6385" s="94" t="n"/>
      <c r="B6385" s="128" t="n">
        <v>43976</v>
      </c>
      <c r="C6385" s="94">
        <f>TEXT(B6385,"aaa")</f>
        <v/>
      </c>
      <c r="D6385" s="94" t="n"/>
      <c r="E6385" s="6" t="inlineStr">
        <is>
          <t>토너</t>
        </is>
      </c>
      <c r="F6385" s="5" t="inlineStr">
        <is>
          <t>W컨셉</t>
        </is>
      </c>
      <c r="G6385" s="5" t="inlineStr">
        <is>
          <t>250ml 2set</t>
        </is>
      </c>
      <c r="H6385" s="7" t="n">
        <v>190801</v>
      </c>
      <c r="I6385" s="7" t="n">
        <v>190801</v>
      </c>
      <c r="J6385" s="94" t="n"/>
      <c r="K6385" s="6" t="n">
        <v>9</v>
      </c>
      <c r="L6385" s="7" t="n">
        <v>190801</v>
      </c>
      <c r="M6385" s="94">
        <f>VLOOKUP($Q6385,매칭테이블!$F:$I,2,0)*K6385</f>
        <v/>
      </c>
      <c r="N6385" s="94">
        <f>M6385-M6385*VLOOKUP($Q6385,매칭테이블!$F:$I,3,0)</f>
        <v/>
      </c>
      <c r="O6385" s="94">
        <f>VLOOKUP($Q6385,매칭테이블!$F:$I,4,0)*K6385</f>
        <v/>
      </c>
      <c r="P6385" s="148">
        <f>M6385/1.1</f>
        <v/>
      </c>
      <c r="Q6385" s="94">
        <f>F6385&amp;E6385&amp;G6385&amp;L6385</f>
        <v/>
      </c>
    </row>
    <row r="6386">
      <c r="A6386" s="94" t="n"/>
      <c r="B6386" s="128" t="n">
        <v>43976</v>
      </c>
      <c r="C6386" s="94">
        <f>TEXT(B6386,"aaa")</f>
        <v/>
      </c>
      <c r="D6386" s="94" t="n"/>
      <c r="E6386" s="94" t="inlineStr">
        <is>
          <t>토너</t>
        </is>
      </c>
      <c r="F6386" s="5" t="inlineStr">
        <is>
          <t>스타일쉐어</t>
        </is>
      </c>
      <c r="G6386" s="94" t="inlineStr">
        <is>
          <t>250ml</t>
        </is>
      </c>
      <c r="H6386" s="7" t="n">
        <v>190801</v>
      </c>
      <c r="I6386" s="7" t="n">
        <v>190801</v>
      </c>
      <c r="J6386" s="94" t="n"/>
      <c r="K6386" s="6" t="n">
        <v>4</v>
      </c>
      <c r="L6386" s="7" t="n">
        <v>190801</v>
      </c>
      <c r="M6386" s="94">
        <f>VLOOKUP($Q6386,매칭테이블!$F:$I,2,0)*K6386</f>
        <v/>
      </c>
      <c r="N6386" s="94">
        <f>M6386-M6386*VLOOKUP($Q6386,매칭테이블!$F:$I,3,0)</f>
        <v/>
      </c>
      <c r="O6386" s="94">
        <f>VLOOKUP($Q6386,매칭테이블!$F:$I,4,0)*K6386</f>
        <v/>
      </c>
      <c r="P6386" s="148">
        <f>M6386/1.1</f>
        <v/>
      </c>
      <c r="Q6386" s="94">
        <f>F6386&amp;E6386&amp;G6386&amp;L6386</f>
        <v/>
      </c>
    </row>
    <row r="6387">
      <c r="A6387" s="94" t="n"/>
      <c r="B6387" s="128" t="n">
        <v>43976</v>
      </c>
      <c r="C6387" s="94">
        <f>TEXT(B6387,"aaa")</f>
        <v/>
      </c>
      <c r="D6387" s="94" t="n"/>
      <c r="E6387" s="94" t="inlineStr">
        <is>
          <t>선크림</t>
        </is>
      </c>
      <c r="F6387" s="94" t="inlineStr">
        <is>
          <t>카페24</t>
        </is>
      </c>
      <c r="G6387" s="94" t="inlineStr">
        <is>
          <t>선크림 50ml</t>
        </is>
      </c>
      <c r="H6387" s="7" t="n">
        <v>190801</v>
      </c>
      <c r="I6387" s="7" t="n">
        <v>190801</v>
      </c>
      <c r="J6387" s="94" t="n"/>
      <c r="K6387" s="6" t="n">
        <v>58</v>
      </c>
      <c r="L6387" s="7" t="n">
        <v>190801</v>
      </c>
      <c r="M6387" s="94">
        <f>VLOOKUP($Q6387,매칭테이블!$F:$I,2,0)*K6387</f>
        <v/>
      </c>
      <c r="N6387" s="94">
        <f>M6387-M6387*VLOOKUP($Q6387,매칭테이블!$F:$I,3,0)</f>
        <v/>
      </c>
      <c r="O6387" s="94">
        <f>VLOOKUP($Q6387,매칭테이블!$F:$I,4,0)*K6387</f>
        <v/>
      </c>
      <c r="P6387" s="148">
        <f>M6387/1.1</f>
        <v/>
      </c>
      <c r="Q6387" s="94">
        <f>F6387&amp;E6387&amp;G6387&amp;L6387</f>
        <v/>
      </c>
    </row>
    <row r="6388">
      <c r="A6388" s="94" t="n"/>
      <c r="B6388" s="128" t="n">
        <v>43976</v>
      </c>
      <c r="C6388" s="94">
        <f>TEXT(B6388,"aaa")</f>
        <v/>
      </c>
      <c r="D6388" s="94" t="n"/>
      <c r="E6388" s="94" t="inlineStr">
        <is>
          <t>어성초진정패키지</t>
        </is>
      </c>
      <c r="F6388" s="94" t="inlineStr">
        <is>
          <t>카페24</t>
        </is>
      </c>
      <c r="G6388" s="94" t="inlineStr">
        <is>
          <t>어성초 진정패키지세트</t>
        </is>
      </c>
      <c r="H6388" s="7" t="n">
        <v>190801</v>
      </c>
      <c r="I6388" s="7" t="n">
        <v>190801</v>
      </c>
      <c r="J6388" s="94" t="n"/>
      <c r="K6388" s="6" t="n">
        <v>6</v>
      </c>
      <c r="L6388" s="94" t="n">
        <v>190801</v>
      </c>
      <c r="M6388" s="94">
        <f>VLOOKUP($Q6388,매칭테이블!$F:$I,2,0)*K6388</f>
        <v/>
      </c>
      <c r="N6388" s="94">
        <f>M6388-M6388*VLOOKUP($Q6388,매칭테이블!$F:$I,3,0)</f>
        <v/>
      </c>
      <c r="O6388" s="94">
        <f>VLOOKUP($Q6388,매칭테이블!$F:$I,4,0)*K6388</f>
        <v/>
      </c>
      <c r="P6388" s="148">
        <f>M6388/1.1</f>
        <v/>
      </c>
      <c r="Q6388" s="94">
        <f>F6388&amp;E6388&amp;G6388&amp;L6388</f>
        <v/>
      </c>
    </row>
    <row r="6389">
      <c r="A6389" s="94" t="n"/>
      <c r="B6389" s="128" t="n">
        <v>43976</v>
      </c>
      <c r="C6389" s="94">
        <f>TEXT(B6389,"aaa")</f>
        <v/>
      </c>
      <c r="D6389" s="94" t="n"/>
      <c r="E6389" s="94" t="inlineStr">
        <is>
          <t>머드크림마스크</t>
        </is>
      </c>
      <c r="F6389" s="94" t="inlineStr">
        <is>
          <t>카페24</t>
        </is>
      </c>
      <c r="G6389" s="94" t="inlineStr">
        <is>
          <t>머드크림마스크 100ml</t>
        </is>
      </c>
      <c r="H6389" s="7" t="n">
        <v>190801</v>
      </c>
      <c r="I6389" s="7" t="n">
        <v>190801</v>
      </c>
      <c r="J6389" s="94" t="n"/>
      <c r="K6389" s="6" t="n">
        <v>3</v>
      </c>
      <c r="L6389" s="94" t="n">
        <v>190801</v>
      </c>
      <c r="M6389" s="94">
        <f>VLOOKUP($Q6389,매칭테이블!$F:$I,2,0)*K6389</f>
        <v/>
      </c>
      <c r="N6389" s="94">
        <f>M6389-M6389*VLOOKUP($Q6389,매칭테이블!$F:$I,3,0)</f>
        <v/>
      </c>
      <c r="O6389" s="94">
        <f>VLOOKUP($Q6389,매칭테이블!$F:$I,4,0)*K6389</f>
        <v/>
      </c>
      <c r="P6389" s="148">
        <f>M6389/1.1</f>
        <v/>
      </c>
      <c r="Q6389" s="94">
        <f>F6389&amp;E6389&amp;G6389&amp;L6389</f>
        <v/>
      </c>
    </row>
    <row r="6390">
      <c r="A6390" s="94" t="n"/>
      <c r="B6390" s="128" t="n">
        <v>43976</v>
      </c>
      <c r="C6390" s="94">
        <f>TEXT(B6390,"aaa")</f>
        <v/>
      </c>
      <c r="D6390" s="94" t="n"/>
      <c r="E6390" s="94" t="inlineStr">
        <is>
          <t>머드크림마스크</t>
        </is>
      </c>
      <c r="F6390" s="94" t="inlineStr">
        <is>
          <t>카페24</t>
        </is>
      </c>
      <c r="G6390" s="94" t="inlineStr">
        <is>
          <t>머드크림마스크 100ml 2set</t>
        </is>
      </c>
      <c r="H6390" s="7" t="n">
        <v>190801</v>
      </c>
      <c r="I6390" s="7" t="n">
        <v>190801</v>
      </c>
      <c r="J6390" s="94" t="n"/>
      <c r="K6390" s="6" t="n">
        <v>2</v>
      </c>
      <c r="L6390" s="94" t="n">
        <v>190801</v>
      </c>
      <c r="M6390" s="94">
        <f>VLOOKUP($Q6390,매칭테이블!$F:$I,2,0)*K6390</f>
        <v/>
      </c>
      <c r="N6390" s="94">
        <f>M6390-M6390*VLOOKUP($Q6390,매칭테이블!$F:$I,3,0)</f>
        <v/>
      </c>
      <c r="O6390" s="94">
        <f>VLOOKUP($Q6390,매칭테이블!$F:$I,4,0)*K6390</f>
        <v/>
      </c>
      <c r="P6390" s="148">
        <f>M6390/1.1</f>
        <v/>
      </c>
      <c r="Q6390" s="94">
        <f>F6390&amp;E6390&amp;G6390&amp;L6390</f>
        <v/>
      </c>
    </row>
    <row r="6391">
      <c r="A6391" s="94" t="n"/>
      <c r="B6391" s="128" t="n">
        <v>43976</v>
      </c>
      <c r="C6391" s="94">
        <f>TEXT(B6391,"aaa")</f>
        <v/>
      </c>
      <c r="D6391" s="94" t="n"/>
      <c r="E6391" s="94" t="inlineStr">
        <is>
          <t>마스크팩</t>
        </is>
      </c>
      <c r="F6391" s="94" t="inlineStr">
        <is>
          <t>카페24</t>
        </is>
      </c>
      <c r="G6391" s="94" t="inlineStr">
        <is>
          <t>마스크팩 1매</t>
        </is>
      </c>
      <c r="H6391" s="7" t="n">
        <v>190801</v>
      </c>
      <c r="I6391" s="7" t="n">
        <v>190801</v>
      </c>
      <c r="J6391" s="94" t="n"/>
      <c r="K6391" s="6" t="n">
        <v>14</v>
      </c>
      <c r="L6391" s="94" t="n">
        <v>190801</v>
      </c>
      <c r="M6391" s="94">
        <f>VLOOKUP($Q6391,매칭테이블!$F:$I,2,0)*K6391</f>
        <v/>
      </c>
      <c r="N6391" s="94">
        <f>M6391-M6391*VLOOKUP($Q6391,매칭테이블!$F:$I,3,0)</f>
        <v/>
      </c>
      <c r="O6391" s="94">
        <f>VLOOKUP($Q6391,매칭테이블!$F:$I,4,0)*K6391</f>
        <v/>
      </c>
      <c r="P6391" s="148">
        <f>M6391/1.1</f>
        <v/>
      </c>
      <c r="Q6391" s="94">
        <f>F6391&amp;E6391&amp;G6391&amp;L6391</f>
        <v/>
      </c>
    </row>
    <row r="6392">
      <c r="A6392" s="94" t="n"/>
      <c r="B6392" s="128" t="n">
        <v>43976</v>
      </c>
      <c r="C6392" s="94">
        <f>TEXT(B6392,"aaa")</f>
        <v/>
      </c>
      <c r="D6392" s="94" t="n"/>
      <c r="E6392" s="94" t="inlineStr">
        <is>
          <t>마스크팩</t>
        </is>
      </c>
      <c r="F6392" s="94" t="inlineStr">
        <is>
          <t>카페24</t>
        </is>
      </c>
      <c r="G6392" s="94" t="inlineStr">
        <is>
          <t>마스크팩 10매</t>
        </is>
      </c>
      <c r="H6392" s="7" t="n">
        <v>190801</v>
      </c>
      <c r="I6392" s="7" t="n">
        <v>190801</v>
      </c>
      <c r="J6392" s="94" t="n"/>
      <c r="K6392" s="6" t="n">
        <v>6</v>
      </c>
      <c r="L6392" s="94" t="n">
        <v>190801</v>
      </c>
      <c r="M6392" s="94">
        <f>VLOOKUP($Q6392,매칭테이블!$F:$I,2,0)*K6392</f>
        <v/>
      </c>
      <c r="N6392" s="94">
        <f>M6392-M6392*VLOOKUP($Q6392,매칭테이블!$F:$I,3,0)</f>
        <v/>
      </c>
      <c r="O6392" s="94">
        <f>VLOOKUP($Q6392,매칭테이블!$F:$I,4,0)*K6392</f>
        <v/>
      </c>
      <c r="P6392" s="148">
        <f>M6392/1.1</f>
        <v/>
      </c>
      <c r="Q6392" s="94">
        <f>F6392&amp;E6392&amp;G6392&amp;L6392</f>
        <v/>
      </c>
    </row>
    <row r="6393">
      <c r="A6393" s="94" t="n"/>
      <c r="B6393" s="128" t="n">
        <v>43976</v>
      </c>
      <c r="C6393" s="94">
        <f>TEXT(B6393,"aaa")</f>
        <v/>
      </c>
      <c r="D6393" s="94" t="n"/>
      <c r="E6393" s="6" t="inlineStr">
        <is>
          <t>토너</t>
        </is>
      </c>
      <c r="F6393" s="5" t="inlineStr">
        <is>
          <t>카페24</t>
        </is>
      </c>
      <c r="G6393" s="5" t="inlineStr">
        <is>
          <t>250ml</t>
        </is>
      </c>
      <c r="H6393" s="7" t="n">
        <v>190801</v>
      </c>
      <c r="I6393" s="7" t="n">
        <v>190801</v>
      </c>
      <c r="J6393" s="94" t="n"/>
      <c r="K6393" s="6" t="n">
        <v>81</v>
      </c>
      <c r="L6393" s="7" t="n">
        <v>190801</v>
      </c>
      <c r="M6393" s="94">
        <f>VLOOKUP($Q6393,매칭테이블!$F:$I,2,0)*K6393</f>
        <v/>
      </c>
      <c r="N6393" s="94">
        <f>M6393-M6393*VLOOKUP($Q6393,매칭테이블!$F:$I,3,0)</f>
        <v/>
      </c>
      <c r="O6393" s="94">
        <f>VLOOKUP($Q6393,매칭테이블!$F:$I,4,0)*K6393</f>
        <v/>
      </c>
      <c r="P6393" s="148">
        <f>M6393/1.1</f>
        <v/>
      </c>
      <c r="Q6393" s="94">
        <f>F6393&amp;E6393&amp;G6393&amp;L6393</f>
        <v/>
      </c>
    </row>
    <row r="6394">
      <c r="A6394" s="94" t="n"/>
      <c r="B6394" s="128" t="n">
        <v>43976</v>
      </c>
      <c r="C6394" s="94">
        <f>TEXT(B6394,"aaa")</f>
        <v/>
      </c>
      <c r="D6394" s="94" t="n"/>
      <c r="E6394" s="6" t="inlineStr">
        <is>
          <t>토너</t>
        </is>
      </c>
      <c r="F6394" s="5" t="inlineStr">
        <is>
          <t>카페24</t>
        </is>
      </c>
      <c r="G6394" s="5" t="inlineStr">
        <is>
          <t>250ml 2set</t>
        </is>
      </c>
      <c r="H6394" s="7" t="n">
        <v>190801</v>
      </c>
      <c r="I6394" s="7" t="n">
        <v>190801</v>
      </c>
      <c r="J6394" s="94" t="n"/>
      <c r="K6394" s="6" t="n">
        <v>56</v>
      </c>
      <c r="L6394" s="7" t="n">
        <v>190801</v>
      </c>
      <c r="M6394" s="94">
        <f>VLOOKUP($Q6394,매칭테이블!$F:$I,2,0)*K6394</f>
        <v/>
      </c>
      <c r="N6394" s="94">
        <f>M6394-M6394*VLOOKUP($Q6394,매칭테이블!$F:$I,3,0)</f>
        <v/>
      </c>
      <c r="O6394" s="94">
        <f>VLOOKUP($Q6394,매칭테이블!$F:$I,4,0)*K6394</f>
        <v/>
      </c>
      <c r="P6394" s="148">
        <f>M6394/1.1</f>
        <v/>
      </c>
      <c r="Q6394" s="94">
        <f>F6394&amp;E6394&amp;G6394&amp;L6394</f>
        <v/>
      </c>
    </row>
    <row r="6395">
      <c r="A6395" s="94" t="n"/>
      <c r="B6395" s="128" t="n">
        <v>43976</v>
      </c>
      <c r="C6395" s="94">
        <f>TEXT(B6395,"aaa")</f>
        <v/>
      </c>
      <c r="D6395" s="94" t="n"/>
      <c r="E6395" s="6" t="inlineStr">
        <is>
          <t>토너</t>
        </is>
      </c>
      <c r="F6395" s="5" t="inlineStr">
        <is>
          <t>카페24</t>
        </is>
      </c>
      <c r="G6395" s="5" t="inlineStr">
        <is>
          <t>500ml</t>
        </is>
      </c>
      <c r="H6395" s="7" t="n">
        <v>190801</v>
      </c>
      <c r="I6395" s="7" t="n">
        <v>190801</v>
      </c>
      <c r="J6395" s="94" t="n"/>
      <c r="K6395" s="6" t="n">
        <v>81</v>
      </c>
      <c r="L6395" s="7" t="n">
        <v>190801</v>
      </c>
      <c r="M6395" s="94">
        <f>VLOOKUP($Q6395,매칭테이블!$F:$I,2,0)*K6395</f>
        <v/>
      </c>
      <c r="N6395" s="94">
        <f>M6395-M6395*VLOOKUP($Q6395,매칭테이블!$F:$I,3,0)</f>
        <v/>
      </c>
      <c r="O6395" s="94">
        <f>VLOOKUP($Q6395,매칭테이블!$F:$I,4,0)*K6395</f>
        <v/>
      </c>
      <c r="P6395" s="148">
        <f>M6395/1.1</f>
        <v/>
      </c>
      <c r="Q6395" s="94">
        <f>F6395&amp;E6395&amp;G6395&amp;L6395</f>
        <v/>
      </c>
    </row>
    <row r="6396">
      <c r="A6396" s="94" t="n"/>
      <c r="B6396" s="128" t="n">
        <v>43976</v>
      </c>
      <c r="C6396" s="94">
        <f>TEXT(B6396,"aaa")</f>
        <v/>
      </c>
      <c r="D6396" s="94" t="n"/>
      <c r="E6396" s="6" t="inlineStr">
        <is>
          <t>토너</t>
        </is>
      </c>
      <c r="F6396" s="5" t="inlineStr">
        <is>
          <t>카페24</t>
        </is>
      </c>
      <c r="G6396" s="94" t="inlineStr">
        <is>
          <t>스킨팩 화장솜 60P</t>
        </is>
      </c>
      <c r="H6396" s="7" t="n">
        <v>190801</v>
      </c>
      <c r="I6396" s="7" t="n">
        <v>190801</v>
      </c>
      <c r="J6396" s="94" t="n"/>
      <c r="K6396" s="6" t="n">
        <v>70</v>
      </c>
      <c r="L6396" s="7" t="n">
        <v>190801</v>
      </c>
      <c r="M6396" s="94">
        <f>VLOOKUP($Q6396,매칭테이블!$F:$I,2,0)*K6396</f>
        <v/>
      </c>
      <c r="N6396" s="94">
        <f>M6396-M6396*VLOOKUP($Q6396,매칭테이블!$F:$I,3,0)</f>
        <v/>
      </c>
      <c r="O6396" s="94">
        <f>VLOOKUP($Q6396,매칭테이블!$F:$I,4,0)*K6396</f>
        <v/>
      </c>
      <c r="P6396" s="148">
        <f>M6396/1.1</f>
        <v/>
      </c>
      <c r="Q6396" s="94">
        <f>F6396&amp;E6396&amp;G6396&amp;L6396</f>
        <v/>
      </c>
    </row>
    <row r="6397">
      <c r="A6397" s="94" t="n"/>
      <c r="B6397" s="128" t="n">
        <v>43976</v>
      </c>
      <c r="C6397" s="94">
        <f>TEXT(B6397,"aaa")</f>
        <v/>
      </c>
      <c r="D6397" s="94" t="n"/>
      <c r="E6397" s="94" t="inlineStr">
        <is>
          <t>앰플</t>
        </is>
      </c>
      <c r="F6397" s="5" t="inlineStr">
        <is>
          <t>카페24</t>
        </is>
      </c>
      <c r="G6397" s="94" t="inlineStr">
        <is>
          <t>앰플 30ml</t>
        </is>
      </c>
      <c r="H6397" s="7" t="n">
        <v>190801</v>
      </c>
      <c r="I6397" s="7" t="n">
        <v>190801</v>
      </c>
      <c r="J6397" s="94" t="n"/>
      <c r="K6397" s="6" t="n">
        <v>20</v>
      </c>
      <c r="L6397" s="94" t="n">
        <v>190801</v>
      </c>
      <c r="M6397" s="94">
        <f>VLOOKUP($Q6397,매칭테이블!$F:$I,2,0)*K6397</f>
        <v/>
      </c>
      <c r="N6397" s="94">
        <f>M6397-M6397*VLOOKUP($Q6397,매칭테이블!$F:$I,3,0)</f>
        <v/>
      </c>
      <c r="O6397" s="94">
        <f>VLOOKUP($Q6397,매칭테이블!$F:$I,4,0)*K6397</f>
        <v/>
      </c>
      <c r="P6397" s="148">
        <f>M6397/1.1</f>
        <v/>
      </c>
      <c r="Q6397" s="94">
        <f>F6397&amp;E6397&amp;G6397&amp;L6397</f>
        <v/>
      </c>
    </row>
    <row r="6398">
      <c r="A6398" s="94" t="n"/>
      <c r="B6398" s="128" t="n">
        <v>43976</v>
      </c>
      <c r="C6398" s="94">
        <f>TEXT(B6398,"aaa")</f>
        <v/>
      </c>
      <c r="D6398" s="94" t="n"/>
      <c r="E6398" s="94" t="inlineStr">
        <is>
          <t>수딩크림</t>
        </is>
      </c>
      <c r="F6398" s="5" t="inlineStr">
        <is>
          <t>카페24</t>
        </is>
      </c>
      <c r="G6398" s="94" t="inlineStr">
        <is>
          <t>수딩크림 100ml</t>
        </is>
      </c>
      <c r="H6398" s="7" t="n">
        <v>190801</v>
      </c>
      <c r="I6398" s="7" t="n">
        <v>190801</v>
      </c>
      <c r="J6398" s="94" t="n"/>
      <c r="K6398" s="6" t="n">
        <v>8</v>
      </c>
      <c r="L6398" s="94" t="n">
        <v>190801</v>
      </c>
      <c r="M6398" s="94">
        <f>VLOOKUP($Q6398,매칭테이블!$F:$I,2,0)*K6398</f>
        <v/>
      </c>
      <c r="N6398" s="94">
        <f>M6398-M6398*VLOOKUP($Q6398,매칭테이블!$F:$I,3,0)</f>
        <v/>
      </c>
      <c r="O6398" s="94">
        <f>VLOOKUP($Q6398,매칭테이블!$F:$I,4,0)*K6398</f>
        <v/>
      </c>
      <c r="P6398" s="148">
        <f>M6398/1.1</f>
        <v/>
      </c>
      <c r="Q6398" s="94">
        <f>F6398&amp;E6398&amp;G6398&amp;L6398</f>
        <v/>
      </c>
    </row>
    <row r="6399">
      <c r="A6399" s="94" t="n"/>
      <c r="B6399" s="128" t="n">
        <v>43976</v>
      </c>
      <c r="C6399" s="94">
        <f>TEXT(B6399,"aaa")</f>
        <v/>
      </c>
      <c r="D6399" s="94" t="n"/>
      <c r="E6399" s="94" t="inlineStr">
        <is>
          <t>클렌징폼</t>
        </is>
      </c>
      <c r="F6399" s="94" t="inlineStr">
        <is>
          <t>카페24</t>
        </is>
      </c>
      <c r="G6399" s="94" t="inlineStr">
        <is>
          <t>클렌징폼 120ml</t>
        </is>
      </c>
      <c r="H6399" s="7" t="n">
        <v>190801</v>
      </c>
      <c r="I6399" s="7" t="n">
        <v>190801</v>
      </c>
      <c r="J6399" s="94" t="n"/>
      <c r="K6399" s="6" t="n">
        <v>21</v>
      </c>
      <c r="L6399" s="92" t="n">
        <v>190801</v>
      </c>
      <c r="M6399" s="94">
        <f>VLOOKUP($Q6399,매칭테이블!$F:$I,2,0)*K6399</f>
        <v/>
      </c>
      <c r="N6399" s="94">
        <f>M6399-M6399*VLOOKUP($Q6399,매칭테이블!$F:$I,3,0)</f>
        <v/>
      </c>
      <c r="O6399" s="94">
        <f>VLOOKUP($Q6399,매칭테이블!$F:$I,4,0)*K6399</f>
        <v/>
      </c>
      <c r="P6399" s="148">
        <f>M6399/1.1</f>
        <v/>
      </c>
      <c r="Q6399" s="94">
        <f>F6399&amp;E6399&amp;G6399&amp;L6399</f>
        <v/>
      </c>
    </row>
    <row r="6400">
      <c r="A6400" s="94" t="n"/>
      <c r="B6400" s="128" t="n">
        <v>43976</v>
      </c>
      <c r="C6400" s="94">
        <f>TEXT(B6400,"aaa")</f>
        <v/>
      </c>
      <c r="D6400" s="94" t="n"/>
      <c r="E6400" s="94" t="inlineStr">
        <is>
          <t>클렌징폼</t>
        </is>
      </c>
      <c r="F6400" s="94" t="inlineStr">
        <is>
          <t>카페24</t>
        </is>
      </c>
      <c r="G6400" s="94" t="inlineStr">
        <is>
          <t>클렌징폼 120ml 2set</t>
        </is>
      </c>
      <c r="H6400" s="7" t="n">
        <v>190801</v>
      </c>
      <c r="I6400" s="7" t="n">
        <v>190801</v>
      </c>
      <c r="J6400" s="94" t="n"/>
      <c r="K6400" s="6" t="n">
        <v>4</v>
      </c>
      <c r="L6400" s="92" t="n">
        <v>190801</v>
      </c>
      <c r="M6400" s="94">
        <f>VLOOKUP($Q6400,매칭테이블!$F:$I,2,0)*K6400</f>
        <v/>
      </c>
      <c r="N6400" s="94">
        <f>M6400-M6400*VLOOKUP($Q6400,매칭테이블!$F:$I,3,0)</f>
        <v/>
      </c>
      <c r="O6400" s="94">
        <f>VLOOKUP($Q6400,매칭테이블!$F:$I,4,0)*K6400</f>
        <v/>
      </c>
      <c r="P6400" s="148">
        <f>M6400/1.1</f>
        <v/>
      </c>
      <c r="Q6400" s="94">
        <f>F6400&amp;E6400&amp;G6400&amp;L6400</f>
        <v/>
      </c>
    </row>
    <row r="6401">
      <c r="A6401" s="94" t="n"/>
      <c r="B6401" s="128" t="n">
        <v>43976</v>
      </c>
      <c r="C6401" s="94">
        <f>TEXT(B6401,"aaa")</f>
        <v/>
      </c>
      <c r="D6401" s="94" t="n"/>
      <c r="E6401" s="94" t="inlineStr">
        <is>
          <t>클렌징폼</t>
        </is>
      </c>
      <c r="F6401" s="94" t="inlineStr">
        <is>
          <t>카페24</t>
        </is>
      </c>
      <c r="G6401" s="94" t="inlineStr">
        <is>
          <t>클렌징폼 120ml 3set</t>
        </is>
      </c>
      <c r="H6401" s="7" t="n">
        <v>190801</v>
      </c>
      <c r="I6401" s="7" t="n">
        <v>190801</v>
      </c>
      <c r="J6401" s="94" t="n"/>
      <c r="K6401" s="6" t="n">
        <v>2</v>
      </c>
      <c r="L6401" s="92" t="n">
        <v>190801</v>
      </c>
      <c r="M6401" s="94">
        <f>VLOOKUP($Q6401,매칭테이블!$F:$I,2,0)*K6401</f>
        <v/>
      </c>
      <c r="N6401" s="94">
        <f>M6401-M6401*VLOOKUP($Q6401,매칭테이블!$F:$I,3,0)</f>
        <v/>
      </c>
      <c r="O6401" s="94">
        <f>VLOOKUP($Q6401,매칭테이블!$F:$I,4,0)*K6401</f>
        <v/>
      </c>
      <c r="P6401" s="148">
        <f>M6401/1.1</f>
        <v/>
      </c>
      <c r="Q6401" s="94">
        <f>F6401&amp;E6401&amp;G6401&amp;L6401</f>
        <v/>
      </c>
    </row>
    <row r="6402">
      <c r="A6402" s="94" t="n"/>
      <c r="B6402" s="128" t="n">
        <v>43976</v>
      </c>
      <c r="C6402" s="94">
        <f>TEXT(B6402,"aaa")</f>
        <v/>
      </c>
      <c r="D6402" s="94" t="n"/>
      <c r="E6402" s="6" t="inlineStr">
        <is>
          <t>토너</t>
        </is>
      </c>
      <c r="F6402" s="5" t="inlineStr">
        <is>
          <t>큐텐</t>
        </is>
      </c>
      <c r="G6402" s="5" t="inlineStr">
        <is>
          <t>250ml</t>
        </is>
      </c>
      <c r="H6402" s="7" t="n">
        <v>190801</v>
      </c>
      <c r="I6402" s="7" t="n">
        <v>190801</v>
      </c>
      <c r="J6402" s="94" t="n"/>
      <c r="K6402" s="6" t="n">
        <v>35</v>
      </c>
      <c r="L6402" s="92" t="n">
        <v>190801</v>
      </c>
      <c r="M6402" s="94">
        <f>VLOOKUP($Q6402,매칭테이블!$F:$I,2,0)*K6402</f>
        <v/>
      </c>
      <c r="N6402" s="94">
        <f>M6402-M6402*VLOOKUP($Q6402,매칭테이블!$F:$I,3,0)</f>
        <v/>
      </c>
      <c r="O6402" s="94">
        <f>VLOOKUP($Q6402,매칭테이블!$F:$I,4,0)*K6402</f>
        <v/>
      </c>
      <c r="P6402" s="148">
        <f>M6402/1.1</f>
        <v/>
      </c>
      <c r="Q6402" s="94">
        <f>F6402&amp;E6402&amp;G6402&amp;L6402</f>
        <v/>
      </c>
    </row>
    <row r="6403">
      <c r="A6403" s="94" t="n"/>
      <c r="B6403" s="128" t="n">
        <v>43976</v>
      </c>
      <c r="C6403" s="94">
        <f>TEXT(B6403,"aaa")</f>
        <v/>
      </c>
      <c r="D6403" s="94" t="n"/>
      <c r="E6403" s="6" t="inlineStr">
        <is>
          <t>토너</t>
        </is>
      </c>
      <c r="F6403" s="5" t="inlineStr">
        <is>
          <t>큐텐</t>
        </is>
      </c>
      <c r="G6403" s="5" t="inlineStr">
        <is>
          <t>250ml 2set</t>
        </is>
      </c>
      <c r="H6403" s="7" t="n">
        <v>190801</v>
      </c>
      <c r="I6403" s="7" t="n">
        <v>190801</v>
      </c>
      <c r="J6403" s="94" t="n"/>
      <c r="K6403" s="6" t="n">
        <v>42</v>
      </c>
      <c r="L6403" s="92" t="n">
        <v>190801</v>
      </c>
      <c r="M6403" s="94">
        <f>VLOOKUP($Q6403,매칭테이블!$F:$I,2,0)*K6403</f>
        <v/>
      </c>
      <c r="N6403" s="94">
        <f>M6403-M6403*VLOOKUP($Q6403,매칭테이블!$F:$I,3,0)</f>
        <v/>
      </c>
      <c r="O6403" s="94">
        <f>VLOOKUP($Q6403,매칭테이블!$F:$I,4,0)*K6403</f>
        <v/>
      </c>
      <c r="P6403" s="148">
        <f>M6403/1.1</f>
        <v/>
      </c>
      <c r="Q6403" s="94">
        <f>F6403&amp;E6403&amp;G6403&amp;L6403</f>
        <v/>
      </c>
    </row>
    <row r="6404">
      <c r="A6404" s="94" t="n"/>
      <c r="B6404" s="128" t="n">
        <v>43976</v>
      </c>
      <c r="C6404" s="94">
        <f>TEXT(B6404,"aaa")</f>
        <v/>
      </c>
      <c r="D6404" s="94" t="n"/>
      <c r="E6404" s="94" t="inlineStr">
        <is>
          <t>앰플</t>
        </is>
      </c>
      <c r="F6404" s="5" t="inlineStr">
        <is>
          <t>큐텐</t>
        </is>
      </c>
      <c r="G6404" s="94" t="inlineStr">
        <is>
          <t>앰플 30ml</t>
        </is>
      </c>
      <c r="H6404" s="7" t="n">
        <v>190801</v>
      </c>
      <c r="I6404" s="7" t="n">
        <v>190801</v>
      </c>
      <c r="J6404" s="94" t="n"/>
      <c r="K6404" s="6" t="n">
        <v>9</v>
      </c>
      <c r="L6404" s="94" t="n">
        <v>190801</v>
      </c>
      <c r="M6404" s="94">
        <f>VLOOKUP($Q6404,매칭테이블!$F:$I,2,0)*K6404</f>
        <v/>
      </c>
      <c r="N6404" s="94">
        <f>M6404-M6404*VLOOKUP($Q6404,매칭테이블!$F:$I,3,0)</f>
        <v/>
      </c>
      <c r="O6404" s="94">
        <f>VLOOKUP($Q6404,매칭테이블!$F:$I,4,0)*K6404</f>
        <v/>
      </c>
      <c r="P6404" s="148">
        <f>M6404/1.1</f>
        <v/>
      </c>
      <c r="Q6404" s="94">
        <f>F6404&amp;E6404&amp;G6404&amp;L6404</f>
        <v/>
      </c>
    </row>
    <row r="6405">
      <c r="A6405" s="94" t="n"/>
      <c r="B6405" s="128" t="n">
        <v>43976</v>
      </c>
      <c r="C6405" s="94">
        <f>TEXT(B6405,"aaa")</f>
        <v/>
      </c>
      <c r="D6405" s="94" t="n"/>
      <c r="E6405" s="94" t="inlineStr">
        <is>
          <t>머드크림마스크</t>
        </is>
      </c>
      <c r="F6405" s="5" t="inlineStr">
        <is>
          <t>큐텐</t>
        </is>
      </c>
      <c r="G6405" s="94" t="inlineStr">
        <is>
          <t>머드크림마스크 100ml</t>
        </is>
      </c>
      <c r="H6405" s="7" t="n">
        <v>190801</v>
      </c>
      <c r="I6405" s="7" t="n">
        <v>190801</v>
      </c>
      <c r="J6405" s="94" t="n"/>
      <c r="K6405" s="6" t="n">
        <v>2</v>
      </c>
      <c r="L6405" s="94" t="n">
        <v>190801</v>
      </c>
      <c r="M6405" s="94">
        <f>VLOOKUP($Q6405,매칭테이블!$F:$I,2,0)*K6405</f>
        <v/>
      </c>
      <c r="N6405" s="94">
        <f>M6405-M6405*VLOOKUP($Q6405,매칭테이블!$F:$I,3,0)</f>
        <v/>
      </c>
      <c r="O6405" s="94">
        <f>VLOOKUP($Q6405,매칭테이블!$F:$I,4,0)*K6405</f>
        <v/>
      </c>
      <c r="P6405" s="148">
        <f>M6405/1.1</f>
        <v/>
      </c>
      <c r="Q6405" s="94">
        <f>F6405&amp;E6405&amp;G6405&amp;L6405</f>
        <v/>
      </c>
    </row>
    <row r="6406">
      <c r="A6406" s="94" t="n"/>
      <c r="B6406" s="128" t="n">
        <v>43977</v>
      </c>
      <c r="C6406" s="94">
        <f>TEXT(B6406,"aaa")</f>
        <v/>
      </c>
      <c r="D6406" s="94" t="n"/>
      <c r="E6406" s="6" t="inlineStr">
        <is>
          <t>토너</t>
        </is>
      </c>
      <c r="F6406" s="5" t="inlineStr">
        <is>
          <t>W컨셉</t>
        </is>
      </c>
      <c r="G6406" s="5" t="inlineStr">
        <is>
          <t>250ml 2set</t>
        </is>
      </c>
      <c r="H6406" s="7" t="n">
        <v>190801</v>
      </c>
      <c r="I6406" s="7" t="n">
        <v>190801</v>
      </c>
      <c r="J6406" s="94" t="n"/>
      <c r="K6406" s="6" t="n">
        <v>5</v>
      </c>
      <c r="L6406" s="7" t="n">
        <v>190801</v>
      </c>
      <c r="M6406" s="94">
        <f>VLOOKUP($Q6406,매칭테이블!$F:$I,2,0)*K6406</f>
        <v/>
      </c>
      <c r="N6406" s="94">
        <f>M6406-M6406*VLOOKUP($Q6406,매칭테이블!$F:$I,3,0)</f>
        <v/>
      </c>
      <c r="O6406" s="94">
        <f>VLOOKUP($Q6406,매칭테이블!$F:$I,4,0)*K6406</f>
        <v/>
      </c>
      <c r="P6406" s="148">
        <f>M6406/1.1</f>
        <v/>
      </c>
      <c r="Q6406" s="94">
        <f>F6406&amp;E6406&amp;G6406&amp;L6406</f>
        <v/>
      </c>
    </row>
    <row r="6407">
      <c r="A6407" s="94" t="n"/>
      <c r="B6407" s="128" t="n">
        <v>43977</v>
      </c>
      <c r="C6407" s="94">
        <f>TEXT(B6407,"aaa")</f>
        <v/>
      </c>
      <c r="D6407" s="94" t="n"/>
      <c r="E6407" s="94" t="inlineStr">
        <is>
          <t>토너</t>
        </is>
      </c>
      <c r="F6407" s="5" t="inlineStr">
        <is>
          <t>스타일쉐어</t>
        </is>
      </c>
      <c r="G6407" s="94" t="inlineStr">
        <is>
          <t>250ml</t>
        </is>
      </c>
      <c r="H6407" s="7" t="n">
        <v>190801</v>
      </c>
      <c r="I6407" s="7" t="n">
        <v>190801</v>
      </c>
      <c r="J6407" s="94" t="n"/>
      <c r="K6407" s="6" t="n">
        <v>1</v>
      </c>
      <c r="L6407" s="7" t="n">
        <v>190801</v>
      </c>
      <c r="M6407" s="94">
        <f>VLOOKUP($Q6407,매칭테이블!$F:$I,2,0)*K6407</f>
        <v/>
      </c>
      <c r="N6407" s="94">
        <f>M6407-M6407*VLOOKUP($Q6407,매칭테이블!$F:$I,3,0)</f>
        <v/>
      </c>
      <c r="O6407" s="94">
        <f>VLOOKUP($Q6407,매칭테이블!$F:$I,4,0)*K6407</f>
        <v/>
      </c>
      <c r="P6407" s="148">
        <f>M6407/1.1</f>
        <v/>
      </c>
      <c r="Q6407" s="94">
        <f>F6407&amp;E6407&amp;G6407&amp;L6407</f>
        <v/>
      </c>
    </row>
    <row r="6408">
      <c r="A6408" s="94" t="n"/>
      <c r="B6408" s="128" t="n">
        <v>43977</v>
      </c>
      <c r="C6408" s="94">
        <f>TEXT(B6408,"aaa")</f>
        <v/>
      </c>
      <c r="D6408" s="94" t="n"/>
      <c r="E6408" s="94" t="inlineStr">
        <is>
          <t>토너</t>
        </is>
      </c>
      <c r="F6408" s="94" t="inlineStr">
        <is>
          <t>글로우데이즈 시코르</t>
        </is>
      </c>
      <c r="G6408" s="94" t="inlineStr">
        <is>
          <t>250ml</t>
        </is>
      </c>
      <c r="H6408" s="7" t="n">
        <v>190801</v>
      </c>
      <c r="I6408" s="7" t="n">
        <v>190801</v>
      </c>
      <c r="J6408" s="94" t="n"/>
      <c r="K6408" s="6" t="n">
        <v>200</v>
      </c>
      <c r="L6408" s="7" t="n">
        <v>190801</v>
      </c>
      <c r="M6408" s="94">
        <f>VLOOKUP($Q6408,매칭테이블!$F:$I,2,0)*K6408</f>
        <v/>
      </c>
      <c r="N6408" s="94">
        <f>M6408-M6408*VLOOKUP($Q6408,매칭테이블!$F:$I,3,0)</f>
        <v/>
      </c>
      <c r="O6408" s="94">
        <f>VLOOKUP($Q6408,매칭테이블!$F:$I,4,0)*K6408</f>
        <v/>
      </c>
      <c r="P6408" s="148">
        <f>M6408/1.1</f>
        <v/>
      </c>
      <c r="Q6408" s="94">
        <f>F6408&amp;E6408&amp;G6408&amp;L6408</f>
        <v/>
      </c>
    </row>
    <row r="6409">
      <c r="A6409" s="94" t="n"/>
      <c r="B6409" s="128" t="n">
        <v>43977</v>
      </c>
      <c r="C6409" s="94">
        <f>TEXT(B6409,"aaa")</f>
        <v/>
      </c>
      <c r="D6409" s="94" t="n"/>
      <c r="E6409" s="94" t="inlineStr">
        <is>
          <t>마스크팩</t>
        </is>
      </c>
      <c r="F6409" s="94" t="inlineStr">
        <is>
          <t>글로우데이즈 시코르</t>
        </is>
      </c>
      <c r="G6409" s="94" t="inlineStr">
        <is>
          <t>마스크팩 1매</t>
        </is>
      </c>
      <c r="H6409" s="7" t="n">
        <v>190801</v>
      </c>
      <c r="I6409" s="7" t="n">
        <v>190801</v>
      </c>
      <c r="J6409" s="94" t="n"/>
      <c r="K6409" s="6" t="n">
        <v>10</v>
      </c>
      <c r="L6409" s="94" t="n">
        <v>190801</v>
      </c>
      <c r="M6409" s="94">
        <f>VLOOKUP($Q6409,매칭테이블!$F:$I,2,0)*K6409</f>
        <v/>
      </c>
      <c r="N6409" s="94">
        <f>M6409-M6409*VLOOKUP($Q6409,매칭테이블!$F:$I,3,0)</f>
        <v/>
      </c>
      <c r="O6409" s="94">
        <f>VLOOKUP($Q6409,매칭테이블!$F:$I,4,0)*K6409</f>
        <v/>
      </c>
      <c r="P6409" s="148">
        <f>M6409/1.1</f>
        <v/>
      </c>
      <c r="Q6409" s="94">
        <f>F6409&amp;E6409&amp;G6409&amp;L6409</f>
        <v/>
      </c>
    </row>
    <row r="6410">
      <c r="A6410" s="94" t="n"/>
      <c r="B6410" s="128" t="n">
        <v>43977</v>
      </c>
      <c r="C6410" s="94">
        <f>TEXT(B6410,"aaa")</f>
        <v/>
      </c>
      <c r="D6410" s="94" t="n"/>
      <c r="E6410" s="94" t="inlineStr">
        <is>
          <t>클렌징폼</t>
        </is>
      </c>
      <c r="F6410" s="94" t="inlineStr">
        <is>
          <t>글로우데이즈 시코르</t>
        </is>
      </c>
      <c r="G6410" s="94" t="inlineStr">
        <is>
          <t>클렌징폼 120ml</t>
        </is>
      </c>
      <c r="H6410" s="7" t="n">
        <v>190801</v>
      </c>
      <c r="I6410" s="7" t="n">
        <v>190801</v>
      </c>
      <c r="J6410" s="94" t="n"/>
      <c r="K6410" s="6" t="n">
        <v>10</v>
      </c>
      <c r="L6410" s="92" t="n">
        <v>190801</v>
      </c>
      <c r="M6410" s="94">
        <f>VLOOKUP($Q6410,매칭테이블!$F:$I,2,0)*K6410</f>
        <v/>
      </c>
      <c r="N6410" s="94">
        <f>M6410-M6410*VLOOKUP($Q6410,매칭테이블!$F:$I,3,0)</f>
        <v/>
      </c>
      <c r="O6410" s="94">
        <f>VLOOKUP($Q6410,매칭테이블!$F:$I,4,0)*K6410</f>
        <v/>
      </c>
      <c r="P6410" s="148">
        <f>M6410/1.1</f>
        <v/>
      </c>
      <c r="Q6410" s="94">
        <f>F6410&amp;E6410&amp;G6410&amp;L6410</f>
        <v/>
      </c>
    </row>
    <row r="6411">
      <c r="A6411" s="94" t="n"/>
      <c r="B6411" s="128" t="n">
        <v>43977</v>
      </c>
      <c r="C6411" s="94">
        <f>TEXT(B6411,"aaa")</f>
        <v/>
      </c>
      <c r="D6411" s="94" t="n"/>
      <c r="E6411" s="94" t="inlineStr">
        <is>
          <t>선크림</t>
        </is>
      </c>
      <c r="F6411" s="94" t="inlineStr">
        <is>
          <t>카페24</t>
        </is>
      </c>
      <c r="G6411" s="94" t="inlineStr">
        <is>
          <t>선크림 50ml</t>
        </is>
      </c>
      <c r="H6411" s="7" t="n">
        <v>190801</v>
      </c>
      <c r="I6411" s="7" t="n">
        <v>190801</v>
      </c>
      <c r="J6411" s="94" t="n"/>
      <c r="K6411" s="6" t="n">
        <v>13</v>
      </c>
      <c r="L6411" s="7" t="n">
        <v>190801</v>
      </c>
      <c r="M6411" s="94">
        <f>VLOOKUP($Q6411,매칭테이블!$F:$I,2,0)*K6411</f>
        <v/>
      </c>
      <c r="N6411" s="94">
        <f>M6411-M6411*VLOOKUP($Q6411,매칭테이블!$F:$I,3,0)</f>
        <v/>
      </c>
      <c r="O6411" s="94">
        <f>VLOOKUP($Q6411,매칭테이블!$F:$I,4,0)*K6411</f>
        <v/>
      </c>
      <c r="P6411" s="148">
        <f>M6411/1.1</f>
        <v/>
      </c>
      <c r="Q6411" s="94">
        <f>F6411&amp;E6411&amp;G6411&amp;L6411</f>
        <v/>
      </c>
    </row>
    <row r="6412">
      <c r="A6412" s="94" t="n"/>
      <c r="B6412" s="128" t="n">
        <v>43977</v>
      </c>
      <c r="C6412" s="94">
        <f>TEXT(B6412,"aaa")</f>
        <v/>
      </c>
      <c r="D6412" s="94" t="n"/>
      <c r="E6412" s="94" t="inlineStr">
        <is>
          <t>어성초진정패키지</t>
        </is>
      </c>
      <c r="F6412" s="94" t="inlineStr">
        <is>
          <t>카페24</t>
        </is>
      </c>
      <c r="G6412" s="94" t="inlineStr">
        <is>
          <t>어성초 진정패키지세트</t>
        </is>
      </c>
      <c r="H6412" s="7" t="n">
        <v>190801</v>
      </c>
      <c r="I6412" s="7" t="n">
        <v>190801</v>
      </c>
      <c r="J6412" s="94" t="n"/>
      <c r="K6412" s="6" t="n">
        <v>8</v>
      </c>
      <c r="L6412" s="94" t="n">
        <v>190801</v>
      </c>
      <c r="M6412" s="94">
        <f>VLOOKUP($Q6412,매칭테이블!$F:$I,2,0)*K6412</f>
        <v/>
      </c>
      <c r="N6412" s="94">
        <f>M6412-M6412*VLOOKUP($Q6412,매칭테이블!$F:$I,3,0)</f>
        <v/>
      </c>
      <c r="O6412" s="94">
        <f>VLOOKUP($Q6412,매칭테이블!$F:$I,4,0)*K6412</f>
        <v/>
      </c>
      <c r="P6412" s="148">
        <f>M6412/1.1</f>
        <v/>
      </c>
      <c r="Q6412" s="94">
        <f>F6412&amp;E6412&amp;G6412&amp;L6412</f>
        <v/>
      </c>
    </row>
    <row r="6413">
      <c r="A6413" s="94" t="n"/>
      <c r="B6413" s="128" t="n">
        <v>43977</v>
      </c>
      <c r="C6413" s="94">
        <f>TEXT(B6413,"aaa")</f>
        <v/>
      </c>
      <c r="D6413" s="94" t="n"/>
      <c r="E6413" s="94" t="inlineStr">
        <is>
          <t>머드크림마스크</t>
        </is>
      </c>
      <c r="F6413" s="94" t="inlineStr">
        <is>
          <t>카페24</t>
        </is>
      </c>
      <c r="G6413" s="94" t="inlineStr">
        <is>
          <t>머드크림마스크 100ml</t>
        </is>
      </c>
      <c r="H6413" s="7" t="n">
        <v>190801</v>
      </c>
      <c r="I6413" s="7" t="n">
        <v>190801</v>
      </c>
      <c r="J6413" s="94" t="n"/>
      <c r="K6413" s="6" t="n">
        <v>4</v>
      </c>
      <c r="L6413" s="94" t="n">
        <v>190801</v>
      </c>
      <c r="M6413" s="94">
        <f>VLOOKUP($Q6413,매칭테이블!$F:$I,2,0)*K6413</f>
        <v/>
      </c>
      <c r="N6413" s="94">
        <f>M6413-M6413*VLOOKUP($Q6413,매칭테이블!$F:$I,3,0)</f>
        <v/>
      </c>
      <c r="O6413" s="94">
        <f>VLOOKUP($Q6413,매칭테이블!$F:$I,4,0)*K6413</f>
        <v/>
      </c>
      <c r="P6413" s="148">
        <f>M6413/1.1</f>
        <v/>
      </c>
      <c r="Q6413" s="94">
        <f>F6413&amp;E6413&amp;G6413&amp;L6413</f>
        <v/>
      </c>
    </row>
    <row r="6414">
      <c r="A6414" s="94" t="n"/>
      <c r="B6414" s="128" t="n">
        <v>43977</v>
      </c>
      <c r="C6414" s="94">
        <f>TEXT(B6414,"aaa")</f>
        <v/>
      </c>
      <c r="D6414" s="94" t="n"/>
      <c r="E6414" s="94" t="inlineStr">
        <is>
          <t>머드크림마스크</t>
        </is>
      </c>
      <c r="F6414" s="94" t="inlineStr">
        <is>
          <t>카페24</t>
        </is>
      </c>
      <c r="G6414" s="94" t="inlineStr">
        <is>
          <t>머드크림마스크 100ml 2set</t>
        </is>
      </c>
      <c r="H6414" s="7" t="n">
        <v>190801</v>
      </c>
      <c r="I6414" s="7" t="n">
        <v>190801</v>
      </c>
      <c r="J6414" s="94" t="n"/>
      <c r="K6414" s="6" t="n">
        <v>1</v>
      </c>
      <c r="L6414" s="94" t="n">
        <v>190801</v>
      </c>
      <c r="M6414" s="94">
        <f>VLOOKUP($Q6414,매칭테이블!$F:$I,2,0)*K6414</f>
        <v/>
      </c>
      <c r="N6414" s="94">
        <f>M6414-M6414*VLOOKUP($Q6414,매칭테이블!$F:$I,3,0)</f>
        <v/>
      </c>
      <c r="O6414" s="94">
        <f>VLOOKUP($Q6414,매칭테이블!$F:$I,4,0)*K6414</f>
        <v/>
      </c>
      <c r="P6414" s="148">
        <f>M6414/1.1</f>
        <v/>
      </c>
      <c r="Q6414" s="94">
        <f>F6414&amp;E6414&amp;G6414&amp;L6414</f>
        <v/>
      </c>
    </row>
    <row r="6415">
      <c r="A6415" s="94" t="n"/>
      <c r="B6415" s="128" t="n">
        <v>43977</v>
      </c>
      <c r="C6415" s="94">
        <f>TEXT(B6415,"aaa")</f>
        <v/>
      </c>
      <c r="D6415" s="94" t="n"/>
      <c r="E6415" s="94" t="inlineStr">
        <is>
          <t>마스크팩</t>
        </is>
      </c>
      <c r="F6415" s="94" t="inlineStr">
        <is>
          <t>카페24</t>
        </is>
      </c>
      <c r="G6415" s="94" t="inlineStr">
        <is>
          <t>마스크팩 1매</t>
        </is>
      </c>
      <c r="H6415" s="7" t="n">
        <v>190801</v>
      </c>
      <c r="I6415" s="7" t="n">
        <v>190801</v>
      </c>
      <c r="J6415" s="94" t="n"/>
      <c r="K6415" s="6" t="n">
        <v>2</v>
      </c>
      <c r="L6415" s="94" t="n">
        <v>190801</v>
      </c>
      <c r="M6415" s="94">
        <f>VLOOKUP($Q6415,매칭테이블!$F:$I,2,0)*K6415</f>
        <v/>
      </c>
      <c r="N6415" s="94">
        <f>M6415-M6415*VLOOKUP($Q6415,매칭테이블!$F:$I,3,0)</f>
        <v/>
      </c>
      <c r="O6415" s="94">
        <f>VLOOKUP($Q6415,매칭테이블!$F:$I,4,0)*K6415</f>
        <v/>
      </c>
      <c r="P6415" s="148">
        <f>M6415/1.1</f>
        <v/>
      </c>
      <c r="Q6415" s="94">
        <f>F6415&amp;E6415&amp;G6415&amp;L6415</f>
        <v/>
      </c>
    </row>
    <row r="6416">
      <c r="A6416" s="94" t="n"/>
      <c r="B6416" s="128" t="n">
        <v>43977</v>
      </c>
      <c r="C6416" s="94">
        <f>TEXT(B6416,"aaa")</f>
        <v/>
      </c>
      <c r="D6416" s="94" t="n"/>
      <c r="E6416" s="94" t="inlineStr">
        <is>
          <t>마스크팩</t>
        </is>
      </c>
      <c r="F6416" s="94" t="inlineStr">
        <is>
          <t>카페24</t>
        </is>
      </c>
      <c r="G6416" s="94" t="inlineStr">
        <is>
          <t>마스크팩 10매</t>
        </is>
      </c>
      <c r="H6416" s="7" t="n">
        <v>190801</v>
      </c>
      <c r="I6416" s="7" t="n">
        <v>190801</v>
      </c>
      <c r="J6416" s="94" t="n"/>
      <c r="K6416" s="6" t="n">
        <v>3</v>
      </c>
      <c r="L6416" s="94" t="n">
        <v>190801</v>
      </c>
      <c r="M6416" s="94">
        <f>VLOOKUP($Q6416,매칭테이블!$F:$I,2,0)*K6416</f>
        <v/>
      </c>
      <c r="N6416" s="94">
        <f>M6416-M6416*VLOOKUP($Q6416,매칭테이블!$F:$I,3,0)</f>
        <v/>
      </c>
      <c r="O6416" s="94">
        <f>VLOOKUP($Q6416,매칭테이블!$F:$I,4,0)*K6416</f>
        <v/>
      </c>
      <c r="P6416" s="148">
        <f>M6416/1.1</f>
        <v/>
      </c>
      <c r="Q6416" s="94">
        <f>F6416&amp;E6416&amp;G6416&amp;L6416</f>
        <v/>
      </c>
    </row>
    <row r="6417">
      <c r="A6417" s="94" t="n"/>
      <c r="B6417" s="128" t="n">
        <v>43977</v>
      </c>
      <c r="C6417" s="94">
        <f>TEXT(B6417,"aaa")</f>
        <v/>
      </c>
      <c r="D6417" s="94" t="n"/>
      <c r="E6417" s="6" t="inlineStr">
        <is>
          <t>토너</t>
        </is>
      </c>
      <c r="F6417" s="5" t="inlineStr">
        <is>
          <t>카페24</t>
        </is>
      </c>
      <c r="G6417" s="5" t="inlineStr">
        <is>
          <t>250ml</t>
        </is>
      </c>
      <c r="H6417" s="7" t="n">
        <v>190801</v>
      </c>
      <c r="I6417" s="7" t="n">
        <v>190801</v>
      </c>
      <c r="J6417" s="94" t="n"/>
      <c r="K6417" s="6" t="n">
        <v>72</v>
      </c>
      <c r="L6417" s="7" t="n">
        <v>190801</v>
      </c>
      <c r="M6417" s="94">
        <f>VLOOKUP($Q6417,매칭테이블!$F:$I,2,0)*K6417</f>
        <v/>
      </c>
      <c r="N6417" s="94">
        <f>M6417-M6417*VLOOKUP($Q6417,매칭테이블!$F:$I,3,0)</f>
        <v/>
      </c>
      <c r="O6417" s="94">
        <f>VLOOKUP($Q6417,매칭테이블!$F:$I,4,0)*K6417</f>
        <v/>
      </c>
      <c r="P6417" s="148">
        <f>M6417/1.1</f>
        <v/>
      </c>
      <c r="Q6417" s="94">
        <f>F6417&amp;E6417&amp;G6417&amp;L6417</f>
        <v/>
      </c>
    </row>
    <row r="6418">
      <c r="A6418" s="94" t="n"/>
      <c r="B6418" s="128" t="n">
        <v>43977</v>
      </c>
      <c r="C6418" s="94">
        <f>TEXT(B6418,"aaa")</f>
        <v/>
      </c>
      <c r="D6418" s="94" t="n"/>
      <c r="E6418" s="6" t="inlineStr">
        <is>
          <t>토너</t>
        </is>
      </c>
      <c r="F6418" s="5" t="inlineStr">
        <is>
          <t>카페24</t>
        </is>
      </c>
      <c r="G6418" s="5" t="inlineStr">
        <is>
          <t>250ml 2set</t>
        </is>
      </c>
      <c r="H6418" s="7" t="n">
        <v>190801</v>
      </c>
      <c r="I6418" s="7" t="n">
        <v>190801</v>
      </c>
      <c r="J6418" s="94" t="n"/>
      <c r="K6418" s="6" t="n">
        <v>60</v>
      </c>
      <c r="L6418" s="7" t="n">
        <v>190801</v>
      </c>
      <c r="M6418" s="94">
        <f>VLOOKUP($Q6418,매칭테이블!$F:$I,2,0)*K6418</f>
        <v/>
      </c>
      <c r="N6418" s="94">
        <f>M6418-M6418*VLOOKUP($Q6418,매칭테이블!$F:$I,3,0)</f>
        <v/>
      </c>
      <c r="O6418" s="94">
        <f>VLOOKUP($Q6418,매칭테이블!$F:$I,4,0)*K6418</f>
        <v/>
      </c>
      <c r="P6418" s="148">
        <f>M6418/1.1</f>
        <v/>
      </c>
      <c r="Q6418" s="94">
        <f>F6418&amp;E6418&amp;G6418&amp;L6418</f>
        <v/>
      </c>
    </row>
    <row r="6419">
      <c r="A6419" s="94" t="n"/>
      <c r="B6419" s="128" t="n">
        <v>43977</v>
      </c>
      <c r="C6419" s="94">
        <f>TEXT(B6419,"aaa")</f>
        <v/>
      </c>
      <c r="D6419" s="94" t="n"/>
      <c r="E6419" s="6" t="inlineStr">
        <is>
          <t>토너</t>
        </is>
      </c>
      <c r="F6419" s="5" t="inlineStr">
        <is>
          <t>카페24</t>
        </is>
      </c>
      <c r="G6419" s="5" t="inlineStr">
        <is>
          <t>500ml</t>
        </is>
      </c>
      <c r="H6419" s="7" t="n">
        <v>190801</v>
      </c>
      <c r="I6419" s="7" t="n">
        <v>190801</v>
      </c>
      <c r="J6419" s="94" t="n"/>
      <c r="K6419" s="6" t="n">
        <v>69</v>
      </c>
      <c r="L6419" s="7" t="n">
        <v>190801</v>
      </c>
      <c r="M6419" s="94">
        <f>VLOOKUP($Q6419,매칭테이블!$F:$I,2,0)*K6419</f>
        <v/>
      </c>
      <c r="N6419" s="94">
        <f>M6419-M6419*VLOOKUP($Q6419,매칭테이블!$F:$I,3,0)</f>
        <v/>
      </c>
      <c r="O6419" s="94">
        <f>VLOOKUP($Q6419,매칭테이블!$F:$I,4,0)*K6419</f>
        <v/>
      </c>
      <c r="P6419" s="148">
        <f>M6419/1.1</f>
        <v/>
      </c>
      <c r="Q6419" s="94">
        <f>F6419&amp;E6419&amp;G6419&amp;L6419</f>
        <v/>
      </c>
    </row>
    <row r="6420">
      <c r="A6420" s="94" t="n"/>
      <c r="B6420" s="128" t="n">
        <v>43977</v>
      </c>
      <c r="C6420" s="94">
        <f>TEXT(B6420,"aaa")</f>
        <v/>
      </c>
      <c r="D6420" s="94" t="n"/>
      <c r="E6420" s="6" t="inlineStr">
        <is>
          <t>토너</t>
        </is>
      </c>
      <c r="F6420" s="5" t="inlineStr">
        <is>
          <t>카페24</t>
        </is>
      </c>
      <c r="G6420" s="94" t="inlineStr">
        <is>
          <t>스킨팩 화장솜 60P</t>
        </is>
      </c>
      <c r="H6420" s="7" t="n">
        <v>190801</v>
      </c>
      <c r="I6420" s="7" t="n">
        <v>190801</v>
      </c>
      <c r="J6420" s="94" t="n"/>
      <c r="K6420" s="6" t="n">
        <v>65</v>
      </c>
      <c r="L6420" s="7" t="n">
        <v>190801</v>
      </c>
      <c r="M6420" s="94">
        <f>VLOOKUP($Q6420,매칭테이블!$F:$I,2,0)*K6420</f>
        <v/>
      </c>
      <c r="N6420" s="94">
        <f>M6420-M6420*VLOOKUP($Q6420,매칭테이블!$F:$I,3,0)</f>
        <v/>
      </c>
      <c r="O6420" s="94">
        <f>VLOOKUP($Q6420,매칭테이블!$F:$I,4,0)*K6420</f>
        <v/>
      </c>
      <c r="P6420" s="148">
        <f>M6420/1.1</f>
        <v/>
      </c>
      <c r="Q6420" s="94">
        <f>F6420&amp;E6420&amp;G6420&amp;L6420</f>
        <v/>
      </c>
    </row>
    <row r="6421">
      <c r="A6421" s="94" t="n"/>
      <c r="B6421" s="128" t="n">
        <v>43977</v>
      </c>
      <c r="C6421" s="94">
        <f>TEXT(B6421,"aaa")</f>
        <v/>
      </c>
      <c r="D6421" s="94" t="n"/>
      <c r="E6421" s="94" t="inlineStr">
        <is>
          <t>앰플</t>
        </is>
      </c>
      <c r="F6421" s="5" t="inlineStr">
        <is>
          <t>카페24</t>
        </is>
      </c>
      <c r="G6421" s="94" t="inlineStr">
        <is>
          <t>앰플 30ml</t>
        </is>
      </c>
      <c r="H6421" s="7" t="n">
        <v>190801</v>
      </c>
      <c r="I6421" s="7" t="n">
        <v>190801</v>
      </c>
      <c r="J6421" s="94" t="n"/>
      <c r="K6421" s="6" t="n">
        <v>20</v>
      </c>
      <c r="L6421" s="94" t="n">
        <v>190801</v>
      </c>
      <c r="M6421" s="94">
        <f>VLOOKUP($Q6421,매칭테이블!$F:$I,2,0)*K6421</f>
        <v/>
      </c>
      <c r="N6421" s="94">
        <f>M6421-M6421*VLOOKUP($Q6421,매칭테이블!$F:$I,3,0)</f>
        <v/>
      </c>
      <c r="O6421" s="94">
        <f>VLOOKUP($Q6421,매칭테이블!$F:$I,4,0)*K6421</f>
        <v/>
      </c>
      <c r="P6421" s="148">
        <f>M6421/1.1</f>
        <v/>
      </c>
      <c r="Q6421" s="94">
        <f>F6421&amp;E6421&amp;G6421&amp;L6421</f>
        <v/>
      </c>
    </row>
    <row r="6422">
      <c r="A6422" s="94" t="n"/>
      <c r="B6422" s="128" t="n">
        <v>43977</v>
      </c>
      <c r="C6422" s="94">
        <f>TEXT(B6422,"aaa")</f>
        <v/>
      </c>
      <c r="D6422" s="94" t="n"/>
      <c r="E6422" s="94" t="inlineStr">
        <is>
          <t>수딩크림</t>
        </is>
      </c>
      <c r="F6422" s="5" t="inlineStr">
        <is>
          <t>카페24</t>
        </is>
      </c>
      <c r="G6422" s="94" t="inlineStr">
        <is>
          <t>수딩크림 100ml</t>
        </is>
      </c>
      <c r="H6422" s="7" t="n">
        <v>190801</v>
      </c>
      <c r="I6422" s="7" t="n">
        <v>190801</v>
      </c>
      <c r="J6422" s="94" t="n"/>
      <c r="K6422" s="6" t="n">
        <v>5</v>
      </c>
      <c r="L6422" s="94" t="n">
        <v>190801</v>
      </c>
      <c r="M6422" s="94">
        <f>VLOOKUP($Q6422,매칭테이블!$F:$I,2,0)*K6422</f>
        <v/>
      </c>
      <c r="N6422" s="94">
        <f>M6422-M6422*VLOOKUP($Q6422,매칭테이블!$F:$I,3,0)</f>
        <v/>
      </c>
      <c r="O6422" s="94">
        <f>VLOOKUP($Q6422,매칭테이블!$F:$I,4,0)*K6422</f>
        <v/>
      </c>
      <c r="P6422" s="148">
        <f>M6422/1.1</f>
        <v/>
      </c>
      <c r="Q6422" s="94">
        <f>F6422&amp;E6422&amp;G6422&amp;L6422</f>
        <v/>
      </c>
    </row>
    <row r="6423">
      <c r="A6423" s="94" t="n"/>
      <c r="B6423" s="128" t="n">
        <v>43977</v>
      </c>
      <c r="C6423" s="94">
        <f>TEXT(B6423,"aaa")</f>
        <v/>
      </c>
      <c r="D6423" s="94" t="n"/>
      <c r="E6423" s="94" t="inlineStr">
        <is>
          <t>클렌징폼</t>
        </is>
      </c>
      <c r="F6423" s="94" t="inlineStr">
        <is>
          <t>카페24</t>
        </is>
      </c>
      <c r="G6423" s="94" t="inlineStr">
        <is>
          <t>클렌징폼 120ml</t>
        </is>
      </c>
      <c r="H6423" s="7" t="n">
        <v>190801</v>
      </c>
      <c r="I6423" s="7" t="n">
        <v>190801</v>
      </c>
      <c r="J6423" s="94" t="n"/>
      <c r="K6423" s="6" t="n">
        <v>11</v>
      </c>
      <c r="L6423" s="92" t="n">
        <v>190801</v>
      </c>
      <c r="M6423" s="94">
        <f>VLOOKUP($Q6423,매칭테이블!$F:$I,2,0)*K6423</f>
        <v/>
      </c>
      <c r="N6423" s="94">
        <f>M6423-M6423*VLOOKUP($Q6423,매칭테이블!$F:$I,3,0)</f>
        <v/>
      </c>
      <c r="O6423" s="94">
        <f>VLOOKUP($Q6423,매칭테이블!$F:$I,4,0)*K6423</f>
        <v/>
      </c>
      <c r="P6423" s="148">
        <f>M6423/1.1</f>
        <v/>
      </c>
      <c r="Q6423" s="94">
        <f>F6423&amp;E6423&amp;G6423&amp;L6423</f>
        <v/>
      </c>
    </row>
    <row r="6424">
      <c r="A6424" s="94" t="n"/>
      <c r="B6424" s="128" t="n">
        <v>43977</v>
      </c>
      <c r="C6424" s="94">
        <f>TEXT(B6424,"aaa")</f>
        <v/>
      </c>
      <c r="D6424" s="94" t="n"/>
      <c r="E6424" s="94" t="inlineStr">
        <is>
          <t>클렌징폼</t>
        </is>
      </c>
      <c r="F6424" s="94" t="inlineStr">
        <is>
          <t>카페24</t>
        </is>
      </c>
      <c r="G6424" s="94" t="inlineStr">
        <is>
          <t>클렌징폼 120ml 2set</t>
        </is>
      </c>
      <c r="H6424" s="7" t="n">
        <v>190801</v>
      </c>
      <c r="I6424" s="7" t="n">
        <v>190801</v>
      </c>
      <c r="J6424" s="94" t="n"/>
      <c r="K6424" s="6" t="n">
        <v>5</v>
      </c>
      <c r="L6424" s="92" t="n">
        <v>190801</v>
      </c>
      <c r="M6424" s="94">
        <f>VLOOKUP($Q6424,매칭테이블!$F:$I,2,0)*K6424</f>
        <v/>
      </c>
      <c r="N6424" s="94">
        <f>M6424-M6424*VLOOKUP($Q6424,매칭테이블!$F:$I,3,0)</f>
        <v/>
      </c>
      <c r="O6424" s="94">
        <f>VLOOKUP($Q6424,매칭테이블!$F:$I,4,0)*K6424</f>
        <v/>
      </c>
      <c r="P6424" s="148">
        <f>M6424/1.1</f>
        <v/>
      </c>
      <c r="Q6424" s="94">
        <f>F6424&amp;E6424&amp;G6424&amp;L6424</f>
        <v/>
      </c>
    </row>
    <row r="6425">
      <c r="A6425" s="94" t="n"/>
      <c r="B6425" s="128" t="n">
        <v>43977</v>
      </c>
      <c r="C6425" s="94">
        <f>TEXT(B6425,"aaa")</f>
        <v/>
      </c>
      <c r="D6425" s="94" t="n"/>
      <c r="E6425" s="94" t="inlineStr">
        <is>
          <t>클렌징폼</t>
        </is>
      </c>
      <c r="F6425" s="94" t="inlineStr">
        <is>
          <t>카페24</t>
        </is>
      </c>
      <c r="G6425" s="94" t="inlineStr">
        <is>
          <t>클렌징폼 120ml 3set</t>
        </is>
      </c>
      <c r="H6425" s="7" t="n">
        <v>190801</v>
      </c>
      <c r="I6425" s="7" t="n">
        <v>190801</v>
      </c>
      <c r="J6425" s="94" t="n"/>
      <c r="K6425" s="6" t="n">
        <v>1</v>
      </c>
      <c r="L6425" s="92" t="n">
        <v>190801</v>
      </c>
      <c r="M6425" s="94">
        <f>VLOOKUP($Q6425,매칭테이블!$F:$I,2,0)*K6425</f>
        <v/>
      </c>
      <c r="N6425" s="94">
        <f>M6425-M6425*VLOOKUP($Q6425,매칭테이블!$F:$I,3,0)</f>
        <v/>
      </c>
      <c r="O6425" s="94">
        <f>VLOOKUP($Q6425,매칭테이블!$F:$I,4,0)*K6425</f>
        <v/>
      </c>
      <c r="P6425" s="148">
        <f>M6425/1.1</f>
        <v/>
      </c>
      <c r="Q6425" s="94">
        <f>F6425&amp;E6425&amp;G6425&amp;L6425</f>
        <v/>
      </c>
    </row>
    <row r="6426">
      <c r="A6426" s="94" t="n"/>
      <c r="B6426" s="128" t="n">
        <v>43977</v>
      </c>
      <c r="C6426" s="94">
        <f>TEXT(B6426,"aaa")</f>
        <v/>
      </c>
      <c r="D6426" s="94" t="n"/>
      <c r="E6426" s="6" t="inlineStr">
        <is>
          <t>토너</t>
        </is>
      </c>
      <c r="F6426" s="5" t="inlineStr">
        <is>
          <t>큐텐</t>
        </is>
      </c>
      <c r="G6426" s="5" t="inlineStr">
        <is>
          <t>250ml</t>
        </is>
      </c>
      <c r="H6426" s="7" t="n">
        <v>190801</v>
      </c>
      <c r="I6426" s="7" t="n">
        <v>190801</v>
      </c>
      <c r="J6426" s="94" t="n"/>
      <c r="K6426" s="6" t="n">
        <v>8</v>
      </c>
      <c r="L6426" s="92" t="n">
        <v>190801</v>
      </c>
      <c r="M6426" s="94">
        <f>VLOOKUP($Q6426,매칭테이블!$F:$I,2,0)*K6426</f>
        <v/>
      </c>
      <c r="N6426" s="94">
        <f>M6426-M6426*VLOOKUP($Q6426,매칭테이블!$F:$I,3,0)</f>
        <v/>
      </c>
      <c r="O6426" s="94">
        <f>VLOOKUP($Q6426,매칭테이블!$F:$I,4,0)*K6426</f>
        <v/>
      </c>
      <c r="P6426" s="148">
        <f>M6426/1.1</f>
        <v/>
      </c>
      <c r="Q6426" s="94">
        <f>F6426&amp;E6426&amp;G6426&amp;L6426</f>
        <v/>
      </c>
    </row>
    <row r="6427">
      <c r="A6427" s="94" t="n"/>
      <c r="B6427" s="128" t="n">
        <v>43977</v>
      </c>
      <c r="C6427" s="94">
        <f>TEXT(B6427,"aaa")</f>
        <v/>
      </c>
      <c r="D6427" s="94" t="n"/>
      <c r="E6427" s="6" t="inlineStr">
        <is>
          <t>토너</t>
        </is>
      </c>
      <c r="F6427" s="5" t="inlineStr">
        <is>
          <t>큐텐</t>
        </is>
      </c>
      <c r="G6427" s="5" t="inlineStr">
        <is>
          <t>250ml 2set</t>
        </is>
      </c>
      <c r="H6427" s="7" t="n">
        <v>190801</v>
      </c>
      <c r="I6427" s="7" t="n">
        <v>190801</v>
      </c>
      <c r="J6427" s="94" t="n"/>
      <c r="K6427" s="6" t="n">
        <v>9</v>
      </c>
      <c r="L6427" s="92" t="n">
        <v>190801</v>
      </c>
      <c r="M6427" s="94">
        <f>VLOOKUP($Q6427,매칭테이블!$F:$I,2,0)*K6427</f>
        <v/>
      </c>
      <c r="N6427" s="94">
        <f>M6427-M6427*VLOOKUP($Q6427,매칭테이블!$F:$I,3,0)</f>
        <v/>
      </c>
      <c r="O6427" s="94">
        <f>VLOOKUP($Q6427,매칭테이블!$F:$I,4,0)*K6427</f>
        <v/>
      </c>
      <c r="P6427" s="148">
        <f>M6427/1.1</f>
        <v/>
      </c>
      <c r="Q6427" s="94">
        <f>F6427&amp;E6427&amp;G6427&amp;L6427</f>
        <v/>
      </c>
    </row>
    <row r="6428">
      <c r="A6428" s="94" t="n"/>
      <c r="B6428" s="128" t="n">
        <v>43977</v>
      </c>
      <c r="C6428" s="94">
        <f>TEXT(B6428,"aaa")</f>
        <v/>
      </c>
      <c r="D6428" s="94" t="n"/>
      <c r="E6428" s="94" t="inlineStr">
        <is>
          <t>앰플</t>
        </is>
      </c>
      <c r="F6428" s="5" t="inlineStr">
        <is>
          <t>큐텐</t>
        </is>
      </c>
      <c r="G6428" s="94" t="inlineStr">
        <is>
          <t>앰플 30ml</t>
        </is>
      </c>
      <c r="H6428" s="7" t="n">
        <v>190801</v>
      </c>
      <c r="I6428" s="7" t="n">
        <v>190801</v>
      </c>
      <c r="J6428" s="94" t="n"/>
      <c r="K6428" s="6" t="n">
        <v>2</v>
      </c>
      <c r="L6428" s="94" t="n">
        <v>190801</v>
      </c>
      <c r="M6428" s="94">
        <f>VLOOKUP($Q6428,매칭테이블!$F:$I,2,0)*K6428</f>
        <v/>
      </c>
      <c r="N6428" s="94">
        <f>M6428-M6428*VLOOKUP($Q6428,매칭테이블!$F:$I,3,0)</f>
        <v/>
      </c>
      <c r="O6428" s="94">
        <f>VLOOKUP($Q6428,매칭테이블!$F:$I,4,0)*K6428</f>
        <v/>
      </c>
      <c r="P6428" s="148">
        <f>M6428/1.1</f>
        <v/>
      </c>
      <c r="Q6428" s="94">
        <f>F6428&amp;E6428&amp;G6428&amp;L6428</f>
        <v/>
      </c>
    </row>
    <row r="6429">
      <c r="A6429" s="94" t="n"/>
      <c r="B6429" s="128" t="n">
        <v>43977</v>
      </c>
      <c r="C6429" s="94">
        <f>TEXT(B6429,"aaa")</f>
        <v/>
      </c>
      <c r="D6429" s="94" t="n"/>
      <c r="E6429" s="94" t="inlineStr">
        <is>
          <t>머드크림마스크</t>
        </is>
      </c>
      <c r="F6429" s="5" t="inlineStr">
        <is>
          <t>큐텐</t>
        </is>
      </c>
      <c r="G6429" s="94" t="inlineStr">
        <is>
          <t>머드크림마스크 100ml</t>
        </is>
      </c>
      <c r="H6429" s="7" t="n">
        <v>190801</v>
      </c>
      <c r="I6429" s="7" t="n">
        <v>190801</v>
      </c>
      <c r="J6429" s="94" t="n"/>
      <c r="K6429" s="6" t="n">
        <v>1</v>
      </c>
      <c r="L6429" s="94" t="n">
        <v>190801</v>
      </c>
      <c r="M6429" s="94">
        <f>VLOOKUP($Q6429,매칭테이블!$F:$I,2,0)*K6429</f>
        <v/>
      </c>
      <c r="N6429" s="94">
        <f>M6429-M6429*VLOOKUP($Q6429,매칭테이블!$F:$I,3,0)</f>
        <v/>
      </c>
      <c r="O6429" s="94">
        <f>VLOOKUP($Q6429,매칭테이블!$F:$I,4,0)*K6429</f>
        <v/>
      </c>
      <c r="P6429" s="148">
        <f>M6429/1.1</f>
        <v/>
      </c>
      <c r="Q6429" s="94">
        <f>F6429&amp;E6429&amp;G6429&amp;L6429</f>
        <v/>
      </c>
    </row>
    <row r="6430">
      <c r="A6430" s="94" t="n"/>
      <c r="B6430" s="128" t="n">
        <v>43977</v>
      </c>
      <c r="C6430" s="94">
        <f>TEXT(B6430,"aaa")</f>
        <v/>
      </c>
      <c r="D6430" s="94" t="n"/>
      <c r="E6430" s="94" t="inlineStr">
        <is>
          <t>클렌징폼</t>
        </is>
      </c>
      <c r="F6430" s="5" t="inlineStr">
        <is>
          <t>큐텐</t>
        </is>
      </c>
      <c r="G6430" s="94" t="inlineStr">
        <is>
          <t>클렌징폼 120ml</t>
        </is>
      </c>
      <c r="H6430" s="7" t="n">
        <v>190801</v>
      </c>
      <c r="I6430" s="7" t="n">
        <v>190801</v>
      </c>
      <c r="J6430" s="94" t="n"/>
      <c r="K6430" s="6" t="n">
        <v>1</v>
      </c>
      <c r="L6430" s="92" t="n">
        <v>190801</v>
      </c>
      <c r="M6430" s="94">
        <f>VLOOKUP($Q6430,매칭테이블!$F:$I,2,0)*K6430</f>
        <v/>
      </c>
      <c r="N6430" s="94">
        <f>M6430-M6430*VLOOKUP($Q6430,매칭테이블!$F:$I,3,0)</f>
        <v/>
      </c>
      <c r="O6430" s="94">
        <f>VLOOKUP($Q6430,매칭테이블!$F:$I,4,0)*K6430</f>
        <v/>
      </c>
      <c r="P6430" s="148">
        <f>M6430/1.1</f>
        <v/>
      </c>
      <c r="Q6430" s="94">
        <f>F6430&amp;E6430&amp;G6430&amp;L6430</f>
        <v/>
      </c>
    </row>
    <row r="6431">
      <c r="A6431" s="94" t="n"/>
      <c r="B6431" s="128" t="n">
        <v>43978</v>
      </c>
      <c r="C6431" s="94">
        <f>TEXT(B6431,"aaa")</f>
        <v/>
      </c>
      <c r="D6431" s="94" t="n"/>
      <c r="E6431" s="6" t="inlineStr">
        <is>
          <t>토너</t>
        </is>
      </c>
      <c r="F6431" s="5" t="inlineStr">
        <is>
          <t>W컨셉</t>
        </is>
      </c>
      <c r="G6431" s="5" t="inlineStr">
        <is>
          <t>250ml</t>
        </is>
      </c>
      <c r="H6431" s="7" t="n">
        <v>190801</v>
      </c>
      <c r="I6431" s="7" t="n">
        <v>190801</v>
      </c>
      <c r="J6431" s="94" t="n"/>
      <c r="K6431" s="6" t="n">
        <v>1</v>
      </c>
      <c r="L6431" s="7" t="n">
        <v>190801</v>
      </c>
      <c r="M6431" s="94">
        <f>VLOOKUP($Q6431,매칭테이블!$F:$I,2,0)*K6431</f>
        <v/>
      </c>
      <c r="N6431" s="94">
        <f>M6431-M6431*VLOOKUP($Q6431,매칭테이블!$F:$I,3,0)</f>
        <v/>
      </c>
      <c r="O6431" s="94">
        <f>VLOOKUP($Q6431,매칭테이블!$F:$I,4,0)*K6431</f>
        <v/>
      </c>
      <c r="P6431" s="148">
        <f>M6431/1.1</f>
        <v/>
      </c>
      <c r="Q6431" s="94">
        <f>F6431&amp;E6431&amp;G6431&amp;L6431</f>
        <v/>
      </c>
    </row>
    <row r="6432">
      <c r="A6432" s="94" t="n"/>
      <c r="B6432" s="128" t="n">
        <v>43978</v>
      </c>
      <c r="C6432" s="94">
        <f>TEXT(B6432,"aaa")</f>
        <v/>
      </c>
      <c r="D6432" s="94" t="n"/>
      <c r="E6432" s="6" t="inlineStr">
        <is>
          <t>토너</t>
        </is>
      </c>
      <c r="F6432" s="5" t="inlineStr">
        <is>
          <t>W컨셉</t>
        </is>
      </c>
      <c r="G6432" s="5" t="inlineStr">
        <is>
          <t>250ml 2set</t>
        </is>
      </c>
      <c r="H6432" s="7" t="n">
        <v>190801</v>
      </c>
      <c r="I6432" s="7" t="n">
        <v>190801</v>
      </c>
      <c r="J6432" s="94" t="n"/>
      <c r="K6432" s="6" t="n">
        <v>4</v>
      </c>
      <c r="L6432" s="7" t="n">
        <v>190801</v>
      </c>
      <c r="M6432" s="94">
        <f>VLOOKUP($Q6432,매칭테이블!$F:$I,2,0)*K6432</f>
        <v/>
      </c>
      <c r="N6432" s="94">
        <f>M6432-M6432*VLOOKUP($Q6432,매칭테이블!$F:$I,3,0)</f>
        <v/>
      </c>
      <c r="O6432" s="94">
        <f>VLOOKUP($Q6432,매칭테이블!$F:$I,4,0)*K6432</f>
        <v/>
      </c>
      <c r="P6432" s="148">
        <f>M6432/1.1</f>
        <v/>
      </c>
      <c r="Q6432" s="94">
        <f>F6432&amp;E6432&amp;G6432&amp;L6432</f>
        <v/>
      </c>
    </row>
    <row r="6433">
      <c r="A6433" s="94" t="n"/>
      <c r="B6433" s="128" t="n">
        <v>43978</v>
      </c>
      <c r="C6433" s="94">
        <f>TEXT(B6433,"aaa")</f>
        <v/>
      </c>
      <c r="D6433" s="94" t="n"/>
      <c r="E6433" s="94" t="inlineStr">
        <is>
          <t>토너</t>
        </is>
      </c>
      <c r="F6433" s="5" t="inlineStr">
        <is>
          <t>스타일쉐어</t>
        </is>
      </c>
      <c r="G6433" s="94" t="inlineStr">
        <is>
          <t>250ml</t>
        </is>
      </c>
      <c r="H6433" s="7" t="n">
        <v>190801</v>
      </c>
      <c r="I6433" s="7" t="n">
        <v>190801</v>
      </c>
      <c r="J6433" s="94" t="n"/>
      <c r="K6433" s="6" t="n">
        <v>1</v>
      </c>
      <c r="L6433" s="7" t="n">
        <v>190801</v>
      </c>
      <c r="M6433" s="94">
        <f>VLOOKUP($Q6433,매칭테이블!$F:$I,2,0)*K6433</f>
        <v/>
      </c>
      <c r="N6433" s="94">
        <f>M6433-M6433*VLOOKUP($Q6433,매칭테이블!$F:$I,3,0)</f>
        <v/>
      </c>
      <c r="O6433" s="94">
        <f>VLOOKUP($Q6433,매칭테이블!$F:$I,4,0)*K6433</f>
        <v/>
      </c>
      <c r="P6433" s="148">
        <f>M6433/1.1</f>
        <v/>
      </c>
      <c r="Q6433" s="94">
        <f>F6433&amp;E6433&amp;G6433&amp;L6433</f>
        <v/>
      </c>
    </row>
    <row r="6434">
      <c r="A6434" s="94" t="n"/>
      <c r="B6434" s="128" t="n">
        <v>43978</v>
      </c>
      <c r="C6434" s="94">
        <f>TEXT(B6434,"aaa")</f>
        <v/>
      </c>
      <c r="D6434" s="94" t="n"/>
      <c r="E6434" s="94" t="inlineStr">
        <is>
          <t>토너</t>
        </is>
      </c>
      <c r="F6434" s="94" t="inlineStr">
        <is>
          <t>글로우데이즈 시코르</t>
        </is>
      </c>
      <c r="G6434" s="94" t="inlineStr">
        <is>
          <t>250ml</t>
        </is>
      </c>
      <c r="H6434" s="7" t="n">
        <v>190801</v>
      </c>
      <c r="I6434" s="7" t="n">
        <v>190801</v>
      </c>
      <c r="J6434" s="94" t="n"/>
      <c r="K6434" s="6" t="n">
        <v>20</v>
      </c>
      <c r="L6434" s="7" t="n">
        <v>190801</v>
      </c>
      <c r="M6434" s="94">
        <f>VLOOKUP($Q6434,매칭테이블!$F:$I,2,0)*K6434</f>
        <v/>
      </c>
      <c r="N6434" s="94">
        <f>M6434-M6434*VLOOKUP($Q6434,매칭테이블!$F:$I,3,0)</f>
        <v/>
      </c>
      <c r="O6434" s="94">
        <f>VLOOKUP($Q6434,매칭테이블!$F:$I,4,0)*K6434</f>
        <v/>
      </c>
      <c r="P6434" s="148">
        <f>M6434/1.1</f>
        <v/>
      </c>
      <c r="Q6434" s="94">
        <f>F6434&amp;E6434&amp;G6434&amp;L6434</f>
        <v/>
      </c>
    </row>
    <row r="6435">
      <c r="A6435" s="94" t="n"/>
      <c r="B6435" s="128" t="n">
        <v>43978</v>
      </c>
      <c r="C6435" s="94">
        <f>TEXT(B6435,"aaa")</f>
        <v/>
      </c>
      <c r="D6435" s="94" t="n"/>
      <c r="E6435" s="94" t="inlineStr">
        <is>
          <t>선크림</t>
        </is>
      </c>
      <c r="F6435" s="94" t="inlineStr">
        <is>
          <t>카페24</t>
        </is>
      </c>
      <c r="G6435" s="94" t="inlineStr">
        <is>
          <t>선크림 50ml</t>
        </is>
      </c>
      <c r="H6435" s="7" t="n">
        <v>190801</v>
      </c>
      <c r="I6435" s="7" t="n">
        <v>190801</v>
      </c>
      <c r="J6435" s="94" t="n"/>
      <c r="K6435" s="6" t="n">
        <v>12</v>
      </c>
      <c r="L6435" s="7" t="n">
        <v>190801</v>
      </c>
      <c r="M6435" s="94">
        <f>VLOOKUP($Q6435,매칭테이블!$F:$I,2,0)*K6435</f>
        <v/>
      </c>
      <c r="N6435" s="94">
        <f>M6435-M6435*VLOOKUP($Q6435,매칭테이블!$F:$I,3,0)</f>
        <v/>
      </c>
      <c r="O6435" s="94">
        <f>VLOOKUP($Q6435,매칭테이블!$F:$I,4,0)*K6435</f>
        <v/>
      </c>
      <c r="P6435" s="148">
        <f>M6435/1.1</f>
        <v/>
      </c>
      <c r="Q6435" s="94">
        <f>F6435&amp;E6435&amp;G6435&amp;L6435</f>
        <v/>
      </c>
    </row>
    <row r="6436">
      <c r="A6436" s="94" t="n"/>
      <c r="B6436" s="128" t="n">
        <v>43978</v>
      </c>
      <c r="C6436" s="94">
        <f>TEXT(B6436,"aaa")</f>
        <v/>
      </c>
      <c r="D6436" s="94" t="n"/>
      <c r="E6436" s="94" t="inlineStr">
        <is>
          <t>어성초진정패키지</t>
        </is>
      </c>
      <c r="F6436" s="94" t="inlineStr">
        <is>
          <t>카페24</t>
        </is>
      </c>
      <c r="G6436" s="94" t="inlineStr">
        <is>
          <t>어성초 진정패키지세트</t>
        </is>
      </c>
      <c r="H6436" s="7" t="n">
        <v>190801</v>
      </c>
      <c r="I6436" s="7" t="n">
        <v>190801</v>
      </c>
      <c r="J6436" s="94" t="n"/>
      <c r="K6436" s="6" t="n">
        <v>5</v>
      </c>
      <c r="L6436" s="94" t="n">
        <v>190801</v>
      </c>
      <c r="M6436" s="94">
        <f>VLOOKUP($Q6436,매칭테이블!$F:$I,2,0)*K6436</f>
        <v/>
      </c>
      <c r="N6436" s="94">
        <f>M6436-M6436*VLOOKUP($Q6436,매칭테이블!$F:$I,3,0)</f>
        <v/>
      </c>
      <c r="O6436" s="94">
        <f>VLOOKUP($Q6436,매칭테이블!$F:$I,4,0)*K6436</f>
        <v/>
      </c>
      <c r="P6436" s="148">
        <f>M6436/1.1</f>
        <v/>
      </c>
      <c r="Q6436" s="94">
        <f>F6436&amp;E6436&amp;G6436&amp;L6436</f>
        <v/>
      </c>
    </row>
    <row r="6437">
      <c r="A6437" s="94" t="n"/>
      <c r="B6437" s="128" t="n">
        <v>43978</v>
      </c>
      <c r="C6437" s="94">
        <f>TEXT(B6437,"aaa")</f>
        <v/>
      </c>
      <c r="D6437" s="94" t="n"/>
      <c r="E6437" s="94" t="inlineStr">
        <is>
          <t>머드크림마스크</t>
        </is>
      </c>
      <c r="F6437" s="94" t="inlineStr">
        <is>
          <t>카페24</t>
        </is>
      </c>
      <c r="G6437" s="94" t="inlineStr">
        <is>
          <t>머드크림마스크 100ml 2set</t>
        </is>
      </c>
      <c r="H6437" s="7" t="n">
        <v>190801</v>
      </c>
      <c r="I6437" s="7" t="n">
        <v>190801</v>
      </c>
      <c r="J6437" s="94" t="n"/>
      <c r="K6437" s="6" t="n">
        <v>1</v>
      </c>
      <c r="L6437" s="94" t="n">
        <v>190801</v>
      </c>
      <c r="M6437" s="94">
        <f>VLOOKUP($Q6437,매칭테이블!$F:$I,2,0)*K6437</f>
        <v/>
      </c>
      <c r="N6437" s="94">
        <f>M6437-M6437*VLOOKUP($Q6437,매칭테이블!$F:$I,3,0)</f>
        <v/>
      </c>
      <c r="O6437" s="94">
        <f>VLOOKUP($Q6437,매칭테이블!$F:$I,4,0)*K6437</f>
        <v/>
      </c>
      <c r="P6437" s="148">
        <f>M6437/1.1</f>
        <v/>
      </c>
      <c r="Q6437" s="94">
        <f>F6437&amp;E6437&amp;G6437&amp;L6437</f>
        <v/>
      </c>
    </row>
    <row r="6438">
      <c r="A6438" s="94" t="n"/>
      <c r="B6438" s="128" t="n">
        <v>43978</v>
      </c>
      <c r="C6438" s="94">
        <f>TEXT(B6438,"aaa")</f>
        <v/>
      </c>
      <c r="D6438" s="94" t="n"/>
      <c r="E6438" s="94" t="inlineStr">
        <is>
          <t>마스크팩</t>
        </is>
      </c>
      <c r="F6438" s="94" t="inlineStr">
        <is>
          <t>카페24</t>
        </is>
      </c>
      <c r="G6438" s="94" t="inlineStr">
        <is>
          <t>마스크팩 1매</t>
        </is>
      </c>
      <c r="H6438" s="7" t="n">
        <v>190801</v>
      </c>
      <c r="I6438" s="7" t="n">
        <v>190801</v>
      </c>
      <c r="J6438" s="94" t="n"/>
      <c r="K6438" s="6" t="n">
        <v>2</v>
      </c>
      <c r="L6438" s="94" t="n">
        <v>190801</v>
      </c>
      <c r="M6438" s="94">
        <f>VLOOKUP($Q6438,매칭테이블!$F:$I,2,0)*K6438</f>
        <v/>
      </c>
      <c r="N6438" s="94">
        <f>M6438-M6438*VLOOKUP($Q6438,매칭테이블!$F:$I,3,0)</f>
        <v/>
      </c>
      <c r="O6438" s="94">
        <f>VLOOKUP($Q6438,매칭테이블!$F:$I,4,0)*K6438</f>
        <v/>
      </c>
      <c r="P6438" s="148">
        <f>M6438/1.1</f>
        <v/>
      </c>
      <c r="Q6438" s="94">
        <f>F6438&amp;E6438&amp;G6438&amp;L6438</f>
        <v/>
      </c>
    </row>
    <row r="6439">
      <c r="A6439" s="94" t="n"/>
      <c r="B6439" s="128" t="n">
        <v>43978</v>
      </c>
      <c r="C6439" s="94">
        <f>TEXT(B6439,"aaa")</f>
        <v/>
      </c>
      <c r="D6439" s="94" t="n"/>
      <c r="E6439" s="94" t="inlineStr">
        <is>
          <t>마스크팩</t>
        </is>
      </c>
      <c r="F6439" s="94" t="inlineStr">
        <is>
          <t>카페24</t>
        </is>
      </c>
      <c r="G6439" s="94" t="inlineStr">
        <is>
          <t>마스크팩 10매</t>
        </is>
      </c>
      <c r="H6439" s="7" t="n">
        <v>190801</v>
      </c>
      <c r="I6439" s="7" t="n">
        <v>190801</v>
      </c>
      <c r="J6439" s="94" t="n"/>
      <c r="K6439" s="6" t="n">
        <v>4</v>
      </c>
      <c r="L6439" s="94" t="n">
        <v>190801</v>
      </c>
      <c r="M6439" s="94">
        <f>VLOOKUP($Q6439,매칭테이블!$F:$I,2,0)*K6439</f>
        <v/>
      </c>
      <c r="N6439" s="94">
        <f>M6439-M6439*VLOOKUP($Q6439,매칭테이블!$F:$I,3,0)</f>
        <v/>
      </c>
      <c r="O6439" s="94">
        <f>VLOOKUP($Q6439,매칭테이블!$F:$I,4,0)*K6439</f>
        <v/>
      </c>
      <c r="P6439" s="148">
        <f>M6439/1.1</f>
        <v/>
      </c>
      <c r="Q6439" s="94">
        <f>F6439&amp;E6439&amp;G6439&amp;L6439</f>
        <v/>
      </c>
    </row>
    <row r="6440">
      <c r="A6440" s="94" t="n"/>
      <c r="B6440" s="128" t="n">
        <v>43978</v>
      </c>
      <c r="C6440" s="94">
        <f>TEXT(B6440,"aaa")</f>
        <v/>
      </c>
      <c r="D6440" s="94" t="n"/>
      <c r="E6440" s="6" t="inlineStr">
        <is>
          <t>토너</t>
        </is>
      </c>
      <c r="F6440" s="5" t="inlineStr">
        <is>
          <t>카페24</t>
        </is>
      </c>
      <c r="G6440" s="5" t="inlineStr">
        <is>
          <t>250ml</t>
        </is>
      </c>
      <c r="H6440" s="7" t="n">
        <v>190801</v>
      </c>
      <c r="I6440" s="7" t="n">
        <v>190801</v>
      </c>
      <c r="J6440" s="94" t="n"/>
      <c r="K6440" s="6" t="n">
        <v>37</v>
      </c>
      <c r="L6440" s="7" t="n">
        <v>190801</v>
      </c>
      <c r="M6440" s="94">
        <f>VLOOKUP($Q6440,매칭테이블!$F:$I,2,0)*K6440</f>
        <v/>
      </c>
      <c r="N6440" s="94">
        <f>M6440-M6440*VLOOKUP($Q6440,매칭테이블!$F:$I,3,0)</f>
        <v/>
      </c>
      <c r="O6440" s="94">
        <f>VLOOKUP($Q6440,매칭테이블!$F:$I,4,0)*K6440</f>
        <v/>
      </c>
      <c r="P6440" s="148">
        <f>M6440/1.1</f>
        <v/>
      </c>
      <c r="Q6440" s="94">
        <f>F6440&amp;E6440&amp;G6440&amp;L6440</f>
        <v/>
      </c>
    </row>
    <row r="6441">
      <c r="A6441" s="94" t="n"/>
      <c r="B6441" s="128" t="n">
        <v>43978</v>
      </c>
      <c r="C6441" s="94">
        <f>TEXT(B6441,"aaa")</f>
        <v/>
      </c>
      <c r="D6441" s="94" t="n"/>
      <c r="E6441" s="6" t="inlineStr">
        <is>
          <t>토너</t>
        </is>
      </c>
      <c r="F6441" s="5" t="inlineStr">
        <is>
          <t>카페24</t>
        </is>
      </c>
      <c r="G6441" s="5" t="inlineStr">
        <is>
          <t>250ml 2set</t>
        </is>
      </c>
      <c r="H6441" s="7" t="n">
        <v>190801</v>
      </c>
      <c r="I6441" s="7" t="n">
        <v>190801</v>
      </c>
      <c r="J6441" s="94" t="n"/>
      <c r="K6441" s="6" t="n">
        <v>28</v>
      </c>
      <c r="L6441" s="7" t="n">
        <v>190801</v>
      </c>
      <c r="M6441" s="94">
        <f>VLOOKUP($Q6441,매칭테이블!$F:$I,2,0)*K6441</f>
        <v/>
      </c>
      <c r="N6441" s="94">
        <f>M6441-M6441*VLOOKUP($Q6441,매칭테이블!$F:$I,3,0)</f>
        <v/>
      </c>
      <c r="O6441" s="94">
        <f>VLOOKUP($Q6441,매칭테이블!$F:$I,4,0)*K6441</f>
        <v/>
      </c>
      <c r="P6441" s="148">
        <f>M6441/1.1</f>
        <v/>
      </c>
      <c r="Q6441" s="94">
        <f>F6441&amp;E6441&amp;G6441&amp;L6441</f>
        <v/>
      </c>
    </row>
    <row r="6442">
      <c r="A6442" s="94" t="n"/>
      <c r="B6442" s="128" t="n">
        <v>43978</v>
      </c>
      <c r="C6442" s="94">
        <f>TEXT(B6442,"aaa")</f>
        <v/>
      </c>
      <c r="D6442" s="94" t="n"/>
      <c r="E6442" s="6" t="inlineStr">
        <is>
          <t>토너</t>
        </is>
      </c>
      <c r="F6442" s="5" t="inlineStr">
        <is>
          <t>카페24</t>
        </is>
      </c>
      <c r="G6442" s="5" t="inlineStr">
        <is>
          <t>500ml</t>
        </is>
      </c>
      <c r="H6442" s="7" t="n">
        <v>190801</v>
      </c>
      <c r="I6442" s="7" t="n">
        <v>190801</v>
      </c>
      <c r="J6442" s="94" t="n"/>
      <c r="K6442" s="6" t="n">
        <v>43</v>
      </c>
      <c r="L6442" s="7" t="n">
        <v>190801</v>
      </c>
      <c r="M6442" s="94">
        <f>VLOOKUP($Q6442,매칭테이블!$F:$I,2,0)*K6442</f>
        <v/>
      </c>
      <c r="N6442" s="94">
        <f>M6442-M6442*VLOOKUP($Q6442,매칭테이블!$F:$I,3,0)</f>
        <v/>
      </c>
      <c r="O6442" s="94">
        <f>VLOOKUP($Q6442,매칭테이블!$F:$I,4,0)*K6442</f>
        <v/>
      </c>
      <c r="P6442" s="148">
        <f>M6442/1.1</f>
        <v/>
      </c>
      <c r="Q6442" s="94">
        <f>F6442&amp;E6442&amp;G6442&amp;L6442</f>
        <v/>
      </c>
    </row>
    <row r="6443">
      <c r="A6443" s="94" t="n"/>
      <c r="B6443" s="128" t="n">
        <v>43978</v>
      </c>
      <c r="C6443" s="94">
        <f>TEXT(B6443,"aaa")</f>
        <v/>
      </c>
      <c r="D6443" s="94" t="n"/>
      <c r="E6443" s="6" t="inlineStr">
        <is>
          <t>토너</t>
        </is>
      </c>
      <c r="F6443" s="5" t="inlineStr">
        <is>
          <t>카페24</t>
        </is>
      </c>
      <c r="G6443" s="94" t="inlineStr">
        <is>
          <t>스킨팩 화장솜 60P</t>
        </is>
      </c>
      <c r="H6443" s="7" t="n">
        <v>190801</v>
      </c>
      <c r="I6443" s="7" t="n">
        <v>190801</v>
      </c>
      <c r="J6443" s="94" t="n"/>
      <c r="K6443" s="6" t="n">
        <v>23</v>
      </c>
      <c r="L6443" s="7" t="n">
        <v>190801</v>
      </c>
      <c r="M6443" s="94">
        <f>VLOOKUP($Q6443,매칭테이블!$F:$I,2,0)*K6443</f>
        <v/>
      </c>
      <c r="N6443" s="94">
        <f>M6443-M6443*VLOOKUP($Q6443,매칭테이블!$F:$I,3,0)</f>
        <v/>
      </c>
      <c r="O6443" s="94">
        <f>VLOOKUP($Q6443,매칭테이블!$F:$I,4,0)*K6443</f>
        <v/>
      </c>
      <c r="P6443" s="148">
        <f>M6443/1.1</f>
        <v/>
      </c>
      <c r="Q6443" s="94">
        <f>F6443&amp;E6443&amp;G6443&amp;L6443</f>
        <v/>
      </c>
    </row>
    <row r="6444">
      <c r="A6444" s="94" t="n"/>
      <c r="B6444" s="128" t="n">
        <v>43978</v>
      </c>
      <c r="C6444" s="94">
        <f>TEXT(B6444,"aaa")</f>
        <v/>
      </c>
      <c r="D6444" s="94" t="n"/>
      <c r="E6444" s="94" t="inlineStr">
        <is>
          <t>앰플</t>
        </is>
      </c>
      <c r="F6444" s="5" t="inlineStr">
        <is>
          <t>카페24</t>
        </is>
      </c>
      <c r="G6444" s="94" t="inlineStr">
        <is>
          <t>앰플 30ml</t>
        </is>
      </c>
      <c r="H6444" s="7" t="n">
        <v>190801</v>
      </c>
      <c r="I6444" s="7" t="n">
        <v>190801</v>
      </c>
      <c r="J6444" s="94" t="n"/>
      <c r="K6444" s="6" t="n">
        <v>13</v>
      </c>
      <c r="L6444" s="94" t="n">
        <v>190801</v>
      </c>
      <c r="M6444" s="94">
        <f>VLOOKUP($Q6444,매칭테이블!$F:$I,2,0)*K6444</f>
        <v/>
      </c>
      <c r="N6444" s="94">
        <f>M6444-M6444*VLOOKUP($Q6444,매칭테이블!$F:$I,3,0)</f>
        <v/>
      </c>
      <c r="O6444" s="94">
        <f>VLOOKUP($Q6444,매칭테이블!$F:$I,4,0)*K6444</f>
        <v/>
      </c>
      <c r="P6444" s="148">
        <f>M6444/1.1</f>
        <v/>
      </c>
      <c r="Q6444" s="94">
        <f>F6444&amp;E6444&amp;G6444&amp;L6444</f>
        <v/>
      </c>
    </row>
    <row r="6445">
      <c r="A6445" s="94" t="n"/>
      <c r="B6445" s="128" t="n">
        <v>43978</v>
      </c>
      <c r="C6445" s="94">
        <f>TEXT(B6445,"aaa")</f>
        <v/>
      </c>
      <c r="D6445" s="94" t="n"/>
      <c r="E6445" s="94" t="inlineStr">
        <is>
          <t>수딩크림</t>
        </is>
      </c>
      <c r="F6445" s="5" t="inlineStr">
        <is>
          <t>카페24</t>
        </is>
      </c>
      <c r="G6445" s="94" t="inlineStr">
        <is>
          <t>수딩크림 100ml</t>
        </is>
      </c>
      <c r="H6445" s="7" t="n">
        <v>190801</v>
      </c>
      <c r="I6445" s="7" t="n">
        <v>190801</v>
      </c>
      <c r="J6445" s="94" t="n"/>
      <c r="K6445" s="6" t="n">
        <v>5</v>
      </c>
      <c r="L6445" s="94" t="n">
        <v>190801</v>
      </c>
      <c r="M6445" s="94">
        <f>VLOOKUP($Q6445,매칭테이블!$F:$I,2,0)*K6445</f>
        <v/>
      </c>
      <c r="N6445" s="94">
        <f>M6445-M6445*VLOOKUP($Q6445,매칭테이블!$F:$I,3,0)</f>
        <v/>
      </c>
      <c r="O6445" s="94">
        <f>VLOOKUP($Q6445,매칭테이블!$F:$I,4,0)*K6445</f>
        <v/>
      </c>
      <c r="P6445" s="148">
        <f>M6445/1.1</f>
        <v/>
      </c>
      <c r="Q6445" s="94">
        <f>F6445&amp;E6445&amp;G6445&amp;L6445</f>
        <v/>
      </c>
    </row>
    <row r="6446">
      <c r="A6446" s="94" t="n"/>
      <c r="B6446" s="128" t="n">
        <v>43978</v>
      </c>
      <c r="C6446" s="94">
        <f>TEXT(B6446,"aaa")</f>
        <v/>
      </c>
      <c r="D6446" s="94" t="n"/>
      <c r="E6446" s="6" t="inlineStr">
        <is>
          <t>토너</t>
        </is>
      </c>
      <c r="F6446" s="5" t="inlineStr">
        <is>
          <t>큐텐</t>
        </is>
      </c>
      <c r="G6446" s="5" t="inlineStr">
        <is>
          <t>250ml</t>
        </is>
      </c>
      <c r="H6446" s="7" t="n">
        <v>190801</v>
      </c>
      <c r="I6446" s="7" t="n">
        <v>190801</v>
      </c>
      <c r="J6446" s="94" t="n"/>
      <c r="K6446" s="6" t="n">
        <v>14</v>
      </c>
      <c r="L6446" s="92" t="n">
        <v>190801</v>
      </c>
      <c r="M6446" s="94">
        <f>VLOOKUP($Q6446,매칭테이블!$F:$I,2,0)*K6446</f>
        <v/>
      </c>
      <c r="N6446" s="94">
        <f>M6446-M6446*VLOOKUP($Q6446,매칭테이블!$F:$I,3,0)</f>
        <v/>
      </c>
      <c r="O6446" s="94">
        <f>VLOOKUP($Q6446,매칭테이블!$F:$I,4,0)*K6446</f>
        <v/>
      </c>
      <c r="P6446" s="148">
        <f>M6446/1.1</f>
        <v/>
      </c>
      <c r="Q6446" s="94">
        <f>F6446&amp;E6446&amp;G6446&amp;L6446</f>
        <v/>
      </c>
    </row>
    <row r="6447">
      <c r="A6447" s="94" t="n"/>
      <c r="B6447" s="128" t="n">
        <v>43978</v>
      </c>
      <c r="C6447" s="94">
        <f>TEXT(B6447,"aaa")</f>
        <v/>
      </c>
      <c r="D6447" s="94" t="n"/>
      <c r="E6447" s="6" t="inlineStr">
        <is>
          <t>토너</t>
        </is>
      </c>
      <c r="F6447" s="5" t="inlineStr">
        <is>
          <t>큐텐</t>
        </is>
      </c>
      <c r="G6447" s="5" t="inlineStr">
        <is>
          <t>250ml 2set</t>
        </is>
      </c>
      <c r="H6447" s="7" t="n">
        <v>190801</v>
      </c>
      <c r="I6447" s="7" t="n">
        <v>190801</v>
      </c>
      <c r="J6447" s="94" t="n"/>
      <c r="K6447" s="6" t="n">
        <v>7</v>
      </c>
      <c r="L6447" s="92" t="n">
        <v>190801</v>
      </c>
      <c r="M6447" s="94">
        <f>VLOOKUP($Q6447,매칭테이블!$F:$I,2,0)*K6447</f>
        <v/>
      </c>
      <c r="N6447" s="94">
        <f>M6447-M6447*VLOOKUP($Q6447,매칭테이블!$F:$I,3,0)</f>
        <v/>
      </c>
      <c r="O6447" s="94">
        <f>VLOOKUP($Q6447,매칭테이블!$F:$I,4,0)*K6447</f>
        <v/>
      </c>
      <c r="P6447" s="148">
        <f>M6447/1.1</f>
        <v/>
      </c>
      <c r="Q6447" s="94">
        <f>F6447&amp;E6447&amp;G6447&amp;L6447</f>
        <v/>
      </c>
    </row>
    <row r="6448">
      <c r="A6448" s="94" t="n"/>
      <c r="B6448" s="128" t="n">
        <v>43978</v>
      </c>
      <c r="C6448" s="94">
        <f>TEXT(B6448,"aaa")</f>
        <v/>
      </c>
      <c r="D6448" s="94" t="n"/>
      <c r="E6448" s="94" t="inlineStr">
        <is>
          <t>앰플</t>
        </is>
      </c>
      <c r="F6448" s="5" t="inlineStr">
        <is>
          <t>큐텐</t>
        </is>
      </c>
      <c r="G6448" s="94" t="inlineStr">
        <is>
          <t>앰플 30ml</t>
        </is>
      </c>
      <c r="H6448" s="7" t="n">
        <v>190801</v>
      </c>
      <c r="I6448" s="7" t="n">
        <v>190801</v>
      </c>
      <c r="J6448" s="94" t="n"/>
      <c r="K6448" s="6" t="n">
        <v>5</v>
      </c>
      <c r="L6448" s="94" t="n">
        <v>190801</v>
      </c>
      <c r="M6448" s="94">
        <f>VLOOKUP($Q6448,매칭테이블!$F:$I,2,0)*K6448</f>
        <v/>
      </c>
      <c r="N6448" s="94">
        <f>M6448-M6448*VLOOKUP($Q6448,매칭테이블!$F:$I,3,0)</f>
        <v/>
      </c>
      <c r="O6448" s="94">
        <f>VLOOKUP($Q6448,매칭테이블!$F:$I,4,0)*K6448</f>
        <v/>
      </c>
      <c r="P6448" s="148">
        <f>M6448/1.1</f>
        <v/>
      </c>
      <c r="Q6448" s="94">
        <f>F6448&amp;E6448&amp;G6448&amp;L6448</f>
        <v/>
      </c>
    </row>
    <row r="6449">
      <c r="A6449" s="94" t="n"/>
      <c r="B6449" s="128" t="n">
        <v>43978</v>
      </c>
      <c r="C6449" s="94">
        <f>TEXT(B6449,"aaa")</f>
        <v/>
      </c>
      <c r="D6449" s="94" t="n"/>
      <c r="E6449" s="94" t="inlineStr">
        <is>
          <t>클렌징폼</t>
        </is>
      </c>
      <c r="F6449" s="5" t="inlineStr">
        <is>
          <t>큐텐</t>
        </is>
      </c>
      <c r="G6449" s="94" t="inlineStr">
        <is>
          <t>클렌징폼 120ml</t>
        </is>
      </c>
      <c r="H6449" s="7" t="n">
        <v>190801</v>
      </c>
      <c r="I6449" s="7" t="n">
        <v>190801</v>
      </c>
      <c r="J6449" s="94" t="n"/>
      <c r="K6449" s="6" t="n">
        <v>1</v>
      </c>
      <c r="L6449" s="92" t="n">
        <v>190801</v>
      </c>
      <c r="M6449" s="94">
        <f>VLOOKUP($Q6449,매칭테이블!$F:$I,2,0)*K6449</f>
        <v/>
      </c>
      <c r="N6449" s="94">
        <f>M6449-M6449*VLOOKUP($Q6449,매칭테이블!$F:$I,3,0)</f>
        <v/>
      </c>
      <c r="O6449" s="94">
        <f>VLOOKUP($Q6449,매칭테이블!$F:$I,4,0)*K6449</f>
        <v/>
      </c>
      <c r="P6449" s="148">
        <f>M6449/1.1</f>
        <v/>
      </c>
      <c r="Q6449" s="94">
        <f>F6449&amp;E6449&amp;G6449&amp;L6449</f>
        <v/>
      </c>
    </row>
    <row r="6450">
      <c r="A6450" s="94" t="n"/>
      <c r="B6450" s="128" t="n">
        <v>43978</v>
      </c>
      <c r="C6450" s="94">
        <f>TEXT(B6450,"aaa")</f>
        <v/>
      </c>
      <c r="D6450" s="94" t="n"/>
      <c r="E6450" s="94" t="inlineStr">
        <is>
          <t>클렌징폼</t>
        </is>
      </c>
      <c r="F6450" s="94" t="inlineStr">
        <is>
          <t>카페24</t>
        </is>
      </c>
      <c r="G6450" s="94" t="inlineStr">
        <is>
          <t>클렌징폼 120ml</t>
        </is>
      </c>
      <c r="H6450" s="7" t="n">
        <v>190801</v>
      </c>
      <c r="I6450" s="7" t="n">
        <v>190801</v>
      </c>
      <c r="J6450" s="94" t="n"/>
      <c r="K6450" s="6" t="n">
        <v>5</v>
      </c>
      <c r="L6450" s="92" t="n">
        <v>190801</v>
      </c>
      <c r="M6450" s="94">
        <f>VLOOKUP($Q6450,매칭테이블!$F:$I,2,0)*K6450</f>
        <v/>
      </c>
      <c r="N6450" s="94">
        <f>M6450-M6450*VLOOKUP($Q6450,매칭테이블!$F:$I,3,0)</f>
        <v/>
      </c>
      <c r="O6450" s="94">
        <f>VLOOKUP($Q6450,매칭테이블!$F:$I,4,0)*K6450</f>
        <v/>
      </c>
      <c r="P6450" s="148">
        <f>M6450/1.1</f>
        <v/>
      </c>
      <c r="Q6450" s="94">
        <f>F6450&amp;E6450&amp;G6450&amp;L6450</f>
        <v/>
      </c>
    </row>
    <row r="6451">
      <c r="A6451" s="94" t="n"/>
      <c r="B6451" s="128" t="n">
        <v>43978</v>
      </c>
      <c r="C6451" s="94">
        <f>TEXT(B6451,"aaa")</f>
        <v/>
      </c>
      <c r="D6451" s="94" t="n"/>
      <c r="E6451" s="94" t="inlineStr">
        <is>
          <t>클렌징폼</t>
        </is>
      </c>
      <c r="F6451" s="94" t="inlineStr">
        <is>
          <t>카페24</t>
        </is>
      </c>
      <c r="G6451" s="94" t="inlineStr">
        <is>
          <t>클렌징폼 120ml 2set</t>
        </is>
      </c>
      <c r="H6451" s="7" t="n">
        <v>190801</v>
      </c>
      <c r="I6451" s="7" t="n">
        <v>190801</v>
      </c>
      <c r="J6451" s="94" t="n"/>
      <c r="K6451" s="6" t="n">
        <v>2</v>
      </c>
      <c r="L6451" s="92" t="n">
        <v>190801</v>
      </c>
      <c r="M6451" s="94">
        <f>VLOOKUP($Q6451,매칭테이블!$F:$I,2,0)*K6451</f>
        <v/>
      </c>
      <c r="N6451" s="94">
        <f>M6451-M6451*VLOOKUP($Q6451,매칭테이블!$F:$I,3,0)</f>
        <v/>
      </c>
      <c r="O6451" s="94">
        <f>VLOOKUP($Q6451,매칭테이블!$F:$I,4,0)*K6451</f>
        <v/>
      </c>
      <c r="P6451" s="148">
        <f>M6451/1.1</f>
        <v/>
      </c>
      <c r="Q6451" s="94">
        <f>F6451&amp;E6451&amp;G6451&amp;L6451</f>
        <v/>
      </c>
    </row>
    <row r="6452">
      <c r="A6452" s="94" t="n"/>
      <c r="B6452" s="128" t="n">
        <v>43979</v>
      </c>
      <c r="C6452" s="94">
        <f>TEXT(B6452,"aaa")</f>
        <v/>
      </c>
      <c r="D6452" s="94" t="n"/>
      <c r="E6452" s="6" t="inlineStr">
        <is>
          <t>토너</t>
        </is>
      </c>
      <c r="F6452" s="5" t="inlineStr">
        <is>
          <t>W컨셉</t>
        </is>
      </c>
      <c r="G6452" s="5" t="inlineStr">
        <is>
          <t>250ml</t>
        </is>
      </c>
      <c r="H6452" s="7" t="n">
        <v>190801</v>
      </c>
      <c r="I6452" s="7" t="n">
        <v>190801</v>
      </c>
      <c r="J6452" s="94" t="n"/>
      <c r="K6452" s="6" t="n">
        <v>2</v>
      </c>
      <c r="L6452" s="7" t="n">
        <v>190801</v>
      </c>
      <c r="M6452" s="94">
        <f>VLOOKUP($Q6452,매칭테이블!$F:$I,2,0)*K6452</f>
        <v/>
      </c>
      <c r="N6452" s="94">
        <f>M6452-M6452*VLOOKUP($Q6452,매칭테이블!$F:$I,3,0)</f>
        <v/>
      </c>
      <c r="O6452" s="94">
        <f>VLOOKUP($Q6452,매칭테이블!$F:$I,4,0)*K6452</f>
        <v/>
      </c>
      <c r="P6452" s="148">
        <f>M6452/1.1</f>
        <v/>
      </c>
      <c r="Q6452" s="94">
        <f>F6452&amp;E6452&amp;G6452&amp;L6452</f>
        <v/>
      </c>
    </row>
    <row r="6453">
      <c r="A6453" s="94" t="n"/>
      <c r="B6453" s="128" t="n">
        <v>43979</v>
      </c>
      <c r="C6453" s="94">
        <f>TEXT(B6453,"aaa")</f>
        <v/>
      </c>
      <c r="D6453" s="94" t="n"/>
      <c r="E6453" s="6" t="inlineStr">
        <is>
          <t>토너</t>
        </is>
      </c>
      <c r="F6453" s="5" t="inlineStr">
        <is>
          <t>W컨셉</t>
        </is>
      </c>
      <c r="G6453" s="5" t="inlineStr">
        <is>
          <t>250ml 2set</t>
        </is>
      </c>
      <c r="H6453" s="7" t="n">
        <v>190801</v>
      </c>
      <c r="I6453" s="7" t="n">
        <v>190801</v>
      </c>
      <c r="J6453" s="94" t="n"/>
      <c r="K6453" s="6" t="n">
        <v>4</v>
      </c>
      <c r="L6453" s="7" t="n">
        <v>190801</v>
      </c>
      <c r="M6453" s="94">
        <f>VLOOKUP($Q6453,매칭테이블!$F:$I,2,0)*K6453</f>
        <v/>
      </c>
      <c r="N6453" s="94">
        <f>M6453-M6453*VLOOKUP($Q6453,매칭테이블!$F:$I,3,0)</f>
        <v/>
      </c>
      <c r="O6453" s="94">
        <f>VLOOKUP($Q6453,매칭테이블!$F:$I,4,0)*K6453</f>
        <v/>
      </c>
      <c r="P6453" s="148">
        <f>M6453/1.1</f>
        <v/>
      </c>
      <c r="Q6453" s="94">
        <f>F6453&amp;E6453&amp;G6453&amp;L6453</f>
        <v/>
      </c>
    </row>
    <row r="6454">
      <c r="A6454" s="94" t="n"/>
      <c r="B6454" s="128" t="n">
        <v>43979</v>
      </c>
      <c r="C6454" s="94">
        <f>TEXT(B6454,"aaa")</f>
        <v/>
      </c>
      <c r="D6454" s="94" t="n"/>
      <c r="E6454" s="94" t="inlineStr">
        <is>
          <t>토너</t>
        </is>
      </c>
      <c r="F6454" s="5" t="inlineStr">
        <is>
          <t>스타일쉐어</t>
        </is>
      </c>
      <c r="G6454" s="94" t="inlineStr">
        <is>
          <t>250ml</t>
        </is>
      </c>
      <c r="H6454" s="7" t="n">
        <v>190801</v>
      </c>
      <c r="I6454" s="7" t="n">
        <v>190801</v>
      </c>
      <c r="J6454" s="94" t="n"/>
      <c r="K6454" s="6" t="n">
        <v>2</v>
      </c>
      <c r="L6454" s="7" t="n">
        <v>190801</v>
      </c>
      <c r="M6454" s="94">
        <f>VLOOKUP($Q6454,매칭테이블!$F:$I,2,0)*K6454</f>
        <v/>
      </c>
      <c r="N6454" s="94">
        <f>M6454-M6454*VLOOKUP($Q6454,매칭테이블!$F:$I,3,0)</f>
        <v/>
      </c>
      <c r="O6454" s="94">
        <f>VLOOKUP($Q6454,매칭테이블!$F:$I,4,0)*K6454</f>
        <v/>
      </c>
      <c r="P6454" s="148">
        <f>M6454/1.1</f>
        <v/>
      </c>
      <c r="Q6454" s="94">
        <f>F6454&amp;E6454&amp;G6454&amp;L6454</f>
        <v/>
      </c>
    </row>
    <row r="6455">
      <c r="A6455" s="94" t="n"/>
      <c r="B6455" s="128" t="n">
        <v>43979</v>
      </c>
      <c r="C6455" s="94">
        <f>TEXT(B6455,"aaa")</f>
        <v/>
      </c>
      <c r="D6455" s="94" t="n"/>
      <c r="E6455" s="94" t="inlineStr">
        <is>
          <t>선크림</t>
        </is>
      </c>
      <c r="F6455" s="94" t="inlineStr">
        <is>
          <t>카페24</t>
        </is>
      </c>
      <c r="G6455" s="94" t="inlineStr">
        <is>
          <t>선크림 50ml</t>
        </is>
      </c>
      <c r="H6455" s="7" t="n">
        <v>190801</v>
      </c>
      <c r="I6455" s="7" t="n">
        <v>190801</v>
      </c>
      <c r="J6455" s="94" t="n"/>
      <c r="K6455" s="6" t="n">
        <v>10</v>
      </c>
      <c r="L6455" s="7" t="n">
        <v>190801</v>
      </c>
      <c r="M6455" s="94">
        <f>VLOOKUP($Q6455,매칭테이블!$F:$I,2,0)*K6455</f>
        <v/>
      </c>
      <c r="N6455" s="94">
        <f>M6455-M6455*VLOOKUP($Q6455,매칭테이블!$F:$I,3,0)</f>
        <v/>
      </c>
      <c r="O6455" s="94">
        <f>VLOOKUP($Q6455,매칭테이블!$F:$I,4,0)*K6455</f>
        <v/>
      </c>
      <c r="P6455" s="148">
        <f>M6455/1.1</f>
        <v/>
      </c>
      <c r="Q6455" s="94">
        <f>F6455&amp;E6455&amp;G6455&amp;L6455</f>
        <v/>
      </c>
    </row>
    <row r="6456">
      <c r="A6456" s="94" t="n"/>
      <c r="B6456" s="128" t="n">
        <v>43979</v>
      </c>
      <c r="C6456" s="94">
        <f>TEXT(B6456,"aaa")</f>
        <v/>
      </c>
      <c r="D6456" s="94" t="n"/>
      <c r="E6456" s="94" t="inlineStr">
        <is>
          <t>어성초진정패키지</t>
        </is>
      </c>
      <c r="F6456" s="94" t="inlineStr">
        <is>
          <t>카페24</t>
        </is>
      </c>
      <c r="G6456" s="94" t="inlineStr">
        <is>
          <t>어성초 진정패키지세트</t>
        </is>
      </c>
      <c r="H6456" s="7" t="n">
        <v>190801</v>
      </c>
      <c r="I6456" s="7" t="n">
        <v>190801</v>
      </c>
      <c r="J6456" s="94" t="n"/>
      <c r="K6456" s="6" t="n">
        <v>5</v>
      </c>
      <c r="L6456" s="94" t="n">
        <v>190801</v>
      </c>
      <c r="M6456" s="94">
        <f>VLOOKUP($Q6456,매칭테이블!$F:$I,2,0)*K6456</f>
        <v/>
      </c>
      <c r="N6456" s="94">
        <f>M6456-M6456*VLOOKUP($Q6456,매칭테이블!$F:$I,3,0)</f>
        <v/>
      </c>
      <c r="O6456" s="94">
        <f>VLOOKUP($Q6456,매칭테이블!$F:$I,4,0)*K6456</f>
        <v/>
      </c>
      <c r="P6456" s="148">
        <f>M6456/1.1</f>
        <v/>
      </c>
      <c r="Q6456" s="94">
        <f>F6456&amp;E6456&amp;G6456&amp;L6456</f>
        <v/>
      </c>
    </row>
    <row r="6457">
      <c r="A6457" s="94" t="n"/>
      <c r="B6457" s="128" t="n">
        <v>43979</v>
      </c>
      <c r="C6457" s="94">
        <f>TEXT(B6457,"aaa")</f>
        <v/>
      </c>
      <c r="D6457" s="94" t="n"/>
      <c r="E6457" s="94" t="inlineStr">
        <is>
          <t>머드크림마스크</t>
        </is>
      </c>
      <c r="F6457" s="94" t="inlineStr">
        <is>
          <t>카페24</t>
        </is>
      </c>
      <c r="G6457" s="94" t="inlineStr">
        <is>
          <t>머드크림마스크 100ml</t>
        </is>
      </c>
      <c r="H6457" s="7" t="n">
        <v>190801</v>
      </c>
      <c r="I6457" s="7" t="n">
        <v>190801</v>
      </c>
      <c r="J6457" s="94" t="n"/>
      <c r="K6457" s="6" t="n">
        <v>3</v>
      </c>
      <c r="L6457" s="94" t="n">
        <v>190801</v>
      </c>
      <c r="M6457" s="94">
        <f>VLOOKUP($Q6457,매칭테이블!$F:$I,2,0)*K6457</f>
        <v/>
      </c>
      <c r="N6457" s="94">
        <f>M6457-M6457*VLOOKUP($Q6457,매칭테이블!$F:$I,3,0)</f>
        <v/>
      </c>
      <c r="O6457" s="94">
        <f>VLOOKUP($Q6457,매칭테이블!$F:$I,4,0)*K6457</f>
        <v/>
      </c>
      <c r="P6457" s="148">
        <f>M6457/1.1</f>
        <v/>
      </c>
      <c r="Q6457" s="94">
        <f>F6457&amp;E6457&amp;G6457&amp;L6457</f>
        <v/>
      </c>
    </row>
    <row r="6458">
      <c r="A6458" s="94" t="n"/>
      <c r="B6458" s="128" t="n">
        <v>43979</v>
      </c>
      <c r="C6458" s="94">
        <f>TEXT(B6458,"aaa")</f>
        <v/>
      </c>
      <c r="D6458" s="94" t="n"/>
      <c r="E6458" s="94" t="inlineStr">
        <is>
          <t>머드크림마스크</t>
        </is>
      </c>
      <c r="F6458" s="94" t="inlineStr">
        <is>
          <t>카페24</t>
        </is>
      </c>
      <c r="G6458" s="94" t="inlineStr">
        <is>
          <t>머드크림마스크 100ml 2set</t>
        </is>
      </c>
      <c r="H6458" s="7" t="n">
        <v>190801</v>
      </c>
      <c r="I6458" s="7" t="n">
        <v>190801</v>
      </c>
      <c r="J6458" s="94" t="n"/>
      <c r="K6458" s="6" t="n">
        <v>2</v>
      </c>
      <c r="L6458" s="94" t="n">
        <v>190801</v>
      </c>
      <c r="M6458" s="94">
        <f>VLOOKUP($Q6458,매칭테이블!$F:$I,2,0)*K6458</f>
        <v/>
      </c>
      <c r="N6458" s="94">
        <f>M6458-M6458*VLOOKUP($Q6458,매칭테이블!$F:$I,3,0)</f>
        <v/>
      </c>
      <c r="O6458" s="94">
        <f>VLOOKUP($Q6458,매칭테이블!$F:$I,4,0)*K6458</f>
        <v/>
      </c>
      <c r="P6458" s="148">
        <f>M6458/1.1</f>
        <v/>
      </c>
      <c r="Q6458" s="94">
        <f>F6458&amp;E6458&amp;G6458&amp;L6458</f>
        <v/>
      </c>
    </row>
    <row r="6459">
      <c r="A6459" s="94" t="n"/>
      <c r="B6459" s="128" t="n">
        <v>43979</v>
      </c>
      <c r="C6459" s="94">
        <f>TEXT(B6459,"aaa")</f>
        <v/>
      </c>
      <c r="D6459" s="94" t="n"/>
      <c r="E6459" s="94" t="inlineStr">
        <is>
          <t>마스크팩</t>
        </is>
      </c>
      <c r="F6459" s="94" t="inlineStr">
        <is>
          <t>카페24</t>
        </is>
      </c>
      <c r="G6459" s="94" t="inlineStr">
        <is>
          <t>마스크팩 1매</t>
        </is>
      </c>
      <c r="H6459" s="7" t="n">
        <v>190801</v>
      </c>
      <c r="I6459" s="7" t="n">
        <v>190801</v>
      </c>
      <c r="J6459" s="94" t="n"/>
      <c r="K6459" s="6" t="n">
        <v>3</v>
      </c>
      <c r="L6459" s="94" t="n">
        <v>190801</v>
      </c>
      <c r="M6459" s="94">
        <f>VLOOKUP($Q6459,매칭테이블!$F:$I,2,0)*K6459</f>
        <v/>
      </c>
      <c r="N6459" s="94">
        <f>M6459-M6459*VLOOKUP($Q6459,매칭테이블!$F:$I,3,0)</f>
        <v/>
      </c>
      <c r="O6459" s="94">
        <f>VLOOKUP($Q6459,매칭테이블!$F:$I,4,0)*K6459</f>
        <v/>
      </c>
      <c r="P6459" s="148">
        <f>M6459/1.1</f>
        <v/>
      </c>
      <c r="Q6459" s="94">
        <f>F6459&amp;E6459&amp;G6459&amp;L6459</f>
        <v/>
      </c>
    </row>
    <row r="6460">
      <c r="A6460" s="94" t="n"/>
      <c r="B6460" s="128" t="n">
        <v>43979</v>
      </c>
      <c r="C6460" s="94">
        <f>TEXT(B6460,"aaa")</f>
        <v/>
      </c>
      <c r="D6460" s="94" t="n"/>
      <c r="E6460" s="94" t="inlineStr">
        <is>
          <t>마스크팩</t>
        </is>
      </c>
      <c r="F6460" s="94" t="inlineStr">
        <is>
          <t>카페24</t>
        </is>
      </c>
      <c r="G6460" s="94" t="inlineStr">
        <is>
          <t>마스크팩 10매</t>
        </is>
      </c>
      <c r="H6460" s="7" t="n">
        <v>190801</v>
      </c>
      <c r="I6460" s="7" t="n">
        <v>190801</v>
      </c>
      <c r="J6460" s="94" t="n"/>
      <c r="K6460" s="6" t="n">
        <v>2</v>
      </c>
      <c r="L6460" s="94" t="n">
        <v>190801</v>
      </c>
      <c r="M6460" s="94">
        <f>VLOOKUP($Q6460,매칭테이블!$F:$I,2,0)*K6460</f>
        <v/>
      </c>
      <c r="N6460" s="94">
        <f>M6460-M6460*VLOOKUP($Q6460,매칭테이블!$F:$I,3,0)</f>
        <v/>
      </c>
      <c r="O6460" s="94">
        <f>VLOOKUP($Q6460,매칭테이블!$F:$I,4,0)*K6460</f>
        <v/>
      </c>
      <c r="P6460" s="148">
        <f>M6460/1.1</f>
        <v/>
      </c>
      <c r="Q6460" s="94">
        <f>F6460&amp;E6460&amp;G6460&amp;L6460</f>
        <v/>
      </c>
    </row>
    <row r="6461">
      <c r="A6461" s="94" t="n"/>
      <c r="B6461" s="128" t="n">
        <v>43979</v>
      </c>
      <c r="C6461" s="94">
        <f>TEXT(B6461,"aaa")</f>
        <v/>
      </c>
      <c r="D6461" s="94" t="n"/>
      <c r="E6461" s="6" t="inlineStr">
        <is>
          <t>토너</t>
        </is>
      </c>
      <c r="F6461" s="5" t="inlineStr">
        <is>
          <t>카페24</t>
        </is>
      </c>
      <c r="G6461" s="5" t="inlineStr">
        <is>
          <t>250ml</t>
        </is>
      </c>
      <c r="H6461" s="7" t="n">
        <v>190801</v>
      </c>
      <c r="I6461" s="7" t="n">
        <v>190801</v>
      </c>
      <c r="J6461" s="94" t="n"/>
      <c r="K6461" s="6" t="n">
        <v>44</v>
      </c>
      <c r="L6461" s="7" t="n">
        <v>190801</v>
      </c>
      <c r="M6461" s="94">
        <f>VLOOKUP($Q6461,매칭테이블!$F:$I,2,0)*K6461</f>
        <v/>
      </c>
      <c r="N6461" s="94">
        <f>M6461-M6461*VLOOKUP($Q6461,매칭테이블!$F:$I,3,0)</f>
        <v/>
      </c>
      <c r="O6461" s="94">
        <f>VLOOKUP($Q6461,매칭테이블!$F:$I,4,0)*K6461</f>
        <v/>
      </c>
      <c r="P6461" s="148">
        <f>M6461/1.1</f>
        <v/>
      </c>
      <c r="Q6461" s="94">
        <f>F6461&amp;E6461&amp;G6461&amp;L6461</f>
        <v/>
      </c>
    </row>
    <row r="6462">
      <c r="A6462" s="94" t="n"/>
      <c r="B6462" s="128" t="n">
        <v>43979</v>
      </c>
      <c r="C6462" s="94">
        <f>TEXT(B6462,"aaa")</f>
        <v/>
      </c>
      <c r="D6462" s="94" t="n"/>
      <c r="E6462" s="6" t="inlineStr">
        <is>
          <t>토너</t>
        </is>
      </c>
      <c r="F6462" s="5" t="inlineStr">
        <is>
          <t>카페24</t>
        </is>
      </c>
      <c r="G6462" s="5" t="inlineStr">
        <is>
          <t>250ml 2set</t>
        </is>
      </c>
      <c r="H6462" s="7" t="n">
        <v>190801</v>
      </c>
      <c r="I6462" s="7" t="n">
        <v>190801</v>
      </c>
      <c r="J6462" s="94" t="n"/>
      <c r="K6462" s="6" t="n">
        <v>46</v>
      </c>
      <c r="L6462" s="7" t="n">
        <v>190801</v>
      </c>
      <c r="M6462" s="94">
        <f>VLOOKUP($Q6462,매칭테이블!$F:$I,2,0)*K6462</f>
        <v/>
      </c>
      <c r="N6462" s="94">
        <f>M6462-M6462*VLOOKUP($Q6462,매칭테이블!$F:$I,3,0)</f>
        <v/>
      </c>
      <c r="O6462" s="94">
        <f>VLOOKUP($Q6462,매칭테이블!$F:$I,4,0)*K6462</f>
        <v/>
      </c>
      <c r="P6462" s="148">
        <f>M6462/1.1</f>
        <v/>
      </c>
      <c r="Q6462" s="94">
        <f>F6462&amp;E6462&amp;G6462&amp;L6462</f>
        <v/>
      </c>
    </row>
    <row r="6463">
      <c r="A6463" s="94" t="n"/>
      <c r="B6463" s="128" t="n">
        <v>43979</v>
      </c>
      <c r="C6463" s="94">
        <f>TEXT(B6463,"aaa")</f>
        <v/>
      </c>
      <c r="D6463" s="94" t="n"/>
      <c r="E6463" s="6" t="inlineStr">
        <is>
          <t>토너</t>
        </is>
      </c>
      <c r="F6463" s="5" t="inlineStr">
        <is>
          <t>카페24</t>
        </is>
      </c>
      <c r="G6463" s="5" t="inlineStr">
        <is>
          <t>500ml</t>
        </is>
      </c>
      <c r="H6463" s="7" t="n">
        <v>190801</v>
      </c>
      <c r="I6463" s="7" t="n">
        <v>190801</v>
      </c>
      <c r="J6463" s="94" t="n"/>
      <c r="K6463" s="6" t="n">
        <v>38</v>
      </c>
      <c r="L6463" s="7" t="n">
        <v>190801</v>
      </c>
      <c r="M6463" s="94">
        <f>VLOOKUP($Q6463,매칭테이블!$F:$I,2,0)*K6463</f>
        <v/>
      </c>
      <c r="N6463" s="94">
        <f>M6463-M6463*VLOOKUP($Q6463,매칭테이블!$F:$I,3,0)</f>
        <v/>
      </c>
      <c r="O6463" s="94">
        <f>VLOOKUP($Q6463,매칭테이블!$F:$I,4,0)*K6463</f>
        <v/>
      </c>
      <c r="P6463" s="148">
        <f>M6463/1.1</f>
        <v/>
      </c>
      <c r="Q6463" s="94">
        <f>F6463&amp;E6463&amp;G6463&amp;L6463</f>
        <v/>
      </c>
    </row>
    <row r="6464">
      <c r="A6464" s="94" t="n"/>
      <c r="B6464" s="128" t="n">
        <v>43979</v>
      </c>
      <c r="C6464" s="94">
        <f>TEXT(B6464,"aaa")</f>
        <v/>
      </c>
      <c r="D6464" s="94" t="n"/>
      <c r="E6464" s="6" t="inlineStr">
        <is>
          <t>토너</t>
        </is>
      </c>
      <c r="F6464" s="5" t="inlineStr">
        <is>
          <t>카페24</t>
        </is>
      </c>
      <c r="G6464" s="94" t="inlineStr">
        <is>
          <t>스킨팩 화장솜 60P</t>
        </is>
      </c>
      <c r="H6464" s="7" t="n">
        <v>190801</v>
      </c>
      <c r="I6464" s="7" t="n">
        <v>190801</v>
      </c>
      <c r="J6464" s="94" t="n"/>
      <c r="K6464" s="6" t="n">
        <v>64</v>
      </c>
      <c r="L6464" s="7" t="n">
        <v>190801</v>
      </c>
      <c r="M6464" s="94">
        <f>VLOOKUP($Q6464,매칭테이블!$F:$I,2,0)*K6464</f>
        <v/>
      </c>
      <c r="N6464" s="94">
        <f>M6464-M6464*VLOOKUP($Q6464,매칭테이블!$F:$I,3,0)</f>
        <v/>
      </c>
      <c r="O6464" s="94">
        <f>VLOOKUP($Q6464,매칭테이블!$F:$I,4,0)*K6464</f>
        <v/>
      </c>
      <c r="P6464" s="148">
        <f>M6464/1.1</f>
        <v/>
      </c>
      <c r="Q6464" s="94">
        <f>F6464&amp;E6464&amp;G6464&amp;L6464</f>
        <v/>
      </c>
    </row>
    <row r="6465">
      <c r="A6465" s="94" t="n"/>
      <c r="B6465" s="128" t="n">
        <v>43979</v>
      </c>
      <c r="C6465" s="94">
        <f>TEXT(B6465,"aaa")</f>
        <v/>
      </c>
      <c r="D6465" s="94" t="n"/>
      <c r="E6465" s="94" t="inlineStr">
        <is>
          <t>앰플</t>
        </is>
      </c>
      <c r="F6465" s="5" t="inlineStr">
        <is>
          <t>카페24</t>
        </is>
      </c>
      <c r="G6465" s="94" t="inlineStr">
        <is>
          <t>앰플 30ml</t>
        </is>
      </c>
      <c r="H6465" s="7" t="n">
        <v>190801</v>
      </c>
      <c r="I6465" s="7" t="n">
        <v>190801</v>
      </c>
      <c r="J6465" s="94" t="n"/>
      <c r="K6465" s="6" t="n">
        <v>14</v>
      </c>
      <c r="L6465" s="94" t="n">
        <v>190801</v>
      </c>
      <c r="M6465" s="94">
        <f>VLOOKUP($Q6465,매칭테이블!$F:$I,2,0)*K6465</f>
        <v/>
      </c>
      <c r="N6465" s="94">
        <f>M6465-M6465*VLOOKUP($Q6465,매칭테이블!$F:$I,3,0)</f>
        <v/>
      </c>
      <c r="O6465" s="94">
        <f>VLOOKUP($Q6465,매칭테이블!$F:$I,4,0)*K6465</f>
        <v/>
      </c>
      <c r="P6465" s="148">
        <f>M6465/1.1</f>
        <v/>
      </c>
      <c r="Q6465" s="94">
        <f>F6465&amp;E6465&amp;G6465&amp;L6465</f>
        <v/>
      </c>
    </row>
    <row r="6466">
      <c r="A6466" s="94" t="n"/>
      <c r="B6466" s="128" t="n">
        <v>43979</v>
      </c>
      <c r="C6466" s="94">
        <f>TEXT(B6466,"aaa")</f>
        <v/>
      </c>
      <c r="D6466" s="94" t="n"/>
      <c r="E6466" s="94" t="inlineStr">
        <is>
          <t>수딩크림</t>
        </is>
      </c>
      <c r="F6466" s="5" t="inlineStr">
        <is>
          <t>카페24</t>
        </is>
      </c>
      <c r="G6466" s="94" t="inlineStr">
        <is>
          <t>수딩크림 100ml</t>
        </is>
      </c>
      <c r="H6466" s="7" t="n">
        <v>190801</v>
      </c>
      <c r="I6466" s="7" t="n">
        <v>190801</v>
      </c>
      <c r="J6466" s="94" t="n"/>
      <c r="K6466" s="6" t="n">
        <v>4</v>
      </c>
      <c r="L6466" s="94" t="n">
        <v>190801</v>
      </c>
      <c r="M6466" s="94">
        <f>VLOOKUP($Q6466,매칭테이블!$F:$I,2,0)*K6466</f>
        <v/>
      </c>
      <c r="N6466" s="94">
        <f>M6466-M6466*VLOOKUP($Q6466,매칭테이블!$F:$I,3,0)</f>
        <v/>
      </c>
      <c r="O6466" s="94">
        <f>VLOOKUP($Q6466,매칭테이블!$F:$I,4,0)*K6466</f>
        <v/>
      </c>
      <c r="P6466" s="148">
        <f>M6466/1.1</f>
        <v/>
      </c>
      <c r="Q6466" s="94">
        <f>F6466&amp;E6466&amp;G6466&amp;L6466</f>
        <v/>
      </c>
    </row>
    <row r="6467">
      <c r="A6467" s="94" t="n"/>
      <c r="B6467" s="128" t="n">
        <v>43979</v>
      </c>
      <c r="C6467" s="94">
        <f>TEXT(B6467,"aaa")</f>
        <v/>
      </c>
      <c r="D6467" s="94" t="n"/>
      <c r="E6467" s="94" t="inlineStr">
        <is>
          <t>클렌징폼</t>
        </is>
      </c>
      <c r="F6467" s="94" t="inlineStr">
        <is>
          <t>카페24</t>
        </is>
      </c>
      <c r="G6467" s="94" t="inlineStr">
        <is>
          <t>클렌징폼 120ml 2set</t>
        </is>
      </c>
      <c r="H6467" s="7" t="n">
        <v>190801</v>
      </c>
      <c r="I6467" s="7" t="n">
        <v>190801</v>
      </c>
      <c r="J6467" s="94" t="n"/>
      <c r="K6467" s="6" t="n">
        <v>1</v>
      </c>
      <c r="L6467" s="92" t="n">
        <v>190801</v>
      </c>
      <c r="M6467" s="94">
        <f>VLOOKUP($Q6467,매칭테이블!$F:$I,2,0)*K6467</f>
        <v/>
      </c>
      <c r="N6467" s="94">
        <f>M6467-M6467*VLOOKUP($Q6467,매칭테이블!$F:$I,3,0)</f>
        <v/>
      </c>
      <c r="O6467" s="94">
        <f>VLOOKUP($Q6467,매칭테이블!$F:$I,4,0)*K6467</f>
        <v/>
      </c>
      <c r="P6467" s="148">
        <f>M6467/1.1</f>
        <v/>
      </c>
      <c r="Q6467" s="94">
        <f>F6467&amp;E6467&amp;G6467&amp;L6467</f>
        <v/>
      </c>
    </row>
    <row r="6468">
      <c r="A6468" s="94" t="n"/>
      <c r="B6468" s="128" t="n">
        <v>43979</v>
      </c>
      <c r="C6468" s="94">
        <f>TEXT(B6468,"aaa")</f>
        <v/>
      </c>
      <c r="D6468" s="94" t="n"/>
      <c r="E6468" s="6" t="inlineStr">
        <is>
          <t>토너</t>
        </is>
      </c>
      <c r="F6468" s="5" t="inlineStr">
        <is>
          <t>큐텐</t>
        </is>
      </c>
      <c r="G6468" s="5" t="inlineStr">
        <is>
          <t>250ml</t>
        </is>
      </c>
      <c r="H6468" s="7" t="n">
        <v>190801</v>
      </c>
      <c r="I6468" s="7" t="n">
        <v>190801</v>
      </c>
      <c r="J6468" s="94" t="n"/>
      <c r="K6468" s="6" t="n">
        <v>16</v>
      </c>
      <c r="L6468" s="92" t="n">
        <v>190801</v>
      </c>
      <c r="M6468" s="94">
        <f>VLOOKUP($Q6468,매칭테이블!$F:$I,2,0)*K6468</f>
        <v/>
      </c>
      <c r="N6468" s="94">
        <f>M6468-M6468*VLOOKUP($Q6468,매칭테이블!$F:$I,3,0)</f>
        <v/>
      </c>
      <c r="O6468" s="94">
        <f>VLOOKUP($Q6468,매칭테이블!$F:$I,4,0)*K6468</f>
        <v/>
      </c>
      <c r="P6468" s="148">
        <f>M6468/1.1</f>
        <v/>
      </c>
      <c r="Q6468" s="94">
        <f>F6468&amp;E6468&amp;G6468&amp;L6468</f>
        <v/>
      </c>
    </row>
    <row r="6469">
      <c r="A6469" s="94" t="n"/>
      <c r="B6469" s="128" t="n">
        <v>43979</v>
      </c>
      <c r="C6469" s="94">
        <f>TEXT(B6469,"aaa")</f>
        <v/>
      </c>
      <c r="D6469" s="94" t="n"/>
      <c r="E6469" s="6" t="inlineStr">
        <is>
          <t>토너</t>
        </is>
      </c>
      <c r="F6469" s="5" t="inlineStr">
        <is>
          <t>큐텐</t>
        </is>
      </c>
      <c r="G6469" s="5" t="inlineStr">
        <is>
          <t>250ml 2set</t>
        </is>
      </c>
      <c r="H6469" s="7" t="n">
        <v>190801</v>
      </c>
      <c r="I6469" s="7" t="n">
        <v>190801</v>
      </c>
      <c r="J6469" s="94" t="n"/>
      <c r="K6469" s="6" t="n">
        <v>6</v>
      </c>
      <c r="L6469" s="92" t="n">
        <v>190801</v>
      </c>
      <c r="M6469" s="94">
        <f>VLOOKUP($Q6469,매칭테이블!$F:$I,2,0)*K6469</f>
        <v/>
      </c>
      <c r="N6469" s="94">
        <f>M6469-M6469*VLOOKUP($Q6469,매칭테이블!$F:$I,3,0)</f>
        <v/>
      </c>
      <c r="O6469" s="94">
        <f>VLOOKUP($Q6469,매칭테이블!$F:$I,4,0)*K6469</f>
        <v/>
      </c>
      <c r="P6469" s="148">
        <f>M6469/1.1</f>
        <v/>
      </c>
      <c r="Q6469" s="94">
        <f>F6469&amp;E6469&amp;G6469&amp;L6469</f>
        <v/>
      </c>
    </row>
    <row r="6470">
      <c r="A6470" s="94" t="n"/>
      <c r="B6470" s="128" t="n">
        <v>43979</v>
      </c>
      <c r="C6470" s="94">
        <f>TEXT(B6470,"aaa")</f>
        <v/>
      </c>
      <c r="D6470" s="94" t="n"/>
      <c r="E6470" s="94" t="inlineStr">
        <is>
          <t>앰플</t>
        </is>
      </c>
      <c r="F6470" s="5" t="inlineStr">
        <is>
          <t>큐텐</t>
        </is>
      </c>
      <c r="G6470" s="94" t="inlineStr">
        <is>
          <t>앰플 30ml</t>
        </is>
      </c>
      <c r="H6470" s="7" t="n">
        <v>190801</v>
      </c>
      <c r="I6470" s="7" t="n">
        <v>190801</v>
      </c>
      <c r="J6470" s="94" t="n"/>
      <c r="K6470" s="6" t="n">
        <v>3</v>
      </c>
      <c r="L6470" s="94" t="n">
        <v>190801</v>
      </c>
      <c r="M6470" s="94">
        <f>VLOOKUP($Q6470,매칭테이블!$F:$I,2,0)*K6470</f>
        <v/>
      </c>
      <c r="N6470" s="94">
        <f>M6470-M6470*VLOOKUP($Q6470,매칭테이블!$F:$I,3,0)</f>
        <v/>
      </c>
      <c r="O6470" s="94">
        <f>VLOOKUP($Q6470,매칭테이블!$F:$I,4,0)*K6470</f>
        <v/>
      </c>
      <c r="P6470" s="148">
        <f>M6470/1.1</f>
        <v/>
      </c>
      <c r="Q6470" s="94">
        <f>F6470&amp;E6470&amp;G6470&amp;L6470</f>
        <v/>
      </c>
    </row>
    <row r="6471">
      <c r="A6471" s="94" t="n"/>
      <c r="B6471" s="128" t="n">
        <v>43979</v>
      </c>
      <c r="C6471" s="94">
        <f>TEXT(B6471,"aaa")</f>
        <v/>
      </c>
      <c r="D6471" s="94" t="n"/>
      <c r="E6471" s="94" t="inlineStr">
        <is>
          <t>머드크림마스크</t>
        </is>
      </c>
      <c r="F6471" s="5" t="inlineStr">
        <is>
          <t>큐텐</t>
        </is>
      </c>
      <c r="G6471" s="94" t="inlineStr">
        <is>
          <t>머드크림마스크 100ml</t>
        </is>
      </c>
      <c r="H6471" s="7" t="n">
        <v>190801</v>
      </c>
      <c r="I6471" s="7" t="n">
        <v>190801</v>
      </c>
      <c r="J6471" s="94" t="n"/>
      <c r="K6471" s="6" t="n">
        <v>1</v>
      </c>
      <c r="L6471" s="94" t="n">
        <v>190801</v>
      </c>
      <c r="M6471" s="94">
        <f>VLOOKUP($Q6471,매칭테이블!$F:$I,2,0)*K6471</f>
        <v/>
      </c>
      <c r="N6471" s="94">
        <f>M6471-M6471*VLOOKUP($Q6471,매칭테이블!$F:$I,3,0)</f>
        <v/>
      </c>
      <c r="O6471" s="94">
        <f>VLOOKUP($Q6471,매칭테이블!$F:$I,4,0)*K6471</f>
        <v/>
      </c>
      <c r="P6471" s="148">
        <f>M6471/1.1</f>
        <v/>
      </c>
      <c r="Q6471" s="94">
        <f>F6471&amp;E6471&amp;G6471&amp;L6471</f>
        <v/>
      </c>
    </row>
    <row r="6472">
      <c r="A6472" s="94" t="n"/>
      <c r="B6472" s="128" t="n">
        <v>43980</v>
      </c>
      <c r="C6472" s="94">
        <f>TEXT(B6472,"aaa")</f>
        <v/>
      </c>
      <c r="D6472" s="94" t="n"/>
      <c r="E6472" s="6" t="inlineStr">
        <is>
          <t>토너</t>
        </is>
      </c>
      <c r="F6472" s="5" t="inlineStr">
        <is>
          <t>W컨셉</t>
        </is>
      </c>
      <c r="G6472" s="5" t="inlineStr">
        <is>
          <t>250ml 2set</t>
        </is>
      </c>
      <c r="H6472" s="7" t="n">
        <v>190801</v>
      </c>
      <c r="I6472" s="7" t="n">
        <v>190801</v>
      </c>
      <c r="J6472" s="94" t="n"/>
      <c r="K6472" s="6" t="n">
        <v>2</v>
      </c>
      <c r="L6472" s="7" t="n">
        <v>190801</v>
      </c>
      <c r="M6472" s="94">
        <f>VLOOKUP($Q6472,매칭테이블!$F:$I,2,0)*K6472</f>
        <v/>
      </c>
      <c r="N6472" s="94">
        <f>M6472-M6472*VLOOKUP($Q6472,매칭테이블!$F:$I,3,0)</f>
        <v/>
      </c>
      <c r="O6472" s="94">
        <f>VLOOKUP($Q6472,매칭테이블!$F:$I,4,0)*K6472</f>
        <v/>
      </c>
      <c r="P6472" s="148">
        <f>M6472/1.1</f>
        <v/>
      </c>
      <c r="Q6472" s="94">
        <f>F6472&amp;E6472&amp;G6472&amp;L6472</f>
        <v/>
      </c>
    </row>
    <row r="6473">
      <c r="A6473" s="94" t="n"/>
      <c r="B6473" s="128" t="n">
        <v>43980</v>
      </c>
      <c r="C6473" s="94">
        <f>TEXT(B6473,"aaa")</f>
        <v/>
      </c>
      <c r="D6473" s="94" t="n"/>
      <c r="E6473" s="94" t="inlineStr">
        <is>
          <t>토너</t>
        </is>
      </c>
      <c r="F6473" s="5" t="inlineStr">
        <is>
          <t>스타일쉐어</t>
        </is>
      </c>
      <c r="G6473" s="94" t="inlineStr">
        <is>
          <t>250ml</t>
        </is>
      </c>
      <c r="H6473" s="7" t="n">
        <v>190801</v>
      </c>
      <c r="I6473" s="7" t="n">
        <v>190801</v>
      </c>
      <c r="J6473" s="94" t="n"/>
      <c r="K6473" s="6" t="n">
        <v>2</v>
      </c>
      <c r="L6473" s="7" t="n">
        <v>190801</v>
      </c>
      <c r="M6473" s="94">
        <f>VLOOKUP($Q6473,매칭테이블!$F:$I,2,0)*K6473</f>
        <v/>
      </c>
      <c r="N6473" s="94">
        <f>M6473-M6473*VLOOKUP($Q6473,매칭테이블!$F:$I,3,0)</f>
        <v/>
      </c>
      <c r="O6473" s="94">
        <f>VLOOKUP($Q6473,매칭테이블!$F:$I,4,0)*K6473</f>
        <v/>
      </c>
      <c r="P6473" s="148">
        <f>M6473/1.1</f>
        <v/>
      </c>
      <c r="Q6473" s="94">
        <f>F6473&amp;E6473&amp;G6473&amp;L6473</f>
        <v/>
      </c>
    </row>
    <row r="6474">
      <c r="A6474" s="94" t="n"/>
      <c r="B6474" s="128" t="n">
        <v>43980</v>
      </c>
      <c r="C6474" s="94">
        <f>TEXT(B6474,"aaa")</f>
        <v/>
      </c>
      <c r="D6474" s="94" t="n"/>
      <c r="E6474" s="94" t="inlineStr">
        <is>
          <t>선크림</t>
        </is>
      </c>
      <c r="F6474" s="94" t="inlineStr">
        <is>
          <t>카페24</t>
        </is>
      </c>
      <c r="G6474" s="94" t="inlineStr">
        <is>
          <t>선크림 50ml</t>
        </is>
      </c>
      <c r="H6474" s="7" t="n">
        <v>190801</v>
      </c>
      <c r="I6474" s="7" t="n">
        <v>190801</v>
      </c>
      <c r="J6474" s="94" t="n"/>
      <c r="K6474" s="6" t="n">
        <v>8</v>
      </c>
      <c r="L6474" s="7" t="n">
        <v>190801</v>
      </c>
      <c r="M6474" s="94">
        <f>VLOOKUP($Q6474,매칭테이블!$F:$I,2,0)*K6474</f>
        <v/>
      </c>
      <c r="N6474" s="94">
        <f>M6474-M6474*VLOOKUP($Q6474,매칭테이블!$F:$I,3,0)</f>
        <v/>
      </c>
      <c r="O6474" s="94">
        <f>VLOOKUP($Q6474,매칭테이블!$F:$I,4,0)*K6474</f>
        <v/>
      </c>
      <c r="P6474" s="148">
        <f>M6474/1.1</f>
        <v/>
      </c>
      <c r="Q6474" s="94">
        <f>F6474&amp;E6474&amp;G6474&amp;L6474</f>
        <v/>
      </c>
    </row>
    <row r="6475">
      <c r="A6475" s="94" t="n"/>
      <c r="B6475" s="128" t="n">
        <v>43980</v>
      </c>
      <c r="C6475" s="94">
        <f>TEXT(B6475,"aaa")</f>
        <v/>
      </c>
      <c r="D6475" s="94" t="n"/>
      <c r="E6475" s="94" t="inlineStr">
        <is>
          <t>어성초진정패키지</t>
        </is>
      </c>
      <c r="F6475" s="94" t="inlineStr">
        <is>
          <t>카페24</t>
        </is>
      </c>
      <c r="G6475" s="94" t="inlineStr">
        <is>
          <t>어성초 진정패키지세트</t>
        </is>
      </c>
      <c r="H6475" s="7" t="n">
        <v>190801</v>
      </c>
      <c r="I6475" s="7" t="n">
        <v>190801</v>
      </c>
      <c r="J6475" s="94" t="n"/>
      <c r="K6475" s="6" t="n">
        <v>6</v>
      </c>
      <c r="L6475" s="94" t="n">
        <v>190801</v>
      </c>
      <c r="M6475" s="94">
        <f>VLOOKUP($Q6475,매칭테이블!$F:$I,2,0)*K6475</f>
        <v/>
      </c>
      <c r="N6475" s="94">
        <f>M6475-M6475*VLOOKUP($Q6475,매칭테이블!$F:$I,3,0)</f>
        <v/>
      </c>
      <c r="O6475" s="94">
        <f>VLOOKUP($Q6475,매칭테이블!$F:$I,4,0)*K6475</f>
        <v/>
      </c>
      <c r="P6475" s="148">
        <f>M6475/1.1</f>
        <v/>
      </c>
      <c r="Q6475" s="94">
        <f>F6475&amp;E6475&amp;G6475&amp;L6475</f>
        <v/>
      </c>
    </row>
    <row r="6476">
      <c r="A6476" s="94" t="n"/>
      <c r="B6476" s="128" t="n">
        <v>43980</v>
      </c>
      <c r="C6476" s="94">
        <f>TEXT(B6476,"aaa")</f>
        <v/>
      </c>
      <c r="D6476" s="94" t="n"/>
      <c r="E6476" s="94" t="inlineStr">
        <is>
          <t>머드크림마스크</t>
        </is>
      </c>
      <c r="F6476" s="94" t="inlineStr">
        <is>
          <t>카페24</t>
        </is>
      </c>
      <c r="G6476" s="94" t="inlineStr">
        <is>
          <t>머드크림마스크 100ml</t>
        </is>
      </c>
      <c r="H6476" s="7" t="n">
        <v>190801</v>
      </c>
      <c r="I6476" s="7" t="n">
        <v>190801</v>
      </c>
      <c r="J6476" s="94" t="n"/>
      <c r="K6476" s="6" t="n">
        <v>4</v>
      </c>
      <c r="L6476" s="94" t="n">
        <v>190801</v>
      </c>
      <c r="M6476" s="94">
        <f>VLOOKUP($Q6476,매칭테이블!$F:$I,2,0)*K6476</f>
        <v/>
      </c>
      <c r="N6476" s="94">
        <f>M6476-M6476*VLOOKUP($Q6476,매칭테이블!$F:$I,3,0)</f>
        <v/>
      </c>
      <c r="O6476" s="94">
        <f>VLOOKUP($Q6476,매칭테이블!$F:$I,4,0)*K6476</f>
        <v/>
      </c>
      <c r="P6476" s="148">
        <f>M6476/1.1</f>
        <v/>
      </c>
      <c r="Q6476" s="94">
        <f>F6476&amp;E6476&amp;G6476&amp;L6476</f>
        <v/>
      </c>
    </row>
    <row r="6477">
      <c r="A6477" s="94" t="n"/>
      <c r="B6477" s="128" t="n">
        <v>43980</v>
      </c>
      <c r="C6477" s="94">
        <f>TEXT(B6477,"aaa")</f>
        <v/>
      </c>
      <c r="D6477" s="94" t="n"/>
      <c r="E6477" s="94" t="inlineStr">
        <is>
          <t>마스크팩</t>
        </is>
      </c>
      <c r="F6477" s="94" t="inlineStr">
        <is>
          <t>카페24</t>
        </is>
      </c>
      <c r="G6477" s="94" t="inlineStr">
        <is>
          <t>마스크팩 1매</t>
        </is>
      </c>
      <c r="H6477" s="7" t="n">
        <v>190801</v>
      </c>
      <c r="I6477" s="7" t="n">
        <v>190801</v>
      </c>
      <c r="J6477" s="94" t="n"/>
      <c r="K6477" s="6" t="n">
        <v>3</v>
      </c>
      <c r="L6477" s="94" t="n">
        <v>190801</v>
      </c>
      <c r="M6477" s="94">
        <f>VLOOKUP($Q6477,매칭테이블!$F:$I,2,0)*K6477</f>
        <v/>
      </c>
      <c r="N6477" s="94">
        <f>M6477-M6477*VLOOKUP($Q6477,매칭테이블!$F:$I,3,0)</f>
        <v/>
      </c>
      <c r="O6477" s="94">
        <f>VLOOKUP($Q6477,매칭테이블!$F:$I,4,0)*K6477</f>
        <v/>
      </c>
      <c r="P6477" s="148">
        <f>M6477/1.1</f>
        <v/>
      </c>
      <c r="Q6477" s="94">
        <f>F6477&amp;E6477&amp;G6477&amp;L6477</f>
        <v/>
      </c>
    </row>
    <row r="6478">
      <c r="A6478" s="94" t="n"/>
      <c r="B6478" s="128" t="n">
        <v>43980</v>
      </c>
      <c r="C6478" s="94">
        <f>TEXT(B6478,"aaa")</f>
        <v/>
      </c>
      <c r="D6478" s="94" t="n"/>
      <c r="E6478" s="94" t="inlineStr">
        <is>
          <t>마스크팩</t>
        </is>
      </c>
      <c r="F6478" s="94" t="inlineStr">
        <is>
          <t>카페24</t>
        </is>
      </c>
      <c r="G6478" s="94" t="inlineStr">
        <is>
          <t>마스크팩 10매</t>
        </is>
      </c>
      <c r="H6478" s="7" t="n">
        <v>190801</v>
      </c>
      <c r="I6478" s="7" t="n">
        <v>190801</v>
      </c>
      <c r="J6478" s="94" t="n"/>
      <c r="K6478" s="6" t="n">
        <v>2</v>
      </c>
      <c r="L6478" s="94" t="n">
        <v>190801</v>
      </c>
      <c r="M6478" s="94">
        <f>VLOOKUP($Q6478,매칭테이블!$F:$I,2,0)*K6478</f>
        <v/>
      </c>
      <c r="N6478" s="94">
        <f>M6478-M6478*VLOOKUP($Q6478,매칭테이블!$F:$I,3,0)</f>
        <v/>
      </c>
      <c r="O6478" s="94">
        <f>VLOOKUP($Q6478,매칭테이블!$F:$I,4,0)*K6478</f>
        <v/>
      </c>
      <c r="P6478" s="148">
        <f>M6478/1.1</f>
        <v/>
      </c>
      <c r="Q6478" s="94">
        <f>F6478&amp;E6478&amp;G6478&amp;L6478</f>
        <v/>
      </c>
    </row>
    <row r="6479">
      <c r="A6479" s="94" t="n"/>
      <c r="B6479" s="128" t="n">
        <v>43980</v>
      </c>
      <c r="C6479" s="94">
        <f>TEXT(B6479,"aaa")</f>
        <v/>
      </c>
      <c r="D6479" s="94" t="n"/>
      <c r="E6479" s="6" t="inlineStr">
        <is>
          <t>토너</t>
        </is>
      </c>
      <c r="F6479" s="5" t="inlineStr">
        <is>
          <t>카페24</t>
        </is>
      </c>
      <c r="G6479" s="5" t="inlineStr">
        <is>
          <t>250ml</t>
        </is>
      </c>
      <c r="H6479" s="7" t="n">
        <v>190801</v>
      </c>
      <c r="I6479" s="7" t="n">
        <v>190801</v>
      </c>
      <c r="J6479" s="94" t="n"/>
      <c r="K6479" s="6" t="n">
        <v>24</v>
      </c>
      <c r="L6479" s="7" t="n">
        <v>190801</v>
      </c>
      <c r="M6479" s="94">
        <f>VLOOKUP($Q6479,매칭테이블!$F:$I,2,0)*K6479</f>
        <v/>
      </c>
      <c r="N6479" s="94">
        <f>M6479-M6479*VLOOKUP($Q6479,매칭테이블!$F:$I,3,0)</f>
        <v/>
      </c>
      <c r="O6479" s="94">
        <f>VLOOKUP($Q6479,매칭테이블!$F:$I,4,0)*K6479</f>
        <v/>
      </c>
      <c r="P6479" s="148">
        <f>M6479/1.1</f>
        <v/>
      </c>
      <c r="Q6479" s="94">
        <f>F6479&amp;E6479&amp;G6479&amp;L6479</f>
        <v/>
      </c>
    </row>
    <row r="6480">
      <c r="A6480" s="94" t="n"/>
      <c r="B6480" s="128" t="n">
        <v>43980</v>
      </c>
      <c r="C6480" s="94">
        <f>TEXT(B6480,"aaa")</f>
        <v/>
      </c>
      <c r="D6480" s="94" t="n"/>
      <c r="E6480" s="6" t="inlineStr">
        <is>
          <t>토너</t>
        </is>
      </c>
      <c r="F6480" s="5" t="inlineStr">
        <is>
          <t>카페24</t>
        </is>
      </c>
      <c r="G6480" s="5" t="inlineStr">
        <is>
          <t>250ml 2set</t>
        </is>
      </c>
      <c r="H6480" s="7" t="n">
        <v>190801</v>
      </c>
      <c r="I6480" s="7" t="n">
        <v>190801</v>
      </c>
      <c r="J6480" s="94" t="n"/>
      <c r="K6480" s="6" t="n">
        <v>70</v>
      </c>
      <c r="L6480" s="7" t="n">
        <v>190801</v>
      </c>
      <c r="M6480" s="94">
        <f>VLOOKUP($Q6480,매칭테이블!$F:$I,2,0)*K6480</f>
        <v/>
      </c>
      <c r="N6480" s="94">
        <f>M6480-M6480*VLOOKUP($Q6480,매칭테이블!$F:$I,3,0)</f>
        <v/>
      </c>
      <c r="O6480" s="94">
        <f>VLOOKUP($Q6480,매칭테이블!$F:$I,4,0)*K6480</f>
        <v/>
      </c>
      <c r="P6480" s="148">
        <f>M6480/1.1</f>
        <v/>
      </c>
      <c r="Q6480" s="94">
        <f>F6480&amp;E6480&amp;G6480&amp;L6480</f>
        <v/>
      </c>
    </row>
    <row r="6481">
      <c r="A6481" s="94" t="n"/>
      <c r="B6481" s="128" t="n">
        <v>43980</v>
      </c>
      <c r="C6481" s="94">
        <f>TEXT(B6481,"aaa")</f>
        <v/>
      </c>
      <c r="D6481" s="94" t="n"/>
      <c r="E6481" s="6" t="inlineStr">
        <is>
          <t>토너</t>
        </is>
      </c>
      <c r="F6481" s="5" t="inlineStr">
        <is>
          <t>카페24</t>
        </is>
      </c>
      <c r="G6481" s="5" t="inlineStr">
        <is>
          <t>500ml</t>
        </is>
      </c>
      <c r="H6481" s="7" t="n">
        <v>190801</v>
      </c>
      <c r="I6481" s="7" t="n">
        <v>190801</v>
      </c>
      <c r="J6481" s="94" t="n"/>
      <c r="K6481" s="6" t="n">
        <v>39</v>
      </c>
      <c r="L6481" s="7" t="n">
        <v>190801</v>
      </c>
      <c r="M6481" s="94">
        <f>VLOOKUP($Q6481,매칭테이블!$F:$I,2,0)*K6481</f>
        <v/>
      </c>
      <c r="N6481" s="94">
        <f>M6481-M6481*VLOOKUP($Q6481,매칭테이블!$F:$I,3,0)</f>
        <v/>
      </c>
      <c r="O6481" s="94">
        <f>VLOOKUP($Q6481,매칭테이블!$F:$I,4,0)*K6481</f>
        <v/>
      </c>
      <c r="P6481" s="148">
        <f>M6481/1.1</f>
        <v/>
      </c>
      <c r="Q6481" s="94">
        <f>F6481&amp;E6481&amp;G6481&amp;L6481</f>
        <v/>
      </c>
    </row>
    <row r="6482">
      <c r="A6482" s="94" t="n"/>
      <c r="B6482" s="128" t="n">
        <v>43980</v>
      </c>
      <c r="C6482" s="94">
        <f>TEXT(B6482,"aaa")</f>
        <v/>
      </c>
      <c r="D6482" s="94" t="n"/>
      <c r="E6482" s="6" t="inlineStr">
        <is>
          <t>토너</t>
        </is>
      </c>
      <c r="F6482" s="5" t="inlineStr">
        <is>
          <t>카페24</t>
        </is>
      </c>
      <c r="G6482" s="94" t="inlineStr">
        <is>
          <t>스킨팩 화장솜 60P</t>
        </is>
      </c>
      <c r="H6482" s="7" t="n">
        <v>190801</v>
      </c>
      <c r="I6482" s="7" t="n">
        <v>190801</v>
      </c>
      <c r="J6482" s="94" t="n"/>
      <c r="K6482" s="6" t="n">
        <v>23</v>
      </c>
      <c r="L6482" s="7" t="n">
        <v>190801</v>
      </c>
      <c r="M6482" s="94">
        <f>VLOOKUP($Q6482,매칭테이블!$F:$I,2,0)*K6482</f>
        <v/>
      </c>
      <c r="N6482" s="94">
        <f>M6482-M6482*VLOOKUP($Q6482,매칭테이블!$F:$I,3,0)</f>
        <v/>
      </c>
      <c r="O6482" s="94">
        <f>VLOOKUP($Q6482,매칭테이블!$F:$I,4,0)*K6482</f>
        <v/>
      </c>
      <c r="P6482" s="148">
        <f>M6482/1.1</f>
        <v/>
      </c>
      <c r="Q6482" s="94">
        <f>F6482&amp;E6482&amp;G6482&amp;L6482</f>
        <v/>
      </c>
    </row>
    <row r="6483">
      <c r="A6483" s="94" t="n"/>
      <c r="B6483" s="128" t="n">
        <v>43980</v>
      </c>
      <c r="C6483" s="94">
        <f>TEXT(B6483,"aaa")</f>
        <v/>
      </c>
      <c r="D6483" s="94" t="n"/>
      <c r="E6483" s="94" t="inlineStr">
        <is>
          <t>앰플</t>
        </is>
      </c>
      <c r="F6483" s="5" t="inlineStr">
        <is>
          <t>카페24</t>
        </is>
      </c>
      <c r="G6483" s="94" t="inlineStr">
        <is>
          <t>앰플 30ml</t>
        </is>
      </c>
      <c r="H6483" s="7" t="n">
        <v>190801</v>
      </c>
      <c r="I6483" s="7" t="n">
        <v>190801</v>
      </c>
      <c r="J6483" s="94" t="n"/>
      <c r="K6483" s="6" t="n">
        <v>12</v>
      </c>
      <c r="L6483" s="94" t="n">
        <v>190801</v>
      </c>
      <c r="M6483" s="94">
        <f>VLOOKUP($Q6483,매칭테이블!$F:$I,2,0)*K6483</f>
        <v/>
      </c>
      <c r="N6483" s="94">
        <f>M6483-M6483*VLOOKUP($Q6483,매칭테이블!$F:$I,3,0)</f>
        <v/>
      </c>
      <c r="O6483" s="94">
        <f>VLOOKUP($Q6483,매칭테이블!$F:$I,4,0)*K6483</f>
        <v/>
      </c>
      <c r="P6483" s="148">
        <f>M6483/1.1</f>
        <v/>
      </c>
      <c r="Q6483" s="94">
        <f>F6483&amp;E6483&amp;G6483&amp;L6483</f>
        <v/>
      </c>
    </row>
    <row r="6484">
      <c r="A6484" s="94" t="n"/>
      <c r="B6484" s="128" t="n">
        <v>43980</v>
      </c>
      <c r="C6484" s="94">
        <f>TEXT(B6484,"aaa")</f>
        <v/>
      </c>
      <c r="D6484" s="94" t="n"/>
      <c r="E6484" s="94" t="inlineStr">
        <is>
          <t>수딩크림</t>
        </is>
      </c>
      <c r="F6484" s="5" t="inlineStr">
        <is>
          <t>카페24</t>
        </is>
      </c>
      <c r="G6484" s="94" t="inlineStr">
        <is>
          <t>수딩크림 100ml</t>
        </is>
      </c>
      <c r="H6484" s="7" t="n">
        <v>190801</v>
      </c>
      <c r="I6484" s="7" t="n">
        <v>190801</v>
      </c>
      <c r="J6484" s="94" t="n"/>
      <c r="K6484" s="6" t="n">
        <v>5</v>
      </c>
      <c r="L6484" s="94" t="n">
        <v>190801</v>
      </c>
      <c r="M6484" s="94">
        <f>VLOOKUP($Q6484,매칭테이블!$F:$I,2,0)*K6484</f>
        <v/>
      </c>
      <c r="N6484" s="94">
        <f>M6484-M6484*VLOOKUP($Q6484,매칭테이블!$F:$I,3,0)</f>
        <v/>
      </c>
      <c r="O6484" s="94">
        <f>VLOOKUP($Q6484,매칭테이블!$F:$I,4,0)*K6484</f>
        <v/>
      </c>
      <c r="P6484" s="148">
        <f>M6484/1.1</f>
        <v/>
      </c>
      <c r="Q6484" s="94">
        <f>F6484&amp;E6484&amp;G6484&amp;L6484</f>
        <v/>
      </c>
    </row>
    <row r="6485">
      <c r="A6485" s="94" t="n"/>
      <c r="B6485" s="128" t="n">
        <v>43980</v>
      </c>
      <c r="C6485" s="94">
        <f>TEXT(B6485,"aaa")</f>
        <v/>
      </c>
      <c r="D6485" s="94" t="n"/>
      <c r="E6485" s="94" t="inlineStr">
        <is>
          <t>클렌징폼</t>
        </is>
      </c>
      <c r="F6485" s="94" t="inlineStr">
        <is>
          <t>카페24</t>
        </is>
      </c>
      <c r="G6485" s="94" t="inlineStr">
        <is>
          <t>클렌징폼 120ml</t>
        </is>
      </c>
      <c r="H6485" s="7" t="n">
        <v>190801</v>
      </c>
      <c r="I6485" s="7" t="n">
        <v>190801</v>
      </c>
      <c r="J6485" s="94" t="n"/>
      <c r="K6485" s="6" t="n">
        <v>3</v>
      </c>
      <c r="L6485" s="92" t="n">
        <v>190801</v>
      </c>
      <c r="M6485" s="94">
        <f>VLOOKUP($Q6485,매칭테이블!$F:$I,2,0)*K6485</f>
        <v/>
      </c>
      <c r="N6485" s="94">
        <f>M6485-M6485*VLOOKUP($Q6485,매칭테이블!$F:$I,3,0)</f>
        <v/>
      </c>
      <c r="O6485" s="94">
        <f>VLOOKUP($Q6485,매칭테이블!$F:$I,4,0)*K6485</f>
        <v/>
      </c>
      <c r="P6485" s="148">
        <f>M6485/1.1</f>
        <v/>
      </c>
      <c r="Q6485" s="94">
        <f>F6485&amp;E6485&amp;G6485&amp;L6485</f>
        <v/>
      </c>
    </row>
    <row r="6486">
      <c r="A6486" s="94" t="n"/>
      <c r="B6486" s="128" t="n">
        <v>43980</v>
      </c>
      <c r="C6486" s="94">
        <f>TEXT(B6486,"aaa")</f>
        <v/>
      </c>
      <c r="D6486" s="94" t="n"/>
      <c r="E6486" s="94" t="inlineStr">
        <is>
          <t>클렌징폼</t>
        </is>
      </c>
      <c r="F6486" s="94" t="inlineStr">
        <is>
          <t>카페24</t>
        </is>
      </c>
      <c r="G6486" s="94" t="inlineStr">
        <is>
          <t>클렌징폼 120ml 2set</t>
        </is>
      </c>
      <c r="H6486" s="7" t="n">
        <v>190801</v>
      </c>
      <c r="I6486" s="7" t="n">
        <v>190801</v>
      </c>
      <c r="J6486" s="94" t="n"/>
      <c r="K6486" s="6" t="n">
        <v>3</v>
      </c>
      <c r="L6486" s="92" t="n">
        <v>190801</v>
      </c>
      <c r="M6486" s="94">
        <f>VLOOKUP($Q6486,매칭테이블!$F:$I,2,0)*K6486</f>
        <v/>
      </c>
      <c r="N6486" s="94">
        <f>M6486-M6486*VLOOKUP($Q6486,매칭테이블!$F:$I,3,0)</f>
        <v/>
      </c>
      <c r="O6486" s="94">
        <f>VLOOKUP($Q6486,매칭테이블!$F:$I,4,0)*K6486</f>
        <v/>
      </c>
      <c r="P6486" s="148">
        <f>M6486/1.1</f>
        <v/>
      </c>
      <c r="Q6486" s="94">
        <f>F6486&amp;E6486&amp;G6486&amp;L6486</f>
        <v/>
      </c>
    </row>
    <row r="6487">
      <c r="A6487" s="94" t="n"/>
      <c r="B6487" s="128" t="n">
        <v>43980</v>
      </c>
      <c r="C6487" s="94">
        <f>TEXT(B6487,"aaa")</f>
        <v/>
      </c>
      <c r="D6487" s="94" t="n"/>
      <c r="E6487" s="94" t="inlineStr">
        <is>
          <t>클렌징폼</t>
        </is>
      </c>
      <c r="F6487" s="94" t="inlineStr">
        <is>
          <t>카페24</t>
        </is>
      </c>
      <c r="G6487" s="94" t="inlineStr">
        <is>
          <t>클렌징폼 120ml 3set</t>
        </is>
      </c>
      <c r="H6487" s="7" t="n">
        <v>190801</v>
      </c>
      <c r="I6487" s="7" t="n">
        <v>190801</v>
      </c>
      <c r="J6487" s="94" t="n"/>
      <c r="K6487" s="6" t="n">
        <v>1</v>
      </c>
      <c r="L6487" s="92" t="n">
        <v>190801</v>
      </c>
      <c r="M6487" s="94">
        <f>VLOOKUP($Q6487,매칭테이블!$F:$I,2,0)*K6487</f>
        <v/>
      </c>
      <c r="N6487" s="94">
        <f>M6487-M6487*VLOOKUP($Q6487,매칭테이블!$F:$I,3,0)</f>
        <v/>
      </c>
      <c r="O6487" s="94">
        <f>VLOOKUP($Q6487,매칭테이블!$F:$I,4,0)*K6487</f>
        <v/>
      </c>
      <c r="P6487" s="148">
        <f>M6487/1.1</f>
        <v/>
      </c>
      <c r="Q6487" s="94">
        <f>F6487&amp;E6487&amp;G6487&amp;L6487</f>
        <v/>
      </c>
    </row>
    <row r="6488">
      <c r="A6488" s="94" t="n"/>
      <c r="B6488" s="128" t="n">
        <v>43980</v>
      </c>
      <c r="C6488" s="94">
        <f>TEXT(B6488,"aaa")</f>
        <v/>
      </c>
      <c r="D6488" s="94" t="n"/>
      <c r="E6488" s="6" t="inlineStr">
        <is>
          <t>토너</t>
        </is>
      </c>
      <c r="F6488" s="5" t="inlineStr">
        <is>
          <t>큐텐</t>
        </is>
      </c>
      <c r="G6488" s="5" t="inlineStr">
        <is>
          <t>250ml</t>
        </is>
      </c>
      <c r="H6488" s="7" t="n">
        <v>190801</v>
      </c>
      <c r="I6488" s="7" t="n">
        <v>190801</v>
      </c>
      <c r="J6488" s="94" t="n"/>
      <c r="K6488" s="6" t="n">
        <v>15</v>
      </c>
      <c r="L6488" s="92" t="n">
        <v>190801</v>
      </c>
      <c r="M6488" s="94">
        <f>VLOOKUP($Q6488,매칭테이블!$F:$I,2,0)*K6488</f>
        <v/>
      </c>
      <c r="N6488" s="94">
        <f>M6488-M6488*VLOOKUP($Q6488,매칭테이블!$F:$I,3,0)</f>
        <v/>
      </c>
      <c r="O6488" s="94">
        <f>VLOOKUP($Q6488,매칭테이블!$F:$I,4,0)*K6488</f>
        <v/>
      </c>
      <c r="P6488" s="148">
        <f>M6488/1.1</f>
        <v/>
      </c>
      <c r="Q6488" s="94">
        <f>F6488&amp;E6488&amp;G6488&amp;L6488</f>
        <v/>
      </c>
    </row>
    <row r="6489">
      <c r="A6489" s="94" t="n"/>
      <c r="B6489" s="128" t="n">
        <v>43980</v>
      </c>
      <c r="C6489" s="94">
        <f>TEXT(B6489,"aaa")</f>
        <v/>
      </c>
      <c r="D6489" s="94" t="n"/>
      <c r="E6489" s="6" t="inlineStr">
        <is>
          <t>토너</t>
        </is>
      </c>
      <c r="F6489" s="5" t="inlineStr">
        <is>
          <t>큐텐</t>
        </is>
      </c>
      <c r="G6489" s="5" t="inlineStr">
        <is>
          <t>250ml 2set</t>
        </is>
      </c>
      <c r="H6489" s="7" t="n">
        <v>190801</v>
      </c>
      <c r="I6489" s="7" t="n">
        <v>190801</v>
      </c>
      <c r="J6489" s="94" t="n"/>
      <c r="K6489" s="6" t="n">
        <v>17</v>
      </c>
      <c r="L6489" s="92" t="n">
        <v>190801</v>
      </c>
      <c r="M6489" s="94">
        <f>VLOOKUP($Q6489,매칭테이블!$F:$I,2,0)*K6489</f>
        <v/>
      </c>
      <c r="N6489" s="94">
        <f>M6489-M6489*VLOOKUP($Q6489,매칭테이블!$F:$I,3,0)</f>
        <v/>
      </c>
      <c r="O6489" s="94">
        <f>VLOOKUP($Q6489,매칭테이블!$F:$I,4,0)*K6489</f>
        <v/>
      </c>
      <c r="P6489" s="148">
        <f>M6489/1.1</f>
        <v/>
      </c>
      <c r="Q6489" s="94">
        <f>F6489&amp;E6489&amp;G6489&amp;L6489</f>
        <v/>
      </c>
    </row>
    <row r="6490">
      <c r="A6490" s="94" t="n"/>
      <c r="B6490" s="128" t="n">
        <v>43980</v>
      </c>
      <c r="C6490" s="94">
        <f>TEXT(B6490,"aaa")</f>
        <v/>
      </c>
      <c r="D6490" s="94" t="n"/>
      <c r="E6490" s="94" t="inlineStr">
        <is>
          <t>앰플</t>
        </is>
      </c>
      <c r="F6490" s="5" t="inlineStr">
        <is>
          <t>큐텐</t>
        </is>
      </c>
      <c r="G6490" s="94" t="inlineStr">
        <is>
          <t>앰플 30ml</t>
        </is>
      </c>
      <c r="H6490" s="7" t="n">
        <v>190801</v>
      </c>
      <c r="I6490" s="7" t="n">
        <v>190801</v>
      </c>
      <c r="J6490" s="94" t="n"/>
      <c r="K6490" s="6" t="n">
        <v>2</v>
      </c>
      <c r="L6490" s="94" t="n">
        <v>190801</v>
      </c>
      <c r="M6490" s="94">
        <f>VLOOKUP($Q6490,매칭테이블!$F:$I,2,0)*K6490</f>
        <v/>
      </c>
      <c r="N6490" s="94">
        <f>M6490-M6490*VLOOKUP($Q6490,매칭테이블!$F:$I,3,0)</f>
        <v/>
      </c>
      <c r="O6490" s="94">
        <f>VLOOKUP($Q6490,매칭테이블!$F:$I,4,0)*K6490</f>
        <v/>
      </c>
      <c r="P6490" s="148">
        <f>M6490/1.1</f>
        <v/>
      </c>
      <c r="Q6490" s="94">
        <f>F6490&amp;E6490&amp;G6490&amp;L6490</f>
        <v/>
      </c>
    </row>
    <row r="6491">
      <c r="A6491" s="94" t="n"/>
      <c r="B6491" s="128" t="n">
        <v>43981</v>
      </c>
      <c r="C6491" s="94">
        <f>TEXT(B6491,"aaa")</f>
        <v/>
      </c>
      <c r="D6491" s="94" t="n"/>
      <c r="E6491" s="94" t="inlineStr">
        <is>
          <t>토너</t>
        </is>
      </c>
      <c r="F6491" s="5" t="inlineStr">
        <is>
          <t>스타일쉐어</t>
        </is>
      </c>
      <c r="G6491" s="94" t="inlineStr">
        <is>
          <t>250ml</t>
        </is>
      </c>
      <c r="H6491" s="7" t="n">
        <v>190801</v>
      </c>
      <c r="I6491" s="7" t="n">
        <v>190801</v>
      </c>
      <c r="J6491" s="94" t="n"/>
      <c r="K6491" s="6" t="n">
        <v>2</v>
      </c>
      <c r="L6491" s="7" t="n">
        <v>190801</v>
      </c>
      <c r="M6491" s="94">
        <f>VLOOKUP($Q6491,매칭테이블!$F:$I,2,0)*K6491</f>
        <v/>
      </c>
      <c r="N6491" s="94">
        <f>M6491-M6491*VLOOKUP($Q6491,매칭테이블!$F:$I,3,0)</f>
        <v/>
      </c>
      <c r="O6491" s="94">
        <f>VLOOKUP($Q6491,매칭테이블!$F:$I,4,0)*K6491</f>
        <v/>
      </c>
      <c r="P6491" s="148">
        <f>M6491/1.1</f>
        <v/>
      </c>
      <c r="Q6491" s="94">
        <f>F6491&amp;E6491&amp;G6491&amp;L6491</f>
        <v/>
      </c>
    </row>
    <row r="6492">
      <c r="A6492" s="94" t="n"/>
      <c r="B6492" s="128" t="n">
        <v>43981</v>
      </c>
      <c r="C6492" s="94">
        <f>TEXT(B6492,"aaa")</f>
        <v/>
      </c>
      <c r="D6492" s="94" t="n"/>
      <c r="E6492" s="94" t="inlineStr">
        <is>
          <t>선크림</t>
        </is>
      </c>
      <c r="F6492" s="94" t="inlineStr">
        <is>
          <t>카페24</t>
        </is>
      </c>
      <c r="G6492" s="94" t="inlineStr">
        <is>
          <t>선크림 50ml</t>
        </is>
      </c>
      <c r="H6492" s="7" t="n">
        <v>190801</v>
      </c>
      <c r="I6492" s="7" t="n">
        <v>190801</v>
      </c>
      <c r="J6492" s="94" t="n"/>
      <c r="K6492" s="6" t="n">
        <v>7</v>
      </c>
      <c r="L6492" s="7" t="n">
        <v>190801</v>
      </c>
      <c r="M6492" s="94">
        <f>VLOOKUP($Q6492,매칭테이블!$F:$I,2,0)*K6492</f>
        <v/>
      </c>
      <c r="N6492" s="94">
        <f>M6492-M6492*VLOOKUP($Q6492,매칭테이블!$F:$I,3,0)</f>
        <v/>
      </c>
      <c r="O6492" s="94">
        <f>VLOOKUP($Q6492,매칭테이블!$F:$I,4,0)*K6492</f>
        <v/>
      </c>
      <c r="P6492" s="148">
        <f>M6492/1.1</f>
        <v/>
      </c>
      <c r="Q6492" s="94">
        <f>F6492&amp;E6492&amp;G6492&amp;L6492</f>
        <v/>
      </c>
    </row>
    <row r="6493">
      <c r="A6493" s="94" t="n"/>
      <c r="B6493" s="128" t="n">
        <v>43981</v>
      </c>
      <c r="C6493" s="94">
        <f>TEXT(B6493,"aaa")</f>
        <v/>
      </c>
      <c r="D6493" s="94" t="n"/>
      <c r="E6493" s="94" t="inlineStr">
        <is>
          <t>어성초진정패키지</t>
        </is>
      </c>
      <c r="F6493" s="94" t="inlineStr">
        <is>
          <t>카페24</t>
        </is>
      </c>
      <c r="G6493" s="94" t="inlineStr">
        <is>
          <t>어성초 진정패키지세트</t>
        </is>
      </c>
      <c r="H6493" s="7" t="n">
        <v>190801</v>
      </c>
      <c r="I6493" s="7" t="n">
        <v>190801</v>
      </c>
      <c r="J6493" s="94" t="n"/>
      <c r="K6493" s="6" t="n">
        <v>7</v>
      </c>
      <c r="L6493" s="94" t="n">
        <v>190801</v>
      </c>
      <c r="M6493" s="94">
        <f>VLOOKUP($Q6493,매칭테이블!$F:$I,2,0)*K6493</f>
        <v/>
      </c>
      <c r="N6493" s="94">
        <f>M6493-M6493*VLOOKUP($Q6493,매칭테이블!$F:$I,3,0)</f>
        <v/>
      </c>
      <c r="O6493" s="94">
        <f>VLOOKUP($Q6493,매칭테이블!$F:$I,4,0)*K6493</f>
        <v/>
      </c>
      <c r="P6493" s="148">
        <f>M6493/1.1</f>
        <v/>
      </c>
      <c r="Q6493" s="94">
        <f>F6493&amp;E6493&amp;G6493&amp;L6493</f>
        <v/>
      </c>
    </row>
    <row r="6494">
      <c r="A6494" s="94" t="n"/>
      <c r="B6494" s="128" t="n">
        <v>43981</v>
      </c>
      <c r="C6494" s="94">
        <f>TEXT(B6494,"aaa")</f>
        <v/>
      </c>
      <c r="D6494" s="94" t="n"/>
      <c r="E6494" s="94" t="inlineStr">
        <is>
          <t>머드크림마스크</t>
        </is>
      </c>
      <c r="F6494" s="94" t="inlineStr">
        <is>
          <t>카페24</t>
        </is>
      </c>
      <c r="G6494" s="94" t="inlineStr">
        <is>
          <t>머드크림마스크 100ml</t>
        </is>
      </c>
      <c r="H6494" s="7" t="n">
        <v>190801</v>
      </c>
      <c r="I6494" s="7" t="n">
        <v>190801</v>
      </c>
      <c r="J6494" s="94" t="n"/>
      <c r="K6494" s="6" t="n">
        <v>2</v>
      </c>
      <c r="L6494" s="94" t="n">
        <v>190801</v>
      </c>
      <c r="M6494" s="94">
        <f>VLOOKUP($Q6494,매칭테이블!$F:$I,2,0)*K6494</f>
        <v/>
      </c>
      <c r="N6494" s="94">
        <f>M6494-M6494*VLOOKUP($Q6494,매칭테이블!$F:$I,3,0)</f>
        <v/>
      </c>
      <c r="O6494" s="94">
        <f>VLOOKUP($Q6494,매칭테이블!$F:$I,4,0)*K6494</f>
        <v/>
      </c>
      <c r="P6494" s="148">
        <f>M6494/1.1</f>
        <v/>
      </c>
      <c r="Q6494" s="94">
        <f>F6494&amp;E6494&amp;G6494&amp;L6494</f>
        <v/>
      </c>
    </row>
    <row r="6495">
      <c r="A6495" s="94" t="n"/>
      <c r="B6495" s="128" t="n">
        <v>43981</v>
      </c>
      <c r="C6495" s="94">
        <f>TEXT(B6495,"aaa")</f>
        <v/>
      </c>
      <c r="D6495" s="94" t="n"/>
      <c r="E6495" s="94" t="inlineStr">
        <is>
          <t>마스크팩</t>
        </is>
      </c>
      <c r="F6495" s="94" t="inlineStr">
        <is>
          <t>카페24</t>
        </is>
      </c>
      <c r="G6495" s="94" t="inlineStr">
        <is>
          <t>마스크팩 10매</t>
        </is>
      </c>
      <c r="H6495" s="7" t="n">
        <v>190801</v>
      </c>
      <c r="I6495" s="7" t="n">
        <v>190801</v>
      </c>
      <c r="J6495" s="94" t="n"/>
      <c r="K6495" s="6" t="n">
        <v>1</v>
      </c>
      <c r="L6495" s="94" t="n">
        <v>190801</v>
      </c>
      <c r="M6495" s="94">
        <f>VLOOKUP($Q6495,매칭테이블!$F:$I,2,0)*K6495</f>
        <v/>
      </c>
      <c r="N6495" s="94">
        <f>M6495-M6495*VLOOKUP($Q6495,매칭테이블!$F:$I,3,0)</f>
        <v/>
      </c>
      <c r="O6495" s="94">
        <f>VLOOKUP($Q6495,매칭테이블!$F:$I,4,0)*K6495</f>
        <v/>
      </c>
      <c r="P6495" s="148">
        <f>M6495/1.1</f>
        <v/>
      </c>
      <c r="Q6495" s="94">
        <f>F6495&amp;E6495&amp;G6495&amp;L6495</f>
        <v/>
      </c>
    </row>
    <row r="6496">
      <c r="A6496" s="94" t="n"/>
      <c r="B6496" s="128" t="n">
        <v>43981</v>
      </c>
      <c r="C6496" s="94">
        <f>TEXT(B6496,"aaa")</f>
        <v/>
      </c>
      <c r="D6496" s="94" t="n"/>
      <c r="E6496" s="6" t="inlineStr">
        <is>
          <t>토너</t>
        </is>
      </c>
      <c r="F6496" s="5" t="inlineStr">
        <is>
          <t>카페24</t>
        </is>
      </c>
      <c r="G6496" s="5" t="inlineStr">
        <is>
          <t>250ml</t>
        </is>
      </c>
      <c r="H6496" s="7" t="n">
        <v>190801</v>
      </c>
      <c r="I6496" s="7" t="n">
        <v>190801</v>
      </c>
      <c r="J6496" s="94" t="n"/>
      <c r="K6496" s="6" t="n">
        <v>38</v>
      </c>
      <c r="L6496" s="7" t="n">
        <v>190801</v>
      </c>
      <c r="M6496" s="94">
        <f>VLOOKUP($Q6496,매칭테이블!$F:$I,2,0)*K6496</f>
        <v/>
      </c>
      <c r="N6496" s="94">
        <f>M6496-M6496*VLOOKUP($Q6496,매칭테이블!$F:$I,3,0)</f>
        <v/>
      </c>
      <c r="O6496" s="94">
        <f>VLOOKUP($Q6496,매칭테이블!$F:$I,4,0)*K6496</f>
        <v/>
      </c>
      <c r="P6496" s="148">
        <f>M6496/1.1</f>
        <v/>
      </c>
      <c r="Q6496" s="94">
        <f>F6496&amp;E6496&amp;G6496&amp;L6496</f>
        <v/>
      </c>
    </row>
    <row r="6497">
      <c r="A6497" s="94" t="n"/>
      <c r="B6497" s="128" t="n">
        <v>43981</v>
      </c>
      <c r="C6497" s="94">
        <f>TEXT(B6497,"aaa")</f>
        <v/>
      </c>
      <c r="D6497" s="94" t="n"/>
      <c r="E6497" s="6" t="inlineStr">
        <is>
          <t>토너</t>
        </is>
      </c>
      <c r="F6497" s="5" t="inlineStr">
        <is>
          <t>카페24</t>
        </is>
      </c>
      <c r="G6497" s="5" t="inlineStr">
        <is>
          <t>250ml 2set</t>
        </is>
      </c>
      <c r="H6497" s="7" t="n">
        <v>190801</v>
      </c>
      <c r="I6497" s="7" t="n">
        <v>190801</v>
      </c>
      <c r="J6497" s="94" t="n"/>
      <c r="K6497" s="6" t="n">
        <v>31</v>
      </c>
      <c r="L6497" s="7" t="n">
        <v>190801</v>
      </c>
      <c r="M6497" s="94">
        <f>VLOOKUP($Q6497,매칭테이블!$F:$I,2,0)*K6497</f>
        <v/>
      </c>
      <c r="N6497" s="94">
        <f>M6497-M6497*VLOOKUP($Q6497,매칭테이블!$F:$I,3,0)</f>
        <v/>
      </c>
      <c r="O6497" s="94">
        <f>VLOOKUP($Q6497,매칭테이블!$F:$I,4,0)*K6497</f>
        <v/>
      </c>
      <c r="P6497" s="148">
        <f>M6497/1.1</f>
        <v/>
      </c>
      <c r="Q6497" s="94">
        <f>F6497&amp;E6497&amp;G6497&amp;L6497</f>
        <v/>
      </c>
    </row>
    <row r="6498">
      <c r="A6498" s="94" t="n"/>
      <c r="B6498" s="128" t="n">
        <v>43981</v>
      </c>
      <c r="C6498" s="94">
        <f>TEXT(B6498,"aaa")</f>
        <v/>
      </c>
      <c r="D6498" s="94" t="n"/>
      <c r="E6498" s="6" t="inlineStr">
        <is>
          <t>토너</t>
        </is>
      </c>
      <c r="F6498" s="5" t="inlineStr">
        <is>
          <t>카페24</t>
        </is>
      </c>
      <c r="G6498" s="5" t="inlineStr">
        <is>
          <t>500ml</t>
        </is>
      </c>
      <c r="H6498" s="7" t="n">
        <v>190801</v>
      </c>
      <c r="I6498" s="7" t="n">
        <v>190801</v>
      </c>
      <c r="J6498" s="94" t="n"/>
      <c r="K6498" s="6" t="n">
        <v>20</v>
      </c>
      <c r="L6498" s="7" t="n">
        <v>190801</v>
      </c>
      <c r="M6498" s="94">
        <f>VLOOKUP($Q6498,매칭테이블!$F:$I,2,0)*K6498</f>
        <v/>
      </c>
      <c r="N6498" s="94">
        <f>M6498-M6498*VLOOKUP($Q6498,매칭테이블!$F:$I,3,0)</f>
        <v/>
      </c>
      <c r="O6498" s="94">
        <f>VLOOKUP($Q6498,매칭테이블!$F:$I,4,0)*K6498</f>
        <v/>
      </c>
      <c r="P6498" s="148">
        <f>M6498/1.1</f>
        <v/>
      </c>
      <c r="Q6498" s="94">
        <f>F6498&amp;E6498&amp;G6498&amp;L6498</f>
        <v/>
      </c>
    </row>
    <row r="6499">
      <c r="A6499" s="94" t="n"/>
      <c r="B6499" s="128" t="n">
        <v>43981</v>
      </c>
      <c r="C6499" s="94">
        <f>TEXT(B6499,"aaa")</f>
        <v/>
      </c>
      <c r="D6499" s="94" t="n"/>
      <c r="E6499" s="6" t="inlineStr">
        <is>
          <t>토너</t>
        </is>
      </c>
      <c r="F6499" s="5" t="inlineStr">
        <is>
          <t>카페24</t>
        </is>
      </c>
      <c r="G6499" s="94" t="inlineStr">
        <is>
          <t>스킨팩 화장솜 60P</t>
        </is>
      </c>
      <c r="H6499" s="7" t="n">
        <v>190801</v>
      </c>
      <c r="I6499" s="7" t="n">
        <v>190801</v>
      </c>
      <c r="J6499" s="94" t="n"/>
      <c r="K6499" s="6" t="n">
        <v>41</v>
      </c>
      <c r="L6499" s="7" t="n">
        <v>190801</v>
      </c>
      <c r="M6499" s="94">
        <f>VLOOKUP($Q6499,매칭테이블!$F:$I,2,0)*K6499</f>
        <v/>
      </c>
      <c r="N6499" s="94">
        <f>M6499-M6499*VLOOKUP($Q6499,매칭테이블!$F:$I,3,0)</f>
        <v/>
      </c>
      <c r="O6499" s="94">
        <f>VLOOKUP($Q6499,매칭테이블!$F:$I,4,0)*K6499</f>
        <v/>
      </c>
      <c r="P6499" s="148">
        <f>M6499/1.1</f>
        <v/>
      </c>
      <c r="Q6499" s="94">
        <f>F6499&amp;E6499&amp;G6499&amp;L6499</f>
        <v/>
      </c>
    </row>
    <row r="6500">
      <c r="A6500" s="94" t="n"/>
      <c r="B6500" s="128" t="n">
        <v>43981</v>
      </c>
      <c r="C6500" s="94">
        <f>TEXT(B6500,"aaa")</f>
        <v/>
      </c>
      <c r="D6500" s="94" t="n"/>
      <c r="E6500" s="94" t="inlineStr">
        <is>
          <t>앰플</t>
        </is>
      </c>
      <c r="F6500" s="5" t="inlineStr">
        <is>
          <t>카페24</t>
        </is>
      </c>
      <c r="G6500" s="94" t="inlineStr">
        <is>
          <t>앰플 30ml</t>
        </is>
      </c>
      <c r="H6500" s="7" t="n">
        <v>190801</v>
      </c>
      <c r="I6500" s="7" t="n">
        <v>190801</v>
      </c>
      <c r="J6500" s="94" t="n"/>
      <c r="K6500" s="6" t="n">
        <v>12</v>
      </c>
      <c r="L6500" s="94" t="n">
        <v>190801</v>
      </c>
      <c r="M6500" s="94">
        <f>VLOOKUP($Q6500,매칭테이블!$F:$I,2,0)*K6500</f>
        <v/>
      </c>
      <c r="N6500" s="94">
        <f>M6500-M6500*VLOOKUP($Q6500,매칭테이블!$F:$I,3,0)</f>
        <v/>
      </c>
      <c r="O6500" s="94">
        <f>VLOOKUP($Q6500,매칭테이블!$F:$I,4,0)*K6500</f>
        <v/>
      </c>
      <c r="P6500" s="148">
        <f>M6500/1.1</f>
        <v/>
      </c>
      <c r="Q6500" s="94">
        <f>F6500&amp;E6500&amp;G6500&amp;L6500</f>
        <v/>
      </c>
    </row>
    <row r="6501">
      <c r="A6501" s="94" t="n"/>
      <c r="B6501" s="128" t="n">
        <v>43981</v>
      </c>
      <c r="C6501" s="94">
        <f>TEXT(B6501,"aaa")</f>
        <v/>
      </c>
      <c r="D6501" s="94" t="n"/>
      <c r="E6501" s="94" t="inlineStr">
        <is>
          <t>수딩크림</t>
        </is>
      </c>
      <c r="F6501" s="5" t="inlineStr">
        <is>
          <t>카페24</t>
        </is>
      </c>
      <c r="G6501" s="94" t="inlineStr">
        <is>
          <t>수딩크림 100ml</t>
        </is>
      </c>
      <c r="H6501" s="7" t="n">
        <v>190801</v>
      </c>
      <c r="I6501" s="7" t="n">
        <v>190801</v>
      </c>
      <c r="J6501" s="94" t="n"/>
      <c r="K6501" s="6" t="n">
        <v>3</v>
      </c>
      <c r="L6501" s="94" t="n">
        <v>190801</v>
      </c>
      <c r="M6501" s="94">
        <f>VLOOKUP($Q6501,매칭테이블!$F:$I,2,0)*K6501</f>
        <v/>
      </c>
      <c r="N6501" s="94">
        <f>M6501-M6501*VLOOKUP($Q6501,매칭테이블!$F:$I,3,0)</f>
        <v/>
      </c>
      <c r="O6501" s="94">
        <f>VLOOKUP($Q6501,매칭테이블!$F:$I,4,0)*K6501</f>
        <v/>
      </c>
      <c r="P6501" s="148">
        <f>M6501/1.1</f>
        <v/>
      </c>
      <c r="Q6501" s="94">
        <f>F6501&amp;E6501&amp;G6501&amp;L6501</f>
        <v/>
      </c>
    </row>
    <row r="6502">
      <c r="A6502" s="94" t="n"/>
      <c r="B6502" s="128" t="n">
        <v>43981</v>
      </c>
      <c r="C6502" s="94">
        <f>TEXT(B6502,"aaa")</f>
        <v/>
      </c>
      <c r="D6502" s="94" t="n"/>
      <c r="E6502" s="94" t="inlineStr">
        <is>
          <t>클렌징폼</t>
        </is>
      </c>
      <c r="F6502" s="94" t="inlineStr">
        <is>
          <t>카페24</t>
        </is>
      </c>
      <c r="G6502" s="94" t="inlineStr">
        <is>
          <t>클렌징폼 120ml</t>
        </is>
      </c>
      <c r="H6502" s="7" t="n">
        <v>190801</v>
      </c>
      <c r="I6502" s="7" t="n">
        <v>190801</v>
      </c>
      <c r="J6502" s="94" t="n"/>
      <c r="K6502" s="6" t="n">
        <v>7</v>
      </c>
      <c r="L6502" s="92" t="n">
        <v>190801</v>
      </c>
      <c r="M6502" s="94">
        <f>VLOOKUP($Q6502,매칭테이블!$F:$I,2,0)*K6502</f>
        <v/>
      </c>
      <c r="N6502" s="94">
        <f>M6502-M6502*VLOOKUP($Q6502,매칭테이블!$F:$I,3,0)</f>
        <v/>
      </c>
      <c r="O6502" s="94">
        <f>VLOOKUP($Q6502,매칭테이블!$F:$I,4,0)*K6502</f>
        <v/>
      </c>
      <c r="P6502" s="148">
        <f>M6502/1.1</f>
        <v/>
      </c>
      <c r="Q6502" s="94">
        <f>F6502&amp;E6502&amp;G6502&amp;L6502</f>
        <v/>
      </c>
    </row>
    <row r="6503">
      <c r="A6503" s="94" t="n"/>
      <c r="B6503" s="128" t="n">
        <v>43981</v>
      </c>
      <c r="C6503" s="94">
        <f>TEXT(B6503,"aaa")</f>
        <v/>
      </c>
      <c r="D6503" s="94" t="n"/>
      <c r="E6503" s="94" t="inlineStr">
        <is>
          <t>클렌징폼</t>
        </is>
      </c>
      <c r="F6503" s="94" t="inlineStr">
        <is>
          <t>카페24</t>
        </is>
      </c>
      <c r="G6503" s="94" t="inlineStr">
        <is>
          <t>클렌징폼 120ml 2set</t>
        </is>
      </c>
      <c r="H6503" s="7" t="n">
        <v>190801</v>
      </c>
      <c r="I6503" s="7" t="n">
        <v>190801</v>
      </c>
      <c r="J6503" s="94" t="n"/>
      <c r="K6503" s="6" t="n">
        <v>1</v>
      </c>
      <c r="L6503" s="92" t="n">
        <v>190801</v>
      </c>
      <c r="M6503" s="94">
        <f>VLOOKUP($Q6503,매칭테이블!$F:$I,2,0)*K6503</f>
        <v/>
      </c>
      <c r="N6503" s="94">
        <f>M6503-M6503*VLOOKUP($Q6503,매칭테이블!$F:$I,3,0)</f>
        <v/>
      </c>
      <c r="O6503" s="94">
        <f>VLOOKUP($Q6503,매칭테이블!$F:$I,4,0)*K6503</f>
        <v/>
      </c>
      <c r="P6503" s="148">
        <f>M6503/1.1</f>
        <v/>
      </c>
      <c r="Q6503" s="94">
        <f>F6503&amp;E6503&amp;G6503&amp;L6503</f>
        <v/>
      </c>
    </row>
    <row r="6504">
      <c r="A6504" s="94" t="n"/>
      <c r="B6504" s="128" t="n">
        <v>43981</v>
      </c>
      <c r="C6504" s="94">
        <f>TEXT(B6504,"aaa")</f>
        <v/>
      </c>
      <c r="D6504" s="94" t="n"/>
      <c r="E6504" s="94" t="inlineStr">
        <is>
          <t>클렌징폼</t>
        </is>
      </c>
      <c r="F6504" s="94" t="inlineStr">
        <is>
          <t>카페24</t>
        </is>
      </c>
      <c r="G6504" s="94" t="inlineStr">
        <is>
          <t>클렌징폼 120ml(선크림할인)</t>
        </is>
      </c>
      <c r="H6504" s="7" t="n">
        <v>190801</v>
      </c>
      <c r="I6504" s="7" t="n">
        <v>190801</v>
      </c>
      <c r="J6504" s="94" t="n"/>
      <c r="K6504" s="6" t="n">
        <v>2</v>
      </c>
      <c r="L6504" s="92" t="n">
        <v>190801</v>
      </c>
      <c r="M6504" s="94">
        <f>VLOOKUP($Q6504,매칭테이블!$F:$I,2,0)*K6504</f>
        <v/>
      </c>
      <c r="N6504" s="94">
        <f>M6504-M6504*VLOOKUP($Q6504,매칭테이블!$F:$I,3,0)</f>
        <v/>
      </c>
      <c r="O6504" s="94">
        <f>VLOOKUP($Q6504,매칭테이블!$F:$I,4,0)*K6504</f>
        <v/>
      </c>
      <c r="P6504" s="148">
        <f>M6504/1.1</f>
        <v/>
      </c>
      <c r="Q6504" s="94">
        <f>F6504&amp;E6504&amp;G6504&amp;L6504</f>
        <v/>
      </c>
    </row>
    <row r="6505">
      <c r="A6505" s="94" t="n"/>
      <c r="B6505" s="128" t="n">
        <v>43982</v>
      </c>
      <c r="C6505" s="94">
        <f>TEXT(B6505,"aaa")</f>
        <v/>
      </c>
      <c r="D6505" s="94" t="n"/>
      <c r="E6505" s="94" t="inlineStr">
        <is>
          <t>토너</t>
        </is>
      </c>
      <c r="F6505" s="5" t="inlineStr">
        <is>
          <t>스타일쉐어</t>
        </is>
      </c>
      <c r="G6505" s="94" t="inlineStr">
        <is>
          <t>250ml</t>
        </is>
      </c>
      <c r="H6505" s="7" t="n">
        <v>190801</v>
      </c>
      <c r="I6505" s="7" t="n">
        <v>190801</v>
      </c>
      <c r="J6505" s="94" t="n"/>
      <c r="K6505" s="6" t="n">
        <v>5</v>
      </c>
      <c r="L6505" s="7" t="n">
        <v>190801</v>
      </c>
      <c r="M6505" s="94">
        <f>VLOOKUP($Q6505,매칭테이블!$F:$I,2,0)*K6505</f>
        <v/>
      </c>
      <c r="N6505" s="94">
        <f>M6505-M6505*VLOOKUP($Q6505,매칭테이블!$F:$I,3,0)</f>
        <v/>
      </c>
      <c r="O6505" s="94">
        <f>VLOOKUP($Q6505,매칭테이블!$F:$I,4,0)*K6505</f>
        <v/>
      </c>
      <c r="P6505" s="148">
        <f>M6505/1.1</f>
        <v/>
      </c>
      <c r="Q6505" s="94">
        <f>F6505&amp;E6505&amp;G6505&amp;L6505</f>
        <v/>
      </c>
    </row>
    <row r="6506">
      <c r="A6506" s="94" t="n"/>
      <c r="B6506" s="128" t="n">
        <v>43982</v>
      </c>
      <c r="C6506" s="94">
        <f>TEXT(B6506,"aaa")</f>
        <v/>
      </c>
      <c r="D6506" s="94" t="n"/>
      <c r="E6506" s="94" t="inlineStr">
        <is>
          <t>선크림</t>
        </is>
      </c>
      <c r="F6506" s="94" t="inlineStr">
        <is>
          <t>카페24</t>
        </is>
      </c>
      <c r="G6506" s="94" t="inlineStr">
        <is>
          <t>선크림 50ml</t>
        </is>
      </c>
      <c r="H6506" s="7" t="n">
        <v>190801</v>
      </c>
      <c r="I6506" s="7" t="n">
        <v>190801</v>
      </c>
      <c r="J6506" s="94" t="n"/>
      <c r="K6506" s="6" t="n">
        <v>14</v>
      </c>
      <c r="L6506" s="7" t="n">
        <v>190801</v>
      </c>
      <c r="M6506" s="94">
        <f>VLOOKUP($Q6506,매칭테이블!$F:$I,2,0)*K6506</f>
        <v/>
      </c>
      <c r="N6506" s="94">
        <f>M6506-M6506*VLOOKUP($Q6506,매칭테이블!$F:$I,3,0)</f>
        <v/>
      </c>
      <c r="O6506" s="94">
        <f>VLOOKUP($Q6506,매칭테이블!$F:$I,4,0)*K6506</f>
        <v/>
      </c>
      <c r="P6506" s="148">
        <f>M6506/1.1</f>
        <v/>
      </c>
      <c r="Q6506" s="94">
        <f>F6506&amp;E6506&amp;G6506&amp;L6506</f>
        <v/>
      </c>
    </row>
    <row r="6507">
      <c r="A6507" s="94" t="n"/>
      <c r="B6507" s="128" t="n">
        <v>43982</v>
      </c>
      <c r="C6507" s="94">
        <f>TEXT(B6507,"aaa")</f>
        <v/>
      </c>
      <c r="D6507" s="94" t="n"/>
      <c r="E6507" s="94" t="inlineStr">
        <is>
          <t>클렌징폼</t>
        </is>
      </c>
      <c r="F6507" s="94" t="inlineStr">
        <is>
          <t>카페24</t>
        </is>
      </c>
      <c r="G6507" s="94" t="inlineStr">
        <is>
          <t>클렌징폼 120ml(선크림할인)</t>
        </is>
      </c>
      <c r="H6507" s="7" t="n">
        <v>190801</v>
      </c>
      <c r="I6507" s="7" t="n">
        <v>190801</v>
      </c>
      <c r="J6507" s="94" t="n"/>
      <c r="K6507" s="6" t="n">
        <v>6</v>
      </c>
      <c r="L6507" s="92" t="n">
        <v>190801</v>
      </c>
      <c r="M6507" s="94">
        <f>VLOOKUP($Q6507,매칭테이블!$F:$I,2,0)*K6507</f>
        <v/>
      </c>
      <c r="N6507" s="94">
        <f>M6507-M6507*VLOOKUP($Q6507,매칭테이블!$F:$I,3,0)</f>
        <v/>
      </c>
      <c r="O6507" s="94">
        <f>VLOOKUP($Q6507,매칭테이블!$F:$I,4,0)*K6507</f>
        <v/>
      </c>
      <c r="P6507" s="148">
        <f>M6507/1.1</f>
        <v/>
      </c>
      <c r="Q6507" s="94">
        <f>F6507&amp;E6507&amp;G6507&amp;L6507</f>
        <v/>
      </c>
    </row>
    <row r="6508">
      <c r="A6508" s="94" t="n"/>
      <c r="B6508" s="128" t="n">
        <v>43982</v>
      </c>
      <c r="C6508" s="94">
        <f>TEXT(B6508,"aaa")</f>
        <v/>
      </c>
      <c r="D6508" s="94" t="n"/>
      <c r="E6508" s="94" t="inlineStr">
        <is>
          <t>어성초진정패키지</t>
        </is>
      </c>
      <c r="F6508" s="94" t="inlineStr">
        <is>
          <t>카페24</t>
        </is>
      </c>
      <c r="G6508" s="94" t="inlineStr">
        <is>
          <t>어성초 진정패키지세트</t>
        </is>
      </c>
      <c r="H6508" s="7" t="n">
        <v>190801</v>
      </c>
      <c r="I6508" s="7" t="n">
        <v>190801</v>
      </c>
      <c r="J6508" s="94" t="n"/>
      <c r="K6508" s="6" t="n">
        <v>2</v>
      </c>
      <c r="L6508" s="94" t="n">
        <v>190801</v>
      </c>
      <c r="M6508" s="94">
        <f>VLOOKUP($Q6508,매칭테이블!$F:$I,2,0)*K6508</f>
        <v/>
      </c>
      <c r="N6508" s="94">
        <f>M6508-M6508*VLOOKUP($Q6508,매칭테이블!$F:$I,3,0)</f>
        <v/>
      </c>
      <c r="O6508" s="94">
        <f>VLOOKUP($Q6508,매칭테이블!$F:$I,4,0)*K6508</f>
        <v/>
      </c>
      <c r="P6508" s="148">
        <f>M6508/1.1</f>
        <v/>
      </c>
      <c r="Q6508" s="94">
        <f>F6508&amp;E6508&amp;G6508&amp;L6508</f>
        <v/>
      </c>
    </row>
    <row r="6509">
      <c r="A6509" s="94" t="n"/>
      <c r="B6509" s="128" t="n">
        <v>43982</v>
      </c>
      <c r="C6509" s="94">
        <f>TEXT(B6509,"aaa")</f>
        <v/>
      </c>
      <c r="D6509" s="94" t="n"/>
      <c r="E6509" s="94" t="inlineStr">
        <is>
          <t>머드크림마스크</t>
        </is>
      </c>
      <c r="F6509" s="94" t="inlineStr">
        <is>
          <t>카페24</t>
        </is>
      </c>
      <c r="G6509" s="94" t="inlineStr">
        <is>
          <t>머드크림마스크 100ml</t>
        </is>
      </c>
      <c r="H6509" s="7" t="n">
        <v>190801</v>
      </c>
      <c r="I6509" s="7" t="n">
        <v>190801</v>
      </c>
      <c r="J6509" s="94" t="n"/>
      <c r="K6509" s="6" t="n">
        <v>2</v>
      </c>
      <c r="L6509" s="94" t="n">
        <v>190801</v>
      </c>
      <c r="M6509" s="94">
        <f>VLOOKUP($Q6509,매칭테이블!$F:$I,2,0)*K6509</f>
        <v/>
      </c>
      <c r="N6509" s="94">
        <f>M6509-M6509*VLOOKUP($Q6509,매칭테이블!$F:$I,3,0)</f>
        <v/>
      </c>
      <c r="O6509" s="94">
        <f>VLOOKUP($Q6509,매칭테이블!$F:$I,4,0)*K6509</f>
        <v/>
      </c>
      <c r="P6509" s="148">
        <f>M6509/1.1</f>
        <v/>
      </c>
      <c r="Q6509" s="94">
        <f>F6509&amp;E6509&amp;G6509&amp;L6509</f>
        <v/>
      </c>
    </row>
    <row r="6510">
      <c r="A6510" s="94" t="n"/>
      <c r="B6510" s="128" t="n">
        <v>43982</v>
      </c>
      <c r="C6510" s="94">
        <f>TEXT(B6510,"aaa")</f>
        <v/>
      </c>
      <c r="D6510" s="94" t="n"/>
      <c r="E6510" s="94" t="inlineStr">
        <is>
          <t>마스크팩</t>
        </is>
      </c>
      <c r="F6510" s="94" t="inlineStr">
        <is>
          <t>카페24</t>
        </is>
      </c>
      <c r="G6510" s="94" t="inlineStr">
        <is>
          <t>마스크팩 1매</t>
        </is>
      </c>
      <c r="H6510" s="7" t="n">
        <v>190801</v>
      </c>
      <c r="I6510" s="7" t="n">
        <v>190801</v>
      </c>
      <c r="J6510" s="94" t="n"/>
      <c r="K6510" s="6" t="n">
        <v>4</v>
      </c>
      <c r="L6510" s="94" t="n">
        <v>190801</v>
      </c>
      <c r="M6510" s="94">
        <f>VLOOKUP($Q6510,매칭테이블!$F:$I,2,0)*K6510</f>
        <v/>
      </c>
      <c r="N6510" s="94">
        <f>M6510-M6510*VLOOKUP($Q6510,매칭테이블!$F:$I,3,0)</f>
        <v/>
      </c>
      <c r="O6510" s="94">
        <f>VLOOKUP($Q6510,매칭테이블!$F:$I,4,0)*K6510</f>
        <v/>
      </c>
      <c r="P6510" s="148">
        <f>M6510/1.1</f>
        <v/>
      </c>
      <c r="Q6510" s="94">
        <f>F6510&amp;E6510&amp;G6510&amp;L6510</f>
        <v/>
      </c>
    </row>
    <row r="6511">
      <c r="A6511" s="94" t="n"/>
      <c r="B6511" s="128" t="n">
        <v>43982</v>
      </c>
      <c r="C6511" s="94">
        <f>TEXT(B6511,"aaa")</f>
        <v/>
      </c>
      <c r="D6511" s="94" t="n"/>
      <c r="E6511" s="94" t="inlineStr">
        <is>
          <t>마스크팩</t>
        </is>
      </c>
      <c r="F6511" s="94" t="inlineStr">
        <is>
          <t>카페24</t>
        </is>
      </c>
      <c r="G6511" s="94" t="inlineStr">
        <is>
          <t>마스크팩 10매</t>
        </is>
      </c>
      <c r="H6511" s="7" t="n">
        <v>190801</v>
      </c>
      <c r="I6511" s="7" t="n">
        <v>190801</v>
      </c>
      <c r="J6511" s="94" t="n"/>
      <c r="K6511" s="6" t="n">
        <v>11</v>
      </c>
      <c r="L6511" s="94" t="n">
        <v>190801</v>
      </c>
      <c r="M6511" s="94">
        <f>VLOOKUP($Q6511,매칭테이블!$F:$I,2,0)*K6511</f>
        <v/>
      </c>
      <c r="N6511" s="94">
        <f>M6511-M6511*VLOOKUP($Q6511,매칭테이블!$F:$I,3,0)</f>
        <v/>
      </c>
      <c r="O6511" s="94">
        <f>VLOOKUP($Q6511,매칭테이블!$F:$I,4,0)*K6511</f>
        <v/>
      </c>
      <c r="P6511" s="148">
        <f>M6511/1.1</f>
        <v/>
      </c>
      <c r="Q6511" s="94">
        <f>F6511&amp;E6511&amp;G6511&amp;L6511</f>
        <v/>
      </c>
    </row>
    <row r="6512">
      <c r="A6512" s="94" t="n"/>
      <c r="B6512" s="128" t="n">
        <v>43982</v>
      </c>
      <c r="C6512" s="94">
        <f>TEXT(B6512,"aaa")</f>
        <v/>
      </c>
      <c r="D6512" s="94" t="n"/>
      <c r="E6512" s="6" t="inlineStr">
        <is>
          <t>토너</t>
        </is>
      </c>
      <c r="F6512" s="5" t="inlineStr">
        <is>
          <t>카페24</t>
        </is>
      </c>
      <c r="G6512" s="5" t="inlineStr">
        <is>
          <t>250ml</t>
        </is>
      </c>
      <c r="H6512" s="7" t="n">
        <v>190801</v>
      </c>
      <c r="I6512" s="7" t="n">
        <v>190801</v>
      </c>
      <c r="J6512" s="94" t="n"/>
      <c r="K6512" s="6" t="n">
        <v>49</v>
      </c>
      <c r="L6512" s="7" t="n">
        <v>190801</v>
      </c>
      <c r="M6512" s="94">
        <f>VLOOKUP($Q6512,매칭테이블!$F:$I,2,0)*K6512</f>
        <v/>
      </c>
      <c r="N6512" s="94">
        <f>M6512-M6512*VLOOKUP($Q6512,매칭테이블!$F:$I,3,0)</f>
        <v/>
      </c>
      <c r="O6512" s="94">
        <f>VLOOKUP($Q6512,매칭테이블!$F:$I,4,0)*K6512</f>
        <v/>
      </c>
      <c r="P6512" s="148">
        <f>M6512/1.1</f>
        <v/>
      </c>
      <c r="Q6512" s="94">
        <f>F6512&amp;E6512&amp;G6512&amp;L6512</f>
        <v/>
      </c>
    </row>
    <row r="6513">
      <c r="A6513" s="94" t="n"/>
      <c r="B6513" s="128" t="n">
        <v>43982</v>
      </c>
      <c r="C6513" s="94">
        <f>TEXT(B6513,"aaa")</f>
        <v/>
      </c>
      <c r="D6513" s="94" t="n"/>
      <c r="E6513" s="6" t="inlineStr">
        <is>
          <t>토너</t>
        </is>
      </c>
      <c r="F6513" s="5" t="inlineStr">
        <is>
          <t>카페24</t>
        </is>
      </c>
      <c r="G6513" s="5" t="inlineStr">
        <is>
          <t>250ml 2set</t>
        </is>
      </c>
      <c r="H6513" s="7" t="n">
        <v>190801</v>
      </c>
      <c r="I6513" s="7" t="n">
        <v>190801</v>
      </c>
      <c r="J6513" s="94" t="n"/>
      <c r="K6513" s="6" t="n">
        <v>443</v>
      </c>
      <c r="L6513" s="7" t="n">
        <v>190801</v>
      </c>
      <c r="M6513" s="94">
        <f>VLOOKUP($Q6513,매칭테이블!$F:$I,2,0)*K6513</f>
        <v/>
      </c>
      <c r="N6513" s="94">
        <f>M6513-M6513*VLOOKUP($Q6513,매칭테이블!$F:$I,3,0)</f>
        <v/>
      </c>
      <c r="O6513" s="94">
        <f>VLOOKUP($Q6513,매칭테이블!$F:$I,4,0)*K6513</f>
        <v/>
      </c>
      <c r="P6513" s="148">
        <f>M6513/1.1</f>
        <v/>
      </c>
      <c r="Q6513" s="94">
        <f>F6513&amp;E6513&amp;G6513&amp;L6513</f>
        <v/>
      </c>
    </row>
    <row r="6514">
      <c r="A6514" s="94" t="n"/>
      <c r="B6514" s="128" t="n">
        <v>43982</v>
      </c>
      <c r="C6514" s="94">
        <f>TEXT(B6514,"aaa")</f>
        <v/>
      </c>
      <c r="D6514" s="94" t="n"/>
      <c r="E6514" s="6" t="inlineStr">
        <is>
          <t>토너</t>
        </is>
      </c>
      <c r="F6514" s="5" t="inlineStr">
        <is>
          <t>카페24</t>
        </is>
      </c>
      <c r="G6514" s="5" t="inlineStr">
        <is>
          <t>500ml</t>
        </is>
      </c>
      <c r="H6514" s="7" t="n">
        <v>190801</v>
      </c>
      <c r="I6514" s="7" t="n">
        <v>190801</v>
      </c>
      <c r="J6514" s="94" t="n"/>
      <c r="K6514" s="6" t="n">
        <v>28</v>
      </c>
      <c r="L6514" s="7" t="n">
        <v>190801</v>
      </c>
      <c r="M6514" s="94">
        <f>VLOOKUP($Q6514,매칭테이블!$F:$I,2,0)*K6514</f>
        <v/>
      </c>
      <c r="N6514" s="94">
        <f>M6514-M6514*VLOOKUP($Q6514,매칭테이블!$F:$I,3,0)</f>
        <v/>
      </c>
      <c r="O6514" s="94">
        <f>VLOOKUP($Q6514,매칭테이블!$F:$I,4,0)*K6514</f>
        <v/>
      </c>
      <c r="P6514" s="148">
        <f>M6514/1.1</f>
        <v/>
      </c>
      <c r="Q6514" s="94">
        <f>F6514&amp;E6514&amp;G6514&amp;L6514</f>
        <v/>
      </c>
    </row>
    <row r="6515">
      <c r="A6515" s="94" t="n"/>
      <c r="B6515" s="128" t="n">
        <v>43982</v>
      </c>
      <c r="C6515" s="94">
        <f>TEXT(B6515,"aaa")</f>
        <v/>
      </c>
      <c r="D6515" s="94" t="n"/>
      <c r="E6515" s="6" t="inlineStr">
        <is>
          <t>토너</t>
        </is>
      </c>
      <c r="F6515" s="5" t="inlineStr">
        <is>
          <t>카페24</t>
        </is>
      </c>
      <c r="G6515" s="94" t="inlineStr">
        <is>
          <t>스킨팩 화장솜 60P</t>
        </is>
      </c>
      <c r="H6515" s="7" t="n">
        <v>190801</v>
      </c>
      <c r="I6515" s="7" t="n">
        <v>190801</v>
      </c>
      <c r="J6515" s="94" t="n"/>
      <c r="K6515" s="6" t="n">
        <v>50</v>
      </c>
      <c r="L6515" s="7" t="n">
        <v>190801</v>
      </c>
      <c r="M6515" s="94">
        <f>VLOOKUP($Q6515,매칭테이블!$F:$I,2,0)*K6515</f>
        <v/>
      </c>
      <c r="N6515" s="94">
        <f>M6515-M6515*VLOOKUP($Q6515,매칭테이블!$F:$I,3,0)</f>
        <v/>
      </c>
      <c r="O6515" s="94">
        <f>VLOOKUP($Q6515,매칭테이블!$F:$I,4,0)*K6515</f>
        <v/>
      </c>
      <c r="P6515" s="148">
        <f>M6515/1.1</f>
        <v/>
      </c>
      <c r="Q6515" s="94">
        <f>F6515&amp;E6515&amp;G6515&amp;L6515</f>
        <v/>
      </c>
    </row>
    <row r="6516">
      <c r="A6516" s="94" t="n"/>
      <c r="B6516" s="128" t="n">
        <v>43982</v>
      </c>
      <c r="C6516" s="94">
        <f>TEXT(B6516,"aaa")</f>
        <v/>
      </c>
      <c r="D6516" s="94" t="n"/>
      <c r="E6516" s="94" t="inlineStr">
        <is>
          <t>앰플</t>
        </is>
      </c>
      <c r="F6516" s="5" t="inlineStr">
        <is>
          <t>카페24</t>
        </is>
      </c>
      <c r="G6516" s="94" t="inlineStr">
        <is>
          <t>앰플 30ml</t>
        </is>
      </c>
      <c r="H6516" s="7" t="n">
        <v>190801</v>
      </c>
      <c r="I6516" s="7" t="n">
        <v>190801</v>
      </c>
      <c r="J6516" s="94" t="n"/>
      <c r="K6516" s="6" t="n">
        <v>13</v>
      </c>
      <c r="L6516" s="94" t="n">
        <v>190801</v>
      </c>
      <c r="M6516" s="94">
        <f>VLOOKUP($Q6516,매칭테이블!$F:$I,2,0)*K6516</f>
        <v/>
      </c>
      <c r="N6516" s="94">
        <f>M6516-M6516*VLOOKUP($Q6516,매칭테이블!$F:$I,3,0)</f>
        <v/>
      </c>
      <c r="O6516" s="94">
        <f>VLOOKUP($Q6516,매칭테이블!$F:$I,4,0)*K6516</f>
        <v/>
      </c>
      <c r="P6516" s="148">
        <f>M6516/1.1</f>
        <v/>
      </c>
      <c r="Q6516" s="94">
        <f>F6516&amp;E6516&amp;G6516&amp;L6516</f>
        <v/>
      </c>
    </row>
    <row r="6517">
      <c r="A6517" s="94" t="n"/>
      <c r="B6517" s="128" t="n">
        <v>43982</v>
      </c>
      <c r="C6517" s="94">
        <f>TEXT(B6517,"aaa")</f>
        <v/>
      </c>
      <c r="D6517" s="94" t="n"/>
      <c r="E6517" s="94" t="inlineStr">
        <is>
          <t>수딩크림</t>
        </is>
      </c>
      <c r="F6517" s="5" t="inlineStr">
        <is>
          <t>카페24</t>
        </is>
      </c>
      <c r="G6517" s="94" t="inlineStr">
        <is>
          <t>수딩크림 100ml</t>
        </is>
      </c>
      <c r="H6517" s="7" t="n">
        <v>190801</v>
      </c>
      <c r="I6517" s="7" t="n">
        <v>190801</v>
      </c>
      <c r="J6517" s="94" t="n"/>
      <c r="K6517" s="6" t="n">
        <v>6</v>
      </c>
      <c r="L6517" s="94" t="n">
        <v>190801</v>
      </c>
      <c r="M6517" s="94">
        <f>VLOOKUP($Q6517,매칭테이블!$F:$I,2,0)*K6517</f>
        <v/>
      </c>
      <c r="N6517" s="94">
        <f>M6517-M6517*VLOOKUP($Q6517,매칭테이블!$F:$I,3,0)</f>
        <v/>
      </c>
      <c r="O6517" s="94">
        <f>VLOOKUP($Q6517,매칭테이블!$F:$I,4,0)*K6517</f>
        <v/>
      </c>
      <c r="P6517" s="148">
        <f>M6517/1.1</f>
        <v/>
      </c>
      <c r="Q6517" s="94">
        <f>F6517&amp;E6517&amp;G6517&amp;L6517</f>
        <v/>
      </c>
    </row>
    <row r="6518">
      <c r="A6518" s="94" t="n"/>
      <c r="B6518" s="128" t="n">
        <v>43982</v>
      </c>
      <c r="C6518" s="94">
        <f>TEXT(B6518,"aaa")</f>
        <v/>
      </c>
      <c r="D6518" s="94" t="n"/>
      <c r="E6518" s="94" t="inlineStr">
        <is>
          <t>클렌징폼</t>
        </is>
      </c>
      <c r="F6518" s="94" t="inlineStr">
        <is>
          <t>카페24</t>
        </is>
      </c>
      <c r="G6518" s="94" t="inlineStr">
        <is>
          <t>클렌징폼 120ml</t>
        </is>
      </c>
      <c r="H6518" s="7" t="n">
        <v>190801</v>
      </c>
      <c r="I6518" s="7" t="n">
        <v>190801</v>
      </c>
      <c r="J6518" s="94" t="n"/>
      <c r="K6518" s="6" t="n">
        <v>7</v>
      </c>
      <c r="L6518" s="92" t="n">
        <v>190801</v>
      </c>
      <c r="M6518" s="94">
        <f>VLOOKUP($Q6518,매칭테이블!$F:$I,2,0)*K6518</f>
        <v/>
      </c>
      <c r="N6518" s="94">
        <f>M6518-M6518*VLOOKUP($Q6518,매칭테이블!$F:$I,3,0)</f>
        <v/>
      </c>
      <c r="O6518" s="94">
        <f>VLOOKUP($Q6518,매칭테이블!$F:$I,4,0)*K6518</f>
        <v/>
      </c>
      <c r="P6518" s="148">
        <f>M6518/1.1</f>
        <v/>
      </c>
      <c r="Q6518" s="94">
        <f>F6518&amp;E6518&amp;G6518&amp;L6518</f>
        <v/>
      </c>
    </row>
    <row r="6519">
      <c r="A6519" s="94" t="n"/>
      <c r="B6519" s="128" t="n">
        <v>43982</v>
      </c>
      <c r="C6519" s="94">
        <f>TEXT(B6519,"aaa")</f>
        <v/>
      </c>
      <c r="D6519" s="94" t="n"/>
      <c r="E6519" s="6" t="inlineStr">
        <is>
          <t>토너</t>
        </is>
      </c>
      <c r="F6519" s="94" t="inlineStr">
        <is>
          <t>랄라블라</t>
        </is>
      </c>
      <c r="G6519" s="5" t="inlineStr">
        <is>
          <t>250ml</t>
        </is>
      </c>
      <c r="H6519" s="7" t="n">
        <v>190801</v>
      </c>
      <c r="I6519" s="7" t="n">
        <v>190801</v>
      </c>
      <c r="J6519" s="94" t="n"/>
      <c r="K6519" s="6" t="n">
        <v>217</v>
      </c>
      <c r="L6519" s="7" t="n">
        <v>190801</v>
      </c>
      <c r="M6519" s="94">
        <f>VLOOKUP($Q6519,매칭테이블!$F:$I,2,0)*K6519</f>
        <v/>
      </c>
      <c r="N6519" s="94">
        <f>M6519-M6519*VLOOKUP($Q6519,매칭테이블!$F:$I,3,0)</f>
        <v/>
      </c>
      <c r="O6519" s="94">
        <f>VLOOKUP($Q6519,매칭테이블!$F:$I,4,0)*K6519</f>
        <v/>
      </c>
      <c r="P6519" s="148">
        <f>M6519/1.1</f>
        <v/>
      </c>
      <c r="Q6519" s="94">
        <f>F6519&amp;E6519&amp;G6519&amp;L6519</f>
        <v/>
      </c>
    </row>
    <row r="6520">
      <c r="A6520" s="94" t="n"/>
      <c r="B6520" s="128" t="n">
        <v>43982</v>
      </c>
      <c r="C6520" s="94">
        <f>TEXT(B6520,"aaa")</f>
        <v/>
      </c>
      <c r="D6520" s="94" t="n"/>
      <c r="E6520" s="6" t="inlineStr">
        <is>
          <t>토너</t>
        </is>
      </c>
      <c r="F6520" s="94" t="inlineStr">
        <is>
          <t>랄라블라</t>
        </is>
      </c>
      <c r="G6520" s="5" t="inlineStr">
        <is>
          <t>500ml</t>
        </is>
      </c>
      <c r="H6520" s="7" t="n">
        <v>190801</v>
      </c>
      <c r="I6520" s="7" t="n">
        <v>190801</v>
      </c>
      <c r="J6520" s="94" t="n"/>
      <c r="K6520" s="6" t="n">
        <v>39</v>
      </c>
      <c r="L6520" s="7" t="n">
        <v>190801</v>
      </c>
      <c r="M6520" s="94">
        <f>VLOOKUP($Q6520,매칭테이블!$F:$I,2,0)*K6520</f>
        <v/>
      </c>
      <c r="N6520" s="94">
        <f>M6520-M6520*VLOOKUP($Q6520,매칭테이블!$F:$I,3,0)</f>
        <v/>
      </c>
      <c r="O6520" s="94">
        <f>VLOOKUP($Q6520,매칭테이블!$F:$I,4,0)*K6520</f>
        <v/>
      </c>
      <c r="P6520" s="148">
        <f>M6520/1.1</f>
        <v/>
      </c>
      <c r="Q6520" s="94">
        <f>F6520&amp;E6520&amp;G6520&amp;L6520</f>
        <v/>
      </c>
    </row>
    <row r="6521">
      <c r="A6521" s="94" t="n"/>
      <c r="B6521" s="128" t="n">
        <v>43982</v>
      </c>
      <c r="C6521" s="94">
        <f>TEXT(B6521,"aaa")</f>
        <v/>
      </c>
      <c r="D6521" s="94" t="n"/>
      <c r="E6521" s="94" t="inlineStr">
        <is>
          <t>마스크팩</t>
        </is>
      </c>
      <c r="F6521" s="94" t="inlineStr">
        <is>
          <t>랄라블라</t>
        </is>
      </c>
      <c r="G6521" s="94" t="inlineStr">
        <is>
          <t>마스크팩 1매</t>
        </is>
      </c>
      <c r="H6521" s="7" t="n">
        <v>190801</v>
      </c>
      <c r="I6521" s="7" t="n">
        <v>190801</v>
      </c>
      <c r="J6521" s="94" t="n"/>
      <c r="K6521" s="6" t="n">
        <v>611</v>
      </c>
      <c r="L6521" s="94" t="n">
        <v>190801</v>
      </c>
      <c r="M6521" s="94">
        <f>VLOOKUP($Q6521,매칭테이블!$F:$I,2,0)*K6521</f>
        <v/>
      </c>
      <c r="N6521" s="94">
        <f>M6521-M6521*VLOOKUP($Q6521,매칭테이블!$F:$I,3,0)</f>
        <v/>
      </c>
      <c r="O6521" s="94">
        <f>VLOOKUP($Q6521,매칭테이블!$F:$I,4,0)*K6521</f>
        <v/>
      </c>
      <c r="P6521" s="148">
        <f>M6521/1.1</f>
        <v/>
      </c>
      <c r="Q6521" s="94">
        <f>F6521&amp;E6521&amp;G6521&amp;L6521</f>
        <v/>
      </c>
    </row>
    <row r="6522">
      <c r="A6522" s="94" t="n"/>
      <c r="B6522" s="128" t="n">
        <v>43982</v>
      </c>
      <c r="C6522" s="94">
        <f>TEXT(B6522,"aaa")</f>
        <v/>
      </c>
      <c r="D6522" s="94" t="n"/>
      <c r="E6522" s="94" t="inlineStr">
        <is>
          <t>수딩크림 증정기획</t>
        </is>
      </c>
      <c r="F6522" s="94" t="inlineStr">
        <is>
          <t>랄라블라</t>
        </is>
      </c>
      <c r="G6522" s="94" t="inlineStr">
        <is>
          <t>수딩크림 증정기획</t>
        </is>
      </c>
      <c r="H6522" s="7" t="n">
        <v>190801</v>
      </c>
      <c r="I6522" s="7" t="n">
        <v>190801</v>
      </c>
      <c r="J6522" s="94" t="n"/>
      <c r="K6522" s="6" t="n">
        <v>97</v>
      </c>
      <c r="L6522" s="94" t="n">
        <v>190801</v>
      </c>
      <c r="M6522" s="94">
        <f>VLOOKUP($Q6522,매칭테이블!$F:$I,2,0)*K6522</f>
        <v/>
      </c>
      <c r="N6522" s="94">
        <f>M6522-M6522*VLOOKUP($Q6522,매칭테이블!$F:$I,3,0)</f>
        <v/>
      </c>
      <c r="O6522" s="94">
        <f>VLOOKUP($Q6522,매칭테이블!$F:$I,4,0)*K6522</f>
        <v/>
      </c>
      <c r="P6522" s="148">
        <f>M6522/1.1</f>
        <v/>
      </c>
      <c r="Q6522" s="94">
        <f>F6522&amp;E6522&amp;G6522&amp;L6522</f>
        <v/>
      </c>
    </row>
    <row r="6523">
      <c r="A6523" s="94" t="n"/>
      <c r="B6523" s="128" t="n">
        <v>43982</v>
      </c>
      <c r="C6523" s="94">
        <f>TEXT(B6523,"aaa")</f>
        <v/>
      </c>
      <c r="D6523" s="94" t="n"/>
      <c r="E6523" s="94" t="inlineStr">
        <is>
          <t>수딩크림</t>
        </is>
      </c>
      <c r="F6523" s="94" t="inlineStr">
        <is>
          <t>랄라블라</t>
        </is>
      </c>
      <c r="G6523" s="94" t="inlineStr">
        <is>
          <t>수딩크림 100ml</t>
        </is>
      </c>
      <c r="H6523" s="7" t="n">
        <v>190801</v>
      </c>
      <c r="I6523" s="7" t="n">
        <v>190801</v>
      </c>
      <c r="J6523" s="94" t="n"/>
      <c r="K6523" s="6" t="n">
        <v>6</v>
      </c>
      <c r="L6523" s="94" t="n">
        <v>190801</v>
      </c>
      <c r="M6523" s="94">
        <f>VLOOKUP($Q6523,매칭테이블!$F:$I,2,0)*K6523</f>
        <v/>
      </c>
      <c r="N6523" s="94">
        <f>M6523-M6523*VLOOKUP($Q6523,매칭테이블!$F:$I,3,0)</f>
        <v/>
      </c>
      <c r="O6523" s="94">
        <f>VLOOKUP($Q6523,매칭테이블!$F:$I,4,0)*K6523</f>
        <v/>
      </c>
      <c r="P6523" s="148">
        <f>M6523/1.1</f>
        <v/>
      </c>
      <c r="Q6523" s="94">
        <f>F6523&amp;E6523&amp;G6523&amp;L6523</f>
        <v/>
      </c>
    </row>
    <row r="6524">
      <c r="A6524" s="94" t="n"/>
      <c r="B6524" s="128" t="n">
        <v>43982</v>
      </c>
      <c r="C6524" s="94">
        <f>TEXT(B6524,"aaa")</f>
        <v/>
      </c>
      <c r="D6524" s="94" t="n"/>
      <c r="E6524" s="94" t="inlineStr">
        <is>
          <t>앰플 기획세트</t>
        </is>
      </c>
      <c r="F6524" s="94" t="inlineStr">
        <is>
          <t>랄라블라</t>
        </is>
      </c>
      <c r="G6524" s="94" t="inlineStr">
        <is>
          <t>앰플 기획세트</t>
        </is>
      </c>
      <c r="H6524" s="7" t="n">
        <v>190801</v>
      </c>
      <c r="I6524" s="7" t="n">
        <v>190801</v>
      </c>
      <c r="J6524" s="94" t="n"/>
      <c r="K6524" s="6" t="n">
        <v>130</v>
      </c>
      <c r="L6524" s="94" t="n">
        <v>190801</v>
      </c>
      <c r="M6524" s="94">
        <f>VLOOKUP($Q6524,매칭테이블!$F:$I,2,0)*K6524</f>
        <v/>
      </c>
      <c r="N6524" s="94">
        <f>M6524-M6524*VLOOKUP($Q6524,매칭테이블!$F:$I,3,0)</f>
        <v/>
      </c>
      <c r="O6524" s="94">
        <f>VLOOKUP($Q6524,매칭테이블!$F:$I,4,0)*K6524</f>
        <v/>
      </c>
      <c r="P6524" s="148">
        <f>M6524/1.1</f>
        <v/>
      </c>
      <c r="Q6524" s="94">
        <f>F6524&amp;E6524&amp;G6524&amp;L6524</f>
        <v/>
      </c>
    </row>
    <row r="6525">
      <c r="A6525" s="94" t="n"/>
      <c r="B6525" s="128" t="n">
        <v>43982</v>
      </c>
      <c r="C6525" s="94">
        <f>TEXT(B6525,"aaa")</f>
        <v/>
      </c>
      <c r="D6525" s="94" t="n"/>
      <c r="E6525" s="94" t="inlineStr">
        <is>
          <t>클렌징폼 기획세트</t>
        </is>
      </c>
      <c r="F6525" s="94" t="inlineStr">
        <is>
          <t>랄라블라</t>
        </is>
      </c>
      <c r="G6525" s="94" t="inlineStr">
        <is>
          <t>클렌징폼 기획세트</t>
        </is>
      </c>
      <c r="H6525" s="7" t="n">
        <v>190801</v>
      </c>
      <c r="I6525" s="7" t="n">
        <v>190801</v>
      </c>
      <c r="J6525" s="94" t="n"/>
      <c r="K6525" s="6" t="n">
        <v>77</v>
      </c>
      <c r="L6525" s="94" t="n">
        <v>190801</v>
      </c>
      <c r="M6525" s="94">
        <f>VLOOKUP($Q6525,매칭테이블!$F:$I,2,0)*K6525</f>
        <v/>
      </c>
      <c r="N6525" s="94">
        <f>M6525-M6525*VLOOKUP($Q6525,매칭테이블!$F:$I,3,0)</f>
        <v/>
      </c>
      <c r="O6525" s="94">
        <f>VLOOKUP($Q6525,매칭테이블!$F:$I,4,0)*K6525</f>
        <v/>
      </c>
      <c r="P6525" s="148">
        <f>M6525/1.1</f>
        <v/>
      </c>
      <c r="Q6525" s="94">
        <f>F6525&amp;E6525&amp;G6525&amp;L6525</f>
        <v/>
      </c>
    </row>
    <row r="6526">
      <c r="A6526" s="94" t="n"/>
      <c r="B6526" s="128" t="n">
        <v>43982</v>
      </c>
      <c r="C6526" s="94">
        <f>TEXT(B6526,"aaa")</f>
        <v/>
      </c>
      <c r="D6526" s="94" t="n"/>
      <c r="E6526" s="94" t="inlineStr">
        <is>
          <t>토너 기획세트</t>
        </is>
      </c>
      <c r="F6526" s="94" t="inlineStr">
        <is>
          <t>랄라블라</t>
        </is>
      </c>
      <c r="G6526" s="94" t="inlineStr">
        <is>
          <t>토너 기획세트</t>
        </is>
      </c>
      <c r="H6526" s="7" t="n">
        <v>190801</v>
      </c>
      <c r="I6526" s="7" t="n">
        <v>190801</v>
      </c>
      <c r="J6526" s="94" t="n"/>
      <c r="K6526" s="6" t="n">
        <v>3</v>
      </c>
      <c r="L6526" s="94" t="n">
        <v>190801</v>
      </c>
      <c r="M6526" s="94">
        <f>VLOOKUP($Q6526,매칭테이블!$F:$I,2,0)*K6526</f>
        <v/>
      </c>
      <c r="N6526" s="94">
        <f>M6526-M6526*VLOOKUP($Q6526,매칭테이블!$F:$I,3,0)</f>
        <v/>
      </c>
      <c r="O6526" s="94">
        <f>VLOOKUP($Q6526,매칭테이블!$F:$I,4,0)*K6526</f>
        <v/>
      </c>
      <c r="P6526" s="148">
        <f>M6526/1.1</f>
        <v/>
      </c>
      <c r="Q6526" s="94">
        <f>F6526&amp;E6526&amp;G6526&amp;L6526</f>
        <v/>
      </c>
    </row>
    <row r="6527">
      <c r="A6527" s="94" t="n"/>
      <c r="B6527" s="128" t="n">
        <v>43982</v>
      </c>
      <c r="C6527" s="94">
        <f>TEXT(B6527,"aaa")</f>
        <v/>
      </c>
      <c r="D6527" s="94" t="n"/>
      <c r="E6527" s="94" t="inlineStr">
        <is>
          <t>클렌징폼</t>
        </is>
      </c>
      <c r="F6527" s="94" t="inlineStr">
        <is>
          <t>랄라블라</t>
        </is>
      </c>
      <c r="G6527" s="94" t="inlineStr">
        <is>
          <t>클렌징폼 120ml</t>
        </is>
      </c>
      <c r="H6527" s="7" t="n">
        <v>190801</v>
      </c>
      <c r="I6527" s="7" t="n">
        <v>190801</v>
      </c>
      <c r="J6527" s="94" t="n"/>
      <c r="K6527" s="6" t="n">
        <v>5</v>
      </c>
      <c r="L6527" s="7" t="n">
        <v>190801</v>
      </c>
      <c r="M6527" s="94">
        <f>VLOOKUP($Q6527,매칭테이블!$F:$I,2,0)*K6527</f>
        <v/>
      </c>
      <c r="N6527" s="94">
        <f>M6527-M6527*VLOOKUP($Q6527,매칭테이블!$F:$I,3,0)</f>
        <v/>
      </c>
      <c r="O6527" s="94">
        <f>VLOOKUP($Q6527,매칭테이블!$F:$I,4,0)*K6527</f>
        <v/>
      </c>
      <c r="P6527" s="148">
        <f>M6527/1.1</f>
        <v/>
      </c>
      <c r="Q6527" s="94">
        <f>F6527&amp;E6527&amp;G6527&amp;L6527</f>
        <v/>
      </c>
    </row>
    <row r="6528">
      <c r="A6528" s="94" t="n"/>
      <c r="B6528" s="128" t="n">
        <v>43982</v>
      </c>
      <c r="C6528" s="94">
        <f>TEXT(B6528,"aaa")</f>
        <v/>
      </c>
      <c r="D6528" s="94" t="n"/>
      <c r="E6528" s="94" t="inlineStr">
        <is>
          <t>토너 증정기획</t>
        </is>
      </c>
      <c r="F6528" s="94" t="inlineStr">
        <is>
          <t>랄라블라</t>
        </is>
      </c>
      <c r="G6528" s="94" t="inlineStr">
        <is>
          <t>토너 증정기획</t>
        </is>
      </c>
      <c r="H6528" s="7" t="n">
        <v>190801</v>
      </c>
      <c r="I6528" s="7" t="n">
        <v>190801</v>
      </c>
      <c r="J6528" s="94" t="n"/>
      <c r="K6528" s="6" t="n">
        <v>1584</v>
      </c>
      <c r="L6528" s="7" t="n">
        <v>190801</v>
      </c>
      <c r="M6528" s="94">
        <f>VLOOKUP($Q6528,매칭테이블!$F:$I,2,0)*K6528</f>
        <v/>
      </c>
      <c r="N6528" s="94">
        <f>M6528-M6528*VLOOKUP($Q6528,매칭테이블!$F:$I,3,0)</f>
        <v/>
      </c>
      <c r="O6528" s="94">
        <f>VLOOKUP($Q6528,매칭테이블!$F:$I,4,0)*K6528</f>
        <v/>
      </c>
      <c r="P6528" s="148">
        <f>M6528/1.1</f>
        <v/>
      </c>
      <c r="Q6528" s="94">
        <f>F6528&amp;E6528&amp;G6528&amp;L6528</f>
        <v/>
      </c>
    </row>
    <row r="6529">
      <c r="A6529" s="94" t="n"/>
      <c r="B6529" s="128" t="n">
        <v>43982</v>
      </c>
      <c r="C6529" s="94">
        <f>TEXT(B6529,"aaa")</f>
        <v/>
      </c>
      <c r="D6529" s="94" t="n"/>
      <c r="E6529" s="94" t="inlineStr">
        <is>
          <t>선크림</t>
        </is>
      </c>
      <c r="F6529" s="94" t="inlineStr">
        <is>
          <t>랄라블라</t>
        </is>
      </c>
      <c r="G6529" s="94" t="inlineStr">
        <is>
          <t>선크림 50ml</t>
        </is>
      </c>
      <c r="H6529" s="7" t="n">
        <v>190801</v>
      </c>
      <c r="I6529" s="7" t="n">
        <v>190801</v>
      </c>
      <c r="J6529" s="94" t="n"/>
      <c r="K6529" s="6" t="n">
        <v>40</v>
      </c>
      <c r="L6529" s="94" t="n">
        <v>190801</v>
      </c>
      <c r="M6529" s="94">
        <f>VLOOKUP($Q6529,매칭테이블!$F:$I,2,0)*K6529</f>
        <v/>
      </c>
      <c r="N6529" s="94">
        <f>M6529-M6529*VLOOKUP($Q6529,매칭테이블!$F:$I,3,0)</f>
        <v/>
      </c>
      <c r="O6529" s="94">
        <f>VLOOKUP($Q6529,매칭테이블!$F:$I,4,0)*K6529</f>
        <v/>
      </c>
      <c r="P6529" s="148">
        <f>M6529/1.1</f>
        <v/>
      </c>
      <c r="Q6529" s="94">
        <f>F6529&amp;E6529&amp;G6529&amp;L6529</f>
        <v/>
      </c>
    </row>
    <row r="6530">
      <c r="A6530" s="94" t="n"/>
      <c r="B6530" s="128" t="n">
        <v>43982</v>
      </c>
      <c r="C6530" s="94">
        <f>TEXT(B6530,"aaa")</f>
        <v/>
      </c>
      <c r="D6530" s="94" t="n"/>
      <c r="E6530" s="94" t="inlineStr">
        <is>
          <t>대용량 기획세트</t>
        </is>
      </c>
      <c r="F6530" s="94" t="inlineStr">
        <is>
          <t>랄라블라</t>
        </is>
      </c>
      <c r="G6530" s="94" t="inlineStr">
        <is>
          <t>대용량 기획세트</t>
        </is>
      </c>
      <c r="H6530" s="7" t="n">
        <v>190801</v>
      </c>
      <c r="I6530" s="7" t="n">
        <v>190801</v>
      </c>
      <c r="J6530" s="94" t="n"/>
      <c r="K6530" s="6" t="n">
        <v>471</v>
      </c>
      <c r="L6530" s="94" t="n">
        <v>190801</v>
      </c>
      <c r="M6530" s="94">
        <f>VLOOKUP($Q6530,매칭테이블!$F:$I,2,0)*K6530</f>
        <v/>
      </c>
      <c r="N6530" s="94">
        <f>M6530-M6530*VLOOKUP($Q6530,매칭테이블!$F:$I,3,0)</f>
        <v/>
      </c>
      <c r="O6530" s="94">
        <f>VLOOKUP($Q6530,매칭테이블!$F:$I,4,0)*K6530</f>
        <v/>
      </c>
      <c r="P6530" s="148">
        <f>M6530/1.1</f>
        <v/>
      </c>
      <c r="Q6530" s="94">
        <f>F6530&amp;E6530&amp;G6530&amp;L6530</f>
        <v/>
      </c>
    </row>
    <row r="6531">
      <c r="A6531" s="94" t="n"/>
      <c r="B6531" s="128" t="n">
        <v>43983</v>
      </c>
      <c r="C6531" s="94">
        <f>TEXT(B6531,"aaa")</f>
        <v/>
      </c>
      <c r="D6531" s="94" t="n"/>
      <c r="E6531" s="6" t="inlineStr">
        <is>
          <t>토너</t>
        </is>
      </c>
      <c r="F6531" s="5" t="inlineStr">
        <is>
          <t>W컨셉</t>
        </is>
      </c>
      <c r="G6531" s="5" t="inlineStr">
        <is>
          <t>250ml</t>
        </is>
      </c>
      <c r="H6531" s="7" t="n">
        <v>190801</v>
      </c>
      <c r="I6531" s="7" t="n">
        <v>190801</v>
      </c>
      <c r="J6531" s="94" t="n"/>
      <c r="K6531" s="6" t="n">
        <v>3</v>
      </c>
      <c r="L6531" s="7" t="n">
        <v>190801</v>
      </c>
      <c r="M6531" s="94">
        <f>VLOOKUP($Q6531,매칭테이블!$F:$I,2,0)*K6531</f>
        <v/>
      </c>
      <c r="N6531" s="94">
        <f>M6531-M6531*VLOOKUP($Q6531,매칭테이블!$F:$I,3,0)</f>
        <v/>
      </c>
      <c r="O6531" s="94">
        <f>VLOOKUP($Q6531,매칭테이블!$F:$I,4,0)*K6531</f>
        <v/>
      </c>
      <c r="P6531" s="148">
        <f>M6531/1.1</f>
        <v/>
      </c>
      <c r="Q6531" s="94">
        <f>F6531&amp;E6531&amp;G6531&amp;L6531</f>
        <v/>
      </c>
    </row>
    <row r="6532">
      <c r="A6532" s="94" t="n"/>
      <c r="B6532" s="128" t="n">
        <v>43983</v>
      </c>
      <c r="C6532" s="94">
        <f>TEXT(B6532,"aaa")</f>
        <v/>
      </c>
      <c r="D6532" s="94" t="n"/>
      <c r="E6532" s="6" t="inlineStr">
        <is>
          <t>토너</t>
        </is>
      </c>
      <c r="F6532" s="5" t="inlineStr">
        <is>
          <t>W컨셉</t>
        </is>
      </c>
      <c r="G6532" s="5" t="inlineStr">
        <is>
          <t>250ml 2set</t>
        </is>
      </c>
      <c r="H6532" s="7" t="n">
        <v>190801</v>
      </c>
      <c r="I6532" s="7" t="n">
        <v>190801</v>
      </c>
      <c r="J6532" s="94" t="n"/>
      <c r="K6532" s="6" t="n">
        <v>9</v>
      </c>
      <c r="L6532" s="7" t="n">
        <v>190801</v>
      </c>
      <c r="M6532" s="94">
        <f>VLOOKUP($Q6532,매칭테이블!$F:$I,2,0)*K6532</f>
        <v/>
      </c>
      <c r="N6532" s="94">
        <f>M6532-M6532*VLOOKUP($Q6532,매칭테이블!$F:$I,3,0)</f>
        <v/>
      </c>
      <c r="O6532" s="94">
        <f>VLOOKUP($Q6532,매칭테이블!$F:$I,4,0)*K6532</f>
        <v/>
      </c>
      <c r="P6532" s="148">
        <f>M6532/1.1</f>
        <v/>
      </c>
      <c r="Q6532" s="94">
        <f>F6532&amp;E6532&amp;G6532&amp;L6532</f>
        <v/>
      </c>
    </row>
    <row r="6533">
      <c r="A6533" s="94" t="n"/>
      <c r="B6533" s="128" t="n">
        <v>43983</v>
      </c>
      <c r="C6533" s="94">
        <f>TEXT(B6533,"aaa")</f>
        <v/>
      </c>
      <c r="D6533" s="94" t="n"/>
      <c r="E6533" s="94" t="inlineStr">
        <is>
          <t>토너</t>
        </is>
      </c>
      <c r="F6533" s="5" t="inlineStr">
        <is>
          <t>스타일쉐어</t>
        </is>
      </c>
      <c r="G6533" s="94" t="inlineStr">
        <is>
          <t>250ml</t>
        </is>
      </c>
      <c r="H6533" s="7" t="n">
        <v>190801</v>
      </c>
      <c r="I6533" s="7" t="n">
        <v>190801</v>
      </c>
      <c r="J6533" s="94" t="n"/>
      <c r="K6533" s="6" t="n">
        <v>2</v>
      </c>
      <c r="L6533" s="7" t="n">
        <v>190801</v>
      </c>
      <c r="M6533" s="94">
        <f>VLOOKUP($Q6533,매칭테이블!$F:$I,2,0)*K6533</f>
        <v/>
      </c>
      <c r="N6533" s="94">
        <f>M6533-M6533*VLOOKUP($Q6533,매칭테이블!$F:$I,3,0)</f>
        <v/>
      </c>
      <c r="O6533" s="94">
        <f>VLOOKUP($Q6533,매칭테이블!$F:$I,4,0)*K6533</f>
        <v/>
      </c>
      <c r="P6533" s="148">
        <f>M6533/1.1</f>
        <v/>
      </c>
      <c r="Q6533" s="94">
        <f>F6533&amp;E6533&amp;G6533&amp;L6533</f>
        <v/>
      </c>
    </row>
    <row r="6534">
      <c r="A6534" s="94" t="n"/>
      <c r="B6534" s="128" t="n">
        <v>43983</v>
      </c>
      <c r="C6534" s="94">
        <f>TEXT(B6534,"aaa")</f>
        <v/>
      </c>
      <c r="D6534" s="94" t="n"/>
      <c r="E6534" s="94" t="inlineStr">
        <is>
          <t>선크림</t>
        </is>
      </c>
      <c r="F6534" s="94" t="inlineStr">
        <is>
          <t>카페24</t>
        </is>
      </c>
      <c r="G6534" s="94" t="inlineStr">
        <is>
          <t>선크림 50ml</t>
        </is>
      </c>
      <c r="H6534" s="7" t="n">
        <v>190801</v>
      </c>
      <c r="I6534" s="7" t="n">
        <v>190801</v>
      </c>
      <c r="J6534" s="94" t="n"/>
      <c r="K6534" s="6" t="n">
        <v>14</v>
      </c>
      <c r="L6534" s="7" t="n">
        <v>190801</v>
      </c>
      <c r="M6534" s="94">
        <f>VLOOKUP($Q6534,매칭테이블!$F:$I,2,0)*K6534</f>
        <v/>
      </c>
      <c r="N6534" s="94">
        <f>M6534-M6534*VLOOKUP($Q6534,매칭테이블!$F:$I,3,0)</f>
        <v/>
      </c>
      <c r="O6534" s="94">
        <f>VLOOKUP($Q6534,매칭테이블!$F:$I,4,0)*K6534</f>
        <v/>
      </c>
      <c r="P6534" s="148">
        <f>M6534/1.1</f>
        <v/>
      </c>
      <c r="Q6534" s="94">
        <f>F6534&amp;E6534&amp;G6534&amp;L6534</f>
        <v/>
      </c>
    </row>
    <row r="6535">
      <c r="A6535" s="94" t="n"/>
      <c r="B6535" s="128" t="n">
        <v>43983</v>
      </c>
      <c r="C6535" s="94">
        <f>TEXT(B6535,"aaa")</f>
        <v/>
      </c>
      <c r="D6535" s="94" t="n"/>
      <c r="E6535" s="94" t="inlineStr">
        <is>
          <t>클렌징폼</t>
        </is>
      </c>
      <c r="F6535" s="94" t="inlineStr">
        <is>
          <t>카페24</t>
        </is>
      </c>
      <c r="G6535" s="94" t="inlineStr">
        <is>
          <t>클렌징폼 120ml(선크림할인)</t>
        </is>
      </c>
      <c r="H6535" s="7" t="n">
        <v>190801</v>
      </c>
      <c r="I6535" s="7" t="n">
        <v>190801</v>
      </c>
      <c r="J6535" s="94" t="n"/>
      <c r="K6535" s="6" t="n">
        <v>1</v>
      </c>
      <c r="L6535" s="92" t="n">
        <v>190801</v>
      </c>
      <c r="M6535" s="94">
        <f>VLOOKUP($Q6535,매칭테이블!$F:$I,2,0)*K6535</f>
        <v/>
      </c>
      <c r="N6535" s="94">
        <f>M6535-M6535*VLOOKUP($Q6535,매칭테이블!$F:$I,3,0)</f>
        <v/>
      </c>
      <c r="O6535" s="94">
        <f>VLOOKUP($Q6535,매칭테이블!$F:$I,4,0)*K6535</f>
        <v/>
      </c>
      <c r="P6535" s="148">
        <f>M6535/1.1</f>
        <v/>
      </c>
      <c r="Q6535" s="94">
        <f>F6535&amp;E6535&amp;G6535&amp;L6535</f>
        <v/>
      </c>
    </row>
    <row r="6536">
      <c r="A6536" s="94" t="n"/>
      <c r="B6536" s="128" t="n">
        <v>43983</v>
      </c>
      <c r="C6536" s="94">
        <f>TEXT(B6536,"aaa")</f>
        <v/>
      </c>
      <c r="D6536" s="94" t="n"/>
      <c r="E6536" s="94" t="inlineStr">
        <is>
          <t>어성초진정패키지</t>
        </is>
      </c>
      <c r="F6536" s="94" t="inlineStr">
        <is>
          <t>카페24</t>
        </is>
      </c>
      <c r="G6536" s="94" t="inlineStr">
        <is>
          <t>어성초 진정패키지세트</t>
        </is>
      </c>
      <c r="H6536" s="7" t="n">
        <v>190801</v>
      </c>
      <c r="I6536" s="7" t="n">
        <v>190801</v>
      </c>
      <c r="J6536" s="94" t="n"/>
      <c r="K6536" s="6" t="n">
        <v>6</v>
      </c>
      <c r="L6536" s="94" t="n">
        <v>190801</v>
      </c>
      <c r="M6536" s="94">
        <f>VLOOKUP($Q6536,매칭테이블!$F:$I,2,0)*K6536</f>
        <v/>
      </c>
      <c r="N6536" s="94">
        <f>M6536-M6536*VLOOKUP($Q6536,매칭테이블!$F:$I,3,0)</f>
        <v/>
      </c>
      <c r="O6536" s="94">
        <f>VLOOKUP($Q6536,매칭테이블!$F:$I,4,0)*K6536</f>
        <v/>
      </c>
      <c r="P6536" s="148">
        <f>M6536/1.1</f>
        <v/>
      </c>
      <c r="Q6536" s="94">
        <f>F6536&amp;E6536&amp;G6536&amp;L6536</f>
        <v/>
      </c>
    </row>
    <row r="6537">
      <c r="A6537" s="94" t="n"/>
      <c r="B6537" s="128" t="n">
        <v>43983</v>
      </c>
      <c r="C6537" s="94">
        <f>TEXT(B6537,"aaa")</f>
        <v/>
      </c>
      <c r="D6537" s="94" t="n"/>
      <c r="E6537" s="94" t="inlineStr">
        <is>
          <t>머드크림마스크</t>
        </is>
      </c>
      <c r="F6537" s="94" t="inlineStr">
        <is>
          <t>카페24</t>
        </is>
      </c>
      <c r="G6537" s="94" t="inlineStr">
        <is>
          <t>머드크림마스크 100ml</t>
        </is>
      </c>
      <c r="H6537" s="7" t="n">
        <v>190801</v>
      </c>
      <c r="I6537" s="7" t="n">
        <v>190801</v>
      </c>
      <c r="J6537" s="94" t="n"/>
      <c r="K6537" s="6" t="n">
        <v>4</v>
      </c>
      <c r="L6537" s="94" t="n">
        <v>190801</v>
      </c>
      <c r="M6537" s="94">
        <f>VLOOKUP($Q6537,매칭테이블!$F:$I,2,0)*K6537</f>
        <v/>
      </c>
      <c r="N6537" s="94">
        <f>M6537-M6537*VLOOKUP($Q6537,매칭테이블!$F:$I,3,0)</f>
        <v/>
      </c>
      <c r="O6537" s="94">
        <f>VLOOKUP($Q6537,매칭테이블!$F:$I,4,0)*K6537</f>
        <v/>
      </c>
      <c r="P6537" s="148">
        <f>M6537/1.1</f>
        <v/>
      </c>
      <c r="Q6537" s="94">
        <f>F6537&amp;E6537&amp;G6537&amp;L6537</f>
        <v/>
      </c>
    </row>
    <row r="6538">
      <c r="A6538" s="94" t="n"/>
      <c r="B6538" s="128" t="n">
        <v>43983</v>
      </c>
      <c r="C6538" s="94">
        <f>TEXT(B6538,"aaa")</f>
        <v/>
      </c>
      <c r="D6538" s="94" t="n"/>
      <c r="E6538" s="94" t="inlineStr">
        <is>
          <t>마스크팩</t>
        </is>
      </c>
      <c r="F6538" s="94" t="inlineStr">
        <is>
          <t>카페24</t>
        </is>
      </c>
      <c r="G6538" s="94" t="inlineStr">
        <is>
          <t>마스크팩 1매</t>
        </is>
      </c>
      <c r="H6538" s="7" t="n">
        <v>190801</v>
      </c>
      <c r="I6538" s="7" t="n">
        <v>190801</v>
      </c>
      <c r="J6538" s="94" t="n"/>
      <c r="K6538" s="6" t="n">
        <v>3</v>
      </c>
      <c r="L6538" s="94" t="n">
        <v>190801</v>
      </c>
      <c r="M6538" s="94">
        <f>VLOOKUP($Q6538,매칭테이블!$F:$I,2,0)*K6538</f>
        <v/>
      </c>
      <c r="N6538" s="94">
        <f>M6538-M6538*VLOOKUP($Q6538,매칭테이블!$F:$I,3,0)</f>
        <v/>
      </c>
      <c r="O6538" s="94">
        <f>VLOOKUP($Q6538,매칭테이블!$F:$I,4,0)*K6538</f>
        <v/>
      </c>
      <c r="P6538" s="148">
        <f>M6538/1.1</f>
        <v/>
      </c>
      <c r="Q6538" s="94">
        <f>F6538&amp;E6538&amp;G6538&amp;L6538</f>
        <v/>
      </c>
    </row>
    <row r="6539">
      <c r="A6539" s="94" t="n"/>
      <c r="B6539" s="128" t="n">
        <v>43983</v>
      </c>
      <c r="C6539" s="94">
        <f>TEXT(B6539,"aaa")</f>
        <v/>
      </c>
      <c r="D6539" s="94" t="n"/>
      <c r="E6539" s="94" t="inlineStr">
        <is>
          <t>마스크팩</t>
        </is>
      </c>
      <c r="F6539" s="94" t="inlineStr">
        <is>
          <t>카페24</t>
        </is>
      </c>
      <c r="G6539" s="94" t="inlineStr">
        <is>
          <t>마스크팩 10매</t>
        </is>
      </c>
      <c r="H6539" s="7" t="n">
        <v>190801</v>
      </c>
      <c r="I6539" s="7" t="n">
        <v>190801</v>
      </c>
      <c r="J6539" s="94" t="n"/>
      <c r="K6539" s="6" t="n">
        <v>1</v>
      </c>
      <c r="L6539" s="94" t="n">
        <v>190801</v>
      </c>
      <c r="M6539" s="94">
        <f>VLOOKUP($Q6539,매칭테이블!$F:$I,2,0)*K6539</f>
        <v/>
      </c>
      <c r="N6539" s="94">
        <f>M6539-M6539*VLOOKUP($Q6539,매칭테이블!$F:$I,3,0)</f>
        <v/>
      </c>
      <c r="O6539" s="94">
        <f>VLOOKUP($Q6539,매칭테이블!$F:$I,4,0)*K6539</f>
        <v/>
      </c>
      <c r="P6539" s="148">
        <f>M6539/1.1</f>
        <v/>
      </c>
      <c r="Q6539" s="94">
        <f>F6539&amp;E6539&amp;G6539&amp;L6539</f>
        <v/>
      </c>
    </row>
    <row r="6540">
      <c r="A6540" s="94" t="n"/>
      <c r="B6540" s="128" t="n">
        <v>43983</v>
      </c>
      <c r="C6540" s="94">
        <f>TEXT(B6540,"aaa")</f>
        <v/>
      </c>
      <c r="D6540" s="94" t="n"/>
      <c r="E6540" s="6" t="inlineStr">
        <is>
          <t>토너</t>
        </is>
      </c>
      <c r="F6540" s="5" t="inlineStr">
        <is>
          <t>카페24</t>
        </is>
      </c>
      <c r="G6540" s="5" t="inlineStr">
        <is>
          <t>250ml</t>
        </is>
      </c>
      <c r="H6540" s="7" t="n">
        <v>190801</v>
      </c>
      <c r="I6540" s="7" t="n">
        <v>190801</v>
      </c>
      <c r="J6540" s="94" t="n"/>
      <c r="K6540" s="6" t="n">
        <v>89</v>
      </c>
      <c r="L6540" s="7" t="n">
        <v>190801</v>
      </c>
      <c r="M6540" s="94">
        <f>VLOOKUP($Q6540,매칭테이블!$F:$I,2,0)*K6540</f>
        <v/>
      </c>
      <c r="N6540" s="94">
        <f>M6540-M6540*VLOOKUP($Q6540,매칭테이블!$F:$I,3,0)</f>
        <v/>
      </c>
      <c r="O6540" s="94">
        <f>VLOOKUP($Q6540,매칭테이블!$F:$I,4,0)*K6540</f>
        <v/>
      </c>
      <c r="P6540" s="148">
        <f>M6540/1.1</f>
        <v/>
      </c>
      <c r="Q6540" s="94">
        <f>F6540&amp;E6540&amp;G6540&amp;L6540</f>
        <v/>
      </c>
    </row>
    <row r="6541">
      <c r="A6541" s="94" t="n"/>
      <c r="B6541" s="128" t="n">
        <v>43983</v>
      </c>
      <c r="C6541" s="94">
        <f>TEXT(B6541,"aaa")</f>
        <v/>
      </c>
      <c r="D6541" s="94" t="n"/>
      <c r="E6541" s="6" t="inlineStr">
        <is>
          <t>토너</t>
        </is>
      </c>
      <c r="F6541" s="5" t="inlineStr">
        <is>
          <t>카페24</t>
        </is>
      </c>
      <c r="G6541" s="5" t="inlineStr">
        <is>
          <t>250ml 2set</t>
        </is>
      </c>
      <c r="H6541" s="7" t="n">
        <v>190801</v>
      </c>
      <c r="I6541" s="7" t="n">
        <v>190801</v>
      </c>
      <c r="J6541" s="94" t="n"/>
      <c r="K6541" s="6" t="n">
        <v>50</v>
      </c>
      <c r="L6541" s="7" t="n">
        <v>190801</v>
      </c>
      <c r="M6541" s="94">
        <f>VLOOKUP($Q6541,매칭테이블!$F:$I,2,0)*K6541</f>
        <v/>
      </c>
      <c r="N6541" s="94">
        <f>M6541-M6541*VLOOKUP($Q6541,매칭테이블!$F:$I,3,0)</f>
        <v/>
      </c>
      <c r="O6541" s="94">
        <f>VLOOKUP($Q6541,매칭테이블!$F:$I,4,0)*K6541</f>
        <v/>
      </c>
      <c r="P6541" s="148">
        <f>M6541/1.1</f>
        <v/>
      </c>
      <c r="Q6541" s="94">
        <f>F6541&amp;E6541&amp;G6541&amp;L6541</f>
        <v/>
      </c>
    </row>
    <row r="6542">
      <c r="A6542" s="94" t="n"/>
      <c r="B6542" s="128" t="n">
        <v>43983</v>
      </c>
      <c r="C6542" s="94">
        <f>TEXT(B6542,"aaa")</f>
        <v/>
      </c>
      <c r="D6542" s="94" t="n"/>
      <c r="E6542" s="6" t="inlineStr">
        <is>
          <t>토너</t>
        </is>
      </c>
      <c r="F6542" s="5" t="inlineStr">
        <is>
          <t>카페24</t>
        </is>
      </c>
      <c r="G6542" s="5" t="inlineStr">
        <is>
          <t>500ml</t>
        </is>
      </c>
      <c r="H6542" s="7" t="n">
        <v>190801</v>
      </c>
      <c r="I6542" s="7" t="n">
        <v>190801</v>
      </c>
      <c r="J6542" s="94" t="n"/>
      <c r="K6542" s="6" t="n">
        <v>48</v>
      </c>
      <c r="L6542" s="7" t="n">
        <v>190801</v>
      </c>
      <c r="M6542" s="94">
        <f>VLOOKUP($Q6542,매칭테이블!$F:$I,2,0)*K6542</f>
        <v/>
      </c>
      <c r="N6542" s="94">
        <f>M6542-M6542*VLOOKUP($Q6542,매칭테이블!$F:$I,3,0)</f>
        <v/>
      </c>
      <c r="O6542" s="94">
        <f>VLOOKUP($Q6542,매칭테이블!$F:$I,4,0)*K6542</f>
        <v/>
      </c>
      <c r="P6542" s="148">
        <f>M6542/1.1</f>
        <v/>
      </c>
      <c r="Q6542" s="94">
        <f>F6542&amp;E6542&amp;G6542&amp;L6542</f>
        <v/>
      </c>
    </row>
    <row r="6543">
      <c r="A6543" s="94" t="n"/>
      <c r="B6543" s="128" t="n">
        <v>43983</v>
      </c>
      <c r="C6543" s="94">
        <f>TEXT(B6543,"aaa")</f>
        <v/>
      </c>
      <c r="D6543" s="94" t="n"/>
      <c r="E6543" s="6" t="inlineStr">
        <is>
          <t>토너</t>
        </is>
      </c>
      <c r="F6543" s="5" t="inlineStr">
        <is>
          <t>카페24</t>
        </is>
      </c>
      <c r="G6543" s="94" t="inlineStr">
        <is>
          <t>스킨팩 화장솜 60P</t>
        </is>
      </c>
      <c r="H6543" s="7" t="n">
        <v>190801</v>
      </c>
      <c r="I6543" s="7" t="n">
        <v>190801</v>
      </c>
      <c r="J6543" s="94" t="n"/>
      <c r="K6543" s="6" t="n">
        <v>60</v>
      </c>
      <c r="L6543" s="7" t="n">
        <v>190801</v>
      </c>
      <c r="M6543" s="94">
        <f>VLOOKUP($Q6543,매칭테이블!$F:$I,2,0)*K6543</f>
        <v/>
      </c>
      <c r="N6543" s="94">
        <f>M6543-M6543*VLOOKUP($Q6543,매칭테이블!$F:$I,3,0)</f>
        <v/>
      </c>
      <c r="O6543" s="94">
        <f>VLOOKUP($Q6543,매칭테이블!$F:$I,4,0)*K6543</f>
        <v/>
      </c>
      <c r="P6543" s="148">
        <f>M6543/1.1</f>
        <v/>
      </c>
      <c r="Q6543" s="94">
        <f>F6543&amp;E6543&amp;G6543&amp;L6543</f>
        <v/>
      </c>
    </row>
    <row r="6544">
      <c r="A6544" s="94" t="n"/>
      <c r="B6544" s="128" t="n">
        <v>43983</v>
      </c>
      <c r="C6544" s="94">
        <f>TEXT(B6544,"aaa")</f>
        <v/>
      </c>
      <c r="D6544" s="94" t="n"/>
      <c r="E6544" s="94" t="inlineStr">
        <is>
          <t>앰플</t>
        </is>
      </c>
      <c r="F6544" s="5" t="inlineStr">
        <is>
          <t>카페24</t>
        </is>
      </c>
      <c r="G6544" s="94" t="inlineStr">
        <is>
          <t>앰플 30ml</t>
        </is>
      </c>
      <c r="H6544" s="7" t="n">
        <v>190801</v>
      </c>
      <c r="I6544" s="7" t="n">
        <v>190801</v>
      </c>
      <c r="J6544" s="94" t="n"/>
      <c r="K6544" s="6" t="n">
        <v>22</v>
      </c>
      <c r="L6544" s="94" t="n">
        <v>190801</v>
      </c>
      <c r="M6544" s="94">
        <f>VLOOKUP($Q6544,매칭테이블!$F:$I,2,0)*K6544</f>
        <v/>
      </c>
      <c r="N6544" s="94">
        <f>M6544-M6544*VLOOKUP($Q6544,매칭테이블!$F:$I,3,0)</f>
        <v/>
      </c>
      <c r="O6544" s="94">
        <f>VLOOKUP($Q6544,매칭테이블!$F:$I,4,0)*K6544</f>
        <v/>
      </c>
      <c r="P6544" s="148">
        <f>M6544/1.1</f>
        <v/>
      </c>
      <c r="Q6544" s="94">
        <f>F6544&amp;E6544&amp;G6544&amp;L6544</f>
        <v/>
      </c>
    </row>
    <row r="6545">
      <c r="A6545" s="94" t="n"/>
      <c r="B6545" s="128" t="n">
        <v>43983</v>
      </c>
      <c r="C6545" s="94">
        <f>TEXT(B6545,"aaa")</f>
        <v/>
      </c>
      <c r="D6545" s="94" t="n"/>
      <c r="E6545" s="94" t="inlineStr">
        <is>
          <t>수딩크림</t>
        </is>
      </c>
      <c r="F6545" s="5" t="inlineStr">
        <is>
          <t>카페24</t>
        </is>
      </c>
      <c r="G6545" s="94" t="inlineStr">
        <is>
          <t>수딩크림 100ml</t>
        </is>
      </c>
      <c r="H6545" s="7" t="n">
        <v>190801</v>
      </c>
      <c r="I6545" s="7" t="n">
        <v>190801</v>
      </c>
      <c r="J6545" s="94" t="n"/>
      <c r="K6545" s="6" t="n">
        <v>6</v>
      </c>
      <c r="L6545" s="94" t="n">
        <v>190801</v>
      </c>
      <c r="M6545" s="94">
        <f>VLOOKUP($Q6545,매칭테이블!$F:$I,2,0)*K6545</f>
        <v/>
      </c>
      <c r="N6545" s="94">
        <f>M6545-M6545*VLOOKUP($Q6545,매칭테이블!$F:$I,3,0)</f>
        <v/>
      </c>
      <c r="O6545" s="94">
        <f>VLOOKUP($Q6545,매칭테이블!$F:$I,4,0)*K6545</f>
        <v/>
      </c>
      <c r="P6545" s="148">
        <f>M6545/1.1</f>
        <v/>
      </c>
      <c r="Q6545" s="94">
        <f>F6545&amp;E6545&amp;G6545&amp;L6545</f>
        <v/>
      </c>
    </row>
    <row r="6546">
      <c r="A6546" s="94" t="n"/>
      <c r="B6546" s="128" t="n">
        <v>43983</v>
      </c>
      <c r="C6546" s="94">
        <f>TEXT(B6546,"aaa")</f>
        <v/>
      </c>
      <c r="D6546" s="94" t="n"/>
      <c r="E6546" s="6" t="inlineStr">
        <is>
          <t>토너</t>
        </is>
      </c>
      <c r="F6546" s="5" t="inlineStr">
        <is>
          <t>큐텐</t>
        </is>
      </c>
      <c r="G6546" s="5" t="inlineStr">
        <is>
          <t>250ml</t>
        </is>
      </c>
      <c r="H6546" s="7" t="n">
        <v>190801</v>
      </c>
      <c r="I6546" s="7" t="n">
        <v>190801</v>
      </c>
      <c r="J6546" s="94" t="n"/>
      <c r="K6546" s="6" t="n">
        <v>22</v>
      </c>
      <c r="L6546" s="92" t="n">
        <v>190801</v>
      </c>
      <c r="M6546" s="94">
        <f>VLOOKUP($Q6546,매칭테이블!$F:$I,2,0)*K6546</f>
        <v/>
      </c>
      <c r="N6546" s="94">
        <f>M6546-M6546*VLOOKUP($Q6546,매칭테이블!$F:$I,3,0)</f>
        <v/>
      </c>
      <c r="O6546" s="94">
        <f>VLOOKUP($Q6546,매칭테이블!$F:$I,4,0)*K6546</f>
        <v/>
      </c>
      <c r="P6546" s="148">
        <f>M6546/1.1</f>
        <v/>
      </c>
      <c r="Q6546" s="94">
        <f>F6546&amp;E6546&amp;G6546&amp;L6546</f>
        <v/>
      </c>
    </row>
    <row r="6547">
      <c r="A6547" s="94" t="n"/>
      <c r="B6547" s="128" t="n">
        <v>43983</v>
      </c>
      <c r="C6547" s="94">
        <f>TEXT(B6547,"aaa")</f>
        <v/>
      </c>
      <c r="D6547" s="94" t="n"/>
      <c r="E6547" s="6" t="inlineStr">
        <is>
          <t>토너</t>
        </is>
      </c>
      <c r="F6547" s="5" t="inlineStr">
        <is>
          <t>큐텐</t>
        </is>
      </c>
      <c r="G6547" s="5" t="inlineStr">
        <is>
          <t>250ml 2set</t>
        </is>
      </c>
      <c r="H6547" s="7" t="n">
        <v>190801</v>
      </c>
      <c r="I6547" s="7" t="n">
        <v>190801</v>
      </c>
      <c r="J6547" s="94" t="n"/>
      <c r="K6547" s="6" t="n">
        <v>17</v>
      </c>
      <c r="L6547" s="92" t="n">
        <v>190801</v>
      </c>
      <c r="M6547" s="94">
        <f>VLOOKUP($Q6547,매칭테이블!$F:$I,2,0)*K6547</f>
        <v/>
      </c>
      <c r="N6547" s="94">
        <f>M6547-M6547*VLOOKUP($Q6547,매칭테이블!$F:$I,3,0)</f>
        <v/>
      </c>
      <c r="O6547" s="94">
        <f>VLOOKUP($Q6547,매칭테이블!$F:$I,4,0)*K6547</f>
        <v/>
      </c>
      <c r="P6547" s="148">
        <f>M6547/1.1</f>
        <v/>
      </c>
      <c r="Q6547" s="94">
        <f>F6547&amp;E6547&amp;G6547&amp;L6547</f>
        <v/>
      </c>
    </row>
    <row r="6548">
      <c r="A6548" s="94" t="n"/>
      <c r="B6548" s="128" t="n">
        <v>43983</v>
      </c>
      <c r="C6548" s="94">
        <f>TEXT(B6548,"aaa")</f>
        <v/>
      </c>
      <c r="D6548" s="94" t="n"/>
      <c r="E6548" s="94" t="inlineStr">
        <is>
          <t>앰플</t>
        </is>
      </c>
      <c r="F6548" s="5" t="inlineStr">
        <is>
          <t>큐텐</t>
        </is>
      </c>
      <c r="G6548" s="94" t="inlineStr">
        <is>
          <t>앰플 30ml</t>
        </is>
      </c>
      <c r="H6548" s="7" t="n">
        <v>190801</v>
      </c>
      <c r="I6548" s="7" t="n">
        <v>190801</v>
      </c>
      <c r="J6548" s="94" t="n"/>
      <c r="K6548" s="6" t="n">
        <v>11</v>
      </c>
      <c r="L6548" s="94" t="n">
        <v>190801</v>
      </c>
      <c r="M6548" s="94">
        <f>VLOOKUP($Q6548,매칭테이블!$F:$I,2,0)*K6548</f>
        <v/>
      </c>
      <c r="N6548" s="94">
        <f>M6548-M6548*VLOOKUP($Q6548,매칭테이블!$F:$I,3,0)</f>
        <v/>
      </c>
      <c r="O6548" s="94">
        <f>VLOOKUP($Q6548,매칭테이블!$F:$I,4,0)*K6548</f>
        <v/>
      </c>
      <c r="P6548" s="148">
        <f>M6548/1.1</f>
        <v/>
      </c>
      <c r="Q6548" s="94">
        <f>F6548&amp;E6548&amp;G6548&amp;L6548</f>
        <v/>
      </c>
    </row>
    <row r="6549">
      <c r="A6549" s="94" t="n"/>
      <c r="B6549" s="128" t="n">
        <v>43983</v>
      </c>
      <c r="C6549" s="94">
        <f>TEXT(B6549,"aaa")</f>
        <v/>
      </c>
      <c r="D6549" s="94" t="n"/>
      <c r="E6549" s="94" t="inlineStr">
        <is>
          <t>클렌징폼</t>
        </is>
      </c>
      <c r="F6549" s="5" t="inlineStr">
        <is>
          <t>카페24</t>
        </is>
      </c>
      <c r="G6549" s="94" t="inlineStr">
        <is>
          <t>클렌징폼 120ml</t>
        </is>
      </c>
      <c r="H6549" s="7" t="n">
        <v>190801</v>
      </c>
      <c r="I6549" s="7" t="n">
        <v>190801</v>
      </c>
      <c r="J6549" s="94" t="n"/>
      <c r="K6549" s="6" t="n">
        <v>12</v>
      </c>
      <c r="L6549" s="7" t="n">
        <v>190801</v>
      </c>
      <c r="M6549" s="94">
        <f>VLOOKUP($Q6549,매칭테이블!$F:$I,2,0)*K6549</f>
        <v/>
      </c>
      <c r="N6549" s="94">
        <f>M6549-M6549*VLOOKUP($Q6549,매칭테이블!$F:$I,3,0)</f>
        <v/>
      </c>
      <c r="O6549" s="94">
        <f>VLOOKUP($Q6549,매칭테이블!$F:$I,4,0)*K6549</f>
        <v/>
      </c>
      <c r="P6549" s="148">
        <f>M6549/1.1</f>
        <v/>
      </c>
      <c r="Q6549" s="94">
        <f>F6549&amp;E6549&amp;G6549&amp;L6549</f>
        <v/>
      </c>
    </row>
    <row r="6550">
      <c r="A6550" s="94" t="n"/>
      <c r="B6550" s="128" t="n">
        <v>43984</v>
      </c>
      <c r="C6550" s="94">
        <f>TEXT(B6550,"aaa")</f>
        <v/>
      </c>
      <c r="D6550" s="94" t="n"/>
      <c r="E6550" s="6" t="inlineStr">
        <is>
          <t>토너</t>
        </is>
      </c>
      <c r="F6550" s="5" t="inlineStr">
        <is>
          <t>W컨셉</t>
        </is>
      </c>
      <c r="G6550" s="5" t="inlineStr">
        <is>
          <t>250ml</t>
        </is>
      </c>
      <c r="H6550" s="7" t="n">
        <v>190801</v>
      </c>
      <c r="I6550" s="7" t="n">
        <v>190801</v>
      </c>
      <c r="J6550" s="94" t="n"/>
      <c r="K6550" s="6" t="n">
        <v>2</v>
      </c>
      <c r="L6550" s="7" t="n">
        <v>190801</v>
      </c>
      <c r="M6550" s="94">
        <f>VLOOKUP($Q6550,매칭테이블!$F:$I,2,0)*K6550</f>
        <v/>
      </c>
      <c r="N6550" s="94">
        <f>M6550-M6550*VLOOKUP($Q6550,매칭테이블!$F:$I,3,0)</f>
        <v/>
      </c>
      <c r="O6550" s="94">
        <f>VLOOKUP($Q6550,매칭테이블!$F:$I,4,0)*K6550</f>
        <v/>
      </c>
      <c r="P6550" s="148">
        <f>M6550/1.1</f>
        <v/>
      </c>
      <c r="Q6550" s="94">
        <f>F6550&amp;E6550&amp;G6550&amp;L6550</f>
        <v/>
      </c>
    </row>
    <row r="6551">
      <c r="A6551" s="94" t="n"/>
      <c r="B6551" s="128" t="n">
        <v>43984</v>
      </c>
      <c r="C6551" s="94">
        <f>TEXT(B6551,"aaa")</f>
        <v/>
      </c>
      <c r="D6551" s="94" t="n"/>
      <c r="E6551" s="6" t="inlineStr">
        <is>
          <t>토너</t>
        </is>
      </c>
      <c r="F6551" s="5" t="inlineStr">
        <is>
          <t>W컨셉</t>
        </is>
      </c>
      <c r="G6551" s="5" t="inlineStr">
        <is>
          <t>250ml 2set</t>
        </is>
      </c>
      <c r="H6551" s="7" t="n">
        <v>190801</v>
      </c>
      <c r="I6551" s="7" t="n">
        <v>190801</v>
      </c>
      <c r="J6551" s="94" t="n"/>
      <c r="K6551" s="6" t="n">
        <v>8</v>
      </c>
      <c r="L6551" s="7" t="n">
        <v>190801</v>
      </c>
      <c r="M6551" s="94">
        <f>VLOOKUP($Q6551,매칭테이블!$F:$I,2,0)*K6551</f>
        <v/>
      </c>
      <c r="N6551" s="94">
        <f>M6551-M6551*VLOOKUP($Q6551,매칭테이블!$F:$I,3,0)</f>
        <v/>
      </c>
      <c r="O6551" s="94">
        <f>VLOOKUP($Q6551,매칭테이블!$F:$I,4,0)*K6551</f>
        <v/>
      </c>
      <c r="P6551" s="148">
        <f>M6551/1.1</f>
        <v/>
      </c>
      <c r="Q6551" s="94">
        <f>F6551&amp;E6551&amp;G6551&amp;L6551</f>
        <v/>
      </c>
    </row>
    <row r="6552">
      <c r="A6552" s="94" t="n"/>
      <c r="B6552" s="128" t="n">
        <v>43984</v>
      </c>
      <c r="C6552" s="94">
        <f>TEXT(B6552,"aaa")</f>
        <v/>
      </c>
      <c r="D6552" s="94" t="n"/>
      <c r="E6552" s="94" t="inlineStr">
        <is>
          <t>토너</t>
        </is>
      </c>
      <c r="F6552" s="5" t="inlineStr">
        <is>
          <t>스타일쉐어</t>
        </is>
      </c>
      <c r="G6552" s="94" t="inlineStr">
        <is>
          <t>250ml</t>
        </is>
      </c>
      <c r="H6552" s="7" t="n">
        <v>190801</v>
      </c>
      <c r="I6552" s="7" t="n">
        <v>190801</v>
      </c>
      <c r="J6552" s="94" t="n"/>
      <c r="K6552" s="6" t="n">
        <v>3</v>
      </c>
      <c r="L6552" s="7" t="n">
        <v>190801</v>
      </c>
      <c r="M6552" s="94">
        <f>VLOOKUP($Q6552,매칭테이블!$F:$I,2,0)*K6552</f>
        <v/>
      </c>
      <c r="N6552" s="94">
        <f>M6552-M6552*VLOOKUP($Q6552,매칭테이블!$F:$I,3,0)</f>
        <v/>
      </c>
      <c r="O6552" s="94">
        <f>VLOOKUP($Q6552,매칭테이블!$F:$I,4,0)*K6552</f>
        <v/>
      </c>
      <c r="P6552" s="148">
        <f>M6552/1.1</f>
        <v/>
      </c>
      <c r="Q6552" s="94">
        <f>F6552&amp;E6552&amp;G6552&amp;L6552</f>
        <v/>
      </c>
    </row>
    <row r="6553">
      <c r="A6553" s="94" t="n"/>
      <c r="B6553" s="128" t="n">
        <v>43984</v>
      </c>
      <c r="C6553" s="94">
        <f>TEXT(B6553,"aaa")</f>
        <v/>
      </c>
      <c r="D6553" s="94" t="n"/>
      <c r="E6553" s="94" t="inlineStr">
        <is>
          <t>선크림</t>
        </is>
      </c>
      <c r="F6553" s="94" t="inlineStr">
        <is>
          <t>카페24</t>
        </is>
      </c>
      <c r="G6553" s="94" t="inlineStr">
        <is>
          <t>선크림 50ml</t>
        </is>
      </c>
      <c r="H6553" s="7" t="n">
        <v>190801</v>
      </c>
      <c r="I6553" s="7" t="n">
        <v>190801</v>
      </c>
      <c r="J6553" s="94" t="n"/>
      <c r="K6553" s="6" t="n">
        <v>11</v>
      </c>
      <c r="L6553" s="7" t="n">
        <v>190801</v>
      </c>
      <c r="M6553" s="94">
        <f>VLOOKUP($Q6553,매칭테이블!$F:$I,2,0)*K6553</f>
        <v/>
      </c>
      <c r="N6553" s="94">
        <f>M6553-M6553*VLOOKUP($Q6553,매칭테이블!$F:$I,3,0)</f>
        <v/>
      </c>
      <c r="O6553" s="94">
        <f>VLOOKUP($Q6553,매칭테이블!$F:$I,4,0)*K6553</f>
        <v/>
      </c>
      <c r="P6553" s="148">
        <f>M6553/1.1</f>
        <v/>
      </c>
      <c r="Q6553" s="94">
        <f>F6553&amp;E6553&amp;G6553&amp;L6553</f>
        <v/>
      </c>
    </row>
    <row r="6554">
      <c r="A6554" s="94" t="n"/>
      <c r="B6554" s="128" t="n">
        <v>43984</v>
      </c>
      <c r="C6554" s="94">
        <f>TEXT(B6554,"aaa")</f>
        <v/>
      </c>
      <c r="D6554" s="94" t="n"/>
      <c r="E6554" s="94" t="inlineStr">
        <is>
          <t>어성초진정패키지</t>
        </is>
      </c>
      <c r="F6554" s="94" t="inlineStr">
        <is>
          <t>카페24</t>
        </is>
      </c>
      <c r="G6554" s="94" t="inlineStr">
        <is>
          <t>어성초 진정패키지세트</t>
        </is>
      </c>
      <c r="H6554" s="7" t="n">
        <v>190801</v>
      </c>
      <c r="I6554" s="7" t="n">
        <v>190801</v>
      </c>
      <c r="J6554" s="94" t="n"/>
      <c r="K6554" s="6" t="n">
        <v>12</v>
      </c>
      <c r="L6554" s="94" t="n">
        <v>190801</v>
      </c>
      <c r="M6554" s="94">
        <f>VLOOKUP($Q6554,매칭테이블!$F:$I,2,0)*K6554</f>
        <v/>
      </c>
      <c r="N6554" s="94">
        <f>M6554-M6554*VLOOKUP($Q6554,매칭테이블!$F:$I,3,0)</f>
        <v/>
      </c>
      <c r="O6554" s="94">
        <f>VLOOKUP($Q6554,매칭테이블!$F:$I,4,0)*K6554</f>
        <v/>
      </c>
      <c r="P6554" s="148">
        <f>M6554/1.1</f>
        <v/>
      </c>
      <c r="Q6554" s="94">
        <f>F6554&amp;E6554&amp;G6554&amp;L6554</f>
        <v/>
      </c>
    </row>
    <row r="6555">
      <c r="A6555" s="94" t="n"/>
      <c r="B6555" s="128" t="n">
        <v>43984</v>
      </c>
      <c r="C6555" s="94">
        <f>TEXT(B6555,"aaa")</f>
        <v/>
      </c>
      <c r="D6555" s="94" t="n"/>
      <c r="E6555" s="94" t="inlineStr">
        <is>
          <t>머드크림마스크</t>
        </is>
      </c>
      <c r="F6555" s="94" t="inlineStr">
        <is>
          <t>카페24</t>
        </is>
      </c>
      <c r="G6555" s="94" t="inlineStr">
        <is>
          <t>머드크림마스크 100ml</t>
        </is>
      </c>
      <c r="H6555" s="7" t="n">
        <v>190801</v>
      </c>
      <c r="I6555" s="7" t="n">
        <v>190801</v>
      </c>
      <c r="J6555" s="94" t="n"/>
      <c r="K6555" s="6" t="n">
        <v>1</v>
      </c>
      <c r="L6555" s="94" t="n">
        <v>190801</v>
      </c>
      <c r="M6555" s="94">
        <f>VLOOKUP($Q6555,매칭테이블!$F:$I,2,0)*K6555</f>
        <v/>
      </c>
      <c r="N6555" s="94">
        <f>M6555-M6555*VLOOKUP($Q6555,매칭테이블!$F:$I,3,0)</f>
        <v/>
      </c>
      <c r="O6555" s="94">
        <f>VLOOKUP($Q6555,매칭테이블!$F:$I,4,0)*K6555</f>
        <v/>
      </c>
      <c r="P6555" s="148">
        <f>M6555/1.1</f>
        <v/>
      </c>
      <c r="Q6555" s="94">
        <f>F6555&amp;E6555&amp;G6555&amp;L6555</f>
        <v/>
      </c>
    </row>
    <row r="6556">
      <c r="A6556" s="94" t="n"/>
      <c r="B6556" s="128" t="n">
        <v>43984</v>
      </c>
      <c r="C6556" s="94">
        <f>TEXT(B6556,"aaa")</f>
        <v/>
      </c>
      <c r="D6556" s="94" t="n"/>
      <c r="E6556" s="94" t="inlineStr">
        <is>
          <t>마스크팩</t>
        </is>
      </c>
      <c r="F6556" s="94" t="inlineStr">
        <is>
          <t>카페24</t>
        </is>
      </c>
      <c r="G6556" s="94" t="inlineStr">
        <is>
          <t>마스크팩 1매</t>
        </is>
      </c>
      <c r="H6556" s="7" t="n">
        <v>190801</v>
      </c>
      <c r="I6556" s="7" t="n">
        <v>190801</v>
      </c>
      <c r="J6556" s="94" t="n"/>
      <c r="K6556" s="6" t="n">
        <v>4</v>
      </c>
      <c r="L6556" s="94" t="n">
        <v>190801</v>
      </c>
      <c r="M6556" s="94">
        <f>VLOOKUP($Q6556,매칭테이블!$F:$I,2,0)*K6556</f>
        <v/>
      </c>
      <c r="N6556" s="94">
        <f>M6556-M6556*VLOOKUP($Q6556,매칭테이블!$F:$I,3,0)</f>
        <v/>
      </c>
      <c r="O6556" s="94">
        <f>VLOOKUP($Q6556,매칭테이블!$F:$I,4,0)*K6556</f>
        <v/>
      </c>
      <c r="P6556" s="148">
        <f>M6556/1.1</f>
        <v/>
      </c>
      <c r="Q6556" s="94">
        <f>F6556&amp;E6556&amp;G6556&amp;L6556</f>
        <v/>
      </c>
    </row>
    <row r="6557">
      <c r="A6557" s="94" t="n"/>
      <c r="B6557" s="128" t="n">
        <v>43984</v>
      </c>
      <c r="C6557" s="94">
        <f>TEXT(B6557,"aaa")</f>
        <v/>
      </c>
      <c r="D6557" s="94" t="n"/>
      <c r="E6557" s="94" t="inlineStr">
        <is>
          <t>마스크팩</t>
        </is>
      </c>
      <c r="F6557" s="94" t="inlineStr">
        <is>
          <t>카페24</t>
        </is>
      </c>
      <c r="G6557" s="94" t="inlineStr">
        <is>
          <t>마스크팩 10매</t>
        </is>
      </c>
      <c r="H6557" s="7" t="n">
        <v>190801</v>
      </c>
      <c r="I6557" s="7" t="n">
        <v>190801</v>
      </c>
      <c r="J6557" s="94" t="n"/>
      <c r="K6557" s="6" t="n">
        <v>4</v>
      </c>
      <c r="L6557" s="94" t="n">
        <v>190801</v>
      </c>
      <c r="M6557" s="94">
        <f>VLOOKUP($Q6557,매칭테이블!$F:$I,2,0)*K6557</f>
        <v/>
      </c>
      <c r="N6557" s="94">
        <f>M6557-M6557*VLOOKUP($Q6557,매칭테이블!$F:$I,3,0)</f>
        <v/>
      </c>
      <c r="O6557" s="94">
        <f>VLOOKUP($Q6557,매칭테이블!$F:$I,4,0)*K6557</f>
        <v/>
      </c>
      <c r="P6557" s="148">
        <f>M6557/1.1</f>
        <v/>
      </c>
      <c r="Q6557" s="94">
        <f>F6557&amp;E6557&amp;G6557&amp;L6557</f>
        <v/>
      </c>
    </row>
    <row r="6558">
      <c r="A6558" s="94" t="n"/>
      <c r="B6558" s="128" t="n">
        <v>43984</v>
      </c>
      <c r="C6558" s="94">
        <f>TEXT(B6558,"aaa")</f>
        <v/>
      </c>
      <c r="D6558" s="94" t="n"/>
      <c r="E6558" s="6" t="inlineStr">
        <is>
          <t>토너</t>
        </is>
      </c>
      <c r="F6558" s="5" t="inlineStr">
        <is>
          <t>카페24</t>
        </is>
      </c>
      <c r="G6558" s="5" t="inlineStr">
        <is>
          <t>250ml</t>
        </is>
      </c>
      <c r="H6558" s="7" t="n">
        <v>190801</v>
      </c>
      <c r="I6558" s="7" t="n">
        <v>190801</v>
      </c>
      <c r="J6558" s="94" t="n"/>
      <c r="K6558" s="6" t="n">
        <v>63</v>
      </c>
      <c r="L6558" s="7" t="n">
        <v>190801</v>
      </c>
      <c r="M6558" s="94">
        <f>VLOOKUP($Q6558,매칭테이블!$F:$I,2,0)*K6558</f>
        <v/>
      </c>
      <c r="N6558" s="94">
        <f>M6558-M6558*VLOOKUP($Q6558,매칭테이블!$F:$I,3,0)</f>
        <v/>
      </c>
      <c r="O6558" s="94">
        <f>VLOOKUP($Q6558,매칭테이블!$F:$I,4,0)*K6558</f>
        <v/>
      </c>
      <c r="P6558" s="148">
        <f>M6558/1.1</f>
        <v/>
      </c>
      <c r="Q6558" s="94">
        <f>F6558&amp;E6558&amp;G6558&amp;L6558</f>
        <v/>
      </c>
    </row>
    <row r="6559">
      <c r="A6559" s="94" t="n"/>
      <c r="B6559" s="128" t="n">
        <v>43984</v>
      </c>
      <c r="C6559" s="94">
        <f>TEXT(B6559,"aaa")</f>
        <v/>
      </c>
      <c r="D6559" s="94" t="n"/>
      <c r="E6559" s="6" t="inlineStr">
        <is>
          <t>토너</t>
        </is>
      </c>
      <c r="F6559" s="5" t="inlineStr">
        <is>
          <t>카페24</t>
        </is>
      </c>
      <c r="G6559" s="5" t="inlineStr">
        <is>
          <t>250ml 2set</t>
        </is>
      </c>
      <c r="H6559" s="7" t="n">
        <v>190801</v>
      </c>
      <c r="I6559" s="7" t="n">
        <v>190801</v>
      </c>
      <c r="J6559" s="94" t="n"/>
      <c r="K6559" s="6" t="n">
        <v>39</v>
      </c>
      <c r="L6559" s="7" t="n">
        <v>190801</v>
      </c>
      <c r="M6559" s="94">
        <f>VLOOKUP($Q6559,매칭테이블!$F:$I,2,0)*K6559</f>
        <v/>
      </c>
      <c r="N6559" s="94">
        <f>M6559-M6559*VLOOKUP($Q6559,매칭테이블!$F:$I,3,0)</f>
        <v/>
      </c>
      <c r="O6559" s="94">
        <f>VLOOKUP($Q6559,매칭테이블!$F:$I,4,0)*K6559</f>
        <v/>
      </c>
      <c r="P6559" s="148">
        <f>M6559/1.1</f>
        <v/>
      </c>
      <c r="Q6559" s="94">
        <f>F6559&amp;E6559&amp;G6559&amp;L6559</f>
        <v/>
      </c>
    </row>
    <row r="6560">
      <c r="A6560" s="94" t="n"/>
      <c r="B6560" s="128" t="n">
        <v>43984</v>
      </c>
      <c r="C6560" s="94">
        <f>TEXT(B6560,"aaa")</f>
        <v/>
      </c>
      <c r="D6560" s="94" t="n"/>
      <c r="E6560" s="6" t="inlineStr">
        <is>
          <t>토너</t>
        </is>
      </c>
      <c r="F6560" s="5" t="inlineStr">
        <is>
          <t>카페24</t>
        </is>
      </c>
      <c r="G6560" s="5" t="inlineStr">
        <is>
          <t>500ml</t>
        </is>
      </c>
      <c r="H6560" s="7" t="n">
        <v>190801</v>
      </c>
      <c r="I6560" s="7" t="n">
        <v>190801</v>
      </c>
      <c r="J6560" s="94" t="n"/>
      <c r="K6560" s="6" t="n">
        <v>53</v>
      </c>
      <c r="L6560" s="7" t="n">
        <v>190801</v>
      </c>
      <c r="M6560" s="94">
        <f>VLOOKUP($Q6560,매칭테이블!$F:$I,2,0)*K6560</f>
        <v/>
      </c>
      <c r="N6560" s="94">
        <f>M6560-M6560*VLOOKUP($Q6560,매칭테이블!$F:$I,3,0)</f>
        <v/>
      </c>
      <c r="O6560" s="94">
        <f>VLOOKUP($Q6560,매칭테이블!$F:$I,4,0)*K6560</f>
        <v/>
      </c>
      <c r="P6560" s="148">
        <f>M6560/1.1</f>
        <v/>
      </c>
      <c r="Q6560" s="94">
        <f>F6560&amp;E6560&amp;G6560&amp;L6560</f>
        <v/>
      </c>
    </row>
    <row r="6561">
      <c r="A6561" s="94" t="n"/>
      <c r="B6561" s="128" t="n">
        <v>43984</v>
      </c>
      <c r="C6561" s="94">
        <f>TEXT(B6561,"aaa")</f>
        <v/>
      </c>
      <c r="D6561" s="94" t="n"/>
      <c r="E6561" s="6" t="inlineStr">
        <is>
          <t>토너</t>
        </is>
      </c>
      <c r="F6561" s="5" t="inlineStr">
        <is>
          <t>카페24</t>
        </is>
      </c>
      <c r="G6561" s="94" t="inlineStr">
        <is>
          <t>스킨팩 화장솜 60P</t>
        </is>
      </c>
      <c r="H6561" s="7" t="n">
        <v>190801</v>
      </c>
      <c r="I6561" s="7" t="n">
        <v>190801</v>
      </c>
      <c r="J6561" s="94" t="n"/>
      <c r="K6561" s="6" t="n">
        <v>60</v>
      </c>
      <c r="L6561" s="7" t="n">
        <v>190801</v>
      </c>
      <c r="M6561" s="94">
        <f>VLOOKUP($Q6561,매칭테이블!$F:$I,2,0)*K6561</f>
        <v/>
      </c>
      <c r="N6561" s="94">
        <f>M6561-M6561*VLOOKUP($Q6561,매칭테이블!$F:$I,3,0)</f>
        <v/>
      </c>
      <c r="O6561" s="94">
        <f>VLOOKUP($Q6561,매칭테이블!$F:$I,4,0)*K6561</f>
        <v/>
      </c>
      <c r="P6561" s="148">
        <f>M6561/1.1</f>
        <v/>
      </c>
      <c r="Q6561" s="94">
        <f>F6561&amp;E6561&amp;G6561&amp;L6561</f>
        <v/>
      </c>
    </row>
    <row r="6562">
      <c r="A6562" s="94" t="n"/>
      <c r="B6562" s="128" t="n">
        <v>43984</v>
      </c>
      <c r="C6562" s="94">
        <f>TEXT(B6562,"aaa")</f>
        <v/>
      </c>
      <c r="D6562" s="94" t="n"/>
      <c r="E6562" s="94" t="inlineStr">
        <is>
          <t>앰플</t>
        </is>
      </c>
      <c r="F6562" s="5" t="inlineStr">
        <is>
          <t>카페24</t>
        </is>
      </c>
      <c r="G6562" s="94" t="inlineStr">
        <is>
          <t>앰플 30ml</t>
        </is>
      </c>
      <c r="H6562" s="7" t="n">
        <v>190801</v>
      </c>
      <c r="I6562" s="7" t="n">
        <v>190801</v>
      </c>
      <c r="J6562" s="94" t="n"/>
      <c r="K6562" s="6" t="n">
        <v>8</v>
      </c>
      <c r="L6562" s="94" t="n">
        <v>190801</v>
      </c>
      <c r="M6562" s="94">
        <f>VLOOKUP($Q6562,매칭테이블!$F:$I,2,0)*K6562</f>
        <v/>
      </c>
      <c r="N6562" s="94">
        <f>M6562-M6562*VLOOKUP($Q6562,매칭테이블!$F:$I,3,0)</f>
        <v/>
      </c>
      <c r="O6562" s="94">
        <f>VLOOKUP($Q6562,매칭테이블!$F:$I,4,0)*K6562</f>
        <v/>
      </c>
      <c r="P6562" s="148">
        <f>M6562/1.1</f>
        <v/>
      </c>
      <c r="Q6562" s="94">
        <f>F6562&amp;E6562&amp;G6562&amp;L6562</f>
        <v/>
      </c>
    </row>
    <row r="6563">
      <c r="A6563" s="94" t="n"/>
      <c r="B6563" s="128" t="n">
        <v>43984</v>
      </c>
      <c r="C6563" s="94">
        <f>TEXT(B6563,"aaa")</f>
        <v/>
      </c>
      <c r="D6563" s="94" t="n"/>
      <c r="E6563" s="94" t="inlineStr">
        <is>
          <t>수딩크림</t>
        </is>
      </c>
      <c r="F6563" s="5" t="inlineStr">
        <is>
          <t>카페24</t>
        </is>
      </c>
      <c r="G6563" s="94" t="inlineStr">
        <is>
          <t>수딩크림 100ml</t>
        </is>
      </c>
      <c r="H6563" s="7" t="n">
        <v>190801</v>
      </c>
      <c r="I6563" s="7" t="n">
        <v>190801</v>
      </c>
      <c r="J6563" s="94" t="n"/>
      <c r="K6563" s="6" t="n">
        <v>5</v>
      </c>
      <c r="L6563" s="94" t="n">
        <v>190801</v>
      </c>
      <c r="M6563" s="94">
        <f>VLOOKUP($Q6563,매칭테이블!$F:$I,2,0)*K6563</f>
        <v/>
      </c>
      <c r="N6563" s="94">
        <f>M6563-M6563*VLOOKUP($Q6563,매칭테이블!$F:$I,3,0)</f>
        <v/>
      </c>
      <c r="O6563" s="94">
        <f>VLOOKUP($Q6563,매칭테이블!$F:$I,4,0)*K6563</f>
        <v/>
      </c>
      <c r="P6563" s="148">
        <f>M6563/1.1</f>
        <v/>
      </c>
      <c r="Q6563" s="94">
        <f>F6563&amp;E6563&amp;G6563&amp;L6563</f>
        <v/>
      </c>
    </row>
    <row r="6564">
      <c r="A6564" s="94" t="n"/>
      <c r="B6564" s="128" t="n">
        <v>43984</v>
      </c>
      <c r="C6564" s="94">
        <f>TEXT(B6564,"aaa")</f>
        <v/>
      </c>
      <c r="D6564" s="94" t="n"/>
      <c r="E6564" s="94" t="inlineStr">
        <is>
          <t>클렌징폼</t>
        </is>
      </c>
      <c r="F6564" s="94" t="inlineStr">
        <is>
          <t>카페24</t>
        </is>
      </c>
      <c r="G6564" s="94" t="inlineStr">
        <is>
          <t>클렌징폼 120ml</t>
        </is>
      </c>
      <c r="H6564" s="7" t="n">
        <v>190801</v>
      </c>
      <c r="I6564" s="7" t="n">
        <v>190801</v>
      </c>
      <c r="J6564" s="94" t="n"/>
      <c r="K6564" s="6" t="n">
        <v>9</v>
      </c>
      <c r="L6564" s="92" t="n">
        <v>190801</v>
      </c>
      <c r="M6564" s="94">
        <f>VLOOKUP($Q6564,매칭테이블!$F:$I,2,0)*K6564</f>
        <v/>
      </c>
      <c r="N6564" s="94">
        <f>M6564-M6564*VLOOKUP($Q6564,매칭테이블!$F:$I,3,0)</f>
        <v/>
      </c>
      <c r="O6564" s="94">
        <f>VLOOKUP($Q6564,매칭테이블!$F:$I,4,0)*K6564</f>
        <v/>
      </c>
      <c r="P6564" s="148">
        <f>M6564/1.1</f>
        <v/>
      </c>
      <c r="Q6564" s="94">
        <f>F6564&amp;E6564&amp;G6564&amp;L6564</f>
        <v/>
      </c>
    </row>
    <row r="6565">
      <c r="A6565" s="94" t="n"/>
      <c r="B6565" s="128" t="n">
        <v>43984</v>
      </c>
      <c r="C6565" s="94">
        <f>TEXT(B6565,"aaa")</f>
        <v/>
      </c>
      <c r="D6565" s="94" t="n"/>
      <c r="E6565" s="94" t="inlineStr">
        <is>
          <t>클렌징폼</t>
        </is>
      </c>
      <c r="F6565" s="94" t="inlineStr">
        <is>
          <t>카페24</t>
        </is>
      </c>
      <c r="G6565" s="94" t="inlineStr">
        <is>
          <t>클렌징폼 120ml 2set</t>
        </is>
      </c>
      <c r="H6565" s="7" t="n">
        <v>190801</v>
      </c>
      <c r="I6565" s="7" t="n">
        <v>190801</v>
      </c>
      <c r="J6565" s="94" t="n"/>
      <c r="K6565" s="6" t="n">
        <v>1</v>
      </c>
      <c r="L6565" s="92" t="n">
        <v>190801</v>
      </c>
      <c r="M6565" s="94">
        <f>VLOOKUP($Q6565,매칭테이블!$F:$I,2,0)*K6565</f>
        <v/>
      </c>
      <c r="N6565" s="94">
        <f>M6565-M6565*VLOOKUP($Q6565,매칭테이블!$F:$I,3,0)</f>
        <v/>
      </c>
      <c r="O6565" s="94">
        <f>VLOOKUP($Q6565,매칭테이블!$F:$I,4,0)*K6565</f>
        <v/>
      </c>
      <c r="P6565" s="148">
        <f>M6565/1.1</f>
        <v/>
      </c>
      <c r="Q6565" s="94">
        <f>F6565&amp;E6565&amp;G6565&amp;L6565</f>
        <v/>
      </c>
    </row>
    <row r="6566">
      <c r="A6566" s="94" t="n"/>
      <c r="B6566" s="128" t="n">
        <v>43984</v>
      </c>
      <c r="C6566" s="94">
        <f>TEXT(B6566,"aaa")</f>
        <v/>
      </c>
      <c r="D6566" s="94" t="n"/>
      <c r="E6566" s="94" t="inlineStr">
        <is>
          <t>클렌징폼</t>
        </is>
      </c>
      <c r="F6566" s="94" t="inlineStr">
        <is>
          <t>카페24</t>
        </is>
      </c>
      <c r="G6566" s="94" t="inlineStr">
        <is>
          <t>클렌징폼 120ml 3set</t>
        </is>
      </c>
      <c r="H6566" s="7" t="n">
        <v>190801</v>
      </c>
      <c r="I6566" s="7" t="n">
        <v>190801</v>
      </c>
      <c r="J6566" s="94" t="n"/>
      <c r="K6566" s="6" t="n">
        <v>3</v>
      </c>
      <c r="L6566" s="92" t="n">
        <v>190801</v>
      </c>
      <c r="M6566" s="94">
        <f>VLOOKUP($Q6566,매칭테이블!$F:$I,2,0)*K6566</f>
        <v/>
      </c>
      <c r="N6566" s="94">
        <f>M6566-M6566*VLOOKUP($Q6566,매칭테이블!$F:$I,3,0)</f>
        <v/>
      </c>
      <c r="O6566" s="94">
        <f>VLOOKUP($Q6566,매칭테이블!$F:$I,4,0)*K6566</f>
        <v/>
      </c>
      <c r="P6566" s="148">
        <f>M6566/1.1</f>
        <v/>
      </c>
      <c r="Q6566" s="94">
        <f>F6566&amp;E6566&amp;G6566&amp;L6566</f>
        <v/>
      </c>
    </row>
    <row r="6567">
      <c r="A6567" s="94" t="n"/>
      <c r="B6567" s="128" t="n">
        <v>43984</v>
      </c>
      <c r="C6567" s="94">
        <f>TEXT(B6567,"aaa")</f>
        <v/>
      </c>
      <c r="D6567" s="94" t="n"/>
      <c r="E6567" s="6" t="inlineStr">
        <is>
          <t>토너</t>
        </is>
      </c>
      <c r="F6567" s="5" t="inlineStr">
        <is>
          <t>큐텐</t>
        </is>
      </c>
      <c r="G6567" s="5" t="inlineStr">
        <is>
          <t>250ml</t>
        </is>
      </c>
      <c r="H6567" s="7" t="n">
        <v>190801</v>
      </c>
      <c r="I6567" s="7" t="n">
        <v>190801</v>
      </c>
      <c r="J6567" s="94" t="n"/>
      <c r="K6567" s="6" t="n">
        <v>12</v>
      </c>
      <c r="L6567" s="92" t="n">
        <v>190801</v>
      </c>
      <c r="M6567" s="94">
        <f>VLOOKUP($Q6567,매칭테이블!$F:$I,2,0)*K6567</f>
        <v/>
      </c>
      <c r="N6567" s="94">
        <f>M6567-M6567*VLOOKUP($Q6567,매칭테이블!$F:$I,3,0)</f>
        <v/>
      </c>
      <c r="O6567" s="94">
        <f>VLOOKUP($Q6567,매칭테이블!$F:$I,4,0)*K6567</f>
        <v/>
      </c>
      <c r="P6567" s="148">
        <f>M6567/1.1</f>
        <v/>
      </c>
      <c r="Q6567" s="94">
        <f>F6567&amp;E6567&amp;G6567&amp;L6567</f>
        <v/>
      </c>
    </row>
    <row r="6568">
      <c r="A6568" s="94" t="n"/>
      <c r="B6568" s="128" t="n">
        <v>43984</v>
      </c>
      <c r="C6568" s="94">
        <f>TEXT(B6568,"aaa")</f>
        <v/>
      </c>
      <c r="D6568" s="94" t="n"/>
      <c r="E6568" s="6" t="inlineStr">
        <is>
          <t>토너</t>
        </is>
      </c>
      <c r="F6568" s="5" t="inlineStr">
        <is>
          <t>큐텐</t>
        </is>
      </c>
      <c r="G6568" s="5" t="inlineStr">
        <is>
          <t>250ml 2set</t>
        </is>
      </c>
      <c r="H6568" s="7" t="n">
        <v>190801</v>
      </c>
      <c r="I6568" s="7" t="n">
        <v>190801</v>
      </c>
      <c r="J6568" s="94" t="n"/>
      <c r="K6568" s="6" t="n">
        <v>2</v>
      </c>
      <c r="L6568" s="92" t="n">
        <v>190801</v>
      </c>
      <c r="M6568" s="94">
        <f>VLOOKUP($Q6568,매칭테이블!$F:$I,2,0)*K6568</f>
        <v/>
      </c>
      <c r="N6568" s="94">
        <f>M6568-M6568*VLOOKUP($Q6568,매칭테이블!$F:$I,3,0)</f>
        <v/>
      </c>
      <c r="O6568" s="94">
        <f>VLOOKUP($Q6568,매칭테이블!$F:$I,4,0)*K6568</f>
        <v/>
      </c>
      <c r="P6568" s="148">
        <f>M6568/1.1</f>
        <v/>
      </c>
      <c r="Q6568" s="94">
        <f>F6568&amp;E6568&amp;G6568&amp;L6568</f>
        <v/>
      </c>
    </row>
    <row r="6569">
      <c r="A6569" s="94" t="n"/>
      <c r="B6569" s="128" t="n">
        <v>43984</v>
      </c>
      <c r="C6569" s="94">
        <f>TEXT(B6569,"aaa")</f>
        <v/>
      </c>
      <c r="D6569" s="94" t="n"/>
      <c r="E6569" s="94" t="inlineStr">
        <is>
          <t>앰플</t>
        </is>
      </c>
      <c r="F6569" s="5" t="inlineStr">
        <is>
          <t>큐텐</t>
        </is>
      </c>
      <c r="G6569" s="94" t="inlineStr">
        <is>
          <t>앰플 30ml</t>
        </is>
      </c>
      <c r="H6569" s="7" t="n">
        <v>190801</v>
      </c>
      <c r="I6569" s="7" t="n">
        <v>190801</v>
      </c>
      <c r="J6569" s="94" t="n"/>
      <c r="K6569" s="6" t="n">
        <v>2</v>
      </c>
      <c r="L6569" s="94" t="n">
        <v>190801</v>
      </c>
      <c r="M6569" s="94">
        <f>VLOOKUP($Q6569,매칭테이블!$F:$I,2,0)*K6569</f>
        <v/>
      </c>
      <c r="N6569" s="94">
        <f>M6569-M6569*VLOOKUP($Q6569,매칭테이블!$F:$I,3,0)</f>
        <v/>
      </c>
      <c r="O6569" s="94">
        <f>VLOOKUP($Q6569,매칭테이블!$F:$I,4,0)*K6569</f>
        <v/>
      </c>
      <c r="P6569" s="148">
        <f>M6569/1.1</f>
        <v/>
      </c>
      <c r="Q6569" s="94">
        <f>F6569&amp;E6569&amp;G6569&amp;L6569</f>
        <v/>
      </c>
    </row>
    <row r="6570">
      <c r="A6570" s="94" t="n"/>
      <c r="B6570" s="128" t="n">
        <v>43985</v>
      </c>
      <c r="C6570" s="94">
        <f>TEXT(B6570,"aaa")</f>
        <v/>
      </c>
      <c r="D6570" s="94" t="n"/>
      <c r="E6570" s="6" t="inlineStr">
        <is>
          <t>토너</t>
        </is>
      </c>
      <c r="F6570" s="5" t="inlineStr">
        <is>
          <t>W컨셉</t>
        </is>
      </c>
      <c r="G6570" s="5" t="inlineStr">
        <is>
          <t>250ml</t>
        </is>
      </c>
      <c r="H6570" s="7" t="n">
        <v>190801</v>
      </c>
      <c r="I6570" s="7" t="n">
        <v>190801</v>
      </c>
      <c r="J6570" s="94" t="n"/>
      <c r="K6570" s="6" t="n">
        <v>2</v>
      </c>
      <c r="L6570" s="7" t="n">
        <v>190801</v>
      </c>
      <c r="M6570" s="94">
        <f>VLOOKUP($Q6570,매칭테이블!$F:$I,2,0)*K6570</f>
        <v/>
      </c>
      <c r="N6570" s="94">
        <f>M6570-M6570*VLOOKUP($Q6570,매칭테이블!$F:$I,3,0)</f>
        <v/>
      </c>
      <c r="O6570" s="94">
        <f>VLOOKUP($Q6570,매칭테이블!$F:$I,4,0)*K6570</f>
        <v/>
      </c>
      <c r="P6570" s="148">
        <f>M6570/1.1</f>
        <v/>
      </c>
      <c r="Q6570" s="94">
        <f>F6570&amp;E6570&amp;G6570&amp;L6570</f>
        <v/>
      </c>
    </row>
    <row r="6571">
      <c r="A6571" s="94" t="n"/>
      <c r="B6571" s="128" t="n">
        <v>43985</v>
      </c>
      <c r="C6571" s="94">
        <f>TEXT(B6571,"aaa")</f>
        <v/>
      </c>
      <c r="D6571" s="94" t="n"/>
      <c r="E6571" s="6" t="inlineStr">
        <is>
          <t>토너</t>
        </is>
      </c>
      <c r="F6571" s="5" t="inlineStr">
        <is>
          <t>W컨셉</t>
        </is>
      </c>
      <c r="G6571" s="5" t="inlineStr">
        <is>
          <t>250ml 2set</t>
        </is>
      </c>
      <c r="H6571" s="7" t="n">
        <v>190801</v>
      </c>
      <c r="I6571" s="7" t="n">
        <v>190801</v>
      </c>
      <c r="J6571" s="94" t="n"/>
      <c r="K6571" s="6" t="n">
        <v>3</v>
      </c>
      <c r="L6571" s="7" t="n">
        <v>190801</v>
      </c>
      <c r="M6571" s="94">
        <f>VLOOKUP($Q6571,매칭테이블!$F:$I,2,0)*K6571</f>
        <v/>
      </c>
      <c r="N6571" s="94">
        <f>M6571-M6571*VLOOKUP($Q6571,매칭테이블!$F:$I,3,0)</f>
        <v/>
      </c>
      <c r="O6571" s="94">
        <f>VLOOKUP($Q6571,매칭테이블!$F:$I,4,0)*K6571</f>
        <v/>
      </c>
      <c r="P6571" s="148">
        <f>M6571/1.1</f>
        <v/>
      </c>
      <c r="Q6571" s="94">
        <f>F6571&amp;E6571&amp;G6571&amp;L6571</f>
        <v/>
      </c>
    </row>
    <row r="6572">
      <c r="A6572" s="94" t="n"/>
      <c r="B6572" s="128" t="n">
        <v>43985</v>
      </c>
      <c r="C6572" s="94">
        <f>TEXT(B6572,"aaa")</f>
        <v/>
      </c>
      <c r="D6572" s="94" t="n"/>
      <c r="E6572" s="94" t="inlineStr">
        <is>
          <t>토너</t>
        </is>
      </c>
      <c r="F6572" s="5" t="inlineStr">
        <is>
          <t>스타일쉐어</t>
        </is>
      </c>
      <c r="G6572" s="94" t="inlineStr">
        <is>
          <t>250ml</t>
        </is>
      </c>
      <c r="H6572" s="7" t="n">
        <v>190801</v>
      </c>
      <c r="I6572" s="7" t="n">
        <v>190801</v>
      </c>
      <c r="J6572" s="94" t="n"/>
      <c r="K6572" s="6" t="n">
        <v>3</v>
      </c>
      <c r="L6572" s="7" t="n">
        <v>190801</v>
      </c>
      <c r="M6572" s="94">
        <f>VLOOKUP($Q6572,매칭테이블!$F:$I,2,0)*K6572</f>
        <v/>
      </c>
      <c r="N6572" s="94">
        <f>M6572-M6572*VLOOKUP($Q6572,매칭테이블!$F:$I,3,0)</f>
        <v/>
      </c>
      <c r="O6572" s="94">
        <f>VLOOKUP($Q6572,매칭테이블!$F:$I,4,0)*K6572</f>
        <v/>
      </c>
      <c r="P6572" s="148">
        <f>M6572/1.1</f>
        <v/>
      </c>
      <c r="Q6572" s="94">
        <f>F6572&amp;E6572&amp;G6572&amp;L6572</f>
        <v/>
      </c>
    </row>
    <row r="6573">
      <c r="A6573" s="94" t="n"/>
      <c r="B6573" s="128" t="n">
        <v>43985</v>
      </c>
      <c r="C6573" s="94">
        <f>TEXT(B6573,"aaa")</f>
        <v/>
      </c>
      <c r="D6573" s="94" t="n"/>
      <c r="E6573" s="94" t="inlineStr">
        <is>
          <t>선크림</t>
        </is>
      </c>
      <c r="F6573" s="94" t="inlineStr">
        <is>
          <t>카페24</t>
        </is>
      </c>
      <c r="G6573" s="94" t="inlineStr">
        <is>
          <t>선크림 50ml</t>
        </is>
      </c>
      <c r="H6573" s="7" t="n">
        <v>190801</v>
      </c>
      <c r="I6573" s="7" t="n">
        <v>190801</v>
      </c>
      <c r="J6573" s="94" t="n"/>
      <c r="K6573" s="6" t="n">
        <v>13</v>
      </c>
      <c r="L6573" s="7" t="n">
        <v>190801</v>
      </c>
      <c r="M6573" s="94">
        <f>VLOOKUP($Q6573,매칭테이블!$F:$I,2,0)*K6573</f>
        <v/>
      </c>
      <c r="N6573" s="94">
        <f>M6573-M6573*VLOOKUP($Q6573,매칭테이블!$F:$I,3,0)</f>
        <v/>
      </c>
      <c r="O6573" s="94">
        <f>VLOOKUP($Q6573,매칭테이블!$F:$I,4,0)*K6573</f>
        <v/>
      </c>
      <c r="P6573" s="148">
        <f>M6573/1.1</f>
        <v/>
      </c>
      <c r="Q6573" s="94">
        <f>F6573&amp;E6573&amp;G6573&amp;L6573</f>
        <v/>
      </c>
    </row>
    <row r="6574">
      <c r="A6574" s="94" t="n"/>
      <c r="B6574" s="128" t="n">
        <v>43985</v>
      </c>
      <c r="C6574" s="94">
        <f>TEXT(B6574,"aaa")</f>
        <v/>
      </c>
      <c r="D6574" s="94" t="n"/>
      <c r="E6574" s="94" t="inlineStr">
        <is>
          <t>클렌징폼</t>
        </is>
      </c>
      <c r="F6574" s="94" t="inlineStr">
        <is>
          <t>카페24</t>
        </is>
      </c>
      <c r="G6574" s="94" t="inlineStr">
        <is>
          <t>클렌징폼 120ml(선크림할인)</t>
        </is>
      </c>
      <c r="H6574" s="7" t="n">
        <v>190801</v>
      </c>
      <c r="I6574" s="7" t="n">
        <v>190801</v>
      </c>
      <c r="J6574" s="94" t="n"/>
      <c r="K6574" s="6" t="n">
        <v>3</v>
      </c>
      <c r="L6574" s="92" t="n">
        <v>190801</v>
      </c>
      <c r="M6574" s="94">
        <f>VLOOKUP($Q6574,매칭테이블!$F:$I,2,0)*K6574</f>
        <v/>
      </c>
      <c r="N6574" s="94">
        <f>M6574-M6574*VLOOKUP($Q6574,매칭테이블!$F:$I,3,0)</f>
        <v/>
      </c>
      <c r="O6574" s="94">
        <f>VLOOKUP($Q6574,매칭테이블!$F:$I,4,0)*K6574</f>
        <v/>
      </c>
      <c r="P6574" s="148">
        <f>M6574/1.1</f>
        <v/>
      </c>
      <c r="Q6574" s="94">
        <f>F6574&amp;E6574&amp;G6574&amp;L6574</f>
        <v/>
      </c>
    </row>
    <row r="6575">
      <c r="A6575" s="94" t="n"/>
      <c r="B6575" s="128" t="n">
        <v>43985</v>
      </c>
      <c r="C6575" s="94">
        <f>TEXT(B6575,"aaa")</f>
        <v/>
      </c>
      <c r="D6575" s="94" t="n"/>
      <c r="E6575" s="94" t="inlineStr">
        <is>
          <t>어성초진정패키지</t>
        </is>
      </c>
      <c r="F6575" s="94" t="inlineStr">
        <is>
          <t>카페24</t>
        </is>
      </c>
      <c r="G6575" s="94" t="inlineStr">
        <is>
          <t>어성초 진정패키지세트</t>
        </is>
      </c>
      <c r="H6575" s="7" t="n">
        <v>190801</v>
      </c>
      <c r="I6575" s="7" t="n">
        <v>190801</v>
      </c>
      <c r="J6575" s="94" t="n"/>
      <c r="K6575" s="6" t="n">
        <v>4</v>
      </c>
      <c r="L6575" s="94" t="n">
        <v>190801</v>
      </c>
      <c r="M6575" s="94">
        <f>VLOOKUP($Q6575,매칭테이블!$F:$I,2,0)*K6575</f>
        <v/>
      </c>
      <c r="N6575" s="94">
        <f>M6575-M6575*VLOOKUP($Q6575,매칭테이블!$F:$I,3,0)</f>
        <v/>
      </c>
      <c r="O6575" s="94">
        <f>VLOOKUP($Q6575,매칭테이블!$F:$I,4,0)*K6575</f>
        <v/>
      </c>
      <c r="P6575" s="148">
        <f>M6575/1.1</f>
        <v/>
      </c>
      <c r="Q6575" s="94">
        <f>F6575&amp;E6575&amp;G6575&amp;L6575</f>
        <v/>
      </c>
    </row>
    <row r="6576">
      <c r="A6576" s="94" t="n"/>
      <c r="B6576" s="128" t="n">
        <v>43985</v>
      </c>
      <c r="C6576" s="94">
        <f>TEXT(B6576,"aaa")</f>
        <v/>
      </c>
      <c r="D6576" s="94" t="n"/>
      <c r="E6576" s="94" t="inlineStr">
        <is>
          <t>머드크림마스크</t>
        </is>
      </c>
      <c r="F6576" s="94" t="inlineStr">
        <is>
          <t>카페24</t>
        </is>
      </c>
      <c r="G6576" s="94" t="inlineStr">
        <is>
          <t>머드크림마스크 100ml</t>
        </is>
      </c>
      <c r="H6576" s="7" t="n">
        <v>190801</v>
      </c>
      <c r="I6576" s="7" t="n">
        <v>190801</v>
      </c>
      <c r="J6576" s="94" t="n"/>
      <c r="K6576" s="6" t="n">
        <v>1</v>
      </c>
      <c r="L6576" s="94" t="n">
        <v>190801</v>
      </c>
      <c r="M6576" s="94">
        <f>VLOOKUP($Q6576,매칭테이블!$F:$I,2,0)*K6576</f>
        <v/>
      </c>
      <c r="N6576" s="94">
        <f>M6576-M6576*VLOOKUP($Q6576,매칭테이블!$F:$I,3,0)</f>
        <v/>
      </c>
      <c r="O6576" s="94">
        <f>VLOOKUP($Q6576,매칭테이블!$F:$I,4,0)*K6576</f>
        <v/>
      </c>
      <c r="P6576" s="148">
        <f>M6576/1.1</f>
        <v/>
      </c>
      <c r="Q6576" s="94">
        <f>F6576&amp;E6576&amp;G6576&amp;L6576</f>
        <v/>
      </c>
    </row>
    <row r="6577">
      <c r="A6577" s="94" t="n"/>
      <c r="B6577" s="128" t="n">
        <v>43985</v>
      </c>
      <c r="C6577" s="94">
        <f>TEXT(B6577,"aaa")</f>
        <v/>
      </c>
      <c r="D6577" s="94" t="n"/>
      <c r="E6577" s="94" t="inlineStr">
        <is>
          <t>머드크림마스크</t>
        </is>
      </c>
      <c r="F6577" s="94" t="inlineStr">
        <is>
          <t>카페24</t>
        </is>
      </c>
      <c r="G6577" s="94" t="inlineStr">
        <is>
          <t>머드크림마스크 100ml 2set</t>
        </is>
      </c>
      <c r="H6577" s="7" t="n">
        <v>190801</v>
      </c>
      <c r="I6577" s="7" t="n">
        <v>190801</v>
      </c>
      <c r="J6577" s="94" t="n"/>
      <c r="K6577" s="6" t="n">
        <v>2</v>
      </c>
      <c r="L6577" s="94" t="n">
        <v>190801</v>
      </c>
      <c r="M6577" s="94">
        <f>VLOOKUP($Q6577,매칭테이블!$F:$I,2,0)*K6577</f>
        <v/>
      </c>
      <c r="N6577" s="94">
        <f>M6577-M6577*VLOOKUP($Q6577,매칭테이블!$F:$I,3,0)</f>
        <v/>
      </c>
      <c r="O6577" s="94">
        <f>VLOOKUP($Q6577,매칭테이블!$F:$I,4,0)*K6577</f>
        <v/>
      </c>
      <c r="P6577" s="148">
        <f>M6577/1.1</f>
        <v/>
      </c>
      <c r="Q6577" s="94">
        <f>F6577&amp;E6577&amp;G6577&amp;L6577</f>
        <v/>
      </c>
    </row>
    <row r="6578">
      <c r="A6578" s="94" t="n"/>
      <c r="B6578" s="128" t="n">
        <v>43985</v>
      </c>
      <c r="C6578" s="94">
        <f>TEXT(B6578,"aaa")</f>
        <v/>
      </c>
      <c r="D6578" s="94" t="n"/>
      <c r="E6578" s="94" t="inlineStr">
        <is>
          <t>마스크팩</t>
        </is>
      </c>
      <c r="F6578" s="94" t="inlineStr">
        <is>
          <t>카페24</t>
        </is>
      </c>
      <c r="G6578" s="94" t="inlineStr">
        <is>
          <t>마스크팩 1매</t>
        </is>
      </c>
      <c r="H6578" s="7" t="n">
        <v>190801</v>
      </c>
      <c r="I6578" s="7" t="n">
        <v>190801</v>
      </c>
      <c r="J6578" s="94" t="n"/>
      <c r="K6578" s="6" t="n">
        <v>6</v>
      </c>
      <c r="L6578" s="94" t="n">
        <v>190801</v>
      </c>
      <c r="M6578" s="94">
        <f>VLOOKUP($Q6578,매칭테이블!$F:$I,2,0)*K6578</f>
        <v/>
      </c>
      <c r="N6578" s="94">
        <f>M6578-M6578*VLOOKUP($Q6578,매칭테이블!$F:$I,3,0)</f>
        <v/>
      </c>
      <c r="O6578" s="94">
        <f>VLOOKUP($Q6578,매칭테이블!$F:$I,4,0)*K6578</f>
        <v/>
      </c>
      <c r="P6578" s="148">
        <f>M6578/1.1</f>
        <v/>
      </c>
      <c r="Q6578" s="94">
        <f>F6578&amp;E6578&amp;G6578&amp;L6578</f>
        <v/>
      </c>
    </row>
    <row r="6579">
      <c r="A6579" s="94" t="n"/>
      <c r="B6579" s="128" t="n">
        <v>43985</v>
      </c>
      <c r="C6579" s="94">
        <f>TEXT(B6579,"aaa")</f>
        <v/>
      </c>
      <c r="D6579" s="94" t="n"/>
      <c r="E6579" s="94" t="inlineStr">
        <is>
          <t>마스크팩</t>
        </is>
      </c>
      <c r="F6579" s="94" t="inlineStr">
        <is>
          <t>카페24</t>
        </is>
      </c>
      <c r="G6579" s="94" t="inlineStr">
        <is>
          <t>마스크팩 10매</t>
        </is>
      </c>
      <c r="H6579" s="7" t="n">
        <v>190801</v>
      </c>
      <c r="I6579" s="7" t="n">
        <v>190801</v>
      </c>
      <c r="J6579" s="94" t="n"/>
      <c r="K6579" s="6" t="n">
        <v>9</v>
      </c>
      <c r="L6579" s="94" t="n">
        <v>190801</v>
      </c>
      <c r="M6579" s="94">
        <f>VLOOKUP($Q6579,매칭테이블!$F:$I,2,0)*K6579</f>
        <v/>
      </c>
      <c r="N6579" s="94">
        <f>M6579-M6579*VLOOKUP($Q6579,매칭테이블!$F:$I,3,0)</f>
        <v/>
      </c>
      <c r="O6579" s="94">
        <f>VLOOKUP($Q6579,매칭테이블!$F:$I,4,0)*K6579</f>
        <v/>
      </c>
      <c r="P6579" s="148">
        <f>M6579/1.1</f>
        <v/>
      </c>
      <c r="Q6579" s="94">
        <f>F6579&amp;E6579&amp;G6579&amp;L6579</f>
        <v/>
      </c>
    </row>
    <row r="6580">
      <c r="A6580" s="94" t="n"/>
      <c r="B6580" s="128" t="n">
        <v>43985</v>
      </c>
      <c r="C6580" s="94">
        <f>TEXT(B6580,"aaa")</f>
        <v/>
      </c>
      <c r="D6580" s="94" t="n"/>
      <c r="E6580" s="6" t="inlineStr">
        <is>
          <t>토너</t>
        </is>
      </c>
      <c r="F6580" s="5" t="inlineStr">
        <is>
          <t>카페24</t>
        </is>
      </c>
      <c r="G6580" s="5" t="inlineStr">
        <is>
          <t>250ml</t>
        </is>
      </c>
      <c r="H6580" s="7" t="n">
        <v>190801</v>
      </c>
      <c r="I6580" s="7" t="n">
        <v>190801</v>
      </c>
      <c r="J6580" s="94" t="n"/>
      <c r="K6580" s="6" t="n">
        <v>56</v>
      </c>
      <c r="L6580" s="7" t="n">
        <v>190801</v>
      </c>
      <c r="M6580" s="94">
        <f>VLOOKUP($Q6580,매칭테이블!$F:$I,2,0)*K6580</f>
        <v/>
      </c>
      <c r="N6580" s="94">
        <f>M6580-M6580*VLOOKUP($Q6580,매칭테이블!$F:$I,3,0)</f>
        <v/>
      </c>
      <c r="O6580" s="94">
        <f>VLOOKUP($Q6580,매칭테이블!$F:$I,4,0)*K6580</f>
        <v/>
      </c>
      <c r="P6580" s="148">
        <f>M6580/1.1</f>
        <v/>
      </c>
      <c r="Q6580" s="94">
        <f>F6580&amp;E6580&amp;G6580&amp;L6580</f>
        <v/>
      </c>
    </row>
    <row r="6581">
      <c r="A6581" s="94" t="n"/>
      <c r="B6581" s="128" t="n">
        <v>43985</v>
      </c>
      <c r="C6581" s="94">
        <f>TEXT(B6581,"aaa")</f>
        <v/>
      </c>
      <c r="D6581" s="94" t="n"/>
      <c r="E6581" s="6" t="inlineStr">
        <is>
          <t>토너</t>
        </is>
      </c>
      <c r="F6581" s="5" t="inlineStr">
        <is>
          <t>카페24</t>
        </is>
      </c>
      <c r="G6581" s="5" t="inlineStr">
        <is>
          <t>250ml 2set</t>
        </is>
      </c>
      <c r="H6581" s="7" t="n">
        <v>190801</v>
      </c>
      <c r="I6581" s="7" t="n">
        <v>190801</v>
      </c>
      <c r="J6581" s="94" t="n"/>
      <c r="K6581" s="6" t="n">
        <v>220</v>
      </c>
      <c r="L6581" s="7" t="n">
        <v>190801</v>
      </c>
      <c r="M6581" s="94">
        <f>VLOOKUP($Q6581,매칭테이블!$F:$I,2,0)*K6581</f>
        <v/>
      </c>
      <c r="N6581" s="94">
        <f>M6581-M6581*VLOOKUP($Q6581,매칭테이블!$F:$I,3,0)</f>
        <v/>
      </c>
      <c r="O6581" s="94">
        <f>VLOOKUP($Q6581,매칭테이블!$F:$I,4,0)*K6581</f>
        <v/>
      </c>
      <c r="P6581" s="148">
        <f>M6581/1.1</f>
        <v/>
      </c>
      <c r="Q6581" s="94">
        <f>F6581&amp;E6581&amp;G6581&amp;L6581</f>
        <v/>
      </c>
    </row>
    <row r="6582">
      <c r="A6582" s="94" t="n"/>
      <c r="B6582" s="128" t="n">
        <v>43985</v>
      </c>
      <c r="C6582" s="94">
        <f>TEXT(B6582,"aaa")</f>
        <v/>
      </c>
      <c r="D6582" s="94" t="n"/>
      <c r="E6582" s="6" t="inlineStr">
        <is>
          <t>토너</t>
        </is>
      </c>
      <c r="F6582" s="5" t="inlineStr">
        <is>
          <t>카페24</t>
        </is>
      </c>
      <c r="G6582" s="5" t="inlineStr">
        <is>
          <t>500ml</t>
        </is>
      </c>
      <c r="H6582" s="7" t="n">
        <v>190801</v>
      </c>
      <c r="I6582" s="7" t="n">
        <v>190801</v>
      </c>
      <c r="J6582" s="94" t="n"/>
      <c r="K6582" s="6" t="n">
        <v>27</v>
      </c>
      <c r="L6582" s="7" t="n">
        <v>190801</v>
      </c>
      <c r="M6582" s="94">
        <f>VLOOKUP($Q6582,매칭테이블!$F:$I,2,0)*K6582</f>
        <v/>
      </c>
      <c r="N6582" s="94">
        <f>M6582-M6582*VLOOKUP($Q6582,매칭테이블!$F:$I,3,0)</f>
        <v/>
      </c>
      <c r="O6582" s="94">
        <f>VLOOKUP($Q6582,매칭테이블!$F:$I,4,0)*K6582</f>
        <v/>
      </c>
      <c r="P6582" s="148">
        <f>M6582/1.1</f>
        <v/>
      </c>
      <c r="Q6582" s="94">
        <f>F6582&amp;E6582&amp;G6582&amp;L6582</f>
        <v/>
      </c>
    </row>
    <row r="6583">
      <c r="A6583" s="94" t="n"/>
      <c r="B6583" s="128" t="n">
        <v>43985</v>
      </c>
      <c r="C6583" s="94">
        <f>TEXT(B6583,"aaa")</f>
        <v/>
      </c>
      <c r="D6583" s="94" t="n"/>
      <c r="E6583" s="6" t="inlineStr">
        <is>
          <t>토너</t>
        </is>
      </c>
      <c r="F6583" s="5" t="inlineStr">
        <is>
          <t>카페24</t>
        </is>
      </c>
      <c r="G6583" s="94" t="inlineStr">
        <is>
          <t>스킨팩 화장솜 60P</t>
        </is>
      </c>
      <c r="H6583" s="7" t="n">
        <v>190801</v>
      </c>
      <c r="I6583" s="7" t="n">
        <v>190801</v>
      </c>
      <c r="J6583" s="94" t="n"/>
      <c r="K6583" s="6" t="n">
        <v>457</v>
      </c>
      <c r="L6583" s="7" t="n">
        <v>190801</v>
      </c>
      <c r="M6583" s="94">
        <f>VLOOKUP($Q6583,매칭테이블!$F:$I,2,0)*K6583</f>
        <v/>
      </c>
      <c r="N6583" s="94">
        <f>M6583-M6583*VLOOKUP($Q6583,매칭테이블!$F:$I,3,0)</f>
        <v/>
      </c>
      <c r="O6583" s="94">
        <f>VLOOKUP($Q6583,매칭테이블!$F:$I,4,0)*K6583</f>
        <v/>
      </c>
      <c r="P6583" s="148">
        <f>M6583/1.1</f>
        <v/>
      </c>
      <c r="Q6583" s="94">
        <f>F6583&amp;E6583&amp;G6583&amp;L6583</f>
        <v/>
      </c>
    </row>
    <row r="6584">
      <c r="A6584" s="94" t="n"/>
      <c r="B6584" s="128" t="n">
        <v>43985</v>
      </c>
      <c r="C6584" s="94">
        <f>TEXT(B6584,"aaa")</f>
        <v/>
      </c>
      <c r="D6584" s="94" t="n"/>
      <c r="E6584" s="94" t="inlineStr">
        <is>
          <t>앰플</t>
        </is>
      </c>
      <c r="F6584" s="5" t="inlineStr">
        <is>
          <t>카페24</t>
        </is>
      </c>
      <c r="G6584" s="94" t="inlineStr">
        <is>
          <t>앰플 30ml</t>
        </is>
      </c>
      <c r="H6584" s="7" t="n">
        <v>190801</v>
      </c>
      <c r="I6584" s="7" t="n">
        <v>190801</v>
      </c>
      <c r="J6584" s="94" t="n"/>
      <c r="K6584" s="6" t="n">
        <v>19</v>
      </c>
      <c r="L6584" s="94" t="n">
        <v>190801</v>
      </c>
      <c r="M6584" s="94">
        <f>VLOOKUP($Q6584,매칭테이블!$F:$I,2,0)*K6584</f>
        <v/>
      </c>
      <c r="N6584" s="94">
        <f>M6584-M6584*VLOOKUP($Q6584,매칭테이블!$F:$I,3,0)</f>
        <v/>
      </c>
      <c r="O6584" s="94">
        <f>VLOOKUP($Q6584,매칭테이블!$F:$I,4,0)*K6584</f>
        <v/>
      </c>
      <c r="P6584" s="148">
        <f>M6584/1.1</f>
        <v/>
      </c>
      <c r="Q6584" s="94">
        <f>F6584&amp;E6584&amp;G6584&amp;L6584</f>
        <v/>
      </c>
    </row>
    <row r="6585">
      <c r="A6585" s="94" t="n"/>
      <c r="B6585" s="128" t="n">
        <v>43985</v>
      </c>
      <c r="C6585" s="94">
        <f>TEXT(B6585,"aaa")</f>
        <v/>
      </c>
      <c r="D6585" s="94" t="n"/>
      <c r="E6585" s="94" t="inlineStr">
        <is>
          <t>수딩크림</t>
        </is>
      </c>
      <c r="F6585" s="5" t="inlineStr">
        <is>
          <t>카페24</t>
        </is>
      </c>
      <c r="G6585" s="94" t="inlineStr">
        <is>
          <t>수딩크림 100ml</t>
        </is>
      </c>
      <c r="H6585" s="7" t="n">
        <v>190801</v>
      </c>
      <c r="I6585" s="7" t="n">
        <v>190801</v>
      </c>
      <c r="J6585" s="94" t="n"/>
      <c r="K6585" s="6" t="n">
        <v>5</v>
      </c>
      <c r="L6585" s="94" t="n">
        <v>190801</v>
      </c>
      <c r="M6585" s="94">
        <f>VLOOKUP($Q6585,매칭테이블!$F:$I,2,0)*K6585</f>
        <v/>
      </c>
      <c r="N6585" s="94">
        <f>M6585-M6585*VLOOKUP($Q6585,매칭테이블!$F:$I,3,0)</f>
        <v/>
      </c>
      <c r="O6585" s="94">
        <f>VLOOKUP($Q6585,매칭테이블!$F:$I,4,0)*K6585</f>
        <v/>
      </c>
      <c r="P6585" s="148">
        <f>M6585/1.1</f>
        <v/>
      </c>
      <c r="Q6585" s="94">
        <f>F6585&amp;E6585&amp;G6585&amp;L6585</f>
        <v/>
      </c>
    </row>
    <row r="6586">
      <c r="A6586" s="94" t="n"/>
      <c r="B6586" s="128" t="n">
        <v>43985</v>
      </c>
      <c r="C6586" s="94">
        <f>TEXT(B6586,"aaa")</f>
        <v/>
      </c>
      <c r="D6586" s="94" t="n"/>
      <c r="E6586" s="94" t="inlineStr">
        <is>
          <t>클렌징폼</t>
        </is>
      </c>
      <c r="F6586" s="94" t="inlineStr">
        <is>
          <t>카페24</t>
        </is>
      </c>
      <c r="G6586" s="94" t="inlineStr">
        <is>
          <t>클렌징폼 120ml</t>
        </is>
      </c>
      <c r="H6586" s="7" t="n">
        <v>190801</v>
      </c>
      <c r="I6586" s="7" t="n">
        <v>190801</v>
      </c>
      <c r="J6586" s="94" t="n"/>
      <c r="K6586" s="6" t="n">
        <v>6</v>
      </c>
      <c r="L6586" s="92" t="n">
        <v>190801</v>
      </c>
      <c r="M6586" s="94">
        <f>VLOOKUP($Q6586,매칭테이블!$F:$I,2,0)*K6586</f>
        <v/>
      </c>
      <c r="N6586" s="94">
        <f>M6586-M6586*VLOOKUP($Q6586,매칭테이블!$F:$I,3,0)</f>
        <v/>
      </c>
      <c r="O6586" s="94">
        <f>VLOOKUP($Q6586,매칭테이블!$F:$I,4,0)*K6586</f>
        <v/>
      </c>
      <c r="P6586" s="148">
        <f>M6586/1.1</f>
        <v/>
      </c>
      <c r="Q6586" s="94">
        <f>F6586&amp;E6586&amp;G6586&amp;L6586</f>
        <v/>
      </c>
    </row>
    <row r="6587">
      <c r="A6587" s="94" t="n"/>
      <c r="B6587" s="128" t="n">
        <v>43985</v>
      </c>
      <c r="C6587" s="94">
        <f>TEXT(B6587,"aaa")</f>
        <v/>
      </c>
      <c r="D6587" s="94" t="n"/>
      <c r="E6587" s="6" t="inlineStr">
        <is>
          <t>토너</t>
        </is>
      </c>
      <c r="F6587" s="5" t="inlineStr">
        <is>
          <t>큐텐</t>
        </is>
      </c>
      <c r="G6587" s="5" t="inlineStr">
        <is>
          <t>250ml</t>
        </is>
      </c>
      <c r="H6587" s="7" t="n">
        <v>190801</v>
      </c>
      <c r="I6587" s="7" t="n">
        <v>190801</v>
      </c>
      <c r="J6587" s="94" t="n"/>
      <c r="K6587" s="6" t="n">
        <v>25</v>
      </c>
      <c r="L6587" s="92" t="n">
        <v>190801</v>
      </c>
      <c r="M6587" s="94">
        <f>VLOOKUP($Q6587,매칭테이블!$F:$I,2,0)*K6587</f>
        <v/>
      </c>
      <c r="N6587" s="94">
        <f>M6587-M6587*VLOOKUP($Q6587,매칭테이블!$F:$I,3,0)</f>
        <v/>
      </c>
      <c r="O6587" s="94">
        <f>VLOOKUP($Q6587,매칭테이블!$F:$I,4,0)*K6587</f>
        <v/>
      </c>
      <c r="P6587" s="148">
        <f>M6587/1.1</f>
        <v/>
      </c>
      <c r="Q6587" s="94">
        <f>F6587&amp;E6587&amp;G6587&amp;L6587</f>
        <v/>
      </c>
    </row>
    <row r="6588">
      <c r="A6588" s="94" t="n"/>
      <c r="B6588" s="128" t="n">
        <v>43985</v>
      </c>
      <c r="C6588" s="94">
        <f>TEXT(B6588,"aaa")</f>
        <v/>
      </c>
      <c r="D6588" s="94" t="n"/>
      <c r="E6588" s="6" t="inlineStr">
        <is>
          <t>토너</t>
        </is>
      </c>
      <c r="F6588" s="5" t="inlineStr">
        <is>
          <t>큐텐</t>
        </is>
      </c>
      <c r="G6588" s="5" t="inlineStr">
        <is>
          <t>250ml 2set</t>
        </is>
      </c>
      <c r="H6588" s="7" t="n">
        <v>190801</v>
      </c>
      <c r="I6588" s="7" t="n">
        <v>190801</v>
      </c>
      <c r="J6588" s="94" t="n"/>
      <c r="K6588" s="6" t="n">
        <v>43</v>
      </c>
      <c r="L6588" s="92" t="n">
        <v>190801</v>
      </c>
      <c r="M6588" s="94">
        <f>VLOOKUP($Q6588,매칭테이블!$F:$I,2,0)*K6588</f>
        <v/>
      </c>
      <c r="N6588" s="94">
        <f>M6588-M6588*VLOOKUP($Q6588,매칭테이블!$F:$I,3,0)</f>
        <v/>
      </c>
      <c r="O6588" s="94">
        <f>VLOOKUP($Q6588,매칭테이블!$F:$I,4,0)*K6588</f>
        <v/>
      </c>
      <c r="P6588" s="148">
        <f>M6588/1.1</f>
        <v/>
      </c>
      <c r="Q6588" s="94">
        <f>F6588&amp;E6588&amp;G6588&amp;L6588</f>
        <v/>
      </c>
    </row>
    <row r="6589">
      <c r="A6589" s="94" t="n"/>
      <c r="B6589" s="128" t="n">
        <v>43985</v>
      </c>
      <c r="C6589" s="94">
        <f>TEXT(B6589,"aaa")</f>
        <v/>
      </c>
      <c r="D6589" s="94" t="n"/>
      <c r="E6589" s="94" t="inlineStr">
        <is>
          <t>앰플</t>
        </is>
      </c>
      <c r="F6589" s="5" t="inlineStr">
        <is>
          <t>큐텐</t>
        </is>
      </c>
      <c r="G6589" s="94" t="inlineStr">
        <is>
          <t>앰플 30ml</t>
        </is>
      </c>
      <c r="H6589" s="7" t="n">
        <v>190801</v>
      </c>
      <c r="I6589" s="7" t="n">
        <v>190801</v>
      </c>
      <c r="J6589" s="94" t="n"/>
      <c r="K6589" s="6" t="n">
        <v>5</v>
      </c>
      <c r="L6589" s="94" t="n">
        <v>190801</v>
      </c>
      <c r="M6589" s="94">
        <f>VLOOKUP($Q6589,매칭테이블!$F:$I,2,0)*K6589</f>
        <v/>
      </c>
      <c r="N6589" s="94">
        <f>M6589-M6589*VLOOKUP($Q6589,매칭테이블!$F:$I,3,0)</f>
        <v/>
      </c>
      <c r="O6589" s="94">
        <f>VLOOKUP($Q6589,매칭테이블!$F:$I,4,0)*K6589</f>
        <v/>
      </c>
      <c r="P6589" s="148">
        <f>M6589/1.1</f>
        <v/>
      </c>
      <c r="Q6589" s="94">
        <f>F6589&amp;E6589&amp;G6589&amp;L6589</f>
        <v/>
      </c>
    </row>
    <row r="6590">
      <c r="A6590" s="94" t="n"/>
      <c r="B6590" s="128" t="n">
        <v>43985</v>
      </c>
      <c r="C6590" s="94">
        <f>TEXT(B6590,"aaa")</f>
        <v/>
      </c>
      <c r="D6590" s="94" t="n"/>
      <c r="E6590" s="94" t="inlineStr">
        <is>
          <t>마스크팩</t>
        </is>
      </c>
      <c r="F6590" s="5" t="inlineStr">
        <is>
          <t>큐텐</t>
        </is>
      </c>
      <c r="G6590" s="94" t="inlineStr">
        <is>
          <t>마스크팩 10매</t>
        </is>
      </c>
      <c r="H6590" s="7" t="n">
        <v>190801</v>
      </c>
      <c r="I6590" s="7" t="n">
        <v>190801</v>
      </c>
      <c r="J6590" s="94" t="n"/>
      <c r="K6590" s="6" t="n">
        <v>2</v>
      </c>
      <c r="L6590" s="94" t="n">
        <v>190801</v>
      </c>
      <c r="M6590" s="94">
        <f>VLOOKUP($Q6590,매칭테이블!$F:$I,2,0)*K6590</f>
        <v/>
      </c>
      <c r="N6590" s="94">
        <f>M6590-M6590*VLOOKUP($Q6590,매칭테이블!$F:$I,3,0)</f>
        <v/>
      </c>
      <c r="O6590" s="94">
        <f>VLOOKUP($Q6590,매칭테이블!$F:$I,4,0)*K6590</f>
        <v/>
      </c>
      <c r="P6590" s="148">
        <f>M6590/1.1</f>
        <v/>
      </c>
      <c r="Q6590" s="94">
        <f>F6590&amp;E6590&amp;G6590&amp;L6590</f>
        <v/>
      </c>
    </row>
    <row r="6591">
      <c r="A6591" s="94" t="n"/>
      <c r="B6591" s="128" t="n">
        <v>43985</v>
      </c>
      <c r="C6591" s="94">
        <f>TEXT(B6591,"aaa")</f>
        <v/>
      </c>
      <c r="D6591" s="94" t="n"/>
      <c r="E6591" s="94" t="inlineStr">
        <is>
          <t>클렌징폼</t>
        </is>
      </c>
      <c r="F6591" s="5" t="inlineStr">
        <is>
          <t>큐텐</t>
        </is>
      </c>
      <c r="G6591" s="94" t="inlineStr">
        <is>
          <t>클렌징폼 120ml</t>
        </is>
      </c>
      <c r="H6591" s="7" t="n">
        <v>190801</v>
      </c>
      <c r="I6591" s="7" t="n">
        <v>190801</v>
      </c>
      <c r="J6591" s="94" t="n"/>
      <c r="K6591" s="6" t="n">
        <v>5</v>
      </c>
      <c r="L6591" s="92" t="n">
        <v>190801</v>
      </c>
      <c r="M6591" s="94">
        <f>VLOOKUP($Q6591,매칭테이블!$F:$I,2,0)*K6591</f>
        <v/>
      </c>
      <c r="N6591" s="94">
        <f>M6591-M6591*VLOOKUP($Q6591,매칭테이블!$F:$I,3,0)</f>
        <v/>
      </c>
      <c r="O6591" s="94">
        <f>VLOOKUP($Q6591,매칭테이블!$F:$I,4,0)*K6591</f>
        <v/>
      </c>
      <c r="P6591" s="148">
        <f>M6591/1.1</f>
        <v/>
      </c>
      <c r="Q6591" s="94">
        <f>F6591&amp;E6591&amp;G6591&amp;L6591</f>
        <v/>
      </c>
    </row>
    <row r="6592">
      <c r="A6592" s="94" t="n"/>
      <c r="B6592" s="128" t="n">
        <v>43985</v>
      </c>
      <c r="C6592" s="94">
        <f>TEXT(B6592,"aaa")</f>
        <v/>
      </c>
      <c r="D6592" s="94" t="n"/>
      <c r="E6592" s="94" t="inlineStr">
        <is>
          <t>머드크림마스크</t>
        </is>
      </c>
      <c r="F6592" s="5" t="inlineStr">
        <is>
          <t>큐텐</t>
        </is>
      </c>
      <c r="G6592" s="94" t="inlineStr">
        <is>
          <t>머드크림마스크 100ml</t>
        </is>
      </c>
      <c r="H6592" s="7" t="n">
        <v>190801</v>
      </c>
      <c r="I6592" s="7" t="n">
        <v>190801</v>
      </c>
      <c r="J6592" s="94" t="n"/>
      <c r="K6592" s="6" t="n">
        <v>3</v>
      </c>
      <c r="L6592" s="94" t="n">
        <v>190801</v>
      </c>
      <c r="M6592" s="94">
        <f>VLOOKUP($Q6592,매칭테이블!$F:$I,2,0)*K6592</f>
        <v/>
      </c>
      <c r="N6592" s="94">
        <f>M6592-M6592*VLOOKUP($Q6592,매칭테이블!$F:$I,3,0)</f>
        <v/>
      </c>
      <c r="O6592" s="94">
        <f>VLOOKUP($Q6592,매칭테이블!$F:$I,4,0)*K6592</f>
        <v/>
      </c>
      <c r="P6592" s="148">
        <f>M6592/1.1</f>
        <v/>
      </c>
      <c r="Q6592" s="94">
        <f>F6592&amp;E6592&amp;G6592&amp;L6592</f>
        <v/>
      </c>
    </row>
    <row r="6593" customFormat="1" s="94">
      <c r="B6593" s="128" t="n">
        <v>43986</v>
      </c>
      <c r="C6593" s="94">
        <f>TEXT(B6593,"aaa")</f>
        <v/>
      </c>
      <c r="E6593" s="6" t="inlineStr">
        <is>
          <t>토너</t>
        </is>
      </c>
      <c r="F6593" s="5" t="inlineStr">
        <is>
          <t>W컨셉</t>
        </is>
      </c>
      <c r="G6593" s="5" t="inlineStr">
        <is>
          <t>250ml 2set</t>
        </is>
      </c>
      <c r="H6593" s="7" t="n">
        <v>190801</v>
      </c>
      <c r="I6593" s="7" t="n">
        <v>190801</v>
      </c>
      <c r="K6593" s="6" t="n">
        <v>4</v>
      </c>
      <c r="L6593" s="7" t="n">
        <v>190801</v>
      </c>
      <c r="M6593" s="94">
        <f>VLOOKUP($Q6593,매칭테이블!$F:$I,2,0)*K6593</f>
        <v/>
      </c>
      <c r="N6593" s="94">
        <f>M6593-M6593*VLOOKUP($Q6593,매칭테이블!$F:$I,3,0)</f>
        <v/>
      </c>
      <c r="O6593" s="94">
        <f>VLOOKUP($Q6593,매칭테이블!$F:$I,4,0)*K6593</f>
        <v/>
      </c>
      <c r="P6593" s="148">
        <f>M6593/1.1</f>
        <v/>
      </c>
      <c r="Q6593" s="94">
        <f>F6593&amp;E6593&amp;G6593&amp;L6593</f>
        <v/>
      </c>
    </row>
    <row r="6594" customFormat="1" s="94">
      <c r="B6594" s="128" t="n">
        <v>43986</v>
      </c>
      <c r="C6594" s="94">
        <f>TEXT(B6594,"aaa")</f>
        <v/>
      </c>
      <c r="E6594" s="6" t="inlineStr">
        <is>
          <t>토너</t>
        </is>
      </c>
      <c r="F6594" s="5" t="inlineStr">
        <is>
          <t>W컨셉</t>
        </is>
      </c>
      <c r="G6594" s="5" t="inlineStr">
        <is>
          <t>250ml</t>
        </is>
      </c>
      <c r="H6594" s="7" t="n">
        <v>190801</v>
      </c>
      <c r="I6594" s="7" t="n">
        <v>190801</v>
      </c>
      <c r="K6594" s="6" t="n">
        <v>1</v>
      </c>
      <c r="L6594" s="7" t="n">
        <v>190801</v>
      </c>
      <c r="M6594" s="94">
        <f>VLOOKUP($Q6594,매칭테이블!$F:$I,2,0)*K6594</f>
        <v/>
      </c>
      <c r="N6594" s="94">
        <f>M6594-M6594*VLOOKUP($Q6594,매칭테이블!$F:$I,3,0)</f>
        <v/>
      </c>
      <c r="O6594" s="94">
        <f>VLOOKUP($Q6594,매칭테이블!$F:$I,4,0)*K6594</f>
        <v/>
      </c>
      <c r="P6594" s="148">
        <f>M6594/1.1</f>
        <v/>
      </c>
      <c r="Q6594" s="94">
        <f>F6594&amp;E6594&amp;G6594&amp;L6594</f>
        <v/>
      </c>
    </row>
    <row r="6595" customFormat="1" s="94">
      <c r="B6595" s="128" t="n">
        <v>43986</v>
      </c>
      <c r="C6595" s="94">
        <f>TEXT(B6595,"aaa")</f>
        <v/>
      </c>
      <c r="E6595" s="94" t="inlineStr">
        <is>
          <t>토너</t>
        </is>
      </c>
      <c r="F6595" s="5" t="inlineStr">
        <is>
          <t>스타일쉐어</t>
        </is>
      </c>
      <c r="G6595" s="94" t="inlineStr">
        <is>
          <t>250ml</t>
        </is>
      </c>
      <c r="H6595" s="7" t="n">
        <v>190801</v>
      </c>
      <c r="I6595" s="7" t="n">
        <v>190801</v>
      </c>
      <c r="K6595" s="6" t="n">
        <v>2</v>
      </c>
      <c r="L6595" s="7" t="n">
        <v>190801</v>
      </c>
      <c r="M6595" s="94">
        <f>VLOOKUP($Q6595,매칭테이블!$F:$I,2,0)*K6595</f>
        <v/>
      </c>
      <c r="N6595" s="94">
        <f>M6595-M6595*VLOOKUP($Q6595,매칭테이블!$F:$I,3,0)</f>
        <v/>
      </c>
      <c r="O6595" s="94">
        <f>VLOOKUP($Q6595,매칭테이블!$F:$I,4,0)*K6595</f>
        <v/>
      </c>
      <c r="P6595" s="148">
        <f>M6595/1.1</f>
        <v/>
      </c>
      <c r="Q6595" s="94">
        <f>F6595&amp;E6595&amp;G6595&amp;L6595</f>
        <v/>
      </c>
    </row>
    <row r="6596" customFormat="1" s="94">
      <c r="B6596" s="128" t="n">
        <v>43986</v>
      </c>
      <c r="C6596" s="94">
        <f>TEXT(B6596,"aaa")</f>
        <v/>
      </c>
      <c r="E6596" s="94" t="inlineStr">
        <is>
          <t>토너</t>
        </is>
      </c>
      <c r="F6596" s="5" t="inlineStr">
        <is>
          <t>아누아 CS</t>
        </is>
      </c>
      <c r="G6596" s="94" t="inlineStr">
        <is>
          <t>250ml</t>
        </is>
      </c>
      <c r="H6596" s="7" t="n">
        <v>190801</v>
      </c>
      <c r="I6596" s="7" t="n">
        <v>190801</v>
      </c>
      <c r="K6596" s="6" t="n">
        <v>12</v>
      </c>
      <c r="L6596" s="7" t="n">
        <v>190801</v>
      </c>
      <c r="M6596" s="94">
        <f>VLOOKUP($Q6596,매칭테이블!$F:$I,2,0)*K6596</f>
        <v/>
      </c>
      <c r="N6596" s="94">
        <f>M6596-M6596*VLOOKUP($Q6596,매칭테이블!$F:$I,3,0)</f>
        <v/>
      </c>
      <c r="O6596" s="94">
        <f>VLOOKUP($Q6596,매칭테이블!$F:$I,4,0)*K6596</f>
        <v/>
      </c>
      <c r="P6596" s="148">
        <f>M6596/1.1</f>
        <v/>
      </c>
      <c r="Q6596" s="94">
        <f>F6596&amp;E6596&amp;G6596&amp;L6596</f>
        <v/>
      </c>
    </row>
    <row r="6597" customFormat="1" s="94">
      <c r="B6597" s="128" t="n">
        <v>43986</v>
      </c>
      <c r="C6597" s="94">
        <f>TEXT(B6597,"aaa")</f>
        <v/>
      </c>
      <c r="E6597" s="94" t="inlineStr">
        <is>
          <t>화장솜</t>
        </is>
      </c>
      <c r="F6597" s="5" t="inlineStr">
        <is>
          <t>아누아 CS</t>
        </is>
      </c>
      <c r="G6597" s="94" t="inlineStr">
        <is>
          <t>스킨팩 화장솜 60P</t>
        </is>
      </c>
      <c r="H6597" s="7" t="n">
        <v>190801</v>
      </c>
      <c r="I6597" s="7" t="n">
        <v>190801</v>
      </c>
      <c r="K6597" s="94" t="n">
        <v>3</v>
      </c>
      <c r="L6597" s="7" t="n">
        <v>190801</v>
      </c>
      <c r="M6597" s="94">
        <f>VLOOKUP($Q6597,매칭테이블!$F:$I,2,0)*K6597</f>
        <v/>
      </c>
      <c r="N6597" s="94">
        <f>M6597-M6597*VLOOKUP($Q6597,매칭테이블!$F:$I,3,0)</f>
        <v/>
      </c>
      <c r="O6597" s="94">
        <f>VLOOKUP($Q6597,매칭테이블!$F:$I,4,0)*K6597</f>
        <v/>
      </c>
      <c r="P6597" s="148">
        <f>M6597/1.1</f>
        <v/>
      </c>
      <c r="Q6597" s="94">
        <f>F6597&amp;E6597&amp;G6597&amp;L6597</f>
        <v/>
      </c>
    </row>
    <row r="6598" customFormat="1" s="94">
      <c r="B6598" s="128" t="n">
        <v>43986</v>
      </c>
      <c r="C6598" s="94">
        <f>TEXT(B6598,"aaa")</f>
        <v/>
      </c>
      <c r="E6598" s="94" t="inlineStr">
        <is>
          <t>앰플</t>
        </is>
      </c>
      <c r="F6598" s="5" t="inlineStr">
        <is>
          <t>아누아 CS</t>
        </is>
      </c>
      <c r="G6598" s="94" t="inlineStr">
        <is>
          <t>앰플 30ml</t>
        </is>
      </c>
      <c r="H6598" s="7" t="n">
        <v>190801</v>
      </c>
      <c r="I6598" s="7" t="n">
        <v>190801</v>
      </c>
      <c r="K6598" s="94" t="n">
        <v>3</v>
      </c>
      <c r="L6598" s="7" t="n">
        <v>190801</v>
      </c>
      <c r="M6598" s="94">
        <f>VLOOKUP($Q6598,매칭테이블!$F:$I,2,0)*K6598</f>
        <v/>
      </c>
      <c r="N6598" s="94">
        <f>M6598-M6598*VLOOKUP($Q6598,매칭테이블!$F:$I,3,0)</f>
        <v/>
      </c>
      <c r="O6598" s="94">
        <f>VLOOKUP($Q6598,매칭테이블!$F:$I,4,0)*K6598</f>
        <v/>
      </c>
      <c r="P6598" s="148">
        <f>M6598/1.1</f>
        <v/>
      </c>
      <c r="Q6598" s="94">
        <f>F6598&amp;E6598&amp;G6598&amp;L6598</f>
        <v/>
      </c>
    </row>
    <row r="6599" customFormat="1" s="94">
      <c r="B6599" s="128" t="n">
        <v>43986</v>
      </c>
      <c r="C6599" s="94">
        <f>TEXT(B6599,"aaa")</f>
        <v/>
      </c>
      <c r="E6599" s="94" t="inlineStr">
        <is>
          <t>마스크팩</t>
        </is>
      </c>
      <c r="F6599" s="5" t="inlineStr">
        <is>
          <t>아누아 CS</t>
        </is>
      </c>
      <c r="G6599" s="94" t="inlineStr">
        <is>
          <t>마스크팩 10매</t>
        </is>
      </c>
      <c r="H6599" s="7" t="n">
        <v>190801</v>
      </c>
      <c r="I6599" s="7" t="n">
        <v>190801</v>
      </c>
      <c r="K6599" s="94" t="n">
        <v>3</v>
      </c>
      <c r="L6599" s="7" t="n">
        <v>190801</v>
      </c>
      <c r="M6599" s="94">
        <f>VLOOKUP($Q6599,매칭테이블!$F:$I,2,0)*K6599</f>
        <v/>
      </c>
      <c r="N6599" s="94">
        <f>M6599-M6599*VLOOKUP($Q6599,매칭테이블!$F:$I,3,0)</f>
        <v/>
      </c>
      <c r="O6599" s="94">
        <f>VLOOKUP($Q6599,매칭테이블!$F:$I,4,0)*K6599</f>
        <v/>
      </c>
      <c r="P6599" s="148">
        <f>M6599/1.1</f>
        <v/>
      </c>
      <c r="Q6599" s="94">
        <f>F6599&amp;E6599&amp;G6599&amp;L6599</f>
        <v/>
      </c>
    </row>
    <row r="6600" customFormat="1" s="94">
      <c r="B6600" s="128" t="n">
        <v>43986</v>
      </c>
      <c r="C6600" s="94">
        <f>TEXT(B6600,"aaa")</f>
        <v/>
      </c>
      <c r="E6600" s="94" t="inlineStr">
        <is>
          <t>선크림</t>
        </is>
      </c>
      <c r="F6600" s="5" t="inlineStr">
        <is>
          <t>아누아 CS</t>
        </is>
      </c>
      <c r="G6600" s="94" t="inlineStr">
        <is>
          <t>선크림 50ml</t>
        </is>
      </c>
      <c r="H6600" s="7" t="n">
        <v>190801</v>
      </c>
      <c r="I6600" s="7" t="n">
        <v>190801</v>
      </c>
      <c r="K6600" s="94" t="n">
        <v>3</v>
      </c>
      <c r="L6600" s="7" t="n">
        <v>190801</v>
      </c>
      <c r="M6600" s="94">
        <f>VLOOKUP($Q6600,매칭테이블!$F:$I,2,0)*K6600</f>
        <v/>
      </c>
      <c r="N6600" s="94">
        <f>M6600-M6600*VLOOKUP($Q6600,매칭테이블!$F:$I,3,0)</f>
        <v/>
      </c>
      <c r="O6600" s="94">
        <f>VLOOKUP($Q6600,매칭테이블!$F:$I,4,0)*K6600</f>
        <v/>
      </c>
      <c r="P6600" s="148">
        <f>M6600/1.1</f>
        <v/>
      </c>
      <c r="Q6600" s="94">
        <f>F6600&amp;E6600&amp;G6600&amp;L6600</f>
        <v/>
      </c>
    </row>
    <row r="6601" customFormat="1" s="94">
      <c r="B6601" s="128" t="n">
        <v>43986</v>
      </c>
      <c r="C6601" s="94">
        <f>TEXT(B6601,"aaa")</f>
        <v/>
      </c>
      <c r="E6601" s="94" t="inlineStr">
        <is>
          <t>선크림</t>
        </is>
      </c>
      <c r="F6601" s="5" t="inlineStr">
        <is>
          <t>카페24</t>
        </is>
      </c>
      <c r="G6601" s="94" t="inlineStr">
        <is>
          <t>선크림 50ml</t>
        </is>
      </c>
      <c r="H6601" s="7" t="n">
        <v>190801</v>
      </c>
      <c r="I6601" s="7" t="n">
        <v>190801</v>
      </c>
      <c r="K6601" s="6" t="n">
        <v>14</v>
      </c>
      <c r="L6601" s="7" t="n">
        <v>190801</v>
      </c>
      <c r="M6601" s="94">
        <f>VLOOKUP($Q6601,매칭테이블!$F:$I,2,0)*K6601</f>
        <v/>
      </c>
      <c r="N6601" s="94">
        <f>M6601-M6601*VLOOKUP($Q6601,매칭테이블!$F:$I,3,0)</f>
        <v/>
      </c>
      <c r="O6601" s="94">
        <f>VLOOKUP($Q6601,매칭테이블!$F:$I,4,0)*K6601</f>
        <v/>
      </c>
      <c r="P6601" s="148">
        <f>M6601/1.1</f>
        <v/>
      </c>
      <c r="Q6601" s="94">
        <f>F6601&amp;E6601&amp;G6601&amp;L6601</f>
        <v/>
      </c>
    </row>
    <row r="6602" customFormat="1" s="94">
      <c r="B6602" s="128" t="n">
        <v>43986</v>
      </c>
      <c r="C6602" s="94">
        <f>TEXT(B6602,"aaa")</f>
        <v/>
      </c>
      <c r="E6602" s="94" t="inlineStr">
        <is>
          <t>클렌징폼</t>
        </is>
      </c>
      <c r="F6602" s="5" t="inlineStr">
        <is>
          <t>카페24</t>
        </is>
      </c>
      <c r="G6602" s="94" t="inlineStr">
        <is>
          <t>클렌징폼 120ml(선크림할인)</t>
        </is>
      </c>
      <c r="H6602" s="7" t="n">
        <v>190801</v>
      </c>
      <c r="I6602" s="7" t="n">
        <v>190801</v>
      </c>
      <c r="K6602" s="6" t="n">
        <v>2</v>
      </c>
      <c r="L6602" s="92" t="n">
        <v>190801</v>
      </c>
      <c r="M6602" s="94">
        <f>VLOOKUP($Q6602,매칭테이블!$F:$I,2,0)*K6602</f>
        <v/>
      </c>
      <c r="N6602" s="94">
        <f>M6602-M6602*VLOOKUP($Q6602,매칭테이블!$F:$I,3,0)</f>
        <v/>
      </c>
      <c r="O6602" s="94">
        <f>VLOOKUP($Q6602,매칭테이블!$F:$I,4,0)*K6602</f>
        <v/>
      </c>
      <c r="P6602" s="148">
        <f>M6602/1.1</f>
        <v/>
      </c>
      <c r="Q6602" s="94">
        <f>F6602&amp;E6602&amp;G6602&amp;L6602</f>
        <v/>
      </c>
    </row>
    <row r="6603" customFormat="1" s="94">
      <c r="B6603" s="128" t="n">
        <v>43986</v>
      </c>
      <c r="C6603" s="94">
        <f>TEXT(B6603,"aaa")</f>
        <v/>
      </c>
      <c r="E6603" s="94" t="inlineStr">
        <is>
          <t>어성초진정패키지</t>
        </is>
      </c>
      <c r="F6603" s="5" t="inlineStr">
        <is>
          <t>카페24</t>
        </is>
      </c>
      <c r="G6603" s="94" t="inlineStr">
        <is>
          <t>어성초 진정패키지세트</t>
        </is>
      </c>
      <c r="H6603" s="7" t="n">
        <v>190801</v>
      </c>
      <c r="I6603" s="7" t="n">
        <v>190801</v>
      </c>
      <c r="K6603" s="6" t="n">
        <v>3</v>
      </c>
      <c r="L6603" s="94" t="n">
        <v>190801</v>
      </c>
      <c r="M6603" s="94">
        <f>VLOOKUP($Q6603,매칭테이블!$F:$I,2,0)*K6603</f>
        <v/>
      </c>
      <c r="N6603" s="94">
        <f>M6603-M6603*VLOOKUP($Q6603,매칭테이블!$F:$I,3,0)</f>
        <v/>
      </c>
      <c r="O6603" s="94">
        <f>VLOOKUP($Q6603,매칭테이블!$F:$I,4,0)*K6603</f>
        <v/>
      </c>
      <c r="P6603" s="148">
        <f>M6603/1.1</f>
        <v/>
      </c>
      <c r="Q6603" s="94">
        <f>F6603&amp;E6603&amp;G6603&amp;L6603</f>
        <v/>
      </c>
    </row>
    <row r="6604" customFormat="1" s="94">
      <c r="B6604" s="128" t="n">
        <v>43986</v>
      </c>
      <c r="C6604" s="94">
        <f>TEXT(B6604,"aaa")</f>
        <v/>
      </c>
      <c r="E6604" s="6" t="inlineStr">
        <is>
          <t>토너</t>
        </is>
      </c>
      <c r="F6604" s="5" t="inlineStr">
        <is>
          <t>카페24</t>
        </is>
      </c>
      <c r="G6604" s="5" t="inlineStr">
        <is>
          <t>500ml</t>
        </is>
      </c>
      <c r="H6604" s="7" t="n">
        <v>190801</v>
      </c>
      <c r="I6604" s="7" t="n">
        <v>190801</v>
      </c>
      <c r="K6604" s="6" t="n">
        <v>36</v>
      </c>
      <c r="L6604" s="7" t="n">
        <v>190801</v>
      </c>
      <c r="M6604" s="94">
        <f>VLOOKUP($Q6604,매칭테이블!$F:$I,2,0)*K6604</f>
        <v/>
      </c>
      <c r="N6604" s="94">
        <f>M6604-M6604*VLOOKUP($Q6604,매칭테이블!$F:$I,3,0)</f>
        <v/>
      </c>
      <c r="O6604" s="94">
        <f>VLOOKUP($Q6604,매칭테이블!$F:$I,4,0)*K6604</f>
        <v/>
      </c>
      <c r="P6604" s="148">
        <f>M6604/1.1</f>
        <v/>
      </c>
      <c r="Q6604" s="94">
        <f>F6604&amp;E6604&amp;G6604&amp;L6604</f>
        <v/>
      </c>
    </row>
    <row r="6605" customFormat="1" s="94">
      <c r="B6605" s="128" t="n">
        <v>43986</v>
      </c>
      <c r="C6605" s="94">
        <f>TEXT(B6605,"aaa")</f>
        <v/>
      </c>
      <c r="E6605" s="6" t="inlineStr">
        <is>
          <t>토너</t>
        </is>
      </c>
      <c r="F6605" s="5" t="inlineStr">
        <is>
          <t>카페24</t>
        </is>
      </c>
      <c r="G6605" s="5" t="inlineStr">
        <is>
          <t>250ml 2set</t>
        </is>
      </c>
      <c r="H6605" s="7" t="n">
        <v>190801</v>
      </c>
      <c r="I6605" s="7" t="n">
        <v>190801</v>
      </c>
      <c r="K6605" s="6" t="n">
        <v>4</v>
      </c>
      <c r="L6605" s="7" t="n">
        <v>190801</v>
      </c>
      <c r="M6605" s="94">
        <f>VLOOKUP($Q6605,매칭테이블!$F:$I,2,0)*K6605</f>
        <v/>
      </c>
      <c r="N6605" s="94">
        <f>M6605-M6605*VLOOKUP($Q6605,매칭테이블!$F:$I,3,0)</f>
        <v/>
      </c>
      <c r="O6605" s="94">
        <f>VLOOKUP($Q6605,매칭테이블!$F:$I,4,0)*K6605</f>
        <v/>
      </c>
      <c r="P6605" s="148">
        <f>M6605/1.1</f>
        <v/>
      </c>
      <c r="Q6605" s="94">
        <f>F6605&amp;E6605&amp;G6605&amp;L6605</f>
        <v/>
      </c>
    </row>
    <row r="6606" customFormat="1" s="94">
      <c r="B6606" s="128" t="n">
        <v>43986</v>
      </c>
      <c r="C6606" s="94">
        <f>TEXT(B6606,"aaa")</f>
        <v/>
      </c>
      <c r="E6606" s="94" t="inlineStr">
        <is>
          <t>머드크림마스크</t>
        </is>
      </c>
      <c r="F6606" s="5" t="inlineStr">
        <is>
          <t>카페24</t>
        </is>
      </c>
      <c r="G6606" s="94" t="inlineStr">
        <is>
          <t>머드크림마스크 100ml</t>
        </is>
      </c>
      <c r="H6606" s="7" t="n">
        <v>190801</v>
      </c>
      <c r="I6606" s="7" t="n">
        <v>190801</v>
      </c>
      <c r="K6606" s="6" t="n">
        <v>4</v>
      </c>
      <c r="L6606" s="94" t="n">
        <v>190801</v>
      </c>
      <c r="M6606" s="94">
        <f>VLOOKUP($Q6606,매칭테이블!$F:$I,2,0)*K6606</f>
        <v/>
      </c>
      <c r="N6606" s="94">
        <f>M6606-M6606*VLOOKUP($Q6606,매칭테이블!$F:$I,3,0)</f>
        <v/>
      </c>
      <c r="O6606" s="94">
        <f>VLOOKUP($Q6606,매칭테이블!$F:$I,4,0)*K6606</f>
        <v/>
      </c>
      <c r="P6606" s="148">
        <f>M6606/1.1</f>
        <v/>
      </c>
      <c r="Q6606" s="94">
        <f>F6606&amp;E6606&amp;G6606&amp;L6606</f>
        <v/>
      </c>
    </row>
    <row r="6607" customFormat="1" s="94">
      <c r="B6607" s="128" t="n">
        <v>43986</v>
      </c>
      <c r="C6607" s="94">
        <f>TEXT(B6607,"aaa")</f>
        <v/>
      </c>
      <c r="E6607" s="94" t="inlineStr">
        <is>
          <t>머드크림마스크</t>
        </is>
      </c>
      <c r="F6607" s="5" t="inlineStr">
        <is>
          <t>카페24</t>
        </is>
      </c>
      <c r="G6607" s="94" t="inlineStr">
        <is>
          <t>머드크림마스크 100ml 2set</t>
        </is>
      </c>
      <c r="H6607" s="7" t="n">
        <v>190801</v>
      </c>
      <c r="I6607" s="7" t="n">
        <v>190801</v>
      </c>
      <c r="K6607" s="6" t="n">
        <v>1</v>
      </c>
      <c r="L6607" s="94" t="n">
        <v>190801</v>
      </c>
      <c r="M6607" s="94">
        <f>VLOOKUP($Q6607,매칭테이블!$F:$I,2,0)*K6607</f>
        <v/>
      </c>
      <c r="N6607" s="94">
        <f>M6607-M6607*VLOOKUP($Q6607,매칭테이블!$F:$I,3,0)</f>
        <v/>
      </c>
      <c r="O6607" s="94">
        <f>VLOOKUP($Q6607,매칭테이블!$F:$I,4,0)*K6607</f>
        <v/>
      </c>
      <c r="P6607" s="148">
        <f>M6607/1.1</f>
        <v/>
      </c>
      <c r="Q6607" s="94">
        <f>F6607&amp;E6607&amp;G6607&amp;L6607</f>
        <v/>
      </c>
    </row>
    <row r="6608" customFormat="1" s="94">
      <c r="B6608" s="128" t="n">
        <v>43986</v>
      </c>
      <c r="C6608" s="94">
        <f>TEXT(B6608,"aaa")</f>
        <v/>
      </c>
      <c r="E6608" s="94" t="inlineStr">
        <is>
          <t>마스크팩</t>
        </is>
      </c>
      <c r="F6608" s="5" t="inlineStr">
        <is>
          <t>카페24</t>
        </is>
      </c>
      <c r="G6608" s="94" t="inlineStr">
        <is>
          <t>마스크팩 1매</t>
        </is>
      </c>
      <c r="H6608" s="7" t="n">
        <v>190801</v>
      </c>
      <c r="I6608" s="7" t="n">
        <v>190801</v>
      </c>
      <c r="K6608" s="6" t="n">
        <v>4</v>
      </c>
      <c r="L6608" s="94" t="n">
        <v>190801</v>
      </c>
      <c r="M6608" s="94">
        <f>VLOOKUP($Q6608,매칭테이블!$F:$I,2,0)*K6608</f>
        <v/>
      </c>
      <c r="N6608" s="94">
        <f>M6608-M6608*VLOOKUP($Q6608,매칭테이블!$F:$I,3,0)</f>
        <v/>
      </c>
      <c r="O6608" s="94">
        <f>VLOOKUP($Q6608,매칭테이블!$F:$I,4,0)*K6608</f>
        <v/>
      </c>
      <c r="P6608" s="148">
        <f>M6608/1.1</f>
        <v/>
      </c>
      <c r="Q6608" s="94">
        <f>F6608&amp;E6608&amp;G6608&amp;L6608</f>
        <v/>
      </c>
    </row>
    <row r="6609" customFormat="1" s="94">
      <c r="B6609" s="128" t="n">
        <v>43986</v>
      </c>
      <c r="C6609" s="94">
        <f>TEXT(B6609,"aaa")</f>
        <v/>
      </c>
      <c r="E6609" s="94" t="inlineStr">
        <is>
          <t>마스크팩</t>
        </is>
      </c>
      <c r="F6609" s="5" t="inlineStr">
        <is>
          <t>카페24</t>
        </is>
      </c>
      <c r="G6609" s="94" t="inlineStr">
        <is>
          <t>마스크팩 10매</t>
        </is>
      </c>
      <c r="H6609" s="7" t="n">
        <v>190801</v>
      </c>
      <c r="I6609" s="7" t="n">
        <v>190801</v>
      </c>
      <c r="K6609" s="6" t="n">
        <v>2</v>
      </c>
      <c r="L6609" s="94" t="n">
        <v>190801</v>
      </c>
      <c r="M6609" s="94">
        <f>VLOOKUP($Q6609,매칭테이블!$F:$I,2,0)*K6609</f>
        <v/>
      </c>
      <c r="N6609" s="94">
        <f>M6609-M6609*VLOOKUP($Q6609,매칭테이블!$F:$I,3,0)</f>
        <v/>
      </c>
      <c r="O6609" s="94">
        <f>VLOOKUP($Q6609,매칭테이블!$F:$I,4,0)*K6609</f>
        <v/>
      </c>
      <c r="P6609" s="148">
        <f>M6609/1.1</f>
        <v/>
      </c>
      <c r="Q6609" s="94">
        <f>F6609&amp;E6609&amp;G6609&amp;L6609</f>
        <v/>
      </c>
    </row>
    <row r="6610" customFormat="1" s="94">
      <c r="B6610" s="128" t="n">
        <v>43986</v>
      </c>
      <c r="C6610" s="94">
        <f>TEXT(B6610,"aaa")</f>
        <v/>
      </c>
      <c r="E6610" s="6" t="inlineStr">
        <is>
          <t>토너</t>
        </is>
      </c>
      <c r="F6610" s="5" t="inlineStr">
        <is>
          <t>카페24</t>
        </is>
      </c>
      <c r="G6610" s="5" t="inlineStr">
        <is>
          <t>250ml</t>
        </is>
      </c>
      <c r="H6610" s="7" t="n">
        <v>190801</v>
      </c>
      <c r="I6610" s="7" t="n">
        <v>190801</v>
      </c>
      <c r="K6610" s="6" t="n">
        <v>71</v>
      </c>
      <c r="L6610" s="7" t="n">
        <v>190801</v>
      </c>
      <c r="M6610" s="94">
        <f>VLOOKUP($Q6610,매칭테이블!$F:$I,2,0)*K6610</f>
        <v/>
      </c>
      <c r="N6610" s="94">
        <f>M6610-M6610*VLOOKUP($Q6610,매칭테이블!$F:$I,3,0)</f>
        <v/>
      </c>
      <c r="O6610" s="94">
        <f>VLOOKUP($Q6610,매칭테이블!$F:$I,4,0)*K6610</f>
        <v/>
      </c>
      <c r="P6610" s="148">
        <f>M6610/1.1</f>
        <v/>
      </c>
      <c r="Q6610" s="94">
        <f>F6610&amp;E6610&amp;G6610&amp;L6610</f>
        <v/>
      </c>
    </row>
    <row r="6611" customFormat="1" s="94">
      <c r="B6611" s="128" t="n">
        <v>43986</v>
      </c>
      <c r="C6611" s="94">
        <f>TEXT(B6611,"aaa")</f>
        <v/>
      </c>
      <c r="E6611" s="6" t="inlineStr">
        <is>
          <t>토너</t>
        </is>
      </c>
      <c r="F6611" s="5" t="inlineStr">
        <is>
          <t>카페24</t>
        </is>
      </c>
      <c r="G6611" s="5" t="inlineStr">
        <is>
          <t>250ml 2set</t>
        </is>
      </c>
      <c r="H6611" s="7" t="n">
        <v>190801</v>
      </c>
      <c r="I6611" s="7" t="n">
        <v>190801</v>
      </c>
      <c r="K6611" s="6" t="n">
        <v>38</v>
      </c>
      <c r="L6611" s="7" t="n">
        <v>190801</v>
      </c>
      <c r="M6611" s="94">
        <f>VLOOKUP($Q6611,매칭테이블!$F:$I,2,0)*K6611</f>
        <v/>
      </c>
      <c r="N6611" s="94">
        <f>M6611-M6611*VLOOKUP($Q6611,매칭테이블!$F:$I,3,0)</f>
        <v/>
      </c>
      <c r="O6611" s="94">
        <f>VLOOKUP($Q6611,매칭테이블!$F:$I,4,0)*K6611</f>
        <v/>
      </c>
      <c r="P6611" s="148">
        <f>M6611/1.1</f>
        <v/>
      </c>
      <c r="Q6611" s="94">
        <f>F6611&amp;E6611&amp;G6611&amp;L6611</f>
        <v/>
      </c>
    </row>
    <row r="6612" customFormat="1" s="94">
      <c r="B6612" s="128" t="n">
        <v>43986</v>
      </c>
      <c r="C6612" s="94">
        <f>TEXT(B6612,"aaa")</f>
        <v/>
      </c>
      <c r="E6612" s="6" t="inlineStr">
        <is>
          <t>토너</t>
        </is>
      </c>
      <c r="F6612" s="5" t="inlineStr">
        <is>
          <t>카페24</t>
        </is>
      </c>
      <c r="G6612" s="94" t="inlineStr">
        <is>
          <t>스킨팩 화장솜 60P</t>
        </is>
      </c>
      <c r="H6612" s="7" t="n">
        <v>190801</v>
      </c>
      <c r="I6612" s="7" t="n">
        <v>190801</v>
      </c>
      <c r="K6612" s="6" t="n">
        <v>36</v>
      </c>
      <c r="L6612" s="7" t="n">
        <v>190801</v>
      </c>
      <c r="M6612" s="94">
        <f>VLOOKUP($Q6612,매칭테이블!$F:$I,2,0)*K6612</f>
        <v/>
      </c>
      <c r="N6612" s="94">
        <f>M6612-M6612*VLOOKUP($Q6612,매칭테이블!$F:$I,3,0)</f>
        <v/>
      </c>
      <c r="O6612" s="94">
        <f>VLOOKUP($Q6612,매칭테이블!$F:$I,4,0)*K6612</f>
        <v/>
      </c>
      <c r="P6612" s="148">
        <f>M6612/1.1</f>
        <v/>
      </c>
      <c r="Q6612" s="94">
        <f>F6612&amp;E6612&amp;G6612&amp;L6612</f>
        <v/>
      </c>
    </row>
    <row r="6613" customFormat="1" s="94">
      <c r="B6613" s="128" t="n">
        <v>43986</v>
      </c>
      <c r="C6613" s="94">
        <f>TEXT(B6613,"aaa")</f>
        <v/>
      </c>
      <c r="E6613" s="94" t="inlineStr">
        <is>
          <t>수딩크림</t>
        </is>
      </c>
      <c r="F6613" s="5" t="inlineStr">
        <is>
          <t>카페24</t>
        </is>
      </c>
      <c r="G6613" s="94" t="inlineStr">
        <is>
          <t>수딩크림 100ml</t>
        </is>
      </c>
      <c r="H6613" s="7" t="n">
        <v>190801</v>
      </c>
      <c r="I6613" s="7" t="n">
        <v>190801</v>
      </c>
      <c r="K6613" s="6" t="n">
        <v>3</v>
      </c>
      <c r="L6613" s="94" t="n">
        <v>190801</v>
      </c>
      <c r="M6613" s="94">
        <f>VLOOKUP($Q6613,매칭테이블!$F:$I,2,0)*K6613</f>
        <v/>
      </c>
      <c r="N6613" s="94">
        <f>M6613-M6613*VLOOKUP($Q6613,매칭테이블!$F:$I,3,0)</f>
        <v/>
      </c>
      <c r="O6613" s="94">
        <f>VLOOKUP($Q6613,매칭테이블!$F:$I,4,0)*K6613</f>
        <v/>
      </c>
      <c r="P6613" s="148">
        <f>M6613/1.1</f>
        <v/>
      </c>
      <c r="Q6613" s="94">
        <f>F6613&amp;E6613&amp;G6613&amp;L6613</f>
        <v/>
      </c>
    </row>
    <row r="6614" customFormat="1" s="94">
      <c r="B6614" s="128" t="n">
        <v>43986</v>
      </c>
      <c r="C6614" s="94">
        <f>TEXT(B6614,"aaa")</f>
        <v/>
      </c>
      <c r="E6614" s="94" t="inlineStr">
        <is>
          <t>앰플</t>
        </is>
      </c>
      <c r="F6614" s="5" t="inlineStr">
        <is>
          <t>카페24</t>
        </is>
      </c>
      <c r="G6614" s="94" t="inlineStr">
        <is>
          <t>앰플 30ml</t>
        </is>
      </c>
      <c r="H6614" s="7" t="n">
        <v>190801</v>
      </c>
      <c r="I6614" s="7" t="n">
        <v>190801</v>
      </c>
      <c r="K6614" s="6" t="n">
        <v>13</v>
      </c>
      <c r="L6614" s="94" t="n">
        <v>190801</v>
      </c>
      <c r="M6614" s="94">
        <f>VLOOKUP($Q6614,매칭테이블!$F:$I,2,0)*K6614</f>
        <v/>
      </c>
      <c r="N6614" s="94">
        <f>M6614-M6614*VLOOKUP($Q6614,매칭테이블!$F:$I,3,0)</f>
        <v/>
      </c>
      <c r="O6614" s="94">
        <f>VLOOKUP($Q6614,매칭테이블!$F:$I,4,0)*K6614</f>
        <v/>
      </c>
      <c r="P6614" s="148">
        <f>M6614/1.1</f>
        <v/>
      </c>
      <c r="Q6614" s="94">
        <f>F6614&amp;E6614&amp;G6614&amp;L6614</f>
        <v/>
      </c>
    </row>
    <row r="6615" customFormat="1" s="94">
      <c r="B6615" s="128" t="n">
        <v>43986</v>
      </c>
      <c r="C6615" s="94">
        <f>TEXT(B6615,"aaa")</f>
        <v/>
      </c>
      <c r="E6615" s="94" t="inlineStr">
        <is>
          <t>클렌징폼</t>
        </is>
      </c>
      <c r="F6615" s="5" t="inlineStr">
        <is>
          <t>카페24</t>
        </is>
      </c>
      <c r="G6615" s="94" t="inlineStr">
        <is>
          <t>클렌징폼 120ml</t>
        </is>
      </c>
      <c r="H6615" s="7" t="n">
        <v>190801</v>
      </c>
      <c r="I6615" s="7" t="n">
        <v>190801</v>
      </c>
      <c r="K6615" s="6" t="n">
        <v>4</v>
      </c>
      <c r="L6615" s="92" t="n">
        <v>190801</v>
      </c>
      <c r="M6615" s="94">
        <f>VLOOKUP($Q6615,매칭테이블!$F:$I,2,0)*K6615</f>
        <v/>
      </c>
      <c r="N6615" s="94">
        <f>M6615-M6615*VLOOKUP($Q6615,매칭테이블!$F:$I,3,0)</f>
        <v/>
      </c>
      <c r="O6615" s="94">
        <f>VLOOKUP($Q6615,매칭테이블!$F:$I,4,0)*K6615</f>
        <v/>
      </c>
      <c r="P6615" s="148">
        <f>M6615/1.1</f>
        <v/>
      </c>
      <c r="Q6615" s="94">
        <f>F6615&amp;E6615&amp;G6615&amp;L6615</f>
        <v/>
      </c>
    </row>
    <row r="6616" customFormat="1" s="94">
      <c r="B6616" s="128" t="n">
        <v>43986</v>
      </c>
      <c r="C6616" s="94">
        <f>TEXT(B6616,"aaa")</f>
        <v/>
      </c>
      <c r="E6616" s="94" t="inlineStr">
        <is>
          <t>클렌징폼</t>
        </is>
      </c>
      <c r="F6616" s="5" t="inlineStr">
        <is>
          <t>카페24</t>
        </is>
      </c>
      <c r="G6616" s="94" t="inlineStr">
        <is>
          <t>클렌징폼 120ml 2set</t>
        </is>
      </c>
      <c r="H6616" s="7" t="n">
        <v>190801</v>
      </c>
      <c r="I6616" s="7" t="n">
        <v>190801</v>
      </c>
      <c r="K6616" s="6" t="n">
        <v>1</v>
      </c>
      <c r="L6616" s="92" t="n">
        <v>190801</v>
      </c>
      <c r="M6616" s="94">
        <f>VLOOKUP($Q6616,매칭테이블!$F:$I,2,0)*K6616</f>
        <v/>
      </c>
      <c r="N6616" s="94">
        <f>M6616-M6616*VLOOKUP($Q6616,매칭테이블!$F:$I,3,0)</f>
        <v/>
      </c>
      <c r="O6616" s="94">
        <f>VLOOKUP($Q6616,매칭테이블!$F:$I,4,0)*K6616</f>
        <v/>
      </c>
      <c r="P6616" s="148">
        <f>M6616/1.1</f>
        <v/>
      </c>
      <c r="Q6616" s="94">
        <f>F6616&amp;E6616&amp;G6616&amp;L6616</f>
        <v/>
      </c>
    </row>
    <row r="6617" customFormat="1" s="94">
      <c r="B6617" s="128" t="n">
        <v>43986</v>
      </c>
      <c r="C6617" s="94">
        <f>TEXT(B6617,"aaa")</f>
        <v/>
      </c>
      <c r="E6617" s="94" t="inlineStr">
        <is>
          <t>토너</t>
        </is>
      </c>
      <c r="F6617" s="5" t="inlineStr">
        <is>
          <t>카페24</t>
        </is>
      </c>
      <c r="G6617" s="94" t="inlineStr">
        <is>
          <t>스킨팩 화장솜 60P</t>
        </is>
      </c>
      <c r="H6617" s="7" t="n">
        <v>190801</v>
      </c>
      <c r="I6617" s="7" t="n">
        <v>190801</v>
      </c>
      <c r="K6617" s="6" t="n">
        <v>19</v>
      </c>
      <c r="L6617" s="92" t="n">
        <v>190801</v>
      </c>
      <c r="M6617" s="94">
        <f>VLOOKUP($Q6617,매칭테이블!$F:$I,2,0)*K6617</f>
        <v/>
      </c>
      <c r="N6617" s="94">
        <f>M6617-M6617*VLOOKUP($Q6617,매칭테이블!$F:$I,3,0)</f>
        <v/>
      </c>
      <c r="O6617" s="94">
        <f>VLOOKUP($Q6617,매칭테이블!$F:$I,4,0)*K6617</f>
        <v/>
      </c>
      <c r="P6617" s="148">
        <f>M6617/1.1</f>
        <v/>
      </c>
      <c r="Q6617" s="94">
        <f>F6617&amp;E6617&amp;G6617&amp;L6617</f>
        <v/>
      </c>
    </row>
    <row r="6618" customFormat="1" s="94">
      <c r="B6618" s="128" t="n">
        <v>43986</v>
      </c>
      <c r="C6618" s="94">
        <f>TEXT(B6618,"aaa")</f>
        <v/>
      </c>
      <c r="E6618" s="6" t="inlineStr">
        <is>
          <t>토너</t>
        </is>
      </c>
      <c r="F6618" s="5" t="inlineStr">
        <is>
          <t>큐텐</t>
        </is>
      </c>
      <c r="G6618" s="5" t="inlineStr">
        <is>
          <t>250ml</t>
        </is>
      </c>
      <c r="H6618" s="7" t="n">
        <v>190801</v>
      </c>
      <c r="I6618" s="7" t="n">
        <v>190801</v>
      </c>
      <c r="K6618" s="6" t="n">
        <v>45</v>
      </c>
      <c r="L6618" s="92" t="n">
        <v>190801</v>
      </c>
      <c r="M6618" s="94">
        <f>VLOOKUP($Q6618,매칭테이블!$F:$I,2,0)*K6618</f>
        <v/>
      </c>
      <c r="N6618" s="94">
        <f>M6618-M6618*VLOOKUP($Q6618,매칭테이블!$F:$I,3,0)</f>
        <v/>
      </c>
      <c r="O6618" s="94">
        <f>VLOOKUP($Q6618,매칭테이블!$F:$I,4,0)*K6618</f>
        <v/>
      </c>
      <c r="P6618" s="148">
        <f>M6618/1.1</f>
        <v/>
      </c>
      <c r="Q6618" s="94">
        <f>F6618&amp;E6618&amp;G6618&amp;L6618</f>
        <v/>
      </c>
    </row>
    <row r="6619" customFormat="1" s="94">
      <c r="B6619" s="128" t="n">
        <v>43986</v>
      </c>
      <c r="C6619" s="94">
        <f>TEXT(B6619,"aaa")</f>
        <v/>
      </c>
      <c r="E6619" s="6" t="inlineStr">
        <is>
          <t>토너</t>
        </is>
      </c>
      <c r="F6619" s="5" t="inlineStr">
        <is>
          <t>큐텐</t>
        </is>
      </c>
      <c r="G6619" s="5" t="inlineStr">
        <is>
          <t>250ml 2set</t>
        </is>
      </c>
      <c r="H6619" s="7" t="n">
        <v>190801</v>
      </c>
      <c r="I6619" s="7" t="n">
        <v>190801</v>
      </c>
      <c r="K6619" s="6" t="n">
        <v>52</v>
      </c>
      <c r="L6619" s="94" t="n">
        <v>190801</v>
      </c>
      <c r="M6619" s="94">
        <f>VLOOKUP($Q6619,매칭테이블!$F:$I,2,0)*K6619</f>
        <v/>
      </c>
      <c r="N6619" s="94">
        <f>M6619-M6619*VLOOKUP($Q6619,매칭테이블!$F:$I,3,0)</f>
        <v/>
      </c>
      <c r="O6619" s="94">
        <f>VLOOKUP($Q6619,매칭테이블!$F:$I,4,0)*K6619</f>
        <v/>
      </c>
      <c r="P6619" s="148">
        <f>M6619/1.1</f>
        <v/>
      </c>
      <c r="Q6619" s="94">
        <f>F6619&amp;E6619&amp;G6619&amp;L6619</f>
        <v/>
      </c>
    </row>
    <row r="6620" customFormat="1" s="94">
      <c r="B6620" s="128" t="n">
        <v>43986</v>
      </c>
      <c r="C6620" s="94">
        <f>TEXT(B6620,"aaa")</f>
        <v/>
      </c>
      <c r="E6620" s="94" t="inlineStr">
        <is>
          <t>앰플</t>
        </is>
      </c>
      <c r="F6620" s="5" t="inlineStr">
        <is>
          <t>큐텐</t>
        </is>
      </c>
      <c r="G6620" s="94" t="inlineStr">
        <is>
          <t>앰플 30ml</t>
        </is>
      </c>
      <c r="H6620" s="7" t="n">
        <v>190801</v>
      </c>
      <c r="I6620" s="7" t="n">
        <v>190801</v>
      </c>
      <c r="K6620" s="6" t="n">
        <v>3</v>
      </c>
      <c r="L6620" s="94" t="n">
        <v>190801</v>
      </c>
      <c r="M6620" s="94">
        <f>VLOOKUP($Q6620,매칭테이블!$F:$I,2,0)*K6620</f>
        <v/>
      </c>
      <c r="N6620" s="94">
        <f>M6620-M6620*VLOOKUP($Q6620,매칭테이블!$F:$I,3,0)</f>
        <v/>
      </c>
      <c r="O6620" s="94">
        <f>VLOOKUP($Q6620,매칭테이블!$F:$I,4,0)*K6620</f>
        <v/>
      </c>
      <c r="P6620" s="148">
        <f>M6620/1.1</f>
        <v/>
      </c>
      <c r="Q6620" s="94">
        <f>F6620&amp;E6620&amp;G6620&amp;L6620</f>
        <v/>
      </c>
    </row>
    <row r="6621" customFormat="1" s="94">
      <c r="B6621" s="128" t="n">
        <v>43986</v>
      </c>
      <c r="C6621" s="94">
        <f>TEXT(B6621,"aaa")</f>
        <v/>
      </c>
      <c r="E6621" s="94" t="inlineStr">
        <is>
          <t>마스크팩</t>
        </is>
      </c>
      <c r="F6621" s="5" t="inlineStr">
        <is>
          <t>큐텐</t>
        </is>
      </c>
      <c r="G6621" s="94" t="inlineStr">
        <is>
          <t>마스크팩 10매</t>
        </is>
      </c>
      <c r="H6621" s="7" t="n">
        <v>190801</v>
      </c>
      <c r="I6621" s="7" t="n">
        <v>190801</v>
      </c>
      <c r="K6621" s="6" t="n">
        <v>1</v>
      </c>
      <c r="L6621" s="94" t="n">
        <v>190801</v>
      </c>
      <c r="M6621" s="94">
        <f>VLOOKUP($Q6621,매칭테이블!$F:$I,2,0)*K6621</f>
        <v/>
      </c>
      <c r="N6621" s="94">
        <f>M6621-M6621*VLOOKUP($Q6621,매칭테이블!$F:$I,3,0)</f>
        <v/>
      </c>
      <c r="O6621" s="94">
        <f>VLOOKUP($Q6621,매칭테이블!$F:$I,4,0)*K6621</f>
        <v/>
      </c>
      <c r="P6621" s="148">
        <f>M6621/1.1</f>
        <v/>
      </c>
      <c r="Q6621" s="94">
        <f>F6621&amp;E6621&amp;G6621&amp;L6621</f>
        <v/>
      </c>
    </row>
    <row r="6622">
      <c r="A6622" s="94" t="n"/>
      <c r="B6622" s="128" t="n">
        <v>43986</v>
      </c>
      <c r="C6622" s="94">
        <f>TEXT(B6622,"aaa")</f>
        <v/>
      </c>
      <c r="D6622" s="94" t="n"/>
      <c r="E6622" s="94" t="inlineStr">
        <is>
          <t>머드크림마스크</t>
        </is>
      </c>
      <c r="F6622" s="5" t="inlineStr">
        <is>
          <t>큐텐</t>
        </is>
      </c>
      <c r="G6622" s="94" t="inlineStr">
        <is>
          <t>머드크림마스크 100ml</t>
        </is>
      </c>
      <c r="H6622" s="7" t="n">
        <v>190801</v>
      </c>
      <c r="I6622" s="7" t="n">
        <v>190801</v>
      </c>
      <c r="J6622" s="94" t="n"/>
      <c r="K6622" s="6" t="n">
        <v>3</v>
      </c>
      <c r="L6622" s="94" t="n">
        <v>190801</v>
      </c>
      <c r="M6622" s="94">
        <f>VLOOKUP($Q6622,매칭테이블!$F:$I,2,0)*K6622</f>
        <v/>
      </c>
      <c r="N6622" s="94">
        <f>M6622-M6622*VLOOKUP($Q6622,매칭테이블!$F:$I,3,0)</f>
        <v/>
      </c>
      <c r="O6622" s="94">
        <f>VLOOKUP($Q6622,매칭테이블!$F:$I,4,0)*K6622</f>
        <v/>
      </c>
      <c r="P6622" s="148">
        <f>M6622/1.1</f>
        <v/>
      </c>
      <c r="Q6622" s="94">
        <f>F6622&amp;E6622&amp;G6622&amp;L6622</f>
        <v/>
      </c>
    </row>
    <row r="6623" customFormat="1" s="94">
      <c r="B6623" s="128" t="n">
        <v>43987</v>
      </c>
      <c r="C6623" s="94">
        <f>TEXT(B6623,"aaa")</f>
        <v/>
      </c>
      <c r="E6623" s="6" t="inlineStr">
        <is>
          <t>토너</t>
        </is>
      </c>
      <c r="F6623" s="5" t="inlineStr">
        <is>
          <t>W컨셉</t>
        </is>
      </c>
      <c r="G6623" s="5" t="inlineStr">
        <is>
          <t>250ml 2set</t>
        </is>
      </c>
      <c r="H6623" s="7" t="n">
        <v>190801</v>
      </c>
      <c r="I6623" s="7" t="n">
        <v>190801</v>
      </c>
      <c r="K6623" s="6" t="n">
        <v>3</v>
      </c>
      <c r="L6623" s="7" t="n">
        <v>190801</v>
      </c>
      <c r="M6623" s="94">
        <f>VLOOKUP($Q6623,매칭테이블!$F:$I,2,0)*K6623</f>
        <v/>
      </c>
      <c r="N6623" s="94">
        <f>M6623-M6623*VLOOKUP($Q6623,매칭테이블!$F:$I,3,0)</f>
        <v/>
      </c>
      <c r="O6623" s="94">
        <f>VLOOKUP($Q6623,매칭테이블!$F:$I,4,0)*K6623</f>
        <v/>
      </c>
      <c r="P6623" s="148">
        <f>M6623/1.1</f>
        <v/>
      </c>
      <c r="Q6623" s="94">
        <f>F6623&amp;E6623&amp;G6623&amp;L6623</f>
        <v/>
      </c>
    </row>
    <row r="6624" customFormat="1" s="94">
      <c r="B6624" s="128" t="n">
        <v>43987</v>
      </c>
      <c r="C6624" s="94">
        <f>TEXT(B6624,"aaa")</f>
        <v/>
      </c>
      <c r="E6624" s="94" t="inlineStr">
        <is>
          <t>토너</t>
        </is>
      </c>
      <c r="F6624" s="5" t="inlineStr">
        <is>
          <t>스타일쉐어</t>
        </is>
      </c>
      <c r="G6624" s="94" t="inlineStr">
        <is>
          <t>250ml</t>
        </is>
      </c>
      <c r="H6624" s="7" t="n">
        <v>190801</v>
      </c>
      <c r="I6624" s="7" t="n">
        <v>190801</v>
      </c>
      <c r="K6624" s="6" t="n">
        <v>2</v>
      </c>
      <c r="L6624" s="7" t="n">
        <v>190801</v>
      </c>
      <c r="M6624" s="94">
        <f>VLOOKUP($Q6624,매칭테이블!$F:$I,2,0)*K6624</f>
        <v/>
      </c>
      <c r="N6624" s="94">
        <f>M6624-M6624*VLOOKUP($Q6624,매칭테이블!$F:$I,3,0)</f>
        <v/>
      </c>
      <c r="O6624" s="94">
        <f>VLOOKUP($Q6624,매칭테이블!$F:$I,4,0)*K6624</f>
        <v/>
      </c>
      <c r="P6624" s="148">
        <f>M6624/1.1</f>
        <v/>
      </c>
      <c r="Q6624" s="94">
        <f>F6624&amp;E6624&amp;G6624&amp;L6624</f>
        <v/>
      </c>
    </row>
    <row r="6625" customFormat="1" s="94">
      <c r="B6625" s="128" t="n">
        <v>43987</v>
      </c>
      <c r="C6625" s="94">
        <f>TEXT(B6625,"aaa")</f>
        <v/>
      </c>
      <c r="E6625" s="94" t="inlineStr">
        <is>
          <t>토너</t>
        </is>
      </c>
      <c r="F6625" s="5" t="inlineStr">
        <is>
          <t>아누아 CS</t>
        </is>
      </c>
      <c r="G6625" s="94" t="inlineStr">
        <is>
          <t>250ml</t>
        </is>
      </c>
      <c r="H6625" s="7" t="n">
        <v>190801</v>
      </c>
      <c r="I6625" s="7" t="n">
        <v>190801</v>
      </c>
      <c r="K6625" s="6" t="n">
        <v>206</v>
      </c>
      <c r="L6625" s="7" t="n">
        <v>190801</v>
      </c>
      <c r="M6625" s="94">
        <f>VLOOKUP($Q6625,매칭테이블!$F:$I,2,0)*K6625</f>
        <v/>
      </c>
      <c r="N6625" s="94">
        <f>M6625-M6625*VLOOKUP($Q6625,매칭테이블!$F:$I,3,0)</f>
        <v/>
      </c>
      <c r="O6625" s="94">
        <f>VLOOKUP($Q6625,매칭테이블!$F:$I,4,0)*K6625</f>
        <v/>
      </c>
      <c r="P6625" s="148">
        <f>M6625/1.1</f>
        <v/>
      </c>
      <c r="Q6625" s="94">
        <f>F6625&amp;E6625&amp;G6625&amp;L6625</f>
        <v/>
      </c>
    </row>
    <row r="6626" customFormat="1" s="94">
      <c r="B6626" s="128" t="n">
        <v>43987</v>
      </c>
      <c r="C6626" s="94">
        <f>TEXT(B6626,"aaa")</f>
        <v/>
      </c>
      <c r="E6626" s="94" t="inlineStr">
        <is>
          <t>토너</t>
        </is>
      </c>
      <c r="F6626" s="5" t="inlineStr">
        <is>
          <t>아누아 CS</t>
        </is>
      </c>
      <c r="G6626" s="94" t="inlineStr">
        <is>
          <t>40ml</t>
        </is>
      </c>
      <c r="H6626" s="7" t="n">
        <v>190801</v>
      </c>
      <c r="I6626" s="7" t="n">
        <v>190801</v>
      </c>
      <c r="K6626" s="6" t="n">
        <v>200</v>
      </c>
      <c r="L6626" s="7" t="n">
        <v>190801</v>
      </c>
      <c r="M6626" s="94">
        <f>VLOOKUP($Q6626,매칭테이블!$F:$I,2,0)*K6626</f>
        <v/>
      </c>
      <c r="N6626" s="94">
        <f>M6626-M6626*VLOOKUP($Q6626,매칭테이블!$F:$I,3,0)</f>
        <v/>
      </c>
      <c r="O6626" s="94">
        <f>VLOOKUP($Q6626,매칭테이블!$F:$I,4,0)*K6626</f>
        <v/>
      </c>
      <c r="P6626" s="148">
        <f>M6626/1.1</f>
        <v/>
      </c>
      <c r="Q6626" s="94">
        <f>F6626&amp;E6626&amp;G6626&amp;L6626</f>
        <v/>
      </c>
    </row>
    <row r="6627" customFormat="1" s="94">
      <c r="B6627" s="128" t="n">
        <v>43987</v>
      </c>
      <c r="C6627" s="94">
        <f>TEXT(B6627,"aaa")</f>
        <v/>
      </c>
      <c r="E6627" s="94" t="inlineStr">
        <is>
          <t>선크림</t>
        </is>
      </c>
      <c r="F6627" s="5" t="inlineStr">
        <is>
          <t>아누아 CS</t>
        </is>
      </c>
      <c r="G6627" s="94" t="inlineStr">
        <is>
          <t>선크림 50ml</t>
        </is>
      </c>
      <c r="H6627" s="7" t="n">
        <v>190801</v>
      </c>
      <c r="I6627" s="7" t="n">
        <v>190801</v>
      </c>
      <c r="K6627" s="6" t="n">
        <v>2</v>
      </c>
      <c r="L6627" s="7" t="n">
        <v>190801</v>
      </c>
      <c r="M6627" s="94">
        <f>VLOOKUP($Q6627,매칭테이블!$F:$I,2,0)*K6627</f>
        <v/>
      </c>
      <c r="N6627" s="94">
        <f>M6627-M6627*VLOOKUP($Q6627,매칭테이블!$F:$I,3,0)</f>
        <v/>
      </c>
      <c r="O6627" s="94">
        <f>VLOOKUP($Q6627,매칭테이블!$F:$I,4,0)*K6627</f>
        <v/>
      </c>
      <c r="P6627" s="148">
        <f>M6627/1.1</f>
        <v/>
      </c>
      <c r="Q6627" s="94">
        <f>F6627&amp;E6627&amp;G6627&amp;L6627</f>
        <v/>
      </c>
    </row>
    <row r="6628" customFormat="1" s="94">
      <c r="B6628" s="128" t="n">
        <v>43987</v>
      </c>
      <c r="C6628" s="94">
        <f>TEXT(B6628,"aaa")</f>
        <v/>
      </c>
      <c r="E6628" s="94" t="inlineStr">
        <is>
          <t>앰플</t>
        </is>
      </c>
      <c r="F6628" s="5" t="inlineStr">
        <is>
          <t>아누아 CS</t>
        </is>
      </c>
      <c r="G6628" s="94" t="inlineStr">
        <is>
          <t>앰플 30ml</t>
        </is>
      </c>
      <c r="H6628" s="7" t="n">
        <v>190801</v>
      </c>
      <c r="I6628" s="7" t="n">
        <v>190801</v>
      </c>
      <c r="K6628" s="6" t="n">
        <v>3</v>
      </c>
      <c r="L6628" s="7" t="n">
        <v>190801</v>
      </c>
      <c r="M6628" s="94">
        <f>VLOOKUP($Q6628,매칭테이블!$F:$I,2,0)*K6628</f>
        <v/>
      </c>
      <c r="N6628" s="94">
        <f>M6628-M6628*VLOOKUP($Q6628,매칭테이블!$F:$I,3,0)</f>
        <v/>
      </c>
      <c r="O6628" s="94">
        <f>VLOOKUP($Q6628,매칭테이블!$F:$I,4,0)*K6628</f>
        <v/>
      </c>
      <c r="P6628" s="148">
        <f>M6628/1.1</f>
        <v/>
      </c>
      <c r="Q6628" s="94">
        <f>F6628&amp;E6628&amp;G6628&amp;L6628</f>
        <v/>
      </c>
    </row>
    <row r="6629" customFormat="1" s="94">
      <c r="B6629" s="128" t="n">
        <v>43987</v>
      </c>
      <c r="C6629" s="94">
        <f>TEXT(B6629,"aaa")</f>
        <v/>
      </c>
      <c r="E6629" s="94" t="inlineStr">
        <is>
          <t>화장솜</t>
        </is>
      </c>
      <c r="F6629" s="5" t="inlineStr">
        <is>
          <t>아누아 CS</t>
        </is>
      </c>
      <c r="G6629" s="94" t="inlineStr">
        <is>
          <t>스킨팩 화장솜 60P</t>
        </is>
      </c>
      <c r="H6629" s="7" t="n">
        <v>190801</v>
      </c>
      <c r="I6629" s="7" t="n">
        <v>190801</v>
      </c>
      <c r="K6629" s="6" t="n">
        <v>2</v>
      </c>
      <c r="L6629" s="7" t="n">
        <v>190801</v>
      </c>
      <c r="M6629" s="94">
        <f>VLOOKUP($Q6629,매칭테이블!$F:$I,2,0)*K6629</f>
        <v/>
      </c>
      <c r="N6629" s="94">
        <f>M6629-M6629*VLOOKUP($Q6629,매칭테이블!$F:$I,3,0)</f>
        <v/>
      </c>
      <c r="O6629" s="94">
        <f>VLOOKUP($Q6629,매칭테이블!$F:$I,4,0)*K6629</f>
        <v/>
      </c>
      <c r="P6629" s="148">
        <f>M6629/1.1</f>
        <v/>
      </c>
      <c r="Q6629" s="94">
        <f>F6629&amp;E6629&amp;G6629&amp;L6629</f>
        <v/>
      </c>
    </row>
    <row r="6630" customFormat="1" s="94">
      <c r="B6630" s="128" t="n">
        <v>43987</v>
      </c>
      <c r="C6630" s="94">
        <f>TEXT(B6630,"aaa")</f>
        <v/>
      </c>
      <c r="E6630" s="94" t="inlineStr">
        <is>
          <t>마스크팩</t>
        </is>
      </c>
      <c r="F6630" s="5" t="inlineStr">
        <is>
          <t>아누아 CS</t>
        </is>
      </c>
      <c r="G6630" s="94" t="inlineStr">
        <is>
          <t>마스크팩 10매</t>
        </is>
      </c>
      <c r="H6630" s="7" t="n">
        <v>190801</v>
      </c>
      <c r="I6630" s="7" t="n">
        <v>190801</v>
      </c>
      <c r="K6630" s="6" t="n">
        <v>2</v>
      </c>
      <c r="L6630" s="7" t="n">
        <v>190801</v>
      </c>
      <c r="M6630" s="94">
        <f>VLOOKUP($Q6630,매칭테이블!$F:$I,2,0)*K6630</f>
        <v/>
      </c>
      <c r="N6630" s="94">
        <f>M6630-M6630*VLOOKUP($Q6630,매칭테이블!$F:$I,3,0)</f>
        <v/>
      </c>
      <c r="O6630" s="94">
        <f>VLOOKUP($Q6630,매칭테이블!$F:$I,4,0)*K6630</f>
        <v/>
      </c>
      <c r="P6630" s="148">
        <f>M6630/1.1</f>
        <v/>
      </c>
      <c r="Q6630" s="94">
        <f>F6630&amp;E6630&amp;G6630&amp;L6630</f>
        <v/>
      </c>
    </row>
    <row r="6631" customFormat="1" s="94">
      <c r="B6631" s="128" t="n">
        <v>43987</v>
      </c>
      <c r="C6631" s="94">
        <f>TEXT(B6631,"aaa")</f>
        <v/>
      </c>
      <c r="E6631" s="94" t="inlineStr">
        <is>
          <t>선크림</t>
        </is>
      </c>
      <c r="F6631" s="5" t="inlineStr">
        <is>
          <t>카페24</t>
        </is>
      </c>
      <c r="G6631" s="94" t="inlineStr">
        <is>
          <t>선크림 50ml</t>
        </is>
      </c>
      <c r="H6631" s="7" t="n">
        <v>190801</v>
      </c>
      <c r="I6631" s="7" t="n">
        <v>190801</v>
      </c>
      <c r="K6631" s="6" t="n">
        <v>4</v>
      </c>
      <c r="L6631" s="7" t="n">
        <v>190801</v>
      </c>
      <c r="M6631" s="94">
        <f>VLOOKUP($Q6631,매칭테이블!$F:$I,2,0)*K6631</f>
        <v/>
      </c>
      <c r="N6631" s="94">
        <f>M6631-M6631*VLOOKUP($Q6631,매칭테이블!$F:$I,3,0)</f>
        <v/>
      </c>
      <c r="O6631" s="94">
        <f>VLOOKUP($Q6631,매칭테이블!$F:$I,4,0)*K6631</f>
        <v/>
      </c>
      <c r="P6631" s="148">
        <f>M6631/1.1</f>
        <v/>
      </c>
      <c r="Q6631" s="94">
        <f>F6631&amp;E6631&amp;G6631&amp;L6631</f>
        <v/>
      </c>
    </row>
    <row r="6632" customFormat="1" s="94">
      <c r="B6632" s="128" t="n">
        <v>43987</v>
      </c>
      <c r="C6632" s="94">
        <f>TEXT(B6632,"aaa")</f>
        <v/>
      </c>
      <c r="E6632" s="94" t="inlineStr">
        <is>
          <t>클렌징폼</t>
        </is>
      </c>
      <c r="F6632" s="5" t="inlineStr">
        <is>
          <t>카페24</t>
        </is>
      </c>
      <c r="G6632" s="94" t="inlineStr">
        <is>
          <t>클렌징폼 120ml(선크림할인)</t>
        </is>
      </c>
      <c r="H6632" s="7" t="n">
        <v>190801</v>
      </c>
      <c r="I6632" s="7" t="n">
        <v>190801</v>
      </c>
      <c r="K6632" s="6" t="n">
        <v>1</v>
      </c>
      <c r="L6632" s="92" t="n">
        <v>190801</v>
      </c>
      <c r="M6632" s="94">
        <f>VLOOKUP($Q6632,매칭테이블!$F:$I,2,0)*K6632</f>
        <v/>
      </c>
      <c r="N6632" s="94">
        <f>M6632-M6632*VLOOKUP($Q6632,매칭테이블!$F:$I,3,0)</f>
        <v/>
      </c>
      <c r="O6632" s="94">
        <f>VLOOKUP($Q6632,매칭테이블!$F:$I,4,0)*K6632</f>
        <v/>
      </c>
      <c r="P6632" s="148">
        <f>M6632/1.1</f>
        <v/>
      </c>
      <c r="Q6632" s="94">
        <f>F6632&amp;E6632&amp;G6632&amp;L6632</f>
        <v/>
      </c>
    </row>
    <row r="6633" customFormat="1" s="94">
      <c r="B6633" s="128" t="n">
        <v>43987</v>
      </c>
      <c r="C6633" s="94">
        <f>TEXT(B6633,"aaa")</f>
        <v/>
      </c>
      <c r="E6633" s="94" t="inlineStr">
        <is>
          <t>어성초진정패키지</t>
        </is>
      </c>
      <c r="F6633" s="5" t="inlineStr">
        <is>
          <t>카페24</t>
        </is>
      </c>
      <c r="G6633" s="94" t="inlineStr">
        <is>
          <t>어성초 진정패키지세트</t>
        </is>
      </c>
      <c r="H6633" s="7" t="n">
        <v>190801</v>
      </c>
      <c r="I6633" s="7" t="n">
        <v>190801</v>
      </c>
      <c r="K6633" s="6" t="n">
        <v>3</v>
      </c>
      <c r="L6633" s="94" t="n">
        <v>190801</v>
      </c>
      <c r="M6633" s="94">
        <f>VLOOKUP($Q6633,매칭테이블!$F:$I,2,0)*K6633</f>
        <v/>
      </c>
      <c r="N6633" s="94">
        <f>M6633-M6633*VLOOKUP($Q6633,매칭테이블!$F:$I,3,0)</f>
        <v/>
      </c>
      <c r="O6633" s="94">
        <f>VLOOKUP($Q6633,매칭테이블!$F:$I,4,0)*K6633</f>
        <v/>
      </c>
      <c r="P6633" s="148">
        <f>M6633/1.1</f>
        <v/>
      </c>
      <c r="Q6633" s="94">
        <f>F6633&amp;E6633&amp;G6633&amp;L6633</f>
        <v/>
      </c>
    </row>
    <row r="6634" customFormat="1" s="94">
      <c r="B6634" s="128" t="n">
        <v>43987</v>
      </c>
      <c r="C6634" s="94">
        <f>TEXT(B6634,"aaa")</f>
        <v/>
      </c>
      <c r="E6634" s="6" t="inlineStr">
        <is>
          <t>토너</t>
        </is>
      </c>
      <c r="F6634" s="5" t="inlineStr">
        <is>
          <t>카페24</t>
        </is>
      </c>
      <c r="G6634" s="5" t="inlineStr">
        <is>
          <t>500ml</t>
        </is>
      </c>
      <c r="H6634" s="7" t="n">
        <v>190801</v>
      </c>
      <c r="I6634" s="7" t="n">
        <v>190801</v>
      </c>
      <c r="K6634" s="6" t="n">
        <v>20</v>
      </c>
      <c r="L6634" s="7" t="n">
        <v>190801</v>
      </c>
      <c r="M6634" s="94">
        <f>VLOOKUP($Q6634,매칭테이블!$F:$I,2,0)*K6634</f>
        <v/>
      </c>
      <c r="N6634" s="94">
        <f>M6634-M6634*VLOOKUP($Q6634,매칭테이블!$F:$I,3,0)</f>
        <v/>
      </c>
      <c r="O6634" s="94">
        <f>VLOOKUP($Q6634,매칭테이블!$F:$I,4,0)*K6634</f>
        <v/>
      </c>
      <c r="P6634" s="148">
        <f>M6634/1.1</f>
        <v/>
      </c>
      <c r="Q6634" s="94">
        <f>F6634&amp;E6634&amp;G6634&amp;L6634</f>
        <v/>
      </c>
    </row>
    <row r="6635" customFormat="1" s="94">
      <c r="B6635" s="128" t="n">
        <v>43987</v>
      </c>
      <c r="C6635" s="94">
        <f>TEXT(B6635,"aaa")</f>
        <v/>
      </c>
      <c r="E6635" s="94" t="inlineStr">
        <is>
          <t>머드크림마스크</t>
        </is>
      </c>
      <c r="F6635" s="5" t="inlineStr">
        <is>
          <t>카페24</t>
        </is>
      </c>
      <c r="G6635" s="94" t="inlineStr">
        <is>
          <t>머드크림마스크 100ml 2set</t>
        </is>
      </c>
      <c r="H6635" s="7" t="n">
        <v>190801</v>
      </c>
      <c r="I6635" s="7" t="n">
        <v>190801</v>
      </c>
      <c r="K6635" s="6" t="n">
        <v>1</v>
      </c>
      <c r="L6635" s="94" t="n">
        <v>190801</v>
      </c>
      <c r="M6635" s="94">
        <f>VLOOKUP($Q6635,매칭테이블!$F:$I,2,0)*K6635</f>
        <v/>
      </c>
      <c r="N6635" s="94">
        <f>M6635-M6635*VLOOKUP($Q6635,매칭테이블!$F:$I,3,0)</f>
        <v/>
      </c>
      <c r="O6635" s="94">
        <f>VLOOKUP($Q6635,매칭테이블!$F:$I,4,0)*K6635</f>
        <v/>
      </c>
      <c r="P6635" s="148">
        <f>M6635/1.1</f>
        <v/>
      </c>
      <c r="Q6635" s="94">
        <f>F6635&amp;E6635&amp;G6635&amp;L6635</f>
        <v/>
      </c>
    </row>
    <row r="6636" customFormat="1" s="94">
      <c r="B6636" s="128" t="n">
        <v>43987</v>
      </c>
      <c r="C6636" s="94">
        <f>TEXT(B6636,"aaa")</f>
        <v/>
      </c>
      <c r="E6636" s="94" t="inlineStr">
        <is>
          <t>마스크팩</t>
        </is>
      </c>
      <c r="F6636" s="5" t="inlineStr">
        <is>
          <t>카페24</t>
        </is>
      </c>
      <c r="G6636" s="94" t="inlineStr">
        <is>
          <t>마스크팩 10매</t>
        </is>
      </c>
      <c r="H6636" s="7" t="n">
        <v>190801</v>
      </c>
      <c r="I6636" s="7" t="n">
        <v>190801</v>
      </c>
      <c r="K6636" s="6" t="n">
        <v>2</v>
      </c>
      <c r="L6636" s="94" t="n">
        <v>190801</v>
      </c>
      <c r="M6636" s="94">
        <f>VLOOKUP($Q6636,매칭테이블!$F:$I,2,0)*K6636</f>
        <v/>
      </c>
      <c r="N6636" s="94">
        <f>M6636-M6636*VLOOKUP($Q6636,매칭테이블!$F:$I,3,0)</f>
        <v/>
      </c>
      <c r="O6636" s="94">
        <f>VLOOKUP($Q6636,매칭테이블!$F:$I,4,0)*K6636</f>
        <v/>
      </c>
      <c r="P6636" s="148">
        <f>M6636/1.1</f>
        <v/>
      </c>
      <c r="Q6636" s="94">
        <f>F6636&amp;E6636&amp;G6636&amp;L6636</f>
        <v/>
      </c>
    </row>
    <row r="6637" customFormat="1" s="94">
      <c r="B6637" s="128" t="n">
        <v>43987</v>
      </c>
      <c r="C6637" s="94">
        <f>TEXT(B6637,"aaa")</f>
        <v/>
      </c>
      <c r="E6637" s="6" t="inlineStr">
        <is>
          <t>토너</t>
        </is>
      </c>
      <c r="F6637" s="5" t="inlineStr">
        <is>
          <t>카페24</t>
        </is>
      </c>
      <c r="G6637" s="5" t="inlineStr">
        <is>
          <t>250ml</t>
        </is>
      </c>
      <c r="H6637" s="7" t="n">
        <v>190801</v>
      </c>
      <c r="I6637" s="7" t="n">
        <v>190801</v>
      </c>
      <c r="K6637" s="6" t="n">
        <v>45</v>
      </c>
      <c r="L6637" s="7" t="n">
        <v>190801</v>
      </c>
      <c r="M6637" s="94">
        <f>VLOOKUP($Q6637,매칭테이블!$F:$I,2,0)*K6637</f>
        <v/>
      </c>
      <c r="N6637" s="94">
        <f>M6637-M6637*VLOOKUP($Q6637,매칭테이블!$F:$I,3,0)</f>
        <v/>
      </c>
      <c r="O6637" s="94">
        <f>VLOOKUP($Q6637,매칭테이블!$F:$I,4,0)*K6637</f>
        <v/>
      </c>
      <c r="P6637" s="148">
        <f>M6637/1.1</f>
        <v/>
      </c>
      <c r="Q6637" s="94">
        <f>F6637&amp;E6637&amp;G6637&amp;L6637</f>
        <v/>
      </c>
    </row>
    <row r="6638" customFormat="1" s="94">
      <c r="B6638" s="128" t="n">
        <v>43987</v>
      </c>
      <c r="C6638" s="94">
        <f>TEXT(B6638,"aaa")</f>
        <v/>
      </c>
      <c r="E6638" s="6" t="inlineStr">
        <is>
          <t>토너</t>
        </is>
      </c>
      <c r="F6638" s="5" t="inlineStr">
        <is>
          <t>카페24</t>
        </is>
      </c>
      <c r="G6638" s="5" t="inlineStr">
        <is>
          <t>250ml 2set</t>
        </is>
      </c>
      <c r="H6638" s="7" t="n">
        <v>190801</v>
      </c>
      <c r="I6638" s="7" t="n">
        <v>190801</v>
      </c>
      <c r="K6638" s="6" t="n">
        <v>40</v>
      </c>
      <c r="L6638" s="7" t="n">
        <v>190801</v>
      </c>
      <c r="M6638" s="94">
        <f>VLOOKUP($Q6638,매칭테이블!$F:$I,2,0)*K6638</f>
        <v/>
      </c>
      <c r="N6638" s="94">
        <f>M6638-M6638*VLOOKUP($Q6638,매칭테이블!$F:$I,3,0)</f>
        <v/>
      </c>
      <c r="O6638" s="94">
        <f>VLOOKUP($Q6638,매칭테이블!$F:$I,4,0)*K6638</f>
        <v/>
      </c>
      <c r="P6638" s="148">
        <f>M6638/1.1</f>
        <v/>
      </c>
      <c r="Q6638" s="94">
        <f>F6638&amp;E6638&amp;G6638&amp;L6638</f>
        <v/>
      </c>
    </row>
    <row r="6639" customFormat="1" s="94">
      <c r="B6639" s="128" t="n">
        <v>43987</v>
      </c>
      <c r="C6639" s="94">
        <f>TEXT(B6639,"aaa")</f>
        <v/>
      </c>
      <c r="E6639" s="6" t="inlineStr">
        <is>
          <t>토너</t>
        </is>
      </c>
      <c r="F6639" s="5" t="inlineStr">
        <is>
          <t>카페24</t>
        </is>
      </c>
      <c r="G6639" s="94" t="inlineStr">
        <is>
          <t>스킨팩 화장솜 60P</t>
        </is>
      </c>
      <c r="H6639" s="7" t="n">
        <v>190801</v>
      </c>
      <c r="I6639" s="7" t="n">
        <v>190801</v>
      </c>
      <c r="K6639" s="6" t="n">
        <v>34</v>
      </c>
      <c r="L6639" s="7" t="n">
        <v>190801</v>
      </c>
      <c r="M6639" s="94">
        <f>VLOOKUP($Q6639,매칭테이블!$F:$I,2,0)*K6639</f>
        <v/>
      </c>
      <c r="N6639" s="94">
        <f>M6639-M6639*VLOOKUP($Q6639,매칭테이블!$F:$I,3,0)</f>
        <v/>
      </c>
      <c r="O6639" s="94">
        <f>VLOOKUP($Q6639,매칭테이블!$F:$I,4,0)*K6639</f>
        <v/>
      </c>
      <c r="P6639" s="148">
        <f>M6639/1.1</f>
        <v/>
      </c>
      <c r="Q6639" s="94">
        <f>F6639&amp;E6639&amp;G6639&amp;L6639</f>
        <v/>
      </c>
    </row>
    <row r="6640" customFormat="1" s="94">
      <c r="B6640" s="128" t="n">
        <v>43987</v>
      </c>
      <c r="C6640" s="94">
        <f>TEXT(B6640,"aaa")</f>
        <v/>
      </c>
      <c r="E6640" s="94" t="inlineStr">
        <is>
          <t>수딩크림</t>
        </is>
      </c>
      <c r="F6640" s="5" t="inlineStr">
        <is>
          <t>카페24</t>
        </is>
      </c>
      <c r="G6640" s="94" t="inlineStr">
        <is>
          <t>수딩크림 100ml</t>
        </is>
      </c>
      <c r="H6640" s="7" t="n">
        <v>190801</v>
      </c>
      <c r="I6640" s="7" t="n">
        <v>190801</v>
      </c>
      <c r="K6640" s="6" t="n">
        <v>1</v>
      </c>
      <c r="L6640" s="94" t="n">
        <v>190801</v>
      </c>
      <c r="M6640" s="94">
        <f>VLOOKUP($Q6640,매칭테이블!$F:$I,2,0)*K6640</f>
        <v/>
      </c>
      <c r="N6640" s="94">
        <f>M6640-M6640*VLOOKUP($Q6640,매칭테이블!$F:$I,3,0)</f>
        <v/>
      </c>
      <c r="O6640" s="94">
        <f>VLOOKUP($Q6640,매칭테이블!$F:$I,4,0)*K6640</f>
        <v/>
      </c>
      <c r="P6640" s="148">
        <f>M6640/1.1</f>
        <v/>
      </c>
      <c r="Q6640" s="94">
        <f>F6640&amp;E6640&amp;G6640&amp;L6640</f>
        <v/>
      </c>
    </row>
    <row r="6641" customFormat="1" s="94">
      <c r="B6641" s="128" t="n">
        <v>43987</v>
      </c>
      <c r="C6641" s="94">
        <f>TEXT(B6641,"aaa")</f>
        <v/>
      </c>
      <c r="E6641" s="94" t="inlineStr">
        <is>
          <t>앰플</t>
        </is>
      </c>
      <c r="F6641" s="5" t="inlineStr">
        <is>
          <t>카페24</t>
        </is>
      </c>
      <c r="G6641" s="94" t="inlineStr">
        <is>
          <t>앰플 30ml</t>
        </is>
      </c>
      <c r="H6641" s="7" t="n">
        <v>190801</v>
      </c>
      <c r="I6641" s="7" t="n">
        <v>190801</v>
      </c>
      <c r="K6641" s="6" t="n">
        <v>2</v>
      </c>
      <c r="L6641" s="94" t="n">
        <v>190801</v>
      </c>
      <c r="M6641" s="94">
        <f>VLOOKUP($Q6641,매칭테이블!$F:$I,2,0)*K6641</f>
        <v/>
      </c>
      <c r="N6641" s="94">
        <f>M6641-M6641*VLOOKUP($Q6641,매칭테이블!$F:$I,3,0)</f>
        <v/>
      </c>
      <c r="O6641" s="94">
        <f>VLOOKUP($Q6641,매칭테이블!$F:$I,4,0)*K6641</f>
        <v/>
      </c>
      <c r="P6641" s="148">
        <f>M6641/1.1</f>
        <v/>
      </c>
      <c r="Q6641" s="94">
        <f>F6641&amp;E6641&amp;G6641&amp;L6641</f>
        <v/>
      </c>
    </row>
    <row r="6642" customFormat="1" s="94">
      <c r="B6642" s="128" t="n">
        <v>43987</v>
      </c>
      <c r="C6642" s="94">
        <f>TEXT(B6642,"aaa")</f>
        <v/>
      </c>
      <c r="E6642" s="94" t="inlineStr">
        <is>
          <t>앰플</t>
        </is>
      </c>
      <c r="F6642" s="5" t="inlineStr">
        <is>
          <t>카페24</t>
        </is>
      </c>
      <c r="G6642" s="94" t="inlineStr">
        <is>
          <t>앰플 30ml</t>
        </is>
      </c>
      <c r="H6642" s="7" t="n">
        <v>190801</v>
      </c>
      <c r="I6642" s="7" t="n">
        <v>190801</v>
      </c>
      <c r="K6642" s="6" t="n">
        <v>7</v>
      </c>
      <c r="L6642" s="94" t="n">
        <v>190801</v>
      </c>
      <c r="M6642" s="94">
        <f>VLOOKUP($Q6642,매칭테이블!$F:$I,2,0)*K6642</f>
        <v/>
      </c>
      <c r="N6642" s="94">
        <f>M6642-M6642*VLOOKUP($Q6642,매칭테이블!$F:$I,3,0)</f>
        <v/>
      </c>
      <c r="O6642" s="94">
        <f>VLOOKUP($Q6642,매칭테이블!$F:$I,4,0)*K6642</f>
        <v/>
      </c>
      <c r="P6642" s="148">
        <f>M6642/1.1</f>
        <v/>
      </c>
      <c r="Q6642" s="94">
        <f>F6642&amp;E6642&amp;G6642&amp;L6642</f>
        <v/>
      </c>
    </row>
    <row r="6643" customFormat="1" s="94">
      <c r="B6643" s="128" t="n">
        <v>43987</v>
      </c>
      <c r="C6643" s="94">
        <f>TEXT(B6643,"aaa")</f>
        <v/>
      </c>
      <c r="E6643" s="94" t="inlineStr">
        <is>
          <t>클렌징폼</t>
        </is>
      </c>
      <c r="F6643" s="5" t="inlineStr">
        <is>
          <t>카페24</t>
        </is>
      </c>
      <c r="G6643" s="94" t="inlineStr">
        <is>
          <t>클렌징폼 120ml</t>
        </is>
      </c>
      <c r="H6643" s="7" t="n">
        <v>190801</v>
      </c>
      <c r="I6643" s="7" t="n">
        <v>190801</v>
      </c>
      <c r="K6643" s="6" t="n">
        <v>3</v>
      </c>
      <c r="L6643" s="92" t="n">
        <v>190801</v>
      </c>
      <c r="M6643" s="94">
        <f>VLOOKUP($Q6643,매칭테이블!$F:$I,2,0)*K6643</f>
        <v/>
      </c>
      <c r="N6643" s="94">
        <f>M6643-M6643*VLOOKUP($Q6643,매칭테이블!$F:$I,3,0)</f>
        <v/>
      </c>
      <c r="O6643" s="94">
        <f>VLOOKUP($Q6643,매칭테이블!$F:$I,4,0)*K6643</f>
        <v/>
      </c>
      <c r="P6643" s="148">
        <f>M6643/1.1</f>
        <v/>
      </c>
      <c r="Q6643" s="94">
        <f>F6643&amp;E6643&amp;G6643&amp;L6643</f>
        <v/>
      </c>
    </row>
    <row r="6644" customFormat="1" s="94">
      <c r="B6644" s="128" t="n">
        <v>43987</v>
      </c>
      <c r="C6644" s="94">
        <f>TEXT(B6644,"aaa")</f>
        <v/>
      </c>
      <c r="E6644" s="94" t="inlineStr">
        <is>
          <t>토너</t>
        </is>
      </c>
      <c r="F6644" s="5" t="inlineStr">
        <is>
          <t>카페24</t>
        </is>
      </c>
      <c r="G6644" s="94" t="inlineStr">
        <is>
          <t>스킨팩 화장솜 60P</t>
        </is>
      </c>
      <c r="H6644" s="7" t="n">
        <v>190801</v>
      </c>
      <c r="I6644" s="7" t="n">
        <v>190801</v>
      </c>
      <c r="K6644" s="6" t="n">
        <v>4</v>
      </c>
      <c r="L6644" s="92" t="n">
        <v>190801</v>
      </c>
      <c r="M6644" s="94">
        <f>VLOOKUP($Q6644,매칭테이블!$F:$I,2,0)*K6644</f>
        <v/>
      </c>
      <c r="N6644" s="94">
        <f>M6644-M6644*VLOOKUP($Q6644,매칭테이블!$F:$I,3,0)</f>
        <v/>
      </c>
      <c r="O6644" s="94">
        <f>VLOOKUP($Q6644,매칭테이블!$F:$I,4,0)*K6644</f>
        <v/>
      </c>
      <c r="P6644" s="148">
        <f>M6644/1.1</f>
        <v/>
      </c>
      <c r="Q6644" s="94">
        <f>F6644&amp;E6644&amp;G6644&amp;L6644</f>
        <v/>
      </c>
    </row>
    <row r="6645" customFormat="1" s="94">
      <c r="B6645" s="128" t="n">
        <v>43987</v>
      </c>
      <c r="C6645" s="94">
        <f>TEXT(B6645,"aaa")</f>
        <v/>
      </c>
      <c r="E6645" s="6" t="inlineStr">
        <is>
          <t>토너</t>
        </is>
      </c>
      <c r="F6645" s="5" t="inlineStr">
        <is>
          <t>큐텐</t>
        </is>
      </c>
      <c r="G6645" s="5" t="inlineStr">
        <is>
          <t>250ml</t>
        </is>
      </c>
      <c r="H6645" s="7" t="n">
        <v>190801</v>
      </c>
      <c r="I6645" s="7" t="n">
        <v>190801</v>
      </c>
      <c r="K6645" s="6" t="n">
        <v>40</v>
      </c>
      <c r="L6645" s="92" t="n">
        <v>190801</v>
      </c>
      <c r="M6645" s="94">
        <f>VLOOKUP($Q6645,매칭테이블!$F:$I,2,0)*K6645</f>
        <v/>
      </c>
      <c r="N6645" s="94">
        <f>M6645-M6645*VLOOKUP($Q6645,매칭테이블!$F:$I,3,0)</f>
        <v/>
      </c>
      <c r="O6645" s="94">
        <f>VLOOKUP($Q6645,매칭테이블!$F:$I,4,0)*K6645</f>
        <v/>
      </c>
      <c r="P6645" s="148">
        <f>M6645/1.1</f>
        <v/>
      </c>
      <c r="Q6645" s="94">
        <f>F6645&amp;E6645&amp;G6645&amp;L6645</f>
        <v/>
      </c>
    </row>
    <row r="6646" customFormat="1" s="94">
      <c r="B6646" s="128" t="n">
        <v>43987</v>
      </c>
      <c r="C6646" s="94">
        <f>TEXT(B6646,"aaa")</f>
        <v/>
      </c>
      <c r="E6646" s="6" t="inlineStr">
        <is>
          <t>토너</t>
        </is>
      </c>
      <c r="F6646" s="5" t="inlineStr">
        <is>
          <t>큐텐</t>
        </is>
      </c>
      <c r="G6646" s="5" t="inlineStr">
        <is>
          <t>250ml 2set</t>
        </is>
      </c>
      <c r="H6646" s="7" t="n">
        <v>190801</v>
      </c>
      <c r="I6646" s="7" t="n">
        <v>190801</v>
      </c>
      <c r="K6646" s="6" t="n">
        <v>31</v>
      </c>
      <c r="L6646" s="92" t="n">
        <v>190801</v>
      </c>
      <c r="M6646" s="94">
        <f>VLOOKUP($Q6646,매칭테이블!$F:$I,2,0)*K6646</f>
        <v/>
      </c>
      <c r="N6646" s="94">
        <f>M6646-M6646*VLOOKUP($Q6646,매칭테이블!$F:$I,3,0)</f>
        <v/>
      </c>
      <c r="O6646" s="94">
        <f>VLOOKUP($Q6646,매칭테이블!$F:$I,4,0)*K6646</f>
        <v/>
      </c>
      <c r="P6646" s="148">
        <f>M6646/1.1</f>
        <v/>
      </c>
      <c r="Q6646" s="94">
        <f>F6646&amp;E6646&amp;G6646&amp;L6646</f>
        <v/>
      </c>
    </row>
    <row r="6647" customFormat="1" s="94">
      <c r="B6647" s="128" t="n">
        <v>43987</v>
      </c>
      <c r="C6647" s="94">
        <f>TEXT(B6647,"aaa")</f>
        <v/>
      </c>
      <c r="E6647" s="94" t="inlineStr">
        <is>
          <t>앰플</t>
        </is>
      </c>
      <c r="F6647" s="5" t="inlineStr">
        <is>
          <t>큐텐</t>
        </is>
      </c>
      <c r="G6647" s="94" t="inlineStr">
        <is>
          <t>앰플 30ml</t>
        </is>
      </c>
      <c r="H6647" s="7" t="n">
        <v>190801</v>
      </c>
      <c r="I6647" s="7" t="n">
        <v>190801</v>
      </c>
      <c r="K6647" s="6" t="n">
        <v>5</v>
      </c>
      <c r="L6647" s="94" t="n">
        <v>190801</v>
      </c>
      <c r="M6647" s="94">
        <f>VLOOKUP($Q6647,매칭테이블!$F:$I,2,0)*K6647</f>
        <v/>
      </c>
      <c r="N6647" s="94">
        <f>M6647-M6647*VLOOKUP($Q6647,매칭테이블!$F:$I,3,0)</f>
        <v/>
      </c>
      <c r="O6647" s="94">
        <f>VLOOKUP($Q6647,매칭테이블!$F:$I,4,0)*K6647</f>
        <v/>
      </c>
      <c r="P6647" s="148">
        <f>M6647/1.1</f>
        <v/>
      </c>
      <c r="Q6647" s="94">
        <f>F6647&amp;E6647&amp;G6647&amp;L6647</f>
        <v/>
      </c>
    </row>
    <row r="6648" customFormat="1" s="94">
      <c r="B6648" s="128" t="n">
        <v>43987</v>
      </c>
      <c r="C6648" s="94">
        <f>TEXT(B6648,"aaa")</f>
        <v/>
      </c>
      <c r="E6648" s="94" t="inlineStr">
        <is>
          <t>마스크팩</t>
        </is>
      </c>
      <c r="F6648" s="5" t="inlineStr">
        <is>
          <t>큐텐</t>
        </is>
      </c>
      <c r="G6648" s="94" t="inlineStr">
        <is>
          <t>마스크팩 10매</t>
        </is>
      </c>
      <c r="H6648" s="7" t="n">
        <v>190801</v>
      </c>
      <c r="I6648" s="7" t="n">
        <v>190801</v>
      </c>
      <c r="K6648" s="6" t="n">
        <v>1</v>
      </c>
      <c r="L6648" s="94" t="n">
        <v>190801</v>
      </c>
      <c r="M6648" s="94">
        <f>VLOOKUP($Q6648,매칭테이블!$F:$I,2,0)*K6648</f>
        <v/>
      </c>
      <c r="N6648" s="94">
        <f>M6648-M6648*VLOOKUP($Q6648,매칭테이블!$F:$I,3,0)</f>
        <v/>
      </c>
      <c r="O6648" s="94">
        <f>VLOOKUP($Q6648,매칭테이블!$F:$I,4,0)*K6648</f>
        <v/>
      </c>
      <c r="P6648" s="148">
        <f>M6648/1.1</f>
        <v/>
      </c>
      <c r="Q6648" s="94">
        <f>F6648&amp;E6648&amp;G6648&amp;L6648</f>
        <v/>
      </c>
    </row>
    <row r="6649" customFormat="1" s="94">
      <c r="B6649" s="128" t="n">
        <v>43987</v>
      </c>
      <c r="C6649" s="94">
        <f>TEXT(B6649,"aaa")</f>
        <v/>
      </c>
      <c r="E6649" s="94" t="inlineStr">
        <is>
          <t>클렌징폼</t>
        </is>
      </c>
      <c r="F6649" s="5" t="inlineStr">
        <is>
          <t>큐텐</t>
        </is>
      </c>
      <c r="G6649" s="94" t="inlineStr">
        <is>
          <t>클렌징폼 120ml</t>
        </is>
      </c>
      <c r="H6649" s="7" t="n">
        <v>190801</v>
      </c>
      <c r="I6649" s="7" t="n">
        <v>190801</v>
      </c>
      <c r="K6649" s="6" t="n">
        <v>2</v>
      </c>
      <c r="L6649" s="92" t="n">
        <v>190801</v>
      </c>
      <c r="M6649" s="94">
        <f>VLOOKUP($Q6649,매칭테이블!$F:$I,2,0)*K6649</f>
        <v/>
      </c>
      <c r="N6649" s="94">
        <f>M6649-M6649*VLOOKUP($Q6649,매칭테이블!$F:$I,3,0)</f>
        <v/>
      </c>
      <c r="O6649" s="94">
        <f>VLOOKUP($Q6649,매칭테이블!$F:$I,4,0)*K6649</f>
        <v/>
      </c>
      <c r="P6649" s="148">
        <f>M6649/1.1</f>
        <v/>
      </c>
      <c r="Q6649" s="94">
        <f>F6649&amp;E6649&amp;G6649&amp;L6649</f>
        <v/>
      </c>
    </row>
    <row r="6650" customFormat="1" s="94">
      <c r="B6650" s="128" t="n">
        <v>43988</v>
      </c>
      <c r="C6650" s="94">
        <f>TEXT(B6650,"aaa")</f>
        <v/>
      </c>
      <c r="E6650" s="94" t="inlineStr">
        <is>
          <t>토너</t>
        </is>
      </c>
      <c r="F6650" s="5" t="inlineStr">
        <is>
          <t>스타일쉐어</t>
        </is>
      </c>
      <c r="G6650" s="94" t="inlineStr">
        <is>
          <t>250ml</t>
        </is>
      </c>
      <c r="H6650" s="7" t="n">
        <v>190801</v>
      </c>
      <c r="I6650" s="7" t="n">
        <v>190801</v>
      </c>
      <c r="K6650" s="6" t="n">
        <v>10</v>
      </c>
      <c r="L6650" s="7" t="n">
        <v>190801</v>
      </c>
      <c r="M6650" s="94">
        <f>VLOOKUP($Q6650,매칭테이블!$F:$I,2,0)*K6650</f>
        <v/>
      </c>
      <c r="N6650" s="94">
        <f>M6650-M6650*VLOOKUP($Q6650,매칭테이블!$F:$I,3,0)</f>
        <v/>
      </c>
      <c r="O6650" s="94">
        <f>VLOOKUP($Q6650,매칭테이블!$F:$I,4,0)*K6650</f>
        <v/>
      </c>
      <c r="P6650" s="148">
        <f>M6650/1.1</f>
        <v/>
      </c>
      <c r="Q6650" s="94">
        <f>F6650&amp;E6650&amp;G6650&amp;L6650</f>
        <v/>
      </c>
    </row>
    <row r="6651" customFormat="1" s="94">
      <c r="B6651" s="128" t="n">
        <v>43988</v>
      </c>
      <c r="C6651" s="94">
        <f>TEXT(B6651,"aaa")</f>
        <v/>
      </c>
      <c r="E6651" s="94" t="inlineStr">
        <is>
          <t>선크림</t>
        </is>
      </c>
      <c r="F6651" s="5" t="inlineStr">
        <is>
          <t>카페24</t>
        </is>
      </c>
      <c r="G6651" s="94" t="inlineStr">
        <is>
          <t>선크림 50ml</t>
        </is>
      </c>
      <c r="H6651" s="7" t="n">
        <v>190801</v>
      </c>
      <c r="I6651" s="7" t="n">
        <v>190801</v>
      </c>
      <c r="K6651" s="6" t="n">
        <v>11</v>
      </c>
      <c r="L6651" s="7" t="n">
        <v>190801</v>
      </c>
      <c r="M6651" s="94">
        <f>VLOOKUP($Q6651,매칭테이블!$F:$I,2,0)*K6651</f>
        <v/>
      </c>
      <c r="N6651" s="94">
        <f>M6651-M6651*VLOOKUP($Q6651,매칭테이블!$F:$I,3,0)</f>
        <v/>
      </c>
      <c r="O6651" s="94">
        <f>VLOOKUP($Q6651,매칭테이블!$F:$I,4,0)*K6651</f>
        <v/>
      </c>
      <c r="P6651" s="148">
        <f>M6651/1.1</f>
        <v/>
      </c>
      <c r="Q6651" s="94">
        <f>F6651&amp;E6651&amp;G6651&amp;L6651</f>
        <v/>
      </c>
    </row>
    <row r="6652" customFormat="1" s="94">
      <c r="B6652" s="128" t="n">
        <v>43988</v>
      </c>
      <c r="C6652" s="94">
        <f>TEXT(B6652,"aaa")</f>
        <v/>
      </c>
      <c r="E6652" s="94" t="inlineStr">
        <is>
          <t>클렌징폼</t>
        </is>
      </c>
      <c r="F6652" s="5" t="inlineStr">
        <is>
          <t>카페24</t>
        </is>
      </c>
      <c r="G6652" s="94" t="inlineStr">
        <is>
          <t>클렌징폼 120ml(선크림할인)</t>
        </is>
      </c>
      <c r="H6652" s="7" t="n">
        <v>190801</v>
      </c>
      <c r="I6652" s="7" t="n">
        <v>190801</v>
      </c>
      <c r="K6652" s="6" t="n">
        <v>5</v>
      </c>
      <c r="L6652" s="92" t="n">
        <v>190801</v>
      </c>
      <c r="M6652" s="94">
        <f>VLOOKUP($Q6652,매칭테이블!$F:$I,2,0)*K6652</f>
        <v/>
      </c>
      <c r="N6652" s="94">
        <f>M6652-M6652*VLOOKUP($Q6652,매칭테이블!$F:$I,3,0)</f>
        <v/>
      </c>
      <c r="O6652" s="94">
        <f>VLOOKUP($Q6652,매칭테이블!$F:$I,4,0)*K6652</f>
        <v/>
      </c>
      <c r="P6652" s="148">
        <f>M6652/1.1</f>
        <v/>
      </c>
      <c r="Q6652" s="94">
        <f>F6652&amp;E6652&amp;G6652&amp;L6652</f>
        <v/>
      </c>
    </row>
    <row r="6653" customFormat="1" s="94">
      <c r="B6653" s="128" t="n">
        <v>43988</v>
      </c>
      <c r="C6653" s="94">
        <f>TEXT(B6653,"aaa")</f>
        <v/>
      </c>
      <c r="E6653" s="94" t="inlineStr">
        <is>
          <t>어성초진정패키지</t>
        </is>
      </c>
      <c r="F6653" s="5" t="inlineStr">
        <is>
          <t>카페24</t>
        </is>
      </c>
      <c r="G6653" s="94" t="inlineStr">
        <is>
          <t>어성초 진정패키지세트</t>
        </is>
      </c>
      <c r="H6653" s="7" t="n">
        <v>190801</v>
      </c>
      <c r="I6653" s="7" t="n">
        <v>190801</v>
      </c>
      <c r="K6653" s="6" t="n">
        <v>4</v>
      </c>
      <c r="L6653" s="94" t="n">
        <v>190801</v>
      </c>
      <c r="M6653" s="94">
        <f>VLOOKUP($Q6653,매칭테이블!$F:$I,2,0)*K6653</f>
        <v/>
      </c>
      <c r="N6653" s="94">
        <f>M6653-M6653*VLOOKUP($Q6653,매칭테이블!$F:$I,3,0)</f>
        <v/>
      </c>
      <c r="O6653" s="94">
        <f>VLOOKUP($Q6653,매칭테이블!$F:$I,4,0)*K6653</f>
        <v/>
      </c>
      <c r="P6653" s="148">
        <f>M6653/1.1</f>
        <v/>
      </c>
      <c r="Q6653" s="94">
        <f>F6653&amp;E6653&amp;G6653&amp;L6653</f>
        <v/>
      </c>
    </row>
    <row r="6654" customFormat="1" s="94">
      <c r="B6654" s="128" t="n">
        <v>43988</v>
      </c>
      <c r="C6654" s="94">
        <f>TEXT(B6654,"aaa")</f>
        <v/>
      </c>
      <c r="E6654" s="6" t="inlineStr">
        <is>
          <t>토너</t>
        </is>
      </c>
      <c r="F6654" s="5" t="inlineStr">
        <is>
          <t>카페24</t>
        </is>
      </c>
      <c r="G6654" s="5" t="inlineStr">
        <is>
          <t>500ml</t>
        </is>
      </c>
      <c r="H6654" s="7" t="n">
        <v>190801</v>
      </c>
      <c r="I6654" s="7" t="n">
        <v>190801</v>
      </c>
      <c r="K6654" s="6" t="n">
        <v>26</v>
      </c>
      <c r="L6654" s="7" t="n">
        <v>190801</v>
      </c>
      <c r="M6654" s="94">
        <f>VLOOKUP($Q6654,매칭테이블!$F:$I,2,0)*K6654</f>
        <v/>
      </c>
      <c r="N6654" s="94">
        <f>M6654-M6654*VLOOKUP($Q6654,매칭테이블!$F:$I,3,0)</f>
        <v/>
      </c>
      <c r="O6654" s="94">
        <f>VLOOKUP($Q6654,매칭테이블!$F:$I,4,0)*K6654</f>
        <v/>
      </c>
      <c r="P6654" s="148">
        <f>M6654/1.1</f>
        <v/>
      </c>
      <c r="Q6654" s="94">
        <f>F6654&amp;E6654&amp;G6654&amp;L6654</f>
        <v/>
      </c>
    </row>
    <row r="6655" customFormat="1" s="94">
      <c r="B6655" s="128" t="n">
        <v>43988</v>
      </c>
      <c r="C6655" s="94">
        <f>TEXT(B6655,"aaa")</f>
        <v/>
      </c>
      <c r="E6655" s="6" t="inlineStr">
        <is>
          <t>토너</t>
        </is>
      </c>
      <c r="F6655" s="5" t="inlineStr">
        <is>
          <t>카페24</t>
        </is>
      </c>
      <c r="G6655" s="5" t="inlineStr">
        <is>
          <t>250ml 2set</t>
        </is>
      </c>
      <c r="H6655" s="7" t="n">
        <v>190801</v>
      </c>
      <c r="I6655" s="7" t="n">
        <v>190801</v>
      </c>
      <c r="K6655" s="6" t="n">
        <v>1</v>
      </c>
      <c r="L6655" s="7" t="n">
        <v>190801</v>
      </c>
      <c r="M6655" s="94">
        <f>VLOOKUP($Q6655,매칭테이블!$F:$I,2,0)*K6655</f>
        <v/>
      </c>
      <c r="N6655" s="94">
        <f>M6655-M6655*VLOOKUP($Q6655,매칭테이블!$F:$I,3,0)</f>
        <v/>
      </c>
      <c r="O6655" s="94">
        <f>VLOOKUP($Q6655,매칭테이블!$F:$I,4,0)*K6655</f>
        <v/>
      </c>
      <c r="P6655" s="148">
        <f>M6655/1.1</f>
        <v/>
      </c>
      <c r="Q6655" s="94">
        <f>F6655&amp;E6655&amp;G6655&amp;L6655</f>
        <v/>
      </c>
    </row>
    <row r="6656" customFormat="1" s="94">
      <c r="B6656" s="128" t="n">
        <v>43988</v>
      </c>
      <c r="C6656" s="94">
        <f>TEXT(B6656,"aaa")</f>
        <v/>
      </c>
      <c r="E6656" s="94" t="inlineStr">
        <is>
          <t>머드크림마스크</t>
        </is>
      </c>
      <c r="F6656" s="5" t="inlineStr">
        <is>
          <t>카페24</t>
        </is>
      </c>
      <c r="G6656" s="94" t="inlineStr">
        <is>
          <t>머드크림마스크 100ml 2set</t>
        </is>
      </c>
      <c r="H6656" s="7" t="n">
        <v>190801</v>
      </c>
      <c r="I6656" s="7" t="n">
        <v>190801</v>
      </c>
      <c r="K6656" s="6" t="n">
        <v>1</v>
      </c>
      <c r="L6656" s="94" t="n">
        <v>190801</v>
      </c>
      <c r="M6656" s="94">
        <f>VLOOKUP($Q6656,매칭테이블!$F:$I,2,0)*K6656</f>
        <v/>
      </c>
      <c r="N6656" s="94">
        <f>M6656-M6656*VLOOKUP($Q6656,매칭테이블!$F:$I,3,0)</f>
        <v/>
      </c>
      <c r="O6656" s="94">
        <f>VLOOKUP($Q6656,매칭테이블!$F:$I,4,0)*K6656</f>
        <v/>
      </c>
      <c r="P6656" s="148">
        <f>M6656/1.1</f>
        <v/>
      </c>
      <c r="Q6656" s="94">
        <f>F6656&amp;E6656&amp;G6656&amp;L6656</f>
        <v/>
      </c>
    </row>
    <row r="6657" customFormat="1" s="94">
      <c r="B6657" s="128" t="n">
        <v>43988</v>
      </c>
      <c r="C6657" s="94">
        <f>TEXT(B6657,"aaa")</f>
        <v/>
      </c>
      <c r="E6657" s="94" t="inlineStr">
        <is>
          <t>마스크팩</t>
        </is>
      </c>
      <c r="F6657" s="5" t="inlineStr">
        <is>
          <t>카페24</t>
        </is>
      </c>
      <c r="G6657" s="94" t="inlineStr">
        <is>
          <t>마스크팩 1매</t>
        </is>
      </c>
      <c r="H6657" s="7" t="n">
        <v>190801</v>
      </c>
      <c r="I6657" s="7" t="n">
        <v>190801</v>
      </c>
      <c r="K6657" s="6" t="n">
        <v>1</v>
      </c>
      <c r="L6657" s="94" t="n">
        <v>190801</v>
      </c>
      <c r="M6657" s="94">
        <f>VLOOKUP($Q6657,매칭테이블!$F:$I,2,0)*K6657</f>
        <v/>
      </c>
      <c r="N6657" s="94">
        <f>M6657-M6657*VLOOKUP($Q6657,매칭테이블!$F:$I,3,0)</f>
        <v/>
      </c>
      <c r="O6657" s="94">
        <f>VLOOKUP($Q6657,매칭테이블!$F:$I,4,0)*K6657</f>
        <v/>
      </c>
      <c r="P6657" s="148">
        <f>M6657/1.1</f>
        <v/>
      </c>
      <c r="Q6657" s="94">
        <f>F6657&amp;E6657&amp;G6657&amp;L6657</f>
        <v/>
      </c>
    </row>
    <row r="6658" customFormat="1" s="94">
      <c r="B6658" s="128" t="n">
        <v>43988</v>
      </c>
      <c r="C6658" s="94">
        <f>TEXT(B6658,"aaa")</f>
        <v/>
      </c>
      <c r="E6658" s="94" t="inlineStr">
        <is>
          <t>마스크팩</t>
        </is>
      </c>
      <c r="F6658" s="5" t="inlineStr">
        <is>
          <t>카페24</t>
        </is>
      </c>
      <c r="G6658" s="94" t="inlineStr">
        <is>
          <t>마스크팩 10매</t>
        </is>
      </c>
      <c r="H6658" s="7" t="n">
        <v>190801</v>
      </c>
      <c r="I6658" s="7" t="n">
        <v>190801</v>
      </c>
      <c r="K6658" s="6" t="n">
        <v>3</v>
      </c>
      <c r="L6658" s="94" t="n">
        <v>190801</v>
      </c>
      <c r="M6658" s="94">
        <f>VLOOKUP($Q6658,매칭테이블!$F:$I,2,0)*K6658</f>
        <v/>
      </c>
      <c r="N6658" s="94">
        <f>M6658-M6658*VLOOKUP($Q6658,매칭테이블!$F:$I,3,0)</f>
        <v/>
      </c>
      <c r="O6658" s="94">
        <f>VLOOKUP($Q6658,매칭테이블!$F:$I,4,0)*K6658</f>
        <v/>
      </c>
      <c r="P6658" s="148">
        <f>M6658/1.1</f>
        <v/>
      </c>
      <c r="Q6658" s="94">
        <f>F6658&amp;E6658&amp;G6658&amp;L6658</f>
        <v/>
      </c>
    </row>
    <row r="6659" customFormat="1" s="94">
      <c r="B6659" s="128" t="n">
        <v>43988</v>
      </c>
      <c r="C6659" s="94">
        <f>TEXT(B6659,"aaa")</f>
        <v/>
      </c>
      <c r="E6659" s="94" t="inlineStr">
        <is>
          <t>마스크팩</t>
        </is>
      </c>
      <c r="F6659" s="5" t="inlineStr">
        <is>
          <t>카페24</t>
        </is>
      </c>
      <c r="G6659" s="94" t="inlineStr">
        <is>
          <t>마스크팩 1매</t>
        </is>
      </c>
      <c r="H6659" s="7" t="n">
        <v>190801</v>
      </c>
      <c r="I6659" s="7" t="n">
        <v>190801</v>
      </c>
      <c r="K6659" s="6" t="n">
        <v>1</v>
      </c>
      <c r="L6659" s="94" t="n">
        <v>190801</v>
      </c>
      <c r="M6659" s="94">
        <f>VLOOKUP($Q6659,매칭테이블!$F:$I,2,0)*K6659</f>
        <v/>
      </c>
      <c r="N6659" s="94">
        <f>M6659-M6659*VLOOKUP($Q6659,매칭테이블!$F:$I,3,0)</f>
        <v/>
      </c>
      <c r="O6659" s="94">
        <f>VLOOKUP($Q6659,매칭테이블!$F:$I,4,0)*K6659</f>
        <v/>
      </c>
      <c r="P6659" s="148">
        <f>M6659/1.1</f>
        <v/>
      </c>
      <c r="Q6659" s="94">
        <f>F6659&amp;E6659&amp;G6659&amp;L6659</f>
        <v/>
      </c>
    </row>
    <row r="6660" customFormat="1" s="94">
      <c r="B6660" s="128" t="n">
        <v>43988</v>
      </c>
      <c r="C6660" s="94">
        <f>TEXT(B6660,"aaa")</f>
        <v/>
      </c>
      <c r="E6660" s="6" t="inlineStr">
        <is>
          <t>토너</t>
        </is>
      </c>
      <c r="F6660" s="5" t="inlineStr">
        <is>
          <t>카페24</t>
        </is>
      </c>
      <c r="G6660" s="5" t="inlineStr">
        <is>
          <t>250ml</t>
        </is>
      </c>
      <c r="H6660" s="7" t="n">
        <v>190801</v>
      </c>
      <c r="I6660" s="7" t="n">
        <v>190801</v>
      </c>
      <c r="K6660" s="6" t="n">
        <v>52</v>
      </c>
      <c r="L6660" s="7" t="n">
        <v>190801</v>
      </c>
      <c r="M6660" s="94">
        <f>VLOOKUP($Q6660,매칭테이블!$F:$I,2,0)*K6660</f>
        <v/>
      </c>
      <c r="N6660" s="94">
        <f>M6660-M6660*VLOOKUP($Q6660,매칭테이블!$F:$I,3,0)</f>
        <v/>
      </c>
      <c r="O6660" s="94">
        <f>VLOOKUP($Q6660,매칭테이블!$F:$I,4,0)*K6660</f>
        <v/>
      </c>
      <c r="P6660" s="148">
        <f>M6660/1.1</f>
        <v/>
      </c>
      <c r="Q6660" s="94">
        <f>F6660&amp;E6660&amp;G6660&amp;L6660</f>
        <v/>
      </c>
    </row>
    <row r="6661" customFormat="1" s="94">
      <c r="B6661" s="128" t="n">
        <v>43988</v>
      </c>
      <c r="C6661" s="94">
        <f>TEXT(B6661,"aaa")</f>
        <v/>
      </c>
      <c r="E6661" s="6" t="inlineStr">
        <is>
          <t>토너</t>
        </is>
      </c>
      <c r="F6661" s="5" t="inlineStr">
        <is>
          <t>카페24</t>
        </is>
      </c>
      <c r="G6661" s="5" t="inlineStr">
        <is>
          <t>250ml 2set</t>
        </is>
      </c>
      <c r="H6661" s="7" t="n">
        <v>190801</v>
      </c>
      <c r="I6661" s="7" t="n">
        <v>190801</v>
      </c>
      <c r="K6661" s="6" t="n">
        <v>34</v>
      </c>
      <c r="L6661" s="7" t="n">
        <v>190801</v>
      </c>
      <c r="M6661" s="94">
        <f>VLOOKUP($Q6661,매칭테이블!$F:$I,2,0)*K6661</f>
        <v/>
      </c>
      <c r="N6661" s="94">
        <f>M6661-M6661*VLOOKUP($Q6661,매칭테이블!$F:$I,3,0)</f>
        <v/>
      </c>
      <c r="O6661" s="94">
        <f>VLOOKUP($Q6661,매칭테이블!$F:$I,4,0)*K6661</f>
        <v/>
      </c>
      <c r="P6661" s="148">
        <f>M6661/1.1</f>
        <v/>
      </c>
      <c r="Q6661" s="94">
        <f>F6661&amp;E6661&amp;G6661&amp;L6661</f>
        <v/>
      </c>
    </row>
    <row r="6662" customFormat="1" s="94">
      <c r="B6662" s="128" t="n">
        <v>43988</v>
      </c>
      <c r="C6662" s="94">
        <f>TEXT(B6662,"aaa")</f>
        <v/>
      </c>
      <c r="E6662" s="6" t="inlineStr">
        <is>
          <t>토너</t>
        </is>
      </c>
      <c r="F6662" s="5" t="inlineStr">
        <is>
          <t>카페24</t>
        </is>
      </c>
      <c r="G6662" s="94" t="inlineStr">
        <is>
          <t>스킨팩 화장솜 60P</t>
        </is>
      </c>
      <c r="H6662" s="7" t="n">
        <v>190801</v>
      </c>
      <c r="I6662" s="7" t="n">
        <v>190801</v>
      </c>
      <c r="K6662" s="6" t="n">
        <v>28</v>
      </c>
      <c r="L6662" s="7" t="n">
        <v>190801</v>
      </c>
      <c r="M6662" s="94">
        <f>VLOOKUP($Q6662,매칭테이블!$F:$I,2,0)*K6662</f>
        <v/>
      </c>
      <c r="N6662" s="94">
        <f>M6662-M6662*VLOOKUP($Q6662,매칭테이블!$F:$I,3,0)</f>
        <v/>
      </c>
      <c r="O6662" s="94">
        <f>VLOOKUP($Q6662,매칭테이블!$F:$I,4,0)*K6662</f>
        <v/>
      </c>
      <c r="P6662" s="148">
        <f>M6662/1.1</f>
        <v/>
      </c>
      <c r="Q6662" s="94">
        <f>F6662&amp;E6662&amp;G6662&amp;L6662</f>
        <v/>
      </c>
    </row>
    <row r="6663" customFormat="1" s="94">
      <c r="B6663" s="128" t="n">
        <v>43988</v>
      </c>
      <c r="C6663" s="94">
        <f>TEXT(B6663,"aaa")</f>
        <v/>
      </c>
      <c r="E6663" s="94" t="inlineStr">
        <is>
          <t>수딩크림</t>
        </is>
      </c>
      <c r="F6663" s="5" t="inlineStr">
        <is>
          <t>카페24</t>
        </is>
      </c>
      <c r="G6663" s="94" t="inlineStr">
        <is>
          <t>수딩크림 100ml</t>
        </is>
      </c>
      <c r="H6663" s="7" t="n">
        <v>190801</v>
      </c>
      <c r="I6663" s="7" t="n">
        <v>190801</v>
      </c>
      <c r="K6663" s="6" t="n">
        <v>4</v>
      </c>
      <c r="L6663" s="94" t="n">
        <v>190801</v>
      </c>
      <c r="M6663" s="94">
        <f>VLOOKUP($Q6663,매칭테이블!$F:$I,2,0)*K6663</f>
        <v/>
      </c>
      <c r="N6663" s="94">
        <f>M6663-M6663*VLOOKUP($Q6663,매칭테이블!$F:$I,3,0)</f>
        <v/>
      </c>
      <c r="O6663" s="94">
        <f>VLOOKUP($Q6663,매칭테이블!$F:$I,4,0)*K6663</f>
        <v/>
      </c>
      <c r="P6663" s="148">
        <f>M6663/1.1</f>
        <v/>
      </c>
      <c r="Q6663" s="94">
        <f>F6663&amp;E6663&amp;G6663&amp;L6663</f>
        <v/>
      </c>
    </row>
    <row r="6664" customFormat="1" s="94">
      <c r="B6664" s="128" t="n">
        <v>43988</v>
      </c>
      <c r="C6664" s="94">
        <f>TEXT(B6664,"aaa")</f>
        <v/>
      </c>
      <c r="E6664" s="94" t="inlineStr">
        <is>
          <t>수딩크림</t>
        </is>
      </c>
      <c r="F6664" s="5" t="inlineStr">
        <is>
          <t>카페24</t>
        </is>
      </c>
      <c r="G6664" s="94" t="inlineStr">
        <is>
          <t>수딩크림 100ml</t>
        </is>
      </c>
      <c r="H6664" s="7" t="n">
        <v>190801</v>
      </c>
      <c r="I6664" s="7" t="n">
        <v>190801</v>
      </c>
      <c r="K6664" s="6" t="n">
        <v>1</v>
      </c>
      <c r="L6664" s="94" t="n">
        <v>190801</v>
      </c>
      <c r="M6664" s="94">
        <f>VLOOKUP($Q6664,매칭테이블!$F:$I,2,0)*K6664</f>
        <v/>
      </c>
      <c r="N6664" s="94">
        <f>M6664-M6664*VLOOKUP($Q6664,매칭테이블!$F:$I,3,0)</f>
        <v/>
      </c>
      <c r="O6664" s="94">
        <f>VLOOKUP($Q6664,매칭테이블!$F:$I,4,0)*K6664</f>
        <v/>
      </c>
      <c r="P6664" s="148">
        <f>M6664/1.1</f>
        <v/>
      </c>
      <c r="Q6664" s="94">
        <f>F6664&amp;E6664&amp;G6664&amp;L6664</f>
        <v/>
      </c>
    </row>
    <row r="6665" customFormat="1" s="94">
      <c r="B6665" s="128" t="n">
        <v>43988</v>
      </c>
      <c r="C6665" s="94">
        <f>TEXT(B6665,"aaa")</f>
        <v/>
      </c>
      <c r="E6665" s="94" t="inlineStr">
        <is>
          <t>앰플</t>
        </is>
      </c>
      <c r="F6665" s="5" t="inlineStr">
        <is>
          <t>카페24</t>
        </is>
      </c>
      <c r="G6665" s="94" t="inlineStr">
        <is>
          <t>앰플 30ml</t>
        </is>
      </c>
      <c r="H6665" s="7" t="n">
        <v>190801</v>
      </c>
      <c r="I6665" s="7" t="n">
        <v>190801</v>
      </c>
      <c r="K6665" s="6" t="n">
        <v>3</v>
      </c>
      <c r="L6665" s="94" t="n">
        <v>190801</v>
      </c>
      <c r="M6665" s="94">
        <f>VLOOKUP($Q6665,매칭테이블!$F:$I,2,0)*K6665</f>
        <v/>
      </c>
      <c r="N6665" s="94">
        <f>M6665-M6665*VLOOKUP($Q6665,매칭테이블!$F:$I,3,0)</f>
        <v/>
      </c>
      <c r="O6665" s="94">
        <f>VLOOKUP($Q6665,매칭테이블!$F:$I,4,0)*K6665</f>
        <v/>
      </c>
      <c r="P6665" s="148">
        <f>M6665/1.1</f>
        <v/>
      </c>
      <c r="Q6665" s="94">
        <f>F6665&amp;E6665&amp;G6665&amp;L6665</f>
        <v/>
      </c>
    </row>
    <row r="6666" customFormat="1" s="94">
      <c r="B6666" s="128" t="n">
        <v>43988</v>
      </c>
      <c r="C6666" s="94">
        <f>TEXT(B6666,"aaa")</f>
        <v/>
      </c>
      <c r="E6666" s="94" t="inlineStr">
        <is>
          <t>앰플</t>
        </is>
      </c>
      <c r="F6666" s="5" t="inlineStr">
        <is>
          <t>카페24</t>
        </is>
      </c>
      <c r="G6666" s="94" t="inlineStr">
        <is>
          <t>앰플 30ml</t>
        </is>
      </c>
      <c r="H6666" s="7" t="n">
        <v>190801</v>
      </c>
      <c r="I6666" s="7" t="n">
        <v>190801</v>
      </c>
      <c r="K6666" s="6" t="n">
        <v>8</v>
      </c>
      <c r="L6666" s="94" t="n">
        <v>190801</v>
      </c>
      <c r="M6666" s="94">
        <f>VLOOKUP($Q6666,매칭테이블!$F:$I,2,0)*K6666</f>
        <v/>
      </c>
      <c r="N6666" s="94">
        <f>M6666-M6666*VLOOKUP($Q6666,매칭테이블!$F:$I,3,0)</f>
        <v/>
      </c>
      <c r="O6666" s="94">
        <f>VLOOKUP($Q6666,매칭테이블!$F:$I,4,0)*K6666</f>
        <v/>
      </c>
      <c r="P6666" s="148">
        <f>M6666/1.1</f>
        <v/>
      </c>
      <c r="Q6666" s="94">
        <f>F6666&amp;E6666&amp;G6666&amp;L6666</f>
        <v/>
      </c>
    </row>
    <row r="6667" customFormat="1" s="94">
      <c r="B6667" s="128" t="n">
        <v>43988</v>
      </c>
      <c r="C6667" s="94">
        <f>TEXT(B6667,"aaa")</f>
        <v/>
      </c>
      <c r="E6667" s="94" t="inlineStr">
        <is>
          <t>클렌징폼</t>
        </is>
      </c>
      <c r="F6667" s="5" t="inlineStr">
        <is>
          <t>카페24</t>
        </is>
      </c>
      <c r="G6667" s="94" t="inlineStr">
        <is>
          <t>클렌징폼 120ml</t>
        </is>
      </c>
      <c r="H6667" s="7" t="n">
        <v>190801</v>
      </c>
      <c r="I6667" s="7" t="n">
        <v>190801</v>
      </c>
      <c r="K6667" s="6" t="n">
        <v>10</v>
      </c>
      <c r="L6667" s="92" t="n">
        <v>190801</v>
      </c>
      <c r="M6667" s="94">
        <f>VLOOKUP($Q6667,매칭테이블!$F:$I,2,0)*K6667</f>
        <v/>
      </c>
      <c r="N6667" s="94">
        <f>M6667-M6667*VLOOKUP($Q6667,매칭테이블!$F:$I,3,0)</f>
        <v/>
      </c>
      <c r="O6667" s="94">
        <f>VLOOKUP($Q6667,매칭테이블!$F:$I,4,0)*K6667</f>
        <v/>
      </c>
      <c r="P6667" s="148">
        <f>M6667/1.1</f>
        <v/>
      </c>
      <c r="Q6667" s="94">
        <f>F6667&amp;E6667&amp;G6667&amp;L6667</f>
        <v/>
      </c>
    </row>
    <row r="6668" customFormat="1" s="94">
      <c r="B6668" s="128" t="n">
        <v>43988</v>
      </c>
      <c r="C6668" s="94">
        <f>TEXT(B6668,"aaa")</f>
        <v/>
      </c>
      <c r="E6668" s="94" t="inlineStr">
        <is>
          <t>클렌징폼</t>
        </is>
      </c>
      <c r="F6668" s="5" t="inlineStr">
        <is>
          <t>카페24</t>
        </is>
      </c>
      <c r="G6668" s="94" t="inlineStr">
        <is>
          <t>클렌징폼 120ml 2set</t>
        </is>
      </c>
      <c r="H6668" s="7" t="n">
        <v>190801</v>
      </c>
      <c r="I6668" s="7" t="n">
        <v>190801</v>
      </c>
      <c r="K6668" s="6" t="n">
        <v>1</v>
      </c>
      <c r="L6668" s="92" t="n">
        <v>190801</v>
      </c>
      <c r="M6668" s="94">
        <f>VLOOKUP($Q6668,매칭테이블!$F:$I,2,0)*K6668</f>
        <v/>
      </c>
      <c r="N6668" s="94">
        <f>M6668-M6668*VLOOKUP($Q6668,매칭테이블!$F:$I,3,0)</f>
        <v/>
      </c>
      <c r="O6668" s="94">
        <f>VLOOKUP($Q6668,매칭테이블!$F:$I,4,0)*K6668</f>
        <v/>
      </c>
      <c r="P6668" s="148">
        <f>M6668/1.1</f>
        <v/>
      </c>
      <c r="Q6668" s="94">
        <f>F6668&amp;E6668&amp;G6668&amp;L6668</f>
        <v/>
      </c>
    </row>
    <row r="6669" customFormat="1" s="94">
      <c r="B6669" s="128" t="n">
        <v>43988</v>
      </c>
      <c r="C6669" s="94">
        <f>TEXT(B6669,"aaa")</f>
        <v/>
      </c>
      <c r="E6669" s="94" t="inlineStr">
        <is>
          <t>클렌징폼</t>
        </is>
      </c>
      <c r="F6669" s="5" t="inlineStr">
        <is>
          <t>카페24</t>
        </is>
      </c>
      <c r="G6669" s="94" t="inlineStr">
        <is>
          <t>클렌징폼 120ml</t>
        </is>
      </c>
      <c r="H6669" s="7" t="n">
        <v>190801</v>
      </c>
      <c r="I6669" s="7" t="n">
        <v>190801</v>
      </c>
      <c r="K6669" s="6" t="n">
        <v>1</v>
      </c>
      <c r="L6669" s="92" t="n">
        <v>190801</v>
      </c>
      <c r="M6669" s="94">
        <f>VLOOKUP($Q6669,매칭테이블!$F:$I,2,0)*K6669</f>
        <v/>
      </c>
      <c r="N6669" s="94">
        <f>M6669-M6669*VLOOKUP($Q6669,매칭테이블!$F:$I,3,0)</f>
        <v/>
      </c>
      <c r="O6669" s="94">
        <f>VLOOKUP($Q6669,매칭테이블!$F:$I,4,0)*K6669</f>
        <v/>
      </c>
      <c r="P6669" s="148">
        <f>M6669/1.1</f>
        <v/>
      </c>
      <c r="Q6669" s="94">
        <f>F6669&amp;E6669&amp;G6669&amp;L6669</f>
        <v/>
      </c>
    </row>
    <row r="6670" customFormat="1" s="94">
      <c r="B6670" s="128" t="n">
        <v>43988</v>
      </c>
      <c r="C6670" s="94">
        <f>TEXT(B6670,"aaa")</f>
        <v/>
      </c>
      <c r="E6670" s="94" t="inlineStr">
        <is>
          <t>토너</t>
        </is>
      </c>
      <c r="F6670" s="5" t="inlineStr">
        <is>
          <t>카페24</t>
        </is>
      </c>
      <c r="G6670" s="94" t="inlineStr">
        <is>
          <t>스킨팩 화장솜 60P</t>
        </is>
      </c>
      <c r="H6670" s="7" t="n">
        <v>190801</v>
      </c>
      <c r="I6670" s="7" t="n">
        <v>190801</v>
      </c>
      <c r="K6670" s="6" t="n">
        <v>10</v>
      </c>
      <c r="L6670" s="92" t="n">
        <v>190801</v>
      </c>
      <c r="M6670" s="94">
        <f>VLOOKUP($Q6670,매칭테이블!$F:$I,2,0)*K6670</f>
        <v/>
      </c>
      <c r="N6670" s="94">
        <f>M6670-M6670*VLOOKUP($Q6670,매칭테이블!$F:$I,3,0)</f>
        <v/>
      </c>
      <c r="O6670" s="94">
        <f>VLOOKUP($Q6670,매칭테이블!$F:$I,4,0)*K6670</f>
        <v/>
      </c>
      <c r="P6670" s="148">
        <f>M6670/1.1</f>
        <v/>
      </c>
      <c r="Q6670" s="94">
        <f>F6670&amp;E6670&amp;G6670&amp;L6670</f>
        <v/>
      </c>
    </row>
    <row r="6671" customFormat="1" s="94">
      <c r="B6671" s="128" t="n">
        <v>43988</v>
      </c>
      <c r="C6671" s="94">
        <f>TEXT(B6671,"aaa")</f>
        <v/>
      </c>
      <c r="E6671" s="94" t="inlineStr">
        <is>
          <t>토너</t>
        </is>
      </c>
      <c r="F6671" s="5" t="inlineStr">
        <is>
          <t>카페24</t>
        </is>
      </c>
      <c r="G6671" s="94" t="inlineStr">
        <is>
          <t>스킨팩 화장솜 60P</t>
        </is>
      </c>
      <c r="H6671" s="7" t="n">
        <v>190801</v>
      </c>
      <c r="I6671" s="7" t="n">
        <v>190801</v>
      </c>
      <c r="K6671" s="6" t="n">
        <v>1</v>
      </c>
      <c r="L6671" s="92" t="n">
        <v>190801</v>
      </c>
      <c r="M6671" s="94">
        <f>VLOOKUP($Q6671,매칭테이블!$F:$I,2,0)*K6671</f>
        <v/>
      </c>
      <c r="N6671" s="94">
        <f>M6671-M6671*VLOOKUP($Q6671,매칭테이블!$F:$I,3,0)</f>
        <v/>
      </c>
      <c r="O6671" s="94">
        <f>VLOOKUP($Q6671,매칭테이블!$F:$I,4,0)*K6671</f>
        <v/>
      </c>
      <c r="P6671" s="148">
        <f>M6671/1.1</f>
        <v/>
      </c>
      <c r="Q6671" s="94">
        <f>F6671&amp;E6671&amp;G6671&amp;L6671</f>
        <v/>
      </c>
    </row>
    <row r="6672" customFormat="1" s="94">
      <c r="B6672" s="128" t="n">
        <v>43989</v>
      </c>
      <c r="C6672" s="94">
        <f>TEXT(B6672,"aaa")</f>
        <v/>
      </c>
      <c r="E6672" s="94" t="inlineStr">
        <is>
          <t>토너</t>
        </is>
      </c>
      <c r="F6672" s="5" t="inlineStr">
        <is>
          <t>스타일쉐어</t>
        </is>
      </c>
      <c r="G6672" s="94" t="inlineStr">
        <is>
          <t>250ml</t>
        </is>
      </c>
      <c r="H6672" s="7" t="n">
        <v>190801</v>
      </c>
      <c r="I6672" s="7" t="n">
        <v>190801</v>
      </c>
      <c r="K6672" s="6" t="n">
        <v>19</v>
      </c>
      <c r="L6672" s="7" t="n">
        <v>190801</v>
      </c>
      <c r="M6672" s="94">
        <f>VLOOKUP($Q6672,매칭테이블!$F:$I,2,0)*K6672</f>
        <v/>
      </c>
      <c r="N6672" s="94">
        <f>M6672-M6672*VLOOKUP($Q6672,매칭테이블!$F:$I,3,0)</f>
        <v/>
      </c>
      <c r="O6672" s="94">
        <f>VLOOKUP($Q6672,매칭테이블!$F:$I,4,0)*K6672</f>
        <v/>
      </c>
      <c r="P6672" s="148">
        <f>M6672/1.1</f>
        <v/>
      </c>
      <c r="Q6672" s="94">
        <f>F6672&amp;E6672&amp;G6672&amp;L6672</f>
        <v/>
      </c>
    </row>
    <row r="6673" customFormat="1" s="94">
      <c r="B6673" s="128" t="n">
        <v>43989</v>
      </c>
      <c r="C6673" s="94">
        <f>TEXT(B6673,"aaa")</f>
        <v/>
      </c>
      <c r="E6673" s="94" t="inlineStr">
        <is>
          <t>선크림</t>
        </is>
      </c>
      <c r="F6673" s="5" t="inlineStr">
        <is>
          <t>카페24</t>
        </is>
      </c>
      <c r="G6673" s="94" t="inlineStr">
        <is>
          <t>선크림 50ml</t>
        </is>
      </c>
      <c r="H6673" s="7" t="n">
        <v>190801</v>
      </c>
      <c r="I6673" s="7" t="n">
        <v>190801</v>
      </c>
      <c r="K6673" s="6" t="n">
        <v>10</v>
      </c>
      <c r="L6673" s="7" t="n">
        <v>190801</v>
      </c>
      <c r="M6673" s="94">
        <f>VLOOKUP($Q6673,매칭테이블!$F:$I,2,0)*K6673</f>
        <v/>
      </c>
      <c r="N6673" s="94">
        <f>M6673-M6673*VLOOKUP($Q6673,매칭테이블!$F:$I,3,0)</f>
        <v/>
      </c>
      <c r="O6673" s="94">
        <f>VLOOKUP($Q6673,매칭테이블!$F:$I,4,0)*K6673</f>
        <v/>
      </c>
      <c r="P6673" s="148">
        <f>M6673/1.1</f>
        <v/>
      </c>
      <c r="Q6673" s="94">
        <f>F6673&amp;E6673&amp;G6673&amp;L6673</f>
        <v/>
      </c>
    </row>
    <row r="6674" customFormat="1" s="94">
      <c r="B6674" s="128" t="n">
        <v>43989</v>
      </c>
      <c r="C6674" s="94">
        <f>TEXT(B6674,"aaa")</f>
        <v/>
      </c>
      <c r="E6674" s="94" t="inlineStr">
        <is>
          <t>클렌징폼</t>
        </is>
      </c>
      <c r="F6674" s="5" t="inlineStr">
        <is>
          <t>카페24</t>
        </is>
      </c>
      <c r="G6674" s="94" t="inlineStr">
        <is>
          <t>클렌징폼 120ml(선크림할인)</t>
        </is>
      </c>
      <c r="H6674" s="7" t="n">
        <v>190801</v>
      </c>
      <c r="I6674" s="7" t="n">
        <v>190801</v>
      </c>
      <c r="K6674" s="6" t="n">
        <v>7</v>
      </c>
      <c r="L6674" s="92" t="n">
        <v>190801</v>
      </c>
      <c r="M6674" s="94">
        <f>VLOOKUP($Q6674,매칭테이블!$F:$I,2,0)*K6674</f>
        <v/>
      </c>
      <c r="N6674" s="94">
        <f>M6674-M6674*VLOOKUP($Q6674,매칭테이블!$F:$I,3,0)</f>
        <v/>
      </c>
      <c r="O6674" s="94">
        <f>VLOOKUP($Q6674,매칭테이블!$F:$I,4,0)*K6674</f>
        <v/>
      </c>
      <c r="P6674" s="148">
        <f>M6674/1.1</f>
        <v/>
      </c>
      <c r="Q6674" s="94">
        <f>F6674&amp;E6674&amp;G6674&amp;L6674</f>
        <v/>
      </c>
    </row>
    <row r="6675" customFormat="1" s="94">
      <c r="B6675" s="128" t="n">
        <v>43989</v>
      </c>
      <c r="C6675" s="94">
        <f>TEXT(B6675,"aaa")</f>
        <v/>
      </c>
      <c r="E6675" s="94" t="inlineStr">
        <is>
          <t>어성초진정패키지</t>
        </is>
      </c>
      <c r="F6675" s="5" t="inlineStr">
        <is>
          <t>카페24</t>
        </is>
      </c>
      <c r="G6675" s="94" t="inlineStr">
        <is>
          <t>어성초 진정패키지세트</t>
        </is>
      </c>
      <c r="H6675" s="7" t="n">
        <v>190801</v>
      </c>
      <c r="I6675" s="7" t="n">
        <v>190801</v>
      </c>
      <c r="K6675" s="6" t="n">
        <v>3</v>
      </c>
      <c r="L6675" s="94" t="n">
        <v>190801</v>
      </c>
      <c r="M6675" s="94">
        <f>VLOOKUP($Q6675,매칭테이블!$F:$I,2,0)*K6675</f>
        <v/>
      </c>
      <c r="N6675" s="94">
        <f>M6675-M6675*VLOOKUP($Q6675,매칭테이블!$F:$I,3,0)</f>
        <v/>
      </c>
      <c r="O6675" s="94">
        <f>VLOOKUP($Q6675,매칭테이블!$F:$I,4,0)*K6675</f>
        <v/>
      </c>
      <c r="P6675" s="148">
        <f>M6675/1.1</f>
        <v/>
      </c>
      <c r="Q6675" s="94">
        <f>F6675&amp;E6675&amp;G6675&amp;L6675</f>
        <v/>
      </c>
    </row>
    <row r="6676" customFormat="1" s="94">
      <c r="B6676" s="128" t="n">
        <v>43989</v>
      </c>
      <c r="C6676" s="94">
        <f>TEXT(B6676,"aaa")</f>
        <v/>
      </c>
      <c r="E6676" s="6" t="inlineStr">
        <is>
          <t>토너</t>
        </is>
      </c>
      <c r="F6676" s="5" t="inlineStr">
        <is>
          <t>카페24</t>
        </is>
      </c>
      <c r="G6676" s="5" t="inlineStr">
        <is>
          <t>500ml</t>
        </is>
      </c>
      <c r="H6676" s="7" t="n">
        <v>190801</v>
      </c>
      <c r="I6676" s="7" t="n">
        <v>190801</v>
      </c>
      <c r="K6676" s="6" t="n">
        <v>35</v>
      </c>
      <c r="L6676" s="7" t="n">
        <v>190801</v>
      </c>
      <c r="M6676" s="94">
        <f>VLOOKUP($Q6676,매칭테이블!$F:$I,2,0)*K6676</f>
        <v/>
      </c>
      <c r="N6676" s="94">
        <f>M6676-M6676*VLOOKUP($Q6676,매칭테이블!$F:$I,3,0)</f>
        <v/>
      </c>
      <c r="O6676" s="94">
        <f>VLOOKUP($Q6676,매칭테이블!$F:$I,4,0)*K6676</f>
        <v/>
      </c>
      <c r="P6676" s="148">
        <f>M6676/1.1</f>
        <v/>
      </c>
      <c r="Q6676" s="94">
        <f>F6676&amp;E6676&amp;G6676&amp;L6676</f>
        <v/>
      </c>
    </row>
    <row r="6677" customFormat="1" s="94">
      <c r="B6677" s="128" t="n">
        <v>43989</v>
      </c>
      <c r="C6677" s="94">
        <f>TEXT(B6677,"aaa")</f>
        <v/>
      </c>
      <c r="E6677" s="6" t="inlineStr">
        <is>
          <t>토너</t>
        </is>
      </c>
      <c r="F6677" s="5" t="inlineStr">
        <is>
          <t>카페24</t>
        </is>
      </c>
      <c r="G6677" s="5" t="inlineStr">
        <is>
          <t>250ml 2set</t>
        </is>
      </c>
      <c r="H6677" s="7" t="n">
        <v>190801</v>
      </c>
      <c r="I6677" s="7" t="n">
        <v>190801</v>
      </c>
      <c r="K6677" s="6" t="n">
        <v>3</v>
      </c>
      <c r="L6677" s="7" t="n">
        <v>190801</v>
      </c>
      <c r="M6677" s="94">
        <f>VLOOKUP($Q6677,매칭테이블!$F:$I,2,0)*K6677</f>
        <v/>
      </c>
      <c r="N6677" s="94">
        <f>M6677-M6677*VLOOKUP($Q6677,매칭테이블!$F:$I,3,0)</f>
        <v/>
      </c>
      <c r="O6677" s="94">
        <f>VLOOKUP($Q6677,매칭테이블!$F:$I,4,0)*K6677</f>
        <v/>
      </c>
      <c r="P6677" s="148">
        <f>M6677/1.1</f>
        <v/>
      </c>
      <c r="Q6677" s="94">
        <f>F6677&amp;E6677&amp;G6677&amp;L6677</f>
        <v/>
      </c>
    </row>
    <row r="6678" customFormat="1" s="94">
      <c r="B6678" s="128" t="n">
        <v>43989</v>
      </c>
      <c r="C6678" s="94">
        <f>TEXT(B6678,"aaa")</f>
        <v/>
      </c>
      <c r="E6678" s="94" t="inlineStr">
        <is>
          <t>머드크림마스크</t>
        </is>
      </c>
      <c r="F6678" s="5" t="inlineStr">
        <is>
          <t>카페24</t>
        </is>
      </c>
      <c r="G6678" s="94" t="inlineStr">
        <is>
          <t>머드크림마스크 100ml</t>
        </is>
      </c>
      <c r="H6678" s="7" t="n">
        <v>190801</v>
      </c>
      <c r="I6678" s="7" t="n">
        <v>190801</v>
      </c>
      <c r="K6678" s="6" t="n">
        <v>4</v>
      </c>
      <c r="L6678" s="94" t="n">
        <v>190801</v>
      </c>
      <c r="M6678" s="94">
        <f>VLOOKUP($Q6678,매칭테이블!$F:$I,2,0)*K6678</f>
        <v/>
      </c>
      <c r="N6678" s="94">
        <f>M6678-M6678*VLOOKUP($Q6678,매칭테이블!$F:$I,3,0)</f>
        <v/>
      </c>
      <c r="O6678" s="94">
        <f>VLOOKUP($Q6678,매칭테이블!$F:$I,4,0)*K6678</f>
        <v/>
      </c>
      <c r="P6678" s="148">
        <f>M6678/1.1</f>
        <v/>
      </c>
      <c r="Q6678" s="94">
        <f>F6678&amp;E6678&amp;G6678&amp;L6678</f>
        <v/>
      </c>
    </row>
    <row r="6679" customFormat="1" s="94">
      <c r="B6679" s="128" t="n">
        <v>43989</v>
      </c>
      <c r="C6679" s="94">
        <f>TEXT(B6679,"aaa")</f>
        <v/>
      </c>
      <c r="E6679" s="94" t="inlineStr">
        <is>
          <t>머드크림마스크</t>
        </is>
      </c>
      <c r="F6679" s="5" t="inlineStr">
        <is>
          <t>카페24</t>
        </is>
      </c>
      <c r="G6679" s="94" t="inlineStr">
        <is>
          <t>머드크림마스크 100ml 2set</t>
        </is>
      </c>
      <c r="H6679" s="7" t="n">
        <v>190801</v>
      </c>
      <c r="I6679" s="7" t="n">
        <v>190801</v>
      </c>
      <c r="K6679" s="6" t="n">
        <v>1</v>
      </c>
      <c r="L6679" s="94" t="n">
        <v>190801</v>
      </c>
      <c r="M6679" s="94">
        <f>VLOOKUP($Q6679,매칭테이블!$F:$I,2,0)*K6679</f>
        <v/>
      </c>
      <c r="N6679" s="94">
        <f>M6679-M6679*VLOOKUP($Q6679,매칭테이블!$F:$I,3,0)</f>
        <v/>
      </c>
      <c r="O6679" s="94">
        <f>VLOOKUP($Q6679,매칭테이블!$F:$I,4,0)*K6679</f>
        <v/>
      </c>
      <c r="P6679" s="148">
        <f>M6679/1.1</f>
        <v/>
      </c>
      <c r="Q6679" s="94">
        <f>F6679&amp;E6679&amp;G6679&amp;L6679</f>
        <v/>
      </c>
    </row>
    <row r="6680" customFormat="1" s="94">
      <c r="B6680" s="128" t="n">
        <v>43989</v>
      </c>
      <c r="C6680" s="94">
        <f>TEXT(B6680,"aaa")</f>
        <v/>
      </c>
      <c r="E6680" s="94" t="inlineStr">
        <is>
          <t>마스크팩</t>
        </is>
      </c>
      <c r="F6680" s="5" t="inlineStr">
        <is>
          <t>카페24</t>
        </is>
      </c>
      <c r="G6680" s="94" t="inlineStr">
        <is>
          <t>마스크팩 1매</t>
        </is>
      </c>
      <c r="H6680" s="7" t="n">
        <v>190801</v>
      </c>
      <c r="I6680" s="7" t="n">
        <v>190801</v>
      </c>
      <c r="K6680" s="6" t="n">
        <v>1</v>
      </c>
      <c r="L6680" s="94" t="n">
        <v>190801</v>
      </c>
      <c r="M6680" s="94">
        <f>VLOOKUP($Q6680,매칭테이블!$F:$I,2,0)*K6680</f>
        <v/>
      </c>
      <c r="N6680" s="94">
        <f>M6680-M6680*VLOOKUP($Q6680,매칭테이블!$F:$I,3,0)</f>
        <v/>
      </c>
      <c r="O6680" s="94">
        <f>VLOOKUP($Q6680,매칭테이블!$F:$I,4,0)*K6680</f>
        <v/>
      </c>
      <c r="P6680" s="148">
        <f>M6680/1.1</f>
        <v/>
      </c>
      <c r="Q6680" s="94">
        <f>F6680&amp;E6680&amp;G6680&amp;L6680</f>
        <v/>
      </c>
    </row>
    <row r="6681" customFormat="1" s="94">
      <c r="B6681" s="128" t="n">
        <v>43989</v>
      </c>
      <c r="C6681" s="94">
        <f>TEXT(B6681,"aaa")</f>
        <v/>
      </c>
      <c r="E6681" s="94" t="inlineStr">
        <is>
          <t>마스크팩</t>
        </is>
      </c>
      <c r="F6681" s="5" t="inlineStr">
        <is>
          <t>카페24</t>
        </is>
      </c>
      <c r="G6681" s="94" t="inlineStr">
        <is>
          <t>마스크팩 10매</t>
        </is>
      </c>
      <c r="H6681" s="7" t="n">
        <v>190801</v>
      </c>
      <c r="I6681" s="7" t="n">
        <v>190801</v>
      </c>
      <c r="K6681" s="6" t="n">
        <v>2</v>
      </c>
      <c r="L6681" s="94" t="n">
        <v>190801</v>
      </c>
      <c r="M6681" s="94">
        <f>VLOOKUP($Q6681,매칭테이블!$F:$I,2,0)*K6681</f>
        <v/>
      </c>
      <c r="N6681" s="94">
        <f>M6681-M6681*VLOOKUP($Q6681,매칭테이블!$F:$I,3,0)</f>
        <v/>
      </c>
      <c r="O6681" s="94">
        <f>VLOOKUP($Q6681,매칭테이블!$F:$I,4,0)*K6681</f>
        <v/>
      </c>
      <c r="P6681" s="148">
        <f>M6681/1.1</f>
        <v/>
      </c>
      <c r="Q6681" s="94">
        <f>F6681&amp;E6681&amp;G6681&amp;L6681</f>
        <v/>
      </c>
    </row>
    <row r="6682" customFormat="1" s="94">
      <c r="B6682" s="128" t="n">
        <v>43989</v>
      </c>
      <c r="C6682" s="94">
        <f>TEXT(B6682,"aaa")</f>
        <v/>
      </c>
      <c r="E6682" s="6" t="inlineStr">
        <is>
          <t>토너</t>
        </is>
      </c>
      <c r="F6682" s="5" t="inlineStr">
        <is>
          <t>카페24</t>
        </is>
      </c>
      <c r="G6682" s="5" t="inlineStr">
        <is>
          <t>250ml</t>
        </is>
      </c>
      <c r="H6682" s="7" t="n">
        <v>190801</v>
      </c>
      <c r="I6682" s="7" t="n">
        <v>190801</v>
      </c>
      <c r="K6682" s="6" t="n">
        <v>79</v>
      </c>
      <c r="L6682" s="7" t="n">
        <v>190801</v>
      </c>
      <c r="M6682" s="94">
        <f>VLOOKUP($Q6682,매칭테이블!$F:$I,2,0)*K6682</f>
        <v/>
      </c>
      <c r="N6682" s="94">
        <f>M6682-M6682*VLOOKUP($Q6682,매칭테이블!$F:$I,3,0)</f>
        <v/>
      </c>
      <c r="O6682" s="94">
        <f>VLOOKUP($Q6682,매칭테이블!$F:$I,4,0)*K6682</f>
        <v/>
      </c>
      <c r="P6682" s="148">
        <f>M6682/1.1</f>
        <v/>
      </c>
      <c r="Q6682" s="94">
        <f>F6682&amp;E6682&amp;G6682&amp;L6682</f>
        <v/>
      </c>
    </row>
    <row r="6683" customFormat="1" s="94">
      <c r="B6683" s="128" t="n">
        <v>43989</v>
      </c>
      <c r="C6683" s="94">
        <f>TEXT(B6683,"aaa")</f>
        <v/>
      </c>
      <c r="E6683" s="6" t="inlineStr">
        <is>
          <t>토너</t>
        </is>
      </c>
      <c r="F6683" s="5" t="inlineStr">
        <is>
          <t>카페24</t>
        </is>
      </c>
      <c r="G6683" s="5" t="inlineStr">
        <is>
          <t>250ml 2set</t>
        </is>
      </c>
      <c r="H6683" s="7" t="n">
        <v>190801</v>
      </c>
      <c r="I6683" s="7" t="n">
        <v>190801</v>
      </c>
      <c r="K6683" s="6" t="n">
        <v>43</v>
      </c>
      <c r="L6683" s="7" t="n">
        <v>190801</v>
      </c>
      <c r="M6683" s="94">
        <f>VLOOKUP($Q6683,매칭테이블!$F:$I,2,0)*K6683</f>
        <v/>
      </c>
      <c r="N6683" s="94">
        <f>M6683-M6683*VLOOKUP($Q6683,매칭테이블!$F:$I,3,0)</f>
        <v/>
      </c>
      <c r="O6683" s="94">
        <f>VLOOKUP($Q6683,매칭테이블!$F:$I,4,0)*K6683</f>
        <v/>
      </c>
      <c r="P6683" s="148">
        <f>M6683/1.1</f>
        <v/>
      </c>
      <c r="Q6683" s="94">
        <f>F6683&amp;E6683&amp;G6683&amp;L6683</f>
        <v/>
      </c>
    </row>
    <row r="6684" customFormat="1" s="94">
      <c r="B6684" s="128" t="n">
        <v>43989</v>
      </c>
      <c r="C6684" s="94">
        <f>TEXT(B6684,"aaa")</f>
        <v/>
      </c>
      <c r="E6684" s="6" t="inlineStr">
        <is>
          <t>토너</t>
        </is>
      </c>
      <c r="F6684" s="5" t="inlineStr">
        <is>
          <t>카페24</t>
        </is>
      </c>
      <c r="G6684" s="94" t="inlineStr">
        <is>
          <t>스킨팩 화장솜 60P</t>
        </is>
      </c>
      <c r="H6684" s="7" t="n">
        <v>190801</v>
      </c>
      <c r="I6684" s="7" t="n">
        <v>190801</v>
      </c>
      <c r="K6684" s="6" t="n">
        <v>43</v>
      </c>
      <c r="L6684" s="7" t="n">
        <v>190801</v>
      </c>
      <c r="M6684" s="94">
        <f>VLOOKUP($Q6684,매칭테이블!$F:$I,2,0)*K6684</f>
        <v/>
      </c>
      <c r="N6684" s="94">
        <f>M6684-M6684*VLOOKUP($Q6684,매칭테이블!$F:$I,3,0)</f>
        <v/>
      </c>
      <c r="O6684" s="94">
        <f>VLOOKUP($Q6684,매칭테이블!$F:$I,4,0)*K6684</f>
        <v/>
      </c>
      <c r="P6684" s="148">
        <f>M6684/1.1</f>
        <v/>
      </c>
      <c r="Q6684" s="94">
        <f>F6684&amp;E6684&amp;G6684&amp;L6684</f>
        <v/>
      </c>
    </row>
    <row r="6685" customFormat="1" s="94">
      <c r="B6685" s="128" t="n">
        <v>43989</v>
      </c>
      <c r="C6685" s="94">
        <f>TEXT(B6685,"aaa")</f>
        <v/>
      </c>
      <c r="E6685" s="6" t="inlineStr">
        <is>
          <t>토너</t>
        </is>
      </c>
      <c r="F6685" s="5" t="inlineStr">
        <is>
          <t>카페24</t>
        </is>
      </c>
      <c r="G6685" s="5" t="inlineStr">
        <is>
          <t>250ml</t>
        </is>
      </c>
      <c r="H6685" s="7" t="n">
        <v>190801</v>
      </c>
      <c r="I6685" s="7" t="n">
        <v>190801</v>
      </c>
      <c r="K6685" s="6" t="n">
        <v>3</v>
      </c>
      <c r="L6685" s="7" t="n">
        <v>190801</v>
      </c>
      <c r="M6685" s="94">
        <f>VLOOKUP($Q6685,매칭테이블!$F:$I,2,0)*K6685</f>
        <v/>
      </c>
      <c r="N6685" s="94">
        <f>M6685-M6685*VLOOKUP($Q6685,매칭테이블!$F:$I,3,0)</f>
        <v/>
      </c>
      <c r="O6685" s="94">
        <f>VLOOKUP($Q6685,매칭테이블!$F:$I,4,0)*K6685</f>
        <v/>
      </c>
      <c r="P6685" s="148">
        <f>M6685/1.1</f>
        <v/>
      </c>
      <c r="Q6685" s="94">
        <f>F6685&amp;E6685&amp;G6685&amp;L6685</f>
        <v/>
      </c>
    </row>
    <row r="6686" customFormat="1" s="94">
      <c r="B6686" s="128" t="n">
        <v>43989</v>
      </c>
      <c r="C6686" s="94">
        <f>TEXT(B6686,"aaa")</f>
        <v/>
      </c>
      <c r="E6686" s="94" t="inlineStr">
        <is>
          <t>수딩크림</t>
        </is>
      </c>
      <c r="F6686" s="5" t="inlineStr">
        <is>
          <t>카페24</t>
        </is>
      </c>
      <c r="G6686" s="94" t="inlineStr">
        <is>
          <t>수딩크림 100ml</t>
        </is>
      </c>
      <c r="H6686" s="7" t="n">
        <v>190801</v>
      </c>
      <c r="I6686" s="7" t="n">
        <v>190801</v>
      </c>
      <c r="K6686" s="6" t="n">
        <v>5</v>
      </c>
      <c r="L6686" s="94" t="n">
        <v>190801</v>
      </c>
      <c r="M6686" s="94">
        <f>VLOOKUP($Q6686,매칭테이블!$F:$I,2,0)*K6686</f>
        <v/>
      </c>
      <c r="N6686" s="94">
        <f>M6686-M6686*VLOOKUP($Q6686,매칭테이블!$F:$I,3,0)</f>
        <v/>
      </c>
      <c r="O6686" s="94">
        <f>VLOOKUP($Q6686,매칭테이블!$F:$I,4,0)*K6686</f>
        <v/>
      </c>
      <c r="P6686" s="148">
        <f>M6686/1.1</f>
        <v/>
      </c>
      <c r="Q6686" s="94">
        <f>F6686&amp;E6686&amp;G6686&amp;L6686</f>
        <v/>
      </c>
    </row>
    <row r="6687" customFormat="1" s="94">
      <c r="B6687" s="128" t="n">
        <v>43989</v>
      </c>
      <c r="C6687" s="94">
        <f>TEXT(B6687,"aaa")</f>
        <v/>
      </c>
      <c r="E6687" s="94" t="inlineStr">
        <is>
          <t>수딩크림</t>
        </is>
      </c>
      <c r="F6687" s="5" t="inlineStr">
        <is>
          <t>카페24</t>
        </is>
      </c>
      <c r="G6687" s="94" t="inlineStr">
        <is>
          <t>수딩크림 100ml</t>
        </is>
      </c>
      <c r="H6687" s="7" t="n">
        <v>190801</v>
      </c>
      <c r="I6687" s="7" t="n">
        <v>190801</v>
      </c>
      <c r="K6687" s="6" t="n">
        <v>1</v>
      </c>
      <c r="L6687" s="94" t="n">
        <v>190801</v>
      </c>
      <c r="M6687" s="94">
        <f>VLOOKUP($Q6687,매칭테이블!$F:$I,2,0)*K6687</f>
        <v/>
      </c>
      <c r="N6687" s="94">
        <f>M6687-M6687*VLOOKUP($Q6687,매칭테이블!$F:$I,3,0)</f>
        <v/>
      </c>
      <c r="O6687" s="94">
        <f>VLOOKUP($Q6687,매칭테이블!$F:$I,4,0)*K6687</f>
        <v/>
      </c>
      <c r="P6687" s="148">
        <f>M6687/1.1</f>
        <v/>
      </c>
      <c r="Q6687" s="94">
        <f>F6687&amp;E6687&amp;G6687&amp;L6687</f>
        <v/>
      </c>
    </row>
    <row r="6688" customFormat="1" s="94">
      <c r="B6688" s="128" t="n">
        <v>43989</v>
      </c>
      <c r="C6688" s="94">
        <f>TEXT(B6688,"aaa")</f>
        <v/>
      </c>
      <c r="E6688" s="94" t="inlineStr">
        <is>
          <t>앰플</t>
        </is>
      </c>
      <c r="F6688" s="5" t="inlineStr">
        <is>
          <t>카페24</t>
        </is>
      </c>
      <c r="G6688" s="94" t="inlineStr">
        <is>
          <t>앰플 30ml</t>
        </is>
      </c>
      <c r="H6688" s="7" t="n">
        <v>190801</v>
      </c>
      <c r="I6688" s="7" t="n">
        <v>190801</v>
      </c>
      <c r="K6688" s="6" t="n">
        <v>4</v>
      </c>
      <c r="L6688" s="94" t="n">
        <v>190801</v>
      </c>
      <c r="M6688" s="94">
        <f>VLOOKUP($Q6688,매칭테이블!$F:$I,2,0)*K6688</f>
        <v/>
      </c>
      <c r="N6688" s="94">
        <f>M6688-M6688*VLOOKUP($Q6688,매칭테이블!$F:$I,3,0)</f>
        <v/>
      </c>
      <c r="O6688" s="94">
        <f>VLOOKUP($Q6688,매칭테이블!$F:$I,4,0)*K6688</f>
        <v/>
      </c>
      <c r="P6688" s="148">
        <f>M6688/1.1</f>
        <v/>
      </c>
      <c r="Q6688" s="94">
        <f>F6688&amp;E6688&amp;G6688&amp;L6688</f>
        <v/>
      </c>
    </row>
    <row r="6689" customFormat="1" s="94">
      <c r="B6689" s="128" t="n">
        <v>43989</v>
      </c>
      <c r="C6689" s="94">
        <f>TEXT(B6689,"aaa")</f>
        <v/>
      </c>
      <c r="E6689" s="94" t="inlineStr">
        <is>
          <t>앰플</t>
        </is>
      </c>
      <c r="F6689" s="5" t="inlineStr">
        <is>
          <t>카페24</t>
        </is>
      </c>
      <c r="G6689" s="94" t="inlineStr">
        <is>
          <t>앰플 30ml</t>
        </is>
      </c>
      <c r="H6689" s="7" t="n">
        <v>190801</v>
      </c>
      <c r="I6689" s="7" t="n">
        <v>190801</v>
      </c>
      <c r="K6689" s="6" t="n">
        <v>9</v>
      </c>
      <c r="L6689" s="94" t="n">
        <v>190801</v>
      </c>
      <c r="M6689" s="94">
        <f>VLOOKUP($Q6689,매칭테이블!$F:$I,2,0)*K6689</f>
        <v/>
      </c>
      <c r="N6689" s="94">
        <f>M6689-M6689*VLOOKUP($Q6689,매칭테이블!$F:$I,3,0)</f>
        <v/>
      </c>
      <c r="O6689" s="94">
        <f>VLOOKUP($Q6689,매칭테이블!$F:$I,4,0)*K6689</f>
        <v/>
      </c>
      <c r="P6689" s="148">
        <f>M6689/1.1</f>
        <v/>
      </c>
      <c r="Q6689" s="94">
        <f>F6689&amp;E6689&amp;G6689&amp;L6689</f>
        <v/>
      </c>
    </row>
    <row r="6690" customFormat="1" s="94">
      <c r="B6690" s="128" t="n">
        <v>43989</v>
      </c>
      <c r="C6690" s="94">
        <f>TEXT(B6690,"aaa")</f>
        <v/>
      </c>
      <c r="E6690" s="94" t="inlineStr">
        <is>
          <t>클렌징폼</t>
        </is>
      </c>
      <c r="F6690" s="5" t="inlineStr">
        <is>
          <t>카페24</t>
        </is>
      </c>
      <c r="G6690" s="94" t="inlineStr">
        <is>
          <t>클렌징폼 120ml</t>
        </is>
      </c>
      <c r="H6690" s="7" t="n">
        <v>190801</v>
      </c>
      <c r="I6690" s="7" t="n">
        <v>190801</v>
      </c>
      <c r="K6690" s="6" t="n">
        <v>9</v>
      </c>
      <c r="L6690" s="92" t="n">
        <v>190801</v>
      </c>
      <c r="M6690" s="94">
        <f>VLOOKUP($Q6690,매칭테이블!$F:$I,2,0)*K6690</f>
        <v/>
      </c>
      <c r="N6690" s="94">
        <f>M6690-M6690*VLOOKUP($Q6690,매칭테이블!$F:$I,3,0)</f>
        <v/>
      </c>
      <c r="O6690" s="94">
        <f>VLOOKUP($Q6690,매칭테이블!$F:$I,4,0)*K6690</f>
        <v/>
      </c>
      <c r="P6690" s="148">
        <f>M6690/1.1</f>
        <v/>
      </c>
      <c r="Q6690" s="94">
        <f>F6690&amp;E6690&amp;G6690&amp;L6690</f>
        <v/>
      </c>
    </row>
    <row r="6691" customFormat="1" s="94">
      <c r="B6691" s="128" t="n">
        <v>43989</v>
      </c>
      <c r="C6691" s="94">
        <f>TEXT(B6691,"aaa")</f>
        <v/>
      </c>
      <c r="E6691" s="94" t="inlineStr">
        <is>
          <t>클렌징폼</t>
        </is>
      </c>
      <c r="F6691" s="5" t="inlineStr">
        <is>
          <t>카페24</t>
        </is>
      </c>
      <c r="G6691" s="94" t="inlineStr">
        <is>
          <t>클렌징폼 120ml 3set</t>
        </is>
      </c>
      <c r="H6691" s="7" t="n">
        <v>190801</v>
      </c>
      <c r="I6691" s="7" t="n">
        <v>190801</v>
      </c>
      <c r="K6691" s="6" t="n">
        <v>1</v>
      </c>
      <c r="L6691" s="92" t="n">
        <v>190801</v>
      </c>
      <c r="M6691" s="94">
        <f>VLOOKUP($Q6691,매칭테이블!$F:$I,2,0)*K6691</f>
        <v/>
      </c>
      <c r="N6691" s="94">
        <f>M6691-M6691*VLOOKUP($Q6691,매칭테이블!$F:$I,3,0)</f>
        <v/>
      </c>
      <c r="O6691" s="94">
        <f>VLOOKUP($Q6691,매칭테이블!$F:$I,4,0)*K6691</f>
        <v/>
      </c>
      <c r="P6691" s="148">
        <f>M6691/1.1</f>
        <v/>
      </c>
      <c r="Q6691" s="94">
        <f>F6691&amp;E6691&amp;G6691&amp;L6691</f>
        <v/>
      </c>
    </row>
    <row r="6692" customFormat="1" s="94">
      <c r="B6692" s="128" t="n">
        <v>43989</v>
      </c>
      <c r="C6692" s="94">
        <f>TEXT(B6692,"aaa")</f>
        <v/>
      </c>
      <c r="E6692" s="94" t="inlineStr">
        <is>
          <t>토너</t>
        </is>
      </c>
      <c r="F6692" s="5" t="inlineStr">
        <is>
          <t>카페24</t>
        </is>
      </c>
      <c r="G6692" s="94" t="inlineStr">
        <is>
          <t>스킨팩 화장솜 60P</t>
        </is>
      </c>
      <c r="H6692" s="7" t="n">
        <v>190801</v>
      </c>
      <c r="I6692" s="7" t="n">
        <v>190801</v>
      </c>
      <c r="K6692" s="6" t="n">
        <v>11</v>
      </c>
      <c r="L6692" s="92" t="n">
        <v>190801</v>
      </c>
      <c r="M6692" s="94">
        <f>VLOOKUP($Q6692,매칭테이블!$F:$I,2,0)*K6692</f>
        <v/>
      </c>
      <c r="N6692" s="94">
        <f>M6692-M6692*VLOOKUP($Q6692,매칭테이블!$F:$I,3,0)</f>
        <v/>
      </c>
      <c r="O6692" s="94">
        <f>VLOOKUP($Q6692,매칭테이블!$F:$I,4,0)*K6692</f>
        <v/>
      </c>
      <c r="P6692" s="148">
        <f>M6692/1.1</f>
        <v/>
      </c>
      <c r="Q6692" s="94">
        <f>F6692&amp;E6692&amp;G6692&amp;L6692</f>
        <v/>
      </c>
    </row>
    <row r="6693" customFormat="1" s="94">
      <c r="B6693" s="128" t="n">
        <v>43989</v>
      </c>
      <c r="C6693" s="94">
        <f>TEXT(B6693,"aaa")</f>
        <v/>
      </c>
      <c r="E6693" s="94" t="inlineStr">
        <is>
          <t>토너</t>
        </is>
      </c>
      <c r="F6693" s="5" t="inlineStr">
        <is>
          <t>카페24</t>
        </is>
      </c>
      <c r="G6693" s="94" t="inlineStr">
        <is>
          <t>스킨팩 화장솜 60P</t>
        </is>
      </c>
      <c r="H6693" s="7" t="n">
        <v>190801</v>
      </c>
      <c r="I6693" s="7" t="n">
        <v>190801</v>
      </c>
      <c r="K6693" s="6" t="n">
        <v>1</v>
      </c>
      <c r="L6693" s="92" t="n">
        <v>190801</v>
      </c>
      <c r="M6693" s="94">
        <f>VLOOKUP($Q6693,매칭테이블!$F:$I,2,0)*K6693</f>
        <v/>
      </c>
      <c r="N6693" s="94">
        <f>M6693-M6693*VLOOKUP($Q6693,매칭테이블!$F:$I,3,0)</f>
        <v/>
      </c>
      <c r="O6693" s="94">
        <f>VLOOKUP($Q6693,매칭테이블!$F:$I,4,0)*K6693</f>
        <v/>
      </c>
      <c r="P6693" s="148">
        <f>M6693/1.1</f>
        <v/>
      </c>
      <c r="Q6693" s="94">
        <f>F6693&amp;E6693&amp;G6693&amp;L6693</f>
        <v/>
      </c>
    </row>
    <row r="6694" customFormat="1" s="94">
      <c r="B6694" s="128" t="n">
        <v>43989</v>
      </c>
      <c r="C6694" s="94">
        <f>TEXT(B6694,"aaa")</f>
        <v/>
      </c>
      <c r="E6694" s="6" t="inlineStr">
        <is>
          <t>토너</t>
        </is>
      </c>
      <c r="F6694" s="94" t="inlineStr">
        <is>
          <t>랄라블라</t>
        </is>
      </c>
      <c r="G6694" s="5" t="inlineStr">
        <is>
          <t>250ml</t>
        </is>
      </c>
      <c r="H6694" s="7" t="n">
        <v>190801</v>
      </c>
      <c r="I6694" s="7" t="n">
        <v>190801</v>
      </c>
      <c r="K6694" s="6" t="n">
        <v>40</v>
      </c>
      <c r="L6694" s="7" t="n">
        <v>190801</v>
      </c>
      <c r="M6694" s="94">
        <f>VLOOKUP($Q6694,매칭테이블!$F:$I,2,0)*K6694</f>
        <v/>
      </c>
      <c r="N6694" s="94">
        <f>M6694-M6694*VLOOKUP($Q6694,매칭테이블!$F:$I,3,0)</f>
        <v/>
      </c>
      <c r="O6694" s="94">
        <f>VLOOKUP($Q6694,매칭테이블!$F:$I,4,0)*K6694</f>
        <v/>
      </c>
      <c r="P6694" s="148">
        <f>M6694/1.1</f>
        <v/>
      </c>
      <c r="Q6694" s="94">
        <f>F6694&amp;E6694&amp;G6694&amp;L6694</f>
        <v/>
      </c>
    </row>
    <row r="6695" customFormat="1" s="94">
      <c r="B6695" s="128" t="n">
        <v>43989</v>
      </c>
      <c r="C6695" s="94">
        <f>TEXT(B6695,"aaa")</f>
        <v/>
      </c>
      <c r="E6695" s="6" t="inlineStr">
        <is>
          <t>토너</t>
        </is>
      </c>
      <c r="F6695" s="94" t="inlineStr">
        <is>
          <t>랄라블라</t>
        </is>
      </c>
      <c r="G6695" s="5" t="inlineStr">
        <is>
          <t>500ml</t>
        </is>
      </c>
      <c r="H6695" s="7" t="n">
        <v>190801</v>
      </c>
      <c r="I6695" s="7" t="n">
        <v>190801</v>
      </c>
      <c r="K6695" s="6" t="n">
        <v>48</v>
      </c>
      <c r="L6695" s="7" t="n">
        <v>190801</v>
      </c>
      <c r="M6695" s="94">
        <f>VLOOKUP($Q6695,매칭테이블!$F:$I,2,0)*K6695</f>
        <v/>
      </c>
      <c r="N6695" s="94">
        <f>M6695-M6695*VLOOKUP($Q6695,매칭테이블!$F:$I,3,0)</f>
        <v/>
      </c>
      <c r="O6695" s="94">
        <f>VLOOKUP($Q6695,매칭테이블!$F:$I,4,0)*K6695</f>
        <v/>
      </c>
      <c r="P6695" s="148">
        <f>M6695/1.1</f>
        <v/>
      </c>
      <c r="Q6695" s="94">
        <f>F6695&amp;E6695&amp;G6695&amp;L6695</f>
        <v/>
      </c>
    </row>
    <row r="6696" customFormat="1" s="94">
      <c r="B6696" s="128" t="n">
        <v>43989</v>
      </c>
      <c r="C6696" s="94">
        <f>TEXT(B6696,"aaa")</f>
        <v/>
      </c>
      <c r="E6696" s="94" t="inlineStr">
        <is>
          <t>마스크팩</t>
        </is>
      </c>
      <c r="F6696" s="94" t="inlineStr">
        <is>
          <t>랄라블라</t>
        </is>
      </c>
      <c r="G6696" s="94" t="inlineStr">
        <is>
          <t>마스크팩 1매</t>
        </is>
      </c>
      <c r="H6696" s="7" t="n">
        <v>190801</v>
      </c>
      <c r="I6696" s="7" t="n">
        <v>190801</v>
      </c>
      <c r="K6696" s="6" t="n">
        <v>718</v>
      </c>
      <c r="L6696" s="94" t="n">
        <v>190801</v>
      </c>
      <c r="M6696" s="94">
        <f>VLOOKUP($Q6696,매칭테이블!$F:$I,2,0)*K6696</f>
        <v/>
      </c>
      <c r="N6696" s="94">
        <f>M6696-M6696*VLOOKUP($Q6696,매칭테이블!$F:$I,3,0)</f>
        <v/>
      </c>
      <c r="O6696" s="94">
        <f>VLOOKUP($Q6696,매칭테이블!$F:$I,4,0)*K6696</f>
        <v/>
      </c>
      <c r="P6696" s="148">
        <f>M6696/1.1</f>
        <v/>
      </c>
      <c r="Q6696" s="94">
        <f>F6696&amp;E6696&amp;G6696&amp;L6696</f>
        <v/>
      </c>
    </row>
    <row r="6697" customFormat="1" s="94">
      <c r="B6697" s="128" t="n">
        <v>43989</v>
      </c>
      <c r="C6697" s="94">
        <f>TEXT(B6697,"aaa")</f>
        <v/>
      </c>
      <c r="E6697" s="94" t="inlineStr">
        <is>
          <t>수딩크림 증정기획</t>
        </is>
      </c>
      <c r="F6697" s="94" t="inlineStr">
        <is>
          <t>랄라블라</t>
        </is>
      </c>
      <c r="G6697" s="94" t="inlineStr">
        <is>
          <t>수딩크림 증정기획</t>
        </is>
      </c>
      <c r="H6697" s="7" t="n">
        <v>190801</v>
      </c>
      <c r="I6697" s="7" t="n">
        <v>190801</v>
      </c>
      <c r="K6697" s="94" t="n">
        <v>81</v>
      </c>
      <c r="L6697" s="94" t="n">
        <v>190801</v>
      </c>
      <c r="M6697" s="94">
        <f>VLOOKUP($Q6697,매칭테이블!$F:$I,2,0)*K6697</f>
        <v/>
      </c>
      <c r="N6697" s="94">
        <f>M6697-M6697*VLOOKUP($Q6697,매칭테이블!$F:$I,3,0)</f>
        <v/>
      </c>
      <c r="O6697" s="94">
        <f>VLOOKUP($Q6697,매칭테이블!$F:$I,4,0)*K6697</f>
        <v/>
      </c>
      <c r="P6697" s="148">
        <f>M6697/1.1</f>
        <v/>
      </c>
      <c r="Q6697" s="94">
        <f>F6697&amp;E6697&amp;G6697&amp;L6697</f>
        <v/>
      </c>
    </row>
    <row r="6698" customFormat="1" s="94">
      <c r="B6698" s="128" t="n">
        <v>43989</v>
      </c>
      <c r="C6698" s="94">
        <f>TEXT(B6698,"aaa")</f>
        <v/>
      </c>
      <c r="E6698" s="94" t="inlineStr">
        <is>
          <t>수딩크림</t>
        </is>
      </c>
      <c r="F6698" s="94" t="inlineStr">
        <is>
          <t>랄라블라</t>
        </is>
      </c>
      <c r="G6698" s="94" t="inlineStr">
        <is>
          <t>수딩크림 100ml</t>
        </is>
      </c>
      <c r="H6698" s="7" t="n">
        <v>190801</v>
      </c>
      <c r="I6698" s="7" t="n">
        <v>190801</v>
      </c>
      <c r="K6698" s="94" t="n">
        <v>3</v>
      </c>
      <c r="L6698" s="94" t="n">
        <v>190801</v>
      </c>
      <c r="M6698" s="94">
        <f>VLOOKUP($Q6698,매칭테이블!$F:$I,2,0)*K6698</f>
        <v/>
      </c>
      <c r="N6698" s="94">
        <f>M6698-M6698*VLOOKUP($Q6698,매칭테이블!$F:$I,3,0)</f>
        <v/>
      </c>
      <c r="O6698" s="94">
        <f>VLOOKUP($Q6698,매칭테이블!$F:$I,4,0)*K6698</f>
        <v/>
      </c>
      <c r="P6698" s="148">
        <f>M6698/1.1</f>
        <v/>
      </c>
      <c r="Q6698" s="94">
        <f>F6698&amp;E6698&amp;G6698&amp;L6698</f>
        <v/>
      </c>
    </row>
    <row r="6699" customFormat="1" s="94">
      <c r="B6699" s="128" t="n">
        <v>43989</v>
      </c>
      <c r="C6699" s="94">
        <f>TEXT(B6699,"aaa")</f>
        <v/>
      </c>
      <c r="E6699" s="94" t="inlineStr">
        <is>
          <t>앰플 기획세트</t>
        </is>
      </c>
      <c r="F6699" s="94" t="inlineStr">
        <is>
          <t>랄라블라</t>
        </is>
      </c>
      <c r="G6699" s="94" t="inlineStr">
        <is>
          <t>앰플 기획세트</t>
        </is>
      </c>
      <c r="H6699" s="7" t="n">
        <v>190801</v>
      </c>
      <c r="I6699" s="7" t="n">
        <v>190801</v>
      </c>
      <c r="K6699" s="94" t="n">
        <v>95</v>
      </c>
      <c r="L6699" s="94" t="n">
        <v>190801</v>
      </c>
      <c r="M6699" s="94">
        <f>VLOOKUP($Q6699,매칭테이블!$F:$I,2,0)*K6699</f>
        <v/>
      </c>
      <c r="N6699" s="94">
        <f>M6699-M6699*VLOOKUP($Q6699,매칭테이블!$F:$I,3,0)</f>
        <v/>
      </c>
      <c r="O6699" s="94">
        <f>VLOOKUP($Q6699,매칭테이블!$F:$I,4,0)*K6699</f>
        <v/>
      </c>
      <c r="P6699" s="148">
        <f>M6699/1.1</f>
        <v/>
      </c>
      <c r="Q6699" s="94">
        <f>F6699&amp;E6699&amp;G6699&amp;L6699</f>
        <v/>
      </c>
    </row>
    <row r="6700" customFormat="1" s="94">
      <c r="B6700" s="128" t="n">
        <v>43989</v>
      </c>
      <c r="C6700" s="94">
        <f>TEXT(B6700,"aaa")</f>
        <v/>
      </c>
      <c r="E6700" s="94" t="inlineStr">
        <is>
          <t>클렌징폼 기획세트</t>
        </is>
      </c>
      <c r="F6700" s="94" t="inlineStr">
        <is>
          <t>랄라블라</t>
        </is>
      </c>
      <c r="G6700" s="94" t="inlineStr">
        <is>
          <t>클렌징폼 기획세트</t>
        </is>
      </c>
      <c r="H6700" s="7" t="n">
        <v>190801</v>
      </c>
      <c r="I6700" s="7" t="n">
        <v>190801</v>
      </c>
      <c r="K6700" s="94" t="n">
        <v>96</v>
      </c>
      <c r="L6700" s="94" t="n">
        <v>190801</v>
      </c>
      <c r="M6700" s="94">
        <f>VLOOKUP($Q6700,매칭테이블!$F:$I,2,0)*K6700</f>
        <v/>
      </c>
      <c r="N6700" s="94">
        <f>M6700-M6700*VLOOKUP($Q6700,매칭테이블!$F:$I,3,0)</f>
        <v/>
      </c>
      <c r="O6700" s="94">
        <f>VLOOKUP($Q6700,매칭테이블!$F:$I,4,0)*K6700</f>
        <v/>
      </c>
      <c r="P6700" s="148">
        <f>M6700/1.1</f>
        <v/>
      </c>
      <c r="Q6700" s="94">
        <f>F6700&amp;E6700&amp;G6700&amp;L6700</f>
        <v/>
      </c>
    </row>
    <row r="6701" customFormat="1" s="94">
      <c r="B6701" s="128" t="n">
        <v>43989</v>
      </c>
      <c r="C6701" s="94">
        <f>TEXT(B6701,"aaa")</f>
        <v/>
      </c>
      <c r="E6701" s="94" t="inlineStr">
        <is>
          <t>토너 기획세트</t>
        </is>
      </c>
      <c r="F6701" s="94" t="inlineStr">
        <is>
          <t>랄라블라</t>
        </is>
      </c>
      <c r="G6701" s="94" t="inlineStr">
        <is>
          <t>토너 기획세트</t>
        </is>
      </c>
      <c r="H6701" s="7" t="n">
        <v>190801</v>
      </c>
      <c r="I6701" s="7" t="n">
        <v>190801</v>
      </c>
      <c r="K6701" s="94" t="n">
        <v>1</v>
      </c>
      <c r="L6701" s="94" t="n">
        <v>190801</v>
      </c>
      <c r="M6701" s="94">
        <f>VLOOKUP($Q6701,매칭테이블!$F:$I,2,0)*K6701</f>
        <v/>
      </c>
      <c r="N6701" s="94">
        <f>M6701-M6701*VLOOKUP($Q6701,매칭테이블!$F:$I,3,0)</f>
        <v/>
      </c>
      <c r="O6701" s="94">
        <f>VLOOKUP($Q6701,매칭테이블!$F:$I,4,0)*K6701</f>
        <v/>
      </c>
      <c r="P6701" s="148">
        <f>M6701/1.1</f>
        <v/>
      </c>
      <c r="Q6701" s="94">
        <f>F6701&amp;E6701&amp;G6701&amp;L6701</f>
        <v/>
      </c>
    </row>
    <row r="6702" customFormat="1" s="94">
      <c r="B6702" s="128" t="n">
        <v>43989</v>
      </c>
      <c r="C6702" s="94">
        <f>TEXT(B6702,"aaa")</f>
        <v/>
      </c>
      <c r="E6702" s="94" t="inlineStr">
        <is>
          <t>클렌징폼</t>
        </is>
      </c>
      <c r="F6702" s="94" t="inlineStr">
        <is>
          <t>랄라블라</t>
        </is>
      </c>
      <c r="G6702" s="94" t="inlineStr">
        <is>
          <t>클렌징폼 120ml</t>
        </is>
      </c>
      <c r="H6702" s="7" t="n">
        <v>190801</v>
      </c>
      <c r="I6702" s="7" t="n">
        <v>190801</v>
      </c>
      <c r="K6702" s="6" t="n">
        <v>4</v>
      </c>
      <c r="L6702" s="7" t="n">
        <v>190801</v>
      </c>
      <c r="M6702" s="94">
        <f>VLOOKUP($Q6702,매칭테이블!$F:$I,2,0)*K6702</f>
        <v/>
      </c>
      <c r="N6702" s="94">
        <f>M6702-M6702*VLOOKUP($Q6702,매칭테이블!$F:$I,3,0)</f>
        <v/>
      </c>
      <c r="O6702" s="94">
        <f>VLOOKUP($Q6702,매칭테이블!$F:$I,4,0)*K6702</f>
        <v/>
      </c>
      <c r="P6702" s="148">
        <f>M6702/1.1</f>
        <v/>
      </c>
      <c r="Q6702" s="94">
        <f>F6702&amp;E6702&amp;G6702&amp;L6702</f>
        <v/>
      </c>
    </row>
    <row r="6703" customFormat="1" s="94">
      <c r="B6703" s="128" t="n">
        <v>43989</v>
      </c>
      <c r="C6703" s="94">
        <f>TEXT(B6703,"aaa")</f>
        <v/>
      </c>
      <c r="E6703" s="94" t="inlineStr">
        <is>
          <t>토너 증정기획</t>
        </is>
      </c>
      <c r="F6703" s="94" t="inlineStr">
        <is>
          <t>랄라블라</t>
        </is>
      </c>
      <c r="G6703" s="94" t="inlineStr">
        <is>
          <t>토너 증정기획</t>
        </is>
      </c>
      <c r="H6703" s="7" t="n">
        <v>190801</v>
      </c>
      <c r="I6703" s="7" t="n">
        <v>190801</v>
      </c>
      <c r="K6703" s="6" t="n">
        <v>349</v>
      </c>
      <c r="L6703" s="7" t="n">
        <v>190801</v>
      </c>
      <c r="M6703" s="94">
        <f>VLOOKUP($Q6703,매칭테이블!$F:$I,2,0)*K6703</f>
        <v/>
      </c>
      <c r="N6703" s="94">
        <f>M6703-M6703*VLOOKUP($Q6703,매칭테이블!$F:$I,3,0)</f>
        <v/>
      </c>
      <c r="O6703" s="94">
        <f>VLOOKUP($Q6703,매칭테이블!$F:$I,4,0)*K6703</f>
        <v/>
      </c>
      <c r="P6703" s="148">
        <f>M6703/1.1</f>
        <v/>
      </c>
      <c r="Q6703" s="94">
        <f>F6703&amp;E6703&amp;G6703&amp;L6703</f>
        <v/>
      </c>
    </row>
    <row r="6704" customFormat="1" s="94">
      <c r="B6704" s="128" t="n">
        <v>43989</v>
      </c>
      <c r="C6704" s="94">
        <f>TEXT(B6704,"aaa")</f>
        <v/>
      </c>
      <c r="E6704" s="94" t="inlineStr">
        <is>
          <t>선크림</t>
        </is>
      </c>
      <c r="F6704" s="94" t="inlineStr">
        <is>
          <t>랄라블라</t>
        </is>
      </c>
      <c r="G6704" s="94" t="inlineStr">
        <is>
          <t>선크림 50ml</t>
        </is>
      </c>
      <c r="H6704" s="7" t="n">
        <v>190801</v>
      </c>
      <c r="I6704" s="7" t="n">
        <v>190801</v>
      </c>
      <c r="K6704" s="94" t="n">
        <v>58</v>
      </c>
      <c r="L6704" s="94" t="n">
        <v>190801</v>
      </c>
      <c r="M6704" s="94">
        <f>VLOOKUP($Q6704,매칭테이블!$F:$I,2,0)*K6704</f>
        <v/>
      </c>
      <c r="N6704" s="94">
        <f>M6704-M6704*VLOOKUP($Q6704,매칭테이블!$F:$I,3,0)</f>
        <v/>
      </c>
      <c r="O6704" s="94">
        <f>VLOOKUP($Q6704,매칭테이블!$F:$I,4,0)*K6704</f>
        <v/>
      </c>
      <c r="P6704" s="148">
        <f>M6704/1.1</f>
        <v/>
      </c>
      <c r="Q6704" s="94">
        <f>F6704&amp;E6704&amp;G6704&amp;L6704</f>
        <v/>
      </c>
    </row>
    <row r="6705" customFormat="1" s="94">
      <c r="B6705" s="128" t="n">
        <v>43989</v>
      </c>
      <c r="C6705" s="94">
        <f>TEXT(B6705,"aaa")</f>
        <v/>
      </c>
      <c r="E6705" s="94" t="inlineStr">
        <is>
          <t>대용량 기획세트</t>
        </is>
      </c>
      <c r="F6705" s="94" t="inlineStr">
        <is>
          <t>랄라블라</t>
        </is>
      </c>
      <c r="G6705" s="94" t="inlineStr">
        <is>
          <t>대용량 기획세트</t>
        </is>
      </c>
      <c r="H6705" s="7" t="n">
        <v>190801</v>
      </c>
      <c r="I6705" s="7" t="n">
        <v>190801</v>
      </c>
      <c r="K6705" s="94" t="n">
        <v>1047</v>
      </c>
      <c r="L6705" s="94" t="n">
        <v>190801</v>
      </c>
      <c r="M6705" s="94">
        <f>VLOOKUP($Q6705,매칭테이블!$F:$I,2,0)*K6705</f>
        <v/>
      </c>
      <c r="N6705" s="94">
        <f>M6705-M6705*VLOOKUP($Q6705,매칭테이블!$F:$I,3,0)</f>
        <v/>
      </c>
      <c r="O6705" s="94">
        <f>VLOOKUP($Q6705,매칭테이블!$F:$I,4,0)*K6705</f>
        <v/>
      </c>
      <c r="P6705" s="148">
        <f>M6705/1.1</f>
        <v/>
      </c>
      <c r="Q6705" s="94">
        <f>F6705&amp;E6705&amp;G6705&amp;L6705</f>
        <v/>
      </c>
    </row>
    <row r="6706" customFormat="1" s="94">
      <c r="B6706" s="128" t="n">
        <v>43990</v>
      </c>
      <c r="C6706" s="94">
        <f>TEXT(B6706,"aaa")</f>
        <v/>
      </c>
      <c r="E6706" s="94" t="inlineStr">
        <is>
          <t>토너</t>
        </is>
      </c>
      <c r="F6706" s="94" t="inlineStr">
        <is>
          <t>W컨셉</t>
        </is>
      </c>
      <c r="G6706" s="94" t="inlineStr">
        <is>
          <t>250ml</t>
        </is>
      </c>
      <c r="H6706" s="7" t="n">
        <v>190801</v>
      </c>
      <c r="I6706" s="7" t="n">
        <v>190801</v>
      </c>
      <c r="K6706" s="94" t="n">
        <v>4</v>
      </c>
      <c r="L6706" s="94" t="n">
        <v>190801</v>
      </c>
      <c r="M6706" s="94">
        <f>VLOOKUP($Q6706,매칭테이블!$F:$I,2,0)*K6706</f>
        <v/>
      </c>
      <c r="N6706" s="94">
        <f>M6706-M6706*VLOOKUP($Q6706,매칭테이블!$F:$I,3,0)</f>
        <v/>
      </c>
      <c r="O6706" s="94">
        <f>VLOOKUP($Q6706,매칭테이블!$F:$I,4,0)*K6706</f>
        <v/>
      </c>
      <c r="P6706" s="148">
        <f>M6706/1.1</f>
        <v/>
      </c>
      <c r="Q6706" s="94">
        <f>F6706&amp;E6706&amp;G6706&amp;L6706</f>
        <v/>
      </c>
    </row>
    <row r="6707" customFormat="1" s="94">
      <c r="B6707" s="128" t="n">
        <v>43990</v>
      </c>
      <c r="C6707" s="94">
        <f>TEXT(B6707,"aaa")</f>
        <v/>
      </c>
      <c r="E6707" s="94" t="inlineStr">
        <is>
          <t>토너</t>
        </is>
      </c>
      <c r="F6707" s="94" t="inlineStr">
        <is>
          <t>W컨셉</t>
        </is>
      </c>
      <c r="G6707" s="94" t="inlineStr">
        <is>
          <t>250ml 2set</t>
        </is>
      </c>
      <c r="H6707" s="7" t="n">
        <v>190801</v>
      </c>
      <c r="I6707" s="7" t="n">
        <v>190801</v>
      </c>
      <c r="K6707" s="94" t="n">
        <v>11</v>
      </c>
      <c r="L6707" s="94" t="n">
        <v>190801</v>
      </c>
      <c r="M6707" s="94">
        <f>VLOOKUP($Q6707,매칭테이블!$F:$I,2,0)*K6707</f>
        <v/>
      </c>
      <c r="N6707" s="94">
        <f>M6707-M6707*VLOOKUP($Q6707,매칭테이블!$F:$I,3,0)</f>
        <v/>
      </c>
      <c r="O6707" s="94">
        <f>VLOOKUP($Q6707,매칭테이블!$F:$I,4,0)*K6707</f>
        <v/>
      </c>
      <c r="P6707" s="148">
        <f>M6707/1.1</f>
        <v/>
      </c>
      <c r="Q6707" s="94">
        <f>F6707&amp;E6707&amp;G6707&amp;L6707</f>
        <v/>
      </c>
    </row>
    <row r="6708" customFormat="1" s="94">
      <c r="B6708" s="128" t="n">
        <v>43990</v>
      </c>
      <c r="C6708" s="94">
        <f>TEXT(B6708,"aaa")</f>
        <v/>
      </c>
      <c r="E6708" s="94" t="inlineStr">
        <is>
          <t>토너</t>
        </is>
      </c>
      <c r="F6708" s="94" t="inlineStr">
        <is>
          <t>스타일쉐어</t>
        </is>
      </c>
      <c r="G6708" s="94" t="inlineStr">
        <is>
          <t>250ml</t>
        </is>
      </c>
      <c r="H6708" s="7" t="n">
        <v>190801</v>
      </c>
      <c r="I6708" s="7" t="n">
        <v>190801</v>
      </c>
      <c r="K6708" s="94" t="n">
        <v>18</v>
      </c>
      <c r="L6708" s="94" t="n">
        <v>190801</v>
      </c>
      <c r="M6708" s="94">
        <f>VLOOKUP($Q6708,매칭테이블!$F:$I,2,0)*K6708</f>
        <v/>
      </c>
      <c r="N6708" s="94">
        <f>M6708-M6708*VLOOKUP($Q6708,매칭테이블!$F:$I,3,0)</f>
        <v/>
      </c>
      <c r="O6708" s="94">
        <f>VLOOKUP($Q6708,매칭테이블!$F:$I,4,0)*K6708</f>
        <v/>
      </c>
      <c r="P6708" s="148">
        <f>M6708/1.1</f>
        <v/>
      </c>
      <c r="Q6708" s="94">
        <f>F6708&amp;E6708&amp;G6708&amp;L6708</f>
        <v/>
      </c>
    </row>
    <row r="6709" customFormat="1" s="94">
      <c r="B6709" s="128" t="n">
        <v>43990</v>
      </c>
      <c r="C6709" s="94">
        <f>TEXT(B6709,"aaa")</f>
        <v/>
      </c>
      <c r="E6709" s="94" t="inlineStr">
        <is>
          <t>선크림</t>
        </is>
      </c>
      <c r="F6709" s="94" t="inlineStr">
        <is>
          <t>카페24</t>
        </is>
      </c>
      <c r="G6709" s="94" t="inlineStr">
        <is>
          <t>선크림 50ml</t>
        </is>
      </c>
      <c r="H6709" s="7" t="n">
        <v>190801</v>
      </c>
      <c r="I6709" s="7" t="n">
        <v>190801</v>
      </c>
      <c r="K6709" s="94" t="n">
        <v>9</v>
      </c>
      <c r="L6709" s="94" t="n">
        <v>190801</v>
      </c>
      <c r="M6709" s="94">
        <f>VLOOKUP($Q6709,매칭테이블!$F:$I,2,0)*K6709</f>
        <v/>
      </c>
      <c r="N6709" s="94">
        <f>M6709-M6709*VLOOKUP($Q6709,매칭테이블!$F:$I,3,0)</f>
        <v/>
      </c>
      <c r="O6709" s="94">
        <f>VLOOKUP($Q6709,매칭테이블!$F:$I,4,0)*K6709</f>
        <v/>
      </c>
      <c r="P6709" s="148">
        <f>M6709/1.1</f>
        <v/>
      </c>
      <c r="Q6709" s="94">
        <f>F6709&amp;E6709&amp;G6709&amp;L6709</f>
        <v/>
      </c>
    </row>
    <row r="6710" customFormat="1" s="94">
      <c r="B6710" s="128" t="n">
        <v>43990</v>
      </c>
      <c r="C6710" s="94">
        <f>TEXT(B6710,"aaa")</f>
        <v/>
      </c>
      <c r="E6710" s="94" t="inlineStr">
        <is>
          <t>클렌징폼</t>
        </is>
      </c>
      <c r="F6710" s="94" t="inlineStr">
        <is>
          <t>카페24</t>
        </is>
      </c>
      <c r="G6710" s="94" t="inlineStr">
        <is>
          <t>클렌징폼 120ml(선크림할인)</t>
        </is>
      </c>
      <c r="H6710" s="7" t="n">
        <v>190801</v>
      </c>
      <c r="I6710" s="7" t="n">
        <v>190801</v>
      </c>
      <c r="K6710" s="94" t="n">
        <v>1</v>
      </c>
      <c r="L6710" s="94" t="n">
        <v>190801</v>
      </c>
      <c r="M6710" s="94">
        <f>VLOOKUP($Q6710,매칭테이블!$F:$I,2,0)*K6710</f>
        <v/>
      </c>
      <c r="N6710" s="94">
        <f>M6710-M6710*VLOOKUP($Q6710,매칭테이블!$F:$I,3,0)</f>
        <v/>
      </c>
      <c r="O6710" s="94">
        <f>VLOOKUP($Q6710,매칭테이블!$F:$I,4,0)*K6710</f>
        <v/>
      </c>
      <c r="P6710" s="148">
        <f>M6710/1.1</f>
        <v/>
      </c>
      <c r="Q6710" s="94">
        <f>F6710&amp;E6710&amp;G6710&amp;L6710</f>
        <v/>
      </c>
    </row>
    <row r="6711" customFormat="1" s="94">
      <c r="B6711" s="128" t="n">
        <v>43990</v>
      </c>
      <c r="C6711" s="94">
        <f>TEXT(B6711,"aaa")</f>
        <v/>
      </c>
      <c r="E6711" s="94" t="inlineStr">
        <is>
          <t>어성초진정패키지</t>
        </is>
      </c>
      <c r="F6711" s="94" t="inlineStr">
        <is>
          <t>카페24</t>
        </is>
      </c>
      <c r="G6711" s="94" t="inlineStr">
        <is>
          <t>어성초 진정패키지세트</t>
        </is>
      </c>
      <c r="H6711" s="7" t="n">
        <v>190801</v>
      </c>
      <c r="I6711" s="7" t="n">
        <v>190801</v>
      </c>
      <c r="K6711" s="94" t="n">
        <v>6</v>
      </c>
      <c r="L6711" s="94" t="n">
        <v>190801</v>
      </c>
      <c r="M6711" s="94">
        <f>VLOOKUP($Q6711,매칭테이블!$F:$I,2,0)*K6711</f>
        <v/>
      </c>
      <c r="N6711" s="94">
        <f>M6711-M6711*VLOOKUP($Q6711,매칭테이블!$F:$I,3,0)</f>
        <v/>
      </c>
      <c r="O6711" s="94">
        <f>VLOOKUP($Q6711,매칭테이블!$F:$I,4,0)*K6711</f>
        <v/>
      </c>
      <c r="P6711" s="148">
        <f>M6711/1.1</f>
        <v/>
      </c>
      <c r="Q6711" s="94">
        <f>F6711&amp;E6711&amp;G6711&amp;L6711</f>
        <v/>
      </c>
    </row>
    <row r="6712" customFormat="1" s="94">
      <c r="B6712" s="128" t="n">
        <v>43990</v>
      </c>
      <c r="C6712" s="94">
        <f>TEXT(B6712,"aaa")</f>
        <v/>
      </c>
      <c r="E6712" s="94" t="inlineStr">
        <is>
          <t>머드크림마스크</t>
        </is>
      </c>
      <c r="F6712" s="94" t="inlineStr">
        <is>
          <t>카페24</t>
        </is>
      </c>
      <c r="G6712" s="94" t="inlineStr">
        <is>
          <t>머드크림마스크 100ml</t>
        </is>
      </c>
      <c r="H6712" s="7" t="n">
        <v>190801</v>
      </c>
      <c r="I6712" s="7" t="n">
        <v>190801</v>
      </c>
      <c r="K6712" s="94" t="n">
        <v>6</v>
      </c>
      <c r="L6712" s="94" t="n">
        <v>190801</v>
      </c>
      <c r="M6712" s="94">
        <f>VLOOKUP($Q6712,매칭테이블!$F:$I,2,0)*K6712</f>
        <v/>
      </c>
      <c r="N6712" s="94">
        <f>M6712-M6712*VLOOKUP($Q6712,매칭테이블!$F:$I,3,0)</f>
        <v/>
      </c>
      <c r="O6712" s="94">
        <f>VLOOKUP($Q6712,매칭테이블!$F:$I,4,0)*K6712</f>
        <v/>
      </c>
      <c r="P6712" s="148">
        <f>M6712/1.1</f>
        <v/>
      </c>
      <c r="Q6712" s="94">
        <f>F6712&amp;E6712&amp;G6712&amp;L6712</f>
        <v/>
      </c>
    </row>
    <row r="6713" customFormat="1" s="94">
      <c r="B6713" s="128" t="n">
        <v>43990</v>
      </c>
      <c r="C6713" s="94">
        <f>TEXT(B6713,"aaa")</f>
        <v/>
      </c>
      <c r="E6713" s="94" t="inlineStr">
        <is>
          <t>마스크팩</t>
        </is>
      </c>
      <c r="F6713" s="94" t="inlineStr">
        <is>
          <t>카페24</t>
        </is>
      </c>
      <c r="G6713" s="94" t="inlineStr">
        <is>
          <t>마스크팩 1매</t>
        </is>
      </c>
      <c r="H6713" s="7" t="n">
        <v>190801</v>
      </c>
      <c r="I6713" s="7" t="n">
        <v>190801</v>
      </c>
      <c r="K6713" s="94" t="n">
        <v>3</v>
      </c>
      <c r="L6713" s="94" t="n">
        <v>190801</v>
      </c>
      <c r="M6713" s="94">
        <f>VLOOKUP($Q6713,매칭테이블!$F:$I,2,0)*K6713</f>
        <v/>
      </c>
      <c r="N6713" s="94">
        <f>M6713-M6713*VLOOKUP($Q6713,매칭테이블!$F:$I,3,0)</f>
        <v/>
      </c>
      <c r="O6713" s="94">
        <f>VLOOKUP($Q6713,매칭테이블!$F:$I,4,0)*K6713</f>
        <v/>
      </c>
      <c r="P6713" s="148">
        <f>M6713/1.1</f>
        <v/>
      </c>
      <c r="Q6713" s="94">
        <f>F6713&amp;E6713&amp;G6713&amp;L6713</f>
        <v/>
      </c>
    </row>
    <row r="6714" customFormat="1" s="94">
      <c r="B6714" s="128" t="n">
        <v>43990</v>
      </c>
      <c r="C6714" s="94">
        <f>TEXT(B6714,"aaa")</f>
        <v/>
      </c>
      <c r="E6714" s="94" t="inlineStr">
        <is>
          <t>마스크팩</t>
        </is>
      </c>
      <c r="F6714" s="94" t="inlineStr">
        <is>
          <t>카페24</t>
        </is>
      </c>
      <c r="G6714" s="94" t="inlineStr">
        <is>
          <t>마스크팩 10매</t>
        </is>
      </c>
      <c r="H6714" s="7" t="n">
        <v>190801</v>
      </c>
      <c r="I6714" s="7" t="n">
        <v>190801</v>
      </c>
      <c r="K6714" s="94" t="n">
        <v>2</v>
      </c>
      <c r="L6714" s="94" t="n">
        <v>190801</v>
      </c>
      <c r="M6714" s="94">
        <f>VLOOKUP($Q6714,매칭테이블!$F:$I,2,0)*K6714</f>
        <v/>
      </c>
      <c r="N6714" s="94">
        <f>M6714-M6714*VLOOKUP($Q6714,매칭테이블!$F:$I,3,0)</f>
        <v/>
      </c>
      <c r="O6714" s="94">
        <f>VLOOKUP($Q6714,매칭테이블!$F:$I,4,0)*K6714</f>
        <v/>
      </c>
      <c r="P6714" s="148">
        <f>M6714/1.1</f>
        <v/>
      </c>
      <c r="Q6714" s="94">
        <f>F6714&amp;E6714&amp;G6714&amp;L6714</f>
        <v/>
      </c>
    </row>
    <row r="6715" customFormat="1" s="94">
      <c r="B6715" s="128" t="n">
        <v>43990</v>
      </c>
      <c r="C6715" s="94">
        <f>TEXT(B6715,"aaa")</f>
        <v/>
      </c>
      <c r="E6715" s="94" t="inlineStr">
        <is>
          <t>토너</t>
        </is>
      </c>
      <c r="F6715" s="94" t="inlineStr">
        <is>
          <t>카페24</t>
        </is>
      </c>
      <c r="G6715" s="94" t="inlineStr">
        <is>
          <t>250ml</t>
        </is>
      </c>
      <c r="H6715" s="7" t="n">
        <v>190801</v>
      </c>
      <c r="I6715" s="7" t="n">
        <v>190801</v>
      </c>
      <c r="K6715" s="94" t="n">
        <v>108</v>
      </c>
      <c r="L6715" s="94" t="n">
        <v>190801</v>
      </c>
      <c r="M6715" s="94">
        <f>VLOOKUP($Q6715,매칭테이블!$F:$I,2,0)*K6715</f>
        <v/>
      </c>
      <c r="N6715" s="94">
        <f>M6715-M6715*VLOOKUP($Q6715,매칭테이블!$F:$I,3,0)</f>
        <v/>
      </c>
      <c r="O6715" s="94">
        <f>VLOOKUP($Q6715,매칭테이블!$F:$I,4,0)*K6715</f>
        <v/>
      </c>
      <c r="P6715" s="148">
        <f>M6715/1.1</f>
        <v/>
      </c>
      <c r="Q6715" s="94">
        <f>F6715&amp;E6715&amp;G6715&amp;L6715</f>
        <v/>
      </c>
    </row>
    <row r="6716" customFormat="1" s="94">
      <c r="B6716" s="128" t="n">
        <v>43990</v>
      </c>
      <c r="C6716" s="94">
        <f>TEXT(B6716,"aaa")</f>
        <v/>
      </c>
      <c r="E6716" s="94" t="inlineStr">
        <is>
          <t>토너</t>
        </is>
      </c>
      <c r="F6716" s="94" t="inlineStr">
        <is>
          <t>카페24</t>
        </is>
      </c>
      <c r="G6716" s="94" t="inlineStr">
        <is>
          <t>250ml 2set</t>
        </is>
      </c>
      <c r="H6716" s="7" t="n">
        <v>190801</v>
      </c>
      <c r="I6716" s="7" t="n">
        <v>190801</v>
      </c>
      <c r="K6716" s="94" t="n">
        <v>69</v>
      </c>
      <c r="L6716" s="94" t="n">
        <v>190801</v>
      </c>
      <c r="M6716" s="94">
        <f>VLOOKUP($Q6716,매칭테이블!$F:$I,2,0)*K6716</f>
        <v/>
      </c>
      <c r="N6716" s="94">
        <f>M6716-M6716*VLOOKUP($Q6716,매칭테이블!$F:$I,3,0)</f>
        <v/>
      </c>
      <c r="O6716" s="94">
        <f>VLOOKUP($Q6716,매칭테이블!$F:$I,4,0)*K6716</f>
        <v/>
      </c>
      <c r="P6716" s="148">
        <f>M6716/1.1</f>
        <v/>
      </c>
      <c r="Q6716" s="94">
        <f>F6716&amp;E6716&amp;G6716&amp;L6716</f>
        <v/>
      </c>
    </row>
    <row r="6717" customFormat="1" s="94">
      <c r="B6717" s="128" t="n">
        <v>43990</v>
      </c>
      <c r="C6717" s="94">
        <f>TEXT(B6717,"aaa")</f>
        <v/>
      </c>
      <c r="E6717" s="94" t="inlineStr">
        <is>
          <t>토너</t>
        </is>
      </c>
      <c r="F6717" s="94" t="inlineStr">
        <is>
          <t>카페24</t>
        </is>
      </c>
      <c r="G6717" s="94" t="inlineStr">
        <is>
          <t>500ml</t>
        </is>
      </c>
      <c r="H6717" s="7" t="n">
        <v>190801</v>
      </c>
      <c r="I6717" s="7" t="n">
        <v>190801</v>
      </c>
      <c r="K6717" s="94" t="n">
        <v>47</v>
      </c>
      <c r="L6717" s="94" t="n">
        <v>190801</v>
      </c>
      <c r="M6717" s="94">
        <f>VLOOKUP($Q6717,매칭테이블!$F:$I,2,0)*K6717</f>
        <v/>
      </c>
      <c r="N6717" s="94">
        <f>M6717-M6717*VLOOKUP($Q6717,매칭테이블!$F:$I,3,0)</f>
        <v/>
      </c>
      <c r="O6717" s="94">
        <f>VLOOKUP($Q6717,매칭테이블!$F:$I,4,0)*K6717</f>
        <v/>
      </c>
      <c r="P6717" s="148">
        <f>M6717/1.1</f>
        <v/>
      </c>
      <c r="Q6717" s="94">
        <f>F6717&amp;E6717&amp;G6717&amp;L6717</f>
        <v/>
      </c>
    </row>
    <row r="6718" customFormat="1" s="94">
      <c r="B6718" s="128" t="n">
        <v>43990</v>
      </c>
      <c r="C6718" s="94">
        <f>TEXT(B6718,"aaa")</f>
        <v/>
      </c>
      <c r="E6718" s="94" t="inlineStr">
        <is>
          <t>토너</t>
        </is>
      </c>
      <c r="F6718" s="94" t="inlineStr">
        <is>
          <t>카페24</t>
        </is>
      </c>
      <c r="G6718" s="94" t="inlineStr">
        <is>
          <t>스킨팩 화장솜 60P</t>
        </is>
      </c>
      <c r="H6718" s="7" t="n">
        <v>190801</v>
      </c>
      <c r="I6718" s="7" t="n">
        <v>190801</v>
      </c>
      <c r="K6718" s="94" t="n">
        <v>76</v>
      </c>
      <c r="L6718" s="94" t="n">
        <v>190801</v>
      </c>
      <c r="M6718" s="94">
        <f>VLOOKUP($Q6718,매칭테이블!$F:$I,2,0)*K6718</f>
        <v/>
      </c>
      <c r="N6718" s="94">
        <f>M6718-M6718*VLOOKUP($Q6718,매칭테이블!$F:$I,3,0)</f>
        <v/>
      </c>
      <c r="O6718" s="94">
        <f>VLOOKUP($Q6718,매칭테이블!$F:$I,4,0)*K6718</f>
        <v/>
      </c>
      <c r="P6718" s="148">
        <f>M6718/1.1</f>
        <v/>
      </c>
      <c r="Q6718" s="94">
        <f>F6718&amp;E6718&amp;G6718&amp;L6718</f>
        <v/>
      </c>
    </row>
    <row r="6719" customFormat="1" s="94">
      <c r="B6719" s="128" t="n">
        <v>43990</v>
      </c>
      <c r="C6719" s="94">
        <f>TEXT(B6719,"aaa")</f>
        <v/>
      </c>
      <c r="E6719" s="94" t="inlineStr">
        <is>
          <t>앰플</t>
        </is>
      </c>
      <c r="F6719" s="94" t="inlineStr">
        <is>
          <t>카페24</t>
        </is>
      </c>
      <c r="G6719" s="94" t="inlineStr">
        <is>
          <t>앰플 30ml</t>
        </is>
      </c>
      <c r="H6719" s="7" t="n">
        <v>190801</v>
      </c>
      <c r="I6719" s="7" t="n">
        <v>190801</v>
      </c>
      <c r="K6719" s="94" t="n">
        <v>22</v>
      </c>
      <c r="L6719" s="94" t="n">
        <v>190801</v>
      </c>
      <c r="M6719" s="94">
        <f>VLOOKUP($Q6719,매칭테이블!$F:$I,2,0)*K6719</f>
        <v/>
      </c>
      <c r="N6719" s="94">
        <f>M6719-M6719*VLOOKUP($Q6719,매칭테이블!$F:$I,3,0)</f>
        <v/>
      </c>
      <c r="O6719" s="94">
        <f>VLOOKUP($Q6719,매칭테이블!$F:$I,4,0)*K6719</f>
        <v/>
      </c>
      <c r="P6719" s="148">
        <f>M6719/1.1</f>
        <v/>
      </c>
      <c r="Q6719" s="94">
        <f>F6719&amp;E6719&amp;G6719&amp;L6719</f>
        <v/>
      </c>
    </row>
    <row r="6720" customFormat="1" s="94">
      <c r="B6720" s="128" t="n">
        <v>43990</v>
      </c>
      <c r="C6720" s="94">
        <f>TEXT(B6720,"aaa")</f>
        <v/>
      </c>
      <c r="E6720" s="94" t="inlineStr">
        <is>
          <t>수딩크림</t>
        </is>
      </c>
      <c r="F6720" s="94" t="inlineStr">
        <is>
          <t>카페24</t>
        </is>
      </c>
      <c r="G6720" s="94" t="inlineStr">
        <is>
          <t>수딩크림 100ml</t>
        </is>
      </c>
      <c r="H6720" s="7" t="n">
        <v>190801</v>
      </c>
      <c r="I6720" s="7" t="n">
        <v>190801</v>
      </c>
      <c r="K6720" s="94" t="n">
        <v>13</v>
      </c>
      <c r="L6720" s="94" t="n">
        <v>190801</v>
      </c>
      <c r="M6720" s="94">
        <f>VLOOKUP($Q6720,매칭테이블!$F:$I,2,0)*K6720</f>
        <v/>
      </c>
      <c r="N6720" s="94">
        <f>M6720-M6720*VLOOKUP($Q6720,매칭테이블!$F:$I,3,0)</f>
        <v/>
      </c>
      <c r="O6720" s="94">
        <f>VLOOKUP($Q6720,매칭테이블!$F:$I,4,0)*K6720</f>
        <v/>
      </c>
      <c r="P6720" s="148">
        <f>M6720/1.1</f>
        <v/>
      </c>
      <c r="Q6720" s="94">
        <f>F6720&amp;E6720&amp;G6720&amp;L6720</f>
        <v/>
      </c>
    </row>
    <row r="6721" customFormat="1" s="94">
      <c r="B6721" s="128" t="n">
        <v>43990</v>
      </c>
      <c r="C6721" s="94">
        <f>TEXT(B6721,"aaa")</f>
        <v/>
      </c>
      <c r="E6721" s="94" t="inlineStr">
        <is>
          <t>클렌징폼</t>
        </is>
      </c>
      <c r="F6721" s="94" t="inlineStr">
        <is>
          <t>카페24</t>
        </is>
      </c>
      <c r="G6721" s="94" t="inlineStr">
        <is>
          <t>클렌징폼 120ml</t>
        </is>
      </c>
      <c r="H6721" s="7" t="n">
        <v>190801</v>
      </c>
      <c r="I6721" s="7" t="n">
        <v>190801</v>
      </c>
      <c r="K6721" s="94" t="n">
        <v>8</v>
      </c>
      <c r="L6721" s="94" t="n">
        <v>190801</v>
      </c>
      <c r="M6721" s="94">
        <f>VLOOKUP($Q6721,매칭테이블!$F:$I,2,0)*K6721</f>
        <v/>
      </c>
      <c r="N6721" s="94">
        <f>M6721-M6721*VLOOKUP($Q6721,매칭테이블!$F:$I,3,0)</f>
        <v/>
      </c>
      <c r="O6721" s="94">
        <f>VLOOKUP($Q6721,매칭테이블!$F:$I,4,0)*K6721</f>
        <v/>
      </c>
      <c r="P6721" s="148">
        <f>M6721/1.1</f>
        <v/>
      </c>
      <c r="Q6721" s="94">
        <f>F6721&amp;E6721&amp;G6721&amp;L6721</f>
        <v/>
      </c>
    </row>
    <row r="6722" customFormat="1" s="94">
      <c r="B6722" s="128" t="n">
        <v>43990</v>
      </c>
      <c r="C6722" s="94">
        <f>TEXT(B6722,"aaa")</f>
        <v/>
      </c>
      <c r="E6722" s="94" t="inlineStr">
        <is>
          <t>클렌징폼</t>
        </is>
      </c>
      <c r="F6722" s="94" t="inlineStr">
        <is>
          <t>카페24</t>
        </is>
      </c>
      <c r="G6722" s="94" t="inlineStr">
        <is>
          <t>클렌징폼 120ml 3set</t>
        </is>
      </c>
      <c r="H6722" s="7" t="n">
        <v>190801</v>
      </c>
      <c r="I6722" s="7" t="n">
        <v>190801</v>
      </c>
      <c r="K6722" s="94" t="n">
        <v>1</v>
      </c>
      <c r="L6722" s="94" t="n">
        <v>190801</v>
      </c>
      <c r="M6722" s="94">
        <f>VLOOKUP($Q6722,매칭테이블!$F:$I,2,0)*K6722</f>
        <v/>
      </c>
      <c r="N6722" s="94">
        <f>M6722-M6722*VLOOKUP($Q6722,매칭테이블!$F:$I,3,0)</f>
        <v/>
      </c>
      <c r="O6722" s="94">
        <f>VLOOKUP($Q6722,매칭테이블!$F:$I,4,0)*K6722</f>
        <v/>
      </c>
      <c r="P6722" s="148">
        <f>M6722/1.1</f>
        <v/>
      </c>
      <c r="Q6722" s="94">
        <f>F6722&amp;E6722&amp;G6722&amp;L6722</f>
        <v/>
      </c>
    </row>
    <row r="6723" customFormat="1" s="94">
      <c r="B6723" s="128" t="n">
        <v>43990</v>
      </c>
      <c r="C6723" s="94">
        <f>TEXT(B6723,"aaa")</f>
        <v/>
      </c>
      <c r="E6723" s="94" t="inlineStr">
        <is>
          <t>토너</t>
        </is>
      </c>
      <c r="F6723" s="94" t="inlineStr">
        <is>
          <t>큐텐</t>
        </is>
      </c>
      <c r="G6723" s="94" t="inlineStr">
        <is>
          <t>250ml</t>
        </is>
      </c>
      <c r="H6723" s="7" t="n">
        <v>190801</v>
      </c>
      <c r="I6723" s="7" t="n">
        <v>190801</v>
      </c>
      <c r="K6723" s="94" t="n">
        <v>105</v>
      </c>
      <c r="L6723" s="94" t="n">
        <v>190801</v>
      </c>
      <c r="M6723" s="94">
        <f>VLOOKUP($Q6723,매칭테이블!$F:$I,2,0)*K6723</f>
        <v/>
      </c>
      <c r="N6723" s="94">
        <f>M6723-M6723*VLOOKUP($Q6723,매칭테이블!$F:$I,3,0)</f>
        <v/>
      </c>
      <c r="O6723" s="94">
        <f>VLOOKUP($Q6723,매칭테이블!$F:$I,4,0)*K6723</f>
        <v/>
      </c>
      <c r="P6723" s="148">
        <f>M6723/1.1</f>
        <v/>
      </c>
      <c r="Q6723" s="94">
        <f>F6723&amp;E6723&amp;G6723&amp;L6723</f>
        <v/>
      </c>
    </row>
    <row r="6724" customFormat="1" s="94">
      <c r="B6724" s="128" t="n">
        <v>43990</v>
      </c>
      <c r="C6724" s="94">
        <f>TEXT(B6724,"aaa")</f>
        <v/>
      </c>
      <c r="E6724" s="94" t="inlineStr">
        <is>
          <t>토너</t>
        </is>
      </c>
      <c r="F6724" s="94" t="inlineStr">
        <is>
          <t>큐텐</t>
        </is>
      </c>
      <c r="G6724" s="94" t="inlineStr">
        <is>
          <t>250ml 2set</t>
        </is>
      </c>
      <c r="H6724" s="7" t="n">
        <v>190801</v>
      </c>
      <c r="I6724" s="7" t="n">
        <v>190801</v>
      </c>
      <c r="K6724" s="94" t="n">
        <v>93</v>
      </c>
      <c r="L6724" s="94" t="n">
        <v>190801</v>
      </c>
      <c r="M6724" s="94">
        <f>VLOOKUP($Q6724,매칭테이블!$F:$I,2,0)*K6724</f>
        <v/>
      </c>
      <c r="N6724" s="94">
        <f>M6724-M6724*VLOOKUP($Q6724,매칭테이블!$F:$I,3,0)</f>
        <v/>
      </c>
      <c r="O6724" s="94">
        <f>VLOOKUP($Q6724,매칭테이블!$F:$I,4,0)*K6724</f>
        <v/>
      </c>
      <c r="P6724" s="148">
        <f>M6724/1.1</f>
        <v/>
      </c>
      <c r="Q6724" s="94">
        <f>F6724&amp;E6724&amp;G6724&amp;L6724</f>
        <v/>
      </c>
    </row>
    <row r="6725" customFormat="1" s="94">
      <c r="B6725" s="128" t="n">
        <v>43990</v>
      </c>
      <c r="C6725" s="94">
        <f>TEXT(B6725,"aaa")</f>
        <v/>
      </c>
      <c r="E6725" s="94" t="inlineStr">
        <is>
          <t>앰플</t>
        </is>
      </c>
      <c r="F6725" s="94" t="inlineStr">
        <is>
          <t>큐텐</t>
        </is>
      </c>
      <c r="G6725" s="94" t="inlineStr">
        <is>
          <t>앰플 30ml</t>
        </is>
      </c>
      <c r="H6725" s="7" t="n">
        <v>190801</v>
      </c>
      <c r="I6725" s="7" t="n">
        <v>190801</v>
      </c>
      <c r="K6725" s="94" t="n">
        <v>9</v>
      </c>
      <c r="L6725" s="94" t="n">
        <v>190801</v>
      </c>
      <c r="M6725" s="94">
        <f>VLOOKUP($Q6725,매칭테이블!$F:$I,2,0)*K6725</f>
        <v/>
      </c>
      <c r="N6725" s="94">
        <f>M6725-M6725*VLOOKUP($Q6725,매칭테이블!$F:$I,3,0)</f>
        <v/>
      </c>
      <c r="O6725" s="94">
        <f>VLOOKUP($Q6725,매칭테이블!$F:$I,4,0)*K6725</f>
        <v/>
      </c>
      <c r="P6725" s="148">
        <f>M6725/1.1</f>
        <v/>
      </c>
      <c r="Q6725" s="94">
        <f>F6725&amp;E6725&amp;G6725&amp;L6725</f>
        <v/>
      </c>
    </row>
    <row r="6726" customFormat="1" s="94">
      <c r="B6726" s="128" t="n">
        <v>43990</v>
      </c>
      <c r="C6726" s="94">
        <f>TEXT(B6726,"aaa")</f>
        <v/>
      </c>
      <c r="E6726" s="94" t="inlineStr">
        <is>
          <t>머드크림마스크</t>
        </is>
      </c>
      <c r="F6726" s="94" t="inlineStr">
        <is>
          <t>큐텐</t>
        </is>
      </c>
      <c r="G6726" s="94" t="inlineStr">
        <is>
          <t>머드크림마스크 100ml</t>
        </is>
      </c>
      <c r="H6726" s="7" t="n">
        <v>190801</v>
      </c>
      <c r="I6726" s="7" t="n">
        <v>190801</v>
      </c>
      <c r="K6726" s="94" t="n">
        <v>4</v>
      </c>
      <c r="L6726" s="94" t="n">
        <v>190801</v>
      </c>
      <c r="M6726" s="94">
        <f>VLOOKUP($Q6726,매칭테이블!$F:$I,2,0)*K6726</f>
        <v/>
      </c>
      <c r="N6726" s="94">
        <f>M6726-M6726*VLOOKUP($Q6726,매칭테이블!$F:$I,3,0)</f>
        <v/>
      </c>
      <c r="O6726" s="94">
        <f>VLOOKUP($Q6726,매칭테이블!$F:$I,4,0)*K6726</f>
        <v/>
      </c>
      <c r="P6726" s="148">
        <f>M6726/1.1</f>
        <v/>
      </c>
      <c r="Q6726" s="94">
        <f>F6726&amp;E6726&amp;G6726&amp;L6726</f>
        <v/>
      </c>
    </row>
    <row r="6727" customFormat="1" s="94">
      <c r="B6727" s="128" t="n">
        <v>43990</v>
      </c>
      <c r="C6727" s="94">
        <f>TEXT(B6727,"aaa")</f>
        <v/>
      </c>
      <c r="E6727" s="94" t="inlineStr">
        <is>
          <t>마스크팩</t>
        </is>
      </c>
      <c r="F6727" s="94" t="inlineStr">
        <is>
          <t>큐텐</t>
        </is>
      </c>
      <c r="G6727" s="94" t="inlineStr">
        <is>
          <t>마스크팩 10매</t>
        </is>
      </c>
      <c r="H6727" s="7" t="n">
        <v>190801</v>
      </c>
      <c r="I6727" s="7" t="n">
        <v>190801</v>
      </c>
      <c r="K6727" s="94" t="n">
        <v>2</v>
      </c>
      <c r="L6727" s="94" t="n">
        <v>190801</v>
      </c>
      <c r="M6727" s="94">
        <f>VLOOKUP($Q6727,매칭테이블!$F:$I,2,0)*K6727</f>
        <v/>
      </c>
      <c r="N6727" s="94">
        <f>M6727-M6727*VLOOKUP($Q6727,매칭테이블!$F:$I,3,0)</f>
        <v/>
      </c>
      <c r="O6727" s="94">
        <f>VLOOKUP($Q6727,매칭테이블!$F:$I,4,0)*K6727</f>
        <v/>
      </c>
      <c r="P6727" s="148">
        <f>M6727/1.1</f>
        <v/>
      </c>
      <c r="Q6727" s="94">
        <f>F6727&amp;E6727&amp;G6727&amp;L6727</f>
        <v/>
      </c>
    </row>
    <row r="6728" customFormat="1" s="94">
      <c r="B6728" s="128" t="n">
        <v>43990</v>
      </c>
      <c r="C6728" s="94">
        <f>TEXT(B6728,"aaa")</f>
        <v/>
      </c>
      <c r="E6728" s="94" t="inlineStr">
        <is>
          <t>클렌징폼</t>
        </is>
      </c>
      <c r="F6728" s="94" t="inlineStr">
        <is>
          <t>큐텐</t>
        </is>
      </c>
      <c r="G6728" s="94" t="inlineStr">
        <is>
          <t>클렌징폼 120ml</t>
        </is>
      </c>
      <c r="H6728" s="7" t="n">
        <v>190801</v>
      </c>
      <c r="I6728" s="7" t="n">
        <v>190801</v>
      </c>
      <c r="K6728" s="94" t="n">
        <v>3</v>
      </c>
      <c r="L6728" s="94" t="n">
        <v>190801</v>
      </c>
      <c r="M6728" s="94">
        <f>VLOOKUP($Q6728,매칭테이블!$F:$I,2,0)*K6728</f>
        <v/>
      </c>
      <c r="N6728" s="94">
        <f>M6728-M6728*VLOOKUP($Q6728,매칭테이블!$F:$I,3,0)</f>
        <v/>
      </c>
      <c r="O6728" s="94">
        <f>VLOOKUP($Q6728,매칭테이블!$F:$I,4,0)*K6728</f>
        <v/>
      </c>
      <c r="P6728" s="148">
        <f>M6728/1.1</f>
        <v/>
      </c>
      <c r="Q6728" s="94">
        <f>F6728&amp;E6728&amp;G6728&amp;L6728</f>
        <v/>
      </c>
    </row>
    <row r="6729" customFormat="1" s="94">
      <c r="B6729" s="128" t="n">
        <v>43990</v>
      </c>
      <c r="C6729" s="94">
        <f>TEXT(B6729,"aaa")</f>
        <v/>
      </c>
      <c r="E6729" s="94" t="inlineStr">
        <is>
          <t>토너</t>
        </is>
      </c>
      <c r="F6729" s="94" t="inlineStr">
        <is>
          <t>아누아 CS</t>
        </is>
      </c>
      <c r="G6729" s="94" t="inlineStr">
        <is>
          <t>250ml</t>
        </is>
      </c>
      <c r="H6729" s="7" t="n">
        <v>190801</v>
      </c>
      <c r="I6729" s="7" t="n">
        <v>190801</v>
      </c>
      <c r="K6729" s="94" t="n">
        <v>9</v>
      </c>
      <c r="L6729" s="94" t="n">
        <v>190801</v>
      </c>
      <c r="M6729" s="94">
        <f>VLOOKUP($Q6729,매칭테이블!$F:$I,2,0)*K6729</f>
        <v/>
      </c>
      <c r="N6729" s="94">
        <f>M6729-M6729*VLOOKUP($Q6729,매칭테이블!$F:$I,3,0)</f>
        <v/>
      </c>
      <c r="O6729" s="94">
        <f>VLOOKUP($Q6729,매칭테이블!$F:$I,4,0)*K6729</f>
        <v/>
      </c>
      <c r="P6729" s="148">
        <f>M6729/1.1</f>
        <v/>
      </c>
      <c r="Q6729" s="94">
        <f>F6729&amp;E6729&amp;G6729&amp;L6729</f>
        <v/>
      </c>
    </row>
    <row r="6730" customFormat="1" s="94">
      <c r="B6730" s="128" t="n">
        <v>43990</v>
      </c>
      <c r="C6730" s="94">
        <f>TEXT(B6730,"aaa")</f>
        <v/>
      </c>
      <c r="E6730" s="94" t="inlineStr">
        <is>
          <t>토너</t>
        </is>
      </c>
      <c r="F6730" s="94" t="inlineStr">
        <is>
          <t>아누아 CS</t>
        </is>
      </c>
      <c r="G6730" s="94" t="inlineStr">
        <is>
          <t>500ml</t>
        </is>
      </c>
      <c r="H6730" s="7" t="n">
        <v>190801</v>
      </c>
      <c r="I6730" s="7" t="n">
        <v>190801</v>
      </c>
      <c r="K6730" s="94" t="n">
        <v>1</v>
      </c>
      <c r="L6730" s="94" t="n">
        <v>190801</v>
      </c>
      <c r="M6730" s="94">
        <f>VLOOKUP($Q6730,매칭테이블!$F:$I,2,0)*K6730</f>
        <v/>
      </c>
      <c r="N6730" s="94">
        <f>M6730-M6730*VLOOKUP($Q6730,매칭테이블!$F:$I,3,0)</f>
        <v/>
      </c>
      <c r="O6730" s="94">
        <f>VLOOKUP($Q6730,매칭테이블!$F:$I,4,0)*K6730</f>
        <v/>
      </c>
      <c r="P6730" s="148">
        <f>M6730/1.1</f>
        <v/>
      </c>
      <c r="Q6730" s="94">
        <f>F6730&amp;E6730&amp;G6730&amp;L6730</f>
        <v/>
      </c>
    </row>
    <row r="6731" customFormat="1" s="94">
      <c r="B6731" s="128" t="n">
        <v>43990</v>
      </c>
      <c r="C6731" s="94">
        <f>TEXT(B6731,"aaa")</f>
        <v/>
      </c>
      <c r="E6731" s="94" t="inlineStr">
        <is>
          <t>화장솜</t>
        </is>
      </c>
      <c r="F6731" s="94" t="inlineStr">
        <is>
          <t>아누아 CS</t>
        </is>
      </c>
      <c r="G6731" s="94" t="inlineStr">
        <is>
          <t>스킨팩 화장솜 60P</t>
        </is>
      </c>
      <c r="H6731" s="7" t="n">
        <v>190801</v>
      </c>
      <c r="I6731" s="7" t="n">
        <v>190801</v>
      </c>
      <c r="K6731" s="94" t="n">
        <v>12</v>
      </c>
      <c r="L6731" s="94" t="n">
        <v>190801</v>
      </c>
      <c r="M6731" s="94">
        <f>VLOOKUP($Q6731,매칭테이블!$F:$I,2,0)*K6731</f>
        <v/>
      </c>
      <c r="N6731" s="94">
        <f>M6731-M6731*VLOOKUP($Q6731,매칭테이블!$F:$I,3,0)</f>
        <v/>
      </c>
      <c r="O6731" s="94">
        <f>VLOOKUP($Q6731,매칭테이블!$F:$I,4,0)*K6731</f>
        <v/>
      </c>
      <c r="P6731" s="148">
        <f>M6731/1.1</f>
        <v/>
      </c>
      <c r="Q6731" s="94">
        <f>F6731&amp;E6731&amp;G6731&amp;L6731</f>
        <v/>
      </c>
    </row>
    <row r="6732" customFormat="1" s="94">
      <c r="B6732" s="128" t="n">
        <v>43990</v>
      </c>
      <c r="C6732" s="94">
        <f>TEXT(B6732,"aaa")</f>
        <v/>
      </c>
      <c r="E6732" s="94" t="inlineStr">
        <is>
          <t>앰플</t>
        </is>
      </c>
      <c r="F6732" s="94" t="inlineStr">
        <is>
          <t>아누아 CS</t>
        </is>
      </c>
      <c r="G6732" s="94" t="inlineStr">
        <is>
          <t>앰플 30ml</t>
        </is>
      </c>
      <c r="H6732" s="7" t="n">
        <v>190801</v>
      </c>
      <c r="I6732" s="7" t="n">
        <v>190801</v>
      </c>
      <c r="K6732" s="94" t="n">
        <v>14</v>
      </c>
      <c r="L6732" s="94" t="n">
        <v>190801</v>
      </c>
      <c r="M6732" s="94">
        <f>VLOOKUP($Q6732,매칭테이블!$F:$I,2,0)*K6732</f>
        <v/>
      </c>
      <c r="N6732" s="94">
        <f>M6732-M6732*VLOOKUP($Q6732,매칭테이블!$F:$I,3,0)</f>
        <v/>
      </c>
      <c r="O6732" s="94">
        <f>VLOOKUP($Q6732,매칭테이블!$F:$I,4,0)*K6732</f>
        <v/>
      </c>
      <c r="P6732" s="148">
        <f>M6732/1.1</f>
        <v/>
      </c>
      <c r="Q6732" s="94">
        <f>F6732&amp;E6732&amp;G6732&amp;L6732</f>
        <v/>
      </c>
    </row>
    <row r="6733" customFormat="1" s="94">
      <c r="B6733" s="128" t="n">
        <v>43990</v>
      </c>
      <c r="C6733" s="94">
        <f>TEXT(B6733,"aaa")</f>
        <v/>
      </c>
      <c r="E6733" s="94" t="inlineStr">
        <is>
          <t>마스크팩</t>
        </is>
      </c>
      <c r="F6733" s="94" t="inlineStr">
        <is>
          <t>아누아 CS</t>
        </is>
      </c>
      <c r="G6733" s="94" t="inlineStr">
        <is>
          <t>마스크팩 10매</t>
        </is>
      </c>
      <c r="H6733" s="7" t="n">
        <v>190801</v>
      </c>
      <c r="I6733" s="7" t="n">
        <v>190801</v>
      </c>
      <c r="K6733" s="94" t="n">
        <v>22</v>
      </c>
      <c r="L6733" s="94" t="n">
        <v>190801</v>
      </c>
      <c r="M6733" s="94">
        <f>VLOOKUP($Q6733,매칭테이블!$F:$I,2,0)*K6733</f>
        <v/>
      </c>
      <c r="N6733" s="94">
        <f>M6733-M6733*VLOOKUP($Q6733,매칭테이블!$F:$I,3,0)</f>
        <v/>
      </c>
      <c r="O6733" s="94">
        <f>VLOOKUP($Q6733,매칭테이블!$F:$I,4,0)*K6733</f>
        <v/>
      </c>
      <c r="P6733" s="148">
        <f>M6733/1.1</f>
        <v/>
      </c>
      <c r="Q6733" s="94">
        <f>F6733&amp;E6733&amp;G6733&amp;L6733</f>
        <v/>
      </c>
    </row>
    <row r="6734" customFormat="1" s="94">
      <c r="B6734" s="128" t="n">
        <v>43990</v>
      </c>
      <c r="C6734" s="94">
        <f>TEXT(B6734,"aaa")</f>
        <v/>
      </c>
      <c r="E6734" s="94" t="inlineStr">
        <is>
          <t>선크림</t>
        </is>
      </c>
      <c r="F6734" s="94" t="inlineStr">
        <is>
          <t>아누아 CS</t>
        </is>
      </c>
      <c r="G6734" s="94" t="inlineStr">
        <is>
          <t>선크림 50ml</t>
        </is>
      </c>
      <c r="H6734" s="7" t="n">
        <v>190801</v>
      </c>
      <c r="I6734" s="7" t="n">
        <v>190801</v>
      </c>
      <c r="K6734" s="94" t="n">
        <v>24</v>
      </c>
      <c r="L6734" s="94" t="n">
        <v>190801</v>
      </c>
      <c r="M6734" s="94">
        <f>VLOOKUP($Q6734,매칭테이블!$F:$I,2,0)*K6734</f>
        <v/>
      </c>
      <c r="N6734" s="94">
        <f>M6734-M6734*VLOOKUP($Q6734,매칭테이블!$F:$I,3,0)</f>
        <v/>
      </c>
      <c r="O6734" s="94">
        <f>VLOOKUP($Q6734,매칭테이블!$F:$I,4,0)*K6734</f>
        <v/>
      </c>
      <c r="P6734" s="148">
        <f>M6734/1.1</f>
        <v/>
      </c>
      <c r="Q6734" s="94">
        <f>F6734&amp;E6734&amp;G6734&amp;L6734</f>
        <v/>
      </c>
    </row>
    <row r="6735" customFormat="1" s="94">
      <c r="B6735" s="128" t="n">
        <v>43991</v>
      </c>
      <c r="C6735" s="94">
        <f>TEXT(B6735,"aaa")</f>
        <v/>
      </c>
      <c r="E6735" s="94" t="inlineStr">
        <is>
          <t>토너</t>
        </is>
      </c>
      <c r="F6735" s="94" t="inlineStr">
        <is>
          <t>W컨셉</t>
        </is>
      </c>
      <c r="G6735" s="94" t="inlineStr">
        <is>
          <t>250ml</t>
        </is>
      </c>
      <c r="H6735" s="7" t="n">
        <v>190801</v>
      </c>
      <c r="I6735" s="7" t="n">
        <v>190801</v>
      </c>
      <c r="K6735" s="94" t="n">
        <v>2</v>
      </c>
      <c r="L6735" s="94" t="n">
        <v>190801</v>
      </c>
      <c r="M6735" s="94">
        <f>VLOOKUP($Q6735,매칭테이블!$F:$I,2,0)*K6735</f>
        <v/>
      </c>
      <c r="N6735" s="94">
        <f>M6735-M6735*VLOOKUP($Q6735,매칭테이블!$F:$I,3,0)</f>
        <v/>
      </c>
      <c r="O6735" s="94">
        <f>VLOOKUP($Q6735,매칭테이블!$F:$I,4,0)*K6735</f>
        <v/>
      </c>
      <c r="P6735" s="148">
        <f>M6735/1.1</f>
        <v/>
      </c>
      <c r="Q6735" s="94">
        <f>F6735&amp;E6735&amp;G6735&amp;L6735</f>
        <v/>
      </c>
    </row>
    <row r="6736" customFormat="1" s="94">
      <c r="B6736" s="128" t="n">
        <v>43991</v>
      </c>
      <c r="C6736" s="94">
        <f>TEXT(B6736,"aaa")</f>
        <v/>
      </c>
      <c r="E6736" s="94" t="inlineStr">
        <is>
          <t>토너</t>
        </is>
      </c>
      <c r="F6736" s="94" t="inlineStr">
        <is>
          <t>W컨셉</t>
        </is>
      </c>
      <c r="G6736" s="94" t="inlineStr">
        <is>
          <t>250ml 2set</t>
        </is>
      </c>
      <c r="H6736" s="7" t="n">
        <v>190801</v>
      </c>
      <c r="I6736" s="7" t="n">
        <v>190801</v>
      </c>
      <c r="K6736" s="94" t="n">
        <v>3</v>
      </c>
      <c r="L6736" s="94" t="n">
        <v>190801</v>
      </c>
      <c r="M6736" s="94">
        <f>VLOOKUP($Q6736,매칭테이블!$F:$I,2,0)*K6736</f>
        <v/>
      </c>
      <c r="N6736" s="94">
        <f>M6736-M6736*VLOOKUP($Q6736,매칭테이블!$F:$I,3,0)</f>
        <v/>
      </c>
      <c r="O6736" s="94">
        <f>VLOOKUP($Q6736,매칭테이블!$F:$I,4,0)*K6736</f>
        <v/>
      </c>
      <c r="P6736" s="148">
        <f>M6736/1.1</f>
        <v/>
      </c>
      <c r="Q6736" s="94">
        <f>F6736&amp;E6736&amp;G6736&amp;L6736</f>
        <v/>
      </c>
    </row>
    <row r="6737" customFormat="1" s="94">
      <c r="B6737" s="128" t="n">
        <v>43991</v>
      </c>
      <c r="C6737" s="94">
        <f>TEXT(B6737,"aaa")</f>
        <v/>
      </c>
      <c r="E6737" s="94" t="inlineStr">
        <is>
          <t>토너</t>
        </is>
      </c>
      <c r="F6737" s="94" t="inlineStr">
        <is>
          <t>글로우데이즈 시코르</t>
        </is>
      </c>
      <c r="G6737" s="94" t="inlineStr">
        <is>
          <t>250ml</t>
        </is>
      </c>
      <c r="H6737" s="7" t="n">
        <v>190801</v>
      </c>
      <c r="I6737" s="7" t="n">
        <v>190801</v>
      </c>
      <c r="K6737" s="94" t="n">
        <v>100</v>
      </c>
      <c r="L6737" s="94" t="n">
        <v>190801</v>
      </c>
      <c r="M6737" s="94">
        <f>VLOOKUP($Q6737,매칭테이블!$F:$I,2,0)*K6737</f>
        <v/>
      </c>
      <c r="N6737" s="94">
        <f>M6737-M6737*VLOOKUP($Q6737,매칭테이블!$F:$I,3,0)</f>
        <v/>
      </c>
      <c r="O6737" s="94">
        <f>VLOOKUP($Q6737,매칭테이블!$F:$I,4,0)*K6737</f>
        <v/>
      </c>
      <c r="P6737" s="148">
        <f>M6737/1.1</f>
        <v/>
      </c>
      <c r="Q6737" s="94">
        <f>F6737&amp;E6737&amp;G6737&amp;L6737</f>
        <v/>
      </c>
    </row>
    <row r="6738" customFormat="1" s="94">
      <c r="B6738" s="128" t="n">
        <v>43991</v>
      </c>
      <c r="C6738" s="94">
        <f>TEXT(B6738,"aaa")</f>
        <v/>
      </c>
      <c r="E6738" s="94" t="inlineStr">
        <is>
          <t>토너</t>
        </is>
      </c>
      <c r="F6738" s="94" t="inlineStr">
        <is>
          <t>스타일쉐어</t>
        </is>
      </c>
      <c r="G6738" s="94" t="inlineStr">
        <is>
          <t>250ml</t>
        </is>
      </c>
      <c r="H6738" s="7" t="n">
        <v>190801</v>
      </c>
      <c r="I6738" s="7" t="n">
        <v>190801</v>
      </c>
      <c r="K6738" s="94" t="n">
        <v>13</v>
      </c>
      <c r="L6738" s="94" t="n">
        <v>190801</v>
      </c>
      <c r="M6738" s="94">
        <f>VLOOKUP($Q6738,매칭테이블!$F:$I,2,0)*K6738</f>
        <v/>
      </c>
      <c r="N6738" s="94">
        <f>M6738-M6738*VLOOKUP($Q6738,매칭테이블!$F:$I,3,0)</f>
        <v/>
      </c>
      <c r="O6738" s="94">
        <f>VLOOKUP($Q6738,매칭테이블!$F:$I,4,0)*K6738</f>
        <v/>
      </c>
      <c r="P6738" s="148">
        <f>M6738/1.1</f>
        <v/>
      </c>
      <c r="Q6738" s="94">
        <f>F6738&amp;E6738&amp;G6738&amp;L6738</f>
        <v/>
      </c>
    </row>
    <row r="6739" customFormat="1" s="94">
      <c r="B6739" s="128" t="n">
        <v>43991</v>
      </c>
      <c r="C6739" s="94">
        <f>TEXT(B6739,"aaa")</f>
        <v/>
      </c>
      <c r="E6739" s="94" t="inlineStr">
        <is>
          <t>선크림</t>
        </is>
      </c>
      <c r="F6739" s="94" t="inlineStr">
        <is>
          <t>카페24</t>
        </is>
      </c>
      <c r="G6739" s="94" t="inlineStr">
        <is>
          <t>선크림 50ml</t>
        </is>
      </c>
      <c r="H6739" s="7" t="n">
        <v>190801</v>
      </c>
      <c r="I6739" s="7" t="n">
        <v>190801</v>
      </c>
      <c r="K6739" s="94" t="n">
        <v>13</v>
      </c>
      <c r="L6739" s="94" t="n">
        <v>190801</v>
      </c>
      <c r="M6739" s="94">
        <f>VLOOKUP($Q6739,매칭테이블!$F:$I,2,0)*K6739</f>
        <v/>
      </c>
      <c r="N6739" s="94">
        <f>M6739-M6739*VLOOKUP($Q6739,매칭테이블!$F:$I,3,0)</f>
        <v/>
      </c>
      <c r="O6739" s="94">
        <f>VLOOKUP($Q6739,매칭테이블!$F:$I,4,0)*K6739</f>
        <v/>
      </c>
      <c r="P6739" s="148">
        <f>M6739/1.1</f>
        <v/>
      </c>
      <c r="Q6739" s="94">
        <f>F6739&amp;E6739&amp;G6739&amp;L6739</f>
        <v/>
      </c>
    </row>
    <row r="6740" customFormat="1" s="94">
      <c r="B6740" s="128" t="n">
        <v>43991</v>
      </c>
      <c r="C6740" s="94">
        <f>TEXT(B6740,"aaa")</f>
        <v/>
      </c>
      <c r="E6740" s="94" t="inlineStr">
        <is>
          <t>클렌징폼</t>
        </is>
      </c>
      <c r="F6740" s="94" t="inlineStr">
        <is>
          <t>카페24</t>
        </is>
      </c>
      <c r="G6740" s="94" t="inlineStr">
        <is>
          <t>클렌징폼 120ml(선크림할인)</t>
        </is>
      </c>
      <c r="H6740" s="7" t="n">
        <v>190801</v>
      </c>
      <c r="I6740" s="7" t="n">
        <v>190801</v>
      </c>
      <c r="K6740" s="94" t="n">
        <v>3</v>
      </c>
      <c r="L6740" s="94" t="n">
        <v>190801</v>
      </c>
      <c r="M6740" s="94">
        <f>VLOOKUP($Q6740,매칭테이블!$F:$I,2,0)*K6740</f>
        <v/>
      </c>
      <c r="N6740" s="94">
        <f>M6740-M6740*VLOOKUP($Q6740,매칭테이블!$F:$I,3,0)</f>
        <v/>
      </c>
      <c r="O6740" s="94">
        <f>VLOOKUP($Q6740,매칭테이블!$F:$I,4,0)*K6740</f>
        <v/>
      </c>
      <c r="P6740" s="148">
        <f>M6740/1.1</f>
        <v/>
      </c>
      <c r="Q6740" s="94">
        <f>F6740&amp;E6740&amp;G6740&amp;L6740</f>
        <v/>
      </c>
    </row>
    <row r="6741" customFormat="1" s="94">
      <c r="B6741" s="128" t="n">
        <v>43991</v>
      </c>
      <c r="C6741" s="94">
        <f>TEXT(B6741,"aaa")</f>
        <v/>
      </c>
      <c r="E6741" s="94" t="inlineStr">
        <is>
          <t>어성초진정패키지</t>
        </is>
      </c>
      <c r="F6741" s="94" t="inlineStr">
        <is>
          <t>카페24</t>
        </is>
      </c>
      <c r="G6741" s="94" t="inlineStr">
        <is>
          <t>어성초 진정패키지세트</t>
        </is>
      </c>
      <c r="H6741" s="7" t="n">
        <v>190801</v>
      </c>
      <c r="I6741" s="7" t="n">
        <v>190801</v>
      </c>
      <c r="K6741" s="94" t="n">
        <v>6</v>
      </c>
      <c r="L6741" s="94" t="n">
        <v>190801</v>
      </c>
      <c r="M6741" s="94">
        <f>VLOOKUP($Q6741,매칭테이블!$F:$I,2,0)*K6741</f>
        <v/>
      </c>
      <c r="N6741" s="94">
        <f>M6741-M6741*VLOOKUP($Q6741,매칭테이블!$F:$I,3,0)</f>
        <v/>
      </c>
      <c r="O6741" s="94">
        <f>VLOOKUP($Q6741,매칭테이블!$F:$I,4,0)*K6741</f>
        <v/>
      </c>
      <c r="P6741" s="148">
        <f>M6741/1.1</f>
        <v/>
      </c>
      <c r="Q6741" s="94">
        <f>F6741&amp;E6741&amp;G6741&amp;L6741</f>
        <v/>
      </c>
    </row>
    <row r="6742" customFormat="1" s="94">
      <c r="B6742" s="128" t="n">
        <v>43991</v>
      </c>
      <c r="C6742" s="94">
        <f>TEXT(B6742,"aaa")</f>
        <v/>
      </c>
      <c r="E6742" s="94" t="inlineStr">
        <is>
          <t>머드크림마스크</t>
        </is>
      </c>
      <c r="F6742" s="94" t="inlineStr">
        <is>
          <t>카페24</t>
        </is>
      </c>
      <c r="G6742" s="94" t="inlineStr">
        <is>
          <t>머드크림마스크 100ml</t>
        </is>
      </c>
      <c r="H6742" s="7" t="n">
        <v>190801</v>
      </c>
      <c r="I6742" s="7" t="n">
        <v>190801</v>
      </c>
      <c r="K6742" s="94" t="n">
        <v>1</v>
      </c>
      <c r="L6742" s="94" t="n">
        <v>190801</v>
      </c>
      <c r="M6742" s="94">
        <f>VLOOKUP($Q6742,매칭테이블!$F:$I,2,0)*K6742</f>
        <v/>
      </c>
      <c r="N6742" s="94">
        <f>M6742-M6742*VLOOKUP($Q6742,매칭테이블!$F:$I,3,0)</f>
        <v/>
      </c>
      <c r="O6742" s="94">
        <f>VLOOKUP($Q6742,매칭테이블!$F:$I,4,0)*K6742</f>
        <v/>
      </c>
      <c r="P6742" s="148">
        <f>M6742/1.1</f>
        <v/>
      </c>
      <c r="Q6742" s="94">
        <f>F6742&amp;E6742&amp;G6742&amp;L6742</f>
        <v/>
      </c>
    </row>
    <row r="6743" customFormat="1" s="94">
      <c r="B6743" s="128" t="n">
        <v>43991</v>
      </c>
      <c r="C6743" s="94">
        <f>TEXT(B6743,"aaa")</f>
        <v/>
      </c>
      <c r="E6743" s="94" t="inlineStr">
        <is>
          <t>마스크팩</t>
        </is>
      </c>
      <c r="F6743" s="94" t="inlineStr">
        <is>
          <t>카페24</t>
        </is>
      </c>
      <c r="G6743" s="94" t="inlineStr">
        <is>
          <t>마스크팩 1매</t>
        </is>
      </c>
      <c r="H6743" s="7" t="n">
        <v>190801</v>
      </c>
      <c r="I6743" s="7" t="n">
        <v>190801</v>
      </c>
      <c r="K6743" s="94" t="n">
        <v>4</v>
      </c>
      <c r="L6743" s="94" t="n">
        <v>190801</v>
      </c>
      <c r="M6743" s="94">
        <f>VLOOKUP($Q6743,매칭테이블!$F:$I,2,0)*K6743</f>
        <v/>
      </c>
      <c r="N6743" s="94">
        <f>M6743-M6743*VLOOKUP($Q6743,매칭테이블!$F:$I,3,0)</f>
        <v/>
      </c>
      <c r="O6743" s="94">
        <f>VLOOKUP($Q6743,매칭테이블!$F:$I,4,0)*K6743</f>
        <v/>
      </c>
      <c r="P6743" s="148">
        <f>M6743/1.1</f>
        <v/>
      </c>
      <c r="Q6743" s="94">
        <f>F6743&amp;E6743&amp;G6743&amp;L6743</f>
        <v/>
      </c>
    </row>
    <row r="6744" customFormat="1" s="94">
      <c r="B6744" s="128" t="n">
        <v>43991</v>
      </c>
      <c r="C6744" s="94">
        <f>TEXT(B6744,"aaa")</f>
        <v/>
      </c>
      <c r="E6744" s="94" t="inlineStr">
        <is>
          <t>마스크팩</t>
        </is>
      </c>
      <c r="F6744" s="94" t="inlineStr">
        <is>
          <t>카페24</t>
        </is>
      </c>
      <c r="G6744" s="94" t="inlineStr">
        <is>
          <t>마스크팩 10매</t>
        </is>
      </c>
      <c r="H6744" s="7" t="n">
        <v>190801</v>
      </c>
      <c r="I6744" s="7" t="n">
        <v>190801</v>
      </c>
      <c r="K6744" s="94" t="n">
        <v>3</v>
      </c>
      <c r="L6744" s="94" t="n">
        <v>190801</v>
      </c>
      <c r="M6744" s="94">
        <f>VLOOKUP($Q6744,매칭테이블!$F:$I,2,0)*K6744</f>
        <v/>
      </c>
      <c r="N6744" s="94">
        <f>M6744-M6744*VLOOKUP($Q6744,매칭테이블!$F:$I,3,0)</f>
        <v/>
      </c>
      <c r="O6744" s="94">
        <f>VLOOKUP($Q6744,매칭테이블!$F:$I,4,0)*K6744</f>
        <v/>
      </c>
      <c r="P6744" s="148">
        <f>M6744/1.1</f>
        <v/>
      </c>
      <c r="Q6744" s="94">
        <f>F6744&amp;E6744&amp;G6744&amp;L6744</f>
        <v/>
      </c>
    </row>
    <row r="6745" customFormat="1" s="94">
      <c r="B6745" s="128" t="n">
        <v>43991</v>
      </c>
      <c r="C6745" s="94">
        <f>TEXT(B6745,"aaa")</f>
        <v/>
      </c>
      <c r="E6745" s="94" t="inlineStr">
        <is>
          <t>토너</t>
        </is>
      </c>
      <c r="F6745" s="94" t="inlineStr">
        <is>
          <t>카페24</t>
        </is>
      </c>
      <c r="G6745" s="94" t="inlineStr">
        <is>
          <t>250ml</t>
        </is>
      </c>
      <c r="H6745" s="7" t="n">
        <v>190801</v>
      </c>
      <c r="I6745" s="7" t="n">
        <v>190801</v>
      </c>
      <c r="K6745" s="94" t="n">
        <v>77</v>
      </c>
      <c r="L6745" s="94" t="n">
        <v>190801</v>
      </c>
      <c r="M6745" s="94">
        <f>VLOOKUP($Q6745,매칭테이블!$F:$I,2,0)*K6745</f>
        <v/>
      </c>
      <c r="N6745" s="94">
        <f>M6745-M6745*VLOOKUP($Q6745,매칭테이블!$F:$I,3,0)</f>
        <v/>
      </c>
      <c r="O6745" s="94">
        <f>VLOOKUP($Q6745,매칭테이블!$F:$I,4,0)*K6745</f>
        <v/>
      </c>
      <c r="P6745" s="148">
        <f>M6745/1.1</f>
        <v/>
      </c>
      <c r="Q6745" s="94">
        <f>F6745&amp;E6745&amp;G6745&amp;L6745</f>
        <v/>
      </c>
    </row>
    <row r="6746" customFormat="1" s="94">
      <c r="B6746" s="128" t="n">
        <v>43991</v>
      </c>
      <c r="C6746" s="94">
        <f>TEXT(B6746,"aaa")</f>
        <v/>
      </c>
      <c r="E6746" s="94" t="inlineStr">
        <is>
          <t>토너</t>
        </is>
      </c>
      <c r="F6746" s="94" t="inlineStr">
        <is>
          <t>카페24</t>
        </is>
      </c>
      <c r="G6746" s="94" t="inlineStr">
        <is>
          <t>250ml 2set</t>
        </is>
      </c>
      <c r="H6746" s="7" t="n">
        <v>190801</v>
      </c>
      <c r="I6746" s="7" t="n">
        <v>190801</v>
      </c>
      <c r="K6746" s="94" t="n">
        <v>56</v>
      </c>
      <c r="L6746" s="94" t="n">
        <v>190801</v>
      </c>
      <c r="M6746" s="94">
        <f>VLOOKUP($Q6746,매칭테이블!$F:$I,2,0)*K6746</f>
        <v/>
      </c>
      <c r="N6746" s="94">
        <f>M6746-M6746*VLOOKUP($Q6746,매칭테이블!$F:$I,3,0)</f>
        <v/>
      </c>
      <c r="O6746" s="94">
        <f>VLOOKUP($Q6746,매칭테이블!$F:$I,4,0)*K6746</f>
        <v/>
      </c>
      <c r="P6746" s="148">
        <f>M6746/1.1</f>
        <v/>
      </c>
      <c r="Q6746" s="94">
        <f>F6746&amp;E6746&amp;G6746&amp;L6746</f>
        <v/>
      </c>
    </row>
    <row r="6747" customFormat="1" s="94">
      <c r="B6747" s="128" t="n">
        <v>43991</v>
      </c>
      <c r="C6747" s="94">
        <f>TEXT(B6747,"aaa")</f>
        <v/>
      </c>
      <c r="E6747" s="94" t="inlineStr">
        <is>
          <t>토너</t>
        </is>
      </c>
      <c r="F6747" s="94" t="inlineStr">
        <is>
          <t>카페24</t>
        </is>
      </c>
      <c r="G6747" s="94" t="inlineStr">
        <is>
          <t>500ml</t>
        </is>
      </c>
      <c r="H6747" s="7" t="n">
        <v>190801</v>
      </c>
      <c r="I6747" s="7" t="n">
        <v>190801</v>
      </c>
      <c r="K6747" s="94" t="n">
        <v>36</v>
      </c>
      <c r="L6747" s="94" t="n">
        <v>190801</v>
      </c>
      <c r="M6747" s="94">
        <f>VLOOKUP($Q6747,매칭테이블!$F:$I,2,0)*K6747</f>
        <v/>
      </c>
      <c r="N6747" s="94">
        <f>M6747-M6747*VLOOKUP($Q6747,매칭테이블!$F:$I,3,0)</f>
        <v/>
      </c>
      <c r="O6747" s="94">
        <f>VLOOKUP($Q6747,매칭테이블!$F:$I,4,0)*K6747</f>
        <v/>
      </c>
      <c r="P6747" s="148">
        <f>M6747/1.1</f>
        <v/>
      </c>
      <c r="Q6747" s="94">
        <f>F6747&amp;E6747&amp;G6747&amp;L6747</f>
        <v/>
      </c>
    </row>
    <row r="6748" customFormat="1" s="94">
      <c r="B6748" s="128" t="n">
        <v>43991</v>
      </c>
      <c r="C6748" s="94">
        <f>TEXT(B6748,"aaa")</f>
        <v/>
      </c>
      <c r="E6748" s="94" t="inlineStr">
        <is>
          <t>토너</t>
        </is>
      </c>
      <c r="F6748" s="94" t="inlineStr">
        <is>
          <t>카페24</t>
        </is>
      </c>
      <c r="G6748" s="94" t="inlineStr">
        <is>
          <t>스킨팩 화장솜 60P</t>
        </is>
      </c>
      <c r="H6748" s="7" t="n">
        <v>190801</v>
      </c>
      <c r="I6748" s="7" t="n">
        <v>190801</v>
      </c>
      <c r="K6748" s="94" t="n">
        <v>44</v>
      </c>
      <c r="L6748" s="94" t="n">
        <v>190801</v>
      </c>
      <c r="M6748" s="94">
        <f>VLOOKUP($Q6748,매칭테이블!$F:$I,2,0)*K6748</f>
        <v/>
      </c>
      <c r="N6748" s="94">
        <f>M6748-M6748*VLOOKUP($Q6748,매칭테이블!$F:$I,3,0)</f>
        <v/>
      </c>
      <c r="O6748" s="94">
        <f>VLOOKUP($Q6748,매칭테이블!$F:$I,4,0)*K6748</f>
        <v/>
      </c>
      <c r="P6748" s="148">
        <f>M6748/1.1</f>
        <v/>
      </c>
      <c r="Q6748" s="94">
        <f>F6748&amp;E6748&amp;G6748&amp;L6748</f>
        <v/>
      </c>
    </row>
    <row r="6749" customFormat="1" s="94">
      <c r="B6749" s="128" t="n">
        <v>43991</v>
      </c>
      <c r="C6749" s="94">
        <f>TEXT(B6749,"aaa")</f>
        <v/>
      </c>
      <c r="E6749" s="94" t="inlineStr">
        <is>
          <t>앰플</t>
        </is>
      </c>
      <c r="F6749" s="94" t="inlineStr">
        <is>
          <t>카페24</t>
        </is>
      </c>
      <c r="G6749" s="94" t="inlineStr">
        <is>
          <t>앰플 30ml</t>
        </is>
      </c>
      <c r="H6749" s="7" t="n">
        <v>190801</v>
      </c>
      <c r="I6749" s="7" t="n">
        <v>190801</v>
      </c>
      <c r="K6749" s="94" t="n">
        <v>10</v>
      </c>
      <c r="L6749" s="94" t="n">
        <v>190801</v>
      </c>
      <c r="M6749" s="94">
        <f>VLOOKUP($Q6749,매칭테이블!$F:$I,2,0)*K6749</f>
        <v/>
      </c>
      <c r="N6749" s="94">
        <f>M6749-M6749*VLOOKUP($Q6749,매칭테이블!$F:$I,3,0)</f>
        <v/>
      </c>
      <c r="O6749" s="94">
        <f>VLOOKUP($Q6749,매칭테이블!$F:$I,4,0)*K6749</f>
        <v/>
      </c>
      <c r="P6749" s="148">
        <f>M6749/1.1</f>
        <v/>
      </c>
      <c r="Q6749" s="94">
        <f>F6749&amp;E6749&amp;G6749&amp;L6749</f>
        <v/>
      </c>
    </row>
    <row r="6750" customFormat="1" s="94">
      <c r="B6750" s="128" t="n">
        <v>43991</v>
      </c>
      <c r="C6750" s="94">
        <f>TEXT(B6750,"aaa")</f>
        <v/>
      </c>
      <c r="E6750" s="94" t="inlineStr">
        <is>
          <t>수딩크림</t>
        </is>
      </c>
      <c r="F6750" s="94" t="inlineStr">
        <is>
          <t>카페24</t>
        </is>
      </c>
      <c r="G6750" s="94" t="inlineStr">
        <is>
          <t>수딩크림 100ml</t>
        </is>
      </c>
      <c r="H6750" s="7" t="n">
        <v>190801</v>
      </c>
      <c r="I6750" s="7" t="n">
        <v>190801</v>
      </c>
      <c r="K6750" s="94" t="n">
        <v>9</v>
      </c>
      <c r="L6750" s="94" t="n">
        <v>190801</v>
      </c>
      <c r="M6750" s="94">
        <f>VLOOKUP($Q6750,매칭테이블!$F:$I,2,0)*K6750</f>
        <v/>
      </c>
      <c r="N6750" s="94">
        <f>M6750-M6750*VLOOKUP($Q6750,매칭테이블!$F:$I,3,0)</f>
        <v/>
      </c>
      <c r="O6750" s="94">
        <f>VLOOKUP($Q6750,매칭테이블!$F:$I,4,0)*K6750</f>
        <v/>
      </c>
      <c r="P6750" s="148">
        <f>M6750/1.1</f>
        <v/>
      </c>
      <c r="Q6750" s="94">
        <f>F6750&amp;E6750&amp;G6750&amp;L6750</f>
        <v/>
      </c>
    </row>
    <row r="6751" customFormat="1" s="94">
      <c r="B6751" s="128" t="n">
        <v>43991</v>
      </c>
      <c r="C6751" s="94">
        <f>TEXT(B6751,"aaa")</f>
        <v/>
      </c>
      <c r="E6751" s="94" t="inlineStr">
        <is>
          <t>클렌징폼</t>
        </is>
      </c>
      <c r="F6751" s="94" t="inlineStr">
        <is>
          <t>카페24</t>
        </is>
      </c>
      <c r="G6751" s="94" t="inlineStr">
        <is>
          <t>클렌징폼 120ml</t>
        </is>
      </c>
      <c r="H6751" s="7" t="n">
        <v>190801</v>
      </c>
      <c r="I6751" s="7" t="n">
        <v>190801</v>
      </c>
      <c r="K6751" s="94" t="n">
        <v>7</v>
      </c>
      <c r="L6751" s="94" t="n">
        <v>190801</v>
      </c>
      <c r="M6751" s="94">
        <f>VLOOKUP($Q6751,매칭테이블!$F:$I,2,0)*K6751</f>
        <v/>
      </c>
      <c r="N6751" s="94">
        <f>M6751-M6751*VLOOKUP($Q6751,매칭테이블!$F:$I,3,0)</f>
        <v/>
      </c>
      <c r="O6751" s="94">
        <f>VLOOKUP($Q6751,매칭테이블!$F:$I,4,0)*K6751</f>
        <v/>
      </c>
      <c r="P6751" s="148">
        <f>M6751/1.1</f>
        <v/>
      </c>
      <c r="Q6751" s="94">
        <f>F6751&amp;E6751&amp;G6751&amp;L6751</f>
        <v/>
      </c>
    </row>
    <row r="6752" customFormat="1" s="94">
      <c r="B6752" s="128" t="n">
        <v>43991</v>
      </c>
      <c r="C6752" s="94">
        <f>TEXT(B6752,"aaa")</f>
        <v/>
      </c>
      <c r="E6752" s="94" t="inlineStr">
        <is>
          <t>클렌징폼</t>
        </is>
      </c>
      <c r="F6752" s="94" t="inlineStr">
        <is>
          <t>카페24</t>
        </is>
      </c>
      <c r="G6752" s="94" t="inlineStr">
        <is>
          <t>클렌징폼 120ml 3set</t>
        </is>
      </c>
      <c r="H6752" s="7" t="n">
        <v>190801</v>
      </c>
      <c r="I6752" s="7" t="n">
        <v>190801</v>
      </c>
      <c r="K6752" s="94" t="n">
        <v>1</v>
      </c>
      <c r="L6752" s="94" t="n">
        <v>190801</v>
      </c>
      <c r="M6752" s="94">
        <f>VLOOKUP($Q6752,매칭테이블!$F:$I,2,0)*K6752</f>
        <v/>
      </c>
      <c r="N6752" s="94">
        <f>M6752-M6752*VLOOKUP($Q6752,매칭테이블!$F:$I,3,0)</f>
        <v/>
      </c>
      <c r="O6752" s="94">
        <f>VLOOKUP($Q6752,매칭테이블!$F:$I,4,0)*K6752</f>
        <v/>
      </c>
      <c r="P6752" s="148">
        <f>M6752/1.1</f>
        <v/>
      </c>
      <c r="Q6752" s="94">
        <f>F6752&amp;E6752&amp;G6752&amp;L6752</f>
        <v/>
      </c>
    </row>
    <row r="6753" customFormat="1" s="94">
      <c r="B6753" s="128" t="n">
        <v>43991</v>
      </c>
      <c r="C6753" s="94">
        <f>TEXT(B6753,"aaa")</f>
        <v/>
      </c>
      <c r="E6753" s="94" t="inlineStr">
        <is>
          <t>토너</t>
        </is>
      </c>
      <c r="F6753" s="94" t="inlineStr">
        <is>
          <t>큐텐</t>
        </is>
      </c>
      <c r="G6753" s="94" t="inlineStr">
        <is>
          <t>250ml</t>
        </is>
      </c>
      <c r="H6753" s="7" t="n">
        <v>190801</v>
      </c>
      <c r="I6753" s="7" t="n">
        <v>190801</v>
      </c>
      <c r="K6753" s="94" t="n">
        <v>21</v>
      </c>
      <c r="L6753" s="94" t="n">
        <v>190801</v>
      </c>
      <c r="M6753" s="94">
        <f>VLOOKUP($Q6753,매칭테이블!$F:$I,2,0)*K6753</f>
        <v/>
      </c>
      <c r="N6753" s="94">
        <f>M6753-M6753*VLOOKUP($Q6753,매칭테이블!$F:$I,3,0)</f>
        <v/>
      </c>
      <c r="O6753" s="94">
        <f>VLOOKUP($Q6753,매칭테이블!$F:$I,4,0)*K6753</f>
        <v/>
      </c>
      <c r="P6753" s="148">
        <f>M6753/1.1</f>
        <v/>
      </c>
      <c r="Q6753" s="94">
        <f>F6753&amp;E6753&amp;G6753&amp;L6753</f>
        <v/>
      </c>
    </row>
    <row r="6754" customFormat="1" s="94">
      <c r="B6754" s="128" t="n">
        <v>43991</v>
      </c>
      <c r="C6754" s="94">
        <f>TEXT(B6754,"aaa")</f>
        <v/>
      </c>
      <c r="E6754" s="94" t="inlineStr">
        <is>
          <t>토너</t>
        </is>
      </c>
      <c r="F6754" s="94" t="inlineStr">
        <is>
          <t>큐텐</t>
        </is>
      </c>
      <c r="G6754" s="94" t="inlineStr">
        <is>
          <t>250ml 2set</t>
        </is>
      </c>
      <c r="H6754" s="7" t="n">
        <v>190801</v>
      </c>
      <c r="I6754" s="7" t="n">
        <v>190801</v>
      </c>
      <c r="K6754" s="94" t="n">
        <v>24</v>
      </c>
      <c r="L6754" s="94" t="n">
        <v>190801</v>
      </c>
      <c r="M6754" s="94">
        <f>VLOOKUP($Q6754,매칭테이블!$F:$I,2,0)*K6754</f>
        <v/>
      </c>
      <c r="N6754" s="94">
        <f>M6754-M6754*VLOOKUP($Q6754,매칭테이블!$F:$I,3,0)</f>
        <v/>
      </c>
      <c r="O6754" s="94">
        <f>VLOOKUP($Q6754,매칭테이블!$F:$I,4,0)*K6754</f>
        <v/>
      </c>
      <c r="P6754" s="148">
        <f>M6754/1.1</f>
        <v/>
      </c>
      <c r="Q6754" s="94">
        <f>F6754&amp;E6754&amp;G6754&amp;L6754</f>
        <v/>
      </c>
    </row>
    <row r="6755" customFormat="1" s="94">
      <c r="B6755" s="128" t="n">
        <v>43991</v>
      </c>
      <c r="C6755" s="94">
        <f>TEXT(B6755,"aaa")</f>
        <v/>
      </c>
      <c r="E6755" s="94" t="inlineStr">
        <is>
          <t>앰플</t>
        </is>
      </c>
      <c r="F6755" s="94" t="inlineStr">
        <is>
          <t>큐텐</t>
        </is>
      </c>
      <c r="G6755" s="94" t="inlineStr">
        <is>
          <t>앰플 30ml</t>
        </is>
      </c>
      <c r="H6755" s="7" t="n">
        <v>190801</v>
      </c>
      <c r="I6755" s="7" t="n">
        <v>190801</v>
      </c>
      <c r="K6755" s="94" t="n">
        <v>1</v>
      </c>
      <c r="L6755" s="94" t="n">
        <v>190801</v>
      </c>
      <c r="M6755" s="94">
        <f>VLOOKUP($Q6755,매칭테이블!$F:$I,2,0)*K6755</f>
        <v/>
      </c>
      <c r="N6755" s="94">
        <f>M6755-M6755*VLOOKUP($Q6755,매칭테이블!$F:$I,3,0)</f>
        <v/>
      </c>
      <c r="O6755" s="94">
        <f>VLOOKUP($Q6755,매칭테이블!$F:$I,4,0)*K6755</f>
        <v/>
      </c>
      <c r="P6755" s="148">
        <f>M6755/1.1</f>
        <v/>
      </c>
      <c r="Q6755" s="94">
        <f>F6755&amp;E6755&amp;G6755&amp;L6755</f>
        <v/>
      </c>
    </row>
    <row r="6756" customFormat="1" s="94">
      <c r="B6756" s="128" t="n">
        <v>43991</v>
      </c>
      <c r="C6756" s="94">
        <f>TEXT(B6756,"aaa")</f>
        <v/>
      </c>
      <c r="E6756" s="94" t="inlineStr">
        <is>
          <t>머드크림마스크</t>
        </is>
      </c>
      <c r="F6756" s="94" t="inlineStr">
        <is>
          <t>큐텐</t>
        </is>
      </c>
      <c r="G6756" s="94" t="inlineStr">
        <is>
          <t>머드크림마스크 100ml</t>
        </is>
      </c>
      <c r="H6756" s="7" t="n">
        <v>190801</v>
      </c>
      <c r="I6756" s="7" t="n">
        <v>190801</v>
      </c>
      <c r="K6756" s="94" t="n">
        <v>2</v>
      </c>
      <c r="L6756" s="94" t="n">
        <v>190801</v>
      </c>
      <c r="M6756" s="94">
        <f>VLOOKUP($Q6756,매칭테이블!$F:$I,2,0)*K6756</f>
        <v/>
      </c>
      <c r="N6756" s="94">
        <f>M6756-M6756*VLOOKUP($Q6756,매칭테이블!$F:$I,3,0)</f>
        <v/>
      </c>
      <c r="O6756" s="94">
        <f>VLOOKUP($Q6756,매칭테이블!$F:$I,4,0)*K6756</f>
        <v/>
      </c>
      <c r="P6756" s="148">
        <f>M6756/1.1</f>
        <v/>
      </c>
      <c r="Q6756" s="94">
        <f>F6756&amp;E6756&amp;G6756&amp;L6756</f>
        <v/>
      </c>
    </row>
    <row r="6757" customFormat="1" s="94">
      <c r="B6757" s="128" t="n">
        <v>43991</v>
      </c>
      <c r="C6757" s="94">
        <f>TEXT(B6757,"aaa")</f>
        <v/>
      </c>
      <c r="E6757" s="94" t="inlineStr">
        <is>
          <t>클렌징폼</t>
        </is>
      </c>
      <c r="F6757" s="94" t="inlineStr">
        <is>
          <t>큐텐</t>
        </is>
      </c>
      <c r="G6757" s="94" t="inlineStr">
        <is>
          <t>클렌징폼 120ml</t>
        </is>
      </c>
      <c r="H6757" s="7" t="n">
        <v>190801</v>
      </c>
      <c r="I6757" s="7" t="n">
        <v>190801</v>
      </c>
      <c r="K6757" s="94" t="n">
        <v>1</v>
      </c>
      <c r="L6757" s="94" t="n">
        <v>190801</v>
      </c>
      <c r="M6757" s="94">
        <f>VLOOKUP($Q6757,매칭테이블!$F:$I,2,0)*K6757</f>
        <v/>
      </c>
      <c r="N6757" s="94">
        <f>M6757-M6757*VLOOKUP($Q6757,매칭테이블!$F:$I,3,0)</f>
        <v/>
      </c>
      <c r="O6757" s="94">
        <f>VLOOKUP($Q6757,매칭테이블!$F:$I,4,0)*K6757</f>
        <v/>
      </c>
      <c r="P6757" s="148">
        <f>M6757/1.1</f>
        <v/>
      </c>
      <c r="Q6757" s="94">
        <f>F6757&amp;E6757&amp;G6757&amp;L6757</f>
        <v/>
      </c>
    </row>
    <row r="6758" customFormat="1" s="94">
      <c r="B6758" s="128" t="n">
        <v>43991</v>
      </c>
      <c r="C6758" s="94">
        <f>TEXT(B6758,"aaa")</f>
        <v/>
      </c>
      <c r="E6758" s="94" t="inlineStr">
        <is>
          <t>토너</t>
        </is>
      </c>
      <c r="F6758" s="94" t="inlineStr">
        <is>
          <t>아누아 CS</t>
        </is>
      </c>
      <c r="G6758" s="94" t="inlineStr">
        <is>
          <t>250ml</t>
        </is>
      </c>
      <c r="H6758" s="7" t="n">
        <v>190801</v>
      </c>
      <c r="I6758" s="7" t="n">
        <v>190801</v>
      </c>
      <c r="K6758" s="94" t="n">
        <v>7</v>
      </c>
      <c r="L6758" s="94" t="n">
        <v>190801</v>
      </c>
      <c r="M6758" s="94">
        <f>VLOOKUP($Q6758,매칭테이블!$F:$I,2,0)*K6758</f>
        <v/>
      </c>
      <c r="N6758" s="94">
        <f>M6758-M6758*VLOOKUP($Q6758,매칭테이블!$F:$I,3,0)</f>
        <v/>
      </c>
      <c r="O6758" s="94">
        <f>VLOOKUP($Q6758,매칭테이블!$F:$I,4,0)*K6758</f>
        <v/>
      </c>
      <c r="P6758" s="148">
        <f>M6758/1.1</f>
        <v/>
      </c>
      <c r="Q6758" s="94">
        <f>F6758&amp;E6758&amp;G6758&amp;L6758</f>
        <v/>
      </c>
    </row>
    <row r="6759" customFormat="1" s="94">
      <c r="B6759" s="128" t="n">
        <v>43991</v>
      </c>
      <c r="C6759" s="94">
        <f>TEXT(B6759,"aaa")</f>
        <v/>
      </c>
      <c r="E6759" s="94" t="inlineStr">
        <is>
          <t>화장솜</t>
        </is>
      </c>
      <c r="F6759" s="94" t="inlineStr">
        <is>
          <t>아누아 CS</t>
        </is>
      </c>
      <c r="G6759" s="94" t="inlineStr">
        <is>
          <t>스킨팩 화장솜 60P</t>
        </is>
      </c>
      <c r="H6759" s="7" t="n">
        <v>190801</v>
      </c>
      <c r="I6759" s="7" t="n">
        <v>190801</v>
      </c>
      <c r="K6759" s="94" t="n">
        <v>1</v>
      </c>
      <c r="L6759" s="94" t="n">
        <v>190801</v>
      </c>
      <c r="M6759" s="94">
        <f>VLOOKUP($Q6759,매칭테이블!$F:$I,2,0)*K6759</f>
        <v/>
      </c>
      <c r="N6759" s="94">
        <f>M6759-M6759*VLOOKUP($Q6759,매칭테이블!$F:$I,3,0)</f>
        <v/>
      </c>
      <c r="O6759" s="94">
        <f>VLOOKUP($Q6759,매칭테이블!$F:$I,4,0)*K6759</f>
        <v/>
      </c>
      <c r="P6759" s="148">
        <f>M6759/1.1</f>
        <v/>
      </c>
      <c r="Q6759" s="94">
        <f>F6759&amp;E6759&amp;G6759&amp;L6759</f>
        <v/>
      </c>
    </row>
    <row r="6760" customFormat="1" s="94">
      <c r="B6760" s="128" t="n">
        <v>43991</v>
      </c>
      <c r="C6760" s="94">
        <f>TEXT(B6760,"aaa")</f>
        <v/>
      </c>
      <c r="E6760" s="94" t="inlineStr">
        <is>
          <t>앰플</t>
        </is>
      </c>
      <c r="F6760" s="94" t="inlineStr">
        <is>
          <t>아누아 CS</t>
        </is>
      </c>
      <c r="G6760" s="94" t="inlineStr">
        <is>
          <t>앰플 30ml</t>
        </is>
      </c>
      <c r="H6760" s="7" t="n">
        <v>190801</v>
      </c>
      <c r="I6760" s="7" t="n">
        <v>190801</v>
      </c>
      <c r="K6760" s="94" t="n">
        <v>1</v>
      </c>
      <c r="L6760" s="94" t="n">
        <v>190801</v>
      </c>
      <c r="M6760" s="94">
        <f>VLOOKUP($Q6760,매칭테이블!$F:$I,2,0)*K6760</f>
        <v/>
      </c>
      <c r="N6760" s="94">
        <f>M6760-M6760*VLOOKUP($Q6760,매칭테이블!$F:$I,3,0)</f>
        <v/>
      </c>
      <c r="O6760" s="94">
        <f>VLOOKUP($Q6760,매칭테이블!$F:$I,4,0)*K6760</f>
        <v/>
      </c>
      <c r="P6760" s="148">
        <f>M6760/1.1</f>
        <v/>
      </c>
      <c r="Q6760" s="94">
        <f>F6760&amp;E6760&amp;G6760&amp;L6760</f>
        <v/>
      </c>
    </row>
    <row r="6761" customFormat="1" s="94">
      <c r="B6761" s="128" t="n">
        <v>43991</v>
      </c>
      <c r="C6761" s="94">
        <f>TEXT(B6761,"aaa")</f>
        <v/>
      </c>
      <c r="E6761" s="94" t="inlineStr">
        <is>
          <t>마스크팩</t>
        </is>
      </c>
      <c r="F6761" s="94" t="inlineStr">
        <is>
          <t>아누아 CS</t>
        </is>
      </c>
      <c r="G6761" s="94" t="inlineStr">
        <is>
          <t>마스크팩 10매</t>
        </is>
      </c>
      <c r="H6761" s="7" t="n">
        <v>190801</v>
      </c>
      <c r="I6761" s="7" t="n">
        <v>190801</v>
      </c>
      <c r="K6761" s="94" t="n">
        <v>1</v>
      </c>
      <c r="L6761" s="94" t="n">
        <v>190801</v>
      </c>
      <c r="M6761" s="94">
        <f>VLOOKUP($Q6761,매칭테이블!$F:$I,2,0)*K6761</f>
        <v/>
      </c>
      <c r="N6761" s="94">
        <f>M6761-M6761*VLOOKUP($Q6761,매칭테이블!$F:$I,3,0)</f>
        <v/>
      </c>
      <c r="O6761" s="94">
        <f>VLOOKUP($Q6761,매칭테이블!$F:$I,4,0)*K6761</f>
        <v/>
      </c>
      <c r="P6761" s="148">
        <f>M6761/1.1</f>
        <v/>
      </c>
      <c r="Q6761" s="94">
        <f>F6761&amp;E6761&amp;G6761&amp;L6761</f>
        <v/>
      </c>
    </row>
    <row r="6762" customFormat="1" s="94">
      <c r="B6762" s="128" t="n">
        <v>43991</v>
      </c>
      <c r="C6762" s="94">
        <f>TEXT(B6762,"aaa")</f>
        <v/>
      </c>
      <c r="E6762" s="94" t="inlineStr">
        <is>
          <t>선크림</t>
        </is>
      </c>
      <c r="F6762" s="94" t="inlineStr">
        <is>
          <t>아누아 CS</t>
        </is>
      </c>
      <c r="G6762" s="94" t="inlineStr">
        <is>
          <t>선크림 50ml</t>
        </is>
      </c>
      <c r="H6762" s="7" t="n">
        <v>190801</v>
      </c>
      <c r="I6762" s="7" t="n">
        <v>190801</v>
      </c>
      <c r="K6762" s="94" t="n">
        <v>1</v>
      </c>
      <c r="L6762" s="94" t="n">
        <v>190801</v>
      </c>
      <c r="M6762" s="94">
        <f>VLOOKUP($Q6762,매칭테이블!$F:$I,2,0)*K6762</f>
        <v/>
      </c>
      <c r="N6762" s="94">
        <f>M6762-M6762*VLOOKUP($Q6762,매칭테이블!$F:$I,3,0)</f>
        <v/>
      </c>
      <c r="O6762" s="94">
        <f>VLOOKUP($Q6762,매칭테이블!$F:$I,4,0)*K6762</f>
        <v/>
      </c>
      <c r="P6762" s="148">
        <f>M6762/1.1</f>
        <v/>
      </c>
      <c r="Q6762" s="94">
        <f>F6762&amp;E6762&amp;G6762&amp;L6762</f>
        <v/>
      </c>
    </row>
    <row r="6763" customFormat="1" s="94">
      <c r="B6763" s="128" t="n">
        <v>43992</v>
      </c>
      <c r="C6763" s="94">
        <f>TEXT(B6763,"aaa")</f>
        <v/>
      </c>
      <c r="E6763" s="94" t="inlineStr">
        <is>
          <t>토너</t>
        </is>
      </c>
      <c r="F6763" s="94" t="inlineStr">
        <is>
          <t>W컨셉</t>
        </is>
      </c>
      <c r="G6763" s="94" t="inlineStr">
        <is>
          <t>250ml</t>
        </is>
      </c>
      <c r="H6763" s="7" t="n">
        <v>190801</v>
      </c>
      <c r="I6763" s="7" t="n">
        <v>190801</v>
      </c>
      <c r="K6763" s="94" t="n">
        <v>1</v>
      </c>
      <c r="L6763" s="94" t="n">
        <v>190801</v>
      </c>
      <c r="M6763" s="94">
        <f>VLOOKUP($Q6763,매칭테이블!$F:$I,2,0)*K6763</f>
        <v/>
      </c>
      <c r="N6763" s="94">
        <f>M6763-M6763*VLOOKUP($Q6763,매칭테이블!$F:$I,3,0)</f>
        <v/>
      </c>
      <c r="O6763" s="94">
        <f>VLOOKUP($Q6763,매칭테이블!$F:$I,4,0)*K6763</f>
        <v/>
      </c>
      <c r="P6763" s="148">
        <f>M6763/1.1</f>
        <v/>
      </c>
      <c r="Q6763" s="94">
        <f>F6763&amp;E6763&amp;G6763&amp;L6763</f>
        <v/>
      </c>
    </row>
    <row r="6764" customFormat="1" s="94">
      <c r="B6764" s="128" t="n">
        <v>43992</v>
      </c>
      <c r="C6764" s="94">
        <f>TEXT(B6764,"aaa")</f>
        <v/>
      </c>
      <c r="E6764" s="94" t="inlineStr">
        <is>
          <t>토너</t>
        </is>
      </c>
      <c r="F6764" s="94" t="inlineStr">
        <is>
          <t>W컨셉</t>
        </is>
      </c>
      <c r="G6764" s="94" t="inlineStr">
        <is>
          <t>250ml 2set</t>
        </is>
      </c>
      <c r="H6764" s="7" t="n">
        <v>190801</v>
      </c>
      <c r="I6764" s="7" t="n">
        <v>190801</v>
      </c>
      <c r="K6764" s="94" t="n">
        <v>11</v>
      </c>
      <c r="L6764" s="94" t="n">
        <v>190801</v>
      </c>
      <c r="M6764" s="94">
        <f>VLOOKUP($Q6764,매칭테이블!$F:$I,2,0)*K6764</f>
        <v/>
      </c>
      <c r="N6764" s="94">
        <f>M6764-M6764*VLOOKUP($Q6764,매칭테이블!$F:$I,3,0)</f>
        <v/>
      </c>
      <c r="O6764" s="94">
        <f>VLOOKUP($Q6764,매칭테이블!$F:$I,4,0)*K6764</f>
        <v/>
      </c>
      <c r="P6764" s="148">
        <f>M6764/1.1</f>
        <v/>
      </c>
      <c r="Q6764" s="94">
        <f>F6764&amp;E6764&amp;G6764&amp;L6764</f>
        <v/>
      </c>
    </row>
    <row r="6765" customFormat="1" s="94">
      <c r="B6765" s="128" t="n">
        <v>43992</v>
      </c>
      <c r="C6765" s="94">
        <f>TEXT(B6765,"aaa")</f>
        <v/>
      </c>
      <c r="E6765" s="94" t="inlineStr">
        <is>
          <t>토너</t>
        </is>
      </c>
      <c r="F6765" s="94" t="inlineStr">
        <is>
          <t>스타일쉐어</t>
        </is>
      </c>
      <c r="G6765" s="94" t="inlineStr">
        <is>
          <t>250ml</t>
        </is>
      </c>
      <c r="H6765" s="7" t="n">
        <v>190801</v>
      </c>
      <c r="I6765" s="7" t="n">
        <v>190801</v>
      </c>
      <c r="K6765" s="94" t="n">
        <v>5</v>
      </c>
      <c r="L6765" s="94" t="n">
        <v>190801</v>
      </c>
      <c r="M6765" s="94">
        <f>VLOOKUP($Q6765,매칭테이블!$F:$I,2,0)*K6765</f>
        <v/>
      </c>
      <c r="N6765" s="94">
        <f>M6765-M6765*VLOOKUP($Q6765,매칭테이블!$F:$I,3,0)</f>
        <v/>
      </c>
      <c r="O6765" s="94">
        <f>VLOOKUP($Q6765,매칭테이블!$F:$I,4,0)*K6765</f>
        <v/>
      </c>
      <c r="P6765" s="148">
        <f>M6765/1.1</f>
        <v/>
      </c>
      <c r="Q6765" s="94">
        <f>F6765&amp;E6765&amp;G6765&amp;L6765</f>
        <v/>
      </c>
    </row>
    <row r="6766" customFormat="1" s="94">
      <c r="B6766" s="128" t="n">
        <v>43992</v>
      </c>
      <c r="C6766" s="94">
        <f>TEXT(B6766,"aaa")</f>
        <v/>
      </c>
      <c r="E6766" s="94" t="inlineStr">
        <is>
          <t>선크림</t>
        </is>
      </c>
      <c r="F6766" s="94" t="inlineStr">
        <is>
          <t>카페24</t>
        </is>
      </c>
      <c r="G6766" s="94" t="inlineStr">
        <is>
          <t>선크림 50ml</t>
        </is>
      </c>
      <c r="H6766" s="7" t="n">
        <v>190801</v>
      </c>
      <c r="I6766" s="7" t="n">
        <v>190801</v>
      </c>
      <c r="K6766" s="94" t="n">
        <v>12</v>
      </c>
      <c r="L6766" s="94" t="n">
        <v>190801</v>
      </c>
      <c r="M6766" s="94">
        <f>VLOOKUP($Q6766,매칭테이블!$F:$I,2,0)*K6766</f>
        <v/>
      </c>
      <c r="N6766" s="94">
        <f>M6766-M6766*VLOOKUP($Q6766,매칭테이블!$F:$I,3,0)</f>
        <v/>
      </c>
      <c r="O6766" s="94">
        <f>VLOOKUP($Q6766,매칭테이블!$F:$I,4,0)*K6766</f>
        <v/>
      </c>
      <c r="P6766" s="148">
        <f>M6766/1.1</f>
        <v/>
      </c>
      <c r="Q6766" s="94">
        <f>F6766&amp;E6766&amp;G6766&amp;L6766</f>
        <v/>
      </c>
    </row>
    <row r="6767" customFormat="1" s="94">
      <c r="B6767" s="128" t="n">
        <v>43992</v>
      </c>
      <c r="C6767" s="94">
        <f>TEXT(B6767,"aaa")</f>
        <v/>
      </c>
      <c r="E6767" s="94" t="inlineStr">
        <is>
          <t>클렌징폼</t>
        </is>
      </c>
      <c r="F6767" s="94" t="inlineStr">
        <is>
          <t>카페24</t>
        </is>
      </c>
      <c r="G6767" s="94" t="inlineStr">
        <is>
          <t>클렌징폼 120ml(선크림할인)</t>
        </is>
      </c>
      <c r="H6767" s="7" t="n">
        <v>190801</v>
      </c>
      <c r="I6767" s="7" t="n">
        <v>190801</v>
      </c>
      <c r="K6767" s="94" t="n">
        <v>2</v>
      </c>
      <c r="L6767" s="94" t="n">
        <v>190801</v>
      </c>
      <c r="M6767" s="94">
        <f>VLOOKUP($Q6767,매칭테이블!$F:$I,2,0)*K6767</f>
        <v/>
      </c>
      <c r="N6767" s="94">
        <f>M6767-M6767*VLOOKUP($Q6767,매칭테이블!$F:$I,3,0)</f>
        <v/>
      </c>
      <c r="O6767" s="94">
        <f>VLOOKUP($Q6767,매칭테이블!$F:$I,4,0)*K6767</f>
        <v/>
      </c>
      <c r="P6767" s="148">
        <f>M6767/1.1</f>
        <v/>
      </c>
      <c r="Q6767" s="94">
        <f>F6767&amp;E6767&amp;G6767&amp;L6767</f>
        <v/>
      </c>
    </row>
    <row r="6768" customFormat="1" s="94">
      <c r="B6768" s="128" t="n">
        <v>43992</v>
      </c>
      <c r="C6768" s="94">
        <f>TEXT(B6768,"aaa")</f>
        <v/>
      </c>
      <c r="E6768" s="94" t="inlineStr">
        <is>
          <t>어성초진정패키지</t>
        </is>
      </c>
      <c r="F6768" s="94" t="inlineStr">
        <is>
          <t>카페24</t>
        </is>
      </c>
      <c r="G6768" s="94" t="inlineStr">
        <is>
          <t>어성초 진정패키지세트</t>
        </is>
      </c>
      <c r="H6768" s="7" t="n">
        <v>190801</v>
      </c>
      <c r="I6768" s="7" t="n">
        <v>190801</v>
      </c>
      <c r="K6768" s="94" t="n">
        <v>5</v>
      </c>
      <c r="L6768" s="94" t="n">
        <v>190801</v>
      </c>
      <c r="M6768" s="94">
        <f>VLOOKUP($Q6768,매칭테이블!$F:$I,2,0)*K6768</f>
        <v/>
      </c>
      <c r="N6768" s="94">
        <f>M6768-M6768*VLOOKUP($Q6768,매칭테이블!$F:$I,3,0)</f>
        <v/>
      </c>
      <c r="O6768" s="94">
        <f>VLOOKUP($Q6768,매칭테이블!$F:$I,4,0)*K6768</f>
        <v/>
      </c>
      <c r="P6768" s="148">
        <f>M6768/1.1</f>
        <v/>
      </c>
      <c r="Q6768" s="94">
        <f>F6768&amp;E6768&amp;G6768&amp;L6768</f>
        <v/>
      </c>
    </row>
    <row r="6769" customFormat="1" s="94">
      <c r="B6769" s="128" t="n">
        <v>43992</v>
      </c>
      <c r="C6769" s="94">
        <f>TEXT(B6769,"aaa")</f>
        <v/>
      </c>
      <c r="E6769" s="94" t="inlineStr">
        <is>
          <t>머드크림마스크</t>
        </is>
      </c>
      <c r="F6769" s="94" t="inlineStr">
        <is>
          <t>카페24</t>
        </is>
      </c>
      <c r="G6769" s="94" t="inlineStr">
        <is>
          <t>머드크림마스크 100ml</t>
        </is>
      </c>
      <c r="H6769" s="7" t="n">
        <v>190801</v>
      </c>
      <c r="I6769" s="7" t="n">
        <v>190801</v>
      </c>
      <c r="K6769" s="94" t="n">
        <v>1</v>
      </c>
      <c r="L6769" s="94" t="n">
        <v>190801</v>
      </c>
      <c r="M6769" s="94">
        <f>VLOOKUP($Q6769,매칭테이블!$F:$I,2,0)*K6769</f>
        <v/>
      </c>
      <c r="N6769" s="94">
        <f>M6769-M6769*VLOOKUP($Q6769,매칭테이블!$F:$I,3,0)</f>
        <v/>
      </c>
      <c r="O6769" s="94">
        <f>VLOOKUP($Q6769,매칭테이블!$F:$I,4,0)*K6769</f>
        <v/>
      </c>
      <c r="P6769" s="148">
        <f>M6769/1.1</f>
        <v/>
      </c>
      <c r="Q6769" s="94">
        <f>F6769&amp;E6769&amp;G6769&amp;L6769</f>
        <v/>
      </c>
    </row>
    <row r="6770" customFormat="1" s="94">
      <c r="B6770" s="128" t="n">
        <v>43992</v>
      </c>
      <c r="C6770" s="94">
        <f>TEXT(B6770,"aaa")</f>
        <v/>
      </c>
      <c r="E6770" s="94" t="inlineStr">
        <is>
          <t>머드크림마스크</t>
        </is>
      </c>
      <c r="F6770" s="94" t="inlineStr">
        <is>
          <t>카페24</t>
        </is>
      </c>
      <c r="G6770" s="94" t="inlineStr">
        <is>
          <t>머드크림마스크 100ml 2set</t>
        </is>
      </c>
      <c r="H6770" s="7" t="n">
        <v>190801</v>
      </c>
      <c r="I6770" s="7" t="n">
        <v>190801</v>
      </c>
      <c r="K6770" s="94" t="n">
        <v>2</v>
      </c>
      <c r="L6770" s="94" t="n">
        <v>190801</v>
      </c>
      <c r="M6770" s="94">
        <f>VLOOKUP($Q6770,매칭테이블!$F:$I,2,0)*K6770</f>
        <v/>
      </c>
      <c r="N6770" s="94">
        <f>M6770-M6770*VLOOKUP($Q6770,매칭테이블!$F:$I,3,0)</f>
        <v/>
      </c>
      <c r="O6770" s="94">
        <f>VLOOKUP($Q6770,매칭테이블!$F:$I,4,0)*K6770</f>
        <v/>
      </c>
      <c r="P6770" s="148">
        <f>M6770/1.1</f>
        <v/>
      </c>
      <c r="Q6770" s="94">
        <f>F6770&amp;E6770&amp;G6770&amp;L6770</f>
        <v/>
      </c>
    </row>
    <row r="6771" customFormat="1" s="94">
      <c r="B6771" s="128" t="n">
        <v>43992</v>
      </c>
      <c r="C6771" s="94">
        <f>TEXT(B6771,"aaa")</f>
        <v/>
      </c>
      <c r="E6771" s="94" t="inlineStr">
        <is>
          <t>마스크팩</t>
        </is>
      </c>
      <c r="F6771" s="94" t="inlineStr">
        <is>
          <t>카페24</t>
        </is>
      </c>
      <c r="G6771" s="94" t="inlineStr">
        <is>
          <t>마스크팩 1매</t>
        </is>
      </c>
      <c r="H6771" s="7" t="n">
        <v>190801</v>
      </c>
      <c r="I6771" s="7" t="n">
        <v>190801</v>
      </c>
      <c r="K6771" s="94" t="n">
        <v>8</v>
      </c>
      <c r="L6771" s="94" t="n">
        <v>190801</v>
      </c>
      <c r="M6771" s="94">
        <f>VLOOKUP($Q6771,매칭테이블!$F:$I,2,0)*K6771</f>
        <v/>
      </c>
      <c r="N6771" s="94">
        <f>M6771-M6771*VLOOKUP($Q6771,매칭테이블!$F:$I,3,0)</f>
        <v/>
      </c>
      <c r="O6771" s="94">
        <f>VLOOKUP($Q6771,매칭테이블!$F:$I,4,0)*K6771</f>
        <v/>
      </c>
      <c r="P6771" s="148">
        <f>M6771/1.1</f>
        <v/>
      </c>
      <c r="Q6771" s="94">
        <f>F6771&amp;E6771&amp;G6771&amp;L6771</f>
        <v/>
      </c>
    </row>
    <row r="6772" customFormat="1" s="94">
      <c r="B6772" s="128" t="n">
        <v>43992</v>
      </c>
      <c r="C6772" s="94">
        <f>TEXT(B6772,"aaa")</f>
        <v/>
      </c>
      <c r="E6772" s="94" t="inlineStr">
        <is>
          <t>마스크팩</t>
        </is>
      </c>
      <c r="F6772" s="94" t="inlineStr">
        <is>
          <t>카페24</t>
        </is>
      </c>
      <c r="G6772" s="94" t="inlineStr">
        <is>
          <t>마스크팩 10매</t>
        </is>
      </c>
      <c r="H6772" s="7" t="n">
        <v>190801</v>
      </c>
      <c r="I6772" s="7" t="n">
        <v>190801</v>
      </c>
      <c r="K6772" s="94" t="n">
        <v>1</v>
      </c>
      <c r="L6772" s="94" t="n">
        <v>190801</v>
      </c>
      <c r="M6772" s="94">
        <f>VLOOKUP($Q6772,매칭테이블!$F:$I,2,0)*K6772</f>
        <v/>
      </c>
      <c r="N6772" s="94">
        <f>M6772-M6772*VLOOKUP($Q6772,매칭테이블!$F:$I,3,0)</f>
        <v/>
      </c>
      <c r="O6772" s="94">
        <f>VLOOKUP($Q6772,매칭테이블!$F:$I,4,0)*K6772</f>
        <v/>
      </c>
      <c r="P6772" s="148">
        <f>M6772/1.1</f>
        <v/>
      </c>
      <c r="Q6772" s="94">
        <f>F6772&amp;E6772&amp;G6772&amp;L6772</f>
        <v/>
      </c>
    </row>
    <row r="6773" customFormat="1" s="94">
      <c r="B6773" s="128" t="n">
        <v>43992</v>
      </c>
      <c r="C6773" s="94">
        <f>TEXT(B6773,"aaa")</f>
        <v/>
      </c>
      <c r="E6773" s="94" t="inlineStr">
        <is>
          <t>토너</t>
        </is>
      </c>
      <c r="F6773" s="94" t="inlineStr">
        <is>
          <t>카페24</t>
        </is>
      </c>
      <c r="G6773" s="94" t="inlineStr">
        <is>
          <t>250ml</t>
        </is>
      </c>
      <c r="H6773" s="7" t="n">
        <v>190801</v>
      </c>
      <c r="I6773" s="7" t="n">
        <v>190801</v>
      </c>
      <c r="K6773" s="94" t="n">
        <v>81</v>
      </c>
      <c r="L6773" s="94" t="n">
        <v>190801</v>
      </c>
      <c r="M6773" s="94">
        <f>VLOOKUP($Q6773,매칭테이블!$F:$I,2,0)*K6773</f>
        <v/>
      </c>
      <c r="N6773" s="94">
        <f>M6773-M6773*VLOOKUP($Q6773,매칭테이블!$F:$I,3,0)</f>
        <v/>
      </c>
      <c r="O6773" s="94">
        <f>VLOOKUP($Q6773,매칭테이블!$F:$I,4,0)*K6773</f>
        <v/>
      </c>
      <c r="P6773" s="148">
        <f>M6773/1.1</f>
        <v/>
      </c>
      <c r="Q6773" s="94">
        <f>F6773&amp;E6773&amp;G6773&amp;L6773</f>
        <v/>
      </c>
    </row>
    <row r="6774" customFormat="1" s="94">
      <c r="B6774" s="128" t="n">
        <v>43992</v>
      </c>
      <c r="C6774" s="94">
        <f>TEXT(B6774,"aaa")</f>
        <v/>
      </c>
      <c r="E6774" s="94" t="inlineStr">
        <is>
          <t>토너</t>
        </is>
      </c>
      <c r="F6774" s="94" t="inlineStr">
        <is>
          <t>카페24</t>
        </is>
      </c>
      <c r="G6774" s="94" t="inlineStr">
        <is>
          <t>250ml 2set</t>
        </is>
      </c>
      <c r="H6774" s="7" t="n">
        <v>190801</v>
      </c>
      <c r="I6774" s="7" t="n">
        <v>190801</v>
      </c>
      <c r="K6774" s="94" t="n">
        <v>438</v>
      </c>
      <c r="L6774" s="94" t="n">
        <v>190801</v>
      </c>
      <c r="M6774" s="94">
        <f>VLOOKUP($Q6774,매칭테이블!$F:$I,2,0)*K6774</f>
        <v/>
      </c>
      <c r="N6774" s="94">
        <f>M6774-M6774*VLOOKUP($Q6774,매칭테이블!$F:$I,3,0)</f>
        <v/>
      </c>
      <c r="O6774" s="94">
        <f>VLOOKUP($Q6774,매칭테이블!$F:$I,4,0)*K6774</f>
        <v/>
      </c>
      <c r="P6774" s="148">
        <f>M6774/1.1</f>
        <v/>
      </c>
      <c r="Q6774" s="94">
        <f>F6774&amp;E6774&amp;G6774&amp;L6774</f>
        <v/>
      </c>
    </row>
    <row r="6775" customFormat="1" s="94">
      <c r="B6775" s="128" t="n">
        <v>43992</v>
      </c>
      <c r="C6775" s="94">
        <f>TEXT(B6775,"aaa")</f>
        <v/>
      </c>
      <c r="E6775" s="94" t="inlineStr">
        <is>
          <t>토너</t>
        </is>
      </c>
      <c r="F6775" s="94" t="inlineStr">
        <is>
          <t>카페24</t>
        </is>
      </c>
      <c r="G6775" s="94" t="inlineStr">
        <is>
          <t>500ml</t>
        </is>
      </c>
      <c r="H6775" s="7" t="n">
        <v>190801</v>
      </c>
      <c r="I6775" s="7" t="n">
        <v>190801</v>
      </c>
      <c r="K6775" s="94" t="n">
        <v>37</v>
      </c>
      <c r="L6775" s="94" t="n">
        <v>190801</v>
      </c>
      <c r="M6775" s="94">
        <f>VLOOKUP($Q6775,매칭테이블!$F:$I,2,0)*K6775</f>
        <v/>
      </c>
      <c r="N6775" s="94">
        <f>M6775-M6775*VLOOKUP($Q6775,매칭테이블!$F:$I,3,0)</f>
        <v/>
      </c>
      <c r="O6775" s="94">
        <f>VLOOKUP($Q6775,매칭테이블!$F:$I,4,0)*K6775</f>
        <v/>
      </c>
      <c r="P6775" s="148">
        <f>M6775/1.1</f>
        <v/>
      </c>
      <c r="Q6775" s="94">
        <f>F6775&amp;E6775&amp;G6775&amp;L6775</f>
        <v/>
      </c>
    </row>
    <row r="6776" customFormat="1" s="94">
      <c r="B6776" s="128" t="n">
        <v>43992</v>
      </c>
      <c r="C6776" s="94">
        <f>TEXT(B6776,"aaa")</f>
        <v/>
      </c>
      <c r="E6776" s="94" t="inlineStr">
        <is>
          <t>토너</t>
        </is>
      </c>
      <c r="F6776" s="94" t="inlineStr">
        <is>
          <t>카페24</t>
        </is>
      </c>
      <c r="G6776" s="94" t="inlineStr">
        <is>
          <t>스킨팩 화장솜 60P</t>
        </is>
      </c>
      <c r="H6776" s="7" t="n">
        <v>190801</v>
      </c>
      <c r="I6776" s="7" t="n">
        <v>190801</v>
      </c>
      <c r="K6776" s="94" t="n">
        <v>43</v>
      </c>
      <c r="L6776" s="94" t="n">
        <v>190801</v>
      </c>
      <c r="M6776" s="94">
        <f>VLOOKUP($Q6776,매칭테이블!$F:$I,2,0)*K6776</f>
        <v/>
      </c>
      <c r="N6776" s="94">
        <f>M6776-M6776*VLOOKUP($Q6776,매칭테이블!$F:$I,3,0)</f>
        <v/>
      </c>
      <c r="O6776" s="94">
        <f>VLOOKUP($Q6776,매칭테이블!$F:$I,4,0)*K6776</f>
        <v/>
      </c>
      <c r="P6776" s="148">
        <f>M6776/1.1</f>
        <v/>
      </c>
      <c r="Q6776" s="94">
        <f>F6776&amp;E6776&amp;G6776&amp;L6776</f>
        <v/>
      </c>
    </row>
    <row r="6777" customFormat="1" s="94">
      <c r="B6777" s="128" t="n">
        <v>43992</v>
      </c>
      <c r="C6777" s="94">
        <f>TEXT(B6777,"aaa")</f>
        <v/>
      </c>
      <c r="E6777" s="94" t="inlineStr">
        <is>
          <t>앰플</t>
        </is>
      </c>
      <c r="F6777" s="94" t="inlineStr">
        <is>
          <t>카페24</t>
        </is>
      </c>
      <c r="G6777" s="94" t="inlineStr">
        <is>
          <t>앰플 30ml</t>
        </is>
      </c>
      <c r="H6777" s="7" t="n">
        <v>190801</v>
      </c>
      <c r="I6777" s="7" t="n">
        <v>190801</v>
      </c>
      <c r="K6777" s="94" t="n">
        <v>12</v>
      </c>
      <c r="L6777" s="94" t="n">
        <v>190801</v>
      </c>
      <c r="M6777" s="94">
        <f>VLOOKUP($Q6777,매칭테이블!$F:$I,2,0)*K6777</f>
        <v/>
      </c>
      <c r="N6777" s="94">
        <f>M6777-M6777*VLOOKUP($Q6777,매칭테이블!$F:$I,3,0)</f>
        <v/>
      </c>
      <c r="O6777" s="94">
        <f>VLOOKUP($Q6777,매칭테이블!$F:$I,4,0)*K6777</f>
        <v/>
      </c>
      <c r="P6777" s="148">
        <f>M6777/1.1</f>
        <v/>
      </c>
      <c r="Q6777" s="94">
        <f>F6777&amp;E6777&amp;G6777&amp;L6777</f>
        <v/>
      </c>
    </row>
    <row r="6778" customFormat="1" s="94">
      <c r="B6778" s="128" t="n">
        <v>43992</v>
      </c>
      <c r="C6778" s="94">
        <f>TEXT(B6778,"aaa")</f>
        <v/>
      </c>
      <c r="E6778" s="94" t="inlineStr">
        <is>
          <t>수딩크림</t>
        </is>
      </c>
      <c r="F6778" s="94" t="inlineStr">
        <is>
          <t>카페24</t>
        </is>
      </c>
      <c r="G6778" s="94" t="inlineStr">
        <is>
          <t>수딩크림 100ml</t>
        </is>
      </c>
      <c r="H6778" s="7" t="n">
        <v>190801</v>
      </c>
      <c r="I6778" s="7" t="n">
        <v>190801</v>
      </c>
      <c r="K6778" s="94" t="n">
        <v>6</v>
      </c>
      <c r="L6778" s="94" t="n">
        <v>190801</v>
      </c>
      <c r="M6778" s="94">
        <f>VLOOKUP($Q6778,매칭테이블!$F:$I,2,0)*K6778</f>
        <v/>
      </c>
      <c r="N6778" s="94">
        <f>M6778-M6778*VLOOKUP($Q6778,매칭테이블!$F:$I,3,0)</f>
        <v/>
      </c>
      <c r="O6778" s="94">
        <f>VLOOKUP($Q6778,매칭테이블!$F:$I,4,0)*K6778</f>
        <v/>
      </c>
      <c r="P6778" s="148">
        <f>M6778/1.1</f>
        <v/>
      </c>
      <c r="Q6778" s="94">
        <f>F6778&amp;E6778&amp;G6778&amp;L6778</f>
        <v/>
      </c>
    </row>
    <row r="6779" customFormat="1" s="94">
      <c r="B6779" s="128" t="n">
        <v>43992</v>
      </c>
      <c r="C6779" s="94">
        <f>TEXT(B6779,"aaa")</f>
        <v/>
      </c>
      <c r="E6779" s="94" t="inlineStr">
        <is>
          <t>클렌징폼</t>
        </is>
      </c>
      <c r="F6779" s="94" t="inlineStr">
        <is>
          <t>카페24</t>
        </is>
      </c>
      <c r="G6779" s="94" t="inlineStr">
        <is>
          <t>클렌징폼 120ml</t>
        </is>
      </c>
      <c r="H6779" s="7" t="n">
        <v>190801</v>
      </c>
      <c r="I6779" s="7" t="n">
        <v>190801</v>
      </c>
      <c r="K6779" s="94" t="n">
        <v>6</v>
      </c>
      <c r="L6779" s="94" t="n">
        <v>190801</v>
      </c>
      <c r="M6779" s="94">
        <f>VLOOKUP($Q6779,매칭테이블!$F:$I,2,0)*K6779</f>
        <v/>
      </c>
      <c r="N6779" s="94">
        <f>M6779-M6779*VLOOKUP($Q6779,매칭테이블!$F:$I,3,0)</f>
        <v/>
      </c>
      <c r="O6779" s="94">
        <f>VLOOKUP($Q6779,매칭테이블!$F:$I,4,0)*K6779</f>
        <v/>
      </c>
      <c r="P6779" s="148">
        <f>M6779/1.1</f>
        <v/>
      </c>
      <c r="Q6779" s="94">
        <f>F6779&amp;E6779&amp;G6779&amp;L6779</f>
        <v/>
      </c>
    </row>
    <row r="6780" customFormat="1" s="94">
      <c r="B6780" s="128" t="n">
        <v>43992</v>
      </c>
      <c r="C6780" s="94">
        <f>TEXT(B6780,"aaa")</f>
        <v/>
      </c>
      <c r="E6780" s="94" t="inlineStr">
        <is>
          <t>클렌징폼</t>
        </is>
      </c>
      <c r="F6780" s="94" t="inlineStr">
        <is>
          <t>카페24</t>
        </is>
      </c>
      <c r="G6780" s="94" t="inlineStr">
        <is>
          <t>클렌징폼 120ml 2set</t>
        </is>
      </c>
      <c r="H6780" s="7" t="n">
        <v>190801</v>
      </c>
      <c r="I6780" s="7" t="n">
        <v>190801</v>
      </c>
      <c r="K6780" s="94" t="n">
        <v>3</v>
      </c>
      <c r="L6780" s="94" t="n">
        <v>190801</v>
      </c>
      <c r="M6780" s="94">
        <f>VLOOKUP($Q6780,매칭테이블!$F:$I,2,0)*K6780</f>
        <v/>
      </c>
      <c r="N6780" s="94">
        <f>M6780-M6780*VLOOKUP($Q6780,매칭테이블!$F:$I,3,0)</f>
        <v/>
      </c>
      <c r="O6780" s="94">
        <f>VLOOKUP($Q6780,매칭테이블!$F:$I,4,0)*K6780</f>
        <v/>
      </c>
      <c r="P6780" s="148">
        <f>M6780/1.1</f>
        <v/>
      </c>
      <c r="Q6780" s="94">
        <f>F6780&amp;E6780&amp;G6780&amp;L6780</f>
        <v/>
      </c>
    </row>
    <row r="6781" customFormat="1" s="94">
      <c r="B6781" s="128" t="n">
        <v>43992</v>
      </c>
      <c r="C6781" s="94">
        <f>TEXT(B6781,"aaa")</f>
        <v/>
      </c>
      <c r="E6781" s="94" t="inlineStr">
        <is>
          <t>토너</t>
        </is>
      </c>
      <c r="F6781" s="94" t="inlineStr">
        <is>
          <t>현대면세점</t>
        </is>
      </c>
      <c r="G6781" s="94" t="inlineStr">
        <is>
          <t>250ml</t>
        </is>
      </c>
      <c r="H6781" s="7" t="n">
        <v>190801</v>
      </c>
      <c r="I6781" s="7" t="n">
        <v>190801</v>
      </c>
      <c r="K6781" s="94" t="n">
        <v>200</v>
      </c>
      <c r="L6781" s="94" t="n">
        <v>190801</v>
      </c>
      <c r="M6781" s="94">
        <f>VLOOKUP($Q6781,매칭테이블!$F:$I,2,0)*K6781</f>
        <v/>
      </c>
      <c r="N6781" s="94">
        <f>M6781-M6781*VLOOKUP($Q6781,매칭테이블!$F:$I,3,0)</f>
        <v/>
      </c>
      <c r="O6781" s="94">
        <f>VLOOKUP($Q6781,매칭테이블!$F:$I,4,0)*K6781</f>
        <v/>
      </c>
      <c r="P6781" s="148">
        <f>M6781/1.1</f>
        <v/>
      </c>
      <c r="Q6781" s="94">
        <f>F6781&amp;E6781&amp;G6781&amp;L6781</f>
        <v/>
      </c>
    </row>
    <row r="6782" customFormat="1" s="94">
      <c r="B6782" s="128" t="n">
        <v>43992</v>
      </c>
      <c r="C6782" s="94">
        <f>TEXT(B6782,"aaa")</f>
        <v/>
      </c>
      <c r="E6782" s="94" t="inlineStr">
        <is>
          <t>토너</t>
        </is>
      </c>
      <c r="F6782" s="94" t="inlineStr">
        <is>
          <t>큐텐</t>
        </is>
      </c>
      <c r="G6782" s="94" t="inlineStr">
        <is>
          <t>250ml</t>
        </is>
      </c>
      <c r="H6782" s="7" t="n">
        <v>190801</v>
      </c>
      <c r="I6782" s="7" t="n">
        <v>190801</v>
      </c>
      <c r="K6782" s="94" t="n">
        <v>23</v>
      </c>
      <c r="L6782" s="94" t="n">
        <v>190801</v>
      </c>
      <c r="M6782" s="94">
        <f>VLOOKUP($Q6782,매칭테이블!$F:$I,2,0)*K6782</f>
        <v/>
      </c>
      <c r="N6782" s="94">
        <f>M6782-M6782*VLOOKUP($Q6782,매칭테이블!$F:$I,3,0)</f>
        <v/>
      </c>
      <c r="O6782" s="94">
        <f>VLOOKUP($Q6782,매칭테이블!$F:$I,4,0)*K6782</f>
        <v/>
      </c>
      <c r="P6782" s="148">
        <f>M6782/1.1</f>
        <v/>
      </c>
      <c r="Q6782" s="94">
        <f>F6782&amp;E6782&amp;G6782&amp;L6782</f>
        <v/>
      </c>
    </row>
    <row r="6783" customFormat="1" s="94">
      <c r="B6783" s="128" t="n">
        <v>43992</v>
      </c>
      <c r="C6783" s="94">
        <f>TEXT(B6783,"aaa")</f>
        <v/>
      </c>
      <c r="E6783" s="94" t="inlineStr">
        <is>
          <t>토너</t>
        </is>
      </c>
      <c r="F6783" s="94" t="inlineStr">
        <is>
          <t>큐텐</t>
        </is>
      </c>
      <c r="G6783" s="94" t="inlineStr">
        <is>
          <t>250ml 2set</t>
        </is>
      </c>
      <c r="H6783" s="7" t="n">
        <v>190801</v>
      </c>
      <c r="I6783" s="7" t="n">
        <v>190801</v>
      </c>
      <c r="K6783" s="94" t="n">
        <v>22</v>
      </c>
      <c r="L6783" s="94" t="n">
        <v>190801</v>
      </c>
      <c r="M6783" s="94">
        <f>VLOOKUP($Q6783,매칭테이블!$F:$I,2,0)*K6783</f>
        <v/>
      </c>
      <c r="N6783" s="94">
        <f>M6783-M6783*VLOOKUP($Q6783,매칭테이블!$F:$I,3,0)</f>
        <v/>
      </c>
      <c r="O6783" s="94">
        <f>VLOOKUP($Q6783,매칭테이블!$F:$I,4,0)*K6783</f>
        <v/>
      </c>
      <c r="P6783" s="148">
        <f>M6783/1.1</f>
        <v/>
      </c>
      <c r="Q6783" s="94">
        <f>F6783&amp;E6783&amp;G6783&amp;L6783</f>
        <v/>
      </c>
    </row>
    <row r="6784" customFormat="1" s="94">
      <c r="B6784" s="128" t="n">
        <v>43992</v>
      </c>
      <c r="C6784" s="94">
        <f>TEXT(B6784,"aaa")</f>
        <v/>
      </c>
      <c r="E6784" s="94" t="inlineStr">
        <is>
          <t>앰플</t>
        </is>
      </c>
      <c r="F6784" s="94" t="inlineStr">
        <is>
          <t>큐텐</t>
        </is>
      </c>
      <c r="G6784" s="94" t="inlineStr">
        <is>
          <t>앰플 30ml</t>
        </is>
      </c>
      <c r="H6784" s="7" t="n">
        <v>190801</v>
      </c>
      <c r="I6784" s="7" t="n">
        <v>190801</v>
      </c>
      <c r="K6784" s="94" t="n">
        <v>2</v>
      </c>
      <c r="L6784" s="94" t="n">
        <v>190801</v>
      </c>
      <c r="M6784" s="94">
        <f>VLOOKUP($Q6784,매칭테이블!$F:$I,2,0)*K6784</f>
        <v/>
      </c>
      <c r="N6784" s="94">
        <f>M6784-M6784*VLOOKUP($Q6784,매칭테이블!$F:$I,3,0)</f>
        <v/>
      </c>
      <c r="O6784" s="94">
        <f>VLOOKUP($Q6784,매칭테이블!$F:$I,4,0)*K6784</f>
        <v/>
      </c>
      <c r="P6784" s="148">
        <f>M6784/1.1</f>
        <v/>
      </c>
      <c r="Q6784" s="94">
        <f>F6784&amp;E6784&amp;G6784&amp;L6784</f>
        <v/>
      </c>
    </row>
    <row r="6785" customFormat="1" s="94">
      <c r="B6785" s="128" t="n">
        <v>43992</v>
      </c>
      <c r="C6785" s="94">
        <f>TEXT(B6785,"aaa")</f>
        <v/>
      </c>
      <c r="E6785" s="94" t="inlineStr">
        <is>
          <t>머드크림마스크</t>
        </is>
      </c>
      <c r="F6785" s="94" t="inlineStr">
        <is>
          <t>큐텐</t>
        </is>
      </c>
      <c r="G6785" s="94" t="inlineStr">
        <is>
          <t>머드크림마스크 100ml</t>
        </is>
      </c>
      <c r="H6785" s="7" t="n">
        <v>190801</v>
      </c>
      <c r="I6785" s="7" t="n">
        <v>190801</v>
      </c>
      <c r="K6785" s="94" t="n">
        <v>1</v>
      </c>
      <c r="L6785" s="94" t="n">
        <v>190801</v>
      </c>
      <c r="M6785" s="94">
        <f>VLOOKUP($Q6785,매칭테이블!$F:$I,2,0)*K6785</f>
        <v/>
      </c>
      <c r="N6785" s="94">
        <f>M6785-M6785*VLOOKUP($Q6785,매칭테이블!$F:$I,3,0)</f>
        <v/>
      </c>
      <c r="O6785" s="94">
        <f>VLOOKUP($Q6785,매칭테이블!$F:$I,4,0)*K6785</f>
        <v/>
      </c>
      <c r="P6785" s="148">
        <f>M6785/1.1</f>
        <v/>
      </c>
      <c r="Q6785" s="94">
        <f>F6785&amp;E6785&amp;G6785&amp;L6785</f>
        <v/>
      </c>
    </row>
    <row r="6786" customFormat="1" s="94">
      <c r="B6786" s="128" t="n">
        <v>43992</v>
      </c>
      <c r="C6786" s="94">
        <f>TEXT(B6786,"aaa")</f>
        <v/>
      </c>
      <c r="E6786" s="94" t="inlineStr">
        <is>
          <t>클렌징폼</t>
        </is>
      </c>
      <c r="F6786" s="94" t="inlineStr">
        <is>
          <t>큐텐</t>
        </is>
      </c>
      <c r="G6786" s="94" t="inlineStr">
        <is>
          <t>클렌징폼 120ml</t>
        </is>
      </c>
      <c r="H6786" s="7" t="n">
        <v>190801</v>
      </c>
      <c r="I6786" s="7" t="n">
        <v>190801</v>
      </c>
      <c r="K6786" s="94" t="n">
        <v>1</v>
      </c>
      <c r="L6786" s="94" t="n">
        <v>190801</v>
      </c>
      <c r="M6786" s="94">
        <f>VLOOKUP($Q6786,매칭테이블!$F:$I,2,0)*K6786</f>
        <v/>
      </c>
      <c r="N6786" s="94">
        <f>M6786-M6786*VLOOKUP($Q6786,매칭테이블!$F:$I,3,0)</f>
        <v/>
      </c>
      <c r="O6786" s="94">
        <f>VLOOKUP($Q6786,매칭테이블!$F:$I,4,0)*K6786</f>
        <v/>
      </c>
      <c r="P6786" s="148">
        <f>M6786/1.1</f>
        <v/>
      </c>
      <c r="Q6786" s="94">
        <f>F6786&amp;E6786&amp;G6786&amp;L6786</f>
        <v/>
      </c>
    </row>
    <row r="6787" customFormat="1" s="94">
      <c r="B6787" s="128" t="n">
        <v>43992</v>
      </c>
      <c r="C6787" s="94">
        <f>TEXT(B6787,"aaa")</f>
        <v/>
      </c>
      <c r="E6787" s="94" t="inlineStr">
        <is>
          <t>토너</t>
        </is>
      </c>
      <c r="F6787" s="94" t="inlineStr">
        <is>
          <t>아누아 CS</t>
        </is>
      </c>
      <c r="G6787" s="94" t="inlineStr">
        <is>
          <t>250ml</t>
        </is>
      </c>
      <c r="H6787" s="7" t="n">
        <v>190801</v>
      </c>
      <c r="I6787" s="7" t="n">
        <v>190801</v>
      </c>
      <c r="K6787" s="94" t="n">
        <v>217</v>
      </c>
      <c r="L6787" s="94" t="n">
        <v>190801</v>
      </c>
      <c r="M6787" s="94">
        <f>VLOOKUP($Q6787,매칭테이블!$F:$I,2,0)*K6787</f>
        <v/>
      </c>
      <c r="N6787" s="94">
        <f>M6787-M6787*VLOOKUP($Q6787,매칭테이블!$F:$I,3,0)</f>
        <v/>
      </c>
      <c r="O6787" s="94">
        <f>VLOOKUP($Q6787,매칭테이블!$F:$I,4,0)*K6787</f>
        <v/>
      </c>
      <c r="P6787" s="148">
        <f>M6787/1.1</f>
        <v/>
      </c>
      <c r="Q6787" s="94">
        <f>F6787&amp;E6787&amp;G6787&amp;L6787</f>
        <v/>
      </c>
    </row>
    <row r="6788" customFormat="1" s="94">
      <c r="B6788" s="128" t="n">
        <v>43992</v>
      </c>
      <c r="C6788" s="94">
        <f>TEXT(B6788,"aaa")</f>
        <v/>
      </c>
      <c r="E6788" s="94" t="inlineStr">
        <is>
          <t>토너</t>
        </is>
      </c>
      <c r="F6788" s="94" t="inlineStr">
        <is>
          <t>아누아 CS</t>
        </is>
      </c>
      <c r="G6788" s="94" t="inlineStr">
        <is>
          <t>40ml</t>
        </is>
      </c>
      <c r="H6788" s="7" t="n">
        <v>190801</v>
      </c>
      <c r="I6788" s="7" t="n">
        <v>190801</v>
      </c>
      <c r="K6788" s="94" t="n">
        <v>240</v>
      </c>
      <c r="L6788" s="94" t="n">
        <v>190801</v>
      </c>
      <c r="M6788" s="94">
        <f>VLOOKUP($Q6788,매칭테이블!$F:$I,2,0)*K6788</f>
        <v/>
      </c>
      <c r="N6788" s="94">
        <f>M6788-M6788*VLOOKUP($Q6788,매칭테이블!$F:$I,3,0)</f>
        <v/>
      </c>
      <c r="O6788" s="94">
        <f>VLOOKUP($Q6788,매칭테이블!$F:$I,4,0)*K6788</f>
        <v/>
      </c>
      <c r="P6788" s="148">
        <f>M6788/1.1</f>
        <v/>
      </c>
      <c r="Q6788" s="94">
        <f>F6788&amp;E6788&amp;G6788&amp;L6788</f>
        <v/>
      </c>
    </row>
    <row r="6789" customFormat="1" s="94">
      <c r="B6789" s="128" t="n">
        <v>43992</v>
      </c>
      <c r="C6789" s="94">
        <f>TEXT(B6789,"aaa")</f>
        <v/>
      </c>
      <c r="E6789" s="94" t="inlineStr">
        <is>
          <t>화장솜</t>
        </is>
      </c>
      <c r="F6789" s="94" t="inlineStr">
        <is>
          <t>아누아 CS</t>
        </is>
      </c>
      <c r="G6789" s="94" t="inlineStr">
        <is>
          <t>스킨팩 화장솜 60P</t>
        </is>
      </c>
      <c r="H6789" s="7" t="n">
        <v>190801</v>
      </c>
      <c r="I6789" s="7" t="n">
        <v>190801</v>
      </c>
      <c r="K6789" s="94" t="n">
        <v>1</v>
      </c>
      <c r="L6789" s="94" t="n">
        <v>190801</v>
      </c>
      <c r="M6789" s="94">
        <f>VLOOKUP($Q6789,매칭테이블!$F:$I,2,0)*K6789</f>
        <v/>
      </c>
      <c r="N6789" s="94">
        <f>M6789-M6789*VLOOKUP($Q6789,매칭테이블!$F:$I,3,0)</f>
        <v/>
      </c>
      <c r="O6789" s="94">
        <f>VLOOKUP($Q6789,매칭테이블!$F:$I,4,0)*K6789</f>
        <v/>
      </c>
      <c r="P6789" s="148">
        <f>M6789/1.1</f>
        <v/>
      </c>
      <c r="Q6789" s="94">
        <f>F6789&amp;E6789&amp;G6789&amp;L6789</f>
        <v/>
      </c>
    </row>
    <row r="6790" customFormat="1" s="94">
      <c r="B6790" s="128" t="n">
        <v>43992</v>
      </c>
      <c r="C6790" s="94">
        <f>TEXT(B6790,"aaa")</f>
        <v/>
      </c>
      <c r="E6790" s="94" t="inlineStr">
        <is>
          <t>앰플</t>
        </is>
      </c>
      <c r="F6790" s="94" t="inlineStr">
        <is>
          <t>아누아 CS</t>
        </is>
      </c>
      <c r="G6790" s="94" t="inlineStr">
        <is>
          <t>앰플 30ml</t>
        </is>
      </c>
      <c r="H6790" s="7" t="n">
        <v>190801</v>
      </c>
      <c r="I6790" s="7" t="n">
        <v>190801</v>
      </c>
      <c r="K6790" s="94" t="n">
        <v>1</v>
      </c>
      <c r="L6790" s="94" t="n">
        <v>190801</v>
      </c>
      <c r="M6790" s="94">
        <f>VLOOKUP($Q6790,매칭테이블!$F:$I,2,0)*K6790</f>
        <v/>
      </c>
      <c r="N6790" s="94">
        <f>M6790-M6790*VLOOKUP($Q6790,매칭테이블!$F:$I,3,0)</f>
        <v/>
      </c>
      <c r="O6790" s="94">
        <f>VLOOKUP($Q6790,매칭테이블!$F:$I,4,0)*K6790</f>
        <v/>
      </c>
      <c r="P6790" s="148">
        <f>M6790/1.1</f>
        <v/>
      </c>
      <c r="Q6790" s="94">
        <f>F6790&amp;E6790&amp;G6790&amp;L6790</f>
        <v/>
      </c>
    </row>
    <row r="6791" customFormat="1" s="94">
      <c r="B6791" s="128" t="n">
        <v>43992</v>
      </c>
      <c r="C6791" s="94">
        <f>TEXT(B6791,"aaa")</f>
        <v/>
      </c>
      <c r="E6791" s="94" t="inlineStr">
        <is>
          <t>마스크팩</t>
        </is>
      </c>
      <c r="F6791" s="94" t="inlineStr">
        <is>
          <t>아누아 CS</t>
        </is>
      </c>
      <c r="G6791" s="94" t="inlineStr">
        <is>
          <t>마스크팩 10매</t>
        </is>
      </c>
      <c r="H6791" s="7" t="n">
        <v>190801</v>
      </c>
      <c r="I6791" s="7" t="n">
        <v>190801</v>
      </c>
      <c r="K6791" s="94" t="n">
        <v>1</v>
      </c>
      <c r="L6791" s="94" t="n">
        <v>190801</v>
      </c>
      <c r="M6791" s="94">
        <f>VLOOKUP($Q6791,매칭테이블!$F:$I,2,0)*K6791</f>
        <v/>
      </c>
      <c r="N6791" s="94">
        <f>M6791-M6791*VLOOKUP($Q6791,매칭테이블!$F:$I,3,0)</f>
        <v/>
      </c>
      <c r="O6791" s="94">
        <f>VLOOKUP($Q6791,매칭테이블!$F:$I,4,0)*K6791</f>
        <v/>
      </c>
      <c r="P6791" s="148">
        <f>M6791/1.1</f>
        <v/>
      </c>
      <c r="Q6791" s="94">
        <f>F6791&amp;E6791&amp;G6791&amp;L6791</f>
        <v/>
      </c>
    </row>
    <row r="6792" customFormat="1" s="94">
      <c r="B6792" s="128" t="n">
        <v>43992</v>
      </c>
      <c r="C6792" s="94">
        <f>TEXT(B6792,"aaa")</f>
        <v/>
      </c>
      <c r="E6792" s="94" t="inlineStr">
        <is>
          <t>선크림</t>
        </is>
      </c>
      <c r="F6792" s="94" t="inlineStr">
        <is>
          <t>아누아 CS</t>
        </is>
      </c>
      <c r="G6792" s="94" t="inlineStr">
        <is>
          <t>선크림 50ml</t>
        </is>
      </c>
      <c r="H6792" s="7" t="n">
        <v>190801</v>
      </c>
      <c r="I6792" s="7" t="n">
        <v>190801</v>
      </c>
      <c r="K6792" s="94" t="n">
        <v>1</v>
      </c>
      <c r="L6792" s="94" t="n">
        <v>190801</v>
      </c>
      <c r="M6792" s="94">
        <f>VLOOKUP($Q6792,매칭테이블!$F:$I,2,0)*K6792</f>
        <v/>
      </c>
      <c r="N6792" s="94">
        <f>M6792-M6792*VLOOKUP($Q6792,매칭테이블!$F:$I,3,0)</f>
        <v/>
      </c>
      <c r="O6792" s="94">
        <f>VLOOKUP($Q6792,매칭테이블!$F:$I,4,0)*K6792</f>
        <v/>
      </c>
      <c r="P6792" s="148">
        <f>M6792/1.1</f>
        <v/>
      </c>
      <c r="Q6792" s="94">
        <f>F6792&amp;E6792&amp;G6792&amp;L6792</f>
        <v/>
      </c>
    </row>
    <row r="6793" customFormat="1" s="94">
      <c r="B6793" s="128" t="n">
        <v>43993</v>
      </c>
      <c r="C6793" s="94">
        <f>TEXT(B6793,"aaa")</f>
        <v/>
      </c>
      <c r="E6793" s="94" t="inlineStr">
        <is>
          <t>토너</t>
        </is>
      </c>
      <c r="F6793" s="94" t="inlineStr">
        <is>
          <t>W컨셉</t>
        </is>
      </c>
      <c r="G6793" s="94" t="inlineStr">
        <is>
          <t>250ml 2set</t>
        </is>
      </c>
      <c r="H6793" s="7" t="n">
        <v>190801</v>
      </c>
      <c r="I6793" s="7" t="n">
        <v>190801</v>
      </c>
      <c r="K6793" s="94" t="n">
        <v>4</v>
      </c>
      <c r="L6793" s="94" t="n">
        <v>190801</v>
      </c>
      <c r="M6793" s="94">
        <f>VLOOKUP($Q6793,매칭테이블!$F:$I,2,0)*K6793</f>
        <v/>
      </c>
      <c r="N6793" s="94">
        <f>M6793-M6793*VLOOKUP($Q6793,매칭테이블!$F:$I,3,0)</f>
        <v/>
      </c>
      <c r="O6793" s="94">
        <f>VLOOKUP($Q6793,매칭테이블!$F:$I,4,0)*K6793</f>
        <v/>
      </c>
      <c r="P6793" s="148">
        <f>M6793/1.1</f>
        <v/>
      </c>
      <c r="Q6793" s="94">
        <f>F6793&amp;E6793&amp;G6793&amp;L6793</f>
        <v/>
      </c>
    </row>
    <row r="6794" customFormat="1" s="94">
      <c r="B6794" s="128" t="n">
        <v>43993</v>
      </c>
      <c r="C6794" s="94">
        <f>TEXT(B6794,"aaa")</f>
        <v/>
      </c>
      <c r="E6794" s="94" t="inlineStr">
        <is>
          <t>토너</t>
        </is>
      </c>
      <c r="F6794" s="94" t="inlineStr">
        <is>
          <t>스타일쉐어</t>
        </is>
      </c>
      <c r="G6794" s="94" t="inlineStr">
        <is>
          <t>250ml</t>
        </is>
      </c>
      <c r="H6794" s="7" t="n">
        <v>190801</v>
      </c>
      <c r="I6794" s="7" t="n">
        <v>190801</v>
      </c>
      <c r="K6794" s="94" t="n">
        <v>5</v>
      </c>
      <c r="L6794" s="94" t="n">
        <v>190801</v>
      </c>
      <c r="M6794" s="94">
        <f>VLOOKUP($Q6794,매칭테이블!$F:$I,2,0)*K6794</f>
        <v/>
      </c>
      <c r="N6794" s="94">
        <f>M6794-M6794*VLOOKUP($Q6794,매칭테이블!$F:$I,3,0)</f>
        <v/>
      </c>
      <c r="O6794" s="94">
        <f>VLOOKUP($Q6794,매칭테이블!$F:$I,4,0)*K6794</f>
        <v/>
      </c>
      <c r="P6794" s="148">
        <f>M6794/1.1</f>
        <v/>
      </c>
      <c r="Q6794" s="94">
        <f>F6794&amp;E6794&amp;G6794&amp;L6794</f>
        <v/>
      </c>
    </row>
    <row r="6795" customFormat="1" s="94">
      <c r="B6795" s="128" t="n">
        <v>43993</v>
      </c>
      <c r="C6795" s="94">
        <f>TEXT(B6795,"aaa")</f>
        <v/>
      </c>
      <c r="E6795" s="94" t="inlineStr">
        <is>
          <t>선크림</t>
        </is>
      </c>
      <c r="F6795" s="94" t="inlineStr">
        <is>
          <t>카페24</t>
        </is>
      </c>
      <c r="G6795" s="94" t="inlineStr">
        <is>
          <t>선크림 50ml</t>
        </is>
      </c>
      <c r="H6795" s="7" t="n">
        <v>190801</v>
      </c>
      <c r="I6795" s="7" t="n">
        <v>190801</v>
      </c>
      <c r="K6795" s="94" t="n">
        <v>15</v>
      </c>
      <c r="L6795" s="94" t="n">
        <v>190801</v>
      </c>
      <c r="M6795" s="94">
        <f>VLOOKUP($Q6795,매칭테이블!$F:$I,2,0)*K6795</f>
        <v/>
      </c>
      <c r="N6795" s="94">
        <f>M6795-M6795*VLOOKUP($Q6795,매칭테이블!$F:$I,3,0)</f>
        <v/>
      </c>
      <c r="O6795" s="94">
        <f>VLOOKUP($Q6795,매칭테이블!$F:$I,4,0)*K6795</f>
        <v/>
      </c>
      <c r="P6795" s="148">
        <f>M6795/1.1</f>
        <v/>
      </c>
      <c r="Q6795" s="94">
        <f>F6795&amp;E6795&amp;G6795&amp;L6795</f>
        <v/>
      </c>
    </row>
    <row r="6796" customFormat="1" s="94">
      <c r="B6796" s="128" t="n">
        <v>43993</v>
      </c>
      <c r="C6796" s="94">
        <f>TEXT(B6796,"aaa")</f>
        <v/>
      </c>
      <c r="E6796" s="94" t="inlineStr">
        <is>
          <t>클렌징폼</t>
        </is>
      </c>
      <c r="F6796" s="94" t="inlineStr">
        <is>
          <t>카페24</t>
        </is>
      </c>
      <c r="G6796" s="94" t="inlineStr">
        <is>
          <t>클렌징폼 120ml(선크림할인)</t>
        </is>
      </c>
      <c r="H6796" s="7" t="n">
        <v>190801</v>
      </c>
      <c r="I6796" s="7" t="n">
        <v>190801</v>
      </c>
      <c r="K6796" s="94" t="n">
        <v>5</v>
      </c>
      <c r="L6796" s="94" t="n">
        <v>190801</v>
      </c>
      <c r="M6796" s="94">
        <f>VLOOKUP($Q6796,매칭테이블!$F:$I,2,0)*K6796</f>
        <v/>
      </c>
      <c r="N6796" s="94">
        <f>M6796-M6796*VLOOKUP($Q6796,매칭테이블!$F:$I,3,0)</f>
        <v/>
      </c>
      <c r="O6796" s="94">
        <f>VLOOKUP($Q6796,매칭테이블!$F:$I,4,0)*K6796</f>
        <v/>
      </c>
      <c r="P6796" s="148">
        <f>M6796/1.1</f>
        <v/>
      </c>
      <c r="Q6796" s="94">
        <f>F6796&amp;E6796&amp;G6796&amp;L6796</f>
        <v/>
      </c>
    </row>
    <row r="6797" customFormat="1" s="94">
      <c r="B6797" s="128" t="n">
        <v>43993</v>
      </c>
      <c r="C6797" s="94">
        <f>TEXT(B6797,"aaa")</f>
        <v/>
      </c>
      <c r="E6797" s="94" t="inlineStr">
        <is>
          <t>어성초진정패키지</t>
        </is>
      </c>
      <c r="F6797" s="94" t="inlineStr">
        <is>
          <t>카페24</t>
        </is>
      </c>
      <c r="G6797" s="94" t="inlineStr">
        <is>
          <t>어성초 진정패키지세트</t>
        </is>
      </c>
      <c r="H6797" s="7" t="n">
        <v>190801</v>
      </c>
      <c r="I6797" s="7" t="n">
        <v>190801</v>
      </c>
      <c r="K6797" s="94" t="n">
        <v>6</v>
      </c>
      <c r="L6797" s="94" t="n">
        <v>190801</v>
      </c>
      <c r="M6797" s="94">
        <f>VLOOKUP($Q6797,매칭테이블!$F:$I,2,0)*K6797</f>
        <v/>
      </c>
      <c r="N6797" s="94">
        <f>M6797-M6797*VLOOKUP($Q6797,매칭테이블!$F:$I,3,0)</f>
        <v/>
      </c>
      <c r="O6797" s="94">
        <f>VLOOKUP($Q6797,매칭테이블!$F:$I,4,0)*K6797</f>
        <v/>
      </c>
      <c r="P6797" s="148">
        <f>M6797/1.1</f>
        <v/>
      </c>
      <c r="Q6797" s="94">
        <f>F6797&amp;E6797&amp;G6797&amp;L6797</f>
        <v/>
      </c>
    </row>
    <row r="6798" customFormat="1" s="94">
      <c r="B6798" s="128" t="n">
        <v>43993</v>
      </c>
      <c r="C6798" s="94">
        <f>TEXT(B6798,"aaa")</f>
        <v/>
      </c>
      <c r="E6798" s="94" t="inlineStr">
        <is>
          <t>머드크림마스크</t>
        </is>
      </c>
      <c r="F6798" s="94" t="inlineStr">
        <is>
          <t>카페24</t>
        </is>
      </c>
      <c r="G6798" s="94" t="inlineStr">
        <is>
          <t>머드크림마스크 100ml</t>
        </is>
      </c>
      <c r="H6798" s="7" t="n">
        <v>190801</v>
      </c>
      <c r="I6798" s="7" t="n">
        <v>190801</v>
      </c>
      <c r="K6798" s="94" t="n">
        <v>1</v>
      </c>
      <c r="L6798" s="94" t="n">
        <v>190801</v>
      </c>
      <c r="M6798" s="94">
        <f>VLOOKUP($Q6798,매칭테이블!$F:$I,2,0)*K6798</f>
        <v/>
      </c>
      <c r="N6798" s="94">
        <f>M6798-M6798*VLOOKUP($Q6798,매칭테이블!$F:$I,3,0)</f>
        <v/>
      </c>
      <c r="O6798" s="94">
        <f>VLOOKUP($Q6798,매칭테이블!$F:$I,4,0)*K6798</f>
        <v/>
      </c>
      <c r="P6798" s="148">
        <f>M6798/1.1</f>
        <v/>
      </c>
      <c r="Q6798" s="94">
        <f>F6798&amp;E6798&amp;G6798&amp;L6798</f>
        <v/>
      </c>
    </row>
    <row r="6799" customFormat="1" s="94">
      <c r="B6799" s="128" t="n">
        <v>43993</v>
      </c>
      <c r="C6799" s="94">
        <f>TEXT(B6799,"aaa")</f>
        <v/>
      </c>
      <c r="E6799" s="94" t="inlineStr">
        <is>
          <t>머드크림마스크</t>
        </is>
      </c>
      <c r="F6799" s="94" t="inlineStr">
        <is>
          <t>카페24</t>
        </is>
      </c>
      <c r="G6799" s="94" t="inlineStr">
        <is>
          <t>머드크림마스크 100ml 2set</t>
        </is>
      </c>
      <c r="H6799" s="7" t="n">
        <v>190801</v>
      </c>
      <c r="I6799" s="7" t="n">
        <v>190801</v>
      </c>
      <c r="K6799" s="94" t="n">
        <v>1</v>
      </c>
      <c r="L6799" s="94" t="n">
        <v>190801</v>
      </c>
      <c r="M6799" s="94">
        <f>VLOOKUP($Q6799,매칭테이블!$F:$I,2,0)*K6799</f>
        <v/>
      </c>
      <c r="N6799" s="94">
        <f>M6799-M6799*VLOOKUP($Q6799,매칭테이블!$F:$I,3,0)</f>
        <v/>
      </c>
      <c r="O6799" s="94">
        <f>VLOOKUP($Q6799,매칭테이블!$F:$I,4,0)*K6799</f>
        <v/>
      </c>
      <c r="P6799" s="148">
        <f>M6799/1.1</f>
        <v/>
      </c>
      <c r="Q6799" s="94">
        <f>F6799&amp;E6799&amp;G6799&amp;L6799</f>
        <v/>
      </c>
    </row>
    <row r="6800" customFormat="1" s="94">
      <c r="B6800" s="128" t="n">
        <v>43993</v>
      </c>
      <c r="C6800" s="94">
        <f>TEXT(B6800,"aaa")</f>
        <v/>
      </c>
      <c r="E6800" s="94" t="inlineStr">
        <is>
          <t>마스크팩</t>
        </is>
      </c>
      <c r="F6800" s="94" t="inlineStr">
        <is>
          <t>카페24</t>
        </is>
      </c>
      <c r="G6800" s="94" t="inlineStr">
        <is>
          <t>마스크팩 1매</t>
        </is>
      </c>
      <c r="H6800" s="7" t="n">
        <v>190801</v>
      </c>
      <c r="I6800" s="7" t="n">
        <v>190801</v>
      </c>
      <c r="K6800" s="94" t="n">
        <v>13</v>
      </c>
      <c r="L6800" s="94" t="n">
        <v>190801</v>
      </c>
      <c r="M6800" s="94">
        <f>VLOOKUP($Q6800,매칭테이블!$F:$I,2,0)*K6800</f>
        <v/>
      </c>
      <c r="N6800" s="94">
        <f>M6800-M6800*VLOOKUP($Q6800,매칭테이블!$F:$I,3,0)</f>
        <v/>
      </c>
      <c r="O6800" s="94">
        <f>VLOOKUP($Q6800,매칭테이블!$F:$I,4,0)*K6800</f>
        <v/>
      </c>
      <c r="P6800" s="148">
        <f>M6800/1.1</f>
        <v/>
      </c>
      <c r="Q6800" s="94">
        <f>F6800&amp;E6800&amp;G6800&amp;L6800</f>
        <v/>
      </c>
    </row>
    <row r="6801" customFormat="1" s="94">
      <c r="B6801" s="128" t="n">
        <v>43993</v>
      </c>
      <c r="C6801" s="94">
        <f>TEXT(B6801,"aaa")</f>
        <v/>
      </c>
      <c r="E6801" s="94" t="inlineStr">
        <is>
          <t>마스크팩</t>
        </is>
      </c>
      <c r="F6801" s="94" t="inlineStr">
        <is>
          <t>카페24</t>
        </is>
      </c>
      <c r="G6801" s="94" t="inlineStr">
        <is>
          <t>마스크팩 10매</t>
        </is>
      </c>
      <c r="H6801" s="7" t="n">
        <v>190801</v>
      </c>
      <c r="I6801" s="7" t="n">
        <v>190801</v>
      </c>
      <c r="K6801" s="94" t="n">
        <v>12</v>
      </c>
      <c r="L6801" s="94" t="n">
        <v>190801</v>
      </c>
      <c r="M6801" s="94">
        <f>VLOOKUP($Q6801,매칭테이블!$F:$I,2,0)*K6801</f>
        <v/>
      </c>
      <c r="N6801" s="94">
        <f>M6801-M6801*VLOOKUP($Q6801,매칭테이블!$F:$I,3,0)</f>
        <v/>
      </c>
      <c r="O6801" s="94">
        <f>VLOOKUP($Q6801,매칭테이블!$F:$I,4,0)*K6801</f>
        <v/>
      </c>
      <c r="P6801" s="148">
        <f>M6801/1.1</f>
        <v/>
      </c>
      <c r="Q6801" s="94">
        <f>F6801&amp;E6801&amp;G6801&amp;L6801</f>
        <v/>
      </c>
    </row>
    <row r="6802" customFormat="1" s="94">
      <c r="B6802" s="128" t="n">
        <v>43993</v>
      </c>
      <c r="C6802" s="94">
        <f>TEXT(B6802,"aaa")</f>
        <v/>
      </c>
      <c r="E6802" s="94" t="inlineStr">
        <is>
          <t>토너</t>
        </is>
      </c>
      <c r="F6802" s="94" t="inlineStr">
        <is>
          <t>카페24</t>
        </is>
      </c>
      <c r="G6802" s="94" t="inlineStr">
        <is>
          <t>250ml</t>
        </is>
      </c>
      <c r="H6802" s="7" t="n">
        <v>190801</v>
      </c>
      <c r="I6802" s="7" t="n">
        <v>190801</v>
      </c>
      <c r="K6802" s="94" t="n">
        <v>53</v>
      </c>
      <c r="L6802" s="94" t="n">
        <v>190801</v>
      </c>
      <c r="M6802" s="94">
        <f>VLOOKUP($Q6802,매칭테이블!$F:$I,2,0)*K6802</f>
        <v/>
      </c>
      <c r="N6802" s="94">
        <f>M6802-M6802*VLOOKUP($Q6802,매칭테이블!$F:$I,3,0)</f>
        <v/>
      </c>
      <c r="O6802" s="94">
        <f>VLOOKUP($Q6802,매칭테이블!$F:$I,4,0)*K6802</f>
        <v/>
      </c>
      <c r="P6802" s="148">
        <f>M6802/1.1</f>
        <v/>
      </c>
      <c r="Q6802" s="94">
        <f>F6802&amp;E6802&amp;G6802&amp;L6802</f>
        <v/>
      </c>
    </row>
    <row r="6803" customFormat="1" s="94">
      <c r="B6803" s="128" t="n">
        <v>43993</v>
      </c>
      <c r="C6803" s="94">
        <f>TEXT(B6803,"aaa")</f>
        <v/>
      </c>
      <c r="E6803" s="94" t="inlineStr">
        <is>
          <t>토너</t>
        </is>
      </c>
      <c r="F6803" s="94" t="inlineStr">
        <is>
          <t>카페24</t>
        </is>
      </c>
      <c r="G6803" s="94" t="inlineStr">
        <is>
          <t>250ml 2set</t>
        </is>
      </c>
      <c r="H6803" s="7" t="n">
        <v>190801</v>
      </c>
      <c r="I6803" s="7" t="n">
        <v>190801</v>
      </c>
      <c r="K6803" s="94" t="n">
        <v>49</v>
      </c>
      <c r="L6803" s="94" t="n">
        <v>190801</v>
      </c>
      <c r="M6803" s="94">
        <f>VLOOKUP($Q6803,매칭테이블!$F:$I,2,0)*K6803</f>
        <v/>
      </c>
      <c r="N6803" s="94">
        <f>M6803-M6803*VLOOKUP($Q6803,매칭테이블!$F:$I,3,0)</f>
        <v/>
      </c>
      <c r="O6803" s="94">
        <f>VLOOKUP($Q6803,매칭테이블!$F:$I,4,0)*K6803</f>
        <v/>
      </c>
      <c r="P6803" s="148">
        <f>M6803/1.1</f>
        <v/>
      </c>
      <c r="Q6803" s="94">
        <f>F6803&amp;E6803&amp;G6803&amp;L6803</f>
        <v/>
      </c>
    </row>
    <row r="6804" customFormat="1" s="94">
      <c r="B6804" s="128" t="n">
        <v>43993</v>
      </c>
      <c r="C6804" s="94">
        <f>TEXT(B6804,"aaa")</f>
        <v/>
      </c>
      <c r="E6804" s="94" t="inlineStr">
        <is>
          <t>토너</t>
        </is>
      </c>
      <c r="F6804" s="94" t="inlineStr">
        <is>
          <t>카페24</t>
        </is>
      </c>
      <c r="G6804" s="94" t="inlineStr">
        <is>
          <t>500ml</t>
        </is>
      </c>
      <c r="H6804" s="7" t="n">
        <v>190801</v>
      </c>
      <c r="I6804" s="7" t="n">
        <v>190801</v>
      </c>
      <c r="K6804" s="94" t="n">
        <v>41</v>
      </c>
      <c r="L6804" s="94" t="n">
        <v>190801</v>
      </c>
      <c r="M6804" s="94">
        <f>VLOOKUP($Q6804,매칭테이블!$F:$I,2,0)*K6804</f>
        <v/>
      </c>
      <c r="N6804" s="94">
        <f>M6804-M6804*VLOOKUP($Q6804,매칭테이블!$F:$I,3,0)</f>
        <v/>
      </c>
      <c r="O6804" s="94">
        <f>VLOOKUP($Q6804,매칭테이블!$F:$I,4,0)*K6804</f>
        <v/>
      </c>
      <c r="P6804" s="148">
        <f>M6804/1.1</f>
        <v/>
      </c>
      <c r="Q6804" s="94">
        <f>F6804&amp;E6804&amp;G6804&amp;L6804</f>
        <v/>
      </c>
    </row>
    <row r="6805" customFormat="1" s="94">
      <c r="B6805" s="128" t="n">
        <v>43993</v>
      </c>
      <c r="C6805" s="94">
        <f>TEXT(B6805,"aaa")</f>
        <v/>
      </c>
      <c r="E6805" s="94" t="inlineStr">
        <is>
          <t>토너</t>
        </is>
      </c>
      <c r="F6805" s="94" t="inlineStr">
        <is>
          <t>카페24</t>
        </is>
      </c>
      <c r="G6805" s="94" t="inlineStr">
        <is>
          <t>스킨팩 화장솜 60P</t>
        </is>
      </c>
      <c r="H6805" s="7" t="n">
        <v>190801</v>
      </c>
      <c r="I6805" s="7" t="n">
        <v>190801</v>
      </c>
      <c r="K6805" s="94" t="n">
        <v>51</v>
      </c>
      <c r="L6805" s="94" t="n">
        <v>190801</v>
      </c>
      <c r="M6805" s="94">
        <f>VLOOKUP($Q6805,매칭테이블!$F:$I,2,0)*K6805</f>
        <v/>
      </c>
      <c r="N6805" s="94">
        <f>M6805-M6805*VLOOKUP($Q6805,매칭테이블!$F:$I,3,0)</f>
        <v/>
      </c>
      <c r="O6805" s="94">
        <f>VLOOKUP($Q6805,매칭테이블!$F:$I,4,0)*K6805</f>
        <v/>
      </c>
      <c r="P6805" s="148">
        <f>M6805/1.1</f>
        <v/>
      </c>
      <c r="Q6805" s="94">
        <f>F6805&amp;E6805&amp;G6805&amp;L6805</f>
        <v/>
      </c>
    </row>
    <row r="6806" customFormat="1" s="94">
      <c r="B6806" s="128" t="n">
        <v>43993</v>
      </c>
      <c r="C6806" s="94">
        <f>TEXT(B6806,"aaa")</f>
        <v/>
      </c>
      <c r="E6806" s="94" t="inlineStr">
        <is>
          <t>앰플</t>
        </is>
      </c>
      <c r="F6806" s="94" t="inlineStr">
        <is>
          <t>카페24</t>
        </is>
      </c>
      <c r="G6806" s="94" t="inlineStr">
        <is>
          <t>앰플 30ml</t>
        </is>
      </c>
      <c r="H6806" s="7" t="n">
        <v>190801</v>
      </c>
      <c r="I6806" s="7" t="n">
        <v>190801</v>
      </c>
      <c r="K6806" s="94" t="n">
        <v>18</v>
      </c>
      <c r="L6806" s="94" t="n">
        <v>190801</v>
      </c>
      <c r="M6806" s="94">
        <f>VLOOKUP($Q6806,매칭테이블!$F:$I,2,0)*K6806</f>
        <v/>
      </c>
      <c r="N6806" s="94">
        <f>M6806-M6806*VLOOKUP($Q6806,매칭테이블!$F:$I,3,0)</f>
        <v/>
      </c>
      <c r="O6806" s="94">
        <f>VLOOKUP($Q6806,매칭테이블!$F:$I,4,0)*K6806</f>
        <v/>
      </c>
      <c r="P6806" s="148">
        <f>M6806/1.1</f>
        <v/>
      </c>
      <c r="Q6806" s="94">
        <f>F6806&amp;E6806&amp;G6806&amp;L6806</f>
        <v/>
      </c>
    </row>
    <row r="6807" customFormat="1" s="94">
      <c r="B6807" s="128" t="n">
        <v>43993</v>
      </c>
      <c r="C6807" s="94">
        <f>TEXT(B6807,"aaa")</f>
        <v/>
      </c>
      <c r="E6807" s="94" t="inlineStr">
        <is>
          <t>수딩크림</t>
        </is>
      </c>
      <c r="F6807" s="94" t="inlineStr">
        <is>
          <t>카페24</t>
        </is>
      </c>
      <c r="G6807" s="94" t="inlineStr">
        <is>
          <t>수딩크림 100ml</t>
        </is>
      </c>
      <c r="H6807" s="7" t="n">
        <v>190801</v>
      </c>
      <c r="I6807" s="7" t="n">
        <v>190801</v>
      </c>
      <c r="K6807" s="94" t="n">
        <v>7</v>
      </c>
      <c r="L6807" s="94" t="n">
        <v>190801</v>
      </c>
      <c r="M6807" s="94">
        <f>VLOOKUP($Q6807,매칭테이블!$F:$I,2,0)*K6807</f>
        <v/>
      </c>
      <c r="N6807" s="94">
        <f>M6807-M6807*VLOOKUP($Q6807,매칭테이블!$F:$I,3,0)</f>
        <v/>
      </c>
      <c r="O6807" s="94">
        <f>VLOOKUP($Q6807,매칭테이블!$F:$I,4,0)*K6807</f>
        <v/>
      </c>
      <c r="P6807" s="148">
        <f>M6807/1.1</f>
        <v/>
      </c>
      <c r="Q6807" s="94">
        <f>F6807&amp;E6807&amp;G6807&amp;L6807</f>
        <v/>
      </c>
    </row>
    <row r="6808" customFormat="1" s="94">
      <c r="B6808" s="128" t="n">
        <v>43993</v>
      </c>
      <c r="C6808" s="94">
        <f>TEXT(B6808,"aaa")</f>
        <v/>
      </c>
      <c r="E6808" s="94" t="inlineStr">
        <is>
          <t>클렌징폼</t>
        </is>
      </c>
      <c r="F6808" s="94" t="inlineStr">
        <is>
          <t>카페24</t>
        </is>
      </c>
      <c r="G6808" s="94" t="inlineStr">
        <is>
          <t>클렌징폼 120ml</t>
        </is>
      </c>
      <c r="H6808" s="7" t="n">
        <v>190801</v>
      </c>
      <c r="I6808" s="7" t="n">
        <v>190801</v>
      </c>
      <c r="K6808" s="94" t="n">
        <v>8</v>
      </c>
      <c r="L6808" s="94" t="n">
        <v>190801</v>
      </c>
      <c r="M6808" s="94">
        <f>VLOOKUP($Q6808,매칭테이블!$F:$I,2,0)*K6808</f>
        <v/>
      </c>
      <c r="N6808" s="94">
        <f>M6808-M6808*VLOOKUP($Q6808,매칭테이블!$F:$I,3,0)</f>
        <v/>
      </c>
      <c r="O6808" s="94">
        <f>VLOOKUP($Q6808,매칭테이블!$F:$I,4,0)*K6808</f>
        <v/>
      </c>
      <c r="P6808" s="148">
        <f>M6808/1.1</f>
        <v/>
      </c>
      <c r="Q6808" s="94">
        <f>F6808&amp;E6808&amp;G6808&amp;L6808</f>
        <v/>
      </c>
    </row>
    <row r="6809" customFormat="1" s="94">
      <c r="B6809" s="128" t="n">
        <v>43993</v>
      </c>
      <c r="C6809" s="94">
        <f>TEXT(B6809,"aaa")</f>
        <v/>
      </c>
      <c r="E6809" s="94" t="inlineStr">
        <is>
          <t>클렌징폼</t>
        </is>
      </c>
      <c r="F6809" s="94" t="inlineStr">
        <is>
          <t>카페24</t>
        </is>
      </c>
      <c r="G6809" s="94" t="inlineStr">
        <is>
          <t>클렌징폼 120ml 2set</t>
        </is>
      </c>
      <c r="H6809" s="7" t="n">
        <v>190801</v>
      </c>
      <c r="I6809" s="7" t="n">
        <v>190801</v>
      </c>
      <c r="K6809" s="94" t="n">
        <v>1</v>
      </c>
      <c r="L6809" s="94" t="n">
        <v>190801</v>
      </c>
      <c r="M6809" s="94">
        <f>VLOOKUP($Q6809,매칭테이블!$F:$I,2,0)*K6809</f>
        <v/>
      </c>
      <c r="N6809" s="94">
        <f>M6809-M6809*VLOOKUP($Q6809,매칭테이블!$F:$I,3,0)</f>
        <v/>
      </c>
      <c r="O6809" s="94">
        <f>VLOOKUP($Q6809,매칭테이블!$F:$I,4,0)*K6809</f>
        <v/>
      </c>
      <c r="P6809" s="148">
        <f>M6809/1.1</f>
        <v/>
      </c>
      <c r="Q6809" s="94">
        <f>F6809&amp;E6809&amp;G6809&amp;L6809</f>
        <v/>
      </c>
    </row>
    <row r="6810" customFormat="1" s="94">
      <c r="B6810" s="128" t="n">
        <v>43993</v>
      </c>
      <c r="C6810" s="94">
        <f>TEXT(B6810,"aaa")</f>
        <v/>
      </c>
      <c r="E6810" s="94" t="inlineStr">
        <is>
          <t>토너</t>
        </is>
      </c>
      <c r="F6810" s="94" t="inlineStr">
        <is>
          <t>큐텐</t>
        </is>
      </c>
      <c r="G6810" s="94" t="inlineStr">
        <is>
          <t>250ml</t>
        </is>
      </c>
      <c r="H6810" s="7" t="n">
        <v>190801</v>
      </c>
      <c r="I6810" s="7" t="n">
        <v>190801</v>
      </c>
      <c r="K6810" s="94" t="n">
        <v>31</v>
      </c>
      <c r="L6810" s="94" t="n">
        <v>190801</v>
      </c>
      <c r="M6810" s="94">
        <f>VLOOKUP($Q6810,매칭테이블!$F:$I,2,0)*K6810</f>
        <v/>
      </c>
      <c r="N6810" s="94">
        <f>M6810-M6810*VLOOKUP($Q6810,매칭테이블!$F:$I,3,0)</f>
        <v/>
      </c>
      <c r="O6810" s="94">
        <f>VLOOKUP($Q6810,매칭테이블!$F:$I,4,0)*K6810</f>
        <v/>
      </c>
      <c r="P6810" s="148">
        <f>M6810/1.1</f>
        <v/>
      </c>
      <c r="Q6810" s="94">
        <f>F6810&amp;E6810&amp;G6810&amp;L6810</f>
        <v/>
      </c>
    </row>
    <row r="6811" customFormat="1" s="94">
      <c r="B6811" s="128" t="n">
        <v>43993</v>
      </c>
      <c r="C6811" s="94">
        <f>TEXT(B6811,"aaa")</f>
        <v/>
      </c>
      <c r="E6811" s="94" t="inlineStr">
        <is>
          <t>토너</t>
        </is>
      </c>
      <c r="F6811" s="94" t="inlineStr">
        <is>
          <t>큐텐</t>
        </is>
      </c>
      <c r="G6811" s="94" t="inlineStr">
        <is>
          <t>250ml 2set</t>
        </is>
      </c>
      <c r="H6811" s="7" t="n">
        <v>190801</v>
      </c>
      <c r="I6811" s="7" t="n">
        <v>190801</v>
      </c>
      <c r="K6811" s="94" t="n">
        <v>37</v>
      </c>
      <c r="L6811" s="94" t="n">
        <v>190801</v>
      </c>
      <c r="M6811" s="94">
        <f>VLOOKUP($Q6811,매칭테이블!$F:$I,2,0)*K6811</f>
        <v/>
      </c>
      <c r="N6811" s="94">
        <f>M6811-M6811*VLOOKUP($Q6811,매칭테이블!$F:$I,3,0)</f>
        <v/>
      </c>
      <c r="O6811" s="94">
        <f>VLOOKUP($Q6811,매칭테이블!$F:$I,4,0)*K6811</f>
        <v/>
      </c>
      <c r="P6811" s="148">
        <f>M6811/1.1</f>
        <v/>
      </c>
      <c r="Q6811" s="94">
        <f>F6811&amp;E6811&amp;G6811&amp;L6811</f>
        <v/>
      </c>
    </row>
    <row r="6812" customFormat="1" s="94">
      <c r="B6812" s="128" t="n">
        <v>43993</v>
      </c>
      <c r="C6812" s="94">
        <f>TEXT(B6812,"aaa")</f>
        <v/>
      </c>
      <c r="E6812" s="94" t="inlineStr">
        <is>
          <t>앰플</t>
        </is>
      </c>
      <c r="F6812" s="94" t="inlineStr">
        <is>
          <t>큐텐</t>
        </is>
      </c>
      <c r="G6812" s="94" t="inlineStr">
        <is>
          <t>앰플 30ml</t>
        </is>
      </c>
      <c r="H6812" s="7" t="n">
        <v>190801</v>
      </c>
      <c r="I6812" s="7" t="n">
        <v>190801</v>
      </c>
      <c r="K6812" s="94" t="n">
        <v>2</v>
      </c>
      <c r="L6812" s="94" t="n">
        <v>190801</v>
      </c>
      <c r="M6812" s="94">
        <f>VLOOKUP($Q6812,매칭테이블!$F:$I,2,0)*K6812</f>
        <v/>
      </c>
      <c r="N6812" s="94">
        <f>M6812-M6812*VLOOKUP($Q6812,매칭테이블!$F:$I,3,0)</f>
        <v/>
      </c>
      <c r="O6812" s="94">
        <f>VLOOKUP($Q6812,매칭테이블!$F:$I,4,0)*K6812</f>
        <v/>
      </c>
      <c r="P6812" s="148">
        <f>M6812/1.1</f>
        <v/>
      </c>
      <c r="Q6812" s="94">
        <f>F6812&amp;E6812&amp;G6812&amp;L6812</f>
        <v/>
      </c>
    </row>
    <row r="6813" customFormat="1" s="94">
      <c r="B6813" s="128" t="n">
        <v>43993</v>
      </c>
      <c r="C6813" s="94">
        <f>TEXT(B6813,"aaa")</f>
        <v/>
      </c>
      <c r="E6813" s="94" t="inlineStr">
        <is>
          <t>마스크팩</t>
        </is>
      </c>
      <c r="F6813" s="94" t="inlineStr">
        <is>
          <t>큐텐</t>
        </is>
      </c>
      <c r="G6813" s="94" t="inlineStr">
        <is>
          <t>마스크팩 10매</t>
        </is>
      </c>
      <c r="H6813" s="7" t="n">
        <v>190801</v>
      </c>
      <c r="I6813" s="7" t="n">
        <v>190801</v>
      </c>
      <c r="K6813" s="94" t="n">
        <v>1</v>
      </c>
      <c r="L6813" s="94" t="n">
        <v>190801</v>
      </c>
      <c r="M6813" s="94">
        <f>VLOOKUP($Q6813,매칭테이블!$F:$I,2,0)*K6813</f>
        <v/>
      </c>
      <c r="N6813" s="94">
        <f>M6813-M6813*VLOOKUP($Q6813,매칭테이블!$F:$I,3,0)</f>
        <v/>
      </c>
      <c r="O6813" s="94">
        <f>VLOOKUP($Q6813,매칭테이블!$F:$I,4,0)*K6813</f>
        <v/>
      </c>
      <c r="P6813" s="148">
        <f>M6813/1.1</f>
        <v/>
      </c>
      <c r="Q6813" s="94">
        <f>F6813&amp;E6813&amp;G6813&amp;L6813</f>
        <v/>
      </c>
    </row>
    <row r="6814" customFormat="1" s="94">
      <c r="B6814" s="128" t="n">
        <v>43993</v>
      </c>
      <c r="C6814" s="94">
        <f>TEXT(B6814,"aaa")</f>
        <v/>
      </c>
      <c r="E6814" s="94" t="inlineStr">
        <is>
          <t>토너</t>
        </is>
      </c>
      <c r="F6814" s="94" t="inlineStr">
        <is>
          <t>아누아 CS</t>
        </is>
      </c>
      <c r="G6814" s="94" t="inlineStr">
        <is>
          <t>250ml</t>
        </is>
      </c>
      <c r="H6814" s="7" t="n">
        <v>190801</v>
      </c>
      <c r="I6814" s="7" t="n">
        <v>190801</v>
      </c>
      <c r="K6814" s="94" t="n">
        <v>2</v>
      </c>
      <c r="L6814" s="94" t="n">
        <v>190801</v>
      </c>
      <c r="M6814" s="94">
        <f>VLOOKUP($Q6814,매칭테이블!$F:$I,2,0)*K6814</f>
        <v/>
      </c>
      <c r="N6814" s="94">
        <f>M6814-M6814*VLOOKUP($Q6814,매칭테이블!$F:$I,3,0)</f>
        <v/>
      </c>
      <c r="O6814" s="94">
        <f>VLOOKUP($Q6814,매칭테이블!$F:$I,4,0)*K6814</f>
        <v/>
      </c>
      <c r="P6814" s="148">
        <f>M6814/1.1</f>
        <v/>
      </c>
      <c r="Q6814" s="94">
        <f>F6814&amp;E6814&amp;G6814&amp;L6814</f>
        <v/>
      </c>
    </row>
    <row r="6815" customFormat="1" s="94">
      <c r="B6815" s="128" t="n">
        <v>43993</v>
      </c>
      <c r="C6815" s="94">
        <f>TEXT(B6815,"aaa")</f>
        <v/>
      </c>
      <c r="E6815" s="94" t="inlineStr">
        <is>
          <t>토너</t>
        </is>
      </c>
      <c r="F6815" s="94" t="inlineStr">
        <is>
          <t>아누아 CS</t>
        </is>
      </c>
      <c r="G6815" s="94" t="inlineStr">
        <is>
          <t>40ml</t>
        </is>
      </c>
      <c r="H6815" s="7" t="n">
        <v>190801</v>
      </c>
      <c r="I6815" s="7" t="n">
        <v>190801</v>
      </c>
      <c r="K6815" s="94" t="n">
        <v>2</v>
      </c>
      <c r="L6815" s="94" t="n">
        <v>190801</v>
      </c>
      <c r="M6815" s="94">
        <f>VLOOKUP($Q6815,매칭테이블!$F:$I,2,0)*K6815</f>
        <v/>
      </c>
      <c r="N6815" s="94">
        <f>M6815-M6815*VLOOKUP($Q6815,매칭테이블!$F:$I,3,0)</f>
        <v/>
      </c>
      <c r="O6815" s="94">
        <f>VLOOKUP($Q6815,매칭테이블!$F:$I,4,0)*K6815</f>
        <v/>
      </c>
      <c r="P6815" s="148">
        <f>M6815/1.1</f>
        <v/>
      </c>
      <c r="Q6815" s="94">
        <f>F6815&amp;E6815&amp;G6815&amp;L6815</f>
        <v/>
      </c>
    </row>
    <row r="6816" customFormat="1" s="94">
      <c r="B6816" s="128" t="n">
        <v>43993</v>
      </c>
      <c r="C6816" s="94">
        <f>TEXT(B6816,"aaa")</f>
        <v/>
      </c>
      <c r="E6816" s="94" t="inlineStr">
        <is>
          <t>앰플</t>
        </is>
      </c>
      <c r="F6816" s="94" t="inlineStr">
        <is>
          <t>아누아 CS</t>
        </is>
      </c>
      <c r="G6816" s="94" t="inlineStr">
        <is>
          <t>앰플 30ml</t>
        </is>
      </c>
      <c r="H6816" s="7" t="n">
        <v>190801</v>
      </c>
      <c r="I6816" s="7" t="n">
        <v>190801</v>
      </c>
      <c r="K6816" s="94" t="n">
        <v>2</v>
      </c>
      <c r="L6816" s="94" t="n">
        <v>190801</v>
      </c>
      <c r="M6816" s="94">
        <f>VLOOKUP($Q6816,매칭테이블!$F:$I,2,0)*K6816</f>
        <v/>
      </c>
      <c r="N6816" s="94">
        <f>M6816-M6816*VLOOKUP($Q6816,매칭테이블!$F:$I,3,0)</f>
        <v/>
      </c>
      <c r="O6816" s="94">
        <f>VLOOKUP($Q6816,매칭테이블!$F:$I,4,0)*K6816</f>
        <v/>
      </c>
      <c r="P6816" s="148">
        <f>M6816/1.1</f>
        <v/>
      </c>
      <c r="Q6816" s="94">
        <f>F6816&amp;E6816&amp;G6816&amp;L6816</f>
        <v/>
      </c>
    </row>
    <row r="6817" customFormat="1" s="94">
      <c r="B6817" s="128" t="n">
        <v>43993</v>
      </c>
      <c r="C6817" s="94">
        <f>TEXT(B6817,"aaa")</f>
        <v/>
      </c>
      <c r="E6817" s="94" t="inlineStr">
        <is>
          <t>선크림</t>
        </is>
      </c>
      <c r="F6817" s="94" t="inlineStr">
        <is>
          <t>아누아 CS</t>
        </is>
      </c>
      <c r="G6817" s="94" t="inlineStr">
        <is>
          <t>선크림 50ml</t>
        </is>
      </c>
      <c r="H6817" s="7" t="n">
        <v>190801</v>
      </c>
      <c r="I6817" s="7" t="n">
        <v>190801</v>
      </c>
      <c r="K6817" s="94" t="n">
        <v>2</v>
      </c>
      <c r="L6817" s="94" t="n">
        <v>190801</v>
      </c>
      <c r="M6817" s="94">
        <f>VLOOKUP($Q6817,매칭테이블!$F:$I,2,0)*K6817</f>
        <v/>
      </c>
      <c r="N6817" s="94">
        <f>M6817-M6817*VLOOKUP($Q6817,매칭테이블!$F:$I,3,0)</f>
        <v/>
      </c>
      <c r="O6817" s="94">
        <f>VLOOKUP($Q6817,매칭테이블!$F:$I,4,0)*K6817</f>
        <v/>
      </c>
      <c r="P6817" s="148">
        <f>M6817/1.1</f>
        <v/>
      </c>
      <c r="Q6817" s="94">
        <f>F6817&amp;E6817&amp;G6817&amp;L6817</f>
        <v/>
      </c>
    </row>
    <row r="6818" customFormat="1" s="94">
      <c r="B6818" s="128" t="n">
        <v>43994</v>
      </c>
      <c r="C6818" s="94">
        <f>TEXT(B6818,"aaa")</f>
        <v/>
      </c>
      <c r="E6818" s="94" t="inlineStr">
        <is>
          <t>토너</t>
        </is>
      </c>
      <c r="F6818" s="94" t="inlineStr">
        <is>
          <t>W컨셉</t>
        </is>
      </c>
      <c r="G6818" s="94" t="inlineStr">
        <is>
          <t>250ml 2set</t>
        </is>
      </c>
      <c r="H6818" s="7" t="n">
        <v>190801</v>
      </c>
      <c r="I6818" s="7" t="n">
        <v>190801</v>
      </c>
      <c r="K6818" s="94" t="n">
        <v>5</v>
      </c>
      <c r="L6818" s="94" t="n">
        <v>190801</v>
      </c>
      <c r="M6818" s="94">
        <f>VLOOKUP($Q6818,매칭테이블!$F:$I,2,0)*K6818</f>
        <v/>
      </c>
      <c r="N6818" s="94">
        <f>M6818-M6818*VLOOKUP($Q6818,매칭테이블!$F:$I,3,0)</f>
        <v/>
      </c>
      <c r="O6818" s="94">
        <f>VLOOKUP($Q6818,매칭테이블!$F:$I,4,0)*K6818</f>
        <v/>
      </c>
      <c r="P6818" s="148">
        <f>M6818/1.1</f>
        <v/>
      </c>
      <c r="Q6818" s="94">
        <f>F6818&amp;E6818&amp;G6818&amp;L6818</f>
        <v/>
      </c>
    </row>
    <row r="6819" customFormat="1" s="94">
      <c r="B6819" s="128" t="n">
        <v>43994</v>
      </c>
      <c r="C6819" s="94">
        <f>TEXT(B6819,"aaa")</f>
        <v/>
      </c>
      <c r="E6819" s="94" t="inlineStr">
        <is>
          <t>토너</t>
        </is>
      </c>
      <c r="F6819" s="94" t="inlineStr">
        <is>
          <t>글로우데이즈 시코르</t>
        </is>
      </c>
      <c r="G6819" s="94" t="inlineStr">
        <is>
          <t>250ml</t>
        </is>
      </c>
      <c r="H6819" s="7" t="n">
        <v>190801</v>
      </c>
      <c r="I6819" s="7" t="n">
        <v>190801</v>
      </c>
      <c r="K6819" s="94" t="n">
        <v>100</v>
      </c>
      <c r="L6819" s="94" t="n">
        <v>190801</v>
      </c>
      <c r="M6819" s="94">
        <f>VLOOKUP($Q6819,매칭테이블!$F:$I,2,0)*K6819</f>
        <v/>
      </c>
      <c r="N6819" s="94">
        <f>M6819-M6819*VLOOKUP($Q6819,매칭테이블!$F:$I,3,0)</f>
        <v/>
      </c>
      <c r="O6819" s="94">
        <f>VLOOKUP($Q6819,매칭테이블!$F:$I,4,0)*K6819</f>
        <v/>
      </c>
      <c r="P6819" s="148">
        <f>M6819/1.1</f>
        <v/>
      </c>
      <c r="Q6819" s="94">
        <f>F6819&amp;E6819&amp;G6819&amp;L6819</f>
        <v/>
      </c>
    </row>
    <row r="6820" customFormat="1" s="94">
      <c r="B6820" s="128" t="n">
        <v>43994</v>
      </c>
      <c r="C6820" s="94">
        <f>TEXT(B6820,"aaa")</f>
        <v/>
      </c>
      <c r="E6820" s="94" t="inlineStr">
        <is>
          <t>토너</t>
        </is>
      </c>
      <c r="F6820" s="94" t="inlineStr">
        <is>
          <t>스타일쉐어</t>
        </is>
      </c>
      <c r="G6820" s="94" t="inlineStr">
        <is>
          <t>250ml</t>
        </is>
      </c>
      <c r="H6820" s="7" t="n">
        <v>190801</v>
      </c>
      <c r="I6820" s="7" t="n">
        <v>190801</v>
      </c>
      <c r="K6820" s="94" t="n">
        <v>5</v>
      </c>
      <c r="L6820" s="94" t="n">
        <v>190801</v>
      </c>
      <c r="M6820" s="94">
        <f>VLOOKUP($Q6820,매칭테이블!$F:$I,2,0)*K6820</f>
        <v/>
      </c>
      <c r="N6820" s="94">
        <f>M6820-M6820*VLOOKUP($Q6820,매칭테이블!$F:$I,3,0)</f>
        <v/>
      </c>
      <c r="O6820" s="94">
        <f>VLOOKUP($Q6820,매칭테이블!$F:$I,4,0)*K6820</f>
        <v/>
      </c>
      <c r="P6820" s="148">
        <f>M6820/1.1</f>
        <v/>
      </c>
      <c r="Q6820" s="94">
        <f>F6820&amp;E6820&amp;G6820&amp;L6820</f>
        <v/>
      </c>
    </row>
    <row r="6821" customFormat="1" s="94">
      <c r="B6821" s="128" t="n">
        <v>43994</v>
      </c>
      <c r="C6821" s="94">
        <f>TEXT(B6821,"aaa")</f>
        <v/>
      </c>
      <c r="E6821" s="94" t="inlineStr">
        <is>
          <t>선크림</t>
        </is>
      </c>
      <c r="F6821" s="94" t="inlineStr">
        <is>
          <t>카페24</t>
        </is>
      </c>
      <c r="G6821" s="94" t="inlineStr">
        <is>
          <t>선크림 50ml</t>
        </is>
      </c>
      <c r="H6821" s="7" t="n">
        <v>190801</v>
      </c>
      <c r="I6821" s="7" t="n">
        <v>190801</v>
      </c>
      <c r="K6821" s="94" t="n">
        <v>28</v>
      </c>
      <c r="L6821" s="94" t="n">
        <v>190801</v>
      </c>
      <c r="M6821" s="94">
        <f>VLOOKUP($Q6821,매칭테이블!$F:$I,2,0)*K6821</f>
        <v/>
      </c>
      <c r="N6821" s="94">
        <f>M6821-M6821*VLOOKUP($Q6821,매칭테이블!$F:$I,3,0)</f>
        <v/>
      </c>
      <c r="O6821" s="94">
        <f>VLOOKUP($Q6821,매칭테이블!$F:$I,4,0)*K6821</f>
        <v/>
      </c>
      <c r="P6821" s="148">
        <f>M6821/1.1</f>
        <v/>
      </c>
      <c r="Q6821" s="94">
        <f>F6821&amp;E6821&amp;G6821&amp;L6821</f>
        <v/>
      </c>
    </row>
    <row r="6822" customFormat="1" s="94">
      <c r="B6822" s="128" t="n">
        <v>43994</v>
      </c>
      <c r="C6822" s="94">
        <f>TEXT(B6822,"aaa")</f>
        <v/>
      </c>
      <c r="E6822" s="94" t="inlineStr">
        <is>
          <t>클렌징폼</t>
        </is>
      </c>
      <c r="F6822" s="94" t="inlineStr">
        <is>
          <t>카페24</t>
        </is>
      </c>
      <c r="G6822" s="94" t="inlineStr">
        <is>
          <t>클렌징폼 120ml(선크림할인)</t>
        </is>
      </c>
      <c r="H6822" s="7" t="n">
        <v>190801</v>
      </c>
      <c r="I6822" s="7" t="n">
        <v>190801</v>
      </c>
      <c r="K6822" s="94" t="n">
        <v>1</v>
      </c>
      <c r="L6822" s="94" t="n">
        <v>190801</v>
      </c>
      <c r="M6822" s="94">
        <f>VLOOKUP($Q6822,매칭테이블!$F:$I,2,0)*K6822</f>
        <v/>
      </c>
      <c r="N6822" s="94">
        <f>M6822-M6822*VLOOKUP($Q6822,매칭테이블!$F:$I,3,0)</f>
        <v/>
      </c>
      <c r="O6822" s="94">
        <f>VLOOKUP($Q6822,매칭테이블!$F:$I,4,0)*K6822</f>
        <v/>
      </c>
      <c r="P6822" s="148">
        <f>M6822/1.1</f>
        <v/>
      </c>
      <c r="Q6822" s="94">
        <f>F6822&amp;E6822&amp;G6822&amp;L6822</f>
        <v/>
      </c>
    </row>
    <row r="6823" customFormat="1" s="94">
      <c r="B6823" s="128" t="n">
        <v>43994</v>
      </c>
      <c r="C6823" s="94">
        <f>TEXT(B6823,"aaa")</f>
        <v/>
      </c>
      <c r="E6823" s="94" t="inlineStr">
        <is>
          <t>어성초진정패키지</t>
        </is>
      </c>
      <c r="F6823" s="94" t="inlineStr">
        <is>
          <t>카페24</t>
        </is>
      </c>
      <c r="G6823" s="94" t="inlineStr">
        <is>
          <t>어성초 진정패키지세트</t>
        </is>
      </c>
      <c r="H6823" s="7" t="n">
        <v>190801</v>
      </c>
      <c r="I6823" s="7" t="n">
        <v>190801</v>
      </c>
      <c r="K6823" s="94" t="n">
        <v>4</v>
      </c>
      <c r="L6823" s="94" t="n">
        <v>190801</v>
      </c>
      <c r="M6823" s="94">
        <f>VLOOKUP($Q6823,매칭테이블!$F:$I,2,0)*K6823</f>
        <v/>
      </c>
      <c r="N6823" s="94">
        <f>M6823-M6823*VLOOKUP($Q6823,매칭테이블!$F:$I,3,0)</f>
        <v/>
      </c>
      <c r="O6823" s="94">
        <f>VLOOKUP($Q6823,매칭테이블!$F:$I,4,0)*K6823</f>
        <v/>
      </c>
      <c r="P6823" s="148">
        <f>M6823/1.1</f>
        <v/>
      </c>
      <c r="Q6823" s="94">
        <f>F6823&amp;E6823&amp;G6823&amp;L6823</f>
        <v/>
      </c>
    </row>
    <row r="6824" customFormat="1" s="94">
      <c r="B6824" s="128" t="n">
        <v>43994</v>
      </c>
      <c r="C6824" s="94">
        <f>TEXT(B6824,"aaa")</f>
        <v/>
      </c>
      <c r="E6824" s="94" t="inlineStr">
        <is>
          <t>머드크림마스크</t>
        </is>
      </c>
      <c r="F6824" s="94" t="inlineStr">
        <is>
          <t>카페24</t>
        </is>
      </c>
      <c r="G6824" s="94" t="inlineStr">
        <is>
          <t>머드크림마스크 100ml</t>
        </is>
      </c>
      <c r="H6824" s="7" t="n">
        <v>190801</v>
      </c>
      <c r="I6824" s="7" t="n">
        <v>190801</v>
      </c>
      <c r="K6824" s="94" t="n">
        <v>3</v>
      </c>
      <c r="L6824" s="94" t="n">
        <v>190801</v>
      </c>
      <c r="M6824" s="94">
        <f>VLOOKUP($Q6824,매칭테이블!$F:$I,2,0)*K6824</f>
        <v/>
      </c>
      <c r="N6824" s="94">
        <f>M6824-M6824*VLOOKUP($Q6824,매칭테이블!$F:$I,3,0)</f>
        <v/>
      </c>
      <c r="O6824" s="94">
        <f>VLOOKUP($Q6824,매칭테이블!$F:$I,4,0)*K6824</f>
        <v/>
      </c>
      <c r="P6824" s="148">
        <f>M6824/1.1</f>
        <v/>
      </c>
      <c r="Q6824" s="94">
        <f>F6824&amp;E6824&amp;G6824&amp;L6824</f>
        <v/>
      </c>
    </row>
    <row r="6825" customFormat="1" s="94">
      <c r="B6825" s="128" t="n">
        <v>43994</v>
      </c>
      <c r="C6825" s="94">
        <f>TEXT(B6825,"aaa")</f>
        <v/>
      </c>
      <c r="E6825" s="94" t="inlineStr">
        <is>
          <t>머드크림마스크</t>
        </is>
      </c>
      <c r="F6825" s="94" t="inlineStr">
        <is>
          <t>카페24</t>
        </is>
      </c>
      <c r="G6825" s="94" t="inlineStr">
        <is>
          <t>머드크림마스크 100ml 2set</t>
        </is>
      </c>
      <c r="H6825" s="7" t="n">
        <v>190801</v>
      </c>
      <c r="I6825" s="7" t="n">
        <v>190801</v>
      </c>
      <c r="K6825" s="94" t="n">
        <v>10</v>
      </c>
      <c r="L6825" s="94" t="n">
        <v>190801</v>
      </c>
      <c r="M6825" s="94">
        <f>VLOOKUP($Q6825,매칭테이블!$F:$I,2,0)*K6825</f>
        <v/>
      </c>
      <c r="N6825" s="94">
        <f>M6825-M6825*VLOOKUP($Q6825,매칭테이블!$F:$I,3,0)</f>
        <v/>
      </c>
      <c r="O6825" s="94">
        <f>VLOOKUP($Q6825,매칭테이블!$F:$I,4,0)*K6825</f>
        <v/>
      </c>
      <c r="P6825" s="148">
        <f>M6825/1.1</f>
        <v/>
      </c>
      <c r="Q6825" s="94">
        <f>F6825&amp;E6825&amp;G6825&amp;L6825</f>
        <v/>
      </c>
    </row>
    <row r="6826" customFormat="1" s="94">
      <c r="B6826" s="128" t="n">
        <v>43994</v>
      </c>
      <c r="C6826" s="94">
        <f>TEXT(B6826,"aaa")</f>
        <v/>
      </c>
      <c r="E6826" s="94" t="inlineStr">
        <is>
          <t>마스크팩</t>
        </is>
      </c>
      <c r="F6826" s="94" t="inlineStr">
        <is>
          <t>카페24</t>
        </is>
      </c>
      <c r="G6826" s="94" t="inlineStr">
        <is>
          <t>마스크팩 1매</t>
        </is>
      </c>
      <c r="H6826" s="7" t="n">
        <v>190801</v>
      </c>
      <c r="I6826" s="7" t="n">
        <v>190801</v>
      </c>
      <c r="K6826" s="94" t="n">
        <v>1</v>
      </c>
      <c r="L6826" s="94" t="n">
        <v>190801</v>
      </c>
      <c r="M6826" s="94">
        <f>VLOOKUP($Q6826,매칭테이블!$F:$I,2,0)*K6826</f>
        <v/>
      </c>
      <c r="N6826" s="94">
        <f>M6826-M6826*VLOOKUP($Q6826,매칭테이블!$F:$I,3,0)</f>
        <v/>
      </c>
      <c r="O6826" s="94">
        <f>VLOOKUP($Q6826,매칭테이블!$F:$I,4,0)*K6826</f>
        <v/>
      </c>
      <c r="P6826" s="148">
        <f>M6826/1.1</f>
        <v/>
      </c>
      <c r="Q6826" s="94">
        <f>F6826&amp;E6826&amp;G6826&amp;L6826</f>
        <v/>
      </c>
    </row>
    <row r="6827" customFormat="1" s="94">
      <c r="B6827" s="128" t="n">
        <v>43994</v>
      </c>
      <c r="C6827" s="94">
        <f>TEXT(B6827,"aaa")</f>
        <v/>
      </c>
      <c r="E6827" s="94" t="inlineStr">
        <is>
          <t>마스크팩</t>
        </is>
      </c>
      <c r="F6827" s="94" t="inlineStr">
        <is>
          <t>카페24</t>
        </is>
      </c>
      <c r="G6827" s="94" t="inlineStr">
        <is>
          <t>마스크팩 10매</t>
        </is>
      </c>
      <c r="H6827" s="7" t="n">
        <v>190801</v>
      </c>
      <c r="I6827" s="7" t="n">
        <v>190801</v>
      </c>
      <c r="K6827" s="94" t="n">
        <v>80</v>
      </c>
      <c r="L6827" s="94" t="n">
        <v>190801</v>
      </c>
      <c r="M6827" s="94">
        <f>VLOOKUP($Q6827,매칭테이블!$F:$I,2,0)*K6827</f>
        <v/>
      </c>
      <c r="N6827" s="94">
        <f>M6827-M6827*VLOOKUP($Q6827,매칭테이블!$F:$I,3,0)</f>
        <v/>
      </c>
      <c r="O6827" s="94">
        <f>VLOOKUP($Q6827,매칭테이블!$F:$I,4,0)*K6827</f>
        <v/>
      </c>
      <c r="P6827" s="148">
        <f>M6827/1.1</f>
        <v/>
      </c>
      <c r="Q6827" s="94">
        <f>F6827&amp;E6827&amp;G6827&amp;L6827</f>
        <v/>
      </c>
    </row>
    <row r="6828" customFormat="1" s="94">
      <c r="B6828" s="128" t="n">
        <v>43994</v>
      </c>
      <c r="C6828" s="94">
        <f>TEXT(B6828,"aaa")</f>
        <v/>
      </c>
      <c r="E6828" s="94" t="inlineStr">
        <is>
          <t>토너</t>
        </is>
      </c>
      <c r="F6828" s="94" t="inlineStr">
        <is>
          <t>카페24</t>
        </is>
      </c>
      <c r="G6828" s="94" t="inlineStr">
        <is>
          <t>250ml</t>
        </is>
      </c>
      <c r="H6828" s="7" t="n">
        <v>190801</v>
      </c>
      <c r="I6828" s="7" t="n">
        <v>190801</v>
      </c>
      <c r="K6828" s="94" t="n">
        <v>48</v>
      </c>
      <c r="L6828" s="94" t="n">
        <v>190801</v>
      </c>
      <c r="M6828" s="94">
        <f>VLOOKUP($Q6828,매칭테이블!$F:$I,2,0)*K6828</f>
        <v/>
      </c>
      <c r="N6828" s="94">
        <f>M6828-M6828*VLOOKUP($Q6828,매칭테이블!$F:$I,3,0)</f>
        <v/>
      </c>
      <c r="O6828" s="94">
        <f>VLOOKUP($Q6828,매칭테이블!$F:$I,4,0)*K6828</f>
        <v/>
      </c>
      <c r="P6828" s="148">
        <f>M6828/1.1</f>
        <v/>
      </c>
      <c r="Q6828" s="94">
        <f>F6828&amp;E6828&amp;G6828&amp;L6828</f>
        <v/>
      </c>
    </row>
    <row r="6829" customFormat="1" s="94">
      <c r="B6829" s="128" t="n">
        <v>43994</v>
      </c>
      <c r="C6829" s="94">
        <f>TEXT(B6829,"aaa")</f>
        <v/>
      </c>
      <c r="E6829" s="94" t="inlineStr">
        <is>
          <t>토너</t>
        </is>
      </c>
      <c r="F6829" s="94" t="inlineStr">
        <is>
          <t>카페24</t>
        </is>
      </c>
      <c r="G6829" s="94" t="inlineStr">
        <is>
          <t>250ml 2set</t>
        </is>
      </c>
      <c r="H6829" s="7" t="n">
        <v>190801</v>
      </c>
      <c r="I6829" s="7" t="n">
        <v>190801</v>
      </c>
      <c r="K6829" s="94" t="n">
        <v>44</v>
      </c>
      <c r="L6829" s="94" t="n">
        <v>190801</v>
      </c>
      <c r="M6829" s="94">
        <f>VLOOKUP($Q6829,매칭테이블!$F:$I,2,0)*K6829</f>
        <v/>
      </c>
      <c r="N6829" s="94">
        <f>M6829-M6829*VLOOKUP($Q6829,매칭테이블!$F:$I,3,0)</f>
        <v/>
      </c>
      <c r="O6829" s="94">
        <f>VLOOKUP($Q6829,매칭테이블!$F:$I,4,0)*K6829</f>
        <v/>
      </c>
      <c r="P6829" s="148">
        <f>M6829/1.1</f>
        <v/>
      </c>
      <c r="Q6829" s="94">
        <f>F6829&amp;E6829&amp;G6829&amp;L6829</f>
        <v/>
      </c>
    </row>
    <row r="6830" customFormat="1" s="94">
      <c r="B6830" s="128" t="n">
        <v>43994</v>
      </c>
      <c r="C6830" s="94">
        <f>TEXT(B6830,"aaa")</f>
        <v/>
      </c>
      <c r="E6830" s="94" t="inlineStr">
        <is>
          <t>토너</t>
        </is>
      </c>
      <c r="F6830" s="94" t="inlineStr">
        <is>
          <t>카페24</t>
        </is>
      </c>
      <c r="G6830" s="94" t="inlineStr">
        <is>
          <t>500ml</t>
        </is>
      </c>
      <c r="H6830" s="7" t="n">
        <v>190801</v>
      </c>
      <c r="I6830" s="7" t="n">
        <v>190801</v>
      </c>
      <c r="K6830" s="94" t="n">
        <v>27</v>
      </c>
      <c r="L6830" s="94" t="n">
        <v>190801</v>
      </c>
      <c r="M6830" s="94">
        <f>VLOOKUP($Q6830,매칭테이블!$F:$I,2,0)*K6830</f>
        <v/>
      </c>
      <c r="N6830" s="94">
        <f>M6830-M6830*VLOOKUP($Q6830,매칭테이블!$F:$I,3,0)</f>
        <v/>
      </c>
      <c r="O6830" s="94">
        <f>VLOOKUP($Q6830,매칭테이블!$F:$I,4,0)*K6830</f>
        <v/>
      </c>
      <c r="P6830" s="148">
        <f>M6830/1.1</f>
        <v/>
      </c>
      <c r="Q6830" s="94">
        <f>F6830&amp;E6830&amp;G6830&amp;L6830</f>
        <v/>
      </c>
    </row>
    <row r="6831" customFormat="1" s="94">
      <c r="B6831" s="128" t="n">
        <v>43994</v>
      </c>
      <c r="C6831" s="94">
        <f>TEXT(B6831,"aaa")</f>
        <v/>
      </c>
      <c r="E6831" s="94" t="inlineStr">
        <is>
          <t>토너</t>
        </is>
      </c>
      <c r="F6831" s="94" t="inlineStr">
        <is>
          <t>카페24</t>
        </is>
      </c>
      <c r="G6831" s="94" t="inlineStr">
        <is>
          <t>스킨팩 화장솜 60P</t>
        </is>
      </c>
      <c r="H6831" s="7" t="n">
        <v>190801</v>
      </c>
      <c r="I6831" s="7" t="n">
        <v>190801</v>
      </c>
      <c r="K6831" s="94" t="n">
        <v>53</v>
      </c>
      <c r="L6831" s="94" t="n">
        <v>190801</v>
      </c>
      <c r="M6831" s="94">
        <f>VLOOKUP($Q6831,매칭테이블!$F:$I,2,0)*K6831</f>
        <v/>
      </c>
      <c r="N6831" s="94">
        <f>M6831-M6831*VLOOKUP($Q6831,매칭테이블!$F:$I,3,0)</f>
        <v/>
      </c>
      <c r="O6831" s="94">
        <f>VLOOKUP($Q6831,매칭테이블!$F:$I,4,0)*K6831</f>
        <v/>
      </c>
      <c r="P6831" s="148">
        <f>M6831/1.1</f>
        <v/>
      </c>
      <c r="Q6831" s="94">
        <f>F6831&amp;E6831&amp;G6831&amp;L6831</f>
        <v/>
      </c>
    </row>
    <row r="6832" customFormat="1" s="94">
      <c r="B6832" s="128" t="n">
        <v>43994</v>
      </c>
      <c r="C6832" s="94">
        <f>TEXT(B6832,"aaa")</f>
        <v/>
      </c>
      <c r="E6832" s="94" t="inlineStr">
        <is>
          <t>앰플</t>
        </is>
      </c>
      <c r="F6832" s="94" t="inlineStr">
        <is>
          <t>카페24</t>
        </is>
      </c>
      <c r="G6832" s="94" t="inlineStr">
        <is>
          <t>앰플 30ml</t>
        </is>
      </c>
      <c r="H6832" s="7" t="n">
        <v>190801</v>
      </c>
      <c r="I6832" s="7" t="n">
        <v>190801</v>
      </c>
      <c r="K6832" s="94" t="n">
        <v>13</v>
      </c>
      <c r="L6832" s="94" t="n">
        <v>190801</v>
      </c>
      <c r="M6832" s="94">
        <f>VLOOKUP($Q6832,매칭테이블!$F:$I,2,0)*K6832</f>
        <v/>
      </c>
      <c r="N6832" s="94">
        <f>M6832-M6832*VLOOKUP($Q6832,매칭테이블!$F:$I,3,0)</f>
        <v/>
      </c>
      <c r="O6832" s="94">
        <f>VLOOKUP($Q6832,매칭테이블!$F:$I,4,0)*K6832</f>
        <v/>
      </c>
      <c r="P6832" s="148">
        <f>M6832/1.1</f>
        <v/>
      </c>
      <c r="Q6832" s="94">
        <f>F6832&amp;E6832&amp;G6832&amp;L6832</f>
        <v/>
      </c>
    </row>
    <row r="6833" customFormat="1" s="94">
      <c r="B6833" s="128" t="n">
        <v>43994</v>
      </c>
      <c r="C6833" s="94">
        <f>TEXT(B6833,"aaa")</f>
        <v/>
      </c>
      <c r="E6833" s="94" t="inlineStr">
        <is>
          <t>수딩크림</t>
        </is>
      </c>
      <c r="F6833" s="94" t="inlineStr">
        <is>
          <t>카페24</t>
        </is>
      </c>
      <c r="G6833" s="94" t="inlineStr">
        <is>
          <t>수딩크림 100ml</t>
        </is>
      </c>
      <c r="H6833" s="7" t="n">
        <v>190801</v>
      </c>
      <c r="I6833" s="7" t="n">
        <v>190801</v>
      </c>
      <c r="K6833" s="94" t="n">
        <v>4</v>
      </c>
      <c r="L6833" s="94" t="n">
        <v>190801</v>
      </c>
      <c r="M6833" s="94">
        <f>VLOOKUP($Q6833,매칭테이블!$F:$I,2,0)*K6833</f>
        <v/>
      </c>
      <c r="N6833" s="94">
        <f>M6833-M6833*VLOOKUP($Q6833,매칭테이블!$F:$I,3,0)</f>
        <v/>
      </c>
      <c r="O6833" s="94">
        <f>VLOOKUP($Q6833,매칭테이블!$F:$I,4,0)*K6833</f>
        <v/>
      </c>
      <c r="P6833" s="148">
        <f>M6833/1.1</f>
        <v/>
      </c>
      <c r="Q6833" s="94">
        <f>F6833&amp;E6833&amp;G6833&amp;L6833</f>
        <v/>
      </c>
    </row>
    <row r="6834" customFormat="1" s="94">
      <c r="B6834" s="128" t="n">
        <v>43994</v>
      </c>
      <c r="C6834" s="94">
        <f>TEXT(B6834,"aaa")</f>
        <v/>
      </c>
      <c r="E6834" s="94" t="inlineStr">
        <is>
          <t>클렌징폼</t>
        </is>
      </c>
      <c r="F6834" s="94" t="inlineStr">
        <is>
          <t>카페24</t>
        </is>
      </c>
      <c r="G6834" s="94" t="inlineStr">
        <is>
          <t>클렌징폼 120ml</t>
        </is>
      </c>
      <c r="H6834" s="7" t="n">
        <v>190801</v>
      </c>
      <c r="I6834" s="7" t="n">
        <v>190801</v>
      </c>
      <c r="K6834" s="94" t="n">
        <v>7</v>
      </c>
      <c r="L6834" s="94" t="n">
        <v>190801</v>
      </c>
      <c r="M6834" s="94">
        <f>VLOOKUP($Q6834,매칭테이블!$F:$I,2,0)*K6834</f>
        <v/>
      </c>
      <c r="N6834" s="94">
        <f>M6834-M6834*VLOOKUP($Q6834,매칭테이블!$F:$I,3,0)</f>
        <v/>
      </c>
      <c r="O6834" s="94">
        <f>VLOOKUP($Q6834,매칭테이블!$F:$I,4,0)*K6834</f>
        <v/>
      </c>
      <c r="P6834" s="148">
        <f>M6834/1.1</f>
        <v/>
      </c>
      <c r="Q6834" s="94">
        <f>F6834&amp;E6834&amp;G6834&amp;L6834</f>
        <v/>
      </c>
    </row>
    <row r="6835" customFormat="1" s="94">
      <c r="B6835" s="128" t="n">
        <v>43994</v>
      </c>
      <c r="C6835" s="94">
        <f>TEXT(B6835,"aaa")</f>
        <v/>
      </c>
      <c r="E6835" s="94" t="inlineStr">
        <is>
          <t>클렌징폼</t>
        </is>
      </c>
      <c r="F6835" s="94" t="inlineStr">
        <is>
          <t>카페24</t>
        </is>
      </c>
      <c r="G6835" s="94" t="inlineStr">
        <is>
          <t>클렌징폼 120ml 2set</t>
        </is>
      </c>
      <c r="H6835" s="7" t="n">
        <v>190801</v>
      </c>
      <c r="I6835" s="7" t="n">
        <v>190801</v>
      </c>
      <c r="K6835" s="94" t="n">
        <v>3</v>
      </c>
      <c r="L6835" s="94" t="n">
        <v>190801</v>
      </c>
      <c r="M6835" s="94">
        <f>VLOOKUP($Q6835,매칭테이블!$F:$I,2,0)*K6835</f>
        <v/>
      </c>
      <c r="N6835" s="94">
        <f>M6835-M6835*VLOOKUP($Q6835,매칭테이블!$F:$I,3,0)</f>
        <v/>
      </c>
      <c r="O6835" s="94">
        <f>VLOOKUP($Q6835,매칭테이블!$F:$I,4,0)*K6835</f>
        <v/>
      </c>
      <c r="P6835" s="148">
        <f>M6835/1.1</f>
        <v/>
      </c>
      <c r="Q6835" s="94">
        <f>F6835&amp;E6835&amp;G6835&amp;L6835</f>
        <v/>
      </c>
    </row>
    <row r="6836" customFormat="1" s="94">
      <c r="B6836" s="128" t="n">
        <v>43994</v>
      </c>
      <c r="C6836" s="94">
        <f>TEXT(B6836,"aaa")</f>
        <v/>
      </c>
      <c r="E6836" s="94" t="inlineStr">
        <is>
          <t>클렌징폼</t>
        </is>
      </c>
      <c r="F6836" s="94" t="inlineStr">
        <is>
          <t>카페24</t>
        </is>
      </c>
      <c r="G6836" s="94" t="inlineStr">
        <is>
          <t>클렌징폼 120ml 3set</t>
        </is>
      </c>
      <c r="H6836" s="7" t="n">
        <v>190801</v>
      </c>
      <c r="I6836" s="7" t="n">
        <v>190801</v>
      </c>
      <c r="K6836" s="94" t="n">
        <v>1</v>
      </c>
      <c r="L6836" s="94" t="n">
        <v>190801</v>
      </c>
      <c r="M6836" s="94">
        <f>VLOOKUP($Q6836,매칭테이블!$F:$I,2,0)*K6836</f>
        <v/>
      </c>
      <c r="N6836" s="94">
        <f>M6836-M6836*VLOOKUP($Q6836,매칭테이블!$F:$I,3,0)</f>
        <v/>
      </c>
      <c r="O6836" s="94">
        <f>VLOOKUP($Q6836,매칭테이블!$F:$I,4,0)*K6836</f>
        <v/>
      </c>
      <c r="P6836" s="148">
        <f>M6836/1.1</f>
        <v/>
      </c>
      <c r="Q6836" s="94">
        <f>F6836&amp;E6836&amp;G6836&amp;L6836</f>
        <v/>
      </c>
    </row>
    <row r="6837" customFormat="1" s="94">
      <c r="B6837" s="128" t="n">
        <v>43994</v>
      </c>
      <c r="C6837" s="94">
        <f>TEXT(B6837,"aaa")</f>
        <v/>
      </c>
      <c r="E6837" s="94" t="inlineStr">
        <is>
          <t>토너</t>
        </is>
      </c>
      <c r="F6837" s="94" t="inlineStr">
        <is>
          <t>큐텐</t>
        </is>
      </c>
      <c r="G6837" s="94" t="inlineStr">
        <is>
          <t>250ml</t>
        </is>
      </c>
      <c r="H6837" s="7" t="n">
        <v>190801</v>
      </c>
      <c r="I6837" s="7" t="n">
        <v>190801</v>
      </c>
      <c r="K6837" s="94" t="n">
        <v>24</v>
      </c>
      <c r="L6837" s="94" t="n">
        <v>190801</v>
      </c>
      <c r="M6837" s="94">
        <f>VLOOKUP($Q6837,매칭테이블!$F:$I,2,0)*K6837</f>
        <v/>
      </c>
      <c r="N6837" s="94">
        <f>M6837-M6837*VLOOKUP($Q6837,매칭테이블!$F:$I,3,0)</f>
        <v/>
      </c>
      <c r="O6837" s="94">
        <f>VLOOKUP($Q6837,매칭테이블!$F:$I,4,0)*K6837</f>
        <v/>
      </c>
      <c r="P6837" s="148">
        <f>M6837/1.1</f>
        <v/>
      </c>
      <c r="Q6837" s="94">
        <f>F6837&amp;E6837&amp;G6837&amp;L6837</f>
        <v/>
      </c>
    </row>
    <row r="6838" customFormat="1" s="94">
      <c r="B6838" s="128" t="n">
        <v>43994</v>
      </c>
      <c r="C6838" s="94">
        <f>TEXT(B6838,"aaa")</f>
        <v/>
      </c>
      <c r="E6838" s="94" t="inlineStr">
        <is>
          <t>토너</t>
        </is>
      </c>
      <c r="F6838" s="94" t="inlineStr">
        <is>
          <t>큐텐</t>
        </is>
      </c>
      <c r="G6838" s="94" t="inlineStr">
        <is>
          <t>250ml 2set</t>
        </is>
      </c>
      <c r="H6838" s="7" t="n">
        <v>190801</v>
      </c>
      <c r="I6838" s="7" t="n">
        <v>190801</v>
      </c>
      <c r="K6838" s="94" t="n">
        <v>21</v>
      </c>
      <c r="L6838" s="94" t="n">
        <v>190801</v>
      </c>
      <c r="M6838" s="94">
        <f>VLOOKUP($Q6838,매칭테이블!$F:$I,2,0)*K6838</f>
        <v/>
      </c>
      <c r="N6838" s="94">
        <f>M6838-M6838*VLOOKUP($Q6838,매칭테이블!$F:$I,3,0)</f>
        <v/>
      </c>
      <c r="O6838" s="94">
        <f>VLOOKUP($Q6838,매칭테이블!$F:$I,4,0)*K6838</f>
        <v/>
      </c>
      <c r="P6838" s="148">
        <f>M6838/1.1</f>
        <v/>
      </c>
      <c r="Q6838" s="94">
        <f>F6838&amp;E6838&amp;G6838&amp;L6838</f>
        <v/>
      </c>
    </row>
    <row r="6839" customFormat="1" s="94">
      <c r="B6839" s="128" t="n">
        <v>43994</v>
      </c>
      <c r="C6839" s="94">
        <f>TEXT(B6839,"aaa")</f>
        <v/>
      </c>
      <c r="E6839" s="94" t="inlineStr">
        <is>
          <t>머드크림마스크</t>
        </is>
      </c>
      <c r="F6839" s="94" t="inlineStr">
        <is>
          <t>큐텐</t>
        </is>
      </c>
      <c r="G6839" s="94" t="inlineStr">
        <is>
          <t>머드크림마스크 100ml</t>
        </is>
      </c>
      <c r="H6839" s="7" t="n">
        <v>190801</v>
      </c>
      <c r="I6839" s="7" t="n">
        <v>190801</v>
      </c>
      <c r="K6839" s="94" t="n">
        <v>1</v>
      </c>
      <c r="L6839" s="94" t="n">
        <v>190801</v>
      </c>
      <c r="M6839" s="94">
        <f>VLOOKUP($Q6839,매칭테이블!$F:$I,2,0)*K6839</f>
        <v/>
      </c>
      <c r="N6839" s="94">
        <f>M6839-M6839*VLOOKUP($Q6839,매칭테이블!$F:$I,3,0)</f>
        <v/>
      </c>
      <c r="O6839" s="94">
        <f>VLOOKUP($Q6839,매칭테이블!$F:$I,4,0)*K6839</f>
        <v/>
      </c>
      <c r="P6839" s="148">
        <f>M6839/1.1</f>
        <v/>
      </c>
      <c r="Q6839" s="94">
        <f>F6839&amp;E6839&amp;G6839&amp;L6839</f>
        <v/>
      </c>
    </row>
    <row r="6840" customFormat="1" s="94">
      <c r="B6840" s="128" t="n">
        <v>43994</v>
      </c>
      <c r="C6840" s="94">
        <f>TEXT(B6840,"aaa")</f>
        <v/>
      </c>
      <c r="E6840" s="94" t="inlineStr">
        <is>
          <t>토너</t>
        </is>
      </c>
      <c r="F6840" s="94" t="inlineStr">
        <is>
          <t>아누아 CS</t>
        </is>
      </c>
      <c r="G6840" s="94" t="inlineStr">
        <is>
          <t>250ml</t>
        </is>
      </c>
      <c r="H6840" s="7" t="n">
        <v>190801</v>
      </c>
      <c r="I6840" s="7" t="n">
        <v>190801</v>
      </c>
      <c r="K6840" s="94" t="n">
        <v>2</v>
      </c>
      <c r="L6840" s="94" t="n">
        <v>190801</v>
      </c>
      <c r="M6840" s="94">
        <f>VLOOKUP($Q6840,매칭테이블!$F:$I,2,0)*K6840</f>
        <v/>
      </c>
      <c r="N6840" s="94">
        <f>M6840-M6840*VLOOKUP($Q6840,매칭테이블!$F:$I,3,0)</f>
        <v/>
      </c>
      <c r="O6840" s="94">
        <f>VLOOKUP($Q6840,매칭테이블!$F:$I,4,0)*K6840</f>
        <v/>
      </c>
      <c r="P6840" s="148">
        <f>M6840/1.1</f>
        <v/>
      </c>
      <c r="Q6840" s="94">
        <f>F6840&amp;E6840&amp;G6840&amp;L6840</f>
        <v/>
      </c>
    </row>
    <row r="6841" customFormat="1" s="94">
      <c r="B6841" s="128" t="n">
        <v>43994</v>
      </c>
      <c r="C6841" s="94">
        <f>TEXT(B6841,"aaa")</f>
        <v/>
      </c>
      <c r="E6841" s="94" t="inlineStr">
        <is>
          <t>토너</t>
        </is>
      </c>
      <c r="F6841" s="94" t="inlineStr">
        <is>
          <t>아누아 CS</t>
        </is>
      </c>
      <c r="G6841" s="94" t="inlineStr">
        <is>
          <t>500ml</t>
        </is>
      </c>
      <c r="H6841" s="7" t="n">
        <v>190801</v>
      </c>
      <c r="I6841" s="7" t="n">
        <v>190801</v>
      </c>
      <c r="K6841" s="94" t="n">
        <v>1</v>
      </c>
      <c r="L6841" s="94" t="n">
        <v>190801</v>
      </c>
      <c r="M6841" s="94">
        <f>VLOOKUP($Q6841,매칭테이블!$F:$I,2,0)*K6841</f>
        <v/>
      </c>
      <c r="N6841" s="94">
        <f>M6841-M6841*VLOOKUP($Q6841,매칭테이블!$F:$I,3,0)</f>
        <v/>
      </c>
      <c r="O6841" s="94">
        <f>VLOOKUP($Q6841,매칭테이블!$F:$I,4,0)*K6841</f>
        <v/>
      </c>
      <c r="P6841" s="148">
        <f>M6841/1.1</f>
        <v/>
      </c>
      <c r="Q6841" s="94">
        <f>F6841&amp;E6841&amp;G6841&amp;L6841</f>
        <v/>
      </c>
    </row>
    <row r="6842" customFormat="1" s="94">
      <c r="B6842" s="128" t="n">
        <v>43994</v>
      </c>
      <c r="C6842" s="94">
        <f>TEXT(B6842,"aaa")</f>
        <v/>
      </c>
      <c r="E6842" s="94" t="inlineStr">
        <is>
          <t>화장솜</t>
        </is>
      </c>
      <c r="F6842" s="94" t="inlineStr">
        <is>
          <t>아누아 CS</t>
        </is>
      </c>
      <c r="G6842" s="94" t="inlineStr">
        <is>
          <t>스킨팩 화장솜 60P</t>
        </is>
      </c>
      <c r="H6842" s="7" t="n">
        <v>190801</v>
      </c>
      <c r="I6842" s="7" t="n">
        <v>190801</v>
      </c>
      <c r="K6842" s="94" t="n">
        <v>1</v>
      </c>
      <c r="L6842" s="94" t="n">
        <v>190801</v>
      </c>
      <c r="M6842" s="94">
        <f>VLOOKUP($Q6842,매칭테이블!$F:$I,2,0)*K6842</f>
        <v/>
      </c>
      <c r="N6842" s="94">
        <f>M6842-M6842*VLOOKUP($Q6842,매칭테이블!$F:$I,3,0)</f>
        <v/>
      </c>
      <c r="O6842" s="94">
        <f>VLOOKUP($Q6842,매칭테이블!$F:$I,4,0)*K6842</f>
        <v/>
      </c>
      <c r="P6842" s="148">
        <f>M6842/1.1</f>
        <v/>
      </c>
      <c r="Q6842" s="94">
        <f>F6842&amp;E6842&amp;G6842&amp;L6842</f>
        <v/>
      </c>
    </row>
    <row r="6843" customFormat="1" s="94">
      <c r="B6843" s="128" t="n">
        <v>43994</v>
      </c>
      <c r="C6843" s="94">
        <f>TEXT(B6843,"aaa")</f>
        <v/>
      </c>
      <c r="E6843" s="94" t="inlineStr">
        <is>
          <t>앰플</t>
        </is>
      </c>
      <c r="F6843" s="94" t="inlineStr">
        <is>
          <t>아누아 CS</t>
        </is>
      </c>
      <c r="G6843" s="94" t="inlineStr">
        <is>
          <t>앰플 30ml</t>
        </is>
      </c>
      <c r="H6843" s="7" t="n">
        <v>190801</v>
      </c>
      <c r="I6843" s="7" t="n">
        <v>190801</v>
      </c>
      <c r="K6843" s="94" t="n">
        <v>1</v>
      </c>
      <c r="L6843" s="94" t="n">
        <v>190801</v>
      </c>
      <c r="M6843" s="94">
        <f>VLOOKUP($Q6843,매칭테이블!$F:$I,2,0)*K6843</f>
        <v/>
      </c>
      <c r="N6843" s="94">
        <f>M6843-M6843*VLOOKUP($Q6843,매칭테이블!$F:$I,3,0)</f>
        <v/>
      </c>
      <c r="O6843" s="94">
        <f>VLOOKUP($Q6843,매칭테이블!$F:$I,4,0)*K6843</f>
        <v/>
      </c>
      <c r="P6843" s="148">
        <f>M6843/1.1</f>
        <v/>
      </c>
      <c r="Q6843" s="94">
        <f>F6843&amp;E6843&amp;G6843&amp;L6843</f>
        <v/>
      </c>
    </row>
    <row r="6844" customFormat="1" s="94">
      <c r="B6844" s="128" t="n">
        <v>43994</v>
      </c>
      <c r="C6844" s="94">
        <f>TEXT(B6844,"aaa")</f>
        <v/>
      </c>
      <c r="E6844" s="94" t="inlineStr">
        <is>
          <t>마스크팩</t>
        </is>
      </c>
      <c r="F6844" s="94" t="inlineStr">
        <is>
          <t>아누아 CS</t>
        </is>
      </c>
      <c r="G6844" s="94" t="inlineStr">
        <is>
          <t>마스크팩 10매</t>
        </is>
      </c>
      <c r="H6844" s="7" t="n">
        <v>190801</v>
      </c>
      <c r="I6844" s="7" t="n">
        <v>190801</v>
      </c>
      <c r="K6844" s="94" t="n">
        <v>1</v>
      </c>
      <c r="L6844" s="94" t="n">
        <v>190801</v>
      </c>
      <c r="M6844" s="94">
        <f>VLOOKUP($Q6844,매칭테이블!$F:$I,2,0)*K6844</f>
        <v/>
      </c>
      <c r="N6844" s="94">
        <f>M6844-M6844*VLOOKUP($Q6844,매칭테이블!$F:$I,3,0)</f>
        <v/>
      </c>
      <c r="O6844" s="94">
        <f>VLOOKUP($Q6844,매칭테이블!$F:$I,4,0)*K6844</f>
        <v/>
      </c>
      <c r="P6844" s="148">
        <f>M6844/1.1</f>
        <v/>
      </c>
      <c r="Q6844" s="94">
        <f>F6844&amp;E6844&amp;G6844&amp;L6844</f>
        <v/>
      </c>
    </row>
    <row r="6845" customFormat="1" s="94">
      <c r="B6845" s="128" t="n">
        <v>43994</v>
      </c>
      <c r="C6845" s="94">
        <f>TEXT(B6845,"aaa")</f>
        <v/>
      </c>
      <c r="E6845" s="94" t="inlineStr">
        <is>
          <t>선크림</t>
        </is>
      </c>
      <c r="F6845" s="94" t="inlineStr">
        <is>
          <t>아누아 CS</t>
        </is>
      </c>
      <c r="G6845" s="94" t="inlineStr">
        <is>
          <t>선크림 50ml</t>
        </is>
      </c>
      <c r="H6845" s="7" t="n">
        <v>190801</v>
      </c>
      <c r="I6845" s="7" t="n">
        <v>190801</v>
      </c>
      <c r="K6845" s="94" t="n">
        <v>1</v>
      </c>
      <c r="L6845" s="94" t="n">
        <v>190801</v>
      </c>
      <c r="M6845" s="94">
        <f>VLOOKUP($Q6845,매칭테이블!$F:$I,2,0)*K6845</f>
        <v/>
      </c>
      <c r="N6845" s="94">
        <f>M6845-M6845*VLOOKUP($Q6845,매칭테이블!$F:$I,3,0)</f>
        <v/>
      </c>
      <c r="O6845" s="94">
        <f>VLOOKUP($Q6845,매칭테이블!$F:$I,4,0)*K6845</f>
        <v/>
      </c>
      <c r="P6845" s="148">
        <f>M6845/1.1</f>
        <v/>
      </c>
      <c r="Q6845" s="94">
        <f>F6845&amp;E6845&amp;G6845&amp;L6845</f>
        <v/>
      </c>
    </row>
    <row r="6846" customFormat="1" s="94">
      <c r="B6846" s="128" t="n">
        <v>43995</v>
      </c>
      <c r="C6846" s="94">
        <f>TEXT(B6846,"aaa")</f>
        <v/>
      </c>
      <c r="E6846" s="94" t="inlineStr">
        <is>
          <t>토너</t>
        </is>
      </c>
      <c r="F6846" s="94" t="inlineStr">
        <is>
          <t>스타일쉐어</t>
        </is>
      </c>
      <c r="G6846" s="94" t="inlineStr">
        <is>
          <t>250ml</t>
        </is>
      </c>
      <c r="H6846" s="7" t="n">
        <v>190801</v>
      </c>
      <c r="I6846" s="7" t="n">
        <v>190801</v>
      </c>
      <c r="K6846" s="94" t="n">
        <v>1</v>
      </c>
      <c r="L6846" s="94" t="n">
        <v>190801</v>
      </c>
      <c r="M6846" s="94">
        <f>VLOOKUP($Q6846,매칭테이블!$F:$I,2,0)*K6846</f>
        <v/>
      </c>
      <c r="N6846" s="94">
        <f>M6846-M6846*VLOOKUP($Q6846,매칭테이블!$F:$I,3,0)</f>
        <v/>
      </c>
      <c r="O6846" s="94">
        <f>VLOOKUP($Q6846,매칭테이블!$F:$I,4,0)*K6846</f>
        <v/>
      </c>
      <c r="P6846" s="148">
        <f>M6846/1.1</f>
        <v/>
      </c>
      <c r="Q6846" s="94">
        <f>F6846&amp;E6846&amp;G6846&amp;L6846</f>
        <v/>
      </c>
    </row>
    <row r="6847" customFormat="1" s="94">
      <c r="B6847" s="128" t="n">
        <v>43995</v>
      </c>
      <c r="C6847" s="94">
        <f>TEXT(B6847,"aaa")</f>
        <v/>
      </c>
      <c r="E6847" s="94" t="inlineStr">
        <is>
          <t>선크림</t>
        </is>
      </c>
      <c r="F6847" s="94" t="inlineStr">
        <is>
          <t>카페24</t>
        </is>
      </c>
      <c r="G6847" s="94" t="inlineStr">
        <is>
          <t>선크림 50ml</t>
        </is>
      </c>
      <c r="H6847" s="7" t="n">
        <v>190801</v>
      </c>
      <c r="I6847" s="7" t="n">
        <v>190801</v>
      </c>
      <c r="K6847" s="94" t="n">
        <v>13</v>
      </c>
      <c r="L6847" s="94" t="n">
        <v>190801</v>
      </c>
      <c r="M6847" s="94">
        <f>VLOOKUP($Q6847,매칭테이블!$F:$I,2,0)*K6847</f>
        <v/>
      </c>
      <c r="N6847" s="94">
        <f>M6847-M6847*VLOOKUP($Q6847,매칭테이블!$F:$I,3,0)</f>
        <v/>
      </c>
      <c r="O6847" s="94">
        <f>VLOOKUP($Q6847,매칭테이블!$F:$I,4,0)*K6847</f>
        <v/>
      </c>
      <c r="P6847" s="148">
        <f>M6847/1.1</f>
        <v/>
      </c>
      <c r="Q6847" s="94">
        <f>F6847&amp;E6847&amp;G6847&amp;L6847</f>
        <v/>
      </c>
    </row>
    <row r="6848" customFormat="1" s="94">
      <c r="B6848" s="128" t="n">
        <v>43995</v>
      </c>
      <c r="C6848" s="94">
        <f>TEXT(B6848,"aaa")</f>
        <v/>
      </c>
      <c r="E6848" s="94" t="inlineStr">
        <is>
          <t>클렌징폼</t>
        </is>
      </c>
      <c r="F6848" s="94" t="inlineStr">
        <is>
          <t>카페24</t>
        </is>
      </c>
      <c r="G6848" s="94" t="inlineStr">
        <is>
          <t>클렌징폼 120ml(선크림할인)</t>
        </is>
      </c>
      <c r="H6848" s="7" t="n">
        <v>190801</v>
      </c>
      <c r="I6848" s="7" t="n">
        <v>190801</v>
      </c>
      <c r="K6848" s="94" t="n">
        <v>1</v>
      </c>
      <c r="L6848" s="94" t="n">
        <v>190801</v>
      </c>
      <c r="M6848" s="94">
        <f>VLOOKUP($Q6848,매칭테이블!$F:$I,2,0)*K6848</f>
        <v/>
      </c>
      <c r="N6848" s="94">
        <f>M6848-M6848*VLOOKUP($Q6848,매칭테이블!$F:$I,3,0)</f>
        <v/>
      </c>
      <c r="O6848" s="94">
        <f>VLOOKUP($Q6848,매칭테이블!$F:$I,4,0)*K6848</f>
        <v/>
      </c>
      <c r="P6848" s="148">
        <f>M6848/1.1</f>
        <v/>
      </c>
      <c r="Q6848" s="94">
        <f>F6848&amp;E6848&amp;G6848&amp;L6848</f>
        <v/>
      </c>
    </row>
    <row r="6849" customFormat="1" s="94">
      <c r="B6849" s="128" t="n">
        <v>43995</v>
      </c>
      <c r="C6849" s="94">
        <f>TEXT(B6849,"aaa")</f>
        <v/>
      </c>
      <c r="E6849" s="94" t="inlineStr">
        <is>
          <t>어성초진정패키지</t>
        </is>
      </c>
      <c r="F6849" s="94" t="inlineStr">
        <is>
          <t>카페24</t>
        </is>
      </c>
      <c r="G6849" s="94" t="inlineStr">
        <is>
          <t>어성초 진정패키지세트</t>
        </is>
      </c>
      <c r="H6849" s="7" t="n">
        <v>190801</v>
      </c>
      <c r="I6849" s="7" t="n">
        <v>190801</v>
      </c>
      <c r="K6849" s="94" t="n">
        <v>4</v>
      </c>
      <c r="L6849" s="94" t="n">
        <v>190801</v>
      </c>
      <c r="M6849" s="94">
        <f>VLOOKUP($Q6849,매칭테이블!$F:$I,2,0)*K6849</f>
        <v/>
      </c>
      <c r="N6849" s="94">
        <f>M6849-M6849*VLOOKUP($Q6849,매칭테이블!$F:$I,3,0)</f>
        <v/>
      </c>
      <c r="O6849" s="94">
        <f>VLOOKUP($Q6849,매칭테이블!$F:$I,4,0)*K6849</f>
        <v/>
      </c>
      <c r="P6849" s="148">
        <f>M6849/1.1</f>
        <v/>
      </c>
      <c r="Q6849" s="94">
        <f>F6849&amp;E6849&amp;G6849&amp;L6849</f>
        <v/>
      </c>
    </row>
    <row r="6850" customFormat="1" s="94">
      <c r="B6850" s="128" t="n">
        <v>43995</v>
      </c>
      <c r="C6850" s="94">
        <f>TEXT(B6850,"aaa")</f>
        <v/>
      </c>
      <c r="E6850" s="94" t="inlineStr">
        <is>
          <t>머드크림마스크</t>
        </is>
      </c>
      <c r="F6850" s="94" t="inlineStr">
        <is>
          <t>카페24</t>
        </is>
      </c>
      <c r="G6850" s="94" t="inlineStr">
        <is>
          <t>머드크림마스크 100ml</t>
        </is>
      </c>
      <c r="H6850" s="7" t="n">
        <v>190801</v>
      </c>
      <c r="I6850" s="7" t="n">
        <v>190801</v>
      </c>
      <c r="K6850" s="94" t="n">
        <v>1</v>
      </c>
      <c r="L6850" s="94" t="n">
        <v>190801</v>
      </c>
      <c r="M6850" s="94">
        <f>VLOOKUP($Q6850,매칭테이블!$F:$I,2,0)*K6850</f>
        <v/>
      </c>
      <c r="N6850" s="94">
        <f>M6850-M6850*VLOOKUP($Q6850,매칭테이블!$F:$I,3,0)</f>
        <v/>
      </c>
      <c r="O6850" s="94">
        <f>VLOOKUP($Q6850,매칭테이블!$F:$I,4,0)*K6850</f>
        <v/>
      </c>
      <c r="P6850" s="148">
        <f>M6850/1.1</f>
        <v/>
      </c>
      <c r="Q6850" s="94">
        <f>F6850&amp;E6850&amp;G6850&amp;L6850</f>
        <v/>
      </c>
    </row>
    <row r="6851" customFormat="1" s="94">
      <c r="B6851" s="128" t="n">
        <v>43995</v>
      </c>
      <c r="C6851" s="94">
        <f>TEXT(B6851,"aaa")</f>
        <v/>
      </c>
      <c r="E6851" s="94" t="inlineStr">
        <is>
          <t>머드크림마스크</t>
        </is>
      </c>
      <c r="F6851" s="94" t="inlineStr">
        <is>
          <t>카페24</t>
        </is>
      </c>
      <c r="G6851" s="94" t="inlineStr">
        <is>
          <t>머드크림마스크 100ml 2set</t>
        </is>
      </c>
      <c r="H6851" s="7" t="n">
        <v>190801</v>
      </c>
      <c r="I6851" s="7" t="n">
        <v>190801</v>
      </c>
      <c r="K6851" s="94" t="n">
        <v>1</v>
      </c>
      <c r="L6851" s="94" t="n">
        <v>190801</v>
      </c>
      <c r="M6851" s="94">
        <f>VLOOKUP($Q6851,매칭테이블!$F:$I,2,0)*K6851</f>
        <v/>
      </c>
      <c r="N6851" s="94">
        <f>M6851-M6851*VLOOKUP($Q6851,매칭테이블!$F:$I,3,0)</f>
        <v/>
      </c>
      <c r="O6851" s="94">
        <f>VLOOKUP($Q6851,매칭테이블!$F:$I,4,0)*K6851</f>
        <v/>
      </c>
      <c r="P6851" s="148">
        <f>M6851/1.1</f>
        <v/>
      </c>
      <c r="Q6851" s="94">
        <f>F6851&amp;E6851&amp;G6851&amp;L6851</f>
        <v/>
      </c>
    </row>
    <row r="6852" customFormat="1" s="94">
      <c r="B6852" s="128" t="n">
        <v>43995</v>
      </c>
      <c r="C6852" s="94">
        <f>TEXT(B6852,"aaa")</f>
        <v/>
      </c>
      <c r="E6852" s="94" t="inlineStr">
        <is>
          <t>토너</t>
        </is>
      </c>
      <c r="F6852" s="94" t="inlineStr">
        <is>
          <t>카페24</t>
        </is>
      </c>
      <c r="G6852" s="94" t="inlineStr">
        <is>
          <t>250ml</t>
        </is>
      </c>
      <c r="H6852" s="7" t="n">
        <v>190801</v>
      </c>
      <c r="I6852" s="7" t="n">
        <v>190801</v>
      </c>
      <c r="K6852" s="94" t="n">
        <v>41</v>
      </c>
      <c r="L6852" s="94" t="n">
        <v>190801</v>
      </c>
      <c r="M6852" s="94">
        <f>VLOOKUP($Q6852,매칭테이블!$F:$I,2,0)*K6852</f>
        <v/>
      </c>
      <c r="N6852" s="94">
        <f>M6852-M6852*VLOOKUP($Q6852,매칭테이블!$F:$I,3,0)</f>
        <v/>
      </c>
      <c r="O6852" s="94">
        <f>VLOOKUP($Q6852,매칭테이블!$F:$I,4,0)*K6852</f>
        <v/>
      </c>
      <c r="P6852" s="148">
        <f>M6852/1.1</f>
        <v/>
      </c>
      <c r="Q6852" s="94">
        <f>F6852&amp;E6852&amp;G6852&amp;L6852</f>
        <v/>
      </c>
    </row>
    <row r="6853" customFormat="1" s="94">
      <c r="B6853" s="128" t="n">
        <v>43995</v>
      </c>
      <c r="C6853" s="94">
        <f>TEXT(B6853,"aaa")</f>
        <v/>
      </c>
      <c r="E6853" s="94" t="inlineStr">
        <is>
          <t>토너</t>
        </is>
      </c>
      <c r="F6853" s="94" t="inlineStr">
        <is>
          <t>카페24</t>
        </is>
      </c>
      <c r="G6853" s="94" t="inlineStr">
        <is>
          <t>250ml 2set</t>
        </is>
      </c>
      <c r="H6853" s="7" t="n">
        <v>190801</v>
      </c>
      <c r="I6853" s="7" t="n">
        <v>190801</v>
      </c>
      <c r="K6853" s="94" t="n">
        <v>37</v>
      </c>
      <c r="L6853" s="94" t="n">
        <v>190801</v>
      </c>
      <c r="M6853" s="94">
        <f>VLOOKUP($Q6853,매칭테이블!$F:$I,2,0)*K6853</f>
        <v/>
      </c>
      <c r="N6853" s="94">
        <f>M6853-M6853*VLOOKUP($Q6853,매칭테이블!$F:$I,3,0)</f>
        <v/>
      </c>
      <c r="O6853" s="94">
        <f>VLOOKUP($Q6853,매칭테이블!$F:$I,4,0)*K6853</f>
        <v/>
      </c>
      <c r="P6853" s="148">
        <f>M6853/1.1</f>
        <v/>
      </c>
      <c r="Q6853" s="94">
        <f>F6853&amp;E6853&amp;G6853&amp;L6853</f>
        <v/>
      </c>
    </row>
    <row r="6854" customFormat="1" s="94">
      <c r="B6854" s="128" t="n">
        <v>43995</v>
      </c>
      <c r="C6854" s="94">
        <f>TEXT(B6854,"aaa")</f>
        <v/>
      </c>
      <c r="E6854" s="94" t="inlineStr">
        <is>
          <t>토너</t>
        </is>
      </c>
      <c r="F6854" s="94" t="inlineStr">
        <is>
          <t>카페24</t>
        </is>
      </c>
      <c r="G6854" s="94" t="inlineStr">
        <is>
          <t>500ml</t>
        </is>
      </c>
      <c r="H6854" s="7" t="n">
        <v>190801</v>
      </c>
      <c r="I6854" s="7" t="n">
        <v>190801</v>
      </c>
      <c r="K6854" s="94" t="n">
        <v>22</v>
      </c>
      <c r="L6854" s="94" t="n">
        <v>190801</v>
      </c>
      <c r="M6854" s="94">
        <f>VLOOKUP($Q6854,매칭테이블!$F:$I,2,0)*K6854</f>
        <v/>
      </c>
      <c r="N6854" s="94">
        <f>M6854-M6854*VLOOKUP($Q6854,매칭테이블!$F:$I,3,0)</f>
        <v/>
      </c>
      <c r="O6854" s="94">
        <f>VLOOKUP($Q6854,매칭테이블!$F:$I,4,0)*K6854</f>
        <v/>
      </c>
      <c r="P6854" s="148">
        <f>M6854/1.1</f>
        <v/>
      </c>
      <c r="Q6854" s="94">
        <f>F6854&amp;E6854&amp;G6854&amp;L6854</f>
        <v/>
      </c>
    </row>
    <row r="6855" customFormat="1" s="94">
      <c r="B6855" s="128" t="n">
        <v>43995</v>
      </c>
      <c r="C6855" s="94">
        <f>TEXT(B6855,"aaa")</f>
        <v/>
      </c>
      <c r="E6855" s="94" t="inlineStr">
        <is>
          <t>토너</t>
        </is>
      </c>
      <c r="F6855" s="94" t="inlineStr">
        <is>
          <t>카페24</t>
        </is>
      </c>
      <c r="G6855" s="94" t="inlineStr">
        <is>
          <t>스킨팩 화장솜 60P</t>
        </is>
      </c>
      <c r="H6855" s="7" t="n">
        <v>190801</v>
      </c>
      <c r="I6855" s="7" t="n">
        <v>190801</v>
      </c>
      <c r="K6855" s="94" t="n">
        <v>34</v>
      </c>
      <c r="L6855" s="94" t="n">
        <v>190801</v>
      </c>
      <c r="M6855" s="94">
        <f>VLOOKUP($Q6855,매칭테이블!$F:$I,2,0)*K6855</f>
        <v/>
      </c>
      <c r="N6855" s="94">
        <f>M6855-M6855*VLOOKUP($Q6855,매칭테이블!$F:$I,3,0)</f>
        <v/>
      </c>
      <c r="O6855" s="94">
        <f>VLOOKUP($Q6855,매칭테이블!$F:$I,4,0)*K6855</f>
        <v/>
      </c>
      <c r="P6855" s="148">
        <f>M6855/1.1</f>
        <v/>
      </c>
      <c r="Q6855" s="94">
        <f>F6855&amp;E6855&amp;G6855&amp;L6855</f>
        <v/>
      </c>
    </row>
    <row r="6856" customFormat="1" s="94">
      <c r="B6856" s="128" t="n">
        <v>43995</v>
      </c>
      <c r="C6856" s="94">
        <f>TEXT(B6856,"aaa")</f>
        <v/>
      </c>
      <c r="E6856" s="94" t="inlineStr">
        <is>
          <t>앰플</t>
        </is>
      </c>
      <c r="F6856" s="94" t="inlineStr">
        <is>
          <t>카페24</t>
        </is>
      </c>
      <c r="G6856" s="94" t="inlineStr">
        <is>
          <t>앰플 30ml</t>
        </is>
      </c>
      <c r="H6856" s="7" t="n">
        <v>190801</v>
      </c>
      <c r="I6856" s="7" t="n">
        <v>190801</v>
      </c>
      <c r="K6856" s="94" t="n">
        <v>10</v>
      </c>
      <c r="L6856" s="94" t="n">
        <v>190801</v>
      </c>
      <c r="M6856" s="94">
        <f>VLOOKUP($Q6856,매칭테이블!$F:$I,2,0)*K6856</f>
        <v/>
      </c>
      <c r="N6856" s="94">
        <f>M6856-M6856*VLOOKUP($Q6856,매칭테이블!$F:$I,3,0)</f>
        <v/>
      </c>
      <c r="O6856" s="94">
        <f>VLOOKUP($Q6856,매칭테이블!$F:$I,4,0)*K6856</f>
        <v/>
      </c>
      <c r="P6856" s="148">
        <f>M6856/1.1</f>
        <v/>
      </c>
      <c r="Q6856" s="94">
        <f>F6856&amp;E6856&amp;G6856&amp;L6856</f>
        <v/>
      </c>
    </row>
    <row r="6857" customFormat="1" s="94">
      <c r="B6857" s="128" t="n">
        <v>43995</v>
      </c>
      <c r="C6857" s="94">
        <f>TEXT(B6857,"aaa")</f>
        <v/>
      </c>
      <c r="E6857" s="94" t="inlineStr">
        <is>
          <t>수딩크림</t>
        </is>
      </c>
      <c r="F6857" s="94" t="inlineStr">
        <is>
          <t>카페24</t>
        </is>
      </c>
      <c r="G6857" s="94" t="inlineStr">
        <is>
          <t>수딩크림 100ml</t>
        </is>
      </c>
      <c r="H6857" s="7" t="n">
        <v>190801</v>
      </c>
      <c r="I6857" s="7" t="n">
        <v>190801</v>
      </c>
      <c r="K6857" s="94" t="n">
        <v>6</v>
      </c>
      <c r="L6857" s="94" t="n">
        <v>190801</v>
      </c>
      <c r="M6857" s="94">
        <f>VLOOKUP($Q6857,매칭테이블!$F:$I,2,0)*K6857</f>
        <v/>
      </c>
      <c r="N6857" s="94">
        <f>M6857-M6857*VLOOKUP($Q6857,매칭테이블!$F:$I,3,0)</f>
        <v/>
      </c>
      <c r="O6857" s="94">
        <f>VLOOKUP($Q6857,매칭테이블!$F:$I,4,0)*K6857</f>
        <v/>
      </c>
      <c r="P6857" s="148">
        <f>M6857/1.1</f>
        <v/>
      </c>
      <c r="Q6857" s="94">
        <f>F6857&amp;E6857&amp;G6857&amp;L6857</f>
        <v/>
      </c>
    </row>
    <row r="6858" customFormat="1" s="94">
      <c r="B6858" s="128" t="n">
        <v>43995</v>
      </c>
      <c r="C6858" s="94">
        <f>TEXT(B6858,"aaa")</f>
        <v/>
      </c>
      <c r="E6858" s="94" t="inlineStr">
        <is>
          <t>클렌징폼</t>
        </is>
      </c>
      <c r="F6858" s="94" t="inlineStr">
        <is>
          <t>카페24</t>
        </is>
      </c>
      <c r="G6858" s="94" t="inlineStr">
        <is>
          <t>클렌징폼 120ml</t>
        </is>
      </c>
      <c r="H6858" s="7" t="n">
        <v>190801</v>
      </c>
      <c r="I6858" s="7" t="n">
        <v>190801</v>
      </c>
      <c r="K6858" s="94" t="n">
        <v>5</v>
      </c>
      <c r="L6858" s="94" t="n">
        <v>190801</v>
      </c>
      <c r="M6858" s="94">
        <f>VLOOKUP($Q6858,매칭테이블!$F:$I,2,0)*K6858</f>
        <v/>
      </c>
      <c r="N6858" s="94">
        <f>M6858-M6858*VLOOKUP($Q6858,매칭테이블!$F:$I,3,0)</f>
        <v/>
      </c>
      <c r="O6858" s="94">
        <f>VLOOKUP($Q6858,매칭테이블!$F:$I,4,0)*K6858</f>
        <v/>
      </c>
      <c r="P6858" s="148">
        <f>M6858/1.1</f>
        <v/>
      </c>
      <c r="Q6858" s="94">
        <f>F6858&amp;E6858&amp;G6858&amp;L6858</f>
        <v/>
      </c>
    </row>
    <row r="6859" customFormat="1" s="94">
      <c r="B6859" s="128" t="n">
        <v>43995</v>
      </c>
      <c r="C6859" s="94">
        <f>TEXT(B6859,"aaa")</f>
        <v/>
      </c>
      <c r="E6859" s="94" t="inlineStr">
        <is>
          <t>클렌징폼</t>
        </is>
      </c>
      <c r="F6859" s="94" t="inlineStr">
        <is>
          <t>카페24</t>
        </is>
      </c>
      <c r="G6859" s="94" t="inlineStr">
        <is>
          <t>클렌징폼 120ml 2set</t>
        </is>
      </c>
      <c r="H6859" s="7" t="n">
        <v>190801</v>
      </c>
      <c r="I6859" s="7" t="n">
        <v>190801</v>
      </c>
      <c r="K6859" s="94" t="n">
        <v>1</v>
      </c>
      <c r="L6859" s="94" t="n">
        <v>190801</v>
      </c>
      <c r="M6859" s="94">
        <f>VLOOKUP($Q6859,매칭테이블!$F:$I,2,0)*K6859</f>
        <v/>
      </c>
      <c r="N6859" s="94">
        <f>M6859-M6859*VLOOKUP($Q6859,매칭테이블!$F:$I,3,0)</f>
        <v/>
      </c>
      <c r="O6859" s="94">
        <f>VLOOKUP($Q6859,매칭테이블!$F:$I,4,0)*K6859</f>
        <v/>
      </c>
      <c r="P6859" s="148">
        <f>M6859/1.1</f>
        <v/>
      </c>
      <c r="Q6859" s="94">
        <f>F6859&amp;E6859&amp;G6859&amp;L6859</f>
        <v/>
      </c>
    </row>
    <row r="6860" customFormat="1" s="94">
      <c r="B6860" s="128" t="n">
        <v>43995</v>
      </c>
      <c r="C6860" s="94">
        <f>TEXT(B6860,"aaa")</f>
        <v/>
      </c>
      <c r="E6860" s="94" t="inlineStr">
        <is>
          <t>클렌징폼</t>
        </is>
      </c>
      <c r="F6860" s="94" t="inlineStr">
        <is>
          <t>카페24</t>
        </is>
      </c>
      <c r="G6860" s="94" t="inlineStr">
        <is>
          <t>클렌징폼 120ml 3set</t>
        </is>
      </c>
      <c r="H6860" s="7" t="n">
        <v>190801</v>
      </c>
      <c r="I6860" s="7" t="n">
        <v>190801</v>
      </c>
      <c r="K6860" s="94" t="n">
        <v>1</v>
      </c>
      <c r="L6860" s="94" t="n">
        <v>190801</v>
      </c>
      <c r="M6860" s="94">
        <f>VLOOKUP($Q6860,매칭테이블!$F:$I,2,0)*K6860</f>
        <v/>
      </c>
      <c r="N6860" s="94">
        <f>M6860-M6860*VLOOKUP($Q6860,매칭테이블!$F:$I,3,0)</f>
        <v/>
      </c>
      <c r="O6860" s="94">
        <f>VLOOKUP($Q6860,매칭테이블!$F:$I,4,0)*K6860</f>
        <v/>
      </c>
      <c r="P6860" s="148">
        <f>M6860/1.1</f>
        <v/>
      </c>
      <c r="Q6860" s="94">
        <f>F6860&amp;E6860&amp;G6860&amp;L6860</f>
        <v/>
      </c>
    </row>
    <row r="6861" customFormat="1" s="94">
      <c r="B6861" s="128" t="n">
        <v>43996</v>
      </c>
      <c r="C6861" s="94">
        <f>TEXT(B6861,"aaa")</f>
        <v/>
      </c>
      <c r="E6861" s="94" t="inlineStr">
        <is>
          <t>토너</t>
        </is>
      </c>
      <c r="F6861" s="94" t="inlineStr">
        <is>
          <t>스타일쉐어</t>
        </is>
      </c>
      <c r="G6861" s="94" t="inlineStr">
        <is>
          <t>250ml</t>
        </is>
      </c>
      <c r="H6861" s="7" t="n">
        <v>190801</v>
      </c>
      <c r="I6861" s="7" t="n">
        <v>190801</v>
      </c>
      <c r="K6861" s="94" t="n">
        <v>7</v>
      </c>
      <c r="L6861" s="94" t="n">
        <v>190801</v>
      </c>
      <c r="M6861" s="94">
        <f>VLOOKUP($Q6861,매칭테이블!$F:$I,2,0)*K6861</f>
        <v/>
      </c>
      <c r="N6861" s="94">
        <f>M6861-M6861*VLOOKUP($Q6861,매칭테이블!$F:$I,3,0)</f>
        <v/>
      </c>
      <c r="O6861" s="94">
        <f>VLOOKUP($Q6861,매칭테이블!$F:$I,4,0)*K6861</f>
        <v/>
      </c>
      <c r="P6861" s="148">
        <f>M6861/1.1</f>
        <v/>
      </c>
      <c r="Q6861" s="94">
        <f>F6861&amp;E6861&amp;G6861&amp;L6861</f>
        <v/>
      </c>
    </row>
    <row r="6862" customFormat="1" s="94">
      <c r="B6862" s="128" t="n">
        <v>43996</v>
      </c>
      <c r="C6862" s="94">
        <f>TEXT(B6862,"aaa")</f>
        <v/>
      </c>
      <c r="E6862" s="94" t="inlineStr">
        <is>
          <t>선크림</t>
        </is>
      </c>
      <c r="F6862" s="94" t="inlineStr">
        <is>
          <t>카페24</t>
        </is>
      </c>
      <c r="G6862" s="94" t="inlineStr">
        <is>
          <t>선크림 50ml</t>
        </is>
      </c>
      <c r="H6862" s="7" t="n">
        <v>190801</v>
      </c>
      <c r="I6862" s="7" t="n">
        <v>190801</v>
      </c>
      <c r="K6862" s="94" t="n">
        <v>7</v>
      </c>
      <c r="L6862" s="94" t="n">
        <v>190801</v>
      </c>
      <c r="M6862" s="94">
        <f>VLOOKUP($Q6862,매칭테이블!$F:$I,2,0)*K6862</f>
        <v/>
      </c>
      <c r="N6862" s="94">
        <f>M6862-M6862*VLOOKUP($Q6862,매칭테이블!$F:$I,3,0)</f>
        <v/>
      </c>
      <c r="O6862" s="94">
        <f>VLOOKUP($Q6862,매칭테이블!$F:$I,4,0)*K6862</f>
        <v/>
      </c>
      <c r="P6862" s="148">
        <f>M6862/1.1</f>
        <v/>
      </c>
      <c r="Q6862" s="94">
        <f>F6862&amp;E6862&amp;G6862&amp;L6862</f>
        <v/>
      </c>
    </row>
    <row r="6863" customFormat="1" s="94">
      <c r="B6863" s="128" t="n">
        <v>43996</v>
      </c>
      <c r="C6863" s="94">
        <f>TEXT(B6863,"aaa")</f>
        <v/>
      </c>
      <c r="E6863" s="94" t="inlineStr">
        <is>
          <t>클렌징폼</t>
        </is>
      </c>
      <c r="F6863" s="94" t="inlineStr">
        <is>
          <t>카페24</t>
        </is>
      </c>
      <c r="G6863" s="94" t="inlineStr">
        <is>
          <t>클렌징폼 120ml(선크림할인)</t>
        </is>
      </c>
      <c r="H6863" s="7" t="n">
        <v>190801</v>
      </c>
      <c r="I6863" s="7" t="n">
        <v>190801</v>
      </c>
      <c r="K6863" s="94" t="n">
        <v>1</v>
      </c>
      <c r="L6863" s="94" t="n">
        <v>190801</v>
      </c>
      <c r="M6863" s="94">
        <f>VLOOKUP($Q6863,매칭테이블!$F:$I,2,0)*K6863</f>
        <v/>
      </c>
      <c r="N6863" s="94">
        <f>M6863-M6863*VLOOKUP($Q6863,매칭테이블!$F:$I,3,0)</f>
        <v/>
      </c>
      <c r="O6863" s="94">
        <f>VLOOKUP($Q6863,매칭테이블!$F:$I,4,0)*K6863</f>
        <v/>
      </c>
      <c r="P6863" s="148">
        <f>M6863/1.1</f>
        <v/>
      </c>
      <c r="Q6863" s="94">
        <f>F6863&amp;E6863&amp;G6863&amp;L6863</f>
        <v/>
      </c>
    </row>
    <row r="6864" customFormat="1" s="94">
      <c r="B6864" s="128" t="n">
        <v>43996</v>
      </c>
      <c r="C6864" s="94">
        <f>TEXT(B6864,"aaa")</f>
        <v/>
      </c>
      <c r="E6864" s="94" t="inlineStr">
        <is>
          <t>어성초진정패키지</t>
        </is>
      </c>
      <c r="F6864" s="94" t="inlineStr">
        <is>
          <t>카페24</t>
        </is>
      </c>
      <c r="G6864" s="94" t="inlineStr">
        <is>
          <t>어성초 진정패키지세트</t>
        </is>
      </c>
      <c r="H6864" s="7" t="n">
        <v>190801</v>
      </c>
      <c r="I6864" s="7" t="n">
        <v>190801</v>
      </c>
      <c r="K6864" s="94" t="n">
        <v>8</v>
      </c>
      <c r="L6864" s="94" t="n">
        <v>190801</v>
      </c>
      <c r="M6864" s="94">
        <f>VLOOKUP($Q6864,매칭테이블!$F:$I,2,0)*K6864</f>
        <v/>
      </c>
      <c r="N6864" s="94">
        <f>M6864-M6864*VLOOKUP($Q6864,매칭테이블!$F:$I,3,0)</f>
        <v/>
      </c>
      <c r="O6864" s="94">
        <f>VLOOKUP($Q6864,매칭테이블!$F:$I,4,0)*K6864</f>
        <v/>
      </c>
      <c r="P6864" s="148">
        <f>M6864/1.1</f>
        <v/>
      </c>
      <c r="Q6864" s="94">
        <f>F6864&amp;E6864&amp;G6864&amp;L6864</f>
        <v/>
      </c>
    </row>
    <row r="6865" customFormat="1" s="94">
      <c r="B6865" s="128" t="n">
        <v>43996</v>
      </c>
      <c r="C6865" s="94">
        <f>TEXT(B6865,"aaa")</f>
        <v/>
      </c>
      <c r="E6865" s="94" t="inlineStr">
        <is>
          <t>머드크림마스크</t>
        </is>
      </c>
      <c r="F6865" s="94" t="inlineStr">
        <is>
          <t>카페24</t>
        </is>
      </c>
      <c r="G6865" s="94" t="inlineStr">
        <is>
          <t>머드크림마스크 100ml</t>
        </is>
      </c>
      <c r="H6865" s="7" t="n">
        <v>190801</v>
      </c>
      <c r="I6865" s="7" t="n">
        <v>190801</v>
      </c>
      <c r="K6865" s="94" t="n">
        <v>4</v>
      </c>
      <c r="L6865" s="94" t="n">
        <v>190801</v>
      </c>
      <c r="M6865" s="94">
        <f>VLOOKUP($Q6865,매칭테이블!$F:$I,2,0)*K6865</f>
        <v/>
      </c>
      <c r="N6865" s="94">
        <f>M6865-M6865*VLOOKUP($Q6865,매칭테이블!$F:$I,3,0)</f>
        <v/>
      </c>
      <c r="O6865" s="94">
        <f>VLOOKUP($Q6865,매칭테이블!$F:$I,4,0)*K6865</f>
        <v/>
      </c>
      <c r="P6865" s="148">
        <f>M6865/1.1</f>
        <v/>
      </c>
      <c r="Q6865" s="94">
        <f>F6865&amp;E6865&amp;G6865&amp;L6865</f>
        <v/>
      </c>
    </row>
    <row r="6866" customFormat="1" s="94">
      <c r="B6866" s="128" t="n">
        <v>43996</v>
      </c>
      <c r="C6866" s="94">
        <f>TEXT(B6866,"aaa")</f>
        <v/>
      </c>
      <c r="E6866" s="94" t="inlineStr">
        <is>
          <t>마스크팩</t>
        </is>
      </c>
      <c r="F6866" s="94" t="inlineStr">
        <is>
          <t>카페24</t>
        </is>
      </c>
      <c r="G6866" s="94" t="inlineStr">
        <is>
          <t>마스크팩 1매</t>
        </is>
      </c>
      <c r="H6866" s="7" t="n">
        <v>190801</v>
      </c>
      <c r="I6866" s="7" t="n">
        <v>190801</v>
      </c>
      <c r="K6866" s="94" t="n">
        <v>2</v>
      </c>
      <c r="L6866" s="94" t="n">
        <v>190801</v>
      </c>
      <c r="M6866" s="94">
        <f>VLOOKUP($Q6866,매칭테이블!$F:$I,2,0)*K6866</f>
        <v/>
      </c>
      <c r="N6866" s="94">
        <f>M6866-M6866*VLOOKUP($Q6866,매칭테이블!$F:$I,3,0)</f>
        <v/>
      </c>
      <c r="O6866" s="94">
        <f>VLOOKUP($Q6866,매칭테이블!$F:$I,4,0)*K6866</f>
        <v/>
      </c>
      <c r="P6866" s="148">
        <f>M6866/1.1</f>
        <v/>
      </c>
      <c r="Q6866" s="94">
        <f>F6866&amp;E6866&amp;G6866&amp;L6866</f>
        <v/>
      </c>
    </row>
    <row r="6867" customFormat="1" s="94">
      <c r="B6867" s="128" t="n">
        <v>43996</v>
      </c>
      <c r="C6867" s="94">
        <f>TEXT(B6867,"aaa")</f>
        <v/>
      </c>
      <c r="E6867" s="94" t="inlineStr">
        <is>
          <t>마스크팩</t>
        </is>
      </c>
      <c r="F6867" s="94" t="inlineStr">
        <is>
          <t>카페24</t>
        </is>
      </c>
      <c r="G6867" s="94" t="inlineStr">
        <is>
          <t>마스크팩 10매</t>
        </is>
      </c>
      <c r="H6867" s="7" t="n">
        <v>190801</v>
      </c>
      <c r="I6867" s="7" t="n">
        <v>190801</v>
      </c>
      <c r="K6867" s="94" t="n">
        <v>4</v>
      </c>
      <c r="L6867" s="94" t="n">
        <v>190801</v>
      </c>
      <c r="M6867" s="94">
        <f>VLOOKUP($Q6867,매칭테이블!$F:$I,2,0)*K6867</f>
        <v/>
      </c>
      <c r="N6867" s="94">
        <f>M6867-M6867*VLOOKUP($Q6867,매칭테이블!$F:$I,3,0)</f>
        <v/>
      </c>
      <c r="O6867" s="94">
        <f>VLOOKUP($Q6867,매칭테이블!$F:$I,4,0)*K6867</f>
        <v/>
      </c>
      <c r="P6867" s="148">
        <f>M6867/1.1</f>
        <v/>
      </c>
      <c r="Q6867" s="94">
        <f>F6867&amp;E6867&amp;G6867&amp;L6867</f>
        <v/>
      </c>
    </row>
    <row r="6868" customFormat="1" s="94">
      <c r="B6868" s="128" t="n">
        <v>43996</v>
      </c>
      <c r="C6868" s="94">
        <f>TEXT(B6868,"aaa")</f>
        <v/>
      </c>
      <c r="E6868" s="94" t="inlineStr">
        <is>
          <t>토너</t>
        </is>
      </c>
      <c r="F6868" s="94" t="inlineStr">
        <is>
          <t>카페24</t>
        </is>
      </c>
      <c r="G6868" s="94" t="inlineStr">
        <is>
          <t>250ml</t>
        </is>
      </c>
      <c r="H6868" s="7" t="n">
        <v>190801</v>
      </c>
      <c r="I6868" s="7" t="n">
        <v>190801</v>
      </c>
      <c r="K6868" s="94" t="n">
        <v>46</v>
      </c>
      <c r="L6868" s="94" t="n">
        <v>190801</v>
      </c>
      <c r="M6868" s="94">
        <f>VLOOKUP($Q6868,매칭테이블!$F:$I,2,0)*K6868</f>
        <v/>
      </c>
      <c r="N6868" s="94">
        <f>M6868-M6868*VLOOKUP($Q6868,매칭테이블!$F:$I,3,0)</f>
        <v/>
      </c>
      <c r="O6868" s="94">
        <f>VLOOKUP($Q6868,매칭테이블!$F:$I,4,0)*K6868</f>
        <v/>
      </c>
      <c r="P6868" s="148">
        <f>M6868/1.1</f>
        <v/>
      </c>
      <c r="Q6868" s="94">
        <f>F6868&amp;E6868&amp;G6868&amp;L6868</f>
        <v/>
      </c>
    </row>
    <row r="6869" customFormat="1" s="94">
      <c r="B6869" s="128" t="n">
        <v>43996</v>
      </c>
      <c r="C6869" s="94">
        <f>TEXT(B6869,"aaa")</f>
        <v/>
      </c>
      <c r="E6869" s="94" t="inlineStr">
        <is>
          <t>토너</t>
        </is>
      </c>
      <c r="F6869" s="94" t="inlineStr">
        <is>
          <t>카페24</t>
        </is>
      </c>
      <c r="G6869" s="94" t="inlineStr">
        <is>
          <t>250ml 2set</t>
        </is>
      </c>
      <c r="H6869" s="7" t="n">
        <v>190801</v>
      </c>
      <c r="I6869" s="7" t="n">
        <v>190801</v>
      </c>
      <c r="K6869" s="94" t="n">
        <v>54</v>
      </c>
      <c r="L6869" s="94" t="n">
        <v>190801</v>
      </c>
      <c r="M6869" s="94">
        <f>VLOOKUP($Q6869,매칭테이블!$F:$I,2,0)*K6869</f>
        <v/>
      </c>
      <c r="N6869" s="94">
        <f>M6869-M6869*VLOOKUP($Q6869,매칭테이블!$F:$I,3,0)</f>
        <v/>
      </c>
      <c r="O6869" s="94">
        <f>VLOOKUP($Q6869,매칭테이블!$F:$I,4,0)*K6869</f>
        <v/>
      </c>
      <c r="P6869" s="148">
        <f>M6869/1.1</f>
        <v/>
      </c>
      <c r="Q6869" s="94">
        <f>F6869&amp;E6869&amp;G6869&amp;L6869</f>
        <v/>
      </c>
    </row>
    <row r="6870" customFormat="1" s="94">
      <c r="B6870" s="128" t="n">
        <v>43996</v>
      </c>
      <c r="C6870" s="94">
        <f>TEXT(B6870,"aaa")</f>
        <v/>
      </c>
      <c r="E6870" s="94" t="inlineStr">
        <is>
          <t>토너</t>
        </is>
      </c>
      <c r="F6870" s="94" t="inlineStr">
        <is>
          <t>카페24</t>
        </is>
      </c>
      <c r="G6870" s="94" t="inlineStr">
        <is>
          <t>500ml</t>
        </is>
      </c>
      <c r="H6870" s="7" t="n">
        <v>190801</v>
      </c>
      <c r="I6870" s="7" t="n">
        <v>190801</v>
      </c>
      <c r="K6870" s="94" t="n">
        <v>30</v>
      </c>
      <c r="L6870" s="94" t="n">
        <v>190801</v>
      </c>
      <c r="M6870" s="94">
        <f>VLOOKUP($Q6870,매칭테이블!$F:$I,2,0)*K6870</f>
        <v/>
      </c>
      <c r="N6870" s="94">
        <f>M6870-M6870*VLOOKUP($Q6870,매칭테이블!$F:$I,3,0)</f>
        <v/>
      </c>
      <c r="O6870" s="94">
        <f>VLOOKUP($Q6870,매칭테이블!$F:$I,4,0)*K6870</f>
        <v/>
      </c>
      <c r="P6870" s="148">
        <f>M6870/1.1</f>
        <v/>
      </c>
      <c r="Q6870" s="94">
        <f>F6870&amp;E6870&amp;G6870&amp;L6870</f>
        <v/>
      </c>
    </row>
    <row r="6871" customFormat="1" s="94">
      <c r="B6871" s="128" t="n">
        <v>43996</v>
      </c>
      <c r="C6871" s="94">
        <f>TEXT(B6871,"aaa")</f>
        <v/>
      </c>
      <c r="E6871" s="94" t="inlineStr">
        <is>
          <t>토너</t>
        </is>
      </c>
      <c r="F6871" s="94" t="inlineStr">
        <is>
          <t>카페24</t>
        </is>
      </c>
      <c r="G6871" s="94" t="inlineStr">
        <is>
          <t>스킨팩 화장솜 60P</t>
        </is>
      </c>
      <c r="H6871" s="7" t="n">
        <v>190801</v>
      </c>
      <c r="I6871" s="7" t="n">
        <v>190801</v>
      </c>
      <c r="K6871" s="94" t="n">
        <v>59</v>
      </c>
      <c r="L6871" s="94" t="n">
        <v>190801</v>
      </c>
      <c r="M6871" s="94">
        <f>VLOOKUP($Q6871,매칭테이블!$F:$I,2,0)*K6871</f>
        <v/>
      </c>
      <c r="N6871" s="94">
        <f>M6871-M6871*VLOOKUP($Q6871,매칭테이블!$F:$I,3,0)</f>
        <v/>
      </c>
      <c r="O6871" s="94">
        <f>VLOOKUP($Q6871,매칭테이블!$F:$I,4,0)*K6871</f>
        <v/>
      </c>
      <c r="P6871" s="148">
        <f>M6871/1.1</f>
        <v/>
      </c>
      <c r="Q6871" s="94">
        <f>F6871&amp;E6871&amp;G6871&amp;L6871</f>
        <v/>
      </c>
    </row>
    <row r="6872" customFormat="1" s="94">
      <c r="B6872" s="128" t="n">
        <v>43996</v>
      </c>
      <c r="C6872" s="94">
        <f>TEXT(B6872,"aaa")</f>
        <v/>
      </c>
      <c r="E6872" s="94" t="inlineStr">
        <is>
          <t>앰플</t>
        </is>
      </c>
      <c r="F6872" s="94" t="inlineStr">
        <is>
          <t>카페24</t>
        </is>
      </c>
      <c r="G6872" s="94" t="inlineStr">
        <is>
          <t>앰플 30ml</t>
        </is>
      </c>
      <c r="H6872" s="7" t="n">
        <v>190801</v>
      </c>
      <c r="I6872" s="7" t="n">
        <v>190801</v>
      </c>
      <c r="K6872" s="94" t="n">
        <v>12</v>
      </c>
      <c r="L6872" s="94" t="n">
        <v>190801</v>
      </c>
      <c r="M6872" s="94">
        <f>VLOOKUP($Q6872,매칭테이블!$F:$I,2,0)*K6872</f>
        <v/>
      </c>
      <c r="N6872" s="94">
        <f>M6872-M6872*VLOOKUP($Q6872,매칭테이블!$F:$I,3,0)</f>
        <v/>
      </c>
      <c r="O6872" s="94">
        <f>VLOOKUP($Q6872,매칭테이블!$F:$I,4,0)*K6872</f>
        <v/>
      </c>
      <c r="P6872" s="148">
        <f>M6872/1.1</f>
        <v/>
      </c>
      <c r="Q6872" s="94">
        <f>F6872&amp;E6872&amp;G6872&amp;L6872</f>
        <v/>
      </c>
    </row>
    <row r="6873" customFormat="1" s="94">
      <c r="B6873" s="128" t="n">
        <v>43996</v>
      </c>
      <c r="C6873" s="94">
        <f>TEXT(B6873,"aaa")</f>
        <v/>
      </c>
      <c r="E6873" s="94" t="inlineStr">
        <is>
          <t>수딩크림</t>
        </is>
      </c>
      <c r="F6873" s="94" t="inlineStr">
        <is>
          <t>카페24</t>
        </is>
      </c>
      <c r="G6873" s="94" t="inlineStr">
        <is>
          <t>수딩크림 100ml</t>
        </is>
      </c>
      <c r="H6873" s="7" t="n">
        <v>190801</v>
      </c>
      <c r="I6873" s="7" t="n">
        <v>190801</v>
      </c>
      <c r="K6873" s="94" t="n">
        <v>1</v>
      </c>
      <c r="L6873" s="94" t="n">
        <v>190801</v>
      </c>
      <c r="M6873" s="94">
        <f>VLOOKUP($Q6873,매칭테이블!$F:$I,2,0)*K6873</f>
        <v/>
      </c>
      <c r="N6873" s="94">
        <f>M6873-M6873*VLOOKUP($Q6873,매칭테이블!$F:$I,3,0)</f>
        <v/>
      </c>
      <c r="O6873" s="94">
        <f>VLOOKUP($Q6873,매칭테이블!$F:$I,4,0)*K6873</f>
        <v/>
      </c>
      <c r="P6873" s="148">
        <f>M6873/1.1</f>
        <v/>
      </c>
      <c r="Q6873" s="94">
        <f>F6873&amp;E6873&amp;G6873&amp;L6873</f>
        <v/>
      </c>
    </row>
    <row r="6874" customFormat="1" s="94">
      <c r="B6874" s="128" t="n">
        <v>43996</v>
      </c>
      <c r="C6874" s="94">
        <f>TEXT(B6874,"aaa")</f>
        <v/>
      </c>
      <c r="E6874" s="94" t="inlineStr">
        <is>
          <t>클렌징폼</t>
        </is>
      </c>
      <c r="F6874" s="94" t="inlineStr">
        <is>
          <t>카페24</t>
        </is>
      </c>
      <c r="G6874" s="94" t="inlineStr">
        <is>
          <t>클렌징폼 120ml</t>
        </is>
      </c>
      <c r="H6874" s="7" t="n">
        <v>190801</v>
      </c>
      <c r="I6874" s="7" t="n">
        <v>190801</v>
      </c>
      <c r="K6874" s="94" t="n">
        <v>4</v>
      </c>
      <c r="L6874" s="94" t="n">
        <v>190801</v>
      </c>
      <c r="M6874" s="94">
        <f>VLOOKUP($Q6874,매칭테이블!$F:$I,2,0)*K6874</f>
        <v/>
      </c>
      <c r="N6874" s="94">
        <f>M6874-M6874*VLOOKUP($Q6874,매칭테이블!$F:$I,3,0)</f>
        <v/>
      </c>
      <c r="O6874" s="94">
        <f>VLOOKUP($Q6874,매칭테이블!$F:$I,4,0)*K6874</f>
        <v/>
      </c>
      <c r="P6874" s="148">
        <f>M6874/1.1</f>
        <v/>
      </c>
      <c r="Q6874" s="94">
        <f>F6874&amp;E6874&amp;G6874&amp;L6874</f>
        <v/>
      </c>
    </row>
    <row r="6875" customFormat="1" s="94">
      <c r="B6875" s="128" t="n">
        <v>43996</v>
      </c>
      <c r="C6875" s="94">
        <f>TEXT(B6875,"aaa")</f>
        <v/>
      </c>
      <c r="E6875" s="94" t="inlineStr">
        <is>
          <t>클렌징폼</t>
        </is>
      </c>
      <c r="F6875" s="94" t="inlineStr">
        <is>
          <t>카페24</t>
        </is>
      </c>
      <c r="G6875" s="94" t="inlineStr">
        <is>
          <t>클렌징폼 120ml 2set</t>
        </is>
      </c>
      <c r="H6875" s="7" t="n">
        <v>190801</v>
      </c>
      <c r="I6875" s="7" t="n">
        <v>190801</v>
      </c>
      <c r="K6875" s="94" t="n">
        <v>1</v>
      </c>
      <c r="L6875" s="94" t="n">
        <v>190801</v>
      </c>
      <c r="M6875" s="94">
        <f>VLOOKUP($Q6875,매칭테이블!$F:$I,2,0)*K6875</f>
        <v/>
      </c>
      <c r="N6875" s="94">
        <f>M6875-M6875*VLOOKUP($Q6875,매칭테이블!$F:$I,3,0)</f>
        <v/>
      </c>
      <c r="O6875" s="94">
        <f>VLOOKUP($Q6875,매칭테이블!$F:$I,4,0)*K6875</f>
        <v/>
      </c>
      <c r="P6875" s="148">
        <f>M6875/1.1</f>
        <v/>
      </c>
      <c r="Q6875" s="94">
        <f>F6875&amp;E6875&amp;G6875&amp;L6875</f>
        <v/>
      </c>
    </row>
    <row r="6876" customFormat="1" s="94">
      <c r="B6876" s="128" t="n">
        <v>43996</v>
      </c>
      <c r="C6876" s="94">
        <f>TEXT(B6876,"aaa")</f>
        <v/>
      </c>
      <c r="E6876" s="94" t="inlineStr">
        <is>
          <t>클렌징폼</t>
        </is>
      </c>
      <c r="F6876" s="94" t="inlineStr">
        <is>
          <t>카페24</t>
        </is>
      </c>
      <c r="G6876" s="94" t="inlineStr">
        <is>
          <t>클렌징폼 120ml 3set</t>
        </is>
      </c>
      <c r="H6876" s="7" t="n">
        <v>190801</v>
      </c>
      <c r="I6876" s="7" t="n">
        <v>190801</v>
      </c>
      <c r="K6876" s="94" t="n">
        <v>1</v>
      </c>
      <c r="L6876" s="94" t="n">
        <v>190801</v>
      </c>
      <c r="M6876" s="94">
        <f>VLOOKUP($Q6876,매칭테이블!$F:$I,2,0)*K6876</f>
        <v/>
      </c>
      <c r="N6876" s="94">
        <f>M6876-M6876*VLOOKUP($Q6876,매칭테이블!$F:$I,3,0)</f>
        <v/>
      </c>
      <c r="O6876" s="94">
        <f>VLOOKUP($Q6876,매칭테이블!$F:$I,4,0)*K6876</f>
        <v/>
      </c>
      <c r="P6876" s="148">
        <f>M6876/1.1</f>
        <v/>
      </c>
      <c r="Q6876" s="94">
        <f>F6876&amp;E6876&amp;G6876&amp;L6876</f>
        <v/>
      </c>
    </row>
    <row r="6877" customFormat="1" s="94">
      <c r="B6877" s="128" t="n">
        <v>43996</v>
      </c>
      <c r="C6877" s="94">
        <f>TEXT(B6877,"aaa")</f>
        <v/>
      </c>
      <c r="E6877" s="94" t="inlineStr">
        <is>
          <t>토너</t>
        </is>
      </c>
      <c r="F6877" s="94" t="inlineStr">
        <is>
          <t>랄라블라</t>
        </is>
      </c>
      <c r="G6877" s="94" t="inlineStr">
        <is>
          <t>250ml</t>
        </is>
      </c>
      <c r="H6877" s="7" t="n">
        <v>190801</v>
      </c>
      <c r="I6877" s="7" t="n">
        <v>190801</v>
      </c>
      <c r="K6877" s="94" t="n">
        <v>47</v>
      </c>
      <c r="L6877" s="94" t="n">
        <v>190801</v>
      </c>
      <c r="M6877" s="94">
        <f>VLOOKUP($Q6877,매칭테이블!$F:$I,2,0)*K6877</f>
        <v/>
      </c>
      <c r="N6877" s="94">
        <f>M6877-M6877*VLOOKUP($Q6877,매칭테이블!$F:$I,3,0)</f>
        <v/>
      </c>
      <c r="O6877" s="94">
        <f>VLOOKUP($Q6877,매칭테이블!$F:$I,4,0)*K6877</f>
        <v/>
      </c>
      <c r="P6877" s="148">
        <f>M6877/1.1</f>
        <v/>
      </c>
      <c r="Q6877" s="94">
        <f>F6877&amp;E6877&amp;G6877&amp;L6877</f>
        <v/>
      </c>
    </row>
    <row r="6878" customFormat="1" s="94">
      <c r="B6878" s="128" t="n">
        <v>43996</v>
      </c>
      <c r="C6878" s="94">
        <f>TEXT(B6878,"aaa")</f>
        <v/>
      </c>
      <c r="E6878" s="94" t="inlineStr">
        <is>
          <t>토너</t>
        </is>
      </c>
      <c r="F6878" s="94" t="inlineStr">
        <is>
          <t>랄라블라</t>
        </is>
      </c>
      <c r="G6878" s="94" t="inlineStr">
        <is>
          <t>500ml</t>
        </is>
      </c>
      <c r="H6878" s="7" t="n">
        <v>190801</v>
      </c>
      <c r="I6878" s="7" t="n">
        <v>190801</v>
      </c>
      <c r="K6878" s="94" t="n">
        <v>43</v>
      </c>
      <c r="L6878" s="94" t="n">
        <v>190801</v>
      </c>
      <c r="M6878" s="94">
        <f>VLOOKUP($Q6878,매칭테이블!$F:$I,2,0)*K6878</f>
        <v/>
      </c>
      <c r="N6878" s="94">
        <f>M6878-M6878*VLOOKUP($Q6878,매칭테이블!$F:$I,3,0)</f>
        <v/>
      </c>
      <c r="O6878" s="94">
        <f>VLOOKUP($Q6878,매칭테이블!$F:$I,4,0)*K6878</f>
        <v/>
      </c>
      <c r="P6878" s="148">
        <f>M6878/1.1</f>
        <v/>
      </c>
      <c r="Q6878" s="94">
        <f>F6878&amp;E6878&amp;G6878&amp;L6878</f>
        <v/>
      </c>
    </row>
    <row r="6879" customFormat="1" s="94">
      <c r="B6879" s="128" t="n">
        <v>43996</v>
      </c>
      <c r="C6879" s="94">
        <f>TEXT(B6879,"aaa")</f>
        <v/>
      </c>
      <c r="E6879" s="94" t="inlineStr">
        <is>
          <t>마스크팩</t>
        </is>
      </c>
      <c r="F6879" s="94" t="inlineStr">
        <is>
          <t>랄라블라</t>
        </is>
      </c>
      <c r="G6879" s="94" t="inlineStr">
        <is>
          <t>마스크팩 1매</t>
        </is>
      </c>
      <c r="H6879" s="7" t="n">
        <v>190801</v>
      </c>
      <c r="I6879" s="7" t="n">
        <v>190801</v>
      </c>
      <c r="K6879" s="94" t="n">
        <v>680</v>
      </c>
      <c r="L6879" s="94" t="n">
        <v>190801</v>
      </c>
      <c r="M6879" s="94">
        <f>VLOOKUP($Q6879,매칭테이블!$F:$I,2,0)*K6879</f>
        <v/>
      </c>
      <c r="N6879" s="94">
        <f>M6879-M6879*VLOOKUP($Q6879,매칭테이블!$F:$I,3,0)</f>
        <v/>
      </c>
      <c r="O6879" s="94">
        <f>VLOOKUP($Q6879,매칭테이블!$F:$I,4,0)*K6879</f>
        <v/>
      </c>
      <c r="P6879" s="148">
        <f>M6879/1.1</f>
        <v/>
      </c>
      <c r="Q6879" s="94">
        <f>F6879&amp;E6879&amp;G6879&amp;L6879</f>
        <v/>
      </c>
    </row>
    <row r="6880" customFormat="1" s="94">
      <c r="B6880" s="128" t="n">
        <v>43996</v>
      </c>
      <c r="C6880" s="94">
        <f>TEXT(B6880,"aaa")</f>
        <v/>
      </c>
      <c r="E6880" s="94" t="inlineStr">
        <is>
          <t>수딩크림 증정기획</t>
        </is>
      </c>
      <c r="F6880" s="94" t="inlineStr">
        <is>
          <t>랄라블라</t>
        </is>
      </c>
      <c r="G6880" s="94" t="inlineStr">
        <is>
          <t>수딩크림 증정기획</t>
        </is>
      </c>
      <c r="H6880" s="7" t="n">
        <v>190801</v>
      </c>
      <c r="I6880" s="7" t="n">
        <v>190801</v>
      </c>
      <c r="K6880" s="94" t="n">
        <v>66</v>
      </c>
      <c r="L6880" s="94" t="n">
        <v>190801</v>
      </c>
      <c r="M6880" s="94">
        <f>VLOOKUP($Q6880,매칭테이블!$F:$I,2,0)*K6880</f>
        <v/>
      </c>
      <c r="N6880" s="94">
        <f>M6880-M6880*VLOOKUP($Q6880,매칭테이블!$F:$I,3,0)</f>
        <v/>
      </c>
      <c r="O6880" s="94">
        <f>VLOOKUP($Q6880,매칭테이블!$F:$I,4,0)*K6880</f>
        <v/>
      </c>
      <c r="P6880" s="148">
        <f>M6880/1.1</f>
        <v/>
      </c>
      <c r="Q6880" s="94">
        <f>F6880&amp;E6880&amp;G6880&amp;L6880</f>
        <v/>
      </c>
    </row>
    <row r="6881" customFormat="1" s="94">
      <c r="B6881" s="128" t="n">
        <v>43996</v>
      </c>
      <c r="C6881" s="94">
        <f>TEXT(B6881,"aaa")</f>
        <v/>
      </c>
      <c r="E6881" s="94" t="inlineStr">
        <is>
          <t>수딩크림</t>
        </is>
      </c>
      <c r="F6881" s="94" t="inlineStr">
        <is>
          <t>랄라블라</t>
        </is>
      </c>
      <c r="G6881" s="94" t="inlineStr">
        <is>
          <t>수딩크림 100ml</t>
        </is>
      </c>
      <c r="H6881" s="7" t="n">
        <v>190801</v>
      </c>
      <c r="I6881" s="7" t="n">
        <v>190801</v>
      </c>
      <c r="K6881" s="94" t="n">
        <v>6</v>
      </c>
      <c r="L6881" s="94" t="n">
        <v>190801</v>
      </c>
      <c r="M6881" s="94">
        <f>VLOOKUP($Q6881,매칭테이블!$F:$I,2,0)*K6881</f>
        <v/>
      </c>
      <c r="N6881" s="94">
        <f>M6881-M6881*VLOOKUP($Q6881,매칭테이블!$F:$I,3,0)</f>
        <v/>
      </c>
      <c r="O6881" s="94">
        <f>VLOOKUP($Q6881,매칭테이블!$F:$I,4,0)*K6881</f>
        <v/>
      </c>
      <c r="P6881" s="148">
        <f>M6881/1.1</f>
        <v/>
      </c>
      <c r="Q6881" s="94">
        <f>F6881&amp;E6881&amp;G6881&amp;L6881</f>
        <v/>
      </c>
    </row>
    <row r="6882" customFormat="1" s="94">
      <c r="B6882" s="128" t="n">
        <v>43996</v>
      </c>
      <c r="C6882" s="94">
        <f>TEXT(B6882,"aaa")</f>
        <v/>
      </c>
      <c r="E6882" s="94" t="inlineStr">
        <is>
          <t>앰플 기획세트</t>
        </is>
      </c>
      <c r="F6882" s="94" t="inlineStr">
        <is>
          <t>랄라블라</t>
        </is>
      </c>
      <c r="G6882" s="94" t="inlineStr">
        <is>
          <t>앰플 기획세트</t>
        </is>
      </c>
      <c r="H6882" s="7" t="n">
        <v>190801</v>
      </c>
      <c r="I6882" s="7" t="n">
        <v>190801</v>
      </c>
      <c r="K6882" s="94" t="n">
        <v>60</v>
      </c>
      <c r="L6882" s="94" t="n">
        <v>190801</v>
      </c>
      <c r="M6882" s="94">
        <f>VLOOKUP($Q6882,매칭테이블!$F:$I,2,0)*K6882</f>
        <v/>
      </c>
      <c r="N6882" s="94">
        <f>M6882-M6882*VLOOKUP($Q6882,매칭테이블!$F:$I,3,0)</f>
        <v/>
      </c>
      <c r="O6882" s="94">
        <f>VLOOKUP($Q6882,매칭테이블!$F:$I,4,0)*K6882</f>
        <v/>
      </c>
      <c r="P6882" s="148">
        <f>M6882/1.1</f>
        <v/>
      </c>
      <c r="Q6882" s="94">
        <f>F6882&amp;E6882&amp;G6882&amp;L6882</f>
        <v/>
      </c>
    </row>
    <row r="6883" customFormat="1" s="94">
      <c r="B6883" s="128" t="n">
        <v>43996</v>
      </c>
      <c r="C6883" s="94">
        <f>TEXT(B6883,"aaa")</f>
        <v/>
      </c>
      <c r="E6883" s="94" t="inlineStr">
        <is>
          <t>클렌징폼 기획세트</t>
        </is>
      </c>
      <c r="F6883" s="94" t="inlineStr">
        <is>
          <t>랄라블라</t>
        </is>
      </c>
      <c r="G6883" s="94" t="inlineStr">
        <is>
          <t>클렌징폼 기획세트</t>
        </is>
      </c>
      <c r="H6883" s="7" t="n">
        <v>190801</v>
      </c>
      <c r="I6883" s="7" t="n">
        <v>190801</v>
      </c>
      <c r="K6883" s="94" t="n">
        <v>47</v>
      </c>
      <c r="L6883" s="94" t="n">
        <v>190801</v>
      </c>
      <c r="M6883" s="94">
        <f>VLOOKUP($Q6883,매칭테이블!$F:$I,2,0)*K6883</f>
        <v/>
      </c>
      <c r="N6883" s="94">
        <f>M6883-M6883*VLOOKUP($Q6883,매칭테이블!$F:$I,3,0)</f>
        <v/>
      </c>
      <c r="O6883" s="94">
        <f>VLOOKUP($Q6883,매칭테이블!$F:$I,4,0)*K6883</f>
        <v/>
      </c>
      <c r="P6883" s="148">
        <f>M6883/1.1</f>
        <v/>
      </c>
      <c r="Q6883" s="94">
        <f>F6883&amp;E6883&amp;G6883&amp;L6883</f>
        <v/>
      </c>
    </row>
    <row r="6884" customFormat="1" s="94">
      <c r="B6884" s="128" t="n">
        <v>43996</v>
      </c>
      <c r="C6884" s="94">
        <f>TEXT(B6884,"aaa")</f>
        <v/>
      </c>
      <c r="E6884" s="94" t="inlineStr">
        <is>
          <t>클렌징폼</t>
        </is>
      </c>
      <c r="F6884" s="94" t="inlineStr">
        <is>
          <t>랄라블라</t>
        </is>
      </c>
      <c r="G6884" s="94" t="inlineStr">
        <is>
          <t>클렌징폼 120ml</t>
        </is>
      </c>
      <c r="H6884" s="7" t="n">
        <v>190801</v>
      </c>
      <c r="I6884" s="7" t="n">
        <v>190801</v>
      </c>
      <c r="K6884" s="94" t="n">
        <v>7</v>
      </c>
      <c r="L6884" s="94" t="n">
        <v>190801</v>
      </c>
      <c r="M6884" s="94">
        <f>VLOOKUP($Q6884,매칭테이블!$F:$I,2,0)*K6884</f>
        <v/>
      </c>
      <c r="N6884" s="94">
        <f>M6884-M6884*VLOOKUP($Q6884,매칭테이블!$F:$I,3,0)</f>
        <v/>
      </c>
      <c r="O6884" s="94">
        <f>VLOOKUP($Q6884,매칭테이블!$F:$I,4,0)*K6884</f>
        <v/>
      </c>
      <c r="P6884" s="148">
        <f>M6884/1.1</f>
        <v/>
      </c>
      <c r="Q6884" s="94">
        <f>F6884&amp;E6884&amp;G6884&amp;L6884</f>
        <v/>
      </c>
    </row>
    <row r="6885" customFormat="1" s="94">
      <c r="B6885" s="128" t="n">
        <v>43996</v>
      </c>
      <c r="C6885" s="94">
        <f>TEXT(B6885,"aaa")</f>
        <v/>
      </c>
      <c r="E6885" s="94" t="inlineStr">
        <is>
          <t>토너 증정기획</t>
        </is>
      </c>
      <c r="F6885" s="94" t="inlineStr">
        <is>
          <t>랄라블라</t>
        </is>
      </c>
      <c r="G6885" s="94" t="inlineStr">
        <is>
          <t>토너 증정기획</t>
        </is>
      </c>
      <c r="H6885" s="7" t="n">
        <v>190801</v>
      </c>
      <c r="I6885" s="7" t="n">
        <v>190801</v>
      </c>
      <c r="K6885" s="94" t="n">
        <v>59</v>
      </c>
      <c r="L6885" s="94" t="n">
        <v>190801</v>
      </c>
      <c r="M6885" s="94">
        <f>VLOOKUP($Q6885,매칭테이블!$F:$I,2,0)*K6885</f>
        <v/>
      </c>
      <c r="N6885" s="94">
        <f>M6885-M6885*VLOOKUP($Q6885,매칭테이블!$F:$I,3,0)</f>
        <v/>
      </c>
      <c r="O6885" s="94">
        <f>VLOOKUP($Q6885,매칭테이블!$F:$I,4,0)*K6885</f>
        <v/>
      </c>
      <c r="P6885" s="148">
        <f>M6885/1.1</f>
        <v/>
      </c>
      <c r="Q6885" s="94">
        <f>F6885&amp;E6885&amp;G6885&amp;L6885</f>
        <v/>
      </c>
    </row>
    <row r="6886" customFormat="1" s="94">
      <c r="B6886" s="128" t="n">
        <v>43996</v>
      </c>
      <c r="C6886" s="94">
        <f>TEXT(B6886,"aaa")</f>
        <v/>
      </c>
      <c r="E6886" s="94" t="inlineStr">
        <is>
          <t>선크림</t>
        </is>
      </c>
      <c r="F6886" s="94" t="inlineStr">
        <is>
          <t>랄라블라</t>
        </is>
      </c>
      <c r="G6886" s="94" t="inlineStr">
        <is>
          <t>선크림 50ml</t>
        </is>
      </c>
      <c r="H6886" s="7" t="n">
        <v>190801</v>
      </c>
      <c r="I6886" s="7" t="n">
        <v>190801</v>
      </c>
      <c r="K6886" s="94" t="n">
        <v>42</v>
      </c>
      <c r="L6886" s="94" t="n">
        <v>190801</v>
      </c>
      <c r="M6886" s="94">
        <f>VLOOKUP($Q6886,매칭테이블!$F:$I,2,0)*K6886</f>
        <v/>
      </c>
      <c r="N6886" s="94">
        <f>M6886-M6886*VLOOKUP($Q6886,매칭테이블!$F:$I,3,0)</f>
        <v/>
      </c>
      <c r="O6886" s="94">
        <f>VLOOKUP($Q6886,매칭테이블!$F:$I,4,0)*K6886</f>
        <v/>
      </c>
      <c r="P6886" s="148">
        <f>M6886/1.1</f>
        <v/>
      </c>
      <c r="Q6886" s="94">
        <f>F6886&amp;E6886&amp;G6886&amp;L6886</f>
        <v/>
      </c>
    </row>
    <row r="6887" customFormat="1" s="94">
      <c r="B6887" s="128" t="n">
        <v>43996</v>
      </c>
      <c r="C6887" s="94">
        <f>TEXT(B6887,"aaa")</f>
        <v/>
      </c>
      <c r="E6887" s="94" t="inlineStr">
        <is>
          <t>대용량 기획세트</t>
        </is>
      </c>
      <c r="F6887" s="94" t="inlineStr">
        <is>
          <t>랄라블라</t>
        </is>
      </c>
      <c r="G6887" s="94" t="inlineStr">
        <is>
          <t>대용량 기획세트</t>
        </is>
      </c>
      <c r="H6887" s="7" t="n">
        <v>190801</v>
      </c>
      <c r="I6887" s="7" t="n">
        <v>190801</v>
      </c>
      <c r="K6887" s="94" t="n">
        <v>771</v>
      </c>
      <c r="L6887" s="94" t="n">
        <v>190801</v>
      </c>
      <c r="M6887" s="94">
        <f>VLOOKUP($Q6887,매칭테이블!$F:$I,2,0)*K6887</f>
        <v/>
      </c>
      <c r="N6887" s="94">
        <f>M6887-M6887*VLOOKUP($Q6887,매칭테이블!$F:$I,3,0)</f>
        <v/>
      </c>
      <c r="O6887" s="94">
        <f>VLOOKUP($Q6887,매칭테이블!$F:$I,4,0)*K6887</f>
        <v/>
      </c>
      <c r="P6887" s="148">
        <f>M6887/1.1</f>
        <v/>
      </c>
      <c r="Q6887" s="94">
        <f>F6887&amp;E6887&amp;G6887&amp;L6887</f>
        <v/>
      </c>
    </row>
    <row r="6888" customFormat="1" s="94">
      <c r="B6888" s="128" t="n">
        <v>43997</v>
      </c>
      <c r="C6888" s="94">
        <f>TEXT(B6888,"aaa")</f>
        <v/>
      </c>
      <c r="E6888" s="94" t="inlineStr">
        <is>
          <t>토너</t>
        </is>
      </c>
      <c r="F6888" s="94" t="inlineStr">
        <is>
          <t>W컨셉</t>
        </is>
      </c>
      <c r="G6888" s="94" t="inlineStr">
        <is>
          <t>250ml</t>
        </is>
      </c>
      <c r="H6888" s="7" t="n">
        <v>190801</v>
      </c>
      <c r="I6888" s="7" t="n">
        <v>190801</v>
      </c>
      <c r="K6888" s="94" t="n">
        <v>2</v>
      </c>
      <c r="L6888" s="94" t="n">
        <v>190801</v>
      </c>
      <c r="M6888" s="94">
        <f>VLOOKUP($Q6888,매칭테이블!$F:$I,2,0)*K6888</f>
        <v/>
      </c>
      <c r="N6888" s="94">
        <f>M6888-M6888*VLOOKUP($Q6888,매칭테이블!$F:$I,3,0)</f>
        <v/>
      </c>
      <c r="O6888" s="94">
        <f>VLOOKUP($Q6888,매칭테이블!$F:$I,4,0)*K6888</f>
        <v/>
      </c>
      <c r="P6888" s="148">
        <f>M6888/1.1</f>
        <v/>
      </c>
      <c r="Q6888" s="94">
        <f>F6888&amp;E6888&amp;G6888&amp;L6888</f>
        <v/>
      </c>
    </row>
    <row r="6889" customFormat="1" s="94">
      <c r="B6889" s="128" t="n">
        <v>43997</v>
      </c>
      <c r="C6889" s="94">
        <f>TEXT(B6889,"aaa")</f>
        <v/>
      </c>
      <c r="E6889" s="94" t="inlineStr">
        <is>
          <t>토너</t>
        </is>
      </c>
      <c r="F6889" s="94" t="inlineStr">
        <is>
          <t>W컨셉</t>
        </is>
      </c>
      <c r="G6889" s="94" t="inlineStr">
        <is>
          <t>250ml 2set</t>
        </is>
      </c>
      <c r="H6889" s="7" t="n">
        <v>190801</v>
      </c>
      <c r="I6889" s="7" t="n">
        <v>190801</v>
      </c>
      <c r="K6889" s="94" t="n">
        <v>5</v>
      </c>
      <c r="L6889" s="94" t="n">
        <v>190801</v>
      </c>
      <c r="M6889" s="94">
        <f>VLOOKUP($Q6889,매칭테이블!$F:$I,2,0)*K6889</f>
        <v/>
      </c>
      <c r="N6889" s="94">
        <f>M6889-M6889*VLOOKUP($Q6889,매칭테이블!$F:$I,3,0)</f>
        <v/>
      </c>
      <c r="O6889" s="94">
        <f>VLOOKUP($Q6889,매칭테이블!$F:$I,4,0)*K6889</f>
        <v/>
      </c>
      <c r="P6889" s="148">
        <f>M6889/1.1</f>
        <v/>
      </c>
      <c r="Q6889" s="94">
        <f>F6889&amp;E6889&amp;G6889&amp;L6889</f>
        <v/>
      </c>
    </row>
    <row r="6890" customFormat="1" s="94">
      <c r="B6890" s="128" t="n">
        <v>43997</v>
      </c>
      <c r="C6890" s="94">
        <f>TEXT(B6890,"aaa")</f>
        <v/>
      </c>
      <c r="E6890" s="94" t="inlineStr">
        <is>
          <t>토너</t>
        </is>
      </c>
      <c r="F6890" s="94" t="inlineStr">
        <is>
          <t>스타일쉐어</t>
        </is>
      </c>
      <c r="G6890" s="94" t="inlineStr">
        <is>
          <t>250ml</t>
        </is>
      </c>
      <c r="H6890" s="7" t="n">
        <v>190801</v>
      </c>
      <c r="I6890" s="7" t="n">
        <v>190801</v>
      </c>
      <c r="K6890" s="94" t="n">
        <v>3</v>
      </c>
      <c r="L6890" s="94" t="n">
        <v>190801</v>
      </c>
      <c r="M6890" s="94">
        <f>VLOOKUP($Q6890,매칭테이블!$F:$I,2,0)*K6890</f>
        <v/>
      </c>
      <c r="N6890" s="94">
        <f>M6890-M6890*VLOOKUP($Q6890,매칭테이블!$F:$I,3,0)</f>
        <v/>
      </c>
      <c r="O6890" s="94">
        <f>VLOOKUP($Q6890,매칭테이블!$F:$I,4,0)*K6890</f>
        <v/>
      </c>
      <c r="P6890" s="148">
        <f>M6890/1.1</f>
        <v/>
      </c>
      <c r="Q6890" s="94">
        <f>F6890&amp;E6890&amp;G6890&amp;L6890</f>
        <v/>
      </c>
    </row>
    <row r="6891" customFormat="1" s="94">
      <c r="B6891" s="128" t="n">
        <v>43997</v>
      </c>
      <c r="C6891" s="94">
        <f>TEXT(B6891,"aaa")</f>
        <v/>
      </c>
      <c r="E6891" s="94" t="inlineStr">
        <is>
          <t>선크림</t>
        </is>
      </c>
      <c r="F6891" s="94" t="inlineStr">
        <is>
          <t>카페24</t>
        </is>
      </c>
      <c r="G6891" s="94" t="inlineStr">
        <is>
          <t>선크림 50ml</t>
        </is>
      </c>
      <c r="H6891" s="7" t="n">
        <v>190801</v>
      </c>
      <c r="I6891" s="7" t="n">
        <v>190801</v>
      </c>
      <c r="K6891" s="94" t="n">
        <v>11</v>
      </c>
      <c r="L6891" s="94" t="n">
        <v>190801</v>
      </c>
      <c r="M6891" s="94">
        <f>VLOOKUP($Q6891,매칭테이블!$F:$I,2,0)*K6891</f>
        <v/>
      </c>
      <c r="N6891" s="94">
        <f>M6891-M6891*VLOOKUP($Q6891,매칭테이블!$F:$I,3,0)</f>
        <v/>
      </c>
      <c r="O6891" s="94">
        <f>VLOOKUP($Q6891,매칭테이블!$F:$I,4,0)*K6891</f>
        <v/>
      </c>
      <c r="P6891" s="148">
        <f>M6891/1.1</f>
        <v/>
      </c>
      <c r="Q6891" s="94">
        <f>F6891&amp;E6891&amp;G6891&amp;L6891</f>
        <v/>
      </c>
    </row>
    <row r="6892" customFormat="1" s="94">
      <c r="B6892" s="128" t="n">
        <v>43997</v>
      </c>
      <c r="C6892" s="94">
        <f>TEXT(B6892,"aaa")</f>
        <v/>
      </c>
      <c r="E6892" s="94" t="inlineStr">
        <is>
          <t>클렌징폼</t>
        </is>
      </c>
      <c r="F6892" s="94" t="inlineStr">
        <is>
          <t>카페24</t>
        </is>
      </c>
      <c r="G6892" s="94" t="inlineStr">
        <is>
          <t>클렌징폼 120ml(선크림할인)</t>
        </is>
      </c>
      <c r="H6892" s="7" t="n">
        <v>190801</v>
      </c>
      <c r="I6892" s="7" t="n">
        <v>190801</v>
      </c>
      <c r="K6892" s="94" t="n">
        <v>3</v>
      </c>
      <c r="L6892" s="94" t="n">
        <v>190801</v>
      </c>
      <c r="M6892" s="94">
        <f>VLOOKUP($Q6892,매칭테이블!$F:$I,2,0)*K6892</f>
        <v/>
      </c>
      <c r="N6892" s="94">
        <f>M6892-M6892*VLOOKUP($Q6892,매칭테이블!$F:$I,3,0)</f>
        <v/>
      </c>
      <c r="O6892" s="94">
        <f>VLOOKUP($Q6892,매칭테이블!$F:$I,4,0)*K6892</f>
        <v/>
      </c>
      <c r="P6892" s="148">
        <f>M6892/1.1</f>
        <v/>
      </c>
      <c r="Q6892" s="94">
        <f>F6892&amp;E6892&amp;G6892&amp;L6892</f>
        <v/>
      </c>
    </row>
    <row r="6893" customFormat="1" s="94">
      <c r="B6893" s="128" t="n">
        <v>43997</v>
      </c>
      <c r="C6893" s="94">
        <f>TEXT(B6893,"aaa")</f>
        <v/>
      </c>
      <c r="E6893" s="94" t="inlineStr">
        <is>
          <t>어성초진정패키지</t>
        </is>
      </c>
      <c r="F6893" s="94" t="inlineStr">
        <is>
          <t>카페24</t>
        </is>
      </c>
      <c r="G6893" s="94" t="inlineStr">
        <is>
          <t>어성초 진정패키지세트</t>
        </is>
      </c>
      <c r="H6893" s="7" t="n">
        <v>190801</v>
      </c>
      <c r="I6893" s="7" t="n">
        <v>190801</v>
      </c>
      <c r="K6893" s="94" t="n">
        <v>4</v>
      </c>
      <c r="L6893" s="94" t="n">
        <v>190801</v>
      </c>
      <c r="M6893" s="94">
        <f>VLOOKUP($Q6893,매칭테이블!$F:$I,2,0)*K6893</f>
        <v/>
      </c>
      <c r="N6893" s="94">
        <f>M6893-M6893*VLOOKUP($Q6893,매칭테이블!$F:$I,3,0)</f>
        <v/>
      </c>
      <c r="O6893" s="94">
        <f>VLOOKUP($Q6893,매칭테이블!$F:$I,4,0)*K6893</f>
        <v/>
      </c>
      <c r="P6893" s="148">
        <f>M6893/1.1</f>
        <v/>
      </c>
      <c r="Q6893" s="94">
        <f>F6893&amp;E6893&amp;G6893&amp;L6893</f>
        <v/>
      </c>
    </row>
    <row r="6894" customFormat="1" s="94">
      <c r="B6894" s="128" t="n">
        <v>43997</v>
      </c>
      <c r="C6894" s="94">
        <f>TEXT(B6894,"aaa")</f>
        <v/>
      </c>
      <c r="E6894" s="94" t="inlineStr">
        <is>
          <t>머드크림마스크</t>
        </is>
      </c>
      <c r="F6894" s="94" t="inlineStr">
        <is>
          <t>카페24</t>
        </is>
      </c>
      <c r="G6894" s="94" t="inlineStr">
        <is>
          <t>머드크림마스크 100ml</t>
        </is>
      </c>
      <c r="H6894" s="7" t="n">
        <v>190801</v>
      </c>
      <c r="I6894" s="7" t="n">
        <v>190801</v>
      </c>
      <c r="K6894" s="94" t="n">
        <v>2</v>
      </c>
      <c r="L6894" s="94" t="n">
        <v>190801</v>
      </c>
      <c r="M6894" s="94">
        <f>VLOOKUP($Q6894,매칭테이블!$F:$I,2,0)*K6894</f>
        <v/>
      </c>
      <c r="N6894" s="94">
        <f>M6894-M6894*VLOOKUP($Q6894,매칭테이블!$F:$I,3,0)</f>
        <v/>
      </c>
      <c r="O6894" s="94">
        <f>VLOOKUP($Q6894,매칭테이블!$F:$I,4,0)*K6894</f>
        <v/>
      </c>
      <c r="P6894" s="148">
        <f>M6894/1.1</f>
        <v/>
      </c>
      <c r="Q6894" s="94">
        <f>F6894&amp;E6894&amp;G6894&amp;L6894</f>
        <v/>
      </c>
    </row>
    <row r="6895" customFormat="1" s="94">
      <c r="B6895" s="128" t="n">
        <v>43997</v>
      </c>
      <c r="C6895" s="94">
        <f>TEXT(B6895,"aaa")</f>
        <v/>
      </c>
      <c r="E6895" s="94" t="inlineStr">
        <is>
          <t>머드크림마스크</t>
        </is>
      </c>
      <c r="F6895" s="94" t="inlineStr">
        <is>
          <t>카페24</t>
        </is>
      </c>
      <c r="G6895" s="94" t="inlineStr">
        <is>
          <t>머드크림마스크 100ml 2set</t>
        </is>
      </c>
      <c r="H6895" s="7" t="n">
        <v>190801</v>
      </c>
      <c r="I6895" s="7" t="n">
        <v>190801</v>
      </c>
      <c r="K6895" s="94" t="n">
        <v>2</v>
      </c>
      <c r="L6895" s="94" t="n">
        <v>190801</v>
      </c>
      <c r="M6895" s="94">
        <f>VLOOKUP($Q6895,매칭테이블!$F:$I,2,0)*K6895</f>
        <v/>
      </c>
      <c r="N6895" s="94">
        <f>M6895-M6895*VLOOKUP($Q6895,매칭테이블!$F:$I,3,0)</f>
        <v/>
      </c>
      <c r="O6895" s="94">
        <f>VLOOKUP($Q6895,매칭테이블!$F:$I,4,0)*K6895</f>
        <v/>
      </c>
      <c r="P6895" s="148">
        <f>M6895/1.1</f>
        <v/>
      </c>
      <c r="Q6895" s="94">
        <f>F6895&amp;E6895&amp;G6895&amp;L6895</f>
        <v/>
      </c>
    </row>
    <row r="6896" customFormat="1" s="94">
      <c r="B6896" s="128" t="n">
        <v>43997</v>
      </c>
      <c r="C6896" s="94">
        <f>TEXT(B6896,"aaa")</f>
        <v/>
      </c>
      <c r="E6896" s="94" t="inlineStr">
        <is>
          <t>마스크팩</t>
        </is>
      </c>
      <c r="F6896" s="94" t="inlineStr">
        <is>
          <t>카페24</t>
        </is>
      </c>
      <c r="G6896" s="94" t="inlineStr">
        <is>
          <t>마스크팩 1매</t>
        </is>
      </c>
      <c r="H6896" s="7" t="n">
        <v>190801</v>
      </c>
      <c r="I6896" s="7" t="n">
        <v>190801</v>
      </c>
      <c r="K6896" s="94" t="n">
        <v>2</v>
      </c>
      <c r="L6896" s="94" t="n">
        <v>190801</v>
      </c>
      <c r="M6896" s="94">
        <f>VLOOKUP($Q6896,매칭테이블!$F:$I,2,0)*K6896</f>
        <v/>
      </c>
      <c r="N6896" s="94">
        <f>M6896-M6896*VLOOKUP($Q6896,매칭테이블!$F:$I,3,0)</f>
        <v/>
      </c>
      <c r="O6896" s="94">
        <f>VLOOKUP($Q6896,매칭테이블!$F:$I,4,0)*K6896</f>
        <v/>
      </c>
      <c r="P6896" s="148">
        <f>M6896/1.1</f>
        <v/>
      </c>
      <c r="Q6896" s="94">
        <f>F6896&amp;E6896&amp;G6896&amp;L6896</f>
        <v/>
      </c>
    </row>
    <row r="6897" customFormat="1" s="94">
      <c r="B6897" s="128" t="n">
        <v>43997</v>
      </c>
      <c r="C6897" s="94">
        <f>TEXT(B6897,"aaa")</f>
        <v/>
      </c>
      <c r="E6897" s="94" t="inlineStr">
        <is>
          <t>마스크팩</t>
        </is>
      </c>
      <c r="F6897" s="94" t="inlineStr">
        <is>
          <t>카페24</t>
        </is>
      </c>
      <c r="G6897" s="94" t="inlineStr">
        <is>
          <t>마스크팩 10매</t>
        </is>
      </c>
      <c r="H6897" s="7" t="n">
        <v>190801</v>
      </c>
      <c r="I6897" s="7" t="n">
        <v>190801</v>
      </c>
      <c r="K6897" s="94" t="n">
        <v>8</v>
      </c>
      <c r="L6897" s="94" t="n">
        <v>190801</v>
      </c>
      <c r="M6897" s="94">
        <f>VLOOKUP($Q6897,매칭테이블!$F:$I,2,0)*K6897</f>
        <v/>
      </c>
      <c r="N6897" s="94">
        <f>M6897-M6897*VLOOKUP($Q6897,매칭테이블!$F:$I,3,0)</f>
        <v/>
      </c>
      <c r="O6897" s="94">
        <f>VLOOKUP($Q6897,매칭테이블!$F:$I,4,0)*K6897</f>
        <v/>
      </c>
      <c r="P6897" s="148">
        <f>M6897/1.1</f>
        <v/>
      </c>
      <c r="Q6897" s="94">
        <f>F6897&amp;E6897&amp;G6897&amp;L6897</f>
        <v/>
      </c>
    </row>
    <row r="6898" customFormat="1" s="94">
      <c r="B6898" s="128" t="n">
        <v>43997</v>
      </c>
      <c r="C6898" s="94">
        <f>TEXT(B6898,"aaa")</f>
        <v/>
      </c>
      <c r="E6898" s="94" t="inlineStr">
        <is>
          <t>토너</t>
        </is>
      </c>
      <c r="F6898" s="94" t="inlineStr">
        <is>
          <t>카페24</t>
        </is>
      </c>
      <c r="G6898" s="94" t="inlineStr">
        <is>
          <t>250ml</t>
        </is>
      </c>
      <c r="H6898" s="7" t="n">
        <v>190801</v>
      </c>
      <c r="I6898" s="7" t="n">
        <v>190801</v>
      </c>
      <c r="K6898" s="94" t="n">
        <v>59</v>
      </c>
      <c r="L6898" s="94" t="n">
        <v>190801</v>
      </c>
      <c r="M6898" s="94">
        <f>VLOOKUP($Q6898,매칭테이블!$F:$I,2,0)*K6898</f>
        <v/>
      </c>
      <c r="N6898" s="94">
        <f>M6898-M6898*VLOOKUP($Q6898,매칭테이블!$F:$I,3,0)</f>
        <v/>
      </c>
      <c r="O6898" s="94">
        <f>VLOOKUP($Q6898,매칭테이블!$F:$I,4,0)*K6898</f>
        <v/>
      </c>
      <c r="P6898" s="148">
        <f>M6898/1.1</f>
        <v/>
      </c>
      <c r="Q6898" s="94">
        <f>F6898&amp;E6898&amp;G6898&amp;L6898</f>
        <v/>
      </c>
    </row>
    <row r="6899" customFormat="1" s="94">
      <c r="B6899" s="128" t="n">
        <v>43997</v>
      </c>
      <c r="C6899" s="94">
        <f>TEXT(B6899,"aaa")</f>
        <v/>
      </c>
      <c r="E6899" s="94" t="inlineStr">
        <is>
          <t>토너</t>
        </is>
      </c>
      <c r="F6899" s="94" t="inlineStr">
        <is>
          <t>카페24</t>
        </is>
      </c>
      <c r="G6899" s="94" t="inlineStr">
        <is>
          <t>250ml 2set</t>
        </is>
      </c>
      <c r="H6899" s="7" t="n">
        <v>190801</v>
      </c>
      <c r="I6899" s="7" t="n">
        <v>190801</v>
      </c>
      <c r="K6899" s="94" t="n">
        <v>50</v>
      </c>
      <c r="L6899" s="94" t="n">
        <v>190801</v>
      </c>
      <c r="M6899" s="94">
        <f>VLOOKUP($Q6899,매칭테이블!$F:$I,2,0)*K6899</f>
        <v/>
      </c>
      <c r="N6899" s="94">
        <f>M6899-M6899*VLOOKUP($Q6899,매칭테이블!$F:$I,3,0)</f>
        <v/>
      </c>
      <c r="O6899" s="94">
        <f>VLOOKUP($Q6899,매칭테이블!$F:$I,4,0)*K6899</f>
        <v/>
      </c>
      <c r="P6899" s="148">
        <f>M6899/1.1</f>
        <v/>
      </c>
      <c r="Q6899" s="94">
        <f>F6899&amp;E6899&amp;G6899&amp;L6899</f>
        <v/>
      </c>
    </row>
    <row r="6900" customFormat="1" s="94">
      <c r="B6900" s="128" t="n">
        <v>43997</v>
      </c>
      <c r="C6900" s="94">
        <f>TEXT(B6900,"aaa")</f>
        <v/>
      </c>
      <c r="E6900" s="94" t="inlineStr">
        <is>
          <t>토너</t>
        </is>
      </c>
      <c r="F6900" s="94" t="inlineStr">
        <is>
          <t>카페24</t>
        </is>
      </c>
      <c r="G6900" s="94" t="inlineStr">
        <is>
          <t>500ml</t>
        </is>
      </c>
      <c r="H6900" s="7" t="n">
        <v>190801</v>
      </c>
      <c r="I6900" s="7" t="n">
        <v>190801</v>
      </c>
      <c r="K6900" s="94" t="n">
        <v>55</v>
      </c>
      <c r="L6900" s="94" t="n">
        <v>190801</v>
      </c>
      <c r="M6900" s="94">
        <f>VLOOKUP($Q6900,매칭테이블!$F:$I,2,0)*K6900</f>
        <v/>
      </c>
      <c r="N6900" s="94">
        <f>M6900-M6900*VLOOKUP($Q6900,매칭테이블!$F:$I,3,0)</f>
        <v/>
      </c>
      <c r="O6900" s="94">
        <f>VLOOKUP($Q6900,매칭테이블!$F:$I,4,0)*K6900</f>
        <v/>
      </c>
      <c r="P6900" s="148">
        <f>M6900/1.1</f>
        <v/>
      </c>
      <c r="Q6900" s="94">
        <f>F6900&amp;E6900&amp;G6900&amp;L6900</f>
        <v/>
      </c>
    </row>
    <row r="6901" customFormat="1" s="94">
      <c r="B6901" s="128" t="n">
        <v>43997</v>
      </c>
      <c r="C6901" s="94">
        <f>TEXT(B6901,"aaa")</f>
        <v/>
      </c>
      <c r="E6901" s="94" t="inlineStr">
        <is>
          <t>토너</t>
        </is>
      </c>
      <c r="F6901" s="94" t="inlineStr">
        <is>
          <t>카페24</t>
        </is>
      </c>
      <c r="G6901" s="94" t="inlineStr">
        <is>
          <t>스킨팩 화장솜 60P</t>
        </is>
      </c>
      <c r="H6901" s="7" t="n">
        <v>190801</v>
      </c>
      <c r="I6901" s="7" t="n">
        <v>190801</v>
      </c>
      <c r="K6901" s="94" t="n">
        <v>51</v>
      </c>
      <c r="L6901" s="94" t="n">
        <v>190801</v>
      </c>
      <c r="M6901" s="94">
        <f>VLOOKUP($Q6901,매칭테이블!$F:$I,2,0)*K6901</f>
        <v/>
      </c>
      <c r="N6901" s="94">
        <f>M6901-M6901*VLOOKUP($Q6901,매칭테이블!$F:$I,3,0)</f>
        <v/>
      </c>
      <c r="O6901" s="94">
        <f>VLOOKUP($Q6901,매칭테이블!$F:$I,4,0)*K6901</f>
        <v/>
      </c>
      <c r="P6901" s="148">
        <f>M6901/1.1</f>
        <v/>
      </c>
      <c r="Q6901" s="94">
        <f>F6901&amp;E6901&amp;G6901&amp;L6901</f>
        <v/>
      </c>
    </row>
    <row r="6902" customFormat="1" s="94">
      <c r="B6902" s="128" t="n">
        <v>43997</v>
      </c>
      <c r="C6902" s="94">
        <f>TEXT(B6902,"aaa")</f>
        <v/>
      </c>
      <c r="E6902" s="94" t="inlineStr">
        <is>
          <t>앰플</t>
        </is>
      </c>
      <c r="F6902" s="94" t="inlineStr">
        <is>
          <t>카페24</t>
        </is>
      </c>
      <c r="G6902" s="94" t="inlineStr">
        <is>
          <t>앰플 30ml</t>
        </is>
      </c>
      <c r="H6902" s="7" t="n">
        <v>190801</v>
      </c>
      <c r="I6902" s="7" t="n">
        <v>190801</v>
      </c>
      <c r="K6902" s="94" t="n">
        <v>17</v>
      </c>
      <c r="L6902" s="94" t="n">
        <v>190801</v>
      </c>
      <c r="M6902" s="94">
        <f>VLOOKUP($Q6902,매칭테이블!$F:$I,2,0)*K6902</f>
        <v/>
      </c>
      <c r="N6902" s="94">
        <f>M6902-M6902*VLOOKUP($Q6902,매칭테이블!$F:$I,3,0)</f>
        <v/>
      </c>
      <c r="O6902" s="94">
        <f>VLOOKUP($Q6902,매칭테이블!$F:$I,4,0)*K6902</f>
        <v/>
      </c>
      <c r="P6902" s="148">
        <f>M6902/1.1</f>
        <v/>
      </c>
      <c r="Q6902" s="94">
        <f>F6902&amp;E6902&amp;G6902&amp;L6902</f>
        <v/>
      </c>
    </row>
    <row r="6903" customFormat="1" s="94">
      <c r="B6903" s="128" t="n">
        <v>43997</v>
      </c>
      <c r="C6903" s="94">
        <f>TEXT(B6903,"aaa")</f>
        <v/>
      </c>
      <c r="E6903" s="94" t="inlineStr">
        <is>
          <t>수딩크림</t>
        </is>
      </c>
      <c r="F6903" s="94" t="inlineStr">
        <is>
          <t>카페24</t>
        </is>
      </c>
      <c r="G6903" s="94" t="inlineStr">
        <is>
          <t>수딩크림 100ml</t>
        </is>
      </c>
      <c r="H6903" s="7" t="n">
        <v>190801</v>
      </c>
      <c r="I6903" s="7" t="n">
        <v>190801</v>
      </c>
      <c r="K6903" s="94" t="n">
        <v>5</v>
      </c>
      <c r="L6903" s="94" t="n">
        <v>190801</v>
      </c>
      <c r="M6903" s="94">
        <f>VLOOKUP($Q6903,매칭테이블!$F:$I,2,0)*K6903</f>
        <v/>
      </c>
      <c r="N6903" s="94">
        <f>M6903-M6903*VLOOKUP($Q6903,매칭테이블!$F:$I,3,0)</f>
        <v/>
      </c>
      <c r="O6903" s="94">
        <f>VLOOKUP($Q6903,매칭테이블!$F:$I,4,0)*K6903</f>
        <v/>
      </c>
      <c r="P6903" s="148">
        <f>M6903/1.1</f>
        <v/>
      </c>
      <c r="Q6903" s="94">
        <f>F6903&amp;E6903&amp;G6903&amp;L6903</f>
        <v/>
      </c>
    </row>
    <row r="6904" customFormat="1" s="94">
      <c r="B6904" s="128" t="n">
        <v>43997</v>
      </c>
      <c r="C6904" s="94">
        <f>TEXT(B6904,"aaa")</f>
        <v/>
      </c>
      <c r="E6904" s="94" t="inlineStr">
        <is>
          <t>클렌징폼</t>
        </is>
      </c>
      <c r="F6904" s="94" t="inlineStr">
        <is>
          <t>카페24</t>
        </is>
      </c>
      <c r="G6904" s="94" t="inlineStr">
        <is>
          <t>클렌징폼 120ml</t>
        </is>
      </c>
      <c r="H6904" s="7" t="n">
        <v>190801</v>
      </c>
      <c r="I6904" s="7" t="n">
        <v>190801</v>
      </c>
      <c r="K6904" s="94" t="n">
        <v>10</v>
      </c>
      <c r="L6904" s="94" t="n">
        <v>190801</v>
      </c>
      <c r="M6904" s="94">
        <f>VLOOKUP($Q6904,매칭테이블!$F:$I,2,0)*K6904</f>
        <v/>
      </c>
      <c r="N6904" s="94">
        <f>M6904-M6904*VLOOKUP($Q6904,매칭테이블!$F:$I,3,0)</f>
        <v/>
      </c>
      <c r="O6904" s="94">
        <f>VLOOKUP($Q6904,매칭테이블!$F:$I,4,0)*K6904</f>
        <v/>
      </c>
      <c r="P6904" s="148">
        <f>M6904/1.1</f>
        <v/>
      </c>
      <c r="Q6904" s="94">
        <f>F6904&amp;E6904&amp;G6904&amp;L6904</f>
        <v/>
      </c>
    </row>
    <row r="6905" customFormat="1" s="94">
      <c r="B6905" s="128" t="n">
        <v>43997</v>
      </c>
      <c r="C6905" s="94">
        <f>TEXT(B6905,"aaa")</f>
        <v/>
      </c>
      <c r="E6905" s="94" t="inlineStr">
        <is>
          <t>클렌징폼</t>
        </is>
      </c>
      <c r="F6905" s="94" t="inlineStr">
        <is>
          <t>카페24</t>
        </is>
      </c>
      <c r="G6905" s="94" t="inlineStr">
        <is>
          <t>클렌징폼 120ml 3set</t>
        </is>
      </c>
      <c r="H6905" s="7" t="n">
        <v>190801</v>
      </c>
      <c r="I6905" s="7" t="n">
        <v>190801</v>
      </c>
      <c r="K6905" s="94" t="n">
        <v>1</v>
      </c>
      <c r="L6905" s="94" t="n">
        <v>190801</v>
      </c>
      <c r="M6905" s="94">
        <f>VLOOKUP($Q6905,매칭테이블!$F:$I,2,0)*K6905</f>
        <v/>
      </c>
      <c r="N6905" s="94">
        <f>M6905-M6905*VLOOKUP($Q6905,매칭테이블!$F:$I,3,0)</f>
        <v/>
      </c>
      <c r="O6905" s="94">
        <f>VLOOKUP($Q6905,매칭테이블!$F:$I,4,0)*K6905</f>
        <v/>
      </c>
      <c r="P6905" s="148">
        <f>M6905/1.1</f>
        <v/>
      </c>
      <c r="Q6905" s="94">
        <f>F6905&amp;E6905&amp;G6905&amp;L6905</f>
        <v/>
      </c>
    </row>
    <row r="6906" customFormat="1" s="94">
      <c r="B6906" s="128" t="n">
        <v>43997</v>
      </c>
      <c r="C6906" s="94">
        <f>TEXT(B6906,"aaa")</f>
        <v/>
      </c>
      <c r="E6906" s="94" t="inlineStr">
        <is>
          <t>토너</t>
        </is>
      </c>
      <c r="F6906" s="94" t="inlineStr">
        <is>
          <t>아누아 CS</t>
        </is>
      </c>
      <c r="G6906" s="94" t="inlineStr">
        <is>
          <t>250ml</t>
        </is>
      </c>
      <c r="H6906" s="7" t="n">
        <v>190801</v>
      </c>
      <c r="I6906" s="7" t="n">
        <v>190801</v>
      </c>
      <c r="K6906" s="94" t="n">
        <v>2</v>
      </c>
      <c r="L6906" s="94" t="n">
        <v>190801</v>
      </c>
      <c r="M6906" s="94">
        <f>VLOOKUP($Q6906,매칭테이블!$F:$I,2,0)*K6906</f>
        <v/>
      </c>
      <c r="N6906" s="94">
        <f>M6906-M6906*VLOOKUP($Q6906,매칭테이블!$F:$I,3,0)</f>
        <v/>
      </c>
      <c r="O6906" s="94">
        <f>VLOOKUP($Q6906,매칭테이블!$F:$I,4,0)*K6906</f>
        <v/>
      </c>
      <c r="P6906" s="148">
        <f>M6906/1.1</f>
        <v/>
      </c>
      <c r="Q6906" s="94">
        <f>F6906&amp;E6906&amp;G6906&amp;L6906</f>
        <v/>
      </c>
    </row>
    <row r="6907" customFormat="1" s="94">
      <c r="B6907" s="128" t="n">
        <v>43998</v>
      </c>
      <c r="C6907" s="94">
        <f>TEXT(B6907,"aaa")</f>
        <v/>
      </c>
      <c r="E6907" s="94" t="inlineStr">
        <is>
          <t>토너</t>
        </is>
      </c>
      <c r="F6907" s="94" t="inlineStr">
        <is>
          <t>W컨셉</t>
        </is>
      </c>
      <c r="G6907" s="94" t="inlineStr">
        <is>
          <t>250ml 2set</t>
        </is>
      </c>
      <c r="H6907" s="7" t="n">
        <v>190801</v>
      </c>
      <c r="I6907" s="7" t="n">
        <v>190801</v>
      </c>
      <c r="K6907" s="94" t="n">
        <v>3</v>
      </c>
      <c r="L6907" s="94" t="n">
        <v>190801</v>
      </c>
      <c r="M6907" s="94">
        <f>VLOOKUP($Q6907,매칭테이블!$F:$I,2,0)*K6907</f>
        <v/>
      </c>
      <c r="N6907" s="94">
        <f>M6907-M6907*VLOOKUP($Q6907,매칭테이블!$F:$I,3,0)</f>
        <v/>
      </c>
      <c r="O6907" s="94">
        <f>VLOOKUP($Q6907,매칭테이블!$F:$I,4,0)*K6907</f>
        <v/>
      </c>
      <c r="P6907" s="148">
        <f>M6907/1.1</f>
        <v/>
      </c>
      <c r="Q6907" s="94">
        <f>F6907&amp;E6907&amp;G6907&amp;L6907</f>
        <v/>
      </c>
    </row>
    <row r="6908" customFormat="1" s="94">
      <c r="B6908" s="128" t="n">
        <v>43998</v>
      </c>
      <c r="C6908" s="94">
        <f>TEXT(B6908,"aaa")</f>
        <v/>
      </c>
      <c r="E6908" s="94" t="inlineStr">
        <is>
          <t>선크림</t>
        </is>
      </c>
      <c r="F6908" s="94" t="inlineStr">
        <is>
          <t>카페24</t>
        </is>
      </c>
      <c r="G6908" s="94" t="inlineStr">
        <is>
          <t>선크림 50ml</t>
        </is>
      </c>
      <c r="H6908" s="7" t="n">
        <v>190801</v>
      </c>
      <c r="I6908" s="7" t="n">
        <v>190801</v>
      </c>
      <c r="K6908" s="94" t="n">
        <v>8</v>
      </c>
      <c r="L6908" s="94" t="n">
        <v>190801</v>
      </c>
      <c r="M6908" s="94">
        <f>VLOOKUP($Q6908,매칭테이블!$F:$I,2,0)*K6908</f>
        <v/>
      </c>
      <c r="N6908" s="94">
        <f>M6908-M6908*VLOOKUP($Q6908,매칭테이블!$F:$I,3,0)</f>
        <v/>
      </c>
      <c r="O6908" s="94">
        <f>VLOOKUP($Q6908,매칭테이블!$F:$I,4,0)*K6908</f>
        <v/>
      </c>
      <c r="P6908" s="148">
        <f>M6908/1.1</f>
        <v/>
      </c>
      <c r="Q6908" s="94">
        <f>F6908&amp;E6908&amp;G6908&amp;L6908</f>
        <v/>
      </c>
    </row>
    <row r="6909" customFormat="1" s="94">
      <c r="B6909" s="128" t="n">
        <v>43998</v>
      </c>
      <c r="C6909" s="94">
        <f>TEXT(B6909,"aaa")</f>
        <v/>
      </c>
      <c r="E6909" s="94" t="inlineStr">
        <is>
          <t>클렌징폼</t>
        </is>
      </c>
      <c r="F6909" s="94" t="inlineStr">
        <is>
          <t>카페24</t>
        </is>
      </c>
      <c r="G6909" s="94" t="inlineStr">
        <is>
          <t>클렌징폼 120ml(선크림할인)</t>
        </is>
      </c>
      <c r="H6909" s="7" t="n">
        <v>190801</v>
      </c>
      <c r="I6909" s="7" t="n">
        <v>190801</v>
      </c>
      <c r="K6909" s="94" t="n">
        <v>1</v>
      </c>
      <c r="L6909" s="94" t="n">
        <v>190801</v>
      </c>
      <c r="M6909" s="94">
        <f>VLOOKUP($Q6909,매칭테이블!$F:$I,2,0)*K6909</f>
        <v/>
      </c>
      <c r="N6909" s="94">
        <f>M6909-M6909*VLOOKUP($Q6909,매칭테이블!$F:$I,3,0)</f>
        <v/>
      </c>
      <c r="O6909" s="94">
        <f>VLOOKUP($Q6909,매칭테이블!$F:$I,4,0)*K6909</f>
        <v/>
      </c>
      <c r="P6909" s="148">
        <f>M6909/1.1</f>
        <v/>
      </c>
      <c r="Q6909" s="94">
        <f>F6909&amp;E6909&amp;G6909&amp;L6909</f>
        <v/>
      </c>
    </row>
    <row r="6910" customFormat="1" s="94">
      <c r="B6910" s="128" t="n">
        <v>43998</v>
      </c>
      <c r="C6910" s="94">
        <f>TEXT(B6910,"aaa")</f>
        <v/>
      </c>
      <c r="E6910" s="94" t="inlineStr">
        <is>
          <t>어성초진정패키지</t>
        </is>
      </c>
      <c r="F6910" s="94" t="inlineStr">
        <is>
          <t>카페24</t>
        </is>
      </c>
      <c r="G6910" s="94" t="inlineStr">
        <is>
          <t>어성초 진정패키지세트</t>
        </is>
      </c>
      <c r="H6910" s="7" t="n">
        <v>190801</v>
      </c>
      <c r="I6910" s="7" t="n">
        <v>190801</v>
      </c>
      <c r="K6910" s="94" t="n">
        <v>4</v>
      </c>
      <c r="L6910" s="94" t="n">
        <v>190801</v>
      </c>
      <c r="M6910" s="94">
        <f>VLOOKUP($Q6910,매칭테이블!$F:$I,2,0)*K6910</f>
        <v/>
      </c>
      <c r="N6910" s="94">
        <f>M6910-M6910*VLOOKUP($Q6910,매칭테이블!$F:$I,3,0)</f>
        <v/>
      </c>
      <c r="O6910" s="94">
        <f>VLOOKUP($Q6910,매칭테이블!$F:$I,4,0)*K6910</f>
        <v/>
      </c>
      <c r="P6910" s="148">
        <f>M6910/1.1</f>
        <v/>
      </c>
      <c r="Q6910" s="94">
        <f>F6910&amp;E6910&amp;G6910&amp;L6910</f>
        <v/>
      </c>
    </row>
    <row r="6911" customFormat="1" s="94">
      <c r="B6911" s="128" t="n">
        <v>43998</v>
      </c>
      <c r="C6911" s="94">
        <f>TEXT(B6911,"aaa")</f>
        <v/>
      </c>
      <c r="E6911" s="94" t="inlineStr">
        <is>
          <t>머드크림마스크</t>
        </is>
      </c>
      <c r="F6911" s="94" t="inlineStr">
        <is>
          <t>카페24</t>
        </is>
      </c>
      <c r="G6911" s="94" t="inlineStr">
        <is>
          <t>머드크림마스크 100ml</t>
        </is>
      </c>
      <c r="H6911" s="7" t="n">
        <v>190801</v>
      </c>
      <c r="I6911" s="7" t="n">
        <v>190801</v>
      </c>
      <c r="K6911" s="94" t="n">
        <v>2</v>
      </c>
      <c r="L6911" s="94" t="n">
        <v>190801</v>
      </c>
      <c r="M6911" s="94">
        <f>VLOOKUP($Q6911,매칭테이블!$F:$I,2,0)*K6911</f>
        <v/>
      </c>
      <c r="N6911" s="94">
        <f>M6911-M6911*VLOOKUP($Q6911,매칭테이블!$F:$I,3,0)</f>
        <v/>
      </c>
      <c r="O6911" s="94">
        <f>VLOOKUP($Q6911,매칭테이블!$F:$I,4,0)*K6911</f>
        <v/>
      </c>
      <c r="P6911" s="148">
        <f>M6911/1.1</f>
        <v/>
      </c>
      <c r="Q6911" s="94">
        <f>F6911&amp;E6911&amp;G6911&amp;L6911</f>
        <v/>
      </c>
    </row>
    <row r="6912" customFormat="1" s="94">
      <c r="B6912" s="128" t="n">
        <v>43998</v>
      </c>
      <c r="C6912" s="94">
        <f>TEXT(B6912,"aaa")</f>
        <v/>
      </c>
      <c r="E6912" s="94" t="inlineStr">
        <is>
          <t>머드크림마스크</t>
        </is>
      </c>
      <c r="F6912" s="94" t="inlineStr">
        <is>
          <t>카페24</t>
        </is>
      </c>
      <c r="G6912" s="94" t="inlineStr">
        <is>
          <t>머드크림마스크 100ml 2set</t>
        </is>
      </c>
      <c r="H6912" s="7" t="n">
        <v>190801</v>
      </c>
      <c r="I6912" s="7" t="n">
        <v>190801</v>
      </c>
      <c r="K6912" s="94" t="n">
        <v>1</v>
      </c>
      <c r="L6912" s="94" t="n">
        <v>190801</v>
      </c>
      <c r="M6912" s="94">
        <f>VLOOKUP($Q6912,매칭테이블!$F:$I,2,0)*K6912</f>
        <v/>
      </c>
      <c r="N6912" s="94">
        <f>M6912-M6912*VLOOKUP($Q6912,매칭테이블!$F:$I,3,0)</f>
        <v/>
      </c>
      <c r="O6912" s="94">
        <f>VLOOKUP($Q6912,매칭테이블!$F:$I,4,0)*K6912</f>
        <v/>
      </c>
      <c r="P6912" s="148">
        <f>M6912/1.1</f>
        <v/>
      </c>
      <c r="Q6912" s="94">
        <f>F6912&amp;E6912&amp;G6912&amp;L6912</f>
        <v/>
      </c>
    </row>
    <row r="6913" customFormat="1" s="94">
      <c r="B6913" s="128" t="n">
        <v>43998</v>
      </c>
      <c r="C6913" s="94">
        <f>TEXT(B6913,"aaa")</f>
        <v/>
      </c>
      <c r="E6913" s="94" t="inlineStr">
        <is>
          <t>마스크팩</t>
        </is>
      </c>
      <c r="F6913" s="94" t="inlineStr">
        <is>
          <t>카페24</t>
        </is>
      </c>
      <c r="G6913" s="94" t="inlineStr">
        <is>
          <t>마스크팩 1매</t>
        </is>
      </c>
      <c r="H6913" s="7" t="n">
        <v>190801</v>
      </c>
      <c r="I6913" s="7" t="n">
        <v>190801</v>
      </c>
      <c r="K6913" s="94" t="n">
        <v>2</v>
      </c>
      <c r="L6913" s="94" t="n">
        <v>190801</v>
      </c>
      <c r="M6913" s="94">
        <f>VLOOKUP($Q6913,매칭테이블!$F:$I,2,0)*K6913</f>
        <v/>
      </c>
      <c r="N6913" s="94">
        <f>M6913-M6913*VLOOKUP($Q6913,매칭테이블!$F:$I,3,0)</f>
        <v/>
      </c>
      <c r="O6913" s="94">
        <f>VLOOKUP($Q6913,매칭테이블!$F:$I,4,0)*K6913</f>
        <v/>
      </c>
      <c r="P6913" s="148">
        <f>M6913/1.1</f>
        <v/>
      </c>
      <c r="Q6913" s="94">
        <f>F6913&amp;E6913&amp;G6913&amp;L6913</f>
        <v/>
      </c>
    </row>
    <row r="6914" customFormat="1" s="94">
      <c r="B6914" s="128" t="n">
        <v>43998</v>
      </c>
      <c r="C6914" s="94">
        <f>TEXT(B6914,"aaa")</f>
        <v/>
      </c>
      <c r="E6914" s="94" t="inlineStr">
        <is>
          <t>마스크팩</t>
        </is>
      </c>
      <c r="F6914" s="94" t="inlineStr">
        <is>
          <t>카페24</t>
        </is>
      </c>
      <c r="G6914" s="94" t="inlineStr">
        <is>
          <t>마스크팩 10매</t>
        </is>
      </c>
      <c r="H6914" s="7" t="n">
        <v>190801</v>
      </c>
      <c r="I6914" s="7" t="n">
        <v>190801</v>
      </c>
      <c r="K6914" s="94" t="n">
        <v>2</v>
      </c>
      <c r="L6914" s="94" t="n">
        <v>190801</v>
      </c>
      <c r="M6914" s="94">
        <f>VLOOKUP($Q6914,매칭테이블!$F:$I,2,0)*K6914</f>
        <v/>
      </c>
      <c r="N6914" s="94">
        <f>M6914-M6914*VLOOKUP($Q6914,매칭테이블!$F:$I,3,0)</f>
        <v/>
      </c>
      <c r="O6914" s="94">
        <f>VLOOKUP($Q6914,매칭테이블!$F:$I,4,0)*K6914</f>
        <v/>
      </c>
      <c r="P6914" s="148">
        <f>M6914/1.1</f>
        <v/>
      </c>
      <c r="Q6914" s="94">
        <f>F6914&amp;E6914&amp;G6914&amp;L6914</f>
        <v/>
      </c>
    </row>
    <row r="6915" customFormat="1" s="94">
      <c r="B6915" s="128" t="n">
        <v>43998</v>
      </c>
      <c r="C6915" s="94">
        <f>TEXT(B6915,"aaa")</f>
        <v/>
      </c>
      <c r="E6915" s="94" t="inlineStr">
        <is>
          <t>토너</t>
        </is>
      </c>
      <c r="F6915" s="94" t="inlineStr">
        <is>
          <t>카페24</t>
        </is>
      </c>
      <c r="G6915" s="94" t="inlineStr">
        <is>
          <t>250ml</t>
        </is>
      </c>
      <c r="H6915" s="7" t="n">
        <v>190801</v>
      </c>
      <c r="I6915" s="7" t="n">
        <v>190801</v>
      </c>
      <c r="K6915" s="94" t="n">
        <v>59</v>
      </c>
      <c r="L6915" s="94" t="n">
        <v>190801</v>
      </c>
      <c r="M6915" s="94">
        <f>VLOOKUP($Q6915,매칭테이블!$F:$I,2,0)*K6915</f>
        <v/>
      </c>
      <c r="N6915" s="94">
        <f>M6915-M6915*VLOOKUP($Q6915,매칭테이블!$F:$I,3,0)</f>
        <v/>
      </c>
      <c r="O6915" s="94">
        <f>VLOOKUP($Q6915,매칭테이블!$F:$I,4,0)*K6915</f>
        <v/>
      </c>
      <c r="P6915" s="148">
        <f>M6915/1.1</f>
        <v/>
      </c>
      <c r="Q6915" s="94">
        <f>F6915&amp;E6915&amp;G6915&amp;L6915</f>
        <v/>
      </c>
    </row>
    <row r="6916" customFormat="1" s="94">
      <c r="B6916" s="128" t="n">
        <v>43998</v>
      </c>
      <c r="C6916" s="94">
        <f>TEXT(B6916,"aaa")</f>
        <v/>
      </c>
      <c r="E6916" s="94" t="inlineStr">
        <is>
          <t>토너</t>
        </is>
      </c>
      <c r="F6916" s="94" t="inlineStr">
        <is>
          <t>카페24</t>
        </is>
      </c>
      <c r="G6916" s="94" t="inlineStr">
        <is>
          <t>250ml 2set</t>
        </is>
      </c>
      <c r="H6916" s="7" t="n">
        <v>190801</v>
      </c>
      <c r="I6916" s="7" t="n">
        <v>190801</v>
      </c>
      <c r="K6916" s="94" t="n">
        <v>45</v>
      </c>
      <c r="L6916" s="94" t="n">
        <v>190801</v>
      </c>
      <c r="M6916" s="94">
        <f>VLOOKUP($Q6916,매칭테이블!$F:$I,2,0)*K6916</f>
        <v/>
      </c>
      <c r="N6916" s="94">
        <f>M6916-M6916*VLOOKUP($Q6916,매칭테이블!$F:$I,3,0)</f>
        <v/>
      </c>
      <c r="O6916" s="94">
        <f>VLOOKUP($Q6916,매칭테이블!$F:$I,4,0)*K6916</f>
        <v/>
      </c>
      <c r="P6916" s="148">
        <f>M6916/1.1</f>
        <v/>
      </c>
      <c r="Q6916" s="94">
        <f>F6916&amp;E6916&amp;G6916&amp;L6916</f>
        <v/>
      </c>
    </row>
    <row r="6917" customFormat="1" s="94">
      <c r="B6917" s="128" t="n">
        <v>43998</v>
      </c>
      <c r="C6917" s="94">
        <f>TEXT(B6917,"aaa")</f>
        <v/>
      </c>
      <c r="E6917" s="94" t="inlineStr">
        <is>
          <t>토너</t>
        </is>
      </c>
      <c r="F6917" s="94" t="inlineStr">
        <is>
          <t>카페24</t>
        </is>
      </c>
      <c r="G6917" s="94" t="inlineStr">
        <is>
          <t>500ml</t>
        </is>
      </c>
      <c r="H6917" s="7" t="n">
        <v>190801</v>
      </c>
      <c r="I6917" s="7" t="n">
        <v>190801</v>
      </c>
      <c r="K6917" s="94" t="n">
        <v>49</v>
      </c>
      <c r="L6917" s="94" t="n">
        <v>190801</v>
      </c>
      <c r="M6917" s="94">
        <f>VLOOKUP($Q6917,매칭테이블!$F:$I,2,0)*K6917</f>
        <v/>
      </c>
      <c r="N6917" s="94">
        <f>M6917-M6917*VLOOKUP($Q6917,매칭테이블!$F:$I,3,0)</f>
        <v/>
      </c>
      <c r="O6917" s="94">
        <f>VLOOKUP($Q6917,매칭테이블!$F:$I,4,0)*K6917</f>
        <v/>
      </c>
      <c r="P6917" s="148">
        <f>M6917/1.1</f>
        <v/>
      </c>
      <c r="Q6917" s="94">
        <f>F6917&amp;E6917&amp;G6917&amp;L6917</f>
        <v/>
      </c>
    </row>
    <row r="6918" customFormat="1" s="94">
      <c r="B6918" s="128" t="n">
        <v>43998</v>
      </c>
      <c r="C6918" s="94">
        <f>TEXT(B6918,"aaa")</f>
        <v/>
      </c>
      <c r="E6918" s="94" t="inlineStr">
        <is>
          <t>토너</t>
        </is>
      </c>
      <c r="F6918" s="94" t="inlineStr">
        <is>
          <t>카페24</t>
        </is>
      </c>
      <c r="G6918" s="94" t="inlineStr">
        <is>
          <t>스킨팩 화장솜 60P</t>
        </is>
      </c>
      <c r="H6918" s="7" t="n">
        <v>190801</v>
      </c>
      <c r="I6918" s="7" t="n">
        <v>190801</v>
      </c>
      <c r="K6918" s="94" t="n">
        <v>50</v>
      </c>
      <c r="L6918" s="94" t="n">
        <v>190801</v>
      </c>
      <c r="M6918" s="94">
        <f>VLOOKUP($Q6918,매칭테이블!$F:$I,2,0)*K6918</f>
        <v/>
      </c>
      <c r="N6918" s="94">
        <f>M6918-M6918*VLOOKUP($Q6918,매칭테이블!$F:$I,3,0)</f>
        <v/>
      </c>
      <c r="O6918" s="94">
        <f>VLOOKUP($Q6918,매칭테이블!$F:$I,4,0)*K6918</f>
        <v/>
      </c>
      <c r="P6918" s="148">
        <f>M6918/1.1</f>
        <v/>
      </c>
      <c r="Q6918" s="94">
        <f>F6918&amp;E6918&amp;G6918&amp;L6918</f>
        <v/>
      </c>
    </row>
    <row r="6919" customFormat="1" s="94">
      <c r="B6919" s="128" t="n">
        <v>43998</v>
      </c>
      <c r="C6919" s="94">
        <f>TEXT(B6919,"aaa")</f>
        <v/>
      </c>
      <c r="E6919" s="94" t="inlineStr">
        <is>
          <t>앰플</t>
        </is>
      </c>
      <c r="F6919" s="94" t="inlineStr">
        <is>
          <t>카페24</t>
        </is>
      </c>
      <c r="G6919" s="94" t="inlineStr">
        <is>
          <t>앰플 30ml</t>
        </is>
      </c>
      <c r="H6919" s="7" t="n">
        <v>190801</v>
      </c>
      <c r="I6919" s="7" t="n">
        <v>190801</v>
      </c>
      <c r="K6919" s="94" t="n">
        <v>15</v>
      </c>
      <c r="L6919" s="94" t="n">
        <v>190801</v>
      </c>
      <c r="M6919" s="94">
        <f>VLOOKUP($Q6919,매칭테이블!$F:$I,2,0)*K6919</f>
        <v/>
      </c>
      <c r="N6919" s="94">
        <f>M6919-M6919*VLOOKUP($Q6919,매칭테이블!$F:$I,3,0)</f>
        <v/>
      </c>
      <c r="O6919" s="94">
        <f>VLOOKUP($Q6919,매칭테이블!$F:$I,4,0)*K6919</f>
        <v/>
      </c>
      <c r="P6919" s="148">
        <f>M6919/1.1</f>
        <v/>
      </c>
      <c r="Q6919" s="94">
        <f>F6919&amp;E6919&amp;G6919&amp;L6919</f>
        <v/>
      </c>
    </row>
    <row r="6920" customFormat="1" s="94">
      <c r="B6920" s="128" t="n">
        <v>43998</v>
      </c>
      <c r="C6920" s="94">
        <f>TEXT(B6920,"aaa")</f>
        <v/>
      </c>
      <c r="E6920" s="94" t="inlineStr">
        <is>
          <t>수딩크림</t>
        </is>
      </c>
      <c r="F6920" s="94" t="inlineStr">
        <is>
          <t>카페24</t>
        </is>
      </c>
      <c r="G6920" s="94" t="inlineStr">
        <is>
          <t>수딩크림 100ml</t>
        </is>
      </c>
      <c r="H6920" s="7" t="n">
        <v>190801</v>
      </c>
      <c r="I6920" s="7" t="n">
        <v>190801</v>
      </c>
      <c r="K6920" s="94" t="n">
        <v>3</v>
      </c>
      <c r="L6920" s="94" t="n">
        <v>190801</v>
      </c>
      <c r="M6920" s="94">
        <f>VLOOKUP($Q6920,매칭테이블!$F:$I,2,0)*K6920</f>
        <v/>
      </c>
      <c r="N6920" s="94">
        <f>M6920-M6920*VLOOKUP($Q6920,매칭테이블!$F:$I,3,0)</f>
        <v/>
      </c>
      <c r="O6920" s="94">
        <f>VLOOKUP($Q6920,매칭테이블!$F:$I,4,0)*K6920</f>
        <v/>
      </c>
      <c r="P6920" s="148">
        <f>M6920/1.1</f>
        <v/>
      </c>
      <c r="Q6920" s="94">
        <f>F6920&amp;E6920&amp;G6920&amp;L6920</f>
        <v/>
      </c>
    </row>
    <row r="6921" customFormat="1" s="94">
      <c r="B6921" s="128" t="n">
        <v>43998</v>
      </c>
      <c r="C6921" s="94">
        <f>TEXT(B6921,"aaa")</f>
        <v/>
      </c>
      <c r="E6921" s="94" t="inlineStr">
        <is>
          <t>클렌징폼</t>
        </is>
      </c>
      <c r="F6921" s="94" t="inlineStr">
        <is>
          <t>카페24</t>
        </is>
      </c>
      <c r="G6921" s="94" t="inlineStr">
        <is>
          <t>클렌징폼 120ml</t>
        </is>
      </c>
      <c r="H6921" s="7" t="n">
        <v>190801</v>
      </c>
      <c r="I6921" s="7" t="n">
        <v>190801</v>
      </c>
      <c r="K6921" s="94" t="n">
        <v>8</v>
      </c>
      <c r="L6921" s="94" t="n">
        <v>190801</v>
      </c>
      <c r="M6921" s="94">
        <f>VLOOKUP($Q6921,매칭테이블!$F:$I,2,0)*K6921</f>
        <v/>
      </c>
      <c r="N6921" s="94">
        <f>M6921-M6921*VLOOKUP($Q6921,매칭테이블!$F:$I,3,0)</f>
        <v/>
      </c>
      <c r="O6921" s="94">
        <f>VLOOKUP($Q6921,매칭테이블!$F:$I,4,0)*K6921</f>
        <v/>
      </c>
      <c r="P6921" s="148">
        <f>M6921/1.1</f>
        <v/>
      </c>
      <c r="Q6921" s="94">
        <f>F6921&amp;E6921&amp;G6921&amp;L6921</f>
        <v/>
      </c>
    </row>
    <row r="6922" customFormat="1" s="94">
      <c r="B6922" s="128" t="n">
        <v>43998</v>
      </c>
      <c r="C6922" s="94">
        <f>TEXT(B6922,"aaa")</f>
        <v/>
      </c>
      <c r="E6922" s="94" t="inlineStr">
        <is>
          <t>토너</t>
        </is>
      </c>
      <c r="F6922" s="94" t="inlineStr">
        <is>
          <t>큐텐</t>
        </is>
      </c>
      <c r="G6922" s="94" t="inlineStr">
        <is>
          <t>250ml</t>
        </is>
      </c>
      <c r="H6922" s="7" t="n">
        <v>190801</v>
      </c>
      <c r="I6922" s="7" t="n">
        <v>190801</v>
      </c>
      <c r="K6922" s="94" t="n">
        <v>84</v>
      </c>
      <c r="L6922" s="94" t="n">
        <v>190801</v>
      </c>
      <c r="M6922" s="94">
        <f>VLOOKUP($Q6922,매칭테이블!$F:$I,2,0)*K6922</f>
        <v/>
      </c>
      <c r="N6922" s="94">
        <f>M6922-M6922*VLOOKUP($Q6922,매칭테이블!$F:$I,3,0)</f>
        <v/>
      </c>
      <c r="O6922" s="94">
        <f>VLOOKUP($Q6922,매칭테이블!$F:$I,4,0)*K6922</f>
        <v/>
      </c>
      <c r="P6922" s="148">
        <f>M6922/1.1</f>
        <v/>
      </c>
      <c r="Q6922" s="94">
        <f>F6922&amp;E6922&amp;G6922&amp;L6922</f>
        <v/>
      </c>
    </row>
    <row r="6923" customFormat="1" s="94">
      <c r="B6923" s="128" t="n">
        <v>43998</v>
      </c>
      <c r="C6923" s="94">
        <f>TEXT(B6923,"aaa")</f>
        <v/>
      </c>
      <c r="E6923" s="94" t="inlineStr">
        <is>
          <t>토너</t>
        </is>
      </c>
      <c r="F6923" s="94" t="inlineStr">
        <is>
          <t>큐텐</t>
        </is>
      </c>
      <c r="G6923" s="94" t="inlineStr">
        <is>
          <t>250ml 2set</t>
        </is>
      </c>
      <c r="H6923" s="7" t="n">
        <v>190801</v>
      </c>
      <c r="I6923" s="7" t="n">
        <v>190801</v>
      </c>
      <c r="K6923" s="94" t="n">
        <v>90</v>
      </c>
      <c r="L6923" s="94" t="n">
        <v>190801</v>
      </c>
      <c r="M6923" s="94">
        <f>VLOOKUP($Q6923,매칭테이블!$F:$I,2,0)*K6923</f>
        <v/>
      </c>
      <c r="N6923" s="94">
        <f>M6923-M6923*VLOOKUP($Q6923,매칭테이블!$F:$I,3,0)</f>
        <v/>
      </c>
      <c r="O6923" s="94">
        <f>VLOOKUP($Q6923,매칭테이블!$F:$I,4,0)*K6923</f>
        <v/>
      </c>
      <c r="P6923" s="148">
        <f>M6923/1.1</f>
        <v/>
      </c>
      <c r="Q6923" s="94">
        <f>F6923&amp;E6923&amp;G6923&amp;L6923</f>
        <v/>
      </c>
    </row>
    <row r="6924" customFormat="1" s="94">
      <c r="B6924" s="128" t="n">
        <v>43998</v>
      </c>
      <c r="C6924" s="94">
        <f>TEXT(B6924,"aaa")</f>
        <v/>
      </c>
      <c r="E6924" s="94" t="inlineStr">
        <is>
          <t>앰플</t>
        </is>
      </c>
      <c r="F6924" s="94" t="inlineStr">
        <is>
          <t>큐텐</t>
        </is>
      </c>
      <c r="G6924" s="94" t="inlineStr">
        <is>
          <t>앰플 30ml</t>
        </is>
      </c>
      <c r="H6924" s="7" t="n">
        <v>190801</v>
      </c>
      <c r="I6924" s="7" t="n">
        <v>190801</v>
      </c>
      <c r="K6924" s="94" t="n">
        <v>8</v>
      </c>
      <c r="L6924" s="94" t="n">
        <v>190801</v>
      </c>
      <c r="M6924" s="94">
        <f>VLOOKUP($Q6924,매칭테이블!$F:$I,2,0)*K6924</f>
        <v/>
      </c>
      <c r="N6924" s="94">
        <f>M6924-M6924*VLOOKUP($Q6924,매칭테이블!$F:$I,3,0)</f>
        <v/>
      </c>
      <c r="O6924" s="94">
        <f>VLOOKUP($Q6924,매칭테이블!$F:$I,4,0)*K6924</f>
        <v/>
      </c>
      <c r="P6924" s="148">
        <f>M6924/1.1</f>
        <v/>
      </c>
      <c r="Q6924" s="94">
        <f>F6924&amp;E6924&amp;G6924&amp;L6924</f>
        <v/>
      </c>
    </row>
    <row r="6925" customFormat="1" s="94">
      <c r="B6925" s="128" t="n">
        <v>43998</v>
      </c>
      <c r="C6925" s="94">
        <f>TEXT(B6925,"aaa")</f>
        <v/>
      </c>
      <c r="E6925" s="94" t="inlineStr">
        <is>
          <t>머드크림마스크</t>
        </is>
      </c>
      <c r="F6925" s="94" t="inlineStr">
        <is>
          <t>큐텐</t>
        </is>
      </c>
      <c r="G6925" s="94" t="inlineStr">
        <is>
          <t>머드크림마스크 100ml</t>
        </is>
      </c>
      <c r="H6925" s="7" t="n">
        <v>190801</v>
      </c>
      <c r="I6925" s="7" t="n">
        <v>190801</v>
      </c>
      <c r="K6925" s="94" t="n">
        <v>5</v>
      </c>
      <c r="L6925" s="94" t="n">
        <v>190801</v>
      </c>
      <c r="M6925" s="94">
        <f>VLOOKUP($Q6925,매칭테이블!$F:$I,2,0)*K6925</f>
        <v/>
      </c>
      <c r="N6925" s="94">
        <f>M6925-M6925*VLOOKUP($Q6925,매칭테이블!$F:$I,3,0)</f>
        <v/>
      </c>
      <c r="O6925" s="94">
        <f>VLOOKUP($Q6925,매칭테이블!$F:$I,4,0)*K6925</f>
        <v/>
      </c>
      <c r="P6925" s="148">
        <f>M6925/1.1</f>
        <v/>
      </c>
      <c r="Q6925" s="94">
        <f>F6925&amp;E6925&amp;G6925&amp;L6925</f>
        <v/>
      </c>
    </row>
    <row r="6926" customFormat="1" s="94">
      <c r="B6926" s="128" t="n">
        <v>43998</v>
      </c>
      <c r="C6926" s="94">
        <f>TEXT(B6926,"aaa")</f>
        <v/>
      </c>
      <c r="E6926" s="94" t="inlineStr">
        <is>
          <t>마스크팩</t>
        </is>
      </c>
      <c r="F6926" s="94" t="inlineStr">
        <is>
          <t>큐텐</t>
        </is>
      </c>
      <c r="G6926" s="94" t="inlineStr">
        <is>
          <t>마스크팩 10매</t>
        </is>
      </c>
      <c r="H6926" s="7" t="n">
        <v>190801</v>
      </c>
      <c r="I6926" s="7" t="n">
        <v>190801</v>
      </c>
      <c r="K6926" s="94" t="n">
        <v>5</v>
      </c>
      <c r="L6926" s="94" t="n">
        <v>190801</v>
      </c>
      <c r="M6926" s="94">
        <f>VLOOKUP($Q6926,매칭테이블!$F:$I,2,0)*K6926</f>
        <v/>
      </c>
      <c r="N6926" s="94">
        <f>M6926-M6926*VLOOKUP($Q6926,매칭테이블!$F:$I,3,0)</f>
        <v/>
      </c>
      <c r="O6926" s="94">
        <f>VLOOKUP($Q6926,매칭테이블!$F:$I,4,0)*K6926</f>
        <v/>
      </c>
      <c r="P6926" s="148">
        <f>M6926/1.1</f>
        <v/>
      </c>
      <c r="Q6926" s="94">
        <f>F6926&amp;E6926&amp;G6926&amp;L6926</f>
        <v/>
      </c>
    </row>
    <row r="6927" customFormat="1" s="94">
      <c r="B6927" s="128" t="n">
        <v>43998</v>
      </c>
      <c r="C6927" s="94">
        <f>TEXT(B6927,"aaa")</f>
        <v/>
      </c>
      <c r="E6927" s="94" t="inlineStr">
        <is>
          <t>클렌징폼</t>
        </is>
      </c>
      <c r="F6927" s="94" t="inlineStr">
        <is>
          <t>큐텐</t>
        </is>
      </c>
      <c r="G6927" s="94" t="inlineStr">
        <is>
          <t>클렌징폼 120ml</t>
        </is>
      </c>
      <c r="H6927" s="7" t="n">
        <v>190801</v>
      </c>
      <c r="I6927" s="7" t="n">
        <v>190801</v>
      </c>
      <c r="K6927" s="94" t="n">
        <v>2</v>
      </c>
      <c r="L6927" s="94" t="n">
        <v>190801</v>
      </c>
      <c r="M6927" s="94">
        <f>VLOOKUP($Q6927,매칭테이블!$F:$I,2,0)*K6927</f>
        <v/>
      </c>
      <c r="N6927" s="94">
        <f>M6927-M6927*VLOOKUP($Q6927,매칭테이블!$F:$I,3,0)</f>
        <v/>
      </c>
      <c r="O6927" s="94">
        <f>VLOOKUP($Q6927,매칭테이블!$F:$I,4,0)*K6927</f>
        <v/>
      </c>
      <c r="P6927" s="148">
        <f>M6927/1.1</f>
        <v/>
      </c>
      <c r="Q6927" s="94">
        <f>F6927&amp;E6927&amp;G6927&amp;L6927</f>
        <v/>
      </c>
    </row>
    <row r="6928" customFormat="1" s="94">
      <c r="B6928" s="128" t="n">
        <v>43998</v>
      </c>
      <c r="C6928" s="94">
        <f>TEXT(B6928,"aaa")</f>
        <v/>
      </c>
      <c r="E6928" s="94" t="inlineStr">
        <is>
          <t>토너</t>
        </is>
      </c>
      <c r="F6928" s="94" t="inlineStr">
        <is>
          <t>아누아 CS</t>
        </is>
      </c>
      <c r="G6928" s="94" t="inlineStr">
        <is>
          <t>40ml</t>
        </is>
      </c>
      <c r="H6928" s="7" t="n">
        <v>190801</v>
      </c>
      <c r="I6928" s="7" t="n">
        <v>190801</v>
      </c>
      <c r="K6928" s="94" t="n">
        <v>1</v>
      </c>
      <c r="L6928" s="94" t="n">
        <v>190801</v>
      </c>
      <c r="M6928" s="94">
        <f>VLOOKUP($Q6928,매칭테이블!$F:$I,2,0)*K6928</f>
        <v/>
      </c>
      <c r="N6928" s="94">
        <f>M6928-M6928*VLOOKUP($Q6928,매칭테이블!$F:$I,3,0)</f>
        <v/>
      </c>
      <c r="O6928" s="94">
        <f>VLOOKUP($Q6928,매칭테이블!$F:$I,4,0)*K6928</f>
        <v/>
      </c>
      <c r="P6928" s="148">
        <f>M6928/1.1</f>
        <v/>
      </c>
      <c r="Q6928" s="94">
        <f>F6928&amp;E6928&amp;G6928&amp;L6928</f>
        <v/>
      </c>
    </row>
    <row r="6929" customFormat="1" s="94">
      <c r="B6929" s="128" t="n">
        <v>43998</v>
      </c>
      <c r="C6929" s="94">
        <f>TEXT(B6929,"aaa")</f>
        <v/>
      </c>
      <c r="E6929" s="94" t="inlineStr">
        <is>
          <t>수딩크림</t>
        </is>
      </c>
      <c r="F6929" s="94" t="inlineStr">
        <is>
          <t>아누아 CS</t>
        </is>
      </c>
      <c r="G6929" s="94" t="inlineStr">
        <is>
          <t>수딩크림 100ml</t>
        </is>
      </c>
      <c r="H6929" s="7" t="n">
        <v>190801</v>
      </c>
      <c r="I6929" s="7" t="n">
        <v>190801</v>
      </c>
      <c r="K6929" s="94" t="n">
        <v>40</v>
      </c>
      <c r="L6929" s="94" t="n">
        <v>190801</v>
      </c>
      <c r="M6929" s="94">
        <f>VLOOKUP($Q6929,매칭테이블!$F:$I,2,0)*K6929</f>
        <v/>
      </c>
      <c r="N6929" s="94">
        <f>M6929-M6929*VLOOKUP($Q6929,매칭테이블!$F:$I,3,0)</f>
        <v/>
      </c>
      <c r="O6929" s="94">
        <f>VLOOKUP($Q6929,매칭테이블!$F:$I,4,0)*K6929</f>
        <v/>
      </c>
      <c r="P6929" s="148">
        <f>M6929/1.1</f>
        <v/>
      </c>
      <c r="Q6929" s="94">
        <f>F6929&amp;E6929&amp;G6929&amp;L6929</f>
        <v/>
      </c>
    </row>
    <row r="6930" customFormat="1" s="94">
      <c r="B6930" s="128" t="n">
        <v>43999</v>
      </c>
      <c r="C6930" s="94">
        <f>TEXT(B6930,"aaa")</f>
        <v/>
      </c>
      <c r="E6930" s="94" t="inlineStr">
        <is>
          <t>토너</t>
        </is>
      </c>
      <c r="F6930" s="94" t="inlineStr">
        <is>
          <t>W컨셉</t>
        </is>
      </c>
      <c r="G6930" s="94" t="inlineStr">
        <is>
          <t>250ml 2set</t>
        </is>
      </c>
      <c r="H6930" s="7" t="n">
        <v>190801</v>
      </c>
      <c r="I6930" s="7" t="n">
        <v>190801</v>
      </c>
      <c r="K6930" s="94" t="n">
        <v>5</v>
      </c>
      <c r="L6930" s="94" t="n">
        <v>190801</v>
      </c>
      <c r="M6930" s="94">
        <f>VLOOKUP($Q6930,매칭테이블!$F:$I,2,0)*K6930</f>
        <v/>
      </c>
      <c r="N6930" s="94">
        <f>M6930-M6930*VLOOKUP($Q6930,매칭테이블!$F:$I,3,0)</f>
        <v/>
      </c>
      <c r="O6930" s="94">
        <f>VLOOKUP($Q6930,매칭테이블!$F:$I,4,0)*K6930</f>
        <v/>
      </c>
      <c r="P6930" s="148">
        <f>M6930/1.1</f>
        <v/>
      </c>
      <c r="Q6930" s="94">
        <f>F6930&amp;E6930&amp;G6930&amp;L6930</f>
        <v/>
      </c>
    </row>
    <row r="6931" customFormat="1" s="94">
      <c r="B6931" s="128" t="n">
        <v>43999</v>
      </c>
      <c r="C6931" s="94">
        <f>TEXT(B6931,"aaa")</f>
        <v/>
      </c>
      <c r="E6931" s="94" t="inlineStr">
        <is>
          <t>토너</t>
        </is>
      </c>
      <c r="F6931" s="94" t="inlineStr">
        <is>
          <t>스타일쉐어</t>
        </is>
      </c>
      <c r="G6931" s="94" t="inlineStr">
        <is>
          <t>250ml</t>
        </is>
      </c>
      <c r="H6931" s="7" t="n">
        <v>190801</v>
      </c>
      <c r="I6931" s="7" t="n">
        <v>190801</v>
      </c>
      <c r="K6931" s="94" t="n">
        <v>2</v>
      </c>
      <c r="L6931" s="94" t="n">
        <v>190801</v>
      </c>
      <c r="M6931" s="94">
        <f>VLOOKUP($Q6931,매칭테이블!$F:$I,2,0)*K6931</f>
        <v/>
      </c>
      <c r="N6931" s="94">
        <f>M6931-M6931*VLOOKUP($Q6931,매칭테이블!$F:$I,3,0)</f>
        <v/>
      </c>
      <c r="O6931" s="94">
        <f>VLOOKUP($Q6931,매칭테이블!$F:$I,4,0)*K6931</f>
        <v/>
      </c>
      <c r="P6931" s="148">
        <f>M6931/1.1</f>
        <v/>
      </c>
      <c r="Q6931" s="94">
        <f>F6931&amp;E6931&amp;G6931&amp;L6931</f>
        <v/>
      </c>
    </row>
    <row r="6932" customFormat="1" s="94">
      <c r="B6932" s="128" t="n">
        <v>43999</v>
      </c>
      <c r="C6932" s="94">
        <f>TEXT(B6932,"aaa")</f>
        <v/>
      </c>
      <c r="E6932" s="94" t="inlineStr">
        <is>
          <t>선크림</t>
        </is>
      </c>
      <c r="F6932" s="94" t="inlineStr">
        <is>
          <t>카페24</t>
        </is>
      </c>
      <c r="G6932" s="94" t="inlineStr">
        <is>
          <t>선크림 50ml</t>
        </is>
      </c>
      <c r="H6932" s="7" t="n">
        <v>190801</v>
      </c>
      <c r="I6932" s="7" t="n">
        <v>190801</v>
      </c>
      <c r="K6932" s="94" t="n">
        <v>19</v>
      </c>
      <c r="L6932" s="94" t="n">
        <v>190801</v>
      </c>
      <c r="M6932" s="94">
        <f>VLOOKUP($Q6932,매칭테이블!$F:$I,2,0)*K6932</f>
        <v/>
      </c>
      <c r="N6932" s="94">
        <f>M6932-M6932*VLOOKUP($Q6932,매칭테이블!$F:$I,3,0)</f>
        <v/>
      </c>
      <c r="O6932" s="94">
        <f>VLOOKUP($Q6932,매칭테이블!$F:$I,4,0)*K6932</f>
        <v/>
      </c>
      <c r="P6932" s="148">
        <f>M6932/1.1</f>
        <v/>
      </c>
      <c r="Q6932" s="94">
        <f>F6932&amp;E6932&amp;G6932&amp;L6932</f>
        <v/>
      </c>
    </row>
    <row r="6933" customFormat="1" s="94">
      <c r="B6933" s="128" t="n">
        <v>43999</v>
      </c>
      <c r="C6933" s="94">
        <f>TEXT(B6933,"aaa")</f>
        <v/>
      </c>
      <c r="E6933" s="94" t="inlineStr">
        <is>
          <t>클렌징폼</t>
        </is>
      </c>
      <c r="F6933" s="94" t="inlineStr">
        <is>
          <t>카페24</t>
        </is>
      </c>
      <c r="G6933" s="94" t="inlineStr">
        <is>
          <t>클렌징폼 120ml(선크림할인)</t>
        </is>
      </c>
      <c r="H6933" s="7" t="n">
        <v>190801</v>
      </c>
      <c r="I6933" s="7" t="n">
        <v>190801</v>
      </c>
      <c r="K6933" s="94" t="n">
        <v>3</v>
      </c>
      <c r="L6933" s="94" t="n">
        <v>190801</v>
      </c>
      <c r="M6933" s="94">
        <f>VLOOKUP($Q6933,매칭테이블!$F:$I,2,0)*K6933</f>
        <v/>
      </c>
      <c r="N6933" s="94">
        <f>M6933-M6933*VLOOKUP($Q6933,매칭테이블!$F:$I,3,0)</f>
        <v/>
      </c>
      <c r="O6933" s="94">
        <f>VLOOKUP($Q6933,매칭테이블!$F:$I,4,0)*K6933</f>
        <v/>
      </c>
      <c r="P6933" s="148">
        <f>M6933/1.1</f>
        <v/>
      </c>
      <c r="Q6933" s="94">
        <f>F6933&amp;E6933&amp;G6933&amp;L6933</f>
        <v/>
      </c>
    </row>
    <row r="6934" customFormat="1" s="94">
      <c r="B6934" s="128" t="n">
        <v>43999</v>
      </c>
      <c r="C6934" s="94">
        <f>TEXT(B6934,"aaa")</f>
        <v/>
      </c>
      <c r="E6934" s="94" t="inlineStr">
        <is>
          <t>여름 한정 진정세트</t>
        </is>
      </c>
      <c r="F6934" s="94" t="inlineStr">
        <is>
          <t>카페24</t>
        </is>
      </c>
      <c r="G6934" s="94" t="inlineStr">
        <is>
          <t>여름 한정 진정세트</t>
        </is>
      </c>
      <c r="H6934" s="7" t="n">
        <v>190801</v>
      </c>
      <c r="I6934" s="7" t="n">
        <v>190801</v>
      </c>
      <c r="K6934" s="94" t="n">
        <v>1</v>
      </c>
      <c r="L6934" s="94" t="n">
        <v>190801</v>
      </c>
      <c r="M6934" s="94">
        <f>VLOOKUP($Q6934,매칭테이블!$F:$I,2,0)*K6934</f>
        <v/>
      </c>
      <c r="N6934" s="94">
        <f>M6934-M6934*VLOOKUP($Q6934,매칭테이블!$F:$I,3,0)</f>
        <v/>
      </c>
      <c r="O6934" s="94">
        <f>VLOOKUP($Q6934,매칭테이블!$F:$I,4,0)*K6934</f>
        <v/>
      </c>
      <c r="P6934" s="148">
        <f>M6934/1.1</f>
        <v/>
      </c>
      <c r="Q6934" s="94">
        <f>F6934&amp;E6934&amp;G6934&amp;L6934</f>
        <v/>
      </c>
    </row>
    <row r="6935" customFormat="1" s="94">
      <c r="B6935" s="128" t="n">
        <v>43999</v>
      </c>
      <c r="C6935" s="94">
        <f>TEXT(B6935,"aaa")</f>
        <v/>
      </c>
      <c r="E6935" s="94" t="inlineStr">
        <is>
          <t>여름 한정 진정세트</t>
        </is>
      </c>
      <c r="F6935" s="94" t="inlineStr">
        <is>
          <t>카페24</t>
        </is>
      </c>
      <c r="G6935" s="94" t="inlineStr">
        <is>
          <t>여름 한정 진정세트 (대용량)</t>
        </is>
      </c>
      <c r="H6935" s="7" t="n">
        <v>190801</v>
      </c>
      <c r="I6935" s="7" t="n">
        <v>190801</v>
      </c>
      <c r="K6935" s="94" t="n">
        <v>1</v>
      </c>
      <c r="L6935" s="94" t="n">
        <v>190801</v>
      </c>
      <c r="M6935" s="94">
        <f>VLOOKUP($Q6935,매칭테이블!$F:$I,2,0)*K6935</f>
        <v/>
      </c>
      <c r="N6935" s="94">
        <f>M6935-M6935*VLOOKUP($Q6935,매칭테이블!$F:$I,3,0)</f>
        <v/>
      </c>
      <c r="O6935" s="94">
        <f>VLOOKUP($Q6935,매칭테이블!$F:$I,4,0)*K6935</f>
        <v/>
      </c>
      <c r="P6935" s="148">
        <f>M6935/1.1</f>
        <v/>
      </c>
      <c r="Q6935" s="94">
        <f>F6935&amp;E6935&amp;G6935&amp;L6935</f>
        <v/>
      </c>
    </row>
    <row r="6936" customFormat="1" s="94">
      <c r="B6936" s="128" t="n">
        <v>43999</v>
      </c>
      <c r="C6936" s="94">
        <f>TEXT(B6936,"aaa")</f>
        <v/>
      </c>
      <c r="E6936" s="94" t="inlineStr">
        <is>
          <t>어성초진정패키지</t>
        </is>
      </c>
      <c r="F6936" s="94" t="inlineStr">
        <is>
          <t>카페24</t>
        </is>
      </c>
      <c r="G6936" s="94" t="inlineStr">
        <is>
          <t>어성초 진정패키지세트</t>
        </is>
      </c>
      <c r="H6936" s="7" t="n">
        <v>190801</v>
      </c>
      <c r="I6936" s="7" t="n">
        <v>190801</v>
      </c>
      <c r="K6936" s="94" t="n">
        <v>7</v>
      </c>
      <c r="L6936" s="94" t="n">
        <v>190801</v>
      </c>
      <c r="M6936" s="94">
        <f>VLOOKUP($Q6936,매칭테이블!$F:$I,2,0)*K6936</f>
        <v/>
      </c>
      <c r="N6936" s="94">
        <f>M6936-M6936*VLOOKUP($Q6936,매칭테이블!$F:$I,3,0)</f>
        <v/>
      </c>
      <c r="O6936" s="94">
        <f>VLOOKUP($Q6936,매칭테이블!$F:$I,4,0)*K6936</f>
        <v/>
      </c>
      <c r="P6936" s="148">
        <f>M6936/1.1</f>
        <v/>
      </c>
      <c r="Q6936" s="94">
        <f>F6936&amp;E6936&amp;G6936&amp;L6936</f>
        <v/>
      </c>
    </row>
    <row r="6937" customFormat="1" s="94">
      <c r="B6937" s="128" t="n">
        <v>43999</v>
      </c>
      <c r="C6937" s="94">
        <f>TEXT(B6937,"aaa")</f>
        <v/>
      </c>
      <c r="E6937" s="94" t="inlineStr">
        <is>
          <t>머드크림마스크</t>
        </is>
      </c>
      <c r="F6937" s="94" t="inlineStr">
        <is>
          <t>카페24</t>
        </is>
      </c>
      <c r="G6937" s="94" t="inlineStr">
        <is>
          <t>머드크림마스크 100ml</t>
        </is>
      </c>
      <c r="H6937" s="7" t="n">
        <v>190801</v>
      </c>
      <c r="I6937" s="7" t="n">
        <v>190801</v>
      </c>
      <c r="K6937" s="94" t="n">
        <v>7</v>
      </c>
      <c r="L6937" s="94" t="n">
        <v>190801</v>
      </c>
      <c r="M6937" s="94">
        <f>VLOOKUP($Q6937,매칭테이블!$F:$I,2,0)*K6937</f>
        <v/>
      </c>
      <c r="N6937" s="94">
        <f>M6937-M6937*VLOOKUP($Q6937,매칭테이블!$F:$I,3,0)</f>
        <v/>
      </c>
      <c r="O6937" s="94">
        <f>VLOOKUP($Q6937,매칭테이블!$F:$I,4,0)*K6937</f>
        <v/>
      </c>
      <c r="P6937" s="148">
        <f>M6937/1.1</f>
        <v/>
      </c>
      <c r="Q6937" s="94">
        <f>F6937&amp;E6937&amp;G6937&amp;L6937</f>
        <v/>
      </c>
    </row>
    <row r="6938" customFormat="1" s="94">
      <c r="B6938" s="128" t="n">
        <v>43999</v>
      </c>
      <c r="C6938" s="94">
        <f>TEXT(B6938,"aaa")</f>
        <v/>
      </c>
      <c r="E6938" s="94" t="inlineStr">
        <is>
          <t>마스크팩</t>
        </is>
      </c>
      <c r="F6938" s="94" t="inlineStr">
        <is>
          <t>카페24</t>
        </is>
      </c>
      <c r="G6938" s="94" t="inlineStr">
        <is>
          <t>마스크팩 1매</t>
        </is>
      </c>
      <c r="H6938" s="7" t="n">
        <v>190801</v>
      </c>
      <c r="I6938" s="7" t="n">
        <v>190801</v>
      </c>
      <c r="K6938" s="94" t="n">
        <v>7</v>
      </c>
      <c r="L6938" s="94" t="n">
        <v>190801</v>
      </c>
      <c r="M6938" s="94">
        <f>VLOOKUP($Q6938,매칭테이블!$F:$I,2,0)*K6938</f>
        <v/>
      </c>
      <c r="N6938" s="94">
        <f>M6938-M6938*VLOOKUP($Q6938,매칭테이블!$F:$I,3,0)</f>
        <v/>
      </c>
      <c r="O6938" s="94">
        <f>VLOOKUP($Q6938,매칭테이블!$F:$I,4,0)*K6938</f>
        <v/>
      </c>
      <c r="P6938" s="148">
        <f>M6938/1.1</f>
        <v/>
      </c>
      <c r="Q6938" s="94">
        <f>F6938&amp;E6938&amp;G6938&amp;L6938</f>
        <v/>
      </c>
    </row>
    <row r="6939" customFormat="1" s="94">
      <c r="B6939" s="128" t="n">
        <v>43999</v>
      </c>
      <c r="C6939" s="94">
        <f>TEXT(B6939,"aaa")</f>
        <v/>
      </c>
      <c r="E6939" s="94" t="inlineStr">
        <is>
          <t>마스크팩</t>
        </is>
      </c>
      <c r="F6939" s="94" t="inlineStr">
        <is>
          <t>카페24</t>
        </is>
      </c>
      <c r="G6939" s="94" t="inlineStr">
        <is>
          <t>마스크팩 10매</t>
        </is>
      </c>
      <c r="H6939" s="7" t="n">
        <v>190801</v>
      </c>
      <c r="I6939" s="7" t="n">
        <v>190801</v>
      </c>
      <c r="K6939" s="94" t="n">
        <v>1</v>
      </c>
      <c r="L6939" s="94" t="n">
        <v>190801</v>
      </c>
      <c r="M6939" s="94">
        <f>VLOOKUP($Q6939,매칭테이블!$F:$I,2,0)*K6939</f>
        <v/>
      </c>
      <c r="N6939" s="94">
        <f>M6939-M6939*VLOOKUP($Q6939,매칭테이블!$F:$I,3,0)</f>
        <v/>
      </c>
      <c r="O6939" s="94">
        <f>VLOOKUP($Q6939,매칭테이블!$F:$I,4,0)*K6939</f>
        <v/>
      </c>
      <c r="P6939" s="148">
        <f>M6939/1.1</f>
        <v/>
      </c>
      <c r="Q6939" s="94">
        <f>F6939&amp;E6939&amp;G6939&amp;L6939</f>
        <v/>
      </c>
    </row>
    <row r="6940" customFormat="1" s="94">
      <c r="B6940" s="128" t="n">
        <v>43999</v>
      </c>
      <c r="C6940" s="94">
        <f>TEXT(B6940,"aaa")</f>
        <v/>
      </c>
      <c r="E6940" s="94" t="inlineStr">
        <is>
          <t>토너</t>
        </is>
      </c>
      <c r="F6940" s="94" t="inlineStr">
        <is>
          <t>카페24</t>
        </is>
      </c>
      <c r="G6940" s="94" t="inlineStr">
        <is>
          <t>250ml</t>
        </is>
      </c>
      <c r="H6940" s="7" t="n">
        <v>190801</v>
      </c>
      <c r="I6940" s="7" t="n">
        <v>190801</v>
      </c>
      <c r="K6940" s="94" t="n">
        <v>48</v>
      </c>
      <c r="L6940" s="94" t="n">
        <v>190801</v>
      </c>
      <c r="M6940" s="94">
        <f>VLOOKUP($Q6940,매칭테이블!$F:$I,2,0)*K6940</f>
        <v/>
      </c>
      <c r="N6940" s="94">
        <f>M6940-M6940*VLOOKUP($Q6940,매칭테이블!$F:$I,3,0)</f>
        <v/>
      </c>
      <c r="O6940" s="94">
        <f>VLOOKUP($Q6940,매칭테이블!$F:$I,4,0)*K6940</f>
        <v/>
      </c>
      <c r="P6940" s="148">
        <f>M6940/1.1</f>
        <v/>
      </c>
      <c r="Q6940" s="94">
        <f>F6940&amp;E6940&amp;G6940&amp;L6940</f>
        <v/>
      </c>
    </row>
    <row r="6941" customFormat="1" s="94">
      <c r="B6941" s="128" t="n">
        <v>43999</v>
      </c>
      <c r="C6941" s="94">
        <f>TEXT(B6941,"aaa")</f>
        <v/>
      </c>
      <c r="E6941" s="94" t="inlineStr">
        <is>
          <t>토너</t>
        </is>
      </c>
      <c r="F6941" s="94" t="inlineStr">
        <is>
          <t>카페24</t>
        </is>
      </c>
      <c r="G6941" s="94" t="inlineStr">
        <is>
          <t>250ml 2set</t>
        </is>
      </c>
      <c r="H6941" s="7" t="n">
        <v>190801</v>
      </c>
      <c r="I6941" s="7" t="n">
        <v>190801</v>
      </c>
      <c r="K6941" s="94" t="n">
        <v>38</v>
      </c>
      <c r="L6941" s="94" t="n">
        <v>190801</v>
      </c>
      <c r="M6941" s="94">
        <f>VLOOKUP($Q6941,매칭테이블!$F:$I,2,0)*K6941</f>
        <v/>
      </c>
      <c r="N6941" s="94">
        <f>M6941-M6941*VLOOKUP($Q6941,매칭테이블!$F:$I,3,0)</f>
        <v/>
      </c>
      <c r="O6941" s="94">
        <f>VLOOKUP($Q6941,매칭테이블!$F:$I,4,0)*K6941</f>
        <v/>
      </c>
      <c r="P6941" s="148">
        <f>M6941/1.1</f>
        <v/>
      </c>
      <c r="Q6941" s="94">
        <f>F6941&amp;E6941&amp;G6941&amp;L6941</f>
        <v/>
      </c>
    </row>
    <row r="6942" customFormat="1" s="94">
      <c r="B6942" s="128" t="n">
        <v>43999</v>
      </c>
      <c r="C6942" s="94">
        <f>TEXT(B6942,"aaa")</f>
        <v/>
      </c>
      <c r="E6942" s="94" t="inlineStr">
        <is>
          <t>토너</t>
        </is>
      </c>
      <c r="F6942" s="94" t="inlineStr">
        <is>
          <t>카페24</t>
        </is>
      </c>
      <c r="G6942" s="94" t="inlineStr">
        <is>
          <t>500ml</t>
        </is>
      </c>
      <c r="H6942" s="7" t="n">
        <v>190801</v>
      </c>
      <c r="I6942" s="7" t="n">
        <v>190801</v>
      </c>
      <c r="K6942" s="94" t="n">
        <v>45</v>
      </c>
      <c r="L6942" s="94" t="n">
        <v>190801</v>
      </c>
      <c r="M6942" s="94">
        <f>VLOOKUP($Q6942,매칭테이블!$F:$I,2,0)*K6942</f>
        <v/>
      </c>
      <c r="N6942" s="94">
        <f>M6942-M6942*VLOOKUP($Q6942,매칭테이블!$F:$I,3,0)</f>
        <v/>
      </c>
      <c r="O6942" s="94">
        <f>VLOOKUP($Q6942,매칭테이블!$F:$I,4,0)*K6942</f>
        <v/>
      </c>
      <c r="P6942" s="148">
        <f>M6942/1.1</f>
        <v/>
      </c>
      <c r="Q6942" s="94">
        <f>F6942&amp;E6942&amp;G6942&amp;L6942</f>
        <v/>
      </c>
    </row>
    <row r="6943" customFormat="1" s="94">
      <c r="B6943" s="128" t="n">
        <v>43999</v>
      </c>
      <c r="C6943" s="94">
        <f>TEXT(B6943,"aaa")</f>
        <v/>
      </c>
      <c r="E6943" s="94" t="inlineStr">
        <is>
          <t>토너</t>
        </is>
      </c>
      <c r="F6943" s="94" t="inlineStr">
        <is>
          <t>카페24</t>
        </is>
      </c>
      <c r="G6943" s="94" t="inlineStr">
        <is>
          <t>스킨팩 화장솜 60P</t>
        </is>
      </c>
      <c r="H6943" s="7" t="n">
        <v>190801</v>
      </c>
      <c r="I6943" s="7" t="n">
        <v>190801</v>
      </c>
      <c r="K6943" s="94" t="n">
        <v>41</v>
      </c>
      <c r="L6943" s="94" t="n">
        <v>190801</v>
      </c>
      <c r="M6943" s="94">
        <f>VLOOKUP($Q6943,매칭테이블!$F:$I,2,0)*K6943</f>
        <v/>
      </c>
      <c r="N6943" s="94">
        <f>M6943-M6943*VLOOKUP($Q6943,매칭테이블!$F:$I,3,0)</f>
        <v/>
      </c>
      <c r="O6943" s="94">
        <f>VLOOKUP($Q6943,매칭테이블!$F:$I,4,0)*K6943</f>
        <v/>
      </c>
      <c r="P6943" s="148">
        <f>M6943/1.1</f>
        <v/>
      </c>
      <c r="Q6943" s="94">
        <f>F6943&amp;E6943&amp;G6943&amp;L6943</f>
        <v/>
      </c>
    </row>
    <row r="6944" customFormat="1" s="94">
      <c r="B6944" s="128" t="n">
        <v>43999</v>
      </c>
      <c r="C6944" s="94">
        <f>TEXT(B6944,"aaa")</f>
        <v/>
      </c>
      <c r="E6944" s="94" t="inlineStr">
        <is>
          <t>앰플</t>
        </is>
      </c>
      <c r="F6944" s="94" t="inlineStr">
        <is>
          <t>카페24</t>
        </is>
      </c>
      <c r="G6944" s="94" t="inlineStr">
        <is>
          <t>앰플 30ml</t>
        </is>
      </c>
      <c r="H6944" s="7" t="n">
        <v>190801</v>
      </c>
      <c r="I6944" s="7" t="n">
        <v>190801</v>
      </c>
      <c r="K6944" s="94" t="n">
        <v>15</v>
      </c>
      <c r="L6944" s="94" t="n">
        <v>190801</v>
      </c>
      <c r="M6944" s="94">
        <f>VLOOKUP($Q6944,매칭테이블!$F:$I,2,0)*K6944</f>
        <v/>
      </c>
      <c r="N6944" s="94">
        <f>M6944-M6944*VLOOKUP($Q6944,매칭테이블!$F:$I,3,0)</f>
        <v/>
      </c>
      <c r="O6944" s="94">
        <f>VLOOKUP($Q6944,매칭테이블!$F:$I,4,0)*K6944</f>
        <v/>
      </c>
      <c r="P6944" s="148">
        <f>M6944/1.1</f>
        <v/>
      </c>
      <c r="Q6944" s="94">
        <f>F6944&amp;E6944&amp;G6944&amp;L6944</f>
        <v/>
      </c>
    </row>
    <row r="6945" customFormat="1" s="94">
      <c r="B6945" s="128" t="n">
        <v>43999</v>
      </c>
      <c r="C6945" s="94">
        <f>TEXT(B6945,"aaa")</f>
        <v/>
      </c>
      <c r="E6945" s="94" t="inlineStr">
        <is>
          <t>수딩크림</t>
        </is>
      </c>
      <c r="F6945" s="94" t="inlineStr">
        <is>
          <t>카페24</t>
        </is>
      </c>
      <c r="G6945" s="94" t="inlineStr">
        <is>
          <t>수딩크림 100ml</t>
        </is>
      </c>
      <c r="H6945" s="7" t="n">
        <v>190801</v>
      </c>
      <c r="I6945" s="7" t="n">
        <v>190801</v>
      </c>
      <c r="K6945" s="94" t="n">
        <v>3</v>
      </c>
      <c r="L6945" s="94" t="n">
        <v>190801</v>
      </c>
      <c r="M6945" s="94">
        <f>VLOOKUP($Q6945,매칭테이블!$F:$I,2,0)*K6945</f>
        <v/>
      </c>
      <c r="N6945" s="94">
        <f>M6945-M6945*VLOOKUP($Q6945,매칭테이블!$F:$I,3,0)</f>
        <v/>
      </c>
      <c r="O6945" s="94">
        <f>VLOOKUP($Q6945,매칭테이블!$F:$I,4,0)*K6945</f>
        <v/>
      </c>
      <c r="P6945" s="148">
        <f>M6945/1.1</f>
        <v/>
      </c>
      <c r="Q6945" s="94">
        <f>F6945&amp;E6945&amp;G6945&amp;L6945</f>
        <v/>
      </c>
    </row>
    <row r="6946" customFormat="1" s="94">
      <c r="B6946" s="128" t="n">
        <v>43999</v>
      </c>
      <c r="C6946" s="94">
        <f>TEXT(B6946,"aaa")</f>
        <v/>
      </c>
      <c r="E6946" s="94" t="inlineStr">
        <is>
          <t>클렌징폼</t>
        </is>
      </c>
      <c r="F6946" s="94" t="inlineStr">
        <is>
          <t>카페24</t>
        </is>
      </c>
      <c r="G6946" s="94" t="inlineStr">
        <is>
          <t>클렌징폼 120ml</t>
        </is>
      </c>
      <c r="H6946" s="7" t="n">
        <v>190801</v>
      </c>
      <c r="I6946" s="7" t="n">
        <v>190801</v>
      </c>
      <c r="K6946" s="94" t="n">
        <v>6</v>
      </c>
      <c r="L6946" s="94" t="n">
        <v>190801</v>
      </c>
      <c r="M6946" s="94">
        <f>VLOOKUP($Q6946,매칭테이블!$F:$I,2,0)*K6946</f>
        <v/>
      </c>
      <c r="N6946" s="94">
        <f>M6946-M6946*VLOOKUP($Q6946,매칭테이블!$F:$I,3,0)</f>
        <v/>
      </c>
      <c r="O6946" s="94">
        <f>VLOOKUP($Q6946,매칭테이블!$F:$I,4,0)*K6946</f>
        <v/>
      </c>
      <c r="P6946" s="148">
        <f>M6946/1.1</f>
        <v/>
      </c>
      <c r="Q6946" s="94">
        <f>F6946&amp;E6946&amp;G6946&amp;L6946</f>
        <v/>
      </c>
    </row>
    <row r="6947" customFormat="1" s="94">
      <c r="B6947" s="128" t="n">
        <v>43999</v>
      </c>
      <c r="C6947" s="94">
        <f>TEXT(B6947,"aaa")</f>
        <v/>
      </c>
      <c r="E6947" s="94" t="inlineStr">
        <is>
          <t>토너</t>
        </is>
      </c>
      <c r="F6947" s="94" t="inlineStr">
        <is>
          <t>큐텐</t>
        </is>
      </c>
      <c r="G6947" s="94" t="inlineStr">
        <is>
          <t>250ml</t>
        </is>
      </c>
      <c r="H6947" s="7" t="n">
        <v>190801</v>
      </c>
      <c r="I6947" s="7" t="n">
        <v>190801</v>
      </c>
      <c r="K6947" s="94" t="n">
        <v>6</v>
      </c>
      <c r="L6947" s="94" t="n">
        <v>190801</v>
      </c>
      <c r="M6947" s="94">
        <f>VLOOKUP($Q6947,매칭테이블!$F:$I,2,0)*K6947</f>
        <v/>
      </c>
      <c r="N6947" s="94">
        <f>M6947-M6947*VLOOKUP($Q6947,매칭테이블!$F:$I,3,0)</f>
        <v/>
      </c>
      <c r="O6947" s="94">
        <f>VLOOKUP($Q6947,매칭테이블!$F:$I,4,0)*K6947</f>
        <v/>
      </c>
      <c r="P6947" s="148">
        <f>M6947/1.1</f>
        <v/>
      </c>
      <c r="Q6947" s="94">
        <f>F6947&amp;E6947&amp;G6947&amp;L6947</f>
        <v/>
      </c>
    </row>
    <row r="6948" customFormat="1" s="94">
      <c r="B6948" s="128" t="n">
        <v>43999</v>
      </c>
      <c r="C6948" s="94">
        <f>TEXT(B6948,"aaa")</f>
        <v/>
      </c>
      <c r="E6948" s="94" t="inlineStr">
        <is>
          <t>토너</t>
        </is>
      </c>
      <c r="F6948" s="94" t="inlineStr">
        <is>
          <t>큐텐</t>
        </is>
      </c>
      <c r="G6948" s="94" t="inlineStr">
        <is>
          <t>250ml 2set</t>
        </is>
      </c>
      <c r="H6948" s="7" t="n">
        <v>190801</v>
      </c>
      <c r="I6948" s="7" t="n">
        <v>190801</v>
      </c>
      <c r="K6948" s="94" t="n">
        <v>5</v>
      </c>
      <c r="L6948" s="94" t="n">
        <v>190801</v>
      </c>
      <c r="M6948" s="94">
        <f>VLOOKUP($Q6948,매칭테이블!$F:$I,2,0)*K6948</f>
        <v/>
      </c>
      <c r="N6948" s="94">
        <f>M6948-M6948*VLOOKUP($Q6948,매칭테이블!$F:$I,3,0)</f>
        <v/>
      </c>
      <c r="O6948" s="94">
        <f>VLOOKUP($Q6948,매칭테이블!$F:$I,4,0)*K6948</f>
        <v/>
      </c>
      <c r="P6948" s="148">
        <f>M6948/1.1</f>
        <v/>
      </c>
      <c r="Q6948" s="94">
        <f>F6948&amp;E6948&amp;G6948&amp;L6948</f>
        <v/>
      </c>
    </row>
    <row r="6949" customFormat="1" s="94">
      <c r="B6949" s="128" t="n">
        <v>43999</v>
      </c>
      <c r="C6949" s="94">
        <f>TEXT(B6949,"aaa")</f>
        <v/>
      </c>
      <c r="E6949" s="94" t="inlineStr">
        <is>
          <t>앰플</t>
        </is>
      </c>
      <c r="F6949" s="94" t="inlineStr">
        <is>
          <t>큐텐</t>
        </is>
      </c>
      <c r="G6949" s="94" t="inlineStr">
        <is>
          <t>앰플 30ml</t>
        </is>
      </c>
      <c r="H6949" s="7" t="n">
        <v>190801</v>
      </c>
      <c r="I6949" s="7" t="n">
        <v>190801</v>
      </c>
      <c r="K6949" s="94" t="n">
        <v>2</v>
      </c>
      <c r="L6949" s="94" t="n">
        <v>190801</v>
      </c>
      <c r="M6949" s="94">
        <f>VLOOKUP($Q6949,매칭테이블!$F:$I,2,0)*K6949</f>
        <v/>
      </c>
      <c r="N6949" s="94">
        <f>M6949-M6949*VLOOKUP($Q6949,매칭테이블!$F:$I,3,0)</f>
        <v/>
      </c>
      <c r="O6949" s="94">
        <f>VLOOKUP($Q6949,매칭테이블!$F:$I,4,0)*K6949</f>
        <v/>
      </c>
      <c r="P6949" s="148">
        <f>M6949/1.1</f>
        <v/>
      </c>
      <c r="Q6949" s="94">
        <f>F6949&amp;E6949&amp;G6949&amp;L6949</f>
        <v/>
      </c>
    </row>
    <row r="6950" customFormat="1" s="94">
      <c r="B6950" s="128" t="n">
        <v>43999</v>
      </c>
      <c r="C6950" s="94">
        <f>TEXT(B6950,"aaa")</f>
        <v/>
      </c>
      <c r="E6950" s="94" t="inlineStr">
        <is>
          <t>마스크팩</t>
        </is>
      </c>
      <c r="F6950" s="94" t="inlineStr">
        <is>
          <t>큐텐</t>
        </is>
      </c>
      <c r="G6950" s="94" t="inlineStr">
        <is>
          <t>마스크팩 10매</t>
        </is>
      </c>
      <c r="H6950" s="7" t="n">
        <v>190801</v>
      </c>
      <c r="I6950" s="7" t="n">
        <v>190801</v>
      </c>
      <c r="K6950" s="94" t="n">
        <v>1</v>
      </c>
      <c r="L6950" s="94" t="n">
        <v>190801</v>
      </c>
      <c r="M6950" s="94">
        <f>VLOOKUP($Q6950,매칭테이블!$F:$I,2,0)*K6950</f>
        <v/>
      </c>
      <c r="N6950" s="94">
        <f>M6950-M6950*VLOOKUP($Q6950,매칭테이블!$F:$I,3,0)</f>
        <v/>
      </c>
      <c r="O6950" s="94">
        <f>VLOOKUP($Q6950,매칭테이블!$F:$I,4,0)*K6950</f>
        <v/>
      </c>
      <c r="P6950" s="148">
        <f>M6950/1.1</f>
        <v/>
      </c>
      <c r="Q6950" s="94">
        <f>F6950&amp;E6950&amp;G6950&amp;L6950</f>
        <v/>
      </c>
    </row>
    <row r="6951" customFormat="1" s="94">
      <c r="B6951" s="128" t="n">
        <v>44000</v>
      </c>
      <c r="C6951" s="94">
        <f>TEXT(B6951,"aaa")</f>
        <v/>
      </c>
      <c r="E6951" s="6" t="inlineStr">
        <is>
          <t>토너</t>
        </is>
      </c>
      <c r="F6951" s="5" t="inlineStr">
        <is>
          <t>W컨셉</t>
        </is>
      </c>
      <c r="G6951" s="5" t="inlineStr">
        <is>
          <t>250ml</t>
        </is>
      </c>
      <c r="H6951" s="7" t="n">
        <v>190801</v>
      </c>
      <c r="I6951" s="7" t="n">
        <v>190801</v>
      </c>
      <c r="K6951" s="6" t="n">
        <v>2</v>
      </c>
      <c r="L6951" s="7" t="n">
        <v>190801</v>
      </c>
      <c r="M6951" s="94">
        <f>VLOOKUP($Q6951,매칭테이블!$F:$I,2,0)*K6951</f>
        <v/>
      </c>
      <c r="N6951" s="94">
        <f>M6951-M6951*VLOOKUP($Q6951,매칭테이블!$F:$I,3,0)</f>
        <v/>
      </c>
      <c r="O6951" s="94">
        <f>VLOOKUP($Q6951,매칭테이블!$F:$I,4,0)*K6951</f>
        <v/>
      </c>
      <c r="P6951" s="148">
        <f>M6951/1.1</f>
        <v/>
      </c>
      <c r="Q6951" s="94">
        <f>F6951&amp;E6951&amp;G6951&amp;L6951</f>
        <v/>
      </c>
    </row>
    <row r="6952" customFormat="1" s="94">
      <c r="B6952" s="128" t="n">
        <v>44000</v>
      </c>
      <c r="C6952" s="94">
        <f>TEXT(B6952,"aaa")</f>
        <v/>
      </c>
      <c r="E6952" s="6" t="inlineStr">
        <is>
          <t>토너</t>
        </is>
      </c>
      <c r="F6952" s="5" t="inlineStr">
        <is>
          <t>W컨셉</t>
        </is>
      </c>
      <c r="G6952" s="5" t="inlineStr">
        <is>
          <t>250ml 2set</t>
        </is>
      </c>
      <c r="H6952" s="7" t="n">
        <v>190801</v>
      </c>
      <c r="I6952" s="7" t="n">
        <v>190801</v>
      </c>
      <c r="K6952" s="6" t="n">
        <v>21</v>
      </c>
      <c r="L6952" s="7" t="n">
        <v>190801</v>
      </c>
      <c r="M6952" s="94">
        <f>VLOOKUP($Q6952,매칭테이블!$F:$I,2,0)*K6952</f>
        <v/>
      </c>
      <c r="N6952" s="94">
        <f>M6952-M6952*VLOOKUP($Q6952,매칭테이블!$F:$I,3,0)</f>
        <v/>
      </c>
      <c r="O6952" s="94">
        <f>VLOOKUP($Q6952,매칭테이블!$F:$I,4,0)*K6952</f>
        <v/>
      </c>
      <c r="P6952" s="148">
        <f>M6952/1.1</f>
        <v/>
      </c>
      <c r="Q6952" s="94">
        <f>F6952&amp;E6952&amp;G6952&amp;L6952</f>
        <v/>
      </c>
    </row>
    <row r="6953" customFormat="1" s="94">
      <c r="B6953" s="128" t="n">
        <v>44000</v>
      </c>
      <c r="C6953" s="94">
        <f>TEXT(B6953,"aaa")</f>
        <v/>
      </c>
      <c r="E6953" s="94" t="inlineStr">
        <is>
          <t>선크림</t>
        </is>
      </c>
      <c r="F6953" s="94" t="inlineStr">
        <is>
          <t>카페24</t>
        </is>
      </c>
      <c r="G6953" s="94" t="inlineStr">
        <is>
          <t>선크림 50ml</t>
        </is>
      </c>
      <c r="H6953" s="7" t="n">
        <v>190801</v>
      </c>
      <c r="I6953" s="7" t="n">
        <v>190801</v>
      </c>
      <c r="K6953" s="6" t="n">
        <v>10</v>
      </c>
      <c r="L6953" s="7" t="n">
        <v>190801</v>
      </c>
      <c r="M6953" s="94">
        <f>VLOOKUP($Q6953,매칭테이블!$F:$I,2,0)*K6953</f>
        <v/>
      </c>
      <c r="N6953" s="94">
        <f>M6953-M6953*VLOOKUP($Q6953,매칭테이블!$F:$I,3,0)</f>
        <v/>
      </c>
      <c r="O6953" s="94">
        <f>VLOOKUP($Q6953,매칭테이블!$F:$I,4,0)*K6953</f>
        <v/>
      </c>
      <c r="P6953" s="148">
        <f>M6953/1.1</f>
        <v/>
      </c>
      <c r="Q6953" s="94">
        <f>F6953&amp;E6953&amp;G6953&amp;L6953</f>
        <v/>
      </c>
    </row>
    <row r="6954" customFormat="1" s="57">
      <c r="B6954" s="128" t="n">
        <v>44000</v>
      </c>
      <c r="C6954" s="94">
        <f>TEXT(B6954,"aaa")</f>
        <v/>
      </c>
      <c r="E6954" s="57" t="inlineStr">
        <is>
          <t>선크림</t>
        </is>
      </c>
      <c r="F6954" s="57" t="inlineStr">
        <is>
          <t>카페24</t>
        </is>
      </c>
      <c r="G6954" s="57" t="inlineStr">
        <is>
          <t>선크림 50ml  2set</t>
        </is>
      </c>
      <c r="H6954" s="53" t="n">
        <v>190801</v>
      </c>
      <c r="I6954" s="53" t="n">
        <v>190801</v>
      </c>
      <c r="K6954" s="18" t="n">
        <v>2</v>
      </c>
      <c r="L6954" s="53" t="n">
        <v>190801</v>
      </c>
      <c r="M6954" s="94">
        <f>VLOOKUP($Q6954,매칭테이블!$F:$I,2,0)*K6954</f>
        <v/>
      </c>
      <c r="N6954" s="94">
        <f>M6954-M6954*VLOOKUP($Q6954,매칭테이블!$F:$I,3,0)</f>
        <v/>
      </c>
      <c r="O6954" s="94">
        <f>VLOOKUP($Q6954,매칭테이블!$F:$I,4,0)*K6954</f>
        <v/>
      </c>
      <c r="P6954" s="148">
        <f>M6954/1.1</f>
        <v/>
      </c>
      <c r="Q6954" s="94">
        <f>F6954&amp;E6954&amp;G6954&amp;L6954</f>
        <v/>
      </c>
    </row>
    <row r="6955" customFormat="1" s="94">
      <c r="B6955" s="128" t="n">
        <v>44000</v>
      </c>
      <c r="C6955" s="94">
        <f>TEXT(B6955,"aaa")</f>
        <v/>
      </c>
      <c r="E6955" s="94" t="inlineStr">
        <is>
          <t>클렌징폼</t>
        </is>
      </c>
      <c r="F6955" s="94" t="inlineStr">
        <is>
          <t>카페24</t>
        </is>
      </c>
      <c r="G6955" s="94" t="inlineStr">
        <is>
          <t>클렌징폼 120ml(선크림할인)</t>
        </is>
      </c>
      <c r="H6955" s="7" t="n">
        <v>190801</v>
      </c>
      <c r="I6955" s="7" t="n">
        <v>190801</v>
      </c>
      <c r="K6955" s="6" t="n">
        <v>4</v>
      </c>
      <c r="L6955" s="92" t="n">
        <v>190801</v>
      </c>
      <c r="M6955" s="94">
        <f>VLOOKUP($Q6955,매칭테이블!$F:$I,2,0)*K6955</f>
        <v/>
      </c>
      <c r="N6955" s="94">
        <f>M6955-M6955*VLOOKUP($Q6955,매칭테이블!$F:$I,3,0)</f>
        <v/>
      </c>
      <c r="O6955" s="94">
        <f>VLOOKUP($Q6955,매칭테이블!$F:$I,4,0)*K6955</f>
        <v/>
      </c>
      <c r="P6955" s="148">
        <f>M6955/1.1</f>
        <v/>
      </c>
      <c r="Q6955" s="94">
        <f>F6955&amp;E6955&amp;G6955&amp;L6955</f>
        <v/>
      </c>
    </row>
    <row r="6956" customFormat="1" s="94">
      <c r="B6956" s="128" t="n">
        <v>44000</v>
      </c>
      <c r="C6956" s="94">
        <f>TEXT(B6956,"aaa")</f>
        <v/>
      </c>
      <c r="E6956" s="94" t="inlineStr">
        <is>
          <t>여름 한정 진정세트</t>
        </is>
      </c>
      <c r="F6956" s="94" t="inlineStr">
        <is>
          <t>카페24</t>
        </is>
      </c>
      <c r="G6956" s="94" t="inlineStr">
        <is>
          <t>여름 한정 진정세트</t>
        </is>
      </c>
      <c r="H6956" s="7" t="n">
        <v>190801</v>
      </c>
      <c r="I6956" s="7" t="n">
        <v>190801</v>
      </c>
      <c r="K6956" s="6" t="n">
        <v>12</v>
      </c>
      <c r="L6956" s="92" t="n">
        <v>190801</v>
      </c>
      <c r="M6956" s="94">
        <f>VLOOKUP($Q6956,매칭테이블!$F:$I,2,0)*K6956</f>
        <v/>
      </c>
      <c r="N6956" s="94">
        <f>M6956-M6956*VLOOKUP($Q6956,매칭테이블!$F:$I,3,0)</f>
        <v/>
      </c>
      <c r="O6956" s="94">
        <f>VLOOKUP($Q6956,매칭테이블!$F:$I,4,0)*K6956</f>
        <v/>
      </c>
      <c r="P6956" s="148">
        <f>M6956/1.1</f>
        <v/>
      </c>
      <c r="Q6956" s="94">
        <f>F6956&amp;E6956&amp;G6956&amp;L6956</f>
        <v/>
      </c>
    </row>
    <row r="6957" customFormat="1" s="94">
      <c r="B6957" s="128" t="n">
        <v>44000</v>
      </c>
      <c r="C6957" s="94">
        <f>TEXT(B6957,"aaa")</f>
        <v/>
      </c>
      <c r="E6957" s="94" t="inlineStr">
        <is>
          <t>여름 한정 진정세트</t>
        </is>
      </c>
      <c r="F6957" s="94" t="inlineStr">
        <is>
          <t>카페24</t>
        </is>
      </c>
      <c r="G6957" s="94" t="inlineStr">
        <is>
          <t>여름 한정 진정세트 (대용량)</t>
        </is>
      </c>
      <c r="H6957" s="7" t="n">
        <v>190801</v>
      </c>
      <c r="I6957" s="7" t="n">
        <v>190801</v>
      </c>
      <c r="K6957" s="6" t="n">
        <v>25</v>
      </c>
      <c r="L6957" s="92" t="n">
        <v>190801</v>
      </c>
      <c r="M6957" s="94">
        <f>VLOOKUP($Q6957,매칭테이블!$F:$I,2,0)*K6957</f>
        <v/>
      </c>
      <c r="N6957" s="94">
        <f>M6957-M6957*VLOOKUP($Q6957,매칭테이블!$F:$I,3,0)</f>
        <v/>
      </c>
      <c r="O6957" s="94">
        <f>VLOOKUP($Q6957,매칭테이블!$F:$I,4,0)*K6957</f>
        <v/>
      </c>
      <c r="P6957" s="148">
        <f>M6957/1.1</f>
        <v/>
      </c>
      <c r="Q6957" s="94">
        <f>F6957&amp;E6957&amp;G6957&amp;L6957</f>
        <v/>
      </c>
    </row>
    <row r="6958" customFormat="1" s="94">
      <c r="B6958" s="128" t="n">
        <v>44000</v>
      </c>
      <c r="C6958" s="94">
        <f>TEXT(B6958,"aaa")</f>
        <v/>
      </c>
      <c r="E6958" s="94" t="inlineStr">
        <is>
          <t>어성초진정패키지</t>
        </is>
      </c>
      <c r="F6958" s="94" t="inlineStr">
        <is>
          <t>카페24</t>
        </is>
      </c>
      <c r="G6958" s="94" t="inlineStr">
        <is>
          <t>어성초 진정패키지세트</t>
        </is>
      </c>
      <c r="H6958" s="7" t="n">
        <v>190801</v>
      </c>
      <c r="I6958" s="7" t="n">
        <v>190801</v>
      </c>
      <c r="K6958" s="6" t="n">
        <v>16</v>
      </c>
      <c r="L6958" s="94" t="n">
        <v>190801</v>
      </c>
      <c r="M6958" s="94">
        <f>VLOOKUP($Q6958,매칭테이블!$F:$I,2,0)*K6958</f>
        <v/>
      </c>
      <c r="N6958" s="94">
        <f>M6958-M6958*VLOOKUP($Q6958,매칭테이블!$F:$I,3,0)</f>
        <v/>
      </c>
      <c r="O6958" s="94">
        <f>VLOOKUP($Q6958,매칭테이블!$F:$I,4,0)*K6958</f>
        <v/>
      </c>
      <c r="P6958" s="148">
        <f>M6958/1.1</f>
        <v/>
      </c>
      <c r="Q6958" s="94">
        <f>F6958&amp;E6958&amp;G6958&amp;L6958</f>
        <v/>
      </c>
    </row>
    <row r="6959" customFormat="1" s="94">
      <c r="B6959" s="128" t="n">
        <v>44000</v>
      </c>
      <c r="C6959" s="94">
        <f>TEXT(B6959,"aaa")</f>
        <v/>
      </c>
      <c r="E6959" s="94" t="inlineStr">
        <is>
          <t>머드크림마스크</t>
        </is>
      </c>
      <c r="F6959" s="94" t="inlineStr">
        <is>
          <t>카페24</t>
        </is>
      </c>
      <c r="G6959" s="94" t="inlineStr">
        <is>
          <t>머드크림마스크 100ml</t>
        </is>
      </c>
      <c r="H6959" s="7" t="n">
        <v>190801</v>
      </c>
      <c r="I6959" s="7" t="n">
        <v>190801</v>
      </c>
      <c r="K6959" s="6" t="n">
        <v>4</v>
      </c>
      <c r="L6959" s="94" t="n">
        <v>190801</v>
      </c>
      <c r="M6959" s="94">
        <f>VLOOKUP($Q6959,매칭테이블!$F:$I,2,0)*K6959</f>
        <v/>
      </c>
      <c r="N6959" s="94">
        <f>M6959-M6959*VLOOKUP($Q6959,매칭테이블!$F:$I,3,0)</f>
        <v/>
      </c>
      <c r="O6959" s="94">
        <f>VLOOKUP($Q6959,매칭테이블!$F:$I,4,0)*K6959</f>
        <v/>
      </c>
      <c r="P6959" s="148">
        <f>M6959/1.1</f>
        <v/>
      </c>
      <c r="Q6959" s="94">
        <f>F6959&amp;E6959&amp;G6959&amp;L6959</f>
        <v/>
      </c>
    </row>
    <row r="6960" customFormat="1" s="94">
      <c r="B6960" s="128" t="n">
        <v>44000</v>
      </c>
      <c r="C6960" s="94">
        <f>TEXT(B6960,"aaa")</f>
        <v/>
      </c>
      <c r="E6960" s="94" t="inlineStr">
        <is>
          <t>머드크림마스크</t>
        </is>
      </c>
      <c r="F6960" s="94" t="inlineStr">
        <is>
          <t>카페24</t>
        </is>
      </c>
      <c r="G6960" s="94" t="inlineStr">
        <is>
          <t>머드크림마스크 100ml 2set</t>
        </is>
      </c>
      <c r="H6960" s="7" t="n">
        <v>190801</v>
      </c>
      <c r="I6960" s="7" t="n">
        <v>190801</v>
      </c>
      <c r="K6960" s="6" t="n">
        <v>1</v>
      </c>
      <c r="L6960" s="94" t="n">
        <v>190801</v>
      </c>
      <c r="M6960" s="94">
        <f>VLOOKUP($Q6960,매칭테이블!$F:$I,2,0)*K6960</f>
        <v/>
      </c>
      <c r="N6960" s="94">
        <f>M6960-M6960*VLOOKUP($Q6960,매칭테이블!$F:$I,3,0)</f>
        <v/>
      </c>
      <c r="O6960" s="94">
        <f>VLOOKUP($Q6960,매칭테이블!$F:$I,4,0)*K6960</f>
        <v/>
      </c>
      <c r="P6960" s="148">
        <f>M6960/1.1</f>
        <v/>
      </c>
      <c r="Q6960" s="94">
        <f>F6960&amp;E6960&amp;G6960&amp;L6960</f>
        <v/>
      </c>
    </row>
    <row r="6961" customFormat="1" s="94">
      <c r="B6961" s="128" t="n">
        <v>44000</v>
      </c>
      <c r="C6961" s="94">
        <f>TEXT(B6961,"aaa")</f>
        <v/>
      </c>
      <c r="E6961" s="94" t="inlineStr">
        <is>
          <t>마스크팩</t>
        </is>
      </c>
      <c r="F6961" s="94" t="inlineStr">
        <is>
          <t>카페24</t>
        </is>
      </c>
      <c r="G6961" s="94" t="inlineStr">
        <is>
          <t>마스크팩 10매</t>
        </is>
      </c>
      <c r="H6961" s="7" t="n">
        <v>190801</v>
      </c>
      <c r="I6961" s="7" t="n">
        <v>190801</v>
      </c>
      <c r="K6961" s="6" t="n">
        <v>7</v>
      </c>
      <c r="L6961" s="94" t="n">
        <v>190801</v>
      </c>
      <c r="M6961" s="94">
        <f>VLOOKUP($Q6961,매칭테이블!$F:$I,2,0)*K6961</f>
        <v/>
      </c>
      <c r="N6961" s="94">
        <f>M6961-M6961*VLOOKUP($Q6961,매칭테이블!$F:$I,3,0)</f>
        <v/>
      </c>
      <c r="O6961" s="94">
        <f>VLOOKUP($Q6961,매칭테이블!$F:$I,4,0)*K6961</f>
        <v/>
      </c>
      <c r="P6961" s="148">
        <f>M6961/1.1</f>
        <v/>
      </c>
      <c r="Q6961" s="94">
        <f>F6961&amp;E6961&amp;G6961&amp;L6961</f>
        <v/>
      </c>
    </row>
    <row r="6962" customFormat="1" s="94">
      <c r="B6962" s="128" t="n">
        <v>44000</v>
      </c>
      <c r="C6962" s="94">
        <f>TEXT(B6962,"aaa")</f>
        <v/>
      </c>
      <c r="E6962" s="6" t="inlineStr">
        <is>
          <t>토너</t>
        </is>
      </c>
      <c r="F6962" s="5" t="inlineStr">
        <is>
          <t>카페24</t>
        </is>
      </c>
      <c r="G6962" s="5" t="inlineStr">
        <is>
          <t>250ml</t>
        </is>
      </c>
      <c r="H6962" s="7" t="n">
        <v>190801</v>
      </c>
      <c r="I6962" s="7" t="n">
        <v>190801</v>
      </c>
      <c r="K6962" s="6" t="n">
        <v>51</v>
      </c>
      <c r="L6962" s="7" t="n">
        <v>190801</v>
      </c>
      <c r="M6962" s="94">
        <f>VLOOKUP($Q6962,매칭테이블!$F:$I,2,0)*K6962</f>
        <v/>
      </c>
      <c r="N6962" s="94">
        <f>M6962-M6962*VLOOKUP($Q6962,매칭테이블!$F:$I,3,0)</f>
        <v/>
      </c>
      <c r="O6962" s="94">
        <f>VLOOKUP($Q6962,매칭테이블!$F:$I,4,0)*K6962</f>
        <v/>
      </c>
      <c r="P6962" s="148">
        <f>M6962/1.1</f>
        <v/>
      </c>
      <c r="Q6962" s="94">
        <f>F6962&amp;E6962&amp;G6962&amp;L6962</f>
        <v/>
      </c>
    </row>
    <row r="6963" customFormat="1" s="94">
      <c r="B6963" s="128" t="n">
        <v>44000</v>
      </c>
      <c r="C6963" s="94">
        <f>TEXT(B6963,"aaa")</f>
        <v/>
      </c>
      <c r="E6963" s="6" t="inlineStr">
        <is>
          <t>토너</t>
        </is>
      </c>
      <c r="F6963" s="5" t="inlineStr">
        <is>
          <t>카페24</t>
        </is>
      </c>
      <c r="G6963" s="5" t="inlineStr">
        <is>
          <t>250ml 2set</t>
        </is>
      </c>
      <c r="H6963" s="7" t="n">
        <v>190801</v>
      </c>
      <c r="I6963" s="7" t="n">
        <v>190801</v>
      </c>
      <c r="K6963" s="6" t="n">
        <v>48</v>
      </c>
      <c r="L6963" s="7" t="n">
        <v>190801</v>
      </c>
      <c r="M6963" s="94">
        <f>VLOOKUP($Q6963,매칭테이블!$F:$I,2,0)*K6963</f>
        <v/>
      </c>
      <c r="N6963" s="94">
        <f>M6963-M6963*VLOOKUP($Q6963,매칭테이블!$F:$I,3,0)</f>
        <v/>
      </c>
      <c r="O6963" s="94">
        <f>VLOOKUP($Q6963,매칭테이블!$F:$I,4,0)*K6963</f>
        <v/>
      </c>
      <c r="P6963" s="148">
        <f>M6963/1.1</f>
        <v/>
      </c>
      <c r="Q6963" s="94">
        <f>F6963&amp;E6963&amp;G6963&amp;L6963</f>
        <v/>
      </c>
    </row>
    <row r="6964" customFormat="1" s="94">
      <c r="B6964" s="128" t="n">
        <v>44000</v>
      </c>
      <c r="C6964" s="94">
        <f>TEXT(B6964,"aaa")</f>
        <v/>
      </c>
      <c r="E6964" s="6" t="inlineStr">
        <is>
          <t>토너</t>
        </is>
      </c>
      <c r="F6964" s="5" t="inlineStr">
        <is>
          <t>카페24</t>
        </is>
      </c>
      <c r="G6964" s="5" t="inlineStr">
        <is>
          <t>500ml</t>
        </is>
      </c>
      <c r="H6964" s="7" t="n">
        <v>190801</v>
      </c>
      <c r="I6964" s="7" t="n">
        <v>190801</v>
      </c>
      <c r="K6964" s="6" t="n">
        <v>64</v>
      </c>
      <c r="L6964" s="7" t="n">
        <v>190801</v>
      </c>
      <c r="M6964" s="94">
        <f>VLOOKUP($Q6964,매칭테이블!$F:$I,2,0)*K6964</f>
        <v/>
      </c>
      <c r="N6964" s="94">
        <f>M6964-M6964*VLOOKUP($Q6964,매칭테이블!$F:$I,3,0)</f>
        <v/>
      </c>
      <c r="O6964" s="94">
        <f>VLOOKUP($Q6964,매칭테이블!$F:$I,4,0)*K6964</f>
        <v/>
      </c>
      <c r="P6964" s="148">
        <f>M6964/1.1</f>
        <v/>
      </c>
      <c r="Q6964" s="94">
        <f>F6964&amp;E6964&amp;G6964&amp;L6964</f>
        <v/>
      </c>
    </row>
    <row r="6965" customFormat="1" s="94">
      <c r="B6965" s="128" t="n">
        <v>44000</v>
      </c>
      <c r="C6965" s="94">
        <f>TEXT(B6965,"aaa")</f>
        <v/>
      </c>
      <c r="E6965" s="6" t="inlineStr">
        <is>
          <t>토너</t>
        </is>
      </c>
      <c r="F6965" s="5" t="inlineStr">
        <is>
          <t>카페24</t>
        </is>
      </c>
      <c r="G6965" s="94" t="inlineStr">
        <is>
          <t>스킨팩 화장솜 60P</t>
        </is>
      </c>
      <c r="H6965" s="7" t="n">
        <v>190801</v>
      </c>
      <c r="I6965" s="7" t="n">
        <v>190801</v>
      </c>
      <c r="K6965" s="6" t="n">
        <v>67</v>
      </c>
      <c r="L6965" s="7" t="n">
        <v>190801</v>
      </c>
      <c r="M6965" s="94">
        <f>VLOOKUP($Q6965,매칭테이블!$F:$I,2,0)*K6965</f>
        <v/>
      </c>
      <c r="N6965" s="94">
        <f>M6965-M6965*VLOOKUP($Q6965,매칭테이블!$F:$I,3,0)</f>
        <v/>
      </c>
      <c r="O6965" s="94">
        <f>VLOOKUP($Q6965,매칭테이블!$F:$I,4,0)*K6965</f>
        <v/>
      </c>
      <c r="P6965" s="148">
        <f>M6965/1.1</f>
        <v/>
      </c>
      <c r="Q6965" s="94">
        <f>F6965&amp;E6965&amp;G6965&amp;L6965</f>
        <v/>
      </c>
    </row>
    <row r="6966" customFormat="1" s="94">
      <c r="B6966" s="128" t="n">
        <v>44000</v>
      </c>
      <c r="C6966" s="94">
        <f>TEXT(B6966,"aaa")</f>
        <v/>
      </c>
      <c r="E6966" s="94" t="inlineStr">
        <is>
          <t>앰플</t>
        </is>
      </c>
      <c r="F6966" s="5" t="inlineStr">
        <is>
          <t>카페24</t>
        </is>
      </c>
      <c r="G6966" s="94" t="inlineStr">
        <is>
          <t>앰플 30ml</t>
        </is>
      </c>
      <c r="H6966" s="7" t="n">
        <v>190801</v>
      </c>
      <c r="I6966" s="7" t="n">
        <v>190801</v>
      </c>
      <c r="K6966" s="6" t="n">
        <v>11</v>
      </c>
      <c r="L6966" s="94" t="n">
        <v>190801</v>
      </c>
      <c r="M6966" s="94">
        <f>VLOOKUP($Q6966,매칭테이블!$F:$I,2,0)*K6966</f>
        <v/>
      </c>
      <c r="N6966" s="94">
        <f>M6966-M6966*VLOOKUP($Q6966,매칭테이블!$F:$I,3,0)</f>
        <v/>
      </c>
      <c r="O6966" s="94">
        <f>VLOOKUP($Q6966,매칭테이블!$F:$I,4,0)*K6966</f>
        <v/>
      </c>
      <c r="P6966" s="148">
        <f>M6966/1.1</f>
        <v/>
      </c>
      <c r="Q6966" s="94">
        <f>F6966&amp;E6966&amp;G6966&amp;L6966</f>
        <v/>
      </c>
    </row>
    <row r="6967" customFormat="1" s="94">
      <c r="B6967" s="128" t="n">
        <v>44000</v>
      </c>
      <c r="C6967" s="94">
        <f>TEXT(B6967,"aaa")</f>
        <v/>
      </c>
      <c r="E6967" s="94" t="inlineStr">
        <is>
          <t>수딩크림</t>
        </is>
      </c>
      <c r="F6967" s="5" t="inlineStr">
        <is>
          <t>카페24</t>
        </is>
      </c>
      <c r="G6967" s="94" t="inlineStr">
        <is>
          <t>수딩크림 100ml</t>
        </is>
      </c>
      <c r="H6967" s="7" t="n">
        <v>190801</v>
      </c>
      <c r="I6967" s="7" t="n">
        <v>190801</v>
      </c>
      <c r="K6967" s="6" t="n">
        <v>3</v>
      </c>
      <c r="L6967" s="94" t="n">
        <v>190801</v>
      </c>
      <c r="M6967" s="94">
        <f>VLOOKUP($Q6967,매칭테이블!$F:$I,2,0)*K6967</f>
        <v/>
      </c>
      <c r="N6967" s="94">
        <f>M6967-M6967*VLOOKUP($Q6967,매칭테이블!$F:$I,3,0)</f>
        <v/>
      </c>
      <c r="O6967" s="94">
        <f>VLOOKUP($Q6967,매칭테이블!$F:$I,4,0)*K6967</f>
        <v/>
      </c>
      <c r="P6967" s="148">
        <f>M6967/1.1</f>
        <v/>
      </c>
      <c r="Q6967" s="94">
        <f>F6967&amp;E6967&amp;G6967&amp;L6967</f>
        <v/>
      </c>
    </row>
    <row r="6968" customFormat="1" s="94">
      <c r="B6968" s="128" t="n">
        <v>44000</v>
      </c>
      <c r="C6968" s="94">
        <f>TEXT(B6968,"aaa")</f>
        <v/>
      </c>
      <c r="E6968" s="94" t="inlineStr">
        <is>
          <t>클렌징폼</t>
        </is>
      </c>
      <c r="F6968" s="5" t="inlineStr">
        <is>
          <t>카페24</t>
        </is>
      </c>
      <c r="G6968" s="94" t="inlineStr">
        <is>
          <t>클렌징폼 120ml</t>
        </is>
      </c>
      <c r="H6968" s="7" t="n">
        <v>190801</v>
      </c>
      <c r="I6968" s="7" t="n">
        <v>190801</v>
      </c>
      <c r="K6968" s="6" t="n">
        <v>9</v>
      </c>
      <c r="L6968" s="7" t="n">
        <v>190801</v>
      </c>
      <c r="M6968" s="94">
        <f>VLOOKUP($Q6968,매칭테이블!$F:$I,2,0)*K6968</f>
        <v/>
      </c>
      <c r="N6968" s="94">
        <f>M6968-M6968*VLOOKUP($Q6968,매칭테이블!$F:$I,3,0)</f>
        <v/>
      </c>
      <c r="O6968" s="94">
        <f>VLOOKUP($Q6968,매칭테이블!$F:$I,4,0)*K6968</f>
        <v/>
      </c>
      <c r="P6968" s="148">
        <f>M6968/1.1</f>
        <v/>
      </c>
      <c r="Q6968" s="94">
        <f>F6968&amp;E6968&amp;G6968&amp;L6968</f>
        <v/>
      </c>
    </row>
    <row r="6969" customFormat="1" s="94">
      <c r="B6969" s="128" t="n">
        <v>44000</v>
      </c>
      <c r="C6969" s="94">
        <f>TEXT(B6969,"aaa")</f>
        <v/>
      </c>
      <c r="E6969" s="94" t="inlineStr">
        <is>
          <t>클렌징폼</t>
        </is>
      </c>
      <c r="F6969" s="94" t="inlineStr">
        <is>
          <t>카페24</t>
        </is>
      </c>
      <c r="G6969" s="94" t="inlineStr">
        <is>
          <t>클렌징폼 120ml 2set</t>
        </is>
      </c>
      <c r="H6969" s="7" t="n">
        <v>190801</v>
      </c>
      <c r="I6969" s="7" t="n">
        <v>190801</v>
      </c>
      <c r="K6969" s="6" t="n">
        <v>4</v>
      </c>
      <c r="L6969" s="7" t="n">
        <v>190801</v>
      </c>
      <c r="M6969" s="94">
        <f>VLOOKUP($Q6969,매칭테이블!$F:$I,2,0)*K6969</f>
        <v/>
      </c>
      <c r="N6969" s="94">
        <f>M6969-M6969*VLOOKUP($Q6969,매칭테이블!$F:$I,3,0)</f>
        <v/>
      </c>
      <c r="O6969" s="94">
        <f>VLOOKUP($Q6969,매칭테이블!$F:$I,4,0)*K6969</f>
        <v/>
      </c>
      <c r="P6969" s="148">
        <f>M6969/1.1</f>
        <v/>
      </c>
      <c r="Q6969" s="94">
        <f>F6969&amp;E6969&amp;G6969&amp;L6969</f>
        <v/>
      </c>
    </row>
    <row r="6970" customFormat="1" s="94">
      <c r="B6970" s="128" t="n">
        <v>44000</v>
      </c>
      <c r="C6970" s="94">
        <f>TEXT(B6970,"aaa")</f>
        <v/>
      </c>
      <c r="E6970" s="6" t="inlineStr">
        <is>
          <t>토너</t>
        </is>
      </c>
      <c r="F6970" s="5" t="inlineStr">
        <is>
          <t>큐텐</t>
        </is>
      </c>
      <c r="G6970" s="5" t="inlineStr">
        <is>
          <t>250ml</t>
        </is>
      </c>
      <c r="H6970" s="7" t="n">
        <v>190801</v>
      </c>
      <c r="I6970" s="7" t="n">
        <v>190801</v>
      </c>
      <c r="K6970" s="6" t="n">
        <v>12</v>
      </c>
      <c r="L6970" s="92" t="n">
        <v>190801</v>
      </c>
      <c r="M6970" s="94">
        <f>VLOOKUP($Q6970,매칭테이블!$F:$I,2,0)*K6970</f>
        <v/>
      </c>
      <c r="N6970" s="94">
        <f>M6970-M6970*VLOOKUP($Q6970,매칭테이블!$F:$I,3,0)</f>
        <v/>
      </c>
      <c r="O6970" s="94">
        <f>VLOOKUP($Q6970,매칭테이블!$F:$I,4,0)*K6970</f>
        <v/>
      </c>
      <c r="P6970" s="148">
        <f>M6970/1.1</f>
        <v/>
      </c>
      <c r="Q6970" s="94">
        <f>F6970&amp;E6970&amp;G6970&amp;L6970</f>
        <v/>
      </c>
    </row>
    <row r="6971" customFormat="1" s="94">
      <c r="B6971" s="128" t="n">
        <v>44000</v>
      </c>
      <c r="C6971" s="94">
        <f>TEXT(B6971,"aaa")</f>
        <v/>
      </c>
      <c r="E6971" s="6" t="inlineStr">
        <is>
          <t>토너</t>
        </is>
      </c>
      <c r="F6971" s="5" t="inlineStr">
        <is>
          <t>큐텐</t>
        </is>
      </c>
      <c r="G6971" s="5" t="inlineStr">
        <is>
          <t>250ml 2set</t>
        </is>
      </c>
      <c r="H6971" s="7" t="n">
        <v>190801</v>
      </c>
      <c r="I6971" s="7" t="n">
        <v>190801</v>
      </c>
      <c r="K6971" s="6" t="n">
        <v>5</v>
      </c>
      <c r="L6971" s="92" t="n">
        <v>190801</v>
      </c>
      <c r="M6971" s="94">
        <f>VLOOKUP($Q6971,매칭테이블!$F:$I,2,0)*K6971</f>
        <v/>
      </c>
      <c r="N6971" s="94">
        <f>M6971-M6971*VLOOKUP($Q6971,매칭테이블!$F:$I,3,0)</f>
        <v/>
      </c>
      <c r="O6971" s="94">
        <f>VLOOKUP($Q6971,매칭테이블!$F:$I,4,0)*K6971</f>
        <v/>
      </c>
      <c r="P6971" s="148">
        <f>M6971/1.1</f>
        <v/>
      </c>
      <c r="Q6971" s="94">
        <f>F6971&amp;E6971&amp;G6971&amp;L6971</f>
        <v/>
      </c>
    </row>
    <row r="6972" customFormat="1" s="94">
      <c r="B6972" s="128" t="n">
        <v>44000</v>
      </c>
      <c r="C6972" s="94">
        <f>TEXT(B6972,"aaa")</f>
        <v/>
      </c>
      <c r="E6972" s="94" t="inlineStr">
        <is>
          <t>클렌징폼</t>
        </is>
      </c>
      <c r="F6972" s="5" t="inlineStr">
        <is>
          <t>큐텐</t>
        </is>
      </c>
      <c r="G6972" s="94" t="inlineStr">
        <is>
          <t>클렌징폼 120ml</t>
        </is>
      </c>
      <c r="H6972" s="7" t="n">
        <v>190801</v>
      </c>
      <c r="I6972" s="7" t="n">
        <v>190801</v>
      </c>
      <c r="K6972" s="6" t="n">
        <v>1</v>
      </c>
      <c r="L6972" s="92" t="n">
        <v>190801</v>
      </c>
      <c r="M6972" s="94">
        <f>VLOOKUP($Q6972,매칭테이블!$F:$I,2,0)*K6972</f>
        <v/>
      </c>
      <c r="N6972" s="94">
        <f>M6972-M6972*VLOOKUP($Q6972,매칭테이블!$F:$I,3,0)</f>
        <v/>
      </c>
      <c r="O6972" s="94">
        <f>VLOOKUP($Q6972,매칭테이블!$F:$I,4,0)*K6972</f>
        <v/>
      </c>
      <c r="P6972" s="148">
        <f>M6972/1.1</f>
        <v/>
      </c>
      <c r="Q6972" s="94">
        <f>F6972&amp;E6972&amp;G6972&amp;L6972</f>
        <v/>
      </c>
    </row>
    <row r="6973" customFormat="1" s="94">
      <c r="B6973" s="128" t="n">
        <v>44000</v>
      </c>
      <c r="C6973" s="94">
        <f>TEXT(B6973,"aaa")</f>
        <v/>
      </c>
      <c r="E6973" s="6" t="inlineStr">
        <is>
          <t>토너</t>
        </is>
      </c>
      <c r="F6973" s="5" t="inlineStr">
        <is>
          <t>화해</t>
        </is>
      </c>
      <c r="G6973" s="5" t="inlineStr">
        <is>
          <t>[200618-22] 250ml 2set</t>
        </is>
      </c>
      <c r="H6973" s="7" t="n">
        <v>190801</v>
      </c>
      <c r="I6973" s="7" t="n">
        <v>190801</v>
      </c>
      <c r="K6973" s="6" t="n">
        <v>1</v>
      </c>
      <c r="L6973" s="92" t="n">
        <v>200618</v>
      </c>
      <c r="M6973" s="94">
        <f>VLOOKUP($Q6973,매칭테이블!$F:$I,2,0)*K6973</f>
        <v/>
      </c>
      <c r="N6973" s="94">
        <f>M6973-M6973*VLOOKUP($Q6973,매칭테이블!$F:$I,3,0)</f>
        <v/>
      </c>
      <c r="O6973" s="94">
        <f>VLOOKUP($Q6973,매칭테이블!$F:$I,4,0)*K6973</f>
        <v/>
      </c>
      <c r="P6973" s="148">
        <f>M6973/1.1</f>
        <v/>
      </c>
      <c r="Q6973" s="94">
        <f>F6973&amp;E6973&amp;G6973&amp;L6973</f>
        <v/>
      </c>
    </row>
    <row r="6974" customFormat="1" s="94">
      <c r="B6974" s="128" t="n">
        <v>44000</v>
      </c>
      <c r="C6974" s="94">
        <f>TEXT(B6974,"aaa")</f>
        <v/>
      </c>
      <c r="E6974" s="6" t="inlineStr">
        <is>
          <t>토너</t>
        </is>
      </c>
      <c r="F6974" s="5" t="inlineStr">
        <is>
          <t>화해</t>
        </is>
      </c>
      <c r="G6974" s="5" t="inlineStr">
        <is>
          <t>[200618-22] 250ml (화장솜 증정)</t>
        </is>
      </c>
      <c r="H6974" s="7" t="n">
        <v>190801</v>
      </c>
      <c r="I6974" s="7" t="n">
        <v>190801</v>
      </c>
      <c r="K6974" s="6" t="n">
        <v>5</v>
      </c>
      <c r="L6974" s="92" t="n">
        <v>200618</v>
      </c>
      <c r="M6974" s="94">
        <f>VLOOKUP($Q6974,매칭테이블!$F:$I,2,0)*K6974</f>
        <v/>
      </c>
      <c r="N6974" s="94">
        <f>M6974-M6974*VLOOKUP($Q6974,매칭테이블!$F:$I,3,0)</f>
        <v/>
      </c>
      <c r="O6974" s="94">
        <f>VLOOKUP($Q6974,매칭테이블!$F:$I,4,0)*K6974</f>
        <v/>
      </c>
      <c r="P6974" s="148">
        <f>M6974/1.1</f>
        <v/>
      </c>
      <c r="Q6974" s="94">
        <f>F6974&amp;E6974&amp;G6974&amp;L6974</f>
        <v/>
      </c>
    </row>
    <row r="6975" customFormat="1" s="94">
      <c r="B6975" s="128" t="n">
        <v>44000</v>
      </c>
      <c r="C6975" s="94">
        <f>TEXT(B6975,"aaa")</f>
        <v/>
      </c>
      <c r="E6975" s="94" t="inlineStr">
        <is>
          <t>앰플</t>
        </is>
      </c>
      <c r="F6975" s="5" t="inlineStr">
        <is>
          <t>화해</t>
        </is>
      </c>
      <c r="G6975" s="94" t="inlineStr">
        <is>
          <t>[200618-22] 앰플 30ml</t>
        </is>
      </c>
      <c r="H6975" s="7" t="n">
        <v>190801</v>
      </c>
      <c r="I6975" s="7" t="n">
        <v>190801</v>
      </c>
      <c r="K6975" s="6" t="n">
        <v>2</v>
      </c>
      <c r="L6975" s="92" t="n">
        <v>200618</v>
      </c>
      <c r="M6975" s="94">
        <f>VLOOKUP($Q6975,매칭테이블!$F:$I,2,0)*K6975</f>
        <v/>
      </c>
      <c r="N6975" s="94">
        <f>M6975-M6975*VLOOKUP($Q6975,매칭테이블!$F:$I,3,0)</f>
        <v/>
      </c>
      <c r="O6975" s="94">
        <f>VLOOKUP($Q6975,매칭테이블!$F:$I,4,0)*K6975</f>
        <v/>
      </c>
      <c r="P6975" s="148">
        <f>M6975/1.1</f>
        <v/>
      </c>
      <c r="Q6975" s="94">
        <f>F6975&amp;E6975&amp;G6975&amp;L6975</f>
        <v/>
      </c>
    </row>
    <row r="6976" customFormat="1" s="94">
      <c r="B6976" s="128" t="n">
        <v>44000</v>
      </c>
      <c r="C6976" s="94">
        <f>TEXT(B6976,"aaa")</f>
        <v/>
      </c>
      <c r="E6976" s="94" t="inlineStr">
        <is>
          <t>토너</t>
        </is>
      </c>
      <c r="F6976" s="5" t="inlineStr">
        <is>
          <t>아누아 CS</t>
        </is>
      </c>
      <c r="G6976" s="94" t="inlineStr">
        <is>
          <t>250ml</t>
        </is>
      </c>
      <c r="H6976" s="7" t="n">
        <v>190801</v>
      </c>
      <c r="I6976" s="7" t="n">
        <v>190801</v>
      </c>
      <c r="K6976" s="6" t="n">
        <v>2</v>
      </c>
      <c r="L6976" s="7" t="n">
        <v>190801</v>
      </c>
      <c r="M6976" s="94">
        <f>VLOOKUP($Q6976,매칭테이블!$F:$I,2,0)*K6976</f>
        <v/>
      </c>
      <c r="N6976" s="94">
        <f>M6976-M6976*VLOOKUP($Q6976,매칭테이블!$F:$I,3,0)</f>
        <v/>
      </c>
      <c r="O6976" s="94">
        <f>VLOOKUP($Q6976,매칭테이블!$F:$I,4,0)*K6976</f>
        <v/>
      </c>
      <c r="P6976" s="148">
        <f>M6976/1.1</f>
        <v/>
      </c>
      <c r="Q6976" s="94">
        <f>F6976&amp;E6976&amp;G6976&amp;L6976</f>
        <v/>
      </c>
    </row>
    <row r="6977" customFormat="1" s="94">
      <c r="B6977" s="128" t="n">
        <v>44000</v>
      </c>
      <c r="C6977" s="94">
        <f>TEXT(B6977,"aaa")</f>
        <v/>
      </c>
      <c r="E6977" s="6" t="inlineStr">
        <is>
          <t>토너</t>
        </is>
      </c>
      <c r="F6977" s="5" t="inlineStr">
        <is>
          <t>아누아 CS</t>
        </is>
      </c>
      <c r="G6977" s="5" t="inlineStr">
        <is>
          <t>40ml</t>
        </is>
      </c>
      <c r="H6977" s="7" t="n">
        <v>190801</v>
      </c>
      <c r="I6977" s="7" t="n">
        <v>190801</v>
      </c>
      <c r="K6977" s="6" t="n">
        <v>1</v>
      </c>
      <c r="L6977" s="7" t="n">
        <v>190801</v>
      </c>
      <c r="M6977" s="94">
        <f>VLOOKUP($Q6977,매칭테이블!$F:$I,2,0)*K6977</f>
        <v/>
      </c>
      <c r="N6977" s="94">
        <f>M6977-M6977*VLOOKUP($Q6977,매칭테이블!$F:$I,3,0)</f>
        <v/>
      </c>
      <c r="O6977" s="94">
        <f>VLOOKUP($Q6977,매칭테이블!$F:$I,4,0)*K6977</f>
        <v/>
      </c>
      <c r="P6977" s="148">
        <f>M6977/1.1</f>
        <v/>
      </c>
      <c r="Q6977" s="94">
        <f>F6977&amp;E6977&amp;G6977&amp;L6977</f>
        <v/>
      </c>
    </row>
    <row r="6978" customFormat="1" s="94">
      <c r="B6978" s="128" t="n">
        <v>44000</v>
      </c>
      <c r="C6978" s="94">
        <f>TEXT(B6978,"aaa")</f>
        <v/>
      </c>
      <c r="E6978" s="6" t="inlineStr">
        <is>
          <t>토너</t>
        </is>
      </c>
      <c r="F6978" s="5" t="inlineStr">
        <is>
          <t>아누아 CS</t>
        </is>
      </c>
      <c r="G6978" s="5" t="inlineStr">
        <is>
          <t>500ml</t>
        </is>
      </c>
      <c r="H6978" s="7" t="n">
        <v>190801</v>
      </c>
      <c r="I6978" s="7" t="n">
        <v>190801</v>
      </c>
      <c r="K6978" s="6" t="n">
        <v>1</v>
      </c>
      <c r="L6978" s="7" t="n">
        <v>190801</v>
      </c>
      <c r="M6978" s="94">
        <f>VLOOKUP($Q6978,매칭테이블!$F:$I,2,0)*K6978</f>
        <v/>
      </c>
      <c r="N6978" s="94">
        <f>M6978-M6978*VLOOKUP($Q6978,매칭테이블!$F:$I,3,0)</f>
        <v/>
      </c>
      <c r="O6978" s="94">
        <f>VLOOKUP($Q6978,매칭테이블!$F:$I,4,0)*K6978</f>
        <v/>
      </c>
      <c r="P6978" s="148">
        <f>M6978/1.1</f>
        <v/>
      </c>
      <c r="Q6978" s="94">
        <f>F6978&amp;E6978&amp;G6978&amp;L6978</f>
        <v/>
      </c>
    </row>
    <row r="6979" customFormat="1" s="94">
      <c r="B6979" s="128" t="n">
        <v>44000</v>
      </c>
      <c r="C6979" s="94">
        <f>TEXT(B6979,"aaa")</f>
        <v/>
      </c>
      <c r="E6979" s="94" t="inlineStr">
        <is>
          <t>화장솜</t>
        </is>
      </c>
      <c r="F6979" s="5" t="inlineStr">
        <is>
          <t>아누아 CS</t>
        </is>
      </c>
      <c r="G6979" s="94" t="inlineStr">
        <is>
          <t>스킨팩 화장솜 60P</t>
        </is>
      </c>
      <c r="H6979" s="7" t="n">
        <v>190801</v>
      </c>
      <c r="I6979" s="7" t="n">
        <v>190801</v>
      </c>
      <c r="K6979" s="94" t="n">
        <v>2</v>
      </c>
      <c r="L6979" s="7" t="n">
        <v>190801</v>
      </c>
      <c r="M6979" s="94">
        <f>VLOOKUP($Q6979,매칭테이블!$F:$I,2,0)*K6979</f>
        <v/>
      </c>
      <c r="N6979" s="94">
        <f>M6979-M6979*VLOOKUP($Q6979,매칭테이블!$F:$I,3,0)</f>
        <v/>
      </c>
      <c r="O6979" s="94">
        <f>VLOOKUP($Q6979,매칭테이블!$F:$I,4,0)*K6979</f>
        <v/>
      </c>
      <c r="P6979" s="148">
        <f>M6979/1.1</f>
        <v/>
      </c>
      <c r="Q6979" s="94">
        <f>F6979&amp;E6979&amp;G6979&amp;L6979</f>
        <v/>
      </c>
    </row>
    <row r="6980" customFormat="1" s="94">
      <c r="B6980" s="128" t="n">
        <v>44000</v>
      </c>
      <c r="C6980" s="94">
        <f>TEXT(B6980,"aaa")</f>
        <v/>
      </c>
      <c r="E6980" s="94" t="inlineStr">
        <is>
          <t>앰플</t>
        </is>
      </c>
      <c r="F6980" s="5" t="inlineStr">
        <is>
          <t>아누아 CS</t>
        </is>
      </c>
      <c r="G6980" s="94" t="inlineStr">
        <is>
          <t>앰플 30ml</t>
        </is>
      </c>
      <c r="H6980" s="7" t="n">
        <v>190801</v>
      </c>
      <c r="I6980" s="7" t="n">
        <v>190801</v>
      </c>
      <c r="K6980" s="94" t="n">
        <v>2</v>
      </c>
      <c r="L6980" s="7" t="n">
        <v>190801</v>
      </c>
      <c r="M6980" s="94">
        <f>VLOOKUP($Q6980,매칭테이블!$F:$I,2,0)*K6980</f>
        <v/>
      </c>
      <c r="N6980" s="94">
        <f>M6980-M6980*VLOOKUP($Q6980,매칭테이블!$F:$I,3,0)</f>
        <v/>
      </c>
      <c r="O6980" s="94">
        <f>VLOOKUP($Q6980,매칭테이블!$F:$I,4,0)*K6980</f>
        <v/>
      </c>
      <c r="P6980" s="148">
        <f>M6980/1.1</f>
        <v/>
      </c>
      <c r="Q6980" s="94">
        <f>F6980&amp;E6980&amp;G6980&amp;L6980</f>
        <v/>
      </c>
    </row>
    <row r="6981" customFormat="1" s="94">
      <c r="B6981" s="128" t="n">
        <v>44000</v>
      </c>
      <c r="C6981" s="94">
        <f>TEXT(B6981,"aaa")</f>
        <v/>
      </c>
      <c r="E6981" s="94" t="inlineStr">
        <is>
          <t>마스크팩</t>
        </is>
      </c>
      <c r="F6981" s="5" t="inlineStr">
        <is>
          <t>아누아 CS</t>
        </is>
      </c>
      <c r="G6981" s="94" t="inlineStr">
        <is>
          <t>마스크팩 10매</t>
        </is>
      </c>
      <c r="H6981" s="7" t="n">
        <v>190801</v>
      </c>
      <c r="I6981" s="7" t="n">
        <v>190801</v>
      </c>
      <c r="K6981" s="94" t="n">
        <v>2</v>
      </c>
      <c r="L6981" s="7" t="n">
        <v>190801</v>
      </c>
      <c r="M6981" s="94">
        <f>VLOOKUP($Q6981,매칭테이블!$F:$I,2,0)*K6981</f>
        <v/>
      </c>
      <c r="N6981" s="94">
        <f>M6981-M6981*VLOOKUP($Q6981,매칭테이블!$F:$I,3,0)</f>
        <v/>
      </c>
      <c r="O6981" s="94">
        <f>VLOOKUP($Q6981,매칭테이블!$F:$I,4,0)*K6981</f>
        <v/>
      </c>
      <c r="P6981" s="148">
        <f>M6981/1.1</f>
        <v/>
      </c>
      <c r="Q6981" s="94">
        <f>F6981&amp;E6981&amp;G6981&amp;L6981</f>
        <v/>
      </c>
    </row>
    <row r="6982" customFormat="1" s="94">
      <c r="B6982" s="128" t="n">
        <v>44000</v>
      </c>
      <c r="C6982" s="94">
        <f>TEXT(B6982,"aaa")</f>
        <v/>
      </c>
      <c r="E6982" s="94" t="inlineStr">
        <is>
          <t>선크림</t>
        </is>
      </c>
      <c r="F6982" s="5" t="inlineStr">
        <is>
          <t>아누아 CS</t>
        </is>
      </c>
      <c r="G6982" s="94" t="inlineStr">
        <is>
          <t>선크림 50ml</t>
        </is>
      </c>
      <c r="H6982" s="7" t="n">
        <v>190801</v>
      </c>
      <c r="I6982" s="7" t="n">
        <v>190801</v>
      </c>
      <c r="K6982" s="94" t="n">
        <v>1</v>
      </c>
      <c r="L6982" s="7" t="n">
        <v>190801</v>
      </c>
      <c r="M6982" s="94">
        <f>VLOOKUP($Q6982,매칭테이블!$F:$I,2,0)*K6982</f>
        <v/>
      </c>
      <c r="N6982" s="94">
        <f>M6982-M6982*VLOOKUP($Q6982,매칭테이블!$F:$I,3,0)</f>
        <v/>
      </c>
      <c r="O6982" s="94">
        <f>VLOOKUP($Q6982,매칭테이블!$F:$I,4,0)*K6982</f>
        <v/>
      </c>
      <c r="P6982" s="148">
        <f>M6982/1.1</f>
        <v/>
      </c>
      <c r="Q6982" s="94">
        <f>F6982&amp;E6982&amp;G6982&amp;L6982</f>
        <v/>
      </c>
    </row>
    <row r="6983" customFormat="1" s="94">
      <c r="B6983" s="128" t="n">
        <v>44000</v>
      </c>
      <c r="C6983" s="94">
        <f>TEXT(B6983,"aaa")</f>
        <v/>
      </c>
      <c r="E6983" s="94" t="inlineStr">
        <is>
          <t>수딩크림</t>
        </is>
      </c>
      <c r="F6983" s="5" t="inlineStr">
        <is>
          <t>아누아 CS</t>
        </is>
      </c>
      <c r="G6983" s="94" t="inlineStr">
        <is>
          <t>수딩크림 100ml</t>
        </is>
      </c>
      <c r="H6983" s="7" t="n">
        <v>190801</v>
      </c>
      <c r="I6983" s="7" t="n">
        <v>190801</v>
      </c>
      <c r="K6983" s="94" t="n">
        <v>2</v>
      </c>
      <c r="L6983" s="7" t="n">
        <v>190801</v>
      </c>
      <c r="M6983" s="94">
        <f>VLOOKUP($Q6983,매칭테이블!$F:$I,2,0)*K6983</f>
        <v/>
      </c>
      <c r="N6983" s="94">
        <f>M6983-M6983*VLOOKUP($Q6983,매칭테이블!$F:$I,3,0)</f>
        <v/>
      </c>
      <c r="O6983" s="94">
        <f>VLOOKUP($Q6983,매칭테이블!$F:$I,4,0)*K6983</f>
        <v/>
      </c>
      <c r="P6983" s="148">
        <f>M6983/1.1</f>
        <v/>
      </c>
      <c r="Q6983" s="94">
        <f>F6983&amp;E6983&amp;G6983&amp;L6983</f>
        <v/>
      </c>
    </row>
    <row r="6984" customFormat="1" s="94">
      <c r="B6984" s="128" t="n">
        <v>44000</v>
      </c>
      <c r="C6984" s="94">
        <f>TEXT(B6984,"aaa")</f>
        <v/>
      </c>
      <c r="E6984" s="94" t="inlineStr">
        <is>
          <t>머드크림마스크</t>
        </is>
      </c>
      <c r="F6984" s="5" t="inlineStr">
        <is>
          <t>아누아 CS</t>
        </is>
      </c>
      <c r="G6984" s="94" t="inlineStr">
        <is>
          <t>머드크림마스크 100ml</t>
        </is>
      </c>
      <c r="H6984" s="7" t="n">
        <v>190801</v>
      </c>
      <c r="I6984" s="7" t="n">
        <v>190801</v>
      </c>
      <c r="K6984" s="94" t="n">
        <v>2</v>
      </c>
      <c r="L6984" s="7" t="n">
        <v>190801</v>
      </c>
      <c r="M6984" s="94">
        <f>VLOOKUP($Q6984,매칭테이블!$F:$I,2,0)*K6984</f>
        <v/>
      </c>
      <c r="N6984" s="94">
        <f>M6984-M6984*VLOOKUP($Q6984,매칭테이블!$F:$I,3,0)</f>
        <v/>
      </c>
      <c r="O6984" s="94">
        <f>VLOOKUP($Q6984,매칭테이블!$F:$I,4,0)*K6984</f>
        <v/>
      </c>
      <c r="P6984" s="148">
        <f>M6984/1.1</f>
        <v/>
      </c>
      <c r="Q6984" s="94">
        <f>F6984&amp;E6984&amp;G6984&amp;L6984</f>
        <v/>
      </c>
    </row>
    <row r="6985" customFormat="1" s="94">
      <c r="B6985" s="128" t="n">
        <v>44000</v>
      </c>
      <c r="C6985" s="94">
        <f>TEXT(B6985,"aaa")</f>
        <v/>
      </c>
      <c r="E6985" s="94" t="inlineStr">
        <is>
          <t>클렌징폼</t>
        </is>
      </c>
      <c r="F6985" s="5" t="inlineStr">
        <is>
          <t>아누아 CS</t>
        </is>
      </c>
      <c r="G6985" s="94" t="inlineStr">
        <is>
          <t>클렌징폼 120ml</t>
        </is>
      </c>
      <c r="H6985" s="7" t="n">
        <v>190801</v>
      </c>
      <c r="I6985" s="7" t="n">
        <v>190801</v>
      </c>
      <c r="K6985" s="94" t="n">
        <v>2</v>
      </c>
      <c r="L6985" s="7" t="n">
        <v>190801</v>
      </c>
      <c r="M6985" s="94">
        <f>VLOOKUP($Q6985,매칭테이블!$F:$I,2,0)*K6985</f>
        <v/>
      </c>
      <c r="N6985" s="94">
        <f>M6985-M6985*VLOOKUP($Q6985,매칭테이블!$F:$I,3,0)</f>
        <v/>
      </c>
      <c r="O6985" s="94">
        <f>VLOOKUP($Q6985,매칭테이블!$F:$I,4,0)*K6985</f>
        <v/>
      </c>
      <c r="P6985" s="148">
        <f>M6985/1.1</f>
        <v/>
      </c>
      <c r="Q6985" s="94">
        <f>F6985&amp;E6985&amp;G6985&amp;L6985</f>
        <v/>
      </c>
    </row>
    <row r="6986" customFormat="1" s="94">
      <c r="B6986" s="128" t="n">
        <v>44000</v>
      </c>
      <c r="C6986" s="94">
        <f>TEXT(B6986,"aaa")</f>
        <v/>
      </c>
      <c r="E6986" s="94" t="inlineStr">
        <is>
          <t>마스크팩</t>
        </is>
      </c>
      <c r="F6986" s="5" t="inlineStr">
        <is>
          <t>아누아 CS</t>
        </is>
      </c>
      <c r="G6986" s="94" t="inlineStr">
        <is>
          <t>마스크팩 1매</t>
        </is>
      </c>
      <c r="H6986" s="7" t="n">
        <v>190801</v>
      </c>
      <c r="I6986" s="7" t="n">
        <v>190801</v>
      </c>
      <c r="K6986" s="94" t="n">
        <v>360</v>
      </c>
      <c r="L6986" s="7" t="n">
        <v>190801</v>
      </c>
      <c r="M6986" s="94">
        <f>VLOOKUP($Q6986,매칭테이블!$F:$I,2,0)*K6986</f>
        <v/>
      </c>
      <c r="N6986" s="94">
        <f>M6986-M6986*VLOOKUP($Q6986,매칭테이블!$F:$I,3,0)</f>
        <v/>
      </c>
      <c r="O6986" s="94">
        <f>VLOOKUP($Q6986,매칭테이블!$F:$I,4,0)*K6986</f>
        <v/>
      </c>
      <c r="P6986" s="148">
        <f>M6986/1.1</f>
        <v/>
      </c>
      <c r="Q6986" s="94">
        <f>F6986&amp;E6986&amp;G6986&amp;L6986</f>
        <v/>
      </c>
    </row>
    <row r="6987" customFormat="1" s="94">
      <c r="B6987" s="128" t="n">
        <v>44001</v>
      </c>
      <c r="C6987" s="94">
        <f>TEXT(B6987,"aaa")</f>
        <v/>
      </c>
      <c r="E6987" s="94" t="inlineStr">
        <is>
          <t>토너</t>
        </is>
      </c>
      <c r="F6987" s="5" t="inlineStr">
        <is>
          <t>W컨셉</t>
        </is>
      </c>
      <c r="G6987" s="94" t="inlineStr">
        <is>
          <t>250ml 2set</t>
        </is>
      </c>
      <c r="H6987" s="7" t="n">
        <v>190801</v>
      </c>
      <c r="I6987" s="7" t="n">
        <v>190801</v>
      </c>
      <c r="K6987" s="94" t="n">
        <v>7</v>
      </c>
      <c r="L6987" s="7" t="n">
        <v>190801</v>
      </c>
      <c r="M6987" s="94">
        <f>VLOOKUP($Q6987,매칭테이블!$F:$I,2,0)*K6987</f>
        <v/>
      </c>
      <c r="N6987" s="94">
        <f>M6987-M6987*VLOOKUP($Q6987,매칭테이블!$F:$I,3,0)</f>
        <v/>
      </c>
      <c r="O6987" s="94">
        <f>VLOOKUP($Q6987,매칭테이블!$F:$I,4,0)*K6987</f>
        <v/>
      </c>
      <c r="P6987" s="148">
        <f>M6987/1.1</f>
        <v/>
      </c>
      <c r="Q6987" s="94">
        <f>F6987&amp;E6987&amp;G6987&amp;L6987</f>
        <v/>
      </c>
    </row>
    <row r="6988" customFormat="1" s="94">
      <c r="B6988" s="128" t="n">
        <v>44001</v>
      </c>
      <c r="C6988" s="94">
        <f>TEXT(B6988,"aaa")</f>
        <v/>
      </c>
      <c r="E6988" s="94" t="inlineStr">
        <is>
          <t>토너</t>
        </is>
      </c>
      <c r="F6988" s="5" t="inlineStr">
        <is>
          <t>스타일쉐어</t>
        </is>
      </c>
      <c r="G6988" s="94" t="inlineStr">
        <is>
          <t>250ml</t>
        </is>
      </c>
      <c r="H6988" s="7" t="n">
        <v>190801</v>
      </c>
      <c r="I6988" s="7" t="n">
        <v>190801</v>
      </c>
      <c r="K6988" s="94" t="n">
        <v>4</v>
      </c>
      <c r="L6988" s="7" t="n">
        <v>190801</v>
      </c>
      <c r="M6988" s="94">
        <f>VLOOKUP($Q6988,매칭테이블!$F:$I,2,0)*K6988</f>
        <v/>
      </c>
      <c r="N6988" s="94">
        <f>M6988-M6988*VLOOKUP($Q6988,매칭테이블!$F:$I,3,0)</f>
        <v/>
      </c>
      <c r="O6988" s="94">
        <f>VLOOKUP($Q6988,매칭테이블!$F:$I,4,0)*K6988</f>
        <v/>
      </c>
      <c r="P6988" s="148">
        <f>M6988/1.1</f>
        <v/>
      </c>
      <c r="Q6988" s="94">
        <f>F6988&amp;E6988&amp;G6988&amp;L6988</f>
        <v/>
      </c>
    </row>
    <row r="6989" customFormat="1" s="94">
      <c r="B6989" s="128" t="n">
        <v>44001</v>
      </c>
      <c r="C6989" s="94">
        <f>TEXT(B6989,"aaa")</f>
        <v/>
      </c>
      <c r="E6989" s="94" t="inlineStr">
        <is>
          <t>선크림</t>
        </is>
      </c>
      <c r="F6989" s="5" t="inlineStr">
        <is>
          <t>카페24</t>
        </is>
      </c>
      <c r="G6989" s="94" t="inlineStr">
        <is>
          <t>선크림 50ml</t>
        </is>
      </c>
      <c r="H6989" s="7" t="n">
        <v>190801</v>
      </c>
      <c r="I6989" s="7" t="n">
        <v>190801</v>
      </c>
      <c r="K6989" s="94" t="n">
        <v>2</v>
      </c>
      <c r="L6989" s="7" t="n">
        <v>190801</v>
      </c>
      <c r="M6989" s="94">
        <f>VLOOKUP($Q6989,매칭테이블!$F:$I,2,0)*K6989</f>
        <v/>
      </c>
      <c r="N6989" s="94">
        <f>M6989-M6989*VLOOKUP($Q6989,매칭테이블!$F:$I,3,0)</f>
        <v/>
      </c>
      <c r="O6989" s="94">
        <f>VLOOKUP($Q6989,매칭테이블!$F:$I,4,0)*K6989</f>
        <v/>
      </c>
      <c r="P6989" s="148">
        <f>M6989/1.1</f>
        <v/>
      </c>
      <c r="Q6989" s="94">
        <f>F6989&amp;E6989&amp;G6989&amp;L6989</f>
        <v/>
      </c>
    </row>
    <row r="6990" customFormat="1" s="94">
      <c r="B6990" s="128" t="n">
        <v>44001</v>
      </c>
      <c r="C6990" s="94">
        <f>TEXT(B6990,"aaa")</f>
        <v/>
      </c>
      <c r="E6990" s="94" t="inlineStr">
        <is>
          <t>클렌징폼</t>
        </is>
      </c>
      <c r="F6990" s="5" t="inlineStr">
        <is>
          <t>카페24</t>
        </is>
      </c>
      <c r="G6990" s="94" t="inlineStr">
        <is>
          <t>클렌징폼 120ml(선크림할인)</t>
        </is>
      </c>
      <c r="H6990" s="7" t="n">
        <v>190801</v>
      </c>
      <c r="I6990" s="7" t="n">
        <v>190801</v>
      </c>
      <c r="K6990" s="94" t="n">
        <v>1</v>
      </c>
      <c r="L6990" s="7" t="n">
        <v>190801</v>
      </c>
      <c r="M6990" s="94">
        <f>VLOOKUP($Q6990,매칭테이블!$F:$I,2,0)*K6990</f>
        <v/>
      </c>
      <c r="N6990" s="94">
        <f>M6990-M6990*VLOOKUP($Q6990,매칭테이블!$F:$I,3,0)</f>
        <v/>
      </c>
      <c r="O6990" s="94">
        <f>VLOOKUP($Q6990,매칭테이블!$F:$I,4,0)*K6990</f>
        <v/>
      </c>
      <c r="P6990" s="148">
        <f>M6990/1.1</f>
        <v/>
      </c>
      <c r="Q6990" s="94">
        <f>F6990&amp;E6990&amp;G6990&amp;L6990</f>
        <v/>
      </c>
    </row>
    <row r="6991" customFormat="1" s="94">
      <c r="B6991" s="128" t="n">
        <v>44001</v>
      </c>
      <c r="C6991" s="94">
        <f>TEXT(B6991,"aaa")</f>
        <v/>
      </c>
      <c r="E6991" s="94" t="inlineStr">
        <is>
          <t>여름 한정 진정세트</t>
        </is>
      </c>
      <c r="F6991" s="5" t="inlineStr">
        <is>
          <t>카페24</t>
        </is>
      </c>
      <c r="G6991" s="94" t="inlineStr">
        <is>
          <t>여름 한정 진정세트</t>
        </is>
      </c>
      <c r="H6991" s="7" t="n">
        <v>190801</v>
      </c>
      <c r="I6991" s="7" t="n">
        <v>190801</v>
      </c>
      <c r="K6991" s="94" t="n">
        <v>10</v>
      </c>
      <c r="L6991" s="7" t="n">
        <v>190801</v>
      </c>
      <c r="M6991" s="94">
        <f>VLOOKUP($Q6991,매칭테이블!$F:$I,2,0)*K6991</f>
        <v/>
      </c>
      <c r="N6991" s="94">
        <f>M6991-M6991*VLOOKUP($Q6991,매칭테이블!$F:$I,3,0)</f>
        <v/>
      </c>
      <c r="O6991" s="94">
        <f>VLOOKUP($Q6991,매칭테이블!$F:$I,4,0)*K6991</f>
        <v/>
      </c>
      <c r="P6991" s="148">
        <f>M6991/1.1</f>
        <v/>
      </c>
      <c r="Q6991" s="94">
        <f>F6991&amp;E6991&amp;G6991&amp;L6991</f>
        <v/>
      </c>
    </row>
    <row r="6992" customFormat="1" s="94">
      <c r="B6992" s="128" t="n">
        <v>44001</v>
      </c>
      <c r="C6992" s="94">
        <f>TEXT(B6992,"aaa")</f>
        <v/>
      </c>
      <c r="E6992" s="94" t="inlineStr">
        <is>
          <t>여름 한정 진정세트</t>
        </is>
      </c>
      <c r="F6992" s="5" t="inlineStr">
        <is>
          <t>카페24</t>
        </is>
      </c>
      <c r="G6992" s="94" t="inlineStr">
        <is>
          <t>여름 한정 진정세트 (대용량)</t>
        </is>
      </c>
      <c r="H6992" s="7" t="n">
        <v>190801</v>
      </c>
      <c r="I6992" s="7" t="n">
        <v>190801</v>
      </c>
      <c r="K6992" s="94" t="n">
        <v>10</v>
      </c>
      <c r="L6992" s="7" t="n">
        <v>190801</v>
      </c>
      <c r="M6992" s="94">
        <f>VLOOKUP($Q6992,매칭테이블!$F:$I,2,0)*K6992</f>
        <v/>
      </c>
      <c r="N6992" s="94">
        <f>M6992-M6992*VLOOKUP($Q6992,매칭테이블!$F:$I,3,0)</f>
        <v/>
      </c>
      <c r="O6992" s="94">
        <f>VLOOKUP($Q6992,매칭테이블!$F:$I,4,0)*K6992</f>
        <v/>
      </c>
      <c r="P6992" s="148">
        <f>M6992/1.1</f>
        <v/>
      </c>
      <c r="Q6992" s="94">
        <f>F6992&amp;E6992&amp;G6992&amp;L6992</f>
        <v/>
      </c>
    </row>
    <row r="6993" customFormat="1" s="94">
      <c r="B6993" s="128" t="n">
        <v>44001</v>
      </c>
      <c r="C6993" s="94">
        <f>TEXT(B6993,"aaa")</f>
        <v/>
      </c>
      <c r="E6993" s="94" t="inlineStr">
        <is>
          <t>어성초진정패키지</t>
        </is>
      </c>
      <c r="F6993" s="5" t="inlineStr">
        <is>
          <t>카페24</t>
        </is>
      </c>
      <c r="G6993" s="94" t="inlineStr">
        <is>
          <t>어성초 진정패키지세트</t>
        </is>
      </c>
      <c r="H6993" s="7" t="n">
        <v>190801</v>
      </c>
      <c r="I6993" s="7" t="n">
        <v>190801</v>
      </c>
      <c r="K6993" s="94" t="n">
        <v>15</v>
      </c>
      <c r="L6993" s="7" t="n">
        <v>190801</v>
      </c>
      <c r="M6993" s="94">
        <f>VLOOKUP($Q6993,매칭테이블!$F:$I,2,0)*K6993</f>
        <v/>
      </c>
      <c r="N6993" s="94">
        <f>M6993-M6993*VLOOKUP($Q6993,매칭테이블!$F:$I,3,0)</f>
        <v/>
      </c>
      <c r="O6993" s="94">
        <f>VLOOKUP($Q6993,매칭테이블!$F:$I,4,0)*K6993</f>
        <v/>
      </c>
      <c r="P6993" s="148">
        <f>M6993/1.1</f>
        <v/>
      </c>
      <c r="Q6993" s="94">
        <f>F6993&amp;E6993&amp;G6993&amp;L6993</f>
        <v/>
      </c>
    </row>
    <row r="6994" customFormat="1" s="94">
      <c r="B6994" s="128" t="n">
        <v>44001</v>
      </c>
      <c r="C6994" s="94">
        <f>TEXT(B6994,"aaa")</f>
        <v/>
      </c>
      <c r="E6994" s="94" t="inlineStr">
        <is>
          <t>머드크림마스크</t>
        </is>
      </c>
      <c r="F6994" s="5" t="inlineStr">
        <is>
          <t>카페24</t>
        </is>
      </c>
      <c r="G6994" s="94" t="inlineStr">
        <is>
          <t>머드크림마스크 100ml</t>
        </is>
      </c>
      <c r="H6994" s="7" t="n">
        <v>190801</v>
      </c>
      <c r="I6994" s="7" t="n">
        <v>190801</v>
      </c>
      <c r="K6994" s="94" t="n">
        <v>4</v>
      </c>
      <c r="L6994" s="7" t="n">
        <v>190801</v>
      </c>
      <c r="M6994" s="94">
        <f>VLOOKUP($Q6994,매칭테이블!$F:$I,2,0)*K6994</f>
        <v/>
      </c>
      <c r="N6994" s="94">
        <f>M6994-M6994*VLOOKUP($Q6994,매칭테이블!$F:$I,3,0)</f>
        <v/>
      </c>
      <c r="O6994" s="94">
        <f>VLOOKUP($Q6994,매칭테이블!$F:$I,4,0)*K6994</f>
        <v/>
      </c>
      <c r="P6994" s="148">
        <f>M6994/1.1</f>
        <v/>
      </c>
      <c r="Q6994" s="94">
        <f>F6994&amp;E6994&amp;G6994&amp;L6994</f>
        <v/>
      </c>
    </row>
    <row r="6995" customFormat="1" s="94">
      <c r="B6995" s="128" t="n">
        <v>44001</v>
      </c>
      <c r="C6995" s="94">
        <f>TEXT(B6995,"aaa")</f>
        <v/>
      </c>
      <c r="E6995" s="94" t="inlineStr">
        <is>
          <t>머드크림마스크</t>
        </is>
      </c>
      <c r="F6995" s="5" t="inlineStr">
        <is>
          <t>카페24</t>
        </is>
      </c>
      <c r="G6995" s="94" t="inlineStr">
        <is>
          <t>머드크림마스크 100ml 2set</t>
        </is>
      </c>
      <c r="H6995" s="7" t="n">
        <v>190801</v>
      </c>
      <c r="I6995" s="7" t="n">
        <v>190801</v>
      </c>
      <c r="K6995" s="94" t="n">
        <v>1</v>
      </c>
      <c r="L6995" s="7" t="n">
        <v>190801</v>
      </c>
      <c r="M6995" s="94">
        <f>VLOOKUP($Q6995,매칭테이블!$F:$I,2,0)*K6995</f>
        <v/>
      </c>
      <c r="N6995" s="94">
        <f>M6995-M6995*VLOOKUP($Q6995,매칭테이블!$F:$I,3,0)</f>
        <v/>
      </c>
      <c r="O6995" s="94">
        <f>VLOOKUP($Q6995,매칭테이블!$F:$I,4,0)*K6995</f>
        <v/>
      </c>
      <c r="P6995" s="148">
        <f>M6995/1.1</f>
        <v/>
      </c>
      <c r="Q6995" s="94">
        <f>F6995&amp;E6995&amp;G6995&amp;L6995</f>
        <v/>
      </c>
    </row>
    <row r="6996" customFormat="1" s="94">
      <c r="B6996" s="128" t="n">
        <v>44001</v>
      </c>
      <c r="C6996" s="94">
        <f>TEXT(B6996,"aaa")</f>
        <v/>
      </c>
      <c r="E6996" s="94" t="inlineStr">
        <is>
          <t>마스크팩</t>
        </is>
      </c>
      <c r="F6996" s="5" t="inlineStr">
        <is>
          <t>카페24</t>
        </is>
      </c>
      <c r="G6996" s="94" t="inlineStr">
        <is>
          <t>마스크팩 10매</t>
        </is>
      </c>
      <c r="H6996" s="7" t="n">
        <v>190801</v>
      </c>
      <c r="I6996" s="7" t="n">
        <v>190801</v>
      </c>
      <c r="K6996" s="94" t="n">
        <v>2</v>
      </c>
      <c r="L6996" s="7" t="n">
        <v>190801</v>
      </c>
      <c r="M6996" s="94">
        <f>VLOOKUP($Q6996,매칭테이블!$F:$I,2,0)*K6996</f>
        <v/>
      </c>
      <c r="N6996" s="94">
        <f>M6996-M6996*VLOOKUP($Q6996,매칭테이블!$F:$I,3,0)</f>
        <v/>
      </c>
      <c r="O6996" s="94">
        <f>VLOOKUP($Q6996,매칭테이블!$F:$I,4,0)*K6996</f>
        <v/>
      </c>
      <c r="P6996" s="148">
        <f>M6996/1.1</f>
        <v/>
      </c>
      <c r="Q6996" s="94">
        <f>F6996&amp;E6996&amp;G6996&amp;L6996</f>
        <v/>
      </c>
    </row>
    <row r="6997" customFormat="1" s="94">
      <c r="B6997" s="128" t="n">
        <v>44001</v>
      </c>
      <c r="C6997" s="94">
        <f>TEXT(B6997,"aaa")</f>
        <v/>
      </c>
      <c r="E6997" s="94" t="inlineStr">
        <is>
          <t>토너</t>
        </is>
      </c>
      <c r="F6997" s="5" t="inlineStr">
        <is>
          <t>카페24</t>
        </is>
      </c>
      <c r="G6997" s="94" t="inlineStr">
        <is>
          <t>250ml</t>
        </is>
      </c>
      <c r="H6997" s="7" t="n">
        <v>190801</v>
      </c>
      <c r="I6997" s="7" t="n">
        <v>190801</v>
      </c>
      <c r="K6997" s="94" t="n">
        <v>60</v>
      </c>
      <c r="L6997" s="7" t="n">
        <v>190801</v>
      </c>
      <c r="M6997" s="94">
        <f>VLOOKUP($Q6997,매칭테이블!$F:$I,2,0)*K6997</f>
        <v/>
      </c>
      <c r="N6997" s="94">
        <f>M6997-M6997*VLOOKUP($Q6997,매칭테이블!$F:$I,3,0)</f>
        <v/>
      </c>
      <c r="O6997" s="94">
        <f>VLOOKUP($Q6997,매칭테이블!$F:$I,4,0)*K6997</f>
        <v/>
      </c>
      <c r="P6997" s="148">
        <f>M6997/1.1</f>
        <v/>
      </c>
      <c r="Q6997" s="94">
        <f>F6997&amp;E6997&amp;G6997&amp;L6997</f>
        <v/>
      </c>
    </row>
    <row r="6998" customFormat="1" s="94">
      <c r="B6998" s="128" t="n">
        <v>44001</v>
      </c>
      <c r="C6998" s="94">
        <f>TEXT(B6998,"aaa")</f>
        <v/>
      </c>
      <c r="E6998" s="94" t="inlineStr">
        <is>
          <t>토너</t>
        </is>
      </c>
      <c r="F6998" s="5" t="inlineStr">
        <is>
          <t>카페24</t>
        </is>
      </c>
      <c r="G6998" s="94" t="inlineStr">
        <is>
          <t>250ml 2set</t>
        </is>
      </c>
      <c r="H6998" s="7" t="n">
        <v>190801</v>
      </c>
      <c r="I6998" s="7" t="n">
        <v>190801</v>
      </c>
      <c r="K6998" s="94" t="n">
        <v>127</v>
      </c>
      <c r="L6998" s="7" t="n">
        <v>190801</v>
      </c>
      <c r="M6998" s="94">
        <f>VLOOKUP($Q6998,매칭테이블!$F:$I,2,0)*K6998</f>
        <v/>
      </c>
      <c r="N6998" s="94">
        <f>M6998-M6998*VLOOKUP($Q6998,매칭테이블!$F:$I,3,0)</f>
        <v/>
      </c>
      <c r="O6998" s="94">
        <f>VLOOKUP($Q6998,매칭테이블!$F:$I,4,0)*K6998</f>
        <v/>
      </c>
      <c r="P6998" s="148">
        <f>M6998/1.1</f>
        <v/>
      </c>
      <c r="Q6998" s="94">
        <f>F6998&amp;E6998&amp;G6998&amp;L6998</f>
        <v/>
      </c>
    </row>
    <row r="6999" customFormat="1" s="94">
      <c r="B6999" s="128" t="n">
        <v>44001</v>
      </c>
      <c r="C6999" s="94">
        <f>TEXT(B6999,"aaa")</f>
        <v/>
      </c>
      <c r="E6999" s="94" t="inlineStr">
        <is>
          <t>토너</t>
        </is>
      </c>
      <c r="F6999" s="5" t="inlineStr">
        <is>
          <t>카페24</t>
        </is>
      </c>
      <c r="G6999" s="94" t="inlineStr">
        <is>
          <t>500ml</t>
        </is>
      </c>
      <c r="H6999" s="7" t="n">
        <v>190801</v>
      </c>
      <c r="I6999" s="7" t="n">
        <v>190801</v>
      </c>
      <c r="K6999" s="94" t="n">
        <v>59</v>
      </c>
      <c r="L6999" s="7" t="n">
        <v>190801</v>
      </c>
      <c r="M6999" s="94">
        <f>VLOOKUP($Q6999,매칭테이블!$F:$I,2,0)*K6999</f>
        <v/>
      </c>
      <c r="N6999" s="94">
        <f>M6999-M6999*VLOOKUP($Q6999,매칭테이블!$F:$I,3,0)</f>
        <v/>
      </c>
      <c r="O6999" s="94">
        <f>VLOOKUP($Q6999,매칭테이블!$F:$I,4,0)*K6999</f>
        <v/>
      </c>
      <c r="P6999" s="148">
        <f>M6999/1.1</f>
        <v/>
      </c>
      <c r="Q6999" s="94">
        <f>F6999&amp;E6999&amp;G6999&amp;L6999</f>
        <v/>
      </c>
    </row>
    <row r="7000" customFormat="1" s="94">
      <c r="B7000" s="128" t="n">
        <v>44001</v>
      </c>
      <c r="C7000" s="94">
        <f>TEXT(B7000,"aaa")</f>
        <v/>
      </c>
      <c r="E7000" s="94" t="inlineStr">
        <is>
          <t>토너</t>
        </is>
      </c>
      <c r="F7000" s="5" t="inlineStr">
        <is>
          <t>카페24</t>
        </is>
      </c>
      <c r="G7000" s="94" t="inlineStr">
        <is>
          <t>스킨팩 화장솜 60P</t>
        </is>
      </c>
      <c r="H7000" s="7" t="n">
        <v>190801</v>
      </c>
      <c r="I7000" s="7" t="n">
        <v>190801</v>
      </c>
      <c r="K7000" s="94" t="n">
        <v>277</v>
      </c>
      <c r="L7000" s="7" t="n">
        <v>190801</v>
      </c>
      <c r="M7000" s="94">
        <f>VLOOKUP($Q7000,매칭테이블!$F:$I,2,0)*K7000</f>
        <v/>
      </c>
      <c r="N7000" s="94">
        <f>M7000-M7000*VLOOKUP($Q7000,매칭테이블!$F:$I,3,0)</f>
        <v/>
      </c>
      <c r="O7000" s="94">
        <f>VLOOKUP($Q7000,매칭테이블!$F:$I,4,0)*K7000</f>
        <v/>
      </c>
      <c r="P7000" s="148">
        <f>M7000/1.1</f>
        <v/>
      </c>
      <c r="Q7000" s="94">
        <f>F7000&amp;E7000&amp;G7000&amp;L7000</f>
        <v/>
      </c>
    </row>
    <row r="7001" customFormat="1" s="94">
      <c r="B7001" s="128" t="n">
        <v>44001</v>
      </c>
      <c r="C7001" s="94">
        <f>TEXT(B7001,"aaa")</f>
        <v/>
      </c>
      <c r="E7001" s="94" t="inlineStr">
        <is>
          <t>앰플</t>
        </is>
      </c>
      <c r="F7001" s="5" t="inlineStr">
        <is>
          <t>카페24</t>
        </is>
      </c>
      <c r="G7001" s="94" t="inlineStr">
        <is>
          <t>앰플 30ml</t>
        </is>
      </c>
      <c r="H7001" s="7" t="n">
        <v>190801</v>
      </c>
      <c r="I7001" s="7" t="n">
        <v>190801</v>
      </c>
      <c r="K7001" s="94" t="n">
        <v>16</v>
      </c>
      <c r="L7001" s="7" t="n">
        <v>190801</v>
      </c>
      <c r="M7001" s="94">
        <f>VLOOKUP($Q7001,매칭테이블!$F:$I,2,0)*K7001</f>
        <v/>
      </c>
      <c r="N7001" s="94">
        <f>M7001-M7001*VLOOKUP($Q7001,매칭테이블!$F:$I,3,0)</f>
        <v/>
      </c>
      <c r="O7001" s="94">
        <f>VLOOKUP($Q7001,매칭테이블!$F:$I,4,0)*K7001</f>
        <v/>
      </c>
      <c r="P7001" s="148">
        <f>M7001/1.1</f>
        <v/>
      </c>
      <c r="Q7001" s="94">
        <f>F7001&amp;E7001&amp;G7001&amp;L7001</f>
        <v/>
      </c>
    </row>
    <row r="7002" customFormat="1" s="94">
      <c r="B7002" s="128" t="n">
        <v>44001</v>
      </c>
      <c r="C7002" s="94">
        <f>TEXT(B7002,"aaa")</f>
        <v/>
      </c>
      <c r="E7002" s="94" t="inlineStr">
        <is>
          <t>수딩크림</t>
        </is>
      </c>
      <c r="F7002" s="5" t="inlineStr">
        <is>
          <t>카페24</t>
        </is>
      </c>
      <c r="G7002" s="94" t="inlineStr">
        <is>
          <t>수딩크림 100ml</t>
        </is>
      </c>
      <c r="H7002" s="7" t="n">
        <v>190801</v>
      </c>
      <c r="I7002" s="7" t="n">
        <v>190801</v>
      </c>
      <c r="K7002" s="94" t="n">
        <v>4</v>
      </c>
      <c r="L7002" s="7" t="n">
        <v>190801</v>
      </c>
      <c r="M7002" s="94">
        <f>VLOOKUP($Q7002,매칭테이블!$F:$I,2,0)*K7002</f>
        <v/>
      </c>
      <c r="N7002" s="94">
        <f>M7002-M7002*VLOOKUP($Q7002,매칭테이블!$F:$I,3,0)</f>
        <v/>
      </c>
      <c r="O7002" s="94">
        <f>VLOOKUP($Q7002,매칭테이블!$F:$I,4,0)*K7002</f>
        <v/>
      </c>
      <c r="P7002" s="148">
        <f>M7002/1.1</f>
        <v/>
      </c>
      <c r="Q7002" s="94">
        <f>F7002&amp;E7002&amp;G7002&amp;L7002</f>
        <v/>
      </c>
    </row>
    <row r="7003" customFormat="1" s="94">
      <c r="B7003" s="128" t="n">
        <v>44001</v>
      </c>
      <c r="C7003" s="94">
        <f>TEXT(B7003,"aaa")</f>
        <v/>
      </c>
      <c r="E7003" s="94" t="inlineStr">
        <is>
          <t>클렌징폼</t>
        </is>
      </c>
      <c r="F7003" s="5" t="inlineStr">
        <is>
          <t>카페24</t>
        </is>
      </c>
      <c r="G7003" s="94" t="inlineStr">
        <is>
          <t>클렌징폼 120ml</t>
        </is>
      </c>
      <c r="H7003" s="7" t="n">
        <v>190801</v>
      </c>
      <c r="I7003" s="7" t="n">
        <v>190801</v>
      </c>
      <c r="K7003" s="94" t="n">
        <v>6</v>
      </c>
      <c r="L7003" s="7" t="n">
        <v>190801</v>
      </c>
      <c r="M7003" s="94">
        <f>VLOOKUP($Q7003,매칭테이블!$F:$I,2,0)*K7003</f>
        <v/>
      </c>
      <c r="N7003" s="94">
        <f>M7003-M7003*VLOOKUP($Q7003,매칭테이블!$F:$I,3,0)</f>
        <v/>
      </c>
      <c r="O7003" s="94">
        <f>VLOOKUP($Q7003,매칭테이블!$F:$I,4,0)*K7003</f>
        <v/>
      </c>
      <c r="P7003" s="148">
        <f>M7003/1.1</f>
        <v/>
      </c>
      <c r="Q7003" s="94">
        <f>F7003&amp;E7003&amp;G7003&amp;L7003</f>
        <v/>
      </c>
    </row>
    <row r="7004" customFormat="1" s="94">
      <c r="B7004" s="128" t="n">
        <v>44001</v>
      </c>
      <c r="C7004" s="94">
        <f>TEXT(B7004,"aaa")</f>
        <v/>
      </c>
      <c r="E7004" s="94" t="inlineStr">
        <is>
          <t>클렌징폼</t>
        </is>
      </c>
      <c r="F7004" s="5" t="inlineStr">
        <is>
          <t>카페24</t>
        </is>
      </c>
      <c r="G7004" s="94" t="inlineStr">
        <is>
          <t>클렌징폼 120ml 2set</t>
        </is>
      </c>
      <c r="H7004" s="7" t="n">
        <v>190801</v>
      </c>
      <c r="I7004" s="7" t="n">
        <v>190801</v>
      </c>
      <c r="K7004" s="94" t="n">
        <v>1</v>
      </c>
      <c r="L7004" s="7" t="n">
        <v>190801</v>
      </c>
      <c r="M7004" s="94">
        <f>VLOOKUP($Q7004,매칭테이블!$F:$I,2,0)*K7004</f>
        <v/>
      </c>
      <c r="N7004" s="94">
        <f>M7004-M7004*VLOOKUP($Q7004,매칭테이블!$F:$I,3,0)</f>
        <v/>
      </c>
      <c r="O7004" s="94">
        <f>VLOOKUP($Q7004,매칭테이블!$F:$I,4,0)*K7004</f>
        <v/>
      </c>
      <c r="P7004" s="148">
        <f>M7004/1.1</f>
        <v/>
      </c>
      <c r="Q7004" s="94">
        <f>F7004&amp;E7004&amp;G7004&amp;L7004</f>
        <v/>
      </c>
    </row>
    <row r="7005" customFormat="1" s="94">
      <c r="B7005" s="128" t="n">
        <v>44001</v>
      </c>
      <c r="C7005" s="94">
        <f>TEXT(B7005,"aaa")</f>
        <v/>
      </c>
      <c r="E7005" s="94" t="inlineStr">
        <is>
          <t>토너</t>
        </is>
      </c>
      <c r="F7005" s="5" t="inlineStr">
        <is>
          <t>큐텐</t>
        </is>
      </c>
      <c r="G7005" s="94" t="inlineStr">
        <is>
          <t>250ml</t>
        </is>
      </c>
      <c r="H7005" s="7" t="n">
        <v>190801</v>
      </c>
      <c r="I7005" s="7" t="n">
        <v>190801</v>
      </c>
      <c r="K7005" s="94" t="n">
        <v>13</v>
      </c>
      <c r="L7005" s="7" t="n">
        <v>190801</v>
      </c>
      <c r="M7005" s="94">
        <f>VLOOKUP($Q7005,매칭테이블!$F:$I,2,0)*K7005</f>
        <v/>
      </c>
      <c r="N7005" s="94">
        <f>M7005-M7005*VLOOKUP($Q7005,매칭테이블!$F:$I,3,0)</f>
        <v/>
      </c>
      <c r="O7005" s="94">
        <f>VLOOKUP($Q7005,매칭테이블!$F:$I,4,0)*K7005</f>
        <v/>
      </c>
      <c r="P7005" s="148">
        <f>M7005/1.1</f>
        <v/>
      </c>
      <c r="Q7005" s="94">
        <f>F7005&amp;E7005&amp;G7005&amp;L7005</f>
        <v/>
      </c>
    </row>
    <row r="7006" customFormat="1" s="94">
      <c r="B7006" s="128" t="n">
        <v>44001</v>
      </c>
      <c r="C7006" s="94">
        <f>TEXT(B7006,"aaa")</f>
        <v/>
      </c>
      <c r="E7006" s="94" t="inlineStr">
        <is>
          <t>토너</t>
        </is>
      </c>
      <c r="F7006" s="5" t="inlineStr">
        <is>
          <t>큐텐</t>
        </is>
      </c>
      <c r="G7006" s="94" t="inlineStr">
        <is>
          <t>250ml 2set</t>
        </is>
      </c>
      <c r="H7006" s="7" t="n">
        <v>190801</v>
      </c>
      <c r="I7006" s="7" t="n">
        <v>190801</v>
      </c>
      <c r="K7006" s="94" t="n">
        <v>5</v>
      </c>
      <c r="L7006" s="7" t="n">
        <v>190801</v>
      </c>
      <c r="M7006" s="94">
        <f>VLOOKUP($Q7006,매칭테이블!$F:$I,2,0)*K7006</f>
        <v/>
      </c>
      <c r="N7006" s="94">
        <f>M7006-M7006*VLOOKUP($Q7006,매칭테이블!$F:$I,3,0)</f>
        <v/>
      </c>
      <c r="O7006" s="94">
        <f>VLOOKUP($Q7006,매칭테이블!$F:$I,4,0)*K7006</f>
        <v/>
      </c>
      <c r="P7006" s="148">
        <f>M7006/1.1</f>
        <v/>
      </c>
      <c r="Q7006" s="94">
        <f>F7006&amp;E7006&amp;G7006&amp;L7006</f>
        <v/>
      </c>
    </row>
    <row r="7007" customFormat="1" s="94">
      <c r="B7007" s="128" t="n">
        <v>44001</v>
      </c>
      <c r="C7007" s="94">
        <f>TEXT(B7007,"aaa")</f>
        <v/>
      </c>
      <c r="E7007" s="94" t="inlineStr">
        <is>
          <t>앰플</t>
        </is>
      </c>
      <c r="F7007" s="5" t="inlineStr">
        <is>
          <t>큐텐</t>
        </is>
      </c>
      <c r="G7007" s="94" t="inlineStr">
        <is>
          <t>앰플 30ml</t>
        </is>
      </c>
      <c r="H7007" s="7" t="n">
        <v>190801</v>
      </c>
      <c r="I7007" s="7" t="n">
        <v>190801</v>
      </c>
      <c r="K7007" s="94" t="n">
        <v>1</v>
      </c>
      <c r="L7007" s="7" t="n">
        <v>190801</v>
      </c>
      <c r="M7007" s="94">
        <f>VLOOKUP($Q7007,매칭테이블!$F:$I,2,0)*K7007</f>
        <v/>
      </c>
      <c r="N7007" s="94">
        <f>M7007-M7007*VLOOKUP($Q7007,매칭테이블!$F:$I,3,0)</f>
        <v/>
      </c>
      <c r="O7007" s="94">
        <f>VLOOKUP($Q7007,매칭테이블!$F:$I,4,0)*K7007</f>
        <v/>
      </c>
      <c r="P7007" s="148">
        <f>M7007/1.1</f>
        <v/>
      </c>
      <c r="Q7007" s="94">
        <f>F7007&amp;E7007&amp;G7007&amp;L7007</f>
        <v/>
      </c>
    </row>
    <row r="7008" customFormat="1" s="94">
      <c r="B7008" s="128" t="n">
        <v>44001</v>
      </c>
      <c r="C7008" s="94">
        <f>TEXT(B7008,"aaa")</f>
        <v/>
      </c>
      <c r="E7008" s="94" t="inlineStr">
        <is>
          <t>클렌징폼</t>
        </is>
      </c>
      <c r="F7008" s="5" t="inlineStr">
        <is>
          <t>큐텐</t>
        </is>
      </c>
      <c r="G7008" s="94" t="inlineStr">
        <is>
          <t>클렌징폼 120ml</t>
        </is>
      </c>
      <c r="H7008" s="7" t="n">
        <v>190801</v>
      </c>
      <c r="I7008" s="7" t="n">
        <v>190801</v>
      </c>
      <c r="K7008" s="94" t="n">
        <v>2</v>
      </c>
      <c r="L7008" s="7" t="n">
        <v>190801</v>
      </c>
      <c r="M7008" s="94">
        <f>VLOOKUP($Q7008,매칭테이블!$F:$I,2,0)*K7008</f>
        <v/>
      </c>
      <c r="N7008" s="94">
        <f>M7008-M7008*VLOOKUP($Q7008,매칭테이블!$F:$I,3,0)</f>
        <v/>
      </c>
      <c r="O7008" s="94">
        <f>VLOOKUP($Q7008,매칭테이블!$F:$I,4,0)*K7008</f>
        <v/>
      </c>
      <c r="P7008" s="148">
        <f>M7008/1.1</f>
        <v/>
      </c>
      <c r="Q7008" s="94">
        <f>F7008&amp;E7008&amp;G7008&amp;L7008</f>
        <v/>
      </c>
    </row>
    <row r="7009" customFormat="1" s="94">
      <c r="B7009" s="128" t="n">
        <v>44001</v>
      </c>
      <c r="C7009" s="94">
        <f>TEXT(B7009,"aaa")</f>
        <v/>
      </c>
      <c r="E7009" s="94" t="inlineStr">
        <is>
          <t>선크림</t>
        </is>
      </c>
      <c r="F7009" s="5" t="inlineStr">
        <is>
          <t>화해</t>
        </is>
      </c>
      <c r="G7009" s="94" t="inlineStr">
        <is>
          <t>[200618-22] 선크림 50ml</t>
        </is>
      </c>
      <c r="H7009" s="7" t="n">
        <v>190801</v>
      </c>
      <c r="I7009" s="7" t="n">
        <v>190801</v>
      </c>
      <c r="K7009" s="94" t="n">
        <v>1</v>
      </c>
      <c r="L7009" s="7" t="n">
        <v>200618</v>
      </c>
      <c r="M7009" s="94">
        <f>VLOOKUP($Q7009,매칭테이블!$F:$I,2,0)*K7009</f>
        <v/>
      </c>
      <c r="N7009" s="94">
        <f>M7009-M7009*VLOOKUP($Q7009,매칭테이블!$F:$I,3,0)</f>
        <v/>
      </c>
      <c r="O7009" s="94">
        <f>VLOOKUP($Q7009,매칭테이블!$F:$I,4,0)*K7009</f>
        <v/>
      </c>
      <c r="P7009" s="148">
        <f>M7009/1.1</f>
        <v/>
      </c>
      <c r="Q7009" s="94">
        <f>F7009&amp;E7009&amp;G7009&amp;L7009</f>
        <v/>
      </c>
    </row>
    <row r="7010" customFormat="1" s="94">
      <c r="B7010" s="128" t="n">
        <v>44001</v>
      </c>
      <c r="C7010" s="94">
        <f>TEXT(B7010,"aaa")</f>
        <v/>
      </c>
      <c r="E7010" s="94" t="inlineStr">
        <is>
          <t>토너</t>
        </is>
      </c>
      <c r="F7010" s="5" t="inlineStr">
        <is>
          <t>화해</t>
        </is>
      </c>
      <c r="G7010" s="94" t="inlineStr">
        <is>
          <t>[200618-22] 250ml (화장솜 증정)</t>
        </is>
      </c>
      <c r="H7010" s="7" t="n">
        <v>190801</v>
      </c>
      <c r="I7010" s="7" t="n">
        <v>190801</v>
      </c>
      <c r="K7010" s="94" t="n">
        <v>8</v>
      </c>
      <c r="L7010" s="7" t="n">
        <v>200618</v>
      </c>
      <c r="M7010" s="94">
        <f>VLOOKUP($Q7010,매칭테이블!$F:$I,2,0)*K7010</f>
        <v/>
      </c>
      <c r="N7010" s="94">
        <f>M7010-M7010*VLOOKUP($Q7010,매칭테이블!$F:$I,3,0)</f>
        <v/>
      </c>
      <c r="O7010" s="94">
        <f>VLOOKUP($Q7010,매칭테이블!$F:$I,4,0)*K7010</f>
        <v/>
      </c>
      <c r="P7010" s="148">
        <f>M7010/1.1</f>
        <v/>
      </c>
      <c r="Q7010" s="94">
        <f>F7010&amp;E7010&amp;G7010&amp;L7010</f>
        <v/>
      </c>
    </row>
    <row r="7011" customFormat="1" s="94">
      <c r="B7011" s="128" t="n">
        <v>44001</v>
      </c>
      <c r="C7011" s="94">
        <f>TEXT(B7011,"aaa")</f>
        <v/>
      </c>
      <c r="E7011" s="94" t="inlineStr">
        <is>
          <t>토너</t>
        </is>
      </c>
      <c r="F7011" s="5" t="inlineStr">
        <is>
          <t>화해</t>
        </is>
      </c>
      <c r="G7011" s="94" t="inlineStr">
        <is>
          <t>[200618-22] 250ml 2set</t>
        </is>
      </c>
      <c r="H7011" s="7" t="n">
        <v>190801</v>
      </c>
      <c r="I7011" s="7" t="n">
        <v>190801</v>
      </c>
      <c r="K7011" s="94" t="n">
        <v>1</v>
      </c>
      <c r="L7011" s="7" t="n">
        <v>200618</v>
      </c>
      <c r="M7011" s="94">
        <f>VLOOKUP($Q7011,매칭테이블!$F:$I,2,0)*K7011</f>
        <v/>
      </c>
      <c r="N7011" s="94">
        <f>M7011-M7011*VLOOKUP($Q7011,매칭테이블!$F:$I,3,0)</f>
        <v/>
      </c>
      <c r="O7011" s="94">
        <f>VLOOKUP($Q7011,매칭테이블!$F:$I,4,0)*K7011</f>
        <v/>
      </c>
      <c r="P7011" s="148">
        <f>M7011/1.1</f>
        <v/>
      </c>
      <c r="Q7011" s="94">
        <f>F7011&amp;E7011&amp;G7011&amp;L7011</f>
        <v/>
      </c>
    </row>
    <row r="7012" customFormat="1" s="94">
      <c r="B7012" s="128" t="n">
        <v>44001</v>
      </c>
      <c r="C7012" s="94">
        <f>TEXT(B7012,"aaa")</f>
        <v/>
      </c>
      <c r="E7012" s="94" t="inlineStr">
        <is>
          <t>토너</t>
        </is>
      </c>
      <c r="F7012" s="5" t="inlineStr">
        <is>
          <t>아누아 CS</t>
        </is>
      </c>
      <c r="G7012" s="94" t="inlineStr">
        <is>
          <t>250ml</t>
        </is>
      </c>
      <c r="H7012" s="7" t="n">
        <v>190801</v>
      </c>
      <c r="I7012" s="7" t="n">
        <v>190801</v>
      </c>
      <c r="K7012" s="94" t="n">
        <v>14</v>
      </c>
      <c r="L7012" s="7" t="n">
        <v>190801</v>
      </c>
      <c r="M7012" s="94">
        <f>VLOOKUP($Q7012,매칭테이블!$F:$I,2,0)*K7012</f>
        <v/>
      </c>
      <c r="N7012" s="94">
        <f>M7012-M7012*VLOOKUP($Q7012,매칭테이블!$F:$I,3,0)</f>
        <v/>
      </c>
      <c r="O7012" s="94">
        <f>VLOOKUP($Q7012,매칭테이블!$F:$I,4,0)*K7012</f>
        <v/>
      </c>
      <c r="P7012" s="148">
        <f>M7012/1.1</f>
        <v/>
      </c>
      <c r="Q7012" s="94">
        <f>F7012&amp;E7012&amp;G7012&amp;L7012</f>
        <v/>
      </c>
    </row>
    <row r="7013" customFormat="1" s="94">
      <c r="B7013" s="128" t="n">
        <v>44001</v>
      </c>
      <c r="C7013" s="94">
        <f>TEXT(B7013,"aaa")</f>
        <v/>
      </c>
      <c r="E7013" s="94" t="inlineStr">
        <is>
          <t>토너</t>
        </is>
      </c>
      <c r="F7013" s="5" t="inlineStr">
        <is>
          <t>아누아 CS</t>
        </is>
      </c>
      <c r="G7013" s="94" t="inlineStr">
        <is>
          <t>40ml</t>
        </is>
      </c>
      <c r="H7013" s="7" t="n">
        <v>190801</v>
      </c>
      <c r="I7013" s="7" t="n">
        <v>190801</v>
      </c>
      <c r="K7013" s="94" t="n">
        <v>3</v>
      </c>
      <c r="L7013" s="7" t="n">
        <v>190801</v>
      </c>
      <c r="M7013" s="94">
        <f>VLOOKUP($Q7013,매칭테이블!$F:$I,2,0)*K7013</f>
        <v/>
      </c>
      <c r="N7013" s="94">
        <f>M7013-M7013*VLOOKUP($Q7013,매칭테이블!$F:$I,3,0)</f>
        <v/>
      </c>
      <c r="O7013" s="94">
        <f>VLOOKUP($Q7013,매칭테이블!$F:$I,4,0)*K7013</f>
        <v/>
      </c>
      <c r="P7013" s="148">
        <f>M7013/1.1</f>
        <v/>
      </c>
      <c r="Q7013" s="94">
        <f>F7013&amp;E7013&amp;G7013&amp;L7013</f>
        <v/>
      </c>
    </row>
    <row r="7014" customFormat="1" s="94">
      <c r="B7014" s="128" t="n">
        <v>44001</v>
      </c>
      <c r="C7014" s="94">
        <f>TEXT(B7014,"aaa")</f>
        <v/>
      </c>
      <c r="E7014" s="94" t="inlineStr">
        <is>
          <t>화장솜</t>
        </is>
      </c>
      <c r="F7014" s="5" t="inlineStr">
        <is>
          <t>아누아 CS</t>
        </is>
      </c>
      <c r="G7014" s="94" t="inlineStr">
        <is>
          <t>스킨팩 화장솜 60P</t>
        </is>
      </c>
      <c r="H7014" s="7" t="n">
        <v>190801</v>
      </c>
      <c r="I7014" s="7" t="n">
        <v>190801</v>
      </c>
      <c r="K7014" s="94" t="n">
        <v>4</v>
      </c>
      <c r="L7014" s="7" t="n">
        <v>190801</v>
      </c>
      <c r="M7014" s="94">
        <f>VLOOKUP($Q7014,매칭테이블!$F:$I,2,0)*K7014</f>
        <v/>
      </c>
      <c r="N7014" s="94">
        <f>M7014-M7014*VLOOKUP($Q7014,매칭테이블!$F:$I,3,0)</f>
        <v/>
      </c>
      <c r="O7014" s="94">
        <f>VLOOKUP($Q7014,매칭테이블!$F:$I,4,0)*K7014</f>
        <v/>
      </c>
      <c r="P7014" s="148">
        <f>M7014/1.1</f>
        <v/>
      </c>
      <c r="Q7014" s="94">
        <f>F7014&amp;E7014&amp;G7014&amp;L7014</f>
        <v/>
      </c>
    </row>
    <row r="7015" customFormat="1" s="94">
      <c r="B7015" s="128" t="n">
        <v>44001</v>
      </c>
      <c r="C7015" s="94">
        <f>TEXT(B7015,"aaa")</f>
        <v/>
      </c>
      <c r="E7015" s="94" t="inlineStr">
        <is>
          <t>앰플</t>
        </is>
      </c>
      <c r="F7015" s="5" t="inlineStr">
        <is>
          <t>아누아 CS</t>
        </is>
      </c>
      <c r="G7015" s="94" t="inlineStr">
        <is>
          <t>앰플 30ml</t>
        </is>
      </c>
      <c r="H7015" s="7" t="n">
        <v>190801</v>
      </c>
      <c r="I7015" s="7" t="n">
        <v>190801</v>
      </c>
      <c r="K7015" s="94" t="n">
        <v>4</v>
      </c>
      <c r="L7015" s="7" t="n">
        <v>190801</v>
      </c>
      <c r="M7015" s="94">
        <f>VLOOKUP($Q7015,매칭테이블!$F:$I,2,0)*K7015</f>
        <v/>
      </c>
      <c r="N7015" s="94">
        <f>M7015-M7015*VLOOKUP($Q7015,매칭테이블!$F:$I,3,0)</f>
        <v/>
      </c>
      <c r="O7015" s="94">
        <f>VLOOKUP($Q7015,매칭테이블!$F:$I,4,0)*K7015</f>
        <v/>
      </c>
      <c r="P7015" s="148">
        <f>M7015/1.1</f>
        <v/>
      </c>
      <c r="Q7015" s="94">
        <f>F7015&amp;E7015&amp;G7015&amp;L7015</f>
        <v/>
      </c>
    </row>
    <row r="7016" customFormat="1" s="94">
      <c r="B7016" s="128" t="n">
        <v>44001</v>
      </c>
      <c r="C7016" s="94">
        <f>TEXT(B7016,"aaa")</f>
        <v/>
      </c>
      <c r="E7016" s="94" t="inlineStr">
        <is>
          <t>선크림</t>
        </is>
      </c>
      <c r="F7016" s="5" t="inlineStr">
        <is>
          <t>아누아 CS</t>
        </is>
      </c>
      <c r="G7016" s="94" t="inlineStr">
        <is>
          <t>선크림 50ml</t>
        </is>
      </c>
      <c r="H7016" s="7" t="n">
        <v>190801</v>
      </c>
      <c r="I7016" s="7" t="n">
        <v>190801</v>
      </c>
      <c r="K7016" s="94" t="n">
        <v>4</v>
      </c>
      <c r="L7016" s="7" t="n">
        <v>190801</v>
      </c>
      <c r="M7016" s="94">
        <f>VLOOKUP($Q7016,매칭테이블!$F:$I,2,0)*K7016</f>
        <v/>
      </c>
      <c r="N7016" s="94">
        <f>M7016-M7016*VLOOKUP($Q7016,매칭테이블!$F:$I,3,0)</f>
        <v/>
      </c>
      <c r="O7016" s="94">
        <f>VLOOKUP($Q7016,매칭테이블!$F:$I,4,0)*K7016</f>
        <v/>
      </c>
      <c r="P7016" s="148">
        <f>M7016/1.1</f>
        <v/>
      </c>
      <c r="Q7016" s="94">
        <f>F7016&amp;E7016&amp;G7016&amp;L7016</f>
        <v/>
      </c>
    </row>
    <row r="7017" customFormat="1" s="94">
      <c r="B7017" s="128" t="n">
        <v>44002</v>
      </c>
      <c r="C7017" s="94">
        <f>TEXT(B7017,"aaa")</f>
        <v/>
      </c>
      <c r="E7017" s="94" t="inlineStr">
        <is>
          <t>토너</t>
        </is>
      </c>
      <c r="F7017" s="5" t="inlineStr">
        <is>
          <t>스타일쉐어</t>
        </is>
      </c>
      <c r="G7017" s="94" t="inlineStr">
        <is>
          <t>250ml</t>
        </is>
      </c>
      <c r="H7017" s="7" t="n">
        <v>190801</v>
      </c>
      <c r="I7017" s="7" t="n">
        <v>190801</v>
      </c>
      <c r="K7017" s="94" t="n">
        <v>2</v>
      </c>
      <c r="L7017" s="7" t="n">
        <v>190801</v>
      </c>
      <c r="M7017" s="94">
        <f>VLOOKUP($Q7017,매칭테이블!$F:$I,2,0)*K7017</f>
        <v/>
      </c>
      <c r="N7017" s="94">
        <f>M7017-M7017*VLOOKUP($Q7017,매칭테이블!$F:$I,3,0)</f>
        <v/>
      </c>
      <c r="O7017" s="94">
        <f>VLOOKUP($Q7017,매칭테이블!$F:$I,4,0)*K7017</f>
        <v/>
      </c>
      <c r="P7017" s="148">
        <f>M7017/1.1</f>
        <v/>
      </c>
      <c r="Q7017" s="94">
        <f>F7017&amp;E7017&amp;G7017&amp;L7017</f>
        <v/>
      </c>
    </row>
    <row r="7018" customFormat="1" s="94">
      <c r="B7018" s="128" t="n">
        <v>44002</v>
      </c>
      <c r="C7018" s="94">
        <f>TEXT(B7018,"aaa")</f>
        <v/>
      </c>
      <c r="E7018" s="94" t="inlineStr">
        <is>
          <t>선크림</t>
        </is>
      </c>
      <c r="F7018" s="5" t="inlineStr">
        <is>
          <t>카페24</t>
        </is>
      </c>
      <c r="G7018" s="94" t="inlineStr">
        <is>
          <t>선크림 50ml</t>
        </is>
      </c>
      <c r="H7018" s="7" t="n">
        <v>190801</v>
      </c>
      <c r="I7018" s="7" t="n">
        <v>190801</v>
      </c>
      <c r="K7018" s="94" t="n">
        <v>1</v>
      </c>
      <c r="L7018" s="7" t="n">
        <v>190801</v>
      </c>
      <c r="M7018" s="94">
        <f>VLOOKUP($Q7018,매칭테이블!$F:$I,2,0)*K7018</f>
        <v/>
      </c>
      <c r="N7018" s="94">
        <f>M7018-M7018*VLOOKUP($Q7018,매칭테이블!$F:$I,3,0)</f>
        <v/>
      </c>
      <c r="O7018" s="94">
        <f>VLOOKUP($Q7018,매칭테이블!$F:$I,4,0)*K7018</f>
        <v/>
      </c>
      <c r="P7018" s="148">
        <f>M7018/1.1</f>
        <v/>
      </c>
      <c r="Q7018" s="94">
        <f>F7018&amp;E7018&amp;G7018&amp;L7018</f>
        <v/>
      </c>
    </row>
    <row r="7019" customFormat="1" s="94">
      <c r="B7019" s="128" t="n">
        <v>44002</v>
      </c>
      <c r="C7019" s="94">
        <f>TEXT(B7019,"aaa")</f>
        <v/>
      </c>
      <c r="E7019" s="94" t="inlineStr">
        <is>
          <t>클렌징폼</t>
        </is>
      </c>
      <c r="F7019" s="5" t="inlineStr">
        <is>
          <t>카페24</t>
        </is>
      </c>
      <c r="G7019" s="94" t="inlineStr">
        <is>
          <t>클렌징폼 120ml(선크림할인)</t>
        </is>
      </c>
      <c r="H7019" s="7" t="n">
        <v>190801</v>
      </c>
      <c r="I7019" s="7" t="n">
        <v>190801</v>
      </c>
      <c r="K7019" s="94" t="n">
        <v>1</v>
      </c>
      <c r="L7019" s="7" t="n">
        <v>190801</v>
      </c>
      <c r="M7019" s="94">
        <f>VLOOKUP($Q7019,매칭테이블!$F:$I,2,0)*K7019</f>
        <v/>
      </c>
      <c r="N7019" s="94">
        <f>M7019-M7019*VLOOKUP($Q7019,매칭테이블!$F:$I,3,0)</f>
        <v/>
      </c>
      <c r="O7019" s="94">
        <f>VLOOKUP($Q7019,매칭테이블!$F:$I,4,0)*K7019</f>
        <v/>
      </c>
      <c r="P7019" s="148">
        <f>M7019/1.1</f>
        <v/>
      </c>
      <c r="Q7019" s="94">
        <f>F7019&amp;E7019&amp;G7019&amp;L7019</f>
        <v/>
      </c>
    </row>
    <row r="7020" customFormat="1" s="94">
      <c r="B7020" s="128" t="n">
        <v>44002</v>
      </c>
      <c r="C7020" s="94">
        <f>TEXT(B7020,"aaa")</f>
        <v/>
      </c>
      <c r="E7020" s="94" t="inlineStr">
        <is>
          <t>여름 한정 진정세트</t>
        </is>
      </c>
      <c r="F7020" s="5" t="inlineStr">
        <is>
          <t>카페24</t>
        </is>
      </c>
      <c r="G7020" s="94" t="inlineStr">
        <is>
          <t>여름 한정 진정세트</t>
        </is>
      </c>
      <c r="H7020" s="7" t="n">
        <v>190801</v>
      </c>
      <c r="I7020" s="7" t="n">
        <v>190801</v>
      </c>
      <c r="K7020" s="94" t="n">
        <v>2</v>
      </c>
      <c r="L7020" s="7" t="n">
        <v>190801</v>
      </c>
      <c r="M7020" s="94">
        <f>VLOOKUP($Q7020,매칭테이블!$F:$I,2,0)*K7020</f>
        <v/>
      </c>
      <c r="N7020" s="94">
        <f>M7020-M7020*VLOOKUP($Q7020,매칭테이블!$F:$I,3,0)</f>
        <v/>
      </c>
      <c r="O7020" s="94">
        <f>VLOOKUP($Q7020,매칭테이블!$F:$I,4,0)*K7020</f>
        <v/>
      </c>
      <c r="P7020" s="148">
        <f>M7020/1.1</f>
        <v/>
      </c>
      <c r="Q7020" s="94">
        <f>F7020&amp;E7020&amp;G7020&amp;L7020</f>
        <v/>
      </c>
    </row>
    <row r="7021" customFormat="1" s="94">
      <c r="B7021" s="128" t="n">
        <v>44002</v>
      </c>
      <c r="C7021" s="94">
        <f>TEXT(B7021,"aaa")</f>
        <v/>
      </c>
      <c r="E7021" s="94" t="inlineStr">
        <is>
          <t>여름 한정 진정세트</t>
        </is>
      </c>
      <c r="F7021" s="5" t="inlineStr">
        <is>
          <t>카페24</t>
        </is>
      </c>
      <c r="G7021" s="94" t="inlineStr">
        <is>
          <t>여름 한정 진정세트 (대용량)</t>
        </is>
      </c>
      <c r="H7021" s="7" t="n">
        <v>190801</v>
      </c>
      <c r="I7021" s="7" t="n">
        <v>190801</v>
      </c>
      <c r="K7021" s="94" t="n">
        <v>4</v>
      </c>
      <c r="L7021" s="7" t="n">
        <v>190801</v>
      </c>
      <c r="M7021" s="94">
        <f>VLOOKUP($Q7021,매칭테이블!$F:$I,2,0)*K7021</f>
        <v/>
      </c>
      <c r="N7021" s="94">
        <f>M7021-M7021*VLOOKUP($Q7021,매칭테이블!$F:$I,3,0)</f>
        <v/>
      </c>
      <c r="O7021" s="94">
        <f>VLOOKUP($Q7021,매칭테이블!$F:$I,4,0)*K7021</f>
        <v/>
      </c>
      <c r="P7021" s="148">
        <f>M7021/1.1</f>
        <v/>
      </c>
      <c r="Q7021" s="94">
        <f>F7021&amp;E7021&amp;G7021&amp;L7021</f>
        <v/>
      </c>
    </row>
    <row r="7022" customFormat="1" s="94">
      <c r="B7022" s="128" t="n">
        <v>44002</v>
      </c>
      <c r="C7022" s="94">
        <f>TEXT(B7022,"aaa")</f>
        <v/>
      </c>
      <c r="E7022" s="94" t="inlineStr">
        <is>
          <t>어성초진정패키지</t>
        </is>
      </c>
      <c r="F7022" s="5" t="inlineStr">
        <is>
          <t>카페24</t>
        </is>
      </c>
      <c r="G7022" s="94" t="inlineStr">
        <is>
          <t>어성초 진정패키지세트</t>
        </is>
      </c>
      <c r="H7022" s="7" t="n">
        <v>190801</v>
      </c>
      <c r="I7022" s="7" t="n">
        <v>190801</v>
      </c>
      <c r="K7022" s="94" t="n">
        <v>9</v>
      </c>
      <c r="L7022" s="7" t="n">
        <v>190801</v>
      </c>
      <c r="M7022" s="94">
        <f>VLOOKUP($Q7022,매칭테이블!$F:$I,2,0)*K7022</f>
        <v/>
      </c>
      <c r="N7022" s="94">
        <f>M7022-M7022*VLOOKUP($Q7022,매칭테이블!$F:$I,3,0)</f>
        <v/>
      </c>
      <c r="O7022" s="94">
        <f>VLOOKUP($Q7022,매칭테이블!$F:$I,4,0)*K7022</f>
        <v/>
      </c>
      <c r="P7022" s="148">
        <f>M7022/1.1</f>
        <v/>
      </c>
      <c r="Q7022" s="94">
        <f>F7022&amp;E7022&amp;G7022&amp;L7022</f>
        <v/>
      </c>
    </row>
    <row r="7023" customFormat="1" s="94">
      <c r="B7023" s="128" t="n">
        <v>44002</v>
      </c>
      <c r="C7023" s="94">
        <f>TEXT(B7023,"aaa")</f>
        <v/>
      </c>
      <c r="E7023" s="94" t="inlineStr">
        <is>
          <t>머드크림마스크</t>
        </is>
      </c>
      <c r="F7023" s="5" t="inlineStr">
        <is>
          <t>카페24</t>
        </is>
      </c>
      <c r="G7023" s="94" t="inlineStr">
        <is>
          <t>머드크림마스크 100ml</t>
        </is>
      </c>
      <c r="H7023" s="7" t="n">
        <v>190801</v>
      </c>
      <c r="I7023" s="7" t="n">
        <v>190801</v>
      </c>
      <c r="K7023" s="94" t="n">
        <v>1</v>
      </c>
      <c r="L7023" s="7" t="n">
        <v>190801</v>
      </c>
      <c r="M7023" s="94">
        <f>VLOOKUP($Q7023,매칭테이블!$F:$I,2,0)*K7023</f>
        <v/>
      </c>
      <c r="N7023" s="94">
        <f>M7023-M7023*VLOOKUP($Q7023,매칭테이블!$F:$I,3,0)</f>
        <v/>
      </c>
      <c r="O7023" s="94">
        <f>VLOOKUP($Q7023,매칭테이블!$F:$I,4,0)*K7023</f>
        <v/>
      </c>
      <c r="P7023" s="148">
        <f>M7023/1.1</f>
        <v/>
      </c>
      <c r="Q7023" s="94">
        <f>F7023&amp;E7023&amp;G7023&amp;L7023</f>
        <v/>
      </c>
    </row>
    <row r="7024" customFormat="1" s="94">
      <c r="B7024" s="128" t="n">
        <v>44002</v>
      </c>
      <c r="C7024" s="94">
        <f>TEXT(B7024,"aaa")</f>
        <v/>
      </c>
      <c r="E7024" s="94" t="inlineStr">
        <is>
          <t>머드크림마스크</t>
        </is>
      </c>
      <c r="F7024" s="5" t="inlineStr">
        <is>
          <t>카페24</t>
        </is>
      </c>
      <c r="G7024" s="94" t="inlineStr">
        <is>
          <t>머드크림마스크 100ml 2set</t>
        </is>
      </c>
      <c r="H7024" s="7" t="n">
        <v>190801</v>
      </c>
      <c r="I7024" s="7" t="n">
        <v>190801</v>
      </c>
      <c r="K7024" s="94" t="n">
        <v>1</v>
      </c>
      <c r="L7024" s="7" t="n">
        <v>190801</v>
      </c>
      <c r="M7024" s="94">
        <f>VLOOKUP($Q7024,매칭테이블!$F:$I,2,0)*K7024</f>
        <v/>
      </c>
      <c r="N7024" s="94">
        <f>M7024-M7024*VLOOKUP($Q7024,매칭테이블!$F:$I,3,0)</f>
        <v/>
      </c>
      <c r="O7024" s="94">
        <f>VLOOKUP($Q7024,매칭테이블!$F:$I,4,0)*K7024</f>
        <v/>
      </c>
      <c r="P7024" s="148">
        <f>M7024/1.1</f>
        <v/>
      </c>
      <c r="Q7024" s="94">
        <f>F7024&amp;E7024&amp;G7024&amp;L7024</f>
        <v/>
      </c>
    </row>
    <row r="7025" customFormat="1" s="94">
      <c r="B7025" s="128" t="n">
        <v>44002</v>
      </c>
      <c r="C7025" s="94">
        <f>TEXT(B7025,"aaa")</f>
        <v/>
      </c>
      <c r="E7025" s="94" t="inlineStr">
        <is>
          <t>마스크팩</t>
        </is>
      </c>
      <c r="F7025" s="5" t="inlineStr">
        <is>
          <t>카페24</t>
        </is>
      </c>
      <c r="G7025" s="94" t="inlineStr">
        <is>
          <t>마스크팩 1매</t>
        </is>
      </c>
      <c r="H7025" s="7" t="n">
        <v>190801</v>
      </c>
      <c r="I7025" s="7" t="n">
        <v>190801</v>
      </c>
      <c r="K7025" s="94" t="n">
        <v>3</v>
      </c>
      <c r="L7025" s="7" t="n">
        <v>190801</v>
      </c>
      <c r="M7025" s="94">
        <f>VLOOKUP($Q7025,매칭테이블!$F:$I,2,0)*K7025</f>
        <v/>
      </c>
      <c r="N7025" s="94">
        <f>M7025-M7025*VLOOKUP($Q7025,매칭테이블!$F:$I,3,0)</f>
        <v/>
      </c>
      <c r="O7025" s="94">
        <f>VLOOKUP($Q7025,매칭테이블!$F:$I,4,0)*K7025</f>
        <v/>
      </c>
      <c r="P7025" s="148">
        <f>M7025/1.1</f>
        <v/>
      </c>
      <c r="Q7025" s="94">
        <f>F7025&amp;E7025&amp;G7025&amp;L7025</f>
        <v/>
      </c>
    </row>
    <row r="7026" customFormat="1" s="94">
      <c r="B7026" s="128" t="n">
        <v>44002</v>
      </c>
      <c r="C7026" s="94">
        <f>TEXT(B7026,"aaa")</f>
        <v/>
      </c>
      <c r="E7026" s="94" t="inlineStr">
        <is>
          <t>마스크팩</t>
        </is>
      </c>
      <c r="F7026" s="5" t="inlineStr">
        <is>
          <t>카페24</t>
        </is>
      </c>
      <c r="G7026" s="94" t="inlineStr">
        <is>
          <t>마스크팩 10매</t>
        </is>
      </c>
      <c r="H7026" s="7" t="n">
        <v>190801</v>
      </c>
      <c r="I7026" s="7" t="n">
        <v>190801</v>
      </c>
      <c r="K7026" s="94" t="n">
        <v>3</v>
      </c>
      <c r="L7026" s="7" t="n">
        <v>190801</v>
      </c>
      <c r="M7026" s="94">
        <f>VLOOKUP($Q7026,매칭테이블!$F:$I,2,0)*K7026</f>
        <v/>
      </c>
      <c r="N7026" s="94">
        <f>M7026-M7026*VLOOKUP($Q7026,매칭테이블!$F:$I,3,0)</f>
        <v/>
      </c>
      <c r="O7026" s="94">
        <f>VLOOKUP($Q7026,매칭테이블!$F:$I,4,0)*K7026</f>
        <v/>
      </c>
      <c r="P7026" s="148">
        <f>M7026/1.1</f>
        <v/>
      </c>
      <c r="Q7026" s="94">
        <f>F7026&amp;E7026&amp;G7026&amp;L7026</f>
        <v/>
      </c>
    </row>
    <row r="7027" customFormat="1" s="94">
      <c r="B7027" s="128" t="n">
        <v>44002</v>
      </c>
      <c r="C7027" s="94">
        <f>TEXT(B7027,"aaa")</f>
        <v/>
      </c>
      <c r="E7027" s="94" t="inlineStr">
        <is>
          <t>토너</t>
        </is>
      </c>
      <c r="F7027" s="5" t="inlineStr">
        <is>
          <t>카페24</t>
        </is>
      </c>
      <c r="G7027" s="94" t="inlineStr">
        <is>
          <t>250ml</t>
        </is>
      </c>
      <c r="H7027" s="7" t="n">
        <v>190801</v>
      </c>
      <c r="I7027" s="7" t="n">
        <v>190801</v>
      </c>
      <c r="K7027" s="94" t="n">
        <v>65</v>
      </c>
      <c r="L7027" s="7" t="n">
        <v>190801</v>
      </c>
      <c r="M7027" s="94">
        <f>VLOOKUP($Q7027,매칭테이블!$F:$I,2,0)*K7027</f>
        <v/>
      </c>
      <c r="N7027" s="94">
        <f>M7027-M7027*VLOOKUP($Q7027,매칭테이블!$F:$I,3,0)</f>
        <v/>
      </c>
      <c r="O7027" s="94">
        <f>VLOOKUP($Q7027,매칭테이블!$F:$I,4,0)*K7027</f>
        <v/>
      </c>
      <c r="P7027" s="148">
        <f>M7027/1.1</f>
        <v/>
      </c>
      <c r="Q7027" s="94">
        <f>F7027&amp;E7027&amp;G7027&amp;L7027</f>
        <v/>
      </c>
    </row>
    <row r="7028" customFormat="1" s="94">
      <c r="B7028" s="128" t="n">
        <v>44002</v>
      </c>
      <c r="C7028" s="94">
        <f>TEXT(B7028,"aaa")</f>
        <v/>
      </c>
      <c r="E7028" s="94" t="inlineStr">
        <is>
          <t>토너</t>
        </is>
      </c>
      <c r="F7028" s="5" t="inlineStr">
        <is>
          <t>카페24</t>
        </is>
      </c>
      <c r="G7028" s="94" t="inlineStr">
        <is>
          <t>250ml 2set</t>
        </is>
      </c>
      <c r="H7028" s="7" t="n">
        <v>190801</v>
      </c>
      <c r="I7028" s="7" t="n">
        <v>190801</v>
      </c>
      <c r="K7028" s="94" t="n">
        <v>42</v>
      </c>
      <c r="L7028" s="7" t="n">
        <v>190801</v>
      </c>
      <c r="M7028" s="94">
        <f>VLOOKUP($Q7028,매칭테이블!$F:$I,2,0)*K7028</f>
        <v/>
      </c>
      <c r="N7028" s="94">
        <f>M7028-M7028*VLOOKUP($Q7028,매칭테이블!$F:$I,3,0)</f>
        <v/>
      </c>
      <c r="O7028" s="94">
        <f>VLOOKUP($Q7028,매칭테이블!$F:$I,4,0)*K7028</f>
        <v/>
      </c>
      <c r="P7028" s="148">
        <f>M7028/1.1</f>
        <v/>
      </c>
      <c r="Q7028" s="94">
        <f>F7028&amp;E7028&amp;G7028&amp;L7028</f>
        <v/>
      </c>
    </row>
    <row r="7029" customFormat="1" s="94">
      <c r="B7029" s="128" t="n">
        <v>44002</v>
      </c>
      <c r="C7029" s="94">
        <f>TEXT(B7029,"aaa")</f>
        <v/>
      </c>
      <c r="E7029" s="94" t="inlineStr">
        <is>
          <t>토너</t>
        </is>
      </c>
      <c r="F7029" s="5" t="inlineStr">
        <is>
          <t>카페24</t>
        </is>
      </c>
      <c r="G7029" s="94" t="inlineStr">
        <is>
          <t>500ml</t>
        </is>
      </c>
      <c r="H7029" s="7" t="n">
        <v>190801</v>
      </c>
      <c r="I7029" s="7" t="n">
        <v>190801</v>
      </c>
      <c r="K7029" s="94" t="n">
        <v>31</v>
      </c>
      <c r="L7029" s="7" t="n">
        <v>190801</v>
      </c>
      <c r="M7029" s="94">
        <f>VLOOKUP($Q7029,매칭테이블!$F:$I,2,0)*K7029</f>
        <v/>
      </c>
      <c r="N7029" s="94">
        <f>M7029-M7029*VLOOKUP($Q7029,매칭테이블!$F:$I,3,0)</f>
        <v/>
      </c>
      <c r="O7029" s="94">
        <f>VLOOKUP($Q7029,매칭테이블!$F:$I,4,0)*K7029</f>
        <v/>
      </c>
      <c r="P7029" s="148">
        <f>M7029/1.1</f>
        <v/>
      </c>
      <c r="Q7029" s="94">
        <f>F7029&amp;E7029&amp;G7029&amp;L7029</f>
        <v/>
      </c>
    </row>
    <row r="7030" customFormat="1" s="94">
      <c r="B7030" s="128" t="n">
        <v>44002</v>
      </c>
      <c r="C7030" s="94">
        <f>TEXT(B7030,"aaa")</f>
        <v/>
      </c>
      <c r="E7030" s="94" t="inlineStr">
        <is>
          <t>토너</t>
        </is>
      </c>
      <c r="F7030" s="5" t="inlineStr">
        <is>
          <t>카페24</t>
        </is>
      </c>
      <c r="G7030" s="94" t="inlineStr">
        <is>
          <t>스킨팩 화장솜 60P</t>
        </is>
      </c>
      <c r="H7030" s="7" t="n">
        <v>190801</v>
      </c>
      <c r="I7030" s="7" t="n">
        <v>190801</v>
      </c>
      <c r="K7030" s="94" t="n">
        <v>46</v>
      </c>
      <c r="L7030" s="7" t="n">
        <v>190801</v>
      </c>
      <c r="M7030" s="94">
        <f>VLOOKUP($Q7030,매칭테이블!$F:$I,2,0)*K7030</f>
        <v/>
      </c>
      <c r="N7030" s="94">
        <f>M7030-M7030*VLOOKUP($Q7030,매칭테이블!$F:$I,3,0)</f>
        <v/>
      </c>
      <c r="O7030" s="94">
        <f>VLOOKUP($Q7030,매칭테이블!$F:$I,4,0)*K7030</f>
        <v/>
      </c>
      <c r="P7030" s="148">
        <f>M7030/1.1</f>
        <v/>
      </c>
      <c r="Q7030" s="94">
        <f>F7030&amp;E7030&amp;G7030&amp;L7030</f>
        <v/>
      </c>
    </row>
    <row r="7031" customFormat="1" s="94">
      <c r="B7031" s="128" t="n">
        <v>44002</v>
      </c>
      <c r="C7031" s="94">
        <f>TEXT(B7031,"aaa")</f>
        <v/>
      </c>
      <c r="E7031" s="94" t="inlineStr">
        <is>
          <t>앰플</t>
        </is>
      </c>
      <c r="F7031" s="5" t="inlineStr">
        <is>
          <t>카페24</t>
        </is>
      </c>
      <c r="G7031" s="94" t="inlineStr">
        <is>
          <t>앰플 30ml</t>
        </is>
      </c>
      <c r="H7031" s="7" t="n">
        <v>190801</v>
      </c>
      <c r="I7031" s="7" t="n">
        <v>190801</v>
      </c>
      <c r="K7031" s="94" t="n">
        <v>9</v>
      </c>
      <c r="L7031" s="7" t="n">
        <v>190801</v>
      </c>
      <c r="M7031" s="94">
        <f>VLOOKUP($Q7031,매칭테이블!$F:$I,2,0)*K7031</f>
        <v/>
      </c>
      <c r="N7031" s="94">
        <f>M7031-M7031*VLOOKUP($Q7031,매칭테이블!$F:$I,3,0)</f>
        <v/>
      </c>
      <c r="O7031" s="94">
        <f>VLOOKUP($Q7031,매칭테이블!$F:$I,4,0)*K7031</f>
        <v/>
      </c>
      <c r="P7031" s="148">
        <f>M7031/1.1</f>
        <v/>
      </c>
      <c r="Q7031" s="94">
        <f>F7031&amp;E7031&amp;G7031&amp;L7031</f>
        <v/>
      </c>
    </row>
    <row r="7032" customFormat="1" s="94">
      <c r="B7032" s="128" t="n">
        <v>44002</v>
      </c>
      <c r="C7032" s="94">
        <f>TEXT(B7032,"aaa")</f>
        <v/>
      </c>
      <c r="E7032" s="94" t="inlineStr">
        <is>
          <t>수딩크림</t>
        </is>
      </c>
      <c r="F7032" s="5" t="inlineStr">
        <is>
          <t>카페24</t>
        </is>
      </c>
      <c r="G7032" s="94" t="inlineStr">
        <is>
          <t>수딩크림 100ml</t>
        </is>
      </c>
      <c r="H7032" s="7" t="n">
        <v>190801</v>
      </c>
      <c r="I7032" s="7" t="n">
        <v>190801</v>
      </c>
      <c r="K7032" s="94" t="n">
        <v>3</v>
      </c>
      <c r="L7032" s="7" t="n">
        <v>190801</v>
      </c>
      <c r="M7032" s="94">
        <f>VLOOKUP($Q7032,매칭테이블!$F:$I,2,0)*K7032</f>
        <v/>
      </c>
      <c r="N7032" s="94">
        <f>M7032-M7032*VLOOKUP($Q7032,매칭테이블!$F:$I,3,0)</f>
        <v/>
      </c>
      <c r="O7032" s="94">
        <f>VLOOKUP($Q7032,매칭테이블!$F:$I,4,0)*K7032</f>
        <v/>
      </c>
      <c r="P7032" s="148">
        <f>M7032/1.1</f>
        <v/>
      </c>
      <c r="Q7032" s="94">
        <f>F7032&amp;E7032&amp;G7032&amp;L7032</f>
        <v/>
      </c>
    </row>
    <row r="7033" customFormat="1" s="94">
      <c r="B7033" s="128" t="n">
        <v>44002</v>
      </c>
      <c r="C7033" s="94">
        <f>TEXT(B7033,"aaa")</f>
        <v/>
      </c>
      <c r="E7033" s="94" t="inlineStr">
        <is>
          <t>클렌징폼</t>
        </is>
      </c>
      <c r="F7033" s="5" t="inlineStr">
        <is>
          <t>카페24</t>
        </is>
      </c>
      <c r="G7033" s="94" t="inlineStr">
        <is>
          <t>클렌징폼 120ml</t>
        </is>
      </c>
      <c r="H7033" s="7" t="n">
        <v>190801</v>
      </c>
      <c r="I7033" s="7" t="n">
        <v>190801</v>
      </c>
      <c r="K7033" s="94" t="n">
        <v>9</v>
      </c>
      <c r="L7033" s="7" t="n">
        <v>190801</v>
      </c>
      <c r="M7033" s="94">
        <f>VLOOKUP($Q7033,매칭테이블!$F:$I,2,0)*K7033</f>
        <v/>
      </c>
      <c r="N7033" s="94">
        <f>M7033-M7033*VLOOKUP($Q7033,매칭테이블!$F:$I,3,0)</f>
        <v/>
      </c>
      <c r="O7033" s="94">
        <f>VLOOKUP($Q7033,매칭테이블!$F:$I,4,0)*K7033</f>
        <v/>
      </c>
      <c r="P7033" s="148">
        <f>M7033/1.1</f>
        <v/>
      </c>
      <c r="Q7033" s="94">
        <f>F7033&amp;E7033&amp;G7033&amp;L7033</f>
        <v/>
      </c>
    </row>
    <row r="7034" customFormat="1" s="94">
      <c r="B7034" s="128" t="n">
        <v>44002</v>
      </c>
      <c r="C7034" s="94">
        <f>TEXT(B7034,"aaa")</f>
        <v/>
      </c>
      <c r="E7034" s="94" t="inlineStr">
        <is>
          <t>클렌징폼</t>
        </is>
      </c>
      <c r="F7034" s="5" t="inlineStr">
        <is>
          <t>카페24</t>
        </is>
      </c>
      <c r="G7034" s="94" t="inlineStr">
        <is>
          <t>클렌징폼 120ml 2set</t>
        </is>
      </c>
      <c r="H7034" s="7" t="n">
        <v>190801</v>
      </c>
      <c r="I7034" s="7" t="n">
        <v>190801</v>
      </c>
      <c r="K7034" s="94" t="n">
        <v>2</v>
      </c>
      <c r="L7034" s="7" t="n">
        <v>190801</v>
      </c>
      <c r="M7034" s="94">
        <f>VLOOKUP($Q7034,매칭테이블!$F:$I,2,0)*K7034</f>
        <v/>
      </c>
      <c r="N7034" s="94">
        <f>M7034-M7034*VLOOKUP($Q7034,매칭테이블!$F:$I,3,0)</f>
        <v/>
      </c>
      <c r="O7034" s="94">
        <f>VLOOKUP($Q7034,매칭테이블!$F:$I,4,0)*K7034</f>
        <v/>
      </c>
      <c r="P7034" s="148">
        <f>M7034/1.1</f>
        <v/>
      </c>
      <c r="Q7034" s="94">
        <f>F7034&amp;E7034&amp;G7034&amp;L7034</f>
        <v/>
      </c>
    </row>
    <row r="7035" customFormat="1" s="94">
      <c r="B7035" s="128" t="n">
        <v>44002</v>
      </c>
      <c r="C7035" s="94">
        <f>TEXT(B7035,"aaa")</f>
        <v/>
      </c>
      <c r="E7035" s="94" t="inlineStr">
        <is>
          <t>클렌징폼</t>
        </is>
      </c>
      <c r="F7035" s="5" t="inlineStr">
        <is>
          <t>카페24</t>
        </is>
      </c>
      <c r="G7035" s="94" t="inlineStr">
        <is>
          <t>클렌징폼 120ml 3set</t>
        </is>
      </c>
      <c r="H7035" s="7" t="n">
        <v>190801</v>
      </c>
      <c r="I7035" s="7" t="n">
        <v>190801</v>
      </c>
      <c r="K7035" s="94" t="n">
        <v>2</v>
      </c>
      <c r="L7035" s="7" t="n">
        <v>190801</v>
      </c>
      <c r="M7035" s="94">
        <f>VLOOKUP($Q7035,매칭테이블!$F:$I,2,0)*K7035</f>
        <v/>
      </c>
      <c r="N7035" s="94">
        <f>M7035-M7035*VLOOKUP($Q7035,매칭테이블!$F:$I,3,0)</f>
        <v/>
      </c>
      <c r="O7035" s="94">
        <f>VLOOKUP($Q7035,매칭테이블!$F:$I,4,0)*K7035</f>
        <v/>
      </c>
      <c r="P7035" s="148">
        <f>M7035/1.1</f>
        <v/>
      </c>
      <c r="Q7035" s="94">
        <f>F7035&amp;E7035&amp;G7035&amp;L7035</f>
        <v/>
      </c>
    </row>
    <row r="7036" customFormat="1" s="94">
      <c r="B7036" s="128" t="n">
        <v>44002</v>
      </c>
      <c r="C7036" s="94">
        <f>TEXT(B7036,"aaa")</f>
        <v/>
      </c>
      <c r="E7036" s="94" t="inlineStr">
        <is>
          <t>선크림</t>
        </is>
      </c>
      <c r="F7036" s="5" t="inlineStr">
        <is>
          <t>화해</t>
        </is>
      </c>
      <c r="G7036" s="94" t="inlineStr">
        <is>
          <t>[200618-22] 선크림 50ml</t>
        </is>
      </c>
      <c r="H7036" s="7" t="n">
        <v>190801</v>
      </c>
      <c r="I7036" s="7" t="n">
        <v>190801</v>
      </c>
      <c r="K7036" s="94" t="n">
        <v>1</v>
      </c>
      <c r="L7036" s="7" t="n">
        <v>200618</v>
      </c>
      <c r="M7036" s="94">
        <f>VLOOKUP($Q7036,매칭테이블!$F:$I,2,0)*K7036</f>
        <v/>
      </c>
      <c r="N7036" s="94">
        <f>M7036-M7036*VLOOKUP($Q7036,매칭테이블!$F:$I,3,0)</f>
        <v/>
      </c>
      <c r="O7036" s="94">
        <f>VLOOKUP($Q7036,매칭테이블!$F:$I,4,0)*K7036</f>
        <v/>
      </c>
      <c r="P7036" s="148">
        <f>M7036/1.1</f>
        <v/>
      </c>
      <c r="Q7036" s="94">
        <f>F7036&amp;E7036&amp;G7036&amp;L7036</f>
        <v/>
      </c>
    </row>
    <row r="7037" customFormat="1" s="94">
      <c r="B7037" s="128" t="n">
        <v>44002</v>
      </c>
      <c r="C7037" s="94">
        <f>TEXT(B7037,"aaa")</f>
        <v/>
      </c>
      <c r="E7037" s="94" t="inlineStr">
        <is>
          <t>토너</t>
        </is>
      </c>
      <c r="F7037" s="5" t="inlineStr">
        <is>
          <t>화해</t>
        </is>
      </c>
      <c r="G7037" s="94" t="inlineStr">
        <is>
          <t>[200618-22] 250ml (화장솜 증정)</t>
        </is>
      </c>
      <c r="H7037" s="7" t="n">
        <v>190801</v>
      </c>
      <c r="I7037" s="7" t="n">
        <v>190801</v>
      </c>
      <c r="K7037" s="94" t="n">
        <v>8</v>
      </c>
      <c r="L7037" s="7" t="n">
        <v>200618</v>
      </c>
      <c r="M7037" s="94">
        <f>VLOOKUP($Q7037,매칭테이블!$F:$I,2,0)*K7037</f>
        <v/>
      </c>
      <c r="N7037" s="94">
        <f>M7037-M7037*VLOOKUP($Q7037,매칭테이블!$F:$I,3,0)</f>
        <v/>
      </c>
      <c r="O7037" s="94">
        <f>VLOOKUP($Q7037,매칭테이블!$F:$I,4,0)*K7037</f>
        <v/>
      </c>
      <c r="P7037" s="148">
        <f>M7037/1.1</f>
        <v/>
      </c>
      <c r="Q7037" s="94">
        <f>F7037&amp;E7037&amp;G7037&amp;L7037</f>
        <v/>
      </c>
    </row>
    <row r="7038" customFormat="1" s="94">
      <c r="B7038" s="128" t="n">
        <v>44002</v>
      </c>
      <c r="C7038" s="94">
        <f>TEXT(B7038,"aaa")</f>
        <v/>
      </c>
      <c r="E7038" s="94" t="inlineStr">
        <is>
          <t>토너</t>
        </is>
      </c>
      <c r="F7038" s="5" t="inlineStr">
        <is>
          <t>화해</t>
        </is>
      </c>
      <c r="G7038" s="94" t="inlineStr">
        <is>
          <t>[200618-22] 250ml 2set</t>
        </is>
      </c>
      <c r="H7038" s="7" t="n">
        <v>190801</v>
      </c>
      <c r="I7038" s="7" t="n">
        <v>190801</v>
      </c>
      <c r="K7038" s="94" t="n">
        <v>2</v>
      </c>
      <c r="L7038" s="7" t="n">
        <v>200618</v>
      </c>
      <c r="M7038" s="94">
        <f>VLOOKUP($Q7038,매칭테이블!$F:$I,2,0)*K7038</f>
        <v/>
      </c>
      <c r="N7038" s="94">
        <f>M7038-M7038*VLOOKUP($Q7038,매칭테이블!$F:$I,3,0)</f>
        <v/>
      </c>
      <c r="O7038" s="94">
        <f>VLOOKUP($Q7038,매칭테이블!$F:$I,4,0)*K7038</f>
        <v/>
      </c>
      <c r="P7038" s="148">
        <f>M7038/1.1</f>
        <v/>
      </c>
      <c r="Q7038" s="94">
        <f>F7038&amp;E7038&amp;G7038&amp;L7038</f>
        <v/>
      </c>
    </row>
    <row r="7039" customFormat="1" s="94">
      <c r="B7039" s="128" t="n">
        <v>44003</v>
      </c>
      <c r="C7039" s="94">
        <f>TEXT(B7039,"aaa")</f>
        <v/>
      </c>
      <c r="E7039" s="94" t="inlineStr">
        <is>
          <t>토너</t>
        </is>
      </c>
      <c r="F7039" s="5" t="inlineStr">
        <is>
          <t>스타일쉐어</t>
        </is>
      </c>
      <c r="G7039" s="94" t="inlineStr">
        <is>
          <t>250ml</t>
        </is>
      </c>
      <c r="H7039" s="7" t="n">
        <v>190801</v>
      </c>
      <c r="I7039" s="7" t="n">
        <v>190801</v>
      </c>
      <c r="K7039" s="94" t="n">
        <v>5</v>
      </c>
      <c r="L7039" s="7" t="n">
        <v>190801</v>
      </c>
      <c r="M7039" s="94">
        <f>VLOOKUP($Q7039,매칭테이블!$F:$I,2,0)*K7039</f>
        <v/>
      </c>
      <c r="N7039" s="94">
        <f>M7039-M7039*VLOOKUP($Q7039,매칭테이블!$F:$I,3,0)</f>
        <v/>
      </c>
      <c r="O7039" s="94">
        <f>VLOOKUP($Q7039,매칭테이블!$F:$I,4,0)*K7039</f>
        <v/>
      </c>
      <c r="P7039" s="148">
        <f>M7039/1.1</f>
        <v/>
      </c>
      <c r="Q7039" s="94">
        <f>F7039&amp;E7039&amp;G7039&amp;L7039</f>
        <v/>
      </c>
    </row>
    <row r="7040" customFormat="1" s="94">
      <c r="B7040" s="128" t="n">
        <v>44003</v>
      </c>
      <c r="C7040" s="94">
        <f>TEXT(B7040,"aaa")</f>
        <v/>
      </c>
      <c r="E7040" s="94" t="inlineStr">
        <is>
          <t>선크림</t>
        </is>
      </c>
      <c r="F7040" s="5" t="inlineStr">
        <is>
          <t>카페24</t>
        </is>
      </c>
      <c r="G7040" s="94" t="inlineStr">
        <is>
          <t>선크림 50ml</t>
        </is>
      </c>
      <c r="H7040" s="7" t="n">
        <v>190801</v>
      </c>
      <c r="I7040" s="7" t="n">
        <v>190801</v>
      </c>
      <c r="K7040" s="94" t="n">
        <v>4</v>
      </c>
      <c r="L7040" s="7" t="n">
        <v>190801</v>
      </c>
      <c r="M7040" s="94">
        <f>VLOOKUP($Q7040,매칭테이블!$F:$I,2,0)*K7040</f>
        <v/>
      </c>
      <c r="N7040" s="94">
        <f>M7040-M7040*VLOOKUP($Q7040,매칭테이블!$F:$I,3,0)</f>
        <v/>
      </c>
      <c r="O7040" s="94">
        <f>VLOOKUP($Q7040,매칭테이블!$F:$I,4,0)*K7040</f>
        <v/>
      </c>
      <c r="P7040" s="148">
        <f>M7040/1.1</f>
        <v/>
      </c>
      <c r="Q7040" s="94">
        <f>F7040&amp;E7040&amp;G7040&amp;L7040</f>
        <v/>
      </c>
    </row>
    <row r="7041" customFormat="1" s="94">
      <c r="B7041" s="128" t="n">
        <v>44003</v>
      </c>
      <c r="C7041" s="94">
        <f>TEXT(B7041,"aaa")</f>
        <v/>
      </c>
      <c r="E7041" s="94" t="inlineStr">
        <is>
          <t>클렌징폼</t>
        </is>
      </c>
      <c r="F7041" s="5" t="inlineStr">
        <is>
          <t>카페24</t>
        </is>
      </c>
      <c r="G7041" s="94" t="inlineStr">
        <is>
          <t>클렌징폼 120ml(선크림할인)</t>
        </is>
      </c>
      <c r="H7041" s="7" t="n">
        <v>190801</v>
      </c>
      <c r="I7041" s="7" t="n">
        <v>190801</v>
      </c>
      <c r="K7041" s="94" t="n">
        <v>1</v>
      </c>
      <c r="L7041" s="7" t="n">
        <v>190801</v>
      </c>
      <c r="M7041" s="94">
        <f>VLOOKUP($Q7041,매칭테이블!$F:$I,2,0)*K7041</f>
        <v/>
      </c>
      <c r="N7041" s="94">
        <f>M7041-M7041*VLOOKUP($Q7041,매칭테이블!$F:$I,3,0)</f>
        <v/>
      </c>
      <c r="O7041" s="94">
        <f>VLOOKUP($Q7041,매칭테이블!$F:$I,4,0)*K7041</f>
        <v/>
      </c>
      <c r="P7041" s="148">
        <f>M7041/1.1</f>
        <v/>
      </c>
      <c r="Q7041" s="94">
        <f>F7041&amp;E7041&amp;G7041&amp;L7041</f>
        <v/>
      </c>
    </row>
    <row r="7042" customFormat="1" s="94">
      <c r="B7042" s="128" t="n">
        <v>44003</v>
      </c>
      <c r="C7042" s="94">
        <f>TEXT(B7042,"aaa")</f>
        <v/>
      </c>
      <c r="E7042" s="94" t="inlineStr">
        <is>
          <t>여름 한정 진정세트</t>
        </is>
      </c>
      <c r="F7042" s="5" t="inlineStr">
        <is>
          <t>카페24</t>
        </is>
      </c>
      <c r="G7042" s="94" t="inlineStr">
        <is>
          <t>여름 한정 진정세트 (대용량)</t>
        </is>
      </c>
      <c r="H7042" s="7" t="n">
        <v>190801</v>
      </c>
      <c r="I7042" s="7" t="n">
        <v>190801</v>
      </c>
      <c r="K7042" s="94" t="n">
        <v>2</v>
      </c>
      <c r="L7042" s="7" t="n">
        <v>190801</v>
      </c>
      <c r="M7042" s="94">
        <f>VLOOKUP($Q7042,매칭테이블!$F:$I,2,0)*K7042</f>
        <v/>
      </c>
      <c r="N7042" s="94">
        <f>M7042-M7042*VLOOKUP($Q7042,매칭테이블!$F:$I,3,0)</f>
        <v/>
      </c>
      <c r="O7042" s="94">
        <f>VLOOKUP($Q7042,매칭테이블!$F:$I,4,0)*K7042</f>
        <v/>
      </c>
      <c r="P7042" s="148">
        <f>M7042/1.1</f>
        <v/>
      </c>
      <c r="Q7042" s="94">
        <f>F7042&amp;E7042&amp;G7042&amp;L7042</f>
        <v/>
      </c>
    </row>
    <row r="7043" customFormat="1" s="94">
      <c r="B7043" s="128" t="n">
        <v>44003</v>
      </c>
      <c r="C7043" s="94">
        <f>TEXT(B7043,"aaa")</f>
        <v/>
      </c>
      <c r="E7043" s="94" t="inlineStr">
        <is>
          <t>어성초진정패키지</t>
        </is>
      </c>
      <c r="F7043" s="5" t="inlineStr">
        <is>
          <t>카페24</t>
        </is>
      </c>
      <c r="G7043" s="94" t="inlineStr">
        <is>
          <t>어성초 진정패키지세트</t>
        </is>
      </c>
      <c r="H7043" s="7" t="n">
        <v>190801</v>
      </c>
      <c r="I7043" s="7" t="n">
        <v>190801</v>
      </c>
      <c r="K7043" s="94" t="n">
        <v>7</v>
      </c>
      <c r="L7043" s="7" t="n">
        <v>190801</v>
      </c>
      <c r="M7043" s="94">
        <f>VLOOKUP($Q7043,매칭테이블!$F:$I,2,0)*K7043</f>
        <v/>
      </c>
      <c r="N7043" s="94">
        <f>M7043-M7043*VLOOKUP($Q7043,매칭테이블!$F:$I,3,0)</f>
        <v/>
      </c>
      <c r="O7043" s="94">
        <f>VLOOKUP($Q7043,매칭테이블!$F:$I,4,0)*K7043</f>
        <v/>
      </c>
      <c r="P7043" s="148">
        <f>M7043/1.1</f>
        <v/>
      </c>
      <c r="Q7043" s="94">
        <f>F7043&amp;E7043&amp;G7043&amp;L7043</f>
        <v/>
      </c>
    </row>
    <row r="7044" customFormat="1" s="94">
      <c r="B7044" s="128" t="n">
        <v>44003</v>
      </c>
      <c r="C7044" s="94">
        <f>TEXT(B7044,"aaa")</f>
        <v/>
      </c>
      <c r="E7044" s="94" t="inlineStr">
        <is>
          <t>머드크림마스크</t>
        </is>
      </c>
      <c r="F7044" s="5" t="inlineStr">
        <is>
          <t>카페24</t>
        </is>
      </c>
      <c r="G7044" s="94" t="inlineStr">
        <is>
          <t>머드크림마스크 100ml</t>
        </is>
      </c>
      <c r="H7044" s="7" t="n">
        <v>190801</v>
      </c>
      <c r="I7044" s="7" t="n">
        <v>190801</v>
      </c>
      <c r="K7044" s="94" t="n">
        <v>2</v>
      </c>
      <c r="L7044" s="7" t="n">
        <v>190801</v>
      </c>
      <c r="M7044" s="94">
        <f>VLOOKUP($Q7044,매칭테이블!$F:$I,2,0)*K7044</f>
        <v/>
      </c>
      <c r="N7044" s="94">
        <f>M7044-M7044*VLOOKUP($Q7044,매칭테이블!$F:$I,3,0)</f>
        <v/>
      </c>
      <c r="O7044" s="94">
        <f>VLOOKUP($Q7044,매칭테이블!$F:$I,4,0)*K7044</f>
        <v/>
      </c>
      <c r="P7044" s="148">
        <f>M7044/1.1</f>
        <v/>
      </c>
      <c r="Q7044" s="94">
        <f>F7044&amp;E7044&amp;G7044&amp;L7044</f>
        <v/>
      </c>
    </row>
    <row r="7045" customFormat="1" s="94">
      <c r="B7045" s="128" t="n">
        <v>44003</v>
      </c>
      <c r="C7045" s="94">
        <f>TEXT(B7045,"aaa")</f>
        <v/>
      </c>
      <c r="E7045" s="94" t="inlineStr">
        <is>
          <t>마스크팩</t>
        </is>
      </c>
      <c r="F7045" s="5" t="inlineStr">
        <is>
          <t>카페24</t>
        </is>
      </c>
      <c r="G7045" s="94" t="inlineStr">
        <is>
          <t>마스크팩 1매</t>
        </is>
      </c>
      <c r="H7045" s="7" t="n">
        <v>190801</v>
      </c>
      <c r="I7045" s="7" t="n">
        <v>190801</v>
      </c>
      <c r="K7045" s="94" t="n">
        <v>7</v>
      </c>
      <c r="L7045" s="7" t="n">
        <v>190801</v>
      </c>
      <c r="M7045" s="94">
        <f>VLOOKUP($Q7045,매칭테이블!$F:$I,2,0)*K7045</f>
        <v/>
      </c>
      <c r="N7045" s="94">
        <f>M7045-M7045*VLOOKUP($Q7045,매칭테이블!$F:$I,3,0)</f>
        <v/>
      </c>
      <c r="O7045" s="94">
        <f>VLOOKUP($Q7045,매칭테이블!$F:$I,4,0)*K7045</f>
        <v/>
      </c>
      <c r="P7045" s="148">
        <f>M7045/1.1</f>
        <v/>
      </c>
      <c r="Q7045" s="94">
        <f>F7045&amp;E7045&amp;G7045&amp;L7045</f>
        <v/>
      </c>
    </row>
    <row r="7046" customFormat="1" s="94">
      <c r="B7046" s="128" t="n">
        <v>44003</v>
      </c>
      <c r="C7046" s="94">
        <f>TEXT(B7046,"aaa")</f>
        <v/>
      </c>
      <c r="E7046" s="94" t="inlineStr">
        <is>
          <t>마스크팩</t>
        </is>
      </c>
      <c r="F7046" s="5" t="inlineStr">
        <is>
          <t>카페24</t>
        </is>
      </c>
      <c r="G7046" s="94" t="inlineStr">
        <is>
          <t>마스크팩 10매</t>
        </is>
      </c>
      <c r="H7046" s="7" t="n">
        <v>190801</v>
      </c>
      <c r="I7046" s="7" t="n">
        <v>190801</v>
      </c>
      <c r="K7046" s="94" t="n">
        <v>3</v>
      </c>
      <c r="L7046" s="7" t="n">
        <v>190801</v>
      </c>
      <c r="M7046" s="94">
        <f>VLOOKUP($Q7046,매칭테이블!$F:$I,2,0)*K7046</f>
        <v/>
      </c>
      <c r="N7046" s="94">
        <f>M7046-M7046*VLOOKUP($Q7046,매칭테이블!$F:$I,3,0)</f>
        <v/>
      </c>
      <c r="O7046" s="94">
        <f>VLOOKUP($Q7046,매칭테이블!$F:$I,4,0)*K7046</f>
        <v/>
      </c>
      <c r="P7046" s="148">
        <f>M7046/1.1</f>
        <v/>
      </c>
      <c r="Q7046" s="94">
        <f>F7046&amp;E7046&amp;G7046&amp;L7046</f>
        <v/>
      </c>
    </row>
    <row r="7047" customFormat="1" s="94">
      <c r="B7047" s="128" t="n">
        <v>44003</v>
      </c>
      <c r="C7047" s="94">
        <f>TEXT(B7047,"aaa")</f>
        <v/>
      </c>
      <c r="E7047" s="94" t="inlineStr">
        <is>
          <t>토너</t>
        </is>
      </c>
      <c r="F7047" s="5" t="inlineStr">
        <is>
          <t>카페24</t>
        </is>
      </c>
      <c r="G7047" s="94" t="inlineStr">
        <is>
          <t>250ml</t>
        </is>
      </c>
      <c r="H7047" s="7" t="n">
        <v>190801</v>
      </c>
      <c r="I7047" s="7" t="n">
        <v>190801</v>
      </c>
      <c r="K7047" s="94" t="n">
        <v>65</v>
      </c>
      <c r="L7047" s="7" t="n">
        <v>190801</v>
      </c>
      <c r="M7047" s="94">
        <f>VLOOKUP($Q7047,매칭테이블!$F:$I,2,0)*K7047</f>
        <v/>
      </c>
      <c r="N7047" s="94">
        <f>M7047-M7047*VLOOKUP($Q7047,매칭테이블!$F:$I,3,0)</f>
        <v/>
      </c>
      <c r="O7047" s="94">
        <f>VLOOKUP($Q7047,매칭테이블!$F:$I,4,0)*K7047</f>
        <v/>
      </c>
      <c r="P7047" s="148">
        <f>M7047/1.1</f>
        <v/>
      </c>
      <c r="Q7047" s="94">
        <f>F7047&amp;E7047&amp;G7047&amp;L7047</f>
        <v/>
      </c>
    </row>
    <row r="7048" customFormat="1" s="94">
      <c r="B7048" s="128" t="n">
        <v>44003</v>
      </c>
      <c r="C7048" s="94">
        <f>TEXT(B7048,"aaa")</f>
        <v/>
      </c>
      <c r="E7048" s="94" t="inlineStr">
        <is>
          <t>토너</t>
        </is>
      </c>
      <c r="F7048" s="5" t="inlineStr">
        <is>
          <t>카페24</t>
        </is>
      </c>
      <c r="G7048" s="94" t="inlineStr">
        <is>
          <t>250ml 2set</t>
        </is>
      </c>
      <c r="H7048" s="7" t="n">
        <v>190801</v>
      </c>
      <c r="I7048" s="7" t="n">
        <v>190801</v>
      </c>
      <c r="K7048" s="94" t="n">
        <v>39</v>
      </c>
      <c r="L7048" s="7" t="n">
        <v>190801</v>
      </c>
      <c r="M7048" s="94">
        <f>VLOOKUP($Q7048,매칭테이블!$F:$I,2,0)*K7048</f>
        <v/>
      </c>
      <c r="N7048" s="94">
        <f>M7048-M7048*VLOOKUP($Q7048,매칭테이블!$F:$I,3,0)</f>
        <v/>
      </c>
      <c r="O7048" s="94">
        <f>VLOOKUP($Q7048,매칭테이블!$F:$I,4,0)*K7048</f>
        <v/>
      </c>
      <c r="P7048" s="148">
        <f>M7048/1.1</f>
        <v/>
      </c>
      <c r="Q7048" s="94">
        <f>F7048&amp;E7048&amp;G7048&amp;L7048</f>
        <v/>
      </c>
    </row>
    <row r="7049" customFormat="1" s="94">
      <c r="B7049" s="128" t="n">
        <v>44003</v>
      </c>
      <c r="C7049" s="94">
        <f>TEXT(B7049,"aaa")</f>
        <v/>
      </c>
      <c r="E7049" s="94" t="inlineStr">
        <is>
          <t>토너</t>
        </is>
      </c>
      <c r="F7049" s="5" t="inlineStr">
        <is>
          <t>카페24</t>
        </is>
      </c>
      <c r="G7049" s="94" t="inlineStr">
        <is>
          <t>500ml</t>
        </is>
      </c>
      <c r="H7049" s="7" t="n">
        <v>190801</v>
      </c>
      <c r="I7049" s="7" t="n">
        <v>190801</v>
      </c>
      <c r="K7049" s="94" t="n">
        <v>52</v>
      </c>
      <c r="L7049" s="7" t="n">
        <v>190801</v>
      </c>
      <c r="M7049" s="94">
        <f>VLOOKUP($Q7049,매칭테이블!$F:$I,2,0)*K7049</f>
        <v/>
      </c>
      <c r="N7049" s="94">
        <f>M7049-M7049*VLOOKUP($Q7049,매칭테이블!$F:$I,3,0)</f>
        <v/>
      </c>
      <c r="O7049" s="94">
        <f>VLOOKUP($Q7049,매칭테이블!$F:$I,4,0)*K7049</f>
        <v/>
      </c>
      <c r="P7049" s="148">
        <f>M7049/1.1</f>
        <v/>
      </c>
      <c r="Q7049" s="94">
        <f>F7049&amp;E7049&amp;G7049&amp;L7049</f>
        <v/>
      </c>
    </row>
    <row r="7050" customFormat="1" s="94">
      <c r="B7050" s="128" t="n">
        <v>44003</v>
      </c>
      <c r="C7050" s="94">
        <f>TEXT(B7050,"aaa")</f>
        <v/>
      </c>
      <c r="E7050" s="94" t="inlineStr">
        <is>
          <t>토너</t>
        </is>
      </c>
      <c r="F7050" s="5" t="inlineStr">
        <is>
          <t>카페24</t>
        </is>
      </c>
      <c r="G7050" s="94" t="inlineStr">
        <is>
          <t>스킨팩 화장솜 60P</t>
        </is>
      </c>
      <c r="H7050" s="7" t="n">
        <v>190801</v>
      </c>
      <c r="I7050" s="7" t="n">
        <v>190801</v>
      </c>
      <c r="K7050" s="94" t="n">
        <v>44</v>
      </c>
      <c r="L7050" s="7" t="n">
        <v>190801</v>
      </c>
      <c r="M7050" s="94">
        <f>VLOOKUP($Q7050,매칭테이블!$F:$I,2,0)*K7050</f>
        <v/>
      </c>
      <c r="N7050" s="94">
        <f>M7050-M7050*VLOOKUP($Q7050,매칭테이블!$F:$I,3,0)</f>
        <v/>
      </c>
      <c r="O7050" s="94">
        <f>VLOOKUP($Q7050,매칭테이블!$F:$I,4,0)*K7050</f>
        <v/>
      </c>
      <c r="P7050" s="148">
        <f>M7050/1.1</f>
        <v/>
      </c>
      <c r="Q7050" s="94">
        <f>F7050&amp;E7050&amp;G7050&amp;L7050</f>
        <v/>
      </c>
    </row>
    <row r="7051" customFormat="1" s="94">
      <c r="B7051" s="128" t="n">
        <v>44003</v>
      </c>
      <c r="C7051" s="94">
        <f>TEXT(B7051,"aaa")</f>
        <v/>
      </c>
      <c r="E7051" s="94" t="inlineStr">
        <is>
          <t>앰플</t>
        </is>
      </c>
      <c r="F7051" s="5" t="inlineStr">
        <is>
          <t>카페24</t>
        </is>
      </c>
      <c r="G7051" s="94" t="inlineStr">
        <is>
          <t>앰플 30ml</t>
        </is>
      </c>
      <c r="H7051" s="7" t="n">
        <v>190801</v>
      </c>
      <c r="I7051" s="7" t="n">
        <v>190801</v>
      </c>
      <c r="K7051" s="94" t="n">
        <v>17</v>
      </c>
      <c r="L7051" s="7" t="n">
        <v>190801</v>
      </c>
      <c r="M7051" s="94">
        <f>VLOOKUP($Q7051,매칭테이블!$F:$I,2,0)*K7051</f>
        <v/>
      </c>
      <c r="N7051" s="94">
        <f>M7051-M7051*VLOOKUP($Q7051,매칭테이블!$F:$I,3,0)</f>
        <v/>
      </c>
      <c r="O7051" s="94">
        <f>VLOOKUP($Q7051,매칭테이블!$F:$I,4,0)*K7051</f>
        <v/>
      </c>
      <c r="P7051" s="148">
        <f>M7051/1.1</f>
        <v/>
      </c>
      <c r="Q7051" s="94">
        <f>F7051&amp;E7051&amp;G7051&amp;L7051</f>
        <v/>
      </c>
    </row>
    <row r="7052" customFormat="1" s="94">
      <c r="B7052" s="128" t="n">
        <v>44003</v>
      </c>
      <c r="C7052" s="94">
        <f>TEXT(B7052,"aaa")</f>
        <v/>
      </c>
      <c r="E7052" s="94" t="inlineStr">
        <is>
          <t>수딩크림</t>
        </is>
      </c>
      <c r="F7052" s="5" t="inlineStr">
        <is>
          <t>카페24</t>
        </is>
      </c>
      <c r="G7052" s="94" t="inlineStr">
        <is>
          <t>수딩크림 100ml</t>
        </is>
      </c>
      <c r="H7052" s="7" t="n">
        <v>190801</v>
      </c>
      <c r="I7052" s="7" t="n">
        <v>190801</v>
      </c>
      <c r="K7052" s="94" t="n">
        <v>8</v>
      </c>
      <c r="L7052" s="7" t="n">
        <v>190801</v>
      </c>
      <c r="M7052" s="94">
        <f>VLOOKUP($Q7052,매칭테이블!$F:$I,2,0)*K7052</f>
        <v/>
      </c>
      <c r="N7052" s="94">
        <f>M7052-M7052*VLOOKUP($Q7052,매칭테이블!$F:$I,3,0)</f>
        <v/>
      </c>
      <c r="O7052" s="94">
        <f>VLOOKUP($Q7052,매칭테이블!$F:$I,4,0)*K7052</f>
        <v/>
      </c>
      <c r="P7052" s="148">
        <f>M7052/1.1</f>
        <v/>
      </c>
      <c r="Q7052" s="94">
        <f>F7052&amp;E7052&amp;G7052&amp;L7052</f>
        <v/>
      </c>
    </row>
    <row r="7053" customFormat="1" s="94">
      <c r="B7053" s="128" t="n">
        <v>44003</v>
      </c>
      <c r="C7053" s="94">
        <f>TEXT(B7053,"aaa")</f>
        <v/>
      </c>
      <c r="E7053" s="94" t="inlineStr">
        <is>
          <t>클렌징폼</t>
        </is>
      </c>
      <c r="F7053" s="5" t="inlineStr">
        <is>
          <t>카페24</t>
        </is>
      </c>
      <c r="G7053" s="94" t="inlineStr">
        <is>
          <t>클렌징폼 120ml</t>
        </is>
      </c>
      <c r="H7053" s="7" t="n">
        <v>190801</v>
      </c>
      <c r="I7053" s="7" t="n">
        <v>190801</v>
      </c>
      <c r="K7053" s="94" t="n">
        <v>3</v>
      </c>
      <c r="L7053" s="7" t="n">
        <v>190801</v>
      </c>
      <c r="M7053" s="94">
        <f>VLOOKUP($Q7053,매칭테이블!$F:$I,2,0)*K7053</f>
        <v/>
      </c>
      <c r="N7053" s="94">
        <f>M7053-M7053*VLOOKUP($Q7053,매칭테이블!$F:$I,3,0)</f>
        <v/>
      </c>
      <c r="O7053" s="94">
        <f>VLOOKUP($Q7053,매칭테이블!$F:$I,4,0)*K7053</f>
        <v/>
      </c>
      <c r="P7053" s="148">
        <f>M7053/1.1</f>
        <v/>
      </c>
      <c r="Q7053" s="94">
        <f>F7053&amp;E7053&amp;G7053&amp;L7053</f>
        <v/>
      </c>
    </row>
    <row r="7054" customFormat="1" s="94">
      <c r="B7054" s="128" t="n">
        <v>44003</v>
      </c>
      <c r="C7054" s="94">
        <f>TEXT(B7054,"aaa")</f>
        <v/>
      </c>
      <c r="E7054" s="94" t="inlineStr">
        <is>
          <t>클렌징폼</t>
        </is>
      </c>
      <c r="F7054" s="5" t="inlineStr">
        <is>
          <t>카페24</t>
        </is>
      </c>
      <c r="G7054" s="94" t="inlineStr">
        <is>
          <t>클렌징폼 120ml 2set</t>
        </is>
      </c>
      <c r="H7054" s="7" t="n">
        <v>190801</v>
      </c>
      <c r="I7054" s="7" t="n">
        <v>190801</v>
      </c>
      <c r="K7054" s="94" t="n">
        <v>2</v>
      </c>
      <c r="L7054" s="7" t="n">
        <v>190801</v>
      </c>
      <c r="M7054" s="94">
        <f>VLOOKUP($Q7054,매칭테이블!$F:$I,2,0)*K7054</f>
        <v/>
      </c>
      <c r="N7054" s="94">
        <f>M7054-M7054*VLOOKUP($Q7054,매칭테이블!$F:$I,3,0)</f>
        <v/>
      </c>
      <c r="O7054" s="94">
        <f>VLOOKUP($Q7054,매칭테이블!$F:$I,4,0)*K7054</f>
        <v/>
      </c>
      <c r="P7054" s="148">
        <f>M7054/1.1</f>
        <v/>
      </c>
      <c r="Q7054" s="94">
        <f>F7054&amp;E7054&amp;G7054&amp;L7054</f>
        <v/>
      </c>
    </row>
    <row r="7055" customFormat="1" s="94">
      <c r="B7055" s="128" t="n">
        <v>44003</v>
      </c>
      <c r="C7055" s="94">
        <f>TEXT(B7055,"aaa")</f>
        <v/>
      </c>
      <c r="E7055" s="94" t="inlineStr">
        <is>
          <t>클렌징폼</t>
        </is>
      </c>
      <c r="F7055" s="5" t="inlineStr">
        <is>
          <t>카페24</t>
        </is>
      </c>
      <c r="G7055" s="94" t="inlineStr">
        <is>
          <t>클렌징폼 120ml 3set</t>
        </is>
      </c>
      <c r="H7055" s="7" t="n">
        <v>190801</v>
      </c>
      <c r="I7055" s="7" t="n">
        <v>190801</v>
      </c>
      <c r="K7055" s="94" t="n">
        <v>2</v>
      </c>
      <c r="L7055" s="7" t="n">
        <v>190801</v>
      </c>
      <c r="M7055" s="94">
        <f>VLOOKUP($Q7055,매칭테이블!$F:$I,2,0)*K7055</f>
        <v/>
      </c>
      <c r="N7055" s="94">
        <f>M7055-M7055*VLOOKUP($Q7055,매칭테이블!$F:$I,3,0)</f>
        <v/>
      </c>
      <c r="O7055" s="94">
        <f>VLOOKUP($Q7055,매칭테이블!$F:$I,4,0)*K7055</f>
        <v/>
      </c>
      <c r="P7055" s="148">
        <f>M7055/1.1</f>
        <v/>
      </c>
      <c r="Q7055" s="94">
        <f>F7055&amp;E7055&amp;G7055&amp;L7055</f>
        <v/>
      </c>
    </row>
    <row r="7056" customFormat="1" s="94">
      <c r="B7056" s="128" t="n">
        <v>44003</v>
      </c>
      <c r="C7056" s="94">
        <f>TEXT(B7056,"aaa")</f>
        <v/>
      </c>
      <c r="E7056" s="94" t="inlineStr">
        <is>
          <t>마스크팩</t>
        </is>
      </c>
      <c r="F7056" s="5" t="inlineStr">
        <is>
          <t>화해</t>
        </is>
      </c>
      <c r="G7056" s="94" t="inlineStr">
        <is>
          <t>[200618-22] 마스크팩 3매</t>
        </is>
      </c>
      <c r="H7056" s="7" t="n">
        <v>190801</v>
      </c>
      <c r="I7056" s="7" t="n">
        <v>190801</v>
      </c>
      <c r="K7056" s="94" t="n">
        <v>3</v>
      </c>
      <c r="L7056" s="7" t="n">
        <v>200618</v>
      </c>
      <c r="M7056" s="94">
        <f>VLOOKUP($Q7056,매칭테이블!$F:$I,2,0)*K7056</f>
        <v/>
      </c>
      <c r="N7056" s="94">
        <f>M7056-M7056*VLOOKUP($Q7056,매칭테이블!$F:$I,3,0)</f>
        <v/>
      </c>
      <c r="O7056" s="94">
        <f>VLOOKUP($Q7056,매칭테이블!$F:$I,4,0)*K7056</f>
        <v/>
      </c>
      <c r="P7056" s="148">
        <f>M7056/1.1</f>
        <v/>
      </c>
      <c r="Q7056" s="94">
        <f>F7056&amp;E7056&amp;G7056&amp;L7056</f>
        <v/>
      </c>
    </row>
    <row r="7057" customFormat="1" s="94">
      <c r="B7057" s="128" t="n">
        <v>44003</v>
      </c>
      <c r="C7057" s="94">
        <f>TEXT(B7057,"aaa")</f>
        <v/>
      </c>
      <c r="E7057" s="94" t="inlineStr">
        <is>
          <t>클렌징폼</t>
        </is>
      </c>
      <c r="F7057" s="5" t="inlineStr">
        <is>
          <t>화해</t>
        </is>
      </c>
      <c r="G7057" s="94" t="inlineStr">
        <is>
          <t>[200618-22] 클렌징폼 120ml</t>
        </is>
      </c>
      <c r="H7057" s="7" t="n">
        <v>190801</v>
      </c>
      <c r="I7057" s="7" t="n">
        <v>190801</v>
      </c>
      <c r="K7057" s="94" t="n">
        <v>1</v>
      </c>
      <c r="L7057" s="7" t="n">
        <v>200618</v>
      </c>
      <c r="M7057" s="94">
        <f>VLOOKUP($Q7057,매칭테이블!$F:$I,2,0)*K7057</f>
        <v/>
      </c>
      <c r="N7057" s="94">
        <f>M7057-M7057*VLOOKUP($Q7057,매칭테이블!$F:$I,3,0)</f>
        <v/>
      </c>
      <c r="O7057" s="94">
        <f>VLOOKUP($Q7057,매칭테이블!$F:$I,4,0)*K7057</f>
        <v/>
      </c>
      <c r="P7057" s="148">
        <f>M7057/1.1</f>
        <v/>
      </c>
      <c r="Q7057" s="94">
        <f>F7057&amp;E7057&amp;G7057&amp;L7057</f>
        <v/>
      </c>
    </row>
    <row r="7058" customFormat="1" s="94">
      <c r="B7058" s="128" t="n">
        <v>44003</v>
      </c>
      <c r="C7058" s="94">
        <f>TEXT(B7058,"aaa")</f>
        <v/>
      </c>
      <c r="E7058" s="94" t="inlineStr">
        <is>
          <t>토너</t>
        </is>
      </c>
      <c r="F7058" s="5" t="inlineStr">
        <is>
          <t>화해</t>
        </is>
      </c>
      <c r="G7058" s="94" t="inlineStr">
        <is>
          <t>[200618-22] 250ml (화장솜 증정)</t>
        </is>
      </c>
      <c r="H7058" s="7" t="n">
        <v>190801</v>
      </c>
      <c r="I7058" s="7" t="n">
        <v>190801</v>
      </c>
      <c r="K7058" s="94" t="n">
        <v>16</v>
      </c>
      <c r="L7058" s="7" t="n">
        <v>200618</v>
      </c>
      <c r="M7058" s="94">
        <f>VLOOKUP($Q7058,매칭테이블!$F:$I,2,0)*K7058</f>
        <v/>
      </c>
      <c r="N7058" s="94">
        <f>M7058-M7058*VLOOKUP($Q7058,매칭테이블!$F:$I,3,0)</f>
        <v/>
      </c>
      <c r="O7058" s="94">
        <f>VLOOKUP($Q7058,매칭테이블!$F:$I,4,0)*K7058</f>
        <v/>
      </c>
      <c r="P7058" s="148">
        <f>M7058/1.1</f>
        <v/>
      </c>
      <c r="Q7058" s="94">
        <f>F7058&amp;E7058&amp;G7058&amp;L7058</f>
        <v/>
      </c>
    </row>
    <row r="7059" customFormat="1" s="94">
      <c r="B7059" s="128" t="n">
        <v>44003</v>
      </c>
      <c r="C7059" s="94">
        <f>TEXT(B7059,"aaa")</f>
        <v/>
      </c>
      <c r="E7059" s="94" t="inlineStr">
        <is>
          <t>토너</t>
        </is>
      </c>
      <c r="F7059" s="5" t="inlineStr">
        <is>
          <t>화해</t>
        </is>
      </c>
      <c r="G7059" s="94" t="inlineStr">
        <is>
          <t>[200618-22] 250ml 2set</t>
        </is>
      </c>
      <c r="H7059" s="7" t="n">
        <v>190801</v>
      </c>
      <c r="I7059" s="7" t="n">
        <v>190801</v>
      </c>
      <c r="K7059" s="94" t="n">
        <v>3</v>
      </c>
      <c r="L7059" s="7" t="n">
        <v>200618</v>
      </c>
      <c r="M7059" s="94">
        <f>VLOOKUP($Q7059,매칭테이블!$F:$I,2,0)*K7059</f>
        <v/>
      </c>
      <c r="N7059" s="94">
        <f>M7059-M7059*VLOOKUP($Q7059,매칭테이블!$F:$I,3,0)</f>
        <v/>
      </c>
      <c r="O7059" s="94">
        <f>VLOOKUP($Q7059,매칭테이블!$F:$I,4,0)*K7059</f>
        <v/>
      </c>
      <c r="P7059" s="148">
        <f>M7059/1.1</f>
        <v/>
      </c>
      <c r="Q7059" s="94">
        <f>F7059&amp;E7059&amp;G7059&amp;L7059</f>
        <v/>
      </c>
    </row>
    <row r="7060" customFormat="1" s="94">
      <c r="B7060" s="128" t="n">
        <v>44003</v>
      </c>
      <c r="C7060" s="94">
        <f>TEXT(B7060,"aaa")</f>
        <v/>
      </c>
      <c r="E7060" s="94" t="inlineStr">
        <is>
          <t>앰플</t>
        </is>
      </c>
      <c r="F7060" s="5" t="inlineStr">
        <is>
          <t>화해</t>
        </is>
      </c>
      <c r="G7060" s="94" t="inlineStr">
        <is>
          <t>[200618-22] 앰플 30ml</t>
        </is>
      </c>
      <c r="H7060" s="7" t="n">
        <v>190801</v>
      </c>
      <c r="I7060" s="7" t="n">
        <v>190801</v>
      </c>
      <c r="K7060" s="94" t="n">
        <v>1</v>
      </c>
      <c r="L7060" s="7" t="n">
        <v>200618</v>
      </c>
      <c r="M7060" s="94">
        <f>VLOOKUP($Q7060,매칭테이블!$F:$I,2,0)*K7060</f>
        <v/>
      </c>
      <c r="N7060" s="94">
        <f>M7060-M7060*VLOOKUP($Q7060,매칭테이블!$F:$I,3,0)</f>
        <v/>
      </c>
      <c r="O7060" s="94">
        <f>VLOOKUP($Q7060,매칭테이블!$F:$I,4,0)*K7060</f>
        <v/>
      </c>
      <c r="P7060" s="148">
        <f>M7060/1.1</f>
        <v/>
      </c>
      <c r="Q7060" s="94">
        <f>F7060&amp;E7060&amp;G7060&amp;L7060</f>
        <v/>
      </c>
    </row>
    <row r="7061" customFormat="1" s="94">
      <c r="B7061" s="128" t="n">
        <v>44003</v>
      </c>
      <c r="C7061" s="94">
        <f>TEXT(B7061,"aaa")</f>
        <v/>
      </c>
      <c r="E7061" s="94" t="inlineStr">
        <is>
          <t>토너</t>
        </is>
      </c>
      <c r="F7061" s="5" t="inlineStr">
        <is>
          <t>랄라블라</t>
        </is>
      </c>
      <c r="G7061" s="94" t="inlineStr">
        <is>
          <t>250ml</t>
        </is>
      </c>
      <c r="H7061" s="7" t="n">
        <v>190801</v>
      </c>
      <c r="I7061" s="7" t="n">
        <v>190801</v>
      </c>
      <c r="K7061" s="94" t="n">
        <v>57</v>
      </c>
      <c r="L7061" s="7" t="n">
        <v>190801</v>
      </c>
      <c r="M7061" s="94">
        <f>VLOOKUP($Q7061,매칭테이블!$F:$I,2,0)*K7061</f>
        <v/>
      </c>
      <c r="N7061" s="94">
        <f>M7061-M7061*VLOOKUP($Q7061,매칭테이블!$F:$I,3,0)</f>
        <v/>
      </c>
      <c r="O7061" s="94">
        <f>VLOOKUP($Q7061,매칭테이블!$F:$I,4,0)*K7061</f>
        <v/>
      </c>
      <c r="P7061" s="148">
        <f>M7061/1.1</f>
        <v/>
      </c>
      <c r="Q7061" s="94">
        <f>F7061&amp;E7061&amp;G7061&amp;L7061</f>
        <v/>
      </c>
    </row>
    <row r="7062" customFormat="1" s="94">
      <c r="B7062" s="128" t="n">
        <v>44003</v>
      </c>
      <c r="C7062" s="94">
        <f>TEXT(B7062,"aaa")</f>
        <v/>
      </c>
      <c r="E7062" s="94" t="inlineStr">
        <is>
          <t>토너</t>
        </is>
      </c>
      <c r="F7062" s="5" t="inlineStr">
        <is>
          <t>랄라블라</t>
        </is>
      </c>
      <c r="G7062" s="94" t="inlineStr">
        <is>
          <t>500ml</t>
        </is>
      </c>
      <c r="H7062" s="7" t="n">
        <v>190801</v>
      </c>
      <c r="I7062" s="7" t="n">
        <v>190801</v>
      </c>
      <c r="K7062" s="94" t="n">
        <v>54</v>
      </c>
      <c r="L7062" s="7" t="n">
        <v>190801</v>
      </c>
      <c r="M7062" s="94">
        <f>VLOOKUP($Q7062,매칭테이블!$F:$I,2,0)*K7062</f>
        <v/>
      </c>
      <c r="N7062" s="94">
        <f>M7062-M7062*VLOOKUP($Q7062,매칭테이블!$F:$I,3,0)</f>
        <v/>
      </c>
      <c r="O7062" s="94">
        <f>VLOOKUP($Q7062,매칭테이블!$F:$I,4,0)*K7062</f>
        <v/>
      </c>
      <c r="P7062" s="148">
        <f>M7062/1.1</f>
        <v/>
      </c>
      <c r="Q7062" s="94">
        <f>F7062&amp;E7062&amp;G7062&amp;L7062</f>
        <v/>
      </c>
    </row>
    <row r="7063" customFormat="1" s="94">
      <c r="B7063" s="128" t="n">
        <v>44003</v>
      </c>
      <c r="C7063" s="94">
        <f>TEXT(B7063,"aaa")</f>
        <v/>
      </c>
      <c r="E7063" s="94" t="inlineStr">
        <is>
          <t>마스크팩</t>
        </is>
      </c>
      <c r="F7063" s="5" t="inlineStr">
        <is>
          <t>랄라블라</t>
        </is>
      </c>
      <c r="G7063" s="94" t="inlineStr">
        <is>
          <t>마스크팩 1매</t>
        </is>
      </c>
      <c r="H7063" s="7" t="n">
        <v>190801</v>
      </c>
      <c r="I7063" s="7" t="n">
        <v>190801</v>
      </c>
      <c r="K7063" s="94" t="n">
        <v>473</v>
      </c>
      <c r="L7063" s="7" t="n">
        <v>190801</v>
      </c>
      <c r="M7063" s="94">
        <f>VLOOKUP($Q7063,매칭테이블!$F:$I,2,0)*K7063</f>
        <v/>
      </c>
      <c r="N7063" s="94">
        <f>M7063-M7063*VLOOKUP($Q7063,매칭테이블!$F:$I,3,0)</f>
        <v/>
      </c>
      <c r="O7063" s="94">
        <f>VLOOKUP($Q7063,매칭테이블!$F:$I,4,0)*K7063</f>
        <v/>
      </c>
      <c r="P7063" s="148">
        <f>M7063/1.1</f>
        <v/>
      </c>
      <c r="Q7063" s="94">
        <f>F7063&amp;E7063&amp;G7063&amp;L7063</f>
        <v/>
      </c>
    </row>
    <row r="7064" customFormat="1" s="94">
      <c r="B7064" s="128" t="n">
        <v>44003</v>
      </c>
      <c r="C7064" s="94">
        <f>TEXT(B7064,"aaa")</f>
        <v/>
      </c>
      <c r="E7064" s="94" t="inlineStr">
        <is>
          <t>수딩크림 증정기획</t>
        </is>
      </c>
      <c r="F7064" s="5" t="inlineStr">
        <is>
          <t>랄라블라</t>
        </is>
      </c>
      <c r="G7064" s="94" t="inlineStr">
        <is>
          <t>수딩크림 증정기획</t>
        </is>
      </c>
      <c r="H7064" s="7" t="n">
        <v>190801</v>
      </c>
      <c r="I7064" s="7" t="n">
        <v>190801</v>
      </c>
      <c r="K7064" s="94" t="n">
        <v>77</v>
      </c>
      <c r="L7064" s="7" t="n">
        <v>190801</v>
      </c>
      <c r="M7064" s="94">
        <f>VLOOKUP($Q7064,매칭테이블!$F:$I,2,0)*K7064</f>
        <v/>
      </c>
      <c r="N7064" s="94">
        <f>M7064-M7064*VLOOKUP($Q7064,매칭테이블!$F:$I,3,0)</f>
        <v/>
      </c>
      <c r="O7064" s="94">
        <f>VLOOKUP($Q7064,매칭테이블!$F:$I,4,0)*K7064</f>
        <v/>
      </c>
      <c r="P7064" s="148">
        <f>M7064/1.1</f>
        <v/>
      </c>
      <c r="Q7064" s="94">
        <f>F7064&amp;E7064&amp;G7064&amp;L7064</f>
        <v/>
      </c>
    </row>
    <row r="7065" customFormat="1" s="94">
      <c r="B7065" s="128" t="n">
        <v>44003</v>
      </c>
      <c r="C7065" s="94">
        <f>TEXT(B7065,"aaa")</f>
        <v/>
      </c>
      <c r="E7065" s="94" t="inlineStr">
        <is>
          <t>수딩크림</t>
        </is>
      </c>
      <c r="F7065" s="5" t="inlineStr">
        <is>
          <t>랄라블라</t>
        </is>
      </c>
      <c r="G7065" s="94" t="inlineStr">
        <is>
          <t>수딩크림 100ml</t>
        </is>
      </c>
      <c r="H7065" s="7" t="n">
        <v>190801</v>
      </c>
      <c r="I7065" s="7" t="n">
        <v>190801</v>
      </c>
      <c r="K7065" s="94" t="n">
        <v>7</v>
      </c>
      <c r="L7065" s="7" t="n">
        <v>190801</v>
      </c>
      <c r="M7065" s="94">
        <f>VLOOKUP($Q7065,매칭테이블!$F:$I,2,0)*K7065</f>
        <v/>
      </c>
      <c r="N7065" s="94">
        <f>M7065-M7065*VLOOKUP($Q7065,매칭테이블!$F:$I,3,0)</f>
        <v/>
      </c>
      <c r="O7065" s="94">
        <f>VLOOKUP($Q7065,매칭테이블!$F:$I,4,0)*K7065</f>
        <v/>
      </c>
      <c r="P7065" s="148">
        <f>M7065/1.1</f>
        <v/>
      </c>
      <c r="Q7065" s="94">
        <f>F7065&amp;E7065&amp;G7065&amp;L7065</f>
        <v/>
      </c>
    </row>
    <row r="7066" customFormat="1" s="94">
      <c r="B7066" s="128" t="n">
        <v>44003</v>
      </c>
      <c r="C7066" s="94">
        <f>TEXT(B7066,"aaa")</f>
        <v/>
      </c>
      <c r="E7066" s="94" t="inlineStr">
        <is>
          <t>앰플 기획세트</t>
        </is>
      </c>
      <c r="F7066" s="5" t="inlineStr">
        <is>
          <t>랄라블라</t>
        </is>
      </c>
      <c r="G7066" s="94" t="inlineStr">
        <is>
          <t>앰플 기획세트</t>
        </is>
      </c>
      <c r="H7066" s="7" t="n">
        <v>190801</v>
      </c>
      <c r="I7066" s="7" t="n">
        <v>190801</v>
      </c>
      <c r="K7066" s="94" t="n">
        <v>78</v>
      </c>
      <c r="L7066" s="7" t="n">
        <v>190801</v>
      </c>
      <c r="M7066" s="94">
        <f>VLOOKUP($Q7066,매칭테이블!$F:$I,2,0)*K7066</f>
        <v/>
      </c>
      <c r="N7066" s="94">
        <f>M7066-M7066*VLOOKUP($Q7066,매칭테이블!$F:$I,3,0)</f>
        <v/>
      </c>
      <c r="O7066" s="94">
        <f>VLOOKUP($Q7066,매칭테이블!$F:$I,4,0)*K7066</f>
        <v/>
      </c>
      <c r="P7066" s="148">
        <f>M7066/1.1</f>
        <v/>
      </c>
      <c r="Q7066" s="94">
        <f>F7066&amp;E7066&amp;G7066&amp;L7066</f>
        <v/>
      </c>
    </row>
    <row r="7067" customFormat="1" s="94">
      <c r="B7067" s="128" t="n">
        <v>44003</v>
      </c>
      <c r="C7067" s="94">
        <f>TEXT(B7067,"aaa")</f>
        <v/>
      </c>
      <c r="E7067" s="94" t="inlineStr">
        <is>
          <t>클렌징폼 기획세트</t>
        </is>
      </c>
      <c r="F7067" s="5" t="inlineStr">
        <is>
          <t>랄라블라</t>
        </is>
      </c>
      <c r="G7067" s="94" t="inlineStr">
        <is>
          <t>클렌징폼 기획세트</t>
        </is>
      </c>
      <c r="H7067" s="7" t="n">
        <v>190801</v>
      </c>
      <c r="I7067" s="7" t="n">
        <v>190801</v>
      </c>
      <c r="K7067" s="94" t="n">
        <v>53</v>
      </c>
      <c r="L7067" s="7" t="n">
        <v>190801</v>
      </c>
      <c r="M7067" s="94">
        <f>VLOOKUP($Q7067,매칭테이블!$F:$I,2,0)*K7067</f>
        <v/>
      </c>
      <c r="N7067" s="94">
        <f>M7067-M7067*VLOOKUP($Q7067,매칭테이블!$F:$I,3,0)</f>
        <v/>
      </c>
      <c r="O7067" s="94">
        <f>VLOOKUP($Q7067,매칭테이블!$F:$I,4,0)*K7067</f>
        <v/>
      </c>
      <c r="P7067" s="148">
        <f>M7067/1.1</f>
        <v/>
      </c>
      <c r="Q7067" s="94">
        <f>F7067&amp;E7067&amp;G7067&amp;L7067</f>
        <v/>
      </c>
    </row>
    <row r="7068" customFormat="1" s="94">
      <c r="B7068" s="128" t="n">
        <v>44003</v>
      </c>
      <c r="C7068" s="94">
        <f>TEXT(B7068,"aaa")</f>
        <v/>
      </c>
      <c r="E7068" s="94" t="inlineStr">
        <is>
          <t>클렌징폼</t>
        </is>
      </c>
      <c r="F7068" s="5" t="inlineStr">
        <is>
          <t>랄라블라</t>
        </is>
      </c>
      <c r="G7068" s="94" t="inlineStr">
        <is>
          <t>클렌징폼 120ml</t>
        </is>
      </c>
      <c r="H7068" s="7" t="n">
        <v>190801</v>
      </c>
      <c r="I7068" s="7" t="n">
        <v>190801</v>
      </c>
      <c r="K7068" s="94" t="n">
        <v>2</v>
      </c>
      <c r="L7068" s="7" t="n">
        <v>190801</v>
      </c>
      <c r="M7068" s="94">
        <f>VLOOKUP($Q7068,매칭테이블!$F:$I,2,0)*K7068</f>
        <v/>
      </c>
      <c r="N7068" s="94">
        <f>M7068-M7068*VLOOKUP($Q7068,매칭테이블!$F:$I,3,0)</f>
        <v/>
      </c>
      <c r="O7068" s="94">
        <f>VLOOKUP($Q7068,매칭테이블!$F:$I,4,0)*K7068</f>
        <v/>
      </c>
      <c r="P7068" s="148">
        <f>M7068/1.1</f>
        <v/>
      </c>
      <c r="Q7068" s="94">
        <f>F7068&amp;E7068&amp;G7068&amp;L7068</f>
        <v/>
      </c>
    </row>
    <row r="7069" customFormat="1" s="94">
      <c r="B7069" s="128" t="n">
        <v>44003</v>
      </c>
      <c r="C7069" s="94">
        <f>TEXT(B7069,"aaa")</f>
        <v/>
      </c>
      <c r="E7069" s="94" t="inlineStr">
        <is>
          <t>토너 증정기획</t>
        </is>
      </c>
      <c r="F7069" s="5" t="inlineStr">
        <is>
          <t>랄라블라</t>
        </is>
      </c>
      <c r="G7069" s="94" t="inlineStr">
        <is>
          <t>토너 증정기획</t>
        </is>
      </c>
      <c r="H7069" s="7" t="n">
        <v>190801</v>
      </c>
      <c r="I7069" s="7" t="n">
        <v>190801</v>
      </c>
      <c r="K7069" s="94" t="n">
        <v>65</v>
      </c>
      <c r="L7069" s="7" t="n">
        <v>190801</v>
      </c>
      <c r="M7069" s="94">
        <f>VLOOKUP($Q7069,매칭테이블!$F:$I,2,0)*K7069</f>
        <v/>
      </c>
      <c r="N7069" s="94">
        <f>M7069-M7069*VLOOKUP($Q7069,매칭테이블!$F:$I,3,0)</f>
        <v/>
      </c>
      <c r="O7069" s="94">
        <f>VLOOKUP($Q7069,매칭테이블!$F:$I,4,0)*K7069</f>
        <v/>
      </c>
      <c r="P7069" s="148">
        <f>M7069/1.1</f>
        <v/>
      </c>
      <c r="Q7069" s="94">
        <f>F7069&amp;E7069&amp;G7069&amp;L7069</f>
        <v/>
      </c>
    </row>
    <row r="7070" customFormat="1" s="94">
      <c r="B7070" s="128" t="n">
        <v>44003</v>
      </c>
      <c r="C7070" s="94">
        <f>TEXT(B7070,"aaa")</f>
        <v/>
      </c>
      <c r="E7070" s="94" t="inlineStr">
        <is>
          <t>선크림</t>
        </is>
      </c>
      <c r="F7070" s="5" t="inlineStr">
        <is>
          <t>랄라블라</t>
        </is>
      </c>
      <c r="G7070" s="94" t="inlineStr">
        <is>
          <t>선크림 50ml</t>
        </is>
      </c>
      <c r="H7070" s="7" t="n">
        <v>190801</v>
      </c>
      <c r="I7070" s="7" t="n">
        <v>190801</v>
      </c>
      <c r="K7070" s="94" t="n">
        <v>47</v>
      </c>
      <c r="L7070" s="7" t="n">
        <v>190801</v>
      </c>
      <c r="M7070" s="94">
        <f>VLOOKUP($Q7070,매칭테이블!$F:$I,2,0)*K7070</f>
        <v/>
      </c>
      <c r="N7070" s="94">
        <f>M7070-M7070*VLOOKUP($Q7070,매칭테이블!$F:$I,3,0)</f>
        <v/>
      </c>
      <c r="O7070" s="94">
        <f>VLOOKUP($Q7070,매칭테이블!$F:$I,4,0)*K7070</f>
        <v/>
      </c>
      <c r="P7070" s="148">
        <f>M7070/1.1</f>
        <v/>
      </c>
      <c r="Q7070" s="94">
        <f>F7070&amp;E7070&amp;G7070&amp;L7070</f>
        <v/>
      </c>
    </row>
    <row r="7071" customFormat="1" s="94">
      <c r="B7071" s="128" t="n">
        <v>44003</v>
      </c>
      <c r="C7071" s="94">
        <f>TEXT(B7071,"aaa")</f>
        <v/>
      </c>
      <c r="E7071" s="94" t="inlineStr">
        <is>
          <t>대용량 기획세트</t>
        </is>
      </c>
      <c r="F7071" s="5" t="inlineStr">
        <is>
          <t>랄라블라</t>
        </is>
      </c>
      <c r="G7071" s="94" t="inlineStr">
        <is>
          <t>대용량 기획세트</t>
        </is>
      </c>
      <c r="H7071" s="7" t="n">
        <v>190801</v>
      </c>
      <c r="I7071" s="7" t="n">
        <v>190801</v>
      </c>
      <c r="K7071" s="94" t="n">
        <v>685</v>
      </c>
      <c r="L7071" s="7" t="n">
        <v>190801</v>
      </c>
      <c r="M7071" s="94">
        <f>VLOOKUP($Q7071,매칭테이블!$F:$I,2,0)*K7071</f>
        <v/>
      </c>
      <c r="N7071" s="94">
        <f>M7071-M7071*VLOOKUP($Q7071,매칭테이블!$F:$I,3,0)</f>
        <v/>
      </c>
      <c r="O7071" s="94">
        <f>VLOOKUP($Q7071,매칭테이블!$F:$I,4,0)*K7071</f>
        <v/>
      </c>
      <c r="P7071" s="148">
        <f>M7071/1.1</f>
        <v/>
      </c>
      <c r="Q7071" s="94">
        <f>F7071&amp;E7071&amp;G7071&amp;L7071</f>
        <v/>
      </c>
    </row>
    <row r="7072" customFormat="1" s="94">
      <c r="B7072" s="128" t="n">
        <v>44003</v>
      </c>
      <c r="C7072" s="94">
        <f>TEXT(B7072,"aaa")</f>
        <v/>
      </c>
      <c r="E7072" s="94" t="inlineStr">
        <is>
          <t>토너 기획세트</t>
        </is>
      </c>
      <c r="F7072" s="5" t="inlineStr">
        <is>
          <t>랄라블라</t>
        </is>
      </c>
      <c r="G7072" s="94" t="inlineStr">
        <is>
          <t>토너 기획세트</t>
        </is>
      </c>
      <c r="H7072" s="7" t="n">
        <v>190801</v>
      </c>
      <c r="I7072" s="7" t="n">
        <v>190801</v>
      </c>
      <c r="K7072" s="94" t="n">
        <v>1</v>
      </c>
      <c r="L7072" s="7" t="n">
        <v>190801</v>
      </c>
      <c r="M7072" s="94">
        <f>VLOOKUP($Q7072,매칭테이블!$F:$I,2,0)*K7072</f>
        <v/>
      </c>
      <c r="N7072" s="94">
        <f>M7072-M7072*VLOOKUP($Q7072,매칭테이블!$F:$I,3,0)</f>
        <v/>
      </c>
      <c r="O7072" s="94">
        <f>VLOOKUP($Q7072,매칭테이블!$F:$I,4,0)*K7072</f>
        <v/>
      </c>
      <c r="P7072" s="148">
        <f>M7072/1.1</f>
        <v/>
      </c>
      <c r="Q7072" s="94">
        <f>F7072&amp;E7072&amp;G7072&amp;L7072</f>
        <v/>
      </c>
    </row>
    <row r="7073" customFormat="1" s="94">
      <c r="B7073" s="128" t="n">
        <v>44004</v>
      </c>
      <c r="C7073" s="94">
        <f>TEXT(B7073,"aaa")</f>
        <v/>
      </c>
      <c r="E7073" s="94" t="inlineStr">
        <is>
          <t>토너</t>
        </is>
      </c>
      <c r="F7073" s="5" t="inlineStr">
        <is>
          <t>W컨셉</t>
        </is>
      </c>
      <c r="G7073" s="94" t="inlineStr">
        <is>
          <t>250ml 2set</t>
        </is>
      </c>
      <c r="H7073" s="7" t="n">
        <v>190801</v>
      </c>
      <c r="I7073" s="7" t="n">
        <v>190801</v>
      </c>
      <c r="K7073" s="94" t="n">
        <v>14</v>
      </c>
      <c r="L7073" s="7" t="n">
        <v>190801</v>
      </c>
      <c r="M7073" s="94">
        <f>VLOOKUP($Q7073,매칭테이블!$F:$I,2,0)*K7073</f>
        <v/>
      </c>
      <c r="N7073" s="94">
        <f>M7073-M7073*VLOOKUP($Q7073,매칭테이블!$F:$I,3,0)</f>
        <v/>
      </c>
      <c r="O7073" s="94">
        <f>VLOOKUP($Q7073,매칭테이블!$F:$I,4,0)*K7073</f>
        <v/>
      </c>
      <c r="P7073" s="148">
        <f>M7073/1.1</f>
        <v/>
      </c>
      <c r="Q7073" s="94">
        <f>F7073&amp;E7073&amp;G7073&amp;L7073</f>
        <v/>
      </c>
    </row>
    <row r="7074" customFormat="1" s="94">
      <c r="B7074" s="128" t="n">
        <v>44004</v>
      </c>
      <c r="C7074" s="94">
        <f>TEXT(B7074,"aaa")</f>
        <v/>
      </c>
      <c r="E7074" s="94" t="inlineStr">
        <is>
          <t>토너</t>
        </is>
      </c>
      <c r="F7074" s="5" t="inlineStr">
        <is>
          <t>글로우데이즈 시코르</t>
        </is>
      </c>
      <c r="G7074" s="94" t="inlineStr">
        <is>
          <t>250ml</t>
        </is>
      </c>
      <c r="H7074" s="7" t="n">
        <v>190801</v>
      </c>
      <c r="I7074" s="7" t="n">
        <v>190801</v>
      </c>
      <c r="K7074" s="94" t="n">
        <v>310</v>
      </c>
      <c r="L7074" s="7" t="n">
        <v>190801</v>
      </c>
      <c r="M7074" s="94">
        <f>VLOOKUP($Q7074,매칭테이블!$F:$I,2,0)*K7074</f>
        <v/>
      </c>
      <c r="N7074" s="94">
        <f>M7074-M7074*VLOOKUP($Q7074,매칭테이블!$F:$I,3,0)</f>
        <v/>
      </c>
      <c r="O7074" s="94">
        <f>VLOOKUP($Q7074,매칭테이블!$F:$I,4,0)*K7074</f>
        <v/>
      </c>
      <c r="P7074" s="148">
        <f>M7074/1.1</f>
        <v/>
      </c>
      <c r="Q7074" s="94">
        <f>F7074&amp;E7074&amp;G7074&amp;L7074</f>
        <v/>
      </c>
    </row>
    <row r="7075" customFormat="1" s="94">
      <c r="B7075" s="128" t="n">
        <v>44004</v>
      </c>
      <c r="C7075" s="94">
        <f>TEXT(B7075,"aaa")</f>
        <v/>
      </c>
      <c r="E7075" s="94" t="inlineStr">
        <is>
          <t>토너</t>
        </is>
      </c>
      <c r="F7075" s="5" t="inlineStr">
        <is>
          <t>스타일쉐어</t>
        </is>
      </c>
      <c r="G7075" s="94" t="inlineStr">
        <is>
          <t>250ml</t>
        </is>
      </c>
      <c r="H7075" s="7" t="n">
        <v>190801</v>
      </c>
      <c r="I7075" s="7" t="n">
        <v>190801</v>
      </c>
      <c r="K7075" s="94" t="n">
        <v>8</v>
      </c>
      <c r="L7075" s="7" t="n">
        <v>190801</v>
      </c>
      <c r="M7075" s="94">
        <f>VLOOKUP($Q7075,매칭테이블!$F:$I,2,0)*K7075</f>
        <v/>
      </c>
      <c r="N7075" s="94">
        <f>M7075-M7075*VLOOKUP($Q7075,매칭테이블!$F:$I,3,0)</f>
        <v/>
      </c>
      <c r="O7075" s="94">
        <f>VLOOKUP($Q7075,매칭테이블!$F:$I,4,0)*K7075</f>
        <v/>
      </c>
      <c r="P7075" s="148">
        <f>M7075/1.1</f>
        <v/>
      </c>
      <c r="Q7075" s="94">
        <f>F7075&amp;E7075&amp;G7075&amp;L7075</f>
        <v/>
      </c>
    </row>
    <row r="7076" customFormat="1" s="94">
      <c r="B7076" s="128" t="n">
        <v>44004</v>
      </c>
      <c r="C7076" s="94">
        <f>TEXT(B7076,"aaa")</f>
        <v/>
      </c>
      <c r="E7076" s="94" t="inlineStr">
        <is>
          <t>선크림</t>
        </is>
      </c>
      <c r="F7076" s="5" t="inlineStr">
        <is>
          <t>카페24</t>
        </is>
      </c>
      <c r="G7076" s="94" t="inlineStr">
        <is>
          <t>선크림 50ml</t>
        </is>
      </c>
      <c r="H7076" s="7" t="n">
        <v>190801</v>
      </c>
      <c r="I7076" s="7" t="n">
        <v>190801</v>
      </c>
      <c r="K7076" s="94" t="n">
        <v>2</v>
      </c>
      <c r="L7076" s="7" t="n">
        <v>190801</v>
      </c>
      <c r="M7076" s="94">
        <f>VLOOKUP($Q7076,매칭테이블!$F:$I,2,0)*K7076</f>
        <v/>
      </c>
      <c r="N7076" s="94">
        <f>M7076-M7076*VLOOKUP($Q7076,매칭테이블!$F:$I,3,0)</f>
        <v/>
      </c>
      <c r="O7076" s="94">
        <f>VLOOKUP($Q7076,매칭테이블!$F:$I,4,0)*K7076</f>
        <v/>
      </c>
      <c r="P7076" s="148">
        <f>M7076/1.1</f>
        <v/>
      </c>
      <c r="Q7076" s="94">
        <f>F7076&amp;E7076&amp;G7076&amp;L7076</f>
        <v/>
      </c>
    </row>
    <row r="7077" customFormat="1" s="94">
      <c r="B7077" s="128" t="n">
        <v>44004</v>
      </c>
      <c r="C7077" s="94">
        <f>TEXT(B7077,"aaa")</f>
        <v/>
      </c>
      <c r="E7077" s="94" t="inlineStr">
        <is>
          <t>선크림</t>
        </is>
      </c>
      <c r="F7077" s="5" t="inlineStr">
        <is>
          <t>카페24</t>
        </is>
      </c>
      <c r="G7077" s="94" t="inlineStr">
        <is>
          <t>선크림 50ml  2set</t>
        </is>
      </c>
      <c r="H7077" s="7" t="n">
        <v>190801</v>
      </c>
      <c r="I7077" s="7" t="n">
        <v>190801</v>
      </c>
      <c r="K7077" s="94" t="n">
        <v>2</v>
      </c>
      <c r="L7077" s="7" t="n">
        <v>190801</v>
      </c>
      <c r="M7077" s="94">
        <f>VLOOKUP($Q7077,매칭테이블!$F:$I,2,0)*K7077</f>
        <v/>
      </c>
      <c r="N7077" s="94">
        <f>M7077-M7077*VLOOKUP($Q7077,매칭테이블!$F:$I,3,0)</f>
        <v/>
      </c>
      <c r="O7077" s="94">
        <f>VLOOKUP($Q7077,매칭테이블!$F:$I,4,0)*K7077</f>
        <v/>
      </c>
      <c r="P7077" s="148">
        <f>M7077/1.1</f>
        <v/>
      </c>
      <c r="Q7077" s="94">
        <f>F7077&amp;E7077&amp;G7077&amp;L7077</f>
        <v/>
      </c>
    </row>
    <row r="7078" customFormat="1" s="94">
      <c r="B7078" s="128" t="n">
        <v>44004</v>
      </c>
      <c r="C7078" s="94">
        <f>TEXT(B7078,"aaa")</f>
        <v/>
      </c>
      <c r="E7078" s="94" t="inlineStr">
        <is>
          <t>여름 한정 진정세트</t>
        </is>
      </c>
      <c r="F7078" s="5" t="inlineStr">
        <is>
          <t>카페24</t>
        </is>
      </c>
      <c r="G7078" s="94" t="inlineStr">
        <is>
          <t>여름 한정 진정세트</t>
        </is>
      </c>
      <c r="H7078" s="7" t="n">
        <v>190801</v>
      </c>
      <c r="I7078" s="7" t="n">
        <v>190801</v>
      </c>
      <c r="K7078" s="94" t="n">
        <v>7</v>
      </c>
      <c r="L7078" s="7" t="n">
        <v>190801</v>
      </c>
      <c r="M7078" s="94">
        <f>VLOOKUP($Q7078,매칭테이블!$F:$I,2,0)*K7078</f>
        <v/>
      </c>
      <c r="N7078" s="94">
        <f>M7078-M7078*VLOOKUP($Q7078,매칭테이블!$F:$I,3,0)</f>
        <v/>
      </c>
      <c r="O7078" s="94">
        <f>VLOOKUP($Q7078,매칭테이블!$F:$I,4,0)*K7078</f>
        <v/>
      </c>
      <c r="P7078" s="148">
        <f>M7078/1.1</f>
        <v/>
      </c>
      <c r="Q7078" s="94">
        <f>F7078&amp;E7078&amp;G7078&amp;L7078</f>
        <v/>
      </c>
    </row>
    <row r="7079" customFormat="1" s="94">
      <c r="B7079" s="128" t="n">
        <v>44004</v>
      </c>
      <c r="C7079" s="94">
        <f>TEXT(B7079,"aaa")</f>
        <v/>
      </c>
      <c r="E7079" s="94" t="inlineStr">
        <is>
          <t>여름 한정 진정세트</t>
        </is>
      </c>
      <c r="F7079" s="5" t="inlineStr">
        <is>
          <t>카페24</t>
        </is>
      </c>
      <c r="G7079" s="94" t="inlineStr">
        <is>
          <t>여름 한정 진정세트 (대용량)</t>
        </is>
      </c>
      <c r="H7079" s="7" t="n">
        <v>190801</v>
      </c>
      <c r="I7079" s="7" t="n">
        <v>190801</v>
      </c>
      <c r="K7079" s="94" t="n">
        <v>5</v>
      </c>
      <c r="L7079" s="7" t="n">
        <v>190801</v>
      </c>
      <c r="M7079" s="94">
        <f>VLOOKUP($Q7079,매칭테이블!$F:$I,2,0)*K7079</f>
        <v/>
      </c>
      <c r="N7079" s="94">
        <f>M7079-M7079*VLOOKUP($Q7079,매칭테이블!$F:$I,3,0)</f>
        <v/>
      </c>
      <c r="O7079" s="94">
        <f>VLOOKUP($Q7079,매칭테이블!$F:$I,4,0)*K7079</f>
        <v/>
      </c>
      <c r="P7079" s="148">
        <f>M7079/1.1</f>
        <v/>
      </c>
      <c r="Q7079" s="94">
        <f>F7079&amp;E7079&amp;G7079&amp;L7079</f>
        <v/>
      </c>
    </row>
    <row r="7080" customFormat="1" s="94">
      <c r="B7080" s="128" t="n">
        <v>44004</v>
      </c>
      <c r="C7080" s="94">
        <f>TEXT(B7080,"aaa")</f>
        <v/>
      </c>
      <c r="E7080" s="94" t="inlineStr">
        <is>
          <t>어성초진정패키지</t>
        </is>
      </c>
      <c r="F7080" s="5" t="inlineStr">
        <is>
          <t>카페24</t>
        </is>
      </c>
      <c r="G7080" s="94" t="inlineStr">
        <is>
          <t>어성초 진정패키지세트</t>
        </is>
      </c>
      <c r="H7080" s="7" t="n">
        <v>190801</v>
      </c>
      <c r="I7080" s="7" t="n">
        <v>190801</v>
      </c>
      <c r="K7080" s="94" t="n">
        <v>6</v>
      </c>
      <c r="L7080" s="7" t="n">
        <v>190801</v>
      </c>
      <c r="M7080" s="94">
        <f>VLOOKUP($Q7080,매칭테이블!$F:$I,2,0)*K7080</f>
        <v/>
      </c>
      <c r="N7080" s="94">
        <f>M7080-M7080*VLOOKUP($Q7080,매칭테이블!$F:$I,3,0)</f>
        <v/>
      </c>
      <c r="O7080" s="94">
        <f>VLOOKUP($Q7080,매칭테이블!$F:$I,4,0)*K7080</f>
        <v/>
      </c>
      <c r="P7080" s="148">
        <f>M7080/1.1</f>
        <v/>
      </c>
      <c r="Q7080" s="94">
        <f>F7080&amp;E7080&amp;G7080&amp;L7080</f>
        <v/>
      </c>
    </row>
    <row r="7081" customFormat="1" s="94">
      <c r="B7081" s="128" t="n">
        <v>44004</v>
      </c>
      <c r="C7081" s="94">
        <f>TEXT(B7081,"aaa")</f>
        <v/>
      </c>
      <c r="E7081" s="94" t="inlineStr">
        <is>
          <t>머드크림마스크</t>
        </is>
      </c>
      <c r="F7081" s="5" t="inlineStr">
        <is>
          <t>카페24</t>
        </is>
      </c>
      <c r="G7081" s="94" t="inlineStr">
        <is>
          <t>머드크림마스크 100ml</t>
        </is>
      </c>
      <c r="H7081" s="7" t="n">
        <v>190801</v>
      </c>
      <c r="I7081" s="7" t="n">
        <v>190801</v>
      </c>
      <c r="K7081" s="94" t="n">
        <v>2</v>
      </c>
      <c r="L7081" s="7" t="n">
        <v>190801</v>
      </c>
      <c r="M7081" s="94">
        <f>VLOOKUP($Q7081,매칭테이블!$F:$I,2,0)*K7081</f>
        <v/>
      </c>
      <c r="N7081" s="94">
        <f>M7081-M7081*VLOOKUP($Q7081,매칭테이블!$F:$I,3,0)</f>
        <v/>
      </c>
      <c r="O7081" s="94">
        <f>VLOOKUP($Q7081,매칭테이블!$F:$I,4,0)*K7081</f>
        <v/>
      </c>
      <c r="P7081" s="148">
        <f>M7081/1.1</f>
        <v/>
      </c>
      <c r="Q7081" s="94">
        <f>F7081&amp;E7081&amp;G7081&amp;L7081</f>
        <v/>
      </c>
    </row>
    <row r="7082" customFormat="1" s="94">
      <c r="B7082" s="128" t="n">
        <v>44004</v>
      </c>
      <c r="C7082" s="94">
        <f>TEXT(B7082,"aaa")</f>
        <v/>
      </c>
      <c r="E7082" s="94" t="inlineStr">
        <is>
          <t>마스크팩</t>
        </is>
      </c>
      <c r="F7082" s="5" t="inlineStr">
        <is>
          <t>카페24</t>
        </is>
      </c>
      <c r="G7082" s="94" t="inlineStr">
        <is>
          <t>마스크팩 1매</t>
        </is>
      </c>
      <c r="H7082" s="7" t="n">
        <v>190801</v>
      </c>
      <c r="I7082" s="7" t="n">
        <v>190801</v>
      </c>
      <c r="K7082" s="94" t="n">
        <v>4</v>
      </c>
      <c r="L7082" s="7" t="n">
        <v>190801</v>
      </c>
      <c r="M7082" s="94">
        <f>VLOOKUP($Q7082,매칭테이블!$F:$I,2,0)*K7082</f>
        <v/>
      </c>
      <c r="N7082" s="94">
        <f>M7082-M7082*VLOOKUP($Q7082,매칭테이블!$F:$I,3,0)</f>
        <v/>
      </c>
      <c r="O7082" s="94">
        <f>VLOOKUP($Q7082,매칭테이블!$F:$I,4,0)*K7082</f>
        <v/>
      </c>
      <c r="P7082" s="148">
        <f>M7082/1.1</f>
        <v/>
      </c>
      <c r="Q7082" s="94">
        <f>F7082&amp;E7082&amp;G7082&amp;L7082</f>
        <v/>
      </c>
    </row>
    <row r="7083" customFormat="1" s="94">
      <c r="B7083" s="128" t="n">
        <v>44004</v>
      </c>
      <c r="C7083" s="94">
        <f>TEXT(B7083,"aaa")</f>
        <v/>
      </c>
      <c r="E7083" s="94" t="inlineStr">
        <is>
          <t>마스크팩</t>
        </is>
      </c>
      <c r="F7083" s="5" t="inlineStr">
        <is>
          <t>카페24</t>
        </is>
      </c>
      <c r="G7083" s="94" t="inlineStr">
        <is>
          <t>마스크팩 10매</t>
        </is>
      </c>
      <c r="H7083" s="7" t="n">
        <v>190801</v>
      </c>
      <c r="I7083" s="7" t="n">
        <v>190801</v>
      </c>
      <c r="K7083" s="94" t="n">
        <v>1</v>
      </c>
      <c r="L7083" s="7" t="n">
        <v>190801</v>
      </c>
      <c r="M7083" s="94">
        <f>VLOOKUP($Q7083,매칭테이블!$F:$I,2,0)*K7083</f>
        <v/>
      </c>
      <c r="N7083" s="94">
        <f>M7083-M7083*VLOOKUP($Q7083,매칭테이블!$F:$I,3,0)</f>
        <v/>
      </c>
      <c r="O7083" s="94">
        <f>VLOOKUP($Q7083,매칭테이블!$F:$I,4,0)*K7083</f>
        <v/>
      </c>
      <c r="P7083" s="148">
        <f>M7083/1.1</f>
        <v/>
      </c>
      <c r="Q7083" s="94">
        <f>F7083&amp;E7083&amp;G7083&amp;L7083</f>
        <v/>
      </c>
    </row>
    <row r="7084" customFormat="1" s="94">
      <c r="B7084" s="128" t="n">
        <v>44004</v>
      </c>
      <c r="C7084" s="94">
        <f>TEXT(B7084,"aaa")</f>
        <v/>
      </c>
      <c r="E7084" s="94" t="inlineStr">
        <is>
          <t>토너</t>
        </is>
      </c>
      <c r="F7084" s="5" t="inlineStr">
        <is>
          <t>카페24</t>
        </is>
      </c>
      <c r="G7084" s="94" t="inlineStr">
        <is>
          <t>250ml</t>
        </is>
      </c>
      <c r="H7084" s="7" t="n">
        <v>190801</v>
      </c>
      <c r="I7084" s="7" t="n">
        <v>190801</v>
      </c>
      <c r="K7084" s="94" t="n">
        <v>61</v>
      </c>
      <c r="L7084" s="7" t="n">
        <v>190801</v>
      </c>
      <c r="M7084" s="94">
        <f>VLOOKUP($Q7084,매칭테이블!$F:$I,2,0)*K7084</f>
        <v/>
      </c>
      <c r="N7084" s="94">
        <f>M7084-M7084*VLOOKUP($Q7084,매칭테이블!$F:$I,3,0)</f>
        <v/>
      </c>
      <c r="O7084" s="94">
        <f>VLOOKUP($Q7084,매칭테이블!$F:$I,4,0)*K7084</f>
        <v/>
      </c>
      <c r="P7084" s="148">
        <f>M7084/1.1</f>
        <v/>
      </c>
      <c r="Q7084" s="94">
        <f>F7084&amp;E7084&amp;G7084&amp;L7084</f>
        <v/>
      </c>
    </row>
    <row r="7085" customFormat="1" s="94">
      <c r="B7085" s="128" t="n">
        <v>44004</v>
      </c>
      <c r="C7085" s="94">
        <f>TEXT(B7085,"aaa")</f>
        <v/>
      </c>
      <c r="E7085" s="94" t="inlineStr">
        <is>
          <t>토너</t>
        </is>
      </c>
      <c r="F7085" s="5" t="inlineStr">
        <is>
          <t>카페24</t>
        </is>
      </c>
      <c r="G7085" s="94" t="inlineStr">
        <is>
          <t>250ml 2set</t>
        </is>
      </c>
      <c r="H7085" s="7" t="n">
        <v>190801</v>
      </c>
      <c r="I7085" s="7" t="n">
        <v>190801</v>
      </c>
      <c r="K7085" s="94" t="n">
        <v>42</v>
      </c>
      <c r="L7085" s="7" t="n">
        <v>190801</v>
      </c>
      <c r="M7085" s="94">
        <f>VLOOKUP($Q7085,매칭테이블!$F:$I,2,0)*K7085</f>
        <v/>
      </c>
      <c r="N7085" s="94">
        <f>M7085-M7085*VLOOKUP($Q7085,매칭테이블!$F:$I,3,0)</f>
        <v/>
      </c>
      <c r="O7085" s="94">
        <f>VLOOKUP($Q7085,매칭테이블!$F:$I,4,0)*K7085</f>
        <v/>
      </c>
      <c r="P7085" s="148">
        <f>M7085/1.1</f>
        <v/>
      </c>
      <c r="Q7085" s="94">
        <f>F7085&amp;E7085&amp;G7085&amp;L7085</f>
        <v/>
      </c>
    </row>
    <row r="7086" customFormat="1" s="94">
      <c r="B7086" s="128" t="n">
        <v>44004</v>
      </c>
      <c r="C7086" s="94">
        <f>TEXT(B7086,"aaa")</f>
        <v/>
      </c>
      <c r="E7086" s="94" t="inlineStr">
        <is>
          <t>토너</t>
        </is>
      </c>
      <c r="F7086" s="5" t="inlineStr">
        <is>
          <t>카페24</t>
        </is>
      </c>
      <c r="G7086" s="94" t="inlineStr">
        <is>
          <t>500ml</t>
        </is>
      </c>
      <c r="H7086" s="7" t="n">
        <v>190801</v>
      </c>
      <c r="I7086" s="7" t="n">
        <v>190801</v>
      </c>
      <c r="K7086" s="94" t="n">
        <v>55</v>
      </c>
      <c r="L7086" s="7" t="n">
        <v>190801</v>
      </c>
      <c r="M7086" s="94">
        <f>VLOOKUP($Q7086,매칭테이블!$F:$I,2,0)*K7086</f>
        <v/>
      </c>
      <c r="N7086" s="94">
        <f>M7086-M7086*VLOOKUP($Q7086,매칭테이블!$F:$I,3,0)</f>
        <v/>
      </c>
      <c r="O7086" s="94">
        <f>VLOOKUP($Q7086,매칭테이블!$F:$I,4,0)*K7086</f>
        <v/>
      </c>
      <c r="P7086" s="148">
        <f>M7086/1.1</f>
        <v/>
      </c>
      <c r="Q7086" s="94">
        <f>F7086&amp;E7086&amp;G7086&amp;L7086</f>
        <v/>
      </c>
    </row>
    <row r="7087" customFormat="1" s="94">
      <c r="B7087" s="128" t="n">
        <v>44004</v>
      </c>
      <c r="C7087" s="94">
        <f>TEXT(B7087,"aaa")</f>
        <v/>
      </c>
      <c r="E7087" s="94" t="inlineStr">
        <is>
          <t>토너</t>
        </is>
      </c>
      <c r="F7087" s="5" t="inlineStr">
        <is>
          <t>카페24</t>
        </is>
      </c>
      <c r="G7087" s="94" t="inlineStr">
        <is>
          <t>스킨팩 화장솜 60P</t>
        </is>
      </c>
      <c r="H7087" s="7" t="n">
        <v>190801</v>
      </c>
      <c r="I7087" s="7" t="n">
        <v>190801</v>
      </c>
      <c r="K7087" s="94" t="n">
        <v>70</v>
      </c>
      <c r="L7087" s="7" t="n">
        <v>190801</v>
      </c>
      <c r="M7087" s="94">
        <f>VLOOKUP($Q7087,매칭테이블!$F:$I,2,0)*K7087</f>
        <v/>
      </c>
      <c r="N7087" s="94">
        <f>M7087-M7087*VLOOKUP($Q7087,매칭테이블!$F:$I,3,0)</f>
        <v/>
      </c>
      <c r="O7087" s="94">
        <f>VLOOKUP($Q7087,매칭테이블!$F:$I,4,0)*K7087</f>
        <v/>
      </c>
      <c r="P7087" s="148">
        <f>M7087/1.1</f>
        <v/>
      </c>
      <c r="Q7087" s="94">
        <f>F7087&amp;E7087&amp;G7087&amp;L7087</f>
        <v/>
      </c>
    </row>
    <row r="7088" customFormat="1" s="94">
      <c r="B7088" s="128" t="n">
        <v>44004</v>
      </c>
      <c r="C7088" s="94">
        <f>TEXT(B7088,"aaa")</f>
        <v/>
      </c>
      <c r="E7088" s="94" t="inlineStr">
        <is>
          <t>앰플</t>
        </is>
      </c>
      <c r="F7088" s="5" t="inlineStr">
        <is>
          <t>카페24</t>
        </is>
      </c>
      <c r="G7088" s="94" t="inlineStr">
        <is>
          <t>앰플 30ml</t>
        </is>
      </c>
      <c r="H7088" s="7" t="n">
        <v>190801</v>
      </c>
      <c r="I7088" s="7" t="n">
        <v>190801</v>
      </c>
      <c r="K7088" s="94" t="n">
        <v>20</v>
      </c>
      <c r="L7088" s="7" t="n">
        <v>190801</v>
      </c>
      <c r="M7088" s="94">
        <f>VLOOKUP($Q7088,매칭테이블!$F:$I,2,0)*K7088</f>
        <v/>
      </c>
      <c r="N7088" s="94">
        <f>M7088-M7088*VLOOKUP($Q7088,매칭테이블!$F:$I,3,0)</f>
        <v/>
      </c>
      <c r="O7088" s="94">
        <f>VLOOKUP($Q7088,매칭테이블!$F:$I,4,0)*K7088</f>
        <v/>
      </c>
      <c r="P7088" s="148">
        <f>M7088/1.1</f>
        <v/>
      </c>
      <c r="Q7088" s="94">
        <f>F7088&amp;E7088&amp;G7088&amp;L7088</f>
        <v/>
      </c>
    </row>
    <row r="7089" customFormat="1" s="94">
      <c r="B7089" s="128" t="n">
        <v>44004</v>
      </c>
      <c r="C7089" s="94">
        <f>TEXT(B7089,"aaa")</f>
        <v/>
      </c>
      <c r="E7089" s="94" t="inlineStr">
        <is>
          <t>수딩크림</t>
        </is>
      </c>
      <c r="F7089" s="5" t="inlineStr">
        <is>
          <t>카페24</t>
        </is>
      </c>
      <c r="G7089" s="94" t="inlineStr">
        <is>
          <t>수딩크림 100ml</t>
        </is>
      </c>
      <c r="H7089" s="7" t="n">
        <v>190801</v>
      </c>
      <c r="I7089" s="7" t="n">
        <v>190801</v>
      </c>
      <c r="K7089" s="94" t="n">
        <v>3</v>
      </c>
      <c r="L7089" s="7" t="n">
        <v>190801</v>
      </c>
      <c r="M7089" s="94">
        <f>VLOOKUP($Q7089,매칭테이블!$F:$I,2,0)*K7089</f>
        <v/>
      </c>
      <c r="N7089" s="94">
        <f>M7089-M7089*VLOOKUP($Q7089,매칭테이블!$F:$I,3,0)</f>
        <v/>
      </c>
      <c r="O7089" s="94">
        <f>VLOOKUP($Q7089,매칭테이블!$F:$I,4,0)*K7089</f>
        <v/>
      </c>
      <c r="P7089" s="148">
        <f>M7089/1.1</f>
        <v/>
      </c>
      <c r="Q7089" s="94">
        <f>F7089&amp;E7089&amp;G7089&amp;L7089</f>
        <v/>
      </c>
    </row>
    <row r="7090" customFormat="1" s="94">
      <c r="B7090" s="128" t="n">
        <v>44004</v>
      </c>
      <c r="C7090" s="94">
        <f>TEXT(B7090,"aaa")</f>
        <v/>
      </c>
      <c r="E7090" s="94" t="inlineStr">
        <is>
          <t>클렌징폼</t>
        </is>
      </c>
      <c r="F7090" s="5" t="inlineStr">
        <is>
          <t>카페24</t>
        </is>
      </c>
      <c r="G7090" s="94" t="inlineStr">
        <is>
          <t>클렌징폼 120ml</t>
        </is>
      </c>
      <c r="H7090" s="7" t="n">
        <v>190801</v>
      </c>
      <c r="I7090" s="7" t="n">
        <v>190801</v>
      </c>
      <c r="K7090" s="94" t="n">
        <v>7</v>
      </c>
      <c r="L7090" s="7" t="n">
        <v>190801</v>
      </c>
      <c r="M7090" s="94">
        <f>VLOOKUP($Q7090,매칭테이블!$F:$I,2,0)*K7090</f>
        <v/>
      </c>
      <c r="N7090" s="94">
        <f>M7090-M7090*VLOOKUP($Q7090,매칭테이블!$F:$I,3,0)</f>
        <v/>
      </c>
      <c r="O7090" s="94">
        <f>VLOOKUP($Q7090,매칭테이블!$F:$I,4,0)*K7090</f>
        <v/>
      </c>
      <c r="P7090" s="148">
        <f>M7090/1.1</f>
        <v/>
      </c>
      <c r="Q7090" s="94">
        <f>F7090&amp;E7090&amp;G7090&amp;L7090</f>
        <v/>
      </c>
    </row>
    <row r="7091" customFormat="1" s="94">
      <c r="B7091" s="128" t="n">
        <v>44004</v>
      </c>
      <c r="C7091" s="94">
        <f>TEXT(B7091,"aaa")</f>
        <v/>
      </c>
      <c r="E7091" s="94" t="inlineStr">
        <is>
          <t>클렌징폼</t>
        </is>
      </c>
      <c r="F7091" s="5" t="inlineStr">
        <is>
          <t>카페24</t>
        </is>
      </c>
      <c r="G7091" s="94" t="inlineStr">
        <is>
          <t>클렌징폼 120ml 2set</t>
        </is>
      </c>
      <c r="H7091" s="7" t="n">
        <v>190801</v>
      </c>
      <c r="I7091" s="7" t="n">
        <v>190801</v>
      </c>
      <c r="K7091" s="94" t="n">
        <v>1</v>
      </c>
      <c r="L7091" s="7" t="n">
        <v>190801</v>
      </c>
      <c r="M7091" s="94">
        <f>VLOOKUP($Q7091,매칭테이블!$F:$I,2,0)*K7091</f>
        <v/>
      </c>
      <c r="N7091" s="94">
        <f>M7091-M7091*VLOOKUP($Q7091,매칭테이블!$F:$I,3,0)</f>
        <v/>
      </c>
      <c r="O7091" s="94">
        <f>VLOOKUP($Q7091,매칭테이블!$F:$I,4,0)*K7091</f>
        <v/>
      </c>
      <c r="P7091" s="148">
        <f>M7091/1.1</f>
        <v/>
      </c>
      <c r="Q7091" s="94">
        <f>F7091&amp;E7091&amp;G7091&amp;L7091</f>
        <v/>
      </c>
    </row>
    <row r="7092" customFormat="1" s="94">
      <c r="B7092" s="128" t="n">
        <v>44004</v>
      </c>
      <c r="C7092" s="94">
        <f>TEXT(B7092,"aaa")</f>
        <v/>
      </c>
      <c r="E7092" s="94" t="inlineStr">
        <is>
          <t>클렌징폼</t>
        </is>
      </c>
      <c r="F7092" s="5" t="inlineStr">
        <is>
          <t>카페24</t>
        </is>
      </c>
      <c r="G7092" s="94" t="inlineStr">
        <is>
          <t>클렌징폼 120ml 3set</t>
        </is>
      </c>
      <c r="H7092" s="7" t="n">
        <v>190801</v>
      </c>
      <c r="I7092" s="7" t="n">
        <v>190801</v>
      </c>
      <c r="K7092" s="94" t="n">
        <v>2</v>
      </c>
      <c r="L7092" s="7" t="n">
        <v>190801</v>
      </c>
      <c r="M7092" s="94">
        <f>VLOOKUP($Q7092,매칭테이블!$F:$I,2,0)*K7092</f>
        <v/>
      </c>
      <c r="N7092" s="94">
        <f>M7092-M7092*VLOOKUP($Q7092,매칭테이블!$F:$I,3,0)</f>
        <v/>
      </c>
      <c r="O7092" s="94">
        <f>VLOOKUP($Q7092,매칭테이블!$F:$I,4,0)*K7092</f>
        <v/>
      </c>
      <c r="P7092" s="148">
        <f>M7092/1.1</f>
        <v/>
      </c>
      <c r="Q7092" s="94">
        <f>F7092&amp;E7092&amp;G7092&amp;L7092</f>
        <v/>
      </c>
    </row>
    <row r="7093" customFormat="1" s="94">
      <c r="B7093" s="128" t="n">
        <v>44004</v>
      </c>
      <c r="C7093" s="94">
        <f>TEXT(B7093,"aaa")</f>
        <v/>
      </c>
      <c r="E7093" s="94" t="inlineStr">
        <is>
          <t>토너</t>
        </is>
      </c>
      <c r="F7093" s="5" t="inlineStr">
        <is>
          <t>화해</t>
        </is>
      </c>
      <c r="G7093" s="8" t="inlineStr">
        <is>
          <t>250ml</t>
        </is>
      </c>
      <c r="H7093" s="7" t="n">
        <v>190801</v>
      </c>
      <c r="I7093" s="7" t="n">
        <v>190801</v>
      </c>
      <c r="K7093" s="94" t="n">
        <v>7</v>
      </c>
      <c r="L7093" s="7" t="n">
        <v>190801</v>
      </c>
      <c r="M7093" s="94">
        <f>VLOOKUP($Q7093,매칭테이블!$F:$I,2,0)*K7093</f>
        <v/>
      </c>
      <c r="N7093" s="94">
        <f>M7093-M7093*VLOOKUP($Q7093,매칭테이블!$F:$I,3,0)</f>
        <v/>
      </c>
      <c r="O7093" s="94">
        <f>VLOOKUP($Q7093,매칭테이블!$F:$I,4,0)*K7093</f>
        <v/>
      </c>
      <c r="P7093" s="148">
        <f>M7093/1.1</f>
        <v/>
      </c>
      <c r="Q7093" s="94">
        <f>F7093&amp;E7093&amp;G7093&amp;L7093</f>
        <v/>
      </c>
    </row>
    <row r="7094" customFormat="1" s="94">
      <c r="B7094" s="128" t="n">
        <v>44004</v>
      </c>
      <c r="C7094" s="94">
        <f>TEXT(B7094,"aaa")</f>
        <v/>
      </c>
      <c r="E7094" s="94" t="inlineStr">
        <is>
          <t>수딩크림</t>
        </is>
      </c>
      <c r="F7094" s="5" t="inlineStr">
        <is>
          <t>화해</t>
        </is>
      </c>
      <c r="G7094" s="2" t="inlineStr">
        <is>
          <t>수딩크림 100ml</t>
        </is>
      </c>
      <c r="H7094" s="7" t="n">
        <v>190801</v>
      </c>
      <c r="I7094" s="7" t="n">
        <v>190801</v>
      </c>
      <c r="K7094" s="94" t="n">
        <v>2</v>
      </c>
      <c r="L7094" s="7" t="n">
        <v>190801</v>
      </c>
      <c r="M7094" s="94">
        <f>VLOOKUP($Q7094,매칭테이블!$F:$I,2,0)*K7094</f>
        <v/>
      </c>
      <c r="N7094" s="94">
        <f>M7094-M7094*VLOOKUP($Q7094,매칭테이블!$F:$I,3,0)</f>
        <v/>
      </c>
      <c r="O7094" s="94">
        <f>VLOOKUP($Q7094,매칭테이블!$F:$I,4,0)*K7094</f>
        <v/>
      </c>
      <c r="P7094" s="148">
        <f>M7094/1.1</f>
        <v/>
      </c>
      <c r="Q7094" s="94">
        <f>F7094&amp;E7094&amp;G7094&amp;L7094</f>
        <v/>
      </c>
    </row>
    <row r="7095" customFormat="1" s="94">
      <c r="B7095" s="128" t="n">
        <v>44004</v>
      </c>
      <c r="C7095" s="94">
        <f>TEXT(B7095,"aaa")</f>
        <v/>
      </c>
      <c r="E7095" s="94" t="inlineStr">
        <is>
          <t>토너</t>
        </is>
      </c>
      <c r="F7095" s="5" t="inlineStr">
        <is>
          <t>아누아 CS</t>
        </is>
      </c>
      <c r="G7095" s="94" t="inlineStr">
        <is>
          <t>250ml</t>
        </is>
      </c>
      <c r="H7095" s="7" t="n">
        <v>190801</v>
      </c>
      <c r="I7095" s="7" t="n">
        <v>190801</v>
      </c>
      <c r="K7095" s="94" t="n">
        <v>1</v>
      </c>
      <c r="L7095" s="7" t="n">
        <v>190801</v>
      </c>
      <c r="M7095" s="94">
        <f>VLOOKUP($Q7095,매칭테이블!$F:$I,2,0)*K7095</f>
        <v/>
      </c>
      <c r="N7095" s="94">
        <f>M7095-M7095*VLOOKUP($Q7095,매칭테이블!$F:$I,3,0)</f>
        <v/>
      </c>
      <c r="O7095" s="94">
        <f>VLOOKUP($Q7095,매칭테이블!$F:$I,4,0)*K7095</f>
        <v/>
      </c>
      <c r="P7095" s="148">
        <f>M7095/1.1</f>
        <v/>
      </c>
      <c r="Q7095" s="94">
        <f>F7095&amp;E7095&amp;G7095&amp;L7095</f>
        <v/>
      </c>
    </row>
    <row r="7096" customFormat="1" s="94">
      <c r="B7096" s="128" t="n">
        <v>44004</v>
      </c>
      <c r="C7096" s="94">
        <f>TEXT(B7096,"aaa")</f>
        <v/>
      </c>
      <c r="E7096" s="94" t="inlineStr">
        <is>
          <t>토너</t>
        </is>
      </c>
      <c r="F7096" s="5" t="inlineStr">
        <is>
          <t>아누아 CS</t>
        </is>
      </c>
      <c r="G7096" s="94" t="inlineStr">
        <is>
          <t>40ml</t>
        </is>
      </c>
      <c r="H7096" s="7" t="n">
        <v>190801</v>
      </c>
      <c r="I7096" s="7" t="n">
        <v>190801</v>
      </c>
      <c r="K7096" s="94" t="n">
        <v>1</v>
      </c>
      <c r="L7096" s="7" t="n">
        <v>190801</v>
      </c>
      <c r="M7096" s="94">
        <f>VLOOKUP($Q7096,매칭테이블!$F:$I,2,0)*K7096</f>
        <v/>
      </c>
      <c r="N7096" s="94">
        <f>M7096-M7096*VLOOKUP($Q7096,매칭테이블!$F:$I,3,0)</f>
        <v/>
      </c>
      <c r="O7096" s="94">
        <f>VLOOKUP($Q7096,매칭테이블!$F:$I,4,0)*K7096</f>
        <v/>
      </c>
      <c r="P7096" s="148">
        <f>M7096/1.1</f>
        <v/>
      </c>
      <c r="Q7096" s="94">
        <f>F7096&amp;E7096&amp;G7096&amp;L7096</f>
        <v/>
      </c>
    </row>
    <row r="7097" customFormat="1" s="94">
      <c r="B7097" s="128" t="n">
        <v>44004</v>
      </c>
      <c r="C7097" s="94">
        <f>TEXT(B7097,"aaa")</f>
        <v/>
      </c>
      <c r="E7097" s="94" t="inlineStr">
        <is>
          <t>토너</t>
        </is>
      </c>
      <c r="F7097" s="5" t="inlineStr">
        <is>
          <t>아누아 CS</t>
        </is>
      </c>
      <c r="G7097" s="94" t="inlineStr">
        <is>
          <t>500ml</t>
        </is>
      </c>
      <c r="H7097" s="7" t="n">
        <v>190801</v>
      </c>
      <c r="I7097" s="7" t="n">
        <v>190801</v>
      </c>
      <c r="K7097" s="94" t="n">
        <v>1</v>
      </c>
      <c r="L7097" s="7" t="n">
        <v>190801</v>
      </c>
      <c r="M7097" s="94">
        <f>VLOOKUP($Q7097,매칭테이블!$F:$I,2,0)*K7097</f>
        <v/>
      </c>
      <c r="N7097" s="94">
        <f>M7097-M7097*VLOOKUP($Q7097,매칭테이블!$F:$I,3,0)</f>
        <v/>
      </c>
      <c r="O7097" s="94">
        <f>VLOOKUP($Q7097,매칭테이블!$F:$I,4,0)*K7097</f>
        <v/>
      </c>
      <c r="P7097" s="148">
        <f>M7097/1.1</f>
        <v/>
      </c>
      <c r="Q7097" s="94">
        <f>F7097&amp;E7097&amp;G7097&amp;L7097</f>
        <v/>
      </c>
    </row>
    <row r="7098" customFormat="1" s="94">
      <c r="B7098" s="128" t="n">
        <v>44004</v>
      </c>
      <c r="C7098" s="94">
        <f>TEXT(B7098,"aaa")</f>
        <v/>
      </c>
      <c r="E7098" s="94" t="inlineStr">
        <is>
          <t>앰플</t>
        </is>
      </c>
      <c r="F7098" s="5" t="inlineStr">
        <is>
          <t>아누아 CS</t>
        </is>
      </c>
      <c r="G7098" s="94" t="inlineStr">
        <is>
          <t>앰플 30ml</t>
        </is>
      </c>
      <c r="H7098" s="7" t="n">
        <v>190801</v>
      </c>
      <c r="I7098" s="7" t="n">
        <v>190801</v>
      </c>
      <c r="K7098" s="94" t="n">
        <v>1</v>
      </c>
      <c r="L7098" s="7" t="n">
        <v>190801</v>
      </c>
      <c r="M7098" s="94">
        <f>VLOOKUP($Q7098,매칭테이블!$F:$I,2,0)*K7098</f>
        <v/>
      </c>
      <c r="N7098" s="94">
        <f>M7098-M7098*VLOOKUP($Q7098,매칭테이블!$F:$I,3,0)</f>
        <v/>
      </c>
      <c r="O7098" s="94">
        <f>VLOOKUP($Q7098,매칭테이블!$F:$I,4,0)*K7098</f>
        <v/>
      </c>
      <c r="P7098" s="148">
        <f>M7098/1.1</f>
        <v/>
      </c>
      <c r="Q7098" s="94">
        <f>F7098&amp;E7098&amp;G7098&amp;L7098</f>
        <v/>
      </c>
    </row>
    <row r="7099" customFormat="1" s="94">
      <c r="B7099" s="128" t="n">
        <v>44004</v>
      </c>
      <c r="C7099" s="94">
        <f>TEXT(B7099,"aaa")</f>
        <v/>
      </c>
      <c r="E7099" s="94" t="inlineStr">
        <is>
          <t>선크림</t>
        </is>
      </c>
      <c r="F7099" s="5" t="inlineStr">
        <is>
          <t>아누아 CS</t>
        </is>
      </c>
      <c r="G7099" s="94" t="inlineStr">
        <is>
          <t>선크림 50ml</t>
        </is>
      </c>
      <c r="H7099" s="7" t="n">
        <v>190801</v>
      </c>
      <c r="I7099" s="7" t="n">
        <v>190801</v>
      </c>
      <c r="K7099" s="94" t="n">
        <v>1</v>
      </c>
      <c r="L7099" s="7" t="n">
        <v>190801</v>
      </c>
      <c r="M7099" s="94">
        <f>VLOOKUP($Q7099,매칭테이블!$F:$I,2,0)*K7099</f>
        <v/>
      </c>
      <c r="N7099" s="94">
        <f>M7099-M7099*VLOOKUP($Q7099,매칭테이블!$F:$I,3,0)</f>
        <v/>
      </c>
      <c r="O7099" s="94">
        <f>VLOOKUP($Q7099,매칭테이블!$F:$I,4,0)*K7099</f>
        <v/>
      </c>
      <c r="P7099" s="148">
        <f>M7099/1.1</f>
        <v/>
      </c>
      <c r="Q7099" s="94">
        <f>F7099&amp;E7099&amp;G7099&amp;L7099</f>
        <v/>
      </c>
    </row>
    <row r="7100" customFormat="1" s="94">
      <c r="B7100" s="128" t="n">
        <v>44004</v>
      </c>
      <c r="C7100" s="94">
        <f>TEXT(B7100,"aaa")</f>
        <v/>
      </c>
      <c r="E7100" s="94" t="inlineStr">
        <is>
          <t>마스크팩</t>
        </is>
      </c>
      <c r="F7100" s="5" t="inlineStr">
        <is>
          <t>아누아 CS</t>
        </is>
      </c>
      <c r="G7100" s="94" t="inlineStr">
        <is>
          <t>마스크팩 10매</t>
        </is>
      </c>
      <c r="H7100" s="7" t="n">
        <v>190801</v>
      </c>
      <c r="I7100" s="7" t="n">
        <v>190801</v>
      </c>
      <c r="K7100" s="94" t="n">
        <v>1</v>
      </c>
      <c r="L7100" s="7" t="n">
        <v>190801</v>
      </c>
      <c r="M7100" s="94">
        <f>VLOOKUP($Q7100,매칭테이블!$F:$I,2,0)*K7100</f>
        <v/>
      </c>
      <c r="N7100" s="94">
        <f>M7100-M7100*VLOOKUP($Q7100,매칭테이블!$F:$I,3,0)</f>
        <v/>
      </c>
      <c r="O7100" s="94">
        <f>VLOOKUP($Q7100,매칭테이블!$F:$I,4,0)*K7100</f>
        <v/>
      </c>
      <c r="P7100" s="148">
        <f>M7100/1.1</f>
        <v/>
      </c>
      <c r="Q7100" s="94">
        <f>F7100&amp;E7100&amp;G7100&amp;L7100</f>
        <v/>
      </c>
    </row>
    <row r="7101" customFormat="1" s="94">
      <c r="B7101" s="128" t="n">
        <v>44004</v>
      </c>
      <c r="C7101" s="94">
        <f>TEXT(B7101,"aaa")</f>
        <v/>
      </c>
      <c r="E7101" s="94" t="inlineStr">
        <is>
          <t>수딩크림</t>
        </is>
      </c>
      <c r="F7101" s="5" t="inlineStr">
        <is>
          <t>아누아 CS</t>
        </is>
      </c>
      <c r="G7101" s="94" t="inlineStr">
        <is>
          <t>수딩크림 100ml</t>
        </is>
      </c>
      <c r="H7101" s="7" t="n">
        <v>190801</v>
      </c>
      <c r="I7101" s="7" t="n">
        <v>190801</v>
      </c>
      <c r="K7101" s="94" t="n">
        <v>1</v>
      </c>
      <c r="L7101" s="7" t="n">
        <v>190801</v>
      </c>
      <c r="M7101" s="94">
        <f>VLOOKUP($Q7101,매칭테이블!$F:$I,2,0)*K7101</f>
        <v/>
      </c>
      <c r="N7101" s="94">
        <f>M7101-M7101*VLOOKUP($Q7101,매칭테이블!$F:$I,3,0)</f>
        <v/>
      </c>
      <c r="O7101" s="94">
        <f>VLOOKUP($Q7101,매칭테이블!$F:$I,4,0)*K7101</f>
        <v/>
      </c>
      <c r="P7101" s="148">
        <f>M7101/1.1</f>
        <v/>
      </c>
      <c r="Q7101" s="94">
        <f>F7101&amp;E7101&amp;G7101&amp;L7101</f>
        <v/>
      </c>
    </row>
    <row r="7102" customFormat="1" s="94">
      <c r="B7102" s="128" t="n">
        <v>44004</v>
      </c>
      <c r="C7102" s="94">
        <f>TEXT(B7102,"aaa")</f>
        <v/>
      </c>
      <c r="E7102" s="94" t="inlineStr">
        <is>
          <t>머드크림마스크</t>
        </is>
      </c>
      <c r="F7102" s="5" t="inlineStr">
        <is>
          <t>아누아 CS</t>
        </is>
      </c>
      <c r="G7102" s="94" t="inlineStr">
        <is>
          <t>머드크림마스크 100ml</t>
        </is>
      </c>
      <c r="H7102" s="7" t="n">
        <v>190801</v>
      </c>
      <c r="I7102" s="7" t="n">
        <v>190801</v>
      </c>
      <c r="K7102" s="94" t="n">
        <v>1</v>
      </c>
      <c r="L7102" s="7" t="n">
        <v>190801</v>
      </c>
      <c r="M7102" s="94">
        <f>VLOOKUP($Q7102,매칭테이블!$F:$I,2,0)*K7102</f>
        <v/>
      </c>
      <c r="N7102" s="94">
        <f>M7102-M7102*VLOOKUP($Q7102,매칭테이블!$F:$I,3,0)</f>
        <v/>
      </c>
      <c r="O7102" s="94">
        <f>VLOOKUP($Q7102,매칭테이블!$F:$I,4,0)*K7102</f>
        <v/>
      </c>
      <c r="P7102" s="148">
        <f>M7102/1.1</f>
        <v/>
      </c>
      <c r="Q7102" s="94">
        <f>F7102&amp;E7102&amp;G7102&amp;L7102</f>
        <v/>
      </c>
    </row>
    <row r="7103" customFormat="1" s="94">
      <c r="B7103" s="128" t="n">
        <v>44004</v>
      </c>
      <c r="C7103" s="94">
        <f>TEXT(B7103,"aaa")</f>
        <v/>
      </c>
      <c r="E7103" s="94" t="inlineStr">
        <is>
          <t>클렌징폼</t>
        </is>
      </c>
      <c r="F7103" s="5" t="inlineStr">
        <is>
          <t>아누아 CS</t>
        </is>
      </c>
      <c r="G7103" s="94" t="inlineStr">
        <is>
          <t>클렌징폼 120ml</t>
        </is>
      </c>
      <c r="H7103" s="7" t="n">
        <v>190801</v>
      </c>
      <c r="I7103" s="7" t="n">
        <v>190801</v>
      </c>
      <c r="K7103" s="94" t="n">
        <v>1</v>
      </c>
      <c r="L7103" s="7" t="n">
        <v>190801</v>
      </c>
      <c r="M7103" s="94">
        <f>VLOOKUP($Q7103,매칭테이블!$F:$I,2,0)*K7103</f>
        <v/>
      </c>
      <c r="N7103" s="94">
        <f>M7103-M7103*VLOOKUP($Q7103,매칭테이블!$F:$I,3,0)</f>
        <v/>
      </c>
      <c r="O7103" s="94">
        <f>VLOOKUP($Q7103,매칭테이블!$F:$I,4,0)*K7103</f>
        <v/>
      </c>
      <c r="P7103" s="148">
        <f>M7103/1.1</f>
        <v/>
      </c>
      <c r="Q7103" s="94">
        <f>F7103&amp;E7103&amp;G7103&amp;L7103</f>
        <v/>
      </c>
    </row>
    <row r="7104" customFormat="1" s="94">
      <c r="B7104" s="128" t="n">
        <v>44004</v>
      </c>
      <c r="C7104" s="94">
        <f>TEXT(B7104,"aaa")</f>
        <v/>
      </c>
      <c r="E7104" s="94" t="inlineStr">
        <is>
          <t>화장솜</t>
        </is>
      </c>
      <c r="F7104" s="5" t="inlineStr">
        <is>
          <t>아누아 CS</t>
        </is>
      </c>
      <c r="G7104" s="94" t="inlineStr">
        <is>
          <t>스킨팩 화장솜 60P</t>
        </is>
      </c>
      <c r="H7104" s="7" t="n">
        <v>190801</v>
      </c>
      <c r="I7104" s="7" t="n">
        <v>190801</v>
      </c>
      <c r="K7104" s="94" t="n">
        <v>1</v>
      </c>
      <c r="L7104" s="7" t="n">
        <v>190801</v>
      </c>
      <c r="M7104" s="94">
        <f>VLOOKUP($Q7104,매칭테이블!$F:$I,2,0)*K7104</f>
        <v/>
      </c>
      <c r="N7104" s="94">
        <f>M7104-M7104*VLOOKUP($Q7104,매칭테이블!$F:$I,3,0)</f>
        <v/>
      </c>
      <c r="O7104" s="94">
        <f>VLOOKUP($Q7104,매칭테이블!$F:$I,4,0)*K7104</f>
        <v/>
      </c>
      <c r="P7104" s="148">
        <f>M7104/1.1</f>
        <v/>
      </c>
      <c r="Q7104" s="94">
        <f>F7104&amp;E7104&amp;G7104&amp;L7104</f>
        <v/>
      </c>
    </row>
    <row r="7105" customFormat="1" s="94">
      <c r="B7105" s="128" t="n">
        <v>44005</v>
      </c>
      <c r="C7105" s="94">
        <f>TEXT(B7105,"aaa")</f>
        <v/>
      </c>
      <c r="E7105" s="94" t="inlineStr">
        <is>
          <t>토너</t>
        </is>
      </c>
      <c r="F7105" s="5" t="inlineStr">
        <is>
          <t>W컨셉</t>
        </is>
      </c>
      <c r="G7105" s="94" t="inlineStr">
        <is>
          <t>250ml</t>
        </is>
      </c>
      <c r="H7105" s="7" t="n">
        <v>190801</v>
      </c>
      <c r="I7105" s="7" t="n">
        <v>190801</v>
      </c>
      <c r="K7105" s="94" t="n">
        <v>1</v>
      </c>
      <c r="L7105" s="7" t="n">
        <v>190801</v>
      </c>
      <c r="M7105" s="94">
        <f>VLOOKUP($Q7105,매칭테이블!$F:$I,2,0)*K7105</f>
        <v/>
      </c>
      <c r="N7105" s="94">
        <f>M7105-M7105*VLOOKUP($Q7105,매칭테이블!$F:$I,3,0)</f>
        <v/>
      </c>
      <c r="O7105" s="94">
        <f>VLOOKUP($Q7105,매칭테이블!$F:$I,4,0)*K7105</f>
        <v/>
      </c>
      <c r="P7105" s="148">
        <f>M7105/1.1</f>
        <v/>
      </c>
      <c r="Q7105" s="94">
        <f>F7105&amp;E7105&amp;G7105&amp;L7105</f>
        <v/>
      </c>
    </row>
    <row r="7106" customFormat="1" s="94">
      <c r="B7106" s="128" t="n">
        <v>44005</v>
      </c>
      <c r="C7106" s="94">
        <f>TEXT(B7106,"aaa")</f>
        <v/>
      </c>
      <c r="E7106" s="94" t="inlineStr">
        <is>
          <t>토너</t>
        </is>
      </c>
      <c r="F7106" s="5" t="inlineStr">
        <is>
          <t>W컨셉</t>
        </is>
      </c>
      <c r="G7106" s="94" t="inlineStr">
        <is>
          <t>250ml 2set</t>
        </is>
      </c>
      <c r="H7106" s="7" t="n">
        <v>190801</v>
      </c>
      <c r="I7106" s="7" t="n">
        <v>190801</v>
      </c>
      <c r="K7106" s="94" t="n">
        <v>5</v>
      </c>
      <c r="L7106" s="7" t="n">
        <v>190801</v>
      </c>
      <c r="M7106" s="94">
        <f>VLOOKUP($Q7106,매칭테이블!$F:$I,2,0)*K7106</f>
        <v/>
      </c>
      <c r="N7106" s="94">
        <f>M7106-M7106*VLOOKUP($Q7106,매칭테이블!$F:$I,3,0)</f>
        <v/>
      </c>
      <c r="O7106" s="94">
        <f>VLOOKUP($Q7106,매칭테이블!$F:$I,4,0)*K7106</f>
        <v/>
      </c>
      <c r="P7106" s="148">
        <f>M7106/1.1</f>
        <v/>
      </c>
      <c r="Q7106" s="94">
        <f>F7106&amp;E7106&amp;G7106&amp;L7106</f>
        <v/>
      </c>
    </row>
    <row r="7107" customFormat="1" s="94">
      <c r="B7107" s="128" t="n">
        <v>44005</v>
      </c>
      <c r="C7107" s="94">
        <f>TEXT(B7107,"aaa")</f>
        <v/>
      </c>
      <c r="E7107" s="94" t="inlineStr">
        <is>
          <t>토너</t>
        </is>
      </c>
      <c r="F7107" s="5" t="inlineStr">
        <is>
          <t>스타일쉐어</t>
        </is>
      </c>
      <c r="G7107" s="94" t="inlineStr">
        <is>
          <t>250ml</t>
        </is>
      </c>
      <c r="H7107" s="7" t="n">
        <v>190801</v>
      </c>
      <c r="I7107" s="7" t="n">
        <v>190801</v>
      </c>
      <c r="K7107" s="94" t="n">
        <v>3</v>
      </c>
      <c r="L7107" s="7" t="n">
        <v>190801</v>
      </c>
      <c r="M7107" s="94">
        <f>VLOOKUP($Q7107,매칭테이블!$F:$I,2,0)*K7107</f>
        <v/>
      </c>
      <c r="N7107" s="94">
        <f>M7107-M7107*VLOOKUP($Q7107,매칭테이블!$F:$I,3,0)</f>
        <v/>
      </c>
      <c r="O7107" s="94">
        <f>VLOOKUP($Q7107,매칭테이블!$F:$I,4,0)*K7107</f>
        <v/>
      </c>
      <c r="P7107" s="148">
        <f>M7107/1.1</f>
        <v/>
      </c>
      <c r="Q7107" s="94">
        <f>F7107&amp;E7107&amp;G7107&amp;L7107</f>
        <v/>
      </c>
    </row>
    <row r="7108" customFormat="1" s="94">
      <c r="B7108" s="128" t="n">
        <v>44005</v>
      </c>
      <c r="C7108" s="94">
        <f>TEXT(B7108,"aaa")</f>
        <v/>
      </c>
      <c r="E7108" s="94" t="inlineStr">
        <is>
          <t>선크림</t>
        </is>
      </c>
      <c r="F7108" s="5" t="inlineStr">
        <is>
          <t>카페24</t>
        </is>
      </c>
      <c r="G7108" s="94" t="inlineStr">
        <is>
          <t>선크림 50ml</t>
        </is>
      </c>
      <c r="H7108" s="7" t="n">
        <v>190801</v>
      </c>
      <c r="I7108" s="7" t="n">
        <v>190801</v>
      </c>
      <c r="K7108" s="94" t="n">
        <v>5</v>
      </c>
      <c r="L7108" s="7" t="n">
        <v>190801</v>
      </c>
      <c r="M7108" s="94">
        <f>VLOOKUP($Q7108,매칭테이블!$F:$I,2,0)*K7108</f>
        <v/>
      </c>
      <c r="N7108" s="94">
        <f>M7108-M7108*VLOOKUP($Q7108,매칭테이블!$F:$I,3,0)</f>
        <v/>
      </c>
      <c r="O7108" s="94">
        <f>VLOOKUP($Q7108,매칭테이블!$F:$I,4,0)*K7108</f>
        <v/>
      </c>
      <c r="P7108" s="148">
        <f>M7108/1.1</f>
        <v/>
      </c>
      <c r="Q7108" s="94">
        <f>F7108&amp;E7108&amp;G7108&amp;L7108</f>
        <v/>
      </c>
    </row>
    <row r="7109" customFormat="1" s="94">
      <c r="B7109" s="128" t="n">
        <v>44005</v>
      </c>
      <c r="C7109" s="94">
        <f>TEXT(B7109,"aaa")</f>
        <v/>
      </c>
      <c r="E7109" s="94" t="inlineStr">
        <is>
          <t>선크림</t>
        </is>
      </c>
      <c r="F7109" s="5" t="inlineStr">
        <is>
          <t>카페24</t>
        </is>
      </c>
      <c r="G7109" s="94" t="inlineStr">
        <is>
          <t>선크림 50ml  2set</t>
        </is>
      </c>
      <c r="H7109" s="7" t="n">
        <v>190801</v>
      </c>
      <c r="I7109" s="7" t="n">
        <v>190801</v>
      </c>
      <c r="K7109" s="94" t="n">
        <v>2</v>
      </c>
      <c r="L7109" s="7" t="n">
        <v>190801</v>
      </c>
      <c r="M7109" s="94">
        <f>VLOOKUP($Q7109,매칭테이블!$F:$I,2,0)*K7109</f>
        <v/>
      </c>
      <c r="N7109" s="94">
        <f>M7109-M7109*VLOOKUP($Q7109,매칭테이블!$F:$I,3,0)</f>
        <v/>
      </c>
      <c r="O7109" s="94">
        <f>VLOOKUP($Q7109,매칭테이블!$F:$I,4,0)*K7109</f>
        <v/>
      </c>
      <c r="P7109" s="148">
        <f>M7109/1.1</f>
        <v/>
      </c>
      <c r="Q7109" s="94">
        <f>F7109&amp;E7109&amp;G7109&amp;L7109</f>
        <v/>
      </c>
    </row>
    <row r="7110" customFormat="1" s="94">
      <c r="B7110" s="128" t="n">
        <v>44005</v>
      </c>
      <c r="C7110" s="94">
        <f>TEXT(B7110,"aaa")</f>
        <v/>
      </c>
      <c r="E7110" s="94" t="inlineStr">
        <is>
          <t>클렌징폼</t>
        </is>
      </c>
      <c r="F7110" s="5" t="inlineStr">
        <is>
          <t>카페24</t>
        </is>
      </c>
      <c r="G7110" s="94" t="inlineStr">
        <is>
          <t>클렌징폼 120ml(선크림할인)</t>
        </is>
      </c>
      <c r="H7110" s="7" t="n">
        <v>190801</v>
      </c>
      <c r="I7110" s="7" t="n">
        <v>190801</v>
      </c>
      <c r="K7110" s="94" t="n">
        <v>3</v>
      </c>
      <c r="L7110" s="7" t="n">
        <v>190801</v>
      </c>
      <c r="M7110" s="94">
        <f>VLOOKUP($Q7110,매칭테이블!$F:$I,2,0)*K7110</f>
        <v/>
      </c>
      <c r="N7110" s="94">
        <f>M7110-M7110*VLOOKUP($Q7110,매칭테이블!$F:$I,3,0)</f>
        <v/>
      </c>
      <c r="O7110" s="94">
        <f>VLOOKUP($Q7110,매칭테이블!$F:$I,4,0)*K7110</f>
        <v/>
      </c>
      <c r="P7110" s="148">
        <f>M7110/1.1</f>
        <v/>
      </c>
      <c r="Q7110" s="94">
        <f>F7110&amp;E7110&amp;G7110&amp;L7110</f>
        <v/>
      </c>
    </row>
    <row r="7111" customFormat="1" s="94">
      <c r="B7111" s="128" t="n">
        <v>44005</v>
      </c>
      <c r="C7111" s="94">
        <f>TEXT(B7111,"aaa")</f>
        <v/>
      </c>
      <c r="E7111" s="94" t="inlineStr">
        <is>
          <t>여름 한정 진정세트</t>
        </is>
      </c>
      <c r="F7111" s="5" t="inlineStr">
        <is>
          <t>카페24</t>
        </is>
      </c>
      <c r="G7111" s="94" t="inlineStr">
        <is>
          <t>여름 한정 진정세트</t>
        </is>
      </c>
      <c r="H7111" s="7" t="n">
        <v>190801</v>
      </c>
      <c r="I7111" s="7" t="n">
        <v>190801</v>
      </c>
      <c r="K7111" s="94" t="n">
        <v>7</v>
      </c>
      <c r="L7111" s="7" t="n">
        <v>190801</v>
      </c>
      <c r="M7111" s="94">
        <f>VLOOKUP($Q7111,매칭테이블!$F:$I,2,0)*K7111</f>
        <v/>
      </c>
      <c r="N7111" s="94">
        <f>M7111-M7111*VLOOKUP($Q7111,매칭테이블!$F:$I,3,0)</f>
        <v/>
      </c>
      <c r="O7111" s="94">
        <f>VLOOKUP($Q7111,매칭테이블!$F:$I,4,0)*K7111</f>
        <v/>
      </c>
      <c r="P7111" s="148">
        <f>M7111/1.1</f>
        <v/>
      </c>
      <c r="Q7111" s="94">
        <f>F7111&amp;E7111&amp;G7111&amp;L7111</f>
        <v/>
      </c>
    </row>
    <row r="7112" customFormat="1" s="94">
      <c r="B7112" s="128" t="n">
        <v>44005</v>
      </c>
      <c r="C7112" s="94">
        <f>TEXT(B7112,"aaa")</f>
        <v/>
      </c>
      <c r="E7112" s="94" t="inlineStr">
        <is>
          <t>여름 한정 진정세트</t>
        </is>
      </c>
      <c r="F7112" s="5" t="inlineStr">
        <is>
          <t>카페24</t>
        </is>
      </c>
      <c r="G7112" s="94" t="inlineStr">
        <is>
          <t>여름 한정 진정세트 (대용량)</t>
        </is>
      </c>
      <c r="H7112" s="7" t="n">
        <v>190801</v>
      </c>
      <c r="I7112" s="7" t="n">
        <v>190801</v>
      </c>
      <c r="K7112" s="94" t="n">
        <v>11</v>
      </c>
      <c r="L7112" s="7" t="n">
        <v>190801</v>
      </c>
      <c r="M7112" s="94">
        <f>VLOOKUP($Q7112,매칭테이블!$F:$I,2,0)*K7112</f>
        <v/>
      </c>
      <c r="N7112" s="94">
        <f>M7112-M7112*VLOOKUP($Q7112,매칭테이블!$F:$I,3,0)</f>
        <v/>
      </c>
      <c r="O7112" s="94">
        <f>VLOOKUP($Q7112,매칭테이블!$F:$I,4,0)*K7112</f>
        <v/>
      </c>
      <c r="P7112" s="148">
        <f>M7112/1.1</f>
        <v/>
      </c>
      <c r="Q7112" s="94">
        <f>F7112&amp;E7112&amp;G7112&amp;L7112</f>
        <v/>
      </c>
    </row>
    <row r="7113" customFormat="1" s="94">
      <c r="B7113" s="128" t="n">
        <v>44005</v>
      </c>
      <c r="C7113" s="94">
        <f>TEXT(B7113,"aaa")</f>
        <v/>
      </c>
      <c r="E7113" s="94" t="inlineStr">
        <is>
          <t>어성초진정패키지</t>
        </is>
      </c>
      <c r="F7113" s="5" t="inlineStr">
        <is>
          <t>카페24</t>
        </is>
      </c>
      <c r="G7113" s="94" t="inlineStr">
        <is>
          <t>어성초 진정패키지세트</t>
        </is>
      </c>
      <c r="H7113" s="7" t="n">
        <v>190801</v>
      </c>
      <c r="I7113" s="7" t="n">
        <v>190801</v>
      </c>
      <c r="K7113" s="94" t="n">
        <v>7</v>
      </c>
      <c r="L7113" s="7" t="n">
        <v>190801</v>
      </c>
      <c r="M7113" s="94">
        <f>VLOOKUP($Q7113,매칭테이블!$F:$I,2,0)*K7113</f>
        <v/>
      </c>
      <c r="N7113" s="94">
        <f>M7113-M7113*VLOOKUP($Q7113,매칭테이블!$F:$I,3,0)</f>
        <v/>
      </c>
      <c r="O7113" s="94">
        <f>VLOOKUP($Q7113,매칭테이블!$F:$I,4,0)*K7113</f>
        <v/>
      </c>
      <c r="P7113" s="148">
        <f>M7113/1.1</f>
        <v/>
      </c>
      <c r="Q7113" s="94">
        <f>F7113&amp;E7113&amp;G7113&amp;L7113</f>
        <v/>
      </c>
    </row>
    <row r="7114" customFormat="1" s="94">
      <c r="B7114" s="128" t="n">
        <v>44005</v>
      </c>
      <c r="C7114" s="94">
        <f>TEXT(B7114,"aaa")</f>
        <v/>
      </c>
      <c r="E7114" s="94" t="inlineStr">
        <is>
          <t>머드크림마스크</t>
        </is>
      </c>
      <c r="F7114" s="5" t="inlineStr">
        <is>
          <t>카페24</t>
        </is>
      </c>
      <c r="G7114" s="94" t="inlineStr">
        <is>
          <t>머드크림마스크 100ml</t>
        </is>
      </c>
      <c r="H7114" s="7" t="n">
        <v>190801</v>
      </c>
      <c r="I7114" s="7" t="n">
        <v>190801</v>
      </c>
      <c r="K7114" s="94" t="n">
        <v>2</v>
      </c>
      <c r="L7114" s="7" t="n">
        <v>190801</v>
      </c>
      <c r="M7114" s="94">
        <f>VLOOKUP($Q7114,매칭테이블!$F:$I,2,0)*K7114</f>
        <v/>
      </c>
      <c r="N7114" s="94">
        <f>M7114-M7114*VLOOKUP($Q7114,매칭테이블!$F:$I,3,0)</f>
        <v/>
      </c>
      <c r="O7114" s="94">
        <f>VLOOKUP($Q7114,매칭테이블!$F:$I,4,0)*K7114</f>
        <v/>
      </c>
      <c r="P7114" s="148">
        <f>M7114/1.1</f>
        <v/>
      </c>
      <c r="Q7114" s="94">
        <f>F7114&amp;E7114&amp;G7114&amp;L7114</f>
        <v/>
      </c>
    </row>
    <row r="7115" customFormat="1" s="94">
      <c r="B7115" s="128" t="n">
        <v>44005</v>
      </c>
      <c r="C7115" s="94">
        <f>TEXT(B7115,"aaa")</f>
        <v/>
      </c>
      <c r="E7115" s="94" t="inlineStr">
        <is>
          <t>머드크림마스크</t>
        </is>
      </c>
      <c r="F7115" s="5" t="inlineStr">
        <is>
          <t>카페24</t>
        </is>
      </c>
      <c r="G7115" s="94" t="inlineStr">
        <is>
          <t>머드크림마스크 100ml 2set</t>
        </is>
      </c>
      <c r="H7115" s="7" t="n">
        <v>190801</v>
      </c>
      <c r="I7115" s="7" t="n">
        <v>190801</v>
      </c>
      <c r="K7115" s="94" t="n">
        <v>1</v>
      </c>
      <c r="L7115" s="7" t="n">
        <v>190801</v>
      </c>
      <c r="M7115" s="94">
        <f>VLOOKUP($Q7115,매칭테이블!$F:$I,2,0)*K7115</f>
        <v/>
      </c>
      <c r="N7115" s="94">
        <f>M7115-M7115*VLOOKUP($Q7115,매칭테이블!$F:$I,3,0)</f>
        <v/>
      </c>
      <c r="O7115" s="94">
        <f>VLOOKUP($Q7115,매칭테이블!$F:$I,4,0)*K7115</f>
        <v/>
      </c>
      <c r="P7115" s="148">
        <f>M7115/1.1</f>
        <v/>
      </c>
      <c r="Q7115" s="94">
        <f>F7115&amp;E7115&amp;G7115&amp;L7115</f>
        <v/>
      </c>
    </row>
    <row r="7116" customFormat="1" s="94">
      <c r="B7116" s="128" t="n">
        <v>44005</v>
      </c>
      <c r="C7116" s="94">
        <f>TEXT(B7116,"aaa")</f>
        <v/>
      </c>
      <c r="E7116" s="94" t="inlineStr">
        <is>
          <t>마스크팩</t>
        </is>
      </c>
      <c r="F7116" s="5" t="inlineStr">
        <is>
          <t>카페24</t>
        </is>
      </c>
      <c r="G7116" s="94" t="inlineStr">
        <is>
          <t>마스크팩 1매</t>
        </is>
      </c>
      <c r="H7116" s="7" t="n">
        <v>190801</v>
      </c>
      <c r="I7116" s="7" t="n">
        <v>190801</v>
      </c>
      <c r="K7116" s="94" t="n">
        <v>1</v>
      </c>
      <c r="L7116" s="7" t="n">
        <v>190801</v>
      </c>
      <c r="M7116" s="94">
        <f>VLOOKUP($Q7116,매칭테이블!$F:$I,2,0)*K7116</f>
        <v/>
      </c>
      <c r="N7116" s="94">
        <f>M7116-M7116*VLOOKUP($Q7116,매칭테이블!$F:$I,3,0)</f>
        <v/>
      </c>
      <c r="O7116" s="94">
        <f>VLOOKUP($Q7116,매칭테이블!$F:$I,4,0)*K7116</f>
        <v/>
      </c>
      <c r="P7116" s="148">
        <f>M7116/1.1</f>
        <v/>
      </c>
      <c r="Q7116" s="94">
        <f>F7116&amp;E7116&amp;G7116&amp;L7116</f>
        <v/>
      </c>
    </row>
    <row r="7117" customFormat="1" s="94">
      <c r="B7117" s="128" t="n">
        <v>44005</v>
      </c>
      <c r="C7117" s="94">
        <f>TEXT(B7117,"aaa")</f>
        <v/>
      </c>
      <c r="E7117" s="94" t="inlineStr">
        <is>
          <t>마스크팩</t>
        </is>
      </c>
      <c r="F7117" s="5" t="inlineStr">
        <is>
          <t>카페24</t>
        </is>
      </c>
      <c r="G7117" s="94" t="inlineStr">
        <is>
          <t>마스크팩 10매</t>
        </is>
      </c>
      <c r="H7117" s="7" t="n">
        <v>190801</v>
      </c>
      <c r="I7117" s="7" t="n">
        <v>190801</v>
      </c>
      <c r="K7117" s="94" t="n">
        <v>5</v>
      </c>
      <c r="L7117" s="7" t="n">
        <v>190801</v>
      </c>
      <c r="M7117" s="94">
        <f>VLOOKUP($Q7117,매칭테이블!$F:$I,2,0)*K7117</f>
        <v/>
      </c>
      <c r="N7117" s="94">
        <f>M7117-M7117*VLOOKUP($Q7117,매칭테이블!$F:$I,3,0)</f>
        <v/>
      </c>
      <c r="O7117" s="94">
        <f>VLOOKUP($Q7117,매칭테이블!$F:$I,4,0)*K7117</f>
        <v/>
      </c>
      <c r="P7117" s="148">
        <f>M7117/1.1</f>
        <v/>
      </c>
      <c r="Q7117" s="94">
        <f>F7117&amp;E7117&amp;G7117&amp;L7117</f>
        <v/>
      </c>
    </row>
    <row r="7118" customFormat="1" s="94">
      <c r="B7118" s="128" t="n">
        <v>44005</v>
      </c>
      <c r="C7118" s="94">
        <f>TEXT(B7118,"aaa")</f>
        <v/>
      </c>
      <c r="E7118" s="94" t="inlineStr">
        <is>
          <t>토너</t>
        </is>
      </c>
      <c r="F7118" s="5" t="inlineStr">
        <is>
          <t>카페24</t>
        </is>
      </c>
      <c r="G7118" s="94" t="inlineStr">
        <is>
          <t>250ml</t>
        </is>
      </c>
      <c r="H7118" s="7" t="n">
        <v>190801</v>
      </c>
      <c r="I7118" s="7" t="n">
        <v>190801</v>
      </c>
      <c r="K7118" s="94" t="n">
        <v>65</v>
      </c>
      <c r="L7118" s="7" t="n">
        <v>190801</v>
      </c>
      <c r="M7118" s="94">
        <f>VLOOKUP($Q7118,매칭테이블!$F:$I,2,0)*K7118</f>
        <v/>
      </c>
      <c r="N7118" s="94">
        <f>M7118-M7118*VLOOKUP($Q7118,매칭테이블!$F:$I,3,0)</f>
        <v/>
      </c>
      <c r="O7118" s="94">
        <f>VLOOKUP($Q7118,매칭테이블!$F:$I,4,0)*K7118</f>
        <v/>
      </c>
      <c r="P7118" s="148">
        <f>M7118/1.1</f>
        <v/>
      </c>
      <c r="Q7118" s="94">
        <f>F7118&amp;E7118&amp;G7118&amp;L7118</f>
        <v/>
      </c>
    </row>
    <row r="7119" customFormat="1" s="94">
      <c r="B7119" s="128" t="n">
        <v>44005</v>
      </c>
      <c r="C7119" s="94">
        <f>TEXT(B7119,"aaa")</f>
        <v/>
      </c>
      <c r="E7119" s="94" t="inlineStr">
        <is>
          <t>토너</t>
        </is>
      </c>
      <c r="F7119" s="5" t="inlineStr">
        <is>
          <t>카페24</t>
        </is>
      </c>
      <c r="G7119" s="94" t="inlineStr">
        <is>
          <t>250ml 2set</t>
        </is>
      </c>
      <c r="H7119" s="7" t="n">
        <v>190801</v>
      </c>
      <c r="I7119" s="7" t="n">
        <v>190801</v>
      </c>
      <c r="K7119" s="94" t="n">
        <v>41</v>
      </c>
      <c r="L7119" s="7" t="n">
        <v>190801</v>
      </c>
      <c r="M7119" s="94">
        <f>VLOOKUP($Q7119,매칭테이블!$F:$I,2,0)*K7119</f>
        <v/>
      </c>
      <c r="N7119" s="94">
        <f>M7119-M7119*VLOOKUP($Q7119,매칭테이블!$F:$I,3,0)</f>
        <v/>
      </c>
      <c r="O7119" s="94">
        <f>VLOOKUP($Q7119,매칭테이블!$F:$I,4,0)*K7119</f>
        <v/>
      </c>
      <c r="P7119" s="148">
        <f>M7119/1.1</f>
        <v/>
      </c>
      <c r="Q7119" s="94">
        <f>F7119&amp;E7119&amp;G7119&amp;L7119</f>
        <v/>
      </c>
    </row>
    <row r="7120" customFormat="1" s="94">
      <c r="B7120" s="128" t="n">
        <v>44005</v>
      </c>
      <c r="C7120" s="94">
        <f>TEXT(B7120,"aaa")</f>
        <v/>
      </c>
      <c r="E7120" s="94" t="inlineStr">
        <is>
          <t>토너</t>
        </is>
      </c>
      <c r="F7120" s="5" t="inlineStr">
        <is>
          <t>카페24</t>
        </is>
      </c>
      <c r="G7120" s="94" t="inlineStr">
        <is>
          <t>500ml</t>
        </is>
      </c>
      <c r="H7120" s="7" t="n">
        <v>190801</v>
      </c>
      <c r="I7120" s="7" t="n">
        <v>190801</v>
      </c>
      <c r="K7120" s="94" t="n">
        <v>55</v>
      </c>
      <c r="L7120" s="7" t="n">
        <v>190801</v>
      </c>
      <c r="M7120" s="94">
        <f>VLOOKUP($Q7120,매칭테이블!$F:$I,2,0)*K7120</f>
        <v/>
      </c>
      <c r="N7120" s="94">
        <f>M7120-M7120*VLOOKUP($Q7120,매칭테이블!$F:$I,3,0)</f>
        <v/>
      </c>
      <c r="O7120" s="94">
        <f>VLOOKUP($Q7120,매칭테이블!$F:$I,4,0)*K7120</f>
        <v/>
      </c>
      <c r="P7120" s="148">
        <f>M7120/1.1</f>
        <v/>
      </c>
      <c r="Q7120" s="94">
        <f>F7120&amp;E7120&amp;G7120&amp;L7120</f>
        <v/>
      </c>
    </row>
    <row r="7121" customFormat="1" s="94">
      <c r="B7121" s="128" t="n">
        <v>44005</v>
      </c>
      <c r="C7121" s="94">
        <f>TEXT(B7121,"aaa")</f>
        <v/>
      </c>
      <c r="E7121" s="94" t="inlineStr">
        <is>
          <t>토너</t>
        </is>
      </c>
      <c r="F7121" s="5" t="inlineStr">
        <is>
          <t>카페24</t>
        </is>
      </c>
      <c r="G7121" s="94" t="inlineStr">
        <is>
          <t>스킨팩 화장솜 60P</t>
        </is>
      </c>
      <c r="H7121" s="7" t="n">
        <v>190801</v>
      </c>
      <c r="I7121" s="7" t="n">
        <v>190801</v>
      </c>
      <c r="K7121" s="94" t="n">
        <v>54</v>
      </c>
      <c r="L7121" s="7" t="n">
        <v>190801</v>
      </c>
      <c r="M7121" s="94">
        <f>VLOOKUP($Q7121,매칭테이블!$F:$I,2,0)*K7121</f>
        <v/>
      </c>
      <c r="N7121" s="94">
        <f>M7121-M7121*VLOOKUP($Q7121,매칭테이블!$F:$I,3,0)</f>
        <v/>
      </c>
      <c r="O7121" s="94">
        <f>VLOOKUP($Q7121,매칭테이블!$F:$I,4,0)*K7121</f>
        <v/>
      </c>
      <c r="P7121" s="148">
        <f>M7121/1.1</f>
        <v/>
      </c>
      <c r="Q7121" s="94">
        <f>F7121&amp;E7121&amp;G7121&amp;L7121</f>
        <v/>
      </c>
    </row>
    <row r="7122" customFormat="1" s="94">
      <c r="B7122" s="128" t="n">
        <v>44005</v>
      </c>
      <c r="C7122" s="94">
        <f>TEXT(B7122,"aaa")</f>
        <v/>
      </c>
      <c r="E7122" s="94" t="inlineStr">
        <is>
          <t>앰플</t>
        </is>
      </c>
      <c r="F7122" s="5" t="inlineStr">
        <is>
          <t>카페24</t>
        </is>
      </c>
      <c r="G7122" s="94" t="inlineStr">
        <is>
          <t>앰플 30ml</t>
        </is>
      </c>
      <c r="H7122" s="7" t="n">
        <v>190801</v>
      </c>
      <c r="I7122" s="7" t="n">
        <v>190801</v>
      </c>
      <c r="K7122" s="94" t="n">
        <v>14</v>
      </c>
      <c r="L7122" s="7" t="n">
        <v>190801</v>
      </c>
      <c r="M7122" s="94">
        <f>VLOOKUP($Q7122,매칭테이블!$F:$I,2,0)*K7122</f>
        <v/>
      </c>
      <c r="N7122" s="94">
        <f>M7122-M7122*VLOOKUP($Q7122,매칭테이블!$F:$I,3,0)</f>
        <v/>
      </c>
      <c r="O7122" s="94">
        <f>VLOOKUP($Q7122,매칭테이블!$F:$I,4,0)*K7122</f>
        <v/>
      </c>
      <c r="P7122" s="148">
        <f>M7122/1.1</f>
        <v/>
      </c>
      <c r="Q7122" s="94">
        <f>F7122&amp;E7122&amp;G7122&amp;L7122</f>
        <v/>
      </c>
    </row>
    <row r="7123" customFormat="1" s="94">
      <c r="B7123" s="128" t="n">
        <v>44005</v>
      </c>
      <c r="C7123" s="94">
        <f>TEXT(B7123,"aaa")</f>
        <v/>
      </c>
      <c r="E7123" s="94" t="inlineStr">
        <is>
          <t>수딩크림</t>
        </is>
      </c>
      <c r="F7123" s="5" t="inlineStr">
        <is>
          <t>카페24</t>
        </is>
      </c>
      <c r="G7123" s="94" t="inlineStr">
        <is>
          <t>수딩크림 100ml</t>
        </is>
      </c>
      <c r="H7123" s="7" t="n">
        <v>190801</v>
      </c>
      <c r="I7123" s="7" t="n">
        <v>190801</v>
      </c>
      <c r="K7123" s="94" t="n">
        <v>8</v>
      </c>
      <c r="L7123" s="7" t="n">
        <v>190801</v>
      </c>
      <c r="M7123" s="94">
        <f>VLOOKUP($Q7123,매칭테이블!$F:$I,2,0)*K7123</f>
        <v/>
      </c>
      <c r="N7123" s="94">
        <f>M7123-M7123*VLOOKUP($Q7123,매칭테이블!$F:$I,3,0)</f>
        <v/>
      </c>
      <c r="O7123" s="94">
        <f>VLOOKUP($Q7123,매칭테이블!$F:$I,4,0)*K7123</f>
        <v/>
      </c>
      <c r="P7123" s="148">
        <f>M7123/1.1</f>
        <v/>
      </c>
      <c r="Q7123" s="94">
        <f>F7123&amp;E7123&amp;G7123&amp;L7123</f>
        <v/>
      </c>
    </row>
    <row r="7124" customFormat="1" s="94">
      <c r="B7124" s="128" t="n">
        <v>44005</v>
      </c>
      <c r="C7124" s="94">
        <f>TEXT(B7124,"aaa")</f>
        <v/>
      </c>
      <c r="E7124" s="94" t="inlineStr">
        <is>
          <t>클렌징폼</t>
        </is>
      </c>
      <c r="F7124" s="5" t="inlineStr">
        <is>
          <t>카페24</t>
        </is>
      </c>
      <c r="G7124" s="94" t="inlineStr">
        <is>
          <t>클렌징폼 120ml</t>
        </is>
      </c>
      <c r="H7124" s="7" t="n">
        <v>190801</v>
      </c>
      <c r="I7124" s="7" t="n">
        <v>190801</v>
      </c>
      <c r="K7124" s="94" t="n">
        <v>7</v>
      </c>
      <c r="L7124" s="7" t="n">
        <v>190801</v>
      </c>
      <c r="M7124" s="94">
        <f>VLOOKUP($Q7124,매칭테이블!$F:$I,2,0)*K7124</f>
        <v/>
      </c>
      <c r="N7124" s="94">
        <f>M7124-M7124*VLOOKUP($Q7124,매칭테이블!$F:$I,3,0)</f>
        <v/>
      </c>
      <c r="O7124" s="94">
        <f>VLOOKUP($Q7124,매칭테이블!$F:$I,4,0)*K7124</f>
        <v/>
      </c>
      <c r="P7124" s="148">
        <f>M7124/1.1</f>
        <v/>
      </c>
      <c r="Q7124" s="94">
        <f>F7124&amp;E7124&amp;G7124&amp;L7124</f>
        <v/>
      </c>
    </row>
    <row r="7125" customFormat="1" s="94">
      <c r="B7125" s="128" t="n">
        <v>44005</v>
      </c>
      <c r="C7125" s="94">
        <f>TEXT(B7125,"aaa")</f>
        <v/>
      </c>
      <c r="E7125" s="94" t="inlineStr">
        <is>
          <t>클렌징폼</t>
        </is>
      </c>
      <c r="F7125" s="5" t="inlineStr">
        <is>
          <t>카페24</t>
        </is>
      </c>
      <c r="G7125" s="94" t="inlineStr">
        <is>
          <t>클렌징폼 120ml 3set</t>
        </is>
      </c>
      <c r="H7125" s="7" t="n">
        <v>190801</v>
      </c>
      <c r="I7125" s="7" t="n">
        <v>190801</v>
      </c>
      <c r="K7125" s="94" t="n">
        <v>1</v>
      </c>
      <c r="L7125" s="7" t="n">
        <v>190801</v>
      </c>
      <c r="M7125" s="94">
        <f>VLOOKUP($Q7125,매칭테이블!$F:$I,2,0)*K7125</f>
        <v/>
      </c>
      <c r="N7125" s="94">
        <f>M7125-M7125*VLOOKUP($Q7125,매칭테이블!$F:$I,3,0)</f>
        <v/>
      </c>
      <c r="O7125" s="94">
        <f>VLOOKUP($Q7125,매칭테이블!$F:$I,4,0)*K7125</f>
        <v/>
      </c>
      <c r="P7125" s="148">
        <f>M7125/1.1</f>
        <v/>
      </c>
      <c r="Q7125" s="94">
        <f>F7125&amp;E7125&amp;G7125&amp;L7125</f>
        <v/>
      </c>
    </row>
    <row r="7126" customFormat="1" s="94">
      <c r="B7126" s="128" t="n">
        <v>44005</v>
      </c>
      <c r="C7126" s="94">
        <f>TEXT(B7126,"aaa")</f>
        <v/>
      </c>
      <c r="E7126" s="94" t="inlineStr">
        <is>
          <t>토너</t>
        </is>
      </c>
      <c r="F7126" s="5" t="inlineStr">
        <is>
          <t>큐텐</t>
        </is>
      </c>
      <c r="G7126" s="94" t="inlineStr">
        <is>
          <t>250ml</t>
        </is>
      </c>
      <c r="H7126" s="7" t="n">
        <v>190801</v>
      </c>
      <c r="I7126" s="7" t="n">
        <v>190801</v>
      </c>
      <c r="K7126" s="94" t="n">
        <v>30</v>
      </c>
      <c r="L7126" s="7" t="n">
        <v>190801</v>
      </c>
      <c r="M7126" s="94">
        <f>VLOOKUP($Q7126,매칭테이블!$F:$I,2,0)*K7126</f>
        <v/>
      </c>
      <c r="N7126" s="94">
        <f>M7126-M7126*VLOOKUP($Q7126,매칭테이블!$F:$I,3,0)</f>
        <v/>
      </c>
      <c r="O7126" s="94">
        <f>VLOOKUP($Q7126,매칭테이블!$F:$I,4,0)*K7126</f>
        <v/>
      </c>
      <c r="P7126" s="148">
        <f>M7126/1.1</f>
        <v/>
      </c>
      <c r="Q7126" s="94">
        <f>F7126&amp;E7126&amp;G7126&amp;L7126</f>
        <v/>
      </c>
    </row>
    <row r="7127" customFormat="1" s="94">
      <c r="B7127" s="128" t="n">
        <v>44005</v>
      </c>
      <c r="C7127" s="94">
        <f>TEXT(B7127,"aaa")</f>
        <v/>
      </c>
      <c r="E7127" s="94" t="inlineStr">
        <is>
          <t>토너</t>
        </is>
      </c>
      <c r="F7127" s="5" t="inlineStr">
        <is>
          <t>큐텐</t>
        </is>
      </c>
      <c r="G7127" s="94" t="inlineStr">
        <is>
          <t>250ml 2set</t>
        </is>
      </c>
      <c r="H7127" s="7" t="n">
        <v>190801</v>
      </c>
      <c r="I7127" s="7" t="n">
        <v>190801</v>
      </c>
      <c r="K7127" s="94" t="n">
        <v>23</v>
      </c>
      <c r="L7127" s="7" t="n">
        <v>190801</v>
      </c>
      <c r="M7127" s="94">
        <f>VLOOKUP($Q7127,매칭테이블!$F:$I,2,0)*K7127</f>
        <v/>
      </c>
      <c r="N7127" s="94">
        <f>M7127-M7127*VLOOKUP($Q7127,매칭테이블!$F:$I,3,0)</f>
        <v/>
      </c>
      <c r="O7127" s="94">
        <f>VLOOKUP($Q7127,매칭테이블!$F:$I,4,0)*K7127</f>
        <v/>
      </c>
      <c r="P7127" s="148">
        <f>M7127/1.1</f>
        <v/>
      </c>
      <c r="Q7127" s="94">
        <f>F7127&amp;E7127&amp;G7127&amp;L7127</f>
        <v/>
      </c>
    </row>
    <row r="7128" customFormat="1" s="94">
      <c r="B7128" s="128" t="n">
        <v>44005</v>
      </c>
      <c r="C7128" s="94">
        <f>TEXT(B7128,"aaa")</f>
        <v/>
      </c>
      <c r="E7128" s="94" t="inlineStr">
        <is>
          <t>앰플</t>
        </is>
      </c>
      <c r="F7128" s="5" t="inlineStr">
        <is>
          <t>큐텐</t>
        </is>
      </c>
      <c r="G7128" s="94" t="inlineStr">
        <is>
          <t>앰플 30ml</t>
        </is>
      </c>
      <c r="H7128" s="7" t="n">
        <v>190801</v>
      </c>
      <c r="I7128" s="7" t="n">
        <v>190801</v>
      </c>
      <c r="K7128" s="94" t="n">
        <v>5</v>
      </c>
      <c r="L7128" s="7" t="n">
        <v>190801</v>
      </c>
      <c r="M7128" s="94">
        <f>VLOOKUP($Q7128,매칭테이블!$F:$I,2,0)*K7128</f>
        <v/>
      </c>
      <c r="N7128" s="94">
        <f>M7128-M7128*VLOOKUP($Q7128,매칭테이블!$F:$I,3,0)</f>
        <v/>
      </c>
      <c r="O7128" s="94">
        <f>VLOOKUP($Q7128,매칭테이블!$F:$I,4,0)*K7128</f>
        <v/>
      </c>
      <c r="P7128" s="148">
        <f>M7128/1.1</f>
        <v/>
      </c>
      <c r="Q7128" s="94">
        <f>F7128&amp;E7128&amp;G7128&amp;L7128</f>
        <v/>
      </c>
    </row>
    <row r="7129" customFormat="1" s="94">
      <c r="B7129" s="128" t="n">
        <v>44005</v>
      </c>
      <c r="C7129" s="94">
        <f>TEXT(B7129,"aaa")</f>
        <v/>
      </c>
      <c r="E7129" s="94" t="inlineStr">
        <is>
          <t>머드크림마스크</t>
        </is>
      </c>
      <c r="F7129" s="5" t="inlineStr">
        <is>
          <t>큐텐</t>
        </is>
      </c>
      <c r="G7129" s="94" t="inlineStr">
        <is>
          <t>머드크림마스크 100ml</t>
        </is>
      </c>
      <c r="H7129" s="7" t="n">
        <v>190801</v>
      </c>
      <c r="I7129" s="7" t="n">
        <v>190801</v>
      </c>
      <c r="K7129" s="94" t="n">
        <v>1</v>
      </c>
      <c r="L7129" s="7" t="n">
        <v>190801</v>
      </c>
      <c r="M7129" s="94">
        <f>VLOOKUP($Q7129,매칭테이블!$F:$I,2,0)*K7129</f>
        <v/>
      </c>
      <c r="N7129" s="94">
        <f>M7129-M7129*VLOOKUP($Q7129,매칭테이블!$F:$I,3,0)</f>
        <v/>
      </c>
      <c r="O7129" s="94">
        <f>VLOOKUP($Q7129,매칭테이블!$F:$I,4,0)*K7129</f>
        <v/>
      </c>
      <c r="P7129" s="148">
        <f>M7129/1.1</f>
        <v/>
      </c>
      <c r="Q7129" s="94">
        <f>F7129&amp;E7129&amp;G7129&amp;L7129</f>
        <v/>
      </c>
    </row>
    <row r="7130" customFormat="1" s="94">
      <c r="B7130" s="128" t="n">
        <v>44005</v>
      </c>
      <c r="C7130" s="94">
        <f>TEXT(B7130,"aaa")</f>
        <v/>
      </c>
      <c r="E7130" s="94" t="inlineStr">
        <is>
          <t>마스크팩</t>
        </is>
      </c>
      <c r="F7130" s="5" t="inlineStr">
        <is>
          <t>큐텐</t>
        </is>
      </c>
      <c r="G7130" s="94" t="inlineStr">
        <is>
          <t>마스크팩 10매</t>
        </is>
      </c>
      <c r="H7130" s="7" t="n">
        <v>190801</v>
      </c>
      <c r="I7130" s="7" t="n">
        <v>190801</v>
      </c>
      <c r="K7130" s="94" t="n">
        <v>2</v>
      </c>
      <c r="L7130" s="7" t="n">
        <v>190801</v>
      </c>
      <c r="M7130" s="94">
        <f>VLOOKUP($Q7130,매칭테이블!$F:$I,2,0)*K7130</f>
        <v/>
      </c>
      <c r="N7130" s="94">
        <f>M7130-M7130*VLOOKUP($Q7130,매칭테이블!$F:$I,3,0)</f>
        <v/>
      </c>
      <c r="O7130" s="94">
        <f>VLOOKUP($Q7130,매칭테이블!$F:$I,4,0)*K7130</f>
        <v/>
      </c>
      <c r="P7130" s="148">
        <f>M7130/1.1</f>
        <v/>
      </c>
      <c r="Q7130" s="94">
        <f>F7130&amp;E7130&amp;G7130&amp;L7130</f>
        <v/>
      </c>
    </row>
    <row r="7131" customFormat="1" s="94">
      <c r="B7131" s="128" t="n">
        <v>44005</v>
      </c>
      <c r="C7131" s="94">
        <f>TEXT(B7131,"aaa")</f>
        <v/>
      </c>
      <c r="E7131" s="94" t="inlineStr">
        <is>
          <t>클렌징폼</t>
        </is>
      </c>
      <c r="F7131" s="5" t="inlineStr">
        <is>
          <t>큐텐</t>
        </is>
      </c>
      <c r="G7131" s="94" t="inlineStr">
        <is>
          <t>클렌징폼 120ml</t>
        </is>
      </c>
      <c r="H7131" s="7" t="n">
        <v>190801</v>
      </c>
      <c r="I7131" s="7" t="n">
        <v>190801</v>
      </c>
      <c r="K7131" s="94" t="n">
        <v>2</v>
      </c>
      <c r="L7131" s="7" t="n">
        <v>190801</v>
      </c>
      <c r="M7131" s="94">
        <f>VLOOKUP($Q7131,매칭테이블!$F:$I,2,0)*K7131</f>
        <v/>
      </c>
      <c r="N7131" s="94">
        <f>M7131-M7131*VLOOKUP($Q7131,매칭테이블!$F:$I,3,0)</f>
        <v/>
      </c>
      <c r="O7131" s="94">
        <f>VLOOKUP($Q7131,매칭테이블!$F:$I,4,0)*K7131</f>
        <v/>
      </c>
      <c r="P7131" s="148">
        <f>M7131/1.1</f>
        <v/>
      </c>
      <c r="Q7131" s="94">
        <f>F7131&amp;E7131&amp;G7131&amp;L7131</f>
        <v/>
      </c>
    </row>
    <row r="7132" customFormat="1" s="94">
      <c r="B7132" s="128" t="n">
        <v>44005</v>
      </c>
      <c r="C7132" s="94">
        <f>TEXT(B7132,"aaa")</f>
        <v/>
      </c>
      <c r="E7132" s="94" t="inlineStr">
        <is>
          <t>앰플</t>
        </is>
      </c>
      <c r="F7132" s="5" t="inlineStr">
        <is>
          <t>아누아 CS</t>
        </is>
      </c>
      <c r="G7132" s="94" t="inlineStr">
        <is>
          <t>앰플 30ml</t>
        </is>
      </c>
      <c r="H7132" s="7" t="n">
        <v>190801</v>
      </c>
      <c r="I7132" s="7" t="n">
        <v>190801</v>
      </c>
      <c r="K7132" s="94" t="n">
        <v>35</v>
      </c>
      <c r="L7132" s="7" t="n">
        <v>190801</v>
      </c>
      <c r="M7132" s="94">
        <f>VLOOKUP($Q7132,매칭테이블!$F:$I,2,0)*K7132</f>
        <v/>
      </c>
      <c r="N7132" s="94">
        <f>M7132-M7132*VLOOKUP($Q7132,매칭테이블!$F:$I,3,0)</f>
        <v/>
      </c>
      <c r="O7132" s="94">
        <f>VLOOKUP($Q7132,매칭테이블!$F:$I,4,0)*K7132</f>
        <v/>
      </c>
      <c r="P7132" s="148">
        <f>M7132/1.1</f>
        <v/>
      </c>
      <c r="Q7132" s="94">
        <f>F7132&amp;E7132&amp;G7132&amp;L7132</f>
        <v/>
      </c>
    </row>
    <row r="7133" customFormat="1" s="94">
      <c r="B7133" s="128" t="n">
        <v>44005</v>
      </c>
      <c r="C7133" s="94">
        <f>TEXT(B7133,"aaa")</f>
        <v/>
      </c>
      <c r="E7133" s="94" t="inlineStr">
        <is>
          <t>토너</t>
        </is>
      </c>
      <c r="F7133" s="5" t="inlineStr">
        <is>
          <t>화해</t>
        </is>
      </c>
      <c r="G7133" s="8" t="inlineStr">
        <is>
          <t>250ml</t>
        </is>
      </c>
      <c r="H7133" s="7" t="n">
        <v>190801</v>
      </c>
      <c r="I7133" s="7" t="n">
        <v>190801</v>
      </c>
      <c r="K7133" s="94" t="n">
        <v>4</v>
      </c>
      <c r="L7133" s="7" t="n">
        <v>190801</v>
      </c>
      <c r="M7133" s="94">
        <f>VLOOKUP($Q7133,매칭테이블!$F:$I,2,0)*K7133</f>
        <v/>
      </c>
      <c r="N7133" s="94">
        <f>M7133-M7133*VLOOKUP($Q7133,매칭테이블!$F:$I,3,0)</f>
        <v/>
      </c>
      <c r="O7133" s="94">
        <f>VLOOKUP($Q7133,매칭테이블!$F:$I,4,0)*K7133</f>
        <v/>
      </c>
      <c r="P7133" s="148">
        <f>M7133/1.1</f>
        <v/>
      </c>
      <c r="Q7133" s="94">
        <f>F7133&amp;E7133&amp;G7133&amp;L7133</f>
        <v/>
      </c>
    </row>
    <row r="7134" customFormat="1" s="94">
      <c r="B7134" s="128" t="n">
        <v>44006</v>
      </c>
      <c r="C7134" s="94">
        <f>TEXT(B7134,"aaa")</f>
        <v/>
      </c>
      <c r="E7134" s="94" t="inlineStr">
        <is>
          <t>토너</t>
        </is>
      </c>
      <c r="F7134" s="5" t="inlineStr">
        <is>
          <t>W컨셉</t>
        </is>
      </c>
      <c r="G7134" s="94" t="inlineStr">
        <is>
          <t>250ml 2set</t>
        </is>
      </c>
      <c r="H7134" s="7" t="n">
        <v>190801</v>
      </c>
      <c r="I7134" s="7" t="n">
        <v>190801</v>
      </c>
      <c r="K7134" s="94" t="n">
        <v>4</v>
      </c>
      <c r="L7134" s="7" t="n">
        <v>190801</v>
      </c>
      <c r="M7134" s="94">
        <f>VLOOKUP($Q7134,매칭테이블!$F:$I,2,0)*K7134</f>
        <v/>
      </c>
      <c r="N7134" s="94">
        <f>M7134-M7134*VLOOKUP($Q7134,매칭테이블!$F:$I,3,0)</f>
        <v/>
      </c>
      <c r="O7134" s="94">
        <f>VLOOKUP($Q7134,매칭테이블!$F:$I,4,0)*K7134</f>
        <v/>
      </c>
      <c r="P7134" s="148">
        <f>M7134/1.1</f>
        <v/>
      </c>
      <c r="Q7134" s="94">
        <f>F7134&amp;E7134&amp;G7134&amp;L7134</f>
        <v/>
      </c>
    </row>
    <row r="7135" customFormat="1" s="94">
      <c r="B7135" s="128" t="n">
        <v>44006</v>
      </c>
      <c r="C7135" s="94">
        <f>TEXT(B7135,"aaa")</f>
        <v/>
      </c>
      <c r="E7135" s="94" t="inlineStr">
        <is>
          <t>머드크림마스크</t>
        </is>
      </c>
      <c r="F7135" s="5" t="inlineStr">
        <is>
          <t>글로우데이즈 시코르</t>
        </is>
      </c>
      <c r="G7135" s="94" t="inlineStr">
        <is>
          <t>머드크림마스크 100ml</t>
        </is>
      </c>
      <c r="H7135" s="7" t="n">
        <v>190801</v>
      </c>
      <c r="I7135" s="7" t="n">
        <v>190801</v>
      </c>
      <c r="K7135" s="94" t="n">
        <v>5</v>
      </c>
      <c r="L7135" s="7" t="n">
        <v>190801</v>
      </c>
      <c r="M7135" s="94">
        <f>VLOOKUP($Q7135,매칭테이블!$F:$I,2,0)*K7135</f>
        <v/>
      </c>
      <c r="N7135" s="94">
        <f>M7135-M7135*VLOOKUP($Q7135,매칭테이블!$F:$I,3,0)</f>
        <v/>
      </c>
      <c r="O7135" s="94">
        <f>VLOOKUP($Q7135,매칭테이블!$F:$I,4,0)*K7135</f>
        <v/>
      </c>
      <c r="P7135" s="148">
        <f>M7135/1.1</f>
        <v/>
      </c>
      <c r="Q7135" s="94">
        <f>F7135&amp;E7135&amp;G7135&amp;L7135</f>
        <v/>
      </c>
    </row>
    <row r="7136" customFormat="1" s="94">
      <c r="B7136" s="128" t="n">
        <v>44006</v>
      </c>
      <c r="C7136" s="94">
        <f>TEXT(B7136,"aaa")</f>
        <v/>
      </c>
      <c r="E7136" s="94" t="inlineStr">
        <is>
          <t>토너</t>
        </is>
      </c>
      <c r="F7136" s="5" t="inlineStr">
        <is>
          <t>스타일쉐어</t>
        </is>
      </c>
      <c r="G7136" s="94" t="inlineStr">
        <is>
          <t>250ml</t>
        </is>
      </c>
      <c r="H7136" s="7" t="n">
        <v>190801</v>
      </c>
      <c r="I7136" s="7" t="n">
        <v>190801</v>
      </c>
      <c r="K7136" s="94" t="n">
        <v>9</v>
      </c>
      <c r="L7136" s="7" t="n">
        <v>190801</v>
      </c>
      <c r="M7136" s="94">
        <f>VLOOKUP($Q7136,매칭테이블!$F:$I,2,0)*K7136</f>
        <v/>
      </c>
      <c r="N7136" s="94">
        <f>M7136-M7136*VLOOKUP($Q7136,매칭테이블!$F:$I,3,0)</f>
        <v/>
      </c>
      <c r="O7136" s="94">
        <f>VLOOKUP($Q7136,매칭테이블!$F:$I,4,0)*K7136</f>
        <v/>
      </c>
      <c r="P7136" s="148">
        <f>M7136/1.1</f>
        <v/>
      </c>
      <c r="Q7136" s="94">
        <f>F7136&amp;E7136&amp;G7136&amp;L7136</f>
        <v/>
      </c>
    </row>
    <row r="7137" customFormat="1" s="94">
      <c r="B7137" s="128" t="n">
        <v>44006</v>
      </c>
      <c r="C7137" s="94">
        <f>TEXT(B7137,"aaa")</f>
        <v/>
      </c>
      <c r="E7137" s="94" t="inlineStr">
        <is>
          <t>선크림</t>
        </is>
      </c>
      <c r="F7137" s="5" t="inlineStr">
        <is>
          <t>카페24</t>
        </is>
      </c>
      <c r="G7137" s="94" t="inlineStr">
        <is>
          <t>선크림 50ml</t>
        </is>
      </c>
      <c r="H7137" s="7" t="n">
        <v>190801</v>
      </c>
      <c r="I7137" s="7" t="n">
        <v>190801</v>
      </c>
      <c r="K7137" s="94" t="n">
        <v>2</v>
      </c>
      <c r="L7137" s="7" t="n">
        <v>190801</v>
      </c>
      <c r="M7137" s="94">
        <f>VLOOKUP($Q7137,매칭테이블!$F:$I,2,0)*K7137</f>
        <v/>
      </c>
      <c r="N7137" s="94">
        <f>M7137-M7137*VLOOKUP($Q7137,매칭테이블!$F:$I,3,0)</f>
        <v/>
      </c>
      <c r="O7137" s="94">
        <f>VLOOKUP($Q7137,매칭테이블!$F:$I,4,0)*K7137</f>
        <v/>
      </c>
      <c r="P7137" s="148">
        <f>M7137/1.1</f>
        <v/>
      </c>
      <c r="Q7137" s="94">
        <f>F7137&amp;E7137&amp;G7137&amp;L7137</f>
        <v/>
      </c>
    </row>
    <row r="7138" customFormat="1" s="94">
      <c r="B7138" s="128" t="n">
        <v>44006</v>
      </c>
      <c r="C7138" s="94">
        <f>TEXT(B7138,"aaa")</f>
        <v/>
      </c>
      <c r="E7138" s="94" t="inlineStr">
        <is>
          <t>클렌징폼</t>
        </is>
      </c>
      <c r="F7138" s="5" t="inlineStr">
        <is>
          <t>카페24</t>
        </is>
      </c>
      <c r="G7138" s="94" t="inlineStr">
        <is>
          <t>클렌징폼 120ml(선크림할인)</t>
        </is>
      </c>
      <c r="H7138" s="7" t="n">
        <v>190801</v>
      </c>
      <c r="I7138" s="7" t="n">
        <v>190801</v>
      </c>
      <c r="K7138" s="94" t="n">
        <v>1</v>
      </c>
      <c r="L7138" s="7" t="n">
        <v>190801</v>
      </c>
      <c r="M7138" s="94">
        <f>VLOOKUP($Q7138,매칭테이블!$F:$I,2,0)*K7138</f>
        <v/>
      </c>
      <c r="N7138" s="94">
        <f>M7138-M7138*VLOOKUP($Q7138,매칭테이블!$F:$I,3,0)</f>
        <v/>
      </c>
      <c r="O7138" s="94">
        <f>VLOOKUP($Q7138,매칭테이블!$F:$I,4,0)*K7138</f>
        <v/>
      </c>
      <c r="P7138" s="148">
        <f>M7138/1.1</f>
        <v/>
      </c>
      <c r="Q7138" s="94">
        <f>F7138&amp;E7138&amp;G7138&amp;L7138</f>
        <v/>
      </c>
    </row>
    <row r="7139" customFormat="1" s="94">
      <c r="B7139" s="128" t="n">
        <v>44006</v>
      </c>
      <c r="C7139" s="94">
        <f>TEXT(B7139,"aaa")</f>
        <v/>
      </c>
      <c r="E7139" s="94" t="inlineStr">
        <is>
          <t>여름 한정 진정세트</t>
        </is>
      </c>
      <c r="F7139" s="5" t="inlineStr">
        <is>
          <t>카페24</t>
        </is>
      </c>
      <c r="G7139" s="94" t="inlineStr">
        <is>
          <t>여름 한정 진정세트</t>
        </is>
      </c>
      <c r="H7139" s="7" t="n">
        <v>190801</v>
      </c>
      <c r="I7139" s="7" t="n">
        <v>190801</v>
      </c>
      <c r="K7139" s="94" t="n">
        <v>3</v>
      </c>
      <c r="L7139" s="7" t="n">
        <v>190801</v>
      </c>
      <c r="M7139" s="94">
        <f>VLOOKUP($Q7139,매칭테이블!$F:$I,2,0)*K7139</f>
        <v/>
      </c>
      <c r="N7139" s="94">
        <f>M7139-M7139*VLOOKUP($Q7139,매칭테이블!$F:$I,3,0)</f>
        <v/>
      </c>
      <c r="O7139" s="94">
        <f>VLOOKUP($Q7139,매칭테이블!$F:$I,4,0)*K7139</f>
        <v/>
      </c>
      <c r="P7139" s="148">
        <f>M7139/1.1</f>
        <v/>
      </c>
      <c r="Q7139" s="94">
        <f>F7139&amp;E7139&amp;G7139&amp;L7139</f>
        <v/>
      </c>
    </row>
    <row r="7140" customFormat="1" s="94">
      <c r="B7140" s="128" t="n">
        <v>44006</v>
      </c>
      <c r="C7140" s="94">
        <f>TEXT(B7140,"aaa")</f>
        <v/>
      </c>
      <c r="E7140" s="94" t="inlineStr">
        <is>
          <t>여름 한정 진정세트</t>
        </is>
      </c>
      <c r="F7140" s="5" t="inlineStr">
        <is>
          <t>카페24</t>
        </is>
      </c>
      <c r="G7140" s="94" t="inlineStr">
        <is>
          <t>여름 한정 진정세트 (대용량)</t>
        </is>
      </c>
      <c r="H7140" s="7" t="n">
        <v>190801</v>
      </c>
      <c r="I7140" s="7" t="n">
        <v>190801</v>
      </c>
      <c r="K7140" s="94" t="n">
        <v>2</v>
      </c>
      <c r="L7140" s="7" t="n">
        <v>190801</v>
      </c>
      <c r="M7140" s="94">
        <f>VLOOKUP($Q7140,매칭테이블!$F:$I,2,0)*K7140</f>
        <v/>
      </c>
      <c r="N7140" s="94">
        <f>M7140-M7140*VLOOKUP($Q7140,매칭테이블!$F:$I,3,0)</f>
        <v/>
      </c>
      <c r="O7140" s="94">
        <f>VLOOKUP($Q7140,매칭테이블!$F:$I,4,0)*K7140</f>
        <v/>
      </c>
      <c r="P7140" s="148">
        <f>M7140/1.1</f>
        <v/>
      </c>
      <c r="Q7140" s="94">
        <f>F7140&amp;E7140&amp;G7140&amp;L7140</f>
        <v/>
      </c>
    </row>
    <row r="7141" customFormat="1" s="94">
      <c r="B7141" s="128" t="n">
        <v>44006</v>
      </c>
      <c r="C7141" s="94">
        <f>TEXT(B7141,"aaa")</f>
        <v/>
      </c>
      <c r="E7141" s="94" t="inlineStr">
        <is>
          <t>어성초진정패키지</t>
        </is>
      </c>
      <c r="F7141" s="5" t="inlineStr">
        <is>
          <t>카페24</t>
        </is>
      </c>
      <c r="G7141" s="94" t="inlineStr">
        <is>
          <t>어성초 진정패키지세트</t>
        </is>
      </c>
      <c r="H7141" s="7" t="n">
        <v>190801</v>
      </c>
      <c r="I7141" s="7" t="n">
        <v>190801</v>
      </c>
      <c r="K7141" s="94" t="n">
        <v>6</v>
      </c>
      <c r="L7141" s="7" t="n">
        <v>190801</v>
      </c>
      <c r="M7141" s="94">
        <f>VLOOKUP($Q7141,매칭테이블!$F:$I,2,0)*K7141</f>
        <v/>
      </c>
      <c r="N7141" s="94">
        <f>M7141-M7141*VLOOKUP($Q7141,매칭테이블!$F:$I,3,0)</f>
        <v/>
      </c>
      <c r="O7141" s="94">
        <f>VLOOKUP($Q7141,매칭테이블!$F:$I,4,0)*K7141</f>
        <v/>
      </c>
      <c r="P7141" s="148">
        <f>M7141/1.1</f>
        <v/>
      </c>
      <c r="Q7141" s="94">
        <f>F7141&amp;E7141&amp;G7141&amp;L7141</f>
        <v/>
      </c>
    </row>
    <row r="7142" customFormat="1" s="94">
      <c r="B7142" s="128" t="n">
        <v>44006</v>
      </c>
      <c r="C7142" s="94">
        <f>TEXT(B7142,"aaa")</f>
        <v/>
      </c>
      <c r="E7142" s="94" t="inlineStr">
        <is>
          <t>머드크림마스크</t>
        </is>
      </c>
      <c r="F7142" s="5" t="inlineStr">
        <is>
          <t>카페24</t>
        </is>
      </c>
      <c r="G7142" s="94" t="inlineStr">
        <is>
          <t>머드크림마스크 100ml</t>
        </is>
      </c>
      <c r="H7142" s="7" t="n">
        <v>190801</v>
      </c>
      <c r="I7142" s="7" t="n">
        <v>190801</v>
      </c>
      <c r="K7142" s="94" t="n">
        <v>1</v>
      </c>
      <c r="L7142" s="7" t="n">
        <v>190801</v>
      </c>
      <c r="M7142" s="94">
        <f>VLOOKUP($Q7142,매칭테이블!$F:$I,2,0)*K7142</f>
        <v/>
      </c>
      <c r="N7142" s="94">
        <f>M7142-M7142*VLOOKUP($Q7142,매칭테이블!$F:$I,3,0)</f>
        <v/>
      </c>
      <c r="O7142" s="94">
        <f>VLOOKUP($Q7142,매칭테이블!$F:$I,4,0)*K7142</f>
        <v/>
      </c>
      <c r="P7142" s="148">
        <f>M7142/1.1</f>
        <v/>
      </c>
      <c r="Q7142" s="94">
        <f>F7142&amp;E7142&amp;G7142&amp;L7142</f>
        <v/>
      </c>
    </row>
    <row r="7143" customFormat="1" s="94">
      <c r="B7143" s="128" t="n">
        <v>44006</v>
      </c>
      <c r="C7143" s="94">
        <f>TEXT(B7143,"aaa")</f>
        <v/>
      </c>
      <c r="E7143" s="94" t="inlineStr">
        <is>
          <t>마스크팩</t>
        </is>
      </c>
      <c r="F7143" s="5" t="inlineStr">
        <is>
          <t>카페24</t>
        </is>
      </c>
      <c r="G7143" s="94" t="inlineStr">
        <is>
          <t>마스크팩 1매</t>
        </is>
      </c>
      <c r="H7143" s="7" t="n">
        <v>190801</v>
      </c>
      <c r="I7143" s="7" t="n">
        <v>190801</v>
      </c>
      <c r="K7143" s="94" t="n">
        <v>3</v>
      </c>
      <c r="L7143" s="7" t="n">
        <v>190801</v>
      </c>
      <c r="M7143" s="94">
        <f>VLOOKUP($Q7143,매칭테이블!$F:$I,2,0)*K7143</f>
        <v/>
      </c>
      <c r="N7143" s="94">
        <f>M7143-M7143*VLOOKUP($Q7143,매칭테이블!$F:$I,3,0)</f>
        <v/>
      </c>
      <c r="O7143" s="94">
        <f>VLOOKUP($Q7143,매칭테이블!$F:$I,4,0)*K7143</f>
        <v/>
      </c>
      <c r="P7143" s="148">
        <f>M7143/1.1</f>
        <v/>
      </c>
      <c r="Q7143" s="94">
        <f>F7143&amp;E7143&amp;G7143&amp;L7143</f>
        <v/>
      </c>
    </row>
    <row r="7144" customFormat="1" s="94">
      <c r="B7144" s="128" t="n">
        <v>44006</v>
      </c>
      <c r="C7144" s="94">
        <f>TEXT(B7144,"aaa")</f>
        <v/>
      </c>
      <c r="E7144" s="94" t="inlineStr">
        <is>
          <t>마스크팩</t>
        </is>
      </c>
      <c r="F7144" s="5" t="inlineStr">
        <is>
          <t>카페24</t>
        </is>
      </c>
      <c r="G7144" s="94" t="inlineStr">
        <is>
          <t>마스크팩 10매</t>
        </is>
      </c>
      <c r="H7144" s="7" t="n">
        <v>190801</v>
      </c>
      <c r="I7144" s="7" t="n">
        <v>190801</v>
      </c>
      <c r="K7144" s="94" t="n">
        <v>1</v>
      </c>
      <c r="L7144" s="7" t="n">
        <v>190801</v>
      </c>
      <c r="M7144" s="94">
        <f>VLOOKUP($Q7144,매칭테이블!$F:$I,2,0)*K7144</f>
        <v/>
      </c>
      <c r="N7144" s="94">
        <f>M7144-M7144*VLOOKUP($Q7144,매칭테이블!$F:$I,3,0)</f>
        <v/>
      </c>
      <c r="O7144" s="94">
        <f>VLOOKUP($Q7144,매칭테이블!$F:$I,4,0)*K7144</f>
        <v/>
      </c>
      <c r="P7144" s="148">
        <f>M7144/1.1</f>
        <v/>
      </c>
      <c r="Q7144" s="94">
        <f>F7144&amp;E7144&amp;G7144&amp;L7144</f>
        <v/>
      </c>
    </row>
    <row r="7145" customFormat="1" s="94">
      <c r="B7145" s="128" t="n">
        <v>44006</v>
      </c>
      <c r="C7145" s="94">
        <f>TEXT(B7145,"aaa")</f>
        <v/>
      </c>
      <c r="E7145" s="94" t="inlineStr">
        <is>
          <t>토너</t>
        </is>
      </c>
      <c r="F7145" s="5" t="inlineStr">
        <is>
          <t>카페24</t>
        </is>
      </c>
      <c r="G7145" s="94" t="inlineStr">
        <is>
          <t>250ml</t>
        </is>
      </c>
      <c r="H7145" s="7" t="n">
        <v>190801</v>
      </c>
      <c r="I7145" s="7" t="n">
        <v>190801</v>
      </c>
      <c r="K7145" s="94" t="n">
        <v>49</v>
      </c>
      <c r="L7145" s="7" t="n">
        <v>190801</v>
      </c>
      <c r="M7145" s="94">
        <f>VLOOKUP($Q7145,매칭테이블!$F:$I,2,0)*K7145</f>
        <v/>
      </c>
      <c r="N7145" s="94">
        <f>M7145-M7145*VLOOKUP($Q7145,매칭테이블!$F:$I,3,0)</f>
        <v/>
      </c>
      <c r="O7145" s="94">
        <f>VLOOKUP($Q7145,매칭테이블!$F:$I,4,0)*K7145</f>
        <v/>
      </c>
      <c r="P7145" s="148">
        <f>M7145/1.1</f>
        <v/>
      </c>
      <c r="Q7145" s="94">
        <f>F7145&amp;E7145&amp;G7145&amp;L7145</f>
        <v/>
      </c>
    </row>
    <row r="7146" customFormat="1" s="94">
      <c r="B7146" s="128" t="n">
        <v>44006</v>
      </c>
      <c r="C7146" s="94">
        <f>TEXT(B7146,"aaa")</f>
        <v/>
      </c>
      <c r="E7146" s="94" t="inlineStr">
        <is>
          <t>토너</t>
        </is>
      </c>
      <c r="F7146" s="5" t="inlineStr">
        <is>
          <t>카페24</t>
        </is>
      </c>
      <c r="G7146" s="94" t="inlineStr">
        <is>
          <t>250ml 2set</t>
        </is>
      </c>
      <c r="H7146" s="7" t="n">
        <v>190801</v>
      </c>
      <c r="I7146" s="7" t="n">
        <v>190801</v>
      </c>
      <c r="K7146" s="94" t="n">
        <v>37</v>
      </c>
      <c r="L7146" s="7" t="n">
        <v>190801</v>
      </c>
      <c r="M7146" s="94">
        <f>VLOOKUP($Q7146,매칭테이블!$F:$I,2,0)*K7146</f>
        <v/>
      </c>
      <c r="N7146" s="94">
        <f>M7146-M7146*VLOOKUP($Q7146,매칭테이블!$F:$I,3,0)</f>
        <v/>
      </c>
      <c r="O7146" s="94">
        <f>VLOOKUP($Q7146,매칭테이블!$F:$I,4,0)*K7146</f>
        <v/>
      </c>
      <c r="P7146" s="148">
        <f>M7146/1.1</f>
        <v/>
      </c>
      <c r="Q7146" s="94">
        <f>F7146&amp;E7146&amp;G7146&amp;L7146</f>
        <v/>
      </c>
    </row>
    <row r="7147" customFormat="1" s="94">
      <c r="B7147" s="128" t="n">
        <v>44006</v>
      </c>
      <c r="C7147" s="94">
        <f>TEXT(B7147,"aaa")</f>
        <v/>
      </c>
      <c r="E7147" s="94" t="inlineStr">
        <is>
          <t>토너</t>
        </is>
      </c>
      <c r="F7147" s="5" t="inlineStr">
        <is>
          <t>카페24</t>
        </is>
      </c>
      <c r="G7147" s="94" t="inlineStr">
        <is>
          <t>500ml</t>
        </is>
      </c>
      <c r="H7147" s="7" t="n">
        <v>190801</v>
      </c>
      <c r="I7147" s="7" t="n">
        <v>190801</v>
      </c>
      <c r="K7147" s="94" t="n">
        <v>61</v>
      </c>
      <c r="L7147" s="7" t="n">
        <v>190801</v>
      </c>
      <c r="M7147" s="94">
        <f>VLOOKUP($Q7147,매칭테이블!$F:$I,2,0)*K7147</f>
        <v/>
      </c>
      <c r="N7147" s="94">
        <f>M7147-M7147*VLOOKUP($Q7147,매칭테이블!$F:$I,3,0)</f>
        <v/>
      </c>
      <c r="O7147" s="94">
        <f>VLOOKUP($Q7147,매칭테이블!$F:$I,4,0)*K7147</f>
        <v/>
      </c>
      <c r="P7147" s="148">
        <f>M7147/1.1</f>
        <v/>
      </c>
      <c r="Q7147" s="94">
        <f>F7147&amp;E7147&amp;G7147&amp;L7147</f>
        <v/>
      </c>
    </row>
    <row r="7148" customFormat="1" s="94">
      <c r="B7148" s="128" t="n">
        <v>44006</v>
      </c>
      <c r="C7148" s="94">
        <f>TEXT(B7148,"aaa")</f>
        <v/>
      </c>
      <c r="E7148" s="94" t="inlineStr">
        <is>
          <t>토너</t>
        </is>
      </c>
      <c r="F7148" s="5" t="inlineStr">
        <is>
          <t>카페24</t>
        </is>
      </c>
      <c r="G7148" s="94" t="inlineStr">
        <is>
          <t>스킨팩 화장솜 60P</t>
        </is>
      </c>
      <c r="H7148" s="7" t="n">
        <v>190801</v>
      </c>
      <c r="I7148" s="7" t="n">
        <v>190801</v>
      </c>
      <c r="K7148" s="94" t="n">
        <v>44</v>
      </c>
      <c r="L7148" s="7" t="n">
        <v>190801</v>
      </c>
      <c r="M7148" s="94">
        <f>VLOOKUP($Q7148,매칭테이블!$F:$I,2,0)*K7148</f>
        <v/>
      </c>
      <c r="N7148" s="94">
        <f>M7148-M7148*VLOOKUP($Q7148,매칭테이블!$F:$I,3,0)</f>
        <v/>
      </c>
      <c r="O7148" s="94">
        <f>VLOOKUP($Q7148,매칭테이블!$F:$I,4,0)*K7148</f>
        <v/>
      </c>
      <c r="P7148" s="148">
        <f>M7148/1.1</f>
        <v/>
      </c>
      <c r="Q7148" s="94">
        <f>F7148&amp;E7148&amp;G7148&amp;L7148</f>
        <v/>
      </c>
    </row>
    <row r="7149" customFormat="1" s="94">
      <c r="B7149" s="128" t="n">
        <v>44006</v>
      </c>
      <c r="C7149" s="94">
        <f>TEXT(B7149,"aaa")</f>
        <v/>
      </c>
      <c r="E7149" s="94" t="inlineStr">
        <is>
          <t>앰플</t>
        </is>
      </c>
      <c r="F7149" s="5" t="inlineStr">
        <is>
          <t>카페24</t>
        </is>
      </c>
      <c r="G7149" s="94" t="inlineStr">
        <is>
          <t>앰플 30ml</t>
        </is>
      </c>
      <c r="H7149" s="7" t="n">
        <v>190801</v>
      </c>
      <c r="I7149" s="7" t="n">
        <v>190801</v>
      </c>
      <c r="K7149" s="94" t="n">
        <v>18</v>
      </c>
      <c r="L7149" s="7" t="n">
        <v>190801</v>
      </c>
      <c r="M7149" s="94">
        <f>VLOOKUP($Q7149,매칭테이블!$F:$I,2,0)*K7149</f>
        <v/>
      </c>
      <c r="N7149" s="94">
        <f>M7149-M7149*VLOOKUP($Q7149,매칭테이블!$F:$I,3,0)</f>
        <v/>
      </c>
      <c r="O7149" s="94">
        <f>VLOOKUP($Q7149,매칭테이블!$F:$I,4,0)*K7149</f>
        <v/>
      </c>
      <c r="P7149" s="148">
        <f>M7149/1.1</f>
        <v/>
      </c>
      <c r="Q7149" s="94">
        <f>F7149&amp;E7149&amp;G7149&amp;L7149</f>
        <v/>
      </c>
    </row>
    <row r="7150" customFormat="1" s="94">
      <c r="B7150" s="128" t="n">
        <v>44006</v>
      </c>
      <c r="C7150" s="94">
        <f>TEXT(B7150,"aaa")</f>
        <v/>
      </c>
      <c r="E7150" s="94" t="inlineStr">
        <is>
          <t>수딩크림</t>
        </is>
      </c>
      <c r="F7150" s="5" t="inlineStr">
        <is>
          <t>카페24</t>
        </is>
      </c>
      <c r="G7150" s="94" t="inlineStr">
        <is>
          <t>수딩크림 100ml</t>
        </is>
      </c>
      <c r="H7150" s="7" t="n">
        <v>190801</v>
      </c>
      <c r="I7150" s="7" t="n">
        <v>190801</v>
      </c>
      <c r="K7150" s="94" t="n">
        <v>4</v>
      </c>
      <c r="L7150" s="7" t="n">
        <v>190801</v>
      </c>
      <c r="M7150" s="94">
        <f>VLOOKUP($Q7150,매칭테이블!$F:$I,2,0)*K7150</f>
        <v/>
      </c>
      <c r="N7150" s="94">
        <f>M7150-M7150*VLOOKUP($Q7150,매칭테이블!$F:$I,3,0)</f>
        <v/>
      </c>
      <c r="O7150" s="94">
        <f>VLOOKUP($Q7150,매칭테이블!$F:$I,4,0)*K7150</f>
        <v/>
      </c>
      <c r="P7150" s="148">
        <f>M7150/1.1</f>
        <v/>
      </c>
      <c r="Q7150" s="94">
        <f>F7150&amp;E7150&amp;G7150&amp;L7150</f>
        <v/>
      </c>
    </row>
    <row r="7151" customFormat="1" s="94">
      <c r="B7151" s="128" t="n">
        <v>44006</v>
      </c>
      <c r="C7151" s="94">
        <f>TEXT(B7151,"aaa")</f>
        <v/>
      </c>
      <c r="E7151" s="94" t="inlineStr">
        <is>
          <t>클렌징폼</t>
        </is>
      </c>
      <c r="F7151" s="5" t="inlineStr">
        <is>
          <t>카페24</t>
        </is>
      </c>
      <c r="G7151" s="94" t="inlineStr">
        <is>
          <t>클렌징폼 120ml</t>
        </is>
      </c>
      <c r="H7151" s="7" t="n">
        <v>190801</v>
      </c>
      <c r="I7151" s="7" t="n">
        <v>190801</v>
      </c>
      <c r="K7151" s="94" t="n">
        <v>7</v>
      </c>
      <c r="L7151" s="7" t="n">
        <v>190801</v>
      </c>
      <c r="M7151" s="94">
        <f>VLOOKUP($Q7151,매칭테이블!$F:$I,2,0)*K7151</f>
        <v/>
      </c>
      <c r="N7151" s="94">
        <f>M7151-M7151*VLOOKUP($Q7151,매칭테이블!$F:$I,3,0)</f>
        <v/>
      </c>
      <c r="O7151" s="94">
        <f>VLOOKUP($Q7151,매칭테이블!$F:$I,4,0)*K7151</f>
        <v/>
      </c>
      <c r="P7151" s="148">
        <f>M7151/1.1</f>
        <v/>
      </c>
      <c r="Q7151" s="94">
        <f>F7151&amp;E7151&amp;G7151&amp;L7151</f>
        <v/>
      </c>
    </row>
    <row r="7152" customFormat="1" s="94">
      <c r="B7152" s="128" t="n">
        <v>44006</v>
      </c>
      <c r="C7152" s="94">
        <f>TEXT(B7152,"aaa")</f>
        <v/>
      </c>
      <c r="E7152" s="94" t="inlineStr">
        <is>
          <t>클렌징폼</t>
        </is>
      </c>
      <c r="F7152" s="5" t="inlineStr">
        <is>
          <t>카페24</t>
        </is>
      </c>
      <c r="G7152" s="94" t="inlineStr">
        <is>
          <t>클렌징폼 120ml 3set</t>
        </is>
      </c>
      <c r="H7152" s="7" t="n">
        <v>190801</v>
      </c>
      <c r="I7152" s="7" t="n">
        <v>190801</v>
      </c>
      <c r="K7152" s="94" t="n">
        <v>1</v>
      </c>
      <c r="L7152" s="7" t="n">
        <v>190801</v>
      </c>
      <c r="M7152" s="94">
        <f>VLOOKUP($Q7152,매칭테이블!$F:$I,2,0)*K7152</f>
        <v/>
      </c>
      <c r="N7152" s="94">
        <f>M7152-M7152*VLOOKUP($Q7152,매칭테이블!$F:$I,3,0)</f>
        <v/>
      </c>
      <c r="O7152" s="94">
        <f>VLOOKUP($Q7152,매칭테이블!$F:$I,4,0)*K7152</f>
        <v/>
      </c>
      <c r="P7152" s="148">
        <f>M7152/1.1</f>
        <v/>
      </c>
      <c r="Q7152" s="94">
        <f>F7152&amp;E7152&amp;G7152&amp;L7152</f>
        <v/>
      </c>
    </row>
    <row r="7153" customFormat="1" s="94">
      <c r="B7153" s="128" t="n">
        <v>44006</v>
      </c>
      <c r="C7153" s="94">
        <f>TEXT(B7153,"aaa")</f>
        <v/>
      </c>
      <c r="E7153" s="94" t="inlineStr">
        <is>
          <t>토너</t>
        </is>
      </c>
      <c r="F7153" s="5" t="inlineStr">
        <is>
          <t>큐텐</t>
        </is>
      </c>
      <c r="G7153" s="94" t="inlineStr">
        <is>
          <t>250ml</t>
        </is>
      </c>
      <c r="H7153" s="7" t="n">
        <v>190801</v>
      </c>
      <c r="I7153" s="7" t="n">
        <v>190801</v>
      </c>
      <c r="K7153" s="94" t="n">
        <v>8</v>
      </c>
      <c r="L7153" s="7" t="n">
        <v>190801</v>
      </c>
      <c r="M7153" s="94">
        <f>VLOOKUP($Q7153,매칭테이블!$F:$I,2,0)*K7153</f>
        <v/>
      </c>
      <c r="N7153" s="94">
        <f>M7153-M7153*VLOOKUP($Q7153,매칭테이블!$F:$I,3,0)</f>
        <v/>
      </c>
      <c r="O7153" s="94">
        <f>VLOOKUP($Q7153,매칭테이블!$F:$I,4,0)*K7153</f>
        <v/>
      </c>
      <c r="P7153" s="148">
        <f>M7153/1.1</f>
        <v/>
      </c>
      <c r="Q7153" s="94">
        <f>F7153&amp;E7153&amp;G7153&amp;L7153</f>
        <v/>
      </c>
    </row>
    <row r="7154" customFormat="1" s="94">
      <c r="B7154" s="128" t="n">
        <v>44006</v>
      </c>
      <c r="C7154" s="94">
        <f>TEXT(B7154,"aaa")</f>
        <v/>
      </c>
      <c r="E7154" s="94" t="inlineStr">
        <is>
          <t>토너</t>
        </is>
      </c>
      <c r="F7154" s="5" t="inlineStr">
        <is>
          <t>큐텐</t>
        </is>
      </c>
      <c r="G7154" s="94" t="inlineStr">
        <is>
          <t>250ml 2set</t>
        </is>
      </c>
      <c r="H7154" s="7" t="n">
        <v>190801</v>
      </c>
      <c r="I7154" s="7" t="n">
        <v>190801</v>
      </c>
      <c r="K7154" s="94" t="n">
        <v>4</v>
      </c>
      <c r="L7154" s="7" t="n">
        <v>190801</v>
      </c>
      <c r="M7154" s="94">
        <f>VLOOKUP($Q7154,매칭테이블!$F:$I,2,0)*K7154</f>
        <v/>
      </c>
      <c r="N7154" s="94">
        <f>M7154-M7154*VLOOKUP($Q7154,매칭테이블!$F:$I,3,0)</f>
        <v/>
      </c>
      <c r="O7154" s="94">
        <f>VLOOKUP($Q7154,매칭테이블!$F:$I,4,0)*K7154</f>
        <v/>
      </c>
      <c r="P7154" s="148">
        <f>M7154/1.1</f>
        <v/>
      </c>
      <c r="Q7154" s="94">
        <f>F7154&amp;E7154&amp;G7154&amp;L7154</f>
        <v/>
      </c>
    </row>
    <row r="7155" customFormat="1" s="94">
      <c r="B7155" s="128" t="n">
        <v>44006</v>
      </c>
      <c r="C7155" s="94">
        <f>TEXT(B7155,"aaa")</f>
        <v/>
      </c>
      <c r="E7155" s="94" t="inlineStr">
        <is>
          <t>앰플</t>
        </is>
      </c>
      <c r="F7155" s="5" t="inlineStr">
        <is>
          <t>큐텐</t>
        </is>
      </c>
      <c r="G7155" s="94" t="inlineStr">
        <is>
          <t>앰플 30ml</t>
        </is>
      </c>
      <c r="H7155" s="7" t="n">
        <v>190801</v>
      </c>
      <c r="I7155" s="7" t="n">
        <v>190801</v>
      </c>
      <c r="K7155" s="94" t="n">
        <v>3</v>
      </c>
      <c r="L7155" s="7" t="n">
        <v>190801</v>
      </c>
      <c r="M7155" s="94">
        <f>VLOOKUP($Q7155,매칭테이블!$F:$I,2,0)*K7155</f>
        <v/>
      </c>
      <c r="N7155" s="94">
        <f>M7155-M7155*VLOOKUP($Q7155,매칭테이블!$F:$I,3,0)</f>
        <v/>
      </c>
      <c r="O7155" s="94">
        <f>VLOOKUP($Q7155,매칭테이블!$F:$I,4,0)*K7155</f>
        <v/>
      </c>
      <c r="P7155" s="148">
        <f>M7155/1.1</f>
        <v/>
      </c>
      <c r="Q7155" s="94">
        <f>F7155&amp;E7155&amp;G7155&amp;L7155</f>
        <v/>
      </c>
    </row>
    <row r="7156" customFormat="1" s="94">
      <c r="B7156" s="128" t="n">
        <v>44006</v>
      </c>
      <c r="C7156" s="94">
        <f>TEXT(B7156,"aaa")</f>
        <v/>
      </c>
      <c r="E7156" s="94" t="inlineStr">
        <is>
          <t>토너</t>
        </is>
      </c>
      <c r="F7156" s="5" t="inlineStr">
        <is>
          <t>화해</t>
        </is>
      </c>
      <c r="G7156" s="94" t="inlineStr">
        <is>
          <t>250ml</t>
        </is>
      </c>
      <c r="H7156" s="7" t="n">
        <v>190801</v>
      </c>
      <c r="I7156" s="7" t="n">
        <v>190801</v>
      </c>
      <c r="K7156" s="94" t="n">
        <v>1</v>
      </c>
      <c r="L7156" s="7" t="n">
        <v>190801</v>
      </c>
      <c r="M7156" s="94">
        <f>VLOOKUP($Q7156,매칭테이블!$F:$I,2,0)*K7156</f>
        <v/>
      </c>
      <c r="N7156" s="94">
        <f>M7156-M7156*VLOOKUP($Q7156,매칭테이블!$F:$I,3,0)</f>
        <v/>
      </c>
      <c r="O7156" s="94">
        <f>VLOOKUP($Q7156,매칭테이블!$F:$I,4,0)*K7156</f>
        <v/>
      </c>
      <c r="P7156" s="148">
        <f>M7156/1.1</f>
        <v/>
      </c>
      <c r="Q7156" s="94">
        <f>F7156&amp;E7156&amp;G7156&amp;L7156</f>
        <v/>
      </c>
    </row>
    <row r="7157" customFormat="1" s="94">
      <c r="B7157" s="128" t="n">
        <v>44007</v>
      </c>
      <c r="C7157" s="94">
        <f>TEXT(B7157,"aaa")</f>
        <v/>
      </c>
      <c r="E7157" s="94" t="inlineStr">
        <is>
          <t>토너</t>
        </is>
      </c>
      <c r="F7157" s="5" t="inlineStr">
        <is>
          <t>W컨셉</t>
        </is>
      </c>
      <c r="G7157" s="94" t="inlineStr">
        <is>
          <t>250ml</t>
        </is>
      </c>
      <c r="H7157" s="7" t="n">
        <v>190801</v>
      </c>
      <c r="I7157" s="7" t="n">
        <v>190801</v>
      </c>
      <c r="K7157" s="94" t="n">
        <v>2</v>
      </c>
      <c r="L7157" s="7" t="n">
        <v>190801</v>
      </c>
      <c r="M7157" s="94">
        <f>VLOOKUP($Q7157,매칭테이블!$F:$I,2,0)*K7157</f>
        <v/>
      </c>
      <c r="N7157" s="94">
        <f>M7157-M7157*VLOOKUP($Q7157,매칭테이블!$F:$I,3,0)</f>
        <v/>
      </c>
      <c r="O7157" s="94">
        <f>VLOOKUP($Q7157,매칭테이블!$F:$I,4,0)*K7157</f>
        <v/>
      </c>
      <c r="P7157" s="148">
        <f>M7157/1.1</f>
        <v/>
      </c>
      <c r="Q7157" s="94">
        <f>F7157&amp;E7157&amp;G7157&amp;L7157</f>
        <v/>
      </c>
    </row>
    <row r="7158" customFormat="1" s="94">
      <c r="B7158" s="128" t="n">
        <v>44007</v>
      </c>
      <c r="C7158" s="94">
        <f>TEXT(B7158,"aaa")</f>
        <v/>
      </c>
      <c r="E7158" s="94" t="inlineStr">
        <is>
          <t>토너</t>
        </is>
      </c>
      <c r="F7158" s="5" t="inlineStr">
        <is>
          <t>W컨셉</t>
        </is>
      </c>
      <c r="G7158" s="94" t="inlineStr">
        <is>
          <t>250ml 2set</t>
        </is>
      </c>
      <c r="H7158" s="7" t="n">
        <v>190801</v>
      </c>
      <c r="I7158" s="7" t="n">
        <v>190801</v>
      </c>
      <c r="K7158" s="94" t="n">
        <v>2</v>
      </c>
      <c r="L7158" s="7" t="n">
        <v>190801</v>
      </c>
      <c r="M7158" s="94">
        <f>VLOOKUP($Q7158,매칭테이블!$F:$I,2,0)*K7158</f>
        <v/>
      </c>
      <c r="N7158" s="94">
        <f>M7158-M7158*VLOOKUP($Q7158,매칭테이블!$F:$I,3,0)</f>
        <v/>
      </c>
      <c r="O7158" s="94">
        <f>VLOOKUP($Q7158,매칭테이블!$F:$I,4,0)*K7158</f>
        <v/>
      </c>
      <c r="P7158" s="148">
        <f>M7158/1.1</f>
        <v/>
      </c>
      <c r="Q7158" s="94">
        <f>F7158&amp;E7158&amp;G7158&amp;L7158</f>
        <v/>
      </c>
    </row>
    <row r="7159" customFormat="1" s="94">
      <c r="B7159" s="128" t="n">
        <v>44007</v>
      </c>
      <c r="C7159" s="94">
        <f>TEXT(B7159,"aaa")</f>
        <v/>
      </c>
      <c r="E7159" s="94" t="inlineStr">
        <is>
          <t>토너</t>
        </is>
      </c>
      <c r="F7159" s="5" t="inlineStr">
        <is>
          <t>스타일쉐어</t>
        </is>
      </c>
      <c r="G7159" s="94" t="inlineStr">
        <is>
          <t>250ml</t>
        </is>
      </c>
      <c r="H7159" s="7" t="n">
        <v>190801</v>
      </c>
      <c r="I7159" s="7" t="n">
        <v>190801</v>
      </c>
      <c r="K7159" s="94" t="n">
        <v>4</v>
      </c>
      <c r="L7159" s="7" t="n">
        <v>190801</v>
      </c>
      <c r="M7159" s="94">
        <f>VLOOKUP($Q7159,매칭테이블!$F:$I,2,0)*K7159</f>
        <v/>
      </c>
      <c r="N7159" s="94">
        <f>M7159-M7159*VLOOKUP($Q7159,매칭테이블!$F:$I,3,0)</f>
        <v/>
      </c>
      <c r="O7159" s="94">
        <f>VLOOKUP($Q7159,매칭테이블!$F:$I,4,0)*K7159</f>
        <v/>
      </c>
      <c r="P7159" s="148">
        <f>M7159/1.1</f>
        <v/>
      </c>
      <c r="Q7159" s="94">
        <f>F7159&amp;E7159&amp;G7159&amp;L7159</f>
        <v/>
      </c>
    </row>
    <row r="7160" customFormat="1" s="94">
      <c r="B7160" s="128" t="n">
        <v>44007</v>
      </c>
      <c r="C7160" s="94">
        <f>TEXT(B7160,"aaa")</f>
        <v/>
      </c>
      <c r="E7160" s="94" t="inlineStr">
        <is>
          <t>선크림</t>
        </is>
      </c>
      <c r="F7160" s="5" t="inlineStr">
        <is>
          <t>카페24</t>
        </is>
      </c>
      <c r="G7160" s="94" t="inlineStr">
        <is>
          <t>선크림 50ml</t>
        </is>
      </c>
      <c r="H7160" s="7" t="n">
        <v>190801</v>
      </c>
      <c r="I7160" s="7" t="n">
        <v>190801</v>
      </c>
      <c r="K7160" s="94" t="n">
        <v>5</v>
      </c>
      <c r="L7160" s="7" t="n">
        <v>190801</v>
      </c>
      <c r="M7160" s="94">
        <f>VLOOKUP($Q7160,매칭테이블!$F:$I,2,0)*K7160</f>
        <v/>
      </c>
      <c r="N7160" s="94">
        <f>M7160-M7160*VLOOKUP($Q7160,매칭테이블!$F:$I,3,0)</f>
        <v/>
      </c>
      <c r="O7160" s="94">
        <f>VLOOKUP($Q7160,매칭테이블!$F:$I,4,0)*K7160</f>
        <v/>
      </c>
      <c r="P7160" s="148">
        <f>M7160/1.1</f>
        <v/>
      </c>
      <c r="Q7160" s="94">
        <f>F7160&amp;E7160&amp;G7160&amp;L7160</f>
        <v/>
      </c>
    </row>
    <row r="7161" customFormat="1" s="94">
      <c r="B7161" s="128" t="n">
        <v>44007</v>
      </c>
      <c r="C7161" s="94">
        <f>TEXT(B7161,"aaa")</f>
        <v/>
      </c>
      <c r="E7161" s="94" t="inlineStr">
        <is>
          <t>선크림</t>
        </is>
      </c>
      <c r="F7161" s="5" t="inlineStr">
        <is>
          <t>카페24</t>
        </is>
      </c>
      <c r="G7161" s="94" t="inlineStr">
        <is>
          <t>선크림 50ml  2set</t>
        </is>
      </c>
      <c r="H7161" s="7" t="n">
        <v>190801</v>
      </c>
      <c r="I7161" s="7" t="n">
        <v>190801</v>
      </c>
      <c r="K7161" s="94" t="n">
        <v>1</v>
      </c>
      <c r="L7161" s="7" t="n">
        <v>190801</v>
      </c>
      <c r="M7161" s="94">
        <f>VLOOKUP($Q7161,매칭테이블!$F:$I,2,0)*K7161</f>
        <v/>
      </c>
      <c r="N7161" s="94">
        <f>M7161-M7161*VLOOKUP($Q7161,매칭테이블!$F:$I,3,0)</f>
        <v/>
      </c>
      <c r="O7161" s="94">
        <f>VLOOKUP($Q7161,매칭테이블!$F:$I,4,0)*K7161</f>
        <v/>
      </c>
      <c r="P7161" s="148">
        <f>M7161/1.1</f>
        <v/>
      </c>
      <c r="Q7161" s="94">
        <f>F7161&amp;E7161&amp;G7161&amp;L7161</f>
        <v/>
      </c>
    </row>
    <row r="7162" customFormat="1" s="94">
      <c r="B7162" s="128" t="n">
        <v>44007</v>
      </c>
      <c r="C7162" s="94">
        <f>TEXT(B7162,"aaa")</f>
        <v/>
      </c>
      <c r="E7162" s="94" t="inlineStr">
        <is>
          <t>클렌징폼</t>
        </is>
      </c>
      <c r="F7162" s="5" t="inlineStr">
        <is>
          <t>카페24</t>
        </is>
      </c>
      <c r="G7162" s="94" t="inlineStr">
        <is>
          <t>클렌징폼 120ml(선크림할인)</t>
        </is>
      </c>
      <c r="H7162" s="7" t="n">
        <v>190801</v>
      </c>
      <c r="I7162" s="7" t="n">
        <v>190801</v>
      </c>
      <c r="K7162" s="94" t="n">
        <v>2</v>
      </c>
      <c r="L7162" s="7" t="n">
        <v>190801</v>
      </c>
      <c r="M7162" s="94">
        <f>VLOOKUP($Q7162,매칭테이블!$F:$I,2,0)*K7162</f>
        <v/>
      </c>
      <c r="N7162" s="94">
        <f>M7162-M7162*VLOOKUP($Q7162,매칭테이블!$F:$I,3,0)</f>
        <v/>
      </c>
      <c r="O7162" s="94">
        <f>VLOOKUP($Q7162,매칭테이블!$F:$I,4,0)*K7162</f>
        <v/>
      </c>
      <c r="P7162" s="148">
        <f>M7162/1.1</f>
        <v/>
      </c>
      <c r="Q7162" s="94">
        <f>F7162&amp;E7162&amp;G7162&amp;L7162</f>
        <v/>
      </c>
    </row>
    <row r="7163" customFormat="1" s="94">
      <c r="B7163" s="128" t="n">
        <v>44007</v>
      </c>
      <c r="C7163" s="94">
        <f>TEXT(B7163,"aaa")</f>
        <v/>
      </c>
      <c r="E7163" s="94" t="inlineStr">
        <is>
          <t>여름 한정 진정세트</t>
        </is>
      </c>
      <c r="F7163" s="5" t="inlineStr">
        <is>
          <t>카페24</t>
        </is>
      </c>
      <c r="G7163" s="94" t="inlineStr">
        <is>
          <t>여름 한정 진정세트</t>
        </is>
      </c>
      <c r="H7163" s="7" t="n">
        <v>190801</v>
      </c>
      <c r="I7163" s="7" t="n">
        <v>190801</v>
      </c>
      <c r="K7163" s="94" t="n">
        <v>2</v>
      </c>
      <c r="L7163" s="7" t="n">
        <v>190801</v>
      </c>
      <c r="M7163" s="94">
        <f>VLOOKUP($Q7163,매칭테이블!$F:$I,2,0)*K7163</f>
        <v/>
      </c>
      <c r="N7163" s="94">
        <f>M7163-M7163*VLOOKUP($Q7163,매칭테이블!$F:$I,3,0)</f>
        <v/>
      </c>
      <c r="O7163" s="94">
        <f>VLOOKUP($Q7163,매칭테이블!$F:$I,4,0)*K7163</f>
        <v/>
      </c>
      <c r="P7163" s="148">
        <f>M7163/1.1</f>
        <v/>
      </c>
      <c r="Q7163" s="94">
        <f>F7163&amp;E7163&amp;G7163&amp;L7163</f>
        <v/>
      </c>
    </row>
    <row r="7164" customFormat="1" s="94">
      <c r="B7164" s="128" t="n">
        <v>44007</v>
      </c>
      <c r="C7164" s="94">
        <f>TEXT(B7164,"aaa")</f>
        <v/>
      </c>
      <c r="E7164" s="94" t="inlineStr">
        <is>
          <t>여름 한정 진정세트</t>
        </is>
      </c>
      <c r="F7164" s="5" t="inlineStr">
        <is>
          <t>카페24</t>
        </is>
      </c>
      <c r="G7164" s="94" t="inlineStr">
        <is>
          <t>여름 한정 진정세트 (대용량)</t>
        </is>
      </c>
      <c r="H7164" s="7" t="n">
        <v>190801</v>
      </c>
      <c r="I7164" s="7" t="n">
        <v>190801</v>
      </c>
      <c r="K7164" s="94" t="n">
        <v>4</v>
      </c>
      <c r="L7164" s="7" t="n">
        <v>190801</v>
      </c>
      <c r="M7164" s="94">
        <f>VLOOKUP($Q7164,매칭테이블!$F:$I,2,0)*K7164</f>
        <v/>
      </c>
      <c r="N7164" s="94">
        <f>M7164-M7164*VLOOKUP($Q7164,매칭테이블!$F:$I,3,0)</f>
        <v/>
      </c>
      <c r="O7164" s="94">
        <f>VLOOKUP($Q7164,매칭테이블!$F:$I,4,0)*K7164</f>
        <v/>
      </c>
      <c r="P7164" s="148">
        <f>M7164/1.1</f>
        <v/>
      </c>
      <c r="Q7164" s="94">
        <f>F7164&amp;E7164&amp;G7164&amp;L7164</f>
        <v/>
      </c>
    </row>
    <row r="7165" customFormat="1" s="94">
      <c r="B7165" s="128" t="n">
        <v>44007</v>
      </c>
      <c r="C7165" s="94">
        <f>TEXT(B7165,"aaa")</f>
        <v/>
      </c>
      <c r="E7165" s="94" t="inlineStr">
        <is>
          <t>어성초진정패키지</t>
        </is>
      </c>
      <c r="F7165" s="5" t="inlineStr">
        <is>
          <t>카페24</t>
        </is>
      </c>
      <c r="G7165" s="94" t="inlineStr">
        <is>
          <t>어성초 진정패키지세트</t>
        </is>
      </c>
      <c r="H7165" s="7" t="n">
        <v>190801</v>
      </c>
      <c r="I7165" s="7" t="n">
        <v>190801</v>
      </c>
      <c r="K7165" s="94" t="n">
        <v>12</v>
      </c>
      <c r="L7165" s="7" t="n">
        <v>190801</v>
      </c>
      <c r="M7165" s="94">
        <f>VLOOKUP($Q7165,매칭테이블!$F:$I,2,0)*K7165</f>
        <v/>
      </c>
      <c r="N7165" s="94">
        <f>M7165-M7165*VLOOKUP($Q7165,매칭테이블!$F:$I,3,0)</f>
        <v/>
      </c>
      <c r="O7165" s="94">
        <f>VLOOKUP($Q7165,매칭테이블!$F:$I,4,0)*K7165</f>
        <v/>
      </c>
      <c r="P7165" s="148">
        <f>M7165/1.1</f>
        <v/>
      </c>
      <c r="Q7165" s="94">
        <f>F7165&amp;E7165&amp;G7165&amp;L7165</f>
        <v/>
      </c>
    </row>
    <row r="7166" customFormat="1" s="94">
      <c r="B7166" s="128" t="n">
        <v>44007</v>
      </c>
      <c r="C7166" s="94">
        <f>TEXT(B7166,"aaa")</f>
        <v/>
      </c>
      <c r="E7166" s="94" t="inlineStr">
        <is>
          <t>머드크림마스크</t>
        </is>
      </c>
      <c r="F7166" s="5" t="inlineStr">
        <is>
          <t>카페24</t>
        </is>
      </c>
      <c r="G7166" s="94" t="inlineStr">
        <is>
          <t>머드크림마스크 100ml</t>
        </is>
      </c>
      <c r="H7166" s="7" t="n">
        <v>190801</v>
      </c>
      <c r="I7166" s="7" t="n">
        <v>190801</v>
      </c>
      <c r="K7166" s="94" t="n">
        <v>5</v>
      </c>
      <c r="L7166" s="7" t="n">
        <v>190801</v>
      </c>
      <c r="M7166" s="94">
        <f>VLOOKUP($Q7166,매칭테이블!$F:$I,2,0)*K7166</f>
        <v/>
      </c>
      <c r="N7166" s="94">
        <f>M7166-M7166*VLOOKUP($Q7166,매칭테이블!$F:$I,3,0)</f>
        <v/>
      </c>
      <c r="O7166" s="94">
        <f>VLOOKUP($Q7166,매칭테이블!$F:$I,4,0)*K7166</f>
        <v/>
      </c>
      <c r="P7166" s="148">
        <f>M7166/1.1</f>
        <v/>
      </c>
      <c r="Q7166" s="94">
        <f>F7166&amp;E7166&amp;G7166&amp;L7166</f>
        <v/>
      </c>
    </row>
    <row r="7167" customFormat="1" s="94">
      <c r="B7167" s="128" t="n">
        <v>44007</v>
      </c>
      <c r="C7167" s="94">
        <f>TEXT(B7167,"aaa")</f>
        <v/>
      </c>
      <c r="E7167" s="94" t="inlineStr">
        <is>
          <t>머드크림마스크</t>
        </is>
      </c>
      <c r="F7167" s="5" t="inlineStr">
        <is>
          <t>카페24</t>
        </is>
      </c>
      <c r="G7167" s="94" t="inlineStr">
        <is>
          <t>머드크림마스크 100ml 2set</t>
        </is>
      </c>
      <c r="H7167" s="7" t="n">
        <v>190801</v>
      </c>
      <c r="I7167" s="7" t="n">
        <v>190801</v>
      </c>
      <c r="K7167" s="94" t="n">
        <v>1</v>
      </c>
      <c r="L7167" s="7" t="n">
        <v>190801</v>
      </c>
      <c r="M7167" s="94">
        <f>VLOOKUP($Q7167,매칭테이블!$F:$I,2,0)*K7167</f>
        <v/>
      </c>
      <c r="N7167" s="94">
        <f>M7167-M7167*VLOOKUP($Q7167,매칭테이블!$F:$I,3,0)</f>
        <v/>
      </c>
      <c r="O7167" s="94">
        <f>VLOOKUP($Q7167,매칭테이블!$F:$I,4,0)*K7167</f>
        <v/>
      </c>
      <c r="P7167" s="148">
        <f>M7167/1.1</f>
        <v/>
      </c>
      <c r="Q7167" s="94">
        <f>F7167&amp;E7167&amp;G7167&amp;L7167</f>
        <v/>
      </c>
    </row>
    <row r="7168" customFormat="1" s="94">
      <c r="B7168" s="128" t="n">
        <v>44007</v>
      </c>
      <c r="C7168" s="94">
        <f>TEXT(B7168,"aaa")</f>
        <v/>
      </c>
      <c r="E7168" s="94" t="inlineStr">
        <is>
          <t>마스크팩</t>
        </is>
      </c>
      <c r="F7168" s="5" t="inlineStr">
        <is>
          <t>카페24</t>
        </is>
      </c>
      <c r="G7168" s="94" t="inlineStr">
        <is>
          <t>마스크팩 1매</t>
        </is>
      </c>
      <c r="H7168" s="7" t="n">
        <v>190801</v>
      </c>
      <c r="I7168" s="7" t="n">
        <v>190801</v>
      </c>
      <c r="K7168" s="94" t="n">
        <v>1</v>
      </c>
      <c r="L7168" s="7" t="n">
        <v>190801</v>
      </c>
      <c r="M7168" s="94">
        <f>VLOOKUP($Q7168,매칭테이블!$F:$I,2,0)*K7168</f>
        <v/>
      </c>
      <c r="N7168" s="94">
        <f>M7168-M7168*VLOOKUP($Q7168,매칭테이블!$F:$I,3,0)</f>
        <v/>
      </c>
      <c r="O7168" s="94">
        <f>VLOOKUP($Q7168,매칭테이블!$F:$I,4,0)*K7168</f>
        <v/>
      </c>
      <c r="P7168" s="148">
        <f>M7168/1.1</f>
        <v/>
      </c>
      <c r="Q7168" s="94">
        <f>F7168&amp;E7168&amp;G7168&amp;L7168</f>
        <v/>
      </c>
    </row>
    <row r="7169" customFormat="1" s="94">
      <c r="B7169" s="128" t="n">
        <v>44007</v>
      </c>
      <c r="C7169" s="94">
        <f>TEXT(B7169,"aaa")</f>
        <v/>
      </c>
      <c r="E7169" s="94" t="inlineStr">
        <is>
          <t>마스크팩</t>
        </is>
      </c>
      <c r="F7169" s="5" t="inlineStr">
        <is>
          <t>카페24</t>
        </is>
      </c>
      <c r="G7169" s="94" t="inlineStr">
        <is>
          <t>마스크팩 10매</t>
        </is>
      </c>
      <c r="H7169" s="7" t="n">
        <v>190801</v>
      </c>
      <c r="I7169" s="7" t="n">
        <v>190801</v>
      </c>
      <c r="K7169" s="94" t="n">
        <v>1</v>
      </c>
      <c r="L7169" s="7" t="n">
        <v>190801</v>
      </c>
      <c r="M7169" s="94">
        <f>VLOOKUP($Q7169,매칭테이블!$F:$I,2,0)*K7169</f>
        <v/>
      </c>
      <c r="N7169" s="94">
        <f>M7169-M7169*VLOOKUP($Q7169,매칭테이블!$F:$I,3,0)</f>
        <v/>
      </c>
      <c r="O7169" s="94">
        <f>VLOOKUP($Q7169,매칭테이블!$F:$I,4,0)*K7169</f>
        <v/>
      </c>
      <c r="P7169" s="148">
        <f>M7169/1.1</f>
        <v/>
      </c>
      <c r="Q7169" s="94">
        <f>F7169&amp;E7169&amp;G7169&amp;L7169</f>
        <v/>
      </c>
    </row>
    <row r="7170" customFormat="1" s="94">
      <c r="B7170" s="128" t="n">
        <v>44007</v>
      </c>
      <c r="C7170" s="94">
        <f>TEXT(B7170,"aaa")</f>
        <v/>
      </c>
      <c r="E7170" s="94" t="inlineStr">
        <is>
          <t>토너</t>
        </is>
      </c>
      <c r="F7170" s="5" t="inlineStr">
        <is>
          <t>카페24</t>
        </is>
      </c>
      <c r="G7170" s="94" t="inlineStr">
        <is>
          <t>250ml</t>
        </is>
      </c>
      <c r="H7170" s="7" t="n">
        <v>190801</v>
      </c>
      <c r="I7170" s="7" t="n">
        <v>190801</v>
      </c>
      <c r="K7170" s="94" t="n">
        <v>55</v>
      </c>
      <c r="L7170" s="7" t="n">
        <v>190801</v>
      </c>
      <c r="M7170" s="94">
        <f>VLOOKUP($Q7170,매칭테이블!$F:$I,2,0)*K7170</f>
        <v/>
      </c>
      <c r="N7170" s="94">
        <f>M7170-M7170*VLOOKUP($Q7170,매칭테이블!$F:$I,3,0)</f>
        <v/>
      </c>
      <c r="O7170" s="94">
        <f>VLOOKUP($Q7170,매칭테이블!$F:$I,4,0)*K7170</f>
        <v/>
      </c>
      <c r="P7170" s="148">
        <f>M7170/1.1</f>
        <v/>
      </c>
      <c r="Q7170" s="94">
        <f>F7170&amp;E7170&amp;G7170&amp;L7170</f>
        <v/>
      </c>
    </row>
    <row r="7171" customFormat="1" s="94">
      <c r="B7171" s="128" t="n">
        <v>44007</v>
      </c>
      <c r="C7171" s="94">
        <f>TEXT(B7171,"aaa")</f>
        <v/>
      </c>
      <c r="E7171" s="94" t="inlineStr">
        <is>
          <t>토너</t>
        </is>
      </c>
      <c r="F7171" s="5" t="inlineStr">
        <is>
          <t>카페24</t>
        </is>
      </c>
      <c r="G7171" s="94" t="inlineStr">
        <is>
          <t>250ml 2set</t>
        </is>
      </c>
      <c r="H7171" s="7" t="n">
        <v>190801</v>
      </c>
      <c r="I7171" s="7" t="n">
        <v>190801</v>
      </c>
      <c r="K7171" s="94" t="n">
        <v>234</v>
      </c>
      <c r="L7171" s="7" t="n">
        <v>190801</v>
      </c>
      <c r="M7171" s="94">
        <f>VLOOKUP($Q7171,매칭테이블!$F:$I,2,0)*K7171</f>
        <v/>
      </c>
      <c r="N7171" s="94">
        <f>M7171-M7171*VLOOKUP($Q7171,매칭테이블!$F:$I,3,0)</f>
        <v/>
      </c>
      <c r="O7171" s="94">
        <f>VLOOKUP($Q7171,매칭테이블!$F:$I,4,0)*K7171</f>
        <v/>
      </c>
      <c r="P7171" s="148">
        <f>M7171/1.1</f>
        <v/>
      </c>
      <c r="Q7171" s="94">
        <f>F7171&amp;E7171&amp;G7171&amp;L7171</f>
        <v/>
      </c>
    </row>
    <row r="7172" customFormat="1" s="94">
      <c r="B7172" s="128" t="n">
        <v>44007</v>
      </c>
      <c r="C7172" s="94">
        <f>TEXT(B7172,"aaa")</f>
        <v/>
      </c>
      <c r="E7172" s="94" t="inlineStr">
        <is>
          <t>토너</t>
        </is>
      </c>
      <c r="F7172" s="5" t="inlineStr">
        <is>
          <t>카페24</t>
        </is>
      </c>
      <c r="G7172" s="94" t="inlineStr">
        <is>
          <t>500ml</t>
        </is>
      </c>
      <c r="H7172" s="7" t="n">
        <v>190801</v>
      </c>
      <c r="I7172" s="7" t="n">
        <v>190801</v>
      </c>
      <c r="K7172" s="94" t="n">
        <v>58</v>
      </c>
      <c r="L7172" s="7" t="n">
        <v>190801</v>
      </c>
      <c r="M7172" s="94">
        <f>VLOOKUP($Q7172,매칭테이블!$F:$I,2,0)*K7172</f>
        <v/>
      </c>
      <c r="N7172" s="94">
        <f>M7172-M7172*VLOOKUP($Q7172,매칭테이블!$F:$I,3,0)</f>
        <v/>
      </c>
      <c r="O7172" s="94">
        <f>VLOOKUP($Q7172,매칭테이블!$F:$I,4,0)*K7172</f>
        <v/>
      </c>
      <c r="P7172" s="148">
        <f>M7172/1.1</f>
        <v/>
      </c>
      <c r="Q7172" s="94">
        <f>F7172&amp;E7172&amp;G7172&amp;L7172</f>
        <v/>
      </c>
    </row>
    <row r="7173" customFormat="1" s="94">
      <c r="B7173" s="128" t="n">
        <v>44007</v>
      </c>
      <c r="C7173" s="94">
        <f>TEXT(B7173,"aaa")</f>
        <v/>
      </c>
      <c r="E7173" s="94" t="inlineStr">
        <is>
          <t>토너</t>
        </is>
      </c>
      <c r="F7173" s="5" t="inlineStr">
        <is>
          <t>카페24</t>
        </is>
      </c>
      <c r="G7173" s="94" t="inlineStr">
        <is>
          <t>스킨팩 화장솜 60P</t>
        </is>
      </c>
      <c r="H7173" s="7" t="n">
        <v>190801</v>
      </c>
      <c r="I7173" s="7" t="n">
        <v>190801</v>
      </c>
      <c r="K7173" s="94" t="n">
        <v>129</v>
      </c>
      <c r="L7173" s="7" t="n">
        <v>190801</v>
      </c>
      <c r="M7173" s="94">
        <f>VLOOKUP($Q7173,매칭테이블!$F:$I,2,0)*K7173</f>
        <v/>
      </c>
      <c r="N7173" s="94">
        <f>M7173-M7173*VLOOKUP($Q7173,매칭테이블!$F:$I,3,0)</f>
        <v/>
      </c>
      <c r="O7173" s="94">
        <f>VLOOKUP($Q7173,매칭테이블!$F:$I,4,0)*K7173</f>
        <v/>
      </c>
      <c r="P7173" s="148">
        <f>M7173/1.1</f>
        <v/>
      </c>
      <c r="Q7173" s="94">
        <f>F7173&amp;E7173&amp;G7173&amp;L7173</f>
        <v/>
      </c>
    </row>
    <row r="7174" customFormat="1" s="94">
      <c r="B7174" s="128" t="n">
        <v>44007</v>
      </c>
      <c r="C7174" s="94">
        <f>TEXT(B7174,"aaa")</f>
        <v/>
      </c>
      <c r="E7174" s="94" t="inlineStr">
        <is>
          <t>앰플</t>
        </is>
      </c>
      <c r="F7174" s="5" t="inlineStr">
        <is>
          <t>카페24</t>
        </is>
      </c>
      <c r="G7174" s="94" t="inlineStr">
        <is>
          <t>앰플 30ml</t>
        </is>
      </c>
      <c r="H7174" s="7" t="n">
        <v>190801</v>
      </c>
      <c r="I7174" s="7" t="n">
        <v>190801</v>
      </c>
      <c r="K7174" s="94" t="n">
        <v>10</v>
      </c>
      <c r="L7174" s="7" t="n">
        <v>190801</v>
      </c>
      <c r="M7174" s="94">
        <f>VLOOKUP($Q7174,매칭테이블!$F:$I,2,0)*K7174</f>
        <v/>
      </c>
      <c r="N7174" s="94">
        <f>M7174-M7174*VLOOKUP($Q7174,매칭테이블!$F:$I,3,0)</f>
        <v/>
      </c>
      <c r="O7174" s="94">
        <f>VLOOKUP($Q7174,매칭테이블!$F:$I,4,0)*K7174</f>
        <v/>
      </c>
      <c r="P7174" s="148">
        <f>M7174/1.1</f>
        <v/>
      </c>
      <c r="Q7174" s="94">
        <f>F7174&amp;E7174&amp;G7174&amp;L7174</f>
        <v/>
      </c>
    </row>
    <row r="7175" customFormat="1" s="94">
      <c r="B7175" s="128" t="n">
        <v>44007</v>
      </c>
      <c r="C7175" s="94">
        <f>TEXT(B7175,"aaa")</f>
        <v/>
      </c>
      <c r="E7175" s="94" t="inlineStr">
        <is>
          <t>수딩크림</t>
        </is>
      </c>
      <c r="F7175" s="5" t="inlineStr">
        <is>
          <t>카페24</t>
        </is>
      </c>
      <c r="G7175" s="94" t="inlineStr">
        <is>
          <t>수딩크림 100ml</t>
        </is>
      </c>
      <c r="H7175" s="7" t="n">
        <v>190801</v>
      </c>
      <c r="I7175" s="7" t="n">
        <v>190801</v>
      </c>
      <c r="K7175" s="94" t="n">
        <v>3</v>
      </c>
      <c r="L7175" s="7" t="n">
        <v>190801</v>
      </c>
      <c r="M7175" s="94">
        <f>VLOOKUP($Q7175,매칭테이블!$F:$I,2,0)*K7175</f>
        <v/>
      </c>
      <c r="N7175" s="94">
        <f>M7175-M7175*VLOOKUP($Q7175,매칭테이블!$F:$I,3,0)</f>
        <v/>
      </c>
      <c r="O7175" s="94">
        <f>VLOOKUP($Q7175,매칭테이블!$F:$I,4,0)*K7175</f>
        <v/>
      </c>
      <c r="P7175" s="148">
        <f>M7175/1.1</f>
        <v/>
      </c>
      <c r="Q7175" s="94">
        <f>F7175&amp;E7175&amp;G7175&amp;L7175</f>
        <v/>
      </c>
    </row>
    <row r="7176" customFormat="1" s="94">
      <c r="B7176" s="128" t="n">
        <v>44007</v>
      </c>
      <c r="C7176" s="94">
        <f>TEXT(B7176,"aaa")</f>
        <v/>
      </c>
      <c r="E7176" s="94" t="inlineStr">
        <is>
          <t>클렌징폼</t>
        </is>
      </c>
      <c r="F7176" s="5" t="inlineStr">
        <is>
          <t>카페24</t>
        </is>
      </c>
      <c r="G7176" s="94" t="inlineStr">
        <is>
          <t>클렌징폼 120ml</t>
        </is>
      </c>
      <c r="H7176" s="7" t="n">
        <v>190801</v>
      </c>
      <c r="I7176" s="7" t="n">
        <v>190801</v>
      </c>
      <c r="K7176" s="94" t="n">
        <v>10</v>
      </c>
      <c r="L7176" s="7" t="n">
        <v>190801</v>
      </c>
      <c r="M7176" s="94">
        <f>VLOOKUP($Q7176,매칭테이블!$F:$I,2,0)*K7176</f>
        <v/>
      </c>
      <c r="N7176" s="94">
        <f>M7176-M7176*VLOOKUP($Q7176,매칭테이블!$F:$I,3,0)</f>
        <v/>
      </c>
      <c r="O7176" s="94">
        <f>VLOOKUP($Q7176,매칭테이블!$F:$I,4,0)*K7176</f>
        <v/>
      </c>
      <c r="P7176" s="148">
        <f>M7176/1.1</f>
        <v/>
      </c>
      <c r="Q7176" s="94">
        <f>F7176&amp;E7176&amp;G7176&amp;L7176</f>
        <v/>
      </c>
    </row>
    <row r="7177" customFormat="1" s="94">
      <c r="B7177" s="128" t="n">
        <v>44007</v>
      </c>
      <c r="C7177" s="94">
        <f>TEXT(B7177,"aaa")</f>
        <v/>
      </c>
      <c r="E7177" s="94" t="inlineStr">
        <is>
          <t>클렌징폼</t>
        </is>
      </c>
      <c r="F7177" s="5" t="inlineStr">
        <is>
          <t>카페24</t>
        </is>
      </c>
      <c r="G7177" s="94" t="inlineStr">
        <is>
          <t>클렌징폼 120ml 2set</t>
        </is>
      </c>
      <c r="H7177" s="7" t="n">
        <v>190801</v>
      </c>
      <c r="I7177" s="7" t="n">
        <v>190801</v>
      </c>
      <c r="K7177" s="94" t="n">
        <v>1</v>
      </c>
      <c r="L7177" s="7" t="n">
        <v>190801</v>
      </c>
      <c r="M7177" s="94">
        <f>VLOOKUP($Q7177,매칭테이블!$F:$I,2,0)*K7177</f>
        <v/>
      </c>
      <c r="N7177" s="94">
        <f>M7177-M7177*VLOOKUP($Q7177,매칭테이블!$F:$I,3,0)</f>
        <v/>
      </c>
      <c r="O7177" s="94">
        <f>VLOOKUP($Q7177,매칭테이블!$F:$I,4,0)*K7177</f>
        <v/>
      </c>
      <c r="P7177" s="148">
        <f>M7177/1.1</f>
        <v/>
      </c>
      <c r="Q7177" s="94">
        <f>F7177&amp;E7177&amp;G7177&amp;L7177</f>
        <v/>
      </c>
    </row>
    <row r="7178" customFormat="1" s="94">
      <c r="B7178" s="128" t="n">
        <v>44007</v>
      </c>
      <c r="C7178" s="94">
        <f>TEXT(B7178,"aaa")</f>
        <v/>
      </c>
      <c r="E7178" s="94" t="inlineStr">
        <is>
          <t>클렌징폼</t>
        </is>
      </c>
      <c r="F7178" s="5" t="inlineStr">
        <is>
          <t>카페24</t>
        </is>
      </c>
      <c r="G7178" s="94" t="inlineStr">
        <is>
          <t>클렌징폼 120ml 3set</t>
        </is>
      </c>
      <c r="H7178" s="7" t="n">
        <v>190801</v>
      </c>
      <c r="I7178" s="7" t="n">
        <v>190801</v>
      </c>
      <c r="K7178" s="94" t="n">
        <v>2</v>
      </c>
      <c r="L7178" s="7" t="n">
        <v>190801</v>
      </c>
      <c r="M7178" s="94">
        <f>VLOOKUP($Q7178,매칭테이블!$F:$I,2,0)*K7178</f>
        <v/>
      </c>
      <c r="N7178" s="94">
        <f>M7178-M7178*VLOOKUP($Q7178,매칭테이블!$F:$I,3,0)</f>
        <v/>
      </c>
      <c r="O7178" s="94">
        <f>VLOOKUP($Q7178,매칭테이블!$F:$I,4,0)*K7178</f>
        <v/>
      </c>
      <c r="P7178" s="148">
        <f>M7178/1.1</f>
        <v/>
      </c>
      <c r="Q7178" s="94">
        <f>F7178&amp;E7178&amp;G7178&amp;L7178</f>
        <v/>
      </c>
    </row>
    <row r="7179" customFormat="1" s="94">
      <c r="B7179" s="128" t="n">
        <v>44007</v>
      </c>
      <c r="C7179" s="94">
        <f>TEXT(B7179,"aaa")</f>
        <v/>
      </c>
      <c r="E7179" s="94" t="inlineStr">
        <is>
          <t>토너</t>
        </is>
      </c>
      <c r="F7179" s="5" t="inlineStr">
        <is>
          <t>큐텐</t>
        </is>
      </c>
      <c r="G7179" s="94" t="inlineStr">
        <is>
          <t>250ml</t>
        </is>
      </c>
      <c r="H7179" s="7" t="n">
        <v>190801</v>
      </c>
      <c r="I7179" s="7" t="n">
        <v>190801</v>
      </c>
      <c r="K7179" s="94" t="n">
        <v>10</v>
      </c>
      <c r="L7179" s="7" t="n">
        <v>190801</v>
      </c>
      <c r="M7179" s="94">
        <f>VLOOKUP($Q7179,매칭테이블!$F:$I,2,0)*K7179</f>
        <v/>
      </c>
      <c r="N7179" s="94">
        <f>M7179-M7179*VLOOKUP($Q7179,매칭테이블!$F:$I,3,0)</f>
        <v/>
      </c>
      <c r="O7179" s="94">
        <f>VLOOKUP($Q7179,매칭테이블!$F:$I,4,0)*K7179</f>
        <v/>
      </c>
      <c r="P7179" s="148">
        <f>M7179/1.1</f>
        <v/>
      </c>
      <c r="Q7179" s="94">
        <f>F7179&amp;E7179&amp;G7179&amp;L7179</f>
        <v/>
      </c>
    </row>
    <row r="7180" customFormat="1" s="94">
      <c r="B7180" s="128" t="n">
        <v>44007</v>
      </c>
      <c r="C7180" s="94">
        <f>TEXT(B7180,"aaa")</f>
        <v/>
      </c>
      <c r="E7180" s="94" t="inlineStr">
        <is>
          <t>토너</t>
        </is>
      </c>
      <c r="F7180" s="5" t="inlineStr">
        <is>
          <t>큐텐</t>
        </is>
      </c>
      <c r="G7180" s="94" t="inlineStr">
        <is>
          <t>250ml 2set</t>
        </is>
      </c>
      <c r="H7180" s="7" t="n">
        <v>190801</v>
      </c>
      <c r="I7180" s="7" t="n">
        <v>190801</v>
      </c>
      <c r="K7180" s="94" t="n">
        <v>6</v>
      </c>
      <c r="L7180" s="7" t="n">
        <v>190801</v>
      </c>
      <c r="M7180" s="94">
        <f>VLOOKUP($Q7180,매칭테이블!$F:$I,2,0)*K7180</f>
        <v/>
      </c>
      <c r="N7180" s="94">
        <f>M7180-M7180*VLOOKUP($Q7180,매칭테이블!$F:$I,3,0)</f>
        <v/>
      </c>
      <c r="O7180" s="94">
        <f>VLOOKUP($Q7180,매칭테이블!$F:$I,4,0)*K7180</f>
        <v/>
      </c>
      <c r="P7180" s="148">
        <f>M7180/1.1</f>
        <v/>
      </c>
      <c r="Q7180" s="94">
        <f>F7180&amp;E7180&amp;G7180&amp;L7180</f>
        <v/>
      </c>
    </row>
    <row r="7181" customFormat="1" s="94">
      <c r="B7181" s="128" t="n">
        <v>44007</v>
      </c>
      <c r="C7181" s="94">
        <f>TEXT(B7181,"aaa")</f>
        <v/>
      </c>
      <c r="E7181" s="94" t="inlineStr">
        <is>
          <t>앰플</t>
        </is>
      </c>
      <c r="F7181" s="5" t="inlineStr">
        <is>
          <t>큐텐</t>
        </is>
      </c>
      <c r="G7181" s="94" t="inlineStr">
        <is>
          <t>앰플 30ml</t>
        </is>
      </c>
      <c r="H7181" s="7" t="n">
        <v>190801</v>
      </c>
      <c r="I7181" s="7" t="n">
        <v>190801</v>
      </c>
      <c r="K7181" s="94" t="n">
        <v>1</v>
      </c>
      <c r="L7181" s="7" t="n">
        <v>190801</v>
      </c>
      <c r="M7181" s="94">
        <f>VLOOKUP($Q7181,매칭테이블!$F:$I,2,0)*K7181</f>
        <v/>
      </c>
      <c r="N7181" s="94">
        <f>M7181-M7181*VLOOKUP($Q7181,매칭테이블!$F:$I,3,0)</f>
        <v/>
      </c>
      <c r="O7181" s="94">
        <f>VLOOKUP($Q7181,매칭테이블!$F:$I,4,0)*K7181</f>
        <v/>
      </c>
      <c r="P7181" s="148">
        <f>M7181/1.1</f>
        <v/>
      </c>
      <c r="Q7181" s="94">
        <f>F7181&amp;E7181&amp;G7181&amp;L7181</f>
        <v/>
      </c>
    </row>
    <row r="7182" customFormat="1" s="94">
      <c r="B7182" s="128" t="n">
        <v>44007</v>
      </c>
      <c r="C7182" s="94">
        <f>TEXT(B7182,"aaa")</f>
        <v/>
      </c>
      <c r="E7182" s="94" t="inlineStr">
        <is>
          <t>머드크림마스크</t>
        </is>
      </c>
      <c r="F7182" s="5" t="inlineStr">
        <is>
          <t>화해</t>
        </is>
      </c>
      <c r="G7182" s="94" t="inlineStr">
        <is>
          <t>머드크림마스크 100ml</t>
        </is>
      </c>
      <c r="H7182" s="7" t="n">
        <v>190801</v>
      </c>
      <c r="I7182" s="7" t="n">
        <v>190801</v>
      </c>
      <c r="K7182" s="94" t="n">
        <v>1</v>
      </c>
      <c r="L7182" s="7" t="n">
        <v>190801</v>
      </c>
      <c r="M7182" s="94">
        <f>VLOOKUP($Q7182,매칭테이블!$F:$I,2,0)*K7182</f>
        <v/>
      </c>
      <c r="N7182" s="94">
        <f>M7182-M7182*VLOOKUP($Q7182,매칭테이블!$F:$I,3,0)</f>
        <v/>
      </c>
      <c r="O7182" s="94">
        <f>VLOOKUP($Q7182,매칭테이블!$F:$I,4,0)*K7182</f>
        <v/>
      </c>
      <c r="P7182" s="148">
        <f>M7182/1.1</f>
        <v/>
      </c>
      <c r="Q7182" s="94">
        <f>F7182&amp;E7182&amp;G7182&amp;L7182</f>
        <v/>
      </c>
    </row>
    <row r="7183" customFormat="1" s="94">
      <c r="B7183" s="128" t="n">
        <v>44007</v>
      </c>
      <c r="C7183" s="94">
        <f>TEXT(B7183,"aaa")</f>
        <v/>
      </c>
      <c r="E7183" s="94" t="inlineStr">
        <is>
          <t>토너</t>
        </is>
      </c>
      <c r="F7183" s="5" t="inlineStr">
        <is>
          <t>화해</t>
        </is>
      </c>
      <c r="G7183" s="94" t="inlineStr">
        <is>
          <t>250ml</t>
        </is>
      </c>
      <c r="H7183" s="7" t="n">
        <v>190801</v>
      </c>
      <c r="I7183" s="7" t="n">
        <v>190801</v>
      </c>
      <c r="K7183" s="94" t="n">
        <v>5</v>
      </c>
      <c r="L7183" s="7" t="n">
        <v>190801</v>
      </c>
      <c r="M7183" s="94">
        <f>VLOOKUP($Q7183,매칭테이블!$F:$I,2,0)*K7183</f>
        <v/>
      </c>
      <c r="N7183" s="94">
        <f>M7183-M7183*VLOOKUP($Q7183,매칭테이블!$F:$I,3,0)</f>
        <v/>
      </c>
      <c r="O7183" s="94">
        <f>VLOOKUP($Q7183,매칭테이블!$F:$I,4,0)*K7183</f>
        <v/>
      </c>
      <c r="P7183" s="148">
        <f>M7183/1.1</f>
        <v/>
      </c>
      <c r="Q7183" s="94">
        <f>F7183&amp;E7183&amp;G7183&amp;L7183</f>
        <v/>
      </c>
    </row>
    <row r="7184" customFormat="1" s="94">
      <c r="B7184" s="128" t="n">
        <v>44007</v>
      </c>
      <c r="C7184" s="94">
        <f>TEXT(B7184,"aaa")</f>
        <v/>
      </c>
      <c r="E7184" s="94" t="inlineStr">
        <is>
          <t>화장솜</t>
        </is>
      </c>
      <c r="F7184" s="5" t="inlineStr">
        <is>
          <t>아누아 CS</t>
        </is>
      </c>
      <c r="G7184" s="94" t="inlineStr">
        <is>
          <t>스킨팩 화장솜 60P</t>
        </is>
      </c>
      <c r="H7184" s="7" t="n">
        <v>190801</v>
      </c>
      <c r="I7184" s="7" t="n">
        <v>190801</v>
      </c>
      <c r="K7184" s="94" t="n">
        <v>30</v>
      </c>
      <c r="L7184" s="7" t="n">
        <v>190801</v>
      </c>
      <c r="M7184" s="94">
        <f>VLOOKUP($Q7184,매칭테이블!$F:$I,2,0)*K7184</f>
        <v/>
      </c>
      <c r="N7184" s="94">
        <f>M7184-M7184*VLOOKUP($Q7184,매칭테이블!$F:$I,3,0)</f>
        <v/>
      </c>
      <c r="O7184" s="94">
        <f>VLOOKUP($Q7184,매칭테이블!$F:$I,4,0)*K7184</f>
        <v/>
      </c>
      <c r="P7184" s="148">
        <f>M7184/1.1</f>
        <v/>
      </c>
      <c r="Q7184" s="94">
        <f>F7184&amp;E7184&amp;G7184&amp;L7184</f>
        <v/>
      </c>
    </row>
    <row r="7185" customFormat="1" s="94">
      <c r="B7185" s="128" t="n">
        <v>44007</v>
      </c>
      <c r="C7185" s="94">
        <f>TEXT(B7185,"aaa")</f>
        <v/>
      </c>
      <c r="E7185" s="94" t="inlineStr">
        <is>
          <t>선크림</t>
        </is>
      </c>
      <c r="F7185" s="5" t="inlineStr">
        <is>
          <t>아누아 CS</t>
        </is>
      </c>
      <c r="G7185" s="94" t="inlineStr">
        <is>
          <t>선크림 50ml</t>
        </is>
      </c>
      <c r="H7185" s="7" t="n">
        <v>190801</v>
      </c>
      <c r="I7185" s="7" t="n">
        <v>190801</v>
      </c>
      <c r="K7185" s="94" t="n">
        <v>40</v>
      </c>
      <c r="L7185" s="7" t="n">
        <v>190801</v>
      </c>
      <c r="M7185" s="94">
        <f>VLOOKUP($Q7185,매칭테이블!$F:$I,2,0)*K7185</f>
        <v/>
      </c>
      <c r="N7185" s="94">
        <f>M7185-M7185*VLOOKUP($Q7185,매칭테이블!$F:$I,3,0)</f>
        <v/>
      </c>
      <c r="O7185" s="94">
        <f>VLOOKUP($Q7185,매칭테이블!$F:$I,4,0)*K7185</f>
        <v/>
      </c>
      <c r="P7185" s="148">
        <f>M7185/1.1</f>
        <v/>
      </c>
      <c r="Q7185" s="94">
        <f>F7185&amp;E7185&amp;G7185&amp;L7185</f>
        <v/>
      </c>
    </row>
    <row r="7186" customFormat="1" s="94">
      <c r="B7186" s="128" t="n">
        <v>44007</v>
      </c>
      <c r="C7186" s="94">
        <f>TEXT(B7186,"aaa")</f>
        <v/>
      </c>
      <c r="E7186" s="94" t="inlineStr">
        <is>
          <t>클렌징폼</t>
        </is>
      </c>
      <c r="F7186" s="5" t="inlineStr">
        <is>
          <t>아누아 CS</t>
        </is>
      </c>
      <c r="G7186" s="94" t="inlineStr">
        <is>
          <t>클렌징폼 120ml</t>
        </is>
      </c>
      <c r="H7186" s="7" t="n">
        <v>190801</v>
      </c>
      <c r="I7186" s="7" t="n">
        <v>190801</v>
      </c>
      <c r="K7186" s="94" t="n">
        <v>30</v>
      </c>
      <c r="L7186" s="7" t="n">
        <v>190801</v>
      </c>
      <c r="M7186" s="94">
        <f>VLOOKUP($Q7186,매칭테이블!$F:$I,2,0)*K7186</f>
        <v/>
      </c>
      <c r="N7186" s="94">
        <f>M7186-M7186*VLOOKUP($Q7186,매칭테이블!$F:$I,3,0)</f>
        <v/>
      </c>
      <c r="O7186" s="94">
        <f>VLOOKUP($Q7186,매칭테이블!$F:$I,4,0)*K7186</f>
        <v/>
      </c>
      <c r="P7186" s="148">
        <f>M7186/1.1</f>
        <v/>
      </c>
      <c r="Q7186" s="94">
        <f>F7186&amp;E7186&amp;G7186&amp;L7186</f>
        <v/>
      </c>
    </row>
    <row r="7187" customFormat="1" s="94">
      <c r="B7187" s="128" t="n">
        <v>44008</v>
      </c>
      <c r="C7187" s="94">
        <f>TEXT(B7187,"aaa")</f>
        <v/>
      </c>
      <c r="E7187" s="94" t="inlineStr">
        <is>
          <t>토너</t>
        </is>
      </c>
      <c r="F7187" s="5" t="inlineStr">
        <is>
          <t>W컨셉</t>
        </is>
      </c>
      <c r="G7187" s="94" t="inlineStr">
        <is>
          <t>250ml</t>
        </is>
      </c>
      <c r="H7187" s="7" t="n">
        <v>190801</v>
      </c>
      <c r="I7187" s="7" t="n">
        <v>190801</v>
      </c>
      <c r="K7187" s="94" t="n">
        <v>2</v>
      </c>
      <c r="L7187" s="7" t="n">
        <v>190801</v>
      </c>
      <c r="M7187" s="94">
        <f>VLOOKUP($Q7187,매칭테이블!$F:$I,2,0)*K7187</f>
        <v/>
      </c>
      <c r="N7187" s="94">
        <f>M7187-M7187*VLOOKUP($Q7187,매칭테이블!$F:$I,3,0)</f>
        <v/>
      </c>
      <c r="O7187" s="94">
        <f>VLOOKUP($Q7187,매칭테이블!$F:$I,4,0)*K7187</f>
        <v/>
      </c>
      <c r="P7187" s="148">
        <f>M7187/1.1</f>
        <v/>
      </c>
      <c r="Q7187" s="94">
        <f>F7187&amp;E7187&amp;G7187&amp;L7187</f>
        <v/>
      </c>
    </row>
    <row r="7188" customFormat="1" s="94">
      <c r="B7188" s="128" t="n">
        <v>44008</v>
      </c>
      <c r="C7188" s="94">
        <f>TEXT(B7188,"aaa")</f>
        <v/>
      </c>
      <c r="E7188" s="94" t="inlineStr">
        <is>
          <t>토너</t>
        </is>
      </c>
      <c r="F7188" s="5" t="inlineStr">
        <is>
          <t>W컨셉</t>
        </is>
      </c>
      <c r="G7188" s="94" t="inlineStr">
        <is>
          <t>250ml 2set</t>
        </is>
      </c>
      <c r="H7188" s="7" t="n">
        <v>190801</v>
      </c>
      <c r="I7188" s="7" t="n">
        <v>190801</v>
      </c>
      <c r="K7188" s="94" t="n">
        <v>2</v>
      </c>
      <c r="L7188" s="7" t="n">
        <v>190801</v>
      </c>
      <c r="M7188" s="94">
        <f>VLOOKUP($Q7188,매칭테이블!$F:$I,2,0)*K7188</f>
        <v/>
      </c>
      <c r="N7188" s="94">
        <f>M7188-M7188*VLOOKUP($Q7188,매칭테이블!$F:$I,3,0)</f>
        <v/>
      </c>
      <c r="O7188" s="94">
        <f>VLOOKUP($Q7188,매칭테이블!$F:$I,4,0)*K7188</f>
        <v/>
      </c>
      <c r="P7188" s="148">
        <f>M7188/1.1</f>
        <v/>
      </c>
      <c r="Q7188" s="94">
        <f>F7188&amp;E7188&amp;G7188&amp;L7188</f>
        <v/>
      </c>
    </row>
    <row r="7189" customFormat="1" s="11">
      <c r="B7189" s="128" t="n">
        <v>44008</v>
      </c>
      <c r="C7189" s="94">
        <f>TEXT(B7189,"aaa")</f>
        <v/>
      </c>
      <c r="E7189" s="11" t="inlineStr">
        <is>
          <t>선크림</t>
        </is>
      </c>
      <c r="F7189" s="12" t="inlineStr">
        <is>
          <t>글로우데이즈 시코르</t>
        </is>
      </c>
      <c r="G7189" s="11" t="inlineStr">
        <is>
          <t>선크림=선크림 50ml</t>
        </is>
      </c>
      <c r="H7189" s="13" t="n">
        <v>190801</v>
      </c>
      <c r="I7189" s="13" t="n">
        <v>190801</v>
      </c>
      <c r="K7189" s="11" t="n">
        <v>10</v>
      </c>
      <c r="L7189" s="13" t="n">
        <v>190801</v>
      </c>
      <c r="M7189" s="94">
        <f>VLOOKUP($Q7189,매칭테이블!$F:$I,2,0)*K7189</f>
        <v/>
      </c>
      <c r="N7189" s="94">
        <f>M7189-M7189*VLOOKUP($Q7189,매칭테이블!$F:$I,3,0)</f>
        <v/>
      </c>
      <c r="O7189" s="94">
        <f>VLOOKUP($Q7189,매칭테이블!$F:$I,4,0)*K7189</f>
        <v/>
      </c>
      <c r="P7189" s="148">
        <f>M7189/1.1</f>
        <v/>
      </c>
      <c r="Q7189" s="94">
        <f>F7189&amp;E7189&amp;G7189&amp;L7189</f>
        <v/>
      </c>
    </row>
    <row r="7190" customFormat="1" s="94">
      <c r="B7190" s="128" t="n">
        <v>44008</v>
      </c>
      <c r="C7190" s="94">
        <f>TEXT(B7190,"aaa")</f>
        <v/>
      </c>
      <c r="E7190" s="94" t="inlineStr">
        <is>
          <t>토너</t>
        </is>
      </c>
      <c r="F7190" s="5" t="inlineStr">
        <is>
          <t>글로우데이즈 시코르</t>
        </is>
      </c>
      <c r="G7190" s="94" t="inlineStr">
        <is>
          <t>250ml</t>
        </is>
      </c>
      <c r="H7190" s="7" t="n">
        <v>190801</v>
      </c>
      <c r="I7190" s="7" t="n">
        <v>190801</v>
      </c>
      <c r="K7190" s="94" t="n">
        <v>150</v>
      </c>
      <c r="L7190" s="7" t="n">
        <v>190801</v>
      </c>
      <c r="M7190" s="94">
        <f>VLOOKUP($Q7190,매칭테이블!$F:$I,2,0)*K7190</f>
        <v/>
      </c>
      <c r="N7190" s="94">
        <f>M7190-M7190*VLOOKUP($Q7190,매칭테이블!$F:$I,3,0)</f>
        <v/>
      </c>
      <c r="O7190" s="94">
        <f>VLOOKUP($Q7190,매칭테이블!$F:$I,4,0)*K7190</f>
        <v/>
      </c>
      <c r="P7190" s="148">
        <f>M7190/1.1</f>
        <v/>
      </c>
      <c r="Q7190" s="94">
        <f>F7190&amp;E7190&amp;G7190&amp;L7190</f>
        <v/>
      </c>
    </row>
    <row r="7191" customFormat="1" s="94">
      <c r="B7191" s="128" t="n">
        <v>44008</v>
      </c>
      <c r="C7191" s="94">
        <f>TEXT(B7191,"aaa")</f>
        <v/>
      </c>
      <c r="E7191" s="94" t="inlineStr">
        <is>
          <t>토너</t>
        </is>
      </c>
      <c r="F7191" s="5" t="inlineStr">
        <is>
          <t>스타일쉐어</t>
        </is>
      </c>
      <c r="G7191" s="94" t="inlineStr">
        <is>
          <t>250ml</t>
        </is>
      </c>
      <c r="H7191" s="7" t="n">
        <v>190801</v>
      </c>
      <c r="I7191" s="7" t="n">
        <v>190801</v>
      </c>
      <c r="K7191" s="94" t="n">
        <v>3</v>
      </c>
      <c r="L7191" s="7" t="n">
        <v>190801</v>
      </c>
      <c r="M7191" s="94">
        <f>VLOOKUP($Q7191,매칭테이블!$F:$I,2,0)*K7191</f>
        <v/>
      </c>
      <c r="N7191" s="94">
        <f>M7191-M7191*VLOOKUP($Q7191,매칭테이블!$F:$I,3,0)</f>
        <v/>
      </c>
      <c r="O7191" s="94">
        <f>VLOOKUP($Q7191,매칭테이블!$F:$I,4,0)*K7191</f>
        <v/>
      </c>
      <c r="P7191" s="148">
        <f>M7191/1.1</f>
        <v/>
      </c>
      <c r="Q7191" s="94">
        <f>F7191&amp;E7191&amp;G7191&amp;L7191</f>
        <v/>
      </c>
    </row>
    <row r="7192" customFormat="1" s="94">
      <c r="B7192" s="128" t="n">
        <v>44008</v>
      </c>
      <c r="C7192" s="94">
        <f>TEXT(B7192,"aaa")</f>
        <v/>
      </c>
      <c r="E7192" s="94" t="inlineStr">
        <is>
          <t>선크림</t>
        </is>
      </c>
      <c r="F7192" s="5" t="inlineStr">
        <is>
          <t>카페24</t>
        </is>
      </c>
      <c r="G7192" s="94" t="inlineStr">
        <is>
          <t>선크림 50ml</t>
        </is>
      </c>
      <c r="H7192" s="7" t="n">
        <v>190801</v>
      </c>
      <c r="I7192" s="7" t="n">
        <v>190801</v>
      </c>
      <c r="K7192" s="94" t="n">
        <v>2</v>
      </c>
      <c r="L7192" s="7" t="n">
        <v>190801</v>
      </c>
      <c r="M7192" s="94">
        <f>VLOOKUP($Q7192,매칭테이블!$F:$I,2,0)*K7192</f>
        <v/>
      </c>
      <c r="N7192" s="94">
        <f>M7192-M7192*VLOOKUP($Q7192,매칭테이블!$F:$I,3,0)</f>
        <v/>
      </c>
      <c r="O7192" s="94">
        <f>VLOOKUP($Q7192,매칭테이블!$F:$I,4,0)*K7192</f>
        <v/>
      </c>
      <c r="P7192" s="148">
        <f>M7192/1.1</f>
        <v/>
      </c>
      <c r="Q7192" s="94">
        <f>F7192&amp;E7192&amp;G7192&amp;L7192</f>
        <v/>
      </c>
    </row>
    <row r="7193" customFormat="1" s="94">
      <c r="B7193" s="128" t="n">
        <v>44008</v>
      </c>
      <c r="C7193" s="94">
        <f>TEXT(B7193,"aaa")</f>
        <v/>
      </c>
      <c r="E7193" s="94" t="inlineStr">
        <is>
          <t>선크림</t>
        </is>
      </c>
      <c r="F7193" s="5" t="inlineStr">
        <is>
          <t>카페24</t>
        </is>
      </c>
      <c r="G7193" s="94" t="inlineStr">
        <is>
          <t>선크림 50ml  2set</t>
        </is>
      </c>
      <c r="H7193" s="7" t="n">
        <v>190801</v>
      </c>
      <c r="I7193" s="7" t="n">
        <v>190801</v>
      </c>
      <c r="K7193" s="94" t="n">
        <v>1</v>
      </c>
      <c r="L7193" s="7" t="n">
        <v>190801</v>
      </c>
      <c r="M7193" s="94">
        <f>VLOOKUP($Q7193,매칭테이블!$F:$I,2,0)*K7193</f>
        <v/>
      </c>
      <c r="N7193" s="94">
        <f>M7193-M7193*VLOOKUP($Q7193,매칭테이블!$F:$I,3,0)</f>
        <v/>
      </c>
      <c r="O7193" s="94">
        <f>VLOOKUP($Q7193,매칭테이블!$F:$I,4,0)*K7193</f>
        <v/>
      </c>
      <c r="P7193" s="148">
        <f>M7193/1.1</f>
        <v/>
      </c>
      <c r="Q7193" s="94">
        <f>F7193&amp;E7193&amp;G7193&amp;L7193</f>
        <v/>
      </c>
    </row>
    <row r="7194" customFormat="1" s="94">
      <c r="B7194" s="128" t="n">
        <v>44008</v>
      </c>
      <c r="C7194" s="94">
        <f>TEXT(B7194,"aaa")</f>
        <v/>
      </c>
      <c r="E7194" s="94" t="inlineStr">
        <is>
          <t>여름 한정 진정세트</t>
        </is>
      </c>
      <c r="F7194" s="5" t="inlineStr">
        <is>
          <t>카페24</t>
        </is>
      </c>
      <c r="G7194" s="94" t="inlineStr">
        <is>
          <t>여름 한정 진정세트</t>
        </is>
      </c>
      <c r="H7194" s="7" t="n">
        <v>190801</v>
      </c>
      <c r="I7194" s="7" t="n">
        <v>190801</v>
      </c>
      <c r="K7194" s="94" t="n">
        <v>6</v>
      </c>
      <c r="L7194" s="7" t="n">
        <v>190801</v>
      </c>
      <c r="M7194" s="94">
        <f>VLOOKUP($Q7194,매칭테이블!$F:$I,2,0)*K7194</f>
        <v/>
      </c>
      <c r="N7194" s="94">
        <f>M7194-M7194*VLOOKUP($Q7194,매칭테이블!$F:$I,3,0)</f>
        <v/>
      </c>
      <c r="O7194" s="94">
        <f>VLOOKUP($Q7194,매칭테이블!$F:$I,4,0)*K7194</f>
        <v/>
      </c>
      <c r="P7194" s="148">
        <f>M7194/1.1</f>
        <v/>
      </c>
      <c r="Q7194" s="94">
        <f>F7194&amp;E7194&amp;G7194&amp;L7194</f>
        <v/>
      </c>
    </row>
    <row r="7195" customFormat="1" s="94">
      <c r="B7195" s="128" t="n">
        <v>44008</v>
      </c>
      <c r="C7195" s="94">
        <f>TEXT(B7195,"aaa")</f>
        <v/>
      </c>
      <c r="E7195" s="94" t="inlineStr">
        <is>
          <t>여름 한정 진정세트</t>
        </is>
      </c>
      <c r="F7195" s="5" t="inlineStr">
        <is>
          <t>카페24</t>
        </is>
      </c>
      <c r="G7195" s="94" t="inlineStr">
        <is>
          <t>여름 한정 진정세트 (대용량)</t>
        </is>
      </c>
      <c r="H7195" s="7" t="n">
        <v>190801</v>
      </c>
      <c r="I7195" s="7" t="n">
        <v>190801</v>
      </c>
      <c r="K7195" s="94" t="n">
        <v>10</v>
      </c>
      <c r="L7195" s="7" t="n">
        <v>190801</v>
      </c>
      <c r="M7195" s="94">
        <f>VLOOKUP($Q7195,매칭테이블!$F:$I,2,0)*K7195</f>
        <v/>
      </c>
      <c r="N7195" s="94">
        <f>M7195-M7195*VLOOKUP($Q7195,매칭테이블!$F:$I,3,0)</f>
        <v/>
      </c>
      <c r="O7195" s="94">
        <f>VLOOKUP($Q7195,매칭테이블!$F:$I,4,0)*K7195</f>
        <v/>
      </c>
      <c r="P7195" s="148">
        <f>M7195/1.1</f>
        <v/>
      </c>
      <c r="Q7195" s="94">
        <f>F7195&amp;E7195&amp;G7195&amp;L7195</f>
        <v/>
      </c>
    </row>
    <row r="7196" customFormat="1" s="94">
      <c r="B7196" s="128" t="n">
        <v>44008</v>
      </c>
      <c r="C7196" s="94">
        <f>TEXT(B7196,"aaa")</f>
        <v/>
      </c>
      <c r="E7196" s="94" t="inlineStr">
        <is>
          <t>어성초진정패키지</t>
        </is>
      </c>
      <c r="F7196" s="5" t="inlineStr">
        <is>
          <t>카페24</t>
        </is>
      </c>
      <c r="G7196" s="94" t="inlineStr">
        <is>
          <t>어성초 진정패키지세트</t>
        </is>
      </c>
      <c r="H7196" s="7" t="n">
        <v>190801</v>
      </c>
      <c r="I7196" s="7" t="n">
        <v>190801</v>
      </c>
      <c r="K7196" s="94" t="n">
        <v>4</v>
      </c>
      <c r="L7196" s="7" t="n">
        <v>190801</v>
      </c>
      <c r="M7196" s="94">
        <f>VLOOKUP($Q7196,매칭테이블!$F:$I,2,0)*K7196</f>
        <v/>
      </c>
      <c r="N7196" s="94">
        <f>M7196-M7196*VLOOKUP($Q7196,매칭테이블!$F:$I,3,0)</f>
        <v/>
      </c>
      <c r="O7196" s="94">
        <f>VLOOKUP($Q7196,매칭테이블!$F:$I,4,0)*K7196</f>
        <v/>
      </c>
      <c r="P7196" s="148">
        <f>M7196/1.1</f>
        <v/>
      </c>
      <c r="Q7196" s="94">
        <f>F7196&amp;E7196&amp;G7196&amp;L7196</f>
        <v/>
      </c>
    </row>
    <row r="7197" customFormat="1" s="94">
      <c r="B7197" s="128" t="n">
        <v>44008</v>
      </c>
      <c r="C7197" s="94">
        <f>TEXT(B7197,"aaa")</f>
        <v/>
      </c>
      <c r="E7197" s="94" t="inlineStr">
        <is>
          <t>머드크림마스크</t>
        </is>
      </c>
      <c r="F7197" s="5" t="inlineStr">
        <is>
          <t>카페24</t>
        </is>
      </c>
      <c r="G7197" s="94" t="inlineStr">
        <is>
          <t>머드크림마스크 100ml</t>
        </is>
      </c>
      <c r="H7197" s="7" t="n">
        <v>190801</v>
      </c>
      <c r="I7197" s="7" t="n">
        <v>190801</v>
      </c>
      <c r="K7197" s="94" t="n">
        <v>2</v>
      </c>
      <c r="L7197" s="7" t="n">
        <v>190801</v>
      </c>
      <c r="M7197" s="94">
        <f>VLOOKUP($Q7197,매칭테이블!$F:$I,2,0)*K7197</f>
        <v/>
      </c>
      <c r="N7197" s="94">
        <f>M7197-M7197*VLOOKUP($Q7197,매칭테이블!$F:$I,3,0)</f>
        <v/>
      </c>
      <c r="O7197" s="94">
        <f>VLOOKUP($Q7197,매칭테이블!$F:$I,4,0)*K7197</f>
        <v/>
      </c>
      <c r="P7197" s="148">
        <f>M7197/1.1</f>
        <v/>
      </c>
      <c r="Q7197" s="94">
        <f>F7197&amp;E7197&amp;G7197&amp;L7197</f>
        <v/>
      </c>
    </row>
    <row r="7198" customFormat="1" s="94">
      <c r="B7198" s="128" t="n">
        <v>44008</v>
      </c>
      <c r="C7198" s="94">
        <f>TEXT(B7198,"aaa")</f>
        <v/>
      </c>
      <c r="E7198" s="94" t="inlineStr">
        <is>
          <t>마스크팩</t>
        </is>
      </c>
      <c r="F7198" s="5" t="inlineStr">
        <is>
          <t>카페24</t>
        </is>
      </c>
      <c r="G7198" s="94" t="inlineStr">
        <is>
          <t>마스크팩 1매</t>
        </is>
      </c>
      <c r="H7198" s="7" t="n">
        <v>190801</v>
      </c>
      <c r="I7198" s="7" t="n">
        <v>190801</v>
      </c>
      <c r="K7198" s="94" t="n">
        <v>3</v>
      </c>
      <c r="L7198" s="7" t="n">
        <v>190801</v>
      </c>
      <c r="M7198" s="94">
        <f>VLOOKUP($Q7198,매칭테이블!$F:$I,2,0)*K7198</f>
        <v/>
      </c>
      <c r="N7198" s="94">
        <f>M7198-M7198*VLOOKUP($Q7198,매칭테이블!$F:$I,3,0)</f>
        <v/>
      </c>
      <c r="O7198" s="94">
        <f>VLOOKUP($Q7198,매칭테이블!$F:$I,4,0)*K7198</f>
        <v/>
      </c>
      <c r="P7198" s="148">
        <f>M7198/1.1</f>
        <v/>
      </c>
      <c r="Q7198" s="94">
        <f>F7198&amp;E7198&amp;G7198&amp;L7198</f>
        <v/>
      </c>
    </row>
    <row r="7199" customFormat="1" s="94">
      <c r="B7199" s="128" t="n">
        <v>44008</v>
      </c>
      <c r="C7199" s="94">
        <f>TEXT(B7199,"aaa")</f>
        <v/>
      </c>
      <c r="E7199" s="94" t="inlineStr">
        <is>
          <t>토너</t>
        </is>
      </c>
      <c r="F7199" s="5" t="inlineStr">
        <is>
          <t>카페24</t>
        </is>
      </c>
      <c r="G7199" s="94" t="inlineStr">
        <is>
          <t>250ml</t>
        </is>
      </c>
      <c r="H7199" s="7" t="n">
        <v>190801</v>
      </c>
      <c r="I7199" s="7" t="n">
        <v>190801</v>
      </c>
      <c r="K7199" s="94" t="n">
        <v>39</v>
      </c>
      <c r="L7199" s="7" t="n">
        <v>190801</v>
      </c>
      <c r="M7199" s="94">
        <f>VLOOKUP($Q7199,매칭테이블!$F:$I,2,0)*K7199</f>
        <v/>
      </c>
      <c r="N7199" s="94">
        <f>M7199-M7199*VLOOKUP($Q7199,매칭테이블!$F:$I,3,0)</f>
        <v/>
      </c>
      <c r="O7199" s="94">
        <f>VLOOKUP($Q7199,매칭테이블!$F:$I,4,0)*K7199</f>
        <v/>
      </c>
      <c r="P7199" s="148">
        <f>M7199/1.1</f>
        <v/>
      </c>
      <c r="Q7199" s="94">
        <f>F7199&amp;E7199&amp;G7199&amp;L7199</f>
        <v/>
      </c>
    </row>
    <row r="7200" customFormat="1" s="94">
      <c r="B7200" s="128" t="n">
        <v>44008</v>
      </c>
      <c r="C7200" s="94">
        <f>TEXT(B7200,"aaa")</f>
        <v/>
      </c>
      <c r="E7200" s="94" t="inlineStr">
        <is>
          <t>토너</t>
        </is>
      </c>
      <c r="F7200" s="5" t="inlineStr">
        <is>
          <t>카페24</t>
        </is>
      </c>
      <c r="G7200" s="94" t="inlineStr">
        <is>
          <t>250ml 2set</t>
        </is>
      </c>
      <c r="H7200" s="7" t="n">
        <v>190801</v>
      </c>
      <c r="I7200" s="7" t="n">
        <v>190801</v>
      </c>
      <c r="K7200" s="94" t="n">
        <v>34</v>
      </c>
      <c r="L7200" s="7" t="n">
        <v>190801</v>
      </c>
      <c r="M7200" s="94">
        <f>VLOOKUP($Q7200,매칭테이블!$F:$I,2,0)*K7200</f>
        <v/>
      </c>
      <c r="N7200" s="94">
        <f>M7200-M7200*VLOOKUP($Q7200,매칭테이블!$F:$I,3,0)</f>
        <v/>
      </c>
      <c r="O7200" s="94">
        <f>VLOOKUP($Q7200,매칭테이블!$F:$I,4,0)*K7200</f>
        <v/>
      </c>
      <c r="P7200" s="148">
        <f>M7200/1.1</f>
        <v/>
      </c>
      <c r="Q7200" s="94">
        <f>F7200&amp;E7200&amp;G7200&amp;L7200</f>
        <v/>
      </c>
    </row>
    <row r="7201" customFormat="1" s="94">
      <c r="B7201" s="128" t="n">
        <v>44008</v>
      </c>
      <c r="C7201" s="94">
        <f>TEXT(B7201,"aaa")</f>
        <v/>
      </c>
      <c r="E7201" s="94" t="inlineStr">
        <is>
          <t>토너</t>
        </is>
      </c>
      <c r="F7201" s="5" t="inlineStr">
        <is>
          <t>카페24</t>
        </is>
      </c>
      <c r="G7201" s="94" t="inlineStr">
        <is>
          <t>500ml</t>
        </is>
      </c>
      <c r="H7201" s="7" t="n">
        <v>190801</v>
      </c>
      <c r="I7201" s="7" t="n">
        <v>190801</v>
      </c>
      <c r="K7201" s="94" t="n">
        <v>58</v>
      </c>
      <c r="L7201" s="7" t="n">
        <v>190801</v>
      </c>
      <c r="M7201" s="94">
        <f>VLOOKUP($Q7201,매칭테이블!$F:$I,2,0)*K7201</f>
        <v/>
      </c>
      <c r="N7201" s="94">
        <f>M7201-M7201*VLOOKUP($Q7201,매칭테이블!$F:$I,3,0)</f>
        <v/>
      </c>
      <c r="O7201" s="94">
        <f>VLOOKUP($Q7201,매칭테이블!$F:$I,4,0)*K7201</f>
        <v/>
      </c>
      <c r="P7201" s="148">
        <f>M7201/1.1</f>
        <v/>
      </c>
      <c r="Q7201" s="94">
        <f>F7201&amp;E7201&amp;G7201&amp;L7201</f>
        <v/>
      </c>
    </row>
    <row r="7202" customFormat="1" s="94">
      <c r="B7202" s="128" t="n">
        <v>44008</v>
      </c>
      <c r="C7202" s="94">
        <f>TEXT(B7202,"aaa")</f>
        <v/>
      </c>
      <c r="E7202" s="94" t="inlineStr">
        <is>
          <t>토너</t>
        </is>
      </c>
      <c r="F7202" s="5" t="inlineStr">
        <is>
          <t>카페24</t>
        </is>
      </c>
      <c r="G7202" s="94" t="inlineStr">
        <is>
          <t>스킨팩 화장솜 60P</t>
        </is>
      </c>
      <c r="H7202" s="7" t="n">
        <v>190801</v>
      </c>
      <c r="I7202" s="7" t="n">
        <v>190801</v>
      </c>
      <c r="K7202" s="94" t="n">
        <v>48</v>
      </c>
      <c r="L7202" s="7" t="n">
        <v>190801</v>
      </c>
      <c r="M7202" s="94">
        <f>VLOOKUP($Q7202,매칭테이블!$F:$I,2,0)*K7202</f>
        <v/>
      </c>
      <c r="N7202" s="94">
        <f>M7202-M7202*VLOOKUP($Q7202,매칭테이블!$F:$I,3,0)</f>
        <v/>
      </c>
      <c r="O7202" s="94">
        <f>VLOOKUP($Q7202,매칭테이블!$F:$I,4,0)*K7202</f>
        <v/>
      </c>
      <c r="P7202" s="148">
        <f>M7202/1.1</f>
        <v/>
      </c>
      <c r="Q7202" s="94">
        <f>F7202&amp;E7202&amp;G7202&amp;L7202</f>
        <v/>
      </c>
    </row>
    <row r="7203" customFormat="1" s="94">
      <c r="B7203" s="128" t="n">
        <v>44008</v>
      </c>
      <c r="C7203" s="94">
        <f>TEXT(B7203,"aaa")</f>
        <v/>
      </c>
      <c r="E7203" s="94" t="inlineStr">
        <is>
          <t>앰플</t>
        </is>
      </c>
      <c r="F7203" s="5" t="inlineStr">
        <is>
          <t>카페24</t>
        </is>
      </c>
      <c r="G7203" s="94" t="inlineStr">
        <is>
          <t>앰플 30ml</t>
        </is>
      </c>
      <c r="H7203" s="7" t="n">
        <v>190801</v>
      </c>
      <c r="I7203" s="7" t="n">
        <v>190801</v>
      </c>
      <c r="K7203" s="94" t="n">
        <v>18</v>
      </c>
      <c r="L7203" s="7" t="n">
        <v>190801</v>
      </c>
      <c r="M7203" s="94">
        <f>VLOOKUP($Q7203,매칭테이블!$F:$I,2,0)*K7203</f>
        <v/>
      </c>
      <c r="N7203" s="94">
        <f>M7203-M7203*VLOOKUP($Q7203,매칭테이블!$F:$I,3,0)</f>
        <v/>
      </c>
      <c r="O7203" s="94">
        <f>VLOOKUP($Q7203,매칭테이블!$F:$I,4,0)*K7203</f>
        <v/>
      </c>
      <c r="P7203" s="148">
        <f>M7203/1.1</f>
        <v/>
      </c>
      <c r="Q7203" s="94">
        <f>F7203&amp;E7203&amp;G7203&amp;L7203</f>
        <v/>
      </c>
    </row>
    <row r="7204" customFormat="1" s="94">
      <c r="B7204" s="128" t="n">
        <v>44008</v>
      </c>
      <c r="C7204" s="94">
        <f>TEXT(B7204,"aaa")</f>
        <v/>
      </c>
      <c r="E7204" s="94" t="inlineStr">
        <is>
          <t>수딩크림</t>
        </is>
      </c>
      <c r="F7204" s="5" t="inlineStr">
        <is>
          <t>카페24</t>
        </is>
      </c>
      <c r="G7204" s="94" t="inlineStr">
        <is>
          <t>수딩크림 100ml</t>
        </is>
      </c>
      <c r="H7204" s="7" t="n">
        <v>190801</v>
      </c>
      <c r="I7204" s="7" t="n">
        <v>190801</v>
      </c>
      <c r="K7204" s="94" t="n">
        <v>4</v>
      </c>
      <c r="L7204" s="7" t="n">
        <v>190801</v>
      </c>
      <c r="M7204" s="94">
        <f>VLOOKUP($Q7204,매칭테이블!$F:$I,2,0)*K7204</f>
        <v/>
      </c>
      <c r="N7204" s="94">
        <f>M7204-M7204*VLOOKUP($Q7204,매칭테이블!$F:$I,3,0)</f>
        <v/>
      </c>
      <c r="O7204" s="94">
        <f>VLOOKUP($Q7204,매칭테이블!$F:$I,4,0)*K7204</f>
        <v/>
      </c>
      <c r="P7204" s="148">
        <f>M7204/1.1</f>
        <v/>
      </c>
      <c r="Q7204" s="94">
        <f>F7204&amp;E7204&amp;G7204&amp;L7204</f>
        <v/>
      </c>
    </row>
    <row r="7205" customFormat="1" s="94">
      <c r="B7205" s="128" t="n">
        <v>44008</v>
      </c>
      <c r="C7205" s="94">
        <f>TEXT(B7205,"aaa")</f>
        <v/>
      </c>
      <c r="E7205" s="94" t="inlineStr">
        <is>
          <t>클렌징폼</t>
        </is>
      </c>
      <c r="F7205" s="5" t="inlineStr">
        <is>
          <t>카페24</t>
        </is>
      </c>
      <c r="G7205" s="94" t="inlineStr">
        <is>
          <t>클렌징폼 120ml</t>
        </is>
      </c>
      <c r="H7205" s="7" t="n">
        <v>190801</v>
      </c>
      <c r="I7205" s="7" t="n">
        <v>190801</v>
      </c>
      <c r="K7205" s="94" t="n">
        <v>8</v>
      </c>
      <c r="L7205" s="7" t="n">
        <v>190801</v>
      </c>
      <c r="M7205" s="94">
        <f>VLOOKUP($Q7205,매칭테이블!$F:$I,2,0)*K7205</f>
        <v/>
      </c>
      <c r="N7205" s="94">
        <f>M7205-M7205*VLOOKUP($Q7205,매칭테이블!$F:$I,3,0)</f>
        <v/>
      </c>
      <c r="O7205" s="94">
        <f>VLOOKUP($Q7205,매칭테이블!$F:$I,4,0)*K7205</f>
        <v/>
      </c>
      <c r="P7205" s="148">
        <f>M7205/1.1</f>
        <v/>
      </c>
      <c r="Q7205" s="94">
        <f>F7205&amp;E7205&amp;G7205&amp;L7205</f>
        <v/>
      </c>
    </row>
    <row r="7206" customFormat="1" s="94">
      <c r="B7206" s="128" t="n">
        <v>44008</v>
      </c>
      <c r="C7206" s="94">
        <f>TEXT(B7206,"aaa")</f>
        <v/>
      </c>
      <c r="E7206" s="94" t="inlineStr">
        <is>
          <t>클렌징폼</t>
        </is>
      </c>
      <c r="F7206" s="5" t="inlineStr">
        <is>
          <t>카페24</t>
        </is>
      </c>
      <c r="G7206" s="94" t="inlineStr">
        <is>
          <t>클렌징폼 120ml 2set</t>
        </is>
      </c>
      <c r="H7206" s="7" t="n">
        <v>190801</v>
      </c>
      <c r="I7206" s="7" t="n">
        <v>190801</v>
      </c>
      <c r="K7206" s="94" t="n">
        <v>1</v>
      </c>
      <c r="L7206" s="7" t="n">
        <v>190801</v>
      </c>
      <c r="M7206" s="94">
        <f>VLOOKUP($Q7206,매칭테이블!$F:$I,2,0)*K7206</f>
        <v/>
      </c>
      <c r="N7206" s="94">
        <f>M7206-M7206*VLOOKUP($Q7206,매칭테이블!$F:$I,3,0)</f>
        <v/>
      </c>
      <c r="O7206" s="94">
        <f>VLOOKUP($Q7206,매칭테이블!$F:$I,4,0)*K7206</f>
        <v/>
      </c>
      <c r="P7206" s="148">
        <f>M7206/1.1</f>
        <v/>
      </c>
      <c r="Q7206" s="94">
        <f>F7206&amp;E7206&amp;G7206&amp;L7206</f>
        <v/>
      </c>
    </row>
    <row r="7207" customFormat="1" s="94">
      <c r="B7207" s="128" t="n">
        <v>44008</v>
      </c>
      <c r="C7207" s="94">
        <f>TEXT(B7207,"aaa")</f>
        <v/>
      </c>
      <c r="E7207" s="94" t="inlineStr">
        <is>
          <t>클렌징폼</t>
        </is>
      </c>
      <c r="F7207" s="5" t="inlineStr">
        <is>
          <t>카페24</t>
        </is>
      </c>
      <c r="G7207" s="94" t="inlineStr">
        <is>
          <t>클렌징폼 120ml 3set</t>
        </is>
      </c>
      <c r="H7207" s="7" t="n">
        <v>190801</v>
      </c>
      <c r="I7207" s="7" t="n">
        <v>190801</v>
      </c>
      <c r="K7207" s="94" t="n">
        <v>1</v>
      </c>
      <c r="L7207" s="7" t="n">
        <v>190801</v>
      </c>
      <c r="M7207" s="94">
        <f>VLOOKUP($Q7207,매칭테이블!$F:$I,2,0)*K7207</f>
        <v/>
      </c>
      <c r="N7207" s="94">
        <f>M7207-M7207*VLOOKUP($Q7207,매칭테이블!$F:$I,3,0)</f>
        <v/>
      </c>
      <c r="O7207" s="94">
        <f>VLOOKUP($Q7207,매칭테이블!$F:$I,4,0)*K7207</f>
        <v/>
      </c>
      <c r="P7207" s="148">
        <f>M7207/1.1</f>
        <v/>
      </c>
      <c r="Q7207" s="94">
        <f>F7207&amp;E7207&amp;G7207&amp;L7207</f>
        <v/>
      </c>
    </row>
    <row r="7208" customFormat="1" s="94">
      <c r="B7208" s="128" t="n">
        <v>44008</v>
      </c>
      <c r="C7208" s="94">
        <f>TEXT(B7208,"aaa")</f>
        <v/>
      </c>
      <c r="E7208" s="94" t="inlineStr">
        <is>
          <t>토너</t>
        </is>
      </c>
      <c r="F7208" s="5" t="inlineStr">
        <is>
          <t>큐텐</t>
        </is>
      </c>
      <c r="G7208" s="94" t="inlineStr">
        <is>
          <t>250ml</t>
        </is>
      </c>
      <c r="H7208" s="7" t="n">
        <v>190801</v>
      </c>
      <c r="I7208" s="7" t="n">
        <v>190801</v>
      </c>
      <c r="K7208" s="94" t="n">
        <v>4</v>
      </c>
      <c r="L7208" s="7" t="n">
        <v>190801</v>
      </c>
      <c r="M7208" s="94">
        <f>VLOOKUP($Q7208,매칭테이블!$F:$I,2,0)*K7208</f>
        <v/>
      </c>
      <c r="N7208" s="94">
        <f>M7208-M7208*VLOOKUP($Q7208,매칭테이블!$F:$I,3,0)</f>
        <v/>
      </c>
      <c r="O7208" s="94">
        <f>VLOOKUP($Q7208,매칭테이블!$F:$I,4,0)*K7208</f>
        <v/>
      </c>
      <c r="P7208" s="148">
        <f>M7208/1.1</f>
        <v/>
      </c>
      <c r="Q7208" s="94">
        <f>F7208&amp;E7208&amp;G7208&amp;L7208</f>
        <v/>
      </c>
    </row>
    <row r="7209" customFormat="1" s="94">
      <c r="B7209" s="128" t="n">
        <v>44008</v>
      </c>
      <c r="C7209" s="94">
        <f>TEXT(B7209,"aaa")</f>
        <v/>
      </c>
      <c r="E7209" s="94" t="inlineStr">
        <is>
          <t>토너</t>
        </is>
      </c>
      <c r="F7209" s="5" t="inlineStr">
        <is>
          <t>큐텐</t>
        </is>
      </c>
      <c r="G7209" s="94" t="inlineStr">
        <is>
          <t>250ml 2set</t>
        </is>
      </c>
      <c r="H7209" s="7" t="n">
        <v>190801</v>
      </c>
      <c r="I7209" s="7" t="n">
        <v>190801</v>
      </c>
      <c r="K7209" s="94" t="n">
        <v>5</v>
      </c>
      <c r="L7209" s="7" t="n">
        <v>190801</v>
      </c>
      <c r="M7209" s="94">
        <f>VLOOKUP($Q7209,매칭테이블!$F:$I,2,0)*K7209</f>
        <v/>
      </c>
      <c r="N7209" s="94">
        <f>M7209-M7209*VLOOKUP($Q7209,매칭테이블!$F:$I,3,0)</f>
        <v/>
      </c>
      <c r="O7209" s="94">
        <f>VLOOKUP($Q7209,매칭테이블!$F:$I,4,0)*K7209</f>
        <v/>
      </c>
      <c r="P7209" s="148">
        <f>M7209/1.1</f>
        <v/>
      </c>
      <c r="Q7209" s="94">
        <f>F7209&amp;E7209&amp;G7209&amp;L7209</f>
        <v/>
      </c>
    </row>
    <row r="7210" customFormat="1" s="94">
      <c r="B7210" s="128" t="n">
        <v>44008</v>
      </c>
      <c r="C7210" s="94">
        <f>TEXT(B7210,"aaa")</f>
        <v/>
      </c>
      <c r="E7210" s="94" t="inlineStr">
        <is>
          <t>앰플</t>
        </is>
      </c>
      <c r="F7210" s="5" t="inlineStr">
        <is>
          <t>큐텐</t>
        </is>
      </c>
      <c r="G7210" s="94" t="inlineStr">
        <is>
          <t>앰플 30ml</t>
        </is>
      </c>
      <c r="H7210" s="7" t="n">
        <v>190801</v>
      </c>
      <c r="I7210" s="7" t="n">
        <v>190801</v>
      </c>
      <c r="K7210" s="94" t="n">
        <v>2</v>
      </c>
      <c r="L7210" s="7" t="n">
        <v>190801</v>
      </c>
      <c r="M7210" s="94">
        <f>VLOOKUP($Q7210,매칭테이블!$F:$I,2,0)*K7210</f>
        <v/>
      </c>
      <c r="N7210" s="94">
        <f>M7210-M7210*VLOOKUP($Q7210,매칭테이블!$F:$I,3,0)</f>
        <v/>
      </c>
      <c r="O7210" s="94">
        <f>VLOOKUP($Q7210,매칭테이블!$F:$I,4,0)*K7210</f>
        <v/>
      </c>
      <c r="P7210" s="148">
        <f>M7210/1.1</f>
        <v/>
      </c>
      <c r="Q7210" s="94">
        <f>F7210&amp;E7210&amp;G7210&amp;L7210</f>
        <v/>
      </c>
    </row>
    <row r="7211" customFormat="1" s="94">
      <c r="B7211" s="128" t="n">
        <v>44008</v>
      </c>
      <c r="C7211" s="94">
        <f>TEXT(B7211,"aaa")</f>
        <v/>
      </c>
      <c r="E7211" s="94" t="inlineStr">
        <is>
          <t>토너</t>
        </is>
      </c>
      <c r="F7211" s="5" t="inlineStr">
        <is>
          <t>화해</t>
        </is>
      </c>
      <c r="G7211" s="94" t="inlineStr">
        <is>
          <t>250ml</t>
        </is>
      </c>
      <c r="H7211" s="7" t="n">
        <v>190801</v>
      </c>
      <c r="I7211" s="7" t="n">
        <v>190801</v>
      </c>
      <c r="K7211" s="94" t="n">
        <v>6</v>
      </c>
      <c r="L7211" s="7" t="n">
        <v>190801</v>
      </c>
      <c r="M7211" s="94">
        <f>VLOOKUP($Q7211,매칭테이블!$F:$I,2,0)*K7211</f>
        <v/>
      </c>
      <c r="N7211" s="94">
        <f>M7211-M7211*VLOOKUP($Q7211,매칭테이블!$F:$I,3,0)</f>
        <v/>
      </c>
      <c r="O7211" s="94">
        <f>VLOOKUP($Q7211,매칭테이블!$F:$I,4,0)*K7211</f>
        <v/>
      </c>
      <c r="P7211" s="148">
        <f>M7211/1.1</f>
        <v/>
      </c>
      <c r="Q7211" s="94">
        <f>F7211&amp;E7211&amp;G7211&amp;L7211</f>
        <v/>
      </c>
    </row>
    <row r="7212" customFormat="1" s="94">
      <c r="B7212" s="128" t="n">
        <v>44009</v>
      </c>
      <c r="C7212" s="94">
        <f>TEXT(B7212,"aaa")</f>
        <v/>
      </c>
      <c r="E7212" s="94" t="inlineStr">
        <is>
          <t>토너</t>
        </is>
      </c>
      <c r="F7212" s="5" t="inlineStr">
        <is>
          <t>스타일쉐어</t>
        </is>
      </c>
      <c r="G7212" s="94" t="inlineStr">
        <is>
          <t>250ml</t>
        </is>
      </c>
      <c r="H7212" s="7" t="n">
        <v>190801</v>
      </c>
      <c r="I7212" s="7" t="n">
        <v>190801</v>
      </c>
      <c r="K7212" s="94" t="n">
        <v>7</v>
      </c>
      <c r="L7212" s="7" t="n">
        <v>190801</v>
      </c>
      <c r="M7212" s="94">
        <f>VLOOKUP($Q7212,매칭테이블!$F:$I,2,0)*K7212</f>
        <v/>
      </c>
      <c r="N7212" s="94">
        <f>M7212-M7212*VLOOKUP($Q7212,매칭테이블!$F:$I,3,0)</f>
        <v/>
      </c>
      <c r="O7212" s="94">
        <f>VLOOKUP($Q7212,매칭테이블!$F:$I,4,0)*K7212</f>
        <v/>
      </c>
      <c r="P7212" s="148">
        <f>M7212/1.1</f>
        <v/>
      </c>
      <c r="Q7212" s="94">
        <f>F7212&amp;E7212&amp;G7212&amp;L7212</f>
        <v/>
      </c>
    </row>
    <row r="7213" customFormat="1" s="94">
      <c r="B7213" s="128" t="n">
        <v>44009</v>
      </c>
      <c r="C7213" s="94">
        <f>TEXT(B7213,"aaa")</f>
        <v/>
      </c>
      <c r="E7213" s="94" t="inlineStr">
        <is>
          <t>선크림</t>
        </is>
      </c>
      <c r="F7213" s="5" t="inlineStr">
        <is>
          <t>카페24</t>
        </is>
      </c>
      <c r="G7213" s="94" t="inlineStr">
        <is>
          <t>선크림 50ml</t>
        </is>
      </c>
      <c r="H7213" s="7" t="n">
        <v>190801</v>
      </c>
      <c r="I7213" s="7" t="n">
        <v>190801</v>
      </c>
      <c r="K7213" s="94" t="n">
        <v>4</v>
      </c>
      <c r="L7213" s="7" t="n">
        <v>190801</v>
      </c>
      <c r="M7213" s="94">
        <f>VLOOKUP($Q7213,매칭테이블!$F:$I,2,0)*K7213</f>
        <v/>
      </c>
      <c r="N7213" s="94">
        <f>M7213-M7213*VLOOKUP($Q7213,매칭테이블!$F:$I,3,0)</f>
        <v/>
      </c>
      <c r="O7213" s="94">
        <f>VLOOKUP($Q7213,매칭테이블!$F:$I,4,0)*K7213</f>
        <v/>
      </c>
      <c r="P7213" s="148">
        <f>M7213/1.1</f>
        <v/>
      </c>
      <c r="Q7213" s="94">
        <f>F7213&amp;E7213&amp;G7213&amp;L7213</f>
        <v/>
      </c>
    </row>
    <row r="7214" customFormat="1" s="94">
      <c r="B7214" s="128" t="n">
        <v>44009</v>
      </c>
      <c r="C7214" s="94">
        <f>TEXT(B7214,"aaa")</f>
        <v/>
      </c>
      <c r="E7214" s="94" t="inlineStr">
        <is>
          <t>클렌징폼</t>
        </is>
      </c>
      <c r="F7214" s="5" t="inlineStr">
        <is>
          <t>카페24</t>
        </is>
      </c>
      <c r="G7214" s="94" t="inlineStr">
        <is>
          <t>클렌징폼 120ml(선크림할인)</t>
        </is>
      </c>
      <c r="H7214" s="7" t="n">
        <v>190801</v>
      </c>
      <c r="I7214" s="7" t="n">
        <v>190801</v>
      </c>
      <c r="K7214" s="94" t="n">
        <v>1</v>
      </c>
      <c r="L7214" s="7" t="n">
        <v>190801</v>
      </c>
      <c r="M7214" s="94">
        <f>VLOOKUP($Q7214,매칭테이블!$F:$I,2,0)*K7214</f>
        <v/>
      </c>
      <c r="N7214" s="94">
        <f>M7214-M7214*VLOOKUP($Q7214,매칭테이블!$F:$I,3,0)</f>
        <v/>
      </c>
      <c r="O7214" s="94">
        <f>VLOOKUP($Q7214,매칭테이블!$F:$I,4,0)*K7214</f>
        <v/>
      </c>
      <c r="P7214" s="148">
        <f>M7214/1.1</f>
        <v/>
      </c>
      <c r="Q7214" s="94">
        <f>F7214&amp;E7214&amp;G7214&amp;L7214</f>
        <v/>
      </c>
    </row>
    <row r="7215" customFormat="1" s="94">
      <c r="B7215" s="128" t="n">
        <v>44009</v>
      </c>
      <c r="C7215" s="94">
        <f>TEXT(B7215,"aaa")</f>
        <v/>
      </c>
      <c r="E7215" s="94" t="inlineStr">
        <is>
          <t>여름 한정 진정세트</t>
        </is>
      </c>
      <c r="F7215" s="5" t="inlineStr">
        <is>
          <t>카페24</t>
        </is>
      </c>
      <c r="G7215" s="94" t="inlineStr">
        <is>
          <t>여름 한정 진정세트</t>
        </is>
      </c>
      <c r="H7215" s="7" t="n">
        <v>190801</v>
      </c>
      <c r="I7215" s="7" t="n">
        <v>190801</v>
      </c>
      <c r="K7215" s="94" t="n">
        <v>4</v>
      </c>
      <c r="L7215" s="7" t="n">
        <v>190801</v>
      </c>
      <c r="M7215" s="94">
        <f>VLOOKUP($Q7215,매칭테이블!$F:$I,2,0)*K7215</f>
        <v/>
      </c>
      <c r="N7215" s="94">
        <f>M7215-M7215*VLOOKUP($Q7215,매칭테이블!$F:$I,3,0)</f>
        <v/>
      </c>
      <c r="O7215" s="94">
        <f>VLOOKUP($Q7215,매칭테이블!$F:$I,4,0)*K7215</f>
        <v/>
      </c>
      <c r="P7215" s="148">
        <f>M7215/1.1</f>
        <v/>
      </c>
      <c r="Q7215" s="94">
        <f>F7215&amp;E7215&amp;G7215&amp;L7215</f>
        <v/>
      </c>
    </row>
    <row r="7216" customFormat="1" s="94">
      <c r="B7216" s="128" t="n">
        <v>44009</v>
      </c>
      <c r="C7216" s="94">
        <f>TEXT(B7216,"aaa")</f>
        <v/>
      </c>
      <c r="E7216" s="94" t="inlineStr">
        <is>
          <t>여름 한정 진정세트</t>
        </is>
      </c>
      <c r="F7216" s="5" t="inlineStr">
        <is>
          <t>카페24</t>
        </is>
      </c>
      <c r="G7216" s="94" t="inlineStr">
        <is>
          <t>여름 한정 진정세트 (대용량)</t>
        </is>
      </c>
      <c r="H7216" s="7" t="n">
        <v>190801</v>
      </c>
      <c r="I7216" s="7" t="n">
        <v>190801</v>
      </c>
      <c r="K7216" s="94" t="n">
        <v>4</v>
      </c>
      <c r="L7216" s="7" t="n">
        <v>190801</v>
      </c>
      <c r="M7216" s="94">
        <f>VLOOKUP($Q7216,매칭테이블!$F:$I,2,0)*K7216</f>
        <v/>
      </c>
      <c r="N7216" s="94">
        <f>M7216-M7216*VLOOKUP($Q7216,매칭테이블!$F:$I,3,0)</f>
        <v/>
      </c>
      <c r="O7216" s="94">
        <f>VLOOKUP($Q7216,매칭테이블!$F:$I,4,0)*K7216</f>
        <v/>
      </c>
      <c r="P7216" s="148">
        <f>M7216/1.1</f>
        <v/>
      </c>
      <c r="Q7216" s="94">
        <f>F7216&amp;E7216&amp;G7216&amp;L7216</f>
        <v/>
      </c>
    </row>
    <row r="7217" customFormat="1" s="94">
      <c r="B7217" s="128" t="n">
        <v>44009</v>
      </c>
      <c r="C7217" s="94">
        <f>TEXT(B7217,"aaa")</f>
        <v/>
      </c>
      <c r="E7217" s="94" t="inlineStr">
        <is>
          <t>어성초진정패키지</t>
        </is>
      </c>
      <c r="F7217" s="5" t="inlineStr">
        <is>
          <t>카페24</t>
        </is>
      </c>
      <c r="G7217" s="94" t="inlineStr">
        <is>
          <t>어성초 진정패키지세트</t>
        </is>
      </c>
      <c r="H7217" s="7" t="n">
        <v>190801</v>
      </c>
      <c r="I7217" s="7" t="n">
        <v>190801</v>
      </c>
      <c r="K7217" s="94" t="n">
        <v>6</v>
      </c>
      <c r="L7217" s="7" t="n">
        <v>190801</v>
      </c>
      <c r="M7217" s="94">
        <f>VLOOKUP($Q7217,매칭테이블!$F:$I,2,0)*K7217</f>
        <v/>
      </c>
      <c r="N7217" s="94">
        <f>M7217-M7217*VLOOKUP($Q7217,매칭테이블!$F:$I,3,0)</f>
        <v/>
      </c>
      <c r="O7217" s="94">
        <f>VLOOKUP($Q7217,매칭테이블!$F:$I,4,0)*K7217</f>
        <v/>
      </c>
      <c r="P7217" s="148">
        <f>M7217/1.1</f>
        <v/>
      </c>
      <c r="Q7217" s="94">
        <f>F7217&amp;E7217&amp;G7217&amp;L7217</f>
        <v/>
      </c>
    </row>
    <row r="7218" customFormat="1" s="94">
      <c r="B7218" s="128" t="n">
        <v>44009</v>
      </c>
      <c r="C7218" s="94">
        <f>TEXT(B7218,"aaa")</f>
        <v/>
      </c>
      <c r="E7218" s="94" t="inlineStr">
        <is>
          <t>머드크림마스크</t>
        </is>
      </c>
      <c r="F7218" s="5" t="inlineStr">
        <is>
          <t>카페24</t>
        </is>
      </c>
      <c r="G7218" s="94" t="inlineStr">
        <is>
          <t>머드크림마스크 100ml</t>
        </is>
      </c>
      <c r="H7218" s="7" t="n">
        <v>190801</v>
      </c>
      <c r="I7218" s="7" t="n">
        <v>190801</v>
      </c>
      <c r="K7218" s="94" t="n">
        <v>3</v>
      </c>
      <c r="L7218" s="7" t="n">
        <v>190801</v>
      </c>
      <c r="M7218" s="94">
        <f>VLOOKUP($Q7218,매칭테이블!$F:$I,2,0)*K7218</f>
        <v/>
      </c>
      <c r="N7218" s="94">
        <f>M7218-M7218*VLOOKUP($Q7218,매칭테이블!$F:$I,3,0)</f>
        <v/>
      </c>
      <c r="O7218" s="94">
        <f>VLOOKUP($Q7218,매칭테이블!$F:$I,4,0)*K7218</f>
        <v/>
      </c>
      <c r="P7218" s="148">
        <f>M7218/1.1</f>
        <v/>
      </c>
      <c r="Q7218" s="94">
        <f>F7218&amp;E7218&amp;G7218&amp;L7218</f>
        <v/>
      </c>
    </row>
    <row r="7219" customFormat="1" s="94">
      <c r="B7219" s="128" t="n">
        <v>44009</v>
      </c>
      <c r="C7219" s="94">
        <f>TEXT(B7219,"aaa")</f>
        <v/>
      </c>
      <c r="E7219" s="94" t="inlineStr">
        <is>
          <t>마스크팩</t>
        </is>
      </c>
      <c r="F7219" s="5" t="inlineStr">
        <is>
          <t>카페24</t>
        </is>
      </c>
      <c r="G7219" s="94" t="inlineStr">
        <is>
          <t>마스크팩 1매</t>
        </is>
      </c>
      <c r="H7219" s="7" t="n">
        <v>190801</v>
      </c>
      <c r="I7219" s="7" t="n">
        <v>190801</v>
      </c>
      <c r="K7219" s="94" t="n">
        <v>1</v>
      </c>
      <c r="L7219" s="7" t="n">
        <v>190801</v>
      </c>
      <c r="M7219" s="94">
        <f>VLOOKUP($Q7219,매칭테이블!$F:$I,2,0)*K7219</f>
        <v/>
      </c>
      <c r="N7219" s="94">
        <f>M7219-M7219*VLOOKUP($Q7219,매칭테이블!$F:$I,3,0)</f>
        <v/>
      </c>
      <c r="O7219" s="94">
        <f>VLOOKUP($Q7219,매칭테이블!$F:$I,4,0)*K7219</f>
        <v/>
      </c>
      <c r="P7219" s="148">
        <f>M7219/1.1</f>
        <v/>
      </c>
      <c r="Q7219" s="94">
        <f>F7219&amp;E7219&amp;G7219&amp;L7219</f>
        <v/>
      </c>
    </row>
    <row r="7220" customFormat="1" s="94">
      <c r="B7220" s="128" t="n">
        <v>44009</v>
      </c>
      <c r="C7220" s="94">
        <f>TEXT(B7220,"aaa")</f>
        <v/>
      </c>
      <c r="E7220" s="94" t="inlineStr">
        <is>
          <t>마스크팩</t>
        </is>
      </c>
      <c r="F7220" s="5" t="inlineStr">
        <is>
          <t>카페24</t>
        </is>
      </c>
      <c r="G7220" s="94" t="inlineStr">
        <is>
          <t>마스크팩 10매</t>
        </is>
      </c>
      <c r="H7220" s="7" t="n">
        <v>190801</v>
      </c>
      <c r="I7220" s="7" t="n">
        <v>190801</v>
      </c>
      <c r="K7220" s="94" t="n">
        <v>2</v>
      </c>
      <c r="L7220" s="7" t="n">
        <v>190801</v>
      </c>
      <c r="M7220" s="94">
        <f>VLOOKUP($Q7220,매칭테이블!$F:$I,2,0)*K7220</f>
        <v/>
      </c>
      <c r="N7220" s="94">
        <f>M7220-M7220*VLOOKUP($Q7220,매칭테이블!$F:$I,3,0)</f>
        <v/>
      </c>
      <c r="O7220" s="94">
        <f>VLOOKUP($Q7220,매칭테이블!$F:$I,4,0)*K7220</f>
        <v/>
      </c>
      <c r="P7220" s="148">
        <f>M7220/1.1</f>
        <v/>
      </c>
      <c r="Q7220" s="94">
        <f>F7220&amp;E7220&amp;G7220&amp;L7220</f>
        <v/>
      </c>
    </row>
    <row r="7221" customFormat="1" s="94">
      <c r="B7221" s="128" t="n">
        <v>44009</v>
      </c>
      <c r="C7221" s="94">
        <f>TEXT(B7221,"aaa")</f>
        <v/>
      </c>
      <c r="E7221" s="94" t="inlineStr">
        <is>
          <t>토너</t>
        </is>
      </c>
      <c r="F7221" s="5" t="inlineStr">
        <is>
          <t>카페24</t>
        </is>
      </c>
      <c r="G7221" s="94" t="inlineStr">
        <is>
          <t>250ml</t>
        </is>
      </c>
      <c r="H7221" s="7" t="n">
        <v>190801</v>
      </c>
      <c r="I7221" s="7" t="n">
        <v>190801</v>
      </c>
      <c r="K7221" s="94" t="n">
        <v>32</v>
      </c>
      <c r="L7221" s="7" t="n">
        <v>190801</v>
      </c>
      <c r="M7221" s="94">
        <f>VLOOKUP($Q7221,매칭테이블!$F:$I,2,0)*K7221</f>
        <v/>
      </c>
      <c r="N7221" s="94">
        <f>M7221-M7221*VLOOKUP($Q7221,매칭테이블!$F:$I,3,0)</f>
        <v/>
      </c>
      <c r="O7221" s="94">
        <f>VLOOKUP($Q7221,매칭테이블!$F:$I,4,0)*K7221</f>
        <v/>
      </c>
      <c r="P7221" s="148">
        <f>M7221/1.1</f>
        <v/>
      </c>
      <c r="Q7221" s="94">
        <f>F7221&amp;E7221&amp;G7221&amp;L7221</f>
        <v/>
      </c>
    </row>
    <row r="7222" customFormat="1" s="94">
      <c r="B7222" s="128" t="n">
        <v>44009</v>
      </c>
      <c r="C7222" s="94">
        <f>TEXT(B7222,"aaa")</f>
        <v/>
      </c>
      <c r="E7222" s="94" t="inlineStr">
        <is>
          <t>토너</t>
        </is>
      </c>
      <c r="F7222" s="5" t="inlineStr">
        <is>
          <t>카페24</t>
        </is>
      </c>
      <c r="G7222" s="94" t="inlineStr">
        <is>
          <t>250ml 2set</t>
        </is>
      </c>
      <c r="H7222" s="7" t="n">
        <v>190801</v>
      </c>
      <c r="I7222" s="7" t="n">
        <v>190801</v>
      </c>
      <c r="K7222" s="94" t="n">
        <v>41</v>
      </c>
      <c r="L7222" s="7" t="n">
        <v>190801</v>
      </c>
      <c r="M7222" s="94">
        <f>VLOOKUP($Q7222,매칭테이블!$F:$I,2,0)*K7222</f>
        <v/>
      </c>
      <c r="N7222" s="94">
        <f>M7222-M7222*VLOOKUP($Q7222,매칭테이블!$F:$I,3,0)</f>
        <v/>
      </c>
      <c r="O7222" s="94">
        <f>VLOOKUP($Q7222,매칭테이블!$F:$I,4,0)*K7222</f>
        <v/>
      </c>
      <c r="P7222" s="148">
        <f>M7222/1.1</f>
        <v/>
      </c>
      <c r="Q7222" s="94">
        <f>F7222&amp;E7222&amp;G7222&amp;L7222</f>
        <v/>
      </c>
    </row>
    <row r="7223" customFormat="1" s="94">
      <c r="B7223" s="128" t="n">
        <v>44009</v>
      </c>
      <c r="C7223" s="94">
        <f>TEXT(B7223,"aaa")</f>
        <v/>
      </c>
      <c r="E7223" s="94" t="inlineStr">
        <is>
          <t>토너</t>
        </is>
      </c>
      <c r="F7223" s="5" t="inlineStr">
        <is>
          <t>카페24</t>
        </is>
      </c>
      <c r="G7223" s="94" t="inlineStr">
        <is>
          <t>500ml</t>
        </is>
      </c>
      <c r="H7223" s="7" t="n">
        <v>190801</v>
      </c>
      <c r="I7223" s="7" t="n">
        <v>190801</v>
      </c>
      <c r="K7223" s="94" t="n">
        <v>42</v>
      </c>
      <c r="L7223" s="7" t="n">
        <v>190801</v>
      </c>
      <c r="M7223" s="94">
        <f>VLOOKUP($Q7223,매칭테이블!$F:$I,2,0)*K7223</f>
        <v/>
      </c>
      <c r="N7223" s="94">
        <f>M7223-M7223*VLOOKUP($Q7223,매칭테이블!$F:$I,3,0)</f>
        <v/>
      </c>
      <c r="O7223" s="94">
        <f>VLOOKUP($Q7223,매칭테이블!$F:$I,4,0)*K7223</f>
        <v/>
      </c>
      <c r="P7223" s="148">
        <f>M7223/1.1</f>
        <v/>
      </c>
      <c r="Q7223" s="94">
        <f>F7223&amp;E7223&amp;G7223&amp;L7223</f>
        <v/>
      </c>
    </row>
    <row r="7224" customFormat="1" s="94">
      <c r="B7224" s="128" t="n">
        <v>44009</v>
      </c>
      <c r="C7224" s="94">
        <f>TEXT(B7224,"aaa")</f>
        <v/>
      </c>
      <c r="E7224" s="94" t="inlineStr">
        <is>
          <t>토너</t>
        </is>
      </c>
      <c r="F7224" s="5" t="inlineStr">
        <is>
          <t>카페24</t>
        </is>
      </c>
      <c r="G7224" s="94" t="inlineStr">
        <is>
          <t>스킨팩 화장솜 60P</t>
        </is>
      </c>
      <c r="H7224" s="7" t="n">
        <v>190801</v>
      </c>
      <c r="I7224" s="7" t="n">
        <v>190801</v>
      </c>
      <c r="K7224" s="94" t="n">
        <v>44</v>
      </c>
      <c r="L7224" s="7" t="n">
        <v>190801</v>
      </c>
      <c r="M7224" s="94">
        <f>VLOOKUP($Q7224,매칭테이블!$F:$I,2,0)*K7224</f>
        <v/>
      </c>
      <c r="N7224" s="94">
        <f>M7224-M7224*VLOOKUP($Q7224,매칭테이블!$F:$I,3,0)</f>
        <v/>
      </c>
      <c r="O7224" s="94">
        <f>VLOOKUP($Q7224,매칭테이블!$F:$I,4,0)*K7224</f>
        <v/>
      </c>
      <c r="P7224" s="148">
        <f>M7224/1.1</f>
        <v/>
      </c>
      <c r="Q7224" s="94">
        <f>F7224&amp;E7224&amp;G7224&amp;L7224</f>
        <v/>
      </c>
    </row>
    <row r="7225" customFormat="1" s="94">
      <c r="B7225" s="128" t="n">
        <v>44009</v>
      </c>
      <c r="C7225" s="94">
        <f>TEXT(B7225,"aaa")</f>
        <v/>
      </c>
      <c r="E7225" s="94" t="inlineStr">
        <is>
          <t>앰플</t>
        </is>
      </c>
      <c r="F7225" s="5" t="inlineStr">
        <is>
          <t>카페24</t>
        </is>
      </c>
      <c r="G7225" s="94" t="inlineStr">
        <is>
          <t>앰플 30ml</t>
        </is>
      </c>
      <c r="H7225" s="7" t="n">
        <v>190801</v>
      </c>
      <c r="I7225" s="7" t="n">
        <v>190801</v>
      </c>
      <c r="K7225" s="94" t="n">
        <v>12</v>
      </c>
      <c r="L7225" s="7" t="n">
        <v>190801</v>
      </c>
      <c r="M7225" s="94">
        <f>VLOOKUP($Q7225,매칭테이블!$F:$I,2,0)*K7225</f>
        <v/>
      </c>
      <c r="N7225" s="94">
        <f>M7225-M7225*VLOOKUP($Q7225,매칭테이블!$F:$I,3,0)</f>
        <v/>
      </c>
      <c r="O7225" s="94">
        <f>VLOOKUP($Q7225,매칭테이블!$F:$I,4,0)*K7225</f>
        <v/>
      </c>
      <c r="P7225" s="148">
        <f>M7225/1.1</f>
        <v/>
      </c>
      <c r="Q7225" s="94">
        <f>F7225&amp;E7225&amp;G7225&amp;L7225</f>
        <v/>
      </c>
    </row>
    <row r="7226" customFormat="1" s="94">
      <c r="B7226" s="128" t="n">
        <v>44009</v>
      </c>
      <c r="C7226" s="94">
        <f>TEXT(B7226,"aaa")</f>
        <v/>
      </c>
      <c r="E7226" s="94" t="inlineStr">
        <is>
          <t>수딩크림</t>
        </is>
      </c>
      <c r="F7226" s="5" t="inlineStr">
        <is>
          <t>카페24</t>
        </is>
      </c>
      <c r="G7226" s="94" t="inlineStr">
        <is>
          <t>수딩크림 100ml</t>
        </is>
      </c>
      <c r="H7226" s="7" t="n">
        <v>190801</v>
      </c>
      <c r="I7226" s="7" t="n">
        <v>190801</v>
      </c>
      <c r="K7226" s="94" t="n">
        <v>4</v>
      </c>
      <c r="L7226" s="7" t="n">
        <v>190801</v>
      </c>
      <c r="M7226" s="94">
        <f>VLOOKUP($Q7226,매칭테이블!$F:$I,2,0)*K7226</f>
        <v/>
      </c>
      <c r="N7226" s="94">
        <f>M7226-M7226*VLOOKUP($Q7226,매칭테이블!$F:$I,3,0)</f>
        <v/>
      </c>
      <c r="O7226" s="94">
        <f>VLOOKUP($Q7226,매칭테이블!$F:$I,4,0)*K7226</f>
        <v/>
      </c>
      <c r="P7226" s="148">
        <f>M7226/1.1</f>
        <v/>
      </c>
      <c r="Q7226" s="94">
        <f>F7226&amp;E7226&amp;G7226&amp;L7226</f>
        <v/>
      </c>
    </row>
    <row r="7227" customFormat="1" s="94">
      <c r="B7227" s="128" t="n">
        <v>44009</v>
      </c>
      <c r="C7227" s="94">
        <f>TEXT(B7227,"aaa")</f>
        <v/>
      </c>
      <c r="E7227" s="94" t="inlineStr">
        <is>
          <t>클렌징폼</t>
        </is>
      </c>
      <c r="F7227" s="5" t="inlineStr">
        <is>
          <t>카페24</t>
        </is>
      </c>
      <c r="G7227" s="94" t="inlineStr">
        <is>
          <t>클렌징폼 120ml</t>
        </is>
      </c>
      <c r="H7227" s="7" t="n">
        <v>190801</v>
      </c>
      <c r="I7227" s="7" t="n">
        <v>190801</v>
      </c>
      <c r="K7227" s="94" t="n">
        <v>3</v>
      </c>
      <c r="L7227" s="7" t="n">
        <v>190801</v>
      </c>
      <c r="M7227" s="94">
        <f>VLOOKUP($Q7227,매칭테이블!$F:$I,2,0)*K7227</f>
        <v/>
      </c>
      <c r="N7227" s="94">
        <f>M7227-M7227*VLOOKUP($Q7227,매칭테이블!$F:$I,3,0)</f>
        <v/>
      </c>
      <c r="O7227" s="94">
        <f>VLOOKUP($Q7227,매칭테이블!$F:$I,4,0)*K7227</f>
        <v/>
      </c>
      <c r="P7227" s="148">
        <f>M7227/1.1</f>
        <v/>
      </c>
      <c r="Q7227" s="94">
        <f>F7227&amp;E7227&amp;G7227&amp;L7227</f>
        <v/>
      </c>
    </row>
    <row r="7228" customFormat="1" s="94">
      <c r="B7228" s="128" t="n">
        <v>44009</v>
      </c>
      <c r="C7228" s="94">
        <f>TEXT(B7228,"aaa")</f>
        <v/>
      </c>
      <c r="E7228" s="94" t="inlineStr">
        <is>
          <t>클렌징폼</t>
        </is>
      </c>
      <c r="F7228" s="5" t="inlineStr">
        <is>
          <t>카페24</t>
        </is>
      </c>
      <c r="G7228" s="94" t="inlineStr">
        <is>
          <t>클렌징폼 120ml 2set</t>
        </is>
      </c>
      <c r="H7228" s="7" t="n">
        <v>190801</v>
      </c>
      <c r="I7228" s="7" t="n">
        <v>190801</v>
      </c>
      <c r="K7228" s="94" t="n">
        <v>1</v>
      </c>
      <c r="L7228" s="7" t="n">
        <v>190801</v>
      </c>
      <c r="M7228" s="94">
        <f>VLOOKUP($Q7228,매칭테이블!$F:$I,2,0)*K7228</f>
        <v/>
      </c>
      <c r="N7228" s="94">
        <f>M7228-M7228*VLOOKUP($Q7228,매칭테이블!$F:$I,3,0)</f>
        <v/>
      </c>
      <c r="O7228" s="94">
        <f>VLOOKUP($Q7228,매칭테이블!$F:$I,4,0)*K7228</f>
        <v/>
      </c>
      <c r="P7228" s="148">
        <f>M7228/1.1</f>
        <v/>
      </c>
      <c r="Q7228" s="94">
        <f>F7228&amp;E7228&amp;G7228&amp;L7228</f>
        <v/>
      </c>
    </row>
    <row r="7229" customFormat="1" s="94">
      <c r="B7229" s="128" t="n">
        <v>44009</v>
      </c>
      <c r="C7229" s="94">
        <f>TEXT(B7229,"aaa")</f>
        <v/>
      </c>
      <c r="E7229" s="94" t="inlineStr">
        <is>
          <t>클렌징폼</t>
        </is>
      </c>
      <c r="F7229" s="5" t="inlineStr">
        <is>
          <t>카페24</t>
        </is>
      </c>
      <c r="G7229" s="94" t="inlineStr">
        <is>
          <t>클렌징폼 120ml 3set</t>
        </is>
      </c>
      <c r="H7229" s="7" t="n">
        <v>190801</v>
      </c>
      <c r="I7229" s="7" t="n">
        <v>190801</v>
      </c>
      <c r="K7229" s="94" t="n">
        <v>2</v>
      </c>
      <c r="L7229" s="7" t="n">
        <v>190801</v>
      </c>
      <c r="M7229" s="94">
        <f>VLOOKUP($Q7229,매칭테이블!$F:$I,2,0)*K7229</f>
        <v/>
      </c>
      <c r="N7229" s="94">
        <f>M7229-M7229*VLOOKUP($Q7229,매칭테이블!$F:$I,3,0)</f>
        <v/>
      </c>
      <c r="O7229" s="94">
        <f>VLOOKUP($Q7229,매칭테이블!$F:$I,4,0)*K7229</f>
        <v/>
      </c>
      <c r="P7229" s="148">
        <f>M7229/1.1</f>
        <v/>
      </c>
      <c r="Q7229" s="94">
        <f>F7229&amp;E7229&amp;G7229&amp;L7229</f>
        <v/>
      </c>
    </row>
    <row r="7230" customFormat="1" s="94">
      <c r="B7230" s="128" t="n">
        <v>44009</v>
      </c>
      <c r="C7230" s="94">
        <f>TEXT(B7230,"aaa")</f>
        <v/>
      </c>
      <c r="E7230" s="94" t="inlineStr">
        <is>
          <t>토너</t>
        </is>
      </c>
      <c r="F7230" s="5" t="inlineStr">
        <is>
          <t>화해</t>
        </is>
      </c>
      <c r="G7230" s="94" t="inlineStr">
        <is>
          <t>250ml</t>
        </is>
      </c>
      <c r="H7230" s="7" t="n">
        <v>190801</v>
      </c>
      <c r="I7230" s="7" t="n">
        <v>190801</v>
      </c>
      <c r="K7230" s="94" t="n">
        <v>5</v>
      </c>
      <c r="L7230" s="7" t="n">
        <v>190801</v>
      </c>
      <c r="M7230" s="94">
        <f>VLOOKUP($Q7230,매칭테이블!$F:$I,2,0)*K7230</f>
        <v/>
      </c>
      <c r="N7230" s="94">
        <f>M7230-M7230*VLOOKUP($Q7230,매칭테이블!$F:$I,3,0)</f>
        <v/>
      </c>
      <c r="O7230" s="94">
        <f>VLOOKUP($Q7230,매칭테이블!$F:$I,4,0)*K7230</f>
        <v/>
      </c>
      <c r="P7230" s="148">
        <f>M7230/1.1</f>
        <v/>
      </c>
      <c r="Q7230" s="94">
        <f>F7230&amp;E7230&amp;G7230&amp;L7230</f>
        <v/>
      </c>
    </row>
    <row r="7231" customFormat="1" s="94">
      <c r="B7231" s="128" t="n">
        <v>44010</v>
      </c>
      <c r="C7231" s="94">
        <f>TEXT(B7231,"aaa")</f>
        <v/>
      </c>
      <c r="E7231" s="94" t="inlineStr">
        <is>
          <t>토너</t>
        </is>
      </c>
      <c r="F7231" s="5" t="inlineStr">
        <is>
          <t>스타일쉐어</t>
        </is>
      </c>
      <c r="G7231" s="94" t="inlineStr">
        <is>
          <t>250ml</t>
        </is>
      </c>
      <c r="H7231" s="7" t="n">
        <v>190801</v>
      </c>
      <c r="I7231" s="7" t="n">
        <v>190801</v>
      </c>
      <c r="K7231" s="94" t="n">
        <v>12</v>
      </c>
      <c r="L7231" s="7" t="n">
        <v>190801</v>
      </c>
      <c r="M7231" s="94">
        <f>VLOOKUP($Q7231,매칭테이블!$F:$I,2,0)*K7231</f>
        <v/>
      </c>
      <c r="N7231" s="94">
        <f>M7231-M7231*VLOOKUP($Q7231,매칭테이블!$F:$I,3,0)</f>
        <v/>
      </c>
      <c r="O7231" s="94">
        <f>VLOOKUP($Q7231,매칭테이블!$F:$I,4,0)*K7231</f>
        <v/>
      </c>
      <c r="P7231" s="148">
        <f>M7231/1.1</f>
        <v/>
      </c>
      <c r="Q7231" s="94">
        <f>F7231&amp;E7231&amp;G7231&amp;L7231</f>
        <v/>
      </c>
    </row>
    <row r="7232" customFormat="1" s="94">
      <c r="B7232" s="128" t="n">
        <v>44010</v>
      </c>
      <c r="C7232" s="94">
        <f>TEXT(B7232,"aaa")</f>
        <v/>
      </c>
      <c r="E7232" s="94" t="inlineStr">
        <is>
          <t>선크림</t>
        </is>
      </c>
      <c r="F7232" s="5" t="inlineStr">
        <is>
          <t>카페24</t>
        </is>
      </c>
      <c r="G7232" s="94" t="inlineStr">
        <is>
          <t>선크림 50ml</t>
        </is>
      </c>
      <c r="H7232" s="7" t="n">
        <v>190801</v>
      </c>
      <c r="I7232" s="7" t="n">
        <v>190801</v>
      </c>
      <c r="K7232" s="94" t="n">
        <v>5</v>
      </c>
      <c r="L7232" s="7" t="n">
        <v>190801</v>
      </c>
      <c r="M7232" s="94">
        <f>VLOOKUP($Q7232,매칭테이블!$F:$I,2,0)*K7232</f>
        <v/>
      </c>
      <c r="N7232" s="94">
        <f>M7232-M7232*VLOOKUP($Q7232,매칭테이블!$F:$I,3,0)</f>
        <v/>
      </c>
      <c r="O7232" s="94">
        <f>VLOOKUP($Q7232,매칭테이블!$F:$I,4,0)*K7232</f>
        <v/>
      </c>
      <c r="P7232" s="148">
        <f>M7232/1.1</f>
        <v/>
      </c>
      <c r="Q7232" s="94">
        <f>F7232&amp;E7232&amp;G7232&amp;L7232</f>
        <v/>
      </c>
    </row>
    <row r="7233" customFormat="1" s="94">
      <c r="B7233" s="128" t="n">
        <v>44010</v>
      </c>
      <c r="C7233" s="94">
        <f>TEXT(B7233,"aaa")</f>
        <v/>
      </c>
      <c r="E7233" s="94" t="inlineStr">
        <is>
          <t>선크림</t>
        </is>
      </c>
      <c r="F7233" s="5" t="inlineStr">
        <is>
          <t>카페24</t>
        </is>
      </c>
      <c r="G7233" s="94" t="inlineStr">
        <is>
          <t>선크림 50ml  2set</t>
        </is>
      </c>
      <c r="H7233" s="7" t="n">
        <v>190801</v>
      </c>
      <c r="I7233" s="7" t="n">
        <v>190801</v>
      </c>
      <c r="K7233" s="94" t="n">
        <v>1</v>
      </c>
      <c r="L7233" s="7" t="n">
        <v>190801</v>
      </c>
      <c r="M7233" s="94">
        <f>VLOOKUP($Q7233,매칭테이블!$F:$I,2,0)*K7233</f>
        <v/>
      </c>
      <c r="N7233" s="94">
        <f>M7233-M7233*VLOOKUP($Q7233,매칭테이블!$F:$I,3,0)</f>
        <v/>
      </c>
      <c r="O7233" s="94">
        <f>VLOOKUP($Q7233,매칭테이블!$F:$I,4,0)*K7233</f>
        <v/>
      </c>
      <c r="P7233" s="148">
        <f>M7233/1.1</f>
        <v/>
      </c>
      <c r="Q7233" s="94">
        <f>F7233&amp;E7233&amp;G7233&amp;L7233</f>
        <v/>
      </c>
    </row>
    <row r="7234" customFormat="1" s="94">
      <c r="B7234" s="128" t="n">
        <v>44010</v>
      </c>
      <c r="C7234" s="94">
        <f>TEXT(B7234,"aaa")</f>
        <v/>
      </c>
      <c r="E7234" s="94" t="inlineStr">
        <is>
          <t>클렌징폼</t>
        </is>
      </c>
      <c r="F7234" s="5" t="inlineStr">
        <is>
          <t>카페24</t>
        </is>
      </c>
      <c r="G7234" s="94" t="inlineStr">
        <is>
          <t>클렌징폼 120ml(선크림할인)</t>
        </is>
      </c>
      <c r="H7234" s="7" t="n">
        <v>190801</v>
      </c>
      <c r="I7234" s="7" t="n">
        <v>190801</v>
      </c>
      <c r="K7234" s="94" t="n">
        <v>2</v>
      </c>
      <c r="L7234" s="7" t="n">
        <v>190801</v>
      </c>
      <c r="M7234" s="94">
        <f>VLOOKUP($Q7234,매칭테이블!$F:$I,2,0)*K7234</f>
        <v/>
      </c>
      <c r="N7234" s="94">
        <f>M7234-M7234*VLOOKUP($Q7234,매칭테이블!$F:$I,3,0)</f>
        <v/>
      </c>
      <c r="O7234" s="94">
        <f>VLOOKUP($Q7234,매칭테이블!$F:$I,4,0)*K7234</f>
        <v/>
      </c>
      <c r="P7234" s="148">
        <f>M7234/1.1</f>
        <v/>
      </c>
      <c r="Q7234" s="94">
        <f>F7234&amp;E7234&amp;G7234&amp;L7234</f>
        <v/>
      </c>
    </row>
    <row r="7235" customFormat="1" s="94">
      <c r="B7235" s="128" t="n">
        <v>44010</v>
      </c>
      <c r="C7235" s="94">
        <f>TEXT(B7235,"aaa")</f>
        <v/>
      </c>
      <c r="E7235" s="94" t="inlineStr">
        <is>
          <t>여름 한정 진정세트</t>
        </is>
      </c>
      <c r="F7235" s="5" t="inlineStr">
        <is>
          <t>카페24</t>
        </is>
      </c>
      <c r="G7235" s="94" t="inlineStr">
        <is>
          <t>여름 한정 진정세트</t>
        </is>
      </c>
      <c r="H7235" s="7" t="n">
        <v>190801</v>
      </c>
      <c r="I7235" s="7" t="n">
        <v>190801</v>
      </c>
      <c r="K7235" s="94" t="n">
        <v>1</v>
      </c>
      <c r="L7235" s="7" t="n">
        <v>190801</v>
      </c>
      <c r="M7235" s="94">
        <f>VLOOKUP($Q7235,매칭테이블!$F:$I,2,0)*K7235</f>
        <v/>
      </c>
      <c r="N7235" s="94">
        <f>M7235-M7235*VLOOKUP($Q7235,매칭테이블!$F:$I,3,0)</f>
        <v/>
      </c>
      <c r="O7235" s="94">
        <f>VLOOKUP($Q7235,매칭테이블!$F:$I,4,0)*K7235</f>
        <v/>
      </c>
      <c r="P7235" s="148">
        <f>M7235/1.1</f>
        <v/>
      </c>
      <c r="Q7235" s="94">
        <f>F7235&amp;E7235&amp;G7235&amp;L7235</f>
        <v/>
      </c>
    </row>
    <row r="7236" customFormat="1" s="94">
      <c r="B7236" s="128" t="n">
        <v>44010</v>
      </c>
      <c r="C7236" s="94">
        <f>TEXT(B7236,"aaa")</f>
        <v/>
      </c>
      <c r="E7236" s="94" t="inlineStr">
        <is>
          <t>여름 한정 진정세트</t>
        </is>
      </c>
      <c r="F7236" s="5" t="inlineStr">
        <is>
          <t>카페24</t>
        </is>
      </c>
      <c r="G7236" s="94" t="inlineStr">
        <is>
          <t>여름 한정 진정세트 (대용량)</t>
        </is>
      </c>
      <c r="H7236" s="7" t="n">
        <v>190801</v>
      </c>
      <c r="I7236" s="7" t="n">
        <v>190801</v>
      </c>
      <c r="K7236" s="94" t="n">
        <v>2</v>
      </c>
      <c r="L7236" s="7" t="n">
        <v>190801</v>
      </c>
      <c r="M7236" s="94">
        <f>VLOOKUP($Q7236,매칭테이블!$F:$I,2,0)*K7236</f>
        <v/>
      </c>
      <c r="N7236" s="94">
        <f>M7236-M7236*VLOOKUP($Q7236,매칭테이블!$F:$I,3,0)</f>
        <v/>
      </c>
      <c r="O7236" s="94">
        <f>VLOOKUP($Q7236,매칭테이블!$F:$I,4,0)*K7236</f>
        <v/>
      </c>
      <c r="P7236" s="148">
        <f>M7236/1.1</f>
        <v/>
      </c>
      <c r="Q7236" s="94">
        <f>F7236&amp;E7236&amp;G7236&amp;L7236</f>
        <v/>
      </c>
    </row>
    <row r="7237" customFormat="1" s="94">
      <c r="B7237" s="128" t="n">
        <v>44010</v>
      </c>
      <c r="C7237" s="94">
        <f>TEXT(B7237,"aaa")</f>
        <v/>
      </c>
      <c r="E7237" s="94" t="inlineStr">
        <is>
          <t>어성초진정패키지</t>
        </is>
      </c>
      <c r="F7237" s="5" t="inlineStr">
        <is>
          <t>카페24</t>
        </is>
      </c>
      <c r="G7237" s="94" t="inlineStr">
        <is>
          <t>어성초 진정패키지세트</t>
        </is>
      </c>
      <c r="H7237" s="7" t="n">
        <v>190801</v>
      </c>
      <c r="I7237" s="7" t="n">
        <v>190801</v>
      </c>
      <c r="K7237" s="94" t="n">
        <v>8</v>
      </c>
      <c r="L7237" s="7" t="n">
        <v>190801</v>
      </c>
      <c r="M7237" s="94">
        <f>VLOOKUP($Q7237,매칭테이블!$F:$I,2,0)*K7237</f>
        <v/>
      </c>
      <c r="N7237" s="94">
        <f>M7237-M7237*VLOOKUP($Q7237,매칭테이블!$F:$I,3,0)</f>
        <v/>
      </c>
      <c r="O7237" s="94">
        <f>VLOOKUP($Q7237,매칭테이블!$F:$I,4,0)*K7237</f>
        <v/>
      </c>
      <c r="P7237" s="148">
        <f>M7237/1.1</f>
        <v/>
      </c>
      <c r="Q7237" s="94">
        <f>F7237&amp;E7237&amp;G7237&amp;L7237</f>
        <v/>
      </c>
    </row>
    <row r="7238" customFormat="1" s="94">
      <c r="B7238" s="128" t="n">
        <v>44010</v>
      </c>
      <c r="C7238" s="94">
        <f>TEXT(B7238,"aaa")</f>
        <v/>
      </c>
      <c r="E7238" s="94" t="inlineStr">
        <is>
          <t>머드크림마스크</t>
        </is>
      </c>
      <c r="F7238" s="5" t="inlineStr">
        <is>
          <t>카페24</t>
        </is>
      </c>
      <c r="G7238" s="94" t="inlineStr">
        <is>
          <t>머드크림마스크 100ml</t>
        </is>
      </c>
      <c r="H7238" s="7" t="n">
        <v>190801</v>
      </c>
      <c r="I7238" s="7" t="n">
        <v>190801</v>
      </c>
      <c r="K7238" s="94" t="n">
        <v>2</v>
      </c>
      <c r="L7238" s="7" t="n">
        <v>190801</v>
      </c>
      <c r="M7238" s="94">
        <f>VLOOKUP($Q7238,매칭테이블!$F:$I,2,0)*K7238</f>
        <v/>
      </c>
      <c r="N7238" s="94">
        <f>M7238-M7238*VLOOKUP($Q7238,매칭테이블!$F:$I,3,0)</f>
        <v/>
      </c>
      <c r="O7238" s="94">
        <f>VLOOKUP($Q7238,매칭테이블!$F:$I,4,0)*K7238</f>
        <v/>
      </c>
      <c r="P7238" s="148">
        <f>M7238/1.1</f>
        <v/>
      </c>
      <c r="Q7238" s="94">
        <f>F7238&amp;E7238&amp;G7238&amp;L7238</f>
        <v/>
      </c>
    </row>
    <row r="7239" customFormat="1" s="94">
      <c r="B7239" s="128" t="n">
        <v>44010</v>
      </c>
      <c r="C7239" s="94">
        <f>TEXT(B7239,"aaa")</f>
        <v/>
      </c>
      <c r="E7239" s="94" t="inlineStr">
        <is>
          <t>머드크림마스크</t>
        </is>
      </c>
      <c r="F7239" s="5" t="inlineStr">
        <is>
          <t>카페24</t>
        </is>
      </c>
      <c r="G7239" s="94" t="inlineStr">
        <is>
          <t>머드크림마스크 100ml 2set</t>
        </is>
      </c>
      <c r="H7239" s="7" t="n">
        <v>190801</v>
      </c>
      <c r="I7239" s="7" t="n">
        <v>190801</v>
      </c>
      <c r="K7239" s="94" t="n">
        <v>1</v>
      </c>
      <c r="L7239" s="7" t="n">
        <v>190801</v>
      </c>
      <c r="M7239" s="94">
        <f>VLOOKUP($Q7239,매칭테이블!$F:$I,2,0)*K7239</f>
        <v/>
      </c>
      <c r="N7239" s="94">
        <f>M7239-M7239*VLOOKUP($Q7239,매칭테이블!$F:$I,3,0)</f>
        <v/>
      </c>
      <c r="O7239" s="94">
        <f>VLOOKUP($Q7239,매칭테이블!$F:$I,4,0)*K7239</f>
        <v/>
      </c>
      <c r="P7239" s="148">
        <f>M7239/1.1</f>
        <v/>
      </c>
      <c r="Q7239" s="94">
        <f>F7239&amp;E7239&amp;G7239&amp;L7239</f>
        <v/>
      </c>
    </row>
    <row r="7240" customFormat="1" s="94">
      <c r="B7240" s="128" t="n">
        <v>44010</v>
      </c>
      <c r="C7240" s="94">
        <f>TEXT(B7240,"aaa")</f>
        <v/>
      </c>
      <c r="E7240" s="94" t="inlineStr">
        <is>
          <t>마스크팩</t>
        </is>
      </c>
      <c r="F7240" s="5" t="inlineStr">
        <is>
          <t>카페24</t>
        </is>
      </c>
      <c r="G7240" s="94" t="inlineStr">
        <is>
          <t>마스크팩 1매</t>
        </is>
      </c>
      <c r="H7240" s="7" t="n">
        <v>190801</v>
      </c>
      <c r="I7240" s="7" t="n">
        <v>190801</v>
      </c>
      <c r="K7240" s="94" t="n">
        <v>3</v>
      </c>
      <c r="L7240" s="7" t="n">
        <v>190801</v>
      </c>
      <c r="M7240" s="94">
        <f>VLOOKUP($Q7240,매칭테이블!$F:$I,2,0)*K7240</f>
        <v/>
      </c>
      <c r="N7240" s="94">
        <f>M7240-M7240*VLOOKUP($Q7240,매칭테이블!$F:$I,3,0)</f>
        <v/>
      </c>
      <c r="O7240" s="94">
        <f>VLOOKUP($Q7240,매칭테이블!$F:$I,4,0)*K7240</f>
        <v/>
      </c>
      <c r="P7240" s="148">
        <f>M7240/1.1</f>
        <v/>
      </c>
      <c r="Q7240" s="94">
        <f>F7240&amp;E7240&amp;G7240&amp;L7240</f>
        <v/>
      </c>
    </row>
    <row r="7241" customFormat="1" s="94">
      <c r="B7241" s="128" t="n">
        <v>44010</v>
      </c>
      <c r="C7241" s="94">
        <f>TEXT(B7241,"aaa")</f>
        <v/>
      </c>
      <c r="E7241" s="94" t="inlineStr">
        <is>
          <t>마스크팩</t>
        </is>
      </c>
      <c r="F7241" s="5" t="inlineStr">
        <is>
          <t>카페24</t>
        </is>
      </c>
      <c r="G7241" s="94" t="inlineStr">
        <is>
          <t>마스크팩 10매</t>
        </is>
      </c>
      <c r="H7241" s="7" t="n">
        <v>190801</v>
      </c>
      <c r="I7241" s="7" t="n">
        <v>190801</v>
      </c>
      <c r="K7241" s="94" t="n">
        <v>4</v>
      </c>
      <c r="L7241" s="7" t="n">
        <v>190801</v>
      </c>
      <c r="M7241" s="94">
        <f>VLOOKUP($Q7241,매칭테이블!$F:$I,2,0)*K7241</f>
        <v/>
      </c>
      <c r="N7241" s="94">
        <f>M7241-M7241*VLOOKUP($Q7241,매칭테이블!$F:$I,3,0)</f>
        <v/>
      </c>
      <c r="O7241" s="94">
        <f>VLOOKUP($Q7241,매칭테이블!$F:$I,4,0)*K7241</f>
        <v/>
      </c>
      <c r="P7241" s="148">
        <f>M7241/1.1</f>
        <v/>
      </c>
      <c r="Q7241" s="94">
        <f>F7241&amp;E7241&amp;G7241&amp;L7241</f>
        <v/>
      </c>
    </row>
    <row r="7242" customFormat="1" s="94">
      <c r="B7242" s="128" t="n">
        <v>44010</v>
      </c>
      <c r="C7242" s="94">
        <f>TEXT(B7242,"aaa")</f>
        <v/>
      </c>
      <c r="E7242" s="94" t="inlineStr">
        <is>
          <t>토너</t>
        </is>
      </c>
      <c r="F7242" s="5" t="inlineStr">
        <is>
          <t>카페24</t>
        </is>
      </c>
      <c r="G7242" s="94" t="inlineStr">
        <is>
          <t>250ml</t>
        </is>
      </c>
      <c r="H7242" s="7" t="n">
        <v>190801</v>
      </c>
      <c r="I7242" s="7" t="n">
        <v>190801</v>
      </c>
      <c r="K7242" s="94" t="n">
        <v>73</v>
      </c>
      <c r="L7242" s="7" t="n">
        <v>190801</v>
      </c>
      <c r="M7242" s="94">
        <f>VLOOKUP($Q7242,매칭테이블!$F:$I,2,0)*K7242</f>
        <v/>
      </c>
      <c r="N7242" s="94">
        <f>M7242-M7242*VLOOKUP($Q7242,매칭테이블!$F:$I,3,0)</f>
        <v/>
      </c>
      <c r="O7242" s="94">
        <f>VLOOKUP($Q7242,매칭테이블!$F:$I,4,0)*K7242</f>
        <v/>
      </c>
      <c r="P7242" s="148">
        <f>M7242/1.1</f>
        <v/>
      </c>
      <c r="Q7242" s="94">
        <f>F7242&amp;E7242&amp;G7242&amp;L7242</f>
        <v/>
      </c>
    </row>
    <row r="7243" customFormat="1" s="94">
      <c r="B7243" s="128" t="n">
        <v>44010</v>
      </c>
      <c r="C7243" s="94">
        <f>TEXT(B7243,"aaa")</f>
        <v/>
      </c>
      <c r="E7243" s="94" t="inlineStr">
        <is>
          <t>토너</t>
        </is>
      </c>
      <c r="F7243" s="5" t="inlineStr">
        <is>
          <t>카페24</t>
        </is>
      </c>
      <c r="G7243" s="94" t="inlineStr">
        <is>
          <t>250ml 2set</t>
        </is>
      </c>
      <c r="H7243" s="7" t="n">
        <v>190801</v>
      </c>
      <c r="I7243" s="7" t="n">
        <v>190801</v>
      </c>
      <c r="K7243" s="94" t="n">
        <v>31</v>
      </c>
      <c r="L7243" s="7" t="n">
        <v>190801</v>
      </c>
      <c r="M7243" s="94">
        <f>VLOOKUP($Q7243,매칭테이블!$F:$I,2,0)*K7243</f>
        <v/>
      </c>
      <c r="N7243" s="94">
        <f>M7243-M7243*VLOOKUP($Q7243,매칭테이블!$F:$I,3,0)</f>
        <v/>
      </c>
      <c r="O7243" s="94">
        <f>VLOOKUP($Q7243,매칭테이블!$F:$I,4,0)*K7243</f>
        <v/>
      </c>
      <c r="P7243" s="148">
        <f>M7243/1.1</f>
        <v/>
      </c>
      <c r="Q7243" s="94">
        <f>F7243&amp;E7243&amp;G7243&amp;L7243</f>
        <v/>
      </c>
    </row>
    <row r="7244" customFormat="1" s="94">
      <c r="B7244" s="128" t="n">
        <v>44010</v>
      </c>
      <c r="C7244" s="94">
        <f>TEXT(B7244,"aaa")</f>
        <v/>
      </c>
      <c r="E7244" s="94" t="inlineStr">
        <is>
          <t>토너</t>
        </is>
      </c>
      <c r="F7244" s="5" t="inlineStr">
        <is>
          <t>카페24</t>
        </is>
      </c>
      <c r="G7244" s="94" t="inlineStr">
        <is>
          <t>500ml</t>
        </is>
      </c>
      <c r="H7244" s="7" t="n">
        <v>190801</v>
      </c>
      <c r="I7244" s="7" t="n">
        <v>190801</v>
      </c>
      <c r="K7244" s="94" t="n">
        <v>53</v>
      </c>
      <c r="L7244" s="7" t="n">
        <v>190801</v>
      </c>
      <c r="M7244" s="94">
        <f>VLOOKUP($Q7244,매칭테이블!$F:$I,2,0)*K7244</f>
        <v/>
      </c>
      <c r="N7244" s="94">
        <f>M7244-M7244*VLOOKUP($Q7244,매칭테이블!$F:$I,3,0)</f>
        <v/>
      </c>
      <c r="O7244" s="94">
        <f>VLOOKUP($Q7244,매칭테이블!$F:$I,4,0)*K7244</f>
        <v/>
      </c>
      <c r="P7244" s="148">
        <f>M7244/1.1</f>
        <v/>
      </c>
      <c r="Q7244" s="94">
        <f>F7244&amp;E7244&amp;G7244&amp;L7244</f>
        <v/>
      </c>
    </row>
    <row r="7245" customFormat="1" s="94">
      <c r="B7245" s="128" t="n">
        <v>44010</v>
      </c>
      <c r="C7245" s="94">
        <f>TEXT(B7245,"aaa")</f>
        <v/>
      </c>
      <c r="E7245" s="94" t="inlineStr">
        <is>
          <t>토너</t>
        </is>
      </c>
      <c r="F7245" s="5" t="inlineStr">
        <is>
          <t>카페24</t>
        </is>
      </c>
      <c r="G7245" s="94" t="inlineStr">
        <is>
          <t>스킨팩 화장솜 60P</t>
        </is>
      </c>
      <c r="H7245" s="7" t="n">
        <v>190801</v>
      </c>
      <c r="I7245" s="7" t="n">
        <v>190801</v>
      </c>
      <c r="K7245" s="94" t="n">
        <v>60</v>
      </c>
      <c r="L7245" s="7" t="n">
        <v>190801</v>
      </c>
      <c r="M7245" s="94">
        <f>VLOOKUP($Q7245,매칭테이블!$F:$I,2,0)*K7245</f>
        <v/>
      </c>
      <c r="N7245" s="94">
        <f>M7245-M7245*VLOOKUP($Q7245,매칭테이블!$F:$I,3,0)</f>
        <v/>
      </c>
      <c r="O7245" s="94">
        <f>VLOOKUP($Q7245,매칭테이블!$F:$I,4,0)*K7245</f>
        <v/>
      </c>
      <c r="P7245" s="148">
        <f>M7245/1.1</f>
        <v/>
      </c>
      <c r="Q7245" s="94">
        <f>F7245&amp;E7245&amp;G7245&amp;L7245</f>
        <v/>
      </c>
    </row>
    <row r="7246" customFormat="1" s="94">
      <c r="B7246" s="128" t="n">
        <v>44010</v>
      </c>
      <c r="C7246" s="94">
        <f>TEXT(B7246,"aaa")</f>
        <v/>
      </c>
      <c r="E7246" s="94" t="inlineStr">
        <is>
          <t>앰플</t>
        </is>
      </c>
      <c r="F7246" s="5" t="inlineStr">
        <is>
          <t>카페24</t>
        </is>
      </c>
      <c r="G7246" s="94" t="inlineStr">
        <is>
          <t>앰플 30ml</t>
        </is>
      </c>
      <c r="H7246" s="7" t="n">
        <v>190801</v>
      </c>
      <c r="I7246" s="7" t="n">
        <v>190801</v>
      </c>
      <c r="K7246" s="94" t="n">
        <v>9</v>
      </c>
      <c r="L7246" s="7" t="n">
        <v>190801</v>
      </c>
      <c r="M7246" s="94">
        <f>VLOOKUP($Q7246,매칭테이블!$F:$I,2,0)*K7246</f>
        <v/>
      </c>
      <c r="N7246" s="94">
        <f>M7246-M7246*VLOOKUP($Q7246,매칭테이블!$F:$I,3,0)</f>
        <v/>
      </c>
      <c r="O7246" s="94">
        <f>VLOOKUP($Q7246,매칭테이블!$F:$I,4,0)*K7246</f>
        <v/>
      </c>
      <c r="P7246" s="148">
        <f>M7246/1.1</f>
        <v/>
      </c>
      <c r="Q7246" s="94">
        <f>F7246&amp;E7246&amp;G7246&amp;L7246</f>
        <v/>
      </c>
    </row>
    <row r="7247" customFormat="1" s="94">
      <c r="B7247" s="128" t="n">
        <v>44010</v>
      </c>
      <c r="C7247" s="94">
        <f>TEXT(B7247,"aaa")</f>
        <v/>
      </c>
      <c r="E7247" s="94" t="inlineStr">
        <is>
          <t>수딩크림</t>
        </is>
      </c>
      <c r="F7247" s="5" t="inlineStr">
        <is>
          <t>카페24</t>
        </is>
      </c>
      <c r="G7247" s="94" t="inlineStr">
        <is>
          <t>수딩크림 100ml</t>
        </is>
      </c>
      <c r="H7247" s="7" t="n">
        <v>190801</v>
      </c>
      <c r="I7247" s="7" t="n">
        <v>190801</v>
      </c>
      <c r="K7247" s="94" t="n">
        <v>9</v>
      </c>
      <c r="L7247" s="7" t="n">
        <v>190801</v>
      </c>
      <c r="M7247" s="94">
        <f>VLOOKUP($Q7247,매칭테이블!$F:$I,2,0)*K7247</f>
        <v/>
      </c>
      <c r="N7247" s="94">
        <f>M7247-M7247*VLOOKUP($Q7247,매칭테이블!$F:$I,3,0)</f>
        <v/>
      </c>
      <c r="O7247" s="94">
        <f>VLOOKUP($Q7247,매칭테이블!$F:$I,4,0)*K7247</f>
        <v/>
      </c>
      <c r="P7247" s="148">
        <f>M7247/1.1</f>
        <v/>
      </c>
      <c r="Q7247" s="94">
        <f>F7247&amp;E7247&amp;G7247&amp;L7247</f>
        <v/>
      </c>
    </row>
    <row r="7248" customFormat="1" s="94">
      <c r="B7248" s="128" t="n">
        <v>44010</v>
      </c>
      <c r="C7248" s="94">
        <f>TEXT(B7248,"aaa")</f>
        <v/>
      </c>
      <c r="E7248" s="94" t="inlineStr">
        <is>
          <t>클렌징폼</t>
        </is>
      </c>
      <c r="F7248" s="5" t="inlineStr">
        <is>
          <t>카페24</t>
        </is>
      </c>
      <c r="G7248" s="94" t="inlineStr">
        <is>
          <t>클렌징폼 120ml</t>
        </is>
      </c>
      <c r="H7248" s="7" t="n">
        <v>190801</v>
      </c>
      <c r="I7248" s="7" t="n">
        <v>190801</v>
      </c>
      <c r="K7248" s="94" t="n">
        <v>6</v>
      </c>
      <c r="L7248" s="7" t="n">
        <v>190801</v>
      </c>
      <c r="M7248" s="94">
        <f>VLOOKUP($Q7248,매칭테이블!$F:$I,2,0)*K7248</f>
        <v/>
      </c>
      <c r="N7248" s="94">
        <f>M7248-M7248*VLOOKUP($Q7248,매칭테이블!$F:$I,3,0)</f>
        <v/>
      </c>
      <c r="O7248" s="94">
        <f>VLOOKUP($Q7248,매칭테이블!$F:$I,4,0)*K7248</f>
        <v/>
      </c>
      <c r="P7248" s="148">
        <f>M7248/1.1</f>
        <v/>
      </c>
      <c r="Q7248" s="94">
        <f>F7248&amp;E7248&amp;G7248&amp;L7248</f>
        <v/>
      </c>
    </row>
    <row r="7249" customFormat="1" s="94">
      <c r="B7249" s="128" t="n">
        <v>44010</v>
      </c>
      <c r="C7249" s="94">
        <f>TEXT(B7249,"aaa")</f>
        <v/>
      </c>
      <c r="E7249" s="94" t="inlineStr">
        <is>
          <t>클렌징폼</t>
        </is>
      </c>
      <c r="F7249" s="5" t="inlineStr">
        <is>
          <t>카페24</t>
        </is>
      </c>
      <c r="G7249" s="94" t="inlineStr">
        <is>
          <t>클렌징폼 120ml 3set</t>
        </is>
      </c>
      <c r="H7249" s="7" t="n">
        <v>190801</v>
      </c>
      <c r="I7249" s="7" t="n">
        <v>190801</v>
      </c>
      <c r="K7249" s="94" t="n">
        <v>1</v>
      </c>
      <c r="L7249" s="7" t="n">
        <v>190801</v>
      </c>
      <c r="M7249" s="94">
        <f>VLOOKUP($Q7249,매칭테이블!$F:$I,2,0)*K7249</f>
        <v/>
      </c>
      <c r="N7249" s="94">
        <f>M7249-M7249*VLOOKUP($Q7249,매칭테이블!$F:$I,3,0)</f>
        <v/>
      </c>
      <c r="O7249" s="94">
        <f>VLOOKUP($Q7249,매칭테이블!$F:$I,4,0)*K7249</f>
        <v/>
      </c>
      <c r="P7249" s="148">
        <f>M7249/1.1</f>
        <v/>
      </c>
      <c r="Q7249" s="94">
        <f>F7249&amp;E7249&amp;G7249&amp;L7249</f>
        <v/>
      </c>
    </row>
    <row r="7250" customFormat="1" s="94">
      <c r="B7250" s="128" t="n">
        <v>44010</v>
      </c>
      <c r="C7250" s="94">
        <f>TEXT(B7250,"aaa")</f>
        <v/>
      </c>
      <c r="E7250" s="94" t="inlineStr">
        <is>
          <t>토너</t>
        </is>
      </c>
      <c r="F7250" s="5" t="inlineStr">
        <is>
          <t>화해</t>
        </is>
      </c>
      <c r="G7250" s="94" t="inlineStr">
        <is>
          <t>250ml</t>
        </is>
      </c>
      <c r="H7250" s="7" t="n">
        <v>190801</v>
      </c>
      <c r="I7250" s="7" t="n">
        <v>190801</v>
      </c>
      <c r="K7250" s="94" t="n">
        <v>5</v>
      </c>
      <c r="L7250" s="7" t="n">
        <v>190801</v>
      </c>
      <c r="M7250" s="94">
        <f>VLOOKUP($Q7250,매칭테이블!$F:$I,2,0)*K7250</f>
        <v/>
      </c>
      <c r="N7250" s="94">
        <f>M7250-M7250*VLOOKUP($Q7250,매칭테이블!$F:$I,3,0)</f>
        <v/>
      </c>
      <c r="O7250" s="94">
        <f>VLOOKUP($Q7250,매칭테이블!$F:$I,4,0)*K7250</f>
        <v/>
      </c>
      <c r="P7250" s="148">
        <f>M7250/1.1</f>
        <v/>
      </c>
      <c r="Q7250" s="94">
        <f>F7250&amp;E7250&amp;G7250&amp;L7250</f>
        <v/>
      </c>
    </row>
    <row r="7251" customFormat="1" s="94">
      <c r="B7251" s="128" t="n">
        <v>44010</v>
      </c>
      <c r="C7251" s="94">
        <f>TEXT(B7251,"aaa")</f>
        <v/>
      </c>
      <c r="E7251" s="94" t="inlineStr">
        <is>
          <t>토너</t>
        </is>
      </c>
      <c r="F7251" s="5" t="inlineStr">
        <is>
          <t>랄라블라</t>
        </is>
      </c>
      <c r="G7251" s="94" t="inlineStr">
        <is>
          <t>250ml</t>
        </is>
      </c>
      <c r="H7251" s="7" t="n">
        <v>190801</v>
      </c>
      <c r="I7251" s="7" t="n">
        <v>190801</v>
      </c>
      <c r="K7251" s="94" t="n">
        <v>233</v>
      </c>
      <c r="L7251" s="7" t="n">
        <v>190801</v>
      </c>
      <c r="M7251" s="94">
        <f>VLOOKUP($Q7251,매칭테이블!$F:$I,2,0)*K7251</f>
        <v/>
      </c>
      <c r="N7251" s="94">
        <f>M7251-M7251*VLOOKUP($Q7251,매칭테이블!$F:$I,3,0)</f>
        <v/>
      </c>
      <c r="O7251" s="94">
        <f>VLOOKUP($Q7251,매칭테이블!$F:$I,4,0)*K7251</f>
        <v/>
      </c>
      <c r="P7251" s="148">
        <f>M7251/1.1</f>
        <v/>
      </c>
      <c r="Q7251" s="94">
        <f>F7251&amp;E7251&amp;G7251&amp;L7251</f>
        <v/>
      </c>
    </row>
    <row r="7252" customFormat="1" s="94">
      <c r="B7252" s="128" t="n">
        <v>44010</v>
      </c>
      <c r="C7252" s="94">
        <f>TEXT(B7252,"aaa")</f>
        <v/>
      </c>
      <c r="E7252" s="94" t="inlineStr">
        <is>
          <t>토너</t>
        </is>
      </c>
      <c r="F7252" s="5" t="inlineStr">
        <is>
          <t>랄라블라</t>
        </is>
      </c>
      <c r="G7252" s="94" t="inlineStr">
        <is>
          <t>500ml</t>
        </is>
      </c>
      <c r="H7252" s="7" t="n">
        <v>190801</v>
      </c>
      <c r="I7252" s="7" t="n">
        <v>190801</v>
      </c>
      <c r="K7252" s="94" t="n">
        <v>90</v>
      </c>
      <c r="L7252" s="7" t="n">
        <v>190801</v>
      </c>
      <c r="M7252" s="94">
        <f>VLOOKUP($Q7252,매칭테이블!$F:$I,2,0)*K7252</f>
        <v/>
      </c>
      <c r="N7252" s="94">
        <f>M7252-M7252*VLOOKUP($Q7252,매칭테이블!$F:$I,3,0)</f>
        <v/>
      </c>
      <c r="O7252" s="94">
        <f>VLOOKUP($Q7252,매칭테이블!$F:$I,4,0)*K7252</f>
        <v/>
      </c>
      <c r="P7252" s="148">
        <f>M7252/1.1</f>
        <v/>
      </c>
      <c r="Q7252" s="94">
        <f>F7252&amp;E7252&amp;G7252&amp;L7252</f>
        <v/>
      </c>
    </row>
    <row r="7253" customFormat="1" s="94">
      <c r="B7253" s="128" t="n">
        <v>44010</v>
      </c>
      <c r="C7253" s="94">
        <f>TEXT(B7253,"aaa")</f>
        <v/>
      </c>
      <c r="E7253" s="94" t="inlineStr">
        <is>
          <t>마스크팩</t>
        </is>
      </c>
      <c r="F7253" s="5" t="inlineStr">
        <is>
          <t>랄라블라</t>
        </is>
      </c>
      <c r="G7253" s="94" t="inlineStr">
        <is>
          <t>마스크팩 1매</t>
        </is>
      </c>
      <c r="H7253" s="7" t="n">
        <v>190801</v>
      </c>
      <c r="I7253" s="7" t="n">
        <v>190801</v>
      </c>
      <c r="K7253" s="94" t="n">
        <v>480</v>
      </c>
      <c r="L7253" s="7" t="n">
        <v>190801</v>
      </c>
      <c r="M7253" s="94">
        <f>VLOOKUP($Q7253,매칭테이블!$F:$I,2,0)*K7253</f>
        <v/>
      </c>
      <c r="N7253" s="94">
        <f>M7253-M7253*VLOOKUP($Q7253,매칭테이블!$F:$I,3,0)</f>
        <v/>
      </c>
      <c r="O7253" s="94">
        <f>VLOOKUP($Q7253,매칭테이블!$F:$I,4,0)*K7253</f>
        <v/>
      </c>
      <c r="P7253" s="148">
        <f>M7253/1.1</f>
        <v/>
      </c>
      <c r="Q7253" s="94">
        <f>F7253&amp;E7253&amp;G7253&amp;L7253</f>
        <v/>
      </c>
    </row>
    <row r="7254" customFormat="1" s="94">
      <c r="B7254" s="128" t="n">
        <v>44010</v>
      </c>
      <c r="C7254" s="94">
        <f>TEXT(B7254,"aaa")</f>
        <v/>
      </c>
      <c r="E7254" s="94" t="inlineStr">
        <is>
          <t>수딩크림 증정기획</t>
        </is>
      </c>
      <c r="F7254" s="5" t="inlineStr">
        <is>
          <t>랄라블라</t>
        </is>
      </c>
      <c r="G7254" s="94" t="inlineStr">
        <is>
          <t>수딩크림 증정기획</t>
        </is>
      </c>
      <c r="H7254" s="7" t="n">
        <v>190801</v>
      </c>
      <c r="I7254" s="7" t="n">
        <v>190801</v>
      </c>
      <c r="K7254" s="94" t="n">
        <v>86</v>
      </c>
      <c r="L7254" s="7" t="n">
        <v>190801</v>
      </c>
      <c r="M7254" s="94">
        <f>VLOOKUP($Q7254,매칭테이블!$F:$I,2,0)*K7254</f>
        <v/>
      </c>
      <c r="N7254" s="94">
        <f>M7254-M7254*VLOOKUP($Q7254,매칭테이블!$F:$I,3,0)</f>
        <v/>
      </c>
      <c r="O7254" s="94">
        <f>VLOOKUP($Q7254,매칭테이블!$F:$I,4,0)*K7254</f>
        <v/>
      </c>
      <c r="P7254" s="148">
        <f>M7254/1.1</f>
        <v/>
      </c>
      <c r="Q7254" s="94">
        <f>F7254&amp;E7254&amp;G7254&amp;L7254</f>
        <v/>
      </c>
    </row>
    <row r="7255" customFormat="1" s="94">
      <c r="B7255" s="128" t="n">
        <v>44010</v>
      </c>
      <c r="C7255" s="94">
        <f>TEXT(B7255,"aaa")</f>
        <v/>
      </c>
      <c r="E7255" s="94" t="inlineStr">
        <is>
          <t>수딩크림</t>
        </is>
      </c>
      <c r="F7255" s="5" t="inlineStr">
        <is>
          <t>랄라블라</t>
        </is>
      </c>
      <c r="G7255" s="94" t="inlineStr">
        <is>
          <t>수딩크림 100ml</t>
        </is>
      </c>
      <c r="H7255" s="7" t="n">
        <v>190801</v>
      </c>
      <c r="I7255" s="7" t="n">
        <v>190801</v>
      </c>
      <c r="K7255" s="94" t="n">
        <v>6</v>
      </c>
      <c r="L7255" s="7" t="n">
        <v>190801</v>
      </c>
      <c r="M7255" s="94">
        <f>VLOOKUP($Q7255,매칭테이블!$F:$I,2,0)*K7255</f>
        <v/>
      </c>
      <c r="N7255" s="94">
        <f>M7255-M7255*VLOOKUP($Q7255,매칭테이블!$F:$I,3,0)</f>
        <v/>
      </c>
      <c r="O7255" s="94">
        <f>VLOOKUP($Q7255,매칭테이블!$F:$I,4,0)*K7255</f>
        <v/>
      </c>
      <c r="P7255" s="148">
        <f>M7255/1.1</f>
        <v/>
      </c>
      <c r="Q7255" s="94">
        <f>F7255&amp;E7255&amp;G7255&amp;L7255</f>
        <v/>
      </c>
    </row>
    <row r="7256" customFormat="1" s="94">
      <c r="B7256" s="128" t="n">
        <v>44010</v>
      </c>
      <c r="C7256" s="94">
        <f>TEXT(B7256,"aaa")</f>
        <v/>
      </c>
      <c r="E7256" s="94" t="inlineStr">
        <is>
          <t>앰플 기획세트</t>
        </is>
      </c>
      <c r="F7256" s="5" t="inlineStr">
        <is>
          <t>랄라블라</t>
        </is>
      </c>
      <c r="G7256" s="94" t="inlineStr">
        <is>
          <t>앰플 기획세트</t>
        </is>
      </c>
      <c r="H7256" s="7" t="n">
        <v>190801</v>
      </c>
      <c r="I7256" s="7" t="n">
        <v>190801</v>
      </c>
      <c r="K7256" s="94" t="n">
        <v>99</v>
      </c>
      <c r="L7256" s="7" t="n">
        <v>190801</v>
      </c>
      <c r="M7256" s="94">
        <f>VLOOKUP($Q7256,매칭테이블!$F:$I,2,0)*K7256</f>
        <v/>
      </c>
      <c r="N7256" s="94">
        <f>M7256-M7256*VLOOKUP($Q7256,매칭테이블!$F:$I,3,0)</f>
        <v/>
      </c>
      <c r="O7256" s="94">
        <f>VLOOKUP($Q7256,매칭테이블!$F:$I,4,0)*K7256</f>
        <v/>
      </c>
      <c r="P7256" s="148">
        <f>M7256/1.1</f>
        <v/>
      </c>
      <c r="Q7256" s="94">
        <f>F7256&amp;E7256&amp;G7256&amp;L7256</f>
        <v/>
      </c>
    </row>
    <row r="7257" customFormat="1" s="94">
      <c r="B7257" s="128" t="n">
        <v>44010</v>
      </c>
      <c r="C7257" s="94">
        <f>TEXT(B7257,"aaa")</f>
        <v/>
      </c>
      <c r="E7257" s="94" t="inlineStr">
        <is>
          <t>클렌징폼 기획세트</t>
        </is>
      </c>
      <c r="F7257" s="5" t="inlineStr">
        <is>
          <t>랄라블라</t>
        </is>
      </c>
      <c r="G7257" s="94" t="inlineStr">
        <is>
          <t>클렌징폼 기획세트</t>
        </is>
      </c>
      <c r="H7257" s="7" t="n">
        <v>190801</v>
      </c>
      <c r="I7257" s="7" t="n">
        <v>190801</v>
      </c>
      <c r="K7257" s="94" t="n">
        <v>66</v>
      </c>
      <c r="L7257" s="7" t="n">
        <v>190801</v>
      </c>
      <c r="M7257" s="94">
        <f>VLOOKUP($Q7257,매칭테이블!$F:$I,2,0)*K7257</f>
        <v/>
      </c>
      <c r="N7257" s="94">
        <f>M7257-M7257*VLOOKUP($Q7257,매칭테이블!$F:$I,3,0)</f>
        <v/>
      </c>
      <c r="O7257" s="94">
        <f>VLOOKUP($Q7257,매칭테이블!$F:$I,4,0)*K7257</f>
        <v/>
      </c>
      <c r="P7257" s="148">
        <f>M7257/1.1</f>
        <v/>
      </c>
      <c r="Q7257" s="94">
        <f>F7257&amp;E7257&amp;G7257&amp;L7257</f>
        <v/>
      </c>
    </row>
    <row r="7258" customFormat="1" s="94">
      <c r="B7258" s="128" t="n">
        <v>44010</v>
      </c>
      <c r="C7258" s="94">
        <f>TEXT(B7258,"aaa")</f>
        <v/>
      </c>
      <c r="E7258" s="94" t="inlineStr">
        <is>
          <t>클렌징폼</t>
        </is>
      </c>
      <c r="F7258" s="5" t="inlineStr">
        <is>
          <t>랄라블라</t>
        </is>
      </c>
      <c r="G7258" s="94" t="inlineStr">
        <is>
          <t>클렌징폼 120ml</t>
        </is>
      </c>
      <c r="H7258" s="7" t="n">
        <v>190801</v>
      </c>
      <c r="I7258" s="7" t="n">
        <v>190801</v>
      </c>
      <c r="K7258" s="94" t="n">
        <v>7</v>
      </c>
      <c r="L7258" s="7" t="n">
        <v>190801</v>
      </c>
      <c r="M7258" s="94">
        <f>VLOOKUP($Q7258,매칭테이블!$F:$I,2,0)*K7258</f>
        <v/>
      </c>
      <c r="N7258" s="94">
        <f>M7258-M7258*VLOOKUP($Q7258,매칭테이블!$F:$I,3,0)</f>
        <v/>
      </c>
      <c r="O7258" s="94">
        <f>VLOOKUP($Q7258,매칭테이블!$F:$I,4,0)*K7258</f>
        <v/>
      </c>
      <c r="P7258" s="148">
        <f>M7258/1.1</f>
        <v/>
      </c>
      <c r="Q7258" s="94">
        <f>F7258&amp;E7258&amp;G7258&amp;L7258</f>
        <v/>
      </c>
    </row>
    <row r="7259" customFormat="1" s="94">
      <c r="B7259" s="128" t="n">
        <v>44010</v>
      </c>
      <c r="C7259" s="94">
        <f>TEXT(B7259,"aaa")</f>
        <v/>
      </c>
      <c r="E7259" s="94" t="inlineStr">
        <is>
          <t>토너 증정기획</t>
        </is>
      </c>
      <c r="F7259" s="5" t="inlineStr">
        <is>
          <t>랄라블라</t>
        </is>
      </c>
      <c r="G7259" s="94" t="inlineStr">
        <is>
          <t>토너 증정기획</t>
        </is>
      </c>
      <c r="H7259" s="7" t="n">
        <v>190801</v>
      </c>
      <c r="I7259" s="7" t="n">
        <v>190801</v>
      </c>
      <c r="K7259" s="94" t="n">
        <v>175</v>
      </c>
      <c r="L7259" s="7" t="n">
        <v>190801</v>
      </c>
      <c r="M7259" s="94">
        <f>VLOOKUP($Q7259,매칭테이블!$F:$I,2,0)*K7259</f>
        <v/>
      </c>
      <c r="N7259" s="94">
        <f>M7259-M7259*VLOOKUP($Q7259,매칭테이블!$F:$I,3,0)</f>
        <v/>
      </c>
      <c r="O7259" s="94">
        <f>VLOOKUP($Q7259,매칭테이블!$F:$I,4,0)*K7259</f>
        <v/>
      </c>
      <c r="P7259" s="148">
        <f>M7259/1.1</f>
        <v/>
      </c>
      <c r="Q7259" s="94">
        <f>F7259&amp;E7259&amp;G7259&amp;L7259</f>
        <v/>
      </c>
    </row>
    <row r="7260" customFormat="1" s="94">
      <c r="B7260" s="128" t="n">
        <v>44010</v>
      </c>
      <c r="C7260" s="94">
        <f>TEXT(B7260,"aaa")</f>
        <v/>
      </c>
      <c r="E7260" s="94" t="inlineStr">
        <is>
          <t>선크림</t>
        </is>
      </c>
      <c r="F7260" s="5" t="inlineStr">
        <is>
          <t>랄라블라</t>
        </is>
      </c>
      <c r="G7260" s="94" t="inlineStr">
        <is>
          <t>선크림 50ml</t>
        </is>
      </c>
      <c r="H7260" s="7" t="n">
        <v>190801</v>
      </c>
      <c r="I7260" s="7" t="n">
        <v>190801</v>
      </c>
      <c r="K7260" s="94" t="n">
        <v>45</v>
      </c>
      <c r="L7260" s="7" t="n">
        <v>190801</v>
      </c>
      <c r="M7260" s="94">
        <f>VLOOKUP($Q7260,매칭테이블!$F:$I,2,0)*K7260</f>
        <v/>
      </c>
      <c r="N7260" s="94">
        <f>M7260-M7260*VLOOKUP($Q7260,매칭테이블!$F:$I,3,0)</f>
        <v/>
      </c>
      <c r="O7260" s="94">
        <f>VLOOKUP($Q7260,매칭테이블!$F:$I,4,0)*K7260</f>
        <v/>
      </c>
      <c r="P7260" s="148">
        <f>M7260/1.1</f>
        <v/>
      </c>
      <c r="Q7260" s="94">
        <f>F7260&amp;E7260&amp;G7260&amp;L7260</f>
        <v/>
      </c>
    </row>
    <row r="7261" customFormat="1" s="94">
      <c r="B7261" s="128" t="n">
        <v>44010</v>
      </c>
      <c r="C7261" s="94">
        <f>TEXT(B7261,"aaa")</f>
        <v/>
      </c>
      <c r="E7261" s="94" t="inlineStr">
        <is>
          <t>대용량 기획세트</t>
        </is>
      </c>
      <c r="F7261" s="5" t="inlineStr">
        <is>
          <t>랄라블라</t>
        </is>
      </c>
      <c r="G7261" s="94" t="inlineStr">
        <is>
          <t>대용량 기획세트</t>
        </is>
      </c>
      <c r="H7261" s="7" t="n">
        <v>190801</v>
      </c>
      <c r="I7261" s="7" t="n">
        <v>190801</v>
      </c>
      <c r="K7261" s="94" t="n">
        <v>181</v>
      </c>
      <c r="L7261" s="7" t="n">
        <v>190801</v>
      </c>
      <c r="M7261" s="94">
        <f>VLOOKUP($Q7261,매칭테이블!$F:$I,2,0)*K7261</f>
        <v/>
      </c>
      <c r="N7261" s="94">
        <f>M7261-M7261*VLOOKUP($Q7261,매칭테이블!$F:$I,3,0)</f>
        <v/>
      </c>
      <c r="O7261" s="94">
        <f>VLOOKUP($Q7261,매칭테이블!$F:$I,4,0)*K7261</f>
        <v/>
      </c>
      <c r="P7261" s="148">
        <f>M7261/1.1</f>
        <v/>
      </c>
      <c r="Q7261" s="94">
        <f>F7261&amp;E7261&amp;G7261&amp;L7261</f>
        <v/>
      </c>
    </row>
    <row r="7262" customFormat="1" s="94">
      <c r="B7262" s="128" t="n">
        <v>44011</v>
      </c>
      <c r="C7262" s="94">
        <f>TEXT(B7262,"aaa")</f>
        <v/>
      </c>
      <c r="E7262" s="94" t="inlineStr">
        <is>
          <t>토너</t>
        </is>
      </c>
      <c r="F7262" s="5" t="inlineStr">
        <is>
          <t>W컨셉</t>
        </is>
      </c>
      <c r="G7262" s="94" t="inlineStr">
        <is>
          <t>250ml</t>
        </is>
      </c>
      <c r="H7262" s="7" t="n">
        <v>190801</v>
      </c>
      <c r="I7262" s="7" t="n">
        <v>190801</v>
      </c>
      <c r="K7262" s="94" t="n">
        <v>2</v>
      </c>
      <c r="L7262" s="7" t="n">
        <v>190801</v>
      </c>
      <c r="M7262" s="94">
        <f>VLOOKUP($Q7262,매칭테이블!$F:$I,2,0)*K7262</f>
        <v/>
      </c>
      <c r="N7262" s="94">
        <f>M7262-M7262*VLOOKUP($Q7262,매칭테이블!$F:$I,3,0)</f>
        <v/>
      </c>
      <c r="O7262" s="94">
        <f>VLOOKUP($Q7262,매칭테이블!$F:$I,4,0)*K7262</f>
        <v/>
      </c>
      <c r="P7262" s="148">
        <f>M7262/1.1</f>
        <v/>
      </c>
      <c r="Q7262" s="94">
        <f>F7262&amp;E7262&amp;G7262&amp;L7262</f>
        <v/>
      </c>
    </row>
    <row r="7263" customFormat="1" s="94">
      <c r="B7263" s="128" t="n">
        <v>44011</v>
      </c>
      <c r="C7263" s="94">
        <f>TEXT(B7263,"aaa")</f>
        <v/>
      </c>
      <c r="E7263" s="94" t="inlineStr">
        <is>
          <t>토너</t>
        </is>
      </c>
      <c r="F7263" s="5" t="inlineStr">
        <is>
          <t>W컨셉</t>
        </is>
      </c>
      <c r="G7263" s="94" t="inlineStr">
        <is>
          <t>250ml 2set</t>
        </is>
      </c>
      <c r="H7263" s="7" t="n">
        <v>190801</v>
      </c>
      <c r="I7263" s="7" t="n">
        <v>190801</v>
      </c>
      <c r="K7263" s="94" t="n">
        <v>19</v>
      </c>
      <c r="L7263" s="7" t="n">
        <v>190801</v>
      </c>
      <c r="M7263" s="94">
        <f>VLOOKUP($Q7263,매칭테이블!$F:$I,2,0)*K7263</f>
        <v/>
      </c>
      <c r="N7263" s="94">
        <f>M7263-M7263*VLOOKUP($Q7263,매칭테이블!$F:$I,3,0)</f>
        <v/>
      </c>
      <c r="O7263" s="94">
        <f>VLOOKUP($Q7263,매칭테이블!$F:$I,4,0)*K7263</f>
        <v/>
      </c>
      <c r="P7263" s="148">
        <f>M7263/1.1</f>
        <v/>
      </c>
      <c r="Q7263" s="94">
        <f>F7263&amp;E7263&amp;G7263&amp;L7263</f>
        <v/>
      </c>
    </row>
    <row r="7264" customFormat="1" s="94">
      <c r="B7264" s="128" t="n">
        <v>44011</v>
      </c>
      <c r="C7264" s="94">
        <f>TEXT(B7264,"aaa")</f>
        <v/>
      </c>
      <c r="E7264" s="94" t="inlineStr">
        <is>
          <t>토너</t>
        </is>
      </c>
      <c r="F7264" s="5" t="inlineStr">
        <is>
          <t>스타일쉐어</t>
        </is>
      </c>
      <c r="G7264" s="94" t="inlineStr">
        <is>
          <t>250ml</t>
        </is>
      </c>
      <c r="H7264" s="7" t="n">
        <v>190801</v>
      </c>
      <c r="I7264" s="7" t="n">
        <v>190801</v>
      </c>
      <c r="K7264" s="94" t="n">
        <v>4</v>
      </c>
      <c r="L7264" s="7" t="n">
        <v>190801</v>
      </c>
      <c r="M7264" s="94">
        <f>VLOOKUP($Q7264,매칭테이블!$F:$I,2,0)*K7264</f>
        <v/>
      </c>
      <c r="N7264" s="94">
        <f>M7264-M7264*VLOOKUP($Q7264,매칭테이블!$F:$I,3,0)</f>
        <v/>
      </c>
      <c r="O7264" s="94">
        <f>VLOOKUP($Q7264,매칭테이블!$F:$I,4,0)*K7264</f>
        <v/>
      </c>
      <c r="P7264" s="148">
        <f>M7264/1.1</f>
        <v/>
      </c>
      <c r="Q7264" s="94">
        <f>F7264&amp;E7264&amp;G7264&amp;L7264</f>
        <v/>
      </c>
    </row>
    <row r="7265" customFormat="1" s="94">
      <c r="B7265" s="128" t="n">
        <v>44011</v>
      </c>
      <c r="C7265" s="94">
        <f>TEXT(B7265,"aaa")</f>
        <v/>
      </c>
      <c r="E7265" s="94" t="inlineStr">
        <is>
          <t>선크림</t>
        </is>
      </c>
      <c r="F7265" s="5" t="inlineStr">
        <is>
          <t>카페24</t>
        </is>
      </c>
      <c r="G7265" s="94" t="inlineStr">
        <is>
          <t>선크림 50ml</t>
        </is>
      </c>
      <c r="H7265" s="7" t="n">
        <v>190801</v>
      </c>
      <c r="I7265" s="7" t="n">
        <v>190801</v>
      </c>
      <c r="K7265" s="94" t="n">
        <v>3</v>
      </c>
      <c r="L7265" s="7" t="n">
        <v>190801</v>
      </c>
      <c r="M7265" s="94">
        <f>VLOOKUP($Q7265,매칭테이블!$F:$I,2,0)*K7265</f>
        <v/>
      </c>
      <c r="N7265" s="94">
        <f>M7265-M7265*VLOOKUP($Q7265,매칭테이블!$F:$I,3,0)</f>
        <v/>
      </c>
      <c r="O7265" s="94">
        <f>VLOOKUP($Q7265,매칭테이블!$F:$I,4,0)*K7265</f>
        <v/>
      </c>
      <c r="P7265" s="148">
        <f>M7265/1.1</f>
        <v/>
      </c>
      <c r="Q7265" s="94">
        <f>F7265&amp;E7265&amp;G7265&amp;L7265</f>
        <v/>
      </c>
    </row>
    <row r="7266" customFormat="1" s="94">
      <c r="B7266" s="128" t="n">
        <v>44011</v>
      </c>
      <c r="C7266" s="94">
        <f>TEXT(B7266,"aaa")</f>
        <v/>
      </c>
      <c r="E7266" s="94" t="inlineStr">
        <is>
          <t>선크림</t>
        </is>
      </c>
      <c r="F7266" s="5" t="inlineStr">
        <is>
          <t>카페24</t>
        </is>
      </c>
      <c r="G7266" s="94" t="inlineStr">
        <is>
          <t>선크림 50ml  2set</t>
        </is>
      </c>
      <c r="H7266" s="7" t="n">
        <v>190801</v>
      </c>
      <c r="I7266" s="7" t="n">
        <v>190801</v>
      </c>
      <c r="K7266" s="94" t="n">
        <v>1</v>
      </c>
      <c r="L7266" s="7" t="n">
        <v>190801</v>
      </c>
      <c r="M7266" s="94">
        <f>VLOOKUP($Q7266,매칭테이블!$F:$I,2,0)*K7266</f>
        <v/>
      </c>
      <c r="N7266" s="94">
        <f>M7266-M7266*VLOOKUP($Q7266,매칭테이블!$F:$I,3,0)</f>
        <v/>
      </c>
      <c r="O7266" s="94">
        <f>VLOOKUP($Q7266,매칭테이블!$F:$I,4,0)*K7266</f>
        <v/>
      </c>
      <c r="P7266" s="148">
        <f>M7266/1.1</f>
        <v/>
      </c>
      <c r="Q7266" s="94">
        <f>F7266&amp;E7266&amp;G7266&amp;L7266</f>
        <v/>
      </c>
    </row>
    <row r="7267" customFormat="1" s="94">
      <c r="B7267" s="128" t="n">
        <v>44011</v>
      </c>
      <c r="C7267" s="94">
        <f>TEXT(B7267,"aaa")</f>
        <v/>
      </c>
      <c r="E7267" s="94" t="inlineStr">
        <is>
          <t>클렌징폼</t>
        </is>
      </c>
      <c r="F7267" s="5" t="inlineStr">
        <is>
          <t>카페24</t>
        </is>
      </c>
      <c r="G7267" s="94" t="inlineStr">
        <is>
          <t>클렌징폼 120ml(선크림할인)</t>
        </is>
      </c>
      <c r="H7267" s="7" t="n">
        <v>190801</v>
      </c>
      <c r="I7267" s="7" t="n">
        <v>190801</v>
      </c>
      <c r="K7267" s="94" t="n">
        <v>1</v>
      </c>
      <c r="L7267" s="7" t="n">
        <v>190801</v>
      </c>
      <c r="M7267" s="94">
        <f>VLOOKUP($Q7267,매칭테이블!$F:$I,2,0)*K7267</f>
        <v/>
      </c>
      <c r="N7267" s="94">
        <f>M7267-M7267*VLOOKUP($Q7267,매칭테이블!$F:$I,3,0)</f>
        <v/>
      </c>
      <c r="O7267" s="94">
        <f>VLOOKUP($Q7267,매칭테이블!$F:$I,4,0)*K7267</f>
        <v/>
      </c>
      <c r="P7267" s="148">
        <f>M7267/1.1</f>
        <v/>
      </c>
      <c r="Q7267" s="94">
        <f>F7267&amp;E7267&amp;G7267&amp;L7267</f>
        <v/>
      </c>
    </row>
    <row r="7268" customFormat="1" s="94">
      <c r="B7268" s="128" t="n">
        <v>44011</v>
      </c>
      <c r="C7268" s="94">
        <f>TEXT(B7268,"aaa")</f>
        <v/>
      </c>
      <c r="E7268" s="94" t="inlineStr">
        <is>
          <t>여름 한정 진정세트</t>
        </is>
      </c>
      <c r="F7268" s="5" t="inlineStr">
        <is>
          <t>카페24</t>
        </is>
      </c>
      <c r="G7268" s="94" t="inlineStr">
        <is>
          <t>여름 한정 진정세트</t>
        </is>
      </c>
      <c r="H7268" s="7" t="n">
        <v>190801</v>
      </c>
      <c r="I7268" s="7" t="n">
        <v>190801</v>
      </c>
      <c r="K7268" s="94" t="n">
        <v>4</v>
      </c>
      <c r="L7268" s="7" t="n">
        <v>190801</v>
      </c>
      <c r="M7268" s="94">
        <f>VLOOKUP($Q7268,매칭테이블!$F:$I,2,0)*K7268</f>
        <v/>
      </c>
      <c r="N7268" s="94">
        <f>M7268-M7268*VLOOKUP($Q7268,매칭테이블!$F:$I,3,0)</f>
        <v/>
      </c>
      <c r="O7268" s="94">
        <f>VLOOKUP($Q7268,매칭테이블!$F:$I,4,0)*K7268</f>
        <v/>
      </c>
      <c r="P7268" s="148">
        <f>M7268/1.1</f>
        <v/>
      </c>
      <c r="Q7268" s="94">
        <f>F7268&amp;E7268&amp;G7268&amp;L7268</f>
        <v/>
      </c>
    </row>
    <row r="7269" customFormat="1" s="94">
      <c r="B7269" s="128" t="n">
        <v>44011</v>
      </c>
      <c r="C7269" s="94">
        <f>TEXT(B7269,"aaa")</f>
        <v/>
      </c>
      <c r="E7269" s="94" t="inlineStr">
        <is>
          <t>여름 한정 진정세트</t>
        </is>
      </c>
      <c r="F7269" s="5" t="inlineStr">
        <is>
          <t>카페24</t>
        </is>
      </c>
      <c r="G7269" s="94" t="inlineStr">
        <is>
          <t>여름 한정 진정세트 (대용량)</t>
        </is>
      </c>
      <c r="H7269" s="7" t="n">
        <v>190801</v>
      </c>
      <c r="I7269" s="7" t="n">
        <v>190801</v>
      </c>
      <c r="K7269" s="94" t="n">
        <v>2</v>
      </c>
      <c r="L7269" s="7" t="n">
        <v>190801</v>
      </c>
      <c r="M7269" s="94">
        <f>VLOOKUP($Q7269,매칭테이블!$F:$I,2,0)*K7269</f>
        <v/>
      </c>
      <c r="N7269" s="94">
        <f>M7269-M7269*VLOOKUP($Q7269,매칭테이블!$F:$I,3,0)</f>
        <v/>
      </c>
      <c r="O7269" s="94">
        <f>VLOOKUP($Q7269,매칭테이블!$F:$I,4,0)*K7269</f>
        <v/>
      </c>
      <c r="P7269" s="148">
        <f>M7269/1.1</f>
        <v/>
      </c>
      <c r="Q7269" s="94">
        <f>F7269&amp;E7269&amp;G7269&amp;L7269</f>
        <v/>
      </c>
    </row>
    <row r="7270" customFormat="1" s="94">
      <c r="B7270" s="128" t="n">
        <v>44011</v>
      </c>
      <c r="C7270" s="94">
        <f>TEXT(B7270,"aaa")</f>
        <v/>
      </c>
      <c r="E7270" s="94" t="inlineStr">
        <is>
          <t>어성초진정패키지</t>
        </is>
      </c>
      <c r="F7270" s="5" t="inlineStr">
        <is>
          <t>카페24</t>
        </is>
      </c>
      <c r="G7270" s="94" t="inlineStr">
        <is>
          <t>어성초 진정패키지세트</t>
        </is>
      </c>
      <c r="H7270" s="7" t="n">
        <v>190801</v>
      </c>
      <c r="I7270" s="7" t="n">
        <v>190801</v>
      </c>
      <c r="K7270" s="94" t="n">
        <v>8</v>
      </c>
      <c r="L7270" s="7" t="n">
        <v>190801</v>
      </c>
      <c r="M7270" s="94">
        <f>VLOOKUP($Q7270,매칭테이블!$F:$I,2,0)*K7270</f>
        <v/>
      </c>
      <c r="N7270" s="94">
        <f>M7270-M7270*VLOOKUP($Q7270,매칭테이블!$F:$I,3,0)</f>
        <v/>
      </c>
      <c r="O7270" s="94">
        <f>VLOOKUP($Q7270,매칭테이블!$F:$I,4,0)*K7270</f>
        <v/>
      </c>
      <c r="P7270" s="148">
        <f>M7270/1.1</f>
        <v/>
      </c>
      <c r="Q7270" s="94">
        <f>F7270&amp;E7270&amp;G7270&amp;L7270</f>
        <v/>
      </c>
    </row>
    <row r="7271" customFormat="1" s="94">
      <c r="B7271" s="128" t="n">
        <v>44011</v>
      </c>
      <c r="C7271" s="94">
        <f>TEXT(B7271,"aaa")</f>
        <v/>
      </c>
      <c r="E7271" s="94" t="inlineStr">
        <is>
          <t>머드크림마스크</t>
        </is>
      </c>
      <c r="F7271" s="5" t="inlineStr">
        <is>
          <t>카페24</t>
        </is>
      </c>
      <c r="G7271" s="94" t="inlineStr">
        <is>
          <t>머드크림마스크 100ml</t>
        </is>
      </c>
      <c r="H7271" s="7" t="n">
        <v>190801</v>
      </c>
      <c r="I7271" s="7" t="n">
        <v>190801</v>
      </c>
      <c r="K7271" s="94" t="n">
        <v>2</v>
      </c>
      <c r="L7271" s="7" t="n">
        <v>190801</v>
      </c>
      <c r="M7271" s="94">
        <f>VLOOKUP($Q7271,매칭테이블!$F:$I,2,0)*K7271</f>
        <v/>
      </c>
      <c r="N7271" s="94">
        <f>M7271-M7271*VLOOKUP($Q7271,매칭테이블!$F:$I,3,0)</f>
        <v/>
      </c>
      <c r="O7271" s="94">
        <f>VLOOKUP($Q7271,매칭테이블!$F:$I,4,0)*K7271</f>
        <v/>
      </c>
      <c r="P7271" s="148">
        <f>M7271/1.1</f>
        <v/>
      </c>
      <c r="Q7271" s="94">
        <f>F7271&amp;E7271&amp;G7271&amp;L7271</f>
        <v/>
      </c>
    </row>
    <row r="7272" customFormat="1" s="94">
      <c r="B7272" s="128" t="n">
        <v>44011</v>
      </c>
      <c r="C7272" s="94">
        <f>TEXT(B7272,"aaa")</f>
        <v/>
      </c>
      <c r="E7272" s="94" t="inlineStr">
        <is>
          <t>마스크팩</t>
        </is>
      </c>
      <c r="F7272" s="5" t="inlineStr">
        <is>
          <t>카페24</t>
        </is>
      </c>
      <c r="G7272" s="94" t="inlineStr">
        <is>
          <t>마스크팩 1매</t>
        </is>
      </c>
      <c r="H7272" s="7" t="n">
        <v>190801</v>
      </c>
      <c r="I7272" s="7" t="n">
        <v>190801</v>
      </c>
      <c r="K7272" s="94" t="n">
        <v>5</v>
      </c>
      <c r="L7272" s="7" t="n">
        <v>190801</v>
      </c>
      <c r="M7272" s="94">
        <f>VLOOKUP($Q7272,매칭테이블!$F:$I,2,0)*K7272</f>
        <v/>
      </c>
      <c r="N7272" s="94">
        <f>M7272-M7272*VLOOKUP($Q7272,매칭테이블!$F:$I,3,0)</f>
        <v/>
      </c>
      <c r="O7272" s="94">
        <f>VLOOKUP($Q7272,매칭테이블!$F:$I,4,0)*K7272</f>
        <v/>
      </c>
      <c r="P7272" s="148">
        <f>M7272/1.1</f>
        <v/>
      </c>
      <c r="Q7272" s="94">
        <f>F7272&amp;E7272&amp;G7272&amp;L7272</f>
        <v/>
      </c>
    </row>
    <row r="7273" customFormat="1" s="94">
      <c r="B7273" s="128" t="n">
        <v>44011</v>
      </c>
      <c r="C7273" s="94">
        <f>TEXT(B7273,"aaa")</f>
        <v/>
      </c>
      <c r="E7273" s="94" t="inlineStr">
        <is>
          <t>마스크팩</t>
        </is>
      </c>
      <c r="F7273" s="5" t="inlineStr">
        <is>
          <t>카페24</t>
        </is>
      </c>
      <c r="G7273" s="94" t="inlineStr">
        <is>
          <t>마스크팩 10매</t>
        </is>
      </c>
      <c r="H7273" s="7" t="n">
        <v>190801</v>
      </c>
      <c r="I7273" s="7" t="n">
        <v>190801</v>
      </c>
      <c r="K7273" s="94" t="n">
        <v>1</v>
      </c>
      <c r="L7273" s="7" t="n">
        <v>190801</v>
      </c>
      <c r="M7273" s="94">
        <f>VLOOKUP($Q7273,매칭테이블!$F:$I,2,0)*K7273</f>
        <v/>
      </c>
      <c r="N7273" s="94">
        <f>M7273-M7273*VLOOKUP($Q7273,매칭테이블!$F:$I,3,0)</f>
        <v/>
      </c>
      <c r="O7273" s="94">
        <f>VLOOKUP($Q7273,매칭테이블!$F:$I,4,0)*K7273</f>
        <v/>
      </c>
      <c r="P7273" s="148">
        <f>M7273/1.1</f>
        <v/>
      </c>
      <c r="Q7273" s="94">
        <f>F7273&amp;E7273&amp;G7273&amp;L7273</f>
        <v/>
      </c>
    </row>
    <row r="7274" customFormat="1" s="94">
      <c r="B7274" s="128" t="n">
        <v>44011</v>
      </c>
      <c r="C7274" s="94">
        <f>TEXT(B7274,"aaa")</f>
        <v/>
      </c>
      <c r="E7274" s="94" t="inlineStr">
        <is>
          <t>토너</t>
        </is>
      </c>
      <c r="F7274" s="5" t="inlineStr">
        <is>
          <t>카페24</t>
        </is>
      </c>
      <c r="G7274" s="94" t="inlineStr">
        <is>
          <t>250ml</t>
        </is>
      </c>
      <c r="H7274" s="7" t="n">
        <v>190801</v>
      </c>
      <c r="I7274" s="7" t="n">
        <v>190801</v>
      </c>
      <c r="K7274" s="94" t="n">
        <v>74</v>
      </c>
      <c r="L7274" s="7" t="n">
        <v>190801</v>
      </c>
      <c r="M7274" s="94">
        <f>VLOOKUP($Q7274,매칭테이블!$F:$I,2,0)*K7274</f>
        <v/>
      </c>
      <c r="N7274" s="94">
        <f>M7274-M7274*VLOOKUP($Q7274,매칭테이블!$F:$I,3,0)</f>
        <v/>
      </c>
      <c r="O7274" s="94">
        <f>VLOOKUP($Q7274,매칭테이블!$F:$I,4,0)*K7274</f>
        <v/>
      </c>
      <c r="P7274" s="148">
        <f>M7274/1.1</f>
        <v/>
      </c>
      <c r="Q7274" s="94">
        <f>F7274&amp;E7274&amp;G7274&amp;L7274</f>
        <v/>
      </c>
    </row>
    <row r="7275" customFormat="1" s="94">
      <c r="B7275" s="128" t="n">
        <v>44011</v>
      </c>
      <c r="C7275" s="94">
        <f>TEXT(B7275,"aaa")</f>
        <v/>
      </c>
      <c r="E7275" s="94" t="inlineStr">
        <is>
          <t>토너</t>
        </is>
      </c>
      <c r="F7275" s="5" t="inlineStr">
        <is>
          <t>카페24</t>
        </is>
      </c>
      <c r="G7275" s="94" t="inlineStr">
        <is>
          <t>250ml 2set</t>
        </is>
      </c>
      <c r="H7275" s="7" t="n">
        <v>190801</v>
      </c>
      <c r="I7275" s="7" t="n">
        <v>190801</v>
      </c>
      <c r="K7275" s="94" t="n">
        <v>42</v>
      </c>
      <c r="L7275" s="7" t="n">
        <v>190801</v>
      </c>
      <c r="M7275" s="94">
        <f>VLOOKUP($Q7275,매칭테이블!$F:$I,2,0)*K7275</f>
        <v/>
      </c>
      <c r="N7275" s="94">
        <f>M7275-M7275*VLOOKUP($Q7275,매칭테이블!$F:$I,3,0)</f>
        <v/>
      </c>
      <c r="O7275" s="94">
        <f>VLOOKUP($Q7275,매칭테이블!$F:$I,4,0)*K7275</f>
        <v/>
      </c>
      <c r="P7275" s="148">
        <f>M7275/1.1</f>
        <v/>
      </c>
      <c r="Q7275" s="94">
        <f>F7275&amp;E7275&amp;G7275&amp;L7275</f>
        <v/>
      </c>
    </row>
    <row r="7276" customFormat="1" s="94">
      <c r="B7276" s="128" t="n">
        <v>44011</v>
      </c>
      <c r="C7276" s="94">
        <f>TEXT(B7276,"aaa")</f>
        <v/>
      </c>
      <c r="E7276" s="94" t="inlineStr">
        <is>
          <t>토너</t>
        </is>
      </c>
      <c r="F7276" s="5" t="inlineStr">
        <is>
          <t>카페24</t>
        </is>
      </c>
      <c r="G7276" s="94" t="inlineStr">
        <is>
          <t>500ml</t>
        </is>
      </c>
      <c r="H7276" s="7" t="n">
        <v>190801</v>
      </c>
      <c r="I7276" s="7" t="n">
        <v>190801</v>
      </c>
      <c r="K7276" s="94" t="n">
        <v>77</v>
      </c>
      <c r="L7276" s="7" t="n">
        <v>190801</v>
      </c>
      <c r="M7276" s="94">
        <f>VLOOKUP($Q7276,매칭테이블!$F:$I,2,0)*K7276</f>
        <v/>
      </c>
      <c r="N7276" s="94">
        <f>M7276-M7276*VLOOKUP($Q7276,매칭테이블!$F:$I,3,0)</f>
        <v/>
      </c>
      <c r="O7276" s="94">
        <f>VLOOKUP($Q7276,매칭테이블!$F:$I,4,0)*K7276</f>
        <v/>
      </c>
      <c r="P7276" s="148">
        <f>M7276/1.1</f>
        <v/>
      </c>
      <c r="Q7276" s="94">
        <f>F7276&amp;E7276&amp;G7276&amp;L7276</f>
        <v/>
      </c>
    </row>
    <row r="7277" customFormat="1" s="94">
      <c r="B7277" s="128" t="n">
        <v>44011</v>
      </c>
      <c r="C7277" s="94">
        <f>TEXT(B7277,"aaa")</f>
        <v/>
      </c>
      <c r="E7277" s="94" t="inlineStr">
        <is>
          <t>토너</t>
        </is>
      </c>
      <c r="F7277" s="5" t="inlineStr">
        <is>
          <t>카페24</t>
        </is>
      </c>
      <c r="G7277" s="94" t="inlineStr">
        <is>
          <t>스킨팩 화장솜 60P</t>
        </is>
      </c>
      <c r="H7277" s="7" t="n">
        <v>190801</v>
      </c>
      <c r="I7277" s="7" t="n">
        <v>190801</v>
      </c>
      <c r="K7277" s="94" t="n">
        <v>66</v>
      </c>
      <c r="L7277" s="7" t="n">
        <v>190801</v>
      </c>
      <c r="M7277" s="94">
        <f>VLOOKUP($Q7277,매칭테이블!$F:$I,2,0)*K7277</f>
        <v/>
      </c>
      <c r="N7277" s="94">
        <f>M7277-M7277*VLOOKUP($Q7277,매칭테이블!$F:$I,3,0)</f>
        <v/>
      </c>
      <c r="O7277" s="94">
        <f>VLOOKUP($Q7277,매칭테이블!$F:$I,4,0)*K7277</f>
        <v/>
      </c>
      <c r="P7277" s="148">
        <f>M7277/1.1</f>
        <v/>
      </c>
      <c r="Q7277" s="94">
        <f>F7277&amp;E7277&amp;G7277&amp;L7277</f>
        <v/>
      </c>
    </row>
    <row r="7278" customFormat="1" s="94">
      <c r="B7278" s="128" t="n">
        <v>44011</v>
      </c>
      <c r="C7278" s="94">
        <f>TEXT(B7278,"aaa")</f>
        <v/>
      </c>
      <c r="E7278" s="94" t="inlineStr">
        <is>
          <t>앰플</t>
        </is>
      </c>
      <c r="F7278" s="5" t="inlineStr">
        <is>
          <t>카페24</t>
        </is>
      </c>
      <c r="G7278" s="94" t="inlineStr">
        <is>
          <t>앰플 30ml</t>
        </is>
      </c>
      <c r="H7278" s="7" t="n">
        <v>190801</v>
      </c>
      <c r="I7278" s="7" t="n">
        <v>190801</v>
      </c>
      <c r="K7278" s="94" t="n">
        <v>11</v>
      </c>
      <c r="L7278" s="7" t="n">
        <v>190801</v>
      </c>
      <c r="M7278" s="94">
        <f>VLOOKUP($Q7278,매칭테이블!$F:$I,2,0)*K7278</f>
        <v/>
      </c>
      <c r="N7278" s="94">
        <f>M7278-M7278*VLOOKUP($Q7278,매칭테이블!$F:$I,3,0)</f>
        <v/>
      </c>
      <c r="O7278" s="94">
        <f>VLOOKUP($Q7278,매칭테이블!$F:$I,4,0)*K7278</f>
        <v/>
      </c>
      <c r="P7278" s="148">
        <f>M7278/1.1</f>
        <v/>
      </c>
      <c r="Q7278" s="94">
        <f>F7278&amp;E7278&amp;G7278&amp;L7278</f>
        <v/>
      </c>
    </row>
    <row r="7279" customFormat="1" s="94">
      <c r="B7279" s="128" t="n">
        <v>44011</v>
      </c>
      <c r="C7279" s="94">
        <f>TEXT(B7279,"aaa")</f>
        <v/>
      </c>
      <c r="E7279" s="94" t="inlineStr">
        <is>
          <t>수딩크림</t>
        </is>
      </c>
      <c r="F7279" s="5" t="inlineStr">
        <is>
          <t>카페24</t>
        </is>
      </c>
      <c r="G7279" s="94" t="inlineStr">
        <is>
          <t>수딩크림 100ml</t>
        </is>
      </c>
      <c r="H7279" s="7" t="n">
        <v>190801</v>
      </c>
      <c r="I7279" s="7" t="n">
        <v>190801</v>
      </c>
      <c r="K7279" s="94" t="n">
        <v>7</v>
      </c>
      <c r="L7279" s="7" t="n">
        <v>190801</v>
      </c>
      <c r="M7279" s="94">
        <f>VLOOKUP($Q7279,매칭테이블!$F:$I,2,0)*K7279</f>
        <v/>
      </c>
      <c r="N7279" s="94">
        <f>M7279-M7279*VLOOKUP($Q7279,매칭테이블!$F:$I,3,0)</f>
        <v/>
      </c>
      <c r="O7279" s="94">
        <f>VLOOKUP($Q7279,매칭테이블!$F:$I,4,0)*K7279</f>
        <v/>
      </c>
      <c r="P7279" s="148">
        <f>M7279/1.1</f>
        <v/>
      </c>
      <c r="Q7279" s="94">
        <f>F7279&amp;E7279&amp;G7279&amp;L7279</f>
        <v/>
      </c>
    </row>
    <row r="7280" customFormat="1" s="94">
      <c r="B7280" s="128" t="n">
        <v>44011</v>
      </c>
      <c r="C7280" s="94">
        <f>TEXT(B7280,"aaa")</f>
        <v/>
      </c>
      <c r="E7280" s="94" t="inlineStr">
        <is>
          <t>클렌징폼</t>
        </is>
      </c>
      <c r="F7280" s="5" t="inlineStr">
        <is>
          <t>카페24</t>
        </is>
      </c>
      <c r="G7280" s="94" t="inlineStr">
        <is>
          <t>클렌징폼 120ml</t>
        </is>
      </c>
      <c r="H7280" s="7" t="n">
        <v>190801</v>
      </c>
      <c r="I7280" s="7" t="n">
        <v>190801</v>
      </c>
      <c r="K7280" s="94" t="n">
        <v>6</v>
      </c>
      <c r="L7280" s="7" t="n">
        <v>190801</v>
      </c>
      <c r="M7280" s="94">
        <f>VLOOKUP($Q7280,매칭테이블!$F:$I,2,0)*K7280</f>
        <v/>
      </c>
      <c r="N7280" s="94">
        <f>M7280-M7280*VLOOKUP($Q7280,매칭테이블!$F:$I,3,0)</f>
        <v/>
      </c>
      <c r="O7280" s="94">
        <f>VLOOKUP($Q7280,매칭테이블!$F:$I,4,0)*K7280</f>
        <v/>
      </c>
      <c r="P7280" s="148">
        <f>M7280/1.1</f>
        <v/>
      </c>
      <c r="Q7280" s="94">
        <f>F7280&amp;E7280&amp;G7280&amp;L7280</f>
        <v/>
      </c>
    </row>
    <row r="7281" customFormat="1" s="94">
      <c r="B7281" s="128" t="n">
        <v>44011</v>
      </c>
      <c r="C7281" s="94">
        <f>TEXT(B7281,"aaa")</f>
        <v/>
      </c>
      <c r="E7281" s="94" t="inlineStr">
        <is>
          <t>클렌징폼</t>
        </is>
      </c>
      <c r="F7281" s="5" t="inlineStr">
        <is>
          <t>카페24</t>
        </is>
      </c>
      <c r="G7281" s="94" t="inlineStr">
        <is>
          <t>클렌징폼 120ml 3set</t>
        </is>
      </c>
      <c r="H7281" s="7" t="n">
        <v>190801</v>
      </c>
      <c r="I7281" s="7" t="n">
        <v>190801</v>
      </c>
      <c r="K7281" s="94" t="n">
        <v>1</v>
      </c>
      <c r="L7281" s="7" t="n">
        <v>190801</v>
      </c>
      <c r="M7281" s="94">
        <f>VLOOKUP($Q7281,매칭테이블!$F:$I,2,0)*K7281</f>
        <v/>
      </c>
      <c r="N7281" s="94">
        <f>M7281-M7281*VLOOKUP($Q7281,매칭테이블!$F:$I,3,0)</f>
        <v/>
      </c>
      <c r="O7281" s="94">
        <f>VLOOKUP($Q7281,매칭테이블!$F:$I,4,0)*K7281</f>
        <v/>
      </c>
      <c r="P7281" s="148">
        <f>M7281/1.1</f>
        <v/>
      </c>
      <c r="Q7281" s="94">
        <f>F7281&amp;E7281&amp;G7281&amp;L7281</f>
        <v/>
      </c>
    </row>
    <row r="7282" customFormat="1" s="94">
      <c r="B7282" s="128" t="n">
        <v>44011</v>
      </c>
      <c r="C7282" s="94">
        <f>TEXT(B7282,"aaa")</f>
        <v/>
      </c>
      <c r="E7282" s="94" t="inlineStr">
        <is>
          <t>토너</t>
        </is>
      </c>
      <c r="F7282" s="5" t="inlineStr">
        <is>
          <t>큐텐</t>
        </is>
      </c>
      <c r="G7282" s="94" t="inlineStr">
        <is>
          <t>250ml</t>
        </is>
      </c>
      <c r="H7282" s="7" t="n">
        <v>190801</v>
      </c>
      <c r="I7282" s="7" t="n">
        <v>190801</v>
      </c>
      <c r="K7282" s="94" t="n">
        <v>26</v>
      </c>
      <c r="L7282" s="7" t="n">
        <v>190801</v>
      </c>
      <c r="M7282" s="94">
        <f>VLOOKUP($Q7282,매칭테이블!$F:$I,2,0)*K7282</f>
        <v/>
      </c>
      <c r="N7282" s="94">
        <f>M7282-M7282*VLOOKUP($Q7282,매칭테이블!$F:$I,3,0)</f>
        <v/>
      </c>
      <c r="O7282" s="94">
        <f>VLOOKUP($Q7282,매칭테이블!$F:$I,4,0)*K7282</f>
        <v/>
      </c>
      <c r="P7282" s="148">
        <f>M7282/1.1</f>
        <v/>
      </c>
      <c r="Q7282" s="94">
        <f>F7282&amp;E7282&amp;G7282&amp;L7282</f>
        <v/>
      </c>
    </row>
    <row r="7283" customFormat="1" s="94">
      <c r="B7283" s="128" t="n">
        <v>44011</v>
      </c>
      <c r="C7283" s="94">
        <f>TEXT(B7283,"aaa")</f>
        <v/>
      </c>
      <c r="E7283" s="94" t="inlineStr">
        <is>
          <t>토너</t>
        </is>
      </c>
      <c r="F7283" s="5" t="inlineStr">
        <is>
          <t>큐텐</t>
        </is>
      </c>
      <c r="G7283" s="94" t="inlineStr">
        <is>
          <t>250ml 2set</t>
        </is>
      </c>
      <c r="H7283" s="7" t="n">
        <v>190801</v>
      </c>
      <c r="I7283" s="7" t="n">
        <v>190801</v>
      </c>
      <c r="K7283" s="94" t="n">
        <v>12</v>
      </c>
      <c r="L7283" s="7" t="n">
        <v>190801</v>
      </c>
      <c r="M7283" s="94">
        <f>VLOOKUP($Q7283,매칭테이블!$F:$I,2,0)*K7283</f>
        <v/>
      </c>
      <c r="N7283" s="94">
        <f>M7283-M7283*VLOOKUP($Q7283,매칭테이블!$F:$I,3,0)</f>
        <v/>
      </c>
      <c r="O7283" s="94">
        <f>VLOOKUP($Q7283,매칭테이블!$F:$I,4,0)*K7283</f>
        <v/>
      </c>
      <c r="P7283" s="148">
        <f>M7283/1.1</f>
        <v/>
      </c>
      <c r="Q7283" s="94">
        <f>F7283&amp;E7283&amp;G7283&amp;L7283</f>
        <v/>
      </c>
    </row>
    <row r="7284" customFormat="1" s="94">
      <c r="B7284" s="128" t="n">
        <v>44011</v>
      </c>
      <c r="C7284" s="94">
        <f>TEXT(B7284,"aaa")</f>
        <v/>
      </c>
      <c r="E7284" s="94" t="inlineStr">
        <is>
          <t>앰플</t>
        </is>
      </c>
      <c r="F7284" s="5" t="inlineStr">
        <is>
          <t>큐텐</t>
        </is>
      </c>
      <c r="G7284" s="94" t="inlineStr">
        <is>
          <t>앰플 30ml</t>
        </is>
      </c>
      <c r="H7284" s="7" t="n">
        <v>190801</v>
      </c>
      <c r="I7284" s="7" t="n">
        <v>190801</v>
      </c>
      <c r="K7284" s="94" t="n">
        <v>5</v>
      </c>
      <c r="L7284" s="7" t="n">
        <v>190801</v>
      </c>
      <c r="M7284" s="94">
        <f>VLOOKUP($Q7284,매칭테이블!$F:$I,2,0)*K7284</f>
        <v/>
      </c>
      <c r="N7284" s="94">
        <f>M7284-M7284*VLOOKUP($Q7284,매칭테이블!$F:$I,3,0)</f>
        <v/>
      </c>
      <c r="O7284" s="94">
        <f>VLOOKUP($Q7284,매칭테이블!$F:$I,4,0)*K7284</f>
        <v/>
      </c>
      <c r="P7284" s="148">
        <f>M7284/1.1</f>
        <v/>
      </c>
      <c r="Q7284" s="94">
        <f>F7284&amp;E7284&amp;G7284&amp;L7284</f>
        <v/>
      </c>
    </row>
    <row r="7285" customFormat="1" s="94">
      <c r="B7285" s="128" t="n">
        <v>44011</v>
      </c>
      <c r="C7285" s="94">
        <f>TEXT(B7285,"aaa")</f>
        <v/>
      </c>
      <c r="E7285" s="94" t="inlineStr">
        <is>
          <t>머드크림마스크</t>
        </is>
      </c>
      <c r="F7285" s="5" t="inlineStr">
        <is>
          <t>큐텐</t>
        </is>
      </c>
      <c r="G7285" s="94" t="inlineStr">
        <is>
          <t>머드크림마스크 100ml</t>
        </is>
      </c>
      <c r="H7285" s="7" t="n">
        <v>190801</v>
      </c>
      <c r="I7285" s="7" t="n">
        <v>190801</v>
      </c>
      <c r="K7285" s="94" t="n">
        <v>1</v>
      </c>
      <c r="L7285" s="7" t="n">
        <v>190801</v>
      </c>
      <c r="M7285" s="94">
        <f>VLOOKUP($Q7285,매칭테이블!$F:$I,2,0)*K7285</f>
        <v/>
      </c>
      <c r="N7285" s="94">
        <f>M7285-M7285*VLOOKUP($Q7285,매칭테이블!$F:$I,3,0)</f>
        <v/>
      </c>
      <c r="O7285" s="94">
        <f>VLOOKUP($Q7285,매칭테이블!$F:$I,4,0)*K7285</f>
        <v/>
      </c>
      <c r="P7285" s="148">
        <f>M7285/1.1</f>
        <v/>
      </c>
      <c r="Q7285" s="94">
        <f>F7285&amp;E7285&amp;G7285&amp;L7285</f>
        <v/>
      </c>
    </row>
    <row r="7286" customFormat="1" s="94">
      <c r="B7286" s="128" t="n">
        <v>44011</v>
      </c>
      <c r="C7286" s="94">
        <f>TEXT(B7286,"aaa")</f>
        <v/>
      </c>
      <c r="E7286" s="94" t="inlineStr">
        <is>
          <t>마스크팩</t>
        </is>
      </c>
      <c r="F7286" s="5" t="inlineStr">
        <is>
          <t>큐텐</t>
        </is>
      </c>
      <c r="G7286" s="94" t="inlineStr">
        <is>
          <t>마스크팩 10매</t>
        </is>
      </c>
      <c r="H7286" s="7" t="n">
        <v>190801</v>
      </c>
      <c r="I7286" s="7" t="n">
        <v>190801</v>
      </c>
      <c r="K7286" s="94" t="n">
        <v>1</v>
      </c>
      <c r="L7286" s="7" t="n">
        <v>190801</v>
      </c>
      <c r="M7286" s="94">
        <f>VLOOKUP($Q7286,매칭테이블!$F:$I,2,0)*K7286</f>
        <v/>
      </c>
      <c r="N7286" s="94">
        <f>M7286-M7286*VLOOKUP($Q7286,매칭테이블!$F:$I,3,0)</f>
        <v/>
      </c>
      <c r="O7286" s="94">
        <f>VLOOKUP($Q7286,매칭테이블!$F:$I,4,0)*K7286</f>
        <v/>
      </c>
      <c r="P7286" s="148">
        <f>M7286/1.1</f>
        <v/>
      </c>
      <c r="Q7286" s="94">
        <f>F7286&amp;E7286&amp;G7286&amp;L7286</f>
        <v/>
      </c>
    </row>
    <row r="7287" customFormat="1" s="94">
      <c r="B7287" s="128" t="n">
        <v>44011</v>
      </c>
      <c r="C7287" s="94">
        <f>TEXT(B7287,"aaa")</f>
        <v/>
      </c>
      <c r="E7287" s="94" t="inlineStr">
        <is>
          <t>클렌징폼</t>
        </is>
      </c>
      <c r="F7287" s="5" t="inlineStr">
        <is>
          <t>큐텐</t>
        </is>
      </c>
      <c r="G7287" s="94" t="inlineStr">
        <is>
          <t>클렌징폼 120ml</t>
        </is>
      </c>
      <c r="H7287" s="7" t="n">
        <v>190801</v>
      </c>
      <c r="I7287" s="7" t="n">
        <v>190801</v>
      </c>
      <c r="K7287" s="94" t="n">
        <v>1</v>
      </c>
      <c r="L7287" s="7" t="n">
        <v>190801</v>
      </c>
      <c r="M7287" s="94">
        <f>VLOOKUP($Q7287,매칭테이블!$F:$I,2,0)*K7287</f>
        <v/>
      </c>
      <c r="N7287" s="94">
        <f>M7287-M7287*VLOOKUP($Q7287,매칭테이블!$F:$I,3,0)</f>
        <v/>
      </c>
      <c r="O7287" s="94">
        <f>VLOOKUP($Q7287,매칭테이블!$F:$I,4,0)*K7287</f>
        <v/>
      </c>
      <c r="P7287" s="148">
        <f>M7287/1.1</f>
        <v/>
      </c>
      <c r="Q7287" s="94">
        <f>F7287&amp;E7287&amp;G7287&amp;L7287</f>
        <v/>
      </c>
    </row>
    <row r="7288" customFormat="1" s="94">
      <c r="B7288" s="128" t="n">
        <v>44011</v>
      </c>
      <c r="C7288" s="94">
        <f>TEXT(B7288,"aaa")</f>
        <v/>
      </c>
      <c r="E7288" s="94" t="inlineStr">
        <is>
          <t>토너</t>
        </is>
      </c>
      <c r="F7288" s="5" t="inlineStr">
        <is>
          <t>아누아 CS</t>
        </is>
      </c>
      <c r="G7288" s="94" t="inlineStr">
        <is>
          <t>250ml</t>
        </is>
      </c>
      <c r="H7288" s="7" t="n">
        <v>190801</v>
      </c>
      <c r="I7288" s="7" t="n">
        <v>190801</v>
      </c>
      <c r="K7288" s="94" t="n">
        <v>5</v>
      </c>
      <c r="L7288" s="7" t="n">
        <v>190801</v>
      </c>
      <c r="M7288" s="94">
        <f>VLOOKUP($Q7288,매칭테이블!$F:$I,2,0)*K7288</f>
        <v/>
      </c>
      <c r="N7288" s="94">
        <f>M7288-M7288*VLOOKUP($Q7288,매칭테이블!$F:$I,3,0)</f>
        <v/>
      </c>
      <c r="O7288" s="94">
        <f>VLOOKUP($Q7288,매칭테이블!$F:$I,4,0)*K7288</f>
        <v/>
      </c>
      <c r="P7288" s="148">
        <f>M7288/1.1</f>
        <v/>
      </c>
      <c r="Q7288" s="94">
        <f>F7288&amp;E7288&amp;G7288&amp;L7288</f>
        <v/>
      </c>
    </row>
    <row r="7289" customFormat="1" s="94">
      <c r="B7289" s="128" t="n">
        <v>44011</v>
      </c>
      <c r="C7289" s="94">
        <f>TEXT(B7289,"aaa")</f>
        <v/>
      </c>
      <c r="E7289" s="94" t="inlineStr">
        <is>
          <t>화장솜</t>
        </is>
      </c>
      <c r="F7289" s="5" t="inlineStr">
        <is>
          <t>아누아 CS</t>
        </is>
      </c>
      <c r="G7289" s="94" t="inlineStr">
        <is>
          <t>스킨팩 화장솜 60P</t>
        </is>
      </c>
      <c r="H7289" s="7" t="n">
        <v>190801</v>
      </c>
      <c r="I7289" s="7" t="n">
        <v>190801</v>
      </c>
      <c r="K7289" s="94" t="n">
        <v>4</v>
      </c>
      <c r="L7289" s="7" t="n">
        <v>190801</v>
      </c>
      <c r="M7289" s="94">
        <f>VLOOKUP($Q7289,매칭테이블!$F:$I,2,0)*K7289</f>
        <v/>
      </c>
      <c r="N7289" s="94">
        <f>M7289-M7289*VLOOKUP($Q7289,매칭테이블!$F:$I,3,0)</f>
        <v/>
      </c>
      <c r="O7289" s="94">
        <f>VLOOKUP($Q7289,매칭테이블!$F:$I,4,0)*K7289</f>
        <v/>
      </c>
      <c r="P7289" s="148">
        <f>M7289/1.1</f>
        <v/>
      </c>
      <c r="Q7289" s="94">
        <f>F7289&amp;E7289&amp;G7289&amp;L7289</f>
        <v/>
      </c>
    </row>
    <row r="7290" customFormat="1" s="94">
      <c r="B7290" s="128" t="n">
        <v>44011</v>
      </c>
      <c r="C7290" s="94">
        <f>TEXT(B7290,"aaa")</f>
        <v/>
      </c>
      <c r="E7290" s="94" t="inlineStr">
        <is>
          <t>앰플</t>
        </is>
      </c>
      <c r="F7290" s="5" t="inlineStr">
        <is>
          <t>아누아 CS</t>
        </is>
      </c>
      <c r="G7290" s="94" t="inlineStr">
        <is>
          <t>앰플 30ml</t>
        </is>
      </c>
      <c r="H7290" s="7" t="n">
        <v>190801</v>
      </c>
      <c r="I7290" s="7" t="n">
        <v>190801</v>
      </c>
      <c r="K7290" s="94" t="n">
        <v>4</v>
      </c>
      <c r="L7290" s="7" t="n">
        <v>190801</v>
      </c>
      <c r="M7290" s="94">
        <f>VLOOKUP($Q7290,매칭테이블!$F:$I,2,0)*K7290</f>
        <v/>
      </c>
      <c r="N7290" s="94">
        <f>M7290-M7290*VLOOKUP($Q7290,매칭테이블!$F:$I,3,0)</f>
        <v/>
      </c>
      <c r="O7290" s="94">
        <f>VLOOKUP($Q7290,매칭테이블!$F:$I,4,0)*K7290</f>
        <v/>
      </c>
      <c r="P7290" s="148">
        <f>M7290/1.1</f>
        <v/>
      </c>
      <c r="Q7290" s="94">
        <f>F7290&amp;E7290&amp;G7290&amp;L7290</f>
        <v/>
      </c>
    </row>
    <row r="7291" customFormat="1" s="94">
      <c r="B7291" s="128" t="n">
        <v>44011</v>
      </c>
      <c r="C7291" s="94">
        <f>TEXT(B7291,"aaa")</f>
        <v/>
      </c>
      <c r="E7291" s="94" t="inlineStr">
        <is>
          <t>마스크팩</t>
        </is>
      </c>
      <c r="F7291" s="5" t="inlineStr">
        <is>
          <t>아누아 CS</t>
        </is>
      </c>
      <c r="G7291" s="94" t="inlineStr">
        <is>
          <t>마스크팩 10매</t>
        </is>
      </c>
      <c r="H7291" s="7" t="n">
        <v>190801</v>
      </c>
      <c r="I7291" s="7" t="n">
        <v>190801</v>
      </c>
      <c r="K7291" s="94" t="n">
        <v>4</v>
      </c>
      <c r="L7291" s="7" t="n">
        <v>190801</v>
      </c>
      <c r="M7291" s="94">
        <f>VLOOKUP($Q7291,매칭테이블!$F:$I,2,0)*K7291</f>
        <v/>
      </c>
      <c r="N7291" s="94">
        <f>M7291-M7291*VLOOKUP($Q7291,매칭테이블!$F:$I,3,0)</f>
        <v/>
      </c>
      <c r="O7291" s="94">
        <f>VLOOKUP($Q7291,매칭테이블!$F:$I,4,0)*K7291</f>
        <v/>
      </c>
      <c r="P7291" s="148">
        <f>M7291/1.1</f>
        <v/>
      </c>
      <c r="Q7291" s="94">
        <f>F7291&amp;E7291&amp;G7291&amp;L7291</f>
        <v/>
      </c>
    </row>
    <row r="7292" customFormat="1" s="94">
      <c r="B7292" s="128" t="n">
        <v>44011</v>
      </c>
      <c r="C7292" s="94">
        <f>TEXT(B7292,"aaa")</f>
        <v/>
      </c>
      <c r="E7292" s="94" t="inlineStr">
        <is>
          <t>선크림</t>
        </is>
      </c>
      <c r="F7292" s="5" t="inlineStr">
        <is>
          <t>아누아 CS</t>
        </is>
      </c>
      <c r="G7292" s="94" t="inlineStr">
        <is>
          <t>선크림 50ml</t>
        </is>
      </c>
      <c r="H7292" s="7" t="n">
        <v>190801</v>
      </c>
      <c r="I7292" s="7" t="n">
        <v>190801</v>
      </c>
      <c r="K7292" s="94" t="n">
        <v>4</v>
      </c>
      <c r="L7292" s="7" t="n">
        <v>190801</v>
      </c>
      <c r="M7292" s="94">
        <f>VLOOKUP($Q7292,매칭테이블!$F:$I,2,0)*K7292</f>
        <v/>
      </c>
      <c r="N7292" s="94">
        <f>M7292-M7292*VLOOKUP($Q7292,매칭테이블!$F:$I,3,0)</f>
        <v/>
      </c>
      <c r="O7292" s="94">
        <f>VLOOKUP($Q7292,매칭테이블!$F:$I,4,0)*K7292</f>
        <v/>
      </c>
      <c r="P7292" s="148">
        <f>M7292/1.1</f>
        <v/>
      </c>
      <c r="Q7292" s="94">
        <f>F7292&amp;E7292&amp;G7292&amp;L7292</f>
        <v/>
      </c>
    </row>
    <row r="7293" customFormat="1" s="94">
      <c r="B7293" s="128" t="n">
        <v>44011</v>
      </c>
      <c r="C7293" s="94">
        <f>TEXT(B7293,"aaa")</f>
        <v/>
      </c>
      <c r="E7293" s="94" t="inlineStr">
        <is>
          <t>토너</t>
        </is>
      </c>
      <c r="F7293" s="5" t="inlineStr">
        <is>
          <t>화해</t>
        </is>
      </c>
      <c r="G7293" s="94" t="inlineStr">
        <is>
          <t>250ml</t>
        </is>
      </c>
      <c r="H7293" s="7" t="n">
        <v>190801</v>
      </c>
      <c r="I7293" s="7" t="n">
        <v>190801</v>
      </c>
      <c r="K7293" s="94" t="n">
        <v>8</v>
      </c>
      <c r="L7293" s="7" t="n">
        <v>190801</v>
      </c>
      <c r="M7293" s="94">
        <f>VLOOKUP($Q7293,매칭테이블!$F:$I,2,0)*K7293</f>
        <v/>
      </c>
      <c r="N7293" s="94">
        <f>M7293-M7293*VLOOKUP($Q7293,매칭테이블!$F:$I,3,0)</f>
        <v/>
      </c>
      <c r="O7293" s="94">
        <f>VLOOKUP($Q7293,매칭테이블!$F:$I,4,0)*K7293</f>
        <v/>
      </c>
      <c r="P7293" s="148">
        <f>M7293/1.1</f>
        <v/>
      </c>
      <c r="Q7293" s="94">
        <f>F7293&amp;E7293&amp;G7293&amp;L7293</f>
        <v/>
      </c>
    </row>
    <row r="7294" customFormat="1" s="94">
      <c r="B7294" s="128" t="n">
        <v>44012</v>
      </c>
      <c r="C7294" s="94">
        <f>TEXT(B7294,"aaa")</f>
        <v/>
      </c>
      <c r="E7294" s="94" t="inlineStr">
        <is>
          <t>토너</t>
        </is>
      </c>
      <c r="F7294" s="5" t="inlineStr">
        <is>
          <t>W컨셉</t>
        </is>
      </c>
      <c r="G7294" s="94" t="inlineStr">
        <is>
          <t>250ml 2set</t>
        </is>
      </c>
      <c r="H7294" s="7" t="n">
        <v>190801</v>
      </c>
      <c r="I7294" s="7" t="n">
        <v>190801</v>
      </c>
      <c r="K7294" s="94" t="n">
        <v>7</v>
      </c>
      <c r="L7294" s="7" t="n">
        <v>190801</v>
      </c>
      <c r="M7294" s="94">
        <f>VLOOKUP($Q7294,매칭테이블!$F:$I,2,0)*K7294</f>
        <v/>
      </c>
      <c r="N7294" s="94">
        <f>M7294-M7294*VLOOKUP($Q7294,매칭테이블!$F:$I,3,0)</f>
        <v/>
      </c>
      <c r="O7294" s="94">
        <f>VLOOKUP($Q7294,매칭테이블!$F:$I,4,0)*K7294</f>
        <v/>
      </c>
      <c r="P7294" s="148">
        <f>M7294/1.1</f>
        <v/>
      </c>
      <c r="Q7294" s="94">
        <f>F7294&amp;E7294&amp;G7294&amp;L7294</f>
        <v/>
      </c>
    </row>
    <row r="7295" customFormat="1" s="94">
      <c r="B7295" s="128" t="n">
        <v>44012</v>
      </c>
      <c r="C7295" s="94">
        <f>TEXT(B7295,"aaa")</f>
        <v/>
      </c>
      <c r="E7295" s="94" t="inlineStr">
        <is>
          <t>토너</t>
        </is>
      </c>
      <c r="F7295" s="5" t="inlineStr">
        <is>
          <t>글로우데이즈 시코르</t>
        </is>
      </c>
      <c r="G7295" s="94" t="inlineStr">
        <is>
          <t>250ml</t>
        </is>
      </c>
      <c r="H7295" s="7" t="n">
        <v>190801</v>
      </c>
      <c r="I7295" s="7" t="n">
        <v>190801</v>
      </c>
      <c r="K7295" s="94" t="n">
        <v>250</v>
      </c>
      <c r="L7295" s="7" t="n">
        <v>190801</v>
      </c>
      <c r="M7295" s="94">
        <f>VLOOKUP($Q7295,매칭테이블!$F:$I,2,0)*K7295</f>
        <v/>
      </c>
      <c r="N7295" s="94">
        <f>M7295-M7295*VLOOKUP($Q7295,매칭테이블!$F:$I,3,0)</f>
        <v/>
      </c>
      <c r="O7295" s="94">
        <f>VLOOKUP($Q7295,매칭테이블!$F:$I,4,0)*K7295</f>
        <v/>
      </c>
      <c r="P7295" s="148">
        <f>M7295/1.1</f>
        <v/>
      </c>
      <c r="Q7295" s="94">
        <f>F7295&amp;E7295&amp;G7295&amp;L7295</f>
        <v/>
      </c>
    </row>
    <row r="7296" customFormat="1" s="94">
      <c r="B7296" s="128" t="n">
        <v>44012</v>
      </c>
      <c r="C7296" s="94">
        <f>TEXT(B7296,"aaa")</f>
        <v/>
      </c>
      <c r="E7296" s="94" t="inlineStr">
        <is>
          <t>토너</t>
        </is>
      </c>
      <c r="F7296" s="5" t="inlineStr">
        <is>
          <t>스타일쉐어</t>
        </is>
      </c>
      <c r="G7296" s="94" t="inlineStr">
        <is>
          <t>250ml</t>
        </is>
      </c>
      <c r="H7296" s="7" t="n">
        <v>190801</v>
      </c>
      <c r="I7296" s="7" t="n">
        <v>190801</v>
      </c>
      <c r="K7296" s="94" t="n">
        <v>4</v>
      </c>
      <c r="L7296" s="7" t="n">
        <v>190801</v>
      </c>
      <c r="M7296" s="94">
        <f>VLOOKUP($Q7296,매칭테이블!$F:$I,2,0)*K7296</f>
        <v/>
      </c>
      <c r="N7296" s="94">
        <f>M7296-M7296*VLOOKUP($Q7296,매칭테이블!$F:$I,3,0)</f>
        <v/>
      </c>
      <c r="O7296" s="94">
        <f>VLOOKUP($Q7296,매칭테이블!$F:$I,4,0)*K7296</f>
        <v/>
      </c>
      <c r="P7296" s="148">
        <f>M7296/1.1</f>
        <v/>
      </c>
      <c r="Q7296" s="94">
        <f>F7296&amp;E7296&amp;G7296&amp;L7296</f>
        <v/>
      </c>
    </row>
    <row r="7297" customFormat="1" s="94">
      <c r="B7297" s="128" t="n">
        <v>44012</v>
      </c>
      <c r="C7297" s="94">
        <f>TEXT(B7297,"aaa")</f>
        <v/>
      </c>
      <c r="E7297" s="94" t="inlineStr">
        <is>
          <t>선크림</t>
        </is>
      </c>
      <c r="F7297" s="5" t="inlineStr">
        <is>
          <t>카페24</t>
        </is>
      </c>
      <c r="G7297" s="94" t="inlineStr">
        <is>
          <t>선크림 50ml</t>
        </is>
      </c>
      <c r="H7297" s="7" t="n">
        <v>190801</v>
      </c>
      <c r="I7297" s="7" t="n">
        <v>190801</v>
      </c>
      <c r="K7297" s="94" t="n">
        <v>7</v>
      </c>
      <c r="L7297" s="7" t="n">
        <v>190801</v>
      </c>
      <c r="M7297" s="94">
        <f>VLOOKUP($Q7297,매칭테이블!$F:$I,2,0)*K7297</f>
        <v/>
      </c>
      <c r="N7297" s="94">
        <f>M7297-M7297*VLOOKUP($Q7297,매칭테이블!$F:$I,3,0)</f>
        <v/>
      </c>
      <c r="O7297" s="94">
        <f>VLOOKUP($Q7297,매칭테이블!$F:$I,4,0)*K7297</f>
        <v/>
      </c>
      <c r="P7297" s="148">
        <f>M7297/1.1</f>
        <v/>
      </c>
      <c r="Q7297" s="94">
        <f>F7297&amp;E7297&amp;G7297&amp;L7297</f>
        <v/>
      </c>
    </row>
    <row r="7298" customFormat="1" s="94">
      <c r="B7298" s="128" t="n">
        <v>44012</v>
      </c>
      <c r="C7298" s="94">
        <f>TEXT(B7298,"aaa")</f>
        <v/>
      </c>
      <c r="E7298" s="94" t="inlineStr">
        <is>
          <t>선크림</t>
        </is>
      </c>
      <c r="F7298" s="5" t="inlineStr">
        <is>
          <t>카페24</t>
        </is>
      </c>
      <c r="G7298" s="94" t="inlineStr">
        <is>
          <t>선크림 50ml  2set</t>
        </is>
      </c>
      <c r="H7298" s="7" t="n">
        <v>190801</v>
      </c>
      <c r="I7298" s="7" t="n">
        <v>190801</v>
      </c>
      <c r="K7298" s="94" t="n">
        <v>1</v>
      </c>
      <c r="L7298" s="7" t="n">
        <v>190801</v>
      </c>
      <c r="M7298" s="94">
        <f>VLOOKUP($Q7298,매칭테이블!$F:$I,2,0)*K7298</f>
        <v/>
      </c>
      <c r="N7298" s="94">
        <f>M7298-M7298*VLOOKUP($Q7298,매칭테이블!$F:$I,3,0)</f>
        <v/>
      </c>
      <c r="O7298" s="94">
        <f>VLOOKUP($Q7298,매칭테이블!$F:$I,4,0)*K7298</f>
        <v/>
      </c>
      <c r="P7298" s="148">
        <f>M7298/1.1</f>
        <v/>
      </c>
      <c r="Q7298" s="94">
        <f>F7298&amp;E7298&amp;G7298&amp;L7298</f>
        <v/>
      </c>
    </row>
    <row r="7299" customFormat="1" s="94">
      <c r="B7299" s="128" t="n">
        <v>44012</v>
      </c>
      <c r="C7299" s="94">
        <f>TEXT(B7299,"aaa")</f>
        <v/>
      </c>
      <c r="E7299" s="94" t="inlineStr">
        <is>
          <t>클렌징폼</t>
        </is>
      </c>
      <c r="F7299" s="5" t="inlineStr">
        <is>
          <t>카페24</t>
        </is>
      </c>
      <c r="G7299" s="94" t="inlineStr">
        <is>
          <t>클렌징폼 120ml(선크림할인)</t>
        </is>
      </c>
      <c r="H7299" s="7" t="n">
        <v>190801</v>
      </c>
      <c r="I7299" s="7" t="n">
        <v>190801</v>
      </c>
      <c r="K7299" s="94" t="n">
        <v>3</v>
      </c>
      <c r="L7299" s="7" t="n">
        <v>190801</v>
      </c>
      <c r="M7299" s="94">
        <f>VLOOKUP($Q7299,매칭테이블!$F:$I,2,0)*K7299</f>
        <v/>
      </c>
      <c r="N7299" s="94">
        <f>M7299-M7299*VLOOKUP($Q7299,매칭테이블!$F:$I,3,0)</f>
        <v/>
      </c>
      <c r="O7299" s="94">
        <f>VLOOKUP($Q7299,매칭테이블!$F:$I,4,0)*K7299</f>
        <v/>
      </c>
      <c r="P7299" s="148">
        <f>M7299/1.1</f>
        <v/>
      </c>
      <c r="Q7299" s="94">
        <f>F7299&amp;E7299&amp;G7299&amp;L7299</f>
        <v/>
      </c>
    </row>
    <row r="7300" customFormat="1" s="94">
      <c r="B7300" s="128" t="n">
        <v>44012</v>
      </c>
      <c r="C7300" s="94">
        <f>TEXT(B7300,"aaa")</f>
        <v/>
      </c>
      <c r="E7300" s="94" t="inlineStr">
        <is>
          <t>여름 한정 진정세트</t>
        </is>
      </c>
      <c r="F7300" s="5" t="inlineStr">
        <is>
          <t>카페24</t>
        </is>
      </c>
      <c r="G7300" s="94" t="inlineStr">
        <is>
          <t>여름 한정 진정세트</t>
        </is>
      </c>
      <c r="H7300" s="7" t="n">
        <v>190801</v>
      </c>
      <c r="I7300" s="7" t="n">
        <v>190801</v>
      </c>
      <c r="K7300" s="94" t="n">
        <v>5</v>
      </c>
      <c r="L7300" s="7" t="n">
        <v>190801</v>
      </c>
      <c r="M7300" s="94">
        <f>VLOOKUP($Q7300,매칭테이블!$F:$I,2,0)*K7300</f>
        <v/>
      </c>
      <c r="N7300" s="94">
        <f>M7300-M7300*VLOOKUP($Q7300,매칭테이블!$F:$I,3,0)</f>
        <v/>
      </c>
      <c r="O7300" s="94">
        <f>VLOOKUP($Q7300,매칭테이블!$F:$I,4,0)*K7300</f>
        <v/>
      </c>
      <c r="P7300" s="148">
        <f>M7300/1.1</f>
        <v/>
      </c>
      <c r="Q7300" s="94">
        <f>F7300&amp;E7300&amp;G7300&amp;L7300</f>
        <v/>
      </c>
    </row>
    <row r="7301" customFormat="1" s="94">
      <c r="B7301" s="128" t="n">
        <v>44012</v>
      </c>
      <c r="C7301" s="94">
        <f>TEXT(B7301,"aaa")</f>
        <v/>
      </c>
      <c r="E7301" s="94" t="inlineStr">
        <is>
          <t>여름 한정 진정세트</t>
        </is>
      </c>
      <c r="F7301" s="5" t="inlineStr">
        <is>
          <t>카페24</t>
        </is>
      </c>
      <c r="G7301" s="94" t="inlineStr">
        <is>
          <t>여름 한정 진정세트 (대용량)</t>
        </is>
      </c>
      <c r="H7301" s="7" t="n">
        <v>190801</v>
      </c>
      <c r="I7301" s="7" t="n">
        <v>190801</v>
      </c>
      <c r="K7301" s="94" t="n">
        <v>4</v>
      </c>
      <c r="L7301" s="7" t="n">
        <v>190801</v>
      </c>
      <c r="M7301" s="94">
        <f>VLOOKUP($Q7301,매칭테이블!$F:$I,2,0)*K7301</f>
        <v/>
      </c>
      <c r="N7301" s="94">
        <f>M7301-M7301*VLOOKUP($Q7301,매칭테이블!$F:$I,3,0)</f>
        <v/>
      </c>
      <c r="O7301" s="94">
        <f>VLOOKUP($Q7301,매칭테이블!$F:$I,4,0)*K7301</f>
        <v/>
      </c>
      <c r="P7301" s="148">
        <f>M7301/1.1</f>
        <v/>
      </c>
      <c r="Q7301" s="94">
        <f>F7301&amp;E7301&amp;G7301&amp;L7301</f>
        <v/>
      </c>
    </row>
    <row r="7302" customFormat="1" s="94">
      <c r="B7302" s="128" t="n">
        <v>44012</v>
      </c>
      <c r="C7302" s="94">
        <f>TEXT(B7302,"aaa")</f>
        <v/>
      </c>
      <c r="E7302" s="94" t="inlineStr">
        <is>
          <t>어성초진정패키지</t>
        </is>
      </c>
      <c r="F7302" s="5" t="inlineStr">
        <is>
          <t>카페24</t>
        </is>
      </c>
      <c r="G7302" s="94" t="inlineStr">
        <is>
          <t>어성초 진정패키지세트</t>
        </is>
      </c>
      <c r="H7302" s="7" t="n">
        <v>190801</v>
      </c>
      <c r="I7302" s="7" t="n">
        <v>190801</v>
      </c>
      <c r="K7302" s="94" t="n">
        <v>5</v>
      </c>
      <c r="L7302" s="7" t="n">
        <v>190801</v>
      </c>
      <c r="M7302" s="94">
        <f>VLOOKUP($Q7302,매칭테이블!$F:$I,2,0)*K7302</f>
        <v/>
      </c>
      <c r="N7302" s="94">
        <f>M7302-M7302*VLOOKUP($Q7302,매칭테이블!$F:$I,3,0)</f>
        <v/>
      </c>
      <c r="O7302" s="94">
        <f>VLOOKUP($Q7302,매칭테이블!$F:$I,4,0)*K7302</f>
        <v/>
      </c>
      <c r="P7302" s="148">
        <f>M7302/1.1</f>
        <v/>
      </c>
      <c r="Q7302" s="94">
        <f>F7302&amp;E7302&amp;G7302&amp;L7302</f>
        <v/>
      </c>
    </row>
    <row r="7303" customFormat="1" s="94">
      <c r="B7303" s="128" t="n">
        <v>44012</v>
      </c>
      <c r="C7303" s="94">
        <f>TEXT(B7303,"aaa")</f>
        <v/>
      </c>
      <c r="E7303" s="94" t="inlineStr">
        <is>
          <t>머드크림마스크</t>
        </is>
      </c>
      <c r="F7303" s="5" t="inlineStr">
        <is>
          <t>카페24</t>
        </is>
      </c>
      <c r="G7303" s="94" t="inlineStr">
        <is>
          <t>머드크림마스크 100ml</t>
        </is>
      </c>
      <c r="H7303" s="7" t="n">
        <v>190801</v>
      </c>
      <c r="I7303" s="7" t="n">
        <v>190801</v>
      </c>
      <c r="K7303" s="94" t="n">
        <v>3</v>
      </c>
      <c r="L7303" s="7" t="n">
        <v>190801</v>
      </c>
      <c r="M7303" s="94">
        <f>VLOOKUP($Q7303,매칭테이블!$F:$I,2,0)*K7303</f>
        <v/>
      </c>
      <c r="N7303" s="94">
        <f>M7303-M7303*VLOOKUP($Q7303,매칭테이블!$F:$I,3,0)</f>
        <v/>
      </c>
      <c r="O7303" s="94">
        <f>VLOOKUP($Q7303,매칭테이블!$F:$I,4,0)*K7303</f>
        <v/>
      </c>
      <c r="P7303" s="148">
        <f>M7303/1.1</f>
        <v/>
      </c>
      <c r="Q7303" s="94">
        <f>F7303&amp;E7303&amp;G7303&amp;L7303</f>
        <v/>
      </c>
    </row>
    <row r="7304" customFormat="1" s="94">
      <c r="B7304" s="128" t="n">
        <v>44012</v>
      </c>
      <c r="C7304" s="94">
        <f>TEXT(B7304,"aaa")</f>
        <v/>
      </c>
      <c r="E7304" s="94" t="inlineStr">
        <is>
          <t>마스크팩</t>
        </is>
      </c>
      <c r="F7304" s="5" t="inlineStr">
        <is>
          <t>카페24</t>
        </is>
      </c>
      <c r="G7304" s="94" t="inlineStr">
        <is>
          <t>마스크팩 1매</t>
        </is>
      </c>
      <c r="H7304" s="7" t="n">
        <v>190801</v>
      </c>
      <c r="I7304" s="7" t="n">
        <v>190801</v>
      </c>
      <c r="K7304" s="94" t="n">
        <v>2</v>
      </c>
      <c r="L7304" s="7" t="n">
        <v>190801</v>
      </c>
      <c r="M7304" s="94">
        <f>VLOOKUP($Q7304,매칭테이블!$F:$I,2,0)*K7304</f>
        <v/>
      </c>
      <c r="N7304" s="94">
        <f>M7304-M7304*VLOOKUP($Q7304,매칭테이블!$F:$I,3,0)</f>
        <v/>
      </c>
      <c r="O7304" s="94">
        <f>VLOOKUP($Q7304,매칭테이블!$F:$I,4,0)*K7304</f>
        <v/>
      </c>
      <c r="P7304" s="148">
        <f>M7304/1.1</f>
        <v/>
      </c>
      <c r="Q7304" s="94">
        <f>F7304&amp;E7304&amp;G7304&amp;L7304</f>
        <v/>
      </c>
    </row>
    <row r="7305" customFormat="1" s="94">
      <c r="B7305" s="128" t="n">
        <v>44012</v>
      </c>
      <c r="C7305" s="94">
        <f>TEXT(B7305,"aaa")</f>
        <v/>
      </c>
      <c r="E7305" s="94" t="inlineStr">
        <is>
          <t>마스크팩</t>
        </is>
      </c>
      <c r="F7305" s="5" t="inlineStr">
        <is>
          <t>카페24</t>
        </is>
      </c>
      <c r="G7305" s="94" t="inlineStr">
        <is>
          <t>마스크팩 10매</t>
        </is>
      </c>
      <c r="H7305" s="7" t="n">
        <v>190801</v>
      </c>
      <c r="I7305" s="7" t="n">
        <v>190801</v>
      </c>
      <c r="K7305" s="94" t="n">
        <v>10</v>
      </c>
      <c r="L7305" s="7" t="n">
        <v>190801</v>
      </c>
      <c r="M7305" s="94">
        <f>VLOOKUP($Q7305,매칭테이블!$F:$I,2,0)*K7305</f>
        <v/>
      </c>
      <c r="N7305" s="94">
        <f>M7305-M7305*VLOOKUP($Q7305,매칭테이블!$F:$I,3,0)</f>
        <v/>
      </c>
      <c r="O7305" s="94">
        <f>VLOOKUP($Q7305,매칭테이블!$F:$I,4,0)*K7305</f>
        <v/>
      </c>
      <c r="P7305" s="148">
        <f>M7305/1.1</f>
        <v/>
      </c>
      <c r="Q7305" s="94">
        <f>F7305&amp;E7305&amp;G7305&amp;L7305</f>
        <v/>
      </c>
    </row>
    <row r="7306" customFormat="1" s="94">
      <c r="B7306" s="128" t="n">
        <v>44012</v>
      </c>
      <c r="C7306" s="94">
        <f>TEXT(B7306,"aaa")</f>
        <v/>
      </c>
      <c r="E7306" s="94" t="inlineStr">
        <is>
          <t>토너</t>
        </is>
      </c>
      <c r="F7306" s="5" t="inlineStr">
        <is>
          <t>카페24</t>
        </is>
      </c>
      <c r="G7306" s="94" t="inlineStr">
        <is>
          <t>250ml</t>
        </is>
      </c>
      <c r="H7306" s="7" t="n">
        <v>190801</v>
      </c>
      <c r="I7306" s="7" t="n">
        <v>190801</v>
      </c>
      <c r="K7306" s="94" t="n">
        <v>58</v>
      </c>
      <c r="L7306" s="7" t="n">
        <v>190801</v>
      </c>
      <c r="M7306" s="94">
        <f>VLOOKUP($Q7306,매칭테이블!$F:$I,2,0)*K7306</f>
        <v/>
      </c>
      <c r="N7306" s="94">
        <f>M7306-M7306*VLOOKUP($Q7306,매칭테이블!$F:$I,3,0)</f>
        <v/>
      </c>
      <c r="O7306" s="94">
        <f>VLOOKUP($Q7306,매칭테이블!$F:$I,4,0)*K7306</f>
        <v/>
      </c>
      <c r="P7306" s="148">
        <f>M7306/1.1</f>
        <v/>
      </c>
      <c r="Q7306" s="94">
        <f>F7306&amp;E7306&amp;G7306&amp;L7306</f>
        <v/>
      </c>
    </row>
    <row r="7307" customFormat="1" s="94">
      <c r="B7307" s="128" t="n">
        <v>44012</v>
      </c>
      <c r="C7307" s="94">
        <f>TEXT(B7307,"aaa")</f>
        <v/>
      </c>
      <c r="E7307" s="94" t="inlineStr">
        <is>
          <t>토너</t>
        </is>
      </c>
      <c r="F7307" s="5" t="inlineStr">
        <is>
          <t>카페24</t>
        </is>
      </c>
      <c r="G7307" s="94" t="inlineStr">
        <is>
          <t>250ml 2set</t>
        </is>
      </c>
      <c r="H7307" s="7" t="n">
        <v>190801</v>
      </c>
      <c r="I7307" s="7" t="n">
        <v>190801</v>
      </c>
      <c r="K7307" s="94" t="n">
        <v>45</v>
      </c>
      <c r="L7307" s="7" t="n">
        <v>190801</v>
      </c>
      <c r="M7307" s="94">
        <f>VLOOKUP($Q7307,매칭테이블!$F:$I,2,0)*K7307</f>
        <v/>
      </c>
      <c r="N7307" s="94">
        <f>M7307-M7307*VLOOKUP($Q7307,매칭테이블!$F:$I,3,0)</f>
        <v/>
      </c>
      <c r="O7307" s="94">
        <f>VLOOKUP($Q7307,매칭테이블!$F:$I,4,0)*K7307</f>
        <v/>
      </c>
      <c r="P7307" s="148">
        <f>M7307/1.1</f>
        <v/>
      </c>
      <c r="Q7307" s="94">
        <f>F7307&amp;E7307&amp;G7307&amp;L7307</f>
        <v/>
      </c>
    </row>
    <row r="7308" customFormat="1" s="94">
      <c r="B7308" s="128" t="n">
        <v>44012</v>
      </c>
      <c r="C7308" s="94">
        <f>TEXT(B7308,"aaa")</f>
        <v/>
      </c>
      <c r="E7308" s="94" t="inlineStr">
        <is>
          <t>토너</t>
        </is>
      </c>
      <c r="F7308" s="5" t="inlineStr">
        <is>
          <t>카페24</t>
        </is>
      </c>
      <c r="G7308" s="94" t="inlineStr">
        <is>
          <t>500ml</t>
        </is>
      </c>
      <c r="H7308" s="7" t="n">
        <v>190801</v>
      </c>
      <c r="I7308" s="7" t="n">
        <v>190801</v>
      </c>
      <c r="K7308" s="94" t="n">
        <v>65</v>
      </c>
      <c r="L7308" s="7" t="n">
        <v>190801</v>
      </c>
      <c r="M7308" s="94">
        <f>VLOOKUP($Q7308,매칭테이블!$F:$I,2,0)*K7308</f>
        <v/>
      </c>
      <c r="N7308" s="94">
        <f>M7308-M7308*VLOOKUP($Q7308,매칭테이블!$F:$I,3,0)</f>
        <v/>
      </c>
      <c r="O7308" s="94">
        <f>VLOOKUP($Q7308,매칭테이블!$F:$I,4,0)*K7308</f>
        <v/>
      </c>
      <c r="P7308" s="148">
        <f>M7308/1.1</f>
        <v/>
      </c>
      <c r="Q7308" s="94">
        <f>F7308&amp;E7308&amp;G7308&amp;L7308</f>
        <v/>
      </c>
    </row>
    <row r="7309" customFormat="1" s="94">
      <c r="B7309" s="128" t="n">
        <v>44012</v>
      </c>
      <c r="C7309" s="94">
        <f>TEXT(B7309,"aaa")</f>
        <v/>
      </c>
      <c r="E7309" s="94" t="inlineStr">
        <is>
          <t>토너</t>
        </is>
      </c>
      <c r="F7309" s="5" t="inlineStr">
        <is>
          <t>카페24</t>
        </is>
      </c>
      <c r="G7309" s="94" t="inlineStr">
        <is>
          <t>스킨팩 화장솜 60P</t>
        </is>
      </c>
      <c r="H7309" s="7" t="n">
        <v>190801</v>
      </c>
      <c r="I7309" s="7" t="n">
        <v>190801</v>
      </c>
      <c r="K7309" s="94" t="n">
        <v>52</v>
      </c>
      <c r="L7309" s="7" t="n">
        <v>190801</v>
      </c>
      <c r="M7309" s="94">
        <f>VLOOKUP($Q7309,매칭테이블!$F:$I,2,0)*K7309</f>
        <v/>
      </c>
      <c r="N7309" s="94">
        <f>M7309-M7309*VLOOKUP($Q7309,매칭테이블!$F:$I,3,0)</f>
        <v/>
      </c>
      <c r="O7309" s="94">
        <f>VLOOKUP($Q7309,매칭테이블!$F:$I,4,0)*K7309</f>
        <v/>
      </c>
      <c r="P7309" s="148">
        <f>M7309/1.1</f>
        <v/>
      </c>
      <c r="Q7309" s="94">
        <f>F7309&amp;E7309&amp;G7309&amp;L7309</f>
        <v/>
      </c>
    </row>
    <row r="7310" customFormat="1" s="94">
      <c r="B7310" s="128" t="n">
        <v>44012</v>
      </c>
      <c r="C7310" s="94">
        <f>TEXT(B7310,"aaa")</f>
        <v/>
      </c>
      <c r="E7310" s="94" t="inlineStr">
        <is>
          <t>앰플</t>
        </is>
      </c>
      <c r="F7310" s="5" t="inlineStr">
        <is>
          <t>카페24</t>
        </is>
      </c>
      <c r="G7310" s="94" t="inlineStr">
        <is>
          <t>앰플 30ml</t>
        </is>
      </c>
      <c r="H7310" s="7" t="n">
        <v>190801</v>
      </c>
      <c r="I7310" s="7" t="n">
        <v>190801</v>
      </c>
      <c r="K7310" s="94" t="n">
        <v>13</v>
      </c>
      <c r="L7310" s="7" t="n">
        <v>190801</v>
      </c>
      <c r="M7310" s="94">
        <f>VLOOKUP($Q7310,매칭테이블!$F:$I,2,0)*K7310</f>
        <v/>
      </c>
      <c r="N7310" s="94">
        <f>M7310-M7310*VLOOKUP($Q7310,매칭테이블!$F:$I,3,0)</f>
        <v/>
      </c>
      <c r="O7310" s="94">
        <f>VLOOKUP($Q7310,매칭테이블!$F:$I,4,0)*K7310</f>
        <v/>
      </c>
      <c r="P7310" s="148">
        <f>M7310/1.1</f>
        <v/>
      </c>
      <c r="Q7310" s="94">
        <f>F7310&amp;E7310&amp;G7310&amp;L7310</f>
        <v/>
      </c>
    </row>
    <row r="7311" customFormat="1" s="94">
      <c r="B7311" s="128" t="n">
        <v>44012</v>
      </c>
      <c r="C7311" s="94">
        <f>TEXT(B7311,"aaa")</f>
        <v/>
      </c>
      <c r="E7311" s="94" t="inlineStr">
        <is>
          <t>수딩크림</t>
        </is>
      </c>
      <c r="F7311" s="5" t="inlineStr">
        <is>
          <t>카페24</t>
        </is>
      </c>
      <c r="G7311" s="94" t="inlineStr">
        <is>
          <t>수딩크림 100ml</t>
        </is>
      </c>
      <c r="H7311" s="7" t="n">
        <v>190801</v>
      </c>
      <c r="I7311" s="7" t="n">
        <v>190801</v>
      </c>
      <c r="K7311" s="94" t="n">
        <v>4</v>
      </c>
      <c r="L7311" s="7" t="n">
        <v>190801</v>
      </c>
      <c r="M7311" s="94">
        <f>VLOOKUP($Q7311,매칭테이블!$F:$I,2,0)*K7311</f>
        <v/>
      </c>
      <c r="N7311" s="94">
        <f>M7311-M7311*VLOOKUP($Q7311,매칭테이블!$F:$I,3,0)</f>
        <v/>
      </c>
      <c r="O7311" s="94">
        <f>VLOOKUP($Q7311,매칭테이블!$F:$I,4,0)*K7311</f>
        <v/>
      </c>
      <c r="P7311" s="148">
        <f>M7311/1.1</f>
        <v/>
      </c>
      <c r="Q7311" s="94">
        <f>F7311&amp;E7311&amp;G7311&amp;L7311</f>
        <v/>
      </c>
    </row>
    <row r="7312" customFormat="1" s="94">
      <c r="B7312" s="128" t="n">
        <v>44012</v>
      </c>
      <c r="C7312" s="94">
        <f>TEXT(B7312,"aaa")</f>
        <v/>
      </c>
      <c r="E7312" s="94" t="inlineStr">
        <is>
          <t>클렌징폼</t>
        </is>
      </c>
      <c r="F7312" s="5" t="inlineStr">
        <is>
          <t>카페24</t>
        </is>
      </c>
      <c r="G7312" s="94" t="inlineStr">
        <is>
          <t>클렌징폼 120ml</t>
        </is>
      </c>
      <c r="H7312" s="7" t="n">
        <v>190801</v>
      </c>
      <c r="I7312" s="7" t="n">
        <v>190801</v>
      </c>
      <c r="K7312" s="94" t="n">
        <v>8</v>
      </c>
      <c r="L7312" s="7" t="n">
        <v>190801</v>
      </c>
      <c r="M7312" s="94">
        <f>VLOOKUP($Q7312,매칭테이블!$F:$I,2,0)*K7312</f>
        <v/>
      </c>
      <c r="N7312" s="94">
        <f>M7312-M7312*VLOOKUP($Q7312,매칭테이블!$F:$I,3,0)</f>
        <v/>
      </c>
      <c r="O7312" s="94">
        <f>VLOOKUP($Q7312,매칭테이블!$F:$I,4,0)*K7312</f>
        <v/>
      </c>
      <c r="P7312" s="148">
        <f>M7312/1.1</f>
        <v/>
      </c>
      <c r="Q7312" s="94">
        <f>F7312&amp;E7312&amp;G7312&amp;L7312</f>
        <v/>
      </c>
    </row>
    <row r="7313" customFormat="1" s="94">
      <c r="B7313" s="128" t="n">
        <v>44012</v>
      </c>
      <c r="C7313" s="94">
        <f>TEXT(B7313,"aaa")</f>
        <v/>
      </c>
      <c r="E7313" s="94" t="inlineStr">
        <is>
          <t>클렌징폼</t>
        </is>
      </c>
      <c r="F7313" s="5" t="inlineStr">
        <is>
          <t>카페24</t>
        </is>
      </c>
      <c r="G7313" s="94" t="inlineStr">
        <is>
          <t>클렌징폼 120ml 2set</t>
        </is>
      </c>
      <c r="H7313" s="7" t="n">
        <v>190801</v>
      </c>
      <c r="I7313" s="7" t="n">
        <v>190801</v>
      </c>
      <c r="K7313" s="94" t="n">
        <v>2</v>
      </c>
      <c r="L7313" s="7" t="n">
        <v>190801</v>
      </c>
      <c r="M7313" s="94">
        <f>VLOOKUP($Q7313,매칭테이블!$F:$I,2,0)*K7313</f>
        <v/>
      </c>
      <c r="N7313" s="94">
        <f>M7313-M7313*VLOOKUP($Q7313,매칭테이블!$F:$I,3,0)</f>
        <v/>
      </c>
      <c r="O7313" s="94">
        <f>VLOOKUP($Q7313,매칭테이블!$F:$I,4,0)*K7313</f>
        <v/>
      </c>
      <c r="P7313" s="148">
        <f>M7313/1.1</f>
        <v/>
      </c>
      <c r="Q7313" s="94">
        <f>F7313&amp;E7313&amp;G7313&amp;L7313</f>
        <v/>
      </c>
    </row>
    <row r="7314" customFormat="1" s="94">
      <c r="B7314" s="128" t="n">
        <v>44012</v>
      </c>
      <c r="C7314" s="94">
        <f>TEXT(B7314,"aaa")</f>
        <v/>
      </c>
      <c r="E7314" s="94" t="inlineStr">
        <is>
          <t>클렌징폼</t>
        </is>
      </c>
      <c r="F7314" s="5" t="inlineStr">
        <is>
          <t>카페24</t>
        </is>
      </c>
      <c r="G7314" s="94" t="inlineStr">
        <is>
          <t>클렌징폼 120ml 3set</t>
        </is>
      </c>
      <c r="H7314" s="7" t="n">
        <v>190801</v>
      </c>
      <c r="I7314" s="7" t="n">
        <v>190801</v>
      </c>
      <c r="K7314" s="94" t="n">
        <v>1</v>
      </c>
      <c r="L7314" s="7" t="n">
        <v>190801</v>
      </c>
      <c r="M7314" s="94">
        <f>VLOOKUP($Q7314,매칭테이블!$F:$I,2,0)*K7314</f>
        <v/>
      </c>
      <c r="N7314" s="94">
        <f>M7314-M7314*VLOOKUP($Q7314,매칭테이블!$F:$I,3,0)</f>
        <v/>
      </c>
      <c r="O7314" s="94">
        <f>VLOOKUP($Q7314,매칭테이블!$F:$I,4,0)*K7314</f>
        <v/>
      </c>
      <c r="P7314" s="148">
        <f>M7314/1.1</f>
        <v/>
      </c>
      <c r="Q7314" s="94">
        <f>F7314&amp;E7314&amp;G7314&amp;L7314</f>
        <v/>
      </c>
    </row>
    <row r="7315" customFormat="1" s="94">
      <c r="B7315" s="128" t="n">
        <v>44012</v>
      </c>
      <c r="C7315" s="94">
        <f>TEXT(B7315,"aaa")</f>
        <v/>
      </c>
      <c r="E7315" s="94" t="inlineStr">
        <is>
          <t>토너</t>
        </is>
      </c>
      <c r="F7315" s="5" t="inlineStr">
        <is>
          <t>큐텐</t>
        </is>
      </c>
      <c r="G7315" s="94" t="inlineStr">
        <is>
          <t>250ml</t>
        </is>
      </c>
      <c r="H7315" s="7" t="n">
        <v>190801</v>
      </c>
      <c r="I7315" s="7" t="n">
        <v>190801</v>
      </c>
      <c r="K7315" s="94" t="n">
        <v>7</v>
      </c>
      <c r="L7315" s="7" t="n">
        <v>190801</v>
      </c>
      <c r="M7315" s="94">
        <f>VLOOKUP($Q7315,매칭테이블!$F:$I,2,0)*K7315</f>
        <v/>
      </c>
      <c r="N7315" s="94">
        <f>M7315-M7315*VLOOKUP($Q7315,매칭테이블!$F:$I,3,0)</f>
        <v/>
      </c>
      <c r="O7315" s="94">
        <f>VLOOKUP($Q7315,매칭테이블!$F:$I,4,0)*K7315</f>
        <v/>
      </c>
      <c r="P7315" s="148">
        <f>M7315/1.1</f>
        <v/>
      </c>
      <c r="Q7315" s="94">
        <f>F7315&amp;E7315&amp;G7315&amp;L7315</f>
        <v/>
      </c>
    </row>
    <row r="7316" customFormat="1" s="94">
      <c r="B7316" s="128" t="n">
        <v>44012</v>
      </c>
      <c r="C7316" s="94">
        <f>TEXT(B7316,"aaa")</f>
        <v/>
      </c>
      <c r="E7316" s="94" t="inlineStr">
        <is>
          <t>토너</t>
        </is>
      </c>
      <c r="F7316" s="5" t="inlineStr">
        <is>
          <t>큐텐</t>
        </is>
      </c>
      <c r="G7316" s="94" t="inlineStr">
        <is>
          <t>250ml 2set</t>
        </is>
      </c>
      <c r="H7316" s="7" t="n">
        <v>190801</v>
      </c>
      <c r="I7316" s="7" t="n">
        <v>190801</v>
      </c>
      <c r="K7316" s="94" t="n">
        <v>6</v>
      </c>
      <c r="L7316" s="7" t="n">
        <v>190801</v>
      </c>
      <c r="M7316" s="94">
        <f>VLOOKUP($Q7316,매칭테이블!$F:$I,2,0)*K7316</f>
        <v/>
      </c>
      <c r="N7316" s="94">
        <f>M7316-M7316*VLOOKUP($Q7316,매칭테이블!$F:$I,3,0)</f>
        <v/>
      </c>
      <c r="O7316" s="94">
        <f>VLOOKUP($Q7316,매칭테이블!$F:$I,4,0)*K7316</f>
        <v/>
      </c>
      <c r="P7316" s="148">
        <f>M7316/1.1</f>
        <v/>
      </c>
      <c r="Q7316" s="94">
        <f>F7316&amp;E7316&amp;G7316&amp;L7316</f>
        <v/>
      </c>
    </row>
    <row r="7317" customFormat="1" s="94">
      <c r="B7317" s="128" t="n">
        <v>44012</v>
      </c>
      <c r="C7317" s="94">
        <f>TEXT(B7317,"aaa")</f>
        <v/>
      </c>
      <c r="E7317" s="94" t="inlineStr">
        <is>
          <t>앰플</t>
        </is>
      </c>
      <c r="F7317" s="5" t="inlineStr">
        <is>
          <t>큐텐</t>
        </is>
      </c>
      <c r="G7317" s="94" t="inlineStr">
        <is>
          <t>앰플 30ml</t>
        </is>
      </c>
      <c r="H7317" s="7" t="n">
        <v>190801</v>
      </c>
      <c r="I7317" s="7" t="n">
        <v>190801</v>
      </c>
      <c r="K7317" s="94" t="n">
        <v>3</v>
      </c>
      <c r="L7317" s="7" t="n">
        <v>190801</v>
      </c>
      <c r="M7317" s="94">
        <f>VLOOKUP($Q7317,매칭테이블!$F:$I,2,0)*K7317</f>
        <v/>
      </c>
      <c r="N7317" s="94">
        <f>M7317-M7317*VLOOKUP($Q7317,매칭테이블!$F:$I,3,0)</f>
        <v/>
      </c>
      <c r="O7317" s="94">
        <f>VLOOKUP($Q7317,매칭테이블!$F:$I,4,0)*K7317</f>
        <v/>
      </c>
      <c r="P7317" s="148">
        <f>M7317/1.1</f>
        <v/>
      </c>
      <c r="Q7317" s="94">
        <f>F7317&amp;E7317&amp;G7317&amp;L7317</f>
        <v/>
      </c>
    </row>
    <row r="7318" customFormat="1" s="94">
      <c r="B7318" s="128" t="n">
        <v>44012</v>
      </c>
      <c r="C7318" s="94">
        <f>TEXT(B7318,"aaa")</f>
        <v/>
      </c>
      <c r="E7318" s="94" t="inlineStr">
        <is>
          <t>토너</t>
        </is>
      </c>
      <c r="F7318" s="5" t="inlineStr">
        <is>
          <t>아누아 CS</t>
        </is>
      </c>
      <c r="G7318" s="94" t="inlineStr">
        <is>
          <t>250ml</t>
        </is>
      </c>
      <c r="H7318" s="7" t="n">
        <v>190801</v>
      </c>
      <c r="I7318" s="7" t="n">
        <v>190801</v>
      </c>
      <c r="K7318" s="94" t="n">
        <v>2</v>
      </c>
      <c r="L7318" s="7" t="n">
        <v>190801</v>
      </c>
      <c r="M7318" s="94">
        <f>VLOOKUP($Q7318,매칭테이블!$F:$I,2,0)*K7318</f>
        <v/>
      </c>
      <c r="N7318" s="94">
        <f>M7318-M7318*VLOOKUP($Q7318,매칭테이블!$F:$I,3,0)</f>
        <v/>
      </c>
      <c r="O7318" s="94">
        <f>VLOOKUP($Q7318,매칭테이블!$F:$I,4,0)*K7318</f>
        <v/>
      </c>
      <c r="P7318" s="148">
        <f>M7318/1.1</f>
        <v/>
      </c>
      <c r="Q7318" s="94">
        <f>F7318&amp;E7318&amp;G7318&amp;L7318</f>
        <v/>
      </c>
    </row>
    <row r="7319" customFormat="1" s="94">
      <c r="B7319" s="128" t="n">
        <v>44012</v>
      </c>
      <c r="C7319" s="94">
        <f>TEXT(B7319,"aaa")</f>
        <v/>
      </c>
      <c r="E7319" s="94" t="inlineStr">
        <is>
          <t>토너</t>
        </is>
      </c>
      <c r="F7319" s="5" t="inlineStr">
        <is>
          <t>화해</t>
        </is>
      </c>
      <c r="G7319" s="94" t="inlineStr">
        <is>
          <t>250ml</t>
        </is>
      </c>
      <c r="H7319" s="7" t="n">
        <v>190801</v>
      </c>
      <c r="I7319" s="7" t="n">
        <v>190801</v>
      </c>
      <c r="K7319" s="94" t="n">
        <v>1</v>
      </c>
      <c r="L7319" s="7" t="n">
        <v>190801</v>
      </c>
      <c r="M7319" s="94">
        <f>VLOOKUP($Q7319,매칭테이블!$F:$I,2,0)*K7319</f>
        <v/>
      </c>
      <c r="N7319" s="94">
        <f>M7319-M7319*VLOOKUP($Q7319,매칭테이블!$F:$I,3,0)</f>
        <v/>
      </c>
      <c r="O7319" s="94">
        <f>VLOOKUP($Q7319,매칭테이블!$F:$I,4,0)*K7319</f>
        <v/>
      </c>
      <c r="P7319" s="148">
        <f>M7319/1.1</f>
        <v/>
      </c>
      <c r="Q7319" s="94">
        <f>F7319&amp;E7319&amp;G7319&amp;L7319</f>
        <v/>
      </c>
    </row>
    <row r="7320" customFormat="1" s="94">
      <c r="B7320" s="128" t="n">
        <v>44012</v>
      </c>
      <c r="C7320" s="94">
        <f>TEXT(B7320,"aaa")</f>
        <v/>
      </c>
      <c r="E7320" s="94" t="inlineStr">
        <is>
          <t>앰플</t>
        </is>
      </c>
      <c r="F7320" s="5" t="inlineStr">
        <is>
          <t>화해</t>
        </is>
      </c>
      <c r="G7320" s="94" t="inlineStr">
        <is>
          <t>앰플 30ml</t>
        </is>
      </c>
      <c r="H7320" s="7" t="n">
        <v>190801</v>
      </c>
      <c r="I7320" s="7" t="n">
        <v>190801</v>
      </c>
      <c r="K7320" s="94" t="n">
        <v>1</v>
      </c>
      <c r="L7320" s="7" t="n">
        <v>190801</v>
      </c>
      <c r="M7320" s="94">
        <f>VLOOKUP($Q7320,매칭테이블!$F:$I,2,0)*K7320</f>
        <v/>
      </c>
      <c r="N7320" s="94">
        <f>M7320-M7320*VLOOKUP($Q7320,매칭테이블!$F:$I,3,0)</f>
        <v/>
      </c>
      <c r="O7320" s="94">
        <f>VLOOKUP($Q7320,매칭테이블!$F:$I,4,0)*K7320</f>
        <v/>
      </c>
      <c r="P7320" s="148">
        <f>M7320/1.1</f>
        <v/>
      </c>
      <c r="Q7320" s="94">
        <f>F7320&amp;E7320&amp;G7320&amp;L7320</f>
        <v/>
      </c>
    </row>
    <row r="7321" customFormat="1" s="94">
      <c r="B7321" s="128" t="n">
        <v>44013</v>
      </c>
      <c r="C7321" s="94">
        <f>TEXT(B7321,"aaa")</f>
        <v/>
      </c>
      <c r="E7321" s="94" t="inlineStr">
        <is>
          <t>토너</t>
        </is>
      </c>
      <c r="F7321" s="5" t="inlineStr">
        <is>
          <t>W컨셉</t>
        </is>
      </c>
      <c r="G7321" s="94" t="inlineStr">
        <is>
          <t>250ml</t>
        </is>
      </c>
      <c r="H7321" s="7" t="n">
        <v>190801</v>
      </c>
      <c r="I7321" s="7" t="n">
        <v>190801</v>
      </c>
      <c r="K7321" s="94" t="n">
        <v>1</v>
      </c>
      <c r="L7321" s="7" t="n">
        <v>190801</v>
      </c>
      <c r="M7321" s="94">
        <f>VLOOKUP($Q7321,매칭테이블!$F:$I,2,0)*K7321</f>
        <v/>
      </c>
      <c r="N7321" s="94">
        <f>M7321-M7321*VLOOKUP($Q7321,매칭테이블!$F:$I,3,0)</f>
        <v/>
      </c>
      <c r="O7321" s="94">
        <f>VLOOKUP($Q7321,매칭테이블!$F:$I,4,0)*K7321</f>
        <v/>
      </c>
      <c r="P7321" s="148">
        <f>M7321/1.1</f>
        <v/>
      </c>
      <c r="Q7321" s="94">
        <f>F7321&amp;E7321&amp;G7321&amp;L7321</f>
        <v/>
      </c>
    </row>
    <row r="7322" customFormat="1" s="94">
      <c r="B7322" s="128" t="n">
        <v>44013</v>
      </c>
      <c r="C7322" s="94">
        <f>TEXT(B7322,"aaa")</f>
        <v/>
      </c>
      <c r="E7322" s="94" t="inlineStr">
        <is>
          <t>토너</t>
        </is>
      </c>
      <c r="F7322" s="5" t="inlineStr">
        <is>
          <t>W컨셉</t>
        </is>
      </c>
      <c r="G7322" s="94" t="inlineStr">
        <is>
          <t>250ml 2set</t>
        </is>
      </c>
      <c r="H7322" s="7" t="n">
        <v>190801</v>
      </c>
      <c r="I7322" s="7" t="n">
        <v>190801</v>
      </c>
      <c r="K7322" s="94" t="n">
        <v>11</v>
      </c>
      <c r="L7322" s="7" t="n">
        <v>190801</v>
      </c>
      <c r="M7322" s="94">
        <f>VLOOKUP($Q7322,매칭테이블!$F:$I,2,0)*K7322</f>
        <v/>
      </c>
      <c r="N7322" s="94">
        <f>M7322-M7322*VLOOKUP($Q7322,매칭테이블!$F:$I,3,0)</f>
        <v/>
      </c>
      <c r="O7322" s="94">
        <f>VLOOKUP($Q7322,매칭테이블!$F:$I,4,0)*K7322</f>
        <v/>
      </c>
      <c r="P7322" s="148">
        <f>M7322/1.1</f>
        <v/>
      </c>
      <c r="Q7322" s="94">
        <f>F7322&amp;E7322&amp;G7322&amp;L7322</f>
        <v/>
      </c>
    </row>
    <row r="7323" customFormat="1" s="94">
      <c r="B7323" s="128" t="n">
        <v>44013</v>
      </c>
      <c r="C7323" s="94">
        <f>TEXT(B7323,"aaa")</f>
        <v/>
      </c>
      <c r="E7323" s="94" t="inlineStr">
        <is>
          <t>토너</t>
        </is>
      </c>
      <c r="F7323" s="5" t="inlineStr">
        <is>
          <t>스타일쉐어</t>
        </is>
      </c>
      <c r="G7323" s="94" t="inlineStr">
        <is>
          <t>250ml</t>
        </is>
      </c>
      <c r="H7323" s="7" t="n">
        <v>190801</v>
      </c>
      <c r="I7323" s="7" t="n">
        <v>190801</v>
      </c>
      <c r="K7323" s="94" t="n">
        <v>15</v>
      </c>
      <c r="L7323" s="7" t="n">
        <v>190801</v>
      </c>
      <c r="M7323" s="94">
        <f>VLOOKUP($Q7323,매칭테이블!$F:$I,2,0)*K7323</f>
        <v/>
      </c>
      <c r="N7323" s="94">
        <f>M7323-M7323*VLOOKUP($Q7323,매칭테이블!$F:$I,3,0)</f>
        <v/>
      </c>
      <c r="O7323" s="94">
        <f>VLOOKUP($Q7323,매칭테이블!$F:$I,4,0)*K7323</f>
        <v/>
      </c>
      <c r="P7323" s="148">
        <f>M7323/1.1</f>
        <v/>
      </c>
      <c r="Q7323" s="94">
        <f>F7323&amp;E7323&amp;G7323&amp;L7323</f>
        <v/>
      </c>
    </row>
    <row r="7324" customFormat="1" s="94">
      <c r="B7324" s="128" t="n">
        <v>44013</v>
      </c>
      <c r="C7324" s="94">
        <f>TEXT(B7324,"aaa")</f>
        <v/>
      </c>
      <c r="E7324" s="94" t="inlineStr">
        <is>
          <t>선크림</t>
        </is>
      </c>
      <c r="F7324" s="5" t="inlineStr">
        <is>
          <t>카페24</t>
        </is>
      </c>
      <c r="G7324" s="94" t="inlineStr">
        <is>
          <t>선크림 50ml</t>
        </is>
      </c>
      <c r="H7324" s="7" t="n">
        <v>190801</v>
      </c>
      <c r="I7324" s="7" t="n">
        <v>190801</v>
      </c>
      <c r="K7324" s="94" t="n">
        <v>9</v>
      </c>
      <c r="L7324" s="7" t="n">
        <v>190801</v>
      </c>
      <c r="M7324" s="94">
        <f>VLOOKUP($Q7324,매칭테이블!$F:$I,2,0)*K7324</f>
        <v/>
      </c>
      <c r="N7324" s="94">
        <f>M7324-M7324*VLOOKUP($Q7324,매칭테이블!$F:$I,3,0)</f>
        <v/>
      </c>
      <c r="O7324" s="94">
        <f>VLOOKUP($Q7324,매칭테이블!$F:$I,4,0)*K7324</f>
        <v/>
      </c>
      <c r="P7324" s="148">
        <f>M7324/1.1</f>
        <v/>
      </c>
      <c r="Q7324" s="94">
        <f>F7324&amp;E7324&amp;G7324&amp;L7324</f>
        <v/>
      </c>
    </row>
    <row r="7325" customFormat="1" s="94">
      <c r="B7325" s="128" t="n">
        <v>44013</v>
      </c>
      <c r="C7325" s="94">
        <f>TEXT(B7325,"aaa")</f>
        <v/>
      </c>
      <c r="E7325" s="94" t="inlineStr">
        <is>
          <t>선크림</t>
        </is>
      </c>
      <c r="F7325" s="5" t="inlineStr">
        <is>
          <t>카페24</t>
        </is>
      </c>
      <c r="G7325" s="94" t="inlineStr">
        <is>
          <t>선크림 50ml  2set</t>
        </is>
      </c>
      <c r="H7325" s="7" t="n">
        <v>190801</v>
      </c>
      <c r="I7325" s="7" t="n">
        <v>190801</v>
      </c>
      <c r="K7325" s="94" t="n">
        <v>5</v>
      </c>
      <c r="L7325" s="7" t="n">
        <v>190801</v>
      </c>
      <c r="M7325" s="94">
        <f>VLOOKUP($Q7325,매칭테이블!$F:$I,2,0)*K7325</f>
        <v/>
      </c>
      <c r="N7325" s="94">
        <f>M7325-M7325*VLOOKUP($Q7325,매칭테이블!$F:$I,3,0)</f>
        <v/>
      </c>
      <c r="O7325" s="94">
        <f>VLOOKUP($Q7325,매칭테이블!$F:$I,4,0)*K7325</f>
        <v/>
      </c>
      <c r="P7325" s="148">
        <f>M7325/1.1</f>
        <v/>
      </c>
      <c r="Q7325" s="94">
        <f>F7325&amp;E7325&amp;G7325&amp;L7325</f>
        <v/>
      </c>
    </row>
    <row r="7326" customFormat="1" s="94">
      <c r="B7326" s="128" t="n">
        <v>44013</v>
      </c>
      <c r="C7326" s="94">
        <f>TEXT(B7326,"aaa")</f>
        <v/>
      </c>
      <c r="E7326" s="94" t="inlineStr">
        <is>
          <t>클렌징폼</t>
        </is>
      </c>
      <c r="F7326" s="5" t="inlineStr">
        <is>
          <t>카페24</t>
        </is>
      </c>
      <c r="G7326" s="94" t="inlineStr">
        <is>
          <t>클렌징폼 120ml(선크림할인)</t>
        </is>
      </c>
      <c r="H7326" s="7" t="n">
        <v>190801</v>
      </c>
      <c r="I7326" s="7" t="n">
        <v>190801</v>
      </c>
      <c r="K7326" s="94" t="n">
        <v>3</v>
      </c>
      <c r="L7326" s="7" t="n">
        <v>190801</v>
      </c>
      <c r="M7326" s="94">
        <f>VLOOKUP($Q7326,매칭테이블!$F:$I,2,0)*K7326</f>
        <v/>
      </c>
      <c r="N7326" s="94">
        <f>M7326-M7326*VLOOKUP($Q7326,매칭테이블!$F:$I,3,0)</f>
        <v/>
      </c>
      <c r="O7326" s="94">
        <f>VLOOKUP($Q7326,매칭테이블!$F:$I,4,0)*K7326</f>
        <v/>
      </c>
      <c r="P7326" s="148">
        <f>M7326/1.1</f>
        <v/>
      </c>
      <c r="Q7326" s="94">
        <f>F7326&amp;E7326&amp;G7326&amp;L7326</f>
        <v/>
      </c>
    </row>
    <row r="7327" customFormat="1" s="94">
      <c r="B7327" s="128" t="n">
        <v>44013</v>
      </c>
      <c r="C7327" s="94">
        <f>TEXT(B7327,"aaa")</f>
        <v/>
      </c>
      <c r="E7327" s="94" t="inlineStr">
        <is>
          <t>여름 한정 진정세트</t>
        </is>
      </c>
      <c r="F7327" s="5" t="inlineStr">
        <is>
          <t>카페24</t>
        </is>
      </c>
      <c r="G7327" s="94" t="inlineStr">
        <is>
          <t>여름 한정 진정세트</t>
        </is>
      </c>
      <c r="H7327" s="7" t="n">
        <v>190801</v>
      </c>
      <c r="I7327" s="7" t="n">
        <v>190801</v>
      </c>
      <c r="K7327" s="94" t="n">
        <v>3</v>
      </c>
      <c r="L7327" s="7" t="n">
        <v>190801</v>
      </c>
      <c r="M7327" s="94">
        <f>VLOOKUP($Q7327,매칭테이블!$F:$I,2,0)*K7327</f>
        <v/>
      </c>
      <c r="N7327" s="94">
        <f>M7327-M7327*VLOOKUP($Q7327,매칭테이블!$F:$I,3,0)</f>
        <v/>
      </c>
      <c r="O7327" s="94">
        <f>VLOOKUP($Q7327,매칭테이블!$F:$I,4,0)*K7327</f>
        <v/>
      </c>
      <c r="P7327" s="148">
        <f>M7327/1.1</f>
        <v/>
      </c>
      <c r="Q7327" s="94">
        <f>F7327&amp;E7327&amp;G7327&amp;L7327</f>
        <v/>
      </c>
    </row>
    <row r="7328" customFormat="1" s="94">
      <c r="B7328" s="128" t="n">
        <v>44013</v>
      </c>
      <c r="C7328" s="94">
        <f>TEXT(B7328,"aaa")</f>
        <v/>
      </c>
      <c r="E7328" s="94" t="inlineStr">
        <is>
          <t>여름 한정 진정세트</t>
        </is>
      </c>
      <c r="F7328" s="5" t="inlineStr">
        <is>
          <t>카페24</t>
        </is>
      </c>
      <c r="G7328" s="94" t="inlineStr">
        <is>
          <t>여름 한정 진정세트 (대용량)</t>
        </is>
      </c>
      <c r="H7328" s="7" t="n">
        <v>190801</v>
      </c>
      <c r="I7328" s="7" t="n">
        <v>190801</v>
      </c>
      <c r="K7328" s="94" t="n">
        <v>10</v>
      </c>
      <c r="L7328" s="7" t="n">
        <v>190801</v>
      </c>
      <c r="M7328" s="94">
        <f>VLOOKUP($Q7328,매칭테이블!$F:$I,2,0)*K7328</f>
        <v/>
      </c>
      <c r="N7328" s="94">
        <f>M7328-M7328*VLOOKUP($Q7328,매칭테이블!$F:$I,3,0)</f>
        <v/>
      </c>
      <c r="O7328" s="94">
        <f>VLOOKUP($Q7328,매칭테이블!$F:$I,4,0)*K7328</f>
        <v/>
      </c>
      <c r="P7328" s="148">
        <f>M7328/1.1</f>
        <v/>
      </c>
      <c r="Q7328" s="94">
        <f>F7328&amp;E7328&amp;G7328&amp;L7328</f>
        <v/>
      </c>
    </row>
    <row r="7329" customFormat="1" s="94">
      <c r="B7329" s="128" t="n">
        <v>44013</v>
      </c>
      <c r="C7329" s="94">
        <f>TEXT(B7329,"aaa")</f>
        <v/>
      </c>
      <c r="E7329" s="94" t="inlineStr">
        <is>
          <t>어성초진정패키지</t>
        </is>
      </c>
      <c r="F7329" s="5" t="inlineStr">
        <is>
          <t>카페24</t>
        </is>
      </c>
      <c r="G7329" s="94" t="inlineStr">
        <is>
          <t>어성초 진정패키지세트</t>
        </is>
      </c>
      <c r="H7329" s="7" t="n">
        <v>190801</v>
      </c>
      <c r="I7329" s="7" t="n">
        <v>190801</v>
      </c>
      <c r="K7329" s="94" t="n">
        <v>5</v>
      </c>
      <c r="L7329" s="7" t="n">
        <v>190801</v>
      </c>
      <c r="M7329" s="94">
        <f>VLOOKUP($Q7329,매칭테이블!$F:$I,2,0)*K7329</f>
        <v/>
      </c>
      <c r="N7329" s="94">
        <f>M7329-M7329*VLOOKUP($Q7329,매칭테이블!$F:$I,3,0)</f>
        <v/>
      </c>
      <c r="O7329" s="94">
        <f>VLOOKUP($Q7329,매칭테이블!$F:$I,4,0)*K7329</f>
        <v/>
      </c>
      <c r="P7329" s="148">
        <f>M7329/1.1</f>
        <v/>
      </c>
      <c r="Q7329" s="94">
        <f>F7329&amp;E7329&amp;G7329&amp;L7329</f>
        <v/>
      </c>
    </row>
    <row r="7330" customFormat="1" s="94">
      <c r="B7330" s="128" t="n">
        <v>44013</v>
      </c>
      <c r="C7330" s="94">
        <f>TEXT(B7330,"aaa")</f>
        <v/>
      </c>
      <c r="E7330" s="94" t="inlineStr">
        <is>
          <t>머드크림마스크</t>
        </is>
      </c>
      <c r="F7330" s="5" t="inlineStr">
        <is>
          <t>카페24</t>
        </is>
      </c>
      <c r="G7330" s="94" t="inlineStr">
        <is>
          <t>머드크림마스크 100ml</t>
        </is>
      </c>
      <c r="H7330" s="7" t="n">
        <v>190801</v>
      </c>
      <c r="I7330" s="7" t="n">
        <v>190801</v>
      </c>
      <c r="K7330" s="94" t="n">
        <v>2</v>
      </c>
      <c r="L7330" s="7" t="n">
        <v>190801</v>
      </c>
      <c r="M7330" s="94">
        <f>VLOOKUP($Q7330,매칭테이블!$F:$I,2,0)*K7330</f>
        <v/>
      </c>
      <c r="N7330" s="94">
        <f>M7330-M7330*VLOOKUP($Q7330,매칭테이블!$F:$I,3,0)</f>
        <v/>
      </c>
      <c r="O7330" s="94">
        <f>VLOOKUP($Q7330,매칭테이블!$F:$I,4,0)*K7330</f>
        <v/>
      </c>
      <c r="P7330" s="148">
        <f>M7330/1.1</f>
        <v/>
      </c>
      <c r="Q7330" s="94">
        <f>F7330&amp;E7330&amp;G7330&amp;L7330</f>
        <v/>
      </c>
    </row>
    <row r="7331" customFormat="1" s="94">
      <c r="B7331" s="128" t="n">
        <v>44013</v>
      </c>
      <c r="C7331" s="94">
        <f>TEXT(B7331,"aaa")</f>
        <v/>
      </c>
      <c r="E7331" s="94" t="inlineStr">
        <is>
          <t>마스크팩</t>
        </is>
      </c>
      <c r="F7331" s="5" t="inlineStr">
        <is>
          <t>카페24</t>
        </is>
      </c>
      <c r="G7331" s="94" t="inlineStr">
        <is>
          <t>마스크팩 1매</t>
        </is>
      </c>
      <c r="H7331" s="7" t="n">
        <v>190801</v>
      </c>
      <c r="I7331" s="7" t="n">
        <v>190801</v>
      </c>
      <c r="K7331" s="94" t="n">
        <v>6</v>
      </c>
      <c r="L7331" s="7" t="n">
        <v>190801</v>
      </c>
      <c r="M7331" s="94">
        <f>VLOOKUP($Q7331,매칭테이블!$F:$I,2,0)*K7331</f>
        <v/>
      </c>
      <c r="N7331" s="94">
        <f>M7331-M7331*VLOOKUP($Q7331,매칭테이블!$F:$I,3,0)</f>
        <v/>
      </c>
      <c r="O7331" s="94">
        <f>VLOOKUP($Q7331,매칭테이블!$F:$I,4,0)*K7331</f>
        <v/>
      </c>
      <c r="P7331" s="148">
        <f>M7331/1.1</f>
        <v/>
      </c>
      <c r="Q7331" s="94">
        <f>F7331&amp;E7331&amp;G7331&amp;L7331</f>
        <v/>
      </c>
    </row>
    <row r="7332" customFormat="1" s="94">
      <c r="B7332" s="128" t="n">
        <v>44013</v>
      </c>
      <c r="C7332" s="94">
        <f>TEXT(B7332,"aaa")</f>
        <v/>
      </c>
      <c r="E7332" s="94" t="inlineStr">
        <is>
          <t>마스크팩</t>
        </is>
      </c>
      <c r="F7332" s="5" t="inlineStr">
        <is>
          <t>카페24</t>
        </is>
      </c>
      <c r="G7332" s="94" t="inlineStr">
        <is>
          <t>마스크팩 10매</t>
        </is>
      </c>
      <c r="H7332" s="7" t="n">
        <v>190801</v>
      </c>
      <c r="I7332" s="7" t="n">
        <v>190801</v>
      </c>
      <c r="K7332" s="94" t="n">
        <v>2</v>
      </c>
      <c r="L7332" s="7" t="n">
        <v>190801</v>
      </c>
      <c r="M7332" s="94">
        <f>VLOOKUP($Q7332,매칭테이블!$F:$I,2,0)*K7332</f>
        <v/>
      </c>
      <c r="N7332" s="94">
        <f>M7332-M7332*VLOOKUP($Q7332,매칭테이블!$F:$I,3,0)</f>
        <v/>
      </c>
      <c r="O7332" s="94">
        <f>VLOOKUP($Q7332,매칭테이블!$F:$I,4,0)*K7332</f>
        <v/>
      </c>
      <c r="P7332" s="148">
        <f>M7332/1.1</f>
        <v/>
      </c>
      <c r="Q7332" s="94">
        <f>F7332&amp;E7332&amp;G7332&amp;L7332</f>
        <v/>
      </c>
    </row>
    <row r="7333" customFormat="1" s="94">
      <c r="B7333" s="128" t="n">
        <v>44013</v>
      </c>
      <c r="C7333" s="94">
        <f>TEXT(B7333,"aaa")</f>
        <v/>
      </c>
      <c r="E7333" s="94" t="inlineStr">
        <is>
          <t>토너</t>
        </is>
      </c>
      <c r="F7333" s="5" t="inlineStr">
        <is>
          <t>카페24</t>
        </is>
      </c>
      <c r="G7333" s="94" t="inlineStr">
        <is>
          <t>250ml</t>
        </is>
      </c>
      <c r="H7333" s="7" t="n">
        <v>190801</v>
      </c>
      <c r="I7333" s="7" t="n">
        <v>190801</v>
      </c>
      <c r="K7333" s="94" t="n">
        <v>69</v>
      </c>
      <c r="L7333" s="7" t="n">
        <v>190801</v>
      </c>
      <c r="M7333" s="94">
        <f>VLOOKUP($Q7333,매칭테이블!$F:$I,2,0)*K7333</f>
        <v/>
      </c>
      <c r="N7333" s="94">
        <f>M7333-M7333*VLOOKUP($Q7333,매칭테이블!$F:$I,3,0)</f>
        <v/>
      </c>
      <c r="O7333" s="94">
        <f>VLOOKUP($Q7333,매칭테이블!$F:$I,4,0)*K7333</f>
        <v/>
      </c>
      <c r="P7333" s="148">
        <f>M7333/1.1</f>
        <v/>
      </c>
      <c r="Q7333" s="94">
        <f>F7333&amp;E7333&amp;G7333&amp;L7333</f>
        <v/>
      </c>
    </row>
    <row r="7334" customFormat="1" s="94">
      <c r="B7334" s="128" t="n">
        <v>44013</v>
      </c>
      <c r="C7334" s="94">
        <f>TEXT(B7334,"aaa")</f>
        <v/>
      </c>
      <c r="E7334" s="94" t="inlineStr">
        <is>
          <t>토너</t>
        </is>
      </c>
      <c r="F7334" s="5" t="inlineStr">
        <is>
          <t>카페24</t>
        </is>
      </c>
      <c r="G7334" s="94" t="inlineStr">
        <is>
          <t>250ml 2set</t>
        </is>
      </c>
      <c r="H7334" s="7" t="n">
        <v>190801</v>
      </c>
      <c r="I7334" s="7" t="n">
        <v>190801</v>
      </c>
      <c r="K7334" s="94" t="n">
        <v>58</v>
      </c>
      <c r="L7334" s="7" t="n">
        <v>190801</v>
      </c>
      <c r="M7334" s="94">
        <f>VLOOKUP($Q7334,매칭테이블!$F:$I,2,0)*K7334</f>
        <v/>
      </c>
      <c r="N7334" s="94">
        <f>M7334-M7334*VLOOKUP($Q7334,매칭테이블!$F:$I,3,0)</f>
        <v/>
      </c>
      <c r="O7334" s="94">
        <f>VLOOKUP($Q7334,매칭테이블!$F:$I,4,0)*K7334</f>
        <v/>
      </c>
      <c r="P7334" s="148">
        <f>M7334/1.1</f>
        <v/>
      </c>
      <c r="Q7334" s="94">
        <f>F7334&amp;E7334&amp;G7334&amp;L7334</f>
        <v/>
      </c>
    </row>
    <row r="7335" customFormat="1" s="94">
      <c r="B7335" s="128" t="n">
        <v>44013</v>
      </c>
      <c r="C7335" s="94">
        <f>TEXT(B7335,"aaa")</f>
        <v/>
      </c>
      <c r="E7335" s="94" t="inlineStr">
        <is>
          <t>토너</t>
        </is>
      </c>
      <c r="F7335" s="5" t="inlineStr">
        <is>
          <t>카페24</t>
        </is>
      </c>
      <c r="G7335" s="94" t="inlineStr">
        <is>
          <t>500ml</t>
        </is>
      </c>
      <c r="H7335" s="7" t="n">
        <v>190801</v>
      </c>
      <c r="I7335" s="7" t="n">
        <v>190801</v>
      </c>
      <c r="K7335" s="94" t="n">
        <v>84</v>
      </c>
      <c r="L7335" s="7" t="n">
        <v>190801</v>
      </c>
      <c r="M7335" s="94">
        <f>VLOOKUP($Q7335,매칭테이블!$F:$I,2,0)*K7335</f>
        <v/>
      </c>
      <c r="N7335" s="94">
        <f>M7335-M7335*VLOOKUP($Q7335,매칭테이블!$F:$I,3,0)</f>
        <v/>
      </c>
      <c r="O7335" s="94">
        <f>VLOOKUP($Q7335,매칭테이블!$F:$I,4,0)*K7335</f>
        <v/>
      </c>
      <c r="P7335" s="148">
        <f>M7335/1.1</f>
        <v/>
      </c>
      <c r="Q7335" s="94">
        <f>F7335&amp;E7335&amp;G7335&amp;L7335</f>
        <v/>
      </c>
    </row>
    <row r="7336" customFormat="1" s="94">
      <c r="B7336" s="128" t="n">
        <v>44013</v>
      </c>
      <c r="C7336" s="94">
        <f>TEXT(B7336,"aaa")</f>
        <v/>
      </c>
      <c r="E7336" s="94" t="inlineStr">
        <is>
          <t>토너</t>
        </is>
      </c>
      <c r="F7336" s="5" t="inlineStr">
        <is>
          <t>카페24</t>
        </is>
      </c>
      <c r="G7336" s="94" t="inlineStr">
        <is>
          <t>스킨팩 화장솜 60P</t>
        </is>
      </c>
      <c r="H7336" s="7" t="n">
        <v>190801</v>
      </c>
      <c r="I7336" s="7" t="n">
        <v>190801</v>
      </c>
      <c r="K7336" s="94" t="n">
        <v>90</v>
      </c>
      <c r="L7336" s="7" t="n">
        <v>190801</v>
      </c>
      <c r="M7336" s="94">
        <f>VLOOKUP($Q7336,매칭테이블!$F:$I,2,0)*K7336</f>
        <v/>
      </c>
      <c r="N7336" s="94">
        <f>M7336-M7336*VLOOKUP($Q7336,매칭테이블!$F:$I,3,0)</f>
        <v/>
      </c>
      <c r="O7336" s="94">
        <f>VLOOKUP($Q7336,매칭테이블!$F:$I,4,0)*K7336</f>
        <v/>
      </c>
      <c r="P7336" s="148">
        <f>M7336/1.1</f>
        <v/>
      </c>
      <c r="Q7336" s="94">
        <f>F7336&amp;E7336&amp;G7336&amp;L7336</f>
        <v/>
      </c>
    </row>
    <row r="7337" customFormat="1" s="94">
      <c r="B7337" s="128" t="n">
        <v>44013</v>
      </c>
      <c r="C7337" s="94">
        <f>TEXT(B7337,"aaa")</f>
        <v/>
      </c>
      <c r="E7337" s="94" t="inlineStr">
        <is>
          <t>앰플</t>
        </is>
      </c>
      <c r="F7337" s="5" t="inlineStr">
        <is>
          <t>카페24</t>
        </is>
      </c>
      <c r="G7337" s="94" t="inlineStr">
        <is>
          <t>앰플 30ml</t>
        </is>
      </c>
      <c r="H7337" s="7" t="n">
        <v>190801</v>
      </c>
      <c r="I7337" s="7" t="n">
        <v>190801</v>
      </c>
      <c r="K7337" s="94" t="n">
        <v>23</v>
      </c>
      <c r="L7337" s="7" t="n">
        <v>190801</v>
      </c>
      <c r="M7337" s="94">
        <f>VLOOKUP($Q7337,매칭테이블!$F:$I,2,0)*K7337</f>
        <v/>
      </c>
      <c r="N7337" s="94">
        <f>M7337-M7337*VLOOKUP($Q7337,매칭테이블!$F:$I,3,0)</f>
        <v/>
      </c>
      <c r="O7337" s="94">
        <f>VLOOKUP($Q7337,매칭테이블!$F:$I,4,0)*K7337</f>
        <v/>
      </c>
      <c r="P7337" s="148">
        <f>M7337/1.1</f>
        <v/>
      </c>
      <c r="Q7337" s="94">
        <f>F7337&amp;E7337&amp;G7337&amp;L7337</f>
        <v/>
      </c>
    </row>
    <row r="7338" customFormat="1" s="94">
      <c r="B7338" s="128" t="n">
        <v>44013</v>
      </c>
      <c r="C7338" s="94">
        <f>TEXT(B7338,"aaa")</f>
        <v/>
      </c>
      <c r="E7338" s="94" t="inlineStr">
        <is>
          <t>수딩크림</t>
        </is>
      </c>
      <c r="F7338" s="5" t="inlineStr">
        <is>
          <t>카페24</t>
        </is>
      </c>
      <c r="G7338" s="94" t="inlineStr">
        <is>
          <t>수딩크림 100ml</t>
        </is>
      </c>
      <c r="H7338" s="7" t="n">
        <v>190801</v>
      </c>
      <c r="I7338" s="7" t="n">
        <v>190801</v>
      </c>
      <c r="K7338" s="94" t="n">
        <v>8</v>
      </c>
      <c r="L7338" s="7" t="n">
        <v>190801</v>
      </c>
      <c r="M7338" s="94">
        <f>VLOOKUP($Q7338,매칭테이블!$F:$I,2,0)*K7338</f>
        <v/>
      </c>
      <c r="N7338" s="94">
        <f>M7338-M7338*VLOOKUP($Q7338,매칭테이블!$F:$I,3,0)</f>
        <v/>
      </c>
      <c r="O7338" s="94">
        <f>VLOOKUP($Q7338,매칭테이블!$F:$I,4,0)*K7338</f>
        <v/>
      </c>
      <c r="P7338" s="148">
        <f>M7338/1.1</f>
        <v/>
      </c>
      <c r="Q7338" s="94">
        <f>F7338&amp;E7338&amp;G7338&amp;L7338</f>
        <v/>
      </c>
    </row>
    <row r="7339" customFormat="1" s="94">
      <c r="B7339" s="128" t="n">
        <v>44013</v>
      </c>
      <c r="C7339" s="94">
        <f>TEXT(B7339,"aaa")</f>
        <v/>
      </c>
      <c r="E7339" s="94" t="inlineStr">
        <is>
          <t>클렌징폼</t>
        </is>
      </c>
      <c r="F7339" s="5" t="inlineStr">
        <is>
          <t>카페24</t>
        </is>
      </c>
      <c r="G7339" s="94" t="inlineStr">
        <is>
          <t>클렌징폼 120ml</t>
        </is>
      </c>
      <c r="H7339" s="7" t="n">
        <v>190801</v>
      </c>
      <c r="I7339" s="7" t="n">
        <v>190801</v>
      </c>
      <c r="K7339" s="94" t="n">
        <v>9</v>
      </c>
      <c r="L7339" s="7" t="n">
        <v>190801</v>
      </c>
      <c r="M7339" s="94">
        <f>VLOOKUP($Q7339,매칭테이블!$F:$I,2,0)*K7339</f>
        <v/>
      </c>
      <c r="N7339" s="94">
        <f>M7339-M7339*VLOOKUP($Q7339,매칭테이블!$F:$I,3,0)</f>
        <v/>
      </c>
      <c r="O7339" s="94">
        <f>VLOOKUP($Q7339,매칭테이블!$F:$I,4,0)*K7339</f>
        <v/>
      </c>
      <c r="P7339" s="148">
        <f>M7339/1.1</f>
        <v/>
      </c>
      <c r="Q7339" s="94">
        <f>F7339&amp;E7339&amp;G7339&amp;L7339</f>
        <v/>
      </c>
    </row>
    <row r="7340" customFormat="1" s="94">
      <c r="B7340" s="128" t="n">
        <v>44013</v>
      </c>
      <c r="C7340" s="94">
        <f>TEXT(B7340,"aaa")</f>
        <v/>
      </c>
      <c r="E7340" s="94" t="inlineStr">
        <is>
          <t>클렌징폼</t>
        </is>
      </c>
      <c r="F7340" s="5" t="inlineStr">
        <is>
          <t>카페24</t>
        </is>
      </c>
      <c r="G7340" s="94" t="inlineStr">
        <is>
          <t>클렌징폼 120ml 2set</t>
        </is>
      </c>
      <c r="H7340" s="7" t="n">
        <v>190801</v>
      </c>
      <c r="I7340" s="7" t="n">
        <v>190801</v>
      </c>
      <c r="K7340" s="94" t="n">
        <v>1</v>
      </c>
      <c r="L7340" s="7" t="n">
        <v>190801</v>
      </c>
      <c r="M7340" s="94">
        <f>VLOOKUP($Q7340,매칭테이블!$F:$I,2,0)*K7340</f>
        <v/>
      </c>
      <c r="N7340" s="94">
        <f>M7340-M7340*VLOOKUP($Q7340,매칭테이블!$F:$I,3,0)</f>
        <v/>
      </c>
      <c r="O7340" s="94">
        <f>VLOOKUP($Q7340,매칭테이블!$F:$I,4,0)*K7340</f>
        <v/>
      </c>
      <c r="P7340" s="148">
        <f>M7340/1.1</f>
        <v/>
      </c>
      <c r="Q7340" s="94">
        <f>F7340&amp;E7340&amp;G7340&amp;L7340</f>
        <v/>
      </c>
    </row>
    <row r="7341" customFormat="1" s="94">
      <c r="B7341" s="128" t="n">
        <v>44013</v>
      </c>
      <c r="C7341" s="94">
        <f>TEXT(B7341,"aaa")</f>
        <v/>
      </c>
      <c r="E7341" s="94" t="inlineStr">
        <is>
          <t>클렌징폼</t>
        </is>
      </c>
      <c r="F7341" s="5" t="inlineStr">
        <is>
          <t>카페24</t>
        </is>
      </c>
      <c r="G7341" s="94" t="inlineStr">
        <is>
          <t>클렌징폼 120ml 3set</t>
        </is>
      </c>
      <c r="H7341" s="7" t="n">
        <v>190801</v>
      </c>
      <c r="I7341" s="7" t="n">
        <v>190801</v>
      </c>
      <c r="K7341" s="94" t="n">
        <v>2</v>
      </c>
      <c r="L7341" s="7" t="n">
        <v>190801</v>
      </c>
      <c r="M7341" s="94">
        <f>VLOOKUP($Q7341,매칭테이블!$F:$I,2,0)*K7341</f>
        <v/>
      </c>
      <c r="N7341" s="94">
        <f>M7341-M7341*VLOOKUP($Q7341,매칭테이블!$F:$I,3,0)</f>
        <v/>
      </c>
      <c r="O7341" s="94">
        <f>VLOOKUP($Q7341,매칭테이블!$F:$I,4,0)*K7341</f>
        <v/>
      </c>
      <c r="P7341" s="148">
        <f>M7341/1.1</f>
        <v/>
      </c>
      <c r="Q7341" s="94">
        <f>F7341&amp;E7341&amp;G7341&amp;L7341</f>
        <v/>
      </c>
    </row>
    <row r="7342" customFormat="1" s="94">
      <c r="B7342" s="128" t="n">
        <v>44013</v>
      </c>
      <c r="C7342" s="94">
        <f>TEXT(B7342,"aaa")</f>
        <v/>
      </c>
      <c r="E7342" s="94" t="inlineStr">
        <is>
          <t>토너</t>
        </is>
      </c>
      <c r="F7342" s="5" t="inlineStr">
        <is>
          <t>큐텐</t>
        </is>
      </c>
      <c r="G7342" s="94" t="inlineStr">
        <is>
          <t>250ml</t>
        </is>
      </c>
      <c r="H7342" s="7" t="n">
        <v>190801</v>
      </c>
      <c r="I7342" s="7" t="n">
        <v>190801</v>
      </c>
      <c r="K7342" s="94" t="n">
        <v>7</v>
      </c>
      <c r="L7342" s="7" t="n">
        <v>190801</v>
      </c>
      <c r="M7342" s="94">
        <f>VLOOKUP($Q7342,매칭테이블!$F:$I,2,0)*K7342</f>
        <v/>
      </c>
      <c r="N7342" s="94">
        <f>M7342-M7342*VLOOKUP($Q7342,매칭테이블!$F:$I,3,0)</f>
        <v/>
      </c>
      <c r="O7342" s="94">
        <f>VLOOKUP($Q7342,매칭테이블!$F:$I,4,0)*K7342</f>
        <v/>
      </c>
      <c r="P7342" s="148">
        <f>M7342/1.1</f>
        <v/>
      </c>
      <c r="Q7342" s="94">
        <f>F7342&amp;E7342&amp;G7342&amp;L7342</f>
        <v/>
      </c>
    </row>
    <row r="7343" customFormat="1" s="94">
      <c r="B7343" s="128" t="n">
        <v>44013</v>
      </c>
      <c r="C7343" s="94">
        <f>TEXT(B7343,"aaa")</f>
        <v/>
      </c>
      <c r="E7343" s="94" t="inlineStr">
        <is>
          <t>토너</t>
        </is>
      </c>
      <c r="F7343" s="5" t="inlineStr">
        <is>
          <t>큐텐</t>
        </is>
      </c>
      <c r="G7343" s="94" t="inlineStr">
        <is>
          <t>250ml 2set</t>
        </is>
      </c>
      <c r="H7343" s="7" t="n">
        <v>190801</v>
      </c>
      <c r="I7343" s="7" t="n">
        <v>190801</v>
      </c>
      <c r="K7343" s="94" t="n">
        <v>6</v>
      </c>
      <c r="L7343" s="7" t="n">
        <v>190801</v>
      </c>
      <c r="M7343" s="94">
        <f>VLOOKUP($Q7343,매칭테이블!$F:$I,2,0)*K7343</f>
        <v/>
      </c>
      <c r="N7343" s="94">
        <f>M7343-M7343*VLOOKUP($Q7343,매칭테이블!$F:$I,3,0)</f>
        <v/>
      </c>
      <c r="O7343" s="94">
        <f>VLOOKUP($Q7343,매칭테이블!$F:$I,4,0)*K7343</f>
        <v/>
      </c>
      <c r="P7343" s="148">
        <f>M7343/1.1</f>
        <v/>
      </c>
      <c r="Q7343" s="94">
        <f>F7343&amp;E7343&amp;G7343&amp;L7343</f>
        <v/>
      </c>
    </row>
    <row r="7344" customFormat="1" s="94">
      <c r="B7344" s="128" t="n">
        <v>44013</v>
      </c>
      <c r="C7344" s="94">
        <f>TEXT(B7344,"aaa")</f>
        <v/>
      </c>
      <c r="E7344" s="94" t="inlineStr">
        <is>
          <t>앰플</t>
        </is>
      </c>
      <c r="F7344" s="5" t="inlineStr">
        <is>
          <t>큐텐</t>
        </is>
      </c>
      <c r="G7344" s="94" t="inlineStr">
        <is>
          <t>앰플 30ml</t>
        </is>
      </c>
      <c r="H7344" s="7" t="n">
        <v>190801</v>
      </c>
      <c r="I7344" s="7" t="n">
        <v>190801</v>
      </c>
      <c r="K7344" s="94" t="n">
        <v>4</v>
      </c>
      <c r="L7344" s="7" t="n">
        <v>190801</v>
      </c>
      <c r="M7344" s="94">
        <f>VLOOKUP($Q7344,매칭테이블!$F:$I,2,0)*K7344</f>
        <v/>
      </c>
      <c r="N7344" s="94">
        <f>M7344-M7344*VLOOKUP($Q7344,매칭테이블!$F:$I,3,0)</f>
        <v/>
      </c>
      <c r="O7344" s="94">
        <f>VLOOKUP($Q7344,매칭테이블!$F:$I,4,0)*K7344</f>
        <v/>
      </c>
      <c r="P7344" s="148">
        <f>M7344/1.1</f>
        <v/>
      </c>
      <c r="Q7344" s="94">
        <f>F7344&amp;E7344&amp;G7344&amp;L7344</f>
        <v/>
      </c>
    </row>
    <row r="7345" customFormat="1" s="94">
      <c r="B7345" s="128" t="n">
        <v>44013</v>
      </c>
      <c r="C7345" s="94">
        <f>TEXT(B7345,"aaa")</f>
        <v/>
      </c>
      <c r="E7345" s="94" t="inlineStr">
        <is>
          <t>선크림</t>
        </is>
      </c>
      <c r="F7345" s="5" t="inlineStr">
        <is>
          <t>아누아 CS</t>
        </is>
      </c>
      <c r="G7345" s="94" t="inlineStr">
        <is>
          <t>선크림 50ml</t>
        </is>
      </c>
      <c r="H7345" s="7" t="n">
        <v>190801</v>
      </c>
      <c r="I7345" s="7" t="n">
        <v>190801</v>
      </c>
      <c r="K7345" s="94" t="n">
        <v>2</v>
      </c>
      <c r="L7345" s="7" t="n">
        <v>190801</v>
      </c>
      <c r="M7345" s="94">
        <f>VLOOKUP($Q7345,매칭테이블!$F:$I,2,0)*K7345</f>
        <v/>
      </c>
      <c r="N7345" s="94">
        <f>M7345-M7345*VLOOKUP($Q7345,매칭테이블!$F:$I,3,0)</f>
        <v/>
      </c>
      <c r="O7345" s="94">
        <f>VLOOKUP($Q7345,매칭테이블!$F:$I,4,0)*K7345</f>
        <v/>
      </c>
      <c r="P7345" s="148">
        <f>M7345/1.1</f>
        <v/>
      </c>
      <c r="Q7345" s="94">
        <f>F7345&amp;E7345&amp;G7345&amp;L7345</f>
        <v/>
      </c>
    </row>
    <row r="7346" customFormat="1" s="94">
      <c r="B7346" s="128" t="n">
        <v>44013</v>
      </c>
      <c r="C7346" s="94">
        <f>TEXT(B7346,"aaa")</f>
        <v/>
      </c>
      <c r="E7346" s="94" t="inlineStr">
        <is>
          <t>토너</t>
        </is>
      </c>
      <c r="F7346" s="5" t="inlineStr">
        <is>
          <t>화해</t>
        </is>
      </c>
      <c r="G7346" s="94" t="inlineStr">
        <is>
          <t>250ml</t>
        </is>
      </c>
      <c r="H7346" s="7" t="n">
        <v>190801</v>
      </c>
      <c r="I7346" s="7" t="n">
        <v>190801</v>
      </c>
      <c r="K7346" s="94" t="n">
        <v>5</v>
      </c>
      <c r="L7346" s="7" t="n">
        <v>190801</v>
      </c>
      <c r="M7346" s="94">
        <f>VLOOKUP($Q7346,매칭테이블!$F:$I,2,0)*K7346</f>
        <v/>
      </c>
      <c r="N7346" s="94">
        <f>M7346-M7346*VLOOKUP($Q7346,매칭테이블!$F:$I,3,0)</f>
        <v/>
      </c>
      <c r="O7346" s="94">
        <f>VLOOKUP($Q7346,매칭테이블!$F:$I,4,0)*K7346</f>
        <v/>
      </c>
      <c r="P7346" s="148">
        <f>M7346/1.1</f>
        <v/>
      </c>
      <c r="Q7346" s="94">
        <f>F7346&amp;E7346&amp;G7346&amp;L7346</f>
        <v/>
      </c>
    </row>
    <row r="7347" customFormat="1" s="94">
      <c r="B7347" s="128" t="n">
        <v>44014</v>
      </c>
      <c r="C7347" s="94">
        <f>TEXT(B7347,"aaa")</f>
        <v/>
      </c>
      <c r="E7347" s="94" t="inlineStr">
        <is>
          <t>토너</t>
        </is>
      </c>
      <c r="F7347" s="5" t="inlineStr">
        <is>
          <t>W컨셉</t>
        </is>
      </c>
      <c r="G7347" s="94" t="inlineStr">
        <is>
          <t>250ml</t>
        </is>
      </c>
      <c r="H7347" s="7" t="n">
        <v>190801</v>
      </c>
      <c r="I7347" s="7" t="n">
        <v>190801</v>
      </c>
      <c r="K7347" s="94" t="n">
        <v>2</v>
      </c>
      <c r="L7347" s="7" t="n">
        <v>190801</v>
      </c>
      <c r="M7347" s="94">
        <f>VLOOKUP($Q7347,매칭테이블!$F:$I,2,0)*K7347</f>
        <v/>
      </c>
      <c r="N7347" s="94">
        <f>M7347-M7347*VLOOKUP($Q7347,매칭테이블!$F:$I,3,0)</f>
        <v/>
      </c>
      <c r="O7347" s="94">
        <f>VLOOKUP($Q7347,매칭테이블!$F:$I,4,0)*K7347</f>
        <v/>
      </c>
      <c r="P7347" s="148">
        <f>M7347/1.1</f>
        <v/>
      </c>
      <c r="Q7347" s="94">
        <f>F7347&amp;E7347&amp;G7347&amp;L7347</f>
        <v/>
      </c>
    </row>
    <row r="7348" customFormat="1" s="94">
      <c r="B7348" s="128" t="n">
        <v>44014</v>
      </c>
      <c r="C7348" s="94">
        <f>TEXT(B7348,"aaa")</f>
        <v/>
      </c>
      <c r="E7348" s="94" t="inlineStr">
        <is>
          <t>토너</t>
        </is>
      </c>
      <c r="F7348" s="5" t="inlineStr">
        <is>
          <t>W컨셉</t>
        </is>
      </c>
      <c r="G7348" s="94" t="inlineStr">
        <is>
          <t>250ml 2set</t>
        </is>
      </c>
      <c r="H7348" s="7" t="n">
        <v>190801</v>
      </c>
      <c r="I7348" s="7" t="n">
        <v>190801</v>
      </c>
      <c r="K7348" s="94" t="n">
        <v>5</v>
      </c>
      <c r="L7348" s="7" t="n">
        <v>190801</v>
      </c>
      <c r="M7348" s="94">
        <f>VLOOKUP($Q7348,매칭테이블!$F:$I,2,0)*K7348</f>
        <v/>
      </c>
      <c r="N7348" s="94">
        <f>M7348-M7348*VLOOKUP($Q7348,매칭테이블!$F:$I,3,0)</f>
        <v/>
      </c>
      <c r="O7348" s="94">
        <f>VLOOKUP($Q7348,매칭테이블!$F:$I,4,0)*K7348</f>
        <v/>
      </c>
      <c r="P7348" s="148">
        <f>M7348/1.1</f>
        <v/>
      </c>
      <c r="Q7348" s="94">
        <f>F7348&amp;E7348&amp;G7348&amp;L7348</f>
        <v/>
      </c>
    </row>
    <row r="7349" customFormat="1" s="94">
      <c r="B7349" s="128" t="n">
        <v>44014</v>
      </c>
      <c r="C7349" s="94">
        <f>TEXT(B7349,"aaa")</f>
        <v/>
      </c>
      <c r="E7349" s="94" t="inlineStr">
        <is>
          <t>클렌징폼</t>
        </is>
      </c>
      <c r="F7349" s="5" t="inlineStr">
        <is>
          <t>글로우데이즈 시코르</t>
        </is>
      </c>
      <c r="G7349" s="94" t="inlineStr">
        <is>
          <t>클렌징폼=클렌징폼 120ml</t>
        </is>
      </c>
      <c r="H7349" s="7" t="n">
        <v>190801</v>
      </c>
      <c r="I7349" s="7" t="n">
        <v>190801</v>
      </c>
      <c r="K7349" s="94" t="n">
        <v>10</v>
      </c>
      <c r="L7349" s="7" t="n">
        <v>190801</v>
      </c>
      <c r="M7349" s="94">
        <f>VLOOKUP($Q7349,매칭테이블!$F:$I,2,0)*K7349</f>
        <v/>
      </c>
      <c r="N7349" s="94">
        <f>M7349-M7349*VLOOKUP($Q7349,매칭테이블!$F:$I,3,0)</f>
        <v/>
      </c>
      <c r="O7349" s="94">
        <f>VLOOKUP($Q7349,매칭테이블!$F:$I,4,0)*K7349</f>
        <v/>
      </c>
      <c r="P7349" s="148">
        <f>M7349/1.1</f>
        <v/>
      </c>
      <c r="Q7349" s="94">
        <f>F7349&amp;E7349&amp;G7349&amp;L7349</f>
        <v/>
      </c>
    </row>
    <row r="7350" customFormat="1" s="94">
      <c r="B7350" s="128" t="n">
        <v>44014</v>
      </c>
      <c r="C7350" s="94">
        <f>TEXT(B7350,"aaa")</f>
        <v/>
      </c>
      <c r="E7350" s="94" t="inlineStr">
        <is>
          <t>토너</t>
        </is>
      </c>
      <c r="F7350" s="5" t="inlineStr">
        <is>
          <t>스타일쉐어</t>
        </is>
      </c>
      <c r="G7350" s="94" t="inlineStr">
        <is>
          <t>250ml</t>
        </is>
      </c>
      <c r="H7350" s="7" t="n">
        <v>190801</v>
      </c>
      <c r="I7350" s="7" t="n">
        <v>190801</v>
      </c>
      <c r="K7350" s="94" t="n">
        <v>1</v>
      </c>
      <c r="L7350" s="7" t="n">
        <v>190801</v>
      </c>
      <c r="M7350" s="94">
        <f>VLOOKUP($Q7350,매칭테이블!$F:$I,2,0)*K7350</f>
        <v/>
      </c>
      <c r="N7350" s="94">
        <f>M7350-M7350*VLOOKUP($Q7350,매칭테이블!$F:$I,3,0)</f>
        <v/>
      </c>
      <c r="O7350" s="94">
        <f>VLOOKUP($Q7350,매칭테이블!$F:$I,4,0)*K7350</f>
        <v/>
      </c>
      <c r="P7350" s="148">
        <f>M7350/1.1</f>
        <v/>
      </c>
      <c r="Q7350" s="94">
        <f>F7350&amp;E7350&amp;G7350&amp;L7350</f>
        <v/>
      </c>
    </row>
    <row r="7351" customFormat="1" s="94">
      <c r="B7351" s="128" t="n">
        <v>44014</v>
      </c>
      <c r="C7351" s="94">
        <f>TEXT(B7351,"aaa")</f>
        <v/>
      </c>
      <c r="E7351" s="94" t="inlineStr">
        <is>
          <t>선크림</t>
        </is>
      </c>
      <c r="F7351" s="5" t="inlineStr">
        <is>
          <t>카페24</t>
        </is>
      </c>
      <c r="G7351" s="94" t="inlineStr">
        <is>
          <t>선크림 50ml</t>
        </is>
      </c>
      <c r="H7351" s="7" t="n">
        <v>190801</v>
      </c>
      <c r="I7351" s="7" t="n">
        <v>190801</v>
      </c>
      <c r="K7351" s="94" t="n">
        <v>7</v>
      </c>
      <c r="L7351" s="7" t="n">
        <v>190801</v>
      </c>
      <c r="M7351" s="94">
        <f>VLOOKUP($Q7351,매칭테이블!$F:$I,2,0)*K7351</f>
        <v/>
      </c>
      <c r="N7351" s="94">
        <f>M7351-M7351*VLOOKUP($Q7351,매칭테이블!$F:$I,3,0)</f>
        <v/>
      </c>
      <c r="O7351" s="94">
        <f>VLOOKUP($Q7351,매칭테이블!$F:$I,4,0)*K7351</f>
        <v/>
      </c>
      <c r="P7351" s="148">
        <f>M7351/1.1</f>
        <v/>
      </c>
      <c r="Q7351" s="94">
        <f>F7351&amp;E7351&amp;G7351&amp;L7351</f>
        <v/>
      </c>
    </row>
    <row r="7352" customFormat="1" s="94">
      <c r="B7352" s="128" t="n">
        <v>44014</v>
      </c>
      <c r="C7352" s="94">
        <f>TEXT(B7352,"aaa")</f>
        <v/>
      </c>
      <c r="E7352" s="94" t="inlineStr">
        <is>
          <t>선크림</t>
        </is>
      </c>
      <c r="F7352" s="5" t="inlineStr">
        <is>
          <t>카페24</t>
        </is>
      </c>
      <c r="G7352" s="94" t="inlineStr">
        <is>
          <t>선크림 50ml  2set</t>
        </is>
      </c>
      <c r="H7352" s="7" t="n">
        <v>190801</v>
      </c>
      <c r="I7352" s="7" t="n">
        <v>190801</v>
      </c>
      <c r="K7352" s="94" t="n">
        <v>4</v>
      </c>
      <c r="L7352" s="7" t="n">
        <v>190801</v>
      </c>
      <c r="M7352" s="94">
        <f>VLOOKUP($Q7352,매칭테이블!$F:$I,2,0)*K7352</f>
        <v/>
      </c>
      <c r="N7352" s="94">
        <f>M7352-M7352*VLOOKUP($Q7352,매칭테이블!$F:$I,3,0)</f>
        <v/>
      </c>
      <c r="O7352" s="94">
        <f>VLOOKUP($Q7352,매칭테이블!$F:$I,4,0)*K7352</f>
        <v/>
      </c>
      <c r="P7352" s="148">
        <f>M7352/1.1</f>
        <v/>
      </c>
      <c r="Q7352" s="94">
        <f>F7352&amp;E7352&amp;G7352&amp;L7352</f>
        <v/>
      </c>
    </row>
    <row r="7353" customFormat="1" s="94">
      <c r="B7353" s="128" t="n">
        <v>44014</v>
      </c>
      <c r="C7353" s="94">
        <f>TEXT(B7353,"aaa")</f>
        <v/>
      </c>
      <c r="E7353" s="94" t="inlineStr">
        <is>
          <t>클렌징폼</t>
        </is>
      </c>
      <c r="F7353" s="5" t="inlineStr">
        <is>
          <t>카페24</t>
        </is>
      </c>
      <c r="G7353" s="94" t="inlineStr">
        <is>
          <t>클렌징폼 120ml(선크림할인)</t>
        </is>
      </c>
      <c r="H7353" s="7" t="n">
        <v>190801</v>
      </c>
      <c r="I7353" s="7" t="n">
        <v>190801</v>
      </c>
      <c r="K7353" s="94" t="n">
        <v>6</v>
      </c>
      <c r="L7353" s="7" t="n">
        <v>190801</v>
      </c>
      <c r="M7353" s="94">
        <f>VLOOKUP($Q7353,매칭테이블!$F:$I,2,0)*K7353</f>
        <v/>
      </c>
      <c r="N7353" s="94">
        <f>M7353-M7353*VLOOKUP($Q7353,매칭테이블!$F:$I,3,0)</f>
        <v/>
      </c>
      <c r="O7353" s="94">
        <f>VLOOKUP($Q7353,매칭테이블!$F:$I,4,0)*K7353</f>
        <v/>
      </c>
      <c r="P7353" s="148">
        <f>M7353/1.1</f>
        <v/>
      </c>
      <c r="Q7353" s="94">
        <f>F7353&amp;E7353&amp;G7353&amp;L7353</f>
        <v/>
      </c>
    </row>
    <row r="7354" customFormat="1" s="94">
      <c r="B7354" s="128" t="n">
        <v>44014</v>
      </c>
      <c r="C7354" s="94">
        <f>TEXT(B7354,"aaa")</f>
        <v/>
      </c>
      <c r="E7354" s="94" t="inlineStr">
        <is>
          <t>여름 한정 진정세트</t>
        </is>
      </c>
      <c r="F7354" s="5" t="inlineStr">
        <is>
          <t>카페24</t>
        </is>
      </c>
      <c r="G7354" s="94" t="inlineStr">
        <is>
          <t>여름 한정 진정세트</t>
        </is>
      </c>
      <c r="H7354" s="7" t="n">
        <v>190801</v>
      </c>
      <c r="I7354" s="7" t="n">
        <v>190801</v>
      </c>
      <c r="K7354" s="94" t="n">
        <v>4</v>
      </c>
      <c r="L7354" s="7" t="n">
        <v>190801</v>
      </c>
      <c r="M7354" s="94">
        <f>VLOOKUP($Q7354,매칭테이블!$F:$I,2,0)*K7354</f>
        <v/>
      </c>
      <c r="N7354" s="94">
        <f>M7354-M7354*VLOOKUP($Q7354,매칭테이블!$F:$I,3,0)</f>
        <v/>
      </c>
      <c r="O7354" s="94">
        <f>VLOOKUP($Q7354,매칭테이블!$F:$I,4,0)*K7354</f>
        <v/>
      </c>
      <c r="P7354" s="148">
        <f>M7354/1.1</f>
        <v/>
      </c>
      <c r="Q7354" s="94">
        <f>F7354&amp;E7354&amp;G7354&amp;L7354</f>
        <v/>
      </c>
    </row>
    <row r="7355" customFormat="1" s="94">
      <c r="B7355" s="128" t="n">
        <v>44014</v>
      </c>
      <c r="C7355" s="94">
        <f>TEXT(B7355,"aaa")</f>
        <v/>
      </c>
      <c r="E7355" s="94" t="inlineStr">
        <is>
          <t>여름 한정 진정세트</t>
        </is>
      </c>
      <c r="F7355" s="5" t="inlineStr">
        <is>
          <t>카페24</t>
        </is>
      </c>
      <c r="G7355" s="94" t="inlineStr">
        <is>
          <t>여름 한정 진정세트 (대용량)</t>
        </is>
      </c>
      <c r="H7355" s="7" t="n">
        <v>190801</v>
      </c>
      <c r="I7355" s="7" t="n">
        <v>190801</v>
      </c>
      <c r="K7355" s="94" t="n">
        <v>4</v>
      </c>
      <c r="L7355" s="7" t="n">
        <v>190801</v>
      </c>
      <c r="M7355" s="94">
        <f>VLOOKUP($Q7355,매칭테이블!$F:$I,2,0)*K7355</f>
        <v/>
      </c>
      <c r="N7355" s="94">
        <f>M7355-M7355*VLOOKUP($Q7355,매칭테이블!$F:$I,3,0)</f>
        <v/>
      </c>
      <c r="O7355" s="94">
        <f>VLOOKUP($Q7355,매칭테이블!$F:$I,4,0)*K7355</f>
        <v/>
      </c>
      <c r="P7355" s="148">
        <f>M7355/1.1</f>
        <v/>
      </c>
      <c r="Q7355" s="94">
        <f>F7355&amp;E7355&amp;G7355&amp;L7355</f>
        <v/>
      </c>
    </row>
    <row r="7356" customFormat="1" s="94">
      <c r="B7356" s="128" t="n">
        <v>44014</v>
      </c>
      <c r="C7356" s="94">
        <f>TEXT(B7356,"aaa")</f>
        <v/>
      </c>
      <c r="E7356" s="94" t="inlineStr">
        <is>
          <t>머드크림마스크</t>
        </is>
      </c>
      <c r="F7356" s="5" t="inlineStr">
        <is>
          <t>카페24</t>
        </is>
      </c>
      <c r="G7356" s="94" t="inlineStr">
        <is>
          <t>머드크림마스크 100ml</t>
        </is>
      </c>
      <c r="H7356" s="7" t="n">
        <v>190801</v>
      </c>
      <c r="I7356" s="7" t="n">
        <v>190801</v>
      </c>
      <c r="K7356" s="94" t="n">
        <v>4</v>
      </c>
      <c r="L7356" s="7" t="n">
        <v>190801</v>
      </c>
      <c r="M7356" s="94">
        <f>VLOOKUP($Q7356,매칭테이블!$F:$I,2,0)*K7356</f>
        <v/>
      </c>
      <c r="N7356" s="94">
        <f>M7356-M7356*VLOOKUP($Q7356,매칭테이블!$F:$I,3,0)</f>
        <v/>
      </c>
      <c r="O7356" s="94">
        <f>VLOOKUP($Q7356,매칭테이블!$F:$I,4,0)*K7356</f>
        <v/>
      </c>
      <c r="P7356" s="148">
        <f>M7356/1.1</f>
        <v/>
      </c>
      <c r="Q7356" s="94">
        <f>F7356&amp;E7356&amp;G7356&amp;L7356</f>
        <v/>
      </c>
    </row>
    <row r="7357" customFormat="1" s="94">
      <c r="B7357" s="128" t="n">
        <v>44014</v>
      </c>
      <c r="C7357" s="94">
        <f>TEXT(B7357,"aaa")</f>
        <v/>
      </c>
      <c r="E7357" s="94" t="inlineStr">
        <is>
          <t>머드크림마스크</t>
        </is>
      </c>
      <c r="F7357" s="5" t="inlineStr">
        <is>
          <t>카페24</t>
        </is>
      </c>
      <c r="G7357" s="94" t="inlineStr">
        <is>
          <t>머드크림마스크 100ml 2set</t>
        </is>
      </c>
      <c r="H7357" s="7" t="n">
        <v>190801</v>
      </c>
      <c r="I7357" s="7" t="n">
        <v>190801</v>
      </c>
      <c r="K7357" s="94" t="n">
        <v>1</v>
      </c>
      <c r="L7357" s="7" t="n">
        <v>190801</v>
      </c>
      <c r="M7357" s="94">
        <f>VLOOKUP($Q7357,매칭테이블!$F:$I,2,0)*K7357</f>
        <v/>
      </c>
      <c r="N7357" s="94">
        <f>M7357-M7357*VLOOKUP($Q7357,매칭테이블!$F:$I,3,0)</f>
        <v/>
      </c>
      <c r="O7357" s="94">
        <f>VLOOKUP($Q7357,매칭테이블!$F:$I,4,0)*K7357</f>
        <v/>
      </c>
      <c r="P7357" s="148">
        <f>M7357/1.1</f>
        <v/>
      </c>
      <c r="Q7357" s="94">
        <f>F7357&amp;E7357&amp;G7357&amp;L7357</f>
        <v/>
      </c>
    </row>
    <row r="7358" customFormat="1" s="94">
      <c r="B7358" s="128" t="n">
        <v>44014</v>
      </c>
      <c r="C7358" s="94">
        <f>TEXT(B7358,"aaa")</f>
        <v/>
      </c>
      <c r="E7358" s="94" t="inlineStr">
        <is>
          <t>마스크팩</t>
        </is>
      </c>
      <c r="F7358" s="5" t="inlineStr">
        <is>
          <t>카페24</t>
        </is>
      </c>
      <c r="G7358" s="94" t="inlineStr">
        <is>
          <t>마스크팩 1매</t>
        </is>
      </c>
      <c r="H7358" s="7" t="n">
        <v>190801</v>
      </c>
      <c r="I7358" s="7" t="n">
        <v>190801</v>
      </c>
      <c r="K7358" s="94" t="n">
        <v>2</v>
      </c>
      <c r="L7358" s="7" t="n">
        <v>190801</v>
      </c>
      <c r="M7358" s="94">
        <f>VLOOKUP($Q7358,매칭테이블!$F:$I,2,0)*K7358</f>
        <v/>
      </c>
      <c r="N7358" s="94">
        <f>M7358-M7358*VLOOKUP($Q7358,매칭테이블!$F:$I,3,0)</f>
        <v/>
      </c>
      <c r="O7358" s="94">
        <f>VLOOKUP($Q7358,매칭테이블!$F:$I,4,0)*K7358</f>
        <v/>
      </c>
      <c r="P7358" s="148">
        <f>M7358/1.1</f>
        <v/>
      </c>
      <c r="Q7358" s="94">
        <f>F7358&amp;E7358&amp;G7358&amp;L7358</f>
        <v/>
      </c>
    </row>
    <row r="7359" customFormat="1" s="94">
      <c r="B7359" s="128" t="n">
        <v>44014</v>
      </c>
      <c r="C7359" s="94">
        <f>TEXT(B7359,"aaa")</f>
        <v/>
      </c>
      <c r="E7359" s="94" t="inlineStr">
        <is>
          <t>마스크팩</t>
        </is>
      </c>
      <c r="F7359" s="5" t="inlineStr">
        <is>
          <t>카페24</t>
        </is>
      </c>
      <c r="G7359" s="94" t="inlineStr">
        <is>
          <t>마스크팩 10매</t>
        </is>
      </c>
      <c r="H7359" s="7" t="n">
        <v>190801</v>
      </c>
      <c r="I7359" s="7" t="n">
        <v>190801</v>
      </c>
      <c r="K7359" s="94" t="n">
        <v>3</v>
      </c>
      <c r="L7359" s="7" t="n">
        <v>190801</v>
      </c>
      <c r="M7359" s="94">
        <f>VLOOKUP($Q7359,매칭테이블!$F:$I,2,0)*K7359</f>
        <v/>
      </c>
      <c r="N7359" s="94">
        <f>M7359-M7359*VLOOKUP($Q7359,매칭테이블!$F:$I,3,0)</f>
        <v/>
      </c>
      <c r="O7359" s="94">
        <f>VLOOKUP($Q7359,매칭테이블!$F:$I,4,0)*K7359</f>
        <v/>
      </c>
      <c r="P7359" s="148">
        <f>M7359/1.1</f>
        <v/>
      </c>
      <c r="Q7359" s="94">
        <f>F7359&amp;E7359&amp;G7359&amp;L7359</f>
        <v/>
      </c>
    </row>
    <row r="7360" customFormat="1" s="94">
      <c r="B7360" s="128" t="n">
        <v>44014</v>
      </c>
      <c r="C7360" s="94">
        <f>TEXT(B7360,"aaa")</f>
        <v/>
      </c>
      <c r="E7360" s="94" t="inlineStr">
        <is>
          <t>토너</t>
        </is>
      </c>
      <c r="F7360" s="5" t="inlineStr">
        <is>
          <t>카페24</t>
        </is>
      </c>
      <c r="G7360" s="94" t="inlineStr">
        <is>
          <t>250ml</t>
        </is>
      </c>
      <c r="H7360" s="7" t="n">
        <v>190801</v>
      </c>
      <c r="I7360" s="7" t="n">
        <v>190801</v>
      </c>
      <c r="K7360" s="94" t="n">
        <v>56</v>
      </c>
      <c r="L7360" s="7" t="n">
        <v>190801</v>
      </c>
      <c r="M7360" s="94">
        <f>VLOOKUP($Q7360,매칭테이블!$F:$I,2,0)*K7360</f>
        <v/>
      </c>
      <c r="N7360" s="94">
        <f>M7360-M7360*VLOOKUP($Q7360,매칭테이블!$F:$I,3,0)</f>
        <v/>
      </c>
      <c r="O7360" s="94">
        <f>VLOOKUP($Q7360,매칭테이블!$F:$I,4,0)*K7360</f>
        <v/>
      </c>
      <c r="P7360" s="148">
        <f>M7360/1.1</f>
        <v/>
      </c>
      <c r="Q7360" s="94">
        <f>F7360&amp;E7360&amp;G7360&amp;L7360</f>
        <v/>
      </c>
    </row>
    <row r="7361" customFormat="1" s="94">
      <c r="B7361" s="128" t="n">
        <v>44014</v>
      </c>
      <c r="C7361" s="94">
        <f>TEXT(B7361,"aaa")</f>
        <v/>
      </c>
      <c r="E7361" s="94" t="inlineStr">
        <is>
          <t>토너</t>
        </is>
      </c>
      <c r="F7361" s="5" t="inlineStr">
        <is>
          <t>카페24</t>
        </is>
      </c>
      <c r="G7361" s="94" t="inlineStr">
        <is>
          <t>250ml 2set</t>
        </is>
      </c>
      <c r="H7361" s="7" t="n">
        <v>190801</v>
      </c>
      <c r="I7361" s="7" t="n">
        <v>190801</v>
      </c>
      <c r="K7361" s="94" t="n">
        <v>40</v>
      </c>
      <c r="L7361" s="7" t="n">
        <v>190801</v>
      </c>
      <c r="M7361" s="94">
        <f>VLOOKUP($Q7361,매칭테이블!$F:$I,2,0)*K7361</f>
        <v/>
      </c>
      <c r="N7361" s="94">
        <f>M7361-M7361*VLOOKUP($Q7361,매칭테이블!$F:$I,3,0)</f>
        <v/>
      </c>
      <c r="O7361" s="94">
        <f>VLOOKUP($Q7361,매칭테이블!$F:$I,4,0)*K7361</f>
        <v/>
      </c>
      <c r="P7361" s="148">
        <f>M7361/1.1</f>
        <v/>
      </c>
      <c r="Q7361" s="94">
        <f>F7361&amp;E7361&amp;G7361&amp;L7361</f>
        <v/>
      </c>
    </row>
    <row r="7362" customFormat="1" s="94">
      <c r="B7362" s="128" t="n">
        <v>44014</v>
      </c>
      <c r="C7362" s="94">
        <f>TEXT(B7362,"aaa")</f>
        <v/>
      </c>
      <c r="E7362" s="94" t="inlineStr">
        <is>
          <t>토너</t>
        </is>
      </c>
      <c r="F7362" s="5" t="inlineStr">
        <is>
          <t>카페24</t>
        </is>
      </c>
      <c r="G7362" s="94" t="inlineStr">
        <is>
          <t>500ml</t>
        </is>
      </c>
      <c r="H7362" s="7" t="n">
        <v>190801</v>
      </c>
      <c r="I7362" s="7" t="n">
        <v>190801</v>
      </c>
      <c r="K7362" s="94" t="n">
        <v>68</v>
      </c>
      <c r="L7362" s="7" t="n">
        <v>190801</v>
      </c>
      <c r="M7362" s="94">
        <f>VLOOKUP($Q7362,매칭테이블!$F:$I,2,0)*K7362</f>
        <v/>
      </c>
      <c r="N7362" s="94">
        <f>M7362-M7362*VLOOKUP($Q7362,매칭테이블!$F:$I,3,0)</f>
        <v/>
      </c>
      <c r="O7362" s="94">
        <f>VLOOKUP($Q7362,매칭테이블!$F:$I,4,0)*K7362</f>
        <v/>
      </c>
      <c r="P7362" s="148">
        <f>M7362/1.1</f>
        <v/>
      </c>
      <c r="Q7362" s="94">
        <f>F7362&amp;E7362&amp;G7362&amp;L7362</f>
        <v/>
      </c>
    </row>
    <row r="7363" customFormat="1" s="94">
      <c r="B7363" s="128" t="n">
        <v>44014</v>
      </c>
      <c r="C7363" s="94">
        <f>TEXT(B7363,"aaa")</f>
        <v/>
      </c>
      <c r="E7363" s="94" t="inlineStr">
        <is>
          <t>토너</t>
        </is>
      </c>
      <c r="F7363" s="5" t="inlineStr">
        <is>
          <t>카페24</t>
        </is>
      </c>
      <c r="G7363" s="94" t="inlineStr">
        <is>
          <t>스킨팩 화장솜 60P</t>
        </is>
      </c>
      <c r="H7363" s="7" t="n">
        <v>190801</v>
      </c>
      <c r="I7363" s="7" t="n">
        <v>190801</v>
      </c>
      <c r="K7363" s="94" t="n">
        <v>60</v>
      </c>
      <c r="L7363" s="7" t="n">
        <v>190801</v>
      </c>
      <c r="M7363" s="94">
        <f>VLOOKUP($Q7363,매칭테이블!$F:$I,2,0)*K7363</f>
        <v/>
      </c>
      <c r="N7363" s="94">
        <f>M7363-M7363*VLOOKUP($Q7363,매칭테이블!$F:$I,3,0)</f>
        <v/>
      </c>
      <c r="O7363" s="94">
        <f>VLOOKUP($Q7363,매칭테이블!$F:$I,4,0)*K7363</f>
        <v/>
      </c>
      <c r="P7363" s="148">
        <f>M7363/1.1</f>
        <v/>
      </c>
      <c r="Q7363" s="94">
        <f>F7363&amp;E7363&amp;G7363&amp;L7363</f>
        <v/>
      </c>
    </row>
    <row r="7364" customFormat="1" s="94">
      <c r="B7364" s="128" t="n">
        <v>44014</v>
      </c>
      <c r="C7364" s="94">
        <f>TEXT(B7364,"aaa")</f>
        <v/>
      </c>
      <c r="E7364" s="94" t="inlineStr">
        <is>
          <t>앰플</t>
        </is>
      </c>
      <c r="F7364" s="5" t="inlineStr">
        <is>
          <t>카페24</t>
        </is>
      </c>
      <c r="G7364" s="94" t="inlineStr">
        <is>
          <t>앰플 30ml</t>
        </is>
      </c>
      <c r="H7364" s="7" t="n">
        <v>190801</v>
      </c>
      <c r="I7364" s="7" t="n">
        <v>190801</v>
      </c>
      <c r="K7364" s="94" t="n">
        <v>21</v>
      </c>
      <c r="L7364" s="7" t="n">
        <v>190801</v>
      </c>
      <c r="M7364" s="94">
        <f>VLOOKUP($Q7364,매칭테이블!$F:$I,2,0)*K7364</f>
        <v/>
      </c>
      <c r="N7364" s="94">
        <f>M7364-M7364*VLOOKUP($Q7364,매칭테이블!$F:$I,3,0)</f>
        <v/>
      </c>
      <c r="O7364" s="94">
        <f>VLOOKUP($Q7364,매칭테이블!$F:$I,4,0)*K7364</f>
        <v/>
      </c>
      <c r="P7364" s="148">
        <f>M7364/1.1</f>
        <v/>
      </c>
      <c r="Q7364" s="94">
        <f>F7364&amp;E7364&amp;G7364&amp;L7364</f>
        <v/>
      </c>
    </row>
    <row r="7365" customFormat="1" s="94">
      <c r="B7365" s="128" t="n">
        <v>44014</v>
      </c>
      <c r="C7365" s="94">
        <f>TEXT(B7365,"aaa")</f>
        <v/>
      </c>
      <c r="E7365" s="94" t="inlineStr">
        <is>
          <t>수딩크림</t>
        </is>
      </c>
      <c r="F7365" s="5" t="inlineStr">
        <is>
          <t>카페24</t>
        </is>
      </c>
      <c r="G7365" s="94" t="inlineStr">
        <is>
          <t>수딩크림 100ml</t>
        </is>
      </c>
      <c r="H7365" s="7" t="n">
        <v>190801</v>
      </c>
      <c r="I7365" s="7" t="n">
        <v>190801</v>
      </c>
      <c r="K7365" s="94" t="n">
        <v>2</v>
      </c>
      <c r="L7365" s="7" t="n">
        <v>190801</v>
      </c>
      <c r="M7365" s="94">
        <f>VLOOKUP($Q7365,매칭테이블!$F:$I,2,0)*K7365</f>
        <v/>
      </c>
      <c r="N7365" s="94">
        <f>M7365-M7365*VLOOKUP($Q7365,매칭테이블!$F:$I,3,0)</f>
        <v/>
      </c>
      <c r="O7365" s="94">
        <f>VLOOKUP($Q7365,매칭테이블!$F:$I,4,0)*K7365</f>
        <v/>
      </c>
      <c r="P7365" s="148">
        <f>M7365/1.1</f>
        <v/>
      </c>
      <c r="Q7365" s="94">
        <f>F7365&amp;E7365&amp;G7365&amp;L7365</f>
        <v/>
      </c>
    </row>
    <row r="7366" customFormat="1" s="94">
      <c r="B7366" s="128" t="n">
        <v>44014</v>
      </c>
      <c r="C7366" s="94">
        <f>TEXT(B7366,"aaa")</f>
        <v/>
      </c>
      <c r="E7366" s="94" t="inlineStr">
        <is>
          <t>클렌징폼</t>
        </is>
      </c>
      <c r="F7366" s="5" t="inlineStr">
        <is>
          <t>카페24</t>
        </is>
      </c>
      <c r="G7366" s="94" t="inlineStr">
        <is>
          <t>클렌징폼 120ml</t>
        </is>
      </c>
      <c r="H7366" s="7" t="n">
        <v>190801</v>
      </c>
      <c r="I7366" s="7" t="n">
        <v>190801</v>
      </c>
      <c r="K7366" s="94" t="n">
        <v>8</v>
      </c>
      <c r="L7366" s="7" t="n">
        <v>190801</v>
      </c>
      <c r="M7366" s="94">
        <f>VLOOKUP($Q7366,매칭테이블!$F:$I,2,0)*K7366</f>
        <v/>
      </c>
      <c r="N7366" s="94">
        <f>M7366-M7366*VLOOKUP($Q7366,매칭테이블!$F:$I,3,0)</f>
        <v/>
      </c>
      <c r="O7366" s="94">
        <f>VLOOKUP($Q7366,매칭테이블!$F:$I,4,0)*K7366</f>
        <v/>
      </c>
      <c r="P7366" s="148">
        <f>M7366/1.1</f>
        <v/>
      </c>
      <c r="Q7366" s="94">
        <f>F7366&amp;E7366&amp;G7366&amp;L7366</f>
        <v/>
      </c>
    </row>
    <row r="7367" customFormat="1" s="94">
      <c r="B7367" s="128" t="n">
        <v>44014</v>
      </c>
      <c r="C7367" s="94">
        <f>TEXT(B7367,"aaa")</f>
        <v/>
      </c>
      <c r="E7367" s="94" t="inlineStr">
        <is>
          <t>클렌징폼</t>
        </is>
      </c>
      <c r="F7367" s="5" t="inlineStr">
        <is>
          <t>카페24</t>
        </is>
      </c>
      <c r="G7367" s="94" t="inlineStr">
        <is>
          <t>클렌징폼 120ml 2set</t>
        </is>
      </c>
      <c r="H7367" s="7" t="n">
        <v>190801</v>
      </c>
      <c r="I7367" s="7" t="n">
        <v>190801</v>
      </c>
      <c r="K7367" s="94" t="n">
        <v>1</v>
      </c>
      <c r="L7367" s="7" t="n">
        <v>190801</v>
      </c>
      <c r="M7367" s="94">
        <f>VLOOKUP($Q7367,매칭테이블!$F:$I,2,0)*K7367</f>
        <v/>
      </c>
      <c r="N7367" s="94">
        <f>M7367-M7367*VLOOKUP($Q7367,매칭테이블!$F:$I,3,0)</f>
        <v/>
      </c>
      <c r="O7367" s="94">
        <f>VLOOKUP($Q7367,매칭테이블!$F:$I,4,0)*K7367</f>
        <v/>
      </c>
      <c r="P7367" s="148">
        <f>M7367/1.1</f>
        <v/>
      </c>
      <c r="Q7367" s="94">
        <f>F7367&amp;E7367&amp;G7367&amp;L7367</f>
        <v/>
      </c>
    </row>
    <row r="7368" customFormat="1" s="94">
      <c r="B7368" s="128" t="n">
        <v>44014</v>
      </c>
      <c r="C7368" s="94">
        <f>TEXT(B7368,"aaa")</f>
        <v/>
      </c>
      <c r="E7368" s="94" t="inlineStr">
        <is>
          <t>클렌징폼</t>
        </is>
      </c>
      <c r="F7368" s="5" t="inlineStr">
        <is>
          <t>카페24</t>
        </is>
      </c>
      <c r="G7368" s="94" t="inlineStr">
        <is>
          <t>클렌징폼 120ml 3set</t>
        </is>
      </c>
      <c r="H7368" s="7" t="n">
        <v>190801</v>
      </c>
      <c r="I7368" s="7" t="n">
        <v>190801</v>
      </c>
      <c r="K7368" s="94" t="n">
        <v>1</v>
      </c>
      <c r="L7368" s="7" t="n">
        <v>190801</v>
      </c>
      <c r="M7368" s="94">
        <f>VLOOKUP($Q7368,매칭테이블!$F:$I,2,0)*K7368</f>
        <v/>
      </c>
      <c r="N7368" s="94">
        <f>M7368-M7368*VLOOKUP($Q7368,매칭테이블!$F:$I,3,0)</f>
        <v/>
      </c>
      <c r="O7368" s="94">
        <f>VLOOKUP($Q7368,매칭테이블!$F:$I,4,0)*K7368</f>
        <v/>
      </c>
      <c r="P7368" s="148">
        <f>M7368/1.1</f>
        <v/>
      </c>
      <c r="Q7368" s="94">
        <f>F7368&amp;E7368&amp;G7368&amp;L7368</f>
        <v/>
      </c>
    </row>
    <row r="7369" customFormat="1" s="94">
      <c r="B7369" s="128" t="n">
        <v>44014</v>
      </c>
      <c r="C7369" s="94">
        <f>TEXT(B7369,"aaa")</f>
        <v/>
      </c>
      <c r="E7369" s="94" t="inlineStr">
        <is>
          <t>토너</t>
        </is>
      </c>
      <c r="F7369" s="5" t="inlineStr">
        <is>
          <t>큐텐</t>
        </is>
      </c>
      <c r="G7369" s="94" t="inlineStr">
        <is>
          <t>250ml</t>
        </is>
      </c>
      <c r="H7369" s="7" t="n">
        <v>190801</v>
      </c>
      <c r="I7369" s="7" t="n">
        <v>190801</v>
      </c>
      <c r="K7369" s="94" t="n">
        <v>8</v>
      </c>
      <c r="L7369" s="7" t="n">
        <v>190801</v>
      </c>
      <c r="M7369" s="94">
        <f>VLOOKUP($Q7369,매칭테이블!$F:$I,2,0)*K7369</f>
        <v/>
      </c>
      <c r="N7369" s="94">
        <f>M7369-M7369*VLOOKUP($Q7369,매칭테이블!$F:$I,3,0)</f>
        <v/>
      </c>
      <c r="O7369" s="94">
        <f>VLOOKUP($Q7369,매칭테이블!$F:$I,4,0)*K7369</f>
        <v/>
      </c>
      <c r="P7369" s="148">
        <f>M7369/1.1</f>
        <v/>
      </c>
      <c r="Q7369" s="94">
        <f>F7369&amp;E7369&amp;G7369&amp;L7369</f>
        <v/>
      </c>
    </row>
    <row r="7370" customFormat="1" s="94">
      <c r="B7370" s="128" t="n">
        <v>44014</v>
      </c>
      <c r="C7370" s="94">
        <f>TEXT(B7370,"aaa")</f>
        <v/>
      </c>
      <c r="E7370" s="94" t="inlineStr">
        <is>
          <t>토너</t>
        </is>
      </c>
      <c r="F7370" s="5" t="inlineStr">
        <is>
          <t>큐텐</t>
        </is>
      </c>
      <c r="G7370" s="94" t="inlineStr">
        <is>
          <t>250ml 2set</t>
        </is>
      </c>
      <c r="H7370" s="7" t="n">
        <v>190801</v>
      </c>
      <c r="I7370" s="7" t="n">
        <v>190801</v>
      </c>
      <c r="K7370" s="94" t="n">
        <v>8</v>
      </c>
      <c r="L7370" s="7" t="n">
        <v>190801</v>
      </c>
      <c r="M7370" s="94">
        <f>VLOOKUP($Q7370,매칭테이블!$F:$I,2,0)*K7370</f>
        <v/>
      </c>
      <c r="N7370" s="94">
        <f>M7370-M7370*VLOOKUP($Q7370,매칭테이블!$F:$I,3,0)</f>
        <v/>
      </c>
      <c r="O7370" s="94">
        <f>VLOOKUP($Q7370,매칭테이블!$F:$I,4,0)*K7370</f>
        <v/>
      </c>
      <c r="P7370" s="148">
        <f>M7370/1.1</f>
        <v/>
      </c>
      <c r="Q7370" s="94">
        <f>F7370&amp;E7370&amp;G7370&amp;L7370</f>
        <v/>
      </c>
    </row>
    <row r="7371" customFormat="1" s="94">
      <c r="B7371" s="128" t="n">
        <v>44014</v>
      </c>
      <c r="C7371" s="94">
        <f>TEXT(B7371,"aaa")</f>
        <v/>
      </c>
      <c r="E7371" s="94" t="inlineStr">
        <is>
          <t>앰플</t>
        </is>
      </c>
      <c r="F7371" s="5" t="inlineStr">
        <is>
          <t>큐텐</t>
        </is>
      </c>
      <c r="G7371" s="94" t="inlineStr">
        <is>
          <t>앰플 30ml</t>
        </is>
      </c>
      <c r="H7371" s="7" t="n">
        <v>190801</v>
      </c>
      <c r="I7371" s="7" t="n">
        <v>190801</v>
      </c>
      <c r="K7371" s="94" t="n">
        <v>1</v>
      </c>
      <c r="L7371" s="7" t="n">
        <v>190801</v>
      </c>
      <c r="M7371" s="94">
        <f>VLOOKUP($Q7371,매칭테이블!$F:$I,2,0)*K7371</f>
        <v/>
      </c>
      <c r="N7371" s="94">
        <f>M7371-M7371*VLOOKUP($Q7371,매칭테이블!$F:$I,3,0)</f>
        <v/>
      </c>
      <c r="O7371" s="94">
        <f>VLOOKUP($Q7371,매칭테이블!$F:$I,4,0)*K7371</f>
        <v/>
      </c>
      <c r="P7371" s="148">
        <f>M7371/1.1</f>
        <v/>
      </c>
      <c r="Q7371" s="94">
        <f>F7371&amp;E7371&amp;G7371&amp;L7371</f>
        <v/>
      </c>
    </row>
    <row r="7372" customFormat="1" s="94">
      <c r="B7372" s="128" t="n">
        <v>44014</v>
      </c>
      <c r="C7372" s="94">
        <f>TEXT(B7372,"aaa")</f>
        <v/>
      </c>
      <c r="E7372" s="94" t="inlineStr">
        <is>
          <t>선크림</t>
        </is>
      </c>
      <c r="F7372" s="5" t="inlineStr">
        <is>
          <t>아누아 CS</t>
        </is>
      </c>
      <c r="G7372" s="94" t="inlineStr">
        <is>
          <t>선크림 50ml</t>
        </is>
      </c>
      <c r="H7372" s="7" t="n">
        <v>190801</v>
      </c>
      <c r="I7372" s="7" t="n">
        <v>190801</v>
      </c>
      <c r="K7372" s="94" t="n">
        <v>5</v>
      </c>
      <c r="L7372" s="7" t="n">
        <v>190801</v>
      </c>
      <c r="M7372" s="94">
        <f>VLOOKUP($Q7372,매칭테이블!$F:$I,2,0)*K7372</f>
        <v/>
      </c>
      <c r="N7372" s="94">
        <f>M7372-M7372*VLOOKUP($Q7372,매칭테이블!$F:$I,3,0)</f>
        <v/>
      </c>
      <c r="O7372" s="94">
        <f>VLOOKUP($Q7372,매칭테이블!$F:$I,4,0)*K7372</f>
        <v/>
      </c>
      <c r="P7372" s="148">
        <f>M7372/1.1</f>
        <v/>
      </c>
      <c r="Q7372" s="94">
        <f>F7372&amp;E7372&amp;G7372&amp;L7372</f>
        <v/>
      </c>
    </row>
    <row r="7373" customFormat="1" s="94">
      <c r="B7373" s="128" t="n">
        <v>44014</v>
      </c>
      <c r="C7373" s="94">
        <f>TEXT(B7373,"aaa")</f>
        <v/>
      </c>
      <c r="E7373" s="94" t="inlineStr">
        <is>
          <t>토너</t>
        </is>
      </c>
      <c r="F7373" s="5" t="inlineStr">
        <is>
          <t>화해</t>
        </is>
      </c>
      <c r="G7373" s="94" t="inlineStr">
        <is>
          <t>250ml</t>
        </is>
      </c>
      <c r="H7373" s="7" t="n">
        <v>190801</v>
      </c>
      <c r="I7373" s="7" t="n">
        <v>190801</v>
      </c>
      <c r="K7373" s="94" t="n">
        <v>2</v>
      </c>
      <c r="L7373" s="7" t="n">
        <v>190801</v>
      </c>
      <c r="M7373" s="94">
        <f>VLOOKUP($Q7373,매칭테이블!$F:$I,2,0)*K7373</f>
        <v/>
      </c>
      <c r="N7373" s="94">
        <f>M7373-M7373*VLOOKUP($Q7373,매칭테이블!$F:$I,3,0)</f>
        <v/>
      </c>
      <c r="O7373" s="94">
        <f>VLOOKUP($Q7373,매칭테이블!$F:$I,4,0)*K7373</f>
        <v/>
      </c>
      <c r="P7373" s="148">
        <f>M7373/1.1</f>
        <v/>
      </c>
      <c r="Q7373" s="94">
        <f>F7373&amp;E7373&amp;G7373&amp;L7373</f>
        <v/>
      </c>
    </row>
    <row r="7374" customFormat="1" s="94">
      <c r="B7374" s="128" t="n">
        <v>44015</v>
      </c>
      <c r="C7374" s="94">
        <f>TEXT(B7374,"aaa")</f>
        <v/>
      </c>
      <c r="E7374" s="6" t="inlineStr">
        <is>
          <t>토너</t>
        </is>
      </c>
      <c r="F7374" s="5" t="inlineStr">
        <is>
          <t>W컨셉</t>
        </is>
      </c>
      <c r="G7374" s="5" t="inlineStr">
        <is>
          <t>250ml</t>
        </is>
      </c>
      <c r="H7374" s="7" t="n">
        <v>190801</v>
      </c>
      <c r="I7374" s="7" t="n">
        <v>190801</v>
      </c>
      <c r="K7374" s="6" t="n">
        <v>2</v>
      </c>
      <c r="L7374" s="7" t="n">
        <v>190801</v>
      </c>
      <c r="M7374" s="94">
        <f>VLOOKUP($Q7374,매칭테이블!$F:$I,2,0)*K7374</f>
        <v/>
      </c>
      <c r="N7374" s="94">
        <f>M7374-M7374*VLOOKUP($Q7374,매칭테이블!$F:$I,3,0)</f>
        <v/>
      </c>
      <c r="O7374" s="94">
        <f>VLOOKUP($Q7374,매칭테이블!$F:$I,4,0)*K7374</f>
        <v/>
      </c>
      <c r="P7374" s="148">
        <f>M7374/1.1</f>
        <v/>
      </c>
      <c r="Q7374" s="94">
        <f>F7374&amp;E7374&amp;G7374&amp;L7374</f>
        <v/>
      </c>
    </row>
    <row r="7375" customFormat="1" s="94">
      <c r="B7375" s="128" t="n">
        <v>44015</v>
      </c>
      <c r="C7375" s="94">
        <f>TEXT(B7375,"aaa")</f>
        <v/>
      </c>
      <c r="E7375" s="6" t="inlineStr">
        <is>
          <t>토너</t>
        </is>
      </c>
      <c r="F7375" s="5" t="inlineStr">
        <is>
          <t>W컨셉</t>
        </is>
      </c>
      <c r="G7375" s="5" t="inlineStr">
        <is>
          <t>250ml 2set</t>
        </is>
      </c>
      <c r="H7375" s="7" t="n">
        <v>190801</v>
      </c>
      <c r="I7375" s="7" t="n">
        <v>190801</v>
      </c>
      <c r="K7375" s="6" t="n">
        <v>5</v>
      </c>
      <c r="L7375" s="7" t="n">
        <v>190801</v>
      </c>
      <c r="M7375" s="94">
        <f>VLOOKUP($Q7375,매칭테이블!$F:$I,2,0)*K7375</f>
        <v/>
      </c>
      <c r="N7375" s="94">
        <f>M7375-M7375*VLOOKUP($Q7375,매칭테이블!$F:$I,3,0)</f>
        <v/>
      </c>
      <c r="O7375" s="94">
        <f>VLOOKUP($Q7375,매칭테이블!$F:$I,4,0)*K7375</f>
        <v/>
      </c>
      <c r="P7375" s="148">
        <f>M7375/1.1</f>
        <v/>
      </c>
      <c r="Q7375" s="94">
        <f>F7375&amp;E7375&amp;G7375&amp;L7375</f>
        <v/>
      </c>
    </row>
    <row r="7376" customFormat="1" s="94">
      <c r="B7376" s="128" t="n">
        <v>44015</v>
      </c>
      <c r="C7376" s="94">
        <f>TEXT(B7376,"aaa")</f>
        <v/>
      </c>
      <c r="E7376" s="94" t="inlineStr">
        <is>
          <t>토너</t>
        </is>
      </c>
      <c r="F7376" s="5" t="inlineStr">
        <is>
          <t>스타일쉐어</t>
        </is>
      </c>
      <c r="G7376" s="94" t="inlineStr">
        <is>
          <t>250ml</t>
        </is>
      </c>
      <c r="H7376" s="7" t="n">
        <v>190801</v>
      </c>
      <c r="I7376" s="7" t="n">
        <v>190801</v>
      </c>
      <c r="K7376" s="6" t="n">
        <v>21</v>
      </c>
      <c r="L7376" s="7" t="n">
        <v>190801</v>
      </c>
      <c r="M7376" s="94">
        <f>VLOOKUP($Q7376,매칭테이블!$F:$I,2,0)*K7376</f>
        <v/>
      </c>
      <c r="N7376" s="94">
        <f>M7376-M7376*VLOOKUP($Q7376,매칭테이블!$F:$I,3,0)</f>
        <v/>
      </c>
      <c r="O7376" s="94">
        <f>VLOOKUP($Q7376,매칭테이블!$F:$I,4,0)*K7376</f>
        <v/>
      </c>
      <c r="P7376" s="148">
        <f>M7376/1.1</f>
        <v/>
      </c>
      <c r="Q7376" s="94">
        <f>F7376&amp;E7376&amp;G7376&amp;L7376</f>
        <v/>
      </c>
    </row>
    <row r="7377" customFormat="1" s="94">
      <c r="B7377" s="128" t="n">
        <v>44015</v>
      </c>
      <c r="C7377" s="94">
        <f>TEXT(B7377,"aaa")</f>
        <v/>
      </c>
      <c r="E7377" s="94" t="inlineStr">
        <is>
          <t>선크림</t>
        </is>
      </c>
      <c r="F7377" s="94" t="inlineStr">
        <is>
          <t>카페24</t>
        </is>
      </c>
      <c r="G7377" s="94" t="inlineStr">
        <is>
          <t>선크림 50ml</t>
        </is>
      </c>
      <c r="H7377" s="7" t="n">
        <v>190801</v>
      </c>
      <c r="I7377" s="7" t="n">
        <v>190801</v>
      </c>
      <c r="K7377" s="6" t="n">
        <v>2</v>
      </c>
      <c r="L7377" s="7" t="n">
        <v>190801</v>
      </c>
      <c r="M7377" s="94">
        <f>VLOOKUP($Q7377,매칭테이블!$F:$I,2,0)*K7377</f>
        <v/>
      </c>
      <c r="N7377" s="94">
        <f>M7377-M7377*VLOOKUP($Q7377,매칭테이블!$F:$I,3,0)</f>
        <v/>
      </c>
      <c r="O7377" s="94">
        <f>VLOOKUP($Q7377,매칭테이블!$F:$I,4,0)*K7377</f>
        <v/>
      </c>
      <c r="P7377" s="148">
        <f>M7377/1.1</f>
        <v/>
      </c>
      <c r="Q7377" s="94">
        <f>F7377&amp;E7377&amp;G7377&amp;L7377</f>
        <v/>
      </c>
    </row>
    <row r="7378" customFormat="1" s="94">
      <c r="B7378" s="128" t="n">
        <v>44015</v>
      </c>
      <c r="C7378" s="94">
        <f>TEXT(B7378,"aaa")</f>
        <v/>
      </c>
      <c r="E7378" s="6" t="inlineStr">
        <is>
          <t>선크림</t>
        </is>
      </c>
      <c r="F7378" s="5" t="inlineStr">
        <is>
          <t>카페24</t>
        </is>
      </c>
      <c r="G7378" s="5" t="inlineStr">
        <is>
          <t>선크림 50ml  2set</t>
        </is>
      </c>
      <c r="H7378" s="7" t="n">
        <v>190801</v>
      </c>
      <c r="I7378" s="7" t="n">
        <v>190801</v>
      </c>
      <c r="K7378" s="6" t="n">
        <v>2</v>
      </c>
      <c r="L7378" s="6" t="n">
        <v>190801</v>
      </c>
      <c r="M7378" s="94">
        <f>VLOOKUP($Q7378,매칭테이블!$F:$I,2,0)*K7378</f>
        <v/>
      </c>
      <c r="N7378" s="94">
        <f>M7378-M7378*VLOOKUP($Q7378,매칭테이블!$F:$I,3,0)</f>
        <v/>
      </c>
      <c r="O7378" s="94">
        <f>VLOOKUP($Q7378,매칭테이블!$F:$I,4,0)*K7378</f>
        <v/>
      </c>
      <c r="P7378" s="148">
        <f>M7378/1.1</f>
        <v/>
      </c>
      <c r="Q7378" s="94">
        <f>F7378&amp;E7378&amp;G7378&amp;L7378</f>
        <v/>
      </c>
    </row>
    <row r="7379" customFormat="1" s="94">
      <c r="B7379" s="128" t="n">
        <v>44015</v>
      </c>
      <c r="C7379" s="94">
        <f>TEXT(B7379,"aaa")</f>
        <v/>
      </c>
      <c r="E7379" s="94" t="inlineStr">
        <is>
          <t>여름 한정 진정세트</t>
        </is>
      </c>
      <c r="F7379" s="94" t="inlineStr">
        <is>
          <t>카페24</t>
        </is>
      </c>
      <c r="G7379" s="94" t="inlineStr">
        <is>
          <t>여름 한정 진정세트</t>
        </is>
      </c>
      <c r="H7379" s="7" t="n">
        <v>190801</v>
      </c>
      <c r="I7379" s="7" t="n">
        <v>190801</v>
      </c>
      <c r="K7379" s="6" t="n">
        <v>2</v>
      </c>
      <c r="L7379" s="92" t="n">
        <v>190801</v>
      </c>
      <c r="M7379" s="94">
        <f>VLOOKUP($Q7379,매칭테이블!$F:$I,2,0)*K7379</f>
        <v/>
      </c>
      <c r="N7379" s="94">
        <f>M7379-M7379*VLOOKUP($Q7379,매칭테이블!$F:$I,3,0)</f>
        <v/>
      </c>
      <c r="O7379" s="94">
        <f>VLOOKUP($Q7379,매칭테이블!$F:$I,4,0)*K7379</f>
        <v/>
      </c>
      <c r="P7379" s="148">
        <f>M7379/1.1</f>
        <v/>
      </c>
      <c r="Q7379" s="94">
        <f>F7379&amp;E7379&amp;G7379&amp;L7379</f>
        <v/>
      </c>
    </row>
    <row r="7380" customFormat="1" s="94">
      <c r="B7380" s="128" t="n">
        <v>44015</v>
      </c>
      <c r="C7380" s="94">
        <f>TEXT(B7380,"aaa")</f>
        <v/>
      </c>
      <c r="E7380" s="94" t="inlineStr">
        <is>
          <t>여름 한정 진정세트</t>
        </is>
      </c>
      <c r="F7380" s="94" t="inlineStr">
        <is>
          <t>카페24</t>
        </is>
      </c>
      <c r="G7380" s="94" t="inlineStr">
        <is>
          <t>여름 한정 진정세트 (대용량)</t>
        </is>
      </c>
      <c r="H7380" s="7" t="n">
        <v>190801</v>
      </c>
      <c r="I7380" s="7" t="n">
        <v>190801</v>
      </c>
      <c r="K7380" s="6" t="n">
        <v>2</v>
      </c>
      <c r="L7380" s="92" t="n">
        <v>190801</v>
      </c>
      <c r="M7380" s="94">
        <f>VLOOKUP($Q7380,매칭테이블!$F:$I,2,0)*K7380</f>
        <v/>
      </c>
      <c r="N7380" s="94">
        <f>M7380-M7380*VLOOKUP($Q7380,매칭테이블!$F:$I,3,0)</f>
        <v/>
      </c>
      <c r="O7380" s="94">
        <f>VLOOKUP($Q7380,매칭테이블!$F:$I,4,0)*K7380</f>
        <v/>
      </c>
      <c r="P7380" s="148">
        <f>M7380/1.1</f>
        <v/>
      </c>
      <c r="Q7380" s="94">
        <f>F7380&amp;E7380&amp;G7380&amp;L7380</f>
        <v/>
      </c>
    </row>
    <row r="7381" customFormat="1" s="94">
      <c r="B7381" s="128" t="n">
        <v>44015</v>
      </c>
      <c r="C7381" s="94">
        <f>TEXT(B7381,"aaa")</f>
        <v/>
      </c>
      <c r="E7381" s="94" t="inlineStr">
        <is>
          <t>어성초진정패키지</t>
        </is>
      </c>
      <c r="F7381" s="94" t="inlineStr">
        <is>
          <t>카페24</t>
        </is>
      </c>
      <c r="G7381" s="94" t="inlineStr">
        <is>
          <t>어성초 진정패키지세트</t>
        </is>
      </c>
      <c r="H7381" s="7" t="n">
        <v>190801</v>
      </c>
      <c r="I7381" s="7" t="n">
        <v>190801</v>
      </c>
      <c r="K7381" s="6" t="n">
        <v>6</v>
      </c>
      <c r="L7381" s="94" t="n">
        <v>190801</v>
      </c>
      <c r="M7381" s="94">
        <f>VLOOKUP($Q7381,매칭테이블!$F:$I,2,0)*K7381</f>
        <v/>
      </c>
      <c r="N7381" s="94">
        <f>M7381-M7381*VLOOKUP($Q7381,매칭테이블!$F:$I,3,0)</f>
        <v/>
      </c>
      <c r="O7381" s="94">
        <f>VLOOKUP($Q7381,매칭테이블!$F:$I,4,0)*K7381</f>
        <v/>
      </c>
      <c r="P7381" s="148">
        <f>M7381/1.1</f>
        <v/>
      </c>
      <c r="Q7381" s="94">
        <f>F7381&amp;E7381&amp;G7381&amp;L7381</f>
        <v/>
      </c>
    </row>
    <row r="7382" customFormat="1" s="94">
      <c r="B7382" s="128" t="n">
        <v>44015</v>
      </c>
      <c r="C7382" s="94">
        <f>TEXT(B7382,"aaa")</f>
        <v/>
      </c>
      <c r="E7382" s="94" t="inlineStr">
        <is>
          <t>머드크림마스크</t>
        </is>
      </c>
      <c r="F7382" s="94" t="inlineStr">
        <is>
          <t>카페24</t>
        </is>
      </c>
      <c r="G7382" s="94" t="inlineStr">
        <is>
          <t>머드크림마스크 100ml</t>
        </is>
      </c>
      <c r="H7382" s="7" t="n">
        <v>190801</v>
      </c>
      <c r="I7382" s="7" t="n">
        <v>190801</v>
      </c>
      <c r="K7382" s="6" t="n">
        <v>4</v>
      </c>
      <c r="L7382" s="94" t="n">
        <v>190801</v>
      </c>
      <c r="M7382" s="94">
        <f>VLOOKUP($Q7382,매칭테이블!$F:$I,2,0)*K7382</f>
        <v/>
      </c>
      <c r="N7382" s="94">
        <f>M7382-M7382*VLOOKUP($Q7382,매칭테이블!$F:$I,3,0)</f>
        <v/>
      </c>
      <c r="O7382" s="94">
        <f>VLOOKUP($Q7382,매칭테이블!$F:$I,4,0)*K7382</f>
        <v/>
      </c>
      <c r="P7382" s="148">
        <f>M7382/1.1</f>
        <v/>
      </c>
      <c r="Q7382" s="94">
        <f>F7382&amp;E7382&amp;G7382&amp;L7382</f>
        <v/>
      </c>
    </row>
    <row r="7383" customFormat="1" s="94">
      <c r="B7383" s="128" t="n">
        <v>44015</v>
      </c>
      <c r="C7383" s="94">
        <f>TEXT(B7383,"aaa")</f>
        <v/>
      </c>
      <c r="E7383" s="94" t="inlineStr">
        <is>
          <t>마스크팩</t>
        </is>
      </c>
      <c r="F7383" s="94" t="inlineStr">
        <is>
          <t>카페24</t>
        </is>
      </c>
      <c r="G7383" s="94" t="inlineStr">
        <is>
          <t>마스크팩 1매</t>
        </is>
      </c>
      <c r="H7383" s="7" t="n">
        <v>190801</v>
      </c>
      <c r="I7383" s="7" t="n">
        <v>190801</v>
      </c>
      <c r="K7383" s="6" t="n">
        <v>3</v>
      </c>
      <c r="L7383" s="94" t="n">
        <v>190801</v>
      </c>
      <c r="M7383" s="94">
        <f>VLOOKUP($Q7383,매칭테이블!$F:$I,2,0)*K7383</f>
        <v/>
      </c>
      <c r="N7383" s="94">
        <f>M7383-M7383*VLOOKUP($Q7383,매칭테이블!$F:$I,3,0)</f>
        <v/>
      </c>
      <c r="O7383" s="94">
        <f>VLOOKUP($Q7383,매칭테이블!$F:$I,4,0)*K7383</f>
        <v/>
      </c>
      <c r="P7383" s="148">
        <f>M7383/1.1</f>
        <v/>
      </c>
      <c r="Q7383" s="94">
        <f>F7383&amp;E7383&amp;G7383&amp;L7383</f>
        <v/>
      </c>
    </row>
    <row r="7384" customFormat="1" s="94">
      <c r="B7384" s="128" t="n">
        <v>44015</v>
      </c>
      <c r="C7384" s="94">
        <f>TEXT(B7384,"aaa")</f>
        <v/>
      </c>
      <c r="E7384" s="6" t="inlineStr">
        <is>
          <t>토너</t>
        </is>
      </c>
      <c r="F7384" s="5" t="inlineStr">
        <is>
          <t>카페24</t>
        </is>
      </c>
      <c r="G7384" s="5" t="inlineStr">
        <is>
          <t>250ml</t>
        </is>
      </c>
      <c r="H7384" s="7" t="n">
        <v>190801</v>
      </c>
      <c r="I7384" s="7" t="n">
        <v>190801</v>
      </c>
      <c r="K7384" s="6" t="n">
        <v>49</v>
      </c>
      <c r="L7384" s="7" t="n">
        <v>190801</v>
      </c>
      <c r="M7384" s="94">
        <f>VLOOKUP($Q7384,매칭테이블!$F:$I,2,0)*K7384</f>
        <v/>
      </c>
      <c r="N7384" s="94">
        <f>M7384-M7384*VLOOKUP($Q7384,매칭테이블!$F:$I,3,0)</f>
        <v/>
      </c>
      <c r="O7384" s="94">
        <f>VLOOKUP($Q7384,매칭테이블!$F:$I,4,0)*K7384</f>
        <v/>
      </c>
      <c r="P7384" s="148">
        <f>M7384/1.1</f>
        <v/>
      </c>
      <c r="Q7384" s="94">
        <f>F7384&amp;E7384&amp;G7384&amp;L7384</f>
        <v/>
      </c>
    </row>
    <row r="7385" customFormat="1" s="94">
      <c r="B7385" s="128" t="n">
        <v>44015</v>
      </c>
      <c r="C7385" s="94">
        <f>TEXT(B7385,"aaa")</f>
        <v/>
      </c>
      <c r="E7385" s="6" t="inlineStr">
        <is>
          <t>토너</t>
        </is>
      </c>
      <c r="F7385" s="5" t="inlineStr">
        <is>
          <t>카페24</t>
        </is>
      </c>
      <c r="G7385" s="5" t="inlineStr">
        <is>
          <t>250ml 2set</t>
        </is>
      </c>
      <c r="H7385" s="7" t="n">
        <v>190801</v>
      </c>
      <c r="I7385" s="7" t="n">
        <v>190801</v>
      </c>
      <c r="K7385" s="6" t="n">
        <v>52</v>
      </c>
      <c r="L7385" s="7" t="n">
        <v>190801</v>
      </c>
      <c r="M7385" s="94">
        <f>VLOOKUP($Q7385,매칭테이블!$F:$I,2,0)*K7385</f>
        <v/>
      </c>
      <c r="N7385" s="94">
        <f>M7385-M7385*VLOOKUP($Q7385,매칭테이블!$F:$I,3,0)</f>
        <v/>
      </c>
      <c r="O7385" s="94">
        <f>VLOOKUP($Q7385,매칭테이블!$F:$I,4,0)*K7385</f>
        <v/>
      </c>
      <c r="P7385" s="148">
        <f>M7385/1.1</f>
        <v/>
      </c>
      <c r="Q7385" s="94">
        <f>F7385&amp;E7385&amp;G7385&amp;L7385</f>
        <v/>
      </c>
    </row>
    <row r="7386" customFormat="1" s="94">
      <c r="B7386" s="128" t="n">
        <v>44015</v>
      </c>
      <c r="C7386" s="94">
        <f>TEXT(B7386,"aaa")</f>
        <v/>
      </c>
      <c r="E7386" s="6" t="inlineStr">
        <is>
          <t>토너</t>
        </is>
      </c>
      <c r="F7386" s="5" t="inlineStr">
        <is>
          <t>카페24</t>
        </is>
      </c>
      <c r="G7386" s="5" t="inlineStr">
        <is>
          <t>500ml</t>
        </is>
      </c>
      <c r="H7386" s="7" t="n">
        <v>190801</v>
      </c>
      <c r="I7386" s="7" t="n">
        <v>190801</v>
      </c>
      <c r="K7386" s="6" t="n">
        <v>44</v>
      </c>
      <c r="L7386" s="7" t="n">
        <v>190801</v>
      </c>
      <c r="M7386" s="94">
        <f>VLOOKUP($Q7386,매칭테이블!$F:$I,2,0)*K7386</f>
        <v/>
      </c>
      <c r="N7386" s="94">
        <f>M7386-M7386*VLOOKUP($Q7386,매칭테이블!$F:$I,3,0)</f>
        <v/>
      </c>
      <c r="O7386" s="94">
        <f>VLOOKUP($Q7386,매칭테이블!$F:$I,4,0)*K7386</f>
        <v/>
      </c>
      <c r="P7386" s="148">
        <f>M7386/1.1</f>
        <v/>
      </c>
      <c r="Q7386" s="94">
        <f>F7386&amp;E7386&amp;G7386&amp;L7386</f>
        <v/>
      </c>
    </row>
    <row r="7387" customFormat="1" s="94">
      <c r="B7387" s="128" t="n">
        <v>44015</v>
      </c>
      <c r="C7387" s="94">
        <f>TEXT(B7387,"aaa")</f>
        <v/>
      </c>
      <c r="E7387" s="6" t="inlineStr">
        <is>
          <t>토너</t>
        </is>
      </c>
      <c r="F7387" s="5" t="inlineStr">
        <is>
          <t>카페24</t>
        </is>
      </c>
      <c r="G7387" s="94" t="inlineStr">
        <is>
          <t>스킨팩 화장솜 60P</t>
        </is>
      </c>
      <c r="H7387" s="7" t="n">
        <v>190801</v>
      </c>
      <c r="I7387" s="7" t="n">
        <v>190801</v>
      </c>
      <c r="K7387" s="6" t="n">
        <v>38</v>
      </c>
      <c r="L7387" s="7" t="n">
        <v>190801</v>
      </c>
      <c r="M7387" s="94">
        <f>VLOOKUP($Q7387,매칭테이블!$F:$I,2,0)*K7387</f>
        <v/>
      </c>
      <c r="N7387" s="94">
        <f>M7387-M7387*VLOOKUP($Q7387,매칭테이블!$F:$I,3,0)</f>
        <v/>
      </c>
      <c r="O7387" s="94">
        <f>VLOOKUP($Q7387,매칭테이블!$F:$I,4,0)*K7387</f>
        <v/>
      </c>
      <c r="P7387" s="148">
        <f>M7387/1.1</f>
        <v/>
      </c>
      <c r="Q7387" s="94">
        <f>F7387&amp;E7387&amp;G7387&amp;L7387</f>
        <v/>
      </c>
    </row>
    <row r="7388" customFormat="1" s="94">
      <c r="B7388" s="128" t="n">
        <v>44015</v>
      </c>
      <c r="C7388" s="94">
        <f>TEXT(B7388,"aaa")</f>
        <v/>
      </c>
      <c r="E7388" s="94" t="inlineStr">
        <is>
          <t>앰플</t>
        </is>
      </c>
      <c r="F7388" s="5" t="inlineStr">
        <is>
          <t>카페24</t>
        </is>
      </c>
      <c r="G7388" s="94" t="inlineStr">
        <is>
          <t>앰플 30ml</t>
        </is>
      </c>
      <c r="H7388" s="7" t="n">
        <v>190801</v>
      </c>
      <c r="I7388" s="7" t="n">
        <v>190801</v>
      </c>
      <c r="K7388" s="6" t="n">
        <v>10</v>
      </c>
      <c r="L7388" s="94" t="n">
        <v>190801</v>
      </c>
      <c r="M7388" s="94">
        <f>VLOOKUP($Q7388,매칭테이블!$F:$I,2,0)*K7388</f>
        <v/>
      </c>
      <c r="N7388" s="94">
        <f>M7388-M7388*VLOOKUP($Q7388,매칭테이블!$F:$I,3,0)</f>
        <v/>
      </c>
      <c r="O7388" s="94">
        <f>VLOOKUP($Q7388,매칭테이블!$F:$I,4,0)*K7388</f>
        <v/>
      </c>
      <c r="P7388" s="148">
        <f>M7388/1.1</f>
        <v/>
      </c>
      <c r="Q7388" s="94">
        <f>F7388&amp;E7388&amp;G7388&amp;L7388</f>
        <v/>
      </c>
    </row>
    <row r="7389" customFormat="1" s="94">
      <c r="B7389" s="128" t="n">
        <v>44015</v>
      </c>
      <c r="C7389" s="94">
        <f>TEXT(B7389,"aaa")</f>
        <v/>
      </c>
      <c r="E7389" s="94" t="inlineStr">
        <is>
          <t>수딩크림</t>
        </is>
      </c>
      <c r="F7389" s="5" t="inlineStr">
        <is>
          <t>카페24</t>
        </is>
      </c>
      <c r="G7389" s="94" t="inlineStr">
        <is>
          <t>수딩크림 100ml</t>
        </is>
      </c>
      <c r="H7389" s="7" t="n">
        <v>190801</v>
      </c>
      <c r="I7389" s="7" t="n">
        <v>190801</v>
      </c>
      <c r="K7389" s="6" t="n">
        <v>3</v>
      </c>
      <c r="L7389" s="94" t="n">
        <v>190801</v>
      </c>
      <c r="M7389" s="94">
        <f>VLOOKUP($Q7389,매칭테이블!$F:$I,2,0)*K7389</f>
        <v/>
      </c>
      <c r="N7389" s="94">
        <f>M7389-M7389*VLOOKUP($Q7389,매칭테이블!$F:$I,3,0)</f>
        <v/>
      </c>
      <c r="O7389" s="94">
        <f>VLOOKUP($Q7389,매칭테이블!$F:$I,4,0)*K7389</f>
        <v/>
      </c>
      <c r="P7389" s="148">
        <f>M7389/1.1</f>
        <v/>
      </c>
      <c r="Q7389" s="94">
        <f>F7389&amp;E7389&amp;G7389&amp;L7389</f>
        <v/>
      </c>
    </row>
    <row r="7390" customFormat="1" s="94">
      <c r="B7390" s="128" t="n">
        <v>44015</v>
      </c>
      <c r="C7390" s="94">
        <f>TEXT(B7390,"aaa")</f>
        <v/>
      </c>
      <c r="E7390" s="94" t="inlineStr">
        <is>
          <t>클렌징폼</t>
        </is>
      </c>
      <c r="F7390" s="5" t="inlineStr">
        <is>
          <t>카페24</t>
        </is>
      </c>
      <c r="G7390" s="94" t="inlineStr">
        <is>
          <t>클렌징폼 120ml</t>
        </is>
      </c>
      <c r="H7390" s="7" t="n">
        <v>190801</v>
      </c>
      <c r="I7390" s="7" t="n">
        <v>190801</v>
      </c>
      <c r="K7390" s="6" t="n">
        <v>6</v>
      </c>
      <c r="L7390" s="7" t="n">
        <v>190801</v>
      </c>
      <c r="M7390" s="94">
        <f>VLOOKUP($Q7390,매칭테이블!$F:$I,2,0)*K7390</f>
        <v/>
      </c>
      <c r="N7390" s="94">
        <f>M7390-M7390*VLOOKUP($Q7390,매칭테이블!$F:$I,3,0)</f>
        <v/>
      </c>
      <c r="O7390" s="94">
        <f>VLOOKUP($Q7390,매칭테이블!$F:$I,4,0)*K7390</f>
        <v/>
      </c>
      <c r="P7390" s="148">
        <f>M7390/1.1</f>
        <v/>
      </c>
      <c r="Q7390" s="94">
        <f>F7390&amp;E7390&amp;G7390&amp;L7390</f>
        <v/>
      </c>
    </row>
    <row r="7391" customFormat="1" s="94">
      <c r="B7391" s="128" t="n">
        <v>44015</v>
      </c>
      <c r="C7391" s="94">
        <f>TEXT(B7391,"aaa")</f>
        <v/>
      </c>
      <c r="E7391" s="94" t="inlineStr">
        <is>
          <t>클렌징폼</t>
        </is>
      </c>
      <c r="F7391" s="94" t="inlineStr">
        <is>
          <t>카페24</t>
        </is>
      </c>
      <c r="G7391" s="94" t="inlineStr">
        <is>
          <t>클렌징폼 120ml 2set</t>
        </is>
      </c>
      <c r="H7391" s="7" t="n">
        <v>190801</v>
      </c>
      <c r="I7391" s="7" t="n">
        <v>190801</v>
      </c>
      <c r="K7391" s="6" t="n">
        <v>2</v>
      </c>
      <c r="L7391" s="7" t="n">
        <v>190801</v>
      </c>
      <c r="M7391" s="94">
        <f>VLOOKUP($Q7391,매칭테이블!$F:$I,2,0)*K7391</f>
        <v/>
      </c>
      <c r="N7391" s="94">
        <f>M7391-M7391*VLOOKUP($Q7391,매칭테이블!$F:$I,3,0)</f>
        <v/>
      </c>
      <c r="O7391" s="94">
        <f>VLOOKUP($Q7391,매칭테이블!$F:$I,4,0)*K7391</f>
        <v/>
      </c>
      <c r="P7391" s="148">
        <f>M7391/1.1</f>
        <v/>
      </c>
      <c r="Q7391" s="94">
        <f>F7391&amp;E7391&amp;G7391&amp;L7391</f>
        <v/>
      </c>
    </row>
    <row r="7392" customFormat="1" s="94">
      <c r="B7392" s="128" t="n">
        <v>44015</v>
      </c>
      <c r="C7392" s="94">
        <f>TEXT(B7392,"aaa")</f>
        <v/>
      </c>
      <c r="E7392" s="94" t="inlineStr">
        <is>
          <t>클렌징폼</t>
        </is>
      </c>
      <c r="F7392" s="94" t="inlineStr">
        <is>
          <t>카페24</t>
        </is>
      </c>
      <c r="G7392" s="94" t="inlineStr">
        <is>
          <t>클렌징폼 120ml 3set</t>
        </is>
      </c>
      <c r="H7392" s="7" t="n">
        <v>190801</v>
      </c>
      <c r="I7392" s="7" t="n">
        <v>190801</v>
      </c>
      <c r="K7392" s="6" t="n">
        <v>1</v>
      </c>
      <c r="L7392" s="7" t="n">
        <v>190801</v>
      </c>
      <c r="M7392" s="94">
        <f>VLOOKUP($Q7392,매칭테이블!$F:$I,2,0)*K7392</f>
        <v/>
      </c>
      <c r="N7392" s="94">
        <f>M7392-M7392*VLOOKUP($Q7392,매칭테이블!$F:$I,3,0)</f>
        <v/>
      </c>
      <c r="O7392" s="94">
        <f>VLOOKUP($Q7392,매칭테이블!$F:$I,4,0)*K7392</f>
        <v/>
      </c>
      <c r="P7392" s="148">
        <f>M7392/1.1</f>
        <v/>
      </c>
      <c r="Q7392" s="94">
        <f>F7392&amp;E7392&amp;G7392&amp;L7392</f>
        <v/>
      </c>
    </row>
    <row r="7393" customFormat="1" s="94">
      <c r="B7393" s="128" t="n">
        <v>44015</v>
      </c>
      <c r="C7393" s="94">
        <f>TEXT(B7393,"aaa")</f>
        <v/>
      </c>
      <c r="E7393" s="6" t="inlineStr">
        <is>
          <t>토너</t>
        </is>
      </c>
      <c r="F7393" s="5" t="inlineStr">
        <is>
          <t>큐텐</t>
        </is>
      </c>
      <c r="G7393" s="5" t="inlineStr">
        <is>
          <t>250ml</t>
        </is>
      </c>
      <c r="H7393" s="7" t="n">
        <v>190801</v>
      </c>
      <c r="I7393" s="7" t="n">
        <v>190801</v>
      </c>
      <c r="K7393" s="6" t="n">
        <v>12</v>
      </c>
      <c r="L7393" s="92" t="n">
        <v>190801</v>
      </c>
      <c r="M7393" s="94">
        <f>VLOOKUP($Q7393,매칭테이블!$F:$I,2,0)*K7393</f>
        <v/>
      </c>
      <c r="N7393" s="94">
        <f>M7393-M7393*VLOOKUP($Q7393,매칭테이블!$F:$I,3,0)</f>
        <v/>
      </c>
      <c r="O7393" s="94">
        <f>VLOOKUP($Q7393,매칭테이블!$F:$I,4,0)*K7393</f>
        <v/>
      </c>
      <c r="P7393" s="148">
        <f>M7393/1.1</f>
        <v/>
      </c>
      <c r="Q7393" s="94">
        <f>F7393&amp;E7393&amp;G7393&amp;L7393</f>
        <v/>
      </c>
    </row>
    <row r="7394" customFormat="1" s="94">
      <c r="B7394" s="128" t="n">
        <v>44015</v>
      </c>
      <c r="C7394" s="94">
        <f>TEXT(B7394,"aaa")</f>
        <v/>
      </c>
      <c r="E7394" s="6" t="inlineStr">
        <is>
          <t>토너</t>
        </is>
      </c>
      <c r="F7394" s="5" t="inlineStr">
        <is>
          <t>큐텐</t>
        </is>
      </c>
      <c r="G7394" s="5" t="inlineStr">
        <is>
          <t>250ml 2set</t>
        </is>
      </c>
      <c r="H7394" s="7" t="n">
        <v>190801</v>
      </c>
      <c r="I7394" s="7" t="n">
        <v>190801</v>
      </c>
      <c r="K7394" s="6" t="n">
        <v>7</v>
      </c>
      <c r="L7394" s="92" t="n">
        <v>190801</v>
      </c>
      <c r="M7394" s="94">
        <f>VLOOKUP($Q7394,매칭테이블!$F:$I,2,0)*K7394</f>
        <v/>
      </c>
      <c r="N7394" s="94">
        <f>M7394-M7394*VLOOKUP($Q7394,매칭테이블!$F:$I,3,0)</f>
        <v/>
      </c>
      <c r="O7394" s="94">
        <f>VLOOKUP($Q7394,매칭테이블!$F:$I,4,0)*K7394</f>
        <v/>
      </c>
      <c r="P7394" s="148">
        <f>M7394/1.1</f>
        <v/>
      </c>
      <c r="Q7394" s="94">
        <f>F7394&amp;E7394&amp;G7394&amp;L7394</f>
        <v/>
      </c>
    </row>
    <row r="7395" customFormat="1" s="94">
      <c r="B7395" s="128" t="n">
        <v>44015</v>
      </c>
      <c r="C7395" s="94">
        <f>TEXT(B7395,"aaa")</f>
        <v/>
      </c>
      <c r="E7395" s="94" t="inlineStr">
        <is>
          <t>앰플</t>
        </is>
      </c>
      <c r="F7395" s="5" t="inlineStr">
        <is>
          <t>큐텐</t>
        </is>
      </c>
      <c r="G7395" s="94" t="inlineStr">
        <is>
          <t>앰플 30ml</t>
        </is>
      </c>
      <c r="H7395" s="7" t="n">
        <v>190801</v>
      </c>
      <c r="I7395" s="7" t="n">
        <v>190801</v>
      </c>
      <c r="K7395" s="94" t="n">
        <v>3</v>
      </c>
      <c r="L7395" s="94" t="n">
        <v>190801</v>
      </c>
      <c r="M7395" s="94">
        <f>VLOOKUP($Q7395,매칭테이블!$F:$I,2,0)*K7395</f>
        <v/>
      </c>
      <c r="N7395" s="94">
        <f>M7395-M7395*VLOOKUP($Q7395,매칭테이블!$F:$I,3,0)</f>
        <v/>
      </c>
      <c r="O7395" s="94">
        <f>VLOOKUP($Q7395,매칭테이블!$F:$I,4,0)*K7395</f>
        <v/>
      </c>
      <c r="P7395" s="148">
        <f>M7395/1.1</f>
        <v/>
      </c>
      <c r="Q7395" s="94">
        <f>F7395&amp;E7395&amp;G7395&amp;L7395</f>
        <v/>
      </c>
    </row>
    <row r="7396" customFormat="1" s="94">
      <c r="B7396" s="128" t="n">
        <v>44015</v>
      </c>
      <c r="C7396" s="94">
        <f>TEXT(B7396,"aaa")</f>
        <v/>
      </c>
      <c r="E7396" s="94" t="inlineStr">
        <is>
          <t>토너</t>
        </is>
      </c>
      <c r="F7396" s="5" t="inlineStr">
        <is>
          <t>아누아 CS</t>
        </is>
      </c>
      <c r="G7396" s="94" t="inlineStr">
        <is>
          <t>250ml</t>
        </is>
      </c>
      <c r="H7396" s="7" t="n">
        <v>190801</v>
      </c>
      <c r="I7396" s="7" t="n">
        <v>190801</v>
      </c>
      <c r="K7396" s="6" t="n">
        <v>2</v>
      </c>
      <c r="L7396" s="7" t="n">
        <v>190801</v>
      </c>
      <c r="M7396" s="94">
        <f>VLOOKUP($Q7396,매칭테이블!$F:$I,2,0)*K7396</f>
        <v/>
      </c>
      <c r="N7396" s="94">
        <f>M7396-M7396*VLOOKUP($Q7396,매칭테이블!$F:$I,3,0)</f>
        <v/>
      </c>
      <c r="O7396" s="94">
        <f>VLOOKUP($Q7396,매칭테이블!$F:$I,4,0)*K7396</f>
        <v/>
      </c>
      <c r="P7396" s="148">
        <f>M7396/1.1</f>
        <v/>
      </c>
      <c r="Q7396" s="94">
        <f>F7396&amp;E7396&amp;G7396&amp;L7396</f>
        <v/>
      </c>
    </row>
    <row r="7397" customFormat="1" s="94">
      <c r="B7397" s="128" t="n">
        <v>44015</v>
      </c>
      <c r="C7397" s="94">
        <f>TEXT(B7397,"aaa")</f>
        <v/>
      </c>
      <c r="E7397" s="94" t="inlineStr">
        <is>
          <t>화장솜</t>
        </is>
      </c>
      <c r="F7397" s="5" t="inlineStr">
        <is>
          <t>아누아 CS</t>
        </is>
      </c>
      <c r="G7397" s="94" t="inlineStr">
        <is>
          <t>스킨팩 화장솜 60P</t>
        </is>
      </c>
      <c r="H7397" s="7" t="n">
        <v>190801</v>
      </c>
      <c r="I7397" s="7" t="n">
        <v>190801</v>
      </c>
      <c r="K7397" s="94" t="n">
        <v>2</v>
      </c>
      <c r="L7397" s="7" t="n">
        <v>190801</v>
      </c>
      <c r="M7397" s="94">
        <f>VLOOKUP($Q7397,매칭테이블!$F:$I,2,0)*K7397</f>
        <v/>
      </c>
      <c r="N7397" s="94">
        <f>M7397-M7397*VLOOKUP($Q7397,매칭테이블!$F:$I,3,0)</f>
        <v/>
      </c>
      <c r="O7397" s="94">
        <f>VLOOKUP($Q7397,매칭테이블!$F:$I,4,0)*K7397</f>
        <v/>
      </c>
      <c r="P7397" s="148">
        <f>M7397/1.1</f>
        <v/>
      </c>
      <c r="Q7397" s="94">
        <f>F7397&amp;E7397&amp;G7397&amp;L7397</f>
        <v/>
      </c>
    </row>
    <row r="7398" customFormat="1" s="94">
      <c r="B7398" s="128" t="n">
        <v>44015</v>
      </c>
      <c r="C7398" s="94">
        <f>TEXT(B7398,"aaa")</f>
        <v/>
      </c>
      <c r="E7398" s="94" t="inlineStr">
        <is>
          <t>선크림</t>
        </is>
      </c>
      <c r="F7398" s="5" t="inlineStr">
        <is>
          <t>아누아 CS</t>
        </is>
      </c>
      <c r="G7398" s="94" t="inlineStr">
        <is>
          <t>선크림 50ml</t>
        </is>
      </c>
      <c r="H7398" s="7" t="n">
        <v>190801</v>
      </c>
      <c r="I7398" s="7" t="n">
        <v>190801</v>
      </c>
      <c r="K7398" s="94" t="n">
        <v>1</v>
      </c>
      <c r="L7398" s="7" t="n">
        <v>190801</v>
      </c>
      <c r="M7398" s="94">
        <f>VLOOKUP($Q7398,매칭테이블!$F:$I,2,0)*K7398</f>
        <v/>
      </c>
      <c r="N7398" s="94">
        <f>M7398-M7398*VLOOKUP($Q7398,매칭테이블!$F:$I,3,0)</f>
        <v/>
      </c>
      <c r="O7398" s="94">
        <f>VLOOKUP($Q7398,매칭테이블!$F:$I,4,0)*K7398</f>
        <v/>
      </c>
      <c r="P7398" s="148">
        <f>M7398/1.1</f>
        <v/>
      </c>
      <c r="Q7398" s="94">
        <f>F7398&amp;E7398&amp;G7398&amp;L7398</f>
        <v/>
      </c>
    </row>
    <row r="7399" customFormat="1" s="94">
      <c r="B7399" s="128" t="n">
        <v>44015</v>
      </c>
      <c r="C7399" s="94">
        <f>TEXT(B7399,"aaa")</f>
        <v/>
      </c>
      <c r="E7399" s="6" t="inlineStr">
        <is>
          <t>토너</t>
        </is>
      </c>
      <c r="F7399" s="5" t="inlineStr">
        <is>
          <t>화해</t>
        </is>
      </c>
      <c r="G7399" s="5" t="inlineStr">
        <is>
          <t>250ml</t>
        </is>
      </c>
      <c r="H7399" s="7" t="n">
        <v>190801</v>
      </c>
      <c r="I7399" s="7" t="n">
        <v>190801</v>
      </c>
      <c r="K7399" s="94" t="n">
        <v>5</v>
      </c>
      <c r="L7399" s="6" t="n">
        <v>190801</v>
      </c>
      <c r="M7399" s="94">
        <f>VLOOKUP($Q7399,매칭테이블!$F:$I,2,0)*K7399</f>
        <v/>
      </c>
      <c r="N7399" s="94">
        <f>M7399-M7399*VLOOKUP($Q7399,매칭테이블!$F:$I,3,0)</f>
        <v/>
      </c>
      <c r="O7399" s="94">
        <f>VLOOKUP($Q7399,매칭테이블!$F:$I,4,0)*K7399</f>
        <v/>
      </c>
      <c r="P7399" s="148">
        <f>M7399/1.1</f>
        <v/>
      </c>
      <c r="Q7399" s="94">
        <f>F7399&amp;E7399&amp;G7399&amp;L7399</f>
        <v/>
      </c>
    </row>
    <row r="7400" customFormat="1" s="94">
      <c r="B7400" s="128" t="n">
        <v>44016</v>
      </c>
      <c r="C7400" s="94">
        <f>TEXT(B7400,"aaa")</f>
        <v/>
      </c>
      <c r="E7400" s="94" t="inlineStr">
        <is>
          <t>토너</t>
        </is>
      </c>
      <c r="F7400" s="5" t="inlineStr">
        <is>
          <t>스타일쉐어</t>
        </is>
      </c>
      <c r="G7400" s="94" t="inlineStr">
        <is>
          <t>250ml</t>
        </is>
      </c>
      <c r="H7400" s="7" t="n">
        <v>190801</v>
      </c>
      <c r="I7400" s="7" t="n">
        <v>190801</v>
      </c>
      <c r="K7400" s="6" t="n">
        <v>13</v>
      </c>
      <c r="L7400" s="7" t="n">
        <v>190801</v>
      </c>
      <c r="M7400" s="94">
        <f>VLOOKUP($Q7400,매칭테이블!$F:$I,2,0)*K7400</f>
        <v/>
      </c>
      <c r="N7400" s="94">
        <f>M7400-M7400*VLOOKUP($Q7400,매칭테이블!$F:$I,3,0)</f>
        <v/>
      </c>
      <c r="O7400" s="94">
        <f>VLOOKUP($Q7400,매칭테이블!$F:$I,4,0)*K7400</f>
        <v/>
      </c>
      <c r="P7400" s="148">
        <f>M7400/1.1</f>
        <v/>
      </c>
      <c r="Q7400" s="94">
        <f>F7400&amp;E7400&amp;G7400&amp;L7400</f>
        <v/>
      </c>
    </row>
    <row r="7401" customFormat="1" s="94">
      <c r="B7401" s="128" t="n">
        <v>44016</v>
      </c>
      <c r="C7401" s="94">
        <f>TEXT(B7401,"aaa")</f>
        <v/>
      </c>
      <c r="E7401" s="94" t="inlineStr">
        <is>
          <t>선크림</t>
        </is>
      </c>
      <c r="F7401" s="94" t="inlineStr">
        <is>
          <t>카페24</t>
        </is>
      </c>
      <c r="G7401" s="94" t="inlineStr">
        <is>
          <t>선크림 50ml</t>
        </is>
      </c>
      <c r="H7401" s="7" t="n">
        <v>190801</v>
      </c>
      <c r="I7401" s="7" t="n">
        <v>190801</v>
      </c>
      <c r="K7401" s="6" t="n">
        <v>2</v>
      </c>
      <c r="L7401" s="7" t="n">
        <v>190801</v>
      </c>
      <c r="M7401" s="94">
        <f>VLOOKUP($Q7401,매칭테이블!$F:$I,2,0)*K7401</f>
        <v/>
      </c>
      <c r="N7401" s="94">
        <f>M7401-M7401*VLOOKUP($Q7401,매칭테이블!$F:$I,3,0)</f>
        <v/>
      </c>
      <c r="O7401" s="94">
        <f>VLOOKUP($Q7401,매칭테이블!$F:$I,4,0)*K7401</f>
        <v/>
      </c>
      <c r="P7401" s="148">
        <f>M7401/1.1</f>
        <v/>
      </c>
      <c r="Q7401" s="94">
        <f>F7401&amp;E7401&amp;G7401&amp;L7401</f>
        <v/>
      </c>
    </row>
    <row r="7402" customFormat="1" s="94">
      <c r="B7402" s="128" t="n">
        <v>44016</v>
      </c>
      <c r="C7402" s="94">
        <f>TEXT(B7402,"aaa")</f>
        <v/>
      </c>
      <c r="E7402" s="6" t="inlineStr">
        <is>
          <t>선크림</t>
        </is>
      </c>
      <c r="F7402" s="5" t="inlineStr">
        <is>
          <t>카페24</t>
        </is>
      </c>
      <c r="G7402" s="5" t="inlineStr">
        <is>
          <t>선크림 50ml  2set</t>
        </is>
      </c>
      <c r="H7402" s="7" t="n">
        <v>190801</v>
      </c>
      <c r="I7402" s="7" t="n">
        <v>190801</v>
      </c>
      <c r="K7402" s="6" t="n">
        <v>1</v>
      </c>
      <c r="L7402" s="6" t="n">
        <v>190801</v>
      </c>
      <c r="M7402" s="94">
        <f>VLOOKUP($Q7402,매칭테이블!$F:$I,2,0)*K7402</f>
        <v/>
      </c>
      <c r="N7402" s="94">
        <f>M7402-M7402*VLOOKUP($Q7402,매칭테이블!$F:$I,3,0)</f>
        <v/>
      </c>
      <c r="O7402" s="94">
        <f>VLOOKUP($Q7402,매칭테이블!$F:$I,4,0)*K7402</f>
        <v/>
      </c>
      <c r="P7402" s="148">
        <f>M7402/1.1</f>
        <v/>
      </c>
      <c r="Q7402" s="94">
        <f>F7402&amp;E7402&amp;G7402&amp;L7402</f>
        <v/>
      </c>
    </row>
    <row r="7403" customFormat="1" s="94">
      <c r="B7403" s="128" t="n">
        <v>44016</v>
      </c>
      <c r="C7403" s="94">
        <f>TEXT(B7403,"aaa")</f>
        <v/>
      </c>
      <c r="E7403" s="94" t="inlineStr">
        <is>
          <t>클렌징폼</t>
        </is>
      </c>
      <c r="F7403" s="94" t="inlineStr">
        <is>
          <t>카페24</t>
        </is>
      </c>
      <c r="G7403" s="94" t="inlineStr">
        <is>
          <t>클렌징폼 120ml(선크림할인)</t>
        </is>
      </c>
      <c r="H7403" s="7" t="n">
        <v>190801</v>
      </c>
      <c r="I7403" s="7" t="n">
        <v>190801</v>
      </c>
      <c r="K7403" s="6" t="n">
        <v>1</v>
      </c>
      <c r="L7403" s="92" t="n">
        <v>190801</v>
      </c>
      <c r="M7403" s="94">
        <f>VLOOKUP($Q7403,매칭테이블!$F:$I,2,0)*K7403</f>
        <v/>
      </c>
      <c r="N7403" s="94">
        <f>M7403-M7403*VLOOKUP($Q7403,매칭테이블!$F:$I,3,0)</f>
        <v/>
      </c>
      <c r="O7403" s="94">
        <f>VLOOKUP($Q7403,매칭테이블!$F:$I,4,0)*K7403</f>
        <v/>
      </c>
      <c r="P7403" s="148">
        <f>M7403/1.1</f>
        <v/>
      </c>
      <c r="Q7403" s="94">
        <f>F7403&amp;E7403&amp;G7403&amp;L7403</f>
        <v/>
      </c>
    </row>
    <row r="7404" customFormat="1" s="94">
      <c r="B7404" s="128" t="n">
        <v>44016</v>
      </c>
      <c r="C7404" s="94">
        <f>TEXT(B7404,"aaa")</f>
        <v/>
      </c>
      <c r="E7404" s="94" t="inlineStr">
        <is>
          <t>여름 한정 진정세트</t>
        </is>
      </c>
      <c r="F7404" s="94" t="inlineStr">
        <is>
          <t>카페24</t>
        </is>
      </c>
      <c r="G7404" s="94" t="inlineStr">
        <is>
          <t>여름 한정 진정세트 (대용량)</t>
        </is>
      </c>
      <c r="H7404" s="7" t="n">
        <v>190801</v>
      </c>
      <c r="I7404" s="7" t="n">
        <v>190801</v>
      </c>
      <c r="K7404" s="6" t="n">
        <v>1</v>
      </c>
      <c r="L7404" s="92" t="n">
        <v>190801</v>
      </c>
      <c r="M7404" s="94">
        <f>VLOOKUP($Q7404,매칭테이블!$F:$I,2,0)*K7404</f>
        <v/>
      </c>
      <c r="N7404" s="94">
        <f>M7404-M7404*VLOOKUP($Q7404,매칭테이블!$F:$I,3,0)</f>
        <v/>
      </c>
      <c r="O7404" s="94">
        <f>VLOOKUP($Q7404,매칭테이블!$F:$I,4,0)*K7404</f>
        <v/>
      </c>
      <c r="P7404" s="148">
        <f>M7404/1.1</f>
        <v/>
      </c>
      <c r="Q7404" s="94">
        <f>F7404&amp;E7404&amp;G7404&amp;L7404</f>
        <v/>
      </c>
    </row>
    <row r="7405" customFormat="1" s="94">
      <c r="B7405" s="128" t="n">
        <v>44016</v>
      </c>
      <c r="C7405" s="94">
        <f>TEXT(B7405,"aaa")</f>
        <v/>
      </c>
      <c r="E7405" s="94" t="inlineStr">
        <is>
          <t>어성초진정패키지</t>
        </is>
      </c>
      <c r="F7405" s="94" t="inlineStr">
        <is>
          <t>카페24</t>
        </is>
      </c>
      <c r="G7405" s="94" t="inlineStr">
        <is>
          <t>어성초 진정패키지세트</t>
        </is>
      </c>
      <c r="H7405" s="7" t="n">
        <v>190801</v>
      </c>
      <c r="I7405" s="7" t="n">
        <v>190801</v>
      </c>
      <c r="K7405" s="6" t="n">
        <v>3</v>
      </c>
      <c r="L7405" s="94" t="n">
        <v>190801</v>
      </c>
      <c r="M7405" s="94">
        <f>VLOOKUP($Q7405,매칭테이블!$F:$I,2,0)*K7405</f>
        <v/>
      </c>
      <c r="N7405" s="94">
        <f>M7405-M7405*VLOOKUP($Q7405,매칭테이블!$F:$I,3,0)</f>
        <v/>
      </c>
      <c r="O7405" s="94">
        <f>VLOOKUP($Q7405,매칭테이블!$F:$I,4,0)*K7405</f>
        <v/>
      </c>
      <c r="P7405" s="148">
        <f>M7405/1.1</f>
        <v/>
      </c>
      <c r="Q7405" s="94">
        <f>F7405&amp;E7405&amp;G7405&amp;L7405</f>
        <v/>
      </c>
    </row>
    <row r="7406" customFormat="1" s="94">
      <c r="B7406" s="128" t="n">
        <v>44016</v>
      </c>
      <c r="C7406" s="94">
        <f>TEXT(B7406,"aaa")</f>
        <v/>
      </c>
      <c r="E7406" s="94" t="inlineStr">
        <is>
          <t>머드크림마스크</t>
        </is>
      </c>
      <c r="F7406" s="94" t="inlineStr">
        <is>
          <t>카페24</t>
        </is>
      </c>
      <c r="G7406" s="94" t="inlineStr">
        <is>
          <t>머드크림마스크 100ml</t>
        </is>
      </c>
      <c r="H7406" s="7" t="n">
        <v>190801</v>
      </c>
      <c r="I7406" s="7" t="n">
        <v>190801</v>
      </c>
      <c r="K7406" s="6" t="n">
        <v>2</v>
      </c>
      <c r="L7406" s="94" t="n">
        <v>190801</v>
      </c>
      <c r="M7406" s="94">
        <f>VLOOKUP($Q7406,매칭테이블!$F:$I,2,0)*K7406</f>
        <v/>
      </c>
      <c r="N7406" s="94">
        <f>M7406-M7406*VLOOKUP($Q7406,매칭테이블!$F:$I,3,0)</f>
        <v/>
      </c>
      <c r="O7406" s="94">
        <f>VLOOKUP($Q7406,매칭테이블!$F:$I,4,0)*K7406</f>
        <v/>
      </c>
      <c r="P7406" s="148">
        <f>M7406/1.1</f>
        <v/>
      </c>
      <c r="Q7406" s="94">
        <f>F7406&amp;E7406&amp;G7406&amp;L7406</f>
        <v/>
      </c>
    </row>
    <row r="7407" customFormat="1" s="94">
      <c r="B7407" s="128" t="n">
        <v>44016</v>
      </c>
      <c r="C7407" s="94">
        <f>TEXT(B7407,"aaa")</f>
        <v/>
      </c>
      <c r="E7407" s="94" t="inlineStr">
        <is>
          <t>머드크림마스크</t>
        </is>
      </c>
      <c r="F7407" s="94" t="inlineStr">
        <is>
          <t>카페24</t>
        </is>
      </c>
      <c r="G7407" s="94" t="inlineStr">
        <is>
          <t>머드크림마스크 100ml 2set</t>
        </is>
      </c>
      <c r="H7407" s="7" t="n">
        <v>190801</v>
      </c>
      <c r="I7407" s="7" t="n">
        <v>190801</v>
      </c>
      <c r="K7407" s="6" t="n">
        <v>1</v>
      </c>
      <c r="L7407" s="94" t="n">
        <v>190801</v>
      </c>
      <c r="M7407" s="94">
        <f>VLOOKUP($Q7407,매칭테이블!$F:$I,2,0)*K7407</f>
        <v/>
      </c>
      <c r="N7407" s="94">
        <f>M7407-M7407*VLOOKUP($Q7407,매칭테이블!$F:$I,3,0)</f>
        <v/>
      </c>
      <c r="O7407" s="94">
        <f>VLOOKUP($Q7407,매칭테이블!$F:$I,4,0)*K7407</f>
        <v/>
      </c>
      <c r="P7407" s="148">
        <f>M7407/1.1</f>
        <v/>
      </c>
      <c r="Q7407" s="94">
        <f>F7407&amp;E7407&amp;G7407&amp;L7407</f>
        <v/>
      </c>
    </row>
    <row r="7408" customFormat="1" s="94">
      <c r="B7408" s="128" t="n">
        <v>44016</v>
      </c>
      <c r="C7408" s="94">
        <f>TEXT(B7408,"aaa")</f>
        <v/>
      </c>
      <c r="E7408" s="94" t="inlineStr">
        <is>
          <t>마스크팩</t>
        </is>
      </c>
      <c r="F7408" s="94" t="inlineStr">
        <is>
          <t>카페24</t>
        </is>
      </c>
      <c r="G7408" s="94" t="inlineStr">
        <is>
          <t>마스크팩 1매</t>
        </is>
      </c>
      <c r="H7408" s="7" t="n">
        <v>190801</v>
      </c>
      <c r="I7408" s="7" t="n">
        <v>190801</v>
      </c>
      <c r="K7408" s="6" t="n">
        <v>2</v>
      </c>
      <c r="L7408" s="94" t="n">
        <v>190801</v>
      </c>
      <c r="M7408" s="94">
        <f>VLOOKUP($Q7408,매칭테이블!$F:$I,2,0)*K7408</f>
        <v/>
      </c>
      <c r="N7408" s="94">
        <f>M7408-M7408*VLOOKUP($Q7408,매칭테이블!$F:$I,3,0)</f>
        <v/>
      </c>
      <c r="O7408" s="94">
        <f>VLOOKUP($Q7408,매칭테이블!$F:$I,4,0)*K7408</f>
        <v/>
      </c>
      <c r="P7408" s="148">
        <f>M7408/1.1</f>
        <v/>
      </c>
      <c r="Q7408" s="94">
        <f>F7408&amp;E7408&amp;G7408&amp;L7408</f>
        <v/>
      </c>
    </row>
    <row r="7409" customFormat="1" s="94">
      <c r="B7409" s="128" t="n">
        <v>44016</v>
      </c>
      <c r="C7409" s="94">
        <f>TEXT(B7409,"aaa")</f>
        <v/>
      </c>
      <c r="E7409" s="94" t="inlineStr">
        <is>
          <t>마스크팩</t>
        </is>
      </c>
      <c r="F7409" s="94" t="inlineStr">
        <is>
          <t>카페24</t>
        </is>
      </c>
      <c r="G7409" s="94" t="inlineStr">
        <is>
          <t>마스크팩 10매</t>
        </is>
      </c>
      <c r="H7409" s="7" t="n">
        <v>190801</v>
      </c>
      <c r="I7409" s="7" t="n">
        <v>190801</v>
      </c>
      <c r="K7409" s="6" t="n">
        <v>4</v>
      </c>
      <c r="L7409" s="94" t="n">
        <v>190801</v>
      </c>
      <c r="M7409" s="94">
        <f>VLOOKUP($Q7409,매칭테이블!$F:$I,2,0)*K7409</f>
        <v/>
      </c>
      <c r="N7409" s="94">
        <f>M7409-M7409*VLOOKUP($Q7409,매칭테이블!$F:$I,3,0)</f>
        <v/>
      </c>
      <c r="O7409" s="94">
        <f>VLOOKUP($Q7409,매칭테이블!$F:$I,4,0)*K7409</f>
        <v/>
      </c>
      <c r="P7409" s="148">
        <f>M7409/1.1</f>
        <v/>
      </c>
      <c r="Q7409" s="94">
        <f>F7409&amp;E7409&amp;G7409&amp;L7409</f>
        <v/>
      </c>
    </row>
    <row r="7410" customFormat="1" s="94">
      <c r="B7410" s="128" t="n">
        <v>44016</v>
      </c>
      <c r="C7410" s="94">
        <f>TEXT(B7410,"aaa")</f>
        <v/>
      </c>
      <c r="E7410" s="6" t="inlineStr">
        <is>
          <t>토너</t>
        </is>
      </c>
      <c r="F7410" s="5" t="inlineStr">
        <is>
          <t>카페24</t>
        </is>
      </c>
      <c r="G7410" s="5" t="inlineStr">
        <is>
          <t>250ml</t>
        </is>
      </c>
      <c r="H7410" s="7" t="n">
        <v>190801</v>
      </c>
      <c r="I7410" s="7" t="n">
        <v>190801</v>
      </c>
      <c r="K7410" s="6" t="n">
        <v>43</v>
      </c>
      <c r="L7410" s="7" t="n">
        <v>190801</v>
      </c>
      <c r="M7410" s="94">
        <f>VLOOKUP($Q7410,매칭테이블!$F:$I,2,0)*K7410</f>
        <v/>
      </c>
      <c r="N7410" s="94">
        <f>M7410-M7410*VLOOKUP($Q7410,매칭테이블!$F:$I,3,0)</f>
        <v/>
      </c>
      <c r="O7410" s="94">
        <f>VLOOKUP($Q7410,매칭테이블!$F:$I,4,0)*K7410</f>
        <v/>
      </c>
      <c r="P7410" s="148">
        <f>M7410/1.1</f>
        <v/>
      </c>
      <c r="Q7410" s="94">
        <f>F7410&amp;E7410&amp;G7410&amp;L7410</f>
        <v/>
      </c>
    </row>
    <row r="7411" customFormat="1" s="94">
      <c r="B7411" s="128" t="n">
        <v>44016</v>
      </c>
      <c r="C7411" s="94">
        <f>TEXT(B7411,"aaa")</f>
        <v/>
      </c>
      <c r="E7411" s="6" t="inlineStr">
        <is>
          <t>토너</t>
        </is>
      </c>
      <c r="F7411" s="5" t="inlineStr">
        <is>
          <t>카페24</t>
        </is>
      </c>
      <c r="G7411" s="5" t="inlineStr">
        <is>
          <t>250ml 2set</t>
        </is>
      </c>
      <c r="H7411" s="7" t="n">
        <v>190801</v>
      </c>
      <c r="I7411" s="7" t="n">
        <v>190801</v>
      </c>
      <c r="K7411" s="6" t="n">
        <v>24</v>
      </c>
      <c r="L7411" s="7" t="n">
        <v>190801</v>
      </c>
      <c r="M7411" s="94">
        <f>VLOOKUP($Q7411,매칭테이블!$F:$I,2,0)*K7411</f>
        <v/>
      </c>
      <c r="N7411" s="94">
        <f>M7411-M7411*VLOOKUP($Q7411,매칭테이블!$F:$I,3,0)</f>
        <v/>
      </c>
      <c r="O7411" s="94">
        <f>VLOOKUP($Q7411,매칭테이블!$F:$I,4,0)*K7411</f>
        <v/>
      </c>
      <c r="P7411" s="148">
        <f>M7411/1.1</f>
        <v/>
      </c>
      <c r="Q7411" s="94">
        <f>F7411&amp;E7411&amp;G7411&amp;L7411</f>
        <v/>
      </c>
    </row>
    <row r="7412" customFormat="1" s="94">
      <c r="B7412" s="128" t="n">
        <v>44016</v>
      </c>
      <c r="C7412" s="94">
        <f>TEXT(B7412,"aaa")</f>
        <v/>
      </c>
      <c r="E7412" s="6" t="inlineStr">
        <is>
          <t>토너</t>
        </is>
      </c>
      <c r="F7412" s="5" t="inlineStr">
        <is>
          <t>카페24</t>
        </is>
      </c>
      <c r="G7412" s="5" t="inlineStr">
        <is>
          <t>500ml</t>
        </is>
      </c>
      <c r="H7412" s="7" t="n">
        <v>190801</v>
      </c>
      <c r="I7412" s="7" t="n">
        <v>190801</v>
      </c>
      <c r="K7412" s="6" t="n">
        <v>38</v>
      </c>
      <c r="L7412" s="7" t="n">
        <v>190801</v>
      </c>
      <c r="M7412" s="94">
        <f>VLOOKUP($Q7412,매칭테이블!$F:$I,2,0)*K7412</f>
        <v/>
      </c>
      <c r="N7412" s="94">
        <f>M7412-M7412*VLOOKUP($Q7412,매칭테이블!$F:$I,3,0)</f>
        <v/>
      </c>
      <c r="O7412" s="94">
        <f>VLOOKUP($Q7412,매칭테이블!$F:$I,4,0)*K7412</f>
        <v/>
      </c>
      <c r="P7412" s="148">
        <f>M7412/1.1</f>
        <v/>
      </c>
      <c r="Q7412" s="94">
        <f>F7412&amp;E7412&amp;G7412&amp;L7412</f>
        <v/>
      </c>
    </row>
    <row r="7413" customFormat="1" s="94">
      <c r="B7413" s="128" t="n">
        <v>44016</v>
      </c>
      <c r="C7413" s="94">
        <f>TEXT(B7413,"aaa")</f>
        <v/>
      </c>
      <c r="E7413" s="6" t="inlineStr">
        <is>
          <t>토너</t>
        </is>
      </c>
      <c r="F7413" s="5" t="inlineStr">
        <is>
          <t>카페24</t>
        </is>
      </c>
      <c r="G7413" s="94" t="inlineStr">
        <is>
          <t>스킨팩 화장솜 60P</t>
        </is>
      </c>
      <c r="H7413" s="7" t="n">
        <v>190801</v>
      </c>
      <c r="I7413" s="7" t="n">
        <v>190801</v>
      </c>
      <c r="K7413" s="6" t="n">
        <v>30</v>
      </c>
      <c r="L7413" s="7" t="n">
        <v>190801</v>
      </c>
      <c r="M7413" s="94">
        <f>VLOOKUP($Q7413,매칭테이블!$F:$I,2,0)*K7413</f>
        <v/>
      </c>
      <c r="N7413" s="94">
        <f>M7413-M7413*VLOOKUP($Q7413,매칭테이블!$F:$I,3,0)</f>
        <v/>
      </c>
      <c r="O7413" s="94">
        <f>VLOOKUP($Q7413,매칭테이블!$F:$I,4,0)*K7413</f>
        <v/>
      </c>
      <c r="P7413" s="148">
        <f>M7413/1.1</f>
        <v/>
      </c>
      <c r="Q7413" s="94">
        <f>F7413&amp;E7413&amp;G7413&amp;L7413</f>
        <v/>
      </c>
    </row>
    <row r="7414" customFormat="1" s="94">
      <c r="B7414" s="128" t="n">
        <v>44016</v>
      </c>
      <c r="C7414" s="94">
        <f>TEXT(B7414,"aaa")</f>
        <v/>
      </c>
      <c r="E7414" s="94" t="inlineStr">
        <is>
          <t>앰플</t>
        </is>
      </c>
      <c r="F7414" s="5" t="inlineStr">
        <is>
          <t>카페24</t>
        </is>
      </c>
      <c r="G7414" s="94" t="inlineStr">
        <is>
          <t>앰플 30ml</t>
        </is>
      </c>
      <c r="H7414" s="7" t="n">
        <v>190801</v>
      </c>
      <c r="I7414" s="7" t="n">
        <v>190801</v>
      </c>
      <c r="K7414" s="6" t="n">
        <v>10</v>
      </c>
      <c r="L7414" s="94" t="n">
        <v>190801</v>
      </c>
      <c r="M7414" s="94">
        <f>VLOOKUP($Q7414,매칭테이블!$F:$I,2,0)*K7414</f>
        <v/>
      </c>
      <c r="N7414" s="94">
        <f>M7414-M7414*VLOOKUP($Q7414,매칭테이블!$F:$I,3,0)</f>
        <v/>
      </c>
      <c r="O7414" s="94">
        <f>VLOOKUP($Q7414,매칭테이블!$F:$I,4,0)*K7414</f>
        <v/>
      </c>
      <c r="P7414" s="148">
        <f>M7414/1.1</f>
        <v/>
      </c>
      <c r="Q7414" s="94">
        <f>F7414&amp;E7414&amp;G7414&amp;L7414</f>
        <v/>
      </c>
    </row>
    <row r="7415" customFormat="1" s="94">
      <c r="B7415" s="128" t="n">
        <v>44016</v>
      </c>
      <c r="C7415" s="94">
        <f>TEXT(B7415,"aaa")</f>
        <v/>
      </c>
      <c r="E7415" s="94" t="inlineStr">
        <is>
          <t>수딩크림</t>
        </is>
      </c>
      <c r="F7415" s="5" t="inlineStr">
        <is>
          <t>카페24</t>
        </is>
      </c>
      <c r="G7415" s="94" t="inlineStr">
        <is>
          <t>수딩크림 100ml</t>
        </is>
      </c>
      <c r="H7415" s="7" t="n">
        <v>190801</v>
      </c>
      <c r="I7415" s="7" t="n">
        <v>190801</v>
      </c>
      <c r="K7415" s="6" t="n">
        <v>2</v>
      </c>
      <c r="L7415" s="94" t="n">
        <v>190801</v>
      </c>
      <c r="M7415" s="94">
        <f>VLOOKUP($Q7415,매칭테이블!$F:$I,2,0)*K7415</f>
        <v/>
      </c>
      <c r="N7415" s="94">
        <f>M7415-M7415*VLOOKUP($Q7415,매칭테이블!$F:$I,3,0)</f>
        <v/>
      </c>
      <c r="O7415" s="94">
        <f>VLOOKUP($Q7415,매칭테이블!$F:$I,4,0)*K7415</f>
        <v/>
      </c>
      <c r="P7415" s="148">
        <f>M7415/1.1</f>
        <v/>
      </c>
      <c r="Q7415" s="94">
        <f>F7415&amp;E7415&amp;G7415&amp;L7415</f>
        <v/>
      </c>
    </row>
    <row r="7416" customFormat="1" s="94">
      <c r="B7416" s="128" t="n">
        <v>44016</v>
      </c>
      <c r="C7416" s="94">
        <f>TEXT(B7416,"aaa")</f>
        <v/>
      </c>
      <c r="E7416" s="94" t="inlineStr">
        <is>
          <t>클렌징폼</t>
        </is>
      </c>
      <c r="F7416" s="5" t="inlineStr">
        <is>
          <t>카페24</t>
        </is>
      </c>
      <c r="G7416" s="94" t="inlineStr">
        <is>
          <t>클렌징폼 120ml</t>
        </is>
      </c>
      <c r="H7416" s="7" t="n">
        <v>190801</v>
      </c>
      <c r="I7416" s="7" t="n">
        <v>190801</v>
      </c>
      <c r="K7416" s="6" t="n">
        <v>1</v>
      </c>
      <c r="L7416" s="7" t="n">
        <v>190801</v>
      </c>
      <c r="M7416" s="94">
        <f>VLOOKUP($Q7416,매칭테이블!$F:$I,2,0)*K7416</f>
        <v/>
      </c>
      <c r="N7416" s="94">
        <f>M7416-M7416*VLOOKUP($Q7416,매칭테이블!$F:$I,3,0)</f>
        <v/>
      </c>
      <c r="O7416" s="94">
        <f>VLOOKUP($Q7416,매칭테이블!$F:$I,4,0)*K7416</f>
        <v/>
      </c>
      <c r="P7416" s="148">
        <f>M7416/1.1</f>
        <v/>
      </c>
      <c r="Q7416" s="94">
        <f>F7416&amp;E7416&amp;G7416&amp;L7416</f>
        <v/>
      </c>
    </row>
    <row r="7417" customFormat="1" s="94">
      <c r="B7417" s="128" t="n">
        <v>44016</v>
      </c>
      <c r="C7417" s="94">
        <f>TEXT(B7417,"aaa")</f>
        <v/>
      </c>
      <c r="E7417" s="94" t="inlineStr">
        <is>
          <t>클렌징폼</t>
        </is>
      </c>
      <c r="F7417" s="94" t="inlineStr">
        <is>
          <t>카페24</t>
        </is>
      </c>
      <c r="G7417" s="94" t="inlineStr">
        <is>
          <t>클렌징폼 120ml 2set</t>
        </is>
      </c>
      <c r="H7417" s="7" t="n">
        <v>190801</v>
      </c>
      <c r="I7417" s="7" t="n">
        <v>190801</v>
      </c>
      <c r="K7417" s="6" t="n">
        <v>1</v>
      </c>
      <c r="L7417" s="7" t="n">
        <v>190801</v>
      </c>
      <c r="M7417" s="94">
        <f>VLOOKUP($Q7417,매칭테이블!$F:$I,2,0)*K7417</f>
        <v/>
      </c>
      <c r="N7417" s="94">
        <f>M7417-M7417*VLOOKUP($Q7417,매칭테이블!$F:$I,3,0)</f>
        <v/>
      </c>
      <c r="O7417" s="94">
        <f>VLOOKUP($Q7417,매칭테이블!$F:$I,4,0)*K7417</f>
        <v/>
      </c>
      <c r="P7417" s="148">
        <f>M7417/1.1</f>
        <v/>
      </c>
      <c r="Q7417" s="94">
        <f>F7417&amp;E7417&amp;G7417&amp;L7417</f>
        <v/>
      </c>
    </row>
    <row r="7418" customFormat="1" s="94">
      <c r="B7418" s="128" t="n">
        <v>44016</v>
      </c>
      <c r="C7418" s="94">
        <f>TEXT(B7418,"aaa")</f>
        <v/>
      </c>
      <c r="E7418" s="6" t="inlineStr">
        <is>
          <t>토너</t>
        </is>
      </c>
      <c r="F7418" s="5" t="inlineStr">
        <is>
          <t>화해</t>
        </is>
      </c>
      <c r="G7418" s="5" t="inlineStr">
        <is>
          <t>250ml</t>
        </is>
      </c>
      <c r="H7418" s="7" t="n">
        <v>190801</v>
      </c>
      <c r="I7418" s="7" t="n">
        <v>190801</v>
      </c>
      <c r="K7418" s="94" t="n">
        <v>2</v>
      </c>
      <c r="L7418" s="6" t="n">
        <v>190801</v>
      </c>
      <c r="M7418" s="94">
        <f>VLOOKUP($Q7418,매칭테이블!$F:$I,2,0)*K7418</f>
        <v/>
      </c>
      <c r="N7418" s="94">
        <f>M7418-M7418*VLOOKUP($Q7418,매칭테이블!$F:$I,3,0)</f>
        <v/>
      </c>
      <c r="O7418" s="94">
        <f>VLOOKUP($Q7418,매칭테이블!$F:$I,4,0)*K7418</f>
        <v/>
      </c>
      <c r="P7418" s="148">
        <f>M7418/1.1</f>
        <v/>
      </c>
      <c r="Q7418" s="94">
        <f>F7418&amp;E7418&amp;G7418&amp;L7418</f>
        <v/>
      </c>
    </row>
    <row r="7419" customFormat="1" s="94">
      <c r="B7419" s="128" t="n">
        <v>44017</v>
      </c>
      <c r="C7419" s="94">
        <f>TEXT(B7419,"aaa")</f>
        <v/>
      </c>
      <c r="E7419" s="94" t="inlineStr">
        <is>
          <t>토너</t>
        </is>
      </c>
      <c r="F7419" s="5" t="inlineStr">
        <is>
          <t>스타일쉐어</t>
        </is>
      </c>
      <c r="G7419" s="94" t="inlineStr">
        <is>
          <t>250ml</t>
        </is>
      </c>
      <c r="H7419" s="7" t="n">
        <v>190801</v>
      </c>
      <c r="I7419" s="7" t="n">
        <v>190801</v>
      </c>
      <c r="K7419" s="6" t="n">
        <v>22</v>
      </c>
      <c r="L7419" s="7" t="n">
        <v>190801</v>
      </c>
      <c r="M7419" s="94">
        <f>VLOOKUP($Q7419,매칭테이블!$F:$I,2,0)*K7419</f>
        <v/>
      </c>
      <c r="N7419" s="94">
        <f>M7419-M7419*VLOOKUP($Q7419,매칭테이블!$F:$I,3,0)</f>
        <v/>
      </c>
      <c r="O7419" s="94">
        <f>VLOOKUP($Q7419,매칭테이블!$F:$I,4,0)*K7419</f>
        <v/>
      </c>
      <c r="P7419" s="148">
        <f>M7419/1.1</f>
        <v/>
      </c>
      <c r="Q7419" s="94">
        <f>F7419&amp;E7419&amp;G7419&amp;L7419</f>
        <v/>
      </c>
    </row>
    <row r="7420" customFormat="1" s="94">
      <c r="B7420" s="128" t="n">
        <v>44017</v>
      </c>
      <c r="C7420" s="94">
        <f>TEXT(B7420,"aaa")</f>
        <v/>
      </c>
      <c r="E7420" s="94" t="inlineStr">
        <is>
          <t>선크림</t>
        </is>
      </c>
      <c r="F7420" s="94" t="inlineStr">
        <is>
          <t>카페24</t>
        </is>
      </c>
      <c r="G7420" s="94" t="inlineStr">
        <is>
          <t>선크림 50ml</t>
        </is>
      </c>
      <c r="H7420" s="7" t="n">
        <v>190801</v>
      </c>
      <c r="I7420" s="7" t="n">
        <v>190801</v>
      </c>
      <c r="K7420" s="6" t="n">
        <v>4</v>
      </c>
      <c r="L7420" s="7" t="n">
        <v>190801</v>
      </c>
      <c r="M7420" s="94">
        <f>VLOOKUP($Q7420,매칭테이블!$F:$I,2,0)*K7420</f>
        <v/>
      </c>
      <c r="N7420" s="94">
        <f>M7420-M7420*VLOOKUP($Q7420,매칭테이블!$F:$I,3,0)</f>
        <v/>
      </c>
      <c r="O7420" s="94">
        <f>VLOOKUP($Q7420,매칭테이블!$F:$I,4,0)*K7420</f>
        <v/>
      </c>
      <c r="P7420" s="148">
        <f>M7420/1.1</f>
        <v/>
      </c>
      <c r="Q7420" s="94">
        <f>F7420&amp;E7420&amp;G7420&amp;L7420</f>
        <v/>
      </c>
    </row>
    <row r="7421" customFormat="1" s="94">
      <c r="B7421" s="128" t="n">
        <v>44017</v>
      </c>
      <c r="C7421" s="94">
        <f>TEXT(B7421,"aaa")</f>
        <v/>
      </c>
      <c r="E7421" s="6" t="inlineStr">
        <is>
          <t>선크림</t>
        </is>
      </c>
      <c r="F7421" s="5" t="inlineStr">
        <is>
          <t>카페24</t>
        </is>
      </c>
      <c r="G7421" s="5" t="inlineStr">
        <is>
          <t>선크림 50ml  2set</t>
        </is>
      </c>
      <c r="H7421" s="7" t="n">
        <v>190801</v>
      </c>
      <c r="I7421" s="7" t="n">
        <v>190801</v>
      </c>
      <c r="K7421" s="6" t="n">
        <v>2</v>
      </c>
      <c r="L7421" s="6" t="n">
        <v>190801</v>
      </c>
      <c r="M7421" s="94">
        <f>VLOOKUP($Q7421,매칭테이블!$F:$I,2,0)*K7421</f>
        <v/>
      </c>
      <c r="N7421" s="94">
        <f>M7421-M7421*VLOOKUP($Q7421,매칭테이블!$F:$I,3,0)</f>
        <v/>
      </c>
      <c r="O7421" s="94">
        <f>VLOOKUP($Q7421,매칭테이블!$F:$I,4,0)*K7421</f>
        <v/>
      </c>
      <c r="P7421" s="148">
        <f>M7421/1.1</f>
        <v/>
      </c>
      <c r="Q7421" s="94">
        <f>F7421&amp;E7421&amp;G7421&amp;L7421</f>
        <v/>
      </c>
    </row>
    <row r="7422" customFormat="1" s="94">
      <c r="B7422" s="128" t="n">
        <v>44017</v>
      </c>
      <c r="C7422" s="94">
        <f>TEXT(B7422,"aaa")</f>
        <v/>
      </c>
      <c r="E7422" s="94" t="inlineStr">
        <is>
          <t>클렌징폼</t>
        </is>
      </c>
      <c r="F7422" s="94" t="inlineStr">
        <is>
          <t>카페24</t>
        </is>
      </c>
      <c r="G7422" s="94" t="inlineStr">
        <is>
          <t>클렌징폼 120ml(선크림할인)</t>
        </is>
      </c>
      <c r="H7422" s="7" t="n">
        <v>190801</v>
      </c>
      <c r="I7422" s="7" t="n">
        <v>190801</v>
      </c>
      <c r="K7422" s="6" t="n">
        <v>1</v>
      </c>
      <c r="L7422" s="92" t="n">
        <v>190801</v>
      </c>
      <c r="M7422" s="94">
        <f>VLOOKUP($Q7422,매칭테이블!$F:$I,2,0)*K7422</f>
        <v/>
      </c>
      <c r="N7422" s="94">
        <f>M7422-M7422*VLOOKUP($Q7422,매칭테이블!$F:$I,3,0)</f>
        <v/>
      </c>
      <c r="O7422" s="94">
        <f>VLOOKUP($Q7422,매칭테이블!$F:$I,4,0)*K7422</f>
        <v/>
      </c>
      <c r="P7422" s="148">
        <f>M7422/1.1</f>
        <v/>
      </c>
      <c r="Q7422" s="94">
        <f>F7422&amp;E7422&amp;G7422&amp;L7422</f>
        <v/>
      </c>
    </row>
    <row r="7423" customFormat="1" s="94">
      <c r="B7423" s="128" t="n">
        <v>44017</v>
      </c>
      <c r="C7423" s="94">
        <f>TEXT(B7423,"aaa")</f>
        <v/>
      </c>
      <c r="E7423" s="94" t="inlineStr">
        <is>
          <t>여름 한정 진정세트</t>
        </is>
      </c>
      <c r="F7423" s="94" t="inlineStr">
        <is>
          <t>카페24</t>
        </is>
      </c>
      <c r="G7423" s="94" t="inlineStr">
        <is>
          <t>여름 한정 진정세트</t>
        </is>
      </c>
      <c r="H7423" s="7" t="n">
        <v>190801</v>
      </c>
      <c r="I7423" s="7" t="n">
        <v>190801</v>
      </c>
      <c r="K7423" s="6" t="n">
        <v>1</v>
      </c>
      <c r="L7423" s="92" t="n">
        <v>190801</v>
      </c>
      <c r="M7423" s="94">
        <f>VLOOKUP($Q7423,매칭테이블!$F:$I,2,0)*K7423</f>
        <v/>
      </c>
      <c r="N7423" s="94">
        <f>M7423-M7423*VLOOKUP($Q7423,매칭테이블!$F:$I,3,0)</f>
        <v/>
      </c>
      <c r="O7423" s="94">
        <f>VLOOKUP($Q7423,매칭테이블!$F:$I,4,0)*K7423</f>
        <v/>
      </c>
      <c r="P7423" s="148">
        <f>M7423/1.1</f>
        <v/>
      </c>
      <c r="Q7423" s="94">
        <f>F7423&amp;E7423&amp;G7423&amp;L7423</f>
        <v/>
      </c>
    </row>
    <row r="7424" customFormat="1" s="94">
      <c r="B7424" s="128" t="n">
        <v>44017</v>
      </c>
      <c r="C7424" s="94">
        <f>TEXT(B7424,"aaa")</f>
        <v/>
      </c>
      <c r="E7424" s="94" t="inlineStr">
        <is>
          <t>여름 한정 진정세트</t>
        </is>
      </c>
      <c r="F7424" s="94" t="inlineStr">
        <is>
          <t>카페24</t>
        </is>
      </c>
      <c r="G7424" s="94" t="inlineStr">
        <is>
          <t>여름 한정 진정세트 (대용량)</t>
        </is>
      </c>
      <c r="H7424" s="7" t="n">
        <v>190801</v>
      </c>
      <c r="I7424" s="7" t="n">
        <v>190801</v>
      </c>
      <c r="K7424" s="6" t="n">
        <v>5</v>
      </c>
      <c r="L7424" s="92" t="n">
        <v>190801</v>
      </c>
      <c r="M7424" s="94">
        <f>VLOOKUP($Q7424,매칭테이블!$F:$I,2,0)*K7424</f>
        <v/>
      </c>
      <c r="N7424" s="94">
        <f>M7424-M7424*VLOOKUP($Q7424,매칭테이블!$F:$I,3,0)</f>
        <v/>
      </c>
      <c r="O7424" s="94">
        <f>VLOOKUP($Q7424,매칭테이블!$F:$I,4,0)*K7424</f>
        <v/>
      </c>
      <c r="P7424" s="148">
        <f>M7424/1.1</f>
        <v/>
      </c>
      <c r="Q7424" s="94">
        <f>F7424&amp;E7424&amp;G7424&amp;L7424</f>
        <v/>
      </c>
    </row>
    <row r="7425" customFormat="1" s="94">
      <c r="B7425" s="128" t="n">
        <v>44017</v>
      </c>
      <c r="C7425" s="94">
        <f>TEXT(B7425,"aaa")</f>
        <v/>
      </c>
      <c r="E7425" s="94" t="inlineStr">
        <is>
          <t>어성초진정패키지</t>
        </is>
      </c>
      <c r="F7425" s="94" t="inlineStr">
        <is>
          <t>카페24</t>
        </is>
      </c>
      <c r="G7425" s="94" t="inlineStr">
        <is>
          <t>어성초 진정패키지세트</t>
        </is>
      </c>
      <c r="H7425" s="7" t="n">
        <v>190801</v>
      </c>
      <c r="I7425" s="7" t="n">
        <v>190801</v>
      </c>
      <c r="K7425" s="6" t="n">
        <v>3</v>
      </c>
      <c r="L7425" s="94" t="n">
        <v>190801</v>
      </c>
      <c r="M7425" s="94">
        <f>VLOOKUP($Q7425,매칭테이블!$F:$I,2,0)*K7425</f>
        <v/>
      </c>
      <c r="N7425" s="94">
        <f>M7425-M7425*VLOOKUP($Q7425,매칭테이블!$F:$I,3,0)</f>
        <v/>
      </c>
      <c r="O7425" s="94">
        <f>VLOOKUP($Q7425,매칭테이블!$F:$I,4,0)*K7425</f>
        <v/>
      </c>
      <c r="P7425" s="148">
        <f>M7425/1.1</f>
        <v/>
      </c>
      <c r="Q7425" s="94">
        <f>F7425&amp;E7425&amp;G7425&amp;L7425</f>
        <v/>
      </c>
    </row>
    <row r="7426" customFormat="1" s="94">
      <c r="B7426" s="128" t="n">
        <v>44017</v>
      </c>
      <c r="C7426" s="94">
        <f>TEXT(B7426,"aaa")</f>
        <v/>
      </c>
      <c r="E7426" s="94" t="inlineStr">
        <is>
          <t>머드크림마스크</t>
        </is>
      </c>
      <c r="F7426" s="94" t="inlineStr">
        <is>
          <t>카페24</t>
        </is>
      </c>
      <c r="G7426" s="94" t="inlineStr">
        <is>
          <t>머드크림마스크 100ml</t>
        </is>
      </c>
      <c r="H7426" s="7" t="n">
        <v>190801</v>
      </c>
      <c r="I7426" s="7" t="n">
        <v>190801</v>
      </c>
      <c r="K7426" s="6" t="n">
        <v>2</v>
      </c>
      <c r="L7426" s="94" t="n">
        <v>190801</v>
      </c>
      <c r="M7426" s="94">
        <f>VLOOKUP($Q7426,매칭테이블!$F:$I,2,0)*K7426</f>
        <v/>
      </c>
      <c r="N7426" s="94">
        <f>M7426-M7426*VLOOKUP($Q7426,매칭테이블!$F:$I,3,0)</f>
        <v/>
      </c>
      <c r="O7426" s="94">
        <f>VLOOKUP($Q7426,매칭테이블!$F:$I,4,0)*K7426</f>
        <v/>
      </c>
      <c r="P7426" s="148">
        <f>M7426/1.1</f>
        <v/>
      </c>
      <c r="Q7426" s="94">
        <f>F7426&amp;E7426&amp;G7426&amp;L7426</f>
        <v/>
      </c>
    </row>
    <row r="7427" customFormat="1" s="94">
      <c r="B7427" s="128" t="n">
        <v>44017</v>
      </c>
      <c r="C7427" s="94">
        <f>TEXT(B7427,"aaa")</f>
        <v/>
      </c>
      <c r="E7427" s="94" t="inlineStr">
        <is>
          <t>머드크림마스크</t>
        </is>
      </c>
      <c r="F7427" s="94" t="inlineStr">
        <is>
          <t>카페24</t>
        </is>
      </c>
      <c r="G7427" s="94" t="inlineStr">
        <is>
          <t>머드크림마스크 100ml 2set</t>
        </is>
      </c>
      <c r="H7427" s="7" t="n">
        <v>190801</v>
      </c>
      <c r="I7427" s="7" t="n">
        <v>190801</v>
      </c>
      <c r="K7427" s="6" t="n">
        <v>2</v>
      </c>
      <c r="L7427" s="94" t="n">
        <v>190801</v>
      </c>
      <c r="M7427" s="94">
        <f>VLOOKUP($Q7427,매칭테이블!$F:$I,2,0)*K7427</f>
        <v/>
      </c>
      <c r="N7427" s="94">
        <f>M7427-M7427*VLOOKUP($Q7427,매칭테이블!$F:$I,3,0)</f>
        <v/>
      </c>
      <c r="O7427" s="94">
        <f>VLOOKUP($Q7427,매칭테이블!$F:$I,4,0)*K7427</f>
        <v/>
      </c>
      <c r="P7427" s="148">
        <f>M7427/1.1</f>
        <v/>
      </c>
      <c r="Q7427" s="94">
        <f>F7427&amp;E7427&amp;G7427&amp;L7427</f>
        <v/>
      </c>
    </row>
    <row r="7428" customFormat="1" s="94">
      <c r="B7428" s="128" t="n">
        <v>44017</v>
      </c>
      <c r="C7428" s="94">
        <f>TEXT(B7428,"aaa")</f>
        <v/>
      </c>
      <c r="E7428" s="94" t="inlineStr">
        <is>
          <t>마스크팩</t>
        </is>
      </c>
      <c r="F7428" s="94" t="inlineStr">
        <is>
          <t>카페24</t>
        </is>
      </c>
      <c r="G7428" s="94" t="inlineStr">
        <is>
          <t>마스크팩 1매</t>
        </is>
      </c>
      <c r="H7428" s="7" t="n">
        <v>190801</v>
      </c>
      <c r="I7428" s="7" t="n">
        <v>190801</v>
      </c>
      <c r="K7428" s="6" t="n">
        <v>4</v>
      </c>
      <c r="L7428" s="94" t="n">
        <v>190801</v>
      </c>
      <c r="M7428" s="94">
        <f>VLOOKUP($Q7428,매칭테이블!$F:$I,2,0)*K7428</f>
        <v/>
      </c>
      <c r="N7428" s="94">
        <f>M7428-M7428*VLOOKUP($Q7428,매칭테이블!$F:$I,3,0)</f>
        <v/>
      </c>
      <c r="O7428" s="94">
        <f>VLOOKUP($Q7428,매칭테이블!$F:$I,4,0)*K7428</f>
        <v/>
      </c>
      <c r="P7428" s="148">
        <f>M7428/1.1</f>
        <v/>
      </c>
      <c r="Q7428" s="94">
        <f>F7428&amp;E7428&amp;G7428&amp;L7428</f>
        <v/>
      </c>
    </row>
    <row r="7429" customFormat="1" s="94">
      <c r="B7429" s="128" t="n">
        <v>44017</v>
      </c>
      <c r="C7429" s="94">
        <f>TEXT(B7429,"aaa")</f>
        <v/>
      </c>
      <c r="E7429" s="94" t="inlineStr">
        <is>
          <t>마스크팩</t>
        </is>
      </c>
      <c r="F7429" s="94" t="inlineStr">
        <is>
          <t>카페24</t>
        </is>
      </c>
      <c r="G7429" s="94" t="inlineStr">
        <is>
          <t>마스크팩 10매</t>
        </is>
      </c>
      <c r="H7429" s="7" t="n">
        <v>190801</v>
      </c>
      <c r="I7429" s="7" t="n">
        <v>190801</v>
      </c>
      <c r="K7429" s="6" t="n">
        <v>4</v>
      </c>
      <c r="L7429" s="94" t="n">
        <v>190801</v>
      </c>
      <c r="M7429" s="94">
        <f>VLOOKUP($Q7429,매칭테이블!$F:$I,2,0)*K7429</f>
        <v/>
      </c>
      <c r="N7429" s="94">
        <f>M7429-M7429*VLOOKUP($Q7429,매칭테이블!$F:$I,3,0)</f>
        <v/>
      </c>
      <c r="O7429" s="94">
        <f>VLOOKUP($Q7429,매칭테이블!$F:$I,4,0)*K7429</f>
        <v/>
      </c>
      <c r="P7429" s="148">
        <f>M7429/1.1</f>
        <v/>
      </c>
      <c r="Q7429" s="94">
        <f>F7429&amp;E7429&amp;G7429&amp;L7429</f>
        <v/>
      </c>
    </row>
    <row r="7430" customFormat="1" s="94">
      <c r="B7430" s="128" t="n">
        <v>44017</v>
      </c>
      <c r="C7430" s="94">
        <f>TEXT(B7430,"aaa")</f>
        <v/>
      </c>
      <c r="E7430" s="6" t="inlineStr">
        <is>
          <t>토너</t>
        </is>
      </c>
      <c r="F7430" s="5" t="inlineStr">
        <is>
          <t>카페24</t>
        </is>
      </c>
      <c r="G7430" s="5" t="inlineStr">
        <is>
          <t>250ml</t>
        </is>
      </c>
      <c r="H7430" s="7" t="n">
        <v>190801</v>
      </c>
      <c r="I7430" s="7" t="n">
        <v>190801</v>
      </c>
      <c r="K7430" s="6" t="n">
        <v>59</v>
      </c>
      <c r="L7430" s="7" t="n">
        <v>190801</v>
      </c>
      <c r="M7430" s="94">
        <f>VLOOKUP($Q7430,매칭테이블!$F:$I,2,0)*K7430</f>
        <v/>
      </c>
      <c r="N7430" s="94">
        <f>M7430-M7430*VLOOKUP($Q7430,매칭테이블!$F:$I,3,0)</f>
        <v/>
      </c>
      <c r="O7430" s="94">
        <f>VLOOKUP($Q7430,매칭테이블!$F:$I,4,0)*K7430</f>
        <v/>
      </c>
      <c r="P7430" s="148">
        <f>M7430/1.1</f>
        <v/>
      </c>
      <c r="Q7430" s="94">
        <f>F7430&amp;E7430&amp;G7430&amp;L7430</f>
        <v/>
      </c>
    </row>
    <row r="7431" customFormat="1" s="94">
      <c r="B7431" s="128" t="n">
        <v>44017</v>
      </c>
      <c r="C7431" s="94">
        <f>TEXT(B7431,"aaa")</f>
        <v/>
      </c>
      <c r="E7431" s="6" t="inlineStr">
        <is>
          <t>토너</t>
        </is>
      </c>
      <c r="F7431" s="5" t="inlineStr">
        <is>
          <t>카페24</t>
        </is>
      </c>
      <c r="G7431" s="5" t="inlineStr">
        <is>
          <t>250ml 2set</t>
        </is>
      </c>
      <c r="H7431" s="7" t="n">
        <v>190801</v>
      </c>
      <c r="I7431" s="7" t="n">
        <v>190801</v>
      </c>
      <c r="K7431" s="6" t="n">
        <v>51</v>
      </c>
      <c r="L7431" s="7" t="n">
        <v>190801</v>
      </c>
      <c r="M7431" s="94">
        <f>VLOOKUP($Q7431,매칭테이블!$F:$I,2,0)*K7431</f>
        <v/>
      </c>
      <c r="N7431" s="94">
        <f>M7431-M7431*VLOOKUP($Q7431,매칭테이블!$F:$I,3,0)</f>
        <v/>
      </c>
      <c r="O7431" s="94">
        <f>VLOOKUP($Q7431,매칭테이블!$F:$I,4,0)*K7431</f>
        <v/>
      </c>
      <c r="P7431" s="148">
        <f>M7431/1.1</f>
        <v/>
      </c>
      <c r="Q7431" s="94">
        <f>F7431&amp;E7431&amp;G7431&amp;L7431</f>
        <v/>
      </c>
    </row>
    <row r="7432" customFormat="1" s="94">
      <c r="B7432" s="128" t="n">
        <v>44017</v>
      </c>
      <c r="C7432" s="94">
        <f>TEXT(B7432,"aaa")</f>
        <v/>
      </c>
      <c r="E7432" s="6" t="inlineStr">
        <is>
          <t>토너</t>
        </is>
      </c>
      <c r="F7432" s="5" t="inlineStr">
        <is>
          <t>카페24</t>
        </is>
      </c>
      <c r="G7432" s="5" t="inlineStr">
        <is>
          <t>500ml</t>
        </is>
      </c>
      <c r="H7432" s="7" t="n">
        <v>190801</v>
      </c>
      <c r="I7432" s="7" t="n">
        <v>190801</v>
      </c>
      <c r="K7432" s="6" t="n">
        <v>53</v>
      </c>
      <c r="L7432" s="7" t="n">
        <v>190801</v>
      </c>
      <c r="M7432" s="94">
        <f>VLOOKUP($Q7432,매칭테이블!$F:$I,2,0)*K7432</f>
        <v/>
      </c>
      <c r="N7432" s="94">
        <f>M7432-M7432*VLOOKUP($Q7432,매칭테이블!$F:$I,3,0)</f>
        <v/>
      </c>
      <c r="O7432" s="94">
        <f>VLOOKUP($Q7432,매칭테이블!$F:$I,4,0)*K7432</f>
        <v/>
      </c>
      <c r="P7432" s="148">
        <f>M7432/1.1</f>
        <v/>
      </c>
      <c r="Q7432" s="94">
        <f>F7432&amp;E7432&amp;G7432&amp;L7432</f>
        <v/>
      </c>
    </row>
    <row r="7433" customFormat="1" s="94">
      <c r="B7433" s="128" t="n">
        <v>44017</v>
      </c>
      <c r="C7433" s="94">
        <f>TEXT(B7433,"aaa")</f>
        <v/>
      </c>
      <c r="E7433" s="6" t="inlineStr">
        <is>
          <t>토너</t>
        </is>
      </c>
      <c r="F7433" s="5" t="inlineStr">
        <is>
          <t>카페24</t>
        </is>
      </c>
      <c r="G7433" s="94" t="inlineStr">
        <is>
          <t>스킨팩 화장솜 60P</t>
        </is>
      </c>
      <c r="H7433" s="7" t="n">
        <v>190801</v>
      </c>
      <c r="I7433" s="7" t="n">
        <v>190801</v>
      </c>
      <c r="K7433" s="6" t="n">
        <v>66</v>
      </c>
      <c r="L7433" s="7" t="n">
        <v>190801</v>
      </c>
      <c r="M7433" s="94">
        <f>VLOOKUP($Q7433,매칭테이블!$F:$I,2,0)*K7433</f>
        <v/>
      </c>
      <c r="N7433" s="94">
        <f>M7433-M7433*VLOOKUP($Q7433,매칭테이블!$F:$I,3,0)</f>
        <v/>
      </c>
      <c r="O7433" s="94">
        <f>VLOOKUP($Q7433,매칭테이블!$F:$I,4,0)*K7433</f>
        <v/>
      </c>
      <c r="P7433" s="148">
        <f>M7433/1.1</f>
        <v/>
      </c>
      <c r="Q7433" s="94">
        <f>F7433&amp;E7433&amp;G7433&amp;L7433</f>
        <v/>
      </c>
    </row>
    <row r="7434" customFormat="1" s="94">
      <c r="B7434" s="128" t="n">
        <v>44017</v>
      </c>
      <c r="C7434" s="94">
        <f>TEXT(B7434,"aaa")</f>
        <v/>
      </c>
      <c r="E7434" s="94" t="inlineStr">
        <is>
          <t>앰플</t>
        </is>
      </c>
      <c r="F7434" s="5" t="inlineStr">
        <is>
          <t>카페24</t>
        </is>
      </c>
      <c r="G7434" s="94" t="inlineStr">
        <is>
          <t>앰플 30ml</t>
        </is>
      </c>
      <c r="H7434" s="7" t="n">
        <v>190801</v>
      </c>
      <c r="I7434" s="7" t="n">
        <v>190801</v>
      </c>
      <c r="K7434" s="6" t="n">
        <v>10</v>
      </c>
      <c r="L7434" s="94" t="n">
        <v>190801</v>
      </c>
      <c r="M7434" s="94">
        <f>VLOOKUP($Q7434,매칭테이블!$F:$I,2,0)*K7434</f>
        <v/>
      </c>
      <c r="N7434" s="94">
        <f>M7434-M7434*VLOOKUP($Q7434,매칭테이블!$F:$I,3,0)</f>
        <v/>
      </c>
      <c r="O7434" s="94">
        <f>VLOOKUP($Q7434,매칭테이블!$F:$I,4,0)*K7434</f>
        <v/>
      </c>
      <c r="P7434" s="148">
        <f>M7434/1.1</f>
        <v/>
      </c>
      <c r="Q7434" s="94">
        <f>F7434&amp;E7434&amp;G7434&amp;L7434</f>
        <v/>
      </c>
    </row>
    <row r="7435" customFormat="1" s="94">
      <c r="B7435" s="128" t="n">
        <v>44017</v>
      </c>
      <c r="C7435" s="94">
        <f>TEXT(B7435,"aaa")</f>
        <v/>
      </c>
      <c r="E7435" s="94" t="inlineStr">
        <is>
          <t>수딩크림</t>
        </is>
      </c>
      <c r="F7435" s="5" t="inlineStr">
        <is>
          <t>카페24</t>
        </is>
      </c>
      <c r="G7435" s="94" t="inlineStr">
        <is>
          <t>수딩크림 100ml</t>
        </is>
      </c>
      <c r="H7435" s="7" t="n">
        <v>190801</v>
      </c>
      <c r="I7435" s="7" t="n">
        <v>190801</v>
      </c>
      <c r="K7435" s="6" t="n">
        <v>2</v>
      </c>
      <c r="L7435" s="94" t="n">
        <v>190801</v>
      </c>
      <c r="M7435" s="94">
        <f>VLOOKUP($Q7435,매칭테이블!$F:$I,2,0)*K7435</f>
        <v/>
      </c>
      <c r="N7435" s="94">
        <f>M7435-M7435*VLOOKUP($Q7435,매칭테이블!$F:$I,3,0)</f>
        <v/>
      </c>
      <c r="O7435" s="94">
        <f>VLOOKUP($Q7435,매칭테이블!$F:$I,4,0)*K7435</f>
        <v/>
      </c>
      <c r="P7435" s="148">
        <f>M7435/1.1</f>
        <v/>
      </c>
      <c r="Q7435" s="94">
        <f>F7435&amp;E7435&amp;G7435&amp;L7435</f>
        <v/>
      </c>
    </row>
    <row r="7436" customFormat="1" s="94">
      <c r="B7436" s="128" t="n">
        <v>44017</v>
      </c>
      <c r="C7436" s="94">
        <f>TEXT(B7436,"aaa")</f>
        <v/>
      </c>
      <c r="E7436" s="94" t="inlineStr">
        <is>
          <t>클렌징폼</t>
        </is>
      </c>
      <c r="F7436" s="5" t="inlineStr">
        <is>
          <t>카페24</t>
        </is>
      </c>
      <c r="G7436" s="94" t="inlineStr">
        <is>
          <t>클렌징폼 120ml</t>
        </is>
      </c>
      <c r="H7436" s="7" t="n">
        <v>190801</v>
      </c>
      <c r="I7436" s="7" t="n">
        <v>190801</v>
      </c>
      <c r="K7436" s="6" t="n">
        <v>10</v>
      </c>
      <c r="L7436" s="7" t="n">
        <v>190801</v>
      </c>
      <c r="M7436" s="94">
        <f>VLOOKUP($Q7436,매칭테이블!$F:$I,2,0)*K7436</f>
        <v/>
      </c>
      <c r="N7436" s="94">
        <f>M7436-M7436*VLOOKUP($Q7436,매칭테이블!$F:$I,3,0)</f>
        <v/>
      </c>
      <c r="O7436" s="94">
        <f>VLOOKUP($Q7436,매칭테이블!$F:$I,4,0)*K7436</f>
        <v/>
      </c>
      <c r="P7436" s="148">
        <f>M7436/1.1</f>
        <v/>
      </c>
      <c r="Q7436" s="94">
        <f>F7436&amp;E7436&amp;G7436&amp;L7436</f>
        <v/>
      </c>
    </row>
    <row r="7437" customFormat="1" s="94">
      <c r="B7437" s="128" t="n">
        <v>44017</v>
      </c>
      <c r="C7437" s="94">
        <f>TEXT(B7437,"aaa")</f>
        <v/>
      </c>
      <c r="E7437" s="94" t="inlineStr">
        <is>
          <t>클렌징폼</t>
        </is>
      </c>
      <c r="F7437" s="94" t="inlineStr">
        <is>
          <t>카페24</t>
        </is>
      </c>
      <c r="G7437" s="94" t="inlineStr">
        <is>
          <t>클렌징폼 120ml 2set</t>
        </is>
      </c>
      <c r="H7437" s="7" t="n">
        <v>190801</v>
      </c>
      <c r="I7437" s="7" t="n">
        <v>190801</v>
      </c>
      <c r="K7437" s="6" t="n">
        <v>2</v>
      </c>
      <c r="L7437" s="7" t="n">
        <v>190801</v>
      </c>
      <c r="M7437" s="94">
        <f>VLOOKUP($Q7437,매칭테이블!$F:$I,2,0)*K7437</f>
        <v/>
      </c>
      <c r="N7437" s="94">
        <f>M7437-M7437*VLOOKUP($Q7437,매칭테이블!$F:$I,3,0)</f>
        <v/>
      </c>
      <c r="O7437" s="94">
        <f>VLOOKUP($Q7437,매칭테이블!$F:$I,4,0)*K7437</f>
        <v/>
      </c>
      <c r="P7437" s="148">
        <f>M7437/1.1</f>
        <v/>
      </c>
      <c r="Q7437" s="94">
        <f>F7437&amp;E7437&amp;G7437&amp;L7437</f>
        <v/>
      </c>
    </row>
    <row r="7438" customFormat="1" s="94">
      <c r="B7438" s="128" t="n">
        <v>44017</v>
      </c>
      <c r="C7438" s="94">
        <f>TEXT(B7438,"aaa")</f>
        <v/>
      </c>
      <c r="E7438" s="6" t="inlineStr">
        <is>
          <t>토너</t>
        </is>
      </c>
      <c r="F7438" s="5" t="inlineStr">
        <is>
          <t>화해</t>
        </is>
      </c>
      <c r="G7438" s="5" t="inlineStr">
        <is>
          <t>250ml</t>
        </is>
      </c>
      <c r="H7438" s="7" t="n">
        <v>190801</v>
      </c>
      <c r="I7438" s="7" t="n">
        <v>190801</v>
      </c>
      <c r="K7438" s="94" t="n">
        <v>6</v>
      </c>
      <c r="L7438" s="6" t="n">
        <v>190801</v>
      </c>
      <c r="M7438" s="94">
        <f>VLOOKUP($Q7438,매칭테이블!$F:$I,2,0)*K7438</f>
        <v/>
      </c>
      <c r="N7438" s="94">
        <f>M7438-M7438*VLOOKUP($Q7438,매칭테이블!$F:$I,3,0)</f>
        <v/>
      </c>
      <c r="O7438" s="94">
        <f>VLOOKUP($Q7438,매칭테이블!$F:$I,4,0)*K7438</f>
        <v/>
      </c>
      <c r="P7438" s="148">
        <f>M7438/1.1</f>
        <v/>
      </c>
      <c r="Q7438" s="94">
        <f>F7438&amp;E7438&amp;G7438&amp;L7438</f>
        <v/>
      </c>
    </row>
    <row r="7439" customFormat="1" s="94">
      <c r="B7439" s="128" t="n">
        <v>44017</v>
      </c>
      <c r="C7439" s="94">
        <f>TEXT(B7439,"aaa")</f>
        <v/>
      </c>
      <c r="E7439" s="94" t="inlineStr">
        <is>
          <t>토너</t>
        </is>
      </c>
      <c r="F7439" s="5" t="inlineStr">
        <is>
          <t>랄라블라</t>
        </is>
      </c>
      <c r="G7439" s="94" t="inlineStr">
        <is>
          <t>250ml</t>
        </is>
      </c>
      <c r="H7439" s="7" t="n">
        <v>190801</v>
      </c>
      <c r="I7439" s="7" t="n">
        <v>190801</v>
      </c>
      <c r="J7439" s="6" t="n"/>
      <c r="K7439" s="94" t="n">
        <v>640</v>
      </c>
      <c r="L7439" s="7" t="n">
        <v>190801</v>
      </c>
      <c r="M7439" s="94">
        <f>VLOOKUP($Q7439,매칭테이블!$F:$I,2,0)*K7439</f>
        <v/>
      </c>
      <c r="N7439" s="94">
        <f>M7439-M7439*VLOOKUP($Q7439,매칭테이블!$F:$I,3,0)</f>
        <v/>
      </c>
      <c r="O7439" s="94">
        <f>VLOOKUP($Q7439,매칭테이블!$F:$I,4,0)*K7439</f>
        <v/>
      </c>
      <c r="P7439" s="148">
        <f>M7439/1.1</f>
        <v/>
      </c>
      <c r="Q7439" s="94">
        <f>F7439&amp;E7439&amp;G7439&amp;L7439</f>
        <v/>
      </c>
    </row>
    <row r="7440" customFormat="1" s="94">
      <c r="B7440" s="128" t="n">
        <v>44017</v>
      </c>
      <c r="C7440" s="94">
        <f>TEXT(B7440,"aaa")</f>
        <v/>
      </c>
      <c r="E7440" s="94" t="inlineStr">
        <is>
          <t>토너</t>
        </is>
      </c>
      <c r="F7440" s="5" t="inlineStr">
        <is>
          <t>랄라블라</t>
        </is>
      </c>
      <c r="G7440" s="94" t="inlineStr">
        <is>
          <t>500ml</t>
        </is>
      </c>
      <c r="H7440" s="7" t="n">
        <v>190801</v>
      </c>
      <c r="I7440" s="7" t="n">
        <v>190801</v>
      </c>
      <c r="J7440" s="6" t="n"/>
      <c r="K7440" s="94" t="n">
        <v>7</v>
      </c>
      <c r="L7440" s="7" t="n">
        <v>190801</v>
      </c>
      <c r="M7440" s="94">
        <f>VLOOKUP($Q7440,매칭테이블!$F:$I,2,0)*K7440</f>
        <v/>
      </c>
      <c r="N7440" s="94">
        <f>M7440-M7440*VLOOKUP($Q7440,매칭테이블!$F:$I,3,0)</f>
        <v/>
      </c>
      <c r="O7440" s="94">
        <f>VLOOKUP($Q7440,매칭테이블!$F:$I,4,0)*K7440</f>
        <v/>
      </c>
      <c r="P7440" s="148">
        <f>M7440/1.1</f>
        <v/>
      </c>
      <c r="Q7440" s="94">
        <f>F7440&amp;E7440&amp;G7440&amp;L7440</f>
        <v/>
      </c>
    </row>
    <row r="7441" customFormat="1" s="94">
      <c r="B7441" s="128" t="n">
        <v>44017</v>
      </c>
      <c r="C7441" s="94">
        <f>TEXT(B7441,"aaa")</f>
        <v/>
      </c>
      <c r="E7441" s="94" t="inlineStr">
        <is>
          <t>마스크팩</t>
        </is>
      </c>
      <c r="F7441" s="5" t="inlineStr">
        <is>
          <t>랄라블라</t>
        </is>
      </c>
      <c r="G7441" s="94" t="inlineStr">
        <is>
          <t>마스크팩 1매</t>
        </is>
      </c>
      <c r="H7441" s="7" t="n">
        <v>190801</v>
      </c>
      <c r="I7441" s="7" t="n">
        <v>190801</v>
      </c>
      <c r="J7441" s="6" t="n"/>
      <c r="K7441" s="94" t="n">
        <v>523</v>
      </c>
      <c r="L7441" s="7" t="n">
        <v>190801</v>
      </c>
      <c r="M7441" s="94">
        <f>VLOOKUP($Q7441,매칭테이블!$F:$I,2,0)*K7441</f>
        <v/>
      </c>
      <c r="N7441" s="94">
        <f>M7441-M7441*VLOOKUP($Q7441,매칭테이블!$F:$I,3,0)</f>
        <v/>
      </c>
      <c r="O7441" s="94">
        <f>VLOOKUP($Q7441,매칭테이블!$F:$I,4,0)*K7441</f>
        <v/>
      </c>
      <c r="P7441" s="148">
        <f>M7441/1.1</f>
        <v/>
      </c>
      <c r="Q7441" s="94">
        <f>F7441&amp;E7441&amp;G7441&amp;L7441</f>
        <v/>
      </c>
    </row>
    <row r="7442" customFormat="1" s="94">
      <c r="B7442" s="128" t="n">
        <v>44017</v>
      </c>
      <c r="C7442" s="94">
        <f>TEXT(B7442,"aaa")</f>
        <v/>
      </c>
      <c r="E7442" s="94" t="inlineStr">
        <is>
          <t>수딩크림 증정기획</t>
        </is>
      </c>
      <c r="F7442" s="5" t="inlineStr">
        <is>
          <t>랄라블라</t>
        </is>
      </c>
      <c r="G7442" s="94" t="inlineStr">
        <is>
          <t>수딩크림 증정기획</t>
        </is>
      </c>
      <c r="H7442" s="7" t="n">
        <v>190801</v>
      </c>
      <c r="I7442" s="7" t="n">
        <v>190801</v>
      </c>
      <c r="J7442" s="6" t="n"/>
      <c r="K7442" s="94" t="n">
        <v>82</v>
      </c>
      <c r="L7442" s="7" t="n">
        <v>190801</v>
      </c>
      <c r="M7442" s="94">
        <f>VLOOKUP($Q7442,매칭테이블!$F:$I,2,0)*K7442</f>
        <v/>
      </c>
      <c r="N7442" s="94">
        <f>M7442-M7442*VLOOKUP($Q7442,매칭테이블!$F:$I,3,0)</f>
        <v/>
      </c>
      <c r="O7442" s="94">
        <f>VLOOKUP($Q7442,매칭테이블!$F:$I,4,0)*K7442</f>
        <v/>
      </c>
      <c r="P7442" s="148">
        <f>M7442/1.1</f>
        <v/>
      </c>
      <c r="Q7442" s="94">
        <f>F7442&amp;E7442&amp;G7442&amp;L7442</f>
        <v/>
      </c>
    </row>
    <row r="7443" customFormat="1" s="94">
      <c r="B7443" s="128" t="n">
        <v>44017</v>
      </c>
      <c r="C7443" s="94">
        <f>TEXT(B7443,"aaa")</f>
        <v/>
      </c>
      <c r="E7443" s="94" t="inlineStr">
        <is>
          <t>수딩크림</t>
        </is>
      </c>
      <c r="F7443" s="5" t="inlineStr">
        <is>
          <t>랄라블라</t>
        </is>
      </c>
      <c r="G7443" s="94" t="inlineStr">
        <is>
          <t>수딩크림 100ml</t>
        </is>
      </c>
      <c r="H7443" s="7" t="n">
        <v>190801</v>
      </c>
      <c r="I7443" s="7" t="n">
        <v>190801</v>
      </c>
      <c r="J7443" s="6" t="n"/>
      <c r="K7443" s="94" t="n">
        <v>17</v>
      </c>
      <c r="L7443" s="7" t="n">
        <v>190801</v>
      </c>
      <c r="M7443" s="94">
        <f>VLOOKUP($Q7443,매칭테이블!$F:$I,2,0)*K7443</f>
        <v/>
      </c>
      <c r="N7443" s="94">
        <f>M7443-M7443*VLOOKUP($Q7443,매칭테이블!$F:$I,3,0)</f>
        <v/>
      </c>
      <c r="O7443" s="94">
        <f>VLOOKUP($Q7443,매칭테이블!$F:$I,4,0)*K7443</f>
        <v/>
      </c>
      <c r="P7443" s="148">
        <f>M7443/1.1</f>
        <v/>
      </c>
      <c r="Q7443" s="94">
        <f>F7443&amp;E7443&amp;G7443&amp;L7443</f>
        <v/>
      </c>
    </row>
    <row r="7444" customFormat="1" s="94">
      <c r="B7444" s="128" t="n">
        <v>44017</v>
      </c>
      <c r="C7444" s="94">
        <f>TEXT(B7444,"aaa")</f>
        <v/>
      </c>
      <c r="E7444" s="94" t="inlineStr">
        <is>
          <t>앰플 기획세트</t>
        </is>
      </c>
      <c r="F7444" s="5" t="inlineStr">
        <is>
          <t>랄라블라</t>
        </is>
      </c>
      <c r="G7444" s="94" t="inlineStr">
        <is>
          <t>앰플 기획세트</t>
        </is>
      </c>
      <c r="H7444" s="7" t="n">
        <v>190801</v>
      </c>
      <c r="I7444" s="7" t="n">
        <v>190801</v>
      </c>
      <c r="J7444" s="6" t="n"/>
      <c r="K7444" s="94" t="n">
        <v>73</v>
      </c>
      <c r="L7444" s="7" t="n">
        <v>190801</v>
      </c>
      <c r="M7444" s="94">
        <f>VLOOKUP($Q7444,매칭테이블!$F:$I,2,0)*K7444</f>
        <v/>
      </c>
      <c r="N7444" s="94">
        <f>M7444-M7444*VLOOKUP($Q7444,매칭테이블!$F:$I,3,0)</f>
        <v/>
      </c>
      <c r="O7444" s="94">
        <f>VLOOKUP($Q7444,매칭테이블!$F:$I,4,0)*K7444</f>
        <v/>
      </c>
      <c r="P7444" s="148">
        <f>M7444/1.1</f>
        <v/>
      </c>
      <c r="Q7444" s="94">
        <f>F7444&amp;E7444&amp;G7444&amp;L7444</f>
        <v/>
      </c>
    </row>
    <row r="7445" customFormat="1" s="94">
      <c r="B7445" s="128" t="n">
        <v>44017</v>
      </c>
      <c r="C7445" s="94">
        <f>TEXT(B7445,"aaa")</f>
        <v/>
      </c>
      <c r="E7445" s="94" t="inlineStr">
        <is>
          <t>클렌징폼 기획세트</t>
        </is>
      </c>
      <c r="F7445" s="5" t="inlineStr">
        <is>
          <t>랄라블라</t>
        </is>
      </c>
      <c r="G7445" s="94" t="inlineStr">
        <is>
          <t>클렌징폼 기획세트</t>
        </is>
      </c>
      <c r="H7445" s="7" t="n">
        <v>190801</v>
      </c>
      <c r="I7445" s="7" t="n">
        <v>190801</v>
      </c>
      <c r="J7445" s="6" t="n"/>
      <c r="K7445" s="94" t="n">
        <v>156</v>
      </c>
      <c r="L7445" s="7" t="n">
        <v>190801</v>
      </c>
      <c r="M7445" s="94">
        <f>VLOOKUP($Q7445,매칭테이블!$F:$I,2,0)*K7445</f>
        <v/>
      </c>
      <c r="N7445" s="94">
        <f>M7445-M7445*VLOOKUP($Q7445,매칭테이블!$F:$I,3,0)</f>
        <v/>
      </c>
      <c r="O7445" s="94">
        <f>VLOOKUP($Q7445,매칭테이블!$F:$I,4,0)*K7445</f>
        <v/>
      </c>
      <c r="P7445" s="148">
        <f>M7445/1.1</f>
        <v/>
      </c>
      <c r="Q7445" s="94">
        <f>F7445&amp;E7445&amp;G7445&amp;L7445</f>
        <v/>
      </c>
    </row>
    <row r="7446" customFormat="1" s="94">
      <c r="B7446" s="128" t="n">
        <v>44017</v>
      </c>
      <c r="C7446" s="94">
        <f>TEXT(B7446,"aaa")</f>
        <v/>
      </c>
      <c r="E7446" s="94" t="inlineStr">
        <is>
          <t>클렌징폼</t>
        </is>
      </c>
      <c r="F7446" s="5" t="inlineStr">
        <is>
          <t>랄라블라</t>
        </is>
      </c>
      <c r="G7446" s="94" t="inlineStr">
        <is>
          <t>클렌징폼 120ml</t>
        </is>
      </c>
      <c r="H7446" s="7" t="n">
        <v>190801</v>
      </c>
      <c r="I7446" s="7" t="n">
        <v>190801</v>
      </c>
      <c r="J7446" s="6" t="n"/>
      <c r="K7446" s="94" t="n">
        <v>7</v>
      </c>
      <c r="L7446" s="7" t="n">
        <v>190801</v>
      </c>
      <c r="M7446" s="94">
        <f>VLOOKUP($Q7446,매칭테이블!$F:$I,2,0)*K7446</f>
        <v/>
      </c>
      <c r="N7446" s="94">
        <f>M7446-M7446*VLOOKUP($Q7446,매칭테이블!$F:$I,3,0)</f>
        <v/>
      </c>
      <c r="O7446" s="94">
        <f>VLOOKUP($Q7446,매칭테이블!$F:$I,4,0)*K7446</f>
        <v/>
      </c>
      <c r="P7446" s="148">
        <f>M7446/1.1</f>
        <v/>
      </c>
      <c r="Q7446" s="94">
        <f>F7446&amp;E7446&amp;G7446&amp;L7446</f>
        <v/>
      </c>
    </row>
    <row r="7447" customFormat="1" s="94">
      <c r="B7447" s="128" t="n">
        <v>44017</v>
      </c>
      <c r="C7447" s="94">
        <f>TEXT(B7447,"aaa")</f>
        <v/>
      </c>
      <c r="E7447" s="94" t="inlineStr">
        <is>
          <t>토너 증정기획</t>
        </is>
      </c>
      <c r="F7447" s="5" t="inlineStr">
        <is>
          <t>랄라블라</t>
        </is>
      </c>
      <c r="G7447" s="94" t="inlineStr">
        <is>
          <t>토너 증정기획</t>
        </is>
      </c>
      <c r="H7447" s="7" t="n">
        <v>190801</v>
      </c>
      <c r="I7447" s="7" t="n">
        <v>190801</v>
      </c>
      <c r="J7447" s="6" t="n"/>
      <c r="K7447" s="94" t="n">
        <v>168</v>
      </c>
      <c r="L7447" s="7" t="n">
        <v>190801</v>
      </c>
      <c r="M7447" s="94">
        <f>VLOOKUP($Q7447,매칭테이블!$F:$I,2,0)*K7447</f>
        <v/>
      </c>
      <c r="N7447" s="94">
        <f>M7447-M7447*VLOOKUP($Q7447,매칭테이블!$F:$I,3,0)</f>
        <v/>
      </c>
      <c r="O7447" s="94">
        <f>VLOOKUP($Q7447,매칭테이블!$F:$I,4,0)*K7447</f>
        <v/>
      </c>
      <c r="P7447" s="148">
        <f>M7447/1.1</f>
        <v/>
      </c>
      <c r="Q7447" s="94">
        <f>F7447&amp;E7447&amp;G7447&amp;L7447</f>
        <v/>
      </c>
    </row>
    <row r="7448" customFormat="1" s="94">
      <c r="B7448" s="128" t="n">
        <v>44017</v>
      </c>
      <c r="C7448" s="94">
        <f>TEXT(B7448,"aaa")</f>
        <v/>
      </c>
      <c r="E7448" s="94" t="inlineStr">
        <is>
          <t>선크림</t>
        </is>
      </c>
      <c r="F7448" s="5" t="inlineStr">
        <is>
          <t>랄라블라</t>
        </is>
      </c>
      <c r="G7448" s="94" t="inlineStr">
        <is>
          <t>선크림 50ml</t>
        </is>
      </c>
      <c r="H7448" s="7" t="n">
        <v>190801</v>
      </c>
      <c r="I7448" s="7" t="n">
        <v>190801</v>
      </c>
      <c r="J7448" s="6" t="n"/>
      <c r="K7448" s="94" t="n">
        <v>38</v>
      </c>
      <c r="L7448" s="7" t="n">
        <v>190801</v>
      </c>
      <c r="M7448" s="94">
        <f>VLOOKUP($Q7448,매칭테이블!$F:$I,2,0)*K7448</f>
        <v/>
      </c>
      <c r="N7448" s="94">
        <f>M7448-M7448*VLOOKUP($Q7448,매칭테이블!$F:$I,3,0)</f>
        <v/>
      </c>
      <c r="O7448" s="94">
        <f>VLOOKUP($Q7448,매칭테이블!$F:$I,4,0)*K7448</f>
        <v/>
      </c>
      <c r="P7448" s="148">
        <f>M7448/1.1</f>
        <v/>
      </c>
      <c r="Q7448" s="94">
        <f>F7448&amp;E7448&amp;G7448&amp;L7448</f>
        <v/>
      </c>
    </row>
    <row r="7449" customFormat="1" s="94">
      <c r="B7449" s="128" t="n">
        <v>44017</v>
      </c>
      <c r="C7449" s="94">
        <f>TEXT(B7449,"aaa")</f>
        <v/>
      </c>
      <c r="E7449" s="94" t="inlineStr">
        <is>
          <t>대용량 기획세트</t>
        </is>
      </c>
      <c r="F7449" s="5" t="inlineStr">
        <is>
          <t>랄라블라</t>
        </is>
      </c>
      <c r="G7449" s="94" t="inlineStr">
        <is>
          <t>대용량 기획세트</t>
        </is>
      </c>
      <c r="H7449" s="7" t="n">
        <v>190801</v>
      </c>
      <c r="I7449" s="7" t="n">
        <v>190801</v>
      </c>
      <c r="J7449" s="6" t="n"/>
      <c r="K7449" s="94" t="n">
        <v>32</v>
      </c>
      <c r="L7449" s="7" t="n">
        <v>190801</v>
      </c>
      <c r="M7449" s="94">
        <f>VLOOKUP($Q7449,매칭테이블!$F:$I,2,0)*K7449</f>
        <v/>
      </c>
      <c r="N7449" s="94">
        <f>M7449-M7449*VLOOKUP($Q7449,매칭테이블!$F:$I,3,0)</f>
        <v/>
      </c>
      <c r="O7449" s="94">
        <f>VLOOKUP($Q7449,매칭테이블!$F:$I,4,0)*K7449</f>
        <v/>
      </c>
      <c r="P7449" s="148">
        <f>M7449/1.1</f>
        <v/>
      </c>
      <c r="Q7449" s="94">
        <f>F7449&amp;E7449&amp;G7449&amp;L7449</f>
        <v/>
      </c>
    </row>
    <row r="7450" customFormat="1" s="94">
      <c r="B7450" s="128" t="n">
        <v>44017</v>
      </c>
      <c r="C7450" s="94">
        <f>TEXT(B7450,"aaa")</f>
        <v/>
      </c>
      <c r="E7450" s="94" t="inlineStr">
        <is>
          <t>토너 기획세트</t>
        </is>
      </c>
      <c r="F7450" s="5" t="inlineStr">
        <is>
          <t>랄라블라</t>
        </is>
      </c>
      <c r="G7450" s="94" t="inlineStr">
        <is>
          <t>토너 기획세트</t>
        </is>
      </c>
      <c r="H7450" s="7" t="n">
        <v>190801</v>
      </c>
      <c r="I7450" s="7" t="n">
        <v>190801</v>
      </c>
      <c r="J7450" s="6" t="n"/>
      <c r="K7450" s="94" t="n">
        <v>1</v>
      </c>
      <c r="L7450" s="7" t="n">
        <v>190801</v>
      </c>
      <c r="M7450" s="94">
        <f>VLOOKUP($Q7450,매칭테이블!$F:$I,2,0)*K7450</f>
        <v/>
      </c>
      <c r="N7450" s="94">
        <f>M7450-M7450*VLOOKUP($Q7450,매칭테이블!$F:$I,3,0)</f>
        <v/>
      </c>
      <c r="O7450" s="94">
        <f>VLOOKUP($Q7450,매칭테이블!$F:$I,4,0)*K7450</f>
        <v/>
      </c>
      <c r="P7450" s="148">
        <f>M7450/1.1</f>
        <v/>
      </c>
      <c r="Q7450" s="94">
        <f>F7450&amp;E7450&amp;G7450&amp;L7450</f>
        <v/>
      </c>
    </row>
    <row r="7451" customFormat="1" s="94">
      <c r="B7451" s="128" t="n">
        <v>44018</v>
      </c>
      <c r="C7451" s="94">
        <f>TEXT(B7451,"aaa")</f>
        <v/>
      </c>
      <c r="E7451" s="94" t="inlineStr">
        <is>
          <t>토너</t>
        </is>
      </c>
      <c r="F7451" s="5" t="inlineStr">
        <is>
          <t>W컨셉</t>
        </is>
      </c>
      <c r="G7451" s="94" t="inlineStr">
        <is>
          <t>250ml</t>
        </is>
      </c>
      <c r="H7451" s="7" t="n">
        <v>190801</v>
      </c>
      <c r="I7451" s="7" t="n">
        <v>190801</v>
      </c>
      <c r="J7451" s="6" t="n"/>
      <c r="K7451" s="94" t="n">
        <v>2</v>
      </c>
      <c r="L7451" s="7" t="n">
        <v>190801</v>
      </c>
      <c r="M7451" s="94">
        <f>VLOOKUP($Q7451,매칭테이블!$F:$I,2,0)*K7451</f>
        <v/>
      </c>
      <c r="N7451" s="94">
        <f>M7451-M7451*VLOOKUP($Q7451,매칭테이블!$F:$I,3,0)</f>
        <v/>
      </c>
      <c r="O7451" s="94">
        <f>VLOOKUP($Q7451,매칭테이블!$F:$I,4,0)*K7451</f>
        <v/>
      </c>
      <c r="P7451" s="148">
        <f>M7451/1.1</f>
        <v/>
      </c>
      <c r="Q7451" s="94">
        <f>F7451&amp;E7451&amp;G7451&amp;L7451</f>
        <v/>
      </c>
    </row>
    <row r="7452" customFormat="1" s="94">
      <c r="B7452" s="128" t="n">
        <v>44018</v>
      </c>
      <c r="C7452" s="94">
        <f>TEXT(B7452,"aaa")</f>
        <v/>
      </c>
      <c r="E7452" s="94" t="inlineStr">
        <is>
          <t>토너</t>
        </is>
      </c>
      <c r="F7452" s="5" t="inlineStr">
        <is>
          <t>W컨셉</t>
        </is>
      </c>
      <c r="G7452" s="94" t="inlineStr">
        <is>
          <t>250ml 2set</t>
        </is>
      </c>
      <c r="H7452" s="7" t="n">
        <v>190801</v>
      </c>
      <c r="I7452" s="7" t="n">
        <v>190801</v>
      </c>
      <c r="J7452" s="6" t="n"/>
      <c r="K7452" s="94" t="n">
        <v>14</v>
      </c>
      <c r="L7452" s="7" t="n">
        <v>190801</v>
      </c>
      <c r="M7452" s="94">
        <f>VLOOKUP($Q7452,매칭테이블!$F:$I,2,0)*K7452</f>
        <v/>
      </c>
      <c r="N7452" s="94">
        <f>M7452-M7452*VLOOKUP($Q7452,매칭테이블!$F:$I,3,0)</f>
        <v/>
      </c>
      <c r="O7452" s="94">
        <f>VLOOKUP($Q7452,매칭테이블!$F:$I,4,0)*K7452</f>
        <v/>
      </c>
      <c r="P7452" s="148">
        <f>M7452/1.1</f>
        <v/>
      </c>
      <c r="Q7452" s="94">
        <f>F7452&amp;E7452&amp;G7452&amp;L7452</f>
        <v/>
      </c>
    </row>
    <row r="7453" customFormat="1" s="94">
      <c r="B7453" s="128" t="n">
        <v>44018</v>
      </c>
      <c r="C7453" s="94">
        <f>TEXT(B7453,"aaa")</f>
        <v/>
      </c>
      <c r="E7453" s="94" t="inlineStr">
        <is>
          <t>토너</t>
        </is>
      </c>
      <c r="F7453" s="5" t="inlineStr">
        <is>
          <t>스타일쉐어</t>
        </is>
      </c>
      <c r="G7453" s="94" t="inlineStr">
        <is>
          <t>250ml</t>
        </is>
      </c>
      <c r="H7453" s="7" t="n">
        <v>190801</v>
      </c>
      <c r="I7453" s="7" t="n">
        <v>190801</v>
      </c>
      <c r="J7453" s="6" t="n"/>
      <c r="K7453" s="94" t="n">
        <v>16</v>
      </c>
      <c r="L7453" s="7" t="n">
        <v>190801</v>
      </c>
      <c r="M7453" s="94">
        <f>VLOOKUP($Q7453,매칭테이블!$F:$I,2,0)*K7453</f>
        <v/>
      </c>
      <c r="N7453" s="94">
        <f>M7453-M7453*VLOOKUP($Q7453,매칭테이블!$F:$I,3,0)</f>
        <v/>
      </c>
      <c r="O7453" s="94">
        <f>VLOOKUP($Q7453,매칭테이블!$F:$I,4,0)*K7453</f>
        <v/>
      </c>
      <c r="P7453" s="148">
        <f>M7453/1.1</f>
        <v/>
      </c>
      <c r="Q7453" s="94">
        <f>F7453&amp;E7453&amp;G7453&amp;L7453</f>
        <v/>
      </c>
    </row>
    <row r="7454" customFormat="1" s="94">
      <c r="B7454" s="128" t="n">
        <v>44018</v>
      </c>
      <c r="C7454" s="94">
        <f>TEXT(B7454,"aaa")</f>
        <v/>
      </c>
      <c r="E7454" s="94" t="inlineStr">
        <is>
          <t>선크림</t>
        </is>
      </c>
      <c r="F7454" s="5" t="inlineStr">
        <is>
          <t>카페24</t>
        </is>
      </c>
      <c r="G7454" s="94" t="inlineStr">
        <is>
          <t>선크림 50ml</t>
        </is>
      </c>
      <c r="H7454" s="7" t="n">
        <v>190801</v>
      </c>
      <c r="I7454" s="7" t="n">
        <v>190801</v>
      </c>
      <c r="J7454" s="6" t="n"/>
      <c r="K7454" s="94" t="n">
        <v>6</v>
      </c>
      <c r="L7454" s="7" t="n">
        <v>190801</v>
      </c>
      <c r="M7454" s="94">
        <f>VLOOKUP($Q7454,매칭테이블!$F:$I,2,0)*K7454</f>
        <v/>
      </c>
      <c r="N7454" s="94">
        <f>M7454-M7454*VLOOKUP($Q7454,매칭테이블!$F:$I,3,0)</f>
        <v/>
      </c>
      <c r="O7454" s="94">
        <f>VLOOKUP($Q7454,매칭테이블!$F:$I,4,0)*K7454</f>
        <v/>
      </c>
      <c r="P7454" s="148">
        <f>M7454/1.1</f>
        <v/>
      </c>
      <c r="Q7454" s="94">
        <f>F7454&amp;E7454&amp;G7454&amp;L7454</f>
        <v/>
      </c>
    </row>
    <row r="7455" customFormat="1" s="94">
      <c r="B7455" s="128" t="n">
        <v>44018</v>
      </c>
      <c r="C7455" s="94">
        <f>TEXT(B7455,"aaa")</f>
        <v/>
      </c>
      <c r="E7455" s="94" t="inlineStr">
        <is>
          <t>선크림</t>
        </is>
      </c>
      <c r="F7455" s="5" t="inlineStr">
        <is>
          <t>카페24</t>
        </is>
      </c>
      <c r="G7455" s="94" t="inlineStr">
        <is>
          <t>선크림 50ml  2set</t>
        </is>
      </c>
      <c r="H7455" s="7" t="n">
        <v>190801</v>
      </c>
      <c r="I7455" s="7" t="n">
        <v>190801</v>
      </c>
      <c r="J7455" s="6" t="n"/>
      <c r="K7455" s="94" t="n">
        <v>1</v>
      </c>
      <c r="L7455" s="7" t="n">
        <v>190801</v>
      </c>
      <c r="M7455" s="94">
        <f>VLOOKUP($Q7455,매칭테이블!$F:$I,2,0)*K7455</f>
        <v/>
      </c>
      <c r="N7455" s="94">
        <f>M7455-M7455*VLOOKUP($Q7455,매칭테이블!$F:$I,3,0)</f>
        <v/>
      </c>
      <c r="O7455" s="94">
        <f>VLOOKUP($Q7455,매칭테이블!$F:$I,4,0)*K7455</f>
        <v/>
      </c>
      <c r="P7455" s="148">
        <f>M7455/1.1</f>
        <v/>
      </c>
      <c r="Q7455" s="94">
        <f>F7455&amp;E7455&amp;G7455&amp;L7455</f>
        <v/>
      </c>
    </row>
    <row r="7456" customFormat="1" s="94">
      <c r="B7456" s="128" t="n">
        <v>44018</v>
      </c>
      <c r="C7456" s="94">
        <f>TEXT(B7456,"aaa")</f>
        <v/>
      </c>
      <c r="E7456" s="94" t="inlineStr">
        <is>
          <t>클렌징폼</t>
        </is>
      </c>
      <c r="F7456" s="5" t="inlineStr">
        <is>
          <t>카페24</t>
        </is>
      </c>
      <c r="G7456" s="94" t="inlineStr">
        <is>
          <t>클렌징폼 120ml(선크림할인)</t>
        </is>
      </c>
      <c r="H7456" s="7" t="n">
        <v>190801</v>
      </c>
      <c r="I7456" s="7" t="n">
        <v>190801</v>
      </c>
      <c r="J7456" s="6" t="n"/>
      <c r="K7456" s="94" t="n">
        <v>1</v>
      </c>
      <c r="L7456" s="7" t="n">
        <v>190801</v>
      </c>
      <c r="M7456" s="94">
        <f>VLOOKUP($Q7456,매칭테이블!$F:$I,2,0)*K7456</f>
        <v/>
      </c>
      <c r="N7456" s="94">
        <f>M7456-M7456*VLOOKUP($Q7456,매칭테이블!$F:$I,3,0)</f>
        <v/>
      </c>
      <c r="O7456" s="94">
        <f>VLOOKUP($Q7456,매칭테이블!$F:$I,4,0)*K7456</f>
        <v/>
      </c>
      <c r="P7456" s="148">
        <f>M7456/1.1</f>
        <v/>
      </c>
      <c r="Q7456" s="94">
        <f>F7456&amp;E7456&amp;G7456&amp;L7456</f>
        <v/>
      </c>
    </row>
    <row r="7457" customFormat="1" s="94">
      <c r="B7457" s="128" t="n">
        <v>44018</v>
      </c>
      <c r="C7457" s="94">
        <f>TEXT(B7457,"aaa")</f>
        <v/>
      </c>
      <c r="E7457" s="94" t="inlineStr">
        <is>
          <t>여름 한정 진정세트</t>
        </is>
      </c>
      <c r="F7457" s="5" t="inlineStr">
        <is>
          <t>카페24</t>
        </is>
      </c>
      <c r="G7457" s="94" t="inlineStr">
        <is>
          <t>여름 한정 진정세트</t>
        </is>
      </c>
      <c r="H7457" s="7" t="n">
        <v>190801</v>
      </c>
      <c r="I7457" s="7" t="n">
        <v>190801</v>
      </c>
      <c r="J7457" s="6" t="n"/>
      <c r="K7457" s="94" t="n">
        <v>8</v>
      </c>
      <c r="L7457" s="7" t="n">
        <v>190801</v>
      </c>
      <c r="M7457" s="94">
        <f>VLOOKUP($Q7457,매칭테이블!$F:$I,2,0)*K7457</f>
        <v/>
      </c>
      <c r="N7457" s="94">
        <f>M7457-M7457*VLOOKUP($Q7457,매칭테이블!$F:$I,3,0)</f>
        <v/>
      </c>
      <c r="O7457" s="94">
        <f>VLOOKUP($Q7457,매칭테이블!$F:$I,4,0)*K7457</f>
        <v/>
      </c>
      <c r="P7457" s="148">
        <f>M7457/1.1</f>
        <v/>
      </c>
      <c r="Q7457" s="94">
        <f>F7457&amp;E7457&amp;G7457&amp;L7457</f>
        <v/>
      </c>
    </row>
    <row r="7458" customFormat="1" s="94">
      <c r="B7458" s="128" t="n">
        <v>44018</v>
      </c>
      <c r="C7458" s="94">
        <f>TEXT(B7458,"aaa")</f>
        <v/>
      </c>
      <c r="E7458" s="94" t="inlineStr">
        <is>
          <t>여름 한정 진정세트</t>
        </is>
      </c>
      <c r="F7458" s="5" t="inlineStr">
        <is>
          <t>카페24</t>
        </is>
      </c>
      <c r="G7458" s="94" t="inlineStr">
        <is>
          <t>여름 한정 진정세트 (대용량)</t>
        </is>
      </c>
      <c r="H7458" s="7" t="n">
        <v>190801</v>
      </c>
      <c r="I7458" s="7" t="n">
        <v>190801</v>
      </c>
      <c r="J7458" s="6" t="n"/>
      <c r="K7458" s="94" t="n">
        <v>8</v>
      </c>
      <c r="L7458" s="7" t="n">
        <v>190801</v>
      </c>
      <c r="M7458" s="94">
        <f>VLOOKUP($Q7458,매칭테이블!$F:$I,2,0)*K7458</f>
        <v/>
      </c>
      <c r="N7458" s="94">
        <f>M7458-M7458*VLOOKUP($Q7458,매칭테이블!$F:$I,3,0)</f>
        <v/>
      </c>
      <c r="O7458" s="94">
        <f>VLOOKUP($Q7458,매칭테이블!$F:$I,4,0)*K7458</f>
        <v/>
      </c>
      <c r="P7458" s="148">
        <f>M7458/1.1</f>
        <v/>
      </c>
      <c r="Q7458" s="94">
        <f>F7458&amp;E7458&amp;G7458&amp;L7458</f>
        <v/>
      </c>
    </row>
    <row r="7459" customFormat="1" s="94">
      <c r="B7459" s="128" t="n">
        <v>44018</v>
      </c>
      <c r="C7459" s="94">
        <f>TEXT(B7459,"aaa")</f>
        <v/>
      </c>
      <c r="E7459" s="94" t="inlineStr">
        <is>
          <t>어성초진정패키지</t>
        </is>
      </c>
      <c r="F7459" s="5" t="inlineStr">
        <is>
          <t>카페24</t>
        </is>
      </c>
      <c r="G7459" s="94" t="inlineStr">
        <is>
          <t>어성초 진정패키지세트</t>
        </is>
      </c>
      <c r="H7459" s="7" t="n">
        <v>190801</v>
      </c>
      <c r="I7459" s="7" t="n">
        <v>190801</v>
      </c>
      <c r="J7459" s="6" t="n"/>
      <c r="K7459" s="94" t="n">
        <v>10</v>
      </c>
      <c r="L7459" s="7" t="n">
        <v>190801</v>
      </c>
      <c r="M7459" s="94">
        <f>VLOOKUP($Q7459,매칭테이블!$F:$I,2,0)*K7459</f>
        <v/>
      </c>
      <c r="N7459" s="94">
        <f>M7459-M7459*VLOOKUP($Q7459,매칭테이블!$F:$I,3,0)</f>
        <v/>
      </c>
      <c r="O7459" s="94">
        <f>VLOOKUP($Q7459,매칭테이블!$F:$I,4,0)*K7459</f>
        <v/>
      </c>
      <c r="P7459" s="148">
        <f>M7459/1.1</f>
        <v/>
      </c>
      <c r="Q7459" s="94">
        <f>F7459&amp;E7459&amp;G7459&amp;L7459</f>
        <v/>
      </c>
    </row>
    <row r="7460" customFormat="1" s="94">
      <c r="B7460" s="128" t="n">
        <v>44018</v>
      </c>
      <c r="C7460" s="94">
        <f>TEXT(B7460,"aaa")</f>
        <v/>
      </c>
      <c r="E7460" s="94" t="inlineStr">
        <is>
          <t>머드크림마스크</t>
        </is>
      </c>
      <c r="F7460" s="5" t="inlineStr">
        <is>
          <t>카페24</t>
        </is>
      </c>
      <c r="G7460" s="94" t="inlineStr">
        <is>
          <t>머드크림마스크 100ml</t>
        </is>
      </c>
      <c r="H7460" s="7" t="n">
        <v>190801</v>
      </c>
      <c r="I7460" s="7" t="n">
        <v>190801</v>
      </c>
      <c r="J7460" s="6" t="n"/>
      <c r="K7460" s="94" t="n">
        <v>3</v>
      </c>
      <c r="L7460" s="7" t="n">
        <v>190801</v>
      </c>
      <c r="M7460" s="94">
        <f>VLOOKUP($Q7460,매칭테이블!$F:$I,2,0)*K7460</f>
        <v/>
      </c>
      <c r="N7460" s="94">
        <f>M7460-M7460*VLOOKUP($Q7460,매칭테이블!$F:$I,3,0)</f>
        <v/>
      </c>
      <c r="O7460" s="94">
        <f>VLOOKUP($Q7460,매칭테이블!$F:$I,4,0)*K7460</f>
        <v/>
      </c>
      <c r="P7460" s="148">
        <f>M7460/1.1</f>
        <v/>
      </c>
      <c r="Q7460" s="94">
        <f>F7460&amp;E7460&amp;G7460&amp;L7460</f>
        <v/>
      </c>
    </row>
    <row r="7461" customFormat="1" s="94">
      <c r="B7461" s="128" t="n">
        <v>44018</v>
      </c>
      <c r="C7461" s="94">
        <f>TEXT(B7461,"aaa")</f>
        <v/>
      </c>
      <c r="E7461" s="94" t="inlineStr">
        <is>
          <t>머드크림마스크</t>
        </is>
      </c>
      <c r="F7461" s="5" t="inlineStr">
        <is>
          <t>카페24</t>
        </is>
      </c>
      <c r="G7461" s="94" t="inlineStr">
        <is>
          <t>머드크림마스크 100ml 2set</t>
        </is>
      </c>
      <c r="H7461" s="7" t="n">
        <v>190801</v>
      </c>
      <c r="I7461" s="7" t="n">
        <v>190801</v>
      </c>
      <c r="J7461" s="6" t="n"/>
      <c r="K7461" s="94" t="n">
        <v>1</v>
      </c>
      <c r="L7461" s="7" t="n">
        <v>190801</v>
      </c>
      <c r="M7461" s="94">
        <f>VLOOKUP($Q7461,매칭테이블!$F:$I,2,0)*K7461</f>
        <v/>
      </c>
      <c r="N7461" s="94">
        <f>M7461-M7461*VLOOKUP($Q7461,매칭테이블!$F:$I,3,0)</f>
        <v/>
      </c>
      <c r="O7461" s="94">
        <f>VLOOKUP($Q7461,매칭테이블!$F:$I,4,0)*K7461</f>
        <v/>
      </c>
      <c r="P7461" s="148">
        <f>M7461/1.1</f>
        <v/>
      </c>
      <c r="Q7461" s="94">
        <f>F7461&amp;E7461&amp;G7461&amp;L7461</f>
        <v/>
      </c>
    </row>
    <row r="7462" customFormat="1" s="94">
      <c r="B7462" s="128" t="n">
        <v>44018</v>
      </c>
      <c r="C7462" s="94">
        <f>TEXT(B7462,"aaa")</f>
        <v/>
      </c>
      <c r="E7462" s="94" t="inlineStr">
        <is>
          <t>마스크팩</t>
        </is>
      </c>
      <c r="F7462" s="5" t="inlineStr">
        <is>
          <t>카페24</t>
        </is>
      </c>
      <c r="G7462" s="94" t="inlineStr">
        <is>
          <t>마스크팩 10매</t>
        </is>
      </c>
      <c r="H7462" s="7" t="n">
        <v>190801</v>
      </c>
      <c r="I7462" s="7" t="n">
        <v>190801</v>
      </c>
      <c r="J7462" s="6" t="n"/>
      <c r="K7462" s="94" t="n">
        <v>60</v>
      </c>
      <c r="L7462" s="7" t="n">
        <v>190801</v>
      </c>
      <c r="M7462" s="94">
        <f>VLOOKUP($Q7462,매칭테이블!$F:$I,2,0)*K7462</f>
        <v/>
      </c>
      <c r="N7462" s="94">
        <f>M7462-M7462*VLOOKUP($Q7462,매칭테이블!$F:$I,3,0)</f>
        <v/>
      </c>
      <c r="O7462" s="94">
        <f>VLOOKUP($Q7462,매칭테이블!$F:$I,4,0)*K7462</f>
        <v/>
      </c>
      <c r="P7462" s="148">
        <f>M7462/1.1</f>
        <v/>
      </c>
      <c r="Q7462" s="94">
        <f>F7462&amp;E7462&amp;G7462&amp;L7462</f>
        <v/>
      </c>
    </row>
    <row r="7463" customFormat="1" s="94">
      <c r="B7463" s="128" t="n">
        <v>44018</v>
      </c>
      <c r="C7463" s="94">
        <f>TEXT(B7463,"aaa")</f>
        <v/>
      </c>
      <c r="E7463" s="94" t="inlineStr">
        <is>
          <t>토너</t>
        </is>
      </c>
      <c r="F7463" s="5" t="inlineStr">
        <is>
          <t>카페24</t>
        </is>
      </c>
      <c r="G7463" s="94" t="inlineStr">
        <is>
          <t>250ml</t>
        </is>
      </c>
      <c r="H7463" s="7" t="n">
        <v>190801</v>
      </c>
      <c r="I7463" s="7" t="n">
        <v>190801</v>
      </c>
      <c r="J7463" s="6" t="n"/>
      <c r="K7463" s="94" t="n">
        <v>68</v>
      </c>
      <c r="L7463" s="7" t="n">
        <v>190801</v>
      </c>
      <c r="M7463" s="94">
        <f>VLOOKUP($Q7463,매칭테이블!$F:$I,2,0)*K7463</f>
        <v/>
      </c>
      <c r="N7463" s="94">
        <f>M7463-M7463*VLOOKUP($Q7463,매칭테이블!$F:$I,3,0)</f>
        <v/>
      </c>
      <c r="O7463" s="94">
        <f>VLOOKUP($Q7463,매칭테이블!$F:$I,4,0)*K7463</f>
        <v/>
      </c>
      <c r="P7463" s="148">
        <f>M7463/1.1</f>
        <v/>
      </c>
      <c r="Q7463" s="94">
        <f>F7463&amp;E7463&amp;G7463&amp;L7463</f>
        <v/>
      </c>
    </row>
    <row r="7464" customFormat="1" s="94">
      <c r="B7464" s="128" t="n">
        <v>44018</v>
      </c>
      <c r="C7464" s="94">
        <f>TEXT(B7464,"aaa")</f>
        <v/>
      </c>
      <c r="E7464" s="94" t="inlineStr">
        <is>
          <t>토너</t>
        </is>
      </c>
      <c r="F7464" s="5" t="inlineStr">
        <is>
          <t>카페24</t>
        </is>
      </c>
      <c r="G7464" s="94" t="inlineStr">
        <is>
          <t>250ml 2set</t>
        </is>
      </c>
      <c r="H7464" s="7" t="n">
        <v>190801</v>
      </c>
      <c r="I7464" s="7" t="n">
        <v>190801</v>
      </c>
      <c r="J7464" s="6" t="n"/>
      <c r="K7464" s="94" t="n">
        <v>256</v>
      </c>
      <c r="L7464" s="7" t="n">
        <v>190801</v>
      </c>
      <c r="M7464" s="94">
        <f>VLOOKUP($Q7464,매칭테이블!$F:$I,2,0)*K7464</f>
        <v/>
      </c>
      <c r="N7464" s="94">
        <f>M7464-M7464*VLOOKUP($Q7464,매칭테이블!$F:$I,3,0)</f>
        <v/>
      </c>
      <c r="O7464" s="94">
        <f>VLOOKUP($Q7464,매칭테이블!$F:$I,4,0)*K7464</f>
        <v/>
      </c>
      <c r="P7464" s="148">
        <f>M7464/1.1</f>
        <v/>
      </c>
      <c r="Q7464" s="94">
        <f>F7464&amp;E7464&amp;G7464&amp;L7464</f>
        <v/>
      </c>
    </row>
    <row r="7465" customFormat="1" s="94">
      <c r="B7465" s="128" t="n">
        <v>44018</v>
      </c>
      <c r="C7465" s="94">
        <f>TEXT(B7465,"aaa")</f>
        <v/>
      </c>
      <c r="E7465" s="94" t="inlineStr">
        <is>
          <t>토너</t>
        </is>
      </c>
      <c r="F7465" s="5" t="inlineStr">
        <is>
          <t>카페24</t>
        </is>
      </c>
      <c r="G7465" s="94" t="inlineStr">
        <is>
          <t>500ml</t>
        </is>
      </c>
      <c r="H7465" s="7" t="n">
        <v>190801</v>
      </c>
      <c r="I7465" s="7" t="n">
        <v>190801</v>
      </c>
      <c r="J7465" s="6" t="n"/>
      <c r="K7465" s="94" t="n">
        <v>73</v>
      </c>
      <c r="L7465" s="7" t="n">
        <v>190801</v>
      </c>
      <c r="M7465" s="94">
        <f>VLOOKUP($Q7465,매칭테이블!$F:$I,2,0)*K7465</f>
        <v/>
      </c>
      <c r="N7465" s="94">
        <f>M7465-M7465*VLOOKUP($Q7465,매칭테이블!$F:$I,3,0)</f>
        <v/>
      </c>
      <c r="O7465" s="94">
        <f>VLOOKUP($Q7465,매칭테이블!$F:$I,4,0)*K7465</f>
        <v/>
      </c>
      <c r="P7465" s="148">
        <f>M7465/1.1</f>
        <v/>
      </c>
      <c r="Q7465" s="94">
        <f>F7465&amp;E7465&amp;G7465&amp;L7465</f>
        <v/>
      </c>
    </row>
    <row r="7466" customFormat="1" s="94">
      <c r="B7466" s="128" t="n">
        <v>44018</v>
      </c>
      <c r="C7466" s="94">
        <f>TEXT(B7466,"aaa")</f>
        <v/>
      </c>
      <c r="E7466" s="94" t="inlineStr">
        <is>
          <t>토너</t>
        </is>
      </c>
      <c r="F7466" s="5" t="inlineStr">
        <is>
          <t>카페24</t>
        </is>
      </c>
      <c r="G7466" s="94" t="inlineStr">
        <is>
          <t>스킨팩 화장솜 60P</t>
        </is>
      </c>
      <c r="H7466" s="7" t="n">
        <v>190801</v>
      </c>
      <c r="I7466" s="7" t="n">
        <v>190801</v>
      </c>
      <c r="J7466" s="6" t="n"/>
      <c r="K7466" s="94" t="n">
        <v>436</v>
      </c>
      <c r="L7466" s="7" t="n">
        <v>190801</v>
      </c>
      <c r="M7466" s="94">
        <f>VLOOKUP($Q7466,매칭테이블!$F:$I,2,0)*K7466</f>
        <v/>
      </c>
      <c r="N7466" s="94">
        <f>M7466-M7466*VLOOKUP($Q7466,매칭테이블!$F:$I,3,0)</f>
        <v/>
      </c>
      <c r="O7466" s="94">
        <f>VLOOKUP($Q7466,매칭테이블!$F:$I,4,0)*K7466</f>
        <v/>
      </c>
      <c r="P7466" s="148">
        <f>M7466/1.1</f>
        <v/>
      </c>
      <c r="Q7466" s="94">
        <f>F7466&amp;E7466&amp;G7466&amp;L7466</f>
        <v/>
      </c>
    </row>
    <row r="7467" customFormat="1" s="94">
      <c r="B7467" s="128" t="n">
        <v>44018</v>
      </c>
      <c r="C7467" s="94">
        <f>TEXT(B7467,"aaa")</f>
        <v/>
      </c>
      <c r="E7467" s="94" t="inlineStr">
        <is>
          <t>앰플</t>
        </is>
      </c>
      <c r="F7467" s="5" t="inlineStr">
        <is>
          <t>카페24</t>
        </is>
      </c>
      <c r="G7467" s="94" t="inlineStr">
        <is>
          <t>앰플 30ml</t>
        </is>
      </c>
      <c r="H7467" s="7" t="n">
        <v>190801</v>
      </c>
      <c r="I7467" s="7" t="n">
        <v>190801</v>
      </c>
      <c r="J7467" s="6" t="n"/>
      <c r="K7467" s="94" t="n">
        <v>17</v>
      </c>
      <c r="L7467" s="7" t="n">
        <v>190801</v>
      </c>
      <c r="M7467" s="94">
        <f>VLOOKUP($Q7467,매칭테이블!$F:$I,2,0)*K7467</f>
        <v/>
      </c>
      <c r="N7467" s="94">
        <f>M7467-M7467*VLOOKUP($Q7467,매칭테이블!$F:$I,3,0)</f>
        <v/>
      </c>
      <c r="O7467" s="94">
        <f>VLOOKUP($Q7467,매칭테이블!$F:$I,4,0)*K7467</f>
        <v/>
      </c>
      <c r="P7467" s="148">
        <f>M7467/1.1</f>
        <v/>
      </c>
      <c r="Q7467" s="94">
        <f>F7467&amp;E7467&amp;G7467&amp;L7467</f>
        <v/>
      </c>
    </row>
    <row r="7468" customFormat="1" s="94">
      <c r="B7468" s="128" t="n">
        <v>44018</v>
      </c>
      <c r="C7468" s="94">
        <f>TEXT(B7468,"aaa")</f>
        <v/>
      </c>
      <c r="E7468" s="94" t="inlineStr">
        <is>
          <t>수딩크림</t>
        </is>
      </c>
      <c r="F7468" s="5" t="inlineStr">
        <is>
          <t>카페24</t>
        </is>
      </c>
      <c r="G7468" s="94" t="inlineStr">
        <is>
          <t>수딩크림 100ml</t>
        </is>
      </c>
      <c r="H7468" s="7" t="n">
        <v>190801</v>
      </c>
      <c r="I7468" s="7" t="n">
        <v>190801</v>
      </c>
      <c r="J7468" s="6" t="n"/>
      <c r="K7468" s="94" t="n">
        <v>5</v>
      </c>
      <c r="L7468" s="7" t="n">
        <v>190801</v>
      </c>
      <c r="M7468" s="94">
        <f>VLOOKUP($Q7468,매칭테이블!$F:$I,2,0)*K7468</f>
        <v/>
      </c>
      <c r="N7468" s="94">
        <f>M7468-M7468*VLOOKUP($Q7468,매칭테이블!$F:$I,3,0)</f>
        <v/>
      </c>
      <c r="O7468" s="94">
        <f>VLOOKUP($Q7468,매칭테이블!$F:$I,4,0)*K7468</f>
        <v/>
      </c>
      <c r="P7468" s="148">
        <f>M7468/1.1</f>
        <v/>
      </c>
      <c r="Q7468" s="94">
        <f>F7468&amp;E7468&amp;G7468&amp;L7468</f>
        <v/>
      </c>
    </row>
    <row r="7469" customFormat="1" s="94">
      <c r="B7469" s="128" t="n">
        <v>44018</v>
      </c>
      <c r="C7469" s="94">
        <f>TEXT(B7469,"aaa")</f>
        <v/>
      </c>
      <c r="E7469" s="94" t="inlineStr">
        <is>
          <t>클렌징폼</t>
        </is>
      </c>
      <c r="F7469" s="5" t="inlineStr">
        <is>
          <t>카페24</t>
        </is>
      </c>
      <c r="G7469" s="94" t="inlineStr">
        <is>
          <t>클렌징폼 120ml</t>
        </is>
      </c>
      <c r="H7469" s="7" t="n">
        <v>190801</v>
      </c>
      <c r="I7469" s="7" t="n">
        <v>190801</v>
      </c>
      <c r="J7469" s="6" t="n"/>
      <c r="K7469" s="94" t="n">
        <v>33</v>
      </c>
      <c r="L7469" s="7" t="n">
        <v>190801</v>
      </c>
      <c r="M7469" s="94">
        <f>VLOOKUP($Q7469,매칭테이블!$F:$I,2,0)*K7469</f>
        <v/>
      </c>
      <c r="N7469" s="94">
        <f>M7469-M7469*VLOOKUP($Q7469,매칭테이블!$F:$I,3,0)</f>
        <v/>
      </c>
      <c r="O7469" s="94">
        <f>VLOOKUP($Q7469,매칭테이블!$F:$I,4,0)*K7469</f>
        <v/>
      </c>
      <c r="P7469" s="148">
        <f>M7469/1.1</f>
        <v/>
      </c>
      <c r="Q7469" s="94">
        <f>F7469&amp;E7469&amp;G7469&amp;L7469</f>
        <v/>
      </c>
    </row>
    <row r="7470" customFormat="1" s="94">
      <c r="B7470" s="128" t="n">
        <v>44018</v>
      </c>
      <c r="C7470" s="94">
        <f>TEXT(B7470,"aaa")</f>
        <v/>
      </c>
      <c r="E7470" s="94" t="inlineStr">
        <is>
          <t>클렌징폼</t>
        </is>
      </c>
      <c r="F7470" s="5" t="inlineStr">
        <is>
          <t>카페24</t>
        </is>
      </c>
      <c r="G7470" s="94" t="inlineStr">
        <is>
          <t>클렌징폼 120ml 2set</t>
        </is>
      </c>
      <c r="H7470" s="7" t="n">
        <v>190801</v>
      </c>
      <c r="I7470" s="7" t="n">
        <v>190801</v>
      </c>
      <c r="J7470" s="6" t="n"/>
      <c r="K7470" s="94" t="n">
        <v>2</v>
      </c>
      <c r="L7470" s="7" t="n">
        <v>190801</v>
      </c>
      <c r="M7470" s="94">
        <f>VLOOKUP($Q7470,매칭테이블!$F:$I,2,0)*K7470</f>
        <v/>
      </c>
      <c r="N7470" s="94">
        <f>M7470-M7470*VLOOKUP($Q7470,매칭테이블!$F:$I,3,0)</f>
        <v/>
      </c>
      <c r="O7470" s="94">
        <f>VLOOKUP($Q7470,매칭테이블!$F:$I,4,0)*K7470</f>
        <v/>
      </c>
      <c r="P7470" s="148">
        <f>M7470/1.1</f>
        <v/>
      </c>
      <c r="Q7470" s="94">
        <f>F7470&amp;E7470&amp;G7470&amp;L7470</f>
        <v/>
      </c>
    </row>
    <row r="7471" customFormat="1" s="94">
      <c r="B7471" s="128" t="n">
        <v>44018</v>
      </c>
      <c r="C7471" s="94">
        <f>TEXT(B7471,"aaa")</f>
        <v/>
      </c>
      <c r="E7471" s="94" t="inlineStr">
        <is>
          <t>클렌징폼</t>
        </is>
      </c>
      <c r="F7471" s="5" t="inlineStr">
        <is>
          <t>카페24</t>
        </is>
      </c>
      <c r="G7471" s="94" t="inlineStr">
        <is>
          <t>클렌징폼 120ml 3set</t>
        </is>
      </c>
      <c r="H7471" s="7" t="n">
        <v>190801</v>
      </c>
      <c r="I7471" s="7" t="n">
        <v>190801</v>
      </c>
      <c r="J7471" s="6" t="n"/>
      <c r="K7471" s="94" t="n">
        <v>1</v>
      </c>
      <c r="L7471" s="7" t="n">
        <v>190801</v>
      </c>
      <c r="M7471" s="94">
        <f>VLOOKUP($Q7471,매칭테이블!$F:$I,2,0)*K7471</f>
        <v/>
      </c>
      <c r="N7471" s="94">
        <f>M7471-M7471*VLOOKUP($Q7471,매칭테이블!$F:$I,3,0)</f>
        <v/>
      </c>
      <c r="O7471" s="94">
        <f>VLOOKUP($Q7471,매칭테이블!$F:$I,4,0)*K7471</f>
        <v/>
      </c>
      <c r="P7471" s="148">
        <f>M7471/1.1</f>
        <v/>
      </c>
      <c r="Q7471" s="94">
        <f>F7471&amp;E7471&amp;G7471&amp;L7471</f>
        <v/>
      </c>
    </row>
    <row r="7472" customFormat="1" s="94">
      <c r="B7472" s="128" t="n">
        <v>44018</v>
      </c>
      <c r="C7472" s="94">
        <f>TEXT(B7472,"aaa")</f>
        <v/>
      </c>
      <c r="E7472" s="94" t="inlineStr">
        <is>
          <t>토너</t>
        </is>
      </c>
      <c r="F7472" s="5" t="inlineStr">
        <is>
          <t>큐텐</t>
        </is>
      </c>
      <c r="G7472" s="94" t="inlineStr">
        <is>
          <t>250ml</t>
        </is>
      </c>
      <c r="H7472" s="7" t="n">
        <v>190801</v>
      </c>
      <c r="I7472" s="7" t="n">
        <v>190801</v>
      </c>
      <c r="J7472" s="6" t="n"/>
      <c r="K7472" s="94" t="n">
        <v>34</v>
      </c>
      <c r="L7472" s="7" t="n">
        <v>190801</v>
      </c>
      <c r="M7472" s="94">
        <f>VLOOKUP($Q7472,매칭테이블!$F:$I,2,0)*K7472</f>
        <v/>
      </c>
      <c r="N7472" s="94">
        <f>M7472-M7472*VLOOKUP($Q7472,매칭테이블!$F:$I,3,0)</f>
        <v/>
      </c>
      <c r="O7472" s="94">
        <f>VLOOKUP($Q7472,매칭테이블!$F:$I,4,0)*K7472</f>
        <v/>
      </c>
      <c r="P7472" s="148">
        <f>M7472/1.1</f>
        <v/>
      </c>
      <c r="Q7472" s="94">
        <f>F7472&amp;E7472&amp;G7472&amp;L7472</f>
        <v/>
      </c>
    </row>
    <row r="7473" customFormat="1" s="94">
      <c r="B7473" s="128" t="n">
        <v>44018</v>
      </c>
      <c r="C7473" s="94">
        <f>TEXT(B7473,"aaa")</f>
        <v/>
      </c>
      <c r="E7473" s="94" t="inlineStr">
        <is>
          <t>토너</t>
        </is>
      </c>
      <c r="F7473" s="5" t="inlineStr">
        <is>
          <t>큐텐</t>
        </is>
      </c>
      <c r="G7473" s="94" t="inlineStr">
        <is>
          <t>250ml 2set</t>
        </is>
      </c>
      <c r="H7473" s="7" t="n">
        <v>190801</v>
      </c>
      <c r="I7473" s="7" t="n">
        <v>190801</v>
      </c>
      <c r="J7473" s="6" t="n"/>
      <c r="K7473" s="94" t="n">
        <v>7</v>
      </c>
      <c r="L7473" s="7" t="n">
        <v>190801</v>
      </c>
      <c r="M7473" s="94">
        <f>VLOOKUP($Q7473,매칭테이블!$F:$I,2,0)*K7473</f>
        <v/>
      </c>
      <c r="N7473" s="94">
        <f>M7473-M7473*VLOOKUP($Q7473,매칭테이블!$F:$I,3,0)</f>
        <v/>
      </c>
      <c r="O7473" s="94">
        <f>VLOOKUP($Q7473,매칭테이블!$F:$I,4,0)*K7473</f>
        <v/>
      </c>
      <c r="P7473" s="148">
        <f>M7473/1.1</f>
        <v/>
      </c>
      <c r="Q7473" s="94">
        <f>F7473&amp;E7473&amp;G7473&amp;L7473</f>
        <v/>
      </c>
    </row>
    <row r="7474" customFormat="1" s="94">
      <c r="B7474" s="128" t="n">
        <v>44018</v>
      </c>
      <c r="C7474" s="94">
        <f>TEXT(B7474,"aaa")</f>
        <v/>
      </c>
      <c r="E7474" s="94" t="inlineStr">
        <is>
          <t>앰플</t>
        </is>
      </c>
      <c r="F7474" s="5" t="inlineStr">
        <is>
          <t>큐텐</t>
        </is>
      </c>
      <c r="G7474" s="94" t="inlineStr">
        <is>
          <t>앰플 30ml</t>
        </is>
      </c>
      <c r="H7474" s="7" t="n">
        <v>190801</v>
      </c>
      <c r="I7474" s="7" t="n">
        <v>190801</v>
      </c>
      <c r="J7474" s="6" t="n"/>
      <c r="K7474" s="94" t="n">
        <v>2</v>
      </c>
      <c r="L7474" s="7" t="n">
        <v>190801</v>
      </c>
      <c r="M7474" s="94">
        <f>VLOOKUP($Q7474,매칭테이블!$F:$I,2,0)*K7474</f>
        <v/>
      </c>
      <c r="N7474" s="94">
        <f>M7474-M7474*VLOOKUP($Q7474,매칭테이블!$F:$I,3,0)</f>
        <v/>
      </c>
      <c r="O7474" s="94">
        <f>VLOOKUP($Q7474,매칭테이블!$F:$I,4,0)*K7474</f>
        <v/>
      </c>
      <c r="P7474" s="148">
        <f>M7474/1.1</f>
        <v/>
      </c>
      <c r="Q7474" s="94">
        <f>F7474&amp;E7474&amp;G7474&amp;L7474</f>
        <v/>
      </c>
    </row>
    <row r="7475" customFormat="1" s="94">
      <c r="B7475" s="128" t="n">
        <v>44018</v>
      </c>
      <c r="C7475" s="94">
        <f>TEXT(B7475,"aaa")</f>
        <v/>
      </c>
      <c r="E7475" s="94" t="inlineStr">
        <is>
          <t>마스크팩</t>
        </is>
      </c>
      <c r="F7475" s="5" t="inlineStr">
        <is>
          <t>큐텐</t>
        </is>
      </c>
      <c r="G7475" s="94" t="inlineStr">
        <is>
          <t>마스크팩 10매</t>
        </is>
      </c>
      <c r="H7475" s="7" t="n">
        <v>190801</v>
      </c>
      <c r="I7475" s="7" t="n">
        <v>190801</v>
      </c>
      <c r="J7475" s="6" t="n"/>
      <c r="K7475" s="94" t="n">
        <v>2</v>
      </c>
      <c r="L7475" s="7" t="n">
        <v>190801</v>
      </c>
      <c r="M7475" s="94">
        <f>VLOOKUP($Q7475,매칭테이블!$F:$I,2,0)*K7475</f>
        <v/>
      </c>
      <c r="N7475" s="94">
        <f>M7475-M7475*VLOOKUP($Q7475,매칭테이블!$F:$I,3,0)</f>
        <v/>
      </c>
      <c r="O7475" s="94">
        <f>VLOOKUP($Q7475,매칭테이블!$F:$I,4,0)*K7475</f>
        <v/>
      </c>
      <c r="P7475" s="148">
        <f>M7475/1.1</f>
        <v/>
      </c>
      <c r="Q7475" s="94">
        <f>F7475&amp;E7475&amp;G7475&amp;L7475</f>
        <v/>
      </c>
    </row>
    <row r="7476" customFormat="1" s="94">
      <c r="B7476" s="128" t="n">
        <v>44018</v>
      </c>
      <c r="C7476" s="94">
        <f>TEXT(B7476,"aaa")</f>
        <v/>
      </c>
      <c r="E7476" s="94" t="inlineStr">
        <is>
          <t>클렌징폼</t>
        </is>
      </c>
      <c r="F7476" s="5" t="inlineStr">
        <is>
          <t>큐텐</t>
        </is>
      </c>
      <c r="G7476" s="94" t="inlineStr">
        <is>
          <t>클렌징폼 120ml</t>
        </is>
      </c>
      <c r="H7476" s="7" t="n">
        <v>190801</v>
      </c>
      <c r="I7476" s="7" t="n">
        <v>190801</v>
      </c>
      <c r="J7476" s="6" t="n"/>
      <c r="K7476" s="94" t="n">
        <v>2</v>
      </c>
      <c r="L7476" s="7" t="n">
        <v>190801</v>
      </c>
      <c r="M7476" s="94">
        <f>VLOOKUP($Q7476,매칭테이블!$F:$I,2,0)*K7476</f>
        <v/>
      </c>
      <c r="N7476" s="94">
        <f>M7476-M7476*VLOOKUP($Q7476,매칭테이블!$F:$I,3,0)</f>
        <v/>
      </c>
      <c r="O7476" s="94">
        <f>VLOOKUP($Q7476,매칭테이블!$F:$I,4,0)*K7476</f>
        <v/>
      </c>
      <c r="P7476" s="148">
        <f>M7476/1.1</f>
        <v/>
      </c>
      <c r="Q7476" s="94">
        <f>F7476&amp;E7476&amp;G7476&amp;L7476</f>
        <v/>
      </c>
    </row>
    <row r="7477" customFormat="1" s="94">
      <c r="B7477" s="128" t="n">
        <v>44018</v>
      </c>
      <c r="C7477" s="94">
        <f>TEXT(B7477,"aaa")</f>
        <v/>
      </c>
      <c r="E7477" s="94" t="inlineStr">
        <is>
          <t>토너</t>
        </is>
      </c>
      <c r="F7477" s="5" t="inlineStr">
        <is>
          <t>아누아 CS</t>
        </is>
      </c>
      <c r="G7477" s="94" t="inlineStr">
        <is>
          <t>250ml</t>
        </is>
      </c>
      <c r="H7477" s="7" t="n">
        <v>190801</v>
      </c>
      <c r="I7477" s="7" t="n">
        <v>190801</v>
      </c>
      <c r="J7477" s="6" t="n"/>
      <c r="K7477" s="94" t="n">
        <v>5</v>
      </c>
      <c r="L7477" s="7" t="n">
        <v>190801</v>
      </c>
      <c r="M7477" s="94">
        <f>VLOOKUP($Q7477,매칭테이블!$F:$I,2,0)*K7477</f>
        <v/>
      </c>
      <c r="N7477" s="94">
        <f>M7477-M7477*VLOOKUP($Q7477,매칭테이블!$F:$I,3,0)</f>
        <v/>
      </c>
      <c r="O7477" s="94">
        <f>VLOOKUP($Q7477,매칭테이블!$F:$I,4,0)*K7477</f>
        <v/>
      </c>
      <c r="P7477" s="148">
        <f>M7477/1.1</f>
        <v/>
      </c>
      <c r="Q7477" s="94">
        <f>F7477&amp;E7477&amp;G7477&amp;L7477</f>
        <v/>
      </c>
    </row>
    <row r="7478" customFormat="1" s="94">
      <c r="B7478" s="128" t="n">
        <v>44018</v>
      </c>
      <c r="C7478" s="94">
        <f>TEXT(B7478,"aaa")</f>
        <v/>
      </c>
      <c r="E7478" s="94" t="inlineStr">
        <is>
          <t>화장솜</t>
        </is>
      </c>
      <c r="F7478" s="5" t="inlineStr">
        <is>
          <t>아누아 CS</t>
        </is>
      </c>
      <c r="G7478" s="94" t="inlineStr">
        <is>
          <t>스킨팩 화장솜 60P</t>
        </is>
      </c>
      <c r="H7478" s="7" t="n">
        <v>190801</v>
      </c>
      <c r="I7478" s="7" t="n">
        <v>190801</v>
      </c>
      <c r="J7478" s="6" t="n"/>
      <c r="K7478" s="94" t="n">
        <v>4</v>
      </c>
      <c r="L7478" s="7" t="n">
        <v>190801</v>
      </c>
      <c r="M7478" s="94">
        <f>VLOOKUP($Q7478,매칭테이블!$F:$I,2,0)*K7478</f>
        <v/>
      </c>
      <c r="N7478" s="94">
        <f>M7478-M7478*VLOOKUP($Q7478,매칭테이블!$F:$I,3,0)</f>
        <v/>
      </c>
      <c r="O7478" s="94">
        <f>VLOOKUP($Q7478,매칭테이블!$F:$I,4,0)*K7478</f>
        <v/>
      </c>
      <c r="P7478" s="148">
        <f>M7478/1.1</f>
        <v/>
      </c>
      <c r="Q7478" s="94">
        <f>F7478&amp;E7478&amp;G7478&amp;L7478</f>
        <v/>
      </c>
    </row>
    <row r="7479" customFormat="1" s="94">
      <c r="B7479" s="128" t="n">
        <v>44018</v>
      </c>
      <c r="C7479" s="94">
        <f>TEXT(B7479,"aaa")</f>
        <v/>
      </c>
      <c r="E7479" s="94" t="inlineStr">
        <is>
          <t>앰플</t>
        </is>
      </c>
      <c r="F7479" s="5" t="inlineStr">
        <is>
          <t>아누아 CS</t>
        </is>
      </c>
      <c r="G7479" s="94" t="inlineStr">
        <is>
          <t>앰플 30ml</t>
        </is>
      </c>
      <c r="H7479" s="7" t="n">
        <v>190801</v>
      </c>
      <c r="I7479" s="7" t="n">
        <v>190801</v>
      </c>
      <c r="J7479" s="6" t="n"/>
      <c r="K7479" s="94" t="n">
        <v>2</v>
      </c>
      <c r="L7479" s="7" t="n">
        <v>190801</v>
      </c>
      <c r="M7479" s="94">
        <f>VLOOKUP($Q7479,매칭테이블!$F:$I,2,0)*K7479</f>
        <v/>
      </c>
      <c r="N7479" s="94">
        <f>M7479-M7479*VLOOKUP($Q7479,매칭테이블!$F:$I,3,0)</f>
        <v/>
      </c>
      <c r="O7479" s="94">
        <f>VLOOKUP($Q7479,매칭테이블!$F:$I,4,0)*K7479</f>
        <v/>
      </c>
      <c r="P7479" s="148">
        <f>M7479/1.1</f>
        <v/>
      </c>
      <c r="Q7479" s="94">
        <f>F7479&amp;E7479&amp;G7479&amp;L7479</f>
        <v/>
      </c>
    </row>
    <row r="7480" customFormat="1" s="94">
      <c r="B7480" s="128" t="n">
        <v>44018</v>
      </c>
      <c r="C7480" s="94">
        <f>TEXT(B7480,"aaa")</f>
        <v/>
      </c>
      <c r="E7480" s="94" t="inlineStr">
        <is>
          <t>마스크팩</t>
        </is>
      </c>
      <c r="F7480" s="5" t="inlineStr">
        <is>
          <t>아누아 CS</t>
        </is>
      </c>
      <c r="G7480" s="94" t="inlineStr">
        <is>
          <t>마스크팩 10매</t>
        </is>
      </c>
      <c r="H7480" s="7" t="n">
        <v>190801</v>
      </c>
      <c r="I7480" s="7" t="n">
        <v>190801</v>
      </c>
      <c r="J7480" s="6" t="n"/>
      <c r="K7480" s="94" t="n">
        <v>2</v>
      </c>
      <c r="L7480" s="7" t="n">
        <v>190801</v>
      </c>
      <c r="M7480" s="94">
        <f>VLOOKUP($Q7480,매칭테이블!$F:$I,2,0)*K7480</f>
        <v/>
      </c>
      <c r="N7480" s="94">
        <f>M7480-M7480*VLOOKUP($Q7480,매칭테이블!$F:$I,3,0)</f>
        <v/>
      </c>
      <c r="O7480" s="94">
        <f>VLOOKUP($Q7480,매칭테이블!$F:$I,4,0)*K7480</f>
        <v/>
      </c>
      <c r="P7480" s="148">
        <f>M7480/1.1</f>
        <v/>
      </c>
      <c r="Q7480" s="94">
        <f>F7480&amp;E7480&amp;G7480&amp;L7480</f>
        <v/>
      </c>
    </row>
    <row r="7481" customFormat="1" s="94">
      <c r="B7481" s="128" t="n">
        <v>44018</v>
      </c>
      <c r="C7481" s="94">
        <f>TEXT(B7481,"aaa")</f>
        <v/>
      </c>
      <c r="E7481" s="94" t="inlineStr">
        <is>
          <t>선크림</t>
        </is>
      </c>
      <c r="F7481" s="5" t="inlineStr">
        <is>
          <t>아누아 CS</t>
        </is>
      </c>
      <c r="G7481" s="94" t="inlineStr">
        <is>
          <t>선크림 50ml</t>
        </is>
      </c>
      <c r="H7481" s="7" t="n">
        <v>190801</v>
      </c>
      <c r="I7481" s="7" t="n">
        <v>190801</v>
      </c>
      <c r="J7481" s="6" t="n"/>
      <c r="K7481" s="94" t="n">
        <v>6</v>
      </c>
      <c r="L7481" s="7" t="n">
        <v>190801</v>
      </c>
      <c r="M7481" s="94">
        <f>VLOOKUP($Q7481,매칭테이블!$F:$I,2,0)*K7481</f>
        <v/>
      </c>
      <c r="N7481" s="94">
        <f>M7481-M7481*VLOOKUP($Q7481,매칭테이블!$F:$I,3,0)</f>
        <v/>
      </c>
      <c r="O7481" s="94">
        <f>VLOOKUP($Q7481,매칭테이블!$F:$I,4,0)*K7481</f>
        <v/>
      </c>
      <c r="P7481" s="148">
        <f>M7481/1.1</f>
        <v/>
      </c>
      <c r="Q7481" s="94">
        <f>F7481&amp;E7481&amp;G7481&amp;L7481</f>
        <v/>
      </c>
    </row>
    <row r="7482" customFormat="1" s="94">
      <c r="B7482" s="128" t="n">
        <v>44018</v>
      </c>
      <c r="C7482" s="94">
        <f>TEXT(B7482,"aaa")</f>
        <v/>
      </c>
      <c r="E7482" s="94" t="inlineStr">
        <is>
          <t>토너</t>
        </is>
      </c>
      <c r="F7482" s="5" t="inlineStr">
        <is>
          <t>화해</t>
        </is>
      </c>
      <c r="G7482" s="94" t="inlineStr">
        <is>
          <t>250ml</t>
        </is>
      </c>
      <c r="H7482" s="7" t="n">
        <v>190801</v>
      </c>
      <c r="I7482" s="7" t="n">
        <v>190801</v>
      </c>
      <c r="J7482" s="6" t="n"/>
      <c r="K7482" s="94" t="n">
        <v>5</v>
      </c>
      <c r="L7482" s="7" t="n">
        <v>190801</v>
      </c>
      <c r="M7482" s="94">
        <f>VLOOKUP($Q7482,매칭테이블!$F:$I,2,0)*K7482</f>
        <v/>
      </c>
      <c r="N7482" s="94">
        <f>M7482-M7482*VLOOKUP($Q7482,매칭테이블!$F:$I,3,0)</f>
        <v/>
      </c>
      <c r="O7482" s="94">
        <f>VLOOKUP($Q7482,매칭테이블!$F:$I,4,0)*K7482</f>
        <v/>
      </c>
      <c r="P7482" s="148">
        <f>M7482/1.1</f>
        <v/>
      </c>
      <c r="Q7482" s="94">
        <f>F7482&amp;E7482&amp;G7482&amp;L7482</f>
        <v/>
      </c>
    </row>
    <row r="7483">
      <c r="A7483" s="94" t="n"/>
      <c r="B7483" s="128" t="n">
        <v>44019</v>
      </c>
      <c r="C7483" s="94">
        <f>TEXT(B7483,"aaa")</f>
        <v/>
      </c>
      <c r="D7483" s="94" t="n"/>
      <c r="E7483" s="6" t="inlineStr">
        <is>
          <t>토너</t>
        </is>
      </c>
      <c r="F7483" s="5" t="inlineStr">
        <is>
          <t>W컨셉</t>
        </is>
      </c>
      <c r="G7483" s="5" t="inlineStr">
        <is>
          <t>250ml 2set</t>
        </is>
      </c>
      <c r="H7483" s="7" t="n">
        <v>190801</v>
      </c>
      <c r="I7483" s="7" t="n">
        <v>190801</v>
      </c>
      <c r="J7483" s="94" t="n"/>
      <c r="K7483" s="6" t="n">
        <v>10</v>
      </c>
      <c r="L7483" s="7" t="n">
        <v>190801</v>
      </c>
      <c r="M7483" s="94">
        <f>VLOOKUP($Q7483,매칭테이블!$F:$I,2,0)*K7483</f>
        <v/>
      </c>
      <c r="N7483" s="94">
        <f>M7483-M7483*VLOOKUP($Q7483,매칭테이블!$F:$I,3,0)</f>
        <v/>
      </c>
      <c r="O7483" s="94">
        <f>VLOOKUP($Q7483,매칭테이블!$F:$I,4,0)*K7483</f>
        <v/>
      </c>
      <c r="P7483" s="148">
        <f>M7483/1.1</f>
        <v/>
      </c>
      <c r="Q7483" s="94">
        <f>F7483&amp;E7483&amp;G7483&amp;L7483</f>
        <v/>
      </c>
    </row>
    <row r="7484">
      <c r="A7484" s="94" t="n"/>
      <c r="B7484" s="128" t="n">
        <v>44019</v>
      </c>
      <c r="C7484" s="94">
        <f>TEXT(B7484,"aaa")</f>
        <v/>
      </c>
      <c r="D7484" s="94" t="n"/>
      <c r="E7484" s="94" t="inlineStr">
        <is>
          <t>토너</t>
        </is>
      </c>
      <c r="F7484" s="5" t="inlineStr">
        <is>
          <t>스타일쉐어</t>
        </is>
      </c>
      <c r="G7484" s="94" t="inlineStr">
        <is>
          <t>250ml</t>
        </is>
      </c>
      <c r="H7484" s="7" t="n">
        <v>190801</v>
      </c>
      <c r="I7484" s="7" t="n">
        <v>190801</v>
      </c>
      <c r="J7484" s="94" t="n"/>
      <c r="K7484" s="6" t="n">
        <v>12</v>
      </c>
      <c r="L7484" s="7" t="n">
        <v>190801</v>
      </c>
      <c r="M7484" s="94">
        <f>VLOOKUP($Q7484,매칭테이블!$F:$I,2,0)*K7484</f>
        <v/>
      </c>
      <c r="N7484" s="94">
        <f>M7484-M7484*VLOOKUP($Q7484,매칭테이블!$F:$I,3,0)</f>
        <v/>
      </c>
      <c r="O7484" s="94">
        <f>VLOOKUP($Q7484,매칭테이블!$F:$I,4,0)*K7484</f>
        <v/>
      </c>
      <c r="P7484" s="148">
        <f>M7484/1.1</f>
        <v/>
      </c>
      <c r="Q7484" s="94">
        <f>F7484&amp;E7484&amp;G7484&amp;L7484</f>
        <v/>
      </c>
    </row>
    <row r="7485">
      <c r="A7485" s="94" t="n"/>
      <c r="B7485" s="128" t="n">
        <v>44019</v>
      </c>
      <c r="C7485" s="94">
        <f>TEXT(B7485,"aaa")</f>
        <v/>
      </c>
      <c r="D7485" s="94" t="n"/>
      <c r="E7485" s="94" t="inlineStr">
        <is>
          <t>선크림</t>
        </is>
      </c>
      <c r="F7485" s="94" t="inlineStr">
        <is>
          <t>카페24</t>
        </is>
      </c>
      <c r="G7485" s="94" t="inlineStr">
        <is>
          <t>선크림 50ml</t>
        </is>
      </c>
      <c r="H7485" s="7" t="n">
        <v>190801</v>
      </c>
      <c r="I7485" s="7" t="n">
        <v>190801</v>
      </c>
      <c r="J7485" s="94" t="n"/>
      <c r="K7485" s="6" t="n">
        <v>8</v>
      </c>
      <c r="L7485" s="7" t="n">
        <v>190801</v>
      </c>
      <c r="M7485" s="94">
        <f>VLOOKUP($Q7485,매칭테이블!$F:$I,2,0)*K7485</f>
        <v/>
      </c>
      <c r="N7485" s="94">
        <f>M7485-M7485*VLOOKUP($Q7485,매칭테이블!$F:$I,3,0)</f>
        <v/>
      </c>
      <c r="O7485" s="94">
        <f>VLOOKUP($Q7485,매칭테이블!$F:$I,4,0)*K7485</f>
        <v/>
      </c>
      <c r="P7485" s="148">
        <f>M7485/1.1</f>
        <v/>
      </c>
      <c r="Q7485" s="94">
        <f>F7485&amp;E7485&amp;G7485&amp;L7485</f>
        <v/>
      </c>
    </row>
    <row r="7486">
      <c r="A7486" s="94" t="n"/>
      <c r="B7486" s="128" t="n">
        <v>44019</v>
      </c>
      <c r="C7486" s="94">
        <f>TEXT(B7486,"aaa")</f>
        <v/>
      </c>
      <c r="D7486" s="94" t="n"/>
      <c r="E7486" s="6" t="inlineStr">
        <is>
          <t>선크림</t>
        </is>
      </c>
      <c r="F7486" s="5" t="inlineStr">
        <is>
          <t>카페24</t>
        </is>
      </c>
      <c r="G7486" s="5" t="inlineStr">
        <is>
          <t>선크림 50ml  2set</t>
        </is>
      </c>
      <c r="H7486" s="7" t="n">
        <v>190801</v>
      </c>
      <c r="I7486" s="7" t="n">
        <v>190801</v>
      </c>
      <c r="J7486" s="94" t="n"/>
      <c r="K7486" s="6" t="n">
        <v>1</v>
      </c>
      <c r="L7486" s="6" t="n">
        <v>190801</v>
      </c>
      <c r="M7486" s="94">
        <f>VLOOKUP($Q7486,매칭테이블!$F:$I,2,0)*K7486</f>
        <v/>
      </c>
      <c r="N7486" s="94">
        <f>M7486-M7486*VLOOKUP($Q7486,매칭테이블!$F:$I,3,0)</f>
        <v/>
      </c>
      <c r="O7486" s="94">
        <f>VLOOKUP($Q7486,매칭테이블!$F:$I,4,0)*K7486</f>
        <v/>
      </c>
      <c r="P7486" s="148">
        <f>M7486/1.1</f>
        <v/>
      </c>
      <c r="Q7486" s="94">
        <f>F7486&amp;E7486&amp;G7486&amp;L7486</f>
        <v/>
      </c>
    </row>
    <row r="7487">
      <c r="A7487" s="94" t="n"/>
      <c r="B7487" s="128" t="n">
        <v>44019</v>
      </c>
      <c r="C7487" s="94">
        <f>TEXT(B7487,"aaa")</f>
        <v/>
      </c>
      <c r="D7487" s="94" t="n"/>
      <c r="E7487" s="94" t="inlineStr">
        <is>
          <t>클렌징폼</t>
        </is>
      </c>
      <c r="F7487" s="94" t="inlineStr">
        <is>
          <t>카페24</t>
        </is>
      </c>
      <c r="G7487" s="94" t="inlineStr">
        <is>
          <t>클렌징폼 120ml(선크림할인)</t>
        </is>
      </c>
      <c r="H7487" s="7" t="n">
        <v>190801</v>
      </c>
      <c r="I7487" s="7" t="n">
        <v>190801</v>
      </c>
      <c r="J7487" s="94" t="n"/>
      <c r="K7487" s="6" t="n">
        <v>3</v>
      </c>
      <c r="L7487" s="92" t="n">
        <v>190801</v>
      </c>
      <c r="M7487" s="94">
        <f>VLOOKUP($Q7487,매칭테이블!$F:$I,2,0)*K7487</f>
        <v/>
      </c>
      <c r="N7487" s="94">
        <f>M7487-M7487*VLOOKUP($Q7487,매칭테이블!$F:$I,3,0)</f>
        <v/>
      </c>
      <c r="O7487" s="94">
        <f>VLOOKUP($Q7487,매칭테이블!$F:$I,4,0)*K7487</f>
        <v/>
      </c>
      <c r="P7487" s="148">
        <f>M7487/1.1</f>
        <v/>
      </c>
      <c r="Q7487" s="94">
        <f>F7487&amp;E7487&amp;G7487&amp;L7487</f>
        <v/>
      </c>
    </row>
    <row r="7488">
      <c r="A7488" s="94" t="n"/>
      <c r="B7488" s="128" t="n">
        <v>44019</v>
      </c>
      <c r="C7488" s="94">
        <f>TEXT(B7488,"aaa")</f>
        <v/>
      </c>
      <c r="D7488" s="94" t="n"/>
      <c r="E7488" s="94" t="inlineStr">
        <is>
          <t>여름 한정 진정세트</t>
        </is>
      </c>
      <c r="F7488" s="94" t="inlineStr">
        <is>
          <t>카페24</t>
        </is>
      </c>
      <c r="G7488" s="94" t="inlineStr">
        <is>
          <t>여름 한정 진정세트</t>
        </is>
      </c>
      <c r="H7488" s="7" t="n">
        <v>190801</v>
      </c>
      <c r="I7488" s="7" t="n">
        <v>190801</v>
      </c>
      <c r="J7488" s="94" t="n"/>
      <c r="K7488" s="6" t="n">
        <v>3</v>
      </c>
      <c r="L7488" s="92" t="n">
        <v>190801</v>
      </c>
      <c r="M7488" s="94">
        <f>VLOOKUP($Q7488,매칭테이블!$F:$I,2,0)*K7488</f>
        <v/>
      </c>
      <c r="N7488" s="94">
        <f>M7488-M7488*VLOOKUP($Q7488,매칭테이블!$F:$I,3,0)</f>
        <v/>
      </c>
      <c r="O7488" s="94">
        <f>VLOOKUP($Q7488,매칭테이블!$F:$I,4,0)*K7488</f>
        <v/>
      </c>
      <c r="P7488" s="148">
        <f>M7488/1.1</f>
        <v/>
      </c>
      <c r="Q7488" s="94">
        <f>F7488&amp;E7488&amp;G7488&amp;L7488</f>
        <v/>
      </c>
    </row>
    <row r="7489">
      <c r="A7489" s="94" t="n"/>
      <c r="B7489" s="128" t="n">
        <v>44019</v>
      </c>
      <c r="C7489" s="94">
        <f>TEXT(B7489,"aaa")</f>
        <v/>
      </c>
      <c r="D7489" s="94" t="n"/>
      <c r="E7489" s="94" t="inlineStr">
        <is>
          <t>여름 한정 진정세트</t>
        </is>
      </c>
      <c r="F7489" s="94" t="inlineStr">
        <is>
          <t>카페24</t>
        </is>
      </c>
      <c r="G7489" s="94" t="inlineStr">
        <is>
          <t>여름 한정 진정세트 (대용량)</t>
        </is>
      </c>
      <c r="H7489" s="7" t="n">
        <v>190801</v>
      </c>
      <c r="I7489" s="7" t="n">
        <v>190801</v>
      </c>
      <c r="J7489" s="94" t="n"/>
      <c r="K7489" s="6" t="n">
        <v>8</v>
      </c>
      <c r="L7489" s="92" t="n">
        <v>190801</v>
      </c>
      <c r="M7489" s="94">
        <f>VLOOKUP($Q7489,매칭테이블!$F:$I,2,0)*K7489</f>
        <v/>
      </c>
      <c r="N7489" s="94">
        <f>M7489-M7489*VLOOKUP($Q7489,매칭테이블!$F:$I,3,0)</f>
        <v/>
      </c>
      <c r="O7489" s="94">
        <f>VLOOKUP($Q7489,매칭테이블!$F:$I,4,0)*K7489</f>
        <v/>
      </c>
      <c r="P7489" s="148">
        <f>M7489/1.1</f>
        <v/>
      </c>
      <c r="Q7489" s="94">
        <f>F7489&amp;E7489&amp;G7489&amp;L7489</f>
        <v/>
      </c>
    </row>
    <row r="7490">
      <c r="A7490" s="94" t="n"/>
      <c r="B7490" s="128" t="n">
        <v>44019</v>
      </c>
      <c r="C7490" s="94">
        <f>TEXT(B7490,"aaa")</f>
        <v/>
      </c>
      <c r="D7490" s="94" t="n"/>
      <c r="E7490" s="94" t="inlineStr">
        <is>
          <t>어성초진정패키지</t>
        </is>
      </c>
      <c r="F7490" s="94" t="inlineStr">
        <is>
          <t>카페24</t>
        </is>
      </c>
      <c r="G7490" s="94" t="inlineStr">
        <is>
          <t>어성초 진정패키지세트</t>
        </is>
      </c>
      <c r="H7490" s="7" t="n">
        <v>190801</v>
      </c>
      <c r="I7490" s="7" t="n">
        <v>190801</v>
      </c>
      <c r="J7490" s="94" t="n"/>
      <c r="K7490" s="6" t="n">
        <v>5</v>
      </c>
      <c r="L7490" s="94" t="n">
        <v>190801</v>
      </c>
      <c r="M7490" s="94">
        <f>VLOOKUP($Q7490,매칭테이블!$F:$I,2,0)*K7490</f>
        <v/>
      </c>
      <c r="N7490" s="94">
        <f>M7490-M7490*VLOOKUP($Q7490,매칭테이블!$F:$I,3,0)</f>
        <v/>
      </c>
      <c r="O7490" s="94">
        <f>VLOOKUP($Q7490,매칭테이블!$F:$I,4,0)*K7490</f>
        <v/>
      </c>
      <c r="P7490" s="148">
        <f>M7490/1.1</f>
        <v/>
      </c>
      <c r="Q7490" s="94">
        <f>F7490&amp;E7490&amp;G7490&amp;L7490</f>
        <v/>
      </c>
    </row>
    <row r="7491">
      <c r="A7491" s="94" t="n"/>
      <c r="B7491" s="128" t="n">
        <v>44019</v>
      </c>
      <c r="C7491" s="94">
        <f>TEXT(B7491,"aaa")</f>
        <v/>
      </c>
      <c r="D7491" s="94" t="n"/>
      <c r="E7491" s="94" t="inlineStr">
        <is>
          <t>머드크림마스크</t>
        </is>
      </c>
      <c r="F7491" s="94" t="inlineStr">
        <is>
          <t>카페24</t>
        </is>
      </c>
      <c r="G7491" s="94" t="inlineStr">
        <is>
          <t>머드크림마스크 100ml</t>
        </is>
      </c>
      <c r="H7491" s="7" t="n">
        <v>190801</v>
      </c>
      <c r="I7491" s="7" t="n">
        <v>190801</v>
      </c>
      <c r="J7491" s="94" t="n"/>
      <c r="K7491" s="6" t="n">
        <v>2</v>
      </c>
      <c r="L7491" s="94" t="n">
        <v>190801</v>
      </c>
      <c r="M7491" s="94">
        <f>VLOOKUP($Q7491,매칭테이블!$F:$I,2,0)*K7491</f>
        <v/>
      </c>
      <c r="N7491" s="94">
        <f>M7491-M7491*VLOOKUP($Q7491,매칭테이블!$F:$I,3,0)</f>
        <v/>
      </c>
      <c r="O7491" s="94">
        <f>VLOOKUP($Q7491,매칭테이블!$F:$I,4,0)*K7491</f>
        <v/>
      </c>
      <c r="P7491" s="148">
        <f>M7491/1.1</f>
        <v/>
      </c>
      <c r="Q7491" s="94">
        <f>F7491&amp;E7491&amp;G7491&amp;L7491</f>
        <v/>
      </c>
    </row>
    <row r="7492">
      <c r="A7492" s="94" t="n"/>
      <c r="B7492" s="128" t="n">
        <v>44019</v>
      </c>
      <c r="C7492" s="94">
        <f>TEXT(B7492,"aaa")</f>
        <v/>
      </c>
      <c r="D7492" s="94" t="n"/>
      <c r="E7492" s="94" t="inlineStr">
        <is>
          <t>마스크팩</t>
        </is>
      </c>
      <c r="F7492" s="94" t="inlineStr">
        <is>
          <t>카페24</t>
        </is>
      </c>
      <c r="G7492" s="94" t="inlineStr">
        <is>
          <t>마스크팩 1매</t>
        </is>
      </c>
      <c r="H7492" s="7" t="n">
        <v>190801</v>
      </c>
      <c r="I7492" s="7" t="n">
        <v>190801</v>
      </c>
      <c r="J7492" s="94" t="n"/>
      <c r="K7492" s="6" t="n">
        <v>7</v>
      </c>
      <c r="L7492" s="94" t="n">
        <v>190801</v>
      </c>
      <c r="M7492" s="94">
        <f>VLOOKUP($Q7492,매칭테이블!$F:$I,2,0)*K7492</f>
        <v/>
      </c>
      <c r="N7492" s="94">
        <f>M7492-M7492*VLOOKUP($Q7492,매칭테이블!$F:$I,3,0)</f>
        <v/>
      </c>
      <c r="O7492" s="94">
        <f>VLOOKUP($Q7492,매칭테이블!$F:$I,4,0)*K7492</f>
        <v/>
      </c>
      <c r="P7492" s="148">
        <f>M7492/1.1</f>
        <v/>
      </c>
      <c r="Q7492" s="94">
        <f>F7492&amp;E7492&amp;G7492&amp;L7492</f>
        <v/>
      </c>
    </row>
    <row r="7493">
      <c r="A7493" s="94" t="n"/>
      <c r="B7493" s="128" t="n">
        <v>44019</v>
      </c>
      <c r="C7493" s="94">
        <f>TEXT(B7493,"aaa")</f>
        <v/>
      </c>
      <c r="D7493" s="94" t="n"/>
      <c r="E7493" s="94" t="inlineStr">
        <is>
          <t>마스크팩</t>
        </is>
      </c>
      <c r="F7493" s="94" t="inlineStr">
        <is>
          <t>카페24</t>
        </is>
      </c>
      <c r="G7493" s="94" t="inlineStr">
        <is>
          <t>마스크팩 10매</t>
        </is>
      </c>
      <c r="H7493" s="7" t="n">
        <v>190801</v>
      </c>
      <c r="I7493" s="7" t="n">
        <v>190801</v>
      </c>
      <c r="J7493" s="94" t="n"/>
      <c r="K7493" s="6" t="n">
        <v>7</v>
      </c>
      <c r="L7493" s="94" t="n">
        <v>190801</v>
      </c>
      <c r="M7493" s="94">
        <f>VLOOKUP($Q7493,매칭테이블!$F:$I,2,0)*K7493</f>
        <v/>
      </c>
      <c r="N7493" s="94">
        <f>M7493-M7493*VLOOKUP($Q7493,매칭테이블!$F:$I,3,0)</f>
        <v/>
      </c>
      <c r="O7493" s="94">
        <f>VLOOKUP($Q7493,매칭테이블!$F:$I,4,0)*K7493</f>
        <v/>
      </c>
      <c r="P7493" s="148">
        <f>M7493/1.1</f>
        <v/>
      </c>
      <c r="Q7493" s="94">
        <f>F7493&amp;E7493&amp;G7493&amp;L7493</f>
        <v/>
      </c>
    </row>
    <row r="7494">
      <c r="A7494" s="94" t="n"/>
      <c r="B7494" s="128" t="n">
        <v>44019</v>
      </c>
      <c r="C7494" s="94">
        <f>TEXT(B7494,"aaa")</f>
        <v/>
      </c>
      <c r="D7494" s="94" t="n"/>
      <c r="E7494" s="6" t="inlineStr">
        <is>
          <t>토너</t>
        </is>
      </c>
      <c r="F7494" s="5" t="inlineStr">
        <is>
          <t>카페24</t>
        </is>
      </c>
      <c r="G7494" s="5" t="inlineStr">
        <is>
          <t>250ml</t>
        </is>
      </c>
      <c r="H7494" s="7" t="n">
        <v>190801</v>
      </c>
      <c r="I7494" s="7" t="n">
        <v>190801</v>
      </c>
      <c r="J7494" s="94" t="n"/>
      <c r="K7494" s="6" t="n">
        <v>64</v>
      </c>
      <c r="L7494" s="7" t="n">
        <v>190801</v>
      </c>
      <c r="M7494" s="94">
        <f>VLOOKUP($Q7494,매칭테이블!$F:$I,2,0)*K7494</f>
        <v/>
      </c>
      <c r="N7494" s="94">
        <f>M7494-M7494*VLOOKUP($Q7494,매칭테이블!$F:$I,3,0)</f>
        <v/>
      </c>
      <c r="O7494" s="94">
        <f>VLOOKUP($Q7494,매칭테이블!$F:$I,4,0)*K7494</f>
        <v/>
      </c>
      <c r="P7494" s="148">
        <f>M7494/1.1</f>
        <v/>
      </c>
      <c r="Q7494" s="94">
        <f>F7494&amp;E7494&amp;G7494&amp;L7494</f>
        <v/>
      </c>
    </row>
    <row r="7495">
      <c r="A7495" s="94" t="n"/>
      <c r="B7495" s="128" t="n">
        <v>44019</v>
      </c>
      <c r="C7495" s="94">
        <f>TEXT(B7495,"aaa")</f>
        <v/>
      </c>
      <c r="D7495" s="94" t="n"/>
      <c r="E7495" s="6" t="inlineStr">
        <is>
          <t>토너</t>
        </is>
      </c>
      <c r="F7495" s="5" t="inlineStr">
        <is>
          <t>카페24</t>
        </is>
      </c>
      <c r="G7495" s="5" t="inlineStr">
        <is>
          <t>250ml 2set</t>
        </is>
      </c>
      <c r="H7495" s="7" t="n">
        <v>190801</v>
      </c>
      <c r="I7495" s="7" t="n">
        <v>190801</v>
      </c>
      <c r="J7495" s="94" t="n"/>
      <c r="K7495" s="6" t="n">
        <v>46</v>
      </c>
      <c r="L7495" s="7" t="n">
        <v>190801</v>
      </c>
      <c r="M7495" s="94">
        <f>VLOOKUP($Q7495,매칭테이블!$F:$I,2,0)*K7495</f>
        <v/>
      </c>
      <c r="N7495" s="94">
        <f>M7495-M7495*VLOOKUP($Q7495,매칭테이블!$F:$I,3,0)</f>
        <v/>
      </c>
      <c r="O7495" s="94">
        <f>VLOOKUP($Q7495,매칭테이블!$F:$I,4,0)*K7495</f>
        <v/>
      </c>
      <c r="P7495" s="148">
        <f>M7495/1.1</f>
        <v/>
      </c>
      <c r="Q7495" s="94">
        <f>F7495&amp;E7495&amp;G7495&amp;L7495</f>
        <v/>
      </c>
    </row>
    <row r="7496">
      <c r="A7496" s="94" t="n"/>
      <c r="B7496" s="128" t="n">
        <v>44019</v>
      </c>
      <c r="C7496" s="94">
        <f>TEXT(B7496,"aaa")</f>
        <v/>
      </c>
      <c r="D7496" s="94" t="n"/>
      <c r="E7496" s="6" t="inlineStr">
        <is>
          <t>토너</t>
        </is>
      </c>
      <c r="F7496" s="5" t="inlineStr">
        <is>
          <t>카페24</t>
        </is>
      </c>
      <c r="G7496" s="5" t="inlineStr">
        <is>
          <t>500ml</t>
        </is>
      </c>
      <c r="H7496" s="7" t="n">
        <v>190801</v>
      </c>
      <c r="I7496" s="7" t="n">
        <v>190801</v>
      </c>
      <c r="J7496" s="94" t="n"/>
      <c r="K7496" s="6" t="n">
        <v>56</v>
      </c>
      <c r="L7496" s="7" t="n">
        <v>190801</v>
      </c>
      <c r="M7496" s="94">
        <f>VLOOKUP($Q7496,매칭테이블!$F:$I,2,0)*K7496</f>
        <v/>
      </c>
      <c r="N7496" s="94">
        <f>M7496-M7496*VLOOKUP($Q7496,매칭테이블!$F:$I,3,0)</f>
        <v/>
      </c>
      <c r="O7496" s="94">
        <f>VLOOKUP($Q7496,매칭테이블!$F:$I,4,0)*K7496</f>
        <v/>
      </c>
      <c r="P7496" s="148">
        <f>M7496/1.1</f>
        <v/>
      </c>
      <c r="Q7496" s="94">
        <f>F7496&amp;E7496&amp;G7496&amp;L7496</f>
        <v/>
      </c>
    </row>
    <row r="7497">
      <c r="A7497" s="94" t="n"/>
      <c r="B7497" s="128" t="n">
        <v>44019</v>
      </c>
      <c r="C7497" s="94">
        <f>TEXT(B7497,"aaa")</f>
        <v/>
      </c>
      <c r="D7497" s="94" t="n"/>
      <c r="E7497" s="6" t="inlineStr">
        <is>
          <t>토너</t>
        </is>
      </c>
      <c r="F7497" s="5" t="inlineStr">
        <is>
          <t>카페24</t>
        </is>
      </c>
      <c r="G7497" s="94" t="inlineStr">
        <is>
          <t>스킨팩 화장솜 60P</t>
        </is>
      </c>
      <c r="H7497" s="7" t="n">
        <v>190801</v>
      </c>
      <c r="I7497" s="7" t="n">
        <v>190801</v>
      </c>
      <c r="J7497" s="94" t="n"/>
      <c r="K7497" s="6" t="n">
        <v>61</v>
      </c>
      <c r="L7497" s="7" t="n">
        <v>190801</v>
      </c>
      <c r="M7497" s="94">
        <f>VLOOKUP($Q7497,매칭테이블!$F:$I,2,0)*K7497</f>
        <v/>
      </c>
      <c r="N7497" s="94">
        <f>M7497-M7497*VLOOKUP($Q7497,매칭테이블!$F:$I,3,0)</f>
        <v/>
      </c>
      <c r="O7497" s="94">
        <f>VLOOKUP($Q7497,매칭테이블!$F:$I,4,0)*K7497</f>
        <v/>
      </c>
      <c r="P7497" s="148">
        <f>M7497/1.1</f>
        <v/>
      </c>
      <c r="Q7497" s="94">
        <f>F7497&amp;E7497&amp;G7497&amp;L7497</f>
        <v/>
      </c>
    </row>
    <row r="7498">
      <c r="A7498" s="94" t="n"/>
      <c r="B7498" s="128" t="n">
        <v>44019</v>
      </c>
      <c r="C7498" s="94">
        <f>TEXT(B7498,"aaa")</f>
        <v/>
      </c>
      <c r="D7498" s="94" t="n"/>
      <c r="E7498" s="94" t="inlineStr">
        <is>
          <t>앰플</t>
        </is>
      </c>
      <c r="F7498" s="5" t="inlineStr">
        <is>
          <t>카페24</t>
        </is>
      </c>
      <c r="G7498" s="94" t="inlineStr">
        <is>
          <t>앰플 30ml</t>
        </is>
      </c>
      <c r="H7498" s="7" t="n">
        <v>190801</v>
      </c>
      <c r="I7498" s="7" t="n">
        <v>190801</v>
      </c>
      <c r="J7498" s="94" t="n"/>
      <c r="K7498" s="6" t="n">
        <v>16</v>
      </c>
      <c r="L7498" s="94" t="n">
        <v>190801</v>
      </c>
      <c r="M7498" s="94">
        <f>VLOOKUP($Q7498,매칭테이블!$F:$I,2,0)*K7498</f>
        <v/>
      </c>
      <c r="N7498" s="94">
        <f>M7498-M7498*VLOOKUP($Q7498,매칭테이블!$F:$I,3,0)</f>
        <v/>
      </c>
      <c r="O7498" s="94">
        <f>VLOOKUP($Q7498,매칭테이블!$F:$I,4,0)*K7498</f>
        <v/>
      </c>
      <c r="P7498" s="148">
        <f>M7498/1.1</f>
        <v/>
      </c>
      <c r="Q7498" s="94">
        <f>F7498&amp;E7498&amp;G7498&amp;L7498</f>
        <v/>
      </c>
    </row>
    <row r="7499">
      <c r="A7499" s="94" t="n"/>
      <c r="B7499" s="128" t="n">
        <v>44019</v>
      </c>
      <c r="C7499" s="94">
        <f>TEXT(B7499,"aaa")</f>
        <v/>
      </c>
      <c r="D7499" s="94" t="n"/>
      <c r="E7499" s="94" t="inlineStr">
        <is>
          <t>수딩크림</t>
        </is>
      </c>
      <c r="F7499" s="5" t="inlineStr">
        <is>
          <t>카페24</t>
        </is>
      </c>
      <c r="G7499" s="94" t="inlineStr">
        <is>
          <t>수딩크림 100ml</t>
        </is>
      </c>
      <c r="H7499" s="7" t="n">
        <v>190801</v>
      </c>
      <c r="I7499" s="7" t="n">
        <v>190801</v>
      </c>
      <c r="J7499" s="94" t="n"/>
      <c r="K7499" s="6" t="n">
        <v>8</v>
      </c>
      <c r="L7499" s="94" t="n">
        <v>190801</v>
      </c>
      <c r="M7499" s="94">
        <f>VLOOKUP($Q7499,매칭테이블!$F:$I,2,0)*K7499</f>
        <v/>
      </c>
      <c r="N7499" s="94">
        <f>M7499-M7499*VLOOKUP($Q7499,매칭테이블!$F:$I,3,0)</f>
        <v/>
      </c>
      <c r="O7499" s="94">
        <f>VLOOKUP($Q7499,매칭테이블!$F:$I,4,0)*K7499</f>
        <v/>
      </c>
      <c r="P7499" s="148">
        <f>M7499/1.1</f>
        <v/>
      </c>
      <c r="Q7499" s="94">
        <f>F7499&amp;E7499&amp;G7499&amp;L7499</f>
        <v/>
      </c>
    </row>
    <row r="7500">
      <c r="A7500" s="94" t="n"/>
      <c r="B7500" s="128" t="n">
        <v>44019</v>
      </c>
      <c r="C7500" s="94">
        <f>TEXT(B7500,"aaa")</f>
        <v/>
      </c>
      <c r="D7500" s="94" t="n"/>
      <c r="E7500" s="94" t="inlineStr">
        <is>
          <t>클렌징폼</t>
        </is>
      </c>
      <c r="F7500" s="5" t="inlineStr">
        <is>
          <t>카페24</t>
        </is>
      </c>
      <c r="G7500" s="94" t="inlineStr">
        <is>
          <t>클렌징폼 120ml</t>
        </is>
      </c>
      <c r="H7500" s="7" t="n">
        <v>190801</v>
      </c>
      <c r="I7500" s="7" t="n">
        <v>190801</v>
      </c>
      <c r="J7500" s="94" t="n"/>
      <c r="K7500" s="6" t="n">
        <v>4</v>
      </c>
      <c r="L7500" s="7" t="n">
        <v>190801</v>
      </c>
      <c r="M7500" s="94">
        <f>VLOOKUP($Q7500,매칭테이블!$F:$I,2,0)*K7500</f>
        <v/>
      </c>
      <c r="N7500" s="94">
        <f>M7500-M7500*VLOOKUP($Q7500,매칭테이블!$F:$I,3,0)</f>
        <v/>
      </c>
      <c r="O7500" s="94">
        <f>VLOOKUP($Q7500,매칭테이블!$F:$I,4,0)*K7500</f>
        <v/>
      </c>
      <c r="P7500" s="148">
        <f>M7500/1.1</f>
        <v/>
      </c>
      <c r="Q7500" s="94">
        <f>F7500&amp;E7500&amp;G7500&amp;L7500</f>
        <v/>
      </c>
    </row>
    <row r="7501">
      <c r="A7501" s="94" t="n"/>
      <c r="B7501" s="128" t="n">
        <v>44019</v>
      </c>
      <c r="C7501" s="94">
        <f>TEXT(B7501,"aaa")</f>
        <v/>
      </c>
      <c r="D7501" s="94" t="n"/>
      <c r="E7501" s="94" t="inlineStr">
        <is>
          <t>클렌징폼</t>
        </is>
      </c>
      <c r="F7501" s="94" t="inlineStr">
        <is>
          <t>카페24</t>
        </is>
      </c>
      <c r="G7501" s="94" t="inlineStr">
        <is>
          <t>클렌징폼 120ml 3set</t>
        </is>
      </c>
      <c r="H7501" s="7" t="n">
        <v>190801</v>
      </c>
      <c r="I7501" s="7" t="n">
        <v>190801</v>
      </c>
      <c r="J7501" s="94" t="n"/>
      <c r="K7501" s="6" t="n">
        <v>1</v>
      </c>
      <c r="L7501" s="7" t="n">
        <v>190801</v>
      </c>
      <c r="M7501" s="94">
        <f>VLOOKUP($Q7501,매칭테이블!$F:$I,2,0)*K7501</f>
        <v/>
      </c>
      <c r="N7501" s="94">
        <f>M7501-M7501*VLOOKUP($Q7501,매칭테이블!$F:$I,3,0)</f>
        <v/>
      </c>
      <c r="O7501" s="94">
        <f>VLOOKUP($Q7501,매칭테이블!$F:$I,4,0)*K7501</f>
        <v/>
      </c>
      <c r="P7501" s="148">
        <f>M7501/1.1</f>
        <v/>
      </c>
      <c r="Q7501" s="94">
        <f>F7501&amp;E7501&amp;G7501&amp;L7501</f>
        <v/>
      </c>
    </row>
    <row r="7502">
      <c r="A7502" s="94" t="n"/>
      <c r="B7502" s="128" t="n">
        <v>44019</v>
      </c>
      <c r="C7502" s="94">
        <f>TEXT(B7502,"aaa")</f>
        <v/>
      </c>
      <c r="D7502" s="94" t="n"/>
      <c r="E7502" s="6" t="inlineStr">
        <is>
          <t>토너</t>
        </is>
      </c>
      <c r="F7502" s="5" t="inlineStr">
        <is>
          <t>큐텐</t>
        </is>
      </c>
      <c r="G7502" s="5" t="inlineStr">
        <is>
          <t>250ml</t>
        </is>
      </c>
      <c r="H7502" s="7" t="n">
        <v>190801</v>
      </c>
      <c r="I7502" s="7" t="n">
        <v>190801</v>
      </c>
      <c r="J7502" s="94" t="n"/>
      <c r="K7502" s="6" t="n">
        <v>11</v>
      </c>
      <c r="L7502" s="92" t="n">
        <v>190801</v>
      </c>
      <c r="M7502" s="94">
        <f>VLOOKUP($Q7502,매칭테이블!$F:$I,2,0)*K7502</f>
        <v/>
      </c>
      <c r="N7502" s="94">
        <f>M7502-M7502*VLOOKUP($Q7502,매칭테이블!$F:$I,3,0)</f>
        <v/>
      </c>
      <c r="O7502" s="94">
        <f>VLOOKUP($Q7502,매칭테이블!$F:$I,4,0)*K7502</f>
        <v/>
      </c>
      <c r="P7502" s="148">
        <f>M7502/1.1</f>
        <v/>
      </c>
      <c r="Q7502" s="94">
        <f>F7502&amp;E7502&amp;G7502&amp;L7502</f>
        <v/>
      </c>
    </row>
    <row r="7503">
      <c r="A7503" s="94" t="n"/>
      <c r="B7503" s="128" t="n">
        <v>44019</v>
      </c>
      <c r="C7503" s="94">
        <f>TEXT(B7503,"aaa")</f>
        <v/>
      </c>
      <c r="D7503" s="94" t="n"/>
      <c r="E7503" s="6" t="inlineStr">
        <is>
          <t>토너</t>
        </is>
      </c>
      <c r="F7503" s="5" t="inlineStr">
        <is>
          <t>큐텐</t>
        </is>
      </c>
      <c r="G7503" s="5" t="inlineStr">
        <is>
          <t>250ml 2set</t>
        </is>
      </c>
      <c r="H7503" s="7" t="n">
        <v>190801</v>
      </c>
      <c r="I7503" s="7" t="n">
        <v>190801</v>
      </c>
      <c r="J7503" s="94" t="n"/>
      <c r="K7503" s="6" t="n">
        <v>3</v>
      </c>
      <c r="L7503" s="92" t="n">
        <v>190801</v>
      </c>
      <c r="M7503" s="94">
        <f>VLOOKUP($Q7503,매칭테이블!$F:$I,2,0)*K7503</f>
        <v/>
      </c>
      <c r="N7503" s="94">
        <f>M7503-M7503*VLOOKUP($Q7503,매칭테이블!$F:$I,3,0)</f>
        <v/>
      </c>
      <c r="O7503" s="94">
        <f>VLOOKUP($Q7503,매칭테이블!$F:$I,4,0)*K7503</f>
        <v/>
      </c>
      <c r="P7503" s="148">
        <f>M7503/1.1</f>
        <v/>
      </c>
      <c r="Q7503" s="94">
        <f>F7503&amp;E7503&amp;G7503&amp;L7503</f>
        <v/>
      </c>
    </row>
    <row r="7504">
      <c r="A7504" s="94" t="n"/>
      <c r="B7504" s="128" t="n">
        <v>44019</v>
      </c>
      <c r="C7504" s="94">
        <f>TEXT(B7504,"aaa")</f>
        <v/>
      </c>
      <c r="D7504" s="94" t="n"/>
      <c r="E7504" s="94" t="inlineStr">
        <is>
          <t>앰플</t>
        </is>
      </c>
      <c r="F7504" s="5" t="inlineStr">
        <is>
          <t>큐텐</t>
        </is>
      </c>
      <c r="G7504" s="94" t="inlineStr">
        <is>
          <t>앰플 30ml</t>
        </is>
      </c>
      <c r="H7504" s="7" t="n">
        <v>190801</v>
      </c>
      <c r="I7504" s="7" t="n">
        <v>190801</v>
      </c>
      <c r="J7504" s="94" t="n"/>
      <c r="K7504" s="94" t="n">
        <v>2</v>
      </c>
      <c r="L7504" s="94" t="n">
        <v>190801</v>
      </c>
      <c r="M7504" s="94">
        <f>VLOOKUP($Q7504,매칭테이블!$F:$I,2,0)*K7504</f>
        <v/>
      </c>
      <c r="N7504" s="94">
        <f>M7504-M7504*VLOOKUP($Q7504,매칭테이블!$F:$I,3,0)</f>
        <v/>
      </c>
      <c r="O7504" s="94">
        <f>VLOOKUP($Q7504,매칭테이블!$F:$I,4,0)*K7504</f>
        <v/>
      </c>
      <c r="P7504" s="148">
        <f>M7504/1.1</f>
        <v/>
      </c>
      <c r="Q7504" s="94">
        <f>F7504&amp;E7504&amp;G7504&amp;L7504</f>
        <v/>
      </c>
    </row>
    <row r="7505">
      <c r="A7505" s="94" t="n"/>
      <c r="B7505" s="128" t="n">
        <v>44019</v>
      </c>
      <c r="C7505" s="94">
        <f>TEXT(B7505,"aaa")</f>
        <v/>
      </c>
      <c r="D7505" s="94" t="n"/>
      <c r="E7505" s="94" t="inlineStr">
        <is>
          <t>토너</t>
        </is>
      </c>
      <c r="F7505" s="5" t="inlineStr">
        <is>
          <t>아누아 CS</t>
        </is>
      </c>
      <c r="G7505" s="94" t="inlineStr">
        <is>
          <t>250ml</t>
        </is>
      </c>
      <c r="H7505" s="7" t="n">
        <v>190801</v>
      </c>
      <c r="I7505" s="7" t="n">
        <v>190801</v>
      </c>
      <c r="J7505" s="94" t="n"/>
      <c r="K7505" s="6" t="n">
        <v>4</v>
      </c>
      <c r="L7505" s="7" t="n">
        <v>190801</v>
      </c>
      <c r="M7505" s="94">
        <f>VLOOKUP($Q7505,매칭테이블!$F:$I,2,0)*K7505</f>
        <v/>
      </c>
      <c r="N7505" s="94">
        <f>M7505-M7505*VLOOKUP($Q7505,매칭테이블!$F:$I,3,0)</f>
        <v/>
      </c>
      <c r="O7505" s="94">
        <f>VLOOKUP($Q7505,매칭테이블!$F:$I,4,0)*K7505</f>
        <v/>
      </c>
      <c r="P7505" s="148">
        <f>M7505/1.1</f>
        <v/>
      </c>
      <c r="Q7505" s="94">
        <f>F7505&amp;E7505&amp;G7505&amp;L7505</f>
        <v/>
      </c>
    </row>
    <row r="7506">
      <c r="A7506" s="94" t="n"/>
      <c r="B7506" s="128" t="n">
        <v>44019</v>
      </c>
      <c r="C7506" s="94">
        <f>TEXT(B7506,"aaa")</f>
        <v/>
      </c>
      <c r="D7506" s="94" t="n"/>
      <c r="E7506" s="94" t="inlineStr">
        <is>
          <t>화장솜</t>
        </is>
      </c>
      <c r="F7506" s="5" t="inlineStr">
        <is>
          <t>아누아 CS</t>
        </is>
      </c>
      <c r="G7506" s="94" t="inlineStr">
        <is>
          <t>스킨팩 화장솜 60P</t>
        </is>
      </c>
      <c r="H7506" s="7" t="n">
        <v>190801</v>
      </c>
      <c r="I7506" s="7" t="n">
        <v>190801</v>
      </c>
      <c r="J7506" s="94" t="n"/>
      <c r="K7506" s="94" t="n">
        <v>4</v>
      </c>
      <c r="L7506" s="7" t="n">
        <v>190801</v>
      </c>
      <c r="M7506" s="94">
        <f>VLOOKUP($Q7506,매칭테이블!$F:$I,2,0)*K7506</f>
        <v/>
      </c>
      <c r="N7506" s="94">
        <f>M7506-M7506*VLOOKUP($Q7506,매칭테이블!$F:$I,3,0)</f>
        <v/>
      </c>
      <c r="O7506" s="94">
        <f>VLOOKUP($Q7506,매칭테이블!$F:$I,4,0)*K7506</f>
        <v/>
      </c>
      <c r="P7506" s="148">
        <f>M7506/1.1</f>
        <v/>
      </c>
      <c r="Q7506" s="94">
        <f>F7506&amp;E7506&amp;G7506&amp;L7506</f>
        <v/>
      </c>
    </row>
    <row r="7507">
      <c r="A7507" s="94" t="n"/>
      <c r="B7507" s="128" t="n">
        <v>44019</v>
      </c>
      <c r="C7507" s="94">
        <f>TEXT(B7507,"aaa")</f>
        <v/>
      </c>
      <c r="D7507" s="94" t="n"/>
      <c r="E7507" s="94" t="inlineStr">
        <is>
          <t>토너</t>
        </is>
      </c>
      <c r="F7507" s="5" t="inlineStr">
        <is>
          <t>화해</t>
        </is>
      </c>
      <c r="G7507" s="94" t="inlineStr">
        <is>
          <t>250ml</t>
        </is>
      </c>
      <c r="H7507" s="7" t="n">
        <v>190801</v>
      </c>
      <c r="I7507" s="7" t="n">
        <v>190801</v>
      </c>
      <c r="J7507" s="94" t="n"/>
      <c r="K7507" s="94" t="n">
        <v>5</v>
      </c>
      <c r="L7507" s="7" t="n">
        <v>190801</v>
      </c>
      <c r="M7507" s="94">
        <f>VLOOKUP($Q7507,매칭테이블!$F:$I,2,0)*K7507</f>
        <v/>
      </c>
      <c r="N7507" s="94">
        <f>M7507-M7507*VLOOKUP($Q7507,매칭테이블!$F:$I,3,0)</f>
        <v/>
      </c>
      <c r="O7507" s="94">
        <f>VLOOKUP($Q7507,매칭테이블!$F:$I,4,0)*K7507</f>
        <v/>
      </c>
      <c r="P7507" s="148">
        <f>M7507/1.1</f>
        <v/>
      </c>
      <c r="Q7507" s="94">
        <f>F7507&amp;E7507&amp;G7507&amp;L7507</f>
        <v/>
      </c>
    </row>
    <row r="7508" customFormat="1" s="94">
      <c r="B7508" s="128" t="n">
        <v>44020</v>
      </c>
      <c r="C7508" s="94">
        <f>TEXT(B7508,"aaa")</f>
        <v/>
      </c>
      <c r="E7508" s="94" t="inlineStr">
        <is>
          <t>토너</t>
        </is>
      </c>
      <c r="F7508" s="5" t="inlineStr">
        <is>
          <t>W컨셉</t>
        </is>
      </c>
      <c r="G7508" s="94" t="inlineStr">
        <is>
          <t>250ml</t>
        </is>
      </c>
      <c r="H7508" s="7" t="n">
        <v>190801</v>
      </c>
      <c r="I7508" s="7" t="n">
        <v>190801</v>
      </c>
      <c r="K7508" s="94" t="n">
        <v>2</v>
      </c>
      <c r="L7508" s="7" t="n">
        <v>190801</v>
      </c>
      <c r="M7508" s="94">
        <f>VLOOKUP($Q7508,매칭테이블!$F:$I,2,0)*K7508</f>
        <v/>
      </c>
      <c r="N7508" s="94">
        <f>M7508-M7508*VLOOKUP($Q7508,매칭테이블!$F:$I,3,0)</f>
        <v/>
      </c>
      <c r="O7508" s="94">
        <f>VLOOKUP($Q7508,매칭테이블!$F:$I,4,0)*K7508</f>
        <v/>
      </c>
      <c r="P7508" s="148">
        <f>M7508/1.1</f>
        <v/>
      </c>
      <c r="Q7508" s="94">
        <f>F7508&amp;E7508&amp;G7508&amp;L7508</f>
        <v/>
      </c>
    </row>
    <row r="7509">
      <c r="A7509" s="94" t="n"/>
      <c r="B7509" s="128" t="n">
        <v>44020</v>
      </c>
      <c r="C7509" s="94">
        <f>TEXT(B7509,"aaa")</f>
        <v/>
      </c>
      <c r="D7509" s="94" t="n"/>
      <c r="E7509" s="6" t="inlineStr">
        <is>
          <t>토너</t>
        </is>
      </c>
      <c r="F7509" s="5" t="inlineStr">
        <is>
          <t>W컨셉</t>
        </is>
      </c>
      <c r="G7509" s="5" t="inlineStr">
        <is>
          <t>250ml 2set</t>
        </is>
      </c>
      <c r="H7509" s="7" t="n">
        <v>190801</v>
      </c>
      <c r="I7509" s="7" t="n">
        <v>190801</v>
      </c>
      <c r="J7509" s="94" t="n"/>
      <c r="K7509" s="6" t="n">
        <v>11</v>
      </c>
      <c r="L7509" s="7" t="n">
        <v>190801</v>
      </c>
      <c r="M7509" s="94">
        <f>VLOOKUP($Q7509,매칭테이블!$F:$I,2,0)*K7509</f>
        <v/>
      </c>
      <c r="N7509" s="94">
        <f>M7509-M7509*VLOOKUP($Q7509,매칭테이블!$F:$I,3,0)</f>
        <v/>
      </c>
      <c r="O7509" s="94">
        <f>VLOOKUP($Q7509,매칭테이블!$F:$I,4,0)*K7509</f>
        <v/>
      </c>
      <c r="P7509" s="148">
        <f>M7509/1.1</f>
        <v/>
      </c>
      <c r="Q7509" s="94">
        <f>F7509&amp;E7509&amp;G7509&amp;L7509</f>
        <v/>
      </c>
    </row>
    <row r="7510">
      <c r="A7510" s="94" t="n"/>
      <c r="B7510" s="128" t="n">
        <v>44020</v>
      </c>
      <c r="C7510" s="94">
        <f>TEXT(B7510,"aaa")</f>
        <v/>
      </c>
      <c r="D7510" s="94" t="n"/>
      <c r="E7510" s="94" t="inlineStr">
        <is>
          <t>토너</t>
        </is>
      </c>
      <c r="F7510" s="5" t="inlineStr">
        <is>
          <t>스타일쉐어</t>
        </is>
      </c>
      <c r="G7510" s="94" t="inlineStr">
        <is>
          <t>250ml</t>
        </is>
      </c>
      <c r="H7510" s="7" t="n">
        <v>190801</v>
      </c>
      <c r="I7510" s="7" t="n">
        <v>190801</v>
      </c>
      <c r="J7510" s="94" t="n"/>
      <c r="K7510" s="6" t="n">
        <v>6</v>
      </c>
      <c r="L7510" s="7" t="n">
        <v>190801</v>
      </c>
      <c r="M7510" s="94">
        <f>VLOOKUP($Q7510,매칭테이블!$F:$I,2,0)*K7510</f>
        <v/>
      </c>
      <c r="N7510" s="94">
        <f>M7510-M7510*VLOOKUP($Q7510,매칭테이블!$F:$I,3,0)</f>
        <v/>
      </c>
      <c r="O7510" s="94">
        <f>VLOOKUP($Q7510,매칭테이블!$F:$I,4,0)*K7510</f>
        <v/>
      </c>
      <c r="P7510" s="148">
        <f>M7510/1.1</f>
        <v/>
      </c>
      <c r="Q7510" s="94">
        <f>F7510&amp;E7510&amp;G7510&amp;L7510</f>
        <v/>
      </c>
    </row>
    <row r="7511">
      <c r="A7511" s="94" t="n"/>
      <c r="B7511" s="128" t="n">
        <v>44020</v>
      </c>
      <c r="C7511" s="94">
        <f>TEXT(B7511,"aaa")</f>
        <v/>
      </c>
      <c r="D7511" s="94" t="n"/>
      <c r="E7511" s="94" t="inlineStr">
        <is>
          <t>선크림</t>
        </is>
      </c>
      <c r="F7511" s="94" t="inlineStr">
        <is>
          <t>카페24</t>
        </is>
      </c>
      <c r="G7511" s="94" t="inlineStr">
        <is>
          <t>선크림 50ml</t>
        </is>
      </c>
      <c r="H7511" s="7" t="n">
        <v>190801</v>
      </c>
      <c r="I7511" s="7" t="n">
        <v>190801</v>
      </c>
      <c r="J7511" s="94" t="n"/>
      <c r="K7511" s="6" t="n">
        <v>9</v>
      </c>
      <c r="L7511" s="7" t="n">
        <v>190801</v>
      </c>
      <c r="M7511" s="94">
        <f>VLOOKUP($Q7511,매칭테이블!$F:$I,2,0)*K7511</f>
        <v/>
      </c>
      <c r="N7511" s="94">
        <f>M7511-M7511*VLOOKUP($Q7511,매칭테이블!$F:$I,3,0)</f>
        <v/>
      </c>
      <c r="O7511" s="94">
        <f>VLOOKUP($Q7511,매칭테이블!$F:$I,4,0)*K7511</f>
        <v/>
      </c>
      <c r="P7511" s="148">
        <f>M7511/1.1</f>
        <v/>
      </c>
      <c r="Q7511" s="94">
        <f>F7511&amp;E7511&amp;G7511&amp;L7511</f>
        <v/>
      </c>
    </row>
    <row r="7512">
      <c r="A7512" s="94" t="n"/>
      <c r="B7512" s="128" t="n">
        <v>44020</v>
      </c>
      <c r="C7512" s="94">
        <f>TEXT(B7512,"aaa")</f>
        <v/>
      </c>
      <c r="D7512" s="94" t="n"/>
      <c r="E7512" s="6" t="inlineStr">
        <is>
          <t>선크림</t>
        </is>
      </c>
      <c r="F7512" s="5" t="inlineStr">
        <is>
          <t>카페24</t>
        </is>
      </c>
      <c r="G7512" s="5" t="inlineStr">
        <is>
          <t>선크림 50ml  2set</t>
        </is>
      </c>
      <c r="H7512" s="7" t="n">
        <v>190801</v>
      </c>
      <c r="I7512" s="7" t="n">
        <v>190801</v>
      </c>
      <c r="J7512" s="94" t="n"/>
      <c r="K7512" s="6" t="n">
        <v>1</v>
      </c>
      <c r="L7512" s="6" t="n">
        <v>190801</v>
      </c>
      <c r="M7512" s="94">
        <f>VLOOKUP($Q7512,매칭테이블!$F:$I,2,0)*K7512</f>
        <v/>
      </c>
      <c r="N7512" s="94">
        <f>M7512-M7512*VLOOKUP($Q7512,매칭테이블!$F:$I,3,0)</f>
        <v/>
      </c>
      <c r="O7512" s="94">
        <f>VLOOKUP($Q7512,매칭테이블!$F:$I,4,0)*K7512</f>
        <v/>
      </c>
      <c r="P7512" s="148">
        <f>M7512/1.1</f>
        <v/>
      </c>
      <c r="Q7512" s="94">
        <f>F7512&amp;E7512&amp;G7512&amp;L7512</f>
        <v/>
      </c>
    </row>
    <row r="7513">
      <c r="A7513" s="94" t="n"/>
      <c r="B7513" s="128" t="n">
        <v>44020</v>
      </c>
      <c r="C7513" s="94">
        <f>TEXT(B7513,"aaa")</f>
        <v/>
      </c>
      <c r="D7513" s="94" t="n"/>
      <c r="E7513" s="94" t="inlineStr">
        <is>
          <t>클렌징폼</t>
        </is>
      </c>
      <c r="F7513" s="94" t="inlineStr">
        <is>
          <t>카페24</t>
        </is>
      </c>
      <c r="G7513" s="94" t="inlineStr">
        <is>
          <t>클렌징폼 120ml(선크림할인)</t>
        </is>
      </c>
      <c r="H7513" s="7" t="n">
        <v>190801</v>
      </c>
      <c r="I7513" s="7" t="n">
        <v>190801</v>
      </c>
      <c r="J7513" s="94" t="n"/>
      <c r="K7513" s="6" t="n">
        <v>3</v>
      </c>
      <c r="L7513" s="92" t="n">
        <v>190801</v>
      </c>
      <c r="M7513" s="94">
        <f>VLOOKUP($Q7513,매칭테이블!$F:$I,2,0)*K7513</f>
        <v/>
      </c>
      <c r="N7513" s="94">
        <f>M7513-M7513*VLOOKUP($Q7513,매칭테이블!$F:$I,3,0)</f>
        <v/>
      </c>
      <c r="O7513" s="94">
        <f>VLOOKUP($Q7513,매칭테이블!$F:$I,4,0)*K7513</f>
        <v/>
      </c>
      <c r="P7513" s="148">
        <f>M7513/1.1</f>
        <v/>
      </c>
      <c r="Q7513" s="94">
        <f>F7513&amp;E7513&amp;G7513&amp;L7513</f>
        <v/>
      </c>
    </row>
    <row r="7514">
      <c r="A7514" s="94" t="n"/>
      <c r="B7514" s="128" t="n">
        <v>44020</v>
      </c>
      <c r="C7514" s="94">
        <f>TEXT(B7514,"aaa")</f>
        <v/>
      </c>
      <c r="D7514" s="94" t="n"/>
      <c r="E7514" s="94" t="inlineStr">
        <is>
          <t>여름 한정 진정세트</t>
        </is>
      </c>
      <c r="F7514" s="94" t="inlineStr">
        <is>
          <t>카페24</t>
        </is>
      </c>
      <c r="G7514" s="94" t="inlineStr">
        <is>
          <t>여름 한정 진정세트</t>
        </is>
      </c>
      <c r="H7514" s="7" t="n">
        <v>190801</v>
      </c>
      <c r="I7514" s="7" t="n">
        <v>190801</v>
      </c>
      <c r="J7514" s="94" t="n"/>
      <c r="K7514" s="6" t="n">
        <v>2</v>
      </c>
      <c r="L7514" s="92" t="n">
        <v>190801</v>
      </c>
      <c r="M7514" s="94">
        <f>VLOOKUP($Q7514,매칭테이블!$F:$I,2,0)*K7514</f>
        <v/>
      </c>
      <c r="N7514" s="94">
        <f>M7514-M7514*VLOOKUP($Q7514,매칭테이블!$F:$I,3,0)</f>
        <v/>
      </c>
      <c r="O7514" s="94">
        <f>VLOOKUP($Q7514,매칭테이블!$F:$I,4,0)*K7514</f>
        <v/>
      </c>
      <c r="P7514" s="148">
        <f>M7514/1.1</f>
        <v/>
      </c>
      <c r="Q7514" s="94">
        <f>F7514&amp;E7514&amp;G7514&amp;L7514</f>
        <v/>
      </c>
    </row>
    <row r="7515">
      <c r="A7515" s="94" t="n"/>
      <c r="B7515" s="128" t="n">
        <v>44020</v>
      </c>
      <c r="C7515" s="94">
        <f>TEXT(B7515,"aaa")</f>
        <v/>
      </c>
      <c r="D7515" s="94" t="n"/>
      <c r="E7515" s="94" t="inlineStr">
        <is>
          <t>어성초진정패키지</t>
        </is>
      </c>
      <c r="F7515" s="94" t="inlineStr">
        <is>
          <t>카페24</t>
        </is>
      </c>
      <c r="G7515" s="94" t="inlineStr">
        <is>
          <t>어성초 진정패키지세트</t>
        </is>
      </c>
      <c r="H7515" s="7" t="n">
        <v>190801</v>
      </c>
      <c r="I7515" s="7" t="n">
        <v>190801</v>
      </c>
      <c r="J7515" s="94" t="n"/>
      <c r="K7515" s="6" t="n">
        <v>3</v>
      </c>
      <c r="L7515" s="94" t="n">
        <v>190801</v>
      </c>
      <c r="M7515" s="94">
        <f>VLOOKUP($Q7515,매칭테이블!$F:$I,2,0)*K7515</f>
        <v/>
      </c>
      <c r="N7515" s="94">
        <f>M7515-M7515*VLOOKUP($Q7515,매칭테이블!$F:$I,3,0)</f>
        <v/>
      </c>
      <c r="O7515" s="94">
        <f>VLOOKUP($Q7515,매칭테이블!$F:$I,4,0)*K7515</f>
        <v/>
      </c>
      <c r="P7515" s="148">
        <f>M7515/1.1</f>
        <v/>
      </c>
      <c r="Q7515" s="94">
        <f>F7515&amp;E7515&amp;G7515&amp;L7515</f>
        <v/>
      </c>
    </row>
    <row r="7516">
      <c r="A7516" s="94" t="n"/>
      <c r="B7516" s="128" t="n">
        <v>44020</v>
      </c>
      <c r="C7516" s="94">
        <f>TEXT(B7516,"aaa")</f>
        <v/>
      </c>
      <c r="D7516" s="94" t="n"/>
      <c r="E7516" s="94" t="inlineStr">
        <is>
          <t>머드크림마스크</t>
        </is>
      </c>
      <c r="F7516" s="94" t="inlineStr">
        <is>
          <t>카페24</t>
        </is>
      </c>
      <c r="G7516" s="94" t="inlineStr">
        <is>
          <t>머드크림마스크 100ml</t>
        </is>
      </c>
      <c r="H7516" s="7" t="n">
        <v>190801</v>
      </c>
      <c r="I7516" s="7" t="n">
        <v>190801</v>
      </c>
      <c r="J7516" s="94" t="n"/>
      <c r="K7516" s="6" t="n">
        <v>1</v>
      </c>
      <c r="L7516" s="94" t="n">
        <v>190801</v>
      </c>
      <c r="M7516" s="94">
        <f>VLOOKUP($Q7516,매칭테이블!$F:$I,2,0)*K7516</f>
        <v/>
      </c>
      <c r="N7516" s="94">
        <f>M7516-M7516*VLOOKUP($Q7516,매칭테이블!$F:$I,3,0)</f>
        <v/>
      </c>
      <c r="O7516" s="94">
        <f>VLOOKUP($Q7516,매칭테이블!$F:$I,4,0)*K7516</f>
        <v/>
      </c>
      <c r="P7516" s="148">
        <f>M7516/1.1</f>
        <v/>
      </c>
      <c r="Q7516" s="94">
        <f>F7516&amp;E7516&amp;G7516&amp;L7516</f>
        <v/>
      </c>
    </row>
    <row r="7517">
      <c r="A7517" s="94" t="n"/>
      <c r="B7517" s="128" t="n">
        <v>44020</v>
      </c>
      <c r="C7517" s="94">
        <f>TEXT(B7517,"aaa")</f>
        <v/>
      </c>
      <c r="D7517" s="94" t="n"/>
      <c r="E7517" s="94" t="inlineStr">
        <is>
          <t>머드크림마스크</t>
        </is>
      </c>
      <c r="F7517" s="94" t="inlineStr">
        <is>
          <t>카페24</t>
        </is>
      </c>
      <c r="G7517" s="94" t="inlineStr">
        <is>
          <t>머드크림마스크 100ml 2set</t>
        </is>
      </c>
      <c r="H7517" s="7" t="n">
        <v>190801</v>
      </c>
      <c r="I7517" s="7" t="n">
        <v>190801</v>
      </c>
      <c r="J7517" s="94" t="n"/>
      <c r="K7517" s="6" t="n">
        <v>1</v>
      </c>
      <c r="L7517" s="94" t="n">
        <v>190801</v>
      </c>
      <c r="M7517" s="94">
        <f>VLOOKUP($Q7517,매칭테이블!$F:$I,2,0)*K7517</f>
        <v/>
      </c>
      <c r="N7517" s="94">
        <f>M7517-M7517*VLOOKUP($Q7517,매칭테이블!$F:$I,3,0)</f>
        <v/>
      </c>
      <c r="O7517" s="94">
        <f>VLOOKUP($Q7517,매칭테이블!$F:$I,4,0)*K7517</f>
        <v/>
      </c>
      <c r="P7517" s="148">
        <f>M7517/1.1</f>
        <v/>
      </c>
      <c r="Q7517" s="94">
        <f>F7517&amp;E7517&amp;G7517&amp;L7517</f>
        <v/>
      </c>
    </row>
    <row r="7518">
      <c r="A7518" s="94" t="n"/>
      <c r="B7518" s="128" t="n">
        <v>44020</v>
      </c>
      <c r="C7518" s="94">
        <f>TEXT(B7518,"aaa")</f>
        <v/>
      </c>
      <c r="D7518" s="94" t="n"/>
      <c r="E7518" s="94" t="inlineStr">
        <is>
          <t>마스크팩</t>
        </is>
      </c>
      <c r="F7518" s="94" t="inlineStr">
        <is>
          <t>카페24</t>
        </is>
      </c>
      <c r="G7518" s="94" t="inlineStr">
        <is>
          <t>마스크팩 1매</t>
        </is>
      </c>
      <c r="H7518" s="7" t="n">
        <v>190801</v>
      </c>
      <c r="I7518" s="7" t="n">
        <v>190801</v>
      </c>
      <c r="J7518" s="94" t="n"/>
      <c r="K7518" s="6" t="n">
        <v>7</v>
      </c>
      <c r="L7518" s="94" t="n">
        <v>190801</v>
      </c>
      <c r="M7518" s="94">
        <f>VLOOKUP($Q7518,매칭테이블!$F:$I,2,0)*K7518</f>
        <v/>
      </c>
      <c r="N7518" s="94">
        <f>M7518-M7518*VLOOKUP($Q7518,매칭테이블!$F:$I,3,0)</f>
        <v/>
      </c>
      <c r="O7518" s="94">
        <f>VLOOKUP($Q7518,매칭테이블!$F:$I,4,0)*K7518</f>
        <v/>
      </c>
      <c r="P7518" s="148">
        <f>M7518/1.1</f>
        <v/>
      </c>
      <c r="Q7518" s="94">
        <f>F7518&amp;E7518&amp;G7518&amp;L7518</f>
        <v/>
      </c>
    </row>
    <row r="7519">
      <c r="A7519" s="94" t="n"/>
      <c r="B7519" s="128" t="n">
        <v>44020</v>
      </c>
      <c r="C7519" s="94">
        <f>TEXT(B7519,"aaa")</f>
        <v/>
      </c>
      <c r="D7519" s="94" t="n"/>
      <c r="E7519" s="94" t="inlineStr">
        <is>
          <t>마스크팩</t>
        </is>
      </c>
      <c r="F7519" s="94" t="inlineStr">
        <is>
          <t>카페24</t>
        </is>
      </c>
      <c r="G7519" s="94" t="inlineStr">
        <is>
          <t>마스크팩 10매</t>
        </is>
      </c>
      <c r="H7519" s="7" t="n">
        <v>190801</v>
      </c>
      <c r="I7519" s="7" t="n">
        <v>190801</v>
      </c>
      <c r="J7519" s="94" t="n"/>
      <c r="K7519" s="6" t="n">
        <v>2</v>
      </c>
      <c r="L7519" s="94" t="n">
        <v>190801</v>
      </c>
      <c r="M7519" s="94">
        <f>VLOOKUP($Q7519,매칭테이블!$F:$I,2,0)*K7519</f>
        <v/>
      </c>
      <c r="N7519" s="94">
        <f>M7519-M7519*VLOOKUP($Q7519,매칭테이블!$F:$I,3,0)</f>
        <v/>
      </c>
      <c r="O7519" s="94">
        <f>VLOOKUP($Q7519,매칭테이블!$F:$I,4,0)*K7519</f>
        <v/>
      </c>
      <c r="P7519" s="148">
        <f>M7519/1.1</f>
        <v/>
      </c>
      <c r="Q7519" s="94">
        <f>F7519&amp;E7519&amp;G7519&amp;L7519</f>
        <v/>
      </c>
    </row>
    <row r="7520">
      <c r="A7520" s="94" t="n"/>
      <c r="B7520" s="128" t="n">
        <v>44020</v>
      </c>
      <c r="C7520" s="94">
        <f>TEXT(B7520,"aaa")</f>
        <v/>
      </c>
      <c r="D7520" s="94" t="n"/>
      <c r="E7520" s="6" t="inlineStr">
        <is>
          <t>토너</t>
        </is>
      </c>
      <c r="F7520" s="5" t="inlineStr">
        <is>
          <t>카페24</t>
        </is>
      </c>
      <c r="G7520" s="5" t="inlineStr">
        <is>
          <t>250ml</t>
        </is>
      </c>
      <c r="H7520" s="7" t="n">
        <v>190801</v>
      </c>
      <c r="I7520" s="7" t="n">
        <v>190801</v>
      </c>
      <c r="J7520" s="94" t="n"/>
      <c r="K7520" s="6" t="n">
        <v>57</v>
      </c>
      <c r="L7520" s="7" t="n">
        <v>190801</v>
      </c>
      <c r="M7520" s="94">
        <f>VLOOKUP($Q7520,매칭테이블!$F:$I,2,0)*K7520</f>
        <v/>
      </c>
      <c r="N7520" s="94">
        <f>M7520-M7520*VLOOKUP($Q7520,매칭테이블!$F:$I,3,0)</f>
        <v/>
      </c>
      <c r="O7520" s="94">
        <f>VLOOKUP($Q7520,매칭테이블!$F:$I,4,0)*K7520</f>
        <v/>
      </c>
      <c r="P7520" s="148">
        <f>M7520/1.1</f>
        <v/>
      </c>
      <c r="Q7520" s="94">
        <f>F7520&amp;E7520&amp;G7520&amp;L7520</f>
        <v/>
      </c>
    </row>
    <row r="7521">
      <c r="A7521" s="94" t="n"/>
      <c r="B7521" s="128" t="n">
        <v>44020</v>
      </c>
      <c r="C7521" s="94">
        <f>TEXT(B7521,"aaa")</f>
        <v/>
      </c>
      <c r="D7521" s="94" t="n"/>
      <c r="E7521" s="6" t="inlineStr">
        <is>
          <t>토너</t>
        </is>
      </c>
      <c r="F7521" s="5" t="inlineStr">
        <is>
          <t>카페24</t>
        </is>
      </c>
      <c r="G7521" s="5" t="inlineStr">
        <is>
          <t>250ml 2set</t>
        </is>
      </c>
      <c r="H7521" s="7" t="n">
        <v>190801</v>
      </c>
      <c r="I7521" s="7" t="n">
        <v>190801</v>
      </c>
      <c r="J7521" s="94" t="n"/>
      <c r="K7521" s="6" t="n">
        <v>47</v>
      </c>
      <c r="L7521" s="7" t="n">
        <v>190801</v>
      </c>
      <c r="M7521" s="94">
        <f>VLOOKUP($Q7521,매칭테이블!$F:$I,2,0)*K7521</f>
        <v/>
      </c>
      <c r="N7521" s="94">
        <f>M7521-M7521*VLOOKUP($Q7521,매칭테이블!$F:$I,3,0)</f>
        <v/>
      </c>
      <c r="O7521" s="94">
        <f>VLOOKUP($Q7521,매칭테이블!$F:$I,4,0)*K7521</f>
        <v/>
      </c>
      <c r="P7521" s="148">
        <f>M7521/1.1</f>
        <v/>
      </c>
      <c r="Q7521" s="94">
        <f>F7521&amp;E7521&amp;G7521&amp;L7521</f>
        <v/>
      </c>
    </row>
    <row r="7522">
      <c r="A7522" s="94" t="n"/>
      <c r="B7522" s="128" t="n">
        <v>44020</v>
      </c>
      <c r="C7522" s="94">
        <f>TEXT(B7522,"aaa")</f>
        <v/>
      </c>
      <c r="D7522" s="94" t="n"/>
      <c r="E7522" s="6" t="inlineStr">
        <is>
          <t>토너</t>
        </is>
      </c>
      <c r="F7522" s="5" t="inlineStr">
        <is>
          <t>카페24</t>
        </is>
      </c>
      <c r="G7522" s="5" t="inlineStr">
        <is>
          <t>500ml</t>
        </is>
      </c>
      <c r="H7522" s="7" t="n">
        <v>190801</v>
      </c>
      <c r="I7522" s="7" t="n">
        <v>190801</v>
      </c>
      <c r="J7522" s="94" t="n"/>
      <c r="K7522" s="6" t="n">
        <v>145</v>
      </c>
      <c r="L7522" s="7" t="n">
        <v>190801</v>
      </c>
      <c r="M7522" s="94">
        <f>VLOOKUP($Q7522,매칭테이블!$F:$I,2,0)*K7522</f>
        <v/>
      </c>
      <c r="N7522" s="94">
        <f>M7522-M7522*VLOOKUP($Q7522,매칭테이블!$F:$I,3,0)</f>
        <v/>
      </c>
      <c r="O7522" s="94">
        <f>VLOOKUP($Q7522,매칭테이블!$F:$I,4,0)*K7522</f>
        <v/>
      </c>
      <c r="P7522" s="148">
        <f>M7522/1.1</f>
        <v/>
      </c>
      <c r="Q7522" s="94">
        <f>F7522&amp;E7522&amp;G7522&amp;L7522</f>
        <v/>
      </c>
    </row>
    <row r="7523">
      <c r="A7523" s="94" t="n"/>
      <c r="B7523" s="128" t="n">
        <v>44020</v>
      </c>
      <c r="C7523" s="94">
        <f>TEXT(B7523,"aaa")</f>
        <v/>
      </c>
      <c r="D7523" s="94" t="n"/>
      <c r="E7523" s="6" t="inlineStr">
        <is>
          <t>토너</t>
        </is>
      </c>
      <c r="F7523" s="5" t="inlineStr">
        <is>
          <t>카페24</t>
        </is>
      </c>
      <c r="G7523" s="94" t="inlineStr">
        <is>
          <t>스킨팩 화장솜 60P</t>
        </is>
      </c>
      <c r="H7523" s="7" t="n">
        <v>190801</v>
      </c>
      <c r="I7523" s="7" t="n">
        <v>190801</v>
      </c>
      <c r="J7523" s="94" t="n"/>
      <c r="K7523" s="6" t="n">
        <v>199</v>
      </c>
      <c r="L7523" s="7" t="n">
        <v>190801</v>
      </c>
      <c r="M7523" s="94">
        <f>VLOOKUP($Q7523,매칭테이블!$F:$I,2,0)*K7523</f>
        <v/>
      </c>
      <c r="N7523" s="94">
        <f>M7523-M7523*VLOOKUP($Q7523,매칭테이블!$F:$I,3,0)</f>
        <v/>
      </c>
      <c r="O7523" s="94">
        <f>VLOOKUP($Q7523,매칭테이블!$F:$I,4,0)*K7523</f>
        <v/>
      </c>
      <c r="P7523" s="148">
        <f>M7523/1.1</f>
        <v/>
      </c>
      <c r="Q7523" s="94">
        <f>F7523&amp;E7523&amp;G7523&amp;L7523</f>
        <v/>
      </c>
    </row>
    <row r="7524">
      <c r="A7524" s="94" t="n"/>
      <c r="B7524" s="128" t="n">
        <v>44020</v>
      </c>
      <c r="C7524" s="94">
        <f>TEXT(B7524,"aaa")</f>
        <v/>
      </c>
      <c r="D7524" s="94" t="n"/>
      <c r="E7524" s="94" t="inlineStr">
        <is>
          <t>앰플</t>
        </is>
      </c>
      <c r="F7524" s="5" t="inlineStr">
        <is>
          <t>카페24</t>
        </is>
      </c>
      <c r="G7524" s="94" t="inlineStr">
        <is>
          <t>앰플 30ml</t>
        </is>
      </c>
      <c r="H7524" s="7" t="n">
        <v>190801</v>
      </c>
      <c r="I7524" s="7" t="n">
        <v>190801</v>
      </c>
      <c r="J7524" s="94" t="n"/>
      <c r="K7524" s="6" t="n">
        <v>7</v>
      </c>
      <c r="L7524" s="94" t="n">
        <v>190801</v>
      </c>
      <c r="M7524" s="94">
        <f>VLOOKUP($Q7524,매칭테이블!$F:$I,2,0)*K7524</f>
        <v/>
      </c>
      <c r="N7524" s="94">
        <f>M7524-M7524*VLOOKUP($Q7524,매칭테이블!$F:$I,3,0)</f>
        <v/>
      </c>
      <c r="O7524" s="94">
        <f>VLOOKUP($Q7524,매칭테이블!$F:$I,4,0)*K7524</f>
        <v/>
      </c>
      <c r="P7524" s="148">
        <f>M7524/1.1</f>
        <v/>
      </c>
      <c r="Q7524" s="94">
        <f>F7524&amp;E7524&amp;G7524&amp;L7524</f>
        <v/>
      </c>
    </row>
    <row r="7525">
      <c r="A7525" s="94" t="n"/>
      <c r="B7525" s="128" t="n">
        <v>44020</v>
      </c>
      <c r="C7525" s="94">
        <f>TEXT(B7525,"aaa")</f>
        <v/>
      </c>
      <c r="D7525" s="94" t="n"/>
      <c r="E7525" s="94" t="inlineStr">
        <is>
          <t>수딩크림</t>
        </is>
      </c>
      <c r="F7525" s="5" t="inlineStr">
        <is>
          <t>카페24</t>
        </is>
      </c>
      <c r="G7525" s="94" t="inlineStr">
        <is>
          <t>수딩크림 100ml</t>
        </is>
      </c>
      <c r="H7525" s="7" t="n">
        <v>190801</v>
      </c>
      <c r="I7525" s="7" t="n">
        <v>190801</v>
      </c>
      <c r="J7525" s="94" t="n"/>
      <c r="K7525" s="6" t="n">
        <v>6</v>
      </c>
      <c r="L7525" s="94" t="n">
        <v>190801</v>
      </c>
      <c r="M7525" s="94">
        <f>VLOOKUP($Q7525,매칭테이블!$F:$I,2,0)*K7525</f>
        <v/>
      </c>
      <c r="N7525" s="94">
        <f>M7525-M7525*VLOOKUP($Q7525,매칭테이블!$F:$I,3,0)</f>
        <v/>
      </c>
      <c r="O7525" s="94">
        <f>VLOOKUP($Q7525,매칭테이블!$F:$I,4,0)*K7525</f>
        <v/>
      </c>
      <c r="P7525" s="148">
        <f>M7525/1.1</f>
        <v/>
      </c>
      <c r="Q7525" s="94">
        <f>F7525&amp;E7525&amp;G7525&amp;L7525</f>
        <v/>
      </c>
    </row>
    <row r="7526">
      <c r="A7526" s="94" t="n"/>
      <c r="B7526" s="128" t="n">
        <v>44020</v>
      </c>
      <c r="C7526" s="94">
        <f>TEXT(B7526,"aaa")</f>
        <v/>
      </c>
      <c r="D7526" s="94" t="n"/>
      <c r="E7526" s="94" t="inlineStr">
        <is>
          <t>클렌징폼</t>
        </is>
      </c>
      <c r="F7526" s="5" t="inlineStr">
        <is>
          <t>카페24</t>
        </is>
      </c>
      <c r="G7526" s="94" t="inlineStr">
        <is>
          <t>클렌징폼 120ml</t>
        </is>
      </c>
      <c r="H7526" s="7" t="n">
        <v>190801</v>
      </c>
      <c r="I7526" s="7" t="n">
        <v>190801</v>
      </c>
      <c r="J7526" s="94" t="n"/>
      <c r="K7526" s="6" t="n">
        <v>7</v>
      </c>
      <c r="L7526" s="7" t="n">
        <v>190801</v>
      </c>
      <c r="M7526" s="94">
        <f>VLOOKUP($Q7526,매칭테이블!$F:$I,2,0)*K7526</f>
        <v/>
      </c>
      <c r="N7526" s="94">
        <f>M7526-M7526*VLOOKUP($Q7526,매칭테이블!$F:$I,3,0)</f>
        <v/>
      </c>
      <c r="O7526" s="94">
        <f>VLOOKUP($Q7526,매칭테이블!$F:$I,4,0)*K7526</f>
        <v/>
      </c>
      <c r="P7526" s="148">
        <f>M7526/1.1</f>
        <v/>
      </c>
      <c r="Q7526" s="94">
        <f>F7526&amp;E7526&amp;G7526&amp;L7526</f>
        <v/>
      </c>
    </row>
    <row r="7527">
      <c r="A7527" s="94" t="n"/>
      <c r="B7527" s="128" t="n">
        <v>44020</v>
      </c>
      <c r="C7527" s="94">
        <f>TEXT(B7527,"aaa")</f>
        <v/>
      </c>
      <c r="D7527" s="94" t="n"/>
      <c r="E7527" s="94" t="inlineStr">
        <is>
          <t>클렌징폼</t>
        </is>
      </c>
      <c r="F7527" s="94" t="inlineStr">
        <is>
          <t>카페24</t>
        </is>
      </c>
      <c r="G7527" s="94" t="inlineStr">
        <is>
          <t>클렌징폼 120ml 3set</t>
        </is>
      </c>
      <c r="H7527" s="7" t="n">
        <v>190801</v>
      </c>
      <c r="I7527" s="7" t="n">
        <v>190801</v>
      </c>
      <c r="J7527" s="94" t="n"/>
      <c r="K7527" s="6" t="n">
        <v>1</v>
      </c>
      <c r="L7527" s="7" t="n">
        <v>190801</v>
      </c>
      <c r="M7527" s="94">
        <f>VLOOKUP($Q7527,매칭테이블!$F:$I,2,0)*K7527</f>
        <v/>
      </c>
      <c r="N7527" s="94">
        <f>M7527-M7527*VLOOKUP($Q7527,매칭테이블!$F:$I,3,0)</f>
        <v/>
      </c>
      <c r="O7527" s="94">
        <f>VLOOKUP($Q7527,매칭테이블!$F:$I,4,0)*K7527</f>
        <v/>
      </c>
      <c r="P7527" s="148">
        <f>M7527/1.1</f>
        <v/>
      </c>
      <c r="Q7527" s="94">
        <f>F7527&amp;E7527&amp;G7527&amp;L7527</f>
        <v/>
      </c>
    </row>
    <row r="7528">
      <c r="A7528" s="94" t="n"/>
      <c r="B7528" s="128" t="n">
        <v>44020</v>
      </c>
      <c r="C7528" s="94">
        <f>TEXT(B7528,"aaa")</f>
        <v/>
      </c>
      <c r="D7528" s="94" t="n"/>
      <c r="E7528" s="6" t="inlineStr">
        <is>
          <t>토너</t>
        </is>
      </c>
      <c r="F7528" s="5" t="inlineStr">
        <is>
          <t>큐텐재팬</t>
        </is>
      </c>
      <c r="G7528" s="5" t="inlineStr">
        <is>
          <t>250ml</t>
        </is>
      </c>
      <c r="H7528" s="7" t="n">
        <v>190801</v>
      </c>
      <c r="I7528" s="7" t="n">
        <v>190801</v>
      </c>
      <c r="J7528" s="94" t="n"/>
      <c r="K7528" s="6" t="n">
        <v>4</v>
      </c>
      <c r="L7528" s="92" t="n">
        <v>190801</v>
      </c>
      <c r="M7528" s="94">
        <f>VLOOKUP($Q7528,매칭테이블!$F:$I,2,0)*K7528</f>
        <v/>
      </c>
      <c r="N7528" s="94">
        <f>M7528-M7528*VLOOKUP($Q7528,매칭테이블!$F:$I,3,0)</f>
        <v/>
      </c>
      <c r="O7528" s="94">
        <f>VLOOKUP($Q7528,매칭테이블!$F:$I,4,0)*K7528</f>
        <v/>
      </c>
      <c r="P7528" s="148">
        <f>M7528/1.1</f>
        <v/>
      </c>
      <c r="Q7528" s="94">
        <f>F7528&amp;E7528&amp;G7528&amp;L7528</f>
        <v/>
      </c>
    </row>
    <row r="7529">
      <c r="A7529" s="94" t="n"/>
      <c r="B7529" s="128" t="n">
        <v>44020</v>
      </c>
      <c r="C7529" s="94">
        <f>TEXT(B7529,"aaa")</f>
        <v/>
      </c>
      <c r="D7529" s="94" t="n"/>
      <c r="E7529" s="6" t="inlineStr">
        <is>
          <t>토너</t>
        </is>
      </c>
      <c r="F7529" s="5" t="inlineStr">
        <is>
          <t>큐텐재팬</t>
        </is>
      </c>
      <c r="G7529" s="5" t="inlineStr">
        <is>
          <t>250ml 2set</t>
        </is>
      </c>
      <c r="H7529" s="7" t="n">
        <v>190801</v>
      </c>
      <c r="I7529" s="7" t="n">
        <v>190801</v>
      </c>
      <c r="J7529" s="94" t="n"/>
      <c r="K7529" s="6" t="n">
        <v>9</v>
      </c>
      <c r="L7529" s="92" t="n">
        <v>190801</v>
      </c>
      <c r="M7529" s="94">
        <f>VLOOKUP($Q7529,매칭테이블!$F:$I,2,0)*K7529</f>
        <v/>
      </c>
      <c r="N7529" s="94">
        <f>M7529-M7529*VLOOKUP($Q7529,매칭테이블!$F:$I,3,0)</f>
        <v/>
      </c>
      <c r="O7529" s="94">
        <f>VLOOKUP($Q7529,매칭테이블!$F:$I,4,0)*K7529</f>
        <v/>
      </c>
      <c r="P7529" s="148">
        <f>M7529/1.1</f>
        <v/>
      </c>
      <c r="Q7529" s="94">
        <f>F7529&amp;E7529&amp;G7529&amp;L7529</f>
        <v/>
      </c>
    </row>
    <row r="7530">
      <c r="A7530" s="94" t="n"/>
      <c r="B7530" s="128" t="n">
        <v>44020</v>
      </c>
      <c r="C7530" s="94">
        <f>TEXT(B7530,"aaa")</f>
        <v/>
      </c>
      <c r="D7530" s="94" t="n"/>
      <c r="E7530" s="94" t="inlineStr">
        <is>
          <t>앰플</t>
        </is>
      </c>
      <c r="F7530" s="5" t="inlineStr">
        <is>
          <t>큐텐재팬</t>
        </is>
      </c>
      <c r="G7530" s="94" t="inlineStr">
        <is>
          <t>앰플 30ml</t>
        </is>
      </c>
      <c r="H7530" s="7" t="n">
        <v>190801</v>
      </c>
      <c r="I7530" s="7" t="n">
        <v>190801</v>
      </c>
      <c r="J7530" s="94" t="n"/>
      <c r="K7530" s="94" t="n">
        <v>1</v>
      </c>
      <c r="L7530" s="94" t="n">
        <v>190801</v>
      </c>
      <c r="M7530" s="94">
        <f>VLOOKUP($Q7530,매칭테이블!$F:$I,2,0)*K7530</f>
        <v/>
      </c>
      <c r="N7530" s="94">
        <f>M7530-M7530*VLOOKUP($Q7530,매칭테이블!$F:$I,3,0)</f>
        <v/>
      </c>
      <c r="O7530" s="94">
        <f>VLOOKUP($Q7530,매칭테이블!$F:$I,4,0)*K7530</f>
        <v/>
      </c>
      <c r="P7530" s="148">
        <f>M7530/1.1</f>
        <v/>
      </c>
      <c r="Q7530" s="94">
        <f>F7530&amp;E7530&amp;G7530&amp;L7530</f>
        <v/>
      </c>
    </row>
    <row r="7531">
      <c r="A7531" s="94" t="n"/>
      <c r="B7531" s="128" t="n">
        <v>44020</v>
      </c>
      <c r="C7531" s="94">
        <f>TEXT(B7531,"aaa")</f>
        <v/>
      </c>
      <c r="D7531" s="94" t="n"/>
      <c r="E7531" s="94" t="inlineStr">
        <is>
          <t>토너</t>
        </is>
      </c>
      <c r="F7531" s="5" t="inlineStr">
        <is>
          <t>아누아 CS</t>
        </is>
      </c>
      <c r="G7531" s="94" t="inlineStr">
        <is>
          <t>250ml</t>
        </is>
      </c>
      <c r="H7531" s="7" t="n">
        <v>190801</v>
      </c>
      <c r="I7531" s="7" t="n">
        <v>190801</v>
      </c>
      <c r="J7531" s="94" t="n"/>
      <c r="K7531" s="6" t="n">
        <v>2</v>
      </c>
      <c r="L7531" s="7" t="n">
        <v>190801</v>
      </c>
      <c r="M7531" s="94">
        <f>VLOOKUP($Q7531,매칭테이블!$F:$I,2,0)*K7531</f>
        <v/>
      </c>
      <c r="N7531" s="94">
        <f>M7531-M7531*VLOOKUP($Q7531,매칭테이블!$F:$I,3,0)</f>
        <v/>
      </c>
      <c r="O7531" s="94">
        <f>VLOOKUP($Q7531,매칭테이블!$F:$I,4,0)*K7531</f>
        <v/>
      </c>
      <c r="P7531" s="148">
        <f>M7531/1.1</f>
        <v/>
      </c>
      <c r="Q7531" s="94">
        <f>F7531&amp;E7531&amp;G7531&amp;L7531</f>
        <v/>
      </c>
    </row>
    <row r="7532">
      <c r="A7532" s="94" t="n"/>
      <c r="B7532" s="128" t="n">
        <v>44020</v>
      </c>
      <c r="C7532" s="94">
        <f>TEXT(B7532,"aaa")</f>
        <v/>
      </c>
      <c r="D7532" s="94" t="n"/>
      <c r="E7532" s="94" t="inlineStr">
        <is>
          <t>화장솜</t>
        </is>
      </c>
      <c r="F7532" s="5" t="inlineStr">
        <is>
          <t>아누아 CS</t>
        </is>
      </c>
      <c r="G7532" s="94" t="inlineStr">
        <is>
          <t>스킨팩 화장솜 60P</t>
        </is>
      </c>
      <c r="H7532" s="7" t="n">
        <v>190801</v>
      </c>
      <c r="I7532" s="7" t="n">
        <v>190801</v>
      </c>
      <c r="J7532" s="94" t="n"/>
      <c r="K7532" s="94" t="n">
        <v>2</v>
      </c>
      <c r="L7532" s="7" t="n">
        <v>190801</v>
      </c>
      <c r="M7532" s="94">
        <f>VLOOKUP($Q7532,매칭테이블!$F:$I,2,0)*K7532</f>
        <v/>
      </c>
      <c r="N7532" s="94">
        <f>M7532-M7532*VLOOKUP($Q7532,매칭테이블!$F:$I,3,0)</f>
        <v/>
      </c>
      <c r="O7532" s="94">
        <f>VLOOKUP($Q7532,매칭테이블!$F:$I,4,0)*K7532</f>
        <v/>
      </c>
      <c r="P7532" s="148">
        <f>M7532/1.1</f>
        <v/>
      </c>
      <c r="Q7532" s="94">
        <f>F7532&amp;E7532&amp;G7532&amp;L7532</f>
        <v/>
      </c>
    </row>
    <row r="7533">
      <c r="A7533" s="94" t="n"/>
      <c r="B7533" s="128" t="n">
        <v>44020</v>
      </c>
      <c r="C7533" s="94">
        <f>TEXT(B7533,"aaa")</f>
        <v/>
      </c>
      <c r="D7533" s="94" t="n"/>
      <c r="E7533" s="94" t="inlineStr">
        <is>
          <t>토너</t>
        </is>
      </c>
      <c r="F7533" s="5" t="inlineStr">
        <is>
          <t>화해</t>
        </is>
      </c>
      <c r="G7533" s="94" t="inlineStr">
        <is>
          <t>250ml</t>
        </is>
      </c>
      <c r="H7533" s="7" t="n">
        <v>190801</v>
      </c>
      <c r="I7533" s="7" t="n">
        <v>190801</v>
      </c>
      <c r="J7533" s="94" t="n"/>
      <c r="K7533" s="94" t="n">
        <v>7</v>
      </c>
      <c r="L7533" s="7" t="n">
        <v>190801</v>
      </c>
      <c r="M7533" s="94">
        <f>VLOOKUP($Q7533,매칭테이블!$F:$I,2,0)*K7533</f>
        <v/>
      </c>
      <c r="N7533" s="94">
        <f>M7533-M7533*VLOOKUP($Q7533,매칭테이블!$F:$I,3,0)</f>
        <v/>
      </c>
      <c r="O7533" s="94">
        <f>VLOOKUP($Q7533,매칭테이블!$F:$I,4,0)*K7533</f>
        <v/>
      </c>
      <c r="P7533" s="148">
        <f>M7533/1.1</f>
        <v/>
      </c>
      <c r="Q7533" s="94">
        <f>F7533&amp;E7533&amp;G7533&amp;L7533</f>
        <v/>
      </c>
    </row>
    <row r="7534">
      <c r="A7534" s="94" t="n"/>
      <c r="B7534" s="128" t="n">
        <v>44020</v>
      </c>
      <c r="C7534" s="94">
        <f>TEXT(B7534,"aaa")</f>
        <v/>
      </c>
      <c r="D7534" s="94" t="n"/>
      <c r="E7534" s="94" t="inlineStr">
        <is>
          <t>선크림</t>
        </is>
      </c>
      <c r="F7534" s="5" t="inlineStr">
        <is>
          <t>화해</t>
        </is>
      </c>
      <c r="G7534" s="94" t="inlineStr">
        <is>
          <t>선크림 50ml</t>
        </is>
      </c>
      <c r="H7534" s="7" t="n">
        <v>190801</v>
      </c>
      <c r="I7534" s="7" t="n">
        <v>190801</v>
      </c>
      <c r="J7534" s="94" t="n"/>
      <c r="K7534" s="94" t="n">
        <v>2</v>
      </c>
      <c r="L7534" s="7" t="n">
        <v>190801</v>
      </c>
      <c r="M7534" s="94">
        <f>VLOOKUP($Q7534,매칭테이블!$F:$I,2,0)*K7534</f>
        <v/>
      </c>
      <c r="N7534" s="94">
        <f>M7534-M7534*VLOOKUP($Q7534,매칭테이블!$F:$I,3,0)</f>
        <v/>
      </c>
      <c r="O7534" s="94">
        <f>VLOOKUP($Q7534,매칭테이블!$F:$I,4,0)*K7534</f>
        <v/>
      </c>
      <c r="P7534" s="148">
        <f>M7534/1.1</f>
        <v/>
      </c>
      <c r="Q7534" s="94">
        <f>F7534&amp;E7534&amp;G7534&amp;L7534</f>
        <v/>
      </c>
    </row>
    <row r="7535">
      <c r="A7535" s="94" t="n"/>
      <c r="B7535" s="128" t="n">
        <v>44021</v>
      </c>
      <c r="C7535" s="94">
        <f>TEXT(B7535,"aaa")</f>
        <v/>
      </c>
      <c r="D7535" s="94" t="n"/>
      <c r="E7535" s="6" t="inlineStr">
        <is>
          <t>토너</t>
        </is>
      </c>
      <c r="F7535" s="5" t="inlineStr">
        <is>
          <t>W컨셉</t>
        </is>
      </c>
      <c r="G7535" s="5" t="inlineStr">
        <is>
          <t>250ml</t>
        </is>
      </c>
      <c r="H7535" s="7" t="n">
        <v>190801</v>
      </c>
      <c r="I7535" s="7" t="n">
        <v>190801</v>
      </c>
      <c r="J7535" s="94" t="n"/>
      <c r="K7535" s="6" t="n">
        <v>2</v>
      </c>
      <c r="L7535" s="7" t="n">
        <v>190801</v>
      </c>
      <c r="M7535" s="94">
        <f>VLOOKUP($Q7535,매칭테이블!$F:$I,2,0)*K7535</f>
        <v/>
      </c>
      <c r="N7535" s="94">
        <f>M7535-M7535*VLOOKUP($Q7535,매칭테이블!$F:$I,3,0)</f>
        <v/>
      </c>
      <c r="O7535" s="94">
        <f>VLOOKUP($Q7535,매칭테이블!$F:$I,4,0)*K7535</f>
        <v/>
      </c>
      <c r="P7535" s="148">
        <f>M7535/1.1</f>
        <v/>
      </c>
      <c r="Q7535" s="94">
        <f>F7535&amp;E7535&amp;G7535&amp;L7535</f>
        <v/>
      </c>
    </row>
    <row r="7536">
      <c r="A7536" s="94" t="n"/>
      <c r="B7536" s="128" t="n">
        <v>44021</v>
      </c>
      <c r="C7536" s="94">
        <f>TEXT(B7536,"aaa")</f>
        <v/>
      </c>
      <c r="D7536" s="94" t="n"/>
      <c r="E7536" s="6" t="inlineStr">
        <is>
          <t>토너</t>
        </is>
      </c>
      <c r="F7536" s="5" t="inlineStr">
        <is>
          <t>W컨셉</t>
        </is>
      </c>
      <c r="G7536" s="5" t="inlineStr">
        <is>
          <t>250ml 2set</t>
        </is>
      </c>
      <c r="H7536" s="7" t="n">
        <v>190801</v>
      </c>
      <c r="I7536" s="7" t="n">
        <v>190801</v>
      </c>
      <c r="J7536" s="94" t="n"/>
      <c r="K7536" s="6" t="n">
        <v>5</v>
      </c>
      <c r="L7536" s="7" t="n">
        <v>190801</v>
      </c>
      <c r="M7536" s="94">
        <f>VLOOKUP($Q7536,매칭테이블!$F:$I,2,0)*K7536</f>
        <v/>
      </c>
      <c r="N7536" s="94">
        <f>M7536-M7536*VLOOKUP($Q7536,매칭테이블!$F:$I,3,0)</f>
        <v/>
      </c>
      <c r="O7536" s="94">
        <f>VLOOKUP($Q7536,매칭테이블!$F:$I,4,0)*K7536</f>
        <v/>
      </c>
      <c r="P7536" s="148">
        <f>M7536/1.1</f>
        <v/>
      </c>
      <c r="Q7536" s="94">
        <f>F7536&amp;E7536&amp;G7536&amp;L7536</f>
        <v/>
      </c>
    </row>
    <row r="7537">
      <c r="A7537" s="94" t="n"/>
      <c r="B7537" s="128" t="n">
        <v>44021</v>
      </c>
      <c r="C7537" s="94">
        <f>TEXT(B7537,"aaa")</f>
        <v/>
      </c>
      <c r="D7537" s="94" t="n"/>
      <c r="E7537" s="94" t="inlineStr">
        <is>
          <t>토너</t>
        </is>
      </c>
      <c r="F7537" s="5" t="inlineStr">
        <is>
          <t>스타일쉐어</t>
        </is>
      </c>
      <c r="G7537" s="94" t="inlineStr">
        <is>
          <t>250ml</t>
        </is>
      </c>
      <c r="H7537" s="7" t="n">
        <v>190801</v>
      </c>
      <c r="I7537" s="7" t="n">
        <v>190801</v>
      </c>
      <c r="J7537" s="94" t="n"/>
      <c r="K7537" s="6" t="n">
        <v>27</v>
      </c>
      <c r="L7537" s="7" t="n">
        <v>190801</v>
      </c>
      <c r="M7537" s="94">
        <f>VLOOKUP($Q7537,매칭테이블!$F:$I,2,0)*K7537</f>
        <v/>
      </c>
      <c r="N7537" s="94">
        <f>M7537-M7537*VLOOKUP($Q7537,매칭테이블!$F:$I,3,0)</f>
        <v/>
      </c>
      <c r="O7537" s="94">
        <f>VLOOKUP($Q7537,매칭테이블!$F:$I,4,0)*K7537</f>
        <v/>
      </c>
      <c r="P7537" s="148">
        <f>M7537/1.1</f>
        <v/>
      </c>
      <c r="Q7537" s="94">
        <f>F7537&amp;E7537&amp;G7537&amp;L7537</f>
        <v/>
      </c>
    </row>
    <row r="7538">
      <c r="A7538" s="94" t="n"/>
      <c r="B7538" s="128" t="n">
        <v>44021</v>
      </c>
      <c r="C7538" s="94">
        <f>TEXT(B7538,"aaa")</f>
        <v/>
      </c>
      <c r="D7538" s="94" t="n"/>
      <c r="E7538" s="94" t="inlineStr">
        <is>
          <t>선크림</t>
        </is>
      </c>
      <c r="F7538" s="94" t="inlineStr">
        <is>
          <t>카페24</t>
        </is>
      </c>
      <c r="G7538" s="94" t="inlineStr">
        <is>
          <t>선크림 50ml</t>
        </is>
      </c>
      <c r="H7538" s="7" t="n">
        <v>190801</v>
      </c>
      <c r="I7538" s="7" t="n">
        <v>190801</v>
      </c>
      <c r="J7538" s="94" t="n"/>
      <c r="K7538" s="6" t="n">
        <v>7</v>
      </c>
      <c r="L7538" s="7" t="n">
        <v>190801</v>
      </c>
      <c r="M7538" s="94">
        <f>VLOOKUP($Q7538,매칭테이블!$F:$I,2,0)*K7538</f>
        <v/>
      </c>
      <c r="N7538" s="94">
        <f>M7538-M7538*VLOOKUP($Q7538,매칭테이블!$F:$I,3,0)</f>
        <v/>
      </c>
      <c r="O7538" s="94">
        <f>VLOOKUP($Q7538,매칭테이블!$F:$I,4,0)*K7538</f>
        <v/>
      </c>
      <c r="P7538" s="148">
        <f>M7538/1.1</f>
        <v/>
      </c>
      <c r="Q7538" s="94">
        <f>F7538&amp;E7538&amp;G7538&amp;L7538</f>
        <v/>
      </c>
    </row>
    <row r="7539">
      <c r="A7539" s="94" t="n"/>
      <c r="B7539" s="128" t="n">
        <v>44021</v>
      </c>
      <c r="C7539" s="94">
        <f>TEXT(B7539,"aaa")</f>
        <v/>
      </c>
      <c r="D7539" s="94" t="n"/>
      <c r="E7539" s="6" t="inlineStr">
        <is>
          <t>선크림</t>
        </is>
      </c>
      <c r="F7539" s="5" t="inlineStr">
        <is>
          <t>카페24</t>
        </is>
      </c>
      <c r="G7539" s="5" t="inlineStr">
        <is>
          <t>선크림 50ml  2set</t>
        </is>
      </c>
      <c r="H7539" s="7" t="n">
        <v>190801</v>
      </c>
      <c r="I7539" s="7" t="n">
        <v>190801</v>
      </c>
      <c r="J7539" s="94" t="n"/>
      <c r="K7539" s="6" t="n">
        <v>4</v>
      </c>
      <c r="L7539" s="6" t="n">
        <v>190801</v>
      </c>
      <c r="M7539" s="94">
        <f>VLOOKUP($Q7539,매칭테이블!$F:$I,2,0)*K7539</f>
        <v/>
      </c>
      <c r="N7539" s="94">
        <f>M7539-M7539*VLOOKUP($Q7539,매칭테이블!$F:$I,3,0)</f>
        <v/>
      </c>
      <c r="O7539" s="94">
        <f>VLOOKUP($Q7539,매칭테이블!$F:$I,4,0)*K7539</f>
        <v/>
      </c>
      <c r="P7539" s="148">
        <f>M7539/1.1</f>
        <v/>
      </c>
      <c r="Q7539" s="94">
        <f>F7539&amp;E7539&amp;G7539&amp;L7539</f>
        <v/>
      </c>
    </row>
    <row r="7540">
      <c r="A7540" s="94" t="n"/>
      <c r="B7540" s="128" t="n">
        <v>44021</v>
      </c>
      <c r="C7540" s="94">
        <f>TEXT(B7540,"aaa")</f>
        <v/>
      </c>
      <c r="D7540" s="94" t="n"/>
      <c r="E7540" s="94" t="inlineStr">
        <is>
          <t>클렌징폼</t>
        </is>
      </c>
      <c r="F7540" s="94" t="inlineStr">
        <is>
          <t>카페24</t>
        </is>
      </c>
      <c r="G7540" s="94" t="inlineStr">
        <is>
          <t>클렌징폼 120ml(선크림할인)</t>
        </is>
      </c>
      <c r="H7540" s="7" t="n">
        <v>190801</v>
      </c>
      <c r="I7540" s="7" t="n">
        <v>190801</v>
      </c>
      <c r="J7540" s="94" t="n"/>
      <c r="K7540" s="6" t="n">
        <v>7</v>
      </c>
      <c r="L7540" s="92" t="n">
        <v>190801</v>
      </c>
      <c r="M7540" s="94">
        <f>VLOOKUP($Q7540,매칭테이블!$F:$I,2,0)*K7540</f>
        <v/>
      </c>
      <c r="N7540" s="94">
        <f>M7540-M7540*VLOOKUP($Q7540,매칭테이블!$F:$I,3,0)</f>
        <v/>
      </c>
      <c r="O7540" s="94">
        <f>VLOOKUP($Q7540,매칭테이블!$F:$I,4,0)*K7540</f>
        <v/>
      </c>
      <c r="P7540" s="148">
        <f>M7540/1.1</f>
        <v/>
      </c>
      <c r="Q7540" s="94">
        <f>F7540&amp;E7540&amp;G7540&amp;L7540</f>
        <v/>
      </c>
    </row>
    <row r="7541">
      <c r="A7541" s="94" t="n"/>
      <c r="B7541" s="128" t="n">
        <v>44021</v>
      </c>
      <c r="C7541" s="94">
        <f>TEXT(B7541,"aaa")</f>
        <v/>
      </c>
      <c r="D7541" s="94" t="n"/>
      <c r="E7541" s="94" t="inlineStr">
        <is>
          <t>여름 한정 진정세트</t>
        </is>
      </c>
      <c r="F7541" s="94" t="inlineStr">
        <is>
          <t>카페24</t>
        </is>
      </c>
      <c r="G7541" s="94" t="inlineStr">
        <is>
          <t>여름 한정 진정세트</t>
        </is>
      </c>
      <c r="H7541" s="7" t="n">
        <v>190801</v>
      </c>
      <c r="I7541" s="7" t="n">
        <v>190801</v>
      </c>
      <c r="J7541" s="94" t="n"/>
      <c r="K7541" s="6" t="n">
        <v>6</v>
      </c>
      <c r="L7541" s="92" t="n">
        <v>190801</v>
      </c>
      <c r="M7541" s="94">
        <f>VLOOKUP($Q7541,매칭테이블!$F:$I,2,0)*K7541</f>
        <v/>
      </c>
      <c r="N7541" s="94">
        <f>M7541-M7541*VLOOKUP($Q7541,매칭테이블!$F:$I,3,0)</f>
        <v/>
      </c>
      <c r="O7541" s="94">
        <f>VLOOKUP($Q7541,매칭테이블!$F:$I,4,0)*K7541</f>
        <v/>
      </c>
      <c r="P7541" s="148">
        <f>M7541/1.1</f>
        <v/>
      </c>
      <c r="Q7541" s="94">
        <f>F7541&amp;E7541&amp;G7541&amp;L7541</f>
        <v/>
      </c>
    </row>
    <row r="7542">
      <c r="A7542" s="94" t="n"/>
      <c r="B7542" s="128" t="n">
        <v>44021</v>
      </c>
      <c r="C7542" s="94">
        <f>TEXT(B7542,"aaa")</f>
        <v/>
      </c>
      <c r="D7542" s="94" t="n"/>
      <c r="E7542" s="94" t="inlineStr">
        <is>
          <t>여름 한정 진정세트</t>
        </is>
      </c>
      <c r="F7542" s="94" t="inlineStr">
        <is>
          <t>카페24</t>
        </is>
      </c>
      <c r="G7542" s="94" t="inlineStr">
        <is>
          <t>여름 한정 진정세트 (대용량)</t>
        </is>
      </c>
      <c r="H7542" s="7" t="n">
        <v>190801</v>
      </c>
      <c r="I7542" s="7" t="n">
        <v>190801</v>
      </c>
      <c r="J7542" s="94" t="n"/>
      <c r="K7542" s="6" t="n">
        <v>6</v>
      </c>
      <c r="L7542" s="92" t="n">
        <v>190801</v>
      </c>
      <c r="M7542" s="94">
        <f>VLOOKUP($Q7542,매칭테이블!$F:$I,2,0)*K7542</f>
        <v/>
      </c>
      <c r="N7542" s="94">
        <f>M7542-M7542*VLOOKUP($Q7542,매칭테이블!$F:$I,3,0)</f>
        <v/>
      </c>
      <c r="O7542" s="94">
        <f>VLOOKUP($Q7542,매칭테이블!$F:$I,4,0)*K7542</f>
        <v/>
      </c>
      <c r="P7542" s="148">
        <f>M7542/1.1</f>
        <v/>
      </c>
      <c r="Q7542" s="94">
        <f>F7542&amp;E7542&amp;G7542&amp;L7542</f>
        <v/>
      </c>
    </row>
    <row r="7543">
      <c r="A7543" s="94" t="n"/>
      <c r="B7543" s="128" t="n">
        <v>44021</v>
      </c>
      <c r="C7543" s="94">
        <f>TEXT(B7543,"aaa")</f>
        <v/>
      </c>
      <c r="D7543" s="94" t="n"/>
      <c r="E7543" s="94" t="inlineStr">
        <is>
          <t>어성초진정패키지</t>
        </is>
      </c>
      <c r="F7543" s="94" t="inlineStr">
        <is>
          <t>카페24</t>
        </is>
      </c>
      <c r="G7543" s="94" t="inlineStr">
        <is>
          <t>어성초 진정패키지세트</t>
        </is>
      </c>
      <c r="H7543" s="7" t="n">
        <v>190801</v>
      </c>
      <c r="I7543" s="7" t="n">
        <v>190801</v>
      </c>
      <c r="J7543" s="94" t="n"/>
      <c r="K7543" s="6" t="n">
        <v>5</v>
      </c>
      <c r="L7543" s="94" t="n">
        <v>190801</v>
      </c>
      <c r="M7543" s="94">
        <f>VLOOKUP($Q7543,매칭테이블!$F:$I,2,0)*K7543</f>
        <v/>
      </c>
      <c r="N7543" s="94">
        <f>M7543-M7543*VLOOKUP($Q7543,매칭테이블!$F:$I,3,0)</f>
        <v/>
      </c>
      <c r="O7543" s="94">
        <f>VLOOKUP($Q7543,매칭테이블!$F:$I,4,0)*K7543</f>
        <v/>
      </c>
      <c r="P7543" s="148">
        <f>M7543/1.1</f>
        <v/>
      </c>
      <c r="Q7543" s="94">
        <f>F7543&amp;E7543&amp;G7543&amp;L7543</f>
        <v/>
      </c>
    </row>
    <row r="7544">
      <c r="A7544" s="94" t="n"/>
      <c r="B7544" s="128" t="n">
        <v>44021</v>
      </c>
      <c r="C7544" s="94">
        <f>TEXT(B7544,"aaa")</f>
        <v/>
      </c>
      <c r="D7544" s="94" t="n"/>
      <c r="E7544" s="94" t="inlineStr">
        <is>
          <t>머드크림마스크</t>
        </is>
      </c>
      <c r="F7544" s="94" t="inlineStr">
        <is>
          <t>카페24</t>
        </is>
      </c>
      <c r="G7544" s="94" t="inlineStr">
        <is>
          <t>머드크림마스크 100ml</t>
        </is>
      </c>
      <c r="H7544" s="7" t="n">
        <v>190801</v>
      </c>
      <c r="I7544" s="7" t="n">
        <v>190801</v>
      </c>
      <c r="J7544" s="94" t="n"/>
      <c r="K7544" s="6" t="n">
        <v>2</v>
      </c>
      <c r="L7544" s="94" t="n">
        <v>190801</v>
      </c>
      <c r="M7544" s="94">
        <f>VLOOKUP($Q7544,매칭테이블!$F:$I,2,0)*K7544</f>
        <v/>
      </c>
      <c r="N7544" s="94">
        <f>M7544-M7544*VLOOKUP($Q7544,매칭테이블!$F:$I,3,0)</f>
        <v/>
      </c>
      <c r="O7544" s="94">
        <f>VLOOKUP($Q7544,매칭테이블!$F:$I,4,0)*K7544</f>
        <v/>
      </c>
      <c r="P7544" s="148">
        <f>M7544/1.1</f>
        <v/>
      </c>
      <c r="Q7544" s="94">
        <f>F7544&amp;E7544&amp;G7544&amp;L7544</f>
        <v/>
      </c>
    </row>
    <row r="7545">
      <c r="A7545" s="94" t="n"/>
      <c r="B7545" s="128" t="n">
        <v>44021</v>
      </c>
      <c r="C7545" s="94">
        <f>TEXT(B7545,"aaa")</f>
        <v/>
      </c>
      <c r="D7545" s="94" t="n"/>
      <c r="E7545" s="94" t="inlineStr">
        <is>
          <t>마스크팩</t>
        </is>
      </c>
      <c r="F7545" s="94" t="inlineStr">
        <is>
          <t>카페24</t>
        </is>
      </c>
      <c r="G7545" s="94" t="inlineStr">
        <is>
          <t>마스크팩 10매</t>
        </is>
      </c>
      <c r="H7545" s="7" t="n">
        <v>190801</v>
      </c>
      <c r="I7545" s="7" t="n">
        <v>190801</v>
      </c>
      <c r="J7545" s="94" t="n"/>
      <c r="K7545" s="6" t="n">
        <v>1</v>
      </c>
      <c r="L7545" s="94" t="n">
        <v>190801</v>
      </c>
      <c r="M7545" s="94">
        <f>VLOOKUP($Q7545,매칭테이블!$F:$I,2,0)*K7545</f>
        <v/>
      </c>
      <c r="N7545" s="94">
        <f>M7545-M7545*VLOOKUP($Q7545,매칭테이블!$F:$I,3,0)</f>
        <v/>
      </c>
      <c r="O7545" s="94">
        <f>VLOOKUP($Q7545,매칭테이블!$F:$I,4,0)*K7545</f>
        <v/>
      </c>
      <c r="P7545" s="148">
        <f>M7545/1.1</f>
        <v/>
      </c>
      <c r="Q7545" s="94">
        <f>F7545&amp;E7545&amp;G7545&amp;L7545</f>
        <v/>
      </c>
    </row>
    <row r="7546">
      <c r="A7546" s="94" t="n"/>
      <c r="B7546" s="128" t="n">
        <v>44021</v>
      </c>
      <c r="C7546" s="94">
        <f>TEXT(B7546,"aaa")</f>
        <v/>
      </c>
      <c r="D7546" s="94" t="n"/>
      <c r="E7546" s="6" t="inlineStr">
        <is>
          <t>토너</t>
        </is>
      </c>
      <c r="F7546" s="5" t="inlineStr">
        <is>
          <t>카페24</t>
        </is>
      </c>
      <c r="G7546" s="5" t="inlineStr">
        <is>
          <t>250ml</t>
        </is>
      </c>
      <c r="H7546" s="7" t="n">
        <v>190801</v>
      </c>
      <c r="I7546" s="7" t="n">
        <v>190801</v>
      </c>
      <c r="J7546" s="94" t="n"/>
      <c r="K7546" s="6" t="n">
        <v>67</v>
      </c>
      <c r="L7546" s="7" t="n">
        <v>190801</v>
      </c>
      <c r="M7546" s="94">
        <f>VLOOKUP($Q7546,매칭테이블!$F:$I,2,0)*K7546</f>
        <v/>
      </c>
      <c r="N7546" s="94">
        <f>M7546-M7546*VLOOKUP($Q7546,매칭테이블!$F:$I,3,0)</f>
        <v/>
      </c>
      <c r="O7546" s="94">
        <f>VLOOKUP($Q7546,매칭테이블!$F:$I,4,0)*K7546</f>
        <v/>
      </c>
      <c r="P7546" s="148">
        <f>M7546/1.1</f>
        <v/>
      </c>
      <c r="Q7546" s="94">
        <f>F7546&amp;E7546&amp;G7546&amp;L7546</f>
        <v/>
      </c>
    </row>
    <row r="7547">
      <c r="A7547" s="94" t="n"/>
      <c r="B7547" s="128" t="n">
        <v>44021</v>
      </c>
      <c r="C7547" s="94">
        <f>TEXT(B7547,"aaa")</f>
        <v/>
      </c>
      <c r="D7547" s="94" t="n"/>
      <c r="E7547" s="6" t="inlineStr">
        <is>
          <t>토너</t>
        </is>
      </c>
      <c r="F7547" s="5" t="inlineStr">
        <is>
          <t>카페24</t>
        </is>
      </c>
      <c r="G7547" s="5" t="inlineStr">
        <is>
          <t>250ml 2set</t>
        </is>
      </c>
      <c r="H7547" s="7" t="n">
        <v>190801</v>
      </c>
      <c r="I7547" s="7" t="n">
        <v>190801</v>
      </c>
      <c r="J7547" s="94" t="n"/>
      <c r="K7547" s="6" t="n">
        <v>53</v>
      </c>
      <c r="L7547" s="7" t="n">
        <v>190801</v>
      </c>
      <c r="M7547" s="94">
        <f>VLOOKUP($Q7547,매칭테이블!$F:$I,2,0)*K7547</f>
        <v/>
      </c>
      <c r="N7547" s="94">
        <f>M7547-M7547*VLOOKUP($Q7547,매칭테이블!$F:$I,3,0)</f>
        <v/>
      </c>
      <c r="O7547" s="94">
        <f>VLOOKUP($Q7547,매칭테이블!$F:$I,4,0)*K7547</f>
        <v/>
      </c>
      <c r="P7547" s="148">
        <f>M7547/1.1</f>
        <v/>
      </c>
      <c r="Q7547" s="94">
        <f>F7547&amp;E7547&amp;G7547&amp;L7547</f>
        <v/>
      </c>
    </row>
    <row r="7548">
      <c r="A7548" s="94" t="n"/>
      <c r="B7548" s="128" t="n">
        <v>44021</v>
      </c>
      <c r="C7548" s="94">
        <f>TEXT(B7548,"aaa")</f>
        <v/>
      </c>
      <c r="D7548" s="94" t="n"/>
      <c r="E7548" s="6" t="inlineStr">
        <is>
          <t>토너</t>
        </is>
      </c>
      <c r="F7548" s="5" t="inlineStr">
        <is>
          <t>카페24</t>
        </is>
      </c>
      <c r="G7548" s="5" t="inlineStr">
        <is>
          <t>500ml</t>
        </is>
      </c>
      <c r="H7548" s="7" t="n">
        <v>190801</v>
      </c>
      <c r="I7548" s="7" t="n">
        <v>190801</v>
      </c>
      <c r="J7548" s="94" t="n"/>
      <c r="K7548" s="6" t="n">
        <v>45</v>
      </c>
      <c r="L7548" s="7" t="n">
        <v>190801</v>
      </c>
      <c r="M7548" s="94">
        <f>VLOOKUP($Q7548,매칭테이블!$F:$I,2,0)*K7548</f>
        <v/>
      </c>
      <c r="N7548" s="94">
        <f>M7548-M7548*VLOOKUP($Q7548,매칭테이블!$F:$I,3,0)</f>
        <v/>
      </c>
      <c r="O7548" s="94">
        <f>VLOOKUP($Q7548,매칭테이블!$F:$I,4,0)*K7548</f>
        <v/>
      </c>
      <c r="P7548" s="148">
        <f>M7548/1.1</f>
        <v/>
      </c>
      <c r="Q7548" s="94">
        <f>F7548&amp;E7548&amp;G7548&amp;L7548</f>
        <v/>
      </c>
    </row>
    <row r="7549">
      <c r="A7549" s="94" t="n"/>
      <c r="B7549" s="128" t="n">
        <v>44021</v>
      </c>
      <c r="C7549" s="94">
        <f>TEXT(B7549,"aaa")</f>
        <v/>
      </c>
      <c r="D7549" s="94" t="n"/>
      <c r="E7549" s="6" t="inlineStr">
        <is>
          <t>토너</t>
        </is>
      </c>
      <c r="F7549" s="5" t="inlineStr">
        <is>
          <t>카페24</t>
        </is>
      </c>
      <c r="G7549" s="94" t="inlineStr">
        <is>
          <t>스킨팩 화장솜 60P</t>
        </is>
      </c>
      <c r="H7549" s="7" t="n">
        <v>190801</v>
      </c>
      <c r="I7549" s="7" t="n">
        <v>190801</v>
      </c>
      <c r="J7549" s="94" t="n"/>
      <c r="K7549" s="6" t="n">
        <v>51</v>
      </c>
      <c r="L7549" s="7" t="n">
        <v>190801</v>
      </c>
      <c r="M7549" s="94">
        <f>VLOOKUP($Q7549,매칭테이블!$F:$I,2,0)*K7549</f>
        <v/>
      </c>
      <c r="N7549" s="94">
        <f>M7549-M7549*VLOOKUP($Q7549,매칭테이블!$F:$I,3,0)</f>
        <v/>
      </c>
      <c r="O7549" s="94">
        <f>VLOOKUP($Q7549,매칭테이블!$F:$I,4,0)*K7549</f>
        <v/>
      </c>
      <c r="P7549" s="148">
        <f>M7549/1.1</f>
        <v/>
      </c>
      <c r="Q7549" s="94">
        <f>F7549&amp;E7549&amp;G7549&amp;L7549</f>
        <v/>
      </c>
    </row>
    <row r="7550">
      <c r="A7550" s="94" t="n"/>
      <c r="B7550" s="128" t="n">
        <v>44021</v>
      </c>
      <c r="C7550" s="94">
        <f>TEXT(B7550,"aaa")</f>
        <v/>
      </c>
      <c r="D7550" s="94" t="n"/>
      <c r="E7550" s="94" t="inlineStr">
        <is>
          <t>앰플</t>
        </is>
      </c>
      <c r="F7550" s="5" t="inlineStr">
        <is>
          <t>카페24</t>
        </is>
      </c>
      <c r="G7550" s="94" t="inlineStr">
        <is>
          <t>앰플 30ml</t>
        </is>
      </c>
      <c r="H7550" s="7" t="n">
        <v>190801</v>
      </c>
      <c r="I7550" s="7" t="n">
        <v>190801</v>
      </c>
      <c r="J7550" s="94" t="n"/>
      <c r="K7550" s="6" t="n">
        <v>16</v>
      </c>
      <c r="L7550" s="94" t="n">
        <v>190801</v>
      </c>
      <c r="M7550" s="94">
        <f>VLOOKUP($Q7550,매칭테이블!$F:$I,2,0)*K7550</f>
        <v/>
      </c>
      <c r="N7550" s="94">
        <f>M7550-M7550*VLOOKUP($Q7550,매칭테이블!$F:$I,3,0)</f>
        <v/>
      </c>
      <c r="O7550" s="94">
        <f>VLOOKUP($Q7550,매칭테이블!$F:$I,4,0)*K7550</f>
        <v/>
      </c>
      <c r="P7550" s="148">
        <f>M7550/1.1</f>
        <v/>
      </c>
      <c r="Q7550" s="94">
        <f>F7550&amp;E7550&amp;G7550&amp;L7550</f>
        <v/>
      </c>
    </row>
    <row r="7551">
      <c r="A7551" s="94" t="n"/>
      <c r="B7551" s="128" t="n">
        <v>44021</v>
      </c>
      <c r="C7551" s="94">
        <f>TEXT(B7551,"aaa")</f>
        <v/>
      </c>
      <c r="D7551" s="94" t="n"/>
      <c r="E7551" s="94" t="inlineStr">
        <is>
          <t>수딩크림</t>
        </is>
      </c>
      <c r="F7551" s="5" t="inlineStr">
        <is>
          <t>카페24</t>
        </is>
      </c>
      <c r="G7551" s="94" t="inlineStr">
        <is>
          <t>수딩크림 100ml</t>
        </is>
      </c>
      <c r="H7551" s="7" t="n">
        <v>190801</v>
      </c>
      <c r="I7551" s="7" t="n">
        <v>190801</v>
      </c>
      <c r="J7551" s="94" t="n"/>
      <c r="K7551" s="6" t="n">
        <v>9</v>
      </c>
      <c r="L7551" s="94" t="n">
        <v>190801</v>
      </c>
      <c r="M7551" s="94">
        <f>VLOOKUP($Q7551,매칭테이블!$F:$I,2,0)*K7551</f>
        <v/>
      </c>
      <c r="N7551" s="94">
        <f>M7551-M7551*VLOOKUP($Q7551,매칭테이블!$F:$I,3,0)</f>
        <v/>
      </c>
      <c r="O7551" s="94">
        <f>VLOOKUP($Q7551,매칭테이블!$F:$I,4,0)*K7551</f>
        <v/>
      </c>
      <c r="P7551" s="148">
        <f>M7551/1.1</f>
        <v/>
      </c>
      <c r="Q7551" s="94">
        <f>F7551&amp;E7551&amp;G7551&amp;L7551</f>
        <v/>
      </c>
    </row>
    <row r="7552">
      <c r="A7552" s="94" t="n"/>
      <c r="B7552" s="128" t="n">
        <v>44021</v>
      </c>
      <c r="C7552" s="94">
        <f>TEXT(B7552,"aaa")</f>
        <v/>
      </c>
      <c r="D7552" s="94" t="n"/>
      <c r="E7552" s="94" t="inlineStr">
        <is>
          <t>클렌징폼</t>
        </is>
      </c>
      <c r="F7552" s="5" t="inlineStr">
        <is>
          <t>카페24</t>
        </is>
      </c>
      <c r="G7552" s="94" t="inlineStr">
        <is>
          <t>클렌징폼 120ml</t>
        </is>
      </c>
      <c r="H7552" s="7" t="n">
        <v>190801</v>
      </c>
      <c r="I7552" s="7" t="n">
        <v>190801</v>
      </c>
      <c r="J7552" s="94" t="n"/>
      <c r="K7552" s="6" t="n">
        <v>4</v>
      </c>
      <c r="L7552" s="7" t="n">
        <v>190801</v>
      </c>
      <c r="M7552" s="94">
        <f>VLOOKUP($Q7552,매칭테이블!$F:$I,2,0)*K7552</f>
        <v/>
      </c>
      <c r="N7552" s="94">
        <f>M7552-M7552*VLOOKUP($Q7552,매칭테이블!$F:$I,3,0)</f>
        <v/>
      </c>
      <c r="O7552" s="94">
        <f>VLOOKUP($Q7552,매칭테이블!$F:$I,4,0)*K7552</f>
        <v/>
      </c>
      <c r="P7552" s="148">
        <f>M7552/1.1</f>
        <v/>
      </c>
      <c r="Q7552" s="94">
        <f>F7552&amp;E7552&amp;G7552&amp;L7552</f>
        <v/>
      </c>
    </row>
    <row r="7553">
      <c r="A7553" s="94" t="n"/>
      <c r="B7553" s="128" t="n">
        <v>44021</v>
      </c>
      <c r="C7553" s="94">
        <f>TEXT(B7553,"aaa")</f>
        <v/>
      </c>
      <c r="D7553" s="94" t="n"/>
      <c r="E7553" s="94" t="inlineStr">
        <is>
          <t>클렌징폼</t>
        </is>
      </c>
      <c r="F7553" s="94" t="inlineStr">
        <is>
          <t>카페24</t>
        </is>
      </c>
      <c r="G7553" s="94" t="inlineStr">
        <is>
          <t>클렌징폼 120ml 2set</t>
        </is>
      </c>
      <c r="H7553" s="7" t="n">
        <v>190801</v>
      </c>
      <c r="I7553" s="7" t="n">
        <v>190801</v>
      </c>
      <c r="J7553" s="94" t="n"/>
      <c r="K7553" s="6" t="n">
        <v>5</v>
      </c>
      <c r="L7553" s="7" t="n">
        <v>190801</v>
      </c>
      <c r="M7553" s="94">
        <f>VLOOKUP($Q7553,매칭테이블!$F:$I,2,0)*K7553</f>
        <v/>
      </c>
      <c r="N7553" s="94">
        <f>M7553-M7553*VLOOKUP($Q7553,매칭테이블!$F:$I,3,0)</f>
        <v/>
      </c>
      <c r="O7553" s="94">
        <f>VLOOKUP($Q7553,매칭테이블!$F:$I,4,0)*K7553</f>
        <v/>
      </c>
      <c r="P7553" s="148">
        <f>M7553/1.1</f>
        <v/>
      </c>
      <c r="Q7553" s="94">
        <f>F7553&amp;E7553&amp;G7553&amp;L7553</f>
        <v/>
      </c>
    </row>
    <row r="7554">
      <c r="A7554" s="94" t="n"/>
      <c r="B7554" s="128" t="n">
        <v>44021</v>
      </c>
      <c r="C7554" s="94">
        <f>TEXT(B7554,"aaa")</f>
        <v/>
      </c>
      <c r="D7554" s="94" t="n"/>
      <c r="E7554" s="6" t="inlineStr">
        <is>
          <t>토너</t>
        </is>
      </c>
      <c r="F7554" s="5" t="inlineStr">
        <is>
          <t>큐텐재팬</t>
        </is>
      </c>
      <c r="G7554" s="5" t="inlineStr">
        <is>
          <t>250ml</t>
        </is>
      </c>
      <c r="H7554" s="7" t="n">
        <v>190801</v>
      </c>
      <c r="I7554" s="7" t="n">
        <v>190801</v>
      </c>
      <c r="J7554" s="94" t="n"/>
      <c r="K7554" s="6" t="n">
        <v>7</v>
      </c>
      <c r="L7554" s="92" t="n">
        <v>190801</v>
      </c>
      <c r="M7554" s="94">
        <f>VLOOKUP($Q7554,매칭테이블!$F:$I,2,0)*K7554</f>
        <v/>
      </c>
      <c r="N7554" s="94">
        <f>M7554-M7554*VLOOKUP($Q7554,매칭테이블!$F:$I,3,0)</f>
        <v/>
      </c>
      <c r="O7554" s="94">
        <f>VLOOKUP($Q7554,매칭테이블!$F:$I,4,0)*K7554</f>
        <v/>
      </c>
      <c r="P7554" s="148">
        <f>M7554/1.1</f>
        <v/>
      </c>
      <c r="Q7554" s="94">
        <f>F7554&amp;E7554&amp;G7554&amp;L7554</f>
        <v/>
      </c>
    </row>
    <row r="7555">
      <c r="A7555" s="94" t="n"/>
      <c r="B7555" s="128" t="n">
        <v>44021</v>
      </c>
      <c r="C7555" s="94">
        <f>TEXT(B7555,"aaa")</f>
        <v/>
      </c>
      <c r="D7555" s="94" t="n"/>
      <c r="E7555" s="6" t="inlineStr">
        <is>
          <t>토너</t>
        </is>
      </c>
      <c r="F7555" s="5" t="inlineStr">
        <is>
          <t>큐텐재팬</t>
        </is>
      </c>
      <c r="G7555" s="5" t="inlineStr">
        <is>
          <t>250ml 2set</t>
        </is>
      </c>
      <c r="H7555" s="7" t="n">
        <v>190801</v>
      </c>
      <c r="I7555" s="7" t="n">
        <v>190801</v>
      </c>
      <c r="J7555" s="94" t="n"/>
      <c r="K7555" s="6" t="n">
        <v>4</v>
      </c>
      <c r="L7555" s="92" t="n">
        <v>190801</v>
      </c>
      <c r="M7555" s="94">
        <f>VLOOKUP($Q7555,매칭테이블!$F:$I,2,0)*K7555</f>
        <v/>
      </c>
      <c r="N7555" s="94">
        <f>M7555-M7555*VLOOKUP($Q7555,매칭테이블!$F:$I,3,0)</f>
        <v/>
      </c>
      <c r="O7555" s="94">
        <f>VLOOKUP($Q7555,매칭테이블!$F:$I,4,0)*K7555</f>
        <v/>
      </c>
      <c r="P7555" s="148">
        <f>M7555/1.1</f>
        <v/>
      </c>
      <c r="Q7555" s="94">
        <f>F7555&amp;E7555&amp;G7555&amp;L7555</f>
        <v/>
      </c>
    </row>
    <row r="7556">
      <c r="A7556" s="94" t="n"/>
      <c r="B7556" s="128" t="n">
        <v>44021</v>
      </c>
      <c r="C7556" s="94">
        <f>TEXT(B7556,"aaa")</f>
        <v/>
      </c>
      <c r="D7556" s="94" t="n"/>
      <c r="E7556" s="94" t="inlineStr">
        <is>
          <t>머드크림마스크</t>
        </is>
      </c>
      <c r="F7556" s="5" t="inlineStr">
        <is>
          <t>큐텐재팬</t>
        </is>
      </c>
      <c r="G7556" s="94" t="inlineStr">
        <is>
          <t>머드크림마스크 100ml</t>
        </is>
      </c>
      <c r="H7556" s="7" t="n">
        <v>190801</v>
      </c>
      <c r="I7556" s="7" t="n">
        <v>190801</v>
      </c>
      <c r="J7556" s="94" t="n"/>
      <c r="K7556" s="94" t="n">
        <v>1</v>
      </c>
      <c r="L7556" s="94" t="n">
        <v>190801</v>
      </c>
      <c r="M7556" s="94">
        <f>VLOOKUP($Q7556,매칭테이블!$F:$I,2,0)*K7556</f>
        <v/>
      </c>
      <c r="N7556" s="94">
        <f>M7556-M7556*VLOOKUP($Q7556,매칭테이블!$F:$I,3,0)</f>
        <v/>
      </c>
      <c r="O7556" s="94">
        <f>VLOOKUP($Q7556,매칭테이블!$F:$I,4,0)*K7556</f>
        <v/>
      </c>
      <c r="P7556" s="148">
        <f>M7556/1.1</f>
        <v/>
      </c>
      <c r="Q7556" s="94">
        <f>F7556&amp;E7556&amp;G7556&amp;L7556</f>
        <v/>
      </c>
    </row>
    <row r="7557">
      <c r="A7557" s="94" t="n"/>
      <c r="B7557" s="128" t="n">
        <v>44021</v>
      </c>
      <c r="C7557" s="94">
        <f>TEXT(B7557,"aaa")</f>
        <v/>
      </c>
      <c r="D7557" s="94" t="n"/>
      <c r="E7557" s="94" t="inlineStr">
        <is>
          <t>토너</t>
        </is>
      </c>
      <c r="F7557" s="5" t="inlineStr">
        <is>
          <t>아누아 CS</t>
        </is>
      </c>
      <c r="G7557" s="94" t="inlineStr">
        <is>
          <t>250ml</t>
        </is>
      </c>
      <c r="H7557" s="7" t="n">
        <v>190801</v>
      </c>
      <c r="I7557" s="7" t="n">
        <v>190801</v>
      </c>
      <c r="J7557" s="94" t="n"/>
      <c r="K7557" s="6" t="n">
        <v>3</v>
      </c>
      <c r="L7557" s="7" t="n">
        <v>190801</v>
      </c>
      <c r="M7557" s="94">
        <f>VLOOKUP($Q7557,매칭테이블!$F:$I,2,0)*K7557</f>
        <v/>
      </c>
      <c r="N7557" s="94">
        <f>M7557-M7557*VLOOKUP($Q7557,매칭테이블!$F:$I,3,0)</f>
        <v/>
      </c>
      <c r="O7557" s="94">
        <f>VLOOKUP($Q7557,매칭테이블!$F:$I,4,0)*K7557</f>
        <v/>
      </c>
      <c r="P7557" s="148">
        <f>M7557/1.1</f>
        <v/>
      </c>
      <c r="Q7557" s="94">
        <f>F7557&amp;E7557&amp;G7557&amp;L7557</f>
        <v/>
      </c>
    </row>
    <row r="7558">
      <c r="A7558" s="94" t="n"/>
      <c r="B7558" s="128" t="n">
        <v>44021</v>
      </c>
      <c r="C7558" s="94">
        <f>TEXT(B7558,"aaa")</f>
        <v/>
      </c>
      <c r="D7558" s="94" t="n"/>
      <c r="E7558" s="94" t="inlineStr">
        <is>
          <t>화장솜</t>
        </is>
      </c>
      <c r="F7558" s="5" t="inlineStr">
        <is>
          <t>아누아 CS</t>
        </is>
      </c>
      <c r="G7558" s="94" t="inlineStr">
        <is>
          <t>스킨팩 화장솜 60P</t>
        </is>
      </c>
      <c r="H7558" s="7" t="n">
        <v>190801</v>
      </c>
      <c r="I7558" s="7" t="n">
        <v>190801</v>
      </c>
      <c r="J7558" s="94" t="n"/>
      <c r="K7558" s="94" t="n">
        <v>3</v>
      </c>
      <c r="L7558" s="7" t="n">
        <v>190801</v>
      </c>
      <c r="M7558" s="94">
        <f>VLOOKUP($Q7558,매칭테이블!$F:$I,2,0)*K7558</f>
        <v/>
      </c>
      <c r="N7558" s="94">
        <f>M7558-M7558*VLOOKUP($Q7558,매칭테이블!$F:$I,3,0)</f>
        <v/>
      </c>
      <c r="O7558" s="94">
        <f>VLOOKUP($Q7558,매칭테이블!$F:$I,4,0)*K7558</f>
        <v/>
      </c>
      <c r="P7558" s="148">
        <f>M7558/1.1</f>
        <v/>
      </c>
      <c r="Q7558" s="94">
        <f>F7558&amp;E7558&amp;G7558&amp;L7558</f>
        <v/>
      </c>
    </row>
    <row r="7559">
      <c r="A7559" s="94" t="n"/>
      <c r="B7559" s="128" t="n">
        <v>44021</v>
      </c>
      <c r="C7559" s="94">
        <f>TEXT(B7559,"aaa")</f>
        <v/>
      </c>
      <c r="D7559" s="94" t="n"/>
      <c r="E7559" s="94" t="inlineStr">
        <is>
          <t>선크림</t>
        </is>
      </c>
      <c r="F7559" s="5" t="inlineStr">
        <is>
          <t>화해</t>
        </is>
      </c>
      <c r="G7559" s="94" t="inlineStr">
        <is>
          <t>선크림 50ml</t>
        </is>
      </c>
      <c r="H7559" s="7" t="n">
        <v>190801</v>
      </c>
      <c r="I7559" s="7" t="n">
        <v>190801</v>
      </c>
      <c r="J7559" s="94" t="n"/>
      <c r="K7559" s="94" t="n">
        <v>2</v>
      </c>
      <c r="L7559" s="7" t="n">
        <v>190801</v>
      </c>
      <c r="M7559" s="94">
        <f>VLOOKUP($Q7559,매칭테이블!$F:$I,2,0)*K7559</f>
        <v/>
      </c>
      <c r="N7559" s="94">
        <f>M7559-M7559*VLOOKUP($Q7559,매칭테이블!$F:$I,3,0)</f>
        <v/>
      </c>
      <c r="O7559" s="94">
        <f>VLOOKUP($Q7559,매칭테이블!$F:$I,4,0)*K7559</f>
        <v/>
      </c>
      <c r="P7559" s="148">
        <f>M7559/1.1</f>
        <v/>
      </c>
      <c r="Q7559" s="94">
        <f>F7559&amp;E7559&amp;G7559&amp;L7559</f>
        <v/>
      </c>
    </row>
    <row r="7560">
      <c r="A7560" s="94" t="n"/>
      <c r="B7560" s="128" t="n">
        <v>44021</v>
      </c>
      <c r="C7560" s="94">
        <f>TEXT(B7560,"aaa")</f>
        <v/>
      </c>
      <c r="D7560" s="94" t="n"/>
      <c r="E7560" s="94" t="inlineStr">
        <is>
          <t>토너</t>
        </is>
      </c>
      <c r="F7560" s="5" t="inlineStr">
        <is>
          <t>화해</t>
        </is>
      </c>
      <c r="G7560" s="94" t="inlineStr">
        <is>
          <t>250ml</t>
        </is>
      </c>
      <c r="H7560" s="7" t="n">
        <v>190801</v>
      </c>
      <c r="I7560" s="7" t="n">
        <v>190801</v>
      </c>
      <c r="J7560" s="94" t="n"/>
      <c r="K7560" s="94" t="n">
        <v>5</v>
      </c>
      <c r="L7560" s="7" t="n">
        <v>190801</v>
      </c>
      <c r="M7560" s="94">
        <f>VLOOKUP($Q7560,매칭테이블!$F:$I,2,0)*K7560</f>
        <v/>
      </c>
      <c r="N7560" s="94">
        <f>M7560-M7560*VLOOKUP($Q7560,매칭테이블!$F:$I,3,0)</f>
        <v/>
      </c>
      <c r="O7560" s="94">
        <f>VLOOKUP($Q7560,매칭테이블!$F:$I,4,0)*K7560</f>
        <v/>
      </c>
      <c r="P7560" s="148">
        <f>M7560/1.1</f>
        <v/>
      </c>
      <c r="Q7560" s="94">
        <f>F7560&amp;E7560&amp;G7560&amp;L7560</f>
        <v/>
      </c>
    </row>
    <row r="7561">
      <c r="A7561" s="94" t="n"/>
      <c r="B7561" s="128" t="n">
        <v>44021</v>
      </c>
      <c r="C7561" s="94">
        <f>TEXT(B7561,"aaa")</f>
        <v/>
      </c>
      <c r="D7561" s="94" t="n"/>
      <c r="E7561" s="94" t="inlineStr">
        <is>
          <t>앰플</t>
        </is>
      </c>
      <c r="F7561" s="5" t="inlineStr">
        <is>
          <t>화해</t>
        </is>
      </c>
      <c r="G7561" s="94" t="inlineStr">
        <is>
          <t>앰플 30ml</t>
        </is>
      </c>
      <c r="H7561" s="7" t="n">
        <v>190801</v>
      </c>
      <c r="I7561" s="7" t="n">
        <v>190801</v>
      </c>
      <c r="J7561" s="94" t="n"/>
      <c r="K7561" s="94" t="n">
        <v>1</v>
      </c>
      <c r="L7561" s="7" t="n">
        <v>190801</v>
      </c>
      <c r="M7561" s="94">
        <f>VLOOKUP($Q7561,매칭테이블!$F:$I,2,0)*K7561</f>
        <v/>
      </c>
      <c r="N7561" s="94">
        <f>M7561-M7561*VLOOKUP($Q7561,매칭테이블!$F:$I,3,0)</f>
        <v/>
      </c>
      <c r="O7561" s="94">
        <f>VLOOKUP($Q7561,매칭테이블!$F:$I,4,0)*K7561</f>
        <v/>
      </c>
      <c r="P7561" s="148">
        <f>M7561/1.1</f>
        <v/>
      </c>
      <c r="Q7561" s="94">
        <f>F7561&amp;E7561&amp;G7561&amp;L7561</f>
        <v/>
      </c>
    </row>
    <row r="7562" customFormat="1" s="94">
      <c r="B7562" s="128" t="n">
        <v>44022</v>
      </c>
      <c r="C7562" s="94">
        <f>TEXT(B7562,"aaa")</f>
        <v/>
      </c>
      <c r="E7562" s="94" t="inlineStr">
        <is>
          <t>토너</t>
        </is>
      </c>
      <c r="F7562" s="5" t="inlineStr">
        <is>
          <t>W컨셉</t>
        </is>
      </c>
      <c r="G7562" s="94" t="inlineStr">
        <is>
          <t>250ml</t>
        </is>
      </c>
      <c r="H7562" s="7" t="n">
        <v>190801</v>
      </c>
      <c r="I7562" s="7" t="n">
        <v>190801</v>
      </c>
      <c r="K7562" s="94" t="n">
        <v>1</v>
      </c>
      <c r="L7562" s="7" t="n">
        <v>190801</v>
      </c>
      <c r="M7562" s="94">
        <f>VLOOKUP($Q7562,매칭테이블!$F:$I,2,0)*K7562</f>
        <v/>
      </c>
      <c r="N7562" s="94">
        <f>M7562-M7562*VLOOKUP($Q7562,매칭테이블!$F:$I,3,0)</f>
        <v/>
      </c>
      <c r="O7562" s="94">
        <f>VLOOKUP($Q7562,매칭테이블!$F:$I,4,0)*K7562</f>
        <v/>
      </c>
      <c r="P7562" s="148">
        <f>M7562/1.1</f>
        <v/>
      </c>
      <c r="Q7562" s="94">
        <f>F7562&amp;E7562&amp;G7562&amp;L7562</f>
        <v/>
      </c>
    </row>
    <row r="7563" customFormat="1" s="94">
      <c r="B7563" s="128" t="n">
        <v>44022</v>
      </c>
      <c r="C7563" s="94">
        <f>TEXT(B7563,"aaa")</f>
        <v/>
      </c>
      <c r="E7563" s="94" t="inlineStr">
        <is>
          <t>토너</t>
        </is>
      </c>
      <c r="F7563" s="5" t="inlineStr">
        <is>
          <t>W컨셉</t>
        </is>
      </c>
      <c r="G7563" s="94" t="inlineStr">
        <is>
          <t>250ml 2set</t>
        </is>
      </c>
      <c r="H7563" s="7" t="n">
        <v>190801</v>
      </c>
      <c r="I7563" s="7" t="n">
        <v>190801</v>
      </c>
      <c r="K7563" s="94" t="n">
        <v>2</v>
      </c>
      <c r="L7563" s="7" t="n">
        <v>190801</v>
      </c>
      <c r="M7563" s="94">
        <f>VLOOKUP($Q7563,매칭테이블!$F:$I,2,0)*K7563</f>
        <v/>
      </c>
      <c r="N7563" s="94">
        <f>M7563-M7563*VLOOKUP($Q7563,매칭테이블!$F:$I,3,0)</f>
        <v/>
      </c>
      <c r="O7563" s="94">
        <f>VLOOKUP($Q7563,매칭테이블!$F:$I,4,0)*K7563</f>
        <v/>
      </c>
      <c r="P7563" s="148">
        <f>M7563/1.1</f>
        <v/>
      </c>
      <c r="Q7563" s="94">
        <f>F7563&amp;E7563&amp;G7563&amp;L7563</f>
        <v/>
      </c>
    </row>
    <row r="7564" customFormat="1" s="94">
      <c r="B7564" s="128" t="n">
        <v>44022</v>
      </c>
      <c r="C7564" s="94">
        <f>TEXT(B7564,"aaa")</f>
        <v/>
      </c>
      <c r="E7564" s="94" t="inlineStr">
        <is>
          <t>토너</t>
        </is>
      </c>
      <c r="F7564" s="5" t="inlineStr">
        <is>
          <t>글로우데이즈 시코르</t>
        </is>
      </c>
      <c r="G7564" s="94" t="inlineStr">
        <is>
          <t>토너=250ml</t>
        </is>
      </c>
      <c r="H7564" s="7" t="n">
        <v>190801</v>
      </c>
      <c r="I7564" s="7" t="n">
        <v>190801</v>
      </c>
      <c r="K7564" s="94" t="n">
        <v>60</v>
      </c>
      <c r="L7564" s="7" t="n">
        <v>190801</v>
      </c>
      <c r="M7564" s="94">
        <f>VLOOKUP($Q7564,매칭테이블!$F:$I,2,0)*K7564</f>
        <v/>
      </c>
      <c r="N7564" s="94">
        <f>M7564-M7564*VLOOKUP($Q7564,매칭테이블!$F:$I,3,0)</f>
        <v/>
      </c>
      <c r="O7564" s="94">
        <f>VLOOKUP($Q7564,매칭테이블!$F:$I,4,0)*K7564</f>
        <v/>
      </c>
      <c r="P7564" s="148">
        <f>M7564/1.1</f>
        <v/>
      </c>
      <c r="Q7564" s="94">
        <f>F7564&amp;E7564&amp;G7564&amp;L7564</f>
        <v/>
      </c>
    </row>
    <row r="7565" customFormat="1" s="94">
      <c r="B7565" s="128" t="n">
        <v>44022</v>
      </c>
      <c r="C7565" s="94">
        <f>TEXT(B7565,"aaa")</f>
        <v/>
      </c>
      <c r="E7565" s="94" t="inlineStr">
        <is>
          <t>토너</t>
        </is>
      </c>
      <c r="F7565" s="5" t="inlineStr">
        <is>
          <t>스타일쉐어</t>
        </is>
      </c>
      <c r="G7565" s="94" t="inlineStr">
        <is>
          <t>250ml</t>
        </is>
      </c>
      <c r="H7565" s="7" t="n">
        <v>190801</v>
      </c>
      <c r="I7565" s="7" t="n">
        <v>190801</v>
      </c>
      <c r="K7565" s="94" t="n">
        <v>11</v>
      </c>
      <c r="L7565" s="7" t="n">
        <v>190801</v>
      </c>
      <c r="M7565" s="94">
        <f>VLOOKUP($Q7565,매칭테이블!$F:$I,2,0)*K7565</f>
        <v/>
      </c>
      <c r="N7565" s="94">
        <f>M7565-M7565*VLOOKUP($Q7565,매칭테이블!$F:$I,3,0)</f>
        <v/>
      </c>
      <c r="O7565" s="94">
        <f>VLOOKUP($Q7565,매칭테이블!$F:$I,4,0)*K7565</f>
        <v/>
      </c>
      <c r="P7565" s="148">
        <f>M7565/1.1</f>
        <v/>
      </c>
      <c r="Q7565" s="94">
        <f>F7565&amp;E7565&amp;G7565&amp;L7565</f>
        <v/>
      </c>
    </row>
    <row r="7566" customFormat="1" s="94">
      <c r="B7566" s="128" t="n">
        <v>44022</v>
      </c>
      <c r="C7566" s="94">
        <f>TEXT(B7566,"aaa")</f>
        <v/>
      </c>
      <c r="E7566" s="94" t="inlineStr">
        <is>
          <t>선크림</t>
        </is>
      </c>
      <c r="F7566" s="5" t="inlineStr">
        <is>
          <t>카페24</t>
        </is>
      </c>
      <c r="G7566" s="94" t="inlineStr">
        <is>
          <t>선크림 50ml</t>
        </is>
      </c>
      <c r="H7566" s="7" t="n">
        <v>190801</v>
      </c>
      <c r="I7566" s="7" t="n">
        <v>190801</v>
      </c>
      <c r="K7566" s="94" t="n">
        <v>4</v>
      </c>
      <c r="L7566" s="7" t="n">
        <v>190801</v>
      </c>
      <c r="M7566" s="94">
        <f>VLOOKUP($Q7566,매칭테이블!$F:$I,2,0)*K7566</f>
        <v/>
      </c>
      <c r="N7566" s="94">
        <f>M7566-M7566*VLOOKUP($Q7566,매칭테이블!$F:$I,3,0)</f>
        <v/>
      </c>
      <c r="O7566" s="94">
        <f>VLOOKUP($Q7566,매칭테이블!$F:$I,4,0)*K7566</f>
        <v/>
      </c>
      <c r="P7566" s="148">
        <f>M7566/1.1</f>
        <v/>
      </c>
      <c r="Q7566" s="94">
        <f>F7566&amp;E7566&amp;G7566&amp;L7566</f>
        <v/>
      </c>
    </row>
    <row r="7567" customFormat="1" s="94">
      <c r="B7567" s="128" t="n">
        <v>44022</v>
      </c>
      <c r="C7567" s="94">
        <f>TEXT(B7567,"aaa")</f>
        <v/>
      </c>
      <c r="E7567" s="94" t="inlineStr">
        <is>
          <t>선크림</t>
        </is>
      </c>
      <c r="F7567" s="5" t="inlineStr">
        <is>
          <t>카페24</t>
        </is>
      </c>
      <c r="G7567" s="94" t="inlineStr">
        <is>
          <t>선크림 50ml  2set</t>
        </is>
      </c>
      <c r="H7567" s="7" t="n">
        <v>190801</v>
      </c>
      <c r="I7567" s="7" t="n">
        <v>190801</v>
      </c>
      <c r="K7567" s="94" t="n">
        <v>3</v>
      </c>
      <c r="L7567" s="7" t="n">
        <v>190801</v>
      </c>
      <c r="M7567" s="94">
        <f>VLOOKUP($Q7567,매칭테이블!$F:$I,2,0)*K7567</f>
        <v/>
      </c>
      <c r="N7567" s="94">
        <f>M7567-M7567*VLOOKUP($Q7567,매칭테이블!$F:$I,3,0)</f>
        <v/>
      </c>
      <c r="O7567" s="94">
        <f>VLOOKUP($Q7567,매칭테이블!$F:$I,4,0)*K7567</f>
        <v/>
      </c>
      <c r="P7567" s="148">
        <f>M7567/1.1</f>
        <v/>
      </c>
      <c r="Q7567" s="94">
        <f>F7567&amp;E7567&amp;G7567&amp;L7567</f>
        <v/>
      </c>
    </row>
    <row r="7568" customFormat="1" s="94">
      <c r="B7568" s="128" t="n">
        <v>44022</v>
      </c>
      <c r="C7568" s="94">
        <f>TEXT(B7568,"aaa")</f>
        <v/>
      </c>
      <c r="E7568" s="94" t="inlineStr">
        <is>
          <t>클렌징폼</t>
        </is>
      </c>
      <c r="F7568" s="5" t="inlineStr">
        <is>
          <t>카페24</t>
        </is>
      </c>
      <c r="G7568" s="94" t="inlineStr">
        <is>
          <t>클렌징폼 120ml(선크림할인)</t>
        </is>
      </c>
      <c r="H7568" s="7" t="n">
        <v>190801</v>
      </c>
      <c r="I7568" s="7" t="n">
        <v>190801</v>
      </c>
      <c r="K7568" s="94" t="n">
        <v>1</v>
      </c>
      <c r="L7568" s="7" t="n">
        <v>190801</v>
      </c>
      <c r="M7568" s="94">
        <f>VLOOKUP($Q7568,매칭테이블!$F:$I,2,0)*K7568</f>
        <v/>
      </c>
      <c r="N7568" s="94">
        <f>M7568-M7568*VLOOKUP($Q7568,매칭테이블!$F:$I,3,0)</f>
        <v/>
      </c>
      <c r="O7568" s="94">
        <f>VLOOKUP($Q7568,매칭테이블!$F:$I,4,0)*K7568</f>
        <v/>
      </c>
      <c r="P7568" s="148">
        <f>M7568/1.1</f>
        <v/>
      </c>
      <c r="Q7568" s="94">
        <f>F7568&amp;E7568&amp;G7568&amp;L7568</f>
        <v/>
      </c>
    </row>
    <row r="7569" customFormat="1" s="94">
      <c r="B7569" s="128" t="n">
        <v>44022</v>
      </c>
      <c r="C7569" s="94">
        <f>TEXT(B7569,"aaa")</f>
        <v/>
      </c>
      <c r="E7569" s="94" t="inlineStr">
        <is>
          <t>여름 한정 진정세트</t>
        </is>
      </c>
      <c r="F7569" s="5" t="inlineStr">
        <is>
          <t>카페24</t>
        </is>
      </c>
      <c r="G7569" s="94" t="inlineStr">
        <is>
          <t>여름 한정 진정세트</t>
        </is>
      </c>
      <c r="H7569" s="7" t="n">
        <v>190801</v>
      </c>
      <c r="I7569" s="7" t="n">
        <v>190801</v>
      </c>
      <c r="K7569" s="94" t="n">
        <v>2</v>
      </c>
      <c r="L7569" s="7" t="n">
        <v>190801</v>
      </c>
      <c r="M7569" s="94">
        <f>VLOOKUP($Q7569,매칭테이블!$F:$I,2,0)*K7569</f>
        <v/>
      </c>
      <c r="N7569" s="94">
        <f>M7569-M7569*VLOOKUP($Q7569,매칭테이블!$F:$I,3,0)</f>
        <v/>
      </c>
      <c r="O7569" s="94">
        <f>VLOOKUP($Q7569,매칭테이블!$F:$I,4,0)*K7569</f>
        <v/>
      </c>
      <c r="P7569" s="148">
        <f>M7569/1.1</f>
        <v/>
      </c>
      <c r="Q7569" s="94">
        <f>F7569&amp;E7569&amp;G7569&amp;L7569</f>
        <v/>
      </c>
    </row>
    <row r="7570" customFormat="1" s="94">
      <c r="B7570" s="128" t="n">
        <v>44022</v>
      </c>
      <c r="C7570" s="94">
        <f>TEXT(B7570,"aaa")</f>
        <v/>
      </c>
      <c r="E7570" s="94" t="inlineStr">
        <is>
          <t>여름 한정 진정세트</t>
        </is>
      </c>
      <c r="F7570" s="5" t="inlineStr">
        <is>
          <t>카페24</t>
        </is>
      </c>
      <c r="G7570" s="94" t="inlineStr">
        <is>
          <t>여름 한정 진정세트 (대용량)</t>
        </is>
      </c>
      <c r="H7570" s="7" t="n">
        <v>190801</v>
      </c>
      <c r="I7570" s="7" t="n">
        <v>190801</v>
      </c>
      <c r="K7570" s="94" t="n">
        <v>1</v>
      </c>
      <c r="L7570" s="7" t="n">
        <v>190801</v>
      </c>
      <c r="M7570" s="94">
        <f>VLOOKUP($Q7570,매칭테이블!$F:$I,2,0)*K7570</f>
        <v/>
      </c>
      <c r="N7570" s="94">
        <f>M7570-M7570*VLOOKUP($Q7570,매칭테이블!$F:$I,3,0)</f>
        <v/>
      </c>
      <c r="O7570" s="94">
        <f>VLOOKUP($Q7570,매칭테이블!$F:$I,4,0)*K7570</f>
        <v/>
      </c>
      <c r="P7570" s="148">
        <f>M7570/1.1</f>
        <v/>
      </c>
      <c r="Q7570" s="94">
        <f>F7570&amp;E7570&amp;G7570&amp;L7570</f>
        <v/>
      </c>
    </row>
    <row r="7571" customFormat="1" s="94">
      <c r="B7571" s="128" t="n">
        <v>44022</v>
      </c>
      <c r="C7571" s="94">
        <f>TEXT(B7571,"aaa")</f>
        <v/>
      </c>
      <c r="E7571" s="94" t="inlineStr">
        <is>
          <t>어성초진정패키지</t>
        </is>
      </c>
      <c r="F7571" s="5" t="inlineStr">
        <is>
          <t>카페24</t>
        </is>
      </c>
      <c r="G7571" s="94" t="inlineStr">
        <is>
          <t>어성초 진정패키지세트</t>
        </is>
      </c>
      <c r="H7571" s="7" t="n">
        <v>190801</v>
      </c>
      <c r="I7571" s="7" t="n">
        <v>190801</v>
      </c>
      <c r="K7571" s="94" t="n">
        <v>8</v>
      </c>
      <c r="L7571" s="7" t="n">
        <v>190801</v>
      </c>
      <c r="M7571" s="94">
        <f>VLOOKUP($Q7571,매칭테이블!$F:$I,2,0)*K7571</f>
        <v/>
      </c>
      <c r="N7571" s="94">
        <f>M7571-M7571*VLOOKUP($Q7571,매칭테이블!$F:$I,3,0)</f>
        <v/>
      </c>
      <c r="O7571" s="94">
        <f>VLOOKUP($Q7571,매칭테이블!$F:$I,4,0)*K7571</f>
        <v/>
      </c>
      <c r="P7571" s="148">
        <f>M7571/1.1</f>
        <v/>
      </c>
      <c r="Q7571" s="94">
        <f>F7571&amp;E7571&amp;G7571&amp;L7571</f>
        <v/>
      </c>
    </row>
    <row r="7572" customFormat="1" s="94">
      <c r="B7572" s="128" t="n">
        <v>44022</v>
      </c>
      <c r="C7572" s="94">
        <f>TEXT(B7572,"aaa")</f>
        <v/>
      </c>
      <c r="E7572" s="94" t="inlineStr">
        <is>
          <t>머드크림마스크</t>
        </is>
      </c>
      <c r="F7572" s="5" t="inlineStr">
        <is>
          <t>카페24</t>
        </is>
      </c>
      <c r="G7572" s="94" t="inlineStr">
        <is>
          <t>머드크림마스크 100ml</t>
        </is>
      </c>
      <c r="H7572" s="7" t="n">
        <v>190801</v>
      </c>
      <c r="I7572" s="7" t="n">
        <v>190801</v>
      </c>
      <c r="K7572" s="94" t="n">
        <v>4</v>
      </c>
      <c r="L7572" s="7" t="n">
        <v>190801</v>
      </c>
      <c r="M7572" s="94">
        <f>VLOOKUP($Q7572,매칭테이블!$F:$I,2,0)*K7572</f>
        <v/>
      </c>
      <c r="N7572" s="94">
        <f>M7572-M7572*VLOOKUP($Q7572,매칭테이블!$F:$I,3,0)</f>
        <v/>
      </c>
      <c r="O7572" s="94">
        <f>VLOOKUP($Q7572,매칭테이블!$F:$I,4,0)*K7572</f>
        <v/>
      </c>
      <c r="P7572" s="148">
        <f>M7572/1.1</f>
        <v/>
      </c>
      <c r="Q7572" s="94">
        <f>F7572&amp;E7572&amp;G7572&amp;L7572</f>
        <v/>
      </c>
    </row>
    <row r="7573" customFormat="1" s="94">
      <c r="B7573" s="128" t="n">
        <v>44022</v>
      </c>
      <c r="C7573" s="94">
        <f>TEXT(B7573,"aaa")</f>
        <v/>
      </c>
      <c r="E7573" s="94" t="inlineStr">
        <is>
          <t>머드크림마스크</t>
        </is>
      </c>
      <c r="F7573" s="5" t="inlineStr">
        <is>
          <t>카페24</t>
        </is>
      </c>
      <c r="G7573" s="94" t="inlineStr">
        <is>
          <t>머드크림마스크 100ml 2set</t>
        </is>
      </c>
      <c r="H7573" s="7" t="n">
        <v>190801</v>
      </c>
      <c r="I7573" s="7" t="n">
        <v>190801</v>
      </c>
      <c r="K7573" s="94" t="n">
        <v>1</v>
      </c>
      <c r="L7573" s="7" t="n">
        <v>190801</v>
      </c>
      <c r="M7573" s="94">
        <f>VLOOKUP($Q7573,매칭테이블!$F:$I,2,0)*K7573</f>
        <v/>
      </c>
      <c r="N7573" s="94">
        <f>M7573-M7573*VLOOKUP($Q7573,매칭테이블!$F:$I,3,0)</f>
        <v/>
      </c>
      <c r="O7573" s="94">
        <f>VLOOKUP($Q7573,매칭테이블!$F:$I,4,0)*K7573</f>
        <v/>
      </c>
      <c r="P7573" s="148">
        <f>M7573/1.1</f>
        <v/>
      </c>
      <c r="Q7573" s="94">
        <f>F7573&amp;E7573&amp;G7573&amp;L7573</f>
        <v/>
      </c>
    </row>
    <row r="7574" customFormat="1" s="94">
      <c r="B7574" s="128" t="n">
        <v>44022</v>
      </c>
      <c r="C7574" s="94">
        <f>TEXT(B7574,"aaa")</f>
        <v/>
      </c>
      <c r="E7574" s="94" t="inlineStr">
        <is>
          <t>토너</t>
        </is>
      </c>
      <c r="F7574" s="5" t="inlineStr">
        <is>
          <t>카페24</t>
        </is>
      </c>
      <c r="G7574" s="94" t="inlineStr">
        <is>
          <t>250ml</t>
        </is>
      </c>
      <c r="H7574" s="7" t="n">
        <v>190801</v>
      </c>
      <c r="I7574" s="7" t="n">
        <v>190801</v>
      </c>
      <c r="K7574" s="94" t="n">
        <v>46</v>
      </c>
      <c r="L7574" s="7" t="n">
        <v>190801</v>
      </c>
      <c r="M7574" s="94">
        <f>VLOOKUP($Q7574,매칭테이블!$F:$I,2,0)*K7574</f>
        <v/>
      </c>
      <c r="N7574" s="94">
        <f>M7574-M7574*VLOOKUP($Q7574,매칭테이블!$F:$I,3,0)</f>
        <v/>
      </c>
      <c r="O7574" s="94">
        <f>VLOOKUP($Q7574,매칭테이블!$F:$I,4,0)*K7574</f>
        <v/>
      </c>
      <c r="P7574" s="148">
        <f>M7574/1.1</f>
        <v/>
      </c>
      <c r="Q7574" s="94">
        <f>F7574&amp;E7574&amp;G7574&amp;L7574</f>
        <v/>
      </c>
    </row>
    <row r="7575" customFormat="1" s="94">
      <c r="B7575" s="128" t="n">
        <v>44022</v>
      </c>
      <c r="C7575" s="94">
        <f>TEXT(B7575,"aaa")</f>
        <v/>
      </c>
      <c r="E7575" s="94" t="inlineStr">
        <is>
          <t>토너</t>
        </is>
      </c>
      <c r="F7575" s="5" t="inlineStr">
        <is>
          <t>카페24</t>
        </is>
      </c>
      <c r="G7575" s="94" t="inlineStr">
        <is>
          <t>250ml 2set</t>
        </is>
      </c>
      <c r="H7575" s="7" t="n">
        <v>190801</v>
      </c>
      <c r="I7575" s="7" t="n">
        <v>190801</v>
      </c>
      <c r="K7575" s="94" t="n">
        <v>39</v>
      </c>
      <c r="L7575" s="7" t="n">
        <v>190801</v>
      </c>
      <c r="M7575" s="94">
        <f>VLOOKUP($Q7575,매칭테이블!$F:$I,2,0)*K7575</f>
        <v/>
      </c>
      <c r="N7575" s="94">
        <f>M7575-M7575*VLOOKUP($Q7575,매칭테이블!$F:$I,3,0)</f>
        <v/>
      </c>
      <c r="O7575" s="94">
        <f>VLOOKUP($Q7575,매칭테이블!$F:$I,4,0)*K7575</f>
        <v/>
      </c>
      <c r="P7575" s="148">
        <f>M7575/1.1</f>
        <v/>
      </c>
      <c r="Q7575" s="94">
        <f>F7575&amp;E7575&amp;G7575&amp;L7575</f>
        <v/>
      </c>
    </row>
    <row r="7576" customFormat="1" s="94">
      <c r="B7576" s="128" t="n">
        <v>44022</v>
      </c>
      <c r="C7576" s="94">
        <f>TEXT(B7576,"aaa")</f>
        <v/>
      </c>
      <c r="E7576" s="94" t="inlineStr">
        <is>
          <t>토너</t>
        </is>
      </c>
      <c r="F7576" s="5" t="inlineStr">
        <is>
          <t>카페24</t>
        </is>
      </c>
      <c r="G7576" s="94" t="inlineStr">
        <is>
          <t>500ml</t>
        </is>
      </c>
      <c r="H7576" s="7" t="n">
        <v>190801</v>
      </c>
      <c r="I7576" s="7" t="n">
        <v>190801</v>
      </c>
      <c r="K7576" s="94" t="n">
        <v>70</v>
      </c>
      <c r="L7576" s="7" t="n">
        <v>190801</v>
      </c>
      <c r="M7576" s="94">
        <f>VLOOKUP($Q7576,매칭테이블!$F:$I,2,0)*K7576</f>
        <v/>
      </c>
      <c r="N7576" s="94">
        <f>M7576-M7576*VLOOKUP($Q7576,매칭테이블!$F:$I,3,0)</f>
        <v/>
      </c>
      <c r="O7576" s="94">
        <f>VLOOKUP($Q7576,매칭테이블!$F:$I,4,0)*K7576</f>
        <v/>
      </c>
      <c r="P7576" s="148">
        <f>M7576/1.1</f>
        <v/>
      </c>
      <c r="Q7576" s="94">
        <f>F7576&amp;E7576&amp;G7576&amp;L7576</f>
        <v/>
      </c>
    </row>
    <row r="7577" customFormat="1" s="94">
      <c r="B7577" s="128" t="n">
        <v>44022</v>
      </c>
      <c r="C7577" s="94">
        <f>TEXT(B7577,"aaa")</f>
        <v/>
      </c>
      <c r="E7577" s="94" t="inlineStr">
        <is>
          <t>토너</t>
        </is>
      </c>
      <c r="F7577" s="5" t="inlineStr">
        <is>
          <t>카페24</t>
        </is>
      </c>
      <c r="G7577" s="94" t="inlineStr">
        <is>
          <t>스킨팩 화장솜 60P</t>
        </is>
      </c>
      <c r="H7577" s="7" t="n">
        <v>190801</v>
      </c>
      <c r="I7577" s="7" t="n">
        <v>190801</v>
      </c>
      <c r="K7577" s="94" t="n">
        <v>54</v>
      </c>
      <c r="L7577" s="7" t="n">
        <v>190801</v>
      </c>
      <c r="M7577" s="94">
        <f>VLOOKUP($Q7577,매칭테이블!$F:$I,2,0)*K7577</f>
        <v/>
      </c>
      <c r="N7577" s="94">
        <f>M7577-M7577*VLOOKUP($Q7577,매칭테이블!$F:$I,3,0)</f>
        <v/>
      </c>
      <c r="O7577" s="94">
        <f>VLOOKUP($Q7577,매칭테이블!$F:$I,4,0)*K7577</f>
        <v/>
      </c>
      <c r="P7577" s="148">
        <f>M7577/1.1</f>
        <v/>
      </c>
      <c r="Q7577" s="94">
        <f>F7577&amp;E7577&amp;G7577&amp;L7577</f>
        <v/>
      </c>
    </row>
    <row r="7578" customFormat="1" s="94">
      <c r="B7578" s="128" t="n">
        <v>44022</v>
      </c>
      <c r="C7578" s="94">
        <f>TEXT(B7578,"aaa")</f>
        <v/>
      </c>
      <c r="E7578" s="94" t="inlineStr">
        <is>
          <t>앰플</t>
        </is>
      </c>
      <c r="F7578" s="5" t="inlineStr">
        <is>
          <t>카페24</t>
        </is>
      </c>
      <c r="G7578" s="94" t="inlineStr">
        <is>
          <t>앰플 30ml</t>
        </is>
      </c>
      <c r="H7578" s="7" t="n">
        <v>190801</v>
      </c>
      <c r="I7578" s="7" t="n">
        <v>190801</v>
      </c>
      <c r="K7578" s="94" t="n">
        <v>17</v>
      </c>
      <c r="L7578" s="7" t="n">
        <v>190801</v>
      </c>
      <c r="M7578" s="94">
        <f>VLOOKUP($Q7578,매칭테이블!$F:$I,2,0)*K7578</f>
        <v/>
      </c>
      <c r="N7578" s="94">
        <f>M7578-M7578*VLOOKUP($Q7578,매칭테이블!$F:$I,3,0)</f>
        <v/>
      </c>
      <c r="O7578" s="94">
        <f>VLOOKUP($Q7578,매칭테이블!$F:$I,4,0)*K7578</f>
        <v/>
      </c>
      <c r="P7578" s="148">
        <f>M7578/1.1</f>
        <v/>
      </c>
      <c r="Q7578" s="94">
        <f>F7578&amp;E7578&amp;G7578&amp;L7578</f>
        <v/>
      </c>
    </row>
    <row r="7579" customFormat="1" s="94">
      <c r="B7579" s="128" t="n">
        <v>44022</v>
      </c>
      <c r="C7579" s="94">
        <f>TEXT(B7579,"aaa")</f>
        <v/>
      </c>
      <c r="E7579" s="94" t="inlineStr">
        <is>
          <t>수딩크림</t>
        </is>
      </c>
      <c r="F7579" s="5" t="inlineStr">
        <is>
          <t>카페24</t>
        </is>
      </c>
      <c r="G7579" s="94" t="inlineStr">
        <is>
          <t>수딩크림 100ml</t>
        </is>
      </c>
      <c r="H7579" s="7" t="n">
        <v>190801</v>
      </c>
      <c r="I7579" s="7" t="n">
        <v>190801</v>
      </c>
      <c r="K7579" s="94" t="n">
        <v>3</v>
      </c>
      <c r="L7579" s="7" t="n">
        <v>190801</v>
      </c>
      <c r="M7579" s="94">
        <f>VLOOKUP($Q7579,매칭테이블!$F:$I,2,0)*K7579</f>
        <v/>
      </c>
      <c r="N7579" s="94">
        <f>M7579-M7579*VLOOKUP($Q7579,매칭테이블!$F:$I,3,0)</f>
        <v/>
      </c>
      <c r="O7579" s="94">
        <f>VLOOKUP($Q7579,매칭테이블!$F:$I,4,0)*K7579</f>
        <v/>
      </c>
      <c r="P7579" s="148">
        <f>M7579/1.1</f>
        <v/>
      </c>
      <c r="Q7579" s="94">
        <f>F7579&amp;E7579&amp;G7579&amp;L7579</f>
        <v/>
      </c>
    </row>
    <row r="7580" customFormat="1" s="94">
      <c r="B7580" s="128" t="n">
        <v>44022</v>
      </c>
      <c r="C7580" s="94">
        <f>TEXT(B7580,"aaa")</f>
        <v/>
      </c>
      <c r="E7580" s="94" t="inlineStr">
        <is>
          <t>클렌징폼</t>
        </is>
      </c>
      <c r="F7580" s="5" t="inlineStr">
        <is>
          <t>카페24</t>
        </is>
      </c>
      <c r="G7580" s="94" t="inlineStr">
        <is>
          <t>클렌징폼 120ml</t>
        </is>
      </c>
      <c r="H7580" s="7" t="n">
        <v>190801</v>
      </c>
      <c r="I7580" s="7" t="n">
        <v>190801</v>
      </c>
      <c r="K7580" s="94" t="n">
        <v>4</v>
      </c>
      <c r="L7580" s="7" t="n">
        <v>190801</v>
      </c>
      <c r="M7580" s="94">
        <f>VLOOKUP($Q7580,매칭테이블!$F:$I,2,0)*K7580</f>
        <v/>
      </c>
      <c r="N7580" s="94">
        <f>M7580-M7580*VLOOKUP($Q7580,매칭테이블!$F:$I,3,0)</f>
        <v/>
      </c>
      <c r="O7580" s="94">
        <f>VLOOKUP($Q7580,매칭테이블!$F:$I,4,0)*K7580</f>
        <v/>
      </c>
      <c r="P7580" s="148">
        <f>M7580/1.1</f>
        <v/>
      </c>
      <c r="Q7580" s="94">
        <f>F7580&amp;E7580&amp;G7580&amp;L7580</f>
        <v/>
      </c>
    </row>
    <row r="7581" customFormat="1" s="94">
      <c r="B7581" s="128" t="n">
        <v>44022</v>
      </c>
      <c r="C7581" s="94">
        <f>TEXT(B7581,"aaa")</f>
        <v/>
      </c>
      <c r="E7581" s="94" t="inlineStr">
        <is>
          <t>클렌징폼</t>
        </is>
      </c>
      <c r="F7581" s="5" t="inlineStr">
        <is>
          <t>카페24</t>
        </is>
      </c>
      <c r="G7581" s="94" t="inlineStr">
        <is>
          <t>클렌징폼 120ml 2set</t>
        </is>
      </c>
      <c r="H7581" s="7" t="n">
        <v>190801</v>
      </c>
      <c r="I7581" s="7" t="n">
        <v>190801</v>
      </c>
      <c r="K7581" s="94" t="n">
        <v>4</v>
      </c>
      <c r="L7581" s="7" t="n">
        <v>190801</v>
      </c>
      <c r="M7581" s="94">
        <f>VLOOKUP($Q7581,매칭테이블!$F:$I,2,0)*K7581</f>
        <v/>
      </c>
      <c r="N7581" s="94">
        <f>M7581-M7581*VLOOKUP($Q7581,매칭테이블!$F:$I,3,0)</f>
        <v/>
      </c>
      <c r="O7581" s="94">
        <f>VLOOKUP($Q7581,매칭테이블!$F:$I,4,0)*K7581</f>
        <v/>
      </c>
      <c r="P7581" s="148">
        <f>M7581/1.1</f>
        <v/>
      </c>
      <c r="Q7581" s="94">
        <f>F7581&amp;E7581&amp;G7581&amp;L7581</f>
        <v/>
      </c>
    </row>
    <row r="7582" customFormat="1" s="94">
      <c r="B7582" s="128" t="n">
        <v>44022</v>
      </c>
      <c r="C7582" s="94">
        <f>TEXT(B7582,"aaa")</f>
        <v/>
      </c>
      <c r="E7582" s="94" t="inlineStr">
        <is>
          <t>클렌징폼</t>
        </is>
      </c>
      <c r="F7582" s="5" t="inlineStr">
        <is>
          <t>카페24</t>
        </is>
      </c>
      <c r="G7582" s="94" t="inlineStr">
        <is>
          <t>클렌징폼 120ml 3set</t>
        </is>
      </c>
      <c r="H7582" s="7" t="n">
        <v>190801</v>
      </c>
      <c r="I7582" s="7" t="n">
        <v>190801</v>
      </c>
      <c r="K7582" s="94" t="n">
        <v>2</v>
      </c>
      <c r="L7582" s="7" t="n">
        <v>190801</v>
      </c>
      <c r="M7582" s="94">
        <f>VLOOKUP($Q7582,매칭테이블!$F:$I,2,0)*K7582</f>
        <v/>
      </c>
      <c r="N7582" s="94">
        <f>M7582-M7582*VLOOKUP($Q7582,매칭테이블!$F:$I,3,0)</f>
        <v/>
      </c>
      <c r="O7582" s="94">
        <f>VLOOKUP($Q7582,매칭테이블!$F:$I,4,0)*K7582</f>
        <v/>
      </c>
      <c r="P7582" s="148">
        <f>M7582/1.1</f>
        <v/>
      </c>
      <c r="Q7582" s="94">
        <f>F7582&amp;E7582&amp;G7582&amp;L7582</f>
        <v/>
      </c>
    </row>
    <row r="7583" customFormat="1" s="94">
      <c r="B7583" s="128" t="n">
        <v>44022</v>
      </c>
      <c r="C7583" s="94">
        <f>TEXT(B7583,"aaa")</f>
        <v/>
      </c>
      <c r="E7583" s="94" t="inlineStr">
        <is>
          <t>토너</t>
        </is>
      </c>
      <c r="F7583" s="5" t="inlineStr">
        <is>
          <t>큐텐재팬</t>
        </is>
      </c>
      <c r="G7583" s="94" t="inlineStr">
        <is>
          <t>250ml</t>
        </is>
      </c>
      <c r="H7583" s="7" t="n">
        <v>190801</v>
      </c>
      <c r="I7583" s="7" t="n">
        <v>190801</v>
      </c>
      <c r="K7583" s="94" t="n">
        <v>5</v>
      </c>
      <c r="L7583" s="7" t="n">
        <v>190801</v>
      </c>
      <c r="M7583" s="94">
        <f>VLOOKUP($Q7583,매칭테이블!$F:$I,2,0)*K7583</f>
        <v/>
      </c>
      <c r="N7583" s="94">
        <f>M7583-M7583*VLOOKUP($Q7583,매칭테이블!$F:$I,3,0)</f>
        <v/>
      </c>
      <c r="O7583" s="94">
        <f>VLOOKUP($Q7583,매칭테이블!$F:$I,4,0)*K7583</f>
        <v/>
      </c>
      <c r="P7583" s="148">
        <f>M7583/1.1</f>
        <v/>
      </c>
      <c r="Q7583" s="94">
        <f>F7583&amp;E7583&amp;G7583&amp;L7583</f>
        <v/>
      </c>
    </row>
    <row r="7584" customFormat="1" s="94">
      <c r="B7584" s="128" t="n">
        <v>44022</v>
      </c>
      <c r="C7584" s="94">
        <f>TEXT(B7584,"aaa")</f>
        <v/>
      </c>
      <c r="E7584" s="94" t="inlineStr">
        <is>
          <t>토너</t>
        </is>
      </c>
      <c r="F7584" s="5" t="inlineStr">
        <is>
          <t>큐텐재팬</t>
        </is>
      </c>
      <c r="G7584" s="94" t="inlineStr">
        <is>
          <t>250ml 2set</t>
        </is>
      </c>
      <c r="H7584" s="7" t="n">
        <v>190801</v>
      </c>
      <c r="I7584" s="7" t="n">
        <v>190801</v>
      </c>
      <c r="K7584" s="94" t="n">
        <v>3</v>
      </c>
      <c r="L7584" s="7" t="n">
        <v>190801</v>
      </c>
      <c r="M7584" s="94">
        <f>VLOOKUP($Q7584,매칭테이블!$F:$I,2,0)*K7584</f>
        <v/>
      </c>
      <c r="N7584" s="94">
        <f>M7584-M7584*VLOOKUP($Q7584,매칭테이블!$F:$I,3,0)</f>
        <v/>
      </c>
      <c r="O7584" s="94">
        <f>VLOOKUP($Q7584,매칭테이블!$F:$I,4,0)*K7584</f>
        <v/>
      </c>
      <c r="P7584" s="148">
        <f>M7584/1.1</f>
        <v/>
      </c>
      <c r="Q7584" s="94">
        <f>F7584&amp;E7584&amp;G7584&amp;L7584</f>
        <v/>
      </c>
    </row>
    <row r="7585" customFormat="1" s="94">
      <c r="B7585" s="128" t="n">
        <v>44022</v>
      </c>
      <c r="C7585" s="94">
        <f>TEXT(B7585,"aaa")</f>
        <v/>
      </c>
      <c r="E7585" s="94" t="inlineStr">
        <is>
          <t>앰플</t>
        </is>
      </c>
      <c r="F7585" s="5" t="inlineStr">
        <is>
          <t>큐텐재팬</t>
        </is>
      </c>
      <c r="G7585" s="94" t="inlineStr">
        <is>
          <t>앰플 30ml</t>
        </is>
      </c>
      <c r="H7585" s="7" t="n">
        <v>190801</v>
      </c>
      <c r="I7585" s="7" t="n">
        <v>190801</v>
      </c>
      <c r="K7585" s="94" t="n">
        <v>1</v>
      </c>
      <c r="L7585" s="7" t="n">
        <v>190801</v>
      </c>
      <c r="M7585" s="94">
        <f>VLOOKUP($Q7585,매칭테이블!$F:$I,2,0)*K7585</f>
        <v/>
      </c>
      <c r="N7585" s="94">
        <f>M7585-M7585*VLOOKUP($Q7585,매칭테이블!$F:$I,3,0)</f>
        <v/>
      </c>
      <c r="O7585" s="94">
        <f>VLOOKUP($Q7585,매칭테이블!$F:$I,4,0)*K7585</f>
        <v/>
      </c>
      <c r="P7585" s="148">
        <f>M7585/1.1</f>
        <v/>
      </c>
      <c r="Q7585" s="94">
        <f>F7585&amp;E7585&amp;G7585&amp;L7585</f>
        <v/>
      </c>
    </row>
    <row r="7586" customFormat="1" s="94">
      <c r="B7586" s="128" t="n">
        <v>44022</v>
      </c>
      <c r="C7586" s="94">
        <f>TEXT(B7586,"aaa")</f>
        <v/>
      </c>
      <c r="E7586" s="94" t="inlineStr">
        <is>
          <t>클렌징폼</t>
        </is>
      </c>
      <c r="F7586" s="5" t="inlineStr">
        <is>
          <t>큐텐재팬</t>
        </is>
      </c>
      <c r="G7586" s="94" t="inlineStr">
        <is>
          <t>클렌징폼 120ml</t>
        </is>
      </c>
      <c r="H7586" s="7" t="n">
        <v>190801</v>
      </c>
      <c r="I7586" s="7" t="n">
        <v>190801</v>
      </c>
      <c r="K7586" s="94" t="n">
        <v>1</v>
      </c>
      <c r="L7586" s="7" t="n">
        <v>190801</v>
      </c>
      <c r="M7586" s="94">
        <f>VLOOKUP($Q7586,매칭테이블!$F:$I,2,0)*K7586</f>
        <v/>
      </c>
      <c r="N7586" s="94">
        <f>M7586-M7586*VLOOKUP($Q7586,매칭테이블!$F:$I,3,0)</f>
        <v/>
      </c>
      <c r="O7586" s="94">
        <f>VLOOKUP($Q7586,매칭테이블!$F:$I,4,0)*K7586</f>
        <v/>
      </c>
      <c r="P7586" s="148">
        <f>M7586/1.1</f>
        <v/>
      </c>
      <c r="Q7586" s="94">
        <f>F7586&amp;E7586&amp;G7586&amp;L7586</f>
        <v/>
      </c>
    </row>
    <row r="7587" customFormat="1" s="94">
      <c r="B7587" s="128" t="n">
        <v>44022</v>
      </c>
      <c r="C7587" s="94">
        <f>TEXT(B7587,"aaa")</f>
        <v/>
      </c>
      <c r="E7587" s="94" t="inlineStr">
        <is>
          <t>수딩크림</t>
        </is>
      </c>
      <c r="F7587" s="5" t="inlineStr">
        <is>
          <t>큐텐재팬</t>
        </is>
      </c>
      <c r="G7587" s="94" t="inlineStr">
        <is>
          <t>수딩크림 100ml</t>
        </is>
      </c>
      <c r="H7587" s="7" t="n">
        <v>190801</v>
      </c>
      <c r="I7587" s="7" t="n">
        <v>190801</v>
      </c>
      <c r="K7587" s="94" t="n">
        <v>1</v>
      </c>
      <c r="L7587" s="7" t="n">
        <v>190801</v>
      </c>
      <c r="M7587" s="94">
        <f>VLOOKUP($Q7587,매칭테이블!$F:$I,2,0)*K7587</f>
        <v/>
      </c>
      <c r="N7587" s="94">
        <f>M7587-M7587*VLOOKUP($Q7587,매칭테이블!$F:$I,3,0)</f>
        <v/>
      </c>
      <c r="O7587" s="94">
        <f>VLOOKUP($Q7587,매칭테이블!$F:$I,4,0)*K7587</f>
        <v/>
      </c>
      <c r="P7587" s="148">
        <f>M7587/1.1</f>
        <v/>
      </c>
      <c r="Q7587" s="94">
        <f>F7587&amp;E7587&amp;G7587&amp;L7587</f>
        <v/>
      </c>
    </row>
    <row r="7588" customFormat="1" s="94">
      <c r="B7588" s="128" t="n">
        <v>44022</v>
      </c>
      <c r="C7588" s="94">
        <f>TEXT(B7588,"aaa")</f>
        <v/>
      </c>
      <c r="E7588" s="94" t="inlineStr">
        <is>
          <t>토너</t>
        </is>
      </c>
      <c r="F7588" s="5" t="inlineStr">
        <is>
          <t>화해</t>
        </is>
      </c>
      <c r="G7588" s="94" t="inlineStr">
        <is>
          <t>250ml</t>
        </is>
      </c>
      <c r="H7588" s="7" t="n">
        <v>190801</v>
      </c>
      <c r="I7588" s="7" t="n">
        <v>190801</v>
      </c>
      <c r="K7588" s="94" t="n">
        <v>1</v>
      </c>
      <c r="L7588" s="7" t="n">
        <v>190801</v>
      </c>
      <c r="M7588" s="94">
        <f>VLOOKUP($Q7588,매칭테이블!$F:$I,2,0)*K7588</f>
        <v/>
      </c>
      <c r="N7588" s="94">
        <f>M7588-M7588*VLOOKUP($Q7588,매칭테이블!$F:$I,3,0)</f>
        <v/>
      </c>
      <c r="O7588" s="94">
        <f>VLOOKUP($Q7588,매칭테이블!$F:$I,4,0)*K7588</f>
        <v/>
      </c>
      <c r="P7588" s="148">
        <f>M7588/1.1</f>
        <v/>
      </c>
      <c r="Q7588" s="94">
        <f>F7588&amp;E7588&amp;G7588&amp;L7588</f>
        <v/>
      </c>
    </row>
    <row r="7589" customFormat="1" s="94">
      <c r="B7589" s="128" t="n">
        <v>44023</v>
      </c>
      <c r="C7589" s="94">
        <f>TEXT(B7589,"aaa")</f>
        <v/>
      </c>
      <c r="E7589" s="94" t="inlineStr">
        <is>
          <t>토너</t>
        </is>
      </c>
      <c r="F7589" s="5" t="inlineStr">
        <is>
          <t>스타일쉐어</t>
        </is>
      </c>
      <c r="G7589" s="94" t="inlineStr">
        <is>
          <t>250ml</t>
        </is>
      </c>
      <c r="H7589" s="7" t="n">
        <v>190801</v>
      </c>
      <c r="I7589" s="7" t="n">
        <v>190801</v>
      </c>
      <c r="K7589" s="94" t="n">
        <v>8</v>
      </c>
      <c r="L7589" s="7" t="n">
        <v>190801</v>
      </c>
      <c r="M7589" s="94">
        <f>VLOOKUP($Q7589,매칭테이블!$F:$I,2,0)*K7589</f>
        <v/>
      </c>
      <c r="N7589" s="94">
        <f>M7589-M7589*VLOOKUP($Q7589,매칭테이블!$F:$I,3,0)</f>
        <v/>
      </c>
      <c r="O7589" s="94">
        <f>VLOOKUP($Q7589,매칭테이블!$F:$I,4,0)*K7589</f>
        <v/>
      </c>
      <c r="P7589" s="148">
        <f>M7589/1.1</f>
        <v/>
      </c>
      <c r="Q7589" s="94">
        <f>F7589&amp;E7589&amp;G7589&amp;L7589</f>
        <v/>
      </c>
    </row>
    <row r="7590" customFormat="1" s="94">
      <c r="B7590" s="128" t="n">
        <v>44023</v>
      </c>
      <c r="C7590" s="94">
        <f>TEXT(B7590,"aaa")</f>
        <v/>
      </c>
      <c r="E7590" s="94" t="inlineStr">
        <is>
          <t>선크림</t>
        </is>
      </c>
      <c r="F7590" s="5" t="inlineStr">
        <is>
          <t>카페24</t>
        </is>
      </c>
      <c r="G7590" s="94" t="inlineStr">
        <is>
          <t>선크림 50ml</t>
        </is>
      </c>
      <c r="H7590" s="7" t="n">
        <v>190801</v>
      </c>
      <c r="I7590" s="7" t="n">
        <v>190801</v>
      </c>
      <c r="K7590" s="94" t="n">
        <v>4</v>
      </c>
      <c r="L7590" s="7" t="n">
        <v>190801</v>
      </c>
      <c r="M7590" s="94">
        <f>VLOOKUP($Q7590,매칭테이블!$F:$I,2,0)*K7590</f>
        <v/>
      </c>
      <c r="N7590" s="94">
        <f>M7590-M7590*VLOOKUP($Q7590,매칭테이블!$F:$I,3,0)</f>
        <v/>
      </c>
      <c r="O7590" s="94">
        <f>VLOOKUP($Q7590,매칭테이블!$F:$I,4,0)*K7590</f>
        <v/>
      </c>
      <c r="P7590" s="148">
        <f>M7590/1.1</f>
        <v/>
      </c>
      <c r="Q7590" s="94">
        <f>F7590&amp;E7590&amp;G7590&amp;L7590</f>
        <v/>
      </c>
    </row>
    <row r="7591" customFormat="1" s="94">
      <c r="B7591" s="128" t="n">
        <v>44023</v>
      </c>
      <c r="C7591" s="94">
        <f>TEXT(B7591,"aaa")</f>
        <v/>
      </c>
      <c r="E7591" s="94" t="inlineStr">
        <is>
          <t>선크림</t>
        </is>
      </c>
      <c r="F7591" s="5" t="inlineStr">
        <is>
          <t>카페24</t>
        </is>
      </c>
      <c r="G7591" s="94" t="inlineStr">
        <is>
          <t>선크림 50ml  2set</t>
        </is>
      </c>
      <c r="H7591" s="7" t="n">
        <v>190801</v>
      </c>
      <c r="I7591" s="7" t="n">
        <v>190801</v>
      </c>
      <c r="K7591" s="94" t="n">
        <v>3</v>
      </c>
      <c r="L7591" s="7" t="n">
        <v>190801</v>
      </c>
      <c r="M7591" s="94">
        <f>VLOOKUP($Q7591,매칭테이블!$F:$I,2,0)*K7591</f>
        <v/>
      </c>
      <c r="N7591" s="94">
        <f>M7591-M7591*VLOOKUP($Q7591,매칭테이블!$F:$I,3,0)</f>
        <v/>
      </c>
      <c r="O7591" s="94">
        <f>VLOOKUP($Q7591,매칭테이블!$F:$I,4,0)*K7591</f>
        <v/>
      </c>
      <c r="P7591" s="148">
        <f>M7591/1.1</f>
        <v/>
      </c>
      <c r="Q7591" s="94">
        <f>F7591&amp;E7591&amp;G7591&amp;L7591</f>
        <v/>
      </c>
    </row>
    <row r="7592" customFormat="1" s="94">
      <c r="B7592" s="128" t="n">
        <v>44023</v>
      </c>
      <c r="C7592" s="94">
        <f>TEXT(B7592,"aaa")</f>
        <v/>
      </c>
      <c r="E7592" s="94" t="inlineStr">
        <is>
          <t>클렌징폼</t>
        </is>
      </c>
      <c r="F7592" s="5" t="inlineStr">
        <is>
          <t>카페24</t>
        </is>
      </c>
      <c r="G7592" s="94" t="inlineStr">
        <is>
          <t>클렌징폼 120ml(선크림할인)</t>
        </is>
      </c>
      <c r="H7592" s="7" t="n">
        <v>190801</v>
      </c>
      <c r="I7592" s="7" t="n">
        <v>190801</v>
      </c>
      <c r="K7592" s="94" t="n">
        <v>1</v>
      </c>
      <c r="L7592" s="7" t="n">
        <v>190801</v>
      </c>
      <c r="M7592" s="94">
        <f>VLOOKUP($Q7592,매칭테이블!$F:$I,2,0)*K7592</f>
        <v/>
      </c>
      <c r="N7592" s="94">
        <f>M7592-M7592*VLOOKUP($Q7592,매칭테이블!$F:$I,3,0)</f>
        <v/>
      </c>
      <c r="O7592" s="94">
        <f>VLOOKUP($Q7592,매칭테이블!$F:$I,4,0)*K7592</f>
        <v/>
      </c>
      <c r="P7592" s="148">
        <f>M7592/1.1</f>
        <v/>
      </c>
      <c r="Q7592" s="94">
        <f>F7592&amp;E7592&amp;G7592&amp;L7592</f>
        <v/>
      </c>
    </row>
    <row r="7593" customFormat="1" s="94">
      <c r="B7593" s="128" t="n">
        <v>44023</v>
      </c>
      <c r="C7593" s="94">
        <f>TEXT(B7593,"aaa")</f>
        <v/>
      </c>
      <c r="E7593" s="94" t="inlineStr">
        <is>
          <t>여름 한정 진정세트</t>
        </is>
      </c>
      <c r="F7593" s="5" t="inlineStr">
        <is>
          <t>카페24</t>
        </is>
      </c>
      <c r="G7593" s="94" t="inlineStr">
        <is>
          <t>여름 한정 진정세트</t>
        </is>
      </c>
      <c r="H7593" s="7" t="n">
        <v>190801</v>
      </c>
      <c r="I7593" s="7" t="n">
        <v>190801</v>
      </c>
      <c r="K7593" s="94" t="n">
        <v>3</v>
      </c>
      <c r="L7593" s="7" t="n">
        <v>190801</v>
      </c>
      <c r="M7593" s="94">
        <f>VLOOKUP($Q7593,매칭테이블!$F:$I,2,0)*K7593</f>
        <v/>
      </c>
      <c r="N7593" s="94">
        <f>M7593-M7593*VLOOKUP($Q7593,매칭테이블!$F:$I,3,0)</f>
        <v/>
      </c>
      <c r="O7593" s="94">
        <f>VLOOKUP($Q7593,매칭테이블!$F:$I,4,0)*K7593</f>
        <v/>
      </c>
      <c r="P7593" s="148">
        <f>M7593/1.1</f>
        <v/>
      </c>
      <c r="Q7593" s="94">
        <f>F7593&amp;E7593&amp;G7593&amp;L7593</f>
        <v/>
      </c>
    </row>
    <row r="7594" customFormat="1" s="94">
      <c r="B7594" s="128" t="n">
        <v>44023</v>
      </c>
      <c r="C7594" s="94">
        <f>TEXT(B7594,"aaa")</f>
        <v/>
      </c>
      <c r="E7594" s="94" t="inlineStr">
        <is>
          <t>여름 한정 진정세트</t>
        </is>
      </c>
      <c r="F7594" s="5" t="inlineStr">
        <is>
          <t>카페24</t>
        </is>
      </c>
      <c r="G7594" s="94" t="inlineStr">
        <is>
          <t>여름 한정 진정세트 (대용량)</t>
        </is>
      </c>
      <c r="H7594" s="7" t="n">
        <v>190801</v>
      </c>
      <c r="I7594" s="7" t="n">
        <v>190801</v>
      </c>
      <c r="K7594" s="94" t="n">
        <v>5</v>
      </c>
      <c r="L7594" s="7" t="n">
        <v>190801</v>
      </c>
      <c r="M7594" s="94">
        <f>VLOOKUP($Q7594,매칭테이블!$F:$I,2,0)*K7594</f>
        <v/>
      </c>
      <c r="N7594" s="94">
        <f>M7594-M7594*VLOOKUP($Q7594,매칭테이블!$F:$I,3,0)</f>
        <v/>
      </c>
      <c r="O7594" s="94">
        <f>VLOOKUP($Q7594,매칭테이블!$F:$I,4,0)*K7594</f>
        <v/>
      </c>
      <c r="P7594" s="148">
        <f>M7594/1.1</f>
        <v/>
      </c>
      <c r="Q7594" s="94">
        <f>F7594&amp;E7594&amp;G7594&amp;L7594</f>
        <v/>
      </c>
    </row>
    <row r="7595" customFormat="1" s="94">
      <c r="B7595" s="128" t="n">
        <v>44023</v>
      </c>
      <c r="C7595" s="94">
        <f>TEXT(B7595,"aaa")</f>
        <v/>
      </c>
      <c r="E7595" s="94" t="inlineStr">
        <is>
          <t>어성초진정패키지</t>
        </is>
      </c>
      <c r="F7595" s="5" t="inlineStr">
        <is>
          <t>카페24</t>
        </is>
      </c>
      <c r="G7595" s="94" t="inlineStr">
        <is>
          <t>어성초 진정패키지세트</t>
        </is>
      </c>
      <c r="H7595" s="7" t="n">
        <v>190801</v>
      </c>
      <c r="I7595" s="7" t="n">
        <v>190801</v>
      </c>
      <c r="K7595" s="94" t="n">
        <v>4</v>
      </c>
      <c r="L7595" s="7" t="n">
        <v>190801</v>
      </c>
      <c r="M7595" s="94">
        <f>VLOOKUP($Q7595,매칭테이블!$F:$I,2,0)*K7595</f>
        <v/>
      </c>
      <c r="N7595" s="94">
        <f>M7595-M7595*VLOOKUP($Q7595,매칭테이블!$F:$I,3,0)</f>
        <v/>
      </c>
      <c r="O7595" s="94">
        <f>VLOOKUP($Q7595,매칭테이블!$F:$I,4,0)*K7595</f>
        <v/>
      </c>
      <c r="P7595" s="148">
        <f>M7595/1.1</f>
        <v/>
      </c>
      <c r="Q7595" s="94">
        <f>F7595&amp;E7595&amp;G7595&amp;L7595</f>
        <v/>
      </c>
    </row>
    <row r="7596" customFormat="1" s="94">
      <c r="B7596" s="128" t="n">
        <v>44023</v>
      </c>
      <c r="C7596" s="94">
        <f>TEXT(B7596,"aaa")</f>
        <v/>
      </c>
      <c r="E7596" s="94" t="inlineStr">
        <is>
          <t>머드크림마스크</t>
        </is>
      </c>
      <c r="F7596" s="5" t="inlineStr">
        <is>
          <t>카페24</t>
        </is>
      </c>
      <c r="G7596" s="94" t="inlineStr">
        <is>
          <t>머드크림마스크 100ml</t>
        </is>
      </c>
      <c r="H7596" s="7" t="n">
        <v>190801</v>
      </c>
      <c r="I7596" s="7" t="n">
        <v>190801</v>
      </c>
      <c r="K7596" s="94" t="n">
        <v>1</v>
      </c>
      <c r="L7596" s="7" t="n">
        <v>190801</v>
      </c>
      <c r="M7596" s="94">
        <f>VLOOKUP($Q7596,매칭테이블!$F:$I,2,0)*K7596</f>
        <v/>
      </c>
      <c r="N7596" s="94">
        <f>M7596-M7596*VLOOKUP($Q7596,매칭테이블!$F:$I,3,0)</f>
        <v/>
      </c>
      <c r="O7596" s="94">
        <f>VLOOKUP($Q7596,매칭테이블!$F:$I,4,0)*K7596</f>
        <v/>
      </c>
      <c r="P7596" s="148">
        <f>M7596/1.1</f>
        <v/>
      </c>
      <c r="Q7596" s="94">
        <f>F7596&amp;E7596&amp;G7596&amp;L7596</f>
        <v/>
      </c>
    </row>
    <row r="7597" customFormat="1" s="94">
      <c r="B7597" s="128" t="n">
        <v>44023</v>
      </c>
      <c r="C7597" s="94">
        <f>TEXT(B7597,"aaa")</f>
        <v/>
      </c>
      <c r="E7597" s="94" t="inlineStr">
        <is>
          <t>토너</t>
        </is>
      </c>
      <c r="F7597" s="5" t="inlineStr">
        <is>
          <t>카페24</t>
        </is>
      </c>
      <c r="G7597" s="94" t="inlineStr">
        <is>
          <t>250ml</t>
        </is>
      </c>
      <c r="H7597" s="7" t="n">
        <v>190801</v>
      </c>
      <c r="I7597" s="7" t="n">
        <v>190801</v>
      </c>
      <c r="K7597" s="94" t="n">
        <v>42</v>
      </c>
      <c r="L7597" s="7" t="n">
        <v>190801</v>
      </c>
      <c r="M7597" s="94">
        <f>VLOOKUP($Q7597,매칭테이블!$F:$I,2,0)*K7597</f>
        <v/>
      </c>
      <c r="N7597" s="94">
        <f>M7597-M7597*VLOOKUP($Q7597,매칭테이블!$F:$I,3,0)</f>
        <v/>
      </c>
      <c r="O7597" s="94">
        <f>VLOOKUP($Q7597,매칭테이블!$F:$I,4,0)*K7597</f>
        <v/>
      </c>
      <c r="P7597" s="148">
        <f>M7597/1.1</f>
        <v/>
      </c>
      <c r="Q7597" s="94">
        <f>F7597&amp;E7597&amp;G7597&amp;L7597</f>
        <v/>
      </c>
    </row>
    <row r="7598" customFormat="1" s="94">
      <c r="B7598" s="128" t="n">
        <v>44023</v>
      </c>
      <c r="C7598" s="94">
        <f>TEXT(B7598,"aaa")</f>
        <v/>
      </c>
      <c r="E7598" s="94" t="inlineStr">
        <is>
          <t>토너</t>
        </is>
      </c>
      <c r="F7598" s="5" t="inlineStr">
        <is>
          <t>카페24</t>
        </is>
      </c>
      <c r="G7598" s="94" t="inlineStr">
        <is>
          <t>250ml 2set</t>
        </is>
      </c>
      <c r="H7598" s="7" t="n">
        <v>190801</v>
      </c>
      <c r="I7598" s="7" t="n">
        <v>190801</v>
      </c>
      <c r="K7598" s="94" t="n">
        <v>28</v>
      </c>
      <c r="L7598" s="7" t="n">
        <v>190801</v>
      </c>
      <c r="M7598" s="94">
        <f>VLOOKUP($Q7598,매칭테이블!$F:$I,2,0)*K7598</f>
        <v/>
      </c>
      <c r="N7598" s="94">
        <f>M7598-M7598*VLOOKUP($Q7598,매칭테이블!$F:$I,3,0)</f>
        <v/>
      </c>
      <c r="O7598" s="94">
        <f>VLOOKUP($Q7598,매칭테이블!$F:$I,4,0)*K7598</f>
        <v/>
      </c>
      <c r="P7598" s="148">
        <f>M7598/1.1</f>
        <v/>
      </c>
      <c r="Q7598" s="94">
        <f>F7598&amp;E7598&amp;G7598&amp;L7598</f>
        <v/>
      </c>
    </row>
    <row r="7599" customFormat="1" s="94">
      <c r="B7599" s="128" t="n">
        <v>44023</v>
      </c>
      <c r="C7599" s="94">
        <f>TEXT(B7599,"aaa")</f>
        <v/>
      </c>
      <c r="E7599" s="94" t="inlineStr">
        <is>
          <t>토너</t>
        </is>
      </c>
      <c r="F7599" s="5" t="inlineStr">
        <is>
          <t>카페24</t>
        </is>
      </c>
      <c r="G7599" s="94" t="inlineStr">
        <is>
          <t>500ml</t>
        </is>
      </c>
      <c r="H7599" s="7" t="n">
        <v>190801</v>
      </c>
      <c r="I7599" s="7" t="n">
        <v>190801</v>
      </c>
      <c r="K7599" s="94" t="n">
        <v>48</v>
      </c>
      <c r="L7599" s="7" t="n">
        <v>190801</v>
      </c>
      <c r="M7599" s="94">
        <f>VLOOKUP($Q7599,매칭테이블!$F:$I,2,0)*K7599</f>
        <v/>
      </c>
      <c r="N7599" s="94">
        <f>M7599-M7599*VLOOKUP($Q7599,매칭테이블!$F:$I,3,0)</f>
        <v/>
      </c>
      <c r="O7599" s="94">
        <f>VLOOKUP($Q7599,매칭테이블!$F:$I,4,0)*K7599</f>
        <v/>
      </c>
      <c r="P7599" s="148">
        <f>M7599/1.1</f>
        <v/>
      </c>
      <c r="Q7599" s="94">
        <f>F7599&amp;E7599&amp;G7599&amp;L7599</f>
        <v/>
      </c>
    </row>
    <row r="7600" customFormat="1" s="94">
      <c r="B7600" s="128" t="n">
        <v>44023</v>
      </c>
      <c r="C7600" s="94">
        <f>TEXT(B7600,"aaa")</f>
        <v/>
      </c>
      <c r="E7600" s="94" t="inlineStr">
        <is>
          <t>토너</t>
        </is>
      </c>
      <c r="F7600" s="5" t="inlineStr">
        <is>
          <t>카페24</t>
        </is>
      </c>
      <c r="G7600" s="94" t="inlineStr">
        <is>
          <t>스킨팩 화장솜 60P</t>
        </is>
      </c>
      <c r="H7600" s="7" t="n">
        <v>190801</v>
      </c>
      <c r="I7600" s="7" t="n">
        <v>190801</v>
      </c>
      <c r="K7600" s="94" t="n">
        <v>38</v>
      </c>
      <c r="L7600" s="7" t="n">
        <v>190801</v>
      </c>
      <c r="M7600" s="94">
        <f>VLOOKUP($Q7600,매칭테이블!$F:$I,2,0)*K7600</f>
        <v/>
      </c>
      <c r="N7600" s="94">
        <f>M7600-M7600*VLOOKUP($Q7600,매칭테이블!$F:$I,3,0)</f>
        <v/>
      </c>
      <c r="O7600" s="94">
        <f>VLOOKUP($Q7600,매칭테이블!$F:$I,4,0)*K7600</f>
        <v/>
      </c>
      <c r="P7600" s="148">
        <f>M7600/1.1</f>
        <v/>
      </c>
      <c r="Q7600" s="94">
        <f>F7600&amp;E7600&amp;G7600&amp;L7600</f>
        <v/>
      </c>
    </row>
    <row r="7601" customFormat="1" s="94">
      <c r="B7601" s="128" t="n">
        <v>44023</v>
      </c>
      <c r="C7601" s="94">
        <f>TEXT(B7601,"aaa")</f>
        <v/>
      </c>
      <c r="E7601" s="94" t="inlineStr">
        <is>
          <t>앰플</t>
        </is>
      </c>
      <c r="F7601" s="5" t="inlineStr">
        <is>
          <t>카페24</t>
        </is>
      </c>
      <c r="G7601" s="94" t="inlineStr">
        <is>
          <t>앰플 30ml</t>
        </is>
      </c>
      <c r="H7601" s="7" t="n">
        <v>190801</v>
      </c>
      <c r="I7601" s="7" t="n">
        <v>190801</v>
      </c>
      <c r="K7601" s="94" t="n">
        <v>11</v>
      </c>
      <c r="L7601" s="7" t="n">
        <v>190801</v>
      </c>
      <c r="M7601" s="94">
        <f>VLOOKUP($Q7601,매칭테이블!$F:$I,2,0)*K7601</f>
        <v/>
      </c>
      <c r="N7601" s="94">
        <f>M7601-M7601*VLOOKUP($Q7601,매칭테이블!$F:$I,3,0)</f>
        <v/>
      </c>
      <c r="O7601" s="94">
        <f>VLOOKUP($Q7601,매칭테이블!$F:$I,4,0)*K7601</f>
        <v/>
      </c>
      <c r="P7601" s="148">
        <f>M7601/1.1</f>
        <v/>
      </c>
      <c r="Q7601" s="94">
        <f>F7601&amp;E7601&amp;G7601&amp;L7601</f>
        <v/>
      </c>
    </row>
    <row r="7602" customFormat="1" s="94">
      <c r="B7602" s="128" t="n">
        <v>44023</v>
      </c>
      <c r="C7602" s="94">
        <f>TEXT(B7602,"aaa")</f>
        <v/>
      </c>
      <c r="E7602" s="94" t="inlineStr">
        <is>
          <t>수딩크림</t>
        </is>
      </c>
      <c r="F7602" s="5" t="inlineStr">
        <is>
          <t>카페24</t>
        </is>
      </c>
      <c r="G7602" s="94" t="inlineStr">
        <is>
          <t>수딩크림 100ml</t>
        </is>
      </c>
      <c r="H7602" s="7" t="n">
        <v>190801</v>
      </c>
      <c r="I7602" s="7" t="n">
        <v>190801</v>
      </c>
      <c r="K7602" s="94" t="n">
        <v>8</v>
      </c>
      <c r="L7602" s="7" t="n">
        <v>190801</v>
      </c>
      <c r="M7602" s="94">
        <f>VLOOKUP($Q7602,매칭테이블!$F:$I,2,0)*K7602</f>
        <v/>
      </c>
      <c r="N7602" s="94">
        <f>M7602-M7602*VLOOKUP($Q7602,매칭테이블!$F:$I,3,0)</f>
        <v/>
      </c>
      <c r="O7602" s="94">
        <f>VLOOKUP($Q7602,매칭테이블!$F:$I,4,0)*K7602</f>
        <v/>
      </c>
      <c r="P7602" s="148">
        <f>M7602/1.1</f>
        <v/>
      </c>
      <c r="Q7602" s="94">
        <f>F7602&amp;E7602&amp;G7602&amp;L7602</f>
        <v/>
      </c>
    </row>
    <row r="7603" customFormat="1" s="94">
      <c r="B7603" s="128" t="n">
        <v>44023</v>
      </c>
      <c r="C7603" s="94">
        <f>TEXT(B7603,"aaa")</f>
        <v/>
      </c>
      <c r="E7603" s="94" t="inlineStr">
        <is>
          <t>클렌징폼</t>
        </is>
      </c>
      <c r="F7603" s="5" t="inlineStr">
        <is>
          <t>카페24</t>
        </is>
      </c>
      <c r="G7603" s="94" t="inlineStr">
        <is>
          <t>클렌징폼 120ml</t>
        </is>
      </c>
      <c r="H7603" s="7" t="n">
        <v>190801</v>
      </c>
      <c r="I7603" s="7" t="n">
        <v>190801</v>
      </c>
      <c r="K7603" s="94" t="n">
        <v>9</v>
      </c>
      <c r="L7603" s="7" t="n">
        <v>190801</v>
      </c>
      <c r="M7603" s="94">
        <f>VLOOKUP($Q7603,매칭테이블!$F:$I,2,0)*K7603</f>
        <v/>
      </c>
      <c r="N7603" s="94">
        <f>M7603-M7603*VLOOKUP($Q7603,매칭테이블!$F:$I,3,0)</f>
        <v/>
      </c>
      <c r="O7603" s="94">
        <f>VLOOKUP($Q7603,매칭테이블!$F:$I,4,0)*K7603</f>
        <v/>
      </c>
      <c r="P7603" s="148">
        <f>M7603/1.1</f>
        <v/>
      </c>
      <c r="Q7603" s="94">
        <f>F7603&amp;E7603&amp;G7603&amp;L7603</f>
        <v/>
      </c>
    </row>
    <row r="7604" customFormat="1" s="94">
      <c r="B7604" s="128" t="n">
        <v>44023</v>
      </c>
      <c r="C7604" s="94">
        <f>TEXT(B7604,"aaa")</f>
        <v/>
      </c>
      <c r="E7604" s="94" t="inlineStr">
        <is>
          <t>클렌징폼</t>
        </is>
      </c>
      <c r="F7604" s="5" t="inlineStr">
        <is>
          <t>카페24</t>
        </is>
      </c>
      <c r="G7604" s="94" t="inlineStr">
        <is>
          <t>클렌징폼 120ml 3set</t>
        </is>
      </c>
      <c r="H7604" s="7" t="n">
        <v>190801</v>
      </c>
      <c r="I7604" s="7" t="n">
        <v>190801</v>
      </c>
      <c r="K7604" s="94" t="n">
        <v>1</v>
      </c>
      <c r="L7604" s="7" t="n">
        <v>190801</v>
      </c>
      <c r="M7604" s="94">
        <f>VLOOKUP($Q7604,매칭테이블!$F:$I,2,0)*K7604</f>
        <v/>
      </c>
      <c r="N7604" s="94">
        <f>M7604-M7604*VLOOKUP($Q7604,매칭테이블!$F:$I,3,0)</f>
        <v/>
      </c>
      <c r="O7604" s="94">
        <f>VLOOKUP($Q7604,매칭테이블!$F:$I,4,0)*K7604</f>
        <v/>
      </c>
      <c r="P7604" s="148">
        <f>M7604/1.1</f>
        <v/>
      </c>
      <c r="Q7604" s="94">
        <f>F7604&amp;E7604&amp;G7604&amp;L7604</f>
        <v/>
      </c>
    </row>
    <row r="7605" customFormat="1" s="94">
      <c r="B7605" s="128" t="n">
        <v>44024</v>
      </c>
      <c r="C7605" s="94">
        <f>TEXT(B7605,"aaa")</f>
        <v/>
      </c>
      <c r="E7605" s="94" t="inlineStr">
        <is>
          <t>토너</t>
        </is>
      </c>
      <c r="F7605" s="5" t="inlineStr">
        <is>
          <t>스타일쉐어</t>
        </is>
      </c>
      <c r="G7605" s="94" t="inlineStr">
        <is>
          <t>250ml</t>
        </is>
      </c>
      <c r="H7605" s="7" t="n">
        <v>190801</v>
      </c>
      <c r="I7605" s="7" t="n">
        <v>190801</v>
      </c>
      <c r="K7605" s="94" t="n">
        <v>18</v>
      </c>
      <c r="L7605" s="7" t="n">
        <v>190801</v>
      </c>
      <c r="M7605" s="94">
        <f>VLOOKUP($Q7605,매칭테이블!$F:$I,2,0)*K7605</f>
        <v/>
      </c>
      <c r="N7605" s="94">
        <f>M7605-M7605*VLOOKUP($Q7605,매칭테이블!$F:$I,3,0)</f>
        <v/>
      </c>
      <c r="O7605" s="94">
        <f>VLOOKUP($Q7605,매칭테이블!$F:$I,4,0)*K7605</f>
        <v/>
      </c>
      <c r="P7605" s="148">
        <f>M7605/1.1</f>
        <v/>
      </c>
      <c r="Q7605" s="94">
        <f>F7605&amp;E7605&amp;G7605&amp;L7605</f>
        <v/>
      </c>
    </row>
    <row r="7606" customFormat="1" s="94">
      <c r="B7606" s="128" t="n">
        <v>44024</v>
      </c>
      <c r="C7606" s="94">
        <f>TEXT(B7606,"aaa")</f>
        <v/>
      </c>
      <c r="E7606" s="94" t="inlineStr">
        <is>
          <t>선크림</t>
        </is>
      </c>
      <c r="F7606" s="5" t="inlineStr">
        <is>
          <t>카페24</t>
        </is>
      </c>
      <c r="G7606" s="94" t="inlineStr">
        <is>
          <t>선크림 50ml</t>
        </is>
      </c>
      <c r="H7606" s="7" t="n">
        <v>190801</v>
      </c>
      <c r="I7606" s="7" t="n">
        <v>190801</v>
      </c>
      <c r="K7606" s="94" t="n">
        <v>4</v>
      </c>
      <c r="L7606" s="7" t="n">
        <v>190801</v>
      </c>
      <c r="M7606" s="94">
        <f>VLOOKUP($Q7606,매칭테이블!$F:$I,2,0)*K7606</f>
        <v/>
      </c>
      <c r="N7606" s="94">
        <f>M7606-M7606*VLOOKUP($Q7606,매칭테이블!$F:$I,3,0)</f>
        <v/>
      </c>
      <c r="O7606" s="94">
        <f>VLOOKUP($Q7606,매칭테이블!$F:$I,4,0)*K7606</f>
        <v/>
      </c>
      <c r="P7606" s="148">
        <f>M7606/1.1</f>
        <v/>
      </c>
      <c r="Q7606" s="94">
        <f>F7606&amp;E7606&amp;G7606&amp;L7606</f>
        <v/>
      </c>
    </row>
    <row r="7607" customFormat="1" s="94">
      <c r="B7607" s="128" t="n">
        <v>44024</v>
      </c>
      <c r="C7607" s="94">
        <f>TEXT(B7607,"aaa")</f>
        <v/>
      </c>
      <c r="E7607" s="94" t="inlineStr">
        <is>
          <t>선크림</t>
        </is>
      </c>
      <c r="F7607" s="5" t="inlineStr">
        <is>
          <t>카페24</t>
        </is>
      </c>
      <c r="G7607" s="94" t="inlineStr">
        <is>
          <t>선크림 50ml  2set</t>
        </is>
      </c>
      <c r="H7607" s="7" t="n">
        <v>190801</v>
      </c>
      <c r="I7607" s="7" t="n">
        <v>190801</v>
      </c>
      <c r="K7607" s="94" t="n">
        <v>4</v>
      </c>
      <c r="L7607" s="7" t="n">
        <v>190801</v>
      </c>
      <c r="M7607" s="94">
        <f>VLOOKUP($Q7607,매칭테이블!$F:$I,2,0)*K7607</f>
        <v/>
      </c>
      <c r="N7607" s="94">
        <f>M7607-M7607*VLOOKUP($Q7607,매칭테이블!$F:$I,3,0)</f>
        <v/>
      </c>
      <c r="O7607" s="94">
        <f>VLOOKUP($Q7607,매칭테이블!$F:$I,4,0)*K7607</f>
        <v/>
      </c>
      <c r="P7607" s="148">
        <f>M7607/1.1</f>
        <v/>
      </c>
      <c r="Q7607" s="94">
        <f>F7607&amp;E7607&amp;G7607&amp;L7607</f>
        <v/>
      </c>
    </row>
    <row r="7608" customFormat="1" s="94">
      <c r="B7608" s="128" t="n">
        <v>44024</v>
      </c>
      <c r="C7608" s="94">
        <f>TEXT(B7608,"aaa")</f>
        <v/>
      </c>
      <c r="E7608" s="94" t="inlineStr">
        <is>
          <t>클렌징폼</t>
        </is>
      </c>
      <c r="F7608" s="5" t="inlineStr">
        <is>
          <t>카페24</t>
        </is>
      </c>
      <c r="G7608" s="94" t="inlineStr">
        <is>
          <t>클렌징폼 120ml(선크림할인)</t>
        </is>
      </c>
      <c r="H7608" s="7" t="n">
        <v>190801</v>
      </c>
      <c r="I7608" s="7" t="n">
        <v>190801</v>
      </c>
      <c r="K7608" s="94" t="n">
        <v>3</v>
      </c>
      <c r="L7608" s="7" t="n">
        <v>190801</v>
      </c>
      <c r="M7608" s="94">
        <f>VLOOKUP($Q7608,매칭테이블!$F:$I,2,0)*K7608</f>
        <v/>
      </c>
      <c r="N7608" s="94">
        <f>M7608-M7608*VLOOKUP($Q7608,매칭테이블!$F:$I,3,0)</f>
        <v/>
      </c>
      <c r="O7608" s="94">
        <f>VLOOKUP($Q7608,매칭테이블!$F:$I,4,0)*K7608</f>
        <v/>
      </c>
      <c r="P7608" s="148">
        <f>M7608/1.1</f>
        <v/>
      </c>
      <c r="Q7608" s="94">
        <f>F7608&amp;E7608&amp;G7608&amp;L7608</f>
        <v/>
      </c>
    </row>
    <row r="7609" customFormat="1" s="94">
      <c r="B7609" s="128" t="n">
        <v>44024</v>
      </c>
      <c r="C7609" s="94">
        <f>TEXT(B7609,"aaa")</f>
        <v/>
      </c>
      <c r="E7609" s="94" t="inlineStr">
        <is>
          <t>여름 한정 진정세트</t>
        </is>
      </c>
      <c r="F7609" s="5" t="inlineStr">
        <is>
          <t>카페24</t>
        </is>
      </c>
      <c r="G7609" s="94" t="inlineStr">
        <is>
          <t>여름 한정 진정세트</t>
        </is>
      </c>
      <c r="H7609" s="7" t="n">
        <v>190801</v>
      </c>
      <c r="I7609" s="7" t="n">
        <v>190801</v>
      </c>
      <c r="K7609" s="94" t="n">
        <v>2</v>
      </c>
      <c r="L7609" s="7" t="n">
        <v>190801</v>
      </c>
      <c r="M7609" s="94">
        <f>VLOOKUP($Q7609,매칭테이블!$F:$I,2,0)*K7609</f>
        <v/>
      </c>
      <c r="N7609" s="94">
        <f>M7609-M7609*VLOOKUP($Q7609,매칭테이블!$F:$I,3,0)</f>
        <v/>
      </c>
      <c r="O7609" s="94">
        <f>VLOOKUP($Q7609,매칭테이블!$F:$I,4,0)*K7609</f>
        <v/>
      </c>
      <c r="P7609" s="148">
        <f>M7609/1.1</f>
        <v/>
      </c>
      <c r="Q7609" s="94">
        <f>F7609&amp;E7609&amp;G7609&amp;L7609</f>
        <v/>
      </c>
    </row>
    <row r="7610" customFormat="1" s="94">
      <c r="B7610" s="128" t="n">
        <v>44024</v>
      </c>
      <c r="C7610" s="94">
        <f>TEXT(B7610,"aaa")</f>
        <v/>
      </c>
      <c r="E7610" s="94" t="inlineStr">
        <is>
          <t>여름 한정 진정세트</t>
        </is>
      </c>
      <c r="F7610" s="5" t="inlineStr">
        <is>
          <t>카페24</t>
        </is>
      </c>
      <c r="G7610" s="94" t="inlineStr">
        <is>
          <t>여름 한정 진정세트 (대용량)</t>
        </is>
      </c>
      <c r="H7610" s="7" t="n">
        <v>190801</v>
      </c>
      <c r="I7610" s="7" t="n">
        <v>190801</v>
      </c>
      <c r="K7610" s="94" t="n">
        <v>4</v>
      </c>
      <c r="L7610" s="7" t="n">
        <v>190801</v>
      </c>
      <c r="M7610" s="94">
        <f>VLOOKUP($Q7610,매칭테이블!$F:$I,2,0)*K7610</f>
        <v/>
      </c>
      <c r="N7610" s="94">
        <f>M7610-M7610*VLOOKUP($Q7610,매칭테이블!$F:$I,3,0)</f>
        <v/>
      </c>
      <c r="O7610" s="94">
        <f>VLOOKUP($Q7610,매칭테이블!$F:$I,4,0)*K7610</f>
        <v/>
      </c>
      <c r="P7610" s="148">
        <f>M7610/1.1</f>
        <v/>
      </c>
      <c r="Q7610" s="94">
        <f>F7610&amp;E7610&amp;G7610&amp;L7610</f>
        <v/>
      </c>
    </row>
    <row r="7611" customFormat="1" s="94">
      <c r="B7611" s="128" t="n">
        <v>44024</v>
      </c>
      <c r="C7611" s="94">
        <f>TEXT(B7611,"aaa")</f>
        <v/>
      </c>
      <c r="E7611" s="94" t="inlineStr">
        <is>
          <t>어성초진정패키지</t>
        </is>
      </c>
      <c r="F7611" s="5" t="inlineStr">
        <is>
          <t>카페24</t>
        </is>
      </c>
      <c r="G7611" s="94" t="inlineStr">
        <is>
          <t>어성초 진정패키지세트</t>
        </is>
      </c>
      <c r="H7611" s="7" t="n">
        <v>190801</v>
      </c>
      <c r="I7611" s="7" t="n">
        <v>190801</v>
      </c>
      <c r="K7611" s="94" t="n">
        <v>9</v>
      </c>
      <c r="L7611" s="7" t="n">
        <v>190801</v>
      </c>
      <c r="M7611" s="94">
        <f>VLOOKUP($Q7611,매칭테이블!$F:$I,2,0)*K7611</f>
        <v/>
      </c>
      <c r="N7611" s="94">
        <f>M7611-M7611*VLOOKUP($Q7611,매칭테이블!$F:$I,3,0)</f>
        <v/>
      </c>
      <c r="O7611" s="94">
        <f>VLOOKUP($Q7611,매칭테이블!$F:$I,4,0)*K7611</f>
        <v/>
      </c>
      <c r="P7611" s="148">
        <f>M7611/1.1</f>
        <v/>
      </c>
      <c r="Q7611" s="94">
        <f>F7611&amp;E7611&amp;G7611&amp;L7611</f>
        <v/>
      </c>
    </row>
    <row r="7612" customFormat="1" s="94">
      <c r="B7612" s="128" t="n">
        <v>44024</v>
      </c>
      <c r="C7612" s="94">
        <f>TEXT(B7612,"aaa")</f>
        <v/>
      </c>
      <c r="E7612" s="94" t="inlineStr">
        <is>
          <t>머드크림마스크</t>
        </is>
      </c>
      <c r="F7612" s="5" t="inlineStr">
        <is>
          <t>카페24</t>
        </is>
      </c>
      <c r="G7612" s="94" t="inlineStr">
        <is>
          <t>머드크림마스크 100ml</t>
        </is>
      </c>
      <c r="H7612" s="7" t="n">
        <v>190801</v>
      </c>
      <c r="I7612" s="7" t="n">
        <v>190801</v>
      </c>
      <c r="K7612" s="94" t="n">
        <v>1</v>
      </c>
      <c r="L7612" s="7" t="n">
        <v>190801</v>
      </c>
      <c r="M7612" s="94">
        <f>VLOOKUP($Q7612,매칭테이블!$F:$I,2,0)*K7612</f>
        <v/>
      </c>
      <c r="N7612" s="94">
        <f>M7612-M7612*VLOOKUP($Q7612,매칭테이블!$F:$I,3,0)</f>
        <v/>
      </c>
      <c r="O7612" s="94">
        <f>VLOOKUP($Q7612,매칭테이블!$F:$I,4,0)*K7612</f>
        <v/>
      </c>
      <c r="P7612" s="148">
        <f>M7612/1.1</f>
        <v/>
      </c>
      <c r="Q7612" s="94">
        <f>F7612&amp;E7612&amp;G7612&amp;L7612</f>
        <v/>
      </c>
    </row>
    <row r="7613" customFormat="1" s="94">
      <c r="B7613" s="128" t="n">
        <v>44024</v>
      </c>
      <c r="C7613" s="94">
        <f>TEXT(B7613,"aaa")</f>
        <v/>
      </c>
      <c r="E7613" s="94" t="inlineStr">
        <is>
          <t>머드크림마스크</t>
        </is>
      </c>
      <c r="F7613" s="5" t="inlineStr">
        <is>
          <t>카페24</t>
        </is>
      </c>
      <c r="G7613" s="94" t="inlineStr">
        <is>
          <t>머드크림마스크 100ml 2set</t>
        </is>
      </c>
      <c r="H7613" s="7" t="n">
        <v>190801</v>
      </c>
      <c r="I7613" s="7" t="n">
        <v>190801</v>
      </c>
      <c r="K7613" s="94" t="n">
        <v>1</v>
      </c>
      <c r="L7613" s="7" t="n">
        <v>190801</v>
      </c>
      <c r="M7613" s="94">
        <f>VLOOKUP($Q7613,매칭테이블!$F:$I,2,0)*K7613</f>
        <v/>
      </c>
      <c r="N7613" s="94">
        <f>M7613-M7613*VLOOKUP($Q7613,매칭테이블!$F:$I,3,0)</f>
        <v/>
      </c>
      <c r="O7613" s="94">
        <f>VLOOKUP($Q7613,매칭테이블!$F:$I,4,0)*K7613</f>
        <v/>
      </c>
      <c r="P7613" s="148">
        <f>M7613/1.1</f>
        <v/>
      </c>
      <c r="Q7613" s="94">
        <f>F7613&amp;E7613&amp;G7613&amp;L7613</f>
        <v/>
      </c>
    </row>
    <row r="7614" customFormat="1" s="94">
      <c r="B7614" s="128" t="n">
        <v>44024</v>
      </c>
      <c r="C7614" s="94">
        <f>TEXT(B7614,"aaa")</f>
        <v/>
      </c>
      <c r="E7614" s="94" t="inlineStr">
        <is>
          <t>토너</t>
        </is>
      </c>
      <c r="F7614" s="5" t="inlineStr">
        <is>
          <t>카페24</t>
        </is>
      </c>
      <c r="G7614" s="94" t="inlineStr">
        <is>
          <t>250ml</t>
        </is>
      </c>
      <c r="H7614" s="7" t="n">
        <v>190801</v>
      </c>
      <c r="I7614" s="7" t="n">
        <v>190801</v>
      </c>
      <c r="K7614" s="94" t="n">
        <v>84</v>
      </c>
      <c r="L7614" s="7" t="n">
        <v>190801</v>
      </c>
      <c r="M7614" s="94">
        <f>VLOOKUP($Q7614,매칭테이블!$F:$I,2,0)*K7614</f>
        <v/>
      </c>
      <c r="N7614" s="94">
        <f>M7614-M7614*VLOOKUP($Q7614,매칭테이블!$F:$I,3,0)</f>
        <v/>
      </c>
      <c r="O7614" s="94">
        <f>VLOOKUP($Q7614,매칭테이블!$F:$I,4,0)*K7614</f>
        <v/>
      </c>
      <c r="P7614" s="148">
        <f>M7614/1.1</f>
        <v/>
      </c>
      <c r="Q7614" s="94">
        <f>F7614&amp;E7614&amp;G7614&amp;L7614</f>
        <v/>
      </c>
    </row>
    <row r="7615" customFormat="1" s="94">
      <c r="B7615" s="128" t="n">
        <v>44024</v>
      </c>
      <c r="C7615" s="94">
        <f>TEXT(B7615,"aaa")</f>
        <v/>
      </c>
      <c r="E7615" s="94" t="inlineStr">
        <is>
          <t>토너</t>
        </is>
      </c>
      <c r="F7615" s="5" t="inlineStr">
        <is>
          <t>카페24</t>
        </is>
      </c>
      <c r="G7615" s="94" t="inlineStr">
        <is>
          <t>250ml 2set</t>
        </is>
      </c>
      <c r="H7615" s="7" t="n">
        <v>190801</v>
      </c>
      <c r="I7615" s="7" t="n">
        <v>190801</v>
      </c>
      <c r="K7615" s="94" t="n">
        <v>57</v>
      </c>
      <c r="L7615" s="7" t="n">
        <v>190801</v>
      </c>
      <c r="M7615" s="94">
        <f>VLOOKUP($Q7615,매칭테이블!$F:$I,2,0)*K7615</f>
        <v/>
      </c>
      <c r="N7615" s="94">
        <f>M7615-M7615*VLOOKUP($Q7615,매칭테이블!$F:$I,3,0)</f>
        <v/>
      </c>
      <c r="O7615" s="94">
        <f>VLOOKUP($Q7615,매칭테이블!$F:$I,4,0)*K7615</f>
        <v/>
      </c>
      <c r="P7615" s="148">
        <f>M7615/1.1</f>
        <v/>
      </c>
      <c r="Q7615" s="94">
        <f>F7615&amp;E7615&amp;G7615&amp;L7615</f>
        <v/>
      </c>
    </row>
    <row r="7616" customFormat="1" s="94">
      <c r="B7616" s="128" t="n">
        <v>44024</v>
      </c>
      <c r="C7616" s="94">
        <f>TEXT(B7616,"aaa")</f>
        <v/>
      </c>
      <c r="E7616" s="94" t="inlineStr">
        <is>
          <t>토너</t>
        </is>
      </c>
      <c r="F7616" s="5" t="inlineStr">
        <is>
          <t>카페24</t>
        </is>
      </c>
      <c r="G7616" s="94" t="inlineStr">
        <is>
          <t>500ml</t>
        </is>
      </c>
      <c r="H7616" s="7" t="n">
        <v>190801</v>
      </c>
      <c r="I7616" s="7" t="n">
        <v>190801</v>
      </c>
      <c r="K7616" s="94" t="n">
        <v>64</v>
      </c>
      <c r="L7616" s="7" t="n">
        <v>190801</v>
      </c>
      <c r="M7616" s="94">
        <f>VLOOKUP($Q7616,매칭테이블!$F:$I,2,0)*K7616</f>
        <v/>
      </c>
      <c r="N7616" s="94">
        <f>M7616-M7616*VLOOKUP($Q7616,매칭테이블!$F:$I,3,0)</f>
        <v/>
      </c>
      <c r="O7616" s="94">
        <f>VLOOKUP($Q7616,매칭테이블!$F:$I,4,0)*K7616</f>
        <v/>
      </c>
      <c r="P7616" s="148">
        <f>M7616/1.1</f>
        <v/>
      </c>
      <c r="Q7616" s="94">
        <f>F7616&amp;E7616&amp;G7616&amp;L7616</f>
        <v/>
      </c>
    </row>
    <row r="7617" customFormat="1" s="94">
      <c r="B7617" s="128" t="n">
        <v>44024</v>
      </c>
      <c r="C7617" s="94">
        <f>TEXT(B7617,"aaa")</f>
        <v/>
      </c>
      <c r="E7617" s="94" t="inlineStr">
        <is>
          <t>토너</t>
        </is>
      </c>
      <c r="F7617" s="5" t="inlineStr">
        <is>
          <t>카페24</t>
        </is>
      </c>
      <c r="G7617" s="94" t="inlineStr">
        <is>
          <t>스킨팩 화장솜 60P</t>
        </is>
      </c>
      <c r="H7617" s="7" t="n">
        <v>190801</v>
      </c>
      <c r="I7617" s="7" t="n">
        <v>190801</v>
      </c>
      <c r="K7617" s="94" t="n">
        <v>109</v>
      </c>
      <c r="L7617" s="7" t="n">
        <v>190801</v>
      </c>
      <c r="M7617" s="94">
        <f>VLOOKUP($Q7617,매칭테이블!$F:$I,2,0)*K7617</f>
        <v/>
      </c>
      <c r="N7617" s="94">
        <f>M7617-M7617*VLOOKUP($Q7617,매칭테이블!$F:$I,3,0)</f>
        <v/>
      </c>
      <c r="O7617" s="94">
        <f>VLOOKUP($Q7617,매칭테이블!$F:$I,4,0)*K7617</f>
        <v/>
      </c>
      <c r="P7617" s="148">
        <f>M7617/1.1</f>
        <v/>
      </c>
      <c r="Q7617" s="94">
        <f>F7617&amp;E7617&amp;G7617&amp;L7617</f>
        <v/>
      </c>
    </row>
    <row r="7618" customFormat="1" s="94">
      <c r="B7618" s="128" t="n">
        <v>44024</v>
      </c>
      <c r="C7618" s="94">
        <f>TEXT(B7618,"aaa")</f>
        <v/>
      </c>
      <c r="E7618" s="94" t="inlineStr">
        <is>
          <t>앰플</t>
        </is>
      </c>
      <c r="F7618" s="5" t="inlineStr">
        <is>
          <t>카페24</t>
        </is>
      </c>
      <c r="G7618" s="94" t="inlineStr">
        <is>
          <t>앰플 30ml</t>
        </is>
      </c>
      <c r="H7618" s="7" t="n">
        <v>190801</v>
      </c>
      <c r="I7618" s="7" t="n">
        <v>190801</v>
      </c>
      <c r="K7618" s="94" t="n">
        <v>18</v>
      </c>
      <c r="L7618" s="7" t="n">
        <v>190801</v>
      </c>
      <c r="M7618" s="94">
        <f>VLOOKUP($Q7618,매칭테이블!$F:$I,2,0)*K7618</f>
        <v/>
      </c>
      <c r="N7618" s="94">
        <f>M7618-M7618*VLOOKUP($Q7618,매칭테이블!$F:$I,3,0)</f>
        <v/>
      </c>
      <c r="O7618" s="94">
        <f>VLOOKUP($Q7618,매칭테이블!$F:$I,4,0)*K7618</f>
        <v/>
      </c>
      <c r="P7618" s="148">
        <f>M7618/1.1</f>
        <v/>
      </c>
      <c r="Q7618" s="94">
        <f>F7618&amp;E7618&amp;G7618&amp;L7618</f>
        <v/>
      </c>
    </row>
    <row r="7619" customFormat="1" s="94">
      <c r="B7619" s="128" t="n">
        <v>44024</v>
      </c>
      <c r="C7619" s="94">
        <f>TEXT(B7619,"aaa")</f>
        <v/>
      </c>
      <c r="E7619" s="94" t="inlineStr">
        <is>
          <t>수딩크림</t>
        </is>
      </c>
      <c r="F7619" s="5" t="inlineStr">
        <is>
          <t>카페24</t>
        </is>
      </c>
      <c r="G7619" s="94" t="inlineStr">
        <is>
          <t>수딩크림 100ml</t>
        </is>
      </c>
      <c r="H7619" s="7" t="n">
        <v>190801</v>
      </c>
      <c r="I7619" s="7" t="n">
        <v>190801</v>
      </c>
      <c r="K7619" s="94" t="n">
        <v>4</v>
      </c>
      <c r="L7619" s="7" t="n">
        <v>190801</v>
      </c>
      <c r="M7619" s="94">
        <f>VLOOKUP($Q7619,매칭테이블!$F:$I,2,0)*K7619</f>
        <v/>
      </c>
      <c r="N7619" s="94">
        <f>M7619-M7619*VLOOKUP($Q7619,매칭테이블!$F:$I,3,0)</f>
        <v/>
      </c>
      <c r="O7619" s="94">
        <f>VLOOKUP($Q7619,매칭테이블!$F:$I,4,0)*K7619</f>
        <v/>
      </c>
      <c r="P7619" s="148">
        <f>M7619/1.1</f>
        <v/>
      </c>
      <c r="Q7619" s="94">
        <f>F7619&amp;E7619&amp;G7619&amp;L7619</f>
        <v/>
      </c>
    </row>
    <row r="7620" customFormat="1" s="94">
      <c r="B7620" s="128" t="n">
        <v>44024</v>
      </c>
      <c r="C7620" s="94">
        <f>TEXT(B7620,"aaa")</f>
        <v/>
      </c>
      <c r="E7620" s="94" t="inlineStr">
        <is>
          <t>클렌징폼</t>
        </is>
      </c>
      <c r="F7620" s="5" t="inlineStr">
        <is>
          <t>카페24</t>
        </is>
      </c>
      <c r="G7620" s="94" t="inlineStr">
        <is>
          <t>클렌징폼 120ml</t>
        </is>
      </c>
      <c r="H7620" s="7" t="n">
        <v>190801</v>
      </c>
      <c r="I7620" s="7" t="n">
        <v>190801</v>
      </c>
      <c r="K7620" s="94" t="n">
        <v>13</v>
      </c>
      <c r="L7620" s="7" t="n">
        <v>190801</v>
      </c>
      <c r="M7620" s="94">
        <f>VLOOKUP($Q7620,매칭테이블!$F:$I,2,0)*K7620</f>
        <v/>
      </c>
      <c r="N7620" s="94">
        <f>M7620-M7620*VLOOKUP($Q7620,매칭테이블!$F:$I,3,0)</f>
        <v/>
      </c>
      <c r="O7620" s="94">
        <f>VLOOKUP($Q7620,매칭테이블!$F:$I,4,0)*K7620</f>
        <v/>
      </c>
      <c r="P7620" s="148">
        <f>M7620/1.1</f>
        <v/>
      </c>
      <c r="Q7620" s="94">
        <f>F7620&amp;E7620&amp;G7620&amp;L7620</f>
        <v/>
      </c>
    </row>
    <row r="7621" customFormat="1" s="94">
      <c r="B7621" s="128" t="n">
        <v>44024</v>
      </c>
      <c r="C7621" s="94">
        <f>TEXT(B7621,"aaa")</f>
        <v/>
      </c>
      <c r="E7621" s="94" t="inlineStr">
        <is>
          <t>클렌징폼</t>
        </is>
      </c>
      <c r="F7621" s="5" t="inlineStr">
        <is>
          <t>카페24</t>
        </is>
      </c>
      <c r="G7621" s="94" t="inlineStr">
        <is>
          <t>클렌징폼 120ml 2set</t>
        </is>
      </c>
      <c r="H7621" s="7" t="n">
        <v>190801</v>
      </c>
      <c r="I7621" s="7" t="n">
        <v>190801</v>
      </c>
      <c r="K7621" s="94" t="n">
        <v>2</v>
      </c>
      <c r="L7621" s="7" t="n">
        <v>190801</v>
      </c>
      <c r="M7621" s="94">
        <f>VLOOKUP($Q7621,매칭테이블!$F:$I,2,0)*K7621</f>
        <v/>
      </c>
      <c r="N7621" s="94">
        <f>M7621-M7621*VLOOKUP($Q7621,매칭테이블!$F:$I,3,0)</f>
        <v/>
      </c>
      <c r="O7621" s="94">
        <f>VLOOKUP($Q7621,매칭테이블!$F:$I,4,0)*K7621</f>
        <v/>
      </c>
      <c r="P7621" s="148">
        <f>M7621/1.1</f>
        <v/>
      </c>
      <c r="Q7621" s="94">
        <f>F7621&amp;E7621&amp;G7621&amp;L7621</f>
        <v/>
      </c>
    </row>
    <row r="7622" customFormat="1" s="94">
      <c r="B7622" s="128" t="n">
        <v>44024</v>
      </c>
      <c r="C7622" s="94">
        <f>TEXT(B7622,"aaa")</f>
        <v/>
      </c>
      <c r="E7622" s="94" t="inlineStr">
        <is>
          <t>클렌징폼</t>
        </is>
      </c>
      <c r="F7622" s="5" t="inlineStr">
        <is>
          <t>카페24</t>
        </is>
      </c>
      <c r="G7622" s="94" t="inlineStr">
        <is>
          <t>클렌징폼 120ml 3set</t>
        </is>
      </c>
      <c r="H7622" s="7" t="n">
        <v>190801</v>
      </c>
      <c r="I7622" s="7" t="n">
        <v>190801</v>
      </c>
      <c r="K7622" s="94" t="n">
        <v>1</v>
      </c>
      <c r="L7622" s="7" t="n">
        <v>190801</v>
      </c>
      <c r="M7622" s="94">
        <f>VLOOKUP($Q7622,매칭테이블!$F:$I,2,0)*K7622</f>
        <v/>
      </c>
      <c r="N7622" s="94">
        <f>M7622-M7622*VLOOKUP($Q7622,매칭테이블!$F:$I,3,0)</f>
        <v/>
      </c>
      <c r="O7622" s="94">
        <f>VLOOKUP($Q7622,매칭테이블!$F:$I,4,0)*K7622</f>
        <v/>
      </c>
      <c r="P7622" s="148">
        <f>M7622/1.1</f>
        <v/>
      </c>
      <c r="Q7622" s="94">
        <f>F7622&amp;E7622&amp;G7622&amp;L7622</f>
        <v/>
      </c>
    </row>
    <row r="7623" customFormat="1" s="94">
      <c r="B7623" s="128" t="n">
        <v>44024</v>
      </c>
      <c r="C7623" s="94">
        <f>TEXT(B7623,"aaa")</f>
        <v/>
      </c>
      <c r="E7623" s="94" t="inlineStr">
        <is>
          <t>토너</t>
        </is>
      </c>
      <c r="F7623" s="5" t="inlineStr">
        <is>
          <t>랄라블라</t>
        </is>
      </c>
      <c r="G7623" s="94" t="inlineStr">
        <is>
          <t>250ml</t>
        </is>
      </c>
      <c r="H7623" s="7" t="n">
        <v>190801</v>
      </c>
      <c r="I7623" s="7" t="n">
        <v>190801</v>
      </c>
      <c r="K7623" s="94" t="n">
        <v>552</v>
      </c>
      <c r="L7623" s="7" t="n">
        <v>190801</v>
      </c>
      <c r="M7623" s="94">
        <f>VLOOKUP($Q7623,매칭테이블!$F:$I,2,0)*K7623</f>
        <v/>
      </c>
      <c r="N7623" s="94">
        <f>M7623-M7623*VLOOKUP($Q7623,매칭테이블!$F:$I,3,0)</f>
        <v/>
      </c>
      <c r="O7623" s="94">
        <f>VLOOKUP($Q7623,매칭테이블!$F:$I,4,0)*K7623</f>
        <v/>
      </c>
      <c r="P7623" s="148">
        <f>M7623/1.1</f>
        <v/>
      </c>
      <c r="Q7623" s="94">
        <f>F7623&amp;E7623&amp;G7623&amp;L7623</f>
        <v/>
      </c>
    </row>
    <row r="7624" customFormat="1" s="94">
      <c r="B7624" s="128" t="n">
        <v>44024</v>
      </c>
      <c r="C7624" s="94">
        <f>TEXT(B7624,"aaa")</f>
        <v/>
      </c>
      <c r="E7624" s="94" t="inlineStr">
        <is>
          <t>토너</t>
        </is>
      </c>
      <c r="F7624" s="5" t="inlineStr">
        <is>
          <t>랄라블라</t>
        </is>
      </c>
      <c r="G7624" s="94" t="inlineStr">
        <is>
          <t>500ml</t>
        </is>
      </c>
      <c r="H7624" s="7" t="n">
        <v>190801</v>
      </c>
      <c r="I7624" s="7" t="n">
        <v>190801</v>
      </c>
      <c r="K7624" s="94" t="n">
        <v>7</v>
      </c>
      <c r="L7624" s="7" t="n">
        <v>190801</v>
      </c>
      <c r="M7624" s="94">
        <f>VLOOKUP($Q7624,매칭테이블!$F:$I,2,0)*K7624</f>
        <v/>
      </c>
      <c r="N7624" s="94">
        <f>M7624-M7624*VLOOKUP($Q7624,매칭테이블!$F:$I,3,0)</f>
        <v/>
      </c>
      <c r="O7624" s="94">
        <f>VLOOKUP($Q7624,매칭테이블!$F:$I,4,0)*K7624</f>
        <v/>
      </c>
      <c r="P7624" s="148">
        <f>M7624/1.1</f>
        <v/>
      </c>
      <c r="Q7624" s="94">
        <f>F7624&amp;E7624&amp;G7624&amp;L7624</f>
        <v/>
      </c>
    </row>
    <row r="7625" customFormat="1" s="94">
      <c r="B7625" s="128" t="n">
        <v>44024</v>
      </c>
      <c r="C7625" s="94">
        <f>TEXT(B7625,"aaa")</f>
        <v/>
      </c>
      <c r="E7625" s="94" t="inlineStr">
        <is>
          <t>마스크팩</t>
        </is>
      </c>
      <c r="F7625" s="5" t="inlineStr">
        <is>
          <t>랄라블라</t>
        </is>
      </c>
      <c r="G7625" s="94" t="inlineStr">
        <is>
          <t>마스크팩 1매</t>
        </is>
      </c>
      <c r="H7625" s="7" t="n">
        <v>190801</v>
      </c>
      <c r="I7625" s="7" t="n">
        <v>190801</v>
      </c>
      <c r="K7625" s="94" t="n">
        <v>509</v>
      </c>
      <c r="L7625" s="7" t="n">
        <v>190801</v>
      </c>
      <c r="M7625" s="94">
        <f>VLOOKUP($Q7625,매칭테이블!$F:$I,2,0)*K7625</f>
        <v/>
      </c>
      <c r="N7625" s="94">
        <f>M7625-M7625*VLOOKUP($Q7625,매칭테이블!$F:$I,3,0)</f>
        <v/>
      </c>
      <c r="O7625" s="94">
        <f>VLOOKUP($Q7625,매칭테이블!$F:$I,4,0)*K7625</f>
        <v/>
      </c>
      <c r="P7625" s="148">
        <f>M7625/1.1</f>
        <v/>
      </c>
      <c r="Q7625" s="94">
        <f>F7625&amp;E7625&amp;G7625&amp;L7625</f>
        <v/>
      </c>
    </row>
    <row r="7626" customFormat="1" s="94">
      <c r="B7626" s="128" t="n">
        <v>44024</v>
      </c>
      <c r="C7626" s="94">
        <f>TEXT(B7626,"aaa")</f>
        <v/>
      </c>
      <c r="E7626" s="94" t="inlineStr">
        <is>
          <t>수딩크림 증정기획</t>
        </is>
      </c>
      <c r="F7626" s="5" t="inlineStr">
        <is>
          <t>랄라블라</t>
        </is>
      </c>
      <c r="G7626" s="94" t="inlineStr">
        <is>
          <t>수딩크림 증정기획</t>
        </is>
      </c>
      <c r="H7626" s="7" t="n">
        <v>190801</v>
      </c>
      <c r="I7626" s="7" t="n">
        <v>190801</v>
      </c>
      <c r="K7626" s="94" t="n">
        <v>55</v>
      </c>
      <c r="L7626" s="7" t="n">
        <v>190801</v>
      </c>
      <c r="M7626" s="94">
        <f>VLOOKUP($Q7626,매칭테이블!$F:$I,2,0)*K7626</f>
        <v/>
      </c>
      <c r="N7626" s="94">
        <f>M7626-M7626*VLOOKUP($Q7626,매칭테이블!$F:$I,3,0)</f>
        <v/>
      </c>
      <c r="O7626" s="94">
        <f>VLOOKUP($Q7626,매칭테이블!$F:$I,4,0)*K7626</f>
        <v/>
      </c>
      <c r="P7626" s="148">
        <f>M7626/1.1</f>
        <v/>
      </c>
      <c r="Q7626" s="94">
        <f>F7626&amp;E7626&amp;G7626&amp;L7626</f>
        <v/>
      </c>
    </row>
    <row r="7627" customFormat="1" s="94">
      <c r="B7627" s="128" t="n">
        <v>44024</v>
      </c>
      <c r="C7627" s="94">
        <f>TEXT(B7627,"aaa")</f>
        <v/>
      </c>
      <c r="E7627" s="94" t="inlineStr">
        <is>
          <t>수딩크림</t>
        </is>
      </c>
      <c r="F7627" s="5" t="inlineStr">
        <is>
          <t>랄라블라</t>
        </is>
      </c>
      <c r="G7627" s="94" t="inlineStr">
        <is>
          <t>수딩크림 100ml</t>
        </is>
      </c>
      <c r="H7627" s="7" t="n">
        <v>190801</v>
      </c>
      <c r="I7627" s="7" t="n">
        <v>190801</v>
      </c>
      <c r="K7627" s="94" t="n">
        <v>15</v>
      </c>
      <c r="L7627" s="7" t="n">
        <v>190801</v>
      </c>
      <c r="M7627" s="94">
        <f>VLOOKUP($Q7627,매칭테이블!$F:$I,2,0)*K7627</f>
        <v/>
      </c>
      <c r="N7627" s="94">
        <f>M7627-M7627*VLOOKUP($Q7627,매칭테이블!$F:$I,3,0)</f>
        <v/>
      </c>
      <c r="O7627" s="94">
        <f>VLOOKUP($Q7627,매칭테이블!$F:$I,4,0)*K7627</f>
        <v/>
      </c>
      <c r="P7627" s="148">
        <f>M7627/1.1</f>
        <v/>
      </c>
      <c r="Q7627" s="94">
        <f>F7627&amp;E7627&amp;G7627&amp;L7627</f>
        <v/>
      </c>
    </row>
    <row r="7628" customFormat="1" s="94">
      <c r="B7628" s="128" t="n">
        <v>44024</v>
      </c>
      <c r="C7628" s="94">
        <f>TEXT(B7628,"aaa")</f>
        <v/>
      </c>
      <c r="E7628" s="94" t="inlineStr">
        <is>
          <t>앰플 기획세트</t>
        </is>
      </c>
      <c r="F7628" s="5" t="inlineStr">
        <is>
          <t>랄라블라</t>
        </is>
      </c>
      <c r="G7628" s="94" t="inlineStr">
        <is>
          <t>앰플 기획세트</t>
        </is>
      </c>
      <c r="H7628" s="7" t="n">
        <v>190801</v>
      </c>
      <c r="I7628" s="7" t="n">
        <v>190801</v>
      </c>
      <c r="K7628" s="94" t="n">
        <v>126</v>
      </c>
      <c r="L7628" s="7" t="n">
        <v>190801</v>
      </c>
      <c r="M7628" s="94">
        <f>VLOOKUP($Q7628,매칭테이블!$F:$I,2,0)*K7628</f>
        <v/>
      </c>
      <c r="N7628" s="94">
        <f>M7628-M7628*VLOOKUP($Q7628,매칭테이블!$F:$I,3,0)</f>
        <v/>
      </c>
      <c r="O7628" s="94">
        <f>VLOOKUP($Q7628,매칭테이블!$F:$I,4,0)*K7628</f>
        <v/>
      </c>
      <c r="P7628" s="148">
        <f>M7628/1.1</f>
        <v/>
      </c>
      <c r="Q7628" s="94">
        <f>F7628&amp;E7628&amp;G7628&amp;L7628</f>
        <v/>
      </c>
    </row>
    <row r="7629" customFormat="1" s="94">
      <c r="B7629" s="128" t="n">
        <v>44024</v>
      </c>
      <c r="C7629" s="94">
        <f>TEXT(B7629,"aaa")</f>
        <v/>
      </c>
      <c r="E7629" s="94" t="inlineStr">
        <is>
          <t>클렌징폼 기획세트</t>
        </is>
      </c>
      <c r="F7629" s="5" t="inlineStr">
        <is>
          <t>랄라블라</t>
        </is>
      </c>
      <c r="G7629" s="94" t="inlineStr">
        <is>
          <t>클렌징폼 기획세트</t>
        </is>
      </c>
      <c r="H7629" s="7" t="n">
        <v>190801</v>
      </c>
      <c r="I7629" s="7" t="n">
        <v>190801</v>
      </c>
      <c r="K7629" s="94" t="n">
        <v>168</v>
      </c>
      <c r="L7629" s="7" t="n">
        <v>190801</v>
      </c>
      <c r="M7629" s="94">
        <f>VLOOKUP($Q7629,매칭테이블!$F:$I,2,0)*K7629</f>
        <v/>
      </c>
      <c r="N7629" s="94">
        <f>M7629-M7629*VLOOKUP($Q7629,매칭테이블!$F:$I,3,0)</f>
        <v/>
      </c>
      <c r="O7629" s="94">
        <f>VLOOKUP($Q7629,매칭테이블!$F:$I,4,0)*K7629</f>
        <v/>
      </c>
      <c r="P7629" s="148">
        <f>M7629/1.1</f>
        <v/>
      </c>
      <c r="Q7629" s="94">
        <f>F7629&amp;E7629&amp;G7629&amp;L7629</f>
        <v/>
      </c>
    </row>
    <row r="7630" customFormat="1" s="94">
      <c r="B7630" s="128" t="n">
        <v>44024</v>
      </c>
      <c r="C7630" s="94">
        <f>TEXT(B7630,"aaa")</f>
        <v/>
      </c>
      <c r="E7630" s="94" t="inlineStr">
        <is>
          <t>토너 기획세트</t>
        </is>
      </c>
      <c r="F7630" s="5" t="inlineStr">
        <is>
          <t>랄라블라</t>
        </is>
      </c>
      <c r="G7630" s="94" t="inlineStr">
        <is>
          <t>토너 기획세트</t>
        </is>
      </c>
      <c r="H7630" s="7" t="n">
        <v>190801</v>
      </c>
      <c r="I7630" s="7" t="n">
        <v>190801</v>
      </c>
      <c r="K7630" s="94" t="n">
        <v>1</v>
      </c>
      <c r="L7630" s="7" t="n">
        <v>190801</v>
      </c>
      <c r="M7630" s="94">
        <f>VLOOKUP($Q7630,매칭테이블!$F:$I,2,0)*K7630</f>
        <v/>
      </c>
      <c r="N7630" s="94">
        <f>M7630-M7630*VLOOKUP($Q7630,매칭테이블!$F:$I,3,0)</f>
        <v/>
      </c>
      <c r="O7630" s="94">
        <f>VLOOKUP($Q7630,매칭테이블!$F:$I,4,0)*K7630</f>
        <v/>
      </c>
      <c r="P7630" s="148">
        <f>M7630/1.1</f>
        <v/>
      </c>
      <c r="Q7630" s="94">
        <f>F7630&amp;E7630&amp;G7630&amp;L7630</f>
        <v/>
      </c>
    </row>
    <row r="7631" customFormat="1" s="94">
      <c r="B7631" s="128" t="n">
        <v>44024</v>
      </c>
      <c r="C7631" s="94">
        <f>TEXT(B7631,"aaa")</f>
        <v/>
      </c>
      <c r="E7631" s="94" t="inlineStr">
        <is>
          <t>클렌징폼</t>
        </is>
      </c>
      <c r="F7631" s="5" t="inlineStr">
        <is>
          <t>랄라블라</t>
        </is>
      </c>
      <c r="G7631" s="94" t="inlineStr">
        <is>
          <t>클렌징폼 120ml</t>
        </is>
      </c>
      <c r="H7631" s="7" t="n">
        <v>190801</v>
      </c>
      <c r="I7631" s="7" t="n">
        <v>190801</v>
      </c>
      <c r="K7631" s="94" t="n">
        <v>11</v>
      </c>
      <c r="L7631" s="7" t="n">
        <v>190801</v>
      </c>
      <c r="M7631" s="94">
        <f>VLOOKUP($Q7631,매칭테이블!$F:$I,2,0)*K7631</f>
        <v/>
      </c>
      <c r="N7631" s="94">
        <f>M7631-M7631*VLOOKUP($Q7631,매칭테이블!$F:$I,3,0)</f>
        <v/>
      </c>
      <c r="O7631" s="94">
        <f>VLOOKUP($Q7631,매칭테이블!$F:$I,4,0)*K7631</f>
        <v/>
      </c>
      <c r="P7631" s="148">
        <f>M7631/1.1</f>
        <v/>
      </c>
      <c r="Q7631" s="94">
        <f>F7631&amp;E7631&amp;G7631&amp;L7631</f>
        <v/>
      </c>
    </row>
    <row r="7632" customFormat="1" s="94">
      <c r="B7632" s="128" t="n">
        <v>44024</v>
      </c>
      <c r="C7632" s="94">
        <f>TEXT(B7632,"aaa")</f>
        <v/>
      </c>
      <c r="E7632" s="94" t="inlineStr">
        <is>
          <t>토너 증정기획</t>
        </is>
      </c>
      <c r="F7632" s="5" t="inlineStr">
        <is>
          <t>랄라블라</t>
        </is>
      </c>
      <c r="G7632" s="94" t="inlineStr">
        <is>
          <t>토너 증정기획</t>
        </is>
      </c>
      <c r="H7632" s="7" t="n">
        <v>190801</v>
      </c>
      <c r="I7632" s="7" t="n">
        <v>190801</v>
      </c>
      <c r="K7632" s="94" t="n">
        <v>77</v>
      </c>
      <c r="L7632" s="7" t="n">
        <v>190801</v>
      </c>
      <c r="M7632" s="94">
        <f>VLOOKUP($Q7632,매칭테이블!$F:$I,2,0)*K7632</f>
        <v/>
      </c>
      <c r="N7632" s="94">
        <f>M7632-M7632*VLOOKUP($Q7632,매칭테이블!$F:$I,3,0)</f>
        <v/>
      </c>
      <c r="O7632" s="94">
        <f>VLOOKUP($Q7632,매칭테이블!$F:$I,4,0)*K7632</f>
        <v/>
      </c>
      <c r="P7632" s="148">
        <f>M7632/1.1</f>
        <v/>
      </c>
      <c r="Q7632" s="94">
        <f>F7632&amp;E7632&amp;G7632&amp;L7632</f>
        <v/>
      </c>
    </row>
    <row r="7633" customFormat="1" s="94">
      <c r="B7633" s="128" t="n">
        <v>44024</v>
      </c>
      <c r="C7633" s="94">
        <f>TEXT(B7633,"aaa")</f>
        <v/>
      </c>
      <c r="E7633" s="94" t="inlineStr">
        <is>
          <t>선크림</t>
        </is>
      </c>
      <c r="F7633" s="5" t="inlineStr">
        <is>
          <t>랄라블라</t>
        </is>
      </c>
      <c r="G7633" s="94" t="inlineStr">
        <is>
          <t>선크림 50ml</t>
        </is>
      </c>
      <c r="H7633" s="7" t="n">
        <v>190801</v>
      </c>
      <c r="I7633" s="7" t="n">
        <v>190801</v>
      </c>
      <c r="K7633" s="94" t="n">
        <v>27</v>
      </c>
      <c r="L7633" s="7" t="n">
        <v>190801</v>
      </c>
      <c r="M7633" s="94">
        <f>VLOOKUP($Q7633,매칭테이블!$F:$I,2,0)*K7633</f>
        <v/>
      </c>
      <c r="N7633" s="94">
        <f>M7633-M7633*VLOOKUP($Q7633,매칭테이블!$F:$I,3,0)</f>
        <v/>
      </c>
      <c r="O7633" s="94">
        <f>VLOOKUP($Q7633,매칭테이블!$F:$I,4,0)*K7633</f>
        <v/>
      </c>
      <c r="P7633" s="148">
        <f>M7633/1.1</f>
        <v/>
      </c>
      <c r="Q7633" s="94">
        <f>F7633&amp;E7633&amp;G7633&amp;L7633</f>
        <v/>
      </c>
    </row>
    <row r="7634" customFormat="1" s="94">
      <c r="B7634" s="128" t="n">
        <v>44024</v>
      </c>
      <c r="C7634" s="94">
        <f>TEXT(B7634,"aaa")</f>
        <v/>
      </c>
      <c r="E7634" s="94" t="inlineStr">
        <is>
          <t>대용량 기획세트</t>
        </is>
      </c>
      <c r="F7634" s="5" t="inlineStr">
        <is>
          <t>랄라블라</t>
        </is>
      </c>
      <c r="G7634" s="94" t="inlineStr">
        <is>
          <t>대용량 기획세트</t>
        </is>
      </c>
      <c r="H7634" s="7" t="n">
        <v>190801</v>
      </c>
      <c r="I7634" s="7" t="n">
        <v>190801</v>
      </c>
      <c r="K7634" s="94" t="n">
        <v>392</v>
      </c>
      <c r="L7634" s="7" t="n">
        <v>190801</v>
      </c>
      <c r="M7634" s="94">
        <f>VLOOKUP($Q7634,매칭테이블!$F:$I,2,0)*K7634</f>
        <v/>
      </c>
      <c r="N7634" s="94">
        <f>M7634-M7634*VLOOKUP($Q7634,매칭테이블!$F:$I,3,0)</f>
        <v/>
      </c>
      <c r="O7634" s="94">
        <f>VLOOKUP($Q7634,매칭테이블!$F:$I,4,0)*K7634</f>
        <v/>
      </c>
      <c r="P7634" s="148">
        <f>M7634/1.1</f>
        <v/>
      </c>
      <c r="Q7634" s="94">
        <f>F7634&amp;E7634&amp;G7634&amp;L7634</f>
        <v/>
      </c>
    </row>
    <row r="7635">
      <c r="A7635" s="94" t="n"/>
      <c r="B7635" s="128" t="n">
        <v>44025</v>
      </c>
      <c r="C7635" s="94">
        <f>TEXT(B7635,"aaa")</f>
        <v/>
      </c>
      <c r="D7635" s="94" t="n"/>
      <c r="E7635" s="6" t="inlineStr">
        <is>
          <t>토너</t>
        </is>
      </c>
      <c r="F7635" s="5" t="inlineStr">
        <is>
          <t>W컨셉</t>
        </is>
      </c>
      <c r="G7635" s="5" t="inlineStr">
        <is>
          <t>250ml</t>
        </is>
      </c>
      <c r="H7635" s="7" t="n">
        <v>190801</v>
      </c>
      <c r="I7635" s="7" t="n">
        <v>190801</v>
      </c>
      <c r="J7635" s="94" t="n"/>
      <c r="K7635" s="6" t="n">
        <v>1</v>
      </c>
      <c r="L7635" s="7" t="n">
        <v>190801</v>
      </c>
      <c r="M7635" s="94">
        <f>VLOOKUP($Q7635,매칭테이블!$F:$I,2,0)*K7635</f>
        <v/>
      </c>
      <c r="N7635" s="94">
        <f>M7635-M7635*VLOOKUP($Q7635,매칭테이블!$F:$I,3,0)</f>
        <v/>
      </c>
      <c r="O7635" s="94">
        <f>VLOOKUP($Q7635,매칭테이블!$F:$I,4,0)*K7635</f>
        <v/>
      </c>
      <c r="P7635" s="148">
        <f>M7635/1.1</f>
        <v/>
      </c>
      <c r="Q7635" s="94">
        <f>F7635&amp;E7635&amp;G7635&amp;L7635</f>
        <v/>
      </c>
    </row>
    <row r="7636">
      <c r="A7636" s="94" t="n"/>
      <c r="B7636" s="128" t="n">
        <v>44025</v>
      </c>
      <c r="C7636" s="94">
        <f>TEXT(B7636,"aaa")</f>
        <v/>
      </c>
      <c r="D7636" s="94" t="n"/>
      <c r="E7636" s="6" t="inlineStr">
        <is>
          <t>토너</t>
        </is>
      </c>
      <c r="F7636" s="5" t="inlineStr">
        <is>
          <t>W컨셉</t>
        </is>
      </c>
      <c r="G7636" s="5" t="inlineStr">
        <is>
          <t>250ml 2set</t>
        </is>
      </c>
      <c r="H7636" s="7" t="n">
        <v>190801</v>
      </c>
      <c r="I7636" s="7" t="n">
        <v>190801</v>
      </c>
      <c r="J7636" s="94" t="n"/>
      <c r="K7636" s="6" t="n">
        <v>15</v>
      </c>
      <c r="L7636" s="7" t="n">
        <v>190801</v>
      </c>
      <c r="M7636" s="94">
        <f>VLOOKUP($Q7636,매칭테이블!$F:$I,2,0)*K7636</f>
        <v/>
      </c>
      <c r="N7636" s="94">
        <f>M7636-M7636*VLOOKUP($Q7636,매칭테이블!$F:$I,3,0)</f>
        <v/>
      </c>
      <c r="O7636" s="94">
        <f>VLOOKUP($Q7636,매칭테이블!$F:$I,4,0)*K7636</f>
        <v/>
      </c>
      <c r="P7636" s="148">
        <f>M7636/1.1</f>
        <v/>
      </c>
      <c r="Q7636" s="94">
        <f>F7636&amp;E7636&amp;G7636&amp;L7636</f>
        <v/>
      </c>
    </row>
    <row r="7637">
      <c r="A7637" s="94" t="n"/>
      <c r="B7637" s="128" t="n">
        <v>44025</v>
      </c>
      <c r="C7637" s="94">
        <f>TEXT(B7637,"aaa")</f>
        <v/>
      </c>
      <c r="D7637" s="94" t="n"/>
      <c r="E7637" s="94" t="inlineStr">
        <is>
          <t>토너</t>
        </is>
      </c>
      <c r="F7637" s="5" t="inlineStr">
        <is>
          <t>스타일쉐어</t>
        </is>
      </c>
      <c r="G7637" s="94" t="inlineStr">
        <is>
          <t>250ml</t>
        </is>
      </c>
      <c r="H7637" s="7" t="n">
        <v>190801</v>
      </c>
      <c r="I7637" s="7" t="n">
        <v>190801</v>
      </c>
      <c r="J7637" s="94" t="n"/>
      <c r="K7637" s="6" t="n">
        <v>13</v>
      </c>
      <c r="L7637" s="7" t="n">
        <v>190801</v>
      </c>
      <c r="M7637" s="94">
        <f>VLOOKUP($Q7637,매칭테이블!$F:$I,2,0)*K7637</f>
        <v/>
      </c>
      <c r="N7637" s="94">
        <f>M7637-M7637*VLOOKUP($Q7637,매칭테이블!$F:$I,3,0)</f>
        <v/>
      </c>
      <c r="O7637" s="94">
        <f>VLOOKUP($Q7637,매칭테이블!$F:$I,4,0)*K7637</f>
        <v/>
      </c>
      <c r="P7637" s="148">
        <f>M7637/1.1</f>
        <v/>
      </c>
      <c r="Q7637" s="94">
        <f>F7637&amp;E7637&amp;G7637&amp;L7637</f>
        <v/>
      </c>
    </row>
    <row r="7638">
      <c r="A7638" s="94" t="n"/>
      <c r="B7638" s="128" t="n">
        <v>44025</v>
      </c>
      <c r="C7638" s="94">
        <f>TEXT(B7638,"aaa")</f>
        <v/>
      </c>
      <c r="D7638" s="94" t="n"/>
      <c r="E7638" s="94" t="inlineStr">
        <is>
          <t>선크림</t>
        </is>
      </c>
      <c r="F7638" s="94" t="inlineStr">
        <is>
          <t>카페24</t>
        </is>
      </c>
      <c r="G7638" s="94" t="inlineStr">
        <is>
          <t>선크림 50ml</t>
        </is>
      </c>
      <c r="H7638" s="7" t="n">
        <v>190801</v>
      </c>
      <c r="I7638" s="7" t="n">
        <v>190801</v>
      </c>
      <c r="J7638" s="94" t="n"/>
      <c r="K7638" s="6" t="n">
        <v>7</v>
      </c>
      <c r="L7638" s="7" t="n">
        <v>190801</v>
      </c>
      <c r="M7638" s="94">
        <f>VLOOKUP($Q7638,매칭테이블!$F:$I,2,0)*K7638</f>
        <v/>
      </c>
      <c r="N7638" s="94">
        <f>M7638-M7638*VLOOKUP($Q7638,매칭테이블!$F:$I,3,0)</f>
        <v/>
      </c>
      <c r="O7638" s="94">
        <f>VLOOKUP($Q7638,매칭테이블!$F:$I,4,0)*K7638</f>
        <v/>
      </c>
      <c r="P7638" s="148">
        <f>M7638/1.1</f>
        <v/>
      </c>
      <c r="Q7638" s="94">
        <f>F7638&amp;E7638&amp;G7638&amp;L7638</f>
        <v/>
      </c>
    </row>
    <row r="7639">
      <c r="A7639" s="94" t="n"/>
      <c r="B7639" s="128" t="n">
        <v>44025</v>
      </c>
      <c r="C7639" s="94">
        <f>TEXT(B7639,"aaa")</f>
        <v/>
      </c>
      <c r="D7639" s="94" t="n"/>
      <c r="E7639" s="6" t="inlineStr">
        <is>
          <t>선크림</t>
        </is>
      </c>
      <c r="F7639" s="5" t="inlineStr">
        <is>
          <t>카페24</t>
        </is>
      </c>
      <c r="G7639" s="5" t="inlineStr">
        <is>
          <t>선크림 50ml  2set</t>
        </is>
      </c>
      <c r="H7639" s="7" t="n">
        <v>190801</v>
      </c>
      <c r="I7639" s="7" t="n">
        <v>190801</v>
      </c>
      <c r="J7639" s="94" t="n"/>
      <c r="K7639" s="6" t="n">
        <v>2</v>
      </c>
      <c r="L7639" s="6" t="n">
        <v>190801</v>
      </c>
      <c r="M7639" s="94">
        <f>VLOOKUP($Q7639,매칭테이블!$F:$I,2,0)*K7639</f>
        <v/>
      </c>
      <c r="N7639" s="94">
        <f>M7639-M7639*VLOOKUP($Q7639,매칭테이블!$F:$I,3,0)</f>
        <v/>
      </c>
      <c r="O7639" s="94">
        <f>VLOOKUP($Q7639,매칭테이블!$F:$I,4,0)*K7639</f>
        <v/>
      </c>
      <c r="P7639" s="148">
        <f>M7639/1.1</f>
        <v/>
      </c>
      <c r="Q7639" s="94">
        <f>F7639&amp;E7639&amp;G7639&amp;L7639</f>
        <v/>
      </c>
    </row>
    <row r="7640">
      <c r="A7640" s="94" t="n"/>
      <c r="B7640" s="128" t="n">
        <v>44025</v>
      </c>
      <c r="C7640" s="94">
        <f>TEXT(B7640,"aaa")</f>
        <v/>
      </c>
      <c r="D7640" s="94" t="n"/>
      <c r="E7640" s="94" t="inlineStr">
        <is>
          <t>여름 한정 진정세트</t>
        </is>
      </c>
      <c r="F7640" s="94" t="inlineStr">
        <is>
          <t>카페24</t>
        </is>
      </c>
      <c r="G7640" s="94" t="inlineStr">
        <is>
          <t>여름 한정 진정세트</t>
        </is>
      </c>
      <c r="H7640" s="7" t="n">
        <v>190801</v>
      </c>
      <c r="I7640" s="7" t="n">
        <v>190801</v>
      </c>
      <c r="J7640" s="94" t="n"/>
      <c r="K7640" s="6" t="n">
        <v>9</v>
      </c>
      <c r="L7640" s="92" t="n">
        <v>190801</v>
      </c>
      <c r="M7640" s="94">
        <f>VLOOKUP($Q7640,매칭테이블!$F:$I,2,0)*K7640</f>
        <v/>
      </c>
      <c r="N7640" s="94">
        <f>M7640-M7640*VLOOKUP($Q7640,매칭테이블!$F:$I,3,0)</f>
        <v/>
      </c>
      <c r="O7640" s="94">
        <f>VLOOKUP($Q7640,매칭테이블!$F:$I,4,0)*K7640</f>
        <v/>
      </c>
      <c r="P7640" s="148">
        <f>M7640/1.1</f>
        <v/>
      </c>
      <c r="Q7640" s="94">
        <f>F7640&amp;E7640&amp;G7640&amp;L7640</f>
        <v/>
      </c>
    </row>
    <row r="7641">
      <c r="A7641" s="94" t="n"/>
      <c r="B7641" s="128" t="n">
        <v>44025</v>
      </c>
      <c r="C7641" s="94">
        <f>TEXT(B7641,"aaa")</f>
        <v/>
      </c>
      <c r="D7641" s="94" t="n"/>
      <c r="E7641" s="94" t="inlineStr">
        <is>
          <t>여름 한정 진정세트</t>
        </is>
      </c>
      <c r="F7641" s="94" t="inlineStr">
        <is>
          <t>카페24</t>
        </is>
      </c>
      <c r="G7641" s="94" t="inlineStr">
        <is>
          <t>여름 한정 진정세트 (대용량)</t>
        </is>
      </c>
      <c r="H7641" s="7" t="n">
        <v>190801</v>
      </c>
      <c r="I7641" s="7" t="n">
        <v>190801</v>
      </c>
      <c r="J7641" s="94" t="n"/>
      <c r="K7641" s="6" t="n">
        <v>2</v>
      </c>
      <c r="L7641" s="92" t="n">
        <v>190801</v>
      </c>
      <c r="M7641" s="94">
        <f>VLOOKUP($Q7641,매칭테이블!$F:$I,2,0)*K7641</f>
        <v/>
      </c>
      <c r="N7641" s="94">
        <f>M7641-M7641*VLOOKUP($Q7641,매칭테이블!$F:$I,3,0)</f>
        <v/>
      </c>
      <c r="O7641" s="94">
        <f>VLOOKUP($Q7641,매칭테이블!$F:$I,4,0)*K7641</f>
        <v/>
      </c>
      <c r="P7641" s="148">
        <f>M7641/1.1</f>
        <v/>
      </c>
      <c r="Q7641" s="94">
        <f>F7641&amp;E7641&amp;G7641&amp;L7641</f>
        <v/>
      </c>
    </row>
    <row r="7642">
      <c r="A7642" s="94" t="n"/>
      <c r="B7642" s="128" t="n">
        <v>44025</v>
      </c>
      <c r="C7642" s="94">
        <f>TEXT(B7642,"aaa")</f>
        <v/>
      </c>
      <c r="D7642" s="94" t="n"/>
      <c r="E7642" s="94" t="inlineStr">
        <is>
          <t>어성초진정패키지</t>
        </is>
      </c>
      <c r="F7642" s="94" t="inlineStr">
        <is>
          <t>카페24</t>
        </is>
      </c>
      <c r="G7642" s="94" t="inlineStr">
        <is>
          <t>어성초 진정패키지세트</t>
        </is>
      </c>
      <c r="H7642" s="7" t="n">
        <v>190801</v>
      </c>
      <c r="I7642" s="7" t="n">
        <v>190801</v>
      </c>
      <c r="J7642" s="94" t="n"/>
      <c r="K7642" s="6" t="n">
        <v>3</v>
      </c>
      <c r="L7642" s="94" t="n">
        <v>190801</v>
      </c>
      <c r="M7642" s="94">
        <f>VLOOKUP($Q7642,매칭테이블!$F:$I,2,0)*K7642</f>
        <v/>
      </c>
      <c r="N7642" s="94">
        <f>M7642-M7642*VLOOKUP($Q7642,매칭테이블!$F:$I,3,0)</f>
        <v/>
      </c>
      <c r="O7642" s="94">
        <f>VLOOKUP($Q7642,매칭테이블!$F:$I,4,0)*K7642</f>
        <v/>
      </c>
      <c r="P7642" s="148">
        <f>M7642/1.1</f>
        <v/>
      </c>
      <c r="Q7642" s="94">
        <f>F7642&amp;E7642&amp;G7642&amp;L7642</f>
        <v/>
      </c>
    </row>
    <row r="7643">
      <c r="A7643" s="94" t="n"/>
      <c r="B7643" s="128" t="n">
        <v>44025</v>
      </c>
      <c r="C7643" s="94">
        <f>TEXT(B7643,"aaa")</f>
        <v/>
      </c>
      <c r="D7643" s="94" t="n"/>
      <c r="E7643" s="94" t="inlineStr">
        <is>
          <t>머드크림마스크</t>
        </is>
      </c>
      <c r="F7643" s="94" t="inlineStr">
        <is>
          <t>카페24</t>
        </is>
      </c>
      <c r="G7643" s="94" t="inlineStr">
        <is>
          <t>머드크림마스크 100ml</t>
        </is>
      </c>
      <c r="H7643" s="7" t="n">
        <v>190801</v>
      </c>
      <c r="I7643" s="7" t="n">
        <v>190801</v>
      </c>
      <c r="J7643" s="94" t="n"/>
      <c r="K7643" s="6" t="n">
        <v>1</v>
      </c>
      <c r="L7643" s="94" t="n">
        <v>190801</v>
      </c>
      <c r="M7643" s="94">
        <f>VLOOKUP($Q7643,매칭테이블!$F:$I,2,0)*K7643</f>
        <v/>
      </c>
      <c r="N7643" s="94">
        <f>M7643-M7643*VLOOKUP($Q7643,매칭테이블!$F:$I,3,0)</f>
        <v/>
      </c>
      <c r="O7643" s="94">
        <f>VLOOKUP($Q7643,매칭테이블!$F:$I,4,0)*K7643</f>
        <v/>
      </c>
      <c r="P7643" s="148">
        <f>M7643/1.1</f>
        <v/>
      </c>
      <c r="Q7643" s="94">
        <f>F7643&amp;E7643&amp;G7643&amp;L7643</f>
        <v/>
      </c>
    </row>
    <row r="7644">
      <c r="A7644" s="94" t="n"/>
      <c r="B7644" s="128" t="n">
        <v>44025</v>
      </c>
      <c r="C7644" s="94">
        <f>TEXT(B7644,"aaa")</f>
        <v/>
      </c>
      <c r="D7644" s="94" t="n"/>
      <c r="E7644" s="6" t="inlineStr">
        <is>
          <t>토너</t>
        </is>
      </c>
      <c r="F7644" s="5" t="inlineStr">
        <is>
          <t>카페24</t>
        </is>
      </c>
      <c r="G7644" s="5" t="inlineStr">
        <is>
          <t>250ml</t>
        </is>
      </c>
      <c r="H7644" s="7" t="n">
        <v>190801</v>
      </c>
      <c r="I7644" s="7" t="n">
        <v>190801</v>
      </c>
      <c r="J7644" s="94" t="n"/>
      <c r="K7644" s="6" t="n">
        <v>93</v>
      </c>
      <c r="L7644" s="7" t="n">
        <v>190801</v>
      </c>
      <c r="M7644" s="94">
        <f>VLOOKUP($Q7644,매칭테이블!$F:$I,2,0)*K7644</f>
        <v/>
      </c>
      <c r="N7644" s="94">
        <f>M7644-M7644*VLOOKUP($Q7644,매칭테이블!$F:$I,3,0)</f>
        <v/>
      </c>
      <c r="O7644" s="94">
        <f>VLOOKUP($Q7644,매칭테이블!$F:$I,4,0)*K7644</f>
        <v/>
      </c>
      <c r="P7644" s="148">
        <f>M7644/1.1</f>
        <v/>
      </c>
      <c r="Q7644" s="94">
        <f>F7644&amp;E7644&amp;G7644&amp;L7644</f>
        <v/>
      </c>
    </row>
    <row r="7645">
      <c r="A7645" s="94" t="n"/>
      <c r="B7645" s="128" t="n">
        <v>44025</v>
      </c>
      <c r="C7645" s="94">
        <f>TEXT(B7645,"aaa")</f>
        <v/>
      </c>
      <c r="D7645" s="94" t="n"/>
      <c r="E7645" s="6" t="inlineStr">
        <is>
          <t>토너</t>
        </is>
      </c>
      <c r="F7645" s="5" t="inlineStr">
        <is>
          <t>카페24</t>
        </is>
      </c>
      <c r="G7645" s="5" t="inlineStr">
        <is>
          <t>250ml 2set</t>
        </is>
      </c>
      <c r="H7645" s="7" t="n">
        <v>190801</v>
      </c>
      <c r="I7645" s="7" t="n">
        <v>190801</v>
      </c>
      <c r="J7645" s="94" t="n"/>
      <c r="K7645" s="6" t="n">
        <v>109</v>
      </c>
      <c r="L7645" s="7" t="n">
        <v>190801</v>
      </c>
      <c r="M7645" s="94">
        <f>VLOOKUP($Q7645,매칭테이블!$F:$I,2,0)*K7645</f>
        <v/>
      </c>
      <c r="N7645" s="94">
        <f>M7645-M7645*VLOOKUP($Q7645,매칭테이블!$F:$I,3,0)</f>
        <v/>
      </c>
      <c r="O7645" s="94">
        <f>VLOOKUP($Q7645,매칭테이블!$F:$I,4,0)*K7645</f>
        <v/>
      </c>
      <c r="P7645" s="148">
        <f>M7645/1.1</f>
        <v/>
      </c>
      <c r="Q7645" s="94">
        <f>F7645&amp;E7645&amp;G7645&amp;L7645</f>
        <v/>
      </c>
    </row>
    <row r="7646">
      <c r="A7646" s="94" t="n"/>
      <c r="B7646" s="128" t="n">
        <v>44025</v>
      </c>
      <c r="C7646" s="94">
        <f>TEXT(B7646,"aaa")</f>
        <v/>
      </c>
      <c r="D7646" s="94" t="n"/>
      <c r="E7646" s="6" t="inlineStr">
        <is>
          <t>토너</t>
        </is>
      </c>
      <c r="F7646" s="5" t="inlineStr">
        <is>
          <t>카페24</t>
        </is>
      </c>
      <c r="G7646" s="5" t="inlineStr">
        <is>
          <t>500ml</t>
        </is>
      </c>
      <c r="H7646" s="7" t="n">
        <v>190801</v>
      </c>
      <c r="I7646" s="7" t="n">
        <v>190801</v>
      </c>
      <c r="J7646" s="94" t="n"/>
      <c r="K7646" s="6" t="n">
        <v>61</v>
      </c>
      <c r="L7646" s="7" t="n">
        <v>190801</v>
      </c>
      <c r="M7646" s="94">
        <f>VLOOKUP($Q7646,매칭테이블!$F:$I,2,0)*K7646</f>
        <v/>
      </c>
      <c r="N7646" s="94">
        <f>M7646-M7646*VLOOKUP($Q7646,매칭테이블!$F:$I,3,0)</f>
        <v/>
      </c>
      <c r="O7646" s="94">
        <f>VLOOKUP($Q7646,매칭테이블!$F:$I,4,0)*K7646</f>
        <v/>
      </c>
      <c r="P7646" s="148">
        <f>M7646/1.1</f>
        <v/>
      </c>
      <c r="Q7646" s="94">
        <f>F7646&amp;E7646&amp;G7646&amp;L7646</f>
        <v/>
      </c>
    </row>
    <row r="7647">
      <c r="A7647" s="94" t="n"/>
      <c r="B7647" s="128" t="n">
        <v>44025</v>
      </c>
      <c r="C7647" s="94">
        <f>TEXT(B7647,"aaa")</f>
        <v/>
      </c>
      <c r="D7647" s="94" t="n"/>
      <c r="E7647" s="6" t="inlineStr">
        <is>
          <t>토너</t>
        </is>
      </c>
      <c r="F7647" s="5" t="inlineStr">
        <is>
          <t>카페24</t>
        </is>
      </c>
      <c r="G7647" s="94" t="inlineStr">
        <is>
          <t>스킨팩 화장솜 60P</t>
        </is>
      </c>
      <c r="H7647" s="7" t="n">
        <v>190801</v>
      </c>
      <c r="I7647" s="7" t="n">
        <v>190801</v>
      </c>
      <c r="J7647" s="94" t="n"/>
      <c r="K7647" s="6" t="n">
        <v>102</v>
      </c>
      <c r="L7647" s="7" t="n">
        <v>190801</v>
      </c>
      <c r="M7647" s="94">
        <f>VLOOKUP($Q7647,매칭테이블!$F:$I,2,0)*K7647</f>
        <v/>
      </c>
      <c r="N7647" s="94">
        <f>M7647-M7647*VLOOKUP($Q7647,매칭테이블!$F:$I,3,0)</f>
        <v/>
      </c>
      <c r="O7647" s="94">
        <f>VLOOKUP($Q7647,매칭테이블!$F:$I,4,0)*K7647</f>
        <v/>
      </c>
      <c r="P7647" s="148">
        <f>M7647/1.1</f>
        <v/>
      </c>
      <c r="Q7647" s="94">
        <f>F7647&amp;E7647&amp;G7647&amp;L7647</f>
        <v/>
      </c>
    </row>
    <row r="7648">
      <c r="A7648" s="94" t="n"/>
      <c r="B7648" s="128" t="n">
        <v>44025</v>
      </c>
      <c r="C7648" s="94">
        <f>TEXT(B7648,"aaa")</f>
        <v/>
      </c>
      <c r="D7648" s="94" t="n"/>
      <c r="E7648" s="94" t="inlineStr">
        <is>
          <t>앰플</t>
        </is>
      </c>
      <c r="F7648" s="5" t="inlineStr">
        <is>
          <t>카페24</t>
        </is>
      </c>
      <c r="G7648" s="94" t="inlineStr">
        <is>
          <t>앰플 30ml</t>
        </is>
      </c>
      <c r="H7648" s="7" t="n">
        <v>190801</v>
      </c>
      <c r="I7648" s="7" t="n">
        <v>190801</v>
      </c>
      <c r="J7648" s="94" t="n"/>
      <c r="K7648" s="6" t="n">
        <v>31</v>
      </c>
      <c r="L7648" s="94" t="n">
        <v>190801</v>
      </c>
      <c r="M7648" s="94">
        <f>VLOOKUP($Q7648,매칭테이블!$F:$I,2,0)*K7648</f>
        <v/>
      </c>
      <c r="N7648" s="94">
        <f>M7648-M7648*VLOOKUP($Q7648,매칭테이블!$F:$I,3,0)</f>
        <v/>
      </c>
      <c r="O7648" s="94">
        <f>VLOOKUP($Q7648,매칭테이블!$F:$I,4,0)*K7648</f>
        <v/>
      </c>
      <c r="P7648" s="148">
        <f>M7648/1.1</f>
        <v/>
      </c>
      <c r="Q7648" s="94">
        <f>F7648&amp;E7648&amp;G7648&amp;L7648</f>
        <v/>
      </c>
    </row>
    <row r="7649">
      <c r="A7649" s="94" t="n"/>
      <c r="B7649" s="128" t="n">
        <v>44025</v>
      </c>
      <c r="C7649" s="94">
        <f>TEXT(B7649,"aaa")</f>
        <v/>
      </c>
      <c r="D7649" s="94" t="n"/>
      <c r="E7649" s="94" t="inlineStr">
        <is>
          <t>수딩크림</t>
        </is>
      </c>
      <c r="F7649" s="5" t="inlineStr">
        <is>
          <t>카페24</t>
        </is>
      </c>
      <c r="G7649" s="94" t="inlineStr">
        <is>
          <t>수딩크림 100ml</t>
        </is>
      </c>
      <c r="H7649" s="7" t="n">
        <v>190801</v>
      </c>
      <c r="I7649" s="7" t="n">
        <v>190801</v>
      </c>
      <c r="J7649" s="94" t="n"/>
      <c r="K7649" s="6" t="n">
        <v>9</v>
      </c>
      <c r="L7649" s="94" t="n">
        <v>190801</v>
      </c>
      <c r="M7649" s="94">
        <f>VLOOKUP($Q7649,매칭테이블!$F:$I,2,0)*K7649</f>
        <v/>
      </c>
      <c r="N7649" s="94">
        <f>M7649-M7649*VLOOKUP($Q7649,매칭테이블!$F:$I,3,0)</f>
        <v/>
      </c>
      <c r="O7649" s="94">
        <f>VLOOKUP($Q7649,매칭테이블!$F:$I,4,0)*K7649</f>
        <v/>
      </c>
      <c r="P7649" s="148">
        <f>M7649/1.1</f>
        <v/>
      </c>
      <c r="Q7649" s="94">
        <f>F7649&amp;E7649&amp;G7649&amp;L7649</f>
        <v/>
      </c>
    </row>
    <row r="7650">
      <c r="A7650" s="94" t="n"/>
      <c r="B7650" s="128" t="n">
        <v>44025</v>
      </c>
      <c r="C7650" s="94">
        <f>TEXT(B7650,"aaa")</f>
        <v/>
      </c>
      <c r="D7650" s="94" t="n"/>
      <c r="E7650" s="94" t="inlineStr">
        <is>
          <t>클렌징폼</t>
        </is>
      </c>
      <c r="F7650" s="5" t="inlineStr">
        <is>
          <t>카페24</t>
        </is>
      </c>
      <c r="G7650" s="94" t="inlineStr">
        <is>
          <t>클렌징폼 120ml</t>
        </is>
      </c>
      <c r="H7650" s="7" t="n">
        <v>190801</v>
      </c>
      <c r="I7650" s="7" t="n">
        <v>190801</v>
      </c>
      <c r="J7650" s="94" t="n"/>
      <c r="K7650" s="6" t="n">
        <v>7</v>
      </c>
      <c r="L7650" s="7" t="n">
        <v>190801</v>
      </c>
      <c r="M7650" s="94">
        <f>VLOOKUP($Q7650,매칭테이블!$F:$I,2,0)*K7650</f>
        <v/>
      </c>
      <c r="N7650" s="94">
        <f>M7650-M7650*VLOOKUP($Q7650,매칭테이블!$F:$I,3,0)</f>
        <v/>
      </c>
      <c r="O7650" s="94">
        <f>VLOOKUP($Q7650,매칭테이블!$F:$I,4,0)*K7650</f>
        <v/>
      </c>
      <c r="P7650" s="148">
        <f>M7650/1.1</f>
        <v/>
      </c>
      <c r="Q7650" s="94">
        <f>F7650&amp;E7650&amp;G7650&amp;L7650</f>
        <v/>
      </c>
    </row>
    <row r="7651">
      <c r="A7651" s="94" t="n"/>
      <c r="B7651" s="128" t="n">
        <v>44025</v>
      </c>
      <c r="C7651" s="94">
        <f>TEXT(B7651,"aaa")</f>
        <v/>
      </c>
      <c r="D7651" s="94" t="n"/>
      <c r="E7651" s="94" t="inlineStr">
        <is>
          <t>클렌징폼</t>
        </is>
      </c>
      <c r="F7651" s="94" t="inlineStr">
        <is>
          <t>카페24</t>
        </is>
      </c>
      <c r="G7651" s="94" t="inlineStr">
        <is>
          <t>클렌징폼 120ml 2set</t>
        </is>
      </c>
      <c r="H7651" s="7" t="n">
        <v>190801</v>
      </c>
      <c r="I7651" s="7" t="n">
        <v>190801</v>
      </c>
      <c r="J7651" s="94" t="n"/>
      <c r="K7651" s="6" t="n">
        <v>4</v>
      </c>
      <c r="L7651" s="7" t="n">
        <v>190801</v>
      </c>
      <c r="M7651" s="94">
        <f>VLOOKUP($Q7651,매칭테이블!$F:$I,2,0)*K7651</f>
        <v/>
      </c>
      <c r="N7651" s="94">
        <f>M7651-M7651*VLOOKUP($Q7651,매칭테이블!$F:$I,3,0)</f>
        <v/>
      </c>
      <c r="O7651" s="94">
        <f>VLOOKUP($Q7651,매칭테이블!$F:$I,4,0)*K7651</f>
        <v/>
      </c>
      <c r="P7651" s="148">
        <f>M7651/1.1</f>
        <v/>
      </c>
      <c r="Q7651" s="94">
        <f>F7651&amp;E7651&amp;G7651&amp;L7651</f>
        <v/>
      </c>
    </row>
    <row r="7652">
      <c r="A7652" s="94" t="n"/>
      <c r="B7652" s="128" t="n">
        <v>44025</v>
      </c>
      <c r="C7652" s="94">
        <f>TEXT(B7652,"aaa")</f>
        <v/>
      </c>
      <c r="D7652" s="94" t="n"/>
      <c r="E7652" s="94" t="inlineStr">
        <is>
          <t>클렌징폼</t>
        </is>
      </c>
      <c r="F7652" s="94" t="inlineStr">
        <is>
          <t>카페24</t>
        </is>
      </c>
      <c r="G7652" s="94" t="inlineStr">
        <is>
          <t>클렌징폼 120ml 3set</t>
        </is>
      </c>
      <c r="H7652" s="7" t="n">
        <v>190801</v>
      </c>
      <c r="I7652" s="7" t="n">
        <v>190801</v>
      </c>
      <c r="J7652" s="94" t="n"/>
      <c r="K7652" s="6" t="n">
        <v>1</v>
      </c>
      <c r="L7652" s="7" t="n">
        <v>190801</v>
      </c>
      <c r="M7652" s="94">
        <f>VLOOKUP($Q7652,매칭테이블!$F:$I,2,0)*K7652</f>
        <v/>
      </c>
      <c r="N7652" s="94">
        <f>M7652-M7652*VLOOKUP($Q7652,매칭테이블!$F:$I,3,0)</f>
        <v/>
      </c>
      <c r="O7652" s="94">
        <f>VLOOKUP($Q7652,매칭테이블!$F:$I,4,0)*K7652</f>
        <v/>
      </c>
      <c r="P7652" s="148">
        <f>M7652/1.1</f>
        <v/>
      </c>
      <c r="Q7652" s="94">
        <f>F7652&amp;E7652&amp;G7652&amp;L7652</f>
        <v/>
      </c>
    </row>
    <row r="7653">
      <c r="A7653" s="94" t="n"/>
      <c r="B7653" s="128" t="n">
        <v>44025</v>
      </c>
      <c r="C7653" s="94">
        <f>TEXT(B7653,"aaa")</f>
        <v/>
      </c>
      <c r="D7653" s="94" t="n"/>
      <c r="E7653" s="6" t="inlineStr">
        <is>
          <t>토너</t>
        </is>
      </c>
      <c r="F7653" s="5" t="inlineStr">
        <is>
          <t>큐텐재팬</t>
        </is>
      </c>
      <c r="G7653" s="5" t="inlineStr">
        <is>
          <t>250ml</t>
        </is>
      </c>
      <c r="H7653" s="7" t="n">
        <v>190801</v>
      </c>
      <c r="I7653" s="7" t="n">
        <v>190801</v>
      </c>
      <c r="J7653" s="94" t="n"/>
      <c r="K7653" s="6" t="n">
        <v>27</v>
      </c>
      <c r="L7653" s="92" t="n">
        <v>190801</v>
      </c>
      <c r="M7653" s="94">
        <f>VLOOKUP($Q7653,매칭테이블!$F:$I,2,0)*K7653</f>
        <v/>
      </c>
      <c r="N7653" s="94">
        <f>M7653-M7653*VLOOKUP($Q7653,매칭테이블!$F:$I,3,0)</f>
        <v/>
      </c>
      <c r="O7653" s="94">
        <f>VLOOKUP($Q7653,매칭테이블!$F:$I,4,0)*K7653</f>
        <v/>
      </c>
      <c r="P7653" s="148">
        <f>M7653/1.1</f>
        <v/>
      </c>
      <c r="Q7653" s="94">
        <f>F7653&amp;E7653&amp;G7653&amp;L7653</f>
        <v/>
      </c>
    </row>
    <row r="7654">
      <c r="A7654" s="94" t="n"/>
      <c r="B7654" s="128" t="n">
        <v>44025</v>
      </c>
      <c r="C7654" s="94">
        <f>TEXT(B7654,"aaa")</f>
        <v/>
      </c>
      <c r="D7654" s="94" t="n"/>
      <c r="E7654" s="6" t="inlineStr">
        <is>
          <t>토너</t>
        </is>
      </c>
      <c r="F7654" s="5" t="inlineStr">
        <is>
          <t>큐텐재팬</t>
        </is>
      </c>
      <c r="G7654" s="5" t="inlineStr">
        <is>
          <t>250ml 2set</t>
        </is>
      </c>
      <c r="H7654" s="7" t="n">
        <v>190801</v>
      </c>
      <c r="I7654" s="7" t="n">
        <v>190801</v>
      </c>
      <c r="J7654" s="94" t="n"/>
      <c r="K7654" s="6" t="n">
        <v>9</v>
      </c>
      <c r="L7654" s="92" t="n">
        <v>190801</v>
      </c>
      <c r="M7654" s="94">
        <f>VLOOKUP($Q7654,매칭테이블!$F:$I,2,0)*K7654</f>
        <v/>
      </c>
      <c r="N7654" s="94">
        <f>M7654-M7654*VLOOKUP($Q7654,매칭테이블!$F:$I,3,0)</f>
        <v/>
      </c>
      <c r="O7654" s="94">
        <f>VLOOKUP($Q7654,매칭테이블!$F:$I,4,0)*K7654</f>
        <v/>
      </c>
      <c r="P7654" s="148">
        <f>M7654/1.1</f>
        <v/>
      </c>
      <c r="Q7654" s="94">
        <f>F7654&amp;E7654&amp;G7654&amp;L7654</f>
        <v/>
      </c>
    </row>
    <row r="7655">
      <c r="A7655" s="94" t="n"/>
      <c r="B7655" s="128" t="n">
        <v>44025</v>
      </c>
      <c r="C7655" s="94">
        <f>TEXT(B7655,"aaa")</f>
        <v/>
      </c>
      <c r="D7655" s="94" t="n"/>
      <c r="E7655" s="94" t="inlineStr">
        <is>
          <t>앰플</t>
        </is>
      </c>
      <c r="F7655" s="5" t="inlineStr">
        <is>
          <t>큐텐재팬</t>
        </is>
      </c>
      <c r="G7655" s="94" t="inlineStr">
        <is>
          <t>앰플 30ml</t>
        </is>
      </c>
      <c r="H7655" s="7" t="n">
        <v>190801</v>
      </c>
      <c r="I7655" s="7" t="n">
        <v>190801</v>
      </c>
      <c r="J7655" s="94" t="n"/>
      <c r="K7655" s="94" t="n">
        <v>3</v>
      </c>
      <c r="L7655" s="94" t="n">
        <v>190801</v>
      </c>
      <c r="M7655" s="94">
        <f>VLOOKUP($Q7655,매칭테이블!$F:$I,2,0)*K7655</f>
        <v/>
      </c>
      <c r="N7655" s="94">
        <f>M7655-M7655*VLOOKUP($Q7655,매칭테이블!$F:$I,3,0)</f>
        <v/>
      </c>
      <c r="O7655" s="94">
        <f>VLOOKUP($Q7655,매칭테이블!$F:$I,4,0)*K7655</f>
        <v/>
      </c>
      <c r="P7655" s="148">
        <f>M7655/1.1</f>
        <v/>
      </c>
      <c r="Q7655" s="94">
        <f>F7655&amp;E7655&amp;G7655&amp;L7655</f>
        <v/>
      </c>
    </row>
    <row r="7656">
      <c r="A7656" s="94" t="n"/>
      <c r="B7656" s="128" t="n">
        <v>44025</v>
      </c>
      <c r="C7656" s="94">
        <f>TEXT(B7656,"aaa")</f>
        <v/>
      </c>
      <c r="D7656" s="94" t="n"/>
      <c r="E7656" s="94" t="inlineStr">
        <is>
          <t>머드크림마스크</t>
        </is>
      </c>
      <c r="F7656" s="5" t="inlineStr">
        <is>
          <t>큐텐재팬</t>
        </is>
      </c>
      <c r="G7656" s="94" t="inlineStr">
        <is>
          <t>머드크림마스크 100ml</t>
        </is>
      </c>
      <c r="H7656" s="7" t="n">
        <v>190801</v>
      </c>
      <c r="I7656" s="7" t="n">
        <v>190801</v>
      </c>
      <c r="J7656" s="94" t="n"/>
      <c r="K7656" s="94" t="n">
        <v>1</v>
      </c>
      <c r="L7656" s="94" t="n">
        <v>190801</v>
      </c>
      <c r="M7656" s="94">
        <f>VLOOKUP($Q7656,매칭테이블!$F:$I,2,0)*K7656</f>
        <v/>
      </c>
      <c r="N7656" s="94">
        <f>M7656-M7656*VLOOKUP($Q7656,매칭테이블!$F:$I,3,0)</f>
        <v/>
      </c>
      <c r="O7656" s="94">
        <f>VLOOKUP($Q7656,매칭테이블!$F:$I,4,0)*K7656</f>
        <v/>
      </c>
      <c r="P7656" s="148">
        <f>M7656/1.1</f>
        <v/>
      </c>
      <c r="Q7656" s="94">
        <f>F7656&amp;E7656&amp;G7656&amp;L7656</f>
        <v/>
      </c>
    </row>
    <row r="7657">
      <c r="A7657" s="94" t="n"/>
      <c r="B7657" s="128" t="n">
        <v>44025</v>
      </c>
      <c r="C7657" s="94">
        <f>TEXT(B7657,"aaa")</f>
        <v/>
      </c>
      <c r="D7657" s="94" t="n"/>
      <c r="E7657" s="94" t="inlineStr">
        <is>
          <t>클렌징폼</t>
        </is>
      </c>
      <c r="F7657" s="5" t="inlineStr">
        <is>
          <t>큐텐재팬</t>
        </is>
      </c>
      <c r="G7657" s="94" t="inlineStr">
        <is>
          <t>클렌징폼 120ml</t>
        </is>
      </c>
      <c r="H7657" s="7" t="n">
        <v>190801</v>
      </c>
      <c r="I7657" s="7" t="n">
        <v>190801</v>
      </c>
      <c r="J7657" s="94" t="n"/>
      <c r="K7657" s="6" t="n">
        <v>1</v>
      </c>
      <c r="L7657" s="92" t="n">
        <v>190801</v>
      </c>
      <c r="M7657" s="94">
        <f>VLOOKUP($Q7657,매칭테이블!$F:$I,2,0)*K7657</f>
        <v/>
      </c>
      <c r="N7657" s="94">
        <f>M7657-M7657*VLOOKUP($Q7657,매칭테이블!$F:$I,3,0)</f>
        <v/>
      </c>
      <c r="O7657" s="94">
        <f>VLOOKUP($Q7657,매칭테이블!$F:$I,4,0)*K7657</f>
        <v/>
      </c>
      <c r="P7657" s="148">
        <f>M7657/1.1</f>
        <v/>
      </c>
      <c r="Q7657" s="94">
        <f>F7657&amp;E7657&amp;G7657&amp;L7657</f>
        <v/>
      </c>
    </row>
    <row r="7658">
      <c r="A7658" s="94" t="n"/>
      <c r="B7658" s="128" t="n">
        <v>44025</v>
      </c>
      <c r="C7658" s="94">
        <f>TEXT(B7658,"aaa")</f>
        <v/>
      </c>
      <c r="D7658" s="94" t="n"/>
      <c r="E7658" s="94" t="inlineStr">
        <is>
          <t>수딩크림</t>
        </is>
      </c>
      <c r="F7658" s="5" t="inlineStr">
        <is>
          <t>큐텐재팬</t>
        </is>
      </c>
      <c r="G7658" s="94" t="inlineStr">
        <is>
          <t>수딩크림 100ml</t>
        </is>
      </c>
      <c r="H7658" s="7" t="n">
        <v>190801</v>
      </c>
      <c r="I7658" s="7" t="n">
        <v>190801</v>
      </c>
      <c r="J7658" s="94" t="n"/>
      <c r="K7658" s="6" t="n">
        <v>1</v>
      </c>
      <c r="L7658" s="92" t="n">
        <v>190801</v>
      </c>
      <c r="M7658" s="94">
        <f>VLOOKUP($Q7658,매칭테이블!$F:$I,2,0)*K7658</f>
        <v/>
      </c>
      <c r="N7658" s="94">
        <f>M7658-M7658*VLOOKUP($Q7658,매칭테이블!$F:$I,3,0)</f>
        <v/>
      </c>
      <c r="O7658" s="94">
        <f>VLOOKUP($Q7658,매칭테이블!$F:$I,4,0)*K7658</f>
        <v/>
      </c>
      <c r="P7658" s="148">
        <f>M7658/1.1</f>
        <v/>
      </c>
      <c r="Q7658" s="94">
        <f>F7658&amp;E7658&amp;G7658&amp;L7658</f>
        <v/>
      </c>
    </row>
    <row r="7659">
      <c r="A7659" s="94" t="n"/>
      <c r="B7659" s="128" t="n">
        <v>44025</v>
      </c>
      <c r="C7659" s="94">
        <f>TEXT(B7659,"aaa")</f>
        <v/>
      </c>
      <c r="D7659" s="94" t="n"/>
      <c r="E7659" s="94" t="inlineStr">
        <is>
          <t>토너</t>
        </is>
      </c>
      <c r="F7659" s="5" t="inlineStr">
        <is>
          <t>아누아 CS</t>
        </is>
      </c>
      <c r="G7659" s="94" t="inlineStr">
        <is>
          <t>250ml</t>
        </is>
      </c>
      <c r="H7659" s="7" t="n">
        <v>190801</v>
      </c>
      <c r="I7659" s="7" t="n">
        <v>190801</v>
      </c>
      <c r="J7659" s="94" t="n"/>
      <c r="K7659" s="6" t="n">
        <v>2</v>
      </c>
      <c r="L7659" s="7" t="n">
        <v>190801</v>
      </c>
      <c r="M7659" s="94">
        <f>VLOOKUP($Q7659,매칭테이블!$F:$I,2,0)*K7659</f>
        <v/>
      </c>
      <c r="N7659" s="94">
        <f>M7659-M7659*VLOOKUP($Q7659,매칭테이블!$F:$I,3,0)</f>
        <v/>
      </c>
      <c r="O7659" s="94">
        <f>VLOOKUP($Q7659,매칭테이블!$F:$I,4,0)*K7659</f>
        <v/>
      </c>
      <c r="P7659" s="148">
        <f>M7659/1.1</f>
        <v/>
      </c>
      <c r="Q7659" s="94">
        <f>F7659&amp;E7659&amp;G7659&amp;L7659</f>
        <v/>
      </c>
    </row>
    <row r="7660">
      <c r="A7660" s="94" t="n"/>
      <c r="B7660" s="128" t="n">
        <v>44025</v>
      </c>
      <c r="C7660" s="94">
        <f>TEXT(B7660,"aaa")</f>
        <v/>
      </c>
      <c r="D7660" s="94" t="n"/>
      <c r="E7660" s="6" t="inlineStr">
        <is>
          <t>토너</t>
        </is>
      </c>
      <c r="F7660" s="5" t="inlineStr">
        <is>
          <t>아누아 CS</t>
        </is>
      </c>
      <c r="G7660" s="5" t="inlineStr">
        <is>
          <t>500ml</t>
        </is>
      </c>
      <c r="H7660" s="7" t="n">
        <v>190801</v>
      </c>
      <c r="I7660" s="7" t="n">
        <v>190801</v>
      </c>
      <c r="J7660" s="94" t="n"/>
      <c r="K7660" s="6" t="n">
        <v>1</v>
      </c>
      <c r="L7660" s="7" t="n">
        <v>190801</v>
      </c>
      <c r="M7660" s="94">
        <f>VLOOKUP($Q7660,매칭테이블!$F:$I,2,0)*K7660</f>
        <v/>
      </c>
      <c r="N7660" s="94">
        <f>M7660-M7660*VLOOKUP($Q7660,매칭테이블!$F:$I,3,0)</f>
        <v/>
      </c>
      <c r="O7660" s="94">
        <f>VLOOKUP($Q7660,매칭테이블!$F:$I,4,0)*K7660</f>
        <v/>
      </c>
      <c r="P7660" s="148">
        <f>M7660/1.1</f>
        <v/>
      </c>
      <c r="Q7660" s="94">
        <f>F7660&amp;E7660&amp;G7660&amp;L7660</f>
        <v/>
      </c>
    </row>
    <row r="7661">
      <c r="A7661" s="94" t="n"/>
      <c r="B7661" s="128" t="n">
        <v>44025</v>
      </c>
      <c r="C7661" s="94">
        <f>TEXT(B7661,"aaa")</f>
        <v/>
      </c>
      <c r="D7661" s="94" t="n"/>
      <c r="E7661" s="94" t="inlineStr">
        <is>
          <t>화장솜</t>
        </is>
      </c>
      <c r="F7661" s="5" t="inlineStr">
        <is>
          <t>아누아 CS</t>
        </is>
      </c>
      <c r="G7661" s="94" t="inlineStr">
        <is>
          <t>스킨팩 화장솜 60P</t>
        </is>
      </c>
      <c r="H7661" s="7" t="n">
        <v>190801</v>
      </c>
      <c r="I7661" s="7" t="n">
        <v>190801</v>
      </c>
      <c r="J7661" s="94" t="n"/>
      <c r="K7661" s="94" t="n">
        <v>3</v>
      </c>
      <c r="L7661" s="7" t="n">
        <v>190801</v>
      </c>
      <c r="M7661" s="94">
        <f>VLOOKUP($Q7661,매칭테이블!$F:$I,2,0)*K7661</f>
        <v/>
      </c>
      <c r="N7661" s="94">
        <f>M7661-M7661*VLOOKUP($Q7661,매칭테이블!$F:$I,3,0)</f>
        <v/>
      </c>
      <c r="O7661" s="94">
        <f>VLOOKUP($Q7661,매칭테이블!$F:$I,4,0)*K7661</f>
        <v/>
      </c>
      <c r="P7661" s="148">
        <f>M7661/1.1</f>
        <v/>
      </c>
      <c r="Q7661" s="94">
        <f>F7661&amp;E7661&amp;G7661&amp;L7661</f>
        <v/>
      </c>
    </row>
    <row r="7662">
      <c r="A7662" s="94" t="n"/>
      <c r="B7662" s="128" t="n">
        <v>44025</v>
      </c>
      <c r="C7662" s="94">
        <f>TEXT(B7662,"aaa")</f>
        <v/>
      </c>
      <c r="D7662" s="94" t="n"/>
      <c r="E7662" s="94" t="inlineStr">
        <is>
          <t>앰플</t>
        </is>
      </c>
      <c r="F7662" s="5" t="inlineStr">
        <is>
          <t>아누아 CS</t>
        </is>
      </c>
      <c r="G7662" s="94" t="inlineStr">
        <is>
          <t>앰플 30ml</t>
        </is>
      </c>
      <c r="H7662" s="7" t="n">
        <v>190801</v>
      </c>
      <c r="I7662" s="7" t="n">
        <v>190801</v>
      </c>
      <c r="J7662" s="94" t="n"/>
      <c r="K7662" s="94" t="n">
        <v>1</v>
      </c>
      <c r="L7662" s="7" t="n">
        <v>190801</v>
      </c>
      <c r="M7662" s="94">
        <f>VLOOKUP($Q7662,매칭테이블!$F:$I,2,0)*K7662</f>
        <v/>
      </c>
      <c r="N7662" s="94">
        <f>M7662-M7662*VLOOKUP($Q7662,매칭테이블!$F:$I,3,0)</f>
        <v/>
      </c>
      <c r="O7662" s="94">
        <f>VLOOKUP($Q7662,매칭테이블!$F:$I,4,0)*K7662</f>
        <v/>
      </c>
      <c r="P7662" s="148">
        <f>M7662/1.1</f>
        <v/>
      </c>
      <c r="Q7662" s="94">
        <f>F7662&amp;E7662&amp;G7662&amp;L7662</f>
        <v/>
      </c>
    </row>
    <row r="7663">
      <c r="A7663" s="94" t="n"/>
      <c r="B7663" s="128" t="n">
        <v>44025</v>
      </c>
      <c r="C7663" s="94">
        <f>TEXT(B7663,"aaa")</f>
        <v/>
      </c>
      <c r="D7663" s="94" t="n"/>
      <c r="E7663" s="94" t="inlineStr">
        <is>
          <t>마스크팩</t>
        </is>
      </c>
      <c r="F7663" s="5" t="inlineStr">
        <is>
          <t>아누아 CS</t>
        </is>
      </c>
      <c r="G7663" s="94" t="inlineStr">
        <is>
          <t>마스크팩 10매</t>
        </is>
      </c>
      <c r="H7663" s="7" t="n">
        <v>190801</v>
      </c>
      <c r="I7663" s="7" t="n">
        <v>190801</v>
      </c>
      <c r="J7663" s="94" t="n"/>
      <c r="K7663" s="94" t="n">
        <v>1</v>
      </c>
      <c r="L7663" s="7" t="n">
        <v>190801</v>
      </c>
      <c r="M7663" s="94">
        <f>VLOOKUP($Q7663,매칭테이블!$F:$I,2,0)*K7663</f>
        <v/>
      </c>
      <c r="N7663" s="94">
        <f>M7663-M7663*VLOOKUP($Q7663,매칭테이블!$F:$I,3,0)</f>
        <v/>
      </c>
      <c r="O7663" s="94">
        <f>VLOOKUP($Q7663,매칭테이블!$F:$I,4,0)*K7663</f>
        <v/>
      </c>
      <c r="P7663" s="148">
        <f>M7663/1.1</f>
        <v/>
      </c>
      <c r="Q7663" s="94">
        <f>F7663&amp;E7663&amp;G7663&amp;L7663</f>
        <v/>
      </c>
    </row>
    <row r="7664">
      <c r="A7664" s="94" t="n"/>
      <c r="B7664" s="128" t="n">
        <v>44025</v>
      </c>
      <c r="C7664" s="94">
        <f>TEXT(B7664,"aaa")</f>
        <v/>
      </c>
      <c r="D7664" s="94" t="n"/>
      <c r="E7664" s="94" t="inlineStr">
        <is>
          <t>선크림</t>
        </is>
      </c>
      <c r="F7664" s="5" t="inlineStr">
        <is>
          <t>아누아 CS</t>
        </is>
      </c>
      <c r="G7664" s="94" t="inlineStr">
        <is>
          <t>선크림 50ml</t>
        </is>
      </c>
      <c r="H7664" s="7" t="n">
        <v>190801</v>
      </c>
      <c r="I7664" s="7" t="n">
        <v>190801</v>
      </c>
      <c r="J7664" s="94" t="n"/>
      <c r="K7664" s="94" t="n">
        <v>1</v>
      </c>
      <c r="L7664" s="7" t="n">
        <v>190801</v>
      </c>
      <c r="M7664" s="94">
        <f>VLOOKUP($Q7664,매칭테이블!$F:$I,2,0)*K7664</f>
        <v/>
      </c>
      <c r="N7664" s="94">
        <f>M7664-M7664*VLOOKUP($Q7664,매칭테이블!$F:$I,3,0)</f>
        <v/>
      </c>
      <c r="O7664" s="94">
        <f>VLOOKUP($Q7664,매칭테이블!$F:$I,4,0)*K7664</f>
        <v/>
      </c>
      <c r="P7664" s="148">
        <f>M7664/1.1</f>
        <v/>
      </c>
      <c r="Q7664" s="94">
        <f>F7664&amp;E7664&amp;G7664&amp;L7664</f>
        <v/>
      </c>
    </row>
    <row r="7665">
      <c r="A7665" s="94" t="n"/>
      <c r="B7665" s="128" t="n">
        <v>44025</v>
      </c>
      <c r="C7665" s="94">
        <f>TEXT(B7665,"aaa")</f>
        <v/>
      </c>
      <c r="D7665" s="94" t="n"/>
      <c r="E7665" s="94" t="inlineStr">
        <is>
          <t>수딩크림</t>
        </is>
      </c>
      <c r="F7665" s="5" t="inlineStr">
        <is>
          <t>아누아 CS</t>
        </is>
      </c>
      <c r="G7665" s="94" t="inlineStr">
        <is>
          <t>수딩크림 100ml</t>
        </is>
      </c>
      <c r="H7665" s="7" t="n">
        <v>190801</v>
      </c>
      <c r="I7665" s="7" t="n">
        <v>190801</v>
      </c>
      <c r="J7665" s="94" t="n"/>
      <c r="K7665" s="94" t="n">
        <v>1</v>
      </c>
      <c r="L7665" s="7" t="n">
        <v>190801</v>
      </c>
      <c r="M7665" s="94">
        <f>VLOOKUP($Q7665,매칭테이블!$F:$I,2,0)*K7665</f>
        <v/>
      </c>
      <c r="N7665" s="94">
        <f>M7665-M7665*VLOOKUP($Q7665,매칭테이블!$F:$I,3,0)</f>
        <v/>
      </c>
      <c r="O7665" s="94">
        <f>VLOOKUP($Q7665,매칭테이블!$F:$I,4,0)*K7665</f>
        <v/>
      </c>
      <c r="P7665" s="148">
        <f>M7665/1.1</f>
        <v/>
      </c>
      <c r="Q7665" s="94">
        <f>F7665&amp;E7665&amp;G7665&amp;L7665</f>
        <v/>
      </c>
    </row>
    <row r="7666">
      <c r="A7666" s="94" t="n"/>
      <c r="B7666" s="128" t="n">
        <v>44025</v>
      </c>
      <c r="C7666" s="94">
        <f>TEXT(B7666,"aaa")</f>
        <v/>
      </c>
      <c r="D7666" s="94" t="n"/>
      <c r="E7666" s="94" t="inlineStr">
        <is>
          <t>머드크림마스크</t>
        </is>
      </c>
      <c r="F7666" s="5" t="inlineStr">
        <is>
          <t>아누아 CS</t>
        </is>
      </c>
      <c r="G7666" s="94" t="inlineStr">
        <is>
          <t>머드크림마스크 100ml</t>
        </is>
      </c>
      <c r="H7666" s="7" t="n">
        <v>190801</v>
      </c>
      <c r="I7666" s="7" t="n">
        <v>190801</v>
      </c>
      <c r="J7666" s="94" t="n"/>
      <c r="K7666" s="94" t="n">
        <v>1</v>
      </c>
      <c r="L7666" s="7" t="n">
        <v>190801</v>
      </c>
      <c r="M7666" s="94">
        <f>VLOOKUP($Q7666,매칭테이블!$F:$I,2,0)*K7666</f>
        <v/>
      </c>
      <c r="N7666" s="94">
        <f>M7666-M7666*VLOOKUP($Q7666,매칭테이블!$F:$I,3,0)</f>
        <v/>
      </c>
      <c r="O7666" s="94">
        <f>VLOOKUP($Q7666,매칭테이블!$F:$I,4,0)*K7666</f>
        <v/>
      </c>
      <c r="P7666" s="148">
        <f>M7666/1.1</f>
        <v/>
      </c>
      <c r="Q7666" s="94">
        <f>F7666&amp;E7666&amp;G7666&amp;L7666</f>
        <v/>
      </c>
    </row>
    <row r="7667">
      <c r="A7667" s="94" t="n"/>
      <c r="B7667" s="128" t="n">
        <v>44025</v>
      </c>
      <c r="C7667" s="94">
        <f>TEXT(B7667,"aaa")</f>
        <v/>
      </c>
      <c r="D7667" s="94" t="n"/>
      <c r="E7667" s="94" t="inlineStr">
        <is>
          <t>클렌징폼</t>
        </is>
      </c>
      <c r="F7667" s="5" t="inlineStr">
        <is>
          <t>아누아 CS</t>
        </is>
      </c>
      <c r="G7667" s="94" t="inlineStr">
        <is>
          <t>클렌징폼 120ml</t>
        </is>
      </c>
      <c r="H7667" s="7" t="n">
        <v>190801</v>
      </c>
      <c r="I7667" s="7" t="n">
        <v>190801</v>
      </c>
      <c r="J7667" s="94" t="n"/>
      <c r="K7667" s="94" t="n">
        <v>1</v>
      </c>
      <c r="L7667" s="7" t="n">
        <v>190801</v>
      </c>
      <c r="M7667" s="94">
        <f>VLOOKUP($Q7667,매칭테이블!$F:$I,2,0)*K7667</f>
        <v/>
      </c>
      <c r="N7667" s="94">
        <f>M7667-M7667*VLOOKUP($Q7667,매칭테이블!$F:$I,3,0)</f>
        <v/>
      </c>
      <c r="O7667" s="94">
        <f>VLOOKUP($Q7667,매칭테이블!$F:$I,4,0)*K7667</f>
        <v/>
      </c>
      <c r="P7667" s="148">
        <f>M7667/1.1</f>
        <v/>
      </c>
      <c r="Q7667" s="94">
        <f>F7667&amp;E7667&amp;G7667&amp;L7667</f>
        <v/>
      </c>
    </row>
    <row r="7668">
      <c r="A7668" s="94" t="n"/>
      <c r="B7668" s="128" t="n">
        <v>44025</v>
      </c>
      <c r="C7668" s="94">
        <f>TEXT(B7668,"aaa")</f>
        <v/>
      </c>
      <c r="D7668" s="94" t="n"/>
      <c r="E7668" s="94" t="inlineStr">
        <is>
          <t>토너</t>
        </is>
      </c>
      <c r="F7668" s="5" t="inlineStr">
        <is>
          <t>화해</t>
        </is>
      </c>
      <c r="G7668" s="94" t="inlineStr">
        <is>
          <t>250ml</t>
        </is>
      </c>
      <c r="H7668" s="7" t="n">
        <v>190801</v>
      </c>
      <c r="I7668" s="7" t="n">
        <v>190801</v>
      </c>
      <c r="J7668" s="94" t="n"/>
      <c r="K7668" s="94" t="n">
        <v>4</v>
      </c>
      <c r="L7668" s="7" t="n">
        <v>190801</v>
      </c>
      <c r="M7668" s="94">
        <f>VLOOKUP($Q7668,매칭테이블!$F:$I,2,0)*K7668</f>
        <v/>
      </c>
      <c r="N7668" s="94">
        <f>M7668-M7668*VLOOKUP($Q7668,매칭테이블!$F:$I,3,0)</f>
        <v/>
      </c>
      <c r="O7668" s="94">
        <f>VLOOKUP($Q7668,매칭테이블!$F:$I,4,0)*K7668</f>
        <v/>
      </c>
      <c r="P7668" s="148">
        <f>M7668/1.1</f>
        <v/>
      </c>
      <c r="Q7668" s="94">
        <f>F7668&amp;E7668&amp;G7668&amp;L7668</f>
        <v/>
      </c>
    </row>
    <row r="7669" customFormat="1" s="94">
      <c r="B7669" s="128" t="n">
        <v>44026</v>
      </c>
      <c r="C7669" s="94">
        <f>TEXT(B7669,"aaa")</f>
        <v/>
      </c>
      <c r="E7669" s="94" t="inlineStr">
        <is>
          <t>토너</t>
        </is>
      </c>
      <c r="F7669" s="5" t="inlineStr">
        <is>
          <t>W컨셉</t>
        </is>
      </c>
      <c r="G7669" s="94" t="inlineStr">
        <is>
          <t>250ml</t>
        </is>
      </c>
      <c r="H7669" s="7" t="n">
        <v>190801</v>
      </c>
      <c r="I7669" s="7" t="n">
        <v>190801</v>
      </c>
      <c r="K7669" s="94" t="n">
        <v>1</v>
      </c>
      <c r="L7669" s="7" t="n">
        <v>190801</v>
      </c>
      <c r="M7669" s="94">
        <f>VLOOKUP($Q7669,매칭테이블!$F:$I,2,0)*K7669</f>
        <v/>
      </c>
      <c r="N7669" s="94">
        <f>M7669-M7669*VLOOKUP($Q7669,매칭테이블!$F:$I,3,0)</f>
        <v/>
      </c>
      <c r="O7669" s="94">
        <f>VLOOKUP($Q7669,매칭테이블!$F:$I,4,0)*K7669</f>
        <v/>
      </c>
      <c r="P7669" s="148">
        <f>M7669/1.1</f>
        <v/>
      </c>
      <c r="Q7669" s="94">
        <f>F7669&amp;E7669&amp;G7669&amp;L7669</f>
        <v/>
      </c>
    </row>
    <row r="7670" customFormat="1" s="94">
      <c r="B7670" s="128" t="n">
        <v>44026</v>
      </c>
      <c r="C7670" s="94">
        <f>TEXT(B7670,"aaa")</f>
        <v/>
      </c>
      <c r="E7670" s="94" t="inlineStr">
        <is>
          <t>토너</t>
        </is>
      </c>
      <c r="F7670" s="5" t="inlineStr">
        <is>
          <t>W컨셉</t>
        </is>
      </c>
      <c r="G7670" s="94" t="inlineStr">
        <is>
          <t>250ml 2set</t>
        </is>
      </c>
      <c r="H7670" s="7" t="n">
        <v>190801</v>
      </c>
      <c r="I7670" s="7" t="n">
        <v>190801</v>
      </c>
      <c r="K7670" s="94" t="n">
        <v>4</v>
      </c>
      <c r="L7670" s="7" t="n">
        <v>190801</v>
      </c>
      <c r="M7670" s="94">
        <f>VLOOKUP($Q7670,매칭테이블!$F:$I,2,0)*K7670</f>
        <v/>
      </c>
      <c r="N7670" s="94">
        <f>M7670-M7670*VLOOKUP($Q7670,매칭테이블!$F:$I,3,0)</f>
        <v/>
      </c>
      <c r="O7670" s="94">
        <f>VLOOKUP($Q7670,매칭테이블!$F:$I,4,0)*K7670</f>
        <v/>
      </c>
      <c r="P7670" s="148">
        <f>M7670/1.1</f>
        <v/>
      </c>
      <c r="Q7670" s="94">
        <f>F7670&amp;E7670&amp;G7670&amp;L7670</f>
        <v/>
      </c>
    </row>
    <row r="7671" customFormat="1" s="94">
      <c r="B7671" s="128" t="n">
        <v>44026</v>
      </c>
      <c r="C7671" s="94">
        <f>TEXT(B7671,"aaa")</f>
        <v/>
      </c>
      <c r="E7671" s="94" t="inlineStr">
        <is>
          <t>토너</t>
        </is>
      </c>
      <c r="F7671" s="5" t="inlineStr">
        <is>
          <t>스타일쉐어</t>
        </is>
      </c>
      <c r="G7671" s="94" t="inlineStr">
        <is>
          <t>250ml</t>
        </is>
      </c>
      <c r="H7671" s="7" t="n">
        <v>190801</v>
      </c>
      <c r="I7671" s="7" t="n">
        <v>190801</v>
      </c>
      <c r="K7671" s="94" t="n">
        <v>5</v>
      </c>
      <c r="L7671" s="7" t="n">
        <v>190801</v>
      </c>
      <c r="M7671" s="94">
        <f>VLOOKUP($Q7671,매칭테이블!$F:$I,2,0)*K7671</f>
        <v/>
      </c>
      <c r="N7671" s="94">
        <f>M7671-M7671*VLOOKUP($Q7671,매칭테이블!$F:$I,3,0)</f>
        <v/>
      </c>
      <c r="O7671" s="94">
        <f>VLOOKUP($Q7671,매칭테이블!$F:$I,4,0)*K7671</f>
        <v/>
      </c>
      <c r="P7671" s="148">
        <f>M7671/1.1</f>
        <v/>
      </c>
      <c r="Q7671" s="94">
        <f>F7671&amp;E7671&amp;G7671&amp;L7671</f>
        <v/>
      </c>
    </row>
    <row r="7672" customFormat="1" s="94">
      <c r="B7672" s="128" t="n">
        <v>44026</v>
      </c>
      <c r="C7672" s="94">
        <f>TEXT(B7672,"aaa")</f>
        <v/>
      </c>
      <c r="E7672" s="94" t="inlineStr">
        <is>
          <t>선크림</t>
        </is>
      </c>
      <c r="F7672" s="5" t="inlineStr">
        <is>
          <t>카페24</t>
        </is>
      </c>
      <c r="G7672" s="94" t="inlineStr">
        <is>
          <t>선크림 50ml</t>
        </is>
      </c>
      <c r="H7672" s="7" t="n">
        <v>190801</v>
      </c>
      <c r="I7672" s="7" t="n">
        <v>190801</v>
      </c>
      <c r="K7672" s="94" t="n">
        <v>9</v>
      </c>
      <c r="L7672" s="7" t="n">
        <v>190801</v>
      </c>
      <c r="M7672" s="94">
        <f>VLOOKUP($Q7672,매칭테이블!$F:$I,2,0)*K7672</f>
        <v/>
      </c>
      <c r="N7672" s="94">
        <f>M7672-M7672*VLOOKUP($Q7672,매칭테이블!$F:$I,3,0)</f>
        <v/>
      </c>
      <c r="O7672" s="94">
        <f>VLOOKUP($Q7672,매칭테이블!$F:$I,4,0)*K7672</f>
        <v/>
      </c>
      <c r="P7672" s="148">
        <f>M7672/1.1</f>
        <v/>
      </c>
      <c r="Q7672" s="94">
        <f>F7672&amp;E7672&amp;G7672&amp;L7672</f>
        <v/>
      </c>
    </row>
    <row r="7673" customFormat="1" s="94">
      <c r="B7673" s="128" t="n">
        <v>44026</v>
      </c>
      <c r="C7673" s="94">
        <f>TEXT(B7673,"aaa")</f>
        <v/>
      </c>
      <c r="E7673" s="94" t="inlineStr">
        <is>
          <t>선크림</t>
        </is>
      </c>
      <c r="F7673" s="5" t="inlineStr">
        <is>
          <t>카페24</t>
        </is>
      </c>
      <c r="G7673" s="94" t="inlineStr">
        <is>
          <t>선크림 50ml  2set</t>
        </is>
      </c>
      <c r="H7673" s="7" t="n">
        <v>190801</v>
      </c>
      <c r="I7673" s="7" t="n">
        <v>190801</v>
      </c>
      <c r="K7673" s="94" t="n">
        <v>4</v>
      </c>
      <c r="L7673" s="7" t="n">
        <v>190801</v>
      </c>
      <c r="M7673" s="94">
        <f>VLOOKUP($Q7673,매칭테이블!$F:$I,2,0)*K7673</f>
        <v/>
      </c>
      <c r="N7673" s="94">
        <f>M7673-M7673*VLOOKUP($Q7673,매칭테이블!$F:$I,3,0)</f>
        <v/>
      </c>
      <c r="O7673" s="94">
        <f>VLOOKUP($Q7673,매칭테이블!$F:$I,4,0)*K7673</f>
        <v/>
      </c>
      <c r="P7673" s="148">
        <f>M7673/1.1</f>
        <v/>
      </c>
      <c r="Q7673" s="94">
        <f>F7673&amp;E7673&amp;G7673&amp;L7673</f>
        <v/>
      </c>
    </row>
    <row r="7674" customFormat="1" s="94">
      <c r="B7674" s="128" t="n">
        <v>44026</v>
      </c>
      <c r="C7674" s="94">
        <f>TEXT(B7674,"aaa")</f>
        <v/>
      </c>
      <c r="E7674" s="94" t="inlineStr">
        <is>
          <t>클렌징폼</t>
        </is>
      </c>
      <c r="F7674" s="5" t="inlineStr">
        <is>
          <t>카페24</t>
        </is>
      </c>
      <c r="G7674" s="94" t="inlineStr">
        <is>
          <t>클렌징폼 120ml(선크림할인)</t>
        </is>
      </c>
      <c r="H7674" s="7" t="n">
        <v>190801</v>
      </c>
      <c r="I7674" s="7" t="n">
        <v>190801</v>
      </c>
      <c r="K7674" s="94" t="n">
        <v>3</v>
      </c>
      <c r="L7674" s="7" t="n">
        <v>190801</v>
      </c>
      <c r="M7674" s="94">
        <f>VLOOKUP($Q7674,매칭테이블!$F:$I,2,0)*K7674</f>
        <v/>
      </c>
      <c r="N7674" s="94">
        <f>M7674-M7674*VLOOKUP($Q7674,매칭테이블!$F:$I,3,0)</f>
        <v/>
      </c>
      <c r="O7674" s="94">
        <f>VLOOKUP($Q7674,매칭테이블!$F:$I,4,0)*K7674</f>
        <v/>
      </c>
      <c r="P7674" s="148">
        <f>M7674/1.1</f>
        <v/>
      </c>
      <c r="Q7674" s="94">
        <f>F7674&amp;E7674&amp;G7674&amp;L7674</f>
        <v/>
      </c>
    </row>
    <row r="7675" customFormat="1" s="94">
      <c r="B7675" s="128" t="n">
        <v>44026</v>
      </c>
      <c r="C7675" s="94">
        <f>TEXT(B7675,"aaa")</f>
        <v/>
      </c>
      <c r="E7675" s="94" t="inlineStr">
        <is>
          <t>여름 한정 진정세트</t>
        </is>
      </c>
      <c r="F7675" s="5" t="inlineStr">
        <is>
          <t>카페24</t>
        </is>
      </c>
      <c r="G7675" s="94" t="inlineStr">
        <is>
          <t>여름 한정 진정세트</t>
        </is>
      </c>
      <c r="H7675" s="7" t="n">
        <v>190801</v>
      </c>
      <c r="I7675" s="7" t="n">
        <v>190801</v>
      </c>
      <c r="K7675" s="94" t="n">
        <v>4</v>
      </c>
      <c r="L7675" s="7" t="n">
        <v>190801</v>
      </c>
      <c r="M7675" s="94">
        <f>VLOOKUP($Q7675,매칭테이블!$F:$I,2,0)*K7675</f>
        <v/>
      </c>
      <c r="N7675" s="94">
        <f>M7675-M7675*VLOOKUP($Q7675,매칭테이블!$F:$I,3,0)</f>
        <v/>
      </c>
      <c r="O7675" s="94">
        <f>VLOOKUP($Q7675,매칭테이블!$F:$I,4,0)*K7675</f>
        <v/>
      </c>
      <c r="P7675" s="148">
        <f>M7675/1.1</f>
        <v/>
      </c>
      <c r="Q7675" s="94">
        <f>F7675&amp;E7675&amp;G7675&amp;L7675</f>
        <v/>
      </c>
    </row>
    <row r="7676" customFormat="1" s="94">
      <c r="B7676" s="128" t="n">
        <v>44026</v>
      </c>
      <c r="C7676" s="94">
        <f>TEXT(B7676,"aaa")</f>
        <v/>
      </c>
      <c r="E7676" s="94" t="inlineStr">
        <is>
          <t>여름 한정 진정세트</t>
        </is>
      </c>
      <c r="F7676" s="5" t="inlineStr">
        <is>
          <t>카페24</t>
        </is>
      </c>
      <c r="G7676" s="94" t="inlineStr">
        <is>
          <t>여름 한정 진정세트 (대용량)</t>
        </is>
      </c>
      <c r="H7676" s="7" t="n">
        <v>190801</v>
      </c>
      <c r="I7676" s="7" t="n">
        <v>190801</v>
      </c>
      <c r="K7676" s="94" t="n">
        <v>7</v>
      </c>
      <c r="L7676" s="7" t="n">
        <v>190801</v>
      </c>
      <c r="M7676" s="94">
        <f>VLOOKUP($Q7676,매칭테이블!$F:$I,2,0)*K7676</f>
        <v/>
      </c>
      <c r="N7676" s="94">
        <f>M7676-M7676*VLOOKUP($Q7676,매칭테이블!$F:$I,3,0)</f>
        <v/>
      </c>
      <c r="O7676" s="94">
        <f>VLOOKUP($Q7676,매칭테이블!$F:$I,4,0)*K7676</f>
        <v/>
      </c>
      <c r="P7676" s="148">
        <f>M7676/1.1</f>
        <v/>
      </c>
      <c r="Q7676" s="94">
        <f>F7676&amp;E7676&amp;G7676&amp;L7676</f>
        <v/>
      </c>
    </row>
    <row r="7677" customFormat="1" s="94">
      <c r="B7677" s="128" t="n">
        <v>44026</v>
      </c>
      <c r="C7677" s="94">
        <f>TEXT(B7677,"aaa")</f>
        <v/>
      </c>
      <c r="E7677" s="94" t="inlineStr">
        <is>
          <t>어성초진정패키지</t>
        </is>
      </c>
      <c r="F7677" s="5" t="inlineStr">
        <is>
          <t>카페24</t>
        </is>
      </c>
      <c r="G7677" s="94" t="inlineStr">
        <is>
          <t>어성초 진정패키지세트</t>
        </is>
      </c>
      <c r="H7677" s="7" t="n">
        <v>190801</v>
      </c>
      <c r="I7677" s="7" t="n">
        <v>190801</v>
      </c>
      <c r="K7677" s="94" t="n">
        <v>1</v>
      </c>
      <c r="L7677" s="7" t="n">
        <v>190801</v>
      </c>
      <c r="M7677" s="94">
        <f>VLOOKUP($Q7677,매칭테이블!$F:$I,2,0)*K7677</f>
        <v/>
      </c>
      <c r="N7677" s="94">
        <f>M7677-M7677*VLOOKUP($Q7677,매칭테이블!$F:$I,3,0)</f>
        <v/>
      </c>
      <c r="O7677" s="94">
        <f>VLOOKUP($Q7677,매칭테이블!$F:$I,4,0)*K7677</f>
        <v/>
      </c>
      <c r="P7677" s="148">
        <f>M7677/1.1</f>
        <v/>
      </c>
      <c r="Q7677" s="94">
        <f>F7677&amp;E7677&amp;G7677&amp;L7677</f>
        <v/>
      </c>
    </row>
    <row r="7678" customFormat="1" s="94">
      <c r="B7678" s="128" t="n">
        <v>44026</v>
      </c>
      <c r="C7678" s="94">
        <f>TEXT(B7678,"aaa")</f>
        <v/>
      </c>
      <c r="E7678" s="94" t="inlineStr">
        <is>
          <t>머드크림마스크</t>
        </is>
      </c>
      <c r="F7678" s="5" t="inlineStr">
        <is>
          <t>카페24</t>
        </is>
      </c>
      <c r="G7678" s="94" t="inlineStr">
        <is>
          <t>머드크림마스크 100ml</t>
        </is>
      </c>
      <c r="H7678" s="7" t="n">
        <v>190801</v>
      </c>
      <c r="I7678" s="7" t="n">
        <v>190801</v>
      </c>
      <c r="K7678" s="94" t="n">
        <v>3</v>
      </c>
      <c r="L7678" s="7" t="n">
        <v>190801</v>
      </c>
      <c r="M7678" s="94">
        <f>VLOOKUP($Q7678,매칭테이블!$F:$I,2,0)*K7678</f>
        <v/>
      </c>
      <c r="N7678" s="94">
        <f>M7678-M7678*VLOOKUP($Q7678,매칭테이블!$F:$I,3,0)</f>
        <v/>
      </c>
      <c r="O7678" s="94">
        <f>VLOOKUP($Q7678,매칭테이블!$F:$I,4,0)*K7678</f>
        <v/>
      </c>
      <c r="P7678" s="148">
        <f>M7678/1.1</f>
        <v/>
      </c>
      <c r="Q7678" s="94">
        <f>F7678&amp;E7678&amp;G7678&amp;L7678</f>
        <v/>
      </c>
    </row>
    <row r="7679" customFormat="1" s="94">
      <c r="B7679" s="128" t="n">
        <v>44026</v>
      </c>
      <c r="C7679" s="94">
        <f>TEXT(B7679,"aaa")</f>
        <v/>
      </c>
      <c r="E7679" s="94" t="inlineStr">
        <is>
          <t>머드크림마스크</t>
        </is>
      </c>
      <c r="F7679" s="5" t="inlineStr">
        <is>
          <t>카페24</t>
        </is>
      </c>
      <c r="G7679" s="94" t="inlineStr">
        <is>
          <t>머드크림마스크 100ml 2set</t>
        </is>
      </c>
      <c r="H7679" s="7" t="n">
        <v>190801</v>
      </c>
      <c r="I7679" s="7" t="n">
        <v>190801</v>
      </c>
      <c r="K7679" s="94" t="n">
        <v>3</v>
      </c>
      <c r="L7679" s="7" t="n">
        <v>190801</v>
      </c>
      <c r="M7679" s="94">
        <f>VLOOKUP($Q7679,매칭테이블!$F:$I,2,0)*K7679</f>
        <v/>
      </c>
      <c r="N7679" s="94">
        <f>M7679-M7679*VLOOKUP($Q7679,매칭테이블!$F:$I,3,0)</f>
        <v/>
      </c>
      <c r="O7679" s="94">
        <f>VLOOKUP($Q7679,매칭테이블!$F:$I,4,0)*K7679</f>
        <v/>
      </c>
      <c r="P7679" s="148">
        <f>M7679/1.1</f>
        <v/>
      </c>
      <c r="Q7679" s="94">
        <f>F7679&amp;E7679&amp;G7679&amp;L7679</f>
        <v/>
      </c>
    </row>
    <row r="7680" customFormat="1" s="94">
      <c r="B7680" s="128" t="n">
        <v>44026</v>
      </c>
      <c r="C7680" s="94">
        <f>TEXT(B7680,"aaa")</f>
        <v/>
      </c>
      <c r="E7680" s="94" t="inlineStr">
        <is>
          <t>토너</t>
        </is>
      </c>
      <c r="F7680" s="5" t="inlineStr">
        <is>
          <t>카페24</t>
        </is>
      </c>
      <c r="G7680" s="94" t="inlineStr">
        <is>
          <t>250ml</t>
        </is>
      </c>
      <c r="H7680" s="7" t="n">
        <v>190801</v>
      </c>
      <c r="I7680" s="7" t="n">
        <v>190801</v>
      </c>
      <c r="K7680" s="94" t="n">
        <v>79</v>
      </c>
      <c r="L7680" s="7" t="n">
        <v>190801</v>
      </c>
      <c r="M7680" s="94">
        <f>VLOOKUP($Q7680,매칭테이블!$F:$I,2,0)*K7680</f>
        <v/>
      </c>
      <c r="N7680" s="94">
        <f>M7680-M7680*VLOOKUP($Q7680,매칭테이블!$F:$I,3,0)</f>
        <v/>
      </c>
      <c r="O7680" s="94">
        <f>VLOOKUP($Q7680,매칭테이블!$F:$I,4,0)*K7680</f>
        <v/>
      </c>
      <c r="P7680" s="148">
        <f>M7680/1.1</f>
        <v/>
      </c>
      <c r="Q7680" s="94">
        <f>F7680&amp;E7680&amp;G7680&amp;L7680</f>
        <v/>
      </c>
    </row>
    <row r="7681" customFormat="1" s="94">
      <c r="B7681" s="128" t="n">
        <v>44026</v>
      </c>
      <c r="C7681" s="94">
        <f>TEXT(B7681,"aaa")</f>
        <v/>
      </c>
      <c r="E7681" s="94" t="inlineStr">
        <is>
          <t>토너</t>
        </is>
      </c>
      <c r="F7681" s="5" t="inlineStr">
        <is>
          <t>카페24</t>
        </is>
      </c>
      <c r="G7681" s="94" t="inlineStr">
        <is>
          <t>250ml 2set</t>
        </is>
      </c>
      <c r="H7681" s="7" t="n">
        <v>190801</v>
      </c>
      <c r="I7681" s="7" t="n">
        <v>190801</v>
      </c>
      <c r="K7681" s="94" t="n">
        <v>74</v>
      </c>
      <c r="L7681" s="7" t="n">
        <v>190801</v>
      </c>
      <c r="M7681" s="94">
        <f>VLOOKUP($Q7681,매칭테이블!$F:$I,2,0)*K7681</f>
        <v/>
      </c>
      <c r="N7681" s="94">
        <f>M7681-M7681*VLOOKUP($Q7681,매칭테이블!$F:$I,3,0)</f>
        <v/>
      </c>
      <c r="O7681" s="94">
        <f>VLOOKUP($Q7681,매칭테이블!$F:$I,4,0)*K7681</f>
        <v/>
      </c>
      <c r="P7681" s="148">
        <f>M7681/1.1</f>
        <v/>
      </c>
      <c r="Q7681" s="94">
        <f>F7681&amp;E7681&amp;G7681&amp;L7681</f>
        <v/>
      </c>
    </row>
    <row r="7682" customFormat="1" s="94">
      <c r="B7682" s="128" t="n">
        <v>44026</v>
      </c>
      <c r="C7682" s="94">
        <f>TEXT(B7682,"aaa")</f>
        <v/>
      </c>
      <c r="E7682" s="94" t="inlineStr">
        <is>
          <t>토너</t>
        </is>
      </c>
      <c r="F7682" s="5" t="inlineStr">
        <is>
          <t>카페24</t>
        </is>
      </c>
      <c r="G7682" s="94" t="inlineStr">
        <is>
          <t>500ml</t>
        </is>
      </c>
      <c r="H7682" s="7" t="n">
        <v>190801</v>
      </c>
      <c r="I7682" s="7" t="n">
        <v>190801</v>
      </c>
      <c r="K7682" s="94" t="n">
        <v>77</v>
      </c>
      <c r="L7682" s="7" t="n">
        <v>190801</v>
      </c>
      <c r="M7682" s="94">
        <f>VLOOKUP($Q7682,매칭테이블!$F:$I,2,0)*K7682</f>
        <v/>
      </c>
      <c r="N7682" s="94">
        <f>M7682-M7682*VLOOKUP($Q7682,매칭테이블!$F:$I,3,0)</f>
        <v/>
      </c>
      <c r="O7682" s="94">
        <f>VLOOKUP($Q7682,매칭테이블!$F:$I,4,0)*K7682</f>
        <v/>
      </c>
      <c r="P7682" s="148">
        <f>M7682/1.1</f>
        <v/>
      </c>
      <c r="Q7682" s="94">
        <f>F7682&amp;E7682&amp;G7682&amp;L7682</f>
        <v/>
      </c>
    </row>
    <row r="7683" customFormat="1" s="94">
      <c r="B7683" s="128" t="n">
        <v>44026</v>
      </c>
      <c r="C7683" s="94">
        <f>TEXT(B7683,"aaa")</f>
        <v/>
      </c>
      <c r="E7683" s="94" t="inlineStr">
        <is>
          <t>토너</t>
        </is>
      </c>
      <c r="F7683" s="5" t="inlineStr">
        <is>
          <t>카페24</t>
        </is>
      </c>
      <c r="G7683" s="94" t="inlineStr">
        <is>
          <t>스킨팩 화장솜 60P</t>
        </is>
      </c>
      <c r="H7683" s="7" t="n">
        <v>190801</v>
      </c>
      <c r="I7683" s="7" t="n">
        <v>190801</v>
      </c>
      <c r="K7683" s="94" t="n">
        <v>109</v>
      </c>
      <c r="L7683" s="7" t="n">
        <v>190801</v>
      </c>
      <c r="M7683" s="94">
        <f>VLOOKUP($Q7683,매칭테이블!$F:$I,2,0)*K7683</f>
        <v/>
      </c>
      <c r="N7683" s="94">
        <f>M7683-M7683*VLOOKUP($Q7683,매칭테이블!$F:$I,3,0)</f>
        <v/>
      </c>
      <c r="O7683" s="94">
        <f>VLOOKUP($Q7683,매칭테이블!$F:$I,4,0)*K7683</f>
        <v/>
      </c>
      <c r="P7683" s="148">
        <f>M7683/1.1</f>
        <v/>
      </c>
      <c r="Q7683" s="94">
        <f>F7683&amp;E7683&amp;G7683&amp;L7683</f>
        <v/>
      </c>
    </row>
    <row r="7684" customFormat="1" s="94">
      <c r="B7684" s="128" t="n">
        <v>44026</v>
      </c>
      <c r="C7684" s="94">
        <f>TEXT(B7684,"aaa")</f>
        <v/>
      </c>
      <c r="E7684" s="94" t="inlineStr">
        <is>
          <t>앰플</t>
        </is>
      </c>
      <c r="F7684" s="5" t="inlineStr">
        <is>
          <t>카페24</t>
        </is>
      </c>
      <c r="G7684" s="94" t="inlineStr">
        <is>
          <t>앰플 30ml</t>
        </is>
      </c>
      <c r="H7684" s="7" t="n">
        <v>190801</v>
      </c>
      <c r="I7684" s="7" t="n">
        <v>190801</v>
      </c>
      <c r="K7684" s="94" t="n">
        <v>32</v>
      </c>
      <c r="L7684" s="7" t="n">
        <v>190801</v>
      </c>
      <c r="M7684" s="94">
        <f>VLOOKUP($Q7684,매칭테이블!$F:$I,2,0)*K7684</f>
        <v/>
      </c>
      <c r="N7684" s="94">
        <f>M7684-M7684*VLOOKUP($Q7684,매칭테이블!$F:$I,3,0)</f>
        <v/>
      </c>
      <c r="O7684" s="94">
        <f>VLOOKUP($Q7684,매칭테이블!$F:$I,4,0)*K7684</f>
        <v/>
      </c>
      <c r="P7684" s="148">
        <f>M7684/1.1</f>
        <v/>
      </c>
      <c r="Q7684" s="94">
        <f>F7684&amp;E7684&amp;G7684&amp;L7684</f>
        <v/>
      </c>
    </row>
    <row r="7685" customFormat="1" s="94">
      <c r="B7685" s="128" t="n">
        <v>44026</v>
      </c>
      <c r="C7685" s="94">
        <f>TEXT(B7685,"aaa")</f>
        <v/>
      </c>
      <c r="E7685" s="94" t="inlineStr">
        <is>
          <t>수딩크림</t>
        </is>
      </c>
      <c r="F7685" s="5" t="inlineStr">
        <is>
          <t>카페24</t>
        </is>
      </c>
      <c r="G7685" s="94" t="inlineStr">
        <is>
          <t>수딩크림 100ml</t>
        </is>
      </c>
      <c r="H7685" s="7" t="n">
        <v>190801</v>
      </c>
      <c r="I7685" s="7" t="n">
        <v>190801</v>
      </c>
      <c r="K7685" s="94" t="n">
        <v>13</v>
      </c>
      <c r="L7685" s="7" t="n">
        <v>190801</v>
      </c>
      <c r="M7685" s="94">
        <f>VLOOKUP($Q7685,매칭테이블!$F:$I,2,0)*K7685</f>
        <v/>
      </c>
      <c r="N7685" s="94">
        <f>M7685-M7685*VLOOKUP($Q7685,매칭테이블!$F:$I,3,0)</f>
        <v/>
      </c>
      <c r="O7685" s="94">
        <f>VLOOKUP($Q7685,매칭테이블!$F:$I,4,0)*K7685</f>
        <v/>
      </c>
      <c r="P7685" s="148">
        <f>M7685/1.1</f>
        <v/>
      </c>
      <c r="Q7685" s="94">
        <f>F7685&amp;E7685&amp;G7685&amp;L7685</f>
        <v/>
      </c>
    </row>
    <row r="7686" customFormat="1" s="94">
      <c r="B7686" s="128" t="n">
        <v>44026</v>
      </c>
      <c r="C7686" s="94">
        <f>TEXT(B7686,"aaa")</f>
        <v/>
      </c>
      <c r="E7686" s="94" t="inlineStr">
        <is>
          <t>클렌징폼</t>
        </is>
      </c>
      <c r="F7686" s="5" t="inlineStr">
        <is>
          <t>카페24</t>
        </is>
      </c>
      <c r="G7686" s="94" t="inlineStr">
        <is>
          <t>클렌징폼 120ml</t>
        </is>
      </c>
      <c r="H7686" s="7" t="n">
        <v>190801</v>
      </c>
      <c r="I7686" s="7" t="n">
        <v>190801</v>
      </c>
      <c r="K7686" s="94" t="n">
        <v>12</v>
      </c>
      <c r="L7686" s="7" t="n">
        <v>190801</v>
      </c>
      <c r="M7686" s="94">
        <f>VLOOKUP($Q7686,매칭테이블!$F:$I,2,0)*K7686</f>
        <v/>
      </c>
      <c r="N7686" s="94">
        <f>M7686-M7686*VLOOKUP($Q7686,매칭테이블!$F:$I,3,0)</f>
        <v/>
      </c>
      <c r="O7686" s="94">
        <f>VLOOKUP($Q7686,매칭테이블!$F:$I,4,0)*K7686</f>
        <v/>
      </c>
      <c r="P7686" s="148">
        <f>M7686/1.1</f>
        <v/>
      </c>
      <c r="Q7686" s="94">
        <f>F7686&amp;E7686&amp;G7686&amp;L7686</f>
        <v/>
      </c>
    </row>
    <row r="7687" customFormat="1" s="94">
      <c r="B7687" s="128" t="n">
        <v>44026</v>
      </c>
      <c r="C7687" s="94">
        <f>TEXT(B7687,"aaa")</f>
        <v/>
      </c>
      <c r="E7687" s="94" t="inlineStr">
        <is>
          <t>선크림</t>
        </is>
      </c>
      <c r="F7687" s="5" t="inlineStr">
        <is>
          <t>현대면세점</t>
        </is>
      </c>
      <c r="G7687" s="94" t="inlineStr">
        <is>
          <t>선크림 50ml</t>
        </is>
      </c>
      <c r="H7687" s="7" t="n">
        <v>190801</v>
      </c>
      <c r="I7687" s="7" t="n">
        <v>190801</v>
      </c>
      <c r="K7687" s="94" t="n">
        <v>10</v>
      </c>
      <c r="L7687" s="7" t="n">
        <v>190801</v>
      </c>
      <c r="M7687" s="94">
        <f>VLOOKUP($Q7687,매칭테이블!$F:$I,2,0)*K7687</f>
        <v/>
      </c>
      <c r="N7687" s="94">
        <f>M7687-M7687*VLOOKUP($Q7687,매칭테이블!$F:$I,3,0)</f>
        <v/>
      </c>
      <c r="O7687" s="94">
        <f>VLOOKUP($Q7687,매칭테이블!$F:$I,4,0)*K7687</f>
        <v/>
      </c>
      <c r="P7687" s="148">
        <f>M7687/1.1</f>
        <v/>
      </c>
      <c r="Q7687" s="94">
        <f>F7687&amp;E7687&amp;G7687&amp;L7687</f>
        <v/>
      </c>
    </row>
    <row r="7688" customFormat="1" s="94">
      <c r="B7688" s="128" t="n">
        <v>44026</v>
      </c>
      <c r="C7688" s="94">
        <f>TEXT(B7688,"aaa")</f>
        <v/>
      </c>
      <c r="E7688" s="94" t="inlineStr">
        <is>
          <t>토너</t>
        </is>
      </c>
      <c r="F7688" s="5" t="inlineStr">
        <is>
          <t>큐텐재팬</t>
        </is>
      </c>
      <c r="G7688" s="94" t="inlineStr">
        <is>
          <t>250ml</t>
        </is>
      </c>
      <c r="H7688" s="7" t="n">
        <v>190801</v>
      </c>
      <c r="I7688" s="7" t="n">
        <v>190801</v>
      </c>
      <c r="K7688" s="94" t="n">
        <v>7</v>
      </c>
      <c r="L7688" s="7" t="n">
        <v>190801</v>
      </c>
      <c r="M7688" s="94">
        <f>VLOOKUP($Q7688,매칭테이블!$F:$I,2,0)*K7688</f>
        <v/>
      </c>
      <c r="N7688" s="94">
        <f>M7688-M7688*VLOOKUP($Q7688,매칭테이블!$F:$I,3,0)</f>
        <v/>
      </c>
      <c r="O7688" s="94">
        <f>VLOOKUP($Q7688,매칭테이블!$F:$I,4,0)*K7688</f>
        <v/>
      </c>
      <c r="P7688" s="148">
        <f>M7688/1.1</f>
        <v/>
      </c>
      <c r="Q7688" s="94">
        <f>F7688&amp;E7688&amp;G7688&amp;L7688</f>
        <v/>
      </c>
    </row>
    <row r="7689" customFormat="1" s="94">
      <c r="B7689" s="128" t="n">
        <v>44026</v>
      </c>
      <c r="C7689" s="94">
        <f>TEXT(B7689,"aaa")</f>
        <v/>
      </c>
      <c r="E7689" s="94" t="inlineStr">
        <is>
          <t>토너</t>
        </is>
      </c>
      <c r="F7689" s="5" t="inlineStr">
        <is>
          <t>큐텐재팬</t>
        </is>
      </c>
      <c r="G7689" s="94" t="inlineStr">
        <is>
          <t>250ml 2set</t>
        </is>
      </c>
      <c r="H7689" s="7" t="n">
        <v>190801</v>
      </c>
      <c r="I7689" s="7" t="n">
        <v>190801</v>
      </c>
      <c r="K7689" s="94" t="n">
        <v>3</v>
      </c>
      <c r="L7689" s="7" t="n">
        <v>190801</v>
      </c>
      <c r="M7689" s="94">
        <f>VLOOKUP($Q7689,매칭테이블!$F:$I,2,0)*K7689</f>
        <v/>
      </c>
      <c r="N7689" s="94">
        <f>M7689-M7689*VLOOKUP($Q7689,매칭테이블!$F:$I,3,0)</f>
        <v/>
      </c>
      <c r="O7689" s="94">
        <f>VLOOKUP($Q7689,매칭테이블!$F:$I,4,0)*K7689</f>
        <v/>
      </c>
      <c r="P7689" s="148">
        <f>M7689/1.1</f>
        <v/>
      </c>
      <c r="Q7689" s="94">
        <f>F7689&amp;E7689&amp;G7689&amp;L7689</f>
        <v/>
      </c>
    </row>
    <row r="7690" customFormat="1" s="94">
      <c r="B7690" s="128" t="n">
        <v>44026</v>
      </c>
      <c r="C7690" s="94">
        <f>TEXT(B7690,"aaa")</f>
        <v/>
      </c>
      <c r="E7690" s="94" t="inlineStr">
        <is>
          <t>수딩크림</t>
        </is>
      </c>
      <c r="F7690" s="5" t="inlineStr">
        <is>
          <t>큐텐재팬</t>
        </is>
      </c>
      <c r="G7690" s="94" t="inlineStr">
        <is>
          <t>수딩크림 100ml</t>
        </is>
      </c>
      <c r="H7690" s="7" t="n">
        <v>190801</v>
      </c>
      <c r="I7690" s="7" t="n">
        <v>190801</v>
      </c>
      <c r="K7690" s="94" t="n">
        <v>1</v>
      </c>
      <c r="L7690" s="7" t="n">
        <v>190801</v>
      </c>
      <c r="M7690" s="94">
        <f>VLOOKUP($Q7690,매칭테이블!$F:$I,2,0)*K7690</f>
        <v/>
      </c>
      <c r="N7690" s="94">
        <f>M7690-M7690*VLOOKUP($Q7690,매칭테이블!$F:$I,3,0)</f>
        <v/>
      </c>
      <c r="O7690" s="94">
        <f>VLOOKUP($Q7690,매칭테이블!$F:$I,4,0)*K7690</f>
        <v/>
      </c>
      <c r="P7690" s="148">
        <f>M7690/1.1</f>
        <v/>
      </c>
      <c r="Q7690" s="94">
        <f>F7690&amp;E7690&amp;G7690&amp;L7690</f>
        <v/>
      </c>
    </row>
    <row r="7691" customFormat="1" s="94">
      <c r="B7691" s="128" t="n">
        <v>44026</v>
      </c>
      <c r="C7691" s="94">
        <f>TEXT(B7691,"aaa")</f>
        <v/>
      </c>
      <c r="E7691" s="94" t="inlineStr">
        <is>
          <t>선크림</t>
        </is>
      </c>
      <c r="F7691" s="5" t="inlineStr">
        <is>
          <t>아누아 CS</t>
        </is>
      </c>
      <c r="G7691" s="94" t="inlineStr">
        <is>
          <t>선크림 50ml</t>
        </is>
      </c>
      <c r="H7691" s="7" t="n">
        <v>190801</v>
      </c>
      <c r="I7691" s="7" t="n">
        <v>190801</v>
      </c>
      <c r="K7691" s="94" t="n">
        <v>2</v>
      </c>
      <c r="L7691" s="7" t="n">
        <v>190801</v>
      </c>
      <c r="M7691" s="94">
        <f>VLOOKUP($Q7691,매칭테이블!$F:$I,2,0)*K7691</f>
        <v/>
      </c>
      <c r="N7691" s="94">
        <f>M7691-M7691*VLOOKUP($Q7691,매칭테이블!$F:$I,3,0)</f>
        <v/>
      </c>
      <c r="O7691" s="94">
        <f>VLOOKUP($Q7691,매칭테이블!$F:$I,4,0)*K7691</f>
        <v/>
      </c>
      <c r="P7691" s="148">
        <f>M7691/1.1</f>
        <v/>
      </c>
      <c r="Q7691" s="94">
        <f>F7691&amp;E7691&amp;G7691&amp;L7691</f>
        <v/>
      </c>
    </row>
    <row r="7692" customFormat="1" s="94">
      <c r="B7692" s="128" t="n">
        <v>44026</v>
      </c>
      <c r="C7692" s="94">
        <f>TEXT(B7692,"aaa")</f>
        <v/>
      </c>
      <c r="E7692" s="94" t="inlineStr">
        <is>
          <t>토너</t>
        </is>
      </c>
      <c r="F7692" s="5" t="inlineStr">
        <is>
          <t>화해</t>
        </is>
      </c>
      <c r="G7692" s="94" t="inlineStr">
        <is>
          <t>250ml</t>
        </is>
      </c>
      <c r="H7692" s="7" t="n">
        <v>190801</v>
      </c>
      <c r="I7692" s="7" t="n">
        <v>190801</v>
      </c>
      <c r="K7692" s="94" t="n">
        <v>7</v>
      </c>
      <c r="L7692" s="7" t="n">
        <v>190801</v>
      </c>
      <c r="M7692" s="94">
        <f>VLOOKUP($Q7692,매칭테이블!$F:$I,2,0)*K7692</f>
        <v/>
      </c>
      <c r="N7692" s="94">
        <f>M7692-M7692*VLOOKUP($Q7692,매칭테이블!$F:$I,3,0)</f>
        <v/>
      </c>
      <c r="O7692" s="94">
        <f>VLOOKUP($Q7692,매칭테이블!$F:$I,4,0)*K7692</f>
        <v/>
      </c>
      <c r="P7692" s="148">
        <f>M7692/1.1</f>
        <v/>
      </c>
      <c r="Q7692" s="94">
        <f>F7692&amp;E7692&amp;G7692&amp;L7692</f>
        <v/>
      </c>
    </row>
    <row r="7693" customFormat="1" s="94">
      <c r="B7693" s="128" t="n">
        <v>44027</v>
      </c>
      <c r="C7693" s="94">
        <f>TEXT(B7693,"aaa")</f>
        <v/>
      </c>
      <c r="E7693" s="94" t="inlineStr">
        <is>
          <t>토너</t>
        </is>
      </c>
      <c r="F7693" s="5" t="inlineStr">
        <is>
          <t>W컨셉</t>
        </is>
      </c>
      <c r="G7693" s="94" t="inlineStr">
        <is>
          <t>250ml</t>
        </is>
      </c>
      <c r="H7693" s="7" t="n">
        <v>190801</v>
      </c>
      <c r="I7693" s="7" t="n">
        <v>190801</v>
      </c>
      <c r="K7693" s="94" t="n">
        <v>1</v>
      </c>
      <c r="L7693" s="7" t="n">
        <v>190801</v>
      </c>
      <c r="M7693" s="94">
        <f>VLOOKUP($Q7693,매칭테이블!$F:$I,2,0)*K7693</f>
        <v/>
      </c>
      <c r="N7693" s="94">
        <f>M7693-M7693*VLOOKUP($Q7693,매칭테이블!$F:$I,3,0)</f>
        <v/>
      </c>
      <c r="O7693" s="94">
        <f>VLOOKUP($Q7693,매칭테이블!$F:$I,4,0)*K7693</f>
        <v/>
      </c>
      <c r="P7693" s="148">
        <f>M7693/1.1</f>
        <v/>
      </c>
      <c r="Q7693" s="94">
        <f>F7693&amp;E7693&amp;G7693&amp;L7693</f>
        <v/>
      </c>
    </row>
    <row r="7694" customFormat="1" s="94">
      <c r="B7694" s="128" t="n">
        <v>44027</v>
      </c>
      <c r="C7694" s="94">
        <f>TEXT(B7694,"aaa")</f>
        <v/>
      </c>
      <c r="E7694" s="94" t="inlineStr">
        <is>
          <t>토너</t>
        </is>
      </c>
      <c r="F7694" s="5" t="inlineStr">
        <is>
          <t>W컨셉</t>
        </is>
      </c>
      <c r="G7694" s="94" t="inlineStr">
        <is>
          <t>250ml 2set</t>
        </is>
      </c>
      <c r="H7694" s="7" t="n">
        <v>190801</v>
      </c>
      <c r="I7694" s="7" t="n">
        <v>190801</v>
      </c>
      <c r="K7694" s="94" t="n">
        <v>1</v>
      </c>
      <c r="L7694" s="7" t="n">
        <v>190801</v>
      </c>
      <c r="M7694" s="94">
        <f>VLOOKUP($Q7694,매칭테이블!$F:$I,2,0)*K7694</f>
        <v/>
      </c>
      <c r="N7694" s="94">
        <f>M7694-M7694*VLOOKUP($Q7694,매칭테이블!$F:$I,3,0)</f>
        <v/>
      </c>
      <c r="O7694" s="94">
        <f>VLOOKUP($Q7694,매칭테이블!$F:$I,4,0)*K7694</f>
        <v/>
      </c>
      <c r="P7694" s="148">
        <f>M7694/1.1</f>
        <v/>
      </c>
      <c r="Q7694" s="94">
        <f>F7694&amp;E7694&amp;G7694&amp;L7694</f>
        <v/>
      </c>
    </row>
    <row r="7695" customFormat="1" s="91">
      <c r="B7695" s="128" t="n">
        <v>44027</v>
      </c>
      <c r="C7695" s="94">
        <f>TEXT(B7695,"aaa")</f>
        <v/>
      </c>
      <c r="E7695" s="91" t="inlineStr">
        <is>
          <t>수딩크림</t>
        </is>
      </c>
      <c r="F7695" s="14" t="inlineStr">
        <is>
          <t>글로우데이즈 시코르</t>
        </is>
      </c>
      <c r="G7695" s="91" t="inlineStr">
        <is>
          <t>수딩크림=수딩크림 100ml</t>
        </is>
      </c>
      <c r="H7695" s="15" t="n">
        <v>190801</v>
      </c>
      <c r="I7695" s="15" t="n">
        <v>190801</v>
      </c>
      <c r="K7695" s="91" t="n">
        <v>10</v>
      </c>
      <c r="L7695" s="15" t="n">
        <v>190801</v>
      </c>
      <c r="M7695" s="91">
        <f>VLOOKUP($Q7695,매칭테이블!$F:$I,2,0)*K7695</f>
        <v/>
      </c>
      <c r="N7695" s="91">
        <f>M7695-M7695*VLOOKUP($Q7695,매칭테이블!$F:$I,3,0)</f>
        <v/>
      </c>
      <c r="O7695" s="91">
        <f>VLOOKUP($Q7695,매칭테이블!$F:$I,4,0)*K7695</f>
        <v/>
      </c>
      <c r="P7695" s="150">
        <f>M7695/1.1</f>
        <v/>
      </c>
      <c r="Q7695" s="91">
        <f>F7695&amp;E7695&amp;G7695&amp;L7695</f>
        <v/>
      </c>
    </row>
    <row r="7696" customFormat="1" s="94">
      <c r="B7696" s="128" t="n">
        <v>44027</v>
      </c>
      <c r="C7696" s="94">
        <f>TEXT(B7696,"aaa")</f>
        <v/>
      </c>
      <c r="E7696" s="94" t="inlineStr">
        <is>
          <t>토너</t>
        </is>
      </c>
      <c r="F7696" s="5" t="inlineStr">
        <is>
          <t>스타일쉐어</t>
        </is>
      </c>
      <c r="G7696" s="94" t="inlineStr">
        <is>
          <t>250ml</t>
        </is>
      </c>
      <c r="H7696" s="7" t="n">
        <v>190801</v>
      </c>
      <c r="I7696" s="7" t="n">
        <v>190801</v>
      </c>
      <c r="K7696" s="94" t="n">
        <v>25</v>
      </c>
      <c r="L7696" s="7" t="n">
        <v>190801</v>
      </c>
      <c r="M7696" s="94">
        <f>VLOOKUP($Q7696,매칭테이블!$F:$I,2,0)*K7696</f>
        <v/>
      </c>
      <c r="N7696" s="94">
        <f>M7696-M7696*VLOOKUP($Q7696,매칭테이블!$F:$I,3,0)</f>
        <v/>
      </c>
      <c r="O7696" s="94">
        <f>VLOOKUP($Q7696,매칭테이블!$F:$I,4,0)*K7696</f>
        <v/>
      </c>
      <c r="P7696" s="148">
        <f>M7696/1.1</f>
        <v/>
      </c>
      <c r="Q7696" s="94">
        <f>F7696&amp;E7696&amp;G7696&amp;L7696</f>
        <v/>
      </c>
    </row>
    <row r="7697" customFormat="1" s="94">
      <c r="B7697" s="128" t="n">
        <v>44027</v>
      </c>
      <c r="C7697" s="94">
        <f>TEXT(B7697,"aaa")</f>
        <v/>
      </c>
      <c r="E7697" s="94" t="inlineStr">
        <is>
          <t>선크림</t>
        </is>
      </c>
      <c r="F7697" s="5" t="inlineStr">
        <is>
          <t>카페24</t>
        </is>
      </c>
      <c r="G7697" s="94" t="inlineStr">
        <is>
          <t>선크림 50ml</t>
        </is>
      </c>
      <c r="H7697" s="7" t="n">
        <v>190801</v>
      </c>
      <c r="I7697" s="7" t="n">
        <v>190801</v>
      </c>
      <c r="K7697" s="94" t="n">
        <v>3</v>
      </c>
      <c r="L7697" s="7" t="n">
        <v>190801</v>
      </c>
      <c r="M7697" s="94">
        <f>VLOOKUP($Q7697,매칭테이블!$F:$I,2,0)*K7697</f>
        <v/>
      </c>
      <c r="N7697" s="94">
        <f>M7697-M7697*VLOOKUP($Q7697,매칭테이블!$F:$I,3,0)</f>
        <v/>
      </c>
      <c r="O7697" s="94">
        <f>VLOOKUP($Q7697,매칭테이블!$F:$I,4,0)*K7697</f>
        <v/>
      </c>
      <c r="P7697" s="148">
        <f>M7697/1.1</f>
        <v/>
      </c>
      <c r="Q7697" s="94">
        <f>F7697&amp;E7697&amp;G7697&amp;L7697</f>
        <v/>
      </c>
    </row>
    <row r="7698" customFormat="1" s="94">
      <c r="B7698" s="128" t="n">
        <v>44027</v>
      </c>
      <c r="C7698" s="94">
        <f>TEXT(B7698,"aaa")</f>
        <v/>
      </c>
      <c r="E7698" s="94" t="inlineStr">
        <is>
          <t>선크림</t>
        </is>
      </c>
      <c r="F7698" s="5" t="inlineStr">
        <is>
          <t>카페24</t>
        </is>
      </c>
      <c r="G7698" s="94" t="inlineStr">
        <is>
          <t>선크림 50ml  2set</t>
        </is>
      </c>
      <c r="H7698" s="7" t="n">
        <v>190801</v>
      </c>
      <c r="I7698" s="7" t="n">
        <v>190801</v>
      </c>
      <c r="K7698" s="94" t="n">
        <v>1</v>
      </c>
      <c r="L7698" s="7" t="n">
        <v>190801</v>
      </c>
      <c r="M7698" s="94">
        <f>VLOOKUP($Q7698,매칭테이블!$F:$I,2,0)*K7698</f>
        <v/>
      </c>
      <c r="N7698" s="94">
        <f>M7698-M7698*VLOOKUP($Q7698,매칭테이블!$F:$I,3,0)</f>
        <v/>
      </c>
      <c r="O7698" s="94">
        <f>VLOOKUP($Q7698,매칭테이블!$F:$I,4,0)*K7698</f>
        <v/>
      </c>
      <c r="P7698" s="148">
        <f>M7698/1.1</f>
        <v/>
      </c>
      <c r="Q7698" s="94">
        <f>F7698&amp;E7698&amp;G7698&amp;L7698</f>
        <v/>
      </c>
    </row>
    <row r="7699" customFormat="1" s="94">
      <c r="B7699" s="128" t="n">
        <v>44027</v>
      </c>
      <c r="C7699" s="94">
        <f>TEXT(B7699,"aaa")</f>
        <v/>
      </c>
      <c r="E7699" s="94" t="inlineStr">
        <is>
          <t>여름 한정 진정세트</t>
        </is>
      </c>
      <c r="F7699" s="5" t="inlineStr">
        <is>
          <t>카페24</t>
        </is>
      </c>
      <c r="G7699" s="94" t="inlineStr">
        <is>
          <t>여름 한정 진정세트</t>
        </is>
      </c>
      <c r="H7699" s="7" t="n">
        <v>190801</v>
      </c>
      <c r="I7699" s="7" t="n">
        <v>190801</v>
      </c>
      <c r="K7699" s="94" t="n">
        <v>4</v>
      </c>
      <c r="L7699" s="7" t="n">
        <v>190801</v>
      </c>
      <c r="M7699" s="94">
        <f>VLOOKUP($Q7699,매칭테이블!$F:$I,2,0)*K7699</f>
        <v/>
      </c>
      <c r="N7699" s="94">
        <f>M7699-M7699*VLOOKUP($Q7699,매칭테이블!$F:$I,3,0)</f>
        <v/>
      </c>
      <c r="O7699" s="94">
        <f>VLOOKUP($Q7699,매칭테이블!$F:$I,4,0)*K7699</f>
        <v/>
      </c>
      <c r="P7699" s="148">
        <f>M7699/1.1</f>
        <v/>
      </c>
      <c r="Q7699" s="94">
        <f>F7699&amp;E7699&amp;G7699&amp;L7699</f>
        <v/>
      </c>
    </row>
    <row r="7700" customFormat="1" s="94">
      <c r="B7700" s="128" t="n">
        <v>44027</v>
      </c>
      <c r="C7700" s="94">
        <f>TEXT(B7700,"aaa")</f>
        <v/>
      </c>
      <c r="E7700" s="94" t="inlineStr">
        <is>
          <t>여름 한정 진정세트</t>
        </is>
      </c>
      <c r="F7700" s="5" t="inlineStr">
        <is>
          <t>카페24</t>
        </is>
      </c>
      <c r="G7700" s="94" t="inlineStr">
        <is>
          <t>여름 한정 진정세트 (대용량)</t>
        </is>
      </c>
      <c r="H7700" s="7" t="n">
        <v>190801</v>
      </c>
      <c r="I7700" s="7" t="n">
        <v>190801</v>
      </c>
      <c r="K7700" s="94" t="n">
        <v>6</v>
      </c>
      <c r="L7700" s="7" t="n">
        <v>190801</v>
      </c>
      <c r="M7700" s="94">
        <f>VLOOKUP($Q7700,매칭테이블!$F:$I,2,0)*K7700</f>
        <v/>
      </c>
      <c r="N7700" s="94">
        <f>M7700-M7700*VLOOKUP($Q7700,매칭테이블!$F:$I,3,0)</f>
        <v/>
      </c>
      <c r="O7700" s="94">
        <f>VLOOKUP($Q7700,매칭테이블!$F:$I,4,0)*K7700</f>
        <v/>
      </c>
      <c r="P7700" s="148">
        <f>M7700/1.1</f>
        <v/>
      </c>
      <c r="Q7700" s="94">
        <f>F7700&amp;E7700&amp;G7700&amp;L7700</f>
        <v/>
      </c>
    </row>
    <row r="7701" customFormat="1" s="94">
      <c r="B7701" s="128" t="n">
        <v>44027</v>
      </c>
      <c r="C7701" s="94">
        <f>TEXT(B7701,"aaa")</f>
        <v/>
      </c>
      <c r="E7701" s="94" t="inlineStr">
        <is>
          <t>머드크림마스크</t>
        </is>
      </c>
      <c r="F7701" s="5" t="inlineStr">
        <is>
          <t>카페24</t>
        </is>
      </c>
      <c r="G7701" s="94" t="inlineStr">
        <is>
          <t>머드크림마스크 100ml</t>
        </is>
      </c>
      <c r="H7701" s="7" t="n">
        <v>190801</v>
      </c>
      <c r="I7701" s="7" t="n">
        <v>190801</v>
      </c>
      <c r="K7701" s="94" t="n">
        <v>3</v>
      </c>
      <c r="L7701" s="7" t="n">
        <v>190801</v>
      </c>
      <c r="M7701" s="94">
        <f>VLOOKUP($Q7701,매칭테이블!$F:$I,2,0)*K7701</f>
        <v/>
      </c>
      <c r="N7701" s="94">
        <f>M7701-M7701*VLOOKUP($Q7701,매칭테이블!$F:$I,3,0)</f>
        <v/>
      </c>
      <c r="O7701" s="94">
        <f>VLOOKUP($Q7701,매칭테이블!$F:$I,4,0)*K7701</f>
        <v/>
      </c>
      <c r="P7701" s="148">
        <f>M7701/1.1</f>
        <v/>
      </c>
      <c r="Q7701" s="94">
        <f>F7701&amp;E7701&amp;G7701&amp;L7701</f>
        <v/>
      </c>
    </row>
    <row r="7702" customFormat="1" s="94">
      <c r="B7702" s="128" t="n">
        <v>44027</v>
      </c>
      <c r="C7702" s="94">
        <f>TEXT(B7702,"aaa")</f>
        <v/>
      </c>
      <c r="E7702" s="94" t="inlineStr">
        <is>
          <t>머드크림마스크</t>
        </is>
      </c>
      <c r="F7702" s="5" t="inlineStr">
        <is>
          <t>카페24</t>
        </is>
      </c>
      <c r="G7702" s="94" t="inlineStr">
        <is>
          <t>머드크림마스크 100ml 2set</t>
        </is>
      </c>
      <c r="H7702" s="7" t="n">
        <v>190801</v>
      </c>
      <c r="I7702" s="7" t="n">
        <v>190801</v>
      </c>
      <c r="K7702" s="94" t="n">
        <v>1</v>
      </c>
      <c r="L7702" s="7" t="n">
        <v>190801</v>
      </c>
      <c r="M7702" s="94">
        <f>VLOOKUP($Q7702,매칭테이블!$F:$I,2,0)*K7702</f>
        <v/>
      </c>
      <c r="N7702" s="94">
        <f>M7702-M7702*VLOOKUP($Q7702,매칭테이블!$F:$I,3,0)</f>
        <v/>
      </c>
      <c r="O7702" s="94">
        <f>VLOOKUP($Q7702,매칭테이블!$F:$I,4,0)*K7702</f>
        <v/>
      </c>
      <c r="P7702" s="148">
        <f>M7702/1.1</f>
        <v/>
      </c>
      <c r="Q7702" s="94">
        <f>F7702&amp;E7702&amp;G7702&amp;L7702</f>
        <v/>
      </c>
    </row>
    <row r="7703" customFormat="1" s="94">
      <c r="B7703" s="128" t="n">
        <v>44027</v>
      </c>
      <c r="C7703" s="94">
        <f>TEXT(B7703,"aaa")</f>
        <v/>
      </c>
      <c r="E7703" s="94" t="inlineStr">
        <is>
          <t>토너</t>
        </is>
      </c>
      <c r="F7703" s="5" t="inlineStr">
        <is>
          <t>카페24</t>
        </is>
      </c>
      <c r="G7703" s="94" t="inlineStr">
        <is>
          <t>250ml</t>
        </is>
      </c>
      <c r="H7703" s="7" t="n">
        <v>190801</v>
      </c>
      <c r="I7703" s="7" t="n">
        <v>190801</v>
      </c>
      <c r="K7703" s="94" t="n">
        <v>79</v>
      </c>
      <c r="L7703" s="7" t="n">
        <v>190801</v>
      </c>
      <c r="M7703" s="94">
        <f>VLOOKUP($Q7703,매칭테이블!$F:$I,2,0)*K7703</f>
        <v/>
      </c>
      <c r="N7703" s="94">
        <f>M7703-M7703*VLOOKUP($Q7703,매칭테이블!$F:$I,3,0)</f>
        <v/>
      </c>
      <c r="O7703" s="94">
        <f>VLOOKUP($Q7703,매칭테이블!$F:$I,4,0)*K7703</f>
        <v/>
      </c>
      <c r="P7703" s="148">
        <f>M7703/1.1</f>
        <v/>
      </c>
      <c r="Q7703" s="94">
        <f>F7703&amp;E7703&amp;G7703&amp;L7703</f>
        <v/>
      </c>
    </row>
    <row r="7704" customFormat="1" s="94">
      <c r="B7704" s="128" t="n">
        <v>44027</v>
      </c>
      <c r="C7704" s="94">
        <f>TEXT(B7704,"aaa")</f>
        <v/>
      </c>
      <c r="E7704" s="94" t="inlineStr">
        <is>
          <t>토너</t>
        </is>
      </c>
      <c r="F7704" s="5" t="inlineStr">
        <is>
          <t>카페24</t>
        </is>
      </c>
      <c r="G7704" s="94" t="inlineStr">
        <is>
          <t>250ml 2set</t>
        </is>
      </c>
      <c r="H7704" s="7" t="n">
        <v>190801</v>
      </c>
      <c r="I7704" s="7" t="n">
        <v>190801</v>
      </c>
      <c r="K7704" s="94" t="n">
        <v>77</v>
      </c>
      <c r="L7704" s="7" t="n">
        <v>190801</v>
      </c>
      <c r="M7704" s="94">
        <f>VLOOKUP($Q7704,매칭테이블!$F:$I,2,0)*K7704</f>
        <v/>
      </c>
      <c r="N7704" s="94">
        <f>M7704-M7704*VLOOKUP($Q7704,매칭테이블!$F:$I,3,0)</f>
        <v/>
      </c>
      <c r="O7704" s="94">
        <f>VLOOKUP($Q7704,매칭테이블!$F:$I,4,0)*K7704</f>
        <v/>
      </c>
      <c r="P7704" s="148">
        <f>M7704/1.1</f>
        <v/>
      </c>
      <c r="Q7704" s="94">
        <f>F7704&amp;E7704&amp;G7704&amp;L7704</f>
        <v/>
      </c>
    </row>
    <row r="7705" customFormat="1" s="94">
      <c r="B7705" s="128" t="n">
        <v>44027</v>
      </c>
      <c r="C7705" s="94">
        <f>TEXT(B7705,"aaa")</f>
        <v/>
      </c>
      <c r="E7705" s="94" t="inlineStr">
        <is>
          <t>토너</t>
        </is>
      </c>
      <c r="F7705" s="5" t="inlineStr">
        <is>
          <t>카페24</t>
        </is>
      </c>
      <c r="G7705" s="94" t="inlineStr">
        <is>
          <t>500ml</t>
        </is>
      </c>
      <c r="H7705" s="7" t="n">
        <v>190801</v>
      </c>
      <c r="I7705" s="7" t="n">
        <v>190801</v>
      </c>
      <c r="K7705" s="94" t="n">
        <v>69</v>
      </c>
      <c r="L7705" s="7" t="n">
        <v>190801</v>
      </c>
      <c r="M7705" s="94">
        <f>VLOOKUP($Q7705,매칭테이블!$F:$I,2,0)*K7705</f>
        <v/>
      </c>
      <c r="N7705" s="94">
        <f>M7705-M7705*VLOOKUP($Q7705,매칭테이블!$F:$I,3,0)</f>
        <v/>
      </c>
      <c r="O7705" s="94">
        <f>VLOOKUP($Q7705,매칭테이블!$F:$I,4,0)*K7705</f>
        <v/>
      </c>
      <c r="P7705" s="148">
        <f>M7705/1.1</f>
        <v/>
      </c>
      <c r="Q7705" s="94">
        <f>F7705&amp;E7705&amp;G7705&amp;L7705</f>
        <v/>
      </c>
    </row>
    <row r="7706" customFormat="1" s="94">
      <c r="B7706" s="128" t="n">
        <v>44027</v>
      </c>
      <c r="C7706" s="94">
        <f>TEXT(B7706,"aaa")</f>
        <v/>
      </c>
      <c r="E7706" s="94" t="inlineStr">
        <is>
          <t>토너</t>
        </is>
      </c>
      <c r="F7706" s="5" t="inlineStr">
        <is>
          <t>카페24</t>
        </is>
      </c>
      <c r="G7706" s="94" t="inlineStr">
        <is>
          <t>스킨팩 화장솜 60P</t>
        </is>
      </c>
      <c r="H7706" s="7" t="n">
        <v>190801</v>
      </c>
      <c r="I7706" s="7" t="n">
        <v>190801</v>
      </c>
      <c r="K7706" s="94" t="n">
        <v>102</v>
      </c>
      <c r="L7706" s="7" t="n">
        <v>190801</v>
      </c>
      <c r="M7706" s="94">
        <f>VLOOKUP($Q7706,매칭테이블!$F:$I,2,0)*K7706</f>
        <v/>
      </c>
      <c r="N7706" s="94">
        <f>M7706-M7706*VLOOKUP($Q7706,매칭테이블!$F:$I,3,0)</f>
        <v/>
      </c>
      <c r="O7706" s="94">
        <f>VLOOKUP($Q7706,매칭테이블!$F:$I,4,0)*K7706</f>
        <v/>
      </c>
      <c r="P7706" s="148">
        <f>M7706/1.1</f>
        <v/>
      </c>
      <c r="Q7706" s="94">
        <f>F7706&amp;E7706&amp;G7706&amp;L7706</f>
        <v/>
      </c>
    </row>
    <row r="7707" customFormat="1" s="94">
      <c r="B7707" s="128" t="n">
        <v>44027</v>
      </c>
      <c r="C7707" s="94">
        <f>TEXT(B7707,"aaa")</f>
        <v/>
      </c>
      <c r="E7707" s="94" t="inlineStr">
        <is>
          <t>앰플</t>
        </is>
      </c>
      <c r="F7707" s="5" t="inlineStr">
        <is>
          <t>카페24</t>
        </is>
      </c>
      <c r="G7707" s="94" t="inlineStr">
        <is>
          <t>앰플 30ml</t>
        </is>
      </c>
      <c r="H7707" s="7" t="n">
        <v>190801</v>
      </c>
      <c r="I7707" s="7" t="n">
        <v>190801</v>
      </c>
      <c r="K7707" s="94" t="n">
        <v>16</v>
      </c>
      <c r="L7707" s="7" t="n">
        <v>190801</v>
      </c>
      <c r="M7707" s="94">
        <f>VLOOKUP($Q7707,매칭테이블!$F:$I,2,0)*K7707</f>
        <v/>
      </c>
      <c r="N7707" s="94">
        <f>M7707-M7707*VLOOKUP($Q7707,매칭테이블!$F:$I,3,0)</f>
        <v/>
      </c>
      <c r="O7707" s="94">
        <f>VLOOKUP($Q7707,매칭테이블!$F:$I,4,0)*K7707</f>
        <v/>
      </c>
      <c r="P7707" s="148">
        <f>M7707/1.1</f>
        <v/>
      </c>
      <c r="Q7707" s="94">
        <f>F7707&amp;E7707&amp;G7707&amp;L7707</f>
        <v/>
      </c>
    </row>
    <row r="7708" customFormat="1" s="94">
      <c r="B7708" s="128" t="n">
        <v>44027</v>
      </c>
      <c r="C7708" s="94">
        <f>TEXT(B7708,"aaa")</f>
        <v/>
      </c>
      <c r="E7708" s="94" t="inlineStr">
        <is>
          <t>수딩크림</t>
        </is>
      </c>
      <c r="F7708" s="5" t="inlineStr">
        <is>
          <t>카페24</t>
        </is>
      </c>
      <c r="G7708" s="94" t="inlineStr">
        <is>
          <t>수딩크림 100ml</t>
        </is>
      </c>
      <c r="H7708" s="7" t="n">
        <v>190801</v>
      </c>
      <c r="I7708" s="7" t="n">
        <v>190801</v>
      </c>
      <c r="K7708" s="94" t="n">
        <v>11</v>
      </c>
      <c r="L7708" s="7" t="n">
        <v>190801</v>
      </c>
      <c r="M7708" s="94">
        <f>VLOOKUP($Q7708,매칭테이블!$F:$I,2,0)*K7708</f>
        <v/>
      </c>
      <c r="N7708" s="94">
        <f>M7708-M7708*VLOOKUP($Q7708,매칭테이블!$F:$I,3,0)</f>
        <v/>
      </c>
      <c r="O7708" s="94">
        <f>VLOOKUP($Q7708,매칭테이블!$F:$I,4,0)*K7708</f>
        <v/>
      </c>
      <c r="P7708" s="148">
        <f>M7708/1.1</f>
        <v/>
      </c>
      <c r="Q7708" s="94">
        <f>F7708&amp;E7708&amp;G7708&amp;L7708</f>
        <v/>
      </c>
    </row>
    <row r="7709" customFormat="1" s="94">
      <c r="B7709" s="128" t="n">
        <v>44027</v>
      </c>
      <c r="C7709" s="94">
        <f>TEXT(B7709,"aaa")</f>
        <v/>
      </c>
      <c r="E7709" s="94" t="inlineStr">
        <is>
          <t>클렌징폼</t>
        </is>
      </c>
      <c r="F7709" s="5" t="inlineStr">
        <is>
          <t>카페24</t>
        </is>
      </c>
      <c r="G7709" s="94" t="inlineStr">
        <is>
          <t>클렌징폼 120ml</t>
        </is>
      </c>
      <c r="H7709" s="7" t="n">
        <v>190801</v>
      </c>
      <c r="I7709" s="7" t="n">
        <v>190801</v>
      </c>
      <c r="K7709" s="94" t="n">
        <v>10</v>
      </c>
      <c r="L7709" s="7" t="n">
        <v>190801</v>
      </c>
      <c r="M7709" s="94">
        <f>VLOOKUP($Q7709,매칭테이블!$F:$I,2,0)*K7709</f>
        <v/>
      </c>
      <c r="N7709" s="94">
        <f>M7709-M7709*VLOOKUP($Q7709,매칭테이블!$F:$I,3,0)</f>
        <v/>
      </c>
      <c r="O7709" s="94">
        <f>VLOOKUP($Q7709,매칭테이블!$F:$I,4,0)*K7709</f>
        <v/>
      </c>
      <c r="P7709" s="148">
        <f>M7709/1.1</f>
        <v/>
      </c>
      <c r="Q7709" s="94">
        <f>F7709&amp;E7709&amp;G7709&amp;L7709</f>
        <v/>
      </c>
    </row>
    <row r="7710" customFormat="1" s="94">
      <c r="B7710" s="128" t="n">
        <v>44027</v>
      </c>
      <c r="C7710" s="94">
        <f>TEXT(B7710,"aaa")</f>
        <v/>
      </c>
      <c r="E7710" s="94" t="inlineStr">
        <is>
          <t>클렌징폼</t>
        </is>
      </c>
      <c r="F7710" s="5" t="inlineStr">
        <is>
          <t>카페24</t>
        </is>
      </c>
      <c r="G7710" s="94" t="inlineStr">
        <is>
          <t>클렌징폼 120ml 2set</t>
        </is>
      </c>
      <c r="H7710" s="7" t="n">
        <v>190801</v>
      </c>
      <c r="I7710" s="7" t="n">
        <v>190801</v>
      </c>
      <c r="K7710" s="94" t="n">
        <v>2</v>
      </c>
      <c r="L7710" s="7" t="n">
        <v>190801</v>
      </c>
      <c r="M7710" s="94">
        <f>VLOOKUP($Q7710,매칭테이블!$F:$I,2,0)*K7710</f>
        <v/>
      </c>
      <c r="N7710" s="94">
        <f>M7710-M7710*VLOOKUP($Q7710,매칭테이블!$F:$I,3,0)</f>
        <v/>
      </c>
      <c r="O7710" s="94">
        <f>VLOOKUP($Q7710,매칭테이블!$F:$I,4,0)*K7710</f>
        <v/>
      </c>
      <c r="P7710" s="148">
        <f>M7710/1.1</f>
        <v/>
      </c>
      <c r="Q7710" s="94">
        <f>F7710&amp;E7710&amp;G7710&amp;L7710</f>
        <v/>
      </c>
    </row>
    <row r="7711" customFormat="1" s="94">
      <c r="B7711" s="128" t="n">
        <v>44027</v>
      </c>
      <c r="C7711" s="94">
        <f>TEXT(B7711,"aaa")</f>
        <v/>
      </c>
      <c r="E7711" s="94" t="inlineStr">
        <is>
          <t>클렌징폼</t>
        </is>
      </c>
      <c r="F7711" s="5" t="inlineStr">
        <is>
          <t>카페24</t>
        </is>
      </c>
      <c r="G7711" s="94" t="inlineStr">
        <is>
          <t>클렌징폼 120ml 3set</t>
        </is>
      </c>
      <c r="H7711" s="7" t="n">
        <v>190801</v>
      </c>
      <c r="I7711" s="7" t="n">
        <v>190801</v>
      </c>
      <c r="K7711" s="94" t="n">
        <v>3</v>
      </c>
      <c r="L7711" s="7" t="n">
        <v>190801</v>
      </c>
      <c r="M7711" s="94">
        <f>VLOOKUP($Q7711,매칭테이블!$F:$I,2,0)*K7711</f>
        <v/>
      </c>
      <c r="N7711" s="94">
        <f>M7711-M7711*VLOOKUP($Q7711,매칭테이블!$F:$I,3,0)</f>
        <v/>
      </c>
      <c r="O7711" s="94">
        <f>VLOOKUP($Q7711,매칭테이블!$F:$I,4,0)*K7711</f>
        <v/>
      </c>
      <c r="P7711" s="148">
        <f>M7711/1.1</f>
        <v/>
      </c>
      <c r="Q7711" s="94">
        <f>F7711&amp;E7711&amp;G7711&amp;L7711</f>
        <v/>
      </c>
    </row>
    <row r="7712" customFormat="1" s="94">
      <c r="B7712" s="128" t="n">
        <v>44027</v>
      </c>
      <c r="C7712" s="94">
        <f>TEXT(B7712,"aaa")</f>
        <v/>
      </c>
      <c r="E7712" s="94" t="inlineStr">
        <is>
          <t>토너</t>
        </is>
      </c>
      <c r="F7712" s="5" t="inlineStr">
        <is>
          <t>큐텐재팬</t>
        </is>
      </c>
      <c r="G7712" s="94" t="inlineStr">
        <is>
          <t>250ml</t>
        </is>
      </c>
      <c r="H7712" s="7" t="n">
        <v>190801</v>
      </c>
      <c r="I7712" s="7" t="n">
        <v>190801</v>
      </c>
      <c r="K7712" s="94" t="n">
        <v>36</v>
      </c>
      <c r="L7712" s="7" t="n">
        <v>190801</v>
      </c>
      <c r="M7712" s="94">
        <f>VLOOKUP($Q7712,매칭테이블!$F:$I,2,0)*K7712</f>
        <v/>
      </c>
      <c r="N7712" s="94">
        <f>M7712-M7712*VLOOKUP($Q7712,매칭테이블!$F:$I,3,0)</f>
        <v/>
      </c>
      <c r="O7712" s="94">
        <f>VLOOKUP($Q7712,매칭테이블!$F:$I,4,0)*K7712</f>
        <v/>
      </c>
      <c r="P7712" s="148">
        <f>M7712/1.1</f>
        <v/>
      </c>
      <c r="Q7712" s="94">
        <f>F7712&amp;E7712&amp;G7712&amp;L7712</f>
        <v/>
      </c>
    </row>
    <row r="7713" customFormat="1" s="94">
      <c r="B7713" s="128" t="n">
        <v>44027</v>
      </c>
      <c r="C7713" s="94">
        <f>TEXT(B7713,"aaa")</f>
        <v/>
      </c>
      <c r="E7713" s="94" t="inlineStr">
        <is>
          <t>토너</t>
        </is>
      </c>
      <c r="F7713" s="5" t="inlineStr">
        <is>
          <t>큐텐재팬</t>
        </is>
      </c>
      <c r="G7713" s="94" t="inlineStr">
        <is>
          <t>250ml 2set</t>
        </is>
      </c>
      <c r="H7713" s="7" t="n">
        <v>190801</v>
      </c>
      <c r="I7713" s="7" t="n">
        <v>190801</v>
      </c>
      <c r="K7713" s="94" t="n">
        <v>4</v>
      </c>
      <c r="L7713" s="7" t="n">
        <v>190801</v>
      </c>
      <c r="M7713" s="94">
        <f>VLOOKUP($Q7713,매칭테이블!$F:$I,2,0)*K7713</f>
        <v/>
      </c>
      <c r="N7713" s="94">
        <f>M7713-M7713*VLOOKUP($Q7713,매칭테이블!$F:$I,3,0)</f>
        <v/>
      </c>
      <c r="O7713" s="94">
        <f>VLOOKUP($Q7713,매칭테이블!$F:$I,4,0)*K7713</f>
        <v/>
      </c>
      <c r="P7713" s="148">
        <f>M7713/1.1</f>
        <v/>
      </c>
      <c r="Q7713" s="94">
        <f>F7713&amp;E7713&amp;G7713&amp;L7713</f>
        <v/>
      </c>
    </row>
    <row r="7714" customFormat="1" s="94">
      <c r="B7714" s="128" t="n">
        <v>44027</v>
      </c>
      <c r="C7714" s="94">
        <f>TEXT(B7714,"aaa")</f>
        <v/>
      </c>
      <c r="E7714" s="94" t="inlineStr">
        <is>
          <t>앰플</t>
        </is>
      </c>
      <c r="F7714" s="5" t="inlineStr">
        <is>
          <t>큐텐재팬</t>
        </is>
      </c>
      <c r="G7714" s="94" t="inlineStr">
        <is>
          <t>앰플 30ml</t>
        </is>
      </c>
      <c r="H7714" s="7" t="n">
        <v>190801</v>
      </c>
      <c r="I7714" s="7" t="n">
        <v>190801</v>
      </c>
      <c r="K7714" s="94" t="n">
        <v>2</v>
      </c>
      <c r="L7714" s="7" t="n">
        <v>190801</v>
      </c>
      <c r="M7714" s="94">
        <f>VLOOKUP($Q7714,매칭테이블!$F:$I,2,0)*K7714</f>
        <v/>
      </c>
      <c r="N7714" s="94">
        <f>M7714-M7714*VLOOKUP($Q7714,매칭테이블!$F:$I,3,0)</f>
        <v/>
      </c>
      <c r="O7714" s="94">
        <f>VLOOKUP($Q7714,매칭테이블!$F:$I,4,0)*K7714</f>
        <v/>
      </c>
      <c r="P7714" s="148">
        <f>M7714/1.1</f>
        <v/>
      </c>
      <c r="Q7714" s="94">
        <f>F7714&amp;E7714&amp;G7714&amp;L7714</f>
        <v/>
      </c>
    </row>
    <row r="7715" customFormat="1" s="94">
      <c r="B7715" s="128" t="n">
        <v>44027</v>
      </c>
      <c r="C7715" s="94">
        <f>TEXT(B7715,"aaa")</f>
        <v/>
      </c>
      <c r="E7715" s="94" t="inlineStr">
        <is>
          <t>수딩크림</t>
        </is>
      </c>
      <c r="F7715" s="5" t="inlineStr">
        <is>
          <t>큐텐재팬</t>
        </is>
      </c>
      <c r="G7715" s="94" t="inlineStr">
        <is>
          <t>수딩크림 100ml</t>
        </is>
      </c>
      <c r="H7715" s="7" t="n">
        <v>190801</v>
      </c>
      <c r="I7715" s="7" t="n">
        <v>190801</v>
      </c>
      <c r="K7715" s="94" t="n">
        <v>1</v>
      </c>
      <c r="L7715" s="7" t="n">
        <v>190801</v>
      </c>
      <c r="M7715" s="94">
        <f>VLOOKUP($Q7715,매칭테이블!$F:$I,2,0)*K7715</f>
        <v/>
      </c>
      <c r="N7715" s="94">
        <f>M7715-M7715*VLOOKUP($Q7715,매칭테이블!$F:$I,3,0)</f>
        <v/>
      </c>
      <c r="O7715" s="94">
        <f>VLOOKUP($Q7715,매칭테이블!$F:$I,4,0)*K7715</f>
        <v/>
      </c>
      <c r="P7715" s="148">
        <f>M7715/1.1</f>
        <v/>
      </c>
      <c r="Q7715" s="94">
        <f>F7715&amp;E7715&amp;G7715&amp;L7715</f>
        <v/>
      </c>
    </row>
    <row r="7716" customFormat="1" s="94">
      <c r="B7716" s="128" t="n">
        <v>44027</v>
      </c>
      <c r="C7716" s="94">
        <f>TEXT(B7716,"aaa")</f>
        <v/>
      </c>
      <c r="E7716" s="94" t="inlineStr">
        <is>
          <t>토너</t>
        </is>
      </c>
      <c r="F7716" s="5" t="inlineStr">
        <is>
          <t>화해</t>
        </is>
      </c>
      <c r="G7716" s="94" t="inlineStr">
        <is>
          <t>250ml</t>
        </is>
      </c>
      <c r="H7716" s="7" t="n">
        <v>190801</v>
      </c>
      <c r="I7716" s="7" t="n">
        <v>190801</v>
      </c>
      <c r="K7716" s="94" t="n">
        <v>5</v>
      </c>
      <c r="L7716" s="7" t="n">
        <v>190801</v>
      </c>
      <c r="M7716" s="94">
        <f>VLOOKUP($Q7716,매칭테이블!$F:$I,2,0)*K7716</f>
        <v/>
      </c>
      <c r="N7716" s="94">
        <f>M7716-M7716*VLOOKUP($Q7716,매칭테이블!$F:$I,3,0)</f>
        <v/>
      </c>
      <c r="O7716" s="94">
        <f>VLOOKUP($Q7716,매칭테이블!$F:$I,4,0)*K7716</f>
        <v/>
      </c>
      <c r="P7716" s="148">
        <f>M7716/1.1</f>
        <v/>
      </c>
      <c r="Q7716" s="94">
        <f>F7716&amp;E7716&amp;G7716&amp;L7716</f>
        <v/>
      </c>
    </row>
    <row r="7717" customFormat="1" s="94">
      <c r="B7717" s="128" t="n">
        <v>44028</v>
      </c>
      <c r="C7717" s="94">
        <f>TEXT(B7717,"aaa")</f>
        <v/>
      </c>
      <c r="E7717" s="94" t="inlineStr">
        <is>
          <t>토너</t>
        </is>
      </c>
      <c r="F7717" s="5" t="inlineStr">
        <is>
          <t>W컨셉</t>
        </is>
      </c>
      <c r="G7717" s="94" t="inlineStr">
        <is>
          <t>250ml</t>
        </is>
      </c>
      <c r="H7717" s="7" t="n">
        <v>190801</v>
      </c>
      <c r="I7717" s="7" t="n">
        <v>190801</v>
      </c>
      <c r="K7717" s="94" t="n">
        <v>5</v>
      </c>
      <c r="L7717" s="7" t="n">
        <v>190801</v>
      </c>
      <c r="M7717" s="94">
        <f>VLOOKUP($Q7717,매칭테이블!$F:$I,2,0)*K7717</f>
        <v/>
      </c>
      <c r="N7717" s="94">
        <f>M7717-M7717*VLOOKUP($Q7717,매칭테이블!$F:$I,3,0)</f>
        <v/>
      </c>
      <c r="O7717" s="94">
        <f>VLOOKUP($Q7717,매칭테이블!$F:$I,4,0)*K7717</f>
        <v/>
      </c>
      <c r="P7717" s="148">
        <f>M7717/1.1</f>
        <v/>
      </c>
      <c r="Q7717" s="94">
        <f>F7717&amp;E7717&amp;G7717&amp;L7717</f>
        <v/>
      </c>
    </row>
    <row r="7718" customFormat="1" s="94">
      <c r="B7718" s="128" t="n">
        <v>44028</v>
      </c>
      <c r="C7718" s="94">
        <f>TEXT(B7718,"aaa")</f>
        <v/>
      </c>
      <c r="E7718" s="94" t="inlineStr">
        <is>
          <t>토너</t>
        </is>
      </c>
      <c r="F7718" s="5" t="inlineStr">
        <is>
          <t>W컨셉</t>
        </is>
      </c>
      <c r="G7718" s="94" t="inlineStr">
        <is>
          <t>250ml 2set</t>
        </is>
      </c>
      <c r="H7718" s="7" t="n">
        <v>190801</v>
      </c>
      <c r="I7718" s="7" t="n">
        <v>190801</v>
      </c>
      <c r="K7718" s="94" t="n">
        <v>4</v>
      </c>
      <c r="L7718" s="7" t="n">
        <v>190801</v>
      </c>
      <c r="M7718" s="94">
        <f>VLOOKUP($Q7718,매칭테이블!$F:$I,2,0)*K7718</f>
        <v/>
      </c>
      <c r="N7718" s="94">
        <f>M7718-M7718*VLOOKUP($Q7718,매칭테이블!$F:$I,3,0)</f>
        <v/>
      </c>
      <c r="O7718" s="94">
        <f>VLOOKUP($Q7718,매칭테이블!$F:$I,4,0)*K7718</f>
        <v/>
      </c>
      <c r="P7718" s="148">
        <f>M7718/1.1</f>
        <v/>
      </c>
      <c r="Q7718" s="94">
        <f>F7718&amp;E7718&amp;G7718&amp;L7718</f>
        <v/>
      </c>
    </row>
    <row r="7719" customFormat="1" s="94">
      <c r="B7719" s="128" t="n">
        <v>44028</v>
      </c>
      <c r="C7719" s="94">
        <f>TEXT(B7719,"aaa")</f>
        <v/>
      </c>
      <c r="E7719" s="94" t="inlineStr">
        <is>
          <t>토너</t>
        </is>
      </c>
      <c r="F7719" s="5" t="inlineStr">
        <is>
          <t>스타일쉐어</t>
        </is>
      </c>
      <c r="G7719" s="94" t="inlineStr">
        <is>
          <t>250ml</t>
        </is>
      </c>
      <c r="H7719" s="7" t="n">
        <v>190801</v>
      </c>
      <c r="I7719" s="7" t="n">
        <v>190801</v>
      </c>
      <c r="K7719" s="94" t="n">
        <v>7</v>
      </c>
      <c r="L7719" s="7" t="n">
        <v>190801</v>
      </c>
      <c r="M7719" s="94">
        <f>VLOOKUP($Q7719,매칭테이블!$F:$I,2,0)*K7719</f>
        <v/>
      </c>
      <c r="N7719" s="94">
        <f>M7719-M7719*VLOOKUP($Q7719,매칭테이블!$F:$I,3,0)</f>
        <v/>
      </c>
      <c r="O7719" s="94">
        <f>VLOOKUP($Q7719,매칭테이블!$F:$I,4,0)*K7719</f>
        <v/>
      </c>
      <c r="P7719" s="148">
        <f>M7719/1.1</f>
        <v/>
      </c>
      <c r="Q7719" s="94">
        <f>F7719&amp;E7719&amp;G7719&amp;L7719</f>
        <v/>
      </c>
    </row>
    <row r="7720" customFormat="1" s="94">
      <c r="B7720" s="128" t="n">
        <v>44028</v>
      </c>
      <c r="C7720" s="94">
        <f>TEXT(B7720,"aaa")</f>
        <v/>
      </c>
      <c r="E7720" s="94" t="inlineStr">
        <is>
          <t>선크림</t>
        </is>
      </c>
      <c r="F7720" s="5" t="inlineStr">
        <is>
          <t>카페24</t>
        </is>
      </c>
      <c r="G7720" s="94" t="inlineStr">
        <is>
          <t>선크림 50ml</t>
        </is>
      </c>
      <c r="H7720" s="7" t="n">
        <v>190801</v>
      </c>
      <c r="I7720" s="7" t="n">
        <v>190801</v>
      </c>
      <c r="K7720" s="94" t="n">
        <v>7</v>
      </c>
      <c r="L7720" s="7" t="n">
        <v>190801</v>
      </c>
      <c r="M7720" s="94">
        <f>VLOOKUP($Q7720,매칭테이블!$F:$I,2,0)*K7720</f>
        <v/>
      </c>
      <c r="N7720" s="94">
        <f>M7720-M7720*VLOOKUP($Q7720,매칭테이블!$F:$I,3,0)</f>
        <v/>
      </c>
      <c r="O7720" s="94">
        <f>VLOOKUP($Q7720,매칭테이블!$F:$I,4,0)*K7720</f>
        <v/>
      </c>
      <c r="P7720" s="148">
        <f>M7720/1.1</f>
        <v/>
      </c>
      <c r="Q7720" s="94">
        <f>F7720&amp;E7720&amp;G7720&amp;L7720</f>
        <v/>
      </c>
    </row>
    <row r="7721" customFormat="1" s="94">
      <c r="B7721" s="128" t="n">
        <v>44028</v>
      </c>
      <c r="C7721" s="94">
        <f>TEXT(B7721,"aaa")</f>
        <v/>
      </c>
      <c r="E7721" s="94" t="inlineStr">
        <is>
          <t>선크림</t>
        </is>
      </c>
      <c r="F7721" s="5" t="inlineStr">
        <is>
          <t>카페24</t>
        </is>
      </c>
      <c r="G7721" s="94" t="inlineStr">
        <is>
          <t>선크림 50ml  2set</t>
        </is>
      </c>
      <c r="H7721" s="7" t="n">
        <v>190801</v>
      </c>
      <c r="I7721" s="7" t="n">
        <v>190801</v>
      </c>
      <c r="K7721" s="94" t="n">
        <v>2</v>
      </c>
      <c r="L7721" s="7" t="n">
        <v>190801</v>
      </c>
      <c r="M7721" s="94">
        <f>VLOOKUP($Q7721,매칭테이블!$F:$I,2,0)*K7721</f>
        <v/>
      </c>
      <c r="N7721" s="94">
        <f>M7721-M7721*VLOOKUP($Q7721,매칭테이블!$F:$I,3,0)</f>
        <v/>
      </c>
      <c r="O7721" s="94">
        <f>VLOOKUP($Q7721,매칭테이블!$F:$I,4,0)*K7721</f>
        <v/>
      </c>
      <c r="P7721" s="148">
        <f>M7721/1.1</f>
        <v/>
      </c>
      <c r="Q7721" s="94">
        <f>F7721&amp;E7721&amp;G7721&amp;L7721</f>
        <v/>
      </c>
    </row>
    <row r="7722" customFormat="1" s="94">
      <c r="B7722" s="128" t="n">
        <v>44028</v>
      </c>
      <c r="C7722" s="94">
        <f>TEXT(B7722,"aaa")</f>
        <v/>
      </c>
      <c r="E7722" s="94" t="inlineStr">
        <is>
          <t>여름 한정 진정세트</t>
        </is>
      </c>
      <c r="F7722" s="5" t="inlineStr">
        <is>
          <t>카페24</t>
        </is>
      </c>
      <c r="G7722" s="94" t="inlineStr">
        <is>
          <t>여름 한정 진정세트</t>
        </is>
      </c>
      <c r="H7722" s="7" t="n">
        <v>190801</v>
      </c>
      <c r="I7722" s="7" t="n">
        <v>190801</v>
      </c>
      <c r="K7722" s="94" t="n">
        <v>2</v>
      </c>
      <c r="L7722" s="7" t="n">
        <v>190801</v>
      </c>
      <c r="M7722" s="94">
        <f>VLOOKUP($Q7722,매칭테이블!$F:$I,2,0)*K7722</f>
        <v/>
      </c>
      <c r="N7722" s="94">
        <f>M7722-M7722*VLOOKUP($Q7722,매칭테이블!$F:$I,3,0)</f>
        <v/>
      </c>
      <c r="O7722" s="94">
        <f>VLOOKUP($Q7722,매칭테이블!$F:$I,4,0)*K7722</f>
        <v/>
      </c>
      <c r="P7722" s="148">
        <f>M7722/1.1</f>
        <v/>
      </c>
      <c r="Q7722" s="94">
        <f>F7722&amp;E7722&amp;G7722&amp;L7722</f>
        <v/>
      </c>
    </row>
    <row r="7723" customFormat="1" s="94">
      <c r="B7723" s="128" t="n">
        <v>44028</v>
      </c>
      <c r="C7723" s="94">
        <f>TEXT(B7723,"aaa")</f>
        <v/>
      </c>
      <c r="E7723" s="94" t="inlineStr">
        <is>
          <t>여름 한정 진정세트</t>
        </is>
      </c>
      <c r="F7723" s="5" t="inlineStr">
        <is>
          <t>카페24</t>
        </is>
      </c>
      <c r="G7723" s="94" t="inlineStr">
        <is>
          <t>여름 한정 진정세트 (대용량)</t>
        </is>
      </c>
      <c r="H7723" s="7" t="n">
        <v>190801</v>
      </c>
      <c r="I7723" s="7" t="n">
        <v>190801</v>
      </c>
      <c r="K7723" s="94" t="n">
        <v>1</v>
      </c>
      <c r="L7723" s="7" t="n">
        <v>190801</v>
      </c>
      <c r="M7723" s="94">
        <f>VLOOKUP($Q7723,매칭테이블!$F:$I,2,0)*K7723</f>
        <v/>
      </c>
      <c r="N7723" s="94">
        <f>M7723-M7723*VLOOKUP($Q7723,매칭테이블!$F:$I,3,0)</f>
        <v/>
      </c>
      <c r="O7723" s="94">
        <f>VLOOKUP($Q7723,매칭테이블!$F:$I,4,0)*K7723</f>
        <v/>
      </c>
      <c r="P7723" s="148">
        <f>M7723/1.1</f>
        <v/>
      </c>
      <c r="Q7723" s="94">
        <f>F7723&amp;E7723&amp;G7723&amp;L7723</f>
        <v/>
      </c>
    </row>
    <row r="7724" customFormat="1" s="94">
      <c r="B7724" s="128" t="n">
        <v>44028</v>
      </c>
      <c r="C7724" s="94">
        <f>TEXT(B7724,"aaa")</f>
        <v/>
      </c>
      <c r="E7724" s="94" t="inlineStr">
        <is>
          <t>머드크림마스크</t>
        </is>
      </c>
      <c r="F7724" s="5" t="inlineStr">
        <is>
          <t>카페24</t>
        </is>
      </c>
      <c r="G7724" s="94" t="inlineStr">
        <is>
          <t>머드크림마스크 100ml</t>
        </is>
      </c>
      <c r="H7724" s="7" t="n">
        <v>190801</v>
      </c>
      <c r="I7724" s="7" t="n">
        <v>190801</v>
      </c>
      <c r="K7724" s="94" t="n">
        <v>3</v>
      </c>
      <c r="L7724" s="7" t="n">
        <v>190801</v>
      </c>
      <c r="M7724" s="94">
        <f>VLOOKUP($Q7724,매칭테이블!$F:$I,2,0)*K7724</f>
        <v/>
      </c>
      <c r="N7724" s="94">
        <f>M7724-M7724*VLOOKUP($Q7724,매칭테이블!$F:$I,3,0)</f>
        <v/>
      </c>
      <c r="O7724" s="94">
        <f>VLOOKUP($Q7724,매칭테이블!$F:$I,4,0)*K7724</f>
        <v/>
      </c>
      <c r="P7724" s="148">
        <f>M7724/1.1</f>
        <v/>
      </c>
      <c r="Q7724" s="94">
        <f>F7724&amp;E7724&amp;G7724&amp;L7724</f>
        <v/>
      </c>
    </row>
    <row r="7725" customFormat="1" s="94">
      <c r="B7725" s="128" t="n">
        <v>44028</v>
      </c>
      <c r="C7725" s="94">
        <f>TEXT(B7725,"aaa")</f>
        <v/>
      </c>
      <c r="E7725" s="94" t="inlineStr">
        <is>
          <t>토너</t>
        </is>
      </c>
      <c r="F7725" s="5" t="inlineStr">
        <is>
          <t>카페24</t>
        </is>
      </c>
      <c r="G7725" s="94" t="inlineStr">
        <is>
          <t>250ml</t>
        </is>
      </c>
      <c r="H7725" s="7" t="n">
        <v>190801</v>
      </c>
      <c r="I7725" s="7" t="n">
        <v>190801</v>
      </c>
      <c r="K7725" s="94" t="n">
        <v>64</v>
      </c>
      <c r="L7725" s="7" t="n">
        <v>190801</v>
      </c>
      <c r="M7725" s="94">
        <f>VLOOKUP($Q7725,매칭테이블!$F:$I,2,0)*K7725</f>
        <v/>
      </c>
      <c r="N7725" s="94">
        <f>M7725-M7725*VLOOKUP($Q7725,매칭테이블!$F:$I,3,0)</f>
        <v/>
      </c>
      <c r="O7725" s="94">
        <f>VLOOKUP($Q7725,매칭테이블!$F:$I,4,0)*K7725</f>
        <v/>
      </c>
      <c r="P7725" s="148">
        <f>M7725/1.1</f>
        <v/>
      </c>
      <c r="Q7725" s="94">
        <f>F7725&amp;E7725&amp;G7725&amp;L7725</f>
        <v/>
      </c>
    </row>
    <row r="7726" customFormat="1" s="94">
      <c r="B7726" s="128" t="n">
        <v>44028</v>
      </c>
      <c r="C7726" s="94">
        <f>TEXT(B7726,"aaa")</f>
        <v/>
      </c>
      <c r="E7726" s="94" t="inlineStr">
        <is>
          <t>토너</t>
        </is>
      </c>
      <c r="F7726" s="5" t="inlineStr">
        <is>
          <t>카페24</t>
        </is>
      </c>
      <c r="G7726" s="94" t="inlineStr">
        <is>
          <t>250ml 2set</t>
        </is>
      </c>
      <c r="H7726" s="7" t="n">
        <v>190801</v>
      </c>
      <c r="I7726" s="7" t="n">
        <v>190801</v>
      </c>
      <c r="K7726" s="94" t="n">
        <v>92</v>
      </c>
      <c r="L7726" s="7" t="n">
        <v>190801</v>
      </c>
      <c r="M7726" s="94">
        <f>VLOOKUP($Q7726,매칭테이블!$F:$I,2,0)*K7726</f>
        <v/>
      </c>
      <c r="N7726" s="94">
        <f>M7726-M7726*VLOOKUP($Q7726,매칭테이블!$F:$I,3,0)</f>
        <v/>
      </c>
      <c r="O7726" s="94">
        <f>VLOOKUP($Q7726,매칭테이블!$F:$I,4,0)*K7726</f>
        <v/>
      </c>
      <c r="P7726" s="148">
        <f>M7726/1.1</f>
        <v/>
      </c>
      <c r="Q7726" s="94">
        <f>F7726&amp;E7726&amp;G7726&amp;L7726</f>
        <v/>
      </c>
    </row>
    <row r="7727" customFormat="1" s="94">
      <c r="B7727" s="128" t="n">
        <v>44028</v>
      </c>
      <c r="C7727" s="94">
        <f>TEXT(B7727,"aaa")</f>
        <v/>
      </c>
      <c r="E7727" s="94" t="inlineStr">
        <is>
          <t>토너</t>
        </is>
      </c>
      <c r="F7727" s="5" t="inlineStr">
        <is>
          <t>카페24</t>
        </is>
      </c>
      <c r="G7727" s="94" t="inlineStr">
        <is>
          <t>500ml</t>
        </is>
      </c>
      <c r="H7727" s="7" t="n">
        <v>190801</v>
      </c>
      <c r="I7727" s="7" t="n">
        <v>190801</v>
      </c>
      <c r="K7727" s="94" t="n">
        <v>52</v>
      </c>
      <c r="L7727" s="7" t="n">
        <v>190801</v>
      </c>
      <c r="M7727" s="94">
        <f>VLOOKUP($Q7727,매칭테이블!$F:$I,2,0)*K7727</f>
        <v/>
      </c>
      <c r="N7727" s="94">
        <f>M7727-M7727*VLOOKUP($Q7727,매칭테이블!$F:$I,3,0)</f>
        <v/>
      </c>
      <c r="O7727" s="94">
        <f>VLOOKUP($Q7727,매칭테이블!$F:$I,4,0)*K7727</f>
        <v/>
      </c>
      <c r="P7727" s="148">
        <f>M7727/1.1</f>
        <v/>
      </c>
      <c r="Q7727" s="94">
        <f>F7727&amp;E7727&amp;G7727&amp;L7727</f>
        <v/>
      </c>
    </row>
    <row r="7728" customFormat="1" s="94">
      <c r="B7728" s="128" t="n">
        <v>44028</v>
      </c>
      <c r="C7728" s="94">
        <f>TEXT(B7728,"aaa")</f>
        <v/>
      </c>
      <c r="E7728" s="94" t="inlineStr">
        <is>
          <t>토너</t>
        </is>
      </c>
      <c r="F7728" s="5" t="inlineStr">
        <is>
          <t>카페24</t>
        </is>
      </c>
      <c r="G7728" s="94" t="inlineStr">
        <is>
          <t>스킨팩 화장솜 60P</t>
        </is>
      </c>
      <c r="H7728" s="7" t="n">
        <v>190801</v>
      </c>
      <c r="I7728" s="7" t="n">
        <v>190801</v>
      </c>
      <c r="K7728" s="94" t="n">
        <v>347</v>
      </c>
      <c r="L7728" s="7" t="n">
        <v>190801</v>
      </c>
      <c r="M7728" s="94">
        <f>VLOOKUP($Q7728,매칭테이블!$F:$I,2,0)*K7728</f>
        <v/>
      </c>
      <c r="N7728" s="94">
        <f>M7728-M7728*VLOOKUP($Q7728,매칭테이블!$F:$I,3,0)</f>
        <v/>
      </c>
      <c r="O7728" s="94">
        <f>VLOOKUP($Q7728,매칭테이블!$F:$I,4,0)*K7728</f>
        <v/>
      </c>
      <c r="P7728" s="148">
        <f>M7728/1.1</f>
        <v/>
      </c>
      <c r="Q7728" s="94">
        <f>F7728&amp;E7728&amp;G7728&amp;L7728</f>
        <v/>
      </c>
    </row>
    <row r="7729" customFormat="1" s="94">
      <c r="B7729" s="128" t="n">
        <v>44028</v>
      </c>
      <c r="C7729" s="94">
        <f>TEXT(B7729,"aaa")</f>
        <v/>
      </c>
      <c r="E7729" s="94" t="inlineStr">
        <is>
          <t>앰플</t>
        </is>
      </c>
      <c r="F7729" s="5" t="inlineStr">
        <is>
          <t>카페24</t>
        </is>
      </c>
      <c r="G7729" s="94" t="inlineStr">
        <is>
          <t>앰플 30ml</t>
        </is>
      </c>
      <c r="H7729" s="7" t="n">
        <v>190801</v>
      </c>
      <c r="I7729" s="7" t="n">
        <v>190801</v>
      </c>
      <c r="K7729" s="94" t="n">
        <v>220</v>
      </c>
      <c r="L7729" s="7" t="n">
        <v>190801</v>
      </c>
      <c r="M7729" s="94">
        <f>VLOOKUP($Q7729,매칭테이블!$F:$I,2,0)*K7729</f>
        <v/>
      </c>
      <c r="N7729" s="94">
        <f>M7729-M7729*VLOOKUP($Q7729,매칭테이블!$F:$I,3,0)</f>
        <v/>
      </c>
      <c r="O7729" s="94">
        <f>VLOOKUP($Q7729,매칭테이블!$F:$I,4,0)*K7729</f>
        <v/>
      </c>
      <c r="P7729" s="148">
        <f>M7729/1.1</f>
        <v/>
      </c>
      <c r="Q7729" s="94">
        <f>F7729&amp;E7729&amp;G7729&amp;L7729</f>
        <v/>
      </c>
    </row>
    <row r="7730" customFormat="1" s="94">
      <c r="B7730" s="128" t="n">
        <v>44028</v>
      </c>
      <c r="C7730" s="94">
        <f>TEXT(B7730,"aaa")</f>
        <v/>
      </c>
      <c r="E7730" s="94" t="inlineStr">
        <is>
          <t>수딩크림</t>
        </is>
      </c>
      <c r="F7730" s="5" t="inlineStr">
        <is>
          <t>카페24</t>
        </is>
      </c>
      <c r="G7730" s="94" t="inlineStr">
        <is>
          <t>수딩크림 100ml</t>
        </is>
      </c>
      <c r="H7730" s="7" t="n">
        <v>190801</v>
      </c>
      <c r="I7730" s="7" t="n">
        <v>190801</v>
      </c>
      <c r="K7730" s="94" t="n">
        <v>2</v>
      </c>
      <c r="L7730" s="7" t="n">
        <v>190801</v>
      </c>
      <c r="M7730" s="94">
        <f>VLOOKUP($Q7730,매칭테이블!$F:$I,2,0)*K7730</f>
        <v/>
      </c>
      <c r="N7730" s="94">
        <f>M7730-M7730*VLOOKUP($Q7730,매칭테이블!$F:$I,3,0)</f>
        <v/>
      </c>
      <c r="O7730" s="94">
        <f>VLOOKUP($Q7730,매칭테이블!$F:$I,4,0)*K7730</f>
        <v/>
      </c>
      <c r="P7730" s="148">
        <f>M7730/1.1</f>
        <v/>
      </c>
      <c r="Q7730" s="94">
        <f>F7730&amp;E7730&amp;G7730&amp;L7730</f>
        <v/>
      </c>
    </row>
    <row r="7731" customFormat="1" s="94">
      <c r="B7731" s="128" t="n">
        <v>44028</v>
      </c>
      <c r="C7731" s="94">
        <f>TEXT(B7731,"aaa")</f>
        <v/>
      </c>
      <c r="E7731" s="94" t="inlineStr">
        <is>
          <t>클렌징폼</t>
        </is>
      </c>
      <c r="F7731" s="5" t="inlineStr">
        <is>
          <t>카페24</t>
        </is>
      </c>
      <c r="G7731" s="94" t="inlineStr">
        <is>
          <t>클렌징폼 120ml</t>
        </is>
      </c>
      <c r="H7731" s="7" t="n">
        <v>190801</v>
      </c>
      <c r="I7731" s="7" t="n">
        <v>190801</v>
      </c>
      <c r="K7731" s="94" t="n">
        <v>7</v>
      </c>
      <c r="L7731" s="7" t="n">
        <v>190801</v>
      </c>
      <c r="M7731" s="94">
        <f>VLOOKUP($Q7731,매칭테이블!$F:$I,2,0)*K7731</f>
        <v/>
      </c>
      <c r="N7731" s="94">
        <f>M7731-M7731*VLOOKUP($Q7731,매칭테이블!$F:$I,3,0)</f>
        <v/>
      </c>
      <c r="O7731" s="94">
        <f>VLOOKUP($Q7731,매칭테이블!$F:$I,4,0)*K7731</f>
        <v/>
      </c>
      <c r="P7731" s="148">
        <f>M7731/1.1</f>
        <v/>
      </c>
      <c r="Q7731" s="94">
        <f>F7731&amp;E7731&amp;G7731&amp;L7731</f>
        <v/>
      </c>
    </row>
    <row r="7732" customFormat="1" s="94">
      <c r="B7732" s="128" t="n">
        <v>44028</v>
      </c>
      <c r="C7732" s="94">
        <f>TEXT(B7732,"aaa")</f>
        <v/>
      </c>
      <c r="E7732" s="94" t="inlineStr">
        <is>
          <t>클렌징폼</t>
        </is>
      </c>
      <c r="F7732" s="5" t="inlineStr">
        <is>
          <t>카페24</t>
        </is>
      </c>
      <c r="G7732" s="94" t="inlineStr">
        <is>
          <t>클렌징폼 120ml 2set</t>
        </is>
      </c>
      <c r="H7732" s="7" t="n">
        <v>190801</v>
      </c>
      <c r="I7732" s="7" t="n">
        <v>190801</v>
      </c>
      <c r="K7732" s="94" t="n">
        <v>2</v>
      </c>
      <c r="L7732" s="7" t="n">
        <v>190801</v>
      </c>
      <c r="M7732" s="94">
        <f>VLOOKUP($Q7732,매칭테이블!$F:$I,2,0)*K7732</f>
        <v/>
      </c>
      <c r="N7732" s="94">
        <f>M7732-M7732*VLOOKUP($Q7732,매칭테이블!$F:$I,3,0)</f>
        <v/>
      </c>
      <c r="O7732" s="94">
        <f>VLOOKUP($Q7732,매칭테이블!$F:$I,4,0)*K7732</f>
        <v/>
      </c>
      <c r="P7732" s="148">
        <f>M7732/1.1</f>
        <v/>
      </c>
      <c r="Q7732" s="94">
        <f>F7732&amp;E7732&amp;G7732&amp;L7732</f>
        <v/>
      </c>
    </row>
    <row r="7733" customFormat="1" s="94">
      <c r="B7733" s="128" t="n">
        <v>44028</v>
      </c>
      <c r="C7733" s="94">
        <f>TEXT(B7733,"aaa")</f>
        <v/>
      </c>
      <c r="E7733" s="94" t="inlineStr">
        <is>
          <t>토너</t>
        </is>
      </c>
      <c r="F7733" s="5" t="inlineStr">
        <is>
          <t>큐텐재팬</t>
        </is>
      </c>
      <c r="G7733" s="94" t="inlineStr">
        <is>
          <t>250ml</t>
        </is>
      </c>
      <c r="H7733" s="7" t="n">
        <v>190801</v>
      </c>
      <c r="I7733" s="7" t="n">
        <v>190801</v>
      </c>
      <c r="K7733" s="94" t="n">
        <v>24</v>
      </c>
      <c r="L7733" s="7" t="n">
        <v>190801</v>
      </c>
      <c r="M7733" s="94">
        <f>VLOOKUP($Q7733,매칭테이블!$F:$I,2,0)*K7733</f>
        <v/>
      </c>
      <c r="N7733" s="94">
        <f>M7733-M7733*VLOOKUP($Q7733,매칭테이블!$F:$I,3,0)</f>
        <v/>
      </c>
      <c r="O7733" s="94">
        <f>VLOOKUP($Q7733,매칭테이블!$F:$I,4,0)*K7733</f>
        <v/>
      </c>
      <c r="P7733" s="148">
        <f>M7733/1.1</f>
        <v/>
      </c>
      <c r="Q7733" s="94">
        <f>F7733&amp;E7733&amp;G7733&amp;L7733</f>
        <v/>
      </c>
    </row>
    <row r="7734" customFormat="1" s="94">
      <c r="B7734" s="128" t="n">
        <v>44028</v>
      </c>
      <c r="C7734" s="94">
        <f>TEXT(B7734,"aaa")</f>
        <v/>
      </c>
      <c r="E7734" s="94" t="inlineStr">
        <is>
          <t>토너</t>
        </is>
      </c>
      <c r="F7734" s="5" t="inlineStr">
        <is>
          <t>큐텐재팬</t>
        </is>
      </c>
      <c r="G7734" s="94" t="inlineStr">
        <is>
          <t>250ml 2set</t>
        </is>
      </c>
      <c r="H7734" s="7" t="n">
        <v>190801</v>
      </c>
      <c r="I7734" s="7" t="n">
        <v>190801</v>
      </c>
      <c r="K7734" s="94" t="n">
        <v>13</v>
      </c>
      <c r="L7734" s="7" t="n">
        <v>190801</v>
      </c>
      <c r="M7734" s="94">
        <f>VLOOKUP($Q7734,매칭테이블!$F:$I,2,0)*K7734</f>
        <v/>
      </c>
      <c r="N7734" s="94">
        <f>M7734-M7734*VLOOKUP($Q7734,매칭테이블!$F:$I,3,0)</f>
        <v/>
      </c>
      <c r="O7734" s="94">
        <f>VLOOKUP($Q7734,매칭테이블!$F:$I,4,0)*K7734</f>
        <v/>
      </c>
      <c r="P7734" s="148">
        <f>M7734/1.1</f>
        <v/>
      </c>
      <c r="Q7734" s="94">
        <f>F7734&amp;E7734&amp;G7734&amp;L7734</f>
        <v/>
      </c>
    </row>
    <row r="7735" customFormat="1" s="94">
      <c r="B7735" s="128" t="n">
        <v>44028</v>
      </c>
      <c r="C7735" s="94">
        <f>TEXT(B7735,"aaa")</f>
        <v/>
      </c>
      <c r="E7735" s="94" t="inlineStr">
        <is>
          <t>앰플</t>
        </is>
      </c>
      <c r="F7735" s="5" t="inlineStr">
        <is>
          <t>큐텐재팬</t>
        </is>
      </c>
      <c r="G7735" s="94" t="inlineStr">
        <is>
          <t>앰플 30ml</t>
        </is>
      </c>
      <c r="H7735" s="7" t="n">
        <v>190801</v>
      </c>
      <c r="I7735" s="7" t="n">
        <v>190801</v>
      </c>
      <c r="K7735" s="94" t="n">
        <v>1</v>
      </c>
      <c r="L7735" s="7" t="n">
        <v>190801</v>
      </c>
      <c r="M7735" s="94">
        <f>VLOOKUP($Q7735,매칭테이블!$F:$I,2,0)*K7735</f>
        <v/>
      </c>
      <c r="N7735" s="94">
        <f>M7735-M7735*VLOOKUP($Q7735,매칭테이블!$F:$I,3,0)</f>
        <v/>
      </c>
      <c r="O7735" s="94">
        <f>VLOOKUP($Q7735,매칭테이블!$F:$I,4,0)*K7735</f>
        <v/>
      </c>
      <c r="P7735" s="148">
        <f>M7735/1.1</f>
        <v/>
      </c>
      <c r="Q7735" s="94">
        <f>F7735&amp;E7735&amp;G7735&amp;L7735</f>
        <v/>
      </c>
    </row>
    <row r="7736" customFormat="1" s="94">
      <c r="B7736" s="128" t="n">
        <v>44028</v>
      </c>
      <c r="C7736" s="94">
        <f>TEXT(B7736,"aaa")</f>
        <v/>
      </c>
      <c r="E7736" s="94" t="inlineStr">
        <is>
          <t>머드크림마스크</t>
        </is>
      </c>
      <c r="F7736" s="5" t="inlineStr">
        <is>
          <t>큐텐재팬</t>
        </is>
      </c>
      <c r="G7736" s="94" t="inlineStr">
        <is>
          <t>머드크림마스크 100ml</t>
        </is>
      </c>
      <c r="H7736" s="7" t="n">
        <v>190801</v>
      </c>
      <c r="I7736" s="7" t="n">
        <v>190801</v>
      </c>
      <c r="K7736" s="94" t="n">
        <v>1</v>
      </c>
      <c r="L7736" s="7" t="n">
        <v>190801</v>
      </c>
      <c r="M7736" s="94">
        <f>VLOOKUP($Q7736,매칭테이블!$F:$I,2,0)*K7736</f>
        <v/>
      </c>
      <c r="N7736" s="94">
        <f>M7736-M7736*VLOOKUP($Q7736,매칭테이블!$F:$I,3,0)</f>
        <v/>
      </c>
      <c r="O7736" s="94">
        <f>VLOOKUP($Q7736,매칭테이블!$F:$I,4,0)*K7736</f>
        <v/>
      </c>
      <c r="P7736" s="148">
        <f>M7736/1.1</f>
        <v/>
      </c>
      <c r="Q7736" s="94">
        <f>F7736&amp;E7736&amp;G7736&amp;L7736</f>
        <v/>
      </c>
    </row>
    <row r="7737" customFormat="1" s="94">
      <c r="B7737" s="128" t="n">
        <v>44028</v>
      </c>
      <c r="C7737" s="94">
        <f>TEXT(B7737,"aaa")</f>
        <v/>
      </c>
      <c r="E7737" s="94" t="inlineStr">
        <is>
          <t>클렌징폼</t>
        </is>
      </c>
      <c r="F7737" s="5" t="inlineStr">
        <is>
          <t>큐텐재팬</t>
        </is>
      </c>
      <c r="G7737" s="94" t="inlineStr">
        <is>
          <t>클렌징폼 120ml</t>
        </is>
      </c>
      <c r="H7737" s="7" t="n">
        <v>190801</v>
      </c>
      <c r="I7737" s="7" t="n">
        <v>190801</v>
      </c>
      <c r="K7737" s="94" t="n">
        <v>1</v>
      </c>
      <c r="L7737" s="7" t="n">
        <v>190801</v>
      </c>
      <c r="M7737" s="94">
        <f>VLOOKUP($Q7737,매칭테이블!$F:$I,2,0)*K7737</f>
        <v/>
      </c>
      <c r="N7737" s="94">
        <f>M7737-M7737*VLOOKUP($Q7737,매칭테이블!$F:$I,3,0)</f>
        <v/>
      </c>
      <c r="O7737" s="94">
        <f>VLOOKUP($Q7737,매칭테이블!$F:$I,4,0)*K7737</f>
        <v/>
      </c>
      <c r="P7737" s="148">
        <f>M7737/1.1</f>
        <v/>
      </c>
      <c r="Q7737" s="94">
        <f>F7737&amp;E7737&amp;G7737&amp;L7737</f>
        <v/>
      </c>
    </row>
    <row r="7738" customFormat="1" s="94">
      <c r="B7738" s="128" t="n">
        <v>44028</v>
      </c>
      <c r="C7738" s="94">
        <f>TEXT(B7738,"aaa")</f>
        <v/>
      </c>
      <c r="E7738" s="94" t="inlineStr">
        <is>
          <t>수딩크림</t>
        </is>
      </c>
      <c r="F7738" s="5" t="inlineStr">
        <is>
          <t>큐텐재팬</t>
        </is>
      </c>
      <c r="G7738" s="94" t="inlineStr">
        <is>
          <t>수딩크림 100ml</t>
        </is>
      </c>
      <c r="H7738" s="7" t="n">
        <v>190801</v>
      </c>
      <c r="I7738" s="7" t="n">
        <v>190801</v>
      </c>
      <c r="K7738" s="94" t="n">
        <v>1</v>
      </c>
      <c r="L7738" s="7" t="n">
        <v>190801</v>
      </c>
      <c r="M7738" s="94">
        <f>VLOOKUP($Q7738,매칭테이블!$F:$I,2,0)*K7738</f>
        <v/>
      </c>
      <c r="N7738" s="94">
        <f>M7738-M7738*VLOOKUP($Q7738,매칭테이블!$F:$I,3,0)</f>
        <v/>
      </c>
      <c r="O7738" s="94">
        <f>VLOOKUP($Q7738,매칭테이블!$F:$I,4,0)*K7738</f>
        <v/>
      </c>
      <c r="P7738" s="148">
        <f>M7738/1.1</f>
        <v/>
      </c>
      <c r="Q7738" s="94">
        <f>F7738&amp;E7738&amp;G7738&amp;L7738</f>
        <v/>
      </c>
    </row>
    <row r="7739" customFormat="1" s="94">
      <c r="B7739" s="128" t="n">
        <v>44028</v>
      </c>
      <c r="C7739" s="94">
        <f>TEXT(B7739,"aaa")</f>
        <v/>
      </c>
      <c r="E7739" s="94" t="inlineStr">
        <is>
          <t>토너</t>
        </is>
      </c>
      <c r="F7739" s="5" t="inlineStr">
        <is>
          <t>화해</t>
        </is>
      </c>
      <c r="G7739" s="94" t="inlineStr">
        <is>
          <t>250ml</t>
        </is>
      </c>
      <c r="H7739" s="7" t="n">
        <v>190801</v>
      </c>
      <c r="I7739" s="7" t="n">
        <v>190801</v>
      </c>
      <c r="K7739" s="94" t="n">
        <v>1</v>
      </c>
      <c r="L7739" s="7" t="n">
        <v>190801</v>
      </c>
      <c r="M7739" s="94">
        <f>VLOOKUP($Q7739,매칭테이블!$F:$I,2,0)*K7739</f>
        <v/>
      </c>
      <c r="N7739" s="94">
        <f>M7739-M7739*VLOOKUP($Q7739,매칭테이블!$F:$I,3,0)</f>
        <v/>
      </c>
      <c r="O7739" s="94">
        <f>VLOOKUP($Q7739,매칭테이블!$F:$I,4,0)*K7739</f>
        <v/>
      </c>
      <c r="P7739" s="148">
        <f>M7739/1.1</f>
        <v/>
      </c>
      <c r="Q7739" s="94">
        <f>F7739&amp;E7739&amp;G7739&amp;L7739</f>
        <v/>
      </c>
    </row>
    <row r="7740" customFormat="1" s="94">
      <c r="B7740" s="128" t="n">
        <v>44028</v>
      </c>
      <c r="C7740" s="94">
        <f>TEXT(B7740,"aaa")</f>
        <v/>
      </c>
      <c r="E7740" s="94" t="inlineStr">
        <is>
          <t>선크림</t>
        </is>
      </c>
      <c r="F7740" s="5" t="inlineStr">
        <is>
          <t>화해</t>
        </is>
      </c>
      <c r="G7740" s="94" t="inlineStr">
        <is>
          <t>선크림 50ml</t>
        </is>
      </c>
      <c r="H7740" s="7" t="n">
        <v>190801</v>
      </c>
      <c r="I7740" s="7" t="n">
        <v>190801</v>
      </c>
      <c r="K7740" s="94" t="n">
        <v>1</v>
      </c>
      <c r="L7740" s="7" t="n">
        <v>190801</v>
      </c>
      <c r="M7740" s="94">
        <f>VLOOKUP($Q7740,매칭테이블!$F:$I,2,0)*K7740</f>
        <v/>
      </c>
      <c r="N7740" s="94">
        <f>M7740-M7740*VLOOKUP($Q7740,매칭테이블!$F:$I,3,0)</f>
        <v/>
      </c>
      <c r="O7740" s="94">
        <f>VLOOKUP($Q7740,매칭테이블!$F:$I,4,0)*K7740</f>
        <v/>
      </c>
      <c r="P7740" s="148">
        <f>M7740/1.1</f>
        <v/>
      </c>
      <c r="Q7740" s="94">
        <f>F7740&amp;E7740&amp;G7740&amp;L7740</f>
        <v/>
      </c>
    </row>
    <row r="7741" customFormat="1" s="94">
      <c r="B7741" s="128" t="n">
        <v>44029</v>
      </c>
      <c r="C7741" s="94">
        <f>TEXT(B7741,"aaa")</f>
        <v/>
      </c>
      <c r="E7741" s="94" t="inlineStr">
        <is>
          <t>토너</t>
        </is>
      </c>
      <c r="F7741" s="5" t="inlineStr">
        <is>
          <t>W컨셉</t>
        </is>
      </c>
      <c r="G7741" s="94" t="inlineStr">
        <is>
          <t>250ml</t>
        </is>
      </c>
      <c r="H7741" s="7" t="n">
        <v>190801</v>
      </c>
      <c r="I7741" s="7" t="n">
        <v>190801</v>
      </c>
      <c r="K7741" s="94" t="n">
        <v>7</v>
      </c>
      <c r="L7741" s="7" t="n">
        <v>190801</v>
      </c>
      <c r="M7741" s="94">
        <f>VLOOKUP($Q7741,매칭테이블!$F:$I,2,0)*K7741</f>
        <v/>
      </c>
      <c r="N7741" s="94">
        <f>M7741-M7741*VLOOKUP($Q7741,매칭테이블!$F:$I,3,0)</f>
        <v/>
      </c>
      <c r="O7741" s="94">
        <f>VLOOKUP($Q7741,매칭테이블!$F:$I,4,0)*K7741</f>
        <v/>
      </c>
      <c r="P7741" s="148">
        <f>M7741/1.1</f>
        <v/>
      </c>
      <c r="Q7741" s="94">
        <f>F7741&amp;E7741&amp;G7741&amp;L7741</f>
        <v/>
      </c>
    </row>
    <row r="7742" customFormat="1" s="94">
      <c r="B7742" s="128" t="n">
        <v>44029</v>
      </c>
      <c r="C7742" s="94">
        <f>TEXT(B7742,"aaa")</f>
        <v/>
      </c>
      <c r="E7742" s="94" t="inlineStr">
        <is>
          <t>토너</t>
        </is>
      </c>
      <c r="F7742" s="5" t="inlineStr">
        <is>
          <t>W컨셉</t>
        </is>
      </c>
      <c r="G7742" s="94" t="inlineStr">
        <is>
          <t>250ml 2set</t>
        </is>
      </c>
      <c r="H7742" s="7" t="n">
        <v>190801</v>
      </c>
      <c r="I7742" s="7" t="n">
        <v>190801</v>
      </c>
      <c r="K7742" s="94" t="n">
        <v>4</v>
      </c>
      <c r="L7742" s="7" t="n">
        <v>190801</v>
      </c>
      <c r="M7742" s="94">
        <f>VLOOKUP($Q7742,매칭테이블!$F:$I,2,0)*K7742</f>
        <v/>
      </c>
      <c r="N7742" s="94">
        <f>M7742-M7742*VLOOKUP($Q7742,매칭테이블!$F:$I,3,0)</f>
        <v/>
      </c>
      <c r="O7742" s="94">
        <f>VLOOKUP($Q7742,매칭테이블!$F:$I,4,0)*K7742</f>
        <v/>
      </c>
      <c r="P7742" s="148">
        <f>M7742/1.1</f>
        <v/>
      </c>
      <c r="Q7742" s="94">
        <f>F7742&amp;E7742&amp;G7742&amp;L7742</f>
        <v/>
      </c>
    </row>
    <row r="7743" customFormat="1" s="94">
      <c r="B7743" s="128" t="n">
        <v>44029</v>
      </c>
      <c r="C7743" s="94">
        <f>TEXT(B7743,"aaa")</f>
        <v/>
      </c>
      <c r="E7743" s="94" t="inlineStr">
        <is>
          <t>토너</t>
        </is>
      </c>
      <c r="F7743" s="5" t="inlineStr">
        <is>
          <t>스타일쉐어</t>
        </is>
      </c>
      <c r="G7743" s="94" t="inlineStr">
        <is>
          <t>250ml</t>
        </is>
      </c>
      <c r="H7743" s="7" t="n">
        <v>190801</v>
      </c>
      <c r="I7743" s="7" t="n">
        <v>190801</v>
      </c>
      <c r="K7743" s="94" t="n">
        <v>2</v>
      </c>
      <c r="L7743" s="7" t="n">
        <v>190801</v>
      </c>
      <c r="M7743" s="94">
        <f>VLOOKUP($Q7743,매칭테이블!$F:$I,2,0)*K7743</f>
        <v/>
      </c>
      <c r="N7743" s="94">
        <f>M7743-M7743*VLOOKUP($Q7743,매칭테이블!$F:$I,3,0)</f>
        <v/>
      </c>
      <c r="O7743" s="94">
        <f>VLOOKUP($Q7743,매칭테이블!$F:$I,4,0)*K7743</f>
        <v/>
      </c>
      <c r="P7743" s="148">
        <f>M7743/1.1</f>
        <v/>
      </c>
      <c r="Q7743" s="94">
        <f>F7743&amp;E7743&amp;G7743&amp;L7743</f>
        <v/>
      </c>
    </row>
    <row r="7744" customFormat="1" s="94">
      <c r="B7744" s="128" t="n">
        <v>44029</v>
      </c>
      <c r="C7744" s="94">
        <f>TEXT(B7744,"aaa")</f>
        <v/>
      </c>
      <c r="E7744" s="94" t="inlineStr">
        <is>
          <t>선크림</t>
        </is>
      </c>
      <c r="F7744" s="5" t="inlineStr">
        <is>
          <t>카페24</t>
        </is>
      </c>
      <c r="G7744" s="94" t="inlineStr">
        <is>
          <t>선크림 50ml</t>
        </is>
      </c>
      <c r="H7744" s="7" t="n">
        <v>190801</v>
      </c>
      <c r="I7744" s="7" t="n">
        <v>190801</v>
      </c>
      <c r="K7744" s="94" t="n">
        <v>3</v>
      </c>
      <c r="L7744" s="7" t="n">
        <v>190801</v>
      </c>
      <c r="M7744" s="94">
        <f>VLOOKUP($Q7744,매칭테이블!$F:$I,2,0)*K7744</f>
        <v/>
      </c>
      <c r="N7744" s="94">
        <f>M7744-M7744*VLOOKUP($Q7744,매칭테이블!$F:$I,3,0)</f>
        <v/>
      </c>
      <c r="O7744" s="94">
        <f>VLOOKUP($Q7744,매칭테이블!$F:$I,4,0)*K7744</f>
        <v/>
      </c>
      <c r="P7744" s="148">
        <f>M7744/1.1</f>
        <v/>
      </c>
      <c r="Q7744" s="94">
        <f>F7744&amp;E7744&amp;G7744&amp;L7744</f>
        <v/>
      </c>
    </row>
    <row r="7745" customFormat="1" s="94">
      <c r="B7745" s="128" t="n">
        <v>44029</v>
      </c>
      <c r="C7745" s="94">
        <f>TEXT(B7745,"aaa")</f>
        <v/>
      </c>
      <c r="E7745" s="94" t="inlineStr">
        <is>
          <t>선크림</t>
        </is>
      </c>
      <c r="F7745" s="5" t="inlineStr">
        <is>
          <t>카페24</t>
        </is>
      </c>
      <c r="G7745" s="94" t="inlineStr">
        <is>
          <t>선크림 50ml  2set</t>
        </is>
      </c>
      <c r="H7745" s="7" t="n">
        <v>190801</v>
      </c>
      <c r="I7745" s="7" t="n">
        <v>190801</v>
      </c>
      <c r="K7745" s="94" t="n">
        <v>1</v>
      </c>
      <c r="L7745" s="7" t="n">
        <v>190801</v>
      </c>
      <c r="M7745" s="94">
        <f>VLOOKUP($Q7745,매칭테이블!$F:$I,2,0)*K7745</f>
        <v/>
      </c>
      <c r="N7745" s="94">
        <f>M7745-M7745*VLOOKUP($Q7745,매칭테이블!$F:$I,3,0)</f>
        <v/>
      </c>
      <c r="O7745" s="94">
        <f>VLOOKUP($Q7745,매칭테이블!$F:$I,4,0)*K7745</f>
        <v/>
      </c>
      <c r="P7745" s="148">
        <f>M7745/1.1</f>
        <v/>
      </c>
      <c r="Q7745" s="94">
        <f>F7745&amp;E7745&amp;G7745&amp;L7745</f>
        <v/>
      </c>
    </row>
    <row r="7746" customFormat="1" s="94">
      <c r="B7746" s="128" t="n">
        <v>44029</v>
      </c>
      <c r="C7746" s="94">
        <f>TEXT(B7746,"aaa")</f>
        <v/>
      </c>
      <c r="E7746" s="94" t="inlineStr">
        <is>
          <t>클렌징폼</t>
        </is>
      </c>
      <c r="F7746" s="5" t="inlineStr">
        <is>
          <t>카페24</t>
        </is>
      </c>
      <c r="G7746" s="94" t="inlineStr">
        <is>
          <t>클렌징폼 120ml(선크림할인)</t>
        </is>
      </c>
      <c r="H7746" s="7" t="n">
        <v>190801</v>
      </c>
      <c r="I7746" s="7" t="n">
        <v>190801</v>
      </c>
      <c r="K7746" s="94" t="n">
        <v>2</v>
      </c>
      <c r="L7746" s="7" t="n">
        <v>190801</v>
      </c>
      <c r="M7746" s="94">
        <f>VLOOKUP($Q7746,매칭테이블!$F:$I,2,0)*K7746</f>
        <v/>
      </c>
      <c r="N7746" s="94">
        <f>M7746-M7746*VLOOKUP($Q7746,매칭테이블!$F:$I,3,0)</f>
        <v/>
      </c>
      <c r="O7746" s="94">
        <f>VLOOKUP($Q7746,매칭테이블!$F:$I,4,0)*K7746</f>
        <v/>
      </c>
      <c r="P7746" s="148">
        <f>M7746/1.1</f>
        <v/>
      </c>
      <c r="Q7746" s="94">
        <f>F7746&amp;E7746&amp;G7746&amp;L7746</f>
        <v/>
      </c>
    </row>
    <row r="7747" customFormat="1" s="94">
      <c r="B7747" s="128" t="n">
        <v>44029</v>
      </c>
      <c r="C7747" s="94">
        <f>TEXT(B7747,"aaa")</f>
        <v/>
      </c>
      <c r="E7747" s="94" t="inlineStr">
        <is>
          <t>여름 한정 진정세트</t>
        </is>
      </c>
      <c r="F7747" s="5" t="inlineStr">
        <is>
          <t>카페24</t>
        </is>
      </c>
      <c r="G7747" s="94" t="inlineStr">
        <is>
          <t>여름 한정 진정세트 (대용량)</t>
        </is>
      </c>
      <c r="H7747" s="7" t="n">
        <v>190801</v>
      </c>
      <c r="I7747" s="7" t="n">
        <v>190801</v>
      </c>
      <c r="K7747" s="94" t="n">
        <v>2</v>
      </c>
      <c r="L7747" s="7" t="n">
        <v>190801</v>
      </c>
      <c r="M7747" s="94">
        <f>VLOOKUP($Q7747,매칭테이블!$F:$I,2,0)*K7747</f>
        <v/>
      </c>
      <c r="N7747" s="94">
        <f>M7747-M7747*VLOOKUP($Q7747,매칭테이블!$F:$I,3,0)</f>
        <v/>
      </c>
      <c r="O7747" s="94">
        <f>VLOOKUP($Q7747,매칭테이블!$F:$I,4,0)*K7747</f>
        <v/>
      </c>
      <c r="P7747" s="148">
        <f>M7747/1.1</f>
        <v/>
      </c>
      <c r="Q7747" s="94">
        <f>F7747&amp;E7747&amp;G7747&amp;L7747</f>
        <v/>
      </c>
    </row>
    <row r="7748" customFormat="1" s="94">
      <c r="B7748" s="128" t="n">
        <v>44029</v>
      </c>
      <c r="C7748" s="94">
        <f>TEXT(B7748,"aaa")</f>
        <v/>
      </c>
      <c r="E7748" s="94" t="inlineStr">
        <is>
          <t>머드크림마스크</t>
        </is>
      </c>
      <c r="F7748" s="5" t="inlineStr">
        <is>
          <t>카페24</t>
        </is>
      </c>
      <c r="G7748" s="94" t="inlineStr">
        <is>
          <t>머드크림마스크 100ml 2set</t>
        </is>
      </c>
      <c r="H7748" s="7" t="n">
        <v>190801</v>
      </c>
      <c r="I7748" s="7" t="n">
        <v>190801</v>
      </c>
      <c r="K7748" s="94" t="n">
        <v>1</v>
      </c>
      <c r="L7748" s="7" t="n">
        <v>190801</v>
      </c>
      <c r="M7748" s="94">
        <f>VLOOKUP($Q7748,매칭테이블!$F:$I,2,0)*K7748</f>
        <v/>
      </c>
      <c r="N7748" s="94">
        <f>M7748-M7748*VLOOKUP($Q7748,매칭테이블!$F:$I,3,0)</f>
        <v/>
      </c>
      <c r="O7748" s="94">
        <f>VLOOKUP($Q7748,매칭테이블!$F:$I,4,0)*K7748</f>
        <v/>
      </c>
      <c r="P7748" s="148">
        <f>M7748/1.1</f>
        <v/>
      </c>
      <c r="Q7748" s="94">
        <f>F7748&amp;E7748&amp;G7748&amp;L7748</f>
        <v/>
      </c>
    </row>
    <row r="7749" customFormat="1" s="94">
      <c r="B7749" s="128" t="n">
        <v>44029</v>
      </c>
      <c r="C7749" s="94">
        <f>TEXT(B7749,"aaa")</f>
        <v/>
      </c>
      <c r="E7749" s="94" t="inlineStr">
        <is>
          <t>토너</t>
        </is>
      </c>
      <c r="F7749" s="5" t="inlineStr">
        <is>
          <t>카페24</t>
        </is>
      </c>
      <c r="G7749" s="94" t="inlineStr">
        <is>
          <t>250ml</t>
        </is>
      </c>
      <c r="H7749" s="7" t="n">
        <v>190801</v>
      </c>
      <c r="I7749" s="7" t="n">
        <v>190801</v>
      </c>
      <c r="K7749" s="94" t="n">
        <v>47</v>
      </c>
      <c r="L7749" s="7" t="n">
        <v>190801</v>
      </c>
      <c r="M7749" s="94">
        <f>VLOOKUP($Q7749,매칭테이블!$F:$I,2,0)*K7749</f>
        <v/>
      </c>
      <c r="N7749" s="94">
        <f>M7749-M7749*VLOOKUP($Q7749,매칭테이블!$F:$I,3,0)</f>
        <v/>
      </c>
      <c r="O7749" s="94">
        <f>VLOOKUP($Q7749,매칭테이블!$F:$I,4,0)*K7749</f>
        <v/>
      </c>
      <c r="P7749" s="148">
        <f>M7749/1.1</f>
        <v/>
      </c>
      <c r="Q7749" s="94">
        <f>F7749&amp;E7749&amp;G7749&amp;L7749</f>
        <v/>
      </c>
    </row>
    <row r="7750" customFormat="1" s="94">
      <c r="B7750" s="128" t="n">
        <v>44029</v>
      </c>
      <c r="C7750" s="94">
        <f>TEXT(B7750,"aaa")</f>
        <v/>
      </c>
      <c r="E7750" s="94" t="inlineStr">
        <is>
          <t>토너</t>
        </is>
      </c>
      <c r="F7750" s="5" t="inlineStr">
        <is>
          <t>카페24</t>
        </is>
      </c>
      <c r="G7750" s="94" t="inlineStr">
        <is>
          <t>250ml 2set</t>
        </is>
      </c>
      <c r="H7750" s="7" t="n">
        <v>190801</v>
      </c>
      <c r="I7750" s="7" t="n">
        <v>190801</v>
      </c>
      <c r="K7750" s="94" t="n">
        <v>43</v>
      </c>
      <c r="L7750" s="7" t="n">
        <v>190801</v>
      </c>
      <c r="M7750" s="94">
        <f>VLOOKUP($Q7750,매칭테이블!$F:$I,2,0)*K7750</f>
        <v/>
      </c>
      <c r="N7750" s="94">
        <f>M7750-M7750*VLOOKUP($Q7750,매칭테이블!$F:$I,3,0)</f>
        <v/>
      </c>
      <c r="O7750" s="94">
        <f>VLOOKUP($Q7750,매칭테이블!$F:$I,4,0)*K7750</f>
        <v/>
      </c>
      <c r="P7750" s="148">
        <f>M7750/1.1</f>
        <v/>
      </c>
      <c r="Q7750" s="94">
        <f>F7750&amp;E7750&amp;G7750&amp;L7750</f>
        <v/>
      </c>
    </row>
    <row r="7751" customFormat="1" s="94">
      <c r="B7751" s="128" t="n">
        <v>44029</v>
      </c>
      <c r="C7751" s="94">
        <f>TEXT(B7751,"aaa")</f>
        <v/>
      </c>
      <c r="E7751" s="94" t="inlineStr">
        <is>
          <t>토너</t>
        </is>
      </c>
      <c r="F7751" s="5" t="inlineStr">
        <is>
          <t>카페24</t>
        </is>
      </c>
      <c r="G7751" s="94" t="inlineStr">
        <is>
          <t>500ml</t>
        </is>
      </c>
      <c r="H7751" s="7" t="n">
        <v>190801</v>
      </c>
      <c r="I7751" s="7" t="n">
        <v>190801</v>
      </c>
      <c r="K7751" s="94" t="n">
        <v>46</v>
      </c>
      <c r="L7751" s="7" t="n">
        <v>190801</v>
      </c>
      <c r="M7751" s="94">
        <f>VLOOKUP($Q7751,매칭테이블!$F:$I,2,0)*K7751</f>
        <v/>
      </c>
      <c r="N7751" s="94">
        <f>M7751-M7751*VLOOKUP($Q7751,매칭테이블!$F:$I,3,0)</f>
        <v/>
      </c>
      <c r="O7751" s="94">
        <f>VLOOKUP($Q7751,매칭테이블!$F:$I,4,0)*K7751</f>
        <v/>
      </c>
      <c r="P7751" s="148">
        <f>M7751/1.1</f>
        <v/>
      </c>
      <c r="Q7751" s="94">
        <f>F7751&amp;E7751&amp;G7751&amp;L7751</f>
        <v/>
      </c>
    </row>
    <row r="7752" customFormat="1" s="94">
      <c r="B7752" s="128" t="n">
        <v>44029</v>
      </c>
      <c r="C7752" s="94">
        <f>TEXT(B7752,"aaa")</f>
        <v/>
      </c>
      <c r="E7752" s="94" t="inlineStr">
        <is>
          <t>토너</t>
        </is>
      </c>
      <c r="F7752" s="5" t="inlineStr">
        <is>
          <t>카페24</t>
        </is>
      </c>
      <c r="G7752" s="94" t="inlineStr">
        <is>
          <t>스킨팩 화장솜 60P</t>
        </is>
      </c>
      <c r="H7752" s="7" t="n">
        <v>190801</v>
      </c>
      <c r="I7752" s="7" t="n">
        <v>190801</v>
      </c>
      <c r="K7752" s="94" t="n">
        <v>56</v>
      </c>
      <c r="L7752" s="7" t="n">
        <v>190801</v>
      </c>
      <c r="M7752" s="94">
        <f>VLOOKUP($Q7752,매칭테이블!$F:$I,2,0)*K7752</f>
        <v/>
      </c>
      <c r="N7752" s="94">
        <f>M7752-M7752*VLOOKUP($Q7752,매칭테이블!$F:$I,3,0)</f>
        <v/>
      </c>
      <c r="O7752" s="94">
        <f>VLOOKUP($Q7752,매칭테이블!$F:$I,4,0)*K7752</f>
        <v/>
      </c>
      <c r="P7752" s="148">
        <f>M7752/1.1</f>
        <v/>
      </c>
      <c r="Q7752" s="94">
        <f>F7752&amp;E7752&amp;G7752&amp;L7752</f>
        <v/>
      </c>
    </row>
    <row r="7753" customFormat="1" s="94">
      <c r="B7753" s="128" t="n">
        <v>44029</v>
      </c>
      <c r="C7753" s="94">
        <f>TEXT(B7753,"aaa")</f>
        <v/>
      </c>
      <c r="E7753" s="94" t="inlineStr">
        <is>
          <t>앰플</t>
        </is>
      </c>
      <c r="F7753" s="5" t="inlineStr">
        <is>
          <t>카페24</t>
        </is>
      </c>
      <c r="G7753" s="94" t="inlineStr">
        <is>
          <t>앰플 30ml</t>
        </is>
      </c>
      <c r="H7753" s="7" t="n">
        <v>190801</v>
      </c>
      <c r="I7753" s="7" t="n">
        <v>190801</v>
      </c>
      <c r="K7753" s="94" t="n">
        <v>14</v>
      </c>
      <c r="L7753" s="7" t="n">
        <v>190801</v>
      </c>
      <c r="M7753" s="94">
        <f>VLOOKUP($Q7753,매칭테이블!$F:$I,2,0)*K7753</f>
        <v/>
      </c>
      <c r="N7753" s="94">
        <f>M7753-M7753*VLOOKUP($Q7753,매칭테이블!$F:$I,3,0)</f>
        <v/>
      </c>
      <c r="O7753" s="94">
        <f>VLOOKUP($Q7753,매칭테이블!$F:$I,4,0)*K7753</f>
        <v/>
      </c>
      <c r="P7753" s="148">
        <f>M7753/1.1</f>
        <v/>
      </c>
      <c r="Q7753" s="94">
        <f>F7753&amp;E7753&amp;G7753&amp;L7753</f>
        <v/>
      </c>
    </row>
    <row r="7754" customFormat="1" s="94">
      <c r="B7754" s="128" t="n">
        <v>44029</v>
      </c>
      <c r="C7754" s="94">
        <f>TEXT(B7754,"aaa")</f>
        <v/>
      </c>
      <c r="E7754" s="94" t="inlineStr">
        <is>
          <t>수딩크림</t>
        </is>
      </c>
      <c r="F7754" s="5" t="inlineStr">
        <is>
          <t>카페24</t>
        </is>
      </c>
      <c r="G7754" s="94" t="inlineStr">
        <is>
          <t>수딩크림 100ml</t>
        </is>
      </c>
      <c r="H7754" s="7" t="n">
        <v>190801</v>
      </c>
      <c r="I7754" s="7" t="n">
        <v>190801</v>
      </c>
      <c r="K7754" s="94" t="n">
        <v>5</v>
      </c>
      <c r="L7754" s="7" t="n">
        <v>190801</v>
      </c>
      <c r="M7754" s="94">
        <f>VLOOKUP($Q7754,매칭테이블!$F:$I,2,0)*K7754</f>
        <v/>
      </c>
      <c r="N7754" s="94">
        <f>M7754-M7754*VLOOKUP($Q7754,매칭테이블!$F:$I,3,0)</f>
        <v/>
      </c>
      <c r="O7754" s="94">
        <f>VLOOKUP($Q7754,매칭테이블!$F:$I,4,0)*K7754</f>
        <v/>
      </c>
      <c r="P7754" s="148">
        <f>M7754/1.1</f>
        <v/>
      </c>
      <c r="Q7754" s="94">
        <f>F7754&amp;E7754&amp;G7754&amp;L7754</f>
        <v/>
      </c>
    </row>
    <row r="7755" customFormat="1" s="94">
      <c r="B7755" s="128" t="n">
        <v>44029</v>
      </c>
      <c r="C7755" s="94">
        <f>TEXT(B7755,"aaa")</f>
        <v/>
      </c>
      <c r="E7755" s="94" t="inlineStr">
        <is>
          <t>클렌징폼</t>
        </is>
      </c>
      <c r="F7755" s="5" t="inlineStr">
        <is>
          <t>카페24</t>
        </is>
      </c>
      <c r="G7755" s="94" t="inlineStr">
        <is>
          <t>클렌징폼 120ml</t>
        </is>
      </c>
      <c r="H7755" s="7" t="n">
        <v>190801</v>
      </c>
      <c r="I7755" s="7" t="n">
        <v>190801</v>
      </c>
      <c r="K7755" s="94" t="n">
        <v>7</v>
      </c>
      <c r="L7755" s="7" t="n">
        <v>190801</v>
      </c>
      <c r="M7755" s="94">
        <f>VLOOKUP($Q7755,매칭테이블!$F:$I,2,0)*K7755</f>
        <v/>
      </c>
      <c r="N7755" s="94">
        <f>M7755-M7755*VLOOKUP($Q7755,매칭테이블!$F:$I,3,0)</f>
        <v/>
      </c>
      <c r="O7755" s="94">
        <f>VLOOKUP($Q7755,매칭테이블!$F:$I,4,0)*K7755</f>
        <v/>
      </c>
      <c r="P7755" s="148">
        <f>M7755/1.1</f>
        <v/>
      </c>
      <c r="Q7755" s="94">
        <f>F7755&amp;E7755&amp;G7755&amp;L7755</f>
        <v/>
      </c>
    </row>
    <row r="7756" customFormat="1" s="94">
      <c r="B7756" s="128" t="n">
        <v>44029</v>
      </c>
      <c r="C7756" s="94">
        <f>TEXT(B7756,"aaa")</f>
        <v/>
      </c>
      <c r="E7756" s="94" t="inlineStr">
        <is>
          <t>클렌징폼</t>
        </is>
      </c>
      <c r="F7756" s="5" t="inlineStr">
        <is>
          <t>카페24</t>
        </is>
      </c>
      <c r="G7756" s="94" t="inlineStr">
        <is>
          <t>클렌징폼 120ml 2set</t>
        </is>
      </c>
      <c r="H7756" s="7" t="n">
        <v>190801</v>
      </c>
      <c r="I7756" s="7" t="n">
        <v>190801</v>
      </c>
      <c r="K7756" s="94" t="n">
        <v>1</v>
      </c>
      <c r="L7756" s="7" t="n">
        <v>190801</v>
      </c>
      <c r="M7756" s="94">
        <f>VLOOKUP($Q7756,매칭테이블!$F:$I,2,0)*K7756</f>
        <v/>
      </c>
      <c r="N7756" s="94">
        <f>M7756-M7756*VLOOKUP($Q7756,매칭테이블!$F:$I,3,0)</f>
        <v/>
      </c>
      <c r="O7756" s="94">
        <f>VLOOKUP($Q7756,매칭테이블!$F:$I,4,0)*K7756</f>
        <v/>
      </c>
      <c r="P7756" s="148">
        <f>M7756/1.1</f>
        <v/>
      </c>
      <c r="Q7756" s="94">
        <f>F7756&amp;E7756&amp;G7756&amp;L7756</f>
        <v/>
      </c>
    </row>
    <row r="7757" customFormat="1" s="94">
      <c r="B7757" s="128" t="n">
        <v>44029</v>
      </c>
      <c r="C7757" s="94">
        <f>TEXT(B7757,"aaa")</f>
        <v/>
      </c>
      <c r="E7757" s="94" t="inlineStr">
        <is>
          <t>클렌징폼</t>
        </is>
      </c>
      <c r="F7757" s="5" t="inlineStr">
        <is>
          <t>카페24</t>
        </is>
      </c>
      <c r="G7757" s="94" t="inlineStr">
        <is>
          <t>클렌징폼 120ml 3set</t>
        </is>
      </c>
      <c r="H7757" s="7" t="n">
        <v>190801</v>
      </c>
      <c r="I7757" s="7" t="n">
        <v>190801</v>
      </c>
      <c r="K7757" s="94" t="n">
        <v>1</v>
      </c>
      <c r="L7757" s="7" t="n">
        <v>190801</v>
      </c>
      <c r="M7757" s="94">
        <f>VLOOKUP($Q7757,매칭테이블!$F:$I,2,0)*K7757</f>
        <v/>
      </c>
      <c r="N7757" s="94">
        <f>M7757-M7757*VLOOKUP($Q7757,매칭테이블!$F:$I,3,0)</f>
        <v/>
      </c>
      <c r="O7757" s="94">
        <f>VLOOKUP($Q7757,매칭테이블!$F:$I,4,0)*K7757</f>
        <v/>
      </c>
      <c r="P7757" s="148">
        <f>M7757/1.1</f>
        <v/>
      </c>
      <c r="Q7757" s="94">
        <f>F7757&amp;E7757&amp;G7757&amp;L7757</f>
        <v/>
      </c>
    </row>
    <row r="7758" customFormat="1" s="94">
      <c r="B7758" s="128" t="n">
        <v>44029</v>
      </c>
      <c r="C7758" s="94">
        <f>TEXT(B7758,"aaa")</f>
        <v/>
      </c>
      <c r="E7758" s="94" t="inlineStr">
        <is>
          <t>토너</t>
        </is>
      </c>
      <c r="F7758" s="5" t="inlineStr">
        <is>
          <t>큐텐재팬</t>
        </is>
      </c>
      <c r="G7758" s="94" t="inlineStr">
        <is>
          <t>250ml</t>
        </is>
      </c>
      <c r="H7758" s="7" t="n">
        <v>190801</v>
      </c>
      <c r="I7758" s="7" t="n">
        <v>190801</v>
      </c>
      <c r="K7758" s="94" t="n">
        <v>17</v>
      </c>
      <c r="L7758" s="7" t="n">
        <v>190801</v>
      </c>
      <c r="M7758" s="94">
        <f>VLOOKUP($Q7758,매칭테이블!$F:$I,2,0)*K7758</f>
        <v/>
      </c>
      <c r="N7758" s="94">
        <f>M7758-M7758*VLOOKUP($Q7758,매칭테이블!$F:$I,3,0)</f>
        <v/>
      </c>
      <c r="O7758" s="94">
        <f>VLOOKUP($Q7758,매칭테이블!$F:$I,4,0)*K7758</f>
        <v/>
      </c>
      <c r="P7758" s="148">
        <f>M7758/1.1</f>
        <v/>
      </c>
      <c r="Q7758" s="94">
        <f>F7758&amp;E7758&amp;G7758&amp;L7758</f>
        <v/>
      </c>
    </row>
    <row r="7759" customFormat="1" s="94">
      <c r="B7759" s="128" t="n">
        <v>44029</v>
      </c>
      <c r="C7759" s="94">
        <f>TEXT(B7759,"aaa")</f>
        <v/>
      </c>
      <c r="E7759" s="94" t="inlineStr">
        <is>
          <t>토너</t>
        </is>
      </c>
      <c r="F7759" s="5" t="inlineStr">
        <is>
          <t>큐텐재팬</t>
        </is>
      </c>
      <c r="G7759" s="94" t="inlineStr">
        <is>
          <t>250ml 2set</t>
        </is>
      </c>
      <c r="H7759" s="7" t="n">
        <v>190801</v>
      </c>
      <c r="I7759" s="7" t="n">
        <v>190801</v>
      </c>
      <c r="K7759" s="94" t="n">
        <v>3</v>
      </c>
      <c r="L7759" s="7" t="n">
        <v>190801</v>
      </c>
      <c r="M7759" s="94">
        <f>VLOOKUP($Q7759,매칭테이블!$F:$I,2,0)*K7759</f>
        <v/>
      </c>
      <c r="N7759" s="94">
        <f>M7759-M7759*VLOOKUP($Q7759,매칭테이블!$F:$I,3,0)</f>
        <v/>
      </c>
      <c r="O7759" s="94">
        <f>VLOOKUP($Q7759,매칭테이블!$F:$I,4,0)*K7759</f>
        <v/>
      </c>
      <c r="P7759" s="148">
        <f>M7759/1.1</f>
        <v/>
      </c>
      <c r="Q7759" s="94">
        <f>F7759&amp;E7759&amp;G7759&amp;L7759</f>
        <v/>
      </c>
    </row>
    <row r="7760" customFormat="1" s="94">
      <c r="B7760" s="128" t="n">
        <v>44029</v>
      </c>
      <c r="C7760" s="94">
        <f>TEXT(B7760,"aaa")</f>
        <v/>
      </c>
      <c r="E7760" s="94" t="inlineStr">
        <is>
          <t>앰플</t>
        </is>
      </c>
      <c r="F7760" s="5" t="inlineStr">
        <is>
          <t>큐텐재팬</t>
        </is>
      </c>
      <c r="G7760" s="94" t="inlineStr">
        <is>
          <t>앰플 30ml</t>
        </is>
      </c>
      <c r="H7760" s="7" t="n">
        <v>190801</v>
      </c>
      <c r="I7760" s="7" t="n">
        <v>190801</v>
      </c>
      <c r="K7760" s="94" t="n">
        <v>1</v>
      </c>
      <c r="L7760" s="7" t="n">
        <v>190801</v>
      </c>
      <c r="M7760" s="94">
        <f>VLOOKUP($Q7760,매칭테이블!$F:$I,2,0)*K7760</f>
        <v/>
      </c>
      <c r="N7760" s="94">
        <f>M7760-M7760*VLOOKUP($Q7760,매칭테이블!$F:$I,3,0)</f>
        <v/>
      </c>
      <c r="O7760" s="94">
        <f>VLOOKUP($Q7760,매칭테이블!$F:$I,4,0)*K7760</f>
        <v/>
      </c>
      <c r="P7760" s="148">
        <f>M7760/1.1</f>
        <v/>
      </c>
      <c r="Q7760" s="94">
        <f>F7760&amp;E7760&amp;G7760&amp;L7760</f>
        <v/>
      </c>
    </row>
    <row r="7761" customFormat="1" s="94">
      <c r="B7761" s="128" t="n">
        <v>44029</v>
      </c>
      <c r="C7761" s="94">
        <f>TEXT(B7761,"aaa")</f>
        <v/>
      </c>
      <c r="E7761" s="94" t="inlineStr">
        <is>
          <t>토너</t>
        </is>
      </c>
      <c r="F7761" s="5" t="inlineStr">
        <is>
          <t>화해</t>
        </is>
      </c>
      <c r="G7761" s="94" t="inlineStr">
        <is>
          <t>250ml</t>
        </is>
      </c>
      <c r="H7761" s="7" t="n">
        <v>190801</v>
      </c>
      <c r="I7761" s="7" t="n">
        <v>190801</v>
      </c>
      <c r="K7761" s="94" t="n">
        <v>8</v>
      </c>
      <c r="L7761" s="7" t="n">
        <v>190801</v>
      </c>
      <c r="M7761" s="94">
        <f>VLOOKUP($Q7761,매칭테이블!$F:$I,2,0)*K7761</f>
        <v/>
      </c>
      <c r="N7761" s="94">
        <f>M7761-M7761*VLOOKUP($Q7761,매칭테이블!$F:$I,3,0)</f>
        <v/>
      </c>
      <c r="O7761" s="94">
        <f>VLOOKUP($Q7761,매칭테이블!$F:$I,4,0)*K7761</f>
        <v/>
      </c>
      <c r="P7761" s="148">
        <f>M7761/1.1</f>
        <v/>
      </c>
      <c r="Q7761" s="94">
        <f>F7761&amp;E7761&amp;G7761&amp;L7761</f>
        <v/>
      </c>
    </row>
    <row r="7762" customFormat="1" s="94">
      <c r="B7762" s="128" t="n">
        <v>44030</v>
      </c>
      <c r="C7762" s="94">
        <f>TEXT(B7762,"aaa")</f>
        <v/>
      </c>
      <c r="E7762" s="94" t="inlineStr">
        <is>
          <t>토너</t>
        </is>
      </c>
      <c r="F7762" s="5" t="inlineStr">
        <is>
          <t>스타일쉐어</t>
        </is>
      </c>
      <c r="G7762" s="94" t="inlineStr">
        <is>
          <t>250ml</t>
        </is>
      </c>
      <c r="H7762" s="7" t="n">
        <v>190801</v>
      </c>
      <c r="I7762" s="7" t="n">
        <v>190801</v>
      </c>
      <c r="K7762" s="94" t="n">
        <v>5</v>
      </c>
      <c r="L7762" s="7" t="n">
        <v>190801</v>
      </c>
      <c r="M7762" s="94">
        <f>VLOOKUP($Q7762,매칭테이블!$F:$I,2,0)*K7762</f>
        <v/>
      </c>
      <c r="N7762" s="94">
        <f>M7762-M7762*VLOOKUP($Q7762,매칭테이블!$F:$I,3,0)</f>
        <v/>
      </c>
      <c r="O7762" s="94">
        <f>VLOOKUP($Q7762,매칭테이블!$F:$I,4,0)*K7762</f>
        <v/>
      </c>
      <c r="P7762" s="148">
        <f>M7762/1.1</f>
        <v/>
      </c>
      <c r="Q7762" s="94">
        <f>F7762&amp;E7762&amp;G7762&amp;L7762</f>
        <v/>
      </c>
    </row>
    <row r="7763" customFormat="1" s="94">
      <c r="B7763" s="128" t="n">
        <v>44030</v>
      </c>
      <c r="C7763" s="94">
        <f>TEXT(B7763,"aaa")</f>
        <v/>
      </c>
      <c r="E7763" s="94" t="inlineStr">
        <is>
          <t>선크림</t>
        </is>
      </c>
      <c r="F7763" s="5" t="inlineStr">
        <is>
          <t>카페24</t>
        </is>
      </c>
      <c r="G7763" s="94" t="inlineStr">
        <is>
          <t>선크림 50ml</t>
        </is>
      </c>
      <c r="H7763" s="7" t="n">
        <v>190801</v>
      </c>
      <c r="I7763" s="7" t="n">
        <v>190801</v>
      </c>
      <c r="K7763" s="94" t="n">
        <v>4</v>
      </c>
      <c r="L7763" s="7" t="n">
        <v>190801</v>
      </c>
      <c r="M7763" s="94">
        <f>VLOOKUP($Q7763,매칭테이블!$F:$I,2,0)*K7763</f>
        <v/>
      </c>
      <c r="N7763" s="94">
        <f>M7763-M7763*VLOOKUP($Q7763,매칭테이블!$F:$I,3,0)</f>
        <v/>
      </c>
      <c r="O7763" s="94">
        <f>VLOOKUP($Q7763,매칭테이블!$F:$I,4,0)*K7763</f>
        <v/>
      </c>
      <c r="P7763" s="148">
        <f>M7763/1.1</f>
        <v/>
      </c>
      <c r="Q7763" s="94">
        <f>F7763&amp;E7763&amp;G7763&amp;L7763</f>
        <v/>
      </c>
    </row>
    <row r="7764" customFormat="1" s="94">
      <c r="B7764" s="128" t="n">
        <v>44030</v>
      </c>
      <c r="C7764" s="94">
        <f>TEXT(B7764,"aaa")</f>
        <v/>
      </c>
      <c r="E7764" s="94" t="inlineStr">
        <is>
          <t>선크림</t>
        </is>
      </c>
      <c r="F7764" s="5" t="inlineStr">
        <is>
          <t>카페24</t>
        </is>
      </c>
      <c r="G7764" s="94" t="inlineStr">
        <is>
          <t>선크림 50ml  2set</t>
        </is>
      </c>
      <c r="H7764" s="7" t="n">
        <v>190801</v>
      </c>
      <c r="I7764" s="7" t="n">
        <v>190801</v>
      </c>
      <c r="K7764" s="94" t="n">
        <v>1</v>
      </c>
      <c r="L7764" s="7" t="n">
        <v>190801</v>
      </c>
      <c r="M7764" s="94">
        <f>VLOOKUP($Q7764,매칭테이블!$F:$I,2,0)*K7764</f>
        <v/>
      </c>
      <c r="N7764" s="94">
        <f>M7764-M7764*VLOOKUP($Q7764,매칭테이블!$F:$I,3,0)</f>
        <v/>
      </c>
      <c r="O7764" s="94">
        <f>VLOOKUP($Q7764,매칭테이블!$F:$I,4,0)*K7764</f>
        <v/>
      </c>
      <c r="P7764" s="148">
        <f>M7764/1.1</f>
        <v/>
      </c>
      <c r="Q7764" s="94">
        <f>F7764&amp;E7764&amp;G7764&amp;L7764</f>
        <v/>
      </c>
    </row>
    <row r="7765" customFormat="1" s="94">
      <c r="B7765" s="128" t="n">
        <v>44030</v>
      </c>
      <c r="C7765" s="94">
        <f>TEXT(B7765,"aaa")</f>
        <v/>
      </c>
      <c r="E7765" s="94" t="inlineStr">
        <is>
          <t>클렌징폼</t>
        </is>
      </c>
      <c r="F7765" s="5" t="inlineStr">
        <is>
          <t>카페24</t>
        </is>
      </c>
      <c r="G7765" s="94" t="inlineStr">
        <is>
          <t>클렌징폼 120ml(선크림할인)</t>
        </is>
      </c>
      <c r="H7765" s="7" t="n">
        <v>190801</v>
      </c>
      <c r="I7765" s="7" t="n">
        <v>190801</v>
      </c>
      <c r="K7765" s="94" t="n">
        <v>2</v>
      </c>
      <c r="L7765" s="7" t="n">
        <v>190801</v>
      </c>
      <c r="M7765" s="94">
        <f>VLOOKUP($Q7765,매칭테이블!$F:$I,2,0)*K7765</f>
        <v/>
      </c>
      <c r="N7765" s="94">
        <f>M7765-M7765*VLOOKUP($Q7765,매칭테이블!$F:$I,3,0)</f>
        <v/>
      </c>
      <c r="O7765" s="94">
        <f>VLOOKUP($Q7765,매칭테이블!$F:$I,4,0)*K7765</f>
        <v/>
      </c>
      <c r="P7765" s="148">
        <f>M7765/1.1</f>
        <v/>
      </c>
      <c r="Q7765" s="94">
        <f>F7765&amp;E7765&amp;G7765&amp;L7765</f>
        <v/>
      </c>
    </row>
    <row r="7766" customFormat="1" s="94">
      <c r="B7766" s="128" t="n">
        <v>44030</v>
      </c>
      <c r="C7766" s="94">
        <f>TEXT(B7766,"aaa")</f>
        <v/>
      </c>
      <c r="E7766" s="94" t="inlineStr">
        <is>
          <t>여름 한정 진정세트</t>
        </is>
      </c>
      <c r="F7766" s="5" t="inlineStr">
        <is>
          <t>카페24</t>
        </is>
      </c>
      <c r="G7766" s="94" t="inlineStr">
        <is>
          <t>여름 한정 진정세트</t>
        </is>
      </c>
      <c r="H7766" s="7" t="n">
        <v>190801</v>
      </c>
      <c r="I7766" s="7" t="n">
        <v>190801</v>
      </c>
      <c r="K7766" s="94" t="n">
        <v>4</v>
      </c>
      <c r="L7766" s="7" t="n">
        <v>190801</v>
      </c>
      <c r="M7766" s="94">
        <f>VLOOKUP($Q7766,매칭테이블!$F:$I,2,0)*K7766</f>
        <v/>
      </c>
      <c r="N7766" s="94">
        <f>M7766-M7766*VLOOKUP($Q7766,매칭테이블!$F:$I,3,0)</f>
        <v/>
      </c>
      <c r="O7766" s="94">
        <f>VLOOKUP($Q7766,매칭테이블!$F:$I,4,0)*K7766</f>
        <v/>
      </c>
      <c r="P7766" s="148">
        <f>M7766/1.1</f>
        <v/>
      </c>
      <c r="Q7766" s="94">
        <f>F7766&amp;E7766&amp;G7766&amp;L7766</f>
        <v/>
      </c>
    </row>
    <row r="7767" customFormat="1" s="94">
      <c r="B7767" s="128" t="n">
        <v>44030</v>
      </c>
      <c r="C7767" s="94">
        <f>TEXT(B7767,"aaa")</f>
        <v/>
      </c>
      <c r="E7767" s="94" t="inlineStr">
        <is>
          <t>여름 한정 진정세트</t>
        </is>
      </c>
      <c r="F7767" s="5" t="inlineStr">
        <is>
          <t>카페24</t>
        </is>
      </c>
      <c r="G7767" s="94" t="inlineStr">
        <is>
          <t>여름 한정 진정세트 (대용량)</t>
        </is>
      </c>
      <c r="H7767" s="7" t="n">
        <v>190801</v>
      </c>
      <c r="I7767" s="7" t="n">
        <v>190801</v>
      </c>
      <c r="K7767" s="94" t="n">
        <v>3</v>
      </c>
      <c r="L7767" s="7" t="n">
        <v>190801</v>
      </c>
      <c r="M7767" s="94">
        <f>VLOOKUP($Q7767,매칭테이블!$F:$I,2,0)*K7767</f>
        <v/>
      </c>
      <c r="N7767" s="94">
        <f>M7767-M7767*VLOOKUP($Q7767,매칭테이블!$F:$I,3,0)</f>
        <v/>
      </c>
      <c r="O7767" s="94">
        <f>VLOOKUP($Q7767,매칭테이블!$F:$I,4,0)*K7767</f>
        <v/>
      </c>
      <c r="P7767" s="148">
        <f>M7767/1.1</f>
        <v/>
      </c>
      <c r="Q7767" s="94">
        <f>F7767&amp;E7767&amp;G7767&amp;L7767</f>
        <v/>
      </c>
    </row>
    <row r="7768" customFormat="1" s="94">
      <c r="B7768" s="128" t="n">
        <v>44030</v>
      </c>
      <c r="C7768" s="94">
        <f>TEXT(B7768,"aaa")</f>
        <v/>
      </c>
      <c r="E7768" s="94" t="inlineStr">
        <is>
          <t>머드크림마스크</t>
        </is>
      </c>
      <c r="F7768" s="5" t="inlineStr">
        <is>
          <t>카페24</t>
        </is>
      </c>
      <c r="G7768" s="94" t="inlineStr">
        <is>
          <t>머드크림마스크 100ml</t>
        </is>
      </c>
      <c r="H7768" s="7" t="n">
        <v>190801</v>
      </c>
      <c r="I7768" s="7" t="n">
        <v>190801</v>
      </c>
      <c r="K7768" s="94" t="n">
        <v>2</v>
      </c>
      <c r="L7768" s="7" t="n">
        <v>190801</v>
      </c>
      <c r="M7768" s="94">
        <f>VLOOKUP($Q7768,매칭테이블!$F:$I,2,0)*K7768</f>
        <v/>
      </c>
      <c r="N7768" s="94">
        <f>M7768-M7768*VLOOKUP($Q7768,매칭테이블!$F:$I,3,0)</f>
        <v/>
      </c>
      <c r="O7768" s="94">
        <f>VLOOKUP($Q7768,매칭테이블!$F:$I,4,0)*K7768</f>
        <v/>
      </c>
      <c r="P7768" s="148">
        <f>M7768/1.1</f>
        <v/>
      </c>
      <c r="Q7768" s="94">
        <f>F7768&amp;E7768&amp;G7768&amp;L7768</f>
        <v/>
      </c>
    </row>
    <row r="7769" customFormat="1" s="94">
      <c r="B7769" s="128" t="n">
        <v>44030</v>
      </c>
      <c r="C7769" s="94">
        <f>TEXT(B7769,"aaa")</f>
        <v/>
      </c>
      <c r="E7769" s="94" t="inlineStr">
        <is>
          <t>토너</t>
        </is>
      </c>
      <c r="F7769" s="5" t="inlineStr">
        <is>
          <t>카페24</t>
        </is>
      </c>
      <c r="G7769" s="94" t="inlineStr">
        <is>
          <t>250ml</t>
        </is>
      </c>
      <c r="H7769" s="7" t="n">
        <v>190801</v>
      </c>
      <c r="I7769" s="7" t="n">
        <v>190801</v>
      </c>
      <c r="K7769" s="94" t="n">
        <v>44</v>
      </c>
      <c r="L7769" s="7" t="n">
        <v>190801</v>
      </c>
      <c r="M7769" s="94">
        <f>VLOOKUP($Q7769,매칭테이블!$F:$I,2,0)*K7769</f>
        <v/>
      </c>
      <c r="N7769" s="94">
        <f>M7769-M7769*VLOOKUP($Q7769,매칭테이블!$F:$I,3,0)</f>
        <v/>
      </c>
      <c r="O7769" s="94">
        <f>VLOOKUP($Q7769,매칭테이블!$F:$I,4,0)*K7769</f>
        <v/>
      </c>
      <c r="P7769" s="148">
        <f>M7769/1.1</f>
        <v/>
      </c>
      <c r="Q7769" s="94">
        <f>F7769&amp;E7769&amp;G7769&amp;L7769</f>
        <v/>
      </c>
    </row>
    <row r="7770" customFormat="1" s="94">
      <c r="B7770" s="128" t="n">
        <v>44030</v>
      </c>
      <c r="C7770" s="94">
        <f>TEXT(B7770,"aaa")</f>
        <v/>
      </c>
      <c r="E7770" s="94" t="inlineStr">
        <is>
          <t>토너</t>
        </is>
      </c>
      <c r="F7770" s="5" t="inlineStr">
        <is>
          <t>카페24</t>
        </is>
      </c>
      <c r="G7770" s="94" t="inlineStr">
        <is>
          <t>250ml 2set</t>
        </is>
      </c>
      <c r="H7770" s="7" t="n">
        <v>190801</v>
      </c>
      <c r="I7770" s="7" t="n">
        <v>190801</v>
      </c>
      <c r="K7770" s="94" t="n">
        <v>38</v>
      </c>
      <c r="L7770" s="7" t="n">
        <v>190801</v>
      </c>
      <c r="M7770" s="94">
        <f>VLOOKUP($Q7770,매칭테이블!$F:$I,2,0)*K7770</f>
        <v/>
      </c>
      <c r="N7770" s="94">
        <f>M7770-M7770*VLOOKUP($Q7770,매칭테이블!$F:$I,3,0)</f>
        <v/>
      </c>
      <c r="O7770" s="94">
        <f>VLOOKUP($Q7770,매칭테이블!$F:$I,4,0)*K7770</f>
        <v/>
      </c>
      <c r="P7770" s="148">
        <f>M7770/1.1</f>
        <v/>
      </c>
      <c r="Q7770" s="94">
        <f>F7770&amp;E7770&amp;G7770&amp;L7770</f>
        <v/>
      </c>
    </row>
    <row r="7771" customFormat="1" s="94">
      <c r="B7771" s="128" t="n">
        <v>44030</v>
      </c>
      <c r="C7771" s="94">
        <f>TEXT(B7771,"aaa")</f>
        <v/>
      </c>
      <c r="E7771" s="94" t="inlineStr">
        <is>
          <t>토너</t>
        </is>
      </c>
      <c r="F7771" s="5" t="inlineStr">
        <is>
          <t>카페24</t>
        </is>
      </c>
      <c r="G7771" s="94" t="inlineStr">
        <is>
          <t>500ml</t>
        </is>
      </c>
      <c r="H7771" s="7" t="n">
        <v>190801</v>
      </c>
      <c r="I7771" s="7" t="n">
        <v>190801</v>
      </c>
      <c r="K7771" s="94" t="n">
        <v>41</v>
      </c>
      <c r="L7771" s="7" t="n">
        <v>190801</v>
      </c>
      <c r="M7771" s="94">
        <f>VLOOKUP($Q7771,매칭테이블!$F:$I,2,0)*K7771</f>
        <v/>
      </c>
      <c r="N7771" s="94">
        <f>M7771-M7771*VLOOKUP($Q7771,매칭테이블!$F:$I,3,0)</f>
        <v/>
      </c>
      <c r="O7771" s="94">
        <f>VLOOKUP($Q7771,매칭테이블!$F:$I,4,0)*K7771</f>
        <v/>
      </c>
      <c r="P7771" s="148">
        <f>M7771/1.1</f>
        <v/>
      </c>
      <c r="Q7771" s="94">
        <f>F7771&amp;E7771&amp;G7771&amp;L7771</f>
        <v/>
      </c>
    </row>
    <row r="7772" customFormat="1" s="94">
      <c r="B7772" s="128" t="n">
        <v>44030</v>
      </c>
      <c r="C7772" s="94">
        <f>TEXT(B7772,"aaa")</f>
        <v/>
      </c>
      <c r="E7772" s="94" t="inlineStr">
        <is>
          <t>토너</t>
        </is>
      </c>
      <c r="F7772" s="5" t="inlineStr">
        <is>
          <t>카페24</t>
        </is>
      </c>
      <c r="G7772" s="94" t="inlineStr">
        <is>
          <t>스킨팩 화장솜 60P</t>
        </is>
      </c>
      <c r="H7772" s="7" t="n">
        <v>190801</v>
      </c>
      <c r="I7772" s="7" t="n">
        <v>190801</v>
      </c>
      <c r="K7772" s="94" t="n">
        <v>42</v>
      </c>
      <c r="L7772" s="7" t="n">
        <v>190801</v>
      </c>
      <c r="M7772" s="94">
        <f>VLOOKUP($Q7772,매칭테이블!$F:$I,2,0)*K7772</f>
        <v/>
      </c>
      <c r="N7772" s="94">
        <f>M7772-M7772*VLOOKUP($Q7772,매칭테이블!$F:$I,3,0)</f>
        <v/>
      </c>
      <c r="O7772" s="94">
        <f>VLOOKUP($Q7772,매칭테이블!$F:$I,4,0)*K7772</f>
        <v/>
      </c>
      <c r="P7772" s="148">
        <f>M7772/1.1</f>
        <v/>
      </c>
      <c r="Q7772" s="94">
        <f>F7772&amp;E7772&amp;G7772&amp;L7772</f>
        <v/>
      </c>
    </row>
    <row r="7773" customFormat="1" s="94">
      <c r="B7773" s="128" t="n">
        <v>44030</v>
      </c>
      <c r="C7773" s="94">
        <f>TEXT(B7773,"aaa")</f>
        <v/>
      </c>
      <c r="E7773" s="94" t="inlineStr">
        <is>
          <t>앰플</t>
        </is>
      </c>
      <c r="F7773" s="5" t="inlineStr">
        <is>
          <t>카페24</t>
        </is>
      </c>
      <c r="G7773" s="94" t="inlineStr">
        <is>
          <t>앰플 30ml</t>
        </is>
      </c>
      <c r="H7773" s="7" t="n">
        <v>190801</v>
      </c>
      <c r="I7773" s="7" t="n">
        <v>190801</v>
      </c>
      <c r="K7773" s="94" t="n">
        <v>10</v>
      </c>
      <c r="L7773" s="7" t="n">
        <v>190801</v>
      </c>
      <c r="M7773" s="94">
        <f>VLOOKUP($Q7773,매칭테이블!$F:$I,2,0)*K7773</f>
        <v/>
      </c>
      <c r="N7773" s="94">
        <f>M7773-M7773*VLOOKUP($Q7773,매칭테이블!$F:$I,3,0)</f>
        <v/>
      </c>
      <c r="O7773" s="94">
        <f>VLOOKUP($Q7773,매칭테이블!$F:$I,4,0)*K7773</f>
        <v/>
      </c>
      <c r="P7773" s="148">
        <f>M7773/1.1</f>
        <v/>
      </c>
      <c r="Q7773" s="94">
        <f>F7773&amp;E7773&amp;G7773&amp;L7773</f>
        <v/>
      </c>
    </row>
    <row r="7774" customFormat="1" s="94">
      <c r="B7774" s="128" t="n">
        <v>44030</v>
      </c>
      <c r="C7774" s="94">
        <f>TEXT(B7774,"aaa")</f>
        <v/>
      </c>
      <c r="E7774" s="94" t="inlineStr">
        <is>
          <t>수딩크림</t>
        </is>
      </c>
      <c r="F7774" s="5" t="inlineStr">
        <is>
          <t>카페24</t>
        </is>
      </c>
      <c r="G7774" s="94" t="inlineStr">
        <is>
          <t>수딩크림 100ml</t>
        </is>
      </c>
      <c r="H7774" s="7" t="n">
        <v>190801</v>
      </c>
      <c r="I7774" s="7" t="n">
        <v>190801</v>
      </c>
      <c r="K7774" s="94" t="n">
        <v>5</v>
      </c>
      <c r="L7774" s="7" t="n">
        <v>190801</v>
      </c>
      <c r="M7774" s="94">
        <f>VLOOKUP($Q7774,매칭테이블!$F:$I,2,0)*K7774</f>
        <v/>
      </c>
      <c r="N7774" s="94">
        <f>M7774-M7774*VLOOKUP($Q7774,매칭테이블!$F:$I,3,0)</f>
        <v/>
      </c>
      <c r="O7774" s="94">
        <f>VLOOKUP($Q7774,매칭테이블!$F:$I,4,0)*K7774</f>
        <v/>
      </c>
      <c r="P7774" s="148">
        <f>M7774/1.1</f>
        <v/>
      </c>
      <c r="Q7774" s="94">
        <f>F7774&amp;E7774&amp;G7774&amp;L7774</f>
        <v/>
      </c>
    </row>
    <row r="7775" customFormat="1" s="94">
      <c r="B7775" s="128" t="n">
        <v>44030</v>
      </c>
      <c r="C7775" s="94">
        <f>TEXT(B7775,"aaa")</f>
        <v/>
      </c>
      <c r="E7775" s="94" t="inlineStr">
        <is>
          <t>클렌징폼</t>
        </is>
      </c>
      <c r="F7775" s="5" t="inlineStr">
        <is>
          <t>카페24</t>
        </is>
      </c>
      <c r="G7775" s="94" t="inlineStr">
        <is>
          <t>클렌징폼 120ml</t>
        </is>
      </c>
      <c r="H7775" s="7" t="n">
        <v>190801</v>
      </c>
      <c r="I7775" s="7" t="n">
        <v>190801</v>
      </c>
      <c r="K7775" s="94" t="n">
        <v>4</v>
      </c>
      <c r="L7775" s="7" t="n">
        <v>190801</v>
      </c>
      <c r="M7775" s="94">
        <f>VLOOKUP($Q7775,매칭테이블!$F:$I,2,0)*K7775</f>
        <v/>
      </c>
      <c r="N7775" s="94">
        <f>M7775-M7775*VLOOKUP($Q7775,매칭테이블!$F:$I,3,0)</f>
        <v/>
      </c>
      <c r="O7775" s="94">
        <f>VLOOKUP($Q7775,매칭테이블!$F:$I,4,0)*K7775</f>
        <v/>
      </c>
      <c r="P7775" s="148">
        <f>M7775/1.1</f>
        <v/>
      </c>
      <c r="Q7775" s="94">
        <f>F7775&amp;E7775&amp;G7775&amp;L7775</f>
        <v/>
      </c>
    </row>
    <row r="7776" customFormat="1" s="94">
      <c r="B7776" s="128" t="n">
        <v>44030</v>
      </c>
      <c r="C7776" s="94">
        <f>TEXT(B7776,"aaa")</f>
        <v/>
      </c>
      <c r="E7776" s="94" t="inlineStr">
        <is>
          <t>클렌징폼</t>
        </is>
      </c>
      <c r="F7776" s="5" t="inlineStr">
        <is>
          <t>카페24</t>
        </is>
      </c>
      <c r="G7776" s="94" t="inlineStr">
        <is>
          <t>클렌징폼 120ml 2set</t>
        </is>
      </c>
      <c r="H7776" s="7" t="n">
        <v>190801</v>
      </c>
      <c r="I7776" s="7" t="n">
        <v>190801</v>
      </c>
      <c r="K7776" s="94" t="n">
        <v>1</v>
      </c>
      <c r="L7776" s="7" t="n">
        <v>190801</v>
      </c>
      <c r="M7776" s="94">
        <f>VLOOKUP($Q7776,매칭테이블!$F:$I,2,0)*K7776</f>
        <v/>
      </c>
      <c r="N7776" s="94">
        <f>M7776-M7776*VLOOKUP($Q7776,매칭테이블!$F:$I,3,0)</f>
        <v/>
      </c>
      <c r="O7776" s="94">
        <f>VLOOKUP($Q7776,매칭테이블!$F:$I,4,0)*K7776</f>
        <v/>
      </c>
      <c r="P7776" s="148">
        <f>M7776/1.1</f>
        <v/>
      </c>
      <c r="Q7776" s="94">
        <f>F7776&amp;E7776&amp;G7776&amp;L7776</f>
        <v/>
      </c>
    </row>
    <row r="7777" customFormat="1" s="94">
      <c r="B7777" s="128" t="n">
        <v>44030</v>
      </c>
      <c r="C7777" s="94">
        <f>TEXT(B7777,"aaa")</f>
        <v/>
      </c>
      <c r="E7777" s="94" t="inlineStr">
        <is>
          <t>클렌징폼</t>
        </is>
      </c>
      <c r="F7777" s="5" t="inlineStr">
        <is>
          <t>카페24</t>
        </is>
      </c>
      <c r="G7777" s="94" t="inlineStr">
        <is>
          <t>클렌징폼 120ml 3set</t>
        </is>
      </c>
      <c r="H7777" s="7" t="n">
        <v>190801</v>
      </c>
      <c r="I7777" s="7" t="n">
        <v>190801</v>
      </c>
      <c r="K7777" s="94" t="n">
        <v>1</v>
      </c>
      <c r="L7777" s="7" t="n">
        <v>190801</v>
      </c>
      <c r="M7777" s="94">
        <f>VLOOKUP($Q7777,매칭테이블!$F:$I,2,0)*K7777</f>
        <v/>
      </c>
      <c r="N7777" s="94">
        <f>M7777-M7777*VLOOKUP($Q7777,매칭테이블!$F:$I,3,0)</f>
        <v/>
      </c>
      <c r="O7777" s="94">
        <f>VLOOKUP($Q7777,매칭테이블!$F:$I,4,0)*K7777</f>
        <v/>
      </c>
      <c r="P7777" s="148">
        <f>M7777/1.1</f>
        <v/>
      </c>
      <c r="Q7777" s="94">
        <f>F7777&amp;E7777&amp;G7777&amp;L7777</f>
        <v/>
      </c>
    </row>
    <row r="7778" customFormat="1" s="94">
      <c r="B7778" s="128" t="n">
        <v>44030</v>
      </c>
      <c r="C7778" s="94">
        <f>TEXT(B7778,"aaa")</f>
        <v/>
      </c>
      <c r="E7778" s="94" t="inlineStr">
        <is>
          <t>토너</t>
        </is>
      </c>
      <c r="F7778" s="5" t="inlineStr">
        <is>
          <t>화해</t>
        </is>
      </c>
      <c r="G7778" s="94" t="inlineStr">
        <is>
          <t>250ml</t>
        </is>
      </c>
      <c r="H7778" s="7" t="n">
        <v>190801</v>
      </c>
      <c r="I7778" s="7" t="n">
        <v>190801</v>
      </c>
      <c r="K7778" s="94" t="n">
        <v>7</v>
      </c>
      <c r="L7778" s="7" t="n">
        <v>190801</v>
      </c>
      <c r="M7778" s="94">
        <f>VLOOKUP($Q7778,매칭테이블!$F:$I,2,0)*K7778</f>
        <v/>
      </c>
      <c r="N7778" s="94">
        <f>M7778-M7778*VLOOKUP($Q7778,매칭테이블!$F:$I,3,0)</f>
        <v/>
      </c>
      <c r="O7778" s="94">
        <f>VLOOKUP($Q7778,매칭테이블!$F:$I,4,0)*K7778</f>
        <v/>
      </c>
      <c r="P7778" s="148">
        <f>M7778/1.1</f>
        <v/>
      </c>
      <c r="Q7778" s="94">
        <f>F7778&amp;E7778&amp;G7778&amp;L7778</f>
        <v/>
      </c>
    </row>
    <row r="7779" customFormat="1" s="94">
      <c r="B7779" s="128" t="n">
        <v>44031</v>
      </c>
      <c r="C7779" s="94">
        <f>TEXT(B7779,"aaa")</f>
        <v/>
      </c>
      <c r="E7779" s="94" t="inlineStr">
        <is>
          <t>토너</t>
        </is>
      </c>
      <c r="F7779" s="5" t="inlineStr">
        <is>
          <t>스타일쉐어</t>
        </is>
      </c>
      <c r="G7779" s="94" t="inlineStr">
        <is>
          <t>250ml</t>
        </is>
      </c>
      <c r="H7779" s="7" t="n">
        <v>190801</v>
      </c>
      <c r="I7779" s="7" t="n">
        <v>190801</v>
      </c>
      <c r="K7779" s="94" t="n">
        <v>12</v>
      </c>
      <c r="L7779" s="7" t="n">
        <v>190801</v>
      </c>
      <c r="M7779" s="94">
        <f>VLOOKUP($Q7779,매칭테이블!$F:$I,2,0)*K7779</f>
        <v/>
      </c>
      <c r="N7779" s="94">
        <f>M7779-M7779*VLOOKUP($Q7779,매칭테이블!$F:$I,3,0)</f>
        <v/>
      </c>
      <c r="O7779" s="94">
        <f>VLOOKUP($Q7779,매칭테이블!$F:$I,4,0)*K7779</f>
        <v/>
      </c>
      <c r="P7779" s="148">
        <f>M7779/1.1</f>
        <v/>
      </c>
      <c r="Q7779" s="94">
        <f>F7779&amp;E7779&amp;G7779&amp;L7779</f>
        <v/>
      </c>
    </row>
    <row r="7780" customFormat="1" s="94">
      <c r="B7780" s="128" t="n">
        <v>44031</v>
      </c>
      <c r="C7780" s="94">
        <f>TEXT(B7780,"aaa")</f>
        <v/>
      </c>
      <c r="E7780" s="94" t="inlineStr">
        <is>
          <t>선크림</t>
        </is>
      </c>
      <c r="F7780" s="5" t="inlineStr">
        <is>
          <t>카페24</t>
        </is>
      </c>
      <c r="G7780" s="94" t="inlineStr">
        <is>
          <t>선크림 50ml</t>
        </is>
      </c>
      <c r="H7780" s="7" t="n">
        <v>190801</v>
      </c>
      <c r="I7780" s="7" t="n">
        <v>190801</v>
      </c>
      <c r="K7780" s="94" t="n">
        <v>2</v>
      </c>
      <c r="L7780" s="7" t="n">
        <v>190801</v>
      </c>
      <c r="M7780" s="94">
        <f>VLOOKUP($Q7780,매칭테이블!$F:$I,2,0)*K7780</f>
        <v/>
      </c>
      <c r="N7780" s="94">
        <f>M7780-M7780*VLOOKUP($Q7780,매칭테이블!$F:$I,3,0)</f>
        <v/>
      </c>
      <c r="O7780" s="94">
        <f>VLOOKUP($Q7780,매칭테이블!$F:$I,4,0)*K7780</f>
        <v/>
      </c>
      <c r="P7780" s="148">
        <f>M7780/1.1</f>
        <v/>
      </c>
      <c r="Q7780" s="94">
        <f>F7780&amp;E7780&amp;G7780&amp;L7780</f>
        <v/>
      </c>
    </row>
    <row r="7781" customFormat="1" s="94">
      <c r="B7781" s="128" t="n">
        <v>44031</v>
      </c>
      <c r="C7781" s="94">
        <f>TEXT(B7781,"aaa")</f>
        <v/>
      </c>
      <c r="E7781" s="94" t="inlineStr">
        <is>
          <t>클렌징폼</t>
        </is>
      </c>
      <c r="F7781" s="5" t="inlineStr">
        <is>
          <t>카페24</t>
        </is>
      </c>
      <c r="G7781" s="94" t="inlineStr">
        <is>
          <t>클렌징폼 120ml(선크림할인)</t>
        </is>
      </c>
      <c r="H7781" s="7" t="n">
        <v>190801</v>
      </c>
      <c r="I7781" s="7" t="n">
        <v>190801</v>
      </c>
      <c r="K7781" s="94" t="n">
        <v>1</v>
      </c>
      <c r="L7781" s="7" t="n">
        <v>190801</v>
      </c>
      <c r="M7781" s="94">
        <f>VLOOKUP($Q7781,매칭테이블!$F:$I,2,0)*K7781</f>
        <v/>
      </c>
      <c r="N7781" s="94">
        <f>M7781-M7781*VLOOKUP($Q7781,매칭테이블!$F:$I,3,0)</f>
        <v/>
      </c>
      <c r="O7781" s="94">
        <f>VLOOKUP($Q7781,매칭테이블!$F:$I,4,0)*K7781</f>
        <v/>
      </c>
      <c r="P7781" s="148">
        <f>M7781/1.1</f>
        <v/>
      </c>
      <c r="Q7781" s="94">
        <f>F7781&amp;E7781&amp;G7781&amp;L7781</f>
        <v/>
      </c>
    </row>
    <row r="7782" customFormat="1" s="94">
      <c r="B7782" s="128" t="n">
        <v>44031</v>
      </c>
      <c r="C7782" s="94">
        <f>TEXT(B7782,"aaa")</f>
        <v/>
      </c>
      <c r="E7782" s="94" t="inlineStr">
        <is>
          <t>여름 한정 진정세트</t>
        </is>
      </c>
      <c r="F7782" s="5" t="inlineStr">
        <is>
          <t>카페24</t>
        </is>
      </c>
      <c r="G7782" s="94" t="inlineStr">
        <is>
          <t>여름 한정 진정세트</t>
        </is>
      </c>
      <c r="H7782" s="7" t="n">
        <v>190801</v>
      </c>
      <c r="I7782" s="7" t="n">
        <v>190801</v>
      </c>
      <c r="K7782" s="94" t="n">
        <v>2</v>
      </c>
      <c r="L7782" s="7" t="n">
        <v>190801</v>
      </c>
      <c r="M7782" s="94">
        <f>VLOOKUP($Q7782,매칭테이블!$F:$I,2,0)*K7782</f>
        <v/>
      </c>
      <c r="N7782" s="94">
        <f>M7782-M7782*VLOOKUP($Q7782,매칭테이블!$F:$I,3,0)</f>
        <v/>
      </c>
      <c r="O7782" s="94">
        <f>VLOOKUP($Q7782,매칭테이블!$F:$I,4,0)*K7782</f>
        <v/>
      </c>
      <c r="P7782" s="148">
        <f>M7782/1.1</f>
        <v/>
      </c>
      <c r="Q7782" s="94">
        <f>F7782&amp;E7782&amp;G7782&amp;L7782</f>
        <v/>
      </c>
    </row>
    <row r="7783" customFormat="1" s="94">
      <c r="B7783" s="128" t="n">
        <v>44031</v>
      </c>
      <c r="C7783" s="94">
        <f>TEXT(B7783,"aaa")</f>
        <v/>
      </c>
      <c r="E7783" s="94" t="inlineStr">
        <is>
          <t>여름 한정 진정세트</t>
        </is>
      </c>
      <c r="F7783" s="5" t="inlineStr">
        <is>
          <t>카페24</t>
        </is>
      </c>
      <c r="G7783" s="94" t="inlineStr">
        <is>
          <t>여름 한정 진정세트 (대용량)</t>
        </is>
      </c>
      <c r="H7783" s="7" t="n">
        <v>190801</v>
      </c>
      <c r="I7783" s="7" t="n">
        <v>190801</v>
      </c>
      <c r="K7783" s="94" t="n">
        <v>2</v>
      </c>
      <c r="L7783" s="7" t="n">
        <v>190801</v>
      </c>
      <c r="M7783" s="94">
        <f>VLOOKUP($Q7783,매칭테이블!$F:$I,2,0)*K7783</f>
        <v/>
      </c>
      <c r="N7783" s="94">
        <f>M7783-M7783*VLOOKUP($Q7783,매칭테이블!$F:$I,3,0)</f>
        <v/>
      </c>
      <c r="O7783" s="94">
        <f>VLOOKUP($Q7783,매칭테이블!$F:$I,4,0)*K7783</f>
        <v/>
      </c>
      <c r="P7783" s="148">
        <f>M7783/1.1</f>
        <v/>
      </c>
      <c r="Q7783" s="94">
        <f>F7783&amp;E7783&amp;G7783&amp;L7783</f>
        <v/>
      </c>
    </row>
    <row r="7784" customFormat="1" s="94">
      <c r="B7784" s="128" t="n">
        <v>44031</v>
      </c>
      <c r="C7784" s="94">
        <f>TEXT(B7784,"aaa")</f>
        <v/>
      </c>
      <c r="E7784" s="94" t="inlineStr">
        <is>
          <t>머드크림마스크</t>
        </is>
      </c>
      <c r="F7784" s="5" t="inlineStr">
        <is>
          <t>카페24</t>
        </is>
      </c>
      <c r="G7784" s="94" t="inlineStr">
        <is>
          <t>머드크림마스크 100ml</t>
        </is>
      </c>
      <c r="H7784" s="7" t="n">
        <v>190801</v>
      </c>
      <c r="I7784" s="7" t="n">
        <v>190801</v>
      </c>
      <c r="K7784" s="94" t="n">
        <v>3</v>
      </c>
      <c r="L7784" s="7" t="n">
        <v>190801</v>
      </c>
      <c r="M7784" s="94">
        <f>VLOOKUP($Q7784,매칭테이블!$F:$I,2,0)*K7784</f>
        <v/>
      </c>
      <c r="N7784" s="94">
        <f>M7784-M7784*VLOOKUP($Q7784,매칭테이블!$F:$I,3,0)</f>
        <v/>
      </c>
      <c r="O7784" s="94">
        <f>VLOOKUP($Q7784,매칭테이블!$F:$I,4,0)*K7784</f>
        <v/>
      </c>
      <c r="P7784" s="148">
        <f>M7784/1.1</f>
        <v/>
      </c>
      <c r="Q7784" s="94">
        <f>F7784&amp;E7784&amp;G7784&amp;L7784</f>
        <v/>
      </c>
    </row>
    <row r="7785" customFormat="1" s="94">
      <c r="B7785" s="128" t="n">
        <v>44031</v>
      </c>
      <c r="C7785" s="94">
        <f>TEXT(B7785,"aaa")</f>
        <v/>
      </c>
      <c r="E7785" s="94" t="inlineStr">
        <is>
          <t>토너</t>
        </is>
      </c>
      <c r="F7785" s="5" t="inlineStr">
        <is>
          <t>카페24</t>
        </is>
      </c>
      <c r="G7785" s="94" t="inlineStr">
        <is>
          <t>250ml</t>
        </is>
      </c>
      <c r="H7785" s="7" t="n">
        <v>190801</v>
      </c>
      <c r="I7785" s="7" t="n">
        <v>190801</v>
      </c>
      <c r="K7785" s="94" t="n">
        <v>44</v>
      </c>
      <c r="L7785" s="7" t="n">
        <v>190801</v>
      </c>
      <c r="M7785" s="94">
        <f>VLOOKUP($Q7785,매칭테이블!$F:$I,2,0)*K7785</f>
        <v/>
      </c>
      <c r="N7785" s="94">
        <f>M7785-M7785*VLOOKUP($Q7785,매칭테이블!$F:$I,3,0)</f>
        <v/>
      </c>
      <c r="O7785" s="94">
        <f>VLOOKUP($Q7785,매칭테이블!$F:$I,4,0)*K7785</f>
        <v/>
      </c>
      <c r="P7785" s="148">
        <f>M7785/1.1</f>
        <v/>
      </c>
      <c r="Q7785" s="94">
        <f>F7785&amp;E7785&amp;G7785&amp;L7785</f>
        <v/>
      </c>
    </row>
    <row r="7786" customFormat="1" s="94">
      <c r="B7786" s="128" t="n">
        <v>44031</v>
      </c>
      <c r="C7786" s="94">
        <f>TEXT(B7786,"aaa")</f>
        <v/>
      </c>
      <c r="E7786" s="94" t="inlineStr">
        <is>
          <t>토너</t>
        </is>
      </c>
      <c r="F7786" s="5" t="inlineStr">
        <is>
          <t>카페24</t>
        </is>
      </c>
      <c r="G7786" s="94" t="inlineStr">
        <is>
          <t>250ml 2set</t>
        </is>
      </c>
      <c r="H7786" s="7" t="n">
        <v>190801</v>
      </c>
      <c r="I7786" s="7" t="n">
        <v>190801</v>
      </c>
      <c r="K7786" s="94" t="n">
        <v>49</v>
      </c>
      <c r="L7786" s="7" t="n">
        <v>190801</v>
      </c>
      <c r="M7786" s="94">
        <f>VLOOKUP($Q7786,매칭테이블!$F:$I,2,0)*K7786</f>
        <v/>
      </c>
      <c r="N7786" s="94">
        <f>M7786-M7786*VLOOKUP($Q7786,매칭테이블!$F:$I,3,0)</f>
        <v/>
      </c>
      <c r="O7786" s="94">
        <f>VLOOKUP($Q7786,매칭테이블!$F:$I,4,0)*K7786</f>
        <v/>
      </c>
      <c r="P7786" s="148">
        <f>M7786/1.1</f>
        <v/>
      </c>
      <c r="Q7786" s="94">
        <f>F7786&amp;E7786&amp;G7786&amp;L7786</f>
        <v/>
      </c>
    </row>
    <row r="7787" customFormat="1" s="94">
      <c r="B7787" s="128" t="n">
        <v>44031</v>
      </c>
      <c r="C7787" s="94">
        <f>TEXT(B7787,"aaa")</f>
        <v/>
      </c>
      <c r="E7787" s="94" t="inlineStr">
        <is>
          <t>토너</t>
        </is>
      </c>
      <c r="F7787" s="5" t="inlineStr">
        <is>
          <t>카페24</t>
        </is>
      </c>
      <c r="G7787" s="94" t="inlineStr">
        <is>
          <t>500ml</t>
        </is>
      </c>
      <c r="H7787" s="7" t="n">
        <v>190801</v>
      </c>
      <c r="I7787" s="7" t="n">
        <v>190801</v>
      </c>
      <c r="K7787" s="94" t="n">
        <v>53</v>
      </c>
      <c r="L7787" s="7" t="n">
        <v>190801</v>
      </c>
      <c r="M7787" s="94">
        <f>VLOOKUP($Q7787,매칭테이블!$F:$I,2,0)*K7787</f>
        <v/>
      </c>
      <c r="N7787" s="94">
        <f>M7787-M7787*VLOOKUP($Q7787,매칭테이블!$F:$I,3,0)</f>
        <v/>
      </c>
      <c r="O7787" s="94">
        <f>VLOOKUP($Q7787,매칭테이블!$F:$I,4,0)*K7787</f>
        <v/>
      </c>
      <c r="P7787" s="148">
        <f>M7787/1.1</f>
        <v/>
      </c>
      <c r="Q7787" s="94">
        <f>F7787&amp;E7787&amp;G7787&amp;L7787</f>
        <v/>
      </c>
    </row>
    <row r="7788" customFormat="1" s="94">
      <c r="B7788" s="128" t="n">
        <v>44031</v>
      </c>
      <c r="C7788" s="94">
        <f>TEXT(B7788,"aaa")</f>
        <v/>
      </c>
      <c r="E7788" s="94" t="inlineStr">
        <is>
          <t>토너</t>
        </is>
      </c>
      <c r="F7788" s="5" t="inlineStr">
        <is>
          <t>카페24</t>
        </is>
      </c>
      <c r="G7788" s="94" t="inlineStr">
        <is>
          <t>스킨팩 화장솜 60P</t>
        </is>
      </c>
      <c r="H7788" s="7" t="n">
        <v>190801</v>
      </c>
      <c r="I7788" s="7" t="n">
        <v>190801</v>
      </c>
      <c r="K7788" s="94" t="n">
        <v>66</v>
      </c>
      <c r="L7788" s="7" t="n">
        <v>190801</v>
      </c>
      <c r="M7788" s="94">
        <f>VLOOKUP($Q7788,매칭테이블!$F:$I,2,0)*K7788</f>
        <v/>
      </c>
      <c r="N7788" s="94">
        <f>M7788-M7788*VLOOKUP($Q7788,매칭테이블!$F:$I,3,0)</f>
        <v/>
      </c>
      <c r="O7788" s="94">
        <f>VLOOKUP($Q7788,매칭테이블!$F:$I,4,0)*K7788</f>
        <v/>
      </c>
      <c r="P7788" s="148">
        <f>M7788/1.1</f>
        <v/>
      </c>
      <c r="Q7788" s="94">
        <f>F7788&amp;E7788&amp;G7788&amp;L7788</f>
        <v/>
      </c>
    </row>
    <row r="7789" customFormat="1" s="94">
      <c r="B7789" s="128" t="n">
        <v>44031</v>
      </c>
      <c r="C7789" s="94">
        <f>TEXT(B7789,"aaa")</f>
        <v/>
      </c>
      <c r="E7789" s="94" t="inlineStr">
        <is>
          <t>앰플</t>
        </is>
      </c>
      <c r="F7789" s="5" t="inlineStr">
        <is>
          <t>카페24</t>
        </is>
      </c>
      <c r="G7789" s="94" t="inlineStr">
        <is>
          <t>앰플 30ml</t>
        </is>
      </c>
      <c r="H7789" s="7" t="n">
        <v>190801</v>
      </c>
      <c r="I7789" s="7" t="n">
        <v>190801</v>
      </c>
      <c r="K7789" s="94" t="n">
        <v>18</v>
      </c>
      <c r="L7789" s="7" t="n">
        <v>190801</v>
      </c>
      <c r="M7789" s="94">
        <f>VLOOKUP($Q7789,매칭테이블!$F:$I,2,0)*K7789</f>
        <v/>
      </c>
      <c r="N7789" s="94">
        <f>M7789-M7789*VLOOKUP($Q7789,매칭테이블!$F:$I,3,0)</f>
        <v/>
      </c>
      <c r="O7789" s="94">
        <f>VLOOKUP($Q7789,매칭테이블!$F:$I,4,0)*K7789</f>
        <v/>
      </c>
      <c r="P7789" s="148">
        <f>M7789/1.1</f>
        <v/>
      </c>
      <c r="Q7789" s="94">
        <f>F7789&amp;E7789&amp;G7789&amp;L7789</f>
        <v/>
      </c>
    </row>
    <row r="7790" customFormat="1" s="94">
      <c r="B7790" s="128" t="n">
        <v>44031</v>
      </c>
      <c r="C7790" s="94">
        <f>TEXT(B7790,"aaa")</f>
        <v/>
      </c>
      <c r="E7790" s="94" t="inlineStr">
        <is>
          <t>수딩크림</t>
        </is>
      </c>
      <c r="F7790" s="5" t="inlineStr">
        <is>
          <t>카페24</t>
        </is>
      </c>
      <c r="G7790" s="94" t="inlineStr">
        <is>
          <t>수딩크림 100ml</t>
        </is>
      </c>
      <c r="H7790" s="7" t="n">
        <v>190801</v>
      </c>
      <c r="I7790" s="7" t="n">
        <v>190801</v>
      </c>
      <c r="K7790" s="94" t="n">
        <v>5</v>
      </c>
      <c r="L7790" s="7" t="n">
        <v>190801</v>
      </c>
      <c r="M7790" s="94">
        <f>VLOOKUP($Q7790,매칭테이블!$F:$I,2,0)*K7790</f>
        <v/>
      </c>
      <c r="N7790" s="94">
        <f>M7790-M7790*VLOOKUP($Q7790,매칭테이블!$F:$I,3,0)</f>
        <v/>
      </c>
      <c r="O7790" s="94">
        <f>VLOOKUP($Q7790,매칭테이블!$F:$I,4,0)*K7790</f>
        <v/>
      </c>
      <c r="P7790" s="148">
        <f>M7790/1.1</f>
        <v/>
      </c>
      <c r="Q7790" s="94">
        <f>F7790&amp;E7790&amp;G7790&amp;L7790</f>
        <v/>
      </c>
    </row>
    <row r="7791" customFormat="1" s="94">
      <c r="B7791" s="128" t="n">
        <v>44031</v>
      </c>
      <c r="C7791" s="94">
        <f>TEXT(B7791,"aaa")</f>
        <v/>
      </c>
      <c r="E7791" s="94" t="inlineStr">
        <is>
          <t>클렌징폼</t>
        </is>
      </c>
      <c r="F7791" s="5" t="inlineStr">
        <is>
          <t>카페24</t>
        </is>
      </c>
      <c r="G7791" s="94" t="inlineStr">
        <is>
          <t>클렌징폼 120ml</t>
        </is>
      </c>
      <c r="H7791" s="7" t="n">
        <v>190801</v>
      </c>
      <c r="I7791" s="7" t="n">
        <v>190801</v>
      </c>
      <c r="K7791" s="94" t="n">
        <v>4</v>
      </c>
      <c r="L7791" s="7" t="n">
        <v>190801</v>
      </c>
      <c r="M7791" s="94">
        <f>VLOOKUP($Q7791,매칭테이블!$F:$I,2,0)*K7791</f>
        <v/>
      </c>
      <c r="N7791" s="94">
        <f>M7791-M7791*VLOOKUP($Q7791,매칭테이블!$F:$I,3,0)</f>
        <v/>
      </c>
      <c r="O7791" s="94">
        <f>VLOOKUP($Q7791,매칭테이블!$F:$I,4,0)*K7791</f>
        <v/>
      </c>
      <c r="P7791" s="148">
        <f>M7791/1.1</f>
        <v/>
      </c>
      <c r="Q7791" s="94">
        <f>F7791&amp;E7791&amp;G7791&amp;L7791</f>
        <v/>
      </c>
    </row>
    <row r="7792" customFormat="1" s="94">
      <c r="B7792" s="128" t="n">
        <v>44031</v>
      </c>
      <c r="C7792" s="94">
        <f>TEXT(B7792,"aaa")</f>
        <v/>
      </c>
      <c r="E7792" s="94" t="inlineStr">
        <is>
          <t>클렌징폼</t>
        </is>
      </c>
      <c r="F7792" s="5" t="inlineStr">
        <is>
          <t>카페24</t>
        </is>
      </c>
      <c r="G7792" s="94" t="inlineStr">
        <is>
          <t>클렌징폼 120ml 3set</t>
        </is>
      </c>
      <c r="H7792" s="7" t="n">
        <v>190801</v>
      </c>
      <c r="I7792" s="7" t="n">
        <v>190801</v>
      </c>
      <c r="K7792" s="94" t="n">
        <v>1</v>
      </c>
      <c r="L7792" s="7" t="n">
        <v>190801</v>
      </c>
      <c r="M7792" s="94">
        <f>VLOOKUP($Q7792,매칭테이블!$F:$I,2,0)*K7792</f>
        <v/>
      </c>
      <c r="N7792" s="94">
        <f>M7792-M7792*VLOOKUP($Q7792,매칭테이블!$F:$I,3,0)</f>
        <v/>
      </c>
      <c r="O7792" s="94">
        <f>VLOOKUP($Q7792,매칭테이블!$F:$I,4,0)*K7792</f>
        <v/>
      </c>
      <c r="P7792" s="148">
        <f>M7792/1.1</f>
        <v/>
      </c>
      <c r="Q7792" s="94">
        <f>F7792&amp;E7792&amp;G7792&amp;L7792</f>
        <v/>
      </c>
    </row>
    <row r="7793" customFormat="1" s="94">
      <c r="B7793" s="128" t="n">
        <v>44031</v>
      </c>
      <c r="C7793" s="94">
        <f>TEXT(B7793,"aaa")</f>
        <v/>
      </c>
      <c r="E7793" s="94" t="inlineStr">
        <is>
          <t>토너</t>
        </is>
      </c>
      <c r="F7793" s="5" t="inlineStr">
        <is>
          <t>화해</t>
        </is>
      </c>
      <c r="G7793" s="94" t="inlineStr">
        <is>
          <t>250ml</t>
        </is>
      </c>
      <c r="H7793" s="7" t="n">
        <v>190801</v>
      </c>
      <c r="I7793" s="7" t="n">
        <v>190801</v>
      </c>
      <c r="K7793" s="94" t="n">
        <v>3</v>
      </c>
      <c r="L7793" s="7" t="n">
        <v>190801</v>
      </c>
      <c r="M7793" s="94">
        <f>VLOOKUP($Q7793,매칭테이블!$F:$I,2,0)*K7793</f>
        <v/>
      </c>
      <c r="N7793" s="94">
        <f>M7793-M7793*VLOOKUP($Q7793,매칭테이블!$F:$I,3,0)</f>
        <v/>
      </c>
      <c r="O7793" s="94">
        <f>VLOOKUP($Q7793,매칭테이블!$F:$I,4,0)*K7793</f>
        <v/>
      </c>
      <c r="P7793" s="148">
        <f>M7793/1.1</f>
        <v/>
      </c>
      <c r="Q7793" s="94">
        <f>F7793&amp;E7793&amp;G7793&amp;L7793</f>
        <v/>
      </c>
    </row>
    <row r="7794" customFormat="1" s="94">
      <c r="B7794" s="128" t="n">
        <v>44031</v>
      </c>
      <c r="C7794" s="94">
        <f>TEXT(B7794,"aaa")</f>
        <v/>
      </c>
      <c r="E7794" s="94" t="inlineStr">
        <is>
          <t>선크림</t>
        </is>
      </c>
      <c r="F7794" s="5" t="inlineStr">
        <is>
          <t>화해</t>
        </is>
      </c>
      <c r="G7794" s="94" t="inlineStr">
        <is>
          <t>선크림 50ml</t>
        </is>
      </c>
      <c r="H7794" s="7" t="n">
        <v>190801</v>
      </c>
      <c r="I7794" s="7" t="n">
        <v>190801</v>
      </c>
      <c r="K7794" s="94" t="n">
        <v>1</v>
      </c>
      <c r="L7794" s="7" t="n">
        <v>190801</v>
      </c>
      <c r="M7794" s="94">
        <f>VLOOKUP($Q7794,매칭테이블!$F:$I,2,0)*K7794</f>
        <v/>
      </c>
      <c r="N7794" s="94">
        <f>M7794-M7794*VLOOKUP($Q7794,매칭테이블!$F:$I,3,0)</f>
        <v/>
      </c>
      <c r="O7794" s="94">
        <f>VLOOKUP($Q7794,매칭테이블!$F:$I,4,0)*K7794</f>
        <v/>
      </c>
      <c r="P7794" s="148">
        <f>M7794/1.1</f>
        <v/>
      </c>
      <c r="Q7794" s="94">
        <f>F7794&amp;E7794&amp;G7794&amp;L7794</f>
        <v/>
      </c>
    </row>
    <row r="7795" customFormat="1" s="94">
      <c r="B7795" s="128" t="n">
        <v>44031</v>
      </c>
      <c r="C7795" s="94">
        <f>TEXT(B7795,"aaa")</f>
        <v/>
      </c>
      <c r="E7795" s="94" t="inlineStr">
        <is>
          <t>토너</t>
        </is>
      </c>
      <c r="F7795" s="5" t="inlineStr">
        <is>
          <t>랄라블라</t>
        </is>
      </c>
      <c r="G7795" s="94" t="inlineStr">
        <is>
          <t>250ml</t>
        </is>
      </c>
      <c r="H7795" s="7" t="n">
        <v>190801</v>
      </c>
      <c r="I7795" s="7" t="n">
        <v>190801</v>
      </c>
      <c r="K7795" s="94" t="n">
        <v>924</v>
      </c>
      <c r="L7795" s="7" t="n">
        <v>190801</v>
      </c>
      <c r="M7795" s="94">
        <f>VLOOKUP($Q7795,매칭테이블!$F:$I,2,0)*K7795</f>
        <v/>
      </c>
      <c r="N7795" s="94">
        <f>M7795-M7795*VLOOKUP($Q7795,매칭테이블!$F:$I,3,0)</f>
        <v/>
      </c>
      <c r="O7795" s="94">
        <f>VLOOKUP($Q7795,매칭테이블!$F:$I,4,0)*K7795</f>
        <v/>
      </c>
      <c r="P7795" s="148">
        <f>M7795/1.1</f>
        <v/>
      </c>
      <c r="Q7795" s="94">
        <f>F7795&amp;E7795&amp;G7795&amp;L7795</f>
        <v/>
      </c>
    </row>
    <row r="7796" customFormat="1" s="94">
      <c r="B7796" s="128" t="n">
        <v>44031</v>
      </c>
      <c r="C7796" s="94">
        <f>TEXT(B7796,"aaa")</f>
        <v/>
      </c>
      <c r="E7796" s="94" t="inlineStr">
        <is>
          <t>토너</t>
        </is>
      </c>
      <c r="F7796" s="5" t="inlineStr">
        <is>
          <t>랄라블라</t>
        </is>
      </c>
      <c r="G7796" s="94" t="inlineStr">
        <is>
          <t>500ml</t>
        </is>
      </c>
      <c r="H7796" s="7" t="n">
        <v>190801</v>
      </c>
      <c r="I7796" s="7" t="n">
        <v>190801</v>
      </c>
      <c r="K7796" s="94" t="n">
        <v>6</v>
      </c>
      <c r="L7796" s="7" t="n">
        <v>190801</v>
      </c>
      <c r="M7796" s="94">
        <f>VLOOKUP($Q7796,매칭테이블!$F:$I,2,0)*K7796</f>
        <v/>
      </c>
      <c r="N7796" s="94">
        <f>M7796-M7796*VLOOKUP($Q7796,매칭테이블!$F:$I,3,0)</f>
        <v/>
      </c>
      <c r="O7796" s="94">
        <f>VLOOKUP($Q7796,매칭테이블!$F:$I,4,0)*K7796</f>
        <v/>
      </c>
      <c r="P7796" s="148">
        <f>M7796/1.1</f>
        <v/>
      </c>
      <c r="Q7796" s="94">
        <f>F7796&amp;E7796&amp;G7796&amp;L7796</f>
        <v/>
      </c>
    </row>
    <row r="7797" customFormat="1" s="94">
      <c r="B7797" s="128" t="n">
        <v>44031</v>
      </c>
      <c r="C7797" s="94">
        <f>TEXT(B7797,"aaa")</f>
        <v/>
      </c>
      <c r="E7797" s="94" t="inlineStr">
        <is>
          <t>마스크팩</t>
        </is>
      </c>
      <c r="F7797" s="5" t="inlineStr">
        <is>
          <t>랄라블라</t>
        </is>
      </c>
      <c r="G7797" s="94" t="inlineStr">
        <is>
          <t>마스크팩 1매</t>
        </is>
      </c>
      <c r="H7797" s="7" t="n">
        <v>190801</v>
      </c>
      <c r="I7797" s="7" t="n">
        <v>190801</v>
      </c>
      <c r="K7797" s="94" t="n">
        <v>702</v>
      </c>
      <c r="L7797" s="7" t="n">
        <v>190801</v>
      </c>
      <c r="M7797" s="94">
        <f>VLOOKUP($Q7797,매칭테이블!$F:$I,2,0)*K7797</f>
        <v/>
      </c>
      <c r="N7797" s="94">
        <f>M7797-M7797*VLOOKUP($Q7797,매칭테이블!$F:$I,3,0)</f>
        <v/>
      </c>
      <c r="O7797" s="94">
        <f>VLOOKUP($Q7797,매칭테이블!$F:$I,4,0)*K7797</f>
        <v/>
      </c>
      <c r="P7797" s="148">
        <f>M7797/1.1</f>
        <v/>
      </c>
      <c r="Q7797" s="94">
        <f>F7797&amp;E7797&amp;G7797&amp;L7797</f>
        <v/>
      </c>
    </row>
    <row r="7798" customFormat="1" s="94">
      <c r="B7798" s="128" t="n">
        <v>44031</v>
      </c>
      <c r="C7798" s="94">
        <f>TEXT(B7798,"aaa")</f>
        <v/>
      </c>
      <c r="E7798" s="94" t="inlineStr">
        <is>
          <t>수딩크림 증정기획</t>
        </is>
      </c>
      <c r="F7798" s="5" t="inlineStr">
        <is>
          <t>랄라블라</t>
        </is>
      </c>
      <c r="G7798" s="94" t="inlineStr">
        <is>
          <t>수딩크림 증정기획</t>
        </is>
      </c>
      <c r="H7798" s="7" t="n">
        <v>190801</v>
      </c>
      <c r="I7798" s="7" t="n">
        <v>190801</v>
      </c>
      <c r="K7798" s="94" t="n">
        <v>80</v>
      </c>
      <c r="L7798" s="7" t="n">
        <v>190801</v>
      </c>
      <c r="M7798" s="94">
        <f>VLOOKUP($Q7798,매칭테이블!$F:$I,2,0)*K7798</f>
        <v/>
      </c>
      <c r="N7798" s="94">
        <f>M7798-M7798*VLOOKUP($Q7798,매칭테이블!$F:$I,3,0)</f>
        <v/>
      </c>
      <c r="O7798" s="94">
        <f>VLOOKUP($Q7798,매칭테이블!$F:$I,4,0)*K7798</f>
        <v/>
      </c>
      <c r="P7798" s="148">
        <f>M7798/1.1</f>
        <v/>
      </c>
      <c r="Q7798" s="94">
        <f>F7798&amp;E7798&amp;G7798&amp;L7798</f>
        <v/>
      </c>
    </row>
    <row r="7799" customFormat="1" s="94">
      <c r="B7799" s="128" t="n">
        <v>44031</v>
      </c>
      <c r="C7799" s="94">
        <f>TEXT(B7799,"aaa")</f>
        <v/>
      </c>
      <c r="E7799" s="94" t="inlineStr">
        <is>
          <t>수딩크림</t>
        </is>
      </c>
      <c r="F7799" s="5" t="inlineStr">
        <is>
          <t>랄라블라</t>
        </is>
      </c>
      <c r="G7799" s="94" t="inlineStr">
        <is>
          <t>수딩크림 100ml</t>
        </is>
      </c>
      <c r="H7799" s="7" t="n">
        <v>190801</v>
      </c>
      <c r="I7799" s="7" t="n">
        <v>190801</v>
      </c>
      <c r="K7799" s="94" t="n">
        <v>24</v>
      </c>
      <c r="L7799" s="7" t="n">
        <v>190801</v>
      </c>
      <c r="M7799" s="94">
        <f>VLOOKUP($Q7799,매칭테이블!$F:$I,2,0)*K7799</f>
        <v/>
      </c>
      <c r="N7799" s="94">
        <f>M7799-M7799*VLOOKUP($Q7799,매칭테이블!$F:$I,3,0)</f>
        <v/>
      </c>
      <c r="O7799" s="94">
        <f>VLOOKUP($Q7799,매칭테이블!$F:$I,4,0)*K7799</f>
        <v/>
      </c>
      <c r="P7799" s="148">
        <f>M7799/1.1</f>
        <v/>
      </c>
      <c r="Q7799" s="94">
        <f>F7799&amp;E7799&amp;G7799&amp;L7799</f>
        <v/>
      </c>
    </row>
    <row r="7800" customFormat="1" s="94">
      <c r="B7800" s="128" t="n">
        <v>44031</v>
      </c>
      <c r="C7800" s="94">
        <f>TEXT(B7800,"aaa")</f>
        <v/>
      </c>
      <c r="E7800" s="94" t="inlineStr">
        <is>
          <t>앰플 기획세트</t>
        </is>
      </c>
      <c r="F7800" s="5" t="inlineStr">
        <is>
          <t>랄라블라</t>
        </is>
      </c>
      <c r="G7800" s="94" t="inlineStr">
        <is>
          <t>앰플 기획세트</t>
        </is>
      </c>
      <c r="H7800" s="7" t="n">
        <v>190801</v>
      </c>
      <c r="I7800" s="7" t="n">
        <v>190801</v>
      </c>
      <c r="K7800" s="94" t="n">
        <v>96</v>
      </c>
      <c r="L7800" s="7" t="n">
        <v>190801</v>
      </c>
      <c r="M7800" s="94">
        <f>VLOOKUP($Q7800,매칭테이블!$F:$I,2,0)*K7800</f>
        <v/>
      </c>
      <c r="N7800" s="94">
        <f>M7800-M7800*VLOOKUP($Q7800,매칭테이블!$F:$I,3,0)</f>
        <v/>
      </c>
      <c r="O7800" s="94">
        <f>VLOOKUP($Q7800,매칭테이블!$F:$I,4,0)*K7800</f>
        <v/>
      </c>
      <c r="P7800" s="148">
        <f>M7800/1.1</f>
        <v/>
      </c>
      <c r="Q7800" s="94">
        <f>F7800&amp;E7800&amp;G7800&amp;L7800</f>
        <v/>
      </c>
    </row>
    <row r="7801" customFormat="1" s="94">
      <c r="B7801" s="128" t="n">
        <v>44031</v>
      </c>
      <c r="C7801" s="94">
        <f>TEXT(B7801,"aaa")</f>
        <v/>
      </c>
      <c r="E7801" s="94" t="inlineStr">
        <is>
          <t>클렌징폼 기획세트</t>
        </is>
      </c>
      <c r="F7801" s="5" t="inlineStr">
        <is>
          <t>랄라블라</t>
        </is>
      </c>
      <c r="G7801" s="94" t="inlineStr">
        <is>
          <t>클렌징폼 기획세트</t>
        </is>
      </c>
      <c r="H7801" s="7" t="n">
        <v>190801</v>
      </c>
      <c r="I7801" s="7" t="n">
        <v>190801</v>
      </c>
      <c r="K7801" s="94" t="n">
        <v>208</v>
      </c>
      <c r="L7801" s="7" t="n">
        <v>190801</v>
      </c>
      <c r="M7801" s="94">
        <f>VLOOKUP($Q7801,매칭테이블!$F:$I,2,0)*K7801</f>
        <v/>
      </c>
      <c r="N7801" s="94">
        <f>M7801-M7801*VLOOKUP($Q7801,매칭테이블!$F:$I,3,0)</f>
        <v/>
      </c>
      <c r="O7801" s="94">
        <f>VLOOKUP($Q7801,매칭테이블!$F:$I,4,0)*K7801</f>
        <v/>
      </c>
      <c r="P7801" s="148">
        <f>M7801/1.1</f>
        <v/>
      </c>
      <c r="Q7801" s="94">
        <f>F7801&amp;E7801&amp;G7801&amp;L7801</f>
        <v/>
      </c>
    </row>
    <row r="7802" customFormat="1" s="94">
      <c r="B7802" s="128" t="n">
        <v>44031</v>
      </c>
      <c r="C7802" s="94">
        <f>TEXT(B7802,"aaa")</f>
        <v/>
      </c>
      <c r="E7802" s="94" t="inlineStr">
        <is>
          <t>클렌징폼</t>
        </is>
      </c>
      <c r="F7802" s="5" t="inlineStr">
        <is>
          <t>랄라블라</t>
        </is>
      </c>
      <c r="G7802" s="94" t="inlineStr">
        <is>
          <t>클렌징폼 120ml</t>
        </is>
      </c>
      <c r="H7802" s="7" t="n">
        <v>190801</v>
      </c>
      <c r="I7802" s="7" t="n">
        <v>190801</v>
      </c>
      <c r="K7802" s="94" t="n">
        <v>14</v>
      </c>
      <c r="L7802" s="7" t="n">
        <v>190801</v>
      </c>
      <c r="M7802" s="94">
        <f>VLOOKUP($Q7802,매칭테이블!$F:$I,2,0)*K7802</f>
        <v/>
      </c>
      <c r="N7802" s="94">
        <f>M7802-M7802*VLOOKUP($Q7802,매칭테이블!$F:$I,3,0)</f>
        <v/>
      </c>
      <c r="O7802" s="94">
        <f>VLOOKUP($Q7802,매칭테이블!$F:$I,4,0)*K7802</f>
        <v/>
      </c>
      <c r="P7802" s="148">
        <f>M7802/1.1</f>
        <v/>
      </c>
      <c r="Q7802" s="94">
        <f>F7802&amp;E7802&amp;G7802&amp;L7802</f>
        <v/>
      </c>
    </row>
    <row r="7803" customFormat="1" s="94">
      <c r="B7803" s="128" t="n">
        <v>44031</v>
      </c>
      <c r="C7803" s="94">
        <f>TEXT(B7803,"aaa")</f>
        <v/>
      </c>
      <c r="E7803" s="94" t="inlineStr">
        <is>
          <t>토너 증정기획</t>
        </is>
      </c>
      <c r="F7803" s="5" t="inlineStr">
        <is>
          <t>랄라블라</t>
        </is>
      </c>
      <c r="G7803" s="94" t="inlineStr">
        <is>
          <t>토너 증정기획</t>
        </is>
      </c>
      <c r="H7803" s="7" t="n">
        <v>190801</v>
      </c>
      <c r="I7803" s="7" t="n">
        <v>190801</v>
      </c>
      <c r="K7803" s="94" t="n">
        <v>45</v>
      </c>
      <c r="L7803" s="7" t="n">
        <v>190801</v>
      </c>
      <c r="M7803" s="94">
        <f>VLOOKUP($Q7803,매칭테이블!$F:$I,2,0)*K7803</f>
        <v/>
      </c>
      <c r="N7803" s="94">
        <f>M7803-M7803*VLOOKUP($Q7803,매칭테이블!$F:$I,3,0)</f>
        <v/>
      </c>
      <c r="O7803" s="94">
        <f>VLOOKUP($Q7803,매칭테이블!$F:$I,4,0)*K7803</f>
        <v/>
      </c>
      <c r="P7803" s="148">
        <f>M7803/1.1</f>
        <v/>
      </c>
      <c r="Q7803" s="94">
        <f>F7803&amp;E7803&amp;G7803&amp;L7803</f>
        <v/>
      </c>
    </row>
    <row r="7804" customFormat="1" s="94">
      <c r="B7804" s="128" t="n">
        <v>44031</v>
      </c>
      <c r="C7804" s="94">
        <f>TEXT(B7804,"aaa")</f>
        <v/>
      </c>
      <c r="E7804" s="94" t="inlineStr">
        <is>
          <t>선크림</t>
        </is>
      </c>
      <c r="F7804" s="5" t="inlineStr">
        <is>
          <t>랄라블라</t>
        </is>
      </c>
      <c r="G7804" s="94" t="inlineStr">
        <is>
          <t>선크림 50ml</t>
        </is>
      </c>
      <c r="H7804" s="7" t="n">
        <v>190801</v>
      </c>
      <c r="I7804" s="7" t="n">
        <v>190801</v>
      </c>
      <c r="K7804" s="94" t="n">
        <v>32</v>
      </c>
      <c r="L7804" s="7" t="n">
        <v>190801</v>
      </c>
      <c r="M7804" s="94">
        <f>VLOOKUP($Q7804,매칭테이블!$F:$I,2,0)*K7804</f>
        <v/>
      </c>
      <c r="N7804" s="94">
        <f>M7804-M7804*VLOOKUP($Q7804,매칭테이블!$F:$I,3,0)</f>
        <v/>
      </c>
      <c r="O7804" s="94">
        <f>VLOOKUP($Q7804,매칭테이블!$F:$I,4,0)*K7804</f>
        <v/>
      </c>
      <c r="P7804" s="148">
        <f>M7804/1.1</f>
        <v/>
      </c>
      <c r="Q7804" s="94">
        <f>F7804&amp;E7804&amp;G7804&amp;L7804</f>
        <v/>
      </c>
    </row>
    <row r="7805" customFormat="1" s="94">
      <c r="B7805" s="128" t="n">
        <v>44031</v>
      </c>
      <c r="C7805" s="94">
        <f>TEXT(B7805,"aaa")</f>
        <v/>
      </c>
      <c r="E7805" s="94" t="inlineStr">
        <is>
          <t>대용량 기획세트</t>
        </is>
      </c>
      <c r="F7805" s="5" t="inlineStr">
        <is>
          <t>랄라블라</t>
        </is>
      </c>
      <c r="G7805" s="94" t="inlineStr">
        <is>
          <t>대용량 기획세트</t>
        </is>
      </c>
      <c r="H7805" s="7" t="n">
        <v>190801</v>
      </c>
      <c r="I7805" s="7" t="n">
        <v>190801</v>
      </c>
      <c r="K7805" s="94" t="n">
        <v>484</v>
      </c>
      <c r="L7805" s="7" t="n">
        <v>190801</v>
      </c>
      <c r="M7805" s="94">
        <f>VLOOKUP($Q7805,매칭테이블!$F:$I,2,0)*K7805</f>
        <v/>
      </c>
      <c r="N7805" s="94">
        <f>M7805-M7805*VLOOKUP($Q7805,매칭테이블!$F:$I,3,0)</f>
        <v/>
      </c>
      <c r="O7805" s="94">
        <f>VLOOKUP($Q7805,매칭테이블!$F:$I,4,0)*K7805</f>
        <v/>
      </c>
      <c r="P7805" s="148">
        <f>M7805/1.1</f>
        <v/>
      </c>
      <c r="Q7805" s="94">
        <f>F7805&amp;E7805&amp;G7805&amp;L7805</f>
        <v/>
      </c>
    </row>
    <row r="7806">
      <c r="A7806" s="94" t="n"/>
      <c r="B7806" s="128" t="n">
        <v>44032</v>
      </c>
      <c r="C7806" s="94">
        <f>TEXT(B7806,"aaa")</f>
        <v/>
      </c>
      <c r="D7806" s="94" t="n"/>
      <c r="E7806" s="6" t="inlineStr">
        <is>
          <t>토너</t>
        </is>
      </c>
      <c r="F7806" s="5" t="inlineStr">
        <is>
          <t>W컨셉</t>
        </is>
      </c>
      <c r="G7806" s="5" t="inlineStr">
        <is>
          <t>250ml</t>
        </is>
      </c>
      <c r="H7806" s="7" t="n">
        <v>190801</v>
      </c>
      <c r="I7806" s="7" t="n">
        <v>190801</v>
      </c>
      <c r="J7806" s="94" t="n"/>
      <c r="K7806" s="6" t="n">
        <v>8</v>
      </c>
      <c r="L7806" s="7" t="n">
        <v>190801</v>
      </c>
      <c r="M7806" s="94">
        <f>VLOOKUP($Q7806,매칭테이블!$F:$I,2,0)*K7806</f>
        <v/>
      </c>
      <c r="N7806" s="94">
        <f>M7806-M7806*VLOOKUP($Q7806,매칭테이블!$F:$I,3,0)</f>
        <v/>
      </c>
      <c r="O7806" s="94">
        <f>VLOOKUP($Q7806,매칭테이블!$F:$I,4,0)*K7806</f>
        <v/>
      </c>
      <c r="P7806" s="148">
        <f>M7806/1.1</f>
        <v/>
      </c>
      <c r="Q7806" s="94">
        <f>F7806&amp;E7806&amp;G7806&amp;L7806</f>
        <v/>
      </c>
    </row>
    <row r="7807">
      <c r="A7807" s="94" t="n"/>
      <c r="B7807" s="128" t="n">
        <v>44032</v>
      </c>
      <c r="C7807" s="94">
        <f>TEXT(B7807,"aaa")</f>
        <v/>
      </c>
      <c r="D7807" s="94" t="n"/>
      <c r="E7807" s="6" t="inlineStr">
        <is>
          <t>토너</t>
        </is>
      </c>
      <c r="F7807" s="5" t="inlineStr">
        <is>
          <t>W컨셉</t>
        </is>
      </c>
      <c r="G7807" s="5" t="inlineStr">
        <is>
          <t>250ml 2set</t>
        </is>
      </c>
      <c r="H7807" s="7" t="n">
        <v>190801</v>
      </c>
      <c r="I7807" s="7" t="n">
        <v>190801</v>
      </c>
      <c r="J7807" s="94" t="n"/>
      <c r="K7807" s="6" t="n">
        <v>21</v>
      </c>
      <c r="L7807" s="7" t="n">
        <v>190801</v>
      </c>
      <c r="M7807" s="94">
        <f>VLOOKUP($Q7807,매칭테이블!$F:$I,2,0)*K7807</f>
        <v/>
      </c>
      <c r="N7807" s="94">
        <f>M7807-M7807*VLOOKUP($Q7807,매칭테이블!$F:$I,3,0)</f>
        <v/>
      </c>
      <c r="O7807" s="94">
        <f>VLOOKUP($Q7807,매칭테이블!$F:$I,4,0)*K7807</f>
        <v/>
      </c>
      <c r="P7807" s="148">
        <f>M7807/1.1</f>
        <v/>
      </c>
      <c r="Q7807" s="94">
        <f>F7807&amp;E7807&amp;G7807&amp;L7807</f>
        <v/>
      </c>
    </row>
    <row r="7808">
      <c r="A7808" s="94" t="n"/>
      <c r="B7808" s="128" t="n">
        <v>44032</v>
      </c>
      <c r="C7808" s="94">
        <f>TEXT(B7808,"aaa")</f>
        <v/>
      </c>
      <c r="D7808" s="94" t="n"/>
      <c r="E7808" s="94" t="inlineStr">
        <is>
          <t>토너</t>
        </is>
      </c>
      <c r="F7808" s="5" t="inlineStr">
        <is>
          <t>스타일쉐어</t>
        </is>
      </c>
      <c r="G7808" s="94" t="inlineStr">
        <is>
          <t>250ml</t>
        </is>
      </c>
      <c r="H7808" s="7" t="n">
        <v>190801</v>
      </c>
      <c r="I7808" s="7" t="n">
        <v>190801</v>
      </c>
      <c r="J7808" s="94" t="n"/>
      <c r="K7808" s="6" t="n">
        <v>5</v>
      </c>
      <c r="L7808" s="7" t="n">
        <v>190801</v>
      </c>
      <c r="M7808" s="94">
        <f>VLOOKUP($Q7808,매칭테이블!$F:$I,2,0)*K7808</f>
        <v/>
      </c>
      <c r="N7808" s="94">
        <f>M7808-M7808*VLOOKUP($Q7808,매칭테이블!$F:$I,3,0)</f>
        <v/>
      </c>
      <c r="O7808" s="94">
        <f>VLOOKUP($Q7808,매칭테이블!$F:$I,4,0)*K7808</f>
        <v/>
      </c>
      <c r="P7808" s="148">
        <f>M7808/1.1</f>
        <v/>
      </c>
      <c r="Q7808" s="94">
        <f>F7808&amp;E7808&amp;G7808&amp;L7808</f>
        <v/>
      </c>
    </row>
    <row r="7809">
      <c r="A7809" s="94" t="n"/>
      <c r="B7809" s="128" t="n">
        <v>44032</v>
      </c>
      <c r="C7809" s="94">
        <f>TEXT(B7809,"aaa")</f>
        <v/>
      </c>
      <c r="D7809" s="94" t="n"/>
      <c r="E7809" s="94" t="inlineStr">
        <is>
          <t>선크림</t>
        </is>
      </c>
      <c r="F7809" s="94" t="inlineStr">
        <is>
          <t>카페24</t>
        </is>
      </c>
      <c r="G7809" s="94" t="inlineStr">
        <is>
          <t>선크림 50ml</t>
        </is>
      </c>
      <c r="H7809" s="7" t="n">
        <v>190801</v>
      </c>
      <c r="I7809" s="7" t="n">
        <v>190801</v>
      </c>
      <c r="J7809" s="94" t="n"/>
      <c r="K7809" s="6" t="n">
        <v>3</v>
      </c>
      <c r="L7809" s="7" t="n">
        <v>190801</v>
      </c>
      <c r="M7809" s="94">
        <f>VLOOKUP($Q7809,매칭테이블!$F:$I,2,0)*K7809</f>
        <v/>
      </c>
      <c r="N7809" s="94">
        <f>M7809-M7809*VLOOKUP($Q7809,매칭테이블!$F:$I,3,0)</f>
        <v/>
      </c>
      <c r="O7809" s="94">
        <f>VLOOKUP($Q7809,매칭테이블!$F:$I,4,0)*K7809</f>
        <v/>
      </c>
      <c r="P7809" s="148">
        <f>M7809/1.1</f>
        <v/>
      </c>
      <c r="Q7809" s="94">
        <f>F7809&amp;E7809&amp;G7809&amp;L7809</f>
        <v/>
      </c>
    </row>
    <row r="7810">
      <c r="A7810" s="94" t="n"/>
      <c r="B7810" s="128" t="n">
        <v>44032</v>
      </c>
      <c r="C7810" s="94">
        <f>TEXT(B7810,"aaa")</f>
        <v/>
      </c>
      <c r="D7810" s="94" t="n"/>
      <c r="E7810" s="6" t="inlineStr">
        <is>
          <t>선크림</t>
        </is>
      </c>
      <c r="F7810" s="5" t="inlineStr">
        <is>
          <t>카페24</t>
        </is>
      </c>
      <c r="G7810" s="5" t="inlineStr">
        <is>
          <t>선크림 50ml  2set</t>
        </is>
      </c>
      <c r="H7810" s="7" t="n">
        <v>190801</v>
      </c>
      <c r="I7810" s="7" t="n">
        <v>190801</v>
      </c>
      <c r="J7810" s="94" t="n"/>
      <c r="K7810" s="6" t="n">
        <v>3</v>
      </c>
      <c r="L7810" s="6" t="n">
        <v>190801</v>
      </c>
      <c r="M7810" s="94">
        <f>VLOOKUP($Q7810,매칭테이블!$F:$I,2,0)*K7810</f>
        <v/>
      </c>
      <c r="N7810" s="94">
        <f>M7810-M7810*VLOOKUP($Q7810,매칭테이블!$F:$I,3,0)</f>
        <v/>
      </c>
      <c r="O7810" s="94">
        <f>VLOOKUP($Q7810,매칭테이블!$F:$I,4,0)*K7810</f>
        <v/>
      </c>
      <c r="P7810" s="148">
        <f>M7810/1.1</f>
        <v/>
      </c>
      <c r="Q7810" s="94">
        <f>F7810&amp;E7810&amp;G7810&amp;L7810</f>
        <v/>
      </c>
    </row>
    <row r="7811">
      <c r="A7811" s="94" t="n"/>
      <c r="B7811" s="128" t="n">
        <v>44032</v>
      </c>
      <c r="C7811" s="94">
        <f>TEXT(B7811,"aaa")</f>
        <v/>
      </c>
      <c r="D7811" s="94" t="n"/>
      <c r="E7811" s="94" t="inlineStr">
        <is>
          <t>클렌징폼</t>
        </is>
      </c>
      <c r="F7811" s="94" t="inlineStr">
        <is>
          <t>카페24</t>
        </is>
      </c>
      <c r="G7811" s="94" t="inlineStr">
        <is>
          <t>클렌징폼 120ml(선크림할인)</t>
        </is>
      </c>
      <c r="H7811" s="7" t="n">
        <v>190801</v>
      </c>
      <c r="I7811" s="7" t="n">
        <v>190801</v>
      </c>
      <c r="J7811" s="94" t="n"/>
      <c r="K7811" s="6" t="n">
        <v>3</v>
      </c>
      <c r="L7811" s="92" t="n">
        <v>190801</v>
      </c>
      <c r="M7811" s="94">
        <f>VLOOKUP($Q7811,매칭테이블!$F:$I,2,0)*K7811</f>
        <v/>
      </c>
      <c r="N7811" s="94">
        <f>M7811-M7811*VLOOKUP($Q7811,매칭테이블!$F:$I,3,0)</f>
        <v/>
      </c>
      <c r="O7811" s="94">
        <f>VLOOKUP($Q7811,매칭테이블!$F:$I,4,0)*K7811</f>
        <v/>
      </c>
      <c r="P7811" s="148">
        <f>M7811/1.1</f>
        <v/>
      </c>
      <c r="Q7811" s="94">
        <f>F7811&amp;E7811&amp;G7811&amp;L7811</f>
        <v/>
      </c>
    </row>
    <row r="7812">
      <c r="A7812" s="94" t="n"/>
      <c r="B7812" s="128" t="n">
        <v>44032</v>
      </c>
      <c r="C7812" s="94">
        <f>TEXT(B7812,"aaa")</f>
        <v/>
      </c>
      <c r="D7812" s="94" t="n"/>
      <c r="E7812" s="94" t="inlineStr">
        <is>
          <t>여름 한정 진정세트</t>
        </is>
      </c>
      <c r="F7812" s="94" t="inlineStr">
        <is>
          <t>카페24</t>
        </is>
      </c>
      <c r="G7812" s="94" t="inlineStr">
        <is>
          <t>여름 한정 진정세트</t>
        </is>
      </c>
      <c r="H7812" s="7" t="n">
        <v>190801</v>
      </c>
      <c r="I7812" s="7" t="n">
        <v>190801</v>
      </c>
      <c r="J7812" s="94" t="n"/>
      <c r="K7812" s="6" t="n">
        <v>6</v>
      </c>
      <c r="L7812" s="92" t="n">
        <v>190801</v>
      </c>
      <c r="M7812" s="94">
        <f>VLOOKUP($Q7812,매칭테이블!$F:$I,2,0)*K7812</f>
        <v/>
      </c>
      <c r="N7812" s="94">
        <f>M7812-M7812*VLOOKUP($Q7812,매칭테이블!$F:$I,3,0)</f>
        <v/>
      </c>
      <c r="O7812" s="94">
        <f>VLOOKUP($Q7812,매칭테이블!$F:$I,4,0)*K7812</f>
        <v/>
      </c>
      <c r="P7812" s="148">
        <f>M7812/1.1</f>
        <v/>
      </c>
      <c r="Q7812" s="94">
        <f>F7812&amp;E7812&amp;G7812&amp;L7812</f>
        <v/>
      </c>
    </row>
    <row r="7813">
      <c r="A7813" s="94" t="n"/>
      <c r="B7813" s="128" t="n">
        <v>44032</v>
      </c>
      <c r="C7813" s="94">
        <f>TEXT(B7813,"aaa")</f>
        <v/>
      </c>
      <c r="D7813" s="94" t="n"/>
      <c r="E7813" s="94" t="inlineStr">
        <is>
          <t>여름 한정 진정세트</t>
        </is>
      </c>
      <c r="F7813" s="94" t="inlineStr">
        <is>
          <t>카페24</t>
        </is>
      </c>
      <c r="G7813" s="94" t="inlineStr">
        <is>
          <t>여름 한정 진정세트 (대용량)</t>
        </is>
      </c>
      <c r="H7813" s="7" t="n">
        <v>190801</v>
      </c>
      <c r="I7813" s="7" t="n">
        <v>190801</v>
      </c>
      <c r="J7813" s="94" t="n"/>
      <c r="K7813" s="6" t="n">
        <v>10</v>
      </c>
      <c r="L7813" s="92" t="n">
        <v>190801</v>
      </c>
      <c r="M7813" s="94">
        <f>VLOOKUP($Q7813,매칭테이블!$F:$I,2,0)*K7813</f>
        <v/>
      </c>
      <c r="N7813" s="94">
        <f>M7813-M7813*VLOOKUP($Q7813,매칭테이블!$F:$I,3,0)</f>
        <v/>
      </c>
      <c r="O7813" s="94">
        <f>VLOOKUP($Q7813,매칭테이블!$F:$I,4,0)*K7813</f>
        <v/>
      </c>
      <c r="P7813" s="148">
        <f>M7813/1.1</f>
        <v/>
      </c>
      <c r="Q7813" s="94">
        <f>F7813&amp;E7813&amp;G7813&amp;L7813</f>
        <v/>
      </c>
    </row>
    <row r="7814">
      <c r="A7814" s="94" t="n"/>
      <c r="B7814" s="128" t="n">
        <v>44032</v>
      </c>
      <c r="C7814" s="94">
        <f>TEXT(B7814,"aaa")</f>
        <v/>
      </c>
      <c r="D7814" s="94" t="n"/>
      <c r="E7814" s="94" t="inlineStr">
        <is>
          <t>머드크림마스크</t>
        </is>
      </c>
      <c r="F7814" s="94" t="inlineStr">
        <is>
          <t>카페24</t>
        </is>
      </c>
      <c r="G7814" s="94" t="inlineStr">
        <is>
          <t>머드크림마스크 100ml</t>
        </is>
      </c>
      <c r="H7814" s="7" t="n">
        <v>190801</v>
      </c>
      <c r="I7814" s="7" t="n">
        <v>190801</v>
      </c>
      <c r="J7814" s="94" t="n"/>
      <c r="K7814" s="6" t="n">
        <v>3</v>
      </c>
      <c r="L7814" s="94" t="n">
        <v>190801</v>
      </c>
      <c r="M7814" s="94">
        <f>VLOOKUP($Q7814,매칭테이블!$F:$I,2,0)*K7814</f>
        <v/>
      </c>
      <c r="N7814" s="94">
        <f>M7814-M7814*VLOOKUP($Q7814,매칭테이블!$F:$I,3,0)</f>
        <v/>
      </c>
      <c r="O7814" s="94">
        <f>VLOOKUP($Q7814,매칭테이블!$F:$I,4,0)*K7814</f>
        <v/>
      </c>
      <c r="P7814" s="148">
        <f>M7814/1.1</f>
        <v/>
      </c>
      <c r="Q7814" s="94">
        <f>F7814&amp;E7814&amp;G7814&amp;L7814</f>
        <v/>
      </c>
    </row>
    <row r="7815">
      <c r="A7815" s="94" t="n"/>
      <c r="B7815" s="128" t="n">
        <v>44032</v>
      </c>
      <c r="C7815" s="94">
        <f>TEXT(B7815,"aaa")</f>
        <v/>
      </c>
      <c r="D7815" s="94" t="n"/>
      <c r="E7815" s="94" t="inlineStr">
        <is>
          <t>머드크림마스크</t>
        </is>
      </c>
      <c r="F7815" s="94" t="inlineStr">
        <is>
          <t>카페24</t>
        </is>
      </c>
      <c r="G7815" s="94" t="inlineStr">
        <is>
          <t>머드크림마스크 100ml 2set</t>
        </is>
      </c>
      <c r="H7815" s="7" t="n">
        <v>190801</v>
      </c>
      <c r="I7815" s="7" t="n">
        <v>190801</v>
      </c>
      <c r="J7815" s="94" t="n"/>
      <c r="K7815" s="6" t="n">
        <v>1</v>
      </c>
      <c r="L7815" s="94" t="n">
        <v>190801</v>
      </c>
      <c r="M7815" s="94">
        <f>VLOOKUP($Q7815,매칭테이블!$F:$I,2,0)*K7815</f>
        <v/>
      </c>
      <c r="N7815" s="94">
        <f>M7815-M7815*VLOOKUP($Q7815,매칭테이블!$F:$I,3,0)</f>
        <v/>
      </c>
      <c r="O7815" s="94">
        <f>VLOOKUP($Q7815,매칭테이블!$F:$I,4,0)*K7815</f>
        <v/>
      </c>
      <c r="P7815" s="148">
        <f>M7815/1.1</f>
        <v/>
      </c>
      <c r="Q7815" s="94">
        <f>F7815&amp;E7815&amp;G7815&amp;L7815</f>
        <v/>
      </c>
    </row>
    <row r="7816">
      <c r="A7816" s="94" t="n"/>
      <c r="B7816" s="128" t="n">
        <v>44032</v>
      </c>
      <c r="C7816" s="94">
        <f>TEXT(B7816,"aaa")</f>
        <v/>
      </c>
      <c r="D7816" s="94" t="n"/>
      <c r="E7816" s="6" t="inlineStr">
        <is>
          <t>토너</t>
        </is>
      </c>
      <c r="F7816" s="5" t="inlineStr">
        <is>
          <t>카페24</t>
        </is>
      </c>
      <c r="G7816" s="5" t="inlineStr">
        <is>
          <t>250ml</t>
        </is>
      </c>
      <c r="H7816" s="7" t="n">
        <v>190801</v>
      </c>
      <c r="I7816" s="7" t="n">
        <v>190801</v>
      </c>
      <c r="J7816" s="94" t="n"/>
      <c r="K7816" s="6" t="n">
        <v>62</v>
      </c>
      <c r="L7816" s="7" t="n">
        <v>190801</v>
      </c>
      <c r="M7816" s="94">
        <f>VLOOKUP($Q7816,매칭테이블!$F:$I,2,0)*K7816</f>
        <v/>
      </c>
      <c r="N7816" s="94">
        <f>M7816-M7816*VLOOKUP($Q7816,매칭테이블!$F:$I,3,0)</f>
        <v/>
      </c>
      <c r="O7816" s="94">
        <f>VLOOKUP($Q7816,매칭테이블!$F:$I,4,0)*K7816</f>
        <v/>
      </c>
      <c r="P7816" s="148">
        <f>M7816/1.1</f>
        <v/>
      </c>
      <c r="Q7816" s="94">
        <f>F7816&amp;E7816&amp;G7816&amp;L7816</f>
        <v/>
      </c>
    </row>
    <row r="7817">
      <c r="A7817" s="94" t="n"/>
      <c r="B7817" s="128" t="n">
        <v>44032</v>
      </c>
      <c r="C7817" s="94">
        <f>TEXT(B7817,"aaa")</f>
        <v/>
      </c>
      <c r="D7817" s="94" t="n"/>
      <c r="E7817" s="6" t="inlineStr">
        <is>
          <t>토너</t>
        </is>
      </c>
      <c r="F7817" s="5" t="inlineStr">
        <is>
          <t>카페24</t>
        </is>
      </c>
      <c r="G7817" s="5" t="inlineStr">
        <is>
          <t>250ml 2set</t>
        </is>
      </c>
      <c r="H7817" s="7" t="n">
        <v>190801</v>
      </c>
      <c r="I7817" s="7" t="n">
        <v>190801</v>
      </c>
      <c r="J7817" s="94" t="n"/>
      <c r="K7817" s="6" t="n">
        <v>46</v>
      </c>
      <c r="L7817" s="7" t="n">
        <v>190801</v>
      </c>
      <c r="M7817" s="94">
        <f>VLOOKUP($Q7817,매칭테이블!$F:$I,2,0)*K7817</f>
        <v/>
      </c>
      <c r="N7817" s="94">
        <f>M7817-M7817*VLOOKUP($Q7817,매칭테이블!$F:$I,3,0)</f>
        <v/>
      </c>
      <c r="O7817" s="94">
        <f>VLOOKUP($Q7817,매칭테이블!$F:$I,4,0)*K7817</f>
        <v/>
      </c>
      <c r="P7817" s="148">
        <f>M7817/1.1</f>
        <v/>
      </c>
      <c r="Q7817" s="94">
        <f>F7817&amp;E7817&amp;G7817&amp;L7817</f>
        <v/>
      </c>
    </row>
    <row r="7818">
      <c r="A7818" s="94" t="n"/>
      <c r="B7818" s="128" t="n">
        <v>44032</v>
      </c>
      <c r="C7818" s="94">
        <f>TEXT(B7818,"aaa")</f>
        <v/>
      </c>
      <c r="D7818" s="94" t="n"/>
      <c r="E7818" s="6" t="inlineStr">
        <is>
          <t>토너</t>
        </is>
      </c>
      <c r="F7818" s="5" t="inlineStr">
        <is>
          <t>카페24</t>
        </is>
      </c>
      <c r="G7818" s="5" t="inlineStr">
        <is>
          <t>500ml</t>
        </is>
      </c>
      <c r="H7818" s="7" t="n">
        <v>190801</v>
      </c>
      <c r="I7818" s="7" t="n">
        <v>190801</v>
      </c>
      <c r="J7818" s="94" t="n"/>
      <c r="K7818" s="6" t="n">
        <v>77</v>
      </c>
      <c r="L7818" s="7" t="n">
        <v>190801</v>
      </c>
      <c r="M7818" s="94">
        <f>VLOOKUP($Q7818,매칭테이블!$F:$I,2,0)*K7818</f>
        <v/>
      </c>
      <c r="N7818" s="94">
        <f>M7818-M7818*VLOOKUP($Q7818,매칭테이블!$F:$I,3,0)</f>
        <v/>
      </c>
      <c r="O7818" s="94">
        <f>VLOOKUP($Q7818,매칭테이블!$F:$I,4,0)*K7818</f>
        <v/>
      </c>
      <c r="P7818" s="148">
        <f>M7818/1.1</f>
        <v/>
      </c>
      <c r="Q7818" s="94">
        <f>F7818&amp;E7818&amp;G7818&amp;L7818</f>
        <v/>
      </c>
    </row>
    <row r="7819">
      <c r="A7819" s="94" t="n"/>
      <c r="B7819" s="128" t="n">
        <v>44032</v>
      </c>
      <c r="C7819" s="94">
        <f>TEXT(B7819,"aaa")</f>
        <v/>
      </c>
      <c r="D7819" s="94" t="n"/>
      <c r="E7819" s="6" t="inlineStr">
        <is>
          <t>토너</t>
        </is>
      </c>
      <c r="F7819" s="5" t="inlineStr">
        <is>
          <t>카페24</t>
        </is>
      </c>
      <c r="G7819" s="94" t="inlineStr">
        <is>
          <t>스킨팩 화장솜 60P</t>
        </is>
      </c>
      <c r="H7819" s="7" t="n">
        <v>190801</v>
      </c>
      <c r="I7819" s="7" t="n">
        <v>190801</v>
      </c>
      <c r="J7819" s="94" t="n"/>
      <c r="K7819" s="6" t="n">
        <v>72</v>
      </c>
      <c r="L7819" s="7" t="n">
        <v>190801</v>
      </c>
      <c r="M7819" s="94">
        <f>VLOOKUP($Q7819,매칭테이블!$F:$I,2,0)*K7819</f>
        <v/>
      </c>
      <c r="N7819" s="94">
        <f>M7819-M7819*VLOOKUP($Q7819,매칭테이블!$F:$I,3,0)</f>
        <v/>
      </c>
      <c r="O7819" s="94">
        <f>VLOOKUP($Q7819,매칭테이블!$F:$I,4,0)*K7819</f>
        <v/>
      </c>
      <c r="P7819" s="148">
        <f>M7819/1.1</f>
        <v/>
      </c>
      <c r="Q7819" s="94">
        <f>F7819&amp;E7819&amp;G7819&amp;L7819</f>
        <v/>
      </c>
    </row>
    <row r="7820">
      <c r="A7820" s="94" t="n"/>
      <c r="B7820" s="128" t="n">
        <v>44032</v>
      </c>
      <c r="C7820" s="94">
        <f>TEXT(B7820,"aaa")</f>
        <v/>
      </c>
      <c r="D7820" s="94" t="n"/>
      <c r="E7820" s="94" t="inlineStr">
        <is>
          <t>앰플</t>
        </is>
      </c>
      <c r="F7820" s="5" t="inlineStr">
        <is>
          <t>카페24</t>
        </is>
      </c>
      <c r="G7820" s="94" t="inlineStr">
        <is>
          <t>앰플 30ml</t>
        </is>
      </c>
      <c r="H7820" s="7" t="n">
        <v>190801</v>
      </c>
      <c r="I7820" s="7" t="n">
        <v>190801</v>
      </c>
      <c r="J7820" s="94" t="n"/>
      <c r="K7820" s="6" t="n">
        <v>23</v>
      </c>
      <c r="L7820" s="94" t="n">
        <v>190801</v>
      </c>
      <c r="M7820" s="94">
        <f>VLOOKUP($Q7820,매칭테이블!$F:$I,2,0)*K7820</f>
        <v/>
      </c>
      <c r="N7820" s="94">
        <f>M7820-M7820*VLOOKUP($Q7820,매칭테이블!$F:$I,3,0)</f>
        <v/>
      </c>
      <c r="O7820" s="94">
        <f>VLOOKUP($Q7820,매칭테이블!$F:$I,4,0)*K7820</f>
        <v/>
      </c>
      <c r="P7820" s="148">
        <f>M7820/1.1</f>
        <v/>
      </c>
      <c r="Q7820" s="94">
        <f>F7820&amp;E7820&amp;G7820&amp;L7820</f>
        <v/>
      </c>
    </row>
    <row r="7821">
      <c r="A7821" s="94" t="n"/>
      <c r="B7821" s="128" t="n">
        <v>44032</v>
      </c>
      <c r="C7821" s="94">
        <f>TEXT(B7821,"aaa")</f>
        <v/>
      </c>
      <c r="D7821" s="94" t="n"/>
      <c r="E7821" s="94" t="inlineStr">
        <is>
          <t>수딩크림</t>
        </is>
      </c>
      <c r="F7821" s="5" t="inlineStr">
        <is>
          <t>카페24</t>
        </is>
      </c>
      <c r="G7821" s="94" t="inlineStr">
        <is>
          <t>수딩크림 100ml</t>
        </is>
      </c>
      <c r="H7821" s="7" t="n">
        <v>190801</v>
      </c>
      <c r="I7821" s="7" t="n">
        <v>190801</v>
      </c>
      <c r="J7821" s="94" t="n"/>
      <c r="K7821" s="6" t="n">
        <v>11</v>
      </c>
      <c r="L7821" s="94" t="n">
        <v>190801</v>
      </c>
      <c r="M7821" s="94">
        <f>VLOOKUP($Q7821,매칭테이블!$F:$I,2,0)*K7821</f>
        <v/>
      </c>
      <c r="N7821" s="94">
        <f>M7821-M7821*VLOOKUP($Q7821,매칭테이블!$F:$I,3,0)</f>
        <v/>
      </c>
      <c r="O7821" s="94">
        <f>VLOOKUP($Q7821,매칭테이블!$F:$I,4,0)*K7821</f>
        <v/>
      </c>
      <c r="P7821" s="148">
        <f>M7821/1.1</f>
        <v/>
      </c>
      <c r="Q7821" s="94">
        <f>F7821&amp;E7821&amp;G7821&amp;L7821</f>
        <v/>
      </c>
    </row>
    <row r="7822">
      <c r="A7822" s="94" t="n"/>
      <c r="B7822" s="128" t="n">
        <v>44032</v>
      </c>
      <c r="C7822" s="94">
        <f>TEXT(B7822,"aaa")</f>
        <v/>
      </c>
      <c r="D7822" s="94" t="n"/>
      <c r="E7822" s="94" t="inlineStr">
        <is>
          <t>클렌징폼</t>
        </is>
      </c>
      <c r="F7822" s="5" t="inlineStr">
        <is>
          <t>카페24</t>
        </is>
      </c>
      <c r="G7822" s="94" t="inlineStr">
        <is>
          <t>클렌징폼 120ml</t>
        </is>
      </c>
      <c r="H7822" s="7" t="n">
        <v>190801</v>
      </c>
      <c r="I7822" s="7" t="n">
        <v>190801</v>
      </c>
      <c r="J7822" s="94" t="n"/>
      <c r="K7822" s="6" t="n">
        <v>14</v>
      </c>
      <c r="L7822" s="7" t="n">
        <v>190801</v>
      </c>
      <c r="M7822" s="94">
        <f>VLOOKUP($Q7822,매칭테이블!$F:$I,2,0)*K7822</f>
        <v/>
      </c>
      <c r="N7822" s="94">
        <f>M7822-M7822*VLOOKUP($Q7822,매칭테이블!$F:$I,3,0)</f>
        <v/>
      </c>
      <c r="O7822" s="94">
        <f>VLOOKUP($Q7822,매칭테이블!$F:$I,4,0)*K7822</f>
        <v/>
      </c>
      <c r="P7822" s="148">
        <f>M7822/1.1</f>
        <v/>
      </c>
      <c r="Q7822" s="94">
        <f>F7822&amp;E7822&amp;G7822&amp;L7822</f>
        <v/>
      </c>
    </row>
    <row r="7823">
      <c r="A7823" s="94" t="n"/>
      <c r="B7823" s="128" t="n">
        <v>44032</v>
      </c>
      <c r="C7823" s="94">
        <f>TEXT(B7823,"aaa")</f>
        <v/>
      </c>
      <c r="D7823" s="94" t="n"/>
      <c r="E7823" s="94" t="inlineStr">
        <is>
          <t>클렌징폼</t>
        </is>
      </c>
      <c r="F7823" s="94" t="inlineStr">
        <is>
          <t>카페24</t>
        </is>
      </c>
      <c r="G7823" s="94" t="inlineStr">
        <is>
          <t>클렌징폼 120ml 2set</t>
        </is>
      </c>
      <c r="H7823" s="7" t="n">
        <v>190801</v>
      </c>
      <c r="I7823" s="7" t="n">
        <v>190801</v>
      </c>
      <c r="J7823" s="94" t="n"/>
      <c r="K7823" s="6" t="n">
        <v>3</v>
      </c>
      <c r="L7823" s="7" t="n">
        <v>190801</v>
      </c>
      <c r="M7823" s="94">
        <f>VLOOKUP($Q7823,매칭테이블!$F:$I,2,0)*K7823</f>
        <v/>
      </c>
      <c r="N7823" s="94">
        <f>M7823-M7823*VLOOKUP($Q7823,매칭테이블!$F:$I,3,0)</f>
        <v/>
      </c>
      <c r="O7823" s="94">
        <f>VLOOKUP($Q7823,매칭테이블!$F:$I,4,0)*K7823</f>
        <v/>
      </c>
      <c r="P7823" s="148">
        <f>M7823/1.1</f>
        <v/>
      </c>
      <c r="Q7823" s="94">
        <f>F7823&amp;E7823&amp;G7823&amp;L7823</f>
        <v/>
      </c>
    </row>
    <row r="7824">
      <c r="A7824" s="94" t="n"/>
      <c r="B7824" s="128" t="n">
        <v>44032</v>
      </c>
      <c r="C7824" s="94">
        <f>TEXT(B7824,"aaa")</f>
        <v/>
      </c>
      <c r="D7824" s="94" t="n"/>
      <c r="E7824" s="94" t="inlineStr">
        <is>
          <t>클렌징폼</t>
        </is>
      </c>
      <c r="F7824" s="94" t="inlineStr">
        <is>
          <t>카페24</t>
        </is>
      </c>
      <c r="G7824" s="94" t="inlineStr">
        <is>
          <t>클렌징폼 120ml 3set</t>
        </is>
      </c>
      <c r="H7824" s="7" t="n">
        <v>190801</v>
      </c>
      <c r="I7824" s="7" t="n">
        <v>190801</v>
      </c>
      <c r="J7824" s="94" t="n"/>
      <c r="K7824" s="6" t="n">
        <v>1</v>
      </c>
      <c r="L7824" s="7" t="n">
        <v>190801</v>
      </c>
      <c r="M7824" s="94">
        <f>VLOOKUP($Q7824,매칭테이블!$F:$I,2,0)*K7824</f>
        <v/>
      </c>
      <c r="N7824" s="94">
        <f>M7824-M7824*VLOOKUP($Q7824,매칭테이블!$F:$I,3,0)</f>
        <v/>
      </c>
      <c r="O7824" s="94">
        <f>VLOOKUP($Q7824,매칭테이블!$F:$I,4,0)*K7824</f>
        <v/>
      </c>
      <c r="P7824" s="148">
        <f>M7824/1.1</f>
        <v/>
      </c>
      <c r="Q7824" s="94">
        <f>F7824&amp;E7824&amp;G7824&amp;L7824</f>
        <v/>
      </c>
    </row>
    <row r="7825">
      <c r="A7825" s="94" t="n"/>
      <c r="B7825" s="128" t="n">
        <v>44032</v>
      </c>
      <c r="C7825" s="94">
        <f>TEXT(B7825,"aaa")</f>
        <v/>
      </c>
      <c r="D7825" s="94" t="n"/>
      <c r="E7825" s="6" t="inlineStr">
        <is>
          <t>토너</t>
        </is>
      </c>
      <c r="F7825" s="5" t="inlineStr">
        <is>
          <t>큐텐재팬</t>
        </is>
      </c>
      <c r="G7825" s="5" t="inlineStr">
        <is>
          <t>250ml</t>
        </is>
      </c>
      <c r="H7825" s="7" t="n">
        <v>190801</v>
      </c>
      <c r="I7825" s="7" t="n">
        <v>190801</v>
      </c>
      <c r="J7825" s="94" t="n"/>
      <c r="K7825" s="6" t="n">
        <v>72</v>
      </c>
      <c r="L7825" s="92" t="n">
        <v>190801</v>
      </c>
      <c r="M7825" s="94">
        <f>VLOOKUP($Q7825,매칭테이블!$F:$I,2,0)*K7825</f>
        <v/>
      </c>
      <c r="N7825" s="94">
        <f>M7825-M7825*VLOOKUP($Q7825,매칭테이블!$F:$I,3,0)</f>
        <v/>
      </c>
      <c r="O7825" s="94">
        <f>VLOOKUP($Q7825,매칭테이블!$F:$I,4,0)*K7825</f>
        <v/>
      </c>
      <c r="P7825" s="148">
        <f>M7825/1.1</f>
        <v/>
      </c>
      <c r="Q7825" s="94">
        <f>F7825&amp;E7825&amp;G7825&amp;L7825</f>
        <v/>
      </c>
    </row>
    <row r="7826">
      <c r="A7826" s="94" t="n"/>
      <c r="B7826" s="128" t="n">
        <v>44032</v>
      </c>
      <c r="C7826" s="94">
        <f>TEXT(B7826,"aaa")</f>
        <v/>
      </c>
      <c r="D7826" s="94" t="n"/>
      <c r="E7826" s="6" t="inlineStr">
        <is>
          <t>토너</t>
        </is>
      </c>
      <c r="F7826" s="5" t="inlineStr">
        <is>
          <t>큐텐재팬</t>
        </is>
      </c>
      <c r="G7826" s="5" t="inlineStr">
        <is>
          <t>250ml 2set</t>
        </is>
      </c>
      <c r="H7826" s="7" t="n">
        <v>190801</v>
      </c>
      <c r="I7826" s="7" t="n">
        <v>190801</v>
      </c>
      <c r="J7826" s="94" t="n"/>
      <c r="K7826" s="6" t="n">
        <v>19</v>
      </c>
      <c r="L7826" s="92" t="n">
        <v>190801</v>
      </c>
      <c r="M7826" s="94">
        <f>VLOOKUP($Q7826,매칭테이블!$F:$I,2,0)*K7826</f>
        <v/>
      </c>
      <c r="N7826" s="94">
        <f>M7826-M7826*VLOOKUP($Q7826,매칭테이블!$F:$I,3,0)</f>
        <v/>
      </c>
      <c r="O7826" s="94">
        <f>VLOOKUP($Q7826,매칭테이블!$F:$I,4,0)*K7826</f>
        <v/>
      </c>
      <c r="P7826" s="148">
        <f>M7826/1.1</f>
        <v/>
      </c>
      <c r="Q7826" s="94">
        <f>F7826&amp;E7826&amp;G7826&amp;L7826</f>
        <v/>
      </c>
    </row>
    <row r="7827">
      <c r="A7827" s="94" t="n"/>
      <c r="B7827" s="128" t="n">
        <v>44032</v>
      </c>
      <c r="C7827" s="94">
        <f>TEXT(B7827,"aaa")</f>
        <v/>
      </c>
      <c r="D7827" s="94" t="n"/>
      <c r="E7827" s="94" t="inlineStr">
        <is>
          <t>앰플</t>
        </is>
      </c>
      <c r="F7827" s="5" t="inlineStr">
        <is>
          <t>큐텐재팬</t>
        </is>
      </c>
      <c r="G7827" s="94" t="inlineStr">
        <is>
          <t>앰플 30ml</t>
        </is>
      </c>
      <c r="H7827" s="7" t="n">
        <v>190801</v>
      </c>
      <c r="I7827" s="7" t="n">
        <v>190801</v>
      </c>
      <c r="J7827" s="94" t="n"/>
      <c r="K7827" s="94" t="n">
        <v>7</v>
      </c>
      <c r="L7827" s="94" t="n">
        <v>190801</v>
      </c>
      <c r="M7827" s="94">
        <f>VLOOKUP($Q7827,매칭테이블!$F:$I,2,0)*K7827</f>
        <v/>
      </c>
      <c r="N7827" s="94">
        <f>M7827-M7827*VLOOKUP($Q7827,매칭테이블!$F:$I,3,0)</f>
        <v/>
      </c>
      <c r="O7827" s="94">
        <f>VLOOKUP($Q7827,매칭테이블!$F:$I,4,0)*K7827</f>
        <v/>
      </c>
      <c r="P7827" s="148">
        <f>M7827/1.1</f>
        <v/>
      </c>
      <c r="Q7827" s="94">
        <f>F7827&amp;E7827&amp;G7827&amp;L7827</f>
        <v/>
      </c>
    </row>
    <row r="7828">
      <c r="A7828" s="94" t="n"/>
      <c r="B7828" s="128" t="n">
        <v>44032</v>
      </c>
      <c r="C7828" s="94">
        <f>TEXT(B7828,"aaa")</f>
        <v/>
      </c>
      <c r="D7828" s="94" t="n"/>
      <c r="E7828" s="94" t="inlineStr">
        <is>
          <t>머드크림마스크</t>
        </is>
      </c>
      <c r="F7828" s="5" t="inlineStr">
        <is>
          <t>큐텐재팬</t>
        </is>
      </c>
      <c r="G7828" s="94" t="inlineStr">
        <is>
          <t>머드크림마스크 100ml</t>
        </is>
      </c>
      <c r="H7828" s="7" t="n">
        <v>190801</v>
      </c>
      <c r="I7828" s="7" t="n">
        <v>190801</v>
      </c>
      <c r="J7828" s="94" t="n"/>
      <c r="K7828" s="94" t="n">
        <v>3</v>
      </c>
      <c r="L7828" s="94" t="n">
        <v>190801</v>
      </c>
      <c r="M7828" s="94">
        <f>VLOOKUP($Q7828,매칭테이블!$F:$I,2,0)*K7828</f>
        <v/>
      </c>
      <c r="N7828" s="94">
        <f>M7828-M7828*VLOOKUP($Q7828,매칭테이블!$F:$I,3,0)</f>
        <v/>
      </c>
      <c r="O7828" s="94">
        <f>VLOOKUP($Q7828,매칭테이블!$F:$I,4,0)*K7828</f>
        <v/>
      </c>
      <c r="P7828" s="148">
        <f>M7828/1.1</f>
        <v/>
      </c>
      <c r="Q7828" s="94">
        <f>F7828&amp;E7828&amp;G7828&amp;L7828</f>
        <v/>
      </c>
    </row>
    <row r="7829">
      <c r="A7829" s="94" t="n"/>
      <c r="B7829" s="128" t="n">
        <v>44032</v>
      </c>
      <c r="C7829" s="94">
        <f>TEXT(B7829,"aaa")</f>
        <v/>
      </c>
      <c r="D7829" s="94" t="n"/>
      <c r="E7829" s="94" t="inlineStr">
        <is>
          <t>수딩크림</t>
        </is>
      </c>
      <c r="F7829" s="5" t="inlineStr">
        <is>
          <t>큐텐재팬</t>
        </is>
      </c>
      <c r="G7829" s="94" t="inlineStr">
        <is>
          <t>수딩크림 100ml</t>
        </is>
      </c>
      <c r="H7829" s="7" t="n">
        <v>190801</v>
      </c>
      <c r="I7829" s="7" t="n">
        <v>190801</v>
      </c>
      <c r="J7829" s="94" t="n"/>
      <c r="K7829" s="6" t="n">
        <v>1</v>
      </c>
      <c r="L7829" s="92" t="n">
        <v>190801</v>
      </c>
      <c r="M7829" s="94">
        <f>VLOOKUP($Q7829,매칭테이블!$F:$I,2,0)*K7829</f>
        <v/>
      </c>
      <c r="N7829" s="94">
        <f>M7829-M7829*VLOOKUP($Q7829,매칭테이블!$F:$I,3,0)</f>
        <v/>
      </c>
      <c r="O7829" s="94">
        <f>VLOOKUP($Q7829,매칭테이블!$F:$I,4,0)*K7829</f>
        <v/>
      </c>
      <c r="P7829" s="148">
        <f>M7829/1.1</f>
        <v/>
      </c>
      <c r="Q7829" s="94">
        <f>F7829&amp;E7829&amp;G7829&amp;L7829</f>
        <v/>
      </c>
    </row>
    <row r="7830">
      <c r="A7830" s="94" t="n"/>
      <c r="B7830" s="128" t="n">
        <v>44032</v>
      </c>
      <c r="C7830" s="94">
        <f>TEXT(B7830,"aaa")</f>
        <v/>
      </c>
      <c r="D7830" s="94" t="n"/>
      <c r="E7830" s="94" t="inlineStr">
        <is>
          <t>토너</t>
        </is>
      </c>
      <c r="F7830" s="5" t="inlineStr">
        <is>
          <t>아누아 CS</t>
        </is>
      </c>
      <c r="G7830" s="94" t="inlineStr">
        <is>
          <t>250ml</t>
        </is>
      </c>
      <c r="H7830" s="7" t="n">
        <v>190801</v>
      </c>
      <c r="I7830" s="7" t="n">
        <v>190801</v>
      </c>
      <c r="J7830" s="94" t="n"/>
      <c r="K7830" s="6" t="n">
        <v>2</v>
      </c>
      <c r="L7830" s="7" t="n">
        <v>190801</v>
      </c>
      <c r="M7830" s="94">
        <f>VLOOKUP($Q7830,매칭테이블!$F:$I,2,0)*K7830</f>
        <v/>
      </c>
      <c r="N7830" s="94">
        <f>M7830-M7830*VLOOKUP($Q7830,매칭테이블!$F:$I,3,0)</f>
        <v/>
      </c>
      <c r="O7830" s="94">
        <f>VLOOKUP($Q7830,매칭테이블!$F:$I,4,0)*K7830</f>
        <v/>
      </c>
      <c r="P7830" s="148">
        <f>M7830/1.1</f>
        <v/>
      </c>
      <c r="Q7830" s="94">
        <f>F7830&amp;E7830&amp;G7830&amp;L7830</f>
        <v/>
      </c>
    </row>
    <row r="7831">
      <c r="A7831" s="94" t="n"/>
      <c r="B7831" s="128" t="n">
        <v>44032</v>
      </c>
      <c r="C7831" s="94">
        <f>TEXT(B7831,"aaa")</f>
        <v/>
      </c>
      <c r="D7831" s="94" t="n"/>
      <c r="E7831" s="94" t="inlineStr">
        <is>
          <t>화장솜</t>
        </is>
      </c>
      <c r="F7831" s="5" t="inlineStr">
        <is>
          <t>아누아 CS</t>
        </is>
      </c>
      <c r="G7831" s="94" t="inlineStr">
        <is>
          <t>스킨팩 화장솜 60P</t>
        </is>
      </c>
      <c r="H7831" s="7" t="n">
        <v>190801</v>
      </c>
      <c r="I7831" s="7" t="n">
        <v>190801</v>
      </c>
      <c r="J7831" s="94" t="n"/>
      <c r="K7831" s="94" t="n">
        <v>2</v>
      </c>
      <c r="L7831" s="7" t="n">
        <v>190801</v>
      </c>
      <c r="M7831" s="94">
        <f>VLOOKUP($Q7831,매칭테이블!$F:$I,2,0)*K7831</f>
        <v/>
      </c>
      <c r="N7831" s="94">
        <f>M7831-M7831*VLOOKUP($Q7831,매칭테이블!$F:$I,3,0)</f>
        <v/>
      </c>
      <c r="O7831" s="94">
        <f>VLOOKUP($Q7831,매칭테이블!$F:$I,4,0)*K7831</f>
        <v/>
      </c>
      <c r="P7831" s="148">
        <f>M7831/1.1</f>
        <v/>
      </c>
      <c r="Q7831" s="94">
        <f>F7831&amp;E7831&amp;G7831&amp;L7831</f>
        <v/>
      </c>
    </row>
    <row r="7832">
      <c r="A7832" s="94" t="n"/>
      <c r="B7832" s="128" t="n">
        <v>44032</v>
      </c>
      <c r="C7832" s="94">
        <f>TEXT(B7832,"aaa")</f>
        <v/>
      </c>
      <c r="D7832" s="94" t="n"/>
      <c r="E7832" s="94" t="inlineStr">
        <is>
          <t>앰플</t>
        </is>
      </c>
      <c r="F7832" s="5" t="inlineStr">
        <is>
          <t>아누아 CS</t>
        </is>
      </c>
      <c r="G7832" s="94" t="inlineStr">
        <is>
          <t>앰플 30ml</t>
        </is>
      </c>
      <c r="H7832" s="7" t="n">
        <v>190801</v>
      </c>
      <c r="I7832" s="7" t="n">
        <v>190801</v>
      </c>
      <c r="J7832" s="94" t="n"/>
      <c r="K7832" s="94" t="n">
        <v>2</v>
      </c>
      <c r="L7832" s="7" t="n">
        <v>190801</v>
      </c>
      <c r="M7832" s="94">
        <f>VLOOKUP($Q7832,매칭테이블!$F:$I,2,0)*K7832</f>
        <v/>
      </c>
      <c r="N7832" s="94">
        <f>M7832-M7832*VLOOKUP($Q7832,매칭테이블!$F:$I,3,0)</f>
        <v/>
      </c>
      <c r="O7832" s="94">
        <f>VLOOKUP($Q7832,매칭테이블!$F:$I,4,0)*K7832</f>
        <v/>
      </c>
      <c r="P7832" s="148">
        <f>M7832/1.1</f>
        <v/>
      </c>
      <c r="Q7832" s="94">
        <f>F7832&amp;E7832&amp;G7832&amp;L7832</f>
        <v/>
      </c>
    </row>
    <row r="7833">
      <c r="A7833" s="94" t="n"/>
      <c r="B7833" s="128" t="n">
        <v>44032</v>
      </c>
      <c r="C7833" s="94">
        <f>TEXT(B7833,"aaa")</f>
        <v/>
      </c>
      <c r="D7833" s="94" t="n"/>
      <c r="E7833" s="94" t="inlineStr">
        <is>
          <t>마스크팩</t>
        </is>
      </c>
      <c r="F7833" s="5" t="inlineStr">
        <is>
          <t>아누아 CS</t>
        </is>
      </c>
      <c r="G7833" s="94" t="inlineStr">
        <is>
          <t>마스크팩 10매</t>
        </is>
      </c>
      <c r="H7833" s="7" t="n">
        <v>190801</v>
      </c>
      <c r="I7833" s="7" t="n">
        <v>190801</v>
      </c>
      <c r="J7833" s="94" t="n"/>
      <c r="K7833" s="94" t="n">
        <v>2</v>
      </c>
      <c r="L7833" s="7" t="n">
        <v>190801</v>
      </c>
      <c r="M7833" s="94">
        <f>VLOOKUP($Q7833,매칭테이블!$F:$I,2,0)*K7833</f>
        <v/>
      </c>
      <c r="N7833" s="94">
        <f>M7833-M7833*VLOOKUP($Q7833,매칭테이블!$F:$I,3,0)</f>
        <v/>
      </c>
      <c r="O7833" s="94">
        <f>VLOOKUP($Q7833,매칭테이블!$F:$I,4,0)*K7833</f>
        <v/>
      </c>
      <c r="P7833" s="148">
        <f>M7833/1.1</f>
        <v/>
      </c>
      <c r="Q7833" s="94">
        <f>F7833&amp;E7833&amp;G7833&amp;L7833</f>
        <v/>
      </c>
    </row>
    <row r="7834">
      <c r="A7834" s="94" t="n"/>
      <c r="B7834" s="128" t="n">
        <v>44032</v>
      </c>
      <c r="C7834" s="94">
        <f>TEXT(B7834,"aaa")</f>
        <v/>
      </c>
      <c r="D7834" s="94" t="n"/>
      <c r="E7834" s="94" t="inlineStr">
        <is>
          <t>선크림</t>
        </is>
      </c>
      <c r="F7834" s="5" t="inlineStr">
        <is>
          <t>아누아 CS</t>
        </is>
      </c>
      <c r="G7834" s="94" t="inlineStr">
        <is>
          <t>선크림 50ml</t>
        </is>
      </c>
      <c r="H7834" s="7" t="n">
        <v>190801</v>
      </c>
      <c r="I7834" s="7" t="n">
        <v>190801</v>
      </c>
      <c r="J7834" s="94" t="n"/>
      <c r="K7834" s="94" t="n">
        <v>2</v>
      </c>
      <c r="L7834" s="7" t="n">
        <v>190801</v>
      </c>
      <c r="M7834" s="94">
        <f>VLOOKUP($Q7834,매칭테이블!$F:$I,2,0)*K7834</f>
        <v/>
      </c>
      <c r="N7834" s="94">
        <f>M7834-M7834*VLOOKUP($Q7834,매칭테이블!$F:$I,3,0)</f>
        <v/>
      </c>
      <c r="O7834" s="94">
        <f>VLOOKUP($Q7834,매칭테이블!$F:$I,4,0)*K7834</f>
        <v/>
      </c>
      <c r="P7834" s="148">
        <f>M7834/1.1</f>
        <v/>
      </c>
      <c r="Q7834" s="94">
        <f>F7834&amp;E7834&amp;G7834&amp;L7834</f>
        <v/>
      </c>
    </row>
    <row r="7835">
      <c r="A7835" s="94" t="n"/>
      <c r="B7835" s="128" t="n">
        <v>44032</v>
      </c>
      <c r="C7835" s="94">
        <f>TEXT(B7835,"aaa")</f>
        <v/>
      </c>
      <c r="D7835" s="94" t="n"/>
      <c r="E7835" s="94" t="inlineStr">
        <is>
          <t>토너</t>
        </is>
      </c>
      <c r="F7835" s="5" t="inlineStr">
        <is>
          <t>화해</t>
        </is>
      </c>
      <c r="G7835" s="94" t="inlineStr">
        <is>
          <t>250ml</t>
        </is>
      </c>
      <c r="H7835" s="7" t="n">
        <v>190801</v>
      </c>
      <c r="I7835" s="7" t="n">
        <v>190801</v>
      </c>
      <c r="J7835" s="94" t="n"/>
      <c r="K7835" s="94" t="n">
        <v>3</v>
      </c>
      <c r="L7835" s="7" t="n">
        <v>190801</v>
      </c>
      <c r="M7835" s="94">
        <f>VLOOKUP($Q7835,매칭테이블!$F:$I,2,0)*K7835</f>
        <v/>
      </c>
      <c r="N7835" s="94">
        <f>M7835-M7835*VLOOKUP($Q7835,매칭테이블!$F:$I,3,0)</f>
        <v/>
      </c>
      <c r="O7835" s="94">
        <f>VLOOKUP($Q7835,매칭테이블!$F:$I,4,0)*K7835</f>
        <v/>
      </c>
      <c r="P7835" s="148">
        <f>M7835/1.1</f>
        <v/>
      </c>
      <c r="Q7835" s="94">
        <f>F7835&amp;E7835&amp;G7835&amp;L7835</f>
        <v/>
      </c>
    </row>
    <row r="7836" customFormat="1" s="94">
      <c r="B7836" s="128" t="n">
        <v>44032</v>
      </c>
      <c r="C7836" s="94">
        <f>TEXT(B7836,"aaa")</f>
        <v/>
      </c>
      <c r="E7836" s="94" t="inlineStr">
        <is>
          <t>토너</t>
        </is>
      </c>
      <c r="F7836" s="5" t="inlineStr">
        <is>
          <t>쇼피필리핀</t>
        </is>
      </c>
      <c r="G7836" s="94" t="inlineStr">
        <is>
          <t>250ml</t>
        </is>
      </c>
      <c r="H7836" s="7" t="n">
        <v>190801</v>
      </c>
      <c r="I7836" s="7" t="n">
        <v>190801</v>
      </c>
      <c r="K7836" s="94" t="n">
        <v>1</v>
      </c>
      <c r="L7836" s="7" t="n">
        <v>190801</v>
      </c>
      <c r="M7836" s="94">
        <f>VLOOKUP($Q7836,매칭테이블!$F:$I,2,0)*K7836</f>
        <v/>
      </c>
      <c r="N7836" s="94">
        <f>M7836-M7836*VLOOKUP($Q7836,매칭테이블!$F:$I,3,0)</f>
        <v/>
      </c>
      <c r="O7836" s="94">
        <f>VLOOKUP($Q7836,매칭테이블!$F:$I,4,0)*K7836</f>
        <v/>
      </c>
      <c r="P7836" s="148">
        <f>M7836/1.1</f>
        <v/>
      </c>
      <c r="Q7836" s="94">
        <f>F7836&amp;E7836&amp;G7836&amp;L7836</f>
        <v/>
      </c>
    </row>
    <row r="7837" customFormat="1" s="94">
      <c r="B7837" s="128" t="n">
        <v>44033</v>
      </c>
      <c r="C7837" s="94">
        <f>TEXT(B7837,"aaa")</f>
        <v/>
      </c>
      <c r="E7837" s="94" t="inlineStr">
        <is>
          <t>토너</t>
        </is>
      </c>
      <c r="F7837" s="5" t="inlineStr">
        <is>
          <t>스타일쉐어</t>
        </is>
      </c>
      <c r="G7837" s="94" t="inlineStr">
        <is>
          <t>250ml</t>
        </is>
      </c>
      <c r="H7837" s="7" t="n">
        <v>190801</v>
      </c>
      <c r="I7837" s="7" t="n">
        <v>190801</v>
      </c>
      <c r="K7837" s="94" t="n">
        <v>1</v>
      </c>
      <c r="L7837" s="7" t="n">
        <v>190801</v>
      </c>
      <c r="M7837" s="94">
        <f>VLOOKUP($Q7837,매칭테이블!$F:$I,2,0)*K7837</f>
        <v/>
      </c>
      <c r="N7837" s="94">
        <f>M7837-M7837*VLOOKUP($Q7837,매칭테이블!$F:$I,3,0)</f>
        <v/>
      </c>
      <c r="O7837" s="94">
        <f>VLOOKUP($Q7837,매칭테이블!$F:$I,4,0)*K7837</f>
        <v/>
      </c>
      <c r="P7837" s="148">
        <f>M7837/1.1</f>
        <v/>
      </c>
      <c r="Q7837" s="94">
        <f>F7837&amp;E7837&amp;G7837&amp;L7837</f>
        <v/>
      </c>
    </row>
    <row r="7838" customFormat="1" s="94">
      <c r="B7838" s="128" t="n">
        <v>44033</v>
      </c>
      <c r="C7838" s="94">
        <f>TEXT(B7838,"aaa")</f>
        <v/>
      </c>
      <c r="E7838" s="94" t="inlineStr">
        <is>
          <t>선크림</t>
        </is>
      </c>
      <c r="F7838" s="5" t="inlineStr">
        <is>
          <t>카페24</t>
        </is>
      </c>
      <c r="G7838" s="94" t="inlineStr">
        <is>
          <t>선크림 50ml</t>
        </is>
      </c>
      <c r="H7838" s="7" t="n">
        <v>190801</v>
      </c>
      <c r="I7838" s="7" t="n">
        <v>190801</v>
      </c>
      <c r="K7838" s="94" t="n">
        <v>9</v>
      </c>
      <c r="L7838" s="7" t="n">
        <v>190801</v>
      </c>
      <c r="M7838" s="94">
        <f>VLOOKUP($Q7838,매칭테이블!$F:$I,2,0)*K7838</f>
        <v/>
      </c>
      <c r="N7838" s="94">
        <f>M7838-M7838*VLOOKUP($Q7838,매칭테이블!$F:$I,3,0)</f>
        <v/>
      </c>
      <c r="O7838" s="94">
        <f>VLOOKUP($Q7838,매칭테이블!$F:$I,4,0)*K7838</f>
        <v/>
      </c>
      <c r="P7838" s="148">
        <f>M7838/1.1</f>
        <v/>
      </c>
      <c r="Q7838" s="94">
        <f>F7838&amp;E7838&amp;G7838&amp;L7838</f>
        <v/>
      </c>
    </row>
    <row r="7839" customFormat="1" s="94">
      <c r="B7839" s="128" t="n">
        <v>44033</v>
      </c>
      <c r="C7839" s="94">
        <f>TEXT(B7839,"aaa")</f>
        <v/>
      </c>
      <c r="E7839" s="94" t="inlineStr">
        <is>
          <t>선크림</t>
        </is>
      </c>
      <c r="F7839" s="5" t="inlineStr">
        <is>
          <t>카페24</t>
        </is>
      </c>
      <c r="G7839" s="94" t="inlineStr">
        <is>
          <t>선크림 50ml  2set</t>
        </is>
      </c>
      <c r="H7839" s="7" t="n">
        <v>190801</v>
      </c>
      <c r="I7839" s="7" t="n">
        <v>190801</v>
      </c>
      <c r="K7839" s="94" t="n">
        <v>8</v>
      </c>
      <c r="L7839" s="7" t="n">
        <v>190801</v>
      </c>
      <c r="M7839" s="94">
        <f>VLOOKUP($Q7839,매칭테이블!$F:$I,2,0)*K7839</f>
        <v/>
      </c>
      <c r="N7839" s="94">
        <f>M7839-M7839*VLOOKUP($Q7839,매칭테이블!$F:$I,3,0)</f>
        <v/>
      </c>
      <c r="O7839" s="94">
        <f>VLOOKUP($Q7839,매칭테이블!$F:$I,4,0)*K7839</f>
        <v/>
      </c>
      <c r="P7839" s="148">
        <f>M7839/1.1</f>
        <v/>
      </c>
      <c r="Q7839" s="94">
        <f>F7839&amp;E7839&amp;G7839&amp;L7839</f>
        <v/>
      </c>
    </row>
    <row r="7840" customFormat="1" s="94">
      <c r="B7840" s="128" t="n">
        <v>44033</v>
      </c>
      <c r="C7840" s="94">
        <f>TEXT(B7840,"aaa")</f>
        <v/>
      </c>
      <c r="E7840" s="94" t="inlineStr">
        <is>
          <t>클렌징폼</t>
        </is>
      </c>
      <c r="F7840" s="5" t="inlineStr">
        <is>
          <t>카페24</t>
        </is>
      </c>
      <c r="G7840" s="94" t="inlineStr">
        <is>
          <t>클렌징폼 120ml(선크림할인)</t>
        </is>
      </c>
      <c r="H7840" s="7" t="n">
        <v>190801</v>
      </c>
      <c r="I7840" s="7" t="n">
        <v>190801</v>
      </c>
      <c r="K7840" s="94" t="n">
        <v>6</v>
      </c>
      <c r="L7840" s="7" t="n">
        <v>190801</v>
      </c>
      <c r="M7840" s="94">
        <f>VLOOKUP($Q7840,매칭테이블!$F:$I,2,0)*K7840</f>
        <v/>
      </c>
      <c r="N7840" s="94">
        <f>M7840-M7840*VLOOKUP($Q7840,매칭테이블!$F:$I,3,0)</f>
        <v/>
      </c>
      <c r="O7840" s="94">
        <f>VLOOKUP($Q7840,매칭테이블!$F:$I,4,0)*K7840</f>
        <v/>
      </c>
      <c r="P7840" s="148">
        <f>M7840/1.1</f>
        <v/>
      </c>
      <c r="Q7840" s="94">
        <f>F7840&amp;E7840&amp;G7840&amp;L7840</f>
        <v/>
      </c>
    </row>
    <row r="7841" customFormat="1" s="94">
      <c r="B7841" s="128" t="n">
        <v>44033</v>
      </c>
      <c r="C7841" s="94">
        <f>TEXT(B7841,"aaa")</f>
        <v/>
      </c>
      <c r="E7841" s="94" t="inlineStr">
        <is>
          <t>여름 한정 진정세트</t>
        </is>
      </c>
      <c r="F7841" s="5" t="inlineStr">
        <is>
          <t>카페24</t>
        </is>
      </c>
      <c r="G7841" s="94" t="inlineStr">
        <is>
          <t>여름 한정 진정세트</t>
        </is>
      </c>
      <c r="H7841" s="7" t="n">
        <v>190801</v>
      </c>
      <c r="I7841" s="7" t="n">
        <v>190801</v>
      </c>
      <c r="K7841" s="94" t="n">
        <v>1</v>
      </c>
      <c r="L7841" s="7" t="n">
        <v>190801</v>
      </c>
      <c r="M7841" s="94">
        <f>VLOOKUP($Q7841,매칭테이블!$F:$I,2,0)*K7841</f>
        <v/>
      </c>
      <c r="N7841" s="94">
        <f>M7841-M7841*VLOOKUP($Q7841,매칭테이블!$F:$I,3,0)</f>
        <v/>
      </c>
      <c r="O7841" s="94">
        <f>VLOOKUP($Q7841,매칭테이블!$F:$I,4,0)*K7841</f>
        <v/>
      </c>
      <c r="P7841" s="148">
        <f>M7841/1.1</f>
        <v/>
      </c>
      <c r="Q7841" s="94">
        <f>F7841&amp;E7841&amp;G7841&amp;L7841</f>
        <v/>
      </c>
    </row>
    <row r="7842" customFormat="1" s="94">
      <c r="B7842" s="128" t="n">
        <v>44033</v>
      </c>
      <c r="C7842" s="94">
        <f>TEXT(B7842,"aaa")</f>
        <v/>
      </c>
      <c r="E7842" s="94" t="inlineStr">
        <is>
          <t>여름 한정 진정세트</t>
        </is>
      </c>
      <c r="F7842" s="5" t="inlineStr">
        <is>
          <t>카페24</t>
        </is>
      </c>
      <c r="G7842" s="94" t="inlineStr">
        <is>
          <t>여름 한정 진정세트 (대용량)</t>
        </is>
      </c>
      <c r="H7842" s="7" t="n">
        <v>190801</v>
      </c>
      <c r="I7842" s="7" t="n">
        <v>190801</v>
      </c>
      <c r="K7842" s="94" t="n">
        <v>4</v>
      </c>
      <c r="L7842" s="7" t="n">
        <v>190801</v>
      </c>
      <c r="M7842" s="94">
        <f>VLOOKUP($Q7842,매칭테이블!$F:$I,2,0)*K7842</f>
        <v/>
      </c>
      <c r="N7842" s="94">
        <f>M7842-M7842*VLOOKUP($Q7842,매칭테이블!$F:$I,3,0)</f>
        <v/>
      </c>
      <c r="O7842" s="94">
        <f>VLOOKUP($Q7842,매칭테이블!$F:$I,4,0)*K7842</f>
        <v/>
      </c>
      <c r="P7842" s="148">
        <f>M7842/1.1</f>
        <v/>
      </c>
      <c r="Q7842" s="94">
        <f>F7842&amp;E7842&amp;G7842&amp;L7842</f>
        <v/>
      </c>
    </row>
    <row r="7843" customFormat="1" s="94">
      <c r="B7843" s="128" t="n">
        <v>44033</v>
      </c>
      <c r="C7843" s="94">
        <f>TEXT(B7843,"aaa")</f>
        <v/>
      </c>
      <c r="E7843" s="94" t="inlineStr">
        <is>
          <t>머드크림마스크</t>
        </is>
      </c>
      <c r="F7843" s="5" t="inlineStr">
        <is>
          <t>카페24</t>
        </is>
      </c>
      <c r="G7843" s="94" t="inlineStr">
        <is>
          <t>머드크림마스크 100ml</t>
        </is>
      </c>
      <c r="H7843" s="7" t="n">
        <v>190801</v>
      </c>
      <c r="I7843" s="7" t="n">
        <v>190801</v>
      </c>
      <c r="K7843" s="94" t="n">
        <v>3</v>
      </c>
      <c r="L7843" s="7" t="n">
        <v>190801</v>
      </c>
      <c r="M7843" s="94">
        <f>VLOOKUP($Q7843,매칭테이블!$F:$I,2,0)*K7843</f>
        <v/>
      </c>
      <c r="N7843" s="94">
        <f>M7843-M7843*VLOOKUP($Q7843,매칭테이블!$F:$I,3,0)</f>
        <v/>
      </c>
      <c r="O7843" s="94">
        <f>VLOOKUP($Q7843,매칭테이블!$F:$I,4,0)*K7843</f>
        <v/>
      </c>
      <c r="P7843" s="148">
        <f>M7843/1.1</f>
        <v/>
      </c>
      <c r="Q7843" s="94">
        <f>F7843&amp;E7843&amp;G7843&amp;L7843</f>
        <v/>
      </c>
    </row>
    <row r="7844" customFormat="1" s="94">
      <c r="B7844" s="128" t="n">
        <v>44033</v>
      </c>
      <c r="C7844" s="94">
        <f>TEXT(B7844,"aaa")</f>
        <v/>
      </c>
      <c r="E7844" s="94" t="inlineStr">
        <is>
          <t>머드크림마스크</t>
        </is>
      </c>
      <c r="F7844" s="5" t="inlineStr">
        <is>
          <t>카페24</t>
        </is>
      </c>
      <c r="G7844" s="94" t="inlineStr">
        <is>
          <t>머드크림마스크 100ml 2set</t>
        </is>
      </c>
      <c r="H7844" s="7" t="n">
        <v>190801</v>
      </c>
      <c r="I7844" s="7" t="n">
        <v>190801</v>
      </c>
      <c r="K7844" s="94" t="n">
        <v>1</v>
      </c>
      <c r="L7844" s="7" t="n">
        <v>190801</v>
      </c>
      <c r="M7844" s="94">
        <f>VLOOKUP($Q7844,매칭테이블!$F:$I,2,0)*K7844</f>
        <v/>
      </c>
      <c r="N7844" s="94">
        <f>M7844-M7844*VLOOKUP($Q7844,매칭테이블!$F:$I,3,0)</f>
        <v/>
      </c>
      <c r="O7844" s="94">
        <f>VLOOKUP($Q7844,매칭테이블!$F:$I,4,0)*K7844</f>
        <v/>
      </c>
      <c r="P7844" s="148">
        <f>M7844/1.1</f>
        <v/>
      </c>
      <c r="Q7844" s="94">
        <f>F7844&amp;E7844&amp;G7844&amp;L7844</f>
        <v/>
      </c>
    </row>
    <row r="7845" customFormat="1" s="94">
      <c r="B7845" s="128" t="n">
        <v>44033</v>
      </c>
      <c r="C7845" s="94">
        <f>TEXT(B7845,"aaa")</f>
        <v/>
      </c>
      <c r="E7845" s="94" t="inlineStr">
        <is>
          <t>토너</t>
        </is>
      </c>
      <c r="F7845" s="5" t="inlineStr">
        <is>
          <t>카페24</t>
        </is>
      </c>
      <c r="G7845" s="94" t="inlineStr">
        <is>
          <t>250ml</t>
        </is>
      </c>
      <c r="H7845" s="7" t="n">
        <v>190801</v>
      </c>
      <c r="I7845" s="7" t="n">
        <v>190801</v>
      </c>
      <c r="K7845" s="94" t="n">
        <v>42</v>
      </c>
      <c r="L7845" s="7" t="n">
        <v>190801</v>
      </c>
      <c r="M7845" s="94">
        <f>VLOOKUP($Q7845,매칭테이블!$F:$I,2,0)*K7845</f>
        <v/>
      </c>
      <c r="N7845" s="94">
        <f>M7845-M7845*VLOOKUP($Q7845,매칭테이블!$F:$I,3,0)</f>
        <v/>
      </c>
      <c r="O7845" s="94">
        <f>VLOOKUP($Q7845,매칭테이블!$F:$I,4,0)*K7845</f>
        <v/>
      </c>
      <c r="P7845" s="148">
        <f>M7845/1.1</f>
        <v/>
      </c>
      <c r="Q7845" s="94">
        <f>F7845&amp;E7845&amp;G7845&amp;L7845</f>
        <v/>
      </c>
    </row>
    <row r="7846" customFormat="1" s="94">
      <c r="B7846" s="128" t="n">
        <v>44033</v>
      </c>
      <c r="C7846" s="94">
        <f>TEXT(B7846,"aaa")</f>
        <v/>
      </c>
      <c r="E7846" s="94" t="inlineStr">
        <is>
          <t>토너</t>
        </is>
      </c>
      <c r="F7846" s="5" t="inlineStr">
        <is>
          <t>카페24</t>
        </is>
      </c>
      <c r="G7846" s="94" t="inlineStr">
        <is>
          <t>250ml 2set</t>
        </is>
      </c>
      <c r="H7846" s="7" t="n">
        <v>190801</v>
      </c>
      <c r="I7846" s="7" t="n">
        <v>190801</v>
      </c>
      <c r="K7846" s="94" t="n">
        <v>43</v>
      </c>
      <c r="L7846" s="7" t="n">
        <v>190801</v>
      </c>
      <c r="M7846" s="94">
        <f>VLOOKUP($Q7846,매칭테이블!$F:$I,2,0)*K7846</f>
        <v/>
      </c>
      <c r="N7846" s="94">
        <f>M7846-M7846*VLOOKUP($Q7846,매칭테이블!$F:$I,3,0)</f>
        <v/>
      </c>
      <c r="O7846" s="94">
        <f>VLOOKUP($Q7846,매칭테이블!$F:$I,4,0)*K7846</f>
        <v/>
      </c>
      <c r="P7846" s="148">
        <f>M7846/1.1</f>
        <v/>
      </c>
      <c r="Q7846" s="94">
        <f>F7846&amp;E7846&amp;G7846&amp;L7846</f>
        <v/>
      </c>
    </row>
    <row r="7847" customFormat="1" s="94">
      <c r="B7847" s="128" t="n">
        <v>44033</v>
      </c>
      <c r="C7847" s="94">
        <f>TEXT(B7847,"aaa")</f>
        <v/>
      </c>
      <c r="E7847" s="94" t="inlineStr">
        <is>
          <t>토너</t>
        </is>
      </c>
      <c r="F7847" s="5" t="inlineStr">
        <is>
          <t>카페24</t>
        </is>
      </c>
      <c r="G7847" s="94" t="inlineStr">
        <is>
          <t>500ml</t>
        </is>
      </c>
      <c r="H7847" s="7" t="n">
        <v>190801</v>
      </c>
      <c r="I7847" s="7" t="n">
        <v>190801</v>
      </c>
      <c r="K7847" s="94" t="n">
        <v>45</v>
      </c>
      <c r="L7847" s="7" t="n">
        <v>190801</v>
      </c>
      <c r="M7847" s="94">
        <f>VLOOKUP($Q7847,매칭테이블!$F:$I,2,0)*K7847</f>
        <v/>
      </c>
      <c r="N7847" s="94">
        <f>M7847-M7847*VLOOKUP($Q7847,매칭테이블!$F:$I,3,0)</f>
        <v/>
      </c>
      <c r="O7847" s="94">
        <f>VLOOKUP($Q7847,매칭테이블!$F:$I,4,0)*K7847</f>
        <v/>
      </c>
      <c r="P7847" s="148">
        <f>M7847/1.1</f>
        <v/>
      </c>
      <c r="Q7847" s="94">
        <f>F7847&amp;E7847&amp;G7847&amp;L7847</f>
        <v/>
      </c>
    </row>
    <row r="7848" customFormat="1" s="94">
      <c r="B7848" s="128" t="n">
        <v>44033</v>
      </c>
      <c r="C7848" s="94">
        <f>TEXT(B7848,"aaa")</f>
        <v/>
      </c>
      <c r="E7848" s="94" t="inlineStr">
        <is>
          <t>토너</t>
        </is>
      </c>
      <c r="F7848" s="5" t="inlineStr">
        <is>
          <t>카페24</t>
        </is>
      </c>
      <c r="G7848" s="94" t="inlineStr">
        <is>
          <t>스킨팩 화장솜 60P</t>
        </is>
      </c>
      <c r="H7848" s="7" t="n">
        <v>190801</v>
      </c>
      <c r="I7848" s="7" t="n">
        <v>190801</v>
      </c>
      <c r="K7848" s="94" t="n">
        <v>55</v>
      </c>
      <c r="L7848" s="7" t="n">
        <v>190801</v>
      </c>
      <c r="M7848" s="94">
        <f>VLOOKUP($Q7848,매칭테이블!$F:$I,2,0)*K7848</f>
        <v/>
      </c>
      <c r="N7848" s="94">
        <f>M7848-M7848*VLOOKUP($Q7848,매칭테이블!$F:$I,3,0)</f>
        <v/>
      </c>
      <c r="O7848" s="94">
        <f>VLOOKUP($Q7848,매칭테이블!$F:$I,4,0)*K7848</f>
        <v/>
      </c>
      <c r="P7848" s="148">
        <f>M7848/1.1</f>
        <v/>
      </c>
      <c r="Q7848" s="94">
        <f>F7848&amp;E7848&amp;G7848&amp;L7848</f>
        <v/>
      </c>
    </row>
    <row r="7849" customFormat="1" s="94">
      <c r="B7849" s="128" t="n">
        <v>44033</v>
      </c>
      <c r="C7849" s="94">
        <f>TEXT(B7849,"aaa")</f>
        <v/>
      </c>
      <c r="E7849" s="94" t="inlineStr">
        <is>
          <t>앰플</t>
        </is>
      </c>
      <c r="F7849" s="5" t="inlineStr">
        <is>
          <t>카페24</t>
        </is>
      </c>
      <c r="G7849" s="94" t="inlineStr">
        <is>
          <t>앰플 30ml</t>
        </is>
      </c>
      <c r="H7849" s="7" t="n">
        <v>190801</v>
      </c>
      <c r="I7849" s="7" t="n">
        <v>190801</v>
      </c>
      <c r="K7849" s="94" t="n">
        <v>19</v>
      </c>
      <c r="L7849" s="7" t="n">
        <v>190801</v>
      </c>
      <c r="M7849" s="94">
        <f>VLOOKUP($Q7849,매칭테이블!$F:$I,2,0)*K7849</f>
        <v/>
      </c>
      <c r="N7849" s="94">
        <f>M7849-M7849*VLOOKUP($Q7849,매칭테이블!$F:$I,3,0)</f>
        <v/>
      </c>
      <c r="O7849" s="94">
        <f>VLOOKUP($Q7849,매칭테이블!$F:$I,4,0)*K7849</f>
        <v/>
      </c>
      <c r="P7849" s="148">
        <f>M7849/1.1</f>
        <v/>
      </c>
      <c r="Q7849" s="94">
        <f>F7849&amp;E7849&amp;G7849&amp;L7849</f>
        <v/>
      </c>
    </row>
    <row r="7850" customFormat="1" s="94">
      <c r="B7850" s="128" t="n">
        <v>44033</v>
      </c>
      <c r="C7850" s="94">
        <f>TEXT(B7850,"aaa")</f>
        <v/>
      </c>
      <c r="E7850" s="94" t="inlineStr">
        <is>
          <t>수딩크림</t>
        </is>
      </c>
      <c r="F7850" s="5" t="inlineStr">
        <is>
          <t>카페24</t>
        </is>
      </c>
      <c r="G7850" s="94" t="inlineStr">
        <is>
          <t>수딩크림 100ml</t>
        </is>
      </c>
      <c r="H7850" s="7" t="n">
        <v>190801</v>
      </c>
      <c r="I7850" s="7" t="n">
        <v>190801</v>
      </c>
      <c r="K7850" s="94" t="n">
        <v>7</v>
      </c>
      <c r="L7850" s="7" t="n">
        <v>190801</v>
      </c>
      <c r="M7850" s="94">
        <f>VLOOKUP($Q7850,매칭테이블!$F:$I,2,0)*K7850</f>
        <v/>
      </c>
      <c r="N7850" s="94">
        <f>M7850-M7850*VLOOKUP($Q7850,매칭테이블!$F:$I,3,0)</f>
        <v/>
      </c>
      <c r="O7850" s="94">
        <f>VLOOKUP($Q7850,매칭테이블!$F:$I,4,0)*K7850</f>
        <v/>
      </c>
      <c r="P7850" s="148">
        <f>M7850/1.1</f>
        <v/>
      </c>
      <c r="Q7850" s="94">
        <f>F7850&amp;E7850&amp;G7850&amp;L7850</f>
        <v/>
      </c>
    </row>
    <row r="7851" customFormat="1" s="94">
      <c r="B7851" s="128" t="n">
        <v>44033</v>
      </c>
      <c r="C7851" s="94">
        <f>TEXT(B7851,"aaa")</f>
        <v/>
      </c>
      <c r="E7851" s="94" t="inlineStr">
        <is>
          <t>클렌징폼</t>
        </is>
      </c>
      <c r="F7851" s="5" t="inlineStr">
        <is>
          <t>카페24</t>
        </is>
      </c>
      <c r="G7851" s="94" t="inlineStr">
        <is>
          <t>클렌징폼 120ml</t>
        </is>
      </c>
      <c r="H7851" s="7" t="n">
        <v>190801</v>
      </c>
      <c r="I7851" s="7" t="n">
        <v>190801</v>
      </c>
      <c r="K7851" s="94" t="n">
        <v>6</v>
      </c>
      <c r="L7851" s="7" t="n">
        <v>190801</v>
      </c>
      <c r="M7851" s="94">
        <f>VLOOKUP($Q7851,매칭테이블!$F:$I,2,0)*K7851</f>
        <v/>
      </c>
      <c r="N7851" s="94">
        <f>M7851-M7851*VLOOKUP($Q7851,매칭테이블!$F:$I,3,0)</f>
        <v/>
      </c>
      <c r="O7851" s="94">
        <f>VLOOKUP($Q7851,매칭테이블!$F:$I,4,0)*K7851</f>
        <v/>
      </c>
      <c r="P7851" s="148">
        <f>M7851/1.1</f>
        <v/>
      </c>
      <c r="Q7851" s="94">
        <f>F7851&amp;E7851&amp;G7851&amp;L7851</f>
        <v/>
      </c>
    </row>
    <row r="7852" customFormat="1" s="94">
      <c r="B7852" s="128" t="n">
        <v>44033</v>
      </c>
      <c r="C7852" s="94">
        <f>TEXT(B7852,"aaa")</f>
        <v/>
      </c>
      <c r="E7852" s="94" t="inlineStr">
        <is>
          <t>클렌징폼</t>
        </is>
      </c>
      <c r="F7852" s="5" t="inlineStr">
        <is>
          <t>카페24</t>
        </is>
      </c>
      <c r="G7852" s="94" t="inlineStr">
        <is>
          <t>클렌징폼 120ml 2set</t>
        </is>
      </c>
      <c r="H7852" s="7" t="n">
        <v>190801</v>
      </c>
      <c r="I7852" s="7" t="n">
        <v>190801</v>
      </c>
      <c r="K7852" s="94" t="n">
        <v>1</v>
      </c>
      <c r="L7852" s="7" t="n">
        <v>190801</v>
      </c>
      <c r="M7852" s="94">
        <f>VLOOKUP($Q7852,매칭테이블!$F:$I,2,0)*K7852</f>
        <v/>
      </c>
      <c r="N7852" s="94">
        <f>M7852-M7852*VLOOKUP($Q7852,매칭테이블!$F:$I,3,0)</f>
        <v/>
      </c>
      <c r="O7852" s="94">
        <f>VLOOKUP($Q7852,매칭테이블!$F:$I,4,0)*K7852</f>
        <v/>
      </c>
      <c r="P7852" s="148">
        <f>M7852/1.1</f>
        <v/>
      </c>
      <c r="Q7852" s="94">
        <f>F7852&amp;E7852&amp;G7852&amp;L7852</f>
        <v/>
      </c>
    </row>
    <row r="7853" customFormat="1" s="94">
      <c r="B7853" s="128" t="n">
        <v>44033</v>
      </c>
      <c r="C7853" s="94">
        <f>TEXT(B7853,"aaa")</f>
        <v/>
      </c>
      <c r="E7853" s="94" t="inlineStr">
        <is>
          <t>클렌징폼</t>
        </is>
      </c>
      <c r="F7853" s="5" t="inlineStr">
        <is>
          <t>카페24</t>
        </is>
      </c>
      <c r="G7853" s="94" t="inlineStr">
        <is>
          <t>클렌징폼 120ml 3set</t>
        </is>
      </c>
      <c r="H7853" s="7" t="n">
        <v>190801</v>
      </c>
      <c r="I7853" s="7" t="n">
        <v>190801</v>
      </c>
      <c r="K7853" s="94" t="n">
        <v>4</v>
      </c>
      <c r="L7853" s="7" t="n">
        <v>190801</v>
      </c>
      <c r="M7853" s="94">
        <f>VLOOKUP($Q7853,매칭테이블!$F:$I,2,0)*K7853</f>
        <v/>
      </c>
      <c r="N7853" s="94">
        <f>M7853-M7853*VLOOKUP($Q7853,매칭테이블!$F:$I,3,0)</f>
        <v/>
      </c>
      <c r="O7853" s="94">
        <f>VLOOKUP($Q7853,매칭테이블!$F:$I,4,0)*K7853</f>
        <v/>
      </c>
      <c r="P7853" s="148">
        <f>M7853/1.1</f>
        <v/>
      </c>
      <c r="Q7853" s="94">
        <f>F7853&amp;E7853&amp;G7853&amp;L7853</f>
        <v/>
      </c>
    </row>
    <row r="7854" customFormat="1" s="94">
      <c r="B7854" s="128" t="n">
        <v>44033</v>
      </c>
      <c r="C7854" s="94">
        <f>TEXT(B7854,"aaa")</f>
        <v/>
      </c>
      <c r="E7854" s="94" t="inlineStr">
        <is>
          <t>토너</t>
        </is>
      </c>
      <c r="F7854" s="5" t="inlineStr">
        <is>
          <t>아누아 CS</t>
        </is>
      </c>
      <c r="G7854" s="94" t="inlineStr">
        <is>
          <t>250ml</t>
        </is>
      </c>
      <c r="H7854" s="7" t="n">
        <v>190801</v>
      </c>
      <c r="I7854" s="7" t="n">
        <v>190801</v>
      </c>
      <c r="K7854" s="94" t="n">
        <v>1</v>
      </c>
      <c r="L7854" s="7" t="n">
        <v>190801</v>
      </c>
      <c r="M7854" s="94">
        <f>VLOOKUP($Q7854,매칭테이블!$F:$I,2,0)*K7854</f>
        <v/>
      </c>
      <c r="N7854" s="94">
        <f>M7854-M7854*VLOOKUP($Q7854,매칭테이블!$F:$I,3,0)</f>
        <v/>
      </c>
      <c r="O7854" s="94">
        <f>VLOOKUP($Q7854,매칭테이블!$F:$I,4,0)*K7854</f>
        <v/>
      </c>
      <c r="P7854" s="148">
        <f>M7854/1.1</f>
        <v/>
      </c>
      <c r="Q7854" s="94">
        <f>F7854&amp;E7854&amp;G7854&amp;L7854</f>
        <v/>
      </c>
    </row>
    <row r="7855" customFormat="1" s="94">
      <c r="B7855" s="128" t="n">
        <v>44033</v>
      </c>
      <c r="C7855" s="94">
        <f>TEXT(B7855,"aaa")</f>
        <v/>
      </c>
      <c r="E7855" s="94" t="inlineStr">
        <is>
          <t>머드크림마스크</t>
        </is>
      </c>
      <c r="F7855" s="5" t="inlineStr">
        <is>
          <t>화해</t>
        </is>
      </c>
      <c r="G7855" s="94" t="inlineStr">
        <is>
          <t>머드크림마스크 100ml</t>
        </is>
      </c>
      <c r="H7855" s="7" t="n">
        <v>190801</v>
      </c>
      <c r="I7855" s="7" t="n">
        <v>190801</v>
      </c>
      <c r="K7855" s="94" t="n">
        <v>1</v>
      </c>
      <c r="L7855" s="7" t="n">
        <v>190801</v>
      </c>
      <c r="M7855" s="94">
        <f>VLOOKUP($Q7855,매칭테이블!$F:$I,2,0)*K7855</f>
        <v/>
      </c>
      <c r="N7855" s="94">
        <f>M7855-M7855*VLOOKUP($Q7855,매칭테이블!$F:$I,3,0)</f>
        <v/>
      </c>
      <c r="O7855" s="94">
        <f>VLOOKUP($Q7855,매칭테이블!$F:$I,4,0)*K7855</f>
        <v/>
      </c>
      <c r="P7855" s="148">
        <f>M7855/1.1</f>
        <v/>
      </c>
      <c r="Q7855" s="94">
        <f>F7855&amp;E7855&amp;G7855&amp;L7855</f>
        <v/>
      </c>
    </row>
    <row r="7856" customFormat="1" s="91">
      <c r="B7856" s="128" t="n">
        <v>44034</v>
      </c>
      <c r="C7856" s="94">
        <f>TEXT(B7856,"aaa")</f>
        <v/>
      </c>
      <c r="E7856" s="91" t="inlineStr">
        <is>
          <t>클렌징폼</t>
        </is>
      </c>
      <c r="F7856" s="14" t="inlineStr">
        <is>
          <t>글로우데이즈 시코르</t>
        </is>
      </c>
      <c r="G7856" s="91" t="inlineStr">
        <is>
          <t>클렌징폼=클렌징폼 120ml</t>
        </is>
      </c>
      <c r="H7856" s="15" t="n">
        <v>190801</v>
      </c>
      <c r="I7856" s="15" t="n">
        <v>190801</v>
      </c>
      <c r="K7856" s="91" t="n">
        <v>10</v>
      </c>
      <c r="L7856" s="15" t="n">
        <v>190801</v>
      </c>
      <c r="M7856" s="91">
        <f>VLOOKUP($Q7856,매칭테이블!$F:$I,2,0)*K7856</f>
        <v/>
      </c>
      <c r="N7856" s="91">
        <f>M7856-M7856*VLOOKUP($Q7856,매칭테이블!$F:$I,3,0)</f>
        <v/>
      </c>
      <c r="O7856" s="91">
        <f>VLOOKUP($Q7856,매칭테이블!$F:$I,4,0)*K7856</f>
        <v/>
      </c>
      <c r="P7856" s="150">
        <f>M7856/1.1</f>
        <v/>
      </c>
      <c r="Q7856" s="91">
        <f>F7856&amp;E7856&amp;G7856&amp;L7856</f>
        <v/>
      </c>
    </row>
    <row r="7857" customFormat="1" s="91">
      <c r="B7857" s="128" t="n">
        <v>44034</v>
      </c>
      <c r="C7857" s="94">
        <f>TEXT(B7857,"aaa")</f>
        <v/>
      </c>
      <c r="E7857" s="91" t="inlineStr">
        <is>
          <t>앰플</t>
        </is>
      </c>
      <c r="F7857" s="14" t="inlineStr">
        <is>
          <t>글로우데이즈 시코르</t>
        </is>
      </c>
      <c r="G7857" s="91" t="inlineStr">
        <is>
          <t>앰플=앰플 30ml</t>
        </is>
      </c>
      <c r="H7857" s="15" t="n">
        <v>190801</v>
      </c>
      <c r="I7857" s="15" t="n">
        <v>190801</v>
      </c>
      <c r="K7857" s="91" t="n">
        <v>20</v>
      </c>
      <c r="L7857" s="15" t="n">
        <v>190801</v>
      </c>
      <c r="M7857" s="91">
        <f>VLOOKUP($Q7857,매칭테이블!$F:$I,2,0)*K7857</f>
        <v/>
      </c>
      <c r="N7857" s="91">
        <f>M7857-M7857*VLOOKUP($Q7857,매칭테이블!$F:$I,3,0)</f>
        <v/>
      </c>
      <c r="O7857" s="91">
        <f>VLOOKUP($Q7857,매칭테이블!$F:$I,4,0)*K7857</f>
        <v/>
      </c>
      <c r="P7857" s="150">
        <f>M7857/1.1</f>
        <v/>
      </c>
      <c r="Q7857" s="91">
        <f>F7857&amp;E7857&amp;G7857&amp;L7857</f>
        <v/>
      </c>
    </row>
    <row r="7858" customFormat="1" s="94">
      <c r="B7858" s="128" t="n">
        <v>44034</v>
      </c>
      <c r="C7858" s="94">
        <f>TEXT(B7858,"aaa")</f>
        <v/>
      </c>
      <c r="E7858" s="94" t="inlineStr">
        <is>
          <t>선크림</t>
        </is>
      </c>
      <c r="F7858" s="5" t="inlineStr">
        <is>
          <t>카페24</t>
        </is>
      </c>
      <c r="G7858" s="94" t="inlineStr">
        <is>
          <t>선크림 50ml</t>
        </is>
      </c>
      <c r="H7858" s="7" t="n">
        <v>190801</v>
      </c>
      <c r="I7858" s="7" t="n">
        <v>190801</v>
      </c>
      <c r="K7858" s="94" t="n">
        <v>9</v>
      </c>
      <c r="L7858" s="7" t="n">
        <v>190801</v>
      </c>
      <c r="M7858" s="94">
        <f>VLOOKUP($Q7858,매칭테이블!$F:$I,2,0)*K7858</f>
        <v/>
      </c>
      <c r="N7858" s="94">
        <f>M7858-M7858*VLOOKUP($Q7858,매칭테이블!$F:$I,3,0)</f>
        <v/>
      </c>
      <c r="O7858" s="94">
        <f>VLOOKUP($Q7858,매칭테이블!$F:$I,4,0)*K7858</f>
        <v/>
      </c>
      <c r="P7858" s="148">
        <f>M7858/1.1</f>
        <v/>
      </c>
      <c r="Q7858" s="94">
        <f>F7858&amp;E7858&amp;G7858&amp;L7858</f>
        <v/>
      </c>
    </row>
    <row r="7859" customFormat="1" s="94">
      <c r="B7859" s="128" t="n">
        <v>44034</v>
      </c>
      <c r="C7859" s="94">
        <f>TEXT(B7859,"aaa")</f>
        <v/>
      </c>
      <c r="E7859" s="94" t="inlineStr">
        <is>
          <t>선크림</t>
        </is>
      </c>
      <c r="F7859" s="5" t="inlineStr">
        <is>
          <t>카페24</t>
        </is>
      </c>
      <c r="G7859" s="94" t="inlineStr">
        <is>
          <t>선크림 50ml  2set</t>
        </is>
      </c>
      <c r="H7859" s="7" t="n">
        <v>190801</v>
      </c>
      <c r="I7859" s="7" t="n">
        <v>190801</v>
      </c>
      <c r="K7859" s="94" t="n">
        <v>5</v>
      </c>
      <c r="L7859" s="7" t="n">
        <v>190801</v>
      </c>
      <c r="M7859" s="94">
        <f>VLOOKUP($Q7859,매칭테이블!$F:$I,2,0)*K7859</f>
        <v/>
      </c>
      <c r="N7859" s="94">
        <f>M7859-M7859*VLOOKUP($Q7859,매칭테이블!$F:$I,3,0)</f>
        <v/>
      </c>
      <c r="O7859" s="94">
        <f>VLOOKUP($Q7859,매칭테이블!$F:$I,4,0)*K7859</f>
        <v/>
      </c>
      <c r="P7859" s="148">
        <f>M7859/1.1</f>
        <v/>
      </c>
      <c r="Q7859" s="94">
        <f>F7859&amp;E7859&amp;G7859&amp;L7859</f>
        <v/>
      </c>
    </row>
    <row r="7860" customFormat="1" s="94">
      <c r="B7860" s="128" t="n">
        <v>44034</v>
      </c>
      <c r="C7860" s="94">
        <f>TEXT(B7860,"aaa")</f>
        <v/>
      </c>
      <c r="E7860" s="94" t="inlineStr">
        <is>
          <t>클렌징폼</t>
        </is>
      </c>
      <c r="F7860" s="5" t="inlineStr">
        <is>
          <t>카페24</t>
        </is>
      </c>
      <c r="G7860" s="94" t="inlineStr">
        <is>
          <t>클렌징폼 120ml(선크림할인)</t>
        </is>
      </c>
      <c r="H7860" s="7" t="n">
        <v>190801</v>
      </c>
      <c r="I7860" s="7" t="n">
        <v>190801</v>
      </c>
      <c r="K7860" s="94" t="n">
        <v>3</v>
      </c>
      <c r="L7860" s="7" t="n">
        <v>190801</v>
      </c>
      <c r="M7860" s="94">
        <f>VLOOKUP($Q7860,매칭테이블!$F:$I,2,0)*K7860</f>
        <v/>
      </c>
      <c r="N7860" s="94">
        <f>M7860-M7860*VLOOKUP($Q7860,매칭테이블!$F:$I,3,0)</f>
        <v/>
      </c>
      <c r="O7860" s="94">
        <f>VLOOKUP($Q7860,매칭테이블!$F:$I,4,0)*K7860</f>
        <v/>
      </c>
      <c r="P7860" s="148">
        <f>M7860/1.1</f>
        <v/>
      </c>
      <c r="Q7860" s="94">
        <f>F7860&amp;E7860&amp;G7860&amp;L7860</f>
        <v/>
      </c>
    </row>
    <row r="7861" customFormat="1" s="94">
      <c r="B7861" s="128" t="n">
        <v>44034</v>
      </c>
      <c r="C7861" s="94">
        <f>TEXT(B7861,"aaa")</f>
        <v/>
      </c>
      <c r="E7861" s="94" t="inlineStr">
        <is>
          <t>여름 한정 진정세트</t>
        </is>
      </c>
      <c r="F7861" s="5" t="inlineStr">
        <is>
          <t>카페24</t>
        </is>
      </c>
      <c r="G7861" s="94" t="inlineStr">
        <is>
          <t>여름 한정 진정세트</t>
        </is>
      </c>
      <c r="H7861" s="7" t="n">
        <v>190801</v>
      </c>
      <c r="I7861" s="7" t="n">
        <v>190801</v>
      </c>
      <c r="K7861" s="94" t="n">
        <v>7</v>
      </c>
      <c r="L7861" s="7" t="n">
        <v>190801</v>
      </c>
      <c r="M7861" s="94">
        <f>VLOOKUP($Q7861,매칭테이블!$F:$I,2,0)*K7861</f>
        <v/>
      </c>
      <c r="N7861" s="94">
        <f>M7861-M7861*VLOOKUP($Q7861,매칭테이블!$F:$I,3,0)</f>
        <v/>
      </c>
      <c r="O7861" s="94">
        <f>VLOOKUP($Q7861,매칭테이블!$F:$I,4,0)*K7861</f>
        <v/>
      </c>
      <c r="P7861" s="148">
        <f>M7861/1.1</f>
        <v/>
      </c>
      <c r="Q7861" s="94">
        <f>F7861&amp;E7861&amp;G7861&amp;L7861</f>
        <v/>
      </c>
    </row>
    <row r="7862" customFormat="1" s="94">
      <c r="B7862" s="128" t="n">
        <v>44034</v>
      </c>
      <c r="C7862" s="94">
        <f>TEXT(B7862,"aaa")</f>
        <v/>
      </c>
      <c r="E7862" s="94" t="inlineStr">
        <is>
          <t>여름 한정 진정세트</t>
        </is>
      </c>
      <c r="F7862" s="5" t="inlineStr">
        <is>
          <t>카페24</t>
        </is>
      </c>
      <c r="G7862" s="94" t="inlineStr">
        <is>
          <t>여름 한정 진정세트 (대용량)</t>
        </is>
      </c>
      <c r="H7862" s="7" t="n">
        <v>190801</v>
      </c>
      <c r="I7862" s="7" t="n">
        <v>190801</v>
      </c>
      <c r="K7862" s="94" t="n">
        <v>7</v>
      </c>
      <c r="L7862" s="7" t="n">
        <v>190801</v>
      </c>
      <c r="M7862" s="94">
        <f>VLOOKUP($Q7862,매칭테이블!$F:$I,2,0)*K7862</f>
        <v/>
      </c>
      <c r="N7862" s="94">
        <f>M7862-M7862*VLOOKUP($Q7862,매칭테이블!$F:$I,3,0)</f>
        <v/>
      </c>
      <c r="O7862" s="94">
        <f>VLOOKUP($Q7862,매칭테이블!$F:$I,4,0)*K7862</f>
        <v/>
      </c>
      <c r="P7862" s="148">
        <f>M7862/1.1</f>
        <v/>
      </c>
      <c r="Q7862" s="94">
        <f>F7862&amp;E7862&amp;G7862&amp;L7862</f>
        <v/>
      </c>
    </row>
    <row r="7863" customFormat="1" s="94">
      <c r="B7863" s="128" t="n">
        <v>44034</v>
      </c>
      <c r="C7863" s="94">
        <f>TEXT(B7863,"aaa")</f>
        <v/>
      </c>
      <c r="E7863" s="94" t="inlineStr">
        <is>
          <t>머드크림마스크</t>
        </is>
      </c>
      <c r="F7863" s="5" t="inlineStr">
        <is>
          <t>카페24</t>
        </is>
      </c>
      <c r="G7863" s="94" t="inlineStr">
        <is>
          <t>머드크림마스크 100ml</t>
        </is>
      </c>
      <c r="H7863" s="7" t="n">
        <v>190801</v>
      </c>
      <c r="I7863" s="7" t="n">
        <v>190801</v>
      </c>
      <c r="K7863" s="94" t="n">
        <v>3</v>
      </c>
      <c r="L7863" s="7" t="n">
        <v>190801</v>
      </c>
      <c r="M7863" s="94">
        <f>VLOOKUP($Q7863,매칭테이블!$F:$I,2,0)*K7863</f>
        <v/>
      </c>
      <c r="N7863" s="94">
        <f>M7863-M7863*VLOOKUP($Q7863,매칭테이블!$F:$I,3,0)</f>
        <v/>
      </c>
      <c r="O7863" s="94">
        <f>VLOOKUP($Q7863,매칭테이블!$F:$I,4,0)*K7863</f>
        <v/>
      </c>
      <c r="P7863" s="148">
        <f>M7863/1.1</f>
        <v/>
      </c>
      <c r="Q7863" s="94">
        <f>F7863&amp;E7863&amp;G7863&amp;L7863</f>
        <v/>
      </c>
    </row>
    <row r="7864" customFormat="1" s="94">
      <c r="B7864" s="128" t="n">
        <v>44034</v>
      </c>
      <c r="C7864" s="94">
        <f>TEXT(B7864,"aaa")</f>
        <v/>
      </c>
      <c r="E7864" s="94" t="inlineStr">
        <is>
          <t>머드크림마스크</t>
        </is>
      </c>
      <c r="F7864" s="5" t="inlineStr">
        <is>
          <t>카페24</t>
        </is>
      </c>
      <c r="G7864" s="94" t="inlineStr">
        <is>
          <t>머드크림마스크 100ml 2set</t>
        </is>
      </c>
      <c r="H7864" s="7" t="n">
        <v>190801</v>
      </c>
      <c r="I7864" s="7" t="n">
        <v>190801</v>
      </c>
      <c r="K7864" s="94" t="n">
        <v>1</v>
      </c>
      <c r="L7864" s="7" t="n">
        <v>190801</v>
      </c>
      <c r="M7864" s="94">
        <f>VLOOKUP($Q7864,매칭테이블!$F:$I,2,0)*K7864</f>
        <v/>
      </c>
      <c r="N7864" s="94">
        <f>M7864-M7864*VLOOKUP($Q7864,매칭테이블!$F:$I,3,0)</f>
        <v/>
      </c>
      <c r="O7864" s="94">
        <f>VLOOKUP($Q7864,매칭테이블!$F:$I,4,0)*K7864</f>
        <v/>
      </c>
      <c r="P7864" s="148">
        <f>M7864/1.1</f>
        <v/>
      </c>
      <c r="Q7864" s="94">
        <f>F7864&amp;E7864&amp;G7864&amp;L7864</f>
        <v/>
      </c>
    </row>
    <row r="7865" customFormat="1" s="94">
      <c r="B7865" s="128" t="n">
        <v>44034</v>
      </c>
      <c r="C7865" s="94">
        <f>TEXT(B7865,"aaa")</f>
        <v/>
      </c>
      <c r="E7865" s="94" t="inlineStr">
        <is>
          <t>토너</t>
        </is>
      </c>
      <c r="F7865" s="5" t="inlineStr">
        <is>
          <t>카페24</t>
        </is>
      </c>
      <c r="G7865" s="94" t="inlineStr">
        <is>
          <t>250ml</t>
        </is>
      </c>
      <c r="H7865" s="7" t="n">
        <v>190801</v>
      </c>
      <c r="I7865" s="7" t="n">
        <v>190801</v>
      </c>
      <c r="K7865" s="94" t="n">
        <v>78</v>
      </c>
      <c r="L7865" s="7" t="n">
        <v>190801</v>
      </c>
      <c r="M7865" s="94">
        <f>VLOOKUP($Q7865,매칭테이블!$F:$I,2,0)*K7865</f>
        <v/>
      </c>
      <c r="N7865" s="94">
        <f>M7865-M7865*VLOOKUP($Q7865,매칭테이블!$F:$I,3,0)</f>
        <v/>
      </c>
      <c r="O7865" s="94">
        <f>VLOOKUP($Q7865,매칭테이블!$F:$I,4,0)*K7865</f>
        <v/>
      </c>
      <c r="P7865" s="148">
        <f>M7865/1.1</f>
        <v/>
      </c>
      <c r="Q7865" s="94">
        <f>F7865&amp;E7865&amp;G7865&amp;L7865</f>
        <v/>
      </c>
    </row>
    <row r="7866" customFormat="1" s="94">
      <c r="B7866" s="128" t="n">
        <v>44034</v>
      </c>
      <c r="C7866" s="94">
        <f>TEXT(B7866,"aaa")</f>
        <v/>
      </c>
      <c r="E7866" s="94" t="inlineStr">
        <is>
          <t>토너</t>
        </is>
      </c>
      <c r="F7866" s="5" t="inlineStr">
        <is>
          <t>카페24</t>
        </is>
      </c>
      <c r="G7866" s="94" t="inlineStr">
        <is>
          <t>250ml 2set</t>
        </is>
      </c>
      <c r="H7866" s="7" t="n">
        <v>190801</v>
      </c>
      <c r="I7866" s="7" t="n">
        <v>190801</v>
      </c>
      <c r="K7866" s="94" t="n">
        <v>50</v>
      </c>
      <c r="L7866" s="7" t="n">
        <v>190801</v>
      </c>
      <c r="M7866" s="94">
        <f>VLOOKUP($Q7866,매칭테이블!$F:$I,2,0)*K7866</f>
        <v/>
      </c>
      <c r="N7866" s="94">
        <f>M7866-M7866*VLOOKUP($Q7866,매칭테이블!$F:$I,3,0)</f>
        <v/>
      </c>
      <c r="O7866" s="94">
        <f>VLOOKUP($Q7866,매칭테이블!$F:$I,4,0)*K7866</f>
        <v/>
      </c>
      <c r="P7866" s="148">
        <f>M7866/1.1</f>
        <v/>
      </c>
      <c r="Q7866" s="94">
        <f>F7866&amp;E7866&amp;G7866&amp;L7866</f>
        <v/>
      </c>
    </row>
    <row r="7867" customFormat="1" s="94">
      <c r="B7867" s="128" t="n">
        <v>44034</v>
      </c>
      <c r="C7867" s="94">
        <f>TEXT(B7867,"aaa")</f>
        <v/>
      </c>
      <c r="E7867" s="94" t="inlineStr">
        <is>
          <t>토너</t>
        </is>
      </c>
      <c r="F7867" s="5" t="inlineStr">
        <is>
          <t>카페24</t>
        </is>
      </c>
      <c r="G7867" s="94" t="inlineStr">
        <is>
          <t>500ml</t>
        </is>
      </c>
      <c r="H7867" s="7" t="n">
        <v>190801</v>
      </c>
      <c r="I7867" s="7" t="n">
        <v>190801</v>
      </c>
      <c r="K7867" s="94" t="n">
        <v>61</v>
      </c>
      <c r="L7867" s="7" t="n">
        <v>190801</v>
      </c>
      <c r="M7867" s="94">
        <f>VLOOKUP($Q7867,매칭테이블!$F:$I,2,0)*K7867</f>
        <v/>
      </c>
      <c r="N7867" s="94">
        <f>M7867-M7867*VLOOKUP($Q7867,매칭테이블!$F:$I,3,0)</f>
        <v/>
      </c>
      <c r="O7867" s="94">
        <f>VLOOKUP($Q7867,매칭테이블!$F:$I,4,0)*K7867</f>
        <v/>
      </c>
      <c r="P7867" s="148">
        <f>M7867/1.1</f>
        <v/>
      </c>
      <c r="Q7867" s="94">
        <f>F7867&amp;E7867&amp;G7867&amp;L7867</f>
        <v/>
      </c>
    </row>
    <row r="7868" customFormat="1" s="94">
      <c r="B7868" s="128" t="n">
        <v>44034</v>
      </c>
      <c r="C7868" s="94">
        <f>TEXT(B7868,"aaa")</f>
        <v/>
      </c>
      <c r="E7868" s="94" t="inlineStr">
        <is>
          <t>토너</t>
        </is>
      </c>
      <c r="F7868" s="5" t="inlineStr">
        <is>
          <t>카페24</t>
        </is>
      </c>
      <c r="G7868" s="94" t="inlineStr">
        <is>
          <t>스킨팩 화장솜 60P</t>
        </is>
      </c>
      <c r="H7868" s="7" t="n">
        <v>190801</v>
      </c>
      <c r="I7868" s="7" t="n">
        <v>190801</v>
      </c>
      <c r="K7868" s="94" t="n">
        <v>72</v>
      </c>
      <c r="L7868" s="7" t="n">
        <v>190801</v>
      </c>
      <c r="M7868" s="94">
        <f>VLOOKUP($Q7868,매칭테이블!$F:$I,2,0)*K7868</f>
        <v/>
      </c>
      <c r="N7868" s="94">
        <f>M7868-M7868*VLOOKUP($Q7868,매칭테이블!$F:$I,3,0)</f>
        <v/>
      </c>
      <c r="O7868" s="94">
        <f>VLOOKUP($Q7868,매칭테이블!$F:$I,4,0)*K7868</f>
        <v/>
      </c>
      <c r="P7868" s="148">
        <f>M7868/1.1</f>
        <v/>
      </c>
      <c r="Q7868" s="94">
        <f>F7868&amp;E7868&amp;G7868&amp;L7868</f>
        <v/>
      </c>
    </row>
    <row r="7869" customFormat="1" s="94">
      <c r="B7869" s="128" t="n">
        <v>44034</v>
      </c>
      <c r="C7869" s="94">
        <f>TEXT(B7869,"aaa")</f>
        <v/>
      </c>
      <c r="E7869" s="94" t="inlineStr">
        <is>
          <t>앰플</t>
        </is>
      </c>
      <c r="F7869" s="5" t="inlineStr">
        <is>
          <t>카페24</t>
        </is>
      </c>
      <c r="G7869" s="94" t="inlineStr">
        <is>
          <t>앰플 30ml</t>
        </is>
      </c>
      <c r="H7869" s="7" t="n">
        <v>190801</v>
      </c>
      <c r="I7869" s="7" t="n">
        <v>190801</v>
      </c>
      <c r="K7869" s="94" t="n">
        <v>17</v>
      </c>
      <c r="L7869" s="7" t="n">
        <v>190801</v>
      </c>
      <c r="M7869" s="94">
        <f>VLOOKUP($Q7869,매칭테이블!$F:$I,2,0)*K7869</f>
        <v/>
      </c>
      <c r="N7869" s="94">
        <f>M7869-M7869*VLOOKUP($Q7869,매칭테이블!$F:$I,3,0)</f>
        <v/>
      </c>
      <c r="O7869" s="94">
        <f>VLOOKUP($Q7869,매칭테이블!$F:$I,4,0)*K7869</f>
        <v/>
      </c>
      <c r="P7869" s="148">
        <f>M7869/1.1</f>
        <v/>
      </c>
      <c r="Q7869" s="94">
        <f>F7869&amp;E7869&amp;G7869&amp;L7869</f>
        <v/>
      </c>
    </row>
    <row r="7870" customFormat="1" s="94">
      <c r="B7870" s="128" t="n">
        <v>44034</v>
      </c>
      <c r="C7870" s="94">
        <f>TEXT(B7870,"aaa")</f>
        <v/>
      </c>
      <c r="E7870" s="94" t="inlineStr">
        <is>
          <t>수딩크림</t>
        </is>
      </c>
      <c r="F7870" s="5" t="inlineStr">
        <is>
          <t>카페24</t>
        </is>
      </c>
      <c r="G7870" s="94" t="inlineStr">
        <is>
          <t>수딩크림 100ml</t>
        </is>
      </c>
      <c r="H7870" s="7" t="n">
        <v>190801</v>
      </c>
      <c r="I7870" s="7" t="n">
        <v>190801</v>
      </c>
      <c r="K7870" s="94" t="n">
        <v>8</v>
      </c>
      <c r="L7870" s="7" t="n">
        <v>190801</v>
      </c>
      <c r="M7870" s="94">
        <f>VLOOKUP($Q7870,매칭테이블!$F:$I,2,0)*K7870</f>
        <v/>
      </c>
      <c r="N7870" s="94">
        <f>M7870-M7870*VLOOKUP($Q7870,매칭테이블!$F:$I,3,0)</f>
        <v/>
      </c>
      <c r="O7870" s="94">
        <f>VLOOKUP($Q7870,매칭테이블!$F:$I,4,0)*K7870</f>
        <v/>
      </c>
      <c r="P7870" s="148">
        <f>M7870/1.1</f>
        <v/>
      </c>
      <c r="Q7870" s="94">
        <f>F7870&amp;E7870&amp;G7870&amp;L7870</f>
        <v/>
      </c>
    </row>
    <row r="7871" customFormat="1" s="94">
      <c r="B7871" s="128" t="n">
        <v>44034</v>
      </c>
      <c r="C7871" s="94">
        <f>TEXT(B7871,"aaa")</f>
        <v/>
      </c>
      <c r="E7871" s="94" t="inlineStr">
        <is>
          <t>클렌징폼</t>
        </is>
      </c>
      <c r="F7871" s="5" t="inlineStr">
        <is>
          <t>카페24</t>
        </is>
      </c>
      <c r="G7871" s="94" t="inlineStr">
        <is>
          <t>클렌징폼 120ml</t>
        </is>
      </c>
      <c r="H7871" s="7" t="n">
        <v>190801</v>
      </c>
      <c r="I7871" s="7" t="n">
        <v>190801</v>
      </c>
      <c r="K7871" s="94" t="n">
        <v>1</v>
      </c>
      <c r="L7871" s="7" t="n">
        <v>190801</v>
      </c>
      <c r="M7871" s="94">
        <f>VLOOKUP($Q7871,매칭테이블!$F:$I,2,0)*K7871</f>
        <v/>
      </c>
      <c r="N7871" s="94">
        <f>M7871-M7871*VLOOKUP($Q7871,매칭테이블!$F:$I,3,0)</f>
        <v/>
      </c>
      <c r="O7871" s="94">
        <f>VLOOKUP($Q7871,매칭테이블!$F:$I,4,0)*K7871</f>
        <v/>
      </c>
      <c r="P7871" s="148">
        <f>M7871/1.1</f>
        <v/>
      </c>
      <c r="Q7871" s="94">
        <f>F7871&amp;E7871&amp;G7871&amp;L7871</f>
        <v/>
      </c>
    </row>
    <row r="7872" customFormat="1" s="94">
      <c r="B7872" s="128" t="n">
        <v>44034</v>
      </c>
      <c r="C7872" s="94">
        <f>TEXT(B7872,"aaa")</f>
        <v/>
      </c>
      <c r="E7872" s="94" t="inlineStr">
        <is>
          <t>클렌징폼</t>
        </is>
      </c>
      <c r="F7872" s="5" t="inlineStr">
        <is>
          <t>카페24</t>
        </is>
      </c>
      <c r="G7872" s="94" t="inlineStr">
        <is>
          <t>클렌징폼 120ml 3set</t>
        </is>
      </c>
      <c r="H7872" s="7" t="n">
        <v>190801</v>
      </c>
      <c r="I7872" s="7" t="n">
        <v>190801</v>
      </c>
      <c r="K7872" s="94" t="n">
        <v>1</v>
      </c>
      <c r="L7872" s="7" t="n">
        <v>190801</v>
      </c>
      <c r="M7872" s="94">
        <f>VLOOKUP($Q7872,매칭테이블!$F:$I,2,0)*K7872</f>
        <v/>
      </c>
      <c r="N7872" s="94">
        <f>M7872-M7872*VLOOKUP($Q7872,매칭테이블!$F:$I,3,0)</f>
        <v/>
      </c>
      <c r="O7872" s="94">
        <f>VLOOKUP($Q7872,매칭테이블!$F:$I,4,0)*K7872</f>
        <v/>
      </c>
      <c r="P7872" s="148">
        <f>M7872/1.1</f>
        <v/>
      </c>
      <c r="Q7872" s="94">
        <f>F7872&amp;E7872&amp;G7872&amp;L7872</f>
        <v/>
      </c>
    </row>
    <row r="7873" customFormat="1" s="94">
      <c r="B7873" s="128" t="n">
        <v>44034</v>
      </c>
      <c r="C7873" s="94">
        <f>TEXT(B7873,"aaa")</f>
        <v/>
      </c>
      <c r="E7873" s="94" t="inlineStr">
        <is>
          <t>토너</t>
        </is>
      </c>
      <c r="F7873" s="5" t="inlineStr">
        <is>
          <t>아누아 CS</t>
        </is>
      </c>
      <c r="G7873" s="94" t="inlineStr">
        <is>
          <t>250ml</t>
        </is>
      </c>
      <c r="H7873" s="7" t="n">
        <v>190801</v>
      </c>
      <c r="I7873" s="7" t="n">
        <v>190801</v>
      </c>
      <c r="K7873" s="94" t="n">
        <v>2</v>
      </c>
      <c r="L7873" s="7" t="n">
        <v>190801</v>
      </c>
      <c r="M7873" s="94">
        <f>VLOOKUP($Q7873,매칭테이블!$F:$I,2,0)*K7873</f>
        <v/>
      </c>
      <c r="N7873" s="94">
        <f>M7873-M7873*VLOOKUP($Q7873,매칭테이블!$F:$I,3,0)</f>
        <v/>
      </c>
      <c r="O7873" s="94">
        <f>VLOOKUP($Q7873,매칭테이블!$F:$I,4,0)*K7873</f>
        <v/>
      </c>
      <c r="P7873" s="148">
        <f>M7873/1.1</f>
        <v/>
      </c>
      <c r="Q7873" s="94">
        <f>F7873&amp;E7873&amp;G7873&amp;L7873</f>
        <v/>
      </c>
    </row>
    <row r="7874" customFormat="1" s="94">
      <c r="B7874" s="128" t="n">
        <v>44034</v>
      </c>
      <c r="C7874" s="94">
        <f>TEXT(B7874,"aaa")</f>
        <v/>
      </c>
      <c r="E7874" s="94" t="inlineStr">
        <is>
          <t>화장솜</t>
        </is>
      </c>
      <c r="F7874" s="5" t="inlineStr">
        <is>
          <t>아누아 CS</t>
        </is>
      </c>
      <c r="G7874" s="94" t="inlineStr">
        <is>
          <t>스킨팩 화장솜 60P</t>
        </is>
      </c>
      <c r="H7874" s="7" t="n">
        <v>190801</v>
      </c>
      <c r="I7874" s="7" t="n">
        <v>190801</v>
      </c>
      <c r="K7874" s="94" t="n">
        <v>305</v>
      </c>
      <c r="L7874" s="7" t="n">
        <v>190801</v>
      </c>
      <c r="M7874" s="94">
        <f>VLOOKUP($Q7874,매칭테이블!$F:$I,2,0)*K7874</f>
        <v/>
      </c>
      <c r="N7874" s="94">
        <f>M7874-M7874*VLOOKUP($Q7874,매칭테이블!$F:$I,3,0)</f>
        <v/>
      </c>
      <c r="O7874" s="94">
        <f>VLOOKUP($Q7874,매칭테이블!$F:$I,4,0)*K7874</f>
        <v/>
      </c>
      <c r="P7874" s="148">
        <f>M7874/1.1</f>
        <v/>
      </c>
      <c r="Q7874" s="94">
        <f>F7874&amp;E7874&amp;G7874&amp;L7874</f>
        <v/>
      </c>
    </row>
    <row r="7875" customFormat="1" s="94">
      <c r="B7875" s="128" t="n">
        <v>44034</v>
      </c>
      <c r="C7875" s="94">
        <f>TEXT(B7875,"aaa")</f>
        <v/>
      </c>
      <c r="E7875" s="94" t="inlineStr">
        <is>
          <t>토너</t>
        </is>
      </c>
      <c r="F7875" s="5" t="inlineStr">
        <is>
          <t>큐텐재팬</t>
        </is>
      </c>
      <c r="G7875" s="94" t="inlineStr">
        <is>
          <t>250ml</t>
        </is>
      </c>
      <c r="H7875" s="7" t="n">
        <v>190801</v>
      </c>
      <c r="I7875" s="7" t="n">
        <v>190801</v>
      </c>
      <c r="K7875" s="94" t="n">
        <v>22</v>
      </c>
      <c r="L7875" s="7" t="n">
        <v>190801</v>
      </c>
      <c r="M7875" s="94">
        <f>VLOOKUP($Q7875,매칭테이블!$F:$I,2,0)*K7875</f>
        <v/>
      </c>
      <c r="N7875" s="94">
        <f>M7875-M7875*VLOOKUP($Q7875,매칭테이블!$F:$I,3,0)</f>
        <v/>
      </c>
      <c r="O7875" s="94">
        <f>VLOOKUP($Q7875,매칭테이블!$F:$I,4,0)*K7875</f>
        <v/>
      </c>
      <c r="P7875" s="148">
        <f>M7875/1.1</f>
        <v/>
      </c>
      <c r="Q7875" s="94">
        <f>F7875&amp;E7875&amp;G7875&amp;L7875</f>
        <v/>
      </c>
    </row>
    <row r="7876" customFormat="1" s="94">
      <c r="B7876" s="128" t="n">
        <v>44034</v>
      </c>
      <c r="C7876" s="94">
        <f>TEXT(B7876,"aaa")</f>
        <v/>
      </c>
      <c r="E7876" s="94" t="inlineStr">
        <is>
          <t>토너</t>
        </is>
      </c>
      <c r="F7876" s="5" t="inlineStr">
        <is>
          <t>큐텐재팬</t>
        </is>
      </c>
      <c r="G7876" s="94" t="inlineStr">
        <is>
          <t>250ml 2set</t>
        </is>
      </c>
      <c r="H7876" s="7" t="n">
        <v>190801</v>
      </c>
      <c r="I7876" s="7" t="n">
        <v>190801</v>
      </c>
      <c r="K7876" s="94" t="n">
        <v>9</v>
      </c>
      <c r="L7876" s="7" t="n">
        <v>190801</v>
      </c>
      <c r="M7876" s="94">
        <f>VLOOKUP($Q7876,매칭테이블!$F:$I,2,0)*K7876</f>
        <v/>
      </c>
      <c r="N7876" s="94">
        <f>M7876-M7876*VLOOKUP($Q7876,매칭테이블!$F:$I,3,0)</f>
        <v/>
      </c>
      <c r="O7876" s="94">
        <f>VLOOKUP($Q7876,매칭테이블!$F:$I,4,0)*K7876</f>
        <v/>
      </c>
      <c r="P7876" s="148">
        <f>M7876/1.1</f>
        <v/>
      </c>
      <c r="Q7876" s="94">
        <f>F7876&amp;E7876&amp;G7876&amp;L7876</f>
        <v/>
      </c>
    </row>
    <row r="7877" customFormat="1" s="94">
      <c r="B7877" s="128" t="n">
        <v>44034</v>
      </c>
      <c r="C7877" s="94">
        <f>TEXT(B7877,"aaa")</f>
        <v/>
      </c>
      <c r="E7877" s="94" t="inlineStr">
        <is>
          <t>앰플</t>
        </is>
      </c>
      <c r="F7877" s="5" t="inlineStr">
        <is>
          <t>큐텐재팬</t>
        </is>
      </c>
      <c r="G7877" s="94" t="inlineStr">
        <is>
          <t>앰플 30ml</t>
        </is>
      </c>
      <c r="H7877" s="7" t="n">
        <v>190801</v>
      </c>
      <c r="I7877" s="7" t="n">
        <v>190801</v>
      </c>
      <c r="K7877" s="94" t="n">
        <v>5</v>
      </c>
      <c r="L7877" s="7" t="n">
        <v>190801</v>
      </c>
      <c r="M7877" s="94">
        <f>VLOOKUP($Q7877,매칭테이블!$F:$I,2,0)*K7877</f>
        <v/>
      </c>
      <c r="N7877" s="94">
        <f>M7877-M7877*VLOOKUP($Q7877,매칭테이블!$F:$I,3,0)</f>
        <v/>
      </c>
      <c r="O7877" s="94">
        <f>VLOOKUP($Q7877,매칭테이블!$F:$I,4,0)*K7877</f>
        <v/>
      </c>
      <c r="P7877" s="148">
        <f>M7877/1.1</f>
        <v/>
      </c>
      <c r="Q7877" s="94">
        <f>F7877&amp;E7877&amp;G7877&amp;L7877</f>
        <v/>
      </c>
    </row>
    <row r="7878" customFormat="1" s="94">
      <c r="B7878" s="128" t="n">
        <v>44034</v>
      </c>
      <c r="C7878" s="94">
        <f>TEXT(B7878,"aaa")</f>
        <v/>
      </c>
      <c r="E7878" s="94" t="inlineStr">
        <is>
          <t>수딩크림</t>
        </is>
      </c>
      <c r="F7878" s="5" t="inlineStr">
        <is>
          <t>큐텐재팬</t>
        </is>
      </c>
      <c r="G7878" s="94" t="inlineStr">
        <is>
          <t>수딩크림 100ml</t>
        </is>
      </c>
      <c r="H7878" s="7" t="n">
        <v>190801</v>
      </c>
      <c r="I7878" s="7" t="n">
        <v>190801</v>
      </c>
      <c r="K7878" s="94" t="n">
        <v>2</v>
      </c>
      <c r="L7878" s="7" t="n">
        <v>190801</v>
      </c>
      <c r="M7878" s="94">
        <f>VLOOKUP($Q7878,매칭테이블!$F:$I,2,0)*K7878</f>
        <v/>
      </c>
      <c r="N7878" s="94">
        <f>M7878-M7878*VLOOKUP($Q7878,매칭테이블!$F:$I,3,0)</f>
        <v/>
      </c>
      <c r="O7878" s="94">
        <f>VLOOKUP($Q7878,매칭테이블!$F:$I,4,0)*K7878</f>
        <v/>
      </c>
      <c r="P7878" s="148">
        <f>M7878/1.1</f>
        <v/>
      </c>
      <c r="Q7878" s="94">
        <f>F7878&amp;E7878&amp;G7878&amp;L7878</f>
        <v/>
      </c>
    </row>
    <row r="7879" customFormat="1" s="94">
      <c r="B7879" s="128" t="n">
        <v>44034</v>
      </c>
      <c r="C7879" s="94">
        <f>TEXT(B7879,"aaa")</f>
        <v/>
      </c>
      <c r="E7879" s="94" t="inlineStr">
        <is>
          <t>수딩크림</t>
        </is>
      </c>
      <c r="F7879" s="5" t="inlineStr">
        <is>
          <t>쇼피태국</t>
        </is>
      </c>
      <c r="G7879" s="94" t="inlineStr">
        <is>
          <t>수딩크림 100ml</t>
        </is>
      </c>
      <c r="H7879" s="7" t="n">
        <v>190801</v>
      </c>
      <c r="I7879" s="7" t="n">
        <v>190801</v>
      </c>
      <c r="K7879" s="94" t="n">
        <v>1</v>
      </c>
      <c r="L7879" s="7" t="n">
        <v>190801</v>
      </c>
      <c r="M7879" s="94">
        <f>VLOOKUP($Q7879,매칭테이블!$F:$I,2,0)*K7879</f>
        <v/>
      </c>
      <c r="N7879" s="94">
        <f>M7879-M7879*VLOOKUP($Q7879,매칭테이블!$F:$I,3,0)</f>
        <v/>
      </c>
      <c r="O7879" s="94">
        <f>VLOOKUP($Q7879,매칭테이블!$F:$I,4,0)*K7879</f>
        <v/>
      </c>
      <c r="P7879" s="148">
        <f>M7879/1.1</f>
        <v/>
      </c>
      <c r="Q7879" s="94">
        <f>F7879&amp;E7879&amp;G7879&amp;L7879</f>
        <v/>
      </c>
    </row>
    <row r="7880" customFormat="1" s="94">
      <c r="B7880" s="128" t="n">
        <v>44034</v>
      </c>
      <c r="C7880" s="94">
        <f>TEXT(B7880,"aaa")</f>
        <v/>
      </c>
      <c r="E7880" s="94" t="inlineStr">
        <is>
          <t>앰플</t>
        </is>
      </c>
      <c r="F7880" s="5" t="inlineStr">
        <is>
          <t>쇼피태국</t>
        </is>
      </c>
      <c r="G7880" s="94" t="inlineStr">
        <is>
          <t>앰플 30ml</t>
        </is>
      </c>
      <c r="H7880" s="7" t="n">
        <v>190801</v>
      </c>
      <c r="I7880" s="7" t="n">
        <v>190801</v>
      </c>
      <c r="K7880" s="94" t="n">
        <v>1</v>
      </c>
      <c r="L7880" s="7" t="n">
        <v>190801</v>
      </c>
      <c r="M7880" s="94">
        <f>VLOOKUP($Q7880,매칭테이블!$F:$I,2,0)*K7880</f>
        <v/>
      </c>
      <c r="N7880" s="94">
        <f>M7880-M7880*VLOOKUP($Q7880,매칭테이블!$F:$I,3,0)</f>
        <v/>
      </c>
      <c r="O7880" s="94">
        <f>VLOOKUP($Q7880,매칭테이블!$F:$I,4,0)*K7880</f>
        <v/>
      </c>
      <c r="P7880" s="148">
        <f>M7880/1.1</f>
        <v/>
      </c>
      <c r="Q7880" s="94">
        <f>F7880&amp;E7880&amp;G7880&amp;L7880</f>
        <v/>
      </c>
    </row>
    <row r="7881" customFormat="1" s="94">
      <c r="B7881" s="128" t="n">
        <v>44034</v>
      </c>
      <c r="C7881" s="94">
        <f>TEXT(B7881,"aaa")</f>
        <v/>
      </c>
      <c r="E7881" s="94" t="inlineStr">
        <is>
          <t>토너</t>
        </is>
      </c>
      <c r="F7881" s="5" t="inlineStr">
        <is>
          <t>큐텐싱가폴</t>
        </is>
      </c>
      <c r="G7881" s="94" t="inlineStr">
        <is>
          <t>500ml</t>
        </is>
      </c>
      <c r="H7881" s="7" t="n">
        <v>190801</v>
      </c>
      <c r="I7881" s="7" t="n">
        <v>190801</v>
      </c>
      <c r="K7881" s="94" t="n">
        <v>1</v>
      </c>
      <c r="L7881" s="7" t="n">
        <v>190801</v>
      </c>
      <c r="M7881" s="94">
        <f>VLOOKUP($Q7881,매칭테이블!$F:$I,2,0)*K7881</f>
        <v/>
      </c>
      <c r="N7881" s="94">
        <f>M7881-M7881*VLOOKUP($Q7881,매칭테이블!$F:$I,3,0)</f>
        <v/>
      </c>
      <c r="O7881" s="94">
        <f>VLOOKUP($Q7881,매칭테이블!$F:$I,4,0)*K7881</f>
        <v/>
      </c>
      <c r="P7881" s="148">
        <f>M7881/1.1</f>
        <v/>
      </c>
      <c r="Q7881" s="94">
        <f>F7881&amp;E7881&amp;G7881&amp;L7881</f>
        <v/>
      </c>
    </row>
    <row r="7882" customFormat="1" s="94">
      <c r="B7882" s="128" t="n">
        <v>44034</v>
      </c>
      <c r="C7882" s="94">
        <f>TEXT(B7882,"aaa")</f>
        <v/>
      </c>
      <c r="E7882" s="94" t="inlineStr">
        <is>
          <t>머드크림마스크</t>
        </is>
      </c>
      <c r="F7882" s="5" t="inlineStr">
        <is>
          <t>큐텐싱가폴</t>
        </is>
      </c>
      <c r="G7882" s="94" t="inlineStr">
        <is>
          <t>머드크림마스크 100ml</t>
        </is>
      </c>
      <c r="H7882" s="7" t="n">
        <v>190801</v>
      </c>
      <c r="I7882" s="7" t="n">
        <v>190801</v>
      </c>
      <c r="K7882" s="94" t="n">
        <v>1</v>
      </c>
      <c r="L7882" s="7" t="n">
        <v>190801</v>
      </c>
      <c r="M7882" s="94">
        <f>VLOOKUP($Q7882,매칭테이블!$F:$I,2,0)*K7882</f>
        <v/>
      </c>
      <c r="N7882" s="94">
        <f>M7882-M7882*VLOOKUP($Q7882,매칭테이블!$F:$I,3,0)</f>
        <v/>
      </c>
      <c r="O7882" s="94">
        <f>VLOOKUP($Q7882,매칭테이블!$F:$I,4,0)*K7882</f>
        <v/>
      </c>
      <c r="P7882" s="148">
        <f>M7882/1.1</f>
        <v/>
      </c>
      <c r="Q7882" s="94">
        <f>F7882&amp;E7882&amp;G7882&amp;L7882</f>
        <v/>
      </c>
    </row>
    <row r="7883" customFormat="1" s="91">
      <c r="B7883" s="128" t="n">
        <v>44035</v>
      </c>
      <c r="C7883" s="94">
        <f>TEXT(B7883,"aaa")</f>
        <v/>
      </c>
      <c r="E7883" s="91" t="inlineStr">
        <is>
          <t>수딩크림</t>
        </is>
      </c>
      <c r="F7883" s="14" t="inlineStr">
        <is>
          <t>글로우데이즈 시코르</t>
        </is>
      </c>
      <c r="G7883" s="91" t="inlineStr">
        <is>
          <t>수딩크림=수딩크림 100ml</t>
        </is>
      </c>
      <c r="H7883" s="15" t="n">
        <v>190801</v>
      </c>
      <c r="I7883" s="15" t="n">
        <v>190801</v>
      </c>
      <c r="K7883" s="91" t="n">
        <v>10</v>
      </c>
      <c r="L7883" s="15" t="n">
        <v>190801</v>
      </c>
      <c r="M7883" s="91">
        <f>VLOOKUP($Q7883,매칭테이블!$F:$I,2,0)*K7883</f>
        <v/>
      </c>
      <c r="N7883" s="91">
        <f>M7883-M7883*VLOOKUP($Q7883,매칭테이블!$F:$I,3,0)</f>
        <v/>
      </c>
      <c r="O7883" s="91">
        <f>VLOOKUP($Q7883,매칭테이블!$F:$I,4,0)*K7883</f>
        <v/>
      </c>
      <c r="P7883" s="150">
        <f>M7883/1.1</f>
        <v/>
      </c>
      <c r="Q7883" s="91">
        <f>F7883&amp;E7883&amp;G7883&amp;L7883</f>
        <v/>
      </c>
    </row>
    <row r="7884" customFormat="1" s="91">
      <c r="B7884" s="128" t="n">
        <v>44035</v>
      </c>
      <c r="C7884" s="94">
        <f>TEXT(B7884,"aaa")</f>
        <v/>
      </c>
      <c r="E7884" s="91" t="inlineStr">
        <is>
          <t>앰플</t>
        </is>
      </c>
      <c r="F7884" s="14" t="inlineStr">
        <is>
          <t>글로우데이즈 시코르</t>
        </is>
      </c>
      <c r="G7884" s="91" t="inlineStr">
        <is>
          <t>앰플=앰플 30ml</t>
        </is>
      </c>
      <c r="H7884" s="15" t="n">
        <v>190801</v>
      </c>
      <c r="I7884" s="15" t="n">
        <v>190801</v>
      </c>
      <c r="K7884" s="91" t="n">
        <v>10</v>
      </c>
      <c r="L7884" s="15" t="n">
        <v>190801</v>
      </c>
      <c r="M7884" s="91">
        <f>VLOOKUP($Q7884,매칭테이블!$F:$I,2,0)*K7884</f>
        <v/>
      </c>
      <c r="N7884" s="91">
        <f>M7884-M7884*VLOOKUP($Q7884,매칭테이블!$F:$I,3,0)</f>
        <v/>
      </c>
      <c r="O7884" s="91">
        <f>VLOOKUP($Q7884,매칭테이블!$F:$I,4,0)*K7884</f>
        <v/>
      </c>
      <c r="P7884" s="150">
        <f>M7884/1.1</f>
        <v/>
      </c>
      <c r="Q7884" s="91">
        <f>F7884&amp;E7884&amp;G7884&amp;L7884</f>
        <v/>
      </c>
    </row>
    <row r="7885" customFormat="1" s="94">
      <c r="B7885" s="128" t="n">
        <v>44035</v>
      </c>
      <c r="C7885" s="94">
        <f>TEXT(B7885,"aaa")</f>
        <v/>
      </c>
      <c r="E7885" s="94" t="inlineStr">
        <is>
          <t>선크림</t>
        </is>
      </c>
      <c r="F7885" s="5" t="inlineStr">
        <is>
          <t>카페24</t>
        </is>
      </c>
      <c r="G7885" s="94" t="inlineStr">
        <is>
          <t>선크림 50ml</t>
        </is>
      </c>
      <c r="H7885" s="7" t="n">
        <v>190801</v>
      </c>
      <c r="I7885" s="7" t="n">
        <v>190801</v>
      </c>
      <c r="K7885" s="94" t="n">
        <v>3</v>
      </c>
      <c r="L7885" s="7" t="n">
        <v>190801</v>
      </c>
      <c r="M7885" s="94">
        <f>VLOOKUP($Q7885,매칭테이블!$F:$I,2,0)*K7885</f>
        <v/>
      </c>
      <c r="N7885" s="94">
        <f>M7885-M7885*VLOOKUP($Q7885,매칭테이블!$F:$I,3,0)</f>
        <v/>
      </c>
      <c r="O7885" s="94">
        <f>VLOOKUP($Q7885,매칭테이블!$F:$I,4,0)*K7885</f>
        <v/>
      </c>
      <c r="P7885" s="148">
        <f>M7885/1.1</f>
        <v/>
      </c>
      <c r="Q7885" s="94">
        <f>F7885&amp;E7885&amp;G7885&amp;L7885</f>
        <v/>
      </c>
    </row>
    <row r="7886" customFormat="1" s="94">
      <c r="B7886" s="128" t="n">
        <v>44035</v>
      </c>
      <c r="C7886" s="94">
        <f>TEXT(B7886,"aaa")</f>
        <v/>
      </c>
      <c r="E7886" s="94" t="inlineStr">
        <is>
          <t>선크림</t>
        </is>
      </c>
      <c r="F7886" s="5" t="inlineStr">
        <is>
          <t>카페24</t>
        </is>
      </c>
      <c r="G7886" s="94" t="inlineStr">
        <is>
          <t>선크림 50ml  2set</t>
        </is>
      </c>
      <c r="H7886" s="7" t="n">
        <v>190801</v>
      </c>
      <c r="I7886" s="7" t="n">
        <v>190801</v>
      </c>
      <c r="K7886" s="94" t="n">
        <v>2</v>
      </c>
      <c r="L7886" s="7" t="n">
        <v>190801</v>
      </c>
      <c r="M7886" s="94">
        <f>VLOOKUP($Q7886,매칭테이블!$F:$I,2,0)*K7886</f>
        <v/>
      </c>
      <c r="N7886" s="94">
        <f>M7886-M7886*VLOOKUP($Q7886,매칭테이블!$F:$I,3,0)</f>
        <v/>
      </c>
      <c r="O7886" s="94">
        <f>VLOOKUP($Q7886,매칭테이블!$F:$I,4,0)*K7886</f>
        <v/>
      </c>
      <c r="P7886" s="148">
        <f>M7886/1.1</f>
        <v/>
      </c>
      <c r="Q7886" s="94">
        <f>F7886&amp;E7886&amp;G7886&amp;L7886</f>
        <v/>
      </c>
    </row>
    <row r="7887" customFormat="1" s="94">
      <c r="B7887" s="128" t="n">
        <v>44035</v>
      </c>
      <c r="C7887" s="94">
        <f>TEXT(B7887,"aaa")</f>
        <v/>
      </c>
      <c r="E7887" s="94" t="inlineStr">
        <is>
          <t>여름 한정 진정세트</t>
        </is>
      </c>
      <c r="F7887" s="5" t="inlineStr">
        <is>
          <t>카페24</t>
        </is>
      </c>
      <c r="G7887" s="94" t="inlineStr">
        <is>
          <t>여름 한정 진정세트</t>
        </is>
      </c>
      <c r="H7887" s="7" t="n">
        <v>190801</v>
      </c>
      <c r="I7887" s="7" t="n">
        <v>190801</v>
      </c>
      <c r="K7887" s="94" t="n">
        <v>2</v>
      </c>
      <c r="L7887" s="7" t="n">
        <v>190801</v>
      </c>
      <c r="M7887" s="94">
        <f>VLOOKUP($Q7887,매칭테이블!$F:$I,2,0)*K7887</f>
        <v/>
      </c>
      <c r="N7887" s="94">
        <f>M7887-M7887*VLOOKUP($Q7887,매칭테이블!$F:$I,3,0)</f>
        <v/>
      </c>
      <c r="O7887" s="94">
        <f>VLOOKUP($Q7887,매칭테이블!$F:$I,4,0)*K7887</f>
        <v/>
      </c>
      <c r="P7887" s="148">
        <f>M7887/1.1</f>
        <v/>
      </c>
      <c r="Q7887" s="94">
        <f>F7887&amp;E7887&amp;G7887&amp;L7887</f>
        <v/>
      </c>
    </row>
    <row r="7888" customFormat="1" s="94">
      <c r="B7888" s="128" t="n">
        <v>44035</v>
      </c>
      <c r="C7888" s="94">
        <f>TEXT(B7888,"aaa")</f>
        <v/>
      </c>
      <c r="E7888" s="94" t="inlineStr">
        <is>
          <t>여름 한정 진정세트</t>
        </is>
      </c>
      <c r="F7888" s="5" t="inlineStr">
        <is>
          <t>카페24</t>
        </is>
      </c>
      <c r="G7888" s="94" t="inlineStr">
        <is>
          <t>여름 한정 진정세트 (대용량)</t>
        </is>
      </c>
      <c r="H7888" s="7" t="n">
        <v>190801</v>
      </c>
      <c r="I7888" s="7" t="n">
        <v>190801</v>
      </c>
      <c r="K7888" s="94" t="n">
        <v>6</v>
      </c>
      <c r="L7888" s="7" t="n">
        <v>190801</v>
      </c>
      <c r="M7888" s="94">
        <f>VLOOKUP($Q7888,매칭테이블!$F:$I,2,0)*K7888</f>
        <v/>
      </c>
      <c r="N7888" s="94">
        <f>M7888-M7888*VLOOKUP($Q7888,매칭테이블!$F:$I,3,0)</f>
        <v/>
      </c>
      <c r="O7888" s="94">
        <f>VLOOKUP($Q7888,매칭테이블!$F:$I,4,0)*K7888</f>
        <v/>
      </c>
      <c r="P7888" s="148">
        <f>M7888/1.1</f>
        <v/>
      </c>
      <c r="Q7888" s="94">
        <f>F7888&amp;E7888&amp;G7888&amp;L7888</f>
        <v/>
      </c>
    </row>
    <row r="7889" customFormat="1" s="94">
      <c r="B7889" s="128" t="n">
        <v>44035</v>
      </c>
      <c r="C7889" s="94">
        <f>TEXT(B7889,"aaa")</f>
        <v/>
      </c>
      <c r="E7889" s="94" t="inlineStr">
        <is>
          <t>머드크림마스크</t>
        </is>
      </c>
      <c r="F7889" s="5" t="inlineStr">
        <is>
          <t>카페24</t>
        </is>
      </c>
      <c r="G7889" s="94" t="inlineStr">
        <is>
          <t>머드크림마스크 100ml</t>
        </is>
      </c>
      <c r="H7889" s="7" t="n">
        <v>190801</v>
      </c>
      <c r="I7889" s="7" t="n">
        <v>190801</v>
      </c>
      <c r="K7889" s="94" t="n">
        <v>3</v>
      </c>
      <c r="L7889" s="7" t="n">
        <v>190801</v>
      </c>
      <c r="M7889" s="94">
        <f>VLOOKUP($Q7889,매칭테이블!$F:$I,2,0)*K7889</f>
        <v/>
      </c>
      <c r="N7889" s="94">
        <f>M7889-M7889*VLOOKUP($Q7889,매칭테이블!$F:$I,3,0)</f>
        <v/>
      </c>
      <c r="O7889" s="94">
        <f>VLOOKUP($Q7889,매칭테이블!$F:$I,4,0)*K7889</f>
        <v/>
      </c>
      <c r="P7889" s="148">
        <f>M7889/1.1</f>
        <v/>
      </c>
      <c r="Q7889" s="94">
        <f>F7889&amp;E7889&amp;G7889&amp;L7889</f>
        <v/>
      </c>
    </row>
    <row r="7890" customFormat="1" s="94">
      <c r="B7890" s="128" t="n">
        <v>44035</v>
      </c>
      <c r="C7890" s="94">
        <f>TEXT(B7890,"aaa")</f>
        <v/>
      </c>
      <c r="E7890" s="94" t="inlineStr">
        <is>
          <t>토너</t>
        </is>
      </c>
      <c r="F7890" s="5" t="inlineStr">
        <is>
          <t>카페24</t>
        </is>
      </c>
      <c r="G7890" s="94" t="inlineStr">
        <is>
          <t>250ml</t>
        </is>
      </c>
      <c r="H7890" s="7" t="n">
        <v>190801</v>
      </c>
      <c r="I7890" s="7" t="n">
        <v>190801</v>
      </c>
      <c r="K7890" s="94" t="n">
        <v>53</v>
      </c>
      <c r="L7890" s="7" t="n">
        <v>190801</v>
      </c>
      <c r="M7890" s="94">
        <f>VLOOKUP($Q7890,매칭테이블!$F:$I,2,0)*K7890</f>
        <v/>
      </c>
      <c r="N7890" s="94">
        <f>M7890-M7890*VLOOKUP($Q7890,매칭테이블!$F:$I,3,0)</f>
        <v/>
      </c>
      <c r="O7890" s="94">
        <f>VLOOKUP($Q7890,매칭테이블!$F:$I,4,0)*K7890</f>
        <v/>
      </c>
      <c r="P7890" s="148">
        <f>M7890/1.1</f>
        <v/>
      </c>
      <c r="Q7890" s="94">
        <f>F7890&amp;E7890&amp;G7890&amp;L7890</f>
        <v/>
      </c>
    </row>
    <row r="7891" customFormat="1" s="94">
      <c r="B7891" s="128" t="n">
        <v>44035</v>
      </c>
      <c r="C7891" s="94">
        <f>TEXT(B7891,"aaa")</f>
        <v/>
      </c>
      <c r="E7891" s="94" t="inlineStr">
        <is>
          <t>토너</t>
        </is>
      </c>
      <c r="F7891" s="5" t="inlineStr">
        <is>
          <t>카페24</t>
        </is>
      </c>
      <c r="G7891" s="94" t="inlineStr">
        <is>
          <t>250ml 2set</t>
        </is>
      </c>
      <c r="H7891" s="7" t="n">
        <v>190801</v>
      </c>
      <c r="I7891" s="7" t="n">
        <v>190801</v>
      </c>
      <c r="K7891" s="94" t="n">
        <v>55</v>
      </c>
      <c r="L7891" s="7" t="n">
        <v>190801</v>
      </c>
      <c r="M7891" s="94">
        <f>VLOOKUP($Q7891,매칭테이블!$F:$I,2,0)*K7891</f>
        <v/>
      </c>
      <c r="N7891" s="94">
        <f>M7891-M7891*VLOOKUP($Q7891,매칭테이블!$F:$I,3,0)</f>
        <v/>
      </c>
      <c r="O7891" s="94">
        <f>VLOOKUP($Q7891,매칭테이블!$F:$I,4,0)*K7891</f>
        <v/>
      </c>
      <c r="P7891" s="148">
        <f>M7891/1.1</f>
        <v/>
      </c>
      <c r="Q7891" s="94">
        <f>F7891&amp;E7891&amp;G7891&amp;L7891</f>
        <v/>
      </c>
    </row>
    <row r="7892" customFormat="1" s="94">
      <c r="B7892" s="128" t="n">
        <v>44035</v>
      </c>
      <c r="C7892" s="94">
        <f>TEXT(B7892,"aaa")</f>
        <v/>
      </c>
      <c r="E7892" s="94" t="inlineStr">
        <is>
          <t>토너</t>
        </is>
      </c>
      <c r="F7892" s="5" t="inlineStr">
        <is>
          <t>카페24</t>
        </is>
      </c>
      <c r="G7892" s="94" t="inlineStr">
        <is>
          <t>500ml</t>
        </is>
      </c>
      <c r="H7892" s="7" t="n">
        <v>190801</v>
      </c>
      <c r="I7892" s="7" t="n">
        <v>190801</v>
      </c>
      <c r="K7892" s="94" t="n">
        <v>48</v>
      </c>
      <c r="L7892" s="7" t="n">
        <v>190801</v>
      </c>
      <c r="M7892" s="94">
        <f>VLOOKUP($Q7892,매칭테이블!$F:$I,2,0)*K7892</f>
        <v/>
      </c>
      <c r="N7892" s="94">
        <f>M7892-M7892*VLOOKUP($Q7892,매칭테이블!$F:$I,3,0)</f>
        <v/>
      </c>
      <c r="O7892" s="94">
        <f>VLOOKUP($Q7892,매칭테이블!$F:$I,4,0)*K7892</f>
        <v/>
      </c>
      <c r="P7892" s="148">
        <f>M7892/1.1</f>
        <v/>
      </c>
      <c r="Q7892" s="94">
        <f>F7892&amp;E7892&amp;G7892&amp;L7892</f>
        <v/>
      </c>
    </row>
    <row r="7893" customFormat="1" s="94">
      <c r="B7893" s="128" t="n">
        <v>44035</v>
      </c>
      <c r="C7893" s="94">
        <f>TEXT(B7893,"aaa")</f>
        <v/>
      </c>
      <c r="E7893" s="94" t="inlineStr">
        <is>
          <t>토너</t>
        </is>
      </c>
      <c r="F7893" s="5" t="inlineStr">
        <is>
          <t>카페24</t>
        </is>
      </c>
      <c r="G7893" s="94" t="inlineStr">
        <is>
          <t>스킨팩 화장솜 60P</t>
        </is>
      </c>
      <c r="H7893" s="7" t="n">
        <v>190801</v>
      </c>
      <c r="I7893" s="7" t="n">
        <v>190801</v>
      </c>
      <c r="K7893" s="94" t="n">
        <v>69</v>
      </c>
      <c r="L7893" s="7" t="n">
        <v>190801</v>
      </c>
      <c r="M7893" s="94">
        <f>VLOOKUP($Q7893,매칭테이블!$F:$I,2,0)*K7893</f>
        <v/>
      </c>
      <c r="N7893" s="94">
        <f>M7893-M7893*VLOOKUP($Q7893,매칭테이블!$F:$I,3,0)</f>
        <v/>
      </c>
      <c r="O7893" s="94">
        <f>VLOOKUP($Q7893,매칭테이블!$F:$I,4,0)*K7893</f>
        <v/>
      </c>
      <c r="P7893" s="148">
        <f>M7893/1.1</f>
        <v/>
      </c>
      <c r="Q7893" s="94">
        <f>F7893&amp;E7893&amp;G7893&amp;L7893</f>
        <v/>
      </c>
    </row>
    <row r="7894" customFormat="1" s="94">
      <c r="B7894" s="128" t="n">
        <v>44035</v>
      </c>
      <c r="C7894" s="94">
        <f>TEXT(B7894,"aaa")</f>
        <v/>
      </c>
      <c r="E7894" s="94" t="inlineStr">
        <is>
          <t>앰플</t>
        </is>
      </c>
      <c r="F7894" s="5" t="inlineStr">
        <is>
          <t>카페24</t>
        </is>
      </c>
      <c r="G7894" s="94" t="inlineStr">
        <is>
          <t>앰플 30ml</t>
        </is>
      </c>
      <c r="H7894" s="7" t="n">
        <v>190801</v>
      </c>
      <c r="I7894" s="7" t="n">
        <v>190801</v>
      </c>
      <c r="K7894" s="94" t="n">
        <v>18</v>
      </c>
      <c r="L7894" s="7" t="n">
        <v>190801</v>
      </c>
      <c r="M7894" s="94">
        <f>VLOOKUP($Q7894,매칭테이블!$F:$I,2,0)*K7894</f>
        <v/>
      </c>
      <c r="N7894" s="94">
        <f>M7894-M7894*VLOOKUP($Q7894,매칭테이블!$F:$I,3,0)</f>
        <v/>
      </c>
      <c r="O7894" s="94">
        <f>VLOOKUP($Q7894,매칭테이블!$F:$I,4,0)*K7894</f>
        <v/>
      </c>
      <c r="P7894" s="148">
        <f>M7894/1.1</f>
        <v/>
      </c>
      <c r="Q7894" s="94">
        <f>F7894&amp;E7894&amp;G7894&amp;L7894</f>
        <v/>
      </c>
    </row>
    <row r="7895" customFormat="1" s="94">
      <c r="B7895" s="128" t="n">
        <v>44035</v>
      </c>
      <c r="C7895" s="94">
        <f>TEXT(B7895,"aaa")</f>
        <v/>
      </c>
      <c r="E7895" s="94" t="inlineStr">
        <is>
          <t>수딩크림</t>
        </is>
      </c>
      <c r="F7895" s="5" t="inlineStr">
        <is>
          <t>카페24</t>
        </is>
      </c>
      <c r="G7895" s="94" t="inlineStr">
        <is>
          <t>수딩크림 100ml</t>
        </is>
      </c>
      <c r="H7895" s="7" t="n">
        <v>190801</v>
      </c>
      <c r="I7895" s="7" t="n">
        <v>190801</v>
      </c>
      <c r="K7895" s="94" t="n">
        <v>8</v>
      </c>
      <c r="L7895" s="7" t="n">
        <v>190801</v>
      </c>
      <c r="M7895" s="94">
        <f>VLOOKUP($Q7895,매칭테이블!$F:$I,2,0)*K7895</f>
        <v/>
      </c>
      <c r="N7895" s="94">
        <f>M7895-M7895*VLOOKUP($Q7895,매칭테이블!$F:$I,3,0)</f>
        <v/>
      </c>
      <c r="O7895" s="94">
        <f>VLOOKUP($Q7895,매칭테이블!$F:$I,4,0)*K7895</f>
        <v/>
      </c>
      <c r="P7895" s="148">
        <f>M7895/1.1</f>
        <v/>
      </c>
      <c r="Q7895" s="94">
        <f>F7895&amp;E7895&amp;G7895&amp;L7895</f>
        <v/>
      </c>
    </row>
    <row r="7896" customFormat="1" s="94">
      <c r="B7896" s="128" t="n">
        <v>44035</v>
      </c>
      <c r="C7896" s="94">
        <f>TEXT(B7896,"aaa")</f>
        <v/>
      </c>
      <c r="E7896" s="94" t="inlineStr">
        <is>
          <t>토너</t>
        </is>
      </c>
      <c r="F7896" s="5" t="inlineStr">
        <is>
          <t>큐텐재팬</t>
        </is>
      </c>
      <c r="G7896" s="94" t="inlineStr">
        <is>
          <t>250ml</t>
        </is>
      </c>
      <c r="H7896" s="7" t="n">
        <v>190801</v>
      </c>
      <c r="I7896" s="7" t="n">
        <v>190801</v>
      </c>
      <c r="K7896" s="94" t="n">
        <v>10</v>
      </c>
      <c r="L7896" s="7" t="n">
        <v>190801</v>
      </c>
      <c r="M7896" s="94">
        <f>VLOOKUP($Q7896,매칭테이블!$F:$I,2,0)*K7896</f>
        <v/>
      </c>
      <c r="N7896" s="94">
        <f>M7896-M7896*VLOOKUP($Q7896,매칭테이블!$F:$I,3,0)</f>
        <v/>
      </c>
      <c r="O7896" s="94">
        <f>VLOOKUP($Q7896,매칭테이블!$F:$I,4,0)*K7896</f>
        <v/>
      </c>
      <c r="P7896" s="148">
        <f>M7896/1.1</f>
        <v/>
      </c>
      <c r="Q7896" s="94">
        <f>F7896&amp;E7896&amp;G7896&amp;L7896</f>
        <v/>
      </c>
    </row>
    <row r="7897" customFormat="1" s="94">
      <c r="B7897" s="128" t="n">
        <v>44035</v>
      </c>
      <c r="C7897" s="94">
        <f>TEXT(B7897,"aaa")</f>
        <v/>
      </c>
      <c r="E7897" s="94" t="inlineStr">
        <is>
          <t>토너</t>
        </is>
      </c>
      <c r="F7897" s="5" t="inlineStr">
        <is>
          <t>큐텐재팬</t>
        </is>
      </c>
      <c r="G7897" s="94" t="inlineStr">
        <is>
          <t>250ml 2set</t>
        </is>
      </c>
      <c r="H7897" s="7" t="n">
        <v>190801</v>
      </c>
      <c r="I7897" s="7" t="n">
        <v>190801</v>
      </c>
      <c r="K7897" s="94" t="n">
        <v>3</v>
      </c>
      <c r="L7897" s="7" t="n">
        <v>190801</v>
      </c>
      <c r="M7897" s="94">
        <f>VLOOKUP($Q7897,매칭테이블!$F:$I,2,0)*K7897</f>
        <v/>
      </c>
      <c r="N7897" s="94">
        <f>M7897-M7897*VLOOKUP($Q7897,매칭테이블!$F:$I,3,0)</f>
        <v/>
      </c>
      <c r="O7897" s="94">
        <f>VLOOKUP($Q7897,매칭테이블!$F:$I,4,0)*K7897</f>
        <v/>
      </c>
      <c r="P7897" s="148">
        <f>M7897/1.1</f>
        <v/>
      </c>
      <c r="Q7897" s="94">
        <f>F7897&amp;E7897&amp;G7897&amp;L7897</f>
        <v/>
      </c>
    </row>
    <row r="7898" customFormat="1" s="94">
      <c r="B7898" s="128" t="n">
        <v>44035</v>
      </c>
      <c r="C7898" s="94">
        <f>TEXT(B7898,"aaa")</f>
        <v/>
      </c>
      <c r="E7898" s="94" t="inlineStr">
        <is>
          <t>앰플</t>
        </is>
      </c>
      <c r="F7898" s="5" t="inlineStr">
        <is>
          <t>큐텐재팬</t>
        </is>
      </c>
      <c r="G7898" s="94" t="inlineStr">
        <is>
          <t>앰플 30ml</t>
        </is>
      </c>
      <c r="H7898" s="7" t="n">
        <v>190801</v>
      </c>
      <c r="I7898" s="7" t="n">
        <v>190801</v>
      </c>
      <c r="K7898" s="94" t="n">
        <v>1</v>
      </c>
      <c r="L7898" s="7" t="n">
        <v>190801</v>
      </c>
      <c r="M7898" s="94">
        <f>VLOOKUP($Q7898,매칭테이블!$F:$I,2,0)*K7898</f>
        <v/>
      </c>
      <c r="N7898" s="94">
        <f>M7898-M7898*VLOOKUP($Q7898,매칭테이블!$F:$I,3,0)</f>
        <v/>
      </c>
      <c r="O7898" s="94">
        <f>VLOOKUP($Q7898,매칭테이블!$F:$I,4,0)*K7898</f>
        <v/>
      </c>
      <c r="P7898" s="148">
        <f>M7898/1.1</f>
        <v/>
      </c>
      <c r="Q7898" s="94">
        <f>F7898&amp;E7898&amp;G7898&amp;L7898</f>
        <v/>
      </c>
    </row>
    <row r="7899" customFormat="1" s="94">
      <c r="B7899" s="128" t="n">
        <v>44035</v>
      </c>
      <c r="C7899" s="94">
        <f>TEXT(B7899,"aaa")</f>
        <v/>
      </c>
      <c r="E7899" s="94" t="inlineStr">
        <is>
          <t>수딩크림</t>
        </is>
      </c>
      <c r="F7899" s="5" t="inlineStr">
        <is>
          <t>큐텐재팬</t>
        </is>
      </c>
      <c r="G7899" s="94" t="inlineStr">
        <is>
          <t>수딩크림 100ml</t>
        </is>
      </c>
      <c r="H7899" s="7" t="n">
        <v>190801</v>
      </c>
      <c r="I7899" s="7" t="n">
        <v>190801</v>
      </c>
      <c r="K7899" s="94" t="n">
        <v>1</v>
      </c>
      <c r="L7899" s="7" t="n">
        <v>190801</v>
      </c>
      <c r="M7899" s="94">
        <f>VLOOKUP($Q7899,매칭테이블!$F:$I,2,0)*K7899</f>
        <v/>
      </c>
      <c r="N7899" s="94">
        <f>M7899-M7899*VLOOKUP($Q7899,매칭테이블!$F:$I,3,0)</f>
        <v/>
      </c>
      <c r="O7899" s="94">
        <f>VLOOKUP($Q7899,매칭테이블!$F:$I,4,0)*K7899</f>
        <v/>
      </c>
      <c r="P7899" s="148">
        <f>M7899/1.1</f>
        <v/>
      </c>
      <c r="Q7899" s="94">
        <f>F7899&amp;E7899&amp;G7899&amp;L7899</f>
        <v/>
      </c>
    </row>
    <row r="7900" customFormat="1" s="94">
      <c r="B7900" s="128" t="n">
        <v>44035</v>
      </c>
      <c r="C7900" s="94">
        <f>TEXT(B7900,"aaa")</f>
        <v/>
      </c>
      <c r="E7900" s="94" t="inlineStr">
        <is>
          <t>토너</t>
        </is>
      </c>
      <c r="F7900" s="5" t="inlineStr">
        <is>
          <t>아누아 CS</t>
        </is>
      </c>
      <c r="G7900" s="94" t="inlineStr">
        <is>
          <t>250ml</t>
        </is>
      </c>
      <c r="H7900" s="7" t="n">
        <v>190801</v>
      </c>
      <c r="I7900" s="7" t="n">
        <v>190801</v>
      </c>
      <c r="K7900" s="94" t="n">
        <v>5</v>
      </c>
      <c r="L7900" s="7" t="n">
        <v>190801</v>
      </c>
      <c r="M7900" s="94">
        <f>VLOOKUP($Q7900,매칭테이블!$F:$I,2,0)*K7900</f>
        <v/>
      </c>
      <c r="N7900" s="94">
        <f>M7900-M7900*VLOOKUP($Q7900,매칭테이블!$F:$I,3,0)</f>
        <v/>
      </c>
      <c r="O7900" s="94">
        <f>VLOOKUP($Q7900,매칭테이블!$F:$I,4,0)*K7900</f>
        <v/>
      </c>
      <c r="P7900" s="148">
        <f>M7900/1.1</f>
        <v/>
      </c>
      <c r="Q7900" s="94">
        <f>F7900&amp;E7900&amp;G7900&amp;L7900</f>
        <v/>
      </c>
    </row>
    <row r="7901" customFormat="1" s="94">
      <c r="B7901" s="128" t="n">
        <v>44035</v>
      </c>
      <c r="C7901" s="94">
        <f>TEXT(B7901,"aaa")</f>
        <v/>
      </c>
      <c r="E7901" s="94" t="inlineStr">
        <is>
          <t>선크림</t>
        </is>
      </c>
      <c r="F7901" s="5" t="inlineStr">
        <is>
          <t>아누아 CS</t>
        </is>
      </c>
      <c r="G7901" s="94" t="inlineStr">
        <is>
          <t>선크림 50ml</t>
        </is>
      </c>
      <c r="H7901" s="7" t="n">
        <v>190801</v>
      </c>
      <c r="I7901" s="7" t="n">
        <v>190801</v>
      </c>
      <c r="K7901" s="94" t="n">
        <v>1</v>
      </c>
      <c r="L7901" s="7" t="n">
        <v>190801</v>
      </c>
      <c r="M7901" s="94">
        <f>VLOOKUP($Q7901,매칭테이블!$F:$I,2,0)*K7901</f>
        <v/>
      </c>
      <c r="N7901" s="94">
        <f>M7901-M7901*VLOOKUP($Q7901,매칭테이블!$F:$I,3,0)</f>
        <v/>
      </c>
      <c r="O7901" s="94">
        <f>VLOOKUP($Q7901,매칭테이블!$F:$I,4,0)*K7901</f>
        <v/>
      </c>
      <c r="P7901" s="148">
        <f>M7901/1.1</f>
        <v/>
      </c>
      <c r="Q7901" s="94">
        <f>F7901&amp;E7901&amp;G7901&amp;L7901</f>
        <v/>
      </c>
    </row>
    <row r="7902" customFormat="1" s="94">
      <c r="B7902" s="128" t="n">
        <v>44035</v>
      </c>
      <c r="C7902" s="94">
        <f>TEXT(B7902,"aaa")</f>
        <v/>
      </c>
      <c r="E7902" s="94" t="inlineStr">
        <is>
          <t>앰플</t>
        </is>
      </c>
      <c r="F7902" s="5" t="inlineStr">
        <is>
          <t>쇼피태국</t>
        </is>
      </c>
      <c r="G7902" s="94" t="inlineStr">
        <is>
          <t>앰플 30ml</t>
        </is>
      </c>
      <c r="H7902" s="7" t="n">
        <v>190801</v>
      </c>
      <c r="I7902" s="7" t="n">
        <v>190801</v>
      </c>
      <c r="K7902" s="94" t="n">
        <v>1</v>
      </c>
      <c r="L7902" s="7" t="n">
        <v>190801</v>
      </c>
      <c r="M7902" s="94">
        <f>VLOOKUP($Q7902,매칭테이블!$F:$I,2,0)*K7902</f>
        <v/>
      </c>
      <c r="N7902" s="94">
        <f>M7902-M7902*VLOOKUP($Q7902,매칭테이블!$F:$I,3,0)</f>
        <v/>
      </c>
      <c r="O7902" s="94">
        <f>VLOOKUP($Q7902,매칭테이블!$F:$I,4,0)*K7902</f>
        <v/>
      </c>
      <c r="P7902" s="148">
        <f>M7902/1.1</f>
        <v/>
      </c>
      <c r="Q7902" s="94">
        <f>F7902&amp;E7902&amp;G7902&amp;L7902</f>
        <v/>
      </c>
    </row>
    <row r="7903" customFormat="1" s="94">
      <c r="B7903" s="128" t="n">
        <v>44035</v>
      </c>
      <c r="C7903" s="94">
        <f>TEXT(B7903,"aaa")</f>
        <v/>
      </c>
      <c r="E7903" s="94" t="inlineStr">
        <is>
          <t>토너</t>
        </is>
      </c>
      <c r="F7903" s="5" t="inlineStr">
        <is>
          <t>화해</t>
        </is>
      </c>
      <c r="G7903" s="94" t="inlineStr">
        <is>
          <t>250ml</t>
        </is>
      </c>
      <c r="H7903" s="7" t="n">
        <v>190801</v>
      </c>
      <c r="I7903" s="7" t="n">
        <v>190801</v>
      </c>
      <c r="K7903" s="94" t="n">
        <v>3</v>
      </c>
      <c r="L7903" s="7" t="n">
        <v>190801</v>
      </c>
      <c r="M7903" s="94">
        <f>VLOOKUP($Q7903,매칭테이블!$F:$I,2,0)*K7903</f>
        <v/>
      </c>
      <c r="N7903" s="94">
        <f>M7903-M7903*VLOOKUP($Q7903,매칭테이블!$F:$I,3,0)</f>
        <v/>
      </c>
      <c r="O7903" s="94">
        <f>VLOOKUP($Q7903,매칭테이블!$F:$I,4,0)*K7903</f>
        <v/>
      </c>
      <c r="P7903" s="148">
        <f>M7903/1.1</f>
        <v/>
      </c>
      <c r="Q7903" s="94">
        <f>F7903&amp;E7903&amp;G7903&amp;L7903</f>
        <v/>
      </c>
    </row>
    <row r="7904">
      <c r="A7904" s="94" t="n"/>
      <c r="B7904" s="128" t="n">
        <v>44036</v>
      </c>
      <c r="C7904" s="94">
        <f>TEXT(B7904,"aaa")</f>
        <v/>
      </c>
      <c r="D7904" s="94" t="n"/>
      <c r="E7904" s="94" t="inlineStr">
        <is>
          <t>토너</t>
        </is>
      </c>
      <c r="F7904" s="5" t="inlineStr">
        <is>
          <t>W컨셉</t>
        </is>
      </c>
      <c r="G7904" s="94" t="inlineStr">
        <is>
          <t>250ml</t>
        </is>
      </c>
      <c r="H7904" s="7" t="n">
        <v>190801</v>
      </c>
      <c r="I7904" s="7" t="n">
        <v>190801</v>
      </c>
      <c r="J7904" s="94" t="n"/>
      <c r="K7904" s="94" t="n">
        <v>1</v>
      </c>
      <c r="L7904" s="7" t="n">
        <v>190801</v>
      </c>
      <c r="M7904" s="94">
        <f>VLOOKUP($Q7904,매칭테이블!$F:$I,2,0)*K7904</f>
        <v/>
      </c>
      <c r="N7904" s="94">
        <f>M7904-M7904*VLOOKUP($Q7904,매칭테이블!$F:$I,3,0)</f>
        <v/>
      </c>
      <c r="O7904" s="94">
        <f>VLOOKUP($Q7904,매칭테이블!$F:$I,4,0)*K7904</f>
        <v/>
      </c>
      <c r="P7904" s="148">
        <f>M7904/1.1</f>
        <v/>
      </c>
      <c r="Q7904" s="94">
        <f>F7904&amp;E7904&amp;G7904&amp;L7904</f>
        <v/>
      </c>
    </row>
    <row r="7905">
      <c r="A7905" s="94" t="n"/>
      <c r="B7905" s="128" t="n">
        <v>44036</v>
      </c>
      <c r="C7905" s="94">
        <f>TEXT(B7905,"aaa")</f>
        <v/>
      </c>
      <c r="D7905" s="94" t="n"/>
      <c r="E7905" s="94" t="inlineStr">
        <is>
          <t>토너</t>
        </is>
      </c>
      <c r="F7905" s="5" t="inlineStr">
        <is>
          <t>W컨셉</t>
        </is>
      </c>
      <c r="G7905" s="94" t="inlineStr">
        <is>
          <t>250ml 2set</t>
        </is>
      </c>
      <c r="H7905" s="7" t="n">
        <v>190801</v>
      </c>
      <c r="I7905" s="7" t="n">
        <v>190801</v>
      </c>
      <c r="J7905" s="94" t="n"/>
      <c r="K7905" s="94" t="n">
        <v>1</v>
      </c>
      <c r="L7905" s="7" t="n">
        <v>190801</v>
      </c>
      <c r="M7905" s="94">
        <f>VLOOKUP($Q7905,매칭테이블!$F:$I,2,0)*K7905</f>
        <v/>
      </c>
      <c r="N7905" s="94">
        <f>M7905-M7905*VLOOKUP($Q7905,매칭테이블!$F:$I,3,0)</f>
        <v/>
      </c>
      <c r="O7905" s="94">
        <f>VLOOKUP($Q7905,매칭테이블!$F:$I,4,0)*K7905</f>
        <v/>
      </c>
      <c r="P7905" s="148">
        <f>M7905/1.1</f>
        <v/>
      </c>
      <c r="Q7905" s="94">
        <f>F7905&amp;E7905&amp;G7905&amp;L7905</f>
        <v/>
      </c>
    </row>
    <row r="7906">
      <c r="A7906" s="94" t="n"/>
      <c r="B7906" s="128" t="n">
        <v>44036</v>
      </c>
      <c r="C7906" s="94">
        <f>TEXT(B7906,"aaa")</f>
        <v/>
      </c>
      <c r="D7906" s="94" t="n"/>
      <c r="E7906" s="94" t="inlineStr">
        <is>
          <t>선크림</t>
        </is>
      </c>
      <c r="F7906" s="5" t="inlineStr">
        <is>
          <t>카페24</t>
        </is>
      </c>
      <c r="G7906" s="94" t="inlineStr">
        <is>
          <t>선크림 50ml</t>
        </is>
      </c>
      <c r="H7906" s="7" t="n">
        <v>190801</v>
      </c>
      <c r="I7906" s="7" t="n">
        <v>190801</v>
      </c>
      <c r="J7906" s="94" t="n"/>
      <c r="K7906" s="94" t="n">
        <v>2</v>
      </c>
      <c r="L7906" s="7" t="n">
        <v>190801</v>
      </c>
      <c r="M7906" s="94">
        <f>VLOOKUP($Q7906,매칭테이블!$F:$I,2,0)*K7906</f>
        <v/>
      </c>
      <c r="N7906" s="94">
        <f>M7906-M7906*VLOOKUP($Q7906,매칭테이블!$F:$I,3,0)</f>
        <v/>
      </c>
      <c r="O7906" s="94">
        <f>VLOOKUP($Q7906,매칭테이블!$F:$I,4,0)*K7906</f>
        <v/>
      </c>
      <c r="P7906" s="148">
        <f>M7906/1.1</f>
        <v/>
      </c>
      <c r="Q7906" s="94">
        <f>F7906&amp;E7906&amp;G7906&amp;L7906</f>
        <v/>
      </c>
    </row>
    <row r="7907">
      <c r="A7907" s="94" t="n"/>
      <c r="B7907" s="128" t="n">
        <v>44036</v>
      </c>
      <c r="C7907" s="94">
        <f>TEXT(B7907,"aaa")</f>
        <v/>
      </c>
      <c r="D7907" s="94" t="n"/>
      <c r="E7907" s="94" t="inlineStr">
        <is>
          <t>선크림</t>
        </is>
      </c>
      <c r="F7907" s="5" t="inlineStr">
        <is>
          <t>카페24</t>
        </is>
      </c>
      <c r="G7907" s="94" t="inlineStr">
        <is>
          <t>선크림 50ml  2set</t>
        </is>
      </c>
      <c r="H7907" s="7" t="n">
        <v>190801</v>
      </c>
      <c r="I7907" s="7" t="n">
        <v>190801</v>
      </c>
      <c r="J7907" s="94" t="n"/>
      <c r="K7907" s="94" t="n">
        <v>1</v>
      </c>
      <c r="L7907" s="7" t="n">
        <v>190801</v>
      </c>
      <c r="M7907" s="94">
        <f>VLOOKUP($Q7907,매칭테이블!$F:$I,2,0)*K7907</f>
        <v/>
      </c>
      <c r="N7907" s="94">
        <f>M7907-M7907*VLOOKUP($Q7907,매칭테이블!$F:$I,3,0)</f>
        <v/>
      </c>
      <c r="O7907" s="94">
        <f>VLOOKUP($Q7907,매칭테이블!$F:$I,4,0)*K7907</f>
        <v/>
      </c>
      <c r="P7907" s="148">
        <f>M7907/1.1</f>
        <v/>
      </c>
      <c r="Q7907" s="94">
        <f>F7907&amp;E7907&amp;G7907&amp;L7907</f>
        <v/>
      </c>
    </row>
    <row r="7908">
      <c r="A7908" s="94" t="n"/>
      <c r="B7908" s="128" t="n">
        <v>44036</v>
      </c>
      <c r="C7908" s="94">
        <f>TEXT(B7908,"aaa")</f>
        <v/>
      </c>
      <c r="D7908" s="94" t="n"/>
      <c r="E7908" s="94" t="inlineStr">
        <is>
          <t>여름 한정 진정세트</t>
        </is>
      </c>
      <c r="F7908" s="5" t="inlineStr">
        <is>
          <t>카페24</t>
        </is>
      </c>
      <c r="G7908" s="94" t="inlineStr">
        <is>
          <t>여름 한정 진정세트</t>
        </is>
      </c>
      <c r="H7908" s="7" t="n">
        <v>190801</v>
      </c>
      <c r="I7908" s="7" t="n">
        <v>190801</v>
      </c>
      <c r="J7908" s="94" t="n"/>
      <c r="K7908" s="94" t="n">
        <v>2</v>
      </c>
      <c r="L7908" s="7" t="n">
        <v>190801</v>
      </c>
      <c r="M7908" s="94">
        <f>VLOOKUP($Q7908,매칭테이블!$F:$I,2,0)*K7908</f>
        <v/>
      </c>
      <c r="N7908" s="94">
        <f>M7908-M7908*VLOOKUP($Q7908,매칭테이블!$F:$I,3,0)</f>
        <v/>
      </c>
      <c r="O7908" s="94">
        <f>VLOOKUP($Q7908,매칭테이블!$F:$I,4,0)*K7908</f>
        <v/>
      </c>
      <c r="P7908" s="148">
        <f>M7908/1.1</f>
        <v/>
      </c>
      <c r="Q7908" s="94">
        <f>F7908&amp;E7908&amp;G7908&amp;L7908</f>
        <v/>
      </c>
    </row>
    <row r="7909">
      <c r="A7909" s="94" t="n"/>
      <c r="B7909" s="128" t="n">
        <v>44036</v>
      </c>
      <c r="C7909" s="94">
        <f>TEXT(B7909,"aaa")</f>
        <v/>
      </c>
      <c r="D7909" s="94" t="n"/>
      <c r="E7909" s="94" t="inlineStr">
        <is>
          <t>여름 한정 진정세트</t>
        </is>
      </c>
      <c r="F7909" s="5" t="inlineStr">
        <is>
          <t>카페24</t>
        </is>
      </c>
      <c r="G7909" s="94" t="inlineStr">
        <is>
          <t>여름 한정 진정세트 (대용량)</t>
        </is>
      </c>
      <c r="H7909" s="7" t="n">
        <v>190801</v>
      </c>
      <c r="I7909" s="7" t="n">
        <v>190801</v>
      </c>
      <c r="J7909" s="94" t="n"/>
      <c r="K7909" s="94" t="n">
        <v>5</v>
      </c>
      <c r="L7909" s="7" t="n">
        <v>190801</v>
      </c>
      <c r="M7909" s="94">
        <f>VLOOKUP($Q7909,매칭테이블!$F:$I,2,0)*K7909</f>
        <v/>
      </c>
      <c r="N7909" s="94">
        <f>M7909-M7909*VLOOKUP($Q7909,매칭테이블!$F:$I,3,0)</f>
        <v/>
      </c>
      <c r="O7909" s="94">
        <f>VLOOKUP($Q7909,매칭테이블!$F:$I,4,0)*K7909</f>
        <v/>
      </c>
      <c r="P7909" s="148">
        <f>M7909/1.1</f>
        <v/>
      </c>
      <c r="Q7909" s="94">
        <f>F7909&amp;E7909&amp;G7909&amp;L7909</f>
        <v/>
      </c>
    </row>
    <row r="7910">
      <c r="A7910" s="94" t="n"/>
      <c r="B7910" s="128" t="n">
        <v>44036</v>
      </c>
      <c r="C7910" s="94">
        <f>TEXT(B7910,"aaa")</f>
        <v/>
      </c>
      <c r="D7910" s="94" t="n"/>
      <c r="E7910" s="94" t="inlineStr">
        <is>
          <t>머드크림마스크</t>
        </is>
      </c>
      <c r="F7910" s="5" t="inlineStr">
        <is>
          <t>카페24</t>
        </is>
      </c>
      <c r="G7910" s="94" t="inlineStr">
        <is>
          <t>머드크림마스크 100ml</t>
        </is>
      </c>
      <c r="H7910" s="7" t="n">
        <v>190801</v>
      </c>
      <c r="I7910" s="7" t="n">
        <v>190801</v>
      </c>
      <c r="J7910" s="94" t="n"/>
      <c r="K7910" s="94" t="n">
        <v>2</v>
      </c>
      <c r="L7910" s="7" t="n">
        <v>190801</v>
      </c>
      <c r="M7910" s="94">
        <f>VLOOKUP($Q7910,매칭테이블!$F:$I,2,0)*K7910</f>
        <v/>
      </c>
      <c r="N7910" s="94">
        <f>M7910-M7910*VLOOKUP($Q7910,매칭테이블!$F:$I,3,0)</f>
        <v/>
      </c>
      <c r="O7910" s="94">
        <f>VLOOKUP($Q7910,매칭테이블!$F:$I,4,0)*K7910</f>
        <v/>
      </c>
      <c r="P7910" s="148">
        <f>M7910/1.1</f>
        <v/>
      </c>
      <c r="Q7910" s="94">
        <f>F7910&amp;E7910&amp;G7910&amp;L7910</f>
        <v/>
      </c>
    </row>
    <row r="7911">
      <c r="A7911" s="94" t="n"/>
      <c r="B7911" s="128" t="n">
        <v>44036</v>
      </c>
      <c r="C7911" s="94">
        <f>TEXT(B7911,"aaa")</f>
        <v/>
      </c>
      <c r="D7911" s="94" t="n"/>
      <c r="E7911" s="94" t="inlineStr">
        <is>
          <t>토너</t>
        </is>
      </c>
      <c r="F7911" s="5" t="inlineStr">
        <is>
          <t>카페24</t>
        </is>
      </c>
      <c r="G7911" s="94" t="inlineStr">
        <is>
          <t>250ml</t>
        </is>
      </c>
      <c r="H7911" s="7" t="n">
        <v>190801</v>
      </c>
      <c r="I7911" s="7" t="n">
        <v>190801</v>
      </c>
      <c r="J7911" s="94" t="n"/>
      <c r="K7911" s="94" t="n">
        <v>51</v>
      </c>
      <c r="L7911" s="7" t="n">
        <v>190801</v>
      </c>
      <c r="M7911" s="94">
        <f>VLOOKUP($Q7911,매칭테이블!$F:$I,2,0)*K7911</f>
        <v/>
      </c>
      <c r="N7911" s="94">
        <f>M7911-M7911*VLOOKUP($Q7911,매칭테이블!$F:$I,3,0)</f>
        <v/>
      </c>
      <c r="O7911" s="94">
        <f>VLOOKUP($Q7911,매칭테이블!$F:$I,4,0)*K7911</f>
        <v/>
      </c>
      <c r="P7911" s="148">
        <f>M7911/1.1</f>
        <v/>
      </c>
      <c r="Q7911" s="94">
        <f>F7911&amp;E7911&amp;G7911&amp;L7911</f>
        <v/>
      </c>
    </row>
    <row r="7912">
      <c r="A7912" s="94" t="n"/>
      <c r="B7912" s="128" t="n">
        <v>44036</v>
      </c>
      <c r="C7912" s="94">
        <f>TEXT(B7912,"aaa")</f>
        <v/>
      </c>
      <c r="D7912" s="94" t="n"/>
      <c r="E7912" s="94" t="inlineStr">
        <is>
          <t>토너</t>
        </is>
      </c>
      <c r="F7912" s="5" t="inlineStr">
        <is>
          <t>카페24</t>
        </is>
      </c>
      <c r="G7912" s="94" t="inlineStr">
        <is>
          <t>250ml 2set</t>
        </is>
      </c>
      <c r="H7912" s="7" t="n">
        <v>190801</v>
      </c>
      <c r="I7912" s="7" t="n">
        <v>190801</v>
      </c>
      <c r="J7912" s="94" t="n"/>
      <c r="K7912" s="94" t="n">
        <v>43</v>
      </c>
      <c r="L7912" s="7" t="n">
        <v>190801</v>
      </c>
      <c r="M7912" s="94">
        <f>VLOOKUP($Q7912,매칭테이블!$F:$I,2,0)*K7912</f>
        <v/>
      </c>
      <c r="N7912" s="94">
        <f>M7912-M7912*VLOOKUP($Q7912,매칭테이블!$F:$I,3,0)</f>
        <v/>
      </c>
      <c r="O7912" s="94">
        <f>VLOOKUP($Q7912,매칭테이블!$F:$I,4,0)*K7912</f>
        <v/>
      </c>
      <c r="P7912" s="148">
        <f>M7912/1.1</f>
        <v/>
      </c>
      <c r="Q7912" s="94">
        <f>F7912&amp;E7912&amp;G7912&amp;L7912</f>
        <v/>
      </c>
    </row>
    <row r="7913">
      <c r="A7913" s="94" t="n"/>
      <c r="B7913" s="128" t="n">
        <v>44036</v>
      </c>
      <c r="C7913" s="94">
        <f>TEXT(B7913,"aaa")</f>
        <v/>
      </c>
      <c r="D7913" s="94" t="n"/>
      <c r="E7913" s="94" t="inlineStr">
        <is>
          <t>토너</t>
        </is>
      </c>
      <c r="F7913" s="5" t="inlineStr">
        <is>
          <t>카페24</t>
        </is>
      </c>
      <c r="G7913" s="94" t="inlineStr">
        <is>
          <t>500ml</t>
        </is>
      </c>
      <c r="H7913" s="7" t="n">
        <v>190801</v>
      </c>
      <c r="I7913" s="7" t="n">
        <v>190801</v>
      </c>
      <c r="J7913" s="94" t="n"/>
      <c r="K7913" s="94" t="n">
        <v>35</v>
      </c>
      <c r="L7913" s="7" t="n">
        <v>190801</v>
      </c>
      <c r="M7913" s="94">
        <f>VLOOKUP($Q7913,매칭테이블!$F:$I,2,0)*K7913</f>
        <v/>
      </c>
      <c r="N7913" s="94">
        <f>M7913-M7913*VLOOKUP($Q7913,매칭테이블!$F:$I,3,0)</f>
        <v/>
      </c>
      <c r="O7913" s="94">
        <f>VLOOKUP($Q7913,매칭테이블!$F:$I,4,0)*K7913</f>
        <v/>
      </c>
      <c r="P7913" s="148">
        <f>M7913/1.1</f>
        <v/>
      </c>
      <c r="Q7913" s="94">
        <f>F7913&amp;E7913&amp;G7913&amp;L7913</f>
        <v/>
      </c>
    </row>
    <row r="7914">
      <c r="A7914" s="94" t="n"/>
      <c r="B7914" s="128" t="n">
        <v>44036</v>
      </c>
      <c r="C7914" s="94">
        <f>TEXT(B7914,"aaa")</f>
        <v/>
      </c>
      <c r="D7914" s="94" t="n"/>
      <c r="E7914" s="94" t="inlineStr">
        <is>
          <t>토너</t>
        </is>
      </c>
      <c r="F7914" s="5" t="inlineStr">
        <is>
          <t>카페24</t>
        </is>
      </c>
      <c r="G7914" s="94" t="inlineStr">
        <is>
          <t>스킨팩 화장솜 60P</t>
        </is>
      </c>
      <c r="H7914" s="7" t="n">
        <v>190801</v>
      </c>
      <c r="I7914" s="7" t="n">
        <v>190801</v>
      </c>
      <c r="J7914" s="94" t="n"/>
      <c r="K7914" s="94" t="n">
        <v>51</v>
      </c>
      <c r="L7914" s="7" t="n">
        <v>190801</v>
      </c>
      <c r="M7914" s="94">
        <f>VLOOKUP($Q7914,매칭테이블!$F:$I,2,0)*K7914</f>
        <v/>
      </c>
      <c r="N7914" s="94">
        <f>M7914-M7914*VLOOKUP($Q7914,매칭테이블!$F:$I,3,0)</f>
        <v/>
      </c>
      <c r="O7914" s="94">
        <f>VLOOKUP($Q7914,매칭테이블!$F:$I,4,0)*K7914</f>
        <v/>
      </c>
      <c r="P7914" s="148">
        <f>M7914/1.1</f>
        <v/>
      </c>
      <c r="Q7914" s="94">
        <f>F7914&amp;E7914&amp;G7914&amp;L7914</f>
        <v/>
      </c>
    </row>
    <row r="7915">
      <c r="A7915" s="94" t="n"/>
      <c r="B7915" s="128" t="n">
        <v>44036</v>
      </c>
      <c r="C7915" s="94">
        <f>TEXT(B7915,"aaa")</f>
        <v/>
      </c>
      <c r="D7915" s="94" t="n"/>
      <c r="E7915" s="94" t="inlineStr">
        <is>
          <t>앰플</t>
        </is>
      </c>
      <c r="F7915" s="5" t="inlineStr">
        <is>
          <t>카페24</t>
        </is>
      </c>
      <c r="G7915" s="94" t="inlineStr">
        <is>
          <t>앰플 30ml</t>
        </is>
      </c>
      <c r="H7915" s="7" t="n">
        <v>190801</v>
      </c>
      <c r="I7915" s="7" t="n">
        <v>190801</v>
      </c>
      <c r="J7915" s="94" t="n"/>
      <c r="K7915" s="94" t="n">
        <v>15</v>
      </c>
      <c r="L7915" s="7" t="n">
        <v>190801</v>
      </c>
      <c r="M7915" s="94">
        <f>VLOOKUP($Q7915,매칭테이블!$F:$I,2,0)*K7915</f>
        <v/>
      </c>
      <c r="N7915" s="94">
        <f>M7915-M7915*VLOOKUP($Q7915,매칭테이블!$F:$I,3,0)</f>
        <v/>
      </c>
      <c r="O7915" s="94">
        <f>VLOOKUP($Q7915,매칭테이블!$F:$I,4,0)*K7915</f>
        <v/>
      </c>
      <c r="P7915" s="148">
        <f>M7915/1.1</f>
        <v/>
      </c>
      <c r="Q7915" s="94">
        <f>F7915&amp;E7915&amp;G7915&amp;L7915</f>
        <v/>
      </c>
    </row>
    <row r="7916">
      <c r="A7916" s="94" t="n"/>
      <c r="B7916" s="128" t="n">
        <v>44036</v>
      </c>
      <c r="C7916" s="94">
        <f>TEXT(B7916,"aaa")</f>
        <v/>
      </c>
      <c r="D7916" s="94" t="n"/>
      <c r="E7916" s="94" t="inlineStr">
        <is>
          <t>수딩크림</t>
        </is>
      </c>
      <c r="F7916" s="5" t="inlineStr">
        <is>
          <t>카페24</t>
        </is>
      </c>
      <c r="G7916" s="94" t="inlineStr">
        <is>
          <t>수딩크림 100ml</t>
        </is>
      </c>
      <c r="H7916" s="7" t="n">
        <v>190801</v>
      </c>
      <c r="I7916" s="7" t="n">
        <v>190801</v>
      </c>
      <c r="J7916" s="94" t="n"/>
      <c r="K7916" s="94" t="n">
        <v>6</v>
      </c>
      <c r="L7916" s="7" t="n">
        <v>190801</v>
      </c>
      <c r="M7916" s="94">
        <f>VLOOKUP($Q7916,매칭테이블!$F:$I,2,0)*K7916</f>
        <v/>
      </c>
      <c r="N7916" s="94">
        <f>M7916-M7916*VLOOKUP($Q7916,매칭테이블!$F:$I,3,0)</f>
        <v/>
      </c>
      <c r="O7916" s="94">
        <f>VLOOKUP($Q7916,매칭테이블!$F:$I,4,0)*K7916</f>
        <v/>
      </c>
      <c r="P7916" s="148">
        <f>M7916/1.1</f>
        <v/>
      </c>
      <c r="Q7916" s="94">
        <f>F7916&amp;E7916&amp;G7916&amp;L7916</f>
        <v/>
      </c>
    </row>
    <row r="7917">
      <c r="A7917" s="94" t="n"/>
      <c r="B7917" s="128" t="n">
        <v>44036</v>
      </c>
      <c r="C7917" s="94">
        <f>TEXT(B7917,"aaa")</f>
        <v/>
      </c>
      <c r="D7917" s="94" t="n"/>
      <c r="E7917" s="94" t="inlineStr">
        <is>
          <t>토너</t>
        </is>
      </c>
      <c r="F7917" s="5" t="inlineStr">
        <is>
          <t>아누아 CS</t>
        </is>
      </c>
      <c r="G7917" s="94" t="inlineStr">
        <is>
          <t>250ml</t>
        </is>
      </c>
      <c r="H7917" s="7" t="n">
        <v>190801</v>
      </c>
      <c r="I7917" s="7" t="n">
        <v>190801</v>
      </c>
      <c r="J7917" s="94" t="n"/>
      <c r="K7917" s="94" t="n">
        <v>3</v>
      </c>
      <c r="L7917" s="7" t="n">
        <v>190801</v>
      </c>
      <c r="M7917" s="94">
        <f>VLOOKUP($Q7917,매칭테이블!$F:$I,2,0)*K7917</f>
        <v/>
      </c>
      <c r="N7917" s="94">
        <f>M7917-M7917*VLOOKUP($Q7917,매칭테이블!$F:$I,3,0)</f>
        <v/>
      </c>
      <c r="O7917" s="94">
        <f>VLOOKUP($Q7917,매칭테이블!$F:$I,4,0)*K7917</f>
        <v/>
      </c>
      <c r="P7917" s="148">
        <f>M7917/1.1</f>
        <v/>
      </c>
      <c r="Q7917" s="94">
        <f>F7917&amp;E7917&amp;G7917&amp;L7917</f>
        <v/>
      </c>
    </row>
    <row r="7918">
      <c r="A7918" s="94" t="n"/>
      <c r="B7918" s="128" t="n">
        <v>44036</v>
      </c>
      <c r="C7918" s="94">
        <f>TEXT(B7918,"aaa")</f>
        <v/>
      </c>
      <c r="D7918" s="94" t="n"/>
      <c r="E7918" s="94" t="inlineStr">
        <is>
          <t>화장솜</t>
        </is>
      </c>
      <c r="F7918" s="5" t="inlineStr">
        <is>
          <t>아누아 CS</t>
        </is>
      </c>
      <c r="G7918" s="94" t="inlineStr">
        <is>
          <t>스킨팩 화장솜 60P</t>
        </is>
      </c>
      <c r="H7918" s="7" t="n">
        <v>190801</v>
      </c>
      <c r="I7918" s="7" t="n">
        <v>190801</v>
      </c>
      <c r="J7918" s="94" t="n"/>
      <c r="K7918" s="94" t="n">
        <v>3</v>
      </c>
      <c r="L7918" s="7" t="n">
        <v>190801</v>
      </c>
      <c r="M7918" s="94">
        <f>VLOOKUP($Q7918,매칭테이블!$F:$I,2,0)*K7918</f>
        <v/>
      </c>
      <c r="N7918" s="94">
        <f>M7918-M7918*VLOOKUP($Q7918,매칭테이블!$F:$I,3,0)</f>
        <v/>
      </c>
      <c r="O7918" s="94">
        <f>VLOOKUP($Q7918,매칭테이블!$F:$I,4,0)*K7918</f>
        <v/>
      </c>
      <c r="P7918" s="148">
        <f>M7918/1.1</f>
        <v/>
      </c>
      <c r="Q7918" s="94">
        <f>F7918&amp;E7918&amp;G7918&amp;L7918</f>
        <v/>
      </c>
    </row>
    <row r="7919">
      <c r="A7919" s="94" t="n"/>
      <c r="B7919" s="128" t="n">
        <v>44036</v>
      </c>
      <c r="C7919" s="94">
        <f>TEXT(B7919,"aaa")</f>
        <v/>
      </c>
      <c r="D7919" s="94" t="n"/>
      <c r="E7919" s="94" t="inlineStr">
        <is>
          <t>앰플</t>
        </is>
      </c>
      <c r="F7919" s="5" t="inlineStr">
        <is>
          <t>아누아 CS</t>
        </is>
      </c>
      <c r="G7919" s="94" t="inlineStr">
        <is>
          <t>앰플 30ml</t>
        </is>
      </c>
      <c r="H7919" s="7" t="n">
        <v>190801</v>
      </c>
      <c r="I7919" s="7" t="n">
        <v>190801</v>
      </c>
      <c r="J7919" s="94" t="n"/>
      <c r="K7919" s="94" t="n">
        <v>3</v>
      </c>
      <c r="L7919" s="7" t="n">
        <v>190801</v>
      </c>
      <c r="M7919" s="94">
        <f>VLOOKUP($Q7919,매칭테이블!$F:$I,2,0)*K7919</f>
        <v/>
      </c>
      <c r="N7919" s="94">
        <f>M7919-M7919*VLOOKUP($Q7919,매칭테이블!$F:$I,3,0)</f>
        <v/>
      </c>
      <c r="O7919" s="94">
        <f>VLOOKUP($Q7919,매칭테이블!$F:$I,4,0)*K7919</f>
        <v/>
      </c>
      <c r="P7919" s="148">
        <f>M7919/1.1</f>
        <v/>
      </c>
      <c r="Q7919" s="94">
        <f>F7919&amp;E7919&amp;G7919&amp;L7919</f>
        <v/>
      </c>
    </row>
    <row r="7920">
      <c r="A7920" s="94" t="n"/>
      <c r="B7920" s="128" t="n">
        <v>44036</v>
      </c>
      <c r="C7920" s="94">
        <f>TEXT(B7920,"aaa")</f>
        <v/>
      </c>
      <c r="D7920" s="94" t="n"/>
      <c r="E7920" s="94" t="inlineStr">
        <is>
          <t>마스크팩</t>
        </is>
      </c>
      <c r="F7920" s="5" t="inlineStr">
        <is>
          <t>아누아 CS</t>
        </is>
      </c>
      <c r="G7920" s="94" t="inlineStr">
        <is>
          <t>마스크팩 10매</t>
        </is>
      </c>
      <c r="H7920" s="7" t="n">
        <v>190801</v>
      </c>
      <c r="I7920" s="7" t="n">
        <v>190801</v>
      </c>
      <c r="J7920" s="94" t="n"/>
      <c r="K7920" s="94" t="n">
        <v>1</v>
      </c>
      <c r="L7920" s="7" t="n">
        <v>190801</v>
      </c>
      <c r="M7920" s="94">
        <f>VLOOKUP($Q7920,매칭테이블!$F:$I,2,0)*K7920</f>
        <v/>
      </c>
      <c r="N7920" s="94">
        <f>M7920-M7920*VLOOKUP($Q7920,매칭테이블!$F:$I,3,0)</f>
        <v/>
      </c>
      <c r="O7920" s="94">
        <f>VLOOKUP($Q7920,매칭테이블!$F:$I,4,0)*K7920</f>
        <v/>
      </c>
      <c r="P7920" s="148">
        <f>M7920/1.1</f>
        <v/>
      </c>
      <c r="Q7920" s="94">
        <f>F7920&amp;E7920&amp;G7920&amp;L7920</f>
        <v/>
      </c>
    </row>
    <row r="7921">
      <c r="A7921" s="94" t="n"/>
      <c r="B7921" s="128" t="n">
        <v>44036</v>
      </c>
      <c r="C7921" s="94">
        <f>TEXT(B7921,"aaa")</f>
        <v/>
      </c>
      <c r="D7921" s="94" t="n"/>
      <c r="E7921" s="94" t="inlineStr">
        <is>
          <t>선크림</t>
        </is>
      </c>
      <c r="F7921" s="5" t="inlineStr">
        <is>
          <t>아누아 CS</t>
        </is>
      </c>
      <c r="G7921" s="94" t="inlineStr">
        <is>
          <t>선크림 50ml</t>
        </is>
      </c>
      <c r="H7921" s="7" t="n">
        <v>190801</v>
      </c>
      <c r="I7921" s="7" t="n">
        <v>190801</v>
      </c>
      <c r="J7921" s="94" t="n"/>
      <c r="K7921" s="94" t="n">
        <v>3</v>
      </c>
      <c r="L7921" s="7" t="n">
        <v>190801</v>
      </c>
      <c r="M7921" s="94">
        <f>VLOOKUP($Q7921,매칭테이블!$F:$I,2,0)*K7921</f>
        <v/>
      </c>
      <c r="N7921" s="94">
        <f>M7921-M7921*VLOOKUP($Q7921,매칭테이블!$F:$I,3,0)</f>
        <v/>
      </c>
      <c r="O7921" s="94">
        <f>VLOOKUP($Q7921,매칭테이블!$F:$I,4,0)*K7921</f>
        <v/>
      </c>
      <c r="P7921" s="148">
        <f>M7921/1.1</f>
        <v/>
      </c>
      <c r="Q7921" s="94">
        <f>F7921&amp;E7921&amp;G7921&amp;L7921</f>
        <v/>
      </c>
    </row>
    <row r="7922">
      <c r="A7922" s="94" t="n"/>
      <c r="B7922" s="128" t="n">
        <v>44036</v>
      </c>
      <c r="C7922" s="94">
        <f>TEXT(B7922,"aaa")</f>
        <v/>
      </c>
      <c r="D7922" s="94" t="n"/>
      <c r="E7922" s="94" t="inlineStr">
        <is>
          <t>토너</t>
        </is>
      </c>
      <c r="F7922" s="5" t="inlineStr">
        <is>
          <t>큐텐재팬</t>
        </is>
      </c>
      <c r="G7922" s="94" t="inlineStr">
        <is>
          <t>200726=250ml</t>
        </is>
      </c>
      <c r="H7922" s="7" t="n">
        <v>190801</v>
      </c>
      <c r="I7922" s="7" t="n">
        <v>190801</v>
      </c>
      <c r="J7922" s="94" t="n"/>
      <c r="K7922" s="94" t="n">
        <v>15</v>
      </c>
      <c r="L7922" s="7" t="n">
        <v>190801</v>
      </c>
      <c r="M7922" s="94">
        <f>VLOOKUP($Q7922,매칭테이블!$F:$I,2,0)*K7922</f>
        <v/>
      </c>
      <c r="N7922" s="94">
        <f>M7922-M7922*VLOOKUP($Q7922,매칭테이블!$F:$I,3,0)</f>
        <v/>
      </c>
      <c r="O7922" s="94">
        <f>VLOOKUP($Q7922,매칭테이블!$F:$I,4,0)*K7922</f>
        <v/>
      </c>
      <c r="P7922" s="148">
        <f>M7922/1.1</f>
        <v/>
      </c>
      <c r="Q7922" s="94">
        <f>F7922&amp;E7922&amp;G7922&amp;L7922</f>
        <v/>
      </c>
    </row>
    <row r="7923">
      <c r="A7923" s="94" t="n"/>
      <c r="B7923" s="128" t="n">
        <v>44036</v>
      </c>
      <c r="C7923" s="94">
        <f>TEXT(B7923,"aaa")</f>
        <v/>
      </c>
      <c r="D7923" s="94" t="n"/>
      <c r="E7923" s="94" t="inlineStr">
        <is>
          <t>수딩크림</t>
        </is>
      </c>
      <c r="F7923" s="5" t="inlineStr">
        <is>
          <t>큐텐재팬</t>
        </is>
      </c>
      <c r="G7923" s="94" t="inlineStr">
        <is>
          <t>200726=수딩크림 100ml</t>
        </is>
      </c>
      <c r="H7923" s="7" t="n">
        <v>190801</v>
      </c>
      <c r="I7923" s="7" t="n">
        <v>190801</v>
      </c>
      <c r="J7923" s="94" t="n"/>
      <c r="K7923" s="94" t="n">
        <v>1</v>
      </c>
      <c r="L7923" s="7" t="n">
        <v>190801</v>
      </c>
      <c r="M7923" s="94">
        <f>VLOOKUP($Q7923,매칭테이블!$F:$I,2,0)*K7923</f>
        <v/>
      </c>
      <c r="N7923" s="94">
        <f>M7923-M7923*VLOOKUP($Q7923,매칭테이블!$F:$I,3,0)</f>
        <v/>
      </c>
      <c r="O7923" s="94">
        <f>VLOOKUP($Q7923,매칭테이블!$F:$I,4,0)*K7923</f>
        <v/>
      </c>
      <c r="P7923" s="148">
        <f>M7923/1.1</f>
        <v/>
      </c>
      <c r="Q7923" s="94">
        <f>F7923&amp;E7923&amp;G7923&amp;L7923</f>
        <v/>
      </c>
    </row>
    <row r="7924">
      <c r="A7924" s="94" t="n"/>
      <c r="B7924" s="128" t="n">
        <v>44036</v>
      </c>
      <c r="C7924" s="94">
        <f>TEXT(B7924,"aaa")</f>
        <v/>
      </c>
      <c r="D7924" s="94" t="n"/>
      <c r="E7924" s="94" t="inlineStr">
        <is>
          <t>앰플</t>
        </is>
      </c>
      <c r="F7924" s="5" t="inlineStr">
        <is>
          <t>큐텐재팬</t>
        </is>
      </c>
      <c r="G7924" s="94" t="inlineStr">
        <is>
          <t>200726=앰플 30ml</t>
        </is>
      </c>
      <c r="H7924" s="7" t="n">
        <v>190801</v>
      </c>
      <c r="I7924" s="7" t="n">
        <v>190801</v>
      </c>
      <c r="J7924" s="94" t="n"/>
      <c r="K7924" s="94" t="n">
        <v>1</v>
      </c>
      <c r="L7924" s="7" t="n">
        <v>190801</v>
      </c>
      <c r="M7924" s="94">
        <f>VLOOKUP($Q7924,매칭테이블!$F:$I,2,0)*K7924</f>
        <v/>
      </c>
      <c r="N7924" s="94">
        <f>M7924-M7924*VLOOKUP($Q7924,매칭테이블!$F:$I,3,0)</f>
        <v/>
      </c>
      <c r="O7924" s="94">
        <f>VLOOKUP($Q7924,매칭테이블!$F:$I,4,0)*K7924</f>
        <v/>
      </c>
      <c r="P7924" s="148">
        <f>M7924/1.1</f>
        <v/>
      </c>
      <c r="Q7924" s="94">
        <f>F7924&amp;E7924&amp;G7924&amp;L7924</f>
        <v/>
      </c>
    </row>
    <row r="7925">
      <c r="A7925" s="94" t="n"/>
      <c r="B7925" s="128" t="n">
        <v>44036</v>
      </c>
      <c r="C7925" s="94">
        <f>TEXT(B7925,"aaa")</f>
        <v/>
      </c>
      <c r="D7925" s="94" t="n"/>
      <c r="E7925" s="94" t="inlineStr">
        <is>
          <t>토너</t>
        </is>
      </c>
      <c r="F7925" s="5" t="inlineStr">
        <is>
          <t>큐텐재팬</t>
        </is>
      </c>
      <c r="G7925" s="94" t="inlineStr">
        <is>
          <t>200726=250ml 2set</t>
        </is>
      </c>
      <c r="H7925" s="7" t="n">
        <v>190801</v>
      </c>
      <c r="I7925" s="7" t="n">
        <v>190801</v>
      </c>
      <c r="J7925" s="94" t="n"/>
      <c r="K7925" s="94" t="n">
        <v>5</v>
      </c>
      <c r="L7925" s="7" t="n">
        <v>190801</v>
      </c>
      <c r="M7925" s="94">
        <f>VLOOKUP($Q7925,매칭테이블!$F:$I,2,0)*K7925</f>
        <v/>
      </c>
      <c r="N7925" s="94">
        <f>M7925-M7925*VLOOKUP($Q7925,매칭테이블!$F:$I,3,0)</f>
        <v/>
      </c>
      <c r="O7925" s="94">
        <f>VLOOKUP($Q7925,매칭테이블!$F:$I,4,0)*K7925</f>
        <v/>
      </c>
      <c r="P7925" s="148">
        <f>M7925/1.1</f>
        <v/>
      </c>
      <c r="Q7925" s="94">
        <f>F7925&amp;E7925&amp;G7925&amp;L7925</f>
        <v/>
      </c>
    </row>
    <row r="7926">
      <c r="A7926" s="94" t="n"/>
      <c r="B7926" s="128" t="n">
        <v>44036</v>
      </c>
      <c r="C7926" s="94">
        <f>TEXT(B7926,"aaa")</f>
        <v/>
      </c>
      <c r="D7926" s="94" t="n"/>
      <c r="E7926" s="94" t="inlineStr">
        <is>
          <t>토너</t>
        </is>
      </c>
      <c r="F7926" s="5" t="inlineStr">
        <is>
          <t>쇼피태국</t>
        </is>
      </c>
      <c r="G7926" s="94" t="inlineStr">
        <is>
          <t>200726=250ml</t>
        </is>
      </c>
      <c r="H7926" s="7" t="n">
        <v>190801</v>
      </c>
      <c r="I7926" s="7" t="n">
        <v>190801</v>
      </c>
      <c r="J7926" s="94" t="n"/>
      <c r="K7926" s="94" t="n">
        <v>1</v>
      </c>
      <c r="L7926" s="7" t="n">
        <v>190801</v>
      </c>
      <c r="M7926" s="94">
        <f>VLOOKUP($Q7926,매칭테이블!$F:$I,2,0)*K7926</f>
        <v/>
      </c>
      <c r="N7926" s="94">
        <f>M7926-M7926*VLOOKUP($Q7926,매칭테이블!$F:$I,3,0)</f>
        <v/>
      </c>
      <c r="O7926" s="94">
        <f>VLOOKUP($Q7926,매칭테이블!$F:$I,4,0)*K7926</f>
        <v/>
      </c>
      <c r="P7926" s="148">
        <f>M7926/1.1</f>
        <v/>
      </c>
      <c r="Q7926" s="94">
        <f>F7926&amp;E7926&amp;G7926&amp;L7926</f>
        <v/>
      </c>
    </row>
    <row r="7927">
      <c r="A7927" s="94" t="n"/>
      <c r="B7927" s="128" t="n">
        <v>44036</v>
      </c>
      <c r="C7927" s="94">
        <f>TEXT(B7927,"aaa")</f>
        <v/>
      </c>
      <c r="D7927" s="94" t="n"/>
      <c r="E7927" s="94" t="inlineStr">
        <is>
          <t>머드크림마스크</t>
        </is>
      </c>
      <c r="F7927" s="5" t="inlineStr">
        <is>
          <t>쇼피태국</t>
        </is>
      </c>
      <c r="G7927" s="94" t="inlineStr">
        <is>
          <t>200726=머드크림마스크 100ml</t>
        </is>
      </c>
      <c r="H7927" s="7" t="n">
        <v>190801</v>
      </c>
      <c r="I7927" s="7" t="n">
        <v>190801</v>
      </c>
      <c r="J7927" s="94" t="n"/>
      <c r="K7927" s="94" t="n">
        <v>1</v>
      </c>
      <c r="L7927" s="7" t="n">
        <v>190801</v>
      </c>
      <c r="M7927" s="94">
        <f>VLOOKUP($Q7927,매칭테이블!$F:$I,2,0)*K7927</f>
        <v/>
      </c>
      <c r="N7927" s="94">
        <f>M7927-M7927*VLOOKUP($Q7927,매칭테이블!$F:$I,3,0)</f>
        <v/>
      </c>
      <c r="O7927" s="94">
        <f>VLOOKUP($Q7927,매칭테이블!$F:$I,4,0)*K7927</f>
        <v/>
      </c>
      <c r="P7927" s="148">
        <f>M7927/1.1</f>
        <v/>
      </c>
      <c r="Q7927" s="94">
        <f>F7927&amp;E7927&amp;G7927&amp;L7927</f>
        <v/>
      </c>
    </row>
    <row r="7928">
      <c r="A7928" s="94" t="n"/>
      <c r="B7928" s="128" t="n">
        <v>44036</v>
      </c>
      <c r="C7928" s="94">
        <f>TEXT(B7928,"aaa")</f>
        <v/>
      </c>
      <c r="D7928" s="94" t="n"/>
      <c r="E7928" s="94" t="inlineStr">
        <is>
          <t>앰플</t>
        </is>
      </c>
      <c r="F7928" s="5" t="inlineStr">
        <is>
          <t>쇼피태국</t>
        </is>
      </c>
      <c r="G7928" s="94" t="inlineStr">
        <is>
          <t>200726=앰플 30ml</t>
        </is>
      </c>
      <c r="H7928" s="7" t="n">
        <v>190801</v>
      </c>
      <c r="I7928" s="7" t="n">
        <v>190801</v>
      </c>
      <c r="J7928" s="94" t="n"/>
      <c r="K7928" s="94" t="n">
        <v>2</v>
      </c>
      <c r="L7928" s="7" t="n">
        <v>190801</v>
      </c>
      <c r="M7928" s="94">
        <f>VLOOKUP($Q7928,매칭테이블!$F:$I,2,0)*K7928</f>
        <v/>
      </c>
      <c r="N7928" s="94">
        <f>M7928-M7928*VLOOKUP($Q7928,매칭테이블!$F:$I,3,0)</f>
        <v/>
      </c>
      <c r="O7928" s="94">
        <f>VLOOKUP($Q7928,매칭테이블!$F:$I,4,0)*K7928</f>
        <v/>
      </c>
      <c r="P7928" s="148">
        <f>M7928/1.1</f>
        <v/>
      </c>
      <c r="Q7928" s="94">
        <f>F7928&amp;E7928&amp;G7928&amp;L7928</f>
        <v/>
      </c>
    </row>
    <row r="7929">
      <c r="A7929" s="94" t="n"/>
      <c r="B7929" s="128" t="n">
        <v>44036</v>
      </c>
      <c r="C7929" s="94">
        <f>TEXT(B7929,"aaa")</f>
        <v/>
      </c>
      <c r="D7929" s="94" t="n"/>
      <c r="E7929" s="94" t="inlineStr">
        <is>
          <t>선크림</t>
        </is>
      </c>
      <c r="F7929" s="5" t="inlineStr">
        <is>
          <t>쇼피태국</t>
        </is>
      </c>
      <c r="G7929" s="94" t="inlineStr">
        <is>
          <t>200726=선크림 50ml</t>
        </is>
      </c>
      <c r="H7929" s="7" t="n">
        <v>190801</v>
      </c>
      <c r="I7929" s="7" t="n">
        <v>190801</v>
      </c>
      <c r="J7929" s="94" t="n"/>
      <c r="K7929" s="94" t="n">
        <v>1</v>
      </c>
      <c r="L7929" s="7" t="n">
        <v>190801</v>
      </c>
      <c r="M7929" s="94">
        <f>VLOOKUP($Q7929,매칭테이블!$F:$I,2,0)*K7929</f>
        <v/>
      </c>
      <c r="N7929" s="94">
        <f>M7929-M7929*VLOOKUP($Q7929,매칭테이블!$F:$I,3,0)</f>
        <v/>
      </c>
      <c r="O7929" s="94">
        <f>VLOOKUP($Q7929,매칭테이블!$F:$I,4,0)*K7929</f>
        <v/>
      </c>
      <c r="P7929" s="148">
        <f>M7929/1.1</f>
        <v/>
      </c>
      <c r="Q7929" s="94">
        <f>F7929&amp;E7929&amp;G7929&amp;L7929</f>
        <v/>
      </c>
    </row>
    <row r="7930">
      <c r="A7930" s="94" t="n"/>
      <c r="B7930" s="128" t="n">
        <v>44036</v>
      </c>
      <c r="C7930" s="94">
        <f>TEXT(B7930,"aaa")</f>
        <v/>
      </c>
      <c r="D7930" s="94" t="n"/>
      <c r="E7930" s="94" t="inlineStr">
        <is>
          <t>토너</t>
        </is>
      </c>
      <c r="F7930" s="5" t="inlineStr">
        <is>
          <t>화해</t>
        </is>
      </c>
      <c r="G7930" s="94" t="inlineStr">
        <is>
          <t>250ml</t>
        </is>
      </c>
      <c r="H7930" s="7" t="n">
        <v>190801</v>
      </c>
      <c r="I7930" s="7" t="n">
        <v>190801</v>
      </c>
      <c r="J7930" s="94" t="n"/>
      <c r="K7930" s="94" t="n">
        <v>1</v>
      </c>
      <c r="L7930" s="7" t="n">
        <v>190801</v>
      </c>
      <c r="M7930" s="94">
        <f>VLOOKUP($Q7930,매칭테이블!$F:$I,2,0)*K7930</f>
        <v/>
      </c>
      <c r="N7930" s="94">
        <f>M7930-M7930*VLOOKUP($Q7930,매칭테이블!$F:$I,3,0)</f>
        <v/>
      </c>
      <c r="O7930" s="94">
        <f>VLOOKUP($Q7930,매칭테이블!$F:$I,4,0)*K7930</f>
        <v/>
      </c>
      <c r="P7930" s="148">
        <f>M7930/1.1</f>
        <v/>
      </c>
      <c r="Q7930" s="94">
        <f>F7930&amp;E7930&amp;G7930&amp;L7930</f>
        <v/>
      </c>
    </row>
    <row r="7931">
      <c r="A7931" s="94" t="n"/>
      <c r="B7931" s="128" t="n">
        <v>44036</v>
      </c>
      <c r="C7931" s="94">
        <f>TEXT(B7931,"aaa")</f>
        <v/>
      </c>
      <c r="D7931" s="94" t="n"/>
      <c r="E7931" s="94" t="inlineStr">
        <is>
          <t>선크림</t>
        </is>
      </c>
      <c r="F7931" s="5" t="inlineStr">
        <is>
          <t>화해</t>
        </is>
      </c>
      <c r="G7931" s="94" t="inlineStr">
        <is>
          <t>선크림 50ml</t>
        </is>
      </c>
      <c r="H7931" s="7" t="n">
        <v>190801</v>
      </c>
      <c r="I7931" s="7" t="n">
        <v>190801</v>
      </c>
      <c r="J7931" s="94" t="n"/>
      <c r="K7931" s="94" t="n">
        <v>3</v>
      </c>
      <c r="L7931" s="7" t="n">
        <v>190801</v>
      </c>
      <c r="M7931" s="94">
        <f>VLOOKUP($Q7931,매칭테이블!$F:$I,2,0)*K7931</f>
        <v/>
      </c>
      <c r="N7931" s="94">
        <f>M7931-M7931*VLOOKUP($Q7931,매칭테이블!$F:$I,3,0)</f>
        <v/>
      </c>
      <c r="O7931" s="94">
        <f>VLOOKUP($Q7931,매칭테이블!$F:$I,4,0)*K7931</f>
        <v/>
      </c>
      <c r="P7931" s="148">
        <f>M7931/1.1</f>
        <v/>
      </c>
      <c r="Q7931" s="94">
        <f>F7931&amp;E7931&amp;G7931&amp;L7931</f>
        <v/>
      </c>
    </row>
    <row r="7932">
      <c r="A7932" s="94" t="n"/>
      <c r="B7932" s="128" t="n">
        <v>44037</v>
      </c>
      <c r="C7932" s="94">
        <f>TEXT(B7932,"aaa")</f>
        <v/>
      </c>
      <c r="D7932" s="94" t="n"/>
      <c r="E7932" s="94" t="inlineStr">
        <is>
          <t>선크림</t>
        </is>
      </c>
      <c r="F7932" s="5" t="inlineStr">
        <is>
          <t>카페24</t>
        </is>
      </c>
      <c r="G7932" s="94" t="inlineStr">
        <is>
          <t>선크림 50ml</t>
        </is>
      </c>
      <c r="H7932" s="7" t="n">
        <v>190801</v>
      </c>
      <c r="I7932" s="7" t="n">
        <v>190801</v>
      </c>
      <c r="J7932" s="94" t="n"/>
      <c r="K7932" s="94" t="n">
        <v>4</v>
      </c>
      <c r="L7932" s="7" t="n">
        <v>190801</v>
      </c>
      <c r="M7932" s="94">
        <f>VLOOKUP($Q7932,매칭테이블!$F:$I,2,0)*K7932</f>
        <v/>
      </c>
      <c r="N7932" s="94">
        <f>M7932-M7932*VLOOKUP($Q7932,매칭테이블!$F:$I,3,0)</f>
        <v/>
      </c>
      <c r="O7932" s="94">
        <f>VLOOKUP($Q7932,매칭테이블!$F:$I,4,0)*K7932</f>
        <v/>
      </c>
      <c r="P7932" s="148">
        <f>M7932/1.1</f>
        <v/>
      </c>
      <c r="Q7932" s="94">
        <f>F7932&amp;E7932&amp;G7932&amp;L7932</f>
        <v/>
      </c>
    </row>
    <row r="7933">
      <c r="A7933" s="94" t="n"/>
      <c r="B7933" s="128" t="n">
        <v>44037</v>
      </c>
      <c r="C7933" s="94">
        <f>TEXT(B7933,"aaa")</f>
        <v/>
      </c>
      <c r="D7933" s="94" t="n"/>
      <c r="E7933" s="94" t="inlineStr">
        <is>
          <t>선크림</t>
        </is>
      </c>
      <c r="F7933" s="5" t="inlineStr">
        <is>
          <t>카페24</t>
        </is>
      </c>
      <c r="G7933" s="94" t="inlineStr">
        <is>
          <t>선크림 50ml  2set</t>
        </is>
      </c>
      <c r="H7933" s="7" t="n">
        <v>190801</v>
      </c>
      <c r="I7933" s="7" t="n">
        <v>190801</v>
      </c>
      <c r="J7933" s="94" t="n"/>
      <c r="K7933" s="94" t="n">
        <v>1</v>
      </c>
      <c r="L7933" s="7" t="n">
        <v>190801</v>
      </c>
      <c r="M7933" s="94">
        <f>VLOOKUP($Q7933,매칭테이블!$F:$I,2,0)*K7933</f>
        <v/>
      </c>
      <c r="N7933" s="94">
        <f>M7933-M7933*VLOOKUP($Q7933,매칭테이블!$F:$I,3,0)</f>
        <v/>
      </c>
      <c r="O7933" s="94">
        <f>VLOOKUP($Q7933,매칭테이블!$F:$I,4,0)*K7933</f>
        <v/>
      </c>
      <c r="P7933" s="148">
        <f>M7933/1.1</f>
        <v/>
      </c>
      <c r="Q7933" s="94">
        <f>F7933&amp;E7933&amp;G7933&amp;L7933</f>
        <v/>
      </c>
    </row>
    <row r="7934">
      <c r="A7934" s="94" t="n"/>
      <c r="B7934" s="128" t="n">
        <v>44037</v>
      </c>
      <c r="C7934" s="94">
        <f>TEXT(B7934,"aaa")</f>
        <v/>
      </c>
      <c r="D7934" s="94" t="n"/>
      <c r="E7934" s="94" t="inlineStr">
        <is>
          <t>여름 한정 진정세트</t>
        </is>
      </c>
      <c r="F7934" s="5" t="inlineStr">
        <is>
          <t>카페24</t>
        </is>
      </c>
      <c r="G7934" s="94" t="inlineStr">
        <is>
          <t>여름 한정 진정세트 (대용량)</t>
        </is>
      </c>
      <c r="H7934" s="7" t="n">
        <v>190801</v>
      </c>
      <c r="I7934" s="7" t="n">
        <v>190801</v>
      </c>
      <c r="J7934" s="94" t="n"/>
      <c r="K7934" s="94" t="n">
        <v>3</v>
      </c>
      <c r="L7934" s="7" t="n">
        <v>190801</v>
      </c>
      <c r="M7934" s="94">
        <f>VLOOKUP($Q7934,매칭테이블!$F:$I,2,0)*K7934</f>
        <v/>
      </c>
      <c r="N7934" s="94">
        <f>M7934-M7934*VLOOKUP($Q7934,매칭테이블!$F:$I,3,0)</f>
        <v/>
      </c>
      <c r="O7934" s="94">
        <f>VLOOKUP($Q7934,매칭테이블!$F:$I,4,0)*K7934</f>
        <v/>
      </c>
      <c r="P7934" s="148">
        <f>M7934/1.1</f>
        <v/>
      </c>
      <c r="Q7934" s="94">
        <f>F7934&amp;E7934&amp;G7934&amp;L7934</f>
        <v/>
      </c>
    </row>
    <row r="7935">
      <c r="A7935" s="94" t="n"/>
      <c r="B7935" s="128" t="n">
        <v>44037</v>
      </c>
      <c r="C7935" s="94">
        <f>TEXT(B7935,"aaa")</f>
        <v/>
      </c>
      <c r="D7935" s="94" t="n"/>
      <c r="E7935" s="94" t="inlineStr">
        <is>
          <t>머드크림마스크</t>
        </is>
      </c>
      <c r="F7935" s="5" t="inlineStr">
        <is>
          <t>카페24</t>
        </is>
      </c>
      <c r="G7935" s="94" t="inlineStr">
        <is>
          <t>머드크림마스크 100ml</t>
        </is>
      </c>
      <c r="H7935" s="7" t="n">
        <v>190801</v>
      </c>
      <c r="I7935" s="7" t="n">
        <v>190801</v>
      </c>
      <c r="J7935" s="94" t="n"/>
      <c r="K7935" s="94" t="n">
        <v>2</v>
      </c>
      <c r="L7935" s="7" t="n">
        <v>190801</v>
      </c>
      <c r="M7935" s="94">
        <f>VLOOKUP($Q7935,매칭테이블!$F:$I,2,0)*K7935</f>
        <v/>
      </c>
      <c r="N7935" s="94">
        <f>M7935-M7935*VLOOKUP($Q7935,매칭테이블!$F:$I,3,0)</f>
        <v/>
      </c>
      <c r="O7935" s="94">
        <f>VLOOKUP($Q7935,매칭테이블!$F:$I,4,0)*K7935</f>
        <v/>
      </c>
      <c r="P7935" s="148">
        <f>M7935/1.1</f>
        <v/>
      </c>
      <c r="Q7935" s="94">
        <f>F7935&amp;E7935&amp;G7935&amp;L7935</f>
        <v/>
      </c>
    </row>
    <row r="7936">
      <c r="A7936" s="94" t="n"/>
      <c r="B7936" s="128" t="n">
        <v>44037</v>
      </c>
      <c r="C7936" s="94">
        <f>TEXT(B7936,"aaa")</f>
        <v/>
      </c>
      <c r="D7936" s="94" t="n"/>
      <c r="E7936" s="94" t="inlineStr">
        <is>
          <t>토너</t>
        </is>
      </c>
      <c r="F7936" s="5" t="inlineStr">
        <is>
          <t>카페24</t>
        </is>
      </c>
      <c r="G7936" s="94" t="inlineStr">
        <is>
          <t>250ml</t>
        </is>
      </c>
      <c r="H7936" s="7" t="n">
        <v>190801</v>
      </c>
      <c r="I7936" s="7" t="n">
        <v>190801</v>
      </c>
      <c r="J7936" s="94" t="n"/>
      <c r="K7936" s="94" t="n">
        <v>40</v>
      </c>
      <c r="L7936" s="7" t="n">
        <v>190801</v>
      </c>
      <c r="M7936" s="94">
        <f>VLOOKUP($Q7936,매칭테이블!$F:$I,2,0)*K7936</f>
        <v/>
      </c>
      <c r="N7936" s="94">
        <f>M7936-M7936*VLOOKUP($Q7936,매칭테이블!$F:$I,3,0)</f>
        <v/>
      </c>
      <c r="O7936" s="94">
        <f>VLOOKUP($Q7936,매칭테이블!$F:$I,4,0)*K7936</f>
        <v/>
      </c>
      <c r="P7936" s="148">
        <f>M7936/1.1</f>
        <v/>
      </c>
      <c r="Q7936" s="94">
        <f>F7936&amp;E7936&amp;G7936&amp;L7936</f>
        <v/>
      </c>
    </row>
    <row r="7937">
      <c r="A7937" s="94" t="n"/>
      <c r="B7937" s="128" t="n">
        <v>44037</v>
      </c>
      <c r="C7937" s="94">
        <f>TEXT(B7937,"aaa")</f>
        <v/>
      </c>
      <c r="D7937" s="94" t="n"/>
      <c r="E7937" s="94" t="inlineStr">
        <is>
          <t>토너</t>
        </is>
      </c>
      <c r="F7937" s="5" t="inlineStr">
        <is>
          <t>카페24</t>
        </is>
      </c>
      <c r="G7937" s="94" t="inlineStr">
        <is>
          <t>250ml 2set</t>
        </is>
      </c>
      <c r="H7937" s="7" t="n">
        <v>190801</v>
      </c>
      <c r="I7937" s="7" t="n">
        <v>190801</v>
      </c>
      <c r="J7937" s="94" t="n"/>
      <c r="K7937" s="94" t="n">
        <v>45</v>
      </c>
      <c r="L7937" s="7" t="n">
        <v>190801</v>
      </c>
      <c r="M7937" s="94">
        <f>VLOOKUP($Q7937,매칭테이블!$F:$I,2,0)*K7937</f>
        <v/>
      </c>
      <c r="N7937" s="94">
        <f>M7937-M7937*VLOOKUP($Q7937,매칭테이블!$F:$I,3,0)</f>
        <v/>
      </c>
      <c r="O7937" s="94">
        <f>VLOOKUP($Q7937,매칭테이블!$F:$I,4,0)*K7937</f>
        <v/>
      </c>
      <c r="P7937" s="148">
        <f>M7937/1.1</f>
        <v/>
      </c>
      <c r="Q7937" s="94">
        <f>F7937&amp;E7937&amp;G7937&amp;L7937</f>
        <v/>
      </c>
    </row>
    <row r="7938">
      <c r="A7938" s="94" t="n"/>
      <c r="B7938" s="128" t="n">
        <v>44037</v>
      </c>
      <c r="C7938" s="94">
        <f>TEXT(B7938,"aaa")</f>
        <v/>
      </c>
      <c r="D7938" s="94" t="n"/>
      <c r="E7938" s="94" t="inlineStr">
        <is>
          <t>토너</t>
        </is>
      </c>
      <c r="F7938" s="5" t="inlineStr">
        <is>
          <t>카페24</t>
        </is>
      </c>
      <c r="G7938" s="94" t="inlineStr">
        <is>
          <t>500ml</t>
        </is>
      </c>
      <c r="H7938" s="7" t="n">
        <v>190801</v>
      </c>
      <c r="I7938" s="7" t="n">
        <v>190801</v>
      </c>
      <c r="J7938" s="94" t="n"/>
      <c r="K7938" s="94" t="n">
        <v>47</v>
      </c>
      <c r="L7938" s="7" t="n">
        <v>190801</v>
      </c>
      <c r="M7938" s="94">
        <f>VLOOKUP($Q7938,매칭테이블!$F:$I,2,0)*K7938</f>
        <v/>
      </c>
      <c r="N7938" s="94">
        <f>M7938-M7938*VLOOKUP($Q7938,매칭테이블!$F:$I,3,0)</f>
        <v/>
      </c>
      <c r="O7938" s="94">
        <f>VLOOKUP($Q7938,매칭테이블!$F:$I,4,0)*K7938</f>
        <v/>
      </c>
      <c r="P7938" s="148">
        <f>M7938/1.1</f>
        <v/>
      </c>
      <c r="Q7938" s="94">
        <f>F7938&amp;E7938&amp;G7938&amp;L7938</f>
        <v/>
      </c>
    </row>
    <row r="7939">
      <c r="A7939" s="94" t="n"/>
      <c r="B7939" s="128" t="n">
        <v>44037</v>
      </c>
      <c r="C7939" s="94">
        <f>TEXT(B7939,"aaa")</f>
        <v/>
      </c>
      <c r="D7939" s="94" t="n"/>
      <c r="E7939" s="94" t="inlineStr">
        <is>
          <t>토너</t>
        </is>
      </c>
      <c r="F7939" s="5" t="inlineStr">
        <is>
          <t>카페24</t>
        </is>
      </c>
      <c r="G7939" s="94" t="inlineStr">
        <is>
          <t>스킨팩 화장솜 60P</t>
        </is>
      </c>
      <c r="H7939" s="7" t="n">
        <v>190801</v>
      </c>
      <c r="I7939" s="7" t="n">
        <v>190801</v>
      </c>
      <c r="J7939" s="94" t="n"/>
      <c r="K7939" s="94" t="n">
        <v>46</v>
      </c>
      <c r="L7939" s="7" t="n">
        <v>190801</v>
      </c>
      <c r="M7939" s="94">
        <f>VLOOKUP($Q7939,매칭테이블!$F:$I,2,0)*K7939</f>
        <v/>
      </c>
      <c r="N7939" s="94">
        <f>M7939-M7939*VLOOKUP($Q7939,매칭테이블!$F:$I,3,0)</f>
        <v/>
      </c>
      <c r="O7939" s="94">
        <f>VLOOKUP($Q7939,매칭테이블!$F:$I,4,0)*K7939</f>
        <v/>
      </c>
      <c r="P7939" s="148">
        <f>M7939/1.1</f>
        <v/>
      </c>
      <c r="Q7939" s="94">
        <f>F7939&amp;E7939&amp;G7939&amp;L7939</f>
        <v/>
      </c>
    </row>
    <row r="7940">
      <c r="A7940" s="94" t="n"/>
      <c r="B7940" s="128" t="n">
        <v>44037</v>
      </c>
      <c r="C7940" s="94">
        <f>TEXT(B7940,"aaa")</f>
        <v/>
      </c>
      <c r="D7940" s="94" t="n"/>
      <c r="E7940" s="94" t="inlineStr">
        <is>
          <t>앰플</t>
        </is>
      </c>
      <c r="F7940" s="5" t="inlineStr">
        <is>
          <t>카페24</t>
        </is>
      </c>
      <c r="G7940" s="94" t="inlineStr">
        <is>
          <t>앰플 30ml</t>
        </is>
      </c>
      <c r="H7940" s="7" t="n">
        <v>190801</v>
      </c>
      <c r="I7940" s="7" t="n">
        <v>190801</v>
      </c>
      <c r="J7940" s="94" t="n"/>
      <c r="K7940" s="94" t="n">
        <v>7</v>
      </c>
      <c r="L7940" s="7" t="n">
        <v>190801</v>
      </c>
      <c r="M7940" s="94">
        <f>VLOOKUP($Q7940,매칭테이블!$F:$I,2,0)*K7940</f>
        <v/>
      </c>
      <c r="N7940" s="94">
        <f>M7940-M7940*VLOOKUP($Q7940,매칭테이블!$F:$I,3,0)</f>
        <v/>
      </c>
      <c r="O7940" s="94">
        <f>VLOOKUP($Q7940,매칭테이블!$F:$I,4,0)*K7940</f>
        <v/>
      </c>
      <c r="P7940" s="148">
        <f>M7940/1.1</f>
        <v/>
      </c>
      <c r="Q7940" s="94">
        <f>F7940&amp;E7940&amp;G7940&amp;L7940</f>
        <v/>
      </c>
    </row>
    <row r="7941">
      <c r="A7941" s="94" t="n"/>
      <c r="B7941" s="128" t="n">
        <v>44037</v>
      </c>
      <c r="C7941" s="94">
        <f>TEXT(B7941,"aaa")</f>
        <v/>
      </c>
      <c r="D7941" s="94" t="n"/>
      <c r="E7941" s="94" t="inlineStr">
        <is>
          <t>수딩크림</t>
        </is>
      </c>
      <c r="F7941" s="5" t="inlineStr">
        <is>
          <t>카페24</t>
        </is>
      </c>
      <c r="G7941" s="94" t="inlineStr">
        <is>
          <t>수딩크림 100ml</t>
        </is>
      </c>
      <c r="H7941" s="7" t="n">
        <v>190801</v>
      </c>
      <c r="I7941" s="7" t="n">
        <v>190801</v>
      </c>
      <c r="J7941" s="94" t="n"/>
      <c r="K7941" s="94" t="n">
        <v>7</v>
      </c>
      <c r="L7941" s="7" t="n">
        <v>190801</v>
      </c>
      <c r="M7941" s="94">
        <f>VLOOKUP($Q7941,매칭테이블!$F:$I,2,0)*K7941</f>
        <v/>
      </c>
      <c r="N7941" s="94">
        <f>M7941-M7941*VLOOKUP($Q7941,매칭테이블!$F:$I,3,0)</f>
        <v/>
      </c>
      <c r="O7941" s="94">
        <f>VLOOKUP($Q7941,매칭테이블!$F:$I,4,0)*K7941</f>
        <v/>
      </c>
      <c r="P7941" s="148">
        <f>M7941/1.1</f>
        <v/>
      </c>
      <c r="Q7941" s="94">
        <f>F7941&amp;E7941&amp;G7941&amp;L7941</f>
        <v/>
      </c>
    </row>
    <row r="7942">
      <c r="A7942" s="94" t="n"/>
      <c r="B7942" s="128" t="n">
        <v>44038</v>
      </c>
      <c r="C7942" s="94">
        <f>TEXT(B7942,"aaa")</f>
        <v/>
      </c>
      <c r="D7942" s="94" t="n"/>
      <c r="E7942" s="94" t="inlineStr">
        <is>
          <t>선크림</t>
        </is>
      </c>
      <c r="F7942" s="5" t="inlineStr">
        <is>
          <t>카페24</t>
        </is>
      </c>
      <c r="G7942" s="94" t="inlineStr">
        <is>
          <t>선크림 50ml</t>
        </is>
      </c>
      <c r="H7942" s="7" t="n">
        <v>190801</v>
      </c>
      <c r="I7942" s="7" t="n">
        <v>190801</v>
      </c>
      <c r="J7942" s="94" t="n"/>
      <c r="K7942" s="94" t="n">
        <v>1</v>
      </c>
      <c r="L7942" s="7" t="n">
        <v>190801</v>
      </c>
      <c r="M7942" s="94">
        <f>VLOOKUP($Q7942,매칭테이블!$F:$I,2,0)*K7942</f>
        <v/>
      </c>
      <c r="N7942" s="94">
        <f>M7942-M7942*VLOOKUP($Q7942,매칭테이블!$F:$I,3,0)</f>
        <v/>
      </c>
      <c r="O7942" s="94">
        <f>VLOOKUP($Q7942,매칭테이블!$F:$I,4,0)*K7942</f>
        <v/>
      </c>
      <c r="P7942" s="148">
        <f>M7942/1.1</f>
        <v/>
      </c>
      <c r="Q7942" s="94">
        <f>F7942&amp;E7942&amp;G7942&amp;L7942</f>
        <v/>
      </c>
    </row>
    <row r="7943">
      <c r="A7943" s="94" t="n"/>
      <c r="B7943" s="128" t="n">
        <v>44038</v>
      </c>
      <c r="C7943" s="94">
        <f>TEXT(B7943,"aaa")</f>
        <v/>
      </c>
      <c r="D7943" s="94" t="n"/>
      <c r="E7943" s="94" t="inlineStr">
        <is>
          <t>선크림</t>
        </is>
      </c>
      <c r="F7943" s="5" t="inlineStr">
        <is>
          <t>카페24</t>
        </is>
      </c>
      <c r="G7943" s="94" t="inlineStr">
        <is>
          <t>선크림 50ml  2set</t>
        </is>
      </c>
      <c r="H7943" s="7" t="n">
        <v>190801</v>
      </c>
      <c r="I7943" s="7" t="n">
        <v>190801</v>
      </c>
      <c r="J7943" s="94" t="n"/>
      <c r="K7943" s="94" t="n">
        <v>3</v>
      </c>
      <c r="L7943" s="7" t="n">
        <v>190801</v>
      </c>
      <c r="M7943" s="94">
        <f>VLOOKUP($Q7943,매칭테이블!$F:$I,2,0)*K7943</f>
        <v/>
      </c>
      <c r="N7943" s="94">
        <f>M7943-M7943*VLOOKUP($Q7943,매칭테이블!$F:$I,3,0)</f>
        <v/>
      </c>
      <c r="O7943" s="94">
        <f>VLOOKUP($Q7943,매칭테이블!$F:$I,4,0)*K7943</f>
        <v/>
      </c>
      <c r="P7943" s="148">
        <f>M7943/1.1</f>
        <v/>
      </c>
      <c r="Q7943" s="94">
        <f>F7943&amp;E7943&amp;G7943&amp;L7943</f>
        <v/>
      </c>
    </row>
    <row r="7944">
      <c r="A7944" s="94" t="n"/>
      <c r="B7944" s="128" t="n">
        <v>44038</v>
      </c>
      <c r="C7944" s="94">
        <f>TEXT(B7944,"aaa")</f>
        <v/>
      </c>
      <c r="D7944" s="94" t="n"/>
      <c r="E7944" s="94" t="inlineStr">
        <is>
          <t>여름 한정 진정세트</t>
        </is>
      </c>
      <c r="F7944" s="5" t="inlineStr">
        <is>
          <t>카페24</t>
        </is>
      </c>
      <c r="G7944" s="94" t="inlineStr">
        <is>
          <t>여름 한정 진정세트</t>
        </is>
      </c>
      <c r="H7944" s="7" t="n">
        <v>190801</v>
      </c>
      <c r="I7944" s="7" t="n">
        <v>190801</v>
      </c>
      <c r="J7944" s="94" t="n"/>
      <c r="K7944" s="94" t="n">
        <v>1</v>
      </c>
      <c r="L7944" s="7" t="n">
        <v>190801</v>
      </c>
      <c r="M7944" s="94">
        <f>VLOOKUP($Q7944,매칭테이블!$F:$I,2,0)*K7944</f>
        <v/>
      </c>
      <c r="N7944" s="94">
        <f>M7944-M7944*VLOOKUP($Q7944,매칭테이블!$F:$I,3,0)</f>
        <v/>
      </c>
      <c r="O7944" s="94">
        <f>VLOOKUP($Q7944,매칭테이블!$F:$I,4,0)*K7944</f>
        <v/>
      </c>
      <c r="P7944" s="148">
        <f>M7944/1.1</f>
        <v/>
      </c>
      <c r="Q7944" s="94">
        <f>F7944&amp;E7944&amp;G7944&amp;L7944</f>
        <v/>
      </c>
    </row>
    <row r="7945">
      <c r="A7945" s="94" t="n"/>
      <c r="B7945" s="128" t="n">
        <v>44038</v>
      </c>
      <c r="C7945" s="94">
        <f>TEXT(B7945,"aaa")</f>
        <v/>
      </c>
      <c r="D7945" s="94" t="n"/>
      <c r="E7945" s="94" t="inlineStr">
        <is>
          <t>여름 한정 진정세트</t>
        </is>
      </c>
      <c r="F7945" s="5" t="inlineStr">
        <is>
          <t>카페24</t>
        </is>
      </c>
      <c r="G7945" s="94" t="inlineStr">
        <is>
          <t>여름 한정 진정세트 (대용량)</t>
        </is>
      </c>
      <c r="H7945" s="7" t="n">
        <v>190801</v>
      </c>
      <c r="I7945" s="7" t="n">
        <v>190801</v>
      </c>
      <c r="J7945" s="94" t="n"/>
      <c r="K7945" s="94" t="n">
        <v>3</v>
      </c>
      <c r="L7945" s="7" t="n">
        <v>190801</v>
      </c>
      <c r="M7945" s="94">
        <f>VLOOKUP($Q7945,매칭테이블!$F:$I,2,0)*K7945</f>
        <v/>
      </c>
      <c r="N7945" s="94">
        <f>M7945-M7945*VLOOKUP($Q7945,매칭테이블!$F:$I,3,0)</f>
        <v/>
      </c>
      <c r="O7945" s="94">
        <f>VLOOKUP($Q7945,매칭테이블!$F:$I,4,0)*K7945</f>
        <v/>
      </c>
      <c r="P7945" s="148">
        <f>M7945/1.1</f>
        <v/>
      </c>
      <c r="Q7945" s="94">
        <f>F7945&amp;E7945&amp;G7945&amp;L7945</f>
        <v/>
      </c>
    </row>
    <row r="7946">
      <c r="A7946" s="94" t="n"/>
      <c r="B7946" s="128" t="n">
        <v>44038</v>
      </c>
      <c r="C7946" s="94">
        <f>TEXT(B7946,"aaa")</f>
        <v/>
      </c>
      <c r="D7946" s="94" t="n"/>
      <c r="E7946" s="94" t="inlineStr">
        <is>
          <t>머드크림마스크</t>
        </is>
      </c>
      <c r="F7946" s="5" t="inlineStr">
        <is>
          <t>카페24</t>
        </is>
      </c>
      <c r="G7946" s="94" t="inlineStr">
        <is>
          <t>머드크림마스크 100ml</t>
        </is>
      </c>
      <c r="H7946" s="7" t="n">
        <v>190801</v>
      </c>
      <c r="I7946" s="7" t="n">
        <v>190801</v>
      </c>
      <c r="J7946" s="94" t="n"/>
      <c r="K7946" s="94" t="n">
        <v>2</v>
      </c>
      <c r="L7946" s="7" t="n">
        <v>190801</v>
      </c>
      <c r="M7946" s="94">
        <f>VLOOKUP($Q7946,매칭테이블!$F:$I,2,0)*K7946</f>
        <v/>
      </c>
      <c r="N7946" s="94">
        <f>M7946-M7946*VLOOKUP($Q7946,매칭테이블!$F:$I,3,0)</f>
        <v/>
      </c>
      <c r="O7946" s="94">
        <f>VLOOKUP($Q7946,매칭테이블!$F:$I,4,0)*K7946</f>
        <v/>
      </c>
      <c r="P7946" s="148">
        <f>M7946/1.1</f>
        <v/>
      </c>
      <c r="Q7946" s="94">
        <f>F7946&amp;E7946&amp;G7946&amp;L7946</f>
        <v/>
      </c>
    </row>
    <row r="7947">
      <c r="A7947" s="94" t="n"/>
      <c r="B7947" s="128" t="n">
        <v>44038</v>
      </c>
      <c r="C7947" s="94">
        <f>TEXT(B7947,"aaa")</f>
        <v/>
      </c>
      <c r="D7947" s="94" t="n"/>
      <c r="E7947" s="94" t="inlineStr">
        <is>
          <t>머드크림마스크</t>
        </is>
      </c>
      <c r="F7947" s="5" t="inlineStr">
        <is>
          <t>카페24</t>
        </is>
      </c>
      <c r="G7947" s="94" t="inlineStr">
        <is>
          <t>머드크림마스크 100ml 2set</t>
        </is>
      </c>
      <c r="H7947" s="7" t="n">
        <v>190801</v>
      </c>
      <c r="I7947" s="7" t="n">
        <v>190801</v>
      </c>
      <c r="J7947" s="94" t="n"/>
      <c r="K7947" s="94" t="n">
        <v>1</v>
      </c>
      <c r="L7947" s="7" t="n">
        <v>190801</v>
      </c>
      <c r="M7947" s="94">
        <f>VLOOKUP($Q7947,매칭테이블!$F:$I,2,0)*K7947</f>
        <v/>
      </c>
      <c r="N7947" s="94">
        <f>M7947-M7947*VLOOKUP($Q7947,매칭테이블!$F:$I,3,0)</f>
        <v/>
      </c>
      <c r="O7947" s="94">
        <f>VLOOKUP($Q7947,매칭테이블!$F:$I,4,0)*K7947</f>
        <v/>
      </c>
      <c r="P7947" s="148">
        <f>M7947/1.1</f>
        <v/>
      </c>
      <c r="Q7947" s="94">
        <f>F7947&amp;E7947&amp;G7947&amp;L7947</f>
        <v/>
      </c>
    </row>
    <row r="7948">
      <c r="A7948" s="94" t="n"/>
      <c r="B7948" s="128" t="n">
        <v>44038</v>
      </c>
      <c r="C7948" s="94">
        <f>TEXT(B7948,"aaa")</f>
        <v/>
      </c>
      <c r="D7948" s="94" t="n"/>
      <c r="E7948" s="94" t="inlineStr">
        <is>
          <t>토너</t>
        </is>
      </c>
      <c r="F7948" s="5" t="inlineStr">
        <is>
          <t>카페24</t>
        </is>
      </c>
      <c r="G7948" s="94" t="inlineStr">
        <is>
          <t>250ml</t>
        </is>
      </c>
      <c r="H7948" s="7" t="n">
        <v>190801</v>
      </c>
      <c r="I7948" s="7" t="n">
        <v>190801</v>
      </c>
      <c r="J7948" s="94" t="n"/>
      <c r="K7948" s="94" t="n">
        <v>59</v>
      </c>
      <c r="L7948" s="7" t="n">
        <v>190801</v>
      </c>
      <c r="M7948" s="94">
        <f>VLOOKUP($Q7948,매칭테이블!$F:$I,2,0)*K7948</f>
        <v/>
      </c>
      <c r="N7948" s="94">
        <f>M7948-M7948*VLOOKUP($Q7948,매칭테이블!$F:$I,3,0)</f>
        <v/>
      </c>
      <c r="O7948" s="94">
        <f>VLOOKUP($Q7948,매칭테이블!$F:$I,4,0)*K7948</f>
        <v/>
      </c>
      <c r="P7948" s="148">
        <f>M7948/1.1</f>
        <v/>
      </c>
      <c r="Q7948" s="94">
        <f>F7948&amp;E7948&amp;G7948&amp;L7948</f>
        <v/>
      </c>
    </row>
    <row r="7949">
      <c r="A7949" s="94" t="n"/>
      <c r="B7949" s="128" t="n">
        <v>44038</v>
      </c>
      <c r="C7949" s="94">
        <f>TEXT(B7949,"aaa")</f>
        <v/>
      </c>
      <c r="D7949" s="94" t="n"/>
      <c r="E7949" s="94" t="inlineStr">
        <is>
          <t>토너</t>
        </is>
      </c>
      <c r="F7949" s="5" t="inlineStr">
        <is>
          <t>카페24</t>
        </is>
      </c>
      <c r="G7949" s="94" t="inlineStr">
        <is>
          <t>250ml 2set</t>
        </is>
      </c>
      <c r="H7949" s="7" t="n">
        <v>190801</v>
      </c>
      <c r="I7949" s="7" t="n">
        <v>190801</v>
      </c>
      <c r="J7949" s="94" t="n"/>
      <c r="K7949" s="94" t="n">
        <v>59</v>
      </c>
      <c r="L7949" s="7" t="n">
        <v>190801</v>
      </c>
      <c r="M7949" s="94">
        <f>VLOOKUP($Q7949,매칭테이블!$F:$I,2,0)*K7949</f>
        <v/>
      </c>
      <c r="N7949" s="94">
        <f>M7949-M7949*VLOOKUP($Q7949,매칭테이블!$F:$I,3,0)</f>
        <v/>
      </c>
      <c r="O7949" s="94">
        <f>VLOOKUP($Q7949,매칭테이블!$F:$I,4,0)*K7949</f>
        <v/>
      </c>
      <c r="P7949" s="148">
        <f>M7949/1.1</f>
        <v/>
      </c>
      <c r="Q7949" s="94">
        <f>F7949&amp;E7949&amp;G7949&amp;L7949</f>
        <v/>
      </c>
    </row>
    <row r="7950">
      <c r="A7950" s="94" t="n"/>
      <c r="B7950" s="128" t="n">
        <v>44038</v>
      </c>
      <c r="C7950" s="94">
        <f>TEXT(B7950,"aaa")</f>
        <v/>
      </c>
      <c r="D7950" s="94" t="n"/>
      <c r="E7950" s="94" t="inlineStr">
        <is>
          <t>토너</t>
        </is>
      </c>
      <c r="F7950" s="5" t="inlineStr">
        <is>
          <t>카페24</t>
        </is>
      </c>
      <c r="G7950" s="94" t="inlineStr">
        <is>
          <t>500ml</t>
        </is>
      </c>
      <c r="H7950" s="7" t="n">
        <v>190801</v>
      </c>
      <c r="I7950" s="7" t="n">
        <v>190801</v>
      </c>
      <c r="J7950" s="94" t="n"/>
      <c r="K7950" s="94" t="n">
        <v>48</v>
      </c>
      <c r="L7950" s="7" t="n">
        <v>190801</v>
      </c>
      <c r="M7950" s="94">
        <f>VLOOKUP($Q7950,매칭테이블!$F:$I,2,0)*K7950</f>
        <v/>
      </c>
      <c r="N7950" s="94">
        <f>M7950-M7950*VLOOKUP($Q7950,매칭테이블!$F:$I,3,0)</f>
        <v/>
      </c>
      <c r="O7950" s="94">
        <f>VLOOKUP($Q7950,매칭테이블!$F:$I,4,0)*K7950</f>
        <v/>
      </c>
      <c r="P7950" s="148">
        <f>M7950/1.1</f>
        <v/>
      </c>
      <c r="Q7950" s="94">
        <f>F7950&amp;E7950&amp;G7950&amp;L7950</f>
        <v/>
      </c>
    </row>
    <row r="7951">
      <c r="A7951" s="94" t="n"/>
      <c r="B7951" s="128" t="n">
        <v>44038</v>
      </c>
      <c r="C7951" s="94">
        <f>TEXT(B7951,"aaa")</f>
        <v/>
      </c>
      <c r="D7951" s="94" t="n"/>
      <c r="E7951" s="94" t="inlineStr">
        <is>
          <t>토너</t>
        </is>
      </c>
      <c r="F7951" s="5" t="inlineStr">
        <is>
          <t>카페24</t>
        </is>
      </c>
      <c r="G7951" s="94" t="inlineStr">
        <is>
          <t>스킨팩 화장솜 60P</t>
        </is>
      </c>
      <c r="H7951" s="7" t="n">
        <v>190801</v>
      </c>
      <c r="I7951" s="7" t="n">
        <v>190801</v>
      </c>
      <c r="J7951" s="94" t="n"/>
      <c r="K7951" s="94" t="n">
        <v>67</v>
      </c>
      <c r="L7951" s="7" t="n">
        <v>190801</v>
      </c>
      <c r="M7951" s="94">
        <f>VLOOKUP($Q7951,매칭테이블!$F:$I,2,0)*K7951</f>
        <v/>
      </c>
      <c r="N7951" s="94">
        <f>M7951-M7951*VLOOKUP($Q7951,매칭테이블!$F:$I,3,0)</f>
        <v/>
      </c>
      <c r="O7951" s="94">
        <f>VLOOKUP($Q7951,매칭테이블!$F:$I,4,0)*K7951</f>
        <v/>
      </c>
      <c r="P7951" s="148">
        <f>M7951/1.1</f>
        <v/>
      </c>
      <c r="Q7951" s="94">
        <f>F7951&amp;E7951&amp;G7951&amp;L7951</f>
        <v/>
      </c>
    </row>
    <row r="7952">
      <c r="A7952" s="94" t="n"/>
      <c r="B7952" s="128" t="n">
        <v>44038</v>
      </c>
      <c r="C7952" s="94">
        <f>TEXT(B7952,"aaa")</f>
        <v/>
      </c>
      <c r="D7952" s="94" t="n"/>
      <c r="E7952" s="94" t="inlineStr">
        <is>
          <t>앰플</t>
        </is>
      </c>
      <c r="F7952" s="5" t="inlineStr">
        <is>
          <t>카페24</t>
        </is>
      </c>
      <c r="G7952" s="94" t="inlineStr">
        <is>
          <t>앰플 30ml</t>
        </is>
      </c>
      <c r="H7952" s="7" t="n">
        <v>190801</v>
      </c>
      <c r="I7952" s="7" t="n">
        <v>190801</v>
      </c>
      <c r="J7952" s="94" t="n"/>
      <c r="K7952" s="94" t="n">
        <v>18</v>
      </c>
      <c r="L7952" s="7" t="n">
        <v>190801</v>
      </c>
      <c r="M7952" s="94">
        <f>VLOOKUP($Q7952,매칭테이블!$F:$I,2,0)*K7952</f>
        <v/>
      </c>
      <c r="N7952" s="94">
        <f>M7952-M7952*VLOOKUP($Q7952,매칭테이블!$F:$I,3,0)</f>
        <v/>
      </c>
      <c r="O7952" s="94">
        <f>VLOOKUP($Q7952,매칭테이블!$F:$I,4,0)*K7952</f>
        <v/>
      </c>
      <c r="P7952" s="148">
        <f>M7952/1.1</f>
        <v/>
      </c>
      <c r="Q7952" s="94">
        <f>F7952&amp;E7952&amp;G7952&amp;L7952</f>
        <v/>
      </c>
    </row>
    <row r="7953">
      <c r="A7953" s="94" t="n"/>
      <c r="B7953" s="128" t="n">
        <v>44038</v>
      </c>
      <c r="C7953" s="94">
        <f>TEXT(B7953,"aaa")</f>
        <v/>
      </c>
      <c r="D7953" s="94" t="n"/>
      <c r="E7953" s="94" t="inlineStr">
        <is>
          <t>수딩크림</t>
        </is>
      </c>
      <c r="F7953" s="5" t="inlineStr">
        <is>
          <t>카페24</t>
        </is>
      </c>
      <c r="G7953" s="94" t="inlineStr">
        <is>
          <t>수딩크림 100ml</t>
        </is>
      </c>
      <c r="H7953" s="7" t="n">
        <v>190801</v>
      </c>
      <c r="I7953" s="7" t="n">
        <v>190801</v>
      </c>
      <c r="J7953" s="94" t="n"/>
      <c r="K7953" s="94" t="n">
        <v>6</v>
      </c>
      <c r="L7953" s="7" t="n">
        <v>190801</v>
      </c>
      <c r="M7953" s="94">
        <f>VLOOKUP($Q7953,매칭테이블!$F:$I,2,0)*K7953</f>
        <v/>
      </c>
      <c r="N7953" s="94">
        <f>M7953-M7953*VLOOKUP($Q7953,매칭테이블!$F:$I,3,0)</f>
        <v/>
      </c>
      <c r="O7953" s="94">
        <f>VLOOKUP($Q7953,매칭테이블!$F:$I,4,0)*K7953</f>
        <v/>
      </c>
      <c r="P7953" s="148">
        <f>M7953/1.1</f>
        <v/>
      </c>
      <c r="Q7953" s="94">
        <f>F7953&amp;E7953&amp;G7953&amp;L7953</f>
        <v/>
      </c>
    </row>
    <row r="7954">
      <c r="A7954" s="94" t="n"/>
      <c r="B7954" s="128" t="n">
        <v>44038</v>
      </c>
      <c r="C7954" s="94">
        <f>TEXT(B7954,"aaa")</f>
        <v/>
      </c>
      <c r="D7954" s="94" t="n"/>
      <c r="E7954" s="94" t="inlineStr">
        <is>
          <t>토너</t>
        </is>
      </c>
      <c r="F7954" s="5" t="inlineStr">
        <is>
          <t>랄라블라</t>
        </is>
      </c>
      <c r="G7954" s="94" t="inlineStr">
        <is>
          <t>250ml</t>
        </is>
      </c>
      <c r="H7954" s="7" t="n">
        <v>190801</v>
      </c>
      <c r="I7954" s="7" t="n">
        <v>190801</v>
      </c>
      <c r="J7954" s="94" t="n"/>
      <c r="K7954" s="94" t="n">
        <v>537</v>
      </c>
      <c r="L7954" s="7" t="n">
        <v>190801</v>
      </c>
      <c r="M7954" s="94">
        <f>VLOOKUP($Q7954,매칭테이블!$F:$I,2,0)*K7954</f>
        <v/>
      </c>
      <c r="N7954" s="94">
        <f>M7954-M7954*VLOOKUP($Q7954,매칭테이블!$F:$I,3,0)</f>
        <v/>
      </c>
      <c r="O7954" s="94">
        <f>VLOOKUP($Q7954,매칭테이블!$F:$I,4,0)*K7954</f>
        <v/>
      </c>
      <c r="P7954" s="148">
        <f>M7954/1.1</f>
        <v/>
      </c>
      <c r="Q7954" s="94">
        <f>F7954&amp;E7954&amp;G7954&amp;L7954</f>
        <v/>
      </c>
    </row>
    <row r="7955">
      <c r="A7955" s="94" t="n"/>
      <c r="B7955" s="128" t="n">
        <v>44038</v>
      </c>
      <c r="C7955" s="94">
        <f>TEXT(B7955,"aaa")</f>
        <v/>
      </c>
      <c r="D7955" s="94" t="n"/>
      <c r="E7955" s="94" t="inlineStr">
        <is>
          <t>토너</t>
        </is>
      </c>
      <c r="F7955" s="5" t="inlineStr">
        <is>
          <t>랄라블라</t>
        </is>
      </c>
      <c r="G7955" s="94" t="inlineStr">
        <is>
          <t>500ml</t>
        </is>
      </c>
      <c r="H7955" s="7" t="n">
        <v>190801</v>
      </c>
      <c r="I7955" s="7" t="n">
        <v>190801</v>
      </c>
      <c r="J7955" s="94" t="n"/>
      <c r="K7955" s="94" t="n">
        <v>14</v>
      </c>
      <c r="L7955" s="7" t="n">
        <v>190801</v>
      </c>
      <c r="M7955" s="94">
        <f>VLOOKUP($Q7955,매칭테이블!$F:$I,2,0)*K7955</f>
        <v/>
      </c>
      <c r="N7955" s="94">
        <f>M7955-M7955*VLOOKUP($Q7955,매칭테이블!$F:$I,3,0)</f>
        <v/>
      </c>
      <c r="O7955" s="94">
        <f>VLOOKUP($Q7955,매칭테이블!$F:$I,4,0)*K7955</f>
        <v/>
      </c>
      <c r="P7955" s="148">
        <f>M7955/1.1</f>
        <v/>
      </c>
      <c r="Q7955" s="94">
        <f>F7955&amp;E7955&amp;G7955&amp;L7955</f>
        <v/>
      </c>
    </row>
    <row r="7956">
      <c r="A7956" s="94" t="n"/>
      <c r="B7956" s="128" t="n">
        <v>44038</v>
      </c>
      <c r="C7956" s="94">
        <f>TEXT(B7956,"aaa")</f>
        <v/>
      </c>
      <c r="D7956" s="94" t="n"/>
      <c r="E7956" s="94" t="inlineStr">
        <is>
          <t>마스크팩</t>
        </is>
      </c>
      <c r="F7956" s="5" t="inlineStr">
        <is>
          <t>랄라블라</t>
        </is>
      </c>
      <c r="G7956" s="94" t="inlineStr">
        <is>
          <t>마스크팩 1매</t>
        </is>
      </c>
      <c r="H7956" s="7" t="n">
        <v>190801</v>
      </c>
      <c r="I7956" s="7" t="n">
        <v>190801</v>
      </c>
      <c r="J7956" s="94" t="n"/>
      <c r="K7956" s="94" t="n">
        <v>545</v>
      </c>
      <c r="L7956" s="7" t="n">
        <v>190801</v>
      </c>
      <c r="M7956" s="94">
        <f>VLOOKUP($Q7956,매칭테이블!$F:$I,2,0)*K7956</f>
        <v/>
      </c>
      <c r="N7956" s="94">
        <f>M7956-M7956*VLOOKUP($Q7956,매칭테이블!$F:$I,3,0)</f>
        <v/>
      </c>
      <c r="O7956" s="94">
        <f>VLOOKUP($Q7956,매칭테이블!$F:$I,4,0)*K7956</f>
        <v/>
      </c>
      <c r="P7956" s="148">
        <f>M7956/1.1</f>
        <v/>
      </c>
      <c r="Q7956" s="94">
        <f>F7956&amp;E7956&amp;G7956&amp;L7956</f>
        <v/>
      </c>
    </row>
    <row r="7957">
      <c r="A7957" s="94" t="n"/>
      <c r="B7957" s="128" t="n">
        <v>44038</v>
      </c>
      <c r="C7957" s="94">
        <f>TEXT(B7957,"aaa")</f>
        <v/>
      </c>
      <c r="D7957" s="94" t="n"/>
      <c r="E7957" s="94" t="inlineStr">
        <is>
          <t>수딩크림 증정기획</t>
        </is>
      </c>
      <c r="F7957" s="5" t="inlineStr">
        <is>
          <t>랄라블라</t>
        </is>
      </c>
      <c r="G7957" s="94" t="inlineStr">
        <is>
          <t>수딩크림 증정기획</t>
        </is>
      </c>
      <c r="H7957" s="7" t="n">
        <v>190801</v>
      </c>
      <c r="I7957" s="7" t="n">
        <v>190801</v>
      </c>
      <c r="J7957" s="94" t="n"/>
      <c r="K7957" s="94" t="n">
        <v>59</v>
      </c>
      <c r="L7957" s="7" t="n">
        <v>190801</v>
      </c>
      <c r="M7957" s="94">
        <f>VLOOKUP($Q7957,매칭테이블!$F:$I,2,0)*K7957</f>
        <v/>
      </c>
      <c r="N7957" s="94">
        <f>M7957-M7957*VLOOKUP($Q7957,매칭테이블!$F:$I,3,0)</f>
        <v/>
      </c>
      <c r="O7957" s="94">
        <f>VLOOKUP($Q7957,매칭테이블!$F:$I,4,0)*K7957</f>
        <v/>
      </c>
      <c r="P7957" s="148">
        <f>M7957/1.1</f>
        <v/>
      </c>
      <c r="Q7957" s="94">
        <f>F7957&amp;E7957&amp;G7957&amp;L7957</f>
        <v/>
      </c>
    </row>
    <row r="7958">
      <c r="A7958" s="94" t="n"/>
      <c r="B7958" s="128" t="n">
        <v>44038</v>
      </c>
      <c r="C7958" s="94">
        <f>TEXT(B7958,"aaa")</f>
        <v/>
      </c>
      <c r="D7958" s="94" t="n"/>
      <c r="E7958" s="94" t="inlineStr">
        <is>
          <t>수딩크림</t>
        </is>
      </c>
      <c r="F7958" s="5" t="inlineStr">
        <is>
          <t>랄라블라</t>
        </is>
      </c>
      <c r="G7958" s="94" t="inlineStr">
        <is>
          <t>수딩크림 100ml</t>
        </is>
      </c>
      <c r="H7958" s="7" t="n">
        <v>190801</v>
      </c>
      <c r="I7958" s="7" t="n">
        <v>190801</v>
      </c>
      <c r="J7958" s="94" t="n"/>
      <c r="K7958" s="94" t="n">
        <v>26</v>
      </c>
      <c r="L7958" s="7" t="n">
        <v>190801</v>
      </c>
      <c r="M7958" s="94">
        <f>VLOOKUP($Q7958,매칭테이블!$F:$I,2,0)*K7958</f>
        <v/>
      </c>
      <c r="N7958" s="94">
        <f>M7958-M7958*VLOOKUP($Q7958,매칭테이블!$F:$I,3,0)</f>
        <v/>
      </c>
      <c r="O7958" s="94">
        <f>VLOOKUP($Q7958,매칭테이블!$F:$I,4,0)*K7958</f>
        <v/>
      </c>
      <c r="P7958" s="148">
        <f>M7958/1.1</f>
        <v/>
      </c>
      <c r="Q7958" s="94">
        <f>F7958&amp;E7958&amp;G7958&amp;L7958</f>
        <v/>
      </c>
    </row>
    <row r="7959">
      <c r="A7959" s="94" t="n"/>
      <c r="B7959" s="128" t="n">
        <v>44038</v>
      </c>
      <c r="C7959" s="94">
        <f>TEXT(B7959,"aaa")</f>
        <v/>
      </c>
      <c r="D7959" s="94" t="n"/>
      <c r="E7959" s="94" t="inlineStr">
        <is>
          <t>앰플 기획세트</t>
        </is>
      </c>
      <c r="F7959" s="5" t="inlineStr">
        <is>
          <t>랄라블라</t>
        </is>
      </c>
      <c r="G7959" s="94" t="inlineStr">
        <is>
          <t>앰플 기획세트</t>
        </is>
      </c>
      <c r="H7959" s="7" t="n">
        <v>190801</v>
      </c>
      <c r="I7959" s="7" t="n">
        <v>190801</v>
      </c>
      <c r="J7959" s="94" t="n"/>
      <c r="K7959" s="94" t="n">
        <v>173</v>
      </c>
      <c r="L7959" s="7" t="n">
        <v>190801</v>
      </c>
      <c r="M7959" s="94">
        <f>VLOOKUP($Q7959,매칭테이블!$F:$I,2,0)*K7959</f>
        <v/>
      </c>
      <c r="N7959" s="94">
        <f>M7959-M7959*VLOOKUP($Q7959,매칭테이블!$F:$I,3,0)</f>
        <v/>
      </c>
      <c r="O7959" s="94">
        <f>VLOOKUP($Q7959,매칭테이블!$F:$I,4,0)*K7959</f>
        <v/>
      </c>
      <c r="P7959" s="148">
        <f>M7959/1.1</f>
        <v/>
      </c>
      <c r="Q7959" s="94">
        <f>F7959&amp;E7959&amp;G7959&amp;L7959</f>
        <v/>
      </c>
    </row>
    <row r="7960">
      <c r="A7960" s="94" t="n"/>
      <c r="B7960" s="128" t="n">
        <v>44038</v>
      </c>
      <c r="C7960" s="94">
        <f>TEXT(B7960,"aaa")</f>
        <v/>
      </c>
      <c r="D7960" s="94" t="n"/>
      <c r="E7960" s="94" t="inlineStr">
        <is>
          <t>클렌징폼 기획세트</t>
        </is>
      </c>
      <c r="F7960" s="5" t="inlineStr">
        <is>
          <t>랄라블라</t>
        </is>
      </c>
      <c r="G7960" s="94" t="inlineStr">
        <is>
          <t>클렌징폼 기획세트</t>
        </is>
      </c>
      <c r="H7960" s="7" t="n">
        <v>190801</v>
      </c>
      <c r="I7960" s="7" t="n">
        <v>190801</v>
      </c>
      <c r="J7960" s="94" t="n"/>
      <c r="K7960" s="94" t="n">
        <v>50</v>
      </c>
      <c r="L7960" s="7" t="n">
        <v>190801</v>
      </c>
      <c r="M7960" s="94">
        <f>VLOOKUP($Q7960,매칭테이블!$F:$I,2,0)*K7960</f>
        <v/>
      </c>
      <c r="N7960" s="94">
        <f>M7960-M7960*VLOOKUP($Q7960,매칭테이블!$F:$I,3,0)</f>
        <v/>
      </c>
      <c r="O7960" s="94">
        <f>VLOOKUP($Q7960,매칭테이블!$F:$I,4,0)*K7960</f>
        <v/>
      </c>
      <c r="P7960" s="148">
        <f>M7960/1.1</f>
        <v/>
      </c>
      <c r="Q7960" s="94">
        <f>F7960&amp;E7960&amp;G7960&amp;L7960</f>
        <v/>
      </c>
    </row>
    <row r="7961">
      <c r="A7961" s="94" t="n"/>
      <c r="B7961" s="128" t="n">
        <v>44038</v>
      </c>
      <c r="C7961" s="94">
        <f>TEXT(B7961,"aaa")</f>
        <v/>
      </c>
      <c r="D7961" s="94" t="n"/>
      <c r="E7961" s="94" t="inlineStr">
        <is>
          <t>클렌징폼</t>
        </is>
      </c>
      <c r="F7961" s="5" t="inlineStr">
        <is>
          <t>랄라블라</t>
        </is>
      </c>
      <c r="G7961" s="94" t="inlineStr">
        <is>
          <t>클렌징폼 120ml</t>
        </is>
      </c>
      <c r="H7961" s="7" t="n">
        <v>190801</v>
      </c>
      <c r="I7961" s="7" t="n">
        <v>190801</v>
      </c>
      <c r="J7961" s="94" t="n"/>
      <c r="K7961" s="94" t="n">
        <v>19</v>
      </c>
      <c r="L7961" s="7" t="n">
        <v>190801</v>
      </c>
      <c r="M7961" s="94">
        <f>VLOOKUP($Q7961,매칭테이블!$F:$I,2,0)*K7961</f>
        <v/>
      </c>
      <c r="N7961" s="94">
        <f>M7961-M7961*VLOOKUP($Q7961,매칭테이블!$F:$I,3,0)</f>
        <v/>
      </c>
      <c r="O7961" s="94">
        <f>VLOOKUP($Q7961,매칭테이블!$F:$I,4,0)*K7961</f>
        <v/>
      </c>
      <c r="P7961" s="148">
        <f>M7961/1.1</f>
        <v/>
      </c>
      <c r="Q7961" s="94">
        <f>F7961&amp;E7961&amp;G7961&amp;L7961</f>
        <v/>
      </c>
    </row>
    <row r="7962">
      <c r="A7962" s="94" t="n"/>
      <c r="B7962" s="128" t="n">
        <v>44038</v>
      </c>
      <c r="C7962" s="94">
        <f>TEXT(B7962,"aaa")</f>
        <v/>
      </c>
      <c r="D7962" s="94" t="n"/>
      <c r="E7962" s="94" t="inlineStr">
        <is>
          <t>토너 증정기획</t>
        </is>
      </c>
      <c r="F7962" s="5" t="inlineStr">
        <is>
          <t>랄라블라</t>
        </is>
      </c>
      <c r="G7962" s="94" t="inlineStr">
        <is>
          <t>토너 증정기획</t>
        </is>
      </c>
      <c r="H7962" s="7" t="n">
        <v>190801</v>
      </c>
      <c r="I7962" s="7" t="n">
        <v>190801</v>
      </c>
      <c r="J7962" s="94" t="n"/>
      <c r="K7962" s="94" t="n">
        <v>29</v>
      </c>
      <c r="L7962" s="7" t="n">
        <v>190801</v>
      </c>
      <c r="M7962" s="94">
        <f>VLOOKUP($Q7962,매칭테이블!$F:$I,2,0)*K7962</f>
        <v/>
      </c>
      <c r="N7962" s="94">
        <f>M7962-M7962*VLOOKUP($Q7962,매칭테이블!$F:$I,3,0)</f>
        <v/>
      </c>
      <c r="O7962" s="94">
        <f>VLOOKUP($Q7962,매칭테이블!$F:$I,4,0)*K7962</f>
        <v/>
      </c>
      <c r="P7962" s="148">
        <f>M7962/1.1</f>
        <v/>
      </c>
      <c r="Q7962" s="94">
        <f>F7962&amp;E7962&amp;G7962&amp;L7962</f>
        <v/>
      </c>
    </row>
    <row r="7963">
      <c r="A7963" s="94" t="n"/>
      <c r="B7963" s="128" t="n">
        <v>44038</v>
      </c>
      <c r="C7963" s="94">
        <f>TEXT(B7963,"aaa")</f>
        <v/>
      </c>
      <c r="D7963" s="94" t="n"/>
      <c r="E7963" s="94" t="inlineStr">
        <is>
          <t>선크림</t>
        </is>
      </c>
      <c r="F7963" s="5" t="inlineStr">
        <is>
          <t>랄라블라</t>
        </is>
      </c>
      <c r="G7963" s="94" t="inlineStr">
        <is>
          <t>선크림 50ml</t>
        </is>
      </c>
      <c r="H7963" s="7" t="n">
        <v>190801</v>
      </c>
      <c r="I7963" s="7" t="n">
        <v>190801</v>
      </c>
      <c r="J7963" s="94" t="n"/>
      <c r="K7963" s="94" t="n">
        <v>34</v>
      </c>
      <c r="L7963" s="7" t="n">
        <v>190801</v>
      </c>
      <c r="M7963" s="94">
        <f>VLOOKUP($Q7963,매칭테이블!$F:$I,2,0)*K7963</f>
        <v/>
      </c>
      <c r="N7963" s="94">
        <f>M7963-M7963*VLOOKUP($Q7963,매칭테이블!$F:$I,3,0)</f>
        <v/>
      </c>
      <c r="O7963" s="94">
        <f>VLOOKUP($Q7963,매칭테이블!$F:$I,4,0)*K7963</f>
        <v/>
      </c>
      <c r="P7963" s="148">
        <f>M7963/1.1</f>
        <v/>
      </c>
      <c r="Q7963" s="94">
        <f>F7963&amp;E7963&amp;G7963&amp;L7963</f>
        <v/>
      </c>
    </row>
    <row r="7964">
      <c r="A7964" s="94" t="n"/>
      <c r="B7964" s="128" t="n">
        <v>44038</v>
      </c>
      <c r="C7964" s="94">
        <f>TEXT(B7964,"aaa")</f>
        <v/>
      </c>
      <c r="D7964" s="94" t="n"/>
      <c r="E7964" s="94" t="inlineStr">
        <is>
          <t>대용량 기획세트</t>
        </is>
      </c>
      <c r="F7964" s="5" t="inlineStr">
        <is>
          <t>랄라블라</t>
        </is>
      </c>
      <c r="G7964" s="94" t="inlineStr">
        <is>
          <t>대용량 기획세트</t>
        </is>
      </c>
      <c r="H7964" s="7" t="n">
        <v>190801</v>
      </c>
      <c r="I7964" s="7" t="n">
        <v>190801</v>
      </c>
      <c r="J7964" s="94" t="n"/>
      <c r="K7964" s="94" t="n">
        <v>288</v>
      </c>
      <c r="L7964" s="7" t="n">
        <v>190801</v>
      </c>
      <c r="M7964" s="94">
        <f>VLOOKUP($Q7964,매칭테이블!$F:$I,2,0)*K7964</f>
        <v/>
      </c>
      <c r="N7964" s="94">
        <f>M7964-M7964*VLOOKUP($Q7964,매칭테이블!$F:$I,3,0)</f>
        <v/>
      </c>
      <c r="O7964" s="94">
        <f>VLOOKUP($Q7964,매칭테이블!$F:$I,4,0)*K7964</f>
        <v/>
      </c>
      <c r="P7964" s="148">
        <f>M7964/1.1</f>
        <v/>
      </c>
      <c r="Q7964" s="94">
        <f>F7964&amp;E7964&amp;G7964&amp;L7964</f>
        <v/>
      </c>
    </row>
    <row r="7965">
      <c r="A7965" s="94" t="n"/>
      <c r="B7965" s="128" t="n">
        <v>44037</v>
      </c>
      <c r="C7965" s="94">
        <f>TEXT(B7965,"aaa")</f>
        <v/>
      </c>
      <c r="D7965" s="94" t="n"/>
      <c r="E7965" s="94" t="inlineStr">
        <is>
          <t>토너</t>
        </is>
      </c>
      <c r="F7965" s="5" t="inlineStr">
        <is>
          <t>화해</t>
        </is>
      </c>
      <c r="G7965" s="94" t="inlineStr">
        <is>
          <t>250ml</t>
        </is>
      </c>
      <c r="H7965" s="7" t="n">
        <v>190801</v>
      </c>
      <c r="I7965" s="7" t="n">
        <v>190801</v>
      </c>
      <c r="J7965" s="94" t="n"/>
      <c r="K7965" s="94" t="n">
        <v>4</v>
      </c>
      <c r="L7965" s="7" t="n">
        <v>190801</v>
      </c>
      <c r="M7965" s="94">
        <f>VLOOKUP($Q7965,매칭테이블!$F:$I,2,0)*K7965</f>
        <v/>
      </c>
      <c r="N7965" s="94">
        <f>M7965-M7965*VLOOKUP($Q7965,매칭테이블!$F:$I,3,0)</f>
        <v/>
      </c>
      <c r="O7965" s="94">
        <f>VLOOKUP($Q7965,매칭테이블!$F:$I,4,0)*K7965</f>
        <v/>
      </c>
      <c r="P7965" s="148">
        <f>M7965/1.1</f>
        <v/>
      </c>
      <c r="Q7965" s="94">
        <f>F7965&amp;E7965&amp;G7965&amp;L7965</f>
        <v/>
      </c>
    </row>
    <row r="7966">
      <c r="A7966" s="94" t="n"/>
      <c r="B7966" s="128" t="n">
        <v>44038</v>
      </c>
      <c r="C7966" s="94">
        <f>TEXT(B7966,"aaa")</f>
        <v/>
      </c>
      <c r="D7966" s="94" t="n"/>
      <c r="E7966" s="94" t="inlineStr">
        <is>
          <t>토너</t>
        </is>
      </c>
      <c r="F7966" s="5" t="inlineStr">
        <is>
          <t>화해</t>
        </is>
      </c>
      <c r="G7966" s="94" t="inlineStr">
        <is>
          <t>250ml</t>
        </is>
      </c>
      <c r="H7966" s="7" t="n">
        <v>190801</v>
      </c>
      <c r="I7966" s="7" t="n">
        <v>190801</v>
      </c>
      <c r="J7966" s="94" t="n"/>
      <c r="K7966" s="6" t="n">
        <v>8</v>
      </c>
      <c r="L7966" s="7" t="n">
        <v>190801</v>
      </c>
      <c r="M7966" s="94">
        <f>VLOOKUP($Q7966,매칭테이블!$F:$I,2,0)*K7966</f>
        <v/>
      </c>
      <c r="N7966" s="94">
        <f>M7966-M7966*VLOOKUP($Q7966,매칭테이블!$F:$I,3,0)</f>
        <v/>
      </c>
      <c r="O7966" s="94">
        <f>VLOOKUP($Q7966,매칭테이블!$F:$I,4,0)*K7966</f>
        <v/>
      </c>
      <c r="P7966" s="148">
        <f>M7966/1.1</f>
        <v/>
      </c>
      <c r="Q7966" s="94">
        <f>F7966&amp;E7966&amp;G7966&amp;L7966</f>
        <v/>
      </c>
    </row>
    <row r="7967">
      <c r="A7967" s="94" t="n"/>
      <c r="B7967" s="128" t="n">
        <v>44038</v>
      </c>
      <c r="C7967" s="94">
        <f>TEXT(B7967,"aaa")</f>
        <v/>
      </c>
      <c r="D7967" s="94" t="n"/>
      <c r="E7967" s="94" t="inlineStr">
        <is>
          <t>선크림</t>
        </is>
      </c>
      <c r="F7967" s="5" t="inlineStr">
        <is>
          <t>화해</t>
        </is>
      </c>
      <c r="G7967" s="94" t="inlineStr">
        <is>
          <t>선크림 50ml</t>
        </is>
      </c>
      <c r="H7967" s="7" t="n">
        <v>190801</v>
      </c>
      <c r="I7967" s="7" t="n">
        <v>190801</v>
      </c>
      <c r="J7967" s="94" t="n"/>
      <c r="K7967" s="6" t="n">
        <v>2</v>
      </c>
      <c r="L7967" s="7" t="n">
        <v>190801</v>
      </c>
      <c r="M7967" s="94">
        <f>VLOOKUP($Q7967,매칭테이블!$F:$I,2,0)*K7967</f>
        <v/>
      </c>
      <c r="N7967" s="94">
        <f>M7967-M7967*VLOOKUP($Q7967,매칭테이블!$F:$I,3,0)</f>
        <v/>
      </c>
      <c r="O7967" s="94">
        <f>VLOOKUP($Q7967,매칭테이블!$F:$I,4,0)*K7967</f>
        <v/>
      </c>
      <c r="P7967" s="148">
        <f>M7967/1.1</f>
        <v/>
      </c>
      <c r="Q7967" s="94">
        <f>F7967&amp;E7967&amp;G7967&amp;L7967</f>
        <v/>
      </c>
    </row>
    <row r="7968">
      <c r="A7968" s="94" t="n"/>
      <c r="B7968" s="128" t="n">
        <v>44039</v>
      </c>
      <c r="C7968" s="94">
        <f>TEXT(B7968,"aaa")</f>
        <v/>
      </c>
      <c r="D7968" s="94" t="n"/>
      <c r="E7968" s="94" t="inlineStr">
        <is>
          <t>토너</t>
        </is>
      </c>
      <c r="F7968" s="5" t="inlineStr">
        <is>
          <t>W컨셉</t>
        </is>
      </c>
      <c r="G7968" s="94" t="inlineStr">
        <is>
          <t>250ml 2set</t>
        </is>
      </c>
      <c r="H7968" s="7" t="n">
        <v>190801</v>
      </c>
      <c r="I7968" s="7" t="n">
        <v>190801</v>
      </c>
      <c r="J7968" s="94" t="n"/>
      <c r="K7968" s="94" t="n">
        <v>39</v>
      </c>
      <c r="L7968" s="7" t="n">
        <v>190801</v>
      </c>
      <c r="M7968" s="94">
        <f>VLOOKUP($Q7968,매칭테이블!$F:$I,2,0)*K7968</f>
        <v/>
      </c>
      <c r="N7968" s="94">
        <f>M7968-M7968*VLOOKUP($Q7968,매칭테이블!$F:$I,3,0)</f>
        <v/>
      </c>
      <c r="O7968" s="94">
        <f>VLOOKUP($Q7968,매칭테이블!$F:$I,4,0)*K7968</f>
        <v/>
      </c>
      <c r="P7968" s="148">
        <f>M7968/1.1</f>
        <v/>
      </c>
      <c r="Q7968" s="94">
        <f>F7968&amp;E7968&amp;G7968&amp;L7968</f>
        <v/>
      </c>
    </row>
    <row r="7969">
      <c r="A7969" s="94" t="n"/>
      <c r="B7969" s="128" t="n">
        <v>44039</v>
      </c>
      <c r="C7969" s="94">
        <f>TEXT(B7969,"aaa")</f>
        <v/>
      </c>
      <c r="D7969" s="94" t="n"/>
      <c r="E7969" s="94" t="inlineStr">
        <is>
          <t>선크림</t>
        </is>
      </c>
      <c r="F7969" s="5" t="inlineStr">
        <is>
          <t>카페24</t>
        </is>
      </c>
      <c r="G7969" s="94" t="inlineStr">
        <is>
          <t>선크림 50ml  2set</t>
        </is>
      </c>
      <c r="H7969" s="7" t="n">
        <v>190801</v>
      </c>
      <c r="I7969" s="7" t="n">
        <v>190801</v>
      </c>
      <c r="J7969" s="94" t="n"/>
      <c r="K7969" s="94" t="n">
        <v>2</v>
      </c>
      <c r="L7969" s="7" t="n">
        <v>190801</v>
      </c>
      <c r="M7969" s="94">
        <f>VLOOKUP($Q7969,매칭테이블!$F:$I,2,0)*K7969</f>
        <v/>
      </c>
      <c r="N7969" s="94">
        <f>M7969-M7969*VLOOKUP($Q7969,매칭테이블!$F:$I,3,0)</f>
        <v/>
      </c>
      <c r="O7969" s="94">
        <f>VLOOKUP($Q7969,매칭테이블!$F:$I,4,0)*K7969</f>
        <v/>
      </c>
      <c r="P7969" s="148">
        <f>M7969/1.1</f>
        <v/>
      </c>
      <c r="Q7969" s="94">
        <f>F7969&amp;E7969&amp;G7969&amp;L7969</f>
        <v/>
      </c>
    </row>
    <row r="7970">
      <c r="A7970" s="94" t="n"/>
      <c r="B7970" s="128" t="n">
        <v>44039</v>
      </c>
      <c r="C7970" s="94">
        <f>TEXT(B7970,"aaa")</f>
        <v/>
      </c>
      <c r="D7970" s="94" t="n"/>
      <c r="E7970" s="94" t="inlineStr">
        <is>
          <t>여름 한정 진정세트</t>
        </is>
      </c>
      <c r="F7970" s="5" t="inlineStr">
        <is>
          <t>카페24</t>
        </is>
      </c>
      <c r="G7970" s="94" t="inlineStr">
        <is>
          <t>여름 한정 진정세트</t>
        </is>
      </c>
      <c r="H7970" s="7" t="n">
        <v>190801</v>
      </c>
      <c r="I7970" s="7" t="n">
        <v>190801</v>
      </c>
      <c r="J7970" s="94" t="n"/>
      <c r="K7970" s="94" t="n">
        <v>1</v>
      </c>
      <c r="L7970" s="7" t="n">
        <v>190801</v>
      </c>
      <c r="M7970" s="94">
        <f>VLOOKUP($Q7970,매칭테이블!$F:$I,2,0)*K7970</f>
        <v/>
      </c>
      <c r="N7970" s="94">
        <f>M7970-M7970*VLOOKUP($Q7970,매칭테이블!$F:$I,3,0)</f>
        <v/>
      </c>
      <c r="O7970" s="94">
        <f>VLOOKUP($Q7970,매칭테이블!$F:$I,4,0)*K7970</f>
        <v/>
      </c>
      <c r="P7970" s="148">
        <f>M7970/1.1</f>
        <v/>
      </c>
      <c r="Q7970" s="94">
        <f>F7970&amp;E7970&amp;G7970&amp;L7970</f>
        <v/>
      </c>
    </row>
    <row r="7971">
      <c r="A7971" s="94" t="n"/>
      <c r="B7971" s="128" t="n">
        <v>44039</v>
      </c>
      <c r="C7971" s="94">
        <f>TEXT(B7971,"aaa")</f>
        <v/>
      </c>
      <c r="D7971" s="94" t="n"/>
      <c r="E7971" s="94" t="inlineStr">
        <is>
          <t>여름 한정 진정세트</t>
        </is>
      </c>
      <c r="F7971" s="5" t="inlineStr">
        <is>
          <t>카페24</t>
        </is>
      </c>
      <c r="G7971" s="94" t="inlineStr">
        <is>
          <t>여름 한정 진정세트 (대용량)</t>
        </is>
      </c>
      <c r="H7971" s="7" t="n">
        <v>190801</v>
      </c>
      <c r="I7971" s="7" t="n">
        <v>190801</v>
      </c>
      <c r="J7971" s="94" t="n"/>
      <c r="K7971" s="94" t="n">
        <v>1</v>
      </c>
      <c r="L7971" s="7" t="n">
        <v>190801</v>
      </c>
      <c r="M7971" s="94">
        <f>VLOOKUP($Q7971,매칭테이블!$F:$I,2,0)*K7971</f>
        <v/>
      </c>
      <c r="N7971" s="94">
        <f>M7971-M7971*VLOOKUP($Q7971,매칭테이블!$F:$I,3,0)</f>
        <v/>
      </c>
      <c r="O7971" s="94">
        <f>VLOOKUP($Q7971,매칭테이블!$F:$I,4,0)*K7971</f>
        <v/>
      </c>
      <c r="P7971" s="148">
        <f>M7971/1.1</f>
        <v/>
      </c>
      <c r="Q7971" s="94">
        <f>F7971&amp;E7971&amp;G7971&amp;L7971</f>
        <v/>
      </c>
    </row>
    <row r="7972">
      <c r="A7972" s="94" t="n"/>
      <c r="B7972" s="128" t="n">
        <v>44039</v>
      </c>
      <c r="C7972" s="94">
        <f>TEXT(B7972,"aaa")</f>
        <v/>
      </c>
      <c r="D7972" s="94" t="n"/>
      <c r="E7972" s="94" t="inlineStr">
        <is>
          <t>머드크림마스크</t>
        </is>
      </c>
      <c r="F7972" s="5" t="inlineStr">
        <is>
          <t>카페24</t>
        </is>
      </c>
      <c r="G7972" s="94" t="inlineStr">
        <is>
          <t>머드크림마스크 100ml</t>
        </is>
      </c>
      <c r="H7972" s="7" t="n">
        <v>190801</v>
      </c>
      <c r="I7972" s="7" t="n">
        <v>190801</v>
      </c>
      <c r="J7972" s="94" t="n"/>
      <c r="K7972" s="94" t="n">
        <v>3</v>
      </c>
      <c r="L7972" s="7" t="n">
        <v>190801</v>
      </c>
      <c r="M7972" s="94">
        <f>VLOOKUP($Q7972,매칭테이블!$F:$I,2,0)*K7972</f>
        <v/>
      </c>
      <c r="N7972" s="94">
        <f>M7972-M7972*VLOOKUP($Q7972,매칭테이블!$F:$I,3,0)</f>
        <v/>
      </c>
      <c r="O7972" s="94">
        <f>VLOOKUP($Q7972,매칭테이블!$F:$I,4,0)*K7972</f>
        <v/>
      </c>
      <c r="P7972" s="148">
        <f>M7972/1.1</f>
        <v/>
      </c>
      <c r="Q7972" s="94">
        <f>F7972&amp;E7972&amp;G7972&amp;L7972</f>
        <v/>
      </c>
    </row>
    <row r="7973">
      <c r="A7973" s="94" t="n"/>
      <c r="B7973" s="128" t="n">
        <v>44039</v>
      </c>
      <c r="C7973" s="94">
        <f>TEXT(B7973,"aaa")</f>
        <v/>
      </c>
      <c r="D7973" s="94" t="n"/>
      <c r="E7973" s="94" t="inlineStr">
        <is>
          <t>머드크림마스크</t>
        </is>
      </c>
      <c r="F7973" s="5" t="inlineStr">
        <is>
          <t>카페24</t>
        </is>
      </c>
      <c r="G7973" s="94" t="inlineStr">
        <is>
          <t>머드크림마스크 100ml 2set</t>
        </is>
      </c>
      <c r="H7973" s="7" t="n">
        <v>190801</v>
      </c>
      <c r="I7973" s="7" t="n">
        <v>190801</v>
      </c>
      <c r="J7973" s="94" t="n"/>
      <c r="K7973" s="94" t="n">
        <v>3</v>
      </c>
      <c r="L7973" s="7" t="n">
        <v>190801</v>
      </c>
      <c r="M7973" s="94">
        <f>VLOOKUP($Q7973,매칭테이블!$F:$I,2,0)*K7973</f>
        <v/>
      </c>
      <c r="N7973" s="94">
        <f>M7973-M7973*VLOOKUP($Q7973,매칭테이블!$F:$I,3,0)</f>
        <v/>
      </c>
      <c r="O7973" s="94">
        <f>VLOOKUP($Q7973,매칭테이블!$F:$I,4,0)*K7973</f>
        <v/>
      </c>
      <c r="P7973" s="148">
        <f>M7973/1.1</f>
        <v/>
      </c>
      <c r="Q7973" s="94">
        <f>F7973&amp;E7973&amp;G7973&amp;L7973</f>
        <v/>
      </c>
    </row>
    <row r="7974">
      <c r="A7974" s="94" t="n"/>
      <c r="B7974" s="128" t="n">
        <v>44039</v>
      </c>
      <c r="C7974" s="94">
        <f>TEXT(B7974,"aaa")</f>
        <v/>
      </c>
      <c r="D7974" s="94" t="n"/>
      <c r="E7974" s="94" t="inlineStr">
        <is>
          <t>토너</t>
        </is>
      </c>
      <c r="F7974" s="5" t="inlineStr">
        <is>
          <t>카페24</t>
        </is>
      </c>
      <c r="G7974" s="94" t="inlineStr">
        <is>
          <t>250ml</t>
        </is>
      </c>
      <c r="H7974" s="7" t="n">
        <v>190801</v>
      </c>
      <c r="I7974" s="7" t="n">
        <v>190801</v>
      </c>
      <c r="J7974" s="94" t="n"/>
      <c r="K7974" s="94" t="n">
        <v>91</v>
      </c>
      <c r="L7974" s="7" t="n">
        <v>190801</v>
      </c>
      <c r="M7974" s="94">
        <f>VLOOKUP($Q7974,매칭테이블!$F:$I,2,0)*K7974</f>
        <v/>
      </c>
      <c r="N7974" s="94">
        <f>M7974-M7974*VLOOKUP($Q7974,매칭테이블!$F:$I,3,0)</f>
        <v/>
      </c>
      <c r="O7974" s="94">
        <f>VLOOKUP($Q7974,매칭테이블!$F:$I,4,0)*K7974</f>
        <v/>
      </c>
      <c r="P7974" s="148">
        <f>M7974/1.1</f>
        <v/>
      </c>
      <c r="Q7974" s="94">
        <f>F7974&amp;E7974&amp;G7974&amp;L7974</f>
        <v/>
      </c>
    </row>
    <row r="7975">
      <c r="A7975" s="94" t="n"/>
      <c r="B7975" s="128" t="n">
        <v>44039</v>
      </c>
      <c r="C7975" s="94">
        <f>TEXT(B7975,"aaa")</f>
        <v/>
      </c>
      <c r="D7975" s="94" t="n"/>
      <c r="E7975" s="94" t="inlineStr">
        <is>
          <t>토너</t>
        </is>
      </c>
      <c r="F7975" s="5" t="inlineStr">
        <is>
          <t>카페24</t>
        </is>
      </c>
      <c r="G7975" s="94" t="inlineStr">
        <is>
          <t>250ml 2set</t>
        </is>
      </c>
      <c r="H7975" s="7" t="n">
        <v>190801</v>
      </c>
      <c r="I7975" s="7" t="n">
        <v>190801</v>
      </c>
      <c r="J7975" s="94" t="n"/>
      <c r="K7975" s="94" t="n">
        <v>77</v>
      </c>
      <c r="L7975" s="7" t="n">
        <v>190801</v>
      </c>
      <c r="M7975" s="94">
        <f>VLOOKUP($Q7975,매칭테이블!$F:$I,2,0)*K7975</f>
        <v/>
      </c>
      <c r="N7975" s="94">
        <f>M7975-M7975*VLOOKUP($Q7975,매칭테이블!$F:$I,3,0)</f>
        <v/>
      </c>
      <c r="O7975" s="94">
        <f>VLOOKUP($Q7975,매칭테이블!$F:$I,4,0)*K7975</f>
        <v/>
      </c>
      <c r="P7975" s="148">
        <f>M7975/1.1</f>
        <v/>
      </c>
      <c r="Q7975" s="94">
        <f>F7975&amp;E7975&amp;G7975&amp;L7975</f>
        <v/>
      </c>
    </row>
    <row r="7976">
      <c r="A7976" s="94" t="n"/>
      <c r="B7976" s="128" t="n">
        <v>44039</v>
      </c>
      <c r="C7976" s="94">
        <f>TEXT(B7976,"aaa")</f>
        <v/>
      </c>
      <c r="D7976" s="94" t="n"/>
      <c r="E7976" s="94" t="inlineStr">
        <is>
          <t>토너</t>
        </is>
      </c>
      <c r="F7976" s="5" t="inlineStr">
        <is>
          <t>카페24</t>
        </is>
      </c>
      <c r="G7976" s="94" t="inlineStr">
        <is>
          <t>500ml</t>
        </is>
      </c>
      <c r="H7976" s="7" t="n">
        <v>190801</v>
      </c>
      <c r="I7976" s="7" t="n">
        <v>190801</v>
      </c>
      <c r="J7976" s="94" t="n"/>
      <c r="K7976" s="94" t="n">
        <v>63</v>
      </c>
      <c r="L7976" s="7" t="n">
        <v>190801</v>
      </c>
      <c r="M7976" s="94">
        <f>VLOOKUP($Q7976,매칭테이블!$F:$I,2,0)*K7976</f>
        <v/>
      </c>
      <c r="N7976" s="94">
        <f>M7976-M7976*VLOOKUP($Q7976,매칭테이블!$F:$I,3,0)</f>
        <v/>
      </c>
      <c r="O7976" s="94">
        <f>VLOOKUP($Q7976,매칭테이블!$F:$I,4,0)*K7976</f>
        <v/>
      </c>
      <c r="P7976" s="148">
        <f>M7976/1.1</f>
        <v/>
      </c>
      <c r="Q7976" s="94">
        <f>F7976&amp;E7976&amp;G7976&amp;L7976</f>
        <v/>
      </c>
    </row>
    <row r="7977">
      <c r="A7977" s="94" t="n"/>
      <c r="B7977" s="128" t="n">
        <v>44039</v>
      </c>
      <c r="C7977" s="94">
        <f>TEXT(B7977,"aaa")</f>
        <v/>
      </c>
      <c r="D7977" s="94" t="n"/>
      <c r="E7977" s="94" t="inlineStr">
        <is>
          <t>토너</t>
        </is>
      </c>
      <c r="F7977" s="5" t="inlineStr">
        <is>
          <t>카페24</t>
        </is>
      </c>
      <c r="G7977" s="94" t="inlineStr">
        <is>
          <t>스킨팩 화장솜 60P</t>
        </is>
      </c>
      <c r="H7977" s="7" t="n">
        <v>190801</v>
      </c>
      <c r="I7977" s="7" t="n">
        <v>190801</v>
      </c>
      <c r="J7977" s="94" t="n"/>
      <c r="K7977" s="94" t="n">
        <v>93</v>
      </c>
      <c r="L7977" s="7" t="n">
        <v>190801</v>
      </c>
      <c r="M7977" s="94">
        <f>VLOOKUP($Q7977,매칭테이블!$F:$I,2,0)*K7977</f>
        <v/>
      </c>
      <c r="N7977" s="94">
        <f>M7977-M7977*VLOOKUP($Q7977,매칭테이블!$F:$I,3,0)</f>
        <v/>
      </c>
      <c r="O7977" s="94">
        <f>VLOOKUP($Q7977,매칭테이블!$F:$I,4,0)*K7977</f>
        <v/>
      </c>
      <c r="P7977" s="148">
        <f>M7977/1.1</f>
        <v/>
      </c>
      <c r="Q7977" s="94">
        <f>F7977&amp;E7977&amp;G7977&amp;L7977</f>
        <v/>
      </c>
    </row>
    <row r="7978">
      <c r="A7978" s="94" t="n"/>
      <c r="B7978" s="128" t="n">
        <v>44039</v>
      </c>
      <c r="C7978" s="94">
        <f>TEXT(B7978,"aaa")</f>
        <v/>
      </c>
      <c r="D7978" s="94" t="n"/>
      <c r="E7978" s="94" t="inlineStr">
        <is>
          <t>앰플</t>
        </is>
      </c>
      <c r="F7978" s="5" t="inlineStr">
        <is>
          <t>카페24</t>
        </is>
      </c>
      <c r="G7978" s="94" t="inlineStr">
        <is>
          <t>앰플 30ml</t>
        </is>
      </c>
      <c r="H7978" s="7" t="n">
        <v>190801</v>
      </c>
      <c r="I7978" s="7" t="n">
        <v>190801</v>
      </c>
      <c r="J7978" s="94" t="n"/>
      <c r="K7978" s="94" t="n">
        <v>23</v>
      </c>
      <c r="L7978" s="7" t="n">
        <v>190801</v>
      </c>
      <c r="M7978" s="94">
        <f>VLOOKUP($Q7978,매칭테이블!$F:$I,2,0)*K7978</f>
        <v/>
      </c>
      <c r="N7978" s="94">
        <f>M7978-M7978*VLOOKUP($Q7978,매칭테이블!$F:$I,3,0)</f>
        <v/>
      </c>
      <c r="O7978" s="94">
        <f>VLOOKUP($Q7978,매칭테이블!$F:$I,4,0)*K7978</f>
        <v/>
      </c>
      <c r="P7978" s="148">
        <f>M7978/1.1</f>
        <v/>
      </c>
      <c r="Q7978" s="94">
        <f>F7978&amp;E7978&amp;G7978&amp;L7978</f>
        <v/>
      </c>
    </row>
    <row r="7979">
      <c r="A7979" s="94" t="n"/>
      <c r="B7979" s="128" t="n">
        <v>44039</v>
      </c>
      <c r="C7979" s="94">
        <f>TEXT(B7979,"aaa")</f>
        <v/>
      </c>
      <c r="D7979" s="94" t="n"/>
      <c r="E7979" s="94" t="inlineStr">
        <is>
          <t>수딩크림</t>
        </is>
      </c>
      <c r="F7979" s="5" t="inlineStr">
        <is>
          <t>카페24</t>
        </is>
      </c>
      <c r="G7979" s="94" t="inlineStr">
        <is>
          <t>수딩크림 100ml</t>
        </is>
      </c>
      <c r="H7979" s="7" t="n">
        <v>190801</v>
      </c>
      <c r="I7979" s="7" t="n">
        <v>190801</v>
      </c>
      <c r="J7979" s="94" t="n"/>
      <c r="K7979" s="94" t="n">
        <v>8</v>
      </c>
      <c r="L7979" s="7" t="n">
        <v>190801</v>
      </c>
      <c r="M7979" s="94">
        <f>VLOOKUP($Q7979,매칭테이블!$F:$I,2,0)*K7979</f>
        <v/>
      </c>
      <c r="N7979" s="94">
        <f>M7979-M7979*VLOOKUP($Q7979,매칭테이블!$F:$I,3,0)</f>
        <v/>
      </c>
      <c r="O7979" s="94">
        <f>VLOOKUP($Q7979,매칭테이블!$F:$I,4,0)*K7979</f>
        <v/>
      </c>
      <c r="P7979" s="148">
        <f>M7979/1.1</f>
        <v/>
      </c>
      <c r="Q7979" s="94">
        <f>F7979&amp;E7979&amp;G7979&amp;L7979</f>
        <v/>
      </c>
    </row>
    <row r="7980">
      <c r="A7980" s="94" t="n"/>
      <c r="B7980" s="128" t="n">
        <v>44039</v>
      </c>
      <c r="C7980" s="94">
        <f>TEXT(B7980,"aaa")</f>
        <v/>
      </c>
      <c r="D7980" s="94" t="n"/>
      <c r="E7980" s="94" t="inlineStr">
        <is>
          <t>토너</t>
        </is>
      </c>
      <c r="F7980" s="5" t="inlineStr">
        <is>
          <t>아누아 CS</t>
        </is>
      </c>
      <c r="G7980" s="94" t="inlineStr">
        <is>
          <t>250ml</t>
        </is>
      </c>
      <c r="H7980" s="7" t="n">
        <v>190801</v>
      </c>
      <c r="I7980" s="7" t="n">
        <v>190801</v>
      </c>
      <c r="J7980" s="94" t="n"/>
      <c r="K7980" s="94" t="n">
        <v>2</v>
      </c>
      <c r="L7980" s="7" t="n">
        <v>190801</v>
      </c>
      <c r="M7980" s="94">
        <f>VLOOKUP($Q7980,매칭테이블!$F:$I,2,0)*K7980</f>
        <v/>
      </c>
      <c r="N7980" s="94">
        <f>M7980-M7980*VLOOKUP($Q7980,매칭테이블!$F:$I,3,0)</f>
        <v/>
      </c>
      <c r="O7980" s="94">
        <f>VLOOKUP($Q7980,매칭테이블!$F:$I,4,0)*K7980</f>
        <v/>
      </c>
      <c r="P7980" s="148">
        <f>M7980/1.1</f>
        <v/>
      </c>
      <c r="Q7980" s="94">
        <f>F7980&amp;E7980&amp;G7980&amp;L7980</f>
        <v/>
      </c>
    </row>
    <row r="7981">
      <c r="A7981" s="94" t="n"/>
      <c r="B7981" s="128" t="n">
        <v>44039</v>
      </c>
      <c r="C7981" s="94">
        <f>TEXT(B7981,"aaa")</f>
        <v/>
      </c>
      <c r="D7981" s="94" t="n"/>
      <c r="E7981" s="94" t="inlineStr">
        <is>
          <t>토너</t>
        </is>
      </c>
      <c r="F7981" s="5" t="inlineStr">
        <is>
          <t>아누아 CS</t>
        </is>
      </c>
      <c r="G7981" s="94" t="inlineStr">
        <is>
          <t>40ml</t>
        </is>
      </c>
      <c r="H7981" s="7" t="n">
        <v>190801</v>
      </c>
      <c r="I7981" s="7" t="n">
        <v>190801</v>
      </c>
      <c r="J7981" s="94" t="n"/>
      <c r="K7981" s="94" t="n">
        <v>1</v>
      </c>
      <c r="L7981" s="7" t="n">
        <v>190801</v>
      </c>
      <c r="M7981" s="94">
        <f>VLOOKUP($Q7981,매칭테이블!$F:$I,2,0)*K7981</f>
        <v/>
      </c>
      <c r="N7981" s="94">
        <f>M7981-M7981*VLOOKUP($Q7981,매칭테이블!$F:$I,3,0)</f>
        <v/>
      </c>
      <c r="O7981" s="94">
        <f>VLOOKUP($Q7981,매칭테이블!$F:$I,4,0)*K7981</f>
        <v/>
      </c>
      <c r="P7981" s="148">
        <f>M7981/1.1</f>
        <v/>
      </c>
      <c r="Q7981" s="94">
        <f>F7981&amp;E7981&amp;G7981&amp;L7981</f>
        <v/>
      </c>
    </row>
    <row r="7982">
      <c r="A7982" s="94" t="n"/>
      <c r="B7982" s="128" t="n">
        <v>44039</v>
      </c>
      <c r="C7982" s="94">
        <f>TEXT(B7982,"aaa")</f>
        <v/>
      </c>
      <c r="D7982" s="94" t="n"/>
      <c r="E7982" s="94" t="inlineStr">
        <is>
          <t>토너</t>
        </is>
      </c>
      <c r="F7982" s="5" t="inlineStr">
        <is>
          <t>아누아 CS</t>
        </is>
      </c>
      <c r="G7982" s="94" t="inlineStr">
        <is>
          <t>500ml</t>
        </is>
      </c>
      <c r="H7982" s="7" t="n">
        <v>190801</v>
      </c>
      <c r="I7982" s="7" t="n">
        <v>190801</v>
      </c>
      <c r="J7982" s="94" t="n"/>
      <c r="K7982" s="94" t="n">
        <v>2</v>
      </c>
      <c r="L7982" s="7" t="n">
        <v>190801</v>
      </c>
      <c r="M7982" s="94">
        <f>VLOOKUP($Q7982,매칭테이블!$F:$I,2,0)*K7982</f>
        <v/>
      </c>
      <c r="N7982" s="94">
        <f>M7982-M7982*VLOOKUP($Q7982,매칭테이블!$F:$I,3,0)</f>
        <v/>
      </c>
      <c r="O7982" s="94">
        <f>VLOOKUP($Q7982,매칭테이블!$F:$I,4,0)*K7982</f>
        <v/>
      </c>
      <c r="P7982" s="148">
        <f>M7982/1.1</f>
        <v/>
      </c>
      <c r="Q7982" s="94">
        <f>F7982&amp;E7982&amp;G7982&amp;L7982</f>
        <v/>
      </c>
    </row>
    <row r="7983">
      <c r="A7983" s="94" t="n"/>
      <c r="B7983" s="128" t="n">
        <v>44039</v>
      </c>
      <c r="C7983" s="94">
        <f>TEXT(B7983,"aaa")</f>
        <v/>
      </c>
      <c r="D7983" s="94" t="n"/>
      <c r="E7983" s="94" t="inlineStr">
        <is>
          <t>화장솜</t>
        </is>
      </c>
      <c r="F7983" s="5" t="inlineStr">
        <is>
          <t>아누아 CS</t>
        </is>
      </c>
      <c r="G7983" s="94" t="inlineStr">
        <is>
          <t>스킨팩 화장솜 60P</t>
        </is>
      </c>
      <c r="H7983" s="7" t="n">
        <v>190801</v>
      </c>
      <c r="I7983" s="7" t="n">
        <v>190801</v>
      </c>
      <c r="J7983" s="94" t="n"/>
      <c r="K7983" s="94" t="n">
        <v>2</v>
      </c>
      <c r="L7983" s="7" t="n">
        <v>190801</v>
      </c>
      <c r="M7983" s="94">
        <f>VLOOKUP($Q7983,매칭테이블!$F:$I,2,0)*K7983</f>
        <v/>
      </c>
      <c r="N7983" s="94">
        <f>M7983-M7983*VLOOKUP($Q7983,매칭테이블!$F:$I,3,0)</f>
        <v/>
      </c>
      <c r="O7983" s="94">
        <f>VLOOKUP($Q7983,매칭테이블!$F:$I,4,0)*K7983</f>
        <v/>
      </c>
      <c r="P7983" s="148">
        <f>M7983/1.1</f>
        <v/>
      </c>
      <c r="Q7983" s="94">
        <f>F7983&amp;E7983&amp;G7983&amp;L7983</f>
        <v/>
      </c>
    </row>
    <row r="7984">
      <c r="A7984" s="94" t="n"/>
      <c r="B7984" s="128" t="n">
        <v>44039</v>
      </c>
      <c r="C7984" s="94">
        <f>TEXT(B7984,"aaa")</f>
        <v/>
      </c>
      <c r="D7984" s="94" t="n"/>
      <c r="E7984" s="94" t="inlineStr">
        <is>
          <t>앰플</t>
        </is>
      </c>
      <c r="F7984" s="5" t="inlineStr">
        <is>
          <t>아누아 CS</t>
        </is>
      </c>
      <c r="G7984" s="94" t="inlineStr">
        <is>
          <t>앰플 30ml</t>
        </is>
      </c>
      <c r="H7984" s="7" t="n">
        <v>190801</v>
      </c>
      <c r="I7984" s="7" t="n">
        <v>190801</v>
      </c>
      <c r="J7984" s="94" t="n"/>
      <c r="K7984" s="94" t="n">
        <v>3</v>
      </c>
      <c r="L7984" s="7" t="n">
        <v>190801</v>
      </c>
      <c r="M7984" s="94">
        <f>VLOOKUP($Q7984,매칭테이블!$F:$I,2,0)*K7984</f>
        <v/>
      </c>
      <c r="N7984" s="94">
        <f>M7984-M7984*VLOOKUP($Q7984,매칭테이블!$F:$I,3,0)</f>
        <v/>
      </c>
      <c r="O7984" s="94">
        <f>VLOOKUP($Q7984,매칭테이블!$F:$I,4,0)*K7984</f>
        <v/>
      </c>
      <c r="P7984" s="148">
        <f>M7984/1.1</f>
        <v/>
      </c>
      <c r="Q7984" s="94">
        <f>F7984&amp;E7984&amp;G7984&amp;L7984</f>
        <v/>
      </c>
    </row>
    <row r="7985">
      <c r="A7985" s="94" t="n"/>
      <c r="B7985" s="128" t="n">
        <v>44039</v>
      </c>
      <c r="C7985" s="94">
        <f>TEXT(B7985,"aaa")</f>
        <v/>
      </c>
      <c r="D7985" s="94" t="n"/>
      <c r="E7985" s="94" t="inlineStr">
        <is>
          <t>마스크팩</t>
        </is>
      </c>
      <c r="F7985" s="5" t="inlineStr">
        <is>
          <t>아누아 CS</t>
        </is>
      </c>
      <c r="G7985" s="94" t="inlineStr">
        <is>
          <t>마스크팩 10매</t>
        </is>
      </c>
      <c r="H7985" s="7" t="n">
        <v>190801</v>
      </c>
      <c r="I7985" s="7" t="n">
        <v>190801</v>
      </c>
      <c r="J7985" s="94" t="n"/>
      <c r="K7985" s="94" t="n">
        <v>2</v>
      </c>
      <c r="L7985" s="7" t="n">
        <v>190801</v>
      </c>
      <c r="M7985" s="94">
        <f>VLOOKUP($Q7985,매칭테이블!$F:$I,2,0)*K7985</f>
        <v/>
      </c>
      <c r="N7985" s="94">
        <f>M7985-M7985*VLOOKUP($Q7985,매칭테이블!$F:$I,3,0)</f>
        <v/>
      </c>
      <c r="O7985" s="94">
        <f>VLOOKUP($Q7985,매칭테이블!$F:$I,4,0)*K7985</f>
        <v/>
      </c>
      <c r="P7985" s="148">
        <f>M7985/1.1</f>
        <v/>
      </c>
      <c r="Q7985" s="94">
        <f>F7985&amp;E7985&amp;G7985&amp;L7985</f>
        <v/>
      </c>
    </row>
    <row r="7986">
      <c r="A7986" s="94" t="n"/>
      <c r="B7986" s="128" t="n">
        <v>44039</v>
      </c>
      <c r="C7986" s="94">
        <f>TEXT(B7986,"aaa")</f>
        <v/>
      </c>
      <c r="D7986" s="94" t="n"/>
      <c r="E7986" s="94" t="inlineStr">
        <is>
          <t>선크림</t>
        </is>
      </c>
      <c r="F7986" s="5" t="inlineStr">
        <is>
          <t>아누아 CS</t>
        </is>
      </c>
      <c r="G7986" s="94" t="inlineStr">
        <is>
          <t>선크림 50ml</t>
        </is>
      </c>
      <c r="H7986" s="7" t="n">
        <v>190801</v>
      </c>
      <c r="I7986" s="7" t="n">
        <v>190801</v>
      </c>
      <c r="J7986" s="94" t="n"/>
      <c r="K7986" s="94" t="n">
        <v>2</v>
      </c>
      <c r="L7986" s="7" t="n">
        <v>190801</v>
      </c>
      <c r="M7986" s="94">
        <f>VLOOKUP($Q7986,매칭테이블!$F:$I,2,0)*K7986</f>
        <v/>
      </c>
      <c r="N7986" s="94">
        <f>M7986-M7986*VLOOKUP($Q7986,매칭테이블!$F:$I,3,0)</f>
        <v/>
      </c>
      <c r="O7986" s="94">
        <f>VLOOKUP($Q7986,매칭테이블!$F:$I,4,0)*K7986</f>
        <v/>
      </c>
      <c r="P7986" s="148">
        <f>M7986/1.1</f>
        <v/>
      </c>
      <c r="Q7986" s="94">
        <f>F7986&amp;E7986&amp;G7986&amp;L7986</f>
        <v/>
      </c>
    </row>
    <row r="7987">
      <c r="A7987" s="94" t="n"/>
      <c r="B7987" s="128" t="n">
        <v>44039</v>
      </c>
      <c r="C7987" s="94">
        <f>TEXT(B7987,"aaa")</f>
        <v/>
      </c>
      <c r="D7987" s="94" t="n"/>
      <c r="E7987" s="94" t="inlineStr">
        <is>
          <t>클렌징폼</t>
        </is>
      </c>
      <c r="F7987" s="5" t="inlineStr">
        <is>
          <t>아누아 CS</t>
        </is>
      </c>
      <c r="G7987" s="94" t="inlineStr">
        <is>
          <t>클렌징폼 120ml</t>
        </is>
      </c>
      <c r="H7987" s="7" t="n">
        <v>190801</v>
      </c>
      <c r="I7987" s="7" t="n">
        <v>190801</v>
      </c>
      <c r="J7987" s="94" t="n"/>
      <c r="K7987" s="94" t="n">
        <v>2</v>
      </c>
      <c r="L7987" s="7" t="n">
        <v>190801</v>
      </c>
      <c r="M7987" s="94">
        <f>VLOOKUP($Q7987,매칭테이블!$F:$I,2,0)*K7987</f>
        <v/>
      </c>
      <c r="N7987" s="94">
        <f>M7987-M7987*VLOOKUP($Q7987,매칭테이블!$F:$I,3,0)</f>
        <v/>
      </c>
      <c r="O7987" s="94">
        <f>VLOOKUP($Q7987,매칭테이블!$F:$I,4,0)*K7987</f>
        <v/>
      </c>
      <c r="P7987" s="148">
        <f>M7987/1.1</f>
        <v/>
      </c>
      <c r="Q7987" s="94">
        <f>F7987&amp;E7987&amp;G7987&amp;L7987</f>
        <v/>
      </c>
    </row>
    <row r="7988">
      <c r="A7988" s="94" t="n"/>
      <c r="B7988" s="128" t="n">
        <v>44039</v>
      </c>
      <c r="C7988" s="94">
        <f>TEXT(B7988,"aaa")</f>
        <v/>
      </c>
      <c r="D7988" s="94" t="n"/>
      <c r="E7988" s="94" t="inlineStr">
        <is>
          <t>머드크림마스크</t>
        </is>
      </c>
      <c r="F7988" s="5" t="inlineStr">
        <is>
          <t>아누아 CS</t>
        </is>
      </c>
      <c r="G7988" s="94" t="inlineStr">
        <is>
          <t>머드크림마스크 100ml</t>
        </is>
      </c>
      <c r="H7988" s="7" t="n">
        <v>190801</v>
      </c>
      <c r="I7988" s="7" t="n">
        <v>190801</v>
      </c>
      <c r="J7988" s="94" t="n"/>
      <c r="K7988" s="94" t="n">
        <v>1</v>
      </c>
      <c r="L7988" s="7" t="n">
        <v>190801</v>
      </c>
      <c r="M7988" s="94">
        <f>VLOOKUP($Q7988,매칭테이블!$F:$I,2,0)*K7988</f>
        <v/>
      </c>
      <c r="N7988" s="94">
        <f>M7988-M7988*VLOOKUP($Q7988,매칭테이블!$F:$I,3,0)</f>
        <v/>
      </c>
      <c r="O7988" s="94">
        <f>VLOOKUP($Q7988,매칭테이블!$F:$I,4,0)*K7988</f>
        <v/>
      </c>
      <c r="P7988" s="148">
        <f>M7988/1.1</f>
        <v/>
      </c>
      <c r="Q7988" s="94">
        <f>F7988&amp;E7988&amp;G7988&amp;L7988</f>
        <v/>
      </c>
    </row>
    <row r="7989">
      <c r="A7989" s="94" t="n"/>
      <c r="B7989" s="128" t="n">
        <v>44039</v>
      </c>
      <c r="C7989" s="94">
        <f>TEXT(B7989,"aaa")</f>
        <v/>
      </c>
      <c r="D7989" s="94" t="n"/>
      <c r="E7989" s="94" t="inlineStr">
        <is>
          <t>수딩크림</t>
        </is>
      </c>
      <c r="F7989" s="5" t="inlineStr">
        <is>
          <t>아누아 CS</t>
        </is>
      </c>
      <c r="G7989" s="94" t="inlineStr">
        <is>
          <t>수딩크림 100ml</t>
        </is>
      </c>
      <c r="H7989" s="7" t="n">
        <v>190801</v>
      </c>
      <c r="I7989" s="7" t="n">
        <v>190801</v>
      </c>
      <c r="J7989" s="94" t="n"/>
      <c r="K7989" s="94" t="n">
        <v>1</v>
      </c>
      <c r="L7989" s="7" t="n">
        <v>190801</v>
      </c>
      <c r="M7989" s="94">
        <f>VLOOKUP($Q7989,매칭테이블!$F:$I,2,0)*K7989</f>
        <v/>
      </c>
      <c r="N7989" s="94">
        <f>M7989-M7989*VLOOKUP($Q7989,매칭테이블!$F:$I,3,0)</f>
        <v/>
      </c>
      <c r="O7989" s="94">
        <f>VLOOKUP($Q7989,매칭테이블!$F:$I,4,0)*K7989</f>
        <v/>
      </c>
      <c r="P7989" s="148">
        <f>M7989/1.1</f>
        <v/>
      </c>
      <c r="Q7989" s="94">
        <f>F7989&amp;E7989&amp;G7989&amp;L7989</f>
        <v/>
      </c>
    </row>
    <row r="7990">
      <c r="A7990" s="94" t="n"/>
      <c r="B7990" s="128" t="n">
        <v>44039</v>
      </c>
      <c r="C7990" s="94">
        <f>TEXT(B7990,"aaa")</f>
        <v/>
      </c>
      <c r="D7990" s="94" t="n"/>
      <c r="E7990" s="94" t="inlineStr">
        <is>
          <t>토너</t>
        </is>
      </c>
      <c r="F7990" s="5" t="inlineStr">
        <is>
          <t>큐텐재팬</t>
        </is>
      </c>
      <c r="G7990" s="94" t="inlineStr">
        <is>
          <t>200726=250ml</t>
        </is>
      </c>
      <c r="H7990" s="7" t="n">
        <v>190801</v>
      </c>
      <c r="I7990" s="7" t="n">
        <v>190801</v>
      </c>
      <c r="J7990" s="94" t="n"/>
      <c r="K7990" s="94" t="n">
        <v>27</v>
      </c>
      <c r="L7990" s="7" t="n">
        <v>190801</v>
      </c>
      <c r="M7990" s="94">
        <f>VLOOKUP($Q7990,매칭테이블!$F:$I,2,0)*K7990</f>
        <v/>
      </c>
      <c r="N7990" s="94">
        <f>M7990-M7990*VLOOKUP($Q7990,매칭테이블!$F:$I,3,0)</f>
        <v/>
      </c>
      <c r="O7990" s="94">
        <f>VLOOKUP($Q7990,매칭테이블!$F:$I,4,0)*K7990</f>
        <v/>
      </c>
      <c r="P7990" s="148">
        <f>M7990/1.1</f>
        <v/>
      </c>
      <c r="Q7990" s="94">
        <f>F7990&amp;E7990&amp;G7990&amp;L7990</f>
        <v/>
      </c>
    </row>
    <row r="7991">
      <c r="A7991" s="94" t="n"/>
      <c r="B7991" s="128" t="n">
        <v>44039</v>
      </c>
      <c r="C7991" s="94">
        <f>TEXT(B7991,"aaa")</f>
        <v/>
      </c>
      <c r="D7991" s="94" t="n"/>
      <c r="E7991" s="94" t="inlineStr">
        <is>
          <t>수딩크림</t>
        </is>
      </c>
      <c r="F7991" s="5" t="inlineStr">
        <is>
          <t>큐텐재팬</t>
        </is>
      </c>
      <c r="G7991" s="94" t="inlineStr">
        <is>
          <t>200726=수딩크림 100ml</t>
        </is>
      </c>
      <c r="H7991" s="7" t="n">
        <v>190801</v>
      </c>
      <c r="I7991" s="7" t="n">
        <v>190801</v>
      </c>
      <c r="J7991" s="94" t="n"/>
      <c r="K7991" s="94" t="n">
        <v>4</v>
      </c>
      <c r="L7991" s="7" t="n">
        <v>190801</v>
      </c>
      <c r="M7991" s="94">
        <f>VLOOKUP($Q7991,매칭테이블!$F:$I,2,0)*K7991</f>
        <v/>
      </c>
      <c r="N7991" s="94">
        <f>M7991-M7991*VLOOKUP($Q7991,매칭테이블!$F:$I,3,0)</f>
        <v/>
      </c>
      <c r="O7991" s="94">
        <f>VLOOKUP($Q7991,매칭테이블!$F:$I,4,0)*K7991</f>
        <v/>
      </c>
      <c r="P7991" s="148">
        <f>M7991/1.1</f>
        <v/>
      </c>
      <c r="Q7991" s="94">
        <f>F7991&amp;E7991&amp;G7991&amp;L7991</f>
        <v/>
      </c>
    </row>
    <row r="7992">
      <c r="A7992" s="94" t="n"/>
      <c r="B7992" s="128" t="n">
        <v>44039</v>
      </c>
      <c r="C7992" s="94">
        <f>TEXT(B7992,"aaa")</f>
        <v/>
      </c>
      <c r="D7992" s="94" t="n"/>
      <c r="E7992" s="94" t="inlineStr">
        <is>
          <t>앰플</t>
        </is>
      </c>
      <c r="F7992" s="5" t="inlineStr">
        <is>
          <t>큐텐재팬</t>
        </is>
      </c>
      <c r="G7992" s="94" t="inlineStr">
        <is>
          <t>200726=앰플 30ml</t>
        </is>
      </c>
      <c r="H7992" s="7" t="n">
        <v>190801</v>
      </c>
      <c r="I7992" s="7" t="n">
        <v>190801</v>
      </c>
      <c r="J7992" s="94" t="n"/>
      <c r="K7992" s="94" t="n">
        <v>10</v>
      </c>
      <c r="L7992" s="7" t="n">
        <v>190801</v>
      </c>
      <c r="M7992" s="94">
        <f>VLOOKUP($Q7992,매칭테이블!$F:$I,2,0)*K7992</f>
        <v/>
      </c>
      <c r="N7992" s="94">
        <f>M7992-M7992*VLOOKUP($Q7992,매칭테이블!$F:$I,3,0)</f>
        <v/>
      </c>
      <c r="O7992" s="94">
        <f>VLOOKUP($Q7992,매칭테이블!$F:$I,4,0)*K7992</f>
        <v/>
      </c>
      <c r="P7992" s="148">
        <f>M7992/1.1</f>
        <v/>
      </c>
      <c r="Q7992" s="94">
        <f>F7992&amp;E7992&amp;G7992&amp;L7992</f>
        <v/>
      </c>
    </row>
    <row r="7993">
      <c r="A7993" s="94" t="n"/>
      <c r="B7993" s="128" t="n">
        <v>44039</v>
      </c>
      <c r="C7993" s="94">
        <f>TEXT(B7993,"aaa")</f>
        <v/>
      </c>
      <c r="D7993" s="94" t="n"/>
      <c r="E7993" s="94" t="inlineStr">
        <is>
          <t>선크림</t>
        </is>
      </c>
      <c r="F7993" s="5" t="inlineStr">
        <is>
          <t>큐텐재팬</t>
        </is>
      </c>
      <c r="G7993" s="94" t="inlineStr">
        <is>
          <t>200726=선크림 50ml</t>
        </is>
      </c>
      <c r="H7993" s="7" t="n">
        <v>190801</v>
      </c>
      <c r="I7993" s="7" t="n">
        <v>190801</v>
      </c>
      <c r="J7993" s="94" t="n"/>
      <c r="K7993" s="94" t="n">
        <v>2</v>
      </c>
      <c r="L7993" s="7" t="n">
        <v>190801</v>
      </c>
      <c r="M7993" s="94">
        <f>VLOOKUP($Q7993,매칭테이블!$F:$I,2,0)*K7993</f>
        <v/>
      </c>
      <c r="N7993" s="94">
        <f>M7993-M7993*VLOOKUP($Q7993,매칭테이블!$F:$I,3,0)</f>
        <v/>
      </c>
      <c r="O7993" s="94">
        <f>VLOOKUP($Q7993,매칭테이블!$F:$I,4,0)*K7993</f>
        <v/>
      </c>
      <c r="P7993" s="148">
        <f>M7993/1.1</f>
        <v/>
      </c>
      <c r="Q7993" s="94">
        <f>F7993&amp;E7993&amp;G7993&amp;L7993</f>
        <v/>
      </c>
    </row>
    <row r="7994">
      <c r="A7994" s="94" t="n"/>
      <c r="B7994" s="128" t="n">
        <v>44039</v>
      </c>
      <c r="C7994" s="94">
        <f>TEXT(B7994,"aaa")</f>
        <v/>
      </c>
      <c r="D7994" s="94" t="n"/>
      <c r="E7994" s="94" t="inlineStr">
        <is>
          <t>토너</t>
        </is>
      </c>
      <c r="F7994" s="5" t="inlineStr">
        <is>
          <t>큐텐재팬</t>
        </is>
      </c>
      <c r="G7994" s="94" t="inlineStr">
        <is>
          <t>200726=250ml 2set</t>
        </is>
      </c>
      <c r="H7994" s="7" t="n">
        <v>190801</v>
      </c>
      <c r="I7994" s="7" t="n">
        <v>190801</v>
      </c>
      <c r="J7994" s="94" t="n"/>
      <c r="K7994" s="94" t="n">
        <v>9</v>
      </c>
      <c r="L7994" s="7" t="n">
        <v>190801</v>
      </c>
      <c r="M7994" s="94">
        <f>VLOOKUP($Q7994,매칭테이블!$F:$I,2,0)*K7994</f>
        <v/>
      </c>
      <c r="N7994" s="94">
        <f>M7994-M7994*VLOOKUP($Q7994,매칭테이블!$F:$I,3,0)</f>
        <v/>
      </c>
      <c r="O7994" s="94">
        <f>VLOOKUP($Q7994,매칭테이블!$F:$I,4,0)*K7994</f>
        <v/>
      </c>
      <c r="P7994" s="148">
        <f>M7994/1.1</f>
        <v/>
      </c>
      <c r="Q7994" s="94">
        <f>F7994&amp;E7994&amp;G7994&amp;L7994</f>
        <v/>
      </c>
    </row>
    <row r="7995">
      <c r="A7995" s="94" t="n"/>
      <c r="B7995" s="128" t="n">
        <v>44039</v>
      </c>
      <c r="C7995" s="94">
        <f>TEXT(B7995,"aaa")</f>
        <v/>
      </c>
      <c r="D7995" s="94" t="n"/>
      <c r="E7995" s="94" t="inlineStr">
        <is>
          <t>토너</t>
        </is>
      </c>
      <c r="F7995" s="5" t="inlineStr">
        <is>
          <t>쇼피태국</t>
        </is>
      </c>
      <c r="G7995" s="94" t="inlineStr">
        <is>
          <t>200726=250ml</t>
        </is>
      </c>
      <c r="H7995" s="7" t="n">
        <v>190801</v>
      </c>
      <c r="I7995" s="7" t="n">
        <v>190801</v>
      </c>
      <c r="J7995" s="94" t="n"/>
      <c r="K7995" s="94" t="n">
        <v>5</v>
      </c>
      <c r="L7995" s="7" t="n">
        <v>190801</v>
      </c>
      <c r="M7995" s="94">
        <f>VLOOKUP($Q7995,매칭테이블!$F:$I,2,0)*K7995</f>
        <v/>
      </c>
      <c r="N7995" s="94">
        <f>M7995-M7995*VLOOKUP($Q7995,매칭테이블!$F:$I,3,0)</f>
        <v/>
      </c>
      <c r="O7995" s="94">
        <f>VLOOKUP($Q7995,매칭테이블!$F:$I,4,0)*K7995</f>
        <v/>
      </c>
      <c r="P7995" s="148">
        <f>M7995/1.1</f>
        <v/>
      </c>
      <c r="Q7995" s="94">
        <f>F7995&amp;E7995&amp;G7995&amp;L7995</f>
        <v/>
      </c>
    </row>
    <row r="7996">
      <c r="A7996" s="94" t="n"/>
      <c r="B7996" s="128" t="n">
        <v>44039</v>
      </c>
      <c r="C7996" s="94">
        <f>TEXT(B7996,"aaa")</f>
        <v/>
      </c>
      <c r="D7996" s="94" t="n"/>
      <c r="E7996" s="94" t="inlineStr">
        <is>
          <t>앰플</t>
        </is>
      </c>
      <c r="F7996" s="5" t="inlineStr">
        <is>
          <t>쇼피태국</t>
        </is>
      </c>
      <c r="G7996" s="94" t="inlineStr">
        <is>
          <t>200726=앰플 30ml</t>
        </is>
      </c>
      <c r="H7996" s="7" t="n">
        <v>190801</v>
      </c>
      <c r="I7996" s="7" t="n">
        <v>190801</v>
      </c>
      <c r="J7996" s="94" t="n"/>
      <c r="K7996" s="94" t="n">
        <v>5</v>
      </c>
      <c r="L7996" s="7" t="n">
        <v>190801</v>
      </c>
      <c r="M7996" s="94">
        <f>VLOOKUP($Q7996,매칭테이블!$F:$I,2,0)*K7996</f>
        <v/>
      </c>
      <c r="N7996" s="94">
        <f>M7996-M7996*VLOOKUP($Q7996,매칭테이블!$F:$I,3,0)</f>
        <v/>
      </c>
      <c r="O7996" s="94">
        <f>VLOOKUP($Q7996,매칭테이블!$F:$I,4,0)*K7996</f>
        <v/>
      </c>
      <c r="P7996" s="148">
        <f>M7996/1.1</f>
        <v/>
      </c>
      <c r="Q7996" s="94">
        <f>F7996&amp;E7996&amp;G7996&amp;L7996</f>
        <v/>
      </c>
    </row>
    <row r="7997">
      <c r="A7997" s="94" t="n"/>
      <c r="B7997" s="128" t="n">
        <v>44039</v>
      </c>
      <c r="C7997" s="94">
        <f>TEXT(B7997,"aaa")</f>
        <v/>
      </c>
      <c r="D7997" s="94" t="n"/>
      <c r="E7997" s="94" t="inlineStr">
        <is>
          <t>선크림</t>
        </is>
      </c>
      <c r="F7997" s="5" t="inlineStr">
        <is>
          <t>쇼피태국</t>
        </is>
      </c>
      <c r="G7997" s="94" t="inlineStr">
        <is>
          <t>200726=선크림 50ml</t>
        </is>
      </c>
      <c r="H7997" s="7" t="n">
        <v>190801</v>
      </c>
      <c r="I7997" s="7" t="n">
        <v>190801</v>
      </c>
      <c r="J7997" s="94" t="n"/>
      <c r="K7997" s="94" t="n">
        <v>1</v>
      </c>
      <c r="L7997" s="7" t="n">
        <v>190801</v>
      </c>
      <c r="M7997" s="94">
        <f>VLOOKUP($Q7997,매칭테이블!$F:$I,2,0)*K7997</f>
        <v/>
      </c>
      <c r="N7997" s="94">
        <f>M7997-M7997*VLOOKUP($Q7997,매칭테이블!$F:$I,3,0)</f>
        <v/>
      </c>
      <c r="O7997" s="94">
        <f>VLOOKUP($Q7997,매칭테이블!$F:$I,4,0)*K7997</f>
        <v/>
      </c>
      <c r="P7997" s="148">
        <f>M7997/1.1</f>
        <v/>
      </c>
      <c r="Q7997" s="94">
        <f>F7997&amp;E7997&amp;G7997&amp;L7997</f>
        <v/>
      </c>
    </row>
    <row r="7998">
      <c r="A7998" s="94" t="n"/>
      <c r="B7998" s="128" t="n">
        <v>44039</v>
      </c>
      <c r="C7998" s="94">
        <f>TEXT(B7998,"aaa")</f>
        <v/>
      </c>
      <c r="D7998" s="94" t="n"/>
      <c r="E7998" s="94" t="inlineStr">
        <is>
          <t>토너</t>
        </is>
      </c>
      <c r="F7998" s="5" t="inlineStr">
        <is>
          <t>쇼피태국</t>
        </is>
      </c>
      <c r="G7998" s="94" t="inlineStr">
        <is>
          <t>200728=250ml = 화장솜 60P</t>
        </is>
      </c>
      <c r="H7998" s="7" t="n">
        <v>190801</v>
      </c>
      <c r="I7998" s="7" t="n">
        <v>190801</v>
      </c>
      <c r="J7998" s="94" t="n"/>
      <c r="K7998" s="94" t="n">
        <v>1</v>
      </c>
      <c r="L7998" s="7" t="n">
        <v>190801</v>
      </c>
      <c r="M7998" s="94">
        <f>VLOOKUP($Q7998,매칭테이블!$F:$I,2,0)*K7998</f>
        <v/>
      </c>
      <c r="N7998" s="94">
        <f>M7998-M7998*VLOOKUP($Q7998,매칭테이블!$F:$I,3,0)</f>
        <v/>
      </c>
      <c r="O7998" s="94">
        <f>VLOOKUP($Q7998,매칭테이블!$F:$I,4,0)*K7998</f>
        <v/>
      </c>
      <c r="P7998" s="148">
        <f>M7998/1.1</f>
        <v/>
      </c>
      <c r="Q7998" s="94">
        <f>F7998&amp;E7998&amp;G7998&amp;L7998</f>
        <v/>
      </c>
    </row>
    <row r="7999">
      <c r="A7999" s="94" t="n"/>
      <c r="B7999" s="128" t="n">
        <v>44039</v>
      </c>
      <c r="C7999" s="94">
        <f>TEXT(B7999,"aaa")</f>
        <v/>
      </c>
      <c r="D7999" s="94" t="n"/>
      <c r="E7999" s="94" t="inlineStr">
        <is>
          <t>토너</t>
        </is>
      </c>
      <c r="F7999" s="5" t="inlineStr">
        <is>
          <t>화해</t>
        </is>
      </c>
      <c r="G7999" s="94" t="inlineStr">
        <is>
          <t>250ml</t>
        </is>
      </c>
      <c r="H7999" s="7" t="n">
        <v>190801</v>
      </c>
      <c r="I7999" s="7" t="n">
        <v>190801</v>
      </c>
      <c r="J7999" s="94" t="n"/>
      <c r="K7999" s="94" t="n">
        <v>8</v>
      </c>
      <c r="L7999" s="7" t="n">
        <v>190801</v>
      </c>
      <c r="M7999" s="94">
        <f>VLOOKUP($Q7999,매칭테이블!$F:$I,2,0)*K7999</f>
        <v/>
      </c>
      <c r="N7999" s="94">
        <f>M7999-M7999*VLOOKUP($Q7999,매칭테이블!$F:$I,3,0)</f>
        <v/>
      </c>
      <c r="O7999" s="94">
        <f>VLOOKUP($Q7999,매칭테이블!$F:$I,4,0)*K7999</f>
        <v/>
      </c>
      <c r="P7999" s="148">
        <f>M7999/1.1</f>
        <v/>
      </c>
      <c r="Q7999" s="94">
        <f>F7999&amp;E7999&amp;G7999&amp;L7999</f>
        <v/>
      </c>
    </row>
    <row r="8000" customFormat="1" s="94">
      <c r="B8000" s="128" t="n">
        <v>44040</v>
      </c>
      <c r="C8000" s="94">
        <f>TEXT(B8000,"aaa")</f>
        <v/>
      </c>
      <c r="E8000" s="94" t="inlineStr">
        <is>
          <t>토너</t>
        </is>
      </c>
      <c r="F8000" s="5" t="inlineStr">
        <is>
          <t>W컨셉</t>
        </is>
      </c>
      <c r="G8000" s="94" t="inlineStr">
        <is>
          <t>250ml</t>
        </is>
      </c>
      <c r="H8000" s="7" t="n">
        <v>190801</v>
      </c>
      <c r="I8000" s="7" t="n">
        <v>190801</v>
      </c>
      <c r="K8000" s="94" t="n">
        <v>5</v>
      </c>
      <c r="L8000" s="7" t="n">
        <v>190801</v>
      </c>
      <c r="M8000" s="94">
        <f>VLOOKUP($Q8000,매칭테이블!$F:$I,2,0)*K8000</f>
        <v/>
      </c>
      <c r="N8000" s="94">
        <f>M8000-M8000*VLOOKUP($Q8000,매칭테이블!$F:$I,3,0)</f>
        <v/>
      </c>
      <c r="O8000" s="94">
        <f>VLOOKUP($Q8000,매칭테이블!$F:$I,4,0)*K8000</f>
        <v/>
      </c>
      <c r="P8000" s="148">
        <f>M8000/1.1</f>
        <v/>
      </c>
      <c r="Q8000" s="94">
        <f>F8000&amp;E8000&amp;G8000&amp;L8000</f>
        <v/>
      </c>
    </row>
    <row r="8001" customFormat="1" s="94">
      <c r="B8001" s="128" t="n">
        <v>44040</v>
      </c>
      <c r="C8001" s="94">
        <f>TEXT(B8001,"aaa")</f>
        <v/>
      </c>
      <c r="E8001" s="94" t="inlineStr">
        <is>
          <t>토너</t>
        </is>
      </c>
      <c r="F8001" s="5" t="inlineStr">
        <is>
          <t>W컨셉</t>
        </is>
      </c>
      <c r="G8001" s="94" t="inlineStr">
        <is>
          <t>250ml 2set</t>
        </is>
      </c>
      <c r="H8001" s="7" t="n">
        <v>190801</v>
      </c>
      <c r="I8001" s="7" t="n">
        <v>190801</v>
      </c>
      <c r="K8001" s="94" t="n">
        <v>43</v>
      </c>
      <c r="L8001" s="7" t="n">
        <v>190801</v>
      </c>
      <c r="M8001" s="94">
        <f>VLOOKUP($Q8001,매칭테이블!$F:$I,2,0)*K8001</f>
        <v/>
      </c>
      <c r="N8001" s="94">
        <f>M8001-M8001*VLOOKUP($Q8001,매칭테이블!$F:$I,3,0)</f>
        <v/>
      </c>
      <c r="O8001" s="94">
        <f>VLOOKUP($Q8001,매칭테이블!$F:$I,4,0)*K8001</f>
        <v/>
      </c>
      <c r="P8001" s="148">
        <f>M8001/1.1</f>
        <v/>
      </c>
      <c r="Q8001" s="94">
        <f>F8001&amp;E8001&amp;G8001&amp;L8001</f>
        <v/>
      </c>
    </row>
    <row r="8002" customFormat="1" s="94">
      <c r="B8002" s="128" t="n">
        <v>44040</v>
      </c>
      <c r="C8002" s="94">
        <f>TEXT(B8002,"aaa")</f>
        <v/>
      </c>
      <c r="E8002" s="94" t="inlineStr">
        <is>
          <t>마스크팩</t>
        </is>
      </c>
      <c r="F8002" s="5" t="inlineStr">
        <is>
          <t>글로우데이즈 시코르</t>
        </is>
      </c>
      <c r="G8002" s="94" t="inlineStr">
        <is>
          <t>마스크팩=마스크팩 1매</t>
        </is>
      </c>
      <c r="H8002" s="7" t="n">
        <v>190801</v>
      </c>
      <c r="I8002" s="7" t="n">
        <v>190801</v>
      </c>
      <c r="K8002" s="94" t="n">
        <v>30</v>
      </c>
      <c r="L8002" s="7" t="n">
        <v>190801</v>
      </c>
      <c r="M8002" s="94">
        <f>VLOOKUP($Q8002,매칭테이블!$F:$I,2,0)*K8002</f>
        <v/>
      </c>
      <c r="N8002" s="94">
        <f>M8002-M8002*VLOOKUP($Q8002,매칭테이블!$F:$I,3,0)</f>
        <v/>
      </c>
      <c r="O8002" s="94">
        <f>VLOOKUP($Q8002,매칭테이블!$F:$I,4,0)*K8002</f>
        <v/>
      </c>
      <c r="P8002" s="148">
        <f>M8002/1.1</f>
        <v/>
      </c>
      <c r="Q8002" s="94">
        <f>F8002&amp;E8002&amp;G8002&amp;L8002</f>
        <v/>
      </c>
    </row>
    <row r="8003" customFormat="1" s="94">
      <c r="B8003" s="128" t="n">
        <v>44040</v>
      </c>
      <c r="C8003" s="94">
        <f>TEXT(B8003,"aaa")</f>
        <v/>
      </c>
      <c r="E8003" s="94" t="inlineStr">
        <is>
          <t>마스크팩</t>
        </is>
      </c>
      <c r="F8003" s="5" t="inlineStr">
        <is>
          <t>글로우데이즈 시코르</t>
        </is>
      </c>
      <c r="G8003" s="94" t="inlineStr">
        <is>
          <t>마스크팩=마스크팩 10매</t>
        </is>
      </c>
      <c r="H8003" s="7" t="n">
        <v>190801</v>
      </c>
      <c r="I8003" s="7" t="n">
        <v>190801</v>
      </c>
      <c r="K8003" s="94" t="n">
        <v>10</v>
      </c>
      <c r="L8003" s="7" t="n">
        <v>190801</v>
      </c>
      <c r="M8003" s="94">
        <f>VLOOKUP($Q8003,매칭테이블!$F:$I,2,0)*K8003</f>
        <v/>
      </c>
      <c r="N8003" s="94">
        <f>M8003-M8003*VLOOKUP($Q8003,매칭테이블!$F:$I,3,0)</f>
        <v/>
      </c>
      <c r="O8003" s="94">
        <f>VLOOKUP($Q8003,매칭테이블!$F:$I,4,0)*K8003</f>
        <v/>
      </c>
      <c r="P8003" s="148">
        <f>M8003/1.1</f>
        <v/>
      </c>
      <c r="Q8003" s="94">
        <f>F8003&amp;E8003&amp;G8003&amp;L8003</f>
        <v/>
      </c>
    </row>
    <row r="8004" customFormat="1" s="94">
      <c r="B8004" s="128" t="n">
        <v>44040</v>
      </c>
      <c r="C8004" s="94">
        <f>TEXT(B8004,"aaa")</f>
        <v/>
      </c>
      <c r="E8004" s="94" t="inlineStr">
        <is>
          <t>선크림</t>
        </is>
      </c>
      <c r="F8004" s="5" t="inlineStr">
        <is>
          <t>카페24</t>
        </is>
      </c>
      <c r="G8004" s="94" t="inlineStr">
        <is>
          <t>선크림 50ml</t>
        </is>
      </c>
      <c r="H8004" s="7" t="n">
        <v>190801</v>
      </c>
      <c r="I8004" s="7" t="n">
        <v>190801</v>
      </c>
      <c r="K8004" s="94" t="n">
        <v>5</v>
      </c>
      <c r="L8004" s="7" t="n">
        <v>190801</v>
      </c>
      <c r="M8004" s="94">
        <f>VLOOKUP($Q8004,매칭테이블!$F:$I,2,0)*K8004</f>
        <v/>
      </c>
      <c r="N8004" s="94">
        <f>M8004-M8004*VLOOKUP($Q8004,매칭테이블!$F:$I,3,0)</f>
        <v/>
      </c>
      <c r="O8004" s="94">
        <f>VLOOKUP($Q8004,매칭테이블!$F:$I,4,0)*K8004</f>
        <v/>
      </c>
      <c r="P8004" s="148">
        <f>M8004/1.1</f>
        <v/>
      </c>
      <c r="Q8004" s="94">
        <f>F8004&amp;E8004&amp;G8004&amp;L8004</f>
        <v/>
      </c>
    </row>
    <row r="8005" customFormat="1" s="94">
      <c r="B8005" s="128" t="n">
        <v>44040</v>
      </c>
      <c r="C8005" s="94">
        <f>TEXT(B8005,"aaa")</f>
        <v/>
      </c>
      <c r="E8005" s="94" t="inlineStr">
        <is>
          <t>선크림</t>
        </is>
      </c>
      <c r="F8005" s="5" t="inlineStr">
        <is>
          <t>카페24</t>
        </is>
      </c>
      <c r="G8005" s="94" t="inlineStr">
        <is>
          <t>선크림 50ml  2set</t>
        </is>
      </c>
      <c r="H8005" s="7" t="n">
        <v>190801</v>
      </c>
      <c r="I8005" s="7" t="n">
        <v>190801</v>
      </c>
      <c r="K8005" s="94" t="n">
        <v>2</v>
      </c>
      <c r="L8005" s="7" t="n">
        <v>190801</v>
      </c>
      <c r="M8005" s="94">
        <f>VLOOKUP($Q8005,매칭테이블!$F:$I,2,0)*K8005</f>
        <v/>
      </c>
      <c r="N8005" s="94">
        <f>M8005-M8005*VLOOKUP($Q8005,매칭테이블!$F:$I,3,0)</f>
        <v/>
      </c>
      <c r="O8005" s="94">
        <f>VLOOKUP($Q8005,매칭테이블!$F:$I,4,0)*K8005</f>
        <v/>
      </c>
      <c r="P8005" s="148">
        <f>M8005/1.1</f>
        <v/>
      </c>
      <c r="Q8005" s="94">
        <f>F8005&amp;E8005&amp;G8005&amp;L8005</f>
        <v/>
      </c>
    </row>
    <row r="8006" customFormat="1" s="94">
      <c r="B8006" s="128" t="n">
        <v>44040</v>
      </c>
      <c r="C8006" s="94">
        <f>TEXT(B8006,"aaa")</f>
        <v/>
      </c>
      <c r="E8006" s="94" t="inlineStr">
        <is>
          <t>여름 한정 진정세트</t>
        </is>
      </c>
      <c r="F8006" s="5" t="inlineStr">
        <is>
          <t>카페24</t>
        </is>
      </c>
      <c r="G8006" s="94" t="inlineStr">
        <is>
          <t>여름 한정 진정세트</t>
        </is>
      </c>
      <c r="H8006" s="7" t="n">
        <v>190801</v>
      </c>
      <c r="I8006" s="7" t="n">
        <v>190801</v>
      </c>
      <c r="K8006" s="94" t="n">
        <v>5</v>
      </c>
      <c r="L8006" s="7" t="n">
        <v>190801</v>
      </c>
      <c r="M8006" s="94">
        <f>VLOOKUP($Q8006,매칭테이블!$F:$I,2,0)*K8006</f>
        <v/>
      </c>
      <c r="N8006" s="94">
        <f>M8006-M8006*VLOOKUP($Q8006,매칭테이블!$F:$I,3,0)</f>
        <v/>
      </c>
      <c r="O8006" s="94">
        <f>VLOOKUP($Q8006,매칭테이블!$F:$I,4,0)*K8006</f>
        <v/>
      </c>
      <c r="P8006" s="148">
        <f>M8006/1.1</f>
        <v/>
      </c>
      <c r="Q8006" s="94">
        <f>F8006&amp;E8006&amp;G8006&amp;L8006</f>
        <v/>
      </c>
    </row>
    <row r="8007" customFormat="1" s="94">
      <c r="B8007" s="128" t="n">
        <v>44040</v>
      </c>
      <c r="C8007" s="94">
        <f>TEXT(B8007,"aaa")</f>
        <v/>
      </c>
      <c r="E8007" s="94" t="inlineStr">
        <is>
          <t>여름 한정 진정세트</t>
        </is>
      </c>
      <c r="F8007" s="5" t="inlineStr">
        <is>
          <t>카페24</t>
        </is>
      </c>
      <c r="G8007" s="94" t="inlineStr">
        <is>
          <t>여름 한정 진정세트 (대용량)</t>
        </is>
      </c>
      <c r="H8007" s="7" t="n">
        <v>190801</v>
      </c>
      <c r="I8007" s="7" t="n">
        <v>190801</v>
      </c>
      <c r="K8007" s="94" t="n">
        <v>6</v>
      </c>
      <c r="L8007" s="7" t="n">
        <v>190801</v>
      </c>
      <c r="M8007" s="94">
        <f>VLOOKUP($Q8007,매칭테이블!$F:$I,2,0)*K8007</f>
        <v/>
      </c>
      <c r="N8007" s="94">
        <f>M8007-M8007*VLOOKUP($Q8007,매칭테이블!$F:$I,3,0)</f>
        <v/>
      </c>
      <c r="O8007" s="94">
        <f>VLOOKUP($Q8007,매칭테이블!$F:$I,4,0)*K8007</f>
        <v/>
      </c>
      <c r="P8007" s="148">
        <f>M8007/1.1</f>
        <v/>
      </c>
      <c r="Q8007" s="94">
        <f>F8007&amp;E8007&amp;G8007&amp;L8007</f>
        <v/>
      </c>
    </row>
    <row r="8008" customFormat="1" s="94">
      <c r="B8008" s="128" t="n">
        <v>44040</v>
      </c>
      <c r="C8008" s="94">
        <f>TEXT(B8008,"aaa")</f>
        <v/>
      </c>
      <c r="E8008" s="94" t="inlineStr">
        <is>
          <t>어성초진정패키지</t>
        </is>
      </c>
      <c r="F8008" s="5" t="inlineStr">
        <is>
          <t>카페24</t>
        </is>
      </c>
      <c r="G8008" s="94" t="inlineStr">
        <is>
          <t>어성초 진정패키지세트</t>
        </is>
      </c>
      <c r="H8008" s="7" t="n">
        <v>190801</v>
      </c>
      <c r="I8008" s="7" t="n">
        <v>190801</v>
      </c>
      <c r="K8008" s="94" t="n">
        <v>7</v>
      </c>
      <c r="L8008" s="7" t="n">
        <v>190801</v>
      </c>
      <c r="M8008" s="94">
        <f>VLOOKUP($Q8008,매칭테이블!$F:$I,2,0)*K8008</f>
        <v/>
      </c>
      <c r="N8008" s="94">
        <f>M8008-M8008*VLOOKUP($Q8008,매칭테이블!$F:$I,3,0)</f>
        <v/>
      </c>
      <c r="O8008" s="94">
        <f>VLOOKUP($Q8008,매칭테이블!$F:$I,4,0)*K8008</f>
        <v/>
      </c>
      <c r="P8008" s="148">
        <f>M8008/1.1</f>
        <v/>
      </c>
      <c r="Q8008" s="94">
        <f>F8008&amp;E8008&amp;G8008&amp;L8008</f>
        <v/>
      </c>
    </row>
    <row r="8009" customFormat="1" s="94">
      <c r="B8009" s="128" t="n">
        <v>44040</v>
      </c>
      <c r="C8009" s="94">
        <f>TEXT(B8009,"aaa")</f>
        <v/>
      </c>
      <c r="E8009" s="94" t="inlineStr">
        <is>
          <t>머드크림마스크</t>
        </is>
      </c>
      <c r="F8009" s="5" t="inlineStr">
        <is>
          <t>카페24</t>
        </is>
      </c>
      <c r="G8009" s="94" t="inlineStr">
        <is>
          <t>머드크림마스크 100ml</t>
        </is>
      </c>
      <c r="H8009" s="7" t="n">
        <v>190801</v>
      </c>
      <c r="I8009" s="7" t="n">
        <v>190801</v>
      </c>
      <c r="K8009" s="94" t="n">
        <v>4</v>
      </c>
      <c r="L8009" s="7" t="n">
        <v>190801</v>
      </c>
      <c r="M8009" s="94">
        <f>VLOOKUP($Q8009,매칭테이블!$F:$I,2,0)*K8009</f>
        <v/>
      </c>
      <c r="N8009" s="94">
        <f>M8009-M8009*VLOOKUP($Q8009,매칭테이블!$F:$I,3,0)</f>
        <v/>
      </c>
      <c r="O8009" s="94">
        <f>VLOOKUP($Q8009,매칭테이블!$F:$I,4,0)*K8009</f>
        <v/>
      </c>
      <c r="P8009" s="148">
        <f>M8009/1.1</f>
        <v/>
      </c>
      <c r="Q8009" s="94">
        <f>F8009&amp;E8009&amp;G8009&amp;L8009</f>
        <v/>
      </c>
    </row>
    <row r="8010" customFormat="1" s="94">
      <c r="B8010" s="128" t="n">
        <v>44040</v>
      </c>
      <c r="C8010" s="94">
        <f>TEXT(B8010,"aaa")</f>
        <v/>
      </c>
      <c r="E8010" s="94" t="inlineStr">
        <is>
          <t>마스크팩</t>
        </is>
      </c>
      <c r="F8010" s="5" t="inlineStr">
        <is>
          <t>카페24</t>
        </is>
      </c>
      <c r="G8010" s="94" t="inlineStr">
        <is>
          <t>마스크팩 1매</t>
        </is>
      </c>
      <c r="H8010" s="7" t="n">
        <v>190801</v>
      </c>
      <c r="I8010" s="7" t="n">
        <v>190801</v>
      </c>
      <c r="K8010" s="94" t="n">
        <v>1</v>
      </c>
      <c r="L8010" s="7" t="n">
        <v>190801</v>
      </c>
      <c r="M8010" s="94">
        <f>VLOOKUP($Q8010,매칭테이블!$F:$I,2,0)*K8010</f>
        <v/>
      </c>
      <c r="N8010" s="94">
        <f>M8010-M8010*VLOOKUP($Q8010,매칭테이블!$F:$I,3,0)</f>
        <v/>
      </c>
      <c r="O8010" s="94">
        <f>VLOOKUP($Q8010,매칭테이블!$F:$I,4,0)*K8010</f>
        <v/>
      </c>
      <c r="P8010" s="148">
        <f>M8010/1.1</f>
        <v/>
      </c>
      <c r="Q8010" s="94">
        <f>F8010&amp;E8010&amp;G8010&amp;L8010</f>
        <v/>
      </c>
    </row>
    <row r="8011" customFormat="1" s="94">
      <c r="B8011" s="128" t="n">
        <v>44040</v>
      </c>
      <c r="C8011" s="94">
        <f>TEXT(B8011,"aaa")</f>
        <v/>
      </c>
      <c r="E8011" s="94" t="inlineStr">
        <is>
          <t>마스크팩</t>
        </is>
      </c>
      <c r="F8011" s="5" t="inlineStr">
        <is>
          <t>카페24</t>
        </is>
      </c>
      <c r="G8011" s="94" t="inlineStr">
        <is>
          <t>마스크팩 10매</t>
        </is>
      </c>
      <c r="H8011" s="7" t="n">
        <v>190801</v>
      </c>
      <c r="I8011" s="7" t="n">
        <v>190801</v>
      </c>
      <c r="K8011" s="94" t="n">
        <v>10</v>
      </c>
      <c r="L8011" s="7" t="n">
        <v>190801</v>
      </c>
      <c r="M8011" s="94">
        <f>VLOOKUP($Q8011,매칭테이블!$F:$I,2,0)*K8011</f>
        <v/>
      </c>
      <c r="N8011" s="94">
        <f>M8011-M8011*VLOOKUP($Q8011,매칭테이블!$F:$I,3,0)</f>
        <v/>
      </c>
      <c r="O8011" s="94">
        <f>VLOOKUP($Q8011,매칭테이블!$F:$I,4,0)*K8011</f>
        <v/>
      </c>
      <c r="P8011" s="148">
        <f>M8011/1.1</f>
        <v/>
      </c>
      <c r="Q8011" s="94">
        <f>F8011&amp;E8011&amp;G8011&amp;L8011</f>
        <v/>
      </c>
    </row>
    <row r="8012" customFormat="1" s="94">
      <c r="B8012" s="128" t="n">
        <v>44040</v>
      </c>
      <c r="C8012" s="94">
        <f>TEXT(B8012,"aaa")</f>
        <v/>
      </c>
      <c r="E8012" s="94" t="inlineStr">
        <is>
          <t>토너</t>
        </is>
      </c>
      <c r="F8012" s="5" t="inlineStr">
        <is>
          <t>카페24</t>
        </is>
      </c>
      <c r="G8012" s="94" t="inlineStr">
        <is>
          <t>250ml</t>
        </is>
      </c>
      <c r="H8012" s="7" t="n">
        <v>190801</v>
      </c>
      <c r="I8012" s="7" t="n">
        <v>190801</v>
      </c>
      <c r="K8012" s="94" t="n">
        <v>88</v>
      </c>
      <c r="L8012" s="7" t="n">
        <v>190801</v>
      </c>
      <c r="M8012" s="94">
        <f>VLOOKUP($Q8012,매칭테이블!$F:$I,2,0)*K8012</f>
        <v/>
      </c>
      <c r="N8012" s="94">
        <f>M8012-M8012*VLOOKUP($Q8012,매칭테이블!$F:$I,3,0)</f>
        <v/>
      </c>
      <c r="O8012" s="94">
        <f>VLOOKUP($Q8012,매칭테이블!$F:$I,4,0)*K8012</f>
        <v/>
      </c>
      <c r="P8012" s="148">
        <f>M8012/1.1</f>
        <v/>
      </c>
      <c r="Q8012" s="94">
        <f>F8012&amp;E8012&amp;G8012&amp;L8012</f>
        <v/>
      </c>
    </row>
    <row r="8013" customFormat="1" s="94">
      <c r="B8013" s="128" t="n">
        <v>44040</v>
      </c>
      <c r="C8013" s="94">
        <f>TEXT(B8013,"aaa")</f>
        <v/>
      </c>
      <c r="E8013" s="94" t="inlineStr">
        <is>
          <t>토너</t>
        </is>
      </c>
      <c r="F8013" s="5" t="inlineStr">
        <is>
          <t>카페24</t>
        </is>
      </c>
      <c r="G8013" s="94" t="inlineStr">
        <is>
          <t>250ml 2set</t>
        </is>
      </c>
      <c r="H8013" s="7" t="n">
        <v>190801</v>
      </c>
      <c r="I8013" s="7" t="n">
        <v>190801</v>
      </c>
      <c r="K8013" s="94" t="n">
        <v>66</v>
      </c>
      <c r="L8013" s="7" t="n">
        <v>190801</v>
      </c>
      <c r="M8013" s="94">
        <f>VLOOKUP($Q8013,매칭테이블!$F:$I,2,0)*K8013</f>
        <v/>
      </c>
      <c r="N8013" s="94">
        <f>M8013-M8013*VLOOKUP($Q8013,매칭테이블!$F:$I,3,0)</f>
        <v/>
      </c>
      <c r="O8013" s="94">
        <f>VLOOKUP($Q8013,매칭테이블!$F:$I,4,0)*K8013</f>
        <v/>
      </c>
      <c r="P8013" s="148">
        <f>M8013/1.1</f>
        <v/>
      </c>
      <c r="Q8013" s="94">
        <f>F8013&amp;E8013&amp;G8013&amp;L8013</f>
        <v/>
      </c>
    </row>
    <row r="8014" customFormat="1" s="94">
      <c r="B8014" s="128" t="n">
        <v>44040</v>
      </c>
      <c r="C8014" s="94">
        <f>TEXT(B8014,"aaa")</f>
        <v/>
      </c>
      <c r="E8014" s="94" t="inlineStr">
        <is>
          <t>토너</t>
        </is>
      </c>
      <c r="F8014" s="5" t="inlineStr">
        <is>
          <t>카페24</t>
        </is>
      </c>
      <c r="G8014" s="94" t="inlineStr">
        <is>
          <t>500ml</t>
        </is>
      </c>
      <c r="H8014" s="7" t="n">
        <v>190801</v>
      </c>
      <c r="I8014" s="7" t="n">
        <v>190801</v>
      </c>
      <c r="K8014" s="94" t="n">
        <v>61</v>
      </c>
      <c r="L8014" s="7" t="n">
        <v>190801</v>
      </c>
      <c r="M8014" s="94">
        <f>VLOOKUP($Q8014,매칭테이블!$F:$I,2,0)*K8014</f>
        <v/>
      </c>
      <c r="N8014" s="94">
        <f>M8014-M8014*VLOOKUP($Q8014,매칭테이블!$F:$I,3,0)</f>
        <v/>
      </c>
      <c r="O8014" s="94">
        <f>VLOOKUP($Q8014,매칭테이블!$F:$I,4,0)*K8014</f>
        <v/>
      </c>
      <c r="P8014" s="148">
        <f>M8014/1.1</f>
        <v/>
      </c>
      <c r="Q8014" s="94">
        <f>F8014&amp;E8014&amp;G8014&amp;L8014</f>
        <v/>
      </c>
    </row>
    <row r="8015" customFormat="1" s="94">
      <c r="B8015" s="128" t="n">
        <v>44040</v>
      </c>
      <c r="C8015" s="94">
        <f>TEXT(B8015,"aaa")</f>
        <v/>
      </c>
      <c r="E8015" s="94" t="inlineStr">
        <is>
          <t>토너</t>
        </is>
      </c>
      <c r="F8015" s="5" t="inlineStr">
        <is>
          <t>카페24</t>
        </is>
      </c>
      <c r="G8015" s="94" t="inlineStr">
        <is>
          <t>스킨팩 화장솜 60P</t>
        </is>
      </c>
      <c r="H8015" s="7" t="n">
        <v>190801</v>
      </c>
      <c r="I8015" s="7" t="n">
        <v>190801</v>
      </c>
      <c r="K8015" s="94" t="n">
        <v>88</v>
      </c>
      <c r="L8015" s="7" t="n">
        <v>190801</v>
      </c>
      <c r="M8015" s="94">
        <f>VLOOKUP($Q8015,매칭테이블!$F:$I,2,0)*K8015</f>
        <v/>
      </c>
      <c r="N8015" s="94">
        <f>M8015-M8015*VLOOKUP($Q8015,매칭테이블!$F:$I,3,0)</f>
        <v/>
      </c>
      <c r="O8015" s="94">
        <f>VLOOKUP($Q8015,매칭테이블!$F:$I,4,0)*K8015</f>
        <v/>
      </c>
      <c r="P8015" s="148">
        <f>M8015/1.1</f>
        <v/>
      </c>
      <c r="Q8015" s="94">
        <f>F8015&amp;E8015&amp;G8015&amp;L8015</f>
        <v/>
      </c>
    </row>
    <row r="8016" customFormat="1" s="94">
      <c r="B8016" s="128" t="n">
        <v>44040</v>
      </c>
      <c r="C8016" s="94">
        <f>TEXT(B8016,"aaa")</f>
        <v/>
      </c>
      <c r="E8016" s="94" t="inlineStr">
        <is>
          <t>앰플</t>
        </is>
      </c>
      <c r="F8016" s="5" t="inlineStr">
        <is>
          <t>카페24</t>
        </is>
      </c>
      <c r="G8016" s="94" t="inlineStr">
        <is>
          <t>앰플 30ml</t>
        </is>
      </c>
      <c r="H8016" s="7" t="n">
        <v>190801</v>
      </c>
      <c r="I8016" s="7" t="n">
        <v>190801</v>
      </c>
      <c r="K8016" s="94" t="n">
        <v>21</v>
      </c>
      <c r="L8016" s="7" t="n">
        <v>190801</v>
      </c>
      <c r="M8016" s="94">
        <f>VLOOKUP($Q8016,매칭테이블!$F:$I,2,0)*K8016</f>
        <v/>
      </c>
      <c r="N8016" s="94">
        <f>M8016-M8016*VLOOKUP($Q8016,매칭테이블!$F:$I,3,0)</f>
        <v/>
      </c>
      <c r="O8016" s="94">
        <f>VLOOKUP($Q8016,매칭테이블!$F:$I,4,0)*K8016</f>
        <v/>
      </c>
      <c r="P8016" s="148">
        <f>M8016/1.1</f>
        <v/>
      </c>
      <c r="Q8016" s="94">
        <f>F8016&amp;E8016&amp;G8016&amp;L8016</f>
        <v/>
      </c>
    </row>
    <row r="8017" customFormat="1" s="94">
      <c r="B8017" s="128" t="n">
        <v>44040</v>
      </c>
      <c r="C8017" s="94">
        <f>TEXT(B8017,"aaa")</f>
        <v/>
      </c>
      <c r="E8017" s="94" t="inlineStr">
        <is>
          <t>수딩크림</t>
        </is>
      </c>
      <c r="F8017" s="5" t="inlineStr">
        <is>
          <t>카페24</t>
        </is>
      </c>
      <c r="G8017" s="94" t="inlineStr">
        <is>
          <t>수딩크림 100ml</t>
        </is>
      </c>
      <c r="H8017" s="7" t="n">
        <v>190801</v>
      </c>
      <c r="I8017" s="7" t="n">
        <v>190801</v>
      </c>
      <c r="K8017" s="94" t="n">
        <v>7</v>
      </c>
      <c r="L8017" s="7" t="n">
        <v>190801</v>
      </c>
      <c r="M8017" s="94">
        <f>VLOOKUP($Q8017,매칭테이블!$F:$I,2,0)*K8017</f>
        <v/>
      </c>
      <c r="N8017" s="94">
        <f>M8017-M8017*VLOOKUP($Q8017,매칭테이블!$F:$I,3,0)</f>
        <v/>
      </c>
      <c r="O8017" s="94">
        <f>VLOOKUP($Q8017,매칭테이블!$F:$I,4,0)*K8017</f>
        <v/>
      </c>
      <c r="P8017" s="148">
        <f>M8017/1.1</f>
        <v/>
      </c>
      <c r="Q8017" s="94">
        <f>F8017&amp;E8017&amp;G8017&amp;L8017</f>
        <v/>
      </c>
    </row>
    <row r="8018" customFormat="1" s="94">
      <c r="B8018" s="128" t="n">
        <v>44040</v>
      </c>
      <c r="C8018" s="94">
        <f>TEXT(B8018,"aaa")</f>
        <v/>
      </c>
      <c r="E8018" s="94" t="inlineStr">
        <is>
          <t>토너</t>
        </is>
      </c>
      <c r="F8018" s="5" t="inlineStr">
        <is>
          <t>아누아 CS</t>
        </is>
      </c>
      <c r="G8018" s="94" t="inlineStr">
        <is>
          <t>250ml</t>
        </is>
      </c>
      <c r="H8018" s="7" t="n">
        <v>190801</v>
      </c>
      <c r="I8018" s="7" t="n">
        <v>190801</v>
      </c>
      <c r="K8018" s="94" t="n">
        <v>5</v>
      </c>
      <c r="L8018" s="7" t="n">
        <v>190801</v>
      </c>
      <c r="M8018" s="94">
        <f>VLOOKUP($Q8018,매칭테이블!$F:$I,2,0)*K8018</f>
        <v/>
      </c>
      <c r="N8018" s="94">
        <f>M8018-M8018*VLOOKUP($Q8018,매칭테이블!$F:$I,3,0)</f>
        <v/>
      </c>
      <c r="O8018" s="94">
        <f>VLOOKUP($Q8018,매칭테이블!$F:$I,4,0)*K8018</f>
        <v/>
      </c>
      <c r="P8018" s="148">
        <f>M8018/1.1</f>
        <v/>
      </c>
      <c r="Q8018" s="94">
        <f>F8018&amp;E8018&amp;G8018&amp;L8018</f>
        <v/>
      </c>
    </row>
    <row r="8019" customFormat="1" s="94">
      <c r="B8019" s="128" t="n">
        <v>44040</v>
      </c>
      <c r="C8019" s="94">
        <f>TEXT(B8019,"aaa")</f>
        <v/>
      </c>
      <c r="E8019" s="94" t="inlineStr">
        <is>
          <t>토너</t>
        </is>
      </c>
      <c r="F8019" s="5" t="inlineStr">
        <is>
          <t>아누아 CS</t>
        </is>
      </c>
      <c r="G8019" s="94" t="inlineStr">
        <is>
          <t>500ml</t>
        </is>
      </c>
      <c r="H8019" s="7" t="n">
        <v>190801</v>
      </c>
      <c r="I8019" s="7" t="n">
        <v>190801</v>
      </c>
      <c r="K8019" s="94" t="n">
        <v>2</v>
      </c>
      <c r="L8019" s="7" t="n">
        <v>190801</v>
      </c>
      <c r="M8019" s="94">
        <f>VLOOKUP($Q8019,매칭테이블!$F:$I,2,0)*K8019</f>
        <v/>
      </c>
      <c r="N8019" s="94">
        <f>M8019-M8019*VLOOKUP($Q8019,매칭테이블!$F:$I,3,0)</f>
        <v/>
      </c>
      <c r="O8019" s="94">
        <f>VLOOKUP($Q8019,매칭테이블!$F:$I,4,0)*K8019</f>
        <v/>
      </c>
      <c r="P8019" s="148">
        <f>M8019/1.1</f>
        <v/>
      </c>
      <c r="Q8019" s="94">
        <f>F8019&amp;E8019&amp;G8019&amp;L8019</f>
        <v/>
      </c>
    </row>
    <row r="8020" customFormat="1" s="94">
      <c r="B8020" s="128" t="n">
        <v>44040</v>
      </c>
      <c r="C8020" s="94">
        <f>TEXT(B8020,"aaa")</f>
        <v/>
      </c>
      <c r="E8020" s="94" t="inlineStr">
        <is>
          <t>앰플</t>
        </is>
      </c>
      <c r="F8020" s="5" t="inlineStr">
        <is>
          <t>아누아 CS</t>
        </is>
      </c>
      <c r="G8020" s="94" t="inlineStr">
        <is>
          <t>앰플 30ml</t>
        </is>
      </c>
      <c r="H8020" s="7" t="n">
        <v>190801</v>
      </c>
      <c r="I8020" s="7" t="n">
        <v>190801</v>
      </c>
      <c r="K8020" s="94" t="n">
        <v>2</v>
      </c>
      <c r="L8020" s="7" t="n">
        <v>190801</v>
      </c>
      <c r="M8020" s="94">
        <f>VLOOKUP($Q8020,매칭테이블!$F:$I,2,0)*K8020</f>
        <v/>
      </c>
      <c r="N8020" s="94">
        <f>M8020-M8020*VLOOKUP($Q8020,매칭테이블!$F:$I,3,0)</f>
        <v/>
      </c>
      <c r="O8020" s="94">
        <f>VLOOKUP($Q8020,매칭테이블!$F:$I,4,0)*K8020</f>
        <v/>
      </c>
      <c r="P8020" s="148">
        <f>M8020/1.1</f>
        <v/>
      </c>
      <c r="Q8020" s="94">
        <f>F8020&amp;E8020&amp;G8020&amp;L8020</f>
        <v/>
      </c>
    </row>
    <row r="8021" customFormat="1" s="94">
      <c r="B8021" s="128" t="n">
        <v>44040</v>
      </c>
      <c r="C8021" s="94">
        <f>TEXT(B8021,"aaa")</f>
        <v/>
      </c>
      <c r="E8021" s="94" t="inlineStr">
        <is>
          <t>마스크팩</t>
        </is>
      </c>
      <c r="F8021" s="5" t="inlineStr">
        <is>
          <t>아누아 CS</t>
        </is>
      </c>
      <c r="G8021" s="94" t="inlineStr">
        <is>
          <t>마스크팩 10매</t>
        </is>
      </c>
      <c r="H8021" s="7" t="n">
        <v>190801</v>
      </c>
      <c r="I8021" s="7" t="n">
        <v>190801</v>
      </c>
      <c r="K8021" s="94" t="n">
        <v>2</v>
      </c>
      <c r="L8021" s="7" t="n">
        <v>190801</v>
      </c>
      <c r="M8021" s="94">
        <f>VLOOKUP($Q8021,매칭테이블!$F:$I,2,0)*K8021</f>
        <v/>
      </c>
      <c r="N8021" s="94">
        <f>M8021-M8021*VLOOKUP($Q8021,매칭테이블!$F:$I,3,0)</f>
        <v/>
      </c>
      <c r="O8021" s="94">
        <f>VLOOKUP($Q8021,매칭테이블!$F:$I,4,0)*K8021</f>
        <v/>
      </c>
      <c r="P8021" s="148">
        <f>M8021/1.1</f>
        <v/>
      </c>
      <c r="Q8021" s="94">
        <f>F8021&amp;E8021&amp;G8021&amp;L8021</f>
        <v/>
      </c>
    </row>
    <row r="8022" customFormat="1" s="94">
      <c r="B8022" s="128" t="n">
        <v>44040</v>
      </c>
      <c r="C8022" s="94">
        <f>TEXT(B8022,"aaa")</f>
        <v/>
      </c>
      <c r="E8022" s="94" t="inlineStr">
        <is>
          <t>선크림</t>
        </is>
      </c>
      <c r="F8022" s="5" t="inlineStr">
        <is>
          <t>아누아 CS</t>
        </is>
      </c>
      <c r="G8022" s="94" t="inlineStr">
        <is>
          <t>선크림 50ml</t>
        </is>
      </c>
      <c r="H8022" s="7" t="n">
        <v>190801</v>
      </c>
      <c r="I8022" s="7" t="n">
        <v>190801</v>
      </c>
      <c r="K8022" s="94" t="n">
        <v>2</v>
      </c>
      <c r="L8022" s="7" t="n">
        <v>190801</v>
      </c>
      <c r="M8022" s="94">
        <f>VLOOKUP($Q8022,매칭테이블!$F:$I,2,0)*K8022</f>
        <v/>
      </c>
      <c r="N8022" s="94">
        <f>M8022-M8022*VLOOKUP($Q8022,매칭테이블!$F:$I,3,0)</f>
        <v/>
      </c>
      <c r="O8022" s="94">
        <f>VLOOKUP($Q8022,매칭테이블!$F:$I,4,0)*K8022</f>
        <v/>
      </c>
      <c r="P8022" s="148">
        <f>M8022/1.1</f>
        <v/>
      </c>
      <c r="Q8022" s="94">
        <f>F8022&amp;E8022&amp;G8022&amp;L8022</f>
        <v/>
      </c>
    </row>
    <row r="8023" customFormat="1" s="94">
      <c r="B8023" s="128" t="n">
        <v>44040</v>
      </c>
      <c r="C8023" s="94">
        <f>TEXT(B8023,"aaa")</f>
        <v/>
      </c>
      <c r="E8023" s="94" t="inlineStr">
        <is>
          <t>수딩크림</t>
        </is>
      </c>
      <c r="F8023" s="5" t="inlineStr">
        <is>
          <t>아누아 CS</t>
        </is>
      </c>
      <c r="G8023" s="94" t="inlineStr">
        <is>
          <t>수딩크림 100ml</t>
        </is>
      </c>
      <c r="H8023" s="7" t="n">
        <v>190801</v>
      </c>
      <c r="I8023" s="7" t="n">
        <v>190801</v>
      </c>
      <c r="K8023" s="94" t="n">
        <v>2</v>
      </c>
      <c r="L8023" s="7" t="n">
        <v>190801</v>
      </c>
      <c r="M8023" s="94">
        <f>VLOOKUP($Q8023,매칭테이블!$F:$I,2,0)*K8023</f>
        <v/>
      </c>
      <c r="N8023" s="94">
        <f>M8023-M8023*VLOOKUP($Q8023,매칭테이블!$F:$I,3,0)</f>
        <v/>
      </c>
      <c r="O8023" s="94">
        <f>VLOOKUP($Q8023,매칭테이블!$F:$I,4,0)*K8023</f>
        <v/>
      </c>
      <c r="P8023" s="148">
        <f>M8023/1.1</f>
        <v/>
      </c>
      <c r="Q8023" s="94">
        <f>F8023&amp;E8023&amp;G8023&amp;L8023</f>
        <v/>
      </c>
    </row>
    <row r="8024" customFormat="1" s="94">
      <c r="B8024" s="128" t="n">
        <v>44040</v>
      </c>
      <c r="C8024" s="94">
        <f>TEXT(B8024,"aaa")</f>
        <v/>
      </c>
      <c r="E8024" s="94" t="inlineStr">
        <is>
          <t>클렌징폼</t>
        </is>
      </c>
      <c r="F8024" s="5" t="inlineStr">
        <is>
          <t>아누아 CS</t>
        </is>
      </c>
      <c r="G8024" s="94" t="inlineStr">
        <is>
          <t>클렌징폼 120ml</t>
        </is>
      </c>
      <c r="H8024" s="7" t="n">
        <v>190801</v>
      </c>
      <c r="I8024" s="7" t="n">
        <v>190801</v>
      </c>
      <c r="K8024" s="94" t="n">
        <v>2</v>
      </c>
      <c r="L8024" s="7" t="n">
        <v>190801</v>
      </c>
      <c r="M8024" s="94">
        <f>VLOOKUP($Q8024,매칭테이블!$F:$I,2,0)*K8024</f>
        <v/>
      </c>
      <c r="N8024" s="94">
        <f>M8024-M8024*VLOOKUP($Q8024,매칭테이블!$F:$I,3,0)</f>
        <v/>
      </c>
      <c r="O8024" s="94">
        <f>VLOOKUP($Q8024,매칭테이블!$F:$I,4,0)*K8024</f>
        <v/>
      </c>
      <c r="P8024" s="148">
        <f>M8024/1.1</f>
        <v/>
      </c>
      <c r="Q8024" s="94">
        <f>F8024&amp;E8024&amp;G8024&amp;L8024</f>
        <v/>
      </c>
    </row>
    <row r="8025" customFormat="1" s="94">
      <c r="B8025" s="128" t="n">
        <v>44040</v>
      </c>
      <c r="C8025" s="94">
        <f>TEXT(B8025,"aaa")</f>
        <v/>
      </c>
      <c r="E8025" s="94" t="inlineStr">
        <is>
          <t>머드크림마스크</t>
        </is>
      </c>
      <c r="F8025" s="5" t="inlineStr">
        <is>
          <t>아누아 CS</t>
        </is>
      </c>
      <c r="G8025" s="94" t="inlineStr">
        <is>
          <t>머드크림마스크 100ml</t>
        </is>
      </c>
      <c r="H8025" s="7" t="n">
        <v>190801</v>
      </c>
      <c r="I8025" s="7" t="n">
        <v>190801</v>
      </c>
      <c r="K8025" s="94" t="n">
        <v>2</v>
      </c>
      <c r="L8025" s="7" t="n">
        <v>190801</v>
      </c>
      <c r="M8025" s="94">
        <f>VLOOKUP($Q8025,매칭테이블!$F:$I,2,0)*K8025</f>
        <v/>
      </c>
      <c r="N8025" s="94">
        <f>M8025-M8025*VLOOKUP($Q8025,매칭테이블!$F:$I,3,0)</f>
        <v/>
      </c>
      <c r="O8025" s="94">
        <f>VLOOKUP($Q8025,매칭테이블!$F:$I,4,0)*K8025</f>
        <v/>
      </c>
      <c r="P8025" s="148">
        <f>M8025/1.1</f>
        <v/>
      </c>
      <c r="Q8025" s="94">
        <f>F8025&amp;E8025&amp;G8025&amp;L8025</f>
        <v/>
      </c>
    </row>
    <row r="8026" customFormat="1" s="94">
      <c r="B8026" s="128" t="n">
        <v>44040</v>
      </c>
      <c r="C8026" s="94">
        <f>TEXT(B8026,"aaa")</f>
        <v/>
      </c>
      <c r="E8026" s="94" t="inlineStr">
        <is>
          <t>토너</t>
        </is>
      </c>
      <c r="F8026" s="5" t="inlineStr">
        <is>
          <t>큐텐재팬</t>
        </is>
      </c>
      <c r="G8026" s="94" t="inlineStr">
        <is>
          <t>200726=250ml</t>
        </is>
      </c>
      <c r="H8026" s="7" t="n">
        <v>190801</v>
      </c>
      <c r="I8026" s="7" t="n">
        <v>190801</v>
      </c>
      <c r="K8026" s="94" t="n">
        <v>10</v>
      </c>
      <c r="L8026" s="7" t="n">
        <v>190801</v>
      </c>
      <c r="M8026" s="94">
        <f>VLOOKUP($Q8026,매칭테이블!$F:$I,2,0)*K8026</f>
        <v/>
      </c>
      <c r="N8026" s="94">
        <f>M8026-M8026*VLOOKUP($Q8026,매칭테이블!$F:$I,3,0)</f>
        <v/>
      </c>
      <c r="O8026" s="94">
        <f>VLOOKUP($Q8026,매칭테이블!$F:$I,4,0)*K8026</f>
        <v/>
      </c>
      <c r="P8026" s="148">
        <f>M8026/1.1</f>
        <v/>
      </c>
      <c r="Q8026" s="94">
        <f>F8026&amp;E8026&amp;G8026&amp;L8026</f>
        <v/>
      </c>
    </row>
    <row r="8027" customFormat="1" s="94">
      <c r="B8027" s="128" t="n">
        <v>44040</v>
      </c>
      <c r="C8027" s="94">
        <f>TEXT(B8027,"aaa")</f>
        <v/>
      </c>
      <c r="E8027" s="94" t="inlineStr">
        <is>
          <t>수딩크림</t>
        </is>
      </c>
      <c r="F8027" s="5" t="inlineStr">
        <is>
          <t>큐텐재팬</t>
        </is>
      </c>
      <c r="G8027" s="94" t="inlineStr">
        <is>
          <t>200726=수딩크림 100ml</t>
        </is>
      </c>
      <c r="H8027" s="7" t="n">
        <v>190801</v>
      </c>
      <c r="I8027" s="7" t="n">
        <v>190801</v>
      </c>
      <c r="K8027" s="94" t="n">
        <v>1</v>
      </c>
      <c r="L8027" s="7" t="n">
        <v>190801</v>
      </c>
      <c r="M8027" s="94">
        <f>VLOOKUP($Q8027,매칭테이블!$F:$I,2,0)*K8027</f>
        <v/>
      </c>
      <c r="N8027" s="94">
        <f>M8027-M8027*VLOOKUP($Q8027,매칭테이블!$F:$I,3,0)</f>
        <v/>
      </c>
      <c r="O8027" s="94">
        <f>VLOOKUP($Q8027,매칭테이블!$F:$I,4,0)*K8027</f>
        <v/>
      </c>
      <c r="P8027" s="148">
        <f>M8027/1.1</f>
        <v/>
      </c>
      <c r="Q8027" s="94">
        <f>F8027&amp;E8027&amp;G8027&amp;L8027</f>
        <v/>
      </c>
    </row>
    <row r="8028" customFormat="1" s="94">
      <c r="B8028" s="128" t="n">
        <v>44040</v>
      </c>
      <c r="C8028" s="94">
        <f>TEXT(B8028,"aaa")</f>
        <v/>
      </c>
      <c r="E8028" s="94" t="inlineStr">
        <is>
          <t>앰플</t>
        </is>
      </c>
      <c r="F8028" s="5" t="inlineStr">
        <is>
          <t>큐텐재팬</t>
        </is>
      </c>
      <c r="G8028" s="94" t="inlineStr">
        <is>
          <t>200726=앰플 30ml</t>
        </is>
      </c>
      <c r="H8028" s="7" t="n">
        <v>190801</v>
      </c>
      <c r="I8028" s="7" t="n">
        <v>190801</v>
      </c>
      <c r="K8028" s="94" t="n">
        <v>3</v>
      </c>
      <c r="L8028" s="7" t="n">
        <v>190801</v>
      </c>
      <c r="M8028" s="94">
        <f>VLOOKUP($Q8028,매칭테이블!$F:$I,2,0)*K8028</f>
        <v/>
      </c>
      <c r="N8028" s="94">
        <f>M8028-M8028*VLOOKUP($Q8028,매칭테이블!$F:$I,3,0)</f>
        <v/>
      </c>
      <c r="O8028" s="94">
        <f>VLOOKUP($Q8028,매칭테이블!$F:$I,4,0)*K8028</f>
        <v/>
      </c>
      <c r="P8028" s="148">
        <f>M8028/1.1</f>
        <v/>
      </c>
      <c r="Q8028" s="94">
        <f>F8028&amp;E8028&amp;G8028&amp;L8028</f>
        <v/>
      </c>
    </row>
    <row r="8029" customFormat="1" s="94">
      <c r="B8029" s="128" t="n">
        <v>44040</v>
      </c>
      <c r="C8029" s="94">
        <f>TEXT(B8029,"aaa")</f>
        <v/>
      </c>
      <c r="E8029" s="94" t="inlineStr">
        <is>
          <t>토너</t>
        </is>
      </c>
      <c r="F8029" s="5" t="inlineStr">
        <is>
          <t>큐텐재팬</t>
        </is>
      </c>
      <c r="G8029" s="94" t="inlineStr">
        <is>
          <t>200726=250ml 2set</t>
        </is>
      </c>
      <c r="H8029" s="7" t="n">
        <v>190801</v>
      </c>
      <c r="I8029" s="7" t="n">
        <v>190801</v>
      </c>
      <c r="K8029" s="94" t="n">
        <v>3</v>
      </c>
      <c r="L8029" s="7" t="n">
        <v>190801</v>
      </c>
      <c r="M8029" s="94">
        <f>VLOOKUP($Q8029,매칭테이블!$F:$I,2,0)*K8029</f>
        <v/>
      </c>
      <c r="N8029" s="94">
        <f>M8029-M8029*VLOOKUP($Q8029,매칭테이블!$F:$I,3,0)</f>
        <v/>
      </c>
      <c r="O8029" s="94">
        <f>VLOOKUP($Q8029,매칭테이블!$F:$I,4,0)*K8029</f>
        <v/>
      </c>
      <c r="P8029" s="148">
        <f>M8029/1.1</f>
        <v/>
      </c>
      <c r="Q8029" s="94">
        <f>F8029&amp;E8029&amp;G8029&amp;L8029</f>
        <v/>
      </c>
    </row>
    <row r="8030" customFormat="1" s="94">
      <c r="B8030" s="128" t="n">
        <v>44040</v>
      </c>
      <c r="C8030" s="94">
        <f>TEXT(B8030,"aaa")</f>
        <v/>
      </c>
      <c r="E8030" s="94" t="inlineStr">
        <is>
          <t>토너</t>
        </is>
      </c>
      <c r="F8030" s="5" t="inlineStr">
        <is>
          <t>쇼피태국</t>
        </is>
      </c>
      <c r="G8030" s="94" t="inlineStr">
        <is>
          <t>200726=250ml</t>
        </is>
      </c>
      <c r="H8030" s="7" t="n">
        <v>190801</v>
      </c>
      <c r="I8030" s="7" t="n">
        <v>190801</v>
      </c>
      <c r="K8030" s="94" t="n">
        <v>1</v>
      </c>
      <c r="L8030" s="7" t="n">
        <v>190801</v>
      </c>
      <c r="M8030" s="94">
        <f>VLOOKUP($Q8030,매칭테이블!$F:$I,2,0)*K8030</f>
        <v/>
      </c>
      <c r="N8030" s="94">
        <f>M8030-M8030*VLOOKUP($Q8030,매칭테이블!$F:$I,3,0)</f>
        <v/>
      </c>
      <c r="O8030" s="94">
        <f>VLOOKUP($Q8030,매칭테이블!$F:$I,4,0)*K8030</f>
        <v/>
      </c>
      <c r="P8030" s="148">
        <f>M8030/1.1</f>
        <v/>
      </c>
      <c r="Q8030" s="94">
        <f>F8030&amp;E8030&amp;G8030&amp;L8030</f>
        <v/>
      </c>
    </row>
    <row r="8031" customFormat="1" s="94">
      <c r="B8031" s="128" t="n">
        <v>44040</v>
      </c>
      <c r="C8031" s="94">
        <f>TEXT(B8031,"aaa")</f>
        <v/>
      </c>
      <c r="E8031" s="94" t="inlineStr">
        <is>
          <t>앰플</t>
        </is>
      </c>
      <c r="F8031" s="5" t="inlineStr">
        <is>
          <t>쇼피태국</t>
        </is>
      </c>
      <c r="G8031" s="94" t="inlineStr">
        <is>
          <t>200726=앰플 30ml</t>
        </is>
      </c>
      <c r="H8031" s="7" t="n">
        <v>190801</v>
      </c>
      <c r="I8031" s="7" t="n">
        <v>190801</v>
      </c>
      <c r="K8031" s="94" t="n">
        <v>2</v>
      </c>
      <c r="L8031" s="7" t="n">
        <v>190801</v>
      </c>
      <c r="M8031" s="94">
        <f>VLOOKUP($Q8031,매칭테이블!$F:$I,2,0)*K8031</f>
        <v/>
      </c>
      <c r="N8031" s="94">
        <f>M8031-M8031*VLOOKUP($Q8031,매칭테이블!$F:$I,3,0)</f>
        <v/>
      </c>
      <c r="O8031" s="94">
        <f>VLOOKUP($Q8031,매칭테이블!$F:$I,4,0)*K8031</f>
        <v/>
      </c>
      <c r="P8031" s="148">
        <f>M8031/1.1</f>
        <v/>
      </c>
      <c r="Q8031" s="94">
        <f>F8031&amp;E8031&amp;G8031&amp;L8031</f>
        <v/>
      </c>
    </row>
    <row r="8032" customFormat="1" s="94">
      <c r="B8032" s="128" t="n">
        <v>44040</v>
      </c>
      <c r="C8032" s="94">
        <f>TEXT(B8032,"aaa")</f>
        <v/>
      </c>
      <c r="E8032" s="94" t="inlineStr">
        <is>
          <t>앰플</t>
        </is>
      </c>
      <c r="F8032" s="5" t="inlineStr">
        <is>
          <t>화해</t>
        </is>
      </c>
      <c r="G8032" s="94" t="inlineStr">
        <is>
          <t>앰플 30ml</t>
        </is>
      </c>
      <c r="H8032" s="7" t="n">
        <v>190801</v>
      </c>
      <c r="I8032" s="7" t="n">
        <v>190801</v>
      </c>
      <c r="K8032" s="94" t="n">
        <v>1</v>
      </c>
      <c r="L8032" s="7" t="n">
        <v>190801</v>
      </c>
      <c r="M8032" s="94">
        <f>VLOOKUP($Q8032,매칭테이블!$F:$I,2,0)*K8032</f>
        <v/>
      </c>
      <c r="N8032" s="94">
        <f>M8032-M8032*VLOOKUP($Q8032,매칭테이블!$F:$I,3,0)</f>
        <v/>
      </c>
      <c r="O8032" s="94">
        <f>VLOOKUP($Q8032,매칭테이블!$F:$I,4,0)*K8032</f>
        <v/>
      </c>
      <c r="P8032" s="148">
        <f>M8032/1.1</f>
        <v/>
      </c>
      <c r="Q8032" s="94">
        <f>F8032&amp;E8032&amp;G8032&amp;L8032</f>
        <v/>
      </c>
    </row>
    <row r="8033" customFormat="1" s="94">
      <c r="B8033" s="128" t="n">
        <v>44040</v>
      </c>
      <c r="C8033" s="94">
        <f>TEXT(B8033,"aaa")</f>
        <v/>
      </c>
      <c r="E8033" s="94" t="inlineStr">
        <is>
          <t>토너</t>
        </is>
      </c>
      <c r="F8033" s="5" t="inlineStr">
        <is>
          <t>화해</t>
        </is>
      </c>
      <c r="G8033" s="94" t="inlineStr">
        <is>
          <t>250ml</t>
        </is>
      </c>
      <c r="H8033" s="7" t="n">
        <v>190801</v>
      </c>
      <c r="I8033" s="7" t="n">
        <v>190801</v>
      </c>
      <c r="K8033" s="94" t="n">
        <v>7</v>
      </c>
      <c r="L8033" s="7" t="n">
        <v>190801</v>
      </c>
      <c r="M8033" s="94">
        <f>VLOOKUP($Q8033,매칭테이블!$F:$I,2,0)*K8033</f>
        <v/>
      </c>
      <c r="N8033" s="94">
        <f>M8033-M8033*VLOOKUP($Q8033,매칭테이블!$F:$I,3,0)</f>
        <v/>
      </c>
      <c r="O8033" s="94">
        <f>VLOOKUP($Q8033,매칭테이블!$F:$I,4,0)*K8033</f>
        <v/>
      </c>
      <c r="P8033" s="148">
        <f>M8033/1.1</f>
        <v/>
      </c>
      <c r="Q8033" s="94">
        <f>F8033&amp;E8033&amp;G8033&amp;L8033</f>
        <v/>
      </c>
    </row>
    <row r="8034" customFormat="1" s="94">
      <c r="B8034" s="128" t="n">
        <v>44040</v>
      </c>
      <c r="C8034" s="94">
        <f>TEXT(B8034,"aaa")</f>
        <v/>
      </c>
      <c r="E8034" s="94" t="inlineStr">
        <is>
          <t>수딩크림</t>
        </is>
      </c>
      <c r="F8034" s="5" t="inlineStr">
        <is>
          <t>화해</t>
        </is>
      </c>
      <c r="G8034" s="94" t="inlineStr">
        <is>
          <t>수딩크림 100ml</t>
        </is>
      </c>
      <c r="H8034" s="7" t="n">
        <v>190801</v>
      </c>
      <c r="I8034" s="7" t="n">
        <v>190801</v>
      </c>
      <c r="K8034" s="94" t="n">
        <v>1</v>
      </c>
      <c r="L8034" s="7" t="n">
        <v>190801</v>
      </c>
      <c r="M8034" s="94">
        <f>VLOOKUP($Q8034,매칭테이블!$F:$I,2,0)*K8034</f>
        <v/>
      </c>
      <c r="N8034" s="94">
        <f>M8034-M8034*VLOOKUP($Q8034,매칭테이블!$F:$I,3,0)</f>
        <v/>
      </c>
      <c r="O8034" s="94">
        <f>VLOOKUP($Q8034,매칭테이블!$F:$I,4,0)*K8034</f>
        <v/>
      </c>
      <c r="P8034" s="148">
        <f>M8034/1.1</f>
        <v/>
      </c>
      <c r="Q8034" s="94">
        <f>F8034&amp;E8034&amp;G8034&amp;L8034</f>
        <v/>
      </c>
    </row>
    <row r="8035" customFormat="1" s="94">
      <c r="B8035" s="128" t="n">
        <v>44041</v>
      </c>
      <c r="C8035" s="94">
        <f>TEXT(B8035,"aaa")</f>
        <v/>
      </c>
      <c r="E8035" s="94" t="inlineStr">
        <is>
          <t>토너</t>
        </is>
      </c>
      <c r="F8035" s="5" t="inlineStr">
        <is>
          <t>W컨셉</t>
        </is>
      </c>
      <c r="G8035" s="94" t="inlineStr">
        <is>
          <t>250ml</t>
        </is>
      </c>
      <c r="H8035" s="7" t="n">
        <v>190801</v>
      </c>
      <c r="I8035" s="7" t="n">
        <v>190801</v>
      </c>
      <c r="K8035" s="94" t="n">
        <v>6</v>
      </c>
      <c r="L8035" s="7" t="n">
        <v>190801</v>
      </c>
      <c r="M8035" s="94">
        <f>VLOOKUP($Q8035,매칭테이블!$F:$I,2,0)*K8035</f>
        <v/>
      </c>
      <c r="N8035" s="94">
        <f>M8035-M8035*VLOOKUP($Q8035,매칭테이블!$F:$I,3,0)</f>
        <v/>
      </c>
      <c r="O8035" s="94">
        <f>VLOOKUP($Q8035,매칭테이블!$F:$I,4,0)*K8035</f>
        <v/>
      </c>
      <c r="P8035" s="148">
        <f>M8035/1.1</f>
        <v/>
      </c>
      <c r="Q8035" s="94">
        <f>F8035&amp;E8035&amp;G8035&amp;L8035</f>
        <v/>
      </c>
    </row>
    <row r="8036" customFormat="1" s="94">
      <c r="B8036" s="128" t="n">
        <v>44041</v>
      </c>
      <c r="C8036" s="94">
        <f>TEXT(B8036,"aaa")</f>
        <v/>
      </c>
      <c r="E8036" s="94" t="inlineStr">
        <is>
          <t>토너</t>
        </is>
      </c>
      <c r="F8036" s="5" t="inlineStr">
        <is>
          <t>W컨셉</t>
        </is>
      </c>
      <c r="G8036" s="94" t="inlineStr">
        <is>
          <t>250ml 2set</t>
        </is>
      </c>
      <c r="H8036" s="7" t="n">
        <v>190801</v>
      </c>
      <c r="I8036" s="7" t="n">
        <v>190801</v>
      </c>
      <c r="K8036" s="94" t="n">
        <v>18</v>
      </c>
      <c r="L8036" s="7" t="n">
        <v>190801</v>
      </c>
      <c r="M8036" s="94">
        <f>VLOOKUP($Q8036,매칭테이블!$F:$I,2,0)*K8036</f>
        <v/>
      </c>
      <c r="N8036" s="94">
        <f>M8036-M8036*VLOOKUP($Q8036,매칭테이블!$F:$I,3,0)</f>
        <v/>
      </c>
      <c r="O8036" s="94">
        <f>VLOOKUP($Q8036,매칭테이블!$F:$I,4,0)*K8036</f>
        <v/>
      </c>
      <c r="P8036" s="148">
        <f>M8036/1.1</f>
        <v/>
      </c>
      <c r="Q8036" s="94">
        <f>F8036&amp;E8036&amp;G8036&amp;L8036</f>
        <v/>
      </c>
    </row>
    <row r="8037" customFormat="1" s="94">
      <c r="B8037" s="128" t="n">
        <v>44041</v>
      </c>
      <c r="C8037" s="94">
        <f>TEXT(B8037,"aaa")</f>
        <v/>
      </c>
      <c r="E8037" s="94" t="inlineStr">
        <is>
          <t>선크림</t>
        </is>
      </c>
      <c r="F8037" s="5" t="inlineStr">
        <is>
          <t>카페24</t>
        </is>
      </c>
      <c r="G8037" s="94" t="inlineStr">
        <is>
          <t>선크림 50ml</t>
        </is>
      </c>
      <c r="H8037" s="7" t="n">
        <v>190801</v>
      </c>
      <c r="I8037" s="7" t="n">
        <v>190801</v>
      </c>
      <c r="K8037" s="94" t="n">
        <v>5</v>
      </c>
      <c r="L8037" s="7" t="n">
        <v>190801</v>
      </c>
      <c r="M8037" s="94">
        <f>VLOOKUP($Q8037,매칭테이블!$F:$I,2,0)*K8037</f>
        <v/>
      </c>
      <c r="N8037" s="94">
        <f>M8037-M8037*VLOOKUP($Q8037,매칭테이블!$F:$I,3,0)</f>
        <v/>
      </c>
      <c r="O8037" s="94">
        <f>VLOOKUP($Q8037,매칭테이블!$F:$I,4,0)*K8037</f>
        <v/>
      </c>
      <c r="P8037" s="148">
        <f>M8037/1.1</f>
        <v/>
      </c>
      <c r="Q8037" s="94">
        <f>F8037&amp;E8037&amp;G8037&amp;L8037</f>
        <v/>
      </c>
    </row>
    <row r="8038" customFormat="1" s="94">
      <c r="B8038" s="128" t="n">
        <v>44041</v>
      </c>
      <c r="C8038" s="94">
        <f>TEXT(B8038,"aaa")</f>
        <v/>
      </c>
      <c r="E8038" s="94" t="inlineStr">
        <is>
          <t>선크림</t>
        </is>
      </c>
      <c r="F8038" s="5" t="inlineStr">
        <is>
          <t>카페24</t>
        </is>
      </c>
      <c r="G8038" s="94" t="inlineStr">
        <is>
          <t>선크림 50ml  2set</t>
        </is>
      </c>
      <c r="H8038" s="7" t="n">
        <v>190801</v>
      </c>
      <c r="I8038" s="7" t="n">
        <v>190801</v>
      </c>
      <c r="K8038" s="94" t="n">
        <v>2</v>
      </c>
      <c r="L8038" s="7" t="n">
        <v>190801</v>
      </c>
      <c r="M8038" s="94">
        <f>VLOOKUP($Q8038,매칭테이블!$F:$I,2,0)*K8038</f>
        <v/>
      </c>
      <c r="N8038" s="94">
        <f>M8038-M8038*VLOOKUP($Q8038,매칭테이블!$F:$I,3,0)</f>
        <v/>
      </c>
      <c r="O8038" s="94">
        <f>VLOOKUP($Q8038,매칭테이블!$F:$I,4,0)*K8038</f>
        <v/>
      </c>
      <c r="P8038" s="148">
        <f>M8038/1.1</f>
        <v/>
      </c>
      <c r="Q8038" s="94">
        <f>F8038&amp;E8038&amp;G8038&amp;L8038</f>
        <v/>
      </c>
    </row>
    <row r="8039" customFormat="1" s="94">
      <c r="B8039" s="128" t="n">
        <v>44041</v>
      </c>
      <c r="C8039" s="94">
        <f>TEXT(B8039,"aaa")</f>
        <v/>
      </c>
      <c r="E8039" s="94" t="inlineStr">
        <is>
          <t>여름 한정 진정세트</t>
        </is>
      </c>
      <c r="F8039" s="5" t="inlineStr">
        <is>
          <t>카페24</t>
        </is>
      </c>
      <c r="G8039" s="94" t="inlineStr">
        <is>
          <t>여름 한정 진정세트</t>
        </is>
      </c>
      <c r="H8039" s="7" t="n">
        <v>190801</v>
      </c>
      <c r="I8039" s="7" t="n">
        <v>190801</v>
      </c>
      <c r="K8039" s="94" t="n">
        <v>6</v>
      </c>
      <c r="L8039" s="7" t="n">
        <v>190801</v>
      </c>
      <c r="M8039" s="94">
        <f>VLOOKUP($Q8039,매칭테이블!$F:$I,2,0)*K8039</f>
        <v/>
      </c>
      <c r="N8039" s="94">
        <f>M8039-M8039*VLOOKUP($Q8039,매칭테이블!$F:$I,3,0)</f>
        <v/>
      </c>
      <c r="O8039" s="94">
        <f>VLOOKUP($Q8039,매칭테이블!$F:$I,4,0)*K8039</f>
        <v/>
      </c>
      <c r="P8039" s="148">
        <f>M8039/1.1</f>
        <v/>
      </c>
      <c r="Q8039" s="94">
        <f>F8039&amp;E8039&amp;G8039&amp;L8039</f>
        <v/>
      </c>
    </row>
    <row r="8040" customFormat="1" s="94">
      <c r="B8040" s="128" t="n">
        <v>44041</v>
      </c>
      <c r="C8040" s="94">
        <f>TEXT(B8040,"aaa")</f>
        <v/>
      </c>
      <c r="E8040" s="94" t="inlineStr">
        <is>
          <t>여름 한정 진정세트</t>
        </is>
      </c>
      <c r="F8040" s="5" t="inlineStr">
        <is>
          <t>카페24</t>
        </is>
      </c>
      <c r="G8040" s="94" t="inlineStr">
        <is>
          <t>여름 한정 진정세트 (대용량)</t>
        </is>
      </c>
      <c r="H8040" s="7" t="n">
        <v>190801</v>
      </c>
      <c r="I8040" s="7" t="n">
        <v>190801</v>
      </c>
      <c r="K8040" s="94" t="n">
        <v>2</v>
      </c>
      <c r="L8040" s="7" t="n">
        <v>190801</v>
      </c>
      <c r="M8040" s="94">
        <f>VLOOKUP($Q8040,매칭테이블!$F:$I,2,0)*K8040</f>
        <v/>
      </c>
      <c r="N8040" s="94">
        <f>M8040-M8040*VLOOKUP($Q8040,매칭테이블!$F:$I,3,0)</f>
        <v/>
      </c>
      <c r="O8040" s="94">
        <f>VLOOKUP($Q8040,매칭테이블!$F:$I,4,0)*K8040</f>
        <v/>
      </c>
      <c r="P8040" s="148">
        <f>M8040/1.1</f>
        <v/>
      </c>
      <c r="Q8040" s="94">
        <f>F8040&amp;E8040&amp;G8040&amp;L8040</f>
        <v/>
      </c>
    </row>
    <row r="8041" customFormat="1" s="94">
      <c r="B8041" s="128" t="n">
        <v>44041</v>
      </c>
      <c r="C8041" s="94">
        <f>TEXT(B8041,"aaa")</f>
        <v/>
      </c>
      <c r="E8041" s="94" t="inlineStr">
        <is>
          <t>어성초진정패키지</t>
        </is>
      </c>
      <c r="F8041" s="5" t="inlineStr">
        <is>
          <t>카페24</t>
        </is>
      </c>
      <c r="G8041" s="94" t="inlineStr">
        <is>
          <t>어성초 진정패키지세트</t>
        </is>
      </c>
      <c r="H8041" s="7" t="n">
        <v>190801</v>
      </c>
      <c r="I8041" s="7" t="n">
        <v>190801</v>
      </c>
      <c r="K8041" s="94" t="n">
        <v>4</v>
      </c>
      <c r="L8041" s="7" t="n">
        <v>190801</v>
      </c>
      <c r="M8041" s="94">
        <f>VLOOKUP($Q8041,매칭테이블!$F:$I,2,0)*K8041</f>
        <v/>
      </c>
      <c r="N8041" s="94">
        <f>M8041-M8041*VLOOKUP($Q8041,매칭테이블!$F:$I,3,0)</f>
        <v/>
      </c>
      <c r="O8041" s="94">
        <f>VLOOKUP($Q8041,매칭테이블!$F:$I,4,0)*K8041</f>
        <v/>
      </c>
      <c r="P8041" s="148">
        <f>M8041/1.1</f>
        <v/>
      </c>
      <c r="Q8041" s="94">
        <f>F8041&amp;E8041&amp;G8041&amp;L8041</f>
        <v/>
      </c>
    </row>
    <row r="8042" customFormat="1" s="94">
      <c r="B8042" s="128" t="n">
        <v>44041</v>
      </c>
      <c r="C8042" s="94">
        <f>TEXT(B8042,"aaa")</f>
        <v/>
      </c>
      <c r="E8042" s="94" t="inlineStr">
        <is>
          <t>머드크림마스크</t>
        </is>
      </c>
      <c r="F8042" s="5" t="inlineStr">
        <is>
          <t>카페24</t>
        </is>
      </c>
      <c r="G8042" s="94" t="inlineStr">
        <is>
          <t>머드크림마스크 100ml</t>
        </is>
      </c>
      <c r="H8042" s="7" t="n">
        <v>190801</v>
      </c>
      <c r="I8042" s="7" t="n">
        <v>190801</v>
      </c>
      <c r="K8042" s="94" t="n">
        <v>2</v>
      </c>
      <c r="L8042" s="7" t="n">
        <v>190801</v>
      </c>
      <c r="M8042" s="94">
        <f>VLOOKUP($Q8042,매칭테이블!$F:$I,2,0)*K8042</f>
        <v/>
      </c>
      <c r="N8042" s="94">
        <f>M8042-M8042*VLOOKUP($Q8042,매칭테이블!$F:$I,3,0)</f>
        <v/>
      </c>
      <c r="O8042" s="94">
        <f>VLOOKUP($Q8042,매칭테이블!$F:$I,4,0)*K8042</f>
        <v/>
      </c>
      <c r="P8042" s="148">
        <f>M8042/1.1</f>
        <v/>
      </c>
      <c r="Q8042" s="94">
        <f>F8042&amp;E8042&amp;G8042&amp;L8042</f>
        <v/>
      </c>
    </row>
    <row r="8043" customFormat="1" s="94">
      <c r="B8043" s="128" t="n">
        <v>44041</v>
      </c>
      <c r="C8043" s="94">
        <f>TEXT(B8043,"aaa")</f>
        <v/>
      </c>
      <c r="E8043" s="94" t="inlineStr">
        <is>
          <t>머드크림마스크</t>
        </is>
      </c>
      <c r="F8043" s="5" t="inlineStr">
        <is>
          <t>카페24</t>
        </is>
      </c>
      <c r="G8043" s="94" t="inlineStr">
        <is>
          <t>머드크림마스크 100ml 2set</t>
        </is>
      </c>
      <c r="H8043" s="7" t="n">
        <v>190801</v>
      </c>
      <c r="I8043" s="7" t="n">
        <v>190801</v>
      </c>
      <c r="K8043" s="94" t="n">
        <v>1</v>
      </c>
      <c r="L8043" s="7" t="n">
        <v>190801</v>
      </c>
      <c r="M8043" s="94">
        <f>VLOOKUP($Q8043,매칭테이블!$F:$I,2,0)*K8043</f>
        <v/>
      </c>
      <c r="N8043" s="94">
        <f>M8043-M8043*VLOOKUP($Q8043,매칭테이블!$F:$I,3,0)</f>
        <v/>
      </c>
      <c r="O8043" s="94">
        <f>VLOOKUP($Q8043,매칭테이블!$F:$I,4,0)*K8043</f>
        <v/>
      </c>
      <c r="P8043" s="148">
        <f>M8043/1.1</f>
        <v/>
      </c>
      <c r="Q8043" s="94">
        <f>F8043&amp;E8043&amp;G8043&amp;L8043</f>
        <v/>
      </c>
    </row>
    <row r="8044" customFormat="1" s="94">
      <c r="B8044" s="128" t="n">
        <v>44041</v>
      </c>
      <c r="C8044" s="94">
        <f>TEXT(B8044,"aaa")</f>
        <v/>
      </c>
      <c r="E8044" s="94" t="inlineStr">
        <is>
          <t>마스크팩</t>
        </is>
      </c>
      <c r="F8044" s="5" t="inlineStr">
        <is>
          <t>카페24</t>
        </is>
      </c>
      <c r="G8044" s="94" t="inlineStr">
        <is>
          <t>마스크팩 1매</t>
        </is>
      </c>
      <c r="H8044" s="7" t="n">
        <v>190801</v>
      </c>
      <c r="I8044" s="7" t="n">
        <v>190801</v>
      </c>
      <c r="K8044" s="94" t="n">
        <v>2</v>
      </c>
      <c r="L8044" s="7" t="n">
        <v>190801</v>
      </c>
      <c r="M8044" s="94">
        <f>VLOOKUP($Q8044,매칭테이블!$F:$I,2,0)*K8044</f>
        <v/>
      </c>
      <c r="N8044" s="94">
        <f>M8044-M8044*VLOOKUP($Q8044,매칭테이블!$F:$I,3,0)</f>
        <v/>
      </c>
      <c r="O8044" s="94">
        <f>VLOOKUP($Q8044,매칭테이블!$F:$I,4,0)*K8044</f>
        <v/>
      </c>
      <c r="P8044" s="148">
        <f>M8044/1.1</f>
        <v/>
      </c>
      <c r="Q8044" s="94">
        <f>F8044&amp;E8044&amp;G8044&amp;L8044</f>
        <v/>
      </c>
    </row>
    <row r="8045" customFormat="1" s="94">
      <c r="B8045" s="128" t="n">
        <v>44041</v>
      </c>
      <c r="C8045" s="94">
        <f>TEXT(B8045,"aaa")</f>
        <v/>
      </c>
      <c r="E8045" s="94" t="inlineStr">
        <is>
          <t>마스크팩</t>
        </is>
      </c>
      <c r="F8045" s="5" t="inlineStr">
        <is>
          <t>카페24</t>
        </is>
      </c>
      <c r="G8045" s="94" t="inlineStr">
        <is>
          <t>마스크팩 10매</t>
        </is>
      </c>
      <c r="H8045" s="7" t="n">
        <v>190801</v>
      </c>
      <c r="I8045" s="7" t="n">
        <v>190801</v>
      </c>
      <c r="K8045" s="94" t="n">
        <v>11</v>
      </c>
      <c r="L8045" s="7" t="n">
        <v>190801</v>
      </c>
      <c r="M8045" s="94">
        <f>VLOOKUP($Q8045,매칭테이블!$F:$I,2,0)*K8045</f>
        <v/>
      </c>
      <c r="N8045" s="94">
        <f>M8045-M8045*VLOOKUP($Q8045,매칭테이블!$F:$I,3,0)</f>
        <v/>
      </c>
      <c r="O8045" s="94">
        <f>VLOOKUP($Q8045,매칭테이블!$F:$I,4,0)*K8045</f>
        <v/>
      </c>
      <c r="P8045" s="148">
        <f>M8045/1.1</f>
        <v/>
      </c>
      <c r="Q8045" s="94">
        <f>F8045&amp;E8045&amp;G8045&amp;L8045</f>
        <v/>
      </c>
    </row>
    <row r="8046" customFormat="1" s="94">
      <c r="B8046" s="128" t="n">
        <v>44041</v>
      </c>
      <c r="C8046" s="94">
        <f>TEXT(B8046,"aaa")</f>
        <v/>
      </c>
      <c r="E8046" s="94" t="inlineStr">
        <is>
          <t>토너</t>
        </is>
      </c>
      <c r="F8046" s="5" t="inlineStr">
        <is>
          <t>카페24</t>
        </is>
      </c>
      <c r="G8046" s="94" t="inlineStr">
        <is>
          <t>250ml</t>
        </is>
      </c>
      <c r="H8046" s="7" t="n">
        <v>190801</v>
      </c>
      <c r="I8046" s="7" t="n">
        <v>190801</v>
      </c>
      <c r="K8046" s="94" t="n">
        <v>78</v>
      </c>
      <c r="L8046" s="7" t="n">
        <v>190801</v>
      </c>
      <c r="M8046" s="94">
        <f>VLOOKUP($Q8046,매칭테이블!$F:$I,2,0)*K8046</f>
        <v/>
      </c>
      <c r="N8046" s="94">
        <f>M8046-M8046*VLOOKUP($Q8046,매칭테이블!$F:$I,3,0)</f>
        <v/>
      </c>
      <c r="O8046" s="94">
        <f>VLOOKUP($Q8046,매칭테이블!$F:$I,4,0)*K8046</f>
        <v/>
      </c>
      <c r="P8046" s="148">
        <f>M8046/1.1</f>
        <v/>
      </c>
      <c r="Q8046" s="94">
        <f>F8046&amp;E8046&amp;G8046&amp;L8046</f>
        <v/>
      </c>
    </row>
    <row r="8047" customFormat="1" s="94">
      <c r="B8047" s="128" t="n">
        <v>44041</v>
      </c>
      <c r="C8047" s="94">
        <f>TEXT(B8047,"aaa")</f>
        <v/>
      </c>
      <c r="E8047" s="94" t="inlineStr">
        <is>
          <t>토너</t>
        </is>
      </c>
      <c r="F8047" s="5" t="inlineStr">
        <is>
          <t>카페24</t>
        </is>
      </c>
      <c r="G8047" s="94" t="inlineStr">
        <is>
          <t>250ml 2set</t>
        </is>
      </c>
      <c r="H8047" s="7" t="n">
        <v>190801</v>
      </c>
      <c r="I8047" s="7" t="n">
        <v>190801</v>
      </c>
      <c r="K8047" s="94" t="n">
        <v>73</v>
      </c>
      <c r="L8047" s="7" t="n">
        <v>190801</v>
      </c>
      <c r="M8047" s="94">
        <f>VLOOKUP($Q8047,매칭테이블!$F:$I,2,0)*K8047</f>
        <v/>
      </c>
      <c r="N8047" s="94">
        <f>M8047-M8047*VLOOKUP($Q8047,매칭테이블!$F:$I,3,0)</f>
        <v/>
      </c>
      <c r="O8047" s="94">
        <f>VLOOKUP($Q8047,매칭테이블!$F:$I,4,0)*K8047</f>
        <v/>
      </c>
      <c r="P8047" s="148">
        <f>M8047/1.1</f>
        <v/>
      </c>
      <c r="Q8047" s="94">
        <f>F8047&amp;E8047&amp;G8047&amp;L8047</f>
        <v/>
      </c>
    </row>
    <row r="8048" customFormat="1" s="94">
      <c r="B8048" s="128" t="n">
        <v>44041</v>
      </c>
      <c r="C8048" s="94">
        <f>TEXT(B8048,"aaa")</f>
        <v/>
      </c>
      <c r="E8048" s="94" t="inlineStr">
        <is>
          <t>토너</t>
        </is>
      </c>
      <c r="F8048" s="5" t="inlineStr">
        <is>
          <t>카페24</t>
        </is>
      </c>
      <c r="G8048" s="94" t="inlineStr">
        <is>
          <t>500ml</t>
        </is>
      </c>
      <c r="H8048" s="7" t="n">
        <v>190801</v>
      </c>
      <c r="I8048" s="7" t="n">
        <v>190801</v>
      </c>
      <c r="K8048" s="94" t="n">
        <v>67</v>
      </c>
      <c r="L8048" s="7" t="n">
        <v>190801</v>
      </c>
      <c r="M8048" s="94">
        <f>VLOOKUP($Q8048,매칭테이블!$F:$I,2,0)*K8048</f>
        <v/>
      </c>
      <c r="N8048" s="94">
        <f>M8048-M8048*VLOOKUP($Q8048,매칭테이블!$F:$I,3,0)</f>
        <v/>
      </c>
      <c r="O8048" s="94">
        <f>VLOOKUP($Q8048,매칭테이블!$F:$I,4,0)*K8048</f>
        <v/>
      </c>
      <c r="P8048" s="148">
        <f>M8048/1.1</f>
        <v/>
      </c>
      <c r="Q8048" s="94">
        <f>F8048&amp;E8048&amp;G8048&amp;L8048</f>
        <v/>
      </c>
    </row>
    <row r="8049" customFormat="1" s="94">
      <c r="B8049" s="128" t="n">
        <v>44041</v>
      </c>
      <c r="C8049" s="94">
        <f>TEXT(B8049,"aaa")</f>
        <v/>
      </c>
      <c r="E8049" s="94" t="inlineStr">
        <is>
          <t>토너</t>
        </is>
      </c>
      <c r="F8049" s="5" t="inlineStr">
        <is>
          <t>카페24</t>
        </is>
      </c>
      <c r="G8049" s="94" t="inlineStr">
        <is>
          <t>스킨팩 화장솜 60P</t>
        </is>
      </c>
      <c r="H8049" s="7" t="n">
        <v>190801</v>
      </c>
      <c r="I8049" s="7" t="n">
        <v>190801</v>
      </c>
      <c r="K8049" s="94" t="n">
        <v>76</v>
      </c>
      <c r="L8049" s="7" t="n">
        <v>190801</v>
      </c>
      <c r="M8049" s="94">
        <f>VLOOKUP($Q8049,매칭테이블!$F:$I,2,0)*K8049</f>
        <v/>
      </c>
      <c r="N8049" s="94">
        <f>M8049-M8049*VLOOKUP($Q8049,매칭테이블!$F:$I,3,0)</f>
        <v/>
      </c>
      <c r="O8049" s="94">
        <f>VLOOKUP($Q8049,매칭테이블!$F:$I,4,0)*K8049</f>
        <v/>
      </c>
      <c r="P8049" s="148">
        <f>M8049/1.1</f>
        <v/>
      </c>
      <c r="Q8049" s="94">
        <f>F8049&amp;E8049&amp;G8049&amp;L8049</f>
        <v/>
      </c>
    </row>
    <row r="8050" customFormat="1" s="94">
      <c r="B8050" s="128" t="n">
        <v>44041</v>
      </c>
      <c r="C8050" s="94">
        <f>TEXT(B8050,"aaa")</f>
        <v/>
      </c>
      <c r="E8050" s="94" t="inlineStr">
        <is>
          <t>앰플</t>
        </is>
      </c>
      <c r="F8050" s="5" t="inlineStr">
        <is>
          <t>카페24</t>
        </is>
      </c>
      <c r="G8050" s="94" t="inlineStr">
        <is>
          <t>앰플 30ml</t>
        </is>
      </c>
      <c r="H8050" s="7" t="n">
        <v>190801</v>
      </c>
      <c r="I8050" s="7" t="n">
        <v>190801</v>
      </c>
      <c r="K8050" s="94" t="n">
        <v>17</v>
      </c>
      <c r="L8050" s="7" t="n">
        <v>190801</v>
      </c>
      <c r="M8050" s="94">
        <f>VLOOKUP($Q8050,매칭테이블!$F:$I,2,0)*K8050</f>
        <v/>
      </c>
      <c r="N8050" s="94">
        <f>M8050-M8050*VLOOKUP($Q8050,매칭테이블!$F:$I,3,0)</f>
        <v/>
      </c>
      <c r="O8050" s="94">
        <f>VLOOKUP($Q8050,매칭테이블!$F:$I,4,0)*K8050</f>
        <v/>
      </c>
      <c r="P8050" s="148">
        <f>M8050/1.1</f>
        <v/>
      </c>
      <c r="Q8050" s="94">
        <f>F8050&amp;E8050&amp;G8050&amp;L8050</f>
        <v/>
      </c>
    </row>
    <row r="8051" customFormat="1" s="94">
      <c r="B8051" s="128" t="n">
        <v>44041</v>
      </c>
      <c r="C8051" s="94">
        <f>TEXT(B8051,"aaa")</f>
        <v/>
      </c>
      <c r="E8051" s="94" t="inlineStr">
        <is>
          <t>수딩크림</t>
        </is>
      </c>
      <c r="F8051" s="5" t="inlineStr">
        <is>
          <t>카페24</t>
        </is>
      </c>
      <c r="G8051" s="94" t="inlineStr">
        <is>
          <t>수딩크림 100ml</t>
        </is>
      </c>
      <c r="H8051" s="7" t="n">
        <v>190801</v>
      </c>
      <c r="I8051" s="7" t="n">
        <v>190801</v>
      </c>
      <c r="K8051" s="94" t="n">
        <v>9</v>
      </c>
      <c r="L8051" s="7" t="n">
        <v>190801</v>
      </c>
      <c r="M8051" s="94">
        <f>VLOOKUP($Q8051,매칭테이블!$F:$I,2,0)*K8051</f>
        <v/>
      </c>
      <c r="N8051" s="94">
        <f>M8051-M8051*VLOOKUP($Q8051,매칭테이블!$F:$I,3,0)</f>
        <v/>
      </c>
      <c r="O8051" s="94">
        <f>VLOOKUP($Q8051,매칭테이블!$F:$I,4,0)*K8051</f>
        <v/>
      </c>
      <c r="P8051" s="148">
        <f>M8051/1.1</f>
        <v/>
      </c>
      <c r="Q8051" s="94">
        <f>F8051&amp;E8051&amp;G8051&amp;L8051</f>
        <v/>
      </c>
    </row>
    <row r="8052" customFormat="1" s="94">
      <c r="B8052" s="128" t="n">
        <v>44041</v>
      </c>
      <c r="C8052" s="94">
        <f>TEXT(B8052,"aaa")</f>
        <v/>
      </c>
      <c r="E8052" s="94" t="inlineStr">
        <is>
          <t>앰플</t>
        </is>
      </c>
      <c r="F8052" s="5" t="inlineStr">
        <is>
          <t>아누아 CS</t>
        </is>
      </c>
      <c r="G8052" s="94" t="inlineStr">
        <is>
          <t>앰플 30ml</t>
        </is>
      </c>
      <c r="H8052" s="7" t="n">
        <v>190801</v>
      </c>
      <c r="I8052" s="7" t="n">
        <v>190801</v>
      </c>
      <c r="K8052" s="94" t="n">
        <v>35</v>
      </c>
      <c r="L8052" s="7" t="n">
        <v>190801</v>
      </c>
      <c r="M8052" s="94">
        <f>VLOOKUP($Q8052,매칭테이블!$F:$I,2,0)*K8052</f>
        <v/>
      </c>
      <c r="N8052" s="94">
        <f>M8052-M8052*VLOOKUP($Q8052,매칭테이블!$F:$I,3,0)</f>
        <v/>
      </c>
      <c r="O8052" s="94">
        <f>VLOOKUP($Q8052,매칭테이블!$F:$I,4,0)*K8052</f>
        <v/>
      </c>
      <c r="P8052" s="148">
        <f>M8052/1.1</f>
        <v/>
      </c>
      <c r="Q8052" s="94">
        <f>F8052&amp;E8052&amp;G8052&amp;L8052</f>
        <v/>
      </c>
    </row>
    <row r="8053" customFormat="1" s="94">
      <c r="B8053" s="128" t="n">
        <v>44041</v>
      </c>
      <c r="C8053" s="94">
        <f>TEXT(B8053,"aaa")</f>
        <v/>
      </c>
      <c r="E8053" s="94" t="inlineStr">
        <is>
          <t>마스크팩</t>
        </is>
      </c>
      <c r="F8053" s="5" t="inlineStr">
        <is>
          <t>아누아 CS</t>
        </is>
      </c>
      <c r="G8053" s="94" t="inlineStr">
        <is>
          <t>마스크팩 10매</t>
        </is>
      </c>
      <c r="H8053" s="7" t="n">
        <v>190801</v>
      </c>
      <c r="I8053" s="7" t="n">
        <v>190801</v>
      </c>
      <c r="K8053" s="94" t="n">
        <v>10</v>
      </c>
      <c r="L8053" s="7" t="n">
        <v>190801</v>
      </c>
      <c r="M8053" s="94">
        <f>VLOOKUP($Q8053,매칭테이블!$F:$I,2,0)*K8053</f>
        <v/>
      </c>
      <c r="N8053" s="94">
        <f>M8053-M8053*VLOOKUP($Q8053,매칭테이블!$F:$I,3,0)</f>
        <v/>
      </c>
      <c r="O8053" s="94">
        <f>VLOOKUP($Q8053,매칭테이블!$F:$I,4,0)*K8053</f>
        <v/>
      </c>
      <c r="P8053" s="148">
        <f>M8053/1.1</f>
        <v/>
      </c>
      <c r="Q8053" s="94">
        <f>F8053&amp;E8053&amp;G8053&amp;L8053</f>
        <v/>
      </c>
    </row>
    <row r="8054" customFormat="1" s="94">
      <c r="B8054" s="128" t="n">
        <v>44041</v>
      </c>
      <c r="C8054" s="94">
        <f>TEXT(B8054,"aaa")</f>
        <v/>
      </c>
      <c r="E8054" s="94" t="inlineStr">
        <is>
          <t>선크림</t>
        </is>
      </c>
      <c r="F8054" s="5" t="inlineStr">
        <is>
          <t>아누아 CS</t>
        </is>
      </c>
      <c r="G8054" s="94" t="inlineStr">
        <is>
          <t>선크림 50ml</t>
        </is>
      </c>
      <c r="H8054" s="7" t="n">
        <v>190801</v>
      </c>
      <c r="I8054" s="7" t="n">
        <v>190801</v>
      </c>
      <c r="K8054" s="94" t="n">
        <v>40</v>
      </c>
      <c r="L8054" s="7" t="n">
        <v>190801</v>
      </c>
      <c r="M8054" s="94">
        <f>VLOOKUP($Q8054,매칭테이블!$F:$I,2,0)*K8054</f>
        <v/>
      </c>
      <c r="N8054" s="94">
        <f>M8054-M8054*VLOOKUP($Q8054,매칭테이블!$F:$I,3,0)</f>
        <v/>
      </c>
      <c r="O8054" s="94">
        <f>VLOOKUP($Q8054,매칭테이블!$F:$I,4,0)*K8054</f>
        <v/>
      </c>
      <c r="P8054" s="148">
        <f>M8054/1.1</f>
        <v/>
      </c>
      <c r="Q8054" s="94">
        <f>F8054&amp;E8054&amp;G8054&amp;L8054</f>
        <v/>
      </c>
    </row>
    <row r="8055" customFormat="1" s="94">
      <c r="B8055" s="128" t="n">
        <v>44041</v>
      </c>
      <c r="C8055" s="94">
        <f>TEXT(B8055,"aaa")</f>
        <v/>
      </c>
      <c r="E8055" s="94" t="inlineStr">
        <is>
          <t>수딩크림</t>
        </is>
      </c>
      <c r="F8055" s="5" t="inlineStr">
        <is>
          <t>아누아 CS</t>
        </is>
      </c>
      <c r="G8055" s="94" t="inlineStr">
        <is>
          <t>수딩크림 100ml</t>
        </is>
      </c>
      <c r="H8055" s="7" t="n">
        <v>190801</v>
      </c>
      <c r="I8055" s="7" t="n">
        <v>190801</v>
      </c>
      <c r="K8055" s="94" t="n">
        <v>40</v>
      </c>
      <c r="L8055" s="7" t="n">
        <v>190801</v>
      </c>
      <c r="M8055" s="94">
        <f>VLOOKUP($Q8055,매칭테이블!$F:$I,2,0)*K8055</f>
        <v/>
      </c>
      <c r="N8055" s="94">
        <f>M8055-M8055*VLOOKUP($Q8055,매칭테이블!$F:$I,3,0)</f>
        <v/>
      </c>
      <c r="O8055" s="94">
        <f>VLOOKUP($Q8055,매칭테이블!$F:$I,4,0)*K8055</f>
        <v/>
      </c>
      <c r="P8055" s="148">
        <f>M8055/1.1</f>
        <v/>
      </c>
      <c r="Q8055" s="94">
        <f>F8055&amp;E8055&amp;G8055&amp;L8055</f>
        <v/>
      </c>
    </row>
    <row r="8056" customFormat="1" s="94">
      <c r="B8056" s="128" t="n">
        <v>44041</v>
      </c>
      <c r="C8056" s="94">
        <f>TEXT(B8056,"aaa")</f>
        <v/>
      </c>
      <c r="E8056" s="94" t="inlineStr">
        <is>
          <t>머드크림마스크</t>
        </is>
      </c>
      <c r="F8056" s="5" t="inlineStr">
        <is>
          <t>아누아 CS</t>
        </is>
      </c>
      <c r="G8056" s="94" t="inlineStr">
        <is>
          <t>머드크림마스크 100ml</t>
        </is>
      </c>
      <c r="H8056" s="7" t="n">
        <v>190801</v>
      </c>
      <c r="I8056" s="7" t="n">
        <v>190801</v>
      </c>
      <c r="K8056" s="94" t="n">
        <v>40</v>
      </c>
      <c r="L8056" s="7" t="n">
        <v>190801</v>
      </c>
      <c r="M8056" s="94">
        <f>VLOOKUP($Q8056,매칭테이블!$F:$I,2,0)*K8056</f>
        <v/>
      </c>
      <c r="N8056" s="94">
        <f>M8056-M8056*VLOOKUP($Q8056,매칭테이블!$F:$I,3,0)</f>
        <v/>
      </c>
      <c r="O8056" s="94">
        <f>VLOOKUP($Q8056,매칭테이블!$F:$I,4,0)*K8056</f>
        <v/>
      </c>
      <c r="P8056" s="148">
        <f>M8056/1.1</f>
        <v/>
      </c>
      <c r="Q8056" s="94">
        <f>F8056&amp;E8056&amp;G8056&amp;L8056</f>
        <v/>
      </c>
    </row>
    <row r="8057" customFormat="1" s="94">
      <c r="B8057" s="128" t="n">
        <v>44041</v>
      </c>
      <c r="C8057" s="94">
        <f>TEXT(B8057,"aaa")</f>
        <v/>
      </c>
      <c r="E8057" s="94" t="inlineStr">
        <is>
          <t>토너</t>
        </is>
      </c>
      <c r="F8057" s="5" t="inlineStr">
        <is>
          <t>큐텐재팬</t>
        </is>
      </c>
      <c r="G8057" s="94" t="inlineStr">
        <is>
          <t>200726=250ml</t>
        </is>
      </c>
      <c r="H8057" s="7" t="n">
        <v>190801</v>
      </c>
      <c r="I8057" s="7" t="n">
        <v>190801</v>
      </c>
      <c r="K8057" s="94" t="n">
        <v>4</v>
      </c>
      <c r="L8057" s="7" t="n">
        <v>190801</v>
      </c>
      <c r="M8057" s="94">
        <f>VLOOKUP($Q8057,매칭테이블!$F:$I,2,0)*K8057</f>
        <v/>
      </c>
      <c r="N8057" s="94">
        <f>M8057-M8057*VLOOKUP($Q8057,매칭테이블!$F:$I,3,0)</f>
        <v/>
      </c>
      <c r="O8057" s="94">
        <f>VLOOKUP($Q8057,매칭테이블!$F:$I,4,0)*K8057</f>
        <v/>
      </c>
      <c r="P8057" s="148">
        <f>M8057/1.1</f>
        <v/>
      </c>
      <c r="Q8057" s="94">
        <f>F8057&amp;E8057&amp;G8057&amp;L8057</f>
        <v/>
      </c>
    </row>
    <row r="8058" customFormat="1" s="94">
      <c r="B8058" s="128" t="n">
        <v>44041</v>
      </c>
      <c r="C8058" s="94">
        <f>TEXT(B8058,"aaa")</f>
        <v/>
      </c>
      <c r="E8058" s="94" t="inlineStr">
        <is>
          <t>수딩크림</t>
        </is>
      </c>
      <c r="F8058" s="5" t="inlineStr">
        <is>
          <t>큐텐재팬</t>
        </is>
      </c>
      <c r="G8058" s="94" t="inlineStr">
        <is>
          <t>200726=수딩크림 100ml</t>
        </is>
      </c>
      <c r="H8058" s="7" t="n">
        <v>190801</v>
      </c>
      <c r="I8058" s="7" t="n">
        <v>190801</v>
      </c>
      <c r="K8058" s="94" t="n">
        <v>1</v>
      </c>
      <c r="L8058" s="7" t="n">
        <v>190801</v>
      </c>
      <c r="M8058" s="94">
        <f>VLOOKUP($Q8058,매칭테이블!$F:$I,2,0)*K8058</f>
        <v/>
      </c>
      <c r="N8058" s="94">
        <f>M8058-M8058*VLOOKUP($Q8058,매칭테이블!$F:$I,3,0)</f>
        <v/>
      </c>
      <c r="O8058" s="94">
        <f>VLOOKUP($Q8058,매칭테이블!$F:$I,4,0)*K8058</f>
        <v/>
      </c>
      <c r="P8058" s="148">
        <f>M8058/1.1</f>
        <v/>
      </c>
      <c r="Q8058" s="94">
        <f>F8058&amp;E8058&amp;G8058&amp;L8058</f>
        <v/>
      </c>
    </row>
    <row r="8059" customFormat="1" s="94">
      <c r="B8059" s="128" t="n">
        <v>44041</v>
      </c>
      <c r="C8059" s="94">
        <f>TEXT(B8059,"aaa")</f>
        <v/>
      </c>
      <c r="E8059" s="94" t="inlineStr">
        <is>
          <t>앰플</t>
        </is>
      </c>
      <c r="F8059" s="5" t="inlineStr">
        <is>
          <t>큐텐재팬</t>
        </is>
      </c>
      <c r="G8059" s="94" t="inlineStr">
        <is>
          <t>200726=앰플 30ml</t>
        </is>
      </c>
      <c r="H8059" s="7" t="n">
        <v>190801</v>
      </c>
      <c r="I8059" s="7" t="n">
        <v>190801</v>
      </c>
      <c r="K8059" s="94" t="n">
        <v>1</v>
      </c>
      <c r="L8059" s="7" t="n">
        <v>190801</v>
      </c>
      <c r="M8059" s="94">
        <f>VLOOKUP($Q8059,매칭테이블!$F:$I,2,0)*K8059</f>
        <v/>
      </c>
      <c r="N8059" s="94">
        <f>M8059-M8059*VLOOKUP($Q8059,매칭테이블!$F:$I,3,0)</f>
        <v/>
      </c>
      <c r="O8059" s="94">
        <f>VLOOKUP($Q8059,매칭테이블!$F:$I,4,0)*K8059</f>
        <v/>
      </c>
      <c r="P8059" s="148">
        <f>M8059/1.1</f>
        <v/>
      </c>
      <c r="Q8059" s="94">
        <f>F8059&amp;E8059&amp;G8059&amp;L8059</f>
        <v/>
      </c>
    </row>
    <row r="8060" customFormat="1" s="94">
      <c r="B8060" s="128" t="n">
        <v>44041</v>
      </c>
      <c r="C8060" s="94">
        <f>TEXT(B8060,"aaa")</f>
        <v/>
      </c>
      <c r="E8060" s="94" t="inlineStr">
        <is>
          <t>토너</t>
        </is>
      </c>
      <c r="F8060" s="5" t="inlineStr">
        <is>
          <t>큐텐재팬</t>
        </is>
      </c>
      <c r="G8060" s="94" t="inlineStr">
        <is>
          <t>200726=250ml 2set</t>
        </is>
      </c>
      <c r="H8060" s="7" t="n">
        <v>190801</v>
      </c>
      <c r="I8060" s="7" t="n">
        <v>190801</v>
      </c>
      <c r="K8060" s="94" t="n">
        <v>3</v>
      </c>
      <c r="L8060" s="7" t="n">
        <v>190801</v>
      </c>
      <c r="M8060" s="94">
        <f>VLOOKUP($Q8060,매칭테이블!$F:$I,2,0)*K8060</f>
        <v/>
      </c>
      <c r="N8060" s="94">
        <f>M8060-M8060*VLOOKUP($Q8060,매칭테이블!$F:$I,3,0)</f>
        <v/>
      </c>
      <c r="O8060" s="94">
        <f>VLOOKUP($Q8060,매칭테이블!$F:$I,4,0)*K8060</f>
        <v/>
      </c>
      <c r="P8060" s="148">
        <f>M8060/1.1</f>
        <v/>
      </c>
      <c r="Q8060" s="94">
        <f>F8060&amp;E8060&amp;G8060&amp;L8060</f>
        <v/>
      </c>
    </row>
    <row r="8061" customFormat="1" s="94">
      <c r="B8061" s="128" t="n">
        <v>44041</v>
      </c>
      <c r="C8061" s="94">
        <f>TEXT(B8061,"aaa")</f>
        <v/>
      </c>
      <c r="E8061" s="94" t="inlineStr">
        <is>
          <t>수딩크림</t>
        </is>
      </c>
      <c r="F8061" s="5" t="inlineStr">
        <is>
          <t>쇼피태국</t>
        </is>
      </c>
      <c r="G8061" s="94" t="inlineStr">
        <is>
          <t>200726=수딩크림 100ml</t>
        </is>
      </c>
      <c r="H8061" s="7" t="n">
        <v>190801</v>
      </c>
      <c r="I8061" s="7" t="n">
        <v>190801</v>
      </c>
      <c r="K8061" s="94" t="n">
        <v>1</v>
      </c>
      <c r="L8061" s="7" t="n">
        <v>190801</v>
      </c>
      <c r="M8061" s="94">
        <f>VLOOKUP($Q8061,매칭테이블!$F:$I,2,0)*K8061</f>
        <v/>
      </c>
      <c r="N8061" s="94">
        <f>M8061-M8061*VLOOKUP($Q8061,매칭테이블!$F:$I,3,0)</f>
        <v/>
      </c>
      <c r="O8061" s="94">
        <f>VLOOKUP($Q8061,매칭테이블!$F:$I,4,0)*K8061</f>
        <v/>
      </c>
      <c r="P8061" s="148">
        <f>M8061/1.1</f>
        <v/>
      </c>
      <c r="Q8061" s="94">
        <f>F8061&amp;E8061&amp;G8061&amp;L8061</f>
        <v/>
      </c>
    </row>
    <row r="8062" customFormat="1" s="94">
      <c r="B8062" s="128" t="n">
        <v>44041</v>
      </c>
      <c r="C8062" s="94">
        <f>TEXT(B8062,"aaa")</f>
        <v/>
      </c>
      <c r="E8062" s="94" t="inlineStr">
        <is>
          <t>앰플</t>
        </is>
      </c>
      <c r="F8062" s="5" t="inlineStr">
        <is>
          <t>쇼피태국</t>
        </is>
      </c>
      <c r="G8062" s="94" t="inlineStr">
        <is>
          <t>200726=앰플 30ml</t>
        </is>
      </c>
      <c r="H8062" s="7" t="n">
        <v>190801</v>
      </c>
      <c r="I8062" s="7" t="n">
        <v>190801</v>
      </c>
      <c r="K8062" s="94" t="n">
        <v>1</v>
      </c>
      <c r="L8062" s="7" t="n">
        <v>190801</v>
      </c>
      <c r="M8062" s="94">
        <f>VLOOKUP($Q8062,매칭테이블!$F:$I,2,0)*K8062</f>
        <v/>
      </c>
      <c r="N8062" s="94">
        <f>M8062-M8062*VLOOKUP($Q8062,매칭테이블!$F:$I,3,0)</f>
        <v/>
      </c>
      <c r="O8062" s="94">
        <f>VLOOKUP($Q8062,매칭테이블!$F:$I,4,0)*K8062</f>
        <v/>
      </c>
      <c r="P8062" s="148">
        <f>M8062/1.1</f>
        <v/>
      </c>
      <c r="Q8062" s="94">
        <f>F8062&amp;E8062&amp;G8062&amp;L8062</f>
        <v/>
      </c>
    </row>
    <row r="8063" customFormat="1" s="94">
      <c r="B8063" s="128" t="n">
        <v>44041</v>
      </c>
      <c r="C8063" s="94">
        <f>TEXT(B8063,"aaa")</f>
        <v/>
      </c>
      <c r="E8063" s="94" t="inlineStr">
        <is>
          <t>토너</t>
        </is>
      </c>
      <c r="F8063" s="5" t="inlineStr">
        <is>
          <t>화해</t>
        </is>
      </c>
      <c r="G8063" s="94" t="inlineStr">
        <is>
          <t>250ml</t>
        </is>
      </c>
      <c r="H8063" s="7" t="n">
        <v>190801</v>
      </c>
      <c r="I8063" s="7" t="n">
        <v>190801</v>
      </c>
      <c r="K8063" s="94" t="n">
        <v>5</v>
      </c>
      <c r="L8063" s="7" t="n">
        <v>190801</v>
      </c>
      <c r="M8063" s="94">
        <f>VLOOKUP($Q8063,매칭테이블!$F:$I,2,0)*K8063</f>
        <v/>
      </c>
      <c r="N8063" s="94">
        <f>M8063-M8063*VLOOKUP($Q8063,매칭테이블!$F:$I,3,0)</f>
        <v/>
      </c>
      <c r="O8063" s="94">
        <f>VLOOKUP($Q8063,매칭테이블!$F:$I,4,0)*K8063</f>
        <v/>
      </c>
      <c r="P8063" s="148">
        <f>M8063/1.1</f>
        <v/>
      </c>
      <c r="Q8063" s="94">
        <f>F8063&amp;E8063&amp;G8063&amp;L8063</f>
        <v/>
      </c>
    </row>
    <row r="8064" customFormat="1" s="94">
      <c r="B8064" s="128" t="n">
        <v>44041</v>
      </c>
      <c r="C8064" s="94">
        <f>TEXT(B8064,"aaa")</f>
        <v/>
      </c>
      <c r="E8064" s="94" t="inlineStr">
        <is>
          <t>머드크림마스크</t>
        </is>
      </c>
      <c r="F8064" s="5" t="inlineStr">
        <is>
          <t>화해</t>
        </is>
      </c>
      <c r="G8064" s="94" t="inlineStr">
        <is>
          <t>머드크림마스크 100ml</t>
        </is>
      </c>
      <c r="H8064" s="7" t="n">
        <v>190801</v>
      </c>
      <c r="I8064" s="7" t="n">
        <v>190801</v>
      </c>
      <c r="K8064" s="94" t="n">
        <v>1</v>
      </c>
      <c r="L8064" s="7" t="n">
        <v>190801</v>
      </c>
      <c r="M8064" s="94">
        <f>VLOOKUP($Q8064,매칭테이블!$F:$I,2,0)*K8064</f>
        <v/>
      </c>
      <c r="N8064" s="94">
        <f>M8064-M8064*VLOOKUP($Q8064,매칭테이블!$F:$I,3,0)</f>
        <v/>
      </c>
      <c r="O8064" s="94">
        <f>VLOOKUP($Q8064,매칭테이블!$F:$I,4,0)*K8064</f>
        <v/>
      </c>
      <c r="P8064" s="148">
        <f>M8064/1.1</f>
        <v/>
      </c>
      <c r="Q8064" s="94">
        <f>F8064&amp;E8064&amp;G8064&amp;L8064</f>
        <v/>
      </c>
    </row>
    <row r="8065" customFormat="1" s="94">
      <c r="B8065" s="128" t="n">
        <v>44042</v>
      </c>
      <c r="C8065" s="94">
        <f>TEXT(B8065,"aaa")</f>
        <v/>
      </c>
      <c r="E8065" s="94" t="inlineStr">
        <is>
          <t>토너</t>
        </is>
      </c>
      <c r="F8065" s="5" t="inlineStr">
        <is>
          <t>W컨셉</t>
        </is>
      </c>
      <c r="G8065" s="94" t="inlineStr">
        <is>
          <t>250ml</t>
        </is>
      </c>
      <c r="H8065" s="7" t="n">
        <v>190801</v>
      </c>
      <c r="I8065" s="7" t="n">
        <v>190801</v>
      </c>
      <c r="K8065" s="94" t="n">
        <v>3</v>
      </c>
      <c r="L8065" s="7" t="n">
        <v>190801</v>
      </c>
      <c r="M8065" s="94">
        <f>VLOOKUP($Q8065,매칭테이블!$F:$I,2,0)*K8065</f>
        <v/>
      </c>
      <c r="N8065" s="94">
        <f>M8065-M8065*VLOOKUP($Q8065,매칭테이블!$F:$I,3,0)</f>
        <v/>
      </c>
      <c r="O8065" s="94">
        <f>VLOOKUP($Q8065,매칭테이블!$F:$I,4,0)*K8065</f>
        <v/>
      </c>
      <c r="P8065" s="148">
        <f>M8065/1.1</f>
        <v/>
      </c>
      <c r="Q8065" s="94">
        <f>F8065&amp;E8065&amp;G8065&amp;L8065</f>
        <v/>
      </c>
    </row>
    <row r="8066" customFormat="1" s="94">
      <c r="B8066" s="128" t="n">
        <v>44042</v>
      </c>
      <c r="C8066" s="94">
        <f>TEXT(B8066,"aaa")</f>
        <v/>
      </c>
      <c r="E8066" s="94" t="inlineStr">
        <is>
          <t>토너</t>
        </is>
      </c>
      <c r="F8066" s="5" t="inlineStr">
        <is>
          <t>W컨셉</t>
        </is>
      </c>
      <c r="G8066" s="94" t="inlineStr">
        <is>
          <t>250ml 2set</t>
        </is>
      </c>
      <c r="H8066" s="7" t="n">
        <v>190801</v>
      </c>
      <c r="I8066" s="7" t="n">
        <v>190801</v>
      </c>
      <c r="K8066" s="94" t="n">
        <v>9</v>
      </c>
      <c r="L8066" s="7" t="n">
        <v>190801</v>
      </c>
      <c r="M8066" s="94">
        <f>VLOOKUP($Q8066,매칭테이블!$F:$I,2,0)*K8066</f>
        <v/>
      </c>
      <c r="N8066" s="94">
        <f>M8066-M8066*VLOOKUP($Q8066,매칭테이블!$F:$I,3,0)</f>
        <v/>
      </c>
      <c r="O8066" s="94">
        <f>VLOOKUP($Q8066,매칭테이블!$F:$I,4,0)*K8066</f>
        <v/>
      </c>
      <c r="P8066" s="148">
        <f>M8066/1.1</f>
        <v/>
      </c>
      <c r="Q8066" s="94">
        <f>F8066&amp;E8066&amp;G8066&amp;L8066</f>
        <v/>
      </c>
    </row>
    <row r="8067" customFormat="1" s="94">
      <c r="B8067" s="128" t="n">
        <v>44042</v>
      </c>
      <c r="C8067" s="94">
        <f>TEXT(B8067,"aaa")</f>
        <v/>
      </c>
      <c r="E8067" s="94" t="inlineStr">
        <is>
          <t>수딩크림</t>
        </is>
      </c>
      <c r="F8067" s="5" t="inlineStr">
        <is>
          <t>글로우데이즈 시코르</t>
        </is>
      </c>
      <c r="G8067" s="94" t="inlineStr">
        <is>
          <t>수딩크림=수딩크림 100ml</t>
        </is>
      </c>
      <c r="H8067" s="7" t="n">
        <v>190801</v>
      </c>
      <c r="I8067" s="7" t="n">
        <v>190801</v>
      </c>
      <c r="K8067" s="94" t="n">
        <v>10</v>
      </c>
      <c r="L8067" s="7" t="n">
        <v>190801</v>
      </c>
      <c r="M8067" s="94">
        <f>VLOOKUP($Q8067,매칭테이블!$F:$I,2,0)*K8067</f>
        <v/>
      </c>
      <c r="N8067" s="94">
        <f>M8067-M8067*VLOOKUP($Q8067,매칭테이블!$F:$I,3,0)</f>
        <v/>
      </c>
      <c r="O8067" s="94">
        <f>VLOOKUP($Q8067,매칭테이블!$F:$I,4,0)*K8067</f>
        <v/>
      </c>
      <c r="P8067" s="148">
        <f>M8067/1.1</f>
        <v/>
      </c>
      <c r="Q8067" s="94">
        <f>F8067&amp;E8067&amp;G8067&amp;L8067</f>
        <v/>
      </c>
    </row>
    <row r="8068" customFormat="1" s="94">
      <c r="B8068" s="128" t="n">
        <v>44042</v>
      </c>
      <c r="C8068" s="94">
        <f>TEXT(B8068,"aaa")</f>
        <v/>
      </c>
      <c r="E8068" s="94" t="inlineStr">
        <is>
          <t>마스크팩</t>
        </is>
      </c>
      <c r="F8068" s="5" t="inlineStr">
        <is>
          <t>글로우데이즈 시코르</t>
        </is>
      </c>
      <c r="G8068" s="94" t="inlineStr">
        <is>
          <t>마스크팩=마스크팩 1매</t>
        </is>
      </c>
      <c r="H8068" s="7" t="n">
        <v>190801</v>
      </c>
      <c r="I8068" s="7" t="n">
        <v>190801</v>
      </c>
      <c r="K8068" s="94" t="n">
        <v>10</v>
      </c>
      <c r="L8068" s="7" t="n">
        <v>190801</v>
      </c>
      <c r="M8068" s="94">
        <f>VLOOKUP($Q8068,매칭테이블!$F:$I,2,0)*K8068</f>
        <v/>
      </c>
      <c r="N8068" s="94">
        <f>M8068-M8068*VLOOKUP($Q8068,매칭테이블!$F:$I,3,0)</f>
        <v/>
      </c>
      <c r="O8068" s="94">
        <f>VLOOKUP($Q8068,매칭테이블!$F:$I,4,0)*K8068</f>
        <v/>
      </c>
      <c r="P8068" s="148">
        <f>M8068/1.1</f>
        <v/>
      </c>
      <c r="Q8068" s="94">
        <f>F8068&amp;E8068&amp;G8068&amp;L8068</f>
        <v/>
      </c>
    </row>
    <row r="8069" customFormat="1" s="94">
      <c r="B8069" s="128" t="n">
        <v>44042</v>
      </c>
      <c r="C8069" s="94">
        <f>TEXT(B8069,"aaa")</f>
        <v/>
      </c>
      <c r="E8069" s="94" t="inlineStr">
        <is>
          <t>머드크림마스크</t>
        </is>
      </c>
      <c r="F8069" s="5" t="inlineStr">
        <is>
          <t>글로우데이즈 시코르</t>
        </is>
      </c>
      <c r="G8069" s="94" t="inlineStr">
        <is>
          <t>머드크림마스크=머드크림마스크 100ml</t>
        </is>
      </c>
      <c r="H8069" s="7" t="n">
        <v>190801</v>
      </c>
      <c r="I8069" s="7" t="n">
        <v>190801</v>
      </c>
      <c r="K8069" s="94" t="n">
        <v>20</v>
      </c>
      <c r="L8069" s="7" t="n">
        <v>190801</v>
      </c>
      <c r="M8069" s="94">
        <f>VLOOKUP($Q8069,매칭테이블!$F:$I,2,0)*K8069</f>
        <v/>
      </c>
      <c r="N8069" s="94">
        <f>M8069-M8069*VLOOKUP($Q8069,매칭테이블!$F:$I,3,0)</f>
        <v/>
      </c>
      <c r="O8069" s="94">
        <f>VLOOKUP($Q8069,매칭테이블!$F:$I,4,0)*K8069</f>
        <v/>
      </c>
      <c r="P8069" s="148">
        <f>M8069/1.1</f>
        <v/>
      </c>
      <c r="Q8069" s="94">
        <f>F8069&amp;E8069&amp;G8069&amp;L8069</f>
        <v/>
      </c>
    </row>
    <row r="8070" customFormat="1" s="94">
      <c r="B8070" s="128" t="n">
        <v>44042</v>
      </c>
      <c r="C8070" s="94">
        <f>TEXT(B8070,"aaa")</f>
        <v/>
      </c>
      <c r="E8070" s="94" t="inlineStr">
        <is>
          <t>토너</t>
        </is>
      </c>
      <c r="F8070" s="5" t="inlineStr">
        <is>
          <t>스타일쉐어</t>
        </is>
      </c>
      <c r="G8070" s="94" t="inlineStr">
        <is>
          <t>250ml</t>
        </is>
      </c>
      <c r="H8070" s="7" t="n">
        <v>190801</v>
      </c>
      <c r="I8070" s="7" t="n">
        <v>190801</v>
      </c>
      <c r="K8070" s="94" t="n">
        <v>9</v>
      </c>
      <c r="L8070" s="7" t="n">
        <v>190801</v>
      </c>
      <c r="M8070" s="94">
        <f>VLOOKUP($Q8070,매칭테이블!$F:$I,2,0)*K8070</f>
        <v/>
      </c>
      <c r="N8070" s="94">
        <f>M8070-M8070*VLOOKUP($Q8070,매칭테이블!$F:$I,3,0)</f>
        <v/>
      </c>
      <c r="O8070" s="94">
        <f>VLOOKUP($Q8070,매칭테이블!$F:$I,4,0)*K8070</f>
        <v/>
      </c>
      <c r="P8070" s="148">
        <f>M8070/1.1</f>
        <v/>
      </c>
      <c r="Q8070" s="94">
        <f>F8070&amp;E8070&amp;G8070&amp;L8070</f>
        <v/>
      </c>
    </row>
    <row r="8071" customFormat="1" s="94">
      <c r="B8071" s="128" t="n">
        <v>44042</v>
      </c>
      <c r="C8071" s="94">
        <f>TEXT(B8071,"aaa")</f>
        <v/>
      </c>
      <c r="E8071" s="94" t="inlineStr">
        <is>
          <t>선크림</t>
        </is>
      </c>
      <c r="F8071" s="5" t="inlineStr">
        <is>
          <t>카페24</t>
        </is>
      </c>
      <c r="G8071" s="94" t="inlineStr">
        <is>
          <t>선크림 50ml</t>
        </is>
      </c>
      <c r="H8071" s="7" t="n">
        <v>190801</v>
      </c>
      <c r="I8071" s="7" t="n">
        <v>190801</v>
      </c>
      <c r="K8071" s="94" t="n">
        <v>1</v>
      </c>
      <c r="L8071" s="7" t="n">
        <v>190801</v>
      </c>
      <c r="M8071" s="94">
        <f>VLOOKUP($Q8071,매칭테이블!$F:$I,2,0)*K8071</f>
        <v/>
      </c>
      <c r="N8071" s="94">
        <f>M8071-M8071*VLOOKUP($Q8071,매칭테이블!$F:$I,3,0)</f>
        <v/>
      </c>
      <c r="O8071" s="94">
        <f>VLOOKUP($Q8071,매칭테이블!$F:$I,4,0)*K8071</f>
        <v/>
      </c>
      <c r="P8071" s="148">
        <f>M8071/1.1</f>
        <v/>
      </c>
      <c r="Q8071" s="94">
        <f>F8071&amp;E8071&amp;G8071&amp;L8071</f>
        <v/>
      </c>
    </row>
    <row r="8072" customFormat="1" s="94">
      <c r="B8072" s="128" t="n">
        <v>44042</v>
      </c>
      <c r="C8072" s="94">
        <f>TEXT(B8072,"aaa")</f>
        <v/>
      </c>
      <c r="E8072" s="94" t="inlineStr">
        <is>
          <t>선크림</t>
        </is>
      </c>
      <c r="F8072" s="5" t="inlineStr">
        <is>
          <t>카페24</t>
        </is>
      </c>
      <c r="G8072" s="94" t="inlineStr">
        <is>
          <t>선크림 50ml  2set</t>
        </is>
      </c>
      <c r="H8072" s="7" t="n">
        <v>190801</v>
      </c>
      <c r="I8072" s="7" t="n">
        <v>190801</v>
      </c>
      <c r="K8072" s="94" t="n">
        <v>3</v>
      </c>
      <c r="L8072" s="7" t="n">
        <v>190801</v>
      </c>
      <c r="M8072" s="94">
        <f>VLOOKUP($Q8072,매칭테이블!$F:$I,2,0)*K8072</f>
        <v/>
      </c>
      <c r="N8072" s="94">
        <f>M8072-M8072*VLOOKUP($Q8072,매칭테이블!$F:$I,3,0)</f>
        <v/>
      </c>
      <c r="O8072" s="94">
        <f>VLOOKUP($Q8072,매칭테이블!$F:$I,4,0)*K8072</f>
        <v/>
      </c>
      <c r="P8072" s="148">
        <f>M8072/1.1</f>
        <v/>
      </c>
      <c r="Q8072" s="94">
        <f>F8072&amp;E8072&amp;G8072&amp;L8072</f>
        <v/>
      </c>
    </row>
    <row r="8073" customFormat="1" s="94">
      <c r="B8073" s="128" t="n">
        <v>44042</v>
      </c>
      <c r="C8073" s="94">
        <f>TEXT(B8073,"aaa")</f>
        <v/>
      </c>
      <c r="E8073" s="94" t="inlineStr">
        <is>
          <t>여름 한정 진정세트</t>
        </is>
      </c>
      <c r="F8073" s="5" t="inlineStr">
        <is>
          <t>카페24</t>
        </is>
      </c>
      <c r="G8073" s="94" t="inlineStr">
        <is>
          <t>여름 한정 진정세트</t>
        </is>
      </c>
      <c r="H8073" s="7" t="n">
        <v>190801</v>
      </c>
      <c r="I8073" s="7" t="n">
        <v>190801</v>
      </c>
      <c r="K8073" s="94" t="n">
        <v>6</v>
      </c>
      <c r="L8073" s="7" t="n">
        <v>190801</v>
      </c>
      <c r="M8073" s="94">
        <f>VLOOKUP($Q8073,매칭테이블!$F:$I,2,0)*K8073</f>
        <v/>
      </c>
      <c r="N8073" s="94">
        <f>M8073-M8073*VLOOKUP($Q8073,매칭테이블!$F:$I,3,0)</f>
        <v/>
      </c>
      <c r="O8073" s="94">
        <f>VLOOKUP($Q8073,매칭테이블!$F:$I,4,0)*K8073</f>
        <v/>
      </c>
      <c r="P8073" s="148">
        <f>M8073/1.1</f>
        <v/>
      </c>
      <c r="Q8073" s="94">
        <f>F8073&amp;E8073&amp;G8073&amp;L8073</f>
        <v/>
      </c>
    </row>
    <row r="8074" customFormat="1" s="94">
      <c r="B8074" s="128" t="n">
        <v>44042</v>
      </c>
      <c r="C8074" s="94">
        <f>TEXT(B8074,"aaa")</f>
        <v/>
      </c>
      <c r="E8074" s="94" t="inlineStr">
        <is>
          <t>여름 한정 진정세트</t>
        </is>
      </c>
      <c r="F8074" s="5" t="inlineStr">
        <is>
          <t>카페24</t>
        </is>
      </c>
      <c r="G8074" s="94" t="inlineStr">
        <is>
          <t>여름 한정 진정세트 (대용량)</t>
        </is>
      </c>
      <c r="H8074" s="7" t="n">
        <v>190801</v>
      </c>
      <c r="I8074" s="7" t="n">
        <v>190801</v>
      </c>
      <c r="K8074" s="94" t="n">
        <v>4</v>
      </c>
      <c r="L8074" s="7" t="n">
        <v>190801</v>
      </c>
      <c r="M8074" s="94">
        <f>VLOOKUP($Q8074,매칭테이블!$F:$I,2,0)*K8074</f>
        <v/>
      </c>
      <c r="N8074" s="94">
        <f>M8074-M8074*VLOOKUP($Q8074,매칭테이블!$F:$I,3,0)</f>
        <v/>
      </c>
      <c r="O8074" s="94">
        <f>VLOOKUP($Q8074,매칭테이블!$F:$I,4,0)*K8074</f>
        <v/>
      </c>
      <c r="P8074" s="148">
        <f>M8074/1.1</f>
        <v/>
      </c>
      <c r="Q8074" s="94">
        <f>F8074&amp;E8074&amp;G8074&amp;L8074</f>
        <v/>
      </c>
    </row>
    <row r="8075" customFormat="1" s="94">
      <c r="B8075" s="128" t="n">
        <v>44042</v>
      </c>
      <c r="C8075" s="94">
        <f>TEXT(B8075,"aaa")</f>
        <v/>
      </c>
      <c r="E8075" s="94" t="inlineStr">
        <is>
          <t>어성초진정패키지</t>
        </is>
      </c>
      <c r="F8075" s="5" t="inlineStr">
        <is>
          <t>카페24</t>
        </is>
      </c>
      <c r="G8075" s="94" t="inlineStr">
        <is>
          <t>어성초 진정패키지세트</t>
        </is>
      </c>
      <c r="H8075" s="7" t="n">
        <v>190801</v>
      </c>
      <c r="I8075" s="7" t="n">
        <v>190801</v>
      </c>
      <c r="K8075" s="94" t="n">
        <v>3</v>
      </c>
      <c r="L8075" s="7" t="n">
        <v>190801</v>
      </c>
      <c r="M8075" s="94">
        <f>VLOOKUP($Q8075,매칭테이블!$F:$I,2,0)*K8075</f>
        <v/>
      </c>
      <c r="N8075" s="94">
        <f>M8075-M8075*VLOOKUP($Q8075,매칭테이블!$F:$I,3,0)</f>
        <v/>
      </c>
      <c r="O8075" s="94">
        <f>VLOOKUP($Q8075,매칭테이블!$F:$I,4,0)*K8075</f>
        <v/>
      </c>
      <c r="P8075" s="148">
        <f>M8075/1.1</f>
        <v/>
      </c>
      <c r="Q8075" s="94">
        <f>F8075&amp;E8075&amp;G8075&amp;L8075</f>
        <v/>
      </c>
    </row>
    <row r="8076" customFormat="1" s="94">
      <c r="B8076" s="128" t="n">
        <v>44042</v>
      </c>
      <c r="C8076" s="94">
        <f>TEXT(B8076,"aaa")</f>
        <v/>
      </c>
      <c r="E8076" s="94" t="inlineStr">
        <is>
          <t>머드크림마스크</t>
        </is>
      </c>
      <c r="F8076" s="5" t="inlineStr">
        <is>
          <t>카페24</t>
        </is>
      </c>
      <c r="G8076" s="94" t="inlineStr">
        <is>
          <t>머드크림마스크 100ml</t>
        </is>
      </c>
      <c r="H8076" s="7" t="n">
        <v>190801</v>
      </c>
      <c r="I8076" s="7" t="n">
        <v>190801</v>
      </c>
      <c r="K8076" s="94" t="n">
        <v>2</v>
      </c>
      <c r="L8076" s="7" t="n">
        <v>190801</v>
      </c>
      <c r="M8076" s="94">
        <f>VLOOKUP($Q8076,매칭테이블!$F:$I,2,0)*K8076</f>
        <v/>
      </c>
      <c r="N8076" s="94">
        <f>M8076-M8076*VLOOKUP($Q8076,매칭테이블!$F:$I,3,0)</f>
        <v/>
      </c>
      <c r="O8076" s="94">
        <f>VLOOKUP($Q8076,매칭테이블!$F:$I,4,0)*K8076</f>
        <v/>
      </c>
      <c r="P8076" s="148">
        <f>M8076/1.1</f>
        <v/>
      </c>
      <c r="Q8076" s="94">
        <f>F8076&amp;E8076&amp;G8076&amp;L8076</f>
        <v/>
      </c>
    </row>
    <row r="8077" customFormat="1" s="94">
      <c r="B8077" s="128" t="n">
        <v>44042</v>
      </c>
      <c r="C8077" s="94">
        <f>TEXT(B8077,"aaa")</f>
        <v/>
      </c>
      <c r="E8077" s="94" t="inlineStr">
        <is>
          <t>머드크림마스크</t>
        </is>
      </c>
      <c r="F8077" s="5" t="inlineStr">
        <is>
          <t>카페24</t>
        </is>
      </c>
      <c r="G8077" s="94" t="inlineStr">
        <is>
          <t>머드크림마스크 100ml 2set</t>
        </is>
      </c>
      <c r="H8077" s="7" t="n">
        <v>190801</v>
      </c>
      <c r="I8077" s="7" t="n">
        <v>190801</v>
      </c>
      <c r="K8077" s="94" t="n">
        <v>1</v>
      </c>
      <c r="L8077" s="7" t="n">
        <v>190801</v>
      </c>
      <c r="M8077" s="94">
        <f>VLOOKUP($Q8077,매칭테이블!$F:$I,2,0)*K8077</f>
        <v/>
      </c>
      <c r="N8077" s="94">
        <f>M8077-M8077*VLOOKUP($Q8077,매칭테이블!$F:$I,3,0)</f>
        <v/>
      </c>
      <c r="O8077" s="94">
        <f>VLOOKUP($Q8077,매칭테이블!$F:$I,4,0)*K8077</f>
        <v/>
      </c>
      <c r="P8077" s="148">
        <f>M8077/1.1</f>
        <v/>
      </c>
      <c r="Q8077" s="94">
        <f>F8077&amp;E8077&amp;G8077&amp;L8077</f>
        <v/>
      </c>
    </row>
    <row r="8078" customFormat="1" s="94">
      <c r="B8078" s="128" t="n">
        <v>44042</v>
      </c>
      <c r="C8078" s="94">
        <f>TEXT(B8078,"aaa")</f>
        <v/>
      </c>
      <c r="E8078" s="94" t="inlineStr">
        <is>
          <t>마스크팩</t>
        </is>
      </c>
      <c r="F8078" s="5" t="inlineStr">
        <is>
          <t>카페24</t>
        </is>
      </c>
      <c r="G8078" s="94" t="inlineStr">
        <is>
          <t>마스크팩 1매</t>
        </is>
      </c>
      <c r="H8078" s="7" t="n">
        <v>190801</v>
      </c>
      <c r="I8078" s="7" t="n">
        <v>190801</v>
      </c>
      <c r="K8078" s="94" t="n">
        <v>1</v>
      </c>
      <c r="L8078" s="7" t="n">
        <v>190801</v>
      </c>
      <c r="M8078" s="94">
        <f>VLOOKUP($Q8078,매칭테이블!$F:$I,2,0)*K8078</f>
        <v/>
      </c>
      <c r="N8078" s="94">
        <f>M8078-M8078*VLOOKUP($Q8078,매칭테이블!$F:$I,3,0)</f>
        <v/>
      </c>
      <c r="O8078" s="94">
        <f>VLOOKUP($Q8078,매칭테이블!$F:$I,4,0)*K8078</f>
        <v/>
      </c>
      <c r="P8078" s="148">
        <f>M8078/1.1</f>
        <v/>
      </c>
      <c r="Q8078" s="94">
        <f>F8078&amp;E8078&amp;G8078&amp;L8078</f>
        <v/>
      </c>
    </row>
    <row r="8079" customFormat="1" s="94">
      <c r="B8079" s="128" t="n">
        <v>44042</v>
      </c>
      <c r="C8079" s="94">
        <f>TEXT(B8079,"aaa")</f>
        <v/>
      </c>
      <c r="E8079" s="94" t="inlineStr">
        <is>
          <t>마스크팩</t>
        </is>
      </c>
      <c r="F8079" s="5" t="inlineStr">
        <is>
          <t>카페24</t>
        </is>
      </c>
      <c r="G8079" s="94" t="inlineStr">
        <is>
          <t>마스크팩 10매</t>
        </is>
      </c>
      <c r="H8079" s="7" t="n">
        <v>190801</v>
      </c>
      <c r="I8079" s="7" t="n">
        <v>190801</v>
      </c>
      <c r="K8079" s="94" t="n">
        <v>1</v>
      </c>
      <c r="L8079" s="7" t="n">
        <v>190801</v>
      </c>
      <c r="M8079" s="94">
        <f>VLOOKUP($Q8079,매칭테이블!$F:$I,2,0)*K8079</f>
        <v/>
      </c>
      <c r="N8079" s="94">
        <f>M8079-M8079*VLOOKUP($Q8079,매칭테이블!$F:$I,3,0)</f>
        <v/>
      </c>
      <c r="O8079" s="94">
        <f>VLOOKUP($Q8079,매칭테이블!$F:$I,4,0)*K8079</f>
        <v/>
      </c>
      <c r="P8079" s="148">
        <f>M8079/1.1</f>
        <v/>
      </c>
      <c r="Q8079" s="94">
        <f>F8079&amp;E8079&amp;G8079&amp;L8079</f>
        <v/>
      </c>
    </row>
    <row r="8080" customFormat="1" s="94">
      <c r="B8080" s="128" t="n">
        <v>44042</v>
      </c>
      <c r="C8080" s="94">
        <f>TEXT(B8080,"aaa")</f>
        <v/>
      </c>
      <c r="E8080" s="94" t="inlineStr">
        <is>
          <t>토너</t>
        </is>
      </c>
      <c r="F8080" s="5" t="inlineStr">
        <is>
          <t>카페24</t>
        </is>
      </c>
      <c r="G8080" s="94" t="inlineStr">
        <is>
          <t>250ml</t>
        </is>
      </c>
      <c r="H8080" s="7" t="n">
        <v>190801</v>
      </c>
      <c r="I8080" s="7" t="n">
        <v>190801</v>
      </c>
      <c r="K8080" s="94" t="n">
        <v>85</v>
      </c>
      <c r="L8080" s="7" t="n">
        <v>190801</v>
      </c>
      <c r="M8080" s="94">
        <f>VLOOKUP($Q8080,매칭테이블!$F:$I,2,0)*K8080</f>
        <v/>
      </c>
      <c r="N8080" s="94">
        <f>M8080-M8080*VLOOKUP($Q8080,매칭테이블!$F:$I,3,0)</f>
        <v/>
      </c>
      <c r="O8080" s="94">
        <f>VLOOKUP($Q8080,매칭테이블!$F:$I,4,0)*K8080</f>
        <v/>
      </c>
      <c r="P8080" s="148">
        <f>M8080/1.1</f>
        <v/>
      </c>
      <c r="Q8080" s="94">
        <f>F8080&amp;E8080&amp;G8080&amp;L8080</f>
        <v/>
      </c>
    </row>
    <row r="8081" customFormat="1" s="94">
      <c r="B8081" s="128" t="n">
        <v>44042</v>
      </c>
      <c r="C8081" s="94">
        <f>TEXT(B8081,"aaa")</f>
        <v/>
      </c>
      <c r="E8081" s="94" t="inlineStr">
        <is>
          <t>토너</t>
        </is>
      </c>
      <c r="F8081" s="5" t="inlineStr">
        <is>
          <t>카페24</t>
        </is>
      </c>
      <c r="G8081" s="94" t="inlineStr">
        <is>
          <t>250ml 2set</t>
        </is>
      </c>
      <c r="H8081" s="7" t="n">
        <v>190801</v>
      </c>
      <c r="I8081" s="7" t="n">
        <v>190801</v>
      </c>
      <c r="K8081" s="94" t="n">
        <v>94</v>
      </c>
      <c r="L8081" s="7" t="n">
        <v>190801</v>
      </c>
      <c r="M8081" s="94">
        <f>VLOOKUP($Q8081,매칭테이블!$F:$I,2,0)*K8081</f>
        <v/>
      </c>
      <c r="N8081" s="94">
        <f>M8081-M8081*VLOOKUP($Q8081,매칭테이블!$F:$I,3,0)</f>
        <v/>
      </c>
      <c r="O8081" s="94">
        <f>VLOOKUP($Q8081,매칭테이블!$F:$I,4,0)*K8081</f>
        <v/>
      </c>
      <c r="P8081" s="148">
        <f>M8081/1.1</f>
        <v/>
      </c>
      <c r="Q8081" s="94">
        <f>F8081&amp;E8081&amp;G8081&amp;L8081</f>
        <v/>
      </c>
    </row>
    <row r="8082" customFormat="1" s="94">
      <c r="B8082" s="128" t="n">
        <v>44042</v>
      </c>
      <c r="C8082" s="94">
        <f>TEXT(B8082,"aaa")</f>
        <v/>
      </c>
      <c r="E8082" s="94" t="inlineStr">
        <is>
          <t>토너</t>
        </is>
      </c>
      <c r="F8082" s="5" t="inlineStr">
        <is>
          <t>카페24</t>
        </is>
      </c>
      <c r="G8082" s="94" t="inlineStr">
        <is>
          <t>500ml</t>
        </is>
      </c>
      <c r="H8082" s="7" t="n">
        <v>190801</v>
      </c>
      <c r="I8082" s="7" t="n">
        <v>190801</v>
      </c>
      <c r="K8082" s="94" t="n">
        <v>51</v>
      </c>
      <c r="L8082" s="7" t="n">
        <v>190801</v>
      </c>
      <c r="M8082" s="94">
        <f>VLOOKUP($Q8082,매칭테이블!$F:$I,2,0)*K8082</f>
        <v/>
      </c>
      <c r="N8082" s="94">
        <f>M8082-M8082*VLOOKUP($Q8082,매칭테이블!$F:$I,3,0)</f>
        <v/>
      </c>
      <c r="O8082" s="94">
        <f>VLOOKUP($Q8082,매칭테이블!$F:$I,4,0)*K8082</f>
        <v/>
      </c>
      <c r="P8082" s="148">
        <f>M8082/1.1</f>
        <v/>
      </c>
      <c r="Q8082" s="94">
        <f>F8082&amp;E8082&amp;G8082&amp;L8082</f>
        <v/>
      </c>
    </row>
    <row r="8083" customFormat="1" s="94">
      <c r="B8083" s="128" t="n">
        <v>44042</v>
      </c>
      <c r="C8083" s="94">
        <f>TEXT(B8083,"aaa")</f>
        <v/>
      </c>
      <c r="E8083" s="94" t="inlineStr">
        <is>
          <t>토너</t>
        </is>
      </c>
      <c r="F8083" s="5" t="inlineStr">
        <is>
          <t>카페24</t>
        </is>
      </c>
      <c r="G8083" s="94" t="inlineStr">
        <is>
          <t>스킨팩 화장솜 60P</t>
        </is>
      </c>
      <c r="H8083" s="7" t="n">
        <v>190801</v>
      </c>
      <c r="I8083" s="7" t="n">
        <v>190801</v>
      </c>
      <c r="K8083" s="94" t="n">
        <v>102</v>
      </c>
      <c r="L8083" s="7" t="n">
        <v>190801</v>
      </c>
      <c r="M8083" s="94">
        <f>VLOOKUP($Q8083,매칭테이블!$F:$I,2,0)*K8083</f>
        <v/>
      </c>
      <c r="N8083" s="94">
        <f>M8083-M8083*VLOOKUP($Q8083,매칭테이블!$F:$I,3,0)</f>
        <v/>
      </c>
      <c r="O8083" s="94">
        <f>VLOOKUP($Q8083,매칭테이블!$F:$I,4,0)*K8083</f>
        <v/>
      </c>
      <c r="P8083" s="148">
        <f>M8083/1.1</f>
        <v/>
      </c>
      <c r="Q8083" s="94">
        <f>F8083&amp;E8083&amp;G8083&amp;L8083</f>
        <v/>
      </c>
    </row>
    <row r="8084" customFormat="1" s="94">
      <c r="B8084" s="128" t="n">
        <v>44042</v>
      </c>
      <c r="C8084" s="94">
        <f>TEXT(B8084,"aaa")</f>
        <v/>
      </c>
      <c r="E8084" s="94" t="inlineStr">
        <is>
          <t>앰플</t>
        </is>
      </c>
      <c r="F8084" s="5" t="inlineStr">
        <is>
          <t>카페24</t>
        </is>
      </c>
      <c r="G8084" s="94" t="inlineStr">
        <is>
          <t>앰플 30ml</t>
        </is>
      </c>
      <c r="H8084" s="7" t="n">
        <v>190801</v>
      </c>
      <c r="I8084" s="7" t="n">
        <v>190801</v>
      </c>
      <c r="K8084" s="94" t="n">
        <v>20</v>
      </c>
      <c r="L8084" s="7" t="n">
        <v>190801</v>
      </c>
      <c r="M8084" s="94">
        <f>VLOOKUP($Q8084,매칭테이블!$F:$I,2,0)*K8084</f>
        <v/>
      </c>
      <c r="N8084" s="94">
        <f>M8084-M8084*VLOOKUP($Q8084,매칭테이블!$F:$I,3,0)</f>
        <v/>
      </c>
      <c r="O8084" s="94">
        <f>VLOOKUP($Q8084,매칭테이블!$F:$I,4,0)*K8084</f>
        <v/>
      </c>
      <c r="P8084" s="148">
        <f>M8084/1.1</f>
        <v/>
      </c>
      <c r="Q8084" s="94">
        <f>F8084&amp;E8084&amp;G8084&amp;L8084</f>
        <v/>
      </c>
    </row>
    <row r="8085" customFormat="1" s="94">
      <c r="B8085" s="128" t="n">
        <v>44042</v>
      </c>
      <c r="C8085" s="94">
        <f>TEXT(B8085,"aaa")</f>
        <v/>
      </c>
      <c r="E8085" s="94" t="inlineStr">
        <is>
          <t>수딩크림</t>
        </is>
      </c>
      <c r="F8085" s="5" t="inlineStr">
        <is>
          <t>카페24</t>
        </is>
      </c>
      <c r="G8085" s="94" t="inlineStr">
        <is>
          <t>수딩크림 100ml</t>
        </is>
      </c>
      <c r="H8085" s="7" t="n">
        <v>190801</v>
      </c>
      <c r="I8085" s="7" t="n">
        <v>190801</v>
      </c>
      <c r="K8085" s="94" t="n">
        <v>10</v>
      </c>
      <c r="L8085" s="7" t="n">
        <v>190801</v>
      </c>
      <c r="M8085" s="94">
        <f>VLOOKUP($Q8085,매칭테이블!$F:$I,2,0)*K8085</f>
        <v/>
      </c>
      <c r="N8085" s="94">
        <f>M8085-M8085*VLOOKUP($Q8085,매칭테이블!$F:$I,3,0)</f>
        <v/>
      </c>
      <c r="O8085" s="94">
        <f>VLOOKUP($Q8085,매칭테이블!$F:$I,4,0)*K8085</f>
        <v/>
      </c>
      <c r="P8085" s="148">
        <f>M8085/1.1</f>
        <v/>
      </c>
      <c r="Q8085" s="94">
        <f>F8085&amp;E8085&amp;G8085&amp;L8085</f>
        <v/>
      </c>
    </row>
    <row r="8086" customFormat="1" s="94">
      <c r="B8086" s="128" t="n">
        <v>44042</v>
      </c>
      <c r="C8086" s="94">
        <f>TEXT(B8086,"aaa")</f>
        <v/>
      </c>
      <c r="E8086" s="94" t="inlineStr">
        <is>
          <t>토너</t>
        </is>
      </c>
      <c r="F8086" s="5" t="inlineStr">
        <is>
          <t>큐텐재팬</t>
        </is>
      </c>
      <c r="G8086" s="94" t="inlineStr">
        <is>
          <t>200726=250ml</t>
        </is>
      </c>
      <c r="H8086" s="7" t="n">
        <v>190801</v>
      </c>
      <c r="I8086" s="7" t="n">
        <v>190801</v>
      </c>
      <c r="K8086" s="94" t="n">
        <v>15</v>
      </c>
      <c r="L8086" s="7" t="n">
        <v>190801</v>
      </c>
      <c r="M8086" s="94">
        <f>VLOOKUP($Q8086,매칭테이블!$F:$I,2,0)*K8086</f>
        <v/>
      </c>
      <c r="N8086" s="94">
        <f>M8086-M8086*VLOOKUP($Q8086,매칭테이블!$F:$I,3,0)</f>
        <v/>
      </c>
      <c r="O8086" s="94">
        <f>VLOOKUP($Q8086,매칭테이블!$F:$I,4,0)*K8086</f>
        <v/>
      </c>
      <c r="P8086" s="148">
        <f>M8086/1.1</f>
        <v/>
      </c>
      <c r="Q8086" s="94">
        <f>F8086&amp;E8086&amp;G8086&amp;L8086</f>
        <v/>
      </c>
    </row>
    <row r="8087" customFormat="1" s="94">
      <c r="B8087" s="128" t="n">
        <v>44042</v>
      </c>
      <c r="C8087" s="94">
        <f>TEXT(B8087,"aaa")</f>
        <v/>
      </c>
      <c r="E8087" s="94" t="inlineStr">
        <is>
          <t>앰플</t>
        </is>
      </c>
      <c r="F8087" s="5" t="inlineStr">
        <is>
          <t>큐텐재팬</t>
        </is>
      </c>
      <c r="G8087" s="94" t="inlineStr">
        <is>
          <t>200726=앰플 30ml</t>
        </is>
      </c>
      <c r="H8087" s="7" t="n">
        <v>190801</v>
      </c>
      <c r="I8087" s="7" t="n">
        <v>190801</v>
      </c>
      <c r="K8087" s="94" t="n">
        <v>5</v>
      </c>
      <c r="L8087" s="7" t="n">
        <v>190801</v>
      </c>
      <c r="M8087" s="94">
        <f>VLOOKUP($Q8087,매칭테이블!$F:$I,2,0)*K8087</f>
        <v/>
      </c>
      <c r="N8087" s="94">
        <f>M8087-M8087*VLOOKUP($Q8087,매칭테이블!$F:$I,3,0)</f>
        <v/>
      </c>
      <c r="O8087" s="94">
        <f>VLOOKUP($Q8087,매칭테이블!$F:$I,4,0)*K8087</f>
        <v/>
      </c>
      <c r="P8087" s="148">
        <f>M8087/1.1</f>
        <v/>
      </c>
      <c r="Q8087" s="94">
        <f>F8087&amp;E8087&amp;G8087&amp;L8087</f>
        <v/>
      </c>
    </row>
    <row r="8088" customFormat="1" s="94">
      <c r="B8088" s="128" t="n">
        <v>44042</v>
      </c>
      <c r="C8088" s="94">
        <f>TEXT(B8088,"aaa")</f>
        <v/>
      </c>
      <c r="E8088" s="94" t="inlineStr">
        <is>
          <t>토너</t>
        </is>
      </c>
      <c r="F8088" s="5" t="inlineStr">
        <is>
          <t>큐텐재팬</t>
        </is>
      </c>
      <c r="G8088" s="94" t="inlineStr">
        <is>
          <t>200726=250ml 2set</t>
        </is>
      </c>
      <c r="H8088" s="7" t="n">
        <v>190801</v>
      </c>
      <c r="I8088" s="7" t="n">
        <v>190801</v>
      </c>
      <c r="K8088" s="94" t="n">
        <v>2</v>
      </c>
      <c r="L8088" s="7" t="n">
        <v>190801</v>
      </c>
      <c r="M8088" s="94">
        <f>VLOOKUP($Q8088,매칭테이블!$F:$I,2,0)*K8088</f>
        <v/>
      </c>
      <c r="N8088" s="94">
        <f>M8088-M8088*VLOOKUP($Q8088,매칭테이블!$F:$I,3,0)</f>
        <v/>
      </c>
      <c r="O8088" s="94">
        <f>VLOOKUP($Q8088,매칭테이블!$F:$I,4,0)*K8088</f>
        <v/>
      </c>
      <c r="P8088" s="148">
        <f>M8088/1.1</f>
        <v/>
      </c>
      <c r="Q8088" s="94">
        <f>F8088&amp;E8088&amp;G8088&amp;L8088</f>
        <v/>
      </c>
    </row>
    <row r="8089" customFormat="1" s="94">
      <c r="B8089" s="128" t="n">
        <v>44042</v>
      </c>
      <c r="C8089" s="94">
        <f>TEXT(B8089,"aaa")</f>
        <v/>
      </c>
      <c r="E8089" s="94" t="inlineStr">
        <is>
          <t>토너</t>
        </is>
      </c>
      <c r="F8089" s="5" t="inlineStr">
        <is>
          <t>쇼피태국</t>
        </is>
      </c>
      <c r="G8089" s="94" t="inlineStr">
        <is>
          <t>200726=500ml</t>
        </is>
      </c>
      <c r="H8089" s="7" t="n">
        <v>190801</v>
      </c>
      <c r="I8089" s="7" t="n">
        <v>190801</v>
      </c>
      <c r="K8089" s="94" t="n">
        <v>1</v>
      </c>
      <c r="L8089" s="7" t="n">
        <v>190801</v>
      </c>
      <c r="M8089" s="94">
        <f>VLOOKUP($Q8089,매칭테이블!$F:$I,2,0)*K8089</f>
        <v/>
      </c>
      <c r="N8089" s="94">
        <f>M8089-M8089*VLOOKUP($Q8089,매칭테이블!$F:$I,3,0)</f>
        <v/>
      </c>
      <c r="O8089" s="94">
        <f>VLOOKUP($Q8089,매칭테이블!$F:$I,4,0)*K8089</f>
        <v/>
      </c>
      <c r="P8089" s="148">
        <f>M8089/1.1</f>
        <v/>
      </c>
      <c r="Q8089" s="94">
        <f>F8089&amp;E8089&amp;G8089&amp;L8089</f>
        <v/>
      </c>
    </row>
    <row r="8090" customFormat="1" s="94">
      <c r="B8090" s="128" t="n">
        <v>44042</v>
      </c>
      <c r="C8090" s="94">
        <f>TEXT(B8090,"aaa")</f>
        <v/>
      </c>
      <c r="E8090" s="94" t="inlineStr">
        <is>
          <t>앰플</t>
        </is>
      </c>
      <c r="F8090" s="5" t="inlineStr">
        <is>
          <t>쇼피태국</t>
        </is>
      </c>
      <c r="G8090" s="94" t="inlineStr">
        <is>
          <t>200726=앰플 30ml</t>
        </is>
      </c>
      <c r="H8090" s="7" t="n">
        <v>190801</v>
      </c>
      <c r="I8090" s="7" t="n">
        <v>190801</v>
      </c>
      <c r="K8090" s="94" t="n">
        <v>4</v>
      </c>
      <c r="L8090" s="7" t="n">
        <v>190801</v>
      </c>
      <c r="M8090" s="94">
        <f>VLOOKUP($Q8090,매칭테이블!$F:$I,2,0)*K8090</f>
        <v/>
      </c>
      <c r="N8090" s="94">
        <f>M8090-M8090*VLOOKUP($Q8090,매칭테이블!$F:$I,3,0)</f>
        <v/>
      </c>
      <c r="O8090" s="94">
        <f>VLOOKUP($Q8090,매칭테이블!$F:$I,4,0)*K8090</f>
        <v/>
      </c>
      <c r="P8090" s="148">
        <f>M8090/1.1</f>
        <v/>
      </c>
      <c r="Q8090" s="94">
        <f>F8090&amp;E8090&amp;G8090&amp;L8090</f>
        <v/>
      </c>
    </row>
    <row r="8091" customFormat="1" s="94">
      <c r="B8091" s="128" t="n">
        <v>44042</v>
      </c>
      <c r="C8091" s="94">
        <f>TEXT(B8091,"aaa")</f>
        <v/>
      </c>
      <c r="E8091" s="94" t="inlineStr">
        <is>
          <t>토너</t>
        </is>
      </c>
      <c r="F8091" s="5" t="inlineStr">
        <is>
          <t>쇼피태국</t>
        </is>
      </c>
      <c r="G8091" s="94" t="inlineStr">
        <is>
          <t>200728=500ml = 화장솜 60P X 2</t>
        </is>
      </c>
      <c r="H8091" s="7" t="n">
        <v>190801</v>
      </c>
      <c r="I8091" s="7" t="n">
        <v>190801</v>
      </c>
      <c r="K8091" s="94" t="n">
        <v>1</v>
      </c>
      <c r="L8091" s="7" t="n">
        <v>190801</v>
      </c>
      <c r="M8091" s="94">
        <f>VLOOKUP($Q8091,매칭테이블!$F:$I,2,0)*K8091</f>
        <v/>
      </c>
      <c r="N8091" s="94">
        <f>M8091-M8091*VLOOKUP($Q8091,매칭테이블!$F:$I,3,0)</f>
        <v/>
      </c>
      <c r="O8091" s="94">
        <f>VLOOKUP($Q8091,매칭테이블!$F:$I,4,0)*K8091</f>
        <v/>
      </c>
      <c r="P8091" s="148">
        <f>M8091/1.1</f>
        <v/>
      </c>
      <c r="Q8091" s="94">
        <f>F8091&amp;E8091&amp;G8091&amp;L8091</f>
        <v/>
      </c>
    </row>
    <row r="8092" customFormat="1" s="94">
      <c r="B8092" s="128" t="n">
        <v>44042</v>
      </c>
      <c r="C8092" s="94">
        <f>TEXT(B8092,"aaa")</f>
        <v/>
      </c>
      <c r="E8092" s="94" t="inlineStr">
        <is>
          <t>토너</t>
        </is>
      </c>
      <c r="F8092" s="5" t="inlineStr">
        <is>
          <t>화해</t>
        </is>
      </c>
      <c r="G8092" s="94" t="inlineStr">
        <is>
          <t>250ml</t>
        </is>
      </c>
      <c r="H8092" s="7" t="n">
        <v>190801</v>
      </c>
      <c r="I8092" s="7" t="n">
        <v>190801</v>
      </c>
      <c r="K8092" s="94" t="n">
        <v>6</v>
      </c>
      <c r="L8092" s="7" t="n">
        <v>190801</v>
      </c>
      <c r="M8092" s="94">
        <f>VLOOKUP($Q8092,매칭테이블!$F:$I,2,0)*K8092</f>
        <v/>
      </c>
      <c r="N8092" s="94">
        <f>M8092-M8092*VLOOKUP($Q8092,매칭테이블!$F:$I,3,0)</f>
        <v/>
      </c>
      <c r="O8092" s="94">
        <f>VLOOKUP($Q8092,매칭테이블!$F:$I,4,0)*K8092</f>
        <v/>
      </c>
      <c r="P8092" s="148">
        <f>M8092/1.1</f>
        <v/>
      </c>
      <c r="Q8092" s="94">
        <f>F8092&amp;E8092&amp;G8092&amp;L8092</f>
        <v/>
      </c>
    </row>
    <row r="8093">
      <c r="A8093" s="94" t="n"/>
      <c r="B8093" s="128" t="n">
        <v>44043</v>
      </c>
      <c r="C8093" s="94">
        <f>TEXT(B8093,"aaa")</f>
        <v/>
      </c>
      <c r="D8093" s="94" t="n"/>
      <c r="E8093" s="94" t="inlineStr">
        <is>
          <t>토너</t>
        </is>
      </c>
      <c r="F8093" s="5" t="inlineStr">
        <is>
          <t>W컨셉</t>
        </is>
      </c>
      <c r="G8093" s="94" t="inlineStr">
        <is>
          <t>250ml</t>
        </is>
      </c>
      <c r="H8093" s="7" t="n">
        <v>190801</v>
      </c>
      <c r="I8093" s="7" t="n">
        <v>190801</v>
      </c>
      <c r="J8093" s="94" t="n"/>
      <c r="K8093" s="94" t="n">
        <v>4</v>
      </c>
      <c r="L8093" s="7" t="n">
        <v>190801</v>
      </c>
      <c r="M8093" s="94">
        <f>VLOOKUP($Q8093,매칭테이블!$F:$I,2,0)*K8093</f>
        <v/>
      </c>
      <c r="N8093" s="94">
        <f>M8093-M8093*VLOOKUP($Q8093,매칭테이블!$F:$I,3,0)</f>
        <v/>
      </c>
      <c r="O8093" s="94">
        <f>VLOOKUP($Q8093,매칭테이블!$F:$I,4,0)*K8093</f>
        <v/>
      </c>
      <c r="P8093" s="148">
        <f>M8093/1.1</f>
        <v/>
      </c>
      <c r="Q8093" s="94">
        <f>F8093&amp;E8093&amp;G8093&amp;L8093</f>
        <v/>
      </c>
    </row>
    <row r="8094">
      <c r="A8094" s="94" t="n"/>
      <c r="B8094" s="128" t="n">
        <v>44043</v>
      </c>
      <c r="C8094" s="94">
        <f>TEXT(B8094,"aaa")</f>
        <v/>
      </c>
      <c r="D8094" s="94" t="n"/>
      <c r="E8094" s="94" t="inlineStr">
        <is>
          <t>토너</t>
        </is>
      </c>
      <c r="F8094" s="5" t="inlineStr">
        <is>
          <t>W컨셉</t>
        </is>
      </c>
      <c r="G8094" s="94" t="inlineStr">
        <is>
          <t>250ml 2set</t>
        </is>
      </c>
      <c r="H8094" s="7" t="n">
        <v>190801</v>
      </c>
      <c r="I8094" s="7" t="n">
        <v>190801</v>
      </c>
      <c r="J8094" s="94" t="n"/>
      <c r="K8094" s="94" t="n">
        <v>8</v>
      </c>
      <c r="L8094" s="7" t="n">
        <v>190801</v>
      </c>
      <c r="M8094" s="94">
        <f>VLOOKUP($Q8094,매칭테이블!$F:$I,2,0)*K8094</f>
        <v/>
      </c>
      <c r="N8094" s="94">
        <f>M8094-M8094*VLOOKUP($Q8094,매칭테이블!$F:$I,3,0)</f>
        <v/>
      </c>
      <c r="O8094" s="94">
        <f>VLOOKUP($Q8094,매칭테이블!$F:$I,4,0)*K8094</f>
        <v/>
      </c>
      <c r="P8094" s="148">
        <f>M8094/1.1</f>
        <v/>
      </c>
      <c r="Q8094" s="94">
        <f>F8094&amp;E8094&amp;G8094&amp;L8094</f>
        <v/>
      </c>
    </row>
    <row r="8095">
      <c r="A8095" s="94" t="n"/>
      <c r="B8095" s="128" t="n">
        <v>44043</v>
      </c>
      <c r="C8095" s="94">
        <f>TEXT(B8095,"aaa")</f>
        <v/>
      </c>
      <c r="D8095" s="94" t="n"/>
      <c r="E8095" s="94" t="inlineStr">
        <is>
          <t>토너</t>
        </is>
      </c>
      <c r="F8095" s="5" t="inlineStr">
        <is>
          <t>스타일쉐어</t>
        </is>
      </c>
      <c r="G8095" s="94" t="inlineStr">
        <is>
          <t>250ml</t>
        </is>
      </c>
      <c r="H8095" s="7" t="n">
        <v>190801</v>
      </c>
      <c r="I8095" s="7" t="n">
        <v>190801</v>
      </c>
      <c r="J8095" s="94" t="n"/>
      <c r="K8095" s="94" t="n">
        <v>5</v>
      </c>
      <c r="L8095" s="7" t="n">
        <v>190801</v>
      </c>
      <c r="M8095" s="94">
        <f>VLOOKUP($Q8095,매칭테이블!$F:$I,2,0)*K8095</f>
        <v/>
      </c>
      <c r="N8095" s="94">
        <f>M8095-M8095*VLOOKUP($Q8095,매칭테이블!$F:$I,3,0)</f>
        <v/>
      </c>
      <c r="O8095" s="94">
        <f>VLOOKUP($Q8095,매칭테이블!$F:$I,4,0)*K8095</f>
        <v/>
      </c>
      <c r="P8095" s="148">
        <f>M8095/1.1</f>
        <v/>
      </c>
      <c r="Q8095" s="94">
        <f>F8095&amp;E8095&amp;G8095&amp;L8095</f>
        <v/>
      </c>
    </row>
    <row r="8096">
      <c r="A8096" s="94" t="n"/>
      <c r="B8096" s="128" t="n">
        <v>44043</v>
      </c>
      <c r="C8096" s="94">
        <f>TEXT(B8096,"aaa")</f>
        <v/>
      </c>
      <c r="D8096" s="94" t="n"/>
      <c r="E8096" s="94" t="inlineStr">
        <is>
          <t>선크림</t>
        </is>
      </c>
      <c r="F8096" s="5" t="inlineStr">
        <is>
          <t>카페24</t>
        </is>
      </c>
      <c r="G8096" s="94" t="inlineStr">
        <is>
          <t>선크림 50ml</t>
        </is>
      </c>
      <c r="H8096" s="7" t="n">
        <v>190801</v>
      </c>
      <c r="I8096" s="7" t="n">
        <v>190801</v>
      </c>
      <c r="J8096" s="94" t="n"/>
      <c r="K8096" s="94" t="n">
        <v>3</v>
      </c>
      <c r="L8096" s="7" t="n">
        <v>190801</v>
      </c>
      <c r="M8096" s="94">
        <f>VLOOKUP($Q8096,매칭테이블!$F:$I,2,0)*K8096</f>
        <v/>
      </c>
      <c r="N8096" s="94">
        <f>M8096-M8096*VLOOKUP($Q8096,매칭테이블!$F:$I,3,0)</f>
        <v/>
      </c>
      <c r="O8096" s="94">
        <f>VLOOKUP($Q8096,매칭테이블!$F:$I,4,0)*K8096</f>
        <v/>
      </c>
      <c r="P8096" s="148">
        <f>M8096/1.1</f>
        <v/>
      </c>
      <c r="Q8096" s="94">
        <f>F8096&amp;E8096&amp;G8096&amp;L8096</f>
        <v/>
      </c>
    </row>
    <row r="8097">
      <c r="A8097" s="94" t="n"/>
      <c r="B8097" s="128" t="n">
        <v>44043</v>
      </c>
      <c r="C8097" s="94">
        <f>TEXT(B8097,"aaa")</f>
        <v/>
      </c>
      <c r="D8097" s="94" t="n"/>
      <c r="E8097" s="94" t="inlineStr">
        <is>
          <t>선크림</t>
        </is>
      </c>
      <c r="F8097" s="5" t="inlineStr">
        <is>
          <t>카페24</t>
        </is>
      </c>
      <c r="G8097" s="94" t="inlineStr">
        <is>
          <t>선크림 50ml  2set</t>
        </is>
      </c>
      <c r="H8097" s="7" t="n">
        <v>190801</v>
      </c>
      <c r="I8097" s="7" t="n">
        <v>190801</v>
      </c>
      <c r="J8097" s="94" t="n"/>
      <c r="K8097" s="94" t="n">
        <v>1</v>
      </c>
      <c r="L8097" s="7" t="n">
        <v>190801</v>
      </c>
      <c r="M8097" s="94">
        <f>VLOOKUP($Q8097,매칭테이블!$F:$I,2,0)*K8097</f>
        <v/>
      </c>
      <c r="N8097" s="94">
        <f>M8097-M8097*VLOOKUP($Q8097,매칭테이블!$F:$I,3,0)</f>
        <v/>
      </c>
      <c r="O8097" s="94">
        <f>VLOOKUP($Q8097,매칭테이블!$F:$I,4,0)*K8097</f>
        <v/>
      </c>
      <c r="P8097" s="148">
        <f>M8097/1.1</f>
        <v/>
      </c>
      <c r="Q8097" s="94">
        <f>F8097&amp;E8097&amp;G8097&amp;L8097</f>
        <v/>
      </c>
    </row>
    <row r="8098">
      <c r="A8098" s="94" t="n"/>
      <c r="B8098" s="128" t="n">
        <v>44043</v>
      </c>
      <c r="C8098" s="94">
        <f>TEXT(B8098,"aaa")</f>
        <v/>
      </c>
      <c r="D8098" s="94" t="n"/>
      <c r="E8098" s="94" t="inlineStr">
        <is>
          <t>여름 한정 진정세트</t>
        </is>
      </c>
      <c r="F8098" s="5" t="inlineStr">
        <is>
          <t>카페24</t>
        </is>
      </c>
      <c r="G8098" s="94" t="inlineStr">
        <is>
          <t>여름 한정 진정세트 (대용량)</t>
        </is>
      </c>
      <c r="H8098" s="7" t="n">
        <v>190801</v>
      </c>
      <c r="I8098" s="7" t="n">
        <v>190801</v>
      </c>
      <c r="J8098" s="94" t="n"/>
      <c r="K8098" s="94" t="n">
        <v>4</v>
      </c>
      <c r="L8098" s="7" t="n">
        <v>190801</v>
      </c>
      <c r="M8098" s="94">
        <f>VLOOKUP($Q8098,매칭테이블!$F:$I,2,0)*K8098</f>
        <v/>
      </c>
      <c r="N8098" s="94">
        <f>M8098-M8098*VLOOKUP($Q8098,매칭테이블!$F:$I,3,0)</f>
        <v/>
      </c>
      <c r="O8098" s="94">
        <f>VLOOKUP($Q8098,매칭테이블!$F:$I,4,0)*K8098</f>
        <v/>
      </c>
      <c r="P8098" s="148">
        <f>M8098/1.1</f>
        <v/>
      </c>
      <c r="Q8098" s="94">
        <f>F8098&amp;E8098&amp;G8098&amp;L8098</f>
        <v/>
      </c>
    </row>
    <row r="8099">
      <c r="A8099" s="94" t="n"/>
      <c r="B8099" s="128" t="n">
        <v>44043</v>
      </c>
      <c r="C8099" s="94">
        <f>TEXT(B8099,"aaa")</f>
        <v/>
      </c>
      <c r="D8099" s="94" t="n"/>
      <c r="E8099" s="94" t="inlineStr">
        <is>
          <t>어성초진정패키지</t>
        </is>
      </c>
      <c r="F8099" s="5" t="inlineStr">
        <is>
          <t>카페24</t>
        </is>
      </c>
      <c r="G8099" s="94" t="inlineStr">
        <is>
          <t>어성초 진정패키지세트</t>
        </is>
      </c>
      <c r="H8099" s="7" t="n">
        <v>190801</v>
      </c>
      <c r="I8099" s="7" t="n">
        <v>190801</v>
      </c>
      <c r="J8099" s="94" t="n"/>
      <c r="K8099" s="94" t="n">
        <v>2</v>
      </c>
      <c r="L8099" s="7" t="n">
        <v>190801</v>
      </c>
      <c r="M8099" s="94">
        <f>VLOOKUP($Q8099,매칭테이블!$F:$I,2,0)*K8099</f>
        <v/>
      </c>
      <c r="N8099" s="94">
        <f>M8099-M8099*VLOOKUP($Q8099,매칭테이블!$F:$I,3,0)</f>
        <v/>
      </c>
      <c r="O8099" s="94">
        <f>VLOOKUP($Q8099,매칭테이블!$F:$I,4,0)*K8099</f>
        <v/>
      </c>
      <c r="P8099" s="148">
        <f>M8099/1.1</f>
        <v/>
      </c>
      <c r="Q8099" s="94">
        <f>F8099&amp;E8099&amp;G8099&amp;L8099</f>
        <v/>
      </c>
    </row>
    <row r="8100">
      <c r="A8100" s="94" t="n"/>
      <c r="B8100" s="128" t="n">
        <v>44043</v>
      </c>
      <c r="C8100" s="94">
        <f>TEXT(B8100,"aaa")</f>
        <v/>
      </c>
      <c r="D8100" s="94" t="n"/>
      <c r="E8100" s="94" t="inlineStr">
        <is>
          <t>머드크림마스크</t>
        </is>
      </c>
      <c r="F8100" s="5" t="inlineStr">
        <is>
          <t>카페24</t>
        </is>
      </c>
      <c r="G8100" s="94" t="inlineStr">
        <is>
          <t>머드크림마스크 100ml</t>
        </is>
      </c>
      <c r="H8100" s="7" t="n">
        <v>190801</v>
      </c>
      <c r="I8100" s="7" t="n">
        <v>190801</v>
      </c>
      <c r="J8100" s="94" t="n"/>
      <c r="K8100" s="94" t="n">
        <v>2</v>
      </c>
      <c r="L8100" s="7" t="n">
        <v>190801</v>
      </c>
      <c r="M8100" s="94">
        <f>VLOOKUP($Q8100,매칭테이블!$F:$I,2,0)*K8100</f>
        <v/>
      </c>
      <c r="N8100" s="94">
        <f>M8100-M8100*VLOOKUP($Q8100,매칭테이블!$F:$I,3,0)</f>
        <v/>
      </c>
      <c r="O8100" s="94">
        <f>VLOOKUP($Q8100,매칭테이블!$F:$I,4,0)*K8100</f>
        <v/>
      </c>
      <c r="P8100" s="148">
        <f>M8100/1.1</f>
        <v/>
      </c>
      <c r="Q8100" s="94">
        <f>F8100&amp;E8100&amp;G8100&amp;L8100</f>
        <v/>
      </c>
    </row>
    <row r="8101">
      <c r="A8101" s="94" t="n"/>
      <c r="B8101" s="128" t="n">
        <v>44043</v>
      </c>
      <c r="C8101" s="94">
        <f>TEXT(B8101,"aaa")</f>
        <v/>
      </c>
      <c r="D8101" s="94" t="n"/>
      <c r="E8101" s="94" t="inlineStr">
        <is>
          <t>마스크팩</t>
        </is>
      </c>
      <c r="F8101" s="5" t="inlineStr">
        <is>
          <t>카페24</t>
        </is>
      </c>
      <c r="G8101" s="94" t="inlineStr">
        <is>
          <t>마스크팩 10매</t>
        </is>
      </c>
      <c r="H8101" s="7" t="n">
        <v>190801</v>
      </c>
      <c r="I8101" s="7" t="n">
        <v>190801</v>
      </c>
      <c r="J8101" s="94" t="n"/>
      <c r="K8101" s="94" t="n">
        <v>11</v>
      </c>
      <c r="L8101" s="7" t="n">
        <v>190801</v>
      </c>
      <c r="M8101" s="94">
        <f>VLOOKUP($Q8101,매칭테이블!$F:$I,2,0)*K8101</f>
        <v/>
      </c>
      <c r="N8101" s="94">
        <f>M8101-M8101*VLOOKUP($Q8101,매칭테이블!$F:$I,3,0)</f>
        <v/>
      </c>
      <c r="O8101" s="94">
        <f>VLOOKUP($Q8101,매칭테이블!$F:$I,4,0)*K8101</f>
        <v/>
      </c>
      <c r="P8101" s="148">
        <f>M8101/1.1</f>
        <v/>
      </c>
      <c r="Q8101" s="94">
        <f>F8101&amp;E8101&amp;G8101&amp;L8101</f>
        <v/>
      </c>
    </row>
    <row r="8102">
      <c r="A8102" s="94" t="n"/>
      <c r="B8102" s="128" t="n">
        <v>44043</v>
      </c>
      <c r="C8102" s="94">
        <f>TEXT(B8102,"aaa")</f>
        <v/>
      </c>
      <c r="D8102" s="94" t="n"/>
      <c r="E8102" s="94" t="inlineStr">
        <is>
          <t>토너</t>
        </is>
      </c>
      <c r="F8102" s="5" t="inlineStr">
        <is>
          <t>카페24</t>
        </is>
      </c>
      <c r="G8102" s="94" t="inlineStr">
        <is>
          <t>250ml</t>
        </is>
      </c>
      <c r="H8102" s="7" t="n">
        <v>190801</v>
      </c>
      <c r="I8102" s="7" t="n">
        <v>190801</v>
      </c>
      <c r="J8102" s="94" t="n"/>
      <c r="K8102" s="94" t="n">
        <v>70</v>
      </c>
      <c r="L8102" s="7" t="n">
        <v>190801</v>
      </c>
      <c r="M8102" s="94">
        <f>VLOOKUP($Q8102,매칭테이블!$F:$I,2,0)*K8102</f>
        <v/>
      </c>
      <c r="N8102" s="94">
        <f>M8102-M8102*VLOOKUP($Q8102,매칭테이블!$F:$I,3,0)</f>
        <v/>
      </c>
      <c r="O8102" s="94">
        <f>VLOOKUP($Q8102,매칭테이블!$F:$I,4,0)*K8102</f>
        <v/>
      </c>
      <c r="P8102" s="148">
        <f>M8102/1.1</f>
        <v/>
      </c>
      <c r="Q8102" s="94">
        <f>F8102&amp;E8102&amp;G8102&amp;L8102</f>
        <v/>
      </c>
    </row>
    <row r="8103">
      <c r="A8103" s="94" t="n"/>
      <c r="B8103" s="128" t="n">
        <v>44043</v>
      </c>
      <c r="C8103" s="94">
        <f>TEXT(B8103,"aaa")</f>
        <v/>
      </c>
      <c r="D8103" s="94" t="n"/>
      <c r="E8103" s="94" t="inlineStr">
        <is>
          <t>토너</t>
        </is>
      </c>
      <c r="F8103" s="5" t="inlineStr">
        <is>
          <t>카페24</t>
        </is>
      </c>
      <c r="G8103" s="94" t="inlineStr">
        <is>
          <t>250ml 2set</t>
        </is>
      </c>
      <c r="H8103" s="7" t="n">
        <v>190801</v>
      </c>
      <c r="I8103" s="7" t="n">
        <v>190801</v>
      </c>
      <c r="J8103" s="94" t="n"/>
      <c r="K8103" s="94" t="n">
        <v>75</v>
      </c>
      <c r="L8103" s="7" t="n">
        <v>190801</v>
      </c>
      <c r="M8103" s="94">
        <f>VLOOKUP($Q8103,매칭테이블!$F:$I,2,0)*K8103</f>
        <v/>
      </c>
      <c r="N8103" s="94">
        <f>M8103-M8103*VLOOKUP($Q8103,매칭테이블!$F:$I,3,0)</f>
        <v/>
      </c>
      <c r="O8103" s="94">
        <f>VLOOKUP($Q8103,매칭테이블!$F:$I,4,0)*K8103</f>
        <v/>
      </c>
      <c r="P8103" s="148">
        <f>M8103/1.1</f>
        <v/>
      </c>
      <c r="Q8103" s="94">
        <f>F8103&amp;E8103&amp;G8103&amp;L8103</f>
        <v/>
      </c>
    </row>
    <row r="8104">
      <c r="A8104" s="94" t="n"/>
      <c r="B8104" s="128" t="n">
        <v>44043</v>
      </c>
      <c r="C8104" s="94">
        <f>TEXT(B8104,"aaa")</f>
        <v/>
      </c>
      <c r="D8104" s="94" t="n"/>
      <c r="E8104" s="94" t="inlineStr">
        <is>
          <t>토너</t>
        </is>
      </c>
      <c r="F8104" s="5" t="inlineStr">
        <is>
          <t>카페24</t>
        </is>
      </c>
      <c r="G8104" s="94" t="inlineStr">
        <is>
          <t>500ml</t>
        </is>
      </c>
      <c r="H8104" s="7" t="n">
        <v>190801</v>
      </c>
      <c r="I8104" s="7" t="n">
        <v>190801</v>
      </c>
      <c r="J8104" s="94" t="n"/>
      <c r="K8104" s="94" t="n">
        <v>55</v>
      </c>
      <c r="L8104" s="7" t="n">
        <v>190801</v>
      </c>
      <c r="M8104" s="94">
        <f>VLOOKUP($Q8104,매칭테이블!$F:$I,2,0)*K8104</f>
        <v/>
      </c>
      <c r="N8104" s="94">
        <f>M8104-M8104*VLOOKUP($Q8104,매칭테이블!$F:$I,3,0)</f>
        <v/>
      </c>
      <c r="O8104" s="94">
        <f>VLOOKUP($Q8104,매칭테이블!$F:$I,4,0)*K8104</f>
        <v/>
      </c>
      <c r="P8104" s="148">
        <f>M8104/1.1</f>
        <v/>
      </c>
      <c r="Q8104" s="94">
        <f>F8104&amp;E8104&amp;G8104&amp;L8104</f>
        <v/>
      </c>
    </row>
    <row r="8105">
      <c r="A8105" s="94" t="n"/>
      <c r="B8105" s="128" t="n">
        <v>44043</v>
      </c>
      <c r="C8105" s="94">
        <f>TEXT(B8105,"aaa")</f>
        <v/>
      </c>
      <c r="D8105" s="94" t="n"/>
      <c r="E8105" s="94" t="inlineStr">
        <is>
          <t>토너</t>
        </is>
      </c>
      <c r="F8105" s="5" t="inlineStr">
        <is>
          <t>카페24</t>
        </is>
      </c>
      <c r="G8105" s="94" t="inlineStr">
        <is>
          <t>스킨팩 화장솜 60P</t>
        </is>
      </c>
      <c r="H8105" s="7" t="n">
        <v>190801</v>
      </c>
      <c r="I8105" s="7" t="n">
        <v>190801</v>
      </c>
      <c r="J8105" s="94" t="n"/>
      <c r="K8105" s="94" t="n">
        <v>68</v>
      </c>
      <c r="L8105" s="7" t="n">
        <v>190801</v>
      </c>
      <c r="M8105" s="94">
        <f>VLOOKUP($Q8105,매칭테이블!$F:$I,2,0)*K8105</f>
        <v/>
      </c>
      <c r="N8105" s="94">
        <f>M8105-M8105*VLOOKUP($Q8105,매칭테이블!$F:$I,3,0)</f>
        <v/>
      </c>
      <c r="O8105" s="94">
        <f>VLOOKUP($Q8105,매칭테이블!$F:$I,4,0)*K8105</f>
        <v/>
      </c>
      <c r="P8105" s="148">
        <f>M8105/1.1</f>
        <v/>
      </c>
      <c r="Q8105" s="94">
        <f>F8105&amp;E8105&amp;G8105&amp;L8105</f>
        <v/>
      </c>
    </row>
    <row r="8106">
      <c r="A8106" s="94" t="n"/>
      <c r="B8106" s="128" t="n">
        <v>44043</v>
      </c>
      <c r="C8106" s="94">
        <f>TEXT(B8106,"aaa")</f>
        <v/>
      </c>
      <c r="D8106" s="94" t="n"/>
      <c r="E8106" s="94" t="inlineStr">
        <is>
          <t>앰플</t>
        </is>
      </c>
      <c r="F8106" s="5" t="inlineStr">
        <is>
          <t>카페24</t>
        </is>
      </c>
      <c r="G8106" s="94" t="inlineStr">
        <is>
          <t>앰플 30ml</t>
        </is>
      </c>
      <c r="H8106" s="7" t="n">
        <v>190801</v>
      </c>
      <c r="I8106" s="7" t="n">
        <v>190801</v>
      </c>
      <c r="J8106" s="94" t="n"/>
      <c r="K8106" s="94" t="n">
        <v>9</v>
      </c>
      <c r="L8106" s="7" t="n">
        <v>190801</v>
      </c>
      <c r="M8106" s="94">
        <f>VLOOKUP($Q8106,매칭테이블!$F:$I,2,0)*K8106</f>
        <v/>
      </c>
      <c r="N8106" s="94">
        <f>M8106-M8106*VLOOKUP($Q8106,매칭테이블!$F:$I,3,0)</f>
        <v/>
      </c>
      <c r="O8106" s="94">
        <f>VLOOKUP($Q8106,매칭테이블!$F:$I,4,0)*K8106</f>
        <v/>
      </c>
      <c r="P8106" s="148">
        <f>M8106/1.1</f>
        <v/>
      </c>
      <c r="Q8106" s="94">
        <f>F8106&amp;E8106&amp;G8106&amp;L8106</f>
        <v/>
      </c>
    </row>
    <row r="8107">
      <c r="A8107" s="94" t="n"/>
      <c r="B8107" s="128" t="n">
        <v>44043</v>
      </c>
      <c r="C8107" s="94">
        <f>TEXT(B8107,"aaa")</f>
        <v/>
      </c>
      <c r="D8107" s="94" t="n"/>
      <c r="E8107" s="94" t="inlineStr">
        <is>
          <t>수딩크림</t>
        </is>
      </c>
      <c r="F8107" s="5" t="inlineStr">
        <is>
          <t>카페24</t>
        </is>
      </c>
      <c r="G8107" s="94" t="inlineStr">
        <is>
          <t>수딩크림 100ml</t>
        </is>
      </c>
      <c r="H8107" s="7" t="n">
        <v>190801</v>
      </c>
      <c r="I8107" s="7" t="n">
        <v>190801</v>
      </c>
      <c r="J8107" s="94" t="n"/>
      <c r="K8107" s="94" t="n">
        <v>4</v>
      </c>
      <c r="L8107" s="7" t="n">
        <v>190801</v>
      </c>
      <c r="M8107" s="94">
        <f>VLOOKUP($Q8107,매칭테이블!$F:$I,2,0)*K8107</f>
        <v/>
      </c>
      <c r="N8107" s="94">
        <f>M8107-M8107*VLOOKUP($Q8107,매칭테이블!$F:$I,3,0)</f>
        <v/>
      </c>
      <c r="O8107" s="94">
        <f>VLOOKUP($Q8107,매칭테이블!$F:$I,4,0)*K8107</f>
        <v/>
      </c>
      <c r="P8107" s="148">
        <f>M8107/1.1</f>
        <v/>
      </c>
      <c r="Q8107" s="94">
        <f>F8107&amp;E8107&amp;G8107&amp;L8107</f>
        <v/>
      </c>
    </row>
    <row r="8108">
      <c r="A8108" s="94" t="n"/>
      <c r="B8108" s="128" t="n">
        <v>44043</v>
      </c>
      <c r="C8108" s="94">
        <f>TEXT(B8108,"aaa")</f>
        <v/>
      </c>
      <c r="D8108" s="94" t="n"/>
      <c r="E8108" s="94" t="inlineStr">
        <is>
          <t>토너</t>
        </is>
      </c>
      <c r="F8108" s="5" t="inlineStr">
        <is>
          <t>아누아 CS</t>
        </is>
      </c>
      <c r="G8108" s="94" t="inlineStr">
        <is>
          <t>250ml</t>
        </is>
      </c>
      <c r="H8108" s="7" t="n">
        <v>190801</v>
      </c>
      <c r="I8108" s="7" t="n">
        <v>190801</v>
      </c>
      <c r="J8108" s="94" t="n"/>
      <c r="K8108" s="94" t="n">
        <v>3</v>
      </c>
      <c r="L8108" s="7" t="n">
        <v>190801</v>
      </c>
      <c r="M8108" s="94">
        <f>VLOOKUP($Q8108,매칭테이블!$F:$I,2,0)*K8108</f>
        <v/>
      </c>
      <c r="N8108" s="94">
        <f>M8108-M8108*VLOOKUP($Q8108,매칭테이블!$F:$I,3,0)</f>
        <v/>
      </c>
      <c r="O8108" s="94">
        <f>VLOOKUP($Q8108,매칭테이블!$F:$I,4,0)*K8108</f>
        <v/>
      </c>
      <c r="P8108" s="148">
        <f>M8108/1.1</f>
        <v/>
      </c>
      <c r="Q8108" s="94">
        <f>F8108&amp;E8108&amp;G8108&amp;L8108</f>
        <v/>
      </c>
    </row>
    <row r="8109">
      <c r="A8109" s="94" t="n"/>
      <c r="B8109" s="128" t="n">
        <v>44043</v>
      </c>
      <c r="C8109" s="94">
        <f>TEXT(B8109,"aaa")</f>
        <v/>
      </c>
      <c r="D8109" s="94" t="n"/>
      <c r="E8109" s="94" t="inlineStr">
        <is>
          <t>화장솜</t>
        </is>
      </c>
      <c r="F8109" s="5" t="inlineStr">
        <is>
          <t>아누아 CS</t>
        </is>
      </c>
      <c r="G8109" s="94" t="inlineStr">
        <is>
          <t>스킨팩 화장솜 60P</t>
        </is>
      </c>
      <c r="H8109" s="7" t="n">
        <v>190801</v>
      </c>
      <c r="I8109" s="7" t="n">
        <v>190801</v>
      </c>
      <c r="J8109" s="94" t="n"/>
      <c r="K8109" s="94" t="n">
        <v>2</v>
      </c>
      <c r="L8109" s="7" t="n">
        <v>190801</v>
      </c>
      <c r="M8109" s="94">
        <f>VLOOKUP($Q8109,매칭테이블!$F:$I,2,0)*K8109</f>
        <v/>
      </c>
      <c r="N8109" s="94">
        <f>M8109-M8109*VLOOKUP($Q8109,매칭테이블!$F:$I,3,0)</f>
        <v/>
      </c>
      <c r="O8109" s="94">
        <f>VLOOKUP($Q8109,매칭테이블!$F:$I,4,0)*K8109</f>
        <v/>
      </c>
      <c r="P8109" s="148">
        <f>M8109/1.1</f>
        <v/>
      </c>
      <c r="Q8109" s="94">
        <f>F8109&amp;E8109&amp;G8109&amp;L8109</f>
        <v/>
      </c>
    </row>
    <row r="8110">
      <c r="A8110" s="94" t="n"/>
      <c r="B8110" s="128" t="n">
        <v>44043</v>
      </c>
      <c r="C8110" s="94">
        <f>TEXT(B8110,"aaa")</f>
        <v/>
      </c>
      <c r="D8110" s="94" t="n"/>
      <c r="E8110" s="94" t="inlineStr">
        <is>
          <t>앰플</t>
        </is>
      </c>
      <c r="F8110" s="5" t="inlineStr">
        <is>
          <t>아누아 CS</t>
        </is>
      </c>
      <c r="G8110" s="94" t="inlineStr">
        <is>
          <t>앰플 30ml</t>
        </is>
      </c>
      <c r="H8110" s="7" t="n">
        <v>190801</v>
      </c>
      <c r="I8110" s="7" t="n">
        <v>190801</v>
      </c>
      <c r="J8110" s="94" t="n"/>
      <c r="K8110" s="94" t="n">
        <v>2</v>
      </c>
      <c r="L8110" s="7" t="n">
        <v>190801</v>
      </c>
      <c r="M8110" s="94">
        <f>VLOOKUP($Q8110,매칭테이블!$F:$I,2,0)*K8110</f>
        <v/>
      </c>
      <c r="N8110" s="94">
        <f>M8110-M8110*VLOOKUP($Q8110,매칭테이블!$F:$I,3,0)</f>
        <v/>
      </c>
      <c r="O8110" s="94">
        <f>VLOOKUP($Q8110,매칭테이블!$F:$I,4,0)*K8110</f>
        <v/>
      </c>
      <c r="P8110" s="148">
        <f>M8110/1.1</f>
        <v/>
      </c>
      <c r="Q8110" s="94">
        <f>F8110&amp;E8110&amp;G8110&amp;L8110</f>
        <v/>
      </c>
    </row>
    <row r="8111">
      <c r="A8111" s="94" t="n"/>
      <c r="B8111" s="128" t="n">
        <v>44043</v>
      </c>
      <c r="C8111" s="94">
        <f>TEXT(B8111,"aaa")</f>
        <v/>
      </c>
      <c r="D8111" s="94" t="n"/>
      <c r="E8111" s="94" t="inlineStr">
        <is>
          <t>마스크팩</t>
        </is>
      </c>
      <c r="F8111" s="5" t="inlineStr">
        <is>
          <t>아누아 CS</t>
        </is>
      </c>
      <c r="G8111" s="94" t="inlineStr">
        <is>
          <t>마스크팩 1매</t>
        </is>
      </c>
      <c r="H8111" s="7" t="n">
        <v>190801</v>
      </c>
      <c r="I8111" s="7" t="n">
        <v>190801</v>
      </c>
      <c r="J8111" s="94" t="n"/>
      <c r="K8111" s="94" t="n">
        <v>2</v>
      </c>
      <c r="L8111" s="7" t="n">
        <v>190801</v>
      </c>
      <c r="M8111" s="94">
        <f>VLOOKUP($Q8111,매칭테이블!$F:$I,2,0)*K8111</f>
        <v/>
      </c>
      <c r="N8111" s="94">
        <f>M8111-M8111*VLOOKUP($Q8111,매칭테이블!$F:$I,3,0)</f>
        <v/>
      </c>
      <c r="O8111" s="94">
        <f>VLOOKUP($Q8111,매칭테이블!$F:$I,4,0)*K8111</f>
        <v/>
      </c>
      <c r="P8111" s="148">
        <f>M8111/1.1</f>
        <v/>
      </c>
      <c r="Q8111" s="94">
        <f>F8111&amp;E8111&amp;G8111&amp;L8111</f>
        <v/>
      </c>
    </row>
    <row r="8112">
      <c r="A8112" s="94" t="n"/>
      <c r="B8112" s="128" t="n">
        <v>44043</v>
      </c>
      <c r="C8112" s="94">
        <f>TEXT(B8112,"aaa")</f>
        <v/>
      </c>
      <c r="D8112" s="94" t="n"/>
      <c r="E8112" s="94" t="inlineStr">
        <is>
          <t>마스크팩</t>
        </is>
      </c>
      <c r="F8112" s="5" t="inlineStr">
        <is>
          <t>아누아 CS</t>
        </is>
      </c>
      <c r="G8112" s="94" t="inlineStr">
        <is>
          <t>마스크팩 10매</t>
        </is>
      </c>
      <c r="H8112" s="7" t="n">
        <v>190801</v>
      </c>
      <c r="I8112" s="7" t="n">
        <v>190801</v>
      </c>
      <c r="J8112" s="94" t="n"/>
      <c r="K8112" s="94" t="n">
        <v>2</v>
      </c>
      <c r="L8112" s="7" t="n">
        <v>190801</v>
      </c>
      <c r="M8112" s="94">
        <f>VLOOKUP($Q8112,매칭테이블!$F:$I,2,0)*K8112</f>
        <v/>
      </c>
      <c r="N8112" s="94">
        <f>M8112-M8112*VLOOKUP($Q8112,매칭테이블!$F:$I,3,0)</f>
        <v/>
      </c>
      <c r="O8112" s="94">
        <f>VLOOKUP($Q8112,매칭테이블!$F:$I,4,0)*K8112</f>
        <v/>
      </c>
      <c r="P8112" s="148">
        <f>M8112/1.1</f>
        <v/>
      </c>
      <c r="Q8112" s="94">
        <f>F8112&amp;E8112&amp;G8112&amp;L8112</f>
        <v/>
      </c>
    </row>
    <row r="8113">
      <c r="A8113" s="94" t="n"/>
      <c r="B8113" s="128" t="n">
        <v>44043</v>
      </c>
      <c r="C8113" s="94">
        <f>TEXT(B8113,"aaa")</f>
        <v/>
      </c>
      <c r="D8113" s="94" t="n"/>
      <c r="E8113" s="94" t="inlineStr">
        <is>
          <t>선크림</t>
        </is>
      </c>
      <c r="F8113" s="5" t="inlineStr">
        <is>
          <t>아누아 CS</t>
        </is>
      </c>
      <c r="G8113" s="94" t="inlineStr">
        <is>
          <t>선크림 50ml</t>
        </is>
      </c>
      <c r="H8113" s="7" t="n">
        <v>190801</v>
      </c>
      <c r="I8113" s="7" t="n">
        <v>190801</v>
      </c>
      <c r="J8113" s="94" t="n"/>
      <c r="K8113" s="94" t="n">
        <v>2</v>
      </c>
      <c r="L8113" s="7" t="n">
        <v>190801</v>
      </c>
      <c r="M8113" s="94">
        <f>VLOOKUP($Q8113,매칭테이블!$F:$I,2,0)*K8113</f>
        <v/>
      </c>
      <c r="N8113" s="94">
        <f>M8113-M8113*VLOOKUP($Q8113,매칭테이블!$F:$I,3,0)</f>
        <v/>
      </c>
      <c r="O8113" s="94">
        <f>VLOOKUP($Q8113,매칭테이블!$F:$I,4,0)*K8113</f>
        <v/>
      </c>
      <c r="P8113" s="148">
        <f>M8113/1.1</f>
        <v/>
      </c>
      <c r="Q8113" s="94">
        <f>F8113&amp;E8113&amp;G8113&amp;L8113</f>
        <v/>
      </c>
    </row>
    <row r="8114">
      <c r="A8114" s="94" t="n"/>
      <c r="B8114" s="128" t="n">
        <v>44043</v>
      </c>
      <c r="C8114" s="94">
        <f>TEXT(B8114,"aaa")</f>
        <v/>
      </c>
      <c r="D8114" s="94" t="n"/>
      <c r="E8114" s="94" t="inlineStr">
        <is>
          <t>수딩크림</t>
        </is>
      </c>
      <c r="F8114" s="5" t="inlineStr">
        <is>
          <t>아누아 CS</t>
        </is>
      </c>
      <c r="G8114" s="94" t="inlineStr">
        <is>
          <t>수딩크림 100ml</t>
        </is>
      </c>
      <c r="H8114" s="7" t="n">
        <v>190801</v>
      </c>
      <c r="I8114" s="7" t="n">
        <v>190801</v>
      </c>
      <c r="J8114" s="94" t="n"/>
      <c r="K8114" s="94" t="n">
        <v>2</v>
      </c>
      <c r="L8114" s="7" t="n">
        <v>190801</v>
      </c>
      <c r="M8114" s="94">
        <f>VLOOKUP($Q8114,매칭테이블!$F:$I,2,0)*K8114</f>
        <v/>
      </c>
      <c r="N8114" s="94">
        <f>M8114-M8114*VLOOKUP($Q8114,매칭테이블!$F:$I,3,0)</f>
        <v/>
      </c>
      <c r="O8114" s="94">
        <f>VLOOKUP($Q8114,매칭테이블!$F:$I,4,0)*K8114</f>
        <v/>
      </c>
      <c r="P8114" s="148">
        <f>M8114/1.1</f>
        <v/>
      </c>
      <c r="Q8114" s="94">
        <f>F8114&amp;E8114&amp;G8114&amp;L8114</f>
        <v/>
      </c>
    </row>
    <row r="8115">
      <c r="A8115" s="94" t="n"/>
      <c r="B8115" s="128" t="n">
        <v>44043</v>
      </c>
      <c r="C8115" s="94">
        <f>TEXT(B8115,"aaa")</f>
        <v/>
      </c>
      <c r="D8115" s="94" t="n"/>
      <c r="E8115" s="94" t="inlineStr">
        <is>
          <t>클렌징폼</t>
        </is>
      </c>
      <c r="F8115" s="5" t="inlineStr">
        <is>
          <t>아누아 CS</t>
        </is>
      </c>
      <c r="G8115" s="94" t="inlineStr">
        <is>
          <t>클렌징폼 120ml</t>
        </is>
      </c>
      <c r="H8115" s="7" t="n">
        <v>190801</v>
      </c>
      <c r="I8115" s="7" t="n">
        <v>190801</v>
      </c>
      <c r="J8115" s="94" t="n"/>
      <c r="K8115" s="94" t="n">
        <v>2</v>
      </c>
      <c r="L8115" s="7" t="n">
        <v>190801</v>
      </c>
      <c r="M8115" s="94">
        <f>VLOOKUP($Q8115,매칭테이블!$F:$I,2,0)*K8115</f>
        <v/>
      </c>
      <c r="N8115" s="94">
        <f>M8115-M8115*VLOOKUP($Q8115,매칭테이블!$F:$I,3,0)</f>
        <v/>
      </c>
      <c r="O8115" s="94">
        <f>VLOOKUP($Q8115,매칭테이블!$F:$I,4,0)*K8115</f>
        <v/>
      </c>
      <c r="P8115" s="148">
        <f>M8115/1.1</f>
        <v/>
      </c>
      <c r="Q8115" s="94">
        <f>F8115&amp;E8115&amp;G8115&amp;L8115</f>
        <v/>
      </c>
    </row>
    <row r="8116">
      <c r="A8116" s="94" t="n"/>
      <c r="B8116" s="128" t="n">
        <v>44043</v>
      </c>
      <c r="C8116" s="94">
        <f>TEXT(B8116,"aaa")</f>
        <v/>
      </c>
      <c r="D8116" s="94" t="n"/>
      <c r="E8116" s="94" t="inlineStr">
        <is>
          <t>머드크림마스크</t>
        </is>
      </c>
      <c r="F8116" s="5" t="inlineStr">
        <is>
          <t>아누아 CS</t>
        </is>
      </c>
      <c r="G8116" s="94" t="inlineStr">
        <is>
          <t>머드크림마스크 100ml</t>
        </is>
      </c>
      <c r="H8116" s="7" t="n">
        <v>190801</v>
      </c>
      <c r="I8116" s="7" t="n">
        <v>190801</v>
      </c>
      <c r="J8116" s="94" t="n"/>
      <c r="K8116" s="94" t="n">
        <v>2</v>
      </c>
      <c r="L8116" s="7" t="n">
        <v>190801</v>
      </c>
      <c r="M8116" s="94">
        <f>VLOOKUP($Q8116,매칭테이블!$F:$I,2,0)*K8116</f>
        <v/>
      </c>
      <c r="N8116" s="94">
        <f>M8116-M8116*VLOOKUP($Q8116,매칭테이블!$F:$I,3,0)</f>
        <v/>
      </c>
      <c r="O8116" s="94">
        <f>VLOOKUP($Q8116,매칭테이블!$F:$I,4,0)*K8116</f>
        <v/>
      </c>
      <c r="P8116" s="148">
        <f>M8116/1.1</f>
        <v/>
      </c>
      <c r="Q8116" s="94">
        <f>F8116&amp;E8116&amp;G8116&amp;L8116</f>
        <v/>
      </c>
    </row>
    <row r="8117">
      <c r="A8117" s="94" t="n"/>
      <c r="B8117" s="128" t="n">
        <v>44043</v>
      </c>
      <c r="C8117" s="94">
        <f>TEXT(B8117,"aaa")</f>
        <v/>
      </c>
      <c r="D8117" s="94" t="n"/>
      <c r="E8117" s="94" t="inlineStr">
        <is>
          <t>토너</t>
        </is>
      </c>
      <c r="F8117" s="5" t="inlineStr">
        <is>
          <t>큐텐재팬</t>
        </is>
      </c>
      <c r="G8117" s="94" t="inlineStr">
        <is>
          <t>200726=250ml</t>
        </is>
      </c>
      <c r="H8117" s="7" t="n">
        <v>190801</v>
      </c>
      <c r="I8117" s="7" t="n">
        <v>190801</v>
      </c>
      <c r="J8117" s="94" t="n"/>
      <c r="K8117" s="94" t="n">
        <v>10</v>
      </c>
      <c r="L8117" s="7" t="n">
        <v>190801</v>
      </c>
      <c r="M8117" s="94">
        <f>VLOOKUP($Q8117,매칭테이블!$F:$I,2,0)*K8117</f>
        <v/>
      </c>
      <c r="N8117" s="94">
        <f>M8117-M8117*VLOOKUP($Q8117,매칭테이블!$F:$I,3,0)</f>
        <v/>
      </c>
      <c r="O8117" s="94">
        <f>VLOOKUP($Q8117,매칭테이블!$F:$I,4,0)*K8117</f>
        <v/>
      </c>
      <c r="P8117" s="148">
        <f>M8117/1.1</f>
        <v/>
      </c>
      <c r="Q8117" s="94">
        <f>F8117&amp;E8117&amp;G8117&amp;L8117</f>
        <v/>
      </c>
    </row>
    <row r="8118">
      <c r="A8118" s="94" t="n"/>
      <c r="B8118" s="128" t="n">
        <v>44043</v>
      </c>
      <c r="C8118" s="94">
        <f>TEXT(B8118,"aaa")</f>
        <v/>
      </c>
      <c r="D8118" s="94" t="n"/>
      <c r="E8118" s="94" t="inlineStr">
        <is>
          <t>수딩크림</t>
        </is>
      </c>
      <c r="F8118" s="5" t="inlineStr">
        <is>
          <t>큐텐재팬</t>
        </is>
      </c>
      <c r="G8118" s="94" t="inlineStr">
        <is>
          <t>200726=수딩크림 100ml</t>
        </is>
      </c>
      <c r="H8118" s="7" t="n">
        <v>190801</v>
      </c>
      <c r="I8118" s="7" t="n">
        <v>190801</v>
      </c>
      <c r="J8118" s="94" t="n"/>
      <c r="K8118" s="94" t="n">
        <v>1</v>
      </c>
      <c r="L8118" s="7" t="n">
        <v>190801</v>
      </c>
      <c r="M8118" s="94">
        <f>VLOOKUP($Q8118,매칭테이블!$F:$I,2,0)*K8118</f>
        <v/>
      </c>
      <c r="N8118" s="94">
        <f>M8118-M8118*VLOOKUP($Q8118,매칭테이블!$F:$I,3,0)</f>
        <v/>
      </c>
      <c r="O8118" s="94">
        <f>VLOOKUP($Q8118,매칭테이블!$F:$I,4,0)*K8118</f>
        <v/>
      </c>
      <c r="P8118" s="148">
        <f>M8118/1.1</f>
        <v/>
      </c>
      <c r="Q8118" s="94">
        <f>F8118&amp;E8118&amp;G8118&amp;L8118</f>
        <v/>
      </c>
    </row>
    <row r="8119">
      <c r="A8119" s="94" t="n"/>
      <c r="B8119" s="128" t="n">
        <v>44043</v>
      </c>
      <c r="C8119" s="94">
        <f>TEXT(B8119,"aaa")</f>
        <v/>
      </c>
      <c r="D8119" s="94" t="n"/>
      <c r="E8119" s="94" t="inlineStr">
        <is>
          <t>머드크림마스크</t>
        </is>
      </c>
      <c r="F8119" s="5" t="inlineStr">
        <is>
          <t>큐텐재팬</t>
        </is>
      </c>
      <c r="G8119" s="94" t="inlineStr">
        <is>
          <t>200726=머드크림마스크 100ml</t>
        </is>
      </c>
      <c r="H8119" s="7" t="n">
        <v>190801</v>
      </c>
      <c r="I8119" s="7" t="n">
        <v>190801</v>
      </c>
      <c r="J8119" s="94" t="n"/>
      <c r="K8119" s="94" t="n">
        <v>1</v>
      </c>
      <c r="L8119" s="7" t="n">
        <v>190801</v>
      </c>
      <c r="M8119" s="94">
        <f>VLOOKUP($Q8119,매칭테이블!$F:$I,2,0)*K8119</f>
        <v/>
      </c>
      <c r="N8119" s="94">
        <f>M8119-M8119*VLOOKUP($Q8119,매칭테이블!$F:$I,3,0)</f>
        <v/>
      </c>
      <c r="O8119" s="94">
        <f>VLOOKUP($Q8119,매칭테이블!$F:$I,4,0)*K8119</f>
        <v/>
      </c>
      <c r="P8119" s="148">
        <f>M8119/1.1</f>
        <v/>
      </c>
      <c r="Q8119" s="94">
        <f>F8119&amp;E8119&amp;G8119&amp;L8119</f>
        <v/>
      </c>
    </row>
    <row r="8120">
      <c r="A8120" s="94" t="n"/>
      <c r="B8120" s="128" t="n">
        <v>44043</v>
      </c>
      <c r="C8120" s="94">
        <f>TEXT(B8120,"aaa")</f>
        <v/>
      </c>
      <c r="D8120" s="94" t="n"/>
      <c r="E8120" s="94" t="inlineStr">
        <is>
          <t>앰플</t>
        </is>
      </c>
      <c r="F8120" s="5" t="inlineStr">
        <is>
          <t>큐텐재팬</t>
        </is>
      </c>
      <c r="G8120" s="94" t="inlineStr">
        <is>
          <t>200726=앰플 30ml</t>
        </is>
      </c>
      <c r="H8120" s="7" t="n">
        <v>190801</v>
      </c>
      <c r="I8120" s="7" t="n">
        <v>190801</v>
      </c>
      <c r="J8120" s="94" t="n"/>
      <c r="K8120" s="94" t="n">
        <v>3</v>
      </c>
      <c r="L8120" s="7" t="n">
        <v>190801</v>
      </c>
      <c r="M8120" s="94">
        <f>VLOOKUP($Q8120,매칭테이블!$F:$I,2,0)*K8120</f>
        <v/>
      </c>
      <c r="N8120" s="94">
        <f>M8120-M8120*VLOOKUP($Q8120,매칭테이블!$F:$I,3,0)</f>
        <v/>
      </c>
      <c r="O8120" s="94">
        <f>VLOOKUP($Q8120,매칭테이블!$F:$I,4,0)*K8120</f>
        <v/>
      </c>
      <c r="P8120" s="148">
        <f>M8120/1.1</f>
        <v/>
      </c>
      <c r="Q8120" s="94">
        <f>F8120&amp;E8120&amp;G8120&amp;L8120</f>
        <v/>
      </c>
    </row>
    <row r="8121">
      <c r="A8121" s="94" t="n"/>
      <c r="B8121" s="128" t="n">
        <v>44043</v>
      </c>
      <c r="C8121" s="94">
        <f>TEXT(B8121,"aaa")</f>
        <v/>
      </c>
      <c r="D8121" s="94" t="n"/>
      <c r="E8121" s="94" t="inlineStr">
        <is>
          <t>토너</t>
        </is>
      </c>
      <c r="F8121" s="5" t="inlineStr">
        <is>
          <t>큐텐재팬</t>
        </is>
      </c>
      <c r="G8121" s="94" t="inlineStr">
        <is>
          <t>200726=250ml 2set</t>
        </is>
      </c>
      <c r="H8121" s="7" t="n">
        <v>190801</v>
      </c>
      <c r="I8121" s="7" t="n">
        <v>190801</v>
      </c>
      <c r="J8121" s="94" t="n"/>
      <c r="K8121" s="94" t="n">
        <v>1</v>
      </c>
      <c r="L8121" s="7" t="n">
        <v>190801</v>
      </c>
      <c r="M8121" s="94">
        <f>VLOOKUP($Q8121,매칭테이블!$F:$I,2,0)*K8121</f>
        <v/>
      </c>
      <c r="N8121" s="94">
        <f>M8121-M8121*VLOOKUP($Q8121,매칭테이블!$F:$I,3,0)</f>
        <v/>
      </c>
      <c r="O8121" s="94">
        <f>VLOOKUP($Q8121,매칭테이블!$F:$I,4,0)*K8121</f>
        <v/>
      </c>
      <c r="P8121" s="148">
        <f>M8121/1.1</f>
        <v/>
      </c>
      <c r="Q8121" s="94">
        <f>F8121&amp;E8121&amp;G8121&amp;L8121</f>
        <v/>
      </c>
    </row>
    <row r="8122">
      <c r="A8122" s="94" t="n"/>
      <c r="B8122" s="128" t="n">
        <v>44043</v>
      </c>
      <c r="C8122" s="94">
        <f>TEXT(B8122,"aaa")</f>
        <v/>
      </c>
      <c r="D8122" s="94" t="n"/>
      <c r="E8122" s="94" t="inlineStr">
        <is>
          <t>토너</t>
        </is>
      </c>
      <c r="F8122" s="5" t="inlineStr">
        <is>
          <t>쇼피태국</t>
        </is>
      </c>
      <c r="G8122" s="94" t="inlineStr">
        <is>
          <t>200726=250ml</t>
        </is>
      </c>
      <c r="H8122" s="7" t="n">
        <v>190801</v>
      </c>
      <c r="I8122" s="7" t="n">
        <v>190801</v>
      </c>
      <c r="J8122" s="94" t="n"/>
      <c r="K8122" s="94" t="n">
        <v>1</v>
      </c>
      <c r="L8122" s="7" t="n">
        <v>190801</v>
      </c>
      <c r="M8122" s="94">
        <f>VLOOKUP($Q8122,매칭테이블!$F:$I,2,0)*K8122</f>
        <v/>
      </c>
      <c r="N8122" s="94">
        <f>M8122-M8122*VLOOKUP($Q8122,매칭테이블!$F:$I,3,0)</f>
        <v/>
      </c>
      <c r="O8122" s="94">
        <f>VLOOKUP($Q8122,매칭테이블!$F:$I,4,0)*K8122</f>
        <v/>
      </c>
      <c r="P8122" s="148">
        <f>M8122/1.1</f>
        <v/>
      </c>
      <c r="Q8122" s="94">
        <f>F8122&amp;E8122&amp;G8122&amp;L8122</f>
        <v/>
      </c>
    </row>
    <row r="8123">
      <c r="A8123" s="94" t="n"/>
      <c r="B8123" s="128" t="n">
        <v>44043</v>
      </c>
      <c r="C8123" s="94">
        <f>TEXT(B8123,"aaa")</f>
        <v/>
      </c>
      <c r="D8123" s="94" t="n"/>
      <c r="E8123" s="94" t="inlineStr">
        <is>
          <t>앰플</t>
        </is>
      </c>
      <c r="F8123" s="5" t="inlineStr">
        <is>
          <t>쇼피태국</t>
        </is>
      </c>
      <c r="G8123" s="94" t="inlineStr">
        <is>
          <t>200726=앰플 30ml</t>
        </is>
      </c>
      <c r="H8123" s="7" t="n">
        <v>190801</v>
      </c>
      <c r="I8123" s="7" t="n">
        <v>190801</v>
      </c>
      <c r="J8123" s="94" t="n"/>
      <c r="K8123" s="94" t="n">
        <v>4</v>
      </c>
      <c r="L8123" s="7" t="n">
        <v>190801</v>
      </c>
      <c r="M8123" s="94">
        <f>VLOOKUP($Q8123,매칭테이블!$F:$I,2,0)*K8123</f>
        <v/>
      </c>
      <c r="N8123" s="94">
        <f>M8123-M8123*VLOOKUP($Q8123,매칭테이블!$F:$I,3,0)</f>
        <v/>
      </c>
      <c r="O8123" s="94">
        <f>VLOOKUP($Q8123,매칭테이블!$F:$I,4,0)*K8123</f>
        <v/>
      </c>
      <c r="P8123" s="148">
        <f>M8123/1.1</f>
        <v/>
      </c>
      <c r="Q8123" s="94">
        <f>F8123&amp;E8123&amp;G8123&amp;L8123</f>
        <v/>
      </c>
    </row>
    <row r="8124">
      <c r="A8124" s="94" t="n"/>
      <c r="B8124" s="128" t="n">
        <v>44043</v>
      </c>
      <c r="C8124" s="94">
        <f>TEXT(B8124,"aaa")</f>
        <v/>
      </c>
      <c r="D8124" s="94" t="n"/>
      <c r="E8124" s="94" t="inlineStr">
        <is>
          <t>토너</t>
        </is>
      </c>
      <c r="F8124" s="5" t="inlineStr">
        <is>
          <t>화해</t>
        </is>
      </c>
      <c r="G8124" s="94" t="inlineStr">
        <is>
          <t>250ml</t>
        </is>
      </c>
      <c r="H8124" s="7" t="n">
        <v>190801</v>
      </c>
      <c r="I8124" s="7" t="n">
        <v>190801</v>
      </c>
      <c r="J8124" s="94" t="n"/>
      <c r="K8124" s="94" t="n">
        <v>2</v>
      </c>
      <c r="L8124" s="7" t="n">
        <v>190801</v>
      </c>
      <c r="M8124" s="94">
        <f>VLOOKUP($Q8124,매칭테이블!$F:$I,2,0)*K8124</f>
        <v/>
      </c>
      <c r="N8124" s="94">
        <f>M8124-M8124*VLOOKUP($Q8124,매칭테이블!$F:$I,3,0)</f>
        <v/>
      </c>
      <c r="O8124" s="94">
        <f>VLOOKUP($Q8124,매칭테이블!$F:$I,4,0)*K8124</f>
        <v/>
      </c>
      <c r="P8124" s="148">
        <f>M8124/1.1</f>
        <v/>
      </c>
      <c r="Q8124" s="94">
        <f>F8124&amp;E8124&amp;G8124&amp;L8124</f>
        <v/>
      </c>
    </row>
    <row r="8125">
      <c r="A8125" s="94" t="n"/>
      <c r="B8125" s="128" t="n">
        <v>44044</v>
      </c>
      <c r="C8125" s="94">
        <f>TEXT(B8125,"aaa")</f>
        <v/>
      </c>
      <c r="D8125" s="94" t="n"/>
      <c r="E8125" s="94" t="inlineStr">
        <is>
          <t>선크림</t>
        </is>
      </c>
      <c r="F8125" s="5" t="inlineStr">
        <is>
          <t>카페24</t>
        </is>
      </c>
      <c r="G8125" s="94" t="inlineStr">
        <is>
          <t>선크림 50ml</t>
        </is>
      </c>
      <c r="H8125" s="7" t="n">
        <v>190801</v>
      </c>
      <c r="I8125" s="7" t="n">
        <v>190801</v>
      </c>
      <c r="J8125" s="94" t="n"/>
      <c r="K8125" s="94" t="n">
        <v>7</v>
      </c>
      <c r="L8125" s="7" t="n">
        <v>190801</v>
      </c>
      <c r="M8125" s="94">
        <f>VLOOKUP($Q8125,매칭테이블!$F:$I,2,0)*K8125</f>
        <v/>
      </c>
      <c r="N8125" s="94">
        <f>M8125-M8125*VLOOKUP($Q8125,매칭테이블!$F:$I,3,0)</f>
        <v/>
      </c>
      <c r="O8125" s="94">
        <f>VLOOKUP($Q8125,매칭테이블!$F:$I,4,0)*K8125</f>
        <v/>
      </c>
      <c r="P8125" s="148">
        <f>M8125/1.1</f>
        <v/>
      </c>
      <c r="Q8125" s="94">
        <f>F8125&amp;E8125&amp;G8125&amp;L8125</f>
        <v/>
      </c>
    </row>
    <row r="8126">
      <c r="A8126" s="94" t="n"/>
      <c r="B8126" s="128" t="n">
        <v>44044</v>
      </c>
      <c r="C8126" s="94">
        <f>TEXT(B8126,"aaa")</f>
        <v/>
      </c>
      <c r="D8126" s="94" t="n"/>
      <c r="E8126" s="94" t="inlineStr">
        <is>
          <t>여름 한정 진정세트</t>
        </is>
      </c>
      <c r="F8126" s="5" t="inlineStr">
        <is>
          <t>카페24</t>
        </is>
      </c>
      <c r="G8126" s="94" t="inlineStr">
        <is>
          <t>여름 한정 진정세트</t>
        </is>
      </c>
      <c r="H8126" s="7" t="n">
        <v>190801</v>
      </c>
      <c r="I8126" s="7" t="n">
        <v>190801</v>
      </c>
      <c r="J8126" s="94" t="n"/>
      <c r="K8126" s="94" t="n">
        <v>3</v>
      </c>
      <c r="L8126" s="7" t="n">
        <v>190801</v>
      </c>
      <c r="M8126" s="94">
        <f>VLOOKUP($Q8126,매칭테이블!$F:$I,2,0)*K8126</f>
        <v/>
      </c>
      <c r="N8126" s="94">
        <f>M8126-M8126*VLOOKUP($Q8126,매칭테이블!$F:$I,3,0)</f>
        <v/>
      </c>
      <c r="O8126" s="94">
        <f>VLOOKUP($Q8126,매칭테이블!$F:$I,4,0)*K8126</f>
        <v/>
      </c>
      <c r="P8126" s="148">
        <f>M8126/1.1</f>
        <v/>
      </c>
      <c r="Q8126" s="94">
        <f>F8126&amp;E8126&amp;G8126&amp;L8126</f>
        <v/>
      </c>
    </row>
    <row r="8127">
      <c r="A8127" s="94" t="n"/>
      <c r="B8127" s="128" t="n">
        <v>44044</v>
      </c>
      <c r="C8127" s="94">
        <f>TEXT(B8127,"aaa")</f>
        <v/>
      </c>
      <c r="D8127" s="94" t="n"/>
      <c r="E8127" s="94" t="inlineStr">
        <is>
          <t>여름 한정 진정세트</t>
        </is>
      </c>
      <c r="F8127" s="5" t="inlineStr">
        <is>
          <t>카페24</t>
        </is>
      </c>
      <c r="G8127" s="94" t="inlineStr">
        <is>
          <t>여름 한정 진정세트 (대용량)</t>
        </is>
      </c>
      <c r="H8127" s="7" t="n">
        <v>190801</v>
      </c>
      <c r="I8127" s="7" t="n">
        <v>190801</v>
      </c>
      <c r="J8127" s="94" t="n"/>
      <c r="K8127" s="94" t="n">
        <v>4</v>
      </c>
      <c r="L8127" s="7" t="n">
        <v>190801</v>
      </c>
      <c r="M8127" s="94">
        <f>VLOOKUP($Q8127,매칭테이블!$F:$I,2,0)*K8127</f>
        <v/>
      </c>
      <c r="N8127" s="94">
        <f>M8127-M8127*VLOOKUP($Q8127,매칭테이블!$F:$I,3,0)</f>
        <v/>
      </c>
      <c r="O8127" s="94">
        <f>VLOOKUP($Q8127,매칭테이블!$F:$I,4,0)*K8127</f>
        <v/>
      </c>
      <c r="P8127" s="148">
        <f>M8127/1.1</f>
        <v/>
      </c>
      <c r="Q8127" s="94">
        <f>F8127&amp;E8127&amp;G8127&amp;L8127</f>
        <v/>
      </c>
    </row>
    <row r="8128">
      <c r="A8128" s="94" t="n"/>
      <c r="B8128" s="128" t="n">
        <v>44044</v>
      </c>
      <c r="C8128" s="94">
        <f>TEXT(B8128,"aaa")</f>
        <v/>
      </c>
      <c r="D8128" s="94" t="n"/>
      <c r="E8128" s="94" t="inlineStr">
        <is>
          <t>어성초진정패키지</t>
        </is>
      </c>
      <c r="F8128" s="5" t="inlineStr">
        <is>
          <t>카페24</t>
        </is>
      </c>
      <c r="G8128" s="94" t="inlineStr">
        <is>
          <t>어성초 진정패키지세트</t>
        </is>
      </c>
      <c r="H8128" s="7" t="n">
        <v>190801</v>
      </c>
      <c r="I8128" s="7" t="n">
        <v>190801</v>
      </c>
      <c r="J8128" s="94" t="n"/>
      <c r="K8128" s="94" t="n">
        <v>4</v>
      </c>
      <c r="L8128" s="7" t="n">
        <v>190801</v>
      </c>
      <c r="M8128" s="94">
        <f>VLOOKUP($Q8128,매칭테이블!$F:$I,2,0)*K8128</f>
        <v/>
      </c>
      <c r="N8128" s="94">
        <f>M8128-M8128*VLOOKUP($Q8128,매칭테이블!$F:$I,3,0)</f>
        <v/>
      </c>
      <c r="O8128" s="94">
        <f>VLOOKUP($Q8128,매칭테이블!$F:$I,4,0)*K8128</f>
        <v/>
      </c>
      <c r="P8128" s="148">
        <f>M8128/1.1</f>
        <v/>
      </c>
      <c r="Q8128" s="94">
        <f>F8128&amp;E8128&amp;G8128&amp;L8128</f>
        <v/>
      </c>
    </row>
    <row r="8129">
      <c r="A8129" s="94" t="n"/>
      <c r="B8129" s="128" t="n">
        <v>44044</v>
      </c>
      <c r="C8129" s="94">
        <f>TEXT(B8129,"aaa")</f>
        <v/>
      </c>
      <c r="D8129" s="94" t="n"/>
      <c r="E8129" s="94" t="inlineStr">
        <is>
          <t>머드크림마스크</t>
        </is>
      </c>
      <c r="F8129" s="5" t="inlineStr">
        <is>
          <t>카페24</t>
        </is>
      </c>
      <c r="G8129" s="94" t="inlineStr">
        <is>
          <t>머드크림마스크 100ml</t>
        </is>
      </c>
      <c r="H8129" s="7" t="n">
        <v>190801</v>
      </c>
      <c r="I8129" s="7" t="n">
        <v>190801</v>
      </c>
      <c r="J8129" s="94" t="n"/>
      <c r="K8129" s="94" t="n">
        <v>5</v>
      </c>
      <c r="L8129" s="7" t="n">
        <v>190801</v>
      </c>
      <c r="M8129" s="94">
        <f>VLOOKUP($Q8129,매칭테이블!$F:$I,2,0)*K8129</f>
        <v/>
      </c>
      <c r="N8129" s="94">
        <f>M8129-M8129*VLOOKUP($Q8129,매칭테이블!$F:$I,3,0)</f>
        <v/>
      </c>
      <c r="O8129" s="94">
        <f>VLOOKUP($Q8129,매칭테이블!$F:$I,4,0)*K8129</f>
        <v/>
      </c>
      <c r="P8129" s="148">
        <f>M8129/1.1</f>
        <v/>
      </c>
      <c r="Q8129" s="94">
        <f>F8129&amp;E8129&amp;G8129&amp;L8129</f>
        <v/>
      </c>
    </row>
    <row r="8130">
      <c r="A8130" s="94" t="n"/>
      <c r="B8130" s="128" t="n">
        <v>44044</v>
      </c>
      <c r="C8130" s="94">
        <f>TEXT(B8130,"aaa")</f>
        <v/>
      </c>
      <c r="D8130" s="94" t="n"/>
      <c r="E8130" s="94" t="inlineStr">
        <is>
          <t>머드크림마스크</t>
        </is>
      </c>
      <c r="F8130" s="5" t="inlineStr">
        <is>
          <t>카페24</t>
        </is>
      </c>
      <c r="G8130" s="94" t="inlineStr">
        <is>
          <t>머드크림마스크 100ml 2set</t>
        </is>
      </c>
      <c r="H8130" s="7" t="n">
        <v>190801</v>
      </c>
      <c r="I8130" s="7" t="n">
        <v>190801</v>
      </c>
      <c r="J8130" s="94" t="n"/>
      <c r="K8130" s="94" t="n">
        <v>1</v>
      </c>
      <c r="L8130" s="7" t="n">
        <v>190801</v>
      </c>
      <c r="M8130" s="94">
        <f>VLOOKUP($Q8130,매칭테이블!$F:$I,2,0)*K8130</f>
        <v/>
      </c>
      <c r="N8130" s="94">
        <f>M8130-M8130*VLOOKUP($Q8130,매칭테이블!$F:$I,3,0)</f>
        <v/>
      </c>
      <c r="O8130" s="94">
        <f>VLOOKUP($Q8130,매칭테이블!$F:$I,4,0)*K8130</f>
        <v/>
      </c>
      <c r="P8130" s="148">
        <f>M8130/1.1</f>
        <v/>
      </c>
      <c r="Q8130" s="94">
        <f>F8130&amp;E8130&amp;G8130&amp;L8130</f>
        <v/>
      </c>
    </row>
    <row r="8131">
      <c r="A8131" s="94" t="n"/>
      <c r="B8131" s="128" t="n">
        <v>44044</v>
      </c>
      <c r="C8131" s="94">
        <f>TEXT(B8131,"aaa")</f>
        <v/>
      </c>
      <c r="D8131" s="94" t="n"/>
      <c r="E8131" s="94" t="inlineStr">
        <is>
          <t>마스크팩</t>
        </is>
      </c>
      <c r="F8131" s="5" t="inlineStr">
        <is>
          <t>카페24</t>
        </is>
      </c>
      <c r="G8131" s="94" t="inlineStr">
        <is>
          <t>마스크팩 1매</t>
        </is>
      </c>
      <c r="H8131" s="7" t="n">
        <v>190801</v>
      </c>
      <c r="I8131" s="7" t="n">
        <v>190801</v>
      </c>
      <c r="J8131" s="94" t="n"/>
      <c r="K8131" s="94" t="n">
        <v>1</v>
      </c>
      <c r="L8131" s="7" t="n">
        <v>190801</v>
      </c>
      <c r="M8131" s="94">
        <f>VLOOKUP($Q8131,매칭테이블!$F:$I,2,0)*K8131</f>
        <v/>
      </c>
      <c r="N8131" s="94">
        <f>M8131-M8131*VLOOKUP($Q8131,매칭테이블!$F:$I,3,0)</f>
        <v/>
      </c>
      <c r="O8131" s="94">
        <f>VLOOKUP($Q8131,매칭테이블!$F:$I,4,0)*K8131</f>
        <v/>
      </c>
      <c r="P8131" s="148">
        <f>M8131/1.1</f>
        <v/>
      </c>
      <c r="Q8131" s="94">
        <f>F8131&amp;E8131&amp;G8131&amp;L8131</f>
        <v/>
      </c>
    </row>
    <row r="8132">
      <c r="A8132" s="94" t="n"/>
      <c r="B8132" s="128" t="n">
        <v>44044</v>
      </c>
      <c r="C8132" s="94">
        <f>TEXT(B8132,"aaa")</f>
        <v/>
      </c>
      <c r="D8132" s="94" t="n"/>
      <c r="E8132" s="94" t="inlineStr">
        <is>
          <t>마스크팩</t>
        </is>
      </c>
      <c r="F8132" s="5" t="inlineStr">
        <is>
          <t>카페24</t>
        </is>
      </c>
      <c r="G8132" s="94" t="inlineStr">
        <is>
          <t>마스크팩 10매</t>
        </is>
      </c>
      <c r="H8132" s="7" t="n">
        <v>190801</v>
      </c>
      <c r="I8132" s="7" t="n">
        <v>190801</v>
      </c>
      <c r="J8132" s="94" t="n"/>
      <c r="K8132" s="94" t="n">
        <v>4</v>
      </c>
      <c r="L8132" s="7" t="n">
        <v>190801</v>
      </c>
      <c r="M8132" s="94">
        <f>VLOOKUP($Q8132,매칭테이블!$F:$I,2,0)*K8132</f>
        <v/>
      </c>
      <c r="N8132" s="94">
        <f>M8132-M8132*VLOOKUP($Q8132,매칭테이블!$F:$I,3,0)</f>
        <v/>
      </c>
      <c r="O8132" s="94">
        <f>VLOOKUP($Q8132,매칭테이블!$F:$I,4,0)*K8132</f>
        <v/>
      </c>
      <c r="P8132" s="148">
        <f>M8132/1.1</f>
        <v/>
      </c>
      <c r="Q8132" s="94">
        <f>F8132&amp;E8132&amp;G8132&amp;L8132</f>
        <v/>
      </c>
    </row>
    <row r="8133">
      <c r="A8133" s="94" t="n"/>
      <c r="B8133" s="128" t="n">
        <v>44044</v>
      </c>
      <c r="C8133" s="94">
        <f>TEXT(B8133,"aaa")</f>
        <v/>
      </c>
      <c r="D8133" s="94" t="n"/>
      <c r="E8133" s="94" t="inlineStr">
        <is>
          <t>토너</t>
        </is>
      </c>
      <c r="F8133" s="5" t="inlineStr">
        <is>
          <t>카페24</t>
        </is>
      </c>
      <c r="G8133" s="94" t="inlineStr">
        <is>
          <t>250ml</t>
        </is>
      </c>
      <c r="H8133" s="7" t="n">
        <v>190801</v>
      </c>
      <c r="I8133" s="7" t="n">
        <v>190801</v>
      </c>
      <c r="J8133" s="94" t="n"/>
      <c r="K8133" s="94" t="n">
        <v>93</v>
      </c>
      <c r="L8133" s="7" t="n">
        <v>190801</v>
      </c>
      <c r="M8133" s="94">
        <f>VLOOKUP($Q8133,매칭테이블!$F:$I,2,0)*K8133</f>
        <v/>
      </c>
      <c r="N8133" s="94">
        <f>M8133-M8133*VLOOKUP($Q8133,매칭테이블!$F:$I,3,0)</f>
        <v/>
      </c>
      <c r="O8133" s="94">
        <f>VLOOKUP($Q8133,매칭테이블!$F:$I,4,0)*K8133</f>
        <v/>
      </c>
      <c r="P8133" s="148">
        <f>M8133/1.1</f>
        <v/>
      </c>
      <c r="Q8133" s="94">
        <f>F8133&amp;E8133&amp;G8133&amp;L8133</f>
        <v/>
      </c>
    </row>
    <row r="8134">
      <c r="A8134" s="94" t="n"/>
      <c r="B8134" s="128" t="n">
        <v>44044</v>
      </c>
      <c r="C8134" s="94">
        <f>TEXT(B8134,"aaa")</f>
        <v/>
      </c>
      <c r="D8134" s="94" t="n"/>
      <c r="E8134" s="94" t="inlineStr">
        <is>
          <t>토너</t>
        </is>
      </c>
      <c r="F8134" s="5" t="inlineStr">
        <is>
          <t>카페24</t>
        </is>
      </c>
      <c r="G8134" s="94" t="inlineStr">
        <is>
          <t>250ml 2set</t>
        </is>
      </c>
      <c r="H8134" s="7" t="n">
        <v>190801</v>
      </c>
      <c r="I8134" s="7" t="n">
        <v>190801</v>
      </c>
      <c r="J8134" s="94" t="n"/>
      <c r="K8134" s="94" t="n">
        <v>62</v>
      </c>
      <c r="L8134" s="7" t="n">
        <v>190801</v>
      </c>
      <c r="M8134" s="94">
        <f>VLOOKUP($Q8134,매칭테이블!$F:$I,2,0)*K8134</f>
        <v/>
      </c>
      <c r="N8134" s="94">
        <f>M8134-M8134*VLOOKUP($Q8134,매칭테이블!$F:$I,3,0)</f>
        <v/>
      </c>
      <c r="O8134" s="94">
        <f>VLOOKUP($Q8134,매칭테이블!$F:$I,4,0)*K8134</f>
        <v/>
      </c>
      <c r="P8134" s="148">
        <f>M8134/1.1</f>
        <v/>
      </c>
      <c r="Q8134" s="94">
        <f>F8134&amp;E8134&amp;G8134&amp;L8134</f>
        <v/>
      </c>
    </row>
    <row r="8135">
      <c r="A8135" s="94" t="n"/>
      <c r="B8135" s="128" t="n">
        <v>44044</v>
      </c>
      <c r="C8135" s="94">
        <f>TEXT(B8135,"aaa")</f>
        <v/>
      </c>
      <c r="D8135" s="94" t="n"/>
      <c r="E8135" s="94" t="inlineStr">
        <is>
          <t>토너</t>
        </is>
      </c>
      <c r="F8135" s="5" t="inlineStr">
        <is>
          <t>카페24</t>
        </is>
      </c>
      <c r="G8135" s="94" t="inlineStr">
        <is>
          <t>500ml</t>
        </is>
      </c>
      <c r="H8135" s="7" t="n">
        <v>190801</v>
      </c>
      <c r="I8135" s="7" t="n">
        <v>190801</v>
      </c>
      <c r="J8135" s="94" t="n"/>
      <c r="K8135" s="94" t="n">
        <v>76</v>
      </c>
      <c r="L8135" s="7" t="n">
        <v>190801</v>
      </c>
      <c r="M8135" s="94">
        <f>VLOOKUP($Q8135,매칭테이블!$F:$I,2,0)*K8135</f>
        <v/>
      </c>
      <c r="N8135" s="94">
        <f>M8135-M8135*VLOOKUP($Q8135,매칭테이블!$F:$I,3,0)</f>
        <v/>
      </c>
      <c r="O8135" s="94">
        <f>VLOOKUP($Q8135,매칭테이블!$F:$I,4,0)*K8135</f>
        <v/>
      </c>
      <c r="P8135" s="148">
        <f>M8135/1.1</f>
        <v/>
      </c>
      <c r="Q8135" s="94">
        <f>F8135&amp;E8135&amp;G8135&amp;L8135</f>
        <v/>
      </c>
    </row>
    <row r="8136">
      <c r="A8136" s="94" t="n"/>
      <c r="B8136" s="128" t="n">
        <v>44044</v>
      </c>
      <c r="C8136" s="94">
        <f>TEXT(B8136,"aaa")</f>
        <v/>
      </c>
      <c r="D8136" s="94" t="n"/>
      <c r="E8136" s="94" t="inlineStr">
        <is>
          <t>토너</t>
        </is>
      </c>
      <c r="F8136" s="5" t="inlineStr">
        <is>
          <t>카페24</t>
        </is>
      </c>
      <c r="G8136" s="94" t="inlineStr">
        <is>
          <t>스킨팩 화장솜 60P</t>
        </is>
      </c>
      <c r="H8136" s="7" t="n">
        <v>190801</v>
      </c>
      <c r="I8136" s="7" t="n">
        <v>190801</v>
      </c>
      <c r="J8136" s="94" t="n"/>
      <c r="K8136" s="94" t="n">
        <v>95</v>
      </c>
      <c r="L8136" s="7" t="n">
        <v>190801</v>
      </c>
      <c r="M8136" s="94">
        <f>VLOOKUP($Q8136,매칭테이블!$F:$I,2,0)*K8136</f>
        <v/>
      </c>
      <c r="N8136" s="94">
        <f>M8136-M8136*VLOOKUP($Q8136,매칭테이블!$F:$I,3,0)</f>
        <v/>
      </c>
      <c r="O8136" s="94">
        <f>VLOOKUP($Q8136,매칭테이블!$F:$I,4,0)*K8136</f>
        <v/>
      </c>
      <c r="P8136" s="148">
        <f>M8136/1.1</f>
        <v/>
      </c>
      <c r="Q8136" s="94">
        <f>F8136&amp;E8136&amp;G8136&amp;L8136</f>
        <v/>
      </c>
    </row>
    <row r="8137">
      <c r="A8137" s="94" t="n"/>
      <c r="B8137" s="128" t="n">
        <v>44044</v>
      </c>
      <c r="C8137" s="94">
        <f>TEXT(B8137,"aaa")</f>
        <v/>
      </c>
      <c r="D8137" s="94" t="n"/>
      <c r="E8137" s="94" t="inlineStr">
        <is>
          <t>앰플</t>
        </is>
      </c>
      <c r="F8137" s="5" t="inlineStr">
        <is>
          <t>카페24</t>
        </is>
      </c>
      <c r="G8137" s="94" t="inlineStr">
        <is>
          <t>앰플 30ml</t>
        </is>
      </c>
      <c r="H8137" s="7" t="n">
        <v>190801</v>
      </c>
      <c r="I8137" s="7" t="n">
        <v>190801</v>
      </c>
      <c r="J8137" s="94" t="n"/>
      <c r="K8137" s="94" t="n">
        <v>20</v>
      </c>
      <c r="L8137" s="7" t="n">
        <v>190801</v>
      </c>
      <c r="M8137" s="94">
        <f>VLOOKUP($Q8137,매칭테이블!$F:$I,2,0)*K8137</f>
        <v/>
      </c>
      <c r="N8137" s="94">
        <f>M8137-M8137*VLOOKUP($Q8137,매칭테이블!$F:$I,3,0)</f>
        <v/>
      </c>
      <c r="O8137" s="94">
        <f>VLOOKUP($Q8137,매칭테이블!$F:$I,4,0)*K8137</f>
        <v/>
      </c>
      <c r="P8137" s="148">
        <f>M8137/1.1</f>
        <v/>
      </c>
      <c r="Q8137" s="94">
        <f>F8137&amp;E8137&amp;G8137&amp;L8137</f>
        <v/>
      </c>
    </row>
    <row r="8138">
      <c r="A8138" s="94" t="n"/>
      <c r="B8138" s="128" t="n">
        <v>44044</v>
      </c>
      <c r="C8138" s="94">
        <f>TEXT(B8138,"aaa")</f>
        <v/>
      </c>
      <c r="D8138" s="94" t="n"/>
      <c r="E8138" s="94" t="inlineStr">
        <is>
          <t>수딩크림</t>
        </is>
      </c>
      <c r="F8138" s="5" t="inlineStr">
        <is>
          <t>카페24</t>
        </is>
      </c>
      <c r="G8138" s="94" t="inlineStr">
        <is>
          <t>수딩크림 100ml</t>
        </is>
      </c>
      <c r="H8138" s="7" t="n">
        <v>190801</v>
      </c>
      <c r="I8138" s="7" t="n">
        <v>190801</v>
      </c>
      <c r="J8138" s="94" t="n"/>
      <c r="K8138" s="94" t="n">
        <v>4</v>
      </c>
      <c r="L8138" s="7" t="n">
        <v>190801</v>
      </c>
      <c r="M8138" s="94">
        <f>VLOOKUP($Q8138,매칭테이블!$F:$I,2,0)*K8138</f>
        <v/>
      </c>
      <c r="N8138" s="94">
        <f>M8138-M8138*VLOOKUP($Q8138,매칭테이블!$F:$I,3,0)</f>
        <v/>
      </c>
      <c r="O8138" s="94">
        <f>VLOOKUP($Q8138,매칭테이블!$F:$I,4,0)*K8138</f>
        <v/>
      </c>
      <c r="P8138" s="148">
        <f>M8138/1.1</f>
        <v/>
      </c>
      <c r="Q8138" s="94">
        <f>F8138&amp;E8138&amp;G8138&amp;L8138</f>
        <v/>
      </c>
    </row>
    <row r="8139">
      <c r="A8139" s="94" t="n"/>
      <c r="B8139" s="128" t="n">
        <v>44044</v>
      </c>
      <c r="C8139" s="94">
        <f>TEXT(B8139,"aaa")</f>
        <v/>
      </c>
      <c r="D8139" s="94" t="n"/>
      <c r="E8139" s="94" t="inlineStr">
        <is>
          <t>토너</t>
        </is>
      </c>
      <c r="F8139" s="5" t="inlineStr">
        <is>
          <t>화해</t>
        </is>
      </c>
      <c r="G8139" s="94" t="inlineStr">
        <is>
          <t>250ml</t>
        </is>
      </c>
      <c r="H8139" s="7" t="n">
        <v>190801</v>
      </c>
      <c r="I8139" s="7" t="n">
        <v>190801</v>
      </c>
      <c r="J8139" s="94" t="n"/>
      <c r="K8139" s="94" t="n">
        <v>7</v>
      </c>
      <c r="L8139" s="7" t="n">
        <v>190801</v>
      </c>
      <c r="M8139" s="94">
        <f>VLOOKUP($Q8139,매칭테이블!$F:$I,2,0)*K8139</f>
        <v/>
      </c>
      <c r="N8139" s="94">
        <f>M8139-M8139*VLOOKUP($Q8139,매칭테이블!$F:$I,3,0)</f>
        <v/>
      </c>
      <c r="O8139" s="94">
        <f>VLOOKUP($Q8139,매칭테이블!$F:$I,4,0)*K8139</f>
        <v/>
      </c>
      <c r="P8139" s="148">
        <f>M8139/1.1</f>
        <v/>
      </c>
      <c r="Q8139" s="94">
        <f>F8139&amp;E8139&amp;G8139&amp;L8139</f>
        <v/>
      </c>
    </row>
    <row r="8140">
      <c r="A8140" s="94" t="n"/>
      <c r="B8140" s="128" t="n">
        <v>44044</v>
      </c>
      <c r="C8140" s="94">
        <f>TEXT(B8140,"aaa")</f>
        <v/>
      </c>
      <c r="D8140" s="94" t="n"/>
      <c r="E8140" s="94" t="inlineStr">
        <is>
          <t>선크림</t>
        </is>
      </c>
      <c r="F8140" s="5" t="inlineStr">
        <is>
          <t>화해</t>
        </is>
      </c>
      <c r="G8140" s="94" t="inlineStr">
        <is>
          <t>선크림 50ml</t>
        </is>
      </c>
      <c r="H8140" s="7" t="n">
        <v>190801</v>
      </c>
      <c r="I8140" s="7" t="n">
        <v>190801</v>
      </c>
      <c r="J8140" s="94" t="n"/>
      <c r="K8140" s="94" t="n">
        <v>2</v>
      </c>
      <c r="L8140" s="7" t="n">
        <v>190801</v>
      </c>
      <c r="M8140" s="94">
        <f>VLOOKUP($Q8140,매칭테이블!$F:$I,2,0)*K8140</f>
        <v/>
      </c>
      <c r="N8140" s="94">
        <f>M8140-M8140*VLOOKUP($Q8140,매칭테이블!$F:$I,3,0)</f>
        <v/>
      </c>
      <c r="O8140" s="94">
        <f>VLOOKUP($Q8140,매칭테이블!$F:$I,4,0)*K8140</f>
        <v/>
      </c>
      <c r="P8140" s="148">
        <f>M8140/1.1</f>
        <v/>
      </c>
      <c r="Q8140" s="94">
        <f>F8140&amp;E8140&amp;G8140&amp;L8140</f>
        <v/>
      </c>
    </row>
    <row r="8141">
      <c r="A8141" s="94" t="n"/>
      <c r="B8141" s="128" t="n">
        <v>44045</v>
      </c>
      <c r="C8141" s="94">
        <f>TEXT(B8141,"aaa")</f>
        <v/>
      </c>
      <c r="D8141" s="94" t="n"/>
      <c r="E8141" s="94" t="inlineStr">
        <is>
          <t>토너</t>
        </is>
      </c>
      <c r="F8141" s="5" t="inlineStr">
        <is>
          <t>스타일쉐어</t>
        </is>
      </c>
      <c r="G8141" s="94" t="inlineStr">
        <is>
          <t>250ml</t>
        </is>
      </c>
      <c r="H8141" s="7" t="n">
        <v>190801</v>
      </c>
      <c r="I8141" s="7" t="n">
        <v>190801</v>
      </c>
      <c r="J8141" s="94" t="n"/>
      <c r="K8141" s="94" t="n">
        <v>24</v>
      </c>
      <c r="L8141" s="7" t="n">
        <v>190801</v>
      </c>
      <c r="M8141" s="94">
        <f>VLOOKUP($Q8141,매칭테이블!$F:$I,2,0)*K8141</f>
        <v/>
      </c>
      <c r="N8141" s="94">
        <f>M8141-M8141*VLOOKUP($Q8141,매칭테이블!$F:$I,3,0)</f>
        <v/>
      </c>
      <c r="O8141" s="94">
        <f>VLOOKUP($Q8141,매칭테이블!$F:$I,4,0)*K8141</f>
        <v/>
      </c>
      <c r="P8141" s="148">
        <f>M8141/1.1</f>
        <v/>
      </c>
      <c r="Q8141" s="94">
        <f>F8141&amp;E8141&amp;G8141&amp;L8141</f>
        <v/>
      </c>
    </row>
    <row r="8142">
      <c r="A8142" s="94" t="n"/>
      <c r="B8142" s="128" t="n">
        <v>44045</v>
      </c>
      <c r="C8142" s="94">
        <f>TEXT(B8142,"aaa")</f>
        <v/>
      </c>
      <c r="D8142" s="94" t="n"/>
      <c r="E8142" s="94" t="inlineStr">
        <is>
          <t>선크림</t>
        </is>
      </c>
      <c r="F8142" s="5" t="inlineStr">
        <is>
          <t>카페24</t>
        </is>
      </c>
      <c r="G8142" s="94" t="inlineStr">
        <is>
          <t>선크림 50ml</t>
        </is>
      </c>
      <c r="H8142" s="7" t="n">
        <v>190801</v>
      </c>
      <c r="I8142" s="7" t="n">
        <v>190801</v>
      </c>
      <c r="J8142" s="94" t="n"/>
      <c r="K8142" s="94" t="n">
        <v>3</v>
      </c>
      <c r="L8142" s="7" t="n">
        <v>190801</v>
      </c>
      <c r="M8142" s="94">
        <f>VLOOKUP($Q8142,매칭테이블!$F:$I,2,0)*K8142</f>
        <v/>
      </c>
      <c r="N8142" s="94">
        <f>M8142-M8142*VLOOKUP($Q8142,매칭테이블!$F:$I,3,0)</f>
        <v/>
      </c>
      <c r="O8142" s="94">
        <f>VLOOKUP($Q8142,매칭테이블!$F:$I,4,0)*K8142</f>
        <v/>
      </c>
      <c r="P8142" s="148">
        <f>M8142/1.1</f>
        <v/>
      </c>
      <c r="Q8142" s="94">
        <f>F8142&amp;E8142&amp;G8142&amp;L8142</f>
        <v/>
      </c>
    </row>
    <row r="8143">
      <c r="A8143" s="94" t="n"/>
      <c r="B8143" s="128" t="n">
        <v>44045</v>
      </c>
      <c r="C8143" s="94">
        <f>TEXT(B8143,"aaa")</f>
        <v/>
      </c>
      <c r="D8143" s="94" t="n"/>
      <c r="E8143" s="94" t="inlineStr">
        <is>
          <t>선크림</t>
        </is>
      </c>
      <c r="F8143" s="5" t="inlineStr">
        <is>
          <t>카페24</t>
        </is>
      </c>
      <c r="G8143" s="94" t="inlineStr">
        <is>
          <t>선크림 50ml  2set</t>
        </is>
      </c>
      <c r="H8143" s="7" t="n">
        <v>190801</v>
      </c>
      <c r="I8143" s="7" t="n">
        <v>190801</v>
      </c>
      <c r="J8143" s="94" t="n"/>
      <c r="K8143" s="94" t="n">
        <v>1</v>
      </c>
      <c r="L8143" s="7" t="n">
        <v>190801</v>
      </c>
      <c r="M8143" s="94">
        <f>VLOOKUP($Q8143,매칭테이블!$F:$I,2,0)*K8143</f>
        <v/>
      </c>
      <c r="N8143" s="94">
        <f>M8143-M8143*VLOOKUP($Q8143,매칭테이블!$F:$I,3,0)</f>
        <v/>
      </c>
      <c r="O8143" s="94">
        <f>VLOOKUP($Q8143,매칭테이블!$F:$I,4,0)*K8143</f>
        <v/>
      </c>
      <c r="P8143" s="148">
        <f>M8143/1.1</f>
        <v/>
      </c>
      <c r="Q8143" s="94">
        <f>F8143&amp;E8143&amp;G8143&amp;L8143</f>
        <v/>
      </c>
    </row>
    <row r="8144">
      <c r="A8144" s="94" t="n"/>
      <c r="B8144" s="128" t="n">
        <v>44045</v>
      </c>
      <c r="C8144" s="94">
        <f>TEXT(B8144,"aaa")</f>
        <v/>
      </c>
      <c r="D8144" s="94" t="n"/>
      <c r="E8144" s="94" t="inlineStr">
        <is>
          <t>여름 한정 진정세트</t>
        </is>
      </c>
      <c r="F8144" s="5" t="inlineStr">
        <is>
          <t>카페24</t>
        </is>
      </c>
      <c r="G8144" s="94" t="inlineStr">
        <is>
          <t>여름 한정 진정세트</t>
        </is>
      </c>
      <c r="H8144" s="7" t="n">
        <v>190801</v>
      </c>
      <c r="I8144" s="7" t="n">
        <v>190801</v>
      </c>
      <c r="J8144" s="94" t="n"/>
      <c r="K8144" s="94" t="n">
        <v>4</v>
      </c>
      <c r="L8144" s="7" t="n">
        <v>190801</v>
      </c>
      <c r="M8144" s="94">
        <f>VLOOKUP($Q8144,매칭테이블!$F:$I,2,0)*K8144</f>
        <v/>
      </c>
      <c r="N8144" s="94">
        <f>M8144-M8144*VLOOKUP($Q8144,매칭테이블!$F:$I,3,0)</f>
        <v/>
      </c>
      <c r="O8144" s="94">
        <f>VLOOKUP($Q8144,매칭테이블!$F:$I,4,0)*K8144</f>
        <v/>
      </c>
      <c r="P8144" s="148">
        <f>M8144/1.1</f>
        <v/>
      </c>
      <c r="Q8144" s="94">
        <f>F8144&amp;E8144&amp;G8144&amp;L8144</f>
        <v/>
      </c>
    </row>
    <row r="8145">
      <c r="A8145" s="94" t="n"/>
      <c r="B8145" s="128" t="n">
        <v>44045</v>
      </c>
      <c r="C8145" s="94">
        <f>TEXT(B8145,"aaa")</f>
        <v/>
      </c>
      <c r="D8145" s="94" t="n"/>
      <c r="E8145" s="94" t="inlineStr">
        <is>
          <t>여름 한정 진정세트</t>
        </is>
      </c>
      <c r="F8145" s="5" t="inlineStr">
        <is>
          <t>카페24</t>
        </is>
      </c>
      <c r="G8145" s="94" t="inlineStr">
        <is>
          <t>여름 한정 진정세트 (대용량)</t>
        </is>
      </c>
      <c r="H8145" s="7" t="n">
        <v>190801</v>
      </c>
      <c r="I8145" s="7" t="n">
        <v>190801</v>
      </c>
      <c r="J8145" s="94" t="n"/>
      <c r="K8145" s="94" t="n">
        <v>8</v>
      </c>
      <c r="L8145" s="7" t="n">
        <v>190801</v>
      </c>
      <c r="M8145" s="94">
        <f>VLOOKUP($Q8145,매칭테이블!$F:$I,2,0)*K8145</f>
        <v/>
      </c>
      <c r="N8145" s="94">
        <f>M8145-M8145*VLOOKUP($Q8145,매칭테이블!$F:$I,3,0)</f>
        <v/>
      </c>
      <c r="O8145" s="94">
        <f>VLOOKUP($Q8145,매칭테이블!$F:$I,4,0)*K8145</f>
        <v/>
      </c>
      <c r="P8145" s="148">
        <f>M8145/1.1</f>
        <v/>
      </c>
      <c r="Q8145" s="94">
        <f>F8145&amp;E8145&amp;G8145&amp;L8145</f>
        <v/>
      </c>
    </row>
    <row r="8146">
      <c r="A8146" s="94" t="n"/>
      <c r="B8146" s="128" t="n">
        <v>44045</v>
      </c>
      <c r="C8146" s="94">
        <f>TEXT(B8146,"aaa")</f>
        <v/>
      </c>
      <c r="D8146" s="94" t="n"/>
      <c r="E8146" s="94" t="inlineStr">
        <is>
          <t>어성초진정패키지</t>
        </is>
      </c>
      <c r="F8146" s="5" t="inlineStr">
        <is>
          <t>카페24</t>
        </is>
      </c>
      <c r="G8146" s="94" t="inlineStr">
        <is>
          <t>어성초 진정패키지세트</t>
        </is>
      </c>
      <c r="H8146" s="7" t="n">
        <v>190801</v>
      </c>
      <c r="I8146" s="7" t="n">
        <v>190801</v>
      </c>
      <c r="J8146" s="94" t="n"/>
      <c r="K8146" s="94" t="n">
        <v>3</v>
      </c>
      <c r="L8146" s="7" t="n">
        <v>190801</v>
      </c>
      <c r="M8146" s="94">
        <f>VLOOKUP($Q8146,매칭테이블!$F:$I,2,0)*K8146</f>
        <v/>
      </c>
      <c r="N8146" s="94">
        <f>M8146-M8146*VLOOKUP($Q8146,매칭테이블!$F:$I,3,0)</f>
        <v/>
      </c>
      <c r="O8146" s="94">
        <f>VLOOKUP($Q8146,매칭테이블!$F:$I,4,0)*K8146</f>
        <v/>
      </c>
      <c r="P8146" s="148">
        <f>M8146/1.1</f>
        <v/>
      </c>
      <c r="Q8146" s="94">
        <f>F8146&amp;E8146&amp;G8146&amp;L8146</f>
        <v/>
      </c>
    </row>
    <row r="8147">
      <c r="A8147" s="94" t="n"/>
      <c r="B8147" s="128" t="n">
        <v>44045</v>
      </c>
      <c r="C8147" s="94">
        <f>TEXT(B8147,"aaa")</f>
        <v/>
      </c>
      <c r="D8147" s="94" t="n"/>
      <c r="E8147" s="94" t="inlineStr">
        <is>
          <t>머드크림마스크</t>
        </is>
      </c>
      <c r="F8147" s="5" t="inlineStr">
        <is>
          <t>카페24</t>
        </is>
      </c>
      <c r="G8147" s="94" t="inlineStr">
        <is>
          <t>머드크림마스크 100ml</t>
        </is>
      </c>
      <c r="H8147" s="7" t="n">
        <v>190801</v>
      </c>
      <c r="I8147" s="7" t="n">
        <v>190801</v>
      </c>
      <c r="J8147" s="94" t="n"/>
      <c r="K8147" s="94" t="n">
        <v>3</v>
      </c>
      <c r="L8147" s="7" t="n">
        <v>190801</v>
      </c>
      <c r="M8147" s="94">
        <f>VLOOKUP($Q8147,매칭테이블!$F:$I,2,0)*K8147</f>
        <v/>
      </c>
      <c r="N8147" s="94">
        <f>M8147-M8147*VLOOKUP($Q8147,매칭테이블!$F:$I,3,0)</f>
        <v/>
      </c>
      <c r="O8147" s="94">
        <f>VLOOKUP($Q8147,매칭테이블!$F:$I,4,0)*K8147</f>
        <v/>
      </c>
      <c r="P8147" s="148">
        <f>M8147/1.1</f>
        <v/>
      </c>
      <c r="Q8147" s="94">
        <f>F8147&amp;E8147&amp;G8147&amp;L8147</f>
        <v/>
      </c>
    </row>
    <row r="8148">
      <c r="A8148" s="94" t="n"/>
      <c r="B8148" s="128" t="n">
        <v>44045</v>
      </c>
      <c r="C8148" s="94">
        <f>TEXT(B8148,"aaa")</f>
        <v/>
      </c>
      <c r="D8148" s="94" t="n"/>
      <c r="E8148" s="94" t="inlineStr">
        <is>
          <t>마스크팩</t>
        </is>
      </c>
      <c r="F8148" s="5" t="inlineStr">
        <is>
          <t>카페24</t>
        </is>
      </c>
      <c r="G8148" s="94" t="inlineStr">
        <is>
          <t>마스크팩 1매</t>
        </is>
      </c>
      <c r="H8148" s="7" t="n">
        <v>190801</v>
      </c>
      <c r="I8148" s="7" t="n">
        <v>190801</v>
      </c>
      <c r="J8148" s="94" t="n"/>
      <c r="K8148" s="94" t="n">
        <v>3</v>
      </c>
      <c r="L8148" s="7" t="n">
        <v>190801</v>
      </c>
      <c r="M8148" s="94">
        <f>VLOOKUP($Q8148,매칭테이블!$F:$I,2,0)*K8148</f>
        <v/>
      </c>
      <c r="N8148" s="94">
        <f>M8148-M8148*VLOOKUP($Q8148,매칭테이블!$F:$I,3,0)</f>
        <v/>
      </c>
      <c r="O8148" s="94">
        <f>VLOOKUP($Q8148,매칭테이블!$F:$I,4,0)*K8148</f>
        <v/>
      </c>
      <c r="P8148" s="148">
        <f>M8148/1.1</f>
        <v/>
      </c>
      <c r="Q8148" s="94">
        <f>F8148&amp;E8148&amp;G8148&amp;L8148</f>
        <v/>
      </c>
    </row>
    <row r="8149">
      <c r="A8149" s="94" t="n"/>
      <c r="B8149" s="128" t="n">
        <v>44045</v>
      </c>
      <c r="C8149" s="94">
        <f>TEXT(B8149,"aaa")</f>
        <v/>
      </c>
      <c r="D8149" s="94" t="n"/>
      <c r="E8149" s="94" t="inlineStr">
        <is>
          <t>마스크팩</t>
        </is>
      </c>
      <c r="F8149" s="5" t="inlineStr">
        <is>
          <t>카페24</t>
        </is>
      </c>
      <c r="G8149" s="94" t="inlineStr">
        <is>
          <t>마스크팩 10매</t>
        </is>
      </c>
      <c r="H8149" s="7" t="n">
        <v>190801</v>
      </c>
      <c r="I8149" s="7" t="n">
        <v>190801</v>
      </c>
      <c r="J8149" s="94" t="n"/>
      <c r="K8149" s="94" t="n">
        <v>7</v>
      </c>
      <c r="L8149" s="7" t="n">
        <v>190801</v>
      </c>
      <c r="M8149" s="94">
        <f>VLOOKUP($Q8149,매칭테이블!$F:$I,2,0)*K8149</f>
        <v/>
      </c>
      <c r="N8149" s="94">
        <f>M8149-M8149*VLOOKUP($Q8149,매칭테이블!$F:$I,3,0)</f>
        <v/>
      </c>
      <c r="O8149" s="94">
        <f>VLOOKUP($Q8149,매칭테이블!$F:$I,4,0)*K8149</f>
        <v/>
      </c>
      <c r="P8149" s="148">
        <f>M8149/1.1</f>
        <v/>
      </c>
      <c r="Q8149" s="94">
        <f>F8149&amp;E8149&amp;G8149&amp;L8149</f>
        <v/>
      </c>
    </row>
    <row r="8150">
      <c r="A8150" s="94" t="n"/>
      <c r="B8150" s="128" t="n">
        <v>44045</v>
      </c>
      <c r="C8150" s="94">
        <f>TEXT(B8150,"aaa")</f>
        <v/>
      </c>
      <c r="D8150" s="94" t="n"/>
      <c r="E8150" s="94" t="inlineStr">
        <is>
          <t>토너</t>
        </is>
      </c>
      <c r="F8150" s="5" t="inlineStr">
        <is>
          <t>카페24</t>
        </is>
      </c>
      <c r="G8150" s="94" t="inlineStr">
        <is>
          <t>250ml</t>
        </is>
      </c>
      <c r="H8150" s="7" t="n">
        <v>190801</v>
      </c>
      <c r="I8150" s="7" t="n">
        <v>190801</v>
      </c>
      <c r="J8150" s="94" t="n"/>
      <c r="K8150" s="94" t="n">
        <v>102</v>
      </c>
      <c r="L8150" s="7" t="n">
        <v>190801</v>
      </c>
      <c r="M8150" s="94">
        <f>VLOOKUP($Q8150,매칭테이블!$F:$I,2,0)*K8150</f>
        <v/>
      </c>
      <c r="N8150" s="94">
        <f>M8150-M8150*VLOOKUP($Q8150,매칭테이블!$F:$I,3,0)</f>
        <v/>
      </c>
      <c r="O8150" s="94">
        <f>VLOOKUP($Q8150,매칭테이블!$F:$I,4,0)*K8150</f>
        <v/>
      </c>
      <c r="P8150" s="148">
        <f>M8150/1.1</f>
        <v/>
      </c>
      <c r="Q8150" s="94">
        <f>F8150&amp;E8150&amp;G8150&amp;L8150</f>
        <v/>
      </c>
    </row>
    <row r="8151">
      <c r="A8151" s="94" t="n"/>
      <c r="B8151" s="128" t="n">
        <v>44045</v>
      </c>
      <c r="C8151" s="94">
        <f>TEXT(B8151,"aaa")</f>
        <v/>
      </c>
      <c r="D8151" s="94" t="n"/>
      <c r="E8151" s="94" t="inlineStr">
        <is>
          <t>토너</t>
        </is>
      </c>
      <c r="F8151" s="5" t="inlineStr">
        <is>
          <t>카페24</t>
        </is>
      </c>
      <c r="G8151" s="94" t="inlineStr">
        <is>
          <t>250ml 2set</t>
        </is>
      </c>
      <c r="H8151" s="7" t="n">
        <v>190801</v>
      </c>
      <c r="I8151" s="7" t="n">
        <v>190801</v>
      </c>
      <c r="J8151" s="94" t="n"/>
      <c r="K8151" s="94" t="n">
        <v>62</v>
      </c>
      <c r="L8151" s="7" t="n">
        <v>190801</v>
      </c>
      <c r="M8151" s="94">
        <f>VLOOKUP($Q8151,매칭테이블!$F:$I,2,0)*K8151</f>
        <v/>
      </c>
      <c r="N8151" s="94">
        <f>M8151-M8151*VLOOKUP($Q8151,매칭테이블!$F:$I,3,0)</f>
        <v/>
      </c>
      <c r="O8151" s="94">
        <f>VLOOKUP($Q8151,매칭테이블!$F:$I,4,0)*K8151</f>
        <v/>
      </c>
      <c r="P8151" s="148">
        <f>M8151/1.1</f>
        <v/>
      </c>
      <c r="Q8151" s="94">
        <f>F8151&amp;E8151&amp;G8151&amp;L8151</f>
        <v/>
      </c>
    </row>
    <row r="8152">
      <c r="A8152" s="94" t="n"/>
      <c r="B8152" s="128" t="n">
        <v>44045</v>
      </c>
      <c r="C8152" s="94">
        <f>TEXT(B8152,"aaa")</f>
        <v/>
      </c>
      <c r="D8152" s="94" t="n"/>
      <c r="E8152" s="94" t="inlineStr">
        <is>
          <t>토너</t>
        </is>
      </c>
      <c r="F8152" s="5" t="inlineStr">
        <is>
          <t>카페24</t>
        </is>
      </c>
      <c r="G8152" s="94" t="inlineStr">
        <is>
          <t>500ml</t>
        </is>
      </c>
      <c r="H8152" s="7" t="n">
        <v>190801</v>
      </c>
      <c r="I8152" s="7" t="n">
        <v>190801</v>
      </c>
      <c r="J8152" s="94" t="n"/>
      <c r="K8152" s="94" t="n">
        <v>66</v>
      </c>
      <c r="L8152" s="7" t="n">
        <v>190801</v>
      </c>
      <c r="M8152" s="94">
        <f>VLOOKUP($Q8152,매칭테이블!$F:$I,2,0)*K8152</f>
        <v/>
      </c>
      <c r="N8152" s="94">
        <f>M8152-M8152*VLOOKUP($Q8152,매칭테이블!$F:$I,3,0)</f>
        <v/>
      </c>
      <c r="O8152" s="94">
        <f>VLOOKUP($Q8152,매칭테이블!$F:$I,4,0)*K8152</f>
        <v/>
      </c>
      <c r="P8152" s="148">
        <f>M8152/1.1</f>
        <v/>
      </c>
      <c r="Q8152" s="94">
        <f>F8152&amp;E8152&amp;G8152&amp;L8152</f>
        <v/>
      </c>
    </row>
    <row r="8153">
      <c r="A8153" s="94" t="n"/>
      <c r="B8153" s="128" t="n">
        <v>44045</v>
      </c>
      <c r="C8153" s="94">
        <f>TEXT(B8153,"aaa")</f>
        <v/>
      </c>
      <c r="D8153" s="94" t="n"/>
      <c r="E8153" s="94" t="inlineStr">
        <is>
          <t>토너</t>
        </is>
      </c>
      <c r="F8153" s="5" t="inlineStr">
        <is>
          <t>카페24</t>
        </is>
      </c>
      <c r="G8153" s="94" t="inlineStr">
        <is>
          <t>스킨팩 화장솜 60P</t>
        </is>
      </c>
      <c r="H8153" s="7" t="n">
        <v>190801</v>
      </c>
      <c r="I8153" s="7" t="n">
        <v>190801</v>
      </c>
      <c r="J8153" s="94" t="n"/>
      <c r="K8153" s="94" t="n">
        <v>98</v>
      </c>
      <c r="L8153" s="7" t="n">
        <v>190801</v>
      </c>
      <c r="M8153" s="94">
        <f>VLOOKUP($Q8153,매칭테이블!$F:$I,2,0)*K8153</f>
        <v/>
      </c>
      <c r="N8153" s="94">
        <f>M8153-M8153*VLOOKUP($Q8153,매칭테이블!$F:$I,3,0)</f>
        <v/>
      </c>
      <c r="O8153" s="94">
        <f>VLOOKUP($Q8153,매칭테이블!$F:$I,4,0)*K8153</f>
        <v/>
      </c>
      <c r="P8153" s="148">
        <f>M8153/1.1</f>
        <v/>
      </c>
      <c r="Q8153" s="94">
        <f>F8153&amp;E8153&amp;G8153&amp;L8153</f>
        <v/>
      </c>
    </row>
    <row r="8154">
      <c r="A8154" s="94" t="n"/>
      <c r="B8154" s="128" t="n">
        <v>44045</v>
      </c>
      <c r="C8154" s="94">
        <f>TEXT(B8154,"aaa")</f>
        <v/>
      </c>
      <c r="D8154" s="94" t="n"/>
      <c r="E8154" s="94" t="inlineStr">
        <is>
          <t>앰플</t>
        </is>
      </c>
      <c r="F8154" s="5" t="inlineStr">
        <is>
          <t>카페24</t>
        </is>
      </c>
      <c r="G8154" s="94" t="inlineStr">
        <is>
          <t>앰플 30ml</t>
        </is>
      </c>
      <c r="H8154" s="7" t="n">
        <v>190801</v>
      </c>
      <c r="I8154" s="7" t="n">
        <v>190801</v>
      </c>
      <c r="J8154" s="94" t="n"/>
      <c r="K8154" s="94" t="n">
        <v>15</v>
      </c>
      <c r="L8154" s="7" t="n">
        <v>190801</v>
      </c>
      <c r="M8154" s="94">
        <f>VLOOKUP($Q8154,매칭테이블!$F:$I,2,0)*K8154</f>
        <v/>
      </c>
      <c r="N8154" s="94">
        <f>M8154-M8154*VLOOKUP($Q8154,매칭테이블!$F:$I,3,0)</f>
        <v/>
      </c>
      <c r="O8154" s="94">
        <f>VLOOKUP($Q8154,매칭테이블!$F:$I,4,0)*K8154</f>
        <v/>
      </c>
      <c r="P8154" s="148">
        <f>M8154/1.1</f>
        <v/>
      </c>
      <c r="Q8154" s="94">
        <f>F8154&amp;E8154&amp;G8154&amp;L8154</f>
        <v/>
      </c>
    </row>
    <row r="8155">
      <c r="A8155" s="94" t="n"/>
      <c r="B8155" s="128" t="n">
        <v>44045</v>
      </c>
      <c r="C8155" s="94">
        <f>TEXT(B8155,"aaa")</f>
        <v/>
      </c>
      <c r="D8155" s="94" t="n"/>
      <c r="E8155" s="94" t="inlineStr">
        <is>
          <t>수딩크림</t>
        </is>
      </c>
      <c r="F8155" s="5" t="inlineStr">
        <is>
          <t>카페24</t>
        </is>
      </c>
      <c r="G8155" s="94" t="inlineStr">
        <is>
          <t>수딩크림 100ml</t>
        </is>
      </c>
      <c r="H8155" s="7" t="n">
        <v>190801</v>
      </c>
      <c r="I8155" s="7" t="n">
        <v>190801</v>
      </c>
      <c r="J8155" s="94" t="n"/>
      <c r="K8155" s="94" t="n">
        <v>7</v>
      </c>
      <c r="L8155" s="7" t="n">
        <v>190801</v>
      </c>
      <c r="M8155" s="94">
        <f>VLOOKUP($Q8155,매칭테이블!$F:$I,2,0)*K8155</f>
        <v/>
      </c>
      <c r="N8155" s="94">
        <f>M8155-M8155*VLOOKUP($Q8155,매칭테이블!$F:$I,3,0)</f>
        <v/>
      </c>
      <c r="O8155" s="94">
        <f>VLOOKUP($Q8155,매칭테이블!$F:$I,4,0)*K8155</f>
        <v/>
      </c>
      <c r="P8155" s="148">
        <f>M8155/1.1</f>
        <v/>
      </c>
      <c r="Q8155" s="94">
        <f>F8155&amp;E8155&amp;G8155&amp;L8155</f>
        <v/>
      </c>
    </row>
    <row r="8156">
      <c r="A8156" s="94" t="n"/>
      <c r="B8156" s="128" t="n">
        <v>44045</v>
      </c>
      <c r="C8156" s="94">
        <f>TEXT(B8156,"aaa")</f>
        <v/>
      </c>
      <c r="D8156" s="94" t="n"/>
      <c r="E8156" s="94" t="inlineStr">
        <is>
          <t>토너</t>
        </is>
      </c>
      <c r="F8156" s="5" t="inlineStr">
        <is>
          <t>화해</t>
        </is>
      </c>
      <c r="G8156" s="94" t="inlineStr">
        <is>
          <t>250ml</t>
        </is>
      </c>
      <c r="H8156" s="7" t="n">
        <v>190801</v>
      </c>
      <c r="I8156" s="7" t="n">
        <v>190801</v>
      </c>
      <c r="J8156" s="94" t="n"/>
      <c r="K8156" s="94" t="n">
        <v>12</v>
      </c>
      <c r="L8156" s="7" t="n">
        <v>190801</v>
      </c>
      <c r="M8156" s="94">
        <f>VLOOKUP($Q8156,매칭테이블!$F:$I,2,0)*K8156</f>
        <v/>
      </c>
      <c r="N8156" s="94">
        <f>M8156-M8156*VLOOKUP($Q8156,매칭테이블!$F:$I,3,0)</f>
        <v/>
      </c>
      <c r="O8156" s="94">
        <f>VLOOKUP($Q8156,매칭테이블!$F:$I,4,0)*K8156</f>
        <v/>
      </c>
      <c r="P8156" s="148">
        <f>M8156/1.1</f>
        <v/>
      </c>
      <c r="Q8156" s="94">
        <f>F8156&amp;E8156&amp;G8156&amp;L8156</f>
        <v/>
      </c>
    </row>
    <row r="8157">
      <c r="A8157" s="94" t="n"/>
      <c r="B8157" s="128" t="n">
        <v>44045</v>
      </c>
      <c r="C8157" s="94">
        <f>TEXT(B8157,"aaa")</f>
        <v/>
      </c>
      <c r="D8157" s="94" t="n"/>
      <c r="E8157" s="6" t="inlineStr">
        <is>
          <t>토너</t>
        </is>
      </c>
      <c r="F8157" s="94" t="inlineStr">
        <is>
          <t>랄라블라</t>
        </is>
      </c>
      <c r="G8157" s="5" t="inlineStr">
        <is>
          <t>250ml</t>
        </is>
      </c>
      <c r="H8157" s="7" t="n">
        <v>190801</v>
      </c>
      <c r="I8157" s="7" t="n">
        <v>190801</v>
      </c>
      <c r="J8157" s="6" t="n"/>
      <c r="K8157" s="94" t="n">
        <v>591</v>
      </c>
      <c r="L8157" s="7" t="n">
        <v>190801</v>
      </c>
      <c r="M8157" s="94">
        <f>VLOOKUP($Q8157,매칭테이블!$F:$I,2,0)*K8157</f>
        <v/>
      </c>
      <c r="N8157" s="94">
        <f>M8157-M8157*VLOOKUP($Q8157,매칭테이블!$F:$I,3,0)</f>
        <v/>
      </c>
      <c r="O8157" s="94">
        <f>VLOOKUP($Q8157,매칭테이블!$F:$I,4,0)*K8157</f>
        <v/>
      </c>
      <c r="P8157" s="148">
        <f>M8157/1.1</f>
        <v/>
      </c>
      <c r="Q8157" s="94">
        <f>F8157&amp;E8157&amp;G8157&amp;L8157</f>
        <v/>
      </c>
    </row>
    <row r="8158">
      <c r="A8158" s="94" t="n"/>
      <c r="B8158" s="128" t="n">
        <v>44045</v>
      </c>
      <c r="C8158" s="94">
        <f>TEXT(B8158,"aaa")</f>
        <v/>
      </c>
      <c r="D8158" s="94" t="n"/>
      <c r="E8158" s="6" t="inlineStr">
        <is>
          <t>토너</t>
        </is>
      </c>
      <c r="F8158" s="94" t="inlineStr">
        <is>
          <t>랄라블라</t>
        </is>
      </c>
      <c r="G8158" s="5" t="inlineStr">
        <is>
          <t>500ml</t>
        </is>
      </c>
      <c r="H8158" s="7" t="n">
        <v>190801</v>
      </c>
      <c r="I8158" s="7" t="n">
        <v>190801</v>
      </c>
      <c r="J8158" s="6" t="n"/>
      <c r="K8158" s="94" t="n">
        <v>142</v>
      </c>
      <c r="L8158" s="7" t="n">
        <v>190801</v>
      </c>
      <c r="M8158" s="94">
        <f>VLOOKUP($Q8158,매칭테이블!$F:$I,2,0)*K8158</f>
        <v/>
      </c>
      <c r="N8158" s="94">
        <f>M8158-M8158*VLOOKUP($Q8158,매칭테이블!$F:$I,3,0)</f>
        <v/>
      </c>
      <c r="O8158" s="94">
        <f>VLOOKUP($Q8158,매칭테이블!$F:$I,4,0)*K8158</f>
        <v/>
      </c>
      <c r="P8158" s="148">
        <f>M8158/1.1</f>
        <v/>
      </c>
      <c r="Q8158" s="94">
        <f>F8158&amp;E8158&amp;G8158&amp;L8158</f>
        <v/>
      </c>
    </row>
    <row r="8159">
      <c r="A8159" s="94" t="n"/>
      <c r="B8159" s="128" t="n">
        <v>44045</v>
      </c>
      <c r="C8159" s="94">
        <f>TEXT(B8159,"aaa")</f>
        <v/>
      </c>
      <c r="D8159" s="94" t="n"/>
      <c r="E8159" s="94" t="inlineStr">
        <is>
          <t>마스크팩</t>
        </is>
      </c>
      <c r="F8159" s="94" t="inlineStr">
        <is>
          <t>랄라블라</t>
        </is>
      </c>
      <c r="G8159" s="94" t="inlineStr">
        <is>
          <t>마스크팩 1매</t>
        </is>
      </c>
      <c r="H8159" s="7" t="n">
        <v>190801</v>
      </c>
      <c r="I8159" s="7" t="n">
        <v>190801</v>
      </c>
      <c r="J8159" s="94" t="n"/>
      <c r="K8159" s="94" t="n">
        <v>744</v>
      </c>
      <c r="L8159" s="94" t="n">
        <v>190801</v>
      </c>
      <c r="M8159" s="94">
        <f>VLOOKUP($Q8159,매칭테이블!$F:$I,2,0)*K8159</f>
        <v/>
      </c>
      <c r="N8159" s="94">
        <f>M8159-M8159*VLOOKUP($Q8159,매칭테이블!$F:$I,3,0)</f>
        <v/>
      </c>
      <c r="O8159" s="94">
        <f>VLOOKUP($Q8159,매칭테이블!$F:$I,4,0)*K8159</f>
        <v/>
      </c>
      <c r="P8159" s="148">
        <f>M8159/1.1</f>
        <v/>
      </c>
      <c r="Q8159" s="94">
        <f>F8159&amp;E8159&amp;G8159&amp;L8159</f>
        <v/>
      </c>
    </row>
    <row r="8160">
      <c r="A8160" s="94" t="n"/>
      <c r="B8160" s="128" t="n">
        <v>44045</v>
      </c>
      <c r="C8160" s="94">
        <f>TEXT(B8160,"aaa")</f>
        <v/>
      </c>
      <c r="D8160" s="94" t="n"/>
      <c r="E8160" s="94" t="inlineStr">
        <is>
          <t>수딩크림 증정기획</t>
        </is>
      </c>
      <c r="F8160" s="94" t="inlineStr">
        <is>
          <t>랄라블라</t>
        </is>
      </c>
      <c r="G8160" s="94" t="inlineStr">
        <is>
          <t>수딩크림 증정기획</t>
        </is>
      </c>
      <c r="H8160" s="7" t="n">
        <v>190801</v>
      </c>
      <c r="I8160" s="7" t="n">
        <v>190801</v>
      </c>
      <c r="J8160" s="94" t="n"/>
      <c r="K8160" s="94" t="n">
        <v>68</v>
      </c>
      <c r="L8160" s="94" t="n">
        <v>190801</v>
      </c>
      <c r="M8160" s="94">
        <f>VLOOKUP($Q8160,매칭테이블!$F:$I,2,0)*K8160</f>
        <v/>
      </c>
      <c r="N8160" s="94">
        <f>M8160-M8160*VLOOKUP($Q8160,매칭테이블!$F:$I,3,0)</f>
        <v/>
      </c>
      <c r="O8160" s="94">
        <f>VLOOKUP($Q8160,매칭테이블!$F:$I,4,0)*K8160</f>
        <v/>
      </c>
      <c r="P8160" s="148">
        <f>M8160/1.1</f>
        <v/>
      </c>
      <c r="Q8160" s="94">
        <f>F8160&amp;E8160&amp;G8160&amp;L8160</f>
        <v/>
      </c>
    </row>
    <row r="8161">
      <c r="A8161" s="94" t="n"/>
      <c r="B8161" s="128" t="n">
        <v>44045</v>
      </c>
      <c r="C8161" s="94">
        <f>TEXT(B8161,"aaa")</f>
        <v/>
      </c>
      <c r="D8161" s="94" t="n"/>
      <c r="E8161" s="94" t="inlineStr">
        <is>
          <t>수딩크림</t>
        </is>
      </c>
      <c r="F8161" s="94" t="inlineStr">
        <is>
          <t>랄라블라</t>
        </is>
      </c>
      <c r="G8161" s="94" t="inlineStr">
        <is>
          <t>수딩크림 100ml</t>
        </is>
      </c>
      <c r="H8161" s="7" t="n">
        <v>190801</v>
      </c>
      <c r="I8161" s="7" t="n">
        <v>190801</v>
      </c>
      <c r="J8161" s="94" t="n"/>
      <c r="K8161" s="94" t="n">
        <v>27</v>
      </c>
      <c r="L8161" s="94" t="n">
        <v>190801</v>
      </c>
      <c r="M8161" s="94">
        <f>VLOOKUP($Q8161,매칭테이블!$F:$I,2,0)*K8161</f>
        <v/>
      </c>
      <c r="N8161" s="94">
        <f>M8161-M8161*VLOOKUP($Q8161,매칭테이블!$F:$I,3,0)</f>
        <v/>
      </c>
      <c r="O8161" s="94">
        <f>VLOOKUP($Q8161,매칭테이블!$F:$I,4,0)*K8161</f>
        <v/>
      </c>
      <c r="P8161" s="148">
        <f>M8161/1.1</f>
        <v/>
      </c>
      <c r="Q8161" s="94">
        <f>F8161&amp;E8161&amp;G8161&amp;L8161</f>
        <v/>
      </c>
    </row>
    <row r="8162">
      <c r="A8162" s="94" t="n"/>
      <c r="B8162" s="128" t="n">
        <v>44045</v>
      </c>
      <c r="C8162" s="94">
        <f>TEXT(B8162,"aaa")</f>
        <v/>
      </c>
      <c r="D8162" s="94" t="n"/>
      <c r="E8162" s="94" t="inlineStr">
        <is>
          <t>앰플 기획세트</t>
        </is>
      </c>
      <c r="F8162" s="94" t="inlineStr">
        <is>
          <t>랄라블라</t>
        </is>
      </c>
      <c r="G8162" s="94" t="inlineStr">
        <is>
          <t>앰플 기획세트</t>
        </is>
      </c>
      <c r="H8162" s="7" t="n">
        <v>190801</v>
      </c>
      <c r="I8162" s="7" t="n">
        <v>190801</v>
      </c>
      <c r="J8162" s="94" t="n"/>
      <c r="K8162" s="94" t="n">
        <v>215</v>
      </c>
      <c r="L8162" s="94" t="n">
        <v>190801</v>
      </c>
      <c r="M8162" s="94">
        <f>VLOOKUP($Q8162,매칭테이블!$F:$I,2,0)*K8162</f>
        <v/>
      </c>
      <c r="N8162" s="94">
        <f>M8162-M8162*VLOOKUP($Q8162,매칭테이블!$F:$I,3,0)</f>
        <v/>
      </c>
      <c r="O8162" s="94">
        <f>VLOOKUP($Q8162,매칭테이블!$F:$I,4,0)*K8162</f>
        <v/>
      </c>
      <c r="P8162" s="148">
        <f>M8162/1.1</f>
        <v/>
      </c>
      <c r="Q8162" s="94">
        <f>F8162&amp;E8162&amp;G8162&amp;L8162</f>
        <v/>
      </c>
    </row>
    <row r="8163">
      <c r="A8163" s="94" t="n"/>
      <c r="B8163" s="128" t="n">
        <v>44045</v>
      </c>
      <c r="C8163" s="94">
        <f>TEXT(B8163,"aaa")</f>
        <v/>
      </c>
      <c r="D8163" s="94" t="n"/>
      <c r="E8163" s="94" t="inlineStr">
        <is>
          <t>클렌징폼 기획세트</t>
        </is>
      </c>
      <c r="F8163" s="94" t="inlineStr">
        <is>
          <t>랄라블라</t>
        </is>
      </c>
      <c r="G8163" s="94" t="inlineStr">
        <is>
          <t>클렌징폼 기획세트</t>
        </is>
      </c>
      <c r="H8163" s="7" t="n">
        <v>190801</v>
      </c>
      <c r="I8163" s="7" t="n">
        <v>190801</v>
      </c>
      <c r="J8163" s="94" t="n"/>
      <c r="K8163" s="94" t="n">
        <v>59</v>
      </c>
      <c r="L8163" s="94" t="n">
        <v>190801</v>
      </c>
      <c r="M8163" s="94">
        <f>VLOOKUP($Q8163,매칭테이블!$F:$I,2,0)*K8163</f>
        <v/>
      </c>
      <c r="N8163" s="94">
        <f>M8163-M8163*VLOOKUP($Q8163,매칭테이블!$F:$I,3,0)</f>
        <v/>
      </c>
      <c r="O8163" s="94">
        <f>VLOOKUP($Q8163,매칭테이블!$F:$I,4,0)*K8163</f>
        <v/>
      </c>
      <c r="P8163" s="148">
        <f>M8163/1.1</f>
        <v/>
      </c>
      <c r="Q8163" s="94">
        <f>F8163&amp;E8163&amp;G8163&amp;L8163</f>
        <v/>
      </c>
    </row>
    <row r="8164">
      <c r="A8164" s="94" t="n"/>
      <c r="B8164" s="128" t="n">
        <v>44045</v>
      </c>
      <c r="C8164" s="94">
        <f>TEXT(B8164,"aaa")</f>
        <v/>
      </c>
      <c r="D8164" s="94" t="n"/>
      <c r="E8164" s="94" t="inlineStr">
        <is>
          <t>클렌징폼</t>
        </is>
      </c>
      <c r="F8164" s="94" t="inlineStr">
        <is>
          <t>랄라블라</t>
        </is>
      </c>
      <c r="G8164" s="94" t="inlineStr">
        <is>
          <t>클렌징폼 120ml</t>
        </is>
      </c>
      <c r="H8164" s="7" t="n">
        <v>190801</v>
      </c>
      <c r="I8164" s="7" t="n">
        <v>190801</v>
      </c>
      <c r="J8164" s="6" t="n"/>
      <c r="K8164" s="94" t="n">
        <v>5</v>
      </c>
      <c r="L8164" s="7" t="n">
        <v>190801</v>
      </c>
      <c r="M8164" s="94">
        <f>VLOOKUP($Q8164,매칭테이블!$F:$I,2,0)*K8164</f>
        <v/>
      </c>
      <c r="N8164" s="94">
        <f>M8164-M8164*VLOOKUP($Q8164,매칭테이블!$F:$I,3,0)</f>
        <v/>
      </c>
      <c r="O8164" s="94">
        <f>VLOOKUP($Q8164,매칭테이블!$F:$I,4,0)*K8164</f>
        <v/>
      </c>
      <c r="P8164" s="148">
        <f>M8164/1.1</f>
        <v/>
      </c>
      <c r="Q8164" s="94">
        <f>F8164&amp;E8164&amp;G8164&amp;L8164</f>
        <v/>
      </c>
    </row>
    <row r="8165">
      <c r="A8165" s="94" t="n"/>
      <c r="B8165" s="128" t="n">
        <v>44045</v>
      </c>
      <c r="C8165" s="94">
        <f>TEXT(B8165,"aaa")</f>
        <v/>
      </c>
      <c r="D8165" s="94" t="n"/>
      <c r="E8165" s="94" t="inlineStr">
        <is>
          <t>토너 증정기획</t>
        </is>
      </c>
      <c r="F8165" s="94" t="inlineStr">
        <is>
          <t>랄라블라</t>
        </is>
      </c>
      <c r="G8165" s="94" t="inlineStr">
        <is>
          <t>토너 증정기획</t>
        </is>
      </c>
      <c r="H8165" s="7" t="n">
        <v>190801</v>
      </c>
      <c r="I8165" s="7" t="n">
        <v>190801</v>
      </c>
      <c r="J8165" s="6" t="n"/>
      <c r="K8165" s="6" t="n">
        <v>13</v>
      </c>
      <c r="L8165" s="7" t="n">
        <v>190801</v>
      </c>
      <c r="M8165" s="94">
        <f>VLOOKUP($Q8165,매칭테이블!$F:$I,2,0)*K8165</f>
        <v/>
      </c>
      <c r="N8165" s="94">
        <f>M8165-M8165*VLOOKUP($Q8165,매칭테이블!$F:$I,3,0)</f>
        <v/>
      </c>
      <c r="O8165" s="94">
        <f>VLOOKUP($Q8165,매칭테이블!$F:$I,4,0)*K8165</f>
        <v/>
      </c>
      <c r="P8165" s="148">
        <f>M8165/1.1</f>
        <v/>
      </c>
      <c r="Q8165" s="94">
        <f>F8165&amp;E8165&amp;G8165&amp;L8165</f>
        <v/>
      </c>
    </row>
    <row r="8166">
      <c r="A8166" s="94" t="n"/>
      <c r="B8166" s="128" t="n">
        <v>44045</v>
      </c>
      <c r="C8166" s="94">
        <f>TEXT(B8166,"aaa")</f>
        <v/>
      </c>
      <c r="D8166" s="94" t="n"/>
      <c r="E8166" s="94" t="inlineStr">
        <is>
          <t>선크림</t>
        </is>
      </c>
      <c r="F8166" s="94" t="inlineStr">
        <is>
          <t>랄라블라</t>
        </is>
      </c>
      <c r="G8166" s="94" t="inlineStr">
        <is>
          <t>선크림 50ml</t>
        </is>
      </c>
      <c r="H8166" s="7" t="n">
        <v>190801</v>
      </c>
      <c r="I8166" s="7" t="n">
        <v>190801</v>
      </c>
      <c r="J8166" s="94" t="n"/>
      <c r="K8166" s="94" t="n">
        <v>34</v>
      </c>
      <c r="L8166" s="94" t="n">
        <v>190801</v>
      </c>
      <c r="M8166" s="94">
        <f>VLOOKUP($Q8166,매칭테이블!$F:$I,2,0)*K8166</f>
        <v/>
      </c>
      <c r="N8166" s="94">
        <f>M8166-M8166*VLOOKUP($Q8166,매칭테이블!$F:$I,3,0)</f>
        <v/>
      </c>
      <c r="O8166" s="94">
        <f>VLOOKUP($Q8166,매칭테이블!$F:$I,4,0)*K8166</f>
        <v/>
      </c>
      <c r="P8166" s="148">
        <f>M8166/1.1</f>
        <v/>
      </c>
      <c r="Q8166" s="94">
        <f>F8166&amp;E8166&amp;G8166&amp;L8166</f>
        <v/>
      </c>
    </row>
    <row r="8167">
      <c r="A8167" s="94" t="n"/>
      <c r="B8167" s="128" t="n">
        <v>44045</v>
      </c>
      <c r="C8167" s="94">
        <f>TEXT(B8167,"aaa")</f>
        <v/>
      </c>
      <c r="D8167" s="94" t="n"/>
      <c r="E8167" s="94" t="inlineStr">
        <is>
          <t>대용량 기획세트</t>
        </is>
      </c>
      <c r="F8167" s="94" t="inlineStr">
        <is>
          <t>랄라블라</t>
        </is>
      </c>
      <c r="G8167" s="94" t="inlineStr">
        <is>
          <t>대용량 기획세트</t>
        </is>
      </c>
      <c r="H8167" s="7" t="n">
        <v>190801</v>
      </c>
      <c r="I8167" s="7" t="n">
        <v>190801</v>
      </c>
      <c r="J8167" s="94" t="n"/>
      <c r="K8167" s="94" t="n">
        <v>257</v>
      </c>
      <c r="L8167" s="94" t="n">
        <v>190801</v>
      </c>
      <c r="M8167" s="94">
        <f>VLOOKUP($Q8167,매칭테이블!$F:$I,2,0)*K8167</f>
        <v/>
      </c>
      <c r="N8167" s="94">
        <f>M8167-M8167*VLOOKUP($Q8167,매칭테이블!$F:$I,3,0)</f>
        <v/>
      </c>
      <c r="O8167" s="94">
        <f>VLOOKUP($Q8167,매칭테이블!$F:$I,4,0)*K8167</f>
        <v/>
      </c>
      <c r="P8167" s="148">
        <f>M8167/1.1</f>
        <v/>
      </c>
      <c r="Q8167" s="94">
        <f>F8167&amp;E8167&amp;G8167&amp;L8167</f>
        <v/>
      </c>
    </row>
    <row r="8168">
      <c r="A8168" s="94" t="n"/>
      <c r="B8168" s="128" t="n">
        <v>44045</v>
      </c>
      <c r="C8168" s="94">
        <f>TEXT(B8168,"aaa")</f>
        <v/>
      </c>
      <c r="D8168" s="94" t="n"/>
      <c r="E8168" s="94" t="inlineStr">
        <is>
          <t>마스크팩</t>
        </is>
      </c>
      <c r="F8168" s="94" t="inlineStr">
        <is>
          <t>랄라블라</t>
        </is>
      </c>
      <c r="G8168" s="94" t="inlineStr">
        <is>
          <t>마스크 5+1 기획세트</t>
        </is>
      </c>
      <c r="H8168" s="7" t="n">
        <v>190801</v>
      </c>
      <c r="I8168" s="7" t="n">
        <v>190801</v>
      </c>
      <c r="J8168" s="94" t="n"/>
      <c r="K8168" s="94" t="n">
        <v>246</v>
      </c>
      <c r="L8168" s="94" t="n">
        <v>190801</v>
      </c>
      <c r="M8168" s="94">
        <f>VLOOKUP($Q8168,매칭테이블!$F:$I,2,0)*K8168</f>
        <v/>
      </c>
      <c r="N8168" s="94">
        <f>M8168-M8168*VLOOKUP($Q8168,매칭테이블!$F:$I,3,0)</f>
        <v/>
      </c>
      <c r="O8168" s="94">
        <f>VLOOKUP($Q8168,매칭테이블!$F:$I,4,0)*K8168</f>
        <v/>
      </c>
      <c r="P8168" s="148">
        <f>M8168/1.1</f>
        <v/>
      </c>
      <c r="Q8168" s="94">
        <f>F8168&amp;E8168&amp;G8168&amp;L8168</f>
        <v/>
      </c>
    </row>
    <row r="8169" customFormat="1" s="94">
      <c r="B8169" s="128" t="n">
        <v>44046</v>
      </c>
      <c r="C8169" s="94">
        <f>TEXT(B8169,"aaa")</f>
        <v/>
      </c>
      <c r="E8169" s="94" t="inlineStr">
        <is>
          <t>토너</t>
        </is>
      </c>
      <c r="F8169" s="94" t="inlineStr">
        <is>
          <t>W컨셉</t>
        </is>
      </c>
      <c r="G8169" s="94" t="inlineStr">
        <is>
          <t>250ml</t>
        </is>
      </c>
      <c r="H8169" s="7" t="n">
        <v>190801</v>
      </c>
      <c r="I8169" s="7" t="n">
        <v>190801</v>
      </c>
      <c r="K8169" s="94" t="n">
        <v>22</v>
      </c>
      <c r="L8169" s="94" t="n">
        <v>190801</v>
      </c>
      <c r="M8169" s="94">
        <f>VLOOKUP($Q8169,매칭테이블!$F:$I,2,0)*K8169</f>
        <v/>
      </c>
      <c r="N8169" s="94">
        <f>M8169-M8169*VLOOKUP($Q8169,매칭테이블!$F:$I,3,0)</f>
        <v/>
      </c>
      <c r="O8169" s="94">
        <f>VLOOKUP($Q8169,매칭테이블!$F:$I,4,0)*K8169</f>
        <v/>
      </c>
      <c r="P8169" s="148">
        <f>M8169/1.1</f>
        <v/>
      </c>
      <c r="Q8169" s="94">
        <f>F8169&amp;E8169&amp;G8169&amp;L8169</f>
        <v/>
      </c>
    </row>
    <row r="8170" customFormat="1" s="94">
      <c r="B8170" s="128" t="n">
        <v>44046</v>
      </c>
      <c r="C8170" s="94">
        <f>TEXT(B8170,"aaa")</f>
        <v/>
      </c>
      <c r="E8170" s="94" t="inlineStr">
        <is>
          <t>토너</t>
        </is>
      </c>
      <c r="F8170" s="94" t="inlineStr">
        <is>
          <t>W컨셉</t>
        </is>
      </c>
      <c r="G8170" s="94" t="inlineStr">
        <is>
          <t>250ml 2set</t>
        </is>
      </c>
      <c r="H8170" s="7" t="n">
        <v>190801</v>
      </c>
      <c r="I8170" s="7" t="n">
        <v>190801</v>
      </c>
      <c r="K8170" s="94" t="n">
        <v>15</v>
      </c>
      <c r="L8170" s="94" t="n">
        <v>190801</v>
      </c>
      <c r="M8170" s="94">
        <f>VLOOKUP($Q8170,매칭테이블!$F:$I,2,0)*K8170</f>
        <v/>
      </c>
      <c r="N8170" s="94">
        <f>M8170-M8170*VLOOKUP($Q8170,매칭테이블!$F:$I,3,0)</f>
        <v/>
      </c>
      <c r="O8170" s="94">
        <f>VLOOKUP($Q8170,매칭테이블!$F:$I,4,0)*K8170</f>
        <v/>
      </c>
      <c r="P8170" s="148">
        <f>M8170/1.1</f>
        <v/>
      </c>
      <c r="Q8170" s="94">
        <f>F8170&amp;E8170&amp;G8170&amp;L8170</f>
        <v/>
      </c>
    </row>
    <row r="8171" customFormat="1" s="94">
      <c r="B8171" s="128" t="n">
        <v>44046</v>
      </c>
      <c r="C8171" s="94">
        <f>TEXT(B8171,"aaa")</f>
        <v/>
      </c>
      <c r="E8171" s="94" t="inlineStr">
        <is>
          <t>토너</t>
        </is>
      </c>
      <c r="F8171" s="94" t="inlineStr">
        <is>
          <t>스타일쉐어</t>
        </is>
      </c>
      <c r="G8171" s="94" t="inlineStr">
        <is>
          <t>250ml</t>
        </is>
      </c>
      <c r="H8171" s="7" t="n">
        <v>190801</v>
      </c>
      <c r="I8171" s="7" t="n">
        <v>190801</v>
      </c>
      <c r="K8171" s="94" t="n">
        <v>16</v>
      </c>
      <c r="L8171" s="94" t="n">
        <v>190801</v>
      </c>
      <c r="M8171" s="94">
        <f>VLOOKUP($Q8171,매칭테이블!$F:$I,2,0)*K8171</f>
        <v/>
      </c>
      <c r="N8171" s="94">
        <f>M8171-M8171*VLOOKUP($Q8171,매칭테이블!$F:$I,3,0)</f>
        <v/>
      </c>
      <c r="O8171" s="94">
        <f>VLOOKUP($Q8171,매칭테이블!$F:$I,4,0)*K8171</f>
        <v/>
      </c>
      <c r="P8171" s="148">
        <f>M8171/1.1</f>
        <v/>
      </c>
      <c r="Q8171" s="94">
        <f>F8171&amp;E8171&amp;G8171&amp;L8171</f>
        <v/>
      </c>
    </row>
    <row r="8172" customFormat="1" s="94">
      <c r="B8172" s="128" t="n">
        <v>44046</v>
      </c>
      <c r="C8172" s="94">
        <f>TEXT(B8172,"aaa")</f>
        <v/>
      </c>
      <c r="E8172" s="94" t="inlineStr">
        <is>
          <t>선크림</t>
        </is>
      </c>
      <c r="F8172" s="94" t="inlineStr">
        <is>
          <t>카페24</t>
        </is>
      </c>
      <c r="G8172" s="94" t="inlineStr">
        <is>
          <t>선크림 50ml</t>
        </is>
      </c>
      <c r="H8172" s="7" t="n">
        <v>190801</v>
      </c>
      <c r="I8172" s="7" t="n">
        <v>190801</v>
      </c>
      <c r="K8172" s="94" t="n">
        <v>4</v>
      </c>
      <c r="L8172" s="94" t="n">
        <v>190801</v>
      </c>
      <c r="M8172" s="94">
        <f>VLOOKUP($Q8172,매칭테이블!$F:$I,2,0)*K8172</f>
        <v/>
      </c>
      <c r="N8172" s="94">
        <f>M8172-M8172*VLOOKUP($Q8172,매칭테이블!$F:$I,3,0)</f>
        <v/>
      </c>
      <c r="O8172" s="94">
        <f>VLOOKUP($Q8172,매칭테이블!$F:$I,4,0)*K8172</f>
        <v/>
      </c>
      <c r="P8172" s="148">
        <f>M8172/1.1</f>
        <v/>
      </c>
      <c r="Q8172" s="94">
        <f>F8172&amp;E8172&amp;G8172&amp;L8172</f>
        <v/>
      </c>
    </row>
    <row r="8173" customFormat="1" s="94">
      <c r="B8173" s="128" t="n">
        <v>44046</v>
      </c>
      <c r="C8173" s="94">
        <f>TEXT(B8173,"aaa")</f>
        <v/>
      </c>
      <c r="E8173" s="94" t="inlineStr">
        <is>
          <t>선크림</t>
        </is>
      </c>
      <c r="F8173" s="94" t="inlineStr">
        <is>
          <t>카페24</t>
        </is>
      </c>
      <c r="G8173" s="94" t="inlineStr">
        <is>
          <t>선크림 50ml  2set</t>
        </is>
      </c>
      <c r="H8173" s="7" t="n">
        <v>190801</v>
      </c>
      <c r="I8173" s="7" t="n">
        <v>190801</v>
      </c>
      <c r="K8173" s="94" t="n">
        <v>2</v>
      </c>
      <c r="L8173" s="94" t="n">
        <v>190801</v>
      </c>
      <c r="M8173" s="94">
        <f>VLOOKUP($Q8173,매칭테이블!$F:$I,2,0)*K8173</f>
        <v/>
      </c>
      <c r="N8173" s="94">
        <f>M8173-M8173*VLOOKUP($Q8173,매칭테이블!$F:$I,3,0)</f>
        <v/>
      </c>
      <c r="O8173" s="94">
        <f>VLOOKUP($Q8173,매칭테이블!$F:$I,4,0)*K8173</f>
        <v/>
      </c>
      <c r="P8173" s="148">
        <f>M8173/1.1</f>
        <v/>
      </c>
      <c r="Q8173" s="94">
        <f>F8173&amp;E8173&amp;G8173&amp;L8173</f>
        <v/>
      </c>
    </row>
    <row r="8174" customFormat="1" s="94">
      <c r="B8174" s="128" t="n">
        <v>44046</v>
      </c>
      <c r="C8174" s="94">
        <f>TEXT(B8174,"aaa")</f>
        <v/>
      </c>
      <c r="E8174" s="94" t="inlineStr">
        <is>
          <t>여름 한정 진정세트</t>
        </is>
      </c>
      <c r="F8174" s="94" t="inlineStr">
        <is>
          <t>카페24</t>
        </is>
      </c>
      <c r="G8174" s="94" t="inlineStr">
        <is>
          <t>여름 한정 진정세트</t>
        </is>
      </c>
      <c r="H8174" s="7" t="n">
        <v>190801</v>
      </c>
      <c r="I8174" s="7" t="n">
        <v>190801</v>
      </c>
      <c r="K8174" s="94" t="n">
        <v>5</v>
      </c>
      <c r="L8174" s="94" t="n">
        <v>190801</v>
      </c>
      <c r="M8174" s="94">
        <f>VLOOKUP($Q8174,매칭테이블!$F:$I,2,0)*K8174</f>
        <v/>
      </c>
      <c r="N8174" s="94">
        <f>M8174-M8174*VLOOKUP($Q8174,매칭테이블!$F:$I,3,0)</f>
        <v/>
      </c>
      <c r="O8174" s="94">
        <f>VLOOKUP($Q8174,매칭테이블!$F:$I,4,0)*K8174</f>
        <v/>
      </c>
      <c r="P8174" s="148">
        <f>M8174/1.1</f>
        <v/>
      </c>
      <c r="Q8174" s="94">
        <f>F8174&amp;E8174&amp;G8174&amp;L8174</f>
        <v/>
      </c>
    </row>
    <row r="8175" customFormat="1" s="94">
      <c r="B8175" s="128" t="n">
        <v>44046</v>
      </c>
      <c r="C8175" s="94">
        <f>TEXT(B8175,"aaa")</f>
        <v/>
      </c>
      <c r="E8175" s="94" t="inlineStr">
        <is>
          <t>여름 한정 진정세트</t>
        </is>
      </c>
      <c r="F8175" s="94" t="inlineStr">
        <is>
          <t>카페24</t>
        </is>
      </c>
      <c r="G8175" s="94" t="inlineStr">
        <is>
          <t>여름 한정 진정세트 (대용량)</t>
        </is>
      </c>
      <c r="H8175" s="7" t="n">
        <v>190801</v>
      </c>
      <c r="I8175" s="7" t="n">
        <v>190801</v>
      </c>
      <c r="K8175" s="94" t="n">
        <v>4</v>
      </c>
      <c r="L8175" s="94" t="n">
        <v>190801</v>
      </c>
      <c r="M8175" s="94">
        <f>VLOOKUP($Q8175,매칭테이블!$F:$I,2,0)*K8175</f>
        <v/>
      </c>
      <c r="N8175" s="94">
        <f>M8175-M8175*VLOOKUP($Q8175,매칭테이블!$F:$I,3,0)</f>
        <v/>
      </c>
      <c r="O8175" s="94">
        <f>VLOOKUP($Q8175,매칭테이블!$F:$I,4,0)*K8175</f>
        <v/>
      </c>
      <c r="P8175" s="148">
        <f>M8175/1.1</f>
        <v/>
      </c>
      <c r="Q8175" s="94">
        <f>F8175&amp;E8175&amp;G8175&amp;L8175</f>
        <v/>
      </c>
    </row>
    <row r="8176" customFormat="1" s="94">
      <c r="B8176" s="128" t="n">
        <v>44046</v>
      </c>
      <c r="C8176" s="94">
        <f>TEXT(B8176,"aaa")</f>
        <v/>
      </c>
      <c r="E8176" s="94" t="inlineStr">
        <is>
          <t>어성초진정패키지</t>
        </is>
      </c>
      <c r="F8176" s="94" t="inlineStr">
        <is>
          <t>카페24</t>
        </is>
      </c>
      <c r="G8176" s="94" t="inlineStr">
        <is>
          <t>어성초 진정패키지세트</t>
        </is>
      </c>
      <c r="H8176" s="7" t="n">
        <v>190801</v>
      </c>
      <c r="I8176" s="7" t="n">
        <v>190801</v>
      </c>
      <c r="K8176" s="94" t="n">
        <v>8</v>
      </c>
      <c r="L8176" s="94" t="n">
        <v>190801</v>
      </c>
      <c r="M8176" s="94">
        <f>VLOOKUP($Q8176,매칭테이블!$F:$I,2,0)*K8176</f>
        <v/>
      </c>
      <c r="N8176" s="94">
        <f>M8176-M8176*VLOOKUP($Q8176,매칭테이블!$F:$I,3,0)</f>
        <v/>
      </c>
      <c r="O8176" s="94">
        <f>VLOOKUP($Q8176,매칭테이블!$F:$I,4,0)*K8176</f>
        <v/>
      </c>
      <c r="P8176" s="148">
        <f>M8176/1.1</f>
        <v/>
      </c>
      <c r="Q8176" s="94">
        <f>F8176&amp;E8176&amp;G8176&amp;L8176</f>
        <v/>
      </c>
    </row>
    <row r="8177" customFormat="1" s="94">
      <c r="B8177" s="128" t="n">
        <v>44046</v>
      </c>
      <c r="C8177" s="94">
        <f>TEXT(B8177,"aaa")</f>
        <v/>
      </c>
      <c r="E8177" s="94" t="inlineStr">
        <is>
          <t>머드크림마스크</t>
        </is>
      </c>
      <c r="F8177" s="94" t="inlineStr">
        <is>
          <t>카페24</t>
        </is>
      </c>
      <c r="G8177" s="94" t="inlineStr">
        <is>
          <t>머드크림마스크 100ml</t>
        </is>
      </c>
      <c r="H8177" s="7" t="n">
        <v>190801</v>
      </c>
      <c r="I8177" s="7" t="n">
        <v>190801</v>
      </c>
      <c r="K8177" s="94" t="n">
        <v>2</v>
      </c>
      <c r="L8177" s="94" t="n">
        <v>190801</v>
      </c>
      <c r="M8177" s="94">
        <f>VLOOKUP($Q8177,매칭테이블!$F:$I,2,0)*K8177</f>
        <v/>
      </c>
      <c r="N8177" s="94">
        <f>M8177-M8177*VLOOKUP($Q8177,매칭테이블!$F:$I,3,0)</f>
        <v/>
      </c>
      <c r="O8177" s="94">
        <f>VLOOKUP($Q8177,매칭테이블!$F:$I,4,0)*K8177</f>
        <v/>
      </c>
      <c r="P8177" s="148">
        <f>M8177/1.1</f>
        <v/>
      </c>
      <c r="Q8177" s="94">
        <f>F8177&amp;E8177&amp;G8177&amp;L8177</f>
        <v/>
      </c>
    </row>
    <row r="8178" customFormat="1" s="94">
      <c r="B8178" s="128" t="n">
        <v>44046</v>
      </c>
      <c r="C8178" s="94">
        <f>TEXT(B8178,"aaa")</f>
        <v/>
      </c>
      <c r="E8178" s="94" t="inlineStr">
        <is>
          <t>머드크림마스크</t>
        </is>
      </c>
      <c r="F8178" s="94" t="inlineStr">
        <is>
          <t>카페24</t>
        </is>
      </c>
      <c r="G8178" s="94" t="inlineStr">
        <is>
          <t>머드크림마스크 100ml 2set</t>
        </is>
      </c>
      <c r="H8178" s="7" t="n">
        <v>190801</v>
      </c>
      <c r="I8178" s="7" t="n">
        <v>190801</v>
      </c>
      <c r="K8178" s="94" t="n">
        <v>1</v>
      </c>
      <c r="L8178" s="94" t="n">
        <v>190801</v>
      </c>
      <c r="M8178" s="94">
        <f>VLOOKUP($Q8178,매칭테이블!$F:$I,2,0)*K8178</f>
        <v/>
      </c>
      <c r="N8178" s="94">
        <f>M8178-M8178*VLOOKUP($Q8178,매칭테이블!$F:$I,3,0)</f>
        <v/>
      </c>
      <c r="O8178" s="94">
        <f>VLOOKUP($Q8178,매칭테이블!$F:$I,4,0)*K8178</f>
        <v/>
      </c>
      <c r="P8178" s="148">
        <f>M8178/1.1</f>
        <v/>
      </c>
      <c r="Q8178" s="94">
        <f>F8178&amp;E8178&amp;G8178&amp;L8178</f>
        <v/>
      </c>
    </row>
    <row r="8179" customFormat="1" s="94">
      <c r="B8179" s="128" t="n">
        <v>44046</v>
      </c>
      <c r="C8179" s="94">
        <f>TEXT(B8179,"aaa")</f>
        <v/>
      </c>
      <c r="E8179" s="94" t="inlineStr">
        <is>
          <t>마스크팩</t>
        </is>
      </c>
      <c r="F8179" s="94" t="inlineStr">
        <is>
          <t>카페24</t>
        </is>
      </c>
      <c r="G8179" s="94" t="inlineStr">
        <is>
          <t>마스크팩 1매</t>
        </is>
      </c>
      <c r="H8179" s="7" t="n">
        <v>190801</v>
      </c>
      <c r="I8179" s="7" t="n">
        <v>190801</v>
      </c>
      <c r="K8179" s="94" t="n">
        <v>4</v>
      </c>
      <c r="L8179" s="94" t="n">
        <v>190801</v>
      </c>
      <c r="M8179" s="94">
        <f>VLOOKUP($Q8179,매칭테이블!$F:$I,2,0)*K8179</f>
        <v/>
      </c>
      <c r="N8179" s="94">
        <f>M8179-M8179*VLOOKUP($Q8179,매칭테이블!$F:$I,3,0)</f>
        <v/>
      </c>
      <c r="O8179" s="94">
        <f>VLOOKUP($Q8179,매칭테이블!$F:$I,4,0)*K8179</f>
        <v/>
      </c>
      <c r="P8179" s="148">
        <f>M8179/1.1</f>
        <v/>
      </c>
      <c r="Q8179" s="94">
        <f>F8179&amp;E8179&amp;G8179&amp;L8179</f>
        <v/>
      </c>
    </row>
    <row r="8180" customFormat="1" s="94">
      <c r="B8180" s="128" t="n">
        <v>44046</v>
      </c>
      <c r="C8180" s="94">
        <f>TEXT(B8180,"aaa")</f>
        <v/>
      </c>
      <c r="E8180" s="94" t="inlineStr">
        <is>
          <t>마스크팩</t>
        </is>
      </c>
      <c r="F8180" s="94" t="inlineStr">
        <is>
          <t>카페24</t>
        </is>
      </c>
      <c r="G8180" s="94" t="inlineStr">
        <is>
          <t>마스크팩 10매</t>
        </is>
      </c>
      <c r="H8180" s="7" t="n">
        <v>190801</v>
      </c>
      <c r="I8180" s="7" t="n">
        <v>190801</v>
      </c>
      <c r="K8180" s="94" t="n">
        <v>7</v>
      </c>
      <c r="L8180" s="94" t="n">
        <v>190801</v>
      </c>
      <c r="M8180" s="94">
        <f>VLOOKUP($Q8180,매칭테이블!$F:$I,2,0)*K8180</f>
        <v/>
      </c>
      <c r="N8180" s="94">
        <f>M8180-M8180*VLOOKUP($Q8180,매칭테이블!$F:$I,3,0)</f>
        <v/>
      </c>
      <c r="O8180" s="94">
        <f>VLOOKUP($Q8180,매칭테이블!$F:$I,4,0)*K8180</f>
        <v/>
      </c>
      <c r="P8180" s="148">
        <f>M8180/1.1</f>
        <v/>
      </c>
      <c r="Q8180" s="94">
        <f>F8180&amp;E8180&amp;G8180&amp;L8180</f>
        <v/>
      </c>
    </row>
    <row r="8181" customFormat="1" s="94">
      <c r="B8181" s="128" t="n">
        <v>44046</v>
      </c>
      <c r="C8181" s="94">
        <f>TEXT(B8181,"aaa")</f>
        <v/>
      </c>
      <c r="E8181" s="94" t="inlineStr">
        <is>
          <t>토너</t>
        </is>
      </c>
      <c r="F8181" s="94" t="inlineStr">
        <is>
          <t>카페24</t>
        </is>
      </c>
      <c r="G8181" s="94" t="inlineStr">
        <is>
          <t>250ml</t>
        </is>
      </c>
      <c r="H8181" s="7" t="n">
        <v>190801</v>
      </c>
      <c r="I8181" s="7" t="n">
        <v>190801</v>
      </c>
      <c r="K8181" s="94" t="n">
        <v>106</v>
      </c>
      <c r="L8181" s="94" t="n">
        <v>190801</v>
      </c>
      <c r="M8181" s="94">
        <f>VLOOKUP($Q8181,매칭테이블!$F:$I,2,0)*K8181</f>
        <v/>
      </c>
      <c r="N8181" s="94">
        <f>M8181-M8181*VLOOKUP($Q8181,매칭테이블!$F:$I,3,0)</f>
        <v/>
      </c>
      <c r="O8181" s="94">
        <f>VLOOKUP($Q8181,매칭테이블!$F:$I,4,0)*K8181</f>
        <v/>
      </c>
      <c r="P8181" s="148">
        <f>M8181/1.1</f>
        <v/>
      </c>
      <c r="Q8181" s="94">
        <f>F8181&amp;E8181&amp;G8181&amp;L8181</f>
        <v/>
      </c>
    </row>
    <row r="8182" customFormat="1" s="94">
      <c r="B8182" s="128" t="n">
        <v>44046</v>
      </c>
      <c r="C8182" s="94">
        <f>TEXT(B8182,"aaa")</f>
        <v/>
      </c>
      <c r="E8182" s="94" t="inlineStr">
        <is>
          <t>토너</t>
        </is>
      </c>
      <c r="F8182" s="94" t="inlineStr">
        <is>
          <t>카페24</t>
        </is>
      </c>
      <c r="G8182" s="94" t="inlineStr">
        <is>
          <t>250ml 2set</t>
        </is>
      </c>
      <c r="H8182" s="7" t="n">
        <v>190801</v>
      </c>
      <c r="I8182" s="7" t="n">
        <v>190801</v>
      </c>
      <c r="K8182" s="94" t="n">
        <v>94</v>
      </c>
      <c r="L8182" s="94" t="n">
        <v>190801</v>
      </c>
      <c r="M8182" s="94">
        <f>VLOOKUP($Q8182,매칭테이블!$F:$I,2,0)*K8182</f>
        <v/>
      </c>
      <c r="N8182" s="94">
        <f>M8182-M8182*VLOOKUP($Q8182,매칭테이블!$F:$I,3,0)</f>
        <v/>
      </c>
      <c r="O8182" s="94">
        <f>VLOOKUP($Q8182,매칭테이블!$F:$I,4,0)*K8182</f>
        <v/>
      </c>
      <c r="P8182" s="148">
        <f>M8182/1.1</f>
        <v/>
      </c>
      <c r="Q8182" s="94">
        <f>F8182&amp;E8182&amp;G8182&amp;L8182</f>
        <v/>
      </c>
    </row>
    <row r="8183" customFormat="1" s="94">
      <c r="B8183" s="128" t="n">
        <v>44046</v>
      </c>
      <c r="C8183" s="94">
        <f>TEXT(B8183,"aaa")</f>
        <v/>
      </c>
      <c r="E8183" s="94" t="inlineStr">
        <is>
          <t>토너</t>
        </is>
      </c>
      <c r="F8183" s="94" t="inlineStr">
        <is>
          <t>카페24</t>
        </is>
      </c>
      <c r="G8183" s="94" t="inlineStr">
        <is>
          <t>500ml</t>
        </is>
      </c>
      <c r="H8183" s="7" t="n">
        <v>190801</v>
      </c>
      <c r="I8183" s="7" t="n">
        <v>190801</v>
      </c>
      <c r="K8183" s="94" t="n">
        <v>92</v>
      </c>
      <c r="L8183" s="94" t="n">
        <v>190801</v>
      </c>
      <c r="M8183" s="94">
        <f>VLOOKUP($Q8183,매칭테이블!$F:$I,2,0)*K8183</f>
        <v/>
      </c>
      <c r="N8183" s="94">
        <f>M8183-M8183*VLOOKUP($Q8183,매칭테이블!$F:$I,3,0)</f>
        <v/>
      </c>
      <c r="O8183" s="94">
        <f>VLOOKUP($Q8183,매칭테이블!$F:$I,4,0)*K8183</f>
        <v/>
      </c>
      <c r="P8183" s="148">
        <f>M8183/1.1</f>
        <v/>
      </c>
      <c r="Q8183" s="94">
        <f>F8183&amp;E8183&amp;G8183&amp;L8183</f>
        <v/>
      </c>
    </row>
    <row r="8184" customFormat="1" s="94">
      <c r="B8184" s="128" t="n">
        <v>44046</v>
      </c>
      <c r="C8184" s="94">
        <f>TEXT(B8184,"aaa")</f>
        <v/>
      </c>
      <c r="E8184" s="94" t="inlineStr">
        <is>
          <t>토너</t>
        </is>
      </c>
      <c r="F8184" s="94" t="inlineStr">
        <is>
          <t>카페24</t>
        </is>
      </c>
      <c r="G8184" s="94" t="inlineStr">
        <is>
          <t>스킨팩 화장솜 60P</t>
        </is>
      </c>
      <c r="H8184" s="7" t="n">
        <v>190801</v>
      </c>
      <c r="I8184" s="7" t="n">
        <v>190801</v>
      </c>
      <c r="K8184" s="94" t="n">
        <v>62</v>
      </c>
      <c r="L8184" s="94" t="n">
        <v>190801</v>
      </c>
      <c r="M8184" s="94">
        <f>VLOOKUP($Q8184,매칭테이블!$F:$I,2,0)*K8184</f>
        <v/>
      </c>
      <c r="N8184" s="94">
        <f>M8184-M8184*VLOOKUP($Q8184,매칭테이블!$F:$I,3,0)</f>
        <v/>
      </c>
      <c r="O8184" s="94">
        <f>VLOOKUP($Q8184,매칭테이블!$F:$I,4,0)*K8184</f>
        <v/>
      </c>
      <c r="P8184" s="148">
        <f>M8184/1.1</f>
        <v/>
      </c>
      <c r="Q8184" s="94">
        <f>F8184&amp;E8184&amp;G8184&amp;L8184</f>
        <v/>
      </c>
    </row>
    <row r="8185" customFormat="1" s="94">
      <c r="B8185" s="128" t="n">
        <v>44046</v>
      </c>
      <c r="C8185" s="94">
        <f>TEXT(B8185,"aaa")</f>
        <v/>
      </c>
      <c r="E8185" s="94" t="inlineStr">
        <is>
          <t>앰플</t>
        </is>
      </c>
      <c r="F8185" s="94" t="inlineStr">
        <is>
          <t>카페24</t>
        </is>
      </c>
      <c r="G8185" s="94" t="inlineStr">
        <is>
          <t>앰플 30ml</t>
        </is>
      </c>
      <c r="H8185" s="7" t="n">
        <v>190801</v>
      </c>
      <c r="I8185" s="7" t="n">
        <v>190801</v>
      </c>
      <c r="K8185" s="94" t="n">
        <v>37</v>
      </c>
      <c r="L8185" s="94" t="n">
        <v>190801</v>
      </c>
      <c r="M8185" s="94">
        <f>VLOOKUP($Q8185,매칭테이블!$F:$I,2,0)*K8185</f>
        <v/>
      </c>
      <c r="N8185" s="94">
        <f>M8185-M8185*VLOOKUP($Q8185,매칭테이블!$F:$I,3,0)</f>
        <v/>
      </c>
      <c r="O8185" s="94">
        <f>VLOOKUP($Q8185,매칭테이블!$F:$I,4,0)*K8185</f>
        <v/>
      </c>
      <c r="P8185" s="148">
        <f>M8185/1.1</f>
        <v/>
      </c>
      <c r="Q8185" s="94">
        <f>F8185&amp;E8185&amp;G8185&amp;L8185</f>
        <v/>
      </c>
    </row>
    <row r="8186" customFormat="1" s="94">
      <c r="B8186" s="128" t="n">
        <v>44046</v>
      </c>
      <c r="C8186" s="94">
        <f>TEXT(B8186,"aaa")</f>
        <v/>
      </c>
      <c r="E8186" s="94" t="inlineStr">
        <is>
          <t>수딩크림</t>
        </is>
      </c>
      <c r="F8186" s="94" t="inlineStr">
        <is>
          <t>카페24</t>
        </is>
      </c>
      <c r="G8186" s="94" t="inlineStr">
        <is>
          <t>수딩크림 100ml</t>
        </is>
      </c>
      <c r="H8186" s="7" t="n">
        <v>190801</v>
      </c>
      <c r="I8186" s="7" t="n">
        <v>190801</v>
      </c>
      <c r="K8186" s="94" t="n">
        <v>10</v>
      </c>
      <c r="L8186" s="94" t="n">
        <v>190801</v>
      </c>
      <c r="M8186" s="94">
        <f>VLOOKUP($Q8186,매칭테이블!$F:$I,2,0)*K8186</f>
        <v/>
      </c>
      <c r="N8186" s="94">
        <f>M8186-M8186*VLOOKUP($Q8186,매칭테이블!$F:$I,3,0)</f>
        <v/>
      </c>
      <c r="O8186" s="94">
        <f>VLOOKUP($Q8186,매칭테이블!$F:$I,4,0)*K8186</f>
        <v/>
      </c>
      <c r="P8186" s="148">
        <f>M8186/1.1</f>
        <v/>
      </c>
      <c r="Q8186" s="94">
        <f>F8186&amp;E8186&amp;G8186&amp;L8186</f>
        <v/>
      </c>
    </row>
    <row r="8187" customFormat="1" s="94">
      <c r="B8187" s="128" t="n">
        <v>44046</v>
      </c>
      <c r="C8187" s="94">
        <f>TEXT(B8187,"aaa")</f>
        <v/>
      </c>
      <c r="E8187" s="94" t="inlineStr">
        <is>
          <t>토너</t>
        </is>
      </c>
      <c r="F8187" s="94" t="inlineStr">
        <is>
          <t>큐텐재팬</t>
        </is>
      </c>
      <c r="G8187" s="94" t="inlineStr">
        <is>
          <t>200726=250ml</t>
        </is>
      </c>
      <c r="H8187" s="7" t="n">
        <v>190801</v>
      </c>
      <c r="I8187" s="7" t="n">
        <v>190801</v>
      </c>
      <c r="K8187" s="94" t="n">
        <v>45</v>
      </c>
      <c r="L8187" s="94" t="n">
        <v>190801</v>
      </c>
      <c r="M8187" s="94">
        <f>VLOOKUP($Q8187,매칭테이블!$F:$I,2,0)*K8187</f>
        <v/>
      </c>
      <c r="N8187" s="94">
        <f>M8187-M8187*VLOOKUP($Q8187,매칭테이블!$F:$I,3,0)</f>
        <v/>
      </c>
      <c r="O8187" s="94">
        <f>VLOOKUP($Q8187,매칭테이블!$F:$I,4,0)*K8187</f>
        <v/>
      </c>
      <c r="P8187" s="148">
        <f>M8187/1.1</f>
        <v/>
      </c>
      <c r="Q8187" s="94">
        <f>F8187&amp;E8187&amp;G8187&amp;L8187</f>
        <v/>
      </c>
    </row>
    <row r="8188" customFormat="1" s="94">
      <c r="B8188" s="128" t="n">
        <v>44046</v>
      </c>
      <c r="C8188" s="94">
        <f>TEXT(B8188,"aaa")</f>
        <v/>
      </c>
      <c r="E8188" s="94" t="inlineStr">
        <is>
          <t>수딩크림</t>
        </is>
      </c>
      <c r="F8188" s="94" t="inlineStr">
        <is>
          <t>큐텐재팬</t>
        </is>
      </c>
      <c r="G8188" s="94" t="inlineStr">
        <is>
          <t>200726=수딩크림 100ml</t>
        </is>
      </c>
      <c r="H8188" s="7" t="n">
        <v>190801</v>
      </c>
      <c r="I8188" s="7" t="n">
        <v>190801</v>
      </c>
      <c r="K8188" s="94" t="n">
        <v>1</v>
      </c>
      <c r="L8188" s="94" t="n">
        <v>190801</v>
      </c>
      <c r="M8188" s="94">
        <f>VLOOKUP($Q8188,매칭테이블!$F:$I,2,0)*K8188</f>
        <v/>
      </c>
      <c r="N8188" s="94">
        <f>M8188-M8188*VLOOKUP($Q8188,매칭테이블!$F:$I,3,0)</f>
        <v/>
      </c>
      <c r="O8188" s="94">
        <f>VLOOKUP($Q8188,매칭테이블!$F:$I,4,0)*K8188</f>
        <v/>
      </c>
      <c r="P8188" s="148">
        <f>M8188/1.1</f>
        <v/>
      </c>
      <c r="Q8188" s="94">
        <f>F8188&amp;E8188&amp;G8188&amp;L8188</f>
        <v/>
      </c>
    </row>
    <row r="8189" customFormat="1" s="94">
      <c r="B8189" s="128" t="n">
        <v>44046</v>
      </c>
      <c r="C8189" s="94">
        <f>TEXT(B8189,"aaa")</f>
        <v/>
      </c>
      <c r="E8189" s="94" t="inlineStr">
        <is>
          <t>앰플</t>
        </is>
      </c>
      <c r="F8189" s="94" t="inlineStr">
        <is>
          <t>큐텐재팬</t>
        </is>
      </c>
      <c r="G8189" s="94" t="inlineStr">
        <is>
          <t>200726=앰플 30ml</t>
        </is>
      </c>
      <c r="H8189" s="7" t="n">
        <v>190801</v>
      </c>
      <c r="I8189" s="7" t="n">
        <v>190801</v>
      </c>
      <c r="K8189" s="94" t="n">
        <v>9</v>
      </c>
      <c r="L8189" s="94" t="n">
        <v>190801</v>
      </c>
      <c r="M8189" s="94">
        <f>VLOOKUP($Q8189,매칭테이블!$F:$I,2,0)*K8189</f>
        <v/>
      </c>
      <c r="N8189" s="94">
        <f>M8189-M8189*VLOOKUP($Q8189,매칭테이블!$F:$I,3,0)</f>
        <v/>
      </c>
      <c r="O8189" s="94">
        <f>VLOOKUP($Q8189,매칭테이블!$F:$I,4,0)*K8189</f>
        <v/>
      </c>
      <c r="P8189" s="148">
        <f>M8189/1.1</f>
        <v/>
      </c>
      <c r="Q8189" s="94">
        <f>F8189&amp;E8189&amp;G8189&amp;L8189</f>
        <v/>
      </c>
    </row>
    <row r="8190" customFormat="1" s="94">
      <c r="B8190" s="128" t="n">
        <v>44046</v>
      </c>
      <c r="C8190" s="94">
        <f>TEXT(B8190,"aaa")</f>
        <v/>
      </c>
      <c r="E8190" s="94" t="inlineStr">
        <is>
          <t>토너</t>
        </is>
      </c>
      <c r="F8190" s="94" t="inlineStr">
        <is>
          <t>큐텐재팬</t>
        </is>
      </c>
      <c r="G8190" s="94" t="inlineStr">
        <is>
          <t>200726=250ml 2set</t>
        </is>
      </c>
      <c r="H8190" s="7" t="n">
        <v>190801</v>
      </c>
      <c r="I8190" s="7" t="n">
        <v>190801</v>
      </c>
      <c r="K8190" s="94" t="n">
        <v>18</v>
      </c>
      <c r="L8190" s="94" t="n">
        <v>190801</v>
      </c>
      <c r="M8190" s="94">
        <f>VLOOKUP($Q8190,매칭테이블!$F:$I,2,0)*K8190</f>
        <v/>
      </c>
      <c r="N8190" s="94">
        <f>M8190-M8190*VLOOKUP($Q8190,매칭테이블!$F:$I,3,0)</f>
        <v/>
      </c>
      <c r="O8190" s="94">
        <f>VLOOKUP($Q8190,매칭테이블!$F:$I,4,0)*K8190</f>
        <v/>
      </c>
      <c r="P8190" s="148">
        <f>M8190/1.1</f>
        <v/>
      </c>
      <c r="Q8190" s="94">
        <f>F8190&amp;E8190&amp;G8190&amp;L8190</f>
        <v/>
      </c>
    </row>
    <row r="8191" customFormat="1" s="94">
      <c r="B8191" s="128" t="n">
        <v>44046</v>
      </c>
      <c r="C8191" s="94">
        <f>TEXT(B8191,"aaa")</f>
        <v/>
      </c>
      <c r="E8191" s="94" t="inlineStr">
        <is>
          <t>토너</t>
        </is>
      </c>
      <c r="F8191" s="94" t="inlineStr">
        <is>
          <t>쇼피태국</t>
        </is>
      </c>
      <c r="G8191" s="94" t="inlineStr">
        <is>
          <t>200726=250ml</t>
        </is>
      </c>
      <c r="H8191" s="7" t="n">
        <v>190801</v>
      </c>
      <c r="I8191" s="7" t="n">
        <v>190801</v>
      </c>
      <c r="K8191" s="94" t="n">
        <v>1</v>
      </c>
      <c r="L8191" s="94" t="n">
        <v>190801</v>
      </c>
      <c r="M8191" s="94">
        <f>VLOOKUP($Q8191,매칭테이블!$F:$I,2,0)*K8191</f>
        <v/>
      </c>
      <c r="N8191" s="94">
        <f>M8191-M8191*VLOOKUP($Q8191,매칭테이블!$F:$I,3,0)</f>
        <v/>
      </c>
      <c r="O8191" s="94">
        <f>VLOOKUP($Q8191,매칭테이블!$F:$I,4,0)*K8191</f>
        <v/>
      </c>
      <c r="P8191" s="148">
        <f>M8191/1.1</f>
        <v/>
      </c>
      <c r="Q8191" s="94">
        <f>F8191&amp;E8191&amp;G8191&amp;L8191</f>
        <v/>
      </c>
    </row>
    <row r="8192" customFormat="1" s="94">
      <c r="B8192" s="128" t="n">
        <v>44046</v>
      </c>
      <c r="C8192" s="94">
        <f>TEXT(B8192,"aaa")</f>
        <v/>
      </c>
      <c r="E8192" s="94" t="inlineStr">
        <is>
          <t>앰플</t>
        </is>
      </c>
      <c r="F8192" s="94" t="inlineStr">
        <is>
          <t>쇼피태국</t>
        </is>
      </c>
      <c r="G8192" s="94" t="inlineStr">
        <is>
          <t>200726=앰플 30ml</t>
        </is>
      </c>
      <c r="H8192" s="7" t="n">
        <v>190801</v>
      </c>
      <c r="I8192" s="7" t="n">
        <v>190801</v>
      </c>
      <c r="K8192" s="94" t="n">
        <v>3</v>
      </c>
      <c r="L8192" s="94" t="n">
        <v>190801</v>
      </c>
      <c r="M8192" s="94">
        <f>VLOOKUP($Q8192,매칭테이블!$F:$I,2,0)*K8192</f>
        <v/>
      </c>
      <c r="N8192" s="94">
        <f>M8192-M8192*VLOOKUP($Q8192,매칭테이블!$F:$I,3,0)</f>
        <v/>
      </c>
      <c r="O8192" s="94">
        <f>VLOOKUP($Q8192,매칭테이블!$F:$I,4,0)*K8192</f>
        <v/>
      </c>
      <c r="P8192" s="148">
        <f>M8192/1.1</f>
        <v/>
      </c>
      <c r="Q8192" s="94">
        <f>F8192&amp;E8192&amp;G8192&amp;L8192</f>
        <v/>
      </c>
    </row>
    <row r="8193" customFormat="1" s="94">
      <c r="B8193" s="128" t="n">
        <v>44046</v>
      </c>
      <c r="C8193" s="94">
        <f>TEXT(B8193,"aaa")</f>
        <v/>
      </c>
      <c r="E8193" s="94" t="inlineStr">
        <is>
          <t>토너</t>
        </is>
      </c>
      <c r="F8193" s="94" t="inlineStr">
        <is>
          <t>쇼피필리핀</t>
        </is>
      </c>
      <c r="G8193" s="94" t="inlineStr">
        <is>
          <t>200726=500ml</t>
        </is>
      </c>
      <c r="H8193" s="7" t="n">
        <v>190801</v>
      </c>
      <c r="I8193" s="7" t="n">
        <v>190801</v>
      </c>
      <c r="K8193" s="94" t="n">
        <v>1</v>
      </c>
      <c r="L8193" s="94" t="n">
        <v>190801</v>
      </c>
      <c r="M8193" s="94">
        <f>VLOOKUP($Q8193,매칭테이블!$F:$I,2,0)*K8193</f>
        <v/>
      </c>
      <c r="N8193" s="94">
        <f>M8193-M8193*VLOOKUP($Q8193,매칭테이블!$F:$I,3,0)</f>
        <v/>
      </c>
      <c r="O8193" s="94">
        <f>VLOOKUP($Q8193,매칭테이블!$F:$I,4,0)*K8193</f>
        <v/>
      </c>
      <c r="P8193" s="148">
        <f>M8193/1.1</f>
        <v/>
      </c>
      <c r="Q8193" s="94">
        <f>F8193&amp;E8193&amp;G8193&amp;L8193</f>
        <v/>
      </c>
    </row>
    <row r="8194" customFormat="1" s="94">
      <c r="B8194" s="128" t="n">
        <v>44046</v>
      </c>
      <c r="C8194" s="94">
        <f>TEXT(B8194,"aaa")</f>
        <v/>
      </c>
      <c r="E8194" s="94" t="inlineStr">
        <is>
          <t>토너</t>
        </is>
      </c>
      <c r="F8194" s="94" t="inlineStr">
        <is>
          <t>화해</t>
        </is>
      </c>
      <c r="G8194" s="94" t="inlineStr">
        <is>
          <t>250ml</t>
        </is>
      </c>
      <c r="H8194" s="7" t="n">
        <v>190801</v>
      </c>
      <c r="I8194" s="7" t="n">
        <v>190801</v>
      </c>
      <c r="K8194" s="94" t="n">
        <v>12</v>
      </c>
      <c r="L8194" s="94" t="n">
        <v>190801</v>
      </c>
      <c r="M8194" s="94">
        <f>VLOOKUP($Q8194,매칭테이블!$F:$I,2,0)*K8194</f>
        <v/>
      </c>
      <c r="N8194" s="94">
        <f>M8194-M8194*VLOOKUP($Q8194,매칭테이블!$F:$I,3,0)</f>
        <v/>
      </c>
      <c r="O8194" s="94">
        <f>VLOOKUP($Q8194,매칭테이블!$F:$I,4,0)*K8194</f>
        <v/>
      </c>
      <c r="P8194" s="148">
        <f>M8194/1.1</f>
        <v/>
      </c>
      <c r="Q8194" s="94">
        <f>F8194&amp;E8194&amp;G8194&amp;L8194</f>
        <v/>
      </c>
    </row>
    <row r="8195" customFormat="1" s="94">
      <c r="B8195" s="128" t="n">
        <v>44047</v>
      </c>
      <c r="C8195" s="94">
        <f>TEXT(B8195,"aaa")</f>
        <v/>
      </c>
      <c r="E8195" s="94" t="inlineStr">
        <is>
          <t>토너</t>
        </is>
      </c>
      <c r="F8195" s="94" t="inlineStr">
        <is>
          <t>W컨셉</t>
        </is>
      </c>
      <c r="G8195" s="94" t="inlineStr">
        <is>
          <t>250ml</t>
        </is>
      </c>
      <c r="H8195" s="7" t="n">
        <v>190801</v>
      </c>
      <c r="I8195" s="7" t="n">
        <v>190801</v>
      </c>
      <c r="K8195" s="94" t="n">
        <v>21</v>
      </c>
      <c r="L8195" s="94" t="n">
        <v>190801</v>
      </c>
      <c r="M8195" s="94">
        <f>VLOOKUP($Q8195,매칭테이블!$F:$I,2,0)*K8195</f>
        <v/>
      </c>
      <c r="N8195" s="94">
        <f>M8195-M8195*VLOOKUP($Q8195,매칭테이블!$F:$I,3,0)</f>
        <v/>
      </c>
      <c r="O8195" s="94">
        <f>VLOOKUP($Q8195,매칭테이블!$F:$I,4,0)*K8195</f>
        <v/>
      </c>
      <c r="P8195" s="148">
        <f>M8195/1.1</f>
        <v/>
      </c>
      <c r="Q8195" s="94">
        <f>F8195&amp;E8195&amp;G8195&amp;L8195</f>
        <v/>
      </c>
    </row>
    <row r="8196" customFormat="1" s="94">
      <c r="B8196" s="128" t="n">
        <v>44047</v>
      </c>
      <c r="C8196" s="94">
        <f>TEXT(B8196,"aaa")</f>
        <v/>
      </c>
      <c r="E8196" s="94" t="inlineStr">
        <is>
          <t>토너</t>
        </is>
      </c>
      <c r="F8196" s="94" t="inlineStr">
        <is>
          <t>W컨셉</t>
        </is>
      </c>
      <c r="G8196" s="94" t="inlineStr">
        <is>
          <t>250ml 2set</t>
        </is>
      </c>
      <c r="H8196" s="7" t="n">
        <v>190801</v>
      </c>
      <c r="I8196" s="7" t="n">
        <v>190801</v>
      </c>
      <c r="K8196" s="94" t="n">
        <v>7</v>
      </c>
      <c r="L8196" s="94" t="n">
        <v>190801</v>
      </c>
      <c r="M8196" s="94">
        <f>VLOOKUP($Q8196,매칭테이블!$F:$I,2,0)*K8196</f>
        <v/>
      </c>
      <c r="N8196" s="94">
        <f>M8196-M8196*VLOOKUP($Q8196,매칭테이블!$F:$I,3,0)</f>
        <v/>
      </c>
      <c r="O8196" s="94">
        <f>VLOOKUP($Q8196,매칭테이블!$F:$I,4,0)*K8196</f>
        <v/>
      </c>
      <c r="P8196" s="148">
        <f>M8196/1.1</f>
        <v/>
      </c>
      <c r="Q8196" s="94">
        <f>F8196&amp;E8196&amp;G8196&amp;L8196</f>
        <v/>
      </c>
    </row>
    <row r="8197" customFormat="1" s="94">
      <c r="B8197" s="128" t="n">
        <v>44047</v>
      </c>
      <c r="C8197" s="94">
        <f>TEXT(B8197,"aaa")</f>
        <v/>
      </c>
      <c r="E8197" s="94" t="inlineStr">
        <is>
          <t>토너</t>
        </is>
      </c>
      <c r="F8197" s="94" t="inlineStr">
        <is>
          <t>스타일쉐어</t>
        </is>
      </c>
      <c r="G8197" s="94" t="inlineStr">
        <is>
          <t>250ml</t>
        </is>
      </c>
      <c r="H8197" s="7" t="n">
        <v>190801</v>
      </c>
      <c r="I8197" s="7" t="n">
        <v>190801</v>
      </c>
      <c r="K8197" s="94" t="n">
        <v>1</v>
      </c>
      <c r="L8197" s="94" t="n">
        <v>190801</v>
      </c>
      <c r="M8197" s="94">
        <f>VLOOKUP($Q8197,매칭테이블!$F:$I,2,0)*K8197</f>
        <v/>
      </c>
      <c r="N8197" s="94">
        <f>M8197-M8197*VLOOKUP($Q8197,매칭테이블!$F:$I,3,0)</f>
        <v/>
      </c>
      <c r="O8197" s="94">
        <f>VLOOKUP($Q8197,매칭테이블!$F:$I,4,0)*K8197</f>
        <v/>
      </c>
      <c r="P8197" s="148">
        <f>M8197/1.1</f>
        <v/>
      </c>
      <c r="Q8197" s="94">
        <f>F8197&amp;E8197&amp;G8197&amp;L8197</f>
        <v/>
      </c>
    </row>
    <row r="8198" customFormat="1" s="94">
      <c r="B8198" s="128" t="n">
        <v>44047</v>
      </c>
      <c r="C8198" s="94">
        <f>TEXT(B8198,"aaa")</f>
        <v/>
      </c>
      <c r="E8198" s="94" t="inlineStr">
        <is>
          <t>선크림</t>
        </is>
      </c>
      <c r="F8198" s="94" t="inlineStr">
        <is>
          <t>카페24</t>
        </is>
      </c>
      <c r="G8198" s="94" t="inlineStr">
        <is>
          <t>선크림 50ml</t>
        </is>
      </c>
      <c r="H8198" s="7" t="n">
        <v>190801</v>
      </c>
      <c r="I8198" s="7" t="n">
        <v>190801</v>
      </c>
      <c r="K8198" s="94" t="n">
        <v>1</v>
      </c>
      <c r="L8198" s="94" t="n">
        <v>190801</v>
      </c>
      <c r="M8198" s="94">
        <f>VLOOKUP($Q8198,매칭테이블!$F:$I,2,0)*K8198</f>
        <v/>
      </c>
      <c r="N8198" s="94">
        <f>M8198-M8198*VLOOKUP($Q8198,매칭테이블!$F:$I,3,0)</f>
        <v/>
      </c>
      <c r="O8198" s="94">
        <f>VLOOKUP($Q8198,매칭테이블!$F:$I,4,0)*K8198</f>
        <v/>
      </c>
      <c r="P8198" s="148">
        <f>M8198/1.1</f>
        <v/>
      </c>
      <c r="Q8198" s="94">
        <f>F8198&amp;E8198&amp;G8198&amp;L8198</f>
        <v/>
      </c>
    </row>
    <row r="8199" customFormat="1" s="94">
      <c r="B8199" s="128" t="n">
        <v>44047</v>
      </c>
      <c r="C8199" s="94">
        <f>TEXT(B8199,"aaa")</f>
        <v/>
      </c>
      <c r="E8199" s="94" t="inlineStr">
        <is>
          <t>선크림</t>
        </is>
      </c>
      <c r="F8199" s="94" t="inlineStr">
        <is>
          <t>카페24</t>
        </is>
      </c>
      <c r="G8199" s="94" t="inlineStr">
        <is>
          <t>선크림 50ml  2set</t>
        </is>
      </c>
      <c r="H8199" s="7" t="n">
        <v>190801</v>
      </c>
      <c r="I8199" s="7" t="n">
        <v>190801</v>
      </c>
      <c r="K8199" s="94" t="n">
        <v>1</v>
      </c>
      <c r="L8199" s="94" t="n">
        <v>190801</v>
      </c>
      <c r="M8199" s="94">
        <f>VLOOKUP($Q8199,매칭테이블!$F:$I,2,0)*K8199</f>
        <v/>
      </c>
      <c r="N8199" s="94">
        <f>M8199-M8199*VLOOKUP($Q8199,매칭테이블!$F:$I,3,0)</f>
        <v/>
      </c>
      <c r="O8199" s="94">
        <f>VLOOKUP($Q8199,매칭테이블!$F:$I,4,0)*K8199</f>
        <v/>
      </c>
      <c r="P8199" s="148">
        <f>M8199/1.1</f>
        <v/>
      </c>
      <c r="Q8199" s="94">
        <f>F8199&amp;E8199&amp;G8199&amp;L8199</f>
        <v/>
      </c>
    </row>
    <row r="8200" customFormat="1" s="94">
      <c r="B8200" s="128" t="n">
        <v>44047</v>
      </c>
      <c r="C8200" s="94">
        <f>TEXT(B8200,"aaa")</f>
        <v/>
      </c>
      <c r="E8200" s="94" t="inlineStr">
        <is>
          <t>여름 한정 진정세트</t>
        </is>
      </c>
      <c r="F8200" s="94" t="inlineStr">
        <is>
          <t>카페24</t>
        </is>
      </c>
      <c r="G8200" s="94" t="inlineStr">
        <is>
          <t>여름 한정 진정세트</t>
        </is>
      </c>
      <c r="H8200" s="7" t="n">
        <v>190801</v>
      </c>
      <c r="I8200" s="7" t="n">
        <v>190801</v>
      </c>
      <c r="K8200" s="94" t="n">
        <v>3</v>
      </c>
      <c r="L8200" s="94" t="n">
        <v>190801</v>
      </c>
      <c r="M8200" s="94">
        <f>VLOOKUP($Q8200,매칭테이블!$F:$I,2,0)*K8200</f>
        <v/>
      </c>
      <c r="N8200" s="94">
        <f>M8200-M8200*VLOOKUP($Q8200,매칭테이블!$F:$I,3,0)</f>
        <v/>
      </c>
      <c r="O8200" s="94">
        <f>VLOOKUP($Q8200,매칭테이블!$F:$I,4,0)*K8200</f>
        <v/>
      </c>
      <c r="P8200" s="148">
        <f>M8200/1.1</f>
        <v/>
      </c>
      <c r="Q8200" s="94">
        <f>F8200&amp;E8200&amp;G8200&amp;L8200</f>
        <v/>
      </c>
    </row>
    <row r="8201" customFormat="1" s="94">
      <c r="B8201" s="128" t="n">
        <v>44047</v>
      </c>
      <c r="C8201" s="94">
        <f>TEXT(B8201,"aaa")</f>
        <v/>
      </c>
      <c r="E8201" s="94" t="inlineStr">
        <is>
          <t>여름 한정 진정세트</t>
        </is>
      </c>
      <c r="F8201" s="94" t="inlineStr">
        <is>
          <t>카페24</t>
        </is>
      </c>
      <c r="G8201" s="94" t="inlineStr">
        <is>
          <t>여름 한정 진정세트 (대용량)</t>
        </is>
      </c>
      <c r="H8201" s="7" t="n">
        <v>190801</v>
      </c>
      <c r="I8201" s="7" t="n">
        <v>190801</v>
      </c>
      <c r="K8201" s="94" t="n">
        <v>5</v>
      </c>
      <c r="L8201" s="94" t="n">
        <v>190801</v>
      </c>
      <c r="M8201" s="94">
        <f>VLOOKUP($Q8201,매칭테이블!$F:$I,2,0)*K8201</f>
        <v/>
      </c>
      <c r="N8201" s="94">
        <f>M8201-M8201*VLOOKUP($Q8201,매칭테이블!$F:$I,3,0)</f>
        <v/>
      </c>
      <c r="O8201" s="94">
        <f>VLOOKUP($Q8201,매칭테이블!$F:$I,4,0)*K8201</f>
        <v/>
      </c>
      <c r="P8201" s="148">
        <f>M8201/1.1</f>
        <v/>
      </c>
      <c r="Q8201" s="94">
        <f>F8201&amp;E8201&amp;G8201&amp;L8201</f>
        <v/>
      </c>
    </row>
    <row r="8202" customFormat="1" s="94">
      <c r="B8202" s="128" t="n">
        <v>44047</v>
      </c>
      <c r="C8202" s="94">
        <f>TEXT(B8202,"aaa")</f>
        <v/>
      </c>
      <c r="E8202" s="94" t="inlineStr">
        <is>
          <t>어성초진정패키지</t>
        </is>
      </c>
      <c r="F8202" s="94" t="inlineStr">
        <is>
          <t>카페24</t>
        </is>
      </c>
      <c r="G8202" s="94" t="inlineStr">
        <is>
          <t>어성초 진정패키지세트</t>
        </is>
      </c>
      <c r="H8202" s="7" t="n">
        <v>190801</v>
      </c>
      <c r="I8202" s="7" t="n">
        <v>190801</v>
      </c>
      <c r="K8202" s="94" t="n">
        <v>5</v>
      </c>
      <c r="L8202" s="94" t="n">
        <v>190801</v>
      </c>
      <c r="M8202" s="94">
        <f>VLOOKUP($Q8202,매칭테이블!$F:$I,2,0)*K8202</f>
        <v/>
      </c>
      <c r="N8202" s="94">
        <f>M8202-M8202*VLOOKUP($Q8202,매칭테이블!$F:$I,3,0)</f>
        <v/>
      </c>
      <c r="O8202" s="94">
        <f>VLOOKUP($Q8202,매칭테이블!$F:$I,4,0)*K8202</f>
        <v/>
      </c>
      <c r="P8202" s="148">
        <f>M8202/1.1</f>
        <v/>
      </c>
      <c r="Q8202" s="94">
        <f>F8202&amp;E8202&amp;G8202&amp;L8202</f>
        <v/>
      </c>
    </row>
    <row r="8203" customFormat="1" s="94">
      <c r="B8203" s="128" t="n">
        <v>44047</v>
      </c>
      <c r="C8203" s="94">
        <f>TEXT(B8203,"aaa")</f>
        <v/>
      </c>
      <c r="E8203" s="94" t="inlineStr">
        <is>
          <t>머드크림마스크</t>
        </is>
      </c>
      <c r="F8203" s="94" t="inlineStr">
        <is>
          <t>카페24</t>
        </is>
      </c>
      <c r="G8203" s="94" t="inlineStr">
        <is>
          <t>머드크림마스크 100ml</t>
        </is>
      </c>
      <c r="H8203" s="7" t="n">
        <v>190801</v>
      </c>
      <c r="I8203" s="7" t="n">
        <v>190801</v>
      </c>
      <c r="K8203" s="94" t="n">
        <v>3</v>
      </c>
      <c r="L8203" s="94" t="n">
        <v>190801</v>
      </c>
      <c r="M8203" s="94">
        <f>VLOOKUP($Q8203,매칭테이블!$F:$I,2,0)*K8203</f>
        <v/>
      </c>
      <c r="N8203" s="94">
        <f>M8203-M8203*VLOOKUP($Q8203,매칭테이블!$F:$I,3,0)</f>
        <v/>
      </c>
      <c r="O8203" s="94">
        <f>VLOOKUP($Q8203,매칭테이블!$F:$I,4,0)*K8203</f>
        <v/>
      </c>
      <c r="P8203" s="148">
        <f>M8203/1.1</f>
        <v/>
      </c>
      <c r="Q8203" s="94">
        <f>F8203&amp;E8203&amp;G8203&amp;L8203</f>
        <v/>
      </c>
    </row>
    <row r="8204" customFormat="1" s="94">
      <c r="B8204" s="128" t="n">
        <v>44047</v>
      </c>
      <c r="C8204" s="94">
        <f>TEXT(B8204,"aaa")</f>
        <v/>
      </c>
      <c r="E8204" s="94" t="inlineStr">
        <is>
          <t>마스크팩</t>
        </is>
      </c>
      <c r="F8204" s="94" t="inlineStr">
        <is>
          <t>카페24</t>
        </is>
      </c>
      <c r="G8204" s="94" t="inlineStr">
        <is>
          <t>마스크팩 1매</t>
        </is>
      </c>
      <c r="H8204" s="7" t="n">
        <v>190801</v>
      </c>
      <c r="I8204" s="7" t="n">
        <v>190801</v>
      </c>
      <c r="K8204" s="94" t="n">
        <v>3</v>
      </c>
      <c r="L8204" s="94" t="n">
        <v>190801</v>
      </c>
      <c r="M8204" s="94">
        <f>VLOOKUP($Q8204,매칭테이블!$F:$I,2,0)*K8204</f>
        <v/>
      </c>
      <c r="N8204" s="94">
        <f>M8204-M8204*VLOOKUP($Q8204,매칭테이블!$F:$I,3,0)</f>
        <v/>
      </c>
      <c r="O8204" s="94">
        <f>VLOOKUP($Q8204,매칭테이블!$F:$I,4,0)*K8204</f>
        <v/>
      </c>
      <c r="P8204" s="148">
        <f>M8204/1.1</f>
        <v/>
      </c>
      <c r="Q8204" s="94">
        <f>F8204&amp;E8204&amp;G8204&amp;L8204</f>
        <v/>
      </c>
    </row>
    <row r="8205" customFormat="1" s="94">
      <c r="B8205" s="128" t="n">
        <v>44047</v>
      </c>
      <c r="C8205" s="94">
        <f>TEXT(B8205,"aaa")</f>
        <v/>
      </c>
      <c r="E8205" s="94" t="inlineStr">
        <is>
          <t>마스크팩</t>
        </is>
      </c>
      <c r="F8205" s="94" t="inlineStr">
        <is>
          <t>카페24</t>
        </is>
      </c>
      <c r="G8205" s="94" t="inlineStr">
        <is>
          <t>마스크팩 10매</t>
        </is>
      </c>
      <c r="H8205" s="7" t="n">
        <v>190801</v>
      </c>
      <c r="I8205" s="7" t="n">
        <v>190801</v>
      </c>
      <c r="K8205" s="94" t="n">
        <v>6</v>
      </c>
      <c r="L8205" s="94" t="n">
        <v>190801</v>
      </c>
      <c r="M8205" s="94">
        <f>VLOOKUP($Q8205,매칭테이블!$F:$I,2,0)*K8205</f>
        <v/>
      </c>
      <c r="N8205" s="94">
        <f>M8205-M8205*VLOOKUP($Q8205,매칭테이블!$F:$I,3,0)</f>
        <v/>
      </c>
      <c r="O8205" s="94">
        <f>VLOOKUP($Q8205,매칭테이블!$F:$I,4,0)*K8205</f>
        <v/>
      </c>
      <c r="P8205" s="148">
        <f>M8205/1.1</f>
        <v/>
      </c>
      <c r="Q8205" s="94">
        <f>F8205&amp;E8205&amp;G8205&amp;L8205</f>
        <v/>
      </c>
    </row>
    <row r="8206" customFormat="1" s="94">
      <c r="B8206" s="128" t="n">
        <v>44047</v>
      </c>
      <c r="C8206" s="94">
        <f>TEXT(B8206,"aaa")</f>
        <v/>
      </c>
      <c r="E8206" s="94" t="inlineStr">
        <is>
          <t>토너</t>
        </is>
      </c>
      <c r="F8206" s="94" t="inlineStr">
        <is>
          <t>카페24</t>
        </is>
      </c>
      <c r="G8206" s="94" t="inlineStr">
        <is>
          <t>250ml</t>
        </is>
      </c>
      <c r="H8206" s="7" t="n">
        <v>190801</v>
      </c>
      <c r="I8206" s="7" t="n">
        <v>190801</v>
      </c>
      <c r="K8206" s="94" t="n">
        <v>103</v>
      </c>
      <c r="L8206" s="94" t="n">
        <v>190801</v>
      </c>
      <c r="M8206" s="94">
        <f>VLOOKUP($Q8206,매칭테이블!$F:$I,2,0)*K8206</f>
        <v/>
      </c>
      <c r="N8206" s="94">
        <f>M8206-M8206*VLOOKUP($Q8206,매칭테이블!$F:$I,3,0)</f>
        <v/>
      </c>
      <c r="O8206" s="94">
        <f>VLOOKUP($Q8206,매칭테이블!$F:$I,4,0)*K8206</f>
        <v/>
      </c>
      <c r="P8206" s="148">
        <f>M8206/1.1</f>
        <v/>
      </c>
      <c r="Q8206" s="94">
        <f>F8206&amp;E8206&amp;G8206&amp;L8206</f>
        <v/>
      </c>
    </row>
    <row r="8207" customFormat="1" s="94">
      <c r="B8207" s="128" t="n">
        <v>44047</v>
      </c>
      <c r="C8207" s="94">
        <f>TEXT(B8207,"aaa")</f>
        <v/>
      </c>
      <c r="E8207" s="94" t="inlineStr">
        <is>
          <t>토너</t>
        </is>
      </c>
      <c r="F8207" s="94" t="inlineStr">
        <is>
          <t>카페24</t>
        </is>
      </c>
      <c r="G8207" s="94" t="inlineStr">
        <is>
          <t>250ml 2set</t>
        </is>
      </c>
      <c r="H8207" s="7" t="n">
        <v>190801</v>
      </c>
      <c r="I8207" s="7" t="n">
        <v>190801</v>
      </c>
      <c r="K8207" s="94" t="n">
        <v>73</v>
      </c>
      <c r="L8207" s="94" t="n">
        <v>190801</v>
      </c>
      <c r="M8207" s="94">
        <f>VLOOKUP($Q8207,매칭테이블!$F:$I,2,0)*K8207</f>
        <v/>
      </c>
      <c r="N8207" s="94">
        <f>M8207-M8207*VLOOKUP($Q8207,매칭테이블!$F:$I,3,0)</f>
        <v/>
      </c>
      <c r="O8207" s="94">
        <f>VLOOKUP($Q8207,매칭테이블!$F:$I,4,0)*K8207</f>
        <v/>
      </c>
      <c r="P8207" s="148">
        <f>M8207/1.1</f>
        <v/>
      </c>
      <c r="Q8207" s="94">
        <f>F8207&amp;E8207&amp;G8207&amp;L8207</f>
        <v/>
      </c>
    </row>
    <row r="8208" customFormat="1" s="94">
      <c r="B8208" s="128" t="n">
        <v>44047</v>
      </c>
      <c r="C8208" s="94">
        <f>TEXT(B8208,"aaa")</f>
        <v/>
      </c>
      <c r="E8208" s="94" t="inlineStr">
        <is>
          <t>토너</t>
        </is>
      </c>
      <c r="F8208" s="94" t="inlineStr">
        <is>
          <t>카페24</t>
        </is>
      </c>
      <c r="G8208" s="94" t="inlineStr">
        <is>
          <t>500ml</t>
        </is>
      </c>
      <c r="H8208" s="7" t="n">
        <v>190801</v>
      </c>
      <c r="I8208" s="7" t="n">
        <v>190801</v>
      </c>
      <c r="K8208" s="94" t="n">
        <v>64</v>
      </c>
      <c r="L8208" s="94" t="n">
        <v>190801</v>
      </c>
      <c r="M8208" s="94">
        <f>VLOOKUP($Q8208,매칭테이블!$F:$I,2,0)*K8208</f>
        <v/>
      </c>
      <c r="N8208" s="94">
        <f>M8208-M8208*VLOOKUP($Q8208,매칭테이블!$F:$I,3,0)</f>
        <v/>
      </c>
      <c r="O8208" s="94">
        <f>VLOOKUP($Q8208,매칭테이블!$F:$I,4,0)*K8208</f>
        <v/>
      </c>
      <c r="P8208" s="148">
        <f>M8208/1.1</f>
        <v/>
      </c>
      <c r="Q8208" s="94">
        <f>F8208&amp;E8208&amp;G8208&amp;L8208</f>
        <v/>
      </c>
    </row>
    <row r="8209" customFormat="1" s="94">
      <c r="B8209" s="128" t="n">
        <v>44047</v>
      </c>
      <c r="C8209" s="94">
        <f>TEXT(B8209,"aaa")</f>
        <v/>
      </c>
      <c r="E8209" s="94" t="inlineStr">
        <is>
          <t>토너</t>
        </is>
      </c>
      <c r="F8209" s="94" t="inlineStr">
        <is>
          <t>카페24</t>
        </is>
      </c>
      <c r="G8209" s="94" t="inlineStr">
        <is>
          <t>스킨팩 화장솜 60P</t>
        </is>
      </c>
      <c r="H8209" s="7" t="n">
        <v>190801</v>
      </c>
      <c r="I8209" s="7" t="n">
        <v>190801</v>
      </c>
      <c r="K8209" s="94" t="n">
        <v>2</v>
      </c>
      <c r="L8209" s="94" t="n">
        <v>190801</v>
      </c>
      <c r="M8209" s="94">
        <f>VLOOKUP($Q8209,매칭테이블!$F:$I,2,0)*K8209</f>
        <v/>
      </c>
      <c r="N8209" s="94">
        <f>M8209-M8209*VLOOKUP($Q8209,매칭테이블!$F:$I,3,0)</f>
        <v/>
      </c>
      <c r="O8209" s="94">
        <f>VLOOKUP($Q8209,매칭테이블!$F:$I,4,0)*K8209</f>
        <v/>
      </c>
      <c r="P8209" s="148">
        <f>M8209/1.1</f>
        <v/>
      </c>
      <c r="Q8209" s="94">
        <f>F8209&amp;E8209&amp;G8209&amp;L8209</f>
        <v/>
      </c>
    </row>
    <row r="8210" customFormat="1" s="94">
      <c r="B8210" s="128" t="n">
        <v>44047</v>
      </c>
      <c r="C8210" s="94">
        <f>TEXT(B8210,"aaa")</f>
        <v/>
      </c>
      <c r="E8210" s="94" t="inlineStr">
        <is>
          <t>앰플</t>
        </is>
      </c>
      <c r="F8210" s="94" t="inlineStr">
        <is>
          <t>카페24</t>
        </is>
      </c>
      <c r="G8210" s="94" t="inlineStr">
        <is>
          <t>앰플 30ml</t>
        </is>
      </c>
      <c r="H8210" s="7" t="n">
        <v>190801</v>
      </c>
      <c r="I8210" s="7" t="n">
        <v>190801</v>
      </c>
      <c r="K8210" s="94" t="n">
        <v>30</v>
      </c>
      <c r="L8210" s="94" t="n">
        <v>190801</v>
      </c>
      <c r="M8210" s="94">
        <f>VLOOKUP($Q8210,매칭테이블!$F:$I,2,0)*K8210</f>
        <v/>
      </c>
      <c r="N8210" s="94">
        <f>M8210-M8210*VLOOKUP($Q8210,매칭테이블!$F:$I,3,0)</f>
        <v/>
      </c>
      <c r="O8210" s="94">
        <f>VLOOKUP($Q8210,매칭테이블!$F:$I,4,0)*K8210</f>
        <v/>
      </c>
      <c r="P8210" s="148">
        <f>M8210/1.1</f>
        <v/>
      </c>
      <c r="Q8210" s="94">
        <f>F8210&amp;E8210&amp;G8210&amp;L8210</f>
        <v/>
      </c>
    </row>
    <row r="8211" customFormat="1" s="94">
      <c r="B8211" s="128" t="n">
        <v>44047</v>
      </c>
      <c r="C8211" s="94">
        <f>TEXT(B8211,"aaa")</f>
        <v/>
      </c>
      <c r="E8211" s="94" t="inlineStr">
        <is>
          <t>수딩크림</t>
        </is>
      </c>
      <c r="F8211" s="94" t="inlineStr">
        <is>
          <t>카페24</t>
        </is>
      </c>
      <c r="G8211" s="94" t="inlineStr">
        <is>
          <t>수딩크림 100ml</t>
        </is>
      </c>
      <c r="H8211" s="7" t="n">
        <v>190801</v>
      </c>
      <c r="I8211" s="7" t="n">
        <v>190801</v>
      </c>
      <c r="K8211" s="94" t="n">
        <v>7</v>
      </c>
      <c r="L8211" s="94" t="n">
        <v>190801</v>
      </c>
      <c r="M8211" s="94">
        <f>VLOOKUP($Q8211,매칭테이블!$F:$I,2,0)*K8211</f>
        <v/>
      </c>
      <c r="N8211" s="94">
        <f>M8211-M8211*VLOOKUP($Q8211,매칭테이블!$F:$I,3,0)</f>
        <v/>
      </c>
      <c r="O8211" s="94">
        <f>VLOOKUP($Q8211,매칭테이블!$F:$I,4,0)*K8211</f>
        <v/>
      </c>
      <c r="P8211" s="148">
        <f>M8211/1.1</f>
        <v/>
      </c>
      <c r="Q8211" s="94">
        <f>F8211&amp;E8211&amp;G8211&amp;L8211</f>
        <v/>
      </c>
    </row>
    <row r="8212" customFormat="1" s="94">
      <c r="B8212" s="128" t="n">
        <v>44047</v>
      </c>
      <c r="C8212" s="94">
        <f>TEXT(B8212,"aaa")</f>
        <v/>
      </c>
      <c r="E8212" s="94" t="inlineStr">
        <is>
          <t>선크림</t>
        </is>
      </c>
      <c r="F8212" s="94" t="inlineStr">
        <is>
          <t>아누아 CS</t>
        </is>
      </c>
      <c r="G8212" s="94" t="inlineStr">
        <is>
          <t>선크림 50ml</t>
        </is>
      </c>
      <c r="H8212" s="7" t="n">
        <v>190801</v>
      </c>
      <c r="I8212" s="7" t="n">
        <v>190801</v>
      </c>
      <c r="K8212" s="94" t="n">
        <v>1</v>
      </c>
      <c r="L8212" s="94" t="n">
        <v>190801</v>
      </c>
      <c r="M8212" s="94">
        <f>VLOOKUP($Q8212,매칭테이블!$F:$I,2,0)*K8212</f>
        <v/>
      </c>
      <c r="N8212" s="94">
        <f>M8212-M8212*VLOOKUP($Q8212,매칭테이블!$F:$I,3,0)</f>
        <v/>
      </c>
      <c r="O8212" s="94">
        <f>VLOOKUP($Q8212,매칭테이블!$F:$I,4,0)*K8212</f>
        <v/>
      </c>
      <c r="P8212" s="148">
        <f>M8212/1.1</f>
        <v/>
      </c>
      <c r="Q8212" s="94">
        <f>F8212&amp;E8212&amp;G8212&amp;L8212</f>
        <v/>
      </c>
    </row>
    <row r="8213" customFormat="1" s="94">
      <c r="B8213" s="128" t="n">
        <v>44047</v>
      </c>
      <c r="C8213" s="94">
        <f>TEXT(B8213,"aaa")</f>
        <v/>
      </c>
      <c r="E8213" s="94" t="inlineStr">
        <is>
          <t>토너</t>
        </is>
      </c>
      <c r="F8213" s="94" t="inlineStr">
        <is>
          <t>큐텐재팬</t>
        </is>
      </c>
      <c r="G8213" s="94" t="inlineStr">
        <is>
          <t>200726=250ml</t>
        </is>
      </c>
      <c r="H8213" s="7" t="n">
        <v>190801</v>
      </c>
      <c r="I8213" s="7" t="n">
        <v>190801</v>
      </c>
      <c r="K8213" s="94" t="n">
        <v>16</v>
      </c>
      <c r="L8213" s="94" t="n">
        <v>190801</v>
      </c>
      <c r="M8213" s="94">
        <f>VLOOKUP($Q8213,매칭테이블!$F:$I,2,0)*K8213</f>
        <v/>
      </c>
      <c r="N8213" s="94">
        <f>M8213-M8213*VLOOKUP($Q8213,매칭테이블!$F:$I,3,0)</f>
        <v/>
      </c>
      <c r="O8213" s="94">
        <f>VLOOKUP($Q8213,매칭테이블!$F:$I,4,0)*K8213</f>
        <v/>
      </c>
      <c r="P8213" s="148">
        <f>M8213/1.1</f>
        <v/>
      </c>
      <c r="Q8213" s="94">
        <f>F8213&amp;E8213&amp;G8213&amp;L8213</f>
        <v/>
      </c>
    </row>
    <row r="8214" customFormat="1" s="94">
      <c r="B8214" s="128" t="n">
        <v>44047</v>
      </c>
      <c r="C8214" s="94">
        <f>TEXT(B8214,"aaa")</f>
        <v/>
      </c>
      <c r="E8214" s="94" t="inlineStr">
        <is>
          <t>앰플</t>
        </is>
      </c>
      <c r="F8214" s="94" t="inlineStr">
        <is>
          <t>큐텐재팬</t>
        </is>
      </c>
      <c r="G8214" s="94" t="inlineStr">
        <is>
          <t>200726=앰플 30ml</t>
        </is>
      </c>
      <c r="H8214" s="7" t="n">
        <v>190801</v>
      </c>
      <c r="I8214" s="7" t="n">
        <v>190801</v>
      </c>
      <c r="K8214" s="94" t="n">
        <v>5</v>
      </c>
      <c r="L8214" s="94" t="n">
        <v>190801</v>
      </c>
      <c r="M8214" s="94">
        <f>VLOOKUP($Q8214,매칭테이블!$F:$I,2,0)*K8214</f>
        <v/>
      </c>
      <c r="N8214" s="94">
        <f>M8214-M8214*VLOOKUP($Q8214,매칭테이블!$F:$I,3,0)</f>
        <v/>
      </c>
      <c r="O8214" s="94">
        <f>VLOOKUP($Q8214,매칭테이블!$F:$I,4,0)*K8214</f>
        <v/>
      </c>
      <c r="P8214" s="148">
        <f>M8214/1.1</f>
        <v/>
      </c>
      <c r="Q8214" s="94">
        <f>F8214&amp;E8214&amp;G8214&amp;L8214</f>
        <v/>
      </c>
    </row>
    <row r="8215" customFormat="1" s="94">
      <c r="B8215" s="128" t="n">
        <v>44047</v>
      </c>
      <c r="C8215" s="94">
        <f>TEXT(B8215,"aaa")</f>
        <v/>
      </c>
      <c r="E8215" s="94" t="inlineStr">
        <is>
          <t>토너</t>
        </is>
      </c>
      <c r="F8215" s="94" t="inlineStr">
        <is>
          <t>큐텐재팬</t>
        </is>
      </c>
      <c r="G8215" s="94" t="inlineStr">
        <is>
          <t>200726=250ml 2set</t>
        </is>
      </c>
      <c r="H8215" s="7" t="n">
        <v>190801</v>
      </c>
      <c r="I8215" s="7" t="n">
        <v>190801</v>
      </c>
      <c r="K8215" s="94" t="n">
        <v>5</v>
      </c>
      <c r="L8215" s="94" t="n">
        <v>190801</v>
      </c>
      <c r="M8215" s="94">
        <f>VLOOKUP($Q8215,매칭테이블!$F:$I,2,0)*K8215</f>
        <v/>
      </c>
      <c r="N8215" s="94">
        <f>M8215-M8215*VLOOKUP($Q8215,매칭테이블!$F:$I,3,0)</f>
        <v/>
      </c>
      <c r="O8215" s="94">
        <f>VLOOKUP($Q8215,매칭테이블!$F:$I,4,0)*K8215</f>
        <v/>
      </c>
      <c r="P8215" s="148">
        <f>M8215/1.1</f>
        <v/>
      </c>
      <c r="Q8215" s="94">
        <f>F8215&amp;E8215&amp;G8215&amp;L8215</f>
        <v/>
      </c>
    </row>
    <row r="8216" customFormat="1" s="94">
      <c r="B8216" s="128" t="n">
        <v>44047</v>
      </c>
      <c r="C8216" s="94">
        <f>TEXT(B8216,"aaa")</f>
        <v/>
      </c>
      <c r="E8216" s="94" t="inlineStr">
        <is>
          <t>토너</t>
        </is>
      </c>
      <c r="F8216" s="94" t="inlineStr">
        <is>
          <t>화해</t>
        </is>
      </c>
      <c r="G8216" s="94" t="inlineStr">
        <is>
          <t>250ml</t>
        </is>
      </c>
      <c r="H8216" s="7" t="n">
        <v>190801</v>
      </c>
      <c r="I8216" s="7" t="n">
        <v>190801</v>
      </c>
      <c r="K8216" s="94" t="n">
        <v>3</v>
      </c>
      <c r="L8216" s="94" t="n">
        <v>190801</v>
      </c>
      <c r="M8216" s="94">
        <f>VLOOKUP($Q8216,매칭테이블!$F:$I,2,0)*K8216</f>
        <v/>
      </c>
      <c r="N8216" s="94">
        <f>M8216-M8216*VLOOKUP($Q8216,매칭테이블!$F:$I,3,0)</f>
        <v/>
      </c>
      <c r="O8216" s="94">
        <f>VLOOKUP($Q8216,매칭테이블!$F:$I,4,0)*K8216</f>
        <v/>
      </c>
      <c r="P8216" s="148">
        <f>M8216/1.1</f>
        <v/>
      </c>
      <c r="Q8216" s="94">
        <f>F8216&amp;E8216&amp;G8216&amp;L8216</f>
        <v/>
      </c>
    </row>
    <row r="8217" customFormat="1" s="94">
      <c r="B8217" s="128" t="n">
        <v>44047</v>
      </c>
      <c r="C8217" s="94">
        <f>TEXT(B8217,"aaa")</f>
        <v/>
      </c>
      <c r="E8217" s="94" t="inlineStr">
        <is>
          <t>선크림</t>
        </is>
      </c>
      <c r="F8217" s="94" t="inlineStr">
        <is>
          <t>화해</t>
        </is>
      </c>
      <c r="G8217" s="94" t="inlineStr">
        <is>
          <t>선크림 50ml</t>
        </is>
      </c>
      <c r="H8217" s="7" t="n">
        <v>190801</v>
      </c>
      <c r="I8217" s="7" t="n">
        <v>190801</v>
      </c>
      <c r="K8217" s="94" t="n">
        <v>1</v>
      </c>
      <c r="L8217" s="94" t="n">
        <v>190801</v>
      </c>
      <c r="M8217" s="94">
        <f>VLOOKUP($Q8217,매칭테이블!$F:$I,2,0)*K8217</f>
        <v/>
      </c>
      <c r="N8217" s="94">
        <f>M8217-M8217*VLOOKUP($Q8217,매칭테이블!$F:$I,3,0)</f>
        <v/>
      </c>
      <c r="O8217" s="94">
        <f>VLOOKUP($Q8217,매칭테이블!$F:$I,4,0)*K8217</f>
        <v/>
      </c>
      <c r="P8217" s="148">
        <f>M8217/1.1</f>
        <v/>
      </c>
      <c r="Q8217" s="94">
        <f>F8217&amp;E8217&amp;G8217&amp;L8217</f>
        <v/>
      </c>
    </row>
    <row r="8218" customFormat="1" s="94">
      <c r="B8218" s="128" t="n">
        <v>44048</v>
      </c>
      <c r="C8218" s="94">
        <f>TEXT(B8218,"aaa")</f>
        <v/>
      </c>
      <c r="E8218" s="94" t="inlineStr">
        <is>
          <t>토너</t>
        </is>
      </c>
      <c r="F8218" s="94" t="inlineStr">
        <is>
          <t>W컨셉</t>
        </is>
      </c>
      <c r="G8218" s="94" t="inlineStr">
        <is>
          <t>250ml</t>
        </is>
      </c>
      <c r="H8218" s="7" t="n">
        <v>190801</v>
      </c>
      <c r="I8218" s="7" t="n">
        <v>190801</v>
      </c>
      <c r="K8218" s="94" t="n">
        <v>1</v>
      </c>
      <c r="L8218" s="94" t="n">
        <v>190801</v>
      </c>
      <c r="M8218" s="94">
        <f>VLOOKUP($Q8218,매칭테이블!$F:$I,2,0)*K8218</f>
        <v/>
      </c>
      <c r="N8218" s="94">
        <f>M8218-M8218*VLOOKUP($Q8218,매칭테이블!$F:$I,3,0)</f>
        <v/>
      </c>
      <c r="O8218" s="94">
        <f>VLOOKUP($Q8218,매칭테이블!$F:$I,4,0)*K8218</f>
        <v/>
      </c>
      <c r="P8218" s="148">
        <f>M8218/1.1</f>
        <v/>
      </c>
      <c r="Q8218" s="94">
        <f>F8218&amp;E8218&amp;G8218&amp;L8218</f>
        <v/>
      </c>
    </row>
    <row r="8219" customFormat="1" s="94">
      <c r="B8219" s="128" t="n">
        <v>44048</v>
      </c>
      <c r="C8219" s="94">
        <f>TEXT(B8219,"aaa")</f>
        <v/>
      </c>
      <c r="E8219" s="94" t="inlineStr">
        <is>
          <t>선크림</t>
        </is>
      </c>
      <c r="F8219" s="94" t="inlineStr">
        <is>
          <t>카페24</t>
        </is>
      </c>
      <c r="G8219" s="94" t="inlineStr">
        <is>
          <t>선크림 50ml</t>
        </is>
      </c>
      <c r="H8219" s="7" t="n">
        <v>190801</v>
      </c>
      <c r="I8219" s="7" t="n">
        <v>190801</v>
      </c>
      <c r="K8219" s="94" t="n">
        <v>6</v>
      </c>
      <c r="L8219" s="94" t="n">
        <v>190801</v>
      </c>
      <c r="M8219" s="94">
        <f>VLOOKUP($Q8219,매칭테이블!$F:$I,2,0)*K8219</f>
        <v/>
      </c>
      <c r="N8219" s="94">
        <f>M8219-M8219*VLOOKUP($Q8219,매칭테이블!$F:$I,3,0)</f>
        <v/>
      </c>
      <c r="O8219" s="94">
        <f>VLOOKUP($Q8219,매칭테이블!$F:$I,4,0)*K8219</f>
        <v/>
      </c>
      <c r="P8219" s="148">
        <f>M8219/1.1</f>
        <v/>
      </c>
      <c r="Q8219" s="94">
        <f>F8219&amp;E8219&amp;G8219&amp;L8219</f>
        <v/>
      </c>
    </row>
    <row r="8220" customFormat="1" s="94">
      <c r="B8220" s="128" t="n">
        <v>44048</v>
      </c>
      <c r="C8220" s="94">
        <f>TEXT(B8220,"aaa")</f>
        <v/>
      </c>
      <c r="E8220" s="94" t="inlineStr">
        <is>
          <t>선크림</t>
        </is>
      </c>
      <c r="F8220" s="94" t="inlineStr">
        <is>
          <t>카페24</t>
        </is>
      </c>
      <c r="G8220" s="94" t="inlineStr">
        <is>
          <t>선크림 50ml  2set</t>
        </is>
      </c>
      <c r="H8220" s="7" t="n">
        <v>190801</v>
      </c>
      <c r="I8220" s="7" t="n">
        <v>190801</v>
      </c>
      <c r="K8220" s="94" t="n">
        <v>2</v>
      </c>
      <c r="L8220" s="94" t="n">
        <v>190801</v>
      </c>
      <c r="M8220" s="94">
        <f>VLOOKUP($Q8220,매칭테이블!$F:$I,2,0)*K8220</f>
        <v/>
      </c>
      <c r="N8220" s="94">
        <f>M8220-M8220*VLOOKUP($Q8220,매칭테이블!$F:$I,3,0)</f>
        <v/>
      </c>
      <c r="O8220" s="94">
        <f>VLOOKUP($Q8220,매칭테이블!$F:$I,4,0)*K8220</f>
        <v/>
      </c>
      <c r="P8220" s="148">
        <f>M8220/1.1</f>
        <v/>
      </c>
      <c r="Q8220" s="94">
        <f>F8220&amp;E8220&amp;G8220&amp;L8220</f>
        <v/>
      </c>
    </row>
    <row r="8221" customFormat="1" s="94">
      <c r="B8221" s="128" t="n">
        <v>44048</v>
      </c>
      <c r="C8221" s="94">
        <f>TEXT(B8221,"aaa")</f>
        <v/>
      </c>
      <c r="E8221" s="94" t="inlineStr">
        <is>
          <t>여름 한정 진정세트</t>
        </is>
      </c>
      <c r="F8221" s="94" t="inlineStr">
        <is>
          <t>카페24</t>
        </is>
      </c>
      <c r="G8221" s="94" t="inlineStr">
        <is>
          <t>여름 한정 진정세트</t>
        </is>
      </c>
      <c r="H8221" s="7" t="n">
        <v>190801</v>
      </c>
      <c r="I8221" s="7" t="n">
        <v>190801</v>
      </c>
      <c r="K8221" s="94" t="n">
        <v>3</v>
      </c>
      <c r="L8221" s="94" t="n">
        <v>190801</v>
      </c>
      <c r="M8221" s="94">
        <f>VLOOKUP($Q8221,매칭테이블!$F:$I,2,0)*K8221</f>
        <v/>
      </c>
      <c r="N8221" s="94">
        <f>M8221-M8221*VLOOKUP($Q8221,매칭테이블!$F:$I,3,0)</f>
        <v/>
      </c>
      <c r="O8221" s="94">
        <f>VLOOKUP($Q8221,매칭테이블!$F:$I,4,0)*K8221</f>
        <v/>
      </c>
      <c r="P8221" s="148">
        <f>M8221/1.1</f>
        <v/>
      </c>
      <c r="Q8221" s="94">
        <f>F8221&amp;E8221&amp;G8221&amp;L8221</f>
        <v/>
      </c>
    </row>
    <row r="8222" customFormat="1" s="94">
      <c r="B8222" s="128" t="n">
        <v>44048</v>
      </c>
      <c r="C8222" s="94">
        <f>TEXT(B8222,"aaa")</f>
        <v/>
      </c>
      <c r="E8222" s="94" t="inlineStr">
        <is>
          <t>여름 한정 진정세트</t>
        </is>
      </c>
      <c r="F8222" s="94" t="inlineStr">
        <is>
          <t>카페24</t>
        </is>
      </c>
      <c r="G8222" s="94" t="inlineStr">
        <is>
          <t>여름 한정 진정세트 (대용량)</t>
        </is>
      </c>
      <c r="H8222" s="7" t="n">
        <v>190801</v>
      </c>
      <c r="I8222" s="7" t="n">
        <v>190801</v>
      </c>
      <c r="K8222" s="94" t="n">
        <v>3</v>
      </c>
      <c r="L8222" s="94" t="n">
        <v>190801</v>
      </c>
      <c r="M8222" s="94">
        <f>VLOOKUP($Q8222,매칭테이블!$F:$I,2,0)*K8222</f>
        <v/>
      </c>
      <c r="N8222" s="94">
        <f>M8222-M8222*VLOOKUP($Q8222,매칭테이블!$F:$I,3,0)</f>
        <v/>
      </c>
      <c r="O8222" s="94">
        <f>VLOOKUP($Q8222,매칭테이블!$F:$I,4,0)*K8222</f>
        <v/>
      </c>
      <c r="P8222" s="148">
        <f>M8222/1.1</f>
        <v/>
      </c>
      <c r="Q8222" s="94">
        <f>F8222&amp;E8222&amp;G8222&amp;L8222</f>
        <v/>
      </c>
    </row>
    <row r="8223" customFormat="1" s="94">
      <c r="B8223" s="128" t="n">
        <v>44048</v>
      </c>
      <c r="C8223" s="94">
        <f>TEXT(B8223,"aaa")</f>
        <v/>
      </c>
      <c r="E8223" s="94" t="inlineStr">
        <is>
          <t>어성초진정패키지</t>
        </is>
      </c>
      <c r="F8223" s="94" t="inlineStr">
        <is>
          <t>카페24</t>
        </is>
      </c>
      <c r="G8223" s="94" t="inlineStr">
        <is>
          <t>어성초 진정패키지세트</t>
        </is>
      </c>
      <c r="H8223" s="7" t="n">
        <v>190801</v>
      </c>
      <c r="I8223" s="7" t="n">
        <v>190801</v>
      </c>
      <c r="K8223" s="94" t="n">
        <v>2</v>
      </c>
      <c r="L8223" s="94" t="n">
        <v>190801</v>
      </c>
      <c r="M8223" s="94">
        <f>VLOOKUP($Q8223,매칭테이블!$F:$I,2,0)*K8223</f>
        <v/>
      </c>
      <c r="N8223" s="94">
        <f>M8223-M8223*VLOOKUP($Q8223,매칭테이블!$F:$I,3,0)</f>
        <v/>
      </c>
      <c r="O8223" s="94">
        <f>VLOOKUP($Q8223,매칭테이블!$F:$I,4,0)*K8223</f>
        <v/>
      </c>
      <c r="P8223" s="148">
        <f>M8223/1.1</f>
        <v/>
      </c>
      <c r="Q8223" s="94">
        <f>F8223&amp;E8223&amp;G8223&amp;L8223</f>
        <v/>
      </c>
    </row>
    <row r="8224" customFormat="1" s="94">
      <c r="B8224" s="128" t="n">
        <v>44048</v>
      </c>
      <c r="C8224" s="94">
        <f>TEXT(B8224,"aaa")</f>
        <v/>
      </c>
      <c r="E8224" s="94" t="inlineStr">
        <is>
          <t>머드크림마스크</t>
        </is>
      </c>
      <c r="F8224" s="94" t="inlineStr">
        <is>
          <t>카페24</t>
        </is>
      </c>
      <c r="G8224" s="94" t="inlineStr">
        <is>
          <t>머드크림마스크 100ml</t>
        </is>
      </c>
      <c r="H8224" s="7" t="n">
        <v>190801</v>
      </c>
      <c r="I8224" s="7" t="n">
        <v>190801</v>
      </c>
      <c r="K8224" s="94" t="n">
        <v>2</v>
      </c>
      <c r="L8224" s="94" t="n">
        <v>190801</v>
      </c>
      <c r="M8224" s="94">
        <f>VLOOKUP($Q8224,매칭테이블!$F:$I,2,0)*K8224</f>
        <v/>
      </c>
      <c r="N8224" s="94">
        <f>M8224-M8224*VLOOKUP($Q8224,매칭테이블!$F:$I,3,0)</f>
        <v/>
      </c>
      <c r="O8224" s="94">
        <f>VLOOKUP($Q8224,매칭테이블!$F:$I,4,0)*K8224</f>
        <v/>
      </c>
      <c r="P8224" s="148">
        <f>M8224/1.1</f>
        <v/>
      </c>
      <c r="Q8224" s="94">
        <f>F8224&amp;E8224&amp;G8224&amp;L8224</f>
        <v/>
      </c>
    </row>
    <row r="8225" customFormat="1" s="94">
      <c r="B8225" s="128" t="n">
        <v>44048</v>
      </c>
      <c r="C8225" s="94">
        <f>TEXT(B8225,"aaa")</f>
        <v/>
      </c>
      <c r="E8225" s="94" t="inlineStr">
        <is>
          <t>마스크팩</t>
        </is>
      </c>
      <c r="F8225" s="94" t="inlineStr">
        <is>
          <t>카페24</t>
        </is>
      </c>
      <c r="G8225" s="94" t="inlineStr">
        <is>
          <t>마스크팩 1매</t>
        </is>
      </c>
      <c r="H8225" s="7" t="n">
        <v>190801</v>
      </c>
      <c r="I8225" s="7" t="n">
        <v>190801</v>
      </c>
      <c r="K8225" s="94" t="n">
        <v>5</v>
      </c>
      <c r="L8225" s="94" t="n">
        <v>190801</v>
      </c>
      <c r="M8225" s="94">
        <f>VLOOKUP($Q8225,매칭테이블!$F:$I,2,0)*K8225</f>
        <v/>
      </c>
      <c r="N8225" s="94">
        <f>M8225-M8225*VLOOKUP($Q8225,매칭테이블!$F:$I,3,0)</f>
        <v/>
      </c>
      <c r="O8225" s="94">
        <f>VLOOKUP($Q8225,매칭테이블!$F:$I,4,0)*K8225</f>
        <v/>
      </c>
      <c r="P8225" s="148">
        <f>M8225/1.1</f>
        <v/>
      </c>
      <c r="Q8225" s="94">
        <f>F8225&amp;E8225&amp;G8225&amp;L8225</f>
        <v/>
      </c>
    </row>
    <row r="8226" customFormat="1" s="94">
      <c r="B8226" s="128" t="n">
        <v>44048</v>
      </c>
      <c r="C8226" s="94">
        <f>TEXT(B8226,"aaa")</f>
        <v/>
      </c>
      <c r="E8226" s="94" t="inlineStr">
        <is>
          <t>마스크팩</t>
        </is>
      </c>
      <c r="F8226" s="94" t="inlineStr">
        <is>
          <t>카페24</t>
        </is>
      </c>
      <c r="G8226" s="94" t="inlineStr">
        <is>
          <t>마스크팩 10매</t>
        </is>
      </c>
      <c r="H8226" s="7" t="n">
        <v>190801</v>
      </c>
      <c r="I8226" s="7" t="n">
        <v>190801</v>
      </c>
      <c r="K8226" s="94" t="n">
        <v>6</v>
      </c>
      <c r="L8226" s="94" t="n">
        <v>190801</v>
      </c>
      <c r="M8226" s="94">
        <f>VLOOKUP($Q8226,매칭테이블!$F:$I,2,0)*K8226</f>
        <v/>
      </c>
      <c r="N8226" s="94">
        <f>M8226-M8226*VLOOKUP($Q8226,매칭테이블!$F:$I,3,0)</f>
        <v/>
      </c>
      <c r="O8226" s="94">
        <f>VLOOKUP($Q8226,매칭테이블!$F:$I,4,0)*K8226</f>
        <v/>
      </c>
      <c r="P8226" s="148">
        <f>M8226/1.1</f>
        <v/>
      </c>
      <c r="Q8226" s="94">
        <f>F8226&amp;E8226&amp;G8226&amp;L8226</f>
        <v/>
      </c>
    </row>
    <row r="8227" customFormat="1" s="94">
      <c r="B8227" s="128" t="n">
        <v>44048</v>
      </c>
      <c r="C8227" s="94">
        <f>TEXT(B8227,"aaa")</f>
        <v/>
      </c>
      <c r="E8227" s="94" t="inlineStr">
        <is>
          <t>토너</t>
        </is>
      </c>
      <c r="F8227" s="94" t="inlineStr">
        <is>
          <t>카페24</t>
        </is>
      </c>
      <c r="G8227" s="94" t="inlineStr">
        <is>
          <t>250ml</t>
        </is>
      </c>
      <c r="H8227" s="7" t="n">
        <v>190801</v>
      </c>
      <c r="I8227" s="7" t="n">
        <v>190801</v>
      </c>
      <c r="K8227" s="94" t="n">
        <v>78</v>
      </c>
      <c r="L8227" s="94" t="n">
        <v>190801</v>
      </c>
      <c r="M8227" s="94">
        <f>VLOOKUP($Q8227,매칭테이블!$F:$I,2,0)*K8227</f>
        <v/>
      </c>
      <c r="N8227" s="94">
        <f>M8227-M8227*VLOOKUP($Q8227,매칭테이블!$F:$I,3,0)</f>
        <v/>
      </c>
      <c r="O8227" s="94">
        <f>VLOOKUP($Q8227,매칭테이블!$F:$I,4,0)*K8227</f>
        <v/>
      </c>
      <c r="P8227" s="148">
        <f>M8227/1.1</f>
        <v/>
      </c>
      <c r="Q8227" s="94">
        <f>F8227&amp;E8227&amp;G8227&amp;L8227</f>
        <v/>
      </c>
    </row>
    <row r="8228" customFormat="1" s="94">
      <c r="B8228" s="128" t="n">
        <v>44048</v>
      </c>
      <c r="C8228" s="94">
        <f>TEXT(B8228,"aaa")</f>
        <v/>
      </c>
      <c r="E8228" s="94" t="inlineStr">
        <is>
          <t>토너</t>
        </is>
      </c>
      <c r="F8228" s="94" t="inlineStr">
        <is>
          <t>카페24</t>
        </is>
      </c>
      <c r="G8228" s="94" t="inlineStr">
        <is>
          <t>250ml 2set</t>
        </is>
      </c>
      <c r="H8228" s="7" t="n">
        <v>190801</v>
      </c>
      <c r="I8228" s="7" t="n">
        <v>190801</v>
      </c>
      <c r="K8228" s="94" t="n">
        <v>53</v>
      </c>
      <c r="L8228" s="94" t="n">
        <v>190801</v>
      </c>
      <c r="M8228" s="94">
        <f>VLOOKUP($Q8228,매칭테이블!$F:$I,2,0)*K8228</f>
        <v/>
      </c>
      <c r="N8228" s="94">
        <f>M8228-M8228*VLOOKUP($Q8228,매칭테이블!$F:$I,3,0)</f>
        <v/>
      </c>
      <c r="O8228" s="94">
        <f>VLOOKUP($Q8228,매칭테이블!$F:$I,4,0)*K8228</f>
        <v/>
      </c>
      <c r="P8228" s="148">
        <f>M8228/1.1</f>
        <v/>
      </c>
      <c r="Q8228" s="94">
        <f>F8228&amp;E8228&amp;G8228&amp;L8228</f>
        <v/>
      </c>
    </row>
    <row r="8229" customFormat="1" s="94">
      <c r="B8229" s="128" t="n">
        <v>44048</v>
      </c>
      <c r="C8229" s="94">
        <f>TEXT(B8229,"aaa")</f>
        <v/>
      </c>
      <c r="E8229" s="94" t="inlineStr">
        <is>
          <t>토너</t>
        </is>
      </c>
      <c r="F8229" s="94" t="inlineStr">
        <is>
          <t>카페24</t>
        </is>
      </c>
      <c r="G8229" s="94" t="inlineStr">
        <is>
          <t>500ml</t>
        </is>
      </c>
      <c r="H8229" s="7" t="n">
        <v>190801</v>
      </c>
      <c r="I8229" s="7" t="n">
        <v>190801</v>
      </c>
      <c r="K8229" s="94" t="n">
        <v>73</v>
      </c>
      <c r="L8229" s="94" t="n">
        <v>190801</v>
      </c>
      <c r="M8229" s="94">
        <f>VLOOKUP($Q8229,매칭테이블!$F:$I,2,0)*K8229</f>
        <v/>
      </c>
      <c r="N8229" s="94">
        <f>M8229-M8229*VLOOKUP($Q8229,매칭테이블!$F:$I,3,0)</f>
        <v/>
      </c>
      <c r="O8229" s="94">
        <f>VLOOKUP($Q8229,매칭테이블!$F:$I,4,0)*K8229</f>
        <v/>
      </c>
      <c r="P8229" s="148">
        <f>M8229/1.1</f>
        <v/>
      </c>
      <c r="Q8229" s="94">
        <f>F8229&amp;E8229&amp;G8229&amp;L8229</f>
        <v/>
      </c>
    </row>
    <row r="8230" customFormat="1" s="94">
      <c r="B8230" s="128" t="n">
        <v>44048</v>
      </c>
      <c r="C8230" s="94">
        <f>TEXT(B8230,"aaa")</f>
        <v/>
      </c>
      <c r="E8230" s="94" t="inlineStr">
        <is>
          <t>토너</t>
        </is>
      </c>
      <c r="F8230" s="94" t="inlineStr">
        <is>
          <t>카페24</t>
        </is>
      </c>
      <c r="G8230" s="94" t="inlineStr">
        <is>
          <t>스킨팩 화장솜 60P</t>
        </is>
      </c>
      <c r="H8230" s="7" t="n">
        <v>190801</v>
      </c>
      <c r="I8230" s="7" t="n">
        <v>190801</v>
      </c>
      <c r="K8230" s="94" t="n">
        <v>2</v>
      </c>
      <c r="L8230" s="94" t="n">
        <v>190801</v>
      </c>
      <c r="M8230" s="94">
        <f>VLOOKUP($Q8230,매칭테이블!$F:$I,2,0)*K8230</f>
        <v/>
      </c>
      <c r="N8230" s="94">
        <f>M8230-M8230*VLOOKUP($Q8230,매칭테이블!$F:$I,3,0)</f>
        <v/>
      </c>
      <c r="O8230" s="94">
        <f>VLOOKUP($Q8230,매칭테이블!$F:$I,4,0)*K8230</f>
        <v/>
      </c>
      <c r="P8230" s="148">
        <f>M8230/1.1</f>
        <v/>
      </c>
      <c r="Q8230" s="94">
        <f>F8230&amp;E8230&amp;G8230&amp;L8230</f>
        <v/>
      </c>
    </row>
    <row r="8231" customFormat="1" s="94">
      <c r="B8231" s="128" t="n">
        <v>44048</v>
      </c>
      <c r="C8231" s="94">
        <f>TEXT(B8231,"aaa")</f>
        <v/>
      </c>
      <c r="E8231" s="94" t="inlineStr">
        <is>
          <t>앰플</t>
        </is>
      </c>
      <c r="F8231" s="94" t="inlineStr">
        <is>
          <t>카페24</t>
        </is>
      </c>
      <c r="G8231" s="94" t="inlineStr">
        <is>
          <t>앰플 30ml</t>
        </is>
      </c>
      <c r="H8231" s="7" t="n">
        <v>190801</v>
      </c>
      <c r="I8231" s="7" t="n">
        <v>190801</v>
      </c>
      <c r="K8231" s="94" t="n">
        <v>23</v>
      </c>
      <c r="L8231" s="94" t="n">
        <v>190801</v>
      </c>
      <c r="M8231" s="94">
        <f>VLOOKUP($Q8231,매칭테이블!$F:$I,2,0)*K8231</f>
        <v/>
      </c>
      <c r="N8231" s="94">
        <f>M8231-M8231*VLOOKUP($Q8231,매칭테이블!$F:$I,3,0)</f>
        <v/>
      </c>
      <c r="O8231" s="94">
        <f>VLOOKUP($Q8231,매칭테이블!$F:$I,4,0)*K8231</f>
        <v/>
      </c>
      <c r="P8231" s="148">
        <f>M8231/1.1</f>
        <v/>
      </c>
      <c r="Q8231" s="94">
        <f>F8231&amp;E8231&amp;G8231&amp;L8231</f>
        <v/>
      </c>
    </row>
    <row r="8232" customFormat="1" s="94">
      <c r="B8232" s="128" t="n">
        <v>44048</v>
      </c>
      <c r="C8232" s="94">
        <f>TEXT(B8232,"aaa")</f>
        <v/>
      </c>
      <c r="E8232" s="94" t="inlineStr">
        <is>
          <t>수딩크림</t>
        </is>
      </c>
      <c r="F8232" s="94" t="inlineStr">
        <is>
          <t>카페24</t>
        </is>
      </c>
      <c r="G8232" s="94" t="inlineStr">
        <is>
          <t>수딩크림 100ml</t>
        </is>
      </c>
      <c r="H8232" s="7" t="n">
        <v>190801</v>
      </c>
      <c r="I8232" s="7" t="n">
        <v>190801</v>
      </c>
      <c r="K8232" s="94" t="n">
        <v>4</v>
      </c>
      <c r="L8232" s="94" t="n">
        <v>190801</v>
      </c>
      <c r="M8232" s="94">
        <f>VLOOKUP($Q8232,매칭테이블!$F:$I,2,0)*K8232</f>
        <v/>
      </c>
      <c r="N8232" s="94">
        <f>M8232-M8232*VLOOKUP($Q8232,매칭테이블!$F:$I,3,0)</f>
        <v/>
      </c>
      <c r="O8232" s="94">
        <f>VLOOKUP($Q8232,매칭테이블!$F:$I,4,0)*K8232</f>
        <v/>
      </c>
      <c r="P8232" s="148">
        <f>M8232/1.1</f>
        <v/>
      </c>
      <c r="Q8232" s="94">
        <f>F8232&amp;E8232&amp;G8232&amp;L8232</f>
        <v/>
      </c>
    </row>
    <row r="8233" customFormat="1" s="94">
      <c r="B8233" s="128" t="n">
        <v>44048</v>
      </c>
      <c r="C8233" s="94">
        <f>TEXT(B8233,"aaa")</f>
        <v/>
      </c>
      <c r="E8233" s="94" t="inlineStr">
        <is>
          <t>앰플</t>
        </is>
      </c>
      <c r="F8233" s="94" t="inlineStr">
        <is>
          <t>큐텐재팬</t>
        </is>
      </c>
      <c r="G8233" s="94" t="inlineStr">
        <is>
          <t>200726=앰플 30ml</t>
        </is>
      </c>
      <c r="H8233" s="7" t="n">
        <v>190801</v>
      </c>
      <c r="I8233" s="7" t="n">
        <v>190801</v>
      </c>
      <c r="K8233" s="94" t="n">
        <v>4</v>
      </c>
      <c r="L8233" s="94" t="n">
        <v>190801</v>
      </c>
      <c r="M8233" s="94">
        <f>VLOOKUP($Q8233,매칭테이블!$F:$I,2,0)*K8233</f>
        <v/>
      </c>
      <c r="N8233" s="94">
        <f>M8233-M8233*VLOOKUP($Q8233,매칭테이블!$F:$I,3,0)</f>
        <v/>
      </c>
      <c r="O8233" s="94">
        <f>VLOOKUP($Q8233,매칭테이블!$F:$I,4,0)*K8233</f>
        <v/>
      </c>
      <c r="P8233" s="148">
        <f>M8233/1.1</f>
        <v/>
      </c>
      <c r="Q8233" s="94">
        <f>F8233&amp;E8233&amp;G8233&amp;L8233</f>
        <v/>
      </c>
    </row>
    <row r="8234" customFormat="1" s="94">
      <c r="B8234" s="128" t="n">
        <v>44048</v>
      </c>
      <c r="C8234" s="94">
        <f>TEXT(B8234,"aaa")</f>
        <v/>
      </c>
      <c r="E8234" s="94" t="inlineStr">
        <is>
          <t>토너</t>
        </is>
      </c>
      <c r="F8234" s="94" t="inlineStr">
        <is>
          <t>쇼피태국</t>
        </is>
      </c>
      <c r="G8234" s="94" t="inlineStr">
        <is>
          <t>200726=250ml</t>
        </is>
      </c>
      <c r="H8234" s="7" t="n">
        <v>190801</v>
      </c>
      <c r="I8234" s="7" t="n">
        <v>190801</v>
      </c>
      <c r="K8234" s="94" t="n">
        <v>1</v>
      </c>
      <c r="L8234" s="94" t="n">
        <v>190801</v>
      </c>
      <c r="M8234" s="94">
        <f>VLOOKUP($Q8234,매칭테이블!$F:$I,2,0)*K8234</f>
        <v/>
      </c>
      <c r="N8234" s="94">
        <f>M8234-M8234*VLOOKUP($Q8234,매칭테이블!$F:$I,3,0)</f>
        <v/>
      </c>
      <c r="O8234" s="94">
        <f>VLOOKUP($Q8234,매칭테이블!$F:$I,4,0)*K8234</f>
        <v/>
      </c>
      <c r="P8234" s="148">
        <f>M8234/1.1</f>
        <v/>
      </c>
      <c r="Q8234" s="94">
        <f>F8234&amp;E8234&amp;G8234&amp;L8234</f>
        <v/>
      </c>
    </row>
    <row r="8235" customFormat="1" s="94">
      <c r="B8235" s="128" t="n">
        <v>44048</v>
      </c>
      <c r="C8235" s="94">
        <f>TEXT(B8235,"aaa")</f>
        <v/>
      </c>
      <c r="E8235" s="94" t="inlineStr">
        <is>
          <t>앰플</t>
        </is>
      </c>
      <c r="F8235" s="94" t="inlineStr">
        <is>
          <t>쇼피태국</t>
        </is>
      </c>
      <c r="G8235" s="94" t="inlineStr">
        <is>
          <t>200726=앰플 30ml</t>
        </is>
      </c>
      <c r="H8235" s="7" t="n">
        <v>190801</v>
      </c>
      <c r="I8235" s="7" t="n">
        <v>190801</v>
      </c>
      <c r="K8235" s="94" t="n">
        <v>1</v>
      </c>
      <c r="L8235" s="94" t="n">
        <v>190801</v>
      </c>
      <c r="M8235" s="94">
        <f>VLOOKUP($Q8235,매칭테이블!$F:$I,2,0)*K8235</f>
        <v/>
      </c>
      <c r="N8235" s="94">
        <f>M8235-M8235*VLOOKUP($Q8235,매칭테이블!$F:$I,3,0)</f>
        <v/>
      </c>
      <c r="O8235" s="94">
        <f>VLOOKUP($Q8235,매칭테이블!$F:$I,4,0)*K8235</f>
        <v/>
      </c>
      <c r="P8235" s="148">
        <f>M8235/1.1</f>
        <v/>
      </c>
      <c r="Q8235" s="94">
        <f>F8235&amp;E8235&amp;G8235&amp;L8235</f>
        <v/>
      </c>
    </row>
    <row r="8236" customFormat="1" s="94">
      <c r="B8236" s="128" t="n">
        <v>44049</v>
      </c>
      <c r="C8236" s="94">
        <f>TEXT(B8236,"aaa")</f>
        <v/>
      </c>
      <c r="E8236" s="94" t="inlineStr">
        <is>
          <t>선크림</t>
        </is>
      </c>
      <c r="F8236" s="94" t="inlineStr">
        <is>
          <t>카페24</t>
        </is>
      </c>
      <c r="G8236" s="94" t="inlineStr">
        <is>
          <t>선크림 50ml</t>
        </is>
      </c>
      <c r="H8236" s="7" t="n">
        <v>190801</v>
      </c>
      <c r="I8236" s="7" t="n">
        <v>190801</v>
      </c>
      <c r="K8236" s="94" t="n">
        <v>3</v>
      </c>
      <c r="L8236" s="94" t="n">
        <v>190801</v>
      </c>
      <c r="M8236" s="94">
        <f>VLOOKUP($Q8236,매칭테이블!$F:$I,2,0)*K8236</f>
        <v/>
      </c>
      <c r="N8236" s="94">
        <f>M8236-M8236*VLOOKUP($Q8236,매칭테이블!$F:$I,3,0)</f>
        <v/>
      </c>
      <c r="O8236" s="94">
        <f>VLOOKUP($Q8236,매칭테이블!$F:$I,4,0)*K8236</f>
        <v/>
      </c>
      <c r="P8236" s="148">
        <f>M8236/1.1</f>
        <v/>
      </c>
      <c r="Q8236" s="94">
        <f>F8236&amp;E8236&amp;G8236&amp;L8236</f>
        <v/>
      </c>
    </row>
    <row r="8237" customFormat="1" s="94">
      <c r="B8237" s="128" t="n">
        <v>44049</v>
      </c>
      <c r="C8237" s="94">
        <f>TEXT(B8237,"aaa")</f>
        <v/>
      </c>
      <c r="E8237" s="94" t="inlineStr">
        <is>
          <t>여름 한정 진정세트</t>
        </is>
      </c>
      <c r="F8237" s="94" t="inlineStr">
        <is>
          <t>카페24</t>
        </is>
      </c>
      <c r="G8237" s="94" t="inlineStr">
        <is>
          <t>여름 한정 진정세트</t>
        </is>
      </c>
      <c r="H8237" s="7" t="n">
        <v>190801</v>
      </c>
      <c r="I8237" s="7" t="n">
        <v>190801</v>
      </c>
      <c r="K8237" s="94" t="n">
        <v>4</v>
      </c>
      <c r="L8237" s="94" t="n">
        <v>190801</v>
      </c>
      <c r="M8237" s="94">
        <f>VLOOKUP($Q8237,매칭테이블!$F:$I,2,0)*K8237</f>
        <v/>
      </c>
      <c r="N8237" s="94">
        <f>M8237-M8237*VLOOKUP($Q8237,매칭테이블!$F:$I,3,0)</f>
        <v/>
      </c>
      <c r="O8237" s="94">
        <f>VLOOKUP($Q8237,매칭테이블!$F:$I,4,0)*K8237</f>
        <v/>
      </c>
      <c r="P8237" s="148">
        <f>M8237/1.1</f>
        <v/>
      </c>
      <c r="Q8237" s="94">
        <f>F8237&amp;E8237&amp;G8237&amp;L8237</f>
        <v/>
      </c>
    </row>
    <row r="8238" customFormat="1" s="94">
      <c r="B8238" s="128" t="n">
        <v>44049</v>
      </c>
      <c r="C8238" s="94">
        <f>TEXT(B8238,"aaa")</f>
        <v/>
      </c>
      <c r="E8238" s="94" t="inlineStr">
        <is>
          <t>여름 한정 진정세트</t>
        </is>
      </c>
      <c r="F8238" s="94" t="inlineStr">
        <is>
          <t>카페24</t>
        </is>
      </c>
      <c r="G8238" s="94" t="inlineStr">
        <is>
          <t>여름 한정 진정세트 (대용량)</t>
        </is>
      </c>
      <c r="H8238" s="7" t="n">
        <v>190801</v>
      </c>
      <c r="I8238" s="7" t="n">
        <v>190801</v>
      </c>
      <c r="K8238" s="94" t="n">
        <v>6</v>
      </c>
      <c r="L8238" s="94" t="n">
        <v>190801</v>
      </c>
      <c r="M8238" s="94">
        <f>VLOOKUP($Q8238,매칭테이블!$F:$I,2,0)*K8238</f>
        <v/>
      </c>
      <c r="N8238" s="94">
        <f>M8238-M8238*VLOOKUP($Q8238,매칭테이블!$F:$I,3,0)</f>
        <v/>
      </c>
      <c r="O8238" s="94">
        <f>VLOOKUP($Q8238,매칭테이블!$F:$I,4,0)*K8238</f>
        <v/>
      </c>
      <c r="P8238" s="148">
        <f>M8238/1.1</f>
        <v/>
      </c>
      <c r="Q8238" s="94">
        <f>F8238&amp;E8238&amp;G8238&amp;L8238</f>
        <v/>
      </c>
    </row>
    <row r="8239" customFormat="1" s="94">
      <c r="B8239" s="128" t="n">
        <v>44049</v>
      </c>
      <c r="C8239" s="94">
        <f>TEXT(B8239,"aaa")</f>
        <v/>
      </c>
      <c r="E8239" s="94" t="inlineStr">
        <is>
          <t>어성초진정패키지</t>
        </is>
      </c>
      <c r="F8239" s="94" t="inlineStr">
        <is>
          <t>카페24</t>
        </is>
      </c>
      <c r="G8239" s="94" t="inlineStr">
        <is>
          <t>어성초 진정패키지세트</t>
        </is>
      </c>
      <c r="H8239" s="7" t="n">
        <v>190801</v>
      </c>
      <c r="I8239" s="7" t="n">
        <v>190801</v>
      </c>
      <c r="K8239" s="94" t="n">
        <v>4</v>
      </c>
      <c r="L8239" s="94" t="n">
        <v>190801</v>
      </c>
      <c r="M8239" s="94">
        <f>VLOOKUP($Q8239,매칭테이블!$F:$I,2,0)*K8239</f>
        <v/>
      </c>
      <c r="N8239" s="94">
        <f>M8239-M8239*VLOOKUP($Q8239,매칭테이블!$F:$I,3,0)</f>
        <v/>
      </c>
      <c r="O8239" s="94">
        <f>VLOOKUP($Q8239,매칭테이블!$F:$I,4,0)*K8239</f>
        <v/>
      </c>
      <c r="P8239" s="148">
        <f>M8239/1.1</f>
        <v/>
      </c>
      <c r="Q8239" s="94">
        <f>F8239&amp;E8239&amp;G8239&amp;L8239</f>
        <v/>
      </c>
    </row>
    <row r="8240" customFormat="1" s="94">
      <c r="B8240" s="128" t="n">
        <v>44049</v>
      </c>
      <c r="C8240" s="94">
        <f>TEXT(B8240,"aaa")</f>
        <v/>
      </c>
      <c r="E8240" s="94" t="inlineStr">
        <is>
          <t>머드크림마스크</t>
        </is>
      </c>
      <c r="F8240" s="94" t="inlineStr">
        <is>
          <t>카페24</t>
        </is>
      </c>
      <c r="G8240" s="94" t="inlineStr">
        <is>
          <t>머드크림마스크 100ml</t>
        </is>
      </c>
      <c r="H8240" s="7" t="n">
        <v>190801</v>
      </c>
      <c r="I8240" s="7" t="n">
        <v>190801</v>
      </c>
      <c r="K8240" s="94" t="n">
        <v>2</v>
      </c>
      <c r="L8240" s="94" t="n">
        <v>190801</v>
      </c>
      <c r="M8240" s="94">
        <f>VLOOKUP($Q8240,매칭테이블!$F:$I,2,0)*K8240</f>
        <v/>
      </c>
      <c r="N8240" s="94">
        <f>M8240-M8240*VLOOKUP($Q8240,매칭테이블!$F:$I,3,0)</f>
        <v/>
      </c>
      <c r="O8240" s="94">
        <f>VLOOKUP($Q8240,매칭테이블!$F:$I,4,0)*K8240</f>
        <v/>
      </c>
      <c r="P8240" s="148">
        <f>M8240/1.1</f>
        <v/>
      </c>
      <c r="Q8240" s="94">
        <f>F8240&amp;E8240&amp;G8240&amp;L8240</f>
        <v/>
      </c>
    </row>
    <row r="8241" customFormat="1" s="94">
      <c r="B8241" s="128" t="n">
        <v>44049</v>
      </c>
      <c r="C8241" s="94">
        <f>TEXT(B8241,"aaa")</f>
        <v/>
      </c>
      <c r="E8241" s="94" t="inlineStr">
        <is>
          <t>머드크림마스크</t>
        </is>
      </c>
      <c r="F8241" s="94" t="inlineStr">
        <is>
          <t>카페24</t>
        </is>
      </c>
      <c r="G8241" s="94" t="inlineStr">
        <is>
          <t>머드크림마스크 100ml 2set</t>
        </is>
      </c>
      <c r="H8241" s="7" t="n">
        <v>190801</v>
      </c>
      <c r="I8241" s="7" t="n">
        <v>190801</v>
      </c>
      <c r="K8241" s="94" t="n">
        <v>1</v>
      </c>
      <c r="L8241" s="94" t="n">
        <v>190801</v>
      </c>
      <c r="M8241" s="94">
        <f>VLOOKUP($Q8241,매칭테이블!$F:$I,2,0)*K8241</f>
        <v/>
      </c>
      <c r="N8241" s="94">
        <f>M8241-M8241*VLOOKUP($Q8241,매칭테이블!$F:$I,3,0)</f>
        <v/>
      </c>
      <c r="O8241" s="94">
        <f>VLOOKUP($Q8241,매칭테이블!$F:$I,4,0)*K8241</f>
        <v/>
      </c>
      <c r="P8241" s="148">
        <f>M8241/1.1</f>
        <v/>
      </c>
      <c r="Q8241" s="94">
        <f>F8241&amp;E8241&amp;G8241&amp;L8241</f>
        <v/>
      </c>
    </row>
    <row r="8242" customFormat="1" s="94">
      <c r="B8242" s="128" t="n">
        <v>44049</v>
      </c>
      <c r="C8242" s="94">
        <f>TEXT(B8242,"aaa")</f>
        <v/>
      </c>
      <c r="E8242" s="94" t="inlineStr">
        <is>
          <t>마스크팩</t>
        </is>
      </c>
      <c r="F8242" s="94" t="inlineStr">
        <is>
          <t>카페24</t>
        </is>
      </c>
      <c r="G8242" s="94" t="inlineStr">
        <is>
          <t>마스크팩 10매</t>
        </is>
      </c>
      <c r="H8242" s="7" t="n">
        <v>190801</v>
      </c>
      <c r="I8242" s="7" t="n">
        <v>190801</v>
      </c>
      <c r="K8242" s="94" t="n">
        <v>6</v>
      </c>
      <c r="L8242" s="94" t="n">
        <v>190801</v>
      </c>
      <c r="M8242" s="94">
        <f>VLOOKUP($Q8242,매칭테이블!$F:$I,2,0)*K8242</f>
        <v/>
      </c>
      <c r="N8242" s="94">
        <f>M8242-M8242*VLOOKUP($Q8242,매칭테이블!$F:$I,3,0)</f>
        <v/>
      </c>
      <c r="O8242" s="94">
        <f>VLOOKUP($Q8242,매칭테이블!$F:$I,4,0)*K8242</f>
        <v/>
      </c>
      <c r="P8242" s="148">
        <f>M8242/1.1</f>
        <v/>
      </c>
      <c r="Q8242" s="94">
        <f>F8242&amp;E8242&amp;G8242&amp;L8242</f>
        <v/>
      </c>
    </row>
    <row r="8243" customFormat="1" s="94">
      <c r="B8243" s="128" t="n">
        <v>44049</v>
      </c>
      <c r="C8243" s="94">
        <f>TEXT(B8243,"aaa")</f>
        <v/>
      </c>
      <c r="E8243" s="94" t="inlineStr">
        <is>
          <t>토너</t>
        </is>
      </c>
      <c r="F8243" s="94" t="inlineStr">
        <is>
          <t>카페24</t>
        </is>
      </c>
      <c r="G8243" s="94" t="inlineStr">
        <is>
          <t>250ml</t>
        </is>
      </c>
      <c r="H8243" s="7" t="n">
        <v>190801</v>
      </c>
      <c r="I8243" s="7" t="n">
        <v>190801</v>
      </c>
      <c r="K8243" s="94" t="n">
        <v>59</v>
      </c>
      <c r="L8243" s="94" t="n">
        <v>190801</v>
      </c>
      <c r="M8243" s="94">
        <f>VLOOKUP($Q8243,매칭테이블!$F:$I,2,0)*K8243</f>
        <v/>
      </c>
      <c r="N8243" s="94">
        <f>M8243-M8243*VLOOKUP($Q8243,매칭테이블!$F:$I,3,0)</f>
        <v/>
      </c>
      <c r="O8243" s="94">
        <f>VLOOKUP($Q8243,매칭테이블!$F:$I,4,0)*K8243</f>
        <v/>
      </c>
      <c r="P8243" s="148">
        <f>M8243/1.1</f>
        <v/>
      </c>
      <c r="Q8243" s="94">
        <f>F8243&amp;E8243&amp;G8243&amp;L8243</f>
        <v/>
      </c>
    </row>
    <row r="8244" customFormat="1" s="94">
      <c r="B8244" s="128" t="n">
        <v>44049</v>
      </c>
      <c r="C8244" s="94">
        <f>TEXT(B8244,"aaa")</f>
        <v/>
      </c>
      <c r="E8244" s="94" t="inlineStr">
        <is>
          <t>토너</t>
        </is>
      </c>
      <c r="F8244" s="94" t="inlineStr">
        <is>
          <t>카페24</t>
        </is>
      </c>
      <c r="G8244" s="94" t="inlineStr">
        <is>
          <t>250ml 2set</t>
        </is>
      </c>
      <c r="H8244" s="7" t="n">
        <v>190801</v>
      </c>
      <c r="I8244" s="7" t="n">
        <v>190801</v>
      </c>
      <c r="K8244" s="94" t="n">
        <v>46</v>
      </c>
      <c r="L8244" s="94" t="n">
        <v>190801</v>
      </c>
      <c r="M8244" s="94">
        <f>VLOOKUP($Q8244,매칭테이블!$F:$I,2,0)*K8244</f>
        <v/>
      </c>
      <c r="N8244" s="94">
        <f>M8244-M8244*VLOOKUP($Q8244,매칭테이블!$F:$I,3,0)</f>
        <v/>
      </c>
      <c r="O8244" s="94">
        <f>VLOOKUP($Q8244,매칭테이블!$F:$I,4,0)*K8244</f>
        <v/>
      </c>
      <c r="P8244" s="148">
        <f>M8244/1.1</f>
        <v/>
      </c>
      <c r="Q8244" s="94">
        <f>F8244&amp;E8244&amp;G8244&amp;L8244</f>
        <v/>
      </c>
    </row>
    <row r="8245" customFormat="1" s="94">
      <c r="B8245" s="128" t="n">
        <v>44049</v>
      </c>
      <c r="C8245" s="94">
        <f>TEXT(B8245,"aaa")</f>
        <v/>
      </c>
      <c r="E8245" s="94" t="inlineStr">
        <is>
          <t>토너</t>
        </is>
      </c>
      <c r="F8245" s="94" t="inlineStr">
        <is>
          <t>카페24</t>
        </is>
      </c>
      <c r="G8245" s="94" t="inlineStr">
        <is>
          <t>500ml</t>
        </is>
      </c>
      <c r="H8245" s="7" t="n">
        <v>190801</v>
      </c>
      <c r="I8245" s="7" t="n">
        <v>190801</v>
      </c>
      <c r="K8245" s="94" t="n">
        <v>68</v>
      </c>
      <c r="L8245" s="94" t="n">
        <v>190801</v>
      </c>
      <c r="M8245" s="94">
        <f>VLOOKUP($Q8245,매칭테이블!$F:$I,2,0)*K8245</f>
        <v/>
      </c>
      <c r="N8245" s="94">
        <f>M8245-M8245*VLOOKUP($Q8245,매칭테이블!$F:$I,3,0)</f>
        <v/>
      </c>
      <c r="O8245" s="94">
        <f>VLOOKUP($Q8245,매칭테이블!$F:$I,4,0)*K8245</f>
        <v/>
      </c>
      <c r="P8245" s="148">
        <f>M8245/1.1</f>
        <v/>
      </c>
      <c r="Q8245" s="94">
        <f>F8245&amp;E8245&amp;G8245&amp;L8245</f>
        <v/>
      </c>
    </row>
    <row r="8246" customFormat="1" s="94">
      <c r="B8246" s="128" t="n">
        <v>44049</v>
      </c>
      <c r="C8246" s="94">
        <f>TEXT(B8246,"aaa")</f>
        <v/>
      </c>
      <c r="E8246" s="94" t="inlineStr">
        <is>
          <t>앰플</t>
        </is>
      </c>
      <c r="F8246" s="94" t="inlineStr">
        <is>
          <t>카페24</t>
        </is>
      </c>
      <c r="G8246" s="94" t="inlineStr">
        <is>
          <t>앰플 30ml</t>
        </is>
      </c>
      <c r="H8246" s="7" t="n">
        <v>190801</v>
      </c>
      <c r="I8246" s="7" t="n">
        <v>190801</v>
      </c>
      <c r="K8246" s="94" t="n">
        <v>8</v>
      </c>
      <c r="L8246" s="94" t="n">
        <v>190801</v>
      </c>
      <c r="M8246" s="94">
        <f>VLOOKUP($Q8246,매칭테이블!$F:$I,2,0)*K8246</f>
        <v/>
      </c>
      <c r="N8246" s="94">
        <f>M8246-M8246*VLOOKUP($Q8246,매칭테이블!$F:$I,3,0)</f>
        <v/>
      </c>
      <c r="O8246" s="94">
        <f>VLOOKUP($Q8246,매칭테이블!$F:$I,4,0)*K8246</f>
        <v/>
      </c>
      <c r="P8246" s="148">
        <f>M8246/1.1</f>
        <v/>
      </c>
      <c r="Q8246" s="94">
        <f>F8246&amp;E8246&amp;G8246&amp;L8246</f>
        <v/>
      </c>
    </row>
    <row r="8247" customFormat="1" s="94">
      <c r="B8247" s="128" t="n">
        <v>44049</v>
      </c>
      <c r="C8247" s="94">
        <f>TEXT(B8247,"aaa")</f>
        <v/>
      </c>
      <c r="E8247" s="94" t="inlineStr">
        <is>
          <t>수딩크림</t>
        </is>
      </c>
      <c r="F8247" s="94" t="inlineStr">
        <is>
          <t>카페24</t>
        </is>
      </c>
      <c r="G8247" s="94" t="inlineStr">
        <is>
          <t>수딩크림 100ml</t>
        </is>
      </c>
      <c r="H8247" s="7" t="n">
        <v>190801</v>
      </c>
      <c r="I8247" s="7" t="n">
        <v>190801</v>
      </c>
      <c r="K8247" s="94" t="n">
        <v>4</v>
      </c>
      <c r="L8247" s="94" t="n">
        <v>190801</v>
      </c>
      <c r="M8247" s="94">
        <f>VLOOKUP($Q8247,매칭테이블!$F:$I,2,0)*K8247</f>
        <v/>
      </c>
      <c r="N8247" s="94">
        <f>M8247-M8247*VLOOKUP($Q8247,매칭테이블!$F:$I,3,0)</f>
        <v/>
      </c>
      <c r="O8247" s="94">
        <f>VLOOKUP($Q8247,매칭테이블!$F:$I,4,0)*K8247</f>
        <v/>
      </c>
      <c r="P8247" s="148">
        <f>M8247/1.1</f>
        <v/>
      </c>
      <c r="Q8247" s="94">
        <f>F8247&amp;E8247&amp;G8247&amp;L8247</f>
        <v/>
      </c>
    </row>
    <row r="8248" customFormat="1" s="94">
      <c r="B8248" s="128" t="n">
        <v>44049</v>
      </c>
      <c r="C8248" s="94">
        <f>TEXT(B8248,"aaa")</f>
        <v/>
      </c>
      <c r="E8248" s="94" t="inlineStr">
        <is>
          <t>토너</t>
        </is>
      </c>
      <c r="F8248" s="94" t="inlineStr">
        <is>
          <t>아누아 CS</t>
        </is>
      </c>
      <c r="G8248" s="94" t="inlineStr">
        <is>
          <t>500ml</t>
        </is>
      </c>
      <c r="H8248" s="7" t="n">
        <v>190801</v>
      </c>
      <c r="I8248" s="7" t="n">
        <v>190801</v>
      </c>
      <c r="K8248" s="94" t="n">
        <v>10</v>
      </c>
      <c r="L8248" s="94" t="n">
        <v>190801</v>
      </c>
      <c r="M8248" s="94">
        <f>VLOOKUP($Q8248,매칭테이블!$F:$I,2,0)*K8248</f>
        <v/>
      </c>
      <c r="N8248" s="94">
        <f>M8248-M8248*VLOOKUP($Q8248,매칭테이블!$F:$I,3,0)</f>
        <v/>
      </c>
      <c r="O8248" s="94">
        <f>VLOOKUP($Q8248,매칭테이블!$F:$I,4,0)*K8248</f>
        <v/>
      </c>
      <c r="P8248" s="148">
        <f>M8248/1.1</f>
        <v/>
      </c>
      <c r="Q8248" s="94">
        <f>F8248&amp;E8248&amp;G8248&amp;L8248</f>
        <v/>
      </c>
    </row>
    <row r="8249" customFormat="1" s="94">
      <c r="B8249" s="128" t="n">
        <v>44049</v>
      </c>
      <c r="C8249" s="94">
        <f>TEXT(B8249,"aaa")</f>
        <v/>
      </c>
      <c r="E8249" s="94" t="inlineStr">
        <is>
          <t>선크림</t>
        </is>
      </c>
      <c r="F8249" s="94" t="inlineStr">
        <is>
          <t>화해</t>
        </is>
      </c>
      <c r="G8249" s="94" t="inlineStr">
        <is>
          <t>선크림 50ml</t>
        </is>
      </c>
      <c r="H8249" s="7" t="n">
        <v>190801</v>
      </c>
      <c r="I8249" s="7" t="n">
        <v>190801</v>
      </c>
      <c r="K8249" s="94" t="n">
        <v>2</v>
      </c>
      <c r="L8249" s="94" t="n">
        <v>190801</v>
      </c>
      <c r="M8249" s="94">
        <f>VLOOKUP($Q8249,매칭테이블!$F:$I,2,0)*K8249</f>
        <v/>
      </c>
      <c r="N8249" s="94">
        <f>M8249-M8249*VLOOKUP($Q8249,매칭테이블!$F:$I,3,0)</f>
        <v/>
      </c>
      <c r="O8249" s="94">
        <f>VLOOKUP($Q8249,매칭테이블!$F:$I,4,0)*K8249</f>
        <v/>
      </c>
      <c r="P8249" s="148">
        <f>M8249/1.1</f>
        <v/>
      </c>
      <c r="Q8249" s="94">
        <f>F8249&amp;E8249&amp;G8249&amp;L8249</f>
        <v/>
      </c>
    </row>
    <row r="8250" customFormat="1" s="94">
      <c r="B8250" s="128" t="n">
        <v>44050</v>
      </c>
      <c r="C8250" s="94">
        <f>TEXT(B8250,"aaa")</f>
        <v/>
      </c>
      <c r="E8250" s="94" t="inlineStr">
        <is>
          <t>선크림</t>
        </is>
      </c>
      <c r="F8250" s="94" t="inlineStr">
        <is>
          <t>카페24</t>
        </is>
      </c>
      <c r="G8250" s="94" t="inlineStr">
        <is>
          <t>선크림 50ml</t>
        </is>
      </c>
      <c r="H8250" s="7" t="n">
        <v>190801</v>
      </c>
      <c r="I8250" s="7" t="n">
        <v>190801</v>
      </c>
      <c r="K8250" s="94" t="n">
        <v>1</v>
      </c>
      <c r="L8250" s="94" t="n">
        <v>190801</v>
      </c>
      <c r="M8250" s="94">
        <f>VLOOKUP($Q8250,매칭테이블!$F:$I,2,0)*K8250</f>
        <v/>
      </c>
      <c r="N8250" s="94">
        <f>M8250-M8250*VLOOKUP($Q8250,매칭테이블!$F:$I,3,0)</f>
        <v/>
      </c>
      <c r="O8250" s="94">
        <f>VLOOKUP($Q8250,매칭테이블!$F:$I,4,0)*K8250</f>
        <v/>
      </c>
      <c r="P8250" s="148">
        <f>M8250/1.1</f>
        <v/>
      </c>
      <c r="Q8250" s="94">
        <f>F8250&amp;E8250&amp;G8250&amp;L8250</f>
        <v/>
      </c>
    </row>
    <row r="8251" customFormat="1" s="94">
      <c r="B8251" s="128" t="n">
        <v>44050</v>
      </c>
      <c r="C8251" s="94">
        <f>TEXT(B8251,"aaa")</f>
        <v/>
      </c>
      <c r="E8251" s="94" t="inlineStr">
        <is>
          <t>선크림</t>
        </is>
      </c>
      <c r="F8251" s="94" t="inlineStr">
        <is>
          <t>카페24</t>
        </is>
      </c>
      <c r="G8251" s="94" t="inlineStr">
        <is>
          <t>선크림 50ml  2set</t>
        </is>
      </c>
      <c r="H8251" s="7" t="n">
        <v>190801</v>
      </c>
      <c r="I8251" s="7" t="n">
        <v>190801</v>
      </c>
      <c r="K8251" s="94" t="n">
        <v>1</v>
      </c>
      <c r="L8251" s="94" t="n">
        <v>190801</v>
      </c>
      <c r="M8251" s="94">
        <f>VLOOKUP($Q8251,매칭테이블!$F:$I,2,0)*K8251</f>
        <v/>
      </c>
      <c r="N8251" s="94">
        <f>M8251-M8251*VLOOKUP($Q8251,매칭테이블!$F:$I,3,0)</f>
        <v/>
      </c>
      <c r="O8251" s="94">
        <f>VLOOKUP($Q8251,매칭테이블!$F:$I,4,0)*K8251</f>
        <v/>
      </c>
      <c r="P8251" s="148">
        <f>M8251/1.1</f>
        <v/>
      </c>
      <c r="Q8251" s="94">
        <f>F8251&amp;E8251&amp;G8251&amp;L8251</f>
        <v/>
      </c>
    </row>
    <row r="8252" customFormat="1" s="94">
      <c r="B8252" s="128" t="n">
        <v>44050</v>
      </c>
      <c r="C8252" s="94">
        <f>TEXT(B8252,"aaa")</f>
        <v/>
      </c>
      <c r="E8252" s="94" t="inlineStr">
        <is>
          <t>여름 한정 진정세트</t>
        </is>
      </c>
      <c r="F8252" s="94" t="inlineStr">
        <is>
          <t>카페24</t>
        </is>
      </c>
      <c r="G8252" s="94" t="inlineStr">
        <is>
          <t>여름 한정 진정세트</t>
        </is>
      </c>
      <c r="H8252" s="7" t="n">
        <v>190801</v>
      </c>
      <c r="I8252" s="7" t="n">
        <v>190801</v>
      </c>
      <c r="K8252" s="94" t="n">
        <v>2</v>
      </c>
      <c r="L8252" s="94" t="n">
        <v>190801</v>
      </c>
      <c r="M8252" s="94">
        <f>VLOOKUP($Q8252,매칭테이블!$F:$I,2,0)*K8252</f>
        <v/>
      </c>
      <c r="N8252" s="94">
        <f>M8252-M8252*VLOOKUP($Q8252,매칭테이블!$F:$I,3,0)</f>
        <v/>
      </c>
      <c r="O8252" s="94">
        <f>VLOOKUP($Q8252,매칭테이블!$F:$I,4,0)*K8252</f>
        <v/>
      </c>
      <c r="P8252" s="148">
        <f>M8252/1.1</f>
        <v/>
      </c>
      <c r="Q8252" s="94">
        <f>F8252&amp;E8252&amp;G8252&amp;L8252</f>
        <v/>
      </c>
    </row>
    <row r="8253" customFormat="1" s="94">
      <c r="B8253" s="128" t="n">
        <v>44050</v>
      </c>
      <c r="C8253" s="94">
        <f>TEXT(B8253,"aaa")</f>
        <v/>
      </c>
      <c r="E8253" s="94" t="inlineStr">
        <is>
          <t>여름 한정 진정세트</t>
        </is>
      </c>
      <c r="F8253" s="94" t="inlineStr">
        <is>
          <t>카페24</t>
        </is>
      </c>
      <c r="G8253" s="94" t="inlineStr">
        <is>
          <t>여름 한정 진정세트 (대용량)</t>
        </is>
      </c>
      <c r="H8253" s="7" t="n">
        <v>190801</v>
      </c>
      <c r="I8253" s="7" t="n">
        <v>190801</v>
      </c>
      <c r="K8253" s="94" t="n">
        <v>2</v>
      </c>
      <c r="L8253" s="94" t="n">
        <v>190801</v>
      </c>
      <c r="M8253" s="94">
        <f>VLOOKUP($Q8253,매칭테이블!$F:$I,2,0)*K8253</f>
        <v/>
      </c>
      <c r="N8253" s="94">
        <f>M8253-M8253*VLOOKUP($Q8253,매칭테이블!$F:$I,3,0)</f>
        <v/>
      </c>
      <c r="O8253" s="94">
        <f>VLOOKUP($Q8253,매칭테이블!$F:$I,4,0)*K8253</f>
        <v/>
      </c>
      <c r="P8253" s="148">
        <f>M8253/1.1</f>
        <v/>
      </c>
      <c r="Q8253" s="94">
        <f>F8253&amp;E8253&amp;G8253&amp;L8253</f>
        <v/>
      </c>
    </row>
    <row r="8254" customFormat="1" s="94">
      <c r="B8254" s="128" t="n">
        <v>44050</v>
      </c>
      <c r="C8254" s="94">
        <f>TEXT(B8254,"aaa")</f>
        <v/>
      </c>
      <c r="E8254" s="94" t="inlineStr">
        <is>
          <t>어성초진정패키지</t>
        </is>
      </c>
      <c r="F8254" s="94" t="inlineStr">
        <is>
          <t>카페24</t>
        </is>
      </c>
      <c r="G8254" s="94" t="inlineStr">
        <is>
          <t>어성초 진정패키지세트</t>
        </is>
      </c>
      <c r="H8254" s="7" t="n">
        <v>190801</v>
      </c>
      <c r="I8254" s="7" t="n">
        <v>190801</v>
      </c>
      <c r="K8254" s="94" t="n">
        <v>3</v>
      </c>
      <c r="L8254" s="94" t="n">
        <v>190801</v>
      </c>
      <c r="M8254" s="94">
        <f>VLOOKUP($Q8254,매칭테이블!$F:$I,2,0)*K8254</f>
        <v/>
      </c>
      <c r="N8254" s="94">
        <f>M8254-M8254*VLOOKUP($Q8254,매칭테이블!$F:$I,3,0)</f>
        <v/>
      </c>
      <c r="O8254" s="94">
        <f>VLOOKUP($Q8254,매칭테이블!$F:$I,4,0)*K8254</f>
        <v/>
      </c>
      <c r="P8254" s="148">
        <f>M8254/1.1</f>
        <v/>
      </c>
      <c r="Q8254" s="94">
        <f>F8254&amp;E8254&amp;G8254&amp;L8254</f>
        <v/>
      </c>
    </row>
    <row r="8255" customFormat="1" s="94">
      <c r="B8255" s="128" t="n">
        <v>44050</v>
      </c>
      <c r="C8255" s="94">
        <f>TEXT(B8255,"aaa")</f>
        <v/>
      </c>
      <c r="E8255" s="94" t="inlineStr">
        <is>
          <t>머드크림마스크</t>
        </is>
      </c>
      <c r="F8255" s="94" t="inlineStr">
        <is>
          <t>카페24</t>
        </is>
      </c>
      <c r="G8255" s="94" t="inlineStr">
        <is>
          <t>머드크림마스크 100ml</t>
        </is>
      </c>
      <c r="H8255" s="7" t="n">
        <v>190801</v>
      </c>
      <c r="I8255" s="7" t="n">
        <v>190801</v>
      </c>
      <c r="K8255" s="94" t="n">
        <v>1</v>
      </c>
      <c r="L8255" s="94" t="n">
        <v>190801</v>
      </c>
      <c r="M8255" s="94">
        <f>VLOOKUP($Q8255,매칭테이블!$F:$I,2,0)*K8255</f>
        <v/>
      </c>
      <c r="N8255" s="94">
        <f>M8255-M8255*VLOOKUP($Q8255,매칭테이블!$F:$I,3,0)</f>
        <v/>
      </c>
      <c r="O8255" s="94">
        <f>VLOOKUP($Q8255,매칭테이블!$F:$I,4,0)*K8255</f>
        <v/>
      </c>
      <c r="P8255" s="148">
        <f>M8255/1.1</f>
        <v/>
      </c>
      <c r="Q8255" s="94">
        <f>F8255&amp;E8255&amp;G8255&amp;L8255</f>
        <v/>
      </c>
    </row>
    <row r="8256" customFormat="1" s="94">
      <c r="B8256" s="128" t="n">
        <v>44050</v>
      </c>
      <c r="C8256" s="94">
        <f>TEXT(B8256,"aaa")</f>
        <v/>
      </c>
      <c r="E8256" s="94" t="inlineStr">
        <is>
          <t>머드크림마스크</t>
        </is>
      </c>
      <c r="F8256" s="94" t="inlineStr">
        <is>
          <t>카페24</t>
        </is>
      </c>
      <c r="G8256" s="94" t="inlineStr">
        <is>
          <t>머드크림마스크 100ml 2set</t>
        </is>
      </c>
      <c r="H8256" s="7" t="n">
        <v>190801</v>
      </c>
      <c r="I8256" s="7" t="n">
        <v>190801</v>
      </c>
      <c r="K8256" s="94" t="n">
        <v>1</v>
      </c>
      <c r="L8256" s="94" t="n">
        <v>190801</v>
      </c>
      <c r="M8256" s="94">
        <f>VLOOKUP($Q8256,매칭테이블!$F:$I,2,0)*K8256</f>
        <v/>
      </c>
      <c r="N8256" s="94">
        <f>M8256-M8256*VLOOKUP($Q8256,매칭테이블!$F:$I,3,0)</f>
        <v/>
      </c>
      <c r="O8256" s="94">
        <f>VLOOKUP($Q8256,매칭테이블!$F:$I,4,0)*K8256</f>
        <v/>
      </c>
      <c r="P8256" s="148">
        <f>M8256/1.1</f>
        <v/>
      </c>
      <c r="Q8256" s="94">
        <f>F8256&amp;E8256&amp;G8256&amp;L8256</f>
        <v/>
      </c>
    </row>
    <row r="8257" customFormat="1" s="94">
      <c r="B8257" s="128" t="n">
        <v>44050</v>
      </c>
      <c r="C8257" s="94">
        <f>TEXT(B8257,"aaa")</f>
        <v/>
      </c>
      <c r="E8257" s="94" t="inlineStr">
        <is>
          <t>마스크팩</t>
        </is>
      </c>
      <c r="F8257" s="94" t="inlineStr">
        <is>
          <t>카페24</t>
        </is>
      </c>
      <c r="G8257" s="94" t="inlineStr">
        <is>
          <t>마스크팩 1매</t>
        </is>
      </c>
      <c r="H8257" s="7" t="n">
        <v>190801</v>
      </c>
      <c r="I8257" s="7" t="n">
        <v>190801</v>
      </c>
      <c r="K8257" s="94" t="n">
        <v>1</v>
      </c>
      <c r="L8257" s="94" t="n">
        <v>190801</v>
      </c>
      <c r="M8257" s="94">
        <f>VLOOKUP($Q8257,매칭테이블!$F:$I,2,0)*K8257</f>
        <v/>
      </c>
      <c r="N8257" s="94">
        <f>M8257-M8257*VLOOKUP($Q8257,매칭테이블!$F:$I,3,0)</f>
        <v/>
      </c>
      <c r="O8257" s="94">
        <f>VLOOKUP($Q8257,매칭테이블!$F:$I,4,0)*K8257</f>
        <v/>
      </c>
      <c r="P8257" s="148">
        <f>M8257/1.1</f>
        <v/>
      </c>
      <c r="Q8257" s="94">
        <f>F8257&amp;E8257&amp;G8257&amp;L8257</f>
        <v/>
      </c>
    </row>
    <row r="8258" customFormat="1" s="94">
      <c r="B8258" s="128" t="n">
        <v>44050</v>
      </c>
      <c r="C8258" s="94">
        <f>TEXT(B8258,"aaa")</f>
        <v/>
      </c>
      <c r="E8258" s="94" t="inlineStr">
        <is>
          <t>마스크팩</t>
        </is>
      </c>
      <c r="F8258" s="94" t="inlineStr">
        <is>
          <t>카페24</t>
        </is>
      </c>
      <c r="G8258" s="94" t="inlineStr">
        <is>
          <t>마스크팩 10매</t>
        </is>
      </c>
      <c r="H8258" s="7" t="n">
        <v>190801</v>
      </c>
      <c r="I8258" s="7" t="n">
        <v>190801</v>
      </c>
      <c r="K8258" s="94" t="n">
        <v>2</v>
      </c>
      <c r="L8258" s="94" t="n">
        <v>190801</v>
      </c>
      <c r="M8258" s="94">
        <f>VLOOKUP($Q8258,매칭테이블!$F:$I,2,0)*K8258</f>
        <v/>
      </c>
      <c r="N8258" s="94">
        <f>M8258-M8258*VLOOKUP($Q8258,매칭테이블!$F:$I,3,0)</f>
        <v/>
      </c>
      <c r="O8258" s="94">
        <f>VLOOKUP($Q8258,매칭테이블!$F:$I,4,0)*K8258</f>
        <v/>
      </c>
      <c r="P8258" s="148">
        <f>M8258/1.1</f>
        <v/>
      </c>
      <c r="Q8258" s="94">
        <f>F8258&amp;E8258&amp;G8258&amp;L8258</f>
        <v/>
      </c>
    </row>
    <row r="8259" customFormat="1" s="94">
      <c r="B8259" s="128" t="n">
        <v>44050</v>
      </c>
      <c r="C8259" s="94">
        <f>TEXT(B8259,"aaa")</f>
        <v/>
      </c>
      <c r="E8259" s="94" t="inlineStr">
        <is>
          <t>토너</t>
        </is>
      </c>
      <c r="F8259" s="94" t="inlineStr">
        <is>
          <t>카페24</t>
        </is>
      </c>
      <c r="G8259" s="94" t="inlineStr">
        <is>
          <t>250ml</t>
        </is>
      </c>
      <c r="H8259" s="7" t="n">
        <v>190801</v>
      </c>
      <c r="I8259" s="7" t="n">
        <v>190801</v>
      </c>
      <c r="K8259" s="94" t="n">
        <v>43</v>
      </c>
      <c r="L8259" s="94" t="n">
        <v>190801</v>
      </c>
      <c r="M8259" s="94">
        <f>VLOOKUP($Q8259,매칭테이블!$F:$I,2,0)*K8259</f>
        <v/>
      </c>
      <c r="N8259" s="94">
        <f>M8259-M8259*VLOOKUP($Q8259,매칭테이블!$F:$I,3,0)</f>
        <v/>
      </c>
      <c r="O8259" s="94">
        <f>VLOOKUP($Q8259,매칭테이블!$F:$I,4,0)*K8259</f>
        <v/>
      </c>
      <c r="P8259" s="148">
        <f>M8259/1.1</f>
        <v/>
      </c>
      <c r="Q8259" s="94">
        <f>F8259&amp;E8259&amp;G8259&amp;L8259</f>
        <v/>
      </c>
    </row>
    <row r="8260" customFormat="1" s="94">
      <c r="B8260" s="128" t="n">
        <v>44050</v>
      </c>
      <c r="C8260" s="94">
        <f>TEXT(B8260,"aaa")</f>
        <v/>
      </c>
      <c r="E8260" s="94" t="inlineStr">
        <is>
          <t>토너</t>
        </is>
      </c>
      <c r="F8260" s="94" t="inlineStr">
        <is>
          <t>카페24</t>
        </is>
      </c>
      <c r="G8260" s="94" t="inlineStr">
        <is>
          <t>250ml 2set</t>
        </is>
      </c>
      <c r="H8260" s="7" t="n">
        <v>190801</v>
      </c>
      <c r="I8260" s="7" t="n">
        <v>190801</v>
      </c>
      <c r="K8260" s="94" t="n">
        <v>51</v>
      </c>
      <c r="L8260" s="94" t="n">
        <v>190801</v>
      </c>
      <c r="M8260" s="94">
        <f>VLOOKUP($Q8260,매칭테이블!$F:$I,2,0)*K8260</f>
        <v/>
      </c>
      <c r="N8260" s="94">
        <f>M8260-M8260*VLOOKUP($Q8260,매칭테이블!$F:$I,3,0)</f>
        <v/>
      </c>
      <c r="O8260" s="94">
        <f>VLOOKUP($Q8260,매칭테이블!$F:$I,4,0)*K8260</f>
        <v/>
      </c>
      <c r="P8260" s="148">
        <f>M8260/1.1</f>
        <v/>
      </c>
      <c r="Q8260" s="94">
        <f>F8260&amp;E8260&amp;G8260&amp;L8260</f>
        <v/>
      </c>
    </row>
    <row r="8261" customFormat="1" s="94">
      <c r="B8261" s="128" t="n">
        <v>44050</v>
      </c>
      <c r="C8261" s="94">
        <f>TEXT(B8261,"aaa")</f>
        <v/>
      </c>
      <c r="E8261" s="94" t="inlineStr">
        <is>
          <t>토너</t>
        </is>
      </c>
      <c r="F8261" s="94" t="inlineStr">
        <is>
          <t>카페24</t>
        </is>
      </c>
      <c r="G8261" s="94" t="inlineStr">
        <is>
          <t>500ml</t>
        </is>
      </c>
      <c r="H8261" s="7" t="n">
        <v>190801</v>
      </c>
      <c r="I8261" s="7" t="n">
        <v>190801</v>
      </c>
      <c r="K8261" s="94" t="n">
        <v>57</v>
      </c>
      <c r="L8261" s="94" t="n">
        <v>190801</v>
      </c>
      <c r="M8261" s="94">
        <f>VLOOKUP($Q8261,매칭테이블!$F:$I,2,0)*K8261</f>
        <v/>
      </c>
      <c r="N8261" s="94">
        <f>M8261-M8261*VLOOKUP($Q8261,매칭테이블!$F:$I,3,0)</f>
        <v/>
      </c>
      <c r="O8261" s="94">
        <f>VLOOKUP($Q8261,매칭테이블!$F:$I,4,0)*K8261</f>
        <v/>
      </c>
      <c r="P8261" s="148">
        <f>M8261/1.1</f>
        <v/>
      </c>
      <c r="Q8261" s="94">
        <f>F8261&amp;E8261&amp;G8261&amp;L8261</f>
        <v/>
      </c>
    </row>
    <row r="8262" customFormat="1" s="94">
      <c r="B8262" s="128" t="n">
        <v>44050</v>
      </c>
      <c r="C8262" s="94">
        <f>TEXT(B8262,"aaa")</f>
        <v/>
      </c>
      <c r="E8262" s="94" t="inlineStr">
        <is>
          <t>앰플</t>
        </is>
      </c>
      <c r="F8262" s="94" t="inlineStr">
        <is>
          <t>카페24</t>
        </is>
      </c>
      <c r="G8262" s="94" t="inlineStr">
        <is>
          <t>앰플 30ml</t>
        </is>
      </c>
      <c r="H8262" s="7" t="n">
        <v>190801</v>
      </c>
      <c r="I8262" s="7" t="n">
        <v>190801</v>
      </c>
      <c r="K8262" s="94" t="n">
        <v>7</v>
      </c>
      <c r="L8262" s="94" t="n">
        <v>190801</v>
      </c>
      <c r="M8262" s="94">
        <f>VLOOKUP($Q8262,매칭테이블!$F:$I,2,0)*K8262</f>
        <v/>
      </c>
      <c r="N8262" s="94">
        <f>M8262-M8262*VLOOKUP($Q8262,매칭테이블!$F:$I,3,0)</f>
        <v/>
      </c>
      <c r="O8262" s="94">
        <f>VLOOKUP($Q8262,매칭테이블!$F:$I,4,0)*K8262</f>
        <v/>
      </c>
      <c r="P8262" s="148">
        <f>M8262/1.1</f>
        <v/>
      </c>
      <c r="Q8262" s="94">
        <f>F8262&amp;E8262&amp;G8262&amp;L8262</f>
        <v/>
      </c>
    </row>
    <row r="8263" customFormat="1" s="94">
      <c r="B8263" s="128" t="n">
        <v>44050</v>
      </c>
      <c r="C8263" s="94">
        <f>TEXT(B8263,"aaa")</f>
        <v/>
      </c>
      <c r="E8263" s="94" t="inlineStr">
        <is>
          <t>수딩크림</t>
        </is>
      </c>
      <c r="F8263" s="94" t="inlineStr">
        <is>
          <t>카페24</t>
        </is>
      </c>
      <c r="G8263" s="94" t="inlineStr">
        <is>
          <t>수딩크림 100ml</t>
        </is>
      </c>
      <c r="H8263" s="7" t="n">
        <v>190801</v>
      </c>
      <c r="I8263" s="7" t="n">
        <v>190801</v>
      </c>
      <c r="K8263" s="94" t="n">
        <v>5</v>
      </c>
      <c r="L8263" s="94" t="n">
        <v>190801</v>
      </c>
      <c r="M8263" s="94">
        <f>VLOOKUP($Q8263,매칭테이블!$F:$I,2,0)*K8263</f>
        <v/>
      </c>
      <c r="N8263" s="94">
        <f>M8263-M8263*VLOOKUP($Q8263,매칭테이블!$F:$I,3,0)</f>
        <v/>
      </c>
      <c r="O8263" s="94">
        <f>VLOOKUP($Q8263,매칭테이블!$F:$I,4,0)*K8263</f>
        <v/>
      </c>
      <c r="P8263" s="148">
        <f>M8263/1.1</f>
        <v/>
      </c>
      <c r="Q8263" s="94">
        <f>F8263&amp;E8263&amp;G8263&amp;L8263</f>
        <v/>
      </c>
    </row>
    <row r="8264" customFormat="1" s="94">
      <c r="B8264" s="128" t="n">
        <v>44050</v>
      </c>
      <c r="C8264" s="94">
        <f>TEXT(B8264,"aaa")</f>
        <v/>
      </c>
      <c r="E8264" s="94" t="inlineStr">
        <is>
          <t>토너</t>
        </is>
      </c>
      <c r="F8264" s="94" t="inlineStr">
        <is>
          <t>아누아 CS</t>
        </is>
      </c>
      <c r="G8264" s="94" t="inlineStr">
        <is>
          <t>250ml</t>
        </is>
      </c>
      <c r="H8264" s="7" t="n">
        <v>190801</v>
      </c>
      <c r="I8264" s="7" t="n">
        <v>190801</v>
      </c>
      <c r="K8264" s="94" t="n">
        <v>3</v>
      </c>
      <c r="L8264" s="94" t="n">
        <v>190801</v>
      </c>
      <c r="M8264" s="94">
        <f>VLOOKUP($Q8264,매칭테이블!$F:$I,2,0)*K8264</f>
        <v/>
      </c>
      <c r="N8264" s="94">
        <f>M8264-M8264*VLOOKUP($Q8264,매칭테이블!$F:$I,3,0)</f>
        <v/>
      </c>
      <c r="O8264" s="94">
        <f>VLOOKUP($Q8264,매칭테이블!$F:$I,4,0)*K8264</f>
        <v/>
      </c>
      <c r="P8264" s="148">
        <f>M8264/1.1</f>
        <v/>
      </c>
      <c r="Q8264" s="94">
        <f>F8264&amp;E8264&amp;G8264&amp;L8264</f>
        <v/>
      </c>
    </row>
    <row r="8265" customFormat="1" s="94">
      <c r="B8265" s="128" t="n">
        <v>44050</v>
      </c>
      <c r="C8265" s="94">
        <f>TEXT(B8265,"aaa")</f>
        <v/>
      </c>
      <c r="E8265" s="94" t="inlineStr">
        <is>
          <t>토너</t>
        </is>
      </c>
      <c r="F8265" s="94" t="inlineStr">
        <is>
          <t>아누아 CS</t>
        </is>
      </c>
      <c r="G8265" s="94" t="inlineStr">
        <is>
          <t>500ml</t>
        </is>
      </c>
      <c r="H8265" s="7" t="n">
        <v>190801</v>
      </c>
      <c r="I8265" s="7" t="n">
        <v>190801</v>
      </c>
      <c r="K8265" s="94" t="n">
        <v>1</v>
      </c>
      <c r="L8265" s="94" t="n">
        <v>190801</v>
      </c>
      <c r="M8265" s="94">
        <f>VLOOKUP($Q8265,매칭테이블!$F:$I,2,0)*K8265</f>
        <v/>
      </c>
      <c r="N8265" s="94">
        <f>M8265-M8265*VLOOKUP($Q8265,매칭테이블!$F:$I,3,0)</f>
        <v/>
      </c>
      <c r="O8265" s="94">
        <f>VLOOKUP($Q8265,매칭테이블!$F:$I,4,0)*K8265</f>
        <v/>
      </c>
      <c r="P8265" s="148">
        <f>M8265/1.1</f>
        <v/>
      </c>
      <c r="Q8265" s="94">
        <f>F8265&amp;E8265&amp;G8265&amp;L8265</f>
        <v/>
      </c>
    </row>
    <row r="8266" customFormat="1" s="94">
      <c r="B8266" s="128" t="n">
        <v>44050</v>
      </c>
      <c r="C8266" s="94">
        <f>TEXT(B8266,"aaa")</f>
        <v/>
      </c>
      <c r="E8266" s="94" t="inlineStr">
        <is>
          <t>화장솜</t>
        </is>
      </c>
      <c r="F8266" s="94" t="inlineStr">
        <is>
          <t>아누아 CS</t>
        </is>
      </c>
      <c r="G8266" s="94" t="inlineStr">
        <is>
          <t>스킨팩 화장솜 60P</t>
        </is>
      </c>
      <c r="H8266" s="7" t="n">
        <v>190801</v>
      </c>
      <c r="I8266" s="7" t="n">
        <v>190801</v>
      </c>
      <c r="K8266" s="94" t="n">
        <v>1</v>
      </c>
      <c r="L8266" s="94" t="n">
        <v>190801</v>
      </c>
      <c r="M8266" s="94">
        <f>VLOOKUP($Q8266,매칭테이블!$F:$I,2,0)*K8266</f>
        <v/>
      </c>
      <c r="N8266" s="94">
        <f>M8266-M8266*VLOOKUP($Q8266,매칭테이블!$F:$I,3,0)</f>
        <v/>
      </c>
      <c r="O8266" s="94">
        <f>VLOOKUP($Q8266,매칭테이블!$F:$I,4,0)*K8266</f>
        <v/>
      </c>
      <c r="P8266" s="148">
        <f>M8266/1.1</f>
        <v/>
      </c>
      <c r="Q8266" s="94">
        <f>F8266&amp;E8266&amp;G8266&amp;L8266</f>
        <v/>
      </c>
    </row>
    <row r="8267" customFormat="1" s="94">
      <c r="B8267" s="128" t="n">
        <v>44050</v>
      </c>
      <c r="C8267" s="94">
        <f>TEXT(B8267,"aaa")</f>
        <v/>
      </c>
      <c r="E8267" s="94" t="inlineStr">
        <is>
          <t>앰플</t>
        </is>
      </c>
      <c r="F8267" s="94" t="inlineStr">
        <is>
          <t>아누아 CS</t>
        </is>
      </c>
      <c r="G8267" s="94" t="inlineStr">
        <is>
          <t>앰플 30ml</t>
        </is>
      </c>
      <c r="H8267" s="7" t="n">
        <v>190801</v>
      </c>
      <c r="I8267" s="7" t="n">
        <v>190801</v>
      </c>
      <c r="K8267" s="94" t="n">
        <v>1</v>
      </c>
      <c r="L8267" s="94" t="n">
        <v>190801</v>
      </c>
      <c r="M8267" s="94">
        <f>VLOOKUP($Q8267,매칭테이블!$F:$I,2,0)*K8267</f>
        <v/>
      </c>
      <c r="N8267" s="94">
        <f>M8267-M8267*VLOOKUP($Q8267,매칭테이블!$F:$I,3,0)</f>
        <v/>
      </c>
      <c r="O8267" s="94">
        <f>VLOOKUP($Q8267,매칭테이블!$F:$I,4,0)*K8267</f>
        <v/>
      </c>
      <c r="P8267" s="148">
        <f>M8267/1.1</f>
        <v/>
      </c>
      <c r="Q8267" s="94">
        <f>F8267&amp;E8267&amp;G8267&amp;L8267</f>
        <v/>
      </c>
    </row>
    <row r="8268" customFormat="1" s="94">
      <c r="B8268" s="128" t="n">
        <v>44050</v>
      </c>
      <c r="C8268" s="94">
        <f>TEXT(B8268,"aaa")</f>
        <v/>
      </c>
      <c r="E8268" s="94" t="inlineStr">
        <is>
          <t>마스크팩</t>
        </is>
      </c>
      <c r="F8268" s="94" t="inlineStr">
        <is>
          <t>아누아 CS</t>
        </is>
      </c>
      <c r="G8268" s="94" t="inlineStr">
        <is>
          <t>마스크팩 10매</t>
        </is>
      </c>
      <c r="H8268" s="7" t="n">
        <v>190801</v>
      </c>
      <c r="I8268" s="7" t="n">
        <v>190801</v>
      </c>
      <c r="K8268" s="94" t="n">
        <v>1</v>
      </c>
      <c r="L8268" s="94" t="n">
        <v>190801</v>
      </c>
      <c r="M8268" s="94">
        <f>VLOOKUP($Q8268,매칭테이블!$F:$I,2,0)*K8268</f>
        <v/>
      </c>
      <c r="N8268" s="94">
        <f>M8268-M8268*VLOOKUP($Q8268,매칭테이블!$F:$I,3,0)</f>
        <v/>
      </c>
      <c r="O8268" s="94">
        <f>VLOOKUP($Q8268,매칭테이블!$F:$I,4,0)*K8268</f>
        <v/>
      </c>
      <c r="P8268" s="148">
        <f>M8268/1.1</f>
        <v/>
      </c>
      <c r="Q8268" s="94">
        <f>F8268&amp;E8268&amp;G8268&amp;L8268</f>
        <v/>
      </c>
    </row>
    <row r="8269" customFormat="1" s="94">
      <c r="B8269" s="128" t="n">
        <v>44050</v>
      </c>
      <c r="C8269" s="94">
        <f>TEXT(B8269,"aaa")</f>
        <v/>
      </c>
      <c r="E8269" s="94" t="inlineStr">
        <is>
          <t>선크림</t>
        </is>
      </c>
      <c r="F8269" s="94" t="inlineStr">
        <is>
          <t>아누아 CS</t>
        </is>
      </c>
      <c r="G8269" s="94" t="inlineStr">
        <is>
          <t>선크림 50ml</t>
        </is>
      </c>
      <c r="H8269" s="7" t="n">
        <v>190801</v>
      </c>
      <c r="I8269" s="7" t="n">
        <v>190801</v>
      </c>
      <c r="K8269" s="94" t="n">
        <v>1</v>
      </c>
      <c r="L8269" s="94" t="n">
        <v>190801</v>
      </c>
      <c r="M8269" s="94">
        <f>VLOOKUP($Q8269,매칭테이블!$F:$I,2,0)*K8269</f>
        <v/>
      </c>
      <c r="N8269" s="94">
        <f>M8269-M8269*VLOOKUP($Q8269,매칭테이블!$F:$I,3,0)</f>
        <v/>
      </c>
      <c r="O8269" s="94">
        <f>VLOOKUP($Q8269,매칭테이블!$F:$I,4,0)*K8269</f>
        <v/>
      </c>
      <c r="P8269" s="148">
        <f>M8269/1.1</f>
        <v/>
      </c>
      <c r="Q8269" s="94">
        <f>F8269&amp;E8269&amp;G8269&amp;L8269</f>
        <v/>
      </c>
    </row>
    <row r="8270" customFormat="1" s="94">
      <c r="B8270" s="128" t="n">
        <v>44050</v>
      </c>
      <c r="C8270" s="94">
        <f>TEXT(B8270,"aaa")</f>
        <v/>
      </c>
      <c r="E8270" s="94" t="inlineStr">
        <is>
          <t>수딩크림</t>
        </is>
      </c>
      <c r="F8270" s="94" t="inlineStr">
        <is>
          <t>아누아 CS</t>
        </is>
      </c>
      <c r="G8270" s="94" t="inlineStr">
        <is>
          <t>수딩크림 100ml</t>
        </is>
      </c>
      <c r="H8270" s="7" t="n">
        <v>190801</v>
      </c>
      <c r="I8270" s="7" t="n">
        <v>190801</v>
      </c>
      <c r="K8270" s="94" t="n">
        <v>1</v>
      </c>
      <c r="L8270" s="94" t="n">
        <v>190801</v>
      </c>
      <c r="M8270" s="94">
        <f>VLOOKUP($Q8270,매칭테이블!$F:$I,2,0)*K8270</f>
        <v/>
      </c>
      <c r="N8270" s="94">
        <f>M8270-M8270*VLOOKUP($Q8270,매칭테이블!$F:$I,3,0)</f>
        <v/>
      </c>
      <c r="O8270" s="94">
        <f>VLOOKUP($Q8270,매칭테이블!$F:$I,4,0)*K8270</f>
        <v/>
      </c>
      <c r="P8270" s="148">
        <f>M8270/1.1</f>
        <v/>
      </c>
      <c r="Q8270" s="94">
        <f>F8270&amp;E8270&amp;G8270&amp;L8270</f>
        <v/>
      </c>
    </row>
    <row r="8271" customFormat="1" s="94">
      <c r="B8271" s="128" t="n">
        <v>44050</v>
      </c>
      <c r="C8271" s="94">
        <f>TEXT(B8271,"aaa")</f>
        <v/>
      </c>
      <c r="E8271" s="94" t="inlineStr">
        <is>
          <t>머드크림마스크</t>
        </is>
      </c>
      <c r="F8271" s="94" t="inlineStr">
        <is>
          <t>아누아 CS</t>
        </is>
      </c>
      <c r="G8271" s="94" t="inlineStr">
        <is>
          <t>머드크림마스크 100ml</t>
        </is>
      </c>
      <c r="H8271" s="7" t="n">
        <v>190801</v>
      </c>
      <c r="I8271" s="7" t="n">
        <v>190801</v>
      </c>
      <c r="K8271" s="94" t="n">
        <v>1</v>
      </c>
      <c r="L8271" s="94" t="n">
        <v>190801</v>
      </c>
      <c r="M8271" s="94">
        <f>VLOOKUP($Q8271,매칭테이블!$F:$I,2,0)*K8271</f>
        <v/>
      </c>
      <c r="N8271" s="94">
        <f>M8271-M8271*VLOOKUP($Q8271,매칭테이블!$F:$I,3,0)</f>
        <v/>
      </c>
      <c r="O8271" s="94">
        <f>VLOOKUP($Q8271,매칭테이블!$F:$I,4,0)*K8271</f>
        <v/>
      </c>
      <c r="P8271" s="148">
        <f>M8271/1.1</f>
        <v/>
      </c>
      <c r="Q8271" s="94">
        <f>F8271&amp;E8271&amp;G8271&amp;L8271</f>
        <v/>
      </c>
    </row>
    <row r="8272" customFormat="1" s="94">
      <c r="B8272" s="128" t="n">
        <v>44050</v>
      </c>
      <c r="C8272" s="94">
        <f>TEXT(B8272,"aaa")</f>
        <v/>
      </c>
      <c r="E8272" s="94" t="inlineStr">
        <is>
          <t>앰플</t>
        </is>
      </c>
      <c r="F8272" s="94" t="inlineStr">
        <is>
          <t>큐텐재팬</t>
        </is>
      </c>
      <c r="G8272" s="94" t="inlineStr">
        <is>
          <t>200726=앰플 30ml</t>
        </is>
      </c>
      <c r="H8272" s="7" t="n">
        <v>190801</v>
      </c>
      <c r="I8272" s="7" t="n">
        <v>190801</v>
      </c>
      <c r="K8272" s="94" t="n">
        <v>3</v>
      </c>
      <c r="L8272" s="94" t="n">
        <v>190801</v>
      </c>
      <c r="M8272" s="94">
        <f>VLOOKUP($Q8272,매칭테이블!$F:$I,2,0)*K8272</f>
        <v/>
      </c>
      <c r="N8272" s="94">
        <f>M8272-M8272*VLOOKUP($Q8272,매칭테이블!$F:$I,3,0)</f>
        <v/>
      </c>
      <c r="O8272" s="94">
        <f>VLOOKUP($Q8272,매칭테이블!$F:$I,4,0)*K8272</f>
        <v/>
      </c>
      <c r="P8272" s="148">
        <f>M8272/1.1</f>
        <v/>
      </c>
      <c r="Q8272" s="94">
        <f>F8272&amp;E8272&amp;G8272&amp;L8272</f>
        <v/>
      </c>
    </row>
    <row r="8273" customFormat="1" s="94">
      <c r="B8273" s="128" t="n">
        <v>44050</v>
      </c>
      <c r="C8273" s="94">
        <f>TEXT(B8273,"aaa")</f>
        <v/>
      </c>
      <c r="E8273" s="94" t="inlineStr">
        <is>
          <t>수딩크림</t>
        </is>
      </c>
      <c r="F8273" s="94" t="inlineStr">
        <is>
          <t>쇼피태국</t>
        </is>
      </c>
      <c r="G8273" s="94" t="inlineStr">
        <is>
          <t>200726=수딩크림 100ml</t>
        </is>
      </c>
      <c r="H8273" s="7" t="n">
        <v>190801</v>
      </c>
      <c r="I8273" s="7" t="n">
        <v>190801</v>
      </c>
      <c r="K8273" s="94" t="n">
        <v>1</v>
      </c>
      <c r="L8273" s="94" t="n">
        <v>190801</v>
      </c>
      <c r="M8273" s="94">
        <f>VLOOKUP($Q8273,매칭테이블!$F:$I,2,0)*K8273</f>
        <v/>
      </c>
      <c r="N8273" s="94">
        <f>M8273-M8273*VLOOKUP($Q8273,매칭테이블!$F:$I,3,0)</f>
        <v/>
      </c>
      <c r="O8273" s="94">
        <f>VLOOKUP($Q8273,매칭테이블!$F:$I,4,0)*K8273</f>
        <v/>
      </c>
      <c r="P8273" s="148">
        <f>M8273/1.1</f>
        <v/>
      </c>
      <c r="Q8273" s="94">
        <f>F8273&amp;E8273&amp;G8273&amp;L8273</f>
        <v/>
      </c>
    </row>
    <row r="8274" customFormat="1" s="94">
      <c r="B8274" s="128" t="n">
        <v>44050</v>
      </c>
      <c r="C8274" s="94">
        <f>TEXT(B8274,"aaa")</f>
        <v/>
      </c>
      <c r="E8274" s="94" t="inlineStr">
        <is>
          <t>머드크림마스크</t>
        </is>
      </c>
      <c r="F8274" s="94" t="inlineStr">
        <is>
          <t>쇼피태국</t>
        </is>
      </c>
      <c r="G8274" s="94" t="inlineStr">
        <is>
          <t>200726=머드크림마스크 100ml</t>
        </is>
      </c>
      <c r="H8274" s="7" t="n">
        <v>190801</v>
      </c>
      <c r="I8274" s="7" t="n">
        <v>190801</v>
      </c>
      <c r="K8274" s="94" t="n">
        <v>1</v>
      </c>
      <c r="L8274" s="94" t="n">
        <v>190801</v>
      </c>
      <c r="M8274" s="94">
        <f>VLOOKUP($Q8274,매칭테이블!$F:$I,2,0)*K8274</f>
        <v/>
      </c>
      <c r="N8274" s="94">
        <f>M8274-M8274*VLOOKUP($Q8274,매칭테이블!$F:$I,3,0)</f>
        <v/>
      </c>
      <c r="O8274" s="94">
        <f>VLOOKUP($Q8274,매칭테이블!$F:$I,4,0)*K8274</f>
        <v/>
      </c>
      <c r="P8274" s="148">
        <f>M8274/1.1</f>
        <v/>
      </c>
      <c r="Q8274" s="94">
        <f>F8274&amp;E8274&amp;G8274&amp;L8274</f>
        <v/>
      </c>
    </row>
    <row r="8275" customFormat="1" s="94">
      <c r="B8275" s="128" t="n">
        <v>44050</v>
      </c>
      <c r="C8275" s="94">
        <f>TEXT(B8275,"aaa")</f>
        <v/>
      </c>
      <c r="E8275" s="94" t="inlineStr">
        <is>
          <t>앰플</t>
        </is>
      </c>
      <c r="F8275" s="94" t="inlineStr">
        <is>
          <t>쇼피태국</t>
        </is>
      </c>
      <c r="G8275" s="94" t="inlineStr">
        <is>
          <t>200726=앰플 30ml</t>
        </is>
      </c>
      <c r="H8275" s="7" t="n">
        <v>190801</v>
      </c>
      <c r="I8275" s="7" t="n">
        <v>190801</v>
      </c>
      <c r="K8275" s="94" t="n">
        <v>2</v>
      </c>
      <c r="L8275" s="94" t="n">
        <v>190801</v>
      </c>
      <c r="M8275" s="94">
        <f>VLOOKUP($Q8275,매칭테이블!$F:$I,2,0)*K8275</f>
        <v/>
      </c>
      <c r="N8275" s="94">
        <f>M8275-M8275*VLOOKUP($Q8275,매칭테이블!$F:$I,3,0)</f>
        <v/>
      </c>
      <c r="O8275" s="94">
        <f>VLOOKUP($Q8275,매칭테이블!$F:$I,4,0)*K8275</f>
        <v/>
      </c>
      <c r="P8275" s="148">
        <f>M8275/1.1</f>
        <v/>
      </c>
      <c r="Q8275" s="94">
        <f>F8275&amp;E8275&amp;G8275&amp;L8275</f>
        <v/>
      </c>
    </row>
    <row r="8276" customFormat="1" s="94">
      <c r="B8276" s="128" t="n">
        <v>44051</v>
      </c>
      <c r="C8276" s="94">
        <f>TEXT(B8276,"aaa")</f>
        <v/>
      </c>
      <c r="E8276" s="94" t="inlineStr">
        <is>
          <t>선크림</t>
        </is>
      </c>
      <c r="F8276" s="94" t="inlineStr">
        <is>
          <t>카페24</t>
        </is>
      </c>
      <c r="G8276" s="94" t="inlineStr">
        <is>
          <t>선크림 50ml</t>
        </is>
      </c>
      <c r="H8276" s="7" t="n">
        <v>190801</v>
      </c>
      <c r="I8276" s="7" t="n">
        <v>190801</v>
      </c>
      <c r="K8276" s="94" t="n">
        <v>3</v>
      </c>
      <c r="L8276" s="94" t="n">
        <v>190801</v>
      </c>
      <c r="M8276" s="94">
        <f>VLOOKUP($Q8276,매칭테이블!$F:$I,2,0)*K8276</f>
        <v/>
      </c>
      <c r="N8276" s="94">
        <f>M8276-M8276*VLOOKUP($Q8276,매칭테이블!$F:$I,3,0)</f>
        <v/>
      </c>
      <c r="O8276" s="94">
        <f>VLOOKUP($Q8276,매칭테이블!$F:$I,4,0)*K8276</f>
        <v/>
      </c>
      <c r="P8276" s="148">
        <f>M8276/1.1</f>
        <v/>
      </c>
      <c r="Q8276" s="94">
        <f>F8276&amp;E8276&amp;G8276&amp;L8276</f>
        <v/>
      </c>
    </row>
    <row r="8277" customFormat="1" s="94">
      <c r="B8277" s="128" t="n">
        <v>44051</v>
      </c>
      <c r="C8277" s="94">
        <f>TEXT(B8277,"aaa")</f>
        <v/>
      </c>
      <c r="E8277" s="94" t="inlineStr">
        <is>
          <t>여름 한정 진정세트</t>
        </is>
      </c>
      <c r="F8277" s="94" t="inlineStr">
        <is>
          <t>카페24</t>
        </is>
      </c>
      <c r="G8277" s="94" t="inlineStr">
        <is>
          <t>여름 한정 진정세트</t>
        </is>
      </c>
      <c r="H8277" s="7" t="n">
        <v>190801</v>
      </c>
      <c r="I8277" s="7" t="n">
        <v>190801</v>
      </c>
      <c r="K8277" s="94" t="n">
        <v>1</v>
      </c>
      <c r="L8277" s="94" t="n">
        <v>190801</v>
      </c>
      <c r="M8277" s="94">
        <f>VLOOKUP($Q8277,매칭테이블!$F:$I,2,0)*K8277</f>
        <v/>
      </c>
      <c r="N8277" s="94">
        <f>M8277-M8277*VLOOKUP($Q8277,매칭테이블!$F:$I,3,0)</f>
        <v/>
      </c>
      <c r="O8277" s="94">
        <f>VLOOKUP($Q8277,매칭테이블!$F:$I,4,0)*K8277</f>
        <v/>
      </c>
      <c r="P8277" s="148">
        <f>M8277/1.1</f>
        <v/>
      </c>
      <c r="Q8277" s="94">
        <f>F8277&amp;E8277&amp;G8277&amp;L8277</f>
        <v/>
      </c>
    </row>
    <row r="8278" customFormat="1" s="94">
      <c r="B8278" s="128" t="n">
        <v>44051</v>
      </c>
      <c r="C8278" s="94">
        <f>TEXT(B8278,"aaa")</f>
        <v/>
      </c>
      <c r="E8278" s="94" t="inlineStr">
        <is>
          <t>여름 한정 진정세트</t>
        </is>
      </c>
      <c r="F8278" s="94" t="inlineStr">
        <is>
          <t>카페24</t>
        </is>
      </c>
      <c r="G8278" s="94" t="inlineStr">
        <is>
          <t>여름 한정 진정세트 (대용량)</t>
        </is>
      </c>
      <c r="H8278" s="7" t="n">
        <v>190801</v>
      </c>
      <c r="I8278" s="7" t="n">
        <v>190801</v>
      </c>
      <c r="K8278" s="94" t="n">
        <v>4</v>
      </c>
      <c r="L8278" s="94" t="n">
        <v>190801</v>
      </c>
      <c r="M8278" s="94">
        <f>VLOOKUP($Q8278,매칭테이블!$F:$I,2,0)*K8278</f>
        <v/>
      </c>
      <c r="N8278" s="94">
        <f>M8278-M8278*VLOOKUP($Q8278,매칭테이블!$F:$I,3,0)</f>
        <v/>
      </c>
      <c r="O8278" s="94">
        <f>VLOOKUP($Q8278,매칭테이블!$F:$I,4,0)*K8278</f>
        <v/>
      </c>
      <c r="P8278" s="148">
        <f>M8278/1.1</f>
        <v/>
      </c>
      <c r="Q8278" s="94">
        <f>F8278&amp;E8278&amp;G8278&amp;L8278</f>
        <v/>
      </c>
    </row>
    <row r="8279" customFormat="1" s="94">
      <c r="B8279" s="128" t="n">
        <v>44051</v>
      </c>
      <c r="C8279" s="94">
        <f>TEXT(B8279,"aaa")</f>
        <v/>
      </c>
      <c r="E8279" s="94" t="inlineStr">
        <is>
          <t>머드크림마스크</t>
        </is>
      </c>
      <c r="F8279" s="94" t="inlineStr">
        <is>
          <t>카페24</t>
        </is>
      </c>
      <c r="G8279" s="94" t="inlineStr">
        <is>
          <t>머드크림마스크 100ml</t>
        </is>
      </c>
      <c r="H8279" s="7" t="n">
        <v>190801</v>
      </c>
      <c r="I8279" s="7" t="n">
        <v>190801</v>
      </c>
      <c r="K8279" s="94" t="n">
        <v>2</v>
      </c>
      <c r="L8279" s="94" t="n">
        <v>190801</v>
      </c>
      <c r="M8279" s="94">
        <f>VLOOKUP($Q8279,매칭테이블!$F:$I,2,0)*K8279</f>
        <v/>
      </c>
      <c r="N8279" s="94">
        <f>M8279-M8279*VLOOKUP($Q8279,매칭테이블!$F:$I,3,0)</f>
        <v/>
      </c>
      <c r="O8279" s="94">
        <f>VLOOKUP($Q8279,매칭테이블!$F:$I,4,0)*K8279</f>
        <v/>
      </c>
      <c r="P8279" s="148">
        <f>M8279/1.1</f>
        <v/>
      </c>
      <c r="Q8279" s="94">
        <f>F8279&amp;E8279&amp;G8279&amp;L8279</f>
        <v/>
      </c>
    </row>
    <row r="8280" customFormat="1" s="94">
      <c r="B8280" s="128" t="n">
        <v>44051</v>
      </c>
      <c r="C8280" s="94">
        <f>TEXT(B8280,"aaa")</f>
        <v/>
      </c>
      <c r="E8280" s="94" t="inlineStr">
        <is>
          <t>마스크팩</t>
        </is>
      </c>
      <c r="F8280" s="94" t="inlineStr">
        <is>
          <t>카페24</t>
        </is>
      </c>
      <c r="G8280" s="94" t="inlineStr">
        <is>
          <t>마스크팩 1매</t>
        </is>
      </c>
      <c r="H8280" s="7" t="n">
        <v>190801</v>
      </c>
      <c r="I8280" s="7" t="n">
        <v>190801</v>
      </c>
      <c r="K8280" s="94" t="n">
        <v>3</v>
      </c>
      <c r="L8280" s="94" t="n">
        <v>190801</v>
      </c>
      <c r="M8280" s="94">
        <f>VLOOKUP($Q8280,매칭테이블!$F:$I,2,0)*K8280</f>
        <v/>
      </c>
      <c r="N8280" s="94">
        <f>M8280-M8280*VLOOKUP($Q8280,매칭테이블!$F:$I,3,0)</f>
        <v/>
      </c>
      <c r="O8280" s="94">
        <f>VLOOKUP($Q8280,매칭테이블!$F:$I,4,0)*K8280</f>
        <v/>
      </c>
      <c r="P8280" s="148">
        <f>M8280/1.1</f>
        <v/>
      </c>
      <c r="Q8280" s="94">
        <f>F8280&amp;E8280&amp;G8280&amp;L8280</f>
        <v/>
      </c>
    </row>
    <row r="8281" customFormat="1" s="94">
      <c r="B8281" s="128" t="n">
        <v>44051</v>
      </c>
      <c r="C8281" s="94">
        <f>TEXT(B8281,"aaa")</f>
        <v/>
      </c>
      <c r="E8281" s="94" t="inlineStr">
        <is>
          <t>마스크팩</t>
        </is>
      </c>
      <c r="F8281" s="94" t="inlineStr">
        <is>
          <t>카페24</t>
        </is>
      </c>
      <c r="G8281" s="94" t="inlineStr">
        <is>
          <t>마스크팩 10매</t>
        </is>
      </c>
      <c r="H8281" s="7" t="n">
        <v>190801</v>
      </c>
      <c r="I8281" s="7" t="n">
        <v>190801</v>
      </c>
      <c r="K8281" s="94" t="n">
        <v>2</v>
      </c>
      <c r="L8281" s="94" t="n">
        <v>190801</v>
      </c>
      <c r="M8281" s="94">
        <f>VLOOKUP($Q8281,매칭테이블!$F:$I,2,0)*K8281</f>
        <v/>
      </c>
      <c r="N8281" s="94">
        <f>M8281-M8281*VLOOKUP($Q8281,매칭테이블!$F:$I,3,0)</f>
        <v/>
      </c>
      <c r="O8281" s="94">
        <f>VLOOKUP($Q8281,매칭테이블!$F:$I,4,0)*K8281</f>
        <v/>
      </c>
      <c r="P8281" s="148">
        <f>M8281/1.1</f>
        <v/>
      </c>
      <c r="Q8281" s="94">
        <f>F8281&amp;E8281&amp;G8281&amp;L8281</f>
        <v/>
      </c>
    </row>
    <row r="8282" customFormat="1" s="94">
      <c r="B8282" s="128" t="n">
        <v>44051</v>
      </c>
      <c r="C8282" s="94">
        <f>TEXT(B8282,"aaa")</f>
        <v/>
      </c>
      <c r="E8282" s="94" t="inlineStr">
        <is>
          <t>토너</t>
        </is>
      </c>
      <c r="F8282" s="94" t="inlineStr">
        <is>
          <t>카페24</t>
        </is>
      </c>
      <c r="G8282" s="94" t="inlineStr">
        <is>
          <t>250ml</t>
        </is>
      </c>
      <c r="H8282" s="7" t="n">
        <v>190801</v>
      </c>
      <c r="I8282" s="7" t="n">
        <v>190801</v>
      </c>
      <c r="K8282" s="94" t="n">
        <v>57</v>
      </c>
      <c r="L8282" s="94" t="n">
        <v>190801</v>
      </c>
      <c r="M8282" s="94">
        <f>VLOOKUP($Q8282,매칭테이블!$F:$I,2,0)*K8282</f>
        <v/>
      </c>
      <c r="N8282" s="94">
        <f>M8282-M8282*VLOOKUP($Q8282,매칭테이블!$F:$I,3,0)</f>
        <v/>
      </c>
      <c r="O8282" s="94">
        <f>VLOOKUP($Q8282,매칭테이블!$F:$I,4,0)*K8282</f>
        <v/>
      </c>
      <c r="P8282" s="148">
        <f>M8282/1.1</f>
        <v/>
      </c>
      <c r="Q8282" s="94">
        <f>F8282&amp;E8282&amp;G8282&amp;L8282</f>
        <v/>
      </c>
    </row>
    <row r="8283" customFormat="1" s="94">
      <c r="B8283" s="128" t="n">
        <v>44051</v>
      </c>
      <c r="C8283" s="94">
        <f>TEXT(B8283,"aaa")</f>
        <v/>
      </c>
      <c r="E8283" s="94" t="inlineStr">
        <is>
          <t>토너</t>
        </is>
      </c>
      <c r="F8283" s="94" t="inlineStr">
        <is>
          <t>카페24</t>
        </is>
      </c>
      <c r="G8283" s="94" t="inlineStr">
        <is>
          <t>250ml 2set</t>
        </is>
      </c>
      <c r="H8283" s="7" t="n">
        <v>190801</v>
      </c>
      <c r="I8283" s="7" t="n">
        <v>190801</v>
      </c>
      <c r="K8283" s="94" t="n">
        <v>37</v>
      </c>
      <c r="L8283" s="94" t="n">
        <v>190801</v>
      </c>
      <c r="M8283" s="94">
        <f>VLOOKUP($Q8283,매칭테이블!$F:$I,2,0)*K8283</f>
        <v/>
      </c>
      <c r="N8283" s="94">
        <f>M8283-M8283*VLOOKUP($Q8283,매칭테이블!$F:$I,3,0)</f>
        <v/>
      </c>
      <c r="O8283" s="94">
        <f>VLOOKUP($Q8283,매칭테이블!$F:$I,4,0)*K8283</f>
        <v/>
      </c>
      <c r="P8283" s="148">
        <f>M8283/1.1</f>
        <v/>
      </c>
      <c r="Q8283" s="94">
        <f>F8283&amp;E8283&amp;G8283&amp;L8283</f>
        <v/>
      </c>
    </row>
    <row r="8284" customFormat="1" s="94">
      <c r="B8284" s="128" t="n">
        <v>44051</v>
      </c>
      <c r="C8284" s="94">
        <f>TEXT(B8284,"aaa")</f>
        <v/>
      </c>
      <c r="E8284" s="94" t="inlineStr">
        <is>
          <t>토너</t>
        </is>
      </c>
      <c r="F8284" s="94" t="inlineStr">
        <is>
          <t>카페24</t>
        </is>
      </c>
      <c r="G8284" s="94" t="inlineStr">
        <is>
          <t>500ml</t>
        </is>
      </c>
      <c r="H8284" s="7" t="n">
        <v>190801</v>
      </c>
      <c r="I8284" s="7" t="n">
        <v>190801</v>
      </c>
      <c r="K8284" s="94" t="n">
        <v>53</v>
      </c>
      <c r="L8284" s="94" t="n">
        <v>190801</v>
      </c>
      <c r="M8284" s="94">
        <f>VLOOKUP($Q8284,매칭테이블!$F:$I,2,0)*K8284</f>
        <v/>
      </c>
      <c r="N8284" s="94">
        <f>M8284-M8284*VLOOKUP($Q8284,매칭테이블!$F:$I,3,0)</f>
        <v/>
      </c>
      <c r="O8284" s="94">
        <f>VLOOKUP($Q8284,매칭테이블!$F:$I,4,0)*K8284</f>
        <v/>
      </c>
      <c r="P8284" s="148">
        <f>M8284/1.1</f>
        <v/>
      </c>
      <c r="Q8284" s="94">
        <f>F8284&amp;E8284&amp;G8284&amp;L8284</f>
        <v/>
      </c>
    </row>
    <row r="8285" customFormat="1" s="94">
      <c r="B8285" s="128" t="n">
        <v>44052</v>
      </c>
      <c r="C8285" s="94">
        <f>TEXT(B8285,"aaa")</f>
        <v/>
      </c>
      <c r="E8285" s="94" t="inlineStr">
        <is>
          <t>선크림</t>
        </is>
      </c>
      <c r="F8285" s="94" t="inlineStr">
        <is>
          <t>카페24</t>
        </is>
      </c>
      <c r="G8285" s="94" t="inlineStr">
        <is>
          <t>선크림 50ml</t>
        </is>
      </c>
      <c r="H8285" s="7" t="n">
        <v>190801</v>
      </c>
      <c r="I8285" s="7" t="n">
        <v>190801</v>
      </c>
      <c r="K8285" s="94" t="n">
        <v>2</v>
      </c>
      <c r="L8285" s="94" t="n">
        <v>190801</v>
      </c>
      <c r="M8285" s="94">
        <f>VLOOKUP($Q8285,매칭테이블!$F:$I,2,0)*K8285</f>
        <v/>
      </c>
      <c r="N8285" s="94">
        <f>M8285-M8285*VLOOKUP($Q8285,매칭테이블!$F:$I,3,0)</f>
        <v/>
      </c>
      <c r="O8285" s="94">
        <f>VLOOKUP($Q8285,매칭테이블!$F:$I,4,0)*K8285</f>
        <v/>
      </c>
      <c r="P8285" s="148">
        <f>M8285/1.1</f>
        <v/>
      </c>
      <c r="Q8285" s="94">
        <f>F8285&amp;E8285&amp;G8285&amp;L8285</f>
        <v/>
      </c>
    </row>
    <row r="8286" customFormat="1" s="94">
      <c r="B8286" s="128" t="n">
        <v>44052</v>
      </c>
      <c r="C8286" s="94">
        <f>TEXT(B8286,"aaa")</f>
        <v/>
      </c>
      <c r="E8286" s="94" t="inlineStr">
        <is>
          <t>여름 한정 진정세트</t>
        </is>
      </c>
      <c r="F8286" s="94" t="inlineStr">
        <is>
          <t>카페24</t>
        </is>
      </c>
      <c r="G8286" s="94" t="inlineStr">
        <is>
          <t>여름 한정 진정세트</t>
        </is>
      </c>
      <c r="H8286" s="7" t="n">
        <v>190801</v>
      </c>
      <c r="I8286" s="7" t="n">
        <v>190801</v>
      </c>
      <c r="K8286" s="94" t="n">
        <v>2</v>
      </c>
      <c r="L8286" s="94" t="n">
        <v>190801</v>
      </c>
      <c r="M8286" s="94">
        <f>VLOOKUP($Q8286,매칭테이블!$F:$I,2,0)*K8286</f>
        <v/>
      </c>
      <c r="N8286" s="94">
        <f>M8286-M8286*VLOOKUP($Q8286,매칭테이블!$F:$I,3,0)</f>
        <v/>
      </c>
      <c r="O8286" s="94">
        <f>VLOOKUP($Q8286,매칭테이블!$F:$I,4,0)*K8286</f>
        <v/>
      </c>
      <c r="P8286" s="148">
        <f>M8286/1.1</f>
        <v/>
      </c>
      <c r="Q8286" s="94">
        <f>F8286&amp;E8286&amp;G8286&amp;L8286</f>
        <v/>
      </c>
    </row>
    <row r="8287" customFormat="1" s="94">
      <c r="B8287" s="128" t="n">
        <v>44052</v>
      </c>
      <c r="C8287" s="94">
        <f>TEXT(B8287,"aaa")</f>
        <v/>
      </c>
      <c r="E8287" s="94" t="inlineStr">
        <is>
          <t>여름 한정 진정세트</t>
        </is>
      </c>
      <c r="F8287" s="94" t="inlineStr">
        <is>
          <t>카페24</t>
        </is>
      </c>
      <c r="G8287" s="94" t="inlineStr">
        <is>
          <t>여름 한정 진정세트 (대용량)</t>
        </is>
      </c>
      <c r="H8287" s="7" t="n">
        <v>190801</v>
      </c>
      <c r="I8287" s="7" t="n">
        <v>190801</v>
      </c>
      <c r="K8287" s="94" t="n">
        <v>2</v>
      </c>
      <c r="L8287" s="94" t="n">
        <v>190801</v>
      </c>
      <c r="M8287" s="94">
        <f>VLOOKUP($Q8287,매칭테이블!$F:$I,2,0)*K8287</f>
        <v/>
      </c>
      <c r="N8287" s="94">
        <f>M8287-M8287*VLOOKUP($Q8287,매칭테이블!$F:$I,3,0)</f>
        <v/>
      </c>
      <c r="O8287" s="94">
        <f>VLOOKUP($Q8287,매칭테이블!$F:$I,4,0)*K8287</f>
        <v/>
      </c>
      <c r="P8287" s="148">
        <f>M8287/1.1</f>
        <v/>
      </c>
      <c r="Q8287" s="94">
        <f>F8287&amp;E8287&amp;G8287&amp;L8287</f>
        <v/>
      </c>
    </row>
    <row r="8288" customFormat="1" s="94">
      <c r="B8288" s="128" t="n">
        <v>44052</v>
      </c>
      <c r="C8288" s="94">
        <f>TEXT(B8288,"aaa")</f>
        <v/>
      </c>
      <c r="E8288" s="94" t="inlineStr">
        <is>
          <t>머드크림마스크</t>
        </is>
      </c>
      <c r="F8288" s="94" t="inlineStr">
        <is>
          <t>카페24</t>
        </is>
      </c>
      <c r="G8288" s="94" t="inlineStr">
        <is>
          <t>머드크림마스크 100ml</t>
        </is>
      </c>
      <c r="H8288" s="7" t="n">
        <v>190801</v>
      </c>
      <c r="I8288" s="7" t="n">
        <v>190801</v>
      </c>
      <c r="K8288" s="94" t="n">
        <v>1</v>
      </c>
      <c r="L8288" s="94" t="n">
        <v>190801</v>
      </c>
      <c r="M8288" s="94">
        <f>VLOOKUP($Q8288,매칭테이블!$F:$I,2,0)*K8288</f>
        <v/>
      </c>
      <c r="N8288" s="94">
        <f>M8288-M8288*VLOOKUP($Q8288,매칭테이블!$F:$I,3,0)</f>
        <v/>
      </c>
      <c r="O8288" s="94">
        <f>VLOOKUP($Q8288,매칭테이블!$F:$I,4,0)*K8288</f>
        <v/>
      </c>
      <c r="P8288" s="148">
        <f>M8288/1.1</f>
        <v/>
      </c>
      <c r="Q8288" s="94">
        <f>F8288&amp;E8288&amp;G8288&amp;L8288</f>
        <v/>
      </c>
    </row>
    <row r="8289" customFormat="1" s="94">
      <c r="B8289" s="128" t="n">
        <v>44052</v>
      </c>
      <c r="C8289" s="94">
        <f>TEXT(B8289,"aaa")</f>
        <v/>
      </c>
      <c r="E8289" s="94" t="inlineStr">
        <is>
          <t>머드크림마스크</t>
        </is>
      </c>
      <c r="F8289" s="94" t="inlineStr">
        <is>
          <t>카페24</t>
        </is>
      </c>
      <c r="G8289" s="94" t="inlineStr">
        <is>
          <t>머드크림마스크 100ml 2set</t>
        </is>
      </c>
      <c r="H8289" s="7" t="n">
        <v>190801</v>
      </c>
      <c r="I8289" s="7" t="n">
        <v>190801</v>
      </c>
      <c r="K8289" s="94" t="n">
        <v>1</v>
      </c>
      <c r="L8289" s="94" t="n">
        <v>190801</v>
      </c>
      <c r="M8289" s="94">
        <f>VLOOKUP($Q8289,매칭테이블!$F:$I,2,0)*K8289</f>
        <v/>
      </c>
      <c r="N8289" s="94">
        <f>M8289-M8289*VLOOKUP($Q8289,매칭테이블!$F:$I,3,0)</f>
        <v/>
      </c>
      <c r="O8289" s="94">
        <f>VLOOKUP($Q8289,매칭테이블!$F:$I,4,0)*K8289</f>
        <v/>
      </c>
      <c r="P8289" s="148">
        <f>M8289/1.1</f>
        <v/>
      </c>
      <c r="Q8289" s="94">
        <f>F8289&amp;E8289&amp;G8289&amp;L8289</f>
        <v/>
      </c>
    </row>
    <row r="8290" customFormat="1" s="94">
      <c r="B8290" s="128" t="n">
        <v>44052</v>
      </c>
      <c r="C8290" s="94">
        <f>TEXT(B8290,"aaa")</f>
        <v/>
      </c>
      <c r="E8290" s="94" t="inlineStr">
        <is>
          <t>마스크팩</t>
        </is>
      </c>
      <c r="F8290" s="94" t="inlineStr">
        <is>
          <t>카페24</t>
        </is>
      </c>
      <c r="G8290" s="94" t="inlineStr">
        <is>
          <t>마스크팩 10매</t>
        </is>
      </c>
      <c r="H8290" s="7" t="n">
        <v>190801</v>
      </c>
      <c r="I8290" s="7" t="n">
        <v>190801</v>
      </c>
      <c r="K8290" s="94" t="n">
        <v>6</v>
      </c>
      <c r="L8290" s="94" t="n">
        <v>190801</v>
      </c>
      <c r="M8290" s="94">
        <f>VLOOKUP($Q8290,매칭테이블!$F:$I,2,0)*K8290</f>
        <v/>
      </c>
      <c r="N8290" s="94">
        <f>M8290-M8290*VLOOKUP($Q8290,매칭테이블!$F:$I,3,0)</f>
        <v/>
      </c>
      <c r="O8290" s="94">
        <f>VLOOKUP($Q8290,매칭테이블!$F:$I,4,0)*K8290</f>
        <v/>
      </c>
      <c r="P8290" s="148">
        <f>M8290/1.1</f>
        <v/>
      </c>
      <c r="Q8290" s="94">
        <f>F8290&amp;E8290&amp;G8290&amp;L8290</f>
        <v/>
      </c>
    </row>
    <row r="8291" customFormat="1" s="94">
      <c r="B8291" s="128" t="n">
        <v>44052</v>
      </c>
      <c r="C8291" s="94">
        <f>TEXT(B8291,"aaa")</f>
        <v/>
      </c>
      <c r="E8291" s="94" t="inlineStr">
        <is>
          <t>토너</t>
        </is>
      </c>
      <c r="F8291" s="94" t="inlineStr">
        <is>
          <t>카페24</t>
        </is>
      </c>
      <c r="G8291" s="94" t="inlineStr">
        <is>
          <t>250ml</t>
        </is>
      </c>
      <c r="H8291" s="7" t="n">
        <v>190801</v>
      </c>
      <c r="I8291" s="7" t="n">
        <v>190801</v>
      </c>
      <c r="K8291" s="94" t="n">
        <v>61</v>
      </c>
      <c r="L8291" s="94" t="n">
        <v>190801</v>
      </c>
      <c r="M8291" s="94">
        <f>VLOOKUP($Q8291,매칭테이블!$F:$I,2,0)*K8291</f>
        <v/>
      </c>
      <c r="N8291" s="94">
        <f>M8291-M8291*VLOOKUP($Q8291,매칭테이블!$F:$I,3,0)</f>
        <v/>
      </c>
      <c r="O8291" s="94">
        <f>VLOOKUP($Q8291,매칭테이블!$F:$I,4,0)*K8291</f>
        <v/>
      </c>
      <c r="P8291" s="148">
        <f>M8291/1.1</f>
        <v/>
      </c>
      <c r="Q8291" s="94">
        <f>F8291&amp;E8291&amp;G8291&amp;L8291</f>
        <v/>
      </c>
    </row>
    <row r="8292" customFormat="1" s="94">
      <c r="B8292" s="128" t="n">
        <v>44052</v>
      </c>
      <c r="C8292" s="94">
        <f>TEXT(B8292,"aaa")</f>
        <v/>
      </c>
      <c r="E8292" s="94" t="inlineStr">
        <is>
          <t>토너</t>
        </is>
      </c>
      <c r="F8292" s="94" t="inlineStr">
        <is>
          <t>카페24</t>
        </is>
      </c>
      <c r="G8292" s="94" t="inlineStr">
        <is>
          <t>250ml 2set</t>
        </is>
      </c>
      <c r="H8292" s="7" t="n">
        <v>190801</v>
      </c>
      <c r="I8292" s="7" t="n">
        <v>190801</v>
      </c>
      <c r="K8292" s="94" t="n">
        <v>51</v>
      </c>
      <c r="L8292" s="94" t="n">
        <v>190801</v>
      </c>
      <c r="M8292" s="94">
        <f>VLOOKUP($Q8292,매칭테이블!$F:$I,2,0)*K8292</f>
        <v/>
      </c>
      <c r="N8292" s="94">
        <f>M8292-M8292*VLOOKUP($Q8292,매칭테이블!$F:$I,3,0)</f>
        <v/>
      </c>
      <c r="O8292" s="94">
        <f>VLOOKUP($Q8292,매칭테이블!$F:$I,4,0)*K8292</f>
        <v/>
      </c>
      <c r="P8292" s="148">
        <f>M8292/1.1</f>
        <v/>
      </c>
      <c r="Q8292" s="94">
        <f>F8292&amp;E8292&amp;G8292&amp;L8292</f>
        <v/>
      </c>
    </row>
    <row r="8293" customFormat="1" s="94">
      <c r="B8293" s="128" t="n">
        <v>44052</v>
      </c>
      <c r="C8293" s="94">
        <f>TEXT(B8293,"aaa")</f>
        <v/>
      </c>
      <c r="E8293" s="94" t="inlineStr">
        <is>
          <t>토너</t>
        </is>
      </c>
      <c r="F8293" s="94" t="inlineStr">
        <is>
          <t>카페24</t>
        </is>
      </c>
      <c r="G8293" s="94" t="inlineStr">
        <is>
          <t>500ml</t>
        </is>
      </c>
      <c r="H8293" s="7" t="n">
        <v>190801</v>
      </c>
      <c r="I8293" s="7" t="n">
        <v>190801</v>
      </c>
      <c r="K8293" s="94" t="n">
        <v>70</v>
      </c>
      <c r="L8293" s="94" t="n">
        <v>190801</v>
      </c>
      <c r="M8293" s="94">
        <f>VLOOKUP($Q8293,매칭테이블!$F:$I,2,0)*K8293</f>
        <v/>
      </c>
      <c r="N8293" s="94">
        <f>M8293-M8293*VLOOKUP($Q8293,매칭테이블!$F:$I,3,0)</f>
        <v/>
      </c>
      <c r="O8293" s="94">
        <f>VLOOKUP($Q8293,매칭테이블!$F:$I,4,0)*K8293</f>
        <v/>
      </c>
      <c r="P8293" s="148">
        <f>M8293/1.1</f>
        <v/>
      </c>
      <c r="Q8293" s="94">
        <f>F8293&amp;E8293&amp;G8293&amp;L8293</f>
        <v/>
      </c>
    </row>
    <row r="8294" customFormat="1" s="94">
      <c r="B8294" s="128" t="n">
        <v>44052</v>
      </c>
      <c r="C8294" s="94">
        <f>TEXT(B8294,"aaa")</f>
        <v/>
      </c>
      <c r="E8294" s="94" t="inlineStr">
        <is>
          <t>수딩크림</t>
        </is>
      </c>
      <c r="F8294" s="94" t="inlineStr">
        <is>
          <t>카페24</t>
        </is>
      </c>
      <c r="G8294" s="94" t="inlineStr">
        <is>
          <t>수딩크림 100ml</t>
        </is>
      </c>
      <c r="H8294" s="7" t="n">
        <v>190801</v>
      </c>
      <c r="I8294" s="7" t="n">
        <v>190801</v>
      </c>
      <c r="K8294" s="94" t="n">
        <v>6</v>
      </c>
      <c r="L8294" s="94" t="n">
        <v>190801</v>
      </c>
      <c r="M8294" s="94">
        <f>VLOOKUP($Q8294,매칭테이블!$F:$I,2,0)*K8294</f>
        <v/>
      </c>
      <c r="N8294" s="94">
        <f>M8294-M8294*VLOOKUP($Q8294,매칭테이블!$F:$I,3,0)</f>
        <v/>
      </c>
      <c r="O8294" s="94">
        <f>VLOOKUP($Q8294,매칭테이블!$F:$I,4,0)*K8294</f>
        <v/>
      </c>
      <c r="P8294" s="148">
        <f>M8294/1.1</f>
        <v/>
      </c>
      <c r="Q8294" s="94">
        <f>F8294&amp;E8294&amp;G8294&amp;L8294</f>
        <v/>
      </c>
    </row>
    <row r="8295" customFormat="1" s="94">
      <c r="B8295" s="128" t="n">
        <v>44052</v>
      </c>
      <c r="C8295" s="94">
        <f>TEXT(B8295,"aaa")</f>
        <v/>
      </c>
      <c r="E8295" s="94" t="inlineStr">
        <is>
          <t>선크림</t>
        </is>
      </c>
      <c r="F8295" s="94" t="inlineStr">
        <is>
          <t>화해</t>
        </is>
      </c>
      <c r="G8295" s="94" t="inlineStr">
        <is>
          <t>선크림 50ml</t>
        </is>
      </c>
      <c r="H8295" s="7" t="n">
        <v>190801</v>
      </c>
      <c r="I8295" s="7" t="n">
        <v>190801</v>
      </c>
      <c r="K8295" s="94" t="n">
        <v>1</v>
      </c>
      <c r="L8295" s="94" t="n">
        <v>190801</v>
      </c>
      <c r="M8295" s="94">
        <f>VLOOKUP($Q8295,매칭테이블!$F:$I,2,0)*K8295</f>
        <v/>
      </c>
      <c r="N8295" s="94">
        <f>M8295-M8295*VLOOKUP($Q8295,매칭테이블!$F:$I,3,0)</f>
        <v/>
      </c>
      <c r="O8295" s="94">
        <f>VLOOKUP($Q8295,매칭테이블!$F:$I,4,0)*K8295</f>
        <v/>
      </c>
      <c r="P8295" s="148">
        <f>M8295/1.1</f>
        <v/>
      </c>
      <c r="Q8295" s="94">
        <f>F8295&amp;E8295&amp;G8295&amp;L8295</f>
        <v/>
      </c>
    </row>
    <row r="8296" customFormat="1" s="94">
      <c r="B8296" s="128" t="n">
        <v>44052</v>
      </c>
      <c r="C8296" s="94">
        <f>TEXT(B8296,"aaa")</f>
        <v/>
      </c>
      <c r="E8296" s="94" t="inlineStr">
        <is>
          <t>토너</t>
        </is>
      </c>
      <c r="F8296" s="94" t="inlineStr">
        <is>
          <t>랄라블라</t>
        </is>
      </c>
      <c r="G8296" s="94" t="inlineStr">
        <is>
          <t>250ml</t>
        </is>
      </c>
      <c r="H8296" s="7" t="n">
        <v>190801</v>
      </c>
      <c r="I8296" s="7" t="n">
        <v>190801</v>
      </c>
      <c r="K8296" s="94" t="n">
        <v>198</v>
      </c>
      <c r="L8296" s="94" t="n">
        <v>190801</v>
      </c>
      <c r="M8296" s="94">
        <f>VLOOKUP($Q8296,매칭테이블!$F:$I,2,0)*K8296</f>
        <v/>
      </c>
      <c r="N8296" s="94">
        <f>M8296-M8296*VLOOKUP($Q8296,매칭테이블!$F:$I,3,0)</f>
        <v/>
      </c>
      <c r="O8296" s="94">
        <f>VLOOKUP($Q8296,매칭테이블!$F:$I,4,0)*K8296</f>
        <v/>
      </c>
      <c r="P8296" s="148">
        <f>M8296/1.1</f>
        <v/>
      </c>
      <c r="Q8296" s="94">
        <f>F8296&amp;E8296&amp;G8296&amp;L8296</f>
        <v/>
      </c>
    </row>
    <row r="8297" customFormat="1" s="94">
      <c r="B8297" s="128" t="n">
        <v>44052</v>
      </c>
      <c r="C8297" s="94">
        <f>TEXT(B8297,"aaa")</f>
        <v/>
      </c>
      <c r="E8297" s="94" t="inlineStr">
        <is>
          <t>토너</t>
        </is>
      </c>
      <c r="F8297" s="94" t="inlineStr">
        <is>
          <t>랄라블라</t>
        </is>
      </c>
      <c r="G8297" s="94" t="inlineStr">
        <is>
          <t>500ml</t>
        </is>
      </c>
      <c r="H8297" s="7" t="n">
        <v>190801</v>
      </c>
      <c r="I8297" s="7" t="n">
        <v>190801</v>
      </c>
      <c r="K8297" s="94" t="n">
        <v>387</v>
      </c>
      <c r="L8297" s="94" t="n">
        <v>190801</v>
      </c>
      <c r="M8297" s="94">
        <f>VLOOKUP($Q8297,매칭테이블!$F:$I,2,0)*K8297</f>
        <v/>
      </c>
      <c r="N8297" s="94">
        <f>M8297-M8297*VLOOKUP($Q8297,매칭테이블!$F:$I,3,0)</f>
        <v/>
      </c>
      <c r="O8297" s="94">
        <f>VLOOKUP($Q8297,매칭테이블!$F:$I,4,0)*K8297</f>
        <v/>
      </c>
      <c r="P8297" s="148">
        <f>M8297/1.1</f>
        <v/>
      </c>
      <c r="Q8297" s="94">
        <f>F8297&amp;E8297&amp;G8297&amp;L8297</f>
        <v/>
      </c>
    </row>
    <row r="8298" customFormat="1" s="94">
      <c r="B8298" s="128" t="n">
        <v>44052</v>
      </c>
      <c r="C8298" s="94">
        <f>TEXT(B8298,"aaa")</f>
        <v/>
      </c>
      <c r="E8298" s="94" t="inlineStr">
        <is>
          <t>마스크팩</t>
        </is>
      </c>
      <c r="F8298" s="94" t="inlineStr">
        <is>
          <t>랄라블라</t>
        </is>
      </c>
      <c r="G8298" s="94" t="inlineStr">
        <is>
          <t>마스크팩 1매</t>
        </is>
      </c>
      <c r="H8298" s="7" t="n">
        <v>190801</v>
      </c>
      <c r="I8298" s="7" t="n">
        <v>190801</v>
      </c>
      <c r="K8298" s="94" t="n">
        <v>739</v>
      </c>
      <c r="L8298" s="94" t="n">
        <v>190801</v>
      </c>
      <c r="M8298" s="94">
        <f>VLOOKUP($Q8298,매칭테이블!$F:$I,2,0)*K8298</f>
        <v/>
      </c>
      <c r="N8298" s="94">
        <f>M8298-M8298*VLOOKUP($Q8298,매칭테이블!$F:$I,3,0)</f>
        <v/>
      </c>
      <c r="O8298" s="94">
        <f>VLOOKUP($Q8298,매칭테이블!$F:$I,4,0)*K8298</f>
        <v/>
      </c>
      <c r="P8298" s="148">
        <f>M8298/1.1</f>
        <v/>
      </c>
      <c r="Q8298" s="94">
        <f>F8298&amp;E8298&amp;G8298&amp;L8298</f>
        <v/>
      </c>
    </row>
    <row r="8299" customFormat="1" s="94">
      <c r="B8299" s="128" t="n">
        <v>44052</v>
      </c>
      <c r="C8299" s="94">
        <f>TEXT(B8299,"aaa")</f>
        <v/>
      </c>
      <c r="E8299" s="94" t="inlineStr">
        <is>
          <t>수딩크림 증정기획</t>
        </is>
      </c>
      <c r="F8299" s="94" t="inlineStr">
        <is>
          <t>랄라블라</t>
        </is>
      </c>
      <c r="G8299" s="94" t="inlineStr">
        <is>
          <t>수딩크림 증정기획</t>
        </is>
      </c>
      <c r="H8299" s="7" t="n">
        <v>190801</v>
      </c>
      <c r="I8299" s="7" t="n">
        <v>190801</v>
      </c>
      <c r="K8299" s="94" t="n">
        <v>59</v>
      </c>
      <c r="L8299" s="94" t="n">
        <v>190801</v>
      </c>
      <c r="M8299" s="94">
        <f>VLOOKUP($Q8299,매칭테이블!$F:$I,2,0)*K8299</f>
        <v/>
      </c>
      <c r="N8299" s="94">
        <f>M8299-M8299*VLOOKUP($Q8299,매칭테이블!$F:$I,3,0)</f>
        <v/>
      </c>
      <c r="O8299" s="94">
        <f>VLOOKUP($Q8299,매칭테이블!$F:$I,4,0)*K8299</f>
        <v/>
      </c>
      <c r="P8299" s="148">
        <f>M8299/1.1</f>
        <v/>
      </c>
      <c r="Q8299" s="94">
        <f>F8299&amp;E8299&amp;G8299&amp;L8299</f>
        <v/>
      </c>
    </row>
    <row r="8300" customFormat="1" s="94">
      <c r="B8300" s="128" t="n">
        <v>44052</v>
      </c>
      <c r="C8300" s="94">
        <f>TEXT(B8300,"aaa")</f>
        <v/>
      </c>
      <c r="E8300" s="94" t="inlineStr">
        <is>
          <t>수딩크림</t>
        </is>
      </c>
      <c r="F8300" s="94" t="inlineStr">
        <is>
          <t>랄라블라</t>
        </is>
      </c>
      <c r="G8300" s="94" t="inlineStr">
        <is>
          <t>수딩크림 100ml</t>
        </is>
      </c>
      <c r="H8300" s="7" t="n">
        <v>190801</v>
      </c>
      <c r="I8300" s="7" t="n">
        <v>190801</v>
      </c>
      <c r="K8300" s="94" t="n">
        <v>25</v>
      </c>
      <c r="L8300" s="94" t="n">
        <v>190801</v>
      </c>
      <c r="M8300" s="94">
        <f>VLOOKUP($Q8300,매칭테이블!$F:$I,2,0)*K8300</f>
        <v/>
      </c>
      <c r="N8300" s="94">
        <f>M8300-M8300*VLOOKUP($Q8300,매칭테이블!$F:$I,3,0)</f>
        <v/>
      </c>
      <c r="O8300" s="94">
        <f>VLOOKUP($Q8300,매칭테이블!$F:$I,4,0)*K8300</f>
        <v/>
      </c>
      <c r="P8300" s="148">
        <f>M8300/1.1</f>
        <v/>
      </c>
      <c r="Q8300" s="94">
        <f>F8300&amp;E8300&amp;G8300&amp;L8300</f>
        <v/>
      </c>
    </row>
    <row r="8301" customFormat="1" s="94">
      <c r="B8301" s="128" t="n">
        <v>44052</v>
      </c>
      <c r="C8301" s="94">
        <f>TEXT(B8301,"aaa")</f>
        <v/>
      </c>
      <c r="E8301" s="94" t="inlineStr">
        <is>
          <t>앰플 기획세트</t>
        </is>
      </c>
      <c r="F8301" s="94" t="inlineStr">
        <is>
          <t>랄라블라</t>
        </is>
      </c>
      <c r="G8301" s="94" t="inlineStr">
        <is>
          <t>앰플 기획세트</t>
        </is>
      </c>
      <c r="H8301" s="7" t="n">
        <v>190801</v>
      </c>
      <c r="I8301" s="7" t="n">
        <v>190801</v>
      </c>
      <c r="K8301" s="94" t="n">
        <v>89</v>
      </c>
      <c r="L8301" s="94" t="n">
        <v>190801</v>
      </c>
      <c r="M8301" s="94">
        <f>VLOOKUP($Q8301,매칭테이블!$F:$I,2,0)*K8301</f>
        <v/>
      </c>
      <c r="N8301" s="94">
        <f>M8301-M8301*VLOOKUP($Q8301,매칭테이블!$F:$I,3,0)</f>
        <v/>
      </c>
      <c r="O8301" s="94">
        <f>VLOOKUP($Q8301,매칭테이블!$F:$I,4,0)*K8301</f>
        <v/>
      </c>
      <c r="P8301" s="148">
        <f>M8301/1.1</f>
        <v/>
      </c>
      <c r="Q8301" s="94">
        <f>F8301&amp;E8301&amp;G8301&amp;L8301</f>
        <v/>
      </c>
    </row>
    <row r="8302" customFormat="1" s="94">
      <c r="B8302" s="128" t="n">
        <v>44052</v>
      </c>
      <c r="C8302" s="94">
        <f>TEXT(B8302,"aaa")</f>
        <v/>
      </c>
      <c r="E8302" s="94" t="inlineStr">
        <is>
          <t>클렌징폼 기획세트</t>
        </is>
      </c>
      <c r="F8302" s="94" t="inlineStr">
        <is>
          <t>랄라블라</t>
        </is>
      </c>
      <c r="G8302" s="94" t="inlineStr">
        <is>
          <t>클렌징폼 기획세트</t>
        </is>
      </c>
      <c r="H8302" s="7" t="n">
        <v>190801</v>
      </c>
      <c r="I8302" s="7" t="n">
        <v>190801</v>
      </c>
      <c r="K8302" s="94" t="n">
        <v>48</v>
      </c>
      <c r="L8302" s="94" t="n">
        <v>190801</v>
      </c>
      <c r="M8302" s="94">
        <f>VLOOKUP($Q8302,매칭테이블!$F:$I,2,0)*K8302</f>
        <v/>
      </c>
      <c r="N8302" s="94">
        <f>M8302-M8302*VLOOKUP($Q8302,매칭테이블!$F:$I,3,0)</f>
        <v/>
      </c>
      <c r="O8302" s="94">
        <f>VLOOKUP($Q8302,매칭테이블!$F:$I,4,0)*K8302</f>
        <v/>
      </c>
      <c r="P8302" s="148">
        <f>M8302/1.1</f>
        <v/>
      </c>
      <c r="Q8302" s="94">
        <f>F8302&amp;E8302&amp;G8302&amp;L8302</f>
        <v/>
      </c>
    </row>
    <row r="8303" customFormat="1" s="94">
      <c r="B8303" s="128" t="n">
        <v>44052</v>
      </c>
      <c r="C8303" s="94">
        <f>TEXT(B8303,"aaa")</f>
        <v/>
      </c>
      <c r="E8303" s="94" t="inlineStr">
        <is>
          <t>클렌징폼</t>
        </is>
      </c>
      <c r="F8303" s="94" t="inlineStr">
        <is>
          <t>랄라블라</t>
        </is>
      </c>
      <c r="G8303" s="94" t="inlineStr">
        <is>
          <t>클렌징폼 120ml</t>
        </is>
      </c>
      <c r="H8303" s="7" t="n">
        <v>190801</v>
      </c>
      <c r="I8303" s="7" t="n">
        <v>190801</v>
      </c>
      <c r="K8303" s="94" t="n">
        <v>36</v>
      </c>
      <c r="L8303" s="94" t="n">
        <v>190801</v>
      </c>
      <c r="M8303" s="94">
        <f>VLOOKUP($Q8303,매칭테이블!$F:$I,2,0)*K8303</f>
        <v/>
      </c>
      <c r="N8303" s="94">
        <f>M8303-M8303*VLOOKUP($Q8303,매칭테이블!$F:$I,3,0)</f>
        <v/>
      </c>
      <c r="O8303" s="94">
        <f>VLOOKUP($Q8303,매칭테이블!$F:$I,4,0)*K8303</f>
        <v/>
      </c>
      <c r="P8303" s="148">
        <f>M8303/1.1</f>
        <v/>
      </c>
      <c r="Q8303" s="94">
        <f>F8303&amp;E8303&amp;G8303&amp;L8303</f>
        <v/>
      </c>
    </row>
    <row r="8304" customFormat="1" s="94">
      <c r="B8304" s="128" t="n">
        <v>44052</v>
      </c>
      <c r="C8304" s="94">
        <f>TEXT(B8304,"aaa")</f>
        <v/>
      </c>
      <c r="E8304" s="94" t="inlineStr">
        <is>
          <t>토너 증정기획</t>
        </is>
      </c>
      <c r="F8304" s="94" t="inlineStr">
        <is>
          <t>랄라블라</t>
        </is>
      </c>
      <c r="G8304" s="94" t="inlineStr">
        <is>
          <t>토너 증정기획</t>
        </is>
      </c>
      <c r="H8304" s="7" t="n">
        <v>190801</v>
      </c>
      <c r="I8304" s="7" t="n">
        <v>190801</v>
      </c>
      <c r="K8304" s="94" t="n">
        <v>3</v>
      </c>
      <c r="L8304" s="94" t="n">
        <v>190801</v>
      </c>
      <c r="M8304" s="94">
        <f>VLOOKUP($Q8304,매칭테이블!$F:$I,2,0)*K8304</f>
        <v/>
      </c>
      <c r="N8304" s="94">
        <f>M8304-M8304*VLOOKUP($Q8304,매칭테이블!$F:$I,3,0)</f>
        <v/>
      </c>
      <c r="O8304" s="94">
        <f>VLOOKUP($Q8304,매칭테이블!$F:$I,4,0)*K8304</f>
        <v/>
      </c>
      <c r="P8304" s="148">
        <f>M8304/1.1</f>
        <v/>
      </c>
      <c r="Q8304" s="94">
        <f>F8304&amp;E8304&amp;G8304&amp;L8304</f>
        <v/>
      </c>
    </row>
    <row r="8305" customFormat="1" s="94">
      <c r="B8305" s="128" t="n">
        <v>44052</v>
      </c>
      <c r="C8305" s="94">
        <f>TEXT(B8305,"aaa")</f>
        <v/>
      </c>
      <c r="E8305" s="94" t="inlineStr">
        <is>
          <t>선크림</t>
        </is>
      </c>
      <c r="F8305" s="94" t="inlineStr">
        <is>
          <t>랄라블라</t>
        </is>
      </c>
      <c r="G8305" s="94" t="inlineStr">
        <is>
          <t>선크림 50ml</t>
        </is>
      </c>
      <c r="H8305" s="7" t="n">
        <v>190801</v>
      </c>
      <c r="I8305" s="7" t="n">
        <v>190801</v>
      </c>
      <c r="K8305" s="94" t="n">
        <v>24</v>
      </c>
      <c r="L8305" s="94" t="n">
        <v>190801</v>
      </c>
      <c r="M8305" s="94">
        <f>VLOOKUP($Q8305,매칭테이블!$F:$I,2,0)*K8305</f>
        <v/>
      </c>
      <c r="N8305" s="94">
        <f>M8305-M8305*VLOOKUP($Q8305,매칭테이블!$F:$I,3,0)</f>
        <v/>
      </c>
      <c r="O8305" s="94">
        <f>VLOOKUP($Q8305,매칭테이블!$F:$I,4,0)*K8305</f>
        <v/>
      </c>
      <c r="P8305" s="148">
        <f>M8305/1.1</f>
        <v/>
      </c>
      <c r="Q8305" s="94">
        <f>F8305&amp;E8305&amp;G8305&amp;L8305</f>
        <v/>
      </c>
    </row>
    <row r="8306" customFormat="1" s="94">
      <c r="B8306" s="128" t="n">
        <v>44052</v>
      </c>
      <c r="C8306" s="94">
        <f>TEXT(B8306,"aaa")</f>
        <v/>
      </c>
      <c r="E8306" s="94" t="inlineStr">
        <is>
          <t>대용량 기획세트</t>
        </is>
      </c>
      <c r="F8306" s="94" t="inlineStr">
        <is>
          <t>랄라블라</t>
        </is>
      </c>
      <c r="G8306" s="94" t="inlineStr">
        <is>
          <t>대용량 기획세트</t>
        </is>
      </c>
      <c r="H8306" s="7" t="n">
        <v>190801</v>
      </c>
      <c r="I8306" s="7" t="n">
        <v>190801</v>
      </c>
      <c r="K8306" s="94" t="n">
        <v>117</v>
      </c>
      <c r="L8306" s="94" t="n">
        <v>190801</v>
      </c>
      <c r="M8306" s="94">
        <f>VLOOKUP($Q8306,매칭테이블!$F:$I,2,0)*K8306</f>
        <v/>
      </c>
      <c r="N8306" s="94">
        <f>M8306-M8306*VLOOKUP($Q8306,매칭테이블!$F:$I,3,0)</f>
        <v/>
      </c>
      <c r="O8306" s="94">
        <f>VLOOKUP($Q8306,매칭테이블!$F:$I,4,0)*K8306</f>
        <v/>
      </c>
      <c r="P8306" s="148">
        <f>M8306/1.1</f>
        <v/>
      </c>
      <c r="Q8306" s="94">
        <f>F8306&amp;E8306&amp;G8306&amp;L8306</f>
        <v/>
      </c>
    </row>
    <row r="8307" customFormat="1" s="94">
      <c r="B8307" s="128" t="n">
        <v>44052</v>
      </c>
      <c r="C8307" s="94">
        <f>TEXT(B8307,"aaa")</f>
        <v/>
      </c>
      <c r="E8307" s="94" t="inlineStr">
        <is>
          <t>마스크팩</t>
        </is>
      </c>
      <c r="F8307" s="94" t="inlineStr">
        <is>
          <t>랄라블라</t>
        </is>
      </c>
      <c r="G8307" s="94" t="inlineStr">
        <is>
          <t>마스크 5+1 기획세트</t>
        </is>
      </c>
      <c r="H8307" s="7" t="n">
        <v>190801</v>
      </c>
      <c r="I8307" s="7" t="n">
        <v>190801</v>
      </c>
      <c r="K8307" s="94" t="n">
        <v>421</v>
      </c>
      <c r="L8307" s="94" t="n">
        <v>190801</v>
      </c>
      <c r="M8307" s="94">
        <f>VLOOKUP($Q8307,매칭테이블!$F:$I,2,0)*K8307</f>
        <v/>
      </c>
      <c r="N8307" s="94">
        <f>M8307-M8307*VLOOKUP($Q8307,매칭테이블!$F:$I,3,0)</f>
        <v/>
      </c>
      <c r="O8307" s="94">
        <f>VLOOKUP($Q8307,매칭테이블!$F:$I,4,0)*K8307</f>
        <v/>
      </c>
      <c r="P8307" s="148">
        <f>M8307/1.1</f>
        <v/>
      </c>
      <c r="Q8307" s="94">
        <f>F8307&amp;E8307&amp;G8307&amp;L8307</f>
        <v/>
      </c>
    </row>
    <row r="8308" customFormat="1" s="94">
      <c r="B8308" s="128" t="n">
        <v>44053</v>
      </c>
      <c r="C8308" s="94">
        <f>TEXT(B8308,"aaa")</f>
        <v/>
      </c>
      <c r="E8308" s="94" t="inlineStr">
        <is>
          <t>토너</t>
        </is>
      </c>
      <c r="F8308" s="94" t="inlineStr">
        <is>
          <t>스타일쉐어</t>
        </is>
      </c>
      <c r="G8308" s="94" t="inlineStr">
        <is>
          <t>250ml</t>
        </is>
      </c>
      <c r="H8308" s="7" t="n">
        <v>190801</v>
      </c>
      <c r="I8308" s="7" t="n">
        <v>190801</v>
      </c>
      <c r="K8308" s="94" t="n">
        <v>3</v>
      </c>
      <c r="L8308" s="94" t="n">
        <v>190801</v>
      </c>
      <c r="M8308" s="94">
        <f>VLOOKUP($Q8308,매칭테이블!$F:$I,2,0)*K8308</f>
        <v/>
      </c>
      <c r="N8308" s="94">
        <f>M8308-M8308*VLOOKUP($Q8308,매칭테이블!$F:$I,3,0)</f>
        <v/>
      </c>
      <c r="O8308" s="94">
        <f>VLOOKUP($Q8308,매칭테이블!$F:$I,4,0)*K8308</f>
        <v/>
      </c>
      <c r="P8308" s="148">
        <f>M8308/1.1</f>
        <v/>
      </c>
      <c r="Q8308" s="94">
        <f>F8308&amp;E8308&amp;G8308&amp;L8308</f>
        <v/>
      </c>
    </row>
    <row r="8309" customFormat="1" s="94">
      <c r="B8309" s="128" t="n">
        <v>44053</v>
      </c>
      <c r="C8309" s="94">
        <f>TEXT(B8309,"aaa")</f>
        <v/>
      </c>
      <c r="E8309" s="94" t="inlineStr">
        <is>
          <t>선크림</t>
        </is>
      </c>
      <c r="F8309" s="94" t="inlineStr">
        <is>
          <t>카페24</t>
        </is>
      </c>
      <c r="G8309" s="94" t="inlineStr">
        <is>
          <t>선크림 50ml</t>
        </is>
      </c>
      <c r="H8309" s="7" t="n">
        <v>190801</v>
      </c>
      <c r="I8309" s="7" t="n">
        <v>190801</v>
      </c>
      <c r="K8309" s="94" t="n">
        <v>3</v>
      </c>
      <c r="L8309" s="94" t="n">
        <v>190801</v>
      </c>
      <c r="M8309" s="94">
        <f>VLOOKUP($Q8309,매칭테이블!$F:$I,2,0)*K8309</f>
        <v/>
      </c>
      <c r="N8309" s="94">
        <f>M8309-M8309*VLOOKUP($Q8309,매칭테이블!$F:$I,3,0)</f>
        <v/>
      </c>
      <c r="O8309" s="94">
        <f>VLOOKUP($Q8309,매칭테이블!$F:$I,4,0)*K8309</f>
        <v/>
      </c>
      <c r="P8309" s="148">
        <f>M8309/1.1</f>
        <v/>
      </c>
      <c r="Q8309" s="94">
        <f>F8309&amp;E8309&amp;G8309&amp;L8309</f>
        <v/>
      </c>
    </row>
    <row r="8310" customFormat="1" s="94">
      <c r="B8310" s="128" t="n">
        <v>44053</v>
      </c>
      <c r="C8310" s="94">
        <f>TEXT(B8310,"aaa")</f>
        <v/>
      </c>
      <c r="E8310" s="94" t="inlineStr">
        <is>
          <t>선크림</t>
        </is>
      </c>
      <c r="F8310" s="94" t="inlineStr">
        <is>
          <t>카페24</t>
        </is>
      </c>
      <c r="G8310" s="94" t="inlineStr">
        <is>
          <t>선크림 50ml  2set</t>
        </is>
      </c>
      <c r="H8310" s="7" t="n">
        <v>190801</v>
      </c>
      <c r="I8310" s="7" t="n">
        <v>190801</v>
      </c>
      <c r="K8310" s="94" t="n">
        <v>1</v>
      </c>
      <c r="L8310" s="94" t="n">
        <v>190801</v>
      </c>
      <c r="M8310" s="94">
        <f>VLOOKUP($Q8310,매칭테이블!$F:$I,2,0)*K8310</f>
        <v/>
      </c>
      <c r="N8310" s="94">
        <f>M8310-M8310*VLOOKUP($Q8310,매칭테이블!$F:$I,3,0)</f>
        <v/>
      </c>
      <c r="O8310" s="94">
        <f>VLOOKUP($Q8310,매칭테이블!$F:$I,4,0)*K8310</f>
        <v/>
      </c>
      <c r="P8310" s="148">
        <f>M8310/1.1</f>
        <v/>
      </c>
      <c r="Q8310" s="94">
        <f>F8310&amp;E8310&amp;G8310&amp;L8310</f>
        <v/>
      </c>
    </row>
    <row r="8311" customFormat="1" s="94">
      <c r="B8311" s="128" t="n">
        <v>44053</v>
      </c>
      <c r="C8311" s="94">
        <f>TEXT(B8311,"aaa")</f>
        <v/>
      </c>
      <c r="E8311" s="94" t="inlineStr">
        <is>
          <t>여름 한정 진정세트</t>
        </is>
      </c>
      <c r="F8311" s="94" t="inlineStr">
        <is>
          <t>카페24</t>
        </is>
      </c>
      <c r="G8311" s="94" t="inlineStr">
        <is>
          <t>여름 한정 진정세트</t>
        </is>
      </c>
      <c r="H8311" s="7" t="n">
        <v>190801</v>
      </c>
      <c r="I8311" s="7" t="n">
        <v>190801</v>
      </c>
      <c r="K8311" s="94" t="n">
        <v>1</v>
      </c>
      <c r="L8311" s="94" t="n">
        <v>190801</v>
      </c>
      <c r="M8311" s="94">
        <f>VLOOKUP($Q8311,매칭테이블!$F:$I,2,0)*K8311</f>
        <v/>
      </c>
      <c r="N8311" s="94">
        <f>M8311-M8311*VLOOKUP($Q8311,매칭테이블!$F:$I,3,0)</f>
        <v/>
      </c>
      <c r="O8311" s="94">
        <f>VLOOKUP($Q8311,매칭테이블!$F:$I,4,0)*K8311</f>
        <v/>
      </c>
      <c r="P8311" s="148">
        <f>M8311/1.1</f>
        <v/>
      </c>
      <c r="Q8311" s="94">
        <f>F8311&amp;E8311&amp;G8311&amp;L8311</f>
        <v/>
      </c>
    </row>
    <row r="8312" customFormat="1" s="94">
      <c r="B8312" s="128" t="n">
        <v>44053</v>
      </c>
      <c r="C8312" s="94">
        <f>TEXT(B8312,"aaa")</f>
        <v/>
      </c>
      <c r="E8312" s="94" t="inlineStr">
        <is>
          <t>여름 한정 진정세트</t>
        </is>
      </c>
      <c r="F8312" s="94" t="inlineStr">
        <is>
          <t>카페24</t>
        </is>
      </c>
      <c r="G8312" s="94" t="inlineStr">
        <is>
          <t>여름 한정 진정세트 (대용량)</t>
        </is>
      </c>
      <c r="H8312" s="7" t="n">
        <v>190801</v>
      </c>
      <c r="I8312" s="7" t="n">
        <v>190801</v>
      </c>
      <c r="K8312" s="94" t="n">
        <v>3</v>
      </c>
      <c r="L8312" s="94" t="n">
        <v>190801</v>
      </c>
      <c r="M8312" s="94">
        <f>VLOOKUP($Q8312,매칭테이블!$F:$I,2,0)*K8312</f>
        <v/>
      </c>
      <c r="N8312" s="94">
        <f>M8312-M8312*VLOOKUP($Q8312,매칭테이블!$F:$I,3,0)</f>
        <v/>
      </c>
      <c r="O8312" s="94">
        <f>VLOOKUP($Q8312,매칭테이블!$F:$I,4,0)*K8312</f>
        <v/>
      </c>
      <c r="P8312" s="148">
        <f>M8312/1.1</f>
        <v/>
      </c>
      <c r="Q8312" s="94">
        <f>F8312&amp;E8312&amp;G8312&amp;L8312</f>
        <v/>
      </c>
    </row>
    <row r="8313" customFormat="1" s="94">
      <c r="B8313" s="128" t="n">
        <v>44053</v>
      </c>
      <c r="C8313" s="94">
        <f>TEXT(B8313,"aaa")</f>
        <v/>
      </c>
      <c r="E8313" s="94" t="inlineStr">
        <is>
          <t>어성초진정패키지</t>
        </is>
      </c>
      <c r="F8313" s="94" t="inlineStr">
        <is>
          <t>카페24</t>
        </is>
      </c>
      <c r="G8313" s="94" t="inlineStr">
        <is>
          <t>어성초 진정패키지세트</t>
        </is>
      </c>
      <c r="H8313" s="7" t="n">
        <v>190801</v>
      </c>
      <c r="I8313" s="7" t="n">
        <v>190801</v>
      </c>
      <c r="K8313" s="94" t="n">
        <v>1</v>
      </c>
      <c r="L8313" s="94" t="n">
        <v>190801</v>
      </c>
      <c r="M8313" s="94">
        <f>VLOOKUP($Q8313,매칭테이블!$F:$I,2,0)*K8313</f>
        <v/>
      </c>
      <c r="N8313" s="94">
        <f>M8313-M8313*VLOOKUP($Q8313,매칭테이블!$F:$I,3,0)</f>
        <v/>
      </c>
      <c r="O8313" s="94">
        <f>VLOOKUP($Q8313,매칭테이블!$F:$I,4,0)*K8313</f>
        <v/>
      </c>
      <c r="P8313" s="148">
        <f>M8313/1.1</f>
        <v/>
      </c>
      <c r="Q8313" s="94">
        <f>F8313&amp;E8313&amp;G8313&amp;L8313</f>
        <v/>
      </c>
    </row>
    <row r="8314" customFormat="1" s="94">
      <c r="B8314" s="128" t="n">
        <v>44053</v>
      </c>
      <c r="C8314" s="94">
        <f>TEXT(B8314,"aaa")</f>
        <v/>
      </c>
      <c r="E8314" s="94" t="inlineStr">
        <is>
          <t>머드크림마스크</t>
        </is>
      </c>
      <c r="F8314" s="94" t="inlineStr">
        <is>
          <t>카페24</t>
        </is>
      </c>
      <c r="G8314" s="94" t="inlineStr">
        <is>
          <t>머드크림마스크 100ml</t>
        </is>
      </c>
      <c r="H8314" s="7" t="n">
        <v>190801</v>
      </c>
      <c r="I8314" s="7" t="n">
        <v>190801</v>
      </c>
      <c r="K8314" s="94" t="n">
        <v>6</v>
      </c>
      <c r="L8314" s="94" t="n">
        <v>190801</v>
      </c>
      <c r="M8314" s="94">
        <f>VLOOKUP($Q8314,매칭테이블!$F:$I,2,0)*K8314</f>
        <v/>
      </c>
      <c r="N8314" s="94">
        <f>M8314-M8314*VLOOKUP($Q8314,매칭테이블!$F:$I,3,0)</f>
        <v/>
      </c>
      <c r="O8314" s="94">
        <f>VLOOKUP($Q8314,매칭테이블!$F:$I,4,0)*K8314</f>
        <v/>
      </c>
      <c r="P8314" s="148">
        <f>M8314/1.1</f>
        <v/>
      </c>
      <c r="Q8314" s="94">
        <f>F8314&amp;E8314&amp;G8314&amp;L8314</f>
        <v/>
      </c>
    </row>
    <row r="8315" customFormat="1" s="94">
      <c r="B8315" s="128" t="n">
        <v>44053</v>
      </c>
      <c r="C8315" s="94">
        <f>TEXT(B8315,"aaa")</f>
        <v/>
      </c>
      <c r="E8315" s="94" t="inlineStr">
        <is>
          <t>머드크림마스크</t>
        </is>
      </c>
      <c r="F8315" s="94" t="inlineStr">
        <is>
          <t>카페24</t>
        </is>
      </c>
      <c r="G8315" s="94" t="inlineStr">
        <is>
          <t>머드크림마스크 100ml 2set</t>
        </is>
      </c>
      <c r="H8315" s="7" t="n">
        <v>190801</v>
      </c>
      <c r="I8315" s="7" t="n">
        <v>190801</v>
      </c>
      <c r="K8315" s="94" t="n">
        <v>1</v>
      </c>
      <c r="L8315" s="94" t="n">
        <v>190801</v>
      </c>
      <c r="M8315" s="94">
        <f>VLOOKUP($Q8315,매칭테이블!$F:$I,2,0)*K8315</f>
        <v/>
      </c>
      <c r="N8315" s="94">
        <f>M8315-M8315*VLOOKUP($Q8315,매칭테이블!$F:$I,3,0)</f>
        <v/>
      </c>
      <c r="O8315" s="94">
        <f>VLOOKUP($Q8315,매칭테이블!$F:$I,4,0)*K8315</f>
        <v/>
      </c>
      <c r="P8315" s="148">
        <f>M8315/1.1</f>
        <v/>
      </c>
      <c r="Q8315" s="94">
        <f>F8315&amp;E8315&amp;G8315&amp;L8315</f>
        <v/>
      </c>
    </row>
    <row r="8316" customFormat="1" s="94">
      <c r="B8316" s="128" t="n">
        <v>44053</v>
      </c>
      <c r="C8316" s="94">
        <f>TEXT(B8316,"aaa")</f>
        <v/>
      </c>
      <c r="E8316" s="94" t="inlineStr">
        <is>
          <t>마스크팩</t>
        </is>
      </c>
      <c r="F8316" s="94" t="inlineStr">
        <is>
          <t>카페24</t>
        </is>
      </c>
      <c r="G8316" s="94" t="inlineStr">
        <is>
          <t>마스크팩 1매</t>
        </is>
      </c>
      <c r="H8316" s="7" t="n">
        <v>190801</v>
      </c>
      <c r="I8316" s="7" t="n">
        <v>190801</v>
      </c>
      <c r="K8316" s="94" t="n">
        <v>2</v>
      </c>
      <c r="L8316" s="94" t="n">
        <v>190801</v>
      </c>
      <c r="M8316" s="94">
        <f>VLOOKUP($Q8316,매칭테이블!$F:$I,2,0)*K8316</f>
        <v/>
      </c>
      <c r="N8316" s="94">
        <f>M8316-M8316*VLOOKUP($Q8316,매칭테이블!$F:$I,3,0)</f>
        <v/>
      </c>
      <c r="O8316" s="94">
        <f>VLOOKUP($Q8316,매칭테이블!$F:$I,4,0)*K8316</f>
        <v/>
      </c>
      <c r="P8316" s="148">
        <f>M8316/1.1</f>
        <v/>
      </c>
      <c r="Q8316" s="94">
        <f>F8316&amp;E8316&amp;G8316&amp;L8316</f>
        <v/>
      </c>
    </row>
    <row r="8317" customFormat="1" s="94">
      <c r="B8317" s="128" t="n">
        <v>44053</v>
      </c>
      <c r="C8317" s="94">
        <f>TEXT(B8317,"aaa")</f>
        <v/>
      </c>
      <c r="E8317" s="94" t="inlineStr">
        <is>
          <t>마스크팩</t>
        </is>
      </c>
      <c r="F8317" s="94" t="inlineStr">
        <is>
          <t>카페24</t>
        </is>
      </c>
      <c r="G8317" s="94" t="inlineStr">
        <is>
          <t>마스크팩 10매</t>
        </is>
      </c>
      <c r="H8317" s="7" t="n">
        <v>190801</v>
      </c>
      <c r="I8317" s="7" t="n">
        <v>190801</v>
      </c>
      <c r="K8317" s="94" t="n">
        <v>4</v>
      </c>
      <c r="L8317" s="94" t="n">
        <v>190801</v>
      </c>
      <c r="M8317" s="94">
        <f>VLOOKUP($Q8317,매칭테이블!$F:$I,2,0)*K8317</f>
        <v/>
      </c>
      <c r="N8317" s="94">
        <f>M8317-M8317*VLOOKUP($Q8317,매칭테이블!$F:$I,3,0)</f>
        <v/>
      </c>
      <c r="O8317" s="94">
        <f>VLOOKUP($Q8317,매칭테이블!$F:$I,4,0)*K8317</f>
        <v/>
      </c>
      <c r="P8317" s="148">
        <f>M8317/1.1</f>
        <v/>
      </c>
      <c r="Q8317" s="94">
        <f>F8317&amp;E8317&amp;G8317&amp;L8317</f>
        <v/>
      </c>
    </row>
    <row r="8318" customFormat="1" s="94">
      <c r="B8318" s="128" t="n">
        <v>44053</v>
      </c>
      <c r="C8318" s="94">
        <f>TEXT(B8318,"aaa")</f>
        <v/>
      </c>
      <c r="E8318" s="94" t="inlineStr">
        <is>
          <t>토너</t>
        </is>
      </c>
      <c r="F8318" s="94" t="inlineStr">
        <is>
          <t>카페24</t>
        </is>
      </c>
      <c r="G8318" s="94" t="inlineStr">
        <is>
          <t>250ml</t>
        </is>
      </c>
      <c r="H8318" s="7" t="n">
        <v>190801</v>
      </c>
      <c r="I8318" s="7" t="n">
        <v>190801</v>
      </c>
      <c r="K8318" s="94" t="n">
        <v>108</v>
      </c>
      <c r="L8318" s="94" t="n">
        <v>190801</v>
      </c>
      <c r="M8318" s="94">
        <f>VLOOKUP($Q8318,매칭테이블!$F:$I,2,0)*K8318</f>
        <v/>
      </c>
      <c r="N8318" s="94">
        <f>M8318-M8318*VLOOKUP($Q8318,매칭테이블!$F:$I,3,0)</f>
        <v/>
      </c>
      <c r="O8318" s="94">
        <f>VLOOKUP($Q8318,매칭테이블!$F:$I,4,0)*K8318</f>
        <v/>
      </c>
      <c r="P8318" s="148">
        <f>M8318/1.1</f>
        <v/>
      </c>
      <c r="Q8318" s="94">
        <f>F8318&amp;E8318&amp;G8318&amp;L8318</f>
        <v/>
      </c>
    </row>
    <row r="8319" customFormat="1" s="94">
      <c r="B8319" s="128" t="n">
        <v>44053</v>
      </c>
      <c r="C8319" s="94">
        <f>TEXT(B8319,"aaa")</f>
        <v/>
      </c>
      <c r="E8319" s="94" t="inlineStr">
        <is>
          <t>토너</t>
        </is>
      </c>
      <c r="F8319" s="94" t="inlineStr">
        <is>
          <t>카페24</t>
        </is>
      </c>
      <c r="G8319" s="94" t="inlineStr">
        <is>
          <t>250ml 2set</t>
        </is>
      </c>
      <c r="H8319" s="7" t="n">
        <v>190801</v>
      </c>
      <c r="I8319" s="7" t="n">
        <v>190801</v>
      </c>
      <c r="K8319" s="94" t="n">
        <v>108</v>
      </c>
      <c r="L8319" s="94" t="n">
        <v>190801</v>
      </c>
      <c r="M8319" s="94">
        <f>VLOOKUP($Q8319,매칭테이블!$F:$I,2,0)*K8319</f>
        <v/>
      </c>
      <c r="N8319" s="94">
        <f>M8319-M8319*VLOOKUP($Q8319,매칭테이블!$F:$I,3,0)</f>
        <v/>
      </c>
      <c r="O8319" s="94">
        <f>VLOOKUP($Q8319,매칭테이블!$F:$I,4,0)*K8319</f>
        <v/>
      </c>
      <c r="P8319" s="148">
        <f>M8319/1.1</f>
        <v/>
      </c>
      <c r="Q8319" s="94">
        <f>F8319&amp;E8319&amp;G8319&amp;L8319</f>
        <v/>
      </c>
    </row>
    <row r="8320" customFormat="1" s="94">
      <c r="B8320" s="128" t="n">
        <v>44053</v>
      </c>
      <c r="C8320" s="94">
        <f>TEXT(B8320,"aaa")</f>
        <v/>
      </c>
      <c r="E8320" s="94" t="inlineStr">
        <is>
          <t>토너</t>
        </is>
      </c>
      <c r="F8320" s="94" t="inlineStr">
        <is>
          <t>카페24</t>
        </is>
      </c>
      <c r="G8320" s="94" t="inlineStr">
        <is>
          <t>500ml</t>
        </is>
      </c>
      <c r="H8320" s="7" t="n">
        <v>190801</v>
      </c>
      <c r="I8320" s="7" t="n">
        <v>190801</v>
      </c>
      <c r="K8320" s="94" t="n">
        <v>88</v>
      </c>
      <c r="L8320" s="94" t="n">
        <v>190801</v>
      </c>
      <c r="M8320" s="94">
        <f>VLOOKUP($Q8320,매칭테이블!$F:$I,2,0)*K8320</f>
        <v/>
      </c>
      <c r="N8320" s="94">
        <f>M8320-M8320*VLOOKUP($Q8320,매칭테이블!$F:$I,3,0)</f>
        <v/>
      </c>
      <c r="O8320" s="94">
        <f>VLOOKUP($Q8320,매칭테이블!$F:$I,4,0)*K8320</f>
        <v/>
      </c>
      <c r="P8320" s="148">
        <f>M8320/1.1</f>
        <v/>
      </c>
      <c r="Q8320" s="94">
        <f>F8320&amp;E8320&amp;G8320&amp;L8320</f>
        <v/>
      </c>
    </row>
    <row r="8321" customFormat="1" s="94">
      <c r="B8321" s="128" t="n">
        <v>44053</v>
      </c>
      <c r="C8321" s="94">
        <f>TEXT(B8321,"aaa")</f>
        <v/>
      </c>
      <c r="E8321" s="94" t="inlineStr">
        <is>
          <t>앰플</t>
        </is>
      </c>
      <c r="F8321" s="94" t="inlineStr">
        <is>
          <t>카페24</t>
        </is>
      </c>
      <c r="G8321" s="94" t="inlineStr">
        <is>
          <t>앰플 30ml</t>
        </is>
      </c>
      <c r="H8321" s="7" t="n">
        <v>190801</v>
      </c>
      <c r="I8321" s="7" t="n">
        <v>190801</v>
      </c>
      <c r="K8321" s="94" t="n">
        <v>17</v>
      </c>
      <c r="L8321" s="94" t="n">
        <v>190801</v>
      </c>
      <c r="M8321" s="94">
        <f>VLOOKUP($Q8321,매칭테이블!$F:$I,2,0)*K8321</f>
        <v/>
      </c>
      <c r="N8321" s="94">
        <f>M8321-M8321*VLOOKUP($Q8321,매칭테이블!$F:$I,3,0)</f>
        <v/>
      </c>
      <c r="O8321" s="94">
        <f>VLOOKUP($Q8321,매칭테이블!$F:$I,4,0)*K8321</f>
        <v/>
      </c>
      <c r="P8321" s="148">
        <f>M8321/1.1</f>
        <v/>
      </c>
      <c r="Q8321" s="94">
        <f>F8321&amp;E8321&amp;G8321&amp;L8321</f>
        <v/>
      </c>
    </row>
    <row r="8322" customFormat="1" s="94">
      <c r="B8322" s="128" t="n">
        <v>44053</v>
      </c>
      <c r="C8322" s="94">
        <f>TEXT(B8322,"aaa")</f>
        <v/>
      </c>
      <c r="E8322" s="94" t="inlineStr">
        <is>
          <t>수딩크림</t>
        </is>
      </c>
      <c r="F8322" s="94" t="inlineStr">
        <is>
          <t>카페24</t>
        </is>
      </c>
      <c r="G8322" s="94" t="inlineStr">
        <is>
          <t>수딩크림 100ml</t>
        </is>
      </c>
      <c r="H8322" s="7" t="n">
        <v>190801</v>
      </c>
      <c r="I8322" s="7" t="n">
        <v>190801</v>
      </c>
      <c r="K8322" s="94" t="n">
        <v>10</v>
      </c>
      <c r="L8322" s="94" t="n">
        <v>190801</v>
      </c>
      <c r="M8322" s="94">
        <f>VLOOKUP($Q8322,매칭테이블!$F:$I,2,0)*K8322</f>
        <v/>
      </c>
      <c r="N8322" s="94">
        <f>M8322-M8322*VLOOKUP($Q8322,매칭테이블!$F:$I,3,0)</f>
        <v/>
      </c>
      <c r="O8322" s="94">
        <f>VLOOKUP($Q8322,매칭테이블!$F:$I,4,0)*K8322</f>
        <v/>
      </c>
      <c r="P8322" s="148">
        <f>M8322/1.1</f>
        <v/>
      </c>
      <c r="Q8322" s="94">
        <f>F8322&amp;E8322&amp;G8322&amp;L8322</f>
        <v/>
      </c>
    </row>
    <row r="8323" customFormat="1" s="94">
      <c r="B8323" s="128" t="n">
        <v>44053</v>
      </c>
      <c r="C8323" s="94">
        <f>TEXT(B8323,"aaa")</f>
        <v/>
      </c>
      <c r="E8323" s="94" t="inlineStr">
        <is>
          <t>토너</t>
        </is>
      </c>
      <c r="F8323" s="94" t="inlineStr">
        <is>
          <t>아누아 CS</t>
        </is>
      </c>
      <c r="G8323" s="94" t="inlineStr">
        <is>
          <t>250ml</t>
        </is>
      </c>
      <c r="H8323" s="7" t="n">
        <v>190801</v>
      </c>
      <c r="I8323" s="7" t="n">
        <v>190801</v>
      </c>
      <c r="K8323" s="94" t="n">
        <v>6</v>
      </c>
      <c r="L8323" s="94" t="n">
        <v>190801</v>
      </c>
      <c r="M8323" s="94">
        <f>VLOOKUP($Q8323,매칭테이블!$F:$I,2,0)*K8323</f>
        <v/>
      </c>
      <c r="N8323" s="94">
        <f>M8323-M8323*VLOOKUP($Q8323,매칭테이블!$F:$I,3,0)</f>
        <v/>
      </c>
      <c r="O8323" s="94">
        <f>VLOOKUP($Q8323,매칭테이블!$F:$I,4,0)*K8323</f>
        <v/>
      </c>
      <c r="P8323" s="148">
        <f>M8323/1.1</f>
        <v/>
      </c>
      <c r="Q8323" s="94">
        <f>F8323&amp;E8323&amp;G8323&amp;L8323</f>
        <v/>
      </c>
    </row>
    <row r="8324" customFormat="1" s="94">
      <c r="B8324" s="128" t="n">
        <v>44053</v>
      </c>
      <c r="C8324" s="94">
        <f>TEXT(B8324,"aaa")</f>
        <v/>
      </c>
      <c r="E8324" s="94" t="inlineStr">
        <is>
          <t>화장솜</t>
        </is>
      </c>
      <c r="F8324" s="94" t="inlineStr">
        <is>
          <t>아누아 CS</t>
        </is>
      </c>
      <c r="G8324" s="94" t="inlineStr">
        <is>
          <t>스킨팩 화장솜 60P</t>
        </is>
      </c>
      <c r="H8324" s="7" t="n">
        <v>190801</v>
      </c>
      <c r="I8324" s="7" t="n">
        <v>190801</v>
      </c>
      <c r="K8324" s="94" t="n">
        <v>6</v>
      </c>
      <c r="L8324" s="94" t="n">
        <v>190801</v>
      </c>
      <c r="M8324" s="94">
        <f>VLOOKUP($Q8324,매칭테이블!$F:$I,2,0)*K8324</f>
        <v/>
      </c>
      <c r="N8324" s="94">
        <f>M8324-M8324*VLOOKUP($Q8324,매칭테이블!$F:$I,3,0)</f>
        <v/>
      </c>
      <c r="O8324" s="94">
        <f>VLOOKUP($Q8324,매칭테이블!$F:$I,4,0)*K8324</f>
        <v/>
      </c>
      <c r="P8324" s="148">
        <f>M8324/1.1</f>
        <v/>
      </c>
      <c r="Q8324" s="94">
        <f>F8324&amp;E8324&amp;G8324&amp;L8324</f>
        <v/>
      </c>
    </row>
    <row r="8325" customFormat="1" s="94">
      <c r="B8325" s="128" t="n">
        <v>44053</v>
      </c>
      <c r="C8325" s="94">
        <f>TEXT(B8325,"aaa")</f>
        <v/>
      </c>
      <c r="E8325" s="94" t="inlineStr">
        <is>
          <t>앰플</t>
        </is>
      </c>
      <c r="F8325" s="94" t="inlineStr">
        <is>
          <t>아누아 CS</t>
        </is>
      </c>
      <c r="G8325" s="94" t="inlineStr">
        <is>
          <t>앰플 30ml</t>
        </is>
      </c>
      <c r="H8325" s="7" t="n">
        <v>190801</v>
      </c>
      <c r="I8325" s="7" t="n">
        <v>190801</v>
      </c>
      <c r="K8325" s="94" t="n">
        <v>2</v>
      </c>
      <c r="L8325" s="94" t="n">
        <v>190801</v>
      </c>
      <c r="M8325" s="94">
        <f>VLOOKUP($Q8325,매칭테이블!$F:$I,2,0)*K8325</f>
        <v/>
      </c>
      <c r="N8325" s="94">
        <f>M8325-M8325*VLOOKUP($Q8325,매칭테이블!$F:$I,3,0)</f>
        <v/>
      </c>
      <c r="O8325" s="94">
        <f>VLOOKUP($Q8325,매칭테이블!$F:$I,4,0)*K8325</f>
        <v/>
      </c>
      <c r="P8325" s="148">
        <f>M8325/1.1</f>
        <v/>
      </c>
      <c r="Q8325" s="94">
        <f>F8325&amp;E8325&amp;G8325&amp;L8325</f>
        <v/>
      </c>
    </row>
    <row r="8326" customFormat="1" s="94">
      <c r="B8326" s="128" t="n">
        <v>44053</v>
      </c>
      <c r="C8326" s="94">
        <f>TEXT(B8326,"aaa")</f>
        <v/>
      </c>
      <c r="E8326" s="94" t="inlineStr">
        <is>
          <t>마스크팩</t>
        </is>
      </c>
      <c r="F8326" s="94" t="inlineStr">
        <is>
          <t>아누아 CS</t>
        </is>
      </c>
      <c r="G8326" s="94" t="inlineStr">
        <is>
          <t>마스크팩 10매</t>
        </is>
      </c>
      <c r="H8326" s="7" t="n">
        <v>190801</v>
      </c>
      <c r="I8326" s="7" t="n">
        <v>190801</v>
      </c>
      <c r="K8326" s="94" t="n">
        <v>6</v>
      </c>
      <c r="L8326" s="94" t="n">
        <v>190801</v>
      </c>
      <c r="M8326" s="94">
        <f>VLOOKUP($Q8326,매칭테이블!$F:$I,2,0)*K8326</f>
        <v/>
      </c>
      <c r="N8326" s="94">
        <f>M8326-M8326*VLOOKUP($Q8326,매칭테이블!$F:$I,3,0)</f>
        <v/>
      </c>
      <c r="O8326" s="94">
        <f>VLOOKUP($Q8326,매칭테이블!$F:$I,4,0)*K8326</f>
        <v/>
      </c>
      <c r="P8326" s="148">
        <f>M8326/1.1</f>
        <v/>
      </c>
      <c r="Q8326" s="94">
        <f>F8326&amp;E8326&amp;G8326&amp;L8326</f>
        <v/>
      </c>
    </row>
    <row r="8327" customFormat="1" s="94">
      <c r="B8327" s="128" t="n">
        <v>44053</v>
      </c>
      <c r="C8327" s="94">
        <f>TEXT(B8327,"aaa")</f>
        <v/>
      </c>
      <c r="E8327" s="94" t="inlineStr">
        <is>
          <t>선크림</t>
        </is>
      </c>
      <c r="F8327" s="94" t="inlineStr">
        <is>
          <t>아누아 CS</t>
        </is>
      </c>
      <c r="G8327" s="94" t="inlineStr">
        <is>
          <t>선크림 50ml</t>
        </is>
      </c>
      <c r="H8327" s="7" t="n">
        <v>190801</v>
      </c>
      <c r="I8327" s="7" t="n">
        <v>190801</v>
      </c>
      <c r="K8327" s="94" t="n">
        <v>6</v>
      </c>
      <c r="L8327" s="94" t="n">
        <v>190801</v>
      </c>
      <c r="M8327" s="94">
        <f>VLOOKUP($Q8327,매칭테이블!$F:$I,2,0)*K8327</f>
        <v/>
      </c>
      <c r="N8327" s="94">
        <f>M8327-M8327*VLOOKUP($Q8327,매칭테이블!$F:$I,3,0)</f>
        <v/>
      </c>
      <c r="O8327" s="94">
        <f>VLOOKUP($Q8327,매칭테이블!$F:$I,4,0)*K8327</f>
        <v/>
      </c>
      <c r="P8327" s="148">
        <f>M8327/1.1</f>
        <v/>
      </c>
      <c r="Q8327" s="94">
        <f>F8327&amp;E8327&amp;G8327&amp;L8327</f>
        <v/>
      </c>
    </row>
    <row r="8328" customFormat="1" s="94">
      <c r="B8328" s="128" t="n">
        <v>44053</v>
      </c>
      <c r="C8328" s="94">
        <f>TEXT(B8328,"aaa")</f>
        <v/>
      </c>
      <c r="E8328" s="94" t="inlineStr">
        <is>
          <t>토너</t>
        </is>
      </c>
      <c r="F8328" s="94" t="inlineStr">
        <is>
          <t>화해</t>
        </is>
      </c>
      <c r="G8328" s="94" t="inlineStr">
        <is>
          <t>250ml</t>
        </is>
      </c>
      <c r="H8328" s="7" t="n">
        <v>190801</v>
      </c>
      <c r="I8328" s="7" t="n">
        <v>190801</v>
      </c>
      <c r="K8328" s="94" t="n">
        <v>4</v>
      </c>
      <c r="L8328" s="94" t="n">
        <v>190801</v>
      </c>
      <c r="M8328" s="94">
        <f>VLOOKUP($Q8328,매칭테이블!$F:$I,2,0)*K8328</f>
        <v/>
      </c>
      <c r="N8328" s="94">
        <f>M8328-M8328*VLOOKUP($Q8328,매칭테이블!$F:$I,3,0)</f>
        <v/>
      </c>
      <c r="O8328" s="94">
        <f>VLOOKUP($Q8328,매칭테이블!$F:$I,4,0)*K8328</f>
        <v/>
      </c>
      <c r="P8328" s="148">
        <f>M8328/1.1</f>
        <v/>
      </c>
      <c r="Q8328" s="94">
        <f>F8328&amp;E8328&amp;G8328&amp;L8328</f>
        <v/>
      </c>
    </row>
    <row r="8329" customFormat="1" s="94">
      <c r="B8329" s="128" t="n">
        <v>44054</v>
      </c>
      <c r="C8329" s="94">
        <f>TEXT(B8329,"aaa")</f>
        <v/>
      </c>
      <c r="E8329" s="94" t="inlineStr">
        <is>
          <t>토너</t>
        </is>
      </c>
      <c r="F8329" s="94" t="inlineStr">
        <is>
          <t>W컨셉</t>
        </is>
      </c>
      <c r="G8329" s="94" t="inlineStr">
        <is>
          <t>250ml</t>
        </is>
      </c>
      <c r="H8329" s="7" t="n">
        <v>190801</v>
      </c>
      <c r="I8329" s="7" t="n">
        <v>190801</v>
      </c>
      <c r="K8329" s="94" t="n">
        <v>2</v>
      </c>
      <c r="L8329" s="94" t="n">
        <v>190801</v>
      </c>
      <c r="M8329" s="94">
        <f>VLOOKUP($Q8329,매칭테이블!$F:$I,2,0)*K8329</f>
        <v/>
      </c>
      <c r="N8329" s="94">
        <f>M8329-M8329*VLOOKUP($Q8329,매칭테이블!$F:$I,3,0)</f>
        <v/>
      </c>
      <c r="O8329" s="94">
        <f>VLOOKUP($Q8329,매칭테이블!$F:$I,4,0)*K8329</f>
        <v/>
      </c>
      <c r="P8329" s="148">
        <f>M8329/1.1</f>
        <v/>
      </c>
      <c r="Q8329" s="94">
        <f>F8329&amp;E8329&amp;G8329&amp;L8329</f>
        <v/>
      </c>
    </row>
    <row r="8330" customFormat="1" s="94">
      <c r="B8330" s="128" t="n">
        <v>44054</v>
      </c>
      <c r="C8330" s="94">
        <f>TEXT(B8330,"aaa")</f>
        <v/>
      </c>
      <c r="E8330" s="94" t="inlineStr">
        <is>
          <t>토너</t>
        </is>
      </c>
      <c r="F8330" s="94" t="inlineStr">
        <is>
          <t>W컨셉</t>
        </is>
      </c>
      <c r="G8330" s="94" t="inlineStr">
        <is>
          <t>250ml 2set</t>
        </is>
      </c>
      <c r="H8330" s="7" t="n">
        <v>190801</v>
      </c>
      <c r="I8330" s="7" t="n">
        <v>190801</v>
      </c>
      <c r="K8330" s="94" t="n">
        <v>3</v>
      </c>
      <c r="L8330" s="94" t="n">
        <v>190801</v>
      </c>
      <c r="M8330" s="94">
        <f>VLOOKUP($Q8330,매칭테이블!$F:$I,2,0)*K8330</f>
        <v/>
      </c>
      <c r="N8330" s="94">
        <f>M8330-M8330*VLOOKUP($Q8330,매칭테이블!$F:$I,3,0)</f>
        <v/>
      </c>
      <c r="O8330" s="94">
        <f>VLOOKUP($Q8330,매칭테이블!$F:$I,4,0)*K8330</f>
        <v/>
      </c>
      <c r="P8330" s="148">
        <f>M8330/1.1</f>
        <v/>
      </c>
      <c r="Q8330" s="94">
        <f>F8330&amp;E8330&amp;G8330&amp;L8330</f>
        <v/>
      </c>
    </row>
    <row r="8331" customFormat="1" s="94">
      <c r="B8331" s="128" t="n">
        <v>44054</v>
      </c>
      <c r="C8331" s="94">
        <f>TEXT(B8331,"aaa")</f>
        <v/>
      </c>
      <c r="E8331" s="94" t="inlineStr">
        <is>
          <t>토너</t>
        </is>
      </c>
      <c r="F8331" s="94" t="inlineStr">
        <is>
          <t>글로우데이즈 시코르</t>
        </is>
      </c>
      <c r="G8331" s="94" t="inlineStr">
        <is>
          <t>토너=250ml</t>
        </is>
      </c>
      <c r="H8331" s="7" t="n">
        <v>190801</v>
      </c>
      <c r="I8331" s="7" t="n">
        <v>190801</v>
      </c>
      <c r="K8331" s="94" t="n">
        <v>6</v>
      </c>
      <c r="L8331" s="94" t="n">
        <v>190801</v>
      </c>
      <c r="M8331" s="94">
        <f>VLOOKUP($Q8331,매칭테이블!$F:$I,2,0)*K8331</f>
        <v/>
      </c>
      <c r="N8331" s="94">
        <f>M8331-M8331*VLOOKUP($Q8331,매칭테이블!$F:$I,3,0)</f>
        <v/>
      </c>
      <c r="O8331" s="94">
        <f>VLOOKUP($Q8331,매칭테이블!$F:$I,4,0)*K8331</f>
        <v/>
      </c>
      <c r="P8331" s="148">
        <f>M8331/1.1</f>
        <v/>
      </c>
      <c r="Q8331" s="94">
        <f>F8331&amp;E8331&amp;G8331&amp;L8331</f>
        <v/>
      </c>
    </row>
    <row r="8332" customFormat="1" s="94">
      <c r="B8332" s="128" t="n">
        <v>44054</v>
      </c>
      <c r="C8332" s="94">
        <f>TEXT(B8332,"aaa")</f>
        <v/>
      </c>
      <c r="E8332" s="94" t="inlineStr">
        <is>
          <t>앰플</t>
        </is>
      </c>
      <c r="F8332" s="94" t="inlineStr">
        <is>
          <t>글로우데이즈 시코르</t>
        </is>
      </c>
      <c r="G8332" s="94" t="inlineStr">
        <is>
          <t>앰플=앰플 30ml</t>
        </is>
      </c>
      <c r="H8332" s="7" t="n">
        <v>190801</v>
      </c>
      <c r="I8332" s="7" t="n">
        <v>190801</v>
      </c>
      <c r="K8332" s="94" t="n">
        <v>3</v>
      </c>
      <c r="L8332" s="94" t="n">
        <v>190801</v>
      </c>
      <c r="M8332" s="94">
        <f>VLOOKUP($Q8332,매칭테이블!$F:$I,2,0)*K8332</f>
        <v/>
      </c>
      <c r="N8332" s="94">
        <f>M8332-M8332*VLOOKUP($Q8332,매칭테이블!$F:$I,3,0)</f>
        <v/>
      </c>
      <c r="O8332" s="94">
        <f>VLOOKUP($Q8332,매칭테이블!$F:$I,4,0)*K8332</f>
        <v/>
      </c>
      <c r="P8332" s="148">
        <f>M8332/1.1</f>
        <v/>
      </c>
      <c r="Q8332" s="94">
        <f>F8332&amp;E8332&amp;G8332&amp;L8332</f>
        <v/>
      </c>
    </row>
    <row r="8333" customFormat="1" s="94">
      <c r="B8333" s="128" t="n">
        <v>44054</v>
      </c>
      <c r="C8333" s="94">
        <f>TEXT(B8333,"aaa")</f>
        <v/>
      </c>
      <c r="E8333" s="94" t="inlineStr">
        <is>
          <t>수딩크림</t>
        </is>
      </c>
      <c r="F8333" s="94" t="inlineStr">
        <is>
          <t>글로우데이즈 시코르</t>
        </is>
      </c>
      <c r="G8333" s="94" t="inlineStr">
        <is>
          <t>수딩크림=수딩크림 100ml</t>
        </is>
      </c>
      <c r="H8333" s="7" t="n">
        <v>190801</v>
      </c>
      <c r="I8333" s="7" t="n">
        <v>190801</v>
      </c>
      <c r="K8333" s="94" t="n">
        <v>3</v>
      </c>
      <c r="L8333" s="94" t="n">
        <v>190801</v>
      </c>
      <c r="M8333" s="94">
        <f>VLOOKUP($Q8333,매칭테이블!$F:$I,2,0)*K8333</f>
        <v/>
      </c>
      <c r="N8333" s="94">
        <f>M8333-M8333*VLOOKUP($Q8333,매칭테이블!$F:$I,3,0)</f>
        <v/>
      </c>
      <c r="O8333" s="94">
        <f>VLOOKUP($Q8333,매칭테이블!$F:$I,4,0)*K8333</f>
        <v/>
      </c>
      <c r="P8333" s="148">
        <f>M8333/1.1</f>
        <v/>
      </c>
      <c r="Q8333" s="94">
        <f>F8333&amp;E8333&amp;G8333&amp;L8333</f>
        <v/>
      </c>
    </row>
    <row r="8334" customFormat="1" s="94">
      <c r="B8334" s="128" t="n">
        <v>44054</v>
      </c>
      <c r="C8334" s="94">
        <f>TEXT(B8334,"aaa")</f>
        <v/>
      </c>
      <c r="E8334" s="94" t="inlineStr">
        <is>
          <t>마스크팩</t>
        </is>
      </c>
      <c r="F8334" s="94" t="inlineStr">
        <is>
          <t>글로우데이즈 시코르</t>
        </is>
      </c>
      <c r="G8334" s="94" t="inlineStr">
        <is>
          <t>마스크팩=마스크팩 1매</t>
        </is>
      </c>
      <c r="H8334" s="7" t="n">
        <v>190801</v>
      </c>
      <c r="I8334" s="7" t="n">
        <v>190801</v>
      </c>
      <c r="K8334" s="94" t="n">
        <v>3</v>
      </c>
      <c r="L8334" s="94" t="n">
        <v>190801</v>
      </c>
      <c r="M8334" s="94">
        <f>VLOOKUP($Q8334,매칭테이블!$F:$I,2,0)*K8334</f>
        <v/>
      </c>
      <c r="N8334" s="94">
        <f>M8334-M8334*VLOOKUP($Q8334,매칭테이블!$F:$I,3,0)</f>
        <v/>
      </c>
      <c r="O8334" s="94">
        <f>VLOOKUP($Q8334,매칭테이블!$F:$I,4,0)*K8334</f>
        <v/>
      </c>
      <c r="P8334" s="148">
        <f>M8334/1.1</f>
        <v/>
      </c>
      <c r="Q8334" s="94">
        <f>F8334&amp;E8334&amp;G8334&amp;L8334</f>
        <v/>
      </c>
    </row>
    <row r="8335" customFormat="1" s="94">
      <c r="B8335" s="128" t="n">
        <v>44054</v>
      </c>
      <c r="C8335" s="94">
        <f>TEXT(B8335,"aaa")</f>
        <v/>
      </c>
      <c r="E8335" s="94" t="inlineStr">
        <is>
          <t>머드크림마스크</t>
        </is>
      </c>
      <c r="F8335" s="94" t="inlineStr">
        <is>
          <t>글로우데이즈 시코르</t>
        </is>
      </c>
      <c r="G8335" s="94" t="inlineStr">
        <is>
          <t>머드크림마스크=머드크림마스크 100ml</t>
        </is>
      </c>
      <c r="H8335" s="7" t="n">
        <v>190801</v>
      </c>
      <c r="I8335" s="7" t="n">
        <v>190801</v>
      </c>
      <c r="K8335" s="94" t="n">
        <v>3</v>
      </c>
      <c r="L8335" s="94" t="n">
        <v>190801</v>
      </c>
      <c r="M8335" s="94">
        <f>VLOOKUP($Q8335,매칭테이블!$F:$I,2,0)*K8335</f>
        <v/>
      </c>
      <c r="N8335" s="94">
        <f>M8335-M8335*VLOOKUP($Q8335,매칭테이블!$F:$I,3,0)</f>
        <v/>
      </c>
      <c r="O8335" s="94">
        <f>VLOOKUP($Q8335,매칭테이블!$F:$I,4,0)*K8335</f>
        <v/>
      </c>
      <c r="P8335" s="148">
        <f>M8335/1.1</f>
        <v/>
      </c>
      <c r="Q8335" s="94">
        <f>F8335&amp;E8335&amp;G8335&amp;L8335</f>
        <v/>
      </c>
    </row>
    <row r="8336" customFormat="1" s="94">
      <c r="B8336" s="128" t="n">
        <v>44054</v>
      </c>
      <c r="C8336" s="94">
        <f>TEXT(B8336,"aaa")</f>
        <v/>
      </c>
      <c r="E8336" s="94" t="inlineStr">
        <is>
          <t>클렌징폼</t>
        </is>
      </c>
      <c r="F8336" s="94" t="inlineStr">
        <is>
          <t>글로우데이즈 시코르</t>
        </is>
      </c>
      <c r="G8336" s="94" t="inlineStr">
        <is>
          <t>클렌징폼=클렌징폼 120ml</t>
        </is>
      </c>
      <c r="H8336" s="7" t="n">
        <v>190801</v>
      </c>
      <c r="I8336" s="7" t="n">
        <v>190801</v>
      </c>
      <c r="K8336" s="94" t="n">
        <v>3</v>
      </c>
      <c r="L8336" s="94" t="n">
        <v>190801</v>
      </c>
      <c r="M8336" s="94">
        <f>VLOOKUP($Q8336,매칭테이블!$F:$I,2,0)*K8336</f>
        <v/>
      </c>
      <c r="N8336" s="94">
        <f>M8336-M8336*VLOOKUP($Q8336,매칭테이블!$F:$I,3,0)</f>
        <v/>
      </c>
      <c r="O8336" s="94">
        <f>VLOOKUP($Q8336,매칭테이블!$F:$I,4,0)*K8336</f>
        <v/>
      </c>
      <c r="P8336" s="148">
        <f>M8336/1.1</f>
        <v/>
      </c>
      <c r="Q8336" s="94">
        <f>F8336&amp;E8336&amp;G8336&amp;L8336</f>
        <v/>
      </c>
    </row>
    <row r="8337" customFormat="1" s="94">
      <c r="B8337" s="128" t="n">
        <v>44054</v>
      </c>
      <c r="C8337" s="94">
        <f>TEXT(B8337,"aaa")</f>
        <v/>
      </c>
      <c r="E8337" s="94" t="inlineStr">
        <is>
          <t>마스크팩</t>
        </is>
      </c>
      <c r="F8337" s="94" t="inlineStr">
        <is>
          <t>글로우데이즈 시코르</t>
        </is>
      </c>
      <c r="G8337" s="94" t="inlineStr">
        <is>
          <t>마스크팩=마스크팩 10매</t>
        </is>
      </c>
      <c r="H8337" s="7" t="n">
        <v>190801</v>
      </c>
      <c r="I8337" s="7" t="n">
        <v>190801</v>
      </c>
      <c r="K8337" s="94" t="n">
        <v>3</v>
      </c>
      <c r="L8337" s="94" t="n">
        <v>190801</v>
      </c>
      <c r="M8337" s="94">
        <f>VLOOKUP($Q8337,매칭테이블!$F:$I,2,0)*K8337</f>
        <v/>
      </c>
      <c r="N8337" s="94">
        <f>M8337-M8337*VLOOKUP($Q8337,매칭테이블!$F:$I,3,0)</f>
        <v/>
      </c>
      <c r="O8337" s="94">
        <f>VLOOKUP($Q8337,매칭테이블!$F:$I,4,0)*K8337</f>
        <v/>
      </c>
      <c r="P8337" s="148">
        <f>M8337/1.1</f>
        <v/>
      </c>
      <c r="Q8337" s="94">
        <f>F8337&amp;E8337&amp;G8337&amp;L8337</f>
        <v/>
      </c>
    </row>
    <row r="8338" customFormat="1" s="94">
      <c r="B8338" s="128" t="n">
        <v>44054</v>
      </c>
      <c r="C8338" s="94">
        <f>TEXT(B8338,"aaa")</f>
        <v/>
      </c>
      <c r="E8338" s="94" t="inlineStr">
        <is>
          <t>선크림</t>
        </is>
      </c>
      <c r="F8338" s="94" t="inlineStr">
        <is>
          <t>글로우데이즈 시코르</t>
        </is>
      </c>
      <c r="G8338" s="94" t="inlineStr">
        <is>
          <t>선크림=선크림 50ml</t>
        </is>
      </c>
      <c r="H8338" s="7" t="n">
        <v>190801</v>
      </c>
      <c r="I8338" s="7" t="n">
        <v>190801</v>
      </c>
      <c r="K8338" s="94" t="n">
        <v>3</v>
      </c>
      <c r="L8338" s="94" t="n">
        <v>190801</v>
      </c>
      <c r="M8338" s="94">
        <f>VLOOKUP($Q8338,매칭테이블!$F:$I,2,0)*K8338</f>
        <v/>
      </c>
      <c r="N8338" s="94">
        <f>M8338-M8338*VLOOKUP($Q8338,매칭테이블!$F:$I,3,0)</f>
        <v/>
      </c>
      <c r="O8338" s="94">
        <f>VLOOKUP($Q8338,매칭테이블!$F:$I,4,0)*K8338</f>
        <v/>
      </c>
      <c r="P8338" s="148">
        <f>M8338/1.1</f>
        <v/>
      </c>
      <c r="Q8338" s="94">
        <f>F8338&amp;E8338&amp;G8338&amp;L8338</f>
        <v/>
      </c>
    </row>
    <row r="8339" customFormat="1" s="94">
      <c r="B8339" s="128" t="n">
        <v>44054</v>
      </c>
      <c r="C8339" s="94">
        <f>TEXT(B8339,"aaa")</f>
        <v/>
      </c>
      <c r="E8339" s="94" t="inlineStr">
        <is>
          <t>토너</t>
        </is>
      </c>
      <c r="F8339" s="94" t="inlineStr">
        <is>
          <t>스타일쉐어</t>
        </is>
      </c>
      <c r="G8339" s="94" t="inlineStr">
        <is>
          <t>250ml</t>
        </is>
      </c>
      <c r="H8339" s="7" t="n">
        <v>190801</v>
      </c>
      <c r="I8339" s="7" t="n">
        <v>190801</v>
      </c>
      <c r="K8339" s="94" t="n">
        <v>13</v>
      </c>
      <c r="L8339" s="94" t="n">
        <v>190801</v>
      </c>
      <c r="M8339" s="94">
        <f>VLOOKUP($Q8339,매칭테이블!$F:$I,2,0)*K8339</f>
        <v/>
      </c>
      <c r="N8339" s="94">
        <f>M8339-M8339*VLOOKUP($Q8339,매칭테이블!$F:$I,3,0)</f>
        <v/>
      </c>
      <c r="O8339" s="94">
        <f>VLOOKUP($Q8339,매칭테이블!$F:$I,4,0)*K8339</f>
        <v/>
      </c>
      <c r="P8339" s="148">
        <f>M8339/1.1</f>
        <v/>
      </c>
      <c r="Q8339" s="94">
        <f>F8339&amp;E8339&amp;G8339&amp;L8339</f>
        <v/>
      </c>
    </row>
    <row r="8340" customFormat="1" s="94">
      <c r="B8340" s="128" t="n">
        <v>44054</v>
      </c>
      <c r="C8340" s="94">
        <f>TEXT(B8340,"aaa")</f>
        <v/>
      </c>
      <c r="E8340" s="94" t="inlineStr">
        <is>
          <t>여름 한정 진정세트</t>
        </is>
      </c>
      <c r="F8340" s="94" t="inlineStr">
        <is>
          <t>카페24</t>
        </is>
      </c>
      <c r="G8340" s="94" t="inlineStr">
        <is>
          <t>여름 한정 진정세트</t>
        </is>
      </c>
      <c r="H8340" s="7" t="n">
        <v>190801</v>
      </c>
      <c r="I8340" s="7" t="n">
        <v>190801</v>
      </c>
      <c r="K8340" s="94" t="n">
        <v>1</v>
      </c>
      <c r="L8340" s="94" t="n">
        <v>190801</v>
      </c>
      <c r="M8340" s="94">
        <f>VLOOKUP($Q8340,매칭테이블!$F:$I,2,0)*K8340</f>
        <v/>
      </c>
      <c r="N8340" s="94">
        <f>M8340-M8340*VLOOKUP($Q8340,매칭테이블!$F:$I,3,0)</f>
        <v/>
      </c>
      <c r="O8340" s="94">
        <f>VLOOKUP($Q8340,매칭테이블!$F:$I,4,0)*K8340</f>
        <v/>
      </c>
      <c r="P8340" s="148">
        <f>M8340/1.1</f>
        <v/>
      </c>
      <c r="Q8340" s="94">
        <f>F8340&amp;E8340&amp;G8340&amp;L8340</f>
        <v/>
      </c>
    </row>
    <row r="8341" customFormat="1" s="94">
      <c r="B8341" s="128" t="n">
        <v>44054</v>
      </c>
      <c r="C8341" s="94">
        <f>TEXT(B8341,"aaa")</f>
        <v/>
      </c>
      <c r="E8341" s="94" t="inlineStr">
        <is>
          <t>여름 한정 진정세트</t>
        </is>
      </c>
      <c r="F8341" s="94" t="inlineStr">
        <is>
          <t>카페24</t>
        </is>
      </c>
      <c r="G8341" s="94" t="inlineStr">
        <is>
          <t>여름 한정 진정세트 (대용량)</t>
        </is>
      </c>
      <c r="H8341" s="7" t="n">
        <v>190801</v>
      </c>
      <c r="I8341" s="7" t="n">
        <v>190801</v>
      </c>
      <c r="K8341" s="94" t="n">
        <v>3</v>
      </c>
      <c r="L8341" s="94" t="n">
        <v>190801</v>
      </c>
      <c r="M8341" s="94">
        <f>VLOOKUP($Q8341,매칭테이블!$F:$I,2,0)*K8341</f>
        <v/>
      </c>
      <c r="N8341" s="94">
        <f>M8341-M8341*VLOOKUP($Q8341,매칭테이블!$F:$I,3,0)</f>
        <v/>
      </c>
      <c r="O8341" s="94">
        <f>VLOOKUP($Q8341,매칭테이블!$F:$I,4,0)*K8341</f>
        <v/>
      </c>
      <c r="P8341" s="148">
        <f>M8341/1.1</f>
        <v/>
      </c>
      <c r="Q8341" s="94">
        <f>F8341&amp;E8341&amp;G8341&amp;L8341</f>
        <v/>
      </c>
    </row>
    <row r="8342" customFormat="1" s="94">
      <c r="B8342" s="128" t="n">
        <v>44054</v>
      </c>
      <c r="C8342" s="94">
        <f>TEXT(B8342,"aaa")</f>
        <v/>
      </c>
      <c r="E8342" s="94" t="inlineStr">
        <is>
          <t>어성초진정패키지</t>
        </is>
      </c>
      <c r="F8342" s="94" t="inlineStr">
        <is>
          <t>카페24</t>
        </is>
      </c>
      <c r="G8342" s="94" t="inlineStr">
        <is>
          <t>어성초 진정패키지세트</t>
        </is>
      </c>
      <c r="H8342" s="7" t="n">
        <v>190801</v>
      </c>
      <c r="I8342" s="7" t="n">
        <v>190801</v>
      </c>
      <c r="K8342" s="94" t="n">
        <v>4</v>
      </c>
      <c r="L8342" s="94" t="n">
        <v>190801</v>
      </c>
      <c r="M8342" s="94">
        <f>VLOOKUP($Q8342,매칭테이블!$F:$I,2,0)*K8342</f>
        <v/>
      </c>
      <c r="N8342" s="94">
        <f>M8342-M8342*VLOOKUP($Q8342,매칭테이블!$F:$I,3,0)</f>
        <v/>
      </c>
      <c r="O8342" s="94">
        <f>VLOOKUP($Q8342,매칭테이블!$F:$I,4,0)*K8342</f>
        <v/>
      </c>
      <c r="P8342" s="148">
        <f>M8342/1.1</f>
        <v/>
      </c>
      <c r="Q8342" s="94">
        <f>F8342&amp;E8342&amp;G8342&amp;L8342</f>
        <v/>
      </c>
    </row>
    <row r="8343" customFormat="1" s="94">
      <c r="B8343" s="128" t="n">
        <v>44054</v>
      </c>
      <c r="C8343" s="94">
        <f>TEXT(B8343,"aaa")</f>
        <v/>
      </c>
      <c r="E8343" s="94" t="inlineStr">
        <is>
          <t>머드크림마스크</t>
        </is>
      </c>
      <c r="F8343" s="94" t="inlineStr">
        <is>
          <t>카페24</t>
        </is>
      </c>
      <c r="G8343" s="94" t="inlineStr">
        <is>
          <t>머드크림마스크 100ml</t>
        </is>
      </c>
      <c r="H8343" s="7" t="n">
        <v>190801</v>
      </c>
      <c r="I8343" s="7" t="n">
        <v>190801</v>
      </c>
      <c r="K8343" s="94" t="n">
        <v>2</v>
      </c>
      <c r="L8343" s="94" t="n">
        <v>190801</v>
      </c>
      <c r="M8343" s="94">
        <f>VLOOKUP($Q8343,매칭테이블!$F:$I,2,0)*K8343</f>
        <v/>
      </c>
      <c r="N8343" s="94">
        <f>M8343-M8343*VLOOKUP($Q8343,매칭테이블!$F:$I,3,0)</f>
        <v/>
      </c>
      <c r="O8343" s="94">
        <f>VLOOKUP($Q8343,매칭테이블!$F:$I,4,0)*K8343</f>
        <v/>
      </c>
      <c r="P8343" s="148">
        <f>M8343/1.1</f>
        <v/>
      </c>
      <c r="Q8343" s="94">
        <f>F8343&amp;E8343&amp;G8343&amp;L8343</f>
        <v/>
      </c>
    </row>
    <row r="8344" customFormat="1" s="94">
      <c r="B8344" s="128" t="n">
        <v>44054</v>
      </c>
      <c r="C8344" s="94">
        <f>TEXT(B8344,"aaa")</f>
        <v/>
      </c>
      <c r="E8344" s="94" t="inlineStr">
        <is>
          <t>마스크팩</t>
        </is>
      </c>
      <c r="F8344" s="94" t="inlineStr">
        <is>
          <t>카페24</t>
        </is>
      </c>
      <c r="G8344" s="94" t="inlineStr">
        <is>
          <t>마스크팩 10매</t>
        </is>
      </c>
      <c r="H8344" s="7" t="n">
        <v>190801</v>
      </c>
      <c r="I8344" s="7" t="n">
        <v>190801</v>
      </c>
      <c r="K8344" s="94" t="n">
        <v>6</v>
      </c>
      <c r="L8344" s="94" t="n">
        <v>190801</v>
      </c>
      <c r="M8344" s="94">
        <f>VLOOKUP($Q8344,매칭테이블!$F:$I,2,0)*K8344</f>
        <v/>
      </c>
      <c r="N8344" s="94">
        <f>M8344-M8344*VLOOKUP($Q8344,매칭테이블!$F:$I,3,0)</f>
        <v/>
      </c>
      <c r="O8344" s="94">
        <f>VLOOKUP($Q8344,매칭테이블!$F:$I,4,0)*K8344</f>
        <v/>
      </c>
      <c r="P8344" s="148">
        <f>M8344/1.1</f>
        <v/>
      </c>
      <c r="Q8344" s="94">
        <f>F8344&amp;E8344&amp;G8344&amp;L8344</f>
        <v/>
      </c>
    </row>
    <row r="8345" customFormat="1" s="94">
      <c r="B8345" s="128" t="n">
        <v>44054</v>
      </c>
      <c r="C8345" s="94">
        <f>TEXT(B8345,"aaa")</f>
        <v/>
      </c>
      <c r="E8345" s="94" t="inlineStr">
        <is>
          <t>토너</t>
        </is>
      </c>
      <c r="F8345" s="94" t="inlineStr">
        <is>
          <t>카페24</t>
        </is>
      </c>
      <c r="G8345" s="94" t="inlineStr">
        <is>
          <t>250ml</t>
        </is>
      </c>
      <c r="H8345" s="7" t="n">
        <v>190801</v>
      </c>
      <c r="I8345" s="7" t="n">
        <v>190801</v>
      </c>
      <c r="K8345" s="94" t="n">
        <v>101</v>
      </c>
      <c r="L8345" s="94" t="n">
        <v>190801</v>
      </c>
      <c r="M8345" s="94">
        <f>VLOOKUP($Q8345,매칭테이블!$F:$I,2,0)*K8345</f>
        <v/>
      </c>
      <c r="N8345" s="94">
        <f>M8345-M8345*VLOOKUP($Q8345,매칭테이블!$F:$I,3,0)</f>
        <v/>
      </c>
      <c r="O8345" s="94">
        <f>VLOOKUP($Q8345,매칭테이블!$F:$I,4,0)*K8345</f>
        <v/>
      </c>
      <c r="P8345" s="148">
        <f>M8345/1.1</f>
        <v/>
      </c>
      <c r="Q8345" s="94">
        <f>F8345&amp;E8345&amp;G8345&amp;L8345</f>
        <v/>
      </c>
    </row>
    <row r="8346" customFormat="1" s="94">
      <c r="B8346" s="128" t="n">
        <v>44054</v>
      </c>
      <c r="C8346" s="94">
        <f>TEXT(B8346,"aaa")</f>
        <v/>
      </c>
      <c r="E8346" s="94" t="inlineStr">
        <is>
          <t>토너</t>
        </is>
      </c>
      <c r="F8346" s="94" t="inlineStr">
        <is>
          <t>카페24</t>
        </is>
      </c>
      <c r="G8346" s="94" t="inlineStr">
        <is>
          <t>250ml 2set</t>
        </is>
      </c>
      <c r="H8346" s="7" t="n">
        <v>190801</v>
      </c>
      <c r="I8346" s="7" t="n">
        <v>190801</v>
      </c>
      <c r="K8346" s="94" t="n">
        <v>84</v>
      </c>
      <c r="L8346" s="94" t="n">
        <v>190801</v>
      </c>
      <c r="M8346" s="94">
        <f>VLOOKUP($Q8346,매칭테이블!$F:$I,2,0)*K8346</f>
        <v/>
      </c>
      <c r="N8346" s="94">
        <f>M8346-M8346*VLOOKUP($Q8346,매칭테이블!$F:$I,3,0)</f>
        <v/>
      </c>
      <c r="O8346" s="94">
        <f>VLOOKUP($Q8346,매칭테이블!$F:$I,4,0)*K8346</f>
        <v/>
      </c>
      <c r="P8346" s="148">
        <f>M8346/1.1</f>
        <v/>
      </c>
      <c r="Q8346" s="94">
        <f>F8346&amp;E8346&amp;G8346&amp;L8346</f>
        <v/>
      </c>
    </row>
    <row r="8347" customFormat="1" s="94">
      <c r="B8347" s="128" t="n">
        <v>44054</v>
      </c>
      <c r="C8347" s="94">
        <f>TEXT(B8347,"aaa")</f>
        <v/>
      </c>
      <c r="E8347" s="94" t="inlineStr">
        <is>
          <t>토너</t>
        </is>
      </c>
      <c r="F8347" s="94" t="inlineStr">
        <is>
          <t>카페24</t>
        </is>
      </c>
      <c r="G8347" s="94" t="inlineStr">
        <is>
          <t>500ml</t>
        </is>
      </c>
      <c r="H8347" s="7" t="n">
        <v>190801</v>
      </c>
      <c r="I8347" s="7" t="n">
        <v>190801</v>
      </c>
      <c r="K8347" s="94" t="n">
        <v>67</v>
      </c>
      <c r="L8347" s="94" t="n">
        <v>190801</v>
      </c>
      <c r="M8347" s="94">
        <f>VLOOKUP($Q8347,매칭테이블!$F:$I,2,0)*K8347</f>
        <v/>
      </c>
      <c r="N8347" s="94">
        <f>M8347-M8347*VLOOKUP($Q8347,매칭테이블!$F:$I,3,0)</f>
        <v/>
      </c>
      <c r="O8347" s="94">
        <f>VLOOKUP($Q8347,매칭테이블!$F:$I,4,0)*K8347</f>
        <v/>
      </c>
      <c r="P8347" s="148">
        <f>M8347/1.1</f>
        <v/>
      </c>
      <c r="Q8347" s="94">
        <f>F8347&amp;E8347&amp;G8347&amp;L8347</f>
        <v/>
      </c>
    </row>
    <row r="8348" customFormat="1" s="94">
      <c r="B8348" s="128" t="n">
        <v>44054</v>
      </c>
      <c r="C8348" s="94">
        <f>TEXT(B8348,"aaa")</f>
        <v/>
      </c>
      <c r="E8348" s="94" t="inlineStr">
        <is>
          <t>앰플</t>
        </is>
      </c>
      <c r="F8348" s="94" t="inlineStr">
        <is>
          <t>카페24</t>
        </is>
      </c>
      <c r="G8348" s="94" t="inlineStr">
        <is>
          <t>앰플 30ml</t>
        </is>
      </c>
      <c r="H8348" s="7" t="n">
        <v>190801</v>
      </c>
      <c r="I8348" s="7" t="n">
        <v>190801</v>
      </c>
      <c r="K8348" s="94" t="n">
        <v>23</v>
      </c>
      <c r="L8348" s="94" t="n">
        <v>190801</v>
      </c>
      <c r="M8348" s="94">
        <f>VLOOKUP($Q8348,매칭테이블!$F:$I,2,0)*K8348</f>
        <v/>
      </c>
      <c r="N8348" s="94">
        <f>M8348-M8348*VLOOKUP($Q8348,매칭테이블!$F:$I,3,0)</f>
        <v/>
      </c>
      <c r="O8348" s="94">
        <f>VLOOKUP($Q8348,매칭테이블!$F:$I,4,0)*K8348</f>
        <v/>
      </c>
      <c r="P8348" s="148">
        <f>M8348/1.1</f>
        <v/>
      </c>
      <c r="Q8348" s="94">
        <f>F8348&amp;E8348&amp;G8348&amp;L8348</f>
        <v/>
      </c>
    </row>
    <row r="8349" customFormat="1" s="94">
      <c r="B8349" s="128" t="n">
        <v>44054</v>
      </c>
      <c r="C8349" s="94">
        <f>TEXT(B8349,"aaa")</f>
        <v/>
      </c>
      <c r="E8349" s="94" t="inlineStr">
        <is>
          <t>수딩크림</t>
        </is>
      </c>
      <c r="F8349" s="94" t="inlineStr">
        <is>
          <t>카페24</t>
        </is>
      </c>
      <c r="G8349" s="94" t="inlineStr">
        <is>
          <t>수딩크림 100ml</t>
        </is>
      </c>
      <c r="H8349" s="7" t="n">
        <v>190801</v>
      </c>
      <c r="I8349" s="7" t="n">
        <v>190801</v>
      </c>
      <c r="K8349" s="94" t="n">
        <v>8</v>
      </c>
      <c r="L8349" s="94" t="n">
        <v>190801</v>
      </c>
      <c r="M8349" s="94">
        <f>VLOOKUP($Q8349,매칭테이블!$F:$I,2,0)*K8349</f>
        <v/>
      </c>
      <c r="N8349" s="94">
        <f>M8349-M8349*VLOOKUP($Q8349,매칭테이블!$F:$I,3,0)</f>
        <v/>
      </c>
      <c r="O8349" s="94">
        <f>VLOOKUP($Q8349,매칭테이블!$F:$I,4,0)*K8349</f>
        <v/>
      </c>
      <c r="P8349" s="148">
        <f>M8349/1.1</f>
        <v/>
      </c>
      <c r="Q8349" s="94">
        <f>F8349&amp;E8349&amp;G8349&amp;L8349</f>
        <v/>
      </c>
    </row>
    <row r="8350" customFormat="1" s="94">
      <c r="B8350" s="128" t="n">
        <v>44054</v>
      </c>
      <c r="C8350" s="94">
        <f>TEXT(B8350,"aaa")</f>
        <v/>
      </c>
      <c r="E8350" s="94" t="inlineStr">
        <is>
          <t>토너</t>
        </is>
      </c>
      <c r="F8350" s="94" t="inlineStr">
        <is>
          <t>아누아 CS</t>
        </is>
      </c>
      <c r="G8350" s="94" t="inlineStr">
        <is>
          <t>250ml</t>
        </is>
      </c>
      <c r="H8350" s="7" t="n">
        <v>190801</v>
      </c>
      <c r="I8350" s="7" t="n">
        <v>190801</v>
      </c>
      <c r="K8350" s="94" t="n">
        <v>20</v>
      </c>
      <c r="L8350" s="94" t="n">
        <v>190801</v>
      </c>
      <c r="M8350" s="94">
        <f>VLOOKUP($Q8350,매칭테이블!$F:$I,2,0)*K8350</f>
        <v/>
      </c>
      <c r="N8350" s="94">
        <f>M8350-M8350*VLOOKUP($Q8350,매칭테이블!$F:$I,3,0)</f>
        <v/>
      </c>
      <c r="O8350" s="94">
        <f>VLOOKUP($Q8350,매칭테이블!$F:$I,4,0)*K8350</f>
        <v/>
      </c>
      <c r="P8350" s="148">
        <f>M8350/1.1</f>
        <v/>
      </c>
      <c r="Q8350" s="94">
        <f>F8350&amp;E8350&amp;G8350&amp;L8350</f>
        <v/>
      </c>
    </row>
    <row r="8351" customFormat="1" s="94">
      <c r="B8351" s="128" t="n">
        <v>44054</v>
      </c>
      <c r="C8351" s="94">
        <f>TEXT(B8351,"aaa")</f>
        <v/>
      </c>
      <c r="E8351" s="94" t="inlineStr">
        <is>
          <t>토너</t>
        </is>
      </c>
      <c r="F8351" s="94" t="inlineStr">
        <is>
          <t>큐텐재팬</t>
        </is>
      </c>
      <c r="G8351" s="94" t="inlineStr">
        <is>
          <t>200726=250ml</t>
        </is>
      </c>
      <c r="H8351" s="7" t="n">
        <v>190801</v>
      </c>
      <c r="I8351" s="7" t="n">
        <v>190801</v>
      </c>
      <c r="K8351" s="94" t="n">
        <v>13</v>
      </c>
      <c r="L8351" s="94" t="n">
        <v>190801</v>
      </c>
      <c r="M8351" s="94">
        <f>VLOOKUP($Q8351,매칭테이블!$F:$I,2,0)*K8351</f>
        <v/>
      </c>
      <c r="N8351" s="94">
        <f>M8351-M8351*VLOOKUP($Q8351,매칭테이블!$F:$I,3,0)</f>
        <v/>
      </c>
      <c r="O8351" s="94">
        <f>VLOOKUP($Q8351,매칭테이블!$F:$I,4,0)*K8351</f>
        <v/>
      </c>
      <c r="P8351" s="148">
        <f>M8351/1.1</f>
        <v/>
      </c>
      <c r="Q8351" s="94">
        <f>F8351&amp;E8351&amp;G8351&amp;L8351</f>
        <v/>
      </c>
    </row>
    <row r="8352" customFormat="1" s="94">
      <c r="B8352" s="128" t="n">
        <v>44054</v>
      </c>
      <c r="C8352" s="94">
        <f>TEXT(B8352,"aaa")</f>
        <v/>
      </c>
      <c r="E8352" s="94" t="inlineStr">
        <is>
          <t>수딩크림</t>
        </is>
      </c>
      <c r="F8352" s="94" t="inlineStr">
        <is>
          <t>큐텐재팬</t>
        </is>
      </c>
      <c r="G8352" s="94" t="inlineStr">
        <is>
          <t>200726=수딩크림 100ml</t>
        </is>
      </c>
      <c r="H8352" s="7" t="n">
        <v>190801</v>
      </c>
      <c r="I8352" s="7" t="n">
        <v>190801</v>
      </c>
      <c r="K8352" s="94" t="n">
        <v>1</v>
      </c>
      <c r="L8352" s="94" t="n">
        <v>190801</v>
      </c>
      <c r="M8352" s="94">
        <f>VLOOKUP($Q8352,매칭테이블!$F:$I,2,0)*K8352</f>
        <v/>
      </c>
      <c r="N8352" s="94">
        <f>M8352-M8352*VLOOKUP($Q8352,매칭테이블!$F:$I,3,0)</f>
        <v/>
      </c>
      <c r="O8352" s="94">
        <f>VLOOKUP($Q8352,매칭테이블!$F:$I,4,0)*K8352</f>
        <v/>
      </c>
      <c r="P8352" s="148">
        <f>M8352/1.1</f>
        <v/>
      </c>
      <c r="Q8352" s="94">
        <f>F8352&amp;E8352&amp;G8352&amp;L8352</f>
        <v/>
      </c>
    </row>
    <row r="8353" customFormat="1" s="94">
      <c r="B8353" s="128" t="n">
        <v>44054</v>
      </c>
      <c r="C8353" s="94">
        <f>TEXT(B8353,"aaa")</f>
        <v/>
      </c>
      <c r="E8353" s="94" t="inlineStr">
        <is>
          <t>토너</t>
        </is>
      </c>
      <c r="F8353" s="94" t="inlineStr">
        <is>
          <t>큐텐싱가폴</t>
        </is>
      </c>
      <c r="G8353" s="94" t="inlineStr">
        <is>
          <t>200726=250ml</t>
        </is>
      </c>
      <c r="H8353" s="7" t="n">
        <v>190801</v>
      </c>
      <c r="I8353" s="7" t="n">
        <v>190801</v>
      </c>
      <c r="K8353" s="94" t="n">
        <v>1</v>
      </c>
      <c r="L8353" s="94" t="n">
        <v>190801</v>
      </c>
      <c r="M8353" s="94">
        <f>VLOOKUP($Q8353,매칭테이블!$F:$I,2,0)*K8353</f>
        <v/>
      </c>
      <c r="N8353" s="94">
        <f>M8353-M8353*VLOOKUP($Q8353,매칭테이블!$F:$I,3,0)</f>
        <v/>
      </c>
      <c r="O8353" s="94">
        <f>VLOOKUP($Q8353,매칭테이블!$F:$I,4,0)*K8353</f>
        <v/>
      </c>
      <c r="P8353" s="148">
        <f>M8353/1.1</f>
        <v/>
      </c>
      <c r="Q8353" s="94">
        <f>F8353&amp;E8353&amp;G8353&amp;L8353</f>
        <v/>
      </c>
    </row>
    <row r="8354" customFormat="1" s="94">
      <c r="B8354" s="128" t="n">
        <v>44054</v>
      </c>
      <c r="C8354" s="94">
        <f>TEXT(B8354,"aaa")</f>
        <v/>
      </c>
      <c r="E8354" s="94" t="inlineStr">
        <is>
          <t>토너</t>
        </is>
      </c>
      <c r="F8354" s="94" t="inlineStr">
        <is>
          <t>큐텐싱가폴</t>
        </is>
      </c>
      <c r="G8354" s="94" t="inlineStr">
        <is>
          <t>200726=250ml = 화장솜 60P</t>
        </is>
      </c>
      <c r="H8354" s="7" t="n">
        <v>190801</v>
      </c>
      <c r="I8354" s="7" t="n">
        <v>190801</v>
      </c>
      <c r="K8354" s="94" t="n">
        <v>1</v>
      </c>
      <c r="L8354" s="94" t="n">
        <v>190801</v>
      </c>
      <c r="M8354" s="94">
        <f>VLOOKUP($Q8354,매칭테이블!$F:$I,2,0)*K8354</f>
        <v/>
      </c>
      <c r="N8354" s="94">
        <f>M8354-M8354*VLOOKUP($Q8354,매칭테이블!$F:$I,3,0)</f>
        <v/>
      </c>
      <c r="O8354" s="94">
        <f>VLOOKUP($Q8354,매칭테이블!$F:$I,4,0)*K8354</f>
        <v/>
      </c>
      <c r="P8354" s="148">
        <f>M8354/1.1</f>
        <v/>
      </c>
      <c r="Q8354" s="94">
        <f>F8354&amp;E8354&amp;G8354&amp;L8354</f>
        <v/>
      </c>
    </row>
    <row r="8355" customFormat="1" s="94">
      <c r="B8355" s="128" t="n">
        <v>44054</v>
      </c>
      <c r="C8355" s="94">
        <f>TEXT(B8355,"aaa")</f>
        <v/>
      </c>
      <c r="E8355" s="94" t="inlineStr">
        <is>
          <t>토너</t>
        </is>
      </c>
      <c r="F8355" s="94" t="inlineStr">
        <is>
          <t>쇼피말레이시아</t>
        </is>
      </c>
      <c r="G8355" s="94" t="inlineStr">
        <is>
          <t>200812=250ml</t>
        </is>
      </c>
      <c r="H8355" s="7" t="n">
        <v>190801</v>
      </c>
      <c r="I8355" s="7" t="n">
        <v>190801</v>
      </c>
      <c r="K8355" s="94" t="n">
        <v>2</v>
      </c>
      <c r="L8355" s="94" t="n">
        <v>190801</v>
      </c>
      <c r="M8355" s="94">
        <f>VLOOKUP($Q8355,매칭테이블!$F:$I,2,0)*K8355</f>
        <v/>
      </c>
      <c r="N8355" s="94">
        <f>M8355-M8355*VLOOKUP($Q8355,매칭테이블!$F:$I,3,0)</f>
        <v/>
      </c>
      <c r="O8355" s="94">
        <f>VLOOKUP($Q8355,매칭테이블!$F:$I,4,0)*K8355</f>
        <v/>
      </c>
      <c r="P8355" s="148">
        <f>M8355/1.1</f>
        <v/>
      </c>
      <c r="Q8355" s="94">
        <f>F8355&amp;E8355&amp;G8355&amp;L8355</f>
        <v/>
      </c>
    </row>
    <row r="8356" customFormat="1" s="94">
      <c r="B8356" s="128" t="n">
        <v>44054</v>
      </c>
      <c r="C8356" s="94">
        <f>TEXT(B8356,"aaa")</f>
        <v/>
      </c>
      <c r="E8356" s="94" t="inlineStr">
        <is>
          <t>토너</t>
        </is>
      </c>
      <c r="F8356" s="94" t="inlineStr">
        <is>
          <t>화해</t>
        </is>
      </c>
      <c r="G8356" s="94" t="inlineStr">
        <is>
          <t>250ml</t>
        </is>
      </c>
      <c r="H8356" s="7" t="n">
        <v>190801</v>
      </c>
      <c r="I8356" s="7" t="n">
        <v>190801</v>
      </c>
      <c r="K8356" s="94" t="n">
        <v>9</v>
      </c>
      <c r="L8356" s="94" t="n">
        <v>190801</v>
      </c>
      <c r="M8356" s="94">
        <f>VLOOKUP($Q8356,매칭테이블!$F:$I,2,0)*K8356</f>
        <v/>
      </c>
      <c r="N8356" s="94">
        <f>M8356-M8356*VLOOKUP($Q8356,매칭테이블!$F:$I,3,0)</f>
        <v/>
      </c>
      <c r="O8356" s="94">
        <f>VLOOKUP($Q8356,매칭테이블!$F:$I,4,0)*K8356</f>
        <v/>
      </c>
      <c r="P8356" s="148">
        <f>M8356/1.1</f>
        <v/>
      </c>
      <c r="Q8356" s="94">
        <f>F8356&amp;E8356&amp;G8356&amp;L8356</f>
        <v/>
      </c>
    </row>
    <row r="8357" customFormat="1" s="94">
      <c r="B8357" s="128" t="n">
        <v>44055</v>
      </c>
      <c r="C8357" s="94">
        <f>TEXT(B8357,"aaa")</f>
        <v/>
      </c>
      <c r="E8357" s="94" t="inlineStr">
        <is>
          <t>토너</t>
        </is>
      </c>
      <c r="F8357" s="94" t="inlineStr">
        <is>
          <t>W컨셉</t>
        </is>
      </c>
      <c r="G8357" s="94" t="inlineStr">
        <is>
          <t>250ml</t>
        </is>
      </c>
      <c r="H8357" s="7" t="n">
        <v>190801</v>
      </c>
      <c r="I8357" s="7" t="n">
        <v>190801</v>
      </c>
      <c r="K8357" s="94" t="n">
        <v>3</v>
      </c>
      <c r="L8357" s="94" t="n">
        <v>190801</v>
      </c>
      <c r="M8357" s="94">
        <f>VLOOKUP($Q8357,매칭테이블!$F:$I,2,0)*K8357</f>
        <v/>
      </c>
      <c r="N8357" s="94">
        <f>M8357-M8357*VLOOKUP($Q8357,매칭테이블!$F:$I,3,0)</f>
        <v/>
      </c>
      <c r="O8357" s="94">
        <f>VLOOKUP($Q8357,매칭테이블!$F:$I,4,0)*K8357</f>
        <v/>
      </c>
      <c r="P8357" s="148">
        <f>M8357/1.1</f>
        <v/>
      </c>
      <c r="Q8357" s="94">
        <f>F8357&amp;E8357&amp;G8357&amp;L8357</f>
        <v/>
      </c>
    </row>
    <row r="8358" customFormat="1" s="94">
      <c r="B8358" s="128" t="n">
        <v>44055</v>
      </c>
      <c r="C8358" s="94">
        <f>TEXT(B8358,"aaa")</f>
        <v/>
      </c>
      <c r="E8358" s="94" t="inlineStr">
        <is>
          <t>토너</t>
        </is>
      </c>
      <c r="F8358" s="94" t="inlineStr">
        <is>
          <t>W컨셉</t>
        </is>
      </c>
      <c r="G8358" s="94" t="inlineStr">
        <is>
          <t>250ml 2set</t>
        </is>
      </c>
      <c r="H8358" s="7" t="n">
        <v>190801</v>
      </c>
      <c r="I8358" s="7" t="n">
        <v>190801</v>
      </c>
      <c r="K8358" s="94" t="n">
        <v>3</v>
      </c>
      <c r="L8358" s="94" t="n">
        <v>190801</v>
      </c>
      <c r="M8358" s="94">
        <f>VLOOKUP($Q8358,매칭테이블!$F:$I,2,0)*K8358</f>
        <v/>
      </c>
      <c r="N8358" s="94">
        <f>M8358-M8358*VLOOKUP($Q8358,매칭테이블!$F:$I,3,0)</f>
        <v/>
      </c>
      <c r="O8358" s="94">
        <f>VLOOKUP($Q8358,매칭테이블!$F:$I,4,0)*K8358</f>
        <v/>
      </c>
      <c r="P8358" s="148">
        <f>M8358/1.1</f>
        <v/>
      </c>
      <c r="Q8358" s="94">
        <f>F8358&amp;E8358&amp;G8358&amp;L8358</f>
        <v/>
      </c>
    </row>
    <row r="8359" customFormat="1" s="94">
      <c r="B8359" s="128" t="n">
        <v>44055</v>
      </c>
      <c r="C8359" s="94">
        <f>TEXT(B8359,"aaa")</f>
        <v/>
      </c>
      <c r="E8359" s="94" t="inlineStr">
        <is>
          <t>마스크팩</t>
        </is>
      </c>
      <c r="F8359" s="94" t="inlineStr">
        <is>
          <t>글로우데이즈 시코르</t>
        </is>
      </c>
      <c r="G8359" s="94" t="inlineStr">
        <is>
          <t>마스크팩=마스크팩 1매</t>
        </is>
      </c>
      <c r="H8359" s="7" t="n">
        <v>190801</v>
      </c>
      <c r="I8359" s="7" t="n">
        <v>190801</v>
      </c>
      <c r="K8359" s="94" t="n">
        <v>30</v>
      </c>
      <c r="L8359" s="94" t="n">
        <v>190801</v>
      </c>
      <c r="M8359" s="94">
        <f>VLOOKUP($Q8359,매칭테이블!$F:$I,2,0)*K8359</f>
        <v/>
      </c>
      <c r="N8359" s="94">
        <f>M8359-M8359*VLOOKUP($Q8359,매칭테이블!$F:$I,3,0)</f>
        <v/>
      </c>
      <c r="O8359" s="94">
        <f>VLOOKUP($Q8359,매칭테이블!$F:$I,4,0)*K8359</f>
        <v/>
      </c>
      <c r="P8359" s="148">
        <f>M8359/1.1</f>
        <v/>
      </c>
      <c r="Q8359" s="94">
        <f>F8359&amp;E8359&amp;G8359&amp;L8359</f>
        <v/>
      </c>
    </row>
    <row r="8360" customFormat="1" s="94">
      <c r="B8360" s="128" t="n">
        <v>44055</v>
      </c>
      <c r="C8360" s="94">
        <f>TEXT(B8360,"aaa")</f>
        <v/>
      </c>
      <c r="E8360" s="94" t="inlineStr">
        <is>
          <t>토너</t>
        </is>
      </c>
      <c r="F8360" s="94" t="inlineStr">
        <is>
          <t>스타일쉐어</t>
        </is>
      </c>
      <c r="G8360" s="94" t="inlineStr">
        <is>
          <t>250ml</t>
        </is>
      </c>
      <c r="H8360" s="7" t="n">
        <v>190801</v>
      </c>
      <c r="I8360" s="7" t="n">
        <v>190801</v>
      </c>
      <c r="K8360" s="94" t="n">
        <v>5</v>
      </c>
      <c r="L8360" s="94" t="n">
        <v>190801</v>
      </c>
      <c r="M8360" s="94">
        <f>VLOOKUP($Q8360,매칭테이블!$F:$I,2,0)*K8360</f>
        <v/>
      </c>
      <c r="N8360" s="94">
        <f>M8360-M8360*VLOOKUP($Q8360,매칭테이블!$F:$I,3,0)</f>
        <v/>
      </c>
      <c r="O8360" s="94">
        <f>VLOOKUP($Q8360,매칭테이블!$F:$I,4,0)*K8360</f>
        <v/>
      </c>
      <c r="P8360" s="148">
        <f>M8360/1.1</f>
        <v/>
      </c>
      <c r="Q8360" s="94">
        <f>F8360&amp;E8360&amp;G8360&amp;L8360</f>
        <v/>
      </c>
    </row>
    <row r="8361" customFormat="1" s="94">
      <c r="B8361" s="128" t="n">
        <v>44055</v>
      </c>
      <c r="C8361" s="94">
        <f>TEXT(B8361,"aaa")</f>
        <v/>
      </c>
      <c r="E8361" s="94" t="inlineStr">
        <is>
          <t>선크림</t>
        </is>
      </c>
      <c r="F8361" s="94" t="inlineStr">
        <is>
          <t>카페24</t>
        </is>
      </c>
      <c r="G8361" s="94" t="inlineStr">
        <is>
          <t>선크림 50ml</t>
        </is>
      </c>
      <c r="H8361" s="7" t="n">
        <v>190801</v>
      </c>
      <c r="I8361" s="7" t="n">
        <v>190801</v>
      </c>
      <c r="K8361" s="94" t="n">
        <v>7</v>
      </c>
      <c r="L8361" s="94" t="n">
        <v>190801</v>
      </c>
      <c r="M8361" s="94">
        <f>VLOOKUP($Q8361,매칭테이블!$F:$I,2,0)*K8361</f>
        <v/>
      </c>
      <c r="N8361" s="94">
        <f>M8361-M8361*VLOOKUP($Q8361,매칭테이블!$F:$I,3,0)</f>
        <v/>
      </c>
      <c r="O8361" s="94">
        <f>VLOOKUP($Q8361,매칭테이블!$F:$I,4,0)*K8361</f>
        <v/>
      </c>
      <c r="P8361" s="148">
        <f>M8361/1.1</f>
        <v/>
      </c>
      <c r="Q8361" s="94">
        <f>F8361&amp;E8361&amp;G8361&amp;L8361</f>
        <v/>
      </c>
    </row>
    <row r="8362" customFormat="1" s="94">
      <c r="B8362" s="128" t="n">
        <v>44055</v>
      </c>
      <c r="C8362" s="94">
        <f>TEXT(B8362,"aaa")</f>
        <v/>
      </c>
      <c r="E8362" s="94" t="inlineStr">
        <is>
          <t>선크림</t>
        </is>
      </c>
      <c r="F8362" s="94" t="inlineStr">
        <is>
          <t>카페24</t>
        </is>
      </c>
      <c r="G8362" s="94" t="inlineStr">
        <is>
          <t>선크림 50ml  2set</t>
        </is>
      </c>
      <c r="H8362" s="7" t="n">
        <v>190801</v>
      </c>
      <c r="I8362" s="7" t="n">
        <v>190801</v>
      </c>
      <c r="K8362" s="94" t="n">
        <v>4</v>
      </c>
      <c r="L8362" s="94" t="n">
        <v>190801</v>
      </c>
      <c r="M8362" s="94">
        <f>VLOOKUP($Q8362,매칭테이블!$F:$I,2,0)*K8362</f>
        <v/>
      </c>
      <c r="N8362" s="94">
        <f>M8362-M8362*VLOOKUP($Q8362,매칭테이블!$F:$I,3,0)</f>
        <v/>
      </c>
      <c r="O8362" s="94">
        <f>VLOOKUP($Q8362,매칭테이블!$F:$I,4,0)*K8362</f>
        <v/>
      </c>
      <c r="P8362" s="148">
        <f>M8362/1.1</f>
        <v/>
      </c>
      <c r="Q8362" s="94">
        <f>F8362&amp;E8362&amp;G8362&amp;L8362</f>
        <v/>
      </c>
    </row>
    <row r="8363" customFormat="1" s="94">
      <c r="B8363" s="128" t="n">
        <v>44055</v>
      </c>
      <c r="C8363" s="94">
        <f>TEXT(B8363,"aaa")</f>
        <v/>
      </c>
      <c r="E8363" s="94" t="inlineStr">
        <is>
          <t>여름 한정 진정세트</t>
        </is>
      </c>
      <c r="F8363" s="94" t="inlineStr">
        <is>
          <t>카페24</t>
        </is>
      </c>
      <c r="G8363" s="94" t="inlineStr">
        <is>
          <t>여름 한정 진정세트</t>
        </is>
      </c>
      <c r="H8363" s="7" t="n">
        <v>190801</v>
      </c>
      <c r="I8363" s="7" t="n">
        <v>190801</v>
      </c>
      <c r="K8363" s="94" t="n">
        <v>4</v>
      </c>
      <c r="L8363" s="94" t="n">
        <v>190801</v>
      </c>
      <c r="M8363" s="94">
        <f>VLOOKUP($Q8363,매칭테이블!$F:$I,2,0)*K8363</f>
        <v/>
      </c>
      <c r="N8363" s="94">
        <f>M8363-M8363*VLOOKUP($Q8363,매칭테이블!$F:$I,3,0)</f>
        <v/>
      </c>
      <c r="O8363" s="94">
        <f>VLOOKUP($Q8363,매칭테이블!$F:$I,4,0)*K8363</f>
        <v/>
      </c>
      <c r="P8363" s="148">
        <f>M8363/1.1</f>
        <v/>
      </c>
      <c r="Q8363" s="94">
        <f>F8363&amp;E8363&amp;G8363&amp;L8363</f>
        <v/>
      </c>
    </row>
    <row r="8364" customFormat="1" s="94">
      <c r="B8364" s="128" t="n">
        <v>44055</v>
      </c>
      <c r="C8364" s="94">
        <f>TEXT(B8364,"aaa")</f>
        <v/>
      </c>
      <c r="E8364" s="94" t="inlineStr">
        <is>
          <t>여름 한정 진정세트</t>
        </is>
      </c>
      <c r="F8364" s="94" t="inlineStr">
        <is>
          <t>카페24</t>
        </is>
      </c>
      <c r="G8364" s="94" t="inlineStr">
        <is>
          <t>여름 한정 진정세트 (대용량)</t>
        </is>
      </c>
      <c r="H8364" s="7" t="n">
        <v>190801</v>
      </c>
      <c r="I8364" s="7" t="n">
        <v>190801</v>
      </c>
      <c r="K8364" s="94" t="n">
        <v>4</v>
      </c>
      <c r="L8364" s="94" t="n">
        <v>190801</v>
      </c>
      <c r="M8364" s="94">
        <f>VLOOKUP($Q8364,매칭테이블!$F:$I,2,0)*K8364</f>
        <v/>
      </c>
      <c r="N8364" s="94">
        <f>M8364-M8364*VLOOKUP($Q8364,매칭테이블!$F:$I,3,0)</f>
        <v/>
      </c>
      <c r="O8364" s="94">
        <f>VLOOKUP($Q8364,매칭테이블!$F:$I,4,0)*K8364</f>
        <v/>
      </c>
      <c r="P8364" s="148">
        <f>M8364/1.1</f>
        <v/>
      </c>
      <c r="Q8364" s="94">
        <f>F8364&amp;E8364&amp;G8364&amp;L8364</f>
        <v/>
      </c>
    </row>
    <row r="8365" customFormat="1" s="94">
      <c r="B8365" s="128" t="n">
        <v>44055</v>
      </c>
      <c r="C8365" s="94">
        <f>TEXT(B8365,"aaa")</f>
        <v/>
      </c>
      <c r="E8365" s="94" t="inlineStr">
        <is>
          <t>어성초진정패키지</t>
        </is>
      </c>
      <c r="F8365" s="94" t="inlineStr">
        <is>
          <t>카페24</t>
        </is>
      </c>
      <c r="G8365" s="94" t="inlineStr">
        <is>
          <t>어성초 진정패키지세트</t>
        </is>
      </c>
      <c r="H8365" s="7" t="n">
        <v>190801</v>
      </c>
      <c r="I8365" s="7" t="n">
        <v>190801</v>
      </c>
      <c r="K8365" s="94" t="n">
        <v>4</v>
      </c>
      <c r="L8365" s="94" t="n">
        <v>190801</v>
      </c>
      <c r="M8365" s="94">
        <f>VLOOKUP($Q8365,매칭테이블!$F:$I,2,0)*K8365</f>
        <v/>
      </c>
      <c r="N8365" s="94">
        <f>M8365-M8365*VLOOKUP($Q8365,매칭테이블!$F:$I,3,0)</f>
        <v/>
      </c>
      <c r="O8365" s="94">
        <f>VLOOKUP($Q8365,매칭테이블!$F:$I,4,0)*K8365</f>
        <v/>
      </c>
      <c r="P8365" s="148">
        <f>M8365/1.1</f>
        <v/>
      </c>
      <c r="Q8365" s="94">
        <f>F8365&amp;E8365&amp;G8365&amp;L8365</f>
        <v/>
      </c>
    </row>
    <row r="8366" customFormat="1" s="94">
      <c r="B8366" s="128" t="n">
        <v>44055</v>
      </c>
      <c r="C8366" s="94">
        <f>TEXT(B8366,"aaa")</f>
        <v/>
      </c>
      <c r="E8366" s="94" t="inlineStr">
        <is>
          <t>머드크림마스크</t>
        </is>
      </c>
      <c r="F8366" s="94" t="inlineStr">
        <is>
          <t>카페24</t>
        </is>
      </c>
      <c r="G8366" s="94" t="inlineStr">
        <is>
          <t>머드크림마스크 100ml</t>
        </is>
      </c>
      <c r="H8366" s="7" t="n">
        <v>190801</v>
      </c>
      <c r="I8366" s="7" t="n">
        <v>190801</v>
      </c>
      <c r="K8366" s="94" t="n">
        <v>3</v>
      </c>
      <c r="L8366" s="94" t="n">
        <v>190801</v>
      </c>
      <c r="M8366" s="94">
        <f>VLOOKUP($Q8366,매칭테이블!$F:$I,2,0)*K8366</f>
        <v/>
      </c>
      <c r="N8366" s="94">
        <f>M8366-M8366*VLOOKUP($Q8366,매칭테이블!$F:$I,3,0)</f>
        <v/>
      </c>
      <c r="O8366" s="94">
        <f>VLOOKUP($Q8366,매칭테이블!$F:$I,4,0)*K8366</f>
        <v/>
      </c>
      <c r="P8366" s="148">
        <f>M8366/1.1</f>
        <v/>
      </c>
      <c r="Q8366" s="94">
        <f>F8366&amp;E8366&amp;G8366&amp;L8366</f>
        <v/>
      </c>
    </row>
    <row r="8367" customFormat="1" s="94">
      <c r="B8367" s="128" t="n">
        <v>44055</v>
      </c>
      <c r="C8367" s="94">
        <f>TEXT(B8367,"aaa")</f>
        <v/>
      </c>
      <c r="E8367" s="94" t="inlineStr">
        <is>
          <t>마스크팩</t>
        </is>
      </c>
      <c r="F8367" s="94" t="inlineStr">
        <is>
          <t>카페24</t>
        </is>
      </c>
      <c r="G8367" s="94" t="inlineStr">
        <is>
          <t>마스크팩 1매</t>
        </is>
      </c>
      <c r="H8367" s="7" t="n">
        <v>190801</v>
      </c>
      <c r="I8367" s="7" t="n">
        <v>190801</v>
      </c>
      <c r="K8367" s="94" t="n">
        <v>22</v>
      </c>
      <c r="L8367" s="94" t="n">
        <v>190801</v>
      </c>
      <c r="M8367" s="94">
        <f>VLOOKUP($Q8367,매칭테이블!$F:$I,2,0)*K8367</f>
        <v/>
      </c>
      <c r="N8367" s="94">
        <f>M8367-M8367*VLOOKUP($Q8367,매칭테이블!$F:$I,3,0)</f>
        <v/>
      </c>
      <c r="O8367" s="94">
        <f>VLOOKUP($Q8367,매칭테이블!$F:$I,4,0)*K8367</f>
        <v/>
      </c>
      <c r="P8367" s="148">
        <f>M8367/1.1</f>
        <v/>
      </c>
      <c r="Q8367" s="94">
        <f>F8367&amp;E8367&amp;G8367&amp;L8367</f>
        <v/>
      </c>
    </row>
    <row r="8368" customFormat="1" s="94">
      <c r="B8368" s="128" t="n">
        <v>44055</v>
      </c>
      <c r="C8368" s="94">
        <f>TEXT(B8368,"aaa")</f>
        <v/>
      </c>
      <c r="E8368" s="94" t="inlineStr">
        <is>
          <t>마스크팩</t>
        </is>
      </c>
      <c r="F8368" s="94" t="inlineStr">
        <is>
          <t>카페24</t>
        </is>
      </c>
      <c r="G8368" s="94" t="inlineStr">
        <is>
          <t>마스크팩 10매</t>
        </is>
      </c>
      <c r="H8368" s="7" t="n">
        <v>190801</v>
      </c>
      <c r="I8368" s="7" t="n">
        <v>190801</v>
      </c>
      <c r="K8368" s="94" t="n">
        <v>4</v>
      </c>
      <c r="L8368" s="94" t="n">
        <v>190801</v>
      </c>
      <c r="M8368" s="94">
        <f>VLOOKUP($Q8368,매칭테이블!$F:$I,2,0)*K8368</f>
        <v/>
      </c>
      <c r="N8368" s="94">
        <f>M8368-M8368*VLOOKUP($Q8368,매칭테이블!$F:$I,3,0)</f>
        <v/>
      </c>
      <c r="O8368" s="94">
        <f>VLOOKUP($Q8368,매칭테이블!$F:$I,4,0)*K8368</f>
        <v/>
      </c>
      <c r="P8368" s="148">
        <f>M8368/1.1</f>
        <v/>
      </c>
      <c r="Q8368" s="94">
        <f>F8368&amp;E8368&amp;G8368&amp;L8368</f>
        <v/>
      </c>
    </row>
    <row r="8369" customFormat="1" s="94">
      <c r="B8369" s="128" t="n">
        <v>44055</v>
      </c>
      <c r="C8369" s="94">
        <f>TEXT(B8369,"aaa")</f>
        <v/>
      </c>
      <c r="E8369" s="94" t="inlineStr">
        <is>
          <t>토너</t>
        </is>
      </c>
      <c r="F8369" s="94" t="inlineStr">
        <is>
          <t>카페24</t>
        </is>
      </c>
      <c r="G8369" s="94" t="inlineStr">
        <is>
          <t>250ml</t>
        </is>
      </c>
      <c r="H8369" s="7" t="n">
        <v>190801</v>
      </c>
      <c r="I8369" s="7" t="n">
        <v>190801</v>
      </c>
      <c r="K8369" s="94" t="n">
        <v>75</v>
      </c>
      <c r="L8369" s="94" t="n">
        <v>190801</v>
      </c>
      <c r="M8369" s="94">
        <f>VLOOKUP($Q8369,매칭테이블!$F:$I,2,0)*K8369</f>
        <v/>
      </c>
      <c r="N8369" s="94">
        <f>M8369-M8369*VLOOKUP($Q8369,매칭테이블!$F:$I,3,0)</f>
        <v/>
      </c>
      <c r="O8369" s="94">
        <f>VLOOKUP($Q8369,매칭테이블!$F:$I,4,0)*K8369</f>
        <v/>
      </c>
      <c r="P8369" s="148">
        <f>M8369/1.1</f>
        <v/>
      </c>
      <c r="Q8369" s="94">
        <f>F8369&amp;E8369&amp;G8369&amp;L8369</f>
        <v/>
      </c>
    </row>
    <row r="8370" customFormat="1" s="94">
      <c r="B8370" s="128" t="n">
        <v>44055</v>
      </c>
      <c r="C8370" s="94">
        <f>TEXT(B8370,"aaa")</f>
        <v/>
      </c>
      <c r="E8370" s="94" t="inlineStr">
        <is>
          <t>토너</t>
        </is>
      </c>
      <c r="F8370" s="94" t="inlineStr">
        <is>
          <t>카페24</t>
        </is>
      </c>
      <c r="G8370" s="94" t="inlineStr">
        <is>
          <t>250ml 2set</t>
        </is>
      </c>
      <c r="H8370" s="7" t="n">
        <v>190801</v>
      </c>
      <c r="I8370" s="7" t="n">
        <v>190801</v>
      </c>
      <c r="K8370" s="94" t="n">
        <v>86</v>
      </c>
      <c r="L8370" s="94" t="n">
        <v>190801</v>
      </c>
      <c r="M8370" s="94">
        <f>VLOOKUP($Q8370,매칭테이블!$F:$I,2,0)*K8370</f>
        <v/>
      </c>
      <c r="N8370" s="94">
        <f>M8370-M8370*VLOOKUP($Q8370,매칭테이블!$F:$I,3,0)</f>
        <v/>
      </c>
      <c r="O8370" s="94">
        <f>VLOOKUP($Q8370,매칭테이블!$F:$I,4,0)*K8370</f>
        <v/>
      </c>
      <c r="P8370" s="148">
        <f>M8370/1.1</f>
        <v/>
      </c>
      <c r="Q8370" s="94">
        <f>F8370&amp;E8370&amp;G8370&amp;L8370</f>
        <v/>
      </c>
    </row>
    <row r="8371" customFormat="1" s="94">
      <c r="B8371" s="128" t="n">
        <v>44055</v>
      </c>
      <c r="C8371" s="94">
        <f>TEXT(B8371,"aaa")</f>
        <v/>
      </c>
      <c r="E8371" s="94" t="inlineStr">
        <is>
          <t>토너</t>
        </is>
      </c>
      <c r="F8371" s="94" t="inlineStr">
        <is>
          <t>카페24</t>
        </is>
      </c>
      <c r="G8371" s="94" t="inlineStr">
        <is>
          <t>500ml</t>
        </is>
      </c>
      <c r="H8371" s="7" t="n">
        <v>190801</v>
      </c>
      <c r="I8371" s="7" t="n">
        <v>190801</v>
      </c>
      <c r="K8371" s="94" t="n">
        <v>46</v>
      </c>
      <c r="L8371" s="94" t="n">
        <v>190801</v>
      </c>
      <c r="M8371" s="94">
        <f>VLOOKUP($Q8371,매칭테이블!$F:$I,2,0)*K8371</f>
        <v/>
      </c>
      <c r="N8371" s="94">
        <f>M8371-M8371*VLOOKUP($Q8371,매칭테이블!$F:$I,3,0)</f>
        <v/>
      </c>
      <c r="O8371" s="94">
        <f>VLOOKUP($Q8371,매칭테이블!$F:$I,4,0)*K8371</f>
        <v/>
      </c>
      <c r="P8371" s="148">
        <f>M8371/1.1</f>
        <v/>
      </c>
      <c r="Q8371" s="94">
        <f>F8371&amp;E8371&amp;G8371&amp;L8371</f>
        <v/>
      </c>
    </row>
    <row r="8372" customFormat="1" s="94">
      <c r="B8372" s="128" t="n">
        <v>44055</v>
      </c>
      <c r="C8372" s="94">
        <f>TEXT(B8372,"aaa")</f>
        <v/>
      </c>
      <c r="E8372" s="94" t="inlineStr">
        <is>
          <t>앰플</t>
        </is>
      </c>
      <c r="F8372" s="94" t="inlineStr">
        <is>
          <t>카페24</t>
        </is>
      </c>
      <c r="G8372" s="94" t="inlineStr">
        <is>
          <t>앰플 30ml</t>
        </is>
      </c>
      <c r="H8372" s="7" t="n">
        <v>190801</v>
      </c>
      <c r="I8372" s="7" t="n">
        <v>190801</v>
      </c>
      <c r="K8372" s="94" t="n">
        <v>20</v>
      </c>
      <c r="L8372" s="94" t="n">
        <v>190801</v>
      </c>
      <c r="M8372" s="94">
        <f>VLOOKUP($Q8372,매칭테이블!$F:$I,2,0)*K8372</f>
        <v/>
      </c>
      <c r="N8372" s="94">
        <f>M8372-M8372*VLOOKUP($Q8372,매칭테이블!$F:$I,3,0)</f>
        <v/>
      </c>
      <c r="O8372" s="94">
        <f>VLOOKUP($Q8372,매칭테이블!$F:$I,4,0)*K8372</f>
        <v/>
      </c>
      <c r="P8372" s="148">
        <f>M8372/1.1</f>
        <v/>
      </c>
      <c r="Q8372" s="94">
        <f>F8372&amp;E8372&amp;G8372&amp;L8372</f>
        <v/>
      </c>
    </row>
    <row r="8373" customFormat="1" s="94">
      <c r="B8373" s="128" t="n">
        <v>44055</v>
      </c>
      <c r="C8373" s="94">
        <f>TEXT(B8373,"aaa")</f>
        <v/>
      </c>
      <c r="E8373" s="94" t="inlineStr">
        <is>
          <t>수딩크림</t>
        </is>
      </c>
      <c r="F8373" s="94" t="inlineStr">
        <is>
          <t>카페24</t>
        </is>
      </c>
      <c r="G8373" s="94" t="inlineStr">
        <is>
          <t>수딩크림 100ml</t>
        </is>
      </c>
      <c r="H8373" s="7" t="n">
        <v>190801</v>
      </c>
      <c r="I8373" s="7" t="n">
        <v>190801</v>
      </c>
      <c r="K8373" s="94" t="n">
        <v>12</v>
      </c>
      <c r="L8373" s="94" t="n">
        <v>190801</v>
      </c>
      <c r="M8373" s="94">
        <f>VLOOKUP($Q8373,매칭테이블!$F:$I,2,0)*K8373</f>
        <v/>
      </c>
      <c r="N8373" s="94">
        <f>M8373-M8373*VLOOKUP($Q8373,매칭테이블!$F:$I,3,0)</f>
        <v/>
      </c>
      <c r="O8373" s="94">
        <f>VLOOKUP($Q8373,매칭테이블!$F:$I,4,0)*K8373</f>
        <v/>
      </c>
      <c r="P8373" s="148">
        <f>M8373/1.1</f>
        <v/>
      </c>
      <c r="Q8373" s="94">
        <f>F8373&amp;E8373&amp;G8373&amp;L8373</f>
        <v/>
      </c>
    </row>
    <row r="8374" customFormat="1" s="94">
      <c r="B8374" s="128" t="n">
        <v>44055</v>
      </c>
      <c r="C8374" s="94">
        <f>TEXT(B8374,"aaa")</f>
        <v/>
      </c>
      <c r="E8374" s="94" t="inlineStr">
        <is>
          <t>토너</t>
        </is>
      </c>
      <c r="F8374" s="94" t="inlineStr">
        <is>
          <t>아누아 CS</t>
        </is>
      </c>
      <c r="G8374" s="94" t="inlineStr">
        <is>
          <t>250ml</t>
        </is>
      </c>
      <c r="H8374" s="7" t="n">
        <v>190801</v>
      </c>
      <c r="I8374" s="7" t="n">
        <v>190801</v>
      </c>
      <c r="K8374" s="94" t="n">
        <v>1</v>
      </c>
      <c r="L8374" s="94" t="n">
        <v>190801</v>
      </c>
      <c r="M8374" s="94">
        <f>VLOOKUP($Q8374,매칭테이블!$F:$I,2,0)*K8374</f>
        <v/>
      </c>
      <c r="N8374" s="94">
        <f>M8374-M8374*VLOOKUP($Q8374,매칭테이블!$F:$I,3,0)</f>
        <v/>
      </c>
      <c r="O8374" s="94">
        <f>VLOOKUP($Q8374,매칭테이블!$F:$I,4,0)*K8374</f>
        <v/>
      </c>
      <c r="P8374" s="148">
        <f>M8374/1.1</f>
        <v/>
      </c>
      <c r="Q8374" s="94">
        <f>F8374&amp;E8374&amp;G8374&amp;L8374</f>
        <v/>
      </c>
    </row>
    <row r="8375" customFormat="1" s="94">
      <c r="B8375" s="128" t="n">
        <v>44055</v>
      </c>
      <c r="C8375" s="94">
        <f>TEXT(B8375,"aaa")</f>
        <v/>
      </c>
      <c r="E8375" s="94" t="inlineStr">
        <is>
          <t>화장솜</t>
        </is>
      </c>
      <c r="F8375" s="94" t="inlineStr">
        <is>
          <t>아누아 CS</t>
        </is>
      </c>
      <c r="G8375" s="94" t="inlineStr">
        <is>
          <t>스킨팩 화장솜 60P</t>
        </is>
      </c>
      <c r="H8375" s="7" t="n">
        <v>190801</v>
      </c>
      <c r="I8375" s="7" t="n">
        <v>190801</v>
      </c>
      <c r="K8375" s="94" t="n">
        <v>1</v>
      </c>
      <c r="L8375" s="94" t="n">
        <v>190801</v>
      </c>
      <c r="M8375" s="94">
        <f>VLOOKUP($Q8375,매칭테이블!$F:$I,2,0)*K8375</f>
        <v/>
      </c>
      <c r="N8375" s="94">
        <f>M8375-M8375*VLOOKUP($Q8375,매칭테이블!$F:$I,3,0)</f>
        <v/>
      </c>
      <c r="O8375" s="94">
        <f>VLOOKUP($Q8375,매칭테이블!$F:$I,4,0)*K8375</f>
        <v/>
      </c>
      <c r="P8375" s="148">
        <f>M8375/1.1</f>
        <v/>
      </c>
      <c r="Q8375" s="94">
        <f>F8375&amp;E8375&amp;G8375&amp;L8375</f>
        <v/>
      </c>
    </row>
    <row r="8376" customFormat="1" s="94">
      <c r="B8376" s="128" t="n">
        <v>44055</v>
      </c>
      <c r="C8376" s="94">
        <f>TEXT(B8376,"aaa")</f>
        <v/>
      </c>
      <c r="E8376" s="94" t="inlineStr">
        <is>
          <t>앰플</t>
        </is>
      </c>
      <c r="F8376" s="94" t="inlineStr">
        <is>
          <t>아누아 CS</t>
        </is>
      </c>
      <c r="G8376" s="94" t="inlineStr">
        <is>
          <t>앰플 30ml</t>
        </is>
      </c>
      <c r="H8376" s="7" t="n">
        <v>190801</v>
      </c>
      <c r="I8376" s="7" t="n">
        <v>190801</v>
      </c>
      <c r="K8376" s="94" t="n">
        <v>1</v>
      </c>
      <c r="L8376" s="94" t="n">
        <v>190801</v>
      </c>
      <c r="M8376" s="94">
        <f>VLOOKUP($Q8376,매칭테이블!$F:$I,2,0)*K8376</f>
        <v/>
      </c>
      <c r="N8376" s="94">
        <f>M8376-M8376*VLOOKUP($Q8376,매칭테이블!$F:$I,3,0)</f>
        <v/>
      </c>
      <c r="O8376" s="94">
        <f>VLOOKUP($Q8376,매칭테이블!$F:$I,4,0)*K8376</f>
        <v/>
      </c>
      <c r="P8376" s="148">
        <f>M8376/1.1</f>
        <v/>
      </c>
      <c r="Q8376" s="94">
        <f>F8376&amp;E8376&amp;G8376&amp;L8376</f>
        <v/>
      </c>
    </row>
    <row r="8377" customFormat="1" s="94">
      <c r="B8377" s="128" t="n">
        <v>44055</v>
      </c>
      <c r="C8377" s="94">
        <f>TEXT(B8377,"aaa")</f>
        <v/>
      </c>
      <c r="E8377" s="94" t="inlineStr">
        <is>
          <t>마스크팩</t>
        </is>
      </c>
      <c r="F8377" s="94" t="inlineStr">
        <is>
          <t>아누아 CS</t>
        </is>
      </c>
      <c r="G8377" s="94" t="inlineStr">
        <is>
          <t>마스크팩 10매</t>
        </is>
      </c>
      <c r="H8377" s="7" t="n">
        <v>190801</v>
      </c>
      <c r="I8377" s="7" t="n">
        <v>190801</v>
      </c>
      <c r="K8377" s="94" t="n">
        <v>1</v>
      </c>
      <c r="L8377" s="94" t="n">
        <v>190801</v>
      </c>
      <c r="M8377" s="94">
        <f>VLOOKUP($Q8377,매칭테이블!$F:$I,2,0)*K8377</f>
        <v/>
      </c>
      <c r="N8377" s="94">
        <f>M8377-M8377*VLOOKUP($Q8377,매칭테이블!$F:$I,3,0)</f>
        <v/>
      </c>
      <c r="O8377" s="94">
        <f>VLOOKUP($Q8377,매칭테이블!$F:$I,4,0)*K8377</f>
        <v/>
      </c>
      <c r="P8377" s="148">
        <f>M8377/1.1</f>
        <v/>
      </c>
      <c r="Q8377" s="94">
        <f>F8377&amp;E8377&amp;G8377&amp;L8377</f>
        <v/>
      </c>
    </row>
    <row r="8378" customFormat="1" s="94">
      <c r="B8378" s="128" t="n">
        <v>44055</v>
      </c>
      <c r="C8378" s="94">
        <f>TEXT(B8378,"aaa")</f>
        <v/>
      </c>
      <c r="E8378" s="94" t="inlineStr">
        <is>
          <t>선크림</t>
        </is>
      </c>
      <c r="F8378" s="94" t="inlineStr">
        <is>
          <t>아누아 CS</t>
        </is>
      </c>
      <c r="G8378" s="94" t="inlineStr">
        <is>
          <t>선크림 50ml</t>
        </is>
      </c>
      <c r="H8378" s="7" t="n">
        <v>190801</v>
      </c>
      <c r="I8378" s="7" t="n">
        <v>190801</v>
      </c>
      <c r="K8378" s="94" t="n">
        <v>1</v>
      </c>
      <c r="L8378" s="94" t="n">
        <v>190801</v>
      </c>
      <c r="M8378" s="94">
        <f>VLOOKUP($Q8378,매칭테이블!$F:$I,2,0)*K8378</f>
        <v/>
      </c>
      <c r="N8378" s="94">
        <f>M8378-M8378*VLOOKUP($Q8378,매칭테이블!$F:$I,3,0)</f>
        <v/>
      </c>
      <c r="O8378" s="94">
        <f>VLOOKUP($Q8378,매칭테이블!$F:$I,4,0)*K8378</f>
        <v/>
      </c>
      <c r="P8378" s="148">
        <f>M8378/1.1</f>
        <v/>
      </c>
      <c r="Q8378" s="94">
        <f>F8378&amp;E8378&amp;G8378&amp;L8378</f>
        <v/>
      </c>
    </row>
    <row r="8379" customFormat="1" s="94">
      <c r="B8379" s="128" t="n">
        <v>44055</v>
      </c>
      <c r="C8379" s="94">
        <f>TEXT(B8379,"aaa")</f>
        <v/>
      </c>
      <c r="E8379" s="94" t="inlineStr">
        <is>
          <t>토너</t>
        </is>
      </c>
      <c r="F8379" s="94" t="inlineStr">
        <is>
          <t>화해</t>
        </is>
      </c>
      <c r="G8379" s="94" t="inlineStr">
        <is>
          <t>250ml</t>
        </is>
      </c>
      <c r="H8379" s="7" t="n">
        <v>190801</v>
      </c>
      <c r="I8379" s="7" t="n">
        <v>190801</v>
      </c>
      <c r="K8379" s="94" t="n">
        <v>7</v>
      </c>
      <c r="L8379" s="94" t="n">
        <v>190801</v>
      </c>
      <c r="M8379" s="94">
        <f>VLOOKUP($Q8379,매칭테이블!$F:$I,2,0)*K8379</f>
        <v/>
      </c>
      <c r="N8379" s="94">
        <f>M8379-M8379*VLOOKUP($Q8379,매칭테이블!$F:$I,3,0)</f>
        <v/>
      </c>
      <c r="O8379" s="94">
        <f>VLOOKUP($Q8379,매칭테이블!$F:$I,4,0)*K8379</f>
        <v/>
      </c>
      <c r="P8379" s="148">
        <f>M8379/1.1</f>
        <v/>
      </c>
      <c r="Q8379" s="94">
        <f>F8379&amp;E8379&amp;G8379&amp;L8379</f>
        <v/>
      </c>
    </row>
    <row r="8380" customFormat="1" s="94">
      <c r="B8380" s="128" t="n">
        <v>44056</v>
      </c>
      <c r="C8380" s="94">
        <f>TEXT(B8380,"aaa")</f>
        <v/>
      </c>
      <c r="E8380" s="94" t="inlineStr">
        <is>
          <t>토너</t>
        </is>
      </c>
      <c r="F8380" s="5" t="inlineStr">
        <is>
          <t>스타일쉐어</t>
        </is>
      </c>
      <c r="G8380" s="94" t="inlineStr">
        <is>
          <t>250ml</t>
        </is>
      </c>
      <c r="H8380" s="7" t="n">
        <v>190801</v>
      </c>
      <c r="I8380" s="7" t="n">
        <v>190801</v>
      </c>
      <c r="K8380" s="6" t="n">
        <v>6</v>
      </c>
      <c r="L8380" s="7" t="n">
        <v>190801</v>
      </c>
      <c r="M8380" s="94">
        <f>VLOOKUP($Q8380,매칭테이블!$F:$I,2,0)*K8380</f>
        <v/>
      </c>
      <c r="N8380" s="94">
        <f>M8380-M8380*VLOOKUP($Q8380,매칭테이블!$F:$I,3,0)</f>
        <v/>
      </c>
      <c r="O8380" s="94">
        <f>VLOOKUP($Q8380,매칭테이블!$F:$I,4,0)*K8380</f>
        <v/>
      </c>
      <c r="P8380" s="148">
        <f>M8380/1.1</f>
        <v/>
      </c>
      <c r="Q8380" s="94">
        <f>F8380&amp;E8380&amp;G8380&amp;L8380</f>
        <v/>
      </c>
    </row>
    <row r="8381">
      <c r="A8381" s="94" t="n"/>
      <c r="B8381" s="128" t="n">
        <v>44056</v>
      </c>
      <c r="C8381" s="94">
        <f>TEXT(B8381,"aaa")</f>
        <v/>
      </c>
      <c r="D8381" s="94" t="n"/>
      <c r="E8381" s="94" t="inlineStr">
        <is>
          <t>선크림</t>
        </is>
      </c>
      <c r="F8381" s="5" t="inlineStr">
        <is>
          <t>카페24</t>
        </is>
      </c>
      <c r="G8381" s="94" t="inlineStr">
        <is>
          <t>선크림 50ml</t>
        </is>
      </c>
      <c r="H8381" s="7" t="n">
        <v>190801</v>
      </c>
      <c r="I8381" s="7" t="n">
        <v>190801</v>
      </c>
      <c r="J8381" s="94" t="n"/>
      <c r="K8381" s="6" t="n">
        <v>1</v>
      </c>
      <c r="L8381" s="7" t="n">
        <v>190801</v>
      </c>
      <c r="M8381" s="94">
        <f>VLOOKUP($Q8381,매칭테이블!$F:$I,2,0)*K8381</f>
        <v/>
      </c>
      <c r="N8381" s="94">
        <f>M8381-M8381*VLOOKUP($Q8381,매칭테이블!$F:$I,3,0)</f>
        <v/>
      </c>
      <c r="O8381" s="94">
        <f>VLOOKUP($Q8381,매칭테이블!$F:$I,4,0)*K8381</f>
        <v/>
      </c>
      <c r="P8381" s="148">
        <f>M8381/1.1</f>
        <v/>
      </c>
      <c r="Q8381" s="94">
        <f>F8381&amp;E8381&amp;G8381&amp;L8381</f>
        <v/>
      </c>
    </row>
    <row r="8382">
      <c r="A8382" s="94" t="n"/>
      <c r="B8382" s="128" t="n">
        <v>44056</v>
      </c>
      <c r="C8382" s="94">
        <f>TEXT(B8382,"aaa")</f>
        <v/>
      </c>
      <c r="D8382" s="94" t="n"/>
      <c r="E8382" s="94" t="inlineStr">
        <is>
          <t>여름 한정 진정세트</t>
        </is>
      </c>
      <c r="F8382" s="5" t="inlineStr">
        <is>
          <t>카페24</t>
        </is>
      </c>
      <c r="G8382" s="94" t="inlineStr">
        <is>
          <t>여름 한정 진정세트</t>
        </is>
      </c>
      <c r="H8382" s="7" t="n">
        <v>190801</v>
      </c>
      <c r="I8382" s="7" t="n">
        <v>190801</v>
      </c>
      <c r="J8382" s="94" t="n"/>
      <c r="K8382" s="6" t="n">
        <v>3</v>
      </c>
      <c r="L8382" s="7" t="n">
        <v>190801</v>
      </c>
      <c r="M8382" s="94">
        <f>VLOOKUP($Q8382,매칭테이블!$F:$I,2,0)*K8382</f>
        <v/>
      </c>
      <c r="N8382" s="94">
        <f>M8382-M8382*VLOOKUP($Q8382,매칭테이블!$F:$I,3,0)</f>
        <v/>
      </c>
      <c r="O8382" s="94">
        <f>VLOOKUP($Q8382,매칭테이블!$F:$I,4,0)*K8382</f>
        <v/>
      </c>
      <c r="P8382" s="148">
        <f>M8382/1.1</f>
        <v/>
      </c>
      <c r="Q8382" s="94">
        <f>F8382&amp;E8382&amp;G8382&amp;L8382</f>
        <v/>
      </c>
    </row>
    <row r="8383">
      <c r="A8383" s="94" t="n"/>
      <c r="B8383" s="128" t="n">
        <v>44056</v>
      </c>
      <c r="C8383" s="94">
        <f>TEXT(B8383,"aaa")</f>
        <v/>
      </c>
      <c r="D8383" s="94" t="n"/>
      <c r="E8383" s="94" t="inlineStr">
        <is>
          <t>여름 한정 진정세트</t>
        </is>
      </c>
      <c r="F8383" s="5" t="inlineStr">
        <is>
          <t>카페24</t>
        </is>
      </c>
      <c r="G8383" s="94" t="inlineStr">
        <is>
          <t>여름 한정 진정세트 (대용량)</t>
        </is>
      </c>
      <c r="H8383" s="7" t="n">
        <v>190801</v>
      </c>
      <c r="I8383" s="7" t="n">
        <v>190801</v>
      </c>
      <c r="J8383" s="94" t="n"/>
      <c r="K8383" s="6" t="n">
        <v>3</v>
      </c>
      <c r="L8383" s="7" t="n">
        <v>190801</v>
      </c>
      <c r="M8383" s="94">
        <f>VLOOKUP($Q8383,매칭테이블!$F:$I,2,0)*K8383</f>
        <v/>
      </c>
      <c r="N8383" s="94">
        <f>M8383-M8383*VLOOKUP($Q8383,매칭테이블!$F:$I,3,0)</f>
        <v/>
      </c>
      <c r="O8383" s="94">
        <f>VLOOKUP($Q8383,매칭테이블!$F:$I,4,0)*K8383</f>
        <v/>
      </c>
      <c r="P8383" s="148">
        <f>M8383/1.1</f>
        <v/>
      </c>
      <c r="Q8383" s="94">
        <f>F8383&amp;E8383&amp;G8383&amp;L8383</f>
        <v/>
      </c>
    </row>
    <row r="8384">
      <c r="A8384" s="94" t="n"/>
      <c r="B8384" s="128" t="n">
        <v>44056</v>
      </c>
      <c r="C8384" s="94">
        <f>TEXT(B8384,"aaa")</f>
        <v/>
      </c>
      <c r="D8384" s="94" t="n"/>
      <c r="E8384" s="94" t="inlineStr">
        <is>
          <t>머드크림마스크</t>
        </is>
      </c>
      <c r="F8384" s="5" t="inlineStr">
        <is>
          <t>카페24</t>
        </is>
      </c>
      <c r="G8384" s="94" t="inlineStr">
        <is>
          <t>머드크림마스크 100ml</t>
        </is>
      </c>
      <c r="H8384" s="7" t="n">
        <v>190801</v>
      </c>
      <c r="I8384" s="7" t="n">
        <v>190801</v>
      </c>
      <c r="J8384" s="94" t="n"/>
      <c r="K8384" s="6" t="n">
        <v>2</v>
      </c>
      <c r="L8384" s="7" t="n">
        <v>190801</v>
      </c>
      <c r="M8384" s="94">
        <f>VLOOKUP($Q8384,매칭테이블!$F:$I,2,0)*K8384</f>
        <v/>
      </c>
      <c r="N8384" s="94">
        <f>M8384-M8384*VLOOKUP($Q8384,매칭테이블!$F:$I,3,0)</f>
        <v/>
      </c>
      <c r="O8384" s="94">
        <f>VLOOKUP($Q8384,매칭테이블!$F:$I,4,0)*K8384</f>
        <v/>
      </c>
      <c r="P8384" s="148">
        <f>M8384/1.1</f>
        <v/>
      </c>
      <c r="Q8384" s="94">
        <f>F8384&amp;E8384&amp;G8384&amp;L8384</f>
        <v/>
      </c>
    </row>
    <row r="8385">
      <c r="A8385" s="94" t="n"/>
      <c r="B8385" s="128" t="n">
        <v>44056</v>
      </c>
      <c r="C8385" s="94">
        <f>TEXT(B8385,"aaa")</f>
        <v/>
      </c>
      <c r="D8385" s="94" t="n"/>
      <c r="E8385" s="94" t="inlineStr">
        <is>
          <t>마스크팩</t>
        </is>
      </c>
      <c r="F8385" s="5" t="inlineStr">
        <is>
          <t>카페24</t>
        </is>
      </c>
      <c r="G8385" s="94" t="inlineStr">
        <is>
          <t>마스크팩 1매</t>
        </is>
      </c>
      <c r="H8385" s="7" t="n">
        <v>190801</v>
      </c>
      <c r="I8385" s="7" t="n">
        <v>190801</v>
      </c>
      <c r="J8385" s="94" t="n"/>
      <c r="K8385" s="6" t="n">
        <v>7</v>
      </c>
      <c r="L8385" s="7" t="n">
        <v>190801</v>
      </c>
      <c r="M8385" s="94">
        <f>VLOOKUP($Q8385,매칭테이블!$F:$I,2,0)*K8385</f>
        <v/>
      </c>
      <c r="N8385" s="94">
        <f>M8385-M8385*VLOOKUP($Q8385,매칭테이블!$F:$I,3,0)</f>
        <v/>
      </c>
      <c r="O8385" s="94">
        <f>VLOOKUP($Q8385,매칭테이블!$F:$I,4,0)*K8385</f>
        <v/>
      </c>
      <c r="P8385" s="148">
        <f>M8385/1.1</f>
        <v/>
      </c>
      <c r="Q8385" s="94">
        <f>F8385&amp;E8385&amp;G8385&amp;L8385</f>
        <v/>
      </c>
    </row>
    <row r="8386">
      <c r="A8386" s="94" t="n"/>
      <c r="B8386" s="128" t="n">
        <v>44056</v>
      </c>
      <c r="C8386" s="94">
        <f>TEXT(B8386,"aaa")</f>
        <v/>
      </c>
      <c r="D8386" s="94" t="n"/>
      <c r="E8386" s="94" t="inlineStr">
        <is>
          <t>마스크팩</t>
        </is>
      </c>
      <c r="F8386" s="5" t="inlineStr">
        <is>
          <t>카페24</t>
        </is>
      </c>
      <c r="G8386" s="94" t="inlineStr">
        <is>
          <t>마스크팩 10매</t>
        </is>
      </c>
      <c r="H8386" s="7" t="n">
        <v>190801</v>
      </c>
      <c r="I8386" s="7" t="n">
        <v>190801</v>
      </c>
      <c r="J8386" s="94" t="n"/>
      <c r="K8386" s="6" t="n">
        <v>8</v>
      </c>
      <c r="L8386" s="7" t="n">
        <v>190801</v>
      </c>
      <c r="M8386" s="94">
        <f>VLOOKUP($Q8386,매칭테이블!$F:$I,2,0)*K8386</f>
        <v/>
      </c>
      <c r="N8386" s="94">
        <f>M8386-M8386*VLOOKUP($Q8386,매칭테이블!$F:$I,3,0)</f>
        <v/>
      </c>
      <c r="O8386" s="94">
        <f>VLOOKUP($Q8386,매칭테이블!$F:$I,4,0)*K8386</f>
        <v/>
      </c>
      <c r="P8386" s="148">
        <f>M8386/1.1</f>
        <v/>
      </c>
      <c r="Q8386" s="94">
        <f>F8386&amp;E8386&amp;G8386&amp;L8386</f>
        <v/>
      </c>
    </row>
    <row r="8387">
      <c r="A8387" s="94" t="n"/>
      <c r="B8387" s="128" t="n">
        <v>44056</v>
      </c>
      <c r="C8387" s="94">
        <f>TEXT(B8387,"aaa")</f>
        <v/>
      </c>
      <c r="D8387" s="94" t="n"/>
      <c r="E8387" s="94" t="inlineStr">
        <is>
          <t>토너</t>
        </is>
      </c>
      <c r="F8387" s="5" t="inlineStr">
        <is>
          <t>카페24</t>
        </is>
      </c>
      <c r="G8387" s="94" t="inlineStr">
        <is>
          <t>250ml</t>
        </is>
      </c>
      <c r="H8387" s="7" t="n">
        <v>190801</v>
      </c>
      <c r="I8387" s="7" t="n">
        <v>190801</v>
      </c>
      <c r="J8387" s="94" t="n"/>
      <c r="K8387" s="6" t="n">
        <v>74</v>
      </c>
      <c r="L8387" s="7" t="n">
        <v>190801</v>
      </c>
      <c r="M8387" s="94">
        <f>VLOOKUP($Q8387,매칭테이블!$F:$I,2,0)*K8387</f>
        <v/>
      </c>
      <c r="N8387" s="94">
        <f>M8387-M8387*VLOOKUP($Q8387,매칭테이블!$F:$I,3,0)</f>
        <v/>
      </c>
      <c r="O8387" s="94">
        <f>VLOOKUP($Q8387,매칭테이블!$F:$I,4,0)*K8387</f>
        <v/>
      </c>
      <c r="P8387" s="148">
        <f>M8387/1.1</f>
        <v/>
      </c>
      <c r="Q8387" s="94">
        <f>F8387&amp;E8387&amp;G8387&amp;L8387</f>
        <v/>
      </c>
    </row>
    <row r="8388">
      <c r="A8388" s="94" t="n"/>
      <c r="B8388" s="128" t="n">
        <v>44056</v>
      </c>
      <c r="C8388" s="94">
        <f>TEXT(B8388,"aaa")</f>
        <v/>
      </c>
      <c r="D8388" s="94" t="n"/>
      <c r="E8388" s="94" t="inlineStr">
        <is>
          <t>토너</t>
        </is>
      </c>
      <c r="F8388" s="5" t="inlineStr">
        <is>
          <t>카페24</t>
        </is>
      </c>
      <c r="G8388" s="94" t="inlineStr">
        <is>
          <t>250ml 2set</t>
        </is>
      </c>
      <c r="H8388" s="7" t="n">
        <v>190801</v>
      </c>
      <c r="I8388" s="7" t="n">
        <v>190801</v>
      </c>
      <c r="J8388" s="94" t="n"/>
      <c r="K8388" s="6" t="n">
        <v>45</v>
      </c>
      <c r="L8388" s="7" t="n">
        <v>190801</v>
      </c>
      <c r="M8388" s="94">
        <f>VLOOKUP($Q8388,매칭테이블!$F:$I,2,0)*K8388</f>
        <v/>
      </c>
      <c r="N8388" s="94">
        <f>M8388-M8388*VLOOKUP($Q8388,매칭테이블!$F:$I,3,0)</f>
        <v/>
      </c>
      <c r="O8388" s="94">
        <f>VLOOKUP($Q8388,매칭테이블!$F:$I,4,0)*K8388</f>
        <v/>
      </c>
      <c r="P8388" s="148">
        <f>M8388/1.1</f>
        <v/>
      </c>
      <c r="Q8388" s="94">
        <f>F8388&amp;E8388&amp;G8388&amp;L8388</f>
        <v/>
      </c>
    </row>
    <row r="8389">
      <c r="A8389" s="94" t="n"/>
      <c r="B8389" s="128" t="n">
        <v>44056</v>
      </c>
      <c r="C8389" s="94">
        <f>TEXT(B8389,"aaa")</f>
        <v/>
      </c>
      <c r="D8389" s="94" t="n"/>
      <c r="E8389" s="94" t="inlineStr">
        <is>
          <t>토너</t>
        </is>
      </c>
      <c r="F8389" s="5" t="inlineStr">
        <is>
          <t>카페24</t>
        </is>
      </c>
      <c r="G8389" s="94" t="inlineStr">
        <is>
          <t>500ml</t>
        </is>
      </c>
      <c r="H8389" s="7" t="n">
        <v>190801</v>
      </c>
      <c r="I8389" s="7" t="n">
        <v>190801</v>
      </c>
      <c r="J8389" s="94" t="n"/>
      <c r="K8389" s="6" t="n">
        <v>43</v>
      </c>
      <c r="L8389" s="7" t="n">
        <v>190801</v>
      </c>
      <c r="M8389" s="94">
        <f>VLOOKUP($Q8389,매칭테이블!$F:$I,2,0)*K8389</f>
        <v/>
      </c>
      <c r="N8389" s="94">
        <f>M8389-M8389*VLOOKUP($Q8389,매칭테이블!$F:$I,3,0)</f>
        <v/>
      </c>
      <c r="O8389" s="94">
        <f>VLOOKUP($Q8389,매칭테이블!$F:$I,4,0)*K8389</f>
        <v/>
      </c>
      <c r="P8389" s="148">
        <f>M8389/1.1</f>
        <v/>
      </c>
      <c r="Q8389" s="94">
        <f>F8389&amp;E8389&amp;G8389&amp;L8389</f>
        <v/>
      </c>
    </row>
    <row r="8390">
      <c r="A8390" s="94" t="n"/>
      <c r="B8390" s="128" t="n">
        <v>44056</v>
      </c>
      <c r="C8390" s="94">
        <f>TEXT(B8390,"aaa")</f>
        <v/>
      </c>
      <c r="D8390" s="94" t="n"/>
      <c r="E8390" s="94" t="inlineStr">
        <is>
          <t>앰플</t>
        </is>
      </c>
      <c r="F8390" s="5" t="inlineStr">
        <is>
          <t>카페24</t>
        </is>
      </c>
      <c r="G8390" s="94" t="inlineStr">
        <is>
          <t>앰플 30ml</t>
        </is>
      </c>
      <c r="H8390" s="7" t="n">
        <v>190801</v>
      </c>
      <c r="I8390" s="7" t="n">
        <v>190801</v>
      </c>
      <c r="J8390" s="94" t="n"/>
      <c r="K8390" s="6" t="n">
        <v>17</v>
      </c>
      <c r="L8390" s="7" t="n">
        <v>190801</v>
      </c>
      <c r="M8390" s="94">
        <f>VLOOKUP($Q8390,매칭테이블!$F:$I,2,0)*K8390</f>
        <v/>
      </c>
      <c r="N8390" s="94">
        <f>M8390-M8390*VLOOKUP($Q8390,매칭테이블!$F:$I,3,0)</f>
        <v/>
      </c>
      <c r="O8390" s="94">
        <f>VLOOKUP($Q8390,매칭테이블!$F:$I,4,0)*K8390</f>
        <v/>
      </c>
      <c r="P8390" s="148">
        <f>M8390/1.1</f>
        <v/>
      </c>
      <c r="Q8390" s="94">
        <f>F8390&amp;E8390&amp;G8390&amp;L8390</f>
        <v/>
      </c>
    </row>
    <row r="8391">
      <c r="A8391" s="94" t="n"/>
      <c r="B8391" s="128" t="n">
        <v>44056</v>
      </c>
      <c r="C8391" s="94">
        <f>TEXT(B8391,"aaa")</f>
        <v/>
      </c>
      <c r="D8391" s="94" t="n"/>
      <c r="E8391" s="94" t="inlineStr">
        <is>
          <t>수딩크림</t>
        </is>
      </c>
      <c r="F8391" s="5" t="inlineStr">
        <is>
          <t>카페24</t>
        </is>
      </c>
      <c r="G8391" s="94" t="inlineStr">
        <is>
          <t>수딩크림 100ml</t>
        </is>
      </c>
      <c r="H8391" s="7" t="n">
        <v>190801</v>
      </c>
      <c r="I8391" s="7" t="n">
        <v>190801</v>
      </c>
      <c r="J8391" s="94" t="n"/>
      <c r="K8391" s="6" t="n">
        <v>7</v>
      </c>
      <c r="L8391" s="7" t="n">
        <v>190801</v>
      </c>
      <c r="M8391" s="94">
        <f>VLOOKUP($Q8391,매칭테이블!$F:$I,2,0)*K8391</f>
        <v/>
      </c>
      <c r="N8391" s="94">
        <f>M8391-M8391*VLOOKUP($Q8391,매칭테이블!$F:$I,3,0)</f>
        <v/>
      </c>
      <c r="O8391" s="94">
        <f>VLOOKUP($Q8391,매칭테이블!$F:$I,4,0)*K8391</f>
        <v/>
      </c>
      <c r="P8391" s="148">
        <f>M8391/1.1</f>
        <v/>
      </c>
      <c r="Q8391" s="94">
        <f>F8391&amp;E8391&amp;G8391&amp;L8391</f>
        <v/>
      </c>
    </row>
    <row r="8392">
      <c r="A8392" s="94" t="n"/>
      <c r="B8392" s="128" t="n">
        <v>44056</v>
      </c>
      <c r="C8392" s="94">
        <f>TEXT(B8392,"aaa")</f>
        <v/>
      </c>
      <c r="D8392" s="94" t="n"/>
      <c r="E8392" s="94" t="inlineStr">
        <is>
          <t>토너</t>
        </is>
      </c>
      <c r="F8392" s="5" t="inlineStr">
        <is>
          <t>큐텐재팬</t>
        </is>
      </c>
      <c r="G8392" s="94" t="inlineStr">
        <is>
          <t>200726=250ml</t>
        </is>
      </c>
      <c r="H8392" s="7" t="n">
        <v>190801</v>
      </c>
      <c r="I8392" s="7" t="n">
        <v>190801</v>
      </c>
      <c r="J8392" s="94" t="n"/>
      <c r="K8392" s="6" t="n">
        <v>14</v>
      </c>
      <c r="L8392" s="7" t="n">
        <v>190801</v>
      </c>
      <c r="M8392" s="94">
        <f>VLOOKUP($Q8392,매칭테이블!$F:$I,2,0)*K8392</f>
        <v/>
      </c>
      <c r="N8392" s="94">
        <f>M8392-M8392*VLOOKUP($Q8392,매칭테이블!$F:$I,3,0)</f>
        <v/>
      </c>
      <c r="O8392" s="94">
        <f>VLOOKUP($Q8392,매칭테이블!$F:$I,4,0)*K8392</f>
        <v/>
      </c>
      <c r="P8392" s="148">
        <f>M8392/1.1</f>
        <v/>
      </c>
      <c r="Q8392" s="94">
        <f>F8392&amp;E8392&amp;G8392&amp;L8392</f>
        <v/>
      </c>
    </row>
    <row r="8393">
      <c r="A8393" s="94" t="n"/>
      <c r="B8393" s="128" t="n">
        <v>44056</v>
      </c>
      <c r="C8393" s="94">
        <f>TEXT(B8393,"aaa")</f>
        <v/>
      </c>
      <c r="D8393" s="94" t="n"/>
      <c r="E8393" s="94" t="inlineStr">
        <is>
          <t>토너</t>
        </is>
      </c>
      <c r="F8393" s="5" t="inlineStr">
        <is>
          <t>쇼피필리핀</t>
        </is>
      </c>
      <c r="G8393" s="94" t="inlineStr">
        <is>
          <t>200726=250ml 2set</t>
        </is>
      </c>
      <c r="H8393" s="7" t="n">
        <v>190801</v>
      </c>
      <c r="I8393" s="7" t="n">
        <v>190801</v>
      </c>
      <c r="J8393" s="94" t="n"/>
      <c r="K8393" s="6" t="n">
        <v>1</v>
      </c>
      <c r="L8393" s="7" t="n">
        <v>190801</v>
      </c>
      <c r="M8393" s="94">
        <f>VLOOKUP($Q8393,매칭테이블!$F:$I,2,0)*K8393</f>
        <v/>
      </c>
      <c r="N8393" s="94">
        <f>M8393-M8393*VLOOKUP($Q8393,매칭테이블!$F:$I,3,0)</f>
        <v/>
      </c>
      <c r="O8393" s="94">
        <f>VLOOKUP($Q8393,매칭테이블!$F:$I,4,0)*K8393</f>
        <v/>
      </c>
      <c r="P8393" s="148">
        <f>M8393/1.1</f>
        <v/>
      </c>
      <c r="Q8393" s="94">
        <f>F8393&amp;E8393&amp;G8393&amp;L8393</f>
        <v/>
      </c>
    </row>
    <row r="8394">
      <c r="A8394" s="94" t="n"/>
      <c r="B8394" s="128" t="n">
        <v>44056</v>
      </c>
      <c r="C8394" s="94">
        <f>TEXT(B8394,"aaa")</f>
        <v/>
      </c>
      <c r="D8394" s="94" t="n"/>
      <c r="E8394" s="94" t="inlineStr">
        <is>
          <t>토너</t>
        </is>
      </c>
      <c r="F8394" s="5" t="inlineStr">
        <is>
          <t>화해</t>
        </is>
      </c>
      <c r="G8394" s="94" t="inlineStr">
        <is>
          <t>250ml</t>
        </is>
      </c>
      <c r="H8394" s="7" t="n">
        <v>190801</v>
      </c>
      <c r="I8394" s="7" t="n">
        <v>190801</v>
      </c>
      <c r="J8394" s="94" t="n"/>
      <c r="K8394" s="6" t="n">
        <v>8</v>
      </c>
      <c r="L8394" s="7" t="n">
        <v>190801</v>
      </c>
      <c r="M8394" s="94">
        <f>VLOOKUP($Q8394,매칭테이블!$F:$I,2,0)*K8394</f>
        <v/>
      </c>
      <c r="N8394" s="94">
        <f>M8394-M8394*VLOOKUP($Q8394,매칭테이블!$F:$I,3,0)</f>
        <v/>
      </c>
      <c r="O8394" s="94">
        <f>VLOOKUP($Q8394,매칭테이블!$F:$I,4,0)*K8394</f>
        <v/>
      </c>
      <c r="P8394" s="148">
        <f>M8394/1.1</f>
        <v/>
      </c>
      <c r="Q8394" s="94">
        <f>F8394&amp;E8394&amp;G8394&amp;L8394</f>
        <v/>
      </c>
    </row>
    <row r="8395">
      <c r="A8395" s="94" t="n"/>
      <c r="B8395" s="128" t="n">
        <v>44057</v>
      </c>
      <c r="C8395" s="94">
        <f>TEXT(B8395,"aaa")</f>
        <v/>
      </c>
      <c r="D8395" s="94" t="n"/>
      <c r="E8395" s="94" t="inlineStr">
        <is>
          <t>토너</t>
        </is>
      </c>
      <c r="F8395" s="5" t="inlineStr">
        <is>
          <t>스타일쉐어</t>
        </is>
      </c>
      <c r="G8395" s="94" t="inlineStr">
        <is>
          <t>250ml</t>
        </is>
      </c>
      <c r="H8395" s="7" t="n">
        <v>190801</v>
      </c>
      <c r="I8395" s="7" t="n">
        <v>190801</v>
      </c>
      <c r="J8395" s="94" t="n"/>
      <c r="K8395" s="94" t="n">
        <v>4</v>
      </c>
      <c r="L8395" s="7" t="n">
        <v>190801</v>
      </c>
      <c r="M8395" s="94">
        <f>VLOOKUP($Q8395,매칭테이블!$F:$I,2,0)*K8395</f>
        <v/>
      </c>
      <c r="N8395" s="94">
        <f>M8395-M8395*VLOOKUP($Q8395,매칭테이블!$F:$I,3,0)</f>
        <v/>
      </c>
      <c r="O8395" s="94">
        <f>VLOOKUP($Q8395,매칭테이블!$F:$I,4,0)*K8395</f>
        <v/>
      </c>
      <c r="P8395" s="148">
        <f>M8395/1.1</f>
        <v/>
      </c>
      <c r="Q8395" s="94">
        <f>F8395&amp;E8395&amp;G8395&amp;L8395</f>
        <v/>
      </c>
    </row>
    <row r="8396">
      <c r="A8396" s="94" t="n"/>
      <c r="B8396" s="128" t="n">
        <v>44057</v>
      </c>
      <c r="C8396" s="94">
        <f>TEXT(B8396,"aaa")</f>
        <v/>
      </c>
      <c r="D8396" s="94" t="n"/>
      <c r="E8396" s="94" t="inlineStr">
        <is>
          <t>선크림</t>
        </is>
      </c>
      <c r="F8396" s="5" t="inlineStr">
        <is>
          <t>카페24</t>
        </is>
      </c>
      <c r="G8396" s="94" t="inlineStr">
        <is>
          <t>선크림 50ml</t>
        </is>
      </c>
      <c r="H8396" s="7" t="n">
        <v>190801</v>
      </c>
      <c r="I8396" s="7" t="n">
        <v>190801</v>
      </c>
      <c r="J8396" s="94" t="n"/>
      <c r="K8396" s="94" t="n">
        <v>3</v>
      </c>
      <c r="L8396" s="7" t="n">
        <v>190801</v>
      </c>
      <c r="M8396" s="94">
        <f>VLOOKUP($Q8396,매칭테이블!$F:$I,2,0)*K8396</f>
        <v/>
      </c>
      <c r="N8396" s="94">
        <f>M8396-M8396*VLOOKUP($Q8396,매칭테이블!$F:$I,3,0)</f>
        <v/>
      </c>
      <c r="O8396" s="94">
        <f>VLOOKUP($Q8396,매칭테이블!$F:$I,4,0)*K8396</f>
        <v/>
      </c>
      <c r="P8396" s="148">
        <f>M8396/1.1</f>
        <v/>
      </c>
      <c r="Q8396" s="94">
        <f>F8396&amp;E8396&amp;G8396&amp;L8396</f>
        <v/>
      </c>
    </row>
    <row r="8397">
      <c r="A8397" s="94" t="n"/>
      <c r="B8397" s="128" t="n">
        <v>44057</v>
      </c>
      <c r="C8397" s="94">
        <f>TEXT(B8397,"aaa")</f>
        <v/>
      </c>
      <c r="D8397" s="94" t="n"/>
      <c r="E8397" s="94" t="inlineStr">
        <is>
          <t>여름 한정 진정세트</t>
        </is>
      </c>
      <c r="F8397" s="5" t="inlineStr">
        <is>
          <t>카페24</t>
        </is>
      </c>
      <c r="G8397" s="94" t="inlineStr">
        <is>
          <t>여름 한정 진정세트</t>
        </is>
      </c>
      <c r="H8397" s="7" t="n">
        <v>190801</v>
      </c>
      <c r="I8397" s="7" t="n">
        <v>190801</v>
      </c>
      <c r="J8397" s="94" t="n"/>
      <c r="K8397" s="94" t="n">
        <v>2</v>
      </c>
      <c r="L8397" s="7" t="n">
        <v>190801</v>
      </c>
      <c r="M8397" s="94">
        <f>VLOOKUP($Q8397,매칭테이블!$F:$I,2,0)*K8397</f>
        <v/>
      </c>
      <c r="N8397" s="94">
        <f>M8397-M8397*VLOOKUP($Q8397,매칭테이블!$F:$I,3,0)</f>
        <v/>
      </c>
      <c r="O8397" s="94">
        <f>VLOOKUP($Q8397,매칭테이블!$F:$I,4,0)*K8397</f>
        <v/>
      </c>
      <c r="P8397" s="148">
        <f>M8397/1.1</f>
        <v/>
      </c>
      <c r="Q8397" s="94">
        <f>F8397&amp;E8397&amp;G8397&amp;L8397</f>
        <v/>
      </c>
    </row>
    <row r="8398">
      <c r="A8398" s="94" t="n"/>
      <c r="B8398" s="128" t="n">
        <v>44057</v>
      </c>
      <c r="C8398" s="94">
        <f>TEXT(B8398,"aaa")</f>
        <v/>
      </c>
      <c r="D8398" s="94" t="n"/>
      <c r="E8398" s="94" t="inlineStr">
        <is>
          <t>여름 한정 진정세트</t>
        </is>
      </c>
      <c r="F8398" s="5" t="inlineStr">
        <is>
          <t>카페24</t>
        </is>
      </c>
      <c r="G8398" s="94" t="inlineStr">
        <is>
          <t>여름 한정 진정세트 (대용량)</t>
        </is>
      </c>
      <c r="H8398" s="7" t="n">
        <v>190801</v>
      </c>
      <c r="I8398" s="7" t="n">
        <v>190801</v>
      </c>
      <c r="J8398" s="94" t="n"/>
      <c r="K8398" s="94" t="n">
        <v>2</v>
      </c>
      <c r="L8398" s="7" t="n">
        <v>190801</v>
      </c>
      <c r="M8398" s="94">
        <f>VLOOKUP($Q8398,매칭테이블!$F:$I,2,0)*K8398</f>
        <v/>
      </c>
      <c r="N8398" s="94">
        <f>M8398-M8398*VLOOKUP($Q8398,매칭테이블!$F:$I,3,0)</f>
        <v/>
      </c>
      <c r="O8398" s="94">
        <f>VLOOKUP($Q8398,매칭테이블!$F:$I,4,0)*K8398</f>
        <v/>
      </c>
      <c r="P8398" s="148">
        <f>M8398/1.1</f>
        <v/>
      </c>
      <c r="Q8398" s="94">
        <f>F8398&amp;E8398&amp;G8398&amp;L8398</f>
        <v/>
      </c>
    </row>
    <row r="8399">
      <c r="A8399" s="94" t="n"/>
      <c r="B8399" s="128" t="n">
        <v>44057</v>
      </c>
      <c r="C8399" s="94">
        <f>TEXT(B8399,"aaa")</f>
        <v/>
      </c>
      <c r="D8399" s="94" t="n"/>
      <c r="E8399" s="94" t="inlineStr">
        <is>
          <t>어성초진정패키지</t>
        </is>
      </c>
      <c r="F8399" s="5" t="inlineStr">
        <is>
          <t>카페24</t>
        </is>
      </c>
      <c r="G8399" s="94" t="inlineStr">
        <is>
          <t>어성초 진정패키지세트</t>
        </is>
      </c>
      <c r="H8399" s="7" t="n">
        <v>190801</v>
      </c>
      <c r="I8399" s="7" t="n">
        <v>190801</v>
      </c>
      <c r="J8399" s="94" t="n"/>
      <c r="K8399" s="94" t="n">
        <v>1</v>
      </c>
      <c r="L8399" s="7" t="n">
        <v>190801</v>
      </c>
      <c r="M8399" s="94">
        <f>VLOOKUP($Q8399,매칭테이블!$F:$I,2,0)*K8399</f>
        <v/>
      </c>
      <c r="N8399" s="94">
        <f>M8399-M8399*VLOOKUP($Q8399,매칭테이블!$F:$I,3,0)</f>
        <v/>
      </c>
      <c r="O8399" s="94">
        <f>VLOOKUP($Q8399,매칭테이블!$F:$I,4,0)*K8399</f>
        <v/>
      </c>
      <c r="P8399" s="148">
        <f>M8399/1.1</f>
        <v/>
      </c>
      <c r="Q8399" s="94">
        <f>F8399&amp;E8399&amp;G8399&amp;L8399</f>
        <v/>
      </c>
    </row>
    <row r="8400">
      <c r="A8400" s="94" t="n"/>
      <c r="B8400" s="128" t="n">
        <v>44057</v>
      </c>
      <c r="C8400" s="94">
        <f>TEXT(B8400,"aaa")</f>
        <v/>
      </c>
      <c r="D8400" s="94" t="n"/>
      <c r="E8400" s="94" t="inlineStr">
        <is>
          <t>머드크림마스크</t>
        </is>
      </c>
      <c r="F8400" s="5" t="inlineStr">
        <is>
          <t>카페24</t>
        </is>
      </c>
      <c r="G8400" s="94" t="inlineStr">
        <is>
          <t>머드크림마스크 100ml</t>
        </is>
      </c>
      <c r="H8400" s="7" t="n">
        <v>190801</v>
      </c>
      <c r="I8400" s="7" t="n">
        <v>190801</v>
      </c>
      <c r="J8400" s="94" t="n"/>
      <c r="K8400" s="94" t="n">
        <v>2</v>
      </c>
      <c r="L8400" s="7" t="n">
        <v>190801</v>
      </c>
      <c r="M8400" s="94">
        <f>VLOOKUP($Q8400,매칭테이블!$F:$I,2,0)*K8400</f>
        <v/>
      </c>
      <c r="N8400" s="94">
        <f>M8400-M8400*VLOOKUP($Q8400,매칭테이블!$F:$I,3,0)</f>
        <v/>
      </c>
      <c r="O8400" s="94">
        <f>VLOOKUP($Q8400,매칭테이블!$F:$I,4,0)*K8400</f>
        <v/>
      </c>
      <c r="P8400" s="148">
        <f>M8400/1.1</f>
        <v/>
      </c>
      <c r="Q8400" s="94">
        <f>F8400&amp;E8400&amp;G8400&amp;L8400</f>
        <v/>
      </c>
    </row>
    <row r="8401">
      <c r="A8401" s="94" t="n"/>
      <c r="B8401" s="128" t="n">
        <v>44057</v>
      </c>
      <c r="C8401" s="94">
        <f>TEXT(B8401,"aaa")</f>
        <v/>
      </c>
      <c r="D8401" s="94" t="n"/>
      <c r="E8401" s="94" t="inlineStr">
        <is>
          <t>마스크팩</t>
        </is>
      </c>
      <c r="F8401" s="5" t="inlineStr">
        <is>
          <t>카페24</t>
        </is>
      </c>
      <c r="G8401" s="94" t="inlineStr">
        <is>
          <t>마스크팩 1매</t>
        </is>
      </c>
      <c r="H8401" s="7" t="n">
        <v>190801</v>
      </c>
      <c r="I8401" s="7" t="n">
        <v>190801</v>
      </c>
      <c r="J8401" s="94" t="n"/>
      <c r="K8401" s="94" t="n">
        <v>9</v>
      </c>
      <c r="L8401" s="7" t="n">
        <v>190801</v>
      </c>
      <c r="M8401" s="94">
        <f>VLOOKUP($Q8401,매칭테이블!$F:$I,2,0)*K8401</f>
        <v/>
      </c>
      <c r="N8401" s="94">
        <f>M8401-M8401*VLOOKUP($Q8401,매칭테이블!$F:$I,3,0)</f>
        <v/>
      </c>
      <c r="O8401" s="94">
        <f>VLOOKUP($Q8401,매칭테이블!$F:$I,4,0)*K8401</f>
        <v/>
      </c>
      <c r="P8401" s="148">
        <f>M8401/1.1</f>
        <v/>
      </c>
      <c r="Q8401" s="94">
        <f>F8401&amp;E8401&amp;G8401&amp;L8401</f>
        <v/>
      </c>
    </row>
    <row r="8402">
      <c r="A8402" s="94" t="n"/>
      <c r="B8402" s="128" t="n">
        <v>44057</v>
      </c>
      <c r="C8402" s="94">
        <f>TEXT(B8402,"aaa")</f>
        <v/>
      </c>
      <c r="D8402" s="94" t="n"/>
      <c r="E8402" s="94" t="inlineStr">
        <is>
          <t>마스크팩</t>
        </is>
      </c>
      <c r="F8402" s="5" t="inlineStr">
        <is>
          <t>카페24</t>
        </is>
      </c>
      <c r="G8402" s="94" t="inlineStr">
        <is>
          <t>마스크팩 10매</t>
        </is>
      </c>
      <c r="H8402" s="7" t="n">
        <v>190801</v>
      </c>
      <c r="I8402" s="7" t="n">
        <v>190801</v>
      </c>
      <c r="J8402" s="94" t="n"/>
      <c r="K8402" s="94" t="n">
        <v>9</v>
      </c>
      <c r="L8402" s="7" t="n">
        <v>190801</v>
      </c>
      <c r="M8402" s="94">
        <f>VLOOKUP($Q8402,매칭테이블!$F:$I,2,0)*K8402</f>
        <v/>
      </c>
      <c r="N8402" s="94">
        <f>M8402-M8402*VLOOKUP($Q8402,매칭테이블!$F:$I,3,0)</f>
        <v/>
      </c>
      <c r="O8402" s="94">
        <f>VLOOKUP($Q8402,매칭테이블!$F:$I,4,0)*K8402</f>
        <v/>
      </c>
      <c r="P8402" s="148">
        <f>M8402/1.1</f>
        <v/>
      </c>
      <c r="Q8402" s="94">
        <f>F8402&amp;E8402&amp;G8402&amp;L8402</f>
        <v/>
      </c>
    </row>
    <row r="8403">
      <c r="A8403" s="94" t="n"/>
      <c r="B8403" s="128" t="n">
        <v>44057</v>
      </c>
      <c r="C8403" s="94">
        <f>TEXT(B8403,"aaa")</f>
        <v/>
      </c>
      <c r="D8403" s="94" t="n"/>
      <c r="E8403" s="94" t="inlineStr">
        <is>
          <t>토너</t>
        </is>
      </c>
      <c r="F8403" s="5" t="inlineStr">
        <is>
          <t>카페24</t>
        </is>
      </c>
      <c r="G8403" s="94" t="inlineStr">
        <is>
          <t>250ml</t>
        </is>
      </c>
      <c r="H8403" s="7" t="n">
        <v>190801</v>
      </c>
      <c r="I8403" s="7" t="n">
        <v>190801</v>
      </c>
      <c r="J8403" s="94" t="n"/>
      <c r="K8403" s="94" t="n">
        <v>66</v>
      </c>
      <c r="L8403" s="7" t="n">
        <v>190801</v>
      </c>
      <c r="M8403" s="94">
        <f>VLOOKUP($Q8403,매칭테이블!$F:$I,2,0)*K8403</f>
        <v/>
      </c>
      <c r="N8403" s="94">
        <f>M8403-M8403*VLOOKUP($Q8403,매칭테이블!$F:$I,3,0)</f>
        <v/>
      </c>
      <c r="O8403" s="94">
        <f>VLOOKUP($Q8403,매칭테이블!$F:$I,4,0)*K8403</f>
        <v/>
      </c>
      <c r="P8403" s="148">
        <f>M8403/1.1</f>
        <v/>
      </c>
      <c r="Q8403" s="94">
        <f>F8403&amp;E8403&amp;G8403&amp;L8403</f>
        <v/>
      </c>
    </row>
    <row r="8404">
      <c r="A8404" s="94" t="n"/>
      <c r="B8404" s="128" t="n">
        <v>44057</v>
      </c>
      <c r="C8404" s="94">
        <f>TEXT(B8404,"aaa")</f>
        <v/>
      </c>
      <c r="D8404" s="94" t="n"/>
      <c r="E8404" s="94" t="inlineStr">
        <is>
          <t>토너</t>
        </is>
      </c>
      <c r="F8404" s="5" t="inlineStr">
        <is>
          <t>카페24</t>
        </is>
      </c>
      <c r="G8404" s="94" t="inlineStr">
        <is>
          <t>250ml 2set</t>
        </is>
      </c>
      <c r="H8404" s="7" t="n">
        <v>190801</v>
      </c>
      <c r="I8404" s="7" t="n">
        <v>190801</v>
      </c>
      <c r="J8404" s="94" t="n"/>
      <c r="K8404" s="94" t="n">
        <v>70</v>
      </c>
      <c r="L8404" s="7" t="n">
        <v>190801</v>
      </c>
      <c r="M8404" s="94">
        <f>VLOOKUP($Q8404,매칭테이블!$F:$I,2,0)*K8404</f>
        <v/>
      </c>
      <c r="N8404" s="94">
        <f>M8404-M8404*VLOOKUP($Q8404,매칭테이블!$F:$I,3,0)</f>
        <v/>
      </c>
      <c r="O8404" s="94">
        <f>VLOOKUP($Q8404,매칭테이블!$F:$I,4,0)*K8404</f>
        <v/>
      </c>
      <c r="P8404" s="148">
        <f>M8404/1.1</f>
        <v/>
      </c>
      <c r="Q8404" s="94">
        <f>F8404&amp;E8404&amp;G8404&amp;L8404</f>
        <v/>
      </c>
    </row>
    <row r="8405">
      <c r="A8405" s="94" t="n"/>
      <c r="B8405" s="128" t="n">
        <v>44057</v>
      </c>
      <c r="C8405" s="94">
        <f>TEXT(B8405,"aaa")</f>
        <v/>
      </c>
      <c r="D8405" s="94" t="n"/>
      <c r="E8405" s="94" t="inlineStr">
        <is>
          <t>토너</t>
        </is>
      </c>
      <c r="F8405" s="5" t="inlineStr">
        <is>
          <t>카페24</t>
        </is>
      </c>
      <c r="G8405" s="94" t="inlineStr">
        <is>
          <t>500ml</t>
        </is>
      </c>
      <c r="H8405" s="7" t="n">
        <v>190801</v>
      </c>
      <c r="I8405" s="7" t="n">
        <v>190801</v>
      </c>
      <c r="J8405" s="94" t="n"/>
      <c r="K8405" s="94" t="n">
        <v>59</v>
      </c>
      <c r="L8405" s="7" t="n">
        <v>190801</v>
      </c>
      <c r="M8405" s="94">
        <f>VLOOKUP($Q8405,매칭테이블!$F:$I,2,0)*K8405</f>
        <v/>
      </c>
      <c r="N8405" s="94">
        <f>M8405-M8405*VLOOKUP($Q8405,매칭테이블!$F:$I,3,0)</f>
        <v/>
      </c>
      <c r="O8405" s="94">
        <f>VLOOKUP($Q8405,매칭테이블!$F:$I,4,0)*K8405</f>
        <v/>
      </c>
      <c r="P8405" s="148">
        <f>M8405/1.1</f>
        <v/>
      </c>
      <c r="Q8405" s="94">
        <f>F8405&amp;E8405&amp;G8405&amp;L8405</f>
        <v/>
      </c>
    </row>
    <row r="8406">
      <c r="A8406" s="94" t="n"/>
      <c r="B8406" s="128" t="n">
        <v>44057</v>
      </c>
      <c r="C8406" s="94">
        <f>TEXT(B8406,"aaa")</f>
        <v/>
      </c>
      <c r="D8406" s="94" t="n"/>
      <c r="E8406" s="94" t="inlineStr">
        <is>
          <t>토너</t>
        </is>
      </c>
      <c r="F8406" s="5" t="inlineStr">
        <is>
          <t>카페24</t>
        </is>
      </c>
      <c r="G8406" s="94" t="inlineStr">
        <is>
          <t>스킨팩 화장솜 60P</t>
        </is>
      </c>
      <c r="H8406" s="7" t="n">
        <v>190801</v>
      </c>
      <c r="I8406" s="7" t="n">
        <v>190801</v>
      </c>
      <c r="J8406" s="94" t="n"/>
      <c r="K8406" s="94" t="n">
        <v>70</v>
      </c>
      <c r="L8406" s="7" t="n">
        <v>190801</v>
      </c>
      <c r="M8406" s="94">
        <f>VLOOKUP($Q8406,매칭테이블!$F:$I,2,0)*K8406</f>
        <v/>
      </c>
      <c r="N8406" s="94">
        <f>M8406-M8406*VLOOKUP($Q8406,매칭테이블!$F:$I,3,0)</f>
        <v/>
      </c>
      <c r="O8406" s="94">
        <f>VLOOKUP($Q8406,매칭테이블!$F:$I,4,0)*K8406</f>
        <v/>
      </c>
      <c r="P8406" s="148">
        <f>M8406/1.1</f>
        <v/>
      </c>
      <c r="Q8406" s="94">
        <f>F8406&amp;E8406&amp;G8406&amp;L8406</f>
        <v/>
      </c>
    </row>
    <row r="8407">
      <c r="A8407" s="94" t="n"/>
      <c r="B8407" s="128" t="n">
        <v>44057</v>
      </c>
      <c r="C8407" s="94">
        <f>TEXT(B8407,"aaa")</f>
        <v/>
      </c>
      <c r="D8407" s="94" t="n"/>
      <c r="E8407" s="94" t="inlineStr">
        <is>
          <t>앰플</t>
        </is>
      </c>
      <c r="F8407" s="5" t="inlineStr">
        <is>
          <t>카페24</t>
        </is>
      </c>
      <c r="G8407" s="94" t="inlineStr">
        <is>
          <t>앰플 30ml</t>
        </is>
      </c>
      <c r="H8407" s="7" t="n">
        <v>190801</v>
      </c>
      <c r="I8407" s="7" t="n">
        <v>190801</v>
      </c>
      <c r="J8407" s="94" t="n"/>
      <c r="K8407" s="94" t="n">
        <v>18</v>
      </c>
      <c r="L8407" s="7" t="n">
        <v>190801</v>
      </c>
      <c r="M8407" s="94">
        <f>VLOOKUP($Q8407,매칭테이블!$F:$I,2,0)*K8407</f>
        <v/>
      </c>
      <c r="N8407" s="94">
        <f>M8407-M8407*VLOOKUP($Q8407,매칭테이블!$F:$I,3,0)</f>
        <v/>
      </c>
      <c r="O8407" s="94">
        <f>VLOOKUP($Q8407,매칭테이블!$F:$I,4,0)*K8407</f>
        <v/>
      </c>
      <c r="P8407" s="148">
        <f>M8407/1.1</f>
        <v/>
      </c>
      <c r="Q8407" s="94">
        <f>F8407&amp;E8407&amp;G8407&amp;L8407</f>
        <v/>
      </c>
    </row>
    <row r="8408">
      <c r="A8408" s="94" t="n"/>
      <c r="B8408" s="128" t="n">
        <v>44057</v>
      </c>
      <c r="C8408" s="94">
        <f>TEXT(B8408,"aaa")</f>
        <v/>
      </c>
      <c r="D8408" s="94" t="n"/>
      <c r="E8408" s="94" t="inlineStr">
        <is>
          <t>앰플</t>
        </is>
      </c>
      <c r="F8408" s="5" t="inlineStr">
        <is>
          <t>카페24</t>
        </is>
      </c>
      <c r="G8408" s="94" t="inlineStr">
        <is>
          <t>앰플 30ml  2set</t>
        </is>
      </c>
      <c r="H8408" s="7" t="n">
        <v>190801</v>
      </c>
      <c r="I8408" s="7" t="n">
        <v>190801</v>
      </c>
      <c r="J8408" s="94" t="n"/>
      <c r="K8408" s="94" t="n">
        <v>4</v>
      </c>
      <c r="L8408" s="7" t="n">
        <v>190801</v>
      </c>
      <c r="M8408" s="94">
        <f>VLOOKUP($Q8408,매칭테이블!$F:$I,2,0)*K8408</f>
        <v/>
      </c>
      <c r="N8408" s="94">
        <f>M8408-M8408*VLOOKUP($Q8408,매칭테이블!$F:$I,3,0)</f>
        <v/>
      </c>
      <c r="O8408" s="94">
        <f>VLOOKUP($Q8408,매칭테이블!$F:$I,4,0)*K8408</f>
        <v/>
      </c>
      <c r="P8408" s="148">
        <f>M8408/1.1</f>
        <v/>
      </c>
      <c r="Q8408" s="94">
        <f>F8408&amp;E8408&amp;G8408&amp;L8408</f>
        <v/>
      </c>
    </row>
    <row r="8409">
      <c r="A8409" s="94" t="n"/>
      <c r="B8409" s="128" t="n">
        <v>44057</v>
      </c>
      <c r="C8409" s="94">
        <f>TEXT(B8409,"aaa")</f>
        <v/>
      </c>
      <c r="D8409" s="94" t="n"/>
      <c r="E8409" s="94" t="inlineStr">
        <is>
          <t>수딩크림</t>
        </is>
      </c>
      <c r="F8409" s="5" t="inlineStr">
        <is>
          <t>카페24</t>
        </is>
      </c>
      <c r="G8409" s="94" t="inlineStr">
        <is>
          <t>수딩크림 100ml</t>
        </is>
      </c>
      <c r="H8409" s="7" t="n">
        <v>190801</v>
      </c>
      <c r="I8409" s="7" t="n">
        <v>190801</v>
      </c>
      <c r="J8409" s="94" t="n"/>
      <c r="K8409" s="94" t="n">
        <v>9</v>
      </c>
      <c r="L8409" s="7" t="n">
        <v>190801</v>
      </c>
      <c r="M8409" s="94">
        <f>VLOOKUP($Q8409,매칭테이블!$F:$I,2,0)*K8409</f>
        <v/>
      </c>
      <c r="N8409" s="94">
        <f>M8409-M8409*VLOOKUP($Q8409,매칭테이블!$F:$I,3,0)</f>
        <v/>
      </c>
      <c r="O8409" s="94">
        <f>VLOOKUP($Q8409,매칭테이블!$F:$I,4,0)*K8409</f>
        <v/>
      </c>
      <c r="P8409" s="148">
        <f>M8409/1.1</f>
        <v/>
      </c>
      <c r="Q8409" s="94">
        <f>F8409&amp;E8409&amp;G8409&amp;L8409</f>
        <v/>
      </c>
    </row>
    <row r="8410">
      <c r="A8410" s="94" t="n"/>
      <c r="B8410" s="128" t="n">
        <v>44057</v>
      </c>
      <c r="C8410" s="94">
        <f>TEXT(B8410,"aaa")</f>
        <v/>
      </c>
      <c r="D8410" s="94" t="n"/>
      <c r="E8410" s="94" t="inlineStr">
        <is>
          <t>클렌징폼</t>
        </is>
      </c>
      <c r="F8410" s="5" t="inlineStr">
        <is>
          <t>카페24</t>
        </is>
      </c>
      <c r="G8410" s="94" t="inlineStr">
        <is>
          <t>클렌징폼 120ml</t>
        </is>
      </c>
      <c r="H8410" s="7" t="n">
        <v>190801</v>
      </c>
      <c r="I8410" s="7" t="n">
        <v>190801</v>
      </c>
      <c r="J8410" s="94" t="n"/>
      <c r="K8410" s="94" t="n">
        <v>14</v>
      </c>
      <c r="L8410" s="7" t="n">
        <v>190801</v>
      </c>
      <c r="M8410" s="94">
        <f>VLOOKUP($Q8410,매칭테이블!$F:$I,2,0)*K8410</f>
        <v/>
      </c>
      <c r="N8410" s="94">
        <f>M8410-M8410*VLOOKUP($Q8410,매칭테이블!$F:$I,3,0)</f>
        <v/>
      </c>
      <c r="O8410" s="94">
        <f>VLOOKUP($Q8410,매칭테이블!$F:$I,4,0)*K8410</f>
        <v/>
      </c>
      <c r="P8410" s="148">
        <f>M8410/1.1</f>
        <v/>
      </c>
      <c r="Q8410" s="94">
        <f>F8410&amp;E8410&amp;G8410&amp;L8410</f>
        <v/>
      </c>
    </row>
    <row r="8411">
      <c r="A8411" s="94" t="n"/>
      <c r="B8411" s="128" t="n">
        <v>44057</v>
      </c>
      <c r="C8411" s="94">
        <f>TEXT(B8411,"aaa")</f>
        <v/>
      </c>
      <c r="D8411" s="94" t="n"/>
      <c r="E8411" s="94" t="inlineStr">
        <is>
          <t>클렌징폼</t>
        </is>
      </c>
      <c r="F8411" s="5" t="inlineStr">
        <is>
          <t>카페24</t>
        </is>
      </c>
      <c r="G8411" s="94" t="inlineStr">
        <is>
          <t>클렌징폼 120ml 2set</t>
        </is>
      </c>
      <c r="H8411" s="7" t="n">
        <v>190801</v>
      </c>
      <c r="I8411" s="7" t="n">
        <v>190801</v>
      </c>
      <c r="J8411" s="94" t="n"/>
      <c r="K8411" s="94" t="n">
        <v>6</v>
      </c>
      <c r="L8411" s="7" t="n">
        <v>190801</v>
      </c>
      <c r="M8411" s="94">
        <f>VLOOKUP($Q8411,매칭테이블!$F:$I,2,0)*K8411</f>
        <v/>
      </c>
      <c r="N8411" s="94">
        <f>M8411-M8411*VLOOKUP($Q8411,매칭테이블!$F:$I,3,0)</f>
        <v/>
      </c>
      <c r="O8411" s="94">
        <f>VLOOKUP($Q8411,매칭테이블!$F:$I,4,0)*K8411</f>
        <v/>
      </c>
      <c r="P8411" s="148">
        <f>M8411/1.1</f>
        <v/>
      </c>
      <c r="Q8411" s="94">
        <f>F8411&amp;E8411&amp;G8411&amp;L8411</f>
        <v/>
      </c>
    </row>
    <row r="8412">
      <c r="A8412" s="94" t="n"/>
      <c r="B8412" s="128" t="n">
        <v>44057</v>
      </c>
      <c r="C8412" s="94">
        <f>TEXT(B8412,"aaa")</f>
        <v/>
      </c>
      <c r="D8412" s="94" t="n"/>
      <c r="E8412" s="94" t="inlineStr">
        <is>
          <t>클렌징폼</t>
        </is>
      </c>
      <c r="F8412" s="5" t="inlineStr">
        <is>
          <t>카페24</t>
        </is>
      </c>
      <c r="G8412" s="94" t="inlineStr">
        <is>
          <t>클렌징폼 120ml 3set</t>
        </is>
      </c>
      <c r="H8412" s="7" t="n">
        <v>190801</v>
      </c>
      <c r="I8412" s="7" t="n">
        <v>190801</v>
      </c>
      <c r="J8412" s="94" t="n"/>
      <c r="K8412" s="94" t="n">
        <v>5</v>
      </c>
      <c r="L8412" s="7" t="n">
        <v>190801</v>
      </c>
      <c r="M8412" s="94">
        <f>VLOOKUP($Q8412,매칭테이블!$F:$I,2,0)*K8412</f>
        <v/>
      </c>
      <c r="N8412" s="94">
        <f>M8412-M8412*VLOOKUP($Q8412,매칭테이블!$F:$I,3,0)</f>
        <v/>
      </c>
      <c r="O8412" s="94">
        <f>VLOOKUP($Q8412,매칭테이블!$F:$I,4,0)*K8412</f>
        <v/>
      </c>
      <c r="P8412" s="148">
        <f>M8412/1.1</f>
        <v/>
      </c>
      <c r="Q8412" s="94">
        <f>F8412&amp;E8412&amp;G8412&amp;L8412</f>
        <v/>
      </c>
    </row>
    <row r="8413">
      <c r="A8413" s="94" t="n"/>
      <c r="B8413" s="128" t="n">
        <v>44057</v>
      </c>
      <c r="C8413" s="94">
        <f>TEXT(B8413,"aaa")</f>
        <v/>
      </c>
      <c r="D8413" s="94" t="n"/>
      <c r="E8413" s="94" t="inlineStr">
        <is>
          <t>토너</t>
        </is>
      </c>
      <c r="F8413" s="5" t="inlineStr">
        <is>
          <t>화해</t>
        </is>
      </c>
      <c r="G8413" s="94" t="inlineStr">
        <is>
          <t>250ml</t>
        </is>
      </c>
      <c r="H8413" s="7" t="n">
        <v>190801</v>
      </c>
      <c r="I8413" s="7" t="n">
        <v>190801</v>
      </c>
      <c r="J8413" s="94" t="n"/>
      <c r="K8413" s="94" t="n">
        <v>6</v>
      </c>
      <c r="L8413" s="7" t="n">
        <v>190801</v>
      </c>
      <c r="M8413" s="94">
        <f>VLOOKUP($Q8413,매칭테이블!$F:$I,2,0)*K8413</f>
        <v/>
      </c>
      <c r="N8413" s="94">
        <f>M8413-M8413*VLOOKUP($Q8413,매칭테이블!$F:$I,3,0)</f>
        <v/>
      </c>
      <c r="O8413" s="94">
        <f>VLOOKUP($Q8413,매칭테이블!$F:$I,4,0)*K8413</f>
        <v/>
      </c>
      <c r="P8413" s="148">
        <f>M8413/1.1</f>
        <v/>
      </c>
      <c r="Q8413" s="94">
        <f>F8413&amp;E8413&amp;G8413&amp;L8413</f>
        <v/>
      </c>
    </row>
    <row r="8414">
      <c r="A8414" s="94" t="n"/>
      <c r="B8414" s="128" t="n">
        <v>44058</v>
      </c>
      <c r="C8414" s="94">
        <f>TEXT(B8414,"aaa")</f>
        <v/>
      </c>
      <c r="D8414" s="94" t="n"/>
      <c r="E8414" s="94" t="inlineStr">
        <is>
          <t>토너</t>
        </is>
      </c>
      <c r="F8414" s="5" t="inlineStr">
        <is>
          <t>스타일쉐어</t>
        </is>
      </c>
      <c r="G8414" s="94" t="inlineStr">
        <is>
          <t>250ml</t>
        </is>
      </c>
      <c r="H8414" s="7" t="n">
        <v>190801</v>
      </c>
      <c r="I8414" s="7" t="n">
        <v>190801</v>
      </c>
      <c r="J8414" s="94" t="n"/>
      <c r="K8414" s="94" t="n">
        <v>4</v>
      </c>
      <c r="L8414" s="7" t="n">
        <v>190801</v>
      </c>
      <c r="M8414" s="94">
        <f>VLOOKUP($Q8414,매칭테이블!$F:$I,2,0)*K8414</f>
        <v/>
      </c>
      <c r="N8414" s="94">
        <f>M8414-M8414*VLOOKUP($Q8414,매칭테이블!$F:$I,3,0)</f>
        <v/>
      </c>
      <c r="O8414" s="94">
        <f>VLOOKUP($Q8414,매칭테이블!$F:$I,4,0)*K8414</f>
        <v/>
      </c>
      <c r="P8414" s="148">
        <f>M8414/1.1</f>
        <v/>
      </c>
      <c r="Q8414" s="94">
        <f>F8414&amp;E8414&amp;G8414&amp;L8414</f>
        <v/>
      </c>
    </row>
    <row r="8415">
      <c r="A8415" s="94" t="n"/>
      <c r="B8415" s="128" t="n">
        <v>44058</v>
      </c>
      <c r="C8415" s="94">
        <f>TEXT(B8415,"aaa")</f>
        <v/>
      </c>
      <c r="D8415" s="94" t="n"/>
      <c r="E8415" s="94" t="inlineStr">
        <is>
          <t>선크림</t>
        </is>
      </c>
      <c r="F8415" s="5" t="inlineStr">
        <is>
          <t>카페24</t>
        </is>
      </c>
      <c r="G8415" s="94" t="inlineStr">
        <is>
          <t>선크림 50ml  2set</t>
        </is>
      </c>
      <c r="H8415" s="7" t="n">
        <v>190801</v>
      </c>
      <c r="I8415" s="7" t="n">
        <v>190801</v>
      </c>
      <c r="J8415" s="94" t="n"/>
      <c r="K8415" s="94" t="n">
        <v>1</v>
      </c>
      <c r="L8415" s="7" t="n">
        <v>190801</v>
      </c>
      <c r="M8415" s="94">
        <f>VLOOKUP($Q8415,매칭테이블!$F:$I,2,0)*K8415</f>
        <v/>
      </c>
      <c r="N8415" s="94">
        <f>M8415-M8415*VLOOKUP($Q8415,매칭테이블!$F:$I,3,0)</f>
        <v/>
      </c>
      <c r="O8415" s="94">
        <f>VLOOKUP($Q8415,매칭테이블!$F:$I,4,0)*K8415</f>
        <v/>
      </c>
      <c r="P8415" s="148">
        <f>M8415/1.1</f>
        <v/>
      </c>
      <c r="Q8415" s="94">
        <f>F8415&amp;E8415&amp;G8415&amp;L8415</f>
        <v/>
      </c>
    </row>
    <row r="8416">
      <c r="A8416" s="94" t="n"/>
      <c r="B8416" s="128" t="n">
        <v>44058</v>
      </c>
      <c r="C8416" s="94">
        <f>TEXT(B8416,"aaa")</f>
        <v/>
      </c>
      <c r="D8416" s="94" t="n"/>
      <c r="E8416" s="94" t="inlineStr">
        <is>
          <t>여름 한정 진정세트</t>
        </is>
      </c>
      <c r="F8416" s="5" t="inlineStr">
        <is>
          <t>카페24</t>
        </is>
      </c>
      <c r="G8416" s="94" t="inlineStr">
        <is>
          <t>여름 한정 진정세트</t>
        </is>
      </c>
      <c r="H8416" s="7" t="n">
        <v>190801</v>
      </c>
      <c r="I8416" s="7" t="n">
        <v>190801</v>
      </c>
      <c r="J8416" s="94" t="n"/>
      <c r="K8416" s="94" t="n">
        <v>1</v>
      </c>
      <c r="L8416" s="7" t="n">
        <v>190801</v>
      </c>
      <c r="M8416" s="94">
        <f>VLOOKUP($Q8416,매칭테이블!$F:$I,2,0)*K8416</f>
        <v/>
      </c>
      <c r="N8416" s="94">
        <f>M8416-M8416*VLOOKUP($Q8416,매칭테이블!$F:$I,3,0)</f>
        <v/>
      </c>
      <c r="O8416" s="94">
        <f>VLOOKUP($Q8416,매칭테이블!$F:$I,4,0)*K8416</f>
        <v/>
      </c>
      <c r="P8416" s="148">
        <f>M8416/1.1</f>
        <v/>
      </c>
      <c r="Q8416" s="94">
        <f>F8416&amp;E8416&amp;G8416&amp;L8416</f>
        <v/>
      </c>
    </row>
    <row r="8417">
      <c r="A8417" s="94" t="n"/>
      <c r="B8417" s="128" t="n">
        <v>44058</v>
      </c>
      <c r="C8417" s="94">
        <f>TEXT(B8417,"aaa")</f>
        <v/>
      </c>
      <c r="D8417" s="94" t="n"/>
      <c r="E8417" s="94" t="inlineStr">
        <is>
          <t>여름 한정 진정세트</t>
        </is>
      </c>
      <c r="F8417" s="5" t="inlineStr">
        <is>
          <t>카페24</t>
        </is>
      </c>
      <c r="G8417" s="94" t="inlineStr">
        <is>
          <t>여름 한정 진정세트 (대용량)</t>
        </is>
      </c>
      <c r="H8417" s="7" t="n">
        <v>190801</v>
      </c>
      <c r="I8417" s="7" t="n">
        <v>190801</v>
      </c>
      <c r="J8417" s="94" t="n"/>
      <c r="K8417" s="94" t="n">
        <v>3</v>
      </c>
      <c r="L8417" s="7" t="n">
        <v>190801</v>
      </c>
      <c r="M8417" s="94">
        <f>VLOOKUP($Q8417,매칭테이블!$F:$I,2,0)*K8417</f>
        <v/>
      </c>
      <c r="N8417" s="94">
        <f>M8417-M8417*VLOOKUP($Q8417,매칭테이블!$F:$I,3,0)</f>
        <v/>
      </c>
      <c r="O8417" s="94">
        <f>VLOOKUP($Q8417,매칭테이블!$F:$I,4,0)*K8417</f>
        <v/>
      </c>
      <c r="P8417" s="148">
        <f>M8417/1.1</f>
        <v/>
      </c>
      <c r="Q8417" s="94">
        <f>F8417&amp;E8417&amp;G8417&amp;L8417</f>
        <v/>
      </c>
    </row>
    <row r="8418">
      <c r="A8418" s="94" t="n"/>
      <c r="B8418" s="128" t="n">
        <v>44058</v>
      </c>
      <c r="C8418" s="94">
        <f>TEXT(B8418,"aaa")</f>
        <v/>
      </c>
      <c r="D8418" s="94" t="n"/>
      <c r="E8418" s="94" t="inlineStr">
        <is>
          <t>어성초진정패키지</t>
        </is>
      </c>
      <c r="F8418" s="5" t="inlineStr">
        <is>
          <t>카페24</t>
        </is>
      </c>
      <c r="G8418" s="94" t="inlineStr">
        <is>
          <t>어성초 진정패키지세트</t>
        </is>
      </c>
      <c r="H8418" s="7" t="n">
        <v>190801</v>
      </c>
      <c r="I8418" s="7" t="n">
        <v>190801</v>
      </c>
      <c r="J8418" s="94" t="n"/>
      <c r="K8418" s="94" t="n">
        <v>2</v>
      </c>
      <c r="L8418" s="7" t="n">
        <v>190801</v>
      </c>
      <c r="M8418" s="94">
        <f>VLOOKUP($Q8418,매칭테이블!$F:$I,2,0)*K8418</f>
        <v/>
      </c>
      <c r="N8418" s="94">
        <f>M8418-M8418*VLOOKUP($Q8418,매칭테이블!$F:$I,3,0)</f>
        <v/>
      </c>
      <c r="O8418" s="94">
        <f>VLOOKUP($Q8418,매칭테이블!$F:$I,4,0)*K8418</f>
        <v/>
      </c>
      <c r="P8418" s="148">
        <f>M8418/1.1</f>
        <v/>
      </c>
      <c r="Q8418" s="94">
        <f>F8418&amp;E8418&amp;G8418&amp;L8418</f>
        <v/>
      </c>
    </row>
    <row r="8419">
      <c r="A8419" s="94" t="n"/>
      <c r="B8419" s="128" t="n">
        <v>44058</v>
      </c>
      <c r="C8419" s="94">
        <f>TEXT(B8419,"aaa")</f>
        <v/>
      </c>
      <c r="D8419" s="94" t="n"/>
      <c r="E8419" s="94" t="inlineStr">
        <is>
          <t>머드크림마스크</t>
        </is>
      </c>
      <c r="F8419" s="5" t="inlineStr">
        <is>
          <t>카페24</t>
        </is>
      </c>
      <c r="G8419" s="94" t="inlineStr">
        <is>
          <t>머드크림마스크 100ml</t>
        </is>
      </c>
      <c r="H8419" s="7" t="n">
        <v>190801</v>
      </c>
      <c r="I8419" s="7" t="n">
        <v>190801</v>
      </c>
      <c r="J8419" s="94" t="n"/>
      <c r="K8419" s="94" t="n">
        <v>1</v>
      </c>
      <c r="L8419" s="7" t="n">
        <v>190801</v>
      </c>
      <c r="M8419" s="94">
        <f>VLOOKUP($Q8419,매칭테이블!$F:$I,2,0)*K8419</f>
        <v/>
      </c>
      <c r="N8419" s="94">
        <f>M8419-M8419*VLOOKUP($Q8419,매칭테이블!$F:$I,3,0)</f>
        <v/>
      </c>
      <c r="O8419" s="94">
        <f>VLOOKUP($Q8419,매칭테이블!$F:$I,4,0)*K8419</f>
        <v/>
      </c>
      <c r="P8419" s="148">
        <f>M8419/1.1</f>
        <v/>
      </c>
      <c r="Q8419" s="94">
        <f>F8419&amp;E8419&amp;G8419&amp;L8419</f>
        <v/>
      </c>
    </row>
    <row r="8420">
      <c r="A8420" s="94" t="n"/>
      <c r="B8420" s="128" t="n">
        <v>44058</v>
      </c>
      <c r="C8420" s="94">
        <f>TEXT(B8420,"aaa")</f>
        <v/>
      </c>
      <c r="D8420" s="94" t="n"/>
      <c r="E8420" s="94" t="inlineStr">
        <is>
          <t>마스크팩</t>
        </is>
      </c>
      <c r="F8420" s="5" t="inlineStr">
        <is>
          <t>카페24</t>
        </is>
      </c>
      <c r="G8420" s="94" t="inlineStr">
        <is>
          <t>마스크팩 1매</t>
        </is>
      </c>
      <c r="H8420" s="7" t="n">
        <v>190801</v>
      </c>
      <c r="I8420" s="7" t="n">
        <v>190801</v>
      </c>
      <c r="J8420" s="94" t="n"/>
      <c r="K8420" s="94" t="n">
        <v>4</v>
      </c>
      <c r="L8420" s="7" t="n">
        <v>190801</v>
      </c>
      <c r="M8420" s="94">
        <f>VLOOKUP($Q8420,매칭테이블!$F:$I,2,0)*K8420</f>
        <v/>
      </c>
      <c r="N8420" s="94">
        <f>M8420-M8420*VLOOKUP($Q8420,매칭테이블!$F:$I,3,0)</f>
        <v/>
      </c>
      <c r="O8420" s="94">
        <f>VLOOKUP($Q8420,매칭테이블!$F:$I,4,0)*K8420</f>
        <v/>
      </c>
      <c r="P8420" s="148">
        <f>M8420/1.1</f>
        <v/>
      </c>
      <c r="Q8420" s="94">
        <f>F8420&amp;E8420&amp;G8420&amp;L8420</f>
        <v/>
      </c>
    </row>
    <row r="8421">
      <c r="A8421" s="94" t="n"/>
      <c r="B8421" s="128" t="n">
        <v>44058</v>
      </c>
      <c r="C8421" s="94">
        <f>TEXT(B8421,"aaa")</f>
        <v/>
      </c>
      <c r="D8421" s="94" t="n"/>
      <c r="E8421" s="94" t="inlineStr">
        <is>
          <t>토너</t>
        </is>
      </c>
      <c r="F8421" s="5" t="inlineStr">
        <is>
          <t>카페24</t>
        </is>
      </c>
      <c r="G8421" s="94" t="inlineStr">
        <is>
          <t>250ml</t>
        </is>
      </c>
      <c r="H8421" s="7" t="n">
        <v>190801</v>
      </c>
      <c r="I8421" s="7" t="n">
        <v>190801</v>
      </c>
      <c r="J8421" s="94" t="n"/>
      <c r="K8421" s="94" t="n">
        <v>50</v>
      </c>
      <c r="L8421" s="7" t="n">
        <v>190801</v>
      </c>
      <c r="M8421" s="94">
        <f>VLOOKUP($Q8421,매칭테이블!$F:$I,2,0)*K8421</f>
        <v/>
      </c>
      <c r="N8421" s="94">
        <f>M8421-M8421*VLOOKUP($Q8421,매칭테이블!$F:$I,3,0)</f>
        <v/>
      </c>
      <c r="O8421" s="94">
        <f>VLOOKUP($Q8421,매칭테이블!$F:$I,4,0)*K8421</f>
        <v/>
      </c>
      <c r="P8421" s="148">
        <f>M8421/1.1</f>
        <v/>
      </c>
      <c r="Q8421" s="94">
        <f>F8421&amp;E8421&amp;G8421&amp;L8421</f>
        <v/>
      </c>
    </row>
    <row r="8422">
      <c r="A8422" s="94" t="n"/>
      <c r="B8422" s="128" t="n">
        <v>44058</v>
      </c>
      <c r="C8422" s="94">
        <f>TEXT(B8422,"aaa")</f>
        <v/>
      </c>
      <c r="D8422" s="94" t="n"/>
      <c r="E8422" s="94" t="inlineStr">
        <is>
          <t>토너</t>
        </is>
      </c>
      <c r="F8422" s="5" t="inlineStr">
        <is>
          <t>카페24</t>
        </is>
      </c>
      <c r="G8422" s="94" t="inlineStr">
        <is>
          <t>250ml 2set</t>
        </is>
      </c>
      <c r="H8422" s="7" t="n">
        <v>190801</v>
      </c>
      <c r="I8422" s="7" t="n">
        <v>190801</v>
      </c>
      <c r="J8422" s="94" t="n"/>
      <c r="K8422" s="94" t="n">
        <v>17</v>
      </c>
      <c r="L8422" s="7" t="n">
        <v>190801</v>
      </c>
      <c r="M8422" s="94">
        <f>VLOOKUP($Q8422,매칭테이블!$F:$I,2,0)*K8422</f>
        <v/>
      </c>
      <c r="N8422" s="94">
        <f>M8422-M8422*VLOOKUP($Q8422,매칭테이블!$F:$I,3,0)</f>
        <v/>
      </c>
      <c r="O8422" s="94">
        <f>VLOOKUP($Q8422,매칭테이블!$F:$I,4,0)*K8422</f>
        <v/>
      </c>
      <c r="P8422" s="148">
        <f>M8422/1.1</f>
        <v/>
      </c>
      <c r="Q8422" s="94">
        <f>F8422&amp;E8422&amp;G8422&amp;L8422</f>
        <v/>
      </c>
    </row>
    <row r="8423">
      <c r="A8423" s="94" t="n"/>
      <c r="B8423" s="128" t="n">
        <v>44058</v>
      </c>
      <c r="C8423" s="94">
        <f>TEXT(B8423,"aaa")</f>
        <v/>
      </c>
      <c r="D8423" s="94" t="n"/>
      <c r="E8423" s="94" t="inlineStr">
        <is>
          <t>토너</t>
        </is>
      </c>
      <c r="F8423" s="5" t="inlineStr">
        <is>
          <t>카페24</t>
        </is>
      </c>
      <c r="G8423" s="94" t="inlineStr">
        <is>
          <t>500ml</t>
        </is>
      </c>
      <c r="H8423" s="7" t="n">
        <v>190801</v>
      </c>
      <c r="I8423" s="7" t="n">
        <v>190801</v>
      </c>
      <c r="J8423" s="94" t="n"/>
      <c r="K8423" s="94" t="n">
        <v>46</v>
      </c>
      <c r="L8423" s="7" t="n">
        <v>190801</v>
      </c>
      <c r="M8423" s="94">
        <f>VLOOKUP($Q8423,매칭테이블!$F:$I,2,0)*K8423</f>
        <v/>
      </c>
      <c r="N8423" s="94">
        <f>M8423-M8423*VLOOKUP($Q8423,매칭테이블!$F:$I,3,0)</f>
        <v/>
      </c>
      <c r="O8423" s="94">
        <f>VLOOKUP($Q8423,매칭테이블!$F:$I,4,0)*K8423</f>
        <v/>
      </c>
      <c r="P8423" s="148">
        <f>M8423/1.1</f>
        <v/>
      </c>
      <c r="Q8423" s="94">
        <f>F8423&amp;E8423&amp;G8423&amp;L8423</f>
        <v/>
      </c>
    </row>
    <row r="8424">
      <c r="A8424" s="94" t="n"/>
      <c r="B8424" s="128" t="n">
        <v>44058</v>
      </c>
      <c r="C8424" s="94">
        <f>TEXT(B8424,"aaa")</f>
        <v/>
      </c>
      <c r="D8424" s="94" t="n"/>
      <c r="E8424" s="94" t="inlineStr">
        <is>
          <t>토너</t>
        </is>
      </c>
      <c r="F8424" s="5" t="inlineStr">
        <is>
          <t>카페24</t>
        </is>
      </c>
      <c r="G8424" s="94" t="inlineStr">
        <is>
          <t>스킨팩 화장솜 60P</t>
        </is>
      </c>
      <c r="H8424" s="7" t="n">
        <v>190801</v>
      </c>
      <c r="I8424" s="7" t="n">
        <v>190801</v>
      </c>
      <c r="J8424" s="94" t="n"/>
      <c r="K8424" s="94" t="n">
        <v>52</v>
      </c>
      <c r="L8424" s="7" t="n">
        <v>190801</v>
      </c>
      <c r="M8424" s="94">
        <f>VLOOKUP($Q8424,매칭테이블!$F:$I,2,0)*K8424</f>
        <v/>
      </c>
      <c r="N8424" s="94">
        <f>M8424-M8424*VLOOKUP($Q8424,매칭테이블!$F:$I,3,0)</f>
        <v/>
      </c>
      <c r="O8424" s="94">
        <f>VLOOKUP($Q8424,매칭테이블!$F:$I,4,0)*K8424</f>
        <v/>
      </c>
      <c r="P8424" s="148">
        <f>M8424/1.1</f>
        <v/>
      </c>
      <c r="Q8424" s="94">
        <f>F8424&amp;E8424&amp;G8424&amp;L8424</f>
        <v/>
      </c>
    </row>
    <row r="8425">
      <c r="A8425" s="94" t="n"/>
      <c r="B8425" s="128" t="n">
        <v>44058</v>
      </c>
      <c r="C8425" s="94">
        <f>TEXT(B8425,"aaa")</f>
        <v/>
      </c>
      <c r="D8425" s="94" t="n"/>
      <c r="E8425" s="94" t="inlineStr">
        <is>
          <t>앰플</t>
        </is>
      </c>
      <c r="F8425" s="5" t="inlineStr">
        <is>
          <t>카페24</t>
        </is>
      </c>
      <c r="G8425" s="94" t="inlineStr">
        <is>
          <t>앰플 30ml</t>
        </is>
      </c>
      <c r="H8425" s="7" t="n">
        <v>190801</v>
      </c>
      <c r="I8425" s="7" t="n">
        <v>190801</v>
      </c>
      <c r="J8425" s="94" t="n"/>
      <c r="K8425" s="94" t="n">
        <v>9</v>
      </c>
      <c r="L8425" s="7" t="n">
        <v>190801</v>
      </c>
      <c r="M8425" s="94">
        <f>VLOOKUP($Q8425,매칭테이블!$F:$I,2,0)*K8425</f>
        <v/>
      </c>
      <c r="N8425" s="94">
        <f>M8425-M8425*VLOOKUP($Q8425,매칭테이블!$F:$I,3,0)</f>
        <v/>
      </c>
      <c r="O8425" s="94">
        <f>VLOOKUP($Q8425,매칭테이블!$F:$I,4,0)*K8425</f>
        <v/>
      </c>
      <c r="P8425" s="148">
        <f>M8425/1.1</f>
        <v/>
      </c>
      <c r="Q8425" s="94">
        <f>F8425&amp;E8425&amp;G8425&amp;L8425</f>
        <v/>
      </c>
    </row>
    <row r="8426">
      <c r="A8426" s="94" t="n"/>
      <c r="B8426" s="128" t="n">
        <v>44058</v>
      </c>
      <c r="C8426" s="94">
        <f>TEXT(B8426,"aaa")</f>
        <v/>
      </c>
      <c r="D8426" s="94" t="n"/>
      <c r="E8426" s="94" t="inlineStr">
        <is>
          <t>앰플</t>
        </is>
      </c>
      <c r="F8426" s="5" t="inlineStr">
        <is>
          <t>카페24</t>
        </is>
      </c>
      <c r="G8426" s="94" t="inlineStr">
        <is>
          <t>앰플 30ml  2set</t>
        </is>
      </c>
      <c r="H8426" s="7" t="n">
        <v>190801</v>
      </c>
      <c r="I8426" s="7" t="n">
        <v>190801</v>
      </c>
      <c r="J8426" s="94" t="n"/>
      <c r="K8426" s="94" t="n">
        <v>2</v>
      </c>
      <c r="L8426" s="7" t="n">
        <v>190801</v>
      </c>
      <c r="M8426" s="94">
        <f>VLOOKUP($Q8426,매칭테이블!$F:$I,2,0)*K8426</f>
        <v/>
      </c>
      <c r="N8426" s="94">
        <f>M8426-M8426*VLOOKUP($Q8426,매칭테이블!$F:$I,3,0)</f>
        <v/>
      </c>
      <c r="O8426" s="94">
        <f>VLOOKUP($Q8426,매칭테이블!$F:$I,4,0)*K8426</f>
        <v/>
      </c>
      <c r="P8426" s="148">
        <f>M8426/1.1</f>
        <v/>
      </c>
      <c r="Q8426" s="94">
        <f>F8426&amp;E8426&amp;G8426&amp;L8426</f>
        <v/>
      </c>
    </row>
    <row r="8427">
      <c r="A8427" s="94" t="n"/>
      <c r="B8427" s="128" t="n">
        <v>44058</v>
      </c>
      <c r="C8427" s="94">
        <f>TEXT(B8427,"aaa")</f>
        <v/>
      </c>
      <c r="D8427" s="94" t="n"/>
      <c r="E8427" s="94" t="inlineStr">
        <is>
          <t>수딩크림</t>
        </is>
      </c>
      <c r="F8427" s="5" t="inlineStr">
        <is>
          <t>카페24</t>
        </is>
      </c>
      <c r="G8427" s="94" t="inlineStr">
        <is>
          <t>수딩크림 100ml</t>
        </is>
      </c>
      <c r="H8427" s="7" t="n">
        <v>190801</v>
      </c>
      <c r="I8427" s="7" t="n">
        <v>190801</v>
      </c>
      <c r="J8427" s="94" t="n"/>
      <c r="K8427" s="94" t="n">
        <v>4</v>
      </c>
      <c r="L8427" s="7" t="n">
        <v>190801</v>
      </c>
      <c r="M8427" s="94">
        <f>VLOOKUP($Q8427,매칭테이블!$F:$I,2,0)*K8427</f>
        <v/>
      </c>
      <c r="N8427" s="94">
        <f>M8427-M8427*VLOOKUP($Q8427,매칭테이블!$F:$I,3,0)</f>
        <v/>
      </c>
      <c r="O8427" s="94">
        <f>VLOOKUP($Q8427,매칭테이블!$F:$I,4,0)*K8427</f>
        <v/>
      </c>
      <c r="P8427" s="148">
        <f>M8427/1.1</f>
        <v/>
      </c>
      <c r="Q8427" s="94">
        <f>F8427&amp;E8427&amp;G8427&amp;L8427</f>
        <v/>
      </c>
    </row>
    <row r="8428">
      <c r="A8428" s="94" t="n"/>
      <c r="B8428" s="128" t="n">
        <v>44058</v>
      </c>
      <c r="C8428" s="94">
        <f>TEXT(B8428,"aaa")</f>
        <v/>
      </c>
      <c r="D8428" s="94" t="n"/>
      <c r="E8428" s="94" t="inlineStr">
        <is>
          <t>클렌징폼</t>
        </is>
      </c>
      <c r="F8428" s="5" t="inlineStr">
        <is>
          <t>카페24</t>
        </is>
      </c>
      <c r="G8428" s="94" t="inlineStr">
        <is>
          <t>클렌징폼 120ml</t>
        </is>
      </c>
      <c r="H8428" s="7" t="n">
        <v>190801</v>
      </c>
      <c r="I8428" s="7" t="n">
        <v>190801</v>
      </c>
      <c r="J8428" s="94" t="n"/>
      <c r="K8428" s="94" t="n">
        <v>7</v>
      </c>
      <c r="L8428" s="7" t="n">
        <v>190801</v>
      </c>
      <c r="M8428" s="94">
        <f>VLOOKUP($Q8428,매칭테이블!$F:$I,2,0)*K8428</f>
        <v/>
      </c>
      <c r="N8428" s="94">
        <f>M8428-M8428*VLOOKUP($Q8428,매칭테이블!$F:$I,3,0)</f>
        <v/>
      </c>
      <c r="O8428" s="94">
        <f>VLOOKUP($Q8428,매칭테이블!$F:$I,4,0)*K8428</f>
        <v/>
      </c>
      <c r="P8428" s="148">
        <f>M8428/1.1</f>
        <v/>
      </c>
      <c r="Q8428" s="94">
        <f>F8428&amp;E8428&amp;G8428&amp;L8428</f>
        <v/>
      </c>
    </row>
    <row r="8429">
      <c r="A8429" s="94" t="n"/>
      <c r="B8429" s="128" t="n">
        <v>44058</v>
      </c>
      <c r="C8429" s="94">
        <f>TEXT(B8429,"aaa")</f>
        <v/>
      </c>
      <c r="D8429" s="94" t="n"/>
      <c r="E8429" s="94" t="inlineStr">
        <is>
          <t>클렌징폼</t>
        </is>
      </c>
      <c r="F8429" s="5" t="inlineStr">
        <is>
          <t>카페24</t>
        </is>
      </c>
      <c r="G8429" s="94" t="inlineStr">
        <is>
          <t>클렌징폼 120ml 3set</t>
        </is>
      </c>
      <c r="H8429" s="7" t="n">
        <v>190801</v>
      </c>
      <c r="I8429" s="7" t="n">
        <v>190801</v>
      </c>
      <c r="J8429" s="94" t="n"/>
      <c r="K8429" s="94" t="n">
        <v>1</v>
      </c>
      <c r="L8429" s="7" t="n">
        <v>190801</v>
      </c>
      <c r="M8429" s="94">
        <f>VLOOKUP($Q8429,매칭테이블!$F:$I,2,0)*K8429</f>
        <v/>
      </c>
      <c r="N8429" s="94">
        <f>M8429-M8429*VLOOKUP($Q8429,매칭테이블!$F:$I,3,0)</f>
        <v/>
      </c>
      <c r="O8429" s="94">
        <f>VLOOKUP($Q8429,매칭테이블!$F:$I,4,0)*K8429</f>
        <v/>
      </c>
      <c r="P8429" s="148">
        <f>M8429/1.1</f>
        <v/>
      </c>
      <c r="Q8429" s="94">
        <f>F8429&amp;E8429&amp;G8429&amp;L8429</f>
        <v/>
      </c>
    </row>
    <row r="8430">
      <c r="A8430" s="94" t="n"/>
      <c r="B8430" s="128" t="n">
        <v>44058</v>
      </c>
      <c r="C8430" s="94">
        <f>TEXT(B8430,"aaa")</f>
        <v/>
      </c>
      <c r="D8430" s="94" t="n"/>
      <c r="E8430" s="94" t="inlineStr">
        <is>
          <t>토너</t>
        </is>
      </c>
      <c r="F8430" s="5" t="inlineStr">
        <is>
          <t>화해</t>
        </is>
      </c>
      <c r="G8430" s="94" t="inlineStr">
        <is>
          <t>250ml</t>
        </is>
      </c>
      <c r="H8430" s="7" t="n">
        <v>190801</v>
      </c>
      <c r="I8430" s="7" t="n">
        <v>190801</v>
      </c>
      <c r="J8430" s="94" t="n"/>
      <c r="K8430" s="94" t="n">
        <v>7</v>
      </c>
      <c r="L8430" s="7" t="n">
        <v>190801</v>
      </c>
      <c r="M8430" s="94">
        <f>VLOOKUP($Q8430,매칭테이블!$F:$I,2,0)*K8430</f>
        <v/>
      </c>
      <c r="N8430" s="94">
        <f>M8430-M8430*VLOOKUP($Q8430,매칭테이블!$F:$I,3,0)</f>
        <v/>
      </c>
      <c r="O8430" s="94">
        <f>VLOOKUP($Q8430,매칭테이블!$F:$I,4,0)*K8430</f>
        <v/>
      </c>
      <c r="P8430" s="148">
        <f>M8430/1.1</f>
        <v/>
      </c>
      <c r="Q8430" s="94">
        <f>F8430&amp;E8430&amp;G8430&amp;L8430</f>
        <v/>
      </c>
    </row>
    <row r="8431">
      <c r="A8431" s="94" t="n"/>
      <c r="B8431" s="128" t="n">
        <v>44059</v>
      </c>
      <c r="C8431" s="94">
        <f>TEXT(B8431,"aaa")</f>
        <v/>
      </c>
      <c r="D8431" s="94" t="n"/>
      <c r="E8431" s="94" t="inlineStr">
        <is>
          <t>토너</t>
        </is>
      </c>
      <c r="F8431" s="5" t="inlineStr">
        <is>
          <t>스타일쉐어</t>
        </is>
      </c>
      <c r="G8431" s="94" t="inlineStr">
        <is>
          <t>250ml</t>
        </is>
      </c>
      <c r="H8431" s="7" t="n">
        <v>190801</v>
      </c>
      <c r="I8431" s="7" t="n">
        <v>190801</v>
      </c>
      <c r="J8431" s="94" t="n"/>
      <c r="K8431" s="94" t="n">
        <v>8</v>
      </c>
      <c r="L8431" s="7" t="n">
        <v>190801</v>
      </c>
      <c r="M8431" s="94">
        <f>VLOOKUP($Q8431,매칭테이블!$F:$I,2,0)*K8431</f>
        <v/>
      </c>
      <c r="N8431" s="94">
        <f>M8431-M8431*VLOOKUP($Q8431,매칭테이블!$F:$I,3,0)</f>
        <v/>
      </c>
      <c r="O8431" s="94">
        <f>VLOOKUP($Q8431,매칭테이블!$F:$I,4,0)*K8431</f>
        <v/>
      </c>
      <c r="P8431" s="148">
        <f>M8431/1.1</f>
        <v/>
      </c>
      <c r="Q8431" s="94">
        <f>F8431&amp;E8431&amp;G8431&amp;L8431</f>
        <v/>
      </c>
    </row>
    <row r="8432">
      <c r="A8432" s="94" t="n"/>
      <c r="B8432" s="128" t="n">
        <v>44059</v>
      </c>
      <c r="C8432" s="94">
        <f>TEXT(B8432,"aaa")</f>
        <v/>
      </c>
      <c r="D8432" s="94" t="n"/>
      <c r="E8432" s="94" t="inlineStr">
        <is>
          <t>선크림</t>
        </is>
      </c>
      <c r="F8432" s="5" t="inlineStr">
        <is>
          <t>카페24</t>
        </is>
      </c>
      <c r="G8432" s="94" t="inlineStr">
        <is>
          <t>선크림 50ml</t>
        </is>
      </c>
      <c r="H8432" s="7" t="n">
        <v>190801</v>
      </c>
      <c r="I8432" s="7" t="n">
        <v>190801</v>
      </c>
      <c r="J8432" s="94" t="n"/>
      <c r="K8432" s="94" t="n">
        <v>1</v>
      </c>
      <c r="L8432" s="7" t="n">
        <v>190801</v>
      </c>
      <c r="M8432" s="94">
        <f>VLOOKUP($Q8432,매칭테이블!$F:$I,2,0)*K8432</f>
        <v/>
      </c>
      <c r="N8432" s="94">
        <f>M8432-M8432*VLOOKUP($Q8432,매칭테이블!$F:$I,3,0)</f>
        <v/>
      </c>
      <c r="O8432" s="94">
        <f>VLOOKUP($Q8432,매칭테이블!$F:$I,4,0)*K8432</f>
        <v/>
      </c>
      <c r="P8432" s="148">
        <f>M8432/1.1</f>
        <v/>
      </c>
      <c r="Q8432" s="94">
        <f>F8432&amp;E8432&amp;G8432&amp;L8432</f>
        <v/>
      </c>
    </row>
    <row r="8433">
      <c r="A8433" s="94" t="n"/>
      <c r="B8433" s="128" t="n">
        <v>44059</v>
      </c>
      <c r="C8433" s="94">
        <f>TEXT(B8433,"aaa")</f>
        <v/>
      </c>
      <c r="D8433" s="94" t="n"/>
      <c r="E8433" s="94" t="inlineStr">
        <is>
          <t>선크림</t>
        </is>
      </c>
      <c r="F8433" s="5" t="inlineStr">
        <is>
          <t>카페24</t>
        </is>
      </c>
      <c r="G8433" s="94" t="inlineStr">
        <is>
          <t>선크림 50ml  2set</t>
        </is>
      </c>
      <c r="H8433" s="7" t="n">
        <v>190801</v>
      </c>
      <c r="I8433" s="7" t="n">
        <v>190801</v>
      </c>
      <c r="J8433" s="94" t="n"/>
      <c r="K8433" s="94" t="n">
        <v>1</v>
      </c>
      <c r="L8433" s="7" t="n">
        <v>190801</v>
      </c>
      <c r="M8433" s="94">
        <f>VLOOKUP($Q8433,매칭테이블!$F:$I,2,0)*K8433</f>
        <v/>
      </c>
      <c r="N8433" s="94">
        <f>M8433-M8433*VLOOKUP($Q8433,매칭테이블!$F:$I,3,0)</f>
        <v/>
      </c>
      <c r="O8433" s="94">
        <f>VLOOKUP($Q8433,매칭테이블!$F:$I,4,0)*K8433</f>
        <v/>
      </c>
      <c r="P8433" s="148">
        <f>M8433/1.1</f>
        <v/>
      </c>
      <c r="Q8433" s="94">
        <f>F8433&amp;E8433&amp;G8433&amp;L8433</f>
        <v/>
      </c>
    </row>
    <row r="8434">
      <c r="A8434" s="94" t="n"/>
      <c r="B8434" s="128" t="n">
        <v>44059</v>
      </c>
      <c r="C8434" s="94">
        <f>TEXT(B8434,"aaa")</f>
        <v/>
      </c>
      <c r="D8434" s="94" t="n"/>
      <c r="E8434" s="94" t="inlineStr">
        <is>
          <t>여름 한정 진정세트</t>
        </is>
      </c>
      <c r="F8434" s="5" t="inlineStr">
        <is>
          <t>카페24</t>
        </is>
      </c>
      <c r="G8434" s="94" t="inlineStr">
        <is>
          <t>여름 한정 진정세트</t>
        </is>
      </c>
      <c r="H8434" s="7" t="n">
        <v>190801</v>
      </c>
      <c r="I8434" s="7" t="n">
        <v>190801</v>
      </c>
      <c r="J8434" s="94" t="n"/>
      <c r="K8434" s="94" t="n">
        <v>1</v>
      </c>
      <c r="L8434" s="7" t="n">
        <v>190801</v>
      </c>
      <c r="M8434" s="94">
        <f>VLOOKUP($Q8434,매칭테이블!$F:$I,2,0)*K8434</f>
        <v/>
      </c>
      <c r="N8434" s="94">
        <f>M8434-M8434*VLOOKUP($Q8434,매칭테이블!$F:$I,3,0)</f>
        <v/>
      </c>
      <c r="O8434" s="94">
        <f>VLOOKUP($Q8434,매칭테이블!$F:$I,4,0)*K8434</f>
        <v/>
      </c>
      <c r="P8434" s="148">
        <f>M8434/1.1</f>
        <v/>
      </c>
      <c r="Q8434" s="94">
        <f>F8434&amp;E8434&amp;G8434&amp;L8434</f>
        <v/>
      </c>
    </row>
    <row r="8435">
      <c r="A8435" s="94" t="n"/>
      <c r="B8435" s="128" t="n">
        <v>44059</v>
      </c>
      <c r="C8435" s="94">
        <f>TEXT(B8435,"aaa")</f>
        <v/>
      </c>
      <c r="D8435" s="94" t="n"/>
      <c r="E8435" s="94" t="inlineStr">
        <is>
          <t>여름 한정 진정세트</t>
        </is>
      </c>
      <c r="F8435" s="5" t="inlineStr">
        <is>
          <t>카페24</t>
        </is>
      </c>
      <c r="G8435" s="94" t="inlineStr">
        <is>
          <t>여름 한정 진정세트 (대용량)</t>
        </is>
      </c>
      <c r="H8435" s="7" t="n">
        <v>190801</v>
      </c>
      <c r="I8435" s="7" t="n">
        <v>190801</v>
      </c>
      <c r="J8435" s="94" t="n"/>
      <c r="K8435" s="94" t="n">
        <v>2</v>
      </c>
      <c r="L8435" s="7" t="n">
        <v>190801</v>
      </c>
      <c r="M8435" s="94">
        <f>VLOOKUP($Q8435,매칭테이블!$F:$I,2,0)*K8435</f>
        <v/>
      </c>
      <c r="N8435" s="94">
        <f>M8435-M8435*VLOOKUP($Q8435,매칭테이블!$F:$I,3,0)</f>
        <v/>
      </c>
      <c r="O8435" s="94">
        <f>VLOOKUP($Q8435,매칭테이블!$F:$I,4,0)*K8435</f>
        <v/>
      </c>
      <c r="P8435" s="148">
        <f>M8435/1.1</f>
        <v/>
      </c>
      <c r="Q8435" s="94">
        <f>F8435&amp;E8435&amp;G8435&amp;L8435</f>
        <v/>
      </c>
    </row>
    <row r="8436">
      <c r="A8436" s="94" t="n"/>
      <c r="B8436" s="128" t="n">
        <v>44059</v>
      </c>
      <c r="C8436" s="94">
        <f>TEXT(B8436,"aaa")</f>
        <v/>
      </c>
      <c r="D8436" s="94" t="n"/>
      <c r="E8436" s="94" t="inlineStr">
        <is>
          <t>어성초진정패키지</t>
        </is>
      </c>
      <c r="F8436" s="5" t="inlineStr">
        <is>
          <t>카페24</t>
        </is>
      </c>
      <c r="G8436" s="94" t="inlineStr">
        <is>
          <t>어성초 진정패키지세트</t>
        </is>
      </c>
      <c r="H8436" s="7" t="n">
        <v>190801</v>
      </c>
      <c r="I8436" s="7" t="n">
        <v>190801</v>
      </c>
      <c r="J8436" s="94" t="n"/>
      <c r="K8436" s="94" t="n">
        <v>4</v>
      </c>
      <c r="L8436" s="7" t="n">
        <v>190801</v>
      </c>
      <c r="M8436" s="94">
        <f>VLOOKUP($Q8436,매칭테이블!$F:$I,2,0)*K8436</f>
        <v/>
      </c>
      <c r="N8436" s="94">
        <f>M8436-M8436*VLOOKUP($Q8436,매칭테이블!$F:$I,3,0)</f>
        <v/>
      </c>
      <c r="O8436" s="94">
        <f>VLOOKUP($Q8436,매칭테이블!$F:$I,4,0)*K8436</f>
        <v/>
      </c>
      <c r="P8436" s="148">
        <f>M8436/1.1</f>
        <v/>
      </c>
      <c r="Q8436" s="94">
        <f>F8436&amp;E8436&amp;G8436&amp;L8436</f>
        <v/>
      </c>
    </row>
    <row r="8437">
      <c r="A8437" s="94" t="n"/>
      <c r="B8437" s="128" t="n">
        <v>44059</v>
      </c>
      <c r="C8437" s="94">
        <f>TEXT(B8437,"aaa")</f>
        <v/>
      </c>
      <c r="D8437" s="94" t="n"/>
      <c r="E8437" s="94" t="inlineStr">
        <is>
          <t>머드크림마스크</t>
        </is>
      </c>
      <c r="F8437" s="5" t="inlineStr">
        <is>
          <t>카페24</t>
        </is>
      </c>
      <c r="G8437" s="94" t="inlineStr">
        <is>
          <t>머드크림마스크 100ml</t>
        </is>
      </c>
      <c r="H8437" s="7" t="n">
        <v>190801</v>
      </c>
      <c r="I8437" s="7" t="n">
        <v>190801</v>
      </c>
      <c r="J8437" s="94" t="n"/>
      <c r="K8437" s="94" t="n">
        <v>2</v>
      </c>
      <c r="L8437" s="7" t="n">
        <v>190801</v>
      </c>
      <c r="M8437" s="94">
        <f>VLOOKUP($Q8437,매칭테이블!$F:$I,2,0)*K8437</f>
        <v/>
      </c>
      <c r="N8437" s="94">
        <f>M8437-M8437*VLOOKUP($Q8437,매칭테이블!$F:$I,3,0)</f>
        <v/>
      </c>
      <c r="O8437" s="94">
        <f>VLOOKUP($Q8437,매칭테이블!$F:$I,4,0)*K8437</f>
        <v/>
      </c>
      <c r="P8437" s="148">
        <f>M8437/1.1</f>
        <v/>
      </c>
      <c r="Q8437" s="94">
        <f>F8437&amp;E8437&amp;G8437&amp;L8437</f>
        <v/>
      </c>
    </row>
    <row r="8438">
      <c r="A8438" s="94" t="n"/>
      <c r="B8438" s="128" t="n">
        <v>44059</v>
      </c>
      <c r="C8438" s="94">
        <f>TEXT(B8438,"aaa")</f>
        <v/>
      </c>
      <c r="D8438" s="94" t="n"/>
      <c r="E8438" s="94" t="inlineStr">
        <is>
          <t>머드크림마스크</t>
        </is>
      </c>
      <c r="F8438" s="5" t="inlineStr">
        <is>
          <t>카페24</t>
        </is>
      </c>
      <c r="G8438" s="94" t="inlineStr">
        <is>
          <t>머드크림마스크 100ml 2set</t>
        </is>
      </c>
      <c r="H8438" s="7" t="n">
        <v>190801</v>
      </c>
      <c r="I8438" s="7" t="n">
        <v>190801</v>
      </c>
      <c r="J8438" s="94" t="n"/>
      <c r="K8438" s="94" t="n">
        <v>2</v>
      </c>
      <c r="L8438" s="7" t="n">
        <v>190801</v>
      </c>
      <c r="M8438" s="94">
        <f>VLOOKUP($Q8438,매칭테이블!$F:$I,2,0)*K8438</f>
        <v/>
      </c>
      <c r="N8438" s="94">
        <f>M8438-M8438*VLOOKUP($Q8438,매칭테이블!$F:$I,3,0)</f>
        <v/>
      </c>
      <c r="O8438" s="94">
        <f>VLOOKUP($Q8438,매칭테이블!$F:$I,4,0)*K8438</f>
        <v/>
      </c>
      <c r="P8438" s="148">
        <f>M8438/1.1</f>
        <v/>
      </c>
      <c r="Q8438" s="94">
        <f>F8438&amp;E8438&amp;G8438&amp;L8438</f>
        <v/>
      </c>
    </row>
    <row r="8439">
      <c r="A8439" s="94" t="n"/>
      <c r="B8439" s="128" t="n">
        <v>44059</v>
      </c>
      <c r="C8439" s="94">
        <f>TEXT(B8439,"aaa")</f>
        <v/>
      </c>
      <c r="D8439" s="94" t="n"/>
      <c r="E8439" s="94" t="inlineStr">
        <is>
          <t>마스크팩</t>
        </is>
      </c>
      <c r="F8439" s="5" t="inlineStr">
        <is>
          <t>카페24</t>
        </is>
      </c>
      <c r="G8439" s="94" t="inlineStr">
        <is>
          <t>마스크팩 1매</t>
        </is>
      </c>
      <c r="H8439" s="7" t="n">
        <v>190801</v>
      </c>
      <c r="I8439" s="7" t="n">
        <v>190801</v>
      </c>
      <c r="J8439" s="94" t="n"/>
      <c r="K8439" s="94" t="n">
        <v>21</v>
      </c>
      <c r="L8439" s="7" t="n">
        <v>190801</v>
      </c>
      <c r="M8439" s="94">
        <f>VLOOKUP($Q8439,매칭테이블!$F:$I,2,0)*K8439</f>
        <v/>
      </c>
      <c r="N8439" s="94">
        <f>M8439-M8439*VLOOKUP($Q8439,매칭테이블!$F:$I,3,0)</f>
        <v/>
      </c>
      <c r="O8439" s="94">
        <f>VLOOKUP($Q8439,매칭테이블!$F:$I,4,0)*K8439</f>
        <v/>
      </c>
      <c r="P8439" s="148">
        <f>M8439/1.1</f>
        <v/>
      </c>
      <c r="Q8439" s="94">
        <f>F8439&amp;E8439&amp;G8439&amp;L8439</f>
        <v/>
      </c>
    </row>
    <row r="8440">
      <c r="A8440" s="94" t="n"/>
      <c r="B8440" s="128" t="n">
        <v>44059</v>
      </c>
      <c r="C8440" s="94">
        <f>TEXT(B8440,"aaa")</f>
        <v/>
      </c>
      <c r="D8440" s="94" t="n"/>
      <c r="E8440" s="94" t="inlineStr">
        <is>
          <t>마스크팩</t>
        </is>
      </c>
      <c r="F8440" s="5" t="inlineStr">
        <is>
          <t>카페24</t>
        </is>
      </c>
      <c r="G8440" s="94" t="inlineStr">
        <is>
          <t>마스크팩 10매</t>
        </is>
      </c>
      <c r="H8440" s="7" t="n">
        <v>190801</v>
      </c>
      <c r="I8440" s="7" t="n">
        <v>190801</v>
      </c>
      <c r="J8440" s="94" t="n"/>
      <c r="K8440" s="94" t="n">
        <v>5</v>
      </c>
      <c r="L8440" s="7" t="n">
        <v>190801</v>
      </c>
      <c r="M8440" s="94">
        <f>VLOOKUP($Q8440,매칭테이블!$F:$I,2,0)*K8440</f>
        <v/>
      </c>
      <c r="N8440" s="94">
        <f>M8440-M8440*VLOOKUP($Q8440,매칭테이블!$F:$I,3,0)</f>
        <v/>
      </c>
      <c r="O8440" s="94">
        <f>VLOOKUP($Q8440,매칭테이블!$F:$I,4,0)*K8440</f>
        <v/>
      </c>
      <c r="P8440" s="148">
        <f>M8440/1.1</f>
        <v/>
      </c>
      <c r="Q8440" s="94">
        <f>F8440&amp;E8440&amp;G8440&amp;L8440</f>
        <v/>
      </c>
    </row>
    <row r="8441">
      <c r="A8441" s="94" t="n"/>
      <c r="B8441" s="128" t="n">
        <v>44059</v>
      </c>
      <c r="C8441" s="94">
        <f>TEXT(B8441,"aaa")</f>
        <v/>
      </c>
      <c r="D8441" s="94" t="n"/>
      <c r="E8441" s="94" t="inlineStr">
        <is>
          <t>토너</t>
        </is>
      </c>
      <c r="F8441" s="5" t="inlineStr">
        <is>
          <t>카페24</t>
        </is>
      </c>
      <c r="G8441" s="94" t="inlineStr">
        <is>
          <t>250ml</t>
        </is>
      </c>
      <c r="H8441" s="7" t="n">
        <v>190801</v>
      </c>
      <c r="I8441" s="7" t="n">
        <v>190801</v>
      </c>
      <c r="J8441" s="94" t="n"/>
      <c r="K8441" s="94" t="n">
        <v>50</v>
      </c>
      <c r="L8441" s="7" t="n">
        <v>190801</v>
      </c>
      <c r="M8441" s="94">
        <f>VLOOKUP($Q8441,매칭테이블!$F:$I,2,0)*K8441</f>
        <v/>
      </c>
      <c r="N8441" s="94">
        <f>M8441-M8441*VLOOKUP($Q8441,매칭테이블!$F:$I,3,0)</f>
        <v/>
      </c>
      <c r="O8441" s="94">
        <f>VLOOKUP($Q8441,매칭테이블!$F:$I,4,0)*K8441</f>
        <v/>
      </c>
      <c r="P8441" s="148">
        <f>M8441/1.1</f>
        <v/>
      </c>
      <c r="Q8441" s="94">
        <f>F8441&amp;E8441&amp;G8441&amp;L8441</f>
        <v/>
      </c>
    </row>
    <row r="8442">
      <c r="A8442" s="94" t="n"/>
      <c r="B8442" s="128" t="n">
        <v>44059</v>
      </c>
      <c r="C8442" s="94">
        <f>TEXT(B8442,"aaa")</f>
        <v/>
      </c>
      <c r="D8442" s="94" t="n"/>
      <c r="E8442" s="94" t="inlineStr">
        <is>
          <t>토너</t>
        </is>
      </c>
      <c r="F8442" s="5" t="inlineStr">
        <is>
          <t>카페24</t>
        </is>
      </c>
      <c r="G8442" s="94" t="inlineStr">
        <is>
          <t>250ml 2set</t>
        </is>
      </c>
      <c r="H8442" s="7" t="n">
        <v>190801</v>
      </c>
      <c r="I8442" s="7" t="n">
        <v>190801</v>
      </c>
      <c r="J8442" s="94" t="n"/>
      <c r="K8442" s="94" t="n">
        <v>37</v>
      </c>
      <c r="L8442" s="7" t="n">
        <v>190801</v>
      </c>
      <c r="M8442" s="94">
        <f>VLOOKUP($Q8442,매칭테이블!$F:$I,2,0)*K8442</f>
        <v/>
      </c>
      <c r="N8442" s="94">
        <f>M8442-M8442*VLOOKUP($Q8442,매칭테이블!$F:$I,3,0)</f>
        <v/>
      </c>
      <c r="O8442" s="94">
        <f>VLOOKUP($Q8442,매칭테이블!$F:$I,4,0)*K8442</f>
        <v/>
      </c>
      <c r="P8442" s="148">
        <f>M8442/1.1</f>
        <v/>
      </c>
      <c r="Q8442" s="94">
        <f>F8442&amp;E8442&amp;G8442&amp;L8442</f>
        <v/>
      </c>
    </row>
    <row r="8443">
      <c r="A8443" s="94" t="n"/>
      <c r="B8443" s="128" t="n">
        <v>44059</v>
      </c>
      <c r="C8443" s="94">
        <f>TEXT(B8443,"aaa")</f>
        <v/>
      </c>
      <c r="D8443" s="94" t="n"/>
      <c r="E8443" s="94" t="inlineStr">
        <is>
          <t>토너</t>
        </is>
      </c>
      <c r="F8443" s="5" t="inlineStr">
        <is>
          <t>카페24</t>
        </is>
      </c>
      <c r="G8443" s="94" t="inlineStr">
        <is>
          <t>500ml</t>
        </is>
      </c>
      <c r="H8443" s="7" t="n">
        <v>190801</v>
      </c>
      <c r="I8443" s="7" t="n">
        <v>190801</v>
      </c>
      <c r="J8443" s="94" t="n"/>
      <c r="K8443" s="94" t="n">
        <v>49</v>
      </c>
      <c r="L8443" s="7" t="n">
        <v>190801</v>
      </c>
      <c r="M8443" s="94">
        <f>VLOOKUP($Q8443,매칭테이블!$F:$I,2,0)*K8443</f>
        <v/>
      </c>
      <c r="N8443" s="94">
        <f>M8443-M8443*VLOOKUP($Q8443,매칭테이블!$F:$I,3,0)</f>
        <v/>
      </c>
      <c r="O8443" s="94">
        <f>VLOOKUP($Q8443,매칭테이블!$F:$I,4,0)*K8443</f>
        <v/>
      </c>
      <c r="P8443" s="148">
        <f>M8443/1.1</f>
        <v/>
      </c>
      <c r="Q8443" s="94">
        <f>F8443&amp;E8443&amp;G8443&amp;L8443</f>
        <v/>
      </c>
    </row>
    <row r="8444">
      <c r="A8444" s="94" t="n"/>
      <c r="B8444" s="128" t="n">
        <v>44059</v>
      </c>
      <c r="C8444" s="94">
        <f>TEXT(B8444,"aaa")</f>
        <v/>
      </c>
      <c r="D8444" s="94" t="n"/>
      <c r="E8444" s="94" t="inlineStr">
        <is>
          <t>토너</t>
        </is>
      </c>
      <c r="F8444" s="5" t="inlineStr">
        <is>
          <t>카페24</t>
        </is>
      </c>
      <c r="G8444" s="94" t="inlineStr">
        <is>
          <t>스킨팩 화장솜 60P</t>
        </is>
      </c>
      <c r="H8444" s="7" t="n">
        <v>190801</v>
      </c>
      <c r="I8444" s="7" t="n">
        <v>190801</v>
      </c>
      <c r="J8444" s="94" t="n"/>
      <c r="K8444" s="94" t="n">
        <v>53</v>
      </c>
      <c r="L8444" s="7" t="n">
        <v>190801</v>
      </c>
      <c r="M8444" s="94">
        <f>VLOOKUP($Q8444,매칭테이블!$F:$I,2,0)*K8444</f>
        <v/>
      </c>
      <c r="N8444" s="94">
        <f>M8444-M8444*VLOOKUP($Q8444,매칭테이블!$F:$I,3,0)</f>
        <v/>
      </c>
      <c r="O8444" s="94">
        <f>VLOOKUP($Q8444,매칭테이블!$F:$I,4,0)*K8444</f>
        <v/>
      </c>
      <c r="P8444" s="148">
        <f>M8444/1.1</f>
        <v/>
      </c>
      <c r="Q8444" s="94">
        <f>F8444&amp;E8444&amp;G8444&amp;L8444</f>
        <v/>
      </c>
    </row>
    <row r="8445">
      <c r="A8445" s="94" t="n"/>
      <c r="B8445" s="128" t="n">
        <v>44059</v>
      </c>
      <c r="C8445" s="94">
        <f>TEXT(B8445,"aaa")</f>
        <v/>
      </c>
      <c r="D8445" s="94" t="n"/>
      <c r="E8445" s="94" t="inlineStr">
        <is>
          <t>앰플</t>
        </is>
      </c>
      <c r="F8445" s="5" t="inlineStr">
        <is>
          <t>카페24</t>
        </is>
      </c>
      <c r="G8445" s="94" t="inlineStr">
        <is>
          <t>앰플 30ml</t>
        </is>
      </c>
      <c r="H8445" s="7" t="n">
        <v>190801</v>
      </c>
      <c r="I8445" s="7" t="n">
        <v>190801</v>
      </c>
      <c r="J8445" s="94" t="n"/>
      <c r="K8445" s="94" t="n">
        <v>8</v>
      </c>
      <c r="L8445" s="7" t="n">
        <v>190801</v>
      </c>
      <c r="M8445" s="94">
        <f>VLOOKUP($Q8445,매칭테이블!$F:$I,2,0)*K8445</f>
        <v/>
      </c>
      <c r="N8445" s="94">
        <f>M8445-M8445*VLOOKUP($Q8445,매칭테이블!$F:$I,3,0)</f>
        <v/>
      </c>
      <c r="O8445" s="94">
        <f>VLOOKUP($Q8445,매칭테이블!$F:$I,4,0)*K8445</f>
        <v/>
      </c>
      <c r="P8445" s="148">
        <f>M8445/1.1</f>
        <v/>
      </c>
      <c r="Q8445" s="94">
        <f>F8445&amp;E8445&amp;G8445&amp;L8445</f>
        <v/>
      </c>
    </row>
    <row r="8446">
      <c r="A8446" s="94" t="n"/>
      <c r="B8446" s="128" t="n">
        <v>44059</v>
      </c>
      <c r="C8446" s="94">
        <f>TEXT(B8446,"aaa")</f>
        <v/>
      </c>
      <c r="D8446" s="94" t="n"/>
      <c r="E8446" s="94" t="inlineStr">
        <is>
          <t>앰플</t>
        </is>
      </c>
      <c r="F8446" s="5" t="inlineStr">
        <is>
          <t>카페24</t>
        </is>
      </c>
      <c r="G8446" s="94" t="inlineStr">
        <is>
          <t>앰플 30ml  2set</t>
        </is>
      </c>
      <c r="H8446" s="7" t="n">
        <v>190801</v>
      </c>
      <c r="I8446" s="7" t="n">
        <v>190801</v>
      </c>
      <c r="J8446" s="94" t="n"/>
      <c r="K8446" s="94" t="n">
        <v>3</v>
      </c>
      <c r="L8446" s="7" t="n">
        <v>190801</v>
      </c>
      <c r="M8446" s="94">
        <f>VLOOKUP($Q8446,매칭테이블!$F:$I,2,0)*K8446</f>
        <v/>
      </c>
      <c r="N8446" s="94">
        <f>M8446-M8446*VLOOKUP($Q8446,매칭테이블!$F:$I,3,0)</f>
        <v/>
      </c>
      <c r="O8446" s="94">
        <f>VLOOKUP($Q8446,매칭테이블!$F:$I,4,0)*K8446</f>
        <v/>
      </c>
      <c r="P8446" s="148">
        <f>M8446/1.1</f>
        <v/>
      </c>
      <c r="Q8446" s="94">
        <f>F8446&amp;E8446&amp;G8446&amp;L8446</f>
        <v/>
      </c>
    </row>
    <row r="8447">
      <c r="A8447" s="94" t="n"/>
      <c r="B8447" s="128" t="n">
        <v>44059</v>
      </c>
      <c r="C8447" s="94">
        <f>TEXT(B8447,"aaa")</f>
        <v/>
      </c>
      <c r="D8447" s="94" t="n"/>
      <c r="E8447" s="94" t="inlineStr">
        <is>
          <t>수딩크림</t>
        </is>
      </c>
      <c r="F8447" s="5" t="inlineStr">
        <is>
          <t>카페24</t>
        </is>
      </c>
      <c r="G8447" s="94" t="inlineStr">
        <is>
          <t>수딩크림 100ml</t>
        </is>
      </c>
      <c r="H8447" s="7" t="n">
        <v>190801</v>
      </c>
      <c r="I8447" s="7" t="n">
        <v>190801</v>
      </c>
      <c r="J8447" s="94" t="n"/>
      <c r="K8447" s="94" t="n">
        <v>2</v>
      </c>
      <c r="L8447" s="7" t="n">
        <v>190801</v>
      </c>
      <c r="M8447" s="94">
        <f>VLOOKUP($Q8447,매칭테이블!$F:$I,2,0)*K8447</f>
        <v/>
      </c>
      <c r="N8447" s="94">
        <f>M8447-M8447*VLOOKUP($Q8447,매칭테이블!$F:$I,3,0)</f>
        <v/>
      </c>
      <c r="O8447" s="94">
        <f>VLOOKUP($Q8447,매칭테이블!$F:$I,4,0)*K8447</f>
        <v/>
      </c>
      <c r="P8447" s="148">
        <f>M8447/1.1</f>
        <v/>
      </c>
      <c r="Q8447" s="94">
        <f>F8447&amp;E8447&amp;G8447&amp;L8447</f>
        <v/>
      </c>
    </row>
    <row r="8448">
      <c r="A8448" s="94" t="n"/>
      <c r="B8448" s="128" t="n">
        <v>44059</v>
      </c>
      <c r="C8448" s="94">
        <f>TEXT(B8448,"aaa")</f>
        <v/>
      </c>
      <c r="D8448" s="94" t="n"/>
      <c r="E8448" s="94" t="inlineStr">
        <is>
          <t>클렌징폼</t>
        </is>
      </c>
      <c r="F8448" s="5" t="inlineStr">
        <is>
          <t>카페24</t>
        </is>
      </c>
      <c r="G8448" s="94" t="inlineStr">
        <is>
          <t>클렌징폼 120ml</t>
        </is>
      </c>
      <c r="H8448" s="7" t="n">
        <v>190801</v>
      </c>
      <c r="I8448" s="7" t="n">
        <v>190801</v>
      </c>
      <c r="J8448" s="94" t="n"/>
      <c r="K8448" s="94" t="n">
        <v>9</v>
      </c>
      <c r="L8448" s="7" t="n">
        <v>190801</v>
      </c>
      <c r="M8448" s="94">
        <f>VLOOKUP($Q8448,매칭테이블!$F:$I,2,0)*K8448</f>
        <v/>
      </c>
      <c r="N8448" s="94">
        <f>M8448-M8448*VLOOKUP($Q8448,매칭테이블!$F:$I,3,0)</f>
        <v/>
      </c>
      <c r="O8448" s="94">
        <f>VLOOKUP($Q8448,매칭테이블!$F:$I,4,0)*K8448</f>
        <v/>
      </c>
      <c r="P8448" s="148">
        <f>M8448/1.1</f>
        <v/>
      </c>
      <c r="Q8448" s="94">
        <f>F8448&amp;E8448&amp;G8448&amp;L8448</f>
        <v/>
      </c>
    </row>
    <row r="8449">
      <c r="A8449" s="94" t="n"/>
      <c r="B8449" s="128" t="n">
        <v>44059</v>
      </c>
      <c r="C8449" s="94">
        <f>TEXT(B8449,"aaa")</f>
        <v/>
      </c>
      <c r="D8449" s="94" t="n"/>
      <c r="E8449" s="94" t="inlineStr">
        <is>
          <t>클렌징폼</t>
        </is>
      </c>
      <c r="F8449" s="5" t="inlineStr">
        <is>
          <t>카페24</t>
        </is>
      </c>
      <c r="G8449" s="94" t="inlineStr">
        <is>
          <t>클렌징폼 120ml 2set</t>
        </is>
      </c>
      <c r="H8449" s="7" t="n">
        <v>190801</v>
      </c>
      <c r="I8449" s="7" t="n">
        <v>190801</v>
      </c>
      <c r="J8449" s="94" t="n"/>
      <c r="K8449" s="94" t="n">
        <v>2</v>
      </c>
      <c r="L8449" s="7" t="n">
        <v>190801</v>
      </c>
      <c r="M8449" s="94">
        <f>VLOOKUP($Q8449,매칭테이블!$F:$I,2,0)*K8449</f>
        <v/>
      </c>
      <c r="N8449" s="94">
        <f>M8449-M8449*VLOOKUP($Q8449,매칭테이블!$F:$I,3,0)</f>
        <v/>
      </c>
      <c r="O8449" s="94">
        <f>VLOOKUP($Q8449,매칭테이블!$F:$I,4,0)*K8449</f>
        <v/>
      </c>
      <c r="P8449" s="148">
        <f>M8449/1.1</f>
        <v/>
      </c>
      <c r="Q8449" s="94">
        <f>F8449&amp;E8449&amp;G8449&amp;L8449</f>
        <v/>
      </c>
    </row>
    <row r="8450">
      <c r="A8450" s="94" t="n"/>
      <c r="B8450" s="128" t="n">
        <v>44059</v>
      </c>
      <c r="C8450" s="94">
        <f>TEXT(B8450,"aaa")</f>
        <v/>
      </c>
      <c r="D8450" s="94" t="n"/>
      <c r="E8450" s="94" t="inlineStr">
        <is>
          <t>클렌징폼</t>
        </is>
      </c>
      <c r="F8450" s="5" t="inlineStr">
        <is>
          <t>카페24</t>
        </is>
      </c>
      <c r="G8450" s="94" t="inlineStr">
        <is>
          <t>클렌징폼 120ml 3set</t>
        </is>
      </c>
      <c r="H8450" s="7" t="n">
        <v>190801</v>
      </c>
      <c r="I8450" s="7" t="n">
        <v>190801</v>
      </c>
      <c r="J8450" s="94" t="n"/>
      <c r="K8450" s="94" t="n">
        <v>1</v>
      </c>
      <c r="L8450" s="7" t="n">
        <v>190801</v>
      </c>
      <c r="M8450" s="94">
        <f>VLOOKUP($Q8450,매칭테이블!$F:$I,2,0)*K8450</f>
        <v/>
      </c>
      <c r="N8450" s="94">
        <f>M8450-M8450*VLOOKUP($Q8450,매칭테이블!$F:$I,3,0)</f>
        <v/>
      </c>
      <c r="O8450" s="94">
        <f>VLOOKUP($Q8450,매칭테이블!$F:$I,4,0)*K8450</f>
        <v/>
      </c>
      <c r="P8450" s="148">
        <f>M8450/1.1</f>
        <v/>
      </c>
      <c r="Q8450" s="94">
        <f>F8450&amp;E8450&amp;G8450&amp;L8450</f>
        <v/>
      </c>
    </row>
    <row r="8451">
      <c r="A8451" s="94" t="n"/>
      <c r="B8451" s="128" t="n">
        <v>44059</v>
      </c>
      <c r="C8451" s="94">
        <f>TEXT(B8451,"aaa")</f>
        <v/>
      </c>
      <c r="D8451" s="94" t="n"/>
      <c r="E8451" s="94" t="inlineStr">
        <is>
          <t>토너</t>
        </is>
      </c>
      <c r="F8451" s="5" t="inlineStr">
        <is>
          <t>화해</t>
        </is>
      </c>
      <c r="G8451" s="94" t="inlineStr">
        <is>
          <t>250ml</t>
        </is>
      </c>
      <c r="H8451" s="7" t="n">
        <v>190801</v>
      </c>
      <c r="I8451" s="7" t="n">
        <v>190801</v>
      </c>
      <c r="J8451" s="94" t="n"/>
      <c r="K8451" s="94" t="n">
        <v>8</v>
      </c>
      <c r="L8451" s="7" t="n">
        <v>190801</v>
      </c>
      <c r="M8451" s="94">
        <f>VLOOKUP($Q8451,매칭테이블!$F:$I,2,0)*K8451</f>
        <v/>
      </c>
      <c r="N8451" s="94">
        <f>M8451-M8451*VLOOKUP($Q8451,매칭테이블!$F:$I,3,0)</f>
        <v/>
      </c>
      <c r="O8451" s="94">
        <f>VLOOKUP($Q8451,매칭테이블!$F:$I,4,0)*K8451</f>
        <v/>
      </c>
      <c r="P8451" s="148">
        <f>M8451/1.1</f>
        <v/>
      </c>
      <c r="Q8451" s="94">
        <f>F8451&amp;E8451&amp;G8451&amp;L8451</f>
        <v/>
      </c>
    </row>
    <row r="8452">
      <c r="A8452" s="94" t="n"/>
      <c r="B8452" s="128" t="n">
        <v>44059</v>
      </c>
      <c r="C8452" s="94">
        <f>TEXT(B8452,"aaa")</f>
        <v/>
      </c>
      <c r="D8452" s="94" t="n"/>
      <c r="E8452" s="6" t="inlineStr">
        <is>
          <t>토너</t>
        </is>
      </c>
      <c r="F8452" s="94" t="inlineStr">
        <is>
          <t>랄라블라</t>
        </is>
      </c>
      <c r="G8452" s="5" t="inlineStr">
        <is>
          <t>250ml</t>
        </is>
      </c>
      <c r="H8452" s="7" t="n">
        <v>190801</v>
      </c>
      <c r="I8452" s="7" t="n">
        <v>190801</v>
      </c>
      <c r="J8452" s="94" t="n"/>
      <c r="K8452" s="6" t="n">
        <v>162</v>
      </c>
      <c r="L8452" s="7" t="n">
        <v>190801</v>
      </c>
      <c r="M8452" s="94">
        <f>VLOOKUP($Q8452,매칭테이블!$F:$I,2,0)*K8452</f>
        <v/>
      </c>
      <c r="N8452" s="94">
        <f>M8452-M8452*VLOOKUP($Q8452,매칭테이블!$F:$I,3,0)</f>
        <v/>
      </c>
      <c r="O8452" s="94">
        <f>VLOOKUP($Q8452,매칭테이블!$F:$I,4,0)*K8452</f>
        <v/>
      </c>
      <c r="P8452" s="148">
        <f>M8452/1.1</f>
        <v/>
      </c>
      <c r="Q8452" s="94">
        <f>F8452&amp;E8452&amp;G8452&amp;L8452</f>
        <v/>
      </c>
    </row>
    <row r="8453">
      <c r="A8453" s="94" t="n"/>
      <c r="B8453" s="128" t="n">
        <v>44059</v>
      </c>
      <c r="C8453" s="94">
        <f>TEXT(B8453,"aaa")</f>
        <v/>
      </c>
      <c r="D8453" s="94" t="n"/>
      <c r="E8453" s="6" t="inlineStr">
        <is>
          <t>토너</t>
        </is>
      </c>
      <c r="F8453" s="94" t="inlineStr">
        <is>
          <t>랄라블라</t>
        </is>
      </c>
      <c r="G8453" s="5" t="inlineStr">
        <is>
          <t>500ml</t>
        </is>
      </c>
      <c r="H8453" s="7" t="n">
        <v>190801</v>
      </c>
      <c r="I8453" s="7" t="n">
        <v>190801</v>
      </c>
      <c r="J8453" s="94" t="n"/>
      <c r="K8453" s="6" t="n">
        <v>357</v>
      </c>
      <c r="L8453" s="7" t="n">
        <v>190801</v>
      </c>
      <c r="M8453" s="94">
        <f>VLOOKUP($Q8453,매칭테이블!$F:$I,2,0)*K8453</f>
        <v/>
      </c>
      <c r="N8453" s="94">
        <f>M8453-M8453*VLOOKUP($Q8453,매칭테이블!$F:$I,3,0)</f>
        <v/>
      </c>
      <c r="O8453" s="94">
        <f>VLOOKUP($Q8453,매칭테이블!$F:$I,4,0)*K8453</f>
        <v/>
      </c>
      <c r="P8453" s="148">
        <f>M8453/1.1</f>
        <v/>
      </c>
      <c r="Q8453" s="94">
        <f>F8453&amp;E8453&amp;G8453&amp;L8453</f>
        <v/>
      </c>
    </row>
    <row r="8454">
      <c r="A8454" s="94" t="n"/>
      <c r="B8454" s="128" t="n">
        <v>44059</v>
      </c>
      <c r="C8454" s="94">
        <f>TEXT(B8454,"aaa")</f>
        <v/>
      </c>
      <c r="D8454" s="94" t="n"/>
      <c r="E8454" s="94" t="inlineStr">
        <is>
          <t>마스크팩</t>
        </is>
      </c>
      <c r="F8454" s="94" t="inlineStr">
        <is>
          <t>랄라블라</t>
        </is>
      </c>
      <c r="G8454" s="94" t="inlineStr">
        <is>
          <t>마스크팩 1매</t>
        </is>
      </c>
      <c r="H8454" s="7" t="n">
        <v>190801</v>
      </c>
      <c r="I8454" s="7" t="n">
        <v>190801</v>
      </c>
      <c r="J8454" s="94" t="n"/>
      <c r="K8454" s="6" t="n">
        <v>734</v>
      </c>
      <c r="L8454" s="94" t="n">
        <v>190801</v>
      </c>
      <c r="M8454" s="94">
        <f>VLOOKUP($Q8454,매칭테이블!$F:$I,2,0)*K8454</f>
        <v/>
      </c>
      <c r="N8454" s="94">
        <f>M8454-M8454*VLOOKUP($Q8454,매칭테이블!$F:$I,3,0)</f>
        <v/>
      </c>
      <c r="O8454" s="94">
        <f>VLOOKUP($Q8454,매칭테이블!$F:$I,4,0)*K8454</f>
        <v/>
      </c>
      <c r="P8454" s="148">
        <f>M8454/1.1</f>
        <v/>
      </c>
      <c r="Q8454" s="94">
        <f>F8454&amp;E8454&amp;G8454&amp;L8454</f>
        <v/>
      </c>
    </row>
    <row r="8455">
      <c r="A8455" s="94" t="n"/>
      <c r="B8455" s="128" t="n">
        <v>44059</v>
      </c>
      <c r="C8455" s="94">
        <f>TEXT(B8455,"aaa")</f>
        <v/>
      </c>
      <c r="D8455" s="94" t="n"/>
      <c r="E8455" s="94" t="inlineStr">
        <is>
          <t>수딩크림 증정기획</t>
        </is>
      </c>
      <c r="F8455" s="94" t="inlineStr">
        <is>
          <t>랄라블라</t>
        </is>
      </c>
      <c r="G8455" s="94" t="inlineStr">
        <is>
          <t>수딩크림 증정기획</t>
        </is>
      </c>
      <c r="H8455" s="7" t="n">
        <v>190801</v>
      </c>
      <c r="I8455" s="7" t="n">
        <v>190801</v>
      </c>
      <c r="J8455" s="94" t="n"/>
      <c r="K8455" s="94" t="n">
        <v>59</v>
      </c>
      <c r="L8455" s="94" t="n">
        <v>190801</v>
      </c>
      <c r="M8455" s="94">
        <f>VLOOKUP($Q8455,매칭테이블!$F:$I,2,0)*K8455</f>
        <v/>
      </c>
      <c r="N8455" s="94">
        <f>M8455-M8455*VLOOKUP($Q8455,매칭테이블!$F:$I,3,0)</f>
        <v/>
      </c>
      <c r="O8455" s="94">
        <f>VLOOKUP($Q8455,매칭테이블!$F:$I,4,0)*K8455</f>
        <v/>
      </c>
      <c r="P8455" s="148">
        <f>M8455/1.1</f>
        <v/>
      </c>
      <c r="Q8455" s="94">
        <f>F8455&amp;E8455&amp;G8455&amp;L8455</f>
        <v/>
      </c>
    </row>
    <row r="8456">
      <c r="A8456" s="94" t="n"/>
      <c r="B8456" s="128" t="n">
        <v>44059</v>
      </c>
      <c r="C8456" s="94">
        <f>TEXT(B8456,"aaa")</f>
        <v/>
      </c>
      <c r="D8456" s="94" t="n"/>
      <c r="E8456" s="94" t="inlineStr">
        <is>
          <t>수딩크림</t>
        </is>
      </c>
      <c r="F8456" s="94" t="inlineStr">
        <is>
          <t>랄라블라</t>
        </is>
      </c>
      <c r="G8456" s="94" t="inlineStr">
        <is>
          <t>수딩크림 100ml</t>
        </is>
      </c>
      <c r="H8456" s="7" t="n">
        <v>190801</v>
      </c>
      <c r="I8456" s="7" t="n">
        <v>190801</v>
      </c>
      <c r="J8456" s="94" t="n"/>
      <c r="K8456" s="94" t="n">
        <v>23</v>
      </c>
      <c r="L8456" s="94" t="n">
        <v>190801</v>
      </c>
      <c r="M8456" s="94">
        <f>VLOOKUP($Q8456,매칭테이블!$F:$I,2,0)*K8456</f>
        <v/>
      </c>
      <c r="N8456" s="94">
        <f>M8456-M8456*VLOOKUP($Q8456,매칭테이블!$F:$I,3,0)</f>
        <v/>
      </c>
      <c r="O8456" s="94">
        <f>VLOOKUP($Q8456,매칭테이블!$F:$I,4,0)*K8456</f>
        <v/>
      </c>
      <c r="P8456" s="148">
        <f>M8456/1.1</f>
        <v/>
      </c>
      <c r="Q8456" s="94">
        <f>F8456&amp;E8456&amp;G8456&amp;L8456</f>
        <v/>
      </c>
    </row>
    <row r="8457">
      <c r="A8457" s="94" t="n"/>
      <c r="B8457" s="128" t="n">
        <v>44059</v>
      </c>
      <c r="C8457" s="94">
        <f>TEXT(B8457,"aaa")</f>
        <v/>
      </c>
      <c r="D8457" s="94" t="n"/>
      <c r="E8457" s="94" t="inlineStr">
        <is>
          <t>앰플 기획세트</t>
        </is>
      </c>
      <c r="F8457" s="94" t="inlineStr">
        <is>
          <t>랄라블라</t>
        </is>
      </c>
      <c r="G8457" s="94" t="inlineStr">
        <is>
          <t>앰플 기획세트</t>
        </is>
      </c>
      <c r="H8457" s="7" t="n">
        <v>190801</v>
      </c>
      <c r="I8457" s="7" t="n">
        <v>190801</v>
      </c>
      <c r="J8457" s="94" t="n"/>
      <c r="K8457" s="94" t="n">
        <v>93</v>
      </c>
      <c r="L8457" s="94" t="n">
        <v>190801</v>
      </c>
      <c r="M8457" s="94">
        <f>VLOOKUP($Q8457,매칭테이블!$F:$I,2,0)*K8457</f>
        <v/>
      </c>
      <c r="N8457" s="94">
        <f>M8457-M8457*VLOOKUP($Q8457,매칭테이블!$F:$I,3,0)</f>
        <v/>
      </c>
      <c r="O8457" s="94">
        <f>VLOOKUP($Q8457,매칭테이블!$F:$I,4,0)*K8457</f>
        <v/>
      </c>
      <c r="P8457" s="148">
        <f>M8457/1.1</f>
        <v/>
      </c>
      <c r="Q8457" s="94">
        <f>F8457&amp;E8457&amp;G8457&amp;L8457</f>
        <v/>
      </c>
    </row>
    <row r="8458">
      <c r="A8458" s="94" t="n"/>
      <c r="B8458" s="128" t="n">
        <v>44059</v>
      </c>
      <c r="C8458" s="94">
        <f>TEXT(B8458,"aaa")</f>
        <v/>
      </c>
      <c r="D8458" s="94" t="n"/>
      <c r="E8458" s="94" t="inlineStr">
        <is>
          <t>클렌징폼 기획세트</t>
        </is>
      </c>
      <c r="F8458" s="94" t="inlineStr">
        <is>
          <t>랄라블라</t>
        </is>
      </c>
      <c r="G8458" s="94" t="inlineStr">
        <is>
          <t>클렌징폼 기획세트</t>
        </is>
      </c>
      <c r="H8458" s="7" t="n">
        <v>190801</v>
      </c>
      <c r="I8458" s="7" t="n">
        <v>190801</v>
      </c>
      <c r="J8458" s="94" t="n"/>
      <c r="K8458" s="94" t="n">
        <v>40</v>
      </c>
      <c r="L8458" s="94" t="n">
        <v>190801</v>
      </c>
      <c r="M8458" s="94">
        <f>VLOOKUP($Q8458,매칭테이블!$F:$I,2,0)*K8458</f>
        <v/>
      </c>
      <c r="N8458" s="94">
        <f>M8458-M8458*VLOOKUP($Q8458,매칭테이블!$F:$I,3,0)</f>
        <v/>
      </c>
      <c r="O8458" s="94">
        <f>VLOOKUP($Q8458,매칭테이블!$F:$I,4,0)*K8458</f>
        <v/>
      </c>
      <c r="P8458" s="148">
        <f>M8458/1.1</f>
        <v/>
      </c>
      <c r="Q8458" s="94">
        <f>F8458&amp;E8458&amp;G8458&amp;L8458</f>
        <v/>
      </c>
    </row>
    <row r="8459">
      <c r="A8459" s="94" t="n"/>
      <c r="B8459" s="128" t="n">
        <v>44059</v>
      </c>
      <c r="C8459" s="94">
        <f>TEXT(B8459,"aaa")</f>
        <v/>
      </c>
      <c r="D8459" s="94" t="n"/>
      <c r="E8459" s="94" t="inlineStr">
        <is>
          <t>클렌징폼</t>
        </is>
      </c>
      <c r="F8459" s="94" t="inlineStr">
        <is>
          <t>랄라블라</t>
        </is>
      </c>
      <c r="G8459" s="94" t="inlineStr">
        <is>
          <t>클렌징폼 120ml</t>
        </is>
      </c>
      <c r="H8459" s="7" t="n">
        <v>190801</v>
      </c>
      <c r="I8459" s="7" t="n">
        <v>190801</v>
      </c>
      <c r="J8459" s="94" t="n"/>
      <c r="K8459" s="6" t="n">
        <v>35</v>
      </c>
      <c r="L8459" s="7" t="n">
        <v>190801</v>
      </c>
      <c r="M8459" s="94">
        <f>VLOOKUP($Q8459,매칭테이블!$F:$I,2,0)*K8459</f>
        <v/>
      </c>
      <c r="N8459" s="94">
        <f>M8459-M8459*VLOOKUP($Q8459,매칭테이블!$F:$I,3,0)</f>
        <v/>
      </c>
      <c r="O8459" s="94">
        <f>VLOOKUP($Q8459,매칭테이블!$F:$I,4,0)*K8459</f>
        <v/>
      </c>
      <c r="P8459" s="148">
        <f>M8459/1.1</f>
        <v/>
      </c>
      <c r="Q8459" s="94">
        <f>F8459&amp;E8459&amp;G8459&amp;L8459</f>
        <v/>
      </c>
    </row>
    <row r="8460">
      <c r="A8460" s="94" t="n"/>
      <c r="B8460" s="128" t="n">
        <v>44059</v>
      </c>
      <c r="C8460" s="94">
        <f>TEXT(B8460,"aaa")</f>
        <v/>
      </c>
      <c r="D8460" s="94" t="n"/>
      <c r="E8460" s="94" t="inlineStr">
        <is>
          <t>토너 증정기획</t>
        </is>
      </c>
      <c r="F8460" s="94" t="inlineStr">
        <is>
          <t>랄라블라</t>
        </is>
      </c>
      <c r="G8460" s="94" t="inlineStr">
        <is>
          <t>토너 증정기획</t>
        </is>
      </c>
      <c r="H8460" s="7" t="n">
        <v>190801</v>
      </c>
      <c r="I8460" s="7" t="n">
        <v>190801</v>
      </c>
      <c r="J8460" s="94" t="n"/>
      <c r="K8460" s="6" t="n">
        <v>12</v>
      </c>
      <c r="L8460" s="7" t="n">
        <v>190801</v>
      </c>
      <c r="M8460" s="94">
        <f>VLOOKUP($Q8460,매칭테이블!$F:$I,2,0)*K8460</f>
        <v/>
      </c>
      <c r="N8460" s="94">
        <f>M8460-M8460*VLOOKUP($Q8460,매칭테이블!$F:$I,3,0)</f>
        <v/>
      </c>
      <c r="O8460" s="94">
        <f>VLOOKUP($Q8460,매칭테이블!$F:$I,4,0)*K8460</f>
        <v/>
      </c>
      <c r="P8460" s="148">
        <f>M8460/1.1</f>
        <v/>
      </c>
      <c r="Q8460" s="94">
        <f>F8460&amp;E8460&amp;G8460&amp;L8460</f>
        <v/>
      </c>
    </row>
    <row r="8461">
      <c r="A8461" s="94" t="n"/>
      <c r="B8461" s="128" t="n">
        <v>44059</v>
      </c>
      <c r="C8461" s="94">
        <f>TEXT(B8461,"aaa")</f>
        <v/>
      </c>
      <c r="D8461" s="94" t="n"/>
      <c r="E8461" s="94" t="inlineStr">
        <is>
          <t>선크림</t>
        </is>
      </c>
      <c r="F8461" s="94" t="inlineStr">
        <is>
          <t>랄라블라</t>
        </is>
      </c>
      <c r="G8461" s="94" t="inlineStr">
        <is>
          <t>선크림 50ml</t>
        </is>
      </c>
      <c r="H8461" s="7" t="n">
        <v>190801</v>
      </c>
      <c r="I8461" s="7" t="n">
        <v>190801</v>
      </c>
      <c r="J8461" s="94" t="n"/>
      <c r="K8461" s="94" t="n">
        <v>29</v>
      </c>
      <c r="L8461" s="94" t="n">
        <v>190801</v>
      </c>
      <c r="M8461" s="94">
        <f>VLOOKUP($Q8461,매칭테이블!$F:$I,2,0)*K8461</f>
        <v/>
      </c>
      <c r="N8461" s="94">
        <f>M8461-M8461*VLOOKUP($Q8461,매칭테이블!$F:$I,3,0)</f>
        <v/>
      </c>
      <c r="O8461" s="94">
        <f>VLOOKUP($Q8461,매칭테이블!$F:$I,4,0)*K8461</f>
        <v/>
      </c>
      <c r="P8461" s="148">
        <f>M8461/1.1</f>
        <v/>
      </c>
      <c r="Q8461" s="94">
        <f>F8461&amp;E8461&amp;G8461&amp;L8461</f>
        <v/>
      </c>
    </row>
    <row r="8462">
      <c r="A8462" s="94" t="n"/>
      <c r="B8462" s="128" t="n">
        <v>44059</v>
      </c>
      <c r="C8462" s="94">
        <f>TEXT(B8462,"aaa")</f>
        <v/>
      </c>
      <c r="D8462" s="94" t="n"/>
      <c r="E8462" s="94" t="inlineStr">
        <is>
          <t>대용량 기획세트</t>
        </is>
      </c>
      <c r="F8462" s="94" t="inlineStr">
        <is>
          <t>랄라블라</t>
        </is>
      </c>
      <c r="G8462" s="94" t="inlineStr">
        <is>
          <t>대용량 기획세트</t>
        </is>
      </c>
      <c r="H8462" s="7" t="n">
        <v>190801</v>
      </c>
      <c r="I8462" s="7" t="n">
        <v>190801</v>
      </c>
      <c r="J8462" s="94" t="n"/>
      <c r="K8462" s="94" t="n">
        <v>58</v>
      </c>
      <c r="L8462" s="94" t="n">
        <v>190801</v>
      </c>
      <c r="M8462" s="94">
        <f>VLOOKUP($Q8462,매칭테이블!$F:$I,2,0)*K8462</f>
        <v/>
      </c>
      <c r="N8462" s="94">
        <f>M8462-M8462*VLOOKUP($Q8462,매칭테이블!$F:$I,3,0)</f>
        <v/>
      </c>
      <c r="O8462" s="94">
        <f>VLOOKUP($Q8462,매칭테이블!$F:$I,4,0)*K8462</f>
        <v/>
      </c>
      <c r="P8462" s="148">
        <f>M8462/1.1</f>
        <v/>
      </c>
      <c r="Q8462" s="94">
        <f>F8462&amp;E8462&amp;G8462&amp;L8462</f>
        <v/>
      </c>
    </row>
    <row r="8463">
      <c r="A8463" s="94" t="n"/>
      <c r="B8463" s="128" t="n">
        <v>44059</v>
      </c>
      <c r="C8463" s="94">
        <f>TEXT(B8463,"aaa")</f>
        <v/>
      </c>
      <c r="D8463" s="94" t="n"/>
      <c r="E8463" s="94" t="inlineStr">
        <is>
          <t>마스크팩</t>
        </is>
      </c>
      <c r="F8463" s="94" t="inlineStr">
        <is>
          <t>랄라블라</t>
        </is>
      </c>
      <c r="G8463" s="94" t="inlineStr">
        <is>
          <t>마스크 5+1 기획세트</t>
        </is>
      </c>
      <c r="H8463" s="7" t="n">
        <v>190801</v>
      </c>
      <c r="I8463" s="7" t="n">
        <v>190801</v>
      </c>
      <c r="J8463" s="94" t="n"/>
      <c r="K8463" s="6" t="n">
        <v>425</v>
      </c>
      <c r="L8463" s="94" t="n">
        <v>190801</v>
      </c>
      <c r="M8463" s="94">
        <f>VLOOKUP($Q8463,매칭테이블!$F:$I,2,0)*K8463</f>
        <v/>
      </c>
      <c r="N8463" s="94">
        <f>M8463-M8463*VLOOKUP($Q8463,매칭테이블!$F:$I,3,0)</f>
        <v/>
      </c>
      <c r="O8463" s="94">
        <f>VLOOKUP($Q8463,매칭테이블!$F:$I,4,0)*K8463</f>
        <v/>
      </c>
      <c r="P8463" s="148">
        <f>M8463/1.1</f>
        <v/>
      </c>
      <c r="Q8463" s="94">
        <f>F8463&amp;E8463&amp;G8463&amp;L8463</f>
        <v/>
      </c>
    </row>
    <row r="8464">
      <c r="A8464" s="94" t="n"/>
      <c r="B8464" s="128" t="n">
        <v>44060</v>
      </c>
      <c r="C8464" s="94">
        <f>TEXT(B8464,"aaa")</f>
        <v/>
      </c>
      <c r="D8464" s="94" t="n"/>
      <c r="E8464" s="94" t="inlineStr">
        <is>
          <t>토너</t>
        </is>
      </c>
      <c r="F8464" s="5" t="inlineStr">
        <is>
          <t>스타일쉐어</t>
        </is>
      </c>
      <c r="G8464" s="94" t="inlineStr">
        <is>
          <t>250ml</t>
        </is>
      </c>
      <c r="H8464" s="7" t="n">
        <v>190801</v>
      </c>
      <c r="I8464" s="7" t="n">
        <v>190801</v>
      </c>
      <c r="J8464" s="94" t="n"/>
      <c r="K8464" s="94" t="n">
        <v>11</v>
      </c>
      <c r="L8464" s="7" t="n">
        <v>190801</v>
      </c>
      <c r="M8464" s="94">
        <f>VLOOKUP($Q8464,매칭테이블!$F:$I,2,0)*K8464</f>
        <v/>
      </c>
      <c r="N8464" s="94">
        <f>M8464-M8464*VLOOKUP($Q8464,매칭테이블!$F:$I,3,0)</f>
        <v/>
      </c>
      <c r="O8464" s="94">
        <f>VLOOKUP($Q8464,매칭테이블!$F:$I,4,0)*K8464</f>
        <v/>
      </c>
      <c r="P8464" s="148">
        <f>M8464/1.1</f>
        <v/>
      </c>
      <c r="Q8464" s="94">
        <f>F8464&amp;E8464&amp;G8464&amp;L8464</f>
        <v/>
      </c>
    </row>
    <row r="8465">
      <c r="A8465" s="94" t="n"/>
      <c r="B8465" s="128" t="n">
        <v>44060</v>
      </c>
      <c r="C8465" s="94">
        <f>TEXT(B8465,"aaa")</f>
        <v/>
      </c>
      <c r="D8465" s="94" t="n"/>
      <c r="E8465" s="94" t="inlineStr">
        <is>
          <t>선크림</t>
        </is>
      </c>
      <c r="F8465" s="5" t="inlineStr">
        <is>
          <t>카페24</t>
        </is>
      </c>
      <c r="G8465" s="94" t="inlineStr">
        <is>
          <t>선크림 50ml</t>
        </is>
      </c>
      <c r="H8465" s="7" t="n">
        <v>190801</v>
      </c>
      <c r="I8465" s="7" t="n">
        <v>190801</v>
      </c>
      <c r="J8465" s="94" t="n"/>
      <c r="K8465" s="94" t="n">
        <v>6</v>
      </c>
      <c r="L8465" s="7" t="n">
        <v>190801</v>
      </c>
      <c r="M8465" s="94">
        <f>VLOOKUP($Q8465,매칭테이블!$F:$I,2,0)*K8465</f>
        <v/>
      </c>
      <c r="N8465" s="94">
        <f>M8465-M8465*VLOOKUP($Q8465,매칭테이블!$F:$I,3,0)</f>
        <v/>
      </c>
      <c r="O8465" s="94">
        <f>VLOOKUP($Q8465,매칭테이블!$F:$I,4,0)*K8465</f>
        <v/>
      </c>
      <c r="P8465" s="148">
        <f>M8465/1.1</f>
        <v/>
      </c>
      <c r="Q8465" s="94">
        <f>F8465&amp;E8465&amp;G8465&amp;L8465</f>
        <v/>
      </c>
    </row>
    <row r="8466">
      <c r="A8466" s="94" t="n"/>
      <c r="B8466" s="128" t="n">
        <v>44060</v>
      </c>
      <c r="C8466" s="94">
        <f>TEXT(B8466,"aaa")</f>
        <v/>
      </c>
      <c r="D8466" s="94" t="n"/>
      <c r="E8466" s="94" t="inlineStr">
        <is>
          <t>선크림</t>
        </is>
      </c>
      <c r="F8466" s="5" t="inlineStr">
        <is>
          <t>카페24</t>
        </is>
      </c>
      <c r="G8466" s="94" t="inlineStr">
        <is>
          <t>선크림 50ml  2set</t>
        </is>
      </c>
      <c r="H8466" s="7" t="n">
        <v>190801</v>
      </c>
      <c r="I8466" s="7" t="n">
        <v>190801</v>
      </c>
      <c r="J8466" s="94" t="n"/>
      <c r="K8466" s="94" t="n">
        <v>1</v>
      </c>
      <c r="L8466" s="7" t="n">
        <v>190801</v>
      </c>
      <c r="M8466" s="94">
        <f>VLOOKUP($Q8466,매칭테이블!$F:$I,2,0)*K8466</f>
        <v/>
      </c>
      <c r="N8466" s="94">
        <f>M8466-M8466*VLOOKUP($Q8466,매칭테이블!$F:$I,3,0)</f>
        <v/>
      </c>
      <c r="O8466" s="94">
        <f>VLOOKUP($Q8466,매칭테이블!$F:$I,4,0)*K8466</f>
        <v/>
      </c>
      <c r="P8466" s="148">
        <f>M8466/1.1</f>
        <v/>
      </c>
      <c r="Q8466" s="94">
        <f>F8466&amp;E8466&amp;G8466&amp;L8466</f>
        <v/>
      </c>
    </row>
    <row r="8467">
      <c r="A8467" s="94" t="n"/>
      <c r="B8467" s="128" t="n">
        <v>44060</v>
      </c>
      <c r="C8467" s="94">
        <f>TEXT(B8467,"aaa")</f>
        <v/>
      </c>
      <c r="D8467" s="94" t="n"/>
      <c r="E8467" s="94" t="inlineStr">
        <is>
          <t>여름 한정 진정세트</t>
        </is>
      </c>
      <c r="F8467" s="5" t="inlineStr">
        <is>
          <t>카페24</t>
        </is>
      </c>
      <c r="G8467" s="94" t="inlineStr">
        <is>
          <t>여름 한정 진정세트</t>
        </is>
      </c>
      <c r="H8467" s="7" t="n">
        <v>190801</v>
      </c>
      <c r="I8467" s="7" t="n">
        <v>190801</v>
      </c>
      <c r="J8467" s="94" t="n"/>
      <c r="K8467" s="94" t="n">
        <v>2</v>
      </c>
      <c r="L8467" s="7" t="n">
        <v>190801</v>
      </c>
      <c r="M8467" s="94">
        <f>VLOOKUP($Q8467,매칭테이블!$F:$I,2,0)*K8467</f>
        <v/>
      </c>
      <c r="N8467" s="94">
        <f>M8467-M8467*VLOOKUP($Q8467,매칭테이블!$F:$I,3,0)</f>
        <v/>
      </c>
      <c r="O8467" s="94">
        <f>VLOOKUP($Q8467,매칭테이블!$F:$I,4,0)*K8467</f>
        <v/>
      </c>
      <c r="P8467" s="148">
        <f>M8467/1.1</f>
        <v/>
      </c>
      <c r="Q8467" s="94">
        <f>F8467&amp;E8467&amp;G8467&amp;L8467</f>
        <v/>
      </c>
    </row>
    <row r="8468">
      <c r="A8468" s="94" t="n"/>
      <c r="B8468" s="128" t="n">
        <v>44060</v>
      </c>
      <c r="C8468" s="94">
        <f>TEXT(B8468,"aaa")</f>
        <v/>
      </c>
      <c r="D8468" s="94" t="n"/>
      <c r="E8468" s="94" t="inlineStr">
        <is>
          <t>여름 한정 진정세트</t>
        </is>
      </c>
      <c r="F8468" s="5" t="inlineStr">
        <is>
          <t>카페24</t>
        </is>
      </c>
      <c r="G8468" s="94" t="inlineStr">
        <is>
          <t>여름 한정 진정세트 (대용량)</t>
        </is>
      </c>
      <c r="H8468" s="7" t="n">
        <v>190801</v>
      </c>
      <c r="I8468" s="7" t="n">
        <v>190801</v>
      </c>
      <c r="J8468" s="94" t="n"/>
      <c r="K8468" s="94" t="n">
        <v>6</v>
      </c>
      <c r="L8468" s="7" t="n">
        <v>190801</v>
      </c>
      <c r="M8468" s="94">
        <f>VLOOKUP($Q8468,매칭테이블!$F:$I,2,0)*K8468</f>
        <v/>
      </c>
      <c r="N8468" s="94">
        <f>M8468-M8468*VLOOKUP($Q8468,매칭테이블!$F:$I,3,0)</f>
        <v/>
      </c>
      <c r="O8468" s="94">
        <f>VLOOKUP($Q8468,매칭테이블!$F:$I,4,0)*K8468</f>
        <v/>
      </c>
      <c r="P8468" s="148">
        <f>M8468/1.1</f>
        <v/>
      </c>
      <c r="Q8468" s="94">
        <f>F8468&amp;E8468&amp;G8468&amp;L8468</f>
        <v/>
      </c>
    </row>
    <row r="8469">
      <c r="A8469" s="94" t="n"/>
      <c r="B8469" s="128" t="n">
        <v>44060</v>
      </c>
      <c r="C8469" s="94">
        <f>TEXT(B8469,"aaa")</f>
        <v/>
      </c>
      <c r="D8469" s="94" t="n"/>
      <c r="E8469" s="94" t="inlineStr">
        <is>
          <t>어성초진정패키지</t>
        </is>
      </c>
      <c r="F8469" s="5" t="inlineStr">
        <is>
          <t>카페24</t>
        </is>
      </c>
      <c r="G8469" s="94" t="inlineStr">
        <is>
          <t>어성초 진정패키지세트</t>
        </is>
      </c>
      <c r="H8469" s="7" t="n">
        <v>190801</v>
      </c>
      <c r="I8469" s="7" t="n">
        <v>190801</v>
      </c>
      <c r="J8469" s="94" t="n"/>
      <c r="K8469" s="94" t="n">
        <v>2</v>
      </c>
      <c r="L8469" s="7" t="n">
        <v>190801</v>
      </c>
      <c r="M8469" s="94">
        <f>VLOOKUP($Q8469,매칭테이블!$F:$I,2,0)*K8469</f>
        <v/>
      </c>
      <c r="N8469" s="94">
        <f>M8469-M8469*VLOOKUP($Q8469,매칭테이블!$F:$I,3,0)</f>
        <v/>
      </c>
      <c r="O8469" s="94">
        <f>VLOOKUP($Q8469,매칭테이블!$F:$I,4,0)*K8469</f>
        <v/>
      </c>
      <c r="P8469" s="148">
        <f>M8469/1.1</f>
        <v/>
      </c>
      <c r="Q8469" s="94">
        <f>F8469&amp;E8469&amp;G8469&amp;L8469</f>
        <v/>
      </c>
    </row>
    <row r="8470">
      <c r="A8470" s="94" t="n"/>
      <c r="B8470" s="128" t="n">
        <v>44060</v>
      </c>
      <c r="C8470" s="94">
        <f>TEXT(B8470,"aaa")</f>
        <v/>
      </c>
      <c r="D8470" s="94" t="n"/>
      <c r="E8470" s="94" t="inlineStr">
        <is>
          <t>머드크림마스크</t>
        </is>
      </c>
      <c r="F8470" s="5" t="inlineStr">
        <is>
          <t>카페24</t>
        </is>
      </c>
      <c r="G8470" s="94" t="inlineStr">
        <is>
          <t>머드크림마스크 100ml</t>
        </is>
      </c>
      <c r="H8470" s="7" t="n">
        <v>190801</v>
      </c>
      <c r="I8470" s="7" t="n">
        <v>190801</v>
      </c>
      <c r="J8470" s="94" t="n"/>
      <c r="K8470" s="94" t="n">
        <v>6</v>
      </c>
      <c r="L8470" s="7" t="n">
        <v>190801</v>
      </c>
      <c r="M8470" s="94">
        <f>VLOOKUP($Q8470,매칭테이블!$F:$I,2,0)*K8470</f>
        <v/>
      </c>
      <c r="N8470" s="94">
        <f>M8470-M8470*VLOOKUP($Q8470,매칭테이블!$F:$I,3,0)</f>
        <v/>
      </c>
      <c r="O8470" s="94">
        <f>VLOOKUP($Q8470,매칭테이블!$F:$I,4,0)*K8470</f>
        <v/>
      </c>
      <c r="P8470" s="148">
        <f>M8470/1.1</f>
        <v/>
      </c>
      <c r="Q8470" s="94">
        <f>F8470&amp;E8470&amp;G8470&amp;L8470</f>
        <v/>
      </c>
    </row>
    <row r="8471">
      <c r="A8471" s="94" t="n"/>
      <c r="B8471" s="128" t="n">
        <v>44060</v>
      </c>
      <c r="C8471" s="94">
        <f>TEXT(B8471,"aaa")</f>
        <v/>
      </c>
      <c r="D8471" s="94" t="n"/>
      <c r="E8471" s="94" t="inlineStr">
        <is>
          <t>마스크팩</t>
        </is>
      </c>
      <c r="F8471" s="5" t="inlineStr">
        <is>
          <t>카페24</t>
        </is>
      </c>
      <c r="G8471" s="94" t="inlineStr">
        <is>
          <t>마스크팩 1매</t>
        </is>
      </c>
      <c r="H8471" s="7" t="n">
        <v>190801</v>
      </c>
      <c r="I8471" s="7" t="n">
        <v>190801</v>
      </c>
      <c r="J8471" s="94" t="n"/>
      <c r="K8471" s="94" t="n">
        <v>6</v>
      </c>
      <c r="L8471" s="7" t="n">
        <v>190801</v>
      </c>
      <c r="M8471" s="94">
        <f>VLOOKUP($Q8471,매칭테이블!$F:$I,2,0)*K8471</f>
        <v/>
      </c>
      <c r="N8471" s="94">
        <f>M8471-M8471*VLOOKUP($Q8471,매칭테이블!$F:$I,3,0)</f>
        <v/>
      </c>
      <c r="O8471" s="94">
        <f>VLOOKUP($Q8471,매칭테이블!$F:$I,4,0)*K8471</f>
        <v/>
      </c>
      <c r="P8471" s="148">
        <f>M8471/1.1</f>
        <v/>
      </c>
      <c r="Q8471" s="94">
        <f>F8471&amp;E8471&amp;G8471&amp;L8471</f>
        <v/>
      </c>
    </row>
    <row r="8472">
      <c r="A8472" s="94" t="n"/>
      <c r="B8472" s="128" t="n">
        <v>44060</v>
      </c>
      <c r="C8472" s="94">
        <f>TEXT(B8472,"aaa")</f>
        <v/>
      </c>
      <c r="D8472" s="94" t="n"/>
      <c r="E8472" s="94" t="inlineStr">
        <is>
          <t>마스크팩</t>
        </is>
      </c>
      <c r="F8472" s="5" t="inlineStr">
        <is>
          <t>카페24</t>
        </is>
      </c>
      <c r="G8472" s="94" t="inlineStr">
        <is>
          <t>마스크팩 10매</t>
        </is>
      </c>
      <c r="H8472" s="7" t="n">
        <v>190801</v>
      </c>
      <c r="I8472" s="7" t="n">
        <v>190801</v>
      </c>
      <c r="J8472" s="94" t="n"/>
      <c r="K8472" s="94" t="n">
        <v>3</v>
      </c>
      <c r="L8472" s="7" t="n">
        <v>190801</v>
      </c>
      <c r="M8472" s="94">
        <f>VLOOKUP($Q8472,매칭테이블!$F:$I,2,0)*K8472</f>
        <v/>
      </c>
      <c r="N8472" s="94">
        <f>M8472-M8472*VLOOKUP($Q8472,매칭테이블!$F:$I,3,0)</f>
        <v/>
      </c>
      <c r="O8472" s="94">
        <f>VLOOKUP($Q8472,매칭테이블!$F:$I,4,0)*K8472</f>
        <v/>
      </c>
      <c r="P8472" s="148">
        <f>M8472/1.1</f>
        <v/>
      </c>
      <c r="Q8472" s="94">
        <f>F8472&amp;E8472&amp;G8472&amp;L8472</f>
        <v/>
      </c>
    </row>
    <row r="8473">
      <c r="A8473" s="94" t="n"/>
      <c r="B8473" s="128" t="n">
        <v>44060</v>
      </c>
      <c r="C8473" s="94">
        <f>TEXT(B8473,"aaa")</f>
        <v/>
      </c>
      <c r="D8473" s="94" t="n"/>
      <c r="E8473" s="94" t="inlineStr">
        <is>
          <t>토너</t>
        </is>
      </c>
      <c r="F8473" s="5" t="inlineStr">
        <is>
          <t>카페24</t>
        </is>
      </c>
      <c r="G8473" s="94" t="inlineStr">
        <is>
          <t>250ml</t>
        </is>
      </c>
      <c r="H8473" s="7" t="n">
        <v>190801</v>
      </c>
      <c r="I8473" s="7" t="n">
        <v>190801</v>
      </c>
      <c r="J8473" s="94" t="n"/>
      <c r="K8473" s="94" t="n">
        <v>83</v>
      </c>
      <c r="L8473" s="7" t="n">
        <v>190801</v>
      </c>
      <c r="M8473" s="94">
        <f>VLOOKUP($Q8473,매칭테이블!$F:$I,2,0)*K8473</f>
        <v/>
      </c>
      <c r="N8473" s="94">
        <f>M8473-M8473*VLOOKUP($Q8473,매칭테이블!$F:$I,3,0)</f>
        <v/>
      </c>
      <c r="O8473" s="94">
        <f>VLOOKUP($Q8473,매칭테이블!$F:$I,4,0)*K8473</f>
        <v/>
      </c>
      <c r="P8473" s="148">
        <f>M8473/1.1</f>
        <v/>
      </c>
      <c r="Q8473" s="94">
        <f>F8473&amp;E8473&amp;G8473&amp;L8473</f>
        <v/>
      </c>
    </row>
    <row r="8474">
      <c r="A8474" s="94" t="n"/>
      <c r="B8474" s="128" t="n">
        <v>44060</v>
      </c>
      <c r="C8474" s="94">
        <f>TEXT(B8474,"aaa")</f>
        <v/>
      </c>
      <c r="D8474" s="94" t="n"/>
      <c r="E8474" s="94" t="inlineStr">
        <is>
          <t>토너</t>
        </is>
      </c>
      <c r="F8474" s="5" t="inlineStr">
        <is>
          <t>카페24</t>
        </is>
      </c>
      <c r="G8474" s="94" t="inlineStr">
        <is>
          <t>250ml 2set</t>
        </is>
      </c>
      <c r="H8474" s="7" t="n">
        <v>190801</v>
      </c>
      <c r="I8474" s="7" t="n">
        <v>190801</v>
      </c>
      <c r="J8474" s="94" t="n"/>
      <c r="K8474" s="94" t="n">
        <v>53</v>
      </c>
      <c r="L8474" s="7" t="n">
        <v>190801</v>
      </c>
      <c r="M8474" s="94">
        <f>VLOOKUP($Q8474,매칭테이블!$F:$I,2,0)*K8474</f>
        <v/>
      </c>
      <c r="N8474" s="94">
        <f>M8474-M8474*VLOOKUP($Q8474,매칭테이블!$F:$I,3,0)</f>
        <v/>
      </c>
      <c r="O8474" s="94">
        <f>VLOOKUP($Q8474,매칭테이블!$F:$I,4,0)*K8474</f>
        <v/>
      </c>
      <c r="P8474" s="148">
        <f>M8474/1.1</f>
        <v/>
      </c>
      <c r="Q8474" s="94">
        <f>F8474&amp;E8474&amp;G8474&amp;L8474</f>
        <v/>
      </c>
    </row>
    <row r="8475">
      <c r="A8475" s="94" t="n"/>
      <c r="B8475" s="128" t="n">
        <v>44060</v>
      </c>
      <c r="C8475" s="94">
        <f>TEXT(B8475,"aaa")</f>
        <v/>
      </c>
      <c r="D8475" s="94" t="n"/>
      <c r="E8475" s="94" t="inlineStr">
        <is>
          <t>토너</t>
        </is>
      </c>
      <c r="F8475" s="5" t="inlineStr">
        <is>
          <t>카페24</t>
        </is>
      </c>
      <c r="G8475" s="94" t="inlineStr">
        <is>
          <t>500ml</t>
        </is>
      </c>
      <c r="H8475" s="7" t="n">
        <v>190801</v>
      </c>
      <c r="I8475" s="7" t="n">
        <v>190801</v>
      </c>
      <c r="J8475" s="94" t="n"/>
      <c r="K8475" s="94" t="n">
        <v>61</v>
      </c>
      <c r="L8475" s="7" t="n">
        <v>190801</v>
      </c>
      <c r="M8475" s="94">
        <f>VLOOKUP($Q8475,매칭테이블!$F:$I,2,0)*K8475</f>
        <v/>
      </c>
      <c r="N8475" s="94">
        <f>M8475-M8475*VLOOKUP($Q8475,매칭테이블!$F:$I,3,0)</f>
        <v/>
      </c>
      <c r="O8475" s="94">
        <f>VLOOKUP($Q8475,매칭테이블!$F:$I,4,0)*K8475</f>
        <v/>
      </c>
      <c r="P8475" s="148">
        <f>M8475/1.1</f>
        <v/>
      </c>
      <c r="Q8475" s="94">
        <f>F8475&amp;E8475&amp;G8475&amp;L8475</f>
        <v/>
      </c>
    </row>
    <row r="8476">
      <c r="A8476" s="94" t="n"/>
      <c r="B8476" s="128" t="n">
        <v>44060</v>
      </c>
      <c r="C8476" s="94">
        <f>TEXT(B8476,"aaa")</f>
        <v/>
      </c>
      <c r="D8476" s="94" t="n"/>
      <c r="E8476" s="94" t="inlineStr">
        <is>
          <t>토너</t>
        </is>
      </c>
      <c r="F8476" s="5" t="inlineStr">
        <is>
          <t>카페24</t>
        </is>
      </c>
      <c r="G8476" s="94" t="inlineStr">
        <is>
          <t>스킨팩 화장솜 60P</t>
        </is>
      </c>
      <c r="H8476" s="7" t="n">
        <v>190801</v>
      </c>
      <c r="I8476" s="7" t="n">
        <v>190801</v>
      </c>
      <c r="J8476" s="94" t="n"/>
      <c r="K8476" s="94" t="n">
        <v>113</v>
      </c>
      <c r="L8476" s="7" t="n">
        <v>190801</v>
      </c>
      <c r="M8476" s="94">
        <f>VLOOKUP($Q8476,매칭테이블!$F:$I,2,0)*K8476</f>
        <v/>
      </c>
      <c r="N8476" s="94">
        <f>M8476-M8476*VLOOKUP($Q8476,매칭테이블!$F:$I,3,0)</f>
        <v/>
      </c>
      <c r="O8476" s="94">
        <f>VLOOKUP($Q8476,매칭테이블!$F:$I,4,0)*K8476</f>
        <v/>
      </c>
      <c r="P8476" s="148">
        <f>M8476/1.1</f>
        <v/>
      </c>
      <c r="Q8476" s="94">
        <f>F8476&amp;E8476&amp;G8476&amp;L8476</f>
        <v/>
      </c>
    </row>
    <row r="8477">
      <c r="A8477" s="94" t="n"/>
      <c r="B8477" s="128" t="n">
        <v>44060</v>
      </c>
      <c r="C8477" s="94">
        <f>TEXT(B8477,"aaa")</f>
        <v/>
      </c>
      <c r="D8477" s="94" t="n"/>
      <c r="E8477" s="94" t="inlineStr">
        <is>
          <t>앰플</t>
        </is>
      </c>
      <c r="F8477" s="5" t="inlineStr">
        <is>
          <t>카페24</t>
        </is>
      </c>
      <c r="G8477" s="94" t="inlineStr">
        <is>
          <t>앰플 30ml</t>
        </is>
      </c>
      <c r="H8477" s="7" t="n">
        <v>190801</v>
      </c>
      <c r="I8477" s="7" t="n">
        <v>190801</v>
      </c>
      <c r="J8477" s="94" t="n"/>
      <c r="K8477" s="94" t="n">
        <v>20</v>
      </c>
      <c r="L8477" s="7" t="n">
        <v>190801</v>
      </c>
      <c r="M8477" s="94">
        <f>VLOOKUP($Q8477,매칭테이블!$F:$I,2,0)*K8477</f>
        <v/>
      </c>
      <c r="N8477" s="94">
        <f>M8477-M8477*VLOOKUP($Q8477,매칭테이블!$F:$I,3,0)</f>
        <v/>
      </c>
      <c r="O8477" s="94">
        <f>VLOOKUP($Q8477,매칭테이블!$F:$I,4,0)*K8477</f>
        <v/>
      </c>
      <c r="P8477" s="148">
        <f>M8477/1.1</f>
        <v/>
      </c>
      <c r="Q8477" s="94">
        <f>F8477&amp;E8477&amp;G8477&amp;L8477</f>
        <v/>
      </c>
    </row>
    <row r="8478">
      <c r="A8478" s="94" t="n"/>
      <c r="B8478" s="128" t="n">
        <v>44060</v>
      </c>
      <c r="C8478" s="94">
        <f>TEXT(B8478,"aaa")</f>
        <v/>
      </c>
      <c r="D8478" s="94" t="n"/>
      <c r="E8478" s="94" t="inlineStr">
        <is>
          <t>앰플</t>
        </is>
      </c>
      <c r="F8478" s="5" t="inlineStr">
        <is>
          <t>카페24</t>
        </is>
      </c>
      <c r="G8478" s="94" t="inlineStr">
        <is>
          <t>앰플 30ml  2set</t>
        </is>
      </c>
      <c r="H8478" s="7" t="n">
        <v>190801</v>
      </c>
      <c r="I8478" s="7" t="n">
        <v>190801</v>
      </c>
      <c r="J8478" s="94" t="n"/>
      <c r="K8478" s="94" t="n">
        <v>2</v>
      </c>
      <c r="L8478" s="7" t="n">
        <v>190801</v>
      </c>
      <c r="M8478" s="94">
        <f>VLOOKUP($Q8478,매칭테이블!$F:$I,2,0)*K8478</f>
        <v/>
      </c>
      <c r="N8478" s="94">
        <f>M8478-M8478*VLOOKUP($Q8478,매칭테이블!$F:$I,3,0)</f>
        <v/>
      </c>
      <c r="O8478" s="94">
        <f>VLOOKUP($Q8478,매칭테이블!$F:$I,4,0)*K8478</f>
        <v/>
      </c>
      <c r="P8478" s="148">
        <f>M8478/1.1</f>
        <v/>
      </c>
      <c r="Q8478" s="94">
        <f>F8478&amp;E8478&amp;G8478&amp;L8478</f>
        <v/>
      </c>
    </row>
    <row r="8479">
      <c r="A8479" s="94" t="n"/>
      <c r="B8479" s="128" t="n">
        <v>44060</v>
      </c>
      <c r="C8479" s="94">
        <f>TEXT(B8479,"aaa")</f>
        <v/>
      </c>
      <c r="D8479" s="94" t="n"/>
      <c r="E8479" s="94" t="inlineStr">
        <is>
          <t>수딩크림</t>
        </is>
      </c>
      <c r="F8479" s="5" t="inlineStr">
        <is>
          <t>카페24</t>
        </is>
      </c>
      <c r="G8479" s="94" t="inlineStr">
        <is>
          <t>수딩크림 100ml</t>
        </is>
      </c>
      <c r="H8479" s="7" t="n">
        <v>190801</v>
      </c>
      <c r="I8479" s="7" t="n">
        <v>190801</v>
      </c>
      <c r="J8479" s="94" t="n"/>
      <c r="K8479" s="94" t="n">
        <v>7</v>
      </c>
      <c r="L8479" s="7" t="n">
        <v>190801</v>
      </c>
      <c r="M8479" s="94">
        <f>VLOOKUP($Q8479,매칭테이블!$F:$I,2,0)*K8479</f>
        <v/>
      </c>
      <c r="N8479" s="94">
        <f>M8479-M8479*VLOOKUP($Q8479,매칭테이블!$F:$I,3,0)</f>
        <v/>
      </c>
      <c r="O8479" s="94">
        <f>VLOOKUP($Q8479,매칭테이블!$F:$I,4,0)*K8479</f>
        <v/>
      </c>
      <c r="P8479" s="148">
        <f>M8479/1.1</f>
        <v/>
      </c>
      <c r="Q8479" s="94">
        <f>F8479&amp;E8479&amp;G8479&amp;L8479</f>
        <v/>
      </c>
    </row>
    <row r="8480">
      <c r="A8480" s="94" t="n"/>
      <c r="B8480" s="128" t="n">
        <v>44060</v>
      </c>
      <c r="C8480" s="94">
        <f>TEXT(B8480,"aaa")</f>
        <v/>
      </c>
      <c r="D8480" s="94" t="n"/>
      <c r="E8480" s="94" t="inlineStr">
        <is>
          <t>클렌징폼</t>
        </is>
      </c>
      <c r="F8480" s="5" t="inlineStr">
        <is>
          <t>카페24</t>
        </is>
      </c>
      <c r="G8480" s="94" t="inlineStr">
        <is>
          <t>클렌징폼 120ml</t>
        </is>
      </c>
      <c r="H8480" s="7" t="n">
        <v>190801</v>
      </c>
      <c r="I8480" s="7" t="n">
        <v>190801</v>
      </c>
      <c r="J8480" s="94" t="n"/>
      <c r="K8480" s="94" t="n">
        <v>19</v>
      </c>
      <c r="L8480" s="7" t="n">
        <v>190801</v>
      </c>
      <c r="M8480" s="94">
        <f>VLOOKUP($Q8480,매칭테이블!$F:$I,2,0)*K8480</f>
        <v/>
      </c>
      <c r="N8480" s="94">
        <f>M8480-M8480*VLOOKUP($Q8480,매칭테이블!$F:$I,3,0)</f>
        <v/>
      </c>
      <c r="O8480" s="94">
        <f>VLOOKUP($Q8480,매칭테이블!$F:$I,4,0)*K8480</f>
        <v/>
      </c>
      <c r="P8480" s="148">
        <f>M8480/1.1</f>
        <v/>
      </c>
      <c r="Q8480" s="94">
        <f>F8480&amp;E8480&amp;G8480&amp;L8480</f>
        <v/>
      </c>
    </row>
    <row r="8481">
      <c r="A8481" s="94" t="n"/>
      <c r="B8481" s="128" t="n">
        <v>44060</v>
      </c>
      <c r="C8481" s="94">
        <f>TEXT(B8481,"aaa")</f>
        <v/>
      </c>
      <c r="D8481" s="94" t="n"/>
      <c r="E8481" s="94" t="inlineStr">
        <is>
          <t>클렌징폼</t>
        </is>
      </c>
      <c r="F8481" s="5" t="inlineStr">
        <is>
          <t>카페24</t>
        </is>
      </c>
      <c r="G8481" s="94" t="inlineStr">
        <is>
          <t>클렌징폼 120ml 2set</t>
        </is>
      </c>
      <c r="H8481" s="7" t="n">
        <v>190801</v>
      </c>
      <c r="I8481" s="7" t="n">
        <v>190801</v>
      </c>
      <c r="J8481" s="94" t="n"/>
      <c r="K8481" s="94" t="n">
        <v>3</v>
      </c>
      <c r="L8481" s="7" t="n">
        <v>190801</v>
      </c>
      <c r="M8481" s="94">
        <f>VLOOKUP($Q8481,매칭테이블!$F:$I,2,0)*K8481</f>
        <v/>
      </c>
      <c r="N8481" s="94">
        <f>M8481-M8481*VLOOKUP($Q8481,매칭테이블!$F:$I,3,0)</f>
        <v/>
      </c>
      <c r="O8481" s="94">
        <f>VLOOKUP($Q8481,매칭테이블!$F:$I,4,0)*K8481</f>
        <v/>
      </c>
      <c r="P8481" s="148">
        <f>M8481/1.1</f>
        <v/>
      </c>
      <c r="Q8481" s="94">
        <f>F8481&amp;E8481&amp;G8481&amp;L8481</f>
        <v/>
      </c>
    </row>
    <row r="8482">
      <c r="A8482" s="94" t="n"/>
      <c r="B8482" s="128" t="n">
        <v>44060</v>
      </c>
      <c r="C8482" s="94">
        <f>TEXT(B8482,"aaa")</f>
        <v/>
      </c>
      <c r="D8482" s="94" t="n"/>
      <c r="E8482" s="94" t="inlineStr">
        <is>
          <t>마스크팩</t>
        </is>
      </c>
      <c r="F8482" s="5" t="inlineStr">
        <is>
          <t>화해</t>
        </is>
      </c>
      <c r="G8482" s="94" t="inlineStr">
        <is>
          <t>마스크팩 10매</t>
        </is>
      </c>
      <c r="H8482" s="7" t="n">
        <v>190801</v>
      </c>
      <c r="I8482" s="7" t="n">
        <v>190801</v>
      </c>
      <c r="J8482" s="94" t="n"/>
      <c r="K8482" s="94" t="n">
        <v>1</v>
      </c>
      <c r="L8482" s="7" t="n">
        <v>190801</v>
      </c>
      <c r="M8482" s="94">
        <f>VLOOKUP($Q8482,매칭테이블!$F:$I,2,0)*K8482</f>
        <v/>
      </c>
      <c r="N8482" s="94">
        <f>M8482-M8482*VLOOKUP($Q8482,매칭테이블!$F:$I,3,0)</f>
        <v/>
      </c>
      <c r="O8482" s="94">
        <f>VLOOKUP($Q8482,매칭테이블!$F:$I,4,0)*K8482</f>
        <v/>
      </c>
      <c r="P8482" s="148">
        <f>M8482/1.1</f>
        <v/>
      </c>
      <c r="Q8482" s="94">
        <f>F8482&amp;E8482&amp;G8482&amp;L8482</f>
        <v/>
      </c>
    </row>
    <row r="8483">
      <c r="A8483" s="94" t="n"/>
      <c r="B8483" s="128" t="n">
        <v>44060</v>
      </c>
      <c r="C8483" s="94">
        <f>TEXT(B8483,"aaa")</f>
        <v/>
      </c>
      <c r="D8483" s="94" t="n"/>
      <c r="E8483" s="94" t="inlineStr">
        <is>
          <t>토너</t>
        </is>
      </c>
      <c r="F8483" s="5" t="inlineStr">
        <is>
          <t>화해</t>
        </is>
      </c>
      <c r="G8483" s="94" t="inlineStr">
        <is>
          <t>250ml</t>
        </is>
      </c>
      <c r="H8483" s="7" t="n">
        <v>190801</v>
      </c>
      <c r="I8483" s="7" t="n">
        <v>190801</v>
      </c>
      <c r="J8483" s="94" t="n"/>
      <c r="K8483" s="94" t="n">
        <v>6</v>
      </c>
      <c r="L8483" s="7" t="n">
        <v>190801</v>
      </c>
      <c r="M8483" s="94">
        <f>VLOOKUP($Q8483,매칭테이블!$F:$I,2,0)*K8483</f>
        <v/>
      </c>
      <c r="N8483" s="94">
        <f>M8483-M8483*VLOOKUP($Q8483,매칭테이블!$F:$I,3,0)</f>
        <v/>
      </c>
      <c r="O8483" s="94">
        <f>VLOOKUP($Q8483,매칭테이블!$F:$I,4,0)*K8483</f>
        <v/>
      </c>
      <c r="P8483" s="148">
        <f>M8483/1.1</f>
        <v/>
      </c>
      <c r="Q8483" s="94">
        <f>F8483&amp;E8483&amp;G8483&amp;L8483</f>
        <v/>
      </c>
    </row>
    <row r="8484" customFormat="1" s="94">
      <c r="B8484" s="128" t="n">
        <v>44061</v>
      </c>
      <c r="C8484" s="94">
        <f>TEXT(B8484,"aaa")</f>
        <v/>
      </c>
      <c r="E8484" s="94" t="inlineStr">
        <is>
          <t>수딩크림</t>
        </is>
      </c>
      <c r="F8484" s="5" t="inlineStr">
        <is>
          <t>쇼피태국</t>
        </is>
      </c>
      <c r="G8484" s="94" t="inlineStr">
        <is>
          <t>200812=수딩크림 100ml</t>
        </is>
      </c>
      <c r="H8484" s="7" t="n">
        <v>190801</v>
      </c>
      <c r="I8484" s="7" t="n">
        <v>190801</v>
      </c>
      <c r="K8484" s="94" t="n">
        <v>2</v>
      </c>
      <c r="L8484" s="7" t="n">
        <v>190801</v>
      </c>
      <c r="M8484" s="94">
        <f>VLOOKUP($Q8484,매칭테이블!$F:$I,2,0)*K8484</f>
        <v/>
      </c>
      <c r="N8484" s="94">
        <f>M8484-M8484*VLOOKUP($Q8484,매칭테이블!$F:$I,3,0)</f>
        <v/>
      </c>
      <c r="O8484" s="94">
        <f>VLOOKUP($Q8484,매칭테이블!$F:$I,4,0)*K8484</f>
        <v/>
      </c>
      <c r="P8484" s="148">
        <f>M8484/1.1</f>
        <v/>
      </c>
      <c r="Q8484" s="94">
        <f>F8484&amp;E8484&amp;G8484&amp;L8484</f>
        <v/>
      </c>
    </row>
    <row r="8485" customFormat="1" s="94">
      <c r="B8485" s="128" t="n">
        <v>44061</v>
      </c>
      <c r="C8485" s="94">
        <f>TEXT(B8485,"aaa")</f>
        <v/>
      </c>
      <c r="E8485" s="94" t="inlineStr">
        <is>
          <t>머드크림마스크</t>
        </is>
      </c>
      <c r="F8485" s="5" t="inlineStr">
        <is>
          <t>쇼피태국</t>
        </is>
      </c>
      <c r="G8485" s="94" t="inlineStr">
        <is>
          <t>200812=머드크림마스크 100ml</t>
        </is>
      </c>
      <c r="H8485" s="7" t="n">
        <v>190801</v>
      </c>
      <c r="I8485" s="7" t="n">
        <v>190801</v>
      </c>
      <c r="K8485" s="94" t="n">
        <v>1</v>
      </c>
      <c r="L8485" s="7" t="n">
        <v>190801</v>
      </c>
      <c r="M8485" s="94">
        <f>VLOOKUP($Q8485,매칭테이블!$F:$I,2,0)*K8485</f>
        <v/>
      </c>
      <c r="N8485" s="94">
        <f>M8485-M8485*VLOOKUP($Q8485,매칭테이블!$F:$I,3,0)</f>
        <v/>
      </c>
      <c r="O8485" s="94">
        <f>VLOOKUP($Q8485,매칭테이블!$F:$I,4,0)*K8485</f>
        <v/>
      </c>
      <c r="P8485" s="148">
        <f>M8485/1.1</f>
        <v/>
      </c>
      <c r="Q8485" s="94">
        <f>F8485&amp;E8485&amp;G8485&amp;L8485</f>
        <v/>
      </c>
    </row>
    <row r="8486" customFormat="1" s="94">
      <c r="B8486" s="128" t="n">
        <v>44061</v>
      </c>
      <c r="C8486" s="94">
        <f>TEXT(B8486,"aaa")</f>
        <v/>
      </c>
      <c r="E8486" s="94" t="inlineStr">
        <is>
          <t>선크림</t>
        </is>
      </c>
      <c r="F8486" s="5" t="inlineStr">
        <is>
          <t>쇼피태국</t>
        </is>
      </c>
      <c r="G8486" s="94" t="inlineStr">
        <is>
          <t>200812=선크림 50ml</t>
        </is>
      </c>
      <c r="H8486" s="7" t="n">
        <v>190801</v>
      </c>
      <c r="I8486" s="7" t="n">
        <v>190801</v>
      </c>
      <c r="K8486" s="94" t="n">
        <v>2</v>
      </c>
      <c r="L8486" s="7" t="n">
        <v>190801</v>
      </c>
      <c r="M8486" s="94">
        <f>VLOOKUP($Q8486,매칭테이블!$F:$I,2,0)*K8486</f>
        <v/>
      </c>
      <c r="N8486" s="94">
        <f>M8486-M8486*VLOOKUP($Q8486,매칭테이블!$F:$I,3,0)</f>
        <v/>
      </c>
      <c r="O8486" s="94">
        <f>VLOOKUP($Q8486,매칭테이블!$F:$I,4,0)*K8486</f>
        <v/>
      </c>
      <c r="P8486" s="148">
        <f>M8486/1.1</f>
        <v/>
      </c>
      <c r="Q8486" s="94">
        <f>F8486&amp;E8486&amp;G8486&amp;L8486</f>
        <v/>
      </c>
    </row>
    <row r="8487" customFormat="1" s="94">
      <c r="B8487" s="128" t="n">
        <v>44061</v>
      </c>
      <c r="C8487" s="94">
        <f>TEXT(B8487,"aaa")</f>
        <v/>
      </c>
      <c r="E8487" s="94" t="inlineStr">
        <is>
          <t>토너</t>
        </is>
      </c>
      <c r="F8487" s="5" t="inlineStr">
        <is>
          <t>스타일쉐어</t>
        </is>
      </c>
      <c r="G8487" s="94" t="inlineStr">
        <is>
          <t>250ml</t>
        </is>
      </c>
      <c r="H8487" s="7" t="n">
        <v>190801</v>
      </c>
      <c r="I8487" s="7" t="n">
        <v>190801</v>
      </c>
      <c r="K8487" s="94" t="n">
        <v>7</v>
      </c>
      <c r="L8487" s="7" t="n">
        <v>190801</v>
      </c>
      <c r="M8487" s="94">
        <f>VLOOKUP($Q8487,매칭테이블!$F:$I,2,0)*K8487</f>
        <v/>
      </c>
      <c r="N8487" s="94">
        <f>M8487-M8487*VLOOKUP($Q8487,매칭테이블!$F:$I,3,0)</f>
        <v/>
      </c>
      <c r="O8487" s="94">
        <f>VLOOKUP($Q8487,매칭테이블!$F:$I,4,0)*K8487</f>
        <v/>
      </c>
      <c r="P8487" s="148">
        <f>M8487/1.1</f>
        <v/>
      </c>
      <c r="Q8487" s="94">
        <f>F8487&amp;E8487&amp;G8487&amp;L8487</f>
        <v/>
      </c>
    </row>
    <row r="8488" customFormat="1" s="94">
      <c r="B8488" s="128" t="n">
        <v>44061</v>
      </c>
      <c r="C8488" s="94">
        <f>TEXT(B8488,"aaa")</f>
        <v/>
      </c>
      <c r="E8488" s="94" t="inlineStr">
        <is>
          <t>선크림</t>
        </is>
      </c>
      <c r="F8488" s="5" t="inlineStr">
        <is>
          <t>카페24</t>
        </is>
      </c>
      <c r="G8488" s="94" t="inlineStr">
        <is>
          <t>선크림 50ml</t>
        </is>
      </c>
      <c r="H8488" s="7" t="n">
        <v>190801</v>
      </c>
      <c r="I8488" s="7" t="n">
        <v>190801</v>
      </c>
      <c r="K8488" s="94" t="n">
        <v>2</v>
      </c>
      <c r="L8488" s="7" t="n">
        <v>190801</v>
      </c>
      <c r="M8488" s="94">
        <f>VLOOKUP($Q8488,매칭테이블!$F:$I,2,0)*K8488</f>
        <v/>
      </c>
      <c r="N8488" s="94">
        <f>M8488-M8488*VLOOKUP($Q8488,매칭테이블!$F:$I,3,0)</f>
        <v/>
      </c>
      <c r="O8488" s="94">
        <f>VLOOKUP($Q8488,매칭테이블!$F:$I,4,0)*K8488</f>
        <v/>
      </c>
      <c r="P8488" s="148">
        <f>M8488/1.1</f>
        <v/>
      </c>
      <c r="Q8488" s="94">
        <f>F8488&amp;E8488&amp;G8488&amp;L8488</f>
        <v/>
      </c>
    </row>
    <row r="8489" customFormat="1" s="94">
      <c r="B8489" s="128" t="n">
        <v>44061</v>
      </c>
      <c r="C8489" s="94">
        <f>TEXT(B8489,"aaa")</f>
        <v/>
      </c>
      <c r="E8489" s="94" t="inlineStr">
        <is>
          <t>선크림</t>
        </is>
      </c>
      <c r="F8489" s="5" t="inlineStr">
        <is>
          <t>카페24</t>
        </is>
      </c>
      <c r="G8489" s="94" t="inlineStr">
        <is>
          <t>선크림 50ml  2set</t>
        </is>
      </c>
      <c r="H8489" s="7" t="n">
        <v>190801</v>
      </c>
      <c r="I8489" s="7" t="n">
        <v>190801</v>
      </c>
      <c r="K8489" s="94" t="n">
        <v>1</v>
      </c>
      <c r="L8489" s="7" t="n">
        <v>190801</v>
      </c>
      <c r="M8489" s="94">
        <f>VLOOKUP($Q8489,매칭테이블!$F:$I,2,0)*K8489</f>
        <v/>
      </c>
      <c r="N8489" s="94">
        <f>M8489-M8489*VLOOKUP($Q8489,매칭테이블!$F:$I,3,0)</f>
        <v/>
      </c>
      <c r="O8489" s="94">
        <f>VLOOKUP($Q8489,매칭테이블!$F:$I,4,0)*K8489</f>
        <v/>
      </c>
      <c r="P8489" s="148">
        <f>M8489/1.1</f>
        <v/>
      </c>
      <c r="Q8489" s="94">
        <f>F8489&amp;E8489&amp;G8489&amp;L8489</f>
        <v/>
      </c>
    </row>
    <row r="8490" customFormat="1" s="94">
      <c r="B8490" s="128" t="n">
        <v>44061</v>
      </c>
      <c r="C8490" s="94">
        <f>TEXT(B8490,"aaa")</f>
        <v/>
      </c>
      <c r="E8490" s="94" t="inlineStr">
        <is>
          <t>여름 한정 진정세트</t>
        </is>
      </c>
      <c r="F8490" s="5" t="inlineStr">
        <is>
          <t>카페24</t>
        </is>
      </c>
      <c r="G8490" s="94" t="inlineStr">
        <is>
          <t>여름 한정 진정세트</t>
        </is>
      </c>
      <c r="H8490" s="7" t="n">
        <v>190801</v>
      </c>
      <c r="I8490" s="7" t="n">
        <v>190801</v>
      </c>
      <c r="K8490" s="94" t="n">
        <v>6</v>
      </c>
      <c r="L8490" s="7" t="n">
        <v>190801</v>
      </c>
      <c r="M8490" s="94">
        <f>VLOOKUP($Q8490,매칭테이블!$F:$I,2,0)*K8490</f>
        <v/>
      </c>
      <c r="N8490" s="94">
        <f>M8490-M8490*VLOOKUP($Q8490,매칭테이블!$F:$I,3,0)</f>
        <v/>
      </c>
      <c r="O8490" s="94">
        <f>VLOOKUP($Q8490,매칭테이블!$F:$I,4,0)*K8490</f>
        <v/>
      </c>
      <c r="P8490" s="148">
        <f>M8490/1.1</f>
        <v/>
      </c>
      <c r="Q8490" s="94">
        <f>F8490&amp;E8490&amp;G8490&amp;L8490</f>
        <v/>
      </c>
    </row>
    <row r="8491" customFormat="1" s="94">
      <c r="B8491" s="128" t="n">
        <v>44061</v>
      </c>
      <c r="C8491" s="94">
        <f>TEXT(B8491,"aaa")</f>
        <v/>
      </c>
      <c r="E8491" s="94" t="inlineStr">
        <is>
          <t>여름 한정 진정세트</t>
        </is>
      </c>
      <c r="F8491" s="5" t="inlineStr">
        <is>
          <t>카페24</t>
        </is>
      </c>
      <c r="G8491" s="94" t="inlineStr">
        <is>
          <t>여름 한정 진정세트 (대용량)</t>
        </is>
      </c>
      <c r="H8491" s="7" t="n">
        <v>190801</v>
      </c>
      <c r="I8491" s="7" t="n">
        <v>190801</v>
      </c>
      <c r="K8491" s="94" t="n">
        <v>8</v>
      </c>
      <c r="L8491" s="7" t="n">
        <v>190801</v>
      </c>
      <c r="M8491" s="94">
        <f>VLOOKUP($Q8491,매칭테이블!$F:$I,2,0)*K8491</f>
        <v/>
      </c>
      <c r="N8491" s="94">
        <f>M8491-M8491*VLOOKUP($Q8491,매칭테이블!$F:$I,3,0)</f>
        <v/>
      </c>
      <c r="O8491" s="94">
        <f>VLOOKUP($Q8491,매칭테이블!$F:$I,4,0)*K8491</f>
        <v/>
      </c>
      <c r="P8491" s="148">
        <f>M8491/1.1</f>
        <v/>
      </c>
      <c r="Q8491" s="94">
        <f>F8491&amp;E8491&amp;G8491&amp;L8491</f>
        <v/>
      </c>
    </row>
    <row r="8492" customFormat="1" s="94">
      <c r="B8492" s="128" t="n">
        <v>44061</v>
      </c>
      <c r="C8492" s="94">
        <f>TEXT(B8492,"aaa")</f>
        <v/>
      </c>
      <c r="E8492" s="94" t="inlineStr">
        <is>
          <t>어성초진정패키지</t>
        </is>
      </c>
      <c r="F8492" s="5" t="inlineStr">
        <is>
          <t>카페24</t>
        </is>
      </c>
      <c r="G8492" s="94" t="inlineStr">
        <is>
          <t>어성초 진정패키지세트</t>
        </is>
      </c>
      <c r="H8492" s="7" t="n">
        <v>190801</v>
      </c>
      <c r="I8492" s="7" t="n">
        <v>190801</v>
      </c>
      <c r="K8492" s="94" t="n">
        <v>2</v>
      </c>
      <c r="L8492" s="7" t="n">
        <v>190801</v>
      </c>
      <c r="M8492" s="94">
        <f>VLOOKUP($Q8492,매칭테이블!$F:$I,2,0)*K8492</f>
        <v/>
      </c>
      <c r="N8492" s="94">
        <f>M8492-M8492*VLOOKUP($Q8492,매칭테이블!$F:$I,3,0)</f>
        <v/>
      </c>
      <c r="O8492" s="94">
        <f>VLOOKUP($Q8492,매칭테이블!$F:$I,4,0)*K8492</f>
        <v/>
      </c>
      <c r="P8492" s="148">
        <f>M8492/1.1</f>
        <v/>
      </c>
      <c r="Q8492" s="94">
        <f>F8492&amp;E8492&amp;G8492&amp;L8492</f>
        <v/>
      </c>
    </row>
    <row r="8493" customFormat="1" s="94">
      <c r="B8493" s="128" t="n">
        <v>44061</v>
      </c>
      <c r="C8493" s="94">
        <f>TEXT(B8493,"aaa")</f>
        <v/>
      </c>
      <c r="E8493" s="94" t="inlineStr">
        <is>
          <t>머드크림마스크</t>
        </is>
      </c>
      <c r="F8493" s="5" t="inlineStr">
        <is>
          <t>카페24</t>
        </is>
      </c>
      <c r="G8493" s="94" t="inlineStr">
        <is>
          <t>머드크림마스크 100ml</t>
        </is>
      </c>
      <c r="H8493" s="7" t="n">
        <v>190801</v>
      </c>
      <c r="I8493" s="7" t="n">
        <v>190801</v>
      </c>
      <c r="K8493" s="94" t="n">
        <v>2</v>
      </c>
      <c r="L8493" s="7" t="n">
        <v>190801</v>
      </c>
      <c r="M8493" s="94">
        <f>VLOOKUP($Q8493,매칭테이블!$F:$I,2,0)*K8493</f>
        <v/>
      </c>
      <c r="N8493" s="94">
        <f>M8493-M8493*VLOOKUP($Q8493,매칭테이블!$F:$I,3,0)</f>
        <v/>
      </c>
      <c r="O8493" s="94">
        <f>VLOOKUP($Q8493,매칭테이블!$F:$I,4,0)*K8493</f>
        <v/>
      </c>
      <c r="P8493" s="148">
        <f>M8493/1.1</f>
        <v/>
      </c>
      <c r="Q8493" s="94">
        <f>F8493&amp;E8493&amp;G8493&amp;L8493</f>
        <v/>
      </c>
    </row>
    <row r="8494" customFormat="1" s="94">
      <c r="B8494" s="128" t="n">
        <v>44061</v>
      </c>
      <c r="C8494" s="94">
        <f>TEXT(B8494,"aaa")</f>
        <v/>
      </c>
      <c r="E8494" s="94" t="inlineStr">
        <is>
          <t>머드크림마스크</t>
        </is>
      </c>
      <c r="F8494" s="5" t="inlineStr">
        <is>
          <t>카페24</t>
        </is>
      </c>
      <c r="G8494" s="94" t="inlineStr">
        <is>
          <t>머드크림마스크 100ml 2set</t>
        </is>
      </c>
      <c r="H8494" s="7" t="n">
        <v>190801</v>
      </c>
      <c r="I8494" s="7" t="n">
        <v>190801</v>
      </c>
      <c r="K8494" s="94" t="n">
        <v>2</v>
      </c>
      <c r="L8494" s="7" t="n">
        <v>190801</v>
      </c>
      <c r="M8494" s="94">
        <f>VLOOKUP($Q8494,매칭테이블!$F:$I,2,0)*K8494</f>
        <v/>
      </c>
      <c r="N8494" s="94">
        <f>M8494-M8494*VLOOKUP($Q8494,매칭테이블!$F:$I,3,0)</f>
        <v/>
      </c>
      <c r="O8494" s="94">
        <f>VLOOKUP($Q8494,매칭테이블!$F:$I,4,0)*K8494</f>
        <v/>
      </c>
      <c r="P8494" s="148">
        <f>M8494/1.1</f>
        <v/>
      </c>
      <c r="Q8494" s="94">
        <f>F8494&amp;E8494&amp;G8494&amp;L8494</f>
        <v/>
      </c>
    </row>
    <row r="8495" customFormat="1" s="94">
      <c r="B8495" s="128" t="n">
        <v>44061</v>
      </c>
      <c r="C8495" s="94">
        <f>TEXT(B8495,"aaa")</f>
        <v/>
      </c>
      <c r="E8495" s="94" t="inlineStr">
        <is>
          <t>마스크팩</t>
        </is>
      </c>
      <c r="F8495" s="5" t="inlineStr">
        <is>
          <t>카페24</t>
        </is>
      </c>
      <c r="G8495" s="94" t="inlineStr">
        <is>
          <t>마스크팩 1매</t>
        </is>
      </c>
      <c r="H8495" s="7" t="n">
        <v>190801</v>
      </c>
      <c r="I8495" s="7" t="n">
        <v>190801</v>
      </c>
      <c r="K8495" s="94" t="n">
        <v>2</v>
      </c>
      <c r="L8495" s="7" t="n">
        <v>190801</v>
      </c>
      <c r="M8495" s="94">
        <f>VLOOKUP($Q8495,매칭테이블!$F:$I,2,0)*K8495</f>
        <v/>
      </c>
      <c r="N8495" s="94">
        <f>M8495-M8495*VLOOKUP($Q8495,매칭테이블!$F:$I,3,0)</f>
        <v/>
      </c>
      <c r="O8495" s="94">
        <f>VLOOKUP($Q8495,매칭테이블!$F:$I,4,0)*K8495</f>
        <v/>
      </c>
      <c r="P8495" s="148">
        <f>M8495/1.1</f>
        <v/>
      </c>
      <c r="Q8495" s="94">
        <f>F8495&amp;E8495&amp;G8495&amp;L8495</f>
        <v/>
      </c>
    </row>
    <row r="8496" customFormat="1" s="94">
      <c r="B8496" s="128" t="n">
        <v>44061</v>
      </c>
      <c r="C8496" s="94">
        <f>TEXT(B8496,"aaa")</f>
        <v/>
      </c>
      <c r="E8496" s="94" t="inlineStr">
        <is>
          <t>마스크팩</t>
        </is>
      </c>
      <c r="F8496" s="5" t="inlineStr">
        <is>
          <t>카페24</t>
        </is>
      </c>
      <c r="G8496" s="94" t="inlineStr">
        <is>
          <t>마스크팩 10매</t>
        </is>
      </c>
      <c r="H8496" s="7" t="n">
        <v>190801</v>
      </c>
      <c r="I8496" s="7" t="n">
        <v>190801</v>
      </c>
      <c r="K8496" s="94" t="n">
        <v>4</v>
      </c>
      <c r="L8496" s="7" t="n">
        <v>190801</v>
      </c>
      <c r="M8496" s="94">
        <f>VLOOKUP($Q8496,매칭테이블!$F:$I,2,0)*K8496</f>
        <v/>
      </c>
      <c r="N8496" s="94">
        <f>M8496-M8496*VLOOKUP($Q8496,매칭테이블!$F:$I,3,0)</f>
        <v/>
      </c>
      <c r="O8496" s="94">
        <f>VLOOKUP($Q8496,매칭테이블!$F:$I,4,0)*K8496</f>
        <v/>
      </c>
      <c r="P8496" s="148">
        <f>M8496/1.1</f>
        <v/>
      </c>
      <c r="Q8496" s="94">
        <f>F8496&amp;E8496&amp;G8496&amp;L8496</f>
        <v/>
      </c>
    </row>
    <row r="8497" customFormat="1" s="94">
      <c r="B8497" s="128" t="n">
        <v>44061</v>
      </c>
      <c r="C8497" s="94">
        <f>TEXT(B8497,"aaa")</f>
        <v/>
      </c>
      <c r="E8497" s="94" t="inlineStr">
        <is>
          <t>토너</t>
        </is>
      </c>
      <c r="F8497" s="5" t="inlineStr">
        <is>
          <t>카페24</t>
        </is>
      </c>
      <c r="G8497" s="94" t="inlineStr">
        <is>
          <t>250ml</t>
        </is>
      </c>
      <c r="H8497" s="7" t="n">
        <v>190801</v>
      </c>
      <c r="I8497" s="7" t="n">
        <v>190801</v>
      </c>
      <c r="K8497" s="94" t="n">
        <v>88</v>
      </c>
      <c r="L8497" s="7" t="n">
        <v>190801</v>
      </c>
      <c r="M8497" s="94">
        <f>VLOOKUP($Q8497,매칭테이블!$F:$I,2,0)*K8497</f>
        <v/>
      </c>
      <c r="N8497" s="94">
        <f>M8497-M8497*VLOOKUP($Q8497,매칭테이블!$F:$I,3,0)</f>
        <v/>
      </c>
      <c r="O8497" s="94">
        <f>VLOOKUP($Q8497,매칭테이블!$F:$I,4,0)*K8497</f>
        <v/>
      </c>
      <c r="P8497" s="148">
        <f>M8497/1.1</f>
        <v/>
      </c>
      <c r="Q8497" s="94">
        <f>F8497&amp;E8497&amp;G8497&amp;L8497</f>
        <v/>
      </c>
    </row>
    <row r="8498" customFormat="1" s="94">
      <c r="B8498" s="128" t="n">
        <v>44061</v>
      </c>
      <c r="C8498" s="94">
        <f>TEXT(B8498,"aaa")</f>
        <v/>
      </c>
      <c r="E8498" s="94" t="inlineStr">
        <is>
          <t>토너</t>
        </is>
      </c>
      <c r="F8498" s="5" t="inlineStr">
        <is>
          <t>카페24</t>
        </is>
      </c>
      <c r="G8498" s="94" t="inlineStr">
        <is>
          <t>250ml 2set</t>
        </is>
      </c>
      <c r="H8498" s="7" t="n">
        <v>190801</v>
      </c>
      <c r="I8498" s="7" t="n">
        <v>190801</v>
      </c>
      <c r="K8498" s="94" t="n">
        <v>67</v>
      </c>
      <c r="L8498" s="7" t="n">
        <v>190801</v>
      </c>
      <c r="M8498" s="94">
        <f>VLOOKUP($Q8498,매칭테이블!$F:$I,2,0)*K8498</f>
        <v/>
      </c>
      <c r="N8498" s="94">
        <f>M8498-M8498*VLOOKUP($Q8498,매칭테이블!$F:$I,3,0)</f>
        <v/>
      </c>
      <c r="O8498" s="94">
        <f>VLOOKUP($Q8498,매칭테이블!$F:$I,4,0)*K8498</f>
        <v/>
      </c>
      <c r="P8498" s="148">
        <f>M8498/1.1</f>
        <v/>
      </c>
      <c r="Q8498" s="94">
        <f>F8498&amp;E8498&amp;G8498&amp;L8498</f>
        <v/>
      </c>
    </row>
    <row r="8499" customFormat="1" s="94">
      <c r="B8499" s="128" t="n">
        <v>44061</v>
      </c>
      <c r="C8499" s="94">
        <f>TEXT(B8499,"aaa")</f>
        <v/>
      </c>
      <c r="E8499" s="94" t="inlineStr">
        <is>
          <t>토너</t>
        </is>
      </c>
      <c r="F8499" s="5" t="inlineStr">
        <is>
          <t>카페24</t>
        </is>
      </c>
      <c r="G8499" s="94" t="inlineStr">
        <is>
          <t>500ml</t>
        </is>
      </c>
      <c r="H8499" s="7" t="n">
        <v>190801</v>
      </c>
      <c r="I8499" s="7" t="n">
        <v>190801</v>
      </c>
      <c r="K8499" s="94" t="n">
        <v>70</v>
      </c>
      <c r="L8499" s="7" t="n">
        <v>190801</v>
      </c>
      <c r="M8499" s="94">
        <f>VLOOKUP($Q8499,매칭테이블!$F:$I,2,0)*K8499</f>
        <v/>
      </c>
      <c r="N8499" s="94">
        <f>M8499-M8499*VLOOKUP($Q8499,매칭테이블!$F:$I,3,0)</f>
        <v/>
      </c>
      <c r="O8499" s="94">
        <f>VLOOKUP($Q8499,매칭테이블!$F:$I,4,0)*K8499</f>
        <v/>
      </c>
      <c r="P8499" s="148">
        <f>M8499/1.1</f>
        <v/>
      </c>
      <c r="Q8499" s="94">
        <f>F8499&amp;E8499&amp;G8499&amp;L8499</f>
        <v/>
      </c>
    </row>
    <row r="8500" customFormat="1" s="94">
      <c r="B8500" s="128" t="n">
        <v>44061</v>
      </c>
      <c r="C8500" s="94">
        <f>TEXT(B8500,"aaa")</f>
        <v/>
      </c>
      <c r="E8500" s="94" t="inlineStr">
        <is>
          <t>토너</t>
        </is>
      </c>
      <c r="F8500" s="5" t="inlineStr">
        <is>
          <t>카페24</t>
        </is>
      </c>
      <c r="G8500" s="94" t="inlineStr">
        <is>
          <t>스킨팩 화장솜 60P</t>
        </is>
      </c>
      <c r="H8500" s="7" t="n">
        <v>190801</v>
      </c>
      <c r="I8500" s="7" t="n">
        <v>190801</v>
      </c>
      <c r="K8500" s="94" t="n">
        <v>76</v>
      </c>
      <c r="L8500" s="7" t="n">
        <v>190801</v>
      </c>
      <c r="M8500" s="94">
        <f>VLOOKUP($Q8500,매칭테이블!$F:$I,2,0)*K8500</f>
        <v/>
      </c>
      <c r="N8500" s="94">
        <f>M8500-M8500*VLOOKUP($Q8500,매칭테이블!$F:$I,3,0)</f>
        <v/>
      </c>
      <c r="O8500" s="94">
        <f>VLOOKUP($Q8500,매칭테이블!$F:$I,4,0)*K8500</f>
        <v/>
      </c>
      <c r="P8500" s="148">
        <f>M8500/1.1</f>
        <v/>
      </c>
      <c r="Q8500" s="94">
        <f>F8500&amp;E8500&amp;G8500&amp;L8500</f>
        <v/>
      </c>
    </row>
    <row r="8501" customFormat="1" s="94">
      <c r="B8501" s="128" t="n">
        <v>44061</v>
      </c>
      <c r="C8501" s="94">
        <f>TEXT(B8501,"aaa")</f>
        <v/>
      </c>
      <c r="E8501" s="94" t="inlineStr">
        <is>
          <t>앰플</t>
        </is>
      </c>
      <c r="F8501" s="5" t="inlineStr">
        <is>
          <t>카페24</t>
        </is>
      </c>
      <c r="G8501" s="94" t="inlineStr">
        <is>
          <t>앰플 30ml</t>
        </is>
      </c>
      <c r="H8501" s="7" t="n">
        <v>190801</v>
      </c>
      <c r="I8501" s="7" t="n">
        <v>190801</v>
      </c>
      <c r="K8501" s="94" t="n">
        <v>14</v>
      </c>
      <c r="L8501" s="7" t="n">
        <v>190801</v>
      </c>
      <c r="M8501" s="94">
        <f>VLOOKUP($Q8501,매칭테이블!$F:$I,2,0)*K8501</f>
        <v/>
      </c>
      <c r="N8501" s="94">
        <f>M8501-M8501*VLOOKUP($Q8501,매칭테이블!$F:$I,3,0)</f>
        <v/>
      </c>
      <c r="O8501" s="94">
        <f>VLOOKUP($Q8501,매칭테이블!$F:$I,4,0)*K8501</f>
        <v/>
      </c>
      <c r="P8501" s="148">
        <f>M8501/1.1</f>
        <v/>
      </c>
      <c r="Q8501" s="94">
        <f>F8501&amp;E8501&amp;G8501&amp;L8501</f>
        <v/>
      </c>
    </row>
    <row r="8502" customFormat="1" s="94">
      <c r="B8502" s="128" t="n">
        <v>44061</v>
      </c>
      <c r="C8502" s="94">
        <f>TEXT(B8502,"aaa")</f>
        <v/>
      </c>
      <c r="E8502" s="94" t="inlineStr">
        <is>
          <t>앰플</t>
        </is>
      </c>
      <c r="F8502" s="5" t="inlineStr">
        <is>
          <t>카페24</t>
        </is>
      </c>
      <c r="G8502" s="94" t="inlineStr">
        <is>
          <t>앰플 30ml  2set</t>
        </is>
      </c>
      <c r="H8502" s="7" t="n">
        <v>190801</v>
      </c>
      <c r="I8502" s="7" t="n">
        <v>190801</v>
      </c>
      <c r="K8502" s="94" t="n">
        <v>2</v>
      </c>
      <c r="L8502" s="7" t="n">
        <v>190801</v>
      </c>
      <c r="M8502" s="94">
        <f>VLOOKUP($Q8502,매칭테이블!$F:$I,2,0)*K8502</f>
        <v/>
      </c>
      <c r="N8502" s="94">
        <f>M8502-M8502*VLOOKUP($Q8502,매칭테이블!$F:$I,3,0)</f>
        <v/>
      </c>
      <c r="O8502" s="94">
        <f>VLOOKUP($Q8502,매칭테이블!$F:$I,4,0)*K8502</f>
        <v/>
      </c>
      <c r="P8502" s="148">
        <f>M8502/1.1</f>
        <v/>
      </c>
      <c r="Q8502" s="94">
        <f>F8502&amp;E8502&amp;G8502&amp;L8502</f>
        <v/>
      </c>
    </row>
    <row r="8503" customFormat="1" s="94">
      <c r="B8503" s="128" t="n">
        <v>44061</v>
      </c>
      <c r="C8503" s="94">
        <f>TEXT(B8503,"aaa")</f>
        <v/>
      </c>
      <c r="E8503" s="94" t="inlineStr">
        <is>
          <t>수딩크림</t>
        </is>
      </c>
      <c r="F8503" s="5" t="inlineStr">
        <is>
          <t>카페24</t>
        </is>
      </c>
      <c r="G8503" s="94" t="inlineStr">
        <is>
          <t>수딩크림 100ml</t>
        </is>
      </c>
      <c r="H8503" s="7" t="n">
        <v>190801</v>
      </c>
      <c r="I8503" s="7" t="n">
        <v>190801</v>
      </c>
      <c r="K8503" s="94" t="n">
        <v>10</v>
      </c>
      <c r="L8503" s="7" t="n">
        <v>190801</v>
      </c>
      <c r="M8503" s="94">
        <f>VLOOKUP($Q8503,매칭테이블!$F:$I,2,0)*K8503</f>
        <v/>
      </c>
      <c r="N8503" s="94">
        <f>M8503-M8503*VLOOKUP($Q8503,매칭테이블!$F:$I,3,0)</f>
        <v/>
      </c>
      <c r="O8503" s="94">
        <f>VLOOKUP($Q8503,매칭테이블!$F:$I,4,0)*K8503</f>
        <v/>
      </c>
      <c r="P8503" s="148">
        <f>M8503/1.1</f>
        <v/>
      </c>
      <c r="Q8503" s="94">
        <f>F8503&amp;E8503&amp;G8503&amp;L8503</f>
        <v/>
      </c>
    </row>
    <row r="8504" customFormat="1" s="94">
      <c r="B8504" s="128" t="n">
        <v>44061</v>
      </c>
      <c r="C8504" s="94">
        <f>TEXT(B8504,"aaa")</f>
        <v/>
      </c>
      <c r="E8504" s="94" t="inlineStr">
        <is>
          <t>클렌징폼</t>
        </is>
      </c>
      <c r="F8504" s="5" t="inlineStr">
        <is>
          <t>카페24</t>
        </is>
      </c>
      <c r="G8504" s="94" t="inlineStr">
        <is>
          <t>클렌징폼 120ml</t>
        </is>
      </c>
      <c r="H8504" s="7" t="n">
        <v>190801</v>
      </c>
      <c r="I8504" s="7" t="n">
        <v>190801</v>
      </c>
      <c r="K8504" s="94" t="n">
        <v>21</v>
      </c>
      <c r="L8504" s="7" t="n">
        <v>190801</v>
      </c>
      <c r="M8504" s="94">
        <f>VLOOKUP($Q8504,매칭테이블!$F:$I,2,0)*K8504</f>
        <v/>
      </c>
      <c r="N8504" s="94">
        <f>M8504-M8504*VLOOKUP($Q8504,매칭테이블!$F:$I,3,0)</f>
        <v/>
      </c>
      <c r="O8504" s="94">
        <f>VLOOKUP($Q8504,매칭테이블!$F:$I,4,0)*K8504</f>
        <v/>
      </c>
      <c r="P8504" s="148">
        <f>M8504/1.1</f>
        <v/>
      </c>
      <c r="Q8504" s="94">
        <f>F8504&amp;E8504&amp;G8504&amp;L8504</f>
        <v/>
      </c>
    </row>
    <row r="8505" customFormat="1" s="94">
      <c r="B8505" s="128" t="n">
        <v>44061</v>
      </c>
      <c r="C8505" s="94">
        <f>TEXT(B8505,"aaa")</f>
        <v/>
      </c>
      <c r="E8505" s="94" t="inlineStr">
        <is>
          <t>클렌징폼</t>
        </is>
      </c>
      <c r="F8505" s="5" t="inlineStr">
        <is>
          <t>카페24</t>
        </is>
      </c>
      <c r="G8505" s="94" t="inlineStr">
        <is>
          <t>클렌징폼 120ml 2set</t>
        </is>
      </c>
      <c r="H8505" s="7" t="n">
        <v>190801</v>
      </c>
      <c r="I8505" s="7" t="n">
        <v>190801</v>
      </c>
      <c r="K8505" s="94" t="n">
        <v>5</v>
      </c>
      <c r="L8505" s="7" t="n">
        <v>190801</v>
      </c>
      <c r="M8505" s="94">
        <f>VLOOKUP($Q8505,매칭테이블!$F:$I,2,0)*K8505</f>
        <v/>
      </c>
      <c r="N8505" s="94">
        <f>M8505-M8505*VLOOKUP($Q8505,매칭테이블!$F:$I,3,0)</f>
        <v/>
      </c>
      <c r="O8505" s="94">
        <f>VLOOKUP($Q8505,매칭테이블!$F:$I,4,0)*K8505</f>
        <v/>
      </c>
      <c r="P8505" s="148">
        <f>M8505/1.1</f>
        <v/>
      </c>
      <c r="Q8505" s="94">
        <f>F8505&amp;E8505&amp;G8505&amp;L8505</f>
        <v/>
      </c>
    </row>
    <row r="8506" customFormat="1" s="94">
      <c r="B8506" s="128" t="n">
        <v>44061</v>
      </c>
      <c r="C8506" s="94">
        <f>TEXT(B8506,"aaa")</f>
        <v/>
      </c>
      <c r="E8506" s="94" t="inlineStr">
        <is>
          <t>토너</t>
        </is>
      </c>
      <c r="F8506" s="5" t="inlineStr">
        <is>
          <t>아누아 CS</t>
        </is>
      </c>
      <c r="G8506" s="94" t="inlineStr">
        <is>
          <t>250ml</t>
        </is>
      </c>
      <c r="H8506" s="7" t="n">
        <v>190801</v>
      </c>
      <c r="I8506" s="7" t="n">
        <v>190801</v>
      </c>
      <c r="K8506" s="94" t="n">
        <v>7</v>
      </c>
      <c r="L8506" s="7" t="n">
        <v>190801</v>
      </c>
      <c r="M8506" s="94">
        <f>VLOOKUP($Q8506,매칭테이블!$F:$I,2,0)*K8506</f>
        <v/>
      </c>
      <c r="N8506" s="94">
        <f>M8506-M8506*VLOOKUP($Q8506,매칭테이블!$F:$I,3,0)</f>
        <v/>
      </c>
      <c r="O8506" s="94">
        <f>VLOOKUP($Q8506,매칭테이블!$F:$I,4,0)*K8506</f>
        <v/>
      </c>
      <c r="P8506" s="148">
        <f>M8506/1.1</f>
        <v/>
      </c>
      <c r="Q8506" s="94">
        <f>F8506&amp;E8506&amp;G8506&amp;L8506</f>
        <v/>
      </c>
    </row>
    <row r="8507" customFormat="1" s="94">
      <c r="B8507" s="128" t="n">
        <v>44061</v>
      </c>
      <c r="C8507" s="94">
        <f>TEXT(B8507,"aaa")</f>
        <v/>
      </c>
      <c r="E8507" s="94" t="inlineStr">
        <is>
          <t>화장솜</t>
        </is>
      </c>
      <c r="F8507" s="5" t="inlineStr">
        <is>
          <t>아누아 CS</t>
        </is>
      </c>
      <c r="G8507" s="94" t="inlineStr">
        <is>
          <t>스킨팩 화장솜 60P</t>
        </is>
      </c>
      <c r="H8507" s="7" t="n">
        <v>190801</v>
      </c>
      <c r="I8507" s="7" t="n">
        <v>190801</v>
      </c>
      <c r="K8507" s="94" t="n">
        <v>4</v>
      </c>
      <c r="L8507" s="7" t="n">
        <v>190801</v>
      </c>
      <c r="M8507" s="94">
        <f>VLOOKUP($Q8507,매칭테이블!$F:$I,2,0)*K8507</f>
        <v/>
      </c>
      <c r="N8507" s="94">
        <f>M8507-M8507*VLOOKUP($Q8507,매칭테이블!$F:$I,3,0)</f>
        <v/>
      </c>
      <c r="O8507" s="94">
        <f>VLOOKUP($Q8507,매칭테이블!$F:$I,4,0)*K8507</f>
        <v/>
      </c>
      <c r="P8507" s="148">
        <f>M8507/1.1</f>
        <v/>
      </c>
      <c r="Q8507" s="94">
        <f>F8507&amp;E8507&amp;G8507&amp;L8507</f>
        <v/>
      </c>
    </row>
    <row r="8508" customFormat="1" s="94">
      <c r="B8508" s="128" t="n">
        <v>44061</v>
      </c>
      <c r="C8508" s="94">
        <f>TEXT(B8508,"aaa")</f>
        <v/>
      </c>
      <c r="E8508" s="94" t="inlineStr">
        <is>
          <t>앰플</t>
        </is>
      </c>
      <c r="F8508" s="5" t="inlineStr">
        <is>
          <t>아누아 CS</t>
        </is>
      </c>
      <c r="G8508" s="94" t="inlineStr">
        <is>
          <t>앰플 30ml</t>
        </is>
      </c>
      <c r="H8508" s="7" t="n">
        <v>190801</v>
      </c>
      <c r="I8508" s="7" t="n">
        <v>190801</v>
      </c>
      <c r="K8508" s="94" t="n">
        <v>39</v>
      </c>
      <c r="L8508" s="7" t="n">
        <v>190801</v>
      </c>
      <c r="M8508" s="94">
        <f>VLOOKUP($Q8508,매칭테이블!$F:$I,2,0)*K8508</f>
        <v/>
      </c>
      <c r="N8508" s="94">
        <f>M8508-M8508*VLOOKUP($Q8508,매칭테이블!$F:$I,3,0)</f>
        <v/>
      </c>
      <c r="O8508" s="94">
        <f>VLOOKUP($Q8508,매칭테이블!$F:$I,4,0)*K8508</f>
        <v/>
      </c>
      <c r="P8508" s="148">
        <f>M8508/1.1</f>
        <v/>
      </c>
      <c r="Q8508" s="94">
        <f>F8508&amp;E8508&amp;G8508&amp;L8508</f>
        <v/>
      </c>
    </row>
    <row r="8509" customFormat="1" s="94">
      <c r="B8509" s="128" t="n">
        <v>44061</v>
      </c>
      <c r="C8509" s="94">
        <f>TEXT(B8509,"aaa")</f>
        <v/>
      </c>
      <c r="E8509" s="94" t="inlineStr">
        <is>
          <t>마스크팩</t>
        </is>
      </c>
      <c r="F8509" s="5" t="inlineStr">
        <is>
          <t>아누아 CS</t>
        </is>
      </c>
      <c r="G8509" s="94" t="inlineStr">
        <is>
          <t>마스크팩 10매</t>
        </is>
      </c>
      <c r="H8509" s="7" t="n">
        <v>190801</v>
      </c>
      <c r="I8509" s="7" t="n">
        <v>190801</v>
      </c>
      <c r="K8509" s="94" t="n">
        <v>4</v>
      </c>
      <c r="L8509" s="7" t="n">
        <v>190801</v>
      </c>
      <c r="M8509" s="94">
        <f>VLOOKUP($Q8509,매칭테이블!$F:$I,2,0)*K8509</f>
        <v/>
      </c>
      <c r="N8509" s="94">
        <f>M8509-M8509*VLOOKUP($Q8509,매칭테이블!$F:$I,3,0)</f>
        <v/>
      </c>
      <c r="O8509" s="94">
        <f>VLOOKUP($Q8509,매칭테이블!$F:$I,4,0)*K8509</f>
        <v/>
      </c>
      <c r="P8509" s="148">
        <f>M8509/1.1</f>
        <v/>
      </c>
      <c r="Q8509" s="94">
        <f>F8509&amp;E8509&amp;G8509&amp;L8509</f>
        <v/>
      </c>
    </row>
    <row r="8510" customFormat="1" s="94">
      <c r="B8510" s="128" t="n">
        <v>44061</v>
      </c>
      <c r="C8510" s="94">
        <f>TEXT(B8510,"aaa")</f>
        <v/>
      </c>
      <c r="E8510" s="94" t="inlineStr">
        <is>
          <t>선크림</t>
        </is>
      </c>
      <c r="F8510" s="5" t="inlineStr">
        <is>
          <t>아누아 CS</t>
        </is>
      </c>
      <c r="G8510" s="94" t="inlineStr">
        <is>
          <t>선크림 50ml</t>
        </is>
      </c>
      <c r="H8510" s="7" t="n">
        <v>190801</v>
      </c>
      <c r="I8510" s="7" t="n">
        <v>190801</v>
      </c>
      <c r="K8510" s="94" t="n">
        <v>4</v>
      </c>
      <c r="L8510" s="7" t="n">
        <v>190801</v>
      </c>
      <c r="M8510" s="94">
        <f>VLOOKUP($Q8510,매칭테이블!$F:$I,2,0)*K8510</f>
        <v/>
      </c>
      <c r="N8510" s="94">
        <f>M8510-M8510*VLOOKUP($Q8510,매칭테이블!$F:$I,3,0)</f>
        <v/>
      </c>
      <c r="O8510" s="94">
        <f>VLOOKUP($Q8510,매칭테이블!$F:$I,4,0)*K8510</f>
        <v/>
      </c>
      <c r="P8510" s="148">
        <f>M8510/1.1</f>
        <v/>
      </c>
      <c r="Q8510" s="94">
        <f>F8510&amp;E8510&amp;G8510&amp;L8510</f>
        <v/>
      </c>
    </row>
    <row r="8511" customFormat="1" s="94">
      <c r="B8511" s="128" t="n">
        <v>44061</v>
      </c>
      <c r="C8511" s="94">
        <f>TEXT(B8511,"aaa")</f>
        <v/>
      </c>
      <c r="E8511" s="94" t="inlineStr">
        <is>
          <t>클렌징폼</t>
        </is>
      </c>
      <c r="F8511" s="5" t="inlineStr">
        <is>
          <t>아누아 CS</t>
        </is>
      </c>
      <c r="G8511" s="94" t="inlineStr">
        <is>
          <t>클렌징폼 120ml</t>
        </is>
      </c>
      <c r="H8511" s="7" t="n">
        <v>190801</v>
      </c>
      <c r="I8511" s="7" t="n">
        <v>190801</v>
      </c>
      <c r="K8511" s="94" t="n">
        <v>30</v>
      </c>
      <c r="L8511" s="7" t="n">
        <v>190801</v>
      </c>
      <c r="M8511" s="94">
        <f>VLOOKUP($Q8511,매칭테이블!$F:$I,2,0)*K8511</f>
        <v/>
      </c>
      <c r="N8511" s="94">
        <f>M8511-M8511*VLOOKUP($Q8511,매칭테이블!$F:$I,3,0)</f>
        <v/>
      </c>
      <c r="O8511" s="94">
        <f>VLOOKUP($Q8511,매칭테이블!$F:$I,4,0)*K8511</f>
        <v/>
      </c>
      <c r="P8511" s="148">
        <f>M8511/1.1</f>
        <v/>
      </c>
      <c r="Q8511" s="94">
        <f>F8511&amp;E8511&amp;G8511&amp;L8511</f>
        <v/>
      </c>
    </row>
    <row r="8512" customFormat="1" s="94">
      <c r="B8512" s="128" t="n">
        <v>44061</v>
      </c>
      <c r="C8512" s="94">
        <f>TEXT(B8512,"aaa")</f>
        <v/>
      </c>
      <c r="E8512" s="94" t="inlineStr">
        <is>
          <t>토너</t>
        </is>
      </c>
      <c r="F8512" s="5" t="inlineStr">
        <is>
          <t>화해</t>
        </is>
      </c>
      <c r="G8512" s="94" t="inlineStr">
        <is>
          <t>250ml</t>
        </is>
      </c>
      <c r="H8512" s="7" t="n">
        <v>190801</v>
      </c>
      <c r="I8512" s="7" t="n">
        <v>190801</v>
      </c>
      <c r="K8512" s="94" t="n">
        <v>7</v>
      </c>
      <c r="L8512" s="7" t="n">
        <v>190801</v>
      </c>
      <c r="M8512" s="94">
        <f>VLOOKUP($Q8512,매칭테이블!$F:$I,2,0)*K8512</f>
        <v/>
      </c>
      <c r="N8512" s="94">
        <f>M8512-M8512*VLOOKUP($Q8512,매칭테이블!$F:$I,3,0)</f>
        <v/>
      </c>
      <c r="O8512" s="94">
        <f>VLOOKUP($Q8512,매칭테이블!$F:$I,4,0)*K8512</f>
        <v/>
      </c>
      <c r="P8512" s="148">
        <f>M8512/1.1</f>
        <v/>
      </c>
      <c r="Q8512" s="94">
        <f>F8512&amp;E8512&amp;G8512&amp;L8512</f>
        <v/>
      </c>
    </row>
    <row r="8513">
      <c r="A8513" s="94" t="n"/>
      <c r="B8513" s="128" t="n">
        <v>44062</v>
      </c>
      <c r="C8513" s="94">
        <f>TEXT(B8513,"aaa")</f>
        <v/>
      </c>
      <c r="D8513" s="94" t="n"/>
      <c r="E8513" s="94" t="inlineStr">
        <is>
          <t>토너</t>
        </is>
      </c>
      <c r="F8513" s="5" t="inlineStr">
        <is>
          <t>글로우데이즈 시코르</t>
        </is>
      </c>
      <c r="G8513" s="94" t="inlineStr">
        <is>
          <t>토너=250ml</t>
        </is>
      </c>
      <c r="H8513" s="7" t="n">
        <v>190801</v>
      </c>
      <c r="I8513" s="7" t="n">
        <v>190801</v>
      </c>
      <c r="J8513" s="94" t="n"/>
      <c r="K8513" s="94" t="n">
        <v>83</v>
      </c>
      <c r="L8513" s="7" t="n">
        <v>190801</v>
      </c>
      <c r="M8513" s="94">
        <f>VLOOKUP($Q8513,매칭테이블!$F:$I,2,0)*K8513</f>
        <v/>
      </c>
      <c r="N8513" s="94">
        <f>M8513-M8513*VLOOKUP($Q8513,매칭테이블!$F:$I,3,0)</f>
        <v/>
      </c>
      <c r="O8513" s="94">
        <f>VLOOKUP($Q8513,매칭테이블!$F:$I,4,0)*K8513</f>
        <v/>
      </c>
      <c r="P8513" s="148">
        <f>M8513/1.1</f>
        <v/>
      </c>
      <c r="Q8513" s="94">
        <f>F8513&amp;E8513&amp;G8513&amp;L8513</f>
        <v/>
      </c>
    </row>
    <row r="8514">
      <c r="A8514" s="94" t="n"/>
      <c r="B8514" s="128" t="n">
        <v>44062</v>
      </c>
      <c r="C8514" s="94">
        <f>TEXT(B8514,"aaa")</f>
        <v/>
      </c>
      <c r="D8514" s="94" t="n"/>
      <c r="E8514" s="94" t="inlineStr">
        <is>
          <t>앰플</t>
        </is>
      </c>
      <c r="F8514" s="5" t="inlineStr">
        <is>
          <t>글로우데이즈 시코르</t>
        </is>
      </c>
      <c r="G8514" s="94" t="inlineStr">
        <is>
          <t>앰플=앰플 30ml</t>
        </is>
      </c>
      <c r="H8514" s="7" t="n">
        <v>190801</v>
      </c>
      <c r="I8514" s="7" t="n">
        <v>190801</v>
      </c>
      <c r="J8514" s="94" t="n"/>
      <c r="K8514" s="94" t="n">
        <v>93</v>
      </c>
      <c r="L8514" s="7" t="n">
        <v>190801</v>
      </c>
      <c r="M8514" s="94">
        <f>VLOOKUP($Q8514,매칭테이블!$F:$I,2,0)*K8514</f>
        <v/>
      </c>
      <c r="N8514" s="94">
        <f>M8514-M8514*VLOOKUP($Q8514,매칭테이블!$F:$I,3,0)</f>
        <v/>
      </c>
      <c r="O8514" s="94">
        <f>VLOOKUP($Q8514,매칭테이블!$F:$I,4,0)*K8514</f>
        <v/>
      </c>
      <c r="P8514" s="148">
        <f>M8514/1.1</f>
        <v/>
      </c>
      <c r="Q8514" s="94">
        <f>F8514&amp;E8514&amp;G8514&amp;L8514</f>
        <v/>
      </c>
    </row>
    <row r="8515">
      <c r="A8515" s="94" t="n"/>
      <c r="B8515" s="128" t="n">
        <v>44062</v>
      </c>
      <c r="C8515" s="94">
        <f>TEXT(B8515,"aaa")</f>
        <v/>
      </c>
      <c r="D8515" s="94" t="n"/>
      <c r="E8515" s="94" t="inlineStr">
        <is>
          <t>수딩크림</t>
        </is>
      </c>
      <c r="F8515" s="5" t="inlineStr">
        <is>
          <t>글로우데이즈 시코르</t>
        </is>
      </c>
      <c r="G8515" s="94" t="inlineStr">
        <is>
          <t>수딩크림=수딩크림 100ml</t>
        </is>
      </c>
      <c r="H8515" s="7" t="n">
        <v>190801</v>
      </c>
      <c r="I8515" s="7" t="n">
        <v>190801</v>
      </c>
      <c r="J8515" s="94" t="n"/>
      <c r="K8515" s="94" t="n">
        <v>80</v>
      </c>
      <c r="L8515" s="7" t="n">
        <v>190801</v>
      </c>
      <c r="M8515" s="94">
        <f>VLOOKUP($Q8515,매칭테이블!$F:$I,2,0)*K8515</f>
        <v/>
      </c>
      <c r="N8515" s="94">
        <f>M8515-M8515*VLOOKUP($Q8515,매칭테이블!$F:$I,3,0)</f>
        <v/>
      </c>
      <c r="O8515" s="94">
        <f>VLOOKUP($Q8515,매칭테이블!$F:$I,4,0)*K8515</f>
        <v/>
      </c>
      <c r="P8515" s="148">
        <f>M8515/1.1</f>
        <v/>
      </c>
      <c r="Q8515" s="94">
        <f>F8515&amp;E8515&amp;G8515&amp;L8515</f>
        <v/>
      </c>
    </row>
    <row r="8516">
      <c r="A8516" s="94" t="n"/>
      <c r="B8516" s="128" t="n">
        <v>44062</v>
      </c>
      <c r="C8516" s="94">
        <f>TEXT(B8516,"aaa")</f>
        <v/>
      </c>
      <c r="D8516" s="94" t="n"/>
      <c r="E8516" s="94" t="inlineStr">
        <is>
          <t>마스크팩</t>
        </is>
      </c>
      <c r="F8516" s="5" t="inlineStr">
        <is>
          <t>글로우데이즈 시코르</t>
        </is>
      </c>
      <c r="G8516" s="94" t="inlineStr">
        <is>
          <t>마스크팩=마스크팩 1매</t>
        </is>
      </c>
      <c r="H8516" s="7" t="n">
        <v>190801</v>
      </c>
      <c r="I8516" s="7" t="n">
        <v>190801</v>
      </c>
      <c r="J8516" s="94" t="n"/>
      <c r="K8516" s="94" t="n">
        <v>110</v>
      </c>
      <c r="L8516" s="7" t="n">
        <v>190801</v>
      </c>
      <c r="M8516" s="94">
        <f>VLOOKUP($Q8516,매칭테이블!$F:$I,2,0)*K8516</f>
        <v/>
      </c>
      <c r="N8516" s="94">
        <f>M8516-M8516*VLOOKUP($Q8516,매칭테이블!$F:$I,3,0)</f>
        <v/>
      </c>
      <c r="O8516" s="94">
        <f>VLOOKUP($Q8516,매칭테이블!$F:$I,4,0)*K8516</f>
        <v/>
      </c>
      <c r="P8516" s="148">
        <f>M8516/1.1</f>
        <v/>
      </c>
      <c r="Q8516" s="94">
        <f>F8516&amp;E8516&amp;G8516&amp;L8516</f>
        <v/>
      </c>
    </row>
    <row r="8517">
      <c r="A8517" s="94" t="n"/>
      <c r="B8517" s="128" t="n">
        <v>44062</v>
      </c>
      <c r="C8517" s="94">
        <f>TEXT(B8517,"aaa")</f>
        <v/>
      </c>
      <c r="D8517" s="94" t="n"/>
      <c r="E8517" s="94" t="inlineStr">
        <is>
          <t>머드크림마스크</t>
        </is>
      </c>
      <c r="F8517" s="5" t="inlineStr">
        <is>
          <t>글로우데이즈 시코르</t>
        </is>
      </c>
      <c r="G8517" s="94" t="inlineStr">
        <is>
          <t>머드크림마스크=머드크림마스크 100ml</t>
        </is>
      </c>
      <c r="H8517" s="7" t="n">
        <v>190801</v>
      </c>
      <c r="I8517" s="7" t="n">
        <v>190801</v>
      </c>
      <c r="J8517" s="94" t="n"/>
      <c r="K8517" s="94" t="n">
        <v>80</v>
      </c>
      <c r="L8517" s="7" t="n">
        <v>190801</v>
      </c>
      <c r="M8517" s="94">
        <f>VLOOKUP($Q8517,매칭테이블!$F:$I,2,0)*K8517</f>
        <v/>
      </c>
      <c r="N8517" s="94">
        <f>M8517-M8517*VLOOKUP($Q8517,매칭테이블!$F:$I,3,0)</f>
        <v/>
      </c>
      <c r="O8517" s="94">
        <f>VLOOKUP($Q8517,매칭테이블!$F:$I,4,0)*K8517</f>
        <v/>
      </c>
      <c r="P8517" s="148">
        <f>M8517/1.1</f>
        <v/>
      </c>
      <c r="Q8517" s="94">
        <f>F8517&amp;E8517&amp;G8517&amp;L8517</f>
        <v/>
      </c>
    </row>
    <row r="8518">
      <c r="A8518" s="94" t="n"/>
      <c r="B8518" s="128" t="n">
        <v>44062</v>
      </c>
      <c r="C8518" s="94">
        <f>TEXT(B8518,"aaa")</f>
        <v/>
      </c>
      <c r="D8518" s="94" t="n"/>
      <c r="E8518" s="94" t="inlineStr">
        <is>
          <t>클렌징폼</t>
        </is>
      </c>
      <c r="F8518" s="5" t="inlineStr">
        <is>
          <t>글로우데이즈 시코르</t>
        </is>
      </c>
      <c r="G8518" s="94" t="inlineStr">
        <is>
          <t>클렌징폼=클렌징폼 120ml</t>
        </is>
      </c>
      <c r="H8518" s="7" t="n">
        <v>190801</v>
      </c>
      <c r="I8518" s="7" t="n">
        <v>190801</v>
      </c>
      <c r="J8518" s="94" t="n"/>
      <c r="K8518" s="94" t="n">
        <v>80</v>
      </c>
      <c r="L8518" s="7" t="n">
        <v>190801</v>
      </c>
      <c r="M8518" s="94">
        <f>VLOOKUP($Q8518,매칭테이블!$F:$I,2,0)*K8518</f>
        <v/>
      </c>
      <c r="N8518" s="94">
        <f>M8518-M8518*VLOOKUP($Q8518,매칭테이블!$F:$I,3,0)</f>
        <v/>
      </c>
      <c r="O8518" s="94">
        <f>VLOOKUP($Q8518,매칭테이블!$F:$I,4,0)*K8518</f>
        <v/>
      </c>
      <c r="P8518" s="148">
        <f>M8518/1.1</f>
        <v/>
      </c>
      <c r="Q8518" s="94">
        <f>F8518&amp;E8518&amp;G8518&amp;L8518</f>
        <v/>
      </c>
    </row>
    <row r="8519">
      <c r="A8519" s="94" t="n"/>
      <c r="B8519" s="128" t="n">
        <v>44062</v>
      </c>
      <c r="C8519" s="94">
        <f>TEXT(B8519,"aaa")</f>
        <v/>
      </c>
      <c r="D8519" s="94" t="n"/>
      <c r="E8519" s="94" t="inlineStr">
        <is>
          <t>마스크팩</t>
        </is>
      </c>
      <c r="F8519" s="5" t="inlineStr">
        <is>
          <t>글로우데이즈 시코르</t>
        </is>
      </c>
      <c r="G8519" s="94" t="inlineStr">
        <is>
          <t>마스크팩=마스크팩 10매</t>
        </is>
      </c>
      <c r="H8519" s="7" t="n">
        <v>190801</v>
      </c>
      <c r="I8519" s="7" t="n">
        <v>190801</v>
      </c>
      <c r="J8519" s="94" t="n"/>
      <c r="K8519" s="94" t="n">
        <v>70</v>
      </c>
      <c r="L8519" s="7" t="n">
        <v>190801</v>
      </c>
      <c r="M8519" s="94">
        <f>VLOOKUP($Q8519,매칭테이블!$F:$I,2,0)*K8519</f>
        <v/>
      </c>
      <c r="N8519" s="94">
        <f>M8519-M8519*VLOOKUP($Q8519,매칭테이블!$F:$I,3,0)</f>
        <v/>
      </c>
      <c r="O8519" s="94">
        <f>VLOOKUP($Q8519,매칭테이블!$F:$I,4,0)*K8519</f>
        <v/>
      </c>
      <c r="P8519" s="148">
        <f>M8519/1.1</f>
        <v/>
      </c>
      <c r="Q8519" s="94">
        <f>F8519&amp;E8519&amp;G8519&amp;L8519</f>
        <v/>
      </c>
    </row>
    <row r="8520">
      <c r="A8520" s="94" t="n"/>
      <c r="B8520" s="128" t="n">
        <v>44062</v>
      </c>
      <c r="C8520" s="94">
        <f>TEXT(B8520,"aaa")</f>
        <v/>
      </c>
      <c r="D8520" s="94" t="n"/>
      <c r="E8520" s="94" t="inlineStr">
        <is>
          <t>선크림</t>
        </is>
      </c>
      <c r="F8520" s="5" t="inlineStr">
        <is>
          <t>글로우데이즈 시코르</t>
        </is>
      </c>
      <c r="G8520" s="94" t="inlineStr">
        <is>
          <t>선크림=선크림 50ml</t>
        </is>
      </c>
      <c r="H8520" s="7" t="n">
        <v>190801</v>
      </c>
      <c r="I8520" s="7" t="n">
        <v>190801</v>
      </c>
      <c r="J8520" s="94" t="n"/>
      <c r="K8520" s="94" t="n">
        <v>90</v>
      </c>
      <c r="L8520" s="7" t="n">
        <v>190801</v>
      </c>
      <c r="M8520" s="94">
        <f>VLOOKUP($Q8520,매칭테이블!$F:$I,2,0)*K8520</f>
        <v/>
      </c>
      <c r="N8520" s="94">
        <f>M8520-M8520*VLOOKUP($Q8520,매칭테이블!$F:$I,3,0)</f>
        <v/>
      </c>
      <c r="O8520" s="94">
        <f>VLOOKUP($Q8520,매칭테이블!$F:$I,4,0)*K8520</f>
        <v/>
      </c>
      <c r="P8520" s="148">
        <f>M8520/1.1</f>
        <v/>
      </c>
      <c r="Q8520" s="94">
        <f>F8520&amp;E8520&amp;G8520&amp;L8520</f>
        <v/>
      </c>
    </row>
    <row r="8521">
      <c r="A8521" s="94" t="n"/>
      <c r="B8521" s="128" t="n">
        <v>44062</v>
      </c>
      <c r="C8521" s="94">
        <f>TEXT(B8521,"aaa")</f>
        <v/>
      </c>
      <c r="D8521" s="94" t="n"/>
      <c r="E8521" s="94" t="inlineStr">
        <is>
          <t>토너</t>
        </is>
      </c>
      <c r="F8521" s="5" t="inlineStr">
        <is>
          <t>스타일쉐어</t>
        </is>
      </c>
      <c r="G8521" s="94" t="inlineStr">
        <is>
          <t>250ml</t>
        </is>
      </c>
      <c r="H8521" s="7" t="n">
        <v>190801</v>
      </c>
      <c r="I8521" s="7" t="n">
        <v>190801</v>
      </c>
      <c r="J8521" s="94" t="n"/>
      <c r="K8521" s="94" t="n">
        <v>7</v>
      </c>
      <c r="L8521" s="7" t="n">
        <v>190801</v>
      </c>
      <c r="M8521" s="94">
        <f>VLOOKUP($Q8521,매칭테이블!$F:$I,2,0)*K8521</f>
        <v/>
      </c>
      <c r="N8521" s="94">
        <f>M8521-M8521*VLOOKUP($Q8521,매칭테이블!$F:$I,3,0)</f>
        <v/>
      </c>
      <c r="O8521" s="94">
        <f>VLOOKUP($Q8521,매칭테이블!$F:$I,4,0)*K8521</f>
        <v/>
      </c>
      <c r="P8521" s="148">
        <f>M8521/1.1</f>
        <v/>
      </c>
      <c r="Q8521" s="94">
        <f>F8521&amp;E8521&amp;G8521&amp;L8521</f>
        <v/>
      </c>
    </row>
    <row r="8522">
      <c r="A8522" s="94" t="n"/>
      <c r="B8522" s="128" t="n">
        <v>44062</v>
      </c>
      <c r="C8522" s="94">
        <f>TEXT(B8522,"aaa")</f>
        <v/>
      </c>
      <c r="D8522" s="94" t="n"/>
      <c r="E8522" s="94" t="inlineStr">
        <is>
          <t>선크림</t>
        </is>
      </c>
      <c r="F8522" s="5" t="inlineStr">
        <is>
          <t>카페24</t>
        </is>
      </c>
      <c r="G8522" s="94" t="inlineStr">
        <is>
          <t>선크림 50ml</t>
        </is>
      </c>
      <c r="H8522" s="7" t="n">
        <v>190801</v>
      </c>
      <c r="I8522" s="7" t="n">
        <v>190801</v>
      </c>
      <c r="J8522" s="94" t="n"/>
      <c r="K8522" s="94" t="n">
        <v>2</v>
      </c>
      <c r="L8522" s="7" t="n">
        <v>190801</v>
      </c>
      <c r="M8522" s="94">
        <f>VLOOKUP($Q8522,매칭테이블!$F:$I,2,0)*K8522</f>
        <v/>
      </c>
      <c r="N8522" s="94">
        <f>M8522-M8522*VLOOKUP($Q8522,매칭테이블!$F:$I,3,0)</f>
        <v/>
      </c>
      <c r="O8522" s="94">
        <f>VLOOKUP($Q8522,매칭테이블!$F:$I,4,0)*K8522</f>
        <v/>
      </c>
      <c r="P8522" s="148">
        <f>M8522/1.1</f>
        <v/>
      </c>
      <c r="Q8522" s="94">
        <f>F8522&amp;E8522&amp;G8522&amp;L8522</f>
        <v/>
      </c>
    </row>
    <row r="8523">
      <c r="A8523" s="94" t="n"/>
      <c r="B8523" s="128" t="n">
        <v>44062</v>
      </c>
      <c r="C8523" s="94">
        <f>TEXT(B8523,"aaa")</f>
        <v/>
      </c>
      <c r="D8523" s="94" t="n"/>
      <c r="E8523" s="94" t="inlineStr">
        <is>
          <t>선크림</t>
        </is>
      </c>
      <c r="F8523" s="5" t="inlineStr">
        <is>
          <t>카페24</t>
        </is>
      </c>
      <c r="G8523" s="94" t="inlineStr">
        <is>
          <t>선크림 50ml  2set</t>
        </is>
      </c>
      <c r="H8523" s="7" t="n">
        <v>190801</v>
      </c>
      <c r="I8523" s="7" t="n">
        <v>190801</v>
      </c>
      <c r="J8523" s="94" t="n"/>
      <c r="K8523" s="94" t="n">
        <v>3</v>
      </c>
      <c r="L8523" s="7" t="n">
        <v>190801</v>
      </c>
      <c r="M8523" s="94">
        <f>VLOOKUP($Q8523,매칭테이블!$F:$I,2,0)*K8523</f>
        <v/>
      </c>
      <c r="N8523" s="94">
        <f>M8523-M8523*VLOOKUP($Q8523,매칭테이블!$F:$I,3,0)</f>
        <v/>
      </c>
      <c r="O8523" s="94">
        <f>VLOOKUP($Q8523,매칭테이블!$F:$I,4,0)*K8523</f>
        <v/>
      </c>
      <c r="P8523" s="148">
        <f>M8523/1.1</f>
        <v/>
      </c>
      <c r="Q8523" s="94">
        <f>F8523&amp;E8523&amp;G8523&amp;L8523</f>
        <v/>
      </c>
    </row>
    <row r="8524">
      <c r="A8524" s="94" t="n"/>
      <c r="B8524" s="128" t="n">
        <v>44062</v>
      </c>
      <c r="C8524" s="94">
        <f>TEXT(B8524,"aaa")</f>
        <v/>
      </c>
      <c r="D8524" s="94" t="n"/>
      <c r="E8524" s="94" t="inlineStr">
        <is>
          <t>여름 한정 진정세트</t>
        </is>
      </c>
      <c r="F8524" s="5" t="inlineStr">
        <is>
          <t>카페24</t>
        </is>
      </c>
      <c r="G8524" s="94" t="inlineStr">
        <is>
          <t>여름 한정 진정세트</t>
        </is>
      </c>
      <c r="H8524" s="7" t="n">
        <v>190801</v>
      </c>
      <c r="I8524" s="7" t="n">
        <v>190801</v>
      </c>
      <c r="J8524" s="94" t="n"/>
      <c r="K8524" s="94" t="n">
        <v>2</v>
      </c>
      <c r="L8524" s="7" t="n">
        <v>190801</v>
      </c>
      <c r="M8524" s="94">
        <f>VLOOKUP($Q8524,매칭테이블!$F:$I,2,0)*K8524</f>
        <v/>
      </c>
      <c r="N8524" s="94">
        <f>M8524-M8524*VLOOKUP($Q8524,매칭테이블!$F:$I,3,0)</f>
        <v/>
      </c>
      <c r="O8524" s="94">
        <f>VLOOKUP($Q8524,매칭테이블!$F:$I,4,0)*K8524</f>
        <v/>
      </c>
      <c r="P8524" s="148">
        <f>M8524/1.1</f>
        <v/>
      </c>
      <c r="Q8524" s="94">
        <f>F8524&amp;E8524&amp;G8524&amp;L8524</f>
        <v/>
      </c>
    </row>
    <row r="8525">
      <c r="A8525" s="94" t="n"/>
      <c r="B8525" s="128" t="n">
        <v>44062</v>
      </c>
      <c r="C8525" s="94">
        <f>TEXT(B8525,"aaa")</f>
        <v/>
      </c>
      <c r="D8525" s="94" t="n"/>
      <c r="E8525" s="94" t="inlineStr">
        <is>
          <t>여름 한정 진정세트</t>
        </is>
      </c>
      <c r="F8525" s="5" t="inlineStr">
        <is>
          <t>카페24</t>
        </is>
      </c>
      <c r="G8525" s="94" t="inlineStr">
        <is>
          <t>여름 한정 진정세트 (대용량)</t>
        </is>
      </c>
      <c r="H8525" s="7" t="n">
        <v>190801</v>
      </c>
      <c r="I8525" s="7" t="n">
        <v>190801</v>
      </c>
      <c r="J8525" s="94" t="n"/>
      <c r="K8525" s="94" t="n">
        <v>1</v>
      </c>
      <c r="L8525" s="7" t="n">
        <v>190801</v>
      </c>
      <c r="M8525" s="94">
        <f>VLOOKUP($Q8525,매칭테이블!$F:$I,2,0)*K8525</f>
        <v/>
      </c>
      <c r="N8525" s="94">
        <f>M8525-M8525*VLOOKUP($Q8525,매칭테이블!$F:$I,3,0)</f>
        <v/>
      </c>
      <c r="O8525" s="94">
        <f>VLOOKUP($Q8525,매칭테이블!$F:$I,4,0)*K8525</f>
        <v/>
      </c>
      <c r="P8525" s="148">
        <f>M8525/1.1</f>
        <v/>
      </c>
      <c r="Q8525" s="94">
        <f>F8525&amp;E8525&amp;G8525&amp;L8525</f>
        <v/>
      </c>
    </row>
    <row r="8526">
      <c r="A8526" s="94" t="n"/>
      <c r="B8526" s="128" t="n">
        <v>44062</v>
      </c>
      <c r="C8526" s="94">
        <f>TEXT(B8526,"aaa")</f>
        <v/>
      </c>
      <c r="D8526" s="94" t="n"/>
      <c r="E8526" s="94" t="inlineStr">
        <is>
          <t>어성초진정패키지</t>
        </is>
      </c>
      <c r="F8526" s="5" t="inlineStr">
        <is>
          <t>카페24</t>
        </is>
      </c>
      <c r="G8526" s="94" t="inlineStr">
        <is>
          <t>어성초 진정패키지세트</t>
        </is>
      </c>
      <c r="H8526" s="7" t="n">
        <v>190801</v>
      </c>
      <c r="I8526" s="7" t="n">
        <v>190801</v>
      </c>
      <c r="J8526" s="94" t="n"/>
      <c r="K8526" s="94" t="n">
        <v>4</v>
      </c>
      <c r="L8526" s="7" t="n">
        <v>190801</v>
      </c>
      <c r="M8526" s="94">
        <f>VLOOKUP($Q8526,매칭테이블!$F:$I,2,0)*K8526</f>
        <v/>
      </c>
      <c r="N8526" s="94">
        <f>M8526-M8526*VLOOKUP($Q8526,매칭테이블!$F:$I,3,0)</f>
        <v/>
      </c>
      <c r="O8526" s="94">
        <f>VLOOKUP($Q8526,매칭테이블!$F:$I,4,0)*K8526</f>
        <v/>
      </c>
      <c r="P8526" s="148">
        <f>M8526/1.1</f>
        <v/>
      </c>
      <c r="Q8526" s="94">
        <f>F8526&amp;E8526&amp;G8526&amp;L8526</f>
        <v/>
      </c>
    </row>
    <row r="8527">
      <c r="A8527" s="94" t="n"/>
      <c r="B8527" s="128" t="n">
        <v>44062</v>
      </c>
      <c r="C8527" s="94">
        <f>TEXT(B8527,"aaa")</f>
        <v/>
      </c>
      <c r="D8527" s="94" t="n"/>
      <c r="E8527" s="94" t="inlineStr">
        <is>
          <t>머드크림마스크</t>
        </is>
      </c>
      <c r="F8527" s="5" t="inlineStr">
        <is>
          <t>카페24</t>
        </is>
      </c>
      <c r="G8527" s="94" t="inlineStr">
        <is>
          <t>머드크림마스크 100ml</t>
        </is>
      </c>
      <c r="H8527" s="7" t="n">
        <v>190801</v>
      </c>
      <c r="I8527" s="7" t="n">
        <v>190801</v>
      </c>
      <c r="J8527" s="94" t="n"/>
      <c r="K8527" s="94" t="n">
        <v>1</v>
      </c>
      <c r="L8527" s="7" t="n">
        <v>190801</v>
      </c>
      <c r="M8527" s="94">
        <f>VLOOKUP($Q8527,매칭테이블!$F:$I,2,0)*K8527</f>
        <v/>
      </c>
      <c r="N8527" s="94">
        <f>M8527-M8527*VLOOKUP($Q8527,매칭테이블!$F:$I,3,0)</f>
        <v/>
      </c>
      <c r="O8527" s="94">
        <f>VLOOKUP($Q8527,매칭테이블!$F:$I,4,0)*K8527</f>
        <v/>
      </c>
      <c r="P8527" s="148">
        <f>M8527/1.1</f>
        <v/>
      </c>
      <c r="Q8527" s="94">
        <f>F8527&amp;E8527&amp;G8527&amp;L8527</f>
        <v/>
      </c>
    </row>
    <row r="8528">
      <c r="A8528" s="94" t="n"/>
      <c r="B8528" s="128" t="n">
        <v>44062</v>
      </c>
      <c r="C8528" s="94">
        <f>TEXT(B8528,"aaa")</f>
        <v/>
      </c>
      <c r="D8528" s="94" t="n"/>
      <c r="E8528" s="94" t="inlineStr">
        <is>
          <t>마스크팩</t>
        </is>
      </c>
      <c r="F8528" s="5" t="inlineStr">
        <is>
          <t>카페24</t>
        </is>
      </c>
      <c r="G8528" s="94" t="inlineStr">
        <is>
          <t>마스크팩 1매</t>
        </is>
      </c>
      <c r="H8528" s="7" t="n">
        <v>190801</v>
      </c>
      <c r="I8528" s="7" t="n">
        <v>190801</v>
      </c>
      <c r="J8528" s="94" t="n"/>
      <c r="K8528" s="94" t="n">
        <v>1</v>
      </c>
      <c r="L8528" s="7" t="n">
        <v>190801</v>
      </c>
      <c r="M8528" s="94">
        <f>VLOOKUP($Q8528,매칭테이블!$F:$I,2,0)*K8528</f>
        <v/>
      </c>
      <c r="N8528" s="94">
        <f>M8528-M8528*VLOOKUP($Q8528,매칭테이블!$F:$I,3,0)</f>
        <v/>
      </c>
      <c r="O8528" s="94">
        <f>VLOOKUP($Q8528,매칭테이블!$F:$I,4,0)*K8528</f>
        <v/>
      </c>
      <c r="P8528" s="148">
        <f>M8528/1.1</f>
        <v/>
      </c>
      <c r="Q8528" s="94">
        <f>F8528&amp;E8528&amp;G8528&amp;L8528</f>
        <v/>
      </c>
    </row>
    <row r="8529">
      <c r="A8529" s="94" t="n"/>
      <c r="B8529" s="128" t="n">
        <v>44062</v>
      </c>
      <c r="C8529" s="94">
        <f>TEXT(B8529,"aaa")</f>
        <v/>
      </c>
      <c r="D8529" s="94" t="n"/>
      <c r="E8529" s="94" t="inlineStr">
        <is>
          <t>마스크팩</t>
        </is>
      </c>
      <c r="F8529" s="5" t="inlineStr">
        <is>
          <t>카페24</t>
        </is>
      </c>
      <c r="G8529" s="94" t="inlineStr">
        <is>
          <t>마스크팩 10매</t>
        </is>
      </c>
      <c r="H8529" s="7" t="n">
        <v>190801</v>
      </c>
      <c r="I8529" s="7" t="n">
        <v>190801</v>
      </c>
      <c r="J8529" s="94" t="n"/>
      <c r="K8529" s="94" t="n">
        <v>2</v>
      </c>
      <c r="L8529" s="7" t="n">
        <v>190801</v>
      </c>
      <c r="M8529" s="94">
        <f>VLOOKUP($Q8529,매칭테이블!$F:$I,2,0)*K8529</f>
        <v/>
      </c>
      <c r="N8529" s="94">
        <f>M8529-M8529*VLOOKUP($Q8529,매칭테이블!$F:$I,3,0)</f>
        <v/>
      </c>
      <c r="O8529" s="94">
        <f>VLOOKUP($Q8529,매칭테이블!$F:$I,4,0)*K8529</f>
        <v/>
      </c>
      <c r="P8529" s="148">
        <f>M8529/1.1</f>
        <v/>
      </c>
      <c r="Q8529" s="94">
        <f>F8529&amp;E8529&amp;G8529&amp;L8529</f>
        <v/>
      </c>
    </row>
    <row r="8530">
      <c r="A8530" s="94" t="n"/>
      <c r="B8530" s="128" t="n">
        <v>44062</v>
      </c>
      <c r="C8530" s="94">
        <f>TEXT(B8530,"aaa")</f>
        <v/>
      </c>
      <c r="D8530" s="94" t="n"/>
      <c r="E8530" s="94" t="inlineStr">
        <is>
          <t>토너</t>
        </is>
      </c>
      <c r="F8530" s="5" t="inlineStr">
        <is>
          <t>카페24</t>
        </is>
      </c>
      <c r="G8530" s="94" t="inlineStr">
        <is>
          <t>[재구매전용특가] 250ml</t>
        </is>
      </c>
      <c r="H8530" s="7" t="n">
        <v>190801</v>
      </c>
      <c r="I8530" s="7" t="n">
        <v>190801</v>
      </c>
      <c r="J8530" s="94" t="n"/>
      <c r="K8530" s="94" t="n">
        <v>3</v>
      </c>
      <c r="L8530" s="7" t="n">
        <v>190801</v>
      </c>
      <c r="M8530" s="94">
        <f>VLOOKUP($Q8530,매칭테이블!$F:$I,2,0)*K8530</f>
        <v/>
      </c>
      <c r="N8530" s="94">
        <f>M8530-M8530*VLOOKUP($Q8530,매칭테이블!$F:$I,3,0)</f>
        <v/>
      </c>
      <c r="O8530" s="94">
        <f>VLOOKUP($Q8530,매칭테이블!$F:$I,4,0)*K8530</f>
        <v/>
      </c>
      <c r="P8530" s="148">
        <f>M8530/1.1</f>
        <v/>
      </c>
      <c r="Q8530" s="94">
        <f>F8530&amp;E8530&amp;G8530&amp;L8530</f>
        <v/>
      </c>
    </row>
    <row r="8531">
      <c r="A8531" s="94" t="n"/>
      <c r="B8531" s="128" t="n">
        <v>44062</v>
      </c>
      <c r="C8531" s="94">
        <f>TEXT(B8531,"aaa")</f>
        <v/>
      </c>
      <c r="D8531" s="94" t="n"/>
      <c r="E8531" s="94" t="inlineStr">
        <is>
          <t>토너</t>
        </is>
      </c>
      <c r="F8531" s="5" t="inlineStr">
        <is>
          <t>카페24</t>
        </is>
      </c>
      <c r="G8531" s="94" t="inlineStr">
        <is>
          <t>[재구매전용특가] 250ml 2set</t>
        </is>
      </c>
      <c r="H8531" s="7" t="n">
        <v>190801</v>
      </c>
      <c r="I8531" s="7" t="n">
        <v>190801</v>
      </c>
      <c r="J8531" s="94" t="n"/>
      <c r="K8531" s="94" t="n">
        <v>6</v>
      </c>
      <c r="L8531" s="7" t="n">
        <v>190801</v>
      </c>
      <c r="M8531" s="94">
        <f>VLOOKUP($Q8531,매칭테이블!$F:$I,2,0)*K8531</f>
        <v/>
      </c>
      <c r="N8531" s="94">
        <f>M8531-M8531*VLOOKUP($Q8531,매칭테이블!$F:$I,3,0)</f>
        <v/>
      </c>
      <c r="O8531" s="94">
        <f>VLOOKUP($Q8531,매칭테이블!$F:$I,4,0)*K8531</f>
        <v/>
      </c>
      <c r="P8531" s="148">
        <f>M8531/1.1</f>
        <v/>
      </c>
      <c r="Q8531" s="94">
        <f>F8531&amp;E8531&amp;G8531&amp;L8531</f>
        <v/>
      </c>
    </row>
    <row r="8532">
      <c r="A8532" s="94" t="n"/>
      <c r="B8532" s="128" t="n">
        <v>44062</v>
      </c>
      <c r="C8532" s="94">
        <f>TEXT(B8532,"aaa")</f>
        <v/>
      </c>
      <c r="D8532" s="94" t="n"/>
      <c r="E8532" s="94" t="inlineStr">
        <is>
          <t>토너</t>
        </is>
      </c>
      <c r="F8532" s="5" t="inlineStr">
        <is>
          <t>카페24</t>
        </is>
      </c>
      <c r="G8532" s="94" t="inlineStr">
        <is>
          <t>250ml</t>
        </is>
      </c>
      <c r="H8532" s="7" t="n">
        <v>190801</v>
      </c>
      <c r="I8532" s="7" t="n">
        <v>190801</v>
      </c>
      <c r="J8532" s="94" t="n"/>
      <c r="K8532" s="94" t="n">
        <v>80</v>
      </c>
      <c r="L8532" s="7" t="n">
        <v>190801</v>
      </c>
      <c r="M8532" s="94">
        <f>VLOOKUP($Q8532,매칭테이블!$F:$I,2,0)*K8532</f>
        <v/>
      </c>
      <c r="N8532" s="94">
        <f>M8532-M8532*VLOOKUP($Q8532,매칭테이블!$F:$I,3,0)</f>
        <v/>
      </c>
      <c r="O8532" s="94">
        <f>VLOOKUP($Q8532,매칭테이블!$F:$I,4,0)*K8532</f>
        <v/>
      </c>
      <c r="P8532" s="148">
        <f>M8532/1.1</f>
        <v/>
      </c>
      <c r="Q8532" s="94">
        <f>F8532&amp;E8532&amp;G8532&amp;L8532</f>
        <v/>
      </c>
    </row>
    <row r="8533">
      <c r="A8533" s="94" t="n"/>
      <c r="B8533" s="128" t="n">
        <v>44062</v>
      </c>
      <c r="C8533" s="94">
        <f>TEXT(B8533,"aaa")</f>
        <v/>
      </c>
      <c r="D8533" s="94" t="n"/>
      <c r="E8533" s="94" t="inlineStr">
        <is>
          <t>토너</t>
        </is>
      </c>
      <c r="F8533" s="5" t="inlineStr">
        <is>
          <t>카페24</t>
        </is>
      </c>
      <c r="G8533" s="94" t="inlineStr">
        <is>
          <t>250ml 2set</t>
        </is>
      </c>
      <c r="H8533" s="7" t="n">
        <v>190801</v>
      </c>
      <c r="I8533" s="7" t="n">
        <v>190801</v>
      </c>
      <c r="J8533" s="94" t="n"/>
      <c r="K8533" s="94" t="n">
        <v>46</v>
      </c>
      <c r="L8533" s="7" t="n">
        <v>190801</v>
      </c>
      <c r="M8533" s="94">
        <f>VLOOKUP($Q8533,매칭테이블!$F:$I,2,0)*K8533</f>
        <v/>
      </c>
      <c r="N8533" s="94">
        <f>M8533-M8533*VLOOKUP($Q8533,매칭테이블!$F:$I,3,0)</f>
        <v/>
      </c>
      <c r="O8533" s="94">
        <f>VLOOKUP($Q8533,매칭테이블!$F:$I,4,0)*K8533</f>
        <v/>
      </c>
      <c r="P8533" s="148">
        <f>M8533/1.1</f>
        <v/>
      </c>
      <c r="Q8533" s="94">
        <f>F8533&amp;E8533&amp;G8533&amp;L8533</f>
        <v/>
      </c>
    </row>
    <row r="8534">
      <c r="A8534" s="94" t="n"/>
      <c r="B8534" s="128" t="n">
        <v>44062</v>
      </c>
      <c r="C8534" s="94">
        <f>TEXT(B8534,"aaa")</f>
        <v/>
      </c>
      <c r="D8534" s="94" t="n"/>
      <c r="E8534" s="94" t="inlineStr">
        <is>
          <t>토너</t>
        </is>
      </c>
      <c r="F8534" s="5" t="inlineStr">
        <is>
          <t>카페24</t>
        </is>
      </c>
      <c r="G8534" s="94" t="inlineStr">
        <is>
          <t>500ml</t>
        </is>
      </c>
      <c r="H8534" s="7" t="n">
        <v>190801</v>
      </c>
      <c r="I8534" s="7" t="n">
        <v>190801</v>
      </c>
      <c r="J8534" s="94" t="n"/>
      <c r="K8534" s="94" t="n">
        <v>70</v>
      </c>
      <c r="L8534" s="7" t="n">
        <v>190801</v>
      </c>
      <c r="M8534" s="94">
        <f>VLOOKUP($Q8534,매칭테이블!$F:$I,2,0)*K8534</f>
        <v/>
      </c>
      <c r="N8534" s="94">
        <f>M8534-M8534*VLOOKUP($Q8534,매칭테이블!$F:$I,3,0)</f>
        <v/>
      </c>
      <c r="O8534" s="94">
        <f>VLOOKUP($Q8534,매칭테이블!$F:$I,4,0)*K8534</f>
        <v/>
      </c>
      <c r="P8534" s="148">
        <f>M8534/1.1</f>
        <v/>
      </c>
      <c r="Q8534" s="94">
        <f>F8534&amp;E8534&amp;G8534&amp;L8534</f>
        <v/>
      </c>
    </row>
    <row r="8535">
      <c r="A8535" s="94" t="n"/>
      <c r="B8535" s="128" t="n">
        <v>44062</v>
      </c>
      <c r="C8535" s="94">
        <f>TEXT(B8535,"aaa")</f>
        <v/>
      </c>
      <c r="D8535" s="94" t="n"/>
      <c r="E8535" s="94" t="inlineStr">
        <is>
          <t>토너</t>
        </is>
      </c>
      <c r="F8535" s="5" t="inlineStr">
        <is>
          <t>카페24</t>
        </is>
      </c>
      <c r="G8535" s="94" t="inlineStr">
        <is>
          <t>스킨팩 화장솜 60P</t>
        </is>
      </c>
      <c r="H8535" s="7" t="n">
        <v>190801</v>
      </c>
      <c r="I8535" s="7" t="n">
        <v>190801</v>
      </c>
      <c r="J8535" s="94" t="n"/>
      <c r="K8535" s="94" t="n">
        <v>83</v>
      </c>
      <c r="L8535" s="7" t="n">
        <v>190801</v>
      </c>
      <c r="M8535" s="94">
        <f>VLOOKUP($Q8535,매칭테이블!$F:$I,2,0)*K8535</f>
        <v/>
      </c>
      <c r="N8535" s="94">
        <f>M8535-M8535*VLOOKUP($Q8535,매칭테이블!$F:$I,3,0)</f>
        <v/>
      </c>
      <c r="O8535" s="94">
        <f>VLOOKUP($Q8535,매칭테이블!$F:$I,4,0)*K8535</f>
        <v/>
      </c>
      <c r="P8535" s="148">
        <f>M8535/1.1</f>
        <v/>
      </c>
      <c r="Q8535" s="94">
        <f>F8535&amp;E8535&amp;G8535&amp;L8535</f>
        <v/>
      </c>
    </row>
    <row r="8536">
      <c r="A8536" s="94" t="n"/>
      <c r="B8536" s="128" t="n">
        <v>44062</v>
      </c>
      <c r="C8536" s="94">
        <f>TEXT(B8536,"aaa")</f>
        <v/>
      </c>
      <c r="D8536" s="94" t="n"/>
      <c r="E8536" s="94" t="inlineStr">
        <is>
          <t>앰플</t>
        </is>
      </c>
      <c r="F8536" s="5" t="inlineStr">
        <is>
          <t>카페24</t>
        </is>
      </c>
      <c r="G8536" s="94" t="inlineStr">
        <is>
          <t>앰플 30ml</t>
        </is>
      </c>
      <c r="H8536" s="7" t="n">
        <v>190801</v>
      </c>
      <c r="I8536" s="7" t="n">
        <v>190801</v>
      </c>
      <c r="J8536" s="94" t="n"/>
      <c r="K8536" s="94" t="n">
        <v>13</v>
      </c>
      <c r="L8536" s="7" t="n">
        <v>190801</v>
      </c>
      <c r="M8536" s="94">
        <f>VLOOKUP($Q8536,매칭테이블!$F:$I,2,0)*K8536</f>
        <v/>
      </c>
      <c r="N8536" s="94">
        <f>M8536-M8536*VLOOKUP($Q8536,매칭테이블!$F:$I,3,0)</f>
        <v/>
      </c>
      <c r="O8536" s="94">
        <f>VLOOKUP($Q8536,매칭테이블!$F:$I,4,0)*K8536</f>
        <v/>
      </c>
      <c r="P8536" s="148">
        <f>M8536/1.1</f>
        <v/>
      </c>
      <c r="Q8536" s="94">
        <f>F8536&amp;E8536&amp;G8536&amp;L8536</f>
        <v/>
      </c>
    </row>
    <row r="8537">
      <c r="A8537" s="94" t="n"/>
      <c r="B8537" s="128" t="n">
        <v>44062</v>
      </c>
      <c r="C8537" s="94">
        <f>TEXT(B8537,"aaa")</f>
        <v/>
      </c>
      <c r="D8537" s="94" t="n"/>
      <c r="E8537" s="94" t="inlineStr">
        <is>
          <t>앰플</t>
        </is>
      </c>
      <c r="F8537" s="5" t="inlineStr">
        <is>
          <t>카페24</t>
        </is>
      </c>
      <c r="G8537" s="94" t="inlineStr">
        <is>
          <t>앰플 30ml  2set</t>
        </is>
      </c>
      <c r="H8537" s="7" t="n">
        <v>190801</v>
      </c>
      <c r="I8537" s="7" t="n">
        <v>190801</v>
      </c>
      <c r="J8537" s="94" t="n"/>
      <c r="K8537" s="94" t="n">
        <v>3</v>
      </c>
      <c r="L8537" s="7" t="n">
        <v>190801</v>
      </c>
      <c r="M8537" s="94">
        <f>VLOOKUP($Q8537,매칭테이블!$F:$I,2,0)*K8537</f>
        <v/>
      </c>
      <c r="N8537" s="94">
        <f>M8537-M8537*VLOOKUP($Q8537,매칭테이블!$F:$I,3,0)</f>
        <v/>
      </c>
      <c r="O8537" s="94">
        <f>VLOOKUP($Q8537,매칭테이블!$F:$I,4,0)*K8537</f>
        <v/>
      </c>
      <c r="P8537" s="148">
        <f>M8537/1.1</f>
        <v/>
      </c>
      <c r="Q8537" s="94">
        <f>F8537&amp;E8537&amp;G8537&amp;L8537</f>
        <v/>
      </c>
    </row>
    <row r="8538">
      <c r="A8538" s="94" t="n"/>
      <c r="B8538" s="128" t="n">
        <v>44062</v>
      </c>
      <c r="C8538" s="94">
        <f>TEXT(B8538,"aaa")</f>
        <v/>
      </c>
      <c r="D8538" s="94" t="n"/>
      <c r="E8538" s="94" t="inlineStr">
        <is>
          <t>수딩크림</t>
        </is>
      </c>
      <c r="F8538" s="5" t="inlineStr">
        <is>
          <t>카페24</t>
        </is>
      </c>
      <c r="G8538" s="94" t="inlineStr">
        <is>
          <t>수딩크림 100ml</t>
        </is>
      </c>
      <c r="H8538" s="7" t="n">
        <v>190801</v>
      </c>
      <c r="I8538" s="7" t="n">
        <v>190801</v>
      </c>
      <c r="J8538" s="94" t="n"/>
      <c r="K8538" s="94" t="n">
        <v>6</v>
      </c>
      <c r="L8538" s="7" t="n">
        <v>190801</v>
      </c>
      <c r="M8538" s="94">
        <f>VLOOKUP($Q8538,매칭테이블!$F:$I,2,0)*K8538</f>
        <v/>
      </c>
      <c r="N8538" s="94">
        <f>M8538-M8538*VLOOKUP($Q8538,매칭테이블!$F:$I,3,0)</f>
        <v/>
      </c>
      <c r="O8538" s="94">
        <f>VLOOKUP($Q8538,매칭테이블!$F:$I,4,0)*K8538</f>
        <v/>
      </c>
      <c r="P8538" s="148">
        <f>M8538/1.1</f>
        <v/>
      </c>
      <c r="Q8538" s="94">
        <f>F8538&amp;E8538&amp;G8538&amp;L8538</f>
        <v/>
      </c>
    </row>
    <row r="8539">
      <c r="A8539" s="94" t="n"/>
      <c r="B8539" s="128" t="n">
        <v>44062</v>
      </c>
      <c r="C8539" s="94">
        <f>TEXT(B8539,"aaa")</f>
        <v/>
      </c>
      <c r="D8539" s="94" t="n"/>
      <c r="E8539" s="94" t="inlineStr">
        <is>
          <t>클렌징폼</t>
        </is>
      </c>
      <c r="F8539" s="5" t="inlineStr">
        <is>
          <t>카페24</t>
        </is>
      </c>
      <c r="G8539" s="94" t="inlineStr">
        <is>
          <t>클렌징폼 120ml</t>
        </is>
      </c>
      <c r="H8539" s="7" t="n">
        <v>190801</v>
      </c>
      <c r="I8539" s="7" t="n">
        <v>190801</v>
      </c>
      <c r="J8539" s="94" t="n"/>
      <c r="K8539" s="94" t="n">
        <v>6</v>
      </c>
      <c r="L8539" s="7" t="n">
        <v>190801</v>
      </c>
      <c r="M8539" s="94">
        <f>VLOOKUP($Q8539,매칭테이블!$F:$I,2,0)*K8539</f>
        <v/>
      </c>
      <c r="N8539" s="94">
        <f>M8539-M8539*VLOOKUP($Q8539,매칭테이블!$F:$I,3,0)</f>
        <v/>
      </c>
      <c r="O8539" s="94">
        <f>VLOOKUP($Q8539,매칭테이블!$F:$I,4,0)*K8539</f>
        <v/>
      </c>
      <c r="P8539" s="148">
        <f>M8539/1.1</f>
        <v/>
      </c>
      <c r="Q8539" s="94">
        <f>F8539&amp;E8539&amp;G8539&amp;L8539</f>
        <v/>
      </c>
    </row>
    <row r="8540">
      <c r="A8540" s="94" t="n"/>
      <c r="B8540" s="128" t="n">
        <v>44062</v>
      </c>
      <c r="C8540" s="94">
        <f>TEXT(B8540,"aaa")</f>
        <v/>
      </c>
      <c r="D8540" s="94" t="n"/>
      <c r="E8540" s="94" t="inlineStr">
        <is>
          <t>클렌징폼</t>
        </is>
      </c>
      <c r="F8540" s="5" t="inlineStr">
        <is>
          <t>카페24</t>
        </is>
      </c>
      <c r="G8540" s="94" t="inlineStr">
        <is>
          <t>클렌징폼 120ml 2set</t>
        </is>
      </c>
      <c r="H8540" s="7" t="n">
        <v>190801</v>
      </c>
      <c r="I8540" s="7" t="n">
        <v>190801</v>
      </c>
      <c r="J8540" s="94" t="n"/>
      <c r="K8540" s="94" t="n">
        <v>1</v>
      </c>
      <c r="L8540" s="7" t="n">
        <v>190801</v>
      </c>
      <c r="M8540" s="94">
        <f>VLOOKUP($Q8540,매칭테이블!$F:$I,2,0)*K8540</f>
        <v/>
      </c>
      <c r="N8540" s="94">
        <f>M8540-M8540*VLOOKUP($Q8540,매칭테이블!$F:$I,3,0)</f>
        <v/>
      </c>
      <c r="O8540" s="94">
        <f>VLOOKUP($Q8540,매칭테이블!$F:$I,4,0)*K8540</f>
        <v/>
      </c>
      <c r="P8540" s="148">
        <f>M8540/1.1</f>
        <v/>
      </c>
      <c r="Q8540" s="94">
        <f>F8540&amp;E8540&amp;G8540&amp;L8540</f>
        <v/>
      </c>
    </row>
    <row r="8541">
      <c r="A8541" s="94" t="n"/>
      <c r="B8541" s="128" t="n">
        <v>44062</v>
      </c>
      <c r="C8541" s="94">
        <f>TEXT(B8541,"aaa")</f>
        <v/>
      </c>
      <c r="D8541" s="94" t="n"/>
      <c r="E8541" s="94" t="inlineStr">
        <is>
          <t>클렌징폼</t>
        </is>
      </c>
      <c r="F8541" s="5" t="inlineStr">
        <is>
          <t>카페24</t>
        </is>
      </c>
      <c r="G8541" s="94" t="inlineStr">
        <is>
          <t>클렌징폼 120ml 3set</t>
        </is>
      </c>
      <c r="H8541" s="7" t="n">
        <v>190801</v>
      </c>
      <c r="I8541" s="7" t="n">
        <v>190801</v>
      </c>
      <c r="J8541" s="94" t="n"/>
      <c r="K8541" s="94" t="n">
        <v>1</v>
      </c>
      <c r="L8541" s="7" t="n">
        <v>190801</v>
      </c>
      <c r="M8541" s="94">
        <f>VLOOKUP($Q8541,매칭테이블!$F:$I,2,0)*K8541</f>
        <v/>
      </c>
      <c r="N8541" s="94">
        <f>M8541-M8541*VLOOKUP($Q8541,매칭테이블!$F:$I,3,0)</f>
        <v/>
      </c>
      <c r="O8541" s="94">
        <f>VLOOKUP($Q8541,매칭테이블!$F:$I,4,0)*K8541</f>
        <v/>
      </c>
      <c r="P8541" s="148">
        <f>M8541/1.1</f>
        <v/>
      </c>
      <c r="Q8541" s="94">
        <f>F8541&amp;E8541&amp;G8541&amp;L8541</f>
        <v/>
      </c>
    </row>
    <row r="8542">
      <c r="A8542" s="94" t="n"/>
      <c r="B8542" s="128" t="n">
        <v>44062</v>
      </c>
      <c r="C8542" s="94">
        <f>TEXT(B8542,"aaa")</f>
        <v/>
      </c>
      <c r="D8542" s="94" t="n"/>
      <c r="E8542" s="94" t="inlineStr">
        <is>
          <t>토너</t>
        </is>
      </c>
      <c r="F8542" s="5" t="inlineStr">
        <is>
          <t>아누아 CS</t>
        </is>
      </c>
      <c r="G8542" s="94" t="inlineStr">
        <is>
          <t>250ml</t>
        </is>
      </c>
      <c r="H8542" s="7" t="n">
        <v>190801</v>
      </c>
      <c r="I8542" s="7" t="n">
        <v>190801</v>
      </c>
      <c r="J8542" s="94" t="n"/>
      <c r="K8542" s="94" t="n">
        <v>4</v>
      </c>
      <c r="L8542" s="7" t="n">
        <v>190801</v>
      </c>
      <c r="M8542" s="94">
        <f>VLOOKUP($Q8542,매칭테이블!$F:$I,2,0)*K8542</f>
        <v/>
      </c>
      <c r="N8542" s="94">
        <f>M8542-M8542*VLOOKUP($Q8542,매칭테이블!$F:$I,3,0)</f>
        <v/>
      </c>
      <c r="O8542" s="94">
        <f>VLOOKUP($Q8542,매칭테이블!$F:$I,4,0)*K8542</f>
        <v/>
      </c>
      <c r="P8542" s="148">
        <f>M8542/1.1</f>
        <v/>
      </c>
      <c r="Q8542" s="94">
        <f>F8542&amp;E8542&amp;G8542&amp;L8542</f>
        <v/>
      </c>
    </row>
    <row r="8543">
      <c r="A8543" s="94" t="n"/>
      <c r="B8543" s="128" t="n">
        <v>44062</v>
      </c>
      <c r="C8543" s="94">
        <f>TEXT(B8543,"aaa")</f>
        <v/>
      </c>
      <c r="D8543" s="94" t="n"/>
      <c r="E8543" s="94" t="inlineStr">
        <is>
          <t>화장솜</t>
        </is>
      </c>
      <c r="F8543" s="5" t="inlineStr">
        <is>
          <t>아누아 CS</t>
        </is>
      </c>
      <c r="G8543" s="94" t="inlineStr">
        <is>
          <t>스킨팩 화장솜 60P</t>
        </is>
      </c>
      <c r="H8543" s="7" t="n">
        <v>190801</v>
      </c>
      <c r="I8543" s="7" t="n">
        <v>190801</v>
      </c>
      <c r="J8543" s="94" t="n"/>
      <c r="K8543" s="94" t="n">
        <v>1</v>
      </c>
      <c r="L8543" s="7" t="n">
        <v>190801</v>
      </c>
      <c r="M8543" s="94">
        <f>VLOOKUP($Q8543,매칭테이블!$F:$I,2,0)*K8543</f>
        <v/>
      </c>
      <c r="N8543" s="94">
        <f>M8543-M8543*VLOOKUP($Q8543,매칭테이블!$F:$I,3,0)</f>
        <v/>
      </c>
      <c r="O8543" s="94">
        <f>VLOOKUP($Q8543,매칭테이블!$F:$I,4,0)*K8543</f>
        <v/>
      </c>
      <c r="P8543" s="148">
        <f>M8543/1.1</f>
        <v/>
      </c>
      <c r="Q8543" s="94">
        <f>F8543&amp;E8543&amp;G8543&amp;L8543</f>
        <v/>
      </c>
    </row>
    <row r="8544">
      <c r="A8544" s="94" t="n"/>
      <c r="B8544" s="128" t="n">
        <v>44062</v>
      </c>
      <c r="C8544" s="94">
        <f>TEXT(B8544,"aaa")</f>
        <v/>
      </c>
      <c r="D8544" s="94" t="n"/>
      <c r="E8544" s="94" t="inlineStr">
        <is>
          <t>앰플</t>
        </is>
      </c>
      <c r="F8544" s="5" t="inlineStr">
        <is>
          <t>아누아 CS</t>
        </is>
      </c>
      <c r="G8544" s="94" t="inlineStr">
        <is>
          <t>앰플 30ml</t>
        </is>
      </c>
      <c r="H8544" s="7" t="n">
        <v>190801</v>
      </c>
      <c r="I8544" s="7" t="n">
        <v>190801</v>
      </c>
      <c r="J8544" s="94" t="n"/>
      <c r="K8544" s="94" t="n">
        <v>1</v>
      </c>
      <c r="L8544" s="7" t="n">
        <v>190801</v>
      </c>
      <c r="M8544" s="94">
        <f>VLOOKUP($Q8544,매칭테이블!$F:$I,2,0)*K8544</f>
        <v/>
      </c>
      <c r="N8544" s="94">
        <f>M8544-M8544*VLOOKUP($Q8544,매칭테이블!$F:$I,3,0)</f>
        <v/>
      </c>
      <c r="O8544" s="94">
        <f>VLOOKUP($Q8544,매칭테이블!$F:$I,4,0)*K8544</f>
        <v/>
      </c>
      <c r="P8544" s="148">
        <f>M8544/1.1</f>
        <v/>
      </c>
      <c r="Q8544" s="94">
        <f>F8544&amp;E8544&amp;G8544&amp;L8544</f>
        <v/>
      </c>
    </row>
    <row r="8545">
      <c r="A8545" s="94" t="n"/>
      <c r="B8545" s="128" t="n">
        <v>44062</v>
      </c>
      <c r="C8545" s="94">
        <f>TEXT(B8545,"aaa")</f>
        <v/>
      </c>
      <c r="D8545" s="94" t="n"/>
      <c r="E8545" s="94" t="inlineStr">
        <is>
          <t>마스크팩</t>
        </is>
      </c>
      <c r="F8545" s="5" t="inlineStr">
        <is>
          <t>아누아 CS</t>
        </is>
      </c>
      <c r="G8545" s="94" t="inlineStr">
        <is>
          <t>마스크팩 10매</t>
        </is>
      </c>
      <c r="H8545" s="7" t="n">
        <v>190801</v>
      </c>
      <c r="I8545" s="7" t="n">
        <v>190801</v>
      </c>
      <c r="J8545" s="94" t="n"/>
      <c r="K8545" s="94" t="n">
        <v>1</v>
      </c>
      <c r="L8545" s="7" t="n">
        <v>190801</v>
      </c>
      <c r="M8545" s="94">
        <f>VLOOKUP($Q8545,매칭테이블!$F:$I,2,0)*K8545</f>
        <v/>
      </c>
      <c r="N8545" s="94">
        <f>M8545-M8545*VLOOKUP($Q8545,매칭테이블!$F:$I,3,0)</f>
        <v/>
      </c>
      <c r="O8545" s="94">
        <f>VLOOKUP($Q8545,매칭테이블!$F:$I,4,0)*K8545</f>
        <v/>
      </c>
      <c r="P8545" s="148">
        <f>M8545/1.1</f>
        <v/>
      </c>
      <c r="Q8545" s="94">
        <f>F8545&amp;E8545&amp;G8545&amp;L8545</f>
        <v/>
      </c>
    </row>
    <row r="8546">
      <c r="A8546" s="94" t="n"/>
      <c r="B8546" s="128" t="n">
        <v>44062</v>
      </c>
      <c r="C8546" s="94">
        <f>TEXT(B8546,"aaa")</f>
        <v/>
      </c>
      <c r="D8546" s="94" t="n"/>
      <c r="E8546" s="94" t="inlineStr">
        <is>
          <t>선크림</t>
        </is>
      </c>
      <c r="F8546" s="5" t="inlineStr">
        <is>
          <t>아누아 CS</t>
        </is>
      </c>
      <c r="G8546" s="94" t="inlineStr">
        <is>
          <t>선크림 50ml</t>
        </is>
      </c>
      <c r="H8546" s="7" t="n">
        <v>190801</v>
      </c>
      <c r="I8546" s="7" t="n">
        <v>190801</v>
      </c>
      <c r="J8546" s="94" t="n"/>
      <c r="K8546" s="94" t="n">
        <v>1</v>
      </c>
      <c r="L8546" s="7" t="n">
        <v>190801</v>
      </c>
      <c r="M8546" s="94">
        <f>VLOOKUP($Q8546,매칭테이블!$F:$I,2,0)*K8546</f>
        <v/>
      </c>
      <c r="N8546" s="94">
        <f>M8546-M8546*VLOOKUP($Q8546,매칭테이블!$F:$I,3,0)</f>
        <v/>
      </c>
      <c r="O8546" s="94">
        <f>VLOOKUP($Q8546,매칭테이블!$F:$I,4,0)*K8546</f>
        <v/>
      </c>
      <c r="P8546" s="148">
        <f>M8546/1.1</f>
        <v/>
      </c>
      <c r="Q8546" s="94">
        <f>F8546&amp;E8546&amp;G8546&amp;L8546</f>
        <v/>
      </c>
    </row>
    <row r="8547">
      <c r="A8547" s="94" t="n"/>
      <c r="B8547" s="128" t="n">
        <v>44062</v>
      </c>
      <c r="C8547" s="94">
        <f>TEXT(B8547,"aaa")</f>
        <v/>
      </c>
      <c r="D8547" s="94" t="n"/>
      <c r="E8547" s="94" t="inlineStr">
        <is>
          <t>토너</t>
        </is>
      </c>
      <c r="F8547" s="5" t="inlineStr">
        <is>
          <t>큐텐재팬</t>
        </is>
      </c>
      <c r="G8547" s="94" t="inlineStr">
        <is>
          <t>200726=250ml</t>
        </is>
      </c>
      <c r="H8547" s="7" t="n">
        <v>190801</v>
      </c>
      <c r="I8547" s="7" t="n">
        <v>190801</v>
      </c>
      <c r="J8547" s="94" t="n"/>
      <c r="K8547" s="94" t="n">
        <v>36</v>
      </c>
      <c r="L8547" s="7" t="n">
        <v>190801</v>
      </c>
      <c r="M8547" s="94">
        <f>VLOOKUP($Q8547,매칭테이블!$F:$I,2,0)*K8547</f>
        <v/>
      </c>
      <c r="N8547" s="94">
        <f>M8547-M8547*VLOOKUP($Q8547,매칭테이블!$F:$I,3,0)</f>
        <v/>
      </c>
      <c r="O8547" s="94">
        <f>VLOOKUP($Q8547,매칭테이블!$F:$I,4,0)*K8547</f>
        <v/>
      </c>
      <c r="P8547" s="148">
        <f>M8547/1.1</f>
        <v/>
      </c>
      <c r="Q8547" s="94">
        <f>F8547&amp;E8547&amp;G8547&amp;L8547</f>
        <v/>
      </c>
    </row>
    <row r="8548">
      <c r="A8548" s="94" t="n"/>
      <c r="B8548" s="128" t="n">
        <v>44062</v>
      </c>
      <c r="C8548" s="94">
        <f>TEXT(B8548,"aaa")</f>
        <v/>
      </c>
      <c r="D8548" s="94" t="n"/>
      <c r="E8548" s="94" t="inlineStr">
        <is>
          <t>수딩크림</t>
        </is>
      </c>
      <c r="F8548" s="5" t="inlineStr">
        <is>
          <t>큐텐재팬</t>
        </is>
      </c>
      <c r="G8548" s="94" t="inlineStr">
        <is>
          <t>200726=수딩크림 100ml</t>
        </is>
      </c>
      <c r="H8548" s="7" t="n">
        <v>190801</v>
      </c>
      <c r="I8548" s="7" t="n">
        <v>190801</v>
      </c>
      <c r="J8548" s="94" t="n"/>
      <c r="K8548" s="94" t="n">
        <v>1</v>
      </c>
      <c r="L8548" s="7" t="n">
        <v>190801</v>
      </c>
      <c r="M8548" s="94">
        <f>VLOOKUP($Q8548,매칭테이블!$F:$I,2,0)*K8548</f>
        <v/>
      </c>
      <c r="N8548" s="94">
        <f>M8548-M8548*VLOOKUP($Q8548,매칭테이블!$F:$I,3,0)</f>
        <v/>
      </c>
      <c r="O8548" s="94">
        <f>VLOOKUP($Q8548,매칭테이블!$F:$I,4,0)*K8548</f>
        <v/>
      </c>
      <c r="P8548" s="148">
        <f>M8548/1.1</f>
        <v/>
      </c>
      <c r="Q8548" s="94">
        <f>F8548&amp;E8548&amp;G8548&amp;L8548</f>
        <v/>
      </c>
    </row>
    <row r="8549">
      <c r="A8549" s="94" t="n"/>
      <c r="B8549" s="128" t="n">
        <v>44062</v>
      </c>
      <c r="C8549" s="94">
        <f>TEXT(B8549,"aaa")</f>
        <v/>
      </c>
      <c r="D8549" s="94" t="n"/>
      <c r="E8549" s="94" t="inlineStr">
        <is>
          <t>토너</t>
        </is>
      </c>
      <c r="F8549" s="5" t="inlineStr">
        <is>
          <t>큐텐재팬</t>
        </is>
      </c>
      <c r="G8549" s="94" t="inlineStr">
        <is>
          <t>200726=250ml 2set</t>
        </is>
      </c>
      <c r="H8549" s="7" t="n">
        <v>190801</v>
      </c>
      <c r="I8549" s="7" t="n">
        <v>190801</v>
      </c>
      <c r="J8549" s="94" t="n"/>
      <c r="K8549" s="94" t="n">
        <v>17</v>
      </c>
      <c r="L8549" s="7" t="n">
        <v>190801</v>
      </c>
      <c r="M8549" s="94">
        <f>VLOOKUP($Q8549,매칭테이블!$F:$I,2,0)*K8549</f>
        <v/>
      </c>
      <c r="N8549" s="94">
        <f>M8549-M8549*VLOOKUP($Q8549,매칭테이블!$F:$I,3,0)</f>
        <v/>
      </c>
      <c r="O8549" s="94">
        <f>VLOOKUP($Q8549,매칭테이블!$F:$I,4,0)*K8549</f>
        <v/>
      </c>
      <c r="P8549" s="148">
        <f>M8549/1.1</f>
        <v/>
      </c>
      <c r="Q8549" s="94">
        <f>F8549&amp;E8549&amp;G8549&amp;L8549</f>
        <v/>
      </c>
    </row>
    <row r="8550">
      <c r="A8550" s="94" t="n"/>
      <c r="B8550" s="128" t="n">
        <v>44062</v>
      </c>
      <c r="C8550" s="94">
        <f>TEXT(B8550,"aaa")</f>
        <v/>
      </c>
      <c r="D8550" s="94" t="n"/>
      <c r="E8550" s="94" t="inlineStr">
        <is>
          <t>토너</t>
        </is>
      </c>
      <c r="F8550" s="5" t="inlineStr">
        <is>
          <t>쇼피필리핀</t>
        </is>
      </c>
      <c r="G8550" s="94" t="inlineStr">
        <is>
          <t>200820=250ml</t>
        </is>
      </c>
      <c r="H8550" s="7" t="n">
        <v>190801</v>
      </c>
      <c r="I8550" s="7" t="n">
        <v>190801</v>
      </c>
      <c r="J8550" s="94" t="n"/>
      <c r="K8550" s="94" t="n">
        <v>1</v>
      </c>
      <c r="L8550" s="7" t="n">
        <v>190801</v>
      </c>
      <c r="M8550" s="94">
        <f>VLOOKUP($Q8550,매칭테이블!$F:$I,2,0)*K8550</f>
        <v/>
      </c>
      <c r="N8550" s="94">
        <f>M8550-M8550*VLOOKUP($Q8550,매칭테이블!$F:$I,3,0)</f>
        <v/>
      </c>
      <c r="O8550" s="94">
        <f>VLOOKUP($Q8550,매칭테이블!$F:$I,4,0)*K8550</f>
        <v/>
      </c>
      <c r="P8550" s="148">
        <f>M8550/1.1</f>
        <v/>
      </c>
      <c r="Q8550" s="94">
        <f>F8550&amp;E8550&amp;G8550&amp;L8550</f>
        <v/>
      </c>
    </row>
    <row r="8551">
      <c r="A8551" s="94" t="n"/>
      <c r="B8551" s="128" t="n">
        <v>44062</v>
      </c>
      <c r="C8551" s="94">
        <f>TEXT(B8551,"aaa")</f>
        <v/>
      </c>
      <c r="D8551" s="94" t="n"/>
      <c r="E8551" s="94" t="inlineStr">
        <is>
          <t>토너</t>
        </is>
      </c>
      <c r="F8551" s="5" t="inlineStr">
        <is>
          <t>쇼피말레이시아</t>
        </is>
      </c>
      <c r="G8551" s="94" t="inlineStr">
        <is>
          <t>200820=250ml</t>
        </is>
      </c>
      <c r="H8551" s="7" t="n">
        <v>190801</v>
      </c>
      <c r="I8551" s="7" t="n">
        <v>190801</v>
      </c>
      <c r="J8551" s="94" t="n"/>
      <c r="K8551" s="94" t="n">
        <v>1</v>
      </c>
      <c r="L8551" s="7" t="n">
        <v>190801</v>
      </c>
      <c r="M8551" s="94">
        <f>VLOOKUP($Q8551,매칭테이블!$F:$I,2,0)*K8551</f>
        <v/>
      </c>
      <c r="N8551" s="94">
        <f>M8551-M8551*VLOOKUP($Q8551,매칭테이블!$F:$I,3,0)</f>
        <v/>
      </c>
      <c r="O8551" s="94">
        <f>VLOOKUP($Q8551,매칭테이블!$F:$I,4,0)*K8551</f>
        <v/>
      </c>
      <c r="P8551" s="148">
        <f>M8551/1.1</f>
        <v/>
      </c>
      <c r="Q8551" s="94">
        <f>F8551&amp;E8551&amp;G8551&amp;L8551</f>
        <v/>
      </c>
    </row>
    <row r="8552" customFormat="1" s="94">
      <c r="B8552" s="128" t="n">
        <v>44063</v>
      </c>
      <c r="C8552" s="94">
        <f>TEXT(B8552,"aaa")</f>
        <v/>
      </c>
      <c r="E8552" s="94" t="inlineStr">
        <is>
          <t>토너</t>
        </is>
      </c>
      <c r="F8552" s="5" t="inlineStr">
        <is>
          <t>라자다싱가폴</t>
        </is>
      </c>
      <c r="G8552" s="94" t="inlineStr">
        <is>
          <t>200821=250ml</t>
        </is>
      </c>
      <c r="H8552" s="7" t="n">
        <v>190801</v>
      </c>
      <c r="I8552" s="7" t="n">
        <v>190801</v>
      </c>
      <c r="K8552" s="94" t="n">
        <v>1</v>
      </c>
      <c r="L8552" s="7" t="n">
        <v>190801</v>
      </c>
      <c r="M8552" s="94">
        <f>VLOOKUP($Q8552,매칭테이블!$F:$I,2,0)*K8552</f>
        <v/>
      </c>
      <c r="N8552" s="94">
        <f>M8552-M8552*VLOOKUP($Q8552,매칭테이블!$F:$I,3,0)</f>
        <v/>
      </c>
      <c r="O8552" s="94">
        <f>VLOOKUP($Q8552,매칭테이블!$F:$I,4,0)*K8552</f>
        <v/>
      </c>
      <c r="P8552" s="148">
        <f>M8552/1.1</f>
        <v/>
      </c>
      <c r="Q8552" s="94">
        <f>F8552&amp;E8552&amp;G8552&amp;L8552</f>
        <v/>
      </c>
    </row>
    <row r="8553" customFormat="1" s="94">
      <c r="B8553" s="128" t="n">
        <v>44063</v>
      </c>
      <c r="C8553" s="94">
        <f>TEXT(B8553,"aaa")</f>
        <v/>
      </c>
      <c r="E8553" s="94" t="inlineStr">
        <is>
          <t>토너</t>
        </is>
      </c>
      <c r="F8553" s="5" t="inlineStr">
        <is>
          <t>스타일쉐어</t>
        </is>
      </c>
      <c r="G8553" s="94" t="inlineStr">
        <is>
          <t>250ml</t>
        </is>
      </c>
      <c r="H8553" s="7" t="n">
        <v>190801</v>
      </c>
      <c r="I8553" s="7" t="n">
        <v>190801</v>
      </c>
      <c r="K8553" s="94" t="n">
        <v>7</v>
      </c>
      <c r="L8553" s="7" t="n">
        <v>190801</v>
      </c>
      <c r="M8553" s="94">
        <f>VLOOKUP($Q8553,매칭테이블!$F:$I,2,0)*K8553</f>
        <v/>
      </c>
      <c r="N8553" s="94">
        <f>M8553-M8553*VLOOKUP($Q8553,매칭테이블!$F:$I,3,0)</f>
        <v/>
      </c>
      <c r="O8553" s="94">
        <f>VLOOKUP($Q8553,매칭테이블!$F:$I,4,0)*K8553</f>
        <v/>
      </c>
      <c r="P8553" s="148">
        <f>M8553/1.1</f>
        <v/>
      </c>
      <c r="Q8553" s="94">
        <f>F8553&amp;E8553&amp;G8553&amp;L8553</f>
        <v/>
      </c>
    </row>
    <row r="8554" customFormat="1" s="94">
      <c r="B8554" s="128" t="n">
        <v>44063</v>
      </c>
      <c r="C8554" s="94">
        <f>TEXT(B8554,"aaa")</f>
        <v/>
      </c>
      <c r="E8554" s="94" t="inlineStr">
        <is>
          <t>선크림</t>
        </is>
      </c>
      <c r="F8554" s="5" t="inlineStr">
        <is>
          <t>카페24</t>
        </is>
      </c>
      <c r="G8554" s="94" t="inlineStr">
        <is>
          <t>선크림 50ml</t>
        </is>
      </c>
      <c r="H8554" s="7" t="n">
        <v>190801</v>
      </c>
      <c r="I8554" s="7" t="n">
        <v>190801</v>
      </c>
      <c r="K8554" s="94" t="n">
        <v>2</v>
      </c>
      <c r="L8554" s="7" t="n">
        <v>190801</v>
      </c>
      <c r="M8554" s="94">
        <f>VLOOKUP($Q8554,매칭테이블!$F:$I,2,0)*K8554</f>
        <v/>
      </c>
      <c r="N8554" s="94">
        <f>M8554-M8554*VLOOKUP($Q8554,매칭테이블!$F:$I,3,0)</f>
        <v/>
      </c>
      <c r="O8554" s="94">
        <f>VLOOKUP($Q8554,매칭테이블!$F:$I,4,0)*K8554</f>
        <v/>
      </c>
      <c r="P8554" s="148">
        <f>M8554/1.1</f>
        <v/>
      </c>
      <c r="Q8554" s="94">
        <f>F8554&amp;E8554&amp;G8554&amp;L8554</f>
        <v/>
      </c>
    </row>
    <row r="8555" customFormat="1" s="94">
      <c r="B8555" s="128" t="n">
        <v>44063</v>
      </c>
      <c r="C8555" s="94">
        <f>TEXT(B8555,"aaa")</f>
        <v/>
      </c>
      <c r="E8555" s="94" t="inlineStr">
        <is>
          <t>여름 한정 진정세트</t>
        </is>
      </c>
      <c r="F8555" s="5" t="inlineStr">
        <is>
          <t>카페24</t>
        </is>
      </c>
      <c r="G8555" s="94" t="inlineStr">
        <is>
          <t>여름 한정 진정세트</t>
        </is>
      </c>
      <c r="H8555" s="7" t="n">
        <v>190801</v>
      </c>
      <c r="I8555" s="7" t="n">
        <v>190801</v>
      </c>
      <c r="K8555" s="94" t="n">
        <v>1</v>
      </c>
      <c r="L8555" s="7" t="n">
        <v>190801</v>
      </c>
      <c r="M8555" s="94">
        <f>VLOOKUP($Q8555,매칭테이블!$F:$I,2,0)*K8555</f>
        <v/>
      </c>
      <c r="N8555" s="94">
        <f>M8555-M8555*VLOOKUP($Q8555,매칭테이블!$F:$I,3,0)</f>
        <v/>
      </c>
      <c r="O8555" s="94">
        <f>VLOOKUP($Q8555,매칭테이블!$F:$I,4,0)*K8555</f>
        <v/>
      </c>
      <c r="P8555" s="148">
        <f>M8555/1.1</f>
        <v/>
      </c>
      <c r="Q8555" s="94">
        <f>F8555&amp;E8555&amp;G8555&amp;L8555</f>
        <v/>
      </c>
    </row>
    <row r="8556" customFormat="1" s="94">
      <c r="B8556" s="128" t="n">
        <v>44063</v>
      </c>
      <c r="C8556" s="94">
        <f>TEXT(B8556,"aaa")</f>
        <v/>
      </c>
      <c r="E8556" s="94" t="inlineStr">
        <is>
          <t>여름 한정 진정세트</t>
        </is>
      </c>
      <c r="F8556" s="5" t="inlineStr">
        <is>
          <t>카페24</t>
        </is>
      </c>
      <c r="G8556" s="94" t="inlineStr">
        <is>
          <t>여름 한정 진정세트 (대용량)</t>
        </is>
      </c>
      <c r="H8556" s="7" t="n">
        <v>190801</v>
      </c>
      <c r="I8556" s="7" t="n">
        <v>190801</v>
      </c>
      <c r="K8556" s="94" t="n">
        <v>3</v>
      </c>
      <c r="L8556" s="7" t="n">
        <v>190801</v>
      </c>
      <c r="M8556" s="94">
        <f>VLOOKUP($Q8556,매칭테이블!$F:$I,2,0)*K8556</f>
        <v/>
      </c>
      <c r="N8556" s="94">
        <f>M8556-M8556*VLOOKUP($Q8556,매칭테이블!$F:$I,3,0)</f>
        <v/>
      </c>
      <c r="O8556" s="94">
        <f>VLOOKUP($Q8556,매칭테이블!$F:$I,4,0)*K8556</f>
        <v/>
      </c>
      <c r="P8556" s="148">
        <f>M8556/1.1</f>
        <v/>
      </c>
      <c r="Q8556" s="94">
        <f>F8556&amp;E8556&amp;G8556&amp;L8556</f>
        <v/>
      </c>
    </row>
    <row r="8557" customFormat="1" s="94">
      <c r="B8557" s="128" t="n">
        <v>44063</v>
      </c>
      <c r="C8557" s="94">
        <f>TEXT(B8557,"aaa")</f>
        <v/>
      </c>
      <c r="E8557" s="94" t="inlineStr">
        <is>
          <t>어성초진정패키지</t>
        </is>
      </c>
      <c r="F8557" s="5" t="inlineStr">
        <is>
          <t>카페24</t>
        </is>
      </c>
      <c r="G8557" s="94" t="inlineStr">
        <is>
          <t>어성초 진정패키지세트</t>
        </is>
      </c>
      <c r="H8557" s="7" t="n">
        <v>190801</v>
      </c>
      <c r="I8557" s="7" t="n">
        <v>190801</v>
      </c>
      <c r="K8557" s="94" t="n">
        <v>4</v>
      </c>
      <c r="L8557" s="7" t="n">
        <v>190801</v>
      </c>
      <c r="M8557" s="94">
        <f>VLOOKUP($Q8557,매칭테이블!$F:$I,2,0)*K8557</f>
        <v/>
      </c>
      <c r="N8557" s="94">
        <f>M8557-M8557*VLOOKUP($Q8557,매칭테이블!$F:$I,3,0)</f>
        <v/>
      </c>
      <c r="O8557" s="94">
        <f>VLOOKUP($Q8557,매칭테이블!$F:$I,4,0)*K8557</f>
        <v/>
      </c>
      <c r="P8557" s="148">
        <f>M8557/1.1</f>
        <v/>
      </c>
      <c r="Q8557" s="94">
        <f>F8557&amp;E8557&amp;G8557&amp;L8557</f>
        <v/>
      </c>
    </row>
    <row r="8558" customFormat="1" s="94">
      <c r="B8558" s="128" t="n">
        <v>44063</v>
      </c>
      <c r="C8558" s="94">
        <f>TEXT(B8558,"aaa")</f>
        <v/>
      </c>
      <c r="E8558" s="94" t="inlineStr">
        <is>
          <t>머드크림마스크</t>
        </is>
      </c>
      <c r="F8558" s="5" t="inlineStr">
        <is>
          <t>카페24</t>
        </is>
      </c>
      <c r="G8558" s="94" t="inlineStr">
        <is>
          <t>머드크림마스크 100ml</t>
        </is>
      </c>
      <c r="H8558" s="7" t="n">
        <v>190801</v>
      </c>
      <c r="I8558" s="7" t="n">
        <v>190801</v>
      </c>
      <c r="K8558" s="94" t="n">
        <v>6</v>
      </c>
      <c r="L8558" s="7" t="n">
        <v>190801</v>
      </c>
      <c r="M8558" s="94">
        <f>VLOOKUP($Q8558,매칭테이블!$F:$I,2,0)*K8558</f>
        <v/>
      </c>
      <c r="N8558" s="94">
        <f>M8558-M8558*VLOOKUP($Q8558,매칭테이블!$F:$I,3,0)</f>
        <v/>
      </c>
      <c r="O8558" s="94">
        <f>VLOOKUP($Q8558,매칭테이블!$F:$I,4,0)*K8558</f>
        <v/>
      </c>
      <c r="P8558" s="148">
        <f>M8558/1.1</f>
        <v/>
      </c>
      <c r="Q8558" s="94">
        <f>F8558&amp;E8558&amp;G8558&amp;L8558</f>
        <v/>
      </c>
    </row>
    <row r="8559" customFormat="1" s="94">
      <c r="B8559" s="128" t="n">
        <v>44063</v>
      </c>
      <c r="C8559" s="94">
        <f>TEXT(B8559,"aaa")</f>
        <v/>
      </c>
      <c r="E8559" s="94" t="inlineStr">
        <is>
          <t>마스크팩</t>
        </is>
      </c>
      <c r="F8559" s="5" t="inlineStr">
        <is>
          <t>카페24</t>
        </is>
      </c>
      <c r="G8559" s="94" t="inlineStr">
        <is>
          <t>마스크팩 1매</t>
        </is>
      </c>
      <c r="H8559" s="7" t="n">
        <v>190801</v>
      </c>
      <c r="I8559" s="7" t="n">
        <v>190801</v>
      </c>
      <c r="K8559" s="94" t="n">
        <v>1</v>
      </c>
      <c r="L8559" s="7" t="n">
        <v>190801</v>
      </c>
      <c r="M8559" s="94">
        <f>VLOOKUP($Q8559,매칭테이블!$F:$I,2,0)*K8559</f>
        <v/>
      </c>
      <c r="N8559" s="94">
        <f>M8559-M8559*VLOOKUP($Q8559,매칭테이블!$F:$I,3,0)</f>
        <v/>
      </c>
      <c r="O8559" s="94">
        <f>VLOOKUP($Q8559,매칭테이블!$F:$I,4,0)*K8559</f>
        <v/>
      </c>
      <c r="P8559" s="148">
        <f>M8559/1.1</f>
        <v/>
      </c>
      <c r="Q8559" s="94">
        <f>F8559&amp;E8559&amp;G8559&amp;L8559</f>
        <v/>
      </c>
    </row>
    <row r="8560" customFormat="1" s="94">
      <c r="B8560" s="128" t="n">
        <v>44063</v>
      </c>
      <c r="C8560" s="94">
        <f>TEXT(B8560,"aaa")</f>
        <v/>
      </c>
      <c r="E8560" s="94" t="inlineStr">
        <is>
          <t>마스크팩</t>
        </is>
      </c>
      <c r="F8560" s="5" t="inlineStr">
        <is>
          <t>카페24</t>
        </is>
      </c>
      <c r="G8560" s="94" t="inlineStr">
        <is>
          <t>마스크팩 10매</t>
        </is>
      </c>
      <c r="H8560" s="7" t="n">
        <v>190801</v>
      </c>
      <c r="I8560" s="7" t="n">
        <v>190801</v>
      </c>
      <c r="K8560" s="94" t="n">
        <v>5</v>
      </c>
      <c r="L8560" s="7" t="n">
        <v>190801</v>
      </c>
      <c r="M8560" s="94">
        <f>VLOOKUP($Q8560,매칭테이블!$F:$I,2,0)*K8560</f>
        <v/>
      </c>
      <c r="N8560" s="94">
        <f>M8560-M8560*VLOOKUP($Q8560,매칭테이블!$F:$I,3,0)</f>
        <v/>
      </c>
      <c r="O8560" s="94">
        <f>VLOOKUP($Q8560,매칭테이블!$F:$I,4,0)*K8560</f>
        <v/>
      </c>
      <c r="P8560" s="148">
        <f>M8560/1.1</f>
        <v/>
      </c>
      <c r="Q8560" s="94">
        <f>F8560&amp;E8560&amp;G8560&amp;L8560</f>
        <v/>
      </c>
    </row>
    <row r="8561" customFormat="1" s="94">
      <c r="B8561" s="128" t="n">
        <v>44063</v>
      </c>
      <c r="C8561" s="94">
        <f>TEXT(B8561,"aaa")</f>
        <v/>
      </c>
      <c r="E8561" s="94" t="inlineStr">
        <is>
          <t>토너</t>
        </is>
      </c>
      <c r="F8561" s="5" t="inlineStr">
        <is>
          <t>카페24</t>
        </is>
      </c>
      <c r="G8561" s="94" t="inlineStr">
        <is>
          <t>[재구매전용특가] 250ml 2set</t>
        </is>
      </c>
      <c r="H8561" s="7" t="n">
        <v>190801</v>
      </c>
      <c r="I8561" s="7" t="n">
        <v>190801</v>
      </c>
      <c r="K8561" s="94" t="n">
        <v>5</v>
      </c>
      <c r="L8561" s="7" t="n">
        <v>190801</v>
      </c>
      <c r="M8561" s="94">
        <f>VLOOKUP($Q8561,매칭테이블!$F:$I,2,0)*K8561</f>
        <v/>
      </c>
      <c r="N8561" s="94">
        <f>M8561-M8561*VLOOKUP($Q8561,매칭테이블!$F:$I,3,0)</f>
        <v/>
      </c>
      <c r="O8561" s="94">
        <f>VLOOKUP($Q8561,매칭테이블!$F:$I,4,0)*K8561</f>
        <v/>
      </c>
      <c r="P8561" s="148">
        <f>M8561/1.1</f>
        <v/>
      </c>
      <c r="Q8561" s="94">
        <f>F8561&amp;E8561&amp;G8561&amp;L8561</f>
        <v/>
      </c>
    </row>
    <row r="8562" customFormat="1" s="94">
      <c r="B8562" s="128" t="n">
        <v>44063</v>
      </c>
      <c r="C8562" s="94">
        <f>TEXT(B8562,"aaa")</f>
        <v/>
      </c>
      <c r="E8562" s="94" t="inlineStr">
        <is>
          <t>토너</t>
        </is>
      </c>
      <c r="F8562" s="5" t="inlineStr">
        <is>
          <t>카페24</t>
        </is>
      </c>
      <c r="G8562" s="94" t="inlineStr">
        <is>
          <t>250ml</t>
        </is>
      </c>
      <c r="H8562" s="7" t="n">
        <v>190801</v>
      </c>
      <c r="I8562" s="7" t="n">
        <v>190801</v>
      </c>
      <c r="K8562" s="94" t="n">
        <v>75</v>
      </c>
      <c r="L8562" s="7" t="n">
        <v>190801</v>
      </c>
      <c r="M8562" s="94">
        <f>VLOOKUP($Q8562,매칭테이블!$F:$I,2,0)*K8562</f>
        <v/>
      </c>
      <c r="N8562" s="94">
        <f>M8562-M8562*VLOOKUP($Q8562,매칭테이블!$F:$I,3,0)</f>
        <v/>
      </c>
      <c r="O8562" s="94">
        <f>VLOOKUP($Q8562,매칭테이블!$F:$I,4,0)*K8562</f>
        <v/>
      </c>
      <c r="P8562" s="148">
        <f>M8562/1.1</f>
        <v/>
      </c>
      <c r="Q8562" s="94">
        <f>F8562&amp;E8562&amp;G8562&amp;L8562</f>
        <v/>
      </c>
    </row>
    <row r="8563" customFormat="1" s="94">
      <c r="B8563" s="128" t="n">
        <v>44063</v>
      </c>
      <c r="C8563" s="94">
        <f>TEXT(B8563,"aaa")</f>
        <v/>
      </c>
      <c r="E8563" s="94" t="inlineStr">
        <is>
          <t>토너</t>
        </is>
      </c>
      <c r="F8563" s="5" t="inlineStr">
        <is>
          <t>카페24</t>
        </is>
      </c>
      <c r="G8563" s="94" t="inlineStr">
        <is>
          <t>250ml 2set</t>
        </is>
      </c>
      <c r="H8563" s="7" t="n">
        <v>190801</v>
      </c>
      <c r="I8563" s="7" t="n">
        <v>190801</v>
      </c>
      <c r="K8563" s="94" t="n">
        <v>60</v>
      </c>
      <c r="L8563" s="7" t="n">
        <v>190801</v>
      </c>
      <c r="M8563" s="94">
        <f>VLOOKUP($Q8563,매칭테이블!$F:$I,2,0)*K8563</f>
        <v/>
      </c>
      <c r="N8563" s="94">
        <f>M8563-M8563*VLOOKUP($Q8563,매칭테이블!$F:$I,3,0)</f>
        <v/>
      </c>
      <c r="O8563" s="94">
        <f>VLOOKUP($Q8563,매칭테이블!$F:$I,4,0)*K8563</f>
        <v/>
      </c>
      <c r="P8563" s="148">
        <f>M8563/1.1</f>
        <v/>
      </c>
      <c r="Q8563" s="94">
        <f>F8563&amp;E8563&amp;G8563&amp;L8563</f>
        <v/>
      </c>
    </row>
    <row r="8564" customFormat="1" s="94">
      <c r="B8564" s="128" t="n">
        <v>44063</v>
      </c>
      <c r="C8564" s="94">
        <f>TEXT(B8564,"aaa")</f>
        <v/>
      </c>
      <c r="E8564" s="94" t="inlineStr">
        <is>
          <t>토너</t>
        </is>
      </c>
      <c r="F8564" s="5" t="inlineStr">
        <is>
          <t>카페24</t>
        </is>
      </c>
      <c r="G8564" s="94" t="inlineStr">
        <is>
          <t>500ml</t>
        </is>
      </c>
      <c r="H8564" s="7" t="n">
        <v>190801</v>
      </c>
      <c r="I8564" s="7" t="n">
        <v>190801</v>
      </c>
      <c r="K8564" s="94" t="n">
        <v>54</v>
      </c>
      <c r="L8564" s="7" t="n">
        <v>190801</v>
      </c>
      <c r="M8564" s="94">
        <f>VLOOKUP($Q8564,매칭테이블!$F:$I,2,0)*K8564</f>
        <v/>
      </c>
      <c r="N8564" s="94">
        <f>M8564-M8564*VLOOKUP($Q8564,매칭테이블!$F:$I,3,0)</f>
        <v/>
      </c>
      <c r="O8564" s="94">
        <f>VLOOKUP($Q8564,매칭테이블!$F:$I,4,0)*K8564</f>
        <v/>
      </c>
      <c r="P8564" s="148">
        <f>M8564/1.1</f>
        <v/>
      </c>
      <c r="Q8564" s="94">
        <f>F8564&amp;E8564&amp;G8564&amp;L8564</f>
        <v/>
      </c>
    </row>
    <row r="8565" customFormat="1" s="94">
      <c r="B8565" s="128" t="n">
        <v>44063</v>
      </c>
      <c r="C8565" s="94">
        <f>TEXT(B8565,"aaa")</f>
        <v/>
      </c>
      <c r="E8565" s="94" t="inlineStr">
        <is>
          <t>토너</t>
        </is>
      </c>
      <c r="F8565" s="5" t="inlineStr">
        <is>
          <t>카페24</t>
        </is>
      </c>
      <c r="G8565" s="94" t="inlineStr">
        <is>
          <t>스킨팩 화장솜 60P</t>
        </is>
      </c>
      <c r="H8565" s="7" t="n">
        <v>190801</v>
      </c>
      <c r="I8565" s="7" t="n">
        <v>190801</v>
      </c>
      <c r="K8565" s="94" t="n">
        <v>67</v>
      </c>
      <c r="L8565" s="7" t="n">
        <v>190801</v>
      </c>
      <c r="M8565" s="94">
        <f>VLOOKUP($Q8565,매칭테이블!$F:$I,2,0)*K8565</f>
        <v/>
      </c>
      <c r="N8565" s="94">
        <f>M8565-M8565*VLOOKUP($Q8565,매칭테이블!$F:$I,3,0)</f>
        <v/>
      </c>
      <c r="O8565" s="94">
        <f>VLOOKUP($Q8565,매칭테이블!$F:$I,4,0)*K8565</f>
        <v/>
      </c>
      <c r="P8565" s="148">
        <f>M8565/1.1</f>
        <v/>
      </c>
      <c r="Q8565" s="94">
        <f>F8565&amp;E8565&amp;G8565&amp;L8565</f>
        <v/>
      </c>
    </row>
    <row r="8566" customFormat="1" s="94">
      <c r="B8566" s="128" t="n">
        <v>44063</v>
      </c>
      <c r="C8566" s="94">
        <f>TEXT(B8566,"aaa")</f>
        <v/>
      </c>
      <c r="E8566" s="94" t="inlineStr">
        <is>
          <t>앰플</t>
        </is>
      </c>
      <c r="F8566" s="5" t="inlineStr">
        <is>
          <t>카페24</t>
        </is>
      </c>
      <c r="G8566" s="94" t="inlineStr">
        <is>
          <t>앰플 30ml</t>
        </is>
      </c>
      <c r="H8566" s="7" t="n">
        <v>190801</v>
      </c>
      <c r="I8566" s="7" t="n">
        <v>190801</v>
      </c>
      <c r="K8566" s="94" t="n">
        <v>14</v>
      </c>
      <c r="L8566" s="7" t="n">
        <v>190801</v>
      </c>
      <c r="M8566" s="94">
        <f>VLOOKUP($Q8566,매칭테이블!$F:$I,2,0)*K8566</f>
        <v/>
      </c>
      <c r="N8566" s="94">
        <f>M8566-M8566*VLOOKUP($Q8566,매칭테이블!$F:$I,3,0)</f>
        <v/>
      </c>
      <c r="O8566" s="94">
        <f>VLOOKUP($Q8566,매칭테이블!$F:$I,4,0)*K8566</f>
        <v/>
      </c>
      <c r="P8566" s="148">
        <f>M8566/1.1</f>
        <v/>
      </c>
      <c r="Q8566" s="94">
        <f>F8566&amp;E8566&amp;G8566&amp;L8566</f>
        <v/>
      </c>
    </row>
    <row r="8567" customFormat="1" s="94">
      <c r="B8567" s="128" t="n">
        <v>44063</v>
      </c>
      <c r="C8567" s="94">
        <f>TEXT(B8567,"aaa")</f>
        <v/>
      </c>
      <c r="E8567" s="94" t="inlineStr">
        <is>
          <t>앰플</t>
        </is>
      </c>
      <c r="F8567" s="5" t="inlineStr">
        <is>
          <t>카페24</t>
        </is>
      </c>
      <c r="G8567" s="94" t="inlineStr">
        <is>
          <t>앰플 30ml  2set</t>
        </is>
      </c>
      <c r="H8567" s="7" t="n">
        <v>190801</v>
      </c>
      <c r="I8567" s="7" t="n">
        <v>190801</v>
      </c>
      <c r="K8567" s="94" t="n">
        <v>4</v>
      </c>
      <c r="L8567" s="7" t="n">
        <v>190801</v>
      </c>
      <c r="M8567" s="94">
        <f>VLOOKUP($Q8567,매칭테이블!$F:$I,2,0)*K8567</f>
        <v/>
      </c>
      <c r="N8567" s="94">
        <f>M8567-M8567*VLOOKUP($Q8567,매칭테이블!$F:$I,3,0)</f>
        <v/>
      </c>
      <c r="O8567" s="94">
        <f>VLOOKUP($Q8567,매칭테이블!$F:$I,4,0)*K8567</f>
        <v/>
      </c>
      <c r="P8567" s="148">
        <f>M8567/1.1</f>
        <v/>
      </c>
      <c r="Q8567" s="94">
        <f>F8567&amp;E8567&amp;G8567&amp;L8567</f>
        <v/>
      </c>
    </row>
    <row r="8568" customFormat="1" s="94">
      <c r="B8568" s="128" t="n">
        <v>44063</v>
      </c>
      <c r="C8568" s="94">
        <f>TEXT(B8568,"aaa")</f>
        <v/>
      </c>
      <c r="E8568" s="94" t="inlineStr">
        <is>
          <t>수딩크림</t>
        </is>
      </c>
      <c r="F8568" s="5" t="inlineStr">
        <is>
          <t>카페24</t>
        </is>
      </c>
      <c r="G8568" s="94" t="inlineStr">
        <is>
          <t>수딩크림 100ml</t>
        </is>
      </c>
      <c r="H8568" s="7" t="n">
        <v>190801</v>
      </c>
      <c r="I8568" s="7" t="n">
        <v>190801</v>
      </c>
      <c r="K8568" s="94" t="n">
        <v>8</v>
      </c>
      <c r="L8568" s="7" t="n">
        <v>190801</v>
      </c>
      <c r="M8568" s="94">
        <f>VLOOKUP($Q8568,매칭테이블!$F:$I,2,0)*K8568</f>
        <v/>
      </c>
      <c r="N8568" s="94">
        <f>M8568-M8568*VLOOKUP($Q8568,매칭테이블!$F:$I,3,0)</f>
        <v/>
      </c>
      <c r="O8568" s="94">
        <f>VLOOKUP($Q8568,매칭테이블!$F:$I,4,0)*K8568</f>
        <v/>
      </c>
      <c r="P8568" s="148">
        <f>M8568/1.1</f>
        <v/>
      </c>
      <c r="Q8568" s="94">
        <f>F8568&amp;E8568&amp;G8568&amp;L8568</f>
        <v/>
      </c>
    </row>
    <row r="8569" customFormat="1" s="94">
      <c r="B8569" s="128" t="n">
        <v>44063</v>
      </c>
      <c r="C8569" s="94">
        <f>TEXT(B8569,"aaa")</f>
        <v/>
      </c>
      <c r="E8569" s="94" t="inlineStr">
        <is>
          <t>클렌징폼</t>
        </is>
      </c>
      <c r="F8569" s="5" t="inlineStr">
        <is>
          <t>카페24</t>
        </is>
      </c>
      <c r="G8569" s="94" t="inlineStr">
        <is>
          <t>클렌징폼 120ml</t>
        </is>
      </c>
      <c r="H8569" s="7" t="n">
        <v>190801</v>
      </c>
      <c r="I8569" s="7" t="n">
        <v>190801</v>
      </c>
      <c r="K8569" s="94" t="n">
        <v>9</v>
      </c>
      <c r="L8569" s="7" t="n">
        <v>190801</v>
      </c>
      <c r="M8569" s="94">
        <f>VLOOKUP($Q8569,매칭테이블!$F:$I,2,0)*K8569</f>
        <v/>
      </c>
      <c r="N8569" s="94">
        <f>M8569-M8569*VLOOKUP($Q8569,매칭테이블!$F:$I,3,0)</f>
        <v/>
      </c>
      <c r="O8569" s="94">
        <f>VLOOKUP($Q8569,매칭테이블!$F:$I,4,0)*K8569</f>
        <v/>
      </c>
      <c r="P8569" s="148">
        <f>M8569/1.1</f>
        <v/>
      </c>
      <c r="Q8569" s="94">
        <f>F8569&amp;E8569&amp;G8569&amp;L8569</f>
        <v/>
      </c>
    </row>
    <row r="8570" customFormat="1" s="94">
      <c r="B8570" s="128" t="n">
        <v>44063</v>
      </c>
      <c r="C8570" s="94">
        <f>TEXT(B8570,"aaa")</f>
        <v/>
      </c>
      <c r="E8570" s="94" t="inlineStr">
        <is>
          <t>클렌징폼</t>
        </is>
      </c>
      <c r="F8570" s="5" t="inlineStr">
        <is>
          <t>카페24</t>
        </is>
      </c>
      <c r="G8570" s="94" t="inlineStr">
        <is>
          <t>클렌징폼 120ml 2set</t>
        </is>
      </c>
      <c r="H8570" s="7" t="n">
        <v>190801</v>
      </c>
      <c r="I8570" s="7" t="n">
        <v>190801</v>
      </c>
      <c r="K8570" s="94" t="n">
        <v>1</v>
      </c>
      <c r="L8570" s="7" t="n">
        <v>190801</v>
      </c>
      <c r="M8570" s="94">
        <f>VLOOKUP($Q8570,매칭테이블!$F:$I,2,0)*K8570</f>
        <v/>
      </c>
      <c r="N8570" s="94">
        <f>M8570-M8570*VLOOKUP($Q8570,매칭테이블!$F:$I,3,0)</f>
        <v/>
      </c>
      <c r="O8570" s="94">
        <f>VLOOKUP($Q8570,매칭테이블!$F:$I,4,0)*K8570</f>
        <v/>
      </c>
      <c r="P8570" s="148">
        <f>M8570/1.1</f>
        <v/>
      </c>
      <c r="Q8570" s="94">
        <f>F8570&amp;E8570&amp;G8570&amp;L8570</f>
        <v/>
      </c>
    </row>
    <row r="8571" customFormat="1" s="94">
      <c r="B8571" s="128" t="n">
        <v>44063</v>
      </c>
      <c r="C8571" s="94">
        <f>TEXT(B8571,"aaa")</f>
        <v/>
      </c>
      <c r="E8571" s="94" t="inlineStr">
        <is>
          <t>토너</t>
        </is>
      </c>
      <c r="F8571" s="5" t="inlineStr">
        <is>
          <t>아누아 CS</t>
        </is>
      </c>
      <c r="G8571" s="94" t="inlineStr">
        <is>
          <t>250ml</t>
        </is>
      </c>
      <c r="H8571" s="7" t="n">
        <v>190801</v>
      </c>
      <c r="I8571" s="7" t="n">
        <v>190801</v>
      </c>
      <c r="K8571" s="94" t="n">
        <v>1</v>
      </c>
      <c r="L8571" s="7" t="n">
        <v>190801</v>
      </c>
      <c r="M8571" s="94">
        <f>VLOOKUP($Q8571,매칭테이블!$F:$I,2,0)*K8571</f>
        <v/>
      </c>
      <c r="N8571" s="94">
        <f>M8571-M8571*VLOOKUP($Q8571,매칭테이블!$F:$I,3,0)</f>
        <v/>
      </c>
      <c r="O8571" s="94">
        <f>VLOOKUP($Q8571,매칭테이블!$F:$I,4,0)*K8571</f>
        <v/>
      </c>
      <c r="P8571" s="148">
        <f>M8571/1.1</f>
        <v/>
      </c>
      <c r="Q8571" s="94">
        <f>F8571&amp;E8571&amp;G8571&amp;L8571</f>
        <v/>
      </c>
    </row>
    <row r="8572" customFormat="1" s="94">
      <c r="B8572" s="128" t="n">
        <v>44063</v>
      </c>
      <c r="C8572" s="94">
        <f>TEXT(B8572,"aaa")</f>
        <v/>
      </c>
      <c r="E8572" s="94" t="inlineStr">
        <is>
          <t>토너</t>
        </is>
      </c>
      <c r="F8572" s="5" t="inlineStr">
        <is>
          <t>큐텐재팬</t>
        </is>
      </c>
      <c r="G8572" s="94" t="inlineStr">
        <is>
          <t>200726=250ml</t>
        </is>
      </c>
      <c r="H8572" s="7" t="n">
        <v>190801</v>
      </c>
      <c r="I8572" s="7" t="n">
        <v>190801</v>
      </c>
      <c r="K8572" s="94" t="n">
        <v>6</v>
      </c>
      <c r="L8572" s="7" t="n">
        <v>190801</v>
      </c>
      <c r="M8572" s="94">
        <f>VLOOKUP($Q8572,매칭테이블!$F:$I,2,0)*K8572</f>
        <v/>
      </c>
      <c r="N8572" s="94">
        <f>M8572-M8572*VLOOKUP($Q8572,매칭테이블!$F:$I,3,0)</f>
        <v/>
      </c>
      <c r="O8572" s="94">
        <f>VLOOKUP($Q8572,매칭테이블!$F:$I,4,0)*K8572</f>
        <v/>
      </c>
      <c r="P8572" s="148">
        <f>M8572/1.1</f>
        <v/>
      </c>
      <c r="Q8572" s="94">
        <f>F8572&amp;E8572&amp;G8572&amp;L8572</f>
        <v/>
      </c>
    </row>
    <row r="8573" customFormat="1" s="94">
      <c r="B8573" s="128" t="n">
        <v>44063</v>
      </c>
      <c r="C8573" s="94">
        <f>TEXT(B8573,"aaa")</f>
        <v/>
      </c>
      <c r="E8573" s="94" t="inlineStr">
        <is>
          <t>토너</t>
        </is>
      </c>
      <c r="F8573" s="5" t="inlineStr">
        <is>
          <t>큐텐재팬</t>
        </is>
      </c>
      <c r="G8573" s="94" t="inlineStr">
        <is>
          <t>200726=250ml 2set</t>
        </is>
      </c>
      <c r="H8573" s="7" t="n">
        <v>190801</v>
      </c>
      <c r="I8573" s="7" t="n">
        <v>190801</v>
      </c>
      <c r="K8573" s="94" t="n">
        <v>1</v>
      </c>
      <c r="L8573" s="7" t="n">
        <v>190801</v>
      </c>
      <c r="M8573" s="94">
        <f>VLOOKUP($Q8573,매칭테이블!$F:$I,2,0)*K8573</f>
        <v/>
      </c>
      <c r="N8573" s="94">
        <f>M8573-M8573*VLOOKUP($Q8573,매칭테이블!$F:$I,3,0)</f>
        <v/>
      </c>
      <c r="O8573" s="94">
        <f>VLOOKUP($Q8573,매칭테이블!$F:$I,4,0)*K8573</f>
        <v/>
      </c>
      <c r="P8573" s="148">
        <f>M8573/1.1</f>
        <v/>
      </c>
      <c r="Q8573" s="94">
        <f>F8573&amp;E8573&amp;G8573&amp;L8573</f>
        <v/>
      </c>
    </row>
    <row r="8574" customFormat="1" s="94">
      <c r="B8574" s="128" t="n">
        <v>44063</v>
      </c>
      <c r="C8574" s="94">
        <f>TEXT(B8574,"aaa")</f>
        <v/>
      </c>
      <c r="E8574" s="94" t="inlineStr">
        <is>
          <t>토너</t>
        </is>
      </c>
      <c r="F8574" s="5" t="inlineStr">
        <is>
          <t>글로우데이즈 시코르</t>
        </is>
      </c>
      <c r="G8574" s="94" t="inlineStr">
        <is>
          <t>토너=250ml</t>
        </is>
      </c>
      <c r="H8574" s="7" t="n">
        <v>190801</v>
      </c>
      <c r="I8574" s="7" t="n">
        <v>190801</v>
      </c>
      <c r="K8574" s="94" t="n">
        <v>3</v>
      </c>
      <c r="L8574" s="7" t="n">
        <v>190801</v>
      </c>
      <c r="M8574" s="94">
        <f>VLOOKUP($Q8574,매칭테이블!$F:$I,2,0)*K8574</f>
        <v/>
      </c>
      <c r="N8574" s="94">
        <f>M8574-M8574*VLOOKUP($Q8574,매칭테이블!$F:$I,3,0)</f>
        <v/>
      </c>
      <c r="O8574" s="94">
        <f>VLOOKUP($Q8574,매칭테이블!$F:$I,4,0)*K8574</f>
        <v/>
      </c>
      <c r="P8574" s="148">
        <f>M8574/1.1</f>
        <v/>
      </c>
      <c r="Q8574" s="94">
        <f>F8574&amp;E8574&amp;G8574&amp;L8574</f>
        <v/>
      </c>
    </row>
    <row r="8575" customFormat="1" s="94">
      <c r="B8575" s="128" t="n">
        <v>44063</v>
      </c>
      <c r="C8575" s="94">
        <f>TEXT(B8575,"aaa")</f>
        <v/>
      </c>
      <c r="E8575" s="94" t="inlineStr">
        <is>
          <t>앰플</t>
        </is>
      </c>
      <c r="F8575" s="5" t="inlineStr">
        <is>
          <t>글로우데이즈 시코르</t>
        </is>
      </c>
      <c r="G8575" s="94" t="inlineStr">
        <is>
          <t>앰플=앰플 30ml</t>
        </is>
      </c>
      <c r="H8575" s="7" t="n">
        <v>190801</v>
      </c>
      <c r="I8575" s="7" t="n">
        <v>190801</v>
      </c>
      <c r="K8575" s="94" t="n">
        <v>3</v>
      </c>
      <c r="L8575" s="7" t="n">
        <v>190801</v>
      </c>
      <c r="M8575" s="94">
        <f>VLOOKUP($Q8575,매칭테이블!$F:$I,2,0)*K8575</f>
        <v/>
      </c>
      <c r="N8575" s="94">
        <f>M8575-M8575*VLOOKUP($Q8575,매칭테이블!$F:$I,3,0)</f>
        <v/>
      </c>
      <c r="O8575" s="94">
        <f>VLOOKUP($Q8575,매칭테이블!$F:$I,4,0)*K8575</f>
        <v/>
      </c>
      <c r="P8575" s="148">
        <f>M8575/1.1</f>
        <v/>
      </c>
      <c r="Q8575" s="94">
        <f>F8575&amp;E8575&amp;G8575&amp;L8575</f>
        <v/>
      </c>
    </row>
    <row r="8576" customFormat="1" s="94">
      <c r="B8576" s="128" t="n">
        <v>44063</v>
      </c>
      <c r="C8576" s="94">
        <f>TEXT(B8576,"aaa")</f>
        <v/>
      </c>
      <c r="E8576" s="94" t="inlineStr">
        <is>
          <t>머드크림마스크</t>
        </is>
      </c>
      <c r="F8576" s="5" t="inlineStr">
        <is>
          <t>글로우데이즈 시코르</t>
        </is>
      </c>
      <c r="G8576" s="94" t="inlineStr">
        <is>
          <t>머드크림마스크=머드크림마스크 100ml</t>
        </is>
      </c>
      <c r="H8576" s="7" t="n">
        <v>190801</v>
      </c>
      <c r="I8576" s="7" t="n">
        <v>190801</v>
      </c>
      <c r="K8576" s="94" t="n">
        <v>3</v>
      </c>
      <c r="L8576" s="7" t="n">
        <v>190801</v>
      </c>
      <c r="M8576" s="94">
        <f>VLOOKUP($Q8576,매칭테이블!$F:$I,2,0)*K8576</f>
        <v/>
      </c>
      <c r="N8576" s="94">
        <f>M8576-M8576*VLOOKUP($Q8576,매칭테이블!$F:$I,3,0)</f>
        <v/>
      </c>
      <c r="O8576" s="94">
        <f>VLOOKUP($Q8576,매칭테이블!$F:$I,4,0)*K8576</f>
        <v/>
      </c>
      <c r="P8576" s="148">
        <f>M8576/1.1</f>
        <v/>
      </c>
      <c r="Q8576" s="94">
        <f>F8576&amp;E8576&amp;G8576&amp;L8576</f>
        <v/>
      </c>
    </row>
    <row r="8577" customFormat="1" s="94">
      <c r="B8577" s="128" t="n">
        <v>44063</v>
      </c>
      <c r="C8577" s="94">
        <f>TEXT(B8577,"aaa")</f>
        <v/>
      </c>
      <c r="E8577" s="94" t="inlineStr">
        <is>
          <t>클렌징폼</t>
        </is>
      </c>
      <c r="F8577" s="5" t="inlineStr">
        <is>
          <t>글로우데이즈 시코르</t>
        </is>
      </c>
      <c r="G8577" s="94" t="inlineStr">
        <is>
          <t>클렌징폼=클렌징폼 120ml</t>
        </is>
      </c>
      <c r="H8577" s="7" t="n">
        <v>190801</v>
      </c>
      <c r="I8577" s="7" t="n">
        <v>190801</v>
      </c>
      <c r="K8577" s="94" t="n">
        <v>3</v>
      </c>
      <c r="L8577" s="7" t="n">
        <v>190801</v>
      </c>
      <c r="M8577" s="94">
        <f>VLOOKUP($Q8577,매칭테이블!$F:$I,2,0)*K8577</f>
        <v/>
      </c>
      <c r="N8577" s="94">
        <f>M8577-M8577*VLOOKUP($Q8577,매칭테이블!$F:$I,3,0)</f>
        <v/>
      </c>
      <c r="O8577" s="94">
        <f>VLOOKUP($Q8577,매칭테이블!$F:$I,4,0)*K8577</f>
        <v/>
      </c>
      <c r="P8577" s="148">
        <f>M8577/1.1</f>
        <v/>
      </c>
      <c r="Q8577" s="94">
        <f>F8577&amp;E8577&amp;G8577&amp;L8577</f>
        <v/>
      </c>
    </row>
    <row r="8578" customFormat="1" s="94">
      <c r="B8578" s="128" t="n">
        <v>44064</v>
      </c>
      <c r="C8578" s="94">
        <f>TEXT(B8578,"aaa")</f>
        <v/>
      </c>
      <c r="E8578" s="94" t="inlineStr">
        <is>
          <t>토너</t>
        </is>
      </c>
      <c r="F8578" s="5" t="inlineStr">
        <is>
          <t>스타일쉐어</t>
        </is>
      </c>
      <c r="G8578" s="94" t="inlineStr">
        <is>
          <t>250ml</t>
        </is>
      </c>
      <c r="H8578" s="7" t="n">
        <v>190801</v>
      </c>
      <c r="I8578" s="7" t="n">
        <v>190801</v>
      </c>
      <c r="K8578" s="94" t="n">
        <v>4</v>
      </c>
      <c r="L8578" s="7" t="n">
        <v>190801</v>
      </c>
      <c r="M8578" s="94">
        <f>VLOOKUP($Q8578,매칭테이블!$F:$I,2,0)*K8578</f>
        <v/>
      </c>
      <c r="N8578" s="94">
        <f>M8578-M8578*VLOOKUP($Q8578,매칭테이블!$F:$I,3,0)</f>
        <v/>
      </c>
      <c r="O8578" s="94">
        <f>VLOOKUP($Q8578,매칭테이블!$F:$I,4,0)*K8578</f>
        <v/>
      </c>
      <c r="P8578" s="148">
        <f>M8578/1.1</f>
        <v/>
      </c>
      <c r="Q8578" s="94">
        <f>F8578&amp;E8578&amp;G8578&amp;L8578</f>
        <v/>
      </c>
    </row>
    <row r="8579" customFormat="1" s="94">
      <c r="B8579" s="128" t="n">
        <v>44064</v>
      </c>
      <c r="C8579" s="94">
        <f>TEXT(B8579,"aaa")</f>
        <v/>
      </c>
      <c r="E8579" s="94" t="inlineStr">
        <is>
          <t>선크림</t>
        </is>
      </c>
      <c r="F8579" s="5" t="inlineStr">
        <is>
          <t>카페24</t>
        </is>
      </c>
      <c r="G8579" s="94" t="inlineStr">
        <is>
          <t>선크림 50ml</t>
        </is>
      </c>
      <c r="H8579" s="7" t="n">
        <v>190801</v>
      </c>
      <c r="I8579" s="7" t="n">
        <v>190801</v>
      </c>
      <c r="K8579" s="94" t="n">
        <v>2</v>
      </c>
      <c r="L8579" s="7" t="n">
        <v>190801</v>
      </c>
      <c r="M8579" s="94">
        <f>VLOOKUP($Q8579,매칭테이블!$F:$I,2,0)*K8579</f>
        <v/>
      </c>
      <c r="N8579" s="94">
        <f>M8579-M8579*VLOOKUP($Q8579,매칭테이블!$F:$I,3,0)</f>
        <v/>
      </c>
      <c r="O8579" s="94">
        <f>VLOOKUP($Q8579,매칭테이블!$F:$I,4,0)*K8579</f>
        <v/>
      </c>
      <c r="P8579" s="148">
        <f>M8579/1.1</f>
        <v/>
      </c>
      <c r="Q8579" s="94">
        <f>F8579&amp;E8579&amp;G8579&amp;L8579</f>
        <v/>
      </c>
    </row>
    <row r="8580" customFormat="1" s="94">
      <c r="B8580" s="128" t="n">
        <v>44064</v>
      </c>
      <c r="C8580" s="94">
        <f>TEXT(B8580,"aaa")</f>
        <v/>
      </c>
      <c r="E8580" s="94" t="inlineStr">
        <is>
          <t>여름 한정 진정세트</t>
        </is>
      </c>
      <c r="F8580" s="5" t="inlineStr">
        <is>
          <t>카페24</t>
        </is>
      </c>
      <c r="G8580" s="94" t="inlineStr">
        <is>
          <t>여름 한정 진정세트</t>
        </is>
      </c>
      <c r="H8580" s="7" t="n">
        <v>190801</v>
      </c>
      <c r="I8580" s="7" t="n">
        <v>190801</v>
      </c>
      <c r="K8580" s="94" t="n">
        <v>3</v>
      </c>
      <c r="L8580" s="7" t="n">
        <v>190801</v>
      </c>
      <c r="M8580" s="94">
        <f>VLOOKUP($Q8580,매칭테이블!$F:$I,2,0)*K8580</f>
        <v/>
      </c>
      <c r="N8580" s="94">
        <f>M8580-M8580*VLOOKUP($Q8580,매칭테이블!$F:$I,3,0)</f>
        <v/>
      </c>
      <c r="O8580" s="94">
        <f>VLOOKUP($Q8580,매칭테이블!$F:$I,4,0)*K8580</f>
        <v/>
      </c>
      <c r="P8580" s="148">
        <f>M8580/1.1</f>
        <v/>
      </c>
      <c r="Q8580" s="94">
        <f>F8580&amp;E8580&amp;G8580&amp;L8580</f>
        <v/>
      </c>
    </row>
    <row r="8581" customFormat="1" s="94">
      <c r="B8581" s="128" t="n">
        <v>44064</v>
      </c>
      <c r="C8581" s="94">
        <f>TEXT(B8581,"aaa")</f>
        <v/>
      </c>
      <c r="E8581" s="94" t="inlineStr">
        <is>
          <t>여름 한정 진정세트</t>
        </is>
      </c>
      <c r="F8581" s="5" t="inlineStr">
        <is>
          <t>카페24</t>
        </is>
      </c>
      <c r="G8581" s="94" t="inlineStr">
        <is>
          <t>여름 한정 진정세트 (대용량)</t>
        </is>
      </c>
      <c r="H8581" s="7" t="n">
        <v>190801</v>
      </c>
      <c r="I8581" s="7" t="n">
        <v>190801</v>
      </c>
      <c r="K8581" s="94" t="n">
        <v>4</v>
      </c>
      <c r="L8581" s="7" t="n">
        <v>190801</v>
      </c>
      <c r="M8581" s="94">
        <f>VLOOKUP($Q8581,매칭테이블!$F:$I,2,0)*K8581</f>
        <v/>
      </c>
      <c r="N8581" s="94">
        <f>M8581-M8581*VLOOKUP($Q8581,매칭테이블!$F:$I,3,0)</f>
        <v/>
      </c>
      <c r="O8581" s="94">
        <f>VLOOKUP($Q8581,매칭테이블!$F:$I,4,0)*K8581</f>
        <v/>
      </c>
      <c r="P8581" s="148">
        <f>M8581/1.1</f>
        <v/>
      </c>
      <c r="Q8581" s="94">
        <f>F8581&amp;E8581&amp;G8581&amp;L8581</f>
        <v/>
      </c>
    </row>
    <row r="8582" customFormat="1" s="94">
      <c r="B8582" s="128" t="n">
        <v>44064</v>
      </c>
      <c r="C8582" s="94">
        <f>TEXT(B8582,"aaa")</f>
        <v/>
      </c>
      <c r="E8582" s="94" t="inlineStr">
        <is>
          <t>어성초진정패키지</t>
        </is>
      </c>
      <c r="F8582" s="5" t="inlineStr">
        <is>
          <t>카페24</t>
        </is>
      </c>
      <c r="G8582" s="94" t="inlineStr">
        <is>
          <t>어성초 진정패키지세트</t>
        </is>
      </c>
      <c r="H8582" s="7" t="n">
        <v>190801</v>
      </c>
      <c r="I8582" s="7" t="n">
        <v>190801</v>
      </c>
      <c r="K8582" s="94" t="n">
        <v>4</v>
      </c>
      <c r="L8582" s="7" t="n">
        <v>190801</v>
      </c>
      <c r="M8582" s="94">
        <f>VLOOKUP($Q8582,매칭테이블!$F:$I,2,0)*K8582</f>
        <v/>
      </c>
      <c r="N8582" s="94">
        <f>M8582-M8582*VLOOKUP($Q8582,매칭테이블!$F:$I,3,0)</f>
        <v/>
      </c>
      <c r="O8582" s="94">
        <f>VLOOKUP($Q8582,매칭테이블!$F:$I,4,0)*K8582</f>
        <v/>
      </c>
      <c r="P8582" s="148">
        <f>M8582/1.1</f>
        <v/>
      </c>
      <c r="Q8582" s="94">
        <f>F8582&amp;E8582&amp;G8582&amp;L8582</f>
        <v/>
      </c>
    </row>
    <row r="8583" customFormat="1" s="94">
      <c r="B8583" s="128" t="n">
        <v>44064</v>
      </c>
      <c r="C8583" s="94">
        <f>TEXT(B8583,"aaa")</f>
        <v/>
      </c>
      <c r="E8583" s="94" t="inlineStr">
        <is>
          <t>머드크림마스크</t>
        </is>
      </c>
      <c r="F8583" s="5" t="inlineStr">
        <is>
          <t>카페24</t>
        </is>
      </c>
      <c r="G8583" s="94" t="inlineStr">
        <is>
          <t>머드크림마스크 100ml</t>
        </is>
      </c>
      <c r="H8583" s="7" t="n">
        <v>190801</v>
      </c>
      <c r="I8583" s="7" t="n">
        <v>190801</v>
      </c>
      <c r="K8583" s="94" t="n">
        <v>3</v>
      </c>
      <c r="L8583" s="7" t="n">
        <v>190801</v>
      </c>
      <c r="M8583" s="94">
        <f>VLOOKUP($Q8583,매칭테이블!$F:$I,2,0)*K8583</f>
        <v/>
      </c>
      <c r="N8583" s="94">
        <f>M8583-M8583*VLOOKUP($Q8583,매칭테이블!$F:$I,3,0)</f>
        <v/>
      </c>
      <c r="O8583" s="94">
        <f>VLOOKUP($Q8583,매칭테이블!$F:$I,4,0)*K8583</f>
        <v/>
      </c>
      <c r="P8583" s="148">
        <f>M8583/1.1</f>
        <v/>
      </c>
      <c r="Q8583" s="94">
        <f>F8583&amp;E8583&amp;G8583&amp;L8583</f>
        <v/>
      </c>
    </row>
    <row r="8584" customFormat="1" s="94">
      <c r="B8584" s="128" t="n">
        <v>44064</v>
      </c>
      <c r="C8584" s="94">
        <f>TEXT(B8584,"aaa")</f>
        <v/>
      </c>
      <c r="E8584" s="94" t="inlineStr">
        <is>
          <t>마스크팩</t>
        </is>
      </c>
      <c r="F8584" s="5" t="inlineStr">
        <is>
          <t>카페24</t>
        </is>
      </c>
      <c r="G8584" s="94" t="inlineStr">
        <is>
          <t>마스크팩 10매</t>
        </is>
      </c>
      <c r="H8584" s="7" t="n">
        <v>190801</v>
      </c>
      <c r="I8584" s="7" t="n">
        <v>190801</v>
      </c>
      <c r="K8584" s="94" t="n">
        <v>3</v>
      </c>
      <c r="L8584" s="7" t="n">
        <v>190801</v>
      </c>
      <c r="M8584" s="94">
        <f>VLOOKUP($Q8584,매칭테이블!$F:$I,2,0)*K8584</f>
        <v/>
      </c>
      <c r="N8584" s="94">
        <f>M8584-M8584*VLOOKUP($Q8584,매칭테이블!$F:$I,3,0)</f>
        <v/>
      </c>
      <c r="O8584" s="94">
        <f>VLOOKUP($Q8584,매칭테이블!$F:$I,4,0)*K8584</f>
        <v/>
      </c>
      <c r="P8584" s="148">
        <f>M8584/1.1</f>
        <v/>
      </c>
      <c r="Q8584" s="94">
        <f>F8584&amp;E8584&amp;G8584&amp;L8584</f>
        <v/>
      </c>
    </row>
    <row r="8585" customFormat="1" s="94">
      <c r="B8585" s="128" t="n">
        <v>44064</v>
      </c>
      <c r="C8585" s="94">
        <f>TEXT(B8585,"aaa")</f>
        <v/>
      </c>
      <c r="E8585" s="94" t="inlineStr">
        <is>
          <t>토너</t>
        </is>
      </c>
      <c r="F8585" s="5" t="inlineStr">
        <is>
          <t>카페24</t>
        </is>
      </c>
      <c r="G8585" s="94" t="inlineStr">
        <is>
          <t>250ml</t>
        </is>
      </c>
      <c r="H8585" s="7" t="n">
        <v>190801</v>
      </c>
      <c r="I8585" s="7" t="n">
        <v>190801</v>
      </c>
      <c r="K8585" s="94" t="n">
        <v>50</v>
      </c>
      <c r="L8585" s="7" t="n">
        <v>190801</v>
      </c>
      <c r="M8585" s="94">
        <f>VLOOKUP($Q8585,매칭테이블!$F:$I,2,0)*K8585</f>
        <v/>
      </c>
      <c r="N8585" s="94">
        <f>M8585-M8585*VLOOKUP($Q8585,매칭테이블!$F:$I,3,0)</f>
        <v/>
      </c>
      <c r="O8585" s="94">
        <f>VLOOKUP($Q8585,매칭테이블!$F:$I,4,0)*K8585</f>
        <v/>
      </c>
      <c r="P8585" s="148">
        <f>M8585/1.1</f>
        <v/>
      </c>
      <c r="Q8585" s="94">
        <f>F8585&amp;E8585&amp;G8585&amp;L8585</f>
        <v/>
      </c>
    </row>
    <row r="8586" customFormat="1" s="94">
      <c r="B8586" s="128" t="n">
        <v>44064</v>
      </c>
      <c r="C8586" s="94">
        <f>TEXT(B8586,"aaa")</f>
        <v/>
      </c>
      <c r="E8586" s="94" t="inlineStr">
        <is>
          <t>토너</t>
        </is>
      </c>
      <c r="F8586" s="5" t="inlineStr">
        <is>
          <t>카페24</t>
        </is>
      </c>
      <c r="G8586" s="94" t="inlineStr">
        <is>
          <t>250ml 2set</t>
        </is>
      </c>
      <c r="H8586" s="7" t="n">
        <v>190801</v>
      </c>
      <c r="I8586" s="7" t="n">
        <v>190801</v>
      </c>
      <c r="K8586" s="94" t="n">
        <v>45</v>
      </c>
      <c r="L8586" s="7" t="n">
        <v>190801</v>
      </c>
      <c r="M8586" s="94">
        <f>VLOOKUP($Q8586,매칭테이블!$F:$I,2,0)*K8586</f>
        <v/>
      </c>
      <c r="N8586" s="94">
        <f>M8586-M8586*VLOOKUP($Q8586,매칭테이블!$F:$I,3,0)</f>
        <v/>
      </c>
      <c r="O8586" s="94">
        <f>VLOOKUP($Q8586,매칭테이블!$F:$I,4,0)*K8586</f>
        <v/>
      </c>
      <c r="P8586" s="148">
        <f>M8586/1.1</f>
        <v/>
      </c>
      <c r="Q8586" s="94">
        <f>F8586&amp;E8586&amp;G8586&amp;L8586</f>
        <v/>
      </c>
    </row>
    <row r="8587" customFormat="1" s="94">
      <c r="B8587" s="128" t="n">
        <v>44064</v>
      </c>
      <c r="C8587" s="94">
        <f>TEXT(B8587,"aaa")</f>
        <v/>
      </c>
      <c r="E8587" s="94" t="inlineStr">
        <is>
          <t>토너</t>
        </is>
      </c>
      <c r="F8587" s="5" t="inlineStr">
        <is>
          <t>카페24</t>
        </is>
      </c>
      <c r="G8587" s="94" t="inlineStr">
        <is>
          <t>500ml</t>
        </is>
      </c>
      <c r="H8587" s="7" t="n">
        <v>190801</v>
      </c>
      <c r="I8587" s="7" t="n">
        <v>190801</v>
      </c>
      <c r="K8587" s="94" t="n">
        <v>45</v>
      </c>
      <c r="L8587" s="7" t="n">
        <v>190801</v>
      </c>
      <c r="M8587" s="94">
        <f>VLOOKUP($Q8587,매칭테이블!$F:$I,2,0)*K8587</f>
        <v/>
      </c>
      <c r="N8587" s="94">
        <f>M8587-M8587*VLOOKUP($Q8587,매칭테이블!$F:$I,3,0)</f>
        <v/>
      </c>
      <c r="O8587" s="94">
        <f>VLOOKUP($Q8587,매칭테이블!$F:$I,4,0)*K8587</f>
        <v/>
      </c>
      <c r="P8587" s="148">
        <f>M8587/1.1</f>
        <v/>
      </c>
      <c r="Q8587" s="94">
        <f>F8587&amp;E8587&amp;G8587&amp;L8587</f>
        <v/>
      </c>
    </row>
    <row r="8588" customFormat="1" s="94">
      <c r="B8588" s="128" t="n">
        <v>44064</v>
      </c>
      <c r="C8588" s="94">
        <f>TEXT(B8588,"aaa")</f>
        <v/>
      </c>
      <c r="E8588" s="94" t="inlineStr">
        <is>
          <t>토너</t>
        </is>
      </c>
      <c r="F8588" s="5" t="inlineStr">
        <is>
          <t>카페24</t>
        </is>
      </c>
      <c r="G8588" s="94" t="inlineStr">
        <is>
          <t>스킨팩 화장솜 60P</t>
        </is>
      </c>
      <c r="H8588" s="7" t="n">
        <v>190801</v>
      </c>
      <c r="I8588" s="7" t="n">
        <v>190801</v>
      </c>
      <c r="K8588" s="94" t="n">
        <v>64</v>
      </c>
      <c r="L8588" s="7" t="n">
        <v>190801</v>
      </c>
      <c r="M8588" s="94">
        <f>VLOOKUP($Q8588,매칭테이블!$F:$I,2,0)*K8588</f>
        <v/>
      </c>
      <c r="N8588" s="94">
        <f>M8588-M8588*VLOOKUP($Q8588,매칭테이블!$F:$I,3,0)</f>
        <v/>
      </c>
      <c r="O8588" s="94">
        <f>VLOOKUP($Q8588,매칭테이블!$F:$I,4,0)*K8588</f>
        <v/>
      </c>
      <c r="P8588" s="148">
        <f>M8588/1.1</f>
        <v/>
      </c>
      <c r="Q8588" s="94">
        <f>F8588&amp;E8588&amp;G8588&amp;L8588</f>
        <v/>
      </c>
    </row>
    <row r="8589" customFormat="1" s="94">
      <c r="B8589" s="128" t="n">
        <v>44064</v>
      </c>
      <c r="C8589" s="94">
        <f>TEXT(B8589,"aaa")</f>
        <v/>
      </c>
      <c r="E8589" s="94" t="inlineStr">
        <is>
          <t>앰플</t>
        </is>
      </c>
      <c r="F8589" s="5" t="inlineStr">
        <is>
          <t>카페24</t>
        </is>
      </c>
      <c r="G8589" s="94" t="inlineStr">
        <is>
          <t>앰플 30ml</t>
        </is>
      </c>
      <c r="H8589" s="7" t="n">
        <v>190801</v>
      </c>
      <c r="I8589" s="7" t="n">
        <v>190801</v>
      </c>
      <c r="K8589" s="94" t="n">
        <v>17</v>
      </c>
      <c r="L8589" s="7" t="n">
        <v>190801</v>
      </c>
      <c r="M8589" s="94">
        <f>VLOOKUP($Q8589,매칭테이블!$F:$I,2,0)*K8589</f>
        <v/>
      </c>
      <c r="N8589" s="94">
        <f>M8589-M8589*VLOOKUP($Q8589,매칭테이블!$F:$I,3,0)</f>
        <v/>
      </c>
      <c r="O8589" s="94">
        <f>VLOOKUP($Q8589,매칭테이블!$F:$I,4,0)*K8589</f>
        <v/>
      </c>
      <c r="P8589" s="148">
        <f>M8589/1.1</f>
        <v/>
      </c>
      <c r="Q8589" s="94">
        <f>F8589&amp;E8589&amp;G8589&amp;L8589</f>
        <v/>
      </c>
    </row>
    <row r="8590" customFormat="1" s="94">
      <c r="B8590" s="128" t="n">
        <v>44064</v>
      </c>
      <c r="C8590" s="94">
        <f>TEXT(B8590,"aaa")</f>
        <v/>
      </c>
      <c r="E8590" s="94" t="inlineStr">
        <is>
          <t>앰플</t>
        </is>
      </c>
      <c r="F8590" s="5" t="inlineStr">
        <is>
          <t>카페24</t>
        </is>
      </c>
      <c r="G8590" s="94" t="inlineStr">
        <is>
          <t>앰플 30ml  2set</t>
        </is>
      </c>
      <c r="H8590" s="7" t="n">
        <v>190801</v>
      </c>
      <c r="I8590" s="7" t="n">
        <v>190801</v>
      </c>
      <c r="K8590" s="94" t="n">
        <v>4</v>
      </c>
      <c r="L8590" s="7" t="n">
        <v>190801</v>
      </c>
      <c r="M8590" s="94">
        <f>VLOOKUP($Q8590,매칭테이블!$F:$I,2,0)*K8590</f>
        <v/>
      </c>
      <c r="N8590" s="94">
        <f>M8590-M8590*VLOOKUP($Q8590,매칭테이블!$F:$I,3,0)</f>
        <v/>
      </c>
      <c r="O8590" s="94">
        <f>VLOOKUP($Q8590,매칭테이블!$F:$I,4,0)*K8590</f>
        <v/>
      </c>
      <c r="P8590" s="148">
        <f>M8590/1.1</f>
        <v/>
      </c>
      <c r="Q8590" s="94">
        <f>F8590&amp;E8590&amp;G8590&amp;L8590</f>
        <v/>
      </c>
    </row>
    <row r="8591" customFormat="1" s="94">
      <c r="B8591" s="128" t="n">
        <v>44064</v>
      </c>
      <c r="C8591" s="94">
        <f>TEXT(B8591,"aaa")</f>
        <v/>
      </c>
      <c r="E8591" s="94" t="inlineStr">
        <is>
          <t>수딩크림</t>
        </is>
      </c>
      <c r="F8591" s="5" t="inlineStr">
        <is>
          <t>카페24</t>
        </is>
      </c>
      <c r="G8591" s="94" t="inlineStr">
        <is>
          <t>수딩크림 100ml</t>
        </is>
      </c>
      <c r="H8591" s="7" t="n">
        <v>190801</v>
      </c>
      <c r="I8591" s="7" t="n">
        <v>190801</v>
      </c>
      <c r="K8591" s="94" t="n">
        <v>4</v>
      </c>
      <c r="L8591" s="7" t="n">
        <v>190801</v>
      </c>
      <c r="M8591" s="94">
        <f>VLOOKUP($Q8591,매칭테이블!$F:$I,2,0)*K8591</f>
        <v/>
      </c>
      <c r="N8591" s="94">
        <f>M8591-M8591*VLOOKUP($Q8591,매칭테이블!$F:$I,3,0)</f>
        <v/>
      </c>
      <c r="O8591" s="94">
        <f>VLOOKUP($Q8591,매칭테이블!$F:$I,4,0)*K8591</f>
        <v/>
      </c>
      <c r="P8591" s="148">
        <f>M8591/1.1</f>
        <v/>
      </c>
      <c r="Q8591" s="94">
        <f>F8591&amp;E8591&amp;G8591&amp;L8591</f>
        <v/>
      </c>
    </row>
    <row r="8592" customFormat="1" s="94">
      <c r="B8592" s="128" t="n">
        <v>44064</v>
      </c>
      <c r="C8592" s="94">
        <f>TEXT(B8592,"aaa")</f>
        <v/>
      </c>
      <c r="E8592" s="94" t="inlineStr">
        <is>
          <t>클렌징폼</t>
        </is>
      </c>
      <c r="F8592" s="5" t="inlineStr">
        <is>
          <t>카페24</t>
        </is>
      </c>
      <c r="G8592" s="94" t="inlineStr">
        <is>
          <t>클렌징폼 120ml</t>
        </is>
      </c>
      <c r="H8592" s="7" t="n">
        <v>190801</v>
      </c>
      <c r="I8592" s="7" t="n">
        <v>190801</v>
      </c>
      <c r="K8592" s="94" t="n">
        <v>5</v>
      </c>
      <c r="L8592" s="7" t="n">
        <v>190801</v>
      </c>
      <c r="M8592" s="94">
        <f>VLOOKUP($Q8592,매칭테이블!$F:$I,2,0)*K8592</f>
        <v/>
      </c>
      <c r="N8592" s="94">
        <f>M8592-M8592*VLOOKUP($Q8592,매칭테이블!$F:$I,3,0)</f>
        <v/>
      </c>
      <c r="O8592" s="94">
        <f>VLOOKUP($Q8592,매칭테이블!$F:$I,4,0)*K8592</f>
        <v/>
      </c>
      <c r="P8592" s="148">
        <f>M8592/1.1</f>
        <v/>
      </c>
      <c r="Q8592" s="94">
        <f>F8592&amp;E8592&amp;G8592&amp;L8592</f>
        <v/>
      </c>
    </row>
    <row r="8593" customFormat="1" s="94">
      <c r="B8593" s="128" t="n">
        <v>44064</v>
      </c>
      <c r="C8593" s="94">
        <f>TEXT(B8593,"aaa")</f>
        <v/>
      </c>
      <c r="E8593" s="94" t="inlineStr">
        <is>
          <t>클렌징폼</t>
        </is>
      </c>
      <c r="F8593" s="5" t="inlineStr">
        <is>
          <t>카페24</t>
        </is>
      </c>
      <c r="G8593" s="94" t="inlineStr">
        <is>
          <t>클렌징폼 120ml 2set</t>
        </is>
      </c>
      <c r="H8593" s="7" t="n">
        <v>190801</v>
      </c>
      <c r="I8593" s="7" t="n">
        <v>190801</v>
      </c>
      <c r="K8593" s="94" t="n">
        <v>1</v>
      </c>
      <c r="L8593" s="7" t="n">
        <v>190801</v>
      </c>
      <c r="M8593" s="94">
        <f>VLOOKUP($Q8593,매칭테이블!$F:$I,2,0)*K8593</f>
        <v/>
      </c>
      <c r="N8593" s="94">
        <f>M8593-M8593*VLOOKUP($Q8593,매칭테이블!$F:$I,3,0)</f>
        <v/>
      </c>
      <c r="O8593" s="94">
        <f>VLOOKUP($Q8593,매칭테이블!$F:$I,4,0)*K8593</f>
        <v/>
      </c>
      <c r="P8593" s="148">
        <f>M8593/1.1</f>
        <v/>
      </c>
      <c r="Q8593" s="94">
        <f>F8593&amp;E8593&amp;G8593&amp;L8593</f>
        <v/>
      </c>
    </row>
    <row r="8594" customFormat="1" s="94">
      <c r="B8594" s="128" t="n">
        <v>44064</v>
      </c>
      <c r="C8594" s="94">
        <f>TEXT(B8594,"aaa")</f>
        <v/>
      </c>
      <c r="E8594" s="94" t="inlineStr">
        <is>
          <t>클렌징폼</t>
        </is>
      </c>
      <c r="F8594" s="5" t="inlineStr">
        <is>
          <t>카페24</t>
        </is>
      </c>
      <c r="G8594" s="94" t="inlineStr">
        <is>
          <t>클렌징폼 120ml 3set</t>
        </is>
      </c>
      <c r="H8594" s="7" t="n">
        <v>190801</v>
      </c>
      <c r="I8594" s="7" t="n">
        <v>190801</v>
      </c>
      <c r="K8594" s="94" t="n">
        <v>1</v>
      </c>
      <c r="L8594" s="7" t="n">
        <v>190801</v>
      </c>
      <c r="M8594" s="94">
        <f>VLOOKUP($Q8594,매칭테이블!$F:$I,2,0)*K8594</f>
        <v/>
      </c>
      <c r="N8594" s="94">
        <f>M8594-M8594*VLOOKUP($Q8594,매칭테이블!$F:$I,3,0)</f>
        <v/>
      </c>
      <c r="O8594" s="94">
        <f>VLOOKUP($Q8594,매칭테이블!$F:$I,4,0)*K8594</f>
        <v/>
      </c>
      <c r="P8594" s="148">
        <f>M8594/1.1</f>
        <v/>
      </c>
      <c r="Q8594" s="94">
        <f>F8594&amp;E8594&amp;G8594&amp;L8594</f>
        <v/>
      </c>
    </row>
    <row r="8595" customFormat="1" s="94">
      <c r="B8595" s="128" t="n">
        <v>44064</v>
      </c>
      <c r="C8595" s="94">
        <f>TEXT(B8595,"aaa")</f>
        <v/>
      </c>
      <c r="E8595" s="94" t="inlineStr">
        <is>
          <t>토너</t>
        </is>
      </c>
      <c r="F8595" s="5" t="inlineStr">
        <is>
          <t>아누아 CS</t>
        </is>
      </c>
      <c r="G8595" s="94" t="inlineStr">
        <is>
          <t>250ml</t>
        </is>
      </c>
      <c r="H8595" s="7" t="n">
        <v>190801</v>
      </c>
      <c r="I8595" s="7" t="n">
        <v>190801</v>
      </c>
      <c r="K8595" s="94" t="n">
        <v>1</v>
      </c>
      <c r="L8595" s="7" t="n">
        <v>190801</v>
      </c>
      <c r="M8595" s="94">
        <f>VLOOKUP($Q8595,매칭테이블!$F:$I,2,0)*K8595</f>
        <v/>
      </c>
      <c r="N8595" s="94">
        <f>M8595-M8595*VLOOKUP($Q8595,매칭테이블!$F:$I,3,0)</f>
        <v/>
      </c>
      <c r="O8595" s="94">
        <f>VLOOKUP($Q8595,매칭테이블!$F:$I,4,0)*K8595</f>
        <v/>
      </c>
      <c r="P8595" s="148">
        <f>M8595/1.1</f>
        <v/>
      </c>
      <c r="Q8595" s="94">
        <f>F8595&amp;E8595&amp;G8595&amp;L8595</f>
        <v/>
      </c>
    </row>
    <row r="8596" customFormat="1" s="94">
      <c r="B8596" s="128" t="n">
        <v>44064</v>
      </c>
      <c r="C8596" s="94">
        <f>TEXT(B8596,"aaa")</f>
        <v/>
      </c>
      <c r="E8596" s="94" t="inlineStr">
        <is>
          <t>토너</t>
        </is>
      </c>
      <c r="F8596" s="5" t="inlineStr">
        <is>
          <t>큐텐재팬</t>
        </is>
      </c>
      <c r="G8596" s="94" t="inlineStr">
        <is>
          <t>200726=250ml</t>
        </is>
      </c>
      <c r="H8596" s="7" t="n">
        <v>190801</v>
      </c>
      <c r="I8596" s="7" t="n">
        <v>190801</v>
      </c>
      <c r="K8596" s="94" t="n">
        <v>5</v>
      </c>
      <c r="L8596" s="7" t="n">
        <v>190801</v>
      </c>
      <c r="M8596" s="94">
        <f>VLOOKUP($Q8596,매칭테이블!$F:$I,2,0)*K8596</f>
        <v/>
      </c>
      <c r="N8596" s="94">
        <f>M8596-M8596*VLOOKUP($Q8596,매칭테이블!$F:$I,3,0)</f>
        <v/>
      </c>
      <c r="O8596" s="94">
        <f>VLOOKUP($Q8596,매칭테이블!$F:$I,4,0)*K8596</f>
        <v/>
      </c>
      <c r="P8596" s="148">
        <f>M8596/1.1</f>
        <v/>
      </c>
      <c r="Q8596" s="94">
        <f>F8596&amp;E8596&amp;G8596&amp;L8596</f>
        <v/>
      </c>
    </row>
    <row r="8597" customFormat="1" s="94">
      <c r="B8597" s="128" t="n">
        <v>44064</v>
      </c>
      <c r="C8597" s="94">
        <f>TEXT(B8597,"aaa")</f>
        <v/>
      </c>
      <c r="E8597" s="94" t="inlineStr">
        <is>
          <t>토너</t>
        </is>
      </c>
      <c r="F8597" s="5" t="inlineStr">
        <is>
          <t>큐텐재팬</t>
        </is>
      </c>
      <c r="G8597" s="94" t="inlineStr">
        <is>
          <t>200726=250ml 2set</t>
        </is>
      </c>
      <c r="H8597" s="7" t="n">
        <v>190801</v>
      </c>
      <c r="I8597" s="7" t="n">
        <v>190801</v>
      </c>
      <c r="K8597" s="94" t="n">
        <v>1</v>
      </c>
      <c r="L8597" s="7" t="n">
        <v>190801</v>
      </c>
      <c r="M8597" s="94">
        <f>VLOOKUP($Q8597,매칭테이블!$F:$I,2,0)*K8597</f>
        <v/>
      </c>
      <c r="N8597" s="94">
        <f>M8597-M8597*VLOOKUP($Q8597,매칭테이블!$F:$I,3,0)</f>
        <v/>
      </c>
      <c r="O8597" s="94">
        <f>VLOOKUP($Q8597,매칭테이블!$F:$I,4,0)*K8597</f>
        <v/>
      </c>
      <c r="P8597" s="148">
        <f>M8597/1.1</f>
        <v/>
      </c>
      <c r="Q8597" s="94">
        <f>F8597&amp;E8597&amp;G8597&amp;L8597</f>
        <v/>
      </c>
    </row>
    <row r="8598" customFormat="1" s="94">
      <c r="B8598" s="128" t="n">
        <v>44064</v>
      </c>
      <c r="C8598" s="94">
        <f>TEXT(B8598,"aaa")</f>
        <v/>
      </c>
      <c r="E8598" s="94" t="inlineStr">
        <is>
          <t>토너</t>
        </is>
      </c>
      <c r="F8598" s="5" t="inlineStr">
        <is>
          <t>쇼피말레이시아</t>
        </is>
      </c>
      <c r="G8598" s="94" t="inlineStr">
        <is>
          <t>200820=250ml</t>
        </is>
      </c>
      <c r="H8598" s="7" t="n">
        <v>190801</v>
      </c>
      <c r="I8598" s="7" t="n">
        <v>190801</v>
      </c>
      <c r="K8598" s="94" t="n">
        <v>1</v>
      </c>
      <c r="L8598" s="7" t="n">
        <v>190801</v>
      </c>
      <c r="M8598" s="94">
        <f>VLOOKUP($Q8598,매칭테이블!$F:$I,2,0)*K8598</f>
        <v/>
      </c>
      <c r="N8598" s="94">
        <f>M8598-M8598*VLOOKUP($Q8598,매칭테이블!$F:$I,3,0)</f>
        <v/>
      </c>
      <c r="O8598" s="94">
        <f>VLOOKUP($Q8598,매칭테이블!$F:$I,4,0)*K8598</f>
        <v/>
      </c>
      <c r="P8598" s="148">
        <f>M8598/1.1</f>
        <v/>
      </c>
      <c r="Q8598" s="94">
        <f>F8598&amp;E8598&amp;G8598&amp;L8598</f>
        <v/>
      </c>
    </row>
    <row r="8599" customFormat="1" s="94">
      <c r="B8599" s="128" t="n">
        <v>44064</v>
      </c>
      <c r="C8599" s="94">
        <f>TEXT(B8599,"aaa")</f>
        <v/>
      </c>
      <c r="E8599" s="94" t="inlineStr">
        <is>
          <t>머드크림마스크</t>
        </is>
      </c>
      <c r="F8599" s="5" t="inlineStr">
        <is>
          <t>화해</t>
        </is>
      </c>
      <c r="G8599" s="94" t="inlineStr">
        <is>
          <t>머드크림마스크 100ml</t>
        </is>
      </c>
      <c r="H8599" s="7" t="n">
        <v>190801</v>
      </c>
      <c r="I8599" s="7" t="n">
        <v>190801</v>
      </c>
      <c r="K8599" s="94" t="n">
        <v>1</v>
      </c>
      <c r="L8599" s="7" t="n">
        <v>190801</v>
      </c>
      <c r="M8599" s="94">
        <f>VLOOKUP($Q8599,매칭테이블!$F:$I,2,0)*K8599</f>
        <v/>
      </c>
      <c r="N8599" s="94">
        <f>M8599-M8599*VLOOKUP($Q8599,매칭테이블!$F:$I,3,0)</f>
        <v/>
      </c>
      <c r="O8599" s="94">
        <f>VLOOKUP($Q8599,매칭테이블!$F:$I,4,0)*K8599</f>
        <v/>
      </c>
      <c r="P8599" s="148">
        <f>M8599/1.1</f>
        <v/>
      </c>
      <c r="Q8599" s="94">
        <f>F8599&amp;E8599&amp;G8599&amp;L8599</f>
        <v/>
      </c>
    </row>
    <row r="8600" customFormat="1" s="94">
      <c r="B8600" s="128" t="n">
        <v>44065</v>
      </c>
      <c r="C8600" s="94">
        <f>TEXT(B8600,"aaa")</f>
        <v/>
      </c>
      <c r="E8600" s="94" t="inlineStr">
        <is>
          <t>토너</t>
        </is>
      </c>
      <c r="F8600" s="5" t="inlineStr">
        <is>
          <t>스타일쉐어</t>
        </is>
      </c>
      <c r="G8600" s="94" t="inlineStr">
        <is>
          <t>250ml</t>
        </is>
      </c>
      <c r="H8600" s="7" t="n">
        <v>190801</v>
      </c>
      <c r="I8600" s="7" t="n">
        <v>190801</v>
      </c>
      <c r="K8600" s="94" t="n">
        <v>10</v>
      </c>
      <c r="L8600" s="7" t="n">
        <v>190801</v>
      </c>
      <c r="M8600" s="94">
        <f>VLOOKUP($Q8600,매칭테이블!$F:$I,2,0)*K8600</f>
        <v/>
      </c>
      <c r="N8600" s="94">
        <f>M8600-M8600*VLOOKUP($Q8600,매칭테이블!$F:$I,3,0)</f>
        <v/>
      </c>
      <c r="O8600" s="94">
        <f>VLOOKUP($Q8600,매칭테이블!$F:$I,4,0)*K8600</f>
        <v/>
      </c>
      <c r="P8600" s="148">
        <f>M8600/1.1</f>
        <v/>
      </c>
      <c r="Q8600" s="94">
        <f>F8600&amp;E8600&amp;G8600&amp;L8600</f>
        <v/>
      </c>
    </row>
    <row r="8601" customFormat="1" s="94">
      <c r="B8601" s="128" t="n">
        <v>44065</v>
      </c>
      <c r="C8601" s="94">
        <f>TEXT(B8601,"aaa")</f>
        <v/>
      </c>
      <c r="E8601" s="94" t="inlineStr">
        <is>
          <t>선크림</t>
        </is>
      </c>
      <c r="F8601" s="5" t="inlineStr">
        <is>
          <t>카페24</t>
        </is>
      </c>
      <c r="G8601" s="94" t="inlineStr">
        <is>
          <t>선크림 50ml</t>
        </is>
      </c>
      <c r="H8601" s="7" t="n">
        <v>190801</v>
      </c>
      <c r="I8601" s="7" t="n">
        <v>190801</v>
      </c>
      <c r="K8601" s="94" t="n">
        <v>1</v>
      </c>
      <c r="L8601" s="7" t="n">
        <v>190801</v>
      </c>
      <c r="M8601" s="94">
        <f>VLOOKUP($Q8601,매칭테이블!$F:$I,2,0)*K8601</f>
        <v/>
      </c>
      <c r="N8601" s="94">
        <f>M8601-M8601*VLOOKUP($Q8601,매칭테이블!$F:$I,3,0)</f>
        <v/>
      </c>
      <c r="O8601" s="94">
        <f>VLOOKUP($Q8601,매칭테이블!$F:$I,4,0)*K8601</f>
        <v/>
      </c>
      <c r="P8601" s="148">
        <f>M8601/1.1</f>
        <v/>
      </c>
      <c r="Q8601" s="94">
        <f>F8601&amp;E8601&amp;G8601&amp;L8601</f>
        <v/>
      </c>
    </row>
    <row r="8602" customFormat="1" s="94">
      <c r="B8602" s="128" t="n">
        <v>44065</v>
      </c>
      <c r="C8602" s="94">
        <f>TEXT(B8602,"aaa")</f>
        <v/>
      </c>
      <c r="E8602" s="94" t="inlineStr">
        <is>
          <t>여름 한정 진정세트</t>
        </is>
      </c>
      <c r="F8602" s="5" t="inlineStr">
        <is>
          <t>카페24</t>
        </is>
      </c>
      <c r="G8602" s="94" t="inlineStr">
        <is>
          <t>여름 한정 진정세트</t>
        </is>
      </c>
      <c r="H8602" s="7" t="n">
        <v>190801</v>
      </c>
      <c r="I8602" s="7" t="n">
        <v>190801</v>
      </c>
      <c r="K8602" s="94" t="n">
        <v>1</v>
      </c>
      <c r="L8602" s="7" t="n">
        <v>190801</v>
      </c>
      <c r="M8602" s="94">
        <f>VLOOKUP($Q8602,매칭테이블!$F:$I,2,0)*K8602</f>
        <v/>
      </c>
      <c r="N8602" s="94">
        <f>M8602-M8602*VLOOKUP($Q8602,매칭테이블!$F:$I,3,0)</f>
        <v/>
      </c>
      <c r="O8602" s="94">
        <f>VLOOKUP($Q8602,매칭테이블!$F:$I,4,0)*K8602</f>
        <v/>
      </c>
      <c r="P8602" s="148">
        <f>M8602/1.1</f>
        <v/>
      </c>
      <c r="Q8602" s="94">
        <f>F8602&amp;E8602&amp;G8602&amp;L8602</f>
        <v/>
      </c>
    </row>
    <row r="8603" customFormat="1" s="94">
      <c r="B8603" s="128" t="n">
        <v>44065</v>
      </c>
      <c r="C8603" s="94">
        <f>TEXT(B8603,"aaa")</f>
        <v/>
      </c>
      <c r="E8603" s="94" t="inlineStr">
        <is>
          <t>여름 한정 진정세트</t>
        </is>
      </c>
      <c r="F8603" s="5" t="inlineStr">
        <is>
          <t>카페24</t>
        </is>
      </c>
      <c r="G8603" s="94" t="inlineStr">
        <is>
          <t>여름 한정 진정세트 (대용량)</t>
        </is>
      </c>
      <c r="H8603" s="7" t="n">
        <v>190801</v>
      </c>
      <c r="I8603" s="7" t="n">
        <v>190801</v>
      </c>
      <c r="K8603" s="94" t="n">
        <v>2</v>
      </c>
      <c r="L8603" s="7" t="n">
        <v>190801</v>
      </c>
      <c r="M8603" s="94">
        <f>VLOOKUP($Q8603,매칭테이블!$F:$I,2,0)*K8603</f>
        <v/>
      </c>
      <c r="N8603" s="94">
        <f>M8603-M8603*VLOOKUP($Q8603,매칭테이블!$F:$I,3,0)</f>
        <v/>
      </c>
      <c r="O8603" s="94">
        <f>VLOOKUP($Q8603,매칭테이블!$F:$I,4,0)*K8603</f>
        <v/>
      </c>
      <c r="P8603" s="148">
        <f>M8603/1.1</f>
        <v/>
      </c>
      <c r="Q8603" s="94">
        <f>F8603&amp;E8603&amp;G8603&amp;L8603</f>
        <v/>
      </c>
    </row>
    <row r="8604" customFormat="1" s="94">
      <c r="B8604" s="128" t="n">
        <v>44065</v>
      </c>
      <c r="C8604" s="94">
        <f>TEXT(B8604,"aaa")</f>
        <v/>
      </c>
      <c r="E8604" s="94" t="inlineStr">
        <is>
          <t>머드크림마스크</t>
        </is>
      </c>
      <c r="F8604" s="5" t="inlineStr">
        <is>
          <t>카페24</t>
        </is>
      </c>
      <c r="G8604" s="94" t="inlineStr">
        <is>
          <t>머드크림마스크 100ml</t>
        </is>
      </c>
      <c r="H8604" s="7" t="n">
        <v>190801</v>
      </c>
      <c r="I8604" s="7" t="n">
        <v>190801</v>
      </c>
      <c r="K8604" s="94" t="n">
        <v>2</v>
      </c>
      <c r="L8604" s="7" t="n">
        <v>190801</v>
      </c>
      <c r="M8604" s="94">
        <f>VLOOKUP($Q8604,매칭테이블!$F:$I,2,0)*K8604</f>
        <v/>
      </c>
      <c r="N8604" s="94">
        <f>M8604-M8604*VLOOKUP($Q8604,매칭테이블!$F:$I,3,0)</f>
        <v/>
      </c>
      <c r="O8604" s="94">
        <f>VLOOKUP($Q8604,매칭테이블!$F:$I,4,0)*K8604</f>
        <v/>
      </c>
      <c r="P8604" s="148">
        <f>M8604/1.1</f>
        <v/>
      </c>
      <c r="Q8604" s="94">
        <f>F8604&amp;E8604&amp;G8604&amp;L8604</f>
        <v/>
      </c>
    </row>
    <row r="8605" customFormat="1" s="94">
      <c r="B8605" s="128" t="n">
        <v>44065</v>
      </c>
      <c r="C8605" s="94">
        <f>TEXT(B8605,"aaa")</f>
        <v/>
      </c>
      <c r="E8605" s="94" t="inlineStr">
        <is>
          <t>마스크팩</t>
        </is>
      </c>
      <c r="F8605" s="5" t="inlineStr">
        <is>
          <t>카페24</t>
        </is>
      </c>
      <c r="G8605" s="94" t="inlineStr">
        <is>
          <t>마스크팩 10매</t>
        </is>
      </c>
      <c r="H8605" s="7" t="n">
        <v>190801</v>
      </c>
      <c r="I8605" s="7" t="n">
        <v>190801</v>
      </c>
      <c r="K8605" s="94" t="n">
        <v>5</v>
      </c>
      <c r="L8605" s="7" t="n">
        <v>190801</v>
      </c>
      <c r="M8605" s="94">
        <f>VLOOKUP($Q8605,매칭테이블!$F:$I,2,0)*K8605</f>
        <v/>
      </c>
      <c r="N8605" s="94">
        <f>M8605-M8605*VLOOKUP($Q8605,매칭테이블!$F:$I,3,0)</f>
        <v/>
      </c>
      <c r="O8605" s="94">
        <f>VLOOKUP($Q8605,매칭테이블!$F:$I,4,0)*K8605</f>
        <v/>
      </c>
      <c r="P8605" s="148">
        <f>M8605/1.1</f>
        <v/>
      </c>
      <c r="Q8605" s="94">
        <f>F8605&amp;E8605&amp;G8605&amp;L8605</f>
        <v/>
      </c>
    </row>
    <row r="8606" customFormat="1" s="94">
      <c r="B8606" s="128" t="n">
        <v>44065</v>
      </c>
      <c r="C8606" s="94">
        <f>TEXT(B8606,"aaa")</f>
        <v/>
      </c>
      <c r="E8606" s="94" t="inlineStr">
        <is>
          <t>토너</t>
        </is>
      </c>
      <c r="F8606" s="5" t="inlineStr">
        <is>
          <t>카페24</t>
        </is>
      </c>
      <c r="G8606" s="94" t="inlineStr">
        <is>
          <t>250ml</t>
        </is>
      </c>
      <c r="H8606" s="7" t="n">
        <v>190801</v>
      </c>
      <c r="I8606" s="7" t="n">
        <v>190801</v>
      </c>
      <c r="K8606" s="94" t="n">
        <v>47</v>
      </c>
      <c r="L8606" s="7" t="n">
        <v>190801</v>
      </c>
      <c r="M8606" s="94">
        <f>VLOOKUP($Q8606,매칭테이블!$F:$I,2,0)*K8606</f>
        <v/>
      </c>
      <c r="N8606" s="94">
        <f>M8606-M8606*VLOOKUP($Q8606,매칭테이블!$F:$I,3,0)</f>
        <v/>
      </c>
      <c r="O8606" s="94">
        <f>VLOOKUP($Q8606,매칭테이블!$F:$I,4,0)*K8606</f>
        <v/>
      </c>
      <c r="P8606" s="148">
        <f>M8606/1.1</f>
        <v/>
      </c>
      <c r="Q8606" s="94">
        <f>F8606&amp;E8606&amp;G8606&amp;L8606</f>
        <v/>
      </c>
    </row>
    <row r="8607" customFormat="1" s="94">
      <c r="B8607" s="128" t="n">
        <v>44065</v>
      </c>
      <c r="C8607" s="94">
        <f>TEXT(B8607,"aaa")</f>
        <v/>
      </c>
      <c r="E8607" s="94" t="inlineStr">
        <is>
          <t>토너</t>
        </is>
      </c>
      <c r="F8607" s="5" t="inlineStr">
        <is>
          <t>카페24</t>
        </is>
      </c>
      <c r="G8607" s="94" t="inlineStr">
        <is>
          <t>250ml 2set</t>
        </is>
      </c>
      <c r="H8607" s="7" t="n">
        <v>190801</v>
      </c>
      <c r="I8607" s="7" t="n">
        <v>190801</v>
      </c>
      <c r="K8607" s="94" t="n">
        <v>23</v>
      </c>
      <c r="L8607" s="7" t="n">
        <v>190801</v>
      </c>
      <c r="M8607" s="94">
        <f>VLOOKUP($Q8607,매칭테이블!$F:$I,2,0)*K8607</f>
        <v/>
      </c>
      <c r="N8607" s="94">
        <f>M8607-M8607*VLOOKUP($Q8607,매칭테이블!$F:$I,3,0)</f>
        <v/>
      </c>
      <c r="O8607" s="94">
        <f>VLOOKUP($Q8607,매칭테이블!$F:$I,4,0)*K8607</f>
        <v/>
      </c>
      <c r="P8607" s="148">
        <f>M8607/1.1</f>
        <v/>
      </c>
      <c r="Q8607" s="94">
        <f>F8607&amp;E8607&amp;G8607&amp;L8607</f>
        <v/>
      </c>
    </row>
    <row r="8608" customFormat="1" s="94">
      <c r="B8608" s="128" t="n">
        <v>44065</v>
      </c>
      <c r="C8608" s="94">
        <f>TEXT(B8608,"aaa")</f>
        <v/>
      </c>
      <c r="E8608" s="94" t="inlineStr">
        <is>
          <t>토너</t>
        </is>
      </c>
      <c r="F8608" s="5" t="inlineStr">
        <is>
          <t>카페24</t>
        </is>
      </c>
      <c r="G8608" s="94" t="inlineStr">
        <is>
          <t>500ml</t>
        </is>
      </c>
      <c r="H8608" s="7" t="n">
        <v>190801</v>
      </c>
      <c r="I8608" s="7" t="n">
        <v>190801</v>
      </c>
      <c r="K8608" s="94" t="n">
        <v>35</v>
      </c>
      <c r="L8608" s="7" t="n">
        <v>190801</v>
      </c>
      <c r="M8608" s="94">
        <f>VLOOKUP($Q8608,매칭테이블!$F:$I,2,0)*K8608</f>
        <v/>
      </c>
      <c r="N8608" s="94">
        <f>M8608-M8608*VLOOKUP($Q8608,매칭테이블!$F:$I,3,0)</f>
        <v/>
      </c>
      <c r="O8608" s="94">
        <f>VLOOKUP($Q8608,매칭테이블!$F:$I,4,0)*K8608</f>
        <v/>
      </c>
      <c r="P8608" s="148">
        <f>M8608/1.1</f>
        <v/>
      </c>
      <c r="Q8608" s="94">
        <f>F8608&amp;E8608&amp;G8608&amp;L8608</f>
        <v/>
      </c>
    </row>
    <row r="8609" customFormat="1" s="94">
      <c r="B8609" s="128" t="n">
        <v>44065</v>
      </c>
      <c r="C8609" s="94">
        <f>TEXT(B8609,"aaa")</f>
        <v/>
      </c>
      <c r="E8609" s="94" t="inlineStr">
        <is>
          <t>토너</t>
        </is>
      </c>
      <c r="F8609" s="5" t="inlineStr">
        <is>
          <t>카페24</t>
        </is>
      </c>
      <c r="G8609" s="94" t="inlineStr">
        <is>
          <t>스킨팩 화장솜 60P</t>
        </is>
      </c>
      <c r="H8609" s="7" t="n">
        <v>190801</v>
      </c>
      <c r="I8609" s="7" t="n">
        <v>190801</v>
      </c>
      <c r="K8609" s="94" t="n">
        <v>33</v>
      </c>
      <c r="L8609" s="7" t="n">
        <v>190801</v>
      </c>
      <c r="M8609" s="94">
        <f>VLOOKUP($Q8609,매칭테이블!$F:$I,2,0)*K8609</f>
        <v/>
      </c>
      <c r="N8609" s="94">
        <f>M8609-M8609*VLOOKUP($Q8609,매칭테이블!$F:$I,3,0)</f>
        <v/>
      </c>
      <c r="O8609" s="94">
        <f>VLOOKUP($Q8609,매칭테이블!$F:$I,4,0)*K8609</f>
        <v/>
      </c>
      <c r="P8609" s="148">
        <f>M8609/1.1</f>
        <v/>
      </c>
      <c r="Q8609" s="94">
        <f>F8609&amp;E8609&amp;G8609&amp;L8609</f>
        <v/>
      </c>
    </row>
    <row r="8610" customFormat="1" s="94">
      <c r="B8610" s="128" t="n">
        <v>44065</v>
      </c>
      <c r="C8610" s="94">
        <f>TEXT(B8610,"aaa")</f>
        <v/>
      </c>
      <c r="E8610" s="94" t="inlineStr">
        <is>
          <t>앰플</t>
        </is>
      </c>
      <c r="F8610" s="5" t="inlineStr">
        <is>
          <t>카페24</t>
        </is>
      </c>
      <c r="G8610" s="94" t="inlineStr">
        <is>
          <t>앰플 30ml</t>
        </is>
      </c>
      <c r="H8610" s="7" t="n">
        <v>190801</v>
      </c>
      <c r="I8610" s="7" t="n">
        <v>190801</v>
      </c>
      <c r="K8610" s="94" t="n">
        <v>13</v>
      </c>
      <c r="L8610" s="7" t="n">
        <v>190801</v>
      </c>
      <c r="M8610" s="94">
        <f>VLOOKUP($Q8610,매칭테이블!$F:$I,2,0)*K8610</f>
        <v/>
      </c>
      <c r="N8610" s="94">
        <f>M8610-M8610*VLOOKUP($Q8610,매칭테이블!$F:$I,3,0)</f>
        <v/>
      </c>
      <c r="O8610" s="94">
        <f>VLOOKUP($Q8610,매칭테이블!$F:$I,4,0)*K8610</f>
        <v/>
      </c>
      <c r="P8610" s="148">
        <f>M8610/1.1</f>
        <v/>
      </c>
      <c r="Q8610" s="94">
        <f>F8610&amp;E8610&amp;G8610&amp;L8610</f>
        <v/>
      </c>
    </row>
    <row r="8611" customFormat="1" s="94">
      <c r="B8611" s="128" t="n">
        <v>44065</v>
      </c>
      <c r="C8611" s="94">
        <f>TEXT(B8611,"aaa")</f>
        <v/>
      </c>
      <c r="E8611" s="94" t="inlineStr">
        <is>
          <t>앰플</t>
        </is>
      </c>
      <c r="F8611" s="5" t="inlineStr">
        <is>
          <t>카페24</t>
        </is>
      </c>
      <c r="G8611" s="94" t="inlineStr">
        <is>
          <t>앰플 30ml  2set</t>
        </is>
      </c>
      <c r="H8611" s="7" t="n">
        <v>190801</v>
      </c>
      <c r="I8611" s="7" t="n">
        <v>190801</v>
      </c>
      <c r="K8611" s="94" t="n">
        <v>3</v>
      </c>
      <c r="L8611" s="7" t="n">
        <v>190801</v>
      </c>
      <c r="M8611" s="94">
        <f>VLOOKUP($Q8611,매칭테이블!$F:$I,2,0)*K8611</f>
        <v/>
      </c>
      <c r="N8611" s="94">
        <f>M8611-M8611*VLOOKUP($Q8611,매칭테이블!$F:$I,3,0)</f>
        <v/>
      </c>
      <c r="O8611" s="94">
        <f>VLOOKUP($Q8611,매칭테이블!$F:$I,4,0)*K8611</f>
        <v/>
      </c>
      <c r="P8611" s="148">
        <f>M8611/1.1</f>
        <v/>
      </c>
      <c r="Q8611" s="94">
        <f>F8611&amp;E8611&amp;G8611&amp;L8611</f>
        <v/>
      </c>
    </row>
    <row r="8612" customFormat="1" s="94">
      <c r="B8612" s="128" t="n">
        <v>44065</v>
      </c>
      <c r="C8612" s="94">
        <f>TEXT(B8612,"aaa")</f>
        <v/>
      </c>
      <c r="E8612" s="94" t="inlineStr">
        <is>
          <t>수딩크림</t>
        </is>
      </c>
      <c r="F8612" s="5" t="inlineStr">
        <is>
          <t>카페24</t>
        </is>
      </c>
      <c r="G8612" s="94" t="inlineStr">
        <is>
          <t>수딩크림 100ml</t>
        </is>
      </c>
      <c r="H8612" s="7" t="n">
        <v>190801</v>
      </c>
      <c r="I8612" s="7" t="n">
        <v>190801</v>
      </c>
      <c r="K8612" s="94" t="n">
        <v>2</v>
      </c>
      <c r="L8612" s="7" t="n">
        <v>190801</v>
      </c>
      <c r="M8612" s="94">
        <f>VLOOKUP($Q8612,매칭테이블!$F:$I,2,0)*K8612</f>
        <v/>
      </c>
      <c r="N8612" s="94">
        <f>M8612-M8612*VLOOKUP($Q8612,매칭테이블!$F:$I,3,0)</f>
        <v/>
      </c>
      <c r="O8612" s="94">
        <f>VLOOKUP($Q8612,매칭테이블!$F:$I,4,0)*K8612</f>
        <v/>
      </c>
      <c r="P8612" s="148">
        <f>M8612/1.1</f>
        <v/>
      </c>
      <c r="Q8612" s="94">
        <f>F8612&amp;E8612&amp;G8612&amp;L8612</f>
        <v/>
      </c>
    </row>
    <row r="8613" customFormat="1" s="94">
      <c r="B8613" s="128" t="n">
        <v>44065</v>
      </c>
      <c r="C8613" s="94">
        <f>TEXT(B8613,"aaa")</f>
        <v/>
      </c>
      <c r="E8613" s="94" t="inlineStr">
        <is>
          <t>클렌징폼</t>
        </is>
      </c>
      <c r="F8613" s="5" t="inlineStr">
        <is>
          <t>카페24</t>
        </is>
      </c>
      <c r="G8613" s="94" t="inlineStr">
        <is>
          <t>클렌징폼 120ml</t>
        </is>
      </c>
      <c r="H8613" s="7" t="n">
        <v>190801</v>
      </c>
      <c r="I8613" s="7" t="n">
        <v>190801</v>
      </c>
      <c r="K8613" s="94" t="n">
        <v>4</v>
      </c>
      <c r="L8613" s="7" t="n">
        <v>190801</v>
      </c>
      <c r="M8613" s="94">
        <f>VLOOKUP($Q8613,매칭테이블!$F:$I,2,0)*K8613</f>
        <v/>
      </c>
      <c r="N8613" s="94">
        <f>M8613-M8613*VLOOKUP($Q8613,매칭테이블!$F:$I,3,0)</f>
        <v/>
      </c>
      <c r="O8613" s="94">
        <f>VLOOKUP($Q8613,매칭테이블!$F:$I,4,0)*K8613</f>
        <v/>
      </c>
      <c r="P8613" s="148">
        <f>M8613/1.1</f>
        <v/>
      </c>
      <c r="Q8613" s="94">
        <f>F8613&amp;E8613&amp;G8613&amp;L8613</f>
        <v/>
      </c>
    </row>
    <row r="8614" customFormat="1" s="94">
      <c r="B8614" s="128" t="n">
        <v>44065</v>
      </c>
      <c r="C8614" s="94">
        <f>TEXT(B8614,"aaa")</f>
        <v/>
      </c>
      <c r="E8614" s="94" t="inlineStr">
        <is>
          <t>클렌징폼</t>
        </is>
      </c>
      <c r="F8614" s="5" t="inlineStr">
        <is>
          <t>카페24</t>
        </is>
      </c>
      <c r="G8614" s="94" t="inlineStr">
        <is>
          <t>클렌징폼 120ml 2set</t>
        </is>
      </c>
      <c r="H8614" s="7" t="n">
        <v>190801</v>
      </c>
      <c r="I8614" s="7" t="n">
        <v>190801</v>
      </c>
      <c r="K8614" s="94" t="n">
        <v>2</v>
      </c>
      <c r="L8614" s="7" t="n">
        <v>190801</v>
      </c>
      <c r="M8614" s="94">
        <f>VLOOKUP($Q8614,매칭테이블!$F:$I,2,0)*K8614</f>
        <v/>
      </c>
      <c r="N8614" s="94">
        <f>M8614-M8614*VLOOKUP($Q8614,매칭테이블!$F:$I,3,0)</f>
        <v/>
      </c>
      <c r="O8614" s="94">
        <f>VLOOKUP($Q8614,매칭테이블!$F:$I,4,0)*K8614</f>
        <v/>
      </c>
      <c r="P8614" s="148">
        <f>M8614/1.1</f>
        <v/>
      </c>
      <c r="Q8614" s="94">
        <f>F8614&amp;E8614&amp;G8614&amp;L8614</f>
        <v/>
      </c>
    </row>
    <row r="8615" customFormat="1" s="94">
      <c r="B8615" s="128" t="n">
        <v>44066</v>
      </c>
      <c r="C8615" s="94">
        <f>TEXT(B8615,"aaa")</f>
        <v/>
      </c>
      <c r="E8615" s="94" t="inlineStr">
        <is>
          <t>토너</t>
        </is>
      </c>
      <c r="F8615" s="5" t="inlineStr">
        <is>
          <t>스타일쉐어</t>
        </is>
      </c>
      <c r="G8615" s="94" t="inlineStr">
        <is>
          <t>250ml</t>
        </is>
      </c>
      <c r="H8615" s="7" t="n">
        <v>190801</v>
      </c>
      <c r="I8615" s="7" t="n">
        <v>190801</v>
      </c>
      <c r="K8615" s="94" t="n">
        <v>11</v>
      </c>
      <c r="L8615" s="7" t="n">
        <v>190801</v>
      </c>
      <c r="M8615" s="94">
        <f>VLOOKUP($Q8615,매칭테이블!$F:$I,2,0)*K8615</f>
        <v/>
      </c>
      <c r="N8615" s="94">
        <f>M8615-M8615*VLOOKUP($Q8615,매칭테이블!$F:$I,3,0)</f>
        <v/>
      </c>
      <c r="O8615" s="94">
        <f>VLOOKUP($Q8615,매칭테이블!$F:$I,4,0)*K8615</f>
        <v/>
      </c>
      <c r="P8615" s="148">
        <f>M8615/1.1</f>
        <v/>
      </c>
      <c r="Q8615" s="94">
        <f>F8615&amp;E8615&amp;G8615&amp;L8615</f>
        <v/>
      </c>
    </row>
    <row r="8616" customFormat="1" s="94">
      <c r="B8616" s="128" t="n">
        <v>44066</v>
      </c>
      <c r="C8616" s="94">
        <f>TEXT(B8616,"aaa")</f>
        <v/>
      </c>
      <c r="E8616" s="94" t="inlineStr">
        <is>
          <t>선크림</t>
        </is>
      </c>
      <c r="F8616" s="5" t="inlineStr">
        <is>
          <t>카페24</t>
        </is>
      </c>
      <c r="G8616" s="94" t="inlineStr">
        <is>
          <t>선크림 50ml</t>
        </is>
      </c>
      <c r="H8616" s="7" t="n">
        <v>190801</v>
      </c>
      <c r="I8616" s="7" t="n">
        <v>190801</v>
      </c>
      <c r="K8616" s="94" t="n">
        <v>3</v>
      </c>
      <c r="L8616" s="7" t="n">
        <v>190801</v>
      </c>
      <c r="M8616" s="94">
        <f>VLOOKUP($Q8616,매칭테이블!$F:$I,2,0)*K8616</f>
        <v/>
      </c>
      <c r="N8616" s="94">
        <f>M8616-M8616*VLOOKUP($Q8616,매칭테이블!$F:$I,3,0)</f>
        <v/>
      </c>
      <c r="O8616" s="94">
        <f>VLOOKUP($Q8616,매칭테이블!$F:$I,4,0)*K8616</f>
        <v/>
      </c>
      <c r="P8616" s="148">
        <f>M8616/1.1</f>
        <v/>
      </c>
      <c r="Q8616" s="94">
        <f>F8616&amp;E8616&amp;G8616&amp;L8616</f>
        <v/>
      </c>
    </row>
    <row r="8617" customFormat="1" s="94">
      <c r="B8617" s="128" t="n">
        <v>44066</v>
      </c>
      <c r="C8617" s="94">
        <f>TEXT(B8617,"aaa")</f>
        <v/>
      </c>
      <c r="E8617" s="94" t="inlineStr">
        <is>
          <t>여름 한정 진정세트</t>
        </is>
      </c>
      <c r="F8617" s="5" t="inlineStr">
        <is>
          <t>카페24</t>
        </is>
      </c>
      <c r="G8617" s="94" t="inlineStr">
        <is>
          <t>여름 한정 진정세트</t>
        </is>
      </c>
      <c r="H8617" s="7" t="n">
        <v>190801</v>
      </c>
      <c r="I8617" s="7" t="n">
        <v>190801</v>
      </c>
      <c r="K8617" s="94" t="n">
        <v>2</v>
      </c>
      <c r="L8617" s="7" t="n">
        <v>190801</v>
      </c>
      <c r="M8617" s="94">
        <f>VLOOKUP($Q8617,매칭테이블!$F:$I,2,0)*K8617</f>
        <v/>
      </c>
      <c r="N8617" s="94">
        <f>M8617-M8617*VLOOKUP($Q8617,매칭테이블!$F:$I,3,0)</f>
        <v/>
      </c>
      <c r="O8617" s="94">
        <f>VLOOKUP($Q8617,매칭테이블!$F:$I,4,0)*K8617</f>
        <v/>
      </c>
      <c r="P8617" s="148">
        <f>M8617/1.1</f>
        <v/>
      </c>
      <c r="Q8617" s="94">
        <f>F8617&amp;E8617&amp;G8617&amp;L8617</f>
        <v/>
      </c>
    </row>
    <row r="8618" customFormat="1" s="94">
      <c r="B8618" s="128" t="n">
        <v>44066</v>
      </c>
      <c r="C8618" s="94">
        <f>TEXT(B8618,"aaa")</f>
        <v/>
      </c>
      <c r="E8618" s="94" t="inlineStr">
        <is>
          <t>여름 한정 진정세트</t>
        </is>
      </c>
      <c r="F8618" s="5" t="inlineStr">
        <is>
          <t>카페24</t>
        </is>
      </c>
      <c r="G8618" s="94" t="inlineStr">
        <is>
          <t>여름 한정 진정세트 (대용량)</t>
        </is>
      </c>
      <c r="H8618" s="7" t="n">
        <v>190801</v>
      </c>
      <c r="I8618" s="7" t="n">
        <v>190801</v>
      </c>
      <c r="K8618" s="94" t="n">
        <v>1</v>
      </c>
      <c r="L8618" s="7" t="n">
        <v>190801</v>
      </c>
      <c r="M8618" s="94">
        <f>VLOOKUP($Q8618,매칭테이블!$F:$I,2,0)*K8618</f>
        <v/>
      </c>
      <c r="N8618" s="94">
        <f>M8618-M8618*VLOOKUP($Q8618,매칭테이블!$F:$I,3,0)</f>
        <v/>
      </c>
      <c r="O8618" s="94">
        <f>VLOOKUP($Q8618,매칭테이블!$F:$I,4,0)*K8618</f>
        <v/>
      </c>
      <c r="P8618" s="148">
        <f>M8618/1.1</f>
        <v/>
      </c>
      <c r="Q8618" s="94">
        <f>F8618&amp;E8618&amp;G8618&amp;L8618</f>
        <v/>
      </c>
    </row>
    <row r="8619" customFormat="1" s="94">
      <c r="B8619" s="128" t="n">
        <v>44066</v>
      </c>
      <c r="C8619" s="94">
        <f>TEXT(B8619,"aaa")</f>
        <v/>
      </c>
      <c r="E8619" s="94" t="inlineStr">
        <is>
          <t>어성초진정패키지</t>
        </is>
      </c>
      <c r="F8619" s="5" t="inlineStr">
        <is>
          <t>카페24</t>
        </is>
      </c>
      <c r="G8619" s="94" t="inlineStr">
        <is>
          <t>어성초 진정패키지세트</t>
        </is>
      </c>
      <c r="H8619" s="7" t="n">
        <v>190801</v>
      </c>
      <c r="I8619" s="7" t="n">
        <v>190801</v>
      </c>
      <c r="K8619" s="94" t="n">
        <v>6</v>
      </c>
      <c r="L8619" s="7" t="n">
        <v>190801</v>
      </c>
      <c r="M8619" s="94">
        <f>VLOOKUP($Q8619,매칭테이블!$F:$I,2,0)*K8619</f>
        <v/>
      </c>
      <c r="N8619" s="94">
        <f>M8619-M8619*VLOOKUP($Q8619,매칭테이블!$F:$I,3,0)</f>
        <v/>
      </c>
      <c r="O8619" s="94">
        <f>VLOOKUP($Q8619,매칭테이블!$F:$I,4,0)*K8619</f>
        <v/>
      </c>
      <c r="P8619" s="148">
        <f>M8619/1.1</f>
        <v/>
      </c>
      <c r="Q8619" s="94">
        <f>F8619&amp;E8619&amp;G8619&amp;L8619</f>
        <v/>
      </c>
    </row>
    <row r="8620" customFormat="1" s="94">
      <c r="B8620" s="128" t="n">
        <v>44066</v>
      </c>
      <c r="C8620" s="94">
        <f>TEXT(B8620,"aaa")</f>
        <v/>
      </c>
      <c r="E8620" s="94" t="inlineStr">
        <is>
          <t>머드크림마스크</t>
        </is>
      </c>
      <c r="F8620" s="5" t="inlineStr">
        <is>
          <t>카페24</t>
        </is>
      </c>
      <c r="G8620" s="94" t="inlineStr">
        <is>
          <t>머드크림마스크 100ml</t>
        </is>
      </c>
      <c r="H8620" s="7" t="n">
        <v>190801</v>
      </c>
      <c r="I8620" s="7" t="n">
        <v>190801</v>
      </c>
      <c r="K8620" s="94" t="n">
        <v>1</v>
      </c>
      <c r="L8620" s="7" t="n">
        <v>190801</v>
      </c>
      <c r="M8620" s="94">
        <f>VLOOKUP($Q8620,매칭테이블!$F:$I,2,0)*K8620</f>
        <v/>
      </c>
      <c r="N8620" s="94">
        <f>M8620-M8620*VLOOKUP($Q8620,매칭테이블!$F:$I,3,0)</f>
        <v/>
      </c>
      <c r="O8620" s="94">
        <f>VLOOKUP($Q8620,매칭테이블!$F:$I,4,0)*K8620</f>
        <v/>
      </c>
      <c r="P8620" s="148">
        <f>M8620/1.1</f>
        <v/>
      </c>
      <c r="Q8620" s="94">
        <f>F8620&amp;E8620&amp;G8620&amp;L8620</f>
        <v/>
      </c>
    </row>
    <row r="8621" customFormat="1" s="94">
      <c r="B8621" s="128" t="n">
        <v>44066</v>
      </c>
      <c r="C8621" s="94">
        <f>TEXT(B8621,"aaa")</f>
        <v/>
      </c>
      <c r="E8621" s="94" t="inlineStr">
        <is>
          <t>마스크팩</t>
        </is>
      </c>
      <c r="F8621" s="5" t="inlineStr">
        <is>
          <t>카페24</t>
        </is>
      </c>
      <c r="G8621" s="94" t="inlineStr">
        <is>
          <t>마스크팩 1매</t>
        </is>
      </c>
      <c r="H8621" s="7" t="n">
        <v>190801</v>
      </c>
      <c r="I8621" s="7" t="n">
        <v>190801</v>
      </c>
      <c r="K8621" s="94" t="n">
        <v>3</v>
      </c>
      <c r="L8621" s="7" t="n">
        <v>190801</v>
      </c>
      <c r="M8621" s="94">
        <f>VLOOKUP($Q8621,매칭테이블!$F:$I,2,0)*K8621</f>
        <v/>
      </c>
      <c r="N8621" s="94">
        <f>M8621-M8621*VLOOKUP($Q8621,매칭테이블!$F:$I,3,0)</f>
        <v/>
      </c>
      <c r="O8621" s="94">
        <f>VLOOKUP($Q8621,매칭테이블!$F:$I,4,0)*K8621</f>
        <v/>
      </c>
      <c r="P8621" s="148">
        <f>M8621/1.1</f>
        <v/>
      </c>
      <c r="Q8621" s="94">
        <f>F8621&amp;E8621&amp;G8621&amp;L8621</f>
        <v/>
      </c>
    </row>
    <row r="8622" customFormat="1" s="94">
      <c r="B8622" s="128" t="n">
        <v>44066</v>
      </c>
      <c r="C8622" s="94">
        <f>TEXT(B8622,"aaa")</f>
        <v/>
      </c>
      <c r="E8622" s="94" t="inlineStr">
        <is>
          <t>마스크팩</t>
        </is>
      </c>
      <c r="F8622" s="5" t="inlineStr">
        <is>
          <t>카페24</t>
        </is>
      </c>
      <c r="G8622" s="94" t="inlineStr">
        <is>
          <t>마스크팩 10매</t>
        </is>
      </c>
      <c r="H8622" s="7" t="n">
        <v>190801</v>
      </c>
      <c r="I8622" s="7" t="n">
        <v>190801</v>
      </c>
      <c r="K8622" s="94" t="n">
        <v>3</v>
      </c>
      <c r="L8622" s="7" t="n">
        <v>190801</v>
      </c>
      <c r="M8622" s="94">
        <f>VLOOKUP($Q8622,매칭테이블!$F:$I,2,0)*K8622</f>
        <v/>
      </c>
      <c r="N8622" s="94">
        <f>M8622-M8622*VLOOKUP($Q8622,매칭테이블!$F:$I,3,0)</f>
        <v/>
      </c>
      <c r="O8622" s="94">
        <f>VLOOKUP($Q8622,매칭테이블!$F:$I,4,0)*K8622</f>
        <v/>
      </c>
      <c r="P8622" s="148">
        <f>M8622/1.1</f>
        <v/>
      </c>
      <c r="Q8622" s="94">
        <f>F8622&amp;E8622&amp;G8622&amp;L8622</f>
        <v/>
      </c>
    </row>
    <row r="8623" customFormat="1" s="94">
      <c r="B8623" s="128" t="n">
        <v>44066</v>
      </c>
      <c r="C8623" s="94">
        <f>TEXT(B8623,"aaa")</f>
        <v/>
      </c>
      <c r="E8623" s="94" t="inlineStr">
        <is>
          <t>토너</t>
        </is>
      </c>
      <c r="F8623" s="5" t="inlineStr">
        <is>
          <t>카페24</t>
        </is>
      </c>
      <c r="G8623" s="94" t="inlineStr">
        <is>
          <t>250ml</t>
        </is>
      </c>
      <c r="H8623" s="7" t="n">
        <v>190801</v>
      </c>
      <c r="I8623" s="7" t="n">
        <v>190801</v>
      </c>
      <c r="K8623" s="94" t="n">
        <v>78</v>
      </c>
      <c r="L8623" s="7" t="n">
        <v>190801</v>
      </c>
      <c r="M8623" s="94">
        <f>VLOOKUP($Q8623,매칭테이블!$F:$I,2,0)*K8623</f>
        <v/>
      </c>
      <c r="N8623" s="94">
        <f>M8623-M8623*VLOOKUP($Q8623,매칭테이블!$F:$I,3,0)</f>
        <v/>
      </c>
      <c r="O8623" s="94">
        <f>VLOOKUP($Q8623,매칭테이블!$F:$I,4,0)*K8623</f>
        <v/>
      </c>
      <c r="P8623" s="148">
        <f>M8623/1.1</f>
        <v/>
      </c>
      <c r="Q8623" s="94">
        <f>F8623&amp;E8623&amp;G8623&amp;L8623</f>
        <v/>
      </c>
    </row>
    <row r="8624" customFormat="1" s="94">
      <c r="B8624" s="128" t="n">
        <v>44066</v>
      </c>
      <c r="C8624" s="94">
        <f>TEXT(B8624,"aaa")</f>
        <v/>
      </c>
      <c r="E8624" s="94" t="inlineStr">
        <is>
          <t>토너</t>
        </is>
      </c>
      <c r="F8624" s="5" t="inlineStr">
        <is>
          <t>카페24</t>
        </is>
      </c>
      <c r="G8624" s="94" t="inlineStr">
        <is>
          <t>250ml 2set</t>
        </is>
      </c>
      <c r="H8624" s="7" t="n">
        <v>190801</v>
      </c>
      <c r="I8624" s="7" t="n">
        <v>190801</v>
      </c>
      <c r="K8624" s="94" t="n">
        <v>45</v>
      </c>
      <c r="L8624" s="7" t="n">
        <v>190801</v>
      </c>
      <c r="M8624" s="94">
        <f>VLOOKUP($Q8624,매칭테이블!$F:$I,2,0)*K8624</f>
        <v/>
      </c>
      <c r="N8624" s="94">
        <f>M8624-M8624*VLOOKUP($Q8624,매칭테이블!$F:$I,3,0)</f>
        <v/>
      </c>
      <c r="O8624" s="94">
        <f>VLOOKUP($Q8624,매칭테이블!$F:$I,4,0)*K8624</f>
        <v/>
      </c>
      <c r="P8624" s="148">
        <f>M8624/1.1</f>
        <v/>
      </c>
      <c r="Q8624" s="94">
        <f>F8624&amp;E8624&amp;G8624&amp;L8624</f>
        <v/>
      </c>
    </row>
    <row r="8625" customFormat="1" s="94">
      <c r="B8625" s="128" t="n">
        <v>44066</v>
      </c>
      <c r="C8625" s="94">
        <f>TEXT(B8625,"aaa")</f>
        <v/>
      </c>
      <c r="E8625" s="94" t="inlineStr">
        <is>
          <t>토너</t>
        </is>
      </c>
      <c r="F8625" s="5" t="inlineStr">
        <is>
          <t>카페24</t>
        </is>
      </c>
      <c r="G8625" s="94" t="inlineStr">
        <is>
          <t>500ml</t>
        </is>
      </c>
      <c r="H8625" s="7" t="n">
        <v>190801</v>
      </c>
      <c r="I8625" s="7" t="n">
        <v>190801</v>
      </c>
      <c r="K8625" s="94" t="n">
        <v>62</v>
      </c>
      <c r="L8625" s="7" t="n">
        <v>190801</v>
      </c>
      <c r="M8625" s="94">
        <f>VLOOKUP($Q8625,매칭테이블!$F:$I,2,0)*K8625</f>
        <v/>
      </c>
      <c r="N8625" s="94">
        <f>M8625-M8625*VLOOKUP($Q8625,매칭테이블!$F:$I,3,0)</f>
        <v/>
      </c>
      <c r="O8625" s="94">
        <f>VLOOKUP($Q8625,매칭테이블!$F:$I,4,0)*K8625</f>
        <v/>
      </c>
      <c r="P8625" s="148">
        <f>M8625/1.1</f>
        <v/>
      </c>
      <c r="Q8625" s="94">
        <f>F8625&amp;E8625&amp;G8625&amp;L8625</f>
        <v/>
      </c>
    </row>
    <row r="8626" customFormat="1" s="94">
      <c r="B8626" s="128" t="n">
        <v>44066</v>
      </c>
      <c r="C8626" s="94">
        <f>TEXT(B8626,"aaa")</f>
        <v/>
      </c>
      <c r="E8626" s="94" t="inlineStr">
        <is>
          <t>토너</t>
        </is>
      </c>
      <c r="F8626" s="5" t="inlineStr">
        <is>
          <t>카페24</t>
        </is>
      </c>
      <c r="G8626" s="94" t="inlineStr">
        <is>
          <t>스킨팩 화장솜 60P</t>
        </is>
      </c>
      <c r="H8626" s="7" t="n">
        <v>190801</v>
      </c>
      <c r="I8626" s="7" t="n">
        <v>190801</v>
      </c>
      <c r="K8626" s="94" t="n">
        <v>57</v>
      </c>
      <c r="L8626" s="7" t="n">
        <v>190801</v>
      </c>
      <c r="M8626" s="94">
        <f>VLOOKUP($Q8626,매칭테이블!$F:$I,2,0)*K8626</f>
        <v/>
      </c>
      <c r="N8626" s="94">
        <f>M8626-M8626*VLOOKUP($Q8626,매칭테이블!$F:$I,3,0)</f>
        <v/>
      </c>
      <c r="O8626" s="94">
        <f>VLOOKUP($Q8626,매칭테이블!$F:$I,4,0)*K8626</f>
        <v/>
      </c>
      <c r="P8626" s="148">
        <f>M8626/1.1</f>
        <v/>
      </c>
      <c r="Q8626" s="94">
        <f>F8626&amp;E8626&amp;G8626&amp;L8626</f>
        <v/>
      </c>
    </row>
    <row r="8627" customFormat="1" s="94">
      <c r="B8627" s="128" t="n">
        <v>44066</v>
      </c>
      <c r="C8627" s="94">
        <f>TEXT(B8627,"aaa")</f>
        <v/>
      </c>
      <c r="E8627" s="94" t="inlineStr">
        <is>
          <t>앰플</t>
        </is>
      </c>
      <c r="F8627" s="5" t="inlineStr">
        <is>
          <t>카페24</t>
        </is>
      </c>
      <c r="G8627" s="94" t="inlineStr">
        <is>
          <t>앰플 30ml</t>
        </is>
      </c>
      <c r="H8627" s="7" t="n">
        <v>190801</v>
      </c>
      <c r="I8627" s="7" t="n">
        <v>190801</v>
      </c>
      <c r="K8627" s="94" t="n">
        <v>14</v>
      </c>
      <c r="L8627" s="7" t="n">
        <v>190801</v>
      </c>
      <c r="M8627" s="94">
        <f>VLOOKUP($Q8627,매칭테이블!$F:$I,2,0)*K8627</f>
        <v/>
      </c>
      <c r="N8627" s="94">
        <f>M8627-M8627*VLOOKUP($Q8627,매칭테이블!$F:$I,3,0)</f>
        <v/>
      </c>
      <c r="O8627" s="94">
        <f>VLOOKUP($Q8627,매칭테이블!$F:$I,4,0)*K8627</f>
        <v/>
      </c>
      <c r="P8627" s="148">
        <f>M8627/1.1</f>
        <v/>
      </c>
      <c r="Q8627" s="94">
        <f>F8627&amp;E8627&amp;G8627&amp;L8627</f>
        <v/>
      </c>
    </row>
    <row r="8628" customFormat="1" s="94">
      <c r="B8628" s="128" t="n">
        <v>44066</v>
      </c>
      <c r="C8628" s="94">
        <f>TEXT(B8628,"aaa")</f>
        <v/>
      </c>
      <c r="E8628" s="94" t="inlineStr">
        <is>
          <t>앰플</t>
        </is>
      </c>
      <c r="F8628" s="5" t="inlineStr">
        <is>
          <t>카페24</t>
        </is>
      </c>
      <c r="G8628" s="94" t="inlineStr">
        <is>
          <t>앰플 30ml  2set</t>
        </is>
      </c>
      <c r="H8628" s="7" t="n">
        <v>190801</v>
      </c>
      <c r="I8628" s="7" t="n">
        <v>190801</v>
      </c>
      <c r="K8628" s="94" t="n">
        <v>2</v>
      </c>
      <c r="L8628" s="7" t="n">
        <v>190801</v>
      </c>
      <c r="M8628" s="94">
        <f>VLOOKUP($Q8628,매칭테이블!$F:$I,2,0)*K8628</f>
        <v/>
      </c>
      <c r="N8628" s="94">
        <f>M8628-M8628*VLOOKUP($Q8628,매칭테이블!$F:$I,3,0)</f>
        <v/>
      </c>
      <c r="O8628" s="94">
        <f>VLOOKUP($Q8628,매칭테이블!$F:$I,4,0)*K8628</f>
        <v/>
      </c>
      <c r="P8628" s="148">
        <f>M8628/1.1</f>
        <v/>
      </c>
      <c r="Q8628" s="94">
        <f>F8628&amp;E8628&amp;G8628&amp;L8628</f>
        <v/>
      </c>
    </row>
    <row r="8629" customFormat="1" s="94">
      <c r="B8629" s="128" t="n">
        <v>44066</v>
      </c>
      <c r="C8629" s="94">
        <f>TEXT(B8629,"aaa")</f>
        <v/>
      </c>
      <c r="E8629" s="94" t="inlineStr">
        <is>
          <t>수딩크림</t>
        </is>
      </c>
      <c r="F8629" s="5" t="inlineStr">
        <is>
          <t>카페24</t>
        </is>
      </c>
      <c r="G8629" s="94" t="inlineStr">
        <is>
          <t>수딩크림 100ml</t>
        </is>
      </c>
      <c r="H8629" s="7" t="n">
        <v>190801</v>
      </c>
      <c r="I8629" s="7" t="n">
        <v>190801</v>
      </c>
      <c r="K8629" s="94" t="n">
        <v>6</v>
      </c>
      <c r="L8629" s="7" t="n">
        <v>190801</v>
      </c>
      <c r="M8629" s="94">
        <f>VLOOKUP($Q8629,매칭테이블!$F:$I,2,0)*K8629</f>
        <v/>
      </c>
      <c r="N8629" s="94">
        <f>M8629-M8629*VLOOKUP($Q8629,매칭테이블!$F:$I,3,0)</f>
        <v/>
      </c>
      <c r="O8629" s="94">
        <f>VLOOKUP($Q8629,매칭테이블!$F:$I,4,0)*K8629</f>
        <v/>
      </c>
      <c r="P8629" s="148">
        <f>M8629/1.1</f>
        <v/>
      </c>
      <c r="Q8629" s="94">
        <f>F8629&amp;E8629&amp;G8629&amp;L8629</f>
        <v/>
      </c>
    </row>
    <row r="8630" customFormat="1" s="94">
      <c r="B8630" s="128" t="n">
        <v>44066</v>
      </c>
      <c r="C8630" s="94">
        <f>TEXT(B8630,"aaa")</f>
        <v/>
      </c>
      <c r="E8630" s="94" t="inlineStr">
        <is>
          <t>클렌징폼</t>
        </is>
      </c>
      <c r="F8630" s="5" t="inlineStr">
        <is>
          <t>카페24</t>
        </is>
      </c>
      <c r="G8630" s="94" t="inlineStr">
        <is>
          <t>클렌징폼 120ml</t>
        </is>
      </c>
      <c r="H8630" s="7" t="n">
        <v>190801</v>
      </c>
      <c r="I8630" s="7" t="n">
        <v>190801</v>
      </c>
      <c r="K8630" s="94" t="n">
        <v>9</v>
      </c>
      <c r="L8630" s="7" t="n">
        <v>190801</v>
      </c>
      <c r="M8630" s="94">
        <f>VLOOKUP($Q8630,매칭테이블!$F:$I,2,0)*K8630</f>
        <v/>
      </c>
      <c r="N8630" s="94">
        <f>M8630-M8630*VLOOKUP($Q8630,매칭테이블!$F:$I,3,0)</f>
        <v/>
      </c>
      <c r="O8630" s="94">
        <f>VLOOKUP($Q8630,매칭테이블!$F:$I,4,0)*K8630</f>
        <v/>
      </c>
      <c r="P8630" s="148">
        <f>M8630/1.1</f>
        <v/>
      </c>
      <c r="Q8630" s="94">
        <f>F8630&amp;E8630&amp;G8630&amp;L8630</f>
        <v/>
      </c>
    </row>
    <row r="8631" customFormat="1" s="94">
      <c r="B8631" s="128" t="n">
        <v>44066</v>
      </c>
      <c r="C8631" s="94">
        <f>TEXT(B8631,"aaa")</f>
        <v/>
      </c>
      <c r="E8631" s="94" t="inlineStr">
        <is>
          <t>클렌징폼</t>
        </is>
      </c>
      <c r="F8631" s="5" t="inlineStr">
        <is>
          <t>카페24</t>
        </is>
      </c>
      <c r="G8631" s="94" t="inlineStr">
        <is>
          <t>클렌징폼 120ml 2set</t>
        </is>
      </c>
      <c r="H8631" s="7" t="n">
        <v>190801</v>
      </c>
      <c r="I8631" s="7" t="n">
        <v>190801</v>
      </c>
      <c r="K8631" s="94" t="n">
        <v>2</v>
      </c>
      <c r="L8631" s="7" t="n">
        <v>190801</v>
      </c>
      <c r="M8631" s="94">
        <f>VLOOKUP($Q8631,매칭테이블!$F:$I,2,0)*K8631</f>
        <v/>
      </c>
      <c r="N8631" s="94">
        <f>M8631-M8631*VLOOKUP($Q8631,매칭테이블!$F:$I,3,0)</f>
        <v/>
      </c>
      <c r="O8631" s="94">
        <f>VLOOKUP($Q8631,매칭테이블!$F:$I,4,0)*K8631</f>
        <v/>
      </c>
      <c r="P8631" s="148">
        <f>M8631/1.1</f>
        <v/>
      </c>
      <c r="Q8631" s="94">
        <f>F8631&amp;E8631&amp;G8631&amp;L8631</f>
        <v/>
      </c>
    </row>
    <row r="8632" customFormat="1" s="94">
      <c r="B8632" s="128" t="n">
        <v>44066</v>
      </c>
      <c r="C8632" s="94">
        <f>TEXT(B8632,"aaa")</f>
        <v/>
      </c>
      <c r="E8632" s="94" t="inlineStr">
        <is>
          <t>클렌징폼</t>
        </is>
      </c>
      <c r="F8632" s="5" t="inlineStr">
        <is>
          <t>카페24</t>
        </is>
      </c>
      <c r="G8632" s="94" t="inlineStr">
        <is>
          <t>클렌징폼 120ml 3set</t>
        </is>
      </c>
      <c r="H8632" s="7" t="n">
        <v>190801</v>
      </c>
      <c r="I8632" s="7" t="n">
        <v>190801</v>
      </c>
      <c r="K8632" s="94" t="n">
        <v>1</v>
      </c>
      <c r="L8632" s="7" t="n">
        <v>190801</v>
      </c>
      <c r="M8632" s="94">
        <f>VLOOKUP($Q8632,매칭테이블!$F:$I,2,0)*K8632</f>
        <v/>
      </c>
      <c r="N8632" s="94">
        <f>M8632-M8632*VLOOKUP($Q8632,매칭테이블!$F:$I,3,0)</f>
        <v/>
      </c>
      <c r="O8632" s="94">
        <f>VLOOKUP($Q8632,매칭테이블!$F:$I,4,0)*K8632</f>
        <v/>
      </c>
      <c r="P8632" s="148">
        <f>M8632/1.1</f>
        <v/>
      </c>
      <c r="Q8632" s="94">
        <f>F8632&amp;E8632&amp;G8632&amp;L8632</f>
        <v/>
      </c>
    </row>
    <row r="8633" customFormat="1" s="94">
      <c r="B8633" s="128" t="n">
        <v>44066</v>
      </c>
      <c r="C8633" s="94">
        <f>TEXT(B8633,"aaa")</f>
        <v/>
      </c>
      <c r="E8633" s="6" t="inlineStr">
        <is>
          <t>토너</t>
        </is>
      </c>
      <c r="F8633" s="94" t="inlineStr">
        <is>
          <t>랄라블라</t>
        </is>
      </c>
      <c r="G8633" s="5" t="inlineStr">
        <is>
          <t>250ml</t>
        </is>
      </c>
      <c r="H8633" s="7" t="n">
        <v>190801</v>
      </c>
      <c r="I8633" s="7" t="n">
        <v>190801</v>
      </c>
      <c r="J8633" s="6" t="n"/>
      <c r="K8633" s="94" t="n">
        <v>128</v>
      </c>
      <c r="L8633" s="7" t="n">
        <v>190801</v>
      </c>
      <c r="M8633" s="94">
        <f>VLOOKUP($Q8633,매칭테이블!$F:$I,2,0)*K8633</f>
        <v/>
      </c>
      <c r="N8633" s="94">
        <f>M8633-M8633*VLOOKUP($Q8633,매칭테이블!$F:$I,3,0)</f>
        <v/>
      </c>
      <c r="O8633" s="94">
        <f>VLOOKUP($Q8633,매칭테이블!$F:$I,4,0)*K8633</f>
        <v/>
      </c>
      <c r="P8633" s="148">
        <f>M8633/1.1</f>
        <v/>
      </c>
      <c r="Q8633" s="94">
        <f>F8633&amp;E8633&amp;G8633&amp;L8633</f>
        <v/>
      </c>
    </row>
    <row r="8634" customFormat="1" s="94">
      <c r="B8634" s="128" t="n">
        <v>44066</v>
      </c>
      <c r="C8634" s="94">
        <f>TEXT(B8634,"aaa")</f>
        <v/>
      </c>
      <c r="E8634" s="6" t="inlineStr">
        <is>
          <t>토너</t>
        </is>
      </c>
      <c r="F8634" s="94" t="inlineStr">
        <is>
          <t>랄라블라</t>
        </is>
      </c>
      <c r="G8634" s="5" t="inlineStr">
        <is>
          <t>500ml</t>
        </is>
      </c>
      <c r="H8634" s="7" t="n">
        <v>190801</v>
      </c>
      <c r="I8634" s="7" t="n">
        <v>190801</v>
      </c>
      <c r="J8634" s="6" t="n"/>
      <c r="K8634" s="94" t="n">
        <v>318</v>
      </c>
      <c r="L8634" s="7" t="n">
        <v>190801</v>
      </c>
      <c r="M8634" s="94">
        <f>VLOOKUP($Q8634,매칭테이블!$F:$I,2,0)*K8634</f>
        <v/>
      </c>
      <c r="N8634" s="94">
        <f>M8634-M8634*VLOOKUP($Q8634,매칭테이블!$F:$I,3,0)</f>
        <v/>
      </c>
      <c r="O8634" s="94">
        <f>VLOOKUP($Q8634,매칭테이블!$F:$I,4,0)*K8634</f>
        <v/>
      </c>
      <c r="P8634" s="148">
        <f>M8634/1.1</f>
        <v/>
      </c>
      <c r="Q8634" s="94">
        <f>F8634&amp;E8634&amp;G8634&amp;L8634</f>
        <v/>
      </c>
    </row>
    <row r="8635" customFormat="1" s="94">
      <c r="B8635" s="128" t="n">
        <v>44066</v>
      </c>
      <c r="C8635" s="94">
        <f>TEXT(B8635,"aaa")</f>
        <v/>
      </c>
      <c r="E8635" s="94" t="inlineStr">
        <is>
          <t>마스크팩</t>
        </is>
      </c>
      <c r="F8635" s="94" t="inlineStr">
        <is>
          <t>랄라블라</t>
        </is>
      </c>
      <c r="G8635" s="94" t="inlineStr">
        <is>
          <t>마스크팩 1매</t>
        </is>
      </c>
      <c r="H8635" s="7" t="n">
        <v>190801</v>
      </c>
      <c r="I8635" s="7" t="n">
        <v>190801</v>
      </c>
      <c r="K8635" s="94" t="n">
        <v>771</v>
      </c>
      <c r="L8635" s="94" t="n">
        <v>190801</v>
      </c>
      <c r="M8635" s="94">
        <f>VLOOKUP($Q8635,매칭테이블!$F:$I,2,0)*K8635</f>
        <v/>
      </c>
      <c r="N8635" s="94">
        <f>M8635-M8635*VLOOKUP($Q8635,매칭테이블!$F:$I,3,0)</f>
        <v/>
      </c>
      <c r="O8635" s="94">
        <f>VLOOKUP($Q8635,매칭테이블!$F:$I,4,0)*K8635</f>
        <v/>
      </c>
      <c r="P8635" s="148">
        <f>M8635/1.1</f>
        <v/>
      </c>
      <c r="Q8635" s="94">
        <f>F8635&amp;E8635&amp;G8635&amp;L8635</f>
        <v/>
      </c>
    </row>
    <row r="8636" customFormat="1" s="94">
      <c r="B8636" s="128" t="n">
        <v>44066</v>
      </c>
      <c r="C8636" s="94">
        <f>TEXT(B8636,"aaa")</f>
        <v/>
      </c>
      <c r="E8636" s="94" t="inlineStr">
        <is>
          <t>수딩크림 증정기획</t>
        </is>
      </c>
      <c r="F8636" s="94" t="inlineStr">
        <is>
          <t>랄라블라</t>
        </is>
      </c>
      <c r="G8636" s="94" t="inlineStr">
        <is>
          <t>수딩크림 증정기획</t>
        </is>
      </c>
      <c r="H8636" s="7" t="n">
        <v>190801</v>
      </c>
      <c r="I8636" s="7" t="n">
        <v>190801</v>
      </c>
      <c r="K8636" s="94" t="n">
        <v>50</v>
      </c>
      <c r="L8636" s="94" t="n">
        <v>190801</v>
      </c>
      <c r="M8636" s="94">
        <f>VLOOKUP($Q8636,매칭테이블!$F:$I,2,0)*K8636</f>
        <v/>
      </c>
      <c r="N8636" s="94">
        <f>M8636-M8636*VLOOKUP($Q8636,매칭테이블!$F:$I,3,0)</f>
        <v/>
      </c>
      <c r="O8636" s="94">
        <f>VLOOKUP($Q8636,매칭테이블!$F:$I,4,0)*K8636</f>
        <v/>
      </c>
      <c r="P8636" s="148">
        <f>M8636/1.1</f>
        <v/>
      </c>
      <c r="Q8636" s="94">
        <f>F8636&amp;E8636&amp;G8636&amp;L8636</f>
        <v/>
      </c>
    </row>
    <row r="8637" customFormat="1" s="94">
      <c r="B8637" s="128" t="n">
        <v>44066</v>
      </c>
      <c r="C8637" s="94">
        <f>TEXT(B8637,"aaa")</f>
        <v/>
      </c>
      <c r="E8637" s="94" t="inlineStr">
        <is>
          <t>수딩크림</t>
        </is>
      </c>
      <c r="F8637" s="94" t="inlineStr">
        <is>
          <t>랄라블라</t>
        </is>
      </c>
      <c r="G8637" s="94" t="inlineStr">
        <is>
          <t>수딩크림 100ml</t>
        </is>
      </c>
      <c r="H8637" s="7" t="n">
        <v>190801</v>
      </c>
      <c r="I8637" s="7" t="n">
        <v>190801</v>
      </c>
      <c r="K8637" s="94" t="n">
        <v>27</v>
      </c>
      <c r="L8637" s="94" t="n">
        <v>190801</v>
      </c>
      <c r="M8637" s="94">
        <f>VLOOKUP($Q8637,매칭테이블!$F:$I,2,0)*K8637</f>
        <v/>
      </c>
      <c r="N8637" s="94">
        <f>M8637-M8637*VLOOKUP($Q8637,매칭테이블!$F:$I,3,0)</f>
        <v/>
      </c>
      <c r="O8637" s="94">
        <f>VLOOKUP($Q8637,매칭테이블!$F:$I,4,0)*K8637</f>
        <v/>
      </c>
      <c r="P8637" s="148">
        <f>M8637/1.1</f>
        <v/>
      </c>
      <c r="Q8637" s="94">
        <f>F8637&amp;E8637&amp;G8637&amp;L8637</f>
        <v/>
      </c>
    </row>
    <row r="8638" customFormat="1" s="94">
      <c r="B8638" s="128" t="n">
        <v>44066</v>
      </c>
      <c r="C8638" s="94">
        <f>TEXT(B8638,"aaa")</f>
        <v/>
      </c>
      <c r="E8638" s="94" t="inlineStr">
        <is>
          <t>앰플 기획세트</t>
        </is>
      </c>
      <c r="F8638" s="94" t="inlineStr">
        <is>
          <t>랄라블라</t>
        </is>
      </c>
      <c r="G8638" s="94" t="inlineStr">
        <is>
          <t>앰플 기획세트</t>
        </is>
      </c>
      <c r="H8638" s="7" t="n">
        <v>190801</v>
      </c>
      <c r="I8638" s="7" t="n">
        <v>190801</v>
      </c>
      <c r="K8638" s="94" t="n">
        <v>50</v>
      </c>
      <c r="L8638" s="94" t="n">
        <v>190801</v>
      </c>
      <c r="M8638" s="94">
        <f>VLOOKUP($Q8638,매칭테이블!$F:$I,2,0)*K8638</f>
        <v/>
      </c>
      <c r="N8638" s="94">
        <f>M8638-M8638*VLOOKUP($Q8638,매칭테이블!$F:$I,3,0)</f>
        <v/>
      </c>
      <c r="O8638" s="94">
        <f>VLOOKUP($Q8638,매칭테이블!$F:$I,4,0)*K8638</f>
        <v/>
      </c>
      <c r="P8638" s="148">
        <f>M8638/1.1</f>
        <v/>
      </c>
      <c r="Q8638" s="94">
        <f>F8638&amp;E8638&amp;G8638&amp;L8638</f>
        <v/>
      </c>
    </row>
    <row r="8639" customFormat="1" s="94">
      <c r="B8639" s="128" t="n">
        <v>44066</v>
      </c>
      <c r="C8639" s="94">
        <f>TEXT(B8639,"aaa")</f>
        <v/>
      </c>
      <c r="E8639" s="94" t="inlineStr">
        <is>
          <t>클렌징폼 기획세트</t>
        </is>
      </c>
      <c r="F8639" s="94" t="inlineStr">
        <is>
          <t>랄라블라</t>
        </is>
      </c>
      <c r="G8639" s="94" t="inlineStr">
        <is>
          <t>클렌징폼 기획세트</t>
        </is>
      </c>
      <c r="H8639" s="7" t="n">
        <v>190801</v>
      </c>
      <c r="I8639" s="7" t="n">
        <v>190801</v>
      </c>
      <c r="K8639" s="94" t="n">
        <v>30</v>
      </c>
      <c r="L8639" s="94" t="n">
        <v>190801</v>
      </c>
      <c r="M8639" s="94">
        <f>VLOOKUP($Q8639,매칭테이블!$F:$I,2,0)*K8639</f>
        <v/>
      </c>
      <c r="N8639" s="94">
        <f>M8639-M8639*VLOOKUP($Q8639,매칭테이블!$F:$I,3,0)</f>
        <v/>
      </c>
      <c r="O8639" s="94">
        <f>VLOOKUP($Q8639,매칭테이블!$F:$I,4,0)*K8639</f>
        <v/>
      </c>
      <c r="P8639" s="148">
        <f>M8639/1.1</f>
        <v/>
      </c>
      <c r="Q8639" s="94">
        <f>F8639&amp;E8639&amp;G8639&amp;L8639</f>
        <v/>
      </c>
    </row>
    <row r="8640" customFormat="1" s="94">
      <c r="B8640" s="128" t="n">
        <v>44066</v>
      </c>
      <c r="C8640" s="94">
        <f>TEXT(B8640,"aaa")</f>
        <v/>
      </c>
      <c r="E8640" s="94" t="inlineStr">
        <is>
          <t>클렌징폼</t>
        </is>
      </c>
      <c r="F8640" s="94" t="inlineStr">
        <is>
          <t>랄라블라</t>
        </is>
      </c>
      <c r="G8640" s="94" t="inlineStr">
        <is>
          <t>클렌징폼 120ml</t>
        </is>
      </c>
      <c r="H8640" s="7" t="n">
        <v>190801</v>
      </c>
      <c r="I8640" s="7" t="n">
        <v>190801</v>
      </c>
      <c r="J8640" s="6" t="n"/>
      <c r="K8640" s="6" t="n">
        <v>26</v>
      </c>
      <c r="L8640" s="7" t="n">
        <v>190801</v>
      </c>
      <c r="M8640" s="94">
        <f>VLOOKUP($Q8640,매칭테이블!$F:$I,2,0)*K8640</f>
        <v/>
      </c>
      <c r="N8640" s="94">
        <f>M8640-M8640*VLOOKUP($Q8640,매칭테이블!$F:$I,3,0)</f>
        <v/>
      </c>
      <c r="O8640" s="94">
        <f>VLOOKUP($Q8640,매칭테이블!$F:$I,4,0)*K8640</f>
        <v/>
      </c>
      <c r="P8640" s="148">
        <f>M8640/1.1</f>
        <v/>
      </c>
      <c r="Q8640" s="94">
        <f>F8640&amp;E8640&amp;G8640&amp;L8640</f>
        <v/>
      </c>
    </row>
    <row r="8641" customFormat="1" s="94">
      <c r="B8641" s="128" t="n">
        <v>44066</v>
      </c>
      <c r="C8641" s="94">
        <f>TEXT(B8641,"aaa")</f>
        <v/>
      </c>
      <c r="E8641" s="94" t="inlineStr">
        <is>
          <t>선크림</t>
        </is>
      </c>
      <c r="F8641" s="94" t="inlineStr">
        <is>
          <t>랄라블라</t>
        </is>
      </c>
      <c r="G8641" s="94" t="inlineStr">
        <is>
          <t>선크림 50ml</t>
        </is>
      </c>
      <c r="H8641" s="7" t="n">
        <v>190801</v>
      </c>
      <c r="I8641" s="7" t="n">
        <v>190801</v>
      </c>
      <c r="J8641" s="6" t="n"/>
      <c r="K8641" s="6" t="n">
        <v>30</v>
      </c>
      <c r="L8641" s="94" t="n">
        <v>190801</v>
      </c>
      <c r="M8641" s="94">
        <f>VLOOKUP($Q8641,매칭테이블!$F:$I,2,0)*K8641</f>
        <v/>
      </c>
      <c r="N8641" s="94">
        <f>M8641-M8641*VLOOKUP($Q8641,매칭테이블!$F:$I,3,0)</f>
        <v/>
      </c>
      <c r="O8641" s="94">
        <f>VLOOKUP($Q8641,매칭테이블!$F:$I,4,0)*K8641</f>
        <v/>
      </c>
      <c r="P8641" s="148">
        <f>M8641/1.1</f>
        <v/>
      </c>
      <c r="Q8641" s="94">
        <f>F8641&amp;E8641&amp;G8641&amp;L8641</f>
        <v/>
      </c>
    </row>
    <row r="8642" customFormat="1" s="94">
      <c r="B8642" s="128" t="n">
        <v>44066</v>
      </c>
      <c r="C8642" s="94">
        <f>TEXT(B8642,"aaa")</f>
        <v/>
      </c>
      <c r="E8642" s="94" t="inlineStr">
        <is>
          <t>대용량 기획세트</t>
        </is>
      </c>
      <c r="F8642" s="94" t="inlineStr">
        <is>
          <t>랄라블라</t>
        </is>
      </c>
      <c r="G8642" s="94" t="inlineStr">
        <is>
          <t>대용량 기획세트</t>
        </is>
      </c>
      <c r="H8642" s="7" t="n">
        <v>190801</v>
      </c>
      <c r="I8642" s="7" t="n">
        <v>190801</v>
      </c>
      <c r="J8642" s="6" t="n"/>
      <c r="K8642" s="6" t="n">
        <v>43</v>
      </c>
      <c r="L8642" s="94" t="n">
        <v>190801</v>
      </c>
      <c r="M8642" s="94">
        <f>VLOOKUP($Q8642,매칭테이블!$F:$I,2,0)*K8642</f>
        <v/>
      </c>
      <c r="N8642" s="94">
        <f>M8642-M8642*VLOOKUP($Q8642,매칭테이블!$F:$I,3,0)</f>
        <v/>
      </c>
      <c r="O8642" s="94">
        <f>VLOOKUP($Q8642,매칭테이블!$F:$I,4,0)*K8642</f>
        <v/>
      </c>
      <c r="P8642" s="148">
        <f>M8642/1.1</f>
        <v/>
      </c>
      <c r="Q8642" s="94">
        <f>F8642&amp;E8642&amp;G8642&amp;L8642</f>
        <v/>
      </c>
    </row>
    <row r="8643" customFormat="1" s="94">
      <c r="B8643" s="128" t="n">
        <v>44066</v>
      </c>
      <c r="C8643" s="94">
        <f>TEXT(B8643,"aaa")</f>
        <v/>
      </c>
      <c r="E8643" s="94" t="inlineStr">
        <is>
          <t>마스크팩</t>
        </is>
      </c>
      <c r="F8643" s="94" t="inlineStr">
        <is>
          <t>랄라블라</t>
        </is>
      </c>
      <c r="G8643" s="94" t="inlineStr">
        <is>
          <t>마스크 5+1 기획세트</t>
        </is>
      </c>
      <c r="H8643" s="7" t="n">
        <v>190801</v>
      </c>
      <c r="I8643" s="7" t="n">
        <v>190801</v>
      </c>
      <c r="J8643" s="6" t="n"/>
      <c r="K8643" s="94" t="n">
        <v>339</v>
      </c>
      <c r="L8643" s="94" t="n">
        <v>190801</v>
      </c>
      <c r="M8643" s="94">
        <f>VLOOKUP($Q8643,매칭테이블!$F:$I,2,0)*K8643</f>
        <v/>
      </c>
      <c r="N8643" s="94">
        <f>M8643-M8643*VLOOKUP($Q8643,매칭테이블!$F:$I,3,0)</f>
        <v/>
      </c>
      <c r="O8643" s="94">
        <f>VLOOKUP($Q8643,매칭테이블!$F:$I,4,0)*K8643</f>
        <v/>
      </c>
      <c r="P8643" s="148">
        <f>M8643/1.1</f>
        <v/>
      </c>
      <c r="Q8643" s="94">
        <f>F8643&amp;E8643&amp;G8643&amp;L8643</f>
        <v/>
      </c>
    </row>
    <row r="8644" customFormat="1" s="94">
      <c r="B8644" s="128" t="n">
        <v>44067</v>
      </c>
      <c r="C8644" s="94">
        <f>TEXT(B8644,"aaa")</f>
        <v/>
      </c>
      <c r="E8644" s="94" t="inlineStr">
        <is>
          <t>토너</t>
        </is>
      </c>
      <c r="F8644" s="5" t="inlineStr">
        <is>
          <t>스타일쉐어</t>
        </is>
      </c>
      <c r="G8644" s="94" t="inlineStr">
        <is>
          <t>250ml</t>
        </is>
      </c>
      <c r="H8644" s="7" t="n">
        <v>190801</v>
      </c>
      <c r="I8644" s="7" t="n">
        <v>190801</v>
      </c>
      <c r="K8644" s="94" t="n">
        <v>9</v>
      </c>
      <c r="L8644" s="7" t="n">
        <v>190801</v>
      </c>
      <c r="M8644" s="94">
        <f>VLOOKUP($Q8644,매칭테이블!$F:$I,2,0)*K8644</f>
        <v/>
      </c>
      <c r="N8644" s="94">
        <f>M8644-M8644*VLOOKUP($Q8644,매칭테이블!$F:$I,3,0)</f>
        <v/>
      </c>
      <c r="O8644" s="94">
        <f>VLOOKUP($Q8644,매칭테이블!$F:$I,4,0)*K8644</f>
        <v/>
      </c>
      <c r="P8644" s="148">
        <f>M8644/1.1</f>
        <v/>
      </c>
      <c r="Q8644" s="94">
        <f>F8644&amp;E8644&amp;G8644&amp;L8644</f>
        <v/>
      </c>
    </row>
    <row r="8645" customFormat="1" s="94">
      <c r="B8645" s="128" t="n">
        <v>44067</v>
      </c>
      <c r="C8645" s="94">
        <f>TEXT(B8645,"aaa")</f>
        <v/>
      </c>
      <c r="E8645" s="94" t="inlineStr">
        <is>
          <t>선크림</t>
        </is>
      </c>
      <c r="F8645" s="5" t="inlineStr">
        <is>
          <t>카페24</t>
        </is>
      </c>
      <c r="G8645" s="94" t="inlineStr">
        <is>
          <t>선크림 50ml</t>
        </is>
      </c>
      <c r="H8645" s="7" t="n">
        <v>190801</v>
      </c>
      <c r="I8645" s="7" t="n">
        <v>190801</v>
      </c>
      <c r="K8645" s="94" t="n">
        <v>4</v>
      </c>
      <c r="L8645" s="7" t="n">
        <v>190801</v>
      </c>
      <c r="M8645" s="94">
        <f>VLOOKUP($Q8645,매칭테이블!$F:$I,2,0)*K8645</f>
        <v/>
      </c>
      <c r="N8645" s="94">
        <f>M8645-M8645*VLOOKUP($Q8645,매칭테이블!$F:$I,3,0)</f>
        <v/>
      </c>
      <c r="O8645" s="94">
        <f>VLOOKUP($Q8645,매칭테이블!$F:$I,4,0)*K8645</f>
        <v/>
      </c>
      <c r="P8645" s="148">
        <f>M8645/1.1</f>
        <v/>
      </c>
      <c r="Q8645" s="94">
        <f>F8645&amp;E8645&amp;G8645&amp;L8645</f>
        <v/>
      </c>
    </row>
    <row r="8646" customFormat="1" s="94">
      <c r="B8646" s="128" t="n">
        <v>44067</v>
      </c>
      <c r="C8646" s="94">
        <f>TEXT(B8646,"aaa")</f>
        <v/>
      </c>
      <c r="E8646" s="94" t="inlineStr">
        <is>
          <t>선크림</t>
        </is>
      </c>
      <c r="F8646" s="5" t="inlineStr">
        <is>
          <t>카페24</t>
        </is>
      </c>
      <c r="G8646" s="94" t="inlineStr">
        <is>
          <t>선크림 50ml  2set</t>
        </is>
      </c>
      <c r="H8646" s="7" t="n">
        <v>190801</v>
      </c>
      <c r="I8646" s="7" t="n">
        <v>190801</v>
      </c>
      <c r="K8646" s="94" t="n">
        <v>1</v>
      </c>
      <c r="L8646" s="7" t="n">
        <v>190801</v>
      </c>
      <c r="M8646" s="94">
        <f>VLOOKUP($Q8646,매칭테이블!$F:$I,2,0)*K8646</f>
        <v/>
      </c>
      <c r="N8646" s="94">
        <f>M8646-M8646*VLOOKUP($Q8646,매칭테이블!$F:$I,3,0)</f>
        <v/>
      </c>
      <c r="O8646" s="94">
        <f>VLOOKUP($Q8646,매칭테이블!$F:$I,4,0)*K8646</f>
        <v/>
      </c>
      <c r="P8646" s="148">
        <f>M8646/1.1</f>
        <v/>
      </c>
      <c r="Q8646" s="94">
        <f>F8646&amp;E8646&amp;G8646&amp;L8646</f>
        <v/>
      </c>
    </row>
    <row r="8647" customFormat="1" s="94">
      <c r="B8647" s="128" t="n">
        <v>44067</v>
      </c>
      <c r="C8647" s="94">
        <f>TEXT(B8647,"aaa")</f>
        <v/>
      </c>
      <c r="E8647" s="94" t="inlineStr">
        <is>
          <t>여름 한정 진정세트</t>
        </is>
      </c>
      <c r="F8647" s="5" t="inlineStr">
        <is>
          <t>카페24</t>
        </is>
      </c>
      <c r="G8647" s="94" t="inlineStr">
        <is>
          <t>여름 한정 진정세트</t>
        </is>
      </c>
      <c r="H8647" s="7" t="n">
        <v>190801</v>
      </c>
      <c r="I8647" s="7" t="n">
        <v>190801</v>
      </c>
      <c r="K8647" s="94" t="n">
        <v>10</v>
      </c>
      <c r="L8647" s="7" t="n">
        <v>190801</v>
      </c>
      <c r="M8647" s="94">
        <f>VLOOKUP($Q8647,매칭테이블!$F:$I,2,0)*K8647</f>
        <v/>
      </c>
      <c r="N8647" s="94">
        <f>M8647-M8647*VLOOKUP($Q8647,매칭테이블!$F:$I,3,0)</f>
        <v/>
      </c>
      <c r="O8647" s="94">
        <f>VLOOKUP($Q8647,매칭테이블!$F:$I,4,0)*K8647</f>
        <v/>
      </c>
      <c r="P8647" s="148">
        <f>M8647/1.1</f>
        <v/>
      </c>
      <c r="Q8647" s="94">
        <f>F8647&amp;E8647&amp;G8647&amp;L8647</f>
        <v/>
      </c>
    </row>
    <row r="8648" customFormat="1" s="94">
      <c r="B8648" s="128" t="n">
        <v>44067</v>
      </c>
      <c r="C8648" s="94">
        <f>TEXT(B8648,"aaa")</f>
        <v/>
      </c>
      <c r="E8648" s="94" t="inlineStr">
        <is>
          <t>여름 한정 진정세트</t>
        </is>
      </c>
      <c r="F8648" s="5" t="inlineStr">
        <is>
          <t>카페24</t>
        </is>
      </c>
      <c r="G8648" s="94" t="inlineStr">
        <is>
          <t>여름 한정 진정세트 (대용량)</t>
        </is>
      </c>
      <c r="H8648" s="7" t="n">
        <v>190801</v>
      </c>
      <c r="I8648" s="7" t="n">
        <v>190801</v>
      </c>
      <c r="K8648" s="94" t="n">
        <v>1</v>
      </c>
      <c r="L8648" s="7" t="n">
        <v>190801</v>
      </c>
      <c r="M8648" s="94">
        <f>VLOOKUP($Q8648,매칭테이블!$F:$I,2,0)*K8648</f>
        <v/>
      </c>
      <c r="N8648" s="94">
        <f>M8648-M8648*VLOOKUP($Q8648,매칭테이블!$F:$I,3,0)</f>
        <v/>
      </c>
      <c r="O8648" s="94">
        <f>VLOOKUP($Q8648,매칭테이블!$F:$I,4,0)*K8648</f>
        <v/>
      </c>
      <c r="P8648" s="148">
        <f>M8648/1.1</f>
        <v/>
      </c>
      <c r="Q8648" s="94">
        <f>F8648&amp;E8648&amp;G8648&amp;L8648</f>
        <v/>
      </c>
    </row>
    <row r="8649" customFormat="1" s="94">
      <c r="B8649" s="128" t="n">
        <v>44067</v>
      </c>
      <c r="C8649" s="94">
        <f>TEXT(B8649,"aaa")</f>
        <v/>
      </c>
      <c r="E8649" s="94" t="inlineStr">
        <is>
          <t>어성초진정패키지</t>
        </is>
      </c>
      <c r="F8649" s="5" t="inlineStr">
        <is>
          <t>카페24</t>
        </is>
      </c>
      <c r="G8649" s="94" t="inlineStr">
        <is>
          <t>어성초 진정패키지세트</t>
        </is>
      </c>
      <c r="H8649" s="7" t="n">
        <v>190801</v>
      </c>
      <c r="I8649" s="7" t="n">
        <v>190801</v>
      </c>
      <c r="K8649" s="94" t="n">
        <v>4</v>
      </c>
      <c r="L8649" s="7" t="n">
        <v>190801</v>
      </c>
      <c r="M8649" s="94">
        <f>VLOOKUP($Q8649,매칭테이블!$F:$I,2,0)*K8649</f>
        <v/>
      </c>
      <c r="N8649" s="94">
        <f>M8649-M8649*VLOOKUP($Q8649,매칭테이블!$F:$I,3,0)</f>
        <v/>
      </c>
      <c r="O8649" s="94">
        <f>VLOOKUP($Q8649,매칭테이블!$F:$I,4,0)*K8649</f>
        <v/>
      </c>
      <c r="P8649" s="148">
        <f>M8649/1.1</f>
        <v/>
      </c>
      <c r="Q8649" s="94">
        <f>F8649&amp;E8649&amp;G8649&amp;L8649</f>
        <v/>
      </c>
    </row>
    <row r="8650" customFormat="1" s="94">
      <c r="B8650" s="128" t="n">
        <v>44067</v>
      </c>
      <c r="C8650" s="94">
        <f>TEXT(B8650,"aaa")</f>
        <v/>
      </c>
      <c r="E8650" s="94" t="inlineStr">
        <is>
          <t>머드크림마스크</t>
        </is>
      </c>
      <c r="F8650" s="5" t="inlineStr">
        <is>
          <t>카페24</t>
        </is>
      </c>
      <c r="G8650" s="94" t="inlineStr">
        <is>
          <t>머드크림마스크 100ml 2set</t>
        </is>
      </c>
      <c r="H8650" s="7" t="n">
        <v>190801</v>
      </c>
      <c r="I8650" s="7" t="n">
        <v>190801</v>
      </c>
      <c r="K8650" s="94" t="n">
        <v>1</v>
      </c>
      <c r="L8650" s="7" t="n">
        <v>190801</v>
      </c>
      <c r="M8650" s="94">
        <f>VLOOKUP($Q8650,매칭테이블!$F:$I,2,0)*K8650</f>
        <v/>
      </c>
      <c r="N8650" s="94">
        <f>M8650-M8650*VLOOKUP($Q8650,매칭테이블!$F:$I,3,0)</f>
        <v/>
      </c>
      <c r="O8650" s="94">
        <f>VLOOKUP($Q8650,매칭테이블!$F:$I,4,0)*K8650</f>
        <v/>
      </c>
      <c r="P8650" s="148">
        <f>M8650/1.1</f>
        <v/>
      </c>
      <c r="Q8650" s="94">
        <f>F8650&amp;E8650&amp;G8650&amp;L8650</f>
        <v/>
      </c>
    </row>
    <row r="8651" customFormat="1" s="94">
      <c r="B8651" s="128" t="n">
        <v>44067</v>
      </c>
      <c r="C8651" s="94">
        <f>TEXT(B8651,"aaa")</f>
        <v/>
      </c>
      <c r="E8651" s="94" t="inlineStr">
        <is>
          <t>마스크팩</t>
        </is>
      </c>
      <c r="F8651" s="5" t="inlineStr">
        <is>
          <t>카페24</t>
        </is>
      </c>
      <c r="G8651" s="94" t="inlineStr">
        <is>
          <t>마스크팩 1매</t>
        </is>
      </c>
      <c r="H8651" s="7" t="n">
        <v>190801</v>
      </c>
      <c r="I8651" s="7" t="n">
        <v>190801</v>
      </c>
      <c r="K8651" s="94" t="n">
        <v>6</v>
      </c>
      <c r="L8651" s="7" t="n">
        <v>190801</v>
      </c>
      <c r="M8651" s="94">
        <f>VLOOKUP($Q8651,매칭테이블!$F:$I,2,0)*K8651</f>
        <v/>
      </c>
      <c r="N8651" s="94">
        <f>M8651-M8651*VLOOKUP($Q8651,매칭테이블!$F:$I,3,0)</f>
        <v/>
      </c>
      <c r="O8651" s="94">
        <f>VLOOKUP($Q8651,매칭테이블!$F:$I,4,0)*K8651</f>
        <v/>
      </c>
      <c r="P8651" s="148">
        <f>M8651/1.1</f>
        <v/>
      </c>
      <c r="Q8651" s="94">
        <f>F8651&amp;E8651&amp;G8651&amp;L8651</f>
        <v/>
      </c>
    </row>
    <row r="8652" customFormat="1" s="94">
      <c r="B8652" s="128" t="n">
        <v>44067</v>
      </c>
      <c r="C8652" s="94">
        <f>TEXT(B8652,"aaa")</f>
        <v/>
      </c>
      <c r="E8652" s="94" t="inlineStr">
        <is>
          <t>마스크팩</t>
        </is>
      </c>
      <c r="F8652" s="5" t="inlineStr">
        <is>
          <t>카페24</t>
        </is>
      </c>
      <c r="G8652" s="94" t="inlineStr">
        <is>
          <t>마스크팩 10매</t>
        </is>
      </c>
      <c r="H8652" s="7" t="n">
        <v>190801</v>
      </c>
      <c r="I8652" s="7" t="n">
        <v>190801</v>
      </c>
      <c r="K8652" s="94" t="n">
        <v>9</v>
      </c>
      <c r="L8652" s="7" t="n">
        <v>190801</v>
      </c>
      <c r="M8652" s="94">
        <f>VLOOKUP($Q8652,매칭테이블!$F:$I,2,0)*K8652</f>
        <v/>
      </c>
      <c r="N8652" s="94">
        <f>M8652-M8652*VLOOKUP($Q8652,매칭테이블!$F:$I,3,0)</f>
        <v/>
      </c>
      <c r="O8652" s="94">
        <f>VLOOKUP($Q8652,매칭테이블!$F:$I,4,0)*K8652</f>
        <v/>
      </c>
      <c r="P8652" s="148">
        <f>M8652/1.1</f>
        <v/>
      </c>
      <c r="Q8652" s="94">
        <f>F8652&amp;E8652&amp;G8652&amp;L8652</f>
        <v/>
      </c>
    </row>
    <row r="8653" customFormat="1" s="94">
      <c r="B8653" s="128" t="n">
        <v>44067</v>
      </c>
      <c r="C8653" s="94">
        <f>TEXT(B8653,"aaa")</f>
        <v/>
      </c>
      <c r="E8653" s="94" t="inlineStr">
        <is>
          <t>토너</t>
        </is>
      </c>
      <c r="F8653" s="5" t="inlineStr">
        <is>
          <t>카페24</t>
        </is>
      </c>
      <c r="G8653" s="94" t="inlineStr">
        <is>
          <t>250ml</t>
        </is>
      </c>
      <c r="H8653" s="7" t="n">
        <v>190801</v>
      </c>
      <c r="I8653" s="7" t="n">
        <v>190801</v>
      </c>
      <c r="K8653" s="94" t="n">
        <v>97</v>
      </c>
      <c r="L8653" s="7" t="n">
        <v>190801</v>
      </c>
      <c r="M8653" s="94">
        <f>VLOOKUP($Q8653,매칭테이블!$F:$I,2,0)*K8653</f>
        <v/>
      </c>
      <c r="N8653" s="94">
        <f>M8653-M8653*VLOOKUP($Q8653,매칭테이블!$F:$I,3,0)</f>
        <v/>
      </c>
      <c r="O8653" s="94">
        <f>VLOOKUP($Q8653,매칭테이블!$F:$I,4,0)*K8653</f>
        <v/>
      </c>
      <c r="P8653" s="148">
        <f>M8653/1.1</f>
        <v/>
      </c>
      <c r="Q8653" s="94">
        <f>F8653&amp;E8653&amp;G8653&amp;L8653</f>
        <v/>
      </c>
    </row>
    <row r="8654" customFormat="1" s="94">
      <c r="B8654" s="128" t="n">
        <v>44067</v>
      </c>
      <c r="C8654" s="94">
        <f>TEXT(B8654,"aaa")</f>
        <v/>
      </c>
      <c r="E8654" s="94" t="inlineStr">
        <is>
          <t>토너</t>
        </is>
      </c>
      <c r="F8654" s="5" t="inlineStr">
        <is>
          <t>카페24</t>
        </is>
      </c>
      <c r="G8654" s="94" t="inlineStr">
        <is>
          <t>250ml 2set</t>
        </is>
      </c>
      <c r="H8654" s="7" t="n">
        <v>190801</v>
      </c>
      <c r="I8654" s="7" t="n">
        <v>190801</v>
      </c>
      <c r="K8654" s="94" t="n">
        <v>107</v>
      </c>
      <c r="L8654" s="7" t="n">
        <v>190801</v>
      </c>
      <c r="M8654" s="94">
        <f>VLOOKUP($Q8654,매칭테이블!$F:$I,2,0)*K8654</f>
        <v/>
      </c>
      <c r="N8654" s="94">
        <f>M8654-M8654*VLOOKUP($Q8654,매칭테이블!$F:$I,3,0)</f>
        <v/>
      </c>
      <c r="O8654" s="94">
        <f>VLOOKUP($Q8654,매칭테이블!$F:$I,4,0)*K8654</f>
        <v/>
      </c>
      <c r="P8654" s="148">
        <f>M8654/1.1</f>
        <v/>
      </c>
      <c r="Q8654" s="94">
        <f>F8654&amp;E8654&amp;G8654&amp;L8654</f>
        <v/>
      </c>
    </row>
    <row r="8655" customFormat="1" s="94">
      <c r="B8655" s="128" t="n">
        <v>44067</v>
      </c>
      <c r="C8655" s="94">
        <f>TEXT(B8655,"aaa")</f>
        <v/>
      </c>
      <c r="E8655" s="94" t="inlineStr">
        <is>
          <t>토너</t>
        </is>
      </c>
      <c r="F8655" s="5" t="inlineStr">
        <is>
          <t>카페24</t>
        </is>
      </c>
      <c r="G8655" s="94" t="inlineStr">
        <is>
          <t>500ml</t>
        </is>
      </c>
      <c r="H8655" s="7" t="n">
        <v>190801</v>
      </c>
      <c r="I8655" s="7" t="n">
        <v>190801</v>
      </c>
      <c r="K8655" s="94" t="n">
        <v>77</v>
      </c>
      <c r="L8655" s="7" t="n">
        <v>190801</v>
      </c>
      <c r="M8655" s="94">
        <f>VLOOKUP($Q8655,매칭테이블!$F:$I,2,0)*K8655</f>
        <v/>
      </c>
      <c r="N8655" s="94">
        <f>M8655-M8655*VLOOKUP($Q8655,매칭테이블!$F:$I,3,0)</f>
        <v/>
      </c>
      <c r="O8655" s="94">
        <f>VLOOKUP($Q8655,매칭테이블!$F:$I,4,0)*K8655</f>
        <v/>
      </c>
      <c r="P8655" s="148">
        <f>M8655/1.1</f>
        <v/>
      </c>
      <c r="Q8655" s="94">
        <f>F8655&amp;E8655&amp;G8655&amp;L8655</f>
        <v/>
      </c>
    </row>
    <row r="8656" customFormat="1" s="94">
      <c r="B8656" s="128" t="n">
        <v>44067</v>
      </c>
      <c r="C8656" s="94">
        <f>TEXT(B8656,"aaa")</f>
        <v/>
      </c>
      <c r="E8656" s="94" t="inlineStr">
        <is>
          <t>토너</t>
        </is>
      </c>
      <c r="F8656" s="5" t="inlineStr">
        <is>
          <t>카페24</t>
        </is>
      </c>
      <c r="G8656" s="94" t="inlineStr">
        <is>
          <t>스킨팩 화장솜 60P</t>
        </is>
      </c>
      <c r="H8656" s="7" t="n">
        <v>190801</v>
      </c>
      <c r="I8656" s="7" t="n">
        <v>190801</v>
      </c>
      <c r="K8656" s="94" t="n">
        <v>100</v>
      </c>
      <c r="L8656" s="7" t="n">
        <v>190801</v>
      </c>
      <c r="M8656" s="94">
        <f>VLOOKUP($Q8656,매칭테이블!$F:$I,2,0)*K8656</f>
        <v/>
      </c>
      <c r="N8656" s="94">
        <f>M8656-M8656*VLOOKUP($Q8656,매칭테이블!$F:$I,3,0)</f>
        <v/>
      </c>
      <c r="O8656" s="94">
        <f>VLOOKUP($Q8656,매칭테이블!$F:$I,4,0)*K8656</f>
        <v/>
      </c>
      <c r="P8656" s="148">
        <f>M8656/1.1</f>
        <v/>
      </c>
      <c r="Q8656" s="94">
        <f>F8656&amp;E8656&amp;G8656&amp;L8656</f>
        <v/>
      </c>
    </row>
    <row r="8657" customFormat="1" s="94">
      <c r="B8657" s="128" t="n">
        <v>44067</v>
      </c>
      <c r="C8657" s="94">
        <f>TEXT(B8657,"aaa")</f>
        <v/>
      </c>
      <c r="E8657" s="94" t="inlineStr">
        <is>
          <t>앰플</t>
        </is>
      </c>
      <c r="F8657" s="5" t="inlineStr">
        <is>
          <t>카페24</t>
        </is>
      </c>
      <c r="G8657" s="94" t="inlineStr">
        <is>
          <t>앰플 30ml</t>
        </is>
      </c>
      <c r="H8657" s="7" t="n">
        <v>190801</v>
      </c>
      <c r="I8657" s="7" t="n">
        <v>190801</v>
      </c>
      <c r="K8657" s="94" t="n">
        <v>20</v>
      </c>
      <c r="L8657" s="7" t="n">
        <v>190801</v>
      </c>
      <c r="M8657" s="94">
        <f>VLOOKUP($Q8657,매칭테이블!$F:$I,2,0)*K8657</f>
        <v/>
      </c>
      <c r="N8657" s="94">
        <f>M8657-M8657*VLOOKUP($Q8657,매칭테이블!$F:$I,3,0)</f>
        <v/>
      </c>
      <c r="O8657" s="94">
        <f>VLOOKUP($Q8657,매칭테이블!$F:$I,4,0)*K8657</f>
        <v/>
      </c>
      <c r="P8657" s="148">
        <f>M8657/1.1</f>
        <v/>
      </c>
      <c r="Q8657" s="94">
        <f>F8657&amp;E8657&amp;G8657&amp;L8657</f>
        <v/>
      </c>
    </row>
    <row r="8658" customFormat="1" s="94">
      <c r="B8658" s="128" t="n">
        <v>44067</v>
      </c>
      <c r="C8658" s="94">
        <f>TEXT(B8658,"aaa")</f>
        <v/>
      </c>
      <c r="E8658" s="94" t="inlineStr">
        <is>
          <t>앰플</t>
        </is>
      </c>
      <c r="F8658" s="5" t="inlineStr">
        <is>
          <t>카페24</t>
        </is>
      </c>
      <c r="G8658" s="94" t="inlineStr">
        <is>
          <t>앰플 30ml  2set</t>
        </is>
      </c>
      <c r="H8658" s="7" t="n">
        <v>190801</v>
      </c>
      <c r="I8658" s="7" t="n">
        <v>190801</v>
      </c>
      <c r="K8658" s="94" t="n">
        <v>5</v>
      </c>
      <c r="L8658" s="7" t="n">
        <v>190801</v>
      </c>
      <c r="M8658" s="94">
        <f>VLOOKUP($Q8658,매칭테이블!$F:$I,2,0)*K8658</f>
        <v/>
      </c>
      <c r="N8658" s="94">
        <f>M8658-M8658*VLOOKUP($Q8658,매칭테이블!$F:$I,3,0)</f>
        <v/>
      </c>
      <c r="O8658" s="94">
        <f>VLOOKUP($Q8658,매칭테이블!$F:$I,4,0)*K8658</f>
        <v/>
      </c>
      <c r="P8658" s="148">
        <f>M8658/1.1</f>
        <v/>
      </c>
      <c r="Q8658" s="94">
        <f>F8658&amp;E8658&amp;G8658&amp;L8658</f>
        <v/>
      </c>
    </row>
    <row r="8659" customFormat="1" s="94">
      <c r="B8659" s="128" t="n">
        <v>44067</v>
      </c>
      <c r="C8659" s="94">
        <f>TEXT(B8659,"aaa")</f>
        <v/>
      </c>
      <c r="E8659" s="94" t="inlineStr">
        <is>
          <t>수딩크림</t>
        </is>
      </c>
      <c r="F8659" s="5" t="inlineStr">
        <is>
          <t>카페24</t>
        </is>
      </c>
      <c r="G8659" s="94" t="inlineStr">
        <is>
          <t>수딩크림 100ml</t>
        </is>
      </c>
      <c r="H8659" s="7" t="n">
        <v>190801</v>
      </c>
      <c r="I8659" s="7" t="n">
        <v>190801</v>
      </c>
      <c r="K8659" s="94" t="n">
        <v>6</v>
      </c>
      <c r="L8659" s="7" t="n">
        <v>190801</v>
      </c>
      <c r="M8659" s="94">
        <f>VLOOKUP($Q8659,매칭테이블!$F:$I,2,0)*K8659</f>
        <v/>
      </c>
      <c r="N8659" s="94">
        <f>M8659-M8659*VLOOKUP($Q8659,매칭테이블!$F:$I,3,0)</f>
        <v/>
      </c>
      <c r="O8659" s="94">
        <f>VLOOKUP($Q8659,매칭테이블!$F:$I,4,0)*K8659</f>
        <v/>
      </c>
      <c r="P8659" s="148">
        <f>M8659/1.1</f>
        <v/>
      </c>
      <c r="Q8659" s="94">
        <f>F8659&amp;E8659&amp;G8659&amp;L8659</f>
        <v/>
      </c>
    </row>
    <row r="8660" customFormat="1" s="94">
      <c r="B8660" s="128" t="n">
        <v>44067</v>
      </c>
      <c r="C8660" s="94">
        <f>TEXT(B8660,"aaa")</f>
        <v/>
      </c>
      <c r="E8660" s="94" t="inlineStr">
        <is>
          <t>클렌징폼</t>
        </is>
      </c>
      <c r="F8660" s="5" t="inlineStr">
        <is>
          <t>카페24</t>
        </is>
      </c>
      <c r="G8660" s="94" t="inlineStr">
        <is>
          <t>클렌징폼 120ml</t>
        </is>
      </c>
      <c r="H8660" s="7" t="n">
        <v>190801</v>
      </c>
      <c r="I8660" s="7" t="n">
        <v>190801</v>
      </c>
      <c r="K8660" s="94" t="n">
        <v>13</v>
      </c>
      <c r="L8660" s="7" t="n">
        <v>190801</v>
      </c>
      <c r="M8660" s="94">
        <f>VLOOKUP($Q8660,매칭테이블!$F:$I,2,0)*K8660</f>
        <v/>
      </c>
      <c r="N8660" s="94">
        <f>M8660-M8660*VLOOKUP($Q8660,매칭테이블!$F:$I,3,0)</f>
        <v/>
      </c>
      <c r="O8660" s="94">
        <f>VLOOKUP($Q8660,매칭테이블!$F:$I,4,0)*K8660</f>
        <v/>
      </c>
      <c r="P8660" s="148">
        <f>M8660/1.1</f>
        <v/>
      </c>
      <c r="Q8660" s="94">
        <f>F8660&amp;E8660&amp;G8660&amp;L8660</f>
        <v/>
      </c>
    </row>
    <row r="8661" customFormat="1" s="94">
      <c r="B8661" s="128" t="n">
        <v>44067</v>
      </c>
      <c r="C8661" s="94">
        <f>TEXT(B8661,"aaa")</f>
        <v/>
      </c>
      <c r="E8661" s="94" t="inlineStr">
        <is>
          <t>클렌징폼</t>
        </is>
      </c>
      <c r="F8661" s="5" t="inlineStr">
        <is>
          <t>카페24</t>
        </is>
      </c>
      <c r="G8661" s="94" t="inlineStr">
        <is>
          <t>클렌징폼 120ml 2set</t>
        </is>
      </c>
      <c r="H8661" s="7" t="n">
        <v>190801</v>
      </c>
      <c r="I8661" s="7" t="n">
        <v>190801</v>
      </c>
      <c r="K8661" s="94" t="n">
        <v>3</v>
      </c>
      <c r="L8661" s="7" t="n">
        <v>190801</v>
      </c>
      <c r="M8661" s="94">
        <f>VLOOKUP($Q8661,매칭테이블!$F:$I,2,0)*K8661</f>
        <v/>
      </c>
      <c r="N8661" s="94">
        <f>M8661-M8661*VLOOKUP($Q8661,매칭테이블!$F:$I,3,0)</f>
        <v/>
      </c>
      <c r="O8661" s="94">
        <f>VLOOKUP($Q8661,매칭테이블!$F:$I,4,0)*K8661</f>
        <v/>
      </c>
      <c r="P8661" s="148">
        <f>M8661/1.1</f>
        <v/>
      </c>
      <c r="Q8661" s="94">
        <f>F8661&amp;E8661&amp;G8661&amp;L8661</f>
        <v/>
      </c>
    </row>
    <row r="8662" customFormat="1" s="94">
      <c r="B8662" s="128" t="n">
        <v>44067</v>
      </c>
      <c r="C8662" s="94">
        <f>TEXT(B8662,"aaa")</f>
        <v/>
      </c>
      <c r="E8662" s="94" t="inlineStr">
        <is>
          <t>토너</t>
        </is>
      </c>
      <c r="F8662" s="5" t="inlineStr">
        <is>
          <t>큐텐재팬</t>
        </is>
      </c>
      <c r="G8662" s="94" t="inlineStr">
        <is>
          <t>200726=250ml</t>
        </is>
      </c>
      <c r="H8662" s="7" t="n">
        <v>190801</v>
      </c>
      <c r="I8662" s="7" t="n">
        <v>190801</v>
      </c>
      <c r="K8662" s="94" t="n">
        <v>11</v>
      </c>
      <c r="L8662" s="7" t="n">
        <v>190801</v>
      </c>
      <c r="M8662" s="94">
        <f>VLOOKUP($Q8662,매칭테이블!$F:$I,2,0)*K8662</f>
        <v/>
      </c>
      <c r="N8662" s="94">
        <f>M8662-M8662*VLOOKUP($Q8662,매칭테이블!$F:$I,3,0)</f>
        <v/>
      </c>
      <c r="O8662" s="94">
        <f>VLOOKUP($Q8662,매칭테이블!$F:$I,4,0)*K8662</f>
        <v/>
      </c>
      <c r="P8662" s="148">
        <f>M8662/1.1</f>
        <v/>
      </c>
      <c r="Q8662" s="94">
        <f>F8662&amp;E8662&amp;G8662&amp;L8662</f>
        <v/>
      </c>
    </row>
    <row r="8663" customFormat="1" s="94">
      <c r="B8663" s="128" t="n">
        <v>44067</v>
      </c>
      <c r="C8663" s="94">
        <f>TEXT(B8663,"aaa")</f>
        <v/>
      </c>
      <c r="E8663" s="94" t="inlineStr">
        <is>
          <t>수딩크림</t>
        </is>
      </c>
      <c r="F8663" s="5" t="inlineStr">
        <is>
          <t>큐텐재팬</t>
        </is>
      </c>
      <c r="G8663" s="94" t="inlineStr">
        <is>
          <t>200726=수딩크림 100ml</t>
        </is>
      </c>
      <c r="H8663" s="7" t="n">
        <v>190801</v>
      </c>
      <c r="I8663" s="7" t="n">
        <v>190801</v>
      </c>
      <c r="K8663" s="94" t="n">
        <v>1</v>
      </c>
      <c r="L8663" s="7" t="n">
        <v>190801</v>
      </c>
      <c r="M8663" s="94">
        <f>VLOOKUP($Q8663,매칭테이블!$F:$I,2,0)*K8663</f>
        <v/>
      </c>
      <c r="N8663" s="94">
        <f>M8663-M8663*VLOOKUP($Q8663,매칭테이블!$F:$I,3,0)</f>
        <v/>
      </c>
      <c r="O8663" s="94">
        <f>VLOOKUP($Q8663,매칭테이블!$F:$I,4,0)*K8663</f>
        <v/>
      </c>
      <c r="P8663" s="148">
        <f>M8663/1.1</f>
        <v/>
      </c>
      <c r="Q8663" s="94">
        <f>F8663&amp;E8663&amp;G8663&amp;L8663</f>
        <v/>
      </c>
    </row>
    <row r="8664" customFormat="1" s="94">
      <c r="B8664" s="128" t="n">
        <v>44067</v>
      </c>
      <c r="C8664" s="94">
        <f>TEXT(B8664,"aaa")</f>
        <v/>
      </c>
      <c r="E8664" s="94" t="inlineStr">
        <is>
          <t>앰플</t>
        </is>
      </c>
      <c r="F8664" s="5" t="inlineStr">
        <is>
          <t>큐텐재팬</t>
        </is>
      </c>
      <c r="G8664" s="94" t="inlineStr">
        <is>
          <t>200726=앰플 30ml</t>
        </is>
      </c>
      <c r="H8664" s="7" t="n">
        <v>190801</v>
      </c>
      <c r="I8664" s="7" t="n">
        <v>190801</v>
      </c>
      <c r="K8664" s="94" t="n">
        <v>2</v>
      </c>
      <c r="L8664" s="7" t="n">
        <v>190801</v>
      </c>
      <c r="M8664" s="94">
        <f>VLOOKUP($Q8664,매칭테이블!$F:$I,2,0)*K8664</f>
        <v/>
      </c>
      <c r="N8664" s="94">
        <f>M8664-M8664*VLOOKUP($Q8664,매칭테이블!$F:$I,3,0)</f>
        <v/>
      </c>
      <c r="O8664" s="94">
        <f>VLOOKUP($Q8664,매칭테이블!$F:$I,4,0)*K8664</f>
        <v/>
      </c>
      <c r="P8664" s="148">
        <f>M8664/1.1</f>
        <v/>
      </c>
      <c r="Q8664" s="94">
        <f>F8664&amp;E8664&amp;G8664&amp;L8664</f>
        <v/>
      </c>
    </row>
    <row r="8665" customFormat="1" s="94">
      <c r="B8665" s="128" t="n">
        <v>44067</v>
      </c>
      <c r="C8665" s="94">
        <f>TEXT(B8665,"aaa")</f>
        <v/>
      </c>
      <c r="E8665" s="94" t="inlineStr">
        <is>
          <t>토너</t>
        </is>
      </c>
      <c r="F8665" s="5" t="inlineStr">
        <is>
          <t>큐텐재팬</t>
        </is>
      </c>
      <c r="G8665" s="94" t="inlineStr">
        <is>
          <t>200726=250ml 2set</t>
        </is>
      </c>
      <c r="H8665" s="7" t="n">
        <v>190801</v>
      </c>
      <c r="I8665" s="7" t="n">
        <v>190801</v>
      </c>
      <c r="K8665" s="94" t="n">
        <v>5</v>
      </c>
      <c r="L8665" s="7" t="n">
        <v>190801</v>
      </c>
      <c r="M8665" s="94">
        <f>VLOOKUP($Q8665,매칭테이블!$F:$I,2,0)*K8665</f>
        <v/>
      </c>
      <c r="N8665" s="94">
        <f>M8665-M8665*VLOOKUP($Q8665,매칭테이블!$F:$I,3,0)</f>
        <v/>
      </c>
      <c r="O8665" s="94">
        <f>VLOOKUP($Q8665,매칭테이블!$F:$I,4,0)*K8665</f>
        <v/>
      </c>
      <c r="P8665" s="148">
        <f>M8665/1.1</f>
        <v/>
      </c>
      <c r="Q8665" s="94">
        <f>F8665&amp;E8665&amp;G8665&amp;L8665</f>
        <v/>
      </c>
    </row>
    <row r="8666" customFormat="1" s="94">
      <c r="B8666" s="128" t="n">
        <v>44067</v>
      </c>
      <c r="C8666" s="94">
        <f>TEXT(B8666,"aaa")</f>
        <v/>
      </c>
      <c r="E8666" s="94" t="inlineStr">
        <is>
          <t>토너</t>
        </is>
      </c>
      <c r="F8666" s="5" t="inlineStr">
        <is>
          <t>쇼피태국</t>
        </is>
      </c>
      <c r="G8666" s="94" t="inlineStr">
        <is>
          <t>200820=250ml</t>
        </is>
      </c>
      <c r="H8666" s="7" t="n">
        <v>190801</v>
      </c>
      <c r="I8666" s="7" t="n">
        <v>190801</v>
      </c>
      <c r="K8666" s="94" t="n">
        <v>1</v>
      </c>
      <c r="L8666" s="7" t="n">
        <v>190801</v>
      </c>
      <c r="M8666" s="94">
        <f>VLOOKUP($Q8666,매칭테이블!$F:$I,2,0)*K8666</f>
        <v/>
      </c>
      <c r="N8666" s="94">
        <f>M8666-M8666*VLOOKUP($Q8666,매칭테이블!$F:$I,3,0)</f>
        <v/>
      </c>
      <c r="O8666" s="94">
        <f>VLOOKUP($Q8666,매칭테이블!$F:$I,4,0)*K8666</f>
        <v/>
      </c>
      <c r="P8666" s="148">
        <f>M8666/1.1</f>
        <v/>
      </c>
      <c r="Q8666" s="94">
        <f>F8666&amp;E8666&amp;G8666&amp;L8666</f>
        <v/>
      </c>
    </row>
    <row r="8667" customFormat="1" s="94">
      <c r="B8667" s="128" t="n">
        <v>44067</v>
      </c>
      <c r="C8667" s="94">
        <f>TEXT(B8667,"aaa")</f>
        <v/>
      </c>
      <c r="E8667" s="94" t="inlineStr">
        <is>
          <t>마스크팩</t>
        </is>
      </c>
      <c r="F8667" s="5" t="inlineStr">
        <is>
          <t>쇼피태국</t>
        </is>
      </c>
      <c r="G8667" s="94" t="inlineStr">
        <is>
          <t>200820=마스크팩 10매</t>
        </is>
      </c>
      <c r="H8667" s="7" t="n">
        <v>190801</v>
      </c>
      <c r="I8667" s="7" t="n">
        <v>190801</v>
      </c>
      <c r="K8667" s="94" t="n">
        <v>1</v>
      </c>
      <c r="L8667" s="7" t="n">
        <v>190801</v>
      </c>
      <c r="M8667" s="94">
        <f>VLOOKUP($Q8667,매칭테이블!$F:$I,2,0)*K8667</f>
        <v/>
      </c>
      <c r="N8667" s="94">
        <f>M8667-M8667*VLOOKUP($Q8667,매칭테이블!$F:$I,3,0)</f>
        <v/>
      </c>
      <c r="O8667" s="94">
        <f>VLOOKUP($Q8667,매칭테이블!$F:$I,4,0)*K8667</f>
        <v/>
      </c>
      <c r="P8667" s="148">
        <f>M8667/1.1</f>
        <v/>
      </c>
      <c r="Q8667" s="94">
        <f>F8667&amp;E8667&amp;G8667&amp;L8667</f>
        <v/>
      </c>
    </row>
    <row r="8668" customFormat="1" s="94">
      <c r="B8668" s="128" t="n">
        <v>44068</v>
      </c>
      <c r="C8668" s="94">
        <f>TEXT(B8668,"aaa")</f>
        <v/>
      </c>
      <c r="E8668" s="94" t="inlineStr">
        <is>
          <t>토너</t>
        </is>
      </c>
      <c r="F8668" s="5" t="inlineStr">
        <is>
          <t>스타일쉐어</t>
        </is>
      </c>
      <c r="G8668" s="94" t="inlineStr">
        <is>
          <t>250ml</t>
        </is>
      </c>
      <c r="H8668" s="7" t="n">
        <v>190801</v>
      </c>
      <c r="I8668" s="7" t="n">
        <v>190801</v>
      </c>
      <c r="K8668" s="94" t="n">
        <v>8</v>
      </c>
      <c r="L8668" s="7" t="n">
        <v>190801</v>
      </c>
      <c r="M8668" s="94">
        <f>VLOOKUP($Q8668,매칭테이블!$F:$I,2,0)*K8668</f>
        <v/>
      </c>
      <c r="N8668" s="94">
        <f>M8668-M8668*VLOOKUP($Q8668,매칭테이블!$F:$I,3,0)</f>
        <v/>
      </c>
      <c r="O8668" s="94">
        <f>VLOOKUP($Q8668,매칭테이블!$F:$I,4,0)*K8668</f>
        <v/>
      </c>
      <c r="P8668" s="148">
        <f>M8668/1.1</f>
        <v/>
      </c>
      <c r="Q8668" s="94">
        <f>F8668&amp;E8668&amp;G8668&amp;L8668</f>
        <v/>
      </c>
    </row>
    <row r="8669" customFormat="1" s="94">
      <c r="B8669" s="128" t="n">
        <v>44068</v>
      </c>
      <c r="C8669" s="94">
        <f>TEXT(B8669,"aaa")</f>
        <v/>
      </c>
      <c r="E8669" s="94" t="inlineStr">
        <is>
          <t>선크림</t>
        </is>
      </c>
      <c r="F8669" s="5" t="inlineStr">
        <is>
          <t>카페24</t>
        </is>
      </c>
      <c r="G8669" s="94" t="inlineStr">
        <is>
          <t>선크림 50ml</t>
        </is>
      </c>
      <c r="H8669" s="7" t="n">
        <v>190801</v>
      </c>
      <c r="I8669" s="7" t="n">
        <v>190801</v>
      </c>
      <c r="K8669" s="94" t="n">
        <v>3</v>
      </c>
      <c r="L8669" s="7" t="n">
        <v>190801</v>
      </c>
      <c r="M8669" s="94">
        <f>VLOOKUP($Q8669,매칭테이블!$F:$I,2,0)*K8669</f>
        <v/>
      </c>
      <c r="N8669" s="94">
        <f>M8669-M8669*VLOOKUP($Q8669,매칭테이블!$F:$I,3,0)</f>
        <v/>
      </c>
      <c r="O8669" s="94">
        <f>VLOOKUP($Q8669,매칭테이블!$F:$I,4,0)*K8669</f>
        <v/>
      </c>
      <c r="P8669" s="148">
        <f>M8669/1.1</f>
        <v/>
      </c>
      <c r="Q8669" s="94">
        <f>F8669&amp;E8669&amp;G8669&amp;L8669</f>
        <v/>
      </c>
    </row>
    <row r="8670" customFormat="1" s="94">
      <c r="B8670" s="128" t="n">
        <v>44068</v>
      </c>
      <c r="C8670" s="94">
        <f>TEXT(B8670,"aaa")</f>
        <v/>
      </c>
      <c r="E8670" s="94" t="inlineStr">
        <is>
          <t>선크림</t>
        </is>
      </c>
      <c r="F8670" s="5" t="inlineStr">
        <is>
          <t>카페24</t>
        </is>
      </c>
      <c r="G8670" s="94" t="inlineStr">
        <is>
          <t>선크림 50ml  2set</t>
        </is>
      </c>
      <c r="H8670" s="7" t="n">
        <v>190801</v>
      </c>
      <c r="I8670" s="7" t="n">
        <v>190801</v>
      </c>
      <c r="K8670" s="94" t="n">
        <v>1</v>
      </c>
      <c r="L8670" s="7" t="n">
        <v>190801</v>
      </c>
      <c r="M8670" s="94">
        <f>VLOOKUP($Q8670,매칭테이블!$F:$I,2,0)*K8670</f>
        <v/>
      </c>
      <c r="N8670" s="94">
        <f>M8670-M8670*VLOOKUP($Q8670,매칭테이블!$F:$I,3,0)</f>
        <v/>
      </c>
      <c r="O8670" s="94">
        <f>VLOOKUP($Q8670,매칭테이블!$F:$I,4,0)*K8670</f>
        <v/>
      </c>
      <c r="P8670" s="148">
        <f>M8670/1.1</f>
        <v/>
      </c>
      <c r="Q8670" s="94">
        <f>F8670&amp;E8670&amp;G8670&amp;L8670</f>
        <v/>
      </c>
    </row>
    <row r="8671" customFormat="1" s="94">
      <c r="B8671" s="128" t="n">
        <v>44068</v>
      </c>
      <c r="C8671" s="94">
        <f>TEXT(B8671,"aaa")</f>
        <v/>
      </c>
      <c r="E8671" s="94" t="inlineStr">
        <is>
          <t>여름 한정 진정세트</t>
        </is>
      </c>
      <c r="F8671" s="5" t="inlineStr">
        <is>
          <t>카페24</t>
        </is>
      </c>
      <c r="G8671" s="94" t="inlineStr">
        <is>
          <t>여름 한정 진정세트</t>
        </is>
      </c>
      <c r="H8671" s="7" t="n">
        <v>190801</v>
      </c>
      <c r="I8671" s="7" t="n">
        <v>190801</v>
      </c>
      <c r="K8671" s="94" t="n">
        <v>5</v>
      </c>
      <c r="L8671" s="7" t="n">
        <v>190801</v>
      </c>
      <c r="M8671" s="94">
        <f>VLOOKUP($Q8671,매칭테이블!$F:$I,2,0)*K8671</f>
        <v/>
      </c>
      <c r="N8671" s="94">
        <f>M8671-M8671*VLOOKUP($Q8671,매칭테이블!$F:$I,3,0)</f>
        <v/>
      </c>
      <c r="O8671" s="94">
        <f>VLOOKUP($Q8671,매칭테이블!$F:$I,4,0)*K8671</f>
        <v/>
      </c>
      <c r="P8671" s="148">
        <f>M8671/1.1</f>
        <v/>
      </c>
      <c r="Q8671" s="94">
        <f>F8671&amp;E8671&amp;G8671&amp;L8671</f>
        <v/>
      </c>
    </row>
    <row r="8672" customFormat="1" s="94">
      <c r="B8672" s="128" t="n">
        <v>44068</v>
      </c>
      <c r="C8672" s="94">
        <f>TEXT(B8672,"aaa")</f>
        <v/>
      </c>
      <c r="E8672" s="94" t="inlineStr">
        <is>
          <t>여름 한정 진정세트</t>
        </is>
      </c>
      <c r="F8672" s="5" t="inlineStr">
        <is>
          <t>카페24</t>
        </is>
      </c>
      <c r="G8672" s="94" t="inlineStr">
        <is>
          <t>여름 한정 진정세트 (대용량)</t>
        </is>
      </c>
      <c r="H8672" s="7" t="n">
        <v>190801</v>
      </c>
      <c r="I8672" s="7" t="n">
        <v>190801</v>
      </c>
      <c r="K8672" s="94" t="n">
        <v>1</v>
      </c>
      <c r="L8672" s="7" t="n">
        <v>190801</v>
      </c>
      <c r="M8672" s="94">
        <f>VLOOKUP($Q8672,매칭테이블!$F:$I,2,0)*K8672</f>
        <v/>
      </c>
      <c r="N8672" s="94">
        <f>M8672-M8672*VLOOKUP($Q8672,매칭테이블!$F:$I,3,0)</f>
        <v/>
      </c>
      <c r="O8672" s="94">
        <f>VLOOKUP($Q8672,매칭테이블!$F:$I,4,0)*K8672</f>
        <v/>
      </c>
      <c r="P8672" s="148">
        <f>M8672/1.1</f>
        <v/>
      </c>
      <c r="Q8672" s="94">
        <f>F8672&amp;E8672&amp;G8672&amp;L8672</f>
        <v/>
      </c>
    </row>
    <row r="8673" customFormat="1" s="94">
      <c r="B8673" s="128" t="n">
        <v>44068</v>
      </c>
      <c r="C8673" s="94">
        <f>TEXT(B8673,"aaa")</f>
        <v/>
      </c>
      <c r="E8673" s="94" t="inlineStr">
        <is>
          <t>어성초진정패키지</t>
        </is>
      </c>
      <c r="F8673" s="5" t="inlineStr">
        <is>
          <t>카페24</t>
        </is>
      </c>
      <c r="G8673" s="94" t="inlineStr">
        <is>
          <t>어성초 진정패키지세트</t>
        </is>
      </c>
      <c r="H8673" s="7" t="n">
        <v>190801</v>
      </c>
      <c r="I8673" s="7" t="n">
        <v>190801</v>
      </c>
      <c r="K8673" s="94" t="n">
        <v>2</v>
      </c>
      <c r="L8673" s="7" t="n">
        <v>190801</v>
      </c>
      <c r="M8673" s="94">
        <f>VLOOKUP($Q8673,매칭테이블!$F:$I,2,0)*K8673</f>
        <v/>
      </c>
      <c r="N8673" s="94">
        <f>M8673-M8673*VLOOKUP($Q8673,매칭테이블!$F:$I,3,0)</f>
        <v/>
      </c>
      <c r="O8673" s="94">
        <f>VLOOKUP($Q8673,매칭테이블!$F:$I,4,0)*K8673</f>
        <v/>
      </c>
      <c r="P8673" s="148">
        <f>M8673/1.1</f>
        <v/>
      </c>
      <c r="Q8673" s="94">
        <f>F8673&amp;E8673&amp;G8673&amp;L8673</f>
        <v/>
      </c>
    </row>
    <row r="8674" customFormat="1" s="94">
      <c r="B8674" s="128" t="n">
        <v>44068</v>
      </c>
      <c r="C8674" s="94">
        <f>TEXT(B8674,"aaa")</f>
        <v/>
      </c>
      <c r="E8674" s="94" t="inlineStr">
        <is>
          <t>머드크림마스크</t>
        </is>
      </c>
      <c r="F8674" s="5" t="inlineStr">
        <is>
          <t>카페24</t>
        </is>
      </c>
      <c r="G8674" s="94" t="inlineStr">
        <is>
          <t>머드크림마스크 100ml</t>
        </is>
      </c>
      <c r="H8674" s="7" t="n">
        <v>190801</v>
      </c>
      <c r="I8674" s="7" t="n">
        <v>190801</v>
      </c>
      <c r="K8674" s="94" t="n">
        <v>5</v>
      </c>
      <c r="L8674" s="7" t="n">
        <v>190801</v>
      </c>
      <c r="M8674" s="94">
        <f>VLOOKUP($Q8674,매칭테이블!$F:$I,2,0)*K8674</f>
        <v/>
      </c>
      <c r="N8674" s="94">
        <f>M8674-M8674*VLOOKUP($Q8674,매칭테이블!$F:$I,3,0)</f>
        <v/>
      </c>
      <c r="O8674" s="94">
        <f>VLOOKUP($Q8674,매칭테이블!$F:$I,4,0)*K8674</f>
        <v/>
      </c>
      <c r="P8674" s="148">
        <f>M8674/1.1</f>
        <v/>
      </c>
      <c r="Q8674" s="94">
        <f>F8674&amp;E8674&amp;G8674&amp;L8674</f>
        <v/>
      </c>
    </row>
    <row r="8675" customFormat="1" s="94">
      <c r="B8675" s="128" t="n">
        <v>44068</v>
      </c>
      <c r="C8675" s="94">
        <f>TEXT(B8675,"aaa")</f>
        <v/>
      </c>
      <c r="E8675" s="94" t="inlineStr">
        <is>
          <t>마스크팩</t>
        </is>
      </c>
      <c r="F8675" s="5" t="inlineStr">
        <is>
          <t>카페24</t>
        </is>
      </c>
      <c r="G8675" s="94" t="inlineStr">
        <is>
          <t>마스크팩 1매</t>
        </is>
      </c>
      <c r="H8675" s="7" t="n">
        <v>190801</v>
      </c>
      <c r="I8675" s="7" t="n">
        <v>190801</v>
      </c>
      <c r="K8675" s="94" t="n">
        <v>9</v>
      </c>
      <c r="L8675" s="7" t="n">
        <v>190801</v>
      </c>
      <c r="M8675" s="94">
        <f>VLOOKUP($Q8675,매칭테이블!$F:$I,2,0)*K8675</f>
        <v/>
      </c>
      <c r="N8675" s="94">
        <f>M8675-M8675*VLOOKUP($Q8675,매칭테이블!$F:$I,3,0)</f>
        <v/>
      </c>
      <c r="O8675" s="94">
        <f>VLOOKUP($Q8675,매칭테이블!$F:$I,4,0)*K8675</f>
        <v/>
      </c>
      <c r="P8675" s="148">
        <f>M8675/1.1</f>
        <v/>
      </c>
      <c r="Q8675" s="94">
        <f>F8675&amp;E8675&amp;G8675&amp;L8675</f>
        <v/>
      </c>
    </row>
    <row r="8676" customFormat="1" s="94">
      <c r="B8676" s="128" t="n">
        <v>44068</v>
      </c>
      <c r="C8676" s="94">
        <f>TEXT(B8676,"aaa")</f>
        <v/>
      </c>
      <c r="E8676" s="94" t="inlineStr">
        <is>
          <t>마스크팩</t>
        </is>
      </c>
      <c r="F8676" s="5" t="inlineStr">
        <is>
          <t>카페24</t>
        </is>
      </c>
      <c r="G8676" s="94" t="inlineStr">
        <is>
          <t>마스크팩 10매</t>
        </is>
      </c>
      <c r="H8676" s="7" t="n">
        <v>190801</v>
      </c>
      <c r="I8676" s="7" t="n">
        <v>190801</v>
      </c>
      <c r="K8676" s="94" t="n">
        <v>6</v>
      </c>
      <c r="L8676" s="7" t="n">
        <v>190801</v>
      </c>
      <c r="M8676" s="94">
        <f>VLOOKUP($Q8676,매칭테이블!$F:$I,2,0)*K8676</f>
        <v/>
      </c>
      <c r="N8676" s="94">
        <f>M8676-M8676*VLOOKUP($Q8676,매칭테이블!$F:$I,3,0)</f>
        <v/>
      </c>
      <c r="O8676" s="94">
        <f>VLOOKUP($Q8676,매칭테이블!$F:$I,4,0)*K8676</f>
        <v/>
      </c>
      <c r="P8676" s="148">
        <f>M8676/1.1</f>
        <v/>
      </c>
      <c r="Q8676" s="94">
        <f>F8676&amp;E8676&amp;G8676&amp;L8676</f>
        <v/>
      </c>
    </row>
    <row r="8677" customFormat="1" s="94">
      <c r="B8677" s="128" t="n">
        <v>44068</v>
      </c>
      <c r="C8677" s="94">
        <f>TEXT(B8677,"aaa")</f>
        <v/>
      </c>
      <c r="E8677" s="94" t="inlineStr">
        <is>
          <t>토너</t>
        </is>
      </c>
      <c r="F8677" s="5" t="inlineStr">
        <is>
          <t>카페24</t>
        </is>
      </c>
      <c r="G8677" s="94" t="inlineStr">
        <is>
          <t>250ml</t>
        </is>
      </c>
      <c r="H8677" s="7" t="n">
        <v>190801</v>
      </c>
      <c r="I8677" s="7" t="n">
        <v>190801</v>
      </c>
      <c r="K8677" s="94" t="n">
        <v>110</v>
      </c>
      <c r="L8677" s="7" t="n">
        <v>190801</v>
      </c>
      <c r="M8677" s="94">
        <f>VLOOKUP($Q8677,매칭테이블!$F:$I,2,0)*K8677</f>
        <v/>
      </c>
      <c r="N8677" s="94">
        <f>M8677-M8677*VLOOKUP($Q8677,매칭테이블!$F:$I,3,0)</f>
        <v/>
      </c>
      <c r="O8677" s="94">
        <f>VLOOKUP($Q8677,매칭테이블!$F:$I,4,0)*K8677</f>
        <v/>
      </c>
      <c r="P8677" s="148">
        <f>M8677/1.1</f>
        <v/>
      </c>
      <c r="Q8677" s="94">
        <f>F8677&amp;E8677&amp;G8677&amp;L8677</f>
        <v/>
      </c>
    </row>
    <row r="8678" customFormat="1" s="94">
      <c r="B8678" s="128" t="n">
        <v>44068</v>
      </c>
      <c r="C8678" s="94">
        <f>TEXT(B8678,"aaa")</f>
        <v/>
      </c>
      <c r="E8678" s="94" t="inlineStr">
        <is>
          <t>토너</t>
        </is>
      </c>
      <c r="F8678" s="5" t="inlineStr">
        <is>
          <t>카페24</t>
        </is>
      </c>
      <c r="G8678" s="94" t="inlineStr">
        <is>
          <t>250ml 2set</t>
        </is>
      </c>
      <c r="H8678" s="7" t="n">
        <v>190801</v>
      </c>
      <c r="I8678" s="7" t="n">
        <v>190801</v>
      </c>
      <c r="K8678" s="94" t="n">
        <v>86</v>
      </c>
      <c r="L8678" s="7" t="n">
        <v>190801</v>
      </c>
      <c r="M8678" s="94">
        <f>VLOOKUP($Q8678,매칭테이블!$F:$I,2,0)*K8678</f>
        <v/>
      </c>
      <c r="N8678" s="94">
        <f>M8678-M8678*VLOOKUP($Q8678,매칭테이블!$F:$I,3,0)</f>
        <v/>
      </c>
      <c r="O8678" s="94">
        <f>VLOOKUP($Q8678,매칭테이블!$F:$I,4,0)*K8678</f>
        <v/>
      </c>
      <c r="P8678" s="148">
        <f>M8678/1.1</f>
        <v/>
      </c>
      <c r="Q8678" s="94">
        <f>F8678&amp;E8678&amp;G8678&amp;L8678</f>
        <v/>
      </c>
    </row>
    <row r="8679" customFormat="1" s="94">
      <c r="B8679" s="128" t="n">
        <v>44068</v>
      </c>
      <c r="C8679" s="94">
        <f>TEXT(B8679,"aaa")</f>
        <v/>
      </c>
      <c r="E8679" s="94" t="inlineStr">
        <is>
          <t>토너</t>
        </is>
      </c>
      <c r="F8679" s="5" t="inlineStr">
        <is>
          <t>카페24</t>
        </is>
      </c>
      <c r="G8679" s="94" t="inlineStr">
        <is>
          <t>500ml</t>
        </is>
      </c>
      <c r="H8679" s="7" t="n">
        <v>190801</v>
      </c>
      <c r="I8679" s="7" t="n">
        <v>190801</v>
      </c>
      <c r="K8679" s="94" t="n">
        <v>77</v>
      </c>
      <c r="L8679" s="7" t="n">
        <v>190801</v>
      </c>
      <c r="M8679" s="94">
        <f>VLOOKUP($Q8679,매칭테이블!$F:$I,2,0)*K8679</f>
        <v/>
      </c>
      <c r="N8679" s="94">
        <f>M8679-M8679*VLOOKUP($Q8679,매칭테이블!$F:$I,3,0)</f>
        <v/>
      </c>
      <c r="O8679" s="94">
        <f>VLOOKUP($Q8679,매칭테이블!$F:$I,4,0)*K8679</f>
        <v/>
      </c>
      <c r="P8679" s="148">
        <f>M8679/1.1</f>
        <v/>
      </c>
      <c r="Q8679" s="94">
        <f>F8679&amp;E8679&amp;G8679&amp;L8679</f>
        <v/>
      </c>
    </row>
    <row r="8680" customFormat="1" s="94">
      <c r="B8680" s="128" t="n">
        <v>44068</v>
      </c>
      <c r="C8680" s="94">
        <f>TEXT(B8680,"aaa")</f>
        <v/>
      </c>
      <c r="E8680" s="94" t="inlineStr">
        <is>
          <t>토너</t>
        </is>
      </c>
      <c r="F8680" s="5" t="inlineStr">
        <is>
          <t>카페24</t>
        </is>
      </c>
      <c r="G8680" s="94" t="inlineStr">
        <is>
          <t>스킨팩 화장솜 60P</t>
        </is>
      </c>
      <c r="H8680" s="7" t="n">
        <v>190801</v>
      </c>
      <c r="I8680" s="7" t="n">
        <v>190801</v>
      </c>
      <c r="K8680" s="94" t="n">
        <v>73</v>
      </c>
      <c r="L8680" s="7" t="n">
        <v>190801</v>
      </c>
      <c r="M8680" s="94">
        <f>VLOOKUP($Q8680,매칭테이블!$F:$I,2,0)*K8680</f>
        <v/>
      </c>
      <c r="N8680" s="94">
        <f>M8680-M8680*VLOOKUP($Q8680,매칭테이블!$F:$I,3,0)</f>
        <v/>
      </c>
      <c r="O8680" s="94">
        <f>VLOOKUP($Q8680,매칭테이블!$F:$I,4,0)*K8680</f>
        <v/>
      </c>
      <c r="P8680" s="148">
        <f>M8680/1.1</f>
        <v/>
      </c>
      <c r="Q8680" s="94">
        <f>F8680&amp;E8680&amp;G8680&amp;L8680</f>
        <v/>
      </c>
    </row>
    <row r="8681" customFormat="1" s="94">
      <c r="B8681" s="128" t="n">
        <v>44068</v>
      </c>
      <c r="C8681" s="94">
        <f>TEXT(B8681,"aaa")</f>
        <v/>
      </c>
      <c r="E8681" s="94" t="inlineStr">
        <is>
          <t>앰플</t>
        </is>
      </c>
      <c r="F8681" s="5" t="inlineStr">
        <is>
          <t>카페24</t>
        </is>
      </c>
      <c r="G8681" s="94" t="inlineStr">
        <is>
          <t>앰플 30ml</t>
        </is>
      </c>
      <c r="H8681" s="7" t="n">
        <v>190801</v>
      </c>
      <c r="I8681" s="7" t="n">
        <v>190801</v>
      </c>
      <c r="K8681" s="94" t="n">
        <v>26</v>
      </c>
      <c r="L8681" s="7" t="n">
        <v>190801</v>
      </c>
      <c r="M8681" s="94">
        <f>VLOOKUP($Q8681,매칭테이블!$F:$I,2,0)*K8681</f>
        <v/>
      </c>
      <c r="N8681" s="94">
        <f>M8681-M8681*VLOOKUP($Q8681,매칭테이블!$F:$I,3,0)</f>
        <v/>
      </c>
      <c r="O8681" s="94">
        <f>VLOOKUP($Q8681,매칭테이블!$F:$I,4,0)*K8681</f>
        <v/>
      </c>
      <c r="P8681" s="148">
        <f>M8681/1.1</f>
        <v/>
      </c>
      <c r="Q8681" s="94">
        <f>F8681&amp;E8681&amp;G8681&amp;L8681</f>
        <v/>
      </c>
    </row>
    <row r="8682" customFormat="1" s="94">
      <c r="B8682" s="128" t="n">
        <v>44068</v>
      </c>
      <c r="C8682" s="94">
        <f>TEXT(B8682,"aaa")</f>
        <v/>
      </c>
      <c r="E8682" s="94" t="inlineStr">
        <is>
          <t>수딩크림</t>
        </is>
      </c>
      <c r="F8682" s="5" t="inlineStr">
        <is>
          <t>카페24</t>
        </is>
      </c>
      <c r="G8682" s="94" t="inlineStr">
        <is>
          <t>수딩크림 100ml</t>
        </is>
      </c>
      <c r="H8682" s="7" t="n">
        <v>190801</v>
      </c>
      <c r="I8682" s="7" t="n">
        <v>190801</v>
      </c>
      <c r="K8682" s="94" t="n">
        <v>8</v>
      </c>
      <c r="L8682" s="7" t="n">
        <v>190801</v>
      </c>
      <c r="M8682" s="94">
        <f>VLOOKUP($Q8682,매칭테이블!$F:$I,2,0)*K8682</f>
        <v/>
      </c>
      <c r="N8682" s="94">
        <f>M8682-M8682*VLOOKUP($Q8682,매칭테이블!$F:$I,3,0)</f>
        <v/>
      </c>
      <c r="O8682" s="94">
        <f>VLOOKUP($Q8682,매칭테이블!$F:$I,4,0)*K8682</f>
        <v/>
      </c>
      <c r="P8682" s="148">
        <f>M8682/1.1</f>
        <v/>
      </c>
      <c r="Q8682" s="94">
        <f>F8682&amp;E8682&amp;G8682&amp;L8682</f>
        <v/>
      </c>
    </row>
    <row r="8683" customFormat="1" s="94">
      <c r="B8683" s="128" t="n">
        <v>44068</v>
      </c>
      <c r="C8683" s="94">
        <f>TEXT(B8683,"aaa")</f>
        <v/>
      </c>
      <c r="E8683" s="94" t="inlineStr">
        <is>
          <t>클렌징폼</t>
        </is>
      </c>
      <c r="F8683" s="5" t="inlineStr">
        <is>
          <t>카페24</t>
        </is>
      </c>
      <c r="G8683" s="94" t="inlineStr">
        <is>
          <t>클렌징폼 120ml</t>
        </is>
      </c>
      <c r="H8683" s="7" t="n">
        <v>190801</v>
      </c>
      <c r="I8683" s="7" t="n">
        <v>190801</v>
      </c>
      <c r="K8683" s="94" t="n">
        <v>8</v>
      </c>
      <c r="L8683" s="7" t="n">
        <v>190801</v>
      </c>
      <c r="M8683" s="94">
        <f>VLOOKUP($Q8683,매칭테이블!$F:$I,2,0)*K8683</f>
        <v/>
      </c>
      <c r="N8683" s="94">
        <f>M8683-M8683*VLOOKUP($Q8683,매칭테이블!$F:$I,3,0)</f>
        <v/>
      </c>
      <c r="O8683" s="94">
        <f>VLOOKUP($Q8683,매칭테이블!$F:$I,4,0)*K8683</f>
        <v/>
      </c>
      <c r="P8683" s="148">
        <f>M8683/1.1</f>
        <v/>
      </c>
      <c r="Q8683" s="94">
        <f>F8683&amp;E8683&amp;G8683&amp;L8683</f>
        <v/>
      </c>
    </row>
    <row r="8684" customFormat="1" s="94">
      <c r="B8684" s="128" t="n">
        <v>44068</v>
      </c>
      <c r="C8684" s="94">
        <f>TEXT(B8684,"aaa")</f>
        <v/>
      </c>
      <c r="E8684" s="94" t="inlineStr">
        <is>
          <t>클렌징폼</t>
        </is>
      </c>
      <c r="F8684" s="5" t="inlineStr">
        <is>
          <t>카페24</t>
        </is>
      </c>
      <c r="G8684" s="94" t="inlineStr">
        <is>
          <t>클렌징폼 120ml 2set</t>
        </is>
      </c>
      <c r="H8684" s="7" t="n">
        <v>190801</v>
      </c>
      <c r="I8684" s="7" t="n">
        <v>190801</v>
      </c>
      <c r="K8684" s="94" t="n">
        <v>1</v>
      </c>
      <c r="L8684" s="7" t="n">
        <v>190801</v>
      </c>
      <c r="M8684" s="94">
        <f>VLOOKUP($Q8684,매칭테이블!$F:$I,2,0)*K8684</f>
        <v/>
      </c>
      <c r="N8684" s="94">
        <f>M8684-M8684*VLOOKUP($Q8684,매칭테이블!$F:$I,3,0)</f>
        <v/>
      </c>
      <c r="O8684" s="94">
        <f>VLOOKUP($Q8684,매칭테이블!$F:$I,4,0)*K8684</f>
        <v/>
      </c>
      <c r="P8684" s="148">
        <f>M8684/1.1</f>
        <v/>
      </c>
      <c r="Q8684" s="94">
        <f>F8684&amp;E8684&amp;G8684&amp;L8684</f>
        <v/>
      </c>
    </row>
    <row r="8685" customFormat="1" s="94">
      <c r="B8685" s="128" t="n">
        <v>44068</v>
      </c>
      <c r="C8685" s="94">
        <f>TEXT(B8685,"aaa")</f>
        <v/>
      </c>
      <c r="E8685" s="94" t="inlineStr">
        <is>
          <t>토너</t>
        </is>
      </c>
      <c r="F8685" s="5" t="inlineStr">
        <is>
          <t>현대면세점</t>
        </is>
      </c>
      <c r="G8685" s="94" t="inlineStr">
        <is>
          <t>40ml(증정)</t>
        </is>
      </c>
      <c r="H8685" s="7" t="n">
        <v>190801</v>
      </c>
      <c r="I8685" s="7" t="n">
        <v>190801</v>
      </c>
      <c r="K8685" s="94" t="n">
        <v>61</v>
      </c>
      <c r="L8685" s="7" t="n">
        <v>190801</v>
      </c>
      <c r="M8685" s="94">
        <f>VLOOKUP($Q8685,매칭테이블!$F:$I,2,0)*K8685</f>
        <v/>
      </c>
      <c r="N8685" s="94">
        <f>M8685-M8685*VLOOKUP($Q8685,매칭테이블!$F:$I,3,0)</f>
        <v/>
      </c>
      <c r="O8685" s="94">
        <f>VLOOKUP($Q8685,매칭테이블!$F:$I,4,0)*K8685</f>
        <v/>
      </c>
      <c r="P8685" s="148">
        <f>M8685/1.1</f>
        <v/>
      </c>
      <c r="Q8685" s="94">
        <f>F8685&amp;E8685&amp;G8685&amp;L8685</f>
        <v/>
      </c>
    </row>
    <row r="8686" customFormat="1" s="94">
      <c r="B8686" s="128" t="n">
        <v>44068</v>
      </c>
      <c r="C8686" s="94">
        <f>TEXT(B8686,"aaa")</f>
        <v/>
      </c>
      <c r="E8686" s="94" t="inlineStr">
        <is>
          <t>토너</t>
        </is>
      </c>
      <c r="F8686" s="5" t="inlineStr">
        <is>
          <t>아누아 CS</t>
        </is>
      </c>
      <c r="G8686" s="94" t="inlineStr">
        <is>
          <t>250ml</t>
        </is>
      </c>
      <c r="H8686" s="7" t="n">
        <v>190801</v>
      </c>
      <c r="I8686" s="7" t="n">
        <v>190801</v>
      </c>
      <c r="K8686" s="94" t="n">
        <v>29</v>
      </c>
      <c r="L8686" s="7" t="n">
        <v>190801</v>
      </c>
      <c r="M8686" s="94">
        <f>VLOOKUP($Q8686,매칭테이블!$F:$I,2,0)*K8686</f>
        <v/>
      </c>
      <c r="N8686" s="94">
        <f>M8686-M8686*VLOOKUP($Q8686,매칭테이블!$F:$I,3,0)</f>
        <v/>
      </c>
      <c r="O8686" s="94">
        <f>VLOOKUP($Q8686,매칭테이블!$F:$I,4,0)*K8686</f>
        <v/>
      </c>
      <c r="P8686" s="148">
        <f>M8686/1.1</f>
        <v/>
      </c>
      <c r="Q8686" s="94">
        <f>F8686&amp;E8686&amp;G8686&amp;L8686</f>
        <v/>
      </c>
    </row>
    <row r="8687" customFormat="1" s="94">
      <c r="B8687" s="128" t="n">
        <v>44068</v>
      </c>
      <c r="C8687" s="94">
        <f>TEXT(B8687,"aaa")</f>
        <v/>
      </c>
      <c r="E8687" s="94" t="inlineStr">
        <is>
          <t>화장솜</t>
        </is>
      </c>
      <c r="F8687" s="5" t="inlineStr">
        <is>
          <t>아누아 CS</t>
        </is>
      </c>
      <c r="G8687" s="94" t="inlineStr">
        <is>
          <t>스킨팩 화장솜 60P</t>
        </is>
      </c>
      <c r="H8687" s="7" t="n">
        <v>190801</v>
      </c>
      <c r="I8687" s="7" t="n">
        <v>190801</v>
      </c>
      <c r="K8687" s="94" t="n">
        <v>3</v>
      </c>
      <c r="L8687" s="7" t="n">
        <v>190801</v>
      </c>
      <c r="M8687" s="94">
        <f>VLOOKUP($Q8687,매칭테이블!$F:$I,2,0)*K8687</f>
        <v/>
      </c>
      <c r="N8687" s="94">
        <f>M8687-M8687*VLOOKUP($Q8687,매칭테이블!$F:$I,3,0)</f>
        <v/>
      </c>
      <c r="O8687" s="94">
        <f>VLOOKUP($Q8687,매칭테이블!$F:$I,4,0)*K8687</f>
        <v/>
      </c>
      <c r="P8687" s="148">
        <f>M8687/1.1</f>
        <v/>
      </c>
      <c r="Q8687" s="94">
        <f>F8687&amp;E8687&amp;G8687&amp;L8687</f>
        <v/>
      </c>
    </row>
    <row r="8688" customFormat="1" s="94">
      <c r="B8688" s="128" t="n">
        <v>44068</v>
      </c>
      <c r="C8688" s="94">
        <f>TEXT(B8688,"aaa")</f>
        <v/>
      </c>
      <c r="E8688" s="94" t="inlineStr">
        <is>
          <t>앰플</t>
        </is>
      </c>
      <c r="F8688" s="5" t="inlineStr">
        <is>
          <t>아누아 CS</t>
        </is>
      </c>
      <c r="G8688" s="94" t="inlineStr">
        <is>
          <t>앰플 30ml</t>
        </is>
      </c>
      <c r="H8688" s="7" t="n">
        <v>190801</v>
      </c>
      <c r="I8688" s="7" t="n">
        <v>190801</v>
      </c>
      <c r="K8688" s="94" t="n">
        <v>4</v>
      </c>
      <c r="L8688" s="7" t="n">
        <v>190801</v>
      </c>
      <c r="M8688" s="94">
        <f>VLOOKUP($Q8688,매칭테이블!$F:$I,2,0)*K8688</f>
        <v/>
      </c>
      <c r="N8688" s="94">
        <f>M8688-M8688*VLOOKUP($Q8688,매칭테이블!$F:$I,3,0)</f>
        <v/>
      </c>
      <c r="O8688" s="94">
        <f>VLOOKUP($Q8688,매칭테이블!$F:$I,4,0)*K8688</f>
        <v/>
      </c>
      <c r="P8688" s="148">
        <f>M8688/1.1</f>
        <v/>
      </c>
      <c r="Q8688" s="94">
        <f>F8688&amp;E8688&amp;G8688&amp;L8688</f>
        <v/>
      </c>
    </row>
    <row r="8689" customFormat="1" s="94">
      <c r="B8689" s="128" t="n">
        <v>44068</v>
      </c>
      <c r="C8689" s="94">
        <f>TEXT(B8689,"aaa")</f>
        <v/>
      </c>
      <c r="E8689" s="94" t="inlineStr">
        <is>
          <t>마스크팩</t>
        </is>
      </c>
      <c r="F8689" s="5" t="inlineStr">
        <is>
          <t>아누아 CS</t>
        </is>
      </c>
      <c r="G8689" s="94" t="inlineStr">
        <is>
          <t>마스크팩 10매</t>
        </is>
      </c>
      <c r="H8689" s="7" t="n">
        <v>190801</v>
      </c>
      <c r="I8689" s="7" t="n">
        <v>190801</v>
      </c>
      <c r="K8689" s="94" t="n">
        <v>3</v>
      </c>
      <c r="L8689" s="7" t="n">
        <v>190801</v>
      </c>
      <c r="M8689" s="94">
        <f>VLOOKUP($Q8689,매칭테이블!$F:$I,2,0)*K8689</f>
        <v/>
      </c>
      <c r="N8689" s="94">
        <f>M8689-M8689*VLOOKUP($Q8689,매칭테이블!$F:$I,3,0)</f>
        <v/>
      </c>
      <c r="O8689" s="94">
        <f>VLOOKUP($Q8689,매칭테이블!$F:$I,4,0)*K8689</f>
        <v/>
      </c>
      <c r="P8689" s="148">
        <f>M8689/1.1</f>
        <v/>
      </c>
      <c r="Q8689" s="94">
        <f>F8689&amp;E8689&amp;G8689&amp;L8689</f>
        <v/>
      </c>
    </row>
    <row r="8690" customFormat="1" s="94">
      <c r="B8690" s="128" t="n">
        <v>44068</v>
      </c>
      <c r="C8690" s="94">
        <f>TEXT(B8690,"aaa")</f>
        <v/>
      </c>
      <c r="E8690" s="94" t="inlineStr">
        <is>
          <t>선크림</t>
        </is>
      </c>
      <c r="F8690" s="5" t="inlineStr">
        <is>
          <t>아누아 CS</t>
        </is>
      </c>
      <c r="G8690" s="94" t="inlineStr">
        <is>
          <t>선크림 50ml</t>
        </is>
      </c>
      <c r="H8690" s="7" t="n">
        <v>190801</v>
      </c>
      <c r="I8690" s="7" t="n">
        <v>190801</v>
      </c>
      <c r="K8690" s="94" t="n">
        <v>3</v>
      </c>
      <c r="L8690" s="7" t="n">
        <v>190801</v>
      </c>
      <c r="M8690" s="94">
        <f>VLOOKUP($Q8690,매칭테이블!$F:$I,2,0)*K8690</f>
        <v/>
      </c>
      <c r="N8690" s="94">
        <f>M8690-M8690*VLOOKUP($Q8690,매칭테이블!$F:$I,3,0)</f>
        <v/>
      </c>
      <c r="O8690" s="94">
        <f>VLOOKUP($Q8690,매칭테이블!$F:$I,4,0)*K8690</f>
        <v/>
      </c>
      <c r="P8690" s="148">
        <f>M8690/1.1</f>
        <v/>
      </c>
      <c r="Q8690" s="94">
        <f>F8690&amp;E8690&amp;G8690&amp;L8690</f>
        <v/>
      </c>
    </row>
    <row r="8691" customFormat="1" s="94">
      <c r="B8691" s="128" t="n">
        <v>44068</v>
      </c>
      <c r="C8691" s="94">
        <f>TEXT(B8691,"aaa")</f>
        <v/>
      </c>
      <c r="E8691" s="94" t="inlineStr">
        <is>
          <t>수딩크림</t>
        </is>
      </c>
      <c r="F8691" s="5" t="inlineStr">
        <is>
          <t>아누아 CS</t>
        </is>
      </c>
      <c r="G8691" s="94" t="inlineStr">
        <is>
          <t>수딩크림 100ml</t>
        </is>
      </c>
      <c r="H8691" s="7" t="n">
        <v>190801</v>
      </c>
      <c r="I8691" s="7" t="n">
        <v>190801</v>
      </c>
      <c r="K8691" s="94" t="n">
        <v>3</v>
      </c>
      <c r="L8691" s="7" t="n">
        <v>190801</v>
      </c>
      <c r="M8691" s="94">
        <f>VLOOKUP($Q8691,매칭테이블!$F:$I,2,0)*K8691</f>
        <v/>
      </c>
      <c r="N8691" s="94">
        <f>M8691-M8691*VLOOKUP($Q8691,매칭테이블!$F:$I,3,0)</f>
        <v/>
      </c>
      <c r="O8691" s="94">
        <f>VLOOKUP($Q8691,매칭테이블!$F:$I,4,0)*K8691</f>
        <v/>
      </c>
      <c r="P8691" s="148">
        <f>M8691/1.1</f>
        <v/>
      </c>
      <c r="Q8691" s="94">
        <f>F8691&amp;E8691&amp;G8691&amp;L8691</f>
        <v/>
      </c>
    </row>
    <row r="8692" customFormat="1" s="94">
      <c r="B8692" s="128" t="n">
        <v>44068</v>
      </c>
      <c r="C8692" s="94">
        <f>TEXT(B8692,"aaa")</f>
        <v/>
      </c>
      <c r="E8692" s="94" t="inlineStr">
        <is>
          <t>클렌징폼</t>
        </is>
      </c>
      <c r="F8692" s="5" t="inlineStr">
        <is>
          <t>아누아 CS</t>
        </is>
      </c>
      <c r="G8692" s="94" t="inlineStr">
        <is>
          <t>클렌징폼 120ml</t>
        </is>
      </c>
      <c r="H8692" s="7" t="n">
        <v>190801</v>
      </c>
      <c r="I8692" s="7" t="n">
        <v>190801</v>
      </c>
      <c r="K8692" s="94" t="n">
        <v>1</v>
      </c>
      <c r="L8692" s="7" t="n">
        <v>190801</v>
      </c>
      <c r="M8692" s="94">
        <f>VLOOKUP($Q8692,매칭테이블!$F:$I,2,0)*K8692</f>
        <v/>
      </c>
      <c r="N8692" s="94">
        <f>M8692-M8692*VLOOKUP($Q8692,매칭테이블!$F:$I,3,0)</f>
        <v/>
      </c>
      <c r="O8692" s="94">
        <f>VLOOKUP($Q8692,매칭테이블!$F:$I,4,0)*K8692</f>
        <v/>
      </c>
      <c r="P8692" s="148">
        <f>M8692/1.1</f>
        <v/>
      </c>
      <c r="Q8692" s="94">
        <f>F8692&amp;E8692&amp;G8692&amp;L8692</f>
        <v/>
      </c>
    </row>
    <row r="8693" customFormat="1" s="94">
      <c r="B8693" s="128" t="n">
        <v>44068</v>
      </c>
      <c r="C8693" s="94">
        <f>TEXT(B8693,"aaa")</f>
        <v/>
      </c>
      <c r="E8693" s="94" t="inlineStr">
        <is>
          <t>머드크림마스크</t>
        </is>
      </c>
      <c r="F8693" s="5" t="inlineStr">
        <is>
          <t>아누아 CS</t>
        </is>
      </c>
      <c r="G8693" s="94" t="inlineStr">
        <is>
          <t>머드크림마스크 100ml</t>
        </is>
      </c>
      <c r="H8693" s="7" t="n">
        <v>190801</v>
      </c>
      <c r="I8693" s="7" t="n">
        <v>190801</v>
      </c>
      <c r="K8693" s="94" t="n">
        <v>3</v>
      </c>
      <c r="L8693" s="7" t="n">
        <v>190801</v>
      </c>
      <c r="M8693" s="94">
        <f>VLOOKUP($Q8693,매칭테이블!$F:$I,2,0)*K8693</f>
        <v/>
      </c>
      <c r="N8693" s="94">
        <f>M8693-M8693*VLOOKUP($Q8693,매칭테이블!$F:$I,3,0)</f>
        <v/>
      </c>
      <c r="O8693" s="94">
        <f>VLOOKUP($Q8693,매칭테이블!$F:$I,4,0)*K8693</f>
        <v/>
      </c>
      <c r="P8693" s="148">
        <f>M8693/1.1</f>
        <v/>
      </c>
      <c r="Q8693" s="94">
        <f>F8693&amp;E8693&amp;G8693&amp;L8693</f>
        <v/>
      </c>
    </row>
    <row r="8694" customFormat="1" s="94">
      <c r="B8694" s="128" t="n">
        <v>44068</v>
      </c>
      <c r="C8694" s="94">
        <f>TEXT(B8694,"aaa")</f>
        <v/>
      </c>
      <c r="E8694" s="94" t="inlineStr">
        <is>
          <t>토너</t>
        </is>
      </c>
      <c r="F8694" s="5" t="inlineStr">
        <is>
          <t>큐텐재팬</t>
        </is>
      </c>
      <c r="G8694" s="94" t="inlineStr">
        <is>
          <t>200726=250ml</t>
        </is>
      </c>
      <c r="H8694" s="7" t="n">
        <v>190801</v>
      </c>
      <c r="I8694" s="7" t="n">
        <v>190801</v>
      </c>
      <c r="K8694" s="94" t="n">
        <v>4</v>
      </c>
      <c r="L8694" s="7" t="n">
        <v>190801</v>
      </c>
      <c r="M8694" s="94">
        <f>VLOOKUP($Q8694,매칭테이블!$F:$I,2,0)*K8694</f>
        <v/>
      </c>
      <c r="N8694" s="94">
        <f>M8694-M8694*VLOOKUP($Q8694,매칭테이블!$F:$I,3,0)</f>
        <v/>
      </c>
      <c r="O8694" s="94">
        <f>VLOOKUP($Q8694,매칭테이블!$F:$I,4,0)*K8694</f>
        <v/>
      </c>
      <c r="P8694" s="148">
        <f>M8694/1.1</f>
        <v/>
      </c>
      <c r="Q8694" s="94">
        <f>F8694&amp;E8694&amp;G8694&amp;L8694</f>
        <v/>
      </c>
    </row>
    <row r="8695" customFormat="1" s="94">
      <c r="B8695" s="128" t="n">
        <v>44068</v>
      </c>
      <c r="C8695" s="94">
        <f>TEXT(B8695,"aaa")</f>
        <v/>
      </c>
      <c r="E8695" s="94" t="inlineStr">
        <is>
          <t>수딩크림</t>
        </is>
      </c>
      <c r="F8695" s="5" t="inlineStr">
        <is>
          <t>큐텐재팬</t>
        </is>
      </c>
      <c r="G8695" s="94" t="inlineStr">
        <is>
          <t>200726=수딩크림 100ml</t>
        </is>
      </c>
      <c r="H8695" s="7" t="n">
        <v>190801</v>
      </c>
      <c r="I8695" s="7" t="n">
        <v>190801</v>
      </c>
      <c r="K8695" s="94" t="n">
        <v>1</v>
      </c>
      <c r="L8695" s="7" t="n">
        <v>190801</v>
      </c>
      <c r="M8695" s="94">
        <f>VLOOKUP($Q8695,매칭테이블!$F:$I,2,0)*K8695</f>
        <v/>
      </c>
      <c r="N8695" s="94">
        <f>M8695-M8695*VLOOKUP($Q8695,매칭테이블!$F:$I,3,0)</f>
        <v/>
      </c>
      <c r="O8695" s="94">
        <f>VLOOKUP($Q8695,매칭테이블!$F:$I,4,0)*K8695</f>
        <v/>
      </c>
      <c r="P8695" s="148">
        <f>M8695/1.1</f>
        <v/>
      </c>
      <c r="Q8695" s="94">
        <f>F8695&amp;E8695&amp;G8695&amp;L8695</f>
        <v/>
      </c>
    </row>
    <row r="8696" customFormat="1" s="94">
      <c r="B8696" s="128" t="n">
        <v>44068</v>
      </c>
      <c r="C8696" s="94">
        <f>TEXT(B8696,"aaa")</f>
        <v/>
      </c>
      <c r="E8696" s="94" t="inlineStr">
        <is>
          <t>토너</t>
        </is>
      </c>
      <c r="F8696" s="5" t="inlineStr">
        <is>
          <t>큐텐재팬</t>
        </is>
      </c>
      <c r="G8696" s="94" t="inlineStr">
        <is>
          <t>200726=250ml 2set</t>
        </is>
      </c>
      <c r="H8696" s="7" t="n">
        <v>190801</v>
      </c>
      <c r="I8696" s="7" t="n">
        <v>190801</v>
      </c>
      <c r="K8696" s="94" t="n">
        <v>2</v>
      </c>
      <c r="L8696" s="7" t="n">
        <v>190801</v>
      </c>
      <c r="M8696" s="94">
        <f>VLOOKUP($Q8696,매칭테이블!$F:$I,2,0)*K8696</f>
        <v/>
      </c>
      <c r="N8696" s="94">
        <f>M8696-M8696*VLOOKUP($Q8696,매칭테이블!$F:$I,3,0)</f>
        <v/>
      </c>
      <c r="O8696" s="94">
        <f>VLOOKUP($Q8696,매칭테이블!$F:$I,4,0)*K8696</f>
        <v/>
      </c>
      <c r="P8696" s="148">
        <f>M8696/1.1</f>
        <v/>
      </c>
      <c r="Q8696" s="94">
        <f>F8696&amp;E8696&amp;G8696&amp;L8696</f>
        <v/>
      </c>
    </row>
    <row r="8697" customFormat="1" s="94">
      <c r="B8697" s="128" t="n">
        <v>44068</v>
      </c>
      <c r="C8697" s="94">
        <f>TEXT(B8697,"aaa")</f>
        <v/>
      </c>
      <c r="E8697" s="94" t="inlineStr">
        <is>
          <t>토너</t>
        </is>
      </c>
      <c r="F8697" s="5" t="inlineStr">
        <is>
          <t>쇼피태국</t>
        </is>
      </c>
      <c r="G8697" s="94" t="inlineStr">
        <is>
          <t>200820=250ml</t>
        </is>
      </c>
      <c r="H8697" s="7" t="n">
        <v>190801</v>
      </c>
      <c r="I8697" s="7" t="n">
        <v>190801</v>
      </c>
      <c r="K8697" s="94" t="n">
        <v>2</v>
      </c>
      <c r="L8697" s="7" t="n">
        <v>190801</v>
      </c>
      <c r="M8697" s="94">
        <f>VLOOKUP($Q8697,매칭테이블!$F:$I,2,0)*K8697</f>
        <v/>
      </c>
      <c r="N8697" s="94">
        <f>M8697-M8697*VLOOKUP($Q8697,매칭테이블!$F:$I,3,0)</f>
        <v/>
      </c>
      <c r="O8697" s="94">
        <f>VLOOKUP($Q8697,매칭테이블!$F:$I,4,0)*K8697</f>
        <v/>
      </c>
      <c r="P8697" s="148">
        <f>M8697/1.1</f>
        <v/>
      </c>
      <c r="Q8697" s="94">
        <f>F8697&amp;E8697&amp;G8697&amp;L8697</f>
        <v/>
      </c>
    </row>
    <row r="8698" customFormat="1" s="94">
      <c r="B8698" s="128" t="n">
        <v>44068</v>
      </c>
      <c r="C8698" s="94">
        <f>TEXT(B8698,"aaa")</f>
        <v/>
      </c>
      <c r="E8698" s="94" t="inlineStr">
        <is>
          <t>수딩크림</t>
        </is>
      </c>
      <c r="F8698" s="5" t="inlineStr">
        <is>
          <t>쇼피태국</t>
        </is>
      </c>
      <c r="G8698" s="94" t="inlineStr">
        <is>
          <t>200820=수딩크림 100ml</t>
        </is>
      </c>
      <c r="H8698" s="7" t="n">
        <v>190801</v>
      </c>
      <c r="I8698" s="7" t="n">
        <v>190801</v>
      </c>
      <c r="K8698" s="94" t="n">
        <v>1</v>
      </c>
      <c r="L8698" s="7" t="n">
        <v>190801</v>
      </c>
      <c r="M8698" s="94">
        <f>VLOOKUP($Q8698,매칭테이블!$F:$I,2,0)*K8698</f>
        <v/>
      </c>
      <c r="N8698" s="94">
        <f>M8698-M8698*VLOOKUP($Q8698,매칭테이블!$F:$I,3,0)</f>
        <v/>
      </c>
      <c r="O8698" s="94">
        <f>VLOOKUP($Q8698,매칭테이블!$F:$I,4,0)*K8698</f>
        <v/>
      </c>
      <c r="P8698" s="148">
        <f>M8698/1.1</f>
        <v/>
      </c>
      <c r="Q8698" s="94">
        <f>F8698&amp;E8698&amp;G8698&amp;L8698</f>
        <v/>
      </c>
    </row>
    <row r="8699" customFormat="1" s="94">
      <c r="B8699" s="128" t="n">
        <v>44068</v>
      </c>
      <c r="C8699" s="94">
        <f>TEXT(B8699,"aaa")</f>
        <v/>
      </c>
      <c r="E8699" s="94" t="inlineStr">
        <is>
          <t>선크림</t>
        </is>
      </c>
      <c r="F8699" s="5" t="inlineStr">
        <is>
          <t>쇼피태국</t>
        </is>
      </c>
      <c r="G8699" s="94" t="inlineStr">
        <is>
          <t>200820=선크림 50ml</t>
        </is>
      </c>
      <c r="H8699" s="7" t="n">
        <v>190801</v>
      </c>
      <c r="I8699" s="7" t="n">
        <v>190801</v>
      </c>
      <c r="K8699" s="94" t="n">
        <v>1</v>
      </c>
      <c r="L8699" s="7" t="n">
        <v>190801</v>
      </c>
      <c r="M8699" s="94">
        <f>VLOOKUP($Q8699,매칭테이블!$F:$I,2,0)*K8699</f>
        <v/>
      </c>
      <c r="N8699" s="94">
        <f>M8699-M8699*VLOOKUP($Q8699,매칭테이블!$F:$I,3,0)</f>
        <v/>
      </c>
      <c r="O8699" s="94">
        <f>VLOOKUP($Q8699,매칭테이블!$F:$I,4,0)*K8699</f>
        <v/>
      </c>
      <c r="P8699" s="148">
        <f>M8699/1.1</f>
        <v/>
      </c>
      <c r="Q8699" s="94">
        <f>F8699&amp;E8699&amp;G8699&amp;L8699</f>
        <v/>
      </c>
    </row>
    <row r="8700" customFormat="1" s="94">
      <c r="B8700" s="128" t="n">
        <v>44069</v>
      </c>
      <c r="C8700" s="94">
        <f>TEXT(B8700,"aaa")</f>
        <v/>
      </c>
      <c r="E8700" s="94" t="inlineStr">
        <is>
          <t>토너</t>
        </is>
      </c>
      <c r="F8700" s="5" t="inlineStr">
        <is>
          <t>스타일쉐어</t>
        </is>
      </c>
      <c r="G8700" s="94" t="inlineStr">
        <is>
          <t>250ml</t>
        </is>
      </c>
      <c r="H8700" s="7" t="n">
        <v>190801</v>
      </c>
      <c r="I8700" s="7" t="n">
        <v>190801</v>
      </c>
      <c r="K8700" s="94" t="n">
        <v>5</v>
      </c>
      <c r="L8700" s="7" t="n">
        <v>190801</v>
      </c>
      <c r="M8700" s="94">
        <f>VLOOKUP($Q8700,매칭테이블!$F:$I,2,0)*K8700</f>
        <v/>
      </c>
      <c r="N8700" s="94">
        <f>M8700-M8700*VLOOKUP($Q8700,매칭테이블!$F:$I,3,0)</f>
        <v/>
      </c>
      <c r="O8700" s="94">
        <f>VLOOKUP($Q8700,매칭테이블!$F:$I,4,0)*K8700</f>
        <v/>
      </c>
      <c r="P8700" s="148">
        <f>M8700/1.1</f>
        <v/>
      </c>
      <c r="Q8700" s="94">
        <f>F8700&amp;E8700&amp;G8700&amp;L8700</f>
        <v/>
      </c>
    </row>
    <row r="8701" customFormat="1" s="94">
      <c r="B8701" s="128" t="n">
        <v>44069</v>
      </c>
      <c r="C8701" s="94">
        <f>TEXT(B8701,"aaa")</f>
        <v/>
      </c>
      <c r="E8701" s="94" t="inlineStr">
        <is>
          <t>여름 한정 진정세트</t>
        </is>
      </c>
      <c r="F8701" s="5" t="inlineStr">
        <is>
          <t>카페24</t>
        </is>
      </c>
      <c r="G8701" s="94" t="inlineStr">
        <is>
          <t>여름 한정 진정세트</t>
        </is>
      </c>
      <c r="H8701" s="7" t="n">
        <v>190801</v>
      </c>
      <c r="I8701" s="7" t="n">
        <v>190801</v>
      </c>
      <c r="K8701" s="94" t="n">
        <v>4</v>
      </c>
      <c r="L8701" s="7" t="n">
        <v>190801</v>
      </c>
      <c r="M8701" s="94">
        <f>VLOOKUP($Q8701,매칭테이블!$F:$I,2,0)*K8701</f>
        <v/>
      </c>
      <c r="N8701" s="94">
        <f>M8701-M8701*VLOOKUP($Q8701,매칭테이블!$F:$I,3,0)</f>
        <v/>
      </c>
      <c r="O8701" s="94">
        <f>VLOOKUP($Q8701,매칭테이블!$F:$I,4,0)*K8701</f>
        <v/>
      </c>
      <c r="P8701" s="148">
        <f>M8701/1.1</f>
        <v/>
      </c>
      <c r="Q8701" s="94">
        <f>F8701&amp;E8701&amp;G8701&amp;L8701</f>
        <v/>
      </c>
    </row>
    <row r="8702" customFormat="1" s="94">
      <c r="B8702" s="128" t="n">
        <v>44069</v>
      </c>
      <c r="C8702" s="94">
        <f>TEXT(B8702,"aaa")</f>
        <v/>
      </c>
      <c r="E8702" s="94" t="inlineStr">
        <is>
          <t>여름 한정 진정세트</t>
        </is>
      </c>
      <c r="F8702" s="5" t="inlineStr">
        <is>
          <t>카페24</t>
        </is>
      </c>
      <c r="G8702" s="94" t="inlineStr">
        <is>
          <t>여름 한정 진정세트 (대용량)</t>
        </is>
      </c>
      <c r="H8702" s="7" t="n">
        <v>190801</v>
      </c>
      <c r="I8702" s="7" t="n">
        <v>190801</v>
      </c>
      <c r="K8702" s="94" t="n">
        <v>1</v>
      </c>
      <c r="L8702" s="7" t="n">
        <v>190801</v>
      </c>
      <c r="M8702" s="94">
        <f>VLOOKUP($Q8702,매칭테이블!$F:$I,2,0)*K8702</f>
        <v/>
      </c>
      <c r="N8702" s="94">
        <f>M8702-M8702*VLOOKUP($Q8702,매칭테이블!$F:$I,3,0)</f>
        <v/>
      </c>
      <c r="O8702" s="94">
        <f>VLOOKUP($Q8702,매칭테이블!$F:$I,4,0)*K8702</f>
        <v/>
      </c>
      <c r="P8702" s="148">
        <f>M8702/1.1</f>
        <v/>
      </c>
      <c r="Q8702" s="94">
        <f>F8702&amp;E8702&amp;G8702&amp;L8702</f>
        <v/>
      </c>
    </row>
    <row r="8703" customFormat="1" s="94">
      <c r="B8703" s="128" t="n">
        <v>44069</v>
      </c>
      <c r="C8703" s="94">
        <f>TEXT(B8703,"aaa")</f>
        <v/>
      </c>
      <c r="E8703" s="94" t="inlineStr">
        <is>
          <t>어성초진정패키지</t>
        </is>
      </c>
      <c r="F8703" s="5" t="inlineStr">
        <is>
          <t>카페24</t>
        </is>
      </c>
      <c r="G8703" s="94" t="inlineStr">
        <is>
          <t>어성초 진정패키지세트</t>
        </is>
      </c>
      <c r="H8703" s="7" t="n">
        <v>190801</v>
      </c>
      <c r="I8703" s="7" t="n">
        <v>190801</v>
      </c>
      <c r="K8703" s="94" t="n">
        <v>4</v>
      </c>
      <c r="L8703" s="7" t="n">
        <v>190801</v>
      </c>
      <c r="M8703" s="94">
        <f>VLOOKUP($Q8703,매칭테이블!$F:$I,2,0)*K8703</f>
        <v/>
      </c>
      <c r="N8703" s="94">
        <f>M8703-M8703*VLOOKUP($Q8703,매칭테이블!$F:$I,3,0)</f>
        <v/>
      </c>
      <c r="O8703" s="94">
        <f>VLOOKUP($Q8703,매칭테이블!$F:$I,4,0)*K8703</f>
        <v/>
      </c>
      <c r="P8703" s="148">
        <f>M8703/1.1</f>
        <v/>
      </c>
      <c r="Q8703" s="94">
        <f>F8703&amp;E8703&amp;G8703&amp;L8703</f>
        <v/>
      </c>
    </row>
    <row r="8704" customFormat="1" s="94">
      <c r="B8704" s="128" t="n">
        <v>44069</v>
      </c>
      <c r="C8704" s="94">
        <f>TEXT(B8704,"aaa")</f>
        <v/>
      </c>
      <c r="E8704" s="94" t="inlineStr">
        <is>
          <t>머드크림마스크</t>
        </is>
      </c>
      <c r="F8704" s="5" t="inlineStr">
        <is>
          <t>카페24</t>
        </is>
      </c>
      <c r="G8704" s="94" t="inlineStr">
        <is>
          <t>머드크림마스크 100ml</t>
        </is>
      </c>
      <c r="H8704" s="7" t="n">
        <v>190801</v>
      </c>
      <c r="I8704" s="7" t="n">
        <v>190801</v>
      </c>
      <c r="K8704" s="94" t="n">
        <v>1</v>
      </c>
      <c r="L8704" s="7" t="n">
        <v>190801</v>
      </c>
      <c r="M8704" s="94">
        <f>VLOOKUP($Q8704,매칭테이블!$F:$I,2,0)*K8704</f>
        <v/>
      </c>
      <c r="N8704" s="94">
        <f>M8704-M8704*VLOOKUP($Q8704,매칭테이블!$F:$I,3,0)</f>
        <v/>
      </c>
      <c r="O8704" s="94">
        <f>VLOOKUP($Q8704,매칭테이블!$F:$I,4,0)*K8704</f>
        <v/>
      </c>
      <c r="P8704" s="148">
        <f>M8704/1.1</f>
        <v/>
      </c>
      <c r="Q8704" s="94">
        <f>F8704&amp;E8704&amp;G8704&amp;L8704</f>
        <v/>
      </c>
    </row>
    <row r="8705" customFormat="1" s="94">
      <c r="B8705" s="128" t="n">
        <v>44069</v>
      </c>
      <c r="C8705" s="94">
        <f>TEXT(B8705,"aaa")</f>
        <v/>
      </c>
      <c r="E8705" s="94" t="inlineStr">
        <is>
          <t>마스크팩</t>
        </is>
      </c>
      <c r="F8705" s="5" t="inlineStr">
        <is>
          <t>카페24</t>
        </is>
      </c>
      <c r="G8705" s="94" t="inlineStr">
        <is>
          <t>마스크팩 1매</t>
        </is>
      </c>
      <c r="H8705" s="7" t="n">
        <v>190801</v>
      </c>
      <c r="I8705" s="7" t="n">
        <v>190801</v>
      </c>
      <c r="K8705" s="94" t="n">
        <v>3</v>
      </c>
      <c r="L8705" s="7" t="n">
        <v>190801</v>
      </c>
      <c r="M8705" s="94">
        <f>VLOOKUP($Q8705,매칭테이블!$F:$I,2,0)*K8705</f>
        <v/>
      </c>
      <c r="N8705" s="94">
        <f>M8705-M8705*VLOOKUP($Q8705,매칭테이블!$F:$I,3,0)</f>
        <v/>
      </c>
      <c r="O8705" s="94">
        <f>VLOOKUP($Q8705,매칭테이블!$F:$I,4,0)*K8705</f>
        <v/>
      </c>
      <c r="P8705" s="148">
        <f>M8705/1.1</f>
        <v/>
      </c>
      <c r="Q8705" s="94">
        <f>F8705&amp;E8705&amp;G8705&amp;L8705</f>
        <v/>
      </c>
    </row>
    <row r="8706" customFormat="1" s="94">
      <c r="B8706" s="128" t="n">
        <v>44069</v>
      </c>
      <c r="C8706" s="94">
        <f>TEXT(B8706,"aaa")</f>
        <v/>
      </c>
      <c r="E8706" s="94" t="inlineStr">
        <is>
          <t>마스크팩</t>
        </is>
      </c>
      <c r="F8706" s="5" t="inlineStr">
        <is>
          <t>카페24</t>
        </is>
      </c>
      <c r="G8706" s="94" t="inlineStr">
        <is>
          <t>마스크팩 10매</t>
        </is>
      </c>
      <c r="H8706" s="7" t="n">
        <v>190801</v>
      </c>
      <c r="I8706" s="7" t="n">
        <v>190801</v>
      </c>
      <c r="K8706" s="94" t="n">
        <v>6</v>
      </c>
      <c r="L8706" s="7" t="n">
        <v>190801</v>
      </c>
      <c r="M8706" s="94">
        <f>VLOOKUP($Q8706,매칭테이블!$F:$I,2,0)*K8706</f>
        <v/>
      </c>
      <c r="N8706" s="94">
        <f>M8706-M8706*VLOOKUP($Q8706,매칭테이블!$F:$I,3,0)</f>
        <v/>
      </c>
      <c r="O8706" s="94">
        <f>VLOOKUP($Q8706,매칭테이블!$F:$I,4,0)*K8706</f>
        <v/>
      </c>
      <c r="P8706" s="148">
        <f>M8706/1.1</f>
        <v/>
      </c>
      <c r="Q8706" s="94">
        <f>F8706&amp;E8706&amp;G8706&amp;L8706</f>
        <v/>
      </c>
    </row>
    <row r="8707" customFormat="1" s="94">
      <c r="B8707" s="128" t="n">
        <v>44069</v>
      </c>
      <c r="C8707" s="94">
        <f>TEXT(B8707,"aaa")</f>
        <v/>
      </c>
      <c r="E8707" s="94" t="inlineStr">
        <is>
          <t>토너</t>
        </is>
      </c>
      <c r="F8707" s="5" t="inlineStr">
        <is>
          <t>카페24</t>
        </is>
      </c>
      <c r="G8707" s="94" t="inlineStr">
        <is>
          <t>250ml</t>
        </is>
      </c>
      <c r="H8707" s="7" t="n">
        <v>190801</v>
      </c>
      <c r="I8707" s="7" t="n">
        <v>190801</v>
      </c>
      <c r="K8707" s="94" t="n">
        <v>91</v>
      </c>
      <c r="L8707" s="7" t="n">
        <v>190801</v>
      </c>
      <c r="M8707" s="94">
        <f>VLOOKUP($Q8707,매칭테이블!$F:$I,2,0)*K8707</f>
        <v/>
      </c>
      <c r="N8707" s="94">
        <f>M8707-M8707*VLOOKUP($Q8707,매칭테이블!$F:$I,3,0)</f>
        <v/>
      </c>
      <c r="O8707" s="94">
        <f>VLOOKUP($Q8707,매칭테이블!$F:$I,4,0)*K8707</f>
        <v/>
      </c>
      <c r="P8707" s="148">
        <f>M8707/1.1</f>
        <v/>
      </c>
      <c r="Q8707" s="94">
        <f>F8707&amp;E8707&amp;G8707&amp;L8707</f>
        <v/>
      </c>
    </row>
    <row r="8708" customFormat="1" s="94">
      <c r="B8708" s="128" t="n">
        <v>44069</v>
      </c>
      <c r="C8708" s="94">
        <f>TEXT(B8708,"aaa")</f>
        <v/>
      </c>
      <c r="E8708" s="94" t="inlineStr">
        <is>
          <t>토너</t>
        </is>
      </c>
      <c r="F8708" s="5" t="inlineStr">
        <is>
          <t>카페24</t>
        </is>
      </c>
      <c r="G8708" s="94" t="inlineStr">
        <is>
          <t>250ml 2set</t>
        </is>
      </c>
      <c r="H8708" s="7" t="n">
        <v>190801</v>
      </c>
      <c r="I8708" s="7" t="n">
        <v>190801</v>
      </c>
      <c r="K8708" s="94" t="n">
        <v>70</v>
      </c>
      <c r="L8708" s="7" t="n">
        <v>190801</v>
      </c>
      <c r="M8708" s="94">
        <f>VLOOKUP($Q8708,매칭테이블!$F:$I,2,0)*K8708</f>
        <v/>
      </c>
      <c r="N8708" s="94">
        <f>M8708-M8708*VLOOKUP($Q8708,매칭테이블!$F:$I,3,0)</f>
        <v/>
      </c>
      <c r="O8708" s="94">
        <f>VLOOKUP($Q8708,매칭테이블!$F:$I,4,0)*K8708</f>
        <v/>
      </c>
      <c r="P8708" s="148">
        <f>M8708/1.1</f>
        <v/>
      </c>
      <c r="Q8708" s="94">
        <f>F8708&amp;E8708&amp;G8708&amp;L8708</f>
        <v/>
      </c>
    </row>
    <row r="8709" customFormat="1" s="94">
      <c r="B8709" s="128" t="n">
        <v>44069</v>
      </c>
      <c r="C8709" s="94">
        <f>TEXT(B8709,"aaa")</f>
        <v/>
      </c>
      <c r="E8709" s="94" t="inlineStr">
        <is>
          <t>토너</t>
        </is>
      </c>
      <c r="F8709" s="5" t="inlineStr">
        <is>
          <t>카페24</t>
        </is>
      </c>
      <c r="G8709" s="94" t="inlineStr">
        <is>
          <t>500ml</t>
        </is>
      </c>
      <c r="H8709" s="7" t="n">
        <v>190801</v>
      </c>
      <c r="I8709" s="7" t="n">
        <v>190801</v>
      </c>
      <c r="K8709" s="94" t="n">
        <v>82</v>
      </c>
      <c r="L8709" s="7" t="n">
        <v>190801</v>
      </c>
      <c r="M8709" s="94">
        <f>VLOOKUP($Q8709,매칭테이블!$F:$I,2,0)*K8709</f>
        <v/>
      </c>
      <c r="N8709" s="94">
        <f>M8709-M8709*VLOOKUP($Q8709,매칭테이블!$F:$I,3,0)</f>
        <v/>
      </c>
      <c r="O8709" s="94">
        <f>VLOOKUP($Q8709,매칭테이블!$F:$I,4,0)*K8709</f>
        <v/>
      </c>
      <c r="P8709" s="148">
        <f>M8709/1.1</f>
        <v/>
      </c>
      <c r="Q8709" s="94">
        <f>F8709&amp;E8709&amp;G8709&amp;L8709</f>
        <v/>
      </c>
    </row>
    <row r="8710" customFormat="1" s="94">
      <c r="B8710" s="128" t="n">
        <v>44069</v>
      </c>
      <c r="C8710" s="94">
        <f>TEXT(B8710,"aaa")</f>
        <v/>
      </c>
      <c r="E8710" s="94" t="inlineStr">
        <is>
          <t>토너</t>
        </is>
      </c>
      <c r="F8710" s="5" t="inlineStr">
        <is>
          <t>카페24</t>
        </is>
      </c>
      <c r="G8710" s="94" t="inlineStr">
        <is>
          <t>스킨팩 화장솜 60P</t>
        </is>
      </c>
      <c r="H8710" s="7" t="n">
        <v>190801</v>
      </c>
      <c r="I8710" s="7" t="n">
        <v>190801</v>
      </c>
      <c r="K8710" s="94" t="n">
        <v>74</v>
      </c>
      <c r="L8710" s="7" t="n">
        <v>190801</v>
      </c>
      <c r="M8710" s="94">
        <f>VLOOKUP($Q8710,매칭테이블!$F:$I,2,0)*K8710</f>
        <v/>
      </c>
      <c r="N8710" s="94">
        <f>M8710-M8710*VLOOKUP($Q8710,매칭테이블!$F:$I,3,0)</f>
        <v/>
      </c>
      <c r="O8710" s="94">
        <f>VLOOKUP($Q8710,매칭테이블!$F:$I,4,0)*K8710</f>
        <v/>
      </c>
      <c r="P8710" s="148">
        <f>M8710/1.1</f>
        <v/>
      </c>
      <c r="Q8710" s="94">
        <f>F8710&amp;E8710&amp;G8710&amp;L8710</f>
        <v/>
      </c>
    </row>
    <row r="8711" customFormat="1" s="94">
      <c r="B8711" s="128" t="n">
        <v>44069</v>
      </c>
      <c r="C8711" s="94">
        <f>TEXT(B8711,"aaa")</f>
        <v/>
      </c>
      <c r="E8711" s="94" t="inlineStr">
        <is>
          <t>앰플</t>
        </is>
      </c>
      <c r="F8711" s="5" t="inlineStr">
        <is>
          <t>카페24</t>
        </is>
      </c>
      <c r="G8711" s="94" t="inlineStr">
        <is>
          <t>앰플 30ml</t>
        </is>
      </c>
      <c r="H8711" s="7" t="n">
        <v>190801</v>
      </c>
      <c r="I8711" s="7" t="n">
        <v>190801</v>
      </c>
      <c r="K8711" s="94" t="n">
        <v>25</v>
      </c>
      <c r="L8711" s="7" t="n">
        <v>190801</v>
      </c>
      <c r="M8711" s="94">
        <f>VLOOKUP($Q8711,매칭테이블!$F:$I,2,0)*K8711</f>
        <v/>
      </c>
      <c r="N8711" s="94">
        <f>M8711-M8711*VLOOKUP($Q8711,매칭테이블!$F:$I,3,0)</f>
        <v/>
      </c>
      <c r="O8711" s="94">
        <f>VLOOKUP($Q8711,매칭테이블!$F:$I,4,0)*K8711</f>
        <v/>
      </c>
      <c r="P8711" s="148">
        <f>M8711/1.1</f>
        <v/>
      </c>
      <c r="Q8711" s="94">
        <f>F8711&amp;E8711&amp;G8711&amp;L8711</f>
        <v/>
      </c>
    </row>
    <row r="8712" customFormat="1" s="94">
      <c r="B8712" s="128" t="n">
        <v>44069</v>
      </c>
      <c r="C8712" s="94">
        <f>TEXT(B8712,"aaa")</f>
        <v/>
      </c>
      <c r="E8712" s="94" t="inlineStr">
        <is>
          <t>앰플</t>
        </is>
      </c>
      <c r="F8712" s="5" t="inlineStr">
        <is>
          <t>카페24</t>
        </is>
      </c>
      <c r="G8712" s="94" t="inlineStr">
        <is>
          <t>앰플 30ml  2set</t>
        </is>
      </c>
      <c r="H8712" s="7" t="n">
        <v>190801</v>
      </c>
      <c r="I8712" s="7" t="n">
        <v>190801</v>
      </c>
      <c r="K8712" s="94" t="n">
        <v>3</v>
      </c>
      <c r="L8712" s="7" t="n">
        <v>190801</v>
      </c>
      <c r="M8712" s="94">
        <f>VLOOKUP($Q8712,매칭테이블!$F:$I,2,0)*K8712</f>
        <v/>
      </c>
      <c r="N8712" s="94">
        <f>M8712-M8712*VLOOKUP($Q8712,매칭테이블!$F:$I,3,0)</f>
        <v/>
      </c>
      <c r="O8712" s="94">
        <f>VLOOKUP($Q8712,매칭테이블!$F:$I,4,0)*K8712</f>
        <v/>
      </c>
      <c r="P8712" s="148">
        <f>M8712/1.1</f>
        <v/>
      </c>
      <c r="Q8712" s="94">
        <f>F8712&amp;E8712&amp;G8712&amp;L8712</f>
        <v/>
      </c>
    </row>
    <row r="8713" customFormat="1" s="94">
      <c r="B8713" s="128" t="n">
        <v>44069</v>
      </c>
      <c r="C8713" s="94">
        <f>TEXT(B8713,"aaa")</f>
        <v/>
      </c>
      <c r="E8713" s="94" t="inlineStr">
        <is>
          <t>수딩크림</t>
        </is>
      </c>
      <c r="F8713" s="5" t="inlineStr">
        <is>
          <t>카페24</t>
        </is>
      </c>
      <c r="G8713" s="94" t="inlineStr">
        <is>
          <t>수딩크림 100ml</t>
        </is>
      </c>
      <c r="H8713" s="7" t="n">
        <v>190801</v>
      </c>
      <c r="I8713" s="7" t="n">
        <v>190801</v>
      </c>
      <c r="K8713" s="94" t="n">
        <v>7</v>
      </c>
      <c r="L8713" s="7" t="n">
        <v>190801</v>
      </c>
      <c r="M8713" s="94">
        <f>VLOOKUP($Q8713,매칭테이블!$F:$I,2,0)*K8713</f>
        <v/>
      </c>
      <c r="N8713" s="94">
        <f>M8713-M8713*VLOOKUP($Q8713,매칭테이블!$F:$I,3,0)</f>
        <v/>
      </c>
      <c r="O8713" s="94">
        <f>VLOOKUP($Q8713,매칭테이블!$F:$I,4,0)*K8713</f>
        <v/>
      </c>
      <c r="P8713" s="148">
        <f>M8713/1.1</f>
        <v/>
      </c>
      <c r="Q8713" s="94">
        <f>F8713&amp;E8713&amp;G8713&amp;L8713</f>
        <v/>
      </c>
    </row>
    <row r="8714" customFormat="1" s="94">
      <c r="B8714" s="128" t="n">
        <v>44069</v>
      </c>
      <c r="C8714" s="94">
        <f>TEXT(B8714,"aaa")</f>
        <v/>
      </c>
      <c r="E8714" s="94" t="inlineStr">
        <is>
          <t>클렌징폼</t>
        </is>
      </c>
      <c r="F8714" s="5" t="inlineStr">
        <is>
          <t>카페24</t>
        </is>
      </c>
      <c r="G8714" s="94" t="inlineStr">
        <is>
          <t>클렌징폼 120ml</t>
        </is>
      </c>
      <c r="H8714" s="7" t="n">
        <v>190801</v>
      </c>
      <c r="I8714" s="7" t="n">
        <v>190801</v>
      </c>
      <c r="K8714" s="94" t="n">
        <v>10</v>
      </c>
      <c r="L8714" s="7" t="n">
        <v>190801</v>
      </c>
      <c r="M8714" s="94">
        <f>VLOOKUP($Q8714,매칭테이블!$F:$I,2,0)*K8714</f>
        <v/>
      </c>
      <c r="N8714" s="94">
        <f>M8714-M8714*VLOOKUP($Q8714,매칭테이블!$F:$I,3,0)</f>
        <v/>
      </c>
      <c r="O8714" s="94">
        <f>VLOOKUP($Q8714,매칭테이블!$F:$I,4,0)*K8714</f>
        <v/>
      </c>
      <c r="P8714" s="148">
        <f>M8714/1.1</f>
        <v/>
      </c>
      <c r="Q8714" s="94">
        <f>F8714&amp;E8714&amp;G8714&amp;L8714</f>
        <v/>
      </c>
    </row>
    <row r="8715" customFormat="1" s="94">
      <c r="B8715" s="128" t="n">
        <v>44069</v>
      </c>
      <c r="C8715" s="94">
        <f>TEXT(B8715,"aaa")</f>
        <v/>
      </c>
      <c r="E8715" s="94" t="inlineStr">
        <is>
          <t>클렌징폼</t>
        </is>
      </c>
      <c r="F8715" s="5" t="inlineStr">
        <is>
          <t>카페24</t>
        </is>
      </c>
      <c r="G8715" s="94" t="inlineStr">
        <is>
          <t>클렌징폼 120ml 2set</t>
        </is>
      </c>
      <c r="H8715" s="7" t="n">
        <v>190801</v>
      </c>
      <c r="I8715" s="7" t="n">
        <v>190801</v>
      </c>
      <c r="K8715" s="94" t="n">
        <v>1</v>
      </c>
      <c r="L8715" s="7" t="n">
        <v>190801</v>
      </c>
      <c r="M8715" s="94">
        <f>VLOOKUP($Q8715,매칭테이블!$F:$I,2,0)*K8715</f>
        <v/>
      </c>
      <c r="N8715" s="94">
        <f>M8715-M8715*VLOOKUP($Q8715,매칭테이블!$F:$I,3,0)</f>
        <v/>
      </c>
      <c r="O8715" s="94">
        <f>VLOOKUP($Q8715,매칭테이블!$F:$I,4,0)*K8715</f>
        <v/>
      </c>
      <c r="P8715" s="148">
        <f>M8715/1.1</f>
        <v/>
      </c>
      <c r="Q8715" s="94">
        <f>F8715&amp;E8715&amp;G8715&amp;L8715</f>
        <v/>
      </c>
    </row>
    <row r="8716" customFormat="1" s="94">
      <c r="B8716" s="128" t="n">
        <v>44069</v>
      </c>
      <c r="C8716" s="94">
        <f>TEXT(B8716,"aaa")</f>
        <v/>
      </c>
      <c r="E8716" s="94" t="inlineStr">
        <is>
          <t>토너</t>
        </is>
      </c>
      <c r="F8716" s="5" t="inlineStr">
        <is>
          <t>큐텐재팬</t>
        </is>
      </c>
      <c r="G8716" s="94" t="inlineStr">
        <is>
          <t>200726=250ml</t>
        </is>
      </c>
      <c r="H8716" s="7" t="n">
        <v>190801</v>
      </c>
      <c r="I8716" s="7" t="n">
        <v>190801</v>
      </c>
      <c r="K8716" s="94" t="n">
        <v>4</v>
      </c>
      <c r="L8716" s="7" t="n">
        <v>190801</v>
      </c>
      <c r="M8716" s="94">
        <f>VLOOKUP($Q8716,매칭테이블!$F:$I,2,0)*K8716</f>
        <v/>
      </c>
      <c r="N8716" s="94">
        <f>M8716-M8716*VLOOKUP($Q8716,매칭테이블!$F:$I,3,0)</f>
        <v/>
      </c>
      <c r="O8716" s="94">
        <f>VLOOKUP($Q8716,매칭테이블!$F:$I,4,0)*K8716</f>
        <v/>
      </c>
      <c r="P8716" s="148">
        <f>M8716/1.1</f>
        <v/>
      </c>
      <c r="Q8716" s="94">
        <f>F8716&amp;E8716&amp;G8716&amp;L8716</f>
        <v/>
      </c>
    </row>
    <row r="8717" customFormat="1" s="94">
      <c r="B8717" s="128" t="n">
        <v>44069</v>
      </c>
      <c r="C8717" s="94">
        <f>TEXT(B8717,"aaa")</f>
        <v/>
      </c>
      <c r="E8717" s="94" t="inlineStr">
        <is>
          <t>선크림</t>
        </is>
      </c>
      <c r="F8717" s="5" t="inlineStr">
        <is>
          <t>큐텐재팬</t>
        </is>
      </c>
      <c r="G8717" s="94" t="inlineStr">
        <is>
          <t>200726=선크림 50ml</t>
        </is>
      </c>
      <c r="H8717" s="7" t="n">
        <v>190801</v>
      </c>
      <c r="I8717" s="7" t="n">
        <v>190801</v>
      </c>
      <c r="K8717" s="94" t="n">
        <v>1</v>
      </c>
      <c r="L8717" s="7" t="n">
        <v>190801</v>
      </c>
      <c r="M8717" s="94">
        <f>VLOOKUP($Q8717,매칭테이블!$F:$I,2,0)*K8717</f>
        <v/>
      </c>
      <c r="N8717" s="94">
        <f>M8717-M8717*VLOOKUP($Q8717,매칭테이블!$F:$I,3,0)</f>
        <v/>
      </c>
      <c r="O8717" s="94">
        <f>VLOOKUP($Q8717,매칭테이블!$F:$I,4,0)*K8717</f>
        <v/>
      </c>
      <c r="P8717" s="148">
        <f>M8717/1.1</f>
        <v/>
      </c>
      <c r="Q8717" s="94">
        <f>F8717&amp;E8717&amp;G8717&amp;L8717</f>
        <v/>
      </c>
    </row>
    <row r="8718" customFormat="1" s="94">
      <c r="B8718" s="128" t="n">
        <v>44069</v>
      </c>
      <c r="C8718" s="94">
        <f>TEXT(B8718,"aaa")</f>
        <v/>
      </c>
      <c r="E8718" s="94" t="inlineStr">
        <is>
          <t>토너</t>
        </is>
      </c>
      <c r="F8718" s="5" t="inlineStr">
        <is>
          <t>큐텐재팬</t>
        </is>
      </c>
      <c r="G8718" s="94" t="inlineStr">
        <is>
          <t>200726=250ml 2set</t>
        </is>
      </c>
      <c r="H8718" s="7" t="n">
        <v>190801</v>
      </c>
      <c r="I8718" s="7" t="n">
        <v>190801</v>
      </c>
      <c r="K8718" s="94" t="n">
        <v>1</v>
      </c>
      <c r="L8718" s="7" t="n">
        <v>190801</v>
      </c>
      <c r="M8718" s="94">
        <f>VLOOKUP($Q8718,매칭테이블!$F:$I,2,0)*K8718</f>
        <v/>
      </c>
      <c r="N8718" s="94">
        <f>M8718-M8718*VLOOKUP($Q8718,매칭테이블!$F:$I,3,0)</f>
        <v/>
      </c>
      <c r="O8718" s="94">
        <f>VLOOKUP($Q8718,매칭테이블!$F:$I,4,0)*K8718</f>
        <v/>
      </c>
      <c r="P8718" s="148">
        <f>M8718/1.1</f>
        <v/>
      </c>
      <c r="Q8718" s="94">
        <f>F8718&amp;E8718&amp;G8718&amp;L8718</f>
        <v/>
      </c>
    </row>
    <row r="8719" customFormat="1" s="94">
      <c r="B8719" s="128" t="n">
        <v>44070</v>
      </c>
      <c r="C8719" s="94">
        <f>TEXT(B8719,"aaa")</f>
        <v/>
      </c>
      <c r="E8719" s="94" t="inlineStr">
        <is>
          <t>토너</t>
        </is>
      </c>
      <c r="F8719" s="5" t="inlineStr">
        <is>
          <t>스타일쉐어</t>
        </is>
      </c>
      <c r="G8719" s="94" t="inlineStr">
        <is>
          <t>250ml</t>
        </is>
      </c>
      <c r="H8719" s="7" t="n">
        <v>190801</v>
      </c>
      <c r="I8719" s="7" t="n">
        <v>190801</v>
      </c>
      <c r="K8719" s="94" t="n">
        <v>9</v>
      </c>
      <c r="L8719" s="7" t="n">
        <v>190801</v>
      </c>
      <c r="M8719" s="94">
        <f>VLOOKUP($Q8719,매칭테이블!$F:$I,2,0)*K8719</f>
        <v/>
      </c>
      <c r="N8719" s="94">
        <f>M8719-M8719*VLOOKUP($Q8719,매칭테이블!$F:$I,3,0)</f>
        <v/>
      </c>
      <c r="O8719" s="94">
        <f>VLOOKUP($Q8719,매칭테이블!$F:$I,4,0)*K8719</f>
        <v/>
      </c>
      <c r="P8719" s="148">
        <f>M8719/1.1</f>
        <v/>
      </c>
      <c r="Q8719" s="94">
        <f>F8719&amp;E8719&amp;G8719&amp;L8719</f>
        <v/>
      </c>
    </row>
    <row r="8720" customFormat="1" s="94">
      <c r="B8720" s="128" t="n">
        <v>44070</v>
      </c>
      <c r="C8720" s="94">
        <f>TEXT(B8720,"aaa")</f>
        <v/>
      </c>
      <c r="E8720" s="94" t="inlineStr">
        <is>
          <t>선크림</t>
        </is>
      </c>
      <c r="F8720" s="5" t="inlineStr">
        <is>
          <t>카페24</t>
        </is>
      </c>
      <c r="G8720" s="94" t="inlineStr">
        <is>
          <t>선크림 50ml</t>
        </is>
      </c>
      <c r="H8720" s="7" t="n">
        <v>190801</v>
      </c>
      <c r="I8720" s="7" t="n">
        <v>190801</v>
      </c>
      <c r="K8720" s="94" t="n">
        <v>1</v>
      </c>
      <c r="L8720" s="7" t="n">
        <v>190801</v>
      </c>
      <c r="M8720" s="94">
        <f>VLOOKUP($Q8720,매칭테이블!$F:$I,2,0)*K8720</f>
        <v/>
      </c>
      <c r="N8720" s="94">
        <f>M8720-M8720*VLOOKUP($Q8720,매칭테이블!$F:$I,3,0)</f>
        <v/>
      </c>
      <c r="O8720" s="94">
        <f>VLOOKUP($Q8720,매칭테이블!$F:$I,4,0)*K8720</f>
        <v/>
      </c>
      <c r="P8720" s="148">
        <f>M8720/1.1</f>
        <v/>
      </c>
      <c r="Q8720" s="94">
        <f>F8720&amp;E8720&amp;G8720&amp;L8720</f>
        <v/>
      </c>
    </row>
    <row r="8721" customFormat="1" s="94">
      <c r="B8721" s="128" t="n">
        <v>44070</v>
      </c>
      <c r="C8721" s="94">
        <f>TEXT(B8721,"aaa")</f>
        <v/>
      </c>
      <c r="E8721" s="94" t="inlineStr">
        <is>
          <t>선크림</t>
        </is>
      </c>
      <c r="F8721" s="5" t="inlineStr">
        <is>
          <t>카페24</t>
        </is>
      </c>
      <c r="G8721" s="94" t="inlineStr">
        <is>
          <t>선크림 50ml  2set</t>
        </is>
      </c>
      <c r="H8721" s="7" t="n">
        <v>190801</v>
      </c>
      <c r="I8721" s="7" t="n">
        <v>190801</v>
      </c>
      <c r="K8721" s="94" t="n">
        <v>1</v>
      </c>
      <c r="L8721" s="7" t="n">
        <v>190801</v>
      </c>
      <c r="M8721" s="94">
        <f>VLOOKUP($Q8721,매칭테이블!$F:$I,2,0)*K8721</f>
        <v/>
      </c>
      <c r="N8721" s="94">
        <f>M8721-M8721*VLOOKUP($Q8721,매칭테이블!$F:$I,3,0)</f>
        <v/>
      </c>
      <c r="O8721" s="94">
        <f>VLOOKUP($Q8721,매칭테이블!$F:$I,4,0)*K8721</f>
        <v/>
      </c>
      <c r="P8721" s="148">
        <f>M8721/1.1</f>
        <v/>
      </c>
      <c r="Q8721" s="94">
        <f>F8721&amp;E8721&amp;G8721&amp;L8721</f>
        <v/>
      </c>
    </row>
    <row r="8722" customFormat="1" s="94">
      <c r="B8722" s="128" t="n">
        <v>44070</v>
      </c>
      <c r="C8722" s="94">
        <f>TEXT(B8722,"aaa")</f>
        <v/>
      </c>
      <c r="E8722" s="94" t="inlineStr">
        <is>
          <t>여름 한정 진정세트</t>
        </is>
      </c>
      <c r="F8722" s="5" t="inlineStr">
        <is>
          <t>카페24</t>
        </is>
      </c>
      <c r="G8722" s="94" t="inlineStr">
        <is>
          <t>여름 한정 진정세트</t>
        </is>
      </c>
      <c r="H8722" s="7" t="n">
        <v>190801</v>
      </c>
      <c r="I8722" s="7" t="n">
        <v>190801</v>
      </c>
      <c r="K8722" s="94" t="n">
        <v>2</v>
      </c>
      <c r="L8722" s="7" t="n">
        <v>190801</v>
      </c>
      <c r="M8722" s="94">
        <f>VLOOKUP($Q8722,매칭테이블!$F:$I,2,0)*K8722</f>
        <v/>
      </c>
      <c r="N8722" s="94">
        <f>M8722-M8722*VLOOKUP($Q8722,매칭테이블!$F:$I,3,0)</f>
        <v/>
      </c>
      <c r="O8722" s="94">
        <f>VLOOKUP($Q8722,매칭테이블!$F:$I,4,0)*K8722</f>
        <v/>
      </c>
      <c r="P8722" s="148">
        <f>M8722/1.1</f>
        <v/>
      </c>
      <c r="Q8722" s="94">
        <f>F8722&amp;E8722&amp;G8722&amp;L8722</f>
        <v/>
      </c>
    </row>
    <row r="8723" customFormat="1" s="94">
      <c r="B8723" s="128" t="n">
        <v>44070</v>
      </c>
      <c r="C8723" s="94">
        <f>TEXT(B8723,"aaa")</f>
        <v/>
      </c>
      <c r="E8723" s="94" t="inlineStr">
        <is>
          <t>여름 한정 진정세트</t>
        </is>
      </c>
      <c r="F8723" s="5" t="inlineStr">
        <is>
          <t>카페24</t>
        </is>
      </c>
      <c r="G8723" s="94" t="inlineStr">
        <is>
          <t>여름 한정 진정세트 (대용량)</t>
        </is>
      </c>
      <c r="H8723" s="7" t="n">
        <v>190801</v>
      </c>
      <c r="I8723" s="7" t="n">
        <v>190801</v>
      </c>
      <c r="K8723" s="94" t="n">
        <v>3</v>
      </c>
      <c r="L8723" s="7" t="n">
        <v>190801</v>
      </c>
      <c r="M8723" s="94">
        <f>VLOOKUP($Q8723,매칭테이블!$F:$I,2,0)*K8723</f>
        <v/>
      </c>
      <c r="N8723" s="94">
        <f>M8723-M8723*VLOOKUP($Q8723,매칭테이블!$F:$I,3,0)</f>
        <v/>
      </c>
      <c r="O8723" s="94">
        <f>VLOOKUP($Q8723,매칭테이블!$F:$I,4,0)*K8723</f>
        <v/>
      </c>
      <c r="P8723" s="148">
        <f>M8723/1.1</f>
        <v/>
      </c>
      <c r="Q8723" s="94">
        <f>F8723&amp;E8723&amp;G8723&amp;L8723</f>
        <v/>
      </c>
    </row>
    <row r="8724" customFormat="1" s="94">
      <c r="B8724" s="128" t="n">
        <v>44070</v>
      </c>
      <c r="C8724" s="94">
        <f>TEXT(B8724,"aaa")</f>
        <v/>
      </c>
      <c r="E8724" s="94" t="inlineStr">
        <is>
          <t>마스크팩</t>
        </is>
      </c>
      <c r="F8724" s="5" t="inlineStr">
        <is>
          <t>카페24</t>
        </is>
      </c>
      <c r="G8724" s="94" t="inlineStr">
        <is>
          <t>마스크팩 1매</t>
        </is>
      </c>
      <c r="H8724" s="7" t="n">
        <v>190801</v>
      </c>
      <c r="I8724" s="7" t="n">
        <v>190801</v>
      </c>
      <c r="K8724" s="94" t="n">
        <v>4</v>
      </c>
      <c r="L8724" s="7" t="n">
        <v>190801</v>
      </c>
      <c r="M8724" s="94">
        <f>VLOOKUP($Q8724,매칭테이블!$F:$I,2,0)*K8724</f>
        <v/>
      </c>
      <c r="N8724" s="94">
        <f>M8724-M8724*VLOOKUP($Q8724,매칭테이블!$F:$I,3,0)</f>
        <v/>
      </c>
      <c r="O8724" s="94">
        <f>VLOOKUP($Q8724,매칭테이블!$F:$I,4,0)*K8724</f>
        <v/>
      </c>
      <c r="P8724" s="148">
        <f>M8724/1.1</f>
        <v/>
      </c>
      <c r="Q8724" s="94">
        <f>F8724&amp;E8724&amp;G8724&amp;L8724</f>
        <v/>
      </c>
    </row>
    <row r="8725" customFormat="1" s="94">
      <c r="B8725" s="128" t="n">
        <v>44070</v>
      </c>
      <c r="C8725" s="94">
        <f>TEXT(B8725,"aaa")</f>
        <v/>
      </c>
      <c r="E8725" s="94" t="inlineStr">
        <is>
          <t>마스크팩</t>
        </is>
      </c>
      <c r="F8725" s="5" t="inlineStr">
        <is>
          <t>카페24</t>
        </is>
      </c>
      <c r="G8725" s="94" t="inlineStr">
        <is>
          <t>마스크팩 10매</t>
        </is>
      </c>
      <c r="H8725" s="7" t="n">
        <v>190801</v>
      </c>
      <c r="I8725" s="7" t="n">
        <v>190801</v>
      </c>
      <c r="K8725" s="94" t="n">
        <v>10</v>
      </c>
      <c r="L8725" s="7" t="n">
        <v>190801</v>
      </c>
      <c r="M8725" s="94">
        <f>VLOOKUP($Q8725,매칭테이블!$F:$I,2,0)*K8725</f>
        <v/>
      </c>
      <c r="N8725" s="94">
        <f>M8725-M8725*VLOOKUP($Q8725,매칭테이블!$F:$I,3,0)</f>
        <v/>
      </c>
      <c r="O8725" s="94">
        <f>VLOOKUP($Q8725,매칭테이블!$F:$I,4,0)*K8725</f>
        <v/>
      </c>
      <c r="P8725" s="148">
        <f>M8725/1.1</f>
        <v/>
      </c>
      <c r="Q8725" s="94">
        <f>F8725&amp;E8725&amp;G8725&amp;L8725</f>
        <v/>
      </c>
    </row>
    <row r="8726" customFormat="1" s="94">
      <c r="B8726" s="128" t="n">
        <v>44070</v>
      </c>
      <c r="C8726" s="94">
        <f>TEXT(B8726,"aaa")</f>
        <v/>
      </c>
      <c r="E8726" s="94" t="inlineStr">
        <is>
          <t>토너</t>
        </is>
      </c>
      <c r="F8726" s="5" t="inlineStr">
        <is>
          <t>카페24</t>
        </is>
      </c>
      <c r="G8726" s="94" t="inlineStr">
        <is>
          <t>250ml</t>
        </is>
      </c>
      <c r="H8726" s="7" t="n">
        <v>190801</v>
      </c>
      <c r="I8726" s="7" t="n">
        <v>190801</v>
      </c>
      <c r="K8726" s="94" t="n">
        <v>97</v>
      </c>
      <c r="L8726" s="7" t="n">
        <v>190801</v>
      </c>
      <c r="M8726" s="94">
        <f>VLOOKUP($Q8726,매칭테이블!$F:$I,2,0)*K8726</f>
        <v/>
      </c>
      <c r="N8726" s="94">
        <f>M8726-M8726*VLOOKUP($Q8726,매칭테이블!$F:$I,3,0)</f>
        <v/>
      </c>
      <c r="O8726" s="94">
        <f>VLOOKUP($Q8726,매칭테이블!$F:$I,4,0)*K8726</f>
        <v/>
      </c>
      <c r="P8726" s="148">
        <f>M8726/1.1</f>
        <v/>
      </c>
      <c r="Q8726" s="94">
        <f>F8726&amp;E8726&amp;G8726&amp;L8726</f>
        <v/>
      </c>
    </row>
    <row r="8727" customFormat="1" s="94">
      <c r="B8727" s="128" t="n">
        <v>44070</v>
      </c>
      <c r="C8727" s="94">
        <f>TEXT(B8727,"aaa")</f>
        <v/>
      </c>
      <c r="E8727" s="94" t="inlineStr">
        <is>
          <t>토너</t>
        </is>
      </c>
      <c r="F8727" s="5" t="inlineStr">
        <is>
          <t>카페24</t>
        </is>
      </c>
      <c r="G8727" s="94" t="inlineStr">
        <is>
          <t>250ml 2set</t>
        </is>
      </c>
      <c r="H8727" s="7" t="n">
        <v>190801</v>
      </c>
      <c r="I8727" s="7" t="n">
        <v>190801</v>
      </c>
      <c r="K8727" s="94" t="n">
        <v>73</v>
      </c>
      <c r="L8727" s="7" t="n">
        <v>190801</v>
      </c>
      <c r="M8727" s="94">
        <f>VLOOKUP($Q8727,매칭테이블!$F:$I,2,0)*K8727</f>
        <v/>
      </c>
      <c r="N8727" s="94">
        <f>M8727-M8727*VLOOKUP($Q8727,매칭테이블!$F:$I,3,0)</f>
        <v/>
      </c>
      <c r="O8727" s="94">
        <f>VLOOKUP($Q8727,매칭테이블!$F:$I,4,0)*K8727</f>
        <v/>
      </c>
      <c r="P8727" s="148">
        <f>M8727/1.1</f>
        <v/>
      </c>
      <c r="Q8727" s="94">
        <f>F8727&amp;E8727&amp;G8727&amp;L8727</f>
        <v/>
      </c>
    </row>
    <row r="8728" customFormat="1" s="94">
      <c r="B8728" s="128" t="n">
        <v>44070</v>
      </c>
      <c r="C8728" s="94">
        <f>TEXT(B8728,"aaa")</f>
        <v/>
      </c>
      <c r="E8728" s="94" t="inlineStr">
        <is>
          <t>토너</t>
        </is>
      </c>
      <c r="F8728" s="5" t="inlineStr">
        <is>
          <t>카페24</t>
        </is>
      </c>
      <c r="G8728" s="94" t="inlineStr">
        <is>
          <t>500ml</t>
        </is>
      </c>
      <c r="H8728" s="7" t="n">
        <v>190801</v>
      </c>
      <c r="I8728" s="7" t="n">
        <v>190801</v>
      </c>
      <c r="K8728" s="94" t="n">
        <v>80</v>
      </c>
      <c r="L8728" s="7" t="n">
        <v>190801</v>
      </c>
      <c r="M8728" s="94">
        <f>VLOOKUP($Q8728,매칭테이블!$F:$I,2,0)*K8728</f>
        <v/>
      </c>
      <c r="N8728" s="94">
        <f>M8728-M8728*VLOOKUP($Q8728,매칭테이블!$F:$I,3,0)</f>
        <v/>
      </c>
      <c r="O8728" s="94">
        <f>VLOOKUP($Q8728,매칭테이블!$F:$I,4,0)*K8728</f>
        <v/>
      </c>
      <c r="P8728" s="148">
        <f>M8728/1.1</f>
        <v/>
      </c>
      <c r="Q8728" s="94">
        <f>F8728&amp;E8728&amp;G8728&amp;L8728</f>
        <v/>
      </c>
    </row>
    <row r="8729" customFormat="1" s="94">
      <c r="B8729" s="128" t="n">
        <v>44070</v>
      </c>
      <c r="C8729" s="94">
        <f>TEXT(B8729,"aaa")</f>
        <v/>
      </c>
      <c r="E8729" s="94" t="inlineStr">
        <is>
          <t>토너</t>
        </is>
      </c>
      <c r="F8729" s="5" t="inlineStr">
        <is>
          <t>카페24</t>
        </is>
      </c>
      <c r="G8729" s="94" t="inlineStr">
        <is>
          <t>스킨팩 화장솜 60P</t>
        </is>
      </c>
      <c r="H8729" s="7" t="n">
        <v>190801</v>
      </c>
      <c r="I8729" s="7" t="n">
        <v>190801</v>
      </c>
      <c r="K8729" s="94" t="n">
        <v>78</v>
      </c>
      <c r="L8729" s="7" t="n">
        <v>190801</v>
      </c>
      <c r="M8729" s="94">
        <f>VLOOKUP($Q8729,매칭테이블!$F:$I,2,0)*K8729</f>
        <v/>
      </c>
      <c r="N8729" s="94">
        <f>M8729-M8729*VLOOKUP($Q8729,매칭테이블!$F:$I,3,0)</f>
        <v/>
      </c>
      <c r="O8729" s="94">
        <f>VLOOKUP($Q8729,매칭테이블!$F:$I,4,0)*K8729</f>
        <v/>
      </c>
      <c r="P8729" s="148">
        <f>M8729/1.1</f>
        <v/>
      </c>
      <c r="Q8729" s="94">
        <f>F8729&amp;E8729&amp;G8729&amp;L8729</f>
        <v/>
      </c>
    </row>
    <row r="8730" customFormat="1" s="94">
      <c r="B8730" s="128" t="n">
        <v>44070</v>
      </c>
      <c r="C8730" s="94">
        <f>TEXT(B8730,"aaa")</f>
        <v/>
      </c>
      <c r="E8730" s="94" t="inlineStr">
        <is>
          <t>앰플</t>
        </is>
      </c>
      <c r="F8730" s="5" t="inlineStr">
        <is>
          <t>카페24</t>
        </is>
      </c>
      <c r="G8730" s="94" t="inlineStr">
        <is>
          <t>앰플 30ml</t>
        </is>
      </c>
      <c r="H8730" s="7" t="n">
        <v>190801</v>
      </c>
      <c r="I8730" s="7" t="n">
        <v>190801</v>
      </c>
      <c r="K8730" s="94" t="n">
        <v>19</v>
      </c>
      <c r="L8730" s="7" t="n">
        <v>190801</v>
      </c>
      <c r="M8730" s="94">
        <f>VLOOKUP($Q8730,매칭테이블!$F:$I,2,0)*K8730</f>
        <v/>
      </c>
      <c r="N8730" s="94">
        <f>M8730-M8730*VLOOKUP($Q8730,매칭테이블!$F:$I,3,0)</f>
        <v/>
      </c>
      <c r="O8730" s="94">
        <f>VLOOKUP($Q8730,매칭테이블!$F:$I,4,0)*K8730</f>
        <v/>
      </c>
      <c r="P8730" s="148">
        <f>M8730/1.1</f>
        <v/>
      </c>
      <c r="Q8730" s="94">
        <f>F8730&amp;E8730&amp;G8730&amp;L8730</f>
        <v/>
      </c>
    </row>
    <row r="8731" customFormat="1" s="94">
      <c r="B8731" s="128" t="n">
        <v>44070</v>
      </c>
      <c r="C8731" s="94">
        <f>TEXT(B8731,"aaa")</f>
        <v/>
      </c>
      <c r="E8731" s="94" t="inlineStr">
        <is>
          <t>앰플</t>
        </is>
      </c>
      <c r="F8731" s="5" t="inlineStr">
        <is>
          <t>카페24</t>
        </is>
      </c>
      <c r="G8731" s="94" t="inlineStr">
        <is>
          <t>앰플 30ml  2set</t>
        </is>
      </c>
      <c r="H8731" s="7" t="n">
        <v>190801</v>
      </c>
      <c r="I8731" s="7" t="n">
        <v>190801</v>
      </c>
      <c r="K8731" s="94" t="n">
        <v>4</v>
      </c>
      <c r="L8731" s="7" t="n">
        <v>190801</v>
      </c>
      <c r="M8731" s="94">
        <f>VLOOKUP($Q8731,매칭테이블!$F:$I,2,0)*K8731</f>
        <v/>
      </c>
      <c r="N8731" s="94">
        <f>M8731-M8731*VLOOKUP($Q8731,매칭테이블!$F:$I,3,0)</f>
        <v/>
      </c>
      <c r="O8731" s="94">
        <f>VLOOKUP($Q8731,매칭테이블!$F:$I,4,0)*K8731</f>
        <v/>
      </c>
      <c r="P8731" s="148">
        <f>M8731/1.1</f>
        <v/>
      </c>
      <c r="Q8731" s="94">
        <f>F8731&amp;E8731&amp;G8731&amp;L8731</f>
        <v/>
      </c>
    </row>
    <row r="8732" customFormat="1" s="94">
      <c r="B8732" s="128" t="n">
        <v>44070</v>
      </c>
      <c r="C8732" s="94">
        <f>TEXT(B8732,"aaa")</f>
        <v/>
      </c>
      <c r="E8732" s="94" t="inlineStr">
        <is>
          <t>수딩크림</t>
        </is>
      </c>
      <c r="F8732" s="5" t="inlineStr">
        <is>
          <t>카페24</t>
        </is>
      </c>
      <c r="G8732" s="94" t="inlineStr">
        <is>
          <t>수딩크림 100ml</t>
        </is>
      </c>
      <c r="H8732" s="7" t="n">
        <v>190801</v>
      </c>
      <c r="I8732" s="7" t="n">
        <v>190801</v>
      </c>
      <c r="K8732" s="94" t="n">
        <v>9</v>
      </c>
      <c r="L8732" s="7" t="n">
        <v>190801</v>
      </c>
      <c r="M8732" s="94">
        <f>VLOOKUP($Q8732,매칭테이블!$F:$I,2,0)*K8732</f>
        <v/>
      </c>
      <c r="N8732" s="94">
        <f>M8732-M8732*VLOOKUP($Q8732,매칭테이블!$F:$I,3,0)</f>
        <v/>
      </c>
      <c r="O8732" s="94">
        <f>VLOOKUP($Q8732,매칭테이블!$F:$I,4,0)*K8732</f>
        <v/>
      </c>
      <c r="P8732" s="148">
        <f>M8732/1.1</f>
        <v/>
      </c>
      <c r="Q8732" s="94">
        <f>F8732&amp;E8732&amp;G8732&amp;L8732</f>
        <v/>
      </c>
    </row>
    <row r="8733" customFormat="1" s="94">
      <c r="B8733" s="128" t="n">
        <v>44070</v>
      </c>
      <c r="C8733" s="94">
        <f>TEXT(B8733,"aaa")</f>
        <v/>
      </c>
      <c r="E8733" s="94" t="inlineStr">
        <is>
          <t>클렌징폼</t>
        </is>
      </c>
      <c r="F8733" s="5" t="inlineStr">
        <is>
          <t>카페24</t>
        </is>
      </c>
      <c r="G8733" s="94" t="inlineStr">
        <is>
          <t>클렌징폼 120ml</t>
        </is>
      </c>
      <c r="H8733" s="7" t="n">
        <v>190801</v>
      </c>
      <c r="I8733" s="7" t="n">
        <v>190801</v>
      </c>
      <c r="K8733" s="94" t="n">
        <v>8</v>
      </c>
      <c r="L8733" s="7" t="n">
        <v>190801</v>
      </c>
      <c r="M8733" s="94">
        <f>VLOOKUP($Q8733,매칭테이블!$F:$I,2,0)*K8733</f>
        <v/>
      </c>
      <c r="N8733" s="94">
        <f>M8733-M8733*VLOOKUP($Q8733,매칭테이블!$F:$I,3,0)</f>
        <v/>
      </c>
      <c r="O8733" s="94">
        <f>VLOOKUP($Q8733,매칭테이블!$F:$I,4,0)*K8733</f>
        <v/>
      </c>
      <c r="P8733" s="148">
        <f>M8733/1.1</f>
        <v/>
      </c>
      <c r="Q8733" s="94">
        <f>F8733&amp;E8733&amp;G8733&amp;L8733</f>
        <v/>
      </c>
    </row>
    <row r="8734" customFormat="1" s="94">
      <c r="B8734" s="128" t="n">
        <v>44070</v>
      </c>
      <c r="C8734" s="94">
        <f>TEXT(B8734,"aaa")</f>
        <v/>
      </c>
      <c r="E8734" s="94" t="inlineStr">
        <is>
          <t>클렌징폼</t>
        </is>
      </c>
      <c r="F8734" s="5" t="inlineStr">
        <is>
          <t>카페24</t>
        </is>
      </c>
      <c r="G8734" s="94" t="inlineStr">
        <is>
          <t>클렌징폼 120ml 3set</t>
        </is>
      </c>
      <c r="H8734" s="7" t="n">
        <v>190801</v>
      </c>
      <c r="I8734" s="7" t="n">
        <v>190801</v>
      </c>
      <c r="K8734" s="94" t="n">
        <v>1</v>
      </c>
      <c r="L8734" s="7" t="n">
        <v>190801</v>
      </c>
      <c r="M8734" s="94">
        <f>VLOOKUP($Q8734,매칭테이블!$F:$I,2,0)*K8734</f>
        <v/>
      </c>
      <c r="N8734" s="94">
        <f>M8734-M8734*VLOOKUP($Q8734,매칭테이블!$F:$I,3,0)</f>
        <v/>
      </c>
      <c r="O8734" s="94">
        <f>VLOOKUP($Q8734,매칭테이블!$F:$I,4,0)*K8734</f>
        <v/>
      </c>
      <c r="P8734" s="148">
        <f>M8734/1.1</f>
        <v/>
      </c>
      <c r="Q8734" s="94">
        <f>F8734&amp;E8734&amp;G8734&amp;L8734</f>
        <v/>
      </c>
    </row>
    <row r="8735" customFormat="1" s="94">
      <c r="B8735" s="128" t="n">
        <v>44070</v>
      </c>
      <c r="C8735" s="94">
        <f>TEXT(B8735,"aaa")</f>
        <v/>
      </c>
      <c r="E8735" s="94" t="inlineStr">
        <is>
          <t>토너</t>
        </is>
      </c>
      <c r="F8735" s="5" t="inlineStr">
        <is>
          <t>큐텐재팬</t>
        </is>
      </c>
      <c r="G8735" s="94" t="inlineStr">
        <is>
          <t>200726=250ml</t>
        </is>
      </c>
      <c r="H8735" s="7" t="n">
        <v>190801</v>
      </c>
      <c r="I8735" s="7" t="n">
        <v>190801</v>
      </c>
      <c r="K8735" s="94" t="n">
        <v>3</v>
      </c>
      <c r="L8735" s="7" t="n">
        <v>190801</v>
      </c>
      <c r="M8735" s="94">
        <f>VLOOKUP($Q8735,매칭테이블!$F:$I,2,0)*K8735</f>
        <v/>
      </c>
      <c r="N8735" s="94">
        <f>M8735-M8735*VLOOKUP($Q8735,매칭테이블!$F:$I,3,0)</f>
        <v/>
      </c>
      <c r="O8735" s="94">
        <f>VLOOKUP($Q8735,매칭테이블!$F:$I,4,0)*K8735</f>
        <v/>
      </c>
      <c r="P8735" s="148">
        <f>M8735/1.1</f>
        <v/>
      </c>
      <c r="Q8735" s="94">
        <f>F8735&amp;E8735&amp;G8735&amp;L8735</f>
        <v/>
      </c>
    </row>
    <row r="8736" customFormat="1" s="94">
      <c r="B8736" s="128" t="n">
        <v>44070</v>
      </c>
      <c r="C8736" s="94">
        <f>TEXT(B8736,"aaa")</f>
        <v/>
      </c>
      <c r="E8736" s="94" t="inlineStr">
        <is>
          <t>토너</t>
        </is>
      </c>
      <c r="F8736" s="5" t="inlineStr">
        <is>
          <t>큐텐재팬</t>
        </is>
      </c>
      <c r="G8736" s="94" t="inlineStr">
        <is>
          <t>200726=250ml 2set</t>
        </is>
      </c>
      <c r="H8736" s="7" t="n">
        <v>190801</v>
      </c>
      <c r="I8736" s="7" t="n">
        <v>190801</v>
      </c>
      <c r="K8736" s="94" t="n">
        <v>3</v>
      </c>
      <c r="L8736" s="7" t="n">
        <v>190801</v>
      </c>
      <c r="M8736" s="94">
        <f>VLOOKUP($Q8736,매칭테이블!$F:$I,2,0)*K8736</f>
        <v/>
      </c>
      <c r="N8736" s="94">
        <f>M8736-M8736*VLOOKUP($Q8736,매칭테이블!$F:$I,3,0)</f>
        <v/>
      </c>
      <c r="O8736" s="94">
        <f>VLOOKUP($Q8736,매칭테이블!$F:$I,4,0)*K8736</f>
        <v/>
      </c>
      <c r="P8736" s="148">
        <f>M8736/1.1</f>
        <v/>
      </c>
      <c r="Q8736" s="94">
        <f>F8736&amp;E8736&amp;G8736&amp;L8736</f>
        <v/>
      </c>
    </row>
    <row r="8737" customFormat="1" s="94">
      <c r="B8737" s="128" t="n">
        <v>44070</v>
      </c>
      <c r="C8737" s="94">
        <f>TEXT(B8737,"aaa")</f>
        <v/>
      </c>
      <c r="E8737" s="94" t="inlineStr">
        <is>
          <t>토너</t>
        </is>
      </c>
      <c r="F8737" s="5" t="inlineStr">
        <is>
          <t>쇼피싱가폴</t>
        </is>
      </c>
      <c r="G8737" s="94" t="inlineStr">
        <is>
          <t>200831=250ml</t>
        </is>
      </c>
      <c r="H8737" s="7" t="n">
        <v>190801</v>
      </c>
      <c r="I8737" s="7" t="n">
        <v>190801</v>
      </c>
      <c r="K8737" s="94" t="n">
        <v>1</v>
      </c>
      <c r="L8737" s="7" t="n">
        <v>190801</v>
      </c>
      <c r="M8737" s="94">
        <f>VLOOKUP($Q8737,매칭테이블!$F:$I,2,0)*K8737</f>
        <v/>
      </c>
      <c r="N8737" s="94">
        <f>M8737-M8737*VLOOKUP($Q8737,매칭테이블!$F:$I,3,0)</f>
        <v/>
      </c>
      <c r="O8737" s="94">
        <f>VLOOKUP($Q8737,매칭테이블!$F:$I,4,0)*K8737</f>
        <v/>
      </c>
      <c r="P8737" s="148">
        <f>M8737/1.1</f>
        <v/>
      </c>
      <c r="Q8737" s="94">
        <f>F8737&amp;E8737&amp;G8737&amp;L8737</f>
        <v/>
      </c>
    </row>
    <row r="8738" customFormat="1" s="94">
      <c r="B8738" s="128" t="n">
        <v>44070</v>
      </c>
      <c r="C8738" s="94">
        <f>TEXT(B8738,"aaa")</f>
        <v/>
      </c>
      <c r="E8738" s="94" t="inlineStr">
        <is>
          <t>앰플</t>
        </is>
      </c>
      <c r="F8738" s="5" t="inlineStr">
        <is>
          <t>쇼피싱가폴</t>
        </is>
      </c>
      <c r="G8738" s="94" t="inlineStr">
        <is>
          <t>200831=앰플 30ml</t>
        </is>
      </c>
      <c r="H8738" s="7" t="n">
        <v>190801</v>
      </c>
      <c r="I8738" s="7" t="n">
        <v>190801</v>
      </c>
      <c r="K8738" s="94" t="n">
        <v>1</v>
      </c>
      <c r="L8738" s="7" t="n">
        <v>190801</v>
      </c>
      <c r="M8738" s="94">
        <f>VLOOKUP($Q8738,매칭테이블!$F:$I,2,0)*K8738</f>
        <v/>
      </c>
      <c r="N8738" s="94">
        <f>M8738-M8738*VLOOKUP($Q8738,매칭테이블!$F:$I,3,0)</f>
        <v/>
      </c>
      <c r="O8738" s="94">
        <f>VLOOKUP($Q8738,매칭테이블!$F:$I,4,0)*K8738</f>
        <v/>
      </c>
      <c r="P8738" s="148">
        <f>M8738/1.1</f>
        <v/>
      </c>
      <c r="Q8738" s="94">
        <f>F8738&amp;E8738&amp;G8738&amp;L8738</f>
        <v/>
      </c>
    </row>
    <row r="8739" customFormat="1" s="94">
      <c r="B8739" s="128" t="n">
        <v>44070</v>
      </c>
      <c r="C8739" s="94">
        <f>TEXT(B8739,"aaa")</f>
        <v/>
      </c>
      <c r="E8739" s="94" t="inlineStr">
        <is>
          <t>토너</t>
        </is>
      </c>
      <c r="F8739" s="5" t="inlineStr">
        <is>
          <t>쇼피싱가폴</t>
        </is>
      </c>
      <c r="G8739" s="94" t="inlineStr">
        <is>
          <t>200831=250ml = 화장솜 60P X 2</t>
        </is>
      </c>
      <c r="H8739" s="7" t="n">
        <v>190801</v>
      </c>
      <c r="I8739" s="7" t="n">
        <v>190801</v>
      </c>
      <c r="K8739" s="94" t="n">
        <v>1</v>
      </c>
      <c r="L8739" s="7" t="n">
        <v>190801</v>
      </c>
      <c r="M8739" s="94">
        <f>VLOOKUP($Q8739,매칭테이블!$F:$I,2,0)*K8739</f>
        <v/>
      </c>
      <c r="N8739" s="94">
        <f>M8739-M8739*VLOOKUP($Q8739,매칭테이블!$F:$I,3,0)</f>
        <v/>
      </c>
      <c r="O8739" s="94">
        <f>VLOOKUP($Q8739,매칭테이블!$F:$I,4,0)*K8739</f>
        <v/>
      </c>
      <c r="P8739" s="148">
        <f>M8739/1.1</f>
        <v/>
      </c>
      <c r="Q8739" s="94">
        <f>F8739&amp;E8739&amp;G8739&amp;L8739</f>
        <v/>
      </c>
    </row>
    <row r="8740" customFormat="1" s="94">
      <c r="B8740" s="128" t="n">
        <v>44071</v>
      </c>
      <c r="C8740" s="94">
        <f>TEXT(B8740,"aaa")</f>
        <v/>
      </c>
      <c r="E8740" s="94" t="inlineStr">
        <is>
          <t>수딩크림</t>
        </is>
      </c>
      <c r="F8740" s="5" t="inlineStr">
        <is>
          <t>쇼피태국</t>
        </is>
      </c>
      <c r="G8740" s="94" t="inlineStr">
        <is>
          <t>200820=수딩크림 100ml</t>
        </is>
      </c>
      <c r="H8740" s="7" t="n">
        <v>190801</v>
      </c>
      <c r="I8740" s="7" t="n">
        <v>190801</v>
      </c>
      <c r="K8740" s="94" t="n">
        <v>1</v>
      </c>
      <c r="L8740" s="7" t="n">
        <v>190801</v>
      </c>
      <c r="M8740" s="94">
        <f>VLOOKUP($Q8740,매칭테이블!$F:$I,2,0)*K8740</f>
        <v/>
      </c>
      <c r="N8740" s="94">
        <f>M8740-M8740*VLOOKUP($Q8740,매칭테이블!$F:$I,3,0)</f>
        <v/>
      </c>
      <c r="O8740" s="94">
        <f>VLOOKUP($Q8740,매칭테이블!$F:$I,4,0)*K8740</f>
        <v/>
      </c>
      <c r="P8740" s="148">
        <f>M8740/1.1</f>
        <v/>
      </c>
      <c r="Q8740" s="94">
        <f>F8740&amp;E8740&amp;G8740&amp;L8740</f>
        <v/>
      </c>
    </row>
    <row r="8741" customFormat="1" s="94">
      <c r="B8741" s="128" t="n">
        <v>44071</v>
      </c>
      <c r="C8741" s="94">
        <f>TEXT(B8741,"aaa")</f>
        <v/>
      </c>
      <c r="E8741" s="94" t="inlineStr">
        <is>
          <t>앰플</t>
        </is>
      </c>
      <c r="F8741" s="5" t="inlineStr">
        <is>
          <t>쇼피태국</t>
        </is>
      </c>
      <c r="G8741" s="94" t="inlineStr">
        <is>
          <t>200820=앰플 30ml</t>
        </is>
      </c>
      <c r="H8741" s="7" t="n">
        <v>190801</v>
      </c>
      <c r="I8741" s="7" t="n">
        <v>190801</v>
      </c>
      <c r="K8741" s="94" t="n">
        <v>1</v>
      </c>
      <c r="L8741" s="7" t="n">
        <v>190801</v>
      </c>
      <c r="M8741" s="94">
        <f>VLOOKUP($Q8741,매칭테이블!$F:$I,2,0)*K8741</f>
        <v/>
      </c>
      <c r="N8741" s="94">
        <f>M8741-M8741*VLOOKUP($Q8741,매칭테이블!$F:$I,3,0)</f>
        <v/>
      </c>
      <c r="O8741" s="94">
        <f>VLOOKUP($Q8741,매칭테이블!$F:$I,4,0)*K8741</f>
        <v/>
      </c>
      <c r="P8741" s="148">
        <f>M8741/1.1</f>
        <v/>
      </c>
      <c r="Q8741" s="94">
        <f>F8741&amp;E8741&amp;G8741&amp;L8741</f>
        <v/>
      </c>
    </row>
    <row r="8742" customFormat="1" s="94">
      <c r="B8742" s="128" t="n">
        <v>44071</v>
      </c>
      <c r="C8742" s="94">
        <f>TEXT(B8742,"aaa")</f>
        <v/>
      </c>
      <c r="E8742" s="94" t="inlineStr">
        <is>
          <t>토너</t>
        </is>
      </c>
      <c r="F8742" s="5" t="inlineStr">
        <is>
          <t>스타일쉐어</t>
        </is>
      </c>
      <c r="G8742" s="94" t="inlineStr">
        <is>
          <t>250ml</t>
        </is>
      </c>
      <c r="H8742" s="7" t="n">
        <v>190801</v>
      </c>
      <c r="I8742" s="7" t="n">
        <v>190801</v>
      </c>
      <c r="K8742" s="94" t="n">
        <v>3</v>
      </c>
      <c r="L8742" s="7" t="n">
        <v>190801</v>
      </c>
      <c r="M8742" s="94">
        <f>VLOOKUP($Q8742,매칭테이블!$F:$I,2,0)*K8742</f>
        <v/>
      </c>
      <c r="N8742" s="94">
        <f>M8742-M8742*VLOOKUP($Q8742,매칭테이블!$F:$I,3,0)</f>
        <v/>
      </c>
      <c r="O8742" s="94">
        <f>VLOOKUP($Q8742,매칭테이블!$F:$I,4,0)*K8742</f>
        <v/>
      </c>
      <c r="P8742" s="148">
        <f>M8742/1.1</f>
        <v/>
      </c>
      <c r="Q8742" s="94">
        <f>F8742&amp;E8742&amp;G8742&amp;L8742</f>
        <v/>
      </c>
    </row>
    <row r="8743" customFormat="1" s="94">
      <c r="B8743" s="128" t="n">
        <v>44071</v>
      </c>
      <c r="C8743" s="94">
        <f>TEXT(B8743,"aaa")</f>
        <v/>
      </c>
      <c r="E8743" s="94" t="inlineStr">
        <is>
          <t>선크림</t>
        </is>
      </c>
      <c r="F8743" s="5" t="inlineStr">
        <is>
          <t>카페24</t>
        </is>
      </c>
      <c r="G8743" s="94" t="inlineStr">
        <is>
          <t>선크림 50ml</t>
        </is>
      </c>
      <c r="H8743" s="7" t="n">
        <v>190801</v>
      </c>
      <c r="I8743" s="7" t="n">
        <v>190801</v>
      </c>
      <c r="K8743" s="94" t="n">
        <v>4</v>
      </c>
      <c r="L8743" s="7" t="n">
        <v>190801</v>
      </c>
      <c r="M8743" s="94">
        <f>VLOOKUP($Q8743,매칭테이블!$F:$I,2,0)*K8743</f>
        <v/>
      </c>
      <c r="N8743" s="94">
        <f>M8743-M8743*VLOOKUP($Q8743,매칭테이블!$F:$I,3,0)</f>
        <v/>
      </c>
      <c r="O8743" s="94">
        <f>VLOOKUP($Q8743,매칭테이블!$F:$I,4,0)*K8743</f>
        <v/>
      </c>
      <c r="P8743" s="148">
        <f>M8743/1.1</f>
        <v/>
      </c>
      <c r="Q8743" s="94">
        <f>F8743&amp;E8743&amp;G8743&amp;L8743</f>
        <v/>
      </c>
    </row>
    <row r="8744" customFormat="1" s="94">
      <c r="B8744" s="128" t="n">
        <v>44071</v>
      </c>
      <c r="C8744" s="94">
        <f>TEXT(B8744,"aaa")</f>
        <v/>
      </c>
      <c r="E8744" s="94" t="inlineStr">
        <is>
          <t>여름 한정 진정세트</t>
        </is>
      </c>
      <c r="F8744" s="5" t="inlineStr">
        <is>
          <t>카페24</t>
        </is>
      </c>
      <c r="G8744" s="94" t="inlineStr">
        <is>
          <t>여름 한정 진정세트</t>
        </is>
      </c>
      <c r="H8744" s="7" t="n">
        <v>190801</v>
      </c>
      <c r="I8744" s="7" t="n">
        <v>190801</v>
      </c>
      <c r="K8744" s="94" t="n">
        <v>2</v>
      </c>
      <c r="L8744" s="7" t="n">
        <v>190801</v>
      </c>
      <c r="M8744" s="94">
        <f>VLOOKUP($Q8744,매칭테이블!$F:$I,2,0)*K8744</f>
        <v/>
      </c>
      <c r="N8744" s="94">
        <f>M8744-M8744*VLOOKUP($Q8744,매칭테이블!$F:$I,3,0)</f>
        <v/>
      </c>
      <c r="O8744" s="94">
        <f>VLOOKUP($Q8744,매칭테이블!$F:$I,4,0)*K8744</f>
        <v/>
      </c>
      <c r="P8744" s="148">
        <f>M8744/1.1</f>
        <v/>
      </c>
      <c r="Q8744" s="94">
        <f>F8744&amp;E8744&amp;G8744&amp;L8744</f>
        <v/>
      </c>
    </row>
    <row r="8745" customFormat="1" s="94">
      <c r="B8745" s="128" t="n">
        <v>44071</v>
      </c>
      <c r="C8745" s="94">
        <f>TEXT(B8745,"aaa")</f>
        <v/>
      </c>
      <c r="E8745" s="94" t="inlineStr">
        <is>
          <t>여름 한정 진정세트</t>
        </is>
      </c>
      <c r="F8745" s="5" t="inlineStr">
        <is>
          <t>카페24</t>
        </is>
      </c>
      <c r="G8745" s="94" t="inlineStr">
        <is>
          <t>여름 한정 진정세트 (대용량)</t>
        </is>
      </c>
      <c r="H8745" s="7" t="n">
        <v>190801</v>
      </c>
      <c r="I8745" s="7" t="n">
        <v>190801</v>
      </c>
      <c r="K8745" s="94" t="n">
        <v>4</v>
      </c>
      <c r="L8745" s="7" t="n">
        <v>190801</v>
      </c>
      <c r="M8745" s="94">
        <f>VLOOKUP($Q8745,매칭테이블!$F:$I,2,0)*K8745</f>
        <v/>
      </c>
      <c r="N8745" s="94">
        <f>M8745-M8745*VLOOKUP($Q8745,매칭테이블!$F:$I,3,0)</f>
        <v/>
      </c>
      <c r="O8745" s="94">
        <f>VLOOKUP($Q8745,매칭테이블!$F:$I,4,0)*K8745</f>
        <v/>
      </c>
      <c r="P8745" s="148">
        <f>M8745/1.1</f>
        <v/>
      </c>
      <c r="Q8745" s="94">
        <f>F8745&amp;E8745&amp;G8745&amp;L8745</f>
        <v/>
      </c>
    </row>
    <row r="8746" customFormat="1" s="94">
      <c r="B8746" s="128" t="n">
        <v>44071</v>
      </c>
      <c r="C8746" s="94">
        <f>TEXT(B8746,"aaa")</f>
        <v/>
      </c>
      <c r="E8746" s="94" t="inlineStr">
        <is>
          <t>어성초진정패키지</t>
        </is>
      </c>
      <c r="F8746" s="5" t="inlineStr">
        <is>
          <t>카페24</t>
        </is>
      </c>
      <c r="G8746" s="94" t="inlineStr">
        <is>
          <t>어성초 진정패키지세트</t>
        </is>
      </c>
      <c r="H8746" s="7" t="n">
        <v>190801</v>
      </c>
      <c r="I8746" s="7" t="n">
        <v>190801</v>
      </c>
      <c r="K8746" s="94" t="n">
        <v>3</v>
      </c>
      <c r="L8746" s="7" t="n">
        <v>190801</v>
      </c>
      <c r="M8746" s="94">
        <f>VLOOKUP($Q8746,매칭테이블!$F:$I,2,0)*K8746</f>
        <v/>
      </c>
      <c r="N8746" s="94">
        <f>M8746-M8746*VLOOKUP($Q8746,매칭테이블!$F:$I,3,0)</f>
        <v/>
      </c>
      <c r="O8746" s="94">
        <f>VLOOKUP($Q8746,매칭테이블!$F:$I,4,0)*K8746</f>
        <v/>
      </c>
      <c r="P8746" s="148">
        <f>M8746/1.1</f>
        <v/>
      </c>
      <c r="Q8746" s="94">
        <f>F8746&amp;E8746&amp;G8746&amp;L8746</f>
        <v/>
      </c>
    </row>
    <row r="8747" customFormat="1" s="94">
      <c r="B8747" s="128" t="n">
        <v>44071</v>
      </c>
      <c r="C8747" s="94">
        <f>TEXT(B8747,"aaa")</f>
        <v/>
      </c>
      <c r="E8747" s="94" t="inlineStr">
        <is>
          <t>머드크림마스크</t>
        </is>
      </c>
      <c r="F8747" s="5" t="inlineStr">
        <is>
          <t>카페24</t>
        </is>
      </c>
      <c r="G8747" s="94" t="inlineStr">
        <is>
          <t>머드크림마스크 100ml</t>
        </is>
      </c>
      <c r="H8747" s="7" t="n">
        <v>190801</v>
      </c>
      <c r="I8747" s="7" t="n">
        <v>190801</v>
      </c>
      <c r="K8747" s="94" t="n">
        <v>3</v>
      </c>
      <c r="L8747" s="7" t="n">
        <v>190801</v>
      </c>
      <c r="M8747" s="94">
        <f>VLOOKUP($Q8747,매칭테이블!$F:$I,2,0)*K8747</f>
        <v/>
      </c>
      <c r="N8747" s="94">
        <f>M8747-M8747*VLOOKUP($Q8747,매칭테이블!$F:$I,3,0)</f>
        <v/>
      </c>
      <c r="O8747" s="94">
        <f>VLOOKUP($Q8747,매칭테이블!$F:$I,4,0)*K8747</f>
        <v/>
      </c>
      <c r="P8747" s="148">
        <f>M8747/1.1</f>
        <v/>
      </c>
      <c r="Q8747" s="94">
        <f>F8747&amp;E8747&amp;G8747&amp;L8747</f>
        <v/>
      </c>
    </row>
    <row r="8748" customFormat="1" s="94">
      <c r="B8748" s="128" t="n">
        <v>44071</v>
      </c>
      <c r="C8748" s="94">
        <f>TEXT(B8748,"aaa")</f>
        <v/>
      </c>
      <c r="E8748" s="94" t="inlineStr">
        <is>
          <t>마스크팩</t>
        </is>
      </c>
      <c r="F8748" s="5" t="inlineStr">
        <is>
          <t>카페24</t>
        </is>
      </c>
      <c r="G8748" s="94" t="inlineStr">
        <is>
          <t>마스크팩 1매</t>
        </is>
      </c>
      <c r="H8748" s="7" t="n">
        <v>190801</v>
      </c>
      <c r="I8748" s="7" t="n">
        <v>190801</v>
      </c>
      <c r="K8748" s="94" t="n">
        <v>3</v>
      </c>
      <c r="L8748" s="7" t="n">
        <v>190801</v>
      </c>
      <c r="M8748" s="94">
        <f>VLOOKUP($Q8748,매칭테이블!$F:$I,2,0)*K8748</f>
        <v/>
      </c>
      <c r="N8748" s="94">
        <f>M8748-M8748*VLOOKUP($Q8748,매칭테이블!$F:$I,3,0)</f>
        <v/>
      </c>
      <c r="O8748" s="94">
        <f>VLOOKUP($Q8748,매칭테이블!$F:$I,4,0)*K8748</f>
        <v/>
      </c>
      <c r="P8748" s="148">
        <f>M8748/1.1</f>
        <v/>
      </c>
      <c r="Q8748" s="94">
        <f>F8748&amp;E8748&amp;G8748&amp;L8748</f>
        <v/>
      </c>
    </row>
    <row r="8749" customFormat="1" s="94">
      <c r="B8749" s="128" t="n">
        <v>44071</v>
      </c>
      <c r="C8749" s="94">
        <f>TEXT(B8749,"aaa")</f>
        <v/>
      </c>
      <c r="E8749" s="94" t="inlineStr">
        <is>
          <t>마스크팩</t>
        </is>
      </c>
      <c r="F8749" s="5" t="inlineStr">
        <is>
          <t>카페24</t>
        </is>
      </c>
      <c r="G8749" s="94" t="inlineStr">
        <is>
          <t>마스크팩 10매</t>
        </is>
      </c>
      <c r="H8749" s="7" t="n">
        <v>190801</v>
      </c>
      <c r="I8749" s="7" t="n">
        <v>190801</v>
      </c>
      <c r="K8749" s="94" t="n">
        <v>7</v>
      </c>
      <c r="L8749" s="7" t="n">
        <v>190801</v>
      </c>
      <c r="M8749" s="94">
        <f>VLOOKUP($Q8749,매칭테이블!$F:$I,2,0)*K8749</f>
        <v/>
      </c>
      <c r="N8749" s="94">
        <f>M8749-M8749*VLOOKUP($Q8749,매칭테이블!$F:$I,3,0)</f>
        <v/>
      </c>
      <c r="O8749" s="94">
        <f>VLOOKUP($Q8749,매칭테이블!$F:$I,4,0)*K8749</f>
        <v/>
      </c>
      <c r="P8749" s="148">
        <f>M8749/1.1</f>
        <v/>
      </c>
      <c r="Q8749" s="94">
        <f>F8749&amp;E8749&amp;G8749&amp;L8749</f>
        <v/>
      </c>
    </row>
    <row r="8750" customFormat="1" s="94">
      <c r="B8750" s="128" t="n">
        <v>44071</v>
      </c>
      <c r="C8750" s="94">
        <f>TEXT(B8750,"aaa")</f>
        <v/>
      </c>
      <c r="E8750" s="94" t="inlineStr">
        <is>
          <t>토너</t>
        </is>
      </c>
      <c r="F8750" s="5" t="inlineStr">
        <is>
          <t>카페24</t>
        </is>
      </c>
      <c r="G8750" s="94" t="inlineStr">
        <is>
          <t>250ml</t>
        </is>
      </c>
      <c r="H8750" s="7" t="n">
        <v>190801</v>
      </c>
      <c r="I8750" s="7" t="n">
        <v>190801</v>
      </c>
      <c r="K8750" s="94" t="n">
        <v>73</v>
      </c>
      <c r="L8750" s="7" t="n">
        <v>190801</v>
      </c>
      <c r="M8750" s="94">
        <f>VLOOKUP($Q8750,매칭테이블!$F:$I,2,0)*K8750</f>
        <v/>
      </c>
      <c r="N8750" s="94">
        <f>M8750-M8750*VLOOKUP($Q8750,매칭테이블!$F:$I,3,0)</f>
        <v/>
      </c>
      <c r="O8750" s="94">
        <f>VLOOKUP($Q8750,매칭테이블!$F:$I,4,0)*K8750</f>
        <v/>
      </c>
      <c r="P8750" s="148">
        <f>M8750/1.1</f>
        <v/>
      </c>
      <c r="Q8750" s="94">
        <f>F8750&amp;E8750&amp;G8750&amp;L8750</f>
        <v/>
      </c>
    </row>
    <row r="8751" customFormat="1" s="94">
      <c r="B8751" s="128" t="n">
        <v>44071</v>
      </c>
      <c r="C8751" s="94">
        <f>TEXT(B8751,"aaa")</f>
        <v/>
      </c>
      <c r="E8751" s="94" t="inlineStr">
        <is>
          <t>토너</t>
        </is>
      </c>
      <c r="F8751" s="5" t="inlineStr">
        <is>
          <t>카페24</t>
        </is>
      </c>
      <c r="G8751" s="94" t="inlineStr">
        <is>
          <t>250ml 2set</t>
        </is>
      </c>
      <c r="H8751" s="7" t="n">
        <v>190801</v>
      </c>
      <c r="I8751" s="7" t="n">
        <v>190801</v>
      </c>
      <c r="K8751" s="94" t="n">
        <v>61</v>
      </c>
      <c r="L8751" s="7" t="n">
        <v>190801</v>
      </c>
      <c r="M8751" s="94">
        <f>VLOOKUP($Q8751,매칭테이블!$F:$I,2,0)*K8751</f>
        <v/>
      </c>
      <c r="N8751" s="94">
        <f>M8751-M8751*VLOOKUP($Q8751,매칭테이블!$F:$I,3,0)</f>
        <v/>
      </c>
      <c r="O8751" s="94">
        <f>VLOOKUP($Q8751,매칭테이블!$F:$I,4,0)*K8751</f>
        <v/>
      </c>
      <c r="P8751" s="148">
        <f>M8751/1.1</f>
        <v/>
      </c>
      <c r="Q8751" s="94">
        <f>F8751&amp;E8751&amp;G8751&amp;L8751</f>
        <v/>
      </c>
    </row>
    <row r="8752" customFormat="1" s="94">
      <c r="B8752" s="128" t="n">
        <v>44071</v>
      </c>
      <c r="C8752" s="94">
        <f>TEXT(B8752,"aaa")</f>
        <v/>
      </c>
      <c r="E8752" s="94" t="inlineStr">
        <is>
          <t>토너</t>
        </is>
      </c>
      <c r="F8752" s="5" t="inlineStr">
        <is>
          <t>카페24</t>
        </is>
      </c>
      <c r="G8752" s="94" t="inlineStr">
        <is>
          <t>500ml</t>
        </is>
      </c>
      <c r="H8752" s="7" t="n">
        <v>190801</v>
      </c>
      <c r="I8752" s="7" t="n">
        <v>190801</v>
      </c>
      <c r="K8752" s="94" t="n">
        <v>64</v>
      </c>
      <c r="L8752" s="7" t="n">
        <v>190801</v>
      </c>
      <c r="M8752" s="94">
        <f>VLOOKUP($Q8752,매칭테이블!$F:$I,2,0)*K8752</f>
        <v/>
      </c>
      <c r="N8752" s="94">
        <f>M8752-M8752*VLOOKUP($Q8752,매칭테이블!$F:$I,3,0)</f>
        <v/>
      </c>
      <c r="O8752" s="94">
        <f>VLOOKUP($Q8752,매칭테이블!$F:$I,4,0)*K8752</f>
        <v/>
      </c>
      <c r="P8752" s="148">
        <f>M8752/1.1</f>
        <v/>
      </c>
      <c r="Q8752" s="94">
        <f>F8752&amp;E8752&amp;G8752&amp;L8752</f>
        <v/>
      </c>
    </row>
    <row r="8753" customFormat="1" s="94">
      <c r="B8753" s="128" t="n">
        <v>44071</v>
      </c>
      <c r="C8753" s="94">
        <f>TEXT(B8753,"aaa")</f>
        <v/>
      </c>
      <c r="E8753" s="94" t="inlineStr">
        <is>
          <t>토너</t>
        </is>
      </c>
      <c r="F8753" s="5" t="inlineStr">
        <is>
          <t>카페24</t>
        </is>
      </c>
      <c r="G8753" s="94" t="inlineStr">
        <is>
          <t>스킨팩 화장솜 60P</t>
        </is>
      </c>
      <c r="H8753" s="7" t="n">
        <v>190801</v>
      </c>
      <c r="I8753" s="7" t="n">
        <v>190801</v>
      </c>
      <c r="K8753" s="94" t="n">
        <v>51</v>
      </c>
      <c r="L8753" s="7" t="n">
        <v>190801</v>
      </c>
      <c r="M8753" s="94">
        <f>VLOOKUP($Q8753,매칭테이블!$F:$I,2,0)*K8753</f>
        <v/>
      </c>
      <c r="N8753" s="94">
        <f>M8753-M8753*VLOOKUP($Q8753,매칭테이블!$F:$I,3,0)</f>
        <v/>
      </c>
      <c r="O8753" s="94">
        <f>VLOOKUP($Q8753,매칭테이블!$F:$I,4,0)*K8753</f>
        <v/>
      </c>
      <c r="P8753" s="148">
        <f>M8753/1.1</f>
        <v/>
      </c>
      <c r="Q8753" s="94">
        <f>F8753&amp;E8753&amp;G8753&amp;L8753</f>
        <v/>
      </c>
    </row>
    <row r="8754" customFormat="1" s="94">
      <c r="B8754" s="128" t="n">
        <v>44071</v>
      </c>
      <c r="C8754" s="94">
        <f>TEXT(B8754,"aaa")</f>
        <v/>
      </c>
      <c r="E8754" s="94" t="inlineStr">
        <is>
          <t>앰플</t>
        </is>
      </c>
      <c r="F8754" s="5" t="inlineStr">
        <is>
          <t>카페24</t>
        </is>
      </c>
      <c r="G8754" s="94" t="inlineStr">
        <is>
          <t>앰플 30ml</t>
        </is>
      </c>
      <c r="H8754" s="7" t="n">
        <v>190801</v>
      </c>
      <c r="I8754" s="7" t="n">
        <v>190801</v>
      </c>
      <c r="K8754" s="94" t="n">
        <v>15</v>
      </c>
      <c r="L8754" s="7" t="n">
        <v>190801</v>
      </c>
      <c r="M8754" s="94">
        <f>VLOOKUP($Q8754,매칭테이블!$F:$I,2,0)*K8754</f>
        <v/>
      </c>
      <c r="N8754" s="94">
        <f>M8754-M8754*VLOOKUP($Q8754,매칭테이블!$F:$I,3,0)</f>
        <v/>
      </c>
      <c r="O8754" s="94">
        <f>VLOOKUP($Q8754,매칭테이블!$F:$I,4,0)*K8754</f>
        <v/>
      </c>
      <c r="P8754" s="148">
        <f>M8754/1.1</f>
        <v/>
      </c>
      <c r="Q8754" s="94">
        <f>F8754&amp;E8754&amp;G8754&amp;L8754</f>
        <v/>
      </c>
    </row>
    <row r="8755" customFormat="1" s="94">
      <c r="B8755" s="128" t="n">
        <v>44071</v>
      </c>
      <c r="C8755" s="94">
        <f>TEXT(B8755,"aaa")</f>
        <v/>
      </c>
      <c r="E8755" s="94" t="inlineStr">
        <is>
          <t>앰플</t>
        </is>
      </c>
      <c r="F8755" s="5" t="inlineStr">
        <is>
          <t>카페24</t>
        </is>
      </c>
      <c r="G8755" s="94" t="inlineStr">
        <is>
          <t>앰플 30ml  2set</t>
        </is>
      </c>
      <c r="H8755" s="7" t="n">
        <v>190801</v>
      </c>
      <c r="I8755" s="7" t="n">
        <v>190801</v>
      </c>
      <c r="K8755" s="94" t="n">
        <v>3</v>
      </c>
      <c r="L8755" s="7" t="n">
        <v>190801</v>
      </c>
      <c r="M8755" s="94">
        <f>VLOOKUP($Q8755,매칭테이블!$F:$I,2,0)*K8755</f>
        <v/>
      </c>
      <c r="N8755" s="94">
        <f>M8755-M8755*VLOOKUP($Q8755,매칭테이블!$F:$I,3,0)</f>
        <v/>
      </c>
      <c r="O8755" s="94">
        <f>VLOOKUP($Q8755,매칭테이블!$F:$I,4,0)*K8755</f>
        <v/>
      </c>
      <c r="P8755" s="148">
        <f>M8755/1.1</f>
        <v/>
      </c>
      <c r="Q8755" s="94">
        <f>F8755&amp;E8755&amp;G8755&amp;L8755</f>
        <v/>
      </c>
    </row>
    <row r="8756" customFormat="1" s="94">
      <c r="B8756" s="128" t="n">
        <v>44071</v>
      </c>
      <c r="C8756" s="94">
        <f>TEXT(B8756,"aaa")</f>
        <v/>
      </c>
      <c r="E8756" s="94" t="inlineStr">
        <is>
          <t>수딩크림</t>
        </is>
      </c>
      <c r="F8756" s="5" t="inlineStr">
        <is>
          <t>카페24</t>
        </is>
      </c>
      <c r="G8756" s="94" t="inlineStr">
        <is>
          <t>수딩크림 100ml</t>
        </is>
      </c>
      <c r="H8756" s="7" t="n">
        <v>190801</v>
      </c>
      <c r="I8756" s="7" t="n">
        <v>190801</v>
      </c>
      <c r="K8756" s="94" t="n">
        <v>3</v>
      </c>
      <c r="L8756" s="7" t="n">
        <v>190801</v>
      </c>
      <c r="M8756" s="94">
        <f>VLOOKUP($Q8756,매칭테이블!$F:$I,2,0)*K8756</f>
        <v/>
      </c>
      <c r="N8756" s="94">
        <f>M8756-M8756*VLOOKUP($Q8756,매칭테이블!$F:$I,3,0)</f>
        <v/>
      </c>
      <c r="O8756" s="94">
        <f>VLOOKUP($Q8756,매칭테이블!$F:$I,4,0)*K8756</f>
        <v/>
      </c>
      <c r="P8756" s="148">
        <f>M8756/1.1</f>
        <v/>
      </c>
      <c r="Q8756" s="94">
        <f>F8756&amp;E8756&amp;G8756&amp;L8756</f>
        <v/>
      </c>
    </row>
    <row r="8757" customFormat="1" s="94">
      <c r="B8757" s="128" t="n">
        <v>44071</v>
      </c>
      <c r="C8757" s="94">
        <f>TEXT(B8757,"aaa")</f>
        <v/>
      </c>
      <c r="E8757" s="94" t="inlineStr">
        <is>
          <t>클렌징폼</t>
        </is>
      </c>
      <c r="F8757" s="5" t="inlineStr">
        <is>
          <t>카페24</t>
        </is>
      </c>
      <c r="G8757" s="94" t="inlineStr">
        <is>
          <t>클렌징폼 120ml</t>
        </is>
      </c>
      <c r="H8757" s="7" t="n">
        <v>190801</v>
      </c>
      <c r="I8757" s="7" t="n">
        <v>190801</v>
      </c>
      <c r="K8757" s="94" t="n">
        <v>11</v>
      </c>
      <c r="L8757" s="7" t="n">
        <v>190801</v>
      </c>
      <c r="M8757" s="94">
        <f>VLOOKUP($Q8757,매칭테이블!$F:$I,2,0)*K8757</f>
        <v/>
      </c>
      <c r="N8757" s="94">
        <f>M8757-M8757*VLOOKUP($Q8757,매칭테이블!$F:$I,3,0)</f>
        <v/>
      </c>
      <c r="O8757" s="94">
        <f>VLOOKUP($Q8757,매칭테이블!$F:$I,4,0)*K8757</f>
        <v/>
      </c>
      <c r="P8757" s="148">
        <f>M8757/1.1</f>
        <v/>
      </c>
      <c r="Q8757" s="94">
        <f>F8757&amp;E8757&amp;G8757&amp;L8757</f>
        <v/>
      </c>
    </row>
    <row r="8758" customFormat="1" s="94">
      <c r="B8758" s="128" t="n">
        <v>44071</v>
      </c>
      <c r="C8758" s="94">
        <f>TEXT(B8758,"aaa")</f>
        <v/>
      </c>
      <c r="E8758" s="94" t="inlineStr">
        <is>
          <t>클렌징폼</t>
        </is>
      </c>
      <c r="F8758" s="5" t="inlineStr">
        <is>
          <t>카페24</t>
        </is>
      </c>
      <c r="G8758" s="94" t="inlineStr">
        <is>
          <t>클렌징폼 120ml 2set</t>
        </is>
      </c>
      <c r="H8758" s="7" t="n">
        <v>190801</v>
      </c>
      <c r="I8758" s="7" t="n">
        <v>190801</v>
      </c>
      <c r="K8758" s="94" t="n">
        <v>3</v>
      </c>
      <c r="L8758" s="7" t="n">
        <v>190801</v>
      </c>
      <c r="M8758" s="94">
        <f>VLOOKUP($Q8758,매칭테이블!$F:$I,2,0)*K8758</f>
        <v/>
      </c>
      <c r="N8758" s="94">
        <f>M8758-M8758*VLOOKUP($Q8758,매칭테이블!$F:$I,3,0)</f>
        <v/>
      </c>
      <c r="O8758" s="94">
        <f>VLOOKUP($Q8758,매칭테이블!$F:$I,4,0)*K8758</f>
        <v/>
      </c>
      <c r="P8758" s="148">
        <f>M8758/1.1</f>
        <v/>
      </c>
      <c r="Q8758" s="94">
        <f>F8758&amp;E8758&amp;G8758&amp;L8758</f>
        <v/>
      </c>
    </row>
    <row r="8759" customFormat="1" s="94">
      <c r="B8759" s="128" t="n">
        <v>44071</v>
      </c>
      <c r="C8759" s="94">
        <f>TEXT(B8759,"aaa")</f>
        <v/>
      </c>
      <c r="E8759" s="94" t="inlineStr">
        <is>
          <t>클렌징폼</t>
        </is>
      </c>
      <c r="F8759" s="5" t="inlineStr">
        <is>
          <t>카페24</t>
        </is>
      </c>
      <c r="G8759" s="94" t="inlineStr">
        <is>
          <t>클렌징폼 120ml 3set</t>
        </is>
      </c>
      <c r="H8759" s="7" t="n">
        <v>190801</v>
      </c>
      <c r="I8759" s="7" t="n">
        <v>190801</v>
      </c>
      <c r="K8759" s="94" t="n">
        <v>2</v>
      </c>
      <c r="L8759" s="7" t="n">
        <v>190801</v>
      </c>
      <c r="M8759" s="94">
        <f>VLOOKUP($Q8759,매칭테이블!$F:$I,2,0)*K8759</f>
        <v/>
      </c>
      <c r="N8759" s="94">
        <f>M8759-M8759*VLOOKUP($Q8759,매칭테이블!$F:$I,3,0)</f>
        <v/>
      </c>
      <c r="O8759" s="94">
        <f>VLOOKUP($Q8759,매칭테이블!$F:$I,4,0)*K8759</f>
        <v/>
      </c>
      <c r="P8759" s="148">
        <f>M8759/1.1</f>
        <v/>
      </c>
      <c r="Q8759" s="94">
        <f>F8759&amp;E8759&amp;G8759&amp;L8759</f>
        <v/>
      </c>
    </row>
    <row r="8760" customFormat="1" s="94">
      <c r="B8760" s="128" t="n">
        <v>44071</v>
      </c>
      <c r="C8760" s="94">
        <f>TEXT(B8760,"aaa")</f>
        <v/>
      </c>
      <c r="E8760" s="94" t="inlineStr">
        <is>
          <t>토너</t>
        </is>
      </c>
      <c r="F8760" s="5" t="inlineStr">
        <is>
          <t>아누아 CS</t>
        </is>
      </c>
      <c r="G8760" s="94" t="inlineStr">
        <is>
          <t>250ml</t>
        </is>
      </c>
      <c r="H8760" s="7" t="n">
        <v>190801</v>
      </c>
      <c r="I8760" s="7" t="n">
        <v>190801</v>
      </c>
      <c r="K8760" s="94" t="n">
        <v>21</v>
      </c>
      <c r="L8760" s="7" t="n">
        <v>190801</v>
      </c>
      <c r="M8760" s="94">
        <f>VLOOKUP($Q8760,매칭테이블!$F:$I,2,0)*K8760</f>
        <v/>
      </c>
      <c r="N8760" s="94">
        <f>M8760-M8760*VLOOKUP($Q8760,매칭테이블!$F:$I,3,0)</f>
        <v/>
      </c>
      <c r="O8760" s="94">
        <f>VLOOKUP($Q8760,매칭테이블!$F:$I,4,0)*K8760</f>
        <v/>
      </c>
      <c r="P8760" s="148">
        <f>M8760/1.1</f>
        <v/>
      </c>
      <c r="Q8760" s="94">
        <f>F8760&amp;E8760&amp;G8760&amp;L8760</f>
        <v/>
      </c>
    </row>
    <row r="8761" customFormat="1" s="94">
      <c r="B8761" s="128" t="n">
        <v>44071</v>
      </c>
      <c r="C8761" s="94">
        <f>TEXT(B8761,"aaa")</f>
        <v/>
      </c>
      <c r="E8761" s="94" t="inlineStr">
        <is>
          <t>앰플</t>
        </is>
      </c>
      <c r="F8761" s="5" t="inlineStr">
        <is>
          <t>아누아 CS</t>
        </is>
      </c>
      <c r="G8761" s="94" t="inlineStr">
        <is>
          <t>앰플 30ml</t>
        </is>
      </c>
      <c r="H8761" s="7" t="n">
        <v>190801</v>
      </c>
      <c r="I8761" s="7" t="n">
        <v>190801</v>
      </c>
      <c r="K8761" s="94" t="n">
        <v>35</v>
      </c>
      <c r="L8761" s="7" t="n">
        <v>190801</v>
      </c>
      <c r="M8761" s="94">
        <f>VLOOKUP($Q8761,매칭테이블!$F:$I,2,0)*K8761</f>
        <v/>
      </c>
      <c r="N8761" s="94">
        <f>M8761-M8761*VLOOKUP($Q8761,매칭테이블!$F:$I,3,0)</f>
        <v/>
      </c>
      <c r="O8761" s="94">
        <f>VLOOKUP($Q8761,매칭테이블!$F:$I,4,0)*K8761</f>
        <v/>
      </c>
      <c r="P8761" s="148">
        <f>M8761/1.1</f>
        <v/>
      </c>
      <c r="Q8761" s="94">
        <f>F8761&amp;E8761&amp;G8761&amp;L8761</f>
        <v/>
      </c>
    </row>
    <row r="8762" customFormat="1" s="94">
      <c r="B8762" s="128" t="n">
        <v>44071</v>
      </c>
      <c r="C8762" s="94">
        <f>TEXT(B8762,"aaa")</f>
        <v/>
      </c>
      <c r="E8762" s="94" t="inlineStr">
        <is>
          <t>마스크팩</t>
        </is>
      </c>
      <c r="F8762" s="5" t="inlineStr">
        <is>
          <t>아누아 CS</t>
        </is>
      </c>
      <c r="G8762" s="94" t="inlineStr">
        <is>
          <t>마스크팩 10매</t>
        </is>
      </c>
      <c r="H8762" s="7" t="n">
        <v>190801</v>
      </c>
      <c r="I8762" s="7" t="n">
        <v>190801</v>
      </c>
      <c r="K8762" s="94" t="n">
        <v>20</v>
      </c>
      <c r="L8762" s="7" t="n">
        <v>190801</v>
      </c>
      <c r="M8762" s="94">
        <f>VLOOKUP($Q8762,매칭테이블!$F:$I,2,0)*K8762</f>
        <v/>
      </c>
      <c r="N8762" s="94">
        <f>M8762-M8762*VLOOKUP($Q8762,매칭테이블!$F:$I,3,0)</f>
        <v/>
      </c>
      <c r="O8762" s="94">
        <f>VLOOKUP($Q8762,매칭테이블!$F:$I,4,0)*K8762</f>
        <v/>
      </c>
      <c r="P8762" s="148">
        <f>M8762/1.1</f>
        <v/>
      </c>
      <c r="Q8762" s="94">
        <f>F8762&amp;E8762&amp;G8762&amp;L8762</f>
        <v/>
      </c>
    </row>
    <row r="8763" customFormat="1" s="94">
      <c r="B8763" s="128" t="n">
        <v>44071</v>
      </c>
      <c r="C8763" s="94">
        <f>TEXT(B8763,"aaa")</f>
        <v/>
      </c>
      <c r="E8763" s="94" t="inlineStr">
        <is>
          <t>선크림</t>
        </is>
      </c>
      <c r="F8763" s="5" t="inlineStr">
        <is>
          <t>아누아 CS</t>
        </is>
      </c>
      <c r="G8763" s="94" t="inlineStr">
        <is>
          <t>선크림 50ml</t>
        </is>
      </c>
      <c r="H8763" s="7" t="n">
        <v>190801</v>
      </c>
      <c r="I8763" s="7" t="n">
        <v>190801</v>
      </c>
      <c r="K8763" s="94" t="n">
        <v>20</v>
      </c>
      <c r="L8763" s="7" t="n">
        <v>190801</v>
      </c>
      <c r="M8763" s="94">
        <f>VLOOKUP($Q8763,매칭테이블!$F:$I,2,0)*K8763</f>
        <v/>
      </c>
      <c r="N8763" s="94">
        <f>M8763-M8763*VLOOKUP($Q8763,매칭테이블!$F:$I,3,0)</f>
        <v/>
      </c>
      <c r="O8763" s="94">
        <f>VLOOKUP($Q8763,매칭테이블!$F:$I,4,0)*K8763</f>
        <v/>
      </c>
      <c r="P8763" s="148">
        <f>M8763/1.1</f>
        <v/>
      </c>
      <c r="Q8763" s="94">
        <f>F8763&amp;E8763&amp;G8763&amp;L8763</f>
        <v/>
      </c>
    </row>
    <row r="8764" customFormat="1" s="94">
      <c r="B8764" s="128" t="n">
        <v>44071</v>
      </c>
      <c r="C8764" s="94">
        <f>TEXT(B8764,"aaa")</f>
        <v/>
      </c>
      <c r="E8764" s="94" t="inlineStr">
        <is>
          <t>수딩크림</t>
        </is>
      </c>
      <c r="F8764" s="5" t="inlineStr">
        <is>
          <t>아누아 CS</t>
        </is>
      </c>
      <c r="G8764" s="94" t="inlineStr">
        <is>
          <t>수딩크림 100ml</t>
        </is>
      </c>
      <c r="H8764" s="7" t="n">
        <v>190801</v>
      </c>
      <c r="I8764" s="7" t="n">
        <v>190801</v>
      </c>
      <c r="K8764" s="94" t="n">
        <v>20</v>
      </c>
      <c r="L8764" s="7" t="n">
        <v>190801</v>
      </c>
      <c r="M8764" s="94">
        <f>VLOOKUP($Q8764,매칭테이블!$F:$I,2,0)*K8764</f>
        <v/>
      </c>
      <c r="N8764" s="94">
        <f>M8764-M8764*VLOOKUP($Q8764,매칭테이블!$F:$I,3,0)</f>
        <v/>
      </c>
      <c r="O8764" s="94">
        <f>VLOOKUP($Q8764,매칭테이블!$F:$I,4,0)*K8764</f>
        <v/>
      </c>
      <c r="P8764" s="148">
        <f>M8764/1.1</f>
        <v/>
      </c>
      <c r="Q8764" s="94">
        <f>F8764&amp;E8764&amp;G8764&amp;L8764</f>
        <v/>
      </c>
    </row>
    <row r="8765" customFormat="1" s="94">
      <c r="B8765" s="128" t="n">
        <v>44071</v>
      </c>
      <c r="C8765" s="94">
        <f>TEXT(B8765,"aaa")</f>
        <v/>
      </c>
      <c r="E8765" s="94" t="inlineStr">
        <is>
          <t>클렌징폼</t>
        </is>
      </c>
      <c r="F8765" s="5" t="inlineStr">
        <is>
          <t>아누아 CS</t>
        </is>
      </c>
      <c r="G8765" s="94" t="inlineStr">
        <is>
          <t>클렌징폼 120ml</t>
        </is>
      </c>
      <c r="H8765" s="7" t="n">
        <v>190801</v>
      </c>
      <c r="I8765" s="7" t="n">
        <v>190801</v>
      </c>
      <c r="K8765" s="94" t="n">
        <v>20</v>
      </c>
      <c r="L8765" s="7" t="n">
        <v>190801</v>
      </c>
      <c r="M8765" s="94">
        <f>VLOOKUP($Q8765,매칭테이블!$F:$I,2,0)*K8765</f>
        <v/>
      </c>
      <c r="N8765" s="94">
        <f>M8765-M8765*VLOOKUP($Q8765,매칭테이블!$F:$I,3,0)</f>
        <v/>
      </c>
      <c r="O8765" s="94">
        <f>VLOOKUP($Q8765,매칭테이블!$F:$I,4,0)*K8765</f>
        <v/>
      </c>
      <c r="P8765" s="148">
        <f>M8765/1.1</f>
        <v/>
      </c>
      <c r="Q8765" s="94">
        <f>F8765&amp;E8765&amp;G8765&amp;L8765</f>
        <v/>
      </c>
    </row>
    <row r="8766" customFormat="1" s="94">
      <c r="B8766" s="128" t="n">
        <v>44071</v>
      </c>
      <c r="C8766" s="94">
        <f>TEXT(B8766,"aaa")</f>
        <v/>
      </c>
      <c r="E8766" s="94" t="inlineStr">
        <is>
          <t>머드크림마스크</t>
        </is>
      </c>
      <c r="F8766" s="5" t="inlineStr">
        <is>
          <t>아누아 CS</t>
        </is>
      </c>
      <c r="G8766" s="94" t="inlineStr">
        <is>
          <t>머드크림마스크 100ml</t>
        </is>
      </c>
      <c r="H8766" s="7" t="n">
        <v>190801</v>
      </c>
      <c r="I8766" s="7" t="n">
        <v>190801</v>
      </c>
      <c r="K8766" s="94" t="n">
        <v>20</v>
      </c>
      <c r="L8766" s="7" t="n">
        <v>190801</v>
      </c>
      <c r="M8766" s="94">
        <f>VLOOKUP($Q8766,매칭테이블!$F:$I,2,0)*K8766</f>
        <v/>
      </c>
      <c r="N8766" s="94">
        <f>M8766-M8766*VLOOKUP($Q8766,매칭테이블!$F:$I,3,0)</f>
        <v/>
      </c>
      <c r="O8766" s="94">
        <f>VLOOKUP($Q8766,매칭테이블!$F:$I,4,0)*K8766</f>
        <v/>
      </c>
      <c r="P8766" s="148">
        <f>M8766/1.1</f>
        <v/>
      </c>
      <c r="Q8766" s="94">
        <f>F8766&amp;E8766&amp;G8766&amp;L8766</f>
        <v/>
      </c>
    </row>
    <row r="8767" customFormat="1" s="94">
      <c r="B8767" s="128" t="n">
        <v>44071</v>
      </c>
      <c r="C8767" s="94">
        <f>TEXT(B8767,"aaa")</f>
        <v/>
      </c>
      <c r="E8767" s="94" t="inlineStr">
        <is>
          <t>토너</t>
        </is>
      </c>
      <c r="F8767" s="5" t="inlineStr">
        <is>
          <t>큐텐재팬</t>
        </is>
      </c>
      <c r="G8767" s="94" t="inlineStr">
        <is>
          <t>200726=250ml</t>
        </is>
      </c>
      <c r="H8767" s="7" t="n">
        <v>190801</v>
      </c>
      <c r="I8767" s="7" t="n">
        <v>190801</v>
      </c>
      <c r="K8767" s="94" t="n">
        <v>4</v>
      </c>
      <c r="L8767" s="7" t="n">
        <v>190801</v>
      </c>
      <c r="M8767" s="94">
        <f>VLOOKUP($Q8767,매칭테이블!$F:$I,2,0)*K8767</f>
        <v/>
      </c>
      <c r="N8767" s="94">
        <f>M8767-M8767*VLOOKUP($Q8767,매칭테이블!$F:$I,3,0)</f>
        <v/>
      </c>
      <c r="O8767" s="94">
        <f>VLOOKUP($Q8767,매칭테이블!$F:$I,4,0)*K8767</f>
        <v/>
      </c>
      <c r="P8767" s="148">
        <f>M8767/1.1</f>
        <v/>
      </c>
      <c r="Q8767" s="94">
        <f>F8767&amp;E8767&amp;G8767&amp;L8767</f>
        <v/>
      </c>
    </row>
    <row r="8768" customFormat="1" s="94">
      <c r="B8768" s="128" t="n">
        <v>44071</v>
      </c>
      <c r="C8768" s="94">
        <f>TEXT(B8768,"aaa")</f>
        <v/>
      </c>
      <c r="E8768" s="94" t="inlineStr">
        <is>
          <t>토너</t>
        </is>
      </c>
      <c r="F8768" s="5" t="inlineStr">
        <is>
          <t>큐텐재팬</t>
        </is>
      </c>
      <c r="G8768" s="94" t="inlineStr">
        <is>
          <t>200726=250ml 2set</t>
        </is>
      </c>
      <c r="H8768" s="7" t="n">
        <v>190801</v>
      </c>
      <c r="I8768" s="7" t="n">
        <v>190801</v>
      </c>
      <c r="K8768" s="94" t="n">
        <v>2</v>
      </c>
      <c r="L8768" s="7" t="n">
        <v>190801</v>
      </c>
      <c r="M8768" s="94">
        <f>VLOOKUP($Q8768,매칭테이블!$F:$I,2,0)*K8768</f>
        <v/>
      </c>
      <c r="N8768" s="94">
        <f>M8768-M8768*VLOOKUP($Q8768,매칭테이블!$F:$I,3,0)</f>
        <v/>
      </c>
      <c r="O8768" s="94">
        <f>VLOOKUP($Q8768,매칭테이블!$F:$I,4,0)*K8768</f>
        <v/>
      </c>
      <c r="P8768" s="148">
        <f>M8768/1.1</f>
        <v/>
      </c>
      <c r="Q8768" s="94">
        <f>F8768&amp;E8768&amp;G8768&amp;L8768</f>
        <v/>
      </c>
    </row>
    <row r="8769" customFormat="1" s="94">
      <c r="B8769" s="128" t="n">
        <v>44072</v>
      </c>
      <c r="C8769" s="94">
        <f>TEXT(B8769,"aaa")</f>
        <v/>
      </c>
      <c r="E8769" s="94" t="inlineStr">
        <is>
          <t>토너</t>
        </is>
      </c>
      <c r="F8769" s="5" t="inlineStr">
        <is>
          <t>스타일쉐어</t>
        </is>
      </c>
      <c r="G8769" s="94" t="inlineStr">
        <is>
          <t>250ml</t>
        </is>
      </c>
      <c r="H8769" s="7" t="n">
        <v>190801</v>
      </c>
      <c r="I8769" s="7" t="n">
        <v>190801</v>
      </c>
      <c r="K8769" s="94" t="n">
        <v>4</v>
      </c>
      <c r="L8769" s="7" t="n">
        <v>190801</v>
      </c>
      <c r="M8769" s="94">
        <f>VLOOKUP($Q8769,매칭테이블!$F:$I,2,0)*K8769</f>
        <v/>
      </c>
      <c r="N8769" s="94">
        <f>M8769-M8769*VLOOKUP($Q8769,매칭테이블!$F:$I,3,0)</f>
        <v/>
      </c>
      <c r="O8769" s="94">
        <f>VLOOKUP($Q8769,매칭테이블!$F:$I,4,0)*K8769</f>
        <v/>
      </c>
      <c r="P8769" s="148">
        <f>M8769/1.1</f>
        <v/>
      </c>
      <c r="Q8769" s="94">
        <f>F8769&amp;E8769&amp;G8769&amp;L8769</f>
        <v/>
      </c>
    </row>
    <row r="8770" customFormat="1" s="94">
      <c r="B8770" s="128" t="n">
        <v>44072</v>
      </c>
      <c r="C8770" s="94">
        <f>TEXT(B8770,"aaa")</f>
        <v/>
      </c>
      <c r="E8770" s="94" t="inlineStr">
        <is>
          <t>선크림</t>
        </is>
      </c>
      <c r="F8770" s="5" t="inlineStr">
        <is>
          <t>카페24</t>
        </is>
      </c>
      <c r="G8770" s="94" t="inlineStr">
        <is>
          <t>선크림 50ml</t>
        </is>
      </c>
      <c r="H8770" s="7" t="n">
        <v>190801</v>
      </c>
      <c r="I8770" s="7" t="n">
        <v>190801</v>
      </c>
      <c r="K8770" s="94" t="n">
        <v>1</v>
      </c>
      <c r="L8770" s="7" t="n">
        <v>190801</v>
      </c>
      <c r="M8770" s="94">
        <f>VLOOKUP($Q8770,매칭테이블!$F:$I,2,0)*K8770</f>
        <v/>
      </c>
      <c r="N8770" s="94">
        <f>M8770-M8770*VLOOKUP($Q8770,매칭테이블!$F:$I,3,0)</f>
        <v/>
      </c>
      <c r="O8770" s="94">
        <f>VLOOKUP($Q8770,매칭테이블!$F:$I,4,0)*K8770</f>
        <v/>
      </c>
      <c r="P8770" s="148">
        <f>M8770/1.1</f>
        <v/>
      </c>
      <c r="Q8770" s="94">
        <f>F8770&amp;E8770&amp;G8770&amp;L8770</f>
        <v/>
      </c>
    </row>
    <row r="8771" customFormat="1" s="94">
      <c r="B8771" s="128" t="n">
        <v>44072</v>
      </c>
      <c r="C8771" s="94">
        <f>TEXT(B8771,"aaa")</f>
        <v/>
      </c>
      <c r="E8771" s="94" t="inlineStr">
        <is>
          <t>선크림</t>
        </is>
      </c>
      <c r="F8771" s="5" t="inlineStr">
        <is>
          <t>카페24</t>
        </is>
      </c>
      <c r="G8771" s="94" t="inlineStr">
        <is>
          <t>선크림 50ml  2set</t>
        </is>
      </c>
      <c r="H8771" s="7" t="n">
        <v>190801</v>
      </c>
      <c r="I8771" s="7" t="n">
        <v>190801</v>
      </c>
      <c r="K8771" s="94" t="n">
        <v>1</v>
      </c>
      <c r="L8771" s="7" t="n">
        <v>190801</v>
      </c>
      <c r="M8771" s="94">
        <f>VLOOKUP($Q8771,매칭테이블!$F:$I,2,0)*K8771</f>
        <v/>
      </c>
      <c r="N8771" s="94">
        <f>M8771-M8771*VLOOKUP($Q8771,매칭테이블!$F:$I,3,0)</f>
        <v/>
      </c>
      <c r="O8771" s="94">
        <f>VLOOKUP($Q8771,매칭테이블!$F:$I,4,0)*K8771</f>
        <v/>
      </c>
      <c r="P8771" s="148">
        <f>M8771/1.1</f>
        <v/>
      </c>
      <c r="Q8771" s="94">
        <f>F8771&amp;E8771&amp;G8771&amp;L8771</f>
        <v/>
      </c>
    </row>
    <row r="8772" customFormat="1" s="94">
      <c r="B8772" s="128" t="n">
        <v>44072</v>
      </c>
      <c r="C8772" s="94">
        <f>TEXT(B8772,"aaa")</f>
        <v/>
      </c>
      <c r="E8772" s="94" t="inlineStr">
        <is>
          <t>클렌징폼</t>
        </is>
      </c>
      <c r="F8772" s="5" t="inlineStr">
        <is>
          <t>카페24</t>
        </is>
      </c>
      <c r="G8772" s="94" t="inlineStr">
        <is>
          <t>클렌징폼 120ml(선크림할인)</t>
        </is>
      </c>
      <c r="H8772" s="7" t="n">
        <v>190801</v>
      </c>
      <c r="I8772" s="7" t="n">
        <v>190801</v>
      </c>
      <c r="K8772" s="94" t="n">
        <v>1</v>
      </c>
      <c r="L8772" s="7" t="n">
        <v>190801</v>
      </c>
      <c r="M8772" s="94">
        <f>VLOOKUP($Q8772,매칭테이블!$F:$I,2,0)*K8772</f>
        <v/>
      </c>
      <c r="N8772" s="94">
        <f>M8772-M8772*VLOOKUP($Q8772,매칭테이블!$F:$I,3,0)</f>
        <v/>
      </c>
      <c r="O8772" s="94">
        <f>VLOOKUP($Q8772,매칭테이블!$F:$I,4,0)*K8772</f>
        <v/>
      </c>
      <c r="P8772" s="148">
        <f>M8772/1.1</f>
        <v/>
      </c>
      <c r="Q8772" s="94">
        <f>F8772&amp;E8772&amp;G8772&amp;L8772</f>
        <v/>
      </c>
    </row>
    <row r="8773" customFormat="1" s="94">
      <c r="B8773" s="128" t="n">
        <v>44072</v>
      </c>
      <c r="C8773" s="94">
        <f>TEXT(B8773,"aaa")</f>
        <v/>
      </c>
      <c r="E8773" s="94" t="inlineStr">
        <is>
          <t>여름 한정 진정세트</t>
        </is>
      </c>
      <c r="F8773" s="5" t="inlineStr">
        <is>
          <t>카페24</t>
        </is>
      </c>
      <c r="G8773" s="94" t="inlineStr">
        <is>
          <t>여름 한정 진정세트 (대용량)</t>
        </is>
      </c>
      <c r="H8773" s="7" t="n">
        <v>190801</v>
      </c>
      <c r="I8773" s="7" t="n">
        <v>190801</v>
      </c>
      <c r="K8773" s="94" t="n">
        <v>2</v>
      </c>
      <c r="L8773" s="7" t="n">
        <v>190801</v>
      </c>
      <c r="M8773" s="94">
        <f>VLOOKUP($Q8773,매칭테이블!$F:$I,2,0)*K8773</f>
        <v/>
      </c>
      <c r="N8773" s="94">
        <f>M8773-M8773*VLOOKUP($Q8773,매칭테이블!$F:$I,3,0)</f>
        <v/>
      </c>
      <c r="O8773" s="94">
        <f>VLOOKUP($Q8773,매칭테이블!$F:$I,4,0)*K8773</f>
        <v/>
      </c>
      <c r="P8773" s="148">
        <f>M8773/1.1</f>
        <v/>
      </c>
      <c r="Q8773" s="94">
        <f>F8773&amp;E8773&amp;G8773&amp;L8773</f>
        <v/>
      </c>
    </row>
    <row r="8774" customFormat="1" s="94">
      <c r="B8774" s="128" t="n">
        <v>44072</v>
      </c>
      <c r="C8774" s="94">
        <f>TEXT(B8774,"aaa")</f>
        <v/>
      </c>
      <c r="E8774" s="94" t="inlineStr">
        <is>
          <t>어성초진정패키지</t>
        </is>
      </c>
      <c r="F8774" s="5" t="inlineStr">
        <is>
          <t>카페24</t>
        </is>
      </c>
      <c r="G8774" s="94" t="inlineStr">
        <is>
          <t>어성초 진정패키지세트</t>
        </is>
      </c>
      <c r="H8774" s="7" t="n">
        <v>190801</v>
      </c>
      <c r="I8774" s="7" t="n">
        <v>190801</v>
      </c>
      <c r="K8774" s="94" t="n">
        <v>4</v>
      </c>
      <c r="L8774" s="7" t="n">
        <v>190801</v>
      </c>
      <c r="M8774" s="94">
        <f>VLOOKUP($Q8774,매칭테이블!$F:$I,2,0)*K8774</f>
        <v/>
      </c>
      <c r="N8774" s="94">
        <f>M8774-M8774*VLOOKUP($Q8774,매칭테이블!$F:$I,3,0)</f>
        <v/>
      </c>
      <c r="O8774" s="94">
        <f>VLOOKUP($Q8774,매칭테이블!$F:$I,4,0)*K8774</f>
        <v/>
      </c>
      <c r="P8774" s="148">
        <f>M8774/1.1</f>
        <v/>
      </c>
      <c r="Q8774" s="94">
        <f>F8774&amp;E8774&amp;G8774&amp;L8774</f>
        <v/>
      </c>
    </row>
    <row r="8775" customFormat="1" s="94">
      <c r="B8775" s="128" t="n">
        <v>44072</v>
      </c>
      <c r="C8775" s="94">
        <f>TEXT(B8775,"aaa")</f>
        <v/>
      </c>
      <c r="E8775" s="94" t="inlineStr">
        <is>
          <t>머드크림마스크</t>
        </is>
      </c>
      <c r="F8775" s="5" t="inlineStr">
        <is>
          <t>카페24</t>
        </is>
      </c>
      <c r="G8775" s="94" t="inlineStr">
        <is>
          <t>머드크림마스크 100ml</t>
        </is>
      </c>
      <c r="H8775" s="7" t="n">
        <v>190801</v>
      </c>
      <c r="I8775" s="7" t="n">
        <v>190801</v>
      </c>
      <c r="K8775" s="94" t="n">
        <v>3</v>
      </c>
      <c r="L8775" s="7" t="n">
        <v>190801</v>
      </c>
      <c r="M8775" s="94">
        <f>VLOOKUP($Q8775,매칭테이블!$F:$I,2,0)*K8775</f>
        <v/>
      </c>
      <c r="N8775" s="94">
        <f>M8775-M8775*VLOOKUP($Q8775,매칭테이블!$F:$I,3,0)</f>
        <v/>
      </c>
      <c r="O8775" s="94">
        <f>VLOOKUP($Q8775,매칭테이블!$F:$I,4,0)*K8775</f>
        <v/>
      </c>
      <c r="P8775" s="148">
        <f>M8775/1.1</f>
        <v/>
      </c>
      <c r="Q8775" s="94">
        <f>F8775&amp;E8775&amp;G8775&amp;L8775</f>
        <v/>
      </c>
    </row>
    <row r="8776" customFormat="1" s="94">
      <c r="B8776" s="128" t="n">
        <v>44072</v>
      </c>
      <c r="C8776" s="94">
        <f>TEXT(B8776,"aaa")</f>
        <v/>
      </c>
      <c r="E8776" s="94" t="inlineStr">
        <is>
          <t>머드크림마스크</t>
        </is>
      </c>
      <c r="F8776" s="5" t="inlineStr">
        <is>
          <t>카페24</t>
        </is>
      </c>
      <c r="G8776" s="94" t="inlineStr">
        <is>
          <t>머드크림마스크 100ml 2set</t>
        </is>
      </c>
      <c r="H8776" s="7" t="n">
        <v>190801</v>
      </c>
      <c r="I8776" s="7" t="n">
        <v>190801</v>
      </c>
      <c r="K8776" s="94" t="n">
        <v>1</v>
      </c>
      <c r="L8776" s="7" t="n">
        <v>190801</v>
      </c>
      <c r="M8776" s="94">
        <f>VLOOKUP($Q8776,매칭테이블!$F:$I,2,0)*K8776</f>
        <v/>
      </c>
      <c r="N8776" s="94">
        <f>M8776-M8776*VLOOKUP($Q8776,매칭테이블!$F:$I,3,0)</f>
        <v/>
      </c>
      <c r="O8776" s="94">
        <f>VLOOKUP($Q8776,매칭테이블!$F:$I,4,0)*K8776</f>
        <v/>
      </c>
      <c r="P8776" s="148">
        <f>M8776/1.1</f>
        <v/>
      </c>
      <c r="Q8776" s="94">
        <f>F8776&amp;E8776&amp;G8776&amp;L8776</f>
        <v/>
      </c>
    </row>
    <row r="8777" customFormat="1" s="94">
      <c r="B8777" s="128" t="n">
        <v>44072</v>
      </c>
      <c r="C8777" s="94">
        <f>TEXT(B8777,"aaa")</f>
        <v/>
      </c>
      <c r="E8777" s="94" t="inlineStr">
        <is>
          <t>마스크팩</t>
        </is>
      </c>
      <c r="F8777" s="5" t="inlineStr">
        <is>
          <t>카페24</t>
        </is>
      </c>
      <c r="G8777" s="94" t="inlineStr">
        <is>
          <t>마스크팩 1매</t>
        </is>
      </c>
      <c r="H8777" s="7" t="n">
        <v>190801</v>
      </c>
      <c r="I8777" s="7" t="n">
        <v>190801</v>
      </c>
      <c r="K8777" s="94" t="n">
        <v>1</v>
      </c>
      <c r="L8777" s="7" t="n">
        <v>190801</v>
      </c>
      <c r="M8777" s="94">
        <f>VLOOKUP($Q8777,매칭테이블!$F:$I,2,0)*K8777</f>
        <v/>
      </c>
      <c r="N8777" s="94">
        <f>M8777-M8777*VLOOKUP($Q8777,매칭테이블!$F:$I,3,0)</f>
        <v/>
      </c>
      <c r="O8777" s="94">
        <f>VLOOKUP($Q8777,매칭테이블!$F:$I,4,0)*K8777</f>
        <v/>
      </c>
      <c r="P8777" s="148">
        <f>M8777/1.1</f>
        <v/>
      </c>
      <c r="Q8777" s="94">
        <f>F8777&amp;E8777&amp;G8777&amp;L8777</f>
        <v/>
      </c>
    </row>
    <row r="8778" customFormat="1" s="94">
      <c r="B8778" s="128" t="n">
        <v>44072</v>
      </c>
      <c r="C8778" s="94">
        <f>TEXT(B8778,"aaa")</f>
        <v/>
      </c>
      <c r="E8778" s="94" t="inlineStr">
        <is>
          <t>마스크팩</t>
        </is>
      </c>
      <c r="F8778" s="5" t="inlineStr">
        <is>
          <t>카페24</t>
        </is>
      </c>
      <c r="G8778" s="94" t="inlineStr">
        <is>
          <t>마스크팩 10매</t>
        </is>
      </c>
      <c r="H8778" s="7" t="n">
        <v>190801</v>
      </c>
      <c r="I8778" s="7" t="n">
        <v>190801</v>
      </c>
      <c r="K8778" s="94" t="n">
        <v>3</v>
      </c>
      <c r="L8778" s="7" t="n">
        <v>190801</v>
      </c>
      <c r="M8778" s="94">
        <f>VLOOKUP($Q8778,매칭테이블!$F:$I,2,0)*K8778</f>
        <v/>
      </c>
      <c r="N8778" s="94">
        <f>M8778-M8778*VLOOKUP($Q8778,매칭테이블!$F:$I,3,0)</f>
        <v/>
      </c>
      <c r="O8778" s="94">
        <f>VLOOKUP($Q8778,매칭테이블!$F:$I,4,0)*K8778</f>
        <v/>
      </c>
      <c r="P8778" s="148">
        <f>M8778/1.1</f>
        <v/>
      </c>
      <c r="Q8778" s="94">
        <f>F8778&amp;E8778&amp;G8778&amp;L8778</f>
        <v/>
      </c>
    </row>
    <row r="8779" customFormat="1" s="94">
      <c r="B8779" s="128" t="n">
        <v>44072</v>
      </c>
      <c r="C8779" s="94">
        <f>TEXT(B8779,"aaa")</f>
        <v/>
      </c>
      <c r="E8779" s="94" t="inlineStr">
        <is>
          <t>토너</t>
        </is>
      </c>
      <c r="F8779" s="5" t="inlineStr">
        <is>
          <t>카페24</t>
        </is>
      </c>
      <c r="G8779" s="94" t="inlineStr">
        <is>
          <t>250ml</t>
        </is>
      </c>
      <c r="H8779" s="7" t="n">
        <v>190801</v>
      </c>
      <c r="I8779" s="7" t="n">
        <v>190801</v>
      </c>
      <c r="K8779" s="94" t="n">
        <v>65</v>
      </c>
      <c r="L8779" s="7" t="n">
        <v>190801</v>
      </c>
      <c r="M8779" s="94">
        <f>VLOOKUP($Q8779,매칭테이블!$F:$I,2,0)*K8779</f>
        <v/>
      </c>
      <c r="N8779" s="94">
        <f>M8779-M8779*VLOOKUP($Q8779,매칭테이블!$F:$I,3,0)</f>
        <v/>
      </c>
      <c r="O8779" s="94">
        <f>VLOOKUP($Q8779,매칭테이블!$F:$I,4,0)*K8779</f>
        <v/>
      </c>
      <c r="P8779" s="148">
        <f>M8779/1.1</f>
        <v/>
      </c>
      <c r="Q8779" s="94">
        <f>F8779&amp;E8779&amp;G8779&amp;L8779</f>
        <v/>
      </c>
    </row>
    <row r="8780" customFormat="1" s="94">
      <c r="B8780" s="128" t="n">
        <v>44072</v>
      </c>
      <c r="C8780" s="94">
        <f>TEXT(B8780,"aaa")</f>
        <v/>
      </c>
      <c r="E8780" s="94" t="inlineStr">
        <is>
          <t>토너</t>
        </is>
      </c>
      <c r="F8780" s="5" t="inlineStr">
        <is>
          <t>카페24</t>
        </is>
      </c>
      <c r="G8780" s="94" t="inlineStr">
        <is>
          <t>250ml 2set</t>
        </is>
      </c>
      <c r="H8780" s="7" t="n">
        <v>190801</v>
      </c>
      <c r="I8780" s="7" t="n">
        <v>190801</v>
      </c>
      <c r="K8780" s="94" t="n">
        <v>35</v>
      </c>
      <c r="L8780" s="7" t="n">
        <v>190801</v>
      </c>
      <c r="M8780" s="94">
        <f>VLOOKUP($Q8780,매칭테이블!$F:$I,2,0)*K8780</f>
        <v/>
      </c>
      <c r="N8780" s="94">
        <f>M8780-M8780*VLOOKUP($Q8780,매칭테이블!$F:$I,3,0)</f>
        <v/>
      </c>
      <c r="O8780" s="94">
        <f>VLOOKUP($Q8780,매칭테이블!$F:$I,4,0)*K8780</f>
        <v/>
      </c>
      <c r="P8780" s="148">
        <f>M8780/1.1</f>
        <v/>
      </c>
      <c r="Q8780" s="94">
        <f>F8780&amp;E8780&amp;G8780&amp;L8780</f>
        <v/>
      </c>
    </row>
    <row r="8781" customFormat="1" s="94">
      <c r="B8781" s="128" t="n">
        <v>44072</v>
      </c>
      <c r="C8781" s="94">
        <f>TEXT(B8781,"aaa")</f>
        <v/>
      </c>
      <c r="E8781" s="94" t="inlineStr">
        <is>
          <t>토너</t>
        </is>
      </c>
      <c r="F8781" s="5" t="inlineStr">
        <is>
          <t>카페24</t>
        </is>
      </c>
      <c r="G8781" s="94" t="inlineStr">
        <is>
          <t>500ml</t>
        </is>
      </c>
      <c r="H8781" s="7" t="n">
        <v>190801</v>
      </c>
      <c r="I8781" s="7" t="n">
        <v>190801</v>
      </c>
      <c r="K8781" s="94" t="n">
        <v>44</v>
      </c>
      <c r="L8781" s="7" t="n">
        <v>190801</v>
      </c>
      <c r="M8781" s="94">
        <f>VLOOKUP($Q8781,매칭테이블!$F:$I,2,0)*K8781</f>
        <v/>
      </c>
      <c r="N8781" s="94">
        <f>M8781-M8781*VLOOKUP($Q8781,매칭테이블!$F:$I,3,0)</f>
        <v/>
      </c>
      <c r="O8781" s="94">
        <f>VLOOKUP($Q8781,매칭테이블!$F:$I,4,0)*K8781</f>
        <v/>
      </c>
      <c r="P8781" s="148">
        <f>M8781/1.1</f>
        <v/>
      </c>
      <c r="Q8781" s="94">
        <f>F8781&amp;E8781&amp;G8781&amp;L8781</f>
        <v/>
      </c>
    </row>
    <row r="8782" customFormat="1" s="94">
      <c r="B8782" s="128" t="n">
        <v>44072</v>
      </c>
      <c r="C8782" s="94">
        <f>TEXT(B8782,"aaa")</f>
        <v/>
      </c>
      <c r="E8782" s="94" t="inlineStr">
        <is>
          <t>토너</t>
        </is>
      </c>
      <c r="F8782" s="5" t="inlineStr">
        <is>
          <t>카페24</t>
        </is>
      </c>
      <c r="G8782" s="94" t="inlineStr">
        <is>
          <t>스킨팩 화장솜 60P</t>
        </is>
      </c>
      <c r="H8782" s="7" t="n">
        <v>190801</v>
      </c>
      <c r="I8782" s="7" t="n">
        <v>190801</v>
      </c>
      <c r="K8782" s="94" t="n">
        <v>48</v>
      </c>
      <c r="L8782" s="7" t="n">
        <v>190801</v>
      </c>
      <c r="M8782" s="94">
        <f>VLOOKUP($Q8782,매칭테이블!$F:$I,2,0)*K8782</f>
        <v/>
      </c>
      <c r="N8782" s="94">
        <f>M8782-M8782*VLOOKUP($Q8782,매칭테이블!$F:$I,3,0)</f>
        <v/>
      </c>
      <c r="O8782" s="94">
        <f>VLOOKUP($Q8782,매칭테이블!$F:$I,4,0)*K8782</f>
        <v/>
      </c>
      <c r="P8782" s="148">
        <f>M8782/1.1</f>
        <v/>
      </c>
      <c r="Q8782" s="94">
        <f>F8782&amp;E8782&amp;G8782&amp;L8782</f>
        <v/>
      </c>
    </row>
    <row r="8783" customFormat="1" s="94">
      <c r="B8783" s="128" t="n">
        <v>44072</v>
      </c>
      <c r="C8783" s="94">
        <f>TEXT(B8783,"aaa")</f>
        <v/>
      </c>
      <c r="E8783" s="94" t="inlineStr">
        <is>
          <t>앰플</t>
        </is>
      </c>
      <c r="F8783" s="5" t="inlineStr">
        <is>
          <t>카페24</t>
        </is>
      </c>
      <c r="G8783" s="94" t="inlineStr">
        <is>
          <t>앰플 30ml</t>
        </is>
      </c>
      <c r="H8783" s="7" t="n">
        <v>190801</v>
      </c>
      <c r="I8783" s="7" t="n">
        <v>190801</v>
      </c>
      <c r="K8783" s="94" t="n">
        <v>10</v>
      </c>
      <c r="L8783" s="7" t="n">
        <v>190801</v>
      </c>
      <c r="M8783" s="94">
        <f>VLOOKUP($Q8783,매칭테이블!$F:$I,2,0)*K8783</f>
        <v/>
      </c>
      <c r="N8783" s="94">
        <f>M8783-M8783*VLOOKUP($Q8783,매칭테이블!$F:$I,3,0)</f>
        <v/>
      </c>
      <c r="O8783" s="94">
        <f>VLOOKUP($Q8783,매칭테이블!$F:$I,4,0)*K8783</f>
        <v/>
      </c>
      <c r="P8783" s="148">
        <f>M8783/1.1</f>
        <v/>
      </c>
      <c r="Q8783" s="94">
        <f>F8783&amp;E8783&amp;G8783&amp;L8783</f>
        <v/>
      </c>
    </row>
    <row r="8784" customFormat="1" s="94">
      <c r="B8784" s="128" t="n">
        <v>44072</v>
      </c>
      <c r="C8784" s="94">
        <f>TEXT(B8784,"aaa")</f>
        <v/>
      </c>
      <c r="E8784" s="94" t="inlineStr">
        <is>
          <t>앰플</t>
        </is>
      </c>
      <c r="F8784" s="5" t="inlineStr">
        <is>
          <t>카페24</t>
        </is>
      </c>
      <c r="G8784" s="94" t="inlineStr">
        <is>
          <t>앰플 30ml  2set</t>
        </is>
      </c>
      <c r="H8784" s="7" t="n">
        <v>190801</v>
      </c>
      <c r="I8784" s="7" t="n">
        <v>190801</v>
      </c>
      <c r="K8784" s="94" t="n">
        <v>2</v>
      </c>
      <c r="L8784" s="7" t="n">
        <v>190801</v>
      </c>
      <c r="M8784" s="94">
        <f>VLOOKUP($Q8784,매칭테이블!$F:$I,2,0)*K8784</f>
        <v/>
      </c>
      <c r="N8784" s="94">
        <f>M8784-M8784*VLOOKUP($Q8784,매칭테이블!$F:$I,3,0)</f>
        <v/>
      </c>
      <c r="O8784" s="94">
        <f>VLOOKUP($Q8784,매칭테이블!$F:$I,4,0)*K8784</f>
        <v/>
      </c>
      <c r="P8784" s="148">
        <f>M8784/1.1</f>
        <v/>
      </c>
      <c r="Q8784" s="94">
        <f>F8784&amp;E8784&amp;G8784&amp;L8784</f>
        <v/>
      </c>
    </row>
    <row r="8785" customFormat="1" s="94">
      <c r="B8785" s="128" t="n">
        <v>44072</v>
      </c>
      <c r="C8785" s="94">
        <f>TEXT(B8785,"aaa")</f>
        <v/>
      </c>
      <c r="E8785" s="94" t="inlineStr">
        <is>
          <t>수딩크림</t>
        </is>
      </c>
      <c r="F8785" s="5" t="inlineStr">
        <is>
          <t>카페24</t>
        </is>
      </c>
      <c r="G8785" s="94" t="inlineStr">
        <is>
          <t>수딩크림 100ml</t>
        </is>
      </c>
      <c r="H8785" s="7" t="n">
        <v>190801</v>
      </c>
      <c r="I8785" s="7" t="n">
        <v>190801</v>
      </c>
      <c r="K8785" s="94" t="n">
        <v>4</v>
      </c>
      <c r="L8785" s="7" t="n">
        <v>190801</v>
      </c>
      <c r="M8785" s="94">
        <f>VLOOKUP($Q8785,매칭테이블!$F:$I,2,0)*K8785</f>
        <v/>
      </c>
      <c r="N8785" s="94">
        <f>M8785-M8785*VLOOKUP($Q8785,매칭테이블!$F:$I,3,0)</f>
        <v/>
      </c>
      <c r="O8785" s="94">
        <f>VLOOKUP($Q8785,매칭테이블!$F:$I,4,0)*K8785</f>
        <v/>
      </c>
      <c r="P8785" s="148">
        <f>M8785/1.1</f>
        <v/>
      </c>
      <c r="Q8785" s="94">
        <f>F8785&amp;E8785&amp;G8785&amp;L8785</f>
        <v/>
      </c>
    </row>
    <row r="8786" customFormat="1" s="94">
      <c r="B8786" s="128" t="n">
        <v>44072</v>
      </c>
      <c r="C8786" s="94">
        <f>TEXT(B8786,"aaa")</f>
        <v/>
      </c>
      <c r="E8786" s="94" t="inlineStr">
        <is>
          <t>클렌징폼</t>
        </is>
      </c>
      <c r="F8786" s="5" t="inlineStr">
        <is>
          <t>카페24</t>
        </is>
      </c>
      <c r="G8786" s="94" t="inlineStr">
        <is>
          <t>클렌징폼 120ml</t>
        </is>
      </c>
      <c r="H8786" s="7" t="n">
        <v>190801</v>
      </c>
      <c r="I8786" s="7" t="n">
        <v>190801</v>
      </c>
      <c r="K8786" s="94" t="n">
        <v>4</v>
      </c>
      <c r="L8786" s="7" t="n">
        <v>190801</v>
      </c>
      <c r="M8786" s="94">
        <f>VLOOKUP($Q8786,매칭테이블!$F:$I,2,0)*K8786</f>
        <v/>
      </c>
      <c r="N8786" s="94">
        <f>M8786-M8786*VLOOKUP($Q8786,매칭테이블!$F:$I,3,0)</f>
        <v/>
      </c>
      <c r="O8786" s="94">
        <f>VLOOKUP($Q8786,매칭테이블!$F:$I,4,0)*K8786</f>
        <v/>
      </c>
      <c r="P8786" s="148">
        <f>M8786/1.1</f>
        <v/>
      </c>
      <c r="Q8786" s="94">
        <f>F8786&amp;E8786&amp;G8786&amp;L8786</f>
        <v/>
      </c>
    </row>
    <row r="8787" customFormat="1" s="94">
      <c r="B8787" s="128" t="n">
        <v>44072</v>
      </c>
      <c r="C8787" s="94">
        <f>TEXT(B8787,"aaa")</f>
        <v/>
      </c>
      <c r="E8787" s="94" t="inlineStr">
        <is>
          <t>클렌징폼</t>
        </is>
      </c>
      <c r="F8787" s="5" t="inlineStr">
        <is>
          <t>카페24</t>
        </is>
      </c>
      <c r="G8787" s="94" t="inlineStr">
        <is>
          <t>클렌징폼 120ml 2set</t>
        </is>
      </c>
      <c r="H8787" s="7" t="n">
        <v>190801</v>
      </c>
      <c r="I8787" s="7" t="n">
        <v>190801</v>
      </c>
      <c r="K8787" s="94" t="n">
        <v>1</v>
      </c>
      <c r="L8787" s="7" t="n">
        <v>190801</v>
      </c>
      <c r="M8787" s="94">
        <f>VLOOKUP($Q8787,매칭테이블!$F:$I,2,0)*K8787</f>
        <v/>
      </c>
      <c r="N8787" s="94">
        <f>M8787-M8787*VLOOKUP($Q8787,매칭테이블!$F:$I,3,0)</f>
        <v/>
      </c>
      <c r="O8787" s="94">
        <f>VLOOKUP($Q8787,매칭테이블!$F:$I,4,0)*K8787</f>
        <v/>
      </c>
      <c r="P8787" s="148">
        <f>M8787/1.1</f>
        <v/>
      </c>
      <c r="Q8787" s="94">
        <f>F8787&amp;E8787&amp;G8787&amp;L8787</f>
        <v/>
      </c>
    </row>
    <row r="8788" customFormat="1" s="94">
      <c r="B8788" s="128" t="n">
        <v>44072</v>
      </c>
      <c r="C8788" s="94">
        <f>TEXT(B8788,"aaa")</f>
        <v/>
      </c>
      <c r="E8788" s="94" t="inlineStr">
        <is>
          <t>클렌징폼</t>
        </is>
      </c>
      <c r="F8788" s="5" t="inlineStr">
        <is>
          <t>카페24</t>
        </is>
      </c>
      <c r="G8788" s="94" t="inlineStr">
        <is>
          <t>클렌징폼 120ml 3set</t>
        </is>
      </c>
      <c r="H8788" s="7" t="n">
        <v>190801</v>
      </c>
      <c r="I8788" s="7" t="n">
        <v>190801</v>
      </c>
      <c r="K8788" s="94" t="n">
        <v>1</v>
      </c>
      <c r="L8788" s="7" t="n">
        <v>190801</v>
      </c>
      <c r="M8788" s="94">
        <f>VLOOKUP($Q8788,매칭테이블!$F:$I,2,0)*K8788</f>
        <v/>
      </c>
      <c r="N8788" s="94">
        <f>M8788-M8788*VLOOKUP($Q8788,매칭테이블!$F:$I,3,0)</f>
        <v/>
      </c>
      <c r="O8788" s="94">
        <f>VLOOKUP($Q8788,매칭테이블!$F:$I,4,0)*K8788</f>
        <v/>
      </c>
      <c r="P8788" s="148">
        <f>M8788/1.1</f>
        <v/>
      </c>
      <c r="Q8788" s="94">
        <f>F8788&amp;E8788&amp;G8788&amp;L8788</f>
        <v/>
      </c>
    </row>
    <row r="8789" customFormat="1" s="94">
      <c r="B8789" s="128" t="n">
        <v>44073</v>
      </c>
      <c r="C8789" s="94">
        <f>TEXT(B8789,"aaa")</f>
        <v/>
      </c>
      <c r="E8789" s="94" t="inlineStr">
        <is>
          <t>토너</t>
        </is>
      </c>
      <c r="F8789" s="5" t="inlineStr">
        <is>
          <t>스타일쉐어</t>
        </is>
      </c>
      <c r="G8789" s="94" t="inlineStr">
        <is>
          <t>250ml</t>
        </is>
      </c>
      <c r="H8789" s="7" t="n">
        <v>190801</v>
      </c>
      <c r="I8789" s="7" t="n">
        <v>190801</v>
      </c>
      <c r="K8789" s="94" t="n">
        <v>5</v>
      </c>
      <c r="L8789" s="7" t="n">
        <v>190801</v>
      </c>
      <c r="M8789" s="94">
        <f>VLOOKUP($Q8789,매칭테이블!$F:$I,2,0)*K8789</f>
        <v/>
      </c>
      <c r="N8789" s="94">
        <f>M8789-M8789*VLOOKUP($Q8789,매칭테이블!$F:$I,3,0)</f>
        <v/>
      </c>
      <c r="O8789" s="94">
        <f>VLOOKUP($Q8789,매칭테이블!$F:$I,4,0)*K8789</f>
        <v/>
      </c>
      <c r="P8789" s="148">
        <f>M8789/1.1</f>
        <v/>
      </c>
      <c r="Q8789" s="94">
        <f>F8789&amp;E8789&amp;G8789&amp;L8789</f>
        <v/>
      </c>
    </row>
    <row r="8790" customFormat="1" s="94">
      <c r="B8790" s="128" t="n">
        <v>44073</v>
      </c>
      <c r="C8790" s="94">
        <f>TEXT(B8790,"aaa")</f>
        <v/>
      </c>
      <c r="E8790" s="94" t="inlineStr">
        <is>
          <t>선크림</t>
        </is>
      </c>
      <c r="F8790" s="5" t="inlineStr">
        <is>
          <t>카페24</t>
        </is>
      </c>
      <c r="G8790" s="94" t="inlineStr">
        <is>
          <t>선크림 50ml</t>
        </is>
      </c>
      <c r="H8790" s="7" t="n">
        <v>190801</v>
      </c>
      <c r="I8790" s="7" t="n">
        <v>190801</v>
      </c>
      <c r="K8790" s="94" t="n">
        <v>3</v>
      </c>
      <c r="L8790" s="7" t="n">
        <v>190801</v>
      </c>
      <c r="M8790" s="94">
        <f>VLOOKUP($Q8790,매칭테이블!$F:$I,2,0)*K8790</f>
        <v/>
      </c>
      <c r="N8790" s="94">
        <f>M8790-M8790*VLOOKUP($Q8790,매칭테이블!$F:$I,3,0)</f>
        <v/>
      </c>
      <c r="O8790" s="94">
        <f>VLOOKUP($Q8790,매칭테이블!$F:$I,4,0)*K8790</f>
        <v/>
      </c>
      <c r="P8790" s="148">
        <f>M8790/1.1</f>
        <v/>
      </c>
      <c r="Q8790" s="94">
        <f>F8790&amp;E8790&amp;G8790&amp;L8790</f>
        <v/>
      </c>
    </row>
    <row r="8791" customFormat="1" s="94">
      <c r="B8791" s="128" t="n">
        <v>44073</v>
      </c>
      <c r="C8791" s="94">
        <f>TEXT(B8791,"aaa")</f>
        <v/>
      </c>
      <c r="E8791" s="94" t="inlineStr">
        <is>
          <t>여름 한정 진정세트</t>
        </is>
      </c>
      <c r="F8791" s="5" t="inlineStr">
        <is>
          <t>카페24</t>
        </is>
      </c>
      <c r="G8791" s="94" t="inlineStr">
        <is>
          <t>여름 한정 진정세트</t>
        </is>
      </c>
      <c r="H8791" s="7" t="n">
        <v>190801</v>
      </c>
      <c r="I8791" s="7" t="n">
        <v>190801</v>
      </c>
      <c r="K8791" s="94" t="n">
        <v>1</v>
      </c>
      <c r="L8791" s="7" t="n">
        <v>190801</v>
      </c>
      <c r="M8791" s="94">
        <f>VLOOKUP($Q8791,매칭테이블!$F:$I,2,0)*K8791</f>
        <v/>
      </c>
      <c r="N8791" s="94">
        <f>M8791-M8791*VLOOKUP($Q8791,매칭테이블!$F:$I,3,0)</f>
        <v/>
      </c>
      <c r="O8791" s="94">
        <f>VLOOKUP($Q8791,매칭테이블!$F:$I,4,0)*K8791</f>
        <v/>
      </c>
      <c r="P8791" s="148">
        <f>M8791/1.1</f>
        <v/>
      </c>
      <c r="Q8791" s="94">
        <f>F8791&amp;E8791&amp;G8791&amp;L8791</f>
        <v/>
      </c>
    </row>
    <row r="8792" customFormat="1" s="94">
      <c r="B8792" s="128" t="n">
        <v>44073</v>
      </c>
      <c r="C8792" s="94">
        <f>TEXT(B8792,"aaa")</f>
        <v/>
      </c>
      <c r="E8792" s="94" t="inlineStr">
        <is>
          <t>여름 한정 진정세트</t>
        </is>
      </c>
      <c r="F8792" s="5" t="inlineStr">
        <is>
          <t>카페24</t>
        </is>
      </c>
      <c r="G8792" s="94" t="inlineStr">
        <is>
          <t>여름 한정 진정세트 (대용량)</t>
        </is>
      </c>
      <c r="H8792" s="7" t="n">
        <v>190801</v>
      </c>
      <c r="I8792" s="7" t="n">
        <v>190801</v>
      </c>
      <c r="K8792" s="94" t="n">
        <v>3</v>
      </c>
      <c r="L8792" s="7" t="n">
        <v>190801</v>
      </c>
      <c r="M8792" s="94">
        <f>VLOOKUP($Q8792,매칭테이블!$F:$I,2,0)*K8792</f>
        <v/>
      </c>
      <c r="N8792" s="94">
        <f>M8792-M8792*VLOOKUP($Q8792,매칭테이블!$F:$I,3,0)</f>
        <v/>
      </c>
      <c r="O8792" s="94">
        <f>VLOOKUP($Q8792,매칭테이블!$F:$I,4,0)*K8792</f>
        <v/>
      </c>
      <c r="P8792" s="148">
        <f>M8792/1.1</f>
        <v/>
      </c>
      <c r="Q8792" s="94">
        <f>F8792&amp;E8792&amp;G8792&amp;L8792</f>
        <v/>
      </c>
    </row>
    <row r="8793" customFormat="1" s="94">
      <c r="B8793" s="128" t="n">
        <v>44073</v>
      </c>
      <c r="C8793" s="94">
        <f>TEXT(B8793,"aaa")</f>
        <v/>
      </c>
      <c r="E8793" s="94" t="inlineStr">
        <is>
          <t>어성초진정패키지</t>
        </is>
      </c>
      <c r="F8793" s="5" t="inlineStr">
        <is>
          <t>카페24</t>
        </is>
      </c>
      <c r="G8793" s="94" t="inlineStr">
        <is>
          <t>어성초 진정패키지세트</t>
        </is>
      </c>
      <c r="H8793" s="7" t="n">
        <v>190801</v>
      </c>
      <c r="I8793" s="7" t="n">
        <v>190801</v>
      </c>
      <c r="K8793" s="94" t="n">
        <v>2</v>
      </c>
      <c r="L8793" s="7" t="n">
        <v>190801</v>
      </c>
      <c r="M8793" s="94">
        <f>VLOOKUP($Q8793,매칭테이블!$F:$I,2,0)*K8793</f>
        <v/>
      </c>
      <c r="N8793" s="94">
        <f>M8793-M8793*VLOOKUP($Q8793,매칭테이블!$F:$I,3,0)</f>
        <v/>
      </c>
      <c r="O8793" s="94">
        <f>VLOOKUP($Q8793,매칭테이블!$F:$I,4,0)*K8793</f>
        <v/>
      </c>
      <c r="P8793" s="148">
        <f>M8793/1.1</f>
        <v/>
      </c>
      <c r="Q8793" s="94">
        <f>F8793&amp;E8793&amp;G8793&amp;L8793</f>
        <v/>
      </c>
    </row>
    <row r="8794" customFormat="1" s="94">
      <c r="B8794" s="128" t="n">
        <v>44073</v>
      </c>
      <c r="C8794" s="94">
        <f>TEXT(B8794,"aaa")</f>
        <v/>
      </c>
      <c r="E8794" s="94" t="inlineStr">
        <is>
          <t>머드크림마스크</t>
        </is>
      </c>
      <c r="F8794" s="5" t="inlineStr">
        <is>
          <t>카페24</t>
        </is>
      </c>
      <c r="G8794" s="94" t="inlineStr">
        <is>
          <t>머드크림마스크 100ml</t>
        </is>
      </c>
      <c r="H8794" s="7" t="n">
        <v>190801</v>
      </c>
      <c r="I8794" s="7" t="n">
        <v>190801</v>
      </c>
      <c r="K8794" s="94" t="n">
        <v>3</v>
      </c>
      <c r="L8794" s="7" t="n">
        <v>190801</v>
      </c>
      <c r="M8794" s="94">
        <f>VLOOKUP($Q8794,매칭테이블!$F:$I,2,0)*K8794</f>
        <v/>
      </c>
      <c r="N8794" s="94">
        <f>M8794-M8794*VLOOKUP($Q8794,매칭테이블!$F:$I,3,0)</f>
        <v/>
      </c>
      <c r="O8794" s="94">
        <f>VLOOKUP($Q8794,매칭테이블!$F:$I,4,0)*K8794</f>
        <v/>
      </c>
      <c r="P8794" s="148">
        <f>M8794/1.1</f>
        <v/>
      </c>
      <c r="Q8794" s="94">
        <f>F8794&amp;E8794&amp;G8794&amp;L8794</f>
        <v/>
      </c>
    </row>
    <row r="8795" customFormat="1" s="94">
      <c r="B8795" s="128" t="n">
        <v>44073</v>
      </c>
      <c r="C8795" s="94">
        <f>TEXT(B8795,"aaa")</f>
        <v/>
      </c>
      <c r="E8795" s="94" t="inlineStr">
        <is>
          <t>마스크팩</t>
        </is>
      </c>
      <c r="F8795" s="5" t="inlineStr">
        <is>
          <t>카페24</t>
        </is>
      </c>
      <c r="G8795" s="94" t="inlineStr">
        <is>
          <t>마스크팩 1매</t>
        </is>
      </c>
      <c r="H8795" s="7" t="n">
        <v>190801</v>
      </c>
      <c r="I8795" s="7" t="n">
        <v>190801</v>
      </c>
      <c r="K8795" s="94" t="n">
        <v>3</v>
      </c>
      <c r="L8795" s="7" t="n">
        <v>190801</v>
      </c>
      <c r="M8795" s="94">
        <f>VLOOKUP($Q8795,매칭테이블!$F:$I,2,0)*K8795</f>
        <v/>
      </c>
      <c r="N8795" s="94">
        <f>M8795-M8795*VLOOKUP($Q8795,매칭테이블!$F:$I,3,0)</f>
        <v/>
      </c>
      <c r="O8795" s="94">
        <f>VLOOKUP($Q8795,매칭테이블!$F:$I,4,0)*K8795</f>
        <v/>
      </c>
      <c r="P8795" s="148">
        <f>M8795/1.1</f>
        <v/>
      </c>
      <c r="Q8795" s="94">
        <f>F8795&amp;E8795&amp;G8795&amp;L8795</f>
        <v/>
      </c>
    </row>
    <row r="8796" customFormat="1" s="94">
      <c r="B8796" s="128" t="n">
        <v>44073</v>
      </c>
      <c r="C8796" s="94">
        <f>TEXT(B8796,"aaa")</f>
        <v/>
      </c>
      <c r="E8796" s="94" t="inlineStr">
        <is>
          <t>마스크팩</t>
        </is>
      </c>
      <c r="F8796" s="5" t="inlineStr">
        <is>
          <t>카페24</t>
        </is>
      </c>
      <c r="G8796" s="94" t="inlineStr">
        <is>
          <t>마스크팩 10매</t>
        </is>
      </c>
      <c r="H8796" s="7" t="n">
        <v>190801</v>
      </c>
      <c r="I8796" s="7" t="n">
        <v>190801</v>
      </c>
      <c r="K8796" s="94" t="n">
        <v>1</v>
      </c>
      <c r="L8796" s="7" t="n">
        <v>190801</v>
      </c>
      <c r="M8796" s="94">
        <f>VLOOKUP($Q8796,매칭테이블!$F:$I,2,0)*K8796</f>
        <v/>
      </c>
      <c r="N8796" s="94">
        <f>M8796-M8796*VLOOKUP($Q8796,매칭테이블!$F:$I,3,0)</f>
        <v/>
      </c>
      <c r="O8796" s="94">
        <f>VLOOKUP($Q8796,매칭테이블!$F:$I,4,0)*K8796</f>
        <v/>
      </c>
      <c r="P8796" s="148">
        <f>M8796/1.1</f>
        <v/>
      </c>
      <c r="Q8796" s="94">
        <f>F8796&amp;E8796&amp;G8796&amp;L8796</f>
        <v/>
      </c>
    </row>
    <row r="8797" customFormat="1" s="94">
      <c r="B8797" s="128" t="n">
        <v>44073</v>
      </c>
      <c r="C8797" s="94">
        <f>TEXT(B8797,"aaa")</f>
        <v/>
      </c>
      <c r="E8797" s="94" t="inlineStr">
        <is>
          <t>토너</t>
        </is>
      </c>
      <c r="F8797" s="5" t="inlineStr">
        <is>
          <t>카페24</t>
        </is>
      </c>
      <c r="G8797" s="94" t="inlineStr">
        <is>
          <t>250ml</t>
        </is>
      </c>
      <c r="H8797" s="7" t="n">
        <v>190801</v>
      </c>
      <c r="I8797" s="7" t="n">
        <v>190801</v>
      </c>
      <c r="K8797" s="94" t="n">
        <v>54</v>
      </c>
      <c r="L8797" s="7" t="n">
        <v>190801</v>
      </c>
      <c r="M8797" s="94">
        <f>VLOOKUP($Q8797,매칭테이블!$F:$I,2,0)*K8797</f>
        <v/>
      </c>
      <c r="N8797" s="94">
        <f>M8797-M8797*VLOOKUP($Q8797,매칭테이블!$F:$I,3,0)</f>
        <v/>
      </c>
      <c r="O8797" s="94">
        <f>VLOOKUP($Q8797,매칭테이블!$F:$I,4,0)*K8797</f>
        <v/>
      </c>
      <c r="P8797" s="148">
        <f>M8797/1.1</f>
        <v/>
      </c>
      <c r="Q8797" s="94">
        <f>F8797&amp;E8797&amp;G8797&amp;L8797</f>
        <v/>
      </c>
    </row>
    <row r="8798" customFormat="1" s="94">
      <c r="B8798" s="128" t="n">
        <v>44073</v>
      </c>
      <c r="C8798" s="94">
        <f>TEXT(B8798,"aaa")</f>
        <v/>
      </c>
      <c r="E8798" s="94" t="inlineStr">
        <is>
          <t>토너</t>
        </is>
      </c>
      <c r="F8798" s="5" t="inlineStr">
        <is>
          <t>카페24</t>
        </is>
      </c>
      <c r="G8798" s="94" t="inlineStr">
        <is>
          <t>250ml 2set</t>
        </is>
      </c>
      <c r="H8798" s="7" t="n">
        <v>190801</v>
      </c>
      <c r="I8798" s="7" t="n">
        <v>190801</v>
      </c>
      <c r="K8798" s="94" t="n">
        <v>52</v>
      </c>
      <c r="L8798" s="7" t="n">
        <v>190801</v>
      </c>
      <c r="M8798" s="94">
        <f>VLOOKUP($Q8798,매칭테이블!$F:$I,2,0)*K8798</f>
        <v/>
      </c>
      <c r="N8798" s="94">
        <f>M8798-M8798*VLOOKUP($Q8798,매칭테이블!$F:$I,3,0)</f>
        <v/>
      </c>
      <c r="O8798" s="94">
        <f>VLOOKUP($Q8798,매칭테이블!$F:$I,4,0)*K8798</f>
        <v/>
      </c>
      <c r="P8798" s="148">
        <f>M8798/1.1</f>
        <v/>
      </c>
      <c r="Q8798" s="94">
        <f>F8798&amp;E8798&amp;G8798&amp;L8798</f>
        <v/>
      </c>
    </row>
    <row r="8799" customFormat="1" s="94">
      <c r="B8799" s="128" t="n">
        <v>44073</v>
      </c>
      <c r="C8799" s="94">
        <f>TEXT(B8799,"aaa")</f>
        <v/>
      </c>
      <c r="E8799" s="94" t="inlineStr">
        <is>
          <t>토너</t>
        </is>
      </c>
      <c r="F8799" s="5" t="inlineStr">
        <is>
          <t>카페24</t>
        </is>
      </c>
      <c r="G8799" s="94" t="inlineStr">
        <is>
          <t>500ml</t>
        </is>
      </c>
      <c r="H8799" s="7" t="n">
        <v>190801</v>
      </c>
      <c r="I8799" s="7" t="n">
        <v>190801</v>
      </c>
      <c r="K8799" s="94" t="n">
        <v>65</v>
      </c>
      <c r="L8799" s="7" t="n">
        <v>190801</v>
      </c>
      <c r="M8799" s="94">
        <f>VLOOKUP($Q8799,매칭테이블!$F:$I,2,0)*K8799</f>
        <v/>
      </c>
      <c r="N8799" s="94">
        <f>M8799-M8799*VLOOKUP($Q8799,매칭테이블!$F:$I,3,0)</f>
        <v/>
      </c>
      <c r="O8799" s="94">
        <f>VLOOKUP($Q8799,매칭테이블!$F:$I,4,0)*K8799</f>
        <v/>
      </c>
      <c r="P8799" s="148">
        <f>M8799/1.1</f>
        <v/>
      </c>
      <c r="Q8799" s="94">
        <f>F8799&amp;E8799&amp;G8799&amp;L8799</f>
        <v/>
      </c>
    </row>
    <row r="8800" customFormat="1" s="94">
      <c r="B8800" s="128" t="n">
        <v>44073</v>
      </c>
      <c r="C8800" s="94">
        <f>TEXT(B8800,"aaa")</f>
        <v/>
      </c>
      <c r="E8800" s="94" t="inlineStr">
        <is>
          <t>토너</t>
        </is>
      </c>
      <c r="F8800" s="5" t="inlineStr">
        <is>
          <t>카페24</t>
        </is>
      </c>
      <c r="G8800" s="94" t="inlineStr">
        <is>
          <t>스킨팩 화장솜 60P</t>
        </is>
      </c>
      <c r="H8800" s="7" t="n">
        <v>190801</v>
      </c>
      <c r="I8800" s="7" t="n">
        <v>190801</v>
      </c>
      <c r="K8800" s="94" t="n">
        <v>46</v>
      </c>
      <c r="L8800" s="7" t="n">
        <v>190801</v>
      </c>
      <c r="M8800" s="94">
        <f>VLOOKUP($Q8800,매칭테이블!$F:$I,2,0)*K8800</f>
        <v/>
      </c>
      <c r="N8800" s="94">
        <f>M8800-M8800*VLOOKUP($Q8800,매칭테이블!$F:$I,3,0)</f>
        <v/>
      </c>
      <c r="O8800" s="94">
        <f>VLOOKUP($Q8800,매칭테이블!$F:$I,4,0)*K8800</f>
        <v/>
      </c>
      <c r="P8800" s="148">
        <f>M8800/1.1</f>
        <v/>
      </c>
      <c r="Q8800" s="94">
        <f>F8800&amp;E8800&amp;G8800&amp;L8800</f>
        <v/>
      </c>
    </row>
    <row r="8801" customFormat="1" s="94">
      <c r="B8801" s="128" t="n">
        <v>44073</v>
      </c>
      <c r="C8801" s="94">
        <f>TEXT(B8801,"aaa")</f>
        <v/>
      </c>
      <c r="E8801" s="94" t="inlineStr">
        <is>
          <t>앰플</t>
        </is>
      </c>
      <c r="F8801" s="5" t="inlineStr">
        <is>
          <t>카페24</t>
        </is>
      </c>
      <c r="G8801" s="94" t="inlineStr">
        <is>
          <t>앰플 30ml</t>
        </is>
      </c>
      <c r="H8801" s="7" t="n">
        <v>190801</v>
      </c>
      <c r="I8801" s="7" t="n">
        <v>190801</v>
      </c>
      <c r="K8801" s="94" t="n">
        <v>19</v>
      </c>
      <c r="L8801" s="7" t="n">
        <v>190801</v>
      </c>
      <c r="M8801" s="94">
        <f>VLOOKUP($Q8801,매칭테이블!$F:$I,2,0)*K8801</f>
        <v/>
      </c>
      <c r="N8801" s="94">
        <f>M8801-M8801*VLOOKUP($Q8801,매칭테이블!$F:$I,3,0)</f>
        <v/>
      </c>
      <c r="O8801" s="94">
        <f>VLOOKUP($Q8801,매칭테이블!$F:$I,4,0)*K8801</f>
        <v/>
      </c>
      <c r="P8801" s="148">
        <f>M8801/1.1</f>
        <v/>
      </c>
      <c r="Q8801" s="94">
        <f>F8801&amp;E8801&amp;G8801&amp;L8801</f>
        <v/>
      </c>
    </row>
    <row r="8802" customFormat="1" s="94">
      <c r="B8802" s="128" t="n">
        <v>44073</v>
      </c>
      <c r="C8802" s="94">
        <f>TEXT(B8802,"aaa")</f>
        <v/>
      </c>
      <c r="E8802" s="94" t="inlineStr">
        <is>
          <t>수딩크림</t>
        </is>
      </c>
      <c r="F8802" s="5" t="inlineStr">
        <is>
          <t>카페24</t>
        </is>
      </c>
      <c r="G8802" s="94" t="inlineStr">
        <is>
          <t>수딩크림 100ml</t>
        </is>
      </c>
      <c r="H8802" s="7" t="n">
        <v>190801</v>
      </c>
      <c r="I8802" s="7" t="n">
        <v>190801</v>
      </c>
      <c r="K8802" s="94" t="n">
        <v>4</v>
      </c>
      <c r="L8802" s="7" t="n">
        <v>190801</v>
      </c>
      <c r="M8802" s="94">
        <f>VLOOKUP($Q8802,매칭테이블!$F:$I,2,0)*K8802</f>
        <v/>
      </c>
      <c r="N8802" s="94">
        <f>M8802-M8802*VLOOKUP($Q8802,매칭테이블!$F:$I,3,0)</f>
        <v/>
      </c>
      <c r="O8802" s="94">
        <f>VLOOKUP($Q8802,매칭테이블!$F:$I,4,0)*K8802</f>
        <v/>
      </c>
      <c r="P8802" s="148">
        <f>M8802/1.1</f>
        <v/>
      </c>
      <c r="Q8802" s="94">
        <f>F8802&amp;E8802&amp;G8802&amp;L8802</f>
        <v/>
      </c>
    </row>
    <row r="8803" customFormat="1" s="94">
      <c r="B8803" s="128" t="n">
        <v>44073</v>
      </c>
      <c r="C8803" s="94">
        <f>TEXT(B8803,"aaa")</f>
        <v/>
      </c>
      <c r="E8803" s="94" t="inlineStr">
        <is>
          <t>클렌징폼</t>
        </is>
      </c>
      <c r="F8803" s="5" t="inlineStr">
        <is>
          <t>카페24</t>
        </is>
      </c>
      <c r="G8803" s="94" t="inlineStr">
        <is>
          <t>클렌징폼 120ml</t>
        </is>
      </c>
      <c r="H8803" s="7" t="n">
        <v>190801</v>
      </c>
      <c r="I8803" s="7" t="n">
        <v>190801</v>
      </c>
      <c r="K8803" s="94" t="n">
        <v>8</v>
      </c>
      <c r="L8803" s="7" t="n">
        <v>190801</v>
      </c>
      <c r="M8803" s="94">
        <f>VLOOKUP($Q8803,매칭테이블!$F:$I,2,0)*K8803</f>
        <v/>
      </c>
      <c r="N8803" s="94">
        <f>M8803-M8803*VLOOKUP($Q8803,매칭테이블!$F:$I,3,0)</f>
        <v/>
      </c>
      <c r="O8803" s="94">
        <f>VLOOKUP($Q8803,매칭테이블!$F:$I,4,0)*K8803</f>
        <v/>
      </c>
      <c r="P8803" s="148">
        <f>M8803/1.1</f>
        <v/>
      </c>
      <c r="Q8803" s="94">
        <f>F8803&amp;E8803&amp;G8803&amp;L8803</f>
        <v/>
      </c>
    </row>
    <row r="8804" customFormat="1" s="94">
      <c r="B8804" s="128" t="n">
        <v>44073</v>
      </c>
      <c r="C8804" s="94">
        <f>TEXT(B8804,"aaa")</f>
        <v/>
      </c>
      <c r="E8804" s="94" t="inlineStr">
        <is>
          <t>클렌징폼</t>
        </is>
      </c>
      <c r="F8804" s="5" t="inlineStr">
        <is>
          <t>카페24</t>
        </is>
      </c>
      <c r="G8804" s="94" t="inlineStr">
        <is>
          <t>클렌징폼 120ml 2set</t>
        </is>
      </c>
      <c r="H8804" s="7" t="n">
        <v>190801</v>
      </c>
      <c r="I8804" s="7" t="n">
        <v>190801</v>
      </c>
      <c r="K8804" s="94" t="n">
        <v>1</v>
      </c>
      <c r="L8804" s="7" t="n">
        <v>190801</v>
      </c>
      <c r="M8804" s="94">
        <f>VLOOKUP($Q8804,매칭테이블!$F:$I,2,0)*K8804</f>
        <v/>
      </c>
      <c r="N8804" s="94">
        <f>M8804-M8804*VLOOKUP($Q8804,매칭테이블!$F:$I,3,0)</f>
        <v/>
      </c>
      <c r="O8804" s="94">
        <f>VLOOKUP($Q8804,매칭테이블!$F:$I,4,0)*K8804</f>
        <v/>
      </c>
      <c r="P8804" s="148">
        <f>M8804/1.1</f>
        <v/>
      </c>
      <c r="Q8804" s="94">
        <f>F8804&amp;E8804&amp;G8804&amp;L8804</f>
        <v/>
      </c>
    </row>
    <row r="8805" customFormat="1" s="94">
      <c r="B8805" s="128" t="n">
        <v>44073</v>
      </c>
      <c r="C8805" s="94">
        <f>TEXT(B8805,"aaa")</f>
        <v/>
      </c>
      <c r="E8805" s="94" t="inlineStr">
        <is>
          <t>클렌징폼</t>
        </is>
      </c>
      <c r="F8805" s="5" t="inlineStr">
        <is>
          <t>카페24</t>
        </is>
      </c>
      <c r="G8805" s="94" t="inlineStr">
        <is>
          <t>클렌징폼 120ml 3set</t>
        </is>
      </c>
      <c r="H8805" s="7" t="n">
        <v>190801</v>
      </c>
      <c r="I8805" s="7" t="n">
        <v>190801</v>
      </c>
      <c r="K8805" s="94" t="n">
        <v>1</v>
      </c>
      <c r="L8805" s="7" t="n">
        <v>190801</v>
      </c>
      <c r="M8805" s="94">
        <f>VLOOKUP($Q8805,매칭테이블!$F:$I,2,0)*K8805</f>
        <v/>
      </c>
      <c r="N8805" s="94">
        <f>M8805-M8805*VLOOKUP($Q8805,매칭테이블!$F:$I,3,0)</f>
        <v/>
      </c>
      <c r="O8805" s="94">
        <f>VLOOKUP($Q8805,매칭테이블!$F:$I,4,0)*K8805</f>
        <v/>
      </c>
      <c r="P8805" s="148">
        <f>M8805/1.1</f>
        <v/>
      </c>
      <c r="Q8805" s="94">
        <f>F8805&amp;E8805&amp;G8805&amp;L8805</f>
        <v/>
      </c>
    </row>
    <row r="8806" customFormat="1" s="94">
      <c r="B8806" s="128" t="n">
        <v>44073</v>
      </c>
      <c r="C8806" s="94">
        <f>TEXT(B8806,"aaa")</f>
        <v/>
      </c>
      <c r="E8806" s="94" t="inlineStr">
        <is>
          <t>토너</t>
        </is>
      </c>
      <c r="F8806" s="5" t="inlineStr">
        <is>
          <t>랄라블라</t>
        </is>
      </c>
      <c r="G8806" s="94" t="inlineStr">
        <is>
          <t>250ml</t>
        </is>
      </c>
      <c r="H8806" s="7" t="n">
        <v>190801</v>
      </c>
      <c r="I8806" s="7" t="n">
        <v>190801</v>
      </c>
      <c r="K8806" s="94" t="n">
        <v>497</v>
      </c>
      <c r="L8806" s="7" t="n">
        <v>190801</v>
      </c>
      <c r="M8806" s="94">
        <f>VLOOKUP($Q8806,매칭테이블!$F:$I,2,0)*K8806</f>
        <v/>
      </c>
      <c r="N8806" s="94">
        <f>M8806-M8806*VLOOKUP($Q8806,매칭테이블!$F:$I,3,0)</f>
        <v/>
      </c>
      <c r="O8806" s="94">
        <f>VLOOKUP($Q8806,매칭테이블!$F:$I,4,0)*K8806</f>
        <v/>
      </c>
      <c r="P8806" s="148">
        <f>M8806/1.1</f>
        <v/>
      </c>
      <c r="Q8806" s="94">
        <f>F8806&amp;E8806&amp;G8806&amp;L8806</f>
        <v/>
      </c>
    </row>
    <row r="8807" customFormat="1" s="94">
      <c r="B8807" s="128" t="n">
        <v>44073</v>
      </c>
      <c r="C8807" s="94">
        <f>TEXT(B8807,"aaa")</f>
        <v/>
      </c>
      <c r="E8807" s="94" t="inlineStr">
        <is>
          <t>토너</t>
        </is>
      </c>
      <c r="F8807" s="5" t="inlineStr">
        <is>
          <t>랄라블라</t>
        </is>
      </c>
      <c r="G8807" s="94" t="inlineStr">
        <is>
          <t>500ml</t>
        </is>
      </c>
      <c r="H8807" s="7" t="n">
        <v>190801</v>
      </c>
      <c r="I8807" s="7" t="n">
        <v>190801</v>
      </c>
      <c r="K8807" s="94" t="n">
        <v>192</v>
      </c>
      <c r="L8807" s="7" t="n">
        <v>190801</v>
      </c>
      <c r="M8807" s="94">
        <f>VLOOKUP($Q8807,매칭테이블!$F:$I,2,0)*K8807</f>
        <v/>
      </c>
      <c r="N8807" s="94">
        <f>M8807-M8807*VLOOKUP($Q8807,매칭테이블!$F:$I,3,0)</f>
        <v/>
      </c>
      <c r="O8807" s="94">
        <f>VLOOKUP($Q8807,매칭테이블!$F:$I,4,0)*K8807</f>
        <v/>
      </c>
      <c r="P8807" s="148">
        <f>M8807/1.1</f>
        <v/>
      </c>
      <c r="Q8807" s="94">
        <f>F8807&amp;E8807&amp;G8807&amp;L8807</f>
        <v/>
      </c>
    </row>
    <row r="8808" customFormat="1" s="94">
      <c r="B8808" s="128" t="n">
        <v>44073</v>
      </c>
      <c r="C8808" s="94">
        <f>TEXT(B8808,"aaa")</f>
        <v/>
      </c>
      <c r="E8808" s="94" t="inlineStr">
        <is>
          <t>마스크팩</t>
        </is>
      </c>
      <c r="F8808" s="5" t="inlineStr">
        <is>
          <t>랄라블라</t>
        </is>
      </c>
      <c r="G8808" s="94" t="inlineStr">
        <is>
          <t>마스크팩 1매</t>
        </is>
      </c>
      <c r="H8808" s="7" t="n">
        <v>190801</v>
      </c>
      <c r="I8808" s="7" t="n">
        <v>190801</v>
      </c>
      <c r="K8808" s="94" t="n">
        <v>399</v>
      </c>
      <c r="L8808" s="7" t="n">
        <v>190801</v>
      </c>
      <c r="M8808" s="94">
        <f>VLOOKUP($Q8808,매칭테이블!$F:$I,2,0)*K8808</f>
        <v/>
      </c>
      <c r="N8808" s="94">
        <f>M8808-M8808*VLOOKUP($Q8808,매칭테이블!$F:$I,3,0)</f>
        <v/>
      </c>
      <c r="O8808" s="94">
        <f>VLOOKUP($Q8808,매칭테이블!$F:$I,4,0)*K8808</f>
        <v/>
      </c>
      <c r="P8808" s="148">
        <f>M8808/1.1</f>
        <v/>
      </c>
      <c r="Q8808" s="94">
        <f>F8808&amp;E8808&amp;G8808&amp;L8808</f>
        <v/>
      </c>
    </row>
    <row r="8809" customFormat="1" s="94">
      <c r="B8809" s="128" t="n">
        <v>44073</v>
      </c>
      <c r="C8809" s="94">
        <f>TEXT(B8809,"aaa")</f>
        <v/>
      </c>
      <c r="E8809" s="94" t="inlineStr">
        <is>
          <t>수딩크림 증정기획</t>
        </is>
      </c>
      <c r="F8809" s="5" t="inlineStr">
        <is>
          <t>랄라블라</t>
        </is>
      </c>
      <c r="G8809" s="94" t="inlineStr">
        <is>
          <t>수딩크림 증정기획</t>
        </is>
      </c>
      <c r="H8809" s="7" t="n">
        <v>190801</v>
      </c>
      <c r="I8809" s="7" t="n">
        <v>190801</v>
      </c>
      <c r="K8809" s="94" t="n">
        <v>39</v>
      </c>
      <c r="L8809" s="7" t="n">
        <v>190801</v>
      </c>
      <c r="M8809" s="94">
        <f>VLOOKUP($Q8809,매칭테이블!$F:$I,2,0)*K8809</f>
        <v/>
      </c>
      <c r="N8809" s="94">
        <f>M8809-M8809*VLOOKUP($Q8809,매칭테이블!$F:$I,3,0)</f>
        <v/>
      </c>
      <c r="O8809" s="94">
        <f>VLOOKUP($Q8809,매칭테이블!$F:$I,4,0)*K8809</f>
        <v/>
      </c>
      <c r="P8809" s="148">
        <f>M8809/1.1</f>
        <v/>
      </c>
      <c r="Q8809" s="94">
        <f>F8809&amp;E8809&amp;G8809&amp;L8809</f>
        <v/>
      </c>
    </row>
    <row r="8810" customFormat="1" s="94">
      <c r="B8810" s="128" t="n">
        <v>44073</v>
      </c>
      <c r="C8810" s="94">
        <f>TEXT(B8810,"aaa")</f>
        <v/>
      </c>
      <c r="E8810" s="94" t="inlineStr">
        <is>
          <t>수딩크림</t>
        </is>
      </c>
      <c r="F8810" s="5" t="inlineStr">
        <is>
          <t>랄라블라</t>
        </is>
      </c>
      <c r="G8810" s="94" t="inlineStr">
        <is>
          <t>수딩크림 100ml</t>
        </is>
      </c>
      <c r="H8810" s="7" t="n">
        <v>190801</v>
      </c>
      <c r="I8810" s="7" t="n">
        <v>190801</v>
      </c>
      <c r="K8810" s="94" t="n">
        <v>35</v>
      </c>
      <c r="L8810" s="7" t="n">
        <v>190801</v>
      </c>
      <c r="M8810" s="94">
        <f>VLOOKUP($Q8810,매칭테이블!$F:$I,2,0)*K8810</f>
        <v/>
      </c>
      <c r="N8810" s="94">
        <f>M8810-M8810*VLOOKUP($Q8810,매칭테이블!$F:$I,3,0)</f>
        <v/>
      </c>
      <c r="O8810" s="94">
        <f>VLOOKUP($Q8810,매칭테이블!$F:$I,4,0)*K8810</f>
        <v/>
      </c>
      <c r="P8810" s="148">
        <f>M8810/1.1</f>
        <v/>
      </c>
      <c r="Q8810" s="94">
        <f>F8810&amp;E8810&amp;G8810&amp;L8810</f>
        <v/>
      </c>
    </row>
    <row r="8811" customFormat="1" s="94">
      <c r="B8811" s="128" t="n">
        <v>44073</v>
      </c>
      <c r="C8811" s="94">
        <f>TEXT(B8811,"aaa")</f>
        <v/>
      </c>
      <c r="E8811" s="94" t="inlineStr">
        <is>
          <t>앰플 기획세트</t>
        </is>
      </c>
      <c r="F8811" s="5" t="inlineStr">
        <is>
          <t>랄라블라</t>
        </is>
      </c>
      <c r="G8811" s="94" t="inlineStr">
        <is>
          <t>앰플 기획세트</t>
        </is>
      </c>
      <c r="H8811" s="7" t="n">
        <v>190801</v>
      </c>
      <c r="I8811" s="7" t="n">
        <v>190801</v>
      </c>
      <c r="K8811" s="94" t="n">
        <v>92</v>
      </c>
      <c r="L8811" s="7" t="n">
        <v>190801</v>
      </c>
      <c r="M8811" s="94">
        <f>VLOOKUP($Q8811,매칭테이블!$F:$I,2,0)*K8811</f>
        <v/>
      </c>
      <c r="N8811" s="94">
        <f>M8811-M8811*VLOOKUP($Q8811,매칭테이블!$F:$I,3,0)</f>
        <v/>
      </c>
      <c r="O8811" s="94">
        <f>VLOOKUP($Q8811,매칭테이블!$F:$I,4,0)*K8811</f>
        <v/>
      </c>
      <c r="P8811" s="148">
        <f>M8811/1.1</f>
        <v/>
      </c>
      <c r="Q8811" s="94">
        <f>F8811&amp;E8811&amp;G8811&amp;L8811</f>
        <v/>
      </c>
    </row>
    <row r="8812" customFormat="1" s="94">
      <c r="B8812" s="128" t="n">
        <v>44073</v>
      </c>
      <c r="C8812" s="94">
        <f>TEXT(B8812,"aaa")</f>
        <v/>
      </c>
      <c r="E8812" s="94" t="inlineStr">
        <is>
          <t>클렌징폼 기획세트</t>
        </is>
      </c>
      <c r="F8812" s="5" t="inlineStr">
        <is>
          <t>랄라블라</t>
        </is>
      </c>
      <c r="G8812" s="94" t="inlineStr">
        <is>
          <t>클렌징폼 기획세트</t>
        </is>
      </c>
      <c r="H8812" s="7" t="n">
        <v>190801</v>
      </c>
      <c r="I8812" s="7" t="n">
        <v>190801</v>
      </c>
      <c r="K8812" s="94" t="n">
        <v>13</v>
      </c>
      <c r="L8812" s="7" t="n">
        <v>190801</v>
      </c>
      <c r="M8812" s="94">
        <f>VLOOKUP($Q8812,매칭테이블!$F:$I,2,0)*K8812</f>
        <v/>
      </c>
      <c r="N8812" s="94">
        <f>M8812-M8812*VLOOKUP($Q8812,매칭테이블!$F:$I,3,0)</f>
        <v/>
      </c>
      <c r="O8812" s="94">
        <f>VLOOKUP($Q8812,매칭테이블!$F:$I,4,0)*K8812</f>
        <v/>
      </c>
      <c r="P8812" s="148">
        <f>M8812/1.1</f>
        <v/>
      </c>
      <c r="Q8812" s="94">
        <f>F8812&amp;E8812&amp;G8812&amp;L8812</f>
        <v/>
      </c>
    </row>
    <row r="8813" customFormat="1" s="94">
      <c r="B8813" s="128" t="n">
        <v>44073</v>
      </c>
      <c r="C8813" s="94">
        <f>TEXT(B8813,"aaa")</f>
        <v/>
      </c>
      <c r="E8813" s="94" t="inlineStr">
        <is>
          <t>클렌징폼</t>
        </is>
      </c>
      <c r="F8813" s="5" t="inlineStr">
        <is>
          <t>랄라블라</t>
        </is>
      </c>
      <c r="G8813" s="94" t="inlineStr">
        <is>
          <t>클렌징폼 120ml</t>
        </is>
      </c>
      <c r="H8813" s="7" t="n">
        <v>190801</v>
      </c>
      <c r="I8813" s="7" t="n">
        <v>190801</v>
      </c>
      <c r="K8813" s="94" t="n">
        <v>58</v>
      </c>
      <c r="L8813" s="7" t="n">
        <v>190801</v>
      </c>
      <c r="M8813" s="94">
        <f>VLOOKUP($Q8813,매칭테이블!$F:$I,2,0)*K8813</f>
        <v/>
      </c>
      <c r="N8813" s="94">
        <f>M8813-M8813*VLOOKUP($Q8813,매칭테이블!$F:$I,3,0)</f>
        <v/>
      </c>
      <c r="O8813" s="94">
        <f>VLOOKUP($Q8813,매칭테이블!$F:$I,4,0)*K8813</f>
        <v/>
      </c>
      <c r="P8813" s="148">
        <f>M8813/1.1</f>
        <v/>
      </c>
      <c r="Q8813" s="94">
        <f>F8813&amp;E8813&amp;G8813&amp;L8813</f>
        <v/>
      </c>
    </row>
    <row r="8814" customFormat="1" s="94">
      <c r="B8814" s="128" t="n">
        <v>44073</v>
      </c>
      <c r="C8814" s="94">
        <f>TEXT(B8814,"aaa")</f>
        <v/>
      </c>
      <c r="E8814" s="94" t="inlineStr">
        <is>
          <t>토너 증정기획</t>
        </is>
      </c>
      <c r="F8814" s="5" t="inlineStr">
        <is>
          <t>랄라블라</t>
        </is>
      </c>
      <c r="G8814" s="94" t="inlineStr">
        <is>
          <t>토너 증정기획</t>
        </is>
      </c>
      <c r="H8814" s="7" t="n">
        <v>190801</v>
      </c>
      <c r="I8814" s="7" t="n">
        <v>190801</v>
      </c>
      <c r="K8814" s="94" t="n">
        <v>2</v>
      </c>
      <c r="L8814" s="7" t="n">
        <v>190801</v>
      </c>
      <c r="M8814" s="94">
        <f>VLOOKUP($Q8814,매칭테이블!$F:$I,2,0)*K8814</f>
        <v/>
      </c>
      <c r="N8814" s="94">
        <f>M8814-M8814*VLOOKUP($Q8814,매칭테이블!$F:$I,3,0)</f>
        <v/>
      </c>
      <c r="O8814" s="94">
        <f>VLOOKUP($Q8814,매칭테이블!$F:$I,4,0)*K8814</f>
        <v/>
      </c>
      <c r="P8814" s="148">
        <f>M8814/1.1</f>
        <v/>
      </c>
      <c r="Q8814" s="94">
        <f>F8814&amp;E8814&amp;G8814&amp;L8814</f>
        <v/>
      </c>
    </row>
    <row r="8815" customFormat="1" s="94">
      <c r="B8815" s="128" t="n">
        <v>44073</v>
      </c>
      <c r="C8815" s="94">
        <f>TEXT(B8815,"aaa")</f>
        <v/>
      </c>
      <c r="E8815" s="94" t="inlineStr">
        <is>
          <t>선크림</t>
        </is>
      </c>
      <c r="F8815" s="5" t="inlineStr">
        <is>
          <t>랄라블라</t>
        </is>
      </c>
      <c r="G8815" s="94" t="inlineStr">
        <is>
          <t>선크림 50ml</t>
        </is>
      </c>
      <c r="H8815" s="7" t="n">
        <v>190801</v>
      </c>
      <c r="I8815" s="7" t="n">
        <v>190801</v>
      </c>
      <c r="K8815" s="94" t="n">
        <v>32</v>
      </c>
      <c r="L8815" s="7" t="n">
        <v>190801</v>
      </c>
      <c r="M8815" s="94">
        <f>VLOOKUP($Q8815,매칭테이블!$F:$I,2,0)*K8815</f>
        <v/>
      </c>
      <c r="N8815" s="94">
        <f>M8815-M8815*VLOOKUP($Q8815,매칭테이블!$F:$I,3,0)</f>
        <v/>
      </c>
      <c r="O8815" s="94">
        <f>VLOOKUP($Q8815,매칭테이블!$F:$I,4,0)*K8815</f>
        <v/>
      </c>
      <c r="P8815" s="148">
        <f>M8815/1.1</f>
        <v/>
      </c>
      <c r="Q8815" s="94">
        <f>F8815&amp;E8815&amp;G8815&amp;L8815</f>
        <v/>
      </c>
    </row>
    <row r="8816" customFormat="1" s="94">
      <c r="B8816" s="128" t="n">
        <v>44073</v>
      </c>
      <c r="C8816" s="94">
        <f>TEXT(B8816,"aaa")</f>
        <v/>
      </c>
      <c r="E8816" s="94" t="inlineStr">
        <is>
          <t>대용량 기획세트</t>
        </is>
      </c>
      <c r="F8816" s="5" t="inlineStr">
        <is>
          <t>랄라블라</t>
        </is>
      </c>
      <c r="G8816" s="94" t="inlineStr">
        <is>
          <t>대용량 기획세트</t>
        </is>
      </c>
      <c r="H8816" s="7" t="n">
        <v>190801</v>
      </c>
      <c r="I8816" s="7" t="n">
        <v>190801</v>
      </c>
      <c r="K8816" s="94" t="n">
        <v>17</v>
      </c>
      <c r="L8816" s="7" t="n">
        <v>190801</v>
      </c>
      <c r="M8816" s="94">
        <f>VLOOKUP($Q8816,매칭테이블!$F:$I,2,0)*K8816</f>
        <v/>
      </c>
      <c r="N8816" s="94">
        <f>M8816-M8816*VLOOKUP($Q8816,매칭테이블!$F:$I,3,0)</f>
        <v/>
      </c>
      <c r="O8816" s="94">
        <f>VLOOKUP($Q8816,매칭테이블!$F:$I,4,0)*K8816</f>
        <v/>
      </c>
      <c r="P8816" s="148">
        <f>M8816/1.1</f>
        <v/>
      </c>
      <c r="Q8816" s="94">
        <f>F8816&amp;E8816&amp;G8816&amp;L8816</f>
        <v/>
      </c>
    </row>
    <row r="8817" customFormat="1" s="94">
      <c r="B8817" s="128" t="n">
        <v>44073</v>
      </c>
      <c r="C8817" s="94">
        <f>TEXT(B8817,"aaa")</f>
        <v/>
      </c>
      <c r="E8817" s="94" t="inlineStr">
        <is>
          <t>마스크팩</t>
        </is>
      </c>
      <c r="F8817" s="5" t="inlineStr">
        <is>
          <t>랄라블라</t>
        </is>
      </c>
      <c r="G8817" s="94" t="inlineStr">
        <is>
          <t>마스크 5+1 기획세트</t>
        </is>
      </c>
      <c r="H8817" s="7" t="n">
        <v>190801</v>
      </c>
      <c r="I8817" s="7" t="n">
        <v>190801</v>
      </c>
      <c r="K8817" s="94" t="n">
        <v>217</v>
      </c>
      <c r="L8817" s="7" t="n">
        <v>190801</v>
      </c>
      <c r="M8817" s="94">
        <f>VLOOKUP($Q8817,매칭테이블!$F:$I,2,0)*K8817</f>
        <v/>
      </c>
      <c r="N8817" s="94">
        <f>M8817-M8817*VLOOKUP($Q8817,매칭테이블!$F:$I,3,0)</f>
        <v/>
      </c>
      <c r="O8817" s="94">
        <f>VLOOKUP($Q8817,매칭테이블!$F:$I,4,0)*K8817</f>
        <v/>
      </c>
      <c r="P8817" s="148">
        <f>M8817/1.1</f>
        <v/>
      </c>
      <c r="Q8817" s="94">
        <f>F8817&amp;E8817&amp;G8817&amp;L8817</f>
        <v/>
      </c>
    </row>
    <row r="8818" customFormat="1" s="94">
      <c r="B8818" s="128" t="n">
        <v>44074</v>
      </c>
      <c r="C8818" s="94">
        <f>TEXT(B8818,"aaa")</f>
        <v/>
      </c>
      <c r="E8818" s="94" t="inlineStr">
        <is>
          <t>토너</t>
        </is>
      </c>
      <c r="F8818" s="5" t="inlineStr">
        <is>
          <t>쇼피인도네시아</t>
        </is>
      </c>
      <c r="G8818" s="94" t="inlineStr">
        <is>
          <t>200831=500ml</t>
        </is>
      </c>
      <c r="H8818" s="7" t="n">
        <v>190801</v>
      </c>
      <c r="I8818" s="7" t="n">
        <v>190801</v>
      </c>
      <c r="K8818" s="94" t="n">
        <v>1</v>
      </c>
      <c r="L8818" s="7" t="n">
        <v>190801</v>
      </c>
      <c r="M8818" s="94">
        <f>VLOOKUP($Q8818,매칭테이블!$F:$I,2,0)*K8818</f>
        <v/>
      </c>
      <c r="N8818" s="94">
        <f>M8818-M8818*VLOOKUP($Q8818,매칭테이블!$F:$I,3,0)</f>
        <v/>
      </c>
      <c r="O8818" s="94">
        <f>VLOOKUP($Q8818,매칭테이블!$F:$I,4,0)*K8818</f>
        <v/>
      </c>
      <c r="P8818" s="148">
        <f>M8818/1.1</f>
        <v/>
      </c>
      <c r="Q8818" s="94">
        <f>F8818&amp;E8818&amp;G8818&amp;L8818</f>
        <v/>
      </c>
    </row>
    <row r="8819" customFormat="1" s="94">
      <c r="B8819" s="128" t="n">
        <v>44074</v>
      </c>
      <c r="C8819" s="94">
        <f>TEXT(B8819,"aaa")</f>
        <v/>
      </c>
      <c r="E8819" s="94" t="inlineStr">
        <is>
          <t>토너</t>
        </is>
      </c>
      <c r="F8819" s="5" t="inlineStr">
        <is>
          <t>쇼피싱가폴</t>
        </is>
      </c>
      <c r="G8819" s="94" t="inlineStr">
        <is>
          <t>200831=250ml</t>
        </is>
      </c>
      <c r="H8819" s="7" t="n">
        <v>190801</v>
      </c>
      <c r="I8819" s="7" t="n">
        <v>190801</v>
      </c>
      <c r="K8819" s="94" t="n">
        <v>1</v>
      </c>
      <c r="L8819" s="7" t="n">
        <v>190801</v>
      </c>
      <c r="M8819" s="94">
        <f>VLOOKUP($Q8819,매칭테이블!$F:$I,2,0)*K8819</f>
        <v/>
      </c>
      <c r="N8819" s="94">
        <f>M8819-M8819*VLOOKUP($Q8819,매칭테이블!$F:$I,3,0)</f>
        <v/>
      </c>
      <c r="O8819" s="94">
        <f>VLOOKUP($Q8819,매칭테이블!$F:$I,4,0)*K8819</f>
        <v/>
      </c>
      <c r="P8819" s="148">
        <f>M8819/1.1</f>
        <v/>
      </c>
      <c r="Q8819" s="94">
        <f>F8819&amp;E8819&amp;G8819&amp;L8819</f>
        <v/>
      </c>
    </row>
    <row r="8820" customFormat="1" s="94">
      <c r="B8820" s="128" t="n">
        <v>44074</v>
      </c>
      <c r="C8820" s="94">
        <f>TEXT(B8820,"aaa")</f>
        <v/>
      </c>
      <c r="E8820" s="94" t="inlineStr">
        <is>
          <t>토너</t>
        </is>
      </c>
      <c r="F8820" s="5" t="inlineStr">
        <is>
          <t>스타일쉐어</t>
        </is>
      </c>
      <c r="G8820" s="94" t="inlineStr">
        <is>
          <t>250ml</t>
        </is>
      </c>
      <c r="H8820" s="7" t="n">
        <v>190801</v>
      </c>
      <c r="I8820" s="7" t="n">
        <v>190801</v>
      </c>
      <c r="K8820" s="94" t="n">
        <v>4</v>
      </c>
      <c r="L8820" s="7" t="n">
        <v>190801</v>
      </c>
      <c r="M8820" s="94">
        <f>VLOOKUP($Q8820,매칭테이블!$F:$I,2,0)*K8820</f>
        <v/>
      </c>
      <c r="N8820" s="94">
        <f>M8820-M8820*VLOOKUP($Q8820,매칭테이블!$F:$I,3,0)</f>
        <v/>
      </c>
      <c r="O8820" s="94">
        <f>VLOOKUP($Q8820,매칭테이블!$F:$I,4,0)*K8820</f>
        <v/>
      </c>
      <c r="P8820" s="148">
        <f>M8820/1.1</f>
        <v/>
      </c>
      <c r="Q8820" s="94">
        <f>F8820&amp;E8820&amp;G8820&amp;L8820</f>
        <v/>
      </c>
    </row>
    <row r="8821" customFormat="1" s="94">
      <c r="B8821" s="128" t="n">
        <v>44074</v>
      </c>
      <c r="C8821" s="94">
        <f>TEXT(B8821,"aaa")</f>
        <v/>
      </c>
      <c r="E8821" s="94" t="inlineStr">
        <is>
          <t>선크림</t>
        </is>
      </c>
      <c r="F8821" s="5" t="inlineStr">
        <is>
          <t>카페24</t>
        </is>
      </c>
      <c r="G8821" s="94" t="inlineStr">
        <is>
          <t>선크림 50ml</t>
        </is>
      </c>
      <c r="H8821" s="7" t="n">
        <v>190801</v>
      </c>
      <c r="I8821" s="7" t="n">
        <v>190801</v>
      </c>
      <c r="K8821" s="94" t="n">
        <v>4</v>
      </c>
      <c r="L8821" s="7" t="n">
        <v>190801</v>
      </c>
      <c r="M8821" s="94">
        <f>VLOOKUP($Q8821,매칭테이블!$F:$I,2,0)*K8821</f>
        <v/>
      </c>
      <c r="N8821" s="94">
        <f>M8821-M8821*VLOOKUP($Q8821,매칭테이블!$F:$I,3,0)</f>
        <v/>
      </c>
      <c r="O8821" s="94">
        <f>VLOOKUP($Q8821,매칭테이블!$F:$I,4,0)*K8821</f>
        <v/>
      </c>
      <c r="P8821" s="148">
        <f>M8821/1.1</f>
        <v/>
      </c>
      <c r="Q8821" s="94">
        <f>F8821&amp;E8821&amp;G8821&amp;L8821</f>
        <v/>
      </c>
    </row>
    <row r="8822" customFormat="1" s="94">
      <c r="B8822" s="128" t="n">
        <v>44074</v>
      </c>
      <c r="C8822" s="94">
        <f>TEXT(B8822,"aaa")</f>
        <v/>
      </c>
      <c r="E8822" s="94" t="inlineStr">
        <is>
          <t>여름 한정 진정세트</t>
        </is>
      </c>
      <c r="F8822" s="5" t="inlineStr">
        <is>
          <t>카페24</t>
        </is>
      </c>
      <c r="G8822" s="94" t="inlineStr">
        <is>
          <t>여름 한정 진정세트</t>
        </is>
      </c>
      <c r="H8822" s="7" t="n">
        <v>190801</v>
      </c>
      <c r="I8822" s="7" t="n">
        <v>190801</v>
      </c>
      <c r="K8822" s="94" t="n">
        <v>2</v>
      </c>
      <c r="L8822" s="7" t="n">
        <v>190801</v>
      </c>
      <c r="M8822" s="94">
        <f>VLOOKUP($Q8822,매칭테이블!$F:$I,2,0)*K8822</f>
        <v/>
      </c>
      <c r="N8822" s="94">
        <f>M8822-M8822*VLOOKUP($Q8822,매칭테이블!$F:$I,3,0)</f>
        <v/>
      </c>
      <c r="O8822" s="94">
        <f>VLOOKUP($Q8822,매칭테이블!$F:$I,4,0)*K8822</f>
        <v/>
      </c>
      <c r="P8822" s="148">
        <f>M8822/1.1</f>
        <v/>
      </c>
      <c r="Q8822" s="94">
        <f>F8822&amp;E8822&amp;G8822&amp;L8822</f>
        <v/>
      </c>
    </row>
    <row r="8823" customFormat="1" s="94">
      <c r="B8823" s="128" t="n">
        <v>44074</v>
      </c>
      <c r="C8823" s="94">
        <f>TEXT(B8823,"aaa")</f>
        <v/>
      </c>
      <c r="E8823" s="94" t="inlineStr">
        <is>
          <t>여름 한정 진정세트</t>
        </is>
      </c>
      <c r="F8823" s="5" t="inlineStr">
        <is>
          <t>카페24</t>
        </is>
      </c>
      <c r="G8823" s="94" t="inlineStr">
        <is>
          <t>여름 한정 진정세트 (대용량)</t>
        </is>
      </c>
      <c r="H8823" s="7" t="n">
        <v>190801</v>
      </c>
      <c r="I8823" s="7" t="n">
        <v>190801</v>
      </c>
      <c r="K8823" s="94" t="n">
        <v>1</v>
      </c>
      <c r="L8823" s="7" t="n">
        <v>190801</v>
      </c>
      <c r="M8823" s="94">
        <f>VLOOKUP($Q8823,매칭테이블!$F:$I,2,0)*K8823</f>
        <v/>
      </c>
      <c r="N8823" s="94">
        <f>M8823-M8823*VLOOKUP($Q8823,매칭테이블!$F:$I,3,0)</f>
        <v/>
      </c>
      <c r="O8823" s="94">
        <f>VLOOKUP($Q8823,매칭테이블!$F:$I,4,0)*K8823</f>
        <v/>
      </c>
      <c r="P8823" s="148">
        <f>M8823/1.1</f>
        <v/>
      </c>
      <c r="Q8823" s="94">
        <f>F8823&amp;E8823&amp;G8823&amp;L8823</f>
        <v/>
      </c>
    </row>
    <row r="8824" customFormat="1" s="94">
      <c r="B8824" s="128" t="n">
        <v>44074</v>
      </c>
      <c r="C8824" s="94">
        <f>TEXT(B8824,"aaa")</f>
        <v/>
      </c>
      <c r="E8824" s="94" t="inlineStr">
        <is>
          <t>어성초진정패키지</t>
        </is>
      </c>
      <c r="F8824" s="5" t="inlineStr">
        <is>
          <t>카페24</t>
        </is>
      </c>
      <c r="G8824" s="94" t="inlineStr">
        <is>
          <t>어성초 진정패키지세트</t>
        </is>
      </c>
      <c r="H8824" s="7" t="n">
        <v>190801</v>
      </c>
      <c r="I8824" s="7" t="n">
        <v>190801</v>
      </c>
      <c r="K8824" s="94" t="n">
        <v>2</v>
      </c>
      <c r="L8824" s="7" t="n">
        <v>190801</v>
      </c>
      <c r="M8824" s="94">
        <f>VLOOKUP($Q8824,매칭테이블!$F:$I,2,0)*K8824</f>
        <v/>
      </c>
      <c r="N8824" s="94">
        <f>M8824-M8824*VLOOKUP($Q8824,매칭테이블!$F:$I,3,0)</f>
        <v/>
      </c>
      <c r="O8824" s="94">
        <f>VLOOKUP($Q8824,매칭테이블!$F:$I,4,0)*K8824</f>
        <v/>
      </c>
      <c r="P8824" s="148">
        <f>M8824/1.1</f>
        <v/>
      </c>
      <c r="Q8824" s="94">
        <f>F8824&amp;E8824&amp;G8824&amp;L8824</f>
        <v/>
      </c>
    </row>
    <row r="8825" customFormat="1" s="94">
      <c r="B8825" s="128" t="n">
        <v>44074</v>
      </c>
      <c r="C8825" s="94">
        <f>TEXT(B8825,"aaa")</f>
        <v/>
      </c>
      <c r="E8825" s="94" t="inlineStr">
        <is>
          <t>머드크림마스크</t>
        </is>
      </c>
      <c r="F8825" s="5" t="inlineStr">
        <is>
          <t>카페24</t>
        </is>
      </c>
      <c r="G8825" s="94" t="inlineStr">
        <is>
          <t>머드크림마스크 100ml</t>
        </is>
      </c>
      <c r="H8825" s="7" t="n">
        <v>190801</v>
      </c>
      <c r="I8825" s="7" t="n">
        <v>190801</v>
      </c>
      <c r="K8825" s="94" t="n">
        <v>5</v>
      </c>
      <c r="L8825" s="7" t="n">
        <v>190801</v>
      </c>
      <c r="M8825" s="94">
        <f>VLOOKUP($Q8825,매칭테이블!$F:$I,2,0)*K8825</f>
        <v/>
      </c>
      <c r="N8825" s="94">
        <f>M8825-M8825*VLOOKUP($Q8825,매칭테이블!$F:$I,3,0)</f>
        <v/>
      </c>
      <c r="O8825" s="94">
        <f>VLOOKUP($Q8825,매칭테이블!$F:$I,4,0)*K8825</f>
        <v/>
      </c>
      <c r="P8825" s="148">
        <f>M8825/1.1</f>
        <v/>
      </c>
      <c r="Q8825" s="94">
        <f>F8825&amp;E8825&amp;G8825&amp;L8825</f>
        <v/>
      </c>
    </row>
    <row r="8826" customFormat="1" s="94">
      <c r="B8826" s="128" t="n">
        <v>44074</v>
      </c>
      <c r="C8826" s="94">
        <f>TEXT(B8826,"aaa")</f>
        <v/>
      </c>
      <c r="E8826" s="94" t="inlineStr">
        <is>
          <t>머드크림마스크</t>
        </is>
      </c>
      <c r="F8826" s="5" t="inlineStr">
        <is>
          <t>카페24</t>
        </is>
      </c>
      <c r="G8826" s="94" t="inlineStr">
        <is>
          <t>머드크림마스크 100ml 2set</t>
        </is>
      </c>
      <c r="H8826" s="7" t="n">
        <v>190801</v>
      </c>
      <c r="I8826" s="7" t="n">
        <v>190801</v>
      </c>
      <c r="K8826" s="94" t="n">
        <v>1</v>
      </c>
      <c r="L8826" s="7" t="n">
        <v>190801</v>
      </c>
      <c r="M8826" s="94">
        <f>VLOOKUP($Q8826,매칭테이블!$F:$I,2,0)*K8826</f>
        <v/>
      </c>
      <c r="N8826" s="94">
        <f>M8826-M8826*VLOOKUP($Q8826,매칭테이블!$F:$I,3,0)</f>
        <v/>
      </c>
      <c r="O8826" s="94">
        <f>VLOOKUP($Q8826,매칭테이블!$F:$I,4,0)*K8826</f>
        <v/>
      </c>
      <c r="P8826" s="148">
        <f>M8826/1.1</f>
        <v/>
      </c>
      <c r="Q8826" s="94">
        <f>F8826&amp;E8826&amp;G8826&amp;L8826</f>
        <v/>
      </c>
    </row>
    <row r="8827" customFormat="1" s="94">
      <c r="B8827" s="128" t="n">
        <v>44074</v>
      </c>
      <c r="C8827" s="94">
        <f>TEXT(B8827,"aaa")</f>
        <v/>
      </c>
      <c r="E8827" s="94" t="inlineStr">
        <is>
          <t>마스크팩</t>
        </is>
      </c>
      <c r="F8827" s="5" t="inlineStr">
        <is>
          <t>카페24</t>
        </is>
      </c>
      <c r="G8827" s="94" t="inlineStr">
        <is>
          <t>마스크팩 1매</t>
        </is>
      </c>
      <c r="H8827" s="7" t="n">
        <v>190801</v>
      </c>
      <c r="I8827" s="7" t="n">
        <v>190801</v>
      </c>
      <c r="K8827" s="94" t="n">
        <v>10</v>
      </c>
      <c r="L8827" s="7" t="n">
        <v>190801</v>
      </c>
      <c r="M8827" s="94">
        <f>VLOOKUP($Q8827,매칭테이블!$F:$I,2,0)*K8827</f>
        <v/>
      </c>
      <c r="N8827" s="94">
        <f>M8827-M8827*VLOOKUP($Q8827,매칭테이블!$F:$I,3,0)</f>
        <v/>
      </c>
      <c r="O8827" s="94">
        <f>VLOOKUP($Q8827,매칭테이블!$F:$I,4,0)*K8827</f>
        <v/>
      </c>
      <c r="P8827" s="148">
        <f>M8827/1.1</f>
        <v/>
      </c>
      <c r="Q8827" s="94">
        <f>F8827&amp;E8827&amp;G8827&amp;L8827</f>
        <v/>
      </c>
    </row>
    <row r="8828" customFormat="1" s="94">
      <c r="B8828" s="128" t="n">
        <v>44074</v>
      </c>
      <c r="C8828" s="94">
        <f>TEXT(B8828,"aaa")</f>
        <v/>
      </c>
      <c r="E8828" s="94" t="inlineStr">
        <is>
          <t>마스크팩</t>
        </is>
      </c>
      <c r="F8828" s="5" t="inlineStr">
        <is>
          <t>카페24</t>
        </is>
      </c>
      <c r="G8828" s="94" t="inlineStr">
        <is>
          <t>마스크팩 10매</t>
        </is>
      </c>
      <c r="H8828" s="7" t="n">
        <v>190801</v>
      </c>
      <c r="I8828" s="7" t="n">
        <v>190801</v>
      </c>
      <c r="K8828" s="94" t="n">
        <v>3</v>
      </c>
      <c r="L8828" s="7" t="n">
        <v>190801</v>
      </c>
      <c r="M8828" s="94">
        <f>VLOOKUP($Q8828,매칭테이블!$F:$I,2,0)*K8828</f>
        <v/>
      </c>
      <c r="N8828" s="94">
        <f>M8828-M8828*VLOOKUP($Q8828,매칭테이블!$F:$I,3,0)</f>
        <v/>
      </c>
      <c r="O8828" s="94">
        <f>VLOOKUP($Q8828,매칭테이블!$F:$I,4,0)*K8828</f>
        <v/>
      </c>
      <c r="P8828" s="148">
        <f>M8828/1.1</f>
        <v/>
      </c>
      <c r="Q8828" s="94">
        <f>F8828&amp;E8828&amp;G8828&amp;L8828</f>
        <v/>
      </c>
    </row>
    <row r="8829" customFormat="1" s="94">
      <c r="B8829" s="128" t="n">
        <v>44074</v>
      </c>
      <c r="C8829" s="94">
        <f>TEXT(B8829,"aaa")</f>
        <v/>
      </c>
      <c r="E8829" s="94" t="inlineStr">
        <is>
          <t>토너</t>
        </is>
      </c>
      <c r="F8829" s="5" t="inlineStr">
        <is>
          <t>카페24</t>
        </is>
      </c>
      <c r="G8829" s="94" t="inlineStr">
        <is>
          <t>250ml</t>
        </is>
      </c>
      <c r="H8829" s="7" t="n">
        <v>190801</v>
      </c>
      <c r="I8829" s="7" t="n">
        <v>190801</v>
      </c>
      <c r="K8829" s="94" t="n">
        <v>83</v>
      </c>
      <c r="L8829" s="7" t="n">
        <v>190801</v>
      </c>
      <c r="M8829" s="94">
        <f>VLOOKUP($Q8829,매칭테이블!$F:$I,2,0)*K8829</f>
        <v/>
      </c>
      <c r="N8829" s="94">
        <f>M8829-M8829*VLOOKUP($Q8829,매칭테이블!$F:$I,3,0)</f>
        <v/>
      </c>
      <c r="O8829" s="94">
        <f>VLOOKUP($Q8829,매칭테이블!$F:$I,4,0)*K8829</f>
        <v/>
      </c>
      <c r="P8829" s="148">
        <f>M8829/1.1</f>
        <v/>
      </c>
      <c r="Q8829" s="94">
        <f>F8829&amp;E8829&amp;G8829&amp;L8829</f>
        <v/>
      </c>
    </row>
    <row r="8830" customFormat="1" s="94">
      <c r="B8830" s="128" t="n">
        <v>44074</v>
      </c>
      <c r="C8830" s="94">
        <f>TEXT(B8830,"aaa")</f>
        <v/>
      </c>
      <c r="E8830" s="94" t="inlineStr">
        <is>
          <t>토너</t>
        </is>
      </c>
      <c r="F8830" s="5" t="inlineStr">
        <is>
          <t>카페24</t>
        </is>
      </c>
      <c r="G8830" s="94" t="inlineStr">
        <is>
          <t>250ml 2set</t>
        </is>
      </c>
      <c r="H8830" s="7" t="n">
        <v>190801</v>
      </c>
      <c r="I8830" s="7" t="n">
        <v>190801</v>
      </c>
      <c r="K8830" s="94" t="n">
        <v>65</v>
      </c>
      <c r="L8830" s="7" t="n">
        <v>190801</v>
      </c>
      <c r="M8830" s="94">
        <f>VLOOKUP($Q8830,매칭테이블!$F:$I,2,0)*K8830</f>
        <v/>
      </c>
      <c r="N8830" s="94">
        <f>M8830-M8830*VLOOKUP($Q8830,매칭테이블!$F:$I,3,0)</f>
        <v/>
      </c>
      <c r="O8830" s="94">
        <f>VLOOKUP($Q8830,매칭테이블!$F:$I,4,0)*K8830</f>
        <v/>
      </c>
      <c r="P8830" s="148">
        <f>M8830/1.1</f>
        <v/>
      </c>
      <c r="Q8830" s="94">
        <f>F8830&amp;E8830&amp;G8830&amp;L8830</f>
        <v/>
      </c>
    </row>
    <row r="8831" customFormat="1" s="94">
      <c r="B8831" s="128" t="n">
        <v>44074</v>
      </c>
      <c r="C8831" s="94">
        <f>TEXT(B8831,"aaa")</f>
        <v/>
      </c>
      <c r="E8831" s="94" t="inlineStr">
        <is>
          <t>토너</t>
        </is>
      </c>
      <c r="F8831" s="5" t="inlineStr">
        <is>
          <t>카페24</t>
        </is>
      </c>
      <c r="G8831" s="94" t="inlineStr">
        <is>
          <t>500ml</t>
        </is>
      </c>
      <c r="H8831" s="7" t="n">
        <v>190801</v>
      </c>
      <c r="I8831" s="7" t="n">
        <v>190801</v>
      </c>
      <c r="K8831" s="94" t="n">
        <v>78</v>
      </c>
      <c r="L8831" s="7" t="n">
        <v>190801</v>
      </c>
      <c r="M8831" s="94">
        <f>VLOOKUP($Q8831,매칭테이블!$F:$I,2,0)*K8831</f>
        <v/>
      </c>
      <c r="N8831" s="94">
        <f>M8831-M8831*VLOOKUP($Q8831,매칭테이블!$F:$I,3,0)</f>
        <v/>
      </c>
      <c r="O8831" s="94">
        <f>VLOOKUP($Q8831,매칭테이블!$F:$I,4,0)*K8831</f>
        <v/>
      </c>
      <c r="P8831" s="148">
        <f>M8831/1.1</f>
        <v/>
      </c>
      <c r="Q8831" s="94">
        <f>F8831&amp;E8831&amp;G8831&amp;L8831</f>
        <v/>
      </c>
    </row>
    <row r="8832" customFormat="1" s="94">
      <c r="B8832" s="128" t="n">
        <v>44074</v>
      </c>
      <c r="C8832" s="94">
        <f>TEXT(B8832,"aaa")</f>
        <v/>
      </c>
      <c r="E8832" s="94" t="inlineStr">
        <is>
          <t>토너</t>
        </is>
      </c>
      <c r="F8832" s="5" t="inlineStr">
        <is>
          <t>카페24</t>
        </is>
      </c>
      <c r="G8832" s="94" t="inlineStr">
        <is>
          <t>스킨팩 화장솜 60P</t>
        </is>
      </c>
      <c r="H8832" s="7" t="n">
        <v>190801</v>
      </c>
      <c r="I8832" s="7" t="n">
        <v>190801</v>
      </c>
      <c r="K8832" s="94" t="n">
        <v>72</v>
      </c>
      <c r="L8832" s="7" t="n">
        <v>190801</v>
      </c>
      <c r="M8832" s="94">
        <f>VLOOKUP($Q8832,매칭테이블!$F:$I,2,0)*K8832</f>
        <v/>
      </c>
      <c r="N8832" s="94">
        <f>M8832-M8832*VLOOKUP($Q8832,매칭테이블!$F:$I,3,0)</f>
        <v/>
      </c>
      <c r="O8832" s="94">
        <f>VLOOKUP($Q8832,매칭테이블!$F:$I,4,0)*K8832</f>
        <v/>
      </c>
      <c r="P8832" s="148">
        <f>M8832/1.1</f>
        <v/>
      </c>
      <c r="Q8832" s="94">
        <f>F8832&amp;E8832&amp;G8832&amp;L8832</f>
        <v/>
      </c>
    </row>
    <row r="8833" customFormat="1" s="94">
      <c r="B8833" s="128" t="n">
        <v>44074</v>
      </c>
      <c r="C8833" s="94">
        <f>TEXT(B8833,"aaa")</f>
        <v/>
      </c>
      <c r="E8833" s="94" t="inlineStr">
        <is>
          <t>앰플</t>
        </is>
      </c>
      <c r="F8833" s="5" t="inlineStr">
        <is>
          <t>카페24</t>
        </is>
      </c>
      <c r="G8833" s="94" t="inlineStr">
        <is>
          <t>앰플 30ml</t>
        </is>
      </c>
      <c r="H8833" s="7" t="n">
        <v>190801</v>
      </c>
      <c r="I8833" s="7" t="n">
        <v>190801</v>
      </c>
      <c r="K8833" s="94" t="n">
        <v>16</v>
      </c>
      <c r="L8833" s="7" t="n">
        <v>190801</v>
      </c>
      <c r="M8833" s="94">
        <f>VLOOKUP($Q8833,매칭테이블!$F:$I,2,0)*K8833</f>
        <v/>
      </c>
      <c r="N8833" s="94">
        <f>M8833-M8833*VLOOKUP($Q8833,매칭테이블!$F:$I,3,0)</f>
        <v/>
      </c>
      <c r="O8833" s="94">
        <f>VLOOKUP($Q8833,매칭테이블!$F:$I,4,0)*K8833</f>
        <v/>
      </c>
      <c r="P8833" s="148">
        <f>M8833/1.1</f>
        <v/>
      </c>
      <c r="Q8833" s="94">
        <f>F8833&amp;E8833&amp;G8833&amp;L8833</f>
        <v/>
      </c>
    </row>
    <row r="8834" customFormat="1" s="94">
      <c r="B8834" s="128" t="n">
        <v>44074</v>
      </c>
      <c r="C8834" s="94">
        <f>TEXT(B8834,"aaa")</f>
        <v/>
      </c>
      <c r="E8834" s="94" t="inlineStr">
        <is>
          <t>앰플</t>
        </is>
      </c>
      <c r="F8834" s="5" t="inlineStr">
        <is>
          <t>카페24</t>
        </is>
      </c>
      <c r="G8834" s="94" t="inlineStr">
        <is>
          <t>앰플 30ml  2set</t>
        </is>
      </c>
      <c r="H8834" s="7" t="n">
        <v>190801</v>
      </c>
      <c r="I8834" s="7" t="n">
        <v>190801</v>
      </c>
      <c r="K8834" s="94" t="n">
        <v>9</v>
      </c>
      <c r="L8834" s="7" t="n">
        <v>190801</v>
      </c>
      <c r="M8834" s="94">
        <f>VLOOKUP($Q8834,매칭테이블!$F:$I,2,0)*K8834</f>
        <v/>
      </c>
      <c r="N8834" s="94">
        <f>M8834-M8834*VLOOKUP($Q8834,매칭테이블!$F:$I,3,0)</f>
        <v/>
      </c>
      <c r="O8834" s="94">
        <f>VLOOKUP($Q8834,매칭테이블!$F:$I,4,0)*K8834</f>
        <v/>
      </c>
      <c r="P8834" s="148">
        <f>M8834/1.1</f>
        <v/>
      </c>
      <c r="Q8834" s="94">
        <f>F8834&amp;E8834&amp;G8834&amp;L8834</f>
        <v/>
      </c>
    </row>
    <row r="8835" customFormat="1" s="94">
      <c r="B8835" s="128" t="n">
        <v>44074</v>
      </c>
      <c r="C8835" s="94">
        <f>TEXT(B8835,"aaa")</f>
        <v/>
      </c>
      <c r="E8835" s="94" t="inlineStr">
        <is>
          <t>수딩크림</t>
        </is>
      </c>
      <c r="F8835" s="5" t="inlineStr">
        <is>
          <t>카페24</t>
        </is>
      </c>
      <c r="G8835" s="94" t="inlineStr">
        <is>
          <t>수딩크림 100ml</t>
        </is>
      </c>
      <c r="H8835" s="7" t="n">
        <v>190801</v>
      </c>
      <c r="I8835" s="7" t="n">
        <v>190801</v>
      </c>
      <c r="K8835" s="94" t="n">
        <v>9</v>
      </c>
      <c r="L8835" s="7" t="n">
        <v>190801</v>
      </c>
      <c r="M8835" s="94">
        <f>VLOOKUP($Q8835,매칭테이블!$F:$I,2,0)*K8835</f>
        <v/>
      </c>
      <c r="N8835" s="94">
        <f>M8835-M8835*VLOOKUP($Q8835,매칭테이블!$F:$I,3,0)</f>
        <v/>
      </c>
      <c r="O8835" s="94">
        <f>VLOOKUP($Q8835,매칭테이블!$F:$I,4,0)*K8835</f>
        <v/>
      </c>
      <c r="P8835" s="148">
        <f>M8835/1.1</f>
        <v/>
      </c>
      <c r="Q8835" s="94">
        <f>F8835&amp;E8835&amp;G8835&amp;L8835</f>
        <v/>
      </c>
    </row>
    <row r="8836" customFormat="1" s="94">
      <c r="B8836" s="128" t="n">
        <v>44074</v>
      </c>
      <c r="C8836" s="94">
        <f>TEXT(B8836,"aaa")</f>
        <v/>
      </c>
      <c r="E8836" s="94" t="inlineStr">
        <is>
          <t>클렌징폼</t>
        </is>
      </c>
      <c r="F8836" s="5" t="inlineStr">
        <is>
          <t>카페24</t>
        </is>
      </c>
      <c r="G8836" s="94" t="inlineStr">
        <is>
          <t>클렌징폼 120ml</t>
        </is>
      </c>
      <c r="H8836" s="7" t="n">
        <v>190801</v>
      </c>
      <c r="I8836" s="7" t="n">
        <v>190801</v>
      </c>
      <c r="K8836" s="94" t="n">
        <v>13</v>
      </c>
      <c r="L8836" s="7" t="n">
        <v>190801</v>
      </c>
      <c r="M8836" s="94">
        <f>VLOOKUP($Q8836,매칭테이블!$F:$I,2,0)*K8836</f>
        <v/>
      </c>
      <c r="N8836" s="94">
        <f>M8836-M8836*VLOOKUP($Q8836,매칭테이블!$F:$I,3,0)</f>
        <v/>
      </c>
      <c r="O8836" s="94">
        <f>VLOOKUP($Q8836,매칭테이블!$F:$I,4,0)*K8836</f>
        <v/>
      </c>
      <c r="P8836" s="148">
        <f>M8836/1.1</f>
        <v/>
      </c>
      <c r="Q8836" s="94">
        <f>F8836&amp;E8836&amp;G8836&amp;L8836</f>
        <v/>
      </c>
    </row>
    <row r="8837" customFormat="1" s="94">
      <c r="B8837" s="128" t="n">
        <v>44074</v>
      </c>
      <c r="C8837" s="94">
        <f>TEXT(B8837,"aaa")</f>
        <v/>
      </c>
      <c r="E8837" s="94" t="inlineStr">
        <is>
          <t>클렌징폼</t>
        </is>
      </c>
      <c r="F8837" s="5" t="inlineStr">
        <is>
          <t>카페24</t>
        </is>
      </c>
      <c r="G8837" s="94" t="inlineStr">
        <is>
          <t>클렌징폼 120ml 2set</t>
        </is>
      </c>
      <c r="H8837" s="7" t="n">
        <v>190801</v>
      </c>
      <c r="I8837" s="7" t="n">
        <v>190801</v>
      </c>
      <c r="K8837" s="94" t="n">
        <v>2</v>
      </c>
      <c r="L8837" s="7" t="n">
        <v>190801</v>
      </c>
      <c r="M8837" s="94">
        <f>VLOOKUP($Q8837,매칭테이블!$F:$I,2,0)*K8837</f>
        <v/>
      </c>
      <c r="N8837" s="94">
        <f>M8837-M8837*VLOOKUP($Q8837,매칭테이블!$F:$I,3,0)</f>
        <v/>
      </c>
      <c r="O8837" s="94">
        <f>VLOOKUP($Q8837,매칭테이블!$F:$I,4,0)*K8837</f>
        <v/>
      </c>
      <c r="P8837" s="148">
        <f>M8837/1.1</f>
        <v/>
      </c>
      <c r="Q8837" s="94">
        <f>F8837&amp;E8837&amp;G8837&amp;L8837</f>
        <v/>
      </c>
    </row>
    <row r="8838" customFormat="1" s="94">
      <c r="B8838" s="128" t="n">
        <v>44074</v>
      </c>
      <c r="C8838" s="94">
        <f>TEXT(B8838,"aaa")</f>
        <v/>
      </c>
      <c r="E8838" s="94" t="inlineStr">
        <is>
          <t>토너</t>
        </is>
      </c>
      <c r="F8838" s="5" t="inlineStr">
        <is>
          <t>아누아 CS</t>
        </is>
      </c>
      <c r="G8838" s="94" t="inlineStr">
        <is>
          <t>250ml</t>
        </is>
      </c>
      <c r="H8838" s="7" t="n">
        <v>190801</v>
      </c>
      <c r="I8838" s="7" t="n">
        <v>190801</v>
      </c>
      <c r="K8838" s="94" t="n">
        <v>1</v>
      </c>
      <c r="L8838" s="7" t="n">
        <v>190801</v>
      </c>
      <c r="M8838" s="94">
        <f>VLOOKUP($Q8838,매칭테이블!$F:$I,2,0)*K8838</f>
        <v/>
      </c>
      <c r="N8838" s="94">
        <f>M8838-M8838*VLOOKUP($Q8838,매칭테이블!$F:$I,3,0)</f>
        <v/>
      </c>
      <c r="O8838" s="94">
        <f>VLOOKUP($Q8838,매칭테이블!$F:$I,4,0)*K8838</f>
        <v/>
      </c>
      <c r="P8838" s="148">
        <f>M8838/1.1</f>
        <v/>
      </c>
      <c r="Q8838" s="94">
        <f>F8838&amp;E8838&amp;G8838&amp;L8838</f>
        <v/>
      </c>
    </row>
    <row r="8839" customFormat="1" s="94">
      <c r="B8839" s="128" t="n">
        <v>44074</v>
      </c>
      <c r="C8839" s="94">
        <f>TEXT(B8839,"aaa")</f>
        <v/>
      </c>
      <c r="E8839" s="94" t="inlineStr">
        <is>
          <t>토너</t>
        </is>
      </c>
      <c r="F8839" s="5" t="inlineStr">
        <is>
          <t>큐텐재팬</t>
        </is>
      </c>
      <c r="G8839" s="94" t="inlineStr">
        <is>
          <t>200726=250ml</t>
        </is>
      </c>
      <c r="H8839" s="7" t="n">
        <v>190801</v>
      </c>
      <c r="I8839" s="7" t="n">
        <v>190801</v>
      </c>
      <c r="K8839" s="94" t="n">
        <v>8</v>
      </c>
      <c r="L8839" s="7" t="n">
        <v>190801</v>
      </c>
      <c r="M8839" s="94">
        <f>VLOOKUP($Q8839,매칭테이블!$F:$I,2,0)*K8839</f>
        <v/>
      </c>
      <c r="N8839" s="94">
        <f>M8839-M8839*VLOOKUP($Q8839,매칭테이블!$F:$I,3,0)</f>
        <v/>
      </c>
      <c r="O8839" s="94">
        <f>VLOOKUP($Q8839,매칭테이블!$F:$I,4,0)*K8839</f>
        <v/>
      </c>
      <c r="P8839" s="148">
        <f>M8839/1.1</f>
        <v/>
      </c>
      <c r="Q8839" s="94">
        <f>F8839&amp;E8839&amp;G8839&amp;L8839</f>
        <v/>
      </c>
    </row>
    <row r="8840" customFormat="1" s="94">
      <c r="B8840" s="128" t="n">
        <v>44074</v>
      </c>
      <c r="C8840" s="94">
        <f>TEXT(B8840,"aaa")</f>
        <v/>
      </c>
      <c r="E8840" s="94" t="inlineStr">
        <is>
          <t>토너</t>
        </is>
      </c>
      <c r="F8840" s="5" t="inlineStr">
        <is>
          <t>큐텐재팬</t>
        </is>
      </c>
      <c r="G8840" s="94" t="inlineStr">
        <is>
          <t>200726=250ml 2set</t>
        </is>
      </c>
      <c r="H8840" s="7" t="n">
        <v>190801</v>
      </c>
      <c r="I8840" s="7" t="n">
        <v>190801</v>
      </c>
      <c r="K8840" s="94" t="n">
        <v>7</v>
      </c>
      <c r="L8840" s="7" t="n">
        <v>190801</v>
      </c>
      <c r="M8840" s="94">
        <f>VLOOKUP($Q8840,매칭테이블!$F:$I,2,0)*K8840</f>
        <v/>
      </c>
      <c r="N8840" s="94">
        <f>M8840-M8840*VLOOKUP($Q8840,매칭테이블!$F:$I,3,0)</f>
        <v/>
      </c>
      <c r="O8840" s="94">
        <f>VLOOKUP($Q8840,매칭테이블!$F:$I,4,0)*K8840</f>
        <v/>
      </c>
      <c r="P8840" s="148">
        <f>M8840/1.1</f>
        <v/>
      </c>
      <c r="Q8840" s="94">
        <f>F8840&amp;E8840&amp;G8840&amp;L8840</f>
        <v/>
      </c>
    </row>
    <row r="8841" customFormat="1" s="94">
      <c r="B8841" s="128" t="n">
        <v>44075</v>
      </c>
      <c r="C8841" s="94">
        <f>TEXT(B8841,"aaa")</f>
        <v/>
      </c>
      <c r="E8841" s="94" t="inlineStr">
        <is>
          <t>토너</t>
        </is>
      </c>
      <c r="F8841" s="5" t="inlineStr">
        <is>
          <t>W컨셉</t>
        </is>
      </c>
      <c r="G8841" s="94" t="inlineStr">
        <is>
          <t>250ml</t>
        </is>
      </c>
      <c r="H8841" s="7" t="n">
        <v>190801</v>
      </c>
      <c r="I8841" s="7" t="n">
        <v>190801</v>
      </c>
      <c r="K8841" s="94" t="n">
        <v>4</v>
      </c>
      <c r="L8841" s="7" t="n">
        <v>190801</v>
      </c>
      <c r="M8841" s="94">
        <f>VLOOKUP($Q8841,매칭테이블!$F:$I,2,0)*K8841</f>
        <v/>
      </c>
      <c r="N8841" s="94">
        <f>M8841-M8841*VLOOKUP($Q8841,매칭테이블!$F:$I,3,0)</f>
        <v/>
      </c>
      <c r="O8841" s="94">
        <f>VLOOKUP($Q8841,매칭테이블!$F:$I,4,0)*K8841</f>
        <v/>
      </c>
      <c r="P8841" s="148">
        <f>M8841/1.1</f>
        <v/>
      </c>
      <c r="Q8841" s="94">
        <f>F8841&amp;E8841&amp;G8841&amp;L8841</f>
        <v/>
      </c>
    </row>
    <row r="8842" customFormat="1" s="94">
      <c r="B8842" s="128" t="n">
        <v>44075</v>
      </c>
      <c r="C8842" s="94">
        <f>TEXT(B8842,"aaa")</f>
        <v/>
      </c>
      <c r="E8842" s="94" t="inlineStr">
        <is>
          <t>토너</t>
        </is>
      </c>
      <c r="F8842" s="5" t="inlineStr">
        <is>
          <t>W컨셉</t>
        </is>
      </c>
      <c r="G8842" s="94" t="inlineStr">
        <is>
          <t>250ml 2set</t>
        </is>
      </c>
      <c r="H8842" s="7" t="n">
        <v>190801</v>
      </c>
      <c r="I8842" s="7" t="n">
        <v>190801</v>
      </c>
      <c r="K8842" s="94" t="n">
        <v>11</v>
      </c>
      <c r="L8842" s="7" t="n">
        <v>190801</v>
      </c>
      <c r="M8842" s="94">
        <f>VLOOKUP($Q8842,매칭테이블!$F:$I,2,0)*K8842</f>
        <v/>
      </c>
      <c r="N8842" s="94">
        <f>M8842-M8842*VLOOKUP($Q8842,매칭테이블!$F:$I,3,0)</f>
        <v/>
      </c>
      <c r="O8842" s="94">
        <f>VLOOKUP($Q8842,매칭테이블!$F:$I,4,0)*K8842</f>
        <v/>
      </c>
      <c r="P8842" s="148">
        <f>M8842/1.1</f>
        <v/>
      </c>
      <c r="Q8842" s="94">
        <f>F8842&amp;E8842&amp;G8842&amp;L8842</f>
        <v/>
      </c>
    </row>
    <row r="8843" customFormat="1" s="94">
      <c r="B8843" s="128" t="n">
        <v>44075</v>
      </c>
      <c r="C8843" s="94">
        <f>TEXT(B8843,"aaa")</f>
        <v/>
      </c>
      <c r="E8843" s="94" t="inlineStr">
        <is>
          <t>토너</t>
        </is>
      </c>
      <c r="F8843" s="5" t="inlineStr">
        <is>
          <t>쇼피태국</t>
        </is>
      </c>
      <c r="G8843" s="94" t="inlineStr">
        <is>
          <t>200820=250ml</t>
        </is>
      </c>
      <c r="H8843" s="7" t="n">
        <v>190801</v>
      </c>
      <c r="I8843" s="7" t="n">
        <v>190801</v>
      </c>
      <c r="K8843" s="94" t="n">
        <v>1</v>
      </c>
      <c r="L8843" s="7" t="n">
        <v>190801</v>
      </c>
      <c r="M8843" s="94">
        <f>VLOOKUP($Q8843,매칭테이블!$F:$I,2,0)*K8843</f>
        <v/>
      </c>
      <c r="N8843" s="94">
        <f>M8843-M8843*VLOOKUP($Q8843,매칭테이블!$F:$I,3,0)</f>
        <v/>
      </c>
      <c r="O8843" s="94">
        <f>VLOOKUP($Q8843,매칭테이블!$F:$I,4,0)*K8843</f>
        <v/>
      </c>
      <c r="P8843" s="148">
        <f>M8843/1.1</f>
        <v/>
      </c>
      <c r="Q8843" s="94">
        <f>F8843&amp;E8843&amp;G8843&amp;L8843</f>
        <v/>
      </c>
    </row>
    <row r="8844" customFormat="1" s="94">
      <c r="B8844" s="128" t="n">
        <v>44075</v>
      </c>
      <c r="C8844" s="94">
        <f>TEXT(B8844,"aaa")</f>
        <v/>
      </c>
      <c r="E8844" s="94" t="inlineStr">
        <is>
          <t>앰플</t>
        </is>
      </c>
      <c r="F8844" s="5" t="inlineStr">
        <is>
          <t>쇼피태국</t>
        </is>
      </c>
      <c r="G8844" s="94" t="inlineStr">
        <is>
          <t>200820=앰플 30ml</t>
        </is>
      </c>
      <c r="H8844" s="7" t="n">
        <v>190801</v>
      </c>
      <c r="I8844" s="7" t="n">
        <v>190801</v>
      </c>
      <c r="K8844" s="94" t="n">
        <v>10</v>
      </c>
      <c r="L8844" s="7" t="n">
        <v>190801</v>
      </c>
      <c r="M8844" s="94">
        <f>VLOOKUP($Q8844,매칭테이블!$F:$I,2,0)*K8844</f>
        <v/>
      </c>
      <c r="N8844" s="94">
        <f>M8844-M8844*VLOOKUP($Q8844,매칭테이블!$F:$I,3,0)</f>
        <v/>
      </c>
      <c r="O8844" s="94">
        <f>VLOOKUP($Q8844,매칭테이블!$F:$I,4,0)*K8844</f>
        <v/>
      </c>
      <c r="P8844" s="148">
        <f>M8844/1.1</f>
        <v/>
      </c>
      <c r="Q8844" s="94">
        <f>F8844&amp;E8844&amp;G8844&amp;L8844</f>
        <v/>
      </c>
    </row>
    <row r="8845" customFormat="1" s="94">
      <c r="B8845" s="128" t="n">
        <v>44075</v>
      </c>
      <c r="C8845" s="94">
        <f>TEXT(B8845,"aaa")</f>
        <v/>
      </c>
      <c r="E8845" s="94" t="inlineStr">
        <is>
          <t>앰플</t>
        </is>
      </c>
      <c r="F8845" s="5" t="inlineStr">
        <is>
          <t>쇼피필리핀</t>
        </is>
      </c>
      <c r="G8845" s="94" t="inlineStr">
        <is>
          <t>200820=앰플 30ml</t>
        </is>
      </c>
      <c r="H8845" s="7" t="n">
        <v>190801</v>
      </c>
      <c r="I8845" s="7" t="n">
        <v>190801</v>
      </c>
      <c r="K8845" s="94" t="n">
        <v>2</v>
      </c>
      <c r="L8845" s="7" t="n">
        <v>190801</v>
      </c>
      <c r="M8845" s="94">
        <f>VLOOKUP($Q8845,매칭테이블!$F:$I,2,0)*K8845</f>
        <v/>
      </c>
      <c r="N8845" s="94">
        <f>M8845-M8845*VLOOKUP($Q8845,매칭테이블!$F:$I,3,0)</f>
        <v/>
      </c>
      <c r="O8845" s="94">
        <f>VLOOKUP($Q8845,매칭테이블!$F:$I,4,0)*K8845</f>
        <v/>
      </c>
      <c r="P8845" s="148">
        <f>M8845/1.1</f>
        <v/>
      </c>
      <c r="Q8845" s="94">
        <f>F8845&amp;E8845&amp;G8845&amp;L8845</f>
        <v/>
      </c>
    </row>
    <row r="8846" customFormat="1" s="94">
      <c r="B8846" s="128" t="n">
        <v>44075</v>
      </c>
      <c r="C8846" s="94">
        <f>TEXT(B8846,"aaa")</f>
        <v/>
      </c>
      <c r="E8846" s="94" t="inlineStr">
        <is>
          <t>토너</t>
        </is>
      </c>
      <c r="F8846" s="5" t="inlineStr">
        <is>
          <t>스타일쉐어</t>
        </is>
      </c>
      <c r="G8846" s="94" t="inlineStr">
        <is>
          <t>250ml</t>
        </is>
      </c>
      <c r="H8846" s="7" t="n">
        <v>190801</v>
      </c>
      <c r="I8846" s="7" t="n">
        <v>190801</v>
      </c>
      <c r="K8846" s="94" t="n">
        <v>8</v>
      </c>
      <c r="L8846" s="7" t="n">
        <v>190801</v>
      </c>
      <c r="M8846" s="94">
        <f>VLOOKUP($Q8846,매칭테이블!$F:$I,2,0)*K8846</f>
        <v/>
      </c>
      <c r="N8846" s="94">
        <f>M8846-M8846*VLOOKUP($Q8846,매칭테이블!$F:$I,3,0)</f>
        <v/>
      </c>
      <c r="O8846" s="94">
        <f>VLOOKUP($Q8846,매칭테이블!$F:$I,4,0)*K8846</f>
        <v/>
      </c>
      <c r="P8846" s="148">
        <f>M8846/1.1</f>
        <v/>
      </c>
      <c r="Q8846" s="94">
        <f>F8846&amp;E8846&amp;G8846&amp;L8846</f>
        <v/>
      </c>
    </row>
    <row r="8847" customFormat="1" s="94">
      <c r="B8847" s="128" t="n">
        <v>44075</v>
      </c>
      <c r="C8847" s="94">
        <f>TEXT(B8847,"aaa")</f>
        <v/>
      </c>
      <c r="E8847" s="94" t="inlineStr">
        <is>
          <t>토너</t>
        </is>
      </c>
      <c r="F8847" s="5" t="inlineStr">
        <is>
          <t>아누아 CS</t>
        </is>
      </c>
      <c r="G8847" s="94" t="inlineStr">
        <is>
          <t>250ml</t>
        </is>
      </c>
      <c r="H8847" s="7" t="n">
        <v>190801</v>
      </c>
      <c r="I8847" s="7" t="n">
        <v>190801</v>
      </c>
      <c r="K8847" s="94" t="n">
        <v>2</v>
      </c>
      <c r="L8847" s="7" t="n">
        <v>190801</v>
      </c>
      <c r="M8847" s="94">
        <f>VLOOKUP($Q8847,매칭테이블!$F:$I,2,0)*K8847</f>
        <v/>
      </c>
      <c r="N8847" s="94">
        <f>M8847-M8847*VLOOKUP($Q8847,매칭테이블!$F:$I,3,0)</f>
        <v/>
      </c>
      <c r="O8847" s="94">
        <f>VLOOKUP($Q8847,매칭테이블!$F:$I,4,0)*K8847</f>
        <v/>
      </c>
      <c r="P8847" s="148">
        <f>M8847/1.1</f>
        <v/>
      </c>
      <c r="Q8847" s="94">
        <f>F8847&amp;E8847&amp;G8847&amp;L8847</f>
        <v/>
      </c>
    </row>
    <row r="8848" customFormat="1" s="94">
      <c r="B8848" s="128" t="n">
        <v>44075</v>
      </c>
      <c r="C8848" s="94">
        <f>TEXT(B8848,"aaa")</f>
        <v/>
      </c>
      <c r="E8848" s="94" t="inlineStr">
        <is>
          <t>화장솜</t>
        </is>
      </c>
      <c r="F8848" s="5" t="inlineStr">
        <is>
          <t>아누아 CS</t>
        </is>
      </c>
      <c r="G8848" s="94" t="inlineStr">
        <is>
          <t>스킨팩 화장솜 60P</t>
        </is>
      </c>
      <c r="H8848" s="7" t="n">
        <v>190801</v>
      </c>
      <c r="I8848" s="7" t="n">
        <v>190801</v>
      </c>
      <c r="K8848" s="94" t="n">
        <v>11</v>
      </c>
      <c r="L8848" s="7" t="n">
        <v>190801</v>
      </c>
      <c r="M8848" s="94">
        <f>VLOOKUP($Q8848,매칭테이블!$F:$I,2,0)*K8848</f>
        <v/>
      </c>
      <c r="N8848" s="94">
        <f>M8848-M8848*VLOOKUP($Q8848,매칭테이블!$F:$I,3,0)</f>
        <v/>
      </c>
      <c r="O8848" s="94">
        <f>VLOOKUP($Q8848,매칭테이블!$F:$I,4,0)*K8848</f>
        <v/>
      </c>
      <c r="P8848" s="148">
        <f>M8848/1.1</f>
        <v/>
      </c>
      <c r="Q8848" s="94">
        <f>F8848&amp;E8848&amp;G8848&amp;L8848</f>
        <v/>
      </c>
    </row>
    <row r="8849" customFormat="1" s="94">
      <c r="B8849" s="128" t="n">
        <v>44075</v>
      </c>
      <c r="C8849" s="94">
        <f>TEXT(B8849,"aaa")</f>
        <v/>
      </c>
      <c r="E8849" s="94" t="inlineStr">
        <is>
          <t>앰플</t>
        </is>
      </c>
      <c r="F8849" s="5" t="inlineStr">
        <is>
          <t>아누아 CS</t>
        </is>
      </c>
      <c r="G8849" s="94" t="inlineStr">
        <is>
          <t>앰플 30ml</t>
        </is>
      </c>
      <c r="H8849" s="7" t="n">
        <v>190801</v>
      </c>
      <c r="I8849" s="7" t="n">
        <v>190801</v>
      </c>
      <c r="K8849" s="94" t="n">
        <v>49</v>
      </c>
      <c r="L8849" s="7" t="n">
        <v>190801</v>
      </c>
      <c r="M8849" s="94">
        <f>VLOOKUP($Q8849,매칭테이블!$F:$I,2,0)*K8849</f>
        <v/>
      </c>
      <c r="N8849" s="94">
        <f>M8849-M8849*VLOOKUP($Q8849,매칭테이블!$F:$I,3,0)</f>
        <v/>
      </c>
      <c r="O8849" s="94">
        <f>VLOOKUP($Q8849,매칭테이블!$F:$I,4,0)*K8849</f>
        <v/>
      </c>
      <c r="P8849" s="148">
        <f>M8849/1.1</f>
        <v/>
      </c>
      <c r="Q8849" s="94">
        <f>F8849&amp;E8849&amp;G8849&amp;L8849</f>
        <v/>
      </c>
    </row>
    <row r="8850" customFormat="1" s="94">
      <c r="B8850" s="128" t="n">
        <v>44075</v>
      </c>
      <c r="C8850" s="94">
        <f>TEXT(B8850,"aaa")</f>
        <v/>
      </c>
      <c r="E8850" s="94" t="inlineStr">
        <is>
          <t>마스크팩</t>
        </is>
      </c>
      <c r="F8850" s="5" t="inlineStr">
        <is>
          <t>아누아 CS</t>
        </is>
      </c>
      <c r="G8850" s="94" t="inlineStr">
        <is>
          <t>마스크팩 10매</t>
        </is>
      </c>
      <c r="H8850" s="7" t="n">
        <v>190801</v>
      </c>
      <c r="I8850" s="7" t="n">
        <v>190801</v>
      </c>
      <c r="K8850" s="94" t="n">
        <v>1</v>
      </c>
      <c r="L8850" s="7" t="n">
        <v>190801</v>
      </c>
      <c r="M8850" s="94">
        <f>VLOOKUP($Q8850,매칭테이블!$F:$I,2,0)*K8850</f>
        <v/>
      </c>
      <c r="N8850" s="94">
        <f>M8850-M8850*VLOOKUP($Q8850,매칭테이블!$F:$I,3,0)</f>
        <v/>
      </c>
      <c r="O8850" s="94">
        <f>VLOOKUP($Q8850,매칭테이블!$F:$I,4,0)*K8850</f>
        <v/>
      </c>
      <c r="P8850" s="148">
        <f>M8850/1.1</f>
        <v/>
      </c>
      <c r="Q8850" s="94">
        <f>F8850&amp;E8850&amp;G8850&amp;L8850</f>
        <v/>
      </c>
    </row>
    <row r="8851" customFormat="1" s="94">
      <c r="B8851" s="128" t="n">
        <v>44075</v>
      </c>
      <c r="C8851" s="94">
        <f>TEXT(B8851,"aaa")</f>
        <v/>
      </c>
      <c r="E8851" s="94" t="inlineStr">
        <is>
          <t>선크림</t>
        </is>
      </c>
      <c r="F8851" s="5" t="inlineStr">
        <is>
          <t>아누아 CS</t>
        </is>
      </c>
      <c r="G8851" s="94" t="inlineStr">
        <is>
          <t>선크림 50ml</t>
        </is>
      </c>
      <c r="H8851" s="7" t="n">
        <v>190801</v>
      </c>
      <c r="I8851" s="7" t="n">
        <v>190801</v>
      </c>
      <c r="K8851" s="94" t="n">
        <v>1</v>
      </c>
      <c r="L8851" s="7" t="n">
        <v>190801</v>
      </c>
      <c r="M8851" s="94">
        <f>VLOOKUP($Q8851,매칭테이블!$F:$I,2,0)*K8851</f>
        <v/>
      </c>
      <c r="N8851" s="94">
        <f>M8851-M8851*VLOOKUP($Q8851,매칭테이블!$F:$I,3,0)</f>
        <v/>
      </c>
      <c r="O8851" s="94">
        <f>VLOOKUP($Q8851,매칭테이블!$F:$I,4,0)*K8851</f>
        <v/>
      </c>
      <c r="P8851" s="148">
        <f>M8851/1.1</f>
        <v/>
      </c>
      <c r="Q8851" s="94">
        <f>F8851&amp;E8851&amp;G8851&amp;L8851</f>
        <v/>
      </c>
    </row>
    <row r="8852" customFormat="1" s="94">
      <c r="B8852" s="128" t="n">
        <v>44075</v>
      </c>
      <c r="C8852" s="94">
        <f>TEXT(B8852,"aaa")</f>
        <v/>
      </c>
      <c r="E8852" s="94" t="inlineStr">
        <is>
          <t>클렌징폼</t>
        </is>
      </c>
      <c r="F8852" s="5" t="inlineStr">
        <is>
          <t>아누아 CS</t>
        </is>
      </c>
      <c r="G8852" s="94" t="inlineStr">
        <is>
          <t>클렌징폼 120ml</t>
        </is>
      </c>
      <c r="H8852" s="7" t="n">
        <v>190801</v>
      </c>
      <c r="I8852" s="7" t="n">
        <v>190801</v>
      </c>
      <c r="K8852" s="94" t="n">
        <v>1</v>
      </c>
      <c r="L8852" s="7" t="n">
        <v>190801</v>
      </c>
      <c r="M8852" s="94">
        <f>VLOOKUP($Q8852,매칭테이블!$F:$I,2,0)*K8852</f>
        <v/>
      </c>
      <c r="N8852" s="94">
        <f>M8852-M8852*VLOOKUP($Q8852,매칭테이블!$F:$I,3,0)</f>
        <v/>
      </c>
      <c r="O8852" s="94">
        <f>VLOOKUP($Q8852,매칭테이블!$F:$I,4,0)*K8852</f>
        <v/>
      </c>
      <c r="P8852" s="148">
        <f>M8852/1.1</f>
        <v/>
      </c>
      <c r="Q8852" s="94">
        <f>F8852&amp;E8852&amp;G8852&amp;L8852</f>
        <v/>
      </c>
    </row>
    <row r="8853" customFormat="1" s="94">
      <c r="B8853" s="128" t="n">
        <v>44075</v>
      </c>
      <c r="C8853" s="94">
        <f>TEXT(B8853,"aaa")</f>
        <v/>
      </c>
      <c r="E8853" s="94" t="inlineStr">
        <is>
          <t>머드크림마스크</t>
        </is>
      </c>
      <c r="F8853" s="5" t="inlineStr">
        <is>
          <t>아누아 CS</t>
        </is>
      </c>
      <c r="G8853" s="94" t="inlineStr">
        <is>
          <t>머드크림마스크 100ml</t>
        </is>
      </c>
      <c r="H8853" s="7" t="n">
        <v>190801</v>
      </c>
      <c r="I8853" s="7" t="n">
        <v>190801</v>
      </c>
      <c r="K8853" s="94" t="n">
        <v>1</v>
      </c>
      <c r="L8853" s="7" t="n">
        <v>190801</v>
      </c>
      <c r="M8853" s="94">
        <f>VLOOKUP($Q8853,매칭테이블!$F:$I,2,0)*K8853</f>
        <v/>
      </c>
      <c r="N8853" s="94">
        <f>M8853-M8853*VLOOKUP($Q8853,매칭테이블!$F:$I,3,0)</f>
        <v/>
      </c>
      <c r="O8853" s="94">
        <f>VLOOKUP($Q8853,매칭테이블!$F:$I,4,0)*K8853</f>
        <v/>
      </c>
      <c r="P8853" s="148">
        <f>M8853/1.1</f>
        <v/>
      </c>
      <c r="Q8853" s="94">
        <f>F8853&amp;E8853&amp;G8853&amp;L8853</f>
        <v/>
      </c>
    </row>
    <row r="8854" customFormat="1" s="94">
      <c r="B8854" s="128" t="n">
        <v>44075</v>
      </c>
      <c r="C8854" s="94">
        <f>TEXT(B8854,"aaa")</f>
        <v/>
      </c>
      <c r="E8854" s="94" t="inlineStr">
        <is>
          <t>선크림</t>
        </is>
      </c>
      <c r="F8854" s="5" t="inlineStr">
        <is>
          <t>카페24</t>
        </is>
      </c>
      <c r="G8854" s="94" t="inlineStr">
        <is>
          <t>선크림 50ml</t>
        </is>
      </c>
      <c r="H8854" s="7" t="n">
        <v>190801</v>
      </c>
      <c r="I8854" s="7" t="n">
        <v>190801</v>
      </c>
      <c r="K8854" s="94" t="n">
        <v>4</v>
      </c>
      <c r="L8854" s="7" t="n">
        <v>190801</v>
      </c>
      <c r="M8854" s="94">
        <f>VLOOKUP($Q8854,매칭테이블!$F:$I,2,0)*K8854</f>
        <v/>
      </c>
      <c r="N8854" s="94">
        <f>M8854-M8854*VLOOKUP($Q8854,매칭테이블!$F:$I,3,0)</f>
        <v/>
      </c>
      <c r="O8854" s="94">
        <f>VLOOKUP($Q8854,매칭테이블!$F:$I,4,0)*K8854</f>
        <v/>
      </c>
      <c r="P8854" s="148">
        <f>M8854/1.1</f>
        <v/>
      </c>
      <c r="Q8854" s="94">
        <f>F8854&amp;E8854&amp;G8854&amp;L8854</f>
        <v/>
      </c>
    </row>
    <row r="8855" customFormat="1" s="94">
      <c r="B8855" s="128" t="n">
        <v>44075</v>
      </c>
      <c r="C8855" s="94">
        <f>TEXT(B8855,"aaa")</f>
        <v/>
      </c>
      <c r="E8855" s="94" t="inlineStr">
        <is>
          <t>선크림</t>
        </is>
      </c>
      <c r="F8855" s="5" t="inlineStr">
        <is>
          <t>카페24</t>
        </is>
      </c>
      <c r="G8855" s="94" t="inlineStr">
        <is>
          <t>선크림 50ml  2set</t>
        </is>
      </c>
      <c r="H8855" s="7" t="n">
        <v>190801</v>
      </c>
      <c r="I8855" s="7" t="n">
        <v>190801</v>
      </c>
      <c r="K8855" s="94" t="n">
        <v>22</v>
      </c>
      <c r="L8855" s="7" t="n">
        <v>190801</v>
      </c>
      <c r="M8855" s="94">
        <f>VLOOKUP($Q8855,매칭테이블!$F:$I,2,0)*K8855</f>
        <v/>
      </c>
      <c r="N8855" s="94">
        <f>M8855-M8855*VLOOKUP($Q8855,매칭테이블!$F:$I,3,0)</f>
        <v/>
      </c>
      <c r="O8855" s="94">
        <f>VLOOKUP($Q8855,매칭테이블!$F:$I,4,0)*K8855</f>
        <v/>
      </c>
      <c r="P8855" s="148">
        <f>M8855/1.1</f>
        <v/>
      </c>
      <c r="Q8855" s="94">
        <f>F8855&amp;E8855&amp;G8855&amp;L8855</f>
        <v/>
      </c>
    </row>
    <row r="8856" customFormat="1" s="94">
      <c r="B8856" s="128" t="n">
        <v>44075</v>
      </c>
      <c r="C8856" s="94">
        <f>TEXT(B8856,"aaa")</f>
        <v/>
      </c>
      <c r="E8856" s="94" t="inlineStr">
        <is>
          <t>여름 한정 진정세트</t>
        </is>
      </c>
      <c r="F8856" s="5" t="inlineStr">
        <is>
          <t>카페24</t>
        </is>
      </c>
      <c r="G8856" s="94" t="inlineStr">
        <is>
          <t>여름 한정 진정세트</t>
        </is>
      </c>
      <c r="H8856" s="7" t="n">
        <v>190801</v>
      </c>
      <c r="I8856" s="7" t="n">
        <v>190801</v>
      </c>
      <c r="K8856" s="94" t="n">
        <v>6</v>
      </c>
      <c r="L8856" s="7" t="n">
        <v>190801</v>
      </c>
      <c r="M8856" s="94">
        <f>VLOOKUP($Q8856,매칭테이블!$F:$I,2,0)*K8856</f>
        <v/>
      </c>
      <c r="N8856" s="94">
        <f>M8856-M8856*VLOOKUP($Q8856,매칭테이블!$F:$I,3,0)</f>
        <v/>
      </c>
      <c r="O8856" s="94">
        <f>VLOOKUP($Q8856,매칭테이블!$F:$I,4,0)*K8856</f>
        <v/>
      </c>
      <c r="P8856" s="148">
        <f>M8856/1.1</f>
        <v/>
      </c>
      <c r="Q8856" s="94">
        <f>F8856&amp;E8856&amp;G8856&amp;L8856</f>
        <v/>
      </c>
    </row>
    <row r="8857" customFormat="1" s="94">
      <c r="B8857" s="128" t="n">
        <v>44075</v>
      </c>
      <c r="C8857" s="94">
        <f>TEXT(B8857,"aaa")</f>
        <v/>
      </c>
      <c r="E8857" s="94" t="inlineStr">
        <is>
          <t>여름 한정 진정세트</t>
        </is>
      </c>
      <c r="F8857" s="5" t="inlineStr">
        <is>
          <t>카페24</t>
        </is>
      </c>
      <c r="G8857" s="94" t="inlineStr">
        <is>
          <t>여름 한정 진정세트 (대용량)</t>
        </is>
      </c>
      <c r="H8857" s="7" t="n">
        <v>190801</v>
      </c>
      <c r="I8857" s="7" t="n">
        <v>190801</v>
      </c>
      <c r="K8857" s="94" t="n">
        <v>5</v>
      </c>
      <c r="L8857" s="7" t="n">
        <v>190801</v>
      </c>
      <c r="M8857" s="94">
        <f>VLOOKUP($Q8857,매칭테이블!$F:$I,2,0)*K8857</f>
        <v/>
      </c>
      <c r="N8857" s="94">
        <f>M8857-M8857*VLOOKUP($Q8857,매칭테이블!$F:$I,3,0)</f>
        <v/>
      </c>
      <c r="O8857" s="94">
        <f>VLOOKUP($Q8857,매칭테이블!$F:$I,4,0)*K8857</f>
        <v/>
      </c>
      <c r="P8857" s="148">
        <f>M8857/1.1</f>
        <v/>
      </c>
      <c r="Q8857" s="94">
        <f>F8857&amp;E8857&amp;G8857&amp;L8857</f>
        <v/>
      </c>
    </row>
    <row r="8858" customFormat="1" s="94">
      <c r="B8858" s="128" t="n">
        <v>44075</v>
      </c>
      <c r="C8858" s="94">
        <f>TEXT(B8858,"aaa")</f>
        <v/>
      </c>
      <c r="E8858" s="94" t="inlineStr">
        <is>
          <t>어성초진정패키지</t>
        </is>
      </c>
      <c r="F8858" s="5" t="inlineStr">
        <is>
          <t>카페24</t>
        </is>
      </c>
      <c r="G8858" s="94" t="inlineStr">
        <is>
          <t>어성초 진정패키지세트</t>
        </is>
      </c>
      <c r="H8858" s="7" t="n">
        <v>190801</v>
      </c>
      <c r="I8858" s="7" t="n">
        <v>190801</v>
      </c>
      <c r="K8858" s="94" t="n">
        <v>6</v>
      </c>
      <c r="L8858" s="7" t="n">
        <v>190801</v>
      </c>
      <c r="M8858" s="94">
        <f>VLOOKUP($Q8858,매칭테이블!$F:$I,2,0)*K8858</f>
        <v/>
      </c>
      <c r="N8858" s="94">
        <f>M8858-M8858*VLOOKUP($Q8858,매칭테이블!$F:$I,3,0)</f>
        <v/>
      </c>
      <c r="O8858" s="94">
        <f>VLOOKUP($Q8858,매칭테이블!$F:$I,4,0)*K8858</f>
        <v/>
      </c>
      <c r="P8858" s="148">
        <f>M8858/1.1</f>
        <v/>
      </c>
      <c r="Q8858" s="94">
        <f>F8858&amp;E8858&amp;G8858&amp;L8858</f>
        <v/>
      </c>
    </row>
    <row r="8859" customFormat="1" s="94">
      <c r="B8859" s="128" t="n">
        <v>44075</v>
      </c>
      <c r="C8859" s="94">
        <f>TEXT(B8859,"aaa")</f>
        <v/>
      </c>
      <c r="E8859" s="94" t="inlineStr">
        <is>
          <t>머드크림마스크</t>
        </is>
      </c>
      <c r="F8859" s="5" t="inlineStr">
        <is>
          <t>카페24</t>
        </is>
      </c>
      <c r="G8859" s="94" t="inlineStr">
        <is>
          <t>머드크림마스크 100ml</t>
        </is>
      </c>
      <c r="H8859" s="7" t="n">
        <v>190801</v>
      </c>
      <c r="I8859" s="7" t="n">
        <v>190801</v>
      </c>
      <c r="K8859" s="94" t="n">
        <v>2</v>
      </c>
      <c r="L8859" s="7" t="n">
        <v>190801</v>
      </c>
      <c r="M8859" s="94">
        <f>VLOOKUP($Q8859,매칭테이블!$F:$I,2,0)*K8859</f>
        <v/>
      </c>
      <c r="N8859" s="94">
        <f>M8859-M8859*VLOOKUP($Q8859,매칭테이블!$F:$I,3,0)</f>
        <v/>
      </c>
      <c r="O8859" s="94">
        <f>VLOOKUP($Q8859,매칭테이블!$F:$I,4,0)*K8859</f>
        <v/>
      </c>
      <c r="P8859" s="148">
        <f>M8859/1.1</f>
        <v/>
      </c>
      <c r="Q8859" s="94">
        <f>F8859&amp;E8859&amp;G8859&amp;L8859</f>
        <v/>
      </c>
    </row>
    <row r="8860" customFormat="1" s="94">
      <c r="B8860" s="128" t="n">
        <v>44075</v>
      </c>
      <c r="C8860" s="94">
        <f>TEXT(B8860,"aaa")</f>
        <v/>
      </c>
      <c r="E8860" s="94" t="inlineStr">
        <is>
          <t>마스크팩</t>
        </is>
      </c>
      <c r="F8860" s="5" t="inlineStr">
        <is>
          <t>카페24</t>
        </is>
      </c>
      <c r="G8860" s="94" t="inlineStr">
        <is>
          <t>마스크팩 1매</t>
        </is>
      </c>
      <c r="H8860" s="7" t="n">
        <v>190801</v>
      </c>
      <c r="I8860" s="7" t="n">
        <v>190801</v>
      </c>
      <c r="K8860" s="94" t="n">
        <v>17</v>
      </c>
      <c r="L8860" s="7" t="n">
        <v>190801</v>
      </c>
      <c r="M8860" s="94">
        <f>VLOOKUP($Q8860,매칭테이블!$F:$I,2,0)*K8860</f>
        <v/>
      </c>
      <c r="N8860" s="94">
        <f>M8860-M8860*VLOOKUP($Q8860,매칭테이블!$F:$I,3,0)</f>
        <v/>
      </c>
      <c r="O8860" s="94">
        <f>VLOOKUP($Q8860,매칭테이블!$F:$I,4,0)*K8860</f>
        <v/>
      </c>
      <c r="P8860" s="148">
        <f>M8860/1.1</f>
        <v/>
      </c>
      <c r="Q8860" s="94">
        <f>F8860&amp;E8860&amp;G8860&amp;L8860</f>
        <v/>
      </c>
    </row>
    <row r="8861" customFormat="1" s="94">
      <c r="B8861" s="128" t="n">
        <v>44075</v>
      </c>
      <c r="C8861" s="94">
        <f>TEXT(B8861,"aaa")</f>
        <v/>
      </c>
      <c r="E8861" s="94" t="inlineStr">
        <is>
          <t>마스크팩</t>
        </is>
      </c>
      <c r="F8861" s="5" t="inlineStr">
        <is>
          <t>카페24</t>
        </is>
      </c>
      <c r="G8861" s="94" t="inlineStr">
        <is>
          <t>마스크팩 10매</t>
        </is>
      </c>
      <c r="H8861" s="7" t="n">
        <v>190801</v>
      </c>
      <c r="I8861" s="7" t="n">
        <v>190801</v>
      </c>
      <c r="K8861" s="94" t="n">
        <v>6</v>
      </c>
      <c r="L8861" s="7" t="n">
        <v>190801</v>
      </c>
      <c r="M8861" s="94">
        <f>VLOOKUP($Q8861,매칭테이블!$F:$I,2,0)*K8861</f>
        <v/>
      </c>
      <c r="N8861" s="94">
        <f>M8861-M8861*VLOOKUP($Q8861,매칭테이블!$F:$I,3,0)</f>
        <v/>
      </c>
      <c r="O8861" s="94">
        <f>VLOOKUP($Q8861,매칭테이블!$F:$I,4,0)*K8861</f>
        <v/>
      </c>
      <c r="P8861" s="148">
        <f>M8861/1.1</f>
        <v/>
      </c>
      <c r="Q8861" s="94">
        <f>F8861&amp;E8861&amp;G8861&amp;L8861</f>
        <v/>
      </c>
    </row>
    <row r="8862" customFormat="1" s="94">
      <c r="B8862" s="128" t="n">
        <v>44075</v>
      </c>
      <c r="C8862" s="94">
        <f>TEXT(B8862,"aaa")</f>
        <v/>
      </c>
      <c r="E8862" s="94" t="inlineStr">
        <is>
          <t>토너</t>
        </is>
      </c>
      <c r="F8862" s="5" t="inlineStr">
        <is>
          <t>카페24</t>
        </is>
      </c>
      <c r="G8862" s="94" t="inlineStr">
        <is>
          <t>250ml</t>
        </is>
      </c>
      <c r="H8862" s="7" t="n">
        <v>190801</v>
      </c>
      <c r="I8862" s="7" t="n">
        <v>190801</v>
      </c>
      <c r="K8862" s="94" t="n">
        <v>89</v>
      </c>
      <c r="L8862" s="7" t="n">
        <v>190801</v>
      </c>
      <c r="M8862" s="94">
        <f>VLOOKUP($Q8862,매칭테이블!$F:$I,2,0)*K8862</f>
        <v/>
      </c>
      <c r="N8862" s="94">
        <f>M8862-M8862*VLOOKUP($Q8862,매칭테이블!$F:$I,3,0)</f>
        <v/>
      </c>
      <c r="O8862" s="94">
        <f>VLOOKUP($Q8862,매칭테이블!$F:$I,4,0)*K8862</f>
        <v/>
      </c>
      <c r="P8862" s="148">
        <f>M8862/1.1</f>
        <v/>
      </c>
      <c r="Q8862" s="94">
        <f>F8862&amp;E8862&amp;G8862&amp;L8862</f>
        <v/>
      </c>
    </row>
    <row r="8863" customFormat="1" s="94">
      <c r="B8863" s="128" t="n">
        <v>44075</v>
      </c>
      <c r="C8863" s="94">
        <f>TEXT(B8863,"aaa")</f>
        <v/>
      </c>
      <c r="E8863" s="94" t="inlineStr">
        <is>
          <t>토너</t>
        </is>
      </c>
      <c r="F8863" s="5" t="inlineStr">
        <is>
          <t>카페24</t>
        </is>
      </c>
      <c r="G8863" s="94" t="inlineStr">
        <is>
          <t>250ml 2set</t>
        </is>
      </c>
      <c r="H8863" s="7" t="n">
        <v>190801</v>
      </c>
      <c r="I8863" s="7" t="n">
        <v>190801</v>
      </c>
      <c r="K8863" s="94" t="n">
        <v>83</v>
      </c>
      <c r="L8863" s="7" t="n">
        <v>190801</v>
      </c>
      <c r="M8863" s="94">
        <f>VLOOKUP($Q8863,매칭테이블!$F:$I,2,0)*K8863</f>
        <v/>
      </c>
      <c r="N8863" s="94">
        <f>M8863-M8863*VLOOKUP($Q8863,매칭테이블!$F:$I,3,0)</f>
        <v/>
      </c>
      <c r="O8863" s="94">
        <f>VLOOKUP($Q8863,매칭테이블!$F:$I,4,0)*K8863</f>
        <v/>
      </c>
      <c r="P8863" s="148">
        <f>M8863/1.1</f>
        <v/>
      </c>
      <c r="Q8863" s="94">
        <f>F8863&amp;E8863&amp;G8863&amp;L8863</f>
        <v/>
      </c>
    </row>
    <row r="8864" customFormat="1" s="94">
      <c r="B8864" s="128" t="n">
        <v>44075</v>
      </c>
      <c r="C8864" s="94">
        <f>TEXT(B8864,"aaa")</f>
        <v/>
      </c>
      <c r="E8864" s="94" t="inlineStr">
        <is>
          <t>토너</t>
        </is>
      </c>
      <c r="F8864" s="5" t="inlineStr">
        <is>
          <t>카페24</t>
        </is>
      </c>
      <c r="G8864" s="94" t="inlineStr">
        <is>
          <t>500ml</t>
        </is>
      </c>
      <c r="H8864" s="7" t="n">
        <v>190801</v>
      </c>
      <c r="I8864" s="7" t="n">
        <v>190801</v>
      </c>
      <c r="K8864" s="94" t="n">
        <v>105</v>
      </c>
      <c r="L8864" s="7" t="n">
        <v>190801</v>
      </c>
      <c r="M8864" s="94">
        <f>VLOOKUP($Q8864,매칭테이블!$F:$I,2,0)*K8864</f>
        <v/>
      </c>
      <c r="N8864" s="94">
        <f>M8864-M8864*VLOOKUP($Q8864,매칭테이블!$F:$I,3,0)</f>
        <v/>
      </c>
      <c r="O8864" s="94">
        <f>VLOOKUP($Q8864,매칭테이블!$F:$I,4,0)*K8864</f>
        <v/>
      </c>
      <c r="P8864" s="148">
        <f>M8864/1.1</f>
        <v/>
      </c>
      <c r="Q8864" s="94">
        <f>F8864&amp;E8864&amp;G8864&amp;L8864</f>
        <v/>
      </c>
    </row>
    <row r="8865" customFormat="1" s="94">
      <c r="B8865" s="128" t="n">
        <v>44075</v>
      </c>
      <c r="C8865" s="94">
        <f>TEXT(B8865,"aaa")</f>
        <v/>
      </c>
      <c r="E8865" s="94" t="inlineStr">
        <is>
          <t>토너</t>
        </is>
      </c>
      <c r="F8865" s="5" t="inlineStr">
        <is>
          <t>카페24</t>
        </is>
      </c>
      <c r="G8865" s="94" t="inlineStr">
        <is>
          <t>스킨팩 화장솜 60P</t>
        </is>
      </c>
      <c r="H8865" s="7" t="n">
        <v>190801</v>
      </c>
      <c r="I8865" s="7" t="n">
        <v>190801</v>
      </c>
      <c r="K8865" s="94" t="n">
        <v>98</v>
      </c>
      <c r="L8865" s="7" t="n">
        <v>190801</v>
      </c>
      <c r="M8865" s="94">
        <f>VLOOKUP($Q8865,매칭테이블!$F:$I,2,0)*K8865</f>
        <v/>
      </c>
      <c r="N8865" s="94">
        <f>M8865-M8865*VLOOKUP($Q8865,매칭테이블!$F:$I,3,0)</f>
        <v/>
      </c>
      <c r="O8865" s="94">
        <f>VLOOKUP($Q8865,매칭테이블!$F:$I,4,0)*K8865</f>
        <v/>
      </c>
      <c r="P8865" s="148">
        <f>M8865/1.1</f>
        <v/>
      </c>
      <c r="Q8865" s="94">
        <f>F8865&amp;E8865&amp;G8865&amp;L8865</f>
        <v/>
      </c>
    </row>
    <row r="8866" customFormat="1" s="94">
      <c r="B8866" s="128" t="n">
        <v>44075</v>
      </c>
      <c r="C8866" s="94">
        <f>TEXT(B8866,"aaa")</f>
        <v/>
      </c>
      <c r="E8866" s="94" t="inlineStr">
        <is>
          <t>앰플</t>
        </is>
      </c>
      <c r="F8866" s="5" t="inlineStr">
        <is>
          <t>카페24</t>
        </is>
      </c>
      <c r="G8866" s="94" t="inlineStr">
        <is>
          <t>앰플 30ml</t>
        </is>
      </c>
      <c r="H8866" s="7" t="n">
        <v>190801</v>
      </c>
      <c r="I8866" s="7" t="n">
        <v>190801</v>
      </c>
      <c r="K8866" s="94" t="n">
        <v>30</v>
      </c>
      <c r="L8866" s="7" t="n">
        <v>190801</v>
      </c>
      <c r="M8866" s="94">
        <f>VLOOKUP($Q8866,매칭테이블!$F:$I,2,0)*K8866</f>
        <v/>
      </c>
      <c r="N8866" s="94">
        <f>M8866-M8866*VLOOKUP($Q8866,매칭테이블!$F:$I,3,0)</f>
        <v/>
      </c>
      <c r="O8866" s="94">
        <f>VLOOKUP($Q8866,매칭테이블!$F:$I,4,0)*K8866</f>
        <v/>
      </c>
      <c r="P8866" s="148">
        <f>M8866/1.1</f>
        <v/>
      </c>
      <c r="Q8866" s="94">
        <f>F8866&amp;E8866&amp;G8866&amp;L8866</f>
        <v/>
      </c>
    </row>
    <row r="8867" customFormat="1" s="94">
      <c r="B8867" s="128" t="n">
        <v>44075</v>
      </c>
      <c r="C8867" s="94">
        <f>TEXT(B8867,"aaa")</f>
        <v/>
      </c>
      <c r="E8867" s="94" t="inlineStr">
        <is>
          <t>앰플</t>
        </is>
      </c>
      <c r="F8867" s="5" t="inlineStr">
        <is>
          <t>카페24</t>
        </is>
      </c>
      <c r="G8867" s="94" t="inlineStr">
        <is>
          <t>앰플 30ml  2set</t>
        </is>
      </c>
      <c r="H8867" s="7" t="n">
        <v>190801</v>
      </c>
      <c r="I8867" s="7" t="n">
        <v>190801</v>
      </c>
      <c r="K8867" s="94" t="n">
        <v>6</v>
      </c>
      <c r="L8867" s="7" t="n">
        <v>190801</v>
      </c>
      <c r="M8867" s="94">
        <f>VLOOKUP($Q8867,매칭테이블!$F:$I,2,0)*K8867</f>
        <v/>
      </c>
      <c r="N8867" s="94">
        <f>M8867-M8867*VLOOKUP($Q8867,매칭테이블!$F:$I,3,0)</f>
        <v/>
      </c>
      <c r="O8867" s="94">
        <f>VLOOKUP($Q8867,매칭테이블!$F:$I,4,0)*K8867</f>
        <v/>
      </c>
      <c r="P8867" s="148">
        <f>M8867/1.1</f>
        <v/>
      </c>
      <c r="Q8867" s="94">
        <f>F8867&amp;E8867&amp;G8867&amp;L8867</f>
        <v/>
      </c>
    </row>
    <row r="8868" customFormat="1" s="94">
      <c r="B8868" s="128" t="n">
        <v>44075</v>
      </c>
      <c r="C8868" s="94">
        <f>TEXT(B8868,"aaa")</f>
        <v/>
      </c>
      <c r="E8868" s="94" t="inlineStr">
        <is>
          <t>수딩크림</t>
        </is>
      </c>
      <c r="F8868" s="5" t="inlineStr">
        <is>
          <t>카페24</t>
        </is>
      </c>
      <c r="G8868" s="94" t="inlineStr">
        <is>
          <t>수딩크림 100ml</t>
        </is>
      </c>
      <c r="H8868" s="7" t="n">
        <v>190801</v>
      </c>
      <c r="I8868" s="7" t="n">
        <v>190801</v>
      </c>
      <c r="K8868" s="94" t="n">
        <v>13</v>
      </c>
      <c r="L8868" s="7" t="n">
        <v>190801</v>
      </c>
      <c r="M8868" s="94">
        <f>VLOOKUP($Q8868,매칭테이블!$F:$I,2,0)*K8868</f>
        <v/>
      </c>
      <c r="N8868" s="94">
        <f>M8868-M8868*VLOOKUP($Q8868,매칭테이블!$F:$I,3,0)</f>
        <v/>
      </c>
      <c r="O8868" s="94">
        <f>VLOOKUP($Q8868,매칭테이블!$F:$I,4,0)*K8868</f>
        <v/>
      </c>
      <c r="P8868" s="148">
        <f>M8868/1.1</f>
        <v/>
      </c>
      <c r="Q8868" s="94">
        <f>F8868&amp;E8868&amp;G8868&amp;L8868</f>
        <v/>
      </c>
    </row>
    <row r="8869" customFormat="1" s="94">
      <c r="B8869" s="128" t="n">
        <v>44075</v>
      </c>
      <c r="C8869" s="94">
        <f>TEXT(B8869,"aaa")</f>
        <v/>
      </c>
      <c r="E8869" s="94" t="inlineStr">
        <is>
          <t>클렌징폼</t>
        </is>
      </c>
      <c r="F8869" s="5" t="inlineStr">
        <is>
          <t>카페24</t>
        </is>
      </c>
      <c r="G8869" s="94" t="inlineStr">
        <is>
          <t>클렌징폼 120ml</t>
        </is>
      </c>
      <c r="H8869" s="7" t="n">
        <v>190801</v>
      </c>
      <c r="I8869" s="7" t="n">
        <v>190801</v>
      </c>
      <c r="K8869" s="94" t="n">
        <v>12</v>
      </c>
      <c r="L8869" s="7" t="n">
        <v>190801</v>
      </c>
      <c r="M8869" s="94">
        <f>VLOOKUP($Q8869,매칭테이블!$F:$I,2,0)*K8869</f>
        <v/>
      </c>
      <c r="N8869" s="94">
        <f>M8869-M8869*VLOOKUP($Q8869,매칭테이블!$F:$I,3,0)</f>
        <v/>
      </c>
      <c r="O8869" s="94">
        <f>VLOOKUP($Q8869,매칭테이블!$F:$I,4,0)*K8869</f>
        <v/>
      </c>
      <c r="P8869" s="148">
        <f>M8869/1.1</f>
        <v/>
      </c>
      <c r="Q8869" s="94">
        <f>F8869&amp;E8869&amp;G8869&amp;L8869</f>
        <v/>
      </c>
    </row>
    <row r="8870" customFormat="1" s="94">
      <c r="B8870" s="128" t="n">
        <v>44075</v>
      </c>
      <c r="C8870" s="94">
        <f>TEXT(B8870,"aaa")</f>
        <v/>
      </c>
      <c r="E8870" s="94" t="inlineStr">
        <is>
          <t>클렌징폼</t>
        </is>
      </c>
      <c r="F8870" s="5" t="inlineStr">
        <is>
          <t>카페24</t>
        </is>
      </c>
      <c r="G8870" s="94" t="inlineStr">
        <is>
          <t>클렌징폼 120ml 2set</t>
        </is>
      </c>
      <c r="H8870" s="7" t="n">
        <v>190801</v>
      </c>
      <c r="I8870" s="7" t="n">
        <v>190801</v>
      </c>
      <c r="K8870" s="94" t="n">
        <v>1</v>
      </c>
      <c r="L8870" s="7" t="n">
        <v>190801</v>
      </c>
      <c r="M8870" s="94">
        <f>VLOOKUP($Q8870,매칭테이블!$F:$I,2,0)*K8870</f>
        <v/>
      </c>
      <c r="N8870" s="94">
        <f>M8870-M8870*VLOOKUP($Q8870,매칭테이블!$F:$I,3,0)</f>
        <v/>
      </c>
      <c r="O8870" s="94">
        <f>VLOOKUP($Q8870,매칭테이블!$F:$I,4,0)*K8870</f>
        <v/>
      </c>
      <c r="P8870" s="148">
        <f>M8870/1.1</f>
        <v/>
      </c>
      <c r="Q8870" s="94">
        <f>F8870&amp;E8870&amp;G8870&amp;L8870</f>
        <v/>
      </c>
    </row>
    <row r="8871" customFormat="1" s="94">
      <c r="B8871" s="128" t="n">
        <v>44075</v>
      </c>
      <c r="C8871" s="94">
        <f>TEXT(B8871,"aaa")</f>
        <v/>
      </c>
      <c r="E8871" s="94" t="inlineStr">
        <is>
          <t>토너</t>
        </is>
      </c>
      <c r="F8871" s="5" t="inlineStr">
        <is>
          <t>큐텐재팬</t>
        </is>
      </c>
      <c r="G8871" s="94" t="inlineStr">
        <is>
          <t>200726=250ml</t>
        </is>
      </c>
      <c r="H8871" s="7" t="n">
        <v>190801</v>
      </c>
      <c r="I8871" s="7" t="n">
        <v>190801</v>
      </c>
      <c r="K8871" s="94" t="n">
        <v>20</v>
      </c>
      <c r="L8871" s="7" t="n">
        <v>190801</v>
      </c>
      <c r="M8871" s="94">
        <f>VLOOKUP($Q8871,매칭테이블!$F:$I,2,0)*K8871</f>
        <v/>
      </c>
      <c r="N8871" s="94">
        <f>M8871-M8871*VLOOKUP($Q8871,매칭테이블!$F:$I,3,0)</f>
        <v/>
      </c>
      <c r="O8871" s="94">
        <f>VLOOKUP($Q8871,매칭테이블!$F:$I,4,0)*K8871</f>
        <v/>
      </c>
      <c r="P8871" s="148">
        <f>M8871/1.1</f>
        <v/>
      </c>
      <c r="Q8871" s="94">
        <f>F8871&amp;E8871&amp;G8871&amp;L8871</f>
        <v/>
      </c>
    </row>
    <row r="8872" customFormat="1" s="94">
      <c r="B8872" s="128" t="n">
        <v>44075</v>
      </c>
      <c r="C8872" s="94">
        <f>TEXT(B8872,"aaa")</f>
        <v/>
      </c>
      <c r="E8872" s="94" t="inlineStr">
        <is>
          <t>앰플</t>
        </is>
      </c>
      <c r="F8872" s="5" t="inlineStr">
        <is>
          <t>큐텐재팬</t>
        </is>
      </c>
      <c r="G8872" s="94" t="inlineStr">
        <is>
          <t>200726=앰플 30ml</t>
        </is>
      </c>
      <c r="H8872" s="7" t="n">
        <v>190801</v>
      </c>
      <c r="I8872" s="7" t="n">
        <v>190801</v>
      </c>
      <c r="K8872" s="94" t="n">
        <v>4</v>
      </c>
      <c r="L8872" s="7" t="n">
        <v>190801</v>
      </c>
      <c r="M8872" s="94">
        <f>VLOOKUP($Q8872,매칭테이블!$F:$I,2,0)*K8872</f>
        <v/>
      </c>
      <c r="N8872" s="94">
        <f>M8872-M8872*VLOOKUP($Q8872,매칭테이블!$F:$I,3,0)</f>
        <v/>
      </c>
      <c r="O8872" s="94">
        <f>VLOOKUP($Q8872,매칭테이블!$F:$I,4,0)*K8872</f>
        <v/>
      </c>
      <c r="P8872" s="148">
        <f>M8872/1.1</f>
        <v/>
      </c>
      <c r="Q8872" s="94">
        <f>F8872&amp;E8872&amp;G8872&amp;L8872</f>
        <v/>
      </c>
    </row>
    <row r="8873" customFormat="1" s="94">
      <c r="B8873" s="128" t="n">
        <v>44075</v>
      </c>
      <c r="C8873" s="94">
        <f>TEXT(B8873,"aaa")</f>
        <v/>
      </c>
      <c r="E8873" s="94" t="inlineStr">
        <is>
          <t>토너</t>
        </is>
      </c>
      <c r="F8873" s="5" t="inlineStr">
        <is>
          <t>큐텐재팬</t>
        </is>
      </c>
      <c r="G8873" s="94" t="inlineStr">
        <is>
          <t>200726=250ml 2set</t>
        </is>
      </c>
      <c r="H8873" s="7" t="n">
        <v>190801</v>
      </c>
      <c r="I8873" s="7" t="n">
        <v>190801</v>
      </c>
      <c r="K8873" s="94" t="n">
        <v>13</v>
      </c>
      <c r="L8873" s="7" t="n">
        <v>190801</v>
      </c>
      <c r="M8873" s="94">
        <f>VLOOKUP($Q8873,매칭테이블!$F:$I,2,0)*K8873</f>
        <v/>
      </c>
      <c r="N8873" s="94">
        <f>M8873-M8873*VLOOKUP($Q8873,매칭테이블!$F:$I,3,0)</f>
        <v/>
      </c>
      <c r="O8873" s="94">
        <f>VLOOKUP($Q8873,매칭테이블!$F:$I,4,0)*K8873</f>
        <v/>
      </c>
      <c r="P8873" s="148">
        <f>M8873/1.1</f>
        <v/>
      </c>
      <c r="Q8873" s="94">
        <f>F8873&amp;E8873&amp;G8873&amp;L8873</f>
        <v/>
      </c>
    </row>
    <row r="8874" customFormat="1" s="94">
      <c r="B8874" s="128" t="n">
        <v>44075</v>
      </c>
      <c r="C8874" s="94">
        <f>TEXT(B8874,"aaa")</f>
        <v/>
      </c>
      <c r="E8874" s="94" t="inlineStr">
        <is>
          <t>머드크림마스크</t>
        </is>
      </c>
      <c r="F8874" s="5" t="inlineStr">
        <is>
          <t>화해</t>
        </is>
      </c>
      <c r="G8874" s="94" t="inlineStr">
        <is>
          <t>머드크림마스크 100ml</t>
        </is>
      </c>
      <c r="H8874" s="7" t="n">
        <v>190801</v>
      </c>
      <c r="I8874" s="7" t="n">
        <v>190801</v>
      </c>
      <c r="K8874" s="94" t="n">
        <v>1</v>
      </c>
      <c r="L8874" s="7" t="n">
        <v>190801</v>
      </c>
      <c r="M8874" s="94">
        <f>VLOOKUP($Q8874,매칭테이블!$F:$I,2,0)*K8874</f>
        <v/>
      </c>
      <c r="N8874" s="94">
        <f>M8874-M8874*VLOOKUP($Q8874,매칭테이블!$F:$I,3,0)</f>
        <v/>
      </c>
      <c r="O8874" s="94">
        <f>VLOOKUP($Q8874,매칭테이블!$F:$I,4,0)*K8874</f>
        <v/>
      </c>
      <c r="P8874" s="148">
        <f>M8874/1.1</f>
        <v/>
      </c>
      <c r="Q8874" s="94">
        <f>F8874&amp;E8874&amp;G8874&amp;L8874</f>
        <v/>
      </c>
    </row>
    <row r="8875" customFormat="1" s="94">
      <c r="B8875" s="128" t="n">
        <v>44076</v>
      </c>
      <c r="C8875" s="94">
        <f>TEXT(B8875,"aaa")</f>
        <v/>
      </c>
      <c r="E8875" s="94" t="inlineStr">
        <is>
          <t>토너</t>
        </is>
      </c>
      <c r="F8875" s="5" t="inlineStr">
        <is>
          <t>W컨셉</t>
        </is>
      </c>
      <c r="G8875" s="94" t="inlineStr">
        <is>
          <t>250ml</t>
        </is>
      </c>
      <c r="H8875" s="7" t="n">
        <v>190801</v>
      </c>
      <c r="I8875" s="7" t="n">
        <v>190801</v>
      </c>
      <c r="K8875" s="94" t="n">
        <v>2</v>
      </c>
      <c r="L8875" s="7" t="n">
        <v>190801</v>
      </c>
      <c r="M8875" s="94">
        <f>VLOOKUP($Q8875,매칭테이블!$F:$I,2,0)*K8875</f>
        <v/>
      </c>
      <c r="N8875" s="94">
        <f>M8875-M8875*VLOOKUP($Q8875,매칭테이블!$F:$I,3,0)</f>
        <v/>
      </c>
      <c r="O8875" s="94">
        <f>VLOOKUP($Q8875,매칭테이블!$F:$I,4,0)*K8875</f>
        <v/>
      </c>
      <c r="P8875" s="148">
        <f>M8875/1.1</f>
        <v/>
      </c>
      <c r="Q8875" s="94">
        <f>F8875&amp;E8875&amp;G8875&amp;L8875</f>
        <v/>
      </c>
    </row>
    <row r="8876" customFormat="1" s="94">
      <c r="B8876" s="128" t="n">
        <v>44076</v>
      </c>
      <c r="C8876" s="94">
        <f>TEXT(B8876,"aaa")</f>
        <v/>
      </c>
      <c r="E8876" s="94" t="inlineStr">
        <is>
          <t>토너</t>
        </is>
      </c>
      <c r="F8876" s="5" t="inlineStr">
        <is>
          <t>W컨셉</t>
        </is>
      </c>
      <c r="G8876" s="94" t="inlineStr">
        <is>
          <t>250ml 2set</t>
        </is>
      </c>
      <c r="H8876" s="7" t="n">
        <v>190801</v>
      </c>
      <c r="I8876" s="7" t="n">
        <v>190801</v>
      </c>
      <c r="K8876" s="94" t="n">
        <v>8</v>
      </c>
      <c r="L8876" s="7" t="n">
        <v>190801</v>
      </c>
      <c r="M8876" s="94">
        <f>VLOOKUP($Q8876,매칭테이블!$F:$I,2,0)*K8876</f>
        <v/>
      </c>
      <c r="N8876" s="94">
        <f>M8876-M8876*VLOOKUP($Q8876,매칭테이블!$F:$I,3,0)</f>
        <v/>
      </c>
      <c r="O8876" s="94">
        <f>VLOOKUP($Q8876,매칭테이블!$F:$I,4,0)*K8876</f>
        <v/>
      </c>
      <c r="P8876" s="148">
        <f>M8876/1.1</f>
        <v/>
      </c>
      <c r="Q8876" s="94">
        <f>F8876&amp;E8876&amp;G8876&amp;L8876</f>
        <v/>
      </c>
    </row>
    <row r="8877" customFormat="1" s="94">
      <c r="B8877" s="128" t="n">
        <v>44076</v>
      </c>
      <c r="C8877" s="94">
        <f>TEXT(B8877,"aaa")</f>
        <v/>
      </c>
      <c r="E8877" s="94" t="inlineStr">
        <is>
          <t>토너</t>
        </is>
      </c>
      <c r="F8877" s="5" t="inlineStr">
        <is>
          <t>쇼피인도네시아</t>
        </is>
      </c>
      <c r="G8877" s="94" t="inlineStr">
        <is>
          <t>200831=250ml</t>
        </is>
      </c>
      <c r="H8877" s="7" t="n">
        <v>190801</v>
      </c>
      <c r="I8877" s="7" t="n">
        <v>190801</v>
      </c>
      <c r="K8877" s="94" t="n">
        <v>1</v>
      </c>
      <c r="L8877" s="7" t="n">
        <v>190801</v>
      </c>
      <c r="M8877" s="94">
        <f>VLOOKUP($Q8877,매칭테이블!$F:$I,2,0)*K8877</f>
        <v/>
      </c>
      <c r="N8877" s="94">
        <f>M8877-M8877*VLOOKUP($Q8877,매칭테이블!$F:$I,3,0)</f>
        <v/>
      </c>
      <c r="O8877" s="94">
        <f>VLOOKUP($Q8877,매칭테이블!$F:$I,4,0)*K8877</f>
        <v/>
      </c>
      <c r="P8877" s="148">
        <f>M8877/1.1</f>
        <v/>
      </c>
      <c r="Q8877" s="94">
        <f>F8877&amp;E8877&amp;G8877&amp;L8877</f>
        <v/>
      </c>
    </row>
    <row r="8878" customFormat="1" s="94">
      <c r="B8878" s="128" t="n">
        <v>44076</v>
      </c>
      <c r="C8878" s="94">
        <f>TEXT(B8878,"aaa")</f>
        <v/>
      </c>
      <c r="E8878" s="94" t="inlineStr">
        <is>
          <t>토너</t>
        </is>
      </c>
      <c r="F8878" s="5" t="inlineStr">
        <is>
          <t>쇼피인도네시아</t>
        </is>
      </c>
      <c r="G8878" s="94" t="inlineStr">
        <is>
          <t>200831=250ml = 화장솜 60P</t>
        </is>
      </c>
      <c r="H8878" s="7" t="n">
        <v>190801</v>
      </c>
      <c r="I8878" s="7" t="n">
        <v>190801</v>
      </c>
      <c r="K8878" s="94" t="n">
        <v>1</v>
      </c>
      <c r="L8878" s="7" t="n">
        <v>190801</v>
      </c>
      <c r="M8878" s="94">
        <f>VLOOKUP($Q8878,매칭테이블!$F:$I,2,0)*K8878</f>
        <v/>
      </c>
      <c r="N8878" s="94">
        <f>M8878-M8878*VLOOKUP($Q8878,매칭테이블!$F:$I,3,0)</f>
        <v/>
      </c>
      <c r="O8878" s="94">
        <f>VLOOKUP($Q8878,매칭테이블!$F:$I,4,0)*K8878</f>
        <v/>
      </c>
      <c r="P8878" s="148">
        <f>M8878/1.1</f>
        <v/>
      </c>
      <c r="Q8878" s="94">
        <f>F8878&amp;E8878&amp;G8878&amp;L8878</f>
        <v/>
      </c>
    </row>
    <row r="8879" customFormat="1" s="94">
      <c r="B8879" s="128" t="n">
        <v>44076</v>
      </c>
      <c r="C8879" s="94">
        <f>TEXT(B8879,"aaa")</f>
        <v/>
      </c>
      <c r="E8879" s="94" t="inlineStr">
        <is>
          <t>토너</t>
        </is>
      </c>
      <c r="F8879" s="5" t="inlineStr">
        <is>
          <t>스타일쉐어</t>
        </is>
      </c>
      <c r="G8879" s="94" t="inlineStr">
        <is>
          <t>250ml</t>
        </is>
      </c>
      <c r="H8879" s="7" t="n">
        <v>190801</v>
      </c>
      <c r="I8879" s="7" t="n">
        <v>190801</v>
      </c>
      <c r="K8879" s="94" t="n">
        <v>1</v>
      </c>
      <c r="L8879" s="7" t="n">
        <v>190801</v>
      </c>
      <c r="M8879" s="94">
        <f>VLOOKUP($Q8879,매칭테이블!$F:$I,2,0)*K8879</f>
        <v/>
      </c>
      <c r="N8879" s="94">
        <f>M8879-M8879*VLOOKUP($Q8879,매칭테이블!$F:$I,3,0)</f>
        <v/>
      </c>
      <c r="O8879" s="94">
        <f>VLOOKUP($Q8879,매칭테이블!$F:$I,4,0)*K8879</f>
        <v/>
      </c>
      <c r="P8879" s="148">
        <f>M8879/1.1</f>
        <v/>
      </c>
      <c r="Q8879" s="94">
        <f>F8879&amp;E8879&amp;G8879&amp;L8879</f>
        <v/>
      </c>
    </row>
    <row r="8880" customFormat="1" s="94">
      <c r="B8880" s="128" t="n">
        <v>44076</v>
      </c>
      <c r="C8880" s="94">
        <f>TEXT(B8880,"aaa")</f>
        <v/>
      </c>
      <c r="E8880" s="94" t="inlineStr">
        <is>
          <t>토너</t>
        </is>
      </c>
      <c r="F8880" s="5" t="inlineStr">
        <is>
          <t>아누아 CS</t>
        </is>
      </c>
      <c r="G8880" s="94" t="inlineStr">
        <is>
          <t>250ml</t>
        </is>
      </c>
      <c r="H8880" s="7" t="n">
        <v>190801</v>
      </c>
      <c r="I8880" s="7" t="n">
        <v>190801</v>
      </c>
      <c r="K8880" s="94" t="n">
        <v>2</v>
      </c>
      <c r="L8880" s="7" t="n">
        <v>190801</v>
      </c>
      <c r="M8880" s="94">
        <f>VLOOKUP($Q8880,매칭테이블!$F:$I,2,0)*K8880</f>
        <v/>
      </c>
      <c r="N8880" s="94">
        <f>M8880-M8880*VLOOKUP($Q8880,매칭테이블!$F:$I,3,0)</f>
        <v/>
      </c>
      <c r="O8880" s="94">
        <f>VLOOKUP($Q8880,매칭테이블!$F:$I,4,0)*K8880</f>
        <v/>
      </c>
      <c r="P8880" s="148">
        <f>M8880/1.1</f>
        <v/>
      </c>
      <c r="Q8880" s="94">
        <f>F8880&amp;E8880&amp;G8880&amp;L8880</f>
        <v/>
      </c>
    </row>
    <row r="8881" customFormat="1" s="94">
      <c r="B8881" s="128" t="n">
        <v>44076</v>
      </c>
      <c r="C8881" s="94">
        <f>TEXT(B8881,"aaa")</f>
        <v/>
      </c>
      <c r="E8881" s="94" t="inlineStr">
        <is>
          <t>화장솜</t>
        </is>
      </c>
      <c r="F8881" s="5" t="inlineStr">
        <is>
          <t>아누아 CS</t>
        </is>
      </c>
      <c r="G8881" s="94" t="inlineStr">
        <is>
          <t>스킨팩 화장솜 60P</t>
        </is>
      </c>
      <c r="H8881" s="7" t="n">
        <v>190801</v>
      </c>
      <c r="I8881" s="7" t="n">
        <v>190801</v>
      </c>
      <c r="K8881" s="94" t="n">
        <v>1</v>
      </c>
      <c r="L8881" s="7" t="n">
        <v>190801</v>
      </c>
      <c r="M8881" s="94">
        <f>VLOOKUP($Q8881,매칭테이블!$F:$I,2,0)*K8881</f>
        <v/>
      </c>
      <c r="N8881" s="94">
        <f>M8881-M8881*VLOOKUP($Q8881,매칭테이블!$F:$I,3,0)</f>
        <v/>
      </c>
      <c r="O8881" s="94">
        <f>VLOOKUP($Q8881,매칭테이블!$F:$I,4,0)*K8881</f>
        <v/>
      </c>
      <c r="P8881" s="148">
        <f>M8881/1.1</f>
        <v/>
      </c>
      <c r="Q8881" s="94">
        <f>F8881&amp;E8881&amp;G8881&amp;L8881</f>
        <v/>
      </c>
    </row>
    <row r="8882" customFormat="1" s="94">
      <c r="B8882" s="128" t="n">
        <v>44076</v>
      </c>
      <c r="C8882" s="94">
        <f>TEXT(B8882,"aaa")</f>
        <v/>
      </c>
      <c r="E8882" s="94" t="inlineStr">
        <is>
          <t>앰플</t>
        </is>
      </c>
      <c r="F8882" s="5" t="inlineStr">
        <is>
          <t>아누아 CS</t>
        </is>
      </c>
      <c r="G8882" s="94" t="inlineStr">
        <is>
          <t>앰플 30ml</t>
        </is>
      </c>
      <c r="H8882" s="7" t="n">
        <v>190801</v>
      </c>
      <c r="I8882" s="7" t="n">
        <v>190801</v>
      </c>
      <c r="K8882" s="94" t="n">
        <v>12</v>
      </c>
      <c r="L8882" s="7" t="n">
        <v>190801</v>
      </c>
      <c r="M8882" s="94">
        <f>VLOOKUP($Q8882,매칭테이블!$F:$I,2,0)*K8882</f>
        <v/>
      </c>
      <c r="N8882" s="94">
        <f>M8882-M8882*VLOOKUP($Q8882,매칭테이블!$F:$I,3,0)</f>
        <v/>
      </c>
      <c r="O8882" s="94">
        <f>VLOOKUP($Q8882,매칭테이블!$F:$I,4,0)*K8882</f>
        <v/>
      </c>
      <c r="P8882" s="148">
        <f>M8882/1.1</f>
        <v/>
      </c>
      <c r="Q8882" s="94">
        <f>F8882&amp;E8882&amp;G8882&amp;L8882</f>
        <v/>
      </c>
    </row>
    <row r="8883" customFormat="1" s="94">
      <c r="B8883" s="128" t="n">
        <v>44076</v>
      </c>
      <c r="C8883" s="94">
        <f>TEXT(B8883,"aaa")</f>
        <v/>
      </c>
      <c r="E8883" s="94" t="inlineStr">
        <is>
          <t>마스크팩</t>
        </is>
      </c>
      <c r="F8883" s="5" t="inlineStr">
        <is>
          <t>아누아 CS</t>
        </is>
      </c>
      <c r="G8883" s="94" t="inlineStr">
        <is>
          <t>마스크팩 10매</t>
        </is>
      </c>
      <c r="H8883" s="7" t="n">
        <v>190801</v>
      </c>
      <c r="I8883" s="7" t="n">
        <v>190801</v>
      </c>
      <c r="K8883" s="94" t="n">
        <v>1</v>
      </c>
      <c r="L8883" s="7" t="n">
        <v>190801</v>
      </c>
      <c r="M8883" s="94">
        <f>VLOOKUP($Q8883,매칭테이블!$F:$I,2,0)*K8883</f>
        <v/>
      </c>
      <c r="N8883" s="94">
        <f>M8883-M8883*VLOOKUP($Q8883,매칭테이블!$F:$I,3,0)</f>
        <v/>
      </c>
      <c r="O8883" s="94">
        <f>VLOOKUP($Q8883,매칭테이블!$F:$I,4,0)*K8883</f>
        <v/>
      </c>
      <c r="P8883" s="148">
        <f>M8883/1.1</f>
        <v/>
      </c>
      <c r="Q8883" s="94">
        <f>F8883&amp;E8883&amp;G8883&amp;L8883</f>
        <v/>
      </c>
    </row>
    <row r="8884" customFormat="1" s="94">
      <c r="B8884" s="128" t="n">
        <v>44076</v>
      </c>
      <c r="C8884" s="94">
        <f>TEXT(B8884,"aaa")</f>
        <v/>
      </c>
      <c r="E8884" s="94" t="inlineStr">
        <is>
          <t>선크림</t>
        </is>
      </c>
      <c r="F8884" s="5" t="inlineStr">
        <is>
          <t>아누아 CS</t>
        </is>
      </c>
      <c r="G8884" s="94" t="inlineStr">
        <is>
          <t>선크림 50ml</t>
        </is>
      </c>
      <c r="H8884" s="7" t="n">
        <v>190801</v>
      </c>
      <c r="I8884" s="7" t="n">
        <v>190801</v>
      </c>
      <c r="K8884" s="94" t="n">
        <v>1</v>
      </c>
      <c r="L8884" s="7" t="n">
        <v>190801</v>
      </c>
      <c r="M8884" s="94">
        <f>VLOOKUP($Q8884,매칭테이블!$F:$I,2,0)*K8884</f>
        <v/>
      </c>
      <c r="N8884" s="94">
        <f>M8884-M8884*VLOOKUP($Q8884,매칭테이블!$F:$I,3,0)</f>
        <v/>
      </c>
      <c r="O8884" s="94">
        <f>VLOOKUP($Q8884,매칭테이블!$F:$I,4,0)*K8884</f>
        <v/>
      </c>
      <c r="P8884" s="148">
        <f>M8884/1.1</f>
        <v/>
      </c>
      <c r="Q8884" s="94">
        <f>F8884&amp;E8884&amp;G8884&amp;L8884</f>
        <v/>
      </c>
    </row>
    <row r="8885" customFormat="1" s="94">
      <c r="B8885" s="128" t="n">
        <v>44076</v>
      </c>
      <c r="C8885" s="94">
        <f>TEXT(B8885,"aaa")</f>
        <v/>
      </c>
      <c r="E8885" s="94" t="inlineStr">
        <is>
          <t>클렌징폼</t>
        </is>
      </c>
      <c r="F8885" s="5" t="inlineStr">
        <is>
          <t>아누아 CS</t>
        </is>
      </c>
      <c r="G8885" s="94" t="inlineStr">
        <is>
          <t>클렌징폼 120ml</t>
        </is>
      </c>
      <c r="H8885" s="7" t="n">
        <v>190801</v>
      </c>
      <c r="I8885" s="7" t="n">
        <v>190801</v>
      </c>
      <c r="K8885" s="94" t="n">
        <v>1</v>
      </c>
      <c r="L8885" s="7" t="n">
        <v>190801</v>
      </c>
      <c r="M8885" s="94">
        <f>VLOOKUP($Q8885,매칭테이블!$F:$I,2,0)*K8885</f>
        <v/>
      </c>
      <c r="N8885" s="94">
        <f>M8885-M8885*VLOOKUP($Q8885,매칭테이블!$F:$I,3,0)</f>
        <v/>
      </c>
      <c r="O8885" s="94">
        <f>VLOOKUP($Q8885,매칭테이블!$F:$I,4,0)*K8885</f>
        <v/>
      </c>
      <c r="P8885" s="148">
        <f>M8885/1.1</f>
        <v/>
      </c>
      <c r="Q8885" s="94">
        <f>F8885&amp;E8885&amp;G8885&amp;L8885</f>
        <v/>
      </c>
    </row>
    <row r="8886" customFormat="1" s="94">
      <c r="B8886" s="128" t="n">
        <v>44076</v>
      </c>
      <c r="C8886" s="94">
        <f>TEXT(B8886,"aaa")</f>
        <v/>
      </c>
      <c r="E8886" s="94" t="inlineStr">
        <is>
          <t>머드크림마스크</t>
        </is>
      </c>
      <c r="F8886" s="5" t="inlineStr">
        <is>
          <t>아누아 CS</t>
        </is>
      </c>
      <c r="G8886" s="94" t="inlineStr">
        <is>
          <t>머드크림마스크 100ml</t>
        </is>
      </c>
      <c r="H8886" s="7" t="n">
        <v>190801</v>
      </c>
      <c r="I8886" s="7" t="n">
        <v>190801</v>
      </c>
      <c r="K8886" s="94" t="n">
        <v>1</v>
      </c>
      <c r="L8886" s="7" t="n">
        <v>190801</v>
      </c>
      <c r="M8886" s="94">
        <f>VLOOKUP($Q8886,매칭테이블!$F:$I,2,0)*K8886</f>
        <v/>
      </c>
      <c r="N8886" s="94">
        <f>M8886-M8886*VLOOKUP($Q8886,매칭테이블!$F:$I,3,0)</f>
        <v/>
      </c>
      <c r="O8886" s="94">
        <f>VLOOKUP($Q8886,매칭테이블!$F:$I,4,0)*K8886</f>
        <v/>
      </c>
      <c r="P8886" s="148">
        <f>M8886/1.1</f>
        <v/>
      </c>
      <c r="Q8886" s="94">
        <f>F8886&amp;E8886&amp;G8886&amp;L8886</f>
        <v/>
      </c>
    </row>
    <row r="8887" customFormat="1" s="94">
      <c r="B8887" s="128" t="n">
        <v>44076</v>
      </c>
      <c r="C8887" s="94">
        <f>TEXT(B8887,"aaa")</f>
        <v/>
      </c>
      <c r="E8887" s="94" t="inlineStr">
        <is>
          <t>선크림</t>
        </is>
      </c>
      <c r="F8887" s="5" t="inlineStr">
        <is>
          <t>카페24</t>
        </is>
      </c>
      <c r="G8887" s="94" t="inlineStr">
        <is>
          <t>선크림 50ml</t>
        </is>
      </c>
      <c r="H8887" s="7" t="n">
        <v>190801</v>
      </c>
      <c r="I8887" s="7" t="n">
        <v>190801</v>
      </c>
      <c r="K8887" s="94" t="n">
        <v>2</v>
      </c>
      <c r="L8887" s="7" t="n">
        <v>190801</v>
      </c>
      <c r="M8887" s="94">
        <f>VLOOKUP($Q8887,매칭테이블!$F:$I,2,0)*K8887</f>
        <v/>
      </c>
      <c r="N8887" s="94">
        <f>M8887-M8887*VLOOKUP($Q8887,매칭테이블!$F:$I,3,0)</f>
        <v/>
      </c>
      <c r="O8887" s="94">
        <f>VLOOKUP($Q8887,매칭테이블!$F:$I,4,0)*K8887</f>
        <v/>
      </c>
      <c r="P8887" s="148">
        <f>M8887/1.1</f>
        <v/>
      </c>
      <c r="Q8887" s="94">
        <f>F8887&amp;E8887&amp;G8887&amp;L8887</f>
        <v/>
      </c>
    </row>
    <row r="8888" customFormat="1" s="94">
      <c r="B8888" s="128" t="n">
        <v>44076</v>
      </c>
      <c r="C8888" s="94">
        <f>TEXT(B8888,"aaa")</f>
        <v/>
      </c>
      <c r="E8888" s="94" t="inlineStr">
        <is>
          <t>선크림</t>
        </is>
      </c>
      <c r="F8888" s="5" t="inlineStr">
        <is>
          <t>카페24</t>
        </is>
      </c>
      <c r="G8888" s="94" t="inlineStr">
        <is>
          <t>선크림 50ml  2set</t>
        </is>
      </c>
      <c r="H8888" s="7" t="n">
        <v>190801</v>
      </c>
      <c r="I8888" s="7" t="n">
        <v>190801</v>
      </c>
      <c r="K8888" s="94" t="n">
        <v>2</v>
      </c>
      <c r="L8888" s="7" t="n">
        <v>190801</v>
      </c>
      <c r="M8888" s="94">
        <f>VLOOKUP($Q8888,매칭테이블!$F:$I,2,0)*K8888</f>
        <v/>
      </c>
      <c r="N8888" s="94">
        <f>M8888-M8888*VLOOKUP($Q8888,매칭테이블!$F:$I,3,0)</f>
        <v/>
      </c>
      <c r="O8888" s="94">
        <f>VLOOKUP($Q8888,매칭테이블!$F:$I,4,0)*K8888</f>
        <v/>
      </c>
      <c r="P8888" s="148">
        <f>M8888/1.1</f>
        <v/>
      </c>
      <c r="Q8888" s="94">
        <f>F8888&amp;E8888&amp;G8888&amp;L8888</f>
        <v/>
      </c>
    </row>
    <row r="8889" customFormat="1" s="94">
      <c r="B8889" s="128" t="n">
        <v>44076</v>
      </c>
      <c r="C8889" s="94">
        <f>TEXT(B8889,"aaa")</f>
        <v/>
      </c>
      <c r="E8889" s="94" t="inlineStr">
        <is>
          <t>여름 한정 진정세트</t>
        </is>
      </c>
      <c r="F8889" s="5" t="inlineStr">
        <is>
          <t>카페24</t>
        </is>
      </c>
      <c r="G8889" s="94" t="inlineStr">
        <is>
          <t>여름 한정 진정세트</t>
        </is>
      </c>
      <c r="H8889" s="7" t="n">
        <v>190801</v>
      </c>
      <c r="I8889" s="7" t="n">
        <v>190801</v>
      </c>
      <c r="K8889" s="94" t="n">
        <v>5</v>
      </c>
      <c r="L8889" s="7" t="n">
        <v>190801</v>
      </c>
      <c r="M8889" s="94">
        <f>VLOOKUP($Q8889,매칭테이블!$F:$I,2,0)*K8889</f>
        <v/>
      </c>
      <c r="N8889" s="94">
        <f>M8889-M8889*VLOOKUP($Q8889,매칭테이블!$F:$I,3,0)</f>
        <v/>
      </c>
      <c r="O8889" s="94">
        <f>VLOOKUP($Q8889,매칭테이블!$F:$I,4,0)*K8889</f>
        <v/>
      </c>
      <c r="P8889" s="148">
        <f>M8889/1.1</f>
        <v/>
      </c>
      <c r="Q8889" s="94">
        <f>F8889&amp;E8889&amp;G8889&amp;L8889</f>
        <v/>
      </c>
    </row>
    <row r="8890" customFormat="1" s="94">
      <c r="B8890" s="128" t="n">
        <v>44076</v>
      </c>
      <c r="C8890" s="94">
        <f>TEXT(B8890,"aaa")</f>
        <v/>
      </c>
      <c r="E8890" s="94" t="inlineStr">
        <is>
          <t>여름 한정 진정세트</t>
        </is>
      </c>
      <c r="F8890" s="5" t="inlineStr">
        <is>
          <t>카페24</t>
        </is>
      </c>
      <c r="G8890" s="94" t="inlineStr">
        <is>
          <t>여름 한정 진정세트 (대용량)</t>
        </is>
      </c>
      <c r="H8890" s="7" t="n">
        <v>190801</v>
      </c>
      <c r="I8890" s="7" t="n">
        <v>190801</v>
      </c>
      <c r="K8890" s="94" t="n">
        <v>5</v>
      </c>
      <c r="L8890" s="7" t="n">
        <v>190801</v>
      </c>
      <c r="M8890" s="94">
        <f>VLOOKUP($Q8890,매칭테이블!$F:$I,2,0)*K8890</f>
        <v/>
      </c>
      <c r="N8890" s="94">
        <f>M8890-M8890*VLOOKUP($Q8890,매칭테이블!$F:$I,3,0)</f>
        <v/>
      </c>
      <c r="O8890" s="94">
        <f>VLOOKUP($Q8890,매칭테이블!$F:$I,4,0)*K8890</f>
        <v/>
      </c>
      <c r="P8890" s="148">
        <f>M8890/1.1</f>
        <v/>
      </c>
      <c r="Q8890" s="94">
        <f>F8890&amp;E8890&amp;G8890&amp;L8890</f>
        <v/>
      </c>
    </row>
    <row r="8891" customFormat="1" s="94">
      <c r="B8891" s="128" t="n">
        <v>44076</v>
      </c>
      <c r="C8891" s="94">
        <f>TEXT(B8891,"aaa")</f>
        <v/>
      </c>
      <c r="E8891" s="94" t="inlineStr">
        <is>
          <t>어성초진정패키지</t>
        </is>
      </c>
      <c r="F8891" s="5" t="inlineStr">
        <is>
          <t>카페24</t>
        </is>
      </c>
      <c r="G8891" s="94" t="inlineStr">
        <is>
          <t>어성초 진정패키지세트</t>
        </is>
      </c>
      <c r="H8891" s="7" t="n">
        <v>190801</v>
      </c>
      <c r="I8891" s="7" t="n">
        <v>190801</v>
      </c>
      <c r="K8891" s="94" t="n">
        <v>3</v>
      </c>
      <c r="L8891" s="7" t="n">
        <v>190801</v>
      </c>
      <c r="M8891" s="94">
        <f>VLOOKUP($Q8891,매칭테이블!$F:$I,2,0)*K8891</f>
        <v/>
      </c>
      <c r="N8891" s="94">
        <f>M8891-M8891*VLOOKUP($Q8891,매칭테이블!$F:$I,3,0)</f>
        <v/>
      </c>
      <c r="O8891" s="94">
        <f>VLOOKUP($Q8891,매칭테이블!$F:$I,4,0)*K8891</f>
        <v/>
      </c>
      <c r="P8891" s="148">
        <f>M8891/1.1</f>
        <v/>
      </c>
      <c r="Q8891" s="94">
        <f>F8891&amp;E8891&amp;G8891&amp;L8891</f>
        <v/>
      </c>
    </row>
    <row r="8892" customFormat="1" s="94">
      <c r="B8892" s="128" t="n">
        <v>44076</v>
      </c>
      <c r="C8892" s="94">
        <f>TEXT(B8892,"aaa")</f>
        <v/>
      </c>
      <c r="E8892" s="94" t="inlineStr">
        <is>
          <t>머드크림마스크</t>
        </is>
      </c>
      <c r="F8892" s="5" t="inlineStr">
        <is>
          <t>카페24</t>
        </is>
      </c>
      <c r="G8892" s="94" t="inlineStr">
        <is>
          <t>머드크림마스크 100ml</t>
        </is>
      </c>
      <c r="H8892" s="7" t="n">
        <v>190801</v>
      </c>
      <c r="I8892" s="7" t="n">
        <v>190801</v>
      </c>
      <c r="K8892" s="94" t="n">
        <v>5</v>
      </c>
      <c r="L8892" s="7" t="n">
        <v>190801</v>
      </c>
      <c r="M8892" s="94">
        <f>VLOOKUP($Q8892,매칭테이블!$F:$I,2,0)*K8892</f>
        <v/>
      </c>
      <c r="N8892" s="94">
        <f>M8892-M8892*VLOOKUP($Q8892,매칭테이블!$F:$I,3,0)</f>
        <v/>
      </c>
      <c r="O8892" s="94">
        <f>VLOOKUP($Q8892,매칭테이블!$F:$I,4,0)*K8892</f>
        <v/>
      </c>
      <c r="P8892" s="148">
        <f>M8892/1.1</f>
        <v/>
      </c>
      <c r="Q8892" s="94">
        <f>F8892&amp;E8892&amp;G8892&amp;L8892</f>
        <v/>
      </c>
    </row>
    <row r="8893" customFormat="1" s="94">
      <c r="B8893" s="128" t="n">
        <v>44076</v>
      </c>
      <c r="C8893" s="94">
        <f>TEXT(B8893,"aaa")</f>
        <v/>
      </c>
      <c r="E8893" s="94" t="inlineStr">
        <is>
          <t>마스크팩</t>
        </is>
      </c>
      <c r="F8893" s="5" t="inlineStr">
        <is>
          <t>카페24</t>
        </is>
      </c>
      <c r="G8893" s="94" t="inlineStr">
        <is>
          <t>마스크팩 1매</t>
        </is>
      </c>
      <c r="H8893" s="7" t="n">
        <v>190801</v>
      </c>
      <c r="I8893" s="7" t="n">
        <v>190801</v>
      </c>
      <c r="K8893" s="94" t="n">
        <v>5</v>
      </c>
      <c r="L8893" s="7" t="n">
        <v>190801</v>
      </c>
      <c r="M8893" s="94">
        <f>VLOOKUP($Q8893,매칭테이블!$F:$I,2,0)*K8893</f>
        <v/>
      </c>
      <c r="N8893" s="94">
        <f>M8893-M8893*VLOOKUP($Q8893,매칭테이블!$F:$I,3,0)</f>
        <v/>
      </c>
      <c r="O8893" s="94">
        <f>VLOOKUP($Q8893,매칭테이블!$F:$I,4,0)*K8893</f>
        <v/>
      </c>
      <c r="P8893" s="148">
        <f>M8893/1.1</f>
        <v/>
      </c>
      <c r="Q8893" s="94">
        <f>F8893&amp;E8893&amp;G8893&amp;L8893</f>
        <v/>
      </c>
    </row>
    <row r="8894" customFormat="1" s="94">
      <c r="B8894" s="128" t="n">
        <v>44076</v>
      </c>
      <c r="C8894" s="94">
        <f>TEXT(B8894,"aaa")</f>
        <v/>
      </c>
      <c r="E8894" s="94" t="inlineStr">
        <is>
          <t>마스크팩</t>
        </is>
      </c>
      <c r="F8894" s="5" t="inlineStr">
        <is>
          <t>카페24</t>
        </is>
      </c>
      <c r="G8894" s="94" t="inlineStr">
        <is>
          <t>마스크팩 10매</t>
        </is>
      </c>
      <c r="H8894" s="7" t="n">
        <v>190801</v>
      </c>
      <c r="I8894" s="7" t="n">
        <v>190801</v>
      </c>
      <c r="K8894" s="94" t="n">
        <v>5</v>
      </c>
      <c r="L8894" s="7" t="n">
        <v>190801</v>
      </c>
      <c r="M8894" s="94">
        <f>VLOOKUP($Q8894,매칭테이블!$F:$I,2,0)*K8894</f>
        <v/>
      </c>
      <c r="N8894" s="94">
        <f>M8894-M8894*VLOOKUP($Q8894,매칭테이블!$F:$I,3,0)</f>
        <v/>
      </c>
      <c r="O8894" s="94">
        <f>VLOOKUP($Q8894,매칭테이블!$F:$I,4,0)*K8894</f>
        <v/>
      </c>
      <c r="P8894" s="148">
        <f>M8894/1.1</f>
        <v/>
      </c>
      <c r="Q8894" s="94">
        <f>F8894&amp;E8894&amp;G8894&amp;L8894</f>
        <v/>
      </c>
    </row>
    <row r="8895" customFormat="1" s="94">
      <c r="B8895" s="128" t="n">
        <v>44076</v>
      </c>
      <c r="C8895" s="94">
        <f>TEXT(B8895,"aaa")</f>
        <v/>
      </c>
      <c r="E8895" s="94" t="inlineStr">
        <is>
          <t>토너</t>
        </is>
      </c>
      <c r="F8895" s="5" t="inlineStr">
        <is>
          <t>카페24</t>
        </is>
      </c>
      <c r="G8895" s="94" t="inlineStr">
        <is>
          <t>250ml</t>
        </is>
      </c>
      <c r="H8895" s="7" t="n">
        <v>190801</v>
      </c>
      <c r="I8895" s="7" t="n">
        <v>190801</v>
      </c>
      <c r="K8895" s="94" t="n">
        <v>69</v>
      </c>
      <c r="L8895" s="7" t="n">
        <v>190801</v>
      </c>
      <c r="M8895" s="94">
        <f>VLOOKUP($Q8895,매칭테이블!$F:$I,2,0)*K8895</f>
        <v/>
      </c>
      <c r="N8895" s="94">
        <f>M8895-M8895*VLOOKUP($Q8895,매칭테이블!$F:$I,3,0)</f>
        <v/>
      </c>
      <c r="O8895" s="94">
        <f>VLOOKUP($Q8895,매칭테이블!$F:$I,4,0)*K8895</f>
        <v/>
      </c>
      <c r="P8895" s="148">
        <f>M8895/1.1</f>
        <v/>
      </c>
      <c r="Q8895" s="94">
        <f>F8895&amp;E8895&amp;G8895&amp;L8895</f>
        <v/>
      </c>
    </row>
    <row r="8896" customFormat="1" s="94">
      <c r="B8896" s="128" t="n">
        <v>44076</v>
      </c>
      <c r="C8896" s="94">
        <f>TEXT(B8896,"aaa")</f>
        <v/>
      </c>
      <c r="E8896" s="94" t="inlineStr">
        <is>
          <t>토너</t>
        </is>
      </c>
      <c r="F8896" s="5" t="inlineStr">
        <is>
          <t>카페24</t>
        </is>
      </c>
      <c r="G8896" s="94" t="inlineStr">
        <is>
          <t>250ml 2set</t>
        </is>
      </c>
      <c r="H8896" s="7" t="n">
        <v>190801</v>
      </c>
      <c r="I8896" s="7" t="n">
        <v>190801</v>
      </c>
      <c r="K8896" s="94" t="n">
        <v>77</v>
      </c>
      <c r="L8896" s="7" t="n">
        <v>190801</v>
      </c>
      <c r="M8896" s="94">
        <f>VLOOKUP($Q8896,매칭테이블!$F:$I,2,0)*K8896</f>
        <v/>
      </c>
      <c r="N8896" s="94">
        <f>M8896-M8896*VLOOKUP($Q8896,매칭테이블!$F:$I,3,0)</f>
        <v/>
      </c>
      <c r="O8896" s="94">
        <f>VLOOKUP($Q8896,매칭테이블!$F:$I,4,0)*K8896</f>
        <v/>
      </c>
      <c r="P8896" s="148">
        <f>M8896/1.1</f>
        <v/>
      </c>
      <c r="Q8896" s="94">
        <f>F8896&amp;E8896&amp;G8896&amp;L8896</f>
        <v/>
      </c>
    </row>
    <row r="8897" customFormat="1" s="94">
      <c r="B8897" s="128" t="n">
        <v>44076</v>
      </c>
      <c r="C8897" s="94">
        <f>TEXT(B8897,"aaa")</f>
        <v/>
      </c>
      <c r="E8897" s="94" t="inlineStr">
        <is>
          <t>토너</t>
        </is>
      </c>
      <c r="F8897" s="5" t="inlineStr">
        <is>
          <t>카페24</t>
        </is>
      </c>
      <c r="G8897" s="94" t="inlineStr">
        <is>
          <t>500ml</t>
        </is>
      </c>
      <c r="H8897" s="7" t="n">
        <v>190801</v>
      </c>
      <c r="I8897" s="7" t="n">
        <v>190801</v>
      </c>
      <c r="K8897" s="94" t="n">
        <v>67</v>
      </c>
      <c r="L8897" s="7" t="n">
        <v>190801</v>
      </c>
      <c r="M8897" s="94">
        <f>VLOOKUP($Q8897,매칭테이블!$F:$I,2,0)*K8897</f>
        <v/>
      </c>
      <c r="N8897" s="94">
        <f>M8897-M8897*VLOOKUP($Q8897,매칭테이블!$F:$I,3,0)</f>
        <v/>
      </c>
      <c r="O8897" s="94">
        <f>VLOOKUP($Q8897,매칭테이블!$F:$I,4,0)*K8897</f>
        <v/>
      </c>
      <c r="P8897" s="148">
        <f>M8897/1.1</f>
        <v/>
      </c>
      <c r="Q8897" s="94">
        <f>F8897&amp;E8897&amp;G8897&amp;L8897</f>
        <v/>
      </c>
    </row>
    <row r="8898" customFormat="1" s="94">
      <c r="B8898" s="128" t="n">
        <v>44076</v>
      </c>
      <c r="C8898" s="94">
        <f>TEXT(B8898,"aaa")</f>
        <v/>
      </c>
      <c r="E8898" s="94" t="inlineStr">
        <is>
          <t>토너</t>
        </is>
      </c>
      <c r="F8898" s="5" t="inlineStr">
        <is>
          <t>카페24</t>
        </is>
      </c>
      <c r="G8898" s="94" t="inlineStr">
        <is>
          <t>스킨팩 화장솜 60P</t>
        </is>
      </c>
      <c r="H8898" s="7" t="n">
        <v>190801</v>
      </c>
      <c r="I8898" s="7" t="n">
        <v>190801</v>
      </c>
      <c r="K8898" s="94" t="n">
        <v>100</v>
      </c>
      <c r="L8898" s="7" t="n">
        <v>190801</v>
      </c>
      <c r="M8898" s="94">
        <f>VLOOKUP($Q8898,매칭테이블!$F:$I,2,0)*K8898</f>
        <v/>
      </c>
      <c r="N8898" s="94">
        <f>M8898-M8898*VLOOKUP($Q8898,매칭테이블!$F:$I,3,0)</f>
        <v/>
      </c>
      <c r="O8898" s="94">
        <f>VLOOKUP($Q8898,매칭테이블!$F:$I,4,0)*K8898</f>
        <v/>
      </c>
      <c r="P8898" s="148">
        <f>M8898/1.1</f>
        <v/>
      </c>
      <c r="Q8898" s="94">
        <f>F8898&amp;E8898&amp;G8898&amp;L8898</f>
        <v/>
      </c>
    </row>
    <row r="8899" customFormat="1" s="94">
      <c r="B8899" s="128" t="n">
        <v>44076</v>
      </c>
      <c r="C8899" s="94">
        <f>TEXT(B8899,"aaa")</f>
        <v/>
      </c>
      <c r="E8899" s="94" t="inlineStr">
        <is>
          <t>앰플</t>
        </is>
      </c>
      <c r="F8899" s="5" t="inlineStr">
        <is>
          <t>카페24</t>
        </is>
      </c>
      <c r="G8899" s="94" t="inlineStr">
        <is>
          <t>앰플 30ml</t>
        </is>
      </c>
      <c r="H8899" s="7" t="n">
        <v>190801</v>
      </c>
      <c r="I8899" s="7" t="n">
        <v>190801</v>
      </c>
      <c r="K8899" s="94" t="n">
        <v>22</v>
      </c>
      <c r="L8899" s="7" t="n">
        <v>190801</v>
      </c>
      <c r="M8899" s="94">
        <f>VLOOKUP($Q8899,매칭테이블!$F:$I,2,0)*K8899</f>
        <v/>
      </c>
      <c r="N8899" s="94">
        <f>M8899-M8899*VLOOKUP($Q8899,매칭테이블!$F:$I,3,0)</f>
        <v/>
      </c>
      <c r="O8899" s="94">
        <f>VLOOKUP($Q8899,매칭테이블!$F:$I,4,0)*K8899</f>
        <v/>
      </c>
      <c r="P8899" s="148">
        <f>M8899/1.1</f>
        <v/>
      </c>
      <c r="Q8899" s="94">
        <f>F8899&amp;E8899&amp;G8899&amp;L8899</f>
        <v/>
      </c>
    </row>
    <row r="8900" customFormat="1" s="94">
      <c r="B8900" s="128" t="n">
        <v>44076</v>
      </c>
      <c r="C8900" s="94">
        <f>TEXT(B8900,"aaa")</f>
        <v/>
      </c>
      <c r="E8900" s="94" t="inlineStr">
        <is>
          <t>앰플</t>
        </is>
      </c>
      <c r="F8900" s="5" t="inlineStr">
        <is>
          <t>카페24</t>
        </is>
      </c>
      <c r="G8900" s="94" t="inlineStr">
        <is>
          <t>앰플 30ml  2set</t>
        </is>
      </c>
      <c r="H8900" s="7" t="n">
        <v>190801</v>
      </c>
      <c r="I8900" s="7" t="n">
        <v>190801</v>
      </c>
      <c r="K8900" s="94" t="n">
        <v>3</v>
      </c>
      <c r="L8900" s="7" t="n">
        <v>190801</v>
      </c>
      <c r="M8900" s="94">
        <f>VLOOKUP($Q8900,매칭테이블!$F:$I,2,0)*K8900</f>
        <v/>
      </c>
      <c r="N8900" s="94">
        <f>M8900-M8900*VLOOKUP($Q8900,매칭테이블!$F:$I,3,0)</f>
        <v/>
      </c>
      <c r="O8900" s="94">
        <f>VLOOKUP($Q8900,매칭테이블!$F:$I,4,0)*K8900</f>
        <v/>
      </c>
      <c r="P8900" s="148">
        <f>M8900/1.1</f>
        <v/>
      </c>
      <c r="Q8900" s="94">
        <f>F8900&amp;E8900&amp;G8900&amp;L8900</f>
        <v/>
      </c>
    </row>
    <row r="8901" customFormat="1" s="94">
      <c r="B8901" s="128" t="n">
        <v>44076</v>
      </c>
      <c r="C8901" s="94">
        <f>TEXT(B8901,"aaa")</f>
        <v/>
      </c>
      <c r="E8901" s="94" t="inlineStr">
        <is>
          <t>수딩크림</t>
        </is>
      </c>
      <c r="F8901" s="5" t="inlineStr">
        <is>
          <t>카페24</t>
        </is>
      </c>
      <c r="G8901" s="94" t="inlineStr">
        <is>
          <t>수딩크림 100ml</t>
        </is>
      </c>
      <c r="H8901" s="7" t="n">
        <v>190801</v>
      </c>
      <c r="I8901" s="7" t="n">
        <v>190801</v>
      </c>
      <c r="K8901" s="94" t="n">
        <v>6</v>
      </c>
      <c r="L8901" s="7" t="n">
        <v>190801</v>
      </c>
      <c r="M8901" s="94">
        <f>VLOOKUP($Q8901,매칭테이블!$F:$I,2,0)*K8901</f>
        <v/>
      </c>
      <c r="N8901" s="94">
        <f>M8901-M8901*VLOOKUP($Q8901,매칭테이블!$F:$I,3,0)</f>
        <v/>
      </c>
      <c r="O8901" s="94">
        <f>VLOOKUP($Q8901,매칭테이블!$F:$I,4,0)*K8901</f>
        <v/>
      </c>
      <c r="P8901" s="148">
        <f>M8901/1.1</f>
        <v/>
      </c>
      <c r="Q8901" s="94">
        <f>F8901&amp;E8901&amp;G8901&amp;L8901</f>
        <v/>
      </c>
    </row>
    <row r="8902" customFormat="1" s="94">
      <c r="B8902" s="128" t="n">
        <v>44076</v>
      </c>
      <c r="C8902" s="94">
        <f>TEXT(B8902,"aaa")</f>
        <v/>
      </c>
      <c r="E8902" s="94" t="inlineStr">
        <is>
          <t>클렌징폼</t>
        </is>
      </c>
      <c r="F8902" s="5" t="inlineStr">
        <is>
          <t>카페24</t>
        </is>
      </c>
      <c r="G8902" s="94" t="inlineStr">
        <is>
          <t>클렌징폼 120ml</t>
        </is>
      </c>
      <c r="H8902" s="7" t="n">
        <v>190801</v>
      </c>
      <c r="I8902" s="7" t="n">
        <v>190801</v>
      </c>
      <c r="K8902" s="94" t="n">
        <v>8</v>
      </c>
      <c r="L8902" s="7" t="n">
        <v>190801</v>
      </c>
      <c r="M8902" s="94">
        <f>VLOOKUP($Q8902,매칭테이블!$F:$I,2,0)*K8902</f>
        <v/>
      </c>
      <c r="N8902" s="94">
        <f>M8902-M8902*VLOOKUP($Q8902,매칭테이블!$F:$I,3,0)</f>
        <v/>
      </c>
      <c r="O8902" s="94">
        <f>VLOOKUP($Q8902,매칭테이블!$F:$I,4,0)*K8902</f>
        <v/>
      </c>
      <c r="P8902" s="148">
        <f>M8902/1.1</f>
        <v/>
      </c>
      <c r="Q8902" s="94">
        <f>F8902&amp;E8902&amp;G8902&amp;L8902</f>
        <v/>
      </c>
    </row>
    <row r="8903" customFormat="1" s="94">
      <c r="B8903" s="128" t="n">
        <v>44076</v>
      </c>
      <c r="C8903" s="94">
        <f>TEXT(B8903,"aaa")</f>
        <v/>
      </c>
      <c r="E8903" s="94" t="inlineStr">
        <is>
          <t>클렌징폼</t>
        </is>
      </c>
      <c r="F8903" s="5" t="inlineStr">
        <is>
          <t>카페24</t>
        </is>
      </c>
      <c r="G8903" s="94" t="inlineStr">
        <is>
          <t>클렌징폼 120ml 2set</t>
        </is>
      </c>
      <c r="H8903" s="7" t="n">
        <v>190801</v>
      </c>
      <c r="I8903" s="7" t="n">
        <v>190801</v>
      </c>
      <c r="K8903" s="94" t="n">
        <v>3</v>
      </c>
      <c r="L8903" s="7" t="n">
        <v>190801</v>
      </c>
      <c r="M8903" s="94">
        <f>VLOOKUP($Q8903,매칭테이블!$F:$I,2,0)*K8903</f>
        <v/>
      </c>
      <c r="N8903" s="94">
        <f>M8903-M8903*VLOOKUP($Q8903,매칭테이블!$F:$I,3,0)</f>
        <v/>
      </c>
      <c r="O8903" s="94">
        <f>VLOOKUP($Q8903,매칭테이블!$F:$I,4,0)*K8903</f>
        <v/>
      </c>
      <c r="P8903" s="148">
        <f>M8903/1.1</f>
        <v/>
      </c>
      <c r="Q8903" s="94">
        <f>F8903&amp;E8903&amp;G8903&amp;L8903</f>
        <v/>
      </c>
    </row>
    <row r="8904" customFormat="1" s="94">
      <c r="B8904" s="128" t="n">
        <v>44076</v>
      </c>
      <c r="C8904" s="94">
        <f>TEXT(B8904,"aaa")</f>
        <v/>
      </c>
      <c r="E8904" s="94" t="inlineStr">
        <is>
          <t>토너</t>
        </is>
      </c>
      <c r="F8904" s="5" t="inlineStr">
        <is>
          <t>큐텐재팬</t>
        </is>
      </c>
      <c r="G8904" s="94" t="inlineStr">
        <is>
          <t>200726=250ml</t>
        </is>
      </c>
      <c r="H8904" s="7" t="n">
        <v>190801</v>
      </c>
      <c r="I8904" s="7" t="n">
        <v>190801</v>
      </c>
      <c r="K8904" s="94" t="n">
        <v>34</v>
      </c>
      <c r="L8904" s="7" t="n">
        <v>190801</v>
      </c>
      <c r="M8904" s="94">
        <f>VLOOKUP($Q8904,매칭테이블!$F:$I,2,0)*K8904</f>
        <v/>
      </c>
      <c r="N8904" s="94">
        <f>M8904-M8904*VLOOKUP($Q8904,매칭테이블!$F:$I,3,0)</f>
        <v/>
      </c>
      <c r="O8904" s="94">
        <f>VLOOKUP($Q8904,매칭테이블!$F:$I,4,0)*K8904</f>
        <v/>
      </c>
      <c r="P8904" s="148">
        <f>M8904/1.1</f>
        <v/>
      </c>
      <c r="Q8904" s="94">
        <f>F8904&amp;E8904&amp;G8904&amp;L8904</f>
        <v/>
      </c>
    </row>
    <row r="8905" customFormat="1" s="94">
      <c r="B8905" s="128" t="n">
        <v>44076</v>
      </c>
      <c r="C8905" s="94">
        <f>TEXT(B8905,"aaa")</f>
        <v/>
      </c>
      <c r="E8905" s="94" t="inlineStr">
        <is>
          <t>수딩크림</t>
        </is>
      </c>
      <c r="F8905" s="5" t="inlineStr">
        <is>
          <t>큐텐재팬</t>
        </is>
      </c>
      <c r="G8905" s="94" t="inlineStr">
        <is>
          <t>200726=수딩크림 100ml</t>
        </is>
      </c>
      <c r="H8905" s="7" t="n">
        <v>190801</v>
      </c>
      <c r="I8905" s="7" t="n">
        <v>190801</v>
      </c>
      <c r="K8905" s="94" t="n">
        <v>1</v>
      </c>
      <c r="L8905" s="7" t="n">
        <v>190801</v>
      </c>
      <c r="M8905" s="94">
        <f>VLOOKUP($Q8905,매칭테이블!$F:$I,2,0)*K8905</f>
        <v/>
      </c>
      <c r="N8905" s="94">
        <f>M8905-M8905*VLOOKUP($Q8905,매칭테이블!$F:$I,3,0)</f>
        <v/>
      </c>
      <c r="O8905" s="94">
        <f>VLOOKUP($Q8905,매칭테이블!$F:$I,4,0)*K8905</f>
        <v/>
      </c>
      <c r="P8905" s="148">
        <f>M8905/1.1</f>
        <v/>
      </c>
      <c r="Q8905" s="94">
        <f>F8905&amp;E8905&amp;G8905&amp;L8905</f>
        <v/>
      </c>
    </row>
    <row r="8906" customFormat="1" s="94">
      <c r="B8906" s="128" t="n">
        <v>44076</v>
      </c>
      <c r="C8906" s="94">
        <f>TEXT(B8906,"aaa")</f>
        <v/>
      </c>
      <c r="E8906" s="94" t="inlineStr">
        <is>
          <t>앰플</t>
        </is>
      </c>
      <c r="F8906" s="5" t="inlineStr">
        <is>
          <t>큐텐재팬</t>
        </is>
      </c>
      <c r="G8906" s="94" t="inlineStr">
        <is>
          <t>200726=앰플 30ml</t>
        </is>
      </c>
      <c r="H8906" s="7" t="n">
        <v>190801</v>
      </c>
      <c r="I8906" s="7" t="n">
        <v>190801</v>
      </c>
      <c r="K8906" s="94" t="n">
        <v>9</v>
      </c>
      <c r="L8906" s="7" t="n">
        <v>190801</v>
      </c>
      <c r="M8906" s="94">
        <f>VLOOKUP($Q8906,매칭테이블!$F:$I,2,0)*K8906</f>
        <v/>
      </c>
      <c r="N8906" s="94">
        <f>M8906-M8906*VLOOKUP($Q8906,매칭테이블!$F:$I,3,0)</f>
        <v/>
      </c>
      <c r="O8906" s="94">
        <f>VLOOKUP($Q8906,매칭테이블!$F:$I,4,0)*K8906</f>
        <v/>
      </c>
      <c r="P8906" s="148">
        <f>M8906/1.1</f>
        <v/>
      </c>
      <c r="Q8906" s="94">
        <f>F8906&amp;E8906&amp;G8906&amp;L8906</f>
        <v/>
      </c>
    </row>
    <row r="8907" customFormat="1" s="94">
      <c r="B8907" s="128" t="n">
        <v>44076</v>
      </c>
      <c r="C8907" s="94">
        <f>TEXT(B8907,"aaa")</f>
        <v/>
      </c>
      <c r="E8907" s="94" t="inlineStr">
        <is>
          <t>토너</t>
        </is>
      </c>
      <c r="F8907" s="5" t="inlineStr">
        <is>
          <t>큐텐재팬</t>
        </is>
      </c>
      <c r="G8907" s="94" t="inlineStr">
        <is>
          <t>200726=250ml 2set</t>
        </is>
      </c>
      <c r="H8907" s="7" t="n">
        <v>190801</v>
      </c>
      <c r="I8907" s="7" t="n">
        <v>190801</v>
      </c>
      <c r="K8907" s="94" t="n">
        <v>26</v>
      </c>
      <c r="L8907" s="7" t="n">
        <v>190801</v>
      </c>
      <c r="M8907" s="94">
        <f>VLOOKUP($Q8907,매칭테이블!$F:$I,2,0)*K8907</f>
        <v/>
      </c>
      <c r="N8907" s="94">
        <f>M8907-M8907*VLOOKUP($Q8907,매칭테이블!$F:$I,3,0)</f>
        <v/>
      </c>
      <c r="O8907" s="94">
        <f>VLOOKUP($Q8907,매칭테이블!$F:$I,4,0)*K8907</f>
        <v/>
      </c>
      <c r="P8907" s="148">
        <f>M8907/1.1</f>
        <v/>
      </c>
      <c r="Q8907" s="94">
        <f>F8907&amp;E8907&amp;G8907&amp;L8907</f>
        <v/>
      </c>
    </row>
    <row r="8908" customFormat="1" s="94">
      <c r="B8908" s="128" t="n">
        <v>44076</v>
      </c>
      <c r="C8908" s="94">
        <f>TEXT(B8908,"aaa")</f>
        <v/>
      </c>
      <c r="E8908" s="94" t="inlineStr">
        <is>
          <t>머드크림마스크</t>
        </is>
      </c>
      <c r="F8908" s="5" t="inlineStr">
        <is>
          <t>화해</t>
        </is>
      </c>
      <c r="G8908" s="94" t="inlineStr">
        <is>
          <t>머드크림마스크 100ml</t>
        </is>
      </c>
      <c r="H8908" s="7" t="n">
        <v>190801</v>
      </c>
      <c r="I8908" s="7" t="n">
        <v>190801</v>
      </c>
      <c r="K8908" s="94" t="n">
        <v>1</v>
      </c>
      <c r="L8908" s="7" t="n">
        <v>190801</v>
      </c>
      <c r="M8908" s="94">
        <f>VLOOKUP($Q8908,매칭테이블!$F:$I,2,0)*K8908</f>
        <v/>
      </c>
      <c r="N8908" s="94">
        <f>M8908-M8908*VLOOKUP($Q8908,매칭테이블!$F:$I,3,0)</f>
        <v/>
      </c>
      <c r="O8908" s="94">
        <f>VLOOKUP($Q8908,매칭테이블!$F:$I,4,0)*K8908</f>
        <v/>
      </c>
      <c r="P8908" s="148">
        <f>M8908/1.1</f>
        <v/>
      </c>
      <c r="Q8908" s="94">
        <f>F8908&amp;E8908&amp;G8908&amp;L8908</f>
        <v/>
      </c>
    </row>
    <row r="8909">
      <c r="A8909" s="94" t="n"/>
      <c r="B8909" s="128" t="n">
        <v>44077</v>
      </c>
      <c r="C8909" s="94">
        <f>TEXT(B8909,"aaa")</f>
        <v/>
      </c>
      <c r="D8909" s="94" t="n"/>
      <c r="E8909" s="94" t="inlineStr">
        <is>
          <t>토너</t>
        </is>
      </c>
      <c r="F8909" s="5" t="inlineStr">
        <is>
          <t>W컨셉</t>
        </is>
      </c>
      <c r="G8909" s="94" t="inlineStr">
        <is>
          <t>250ml</t>
        </is>
      </c>
      <c r="H8909" s="7" t="n">
        <v>190801</v>
      </c>
      <c r="I8909" s="7" t="n">
        <v>190801</v>
      </c>
      <c r="J8909" s="94" t="n"/>
      <c r="K8909" s="94" t="n">
        <v>2</v>
      </c>
      <c r="L8909" s="7" t="n">
        <v>190801</v>
      </c>
      <c r="M8909" s="94">
        <f>VLOOKUP($Q8909,매칭테이블!$F:$I,2,0)*K8909</f>
        <v/>
      </c>
      <c r="N8909" s="94">
        <f>M8909-M8909*VLOOKUP($Q8909,매칭테이블!$F:$I,3,0)</f>
        <v/>
      </c>
      <c r="O8909" s="94">
        <f>VLOOKUP($Q8909,매칭테이블!$F:$I,4,0)*K8909</f>
        <v/>
      </c>
      <c r="P8909" s="148">
        <f>M8909/1.1</f>
        <v/>
      </c>
      <c r="Q8909" s="94">
        <f>F8909&amp;E8909&amp;G8909&amp;L8909</f>
        <v/>
      </c>
    </row>
    <row r="8910">
      <c r="A8910" s="94" t="n"/>
      <c r="B8910" s="128" t="n">
        <v>44077</v>
      </c>
      <c r="C8910" s="94">
        <f>TEXT(B8910,"aaa")</f>
        <v/>
      </c>
      <c r="D8910" s="94" t="n"/>
      <c r="E8910" s="94" t="inlineStr">
        <is>
          <t>토너</t>
        </is>
      </c>
      <c r="F8910" s="5" t="inlineStr">
        <is>
          <t>W컨셉</t>
        </is>
      </c>
      <c r="G8910" s="94" t="inlineStr">
        <is>
          <t>250ml 2set</t>
        </is>
      </c>
      <c r="H8910" s="7" t="n">
        <v>190801</v>
      </c>
      <c r="I8910" s="7" t="n">
        <v>190801</v>
      </c>
      <c r="J8910" s="94" t="n"/>
      <c r="K8910" s="94" t="n">
        <v>7</v>
      </c>
      <c r="L8910" s="7" t="n">
        <v>190801</v>
      </c>
      <c r="M8910" s="94">
        <f>VLOOKUP($Q8910,매칭테이블!$F:$I,2,0)*K8910</f>
        <v/>
      </c>
      <c r="N8910" s="94">
        <f>M8910-M8910*VLOOKUP($Q8910,매칭테이블!$F:$I,3,0)</f>
        <v/>
      </c>
      <c r="O8910" s="94">
        <f>VLOOKUP($Q8910,매칭테이블!$F:$I,4,0)*K8910</f>
        <v/>
      </c>
      <c r="P8910" s="148">
        <f>M8910/1.1</f>
        <v/>
      </c>
      <c r="Q8910" s="94">
        <f>F8910&amp;E8910&amp;G8910&amp;L8910</f>
        <v/>
      </c>
    </row>
    <row r="8911">
      <c r="A8911" s="94" t="n"/>
      <c r="B8911" s="128" t="n">
        <v>44077</v>
      </c>
      <c r="C8911" s="94">
        <f>TEXT(B8911,"aaa")</f>
        <v/>
      </c>
      <c r="D8911" s="94" t="n"/>
      <c r="E8911" s="94" t="inlineStr">
        <is>
          <t>토너</t>
        </is>
      </c>
      <c r="F8911" s="5" t="inlineStr">
        <is>
          <t>쇼피대만</t>
        </is>
      </c>
      <c r="G8911" s="94" t="inlineStr">
        <is>
          <t>200831=500ml</t>
        </is>
      </c>
      <c r="H8911" s="7" t="n">
        <v>190801</v>
      </c>
      <c r="I8911" s="7" t="n">
        <v>190801</v>
      </c>
      <c r="J8911" s="94" t="n"/>
      <c r="K8911" s="94" t="n">
        <v>1</v>
      </c>
      <c r="L8911" s="7" t="n">
        <v>190801</v>
      </c>
      <c r="M8911" s="94">
        <f>VLOOKUP($Q8911,매칭테이블!$F:$I,2,0)*K8911</f>
        <v/>
      </c>
      <c r="N8911" s="94">
        <f>M8911-M8911*VLOOKUP($Q8911,매칭테이블!$F:$I,3,0)</f>
        <v/>
      </c>
      <c r="O8911" s="94">
        <f>VLOOKUP($Q8911,매칭테이블!$F:$I,4,0)*K8911</f>
        <v/>
      </c>
      <c r="P8911" s="148">
        <f>M8911/1.1</f>
        <v/>
      </c>
      <c r="Q8911" s="94">
        <f>F8911&amp;E8911&amp;G8911&amp;L8911</f>
        <v/>
      </c>
    </row>
    <row r="8912">
      <c r="A8912" s="94" t="n"/>
      <c r="B8912" s="128" t="n">
        <v>44077</v>
      </c>
      <c r="C8912" s="94">
        <f>TEXT(B8912,"aaa")</f>
        <v/>
      </c>
      <c r="D8912" s="94" t="n"/>
      <c r="E8912" s="94" t="inlineStr">
        <is>
          <t>토너</t>
        </is>
      </c>
      <c r="F8912" s="5" t="inlineStr">
        <is>
          <t>쇼피태국</t>
        </is>
      </c>
      <c r="G8912" s="94" t="inlineStr">
        <is>
          <t>200820=250ml</t>
        </is>
      </c>
      <c r="H8912" s="7" t="n">
        <v>190801</v>
      </c>
      <c r="I8912" s="7" t="n">
        <v>190801</v>
      </c>
      <c r="J8912" s="94" t="n"/>
      <c r="K8912" s="94" t="n">
        <v>1</v>
      </c>
      <c r="L8912" s="7" t="n">
        <v>190801</v>
      </c>
      <c r="M8912" s="94">
        <f>VLOOKUP($Q8912,매칭테이블!$F:$I,2,0)*K8912</f>
        <v/>
      </c>
      <c r="N8912" s="94">
        <f>M8912-M8912*VLOOKUP($Q8912,매칭테이블!$F:$I,3,0)</f>
        <v/>
      </c>
      <c r="O8912" s="94">
        <f>VLOOKUP($Q8912,매칭테이블!$F:$I,4,0)*K8912</f>
        <v/>
      </c>
      <c r="P8912" s="148">
        <f>M8912/1.1</f>
        <v/>
      </c>
      <c r="Q8912" s="94">
        <f>F8912&amp;E8912&amp;G8912&amp;L8912</f>
        <v/>
      </c>
    </row>
    <row r="8913">
      <c r="A8913" s="94" t="n"/>
      <c r="B8913" s="128" t="n">
        <v>44077</v>
      </c>
      <c r="C8913" s="94">
        <f>TEXT(B8913,"aaa")</f>
        <v/>
      </c>
      <c r="D8913" s="94" t="n"/>
      <c r="E8913" s="94" t="inlineStr">
        <is>
          <t>앰플</t>
        </is>
      </c>
      <c r="F8913" s="5" t="inlineStr">
        <is>
          <t>쇼피태국</t>
        </is>
      </c>
      <c r="G8913" s="94" t="inlineStr">
        <is>
          <t>200820=앰플 30ml</t>
        </is>
      </c>
      <c r="H8913" s="7" t="n">
        <v>190801</v>
      </c>
      <c r="I8913" s="7" t="n">
        <v>190801</v>
      </c>
      <c r="J8913" s="94" t="n"/>
      <c r="K8913" s="94" t="n">
        <v>1</v>
      </c>
      <c r="L8913" s="7" t="n">
        <v>190801</v>
      </c>
      <c r="M8913" s="94">
        <f>VLOOKUP($Q8913,매칭테이블!$F:$I,2,0)*K8913</f>
        <v/>
      </c>
      <c r="N8913" s="94">
        <f>M8913-M8913*VLOOKUP($Q8913,매칭테이블!$F:$I,3,0)</f>
        <v/>
      </c>
      <c r="O8913" s="94">
        <f>VLOOKUP($Q8913,매칭테이블!$F:$I,4,0)*K8913</f>
        <v/>
      </c>
      <c r="P8913" s="148">
        <f>M8913/1.1</f>
        <v/>
      </c>
      <c r="Q8913" s="94">
        <f>F8913&amp;E8913&amp;G8913&amp;L8913</f>
        <v/>
      </c>
    </row>
    <row r="8914">
      <c r="A8914" s="94" t="n"/>
      <c r="B8914" s="128" t="n">
        <v>44077</v>
      </c>
      <c r="C8914" s="94">
        <f>TEXT(B8914,"aaa")</f>
        <v/>
      </c>
      <c r="D8914" s="94" t="n"/>
      <c r="E8914" s="94" t="inlineStr">
        <is>
          <t>토너</t>
        </is>
      </c>
      <c r="F8914" s="5" t="inlineStr">
        <is>
          <t>아누아 CS</t>
        </is>
      </c>
      <c r="G8914" s="94" t="inlineStr">
        <is>
          <t>250ml</t>
        </is>
      </c>
      <c r="H8914" s="7" t="n">
        <v>190801</v>
      </c>
      <c r="I8914" s="7" t="n">
        <v>190801</v>
      </c>
      <c r="J8914" s="94" t="n"/>
      <c r="K8914" s="94" t="n">
        <v>1</v>
      </c>
      <c r="L8914" s="7" t="n">
        <v>190801</v>
      </c>
      <c r="M8914" s="94">
        <f>VLOOKUP($Q8914,매칭테이블!$F:$I,2,0)*K8914</f>
        <v/>
      </c>
      <c r="N8914" s="94">
        <f>M8914-M8914*VLOOKUP($Q8914,매칭테이블!$F:$I,3,0)</f>
        <v/>
      </c>
      <c r="O8914" s="94">
        <f>VLOOKUP($Q8914,매칭테이블!$F:$I,4,0)*K8914</f>
        <v/>
      </c>
      <c r="P8914" s="148">
        <f>M8914/1.1</f>
        <v/>
      </c>
      <c r="Q8914" s="94">
        <f>F8914&amp;E8914&amp;G8914&amp;L8914</f>
        <v/>
      </c>
    </row>
    <row r="8915">
      <c r="A8915" s="94" t="n"/>
      <c r="B8915" s="128" t="n">
        <v>44077</v>
      </c>
      <c r="C8915" s="94">
        <f>TEXT(B8915,"aaa")</f>
        <v/>
      </c>
      <c r="D8915" s="94" t="n"/>
      <c r="E8915" s="94" t="inlineStr">
        <is>
          <t>화장솜</t>
        </is>
      </c>
      <c r="F8915" s="5" t="inlineStr">
        <is>
          <t>아누아 CS</t>
        </is>
      </c>
      <c r="G8915" s="94" t="inlineStr">
        <is>
          <t>스킨팩 화장솜 60P</t>
        </is>
      </c>
      <c r="H8915" s="7" t="n">
        <v>190801</v>
      </c>
      <c r="I8915" s="7" t="n">
        <v>190801</v>
      </c>
      <c r="J8915" s="94" t="n"/>
      <c r="K8915" s="94" t="n">
        <v>1</v>
      </c>
      <c r="L8915" s="7" t="n">
        <v>190801</v>
      </c>
      <c r="M8915" s="94">
        <f>VLOOKUP($Q8915,매칭테이블!$F:$I,2,0)*K8915</f>
        <v/>
      </c>
      <c r="N8915" s="94">
        <f>M8915-M8915*VLOOKUP($Q8915,매칭테이블!$F:$I,3,0)</f>
        <v/>
      </c>
      <c r="O8915" s="94">
        <f>VLOOKUP($Q8915,매칭테이블!$F:$I,4,0)*K8915</f>
        <v/>
      </c>
      <c r="P8915" s="148">
        <f>M8915/1.1</f>
        <v/>
      </c>
      <c r="Q8915" s="94">
        <f>F8915&amp;E8915&amp;G8915&amp;L8915</f>
        <v/>
      </c>
    </row>
    <row r="8916">
      <c r="A8916" s="94" t="n"/>
      <c r="B8916" s="128" t="n">
        <v>44077</v>
      </c>
      <c r="C8916" s="94">
        <f>TEXT(B8916,"aaa")</f>
        <v/>
      </c>
      <c r="D8916" s="94" t="n"/>
      <c r="E8916" s="94" t="inlineStr">
        <is>
          <t>앰플</t>
        </is>
      </c>
      <c r="F8916" s="5" t="inlineStr">
        <is>
          <t>아누아 CS</t>
        </is>
      </c>
      <c r="G8916" s="94" t="inlineStr">
        <is>
          <t>앰플 30ml</t>
        </is>
      </c>
      <c r="H8916" s="7" t="n">
        <v>190801</v>
      </c>
      <c r="I8916" s="7" t="n">
        <v>190801</v>
      </c>
      <c r="J8916" s="94" t="n"/>
      <c r="K8916" s="94" t="n">
        <v>1</v>
      </c>
      <c r="L8916" s="7" t="n">
        <v>190801</v>
      </c>
      <c r="M8916" s="94">
        <f>VLOOKUP($Q8916,매칭테이블!$F:$I,2,0)*K8916</f>
        <v/>
      </c>
      <c r="N8916" s="94">
        <f>M8916-M8916*VLOOKUP($Q8916,매칭테이블!$F:$I,3,0)</f>
        <v/>
      </c>
      <c r="O8916" s="94">
        <f>VLOOKUP($Q8916,매칭테이블!$F:$I,4,0)*K8916</f>
        <v/>
      </c>
      <c r="P8916" s="148">
        <f>M8916/1.1</f>
        <v/>
      </c>
      <c r="Q8916" s="94">
        <f>F8916&amp;E8916&amp;G8916&amp;L8916</f>
        <v/>
      </c>
    </row>
    <row r="8917">
      <c r="A8917" s="94" t="n"/>
      <c r="B8917" s="128" t="n">
        <v>44077</v>
      </c>
      <c r="C8917" s="94">
        <f>TEXT(B8917,"aaa")</f>
        <v/>
      </c>
      <c r="D8917" s="94" t="n"/>
      <c r="E8917" s="94" t="inlineStr">
        <is>
          <t>마스크팩</t>
        </is>
      </c>
      <c r="F8917" s="5" t="inlineStr">
        <is>
          <t>아누아 CS</t>
        </is>
      </c>
      <c r="G8917" s="94" t="inlineStr">
        <is>
          <t>마스크팩 1매</t>
        </is>
      </c>
      <c r="H8917" s="7" t="n">
        <v>190801</v>
      </c>
      <c r="I8917" s="7" t="n">
        <v>190801</v>
      </c>
      <c r="J8917" s="94" t="n"/>
      <c r="K8917" s="94" t="n">
        <v>10</v>
      </c>
      <c r="L8917" s="7" t="n">
        <v>190801</v>
      </c>
      <c r="M8917" s="94">
        <f>VLOOKUP($Q8917,매칭테이블!$F:$I,2,0)*K8917</f>
        <v/>
      </c>
      <c r="N8917" s="94">
        <f>M8917-M8917*VLOOKUP($Q8917,매칭테이블!$F:$I,3,0)</f>
        <v/>
      </c>
      <c r="O8917" s="94">
        <f>VLOOKUP($Q8917,매칭테이블!$F:$I,4,0)*K8917</f>
        <v/>
      </c>
      <c r="P8917" s="148">
        <f>M8917/1.1</f>
        <v/>
      </c>
      <c r="Q8917" s="94">
        <f>F8917&amp;E8917&amp;G8917&amp;L8917</f>
        <v/>
      </c>
    </row>
    <row r="8918">
      <c r="A8918" s="94" t="n"/>
      <c r="B8918" s="128" t="n">
        <v>44077</v>
      </c>
      <c r="C8918" s="94">
        <f>TEXT(B8918,"aaa")</f>
        <v/>
      </c>
      <c r="D8918" s="94" t="n"/>
      <c r="E8918" s="94" t="inlineStr">
        <is>
          <t>클렌징폼</t>
        </is>
      </c>
      <c r="F8918" s="5" t="inlineStr">
        <is>
          <t>아누아 CS</t>
        </is>
      </c>
      <c r="G8918" s="94" t="inlineStr">
        <is>
          <t>클렌징폼 120ml</t>
        </is>
      </c>
      <c r="H8918" s="7" t="n">
        <v>190801</v>
      </c>
      <c r="I8918" s="7" t="n">
        <v>190801</v>
      </c>
      <c r="J8918" s="94" t="n"/>
      <c r="K8918" s="94" t="n">
        <v>1</v>
      </c>
      <c r="L8918" s="7" t="n">
        <v>190801</v>
      </c>
      <c r="M8918" s="94">
        <f>VLOOKUP($Q8918,매칭테이블!$F:$I,2,0)*K8918</f>
        <v/>
      </c>
      <c r="N8918" s="94">
        <f>M8918-M8918*VLOOKUP($Q8918,매칭테이블!$F:$I,3,0)</f>
        <v/>
      </c>
      <c r="O8918" s="94">
        <f>VLOOKUP($Q8918,매칭테이블!$F:$I,4,0)*K8918</f>
        <v/>
      </c>
      <c r="P8918" s="148">
        <f>M8918/1.1</f>
        <v/>
      </c>
      <c r="Q8918" s="94">
        <f>F8918&amp;E8918&amp;G8918&amp;L8918</f>
        <v/>
      </c>
    </row>
    <row r="8919">
      <c r="A8919" s="94" t="n"/>
      <c r="B8919" s="128" t="n">
        <v>44077</v>
      </c>
      <c r="C8919" s="94">
        <f>TEXT(B8919,"aaa")</f>
        <v/>
      </c>
      <c r="D8919" s="94" t="n"/>
      <c r="E8919" s="94" t="inlineStr">
        <is>
          <t>머드크림마스크</t>
        </is>
      </c>
      <c r="F8919" s="5" t="inlineStr">
        <is>
          <t>아누아 CS</t>
        </is>
      </c>
      <c r="G8919" s="94" t="inlineStr">
        <is>
          <t>머드크림마스크 100ml</t>
        </is>
      </c>
      <c r="H8919" s="7" t="n">
        <v>190801</v>
      </c>
      <c r="I8919" s="7" t="n">
        <v>190801</v>
      </c>
      <c r="J8919" s="94" t="n"/>
      <c r="K8919" s="94" t="n">
        <v>1</v>
      </c>
      <c r="L8919" s="7" t="n">
        <v>190801</v>
      </c>
      <c r="M8919" s="94">
        <f>VLOOKUP($Q8919,매칭테이블!$F:$I,2,0)*K8919</f>
        <v/>
      </c>
      <c r="N8919" s="94">
        <f>M8919-M8919*VLOOKUP($Q8919,매칭테이블!$F:$I,3,0)</f>
        <v/>
      </c>
      <c r="O8919" s="94">
        <f>VLOOKUP($Q8919,매칭테이블!$F:$I,4,0)*K8919</f>
        <v/>
      </c>
      <c r="P8919" s="148">
        <f>M8919/1.1</f>
        <v/>
      </c>
      <c r="Q8919" s="94">
        <f>F8919&amp;E8919&amp;G8919&amp;L8919</f>
        <v/>
      </c>
    </row>
    <row r="8920">
      <c r="A8920" s="94" t="n"/>
      <c r="B8920" s="128" t="n">
        <v>44077</v>
      </c>
      <c r="C8920" s="94">
        <f>TEXT(B8920,"aaa")</f>
        <v/>
      </c>
      <c r="D8920" s="94" t="n"/>
      <c r="E8920" s="94" t="inlineStr">
        <is>
          <t>선크림</t>
        </is>
      </c>
      <c r="F8920" s="5" t="inlineStr">
        <is>
          <t>카페24</t>
        </is>
      </c>
      <c r="G8920" s="94" t="inlineStr">
        <is>
          <t>선크림 50ml</t>
        </is>
      </c>
      <c r="H8920" s="7" t="n">
        <v>190801</v>
      </c>
      <c r="I8920" s="7" t="n">
        <v>190801</v>
      </c>
      <c r="J8920" s="94" t="n"/>
      <c r="K8920" s="94" t="n">
        <v>1</v>
      </c>
      <c r="L8920" s="7" t="n">
        <v>190801</v>
      </c>
      <c r="M8920" s="94">
        <f>VLOOKUP($Q8920,매칭테이블!$F:$I,2,0)*K8920</f>
        <v/>
      </c>
      <c r="N8920" s="94">
        <f>M8920-M8920*VLOOKUP($Q8920,매칭테이블!$F:$I,3,0)</f>
        <v/>
      </c>
      <c r="O8920" s="94">
        <f>VLOOKUP($Q8920,매칭테이블!$F:$I,4,0)*K8920</f>
        <v/>
      </c>
      <c r="P8920" s="148">
        <f>M8920/1.1</f>
        <v/>
      </c>
      <c r="Q8920" s="94">
        <f>F8920&amp;E8920&amp;G8920&amp;L8920</f>
        <v/>
      </c>
    </row>
    <row r="8921">
      <c r="A8921" s="94" t="n"/>
      <c r="B8921" s="128" t="n">
        <v>44077</v>
      </c>
      <c r="C8921" s="94">
        <f>TEXT(B8921,"aaa")</f>
        <v/>
      </c>
      <c r="D8921" s="94" t="n"/>
      <c r="E8921" s="94" t="inlineStr">
        <is>
          <t>여름 한정 진정세트</t>
        </is>
      </c>
      <c r="F8921" s="5" t="inlineStr">
        <is>
          <t>카페24</t>
        </is>
      </c>
      <c r="G8921" s="94" t="inlineStr">
        <is>
          <t>여름 한정 진정세트</t>
        </is>
      </c>
      <c r="H8921" s="7" t="n">
        <v>190801</v>
      </c>
      <c r="I8921" s="7" t="n">
        <v>190801</v>
      </c>
      <c r="J8921" s="94" t="n"/>
      <c r="K8921" s="94" t="n">
        <v>1</v>
      </c>
      <c r="L8921" s="7" t="n">
        <v>190801</v>
      </c>
      <c r="M8921" s="94">
        <f>VLOOKUP($Q8921,매칭테이블!$F:$I,2,0)*K8921</f>
        <v/>
      </c>
      <c r="N8921" s="94">
        <f>M8921-M8921*VLOOKUP($Q8921,매칭테이블!$F:$I,3,0)</f>
        <v/>
      </c>
      <c r="O8921" s="94">
        <f>VLOOKUP($Q8921,매칭테이블!$F:$I,4,0)*K8921</f>
        <v/>
      </c>
      <c r="P8921" s="148">
        <f>M8921/1.1</f>
        <v/>
      </c>
      <c r="Q8921" s="94">
        <f>F8921&amp;E8921&amp;G8921&amp;L8921</f>
        <v/>
      </c>
    </row>
    <row r="8922">
      <c r="A8922" s="94" t="n"/>
      <c r="B8922" s="128" t="n">
        <v>44077</v>
      </c>
      <c r="C8922" s="94">
        <f>TEXT(B8922,"aaa")</f>
        <v/>
      </c>
      <c r="D8922" s="94" t="n"/>
      <c r="E8922" s="94" t="inlineStr">
        <is>
          <t>여름 한정 진정세트</t>
        </is>
      </c>
      <c r="F8922" s="5" t="inlineStr">
        <is>
          <t>카페24</t>
        </is>
      </c>
      <c r="G8922" s="94" t="inlineStr">
        <is>
          <t>여름 한정 진정세트 (대용량)</t>
        </is>
      </c>
      <c r="H8922" s="7" t="n">
        <v>190801</v>
      </c>
      <c r="I8922" s="7" t="n">
        <v>190801</v>
      </c>
      <c r="J8922" s="94" t="n"/>
      <c r="K8922" s="94" t="n">
        <v>4</v>
      </c>
      <c r="L8922" s="7" t="n">
        <v>190801</v>
      </c>
      <c r="M8922" s="94">
        <f>VLOOKUP($Q8922,매칭테이블!$F:$I,2,0)*K8922</f>
        <v/>
      </c>
      <c r="N8922" s="94">
        <f>M8922-M8922*VLOOKUP($Q8922,매칭테이블!$F:$I,3,0)</f>
        <v/>
      </c>
      <c r="O8922" s="94">
        <f>VLOOKUP($Q8922,매칭테이블!$F:$I,4,0)*K8922</f>
        <v/>
      </c>
      <c r="P8922" s="148">
        <f>M8922/1.1</f>
        <v/>
      </c>
      <c r="Q8922" s="94">
        <f>F8922&amp;E8922&amp;G8922&amp;L8922</f>
        <v/>
      </c>
    </row>
    <row r="8923">
      <c r="A8923" s="94" t="n"/>
      <c r="B8923" s="128" t="n">
        <v>44077</v>
      </c>
      <c r="C8923" s="94">
        <f>TEXT(B8923,"aaa")</f>
        <v/>
      </c>
      <c r="D8923" s="94" t="n"/>
      <c r="E8923" s="94" t="inlineStr">
        <is>
          <t>어성초진정패키지</t>
        </is>
      </c>
      <c r="F8923" s="5" t="inlineStr">
        <is>
          <t>카페24</t>
        </is>
      </c>
      <c r="G8923" s="94" t="inlineStr">
        <is>
          <t>어성초 진정패키지세트</t>
        </is>
      </c>
      <c r="H8923" s="7" t="n">
        <v>190801</v>
      </c>
      <c r="I8923" s="7" t="n">
        <v>190801</v>
      </c>
      <c r="J8923" s="94" t="n"/>
      <c r="K8923" s="94" t="n">
        <v>1</v>
      </c>
      <c r="L8923" s="7" t="n">
        <v>190801</v>
      </c>
      <c r="M8923" s="94">
        <f>VLOOKUP($Q8923,매칭테이블!$F:$I,2,0)*K8923</f>
        <v/>
      </c>
      <c r="N8923" s="94">
        <f>M8923-M8923*VLOOKUP($Q8923,매칭테이블!$F:$I,3,0)</f>
        <v/>
      </c>
      <c r="O8923" s="94">
        <f>VLOOKUP($Q8923,매칭테이블!$F:$I,4,0)*K8923</f>
        <v/>
      </c>
      <c r="P8923" s="148">
        <f>M8923/1.1</f>
        <v/>
      </c>
      <c r="Q8923" s="94">
        <f>F8923&amp;E8923&amp;G8923&amp;L8923</f>
        <v/>
      </c>
    </row>
    <row r="8924">
      <c r="A8924" s="94" t="n"/>
      <c r="B8924" s="128" t="n">
        <v>44077</v>
      </c>
      <c r="C8924" s="94">
        <f>TEXT(B8924,"aaa")</f>
        <v/>
      </c>
      <c r="D8924" s="94" t="n"/>
      <c r="E8924" s="94" t="inlineStr">
        <is>
          <t>머드크림마스크</t>
        </is>
      </c>
      <c r="F8924" s="5" t="inlineStr">
        <is>
          <t>카페24</t>
        </is>
      </c>
      <c r="G8924" s="94" t="inlineStr">
        <is>
          <t>머드크림마스크 100ml</t>
        </is>
      </c>
      <c r="H8924" s="7" t="n">
        <v>190801</v>
      </c>
      <c r="I8924" s="7" t="n">
        <v>190801</v>
      </c>
      <c r="J8924" s="94" t="n"/>
      <c r="K8924" s="94" t="n">
        <v>1</v>
      </c>
      <c r="L8924" s="7" t="n">
        <v>190801</v>
      </c>
      <c r="M8924" s="94">
        <f>VLOOKUP($Q8924,매칭테이블!$F:$I,2,0)*K8924</f>
        <v/>
      </c>
      <c r="N8924" s="94">
        <f>M8924-M8924*VLOOKUP($Q8924,매칭테이블!$F:$I,3,0)</f>
        <v/>
      </c>
      <c r="O8924" s="94">
        <f>VLOOKUP($Q8924,매칭테이블!$F:$I,4,0)*K8924</f>
        <v/>
      </c>
      <c r="P8924" s="148">
        <f>M8924/1.1</f>
        <v/>
      </c>
      <c r="Q8924" s="94">
        <f>F8924&amp;E8924&amp;G8924&amp;L8924</f>
        <v/>
      </c>
    </row>
    <row r="8925">
      <c r="A8925" s="94" t="n"/>
      <c r="B8925" s="128" t="n">
        <v>44077</v>
      </c>
      <c r="C8925" s="94">
        <f>TEXT(B8925,"aaa")</f>
        <v/>
      </c>
      <c r="D8925" s="94" t="n"/>
      <c r="E8925" s="94" t="inlineStr">
        <is>
          <t>마스크팩</t>
        </is>
      </c>
      <c r="F8925" s="5" t="inlineStr">
        <is>
          <t>카페24</t>
        </is>
      </c>
      <c r="G8925" s="94" t="inlineStr">
        <is>
          <t>마스크팩 1매</t>
        </is>
      </c>
      <c r="H8925" s="7" t="n">
        <v>190801</v>
      </c>
      <c r="I8925" s="7" t="n">
        <v>190801</v>
      </c>
      <c r="J8925" s="94" t="n"/>
      <c r="K8925" s="94" t="n">
        <v>3</v>
      </c>
      <c r="L8925" s="7" t="n">
        <v>190801</v>
      </c>
      <c r="M8925" s="94">
        <f>VLOOKUP($Q8925,매칭테이블!$F:$I,2,0)*K8925</f>
        <v/>
      </c>
      <c r="N8925" s="94">
        <f>M8925-M8925*VLOOKUP($Q8925,매칭테이블!$F:$I,3,0)</f>
        <v/>
      </c>
      <c r="O8925" s="94">
        <f>VLOOKUP($Q8925,매칭테이블!$F:$I,4,0)*K8925</f>
        <v/>
      </c>
      <c r="P8925" s="148">
        <f>M8925/1.1</f>
        <v/>
      </c>
      <c r="Q8925" s="94">
        <f>F8925&amp;E8925&amp;G8925&amp;L8925</f>
        <v/>
      </c>
    </row>
    <row r="8926">
      <c r="A8926" s="94" t="n"/>
      <c r="B8926" s="128" t="n">
        <v>44077</v>
      </c>
      <c r="C8926" s="94">
        <f>TEXT(B8926,"aaa")</f>
        <v/>
      </c>
      <c r="D8926" s="94" t="n"/>
      <c r="E8926" s="94" t="inlineStr">
        <is>
          <t>토너</t>
        </is>
      </c>
      <c r="F8926" s="5" t="inlineStr">
        <is>
          <t>카페24</t>
        </is>
      </c>
      <c r="G8926" s="94" t="inlineStr">
        <is>
          <t>250ml</t>
        </is>
      </c>
      <c r="H8926" s="7" t="n">
        <v>190801</v>
      </c>
      <c r="I8926" s="7" t="n">
        <v>190801</v>
      </c>
      <c r="J8926" s="94" t="n"/>
      <c r="K8926" s="94" t="n">
        <v>69</v>
      </c>
      <c r="L8926" s="7" t="n">
        <v>190801</v>
      </c>
      <c r="M8926" s="94">
        <f>VLOOKUP($Q8926,매칭테이블!$F:$I,2,0)*K8926</f>
        <v/>
      </c>
      <c r="N8926" s="94">
        <f>M8926-M8926*VLOOKUP($Q8926,매칭테이블!$F:$I,3,0)</f>
        <v/>
      </c>
      <c r="O8926" s="94">
        <f>VLOOKUP($Q8926,매칭테이블!$F:$I,4,0)*K8926</f>
        <v/>
      </c>
      <c r="P8926" s="148">
        <f>M8926/1.1</f>
        <v/>
      </c>
      <c r="Q8926" s="94">
        <f>F8926&amp;E8926&amp;G8926&amp;L8926</f>
        <v/>
      </c>
    </row>
    <row r="8927">
      <c r="A8927" s="94" t="n"/>
      <c r="B8927" s="128" t="n">
        <v>44077</v>
      </c>
      <c r="C8927" s="94">
        <f>TEXT(B8927,"aaa")</f>
        <v/>
      </c>
      <c r="D8927" s="94" t="n"/>
      <c r="E8927" s="94" t="inlineStr">
        <is>
          <t>토너</t>
        </is>
      </c>
      <c r="F8927" s="5" t="inlineStr">
        <is>
          <t>카페24</t>
        </is>
      </c>
      <c r="G8927" s="94" t="inlineStr">
        <is>
          <t>250ml 2set</t>
        </is>
      </c>
      <c r="H8927" s="7" t="n">
        <v>190801</v>
      </c>
      <c r="I8927" s="7" t="n">
        <v>190801</v>
      </c>
      <c r="J8927" s="94" t="n"/>
      <c r="K8927" s="94" t="n">
        <v>57</v>
      </c>
      <c r="L8927" s="7" t="n">
        <v>190801</v>
      </c>
      <c r="M8927" s="94">
        <f>VLOOKUP($Q8927,매칭테이블!$F:$I,2,0)*K8927</f>
        <v/>
      </c>
      <c r="N8927" s="94">
        <f>M8927-M8927*VLOOKUP($Q8927,매칭테이블!$F:$I,3,0)</f>
        <v/>
      </c>
      <c r="O8927" s="94">
        <f>VLOOKUP($Q8927,매칭테이블!$F:$I,4,0)*K8927</f>
        <v/>
      </c>
      <c r="P8927" s="148">
        <f>M8927/1.1</f>
        <v/>
      </c>
      <c r="Q8927" s="94">
        <f>F8927&amp;E8927&amp;G8927&amp;L8927</f>
        <v/>
      </c>
    </row>
    <row r="8928">
      <c r="A8928" s="94" t="n"/>
      <c r="B8928" s="128" t="n">
        <v>44077</v>
      </c>
      <c r="C8928" s="94">
        <f>TEXT(B8928,"aaa")</f>
        <v/>
      </c>
      <c r="D8928" s="94" t="n"/>
      <c r="E8928" s="94" t="inlineStr">
        <is>
          <t>토너</t>
        </is>
      </c>
      <c r="F8928" s="5" t="inlineStr">
        <is>
          <t>카페24</t>
        </is>
      </c>
      <c r="G8928" s="94" t="inlineStr">
        <is>
          <t>500ml</t>
        </is>
      </c>
      <c r="H8928" s="7" t="n">
        <v>190801</v>
      </c>
      <c r="I8928" s="7" t="n">
        <v>190801</v>
      </c>
      <c r="J8928" s="94" t="n"/>
      <c r="K8928" s="94" t="n">
        <v>66</v>
      </c>
      <c r="L8928" s="7" t="n">
        <v>190801</v>
      </c>
      <c r="M8928" s="94">
        <f>VLOOKUP($Q8928,매칭테이블!$F:$I,2,0)*K8928</f>
        <v/>
      </c>
      <c r="N8928" s="94">
        <f>M8928-M8928*VLOOKUP($Q8928,매칭테이블!$F:$I,3,0)</f>
        <v/>
      </c>
      <c r="O8928" s="94">
        <f>VLOOKUP($Q8928,매칭테이블!$F:$I,4,0)*K8928</f>
        <v/>
      </c>
      <c r="P8928" s="148">
        <f>M8928/1.1</f>
        <v/>
      </c>
      <c r="Q8928" s="94">
        <f>F8928&amp;E8928&amp;G8928&amp;L8928</f>
        <v/>
      </c>
    </row>
    <row r="8929">
      <c r="A8929" s="94" t="n"/>
      <c r="B8929" s="128" t="n">
        <v>44077</v>
      </c>
      <c r="C8929" s="94">
        <f>TEXT(B8929,"aaa")</f>
        <v/>
      </c>
      <c r="D8929" s="94" t="n"/>
      <c r="E8929" s="94" t="inlineStr">
        <is>
          <t>토너</t>
        </is>
      </c>
      <c r="F8929" s="5" t="inlineStr">
        <is>
          <t>카페24</t>
        </is>
      </c>
      <c r="G8929" s="94" t="inlineStr">
        <is>
          <t>스킨팩 화장솜 60P</t>
        </is>
      </c>
      <c r="H8929" s="7" t="n">
        <v>190801</v>
      </c>
      <c r="I8929" s="7" t="n">
        <v>190801</v>
      </c>
      <c r="J8929" s="94" t="n"/>
      <c r="K8929" s="94" t="n">
        <v>78</v>
      </c>
      <c r="L8929" s="7" t="n">
        <v>190801</v>
      </c>
      <c r="M8929" s="94">
        <f>VLOOKUP($Q8929,매칭테이블!$F:$I,2,0)*K8929</f>
        <v/>
      </c>
      <c r="N8929" s="94">
        <f>M8929-M8929*VLOOKUP($Q8929,매칭테이블!$F:$I,3,0)</f>
        <v/>
      </c>
      <c r="O8929" s="94">
        <f>VLOOKUP($Q8929,매칭테이블!$F:$I,4,0)*K8929</f>
        <v/>
      </c>
      <c r="P8929" s="148">
        <f>M8929/1.1</f>
        <v/>
      </c>
      <c r="Q8929" s="94">
        <f>F8929&amp;E8929&amp;G8929&amp;L8929</f>
        <v/>
      </c>
    </row>
    <row r="8930">
      <c r="A8930" s="94" t="n"/>
      <c r="B8930" s="128" t="n">
        <v>44077</v>
      </c>
      <c r="C8930" s="94">
        <f>TEXT(B8930,"aaa")</f>
        <v/>
      </c>
      <c r="D8930" s="94" t="n"/>
      <c r="E8930" s="94" t="inlineStr">
        <is>
          <t>앰플</t>
        </is>
      </c>
      <c r="F8930" s="5" t="inlineStr">
        <is>
          <t>카페24</t>
        </is>
      </c>
      <c r="G8930" s="94" t="inlineStr">
        <is>
          <t>앰플 30ml</t>
        </is>
      </c>
      <c r="H8930" s="7" t="n">
        <v>190801</v>
      </c>
      <c r="I8930" s="7" t="n">
        <v>190801</v>
      </c>
      <c r="J8930" s="94" t="n"/>
      <c r="K8930" s="94" t="n">
        <v>22</v>
      </c>
      <c r="L8930" s="7" t="n">
        <v>190801</v>
      </c>
      <c r="M8930" s="94">
        <f>VLOOKUP($Q8930,매칭테이블!$F:$I,2,0)*K8930</f>
        <v/>
      </c>
      <c r="N8930" s="94">
        <f>M8930-M8930*VLOOKUP($Q8930,매칭테이블!$F:$I,3,0)</f>
        <v/>
      </c>
      <c r="O8930" s="94">
        <f>VLOOKUP($Q8930,매칭테이블!$F:$I,4,0)*K8930</f>
        <v/>
      </c>
      <c r="P8930" s="148">
        <f>M8930/1.1</f>
        <v/>
      </c>
      <c r="Q8930" s="94">
        <f>F8930&amp;E8930&amp;G8930&amp;L8930</f>
        <v/>
      </c>
    </row>
    <row r="8931">
      <c r="A8931" s="94" t="n"/>
      <c r="B8931" s="128" t="n">
        <v>44077</v>
      </c>
      <c r="C8931" s="94">
        <f>TEXT(B8931,"aaa")</f>
        <v/>
      </c>
      <c r="D8931" s="94" t="n"/>
      <c r="E8931" s="94" t="inlineStr">
        <is>
          <t>앰플</t>
        </is>
      </c>
      <c r="F8931" s="5" t="inlineStr">
        <is>
          <t>카페24</t>
        </is>
      </c>
      <c r="G8931" s="94" t="inlineStr">
        <is>
          <t>앰플 30ml  2set</t>
        </is>
      </c>
      <c r="H8931" s="7" t="n">
        <v>190801</v>
      </c>
      <c r="I8931" s="7" t="n">
        <v>190801</v>
      </c>
      <c r="J8931" s="94" t="n"/>
      <c r="K8931" s="94" t="n">
        <v>2</v>
      </c>
      <c r="L8931" s="7" t="n">
        <v>190801</v>
      </c>
      <c r="M8931" s="94">
        <f>VLOOKUP($Q8931,매칭테이블!$F:$I,2,0)*K8931</f>
        <v/>
      </c>
      <c r="N8931" s="94">
        <f>M8931-M8931*VLOOKUP($Q8931,매칭테이블!$F:$I,3,0)</f>
        <v/>
      </c>
      <c r="O8931" s="94">
        <f>VLOOKUP($Q8931,매칭테이블!$F:$I,4,0)*K8931</f>
        <v/>
      </c>
      <c r="P8931" s="148">
        <f>M8931/1.1</f>
        <v/>
      </c>
      <c r="Q8931" s="94">
        <f>F8931&amp;E8931&amp;G8931&amp;L8931</f>
        <v/>
      </c>
    </row>
    <row r="8932">
      <c r="A8932" s="94" t="n"/>
      <c r="B8932" s="128" t="n">
        <v>44077</v>
      </c>
      <c r="C8932" s="94">
        <f>TEXT(B8932,"aaa")</f>
        <v/>
      </c>
      <c r="D8932" s="94" t="n"/>
      <c r="E8932" s="94" t="inlineStr">
        <is>
          <t>수딩크림</t>
        </is>
      </c>
      <c r="F8932" s="5" t="inlineStr">
        <is>
          <t>카페24</t>
        </is>
      </c>
      <c r="G8932" s="94" t="inlineStr">
        <is>
          <t>수딩크림 100ml</t>
        </is>
      </c>
      <c r="H8932" s="7" t="n">
        <v>190801</v>
      </c>
      <c r="I8932" s="7" t="n">
        <v>190801</v>
      </c>
      <c r="J8932" s="94" t="n"/>
      <c r="K8932" s="94" t="n">
        <v>7</v>
      </c>
      <c r="L8932" s="7" t="n">
        <v>190801</v>
      </c>
      <c r="M8932" s="94">
        <f>VLOOKUP($Q8932,매칭테이블!$F:$I,2,0)*K8932</f>
        <v/>
      </c>
      <c r="N8932" s="94">
        <f>M8932-M8932*VLOOKUP($Q8932,매칭테이블!$F:$I,3,0)</f>
        <v/>
      </c>
      <c r="O8932" s="94">
        <f>VLOOKUP($Q8932,매칭테이블!$F:$I,4,0)*K8932</f>
        <v/>
      </c>
      <c r="P8932" s="148">
        <f>M8932/1.1</f>
        <v/>
      </c>
      <c r="Q8932" s="94">
        <f>F8932&amp;E8932&amp;G8932&amp;L8932</f>
        <v/>
      </c>
    </row>
    <row r="8933">
      <c r="A8933" s="94" t="n"/>
      <c r="B8933" s="128" t="n">
        <v>44077</v>
      </c>
      <c r="C8933" s="94">
        <f>TEXT(B8933,"aaa")</f>
        <v/>
      </c>
      <c r="D8933" s="94" t="n"/>
      <c r="E8933" s="94" t="inlineStr">
        <is>
          <t>클렌징폼</t>
        </is>
      </c>
      <c r="F8933" s="5" t="inlineStr">
        <is>
          <t>카페24</t>
        </is>
      </c>
      <c r="G8933" s="94" t="inlineStr">
        <is>
          <t>클렌징폼 120ml</t>
        </is>
      </c>
      <c r="H8933" s="7" t="n">
        <v>190801</v>
      </c>
      <c r="I8933" s="7" t="n">
        <v>190801</v>
      </c>
      <c r="J8933" s="94" t="n"/>
      <c r="K8933" s="94" t="n">
        <v>8</v>
      </c>
      <c r="L8933" s="7" t="n">
        <v>190801</v>
      </c>
      <c r="M8933" s="94">
        <f>VLOOKUP($Q8933,매칭테이블!$F:$I,2,0)*K8933</f>
        <v/>
      </c>
      <c r="N8933" s="94">
        <f>M8933-M8933*VLOOKUP($Q8933,매칭테이블!$F:$I,3,0)</f>
        <v/>
      </c>
      <c r="O8933" s="94">
        <f>VLOOKUP($Q8933,매칭테이블!$F:$I,4,0)*K8933</f>
        <v/>
      </c>
      <c r="P8933" s="148">
        <f>M8933/1.1</f>
        <v/>
      </c>
      <c r="Q8933" s="94">
        <f>F8933&amp;E8933&amp;G8933&amp;L8933</f>
        <v/>
      </c>
    </row>
    <row r="8934">
      <c r="A8934" s="94" t="n"/>
      <c r="B8934" s="128" t="n">
        <v>44077</v>
      </c>
      <c r="C8934" s="94">
        <f>TEXT(B8934,"aaa")</f>
        <v/>
      </c>
      <c r="D8934" s="94" t="n"/>
      <c r="E8934" s="94" t="inlineStr">
        <is>
          <t>클렌징폼</t>
        </is>
      </c>
      <c r="F8934" s="5" t="inlineStr">
        <is>
          <t>카페24</t>
        </is>
      </c>
      <c r="G8934" s="94" t="inlineStr">
        <is>
          <t>클렌징폼 120ml 2set</t>
        </is>
      </c>
      <c r="H8934" s="7" t="n">
        <v>190801</v>
      </c>
      <c r="I8934" s="7" t="n">
        <v>190801</v>
      </c>
      <c r="J8934" s="94" t="n"/>
      <c r="K8934" s="94" t="n">
        <v>1</v>
      </c>
      <c r="L8934" s="7" t="n">
        <v>190801</v>
      </c>
      <c r="M8934" s="94">
        <f>VLOOKUP($Q8934,매칭테이블!$F:$I,2,0)*K8934</f>
        <v/>
      </c>
      <c r="N8934" s="94">
        <f>M8934-M8934*VLOOKUP($Q8934,매칭테이블!$F:$I,3,0)</f>
        <v/>
      </c>
      <c r="O8934" s="94">
        <f>VLOOKUP($Q8934,매칭테이블!$F:$I,4,0)*K8934</f>
        <v/>
      </c>
      <c r="P8934" s="148">
        <f>M8934/1.1</f>
        <v/>
      </c>
      <c r="Q8934" s="94">
        <f>F8934&amp;E8934&amp;G8934&amp;L8934</f>
        <v/>
      </c>
    </row>
    <row r="8935">
      <c r="A8935" s="94" t="n"/>
      <c r="B8935" s="128" t="n">
        <v>44077</v>
      </c>
      <c r="C8935" s="94">
        <f>TEXT(B8935,"aaa")</f>
        <v/>
      </c>
      <c r="D8935" s="94" t="n"/>
      <c r="E8935" s="94" t="inlineStr">
        <is>
          <t>토너</t>
        </is>
      </c>
      <c r="F8935" s="5" t="inlineStr">
        <is>
          <t>큐텐재팬</t>
        </is>
      </c>
      <c r="G8935" s="94" t="inlineStr">
        <is>
          <t>200726=250ml</t>
        </is>
      </c>
      <c r="H8935" s="7" t="n">
        <v>190801</v>
      </c>
      <c r="I8935" s="7" t="n">
        <v>190801</v>
      </c>
      <c r="J8935" s="94" t="n"/>
      <c r="K8935" s="94" t="n">
        <v>29</v>
      </c>
      <c r="L8935" s="7" t="n">
        <v>190801</v>
      </c>
      <c r="M8935" s="94">
        <f>VLOOKUP($Q8935,매칭테이블!$F:$I,2,0)*K8935</f>
        <v/>
      </c>
      <c r="N8935" s="94">
        <f>M8935-M8935*VLOOKUP($Q8935,매칭테이블!$F:$I,3,0)</f>
        <v/>
      </c>
      <c r="O8935" s="94">
        <f>VLOOKUP($Q8935,매칭테이블!$F:$I,4,0)*K8935</f>
        <v/>
      </c>
      <c r="P8935" s="148">
        <f>M8935/1.1</f>
        <v/>
      </c>
      <c r="Q8935" s="94">
        <f>F8935&amp;E8935&amp;G8935&amp;L8935</f>
        <v/>
      </c>
    </row>
    <row r="8936">
      <c r="A8936" s="94" t="n"/>
      <c r="B8936" s="128" t="n">
        <v>44077</v>
      </c>
      <c r="C8936" s="94">
        <f>TEXT(B8936,"aaa")</f>
        <v/>
      </c>
      <c r="D8936" s="94" t="n"/>
      <c r="E8936" s="94" t="inlineStr">
        <is>
          <t>수딩크림</t>
        </is>
      </c>
      <c r="F8936" s="5" t="inlineStr">
        <is>
          <t>큐텐재팬</t>
        </is>
      </c>
      <c r="G8936" s="94" t="inlineStr">
        <is>
          <t>200726=수딩크림 100ml</t>
        </is>
      </c>
      <c r="H8936" s="7" t="n">
        <v>190801</v>
      </c>
      <c r="I8936" s="7" t="n">
        <v>190801</v>
      </c>
      <c r="J8936" s="94" t="n"/>
      <c r="K8936" s="94" t="n">
        <v>1</v>
      </c>
      <c r="L8936" s="7" t="n">
        <v>190801</v>
      </c>
      <c r="M8936" s="94">
        <f>VLOOKUP($Q8936,매칭테이블!$F:$I,2,0)*K8936</f>
        <v/>
      </c>
      <c r="N8936" s="94">
        <f>M8936-M8936*VLOOKUP($Q8936,매칭테이블!$F:$I,3,0)</f>
        <v/>
      </c>
      <c r="O8936" s="94">
        <f>VLOOKUP($Q8936,매칭테이블!$F:$I,4,0)*K8936</f>
        <v/>
      </c>
      <c r="P8936" s="148">
        <f>M8936/1.1</f>
        <v/>
      </c>
      <c r="Q8936" s="94">
        <f>F8936&amp;E8936&amp;G8936&amp;L8936</f>
        <v/>
      </c>
    </row>
    <row r="8937">
      <c r="A8937" s="94" t="n"/>
      <c r="B8937" s="128" t="n">
        <v>44077</v>
      </c>
      <c r="C8937" s="94">
        <f>TEXT(B8937,"aaa")</f>
        <v/>
      </c>
      <c r="D8937" s="94" t="n"/>
      <c r="E8937" s="94" t="inlineStr">
        <is>
          <t>앰플</t>
        </is>
      </c>
      <c r="F8937" s="5" t="inlineStr">
        <is>
          <t>큐텐재팬</t>
        </is>
      </c>
      <c r="G8937" s="94" t="inlineStr">
        <is>
          <t>200726=앰플 30ml</t>
        </is>
      </c>
      <c r="H8937" s="7" t="n">
        <v>190801</v>
      </c>
      <c r="I8937" s="7" t="n">
        <v>190801</v>
      </c>
      <c r="J8937" s="94" t="n"/>
      <c r="K8937" s="94" t="n">
        <v>8</v>
      </c>
      <c r="L8937" s="7" t="n">
        <v>190801</v>
      </c>
      <c r="M8937" s="94">
        <f>VLOOKUP($Q8937,매칭테이블!$F:$I,2,0)*K8937</f>
        <v/>
      </c>
      <c r="N8937" s="94">
        <f>M8937-M8937*VLOOKUP($Q8937,매칭테이블!$F:$I,3,0)</f>
        <v/>
      </c>
      <c r="O8937" s="94">
        <f>VLOOKUP($Q8937,매칭테이블!$F:$I,4,0)*K8937</f>
        <v/>
      </c>
      <c r="P8937" s="148">
        <f>M8937/1.1</f>
        <v/>
      </c>
      <c r="Q8937" s="94">
        <f>F8937&amp;E8937&amp;G8937&amp;L8937</f>
        <v/>
      </c>
    </row>
    <row r="8938">
      <c r="A8938" s="94" t="n"/>
      <c r="B8938" s="128" t="n">
        <v>44077</v>
      </c>
      <c r="C8938" s="94">
        <f>TEXT(B8938,"aaa")</f>
        <v/>
      </c>
      <c r="D8938" s="94" t="n"/>
      <c r="E8938" s="94" t="inlineStr">
        <is>
          <t>토너</t>
        </is>
      </c>
      <c r="F8938" s="5" t="inlineStr">
        <is>
          <t>큐텐재팬</t>
        </is>
      </c>
      <c r="G8938" s="94" t="inlineStr">
        <is>
          <t>200726=250ml 2set</t>
        </is>
      </c>
      <c r="H8938" s="7" t="n">
        <v>190801</v>
      </c>
      <c r="I8938" s="7" t="n">
        <v>190801</v>
      </c>
      <c r="J8938" s="94" t="n"/>
      <c r="K8938" s="94" t="n">
        <v>24</v>
      </c>
      <c r="L8938" s="7" t="n">
        <v>190801</v>
      </c>
      <c r="M8938" s="94">
        <f>VLOOKUP($Q8938,매칭테이블!$F:$I,2,0)*K8938</f>
        <v/>
      </c>
      <c r="N8938" s="94">
        <f>M8938-M8938*VLOOKUP($Q8938,매칭테이블!$F:$I,3,0)</f>
        <v/>
      </c>
      <c r="O8938" s="94">
        <f>VLOOKUP($Q8938,매칭테이블!$F:$I,4,0)*K8938</f>
        <v/>
      </c>
      <c r="P8938" s="148">
        <f>M8938/1.1</f>
        <v/>
      </c>
      <c r="Q8938" s="94">
        <f>F8938&amp;E8938&amp;G8938&amp;L8938</f>
        <v/>
      </c>
    </row>
    <row r="8939" customFormat="1" s="94">
      <c r="B8939" s="128" t="n">
        <v>44078</v>
      </c>
      <c r="C8939" s="94">
        <f>TEXT(B8939,"aaa")</f>
        <v/>
      </c>
      <c r="E8939" s="94" t="inlineStr">
        <is>
          <t>토너</t>
        </is>
      </c>
      <c r="F8939" s="5" t="inlineStr">
        <is>
          <t>W컨셉</t>
        </is>
      </c>
      <c r="G8939" s="94" t="inlineStr">
        <is>
          <t>250ml</t>
        </is>
      </c>
      <c r="H8939" s="7" t="n">
        <v>190801</v>
      </c>
      <c r="I8939" s="7" t="n">
        <v>190801</v>
      </c>
      <c r="K8939" s="94" t="n">
        <v>2</v>
      </c>
      <c r="L8939" s="7" t="n">
        <v>190801</v>
      </c>
      <c r="M8939" s="94">
        <f>VLOOKUP($Q8939,매칭테이블!$F:$I,2,0)*K8939</f>
        <v/>
      </c>
      <c r="N8939" s="94">
        <f>M8939-M8939*VLOOKUP($Q8939,매칭테이블!$F:$I,3,0)</f>
        <v/>
      </c>
      <c r="O8939" s="94">
        <f>VLOOKUP($Q8939,매칭테이블!$F:$I,4,0)*K8939</f>
        <v/>
      </c>
      <c r="P8939" s="148">
        <f>M8939/1.1</f>
        <v/>
      </c>
      <c r="Q8939" s="94">
        <f>F8939&amp;E8939&amp;G8939&amp;L8939</f>
        <v/>
      </c>
    </row>
    <row r="8940" customFormat="1" s="94">
      <c r="B8940" s="128" t="n">
        <v>44078</v>
      </c>
      <c r="C8940" s="94">
        <f>TEXT(B8940,"aaa")</f>
        <v/>
      </c>
      <c r="E8940" s="94" t="inlineStr">
        <is>
          <t>토너</t>
        </is>
      </c>
      <c r="F8940" s="5" t="inlineStr">
        <is>
          <t>W컨셉</t>
        </is>
      </c>
      <c r="G8940" s="94" t="inlineStr">
        <is>
          <t>250ml 2set</t>
        </is>
      </c>
      <c r="H8940" s="7" t="n">
        <v>190801</v>
      </c>
      <c r="I8940" s="7" t="n">
        <v>190801</v>
      </c>
      <c r="K8940" s="94" t="n">
        <v>5</v>
      </c>
      <c r="L8940" s="7" t="n">
        <v>190801</v>
      </c>
      <c r="M8940" s="94">
        <f>VLOOKUP($Q8940,매칭테이블!$F:$I,2,0)*K8940</f>
        <v/>
      </c>
      <c r="N8940" s="94">
        <f>M8940-M8940*VLOOKUP($Q8940,매칭테이블!$F:$I,3,0)</f>
        <v/>
      </c>
      <c r="O8940" s="94">
        <f>VLOOKUP($Q8940,매칭테이블!$F:$I,4,0)*K8940</f>
        <v/>
      </c>
      <c r="P8940" s="148">
        <f>M8940/1.1</f>
        <v/>
      </c>
      <c r="Q8940" s="94">
        <f>F8940&amp;E8940&amp;G8940&amp;L8940</f>
        <v/>
      </c>
    </row>
    <row r="8941" customFormat="1" s="94">
      <c r="B8941" s="128" t="n">
        <v>44078</v>
      </c>
      <c r="C8941" s="94">
        <f>TEXT(B8941,"aaa")</f>
        <v/>
      </c>
      <c r="E8941" s="94" t="inlineStr">
        <is>
          <t>토너</t>
        </is>
      </c>
      <c r="F8941" s="5" t="inlineStr">
        <is>
          <t>스타일쉐어</t>
        </is>
      </c>
      <c r="G8941" s="94" t="inlineStr">
        <is>
          <t>250ml</t>
        </is>
      </c>
      <c r="H8941" s="7" t="n">
        <v>190801</v>
      </c>
      <c r="I8941" s="7" t="n">
        <v>190801</v>
      </c>
      <c r="K8941" s="94" t="n">
        <v>5</v>
      </c>
      <c r="L8941" s="7" t="n">
        <v>190801</v>
      </c>
      <c r="M8941" s="94">
        <f>VLOOKUP($Q8941,매칭테이블!$F:$I,2,0)*K8941</f>
        <v/>
      </c>
      <c r="N8941" s="94">
        <f>M8941-M8941*VLOOKUP($Q8941,매칭테이블!$F:$I,3,0)</f>
        <v/>
      </c>
      <c r="O8941" s="94">
        <f>VLOOKUP($Q8941,매칭테이블!$F:$I,4,0)*K8941</f>
        <v/>
      </c>
      <c r="P8941" s="148">
        <f>M8941/1.1</f>
        <v/>
      </c>
      <c r="Q8941" s="94">
        <f>F8941&amp;E8941&amp;G8941&amp;L8941</f>
        <v/>
      </c>
    </row>
    <row r="8942" customFormat="1" s="94">
      <c r="B8942" s="128" t="n">
        <v>44078</v>
      </c>
      <c r="C8942" s="94">
        <f>TEXT(B8942,"aaa")</f>
        <v/>
      </c>
      <c r="E8942" s="94" t="inlineStr">
        <is>
          <t>토너</t>
        </is>
      </c>
      <c r="F8942" s="5" t="inlineStr">
        <is>
          <t>아누아 CS</t>
        </is>
      </c>
      <c r="G8942" s="94" t="inlineStr">
        <is>
          <t>250ml</t>
        </is>
      </c>
      <c r="H8942" s="7" t="n">
        <v>190801</v>
      </c>
      <c r="I8942" s="7" t="n">
        <v>190801</v>
      </c>
      <c r="K8942" s="94" t="n">
        <v>3</v>
      </c>
      <c r="L8942" s="7" t="n">
        <v>190801</v>
      </c>
      <c r="M8942" s="94">
        <f>VLOOKUP($Q8942,매칭테이블!$F:$I,2,0)*K8942</f>
        <v/>
      </c>
      <c r="N8942" s="94">
        <f>M8942-M8942*VLOOKUP($Q8942,매칭테이블!$F:$I,3,0)</f>
        <v/>
      </c>
      <c r="O8942" s="94">
        <f>VLOOKUP($Q8942,매칭테이블!$F:$I,4,0)*K8942</f>
        <v/>
      </c>
      <c r="P8942" s="148">
        <f>M8942/1.1</f>
        <v/>
      </c>
      <c r="Q8942" s="94">
        <f>F8942&amp;E8942&amp;G8942&amp;L8942</f>
        <v/>
      </c>
    </row>
    <row r="8943" customFormat="1" s="94">
      <c r="B8943" s="128" t="n">
        <v>44078</v>
      </c>
      <c r="C8943" s="94">
        <f>TEXT(B8943,"aaa")</f>
        <v/>
      </c>
      <c r="E8943" s="94" t="inlineStr">
        <is>
          <t>토너</t>
        </is>
      </c>
      <c r="F8943" s="5" t="inlineStr">
        <is>
          <t>아누아 CS</t>
        </is>
      </c>
      <c r="G8943" s="94" t="inlineStr">
        <is>
          <t>500ml</t>
        </is>
      </c>
      <c r="H8943" s="7" t="n">
        <v>190801</v>
      </c>
      <c r="I8943" s="7" t="n">
        <v>190801</v>
      </c>
      <c r="K8943" s="94" t="n">
        <v>2</v>
      </c>
      <c r="L8943" s="7" t="n">
        <v>190801</v>
      </c>
      <c r="M8943" s="94">
        <f>VLOOKUP($Q8943,매칭테이블!$F:$I,2,0)*K8943</f>
        <v/>
      </c>
      <c r="N8943" s="94">
        <f>M8943-M8943*VLOOKUP($Q8943,매칭테이블!$F:$I,3,0)</f>
        <v/>
      </c>
      <c r="O8943" s="94">
        <f>VLOOKUP($Q8943,매칭테이블!$F:$I,4,0)*K8943</f>
        <v/>
      </c>
      <c r="P8943" s="148">
        <f>M8943/1.1</f>
        <v/>
      </c>
      <c r="Q8943" s="94">
        <f>F8943&amp;E8943&amp;G8943&amp;L8943</f>
        <v/>
      </c>
    </row>
    <row r="8944" customFormat="1" s="94">
      <c r="B8944" s="128" t="n">
        <v>44078</v>
      </c>
      <c r="C8944" s="94">
        <f>TEXT(B8944,"aaa")</f>
        <v/>
      </c>
      <c r="E8944" s="94" t="inlineStr">
        <is>
          <t>화장솜</t>
        </is>
      </c>
      <c r="F8944" s="5" t="inlineStr">
        <is>
          <t>아누아 CS</t>
        </is>
      </c>
      <c r="G8944" s="94" t="inlineStr">
        <is>
          <t>스킨팩 화장솜 60P</t>
        </is>
      </c>
      <c r="H8944" s="7" t="n">
        <v>190801</v>
      </c>
      <c r="I8944" s="7" t="n">
        <v>190801</v>
      </c>
      <c r="K8944" s="94" t="n">
        <v>3</v>
      </c>
      <c r="L8944" s="7" t="n">
        <v>190801</v>
      </c>
      <c r="M8944" s="94">
        <f>VLOOKUP($Q8944,매칭테이블!$F:$I,2,0)*K8944</f>
        <v/>
      </c>
      <c r="N8944" s="94">
        <f>M8944-M8944*VLOOKUP($Q8944,매칭테이블!$F:$I,3,0)</f>
        <v/>
      </c>
      <c r="O8944" s="94">
        <f>VLOOKUP($Q8944,매칭테이블!$F:$I,4,0)*K8944</f>
        <v/>
      </c>
      <c r="P8944" s="148">
        <f>M8944/1.1</f>
        <v/>
      </c>
      <c r="Q8944" s="94">
        <f>F8944&amp;E8944&amp;G8944&amp;L8944</f>
        <v/>
      </c>
    </row>
    <row r="8945" customFormat="1" s="94">
      <c r="B8945" s="128" t="n">
        <v>44078</v>
      </c>
      <c r="C8945" s="94">
        <f>TEXT(B8945,"aaa")</f>
        <v/>
      </c>
      <c r="E8945" s="94" t="inlineStr">
        <is>
          <t>앰플</t>
        </is>
      </c>
      <c r="F8945" s="5" t="inlineStr">
        <is>
          <t>아누아 CS</t>
        </is>
      </c>
      <c r="G8945" s="94" t="inlineStr">
        <is>
          <t>앰플 30ml</t>
        </is>
      </c>
      <c r="H8945" s="7" t="n">
        <v>190801</v>
      </c>
      <c r="I8945" s="7" t="n">
        <v>190801</v>
      </c>
      <c r="K8945" s="94" t="n">
        <v>4</v>
      </c>
      <c r="L8945" s="7" t="n">
        <v>190801</v>
      </c>
      <c r="M8945" s="94">
        <f>VLOOKUP($Q8945,매칭테이블!$F:$I,2,0)*K8945</f>
        <v/>
      </c>
      <c r="N8945" s="94">
        <f>M8945-M8945*VLOOKUP($Q8945,매칭테이블!$F:$I,3,0)</f>
        <v/>
      </c>
      <c r="O8945" s="94">
        <f>VLOOKUP($Q8945,매칭테이블!$F:$I,4,0)*K8945</f>
        <v/>
      </c>
      <c r="P8945" s="148">
        <f>M8945/1.1</f>
        <v/>
      </c>
      <c r="Q8945" s="94">
        <f>F8945&amp;E8945&amp;G8945&amp;L8945</f>
        <v/>
      </c>
    </row>
    <row r="8946" customFormat="1" s="94">
      <c r="B8946" s="128" t="n">
        <v>44078</v>
      </c>
      <c r="C8946" s="94">
        <f>TEXT(B8946,"aaa")</f>
        <v/>
      </c>
      <c r="E8946" s="94" t="inlineStr">
        <is>
          <t>마스크팩</t>
        </is>
      </c>
      <c r="F8946" s="5" t="inlineStr">
        <is>
          <t>아누아 CS</t>
        </is>
      </c>
      <c r="G8946" s="94" t="inlineStr">
        <is>
          <t>마스크팩 10매</t>
        </is>
      </c>
      <c r="H8946" s="7" t="n">
        <v>190801</v>
      </c>
      <c r="I8946" s="7" t="n">
        <v>190801</v>
      </c>
      <c r="K8946" s="94" t="n">
        <v>3</v>
      </c>
      <c r="L8946" s="7" t="n">
        <v>190801</v>
      </c>
      <c r="M8946" s="94">
        <f>VLOOKUP($Q8946,매칭테이블!$F:$I,2,0)*K8946</f>
        <v/>
      </c>
      <c r="N8946" s="94">
        <f>M8946-M8946*VLOOKUP($Q8946,매칭테이블!$F:$I,3,0)</f>
        <v/>
      </c>
      <c r="O8946" s="94">
        <f>VLOOKUP($Q8946,매칭테이블!$F:$I,4,0)*K8946</f>
        <v/>
      </c>
      <c r="P8946" s="148">
        <f>M8946/1.1</f>
        <v/>
      </c>
      <c r="Q8946" s="94">
        <f>F8946&amp;E8946&amp;G8946&amp;L8946</f>
        <v/>
      </c>
    </row>
    <row r="8947" customFormat="1" s="94">
      <c r="B8947" s="128" t="n">
        <v>44078</v>
      </c>
      <c r="C8947" s="94">
        <f>TEXT(B8947,"aaa")</f>
        <v/>
      </c>
      <c r="E8947" s="94" t="inlineStr">
        <is>
          <t>선크림</t>
        </is>
      </c>
      <c r="F8947" s="5" t="inlineStr">
        <is>
          <t>아누아 CS</t>
        </is>
      </c>
      <c r="G8947" s="94" t="inlineStr">
        <is>
          <t>선크림 50ml</t>
        </is>
      </c>
      <c r="H8947" s="7" t="n">
        <v>190801</v>
      </c>
      <c r="I8947" s="7" t="n">
        <v>190801</v>
      </c>
      <c r="K8947" s="94" t="n">
        <v>3</v>
      </c>
      <c r="L8947" s="7" t="n">
        <v>190801</v>
      </c>
      <c r="M8947" s="94">
        <f>VLOOKUP($Q8947,매칭테이블!$F:$I,2,0)*K8947</f>
        <v/>
      </c>
      <c r="N8947" s="94">
        <f>M8947-M8947*VLOOKUP($Q8947,매칭테이블!$F:$I,3,0)</f>
        <v/>
      </c>
      <c r="O8947" s="94">
        <f>VLOOKUP($Q8947,매칭테이블!$F:$I,4,0)*K8947</f>
        <v/>
      </c>
      <c r="P8947" s="148">
        <f>M8947/1.1</f>
        <v/>
      </c>
      <c r="Q8947" s="94">
        <f>F8947&amp;E8947&amp;G8947&amp;L8947</f>
        <v/>
      </c>
    </row>
    <row r="8948" customFormat="1" s="94">
      <c r="B8948" s="128" t="n">
        <v>44078</v>
      </c>
      <c r="C8948" s="94">
        <f>TEXT(B8948,"aaa")</f>
        <v/>
      </c>
      <c r="E8948" s="94" t="inlineStr">
        <is>
          <t>수딩크림</t>
        </is>
      </c>
      <c r="F8948" s="5" t="inlineStr">
        <is>
          <t>아누아 CS</t>
        </is>
      </c>
      <c r="G8948" s="94" t="inlineStr">
        <is>
          <t>수딩크림 100ml</t>
        </is>
      </c>
      <c r="H8948" s="7" t="n">
        <v>190801</v>
      </c>
      <c r="I8948" s="7" t="n">
        <v>190801</v>
      </c>
      <c r="K8948" s="94" t="n">
        <v>2</v>
      </c>
      <c r="L8948" s="7" t="n">
        <v>190801</v>
      </c>
      <c r="M8948" s="94">
        <f>VLOOKUP($Q8948,매칭테이블!$F:$I,2,0)*K8948</f>
        <v/>
      </c>
      <c r="N8948" s="94">
        <f>M8948-M8948*VLOOKUP($Q8948,매칭테이블!$F:$I,3,0)</f>
        <v/>
      </c>
      <c r="O8948" s="94">
        <f>VLOOKUP($Q8948,매칭테이블!$F:$I,4,0)*K8948</f>
        <v/>
      </c>
      <c r="P8948" s="148">
        <f>M8948/1.1</f>
        <v/>
      </c>
      <c r="Q8948" s="94">
        <f>F8948&amp;E8948&amp;G8948&amp;L8948</f>
        <v/>
      </c>
    </row>
    <row r="8949" customFormat="1" s="94">
      <c r="B8949" s="128" t="n">
        <v>44078</v>
      </c>
      <c r="C8949" s="94">
        <f>TEXT(B8949,"aaa")</f>
        <v/>
      </c>
      <c r="E8949" s="94" t="inlineStr">
        <is>
          <t>클렌징폼</t>
        </is>
      </c>
      <c r="F8949" s="5" t="inlineStr">
        <is>
          <t>아누아 CS</t>
        </is>
      </c>
      <c r="G8949" s="94" t="inlineStr">
        <is>
          <t>클렌징폼 120ml</t>
        </is>
      </c>
      <c r="H8949" s="7" t="n">
        <v>190801</v>
      </c>
      <c r="I8949" s="7" t="n">
        <v>190801</v>
      </c>
      <c r="K8949" s="94" t="n">
        <v>3</v>
      </c>
      <c r="L8949" s="7" t="n">
        <v>190801</v>
      </c>
      <c r="M8949" s="94">
        <f>VLOOKUP($Q8949,매칭테이블!$F:$I,2,0)*K8949</f>
        <v/>
      </c>
      <c r="N8949" s="94">
        <f>M8949-M8949*VLOOKUP($Q8949,매칭테이블!$F:$I,3,0)</f>
        <v/>
      </c>
      <c r="O8949" s="94">
        <f>VLOOKUP($Q8949,매칭테이블!$F:$I,4,0)*K8949</f>
        <v/>
      </c>
      <c r="P8949" s="148">
        <f>M8949/1.1</f>
        <v/>
      </c>
      <c r="Q8949" s="94">
        <f>F8949&amp;E8949&amp;G8949&amp;L8949</f>
        <v/>
      </c>
    </row>
    <row r="8950" customFormat="1" s="94">
      <c r="B8950" s="128" t="n">
        <v>44078</v>
      </c>
      <c r="C8950" s="94">
        <f>TEXT(B8950,"aaa")</f>
        <v/>
      </c>
      <c r="E8950" s="94" t="inlineStr">
        <is>
          <t>머드크림마스크</t>
        </is>
      </c>
      <c r="F8950" s="5" t="inlineStr">
        <is>
          <t>아누아 CS</t>
        </is>
      </c>
      <c r="G8950" s="94" t="inlineStr">
        <is>
          <t>머드크림마스크 100ml</t>
        </is>
      </c>
      <c r="H8950" s="7" t="n">
        <v>190801</v>
      </c>
      <c r="I8950" s="7" t="n">
        <v>190801</v>
      </c>
      <c r="K8950" s="94" t="n">
        <v>3</v>
      </c>
      <c r="L8950" s="7" t="n">
        <v>190801</v>
      </c>
      <c r="M8950" s="94">
        <f>VLOOKUP($Q8950,매칭테이블!$F:$I,2,0)*K8950</f>
        <v/>
      </c>
      <c r="N8950" s="94">
        <f>M8950-M8950*VLOOKUP($Q8950,매칭테이블!$F:$I,3,0)</f>
        <v/>
      </c>
      <c r="O8950" s="94">
        <f>VLOOKUP($Q8950,매칭테이블!$F:$I,4,0)*K8950</f>
        <v/>
      </c>
      <c r="P8950" s="148">
        <f>M8950/1.1</f>
        <v/>
      </c>
      <c r="Q8950" s="94">
        <f>F8950&amp;E8950&amp;G8950&amp;L8950</f>
        <v/>
      </c>
    </row>
    <row r="8951" customFormat="1" s="94">
      <c r="B8951" s="128" t="n">
        <v>44078</v>
      </c>
      <c r="C8951" s="94">
        <f>TEXT(B8951,"aaa")</f>
        <v/>
      </c>
      <c r="E8951" s="94" t="inlineStr">
        <is>
          <t>선크림</t>
        </is>
      </c>
      <c r="F8951" s="5" t="inlineStr">
        <is>
          <t>카페24</t>
        </is>
      </c>
      <c r="G8951" s="94" t="inlineStr">
        <is>
          <t>선크림 50ml</t>
        </is>
      </c>
      <c r="H8951" s="7" t="n">
        <v>190801</v>
      </c>
      <c r="I8951" s="7" t="n">
        <v>190801</v>
      </c>
      <c r="K8951" s="94" t="n">
        <v>4</v>
      </c>
      <c r="L8951" s="7" t="n">
        <v>190801</v>
      </c>
      <c r="M8951" s="94">
        <f>VLOOKUP($Q8951,매칭테이블!$F:$I,2,0)*K8951</f>
        <v/>
      </c>
      <c r="N8951" s="94">
        <f>M8951-M8951*VLOOKUP($Q8951,매칭테이블!$F:$I,3,0)</f>
        <v/>
      </c>
      <c r="O8951" s="94">
        <f>VLOOKUP($Q8951,매칭테이블!$F:$I,4,0)*K8951</f>
        <v/>
      </c>
      <c r="P8951" s="148">
        <f>M8951/1.1</f>
        <v/>
      </c>
      <c r="Q8951" s="94">
        <f>F8951&amp;E8951&amp;G8951&amp;L8951</f>
        <v/>
      </c>
    </row>
    <row r="8952" customFormat="1" s="94">
      <c r="B8952" s="128" t="n">
        <v>44078</v>
      </c>
      <c r="C8952" s="94">
        <f>TEXT(B8952,"aaa")</f>
        <v/>
      </c>
      <c r="E8952" s="94" t="inlineStr">
        <is>
          <t>선크림</t>
        </is>
      </c>
      <c r="F8952" s="5" t="inlineStr">
        <is>
          <t>카페24</t>
        </is>
      </c>
      <c r="G8952" s="94" t="inlineStr">
        <is>
          <t>선크림 50ml  2set</t>
        </is>
      </c>
      <c r="H8952" s="7" t="n">
        <v>190801</v>
      </c>
      <c r="I8952" s="7" t="n">
        <v>190801</v>
      </c>
      <c r="K8952" s="94" t="n">
        <v>1</v>
      </c>
      <c r="L8952" s="7" t="n">
        <v>190801</v>
      </c>
      <c r="M8952" s="94">
        <f>VLOOKUP($Q8952,매칭테이블!$F:$I,2,0)*K8952</f>
        <v/>
      </c>
      <c r="N8952" s="94">
        <f>M8952-M8952*VLOOKUP($Q8952,매칭테이블!$F:$I,3,0)</f>
        <v/>
      </c>
      <c r="O8952" s="94">
        <f>VLOOKUP($Q8952,매칭테이블!$F:$I,4,0)*K8952</f>
        <v/>
      </c>
      <c r="P8952" s="148">
        <f>M8952/1.1</f>
        <v/>
      </c>
      <c r="Q8952" s="94">
        <f>F8952&amp;E8952&amp;G8952&amp;L8952</f>
        <v/>
      </c>
    </row>
    <row r="8953" customFormat="1" s="94">
      <c r="B8953" s="128" t="n">
        <v>44078</v>
      </c>
      <c r="C8953" s="94">
        <f>TEXT(B8953,"aaa")</f>
        <v/>
      </c>
      <c r="E8953" s="94" t="inlineStr">
        <is>
          <t>여름 한정 진정세트</t>
        </is>
      </c>
      <c r="F8953" s="5" t="inlineStr">
        <is>
          <t>카페24</t>
        </is>
      </c>
      <c r="G8953" s="94" t="inlineStr">
        <is>
          <t>여름 한정 진정세트</t>
        </is>
      </c>
      <c r="H8953" s="7" t="n">
        <v>190801</v>
      </c>
      <c r="I8953" s="7" t="n">
        <v>190801</v>
      </c>
      <c r="K8953" s="94" t="n">
        <v>2</v>
      </c>
      <c r="L8953" s="7" t="n">
        <v>190801</v>
      </c>
      <c r="M8953" s="94">
        <f>VLOOKUP($Q8953,매칭테이블!$F:$I,2,0)*K8953</f>
        <v/>
      </c>
      <c r="N8953" s="94">
        <f>M8953-M8953*VLOOKUP($Q8953,매칭테이블!$F:$I,3,0)</f>
        <v/>
      </c>
      <c r="O8953" s="94">
        <f>VLOOKUP($Q8953,매칭테이블!$F:$I,4,0)*K8953</f>
        <v/>
      </c>
      <c r="P8953" s="148">
        <f>M8953/1.1</f>
        <v/>
      </c>
      <c r="Q8953" s="94">
        <f>F8953&amp;E8953&amp;G8953&amp;L8953</f>
        <v/>
      </c>
    </row>
    <row r="8954" customFormat="1" s="94">
      <c r="B8954" s="128" t="n">
        <v>44078</v>
      </c>
      <c r="C8954" s="94">
        <f>TEXT(B8954,"aaa")</f>
        <v/>
      </c>
      <c r="E8954" s="94" t="inlineStr">
        <is>
          <t>여름 한정 진정세트</t>
        </is>
      </c>
      <c r="F8954" s="5" t="inlineStr">
        <is>
          <t>카페24</t>
        </is>
      </c>
      <c r="G8954" s="94" t="inlineStr">
        <is>
          <t>여름 한정 진정세트 (대용량)</t>
        </is>
      </c>
      <c r="H8954" s="7" t="n">
        <v>190801</v>
      </c>
      <c r="I8954" s="7" t="n">
        <v>190801</v>
      </c>
      <c r="K8954" s="94" t="n">
        <v>2</v>
      </c>
      <c r="L8954" s="7" t="n">
        <v>190801</v>
      </c>
      <c r="M8954" s="94">
        <f>VLOOKUP($Q8954,매칭테이블!$F:$I,2,0)*K8954</f>
        <v/>
      </c>
      <c r="N8954" s="94">
        <f>M8954-M8954*VLOOKUP($Q8954,매칭테이블!$F:$I,3,0)</f>
        <v/>
      </c>
      <c r="O8954" s="94">
        <f>VLOOKUP($Q8954,매칭테이블!$F:$I,4,0)*K8954</f>
        <v/>
      </c>
      <c r="P8954" s="148">
        <f>M8954/1.1</f>
        <v/>
      </c>
      <c r="Q8954" s="94">
        <f>F8954&amp;E8954&amp;G8954&amp;L8954</f>
        <v/>
      </c>
    </row>
    <row r="8955" customFormat="1" s="94">
      <c r="B8955" s="128" t="n">
        <v>44078</v>
      </c>
      <c r="C8955" s="94">
        <f>TEXT(B8955,"aaa")</f>
        <v/>
      </c>
      <c r="E8955" s="94" t="inlineStr">
        <is>
          <t>머드크림마스크</t>
        </is>
      </c>
      <c r="F8955" s="5" t="inlineStr">
        <is>
          <t>카페24</t>
        </is>
      </c>
      <c r="G8955" s="94" t="inlineStr">
        <is>
          <t>머드크림마스크 100ml</t>
        </is>
      </c>
      <c r="H8955" s="7" t="n">
        <v>190801</v>
      </c>
      <c r="I8955" s="7" t="n">
        <v>190801</v>
      </c>
      <c r="K8955" s="94" t="n">
        <v>1</v>
      </c>
      <c r="L8955" s="7" t="n">
        <v>190801</v>
      </c>
      <c r="M8955" s="94">
        <f>VLOOKUP($Q8955,매칭테이블!$F:$I,2,0)*K8955</f>
        <v/>
      </c>
      <c r="N8955" s="94">
        <f>M8955-M8955*VLOOKUP($Q8955,매칭테이블!$F:$I,3,0)</f>
        <v/>
      </c>
      <c r="O8955" s="94">
        <f>VLOOKUP($Q8955,매칭테이블!$F:$I,4,0)*K8955</f>
        <v/>
      </c>
      <c r="P8955" s="148">
        <f>M8955/1.1</f>
        <v/>
      </c>
      <c r="Q8955" s="94">
        <f>F8955&amp;E8955&amp;G8955&amp;L8955</f>
        <v/>
      </c>
    </row>
    <row r="8956" customFormat="1" s="94">
      <c r="B8956" s="128" t="n">
        <v>44078</v>
      </c>
      <c r="C8956" s="94">
        <f>TEXT(B8956,"aaa")</f>
        <v/>
      </c>
      <c r="E8956" s="94" t="inlineStr">
        <is>
          <t>마스크팩</t>
        </is>
      </c>
      <c r="F8956" s="5" t="inlineStr">
        <is>
          <t>카페24</t>
        </is>
      </c>
      <c r="G8956" s="94" t="inlineStr">
        <is>
          <t>마스크팩 1매</t>
        </is>
      </c>
      <c r="H8956" s="7" t="n">
        <v>190801</v>
      </c>
      <c r="I8956" s="7" t="n">
        <v>190801</v>
      </c>
      <c r="K8956" s="94" t="n">
        <v>3</v>
      </c>
      <c r="L8956" s="7" t="n">
        <v>190801</v>
      </c>
      <c r="M8956" s="94">
        <f>VLOOKUP($Q8956,매칭테이블!$F:$I,2,0)*K8956</f>
        <v/>
      </c>
      <c r="N8956" s="94">
        <f>M8956-M8956*VLOOKUP($Q8956,매칭테이블!$F:$I,3,0)</f>
        <v/>
      </c>
      <c r="O8956" s="94">
        <f>VLOOKUP($Q8956,매칭테이블!$F:$I,4,0)*K8956</f>
        <v/>
      </c>
      <c r="P8956" s="148">
        <f>M8956/1.1</f>
        <v/>
      </c>
      <c r="Q8956" s="94">
        <f>F8956&amp;E8956&amp;G8956&amp;L8956</f>
        <v/>
      </c>
    </row>
    <row r="8957" customFormat="1" s="94">
      <c r="B8957" s="128" t="n">
        <v>44078</v>
      </c>
      <c r="C8957" s="94">
        <f>TEXT(B8957,"aaa")</f>
        <v/>
      </c>
      <c r="E8957" s="94" t="inlineStr">
        <is>
          <t>마스크팩</t>
        </is>
      </c>
      <c r="F8957" s="5" t="inlineStr">
        <is>
          <t>카페24</t>
        </is>
      </c>
      <c r="G8957" s="94" t="inlineStr">
        <is>
          <t>마스크팩 10매</t>
        </is>
      </c>
      <c r="H8957" s="7" t="n">
        <v>190801</v>
      </c>
      <c r="I8957" s="7" t="n">
        <v>190801</v>
      </c>
      <c r="K8957" s="94" t="n">
        <v>7</v>
      </c>
      <c r="L8957" s="7" t="n">
        <v>190801</v>
      </c>
      <c r="M8957" s="94">
        <f>VLOOKUP($Q8957,매칭테이블!$F:$I,2,0)*K8957</f>
        <v/>
      </c>
      <c r="N8957" s="94">
        <f>M8957-M8957*VLOOKUP($Q8957,매칭테이블!$F:$I,3,0)</f>
        <v/>
      </c>
      <c r="O8957" s="94">
        <f>VLOOKUP($Q8957,매칭테이블!$F:$I,4,0)*K8957</f>
        <v/>
      </c>
      <c r="P8957" s="148">
        <f>M8957/1.1</f>
        <v/>
      </c>
      <c r="Q8957" s="94">
        <f>F8957&amp;E8957&amp;G8957&amp;L8957</f>
        <v/>
      </c>
    </row>
    <row r="8958" customFormat="1" s="94">
      <c r="B8958" s="128" t="n">
        <v>44078</v>
      </c>
      <c r="C8958" s="94">
        <f>TEXT(B8958,"aaa")</f>
        <v/>
      </c>
      <c r="E8958" s="94" t="inlineStr">
        <is>
          <t>토너</t>
        </is>
      </c>
      <c r="F8958" s="5" t="inlineStr">
        <is>
          <t>카페24</t>
        </is>
      </c>
      <c r="G8958" s="94" t="inlineStr">
        <is>
          <t>250ml</t>
        </is>
      </c>
      <c r="H8958" s="7" t="n">
        <v>190801</v>
      </c>
      <c r="I8958" s="7" t="n">
        <v>190801</v>
      </c>
      <c r="K8958" s="94" t="n">
        <v>53</v>
      </c>
      <c r="L8958" s="7" t="n">
        <v>190801</v>
      </c>
      <c r="M8958" s="94">
        <f>VLOOKUP($Q8958,매칭테이블!$F:$I,2,0)*K8958</f>
        <v/>
      </c>
      <c r="N8958" s="94">
        <f>M8958-M8958*VLOOKUP($Q8958,매칭테이블!$F:$I,3,0)</f>
        <v/>
      </c>
      <c r="O8958" s="94">
        <f>VLOOKUP($Q8958,매칭테이블!$F:$I,4,0)*K8958</f>
        <v/>
      </c>
      <c r="P8958" s="148">
        <f>M8958/1.1</f>
        <v/>
      </c>
      <c r="Q8958" s="94">
        <f>F8958&amp;E8958&amp;G8958&amp;L8958</f>
        <v/>
      </c>
    </row>
    <row r="8959" customFormat="1" s="94">
      <c r="B8959" s="128" t="n">
        <v>44078</v>
      </c>
      <c r="C8959" s="94">
        <f>TEXT(B8959,"aaa")</f>
        <v/>
      </c>
      <c r="E8959" s="94" t="inlineStr">
        <is>
          <t>토너</t>
        </is>
      </c>
      <c r="F8959" s="5" t="inlineStr">
        <is>
          <t>카페24</t>
        </is>
      </c>
      <c r="G8959" s="94" t="inlineStr">
        <is>
          <t>250ml 2set</t>
        </is>
      </c>
      <c r="H8959" s="7" t="n">
        <v>190801</v>
      </c>
      <c r="I8959" s="7" t="n">
        <v>190801</v>
      </c>
      <c r="K8959" s="94" t="n">
        <v>51</v>
      </c>
      <c r="L8959" s="7" t="n">
        <v>190801</v>
      </c>
      <c r="M8959" s="94">
        <f>VLOOKUP($Q8959,매칭테이블!$F:$I,2,0)*K8959</f>
        <v/>
      </c>
      <c r="N8959" s="94">
        <f>M8959-M8959*VLOOKUP($Q8959,매칭테이블!$F:$I,3,0)</f>
        <v/>
      </c>
      <c r="O8959" s="94">
        <f>VLOOKUP($Q8959,매칭테이블!$F:$I,4,0)*K8959</f>
        <v/>
      </c>
      <c r="P8959" s="148">
        <f>M8959/1.1</f>
        <v/>
      </c>
      <c r="Q8959" s="94">
        <f>F8959&amp;E8959&amp;G8959&amp;L8959</f>
        <v/>
      </c>
    </row>
    <row r="8960" customFormat="1" s="94">
      <c r="B8960" s="128" t="n">
        <v>44078</v>
      </c>
      <c r="C8960" s="94">
        <f>TEXT(B8960,"aaa")</f>
        <v/>
      </c>
      <c r="E8960" s="94" t="inlineStr">
        <is>
          <t>토너</t>
        </is>
      </c>
      <c r="F8960" s="5" t="inlineStr">
        <is>
          <t>카페24</t>
        </is>
      </c>
      <c r="G8960" s="94" t="inlineStr">
        <is>
          <t>500ml</t>
        </is>
      </c>
      <c r="H8960" s="7" t="n">
        <v>190801</v>
      </c>
      <c r="I8960" s="7" t="n">
        <v>190801</v>
      </c>
      <c r="K8960" s="94" t="n">
        <v>53</v>
      </c>
      <c r="L8960" s="7" t="n">
        <v>190801</v>
      </c>
      <c r="M8960" s="94">
        <f>VLOOKUP($Q8960,매칭테이블!$F:$I,2,0)*K8960</f>
        <v/>
      </c>
      <c r="N8960" s="94">
        <f>M8960-M8960*VLOOKUP($Q8960,매칭테이블!$F:$I,3,0)</f>
        <v/>
      </c>
      <c r="O8960" s="94">
        <f>VLOOKUP($Q8960,매칭테이블!$F:$I,4,0)*K8960</f>
        <v/>
      </c>
      <c r="P8960" s="148">
        <f>M8960/1.1</f>
        <v/>
      </c>
      <c r="Q8960" s="94">
        <f>F8960&amp;E8960&amp;G8960&amp;L8960</f>
        <v/>
      </c>
    </row>
    <row r="8961" customFormat="1" s="94">
      <c r="B8961" s="128" t="n">
        <v>44078</v>
      </c>
      <c r="C8961" s="94">
        <f>TEXT(B8961,"aaa")</f>
        <v/>
      </c>
      <c r="E8961" s="94" t="inlineStr">
        <is>
          <t>토너</t>
        </is>
      </c>
      <c r="F8961" s="5" t="inlineStr">
        <is>
          <t>카페24</t>
        </is>
      </c>
      <c r="G8961" s="94" t="inlineStr">
        <is>
          <t>스킨팩 화장솜 60P</t>
        </is>
      </c>
      <c r="H8961" s="7" t="n">
        <v>190801</v>
      </c>
      <c r="I8961" s="7" t="n">
        <v>190801</v>
      </c>
      <c r="K8961" s="94" t="n">
        <v>52</v>
      </c>
      <c r="L8961" s="7" t="n">
        <v>190801</v>
      </c>
      <c r="M8961" s="94">
        <f>VLOOKUP($Q8961,매칭테이블!$F:$I,2,0)*K8961</f>
        <v/>
      </c>
      <c r="N8961" s="94">
        <f>M8961-M8961*VLOOKUP($Q8961,매칭테이블!$F:$I,3,0)</f>
        <v/>
      </c>
      <c r="O8961" s="94">
        <f>VLOOKUP($Q8961,매칭테이블!$F:$I,4,0)*K8961</f>
        <v/>
      </c>
      <c r="P8961" s="148">
        <f>M8961/1.1</f>
        <v/>
      </c>
      <c r="Q8961" s="94">
        <f>F8961&amp;E8961&amp;G8961&amp;L8961</f>
        <v/>
      </c>
    </row>
    <row r="8962" customFormat="1" s="94">
      <c r="B8962" s="128" t="n">
        <v>44078</v>
      </c>
      <c r="C8962" s="94">
        <f>TEXT(B8962,"aaa")</f>
        <v/>
      </c>
      <c r="E8962" s="94" t="inlineStr">
        <is>
          <t>앰플</t>
        </is>
      </c>
      <c r="F8962" s="5" t="inlineStr">
        <is>
          <t>카페24</t>
        </is>
      </c>
      <c r="G8962" s="94" t="inlineStr">
        <is>
          <t>앰플 30ml</t>
        </is>
      </c>
      <c r="H8962" s="7" t="n">
        <v>190801</v>
      </c>
      <c r="I8962" s="7" t="n">
        <v>190801</v>
      </c>
      <c r="K8962" s="94" t="n">
        <v>20</v>
      </c>
      <c r="L8962" s="7" t="n">
        <v>190801</v>
      </c>
      <c r="M8962" s="94">
        <f>VLOOKUP($Q8962,매칭테이블!$F:$I,2,0)*K8962</f>
        <v/>
      </c>
      <c r="N8962" s="94">
        <f>M8962-M8962*VLOOKUP($Q8962,매칭테이블!$F:$I,3,0)</f>
        <v/>
      </c>
      <c r="O8962" s="94">
        <f>VLOOKUP($Q8962,매칭테이블!$F:$I,4,0)*K8962</f>
        <v/>
      </c>
      <c r="P8962" s="148">
        <f>M8962/1.1</f>
        <v/>
      </c>
      <c r="Q8962" s="94">
        <f>F8962&amp;E8962&amp;G8962&amp;L8962</f>
        <v/>
      </c>
    </row>
    <row r="8963" customFormat="1" s="94">
      <c r="B8963" s="128" t="n">
        <v>44078</v>
      </c>
      <c r="C8963" s="94">
        <f>TEXT(B8963,"aaa")</f>
        <v/>
      </c>
      <c r="E8963" s="94" t="inlineStr">
        <is>
          <t>앰플</t>
        </is>
      </c>
      <c r="F8963" s="5" t="inlineStr">
        <is>
          <t>카페24</t>
        </is>
      </c>
      <c r="G8963" s="94" t="inlineStr">
        <is>
          <t>앰플 30ml  2set</t>
        </is>
      </c>
      <c r="H8963" s="7" t="n">
        <v>190801</v>
      </c>
      <c r="I8963" s="7" t="n">
        <v>190801</v>
      </c>
      <c r="K8963" s="94" t="n">
        <v>7</v>
      </c>
      <c r="L8963" s="7" t="n">
        <v>190801</v>
      </c>
      <c r="M8963" s="94">
        <f>VLOOKUP($Q8963,매칭테이블!$F:$I,2,0)*K8963</f>
        <v/>
      </c>
      <c r="N8963" s="94">
        <f>M8963-M8963*VLOOKUP($Q8963,매칭테이블!$F:$I,3,0)</f>
        <v/>
      </c>
      <c r="O8963" s="94">
        <f>VLOOKUP($Q8963,매칭테이블!$F:$I,4,0)*K8963</f>
        <v/>
      </c>
      <c r="P8963" s="148">
        <f>M8963/1.1</f>
        <v/>
      </c>
      <c r="Q8963" s="94">
        <f>F8963&amp;E8963&amp;G8963&amp;L8963</f>
        <v/>
      </c>
    </row>
    <row r="8964" customFormat="1" s="94">
      <c r="B8964" s="128" t="n">
        <v>44078</v>
      </c>
      <c r="C8964" s="94">
        <f>TEXT(B8964,"aaa")</f>
        <v/>
      </c>
      <c r="E8964" s="94" t="inlineStr">
        <is>
          <t>수딩크림</t>
        </is>
      </c>
      <c r="F8964" s="5" t="inlineStr">
        <is>
          <t>카페24</t>
        </is>
      </c>
      <c r="G8964" s="94" t="inlineStr">
        <is>
          <t>수딩크림 100ml</t>
        </is>
      </c>
      <c r="H8964" s="7" t="n">
        <v>190801</v>
      </c>
      <c r="I8964" s="7" t="n">
        <v>190801</v>
      </c>
      <c r="K8964" s="94" t="n">
        <v>6</v>
      </c>
      <c r="L8964" s="7" t="n">
        <v>190801</v>
      </c>
      <c r="M8964" s="94">
        <f>VLOOKUP($Q8964,매칭테이블!$F:$I,2,0)*K8964</f>
        <v/>
      </c>
      <c r="N8964" s="94">
        <f>M8964-M8964*VLOOKUP($Q8964,매칭테이블!$F:$I,3,0)</f>
        <v/>
      </c>
      <c r="O8964" s="94">
        <f>VLOOKUP($Q8964,매칭테이블!$F:$I,4,0)*K8964</f>
        <v/>
      </c>
      <c r="P8964" s="148">
        <f>M8964/1.1</f>
        <v/>
      </c>
      <c r="Q8964" s="94">
        <f>F8964&amp;E8964&amp;G8964&amp;L8964</f>
        <v/>
      </c>
    </row>
    <row r="8965" customFormat="1" s="94">
      <c r="B8965" s="128" t="n">
        <v>44078</v>
      </c>
      <c r="C8965" s="94">
        <f>TEXT(B8965,"aaa")</f>
        <v/>
      </c>
      <c r="E8965" s="94" t="inlineStr">
        <is>
          <t>클렌징폼</t>
        </is>
      </c>
      <c r="F8965" s="5" t="inlineStr">
        <is>
          <t>카페24</t>
        </is>
      </c>
      <c r="G8965" s="94" t="inlineStr">
        <is>
          <t>클렌징폼 120ml</t>
        </is>
      </c>
      <c r="H8965" s="7" t="n">
        <v>190801</v>
      </c>
      <c r="I8965" s="7" t="n">
        <v>190801</v>
      </c>
      <c r="K8965" s="94" t="n">
        <v>8</v>
      </c>
      <c r="L8965" s="7" t="n">
        <v>190801</v>
      </c>
      <c r="M8965" s="94">
        <f>VLOOKUP($Q8965,매칭테이블!$F:$I,2,0)*K8965</f>
        <v/>
      </c>
      <c r="N8965" s="94">
        <f>M8965-M8965*VLOOKUP($Q8965,매칭테이블!$F:$I,3,0)</f>
        <v/>
      </c>
      <c r="O8965" s="94">
        <f>VLOOKUP($Q8965,매칭테이블!$F:$I,4,0)*K8965</f>
        <v/>
      </c>
      <c r="P8965" s="148">
        <f>M8965/1.1</f>
        <v/>
      </c>
      <c r="Q8965" s="94">
        <f>F8965&amp;E8965&amp;G8965&amp;L8965</f>
        <v/>
      </c>
    </row>
    <row r="8966" customFormat="1" s="94">
      <c r="B8966" s="128" t="n">
        <v>44078</v>
      </c>
      <c r="C8966" s="94">
        <f>TEXT(B8966,"aaa")</f>
        <v/>
      </c>
      <c r="E8966" s="94" t="inlineStr">
        <is>
          <t>클렌징폼</t>
        </is>
      </c>
      <c r="F8966" s="5" t="inlineStr">
        <is>
          <t>카페24</t>
        </is>
      </c>
      <c r="G8966" s="94" t="inlineStr">
        <is>
          <t>클렌징폼 120ml 2set</t>
        </is>
      </c>
      <c r="H8966" s="7" t="n">
        <v>190801</v>
      </c>
      <c r="I8966" s="7" t="n">
        <v>190801</v>
      </c>
      <c r="K8966" s="94" t="n">
        <v>1</v>
      </c>
      <c r="L8966" s="7" t="n">
        <v>190801</v>
      </c>
      <c r="M8966" s="94">
        <f>VLOOKUP($Q8966,매칭테이블!$F:$I,2,0)*K8966</f>
        <v/>
      </c>
      <c r="N8966" s="94">
        <f>M8966-M8966*VLOOKUP($Q8966,매칭테이블!$F:$I,3,0)</f>
        <v/>
      </c>
      <c r="O8966" s="94">
        <f>VLOOKUP($Q8966,매칭테이블!$F:$I,4,0)*K8966</f>
        <v/>
      </c>
      <c r="P8966" s="148">
        <f>M8966/1.1</f>
        <v/>
      </c>
      <c r="Q8966" s="94">
        <f>F8966&amp;E8966&amp;G8966&amp;L8966</f>
        <v/>
      </c>
    </row>
    <row r="8967" customFormat="1" s="94">
      <c r="B8967" s="128" t="n">
        <v>44078</v>
      </c>
      <c r="C8967" s="94">
        <f>TEXT(B8967,"aaa")</f>
        <v/>
      </c>
      <c r="E8967" s="94" t="inlineStr">
        <is>
          <t>클렌징폼</t>
        </is>
      </c>
      <c r="F8967" s="5" t="inlineStr">
        <is>
          <t>카페24</t>
        </is>
      </c>
      <c r="G8967" s="94" t="inlineStr">
        <is>
          <t>클렌징폼 120ml 3set</t>
        </is>
      </c>
      <c r="H8967" s="7" t="n">
        <v>190801</v>
      </c>
      <c r="I8967" s="7" t="n">
        <v>190801</v>
      </c>
      <c r="K8967" s="94" t="n">
        <v>7</v>
      </c>
      <c r="L8967" s="7" t="n">
        <v>190801</v>
      </c>
      <c r="M8967" s="94">
        <f>VLOOKUP($Q8967,매칭테이블!$F:$I,2,0)*K8967</f>
        <v/>
      </c>
      <c r="N8967" s="94">
        <f>M8967-M8967*VLOOKUP($Q8967,매칭테이블!$F:$I,3,0)</f>
        <v/>
      </c>
      <c r="O8967" s="94">
        <f>VLOOKUP($Q8967,매칭테이블!$F:$I,4,0)*K8967</f>
        <v/>
      </c>
      <c r="P8967" s="148">
        <f>M8967/1.1</f>
        <v/>
      </c>
      <c r="Q8967" s="94">
        <f>F8967&amp;E8967&amp;G8967&amp;L8967</f>
        <v/>
      </c>
    </row>
    <row r="8968" customFormat="1" s="94">
      <c r="B8968" s="128" t="n">
        <v>44078</v>
      </c>
      <c r="C8968" s="94">
        <f>TEXT(B8968,"aaa")</f>
        <v/>
      </c>
      <c r="E8968" s="94" t="inlineStr">
        <is>
          <t>토너</t>
        </is>
      </c>
      <c r="F8968" s="5" t="inlineStr">
        <is>
          <t>큐텐재팬</t>
        </is>
      </c>
      <c r="G8968" s="94" t="inlineStr">
        <is>
          <t>200726=250ml</t>
        </is>
      </c>
      <c r="H8968" s="7" t="n">
        <v>190801</v>
      </c>
      <c r="I8968" s="7" t="n">
        <v>190801</v>
      </c>
      <c r="K8968" s="94" t="n">
        <v>26</v>
      </c>
      <c r="L8968" s="7" t="n">
        <v>190801</v>
      </c>
      <c r="M8968" s="94">
        <f>VLOOKUP($Q8968,매칭테이블!$F:$I,2,0)*K8968</f>
        <v/>
      </c>
      <c r="N8968" s="94">
        <f>M8968-M8968*VLOOKUP($Q8968,매칭테이블!$F:$I,3,0)</f>
        <v/>
      </c>
      <c r="O8968" s="94">
        <f>VLOOKUP($Q8968,매칭테이블!$F:$I,4,0)*K8968</f>
        <v/>
      </c>
      <c r="P8968" s="148">
        <f>M8968/1.1</f>
        <v/>
      </c>
      <c r="Q8968" s="94">
        <f>F8968&amp;E8968&amp;G8968&amp;L8968</f>
        <v/>
      </c>
    </row>
    <row r="8969" customFormat="1" s="94">
      <c r="B8969" s="128" t="n">
        <v>44078</v>
      </c>
      <c r="C8969" s="94">
        <f>TEXT(B8969,"aaa")</f>
        <v/>
      </c>
      <c r="E8969" s="94" t="inlineStr">
        <is>
          <t>수딩크림</t>
        </is>
      </c>
      <c r="F8969" s="5" t="inlineStr">
        <is>
          <t>큐텐재팬</t>
        </is>
      </c>
      <c r="G8969" s="94" t="inlineStr">
        <is>
          <t>200726=수딩크림 100ml</t>
        </is>
      </c>
      <c r="H8969" s="7" t="n">
        <v>190801</v>
      </c>
      <c r="I8969" s="7" t="n">
        <v>190801</v>
      </c>
      <c r="K8969" s="94" t="n">
        <v>3</v>
      </c>
      <c r="L8969" s="7" t="n">
        <v>190801</v>
      </c>
      <c r="M8969" s="94">
        <f>VLOOKUP($Q8969,매칭테이블!$F:$I,2,0)*K8969</f>
        <v/>
      </c>
      <c r="N8969" s="94">
        <f>M8969-M8969*VLOOKUP($Q8969,매칭테이블!$F:$I,3,0)</f>
        <v/>
      </c>
      <c r="O8969" s="94">
        <f>VLOOKUP($Q8969,매칭테이블!$F:$I,4,0)*K8969</f>
        <v/>
      </c>
      <c r="P8969" s="148">
        <f>M8969/1.1</f>
        <v/>
      </c>
      <c r="Q8969" s="94">
        <f>F8969&amp;E8969&amp;G8969&amp;L8969</f>
        <v/>
      </c>
    </row>
    <row r="8970" customFormat="1" s="94">
      <c r="B8970" s="128" t="n">
        <v>44078</v>
      </c>
      <c r="C8970" s="94">
        <f>TEXT(B8970,"aaa")</f>
        <v/>
      </c>
      <c r="E8970" s="94" t="inlineStr">
        <is>
          <t>앰플</t>
        </is>
      </c>
      <c r="F8970" s="5" t="inlineStr">
        <is>
          <t>큐텐재팬</t>
        </is>
      </c>
      <c r="G8970" s="94" t="inlineStr">
        <is>
          <t>200726=앰플 30ml</t>
        </is>
      </c>
      <c r="H8970" s="7" t="n">
        <v>190801</v>
      </c>
      <c r="I8970" s="7" t="n">
        <v>190801</v>
      </c>
      <c r="K8970" s="94" t="n">
        <v>2</v>
      </c>
      <c r="L8970" s="7" t="n">
        <v>190801</v>
      </c>
      <c r="M8970" s="94">
        <f>VLOOKUP($Q8970,매칭테이블!$F:$I,2,0)*K8970</f>
        <v/>
      </c>
      <c r="N8970" s="94">
        <f>M8970-M8970*VLOOKUP($Q8970,매칭테이블!$F:$I,3,0)</f>
        <v/>
      </c>
      <c r="O8970" s="94">
        <f>VLOOKUP($Q8970,매칭테이블!$F:$I,4,0)*K8970</f>
        <v/>
      </c>
      <c r="P8970" s="148">
        <f>M8970/1.1</f>
        <v/>
      </c>
      <c r="Q8970" s="94">
        <f>F8970&amp;E8970&amp;G8970&amp;L8970</f>
        <v/>
      </c>
    </row>
    <row r="8971" customFormat="1" s="94">
      <c r="B8971" s="128" t="n">
        <v>44078</v>
      </c>
      <c r="C8971" s="94">
        <f>TEXT(B8971,"aaa")</f>
        <v/>
      </c>
      <c r="E8971" s="94" t="inlineStr">
        <is>
          <t>토너</t>
        </is>
      </c>
      <c r="F8971" s="5" t="inlineStr">
        <is>
          <t>큐텐재팬</t>
        </is>
      </c>
      <c r="G8971" s="94" t="inlineStr">
        <is>
          <t>200726=250ml 2set</t>
        </is>
      </c>
      <c r="H8971" s="7" t="n">
        <v>190801</v>
      </c>
      <c r="I8971" s="7" t="n">
        <v>190801</v>
      </c>
      <c r="K8971" s="94" t="n">
        <v>38</v>
      </c>
      <c r="L8971" s="7" t="n">
        <v>190801</v>
      </c>
      <c r="M8971" s="94">
        <f>VLOOKUP($Q8971,매칭테이블!$F:$I,2,0)*K8971</f>
        <v/>
      </c>
      <c r="N8971" s="94">
        <f>M8971-M8971*VLOOKUP($Q8971,매칭테이블!$F:$I,3,0)</f>
        <v/>
      </c>
      <c r="O8971" s="94">
        <f>VLOOKUP($Q8971,매칭테이블!$F:$I,4,0)*K8971</f>
        <v/>
      </c>
      <c r="P8971" s="148">
        <f>M8971/1.1</f>
        <v/>
      </c>
      <c r="Q8971" s="94">
        <f>F8971&amp;E8971&amp;G8971&amp;L8971</f>
        <v/>
      </c>
    </row>
    <row r="8972">
      <c r="A8972" s="94" t="n"/>
      <c r="B8972" s="128" t="n">
        <v>44079</v>
      </c>
      <c r="C8972" s="94">
        <f>TEXT(B8972,"aaa")</f>
        <v/>
      </c>
      <c r="D8972" s="94" t="n"/>
      <c r="E8972" s="94" t="inlineStr">
        <is>
          <t>토너</t>
        </is>
      </c>
      <c r="F8972" s="5" t="inlineStr">
        <is>
          <t>스타일쉐어</t>
        </is>
      </c>
      <c r="G8972" s="94" t="inlineStr">
        <is>
          <t>250ml</t>
        </is>
      </c>
      <c r="H8972" s="7" t="n">
        <v>190801</v>
      </c>
      <c r="I8972" s="7" t="n">
        <v>190801</v>
      </c>
      <c r="J8972" s="94" t="n"/>
      <c r="K8972" s="94" t="n">
        <v>9</v>
      </c>
      <c r="L8972" s="7" t="n">
        <v>190801</v>
      </c>
      <c r="M8972" s="94">
        <f>VLOOKUP($Q8972,매칭테이블!$F:$I,2,0)*K8972</f>
        <v/>
      </c>
      <c r="N8972" s="94">
        <f>M8972-M8972*VLOOKUP($Q8972,매칭테이블!$F:$I,3,0)</f>
        <v/>
      </c>
      <c r="O8972" s="94">
        <f>VLOOKUP($Q8972,매칭테이블!$F:$I,4,0)*K8972</f>
        <v/>
      </c>
      <c r="P8972" s="148">
        <f>M8972/1.1</f>
        <v/>
      </c>
      <c r="Q8972" s="94">
        <f>F8972&amp;E8972&amp;G8972&amp;L8972</f>
        <v/>
      </c>
    </row>
    <row r="8973">
      <c r="A8973" s="94" t="n"/>
      <c r="B8973" s="128" t="n">
        <v>44079</v>
      </c>
      <c r="C8973" s="94">
        <f>TEXT(B8973,"aaa")</f>
        <v/>
      </c>
      <c r="D8973" s="94" t="n"/>
      <c r="E8973" s="94" t="inlineStr">
        <is>
          <t>선크림</t>
        </is>
      </c>
      <c r="F8973" s="5" t="inlineStr">
        <is>
          <t>카페24</t>
        </is>
      </c>
      <c r="G8973" s="94" t="inlineStr">
        <is>
          <t>선크림 50ml</t>
        </is>
      </c>
      <c r="H8973" s="7" t="n">
        <v>190801</v>
      </c>
      <c r="I8973" s="7" t="n">
        <v>190801</v>
      </c>
      <c r="J8973" s="94" t="n"/>
      <c r="K8973" s="94" t="n">
        <v>2</v>
      </c>
      <c r="L8973" s="7" t="n">
        <v>190801</v>
      </c>
      <c r="M8973" s="94">
        <f>VLOOKUP($Q8973,매칭테이블!$F:$I,2,0)*K8973</f>
        <v/>
      </c>
      <c r="N8973" s="94">
        <f>M8973-M8973*VLOOKUP($Q8973,매칭테이블!$F:$I,3,0)</f>
        <v/>
      </c>
      <c r="O8973" s="94">
        <f>VLOOKUP($Q8973,매칭테이블!$F:$I,4,0)*K8973</f>
        <v/>
      </c>
      <c r="P8973" s="148">
        <f>M8973/1.1</f>
        <v/>
      </c>
      <c r="Q8973" s="94">
        <f>F8973&amp;E8973&amp;G8973&amp;L8973</f>
        <v/>
      </c>
    </row>
    <row r="8974">
      <c r="A8974" s="94" t="n"/>
      <c r="B8974" s="128" t="n">
        <v>44079</v>
      </c>
      <c r="C8974" s="94">
        <f>TEXT(B8974,"aaa")</f>
        <v/>
      </c>
      <c r="D8974" s="94" t="n"/>
      <c r="E8974" s="94" t="inlineStr">
        <is>
          <t>선크림</t>
        </is>
      </c>
      <c r="F8974" s="5" t="inlineStr">
        <is>
          <t>카페24</t>
        </is>
      </c>
      <c r="G8974" s="94" t="inlineStr">
        <is>
          <t>선크림 50ml  2set</t>
        </is>
      </c>
      <c r="H8974" s="7" t="n">
        <v>190801</v>
      </c>
      <c r="I8974" s="7" t="n">
        <v>190801</v>
      </c>
      <c r="J8974" s="94" t="n"/>
      <c r="K8974" s="94" t="n">
        <v>1</v>
      </c>
      <c r="L8974" s="7" t="n">
        <v>190801</v>
      </c>
      <c r="M8974" s="94">
        <f>VLOOKUP($Q8974,매칭테이블!$F:$I,2,0)*K8974</f>
        <v/>
      </c>
      <c r="N8974" s="94">
        <f>M8974-M8974*VLOOKUP($Q8974,매칭테이블!$F:$I,3,0)</f>
        <v/>
      </c>
      <c r="O8974" s="94">
        <f>VLOOKUP($Q8974,매칭테이블!$F:$I,4,0)*K8974</f>
        <v/>
      </c>
      <c r="P8974" s="148">
        <f>M8974/1.1</f>
        <v/>
      </c>
      <c r="Q8974" s="94">
        <f>F8974&amp;E8974&amp;G8974&amp;L8974</f>
        <v/>
      </c>
    </row>
    <row r="8975">
      <c r="A8975" s="94" t="n"/>
      <c r="B8975" s="128" t="n">
        <v>44079</v>
      </c>
      <c r="C8975" s="94">
        <f>TEXT(B8975,"aaa")</f>
        <v/>
      </c>
      <c r="D8975" s="94" t="n"/>
      <c r="E8975" s="94" t="inlineStr">
        <is>
          <t>여름 한정 진정세트</t>
        </is>
      </c>
      <c r="F8975" s="5" t="inlineStr">
        <is>
          <t>카페24</t>
        </is>
      </c>
      <c r="G8975" s="94" t="inlineStr">
        <is>
          <t>여름 한정 진정세트</t>
        </is>
      </c>
      <c r="H8975" s="7" t="n">
        <v>190801</v>
      </c>
      <c r="I8975" s="7" t="n">
        <v>190801</v>
      </c>
      <c r="J8975" s="94" t="n"/>
      <c r="K8975" s="94" t="n">
        <v>1</v>
      </c>
      <c r="L8975" s="7" t="n">
        <v>190801</v>
      </c>
      <c r="M8975" s="94">
        <f>VLOOKUP($Q8975,매칭테이블!$F:$I,2,0)*K8975</f>
        <v/>
      </c>
      <c r="N8975" s="94">
        <f>M8975-M8975*VLOOKUP($Q8975,매칭테이블!$F:$I,3,0)</f>
        <v/>
      </c>
      <c r="O8975" s="94">
        <f>VLOOKUP($Q8975,매칭테이블!$F:$I,4,0)*K8975</f>
        <v/>
      </c>
      <c r="P8975" s="148">
        <f>M8975/1.1</f>
        <v/>
      </c>
      <c r="Q8975" s="94">
        <f>F8975&amp;E8975&amp;G8975&amp;L8975</f>
        <v/>
      </c>
    </row>
    <row r="8976">
      <c r="A8976" s="94" t="n"/>
      <c r="B8976" s="128" t="n">
        <v>44079</v>
      </c>
      <c r="C8976" s="94">
        <f>TEXT(B8976,"aaa")</f>
        <v/>
      </c>
      <c r="D8976" s="94" t="n"/>
      <c r="E8976" s="94" t="inlineStr">
        <is>
          <t>여름 한정 진정세트</t>
        </is>
      </c>
      <c r="F8976" s="5" t="inlineStr">
        <is>
          <t>카페24</t>
        </is>
      </c>
      <c r="G8976" s="94" t="inlineStr">
        <is>
          <t>여름 한정 진정세트 (대용량)</t>
        </is>
      </c>
      <c r="H8976" s="7" t="n">
        <v>190801</v>
      </c>
      <c r="I8976" s="7" t="n">
        <v>190801</v>
      </c>
      <c r="J8976" s="94" t="n"/>
      <c r="K8976" s="94" t="n">
        <v>2</v>
      </c>
      <c r="L8976" s="7" t="n">
        <v>190801</v>
      </c>
      <c r="M8976" s="94">
        <f>VLOOKUP($Q8976,매칭테이블!$F:$I,2,0)*K8976</f>
        <v/>
      </c>
      <c r="N8976" s="94">
        <f>M8976-M8976*VLOOKUP($Q8976,매칭테이블!$F:$I,3,0)</f>
        <v/>
      </c>
      <c r="O8976" s="94">
        <f>VLOOKUP($Q8976,매칭테이블!$F:$I,4,0)*K8976</f>
        <v/>
      </c>
      <c r="P8976" s="148">
        <f>M8976/1.1</f>
        <v/>
      </c>
      <c r="Q8976" s="94">
        <f>F8976&amp;E8976&amp;G8976&amp;L8976</f>
        <v/>
      </c>
    </row>
    <row r="8977">
      <c r="A8977" s="94" t="n"/>
      <c r="B8977" s="128" t="n">
        <v>44079</v>
      </c>
      <c r="C8977" s="94">
        <f>TEXT(B8977,"aaa")</f>
        <v/>
      </c>
      <c r="D8977" s="94" t="n"/>
      <c r="E8977" s="94" t="inlineStr">
        <is>
          <t>어성초진정패키지</t>
        </is>
      </c>
      <c r="F8977" s="5" t="inlineStr">
        <is>
          <t>카페24</t>
        </is>
      </c>
      <c r="G8977" s="94" t="inlineStr">
        <is>
          <t>어성초 진정패키지세트</t>
        </is>
      </c>
      <c r="H8977" s="7" t="n">
        <v>190801</v>
      </c>
      <c r="I8977" s="7" t="n">
        <v>190801</v>
      </c>
      <c r="J8977" s="94" t="n"/>
      <c r="K8977" s="94" t="n">
        <v>1</v>
      </c>
      <c r="L8977" s="7" t="n">
        <v>190801</v>
      </c>
      <c r="M8977" s="94">
        <f>VLOOKUP($Q8977,매칭테이블!$F:$I,2,0)*K8977</f>
        <v/>
      </c>
      <c r="N8977" s="94">
        <f>M8977-M8977*VLOOKUP($Q8977,매칭테이블!$F:$I,3,0)</f>
        <v/>
      </c>
      <c r="O8977" s="94">
        <f>VLOOKUP($Q8977,매칭테이블!$F:$I,4,0)*K8977</f>
        <v/>
      </c>
      <c r="P8977" s="148">
        <f>M8977/1.1</f>
        <v/>
      </c>
      <c r="Q8977" s="94">
        <f>F8977&amp;E8977&amp;G8977&amp;L8977</f>
        <v/>
      </c>
    </row>
    <row r="8978">
      <c r="A8978" s="94" t="n"/>
      <c r="B8978" s="128" t="n">
        <v>44079</v>
      </c>
      <c r="C8978" s="94">
        <f>TEXT(B8978,"aaa")</f>
        <v/>
      </c>
      <c r="D8978" s="94" t="n"/>
      <c r="E8978" s="94" t="inlineStr">
        <is>
          <t>머드크림마스크</t>
        </is>
      </c>
      <c r="F8978" s="5" t="inlineStr">
        <is>
          <t>카페24</t>
        </is>
      </c>
      <c r="G8978" s="94" t="inlineStr">
        <is>
          <t>머드크림마스크 100ml 2set</t>
        </is>
      </c>
      <c r="H8978" s="7" t="n">
        <v>190801</v>
      </c>
      <c r="I8978" s="7" t="n">
        <v>190801</v>
      </c>
      <c r="J8978" s="94" t="n"/>
      <c r="K8978" s="94" t="n">
        <v>1</v>
      </c>
      <c r="L8978" s="7" t="n">
        <v>190801</v>
      </c>
      <c r="M8978" s="94">
        <f>VLOOKUP($Q8978,매칭테이블!$F:$I,2,0)*K8978</f>
        <v/>
      </c>
      <c r="N8978" s="94">
        <f>M8978-M8978*VLOOKUP($Q8978,매칭테이블!$F:$I,3,0)</f>
        <v/>
      </c>
      <c r="O8978" s="94">
        <f>VLOOKUP($Q8978,매칭테이블!$F:$I,4,0)*K8978</f>
        <v/>
      </c>
      <c r="P8978" s="148">
        <f>M8978/1.1</f>
        <v/>
      </c>
      <c r="Q8978" s="94">
        <f>F8978&amp;E8978&amp;G8978&amp;L8978</f>
        <v/>
      </c>
    </row>
    <row r="8979">
      <c r="A8979" s="94" t="n"/>
      <c r="B8979" s="128" t="n">
        <v>44079</v>
      </c>
      <c r="C8979" s="94">
        <f>TEXT(B8979,"aaa")</f>
        <v/>
      </c>
      <c r="D8979" s="94" t="n"/>
      <c r="E8979" s="94" t="inlineStr">
        <is>
          <t>마스크팩</t>
        </is>
      </c>
      <c r="F8979" s="5" t="inlineStr">
        <is>
          <t>카페24</t>
        </is>
      </c>
      <c r="G8979" s="94" t="inlineStr">
        <is>
          <t>마스크팩 1매</t>
        </is>
      </c>
      <c r="H8979" s="7" t="n">
        <v>190801</v>
      </c>
      <c r="I8979" s="7" t="n">
        <v>190801</v>
      </c>
      <c r="J8979" s="94" t="n"/>
      <c r="K8979" s="94" t="n">
        <v>2</v>
      </c>
      <c r="L8979" s="7" t="n">
        <v>190801</v>
      </c>
      <c r="M8979" s="94">
        <f>VLOOKUP($Q8979,매칭테이블!$F:$I,2,0)*K8979</f>
        <v/>
      </c>
      <c r="N8979" s="94">
        <f>M8979-M8979*VLOOKUP($Q8979,매칭테이블!$F:$I,3,0)</f>
        <v/>
      </c>
      <c r="O8979" s="94">
        <f>VLOOKUP($Q8979,매칭테이블!$F:$I,4,0)*K8979</f>
        <v/>
      </c>
      <c r="P8979" s="148">
        <f>M8979/1.1</f>
        <v/>
      </c>
      <c r="Q8979" s="94">
        <f>F8979&amp;E8979&amp;G8979&amp;L8979</f>
        <v/>
      </c>
    </row>
    <row r="8980">
      <c r="A8980" s="94" t="n"/>
      <c r="B8980" s="128" t="n">
        <v>44079</v>
      </c>
      <c r="C8980" s="94">
        <f>TEXT(B8980,"aaa")</f>
        <v/>
      </c>
      <c r="D8980" s="94" t="n"/>
      <c r="E8980" s="94" t="inlineStr">
        <is>
          <t>마스크팩</t>
        </is>
      </c>
      <c r="F8980" s="5" t="inlineStr">
        <is>
          <t>카페24</t>
        </is>
      </c>
      <c r="G8980" s="94" t="inlineStr">
        <is>
          <t>마스크팩 10매</t>
        </is>
      </c>
      <c r="H8980" s="7" t="n">
        <v>190801</v>
      </c>
      <c r="I8980" s="7" t="n">
        <v>190801</v>
      </c>
      <c r="J8980" s="94" t="n"/>
      <c r="K8980" s="94" t="n">
        <v>1</v>
      </c>
      <c r="L8980" s="7" t="n">
        <v>190801</v>
      </c>
      <c r="M8980" s="94">
        <f>VLOOKUP($Q8980,매칭테이블!$F:$I,2,0)*K8980</f>
        <v/>
      </c>
      <c r="N8980" s="94">
        <f>M8980-M8980*VLOOKUP($Q8980,매칭테이블!$F:$I,3,0)</f>
        <v/>
      </c>
      <c r="O8980" s="94">
        <f>VLOOKUP($Q8980,매칭테이블!$F:$I,4,0)*K8980</f>
        <v/>
      </c>
      <c r="P8980" s="148">
        <f>M8980/1.1</f>
        <v/>
      </c>
      <c r="Q8980" s="94">
        <f>F8980&amp;E8980&amp;G8980&amp;L8980</f>
        <v/>
      </c>
    </row>
    <row r="8981">
      <c r="A8981" s="94" t="n"/>
      <c r="B8981" s="128" t="n">
        <v>44079</v>
      </c>
      <c r="C8981" s="94">
        <f>TEXT(B8981,"aaa")</f>
        <v/>
      </c>
      <c r="D8981" s="94" t="n"/>
      <c r="E8981" s="94" t="inlineStr">
        <is>
          <t>토너</t>
        </is>
      </c>
      <c r="F8981" s="5" t="inlineStr">
        <is>
          <t>카페24</t>
        </is>
      </c>
      <c r="G8981" s="94" t="inlineStr">
        <is>
          <t>250ml</t>
        </is>
      </c>
      <c r="H8981" s="7" t="n">
        <v>190801</v>
      </c>
      <c r="I8981" s="7" t="n">
        <v>190801</v>
      </c>
      <c r="J8981" s="94" t="n"/>
      <c r="K8981" s="94" t="n">
        <v>57</v>
      </c>
      <c r="L8981" s="7" t="n">
        <v>190801</v>
      </c>
      <c r="M8981" s="94">
        <f>VLOOKUP($Q8981,매칭테이블!$F:$I,2,0)*K8981</f>
        <v/>
      </c>
      <c r="N8981" s="94">
        <f>M8981-M8981*VLOOKUP($Q8981,매칭테이블!$F:$I,3,0)</f>
        <v/>
      </c>
      <c r="O8981" s="94">
        <f>VLOOKUP($Q8981,매칭테이블!$F:$I,4,0)*K8981</f>
        <v/>
      </c>
      <c r="P8981" s="148">
        <f>M8981/1.1</f>
        <v/>
      </c>
      <c r="Q8981" s="94">
        <f>F8981&amp;E8981&amp;G8981&amp;L8981</f>
        <v/>
      </c>
    </row>
    <row r="8982">
      <c r="A8982" s="94" t="n"/>
      <c r="B8982" s="128" t="n">
        <v>44079</v>
      </c>
      <c r="C8982" s="94">
        <f>TEXT(B8982,"aaa")</f>
        <v/>
      </c>
      <c r="D8982" s="94" t="n"/>
      <c r="E8982" s="94" t="inlineStr">
        <is>
          <t>토너</t>
        </is>
      </c>
      <c r="F8982" s="5" t="inlineStr">
        <is>
          <t>카페24</t>
        </is>
      </c>
      <c r="G8982" s="94" t="inlineStr">
        <is>
          <t>250ml 2set</t>
        </is>
      </c>
      <c r="H8982" s="7" t="n">
        <v>190801</v>
      </c>
      <c r="I8982" s="7" t="n">
        <v>190801</v>
      </c>
      <c r="J8982" s="94" t="n"/>
      <c r="K8982" s="94" t="n">
        <v>36</v>
      </c>
      <c r="L8982" s="7" t="n">
        <v>190801</v>
      </c>
      <c r="M8982" s="94">
        <f>VLOOKUP($Q8982,매칭테이블!$F:$I,2,0)*K8982</f>
        <v/>
      </c>
      <c r="N8982" s="94">
        <f>M8982-M8982*VLOOKUP($Q8982,매칭테이블!$F:$I,3,0)</f>
        <v/>
      </c>
      <c r="O8982" s="94">
        <f>VLOOKUP($Q8982,매칭테이블!$F:$I,4,0)*K8982</f>
        <v/>
      </c>
      <c r="P8982" s="148">
        <f>M8982/1.1</f>
        <v/>
      </c>
      <c r="Q8982" s="94">
        <f>F8982&amp;E8982&amp;G8982&amp;L8982</f>
        <v/>
      </c>
    </row>
    <row r="8983">
      <c r="A8983" s="94" t="n"/>
      <c r="B8983" s="128" t="n">
        <v>44079</v>
      </c>
      <c r="C8983" s="94">
        <f>TEXT(B8983,"aaa")</f>
        <v/>
      </c>
      <c r="D8983" s="94" t="n"/>
      <c r="E8983" s="94" t="inlineStr">
        <is>
          <t>토너</t>
        </is>
      </c>
      <c r="F8983" s="5" t="inlineStr">
        <is>
          <t>카페24</t>
        </is>
      </c>
      <c r="G8983" s="94" t="inlineStr">
        <is>
          <t>500ml</t>
        </is>
      </c>
      <c r="H8983" s="7" t="n">
        <v>190801</v>
      </c>
      <c r="I8983" s="7" t="n">
        <v>190801</v>
      </c>
      <c r="J8983" s="94" t="n"/>
      <c r="K8983" s="94" t="n">
        <v>58</v>
      </c>
      <c r="L8983" s="7" t="n">
        <v>190801</v>
      </c>
      <c r="M8983" s="94">
        <f>VLOOKUP($Q8983,매칭테이블!$F:$I,2,0)*K8983</f>
        <v/>
      </c>
      <c r="N8983" s="94">
        <f>M8983-M8983*VLOOKUP($Q8983,매칭테이블!$F:$I,3,0)</f>
        <v/>
      </c>
      <c r="O8983" s="94">
        <f>VLOOKUP($Q8983,매칭테이블!$F:$I,4,0)*K8983</f>
        <v/>
      </c>
      <c r="P8983" s="148">
        <f>M8983/1.1</f>
        <v/>
      </c>
      <c r="Q8983" s="94">
        <f>F8983&amp;E8983&amp;G8983&amp;L8983</f>
        <v/>
      </c>
    </row>
    <row r="8984">
      <c r="A8984" s="94" t="n"/>
      <c r="B8984" s="128" t="n">
        <v>44079</v>
      </c>
      <c r="C8984" s="94">
        <f>TEXT(B8984,"aaa")</f>
        <v/>
      </c>
      <c r="D8984" s="94" t="n"/>
      <c r="E8984" s="94" t="inlineStr">
        <is>
          <t>토너</t>
        </is>
      </c>
      <c r="F8984" s="5" t="inlineStr">
        <is>
          <t>카페24</t>
        </is>
      </c>
      <c r="G8984" s="94" t="inlineStr">
        <is>
          <t>스킨팩 화장솜 60P</t>
        </is>
      </c>
      <c r="H8984" s="7" t="n">
        <v>190801</v>
      </c>
      <c r="I8984" s="7" t="n">
        <v>190801</v>
      </c>
      <c r="J8984" s="94" t="n"/>
      <c r="K8984" s="94" t="n">
        <v>51</v>
      </c>
      <c r="L8984" s="7" t="n">
        <v>190801</v>
      </c>
      <c r="M8984" s="94">
        <f>VLOOKUP($Q8984,매칭테이블!$F:$I,2,0)*K8984</f>
        <v/>
      </c>
      <c r="N8984" s="94">
        <f>M8984-M8984*VLOOKUP($Q8984,매칭테이블!$F:$I,3,0)</f>
        <v/>
      </c>
      <c r="O8984" s="94">
        <f>VLOOKUP($Q8984,매칭테이블!$F:$I,4,0)*K8984</f>
        <v/>
      </c>
      <c r="P8984" s="148">
        <f>M8984/1.1</f>
        <v/>
      </c>
      <c r="Q8984" s="94">
        <f>F8984&amp;E8984&amp;G8984&amp;L8984</f>
        <v/>
      </c>
    </row>
    <row r="8985">
      <c r="A8985" s="94" t="n"/>
      <c r="B8985" s="128" t="n">
        <v>44079</v>
      </c>
      <c r="C8985" s="94">
        <f>TEXT(B8985,"aaa")</f>
        <v/>
      </c>
      <c r="D8985" s="94" t="n"/>
      <c r="E8985" s="94" t="inlineStr">
        <is>
          <t>앰플</t>
        </is>
      </c>
      <c r="F8985" s="5" t="inlineStr">
        <is>
          <t>카페24</t>
        </is>
      </c>
      <c r="G8985" s="94" t="inlineStr">
        <is>
          <t>앰플 30ml</t>
        </is>
      </c>
      <c r="H8985" s="7" t="n">
        <v>190801</v>
      </c>
      <c r="I8985" s="7" t="n">
        <v>190801</v>
      </c>
      <c r="J8985" s="94" t="n"/>
      <c r="K8985" s="94" t="n">
        <v>14</v>
      </c>
      <c r="L8985" s="7" t="n">
        <v>190801</v>
      </c>
      <c r="M8985" s="94">
        <f>VLOOKUP($Q8985,매칭테이블!$F:$I,2,0)*K8985</f>
        <v/>
      </c>
      <c r="N8985" s="94">
        <f>M8985-M8985*VLOOKUP($Q8985,매칭테이블!$F:$I,3,0)</f>
        <v/>
      </c>
      <c r="O8985" s="94">
        <f>VLOOKUP($Q8985,매칭테이블!$F:$I,4,0)*K8985</f>
        <v/>
      </c>
      <c r="P8985" s="148">
        <f>M8985/1.1</f>
        <v/>
      </c>
      <c r="Q8985" s="94">
        <f>F8985&amp;E8985&amp;G8985&amp;L8985</f>
        <v/>
      </c>
    </row>
    <row r="8986">
      <c r="A8986" s="94" t="n"/>
      <c r="B8986" s="128" t="n">
        <v>44079</v>
      </c>
      <c r="C8986" s="94">
        <f>TEXT(B8986,"aaa")</f>
        <v/>
      </c>
      <c r="D8986" s="94" t="n"/>
      <c r="E8986" s="94" t="inlineStr">
        <is>
          <t>앰플</t>
        </is>
      </c>
      <c r="F8986" s="5" t="inlineStr">
        <is>
          <t>카페24</t>
        </is>
      </c>
      <c r="G8986" s="94" t="inlineStr">
        <is>
          <t>앰플 30ml  2set</t>
        </is>
      </c>
      <c r="H8986" s="7" t="n">
        <v>190801</v>
      </c>
      <c r="I8986" s="7" t="n">
        <v>190801</v>
      </c>
      <c r="J8986" s="94" t="n"/>
      <c r="K8986" s="94" t="n">
        <v>3</v>
      </c>
      <c r="L8986" s="7" t="n">
        <v>190801</v>
      </c>
      <c r="M8986" s="94">
        <f>VLOOKUP($Q8986,매칭테이블!$F:$I,2,0)*K8986</f>
        <v/>
      </c>
      <c r="N8986" s="94">
        <f>M8986-M8986*VLOOKUP($Q8986,매칭테이블!$F:$I,3,0)</f>
        <v/>
      </c>
      <c r="O8986" s="94">
        <f>VLOOKUP($Q8986,매칭테이블!$F:$I,4,0)*K8986</f>
        <v/>
      </c>
      <c r="P8986" s="148">
        <f>M8986/1.1</f>
        <v/>
      </c>
      <c r="Q8986" s="94">
        <f>F8986&amp;E8986&amp;G8986&amp;L8986</f>
        <v/>
      </c>
    </row>
    <row r="8987">
      <c r="A8987" s="94" t="n"/>
      <c r="B8987" s="128" t="n">
        <v>44079</v>
      </c>
      <c r="C8987" s="94">
        <f>TEXT(B8987,"aaa")</f>
        <v/>
      </c>
      <c r="D8987" s="94" t="n"/>
      <c r="E8987" s="94" t="inlineStr">
        <is>
          <t>수딩크림</t>
        </is>
      </c>
      <c r="F8987" s="5" t="inlineStr">
        <is>
          <t>카페24</t>
        </is>
      </c>
      <c r="G8987" s="94" t="inlineStr">
        <is>
          <t>수딩크림 100ml</t>
        </is>
      </c>
      <c r="H8987" s="7" t="n">
        <v>190801</v>
      </c>
      <c r="I8987" s="7" t="n">
        <v>190801</v>
      </c>
      <c r="J8987" s="94" t="n"/>
      <c r="K8987" s="94" t="n">
        <v>8</v>
      </c>
      <c r="L8987" s="7" t="n">
        <v>190801</v>
      </c>
      <c r="M8987" s="94">
        <f>VLOOKUP($Q8987,매칭테이블!$F:$I,2,0)*K8987</f>
        <v/>
      </c>
      <c r="N8987" s="94">
        <f>M8987-M8987*VLOOKUP($Q8987,매칭테이블!$F:$I,3,0)</f>
        <v/>
      </c>
      <c r="O8987" s="94">
        <f>VLOOKUP($Q8987,매칭테이블!$F:$I,4,0)*K8987</f>
        <v/>
      </c>
      <c r="P8987" s="148">
        <f>M8987/1.1</f>
        <v/>
      </c>
      <c r="Q8987" s="94">
        <f>F8987&amp;E8987&amp;G8987&amp;L8987</f>
        <v/>
      </c>
    </row>
    <row r="8988">
      <c r="A8988" s="94" t="n"/>
      <c r="B8988" s="128" t="n">
        <v>44079</v>
      </c>
      <c r="C8988" s="94">
        <f>TEXT(B8988,"aaa")</f>
        <v/>
      </c>
      <c r="D8988" s="94" t="n"/>
      <c r="E8988" s="94" t="inlineStr">
        <is>
          <t>클렌징폼</t>
        </is>
      </c>
      <c r="F8988" s="5" t="inlineStr">
        <is>
          <t>카페24</t>
        </is>
      </c>
      <c r="G8988" s="94" t="inlineStr">
        <is>
          <t>클렌징폼 120ml</t>
        </is>
      </c>
      <c r="H8988" s="7" t="n">
        <v>190801</v>
      </c>
      <c r="I8988" s="7" t="n">
        <v>190801</v>
      </c>
      <c r="J8988" s="94" t="n"/>
      <c r="K8988" s="94" t="n">
        <v>3</v>
      </c>
      <c r="L8988" s="7" t="n">
        <v>190801</v>
      </c>
      <c r="M8988" s="94">
        <f>VLOOKUP($Q8988,매칭테이블!$F:$I,2,0)*K8988</f>
        <v/>
      </c>
      <c r="N8988" s="94">
        <f>M8988-M8988*VLOOKUP($Q8988,매칭테이블!$F:$I,3,0)</f>
        <v/>
      </c>
      <c r="O8988" s="94">
        <f>VLOOKUP($Q8988,매칭테이블!$F:$I,4,0)*K8988</f>
        <v/>
      </c>
      <c r="P8988" s="148">
        <f>M8988/1.1</f>
        <v/>
      </c>
      <c r="Q8988" s="94">
        <f>F8988&amp;E8988&amp;G8988&amp;L8988</f>
        <v/>
      </c>
    </row>
    <row r="8989">
      <c r="A8989" s="94" t="n"/>
      <c r="B8989" s="128" t="n">
        <v>44080</v>
      </c>
      <c r="C8989" s="94">
        <f>TEXT(B8989,"aaa")</f>
        <v/>
      </c>
      <c r="D8989" s="94" t="n"/>
      <c r="E8989" s="94" t="inlineStr">
        <is>
          <t>토너</t>
        </is>
      </c>
      <c r="F8989" s="5" t="inlineStr">
        <is>
          <t>스타일쉐어</t>
        </is>
      </c>
      <c r="G8989" s="94" t="inlineStr">
        <is>
          <t>250ml</t>
        </is>
      </c>
      <c r="H8989" s="7" t="n">
        <v>190801</v>
      </c>
      <c r="I8989" s="7" t="n">
        <v>190801</v>
      </c>
      <c r="J8989" s="94" t="n"/>
      <c r="K8989" s="94" t="n">
        <v>4</v>
      </c>
      <c r="L8989" s="7" t="n">
        <v>190801</v>
      </c>
      <c r="M8989" s="94">
        <f>VLOOKUP($Q8989,매칭테이블!$F:$I,2,0)*K8989</f>
        <v/>
      </c>
      <c r="N8989" s="94">
        <f>M8989-M8989*VLOOKUP($Q8989,매칭테이블!$F:$I,3,0)</f>
        <v/>
      </c>
      <c r="O8989" s="94">
        <f>VLOOKUP($Q8989,매칭테이블!$F:$I,4,0)*K8989</f>
        <v/>
      </c>
      <c r="P8989" s="148">
        <f>M8989/1.1</f>
        <v/>
      </c>
      <c r="Q8989" s="94">
        <f>F8989&amp;E8989&amp;G8989&amp;L8989</f>
        <v/>
      </c>
    </row>
    <row r="8990">
      <c r="A8990" s="94" t="n"/>
      <c r="B8990" s="128" t="n">
        <v>44080</v>
      </c>
      <c r="C8990" s="94">
        <f>TEXT(B8990,"aaa")</f>
        <v/>
      </c>
      <c r="D8990" s="94" t="n"/>
      <c r="E8990" s="94" t="inlineStr">
        <is>
          <t>선크림</t>
        </is>
      </c>
      <c r="F8990" s="5" t="inlineStr">
        <is>
          <t>카페24</t>
        </is>
      </c>
      <c r="G8990" s="94" t="inlineStr">
        <is>
          <t>선크림 50ml</t>
        </is>
      </c>
      <c r="H8990" s="7" t="n">
        <v>190801</v>
      </c>
      <c r="I8990" s="7" t="n">
        <v>190801</v>
      </c>
      <c r="J8990" s="94" t="n"/>
      <c r="K8990" s="94" t="n">
        <v>4</v>
      </c>
      <c r="L8990" s="7" t="n">
        <v>190801</v>
      </c>
      <c r="M8990" s="94">
        <f>VLOOKUP($Q8990,매칭테이블!$F:$I,2,0)*K8990</f>
        <v/>
      </c>
      <c r="N8990" s="94">
        <f>M8990-M8990*VLOOKUP($Q8990,매칭테이블!$F:$I,3,0)</f>
        <v/>
      </c>
      <c r="O8990" s="94">
        <f>VLOOKUP($Q8990,매칭테이블!$F:$I,4,0)*K8990</f>
        <v/>
      </c>
      <c r="P8990" s="148">
        <f>M8990/1.1</f>
        <v/>
      </c>
      <c r="Q8990" s="94">
        <f>F8990&amp;E8990&amp;G8990&amp;L8990</f>
        <v/>
      </c>
    </row>
    <row r="8991">
      <c r="A8991" s="94" t="n"/>
      <c r="B8991" s="128" t="n">
        <v>44080</v>
      </c>
      <c r="C8991" s="94">
        <f>TEXT(B8991,"aaa")</f>
        <v/>
      </c>
      <c r="D8991" s="94" t="n"/>
      <c r="E8991" s="94" t="inlineStr">
        <is>
          <t>선크림</t>
        </is>
      </c>
      <c r="F8991" s="5" t="inlineStr">
        <is>
          <t>카페24</t>
        </is>
      </c>
      <c r="G8991" s="94" t="inlineStr">
        <is>
          <t>선크림 50ml  2set</t>
        </is>
      </c>
      <c r="H8991" s="7" t="n">
        <v>190801</v>
      </c>
      <c r="I8991" s="7" t="n">
        <v>190801</v>
      </c>
      <c r="J8991" s="94" t="n"/>
      <c r="K8991" s="94" t="n">
        <v>2</v>
      </c>
      <c r="L8991" s="7" t="n">
        <v>190801</v>
      </c>
      <c r="M8991" s="94">
        <f>VLOOKUP($Q8991,매칭테이블!$F:$I,2,0)*K8991</f>
        <v/>
      </c>
      <c r="N8991" s="94">
        <f>M8991-M8991*VLOOKUP($Q8991,매칭테이블!$F:$I,3,0)</f>
        <v/>
      </c>
      <c r="O8991" s="94">
        <f>VLOOKUP($Q8991,매칭테이블!$F:$I,4,0)*K8991</f>
        <v/>
      </c>
      <c r="P8991" s="148">
        <f>M8991/1.1</f>
        <v/>
      </c>
      <c r="Q8991" s="94">
        <f>F8991&amp;E8991&amp;G8991&amp;L8991</f>
        <v/>
      </c>
    </row>
    <row r="8992">
      <c r="A8992" s="94" t="n"/>
      <c r="B8992" s="128" t="n">
        <v>44080</v>
      </c>
      <c r="C8992" s="94">
        <f>TEXT(B8992,"aaa")</f>
        <v/>
      </c>
      <c r="D8992" s="94" t="n"/>
      <c r="E8992" s="94" t="inlineStr">
        <is>
          <t>여름 한정 진정세트</t>
        </is>
      </c>
      <c r="F8992" s="5" t="inlineStr">
        <is>
          <t>카페24</t>
        </is>
      </c>
      <c r="G8992" s="94" t="inlineStr">
        <is>
          <t>여름 한정 진정세트</t>
        </is>
      </c>
      <c r="H8992" s="7" t="n">
        <v>190801</v>
      </c>
      <c r="I8992" s="7" t="n">
        <v>190801</v>
      </c>
      <c r="J8992" s="94" t="n"/>
      <c r="K8992" s="94" t="n">
        <v>3</v>
      </c>
      <c r="L8992" s="7" t="n">
        <v>190801</v>
      </c>
      <c r="M8992" s="94">
        <f>VLOOKUP($Q8992,매칭테이블!$F:$I,2,0)*K8992</f>
        <v/>
      </c>
      <c r="N8992" s="94">
        <f>M8992-M8992*VLOOKUP($Q8992,매칭테이블!$F:$I,3,0)</f>
        <v/>
      </c>
      <c r="O8992" s="94">
        <f>VLOOKUP($Q8992,매칭테이블!$F:$I,4,0)*K8992</f>
        <v/>
      </c>
      <c r="P8992" s="148">
        <f>M8992/1.1</f>
        <v/>
      </c>
      <c r="Q8992" s="94">
        <f>F8992&amp;E8992&amp;G8992&amp;L8992</f>
        <v/>
      </c>
    </row>
    <row r="8993">
      <c r="A8993" s="94" t="n"/>
      <c r="B8993" s="128" t="n">
        <v>44080</v>
      </c>
      <c r="C8993" s="94">
        <f>TEXT(B8993,"aaa")</f>
        <v/>
      </c>
      <c r="D8993" s="94" t="n"/>
      <c r="E8993" s="94" t="inlineStr">
        <is>
          <t>여름 한정 진정세트</t>
        </is>
      </c>
      <c r="F8993" s="5" t="inlineStr">
        <is>
          <t>카페24</t>
        </is>
      </c>
      <c r="G8993" s="94" t="inlineStr">
        <is>
          <t>여름 한정 진정세트 (대용량)</t>
        </is>
      </c>
      <c r="H8993" s="7" t="n">
        <v>190801</v>
      </c>
      <c r="I8993" s="7" t="n">
        <v>190801</v>
      </c>
      <c r="J8993" s="94" t="n"/>
      <c r="K8993" s="94" t="n">
        <v>2</v>
      </c>
      <c r="L8993" s="7" t="n">
        <v>190801</v>
      </c>
      <c r="M8993" s="94">
        <f>VLOOKUP($Q8993,매칭테이블!$F:$I,2,0)*K8993</f>
        <v/>
      </c>
      <c r="N8993" s="94">
        <f>M8993-M8993*VLOOKUP($Q8993,매칭테이블!$F:$I,3,0)</f>
        <v/>
      </c>
      <c r="O8993" s="94">
        <f>VLOOKUP($Q8993,매칭테이블!$F:$I,4,0)*K8993</f>
        <v/>
      </c>
      <c r="P8993" s="148">
        <f>M8993/1.1</f>
        <v/>
      </c>
      <c r="Q8993" s="94">
        <f>F8993&amp;E8993&amp;G8993&amp;L8993</f>
        <v/>
      </c>
    </row>
    <row r="8994">
      <c r="A8994" s="94" t="n"/>
      <c r="B8994" s="128" t="n">
        <v>44080</v>
      </c>
      <c r="C8994" s="94">
        <f>TEXT(B8994,"aaa")</f>
        <v/>
      </c>
      <c r="D8994" s="94" t="n"/>
      <c r="E8994" s="94" t="inlineStr">
        <is>
          <t>어성초진정패키지</t>
        </is>
      </c>
      <c r="F8994" s="5" t="inlineStr">
        <is>
          <t>카페24</t>
        </is>
      </c>
      <c r="G8994" s="94" t="inlineStr">
        <is>
          <t>어성초 진정패키지세트</t>
        </is>
      </c>
      <c r="H8994" s="7" t="n">
        <v>190801</v>
      </c>
      <c r="I8994" s="7" t="n">
        <v>190801</v>
      </c>
      <c r="J8994" s="94" t="n"/>
      <c r="K8994" s="94" t="n">
        <v>4</v>
      </c>
      <c r="L8994" s="7" t="n">
        <v>190801</v>
      </c>
      <c r="M8994" s="94">
        <f>VLOOKUP($Q8994,매칭테이블!$F:$I,2,0)*K8994</f>
        <v/>
      </c>
      <c r="N8994" s="94">
        <f>M8994-M8994*VLOOKUP($Q8994,매칭테이블!$F:$I,3,0)</f>
        <v/>
      </c>
      <c r="O8994" s="94">
        <f>VLOOKUP($Q8994,매칭테이블!$F:$I,4,0)*K8994</f>
        <v/>
      </c>
      <c r="P8994" s="148">
        <f>M8994/1.1</f>
        <v/>
      </c>
      <c r="Q8994" s="94">
        <f>F8994&amp;E8994&amp;G8994&amp;L8994</f>
        <v/>
      </c>
    </row>
    <row r="8995">
      <c r="A8995" s="94" t="n"/>
      <c r="B8995" s="128" t="n">
        <v>44080</v>
      </c>
      <c r="C8995" s="94">
        <f>TEXT(B8995,"aaa")</f>
        <v/>
      </c>
      <c r="D8995" s="94" t="n"/>
      <c r="E8995" s="94" t="inlineStr">
        <is>
          <t>머드크림마스크</t>
        </is>
      </c>
      <c r="F8995" s="5" t="inlineStr">
        <is>
          <t>카페24</t>
        </is>
      </c>
      <c r="G8995" s="94" t="inlineStr">
        <is>
          <t>머드크림마스크 100ml</t>
        </is>
      </c>
      <c r="H8995" s="7" t="n">
        <v>190801</v>
      </c>
      <c r="I8995" s="7" t="n">
        <v>190801</v>
      </c>
      <c r="J8995" s="94" t="n"/>
      <c r="K8995" s="94" t="n">
        <v>5</v>
      </c>
      <c r="L8995" s="7" t="n">
        <v>190801</v>
      </c>
      <c r="M8995" s="94">
        <f>VLOOKUP($Q8995,매칭테이블!$F:$I,2,0)*K8995</f>
        <v/>
      </c>
      <c r="N8995" s="94">
        <f>M8995-M8995*VLOOKUP($Q8995,매칭테이블!$F:$I,3,0)</f>
        <v/>
      </c>
      <c r="O8995" s="94">
        <f>VLOOKUP($Q8995,매칭테이블!$F:$I,4,0)*K8995</f>
        <v/>
      </c>
      <c r="P8995" s="148">
        <f>M8995/1.1</f>
        <v/>
      </c>
      <c r="Q8995" s="94">
        <f>F8995&amp;E8995&amp;G8995&amp;L8995</f>
        <v/>
      </c>
    </row>
    <row r="8996">
      <c r="A8996" s="94" t="n"/>
      <c r="B8996" s="128" t="n">
        <v>44080</v>
      </c>
      <c r="C8996" s="94">
        <f>TEXT(B8996,"aaa")</f>
        <v/>
      </c>
      <c r="D8996" s="94" t="n"/>
      <c r="E8996" s="94" t="inlineStr">
        <is>
          <t>마스크팩</t>
        </is>
      </c>
      <c r="F8996" s="5" t="inlineStr">
        <is>
          <t>카페24</t>
        </is>
      </c>
      <c r="G8996" s="94" t="inlineStr">
        <is>
          <t>마스크팩 1매</t>
        </is>
      </c>
      <c r="H8996" s="7" t="n">
        <v>190801</v>
      </c>
      <c r="I8996" s="7" t="n">
        <v>190801</v>
      </c>
      <c r="J8996" s="94" t="n"/>
      <c r="K8996" s="94" t="n">
        <v>3</v>
      </c>
      <c r="L8996" s="7" t="n">
        <v>190801</v>
      </c>
      <c r="M8996" s="94">
        <f>VLOOKUP($Q8996,매칭테이블!$F:$I,2,0)*K8996</f>
        <v/>
      </c>
      <c r="N8996" s="94">
        <f>M8996-M8996*VLOOKUP($Q8996,매칭테이블!$F:$I,3,0)</f>
        <v/>
      </c>
      <c r="O8996" s="94">
        <f>VLOOKUP($Q8996,매칭테이블!$F:$I,4,0)*K8996</f>
        <v/>
      </c>
      <c r="P8996" s="148">
        <f>M8996/1.1</f>
        <v/>
      </c>
      <c r="Q8996" s="94">
        <f>F8996&amp;E8996&amp;G8996&amp;L8996</f>
        <v/>
      </c>
    </row>
    <row r="8997">
      <c r="A8997" s="94" t="n"/>
      <c r="B8997" s="128" t="n">
        <v>44080</v>
      </c>
      <c r="C8997" s="94">
        <f>TEXT(B8997,"aaa")</f>
        <v/>
      </c>
      <c r="D8997" s="94" t="n"/>
      <c r="E8997" s="94" t="inlineStr">
        <is>
          <t>마스크팩</t>
        </is>
      </c>
      <c r="F8997" s="5" t="inlineStr">
        <is>
          <t>카페24</t>
        </is>
      </c>
      <c r="G8997" s="94" t="inlineStr">
        <is>
          <t>마스크팩 10매</t>
        </is>
      </c>
      <c r="H8997" s="7" t="n">
        <v>190801</v>
      </c>
      <c r="I8997" s="7" t="n">
        <v>190801</v>
      </c>
      <c r="J8997" s="94" t="n"/>
      <c r="K8997" s="94" t="n">
        <v>4</v>
      </c>
      <c r="L8997" s="7" t="n">
        <v>190801</v>
      </c>
      <c r="M8997" s="94">
        <f>VLOOKUP($Q8997,매칭테이블!$F:$I,2,0)*K8997</f>
        <v/>
      </c>
      <c r="N8997" s="94">
        <f>M8997-M8997*VLOOKUP($Q8997,매칭테이블!$F:$I,3,0)</f>
        <v/>
      </c>
      <c r="O8997" s="94">
        <f>VLOOKUP($Q8997,매칭테이블!$F:$I,4,0)*K8997</f>
        <v/>
      </c>
      <c r="P8997" s="148">
        <f>M8997/1.1</f>
        <v/>
      </c>
      <c r="Q8997" s="94">
        <f>F8997&amp;E8997&amp;G8997&amp;L8997</f>
        <v/>
      </c>
    </row>
    <row r="8998">
      <c r="A8998" s="94" t="n"/>
      <c r="B8998" s="128" t="n">
        <v>44080</v>
      </c>
      <c r="C8998" s="94">
        <f>TEXT(B8998,"aaa")</f>
        <v/>
      </c>
      <c r="D8998" s="94" t="n"/>
      <c r="E8998" s="94" t="inlineStr">
        <is>
          <t>토너</t>
        </is>
      </c>
      <c r="F8998" s="5" t="inlineStr">
        <is>
          <t>카페24</t>
        </is>
      </c>
      <c r="G8998" s="94" t="inlineStr">
        <is>
          <t>250ml</t>
        </is>
      </c>
      <c r="H8998" s="7" t="n">
        <v>190801</v>
      </c>
      <c r="I8998" s="7" t="n">
        <v>190801</v>
      </c>
      <c r="J8998" s="94" t="n"/>
      <c r="K8998" s="94" t="n">
        <v>61</v>
      </c>
      <c r="L8998" s="7" t="n">
        <v>190801</v>
      </c>
      <c r="M8998" s="94">
        <f>VLOOKUP($Q8998,매칭테이블!$F:$I,2,0)*K8998</f>
        <v/>
      </c>
      <c r="N8998" s="94">
        <f>M8998-M8998*VLOOKUP($Q8998,매칭테이블!$F:$I,3,0)</f>
        <v/>
      </c>
      <c r="O8998" s="94">
        <f>VLOOKUP($Q8998,매칭테이블!$F:$I,4,0)*K8998</f>
        <v/>
      </c>
      <c r="P8998" s="148">
        <f>M8998/1.1</f>
        <v/>
      </c>
      <c r="Q8998" s="94">
        <f>F8998&amp;E8998&amp;G8998&amp;L8998</f>
        <v/>
      </c>
    </row>
    <row r="8999">
      <c r="A8999" s="94" t="n"/>
      <c r="B8999" s="128" t="n">
        <v>44080</v>
      </c>
      <c r="C8999" s="94">
        <f>TEXT(B8999,"aaa")</f>
        <v/>
      </c>
      <c r="D8999" s="94" t="n"/>
      <c r="E8999" s="94" t="inlineStr">
        <is>
          <t>토너</t>
        </is>
      </c>
      <c r="F8999" s="5" t="inlineStr">
        <is>
          <t>카페24</t>
        </is>
      </c>
      <c r="G8999" s="94" t="inlineStr">
        <is>
          <t>250ml 2set</t>
        </is>
      </c>
      <c r="H8999" s="7" t="n">
        <v>190801</v>
      </c>
      <c r="I8999" s="7" t="n">
        <v>190801</v>
      </c>
      <c r="J8999" s="94" t="n"/>
      <c r="K8999" s="94" t="n">
        <v>48</v>
      </c>
      <c r="L8999" s="7" t="n">
        <v>190801</v>
      </c>
      <c r="M8999" s="94">
        <f>VLOOKUP($Q8999,매칭테이블!$F:$I,2,0)*K8999</f>
        <v/>
      </c>
      <c r="N8999" s="94">
        <f>M8999-M8999*VLOOKUP($Q8999,매칭테이블!$F:$I,3,0)</f>
        <v/>
      </c>
      <c r="O8999" s="94">
        <f>VLOOKUP($Q8999,매칭테이블!$F:$I,4,0)*K8999</f>
        <v/>
      </c>
      <c r="P8999" s="148">
        <f>M8999/1.1</f>
        <v/>
      </c>
      <c r="Q8999" s="94">
        <f>F8999&amp;E8999&amp;G8999&amp;L8999</f>
        <v/>
      </c>
    </row>
    <row r="9000">
      <c r="A9000" s="94" t="n"/>
      <c r="B9000" s="128" t="n">
        <v>44080</v>
      </c>
      <c r="C9000" s="94">
        <f>TEXT(B9000,"aaa")</f>
        <v/>
      </c>
      <c r="D9000" s="94" t="n"/>
      <c r="E9000" s="94" t="inlineStr">
        <is>
          <t>토너</t>
        </is>
      </c>
      <c r="F9000" s="5" t="inlineStr">
        <is>
          <t>카페24</t>
        </is>
      </c>
      <c r="G9000" s="94" t="inlineStr">
        <is>
          <t>500ml</t>
        </is>
      </c>
      <c r="H9000" s="7" t="n">
        <v>190801</v>
      </c>
      <c r="I9000" s="7" t="n">
        <v>190801</v>
      </c>
      <c r="J9000" s="94" t="n"/>
      <c r="K9000" s="94" t="n">
        <v>70</v>
      </c>
      <c r="L9000" s="7" t="n">
        <v>190801</v>
      </c>
      <c r="M9000" s="94">
        <f>VLOOKUP($Q9000,매칭테이블!$F:$I,2,0)*K9000</f>
        <v/>
      </c>
      <c r="N9000" s="94">
        <f>M9000-M9000*VLOOKUP($Q9000,매칭테이블!$F:$I,3,0)</f>
        <v/>
      </c>
      <c r="O9000" s="94">
        <f>VLOOKUP($Q9000,매칭테이블!$F:$I,4,0)*K9000</f>
        <v/>
      </c>
      <c r="P9000" s="148">
        <f>M9000/1.1</f>
        <v/>
      </c>
      <c r="Q9000" s="94">
        <f>F9000&amp;E9000&amp;G9000&amp;L9000</f>
        <v/>
      </c>
    </row>
    <row r="9001">
      <c r="A9001" s="94" t="n"/>
      <c r="B9001" s="128" t="n">
        <v>44080</v>
      </c>
      <c r="C9001" s="94">
        <f>TEXT(B9001,"aaa")</f>
        <v/>
      </c>
      <c r="D9001" s="94" t="n"/>
      <c r="E9001" s="94" t="inlineStr">
        <is>
          <t>토너</t>
        </is>
      </c>
      <c r="F9001" s="5" t="inlineStr">
        <is>
          <t>카페24</t>
        </is>
      </c>
      <c r="G9001" s="94" t="inlineStr">
        <is>
          <t>스킨팩 화장솜 60P</t>
        </is>
      </c>
      <c r="H9001" s="7" t="n">
        <v>190801</v>
      </c>
      <c r="I9001" s="7" t="n">
        <v>190801</v>
      </c>
      <c r="J9001" s="94" t="n"/>
      <c r="K9001" s="94" t="n">
        <v>64</v>
      </c>
      <c r="L9001" s="7" t="n">
        <v>190801</v>
      </c>
      <c r="M9001" s="94">
        <f>VLOOKUP($Q9001,매칭테이블!$F:$I,2,0)*K9001</f>
        <v/>
      </c>
      <c r="N9001" s="94">
        <f>M9001-M9001*VLOOKUP($Q9001,매칭테이블!$F:$I,3,0)</f>
        <v/>
      </c>
      <c r="O9001" s="94">
        <f>VLOOKUP($Q9001,매칭테이블!$F:$I,4,0)*K9001</f>
        <v/>
      </c>
      <c r="P9001" s="148">
        <f>M9001/1.1</f>
        <v/>
      </c>
      <c r="Q9001" s="94">
        <f>F9001&amp;E9001&amp;G9001&amp;L9001</f>
        <v/>
      </c>
    </row>
    <row r="9002">
      <c r="A9002" s="94" t="n"/>
      <c r="B9002" s="128" t="n">
        <v>44080</v>
      </c>
      <c r="C9002" s="94">
        <f>TEXT(B9002,"aaa")</f>
        <v/>
      </c>
      <c r="D9002" s="94" t="n"/>
      <c r="E9002" s="94" t="inlineStr">
        <is>
          <t>앰플</t>
        </is>
      </c>
      <c r="F9002" s="5" t="inlineStr">
        <is>
          <t>카페24</t>
        </is>
      </c>
      <c r="G9002" s="94" t="inlineStr">
        <is>
          <t>앰플 30ml</t>
        </is>
      </c>
      <c r="H9002" s="7" t="n">
        <v>190801</v>
      </c>
      <c r="I9002" s="7" t="n">
        <v>190801</v>
      </c>
      <c r="J9002" s="94" t="n"/>
      <c r="K9002" s="94" t="n">
        <v>21</v>
      </c>
      <c r="L9002" s="7" t="n">
        <v>190801</v>
      </c>
      <c r="M9002" s="94">
        <f>VLOOKUP($Q9002,매칭테이블!$F:$I,2,0)*K9002</f>
        <v/>
      </c>
      <c r="N9002" s="94">
        <f>M9002-M9002*VLOOKUP($Q9002,매칭테이블!$F:$I,3,0)</f>
        <v/>
      </c>
      <c r="O9002" s="94">
        <f>VLOOKUP($Q9002,매칭테이블!$F:$I,4,0)*K9002</f>
        <v/>
      </c>
      <c r="P9002" s="148">
        <f>M9002/1.1</f>
        <v/>
      </c>
      <c r="Q9002" s="94">
        <f>F9002&amp;E9002&amp;G9002&amp;L9002</f>
        <v/>
      </c>
    </row>
    <row r="9003">
      <c r="A9003" s="94" t="n"/>
      <c r="B9003" s="128" t="n">
        <v>44080</v>
      </c>
      <c r="C9003" s="94">
        <f>TEXT(B9003,"aaa")</f>
        <v/>
      </c>
      <c r="D9003" s="94" t="n"/>
      <c r="E9003" s="94" t="inlineStr">
        <is>
          <t>앰플</t>
        </is>
      </c>
      <c r="F9003" s="5" t="inlineStr">
        <is>
          <t>카페24</t>
        </is>
      </c>
      <c r="G9003" s="94" t="inlineStr">
        <is>
          <t>앰플 30ml  2set</t>
        </is>
      </c>
      <c r="H9003" s="7" t="n">
        <v>190801</v>
      </c>
      <c r="I9003" s="7" t="n">
        <v>190801</v>
      </c>
      <c r="J9003" s="94" t="n"/>
      <c r="K9003" s="94" t="n">
        <v>6</v>
      </c>
      <c r="L9003" s="7" t="n">
        <v>190801</v>
      </c>
      <c r="M9003" s="94">
        <f>VLOOKUP($Q9003,매칭테이블!$F:$I,2,0)*K9003</f>
        <v/>
      </c>
      <c r="N9003" s="94">
        <f>M9003-M9003*VLOOKUP($Q9003,매칭테이블!$F:$I,3,0)</f>
        <v/>
      </c>
      <c r="O9003" s="94">
        <f>VLOOKUP($Q9003,매칭테이블!$F:$I,4,0)*K9003</f>
        <v/>
      </c>
      <c r="P9003" s="148">
        <f>M9003/1.1</f>
        <v/>
      </c>
      <c r="Q9003" s="94">
        <f>F9003&amp;E9003&amp;G9003&amp;L9003</f>
        <v/>
      </c>
    </row>
    <row r="9004">
      <c r="A9004" s="94" t="n"/>
      <c r="B9004" s="128" t="n">
        <v>44080</v>
      </c>
      <c r="C9004" s="94">
        <f>TEXT(B9004,"aaa")</f>
        <v/>
      </c>
      <c r="D9004" s="94" t="n"/>
      <c r="E9004" s="94" t="inlineStr">
        <is>
          <t>수딩크림</t>
        </is>
      </c>
      <c r="F9004" s="5" t="inlineStr">
        <is>
          <t>카페24</t>
        </is>
      </c>
      <c r="G9004" s="94" t="inlineStr">
        <is>
          <t>수딩크림 100ml</t>
        </is>
      </c>
      <c r="H9004" s="7" t="n">
        <v>190801</v>
      </c>
      <c r="I9004" s="7" t="n">
        <v>190801</v>
      </c>
      <c r="J9004" s="94" t="n"/>
      <c r="K9004" s="94" t="n">
        <v>7</v>
      </c>
      <c r="L9004" s="7" t="n">
        <v>190801</v>
      </c>
      <c r="M9004" s="94">
        <f>VLOOKUP($Q9004,매칭테이블!$F:$I,2,0)*K9004</f>
        <v/>
      </c>
      <c r="N9004" s="94">
        <f>M9004-M9004*VLOOKUP($Q9004,매칭테이블!$F:$I,3,0)</f>
        <v/>
      </c>
      <c r="O9004" s="94">
        <f>VLOOKUP($Q9004,매칭테이블!$F:$I,4,0)*K9004</f>
        <v/>
      </c>
      <c r="P9004" s="148">
        <f>M9004/1.1</f>
        <v/>
      </c>
      <c r="Q9004" s="94">
        <f>F9004&amp;E9004&amp;G9004&amp;L9004</f>
        <v/>
      </c>
    </row>
    <row r="9005">
      <c r="A9005" s="94" t="n"/>
      <c r="B9005" s="128" t="n">
        <v>44080</v>
      </c>
      <c r="C9005" s="94">
        <f>TEXT(B9005,"aaa")</f>
        <v/>
      </c>
      <c r="D9005" s="94" t="n"/>
      <c r="E9005" s="94" t="inlineStr">
        <is>
          <t>클렌징폼</t>
        </is>
      </c>
      <c r="F9005" s="5" t="inlineStr">
        <is>
          <t>카페24</t>
        </is>
      </c>
      <c r="G9005" s="94" t="inlineStr">
        <is>
          <t>클렌징폼 120ml</t>
        </is>
      </c>
      <c r="H9005" s="7" t="n">
        <v>190801</v>
      </c>
      <c r="I9005" s="7" t="n">
        <v>190801</v>
      </c>
      <c r="J9005" s="94" t="n"/>
      <c r="K9005" s="94" t="n">
        <v>14</v>
      </c>
      <c r="L9005" s="7" t="n">
        <v>190801</v>
      </c>
      <c r="M9005" s="94">
        <f>VLOOKUP($Q9005,매칭테이블!$F:$I,2,0)*K9005</f>
        <v/>
      </c>
      <c r="N9005" s="94">
        <f>M9005-M9005*VLOOKUP($Q9005,매칭테이블!$F:$I,3,0)</f>
        <v/>
      </c>
      <c r="O9005" s="94">
        <f>VLOOKUP($Q9005,매칭테이블!$F:$I,4,0)*K9005</f>
        <v/>
      </c>
      <c r="P9005" s="148">
        <f>M9005/1.1</f>
        <v/>
      </c>
      <c r="Q9005" s="94">
        <f>F9005&amp;E9005&amp;G9005&amp;L9005</f>
        <v/>
      </c>
    </row>
    <row r="9006">
      <c r="A9006" s="94" t="n"/>
      <c r="B9006" s="128" t="n">
        <v>44080</v>
      </c>
      <c r="C9006" s="94">
        <f>TEXT(B9006,"aaa")</f>
        <v/>
      </c>
      <c r="D9006" s="94" t="n"/>
      <c r="E9006" s="94" t="inlineStr">
        <is>
          <t>클렌징폼</t>
        </is>
      </c>
      <c r="F9006" s="5" t="inlineStr">
        <is>
          <t>카페24</t>
        </is>
      </c>
      <c r="G9006" s="94" t="inlineStr">
        <is>
          <t>클렌징폼 120ml 2set</t>
        </is>
      </c>
      <c r="H9006" s="7" t="n">
        <v>190801</v>
      </c>
      <c r="I9006" s="7" t="n">
        <v>190801</v>
      </c>
      <c r="J9006" s="94" t="n"/>
      <c r="K9006" s="94" t="n">
        <v>1</v>
      </c>
      <c r="L9006" s="7" t="n">
        <v>190801</v>
      </c>
      <c r="M9006" s="94">
        <f>VLOOKUP($Q9006,매칭테이블!$F:$I,2,0)*K9006</f>
        <v/>
      </c>
      <c r="N9006" s="94">
        <f>M9006-M9006*VLOOKUP($Q9006,매칭테이블!$F:$I,3,0)</f>
        <v/>
      </c>
      <c r="O9006" s="94">
        <f>VLOOKUP($Q9006,매칭테이블!$F:$I,4,0)*K9006</f>
        <v/>
      </c>
      <c r="P9006" s="148">
        <f>M9006/1.1</f>
        <v/>
      </c>
      <c r="Q9006" s="94">
        <f>F9006&amp;E9006&amp;G9006&amp;L9006</f>
        <v/>
      </c>
    </row>
    <row r="9007" customFormat="1" s="94">
      <c r="B9007" s="128" t="n">
        <v>44080</v>
      </c>
      <c r="C9007" s="94">
        <f>TEXT(B9007,"aaa")</f>
        <v/>
      </c>
      <c r="E9007" s="6" t="inlineStr">
        <is>
          <t>토너</t>
        </is>
      </c>
      <c r="F9007" s="94" t="inlineStr">
        <is>
          <t>랄라블라</t>
        </is>
      </c>
      <c r="G9007" s="5" t="inlineStr">
        <is>
          <t>250ml</t>
        </is>
      </c>
      <c r="H9007" s="7" t="n">
        <v>190801</v>
      </c>
      <c r="I9007" s="7" t="n">
        <v>190801</v>
      </c>
      <c r="K9007" s="6" t="n">
        <v>903</v>
      </c>
      <c r="L9007" s="7" t="n">
        <v>190801</v>
      </c>
      <c r="M9007" s="94">
        <f>VLOOKUP($Q9007,매칭테이블!$F:$I,2,0)*K9007</f>
        <v/>
      </c>
      <c r="N9007" s="94">
        <f>M9007-M9007*VLOOKUP($Q9007,매칭테이블!$F:$I,3,0)</f>
        <v/>
      </c>
      <c r="O9007" s="94">
        <f>VLOOKUP($Q9007,매칭테이블!$F:$I,4,0)*K9007</f>
        <v/>
      </c>
      <c r="P9007" s="148">
        <f>M9007/1.1</f>
        <v/>
      </c>
      <c r="Q9007" s="94">
        <f>F9007&amp;E9007&amp;G9007&amp;L9007</f>
        <v/>
      </c>
    </row>
    <row r="9008" customFormat="1" s="94">
      <c r="B9008" s="128" t="n">
        <v>44080</v>
      </c>
      <c r="C9008" s="94">
        <f>TEXT(B9008,"aaa")</f>
        <v/>
      </c>
      <c r="E9008" s="94" t="inlineStr">
        <is>
          <t>마스크팩</t>
        </is>
      </c>
      <c r="F9008" s="94" t="inlineStr">
        <is>
          <t>랄라블라</t>
        </is>
      </c>
      <c r="G9008" s="94" t="inlineStr">
        <is>
          <t>마스크팩 1매</t>
        </is>
      </c>
      <c r="H9008" s="7" t="n">
        <v>190801</v>
      </c>
      <c r="I9008" s="7" t="n">
        <v>190801</v>
      </c>
      <c r="K9008" s="6" t="n">
        <v>368</v>
      </c>
      <c r="L9008" s="94" t="n">
        <v>190801</v>
      </c>
      <c r="M9008" s="94">
        <f>VLOOKUP($Q9008,매칭테이블!$F:$I,2,0)*K9008</f>
        <v/>
      </c>
      <c r="N9008" s="94">
        <f>M9008-M9008*VLOOKUP($Q9008,매칭테이블!$F:$I,3,0)</f>
        <v/>
      </c>
      <c r="O9008" s="94">
        <f>VLOOKUP($Q9008,매칭테이블!$F:$I,4,0)*K9008</f>
        <v/>
      </c>
      <c r="P9008" s="148">
        <f>M9008/1.1</f>
        <v/>
      </c>
      <c r="Q9008" s="94">
        <f>F9008&amp;E9008&amp;G9008&amp;L9008</f>
        <v/>
      </c>
    </row>
    <row r="9009" customFormat="1" s="94">
      <c r="B9009" s="128" t="n">
        <v>44080</v>
      </c>
      <c r="C9009" s="94">
        <f>TEXT(B9009,"aaa")</f>
        <v/>
      </c>
      <c r="E9009" s="94" t="inlineStr">
        <is>
          <t>수딩크림 증정기획</t>
        </is>
      </c>
      <c r="F9009" s="94" t="inlineStr">
        <is>
          <t>랄라블라</t>
        </is>
      </c>
      <c r="G9009" s="94" t="inlineStr">
        <is>
          <t>수딩크림 증정기획</t>
        </is>
      </c>
      <c r="H9009" s="7" t="n">
        <v>190801</v>
      </c>
      <c r="I9009" s="7" t="n">
        <v>190801</v>
      </c>
      <c r="K9009" s="94" t="n">
        <v>53</v>
      </c>
      <c r="L9009" s="94" t="n">
        <v>190801</v>
      </c>
      <c r="M9009" s="94">
        <f>VLOOKUP($Q9009,매칭테이블!$F:$I,2,0)*K9009</f>
        <v/>
      </c>
      <c r="N9009" s="94">
        <f>M9009-M9009*VLOOKUP($Q9009,매칭테이블!$F:$I,3,0)</f>
        <v/>
      </c>
      <c r="O9009" s="94">
        <f>VLOOKUP($Q9009,매칭테이블!$F:$I,4,0)*K9009</f>
        <v/>
      </c>
      <c r="P9009" s="148">
        <f>M9009/1.1</f>
        <v/>
      </c>
      <c r="Q9009" s="94">
        <f>F9009&amp;E9009&amp;G9009&amp;L9009</f>
        <v/>
      </c>
    </row>
    <row r="9010" customFormat="1" s="94">
      <c r="B9010" s="128" t="n">
        <v>44080</v>
      </c>
      <c r="C9010" s="94">
        <f>TEXT(B9010,"aaa")</f>
        <v/>
      </c>
      <c r="E9010" s="94" t="inlineStr">
        <is>
          <t>수딩크림</t>
        </is>
      </c>
      <c r="F9010" s="94" t="inlineStr">
        <is>
          <t>랄라블라</t>
        </is>
      </c>
      <c r="G9010" s="94" t="inlineStr">
        <is>
          <t>수딩크림 100ml</t>
        </is>
      </c>
      <c r="H9010" s="7" t="n">
        <v>190801</v>
      </c>
      <c r="I9010" s="7" t="n">
        <v>190801</v>
      </c>
      <c r="K9010" s="94" t="n">
        <v>28</v>
      </c>
      <c r="L9010" s="94" t="n">
        <v>190801</v>
      </c>
      <c r="M9010" s="94">
        <f>VLOOKUP($Q9010,매칭테이블!$F:$I,2,0)*K9010</f>
        <v/>
      </c>
      <c r="N9010" s="94">
        <f>M9010-M9010*VLOOKUP($Q9010,매칭테이블!$F:$I,3,0)</f>
        <v/>
      </c>
      <c r="O9010" s="94">
        <f>VLOOKUP($Q9010,매칭테이블!$F:$I,4,0)*K9010</f>
        <v/>
      </c>
      <c r="P9010" s="148">
        <f>M9010/1.1</f>
        <v/>
      </c>
      <c r="Q9010" s="94">
        <f>F9010&amp;E9010&amp;G9010&amp;L9010</f>
        <v/>
      </c>
    </row>
    <row r="9011" customFormat="1" s="94">
      <c r="B9011" s="128" t="n">
        <v>44080</v>
      </c>
      <c r="C9011" s="94">
        <f>TEXT(B9011,"aaa")</f>
        <v/>
      </c>
      <c r="E9011" s="94" t="inlineStr">
        <is>
          <t>앰플 기획세트</t>
        </is>
      </c>
      <c r="F9011" s="94" t="inlineStr">
        <is>
          <t>랄라블라</t>
        </is>
      </c>
      <c r="G9011" s="94" t="inlineStr">
        <is>
          <t>앰플 기획세트</t>
        </is>
      </c>
      <c r="H9011" s="7" t="n">
        <v>190801</v>
      </c>
      <c r="I9011" s="7" t="n">
        <v>190801</v>
      </c>
      <c r="K9011" s="94" t="n">
        <v>130</v>
      </c>
      <c r="L9011" s="94" t="n">
        <v>190801</v>
      </c>
      <c r="M9011" s="94">
        <f>VLOOKUP($Q9011,매칭테이블!$F:$I,2,0)*K9011</f>
        <v/>
      </c>
      <c r="N9011" s="94">
        <f>M9011-M9011*VLOOKUP($Q9011,매칭테이블!$F:$I,3,0)</f>
        <v/>
      </c>
      <c r="O9011" s="94">
        <f>VLOOKUP($Q9011,매칭테이블!$F:$I,4,0)*K9011</f>
        <v/>
      </c>
      <c r="P9011" s="148">
        <f>M9011/1.1</f>
        <v/>
      </c>
      <c r="Q9011" s="94">
        <f>F9011&amp;E9011&amp;G9011&amp;L9011</f>
        <v/>
      </c>
    </row>
    <row r="9012" customFormat="1" s="94">
      <c r="B9012" s="128" t="n">
        <v>44080</v>
      </c>
      <c r="C9012" s="94">
        <f>TEXT(B9012,"aaa")</f>
        <v/>
      </c>
      <c r="E9012" s="94" t="inlineStr">
        <is>
          <t>클렌징폼 기획세트</t>
        </is>
      </c>
      <c r="F9012" s="94" t="inlineStr">
        <is>
          <t>랄라블라</t>
        </is>
      </c>
      <c r="G9012" s="94" t="inlineStr">
        <is>
          <t>클렌징폼 기획세트</t>
        </is>
      </c>
      <c r="H9012" s="7" t="n">
        <v>190801</v>
      </c>
      <c r="I9012" s="7" t="n">
        <v>190801</v>
      </c>
      <c r="K9012" s="94" t="n">
        <v>12</v>
      </c>
      <c r="L9012" s="94" t="n">
        <v>190801</v>
      </c>
      <c r="M9012" s="94">
        <f>VLOOKUP($Q9012,매칭테이블!$F:$I,2,0)*K9012</f>
        <v/>
      </c>
      <c r="N9012" s="94">
        <f>M9012-M9012*VLOOKUP($Q9012,매칭테이블!$F:$I,3,0)</f>
        <v/>
      </c>
      <c r="O9012" s="94">
        <f>VLOOKUP($Q9012,매칭테이블!$F:$I,4,0)*K9012</f>
        <v/>
      </c>
      <c r="P9012" s="148">
        <f>M9012/1.1</f>
        <v/>
      </c>
      <c r="Q9012" s="94">
        <f>F9012&amp;E9012&amp;G9012&amp;L9012</f>
        <v/>
      </c>
    </row>
    <row r="9013" customFormat="1" s="94">
      <c r="B9013" s="128" t="n">
        <v>44080</v>
      </c>
      <c r="C9013" s="94">
        <f>TEXT(B9013,"aaa")</f>
        <v/>
      </c>
      <c r="E9013" s="94" t="inlineStr">
        <is>
          <t>클렌징폼</t>
        </is>
      </c>
      <c r="F9013" s="94" t="inlineStr">
        <is>
          <t>랄라블라</t>
        </is>
      </c>
      <c r="G9013" s="94" t="inlineStr">
        <is>
          <t>클렌징폼 120ml</t>
        </is>
      </c>
      <c r="H9013" s="7" t="n">
        <v>190801</v>
      </c>
      <c r="I9013" s="7" t="n">
        <v>190801</v>
      </c>
      <c r="K9013" s="6" t="n">
        <v>50</v>
      </c>
      <c r="L9013" s="7" t="n">
        <v>190801</v>
      </c>
      <c r="M9013" s="94">
        <f>VLOOKUP($Q9013,매칭테이블!$F:$I,2,0)*K9013</f>
        <v/>
      </c>
      <c r="N9013" s="94">
        <f>M9013-M9013*VLOOKUP($Q9013,매칭테이블!$F:$I,3,0)</f>
        <v/>
      </c>
      <c r="O9013" s="94">
        <f>VLOOKUP($Q9013,매칭테이블!$F:$I,4,0)*K9013</f>
        <v/>
      </c>
      <c r="P9013" s="148">
        <f>M9013/1.1</f>
        <v/>
      </c>
      <c r="Q9013" s="94">
        <f>F9013&amp;E9013&amp;G9013&amp;L9013</f>
        <v/>
      </c>
    </row>
    <row r="9014" customFormat="1" s="94">
      <c r="B9014" s="128" t="n">
        <v>44080</v>
      </c>
      <c r="C9014" s="94">
        <f>TEXT(B9014,"aaa")</f>
        <v/>
      </c>
      <c r="E9014" s="94" t="inlineStr">
        <is>
          <t>토너 증정기획</t>
        </is>
      </c>
      <c r="F9014" s="94" t="inlineStr">
        <is>
          <t>랄라블라</t>
        </is>
      </c>
      <c r="G9014" s="94" t="inlineStr">
        <is>
          <t>토너 증정기획</t>
        </is>
      </c>
      <c r="H9014" s="7" t="n">
        <v>190801</v>
      </c>
      <c r="I9014" s="7" t="n">
        <v>190801</v>
      </c>
      <c r="K9014" s="6" t="n">
        <v>3</v>
      </c>
      <c r="L9014" s="7" t="n">
        <v>190801</v>
      </c>
      <c r="M9014" s="94">
        <f>VLOOKUP($Q9014,매칭테이블!$F:$I,2,0)*K9014</f>
        <v/>
      </c>
      <c r="N9014" s="94">
        <f>M9014-M9014*VLOOKUP($Q9014,매칭테이블!$F:$I,3,0)</f>
        <v/>
      </c>
      <c r="O9014" s="94">
        <f>VLOOKUP($Q9014,매칭테이블!$F:$I,4,0)*K9014</f>
        <v/>
      </c>
      <c r="P9014" s="148">
        <f>M9014/1.1</f>
        <v/>
      </c>
      <c r="Q9014" s="94">
        <f>F9014&amp;E9014&amp;G9014&amp;L9014</f>
        <v/>
      </c>
    </row>
    <row r="9015" customFormat="1" s="94">
      <c r="B9015" s="128" t="n">
        <v>44080</v>
      </c>
      <c r="C9015" s="94">
        <f>TEXT(B9015,"aaa")</f>
        <v/>
      </c>
      <c r="E9015" s="94" t="inlineStr">
        <is>
          <t>선크림</t>
        </is>
      </c>
      <c r="F9015" s="94" t="inlineStr">
        <is>
          <t>랄라블라</t>
        </is>
      </c>
      <c r="G9015" s="94" t="inlineStr">
        <is>
          <t>선크림 50ml</t>
        </is>
      </c>
      <c r="H9015" s="7" t="n">
        <v>190801</v>
      </c>
      <c r="I9015" s="7" t="n">
        <v>190801</v>
      </c>
      <c r="K9015" s="94" t="n">
        <v>24</v>
      </c>
      <c r="L9015" s="94" t="n">
        <v>190801</v>
      </c>
      <c r="M9015" s="94">
        <f>VLOOKUP($Q9015,매칭테이블!$F:$I,2,0)*K9015</f>
        <v/>
      </c>
      <c r="N9015" s="94">
        <f>M9015-M9015*VLOOKUP($Q9015,매칭테이블!$F:$I,3,0)</f>
        <v/>
      </c>
      <c r="O9015" s="94">
        <f>VLOOKUP($Q9015,매칭테이블!$F:$I,4,0)*K9015</f>
        <v/>
      </c>
      <c r="P9015" s="148">
        <f>M9015/1.1</f>
        <v/>
      </c>
      <c r="Q9015" s="94">
        <f>F9015&amp;E9015&amp;G9015&amp;L9015</f>
        <v/>
      </c>
    </row>
    <row r="9016" customFormat="1" s="94">
      <c r="B9016" s="128" t="n">
        <v>44080</v>
      </c>
      <c r="C9016" s="94">
        <f>TEXT(B9016,"aaa")</f>
        <v/>
      </c>
      <c r="E9016" s="94" t="inlineStr">
        <is>
          <t>대용량 기획세트</t>
        </is>
      </c>
      <c r="F9016" s="94" t="inlineStr">
        <is>
          <t>랄라블라</t>
        </is>
      </c>
      <c r="G9016" s="94" t="inlineStr">
        <is>
          <t>대용량 기획세트</t>
        </is>
      </c>
      <c r="H9016" s="7" t="n">
        <v>190801</v>
      </c>
      <c r="I9016" s="7" t="n">
        <v>190801</v>
      </c>
      <c r="K9016" s="94" t="n">
        <v>8</v>
      </c>
      <c r="L9016" s="94" t="n">
        <v>190801</v>
      </c>
      <c r="M9016" s="94">
        <f>VLOOKUP($Q9016,매칭테이블!$F:$I,2,0)*K9016</f>
        <v/>
      </c>
      <c r="N9016" s="94">
        <f>M9016-M9016*VLOOKUP($Q9016,매칭테이블!$F:$I,3,0)</f>
        <v/>
      </c>
      <c r="O9016" s="94">
        <f>VLOOKUP($Q9016,매칭테이블!$F:$I,4,0)*K9016</f>
        <v/>
      </c>
      <c r="P9016" s="148">
        <f>M9016/1.1</f>
        <v/>
      </c>
      <c r="Q9016" s="94">
        <f>F9016&amp;E9016&amp;G9016&amp;L9016</f>
        <v/>
      </c>
    </row>
    <row r="9017" customFormat="1" s="94">
      <c r="B9017" s="128" t="n">
        <v>44080</v>
      </c>
      <c r="C9017" s="94">
        <f>TEXT(B9017,"aaa")</f>
        <v/>
      </c>
      <c r="E9017" s="94" t="inlineStr">
        <is>
          <t>마스크팩</t>
        </is>
      </c>
      <c r="F9017" s="94" t="inlineStr">
        <is>
          <t>랄라블라</t>
        </is>
      </c>
      <c r="G9017" s="94" t="inlineStr">
        <is>
          <t>마스크 5+1 기획세트</t>
        </is>
      </c>
      <c r="H9017" s="7" t="n">
        <v>190801</v>
      </c>
      <c r="I9017" s="7" t="n">
        <v>190801</v>
      </c>
      <c r="K9017" s="6" t="n">
        <v>237</v>
      </c>
      <c r="L9017" s="94" t="n">
        <v>190801</v>
      </c>
      <c r="M9017" s="94">
        <f>VLOOKUP($Q9017,매칭테이블!$F:$I,2,0)*K9017</f>
        <v/>
      </c>
      <c r="N9017" s="94">
        <f>M9017-M9017*VLOOKUP($Q9017,매칭테이블!$F:$I,3,0)</f>
        <v/>
      </c>
      <c r="O9017" s="94">
        <f>VLOOKUP($Q9017,매칭테이블!$F:$I,4,0)*K9017</f>
        <v/>
      </c>
      <c r="P9017" s="148">
        <f>M9017/1.1</f>
        <v/>
      </c>
      <c r="Q9017" s="94">
        <f>F9017&amp;E9017&amp;G9017&amp;L9017</f>
        <v/>
      </c>
    </row>
    <row r="9018" customFormat="1" s="94">
      <c r="B9018" s="128" t="n">
        <v>44080</v>
      </c>
      <c r="C9018" s="94">
        <f>TEXT(B9018,"aaa")</f>
        <v/>
      </c>
      <c r="E9018" s="94" t="inlineStr">
        <is>
          <t>머드크림마스크</t>
        </is>
      </c>
      <c r="F9018" s="94" t="inlineStr">
        <is>
          <t>랄라블라</t>
        </is>
      </c>
      <c r="G9018" s="94" t="inlineStr">
        <is>
          <t>머드크림마스크 100ml</t>
        </is>
      </c>
      <c r="H9018" s="7" t="n">
        <v>190801</v>
      </c>
      <c r="I9018" s="7" t="n">
        <v>190801</v>
      </c>
      <c r="K9018" s="6" t="n">
        <v>1</v>
      </c>
      <c r="L9018" s="94" t="n">
        <v>190801</v>
      </c>
      <c r="M9018" s="94">
        <f>VLOOKUP($Q9018,매칭테이블!$F:$I,2,0)*K9018</f>
        <v/>
      </c>
      <c r="N9018" s="94">
        <f>M9018-M9018*VLOOKUP($Q9018,매칭테이블!$F:$I,3,0)</f>
        <v/>
      </c>
      <c r="O9018" s="94">
        <f>VLOOKUP($Q9018,매칭테이블!$F:$I,4,0)*K9018</f>
        <v/>
      </c>
      <c r="P9018" s="148">
        <f>M9018/1.1</f>
        <v/>
      </c>
      <c r="Q9018" s="94">
        <f>F9018&amp;E9018&amp;G9018&amp;L9018</f>
        <v/>
      </c>
    </row>
    <row r="9019" customFormat="1" s="94">
      <c r="B9019" s="128" t="n">
        <v>44081</v>
      </c>
      <c r="C9019" s="94">
        <f>TEXT(B9019,"aaa")</f>
        <v/>
      </c>
      <c r="E9019" s="94" t="inlineStr">
        <is>
          <t>토너</t>
        </is>
      </c>
      <c r="F9019" s="94" t="inlineStr">
        <is>
          <t>스타일쉐어</t>
        </is>
      </c>
      <c r="G9019" s="94" t="inlineStr">
        <is>
          <t>250ml</t>
        </is>
      </c>
      <c r="H9019" s="7" t="n">
        <v>190801</v>
      </c>
      <c r="I9019" s="7" t="n">
        <v>190801</v>
      </c>
      <c r="K9019" s="6" t="n">
        <v>16</v>
      </c>
      <c r="L9019" s="94" t="n">
        <v>190801</v>
      </c>
      <c r="M9019" s="94">
        <f>VLOOKUP($Q9019,매칭테이블!$F:$I,2,0)*K9019</f>
        <v/>
      </c>
      <c r="N9019" s="94">
        <f>M9019-M9019*VLOOKUP($Q9019,매칭테이블!$F:$I,3,0)</f>
        <v/>
      </c>
      <c r="O9019" s="94">
        <f>VLOOKUP($Q9019,매칭테이블!$F:$I,4,0)*K9019</f>
        <v/>
      </c>
      <c r="P9019" s="148">
        <f>M9019/1.1</f>
        <v/>
      </c>
      <c r="Q9019" s="94">
        <f>F9019&amp;E9019&amp;G9019&amp;L9019</f>
        <v/>
      </c>
    </row>
    <row r="9020" customFormat="1" s="94">
      <c r="B9020" s="128" t="n">
        <v>44081</v>
      </c>
      <c r="C9020" s="94">
        <f>TEXT(B9020,"aaa")</f>
        <v/>
      </c>
      <c r="E9020" s="94" t="inlineStr">
        <is>
          <t>앰플</t>
        </is>
      </c>
      <c r="F9020" s="94" t="inlineStr">
        <is>
          <t>아누아 CS</t>
        </is>
      </c>
      <c r="G9020" s="94" t="inlineStr">
        <is>
          <t>앰플 30ml</t>
        </is>
      </c>
      <c r="H9020" s="7" t="n">
        <v>190801</v>
      </c>
      <c r="I9020" s="7" t="n">
        <v>190801</v>
      </c>
      <c r="K9020" s="6" t="n">
        <v>8</v>
      </c>
      <c r="L9020" s="94" t="n">
        <v>190801</v>
      </c>
      <c r="M9020" s="94">
        <f>VLOOKUP($Q9020,매칭테이블!$F:$I,2,0)*K9020</f>
        <v/>
      </c>
      <c r="N9020" s="94">
        <f>M9020-M9020*VLOOKUP($Q9020,매칭테이블!$F:$I,3,0)</f>
        <v/>
      </c>
      <c r="O9020" s="94">
        <f>VLOOKUP($Q9020,매칭테이블!$F:$I,4,0)*K9020</f>
        <v/>
      </c>
      <c r="P9020" s="148">
        <f>M9020/1.1</f>
        <v/>
      </c>
      <c r="Q9020" s="94">
        <f>F9020&amp;E9020&amp;G9020&amp;L9020</f>
        <v/>
      </c>
    </row>
    <row r="9021" customFormat="1" s="94">
      <c r="B9021" s="128" t="n">
        <v>44081</v>
      </c>
      <c r="C9021" s="94">
        <f>TEXT(B9021,"aaa")</f>
        <v/>
      </c>
      <c r="E9021" s="94" t="inlineStr">
        <is>
          <t>선크림</t>
        </is>
      </c>
      <c r="F9021" s="94" t="inlineStr">
        <is>
          <t>카페24</t>
        </is>
      </c>
      <c r="G9021" s="94" t="inlineStr">
        <is>
          <t>선크림 50ml</t>
        </is>
      </c>
      <c r="H9021" s="7" t="n">
        <v>190801</v>
      </c>
      <c r="I9021" s="7" t="n">
        <v>190801</v>
      </c>
      <c r="K9021" s="6" t="n">
        <v>1</v>
      </c>
      <c r="L9021" s="94" t="n">
        <v>190801</v>
      </c>
      <c r="M9021" s="94">
        <f>VLOOKUP($Q9021,매칭테이블!$F:$I,2,0)*K9021</f>
        <v/>
      </c>
      <c r="N9021" s="94">
        <f>M9021-M9021*VLOOKUP($Q9021,매칭테이블!$F:$I,3,0)</f>
        <v/>
      </c>
      <c r="O9021" s="94">
        <f>VLOOKUP($Q9021,매칭테이블!$F:$I,4,0)*K9021</f>
        <v/>
      </c>
      <c r="P9021" s="148">
        <f>M9021/1.1</f>
        <v/>
      </c>
      <c r="Q9021" s="94">
        <f>F9021&amp;E9021&amp;G9021&amp;L9021</f>
        <v/>
      </c>
    </row>
    <row r="9022" customFormat="1" s="94">
      <c r="B9022" s="128" t="n">
        <v>44081</v>
      </c>
      <c r="C9022" s="94">
        <f>TEXT(B9022,"aaa")</f>
        <v/>
      </c>
      <c r="E9022" s="94" t="inlineStr">
        <is>
          <t>선크림</t>
        </is>
      </c>
      <c r="F9022" s="94" t="inlineStr">
        <is>
          <t>카페24</t>
        </is>
      </c>
      <c r="G9022" s="94" t="inlineStr">
        <is>
          <t>선크림 50ml  2set</t>
        </is>
      </c>
      <c r="H9022" s="7" t="n">
        <v>190801</v>
      </c>
      <c r="I9022" s="7" t="n">
        <v>190801</v>
      </c>
      <c r="K9022" s="6" t="n">
        <v>1</v>
      </c>
      <c r="L9022" s="94" t="n">
        <v>190801</v>
      </c>
      <c r="M9022" s="94">
        <f>VLOOKUP($Q9022,매칭테이블!$F:$I,2,0)*K9022</f>
        <v/>
      </c>
      <c r="N9022" s="94">
        <f>M9022-M9022*VLOOKUP($Q9022,매칭테이블!$F:$I,3,0)</f>
        <v/>
      </c>
      <c r="O9022" s="94">
        <f>VLOOKUP($Q9022,매칭테이블!$F:$I,4,0)*K9022</f>
        <v/>
      </c>
      <c r="P9022" s="148">
        <f>M9022/1.1</f>
        <v/>
      </c>
      <c r="Q9022" s="94">
        <f>F9022&amp;E9022&amp;G9022&amp;L9022</f>
        <v/>
      </c>
    </row>
    <row r="9023" customFormat="1" s="94">
      <c r="B9023" s="128" t="n">
        <v>44081</v>
      </c>
      <c r="C9023" s="94">
        <f>TEXT(B9023,"aaa")</f>
        <v/>
      </c>
      <c r="E9023" s="94" t="inlineStr">
        <is>
          <t>여름 한정 진정세트</t>
        </is>
      </c>
      <c r="F9023" s="94" t="inlineStr">
        <is>
          <t>카페24</t>
        </is>
      </c>
      <c r="G9023" s="94" t="inlineStr">
        <is>
          <t>여름 한정 진정세트</t>
        </is>
      </c>
      <c r="H9023" s="7" t="n">
        <v>190801</v>
      </c>
      <c r="I9023" s="7" t="n">
        <v>190801</v>
      </c>
      <c r="K9023" s="6" t="n">
        <v>2</v>
      </c>
      <c r="L9023" s="94" t="n">
        <v>190801</v>
      </c>
      <c r="M9023" s="94">
        <f>VLOOKUP($Q9023,매칭테이블!$F:$I,2,0)*K9023</f>
        <v/>
      </c>
      <c r="N9023" s="94">
        <f>M9023-M9023*VLOOKUP($Q9023,매칭테이블!$F:$I,3,0)</f>
        <v/>
      </c>
      <c r="O9023" s="94">
        <f>VLOOKUP($Q9023,매칭테이블!$F:$I,4,0)*K9023</f>
        <v/>
      </c>
      <c r="P9023" s="148">
        <f>M9023/1.1</f>
        <v/>
      </c>
      <c r="Q9023" s="94">
        <f>F9023&amp;E9023&amp;G9023&amp;L9023</f>
        <v/>
      </c>
    </row>
    <row r="9024" customFormat="1" s="94">
      <c r="B9024" s="128" t="n">
        <v>44081</v>
      </c>
      <c r="C9024" s="94">
        <f>TEXT(B9024,"aaa")</f>
        <v/>
      </c>
      <c r="E9024" s="94" t="inlineStr">
        <is>
          <t>여름 한정 진정세트</t>
        </is>
      </c>
      <c r="F9024" s="94" t="inlineStr">
        <is>
          <t>카페24</t>
        </is>
      </c>
      <c r="G9024" s="94" t="inlineStr">
        <is>
          <t>여름 한정 진정세트 (대용량)</t>
        </is>
      </c>
      <c r="H9024" s="7" t="n">
        <v>190801</v>
      </c>
      <c r="I9024" s="7" t="n">
        <v>190801</v>
      </c>
      <c r="K9024" s="6" t="n">
        <v>1</v>
      </c>
      <c r="L9024" s="94" t="n">
        <v>190801</v>
      </c>
      <c r="M9024" s="94">
        <f>VLOOKUP($Q9024,매칭테이블!$F:$I,2,0)*K9024</f>
        <v/>
      </c>
      <c r="N9024" s="94">
        <f>M9024-M9024*VLOOKUP($Q9024,매칭테이블!$F:$I,3,0)</f>
        <v/>
      </c>
      <c r="O9024" s="94">
        <f>VLOOKUP($Q9024,매칭테이블!$F:$I,4,0)*K9024</f>
        <v/>
      </c>
      <c r="P9024" s="148">
        <f>M9024/1.1</f>
        <v/>
      </c>
      <c r="Q9024" s="94">
        <f>F9024&amp;E9024&amp;G9024&amp;L9024</f>
        <v/>
      </c>
    </row>
    <row r="9025" customFormat="1" s="94">
      <c r="B9025" s="128" t="n">
        <v>44081</v>
      </c>
      <c r="C9025" s="94">
        <f>TEXT(B9025,"aaa")</f>
        <v/>
      </c>
      <c r="E9025" s="94" t="inlineStr">
        <is>
          <t>어성초진정패키지</t>
        </is>
      </c>
      <c r="F9025" s="94" t="inlineStr">
        <is>
          <t>카페24</t>
        </is>
      </c>
      <c r="G9025" s="94" t="inlineStr">
        <is>
          <t>어성초 진정패키지세트</t>
        </is>
      </c>
      <c r="H9025" s="7" t="n">
        <v>190801</v>
      </c>
      <c r="I9025" s="7" t="n">
        <v>190801</v>
      </c>
      <c r="K9025" s="6" t="n">
        <v>7</v>
      </c>
      <c r="L9025" s="94" t="n">
        <v>190801</v>
      </c>
      <c r="M9025" s="94">
        <f>VLOOKUP($Q9025,매칭테이블!$F:$I,2,0)*K9025</f>
        <v/>
      </c>
      <c r="N9025" s="94">
        <f>M9025-M9025*VLOOKUP($Q9025,매칭테이블!$F:$I,3,0)</f>
        <v/>
      </c>
      <c r="O9025" s="94">
        <f>VLOOKUP($Q9025,매칭테이블!$F:$I,4,0)*K9025</f>
        <v/>
      </c>
      <c r="P9025" s="148">
        <f>M9025/1.1</f>
        <v/>
      </c>
      <c r="Q9025" s="94">
        <f>F9025&amp;E9025&amp;G9025&amp;L9025</f>
        <v/>
      </c>
    </row>
    <row r="9026" customFormat="1" s="94">
      <c r="B9026" s="128" t="n">
        <v>44081</v>
      </c>
      <c r="C9026" s="94">
        <f>TEXT(B9026,"aaa")</f>
        <v/>
      </c>
      <c r="E9026" s="94" t="inlineStr">
        <is>
          <t>머드크림마스크</t>
        </is>
      </c>
      <c r="F9026" s="94" t="inlineStr">
        <is>
          <t>카페24</t>
        </is>
      </c>
      <c r="G9026" s="94" t="inlineStr">
        <is>
          <t>머드크림마스크 100ml</t>
        </is>
      </c>
      <c r="H9026" s="7" t="n">
        <v>190801</v>
      </c>
      <c r="I9026" s="7" t="n">
        <v>190801</v>
      </c>
      <c r="K9026" s="6" t="n">
        <v>4</v>
      </c>
      <c r="L9026" s="94" t="n">
        <v>190801</v>
      </c>
      <c r="M9026" s="94">
        <f>VLOOKUP($Q9026,매칭테이블!$F:$I,2,0)*K9026</f>
        <v/>
      </c>
      <c r="N9026" s="94">
        <f>M9026-M9026*VLOOKUP($Q9026,매칭테이블!$F:$I,3,0)</f>
        <v/>
      </c>
      <c r="O9026" s="94">
        <f>VLOOKUP($Q9026,매칭테이블!$F:$I,4,0)*K9026</f>
        <v/>
      </c>
      <c r="P9026" s="148">
        <f>M9026/1.1</f>
        <v/>
      </c>
      <c r="Q9026" s="94">
        <f>F9026&amp;E9026&amp;G9026&amp;L9026</f>
        <v/>
      </c>
    </row>
    <row r="9027" customFormat="1" s="94">
      <c r="B9027" s="128" t="n">
        <v>44081</v>
      </c>
      <c r="C9027" s="94">
        <f>TEXT(B9027,"aaa")</f>
        <v/>
      </c>
      <c r="E9027" s="94" t="inlineStr">
        <is>
          <t>머드크림마스크</t>
        </is>
      </c>
      <c r="F9027" s="94" t="inlineStr">
        <is>
          <t>카페24</t>
        </is>
      </c>
      <c r="G9027" s="94" t="inlineStr">
        <is>
          <t>머드크림마스크 100ml 2set</t>
        </is>
      </c>
      <c r="H9027" s="7" t="n">
        <v>190801</v>
      </c>
      <c r="I9027" s="7" t="n">
        <v>190801</v>
      </c>
      <c r="K9027" s="6" t="n">
        <v>1</v>
      </c>
      <c r="L9027" s="94" t="n">
        <v>190801</v>
      </c>
      <c r="M9027" s="94">
        <f>VLOOKUP($Q9027,매칭테이블!$F:$I,2,0)*K9027</f>
        <v/>
      </c>
      <c r="N9027" s="94">
        <f>M9027-M9027*VLOOKUP($Q9027,매칭테이블!$F:$I,3,0)</f>
        <v/>
      </c>
      <c r="O9027" s="94">
        <f>VLOOKUP($Q9027,매칭테이블!$F:$I,4,0)*K9027</f>
        <v/>
      </c>
      <c r="P9027" s="148">
        <f>M9027/1.1</f>
        <v/>
      </c>
      <c r="Q9027" s="94">
        <f>F9027&amp;E9027&amp;G9027&amp;L9027</f>
        <v/>
      </c>
    </row>
    <row r="9028" customFormat="1" s="94">
      <c r="B9028" s="128" t="n">
        <v>44081</v>
      </c>
      <c r="C9028" s="94">
        <f>TEXT(B9028,"aaa")</f>
        <v/>
      </c>
      <c r="E9028" s="94" t="inlineStr">
        <is>
          <t>마스크팩</t>
        </is>
      </c>
      <c r="F9028" s="94" t="inlineStr">
        <is>
          <t>카페24</t>
        </is>
      </c>
      <c r="G9028" s="94" t="inlineStr">
        <is>
          <t>마스크팩 1매</t>
        </is>
      </c>
      <c r="H9028" s="7" t="n">
        <v>190801</v>
      </c>
      <c r="I9028" s="7" t="n">
        <v>190801</v>
      </c>
      <c r="K9028" s="6" t="n">
        <v>3</v>
      </c>
      <c r="L9028" s="94" t="n">
        <v>190801</v>
      </c>
      <c r="M9028" s="94">
        <f>VLOOKUP($Q9028,매칭테이블!$F:$I,2,0)*K9028</f>
        <v/>
      </c>
      <c r="N9028" s="94">
        <f>M9028-M9028*VLOOKUP($Q9028,매칭테이블!$F:$I,3,0)</f>
        <v/>
      </c>
      <c r="O9028" s="94">
        <f>VLOOKUP($Q9028,매칭테이블!$F:$I,4,0)*K9028</f>
        <v/>
      </c>
      <c r="P9028" s="148">
        <f>M9028/1.1</f>
        <v/>
      </c>
      <c r="Q9028" s="94">
        <f>F9028&amp;E9028&amp;G9028&amp;L9028</f>
        <v/>
      </c>
    </row>
    <row r="9029" customFormat="1" s="94">
      <c r="B9029" s="128" t="n">
        <v>44081</v>
      </c>
      <c r="C9029" s="94">
        <f>TEXT(B9029,"aaa")</f>
        <v/>
      </c>
      <c r="E9029" s="94" t="inlineStr">
        <is>
          <t>마스크팩</t>
        </is>
      </c>
      <c r="F9029" s="94" t="inlineStr">
        <is>
          <t>카페24</t>
        </is>
      </c>
      <c r="G9029" s="94" t="inlineStr">
        <is>
          <t>마스크팩 10매</t>
        </is>
      </c>
      <c r="H9029" s="7" t="n">
        <v>190801</v>
      </c>
      <c r="I9029" s="7" t="n">
        <v>190801</v>
      </c>
      <c r="K9029" s="6" t="n">
        <v>7</v>
      </c>
      <c r="L9029" s="94" t="n">
        <v>190801</v>
      </c>
      <c r="M9029" s="94">
        <f>VLOOKUP($Q9029,매칭테이블!$F:$I,2,0)*K9029</f>
        <v/>
      </c>
      <c r="N9029" s="94">
        <f>M9029-M9029*VLOOKUP($Q9029,매칭테이블!$F:$I,3,0)</f>
        <v/>
      </c>
      <c r="O9029" s="94">
        <f>VLOOKUP($Q9029,매칭테이블!$F:$I,4,0)*K9029</f>
        <v/>
      </c>
      <c r="P9029" s="148">
        <f>M9029/1.1</f>
        <v/>
      </c>
      <c r="Q9029" s="94">
        <f>F9029&amp;E9029&amp;G9029&amp;L9029</f>
        <v/>
      </c>
    </row>
    <row r="9030" customFormat="1" s="94">
      <c r="B9030" s="128" t="n">
        <v>44081</v>
      </c>
      <c r="C9030" s="94">
        <f>TEXT(B9030,"aaa")</f>
        <v/>
      </c>
      <c r="E9030" s="94" t="inlineStr">
        <is>
          <t>토너</t>
        </is>
      </c>
      <c r="F9030" s="94" t="inlineStr">
        <is>
          <t>카페24</t>
        </is>
      </c>
      <c r="G9030" s="94" t="inlineStr">
        <is>
          <t>250ml</t>
        </is>
      </c>
      <c r="H9030" s="7" t="n">
        <v>190801</v>
      </c>
      <c r="I9030" s="7" t="n">
        <v>190801</v>
      </c>
      <c r="K9030" s="6" t="n">
        <v>79</v>
      </c>
      <c r="L9030" s="94" t="n">
        <v>190801</v>
      </c>
      <c r="M9030" s="94">
        <f>VLOOKUP($Q9030,매칭테이블!$F:$I,2,0)*K9030</f>
        <v/>
      </c>
      <c r="N9030" s="94">
        <f>M9030-M9030*VLOOKUP($Q9030,매칭테이블!$F:$I,3,0)</f>
        <v/>
      </c>
      <c r="O9030" s="94">
        <f>VLOOKUP($Q9030,매칭테이블!$F:$I,4,0)*K9030</f>
        <v/>
      </c>
      <c r="P9030" s="148">
        <f>M9030/1.1</f>
        <v/>
      </c>
      <c r="Q9030" s="94">
        <f>F9030&amp;E9030&amp;G9030&amp;L9030</f>
        <v/>
      </c>
    </row>
    <row r="9031" customFormat="1" s="94">
      <c r="B9031" s="128" t="n">
        <v>44081</v>
      </c>
      <c r="C9031" s="94">
        <f>TEXT(B9031,"aaa")</f>
        <v/>
      </c>
      <c r="E9031" s="94" t="inlineStr">
        <is>
          <t>토너</t>
        </is>
      </c>
      <c r="F9031" s="94" t="inlineStr">
        <is>
          <t>카페24</t>
        </is>
      </c>
      <c r="G9031" s="94" t="inlineStr">
        <is>
          <t>250ml 2set</t>
        </is>
      </c>
      <c r="H9031" s="7" t="n">
        <v>190801</v>
      </c>
      <c r="I9031" s="7" t="n">
        <v>190801</v>
      </c>
      <c r="K9031" s="6" t="n">
        <v>64</v>
      </c>
      <c r="L9031" s="94" t="n">
        <v>190801</v>
      </c>
      <c r="M9031" s="94">
        <f>VLOOKUP($Q9031,매칭테이블!$F:$I,2,0)*K9031</f>
        <v/>
      </c>
      <c r="N9031" s="94">
        <f>M9031-M9031*VLOOKUP($Q9031,매칭테이블!$F:$I,3,0)</f>
        <v/>
      </c>
      <c r="O9031" s="94">
        <f>VLOOKUP($Q9031,매칭테이블!$F:$I,4,0)*K9031</f>
        <v/>
      </c>
      <c r="P9031" s="148">
        <f>M9031/1.1</f>
        <v/>
      </c>
      <c r="Q9031" s="94">
        <f>F9031&amp;E9031&amp;G9031&amp;L9031</f>
        <v/>
      </c>
    </row>
    <row r="9032" customFormat="1" s="94">
      <c r="B9032" s="128" t="n">
        <v>44081</v>
      </c>
      <c r="C9032" s="94">
        <f>TEXT(B9032,"aaa")</f>
        <v/>
      </c>
      <c r="E9032" s="94" t="inlineStr">
        <is>
          <t>토너</t>
        </is>
      </c>
      <c r="F9032" s="94" t="inlineStr">
        <is>
          <t>카페24</t>
        </is>
      </c>
      <c r="G9032" s="94" t="inlineStr">
        <is>
          <t>500ml</t>
        </is>
      </c>
      <c r="H9032" s="7" t="n">
        <v>190801</v>
      </c>
      <c r="I9032" s="7" t="n">
        <v>190801</v>
      </c>
      <c r="K9032" s="6" t="n">
        <v>77</v>
      </c>
      <c r="L9032" s="94" t="n">
        <v>190801</v>
      </c>
      <c r="M9032" s="94">
        <f>VLOOKUP($Q9032,매칭테이블!$F:$I,2,0)*K9032</f>
        <v/>
      </c>
      <c r="N9032" s="94">
        <f>M9032-M9032*VLOOKUP($Q9032,매칭테이블!$F:$I,3,0)</f>
        <v/>
      </c>
      <c r="O9032" s="94">
        <f>VLOOKUP($Q9032,매칭테이블!$F:$I,4,0)*K9032</f>
        <v/>
      </c>
      <c r="P9032" s="148">
        <f>M9032/1.1</f>
        <v/>
      </c>
      <c r="Q9032" s="94">
        <f>F9032&amp;E9032&amp;G9032&amp;L9032</f>
        <v/>
      </c>
    </row>
    <row r="9033" customFormat="1" s="94">
      <c r="B9033" s="128" t="n">
        <v>44081</v>
      </c>
      <c r="C9033" s="94">
        <f>TEXT(B9033,"aaa")</f>
        <v/>
      </c>
      <c r="E9033" s="94" t="inlineStr">
        <is>
          <t>토너</t>
        </is>
      </c>
      <c r="F9033" s="94" t="inlineStr">
        <is>
          <t>카페24</t>
        </is>
      </c>
      <c r="G9033" s="94" t="inlineStr">
        <is>
          <t>스킨팩 화장솜 60P</t>
        </is>
      </c>
      <c r="H9033" s="7" t="n">
        <v>190801</v>
      </c>
      <c r="I9033" s="7" t="n">
        <v>190801</v>
      </c>
      <c r="K9033" s="6" t="n">
        <v>51</v>
      </c>
      <c r="L9033" s="94" t="n">
        <v>190801</v>
      </c>
      <c r="M9033" s="94">
        <f>VLOOKUP($Q9033,매칭테이블!$F:$I,2,0)*K9033</f>
        <v/>
      </c>
      <c r="N9033" s="94">
        <f>M9033-M9033*VLOOKUP($Q9033,매칭테이블!$F:$I,3,0)</f>
        <v/>
      </c>
      <c r="O9033" s="94">
        <f>VLOOKUP($Q9033,매칭테이블!$F:$I,4,0)*K9033</f>
        <v/>
      </c>
      <c r="P9033" s="148">
        <f>M9033/1.1</f>
        <v/>
      </c>
      <c r="Q9033" s="94">
        <f>F9033&amp;E9033&amp;G9033&amp;L9033</f>
        <v/>
      </c>
    </row>
    <row r="9034" customFormat="1" s="94">
      <c r="B9034" s="128" t="n">
        <v>44081</v>
      </c>
      <c r="C9034" s="94">
        <f>TEXT(B9034,"aaa")</f>
        <v/>
      </c>
      <c r="E9034" s="94" t="inlineStr">
        <is>
          <t>앰플</t>
        </is>
      </c>
      <c r="F9034" s="94" t="inlineStr">
        <is>
          <t>카페24</t>
        </is>
      </c>
      <c r="G9034" s="94" t="inlineStr">
        <is>
          <t>앰플 30ml</t>
        </is>
      </c>
      <c r="H9034" s="7" t="n">
        <v>190801</v>
      </c>
      <c r="I9034" s="7" t="n">
        <v>190801</v>
      </c>
      <c r="K9034" s="6" t="n">
        <v>26</v>
      </c>
      <c r="L9034" s="94" t="n">
        <v>190801</v>
      </c>
      <c r="M9034" s="94">
        <f>VLOOKUP($Q9034,매칭테이블!$F:$I,2,0)*K9034</f>
        <v/>
      </c>
      <c r="N9034" s="94">
        <f>M9034-M9034*VLOOKUP($Q9034,매칭테이블!$F:$I,3,0)</f>
        <v/>
      </c>
      <c r="O9034" s="94">
        <f>VLOOKUP($Q9034,매칭테이블!$F:$I,4,0)*K9034</f>
        <v/>
      </c>
      <c r="P9034" s="148">
        <f>M9034/1.1</f>
        <v/>
      </c>
      <c r="Q9034" s="94">
        <f>F9034&amp;E9034&amp;G9034&amp;L9034</f>
        <v/>
      </c>
    </row>
    <row r="9035" customFormat="1" s="94">
      <c r="B9035" s="128" t="n">
        <v>44081</v>
      </c>
      <c r="C9035" s="94">
        <f>TEXT(B9035,"aaa")</f>
        <v/>
      </c>
      <c r="E9035" s="94" t="inlineStr">
        <is>
          <t>앰플</t>
        </is>
      </c>
      <c r="F9035" s="94" t="inlineStr">
        <is>
          <t>카페24</t>
        </is>
      </c>
      <c r="G9035" s="94" t="inlineStr">
        <is>
          <t>앰플 30ml  2set</t>
        </is>
      </c>
      <c r="H9035" s="7" t="n">
        <v>190801</v>
      </c>
      <c r="I9035" s="7" t="n">
        <v>190801</v>
      </c>
      <c r="K9035" s="6" t="n">
        <v>4</v>
      </c>
      <c r="L9035" s="94" t="n">
        <v>190801</v>
      </c>
      <c r="M9035" s="94">
        <f>VLOOKUP($Q9035,매칭테이블!$F:$I,2,0)*K9035</f>
        <v/>
      </c>
      <c r="N9035" s="94">
        <f>M9035-M9035*VLOOKUP($Q9035,매칭테이블!$F:$I,3,0)</f>
        <v/>
      </c>
      <c r="O9035" s="94">
        <f>VLOOKUP($Q9035,매칭테이블!$F:$I,4,0)*K9035</f>
        <v/>
      </c>
      <c r="P9035" s="148">
        <f>M9035/1.1</f>
        <v/>
      </c>
      <c r="Q9035" s="94">
        <f>F9035&amp;E9035&amp;G9035&amp;L9035</f>
        <v/>
      </c>
    </row>
    <row r="9036" customFormat="1" s="94">
      <c r="B9036" s="128" t="n">
        <v>44081</v>
      </c>
      <c r="C9036" s="94">
        <f>TEXT(B9036,"aaa")</f>
        <v/>
      </c>
      <c r="E9036" s="94" t="inlineStr">
        <is>
          <t>수딩크림</t>
        </is>
      </c>
      <c r="F9036" s="94" t="inlineStr">
        <is>
          <t>카페24</t>
        </is>
      </c>
      <c r="G9036" s="94" t="inlineStr">
        <is>
          <t>수딩크림 100ml</t>
        </is>
      </c>
      <c r="H9036" s="7" t="n">
        <v>190801</v>
      </c>
      <c r="I9036" s="7" t="n">
        <v>190801</v>
      </c>
      <c r="K9036" s="6" t="n">
        <v>9</v>
      </c>
      <c r="L9036" s="94" t="n">
        <v>190801</v>
      </c>
      <c r="M9036" s="94">
        <f>VLOOKUP($Q9036,매칭테이블!$F:$I,2,0)*K9036</f>
        <v/>
      </c>
      <c r="N9036" s="94">
        <f>M9036-M9036*VLOOKUP($Q9036,매칭테이블!$F:$I,3,0)</f>
        <v/>
      </c>
      <c r="O9036" s="94">
        <f>VLOOKUP($Q9036,매칭테이블!$F:$I,4,0)*K9036</f>
        <v/>
      </c>
      <c r="P9036" s="148">
        <f>M9036/1.1</f>
        <v/>
      </c>
      <c r="Q9036" s="94">
        <f>F9036&amp;E9036&amp;G9036&amp;L9036</f>
        <v/>
      </c>
    </row>
    <row r="9037" customFormat="1" s="94">
      <c r="B9037" s="128" t="n">
        <v>44081</v>
      </c>
      <c r="C9037" s="94">
        <f>TEXT(B9037,"aaa")</f>
        <v/>
      </c>
      <c r="E9037" s="94" t="inlineStr">
        <is>
          <t>클렌징폼</t>
        </is>
      </c>
      <c r="F9037" s="94" t="inlineStr">
        <is>
          <t>카페24</t>
        </is>
      </c>
      <c r="G9037" s="94" t="inlineStr">
        <is>
          <t>클렌징폼 120ml</t>
        </is>
      </c>
      <c r="H9037" s="7" t="n">
        <v>190801</v>
      </c>
      <c r="I9037" s="7" t="n">
        <v>190801</v>
      </c>
      <c r="K9037" s="6" t="n">
        <v>6</v>
      </c>
      <c r="L9037" s="94" t="n">
        <v>190801</v>
      </c>
      <c r="M9037" s="94">
        <f>VLOOKUP($Q9037,매칭테이블!$F:$I,2,0)*K9037</f>
        <v/>
      </c>
      <c r="N9037" s="94">
        <f>M9037-M9037*VLOOKUP($Q9037,매칭테이블!$F:$I,3,0)</f>
        <v/>
      </c>
      <c r="O9037" s="94">
        <f>VLOOKUP($Q9037,매칭테이블!$F:$I,4,0)*K9037</f>
        <v/>
      </c>
      <c r="P9037" s="148">
        <f>M9037/1.1</f>
        <v/>
      </c>
      <c r="Q9037" s="94">
        <f>F9037&amp;E9037&amp;G9037&amp;L9037</f>
        <v/>
      </c>
    </row>
    <row r="9038" customFormat="1" s="94">
      <c r="B9038" s="128" t="n">
        <v>44081</v>
      </c>
      <c r="C9038" s="94">
        <f>TEXT(B9038,"aaa")</f>
        <v/>
      </c>
      <c r="E9038" s="94" t="inlineStr">
        <is>
          <t>클렌징폼</t>
        </is>
      </c>
      <c r="F9038" s="94" t="inlineStr">
        <is>
          <t>카페24</t>
        </is>
      </c>
      <c r="G9038" s="94" t="inlineStr">
        <is>
          <t>클렌징폼 120ml 2set</t>
        </is>
      </c>
      <c r="H9038" s="7" t="n">
        <v>190801</v>
      </c>
      <c r="I9038" s="7" t="n">
        <v>190801</v>
      </c>
      <c r="K9038" s="6" t="n">
        <v>1</v>
      </c>
      <c r="L9038" s="94" t="n">
        <v>190801</v>
      </c>
      <c r="M9038" s="94">
        <f>VLOOKUP($Q9038,매칭테이블!$F:$I,2,0)*K9038</f>
        <v/>
      </c>
      <c r="N9038" s="94">
        <f>M9038-M9038*VLOOKUP($Q9038,매칭테이블!$F:$I,3,0)</f>
        <v/>
      </c>
      <c r="O9038" s="94">
        <f>VLOOKUP($Q9038,매칭테이블!$F:$I,4,0)*K9038</f>
        <v/>
      </c>
      <c r="P9038" s="148">
        <f>M9038/1.1</f>
        <v/>
      </c>
      <c r="Q9038" s="94">
        <f>F9038&amp;E9038&amp;G9038&amp;L9038</f>
        <v/>
      </c>
    </row>
    <row r="9039" customFormat="1" s="94">
      <c r="B9039" s="128" t="n">
        <v>44081</v>
      </c>
      <c r="C9039" s="94">
        <f>TEXT(B9039,"aaa")</f>
        <v/>
      </c>
      <c r="E9039" s="94" t="inlineStr">
        <is>
          <t>클렌징폼</t>
        </is>
      </c>
      <c r="F9039" s="94" t="inlineStr">
        <is>
          <t>카페24</t>
        </is>
      </c>
      <c r="G9039" s="94" t="inlineStr">
        <is>
          <t>클렌징폼 120ml 3set</t>
        </is>
      </c>
      <c r="H9039" s="7" t="n">
        <v>190801</v>
      </c>
      <c r="I9039" s="7" t="n">
        <v>190801</v>
      </c>
      <c r="K9039" s="6" t="n">
        <v>1</v>
      </c>
      <c r="L9039" s="94" t="n">
        <v>190801</v>
      </c>
      <c r="M9039" s="94">
        <f>VLOOKUP($Q9039,매칭테이블!$F:$I,2,0)*K9039</f>
        <v/>
      </c>
      <c r="N9039" s="94">
        <f>M9039-M9039*VLOOKUP($Q9039,매칭테이블!$F:$I,3,0)</f>
        <v/>
      </c>
      <c r="O9039" s="94">
        <f>VLOOKUP($Q9039,매칭테이블!$F:$I,4,0)*K9039</f>
        <v/>
      </c>
      <c r="P9039" s="148">
        <f>M9039/1.1</f>
        <v/>
      </c>
      <c r="Q9039" s="94">
        <f>F9039&amp;E9039&amp;G9039&amp;L9039</f>
        <v/>
      </c>
    </row>
    <row r="9040" customFormat="1" s="46">
      <c r="A9040" s="46" t="inlineStr">
        <is>
          <t>누락분 추가</t>
        </is>
      </c>
      <c r="B9040" s="128" t="n">
        <v>44080</v>
      </c>
      <c r="C9040" s="94">
        <f>TEXT(B9040,"aaa")</f>
        <v/>
      </c>
      <c r="E9040" s="46" t="inlineStr">
        <is>
          <t>토너</t>
        </is>
      </c>
      <c r="F9040" s="46" t="inlineStr">
        <is>
          <t>굿닥</t>
        </is>
      </c>
      <c r="G9040" s="46" t="inlineStr">
        <is>
          <t>250ml</t>
        </is>
      </c>
      <c r="H9040" s="47" t="n">
        <v>190801</v>
      </c>
      <c r="I9040" s="47" t="n">
        <v>190801</v>
      </c>
      <c r="K9040" s="48" t="n">
        <v>1</v>
      </c>
      <c r="L9040" s="46" t="n">
        <v>190801</v>
      </c>
      <c r="M9040" s="46">
        <f>VLOOKUP($Q9040,매칭테이블!$F:$I,2,0)*K9040</f>
        <v/>
      </c>
      <c r="N9040" s="46">
        <f>M9040-M9040*VLOOKUP($Q9040,매칭테이블!$F:$I,3,0)</f>
        <v/>
      </c>
      <c r="O9040" s="46">
        <f>VLOOKUP($Q9040,매칭테이블!$F:$I,4,0)*K9040</f>
        <v/>
      </c>
      <c r="P9040" s="151">
        <f>M9040/1.1</f>
        <v/>
      </c>
      <c r="Q9040" s="46">
        <f>F9040&amp;E9040&amp;G9040&amp;L9040</f>
        <v/>
      </c>
    </row>
    <row r="9041" customFormat="1" s="46">
      <c r="A9041" s="46" t="inlineStr">
        <is>
          <t>누락분 추가</t>
        </is>
      </c>
      <c r="B9041" s="128" t="n">
        <v>44075</v>
      </c>
      <c r="C9041" s="94">
        <f>TEXT(B9041,"aaa")</f>
        <v/>
      </c>
      <c r="E9041" s="46" t="inlineStr">
        <is>
          <t>토너</t>
        </is>
      </c>
      <c r="F9041" s="46" t="inlineStr">
        <is>
          <t>굿닥</t>
        </is>
      </c>
      <c r="G9041" s="46" t="inlineStr">
        <is>
          <t>250ml</t>
        </is>
      </c>
      <c r="H9041" s="47" t="n">
        <v>190801</v>
      </c>
      <c r="I9041" s="47" t="n">
        <v>190801</v>
      </c>
      <c r="K9041" s="48" t="n">
        <v>1</v>
      </c>
      <c r="L9041" s="46" t="n">
        <v>190801</v>
      </c>
      <c r="M9041" s="46">
        <f>VLOOKUP($Q9041,매칭테이블!$F:$I,2,0)*K9041</f>
        <v/>
      </c>
      <c r="N9041" s="46">
        <f>M9041-M9041*VLOOKUP($Q9041,매칭테이블!$F:$I,3,0)</f>
        <v/>
      </c>
      <c r="O9041" s="46">
        <f>VLOOKUP($Q9041,매칭테이블!$F:$I,4,0)*K9041</f>
        <v/>
      </c>
      <c r="P9041" s="151">
        <f>M9041/1.1</f>
        <v/>
      </c>
      <c r="Q9041" s="46">
        <f>F9041&amp;E9041&amp;G9041&amp;L9041</f>
        <v/>
      </c>
    </row>
    <row r="9042" customFormat="1" s="46">
      <c r="A9042" s="46" t="inlineStr">
        <is>
          <t>누락분 추가</t>
        </is>
      </c>
      <c r="B9042" s="128" t="n">
        <v>44070</v>
      </c>
      <c r="C9042" s="94">
        <f>TEXT(B9042,"aaa")</f>
        <v/>
      </c>
      <c r="E9042" s="46" t="inlineStr">
        <is>
          <t>선크림</t>
        </is>
      </c>
      <c r="F9042" s="46" t="inlineStr">
        <is>
          <t>굿닥</t>
        </is>
      </c>
      <c r="G9042" s="46" t="inlineStr">
        <is>
          <t>선크림 50ml</t>
        </is>
      </c>
      <c r="H9042" s="47" t="n">
        <v>190801</v>
      </c>
      <c r="I9042" s="47" t="n">
        <v>190801</v>
      </c>
      <c r="K9042" s="48" t="n">
        <v>1</v>
      </c>
      <c r="L9042" s="46" t="n">
        <v>190801</v>
      </c>
      <c r="M9042" s="46">
        <f>VLOOKUP($Q9042,매칭테이블!$F:$I,2,0)*K9042</f>
        <v/>
      </c>
      <c r="N9042" s="46">
        <f>M9042-M9042*VLOOKUP($Q9042,매칭테이블!$F:$I,3,0)</f>
        <v/>
      </c>
      <c r="O9042" s="46">
        <f>VLOOKUP($Q9042,매칭테이블!$F:$I,4,0)*K9042</f>
        <v/>
      </c>
      <c r="P9042" s="151">
        <f>M9042/1.1</f>
        <v/>
      </c>
      <c r="Q9042" s="46">
        <f>F9042&amp;E9042&amp;G9042&amp;L9042</f>
        <v/>
      </c>
    </row>
    <row r="9043" customFormat="1" s="46">
      <c r="A9043" s="46" t="inlineStr">
        <is>
          <t>누락분 추가</t>
        </is>
      </c>
      <c r="B9043" s="128" t="n">
        <v>44071</v>
      </c>
      <c r="C9043" s="94">
        <f>TEXT(B9043,"aaa")</f>
        <v/>
      </c>
      <c r="E9043" s="46" t="inlineStr">
        <is>
          <t>토너</t>
        </is>
      </c>
      <c r="F9043" s="46" t="inlineStr">
        <is>
          <t>굿닥</t>
        </is>
      </c>
      <c r="G9043" s="46" t="inlineStr">
        <is>
          <t>250ml</t>
        </is>
      </c>
      <c r="H9043" s="47" t="n">
        <v>190801</v>
      </c>
      <c r="I9043" s="47" t="n">
        <v>190801</v>
      </c>
      <c r="K9043" s="48" t="n">
        <v>1</v>
      </c>
      <c r="L9043" s="46" t="n">
        <v>190801</v>
      </c>
      <c r="M9043" s="46">
        <f>VLOOKUP($Q9043,매칭테이블!$F:$I,2,0)*K9043</f>
        <v/>
      </c>
      <c r="N9043" s="46">
        <f>M9043-M9043*VLOOKUP($Q9043,매칭테이블!$F:$I,3,0)</f>
        <v/>
      </c>
      <c r="O9043" s="46">
        <f>VLOOKUP($Q9043,매칭테이블!$F:$I,4,0)*K9043</f>
        <v/>
      </c>
      <c r="P9043" s="151">
        <f>M9043/1.1</f>
        <v/>
      </c>
      <c r="Q9043" s="46">
        <f>F9043&amp;E9043&amp;G9043&amp;L9043</f>
        <v/>
      </c>
    </row>
    <row r="9044" customFormat="1" s="94">
      <c r="B9044" s="128" t="n">
        <v>44082</v>
      </c>
      <c r="C9044" s="94">
        <f>TEXT(B9044,"aaa")</f>
        <v/>
      </c>
      <c r="E9044" s="94" t="inlineStr">
        <is>
          <t>토너</t>
        </is>
      </c>
      <c r="F9044" s="94" t="inlineStr">
        <is>
          <t>W컨셉</t>
        </is>
      </c>
      <c r="G9044" s="94" t="inlineStr">
        <is>
          <t>250ml</t>
        </is>
      </c>
      <c r="H9044" s="94" t="n">
        <v>200801</v>
      </c>
      <c r="I9044" s="94" t="n">
        <v>200801</v>
      </c>
      <c r="K9044" s="6" t="n">
        <v>5</v>
      </c>
      <c r="L9044" s="94" t="n">
        <v>200801</v>
      </c>
      <c r="M9044" s="94">
        <f>VLOOKUP($Q9044,매칭테이블!$F:$I,2,0)*K9044</f>
        <v/>
      </c>
      <c r="N9044" s="94">
        <f>M9044-M9044*VLOOKUP($Q9044,매칭테이블!$F:$I,3,0)</f>
        <v/>
      </c>
      <c r="O9044" s="94">
        <f>VLOOKUP($Q9044,매칭테이블!$F:$I,4,0)*K9044</f>
        <v/>
      </c>
      <c r="P9044" s="148">
        <f>M9044/1.1</f>
        <v/>
      </c>
      <c r="Q9044" s="94">
        <f>F9044&amp;E9044&amp;G9044&amp;L9044</f>
        <v/>
      </c>
    </row>
    <row r="9045" customFormat="1" s="94">
      <c r="B9045" s="128" t="n">
        <v>44082</v>
      </c>
      <c r="C9045" s="94">
        <f>TEXT(B9045,"aaa")</f>
        <v/>
      </c>
      <c r="E9045" s="94" t="inlineStr">
        <is>
          <t>토너</t>
        </is>
      </c>
      <c r="F9045" s="94" t="inlineStr">
        <is>
          <t>W컨셉</t>
        </is>
      </c>
      <c r="G9045" s="94" t="inlineStr">
        <is>
          <t>250ml 2set</t>
        </is>
      </c>
      <c r="H9045" s="94" t="n">
        <v>200801</v>
      </c>
      <c r="I9045" s="94" t="n">
        <v>200801</v>
      </c>
      <c r="K9045" s="6" t="n">
        <v>18</v>
      </c>
      <c r="L9045" s="94" t="n">
        <v>200801</v>
      </c>
      <c r="M9045" s="94">
        <f>VLOOKUP($Q9045,매칭테이블!$F:$I,2,0)*K9045</f>
        <v/>
      </c>
      <c r="N9045" s="94">
        <f>M9045-M9045*VLOOKUP($Q9045,매칭테이블!$F:$I,3,0)</f>
        <v/>
      </c>
      <c r="O9045" s="94">
        <f>VLOOKUP($Q9045,매칭테이블!$F:$I,4,0)*K9045</f>
        <v/>
      </c>
      <c r="P9045" s="148">
        <f>M9045/1.1</f>
        <v/>
      </c>
      <c r="Q9045" s="94">
        <f>F9045&amp;E9045&amp;G9045&amp;L9045</f>
        <v/>
      </c>
    </row>
    <row r="9046" customFormat="1" s="94">
      <c r="B9046" s="128" t="n">
        <v>44082</v>
      </c>
      <c r="C9046" s="94">
        <f>TEXT(B9046,"aaa")</f>
        <v/>
      </c>
      <c r="E9046" s="94" t="inlineStr">
        <is>
          <t>토너</t>
        </is>
      </c>
      <c r="F9046" s="94" t="inlineStr">
        <is>
          <t>스타일쉐어</t>
        </is>
      </c>
      <c r="G9046" s="94" t="inlineStr">
        <is>
          <t>250ml</t>
        </is>
      </c>
      <c r="H9046" s="94" t="n">
        <v>200801</v>
      </c>
      <c r="I9046" s="94" t="n">
        <v>200801</v>
      </c>
      <c r="K9046" s="6" t="n">
        <v>4</v>
      </c>
      <c r="L9046" s="94" t="n">
        <v>200801</v>
      </c>
      <c r="M9046" s="94">
        <f>VLOOKUP($Q9046,매칭테이블!$F:$I,2,0)*K9046</f>
        <v/>
      </c>
      <c r="N9046" s="94">
        <f>M9046-M9046*VLOOKUP($Q9046,매칭테이블!$F:$I,3,0)</f>
        <v/>
      </c>
      <c r="O9046" s="94">
        <f>VLOOKUP($Q9046,매칭테이블!$F:$I,4,0)*K9046</f>
        <v/>
      </c>
      <c r="P9046" s="148">
        <f>M9046/1.1</f>
        <v/>
      </c>
      <c r="Q9046" s="94">
        <f>F9046&amp;E9046&amp;G9046&amp;L9046</f>
        <v/>
      </c>
    </row>
    <row r="9047" customFormat="1" s="94">
      <c r="B9047" s="128" t="n">
        <v>44082</v>
      </c>
      <c r="C9047" s="94">
        <f>TEXT(B9047,"aaa")</f>
        <v/>
      </c>
      <c r="E9047" s="94" t="inlineStr">
        <is>
          <t>토너</t>
        </is>
      </c>
      <c r="F9047" s="94" t="inlineStr">
        <is>
          <t>아누아 CS</t>
        </is>
      </c>
      <c r="G9047" s="94" t="inlineStr">
        <is>
          <t>250ml</t>
        </is>
      </c>
      <c r="H9047" s="94" t="n">
        <v>200801</v>
      </c>
      <c r="I9047" s="94" t="n">
        <v>200801</v>
      </c>
      <c r="K9047" s="6" t="n">
        <v>1</v>
      </c>
      <c r="L9047" s="94" t="n">
        <v>200801</v>
      </c>
      <c r="M9047" s="94">
        <f>VLOOKUP($Q9047,매칭테이블!$F:$I,2,0)*K9047</f>
        <v/>
      </c>
      <c r="N9047" s="94">
        <f>M9047-M9047*VLOOKUP($Q9047,매칭테이블!$F:$I,3,0)</f>
        <v/>
      </c>
      <c r="O9047" s="94">
        <f>VLOOKUP($Q9047,매칭테이블!$F:$I,4,0)*K9047</f>
        <v/>
      </c>
      <c r="P9047" s="148">
        <f>M9047/1.1</f>
        <v/>
      </c>
      <c r="Q9047" s="94">
        <f>F9047&amp;E9047&amp;G9047&amp;L9047</f>
        <v/>
      </c>
    </row>
    <row r="9048" customFormat="1" s="94">
      <c r="B9048" s="128" t="n">
        <v>44082</v>
      </c>
      <c r="C9048" s="94">
        <f>TEXT(B9048,"aaa")</f>
        <v/>
      </c>
      <c r="E9048" s="94" t="inlineStr">
        <is>
          <t>선크림</t>
        </is>
      </c>
      <c r="F9048" s="94" t="inlineStr">
        <is>
          <t>카페24</t>
        </is>
      </c>
      <c r="G9048" s="94" t="inlineStr">
        <is>
          <t>선크림 50ml</t>
        </is>
      </c>
      <c r="H9048" s="94" t="n">
        <v>200801</v>
      </c>
      <c r="I9048" s="94" t="n">
        <v>200801</v>
      </c>
      <c r="K9048" s="6" t="n">
        <v>3</v>
      </c>
      <c r="L9048" s="94" t="n">
        <v>200801</v>
      </c>
      <c r="M9048" s="94">
        <f>VLOOKUP($Q9048,매칭테이블!$F:$I,2,0)*K9048</f>
        <v/>
      </c>
      <c r="N9048" s="94">
        <f>M9048-M9048*VLOOKUP($Q9048,매칭테이블!$F:$I,3,0)</f>
        <v/>
      </c>
      <c r="O9048" s="94">
        <f>VLOOKUP($Q9048,매칭테이블!$F:$I,4,0)*K9048</f>
        <v/>
      </c>
      <c r="P9048" s="148">
        <f>M9048/1.1</f>
        <v/>
      </c>
      <c r="Q9048" s="94">
        <f>F9048&amp;E9048&amp;G9048&amp;L9048</f>
        <v/>
      </c>
    </row>
    <row r="9049" customFormat="1" s="94">
      <c r="B9049" s="128" t="n">
        <v>44082</v>
      </c>
      <c r="C9049" s="94">
        <f>TEXT(B9049,"aaa")</f>
        <v/>
      </c>
      <c r="E9049" s="94" t="inlineStr">
        <is>
          <t>선크림</t>
        </is>
      </c>
      <c r="F9049" s="94" t="inlineStr">
        <is>
          <t>카페24</t>
        </is>
      </c>
      <c r="G9049" s="94" t="inlineStr">
        <is>
          <t>선크림 50ml  2set</t>
        </is>
      </c>
      <c r="H9049" s="94" t="n">
        <v>200801</v>
      </c>
      <c r="I9049" s="94" t="n">
        <v>200801</v>
      </c>
      <c r="K9049" s="6" t="n">
        <v>2</v>
      </c>
      <c r="L9049" s="94" t="n">
        <v>200801</v>
      </c>
      <c r="M9049" s="94">
        <f>VLOOKUP($Q9049,매칭테이블!$F:$I,2,0)*K9049</f>
        <v/>
      </c>
      <c r="N9049" s="94">
        <f>M9049-M9049*VLOOKUP($Q9049,매칭테이블!$F:$I,3,0)</f>
        <v/>
      </c>
      <c r="O9049" s="94">
        <f>VLOOKUP($Q9049,매칭테이블!$F:$I,4,0)*K9049</f>
        <v/>
      </c>
      <c r="P9049" s="148">
        <f>M9049/1.1</f>
        <v/>
      </c>
      <c r="Q9049" s="94">
        <f>F9049&amp;E9049&amp;G9049&amp;L9049</f>
        <v/>
      </c>
    </row>
    <row r="9050" customFormat="1" s="94">
      <c r="B9050" s="128" t="n">
        <v>44082</v>
      </c>
      <c r="C9050" s="94">
        <f>TEXT(B9050,"aaa")</f>
        <v/>
      </c>
      <c r="E9050" s="94" t="inlineStr">
        <is>
          <t>여름 한정 진정세트</t>
        </is>
      </c>
      <c r="F9050" s="94" t="inlineStr">
        <is>
          <t>카페24</t>
        </is>
      </c>
      <c r="G9050" s="94" t="inlineStr">
        <is>
          <t>여름 한정 진정세트</t>
        </is>
      </c>
      <c r="H9050" s="94" t="n">
        <v>200801</v>
      </c>
      <c r="I9050" s="94" t="n">
        <v>200801</v>
      </c>
      <c r="K9050" s="6" t="n">
        <v>2</v>
      </c>
      <c r="L9050" s="94" t="n">
        <v>200801</v>
      </c>
      <c r="M9050" s="94">
        <f>VLOOKUP($Q9050,매칭테이블!$F:$I,2,0)*K9050</f>
        <v/>
      </c>
      <c r="N9050" s="94">
        <f>M9050-M9050*VLOOKUP($Q9050,매칭테이블!$F:$I,3,0)</f>
        <v/>
      </c>
      <c r="O9050" s="94">
        <f>VLOOKUP($Q9050,매칭테이블!$F:$I,4,0)*K9050</f>
        <v/>
      </c>
      <c r="P9050" s="148">
        <f>M9050/1.1</f>
        <v/>
      </c>
      <c r="Q9050" s="94">
        <f>F9050&amp;E9050&amp;G9050&amp;L9050</f>
        <v/>
      </c>
    </row>
    <row r="9051" customFormat="1" s="94">
      <c r="B9051" s="128" t="n">
        <v>44082</v>
      </c>
      <c r="C9051" s="94">
        <f>TEXT(B9051,"aaa")</f>
        <v/>
      </c>
      <c r="E9051" s="94" t="inlineStr">
        <is>
          <t>어성초진정패키지</t>
        </is>
      </c>
      <c r="F9051" s="94" t="inlineStr">
        <is>
          <t>카페24</t>
        </is>
      </c>
      <c r="G9051" s="94" t="inlineStr">
        <is>
          <t>어성초 진정패키지세트</t>
        </is>
      </c>
      <c r="H9051" s="94" t="n">
        <v>200801</v>
      </c>
      <c r="I9051" s="94" t="n">
        <v>200801</v>
      </c>
      <c r="K9051" s="6" t="n">
        <v>3</v>
      </c>
      <c r="L9051" s="94" t="n">
        <v>200801</v>
      </c>
      <c r="M9051" s="94">
        <f>VLOOKUP($Q9051,매칭테이블!$F:$I,2,0)*K9051</f>
        <v/>
      </c>
      <c r="N9051" s="94">
        <f>M9051-M9051*VLOOKUP($Q9051,매칭테이블!$F:$I,3,0)</f>
        <v/>
      </c>
      <c r="O9051" s="94">
        <f>VLOOKUP($Q9051,매칭테이블!$F:$I,4,0)*K9051</f>
        <v/>
      </c>
      <c r="P9051" s="148">
        <f>M9051/1.1</f>
        <v/>
      </c>
      <c r="Q9051" s="94">
        <f>F9051&amp;E9051&amp;G9051&amp;L9051</f>
        <v/>
      </c>
    </row>
    <row r="9052" customFormat="1" s="94">
      <c r="B9052" s="128" t="n">
        <v>44082</v>
      </c>
      <c r="C9052" s="94">
        <f>TEXT(B9052,"aaa")</f>
        <v/>
      </c>
      <c r="E9052" s="94" t="inlineStr">
        <is>
          <t>머드크림마스크</t>
        </is>
      </c>
      <c r="F9052" s="94" t="inlineStr">
        <is>
          <t>카페24</t>
        </is>
      </c>
      <c r="G9052" s="94" t="inlineStr">
        <is>
          <t>머드크림마스크 100ml</t>
        </is>
      </c>
      <c r="H9052" s="94" t="n">
        <v>200801</v>
      </c>
      <c r="I9052" s="94" t="n">
        <v>200801</v>
      </c>
      <c r="K9052" s="6" t="n">
        <v>3</v>
      </c>
      <c r="L9052" s="94" t="n">
        <v>200801</v>
      </c>
      <c r="M9052" s="94">
        <f>VLOOKUP($Q9052,매칭테이블!$F:$I,2,0)*K9052</f>
        <v/>
      </c>
      <c r="N9052" s="94">
        <f>M9052-M9052*VLOOKUP($Q9052,매칭테이블!$F:$I,3,0)</f>
        <v/>
      </c>
      <c r="O9052" s="94">
        <f>VLOOKUP($Q9052,매칭테이블!$F:$I,4,0)*K9052</f>
        <v/>
      </c>
      <c r="P9052" s="148">
        <f>M9052/1.1</f>
        <v/>
      </c>
      <c r="Q9052" s="94">
        <f>F9052&amp;E9052&amp;G9052&amp;L9052</f>
        <v/>
      </c>
    </row>
    <row r="9053" customFormat="1" s="94">
      <c r="B9053" s="128" t="n">
        <v>44082</v>
      </c>
      <c r="C9053" s="94">
        <f>TEXT(B9053,"aaa")</f>
        <v/>
      </c>
      <c r="E9053" s="94" t="inlineStr">
        <is>
          <t>머드크림마스크</t>
        </is>
      </c>
      <c r="F9053" s="94" t="inlineStr">
        <is>
          <t>카페24</t>
        </is>
      </c>
      <c r="G9053" s="94" t="inlineStr">
        <is>
          <t>머드크림마스크 100ml 2set</t>
        </is>
      </c>
      <c r="H9053" s="94" t="n">
        <v>200801</v>
      </c>
      <c r="I9053" s="94" t="n">
        <v>200801</v>
      </c>
      <c r="K9053" s="6" t="n">
        <v>1</v>
      </c>
      <c r="L9053" s="94" t="n">
        <v>200801</v>
      </c>
      <c r="M9053" s="94">
        <f>VLOOKUP($Q9053,매칭테이블!$F:$I,2,0)*K9053</f>
        <v/>
      </c>
      <c r="N9053" s="94">
        <f>M9053-M9053*VLOOKUP($Q9053,매칭테이블!$F:$I,3,0)</f>
        <v/>
      </c>
      <c r="O9053" s="94">
        <f>VLOOKUP($Q9053,매칭테이블!$F:$I,4,0)*K9053</f>
        <v/>
      </c>
      <c r="P9053" s="148">
        <f>M9053/1.1</f>
        <v/>
      </c>
      <c r="Q9053" s="94">
        <f>F9053&amp;E9053&amp;G9053&amp;L9053</f>
        <v/>
      </c>
    </row>
    <row r="9054" customFormat="1" s="94">
      <c r="B9054" s="128" t="n">
        <v>44082</v>
      </c>
      <c r="C9054" s="94">
        <f>TEXT(B9054,"aaa")</f>
        <v/>
      </c>
      <c r="E9054" s="94" t="inlineStr">
        <is>
          <t>마스크팩</t>
        </is>
      </c>
      <c r="F9054" s="94" t="inlineStr">
        <is>
          <t>카페24</t>
        </is>
      </c>
      <c r="G9054" s="94" t="inlineStr">
        <is>
          <t>마스크팩 1매</t>
        </is>
      </c>
      <c r="H9054" s="94" t="n">
        <v>200801</v>
      </c>
      <c r="I9054" s="94" t="n">
        <v>200801</v>
      </c>
      <c r="K9054" s="6" t="n">
        <v>4</v>
      </c>
      <c r="L9054" s="94" t="n">
        <v>200801</v>
      </c>
      <c r="M9054" s="94">
        <f>VLOOKUP($Q9054,매칭테이블!$F:$I,2,0)*K9054</f>
        <v/>
      </c>
      <c r="N9054" s="94">
        <f>M9054-M9054*VLOOKUP($Q9054,매칭테이블!$F:$I,3,0)</f>
        <v/>
      </c>
      <c r="O9054" s="94">
        <f>VLOOKUP($Q9054,매칭테이블!$F:$I,4,0)*K9054</f>
        <v/>
      </c>
      <c r="P9054" s="148">
        <f>M9054/1.1</f>
        <v/>
      </c>
      <c r="Q9054" s="94">
        <f>F9054&amp;E9054&amp;G9054&amp;L9054</f>
        <v/>
      </c>
    </row>
    <row r="9055" customFormat="1" s="94">
      <c r="B9055" s="128" t="n">
        <v>44082</v>
      </c>
      <c r="C9055" s="94">
        <f>TEXT(B9055,"aaa")</f>
        <v/>
      </c>
      <c r="E9055" s="94" t="inlineStr">
        <is>
          <t>마스크팩</t>
        </is>
      </c>
      <c r="F9055" s="94" t="inlineStr">
        <is>
          <t>카페24</t>
        </is>
      </c>
      <c r="G9055" s="94" t="inlineStr">
        <is>
          <t>마스크팩 10매</t>
        </is>
      </c>
      <c r="H9055" s="94" t="n">
        <v>200801</v>
      </c>
      <c r="I9055" s="94" t="n">
        <v>200801</v>
      </c>
      <c r="K9055" s="6" t="n">
        <v>4</v>
      </c>
      <c r="L9055" s="94" t="n">
        <v>200801</v>
      </c>
      <c r="M9055" s="94">
        <f>VLOOKUP($Q9055,매칭테이블!$F:$I,2,0)*K9055</f>
        <v/>
      </c>
      <c r="N9055" s="94">
        <f>M9055-M9055*VLOOKUP($Q9055,매칭테이블!$F:$I,3,0)</f>
        <v/>
      </c>
      <c r="O9055" s="94">
        <f>VLOOKUP($Q9055,매칭테이블!$F:$I,4,0)*K9055</f>
        <v/>
      </c>
      <c r="P9055" s="148">
        <f>M9055/1.1</f>
        <v/>
      </c>
      <c r="Q9055" s="94">
        <f>F9055&amp;E9055&amp;G9055&amp;L9055</f>
        <v/>
      </c>
    </row>
    <row r="9056" customFormat="1" s="94">
      <c r="B9056" s="128" t="n">
        <v>44082</v>
      </c>
      <c r="C9056" s="94">
        <f>TEXT(B9056,"aaa")</f>
        <v/>
      </c>
      <c r="E9056" s="94" t="inlineStr">
        <is>
          <t>토너</t>
        </is>
      </c>
      <c r="F9056" s="94" t="inlineStr">
        <is>
          <t>카페24</t>
        </is>
      </c>
      <c r="G9056" s="94" t="inlineStr">
        <is>
          <t>250ml</t>
        </is>
      </c>
      <c r="H9056" s="94" t="n">
        <v>200801</v>
      </c>
      <c r="I9056" s="94" t="n">
        <v>200801</v>
      </c>
      <c r="K9056" s="6" t="n">
        <v>73</v>
      </c>
      <c r="L9056" s="94" t="n">
        <v>200801</v>
      </c>
      <c r="M9056" s="94">
        <f>VLOOKUP($Q9056,매칭테이블!$F:$I,2,0)*K9056</f>
        <v/>
      </c>
      <c r="N9056" s="94">
        <f>M9056-M9056*VLOOKUP($Q9056,매칭테이블!$F:$I,3,0)</f>
        <v/>
      </c>
      <c r="O9056" s="94">
        <f>VLOOKUP($Q9056,매칭테이블!$F:$I,4,0)*K9056</f>
        <v/>
      </c>
      <c r="P9056" s="148">
        <f>M9056/1.1</f>
        <v/>
      </c>
      <c r="Q9056" s="94">
        <f>F9056&amp;E9056&amp;G9056&amp;L9056</f>
        <v/>
      </c>
    </row>
    <row r="9057" customFormat="1" s="94">
      <c r="B9057" s="128" t="n">
        <v>44082</v>
      </c>
      <c r="C9057" s="94">
        <f>TEXT(B9057,"aaa")</f>
        <v/>
      </c>
      <c r="E9057" s="94" t="inlineStr">
        <is>
          <t>토너</t>
        </is>
      </c>
      <c r="F9057" s="94" t="inlineStr">
        <is>
          <t>카페24</t>
        </is>
      </c>
      <c r="G9057" s="94" t="inlineStr">
        <is>
          <t>250ml 2set</t>
        </is>
      </c>
      <c r="H9057" s="94" t="n">
        <v>200801</v>
      </c>
      <c r="I9057" s="94" t="n">
        <v>200801</v>
      </c>
      <c r="K9057" s="6" t="n">
        <v>57</v>
      </c>
      <c r="L9057" s="94" t="n">
        <v>200801</v>
      </c>
      <c r="M9057" s="94">
        <f>VLOOKUP($Q9057,매칭테이블!$F:$I,2,0)*K9057</f>
        <v/>
      </c>
      <c r="N9057" s="94">
        <f>M9057-M9057*VLOOKUP($Q9057,매칭테이블!$F:$I,3,0)</f>
        <v/>
      </c>
      <c r="O9057" s="94">
        <f>VLOOKUP($Q9057,매칭테이블!$F:$I,4,0)*K9057</f>
        <v/>
      </c>
      <c r="P9057" s="148">
        <f>M9057/1.1</f>
        <v/>
      </c>
      <c r="Q9057" s="94">
        <f>F9057&amp;E9057&amp;G9057&amp;L9057</f>
        <v/>
      </c>
    </row>
    <row r="9058" customFormat="1" s="94">
      <c r="B9058" s="128" t="n">
        <v>44082</v>
      </c>
      <c r="C9058" s="94">
        <f>TEXT(B9058,"aaa")</f>
        <v/>
      </c>
      <c r="E9058" s="94" t="inlineStr">
        <is>
          <t>토너</t>
        </is>
      </c>
      <c r="F9058" s="94" t="inlineStr">
        <is>
          <t>카페24</t>
        </is>
      </c>
      <c r="G9058" s="94" t="inlineStr">
        <is>
          <t>500ml</t>
        </is>
      </c>
      <c r="H9058" s="94" t="n">
        <v>200801</v>
      </c>
      <c r="I9058" s="94" t="n">
        <v>200801</v>
      </c>
      <c r="K9058" s="6" t="n">
        <v>63</v>
      </c>
      <c r="L9058" s="94" t="n">
        <v>200801</v>
      </c>
      <c r="M9058" s="94">
        <f>VLOOKUP($Q9058,매칭테이블!$F:$I,2,0)*K9058</f>
        <v/>
      </c>
      <c r="N9058" s="94">
        <f>M9058-M9058*VLOOKUP($Q9058,매칭테이블!$F:$I,3,0)</f>
        <v/>
      </c>
      <c r="O9058" s="94">
        <f>VLOOKUP($Q9058,매칭테이블!$F:$I,4,0)*K9058</f>
        <v/>
      </c>
      <c r="P9058" s="148">
        <f>M9058/1.1</f>
        <v/>
      </c>
      <c r="Q9058" s="94">
        <f>F9058&amp;E9058&amp;G9058&amp;L9058</f>
        <v/>
      </c>
    </row>
    <row r="9059" customFormat="1" s="94">
      <c r="B9059" s="128" t="n">
        <v>44082</v>
      </c>
      <c r="C9059" s="94">
        <f>TEXT(B9059,"aaa")</f>
        <v/>
      </c>
      <c r="E9059" s="94" t="inlineStr">
        <is>
          <t>토너</t>
        </is>
      </c>
      <c r="F9059" s="94" t="inlineStr">
        <is>
          <t>카페24</t>
        </is>
      </c>
      <c r="G9059" s="94" t="inlineStr">
        <is>
          <t>스킨팩 화장솜 60P</t>
        </is>
      </c>
      <c r="H9059" s="94" t="n">
        <v>200801</v>
      </c>
      <c r="I9059" s="94" t="n">
        <v>200801</v>
      </c>
      <c r="K9059" s="6" t="n">
        <v>79</v>
      </c>
      <c r="L9059" s="94" t="n">
        <v>200801</v>
      </c>
      <c r="M9059" s="94">
        <f>VLOOKUP($Q9059,매칭테이블!$F:$I,2,0)*K9059</f>
        <v/>
      </c>
      <c r="N9059" s="94">
        <f>M9059-M9059*VLOOKUP($Q9059,매칭테이블!$F:$I,3,0)</f>
        <v/>
      </c>
      <c r="O9059" s="94">
        <f>VLOOKUP($Q9059,매칭테이블!$F:$I,4,0)*K9059</f>
        <v/>
      </c>
      <c r="P9059" s="148">
        <f>M9059/1.1</f>
        <v/>
      </c>
      <c r="Q9059" s="94">
        <f>F9059&amp;E9059&amp;G9059&amp;L9059</f>
        <v/>
      </c>
    </row>
    <row r="9060" customFormat="1" s="94">
      <c r="B9060" s="128" t="n">
        <v>44082</v>
      </c>
      <c r="C9060" s="94">
        <f>TEXT(B9060,"aaa")</f>
        <v/>
      </c>
      <c r="E9060" s="94" t="inlineStr">
        <is>
          <t>앰플</t>
        </is>
      </c>
      <c r="F9060" s="94" t="inlineStr">
        <is>
          <t>카페24</t>
        </is>
      </c>
      <c r="G9060" s="94" t="inlineStr">
        <is>
          <t>앰플 30ml</t>
        </is>
      </c>
      <c r="H9060" s="94" t="n">
        <v>200801</v>
      </c>
      <c r="I9060" s="94" t="n">
        <v>200801</v>
      </c>
      <c r="K9060" s="6" t="n">
        <v>26</v>
      </c>
      <c r="L9060" s="94" t="n">
        <v>200801</v>
      </c>
      <c r="M9060" s="94">
        <f>VLOOKUP($Q9060,매칭테이블!$F:$I,2,0)*K9060</f>
        <v/>
      </c>
      <c r="N9060" s="94">
        <f>M9060-M9060*VLOOKUP($Q9060,매칭테이블!$F:$I,3,0)</f>
        <v/>
      </c>
      <c r="O9060" s="94">
        <f>VLOOKUP($Q9060,매칭테이블!$F:$I,4,0)*K9060</f>
        <v/>
      </c>
      <c r="P9060" s="148">
        <f>M9060/1.1</f>
        <v/>
      </c>
      <c r="Q9060" s="94">
        <f>F9060&amp;E9060&amp;G9060&amp;L9060</f>
        <v/>
      </c>
    </row>
    <row r="9061" customFormat="1" s="94">
      <c r="B9061" s="128" t="n">
        <v>44082</v>
      </c>
      <c r="C9061" s="94">
        <f>TEXT(B9061,"aaa")</f>
        <v/>
      </c>
      <c r="E9061" s="94" t="inlineStr">
        <is>
          <t>앰플</t>
        </is>
      </c>
      <c r="F9061" s="94" t="inlineStr">
        <is>
          <t>카페24</t>
        </is>
      </c>
      <c r="G9061" s="94" t="inlineStr">
        <is>
          <t>앰플 30ml  2set</t>
        </is>
      </c>
      <c r="H9061" s="94" t="n">
        <v>200801</v>
      </c>
      <c r="I9061" s="94" t="n">
        <v>200801</v>
      </c>
      <c r="K9061" s="6" t="n">
        <v>10</v>
      </c>
      <c r="L9061" s="94" t="n">
        <v>200801</v>
      </c>
      <c r="M9061" s="94">
        <f>VLOOKUP($Q9061,매칭테이블!$F:$I,2,0)*K9061</f>
        <v/>
      </c>
      <c r="N9061" s="94">
        <f>M9061-M9061*VLOOKUP($Q9061,매칭테이블!$F:$I,3,0)</f>
        <v/>
      </c>
      <c r="O9061" s="94">
        <f>VLOOKUP($Q9061,매칭테이블!$F:$I,4,0)*K9061</f>
        <v/>
      </c>
      <c r="P9061" s="148">
        <f>M9061/1.1</f>
        <v/>
      </c>
      <c r="Q9061" s="94">
        <f>F9061&amp;E9061&amp;G9061&amp;L9061</f>
        <v/>
      </c>
    </row>
    <row r="9062" customFormat="1" s="94">
      <c r="B9062" s="128" t="n">
        <v>44082</v>
      </c>
      <c r="C9062" s="94">
        <f>TEXT(B9062,"aaa")</f>
        <v/>
      </c>
      <c r="E9062" s="94" t="inlineStr">
        <is>
          <t>수딩크림</t>
        </is>
      </c>
      <c r="F9062" s="94" t="inlineStr">
        <is>
          <t>카페24</t>
        </is>
      </c>
      <c r="G9062" s="94" t="inlineStr">
        <is>
          <t>수딩크림 100ml</t>
        </is>
      </c>
      <c r="H9062" s="94" t="n">
        <v>200801</v>
      </c>
      <c r="I9062" s="94" t="n">
        <v>200801</v>
      </c>
      <c r="K9062" s="6" t="n">
        <v>7</v>
      </c>
      <c r="L9062" s="94" t="n">
        <v>200801</v>
      </c>
      <c r="M9062" s="94">
        <f>VLOOKUP($Q9062,매칭테이블!$F:$I,2,0)*K9062</f>
        <v/>
      </c>
      <c r="N9062" s="94">
        <f>M9062-M9062*VLOOKUP($Q9062,매칭테이블!$F:$I,3,0)</f>
        <v/>
      </c>
      <c r="O9062" s="94">
        <f>VLOOKUP($Q9062,매칭테이블!$F:$I,4,0)*K9062</f>
        <v/>
      </c>
      <c r="P9062" s="148">
        <f>M9062/1.1</f>
        <v/>
      </c>
      <c r="Q9062" s="94">
        <f>F9062&amp;E9062&amp;G9062&amp;L9062</f>
        <v/>
      </c>
    </row>
    <row r="9063" customFormat="1" s="94">
      <c r="B9063" s="128" t="n">
        <v>44082</v>
      </c>
      <c r="C9063" s="94">
        <f>TEXT(B9063,"aaa")</f>
        <v/>
      </c>
      <c r="E9063" s="94" t="inlineStr">
        <is>
          <t>클렌징폼</t>
        </is>
      </c>
      <c r="F9063" s="94" t="inlineStr">
        <is>
          <t>카페24</t>
        </is>
      </c>
      <c r="G9063" s="94" t="inlineStr">
        <is>
          <t>클렌징폼 120ml</t>
        </is>
      </c>
      <c r="H9063" s="94" t="n">
        <v>200801</v>
      </c>
      <c r="I9063" s="94" t="n">
        <v>200801</v>
      </c>
      <c r="K9063" s="6" t="n">
        <v>5</v>
      </c>
      <c r="L9063" s="94" t="n">
        <v>200801</v>
      </c>
      <c r="M9063" s="94">
        <f>VLOOKUP($Q9063,매칭테이블!$F:$I,2,0)*K9063</f>
        <v/>
      </c>
      <c r="N9063" s="94">
        <f>M9063-M9063*VLOOKUP($Q9063,매칭테이블!$F:$I,3,0)</f>
        <v/>
      </c>
      <c r="O9063" s="94">
        <f>VLOOKUP($Q9063,매칭테이블!$F:$I,4,0)*K9063</f>
        <v/>
      </c>
      <c r="P9063" s="148">
        <f>M9063/1.1</f>
        <v/>
      </c>
      <c r="Q9063" s="94">
        <f>F9063&amp;E9063&amp;G9063&amp;L9063</f>
        <v/>
      </c>
    </row>
    <row r="9064" customFormat="1" s="94">
      <c r="B9064" s="128" t="n">
        <v>44082</v>
      </c>
      <c r="C9064" s="94">
        <f>TEXT(B9064,"aaa")</f>
        <v/>
      </c>
      <c r="E9064" s="94" t="inlineStr">
        <is>
          <t>클렌징폼</t>
        </is>
      </c>
      <c r="F9064" s="94" t="inlineStr">
        <is>
          <t>카페24</t>
        </is>
      </c>
      <c r="G9064" s="94" t="inlineStr">
        <is>
          <t>클렌징폼 120ml 2set</t>
        </is>
      </c>
      <c r="H9064" s="94" t="n">
        <v>200801</v>
      </c>
      <c r="I9064" s="94" t="n">
        <v>200801</v>
      </c>
      <c r="K9064" s="6" t="n">
        <v>1</v>
      </c>
      <c r="L9064" s="94" t="n">
        <v>200801</v>
      </c>
      <c r="M9064" s="94">
        <f>VLOOKUP($Q9064,매칭테이블!$F:$I,2,0)*K9064</f>
        <v/>
      </c>
      <c r="N9064" s="94">
        <f>M9064-M9064*VLOOKUP($Q9064,매칭테이블!$F:$I,3,0)</f>
        <v/>
      </c>
      <c r="O9064" s="94">
        <f>VLOOKUP($Q9064,매칭테이블!$F:$I,4,0)*K9064</f>
        <v/>
      </c>
      <c r="P9064" s="148">
        <f>M9064/1.1</f>
        <v/>
      </c>
      <c r="Q9064" s="94">
        <f>F9064&amp;E9064&amp;G9064&amp;L9064</f>
        <v/>
      </c>
    </row>
    <row r="9065" customFormat="1" s="94">
      <c r="B9065" s="128" t="n">
        <v>44082</v>
      </c>
      <c r="C9065" s="94">
        <f>TEXT(B9065,"aaa")</f>
        <v/>
      </c>
      <c r="E9065" s="94" t="inlineStr">
        <is>
          <t>클렌징폼</t>
        </is>
      </c>
      <c r="F9065" s="94" t="inlineStr">
        <is>
          <t>카페24</t>
        </is>
      </c>
      <c r="G9065" s="94" t="inlineStr">
        <is>
          <t>클렌징폼 120ml 3set</t>
        </is>
      </c>
      <c r="H9065" s="94" t="n">
        <v>200801</v>
      </c>
      <c r="I9065" s="94" t="n">
        <v>200801</v>
      </c>
      <c r="K9065" s="6" t="n">
        <v>1</v>
      </c>
      <c r="L9065" s="94" t="n">
        <v>200801</v>
      </c>
      <c r="M9065" s="94">
        <f>VLOOKUP($Q9065,매칭테이블!$F:$I,2,0)*K9065</f>
        <v/>
      </c>
      <c r="N9065" s="94">
        <f>M9065-M9065*VLOOKUP($Q9065,매칭테이블!$F:$I,3,0)</f>
        <v/>
      </c>
      <c r="O9065" s="94">
        <f>VLOOKUP($Q9065,매칭테이블!$F:$I,4,0)*K9065</f>
        <v/>
      </c>
      <c r="P9065" s="148">
        <f>M9065/1.1</f>
        <v/>
      </c>
      <c r="Q9065" s="94">
        <f>F9065&amp;E9065&amp;G9065&amp;L9065</f>
        <v/>
      </c>
    </row>
    <row r="9066" customFormat="1" s="94">
      <c r="B9066" s="128" t="n">
        <v>44082</v>
      </c>
      <c r="C9066" s="94">
        <f>TEXT(B9066,"aaa")</f>
        <v/>
      </c>
      <c r="E9066" s="94" t="inlineStr">
        <is>
          <t>토너</t>
        </is>
      </c>
      <c r="F9066" s="94" t="inlineStr">
        <is>
          <t>큐텐재팬</t>
        </is>
      </c>
      <c r="G9066" s="94" t="inlineStr">
        <is>
          <t>200726=250ml</t>
        </is>
      </c>
      <c r="H9066" s="94" t="n">
        <v>200801</v>
      </c>
      <c r="I9066" s="94" t="n">
        <v>200801</v>
      </c>
      <c r="K9066" s="6" t="n">
        <v>61</v>
      </c>
      <c r="L9066" s="94" t="n">
        <v>200801</v>
      </c>
      <c r="M9066" s="94">
        <f>VLOOKUP($Q9066,매칭테이블!$F:$I,2,0)*K9066</f>
        <v/>
      </c>
      <c r="N9066" s="94">
        <f>M9066-M9066*VLOOKUP($Q9066,매칭테이블!$F:$I,3,0)</f>
        <v/>
      </c>
      <c r="O9066" s="94">
        <f>VLOOKUP($Q9066,매칭테이블!$F:$I,4,0)*K9066</f>
        <v/>
      </c>
      <c r="P9066" s="148">
        <f>M9066/1.1</f>
        <v/>
      </c>
      <c r="Q9066" s="94">
        <f>F9066&amp;E9066&amp;G9066&amp;L9066</f>
        <v/>
      </c>
    </row>
    <row r="9067" customFormat="1" s="94">
      <c r="B9067" s="128" t="n">
        <v>44082</v>
      </c>
      <c r="C9067" s="94">
        <f>TEXT(B9067,"aaa")</f>
        <v/>
      </c>
      <c r="E9067" s="94" t="inlineStr">
        <is>
          <t>수딩크림</t>
        </is>
      </c>
      <c r="F9067" s="94" t="inlineStr">
        <is>
          <t>큐텐재팬</t>
        </is>
      </c>
      <c r="G9067" s="94" t="inlineStr">
        <is>
          <t>200726=수딩크림 100ml</t>
        </is>
      </c>
      <c r="H9067" s="94" t="n">
        <v>200801</v>
      </c>
      <c r="I9067" s="94" t="n">
        <v>200801</v>
      </c>
      <c r="K9067" s="6" t="n">
        <v>4</v>
      </c>
      <c r="L9067" s="94" t="n">
        <v>200801</v>
      </c>
      <c r="M9067" s="94">
        <f>VLOOKUP($Q9067,매칭테이블!$F:$I,2,0)*K9067</f>
        <v/>
      </c>
      <c r="N9067" s="94">
        <f>M9067-M9067*VLOOKUP($Q9067,매칭테이블!$F:$I,3,0)</f>
        <v/>
      </c>
      <c r="O9067" s="94">
        <f>VLOOKUP($Q9067,매칭테이블!$F:$I,4,0)*K9067</f>
        <v/>
      </c>
      <c r="P9067" s="148">
        <f>M9067/1.1</f>
        <v/>
      </c>
      <c r="Q9067" s="94">
        <f>F9067&amp;E9067&amp;G9067&amp;L9067</f>
        <v/>
      </c>
    </row>
    <row r="9068" customFormat="1" s="94">
      <c r="B9068" s="128" t="n">
        <v>44082</v>
      </c>
      <c r="C9068" s="94">
        <f>TEXT(B9068,"aaa")</f>
        <v/>
      </c>
      <c r="E9068" s="94" t="inlineStr">
        <is>
          <t>머드크림마스크</t>
        </is>
      </c>
      <c r="F9068" s="94" t="inlineStr">
        <is>
          <t>큐텐재팬</t>
        </is>
      </c>
      <c r="G9068" s="94" t="inlineStr">
        <is>
          <t>200726=머드크림마스크 100ml</t>
        </is>
      </c>
      <c r="H9068" s="94" t="n">
        <v>200801</v>
      </c>
      <c r="I9068" s="94" t="n">
        <v>200801</v>
      </c>
      <c r="K9068" s="6" t="n">
        <v>2</v>
      </c>
      <c r="L9068" s="94" t="n">
        <v>200801</v>
      </c>
      <c r="M9068" s="94">
        <f>VLOOKUP($Q9068,매칭테이블!$F:$I,2,0)*K9068</f>
        <v/>
      </c>
      <c r="N9068" s="94">
        <f>M9068-M9068*VLOOKUP($Q9068,매칭테이블!$F:$I,3,0)</f>
        <v/>
      </c>
      <c r="O9068" s="94">
        <f>VLOOKUP($Q9068,매칭테이블!$F:$I,4,0)*K9068</f>
        <v/>
      </c>
      <c r="P9068" s="148">
        <f>M9068/1.1</f>
        <v/>
      </c>
      <c r="Q9068" s="94">
        <f>F9068&amp;E9068&amp;G9068&amp;L9068</f>
        <v/>
      </c>
    </row>
    <row r="9069" customFormat="1" s="94">
      <c r="B9069" s="128" t="n">
        <v>44082</v>
      </c>
      <c r="C9069" s="94">
        <f>TEXT(B9069,"aaa")</f>
        <v/>
      </c>
      <c r="E9069" s="94" t="inlineStr">
        <is>
          <t>토너</t>
        </is>
      </c>
      <c r="F9069" s="94" t="inlineStr">
        <is>
          <t>큐텐재팬</t>
        </is>
      </c>
      <c r="G9069" s="94" t="inlineStr">
        <is>
          <t>200726=250ml 2set</t>
        </is>
      </c>
      <c r="H9069" s="94" t="n">
        <v>200801</v>
      </c>
      <c r="I9069" s="94" t="n">
        <v>200801</v>
      </c>
      <c r="K9069" s="6" t="n">
        <v>48</v>
      </c>
      <c r="L9069" s="94" t="n">
        <v>200801</v>
      </c>
      <c r="M9069" s="94">
        <f>VLOOKUP($Q9069,매칭테이블!$F:$I,2,0)*K9069</f>
        <v/>
      </c>
      <c r="N9069" s="94">
        <f>M9069-M9069*VLOOKUP($Q9069,매칭테이블!$F:$I,3,0)</f>
        <v/>
      </c>
      <c r="O9069" s="94">
        <f>VLOOKUP($Q9069,매칭테이블!$F:$I,4,0)*K9069</f>
        <v/>
      </c>
      <c r="P9069" s="148">
        <f>M9069/1.1</f>
        <v/>
      </c>
      <c r="Q9069" s="94">
        <f>F9069&amp;E9069&amp;G9069&amp;L9069</f>
        <v/>
      </c>
    </row>
    <row r="9070" customFormat="1" s="94">
      <c r="B9070" s="128" t="n">
        <v>44083</v>
      </c>
      <c r="C9070" s="94">
        <f>TEXT(B9070,"aaa")</f>
        <v/>
      </c>
      <c r="E9070" s="94" t="inlineStr">
        <is>
          <t>토너</t>
        </is>
      </c>
      <c r="F9070" s="94" t="inlineStr">
        <is>
          <t>W컨셉</t>
        </is>
      </c>
      <c r="G9070" s="94" t="inlineStr">
        <is>
          <t>250ml</t>
        </is>
      </c>
      <c r="H9070" s="94" t="n">
        <v>200801</v>
      </c>
      <c r="I9070" s="94" t="n">
        <v>200801</v>
      </c>
      <c r="K9070" s="6" t="n">
        <v>1</v>
      </c>
      <c r="L9070" s="94" t="n">
        <v>200801</v>
      </c>
      <c r="M9070" s="94">
        <f>VLOOKUP($Q9070,매칭테이블!$F:$I,2,0)*K9070</f>
        <v/>
      </c>
      <c r="N9070" s="94">
        <f>M9070-M9070*VLOOKUP($Q9070,매칭테이블!$F:$I,3,0)</f>
        <v/>
      </c>
      <c r="O9070" s="94">
        <f>VLOOKUP($Q9070,매칭테이블!$F:$I,4,0)*K9070</f>
        <v/>
      </c>
      <c r="P9070" s="148">
        <f>M9070/1.1</f>
        <v/>
      </c>
      <c r="Q9070" s="94">
        <f>F9070&amp;E9070&amp;G9070&amp;L9070</f>
        <v/>
      </c>
    </row>
    <row r="9071" customFormat="1" s="94">
      <c r="B9071" s="128" t="n">
        <v>44083</v>
      </c>
      <c r="C9071" s="94">
        <f>TEXT(B9071,"aaa")</f>
        <v/>
      </c>
      <c r="E9071" s="94" t="inlineStr">
        <is>
          <t>토너</t>
        </is>
      </c>
      <c r="F9071" s="94" t="inlineStr">
        <is>
          <t>W컨셉</t>
        </is>
      </c>
      <c r="G9071" s="94" t="inlineStr">
        <is>
          <t>250ml 2set</t>
        </is>
      </c>
      <c r="H9071" s="94" t="n">
        <v>200801</v>
      </c>
      <c r="I9071" s="94" t="n">
        <v>200801</v>
      </c>
      <c r="K9071" s="6" t="n">
        <v>5</v>
      </c>
      <c r="L9071" s="94" t="n">
        <v>200801</v>
      </c>
      <c r="M9071" s="94">
        <f>VLOOKUP($Q9071,매칭테이블!$F:$I,2,0)*K9071</f>
        <v/>
      </c>
      <c r="N9071" s="94">
        <f>M9071-M9071*VLOOKUP($Q9071,매칭테이블!$F:$I,3,0)</f>
        <v/>
      </c>
      <c r="O9071" s="94">
        <f>VLOOKUP($Q9071,매칭테이블!$F:$I,4,0)*K9071</f>
        <v/>
      </c>
      <c r="P9071" s="148">
        <f>M9071/1.1</f>
        <v/>
      </c>
      <c r="Q9071" s="94">
        <f>F9071&amp;E9071&amp;G9071&amp;L9071</f>
        <v/>
      </c>
    </row>
    <row r="9072" customFormat="1" s="94">
      <c r="B9072" s="128" t="n">
        <v>44083</v>
      </c>
      <c r="C9072" s="94">
        <f>TEXT(B9072,"aaa")</f>
        <v/>
      </c>
      <c r="E9072" s="94" t="inlineStr">
        <is>
          <t>토너</t>
        </is>
      </c>
      <c r="F9072" s="94" t="inlineStr">
        <is>
          <t>쇼피말레이시아</t>
        </is>
      </c>
      <c r="G9072" s="94" t="inlineStr">
        <is>
          <t>200820=250ml</t>
        </is>
      </c>
      <c r="H9072" s="94" t="n">
        <v>200801</v>
      </c>
      <c r="I9072" s="94" t="n">
        <v>200801</v>
      </c>
      <c r="K9072" s="6" t="n">
        <v>1</v>
      </c>
      <c r="L9072" s="94" t="n">
        <v>200801</v>
      </c>
      <c r="M9072" s="94">
        <f>VLOOKUP($Q9072,매칭테이블!$F:$I,2,0)*K9072</f>
        <v/>
      </c>
      <c r="N9072" s="94">
        <f>M9072-M9072*VLOOKUP($Q9072,매칭테이블!$F:$I,3,0)</f>
        <v/>
      </c>
      <c r="O9072" s="94">
        <f>VLOOKUP($Q9072,매칭테이블!$F:$I,4,0)*K9072</f>
        <v/>
      </c>
      <c r="P9072" s="148">
        <f>M9072/1.1</f>
        <v/>
      </c>
      <c r="Q9072" s="94">
        <f>F9072&amp;E9072&amp;G9072&amp;L9072</f>
        <v/>
      </c>
    </row>
    <row r="9073" customFormat="1" s="94">
      <c r="B9073" s="128" t="n">
        <v>44083</v>
      </c>
      <c r="C9073" s="94">
        <f>TEXT(B9073,"aaa")</f>
        <v/>
      </c>
      <c r="E9073" s="94" t="inlineStr">
        <is>
          <t>토너</t>
        </is>
      </c>
      <c r="F9073" s="94" t="inlineStr">
        <is>
          <t>쇼피싱가폴</t>
        </is>
      </c>
      <c r="G9073" s="94" t="inlineStr">
        <is>
          <t>200831=250ml</t>
        </is>
      </c>
      <c r="H9073" s="94" t="n">
        <v>200801</v>
      </c>
      <c r="I9073" s="94" t="n">
        <v>200801</v>
      </c>
      <c r="K9073" s="6" t="n">
        <v>1</v>
      </c>
      <c r="L9073" s="94" t="n">
        <v>200801</v>
      </c>
      <c r="M9073" s="94">
        <f>VLOOKUP($Q9073,매칭테이블!$F:$I,2,0)*K9073</f>
        <v/>
      </c>
      <c r="N9073" s="94">
        <f>M9073-M9073*VLOOKUP($Q9073,매칭테이블!$F:$I,3,0)</f>
        <v/>
      </c>
      <c r="O9073" s="94">
        <f>VLOOKUP($Q9073,매칭테이블!$F:$I,4,0)*K9073</f>
        <v/>
      </c>
      <c r="P9073" s="148">
        <f>M9073/1.1</f>
        <v/>
      </c>
      <c r="Q9073" s="94">
        <f>F9073&amp;E9073&amp;G9073&amp;L9073</f>
        <v/>
      </c>
    </row>
    <row r="9074" customFormat="1" s="94">
      <c r="B9074" s="128" t="n">
        <v>44083</v>
      </c>
      <c r="C9074" s="94">
        <f>TEXT(B9074,"aaa")</f>
        <v/>
      </c>
      <c r="E9074" s="94" t="inlineStr">
        <is>
          <t>앰플</t>
        </is>
      </c>
      <c r="F9074" s="94" t="inlineStr">
        <is>
          <t>쇼피싱가폴</t>
        </is>
      </c>
      <c r="G9074" s="94" t="inlineStr">
        <is>
          <t>200831=앰플 30ml</t>
        </is>
      </c>
      <c r="H9074" s="94" t="n">
        <v>200801</v>
      </c>
      <c r="I9074" s="94" t="n">
        <v>200801</v>
      </c>
      <c r="K9074" s="6" t="n">
        <v>1</v>
      </c>
      <c r="L9074" s="94" t="n">
        <v>200801</v>
      </c>
      <c r="M9074" s="94">
        <f>VLOOKUP($Q9074,매칭테이블!$F:$I,2,0)*K9074</f>
        <v/>
      </c>
      <c r="N9074" s="94">
        <f>M9074-M9074*VLOOKUP($Q9074,매칭테이블!$F:$I,3,0)</f>
        <v/>
      </c>
      <c r="O9074" s="94">
        <f>VLOOKUP($Q9074,매칭테이블!$F:$I,4,0)*K9074</f>
        <v/>
      </c>
      <c r="P9074" s="148">
        <f>M9074/1.1</f>
        <v/>
      </c>
      <c r="Q9074" s="94">
        <f>F9074&amp;E9074&amp;G9074&amp;L9074</f>
        <v/>
      </c>
    </row>
    <row r="9075" customFormat="1" s="94">
      <c r="B9075" s="128" t="n">
        <v>44083</v>
      </c>
      <c r="C9075" s="94">
        <f>TEXT(B9075,"aaa")</f>
        <v/>
      </c>
      <c r="E9075" s="94" t="inlineStr">
        <is>
          <t>토너</t>
        </is>
      </c>
      <c r="F9075" s="94" t="inlineStr">
        <is>
          <t>스타일쉐어</t>
        </is>
      </c>
      <c r="G9075" s="94" t="inlineStr">
        <is>
          <t>250ml</t>
        </is>
      </c>
      <c r="H9075" s="94" t="n">
        <v>200801</v>
      </c>
      <c r="I9075" s="94" t="n">
        <v>200801</v>
      </c>
      <c r="K9075" s="6" t="n">
        <v>10</v>
      </c>
      <c r="L9075" s="94" t="n">
        <v>200801</v>
      </c>
      <c r="M9075" s="94">
        <f>VLOOKUP($Q9075,매칭테이블!$F:$I,2,0)*K9075</f>
        <v/>
      </c>
      <c r="N9075" s="94">
        <f>M9075-M9075*VLOOKUP($Q9075,매칭테이블!$F:$I,3,0)</f>
        <v/>
      </c>
      <c r="O9075" s="94">
        <f>VLOOKUP($Q9075,매칭테이블!$F:$I,4,0)*K9075</f>
        <v/>
      </c>
      <c r="P9075" s="148">
        <f>M9075/1.1</f>
        <v/>
      </c>
      <c r="Q9075" s="94">
        <f>F9075&amp;E9075&amp;G9075&amp;L9075</f>
        <v/>
      </c>
    </row>
    <row r="9076" customFormat="1" s="94">
      <c r="B9076" s="128" t="n">
        <v>44083</v>
      </c>
      <c r="C9076" s="94">
        <f>TEXT(B9076,"aaa")</f>
        <v/>
      </c>
      <c r="E9076" s="94" t="inlineStr">
        <is>
          <t>토너</t>
        </is>
      </c>
      <c r="F9076" s="94" t="inlineStr">
        <is>
          <t>아누아 CS</t>
        </is>
      </c>
      <c r="G9076" s="94" t="inlineStr">
        <is>
          <t>250ml</t>
        </is>
      </c>
      <c r="H9076" s="94" t="n">
        <v>200801</v>
      </c>
      <c r="I9076" s="94" t="n">
        <v>200801</v>
      </c>
      <c r="K9076" s="6" t="n">
        <v>2</v>
      </c>
      <c r="L9076" s="94" t="n">
        <v>200801</v>
      </c>
      <c r="M9076" s="94">
        <f>VLOOKUP($Q9076,매칭테이블!$F:$I,2,0)*K9076</f>
        <v/>
      </c>
      <c r="N9076" s="94">
        <f>M9076-M9076*VLOOKUP($Q9076,매칭테이블!$F:$I,3,0)</f>
        <v/>
      </c>
      <c r="O9076" s="94">
        <f>VLOOKUP($Q9076,매칭테이블!$F:$I,4,0)*K9076</f>
        <v/>
      </c>
      <c r="P9076" s="148">
        <f>M9076/1.1</f>
        <v/>
      </c>
      <c r="Q9076" s="94">
        <f>F9076&amp;E9076&amp;G9076&amp;L9076</f>
        <v/>
      </c>
    </row>
    <row r="9077" customFormat="1" s="94">
      <c r="B9077" s="128" t="n">
        <v>44083</v>
      </c>
      <c r="C9077" s="94">
        <f>TEXT(B9077,"aaa")</f>
        <v/>
      </c>
      <c r="E9077" s="94" t="inlineStr">
        <is>
          <t>앰플</t>
        </is>
      </c>
      <c r="F9077" s="94" t="inlineStr">
        <is>
          <t>아누아 CS</t>
        </is>
      </c>
      <c r="G9077" s="94" t="inlineStr">
        <is>
          <t>앰플 30ml</t>
        </is>
      </c>
      <c r="H9077" s="94" t="n">
        <v>200801</v>
      </c>
      <c r="I9077" s="94" t="n">
        <v>200801</v>
      </c>
      <c r="K9077" s="6" t="n">
        <v>2</v>
      </c>
      <c r="L9077" s="94" t="n">
        <v>200801</v>
      </c>
      <c r="M9077" s="94">
        <f>VLOOKUP($Q9077,매칭테이블!$F:$I,2,0)*K9077</f>
        <v/>
      </c>
      <c r="N9077" s="94">
        <f>M9077-M9077*VLOOKUP($Q9077,매칭테이블!$F:$I,3,0)</f>
        <v/>
      </c>
      <c r="O9077" s="94">
        <f>VLOOKUP($Q9077,매칭테이블!$F:$I,4,0)*K9077</f>
        <v/>
      </c>
      <c r="P9077" s="148">
        <f>M9077/1.1</f>
        <v/>
      </c>
      <c r="Q9077" s="94">
        <f>F9077&amp;E9077&amp;G9077&amp;L9077</f>
        <v/>
      </c>
    </row>
    <row r="9078" customFormat="1" s="94">
      <c r="B9078" s="128" t="n">
        <v>44083</v>
      </c>
      <c r="C9078" s="94">
        <f>TEXT(B9078,"aaa")</f>
        <v/>
      </c>
      <c r="E9078" s="94" t="inlineStr">
        <is>
          <t>선크림</t>
        </is>
      </c>
      <c r="F9078" s="94" t="inlineStr">
        <is>
          <t>카페24</t>
        </is>
      </c>
      <c r="G9078" s="94" t="inlineStr">
        <is>
          <t>선크림 50ml</t>
        </is>
      </c>
      <c r="H9078" s="94" t="n">
        <v>200801</v>
      </c>
      <c r="I9078" s="94" t="n">
        <v>200801</v>
      </c>
      <c r="K9078" s="6" t="n">
        <v>3</v>
      </c>
      <c r="L9078" s="94" t="n">
        <v>200801</v>
      </c>
      <c r="M9078" s="94">
        <f>VLOOKUP($Q9078,매칭테이블!$F:$I,2,0)*K9078</f>
        <v/>
      </c>
      <c r="N9078" s="94">
        <f>M9078-M9078*VLOOKUP($Q9078,매칭테이블!$F:$I,3,0)</f>
        <v/>
      </c>
      <c r="O9078" s="94">
        <f>VLOOKUP($Q9078,매칭테이블!$F:$I,4,0)*K9078</f>
        <v/>
      </c>
      <c r="P9078" s="148">
        <f>M9078/1.1</f>
        <v/>
      </c>
      <c r="Q9078" s="94">
        <f>F9078&amp;E9078&amp;G9078&amp;L9078</f>
        <v/>
      </c>
    </row>
    <row r="9079" customFormat="1" s="94">
      <c r="B9079" s="128" t="n">
        <v>44083</v>
      </c>
      <c r="C9079" s="94">
        <f>TEXT(B9079,"aaa")</f>
        <v/>
      </c>
      <c r="E9079" s="94" t="inlineStr">
        <is>
          <t>선크림</t>
        </is>
      </c>
      <c r="F9079" s="94" t="inlineStr">
        <is>
          <t>카페24</t>
        </is>
      </c>
      <c r="G9079" s="94" t="inlineStr">
        <is>
          <t>선크림 50ml  2set</t>
        </is>
      </c>
      <c r="H9079" s="94" t="n">
        <v>200801</v>
      </c>
      <c r="I9079" s="94" t="n">
        <v>200801</v>
      </c>
      <c r="K9079" s="6" t="n">
        <v>3</v>
      </c>
      <c r="L9079" s="94" t="n">
        <v>200801</v>
      </c>
      <c r="M9079" s="94">
        <f>VLOOKUP($Q9079,매칭테이블!$F:$I,2,0)*K9079</f>
        <v/>
      </c>
      <c r="N9079" s="94">
        <f>M9079-M9079*VLOOKUP($Q9079,매칭테이블!$F:$I,3,0)</f>
        <v/>
      </c>
      <c r="O9079" s="94">
        <f>VLOOKUP($Q9079,매칭테이블!$F:$I,4,0)*K9079</f>
        <v/>
      </c>
      <c r="P9079" s="148">
        <f>M9079/1.1</f>
        <v/>
      </c>
      <c r="Q9079" s="94">
        <f>F9079&amp;E9079&amp;G9079&amp;L9079</f>
        <v/>
      </c>
    </row>
    <row r="9080" customFormat="1" s="94">
      <c r="B9080" s="128" t="n">
        <v>44083</v>
      </c>
      <c r="C9080" s="94">
        <f>TEXT(B9080,"aaa")</f>
        <v/>
      </c>
      <c r="E9080" s="94" t="inlineStr">
        <is>
          <t>여름 한정 진정세트</t>
        </is>
      </c>
      <c r="F9080" s="94" t="inlineStr">
        <is>
          <t>카페24</t>
        </is>
      </c>
      <c r="G9080" s="94" t="inlineStr">
        <is>
          <t>여름 한정 진정세트</t>
        </is>
      </c>
      <c r="H9080" s="94" t="n">
        <v>200801</v>
      </c>
      <c r="I9080" s="94" t="n">
        <v>200801</v>
      </c>
      <c r="K9080" s="6" t="n">
        <v>1</v>
      </c>
      <c r="L9080" s="94" t="n">
        <v>200801</v>
      </c>
      <c r="M9080" s="94">
        <f>VLOOKUP($Q9080,매칭테이블!$F:$I,2,0)*K9080</f>
        <v/>
      </c>
      <c r="N9080" s="94">
        <f>M9080-M9080*VLOOKUP($Q9080,매칭테이블!$F:$I,3,0)</f>
        <v/>
      </c>
      <c r="O9080" s="94">
        <f>VLOOKUP($Q9080,매칭테이블!$F:$I,4,0)*K9080</f>
        <v/>
      </c>
      <c r="P9080" s="148">
        <f>M9080/1.1</f>
        <v/>
      </c>
      <c r="Q9080" s="94">
        <f>F9080&amp;E9080&amp;G9080&amp;L9080</f>
        <v/>
      </c>
    </row>
    <row r="9081" customFormat="1" s="94">
      <c r="B9081" s="128" t="n">
        <v>44083</v>
      </c>
      <c r="C9081" s="94">
        <f>TEXT(B9081,"aaa")</f>
        <v/>
      </c>
      <c r="E9081" s="94" t="inlineStr">
        <is>
          <t>여름 한정 진정세트</t>
        </is>
      </c>
      <c r="F9081" s="94" t="inlineStr">
        <is>
          <t>카페24</t>
        </is>
      </c>
      <c r="G9081" s="94" t="inlineStr">
        <is>
          <t>여름 한정 진정세트 (대용량)</t>
        </is>
      </c>
      <c r="H9081" s="94" t="n">
        <v>200801</v>
      </c>
      <c r="I9081" s="94" t="n">
        <v>200801</v>
      </c>
      <c r="K9081" s="6" t="n">
        <v>2</v>
      </c>
      <c r="L9081" s="94" t="n">
        <v>200801</v>
      </c>
      <c r="M9081" s="94">
        <f>VLOOKUP($Q9081,매칭테이블!$F:$I,2,0)*K9081</f>
        <v/>
      </c>
      <c r="N9081" s="94">
        <f>M9081-M9081*VLOOKUP($Q9081,매칭테이블!$F:$I,3,0)</f>
        <v/>
      </c>
      <c r="O9081" s="94">
        <f>VLOOKUP($Q9081,매칭테이블!$F:$I,4,0)*K9081</f>
        <v/>
      </c>
      <c r="P9081" s="148">
        <f>M9081/1.1</f>
        <v/>
      </c>
      <c r="Q9081" s="94">
        <f>F9081&amp;E9081&amp;G9081&amp;L9081</f>
        <v/>
      </c>
    </row>
    <row r="9082" customFormat="1" s="94">
      <c r="B9082" s="128" t="n">
        <v>44083</v>
      </c>
      <c r="C9082" s="94">
        <f>TEXT(B9082,"aaa")</f>
        <v/>
      </c>
      <c r="E9082" s="94" t="inlineStr">
        <is>
          <t>어성초진정패키지</t>
        </is>
      </c>
      <c r="F9082" s="94" t="inlineStr">
        <is>
          <t>카페24</t>
        </is>
      </c>
      <c r="G9082" s="94" t="inlineStr">
        <is>
          <t>어성초 진정패키지세트</t>
        </is>
      </c>
      <c r="H9082" s="94" t="n">
        <v>200801</v>
      </c>
      <c r="I9082" s="94" t="n">
        <v>200801</v>
      </c>
      <c r="K9082" s="6" t="n">
        <v>5</v>
      </c>
      <c r="L9082" s="94" t="n">
        <v>200801</v>
      </c>
      <c r="M9082" s="94">
        <f>VLOOKUP($Q9082,매칭테이블!$F:$I,2,0)*K9082</f>
        <v/>
      </c>
      <c r="N9082" s="94">
        <f>M9082-M9082*VLOOKUP($Q9082,매칭테이블!$F:$I,3,0)</f>
        <v/>
      </c>
      <c r="O9082" s="94">
        <f>VLOOKUP($Q9082,매칭테이블!$F:$I,4,0)*K9082</f>
        <v/>
      </c>
      <c r="P9082" s="148">
        <f>M9082/1.1</f>
        <v/>
      </c>
      <c r="Q9082" s="94">
        <f>F9082&amp;E9082&amp;G9082&amp;L9082</f>
        <v/>
      </c>
    </row>
    <row r="9083" customFormat="1" s="94">
      <c r="B9083" s="128" t="n">
        <v>44083</v>
      </c>
      <c r="C9083" s="94">
        <f>TEXT(B9083,"aaa")</f>
        <v/>
      </c>
      <c r="E9083" s="94" t="inlineStr">
        <is>
          <t>머드크림마스크</t>
        </is>
      </c>
      <c r="F9083" s="94" t="inlineStr">
        <is>
          <t>카페24</t>
        </is>
      </c>
      <c r="G9083" s="94" t="inlineStr">
        <is>
          <t>머드크림마스크 100ml</t>
        </is>
      </c>
      <c r="H9083" s="94" t="n">
        <v>200801</v>
      </c>
      <c r="I9083" s="94" t="n">
        <v>200801</v>
      </c>
      <c r="K9083" s="6" t="n">
        <v>6</v>
      </c>
      <c r="L9083" s="94" t="n">
        <v>200801</v>
      </c>
      <c r="M9083" s="94">
        <f>VLOOKUP($Q9083,매칭테이블!$F:$I,2,0)*K9083</f>
        <v/>
      </c>
      <c r="N9083" s="94">
        <f>M9083-M9083*VLOOKUP($Q9083,매칭테이블!$F:$I,3,0)</f>
        <v/>
      </c>
      <c r="O9083" s="94">
        <f>VLOOKUP($Q9083,매칭테이블!$F:$I,4,0)*K9083</f>
        <v/>
      </c>
      <c r="P9083" s="148">
        <f>M9083/1.1</f>
        <v/>
      </c>
      <c r="Q9083" s="94">
        <f>F9083&amp;E9083&amp;G9083&amp;L9083</f>
        <v/>
      </c>
    </row>
    <row r="9084" customFormat="1" s="94">
      <c r="B9084" s="128" t="n">
        <v>44083</v>
      </c>
      <c r="C9084" s="94">
        <f>TEXT(B9084,"aaa")</f>
        <v/>
      </c>
      <c r="E9084" s="94" t="inlineStr">
        <is>
          <t>마스크팩</t>
        </is>
      </c>
      <c r="F9084" s="94" t="inlineStr">
        <is>
          <t>카페24</t>
        </is>
      </c>
      <c r="G9084" s="94" t="inlineStr">
        <is>
          <t>마스크팩 1매</t>
        </is>
      </c>
      <c r="H9084" s="94" t="n">
        <v>200801</v>
      </c>
      <c r="I9084" s="94" t="n">
        <v>200801</v>
      </c>
      <c r="K9084" s="6" t="n">
        <v>4</v>
      </c>
      <c r="L9084" s="94" t="n">
        <v>200801</v>
      </c>
      <c r="M9084" s="94">
        <f>VLOOKUP($Q9084,매칭테이블!$F:$I,2,0)*K9084</f>
        <v/>
      </c>
      <c r="N9084" s="94">
        <f>M9084-M9084*VLOOKUP($Q9084,매칭테이블!$F:$I,3,0)</f>
        <v/>
      </c>
      <c r="O9084" s="94">
        <f>VLOOKUP($Q9084,매칭테이블!$F:$I,4,0)*K9084</f>
        <v/>
      </c>
      <c r="P9084" s="148">
        <f>M9084/1.1</f>
        <v/>
      </c>
      <c r="Q9084" s="94">
        <f>F9084&amp;E9084&amp;G9084&amp;L9084</f>
        <v/>
      </c>
    </row>
    <row r="9085" customFormat="1" s="94">
      <c r="B9085" s="128" t="n">
        <v>44083</v>
      </c>
      <c r="C9085" s="94">
        <f>TEXT(B9085,"aaa")</f>
        <v/>
      </c>
      <c r="E9085" s="94" t="inlineStr">
        <is>
          <t>마스크팩</t>
        </is>
      </c>
      <c r="F9085" s="94" t="inlineStr">
        <is>
          <t>카페24</t>
        </is>
      </c>
      <c r="G9085" s="94" t="inlineStr">
        <is>
          <t>마스크팩 10매</t>
        </is>
      </c>
      <c r="H9085" s="94" t="n">
        <v>200801</v>
      </c>
      <c r="I9085" s="94" t="n">
        <v>200801</v>
      </c>
      <c r="K9085" s="6" t="n">
        <v>2</v>
      </c>
      <c r="L9085" s="94" t="n">
        <v>200801</v>
      </c>
      <c r="M9085" s="94">
        <f>VLOOKUP($Q9085,매칭테이블!$F:$I,2,0)*K9085</f>
        <v/>
      </c>
      <c r="N9085" s="94">
        <f>M9085-M9085*VLOOKUP($Q9085,매칭테이블!$F:$I,3,0)</f>
        <v/>
      </c>
      <c r="O9085" s="94">
        <f>VLOOKUP($Q9085,매칭테이블!$F:$I,4,0)*K9085</f>
        <v/>
      </c>
      <c r="P9085" s="148">
        <f>M9085/1.1</f>
        <v/>
      </c>
      <c r="Q9085" s="94">
        <f>F9085&amp;E9085&amp;G9085&amp;L9085</f>
        <v/>
      </c>
    </row>
    <row r="9086" customFormat="1" s="94">
      <c r="B9086" s="128" t="n">
        <v>44083</v>
      </c>
      <c r="C9086" s="94">
        <f>TEXT(B9086,"aaa")</f>
        <v/>
      </c>
      <c r="E9086" s="94" t="inlineStr">
        <is>
          <t>토너</t>
        </is>
      </c>
      <c r="F9086" s="94" t="inlineStr">
        <is>
          <t>카페24</t>
        </is>
      </c>
      <c r="G9086" s="94" t="inlineStr">
        <is>
          <t>250ml</t>
        </is>
      </c>
      <c r="H9086" s="94" t="n">
        <v>200801</v>
      </c>
      <c r="I9086" s="94" t="n">
        <v>200801</v>
      </c>
      <c r="K9086" s="6" t="n">
        <v>81</v>
      </c>
      <c r="L9086" s="94" t="n">
        <v>200801</v>
      </c>
      <c r="M9086" s="94">
        <f>VLOOKUP($Q9086,매칭테이블!$F:$I,2,0)*K9086</f>
        <v/>
      </c>
      <c r="N9086" s="94">
        <f>M9086-M9086*VLOOKUP($Q9086,매칭테이블!$F:$I,3,0)</f>
        <v/>
      </c>
      <c r="O9086" s="94">
        <f>VLOOKUP($Q9086,매칭테이블!$F:$I,4,0)*K9086</f>
        <v/>
      </c>
      <c r="P9086" s="148">
        <f>M9086/1.1</f>
        <v/>
      </c>
      <c r="Q9086" s="94">
        <f>F9086&amp;E9086&amp;G9086&amp;L9086</f>
        <v/>
      </c>
    </row>
    <row r="9087" customFormat="1" s="94">
      <c r="B9087" s="128" t="n">
        <v>44083</v>
      </c>
      <c r="C9087" s="94">
        <f>TEXT(B9087,"aaa")</f>
        <v/>
      </c>
      <c r="E9087" s="94" t="inlineStr">
        <is>
          <t>토너</t>
        </is>
      </c>
      <c r="F9087" s="94" t="inlineStr">
        <is>
          <t>카페24</t>
        </is>
      </c>
      <c r="G9087" s="94" t="inlineStr">
        <is>
          <t>250ml 2set</t>
        </is>
      </c>
      <c r="H9087" s="94" t="n">
        <v>200801</v>
      </c>
      <c r="I9087" s="94" t="n">
        <v>200801</v>
      </c>
      <c r="K9087" s="6" t="n">
        <v>64</v>
      </c>
      <c r="L9087" s="94" t="n">
        <v>200801</v>
      </c>
      <c r="M9087" s="94">
        <f>VLOOKUP($Q9087,매칭테이블!$F:$I,2,0)*K9087</f>
        <v/>
      </c>
      <c r="N9087" s="94">
        <f>M9087-M9087*VLOOKUP($Q9087,매칭테이블!$F:$I,3,0)</f>
        <v/>
      </c>
      <c r="O9087" s="94">
        <f>VLOOKUP($Q9087,매칭테이블!$F:$I,4,0)*K9087</f>
        <v/>
      </c>
      <c r="P9087" s="148">
        <f>M9087/1.1</f>
        <v/>
      </c>
      <c r="Q9087" s="94">
        <f>F9087&amp;E9087&amp;G9087&amp;L9087</f>
        <v/>
      </c>
    </row>
    <row r="9088" customFormat="1" s="94">
      <c r="B9088" s="128" t="n">
        <v>44083</v>
      </c>
      <c r="C9088" s="94">
        <f>TEXT(B9088,"aaa")</f>
        <v/>
      </c>
      <c r="E9088" s="94" t="inlineStr">
        <is>
          <t>토너</t>
        </is>
      </c>
      <c r="F9088" s="94" t="inlineStr">
        <is>
          <t>카페24</t>
        </is>
      </c>
      <c r="G9088" s="94" t="inlineStr">
        <is>
          <t>500ml</t>
        </is>
      </c>
      <c r="H9088" s="94" t="n">
        <v>200801</v>
      </c>
      <c r="I9088" s="94" t="n">
        <v>200801</v>
      </c>
      <c r="K9088" s="6" t="n">
        <v>95</v>
      </c>
      <c r="L9088" s="94" t="n">
        <v>200801</v>
      </c>
      <c r="M9088" s="94">
        <f>VLOOKUP($Q9088,매칭테이블!$F:$I,2,0)*K9088</f>
        <v/>
      </c>
      <c r="N9088" s="94">
        <f>M9088-M9088*VLOOKUP($Q9088,매칭테이블!$F:$I,3,0)</f>
        <v/>
      </c>
      <c r="O9088" s="94">
        <f>VLOOKUP($Q9088,매칭테이블!$F:$I,4,0)*K9088</f>
        <v/>
      </c>
      <c r="P9088" s="148">
        <f>M9088/1.1</f>
        <v/>
      </c>
      <c r="Q9088" s="94">
        <f>F9088&amp;E9088&amp;G9088&amp;L9088</f>
        <v/>
      </c>
    </row>
    <row r="9089" customFormat="1" s="94">
      <c r="B9089" s="128" t="n">
        <v>44083</v>
      </c>
      <c r="C9089" s="94">
        <f>TEXT(B9089,"aaa")</f>
        <v/>
      </c>
      <c r="E9089" s="94" t="inlineStr">
        <is>
          <t>토너</t>
        </is>
      </c>
      <c r="F9089" s="94" t="inlineStr">
        <is>
          <t>카페24</t>
        </is>
      </c>
      <c r="G9089" s="94" t="inlineStr">
        <is>
          <t>스킨팩 화장솜 60P</t>
        </is>
      </c>
      <c r="H9089" s="94" t="n">
        <v>200801</v>
      </c>
      <c r="I9089" s="94" t="n">
        <v>200801</v>
      </c>
      <c r="K9089" s="6" t="n">
        <v>52</v>
      </c>
      <c r="L9089" s="94" t="n">
        <v>200801</v>
      </c>
      <c r="M9089" s="94">
        <f>VLOOKUP($Q9089,매칭테이블!$F:$I,2,0)*K9089</f>
        <v/>
      </c>
      <c r="N9089" s="94">
        <f>M9089-M9089*VLOOKUP($Q9089,매칭테이블!$F:$I,3,0)</f>
        <v/>
      </c>
      <c r="O9089" s="94">
        <f>VLOOKUP($Q9089,매칭테이블!$F:$I,4,0)*K9089</f>
        <v/>
      </c>
      <c r="P9089" s="148">
        <f>M9089/1.1</f>
        <v/>
      </c>
      <c r="Q9089" s="94">
        <f>F9089&amp;E9089&amp;G9089&amp;L9089</f>
        <v/>
      </c>
    </row>
    <row r="9090" customFormat="1" s="94">
      <c r="B9090" s="128" t="n">
        <v>44083</v>
      </c>
      <c r="C9090" s="94">
        <f>TEXT(B9090,"aaa")</f>
        <v/>
      </c>
      <c r="E9090" s="94" t="inlineStr">
        <is>
          <t>앰플</t>
        </is>
      </c>
      <c r="F9090" s="94" t="inlineStr">
        <is>
          <t>카페24</t>
        </is>
      </c>
      <c r="G9090" s="94" t="inlineStr">
        <is>
          <t>앰플 30ml</t>
        </is>
      </c>
      <c r="H9090" s="94" t="n">
        <v>200801</v>
      </c>
      <c r="I9090" s="94" t="n">
        <v>200801</v>
      </c>
      <c r="K9090" s="6" t="n">
        <v>39</v>
      </c>
      <c r="L9090" s="94" t="n">
        <v>200801</v>
      </c>
      <c r="M9090" s="94">
        <f>VLOOKUP($Q9090,매칭테이블!$F:$I,2,0)*K9090</f>
        <v/>
      </c>
      <c r="N9090" s="94">
        <f>M9090-M9090*VLOOKUP($Q9090,매칭테이블!$F:$I,3,0)</f>
        <v/>
      </c>
      <c r="O9090" s="94">
        <f>VLOOKUP($Q9090,매칭테이블!$F:$I,4,0)*K9090</f>
        <v/>
      </c>
      <c r="P9090" s="148">
        <f>M9090/1.1</f>
        <v/>
      </c>
      <c r="Q9090" s="94">
        <f>F9090&amp;E9090&amp;G9090&amp;L9090</f>
        <v/>
      </c>
    </row>
    <row r="9091" customFormat="1" s="94">
      <c r="B9091" s="128" t="n">
        <v>44083</v>
      </c>
      <c r="C9091" s="94">
        <f>TEXT(B9091,"aaa")</f>
        <v/>
      </c>
      <c r="E9091" s="94" t="inlineStr">
        <is>
          <t>앰플</t>
        </is>
      </c>
      <c r="F9091" s="94" t="inlineStr">
        <is>
          <t>카페24</t>
        </is>
      </c>
      <c r="G9091" s="94" t="inlineStr">
        <is>
          <t>앰플 30ml  2set</t>
        </is>
      </c>
      <c r="H9091" s="94" t="n">
        <v>200801</v>
      </c>
      <c r="I9091" s="94" t="n">
        <v>200801</v>
      </c>
      <c r="K9091" s="6" t="n">
        <v>4</v>
      </c>
      <c r="L9091" s="94" t="n">
        <v>200801</v>
      </c>
      <c r="M9091" s="94">
        <f>VLOOKUP($Q9091,매칭테이블!$F:$I,2,0)*K9091</f>
        <v/>
      </c>
      <c r="N9091" s="94">
        <f>M9091-M9091*VLOOKUP($Q9091,매칭테이블!$F:$I,3,0)</f>
        <v/>
      </c>
      <c r="O9091" s="94">
        <f>VLOOKUP($Q9091,매칭테이블!$F:$I,4,0)*K9091</f>
        <v/>
      </c>
      <c r="P9091" s="148">
        <f>M9091/1.1</f>
        <v/>
      </c>
      <c r="Q9091" s="94">
        <f>F9091&amp;E9091&amp;G9091&amp;L9091</f>
        <v/>
      </c>
    </row>
    <row r="9092" customFormat="1" s="94">
      <c r="B9092" s="128" t="n">
        <v>44083</v>
      </c>
      <c r="C9092" s="94">
        <f>TEXT(B9092,"aaa")</f>
        <v/>
      </c>
      <c r="E9092" s="94" t="inlineStr">
        <is>
          <t>수딩크림</t>
        </is>
      </c>
      <c r="F9092" s="94" t="inlineStr">
        <is>
          <t>카페24</t>
        </is>
      </c>
      <c r="G9092" s="94" t="inlineStr">
        <is>
          <t>수딩크림 100ml</t>
        </is>
      </c>
      <c r="H9092" s="94" t="n">
        <v>200801</v>
      </c>
      <c r="I9092" s="94" t="n">
        <v>200801</v>
      </c>
      <c r="K9092" s="6" t="n">
        <v>17</v>
      </c>
      <c r="L9092" s="94" t="n">
        <v>200801</v>
      </c>
      <c r="M9092" s="94">
        <f>VLOOKUP($Q9092,매칭테이블!$F:$I,2,0)*K9092</f>
        <v/>
      </c>
      <c r="N9092" s="94">
        <f>M9092-M9092*VLOOKUP($Q9092,매칭테이블!$F:$I,3,0)</f>
        <v/>
      </c>
      <c r="O9092" s="94">
        <f>VLOOKUP($Q9092,매칭테이블!$F:$I,4,0)*K9092</f>
        <v/>
      </c>
      <c r="P9092" s="148">
        <f>M9092/1.1</f>
        <v/>
      </c>
      <c r="Q9092" s="94">
        <f>F9092&amp;E9092&amp;G9092&amp;L9092</f>
        <v/>
      </c>
    </row>
    <row r="9093" customFormat="1" s="94">
      <c r="B9093" s="128" t="n">
        <v>44083</v>
      </c>
      <c r="C9093" s="94">
        <f>TEXT(B9093,"aaa")</f>
        <v/>
      </c>
      <c r="E9093" s="94" t="inlineStr">
        <is>
          <t>클렌징폼</t>
        </is>
      </c>
      <c r="F9093" s="94" t="inlineStr">
        <is>
          <t>카페24</t>
        </is>
      </c>
      <c r="G9093" s="94" t="inlineStr">
        <is>
          <t>클렌징폼 120ml</t>
        </is>
      </c>
      <c r="H9093" s="94" t="n">
        <v>200801</v>
      </c>
      <c r="I9093" s="94" t="n">
        <v>200801</v>
      </c>
      <c r="K9093" s="6" t="n">
        <v>12</v>
      </c>
      <c r="L9093" s="94" t="n">
        <v>200801</v>
      </c>
      <c r="M9093" s="94">
        <f>VLOOKUP($Q9093,매칭테이블!$F:$I,2,0)*K9093</f>
        <v/>
      </c>
      <c r="N9093" s="94">
        <f>M9093-M9093*VLOOKUP($Q9093,매칭테이블!$F:$I,3,0)</f>
        <v/>
      </c>
      <c r="O9093" s="94">
        <f>VLOOKUP($Q9093,매칭테이블!$F:$I,4,0)*K9093</f>
        <v/>
      </c>
      <c r="P9093" s="148">
        <f>M9093/1.1</f>
        <v/>
      </c>
      <c r="Q9093" s="94">
        <f>F9093&amp;E9093&amp;G9093&amp;L9093</f>
        <v/>
      </c>
    </row>
    <row r="9094" customFormat="1" s="94">
      <c r="B9094" s="128" t="n">
        <v>44083</v>
      </c>
      <c r="C9094" s="94">
        <f>TEXT(B9094,"aaa")</f>
        <v/>
      </c>
      <c r="E9094" s="94" t="inlineStr">
        <is>
          <t>클렌징폼</t>
        </is>
      </c>
      <c r="F9094" s="94" t="inlineStr">
        <is>
          <t>카페24</t>
        </is>
      </c>
      <c r="G9094" s="94" t="inlineStr">
        <is>
          <t>클렌징폼 120ml 2set</t>
        </is>
      </c>
      <c r="H9094" s="94" t="n">
        <v>200801</v>
      </c>
      <c r="I9094" s="94" t="n">
        <v>200801</v>
      </c>
      <c r="K9094" s="6" t="n">
        <v>3</v>
      </c>
      <c r="L9094" s="94" t="n">
        <v>200801</v>
      </c>
      <c r="M9094" s="94">
        <f>VLOOKUP($Q9094,매칭테이블!$F:$I,2,0)*K9094</f>
        <v/>
      </c>
      <c r="N9094" s="94">
        <f>M9094-M9094*VLOOKUP($Q9094,매칭테이블!$F:$I,3,0)</f>
        <v/>
      </c>
      <c r="O9094" s="94">
        <f>VLOOKUP($Q9094,매칭테이블!$F:$I,4,0)*K9094</f>
        <v/>
      </c>
      <c r="P9094" s="148">
        <f>M9094/1.1</f>
        <v/>
      </c>
      <c r="Q9094" s="94">
        <f>F9094&amp;E9094&amp;G9094&amp;L9094</f>
        <v/>
      </c>
    </row>
    <row r="9095" customFormat="1" s="94">
      <c r="B9095" s="128" t="n">
        <v>44083</v>
      </c>
      <c r="C9095" s="94">
        <f>TEXT(B9095,"aaa")</f>
        <v/>
      </c>
      <c r="E9095" s="94" t="inlineStr">
        <is>
          <t>토너</t>
        </is>
      </c>
      <c r="F9095" s="94" t="inlineStr">
        <is>
          <t>큐텐재팬</t>
        </is>
      </c>
      <c r="G9095" s="94" t="inlineStr">
        <is>
          <t>200726=250ml</t>
        </is>
      </c>
      <c r="H9095" s="94" t="n">
        <v>200801</v>
      </c>
      <c r="I9095" s="94" t="n">
        <v>200801</v>
      </c>
      <c r="K9095" s="6" t="n">
        <v>15</v>
      </c>
      <c r="L9095" s="94" t="n">
        <v>200801</v>
      </c>
      <c r="M9095" s="94">
        <f>VLOOKUP($Q9095,매칭테이블!$F:$I,2,0)*K9095</f>
        <v/>
      </c>
      <c r="N9095" s="94">
        <f>M9095-M9095*VLOOKUP($Q9095,매칭테이블!$F:$I,3,0)</f>
        <v/>
      </c>
      <c r="O9095" s="94">
        <f>VLOOKUP($Q9095,매칭테이블!$F:$I,4,0)*K9095</f>
        <v/>
      </c>
      <c r="P9095" s="148">
        <f>M9095/1.1</f>
        <v/>
      </c>
      <c r="Q9095" s="94">
        <f>F9095&amp;E9095&amp;G9095&amp;L9095</f>
        <v/>
      </c>
    </row>
    <row r="9096" customFormat="1" s="94">
      <c r="B9096" s="128" t="n">
        <v>44083</v>
      </c>
      <c r="C9096" s="94">
        <f>TEXT(B9096,"aaa")</f>
        <v/>
      </c>
      <c r="E9096" s="94" t="inlineStr">
        <is>
          <t>수딩크림</t>
        </is>
      </c>
      <c r="F9096" s="94" t="inlineStr">
        <is>
          <t>큐텐재팬</t>
        </is>
      </c>
      <c r="G9096" s="94" t="inlineStr">
        <is>
          <t>200726=수딩크림 100ml</t>
        </is>
      </c>
      <c r="H9096" s="94" t="n">
        <v>200801</v>
      </c>
      <c r="I9096" s="94" t="n">
        <v>200801</v>
      </c>
      <c r="K9096" s="6" t="n">
        <v>1</v>
      </c>
      <c r="L9096" s="94" t="n">
        <v>200801</v>
      </c>
      <c r="M9096" s="94">
        <f>VLOOKUP($Q9096,매칭테이블!$F:$I,2,0)*K9096</f>
        <v/>
      </c>
      <c r="N9096" s="94">
        <f>M9096-M9096*VLOOKUP($Q9096,매칭테이블!$F:$I,3,0)</f>
        <v/>
      </c>
      <c r="O9096" s="94">
        <f>VLOOKUP($Q9096,매칭테이블!$F:$I,4,0)*K9096</f>
        <v/>
      </c>
      <c r="P9096" s="148">
        <f>M9096/1.1</f>
        <v/>
      </c>
      <c r="Q9096" s="94">
        <f>F9096&amp;E9096&amp;G9096&amp;L9096</f>
        <v/>
      </c>
    </row>
    <row r="9097" customFormat="1" s="94">
      <c r="B9097" s="128" t="n">
        <v>44083</v>
      </c>
      <c r="C9097" s="94">
        <f>TEXT(B9097,"aaa")</f>
        <v/>
      </c>
      <c r="E9097" s="94" t="inlineStr">
        <is>
          <t>토너</t>
        </is>
      </c>
      <c r="F9097" s="94" t="inlineStr">
        <is>
          <t>큐텐재팬</t>
        </is>
      </c>
      <c r="G9097" s="94" t="inlineStr">
        <is>
          <t>200726=250ml 2set</t>
        </is>
      </c>
      <c r="H9097" s="94" t="n">
        <v>200801</v>
      </c>
      <c r="I9097" s="94" t="n">
        <v>200801</v>
      </c>
      <c r="K9097" s="6" t="n">
        <v>6</v>
      </c>
      <c r="L9097" s="94" t="n">
        <v>200801</v>
      </c>
      <c r="M9097" s="94">
        <f>VLOOKUP($Q9097,매칭테이블!$F:$I,2,0)*K9097</f>
        <v/>
      </c>
      <c r="N9097" s="94">
        <f>M9097-M9097*VLOOKUP($Q9097,매칭테이블!$F:$I,3,0)</f>
        <v/>
      </c>
      <c r="O9097" s="94">
        <f>VLOOKUP($Q9097,매칭테이블!$F:$I,4,0)*K9097</f>
        <v/>
      </c>
      <c r="P9097" s="148">
        <f>M9097/1.1</f>
        <v/>
      </c>
      <c r="Q9097" s="94">
        <f>F9097&amp;E9097&amp;G9097&amp;L9097</f>
        <v/>
      </c>
    </row>
    <row r="9098">
      <c r="A9098" s="94" t="n"/>
      <c r="B9098" s="128" t="n">
        <v>44084</v>
      </c>
      <c r="C9098" s="94">
        <f>TEXT(B9098,"aaa")</f>
        <v/>
      </c>
      <c r="D9098" s="94" t="n"/>
      <c r="E9098" s="94" t="inlineStr">
        <is>
          <t>토너</t>
        </is>
      </c>
      <c r="F9098" s="94" t="inlineStr">
        <is>
          <t>W컨셉</t>
        </is>
      </c>
      <c r="G9098" s="94" t="inlineStr">
        <is>
          <t>250ml</t>
        </is>
      </c>
      <c r="H9098" s="94" t="n">
        <v>200801</v>
      </c>
      <c r="I9098" s="94" t="n">
        <v>200801</v>
      </c>
      <c r="J9098" s="94" t="n"/>
      <c r="K9098" s="6" t="n">
        <v>2</v>
      </c>
      <c r="L9098" s="94" t="n">
        <v>200801</v>
      </c>
      <c r="M9098" s="94">
        <f>VLOOKUP($Q9098,매칭테이블!$F:$I,2,0)*K9098</f>
        <v/>
      </c>
      <c r="N9098" s="94">
        <f>M9098-M9098*VLOOKUP($Q9098,매칭테이블!$F:$I,3,0)</f>
        <v/>
      </c>
      <c r="O9098" s="94">
        <f>VLOOKUP($Q9098,매칭테이블!$F:$I,4,0)*K9098</f>
        <v/>
      </c>
      <c r="P9098" s="148">
        <f>M9098/1.1</f>
        <v/>
      </c>
      <c r="Q9098" s="94">
        <f>F9098&amp;E9098&amp;G9098&amp;L9098</f>
        <v/>
      </c>
    </row>
    <row r="9099">
      <c r="A9099" s="94" t="n"/>
      <c r="B9099" s="128" t="n">
        <v>44084</v>
      </c>
      <c r="C9099" s="94">
        <f>TEXT(B9099,"aaa")</f>
        <v/>
      </c>
      <c r="D9099" s="94" t="n"/>
      <c r="E9099" s="94" t="inlineStr">
        <is>
          <t>토너</t>
        </is>
      </c>
      <c r="F9099" s="94" t="inlineStr">
        <is>
          <t>W컨셉</t>
        </is>
      </c>
      <c r="G9099" s="94" t="inlineStr">
        <is>
          <t>250ml 2set</t>
        </is>
      </c>
      <c r="H9099" s="94" t="n">
        <v>200801</v>
      </c>
      <c r="I9099" s="94" t="n">
        <v>200801</v>
      </c>
      <c r="J9099" s="94" t="n"/>
      <c r="K9099" s="6" t="n">
        <v>3</v>
      </c>
      <c r="L9099" s="94" t="n">
        <v>200801</v>
      </c>
      <c r="M9099" s="94">
        <f>VLOOKUP($Q9099,매칭테이블!$F:$I,2,0)*K9099</f>
        <v/>
      </c>
      <c r="N9099" s="94">
        <f>M9099-M9099*VLOOKUP($Q9099,매칭테이블!$F:$I,3,0)</f>
        <v/>
      </c>
      <c r="O9099" s="94">
        <f>VLOOKUP($Q9099,매칭테이블!$F:$I,4,0)*K9099</f>
        <v/>
      </c>
      <c r="P9099" s="148">
        <f>M9099/1.1</f>
        <v/>
      </c>
      <c r="Q9099" s="94">
        <f>F9099&amp;E9099&amp;G9099&amp;L9099</f>
        <v/>
      </c>
    </row>
    <row r="9100">
      <c r="A9100" s="94" t="n"/>
      <c r="B9100" s="128" t="n">
        <v>44084</v>
      </c>
      <c r="C9100" s="94">
        <f>TEXT(B9100,"aaa")</f>
        <v/>
      </c>
      <c r="D9100" s="94" t="n"/>
      <c r="E9100" s="94" t="inlineStr">
        <is>
          <t>토너</t>
        </is>
      </c>
      <c r="F9100" s="94" t="inlineStr">
        <is>
          <t>쇼피인도네시아</t>
        </is>
      </c>
      <c r="G9100" s="94" t="inlineStr">
        <is>
          <t>200831=500ml</t>
        </is>
      </c>
      <c r="H9100" s="94" t="n">
        <v>200801</v>
      </c>
      <c r="I9100" s="94" t="n">
        <v>200801</v>
      </c>
      <c r="J9100" s="94" t="n"/>
      <c r="K9100" s="6" t="n">
        <v>1</v>
      </c>
      <c r="L9100" s="94" t="n">
        <v>200801</v>
      </c>
      <c r="M9100" s="94">
        <f>VLOOKUP($Q9100,매칭테이블!$F:$I,2,0)*K9100</f>
        <v/>
      </c>
      <c r="N9100" s="94">
        <f>M9100-M9100*VLOOKUP($Q9100,매칭테이블!$F:$I,3,0)</f>
        <v/>
      </c>
      <c r="O9100" s="94">
        <f>VLOOKUP($Q9100,매칭테이블!$F:$I,4,0)*K9100</f>
        <v/>
      </c>
      <c r="P9100" s="148">
        <f>M9100/1.1</f>
        <v/>
      </c>
      <c r="Q9100" s="94">
        <f>F9100&amp;E9100&amp;G9100&amp;L9100</f>
        <v/>
      </c>
    </row>
    <row r="9101">
      <c r="A9101" s="94" t="n"/>
      <c r="B9101" s="128" t="n">
        <v>44084</v>
      </c>
      <c r="C9101" s="94">
        <f>TEXT(B9101,"aaa")</f>
        <v/>
      </c>
      <c r="D9101" s="94" t="n"/>
      <c r="E9101" s="94" t="inlineStr">
        <is>
          <t>토너</t>
        </is>
      </c>
      <c r="F9101" s="94" t="inlineStr">
        <is>
          <t>스타일쉐어</t>
        </is>
      </c>
      <c r="G9101" s="94" t="inlineStr">
        <is>
          <t>250ml</t>
        </is>
      </c>
      <c r="H9101" s="94" t="n">
        <v>200801</v>
      </c>
      <c r="I9101" s="94" t="n">
        <v>200801</v>
      </c>
      <c r="J9101" s="94" t="n"/>
      <c r="K9101" s="6" t="n">
        <v>4</v>
      </c>
      <c r="L9101" s="94" t="n">
        <v>200801</v>
      </c>
      <c r="M9101" s="94">
        <f>VLOOKUP($Q9101,매칭테이블!$F:$I,2,0)*K9101</f>
        <v/>
      </c>
      <c r="N9101" s="94">
        <f>M9101-M9101*VLOOKUP($Q9101,매칭테이블!$F:$I,3,0)</f>
        <v/>
      </c>
      <c r="O9101" s="94">
        <f>VLOOKUP($Q9101,매칭테이블!$F:$I,4,0)*K9101</f>
        <v/>
      </c>
      <c r="P9101" s="148">
        <f>M9101/1.1</f>
        <v/>
      </c>
      <c r="Q9101" s="94">
        <f>F9101&amp;E9101&amp;G9101&amp;L9101</f>
        <v/>
      </c>
    </row>
    <row r="9102">
      <c r="A9102" s="94" t="n"/>
      <c r="B9102" s="128" t="n">
        <v>44084</v>
      </c>
      <c r="C9102" s="94">
        <f>TEXT(B9102,"aaa")</f>
        <v/>
      </c>
      <c r="D9102" s="94" t="n"/>
      <c r="E9102" s="94" t="inlineStr">
        <is>
          <t>선크림</t>
        </is>
      </c>
      <c r="F9102" s="94" t="inlineStr">
        <is>
          <t>카페24</t>
        </is>
      </c>
      <c r="G9102" s="94" t="inlineStr">
        <is>
          <t>선크림 50ml</t>
        </is>
      </c>
      <c r="H9102" s="94" t="n">
        <v>200801</v>
      </c>
      <c r="I9102" s="94" t="n">
        <v>200801</v>
      </c>
      <c r="J9102" s="94" t="n"/>
      <c r="K9102" s="6" t="n">
        <v>1</v>
      </c>
      <c r="L9102" s="94" t="n">
        <v>200801</v>
      </c>
      <c r="M9102" s="94">
        <f>VLOOKUP($Q9102,매칭테이블!$F:$I,2,0)*K9102</f>
        <v/>
      </c>
      <c r="N9102" s="94">
        <f>M9102-M9102*VLOOKUP($Q9102,매칭테이블!$F:$I,3,0)</f>
        <v/>
      </c>
      <c r="O9102" s="94">
        <f>VLOOKUP($Q9102,매칭테이블!$F:$I,4,0)*K9102</f>
        <v/>
      </c>
      <c r="P9102" s="148">
        <f>M9102/1.1</f>
        <v/>
      </c>
      <c r="Q9102" s="94">
        <f>F9102&amp;E9102&amp;G9102&amp;L9102</f>
        <v/>
      </c>
    </row>
    <row r="9103">
      <c r="A9103" s="94" t="n"/>
      <c r="B9103" s="128" t="n">
        <v>44084</v>
      </c>
      <c r="C9103" s="94">
        <f>TEXT(B9103,"aaa")</f>
        <v/>
      </c>
      <c r="D9103" s="94" t="n"/>
      <c r="E9103" s="94" t="inlineStr">
        <is>
          <t>선크림</t>
        </is>
      </c>
      <c r="F9103" s="94" t="inlineStr">
        <is>
          <t>카페24</t>
        </is>
      </c>
      <c r="G9103" s="94" t="inlineStr">
        <is>
          <t>선크림 50ml  2set</t>
        </is>
      </c>
      <c r="H9103" s="94" t="n">
        <v>200801</v>
      </c>
      <c r="I9103" s="94" t="n">
        <v>200801</v>
      </c>
      <c r="J9103" s="94" t="n"/>
      <c r="K9103" s="6" t="n">
        <v>1</v>
      </c>
      <c r="L9103" s="94" t="n">
        <v>200801</v>
      </c>
      <c r="M9103" s="94">
        <f>VLOOKUP($Q9103,매칭테이블!$F:$I,2,0)*K9103</f>
        <v/>
      </c>
      <c r="N9103" s="94">
        <f>M9103-M9103*VLOOKUP($Q9103,매칭테이블!$F:$I,3,0)</f>
        <v/>
      </c>
      <c r="O9103" s="94">
        <f>VLOOKUP($Q9103,매칭테이블!$F:$I,4,0)*K9103</f>
        <v/>
      </c>
      <c r="P9103" s="148">
        <f>M9103/1.1</f>
        <v/>
      </c>
      <c r="Q9103" s="94">
        <f>F9103&amp;E9103&amp;G9103&amp;L9103</f>
        <v/>
      </c>
    </row>
    <row r="9104">
      <c r="A9104" s="94" t="n"/>
      <c r="B9104" s="128" t="n">
        <v>44084</v>
      </c>
      <c r="C9104" s="94">
        <f>TEXT(B9104,"aaa")</f>
        <v/>
      </c>
      <c r="D9104" s="94" t="n"/>
      <c r="E9104" s="94" t="inlineStr">
        <is>
          <t>여름 한정 진정세트</t>
        </is>
      </c>
      <c r="F9104" s="94" t="inlineStr">
        <is>
          <t>카페24</t>
        </is>
      </c>
      <c r="G9104" s="94" t="inlineStr">
        <is>
          <t>여름 한정 진정세트</t>
        </is>
      </c>
      <c r="H9104" s="94" t="n">
        <v>200801</v>
      </c>
      <c r="I9104" s="94" t="n">
        <v>200801</v>
      </c>
      <c r="J9104" s="94" t="n"/>
      <c r="K9104" s="6" t="n">
        <v>2</v>
      </c>
      <c r="L9104" s="94" t="n">
        <v>200801</v>
      </c>
      <c r="M9104" s="94">
        <f>VLOOKUP($Q9104,매칭테이블!$F:$I,2,0)*K9104</f>
        <v/>
      </c>
      <c r="N9104" s="94">
        <f>M9104-M9104*VLOOKUP($Q9104,매칭테이블!$F:$I,3,0)</f>
        <v/>
      </c>
      <c r="O9104" s="94">
        <f>VLOOKUP($Q9104,매칭테이블!$F:$I,4,0)*K9104</f>
        <v/>
      </c>
      <c r="P9104" s="148">
        <f>M9104/1.1</f>
        <v/>
      </c>
      <c r="Q9104" s="94">
        <f>F9104&amp;E9104&amp;G9104&amp;L9104</f>
        <v/>
      </c>
    </row>
    <row r="9105">
      <c r="A9105" s="94" t="n"/>
      <c r="B9105" s="128" t="n">
        <v>44084</v>
      </c>
      <c r="C9105" s="94">
        <f>TEXT(B9105,"aaa")</f>
        <v/>
      </c>
      <c r="D9105" s="94" t="n"/>
      <c r="E9105" s="94" t="inlineStr">
        <is>
          <t>여름 한정 진정세트</t>
        </is>
      </c>
      <c r="F9105" s="94" t="inlineStr">
        <is>
          <t>카페24</t>
        </is>
      </c>
      <c r="G9105" s="94" t="inlineStr">
        <is>
          <t>여름 한정 진정세트 (대용량)</t>
        </is>
      </c>
      <c r="H9105" s="94" t="n">
        <v>200801</v>
      </c>
      <c r="I9105" s="94" t="n">
        <v>200801</v>
      </c>
      <c r="J9105" s="94" t="n"/>
      <c r="K9105" s="6" t="n">
        <v>5</v>
      </c>
      <c r="L9105" s="94" t="n">
        <v>200801</v>
      </c>
      <c r="M9105" s="94">
        <f>VLOOKUP($Q9105,매칭테이블!$F:$I,2,0)*K9105</f>
        <v/>
      </c>
      <c r="N9105" s="94">
        <f>M9105-M9105*VLOOKUP($Q9105,매칭테이블!$F:$I,3,0)</f>
        <v/>
      </c>
      <c r="O9105" s="94">
        <f>VLOOKUP($Q9105,매칭테이블!$F:$I,4,0)*K9105</f>
        <v/>
      </c>
      <c r="P9105" s="148">
        <f>M9105/1.1</f>
        <v/>
      </c>
      <c r="Q9105" s="94">
        <f>F9105&amp;E9105&amp;G9105&amp;L9105</f>
        <v/>
      </c>
    </row>
    <row r="9106">
      <c r="A9106" s="94" t="n"/>
      <c r="B9106" s="128" t="n">
        <v>44084</v>
      </c>
      <c r="C9106" s="94">
        <f>TEXT(B9106,"aaa")</f>
        <v/>
      </c>
      <c r="D9106" s="94" t="n"/>
      <c r="E9106" s="94" t="inlineStr">
        <is>
          <t>어성초진정패키지</t>
        </is>
      </c>
      <c r="F9106" s="94" t="inlineStr">
        <is>
          <t>카페24</t>
        </is>
      </c>
      <c r="G9106" s="94" t="inlineStr">
        <is>
          <t>어성초 진정패키지세트</t>
        </is>
      </c>
      <c r="H9106" s="94" t="n">
        <v>200801</v>
      </c>
      <c r="I9106" s="94" t="n">
        <v>200801</v>
      </c>
      <c r="J9106" s="94" t="n"/>
      <c r="K9106" s="6" t="n">
        <v>4</v>
      </c>
      <c r="L9106" s="94" t="n">
        <v>200801</v>
      </c>
      <c r="M9106" s="94">
        <f>VLOOKUP($Q9106,매칭테이블!$F:$I,2,0)*K9106</f>
        <v/>
      </c>
      <c r="N9106" s="94">
        <f>M9106-M9106*VLOOKUP($Q9106,매칭테이블!$F:$I,3,0)</f>
        <v/>
      </c>
      <c r="O9106" s="94">
        <f>VLOOKUP($Q9106,매칭테이블!$F:$I,4,0)*K9106</f>
        <v/>
      </c>
      <c r="P9106" s="148">
        <f>M9106/1.1</f>
        <v/>
      </c>
      <c r="Q9106" s="94">
        <f>F9106&amp;E9106&amp;G9106&amp;L9106</f>
        <v/>
      </c>
    </row>
    <row r="9107">
      <c r="A9107" s="94" t="n"/>
      <c r="B9107" s="128" t="n">
        <v>44084</v>
      </c>
      <c r="C9107" s="94">
        <f>TEXT(B9107,"aaa")</f>
        <v/>
      </c>
      <c r="D9107" s="94" t="n"/>
      <c r="E9107" s="94" t="inlineStr">
        <is>
          <t>머드크림마스크</t>
        </is>
      </c>
      <c r="F9107" s="94" t="inlineStr">
        <is>
          <t>카페24</t>
        </is>
      </c>
      <c r="G9107" s="94" t="inlineStr">
        <is>
          <t>머드크림마스크 100ml</t>
        </is>
      </c>
      <c r="H9107" s="94" t="n">
        <v>200801</v>
      </c>
      <c r="I9107" s="94" t="n">
        <v>200801</v>
      </c>
      <c r="J9107" s="94" t="n"/>
      <c r="K9107" s="6" t="n">
        <v>3</v>
      </c>
      <c r="L9107" s="94" t="n">
        <v>200801</v>
      </c>
      <c r="M9107" s="94">
        <f>VLOOKUP($Q9107,매칭테이블!$F:$I,2,0)*K9107</f>
        <v/>
      </c>
      <c r="N9107" s="94">
        <f>M9107-M9107*VLOOKUP($Q9107,매칭테이블!$F:$I,3,0)</f>
        <v/>
      </c>
      <c r="O9107" s="94">
        <f>VLOOKUP($Q9107,매칭테이블!$F:$I,4,0)*K9107</f>
        <v/>
      </c>
      <c r="P9107" s="148">
        <f>M9107/1.1</f>
        <v/>
      </c>
      <c r="Q9107" s="94">
        <f>F9107&amp;E9107&amp;G9107&amp;L9107</f>
        <v/>
      </c>
    </row>
    <row r="9108">
      <c r="A9108" s="94" t="n"/>
      <c r="B9108" s="128" t="n">
        <v>44084</v>
      </c>
      <c r="C9108" s="94">
        <f>TEXT(B9108,"aaa")</f>
        <v/>
      </c>
      <c r="D9108" s="94" t="n"/>
      <c r="E9108" s="94" t="inlineStr">
        <is>
          <t>머드크림마스크</t>
        </is>
      </c>
      <c r="F9108" s="94" t="inlineStr">
        <is>
          <t>카페24</t>
        </is>
      </c>
      <c r="G9108" s="94" t="inlineStr">
        <is>
          <t>머드크림마스크 100ml 2set</t>
        </is>
      </c>
      <c r="H9108" s="94" t="n">
        <v>200801</v>
      </c>
      <c r="I9108" s="94" t="n">
        <v>200801</v>
      </c>
      <c r="J9108" s="94" t="n"/>
      <c r="K9108" s="6" t="n">
        <v>1</v>
      </c>
      <c r="L9108" s="94" t="n">
        <v>200801</v>
      </c>
      <c r="M9108" s="94">
        <f>VLOOKUP($Q9108,매칭테이블!$F:$I,2,0)*K9108</f>
        <v/>
      </c>
      <c r="N9108" s="94">
        <f>M9108-M9108*VLOOKUP($Q9108,매칭테이블!$F:$I,3,0)</f>
        <v/>
      </c>
      <c r="O9108" s="94">
        <f>VLOOKUP($Q9108,매칭테이블!$F:$I,4,0)*K9108</f>
        <v/>
      </c>
      <c r="P9108" s="148">
        <f>M9108/1.1</f>
        <v/>
      </c>
      <c r="Q9108" s="94">
        <f>F9108&amp;E9108&amp;G9108&amp;L9108</f>
        <v/>
      </c>
    </row>
    <row r="9109">
      <c r="A9109" s="94" t="n"/>
      <c r="B9109" s="128" t="n">
        <v>44084</v>
      </c>
      <c r="C9109" s="94">
        <f>TEXT(B9109,"aaa")</f>
        <v/>
      </c>
      <c r="D9109" s="94" t="n"/>
      <c r="E9109" s="94" t="inlineStr">
        <is>
          <t>마스크팩</t>
        </is>
      </c>
      <c r="F9109" s="94" t="inlineStr">
        <is>
          <t>카페24</t>
        </is>
      </c>
      <c r="G9109" s="94" t="inlineStr">
        <is>
          <t>마스크팩 1매</t>
        </is>
      </c>
      <c r="H9109" s="94" t="n">
        <v>200801</v>
      </c>
      <c r="I9109" s="94" t="n">
        <v>200801</v>
      </c>
      <c r="J9109" s="94" t="n"/>
      <c r="K9109" s="6" t="n">
        <v>4</v>
      </c>
      <c r="L9109" s="94" t="n">
        <v>200801</v>
      </c>
      <c r="M9109" s="94">
        <f>VLOOKUP($Q9109,매칭테이블!$F:$I,2,0)*K9109</f>
        <v/>
      </c>
      <c r="N9109" s="94">
        <f>M9109-M9109*VLOOKUP($Q9109,매칭테이블!$F:$I,3,0)</f>
        <v/>
      </c>
      <c r="O9109" s="94">
        <f>VLOOKUP($Q9109,매칭테이블!$F:$I,4,0)*K9109</f>
        <v/>
      </c>
      <c r="P9109" s="148">
        <f>M9109/1.1</f>
        <v/>
      </c>
      <c r="Q9109" s="94">
        <f>F9109&amp;E9109&amp;G9109&amp;L9109</f>
        <v/>
      </c>
    </row>
    <row r="9110">
      <c r="A9110" s="94" t="n"/>
      <c r="B9110" s="128" t="n">
        <v>44084</v>
      </c>
      <c r="C9110" s="94">
        <f>TEXT(B9110,"aaa")</f>
        <v/>
      </c>
      <c r="D9110" s="94" t="n"/>
      <c r="E9110" s="94" t="inlineStr">
        <is>
          <t>마스크팩</t>
        </is>
      </c>
      <c r="F9110" s="94" t="inlineStr">
        <is>
          <t>카페24</t>
        </is>
      </c>
      <c r="G9110" s="94" t="inlineStr">
        <is>
          <t>마스크팩 10매</t>
        </is>
      </c>
      <c r="H9110" s="94" t="n">
        <v>200801</v>
      </c>
      <c r="I9110" s="94" t="n">
        <v>200801</v>
      </c>
      <c r="J9110" s="94" t="n"/>
      <c r="K9110" s="6" t="n">
        <v>2</v>
      </c>
      <c r="L9110" s="94" t="n">
        <v>200801</v>
      </c>
      <c r="M9110" s="94">
        <f>VLOOKUP($Q9110,매칭테이블!$F:$I,2,0)*K9110</f>
        <v/>
      </c>
      <c r="N9110" s="94">
        <f>M9110-M9110*VLOOKUP($Q9110,매칭테이블!$F:$I,3,0)</f>
        <v/>
      </c>
      <c r="O9110" s="94">
        <f>VLOOKUP($Q9110,매칭테이블!$F:$I,4,0)*K9110</f>
        <v/>
      </c>
      <c r="P9110" s="148">
        <f>M9110/1.1</f>
        <v/>
      </c>
      <c r="Q9110" s="94">
        <f>F9110&amp;E9110&amp;G9110&amp;L9110</f>
        <v/>
      </c>
    </row>
    <row r="9111">
      <c r="A9111" s="94" t="n"/>
      <c r="B9111" s="128" t="n">
        <v>44084</v>
      </c>
      <c r="C9111" s="94">
        <f>TEXT(B9111,"aaa")</f>
        <v/>
      </c>
      <c r="D9111" s="94" t="n"/>
      <c r="E9111" s="94" t="inlineStr">
        <is>
          <t>토너</t>
        </is>
      </c>
      <c r="F9111" s="94" t="inlineStr">
        <is>
          <t>카페24</t>
        </is>
      </c>
      <c r="G9111" s="94" t="inlineStr">
        <is>
          <t>250ml</t>
        </is>
      </c>
      <c r="H9111" s="94" t="n">
        <v>200801</v>
      </c>
      <c r="I9111" s="94" t="n">
        <v>200801</v>
      </c>
      <c r="J9111" s="94" t="n"/>
      <c r="K9111" s="6" t="n">
        <v>67</v>
      </c>
      <c r="L9111" s="94" t="n">
        <v>200801</v>
      </c>
      <c r="M9111" s="94">
        <f>VLOOKUP($Q9111,매칭테이블!$F:$I,2,0)*K9111</f>
        <v/>
      </c>
      <c r="N9111" s="94">
        <f>M9111-M9111*VLOOKUP($Q9111,매칭테이블!$F:$I,3,0)</f>
        <v/>
      </c>
      <c r="O9111" s="94">
        <f>VLOOKUP($Q9111,매칭테이블!$F:$I,4,0)*K9111</f>
        <v/>
      </c>
      <c r="P9111" s="148">
        <f>M9111/1.1</f>
        <v/>
      </c>
      <c r="Q9111" s="94">
        <f>F9111&amp;E9111&amp;G9111&amp;L9111</f>
        <v/>
      </c>
    </row>
    <row r="9112">
      <c r="A9112" s="94" t="n"/>
      <c r="B9112" s="128" t="n">
        <v>44084</v>
      </c>
      <c r="C9112" s="94">
        <f>TEXT(B9112,"aaa")</f>
        <v/>
      </c>
      <c r="D9112" s="94" t="n"/>
      <c r="E9112" s="94" t="inlineStr">
        <is>
          <t>토너</t>
        </is>
      </c>
      <c r="F9112" s="94" t="inlineStr">
        <is>
          <t>카페24</t>
        </is>
      </c>
      <c r="G9112" s="94" t="inlineStr">
        <is>
          <t>250ml 2set</t>
        </is>
      </c>
      <c r="H9112" s="94" t="n">
        <v>200801</v>
      </c>
      <c r="I9112" s="94" t="n">
        <v>200801</v>
      </c>
      <c r="J9112" s="94" t="n"/>
      <c r="K9112" s="6" t="n">
        <v>60</v>
      </c>
      <c r="L9112" s="94" t="n">
        <v>200801</v>
      </c>
      <c r="M9112" s="94">
        <f>VLOOKUP($Q9112,매칭테이블!$F:$I,2,0)*K9112</f>
        <v/>
      </c>
      <c r="N9112" s="94">
        <f>M9112-M9112*VLOOKUP($Q9112,매칭테이블!$F:$I,3,0)</f>
        <v/>
      </c>
      <c r="O9112" s="94">
        <f>VLOOKUP($Q9112,매칭테이블!$F:$I,4,0)*K9112</f>
        <v/>
      </c>
      <c r="P9112" s="148">
        <f>M9112/1.1</f>
        <v/>
      </c>
      <c r="Q9112" s="94">
        <f>F9112&amp;E9112&amp;G9112&amp;L9112</f>
        <v/>
      </c>
    </row>
    <row r="9113">
      <c r="A9113" s="94" t="n"/>
      <c r="B9113" s="128" t="n">
        <v>44084</v>
      </c>
      <c r="C9113" s="94">
        <f>TEXT(B9113,"aaa")</f>
        <v/>
      </c>
      <c r="D9113" s="94" t="n"/>
      <c r="E9113" s="94" t="inlineStr">
        <is>
          <t>토너</t>
        </is>
      </c>
      <c r="F9113" s="94" t="inlineStr">
        <is>
          <t>카페24</t>
        </is>
      </c>
      <c r="G9113" s="94" t="inlineStr">
        <is>
          <t>500ml</t>
        </is>
      </c>
      <c r="H9113" s="94" t="n">
        <v>200801</v>
      </c>
      <c r="I9113" s="94" t="n">
        <v>200801</v>
      </c>
      <c r="J9113" s="94" t="n"/>
      <c r="K9113" s="6" t="n">
        <v>69</v>
      </c>
      <c r="L9113" s="94" t="n">
        <v>200801</v>
      </c>
      <c r="M9113" s="94">
        <f>VLOOKUP($Q9113,매칭테이블!$F:$I,2,0)*K9113</f>
        <v/>
      </c>
      <c r="N9113" s="94">
        <f>M9113-M9113*VLOOKUP($Q9113,매칭테이블!$F:$I,3,0)</f>
        <v/>
      </c>
      <c r="O9113" s="94">
        <f>VLOOKUP($Q9113,매칭테이블!$F:$I,4,0)*K9113</f>
        <v/>
      </c>
      <c r="P9113" s="148">
        <f>M9113/1.1</f>
        <v/>
      </c>
      <c r="Q9113" s="94">
        <f>F9113&amp;E9113&amp;G9113&amp;L9113</f>
        <v/>
      </c>
    </row>
    <row r="9114">
      <c r="A9114" s="94" t="n"/>
      <c r="B9114" s="128" t="n">
        <v>44084</v>
      </c>
      <c r="C9114" s="94">
        <f>TEXT(B9114,"aaa")</f>
        <v/>
      </c>
      <c r="D9114" s="94" t="n"/>
      <c r="E9114" s="94" t="inlineStr">
        <is>
          <t>토너</t>
        </is>
      </c>
      <c r="F9114" s="94" t="inlineStr">
        <is>
          <t>카페24</t>
        </is>
      </c>
      <c r="G9114" s="94" t="inlineStr">
        <is>
          <t>스킨팩 화장솜 60P</t>
        </is>
      </c>
      <c r="H9114" s="94" t="n">
        <v>200801</v>
      </c>
      <c r="I9114" s="94" t="n">
        <v>200801</v>
      </c>
      <c r="J9114" s="94" t="n"/>
      <c r="K9114" s="6" t="n">
        <v>51</v>
      </c>
      <c r="L9114" s="94" t="n">
        <v>200801</v>
      </c>
      <c r="M9114" s="94">
        <f>VLOOKUP($Q9114,매칭테이블!$F:$I,2,0)*K9114</f>
        <v/>
      </c>
      <c r="N9114" s="94">
        <f>M9114-M9114*VLOOKUP($Q9114,매칭테이블!$F:$I,3,0)</f>
        <v/>
      </c>
      <c r="O9114" s="94">
        <f>VLOOKUP($Q9114,매칭테이블!$F:$I,4,0)*K9114</f>
        <v/>
      </c>
      <c r="P9114" s="148">
        <f>M9114/1.1</f>
        <v/>
      </c>
      <c r="Q9114" s="94">
        <f>F9114&amp;E9114&amp;G9114&amp;L9114</f>
        <v/>
      </c>
    </row>
    <row r="9115">
      <c r="A9115" s="94" t="n"/>
      <c r="B9115" s="128" t="n">
        <v>44084</v>
      </c>
      <c r="C9115" s="94">
        <f>TEXT(B9115,"aaa")</f>
        <v/>
      </c>
      <c r="D9115" s="94" t="n"/>
      <c r="E9115" s="94" t="inlineStr">
        <is>
          <t>앰플</t>
        </is>
      </c>
      <c r="F9115" s="94" t="inlineStr">
        <is>
          <t>카페24</t>
        </is>
      </c>
      <c r="G9115" s="94" t="inlineStr">
        <is>
          <t>앰플 30ml</t>
        </is>
      </c>
      <c r="H9115" s="94" t="n">
        <v>200801</v>
      </c>
      <c r="I9115" s="94" t="n">
        <v>200801</v>
      </c>
      <c r="J9115" s="94" t="n"/>
      <c r="K9115" s="6" t="n">
        <v>26</v>
      </c>
      <c r="L9115" s="94" t="n">
        <v>200801</v>
      </c>
      <c r="M9115" s="94">
        <f>VLOOKUP($Q9115,매칭테이블!$F:$I,2,0)*K9115</f>
        <v/>
      </c>
      <c r="N9115" s="94">
        <f>M9115-M9115*VLOOKUP($Q9115,매칭테이블!$F:$I,3,0)</f>
        <v/>
      </c>
      <c r="O9115" s="94">
        <f>VLOOKUP($Q9115,매칭테이블!$F:$I,4,0)*K9115</f>
        <v/>
      </c>
      <c r="P9115" s="148">
        <f>M9115/1.1</f>
        <v/>
      </c>
      <c r="Q9115" s="94">
        <f>F9115&amp;E9115&amp;G9115&amp;L9115</f>
        <v/>
      </c>
    </row>
    <row r="9116">
      <c r="A9116" s="94" t="n"/>
      <c r="B9116" s="128" t="n">
        <v>44084</v>
      </c>
      <c r="C9116" s="94">
        <f>TEXT(B9116,"aaa")</f>
        <v/>
      </c>
      <c r="D9116" s="94" t="n"/>
      <c r="E9116" s="94" t="inlineStr">
        <is>
          <t>앰플</t>
        </is>
      </c>
      <c r="F9116" s="94" t="inlineStr">
        <is>
          <t>카페24</t>
        </is>
      </c>
      <c r="G9116" s="94" t="inlineStr">
        <is>
          <t>앰플 30ml  2set</t>
        </is>
      </c>
      <c r="H9116" s="94" t="n">
        <v>200801</v>
      </c>
      <c r="I9116" s="94" t="n">
        <v>200801</v>
      </c>
      <c r="J9116" s="94" t="n"/>
      <c r="K9116" s="6" t="n">
        <v>3</v>
      </c>
      <c r="L9116" s="94" t="n">
        <v>200801</v>
      </c>
      <c r="M9116" s="94">
        <f>VLOOKUP($Q9116,매칭테이블!$F:$I,2,0)*K9116</f>
        <v/>
      </c>
      <c r="N9116" s="94">
        <f>M9116-M9116*VLOOKUP($Q9116,매칭테이블!$F:$I,3,0)</f>
        <v/>
      </c>
      <c r="O9116" s="94">
        <f>VLOOKUP($Q9116,매칭테이블!$F:$I,4,0)*K9116</f>
        <v/>
      </c>
      <c r="P9116" s="148">
        <f>M9116/1.1</f>
        <v/>
      </c>
      <c r="Q9116" s="94">
        <f>F9116&amp;E9116&amp;G9116&amp;L9116</f>
        <v/>
      </c>
    </row>
    <row r="9117">
      <c r="A9117" s="94" t="n"/>
      <c r="B9117" s="128" t="n">
        <v>44084</v>
      </c>
      <c r="C9117" s="94">
        <f>TEXT(B9117,"aaa")</f>
        <v/>
      </c>
      <c r="D9117" s="94" t="n"/>
      <c r="E9117" s="94" t="inlineStr">
        <is>
          <t>수딩크림</t>
        </is>
      </c>
      <c r="F9117" s="94" t="inlineStr">
        <is>
          <t>카페24</t>
        </is>
      </c>
      <c r="G9117" s="94" t="inlineStr">
        <is>
          <t>수딩크림 100ml</t>
        </is>
      </c>
      <c r="H9117" s="94" t="n">
        <v>200801</v>
      </c>
      <c r="I9117" s="94" t="n">
        <v>200801</v>
      </c>
      <c r="J9117" s="94" t="n"/>
      <c r="K9117" s="6" t="n">
        <v>3</v>
      </c>
      <c r="L9117" s="94" t="n">
        <v>200801</v>
      </c>
      <c r="M9117" s="94">
        <f>VLOOKUP($Q9117,매칭테이블!$F:$I,2,0)*K9117</f>
        <v/>
      </c>
      <c r="N9117" s="94">
        <f>M9117-M9117*VLOOKUP($Q9117,매칭테이블!$F:$I,3,0)</f>
        <v/>
      </c>
      <c r="O9117" s="94">
        <f>VLOOKUP($Q9117,매칭테이블!$F:$I,4,0)*K9117</f>
        <v/>
      </c>
      <c r="P9117" s="148">
        <f>M9117/1.1</f>
        <v/>
      </c>
      <c r="Q9117" s="94">
        <f>F9117&amp;E9117&amp;G9117&amp;L9117</f>
        <v/>
      </c>
    </row>
    <row r="9118">
      <c r="A9118" s="94" t="n"/>
      <c r="B9118" s="128" t="n">
        <v>44084</v>
      </c>
      <c r="C9118" s="94">
        <f>TEXT(B9118,"aaa")</f>
        <v/>
      </c>
      <c r="D9118" s="94" t="n"/>
      <c r="E9118" s="94" t="inlineStr">
        <is>
          <t>클렌징폼</t>
        </is>
      </c>
      <c r="F9118" s="94" t="inlineStr">
        <is>
          <t>카페24</t>
        </is>
      </c>
      <c r="G9118" s="94" t="inlineStr">
        <is>
          <t>클렌징폼 120ml</t>
        </is>
      </c>
      <c r="H9118" s="94" t="n">
        <v>200801</v>
      </c>
      <c r="I9118" s="94" t="n">
        <v>200801</v>
      </c>
      <c r="J9118" s="94" t="n"/>
      <c r="K9118" s="6" t="n">
        <v>10</v>
      </c>
      <c r="L9118" s="94" t="n">
        <v>200801</v>
      </c>
      <c r="M9118" s="94">
        <f>VLOOKUP($Q9118,매칭테이블!$F:$I,2,0)*K9118</f>
        <v/>
      </c>
      <c r="N9118" s="94">
        <f>M9118-M9118*VLOOKUP($Q9118,매칭테이블!$F:$I,3,0)</f>
        <v/>
      </c>
      <c r="O9118" s="94">
        <f>VLOOKUP($Q9118,매칭테이블!$F:$I,4,0)*K9118</f>
        <v/>
      </c>
      <c r="P9118" s="148">
        <f>M9118/1.1</f>
        <v/>
      </c>
      <c r="Q9118" s="94">
        <f>F9118&amp;E9118&amp;G9118&amp;L9118</f>
        <v/>
      </c>
    </row>
    <row r="9119">
      <c r="A9119" s="94" t="n"/>
      <c r="B9119" s="128" t="n">
        <v>44084</v>
      </c>
      <c r="C9119" s="94">
        <f>TEXT(B9119,"aaa")</f>
        <v/>
      </c>
      <c r="D9119" s="94" t="n"/>
      <c r="E9119" s="94" t="inlineStr">
        <is>
          <t>클렌징폼</t>
        </is>
      </c>
      <c r="F9119" s="94" t="inlineStr">
        <is>
          <t>카페24</t>
        </is>
      </c>
      <c r="G9119" s="94" t="inlineStr">
        <is>
          <t>클렌징폼 120ml 3set</t>
        </is>
      </c>
      <c r="H9119" s="94" t="n">
        <v>200801</v>
      </c>
      <c r="I9119" s="94" t="n">
        <v>200801</v>
      </c>
      <c r="J9119" s="94" t="n"/>
      <c r="K9119" s="6" t="n">
        <v>2</v>
      </c>
      <c r="L9119" s="94" t="n">
        <v>200801</v>
      </c>
      <c r="M9119" s="94">
        <f>VLOOKUP($Q9119,매칭테이블!$F:$I,2,0)*K9119</f>
        <v/>
      </c>
      <c r="N9119" s="94">
        <f>M9119-M9119*VLOOKUP($Q9119,매칭테이블!$F:$I,3,0)</f>
        <v/>
      </c>
      <c r="O9119" s="94">
        <f>VLOOKUP($Q9119,매칭테이블!$F:$I,4,0)*K9119</f>
        <v/>
      </c>
      <c r="P9119" s="148">
        <f>M9119/1.1</f>
        <v/>
      </c>
      <c r="Q9119" s="94">
        <f>F9119&amp;E9119&amp;G9119&amp;L9119</f>
        <v/>
      </c>
    </row>
    <row r="9120">
      <c r="A9120" s="94" t="n"/>
      <c r="B9120" s="128" t="n">
        <v>44084</v>
      </c>
      <c r="C9120" s="94">
        <f>TEXT(B9120,"aaa")</f>
        <v/>
      </c>
      <c r="D9120" s="94" t="n"/>
      <c r="E9120" s="94" t="inlineStr">
        <is>
          <t>토너</t>
        </is>
      </c>
      <c r="F9120" s="94" t="inlineStr">
        <is>
          <t>큐텐재팬</t>
        </is>
      </c>
      <c r="G9120" s="94" t="inlineStr">
        <is>
          <t>200726=250ml</t>
        </is>
      </c>
      <c r="H9120" s="94" t="n">
        <v>200801</v>
      </c>
      <c r="I9120" s="94" t="n">
        <v>200801</v>
      </c>
      <c r="J9120" s="94" t="n"/>
      <c r="K9120" s="6" t="n">
        <v>18</v>
      </c>
      <c r="L9120" s="94" t="n">
        <v>200801</v>
      </c>
      <c r="M9120" s="94">
        <f>VLOOKUP($Q9120,매칭테이블!$F:$I,2,0)*K9120</f>
        <v/>
      </c>
      <c r="N9120" s="94">
        <f>M9120-M9120*VLOOKUP($Q9120,매칭테이블!$F:$I,3,0)</f>
        <v/>
      </c>
      <c r="O9120" s="94">
        <f>VLOOKUP($Q9120,매칭테이블!$F:$I,4,0)*K9120</f>
        <v/>
      </c>
      <c r="P9120" s="148">
        <f>M9120/1.1</f>
        <v/>
      </c>
      <c r="Q9120" s="94">
        <f>F9120&amp;E9120&amp;G9120&amp;L9120</f>
        <v/>
      </c>
    </row>
    <row r="9121">
      <c r="A9121" s="94" t="n"/>
      <c r="B9121" s="128" t="n">
        <v>44084</v>
      </c>
      <c r="C9121" s="94">
        <f>TEXT(B9121,"aaa")</f>
        <v/>
      </c>
      <c r="D9121" s="94" t="n"/>
      <c r="E9121" s="94" t="inlineStr">
        <is>
          <t>토너</t>
        </is>
      </c>
      <c r="F9121" s="94" t="inlineStr">
        <is>
          <t>큐텐재팬</t>
        </is>
      </c>
      <c r="G9121" s="94" t="inlineStr">
        <is>
          <t>200726=250ml 2set</t>
        </is>
      </c>
      <c r="H9121" s="94" t="n">
        <v>200801</v>
      </c>
      <c r="I9121" s="94" t="n">
        <v>200801</v>
      </c>
      <c r="J9121" s="94" t="n"/>
      <c r="K9121" s="6" t="n">
        <v>15</v>
      </c>
      <c r="L9121" s="94" t="n">
        <v>200801</v>
      </c>
      <c r="M9121" s="94">
        <f>VLOOKUP($Q9121,매칭테이블!$F:$I,2,0)*K9121</f>
        <v/>
      </c>
      <c r="N9121" s="94">
        <f>M9121-M9121*VLOOKUP($Q9121,매칭테이블!$F:$I,3,0)</f>
        <v/>
      </c>
      <c r="O9121" s="94">
        <f>VLOOKUP($Q9121,매칭테이블!$F:$I,4,0)*K9121</f>
        <v/>
      </c>
      <c r="P9121" s="148">
        <f>M9121/1.1</f>
        <v/>
      </c>
      <c r="Q9121" s="94">
        <f>F9121&amp;E9121&amp;G9121&amp;L9121</f>
        <v/>
      </c>
    </row>
    <row r="9122" customFormat="1" s="94">
      <c r="B9122" s="128" t="n">
        <v>44085</v>
      </c>
      <c r="C9122" s="94">
        <f>TEXT(B9122,"aaa")</f>
        <v/>
      </c>
      <c r="E9122" s="94" t="inlineStr">
        <is>
          <t>토너</t>
        </is>
      </c>
      <c r="F9122" s="94" t="inlineStr">
        <is>
          <t>굿닥</t>
        </is>
      </c>
      <c r="G9122" s="94" t="inlineStr">
        <is>
          <t>250ml</t>
        </is>
      </c>
      <c r="H9122" s="94" t="n">
        <v>200801</v>
      </c>
      <c r="I9122" s="94" t="n">
        <v>200801</v>
      </c>
      <c r="K9122" s="6" t="n">
        <v>1</v>
      </c>
      <c r="L9122" s="94" t="n">
        <v>200801</v>
      </c>
      <c r="M9122" s="94">
        <f>VLOOKUP($Q9122,매칭테이블!$F:$I,2,0)*K9122</f>
        <v/>
      </c>
      <c r="N9122" s="94">
        <f>M9122-M9122*VLOOKUP($Q9122,매칭테이블!$F:$I,3,0)</f>
        <v/>
      </c>
      <c r="O9122" s="94">
        <f>VLOOKUP($Q9122,매칭테이블!$F:$I,4,0)*K9122</f>
        <v/>
      </c>
      <c r="P9122" s="148">
        <f>M9122/1.1</f>
        <v/>
      </c>
      <c r="Q9122" s="94">
        <f>F9122&amp;E9122&amp;G9122&amp;L9122</f>
        <v/>
      </c>
    </row>
    <row r="9123" customFormat="1" s="94">
      <c r="B9123" s="128" t="n">
        <v>44085</v>
      </c>
      <c r="C9123" s="94">
        <f>TEXT(B9123,"aaa")</f>
        <v/>
      </c>
      <c r="E9123" s="94" t="inlineStr">
        <is>
          <t>토너</t>
        </is>
      </c>
      <c r="F9123" s="94" t="inlineStr">
        <is>
          <t>W컨셉</t>
        </is>
      </c>
      <c r="G9123" s="94" t="inlineStr">
        <is>
          <t>250ml</t>
        </is>
      </c>
      <c r="H9123" s="94" t="n">
        <v>200801</v>
      </c>
      <c r="I9123" s="94" t="n">
        <v>200801</v>
      </c>
      <c r="K9123" s="6" t="n">
        <v>1</v>
      </c>
      <c r="L9123" s="94" t="n">
        <v>200801</v>
      </c>
      <c r="M9123" s="94">
        <f>VLOOKUP($Q9123,매칭테이블!$F:$I,2,0)*K9123</f>
        <v/>
      </c>
      <c r="N9123" s="94">
        <f>M9123-M9123*VLOOKUP($Q9123,매칭테이블!$F:$I,3,0)</f>
        <v/>
      </c>
      <c r="O9123" s="94">
        <f>VLOOKUP($Q9123,매칭테이블!$F:$I,4,0)*K9123</f>
        <v/>
      </c>
      <c r="P9123" s="148">
        <f>M9123/1.1</f>
        <v/>
      </c>
      <c r="Q9123" s="94">
        <f>F9123&amp;E9123&amp;G9123&amp;L9123</f>
        <v/>
      </c>
    </row>
    <row r="9124" customFormat="1" s="94">
      <c r="B9124" s="128" t="n">
        <v>44085</v>
      </c>
      <c r="C9124" s="94">
        <f>TEXT(B9124,"aaa")</f>
        <v/>
      </c>
      <c r="E9124" s="94" t="inlineStr">
        <is>
          <t>토너</t>
        </is>
      </c>
      <c r="F9124" s="94" t="inlineStr">
        <is>
          <t>W컨셉</t>
        </is>
      </c>
      <c r="G9124" s="94" t="inlineStr">
        <is>
          <t>250ml 2set</t>
        </is>
      </c>
      <c r="H9124" s="94" t="n">
        <v>200801</v>
      </c>
      <c r="I9124" s="94" t="n">
        <v>200801</v>
      </c>
      <c r="K9124" s="6" t="n">
        <v>6</v>
      </c>
      <c r="L9124" s="94" t="n">
        <v>200801</v>
      </c>
      <c r="M9124" s="94">
        <f>VLOOKUP($Q9124,매칭테이블!$F:$I,2,0)*K9124</f>
        <v/>
      </c>
      <c r="N9124" s="94">
        <f>M9124-M9124*VLOOKUP($Q9124,매칭테이블!$F:$I,3,0)</f>
        <v/>
      </c>
      <c r="O9124" s="94">
        <f>VLOOKUP($Q9124,매칭테이블!$F:$I,4,0)*K9124</f>
        <v/>
      </c>
      <c r="P9124" s="148">
        <f>M9124/1.1</f>
        <v/>
      </c>
      <c r="Q9124" s="94">
        <f>F9124&amp;E9124&amp;G9124&amp;L9124</f>
        <v/>
      </c>
    </row>
    <row r="9125" customFormat="1" s="94">
      <c r="B9125" s="128" t="n">
        <v>44085</v>
      </c>
      <c r="C9125" s="94">
        <f>TEXT(B9125,"aaa")</f>
        <v/>
      </c>
      <c r="E9125" s="94" t="inlineStr">
        <is>
          <t>토너</t>
        </is>
      </c>
      <c r="F9125" s="94" t="inlineStr">
        <is>
          <t>스타일쉐어</t>
        </is>
      </c>
      <c r="G9125" s="94" t="inlineStr">
        <is>
          <t>250ml</t>
        </is>
      </c>
      <c r="H9125" s="94" t="n">
        <v>200801</v>
      </c>
      <c r="I9125" s="94" t="n">
        <v>200801</v>
      </c>
      <c r="K9125" s="6" t="n">
        <v>2</v>
      </c>
      <c r="L9125" s="94" t="n">
        <v>200801</v>
      </c>
      <c r="M9125" s="94">
        <f>VLOOKUP($Q9125,매칭테이블!$F:$I,2,0)*K9125</f>
        <v/>
      </c>
      <c r="N9125" s="94">
        <f>M9125-M9125*VLOOKUP($Q9125,매칭테이블!$F:$I,3,0)</f>
        <v/>
      </c>
      <c r="O9125" s="94">
        <f>VLOOKUP($Q9125,매칭테이블!$F:$I,4,0)*K9125</f>
        <v/>
      </c>
      <c r="P9125" s="148">
        <f>M9125/1.1</f>
        <v/>
      </c>
      <c r="Q9125" s="94">
        <f>F9125&amp;E9125&amp;G9125&amp;L9125</f>
        <v/>
      </c>
    </row>
    <row r="9126" customFormat="1" s="94">
      <c r="B9126" s="128" t="n">
        <v>44085</v>
      </c>
      <c r="C9126" s="94">
        <f>TEXT(B9126,"aaa")</f>
        <v/>
      </c>
      <c r="E9126" s="94" t="inlineStr">
        <is>
          <t>선크림</t>
        </is>
      </c>
      <c r="F9126" s="94" t="inlineStr">
        <is>
          <t>카페24</t>
        </is>
      </c>
      <c r="G9126" s="94" t="inlineStr">
        <is>
          <t>선크림 50ml</t>
        </is>
      </c>
      <c r="H9126" s="94" t="n">
        <v>200801</v>
      </c>
      <c r="I9126" s="94" t="n">
        <v>200801</v>
      </c>
      <c r="K9126" s="6" t="n">
        <v>1</v>
      </c>
      <c r="L9126" s="94" t="n">
        <v>200801</v>
      </c>
      <c r="M9126" s="94">
        <f>VLOOKUP($Q9126,매칭테이블!$F:$I,2,0)*K9126</f>
        <v/>
      </c>
      <c r="N9126" s="94">
        <f>M9126-M9126*VLOOKUP($Q9126,매칭테이블!$F:$I,3,0)</f>
        <v/>
      </c>
      <c r="O9126" s="94">
        <f>VLOOKUP($Q9126,매칭테이블!$F:$I,4,0)*K9126</f>
        <v/>
      </c>
      <c r="P9126" s="148">
        <f>M9126/1.1</f>
        <v/>
      </c>
      <c r="Q9126" s="94">
        <f>F9126&amp;E9126&amp;G9126&amp;L9126</f>
        <v/>
      </c>
    </row>
    <row r="9127" customFormat="1" s="94">
      <c r="B9127" s="128" t="n">
        <v>44085</v>
      </c>
      <c r="C9127" s="94">
        <f>TEXT(B9127,"aaa")</f>
        <v/>
      </c>
      <c r="E9127" s="94" t="inlineStr">
        <is>
          <t>선크림</t>
        </is>
      </c>
      <c r="F9127" s="94" t="inlineStr">
        <is>
          <t>카페24</t>
        </is>
      </c>
      <c r="G9127" s="94" t="inlineStr">
        <is>
          <t>선크림 50ml  2set</t>
        </is>
      </c>
      <c r="H9127" s="94" t="n">
        <v>200801</v>
      </c>
      <c r="I9127" s="94" t="n">
        <v>200801</v>
      </c>
      <c r="K9127" s="6" t="n">
        <v>1</v>
      </c>
      <c r="L9127" s="94" t="n">
        <v>200801</v>
      </c>
      <c r="M9127" s="94">
        <f>VLOOKUP($Q9127,매칭테이블!$F:$I,2,0)*K9127</f>
        <v/>
      </c>
      <c r="N9127" s="94">
        <f>M9127-M9127*VLOOKUP($Q9127,매칭테이블!$F:$I,3,0)</f>
        <v/>
      </c>
      <c r="O9127" s="94">
        <f>VLOOKUP($Q9127,매칭테이블!$F:$I,4,0)*K9127</f>
        <v/>
      </c>
      <c r="P9127" s="148">
        <f>M9127/1.1</f>
        <v/>
      </c>
      <c r="Q9127" s="94">
        <f>F9127&amp;E9127&amp;G9127&amp;L9127</f>
        <v/>
      </c>
    </row>
    <row r="9128" customFormat="1" s="94">
      <c r="B9128" s="128" t="n">
        <v>44085</v>
      </c>
      <c r="C9128" s="94">
        <f>TEXT(B9128,"aaa")</f>
        <v/>
      </c>
      <c r="E9128" s="94" t="inlineStr">
        <is>
          <t>여름 한정 진정세트</t>
        </is>
      </c>
      <c r="F9128" s="94" t="inlineStr">
        <is>
          <t>카페24</t>
        </is>
      </c>
      <c r="G9128" s="94" t="inlineStr">
        <is>
          <t>여름 한정 진정세트</t>
        </is>
      </c>
      <c r="H9128" s="94" t="n">
        <v>200801</v>
      </c>
      <c r="I9128" s="94" t="n">
        <v>200801</v>
      </c>
      <c r="K9128" s="6" t="n">
        <v>1</v>
      </c>
      <c r="L9128" s="94" t="n">
        <v>200801</v>
      </c>
      <c r="M9128" s="94">
        <f>VLOOKUP($Q9128,매칭테이블!$F:$I,2,0)*K9128</f>
        <v/>
      </c>
      <c r="N9128" s="94">
        <f>M9128-M9128*VLOOKUP($Q9128,매칭테이블!$F:$I,3,0)</f>
        <v/>
      </c>
      <c r="O9128" s="94">
        <f>VLOOKUP($Q9128,매칭테이블!$F:$I,4,0)*K9128</f>
        <v/>
      </c>
      <c r="P9128" s="148">
        <f>M9128/1.1</f>
        <v/>
      </c>
      <c r="Q9128" s="94">
        <f>F9128&amp;E9128&amp;G9128&amp;L9128</f>
        <v/>
      </c>
    </row>
    <row r="9129" customFormat="1" s="94">
      <c r="B9129" s="128" t="n">
        <v>44085</v>
      </c>
      <c r="C9129" s="94">
        <f>TEXT(B9129,"aaa")</f>
        <v/>
      </c>
      <c r="E9129" s="94" t="inlineStr">
        <is>
          <t>머드크림마스크</t>
        </is>
      </c>
      <c r="F9129" s="94" t="inlineStr">
        <is>
          <t>카페24</t>
        </is>
      </c>
      <c r="G9129" s="94" t="inlineStr">
        <is>
          <t>머드크림마스크 100ml</t>
        </is>
      </c>
      <c r="H9129" s="94" t="n">
        <v>200801</v>
      </c>
      <c r="I9129" s="94" t="n">
        <v>200801</v>
      </c>
      <c r="K9129" s="6" t="n">
        <v>3</v>
      </c>
      <c r="L9129" s="94" t="n">
        <v>200801</v>
      </c>
      <c r="M9129" s="94">
        <f>VLOOKUP($Q9129,매칭테이블!$F:$I,2,0)*K9129</f>
        <v/>
      </c>
      <c r="N9129" s="94">
        <f>M9129-M9129*VLOOKUP($Q9129,매칭테이블!$F:$I,3,0)</f>
        <v/>
      </c>
      <c r="O9129" s="94">
        <f>VLOOKUP($Q9129,매칭테이블!$F:$I,4,0)*K9129</f>
        <v/>
      </c>
      <c r="P9129" s="148">
        <f>M9129/1.1</f>
        <v/>
      </c>
      <c r="Q9129" s="94">
        <f>F9129&amp;E9129&amp;G9129&amp;L9129</f>
        <v/>
      </c>
    </row>
    <row r="9130" customFormat="1" s="94">
      <c r="B9130" s="128" t="n">
        <v>44085</v>
      </c>
      <c r="C9130" s="94">
        <f>TEXT(B9130,"aaa")</f>
        <v/>
      </c>
      <c r="E9130" s="94" t="inlineStr">
        <is>
          <t>마스크팩</t>
        </is>
      </c>
      <c r="F9130" s="94" t="inlineStr">
        <is>
          <t>카페24</t>
        </is>
      </c>
      <c r="G9130" s="94" t="inlineStr">
        <is>
          <t>마스크팩 1매</t>
        </is>
      </c>
      <c r="H9130" s="94" t="n">
        <v>200801</v>
      </c>
      <c r="I9130" s="94" t="n">
        <v>200801</v>
      </c>
      <c r="K9130" s="6" t="n">
        <v>4</v>
      </c>
      <c r="L9130" s="94" t="n">
        <v>200801</v>
      </c>
      <c r="M9130" s="94">
        <f>VLOOKUP($Q9130,매칭테이블!$F:$I,2,0)*K9130</f>
        <v/>
      </c>
      <c r="N9130" s="94">
        <f>M9130-M9130*VLOOKUP($Q9130,매칭테이블!$F:$I,3,0)</f>
        <v/>
      </c>
      <c r="O9130" s="94">
        <f>VLOOKUP($Q9130,매칭테이블!$F:$I,4,0)*K9130</f>
        <v/>
      </c>
      <c r="P9130" s="148">
        <f>M9130/1.1</f>
        <v/>
      </c>
      <c r="Q9130" s="94">
        <f>F9130&amp;E9130&amp;G9130&amp;L9130</f>
        <v/>
      </c>
    </row>
    <row r="9131" customFormat="1" s="94">
      <c r="B9131" s="128" t="n">
        <v>44085</v>
      </c>
      <c r="C9131" s="94">
        <f>TEXT(B9131,"aaa")</f>
        <v/>
      </c>
      <c r="E9131" s="94" t="inlineStr">
        <is>
          <t>마스크팩</t>
        </is>
      </c>
      <c r="F9131" s="94" t="inlineStr">
        <is>
          <t>카페24</t>
        </is>
      </c>
      <c r="G9131" s="94" t="inlineStr">
        <is>
          <t>마스크팩 10매</t>
        </is>
      </c>
      <c r="H9131" s="94" t="n">
        <v>200801</v>
      </c>
      <c r="I9131" s="94" t="n">
        <v>200801</v>
      </c>
      <c r="K9131" s="6" t="n">
        <v>3</v>
      </c>
      <c r="L9131" s="94" t="n">
        <v>200801</v>
      </c>
      <c r="M9131" s="94">
        <f>VLOOKUP($Q9131,매칭테이블!$F:$I,2,0)*K9131</f>
        <v/>
      </c>
      <c r="N9131" s="94">
        <f>M9131-M9131*VLOOKUP($Q9131,매칭테이블!$F:$I,3,0)</f>
        <v/>
      </c>
      <c r="O9131" s="94">
        <f>VLOOKUP($Q9131,매칭테이블!$F:$I,4,0)*K9131</f>
        <v/>
      </c>
      <c r="P9131" s="148">
        <f>M9131/1.1</f>
        <v/>
      </c>
      <c r="Q9131" s="94">
        <f>F9131&amp;E9131&amp;G9131&amp;L9131</f>
        <v/>
      </c>
    </row>
    <row r="9132" customFormat="1" s="94">
      <c r="B9132" s="128" t="n">
        <v>44085</v>
      </c>
      <c r="C9132" s="94">
        <f>TEXT(B9132,"aaa")</f>
        <v/>
      </c>
      <c r="E9132" s="94" t="inlineStr">
        <is>
          <t>토너</t>
        </is>
      </c>
      <c r="F9132" s="94" t="inlineStr">
        <is>
          <t>카페24</t>
        </is>
      </c>
      <c r="G9132" s="94" t="inlineStr">
        <is>
          <t>250ml</t>
        </is>
      </c>
      <c r="H9132" s="94" t="n">
        <v>200801</v>
      </c>
      <c r="I9132" s="94" t="n">
        <v>200801</v>
      </c>
      <c r="K9132" s="6" t="n">
        <v>69</v>
      </c>
      <c r="L9132" s="94" t="n">
        <v>200801</v>
      </c>
      <c r="M9132" s="94">
        <f>VLOOKUP($Q9132,매칭테이블!$F:$I,2,0)*K9132</f>
        <v/>
      </c>
      <c r="N9132" s="94">
        <f>M9132-M9132*VLOOKUP($Q9132,매칭테이블!$F:$I,3,0)</f>
        <v/>
      </c>
      <c r="O9132" s="94">
        <f>VLOOKUP($Q9132,매칭테이블!$F:$I,4,0)*K9132</f>
        <v/>
      </c>
      <c r="P9132" s="148">
        <f>M9132/1.1</f>
        <v/>
      </c>
      <c r="Q9132" s="94">
        <f>F9132&amp;E9132&amp;G9132&amp;L9132</f>
        <v/>
      </c>
    </row>
    <row r="9133" customFormat="1" s="94">
      <c r="B9133" s="128" t="n">
        <v>44085</v>
      </c>
      <c r="C9133" s="94">
        <f>TEXT(B9133,"aaa")</f>
        <v/>
      </c>
      <c r="E9133" s="94" t="inlineStr">
        <is>
          <t>토너</t>
        </is>
      </c>
      <c r="F9133" s="94" t="inlineStr">
        <is>
          <t>카페24</t>
        </is>
      </c>
      <c r="G9133" s="94" t="inlineStr">
        <is>
          <t>250ml 2set</t>
        </is>
      </c>
      <c r="H9133" s="94" t="n">
        <v>200801</v>
      </c>
      <c r="I9133" s="94" t="n">
        <v>200801</v>
      </c>
      <c r="K9133" s="6" t="n">
        <v>35</v>
      </c>
      <c r="L9133" s="94" t="n">
        <v>200801</v>
      </c>
      <c r="M9133" s="94">
        <f>VLOOKUP($Q9133,매칭테이블!$F:$I,2,0)*K9133</f>
        <v/>
      </c>
      <c r="N9133" s="94">
        <f>M9133-M9133*VLOOKUP($Q9133,매칭테이블!$F:$I,3,0)</f>
        <v/>
      </c>
      <c r="O9133" s="94">
        <f>VLOOKUP($Q9133,매칭테이블!$F:$I,4,0)*K9133</f>
        <v/>
      </c>
      <c r="P9133" s="148">
        <f>M9133/1.1</f>
        <v/>
      </c>
      <c r="Q9133" s="94">
        <f>F9133&amp;E9133&amp;G9133&amp;L9133</f>
        <v/>
      </c>
    </row>
    <row r="9134" customFormat="1" s="94">
      <c r="B9134" s="128" t="n">
        <v>44085</v>
      </c>
      <c r="C9134" s="94">
        <f>TEXT(B9134,"aaa")</f>
        <v/>
      </c>
      <c r="E9134" s="94" t="inlineStr">
        <is>
          <t>토너</t>
        </is>
      </c>
      <c r="F9134" s="94" t="inlineStr">
        <is>
          <t>카페24</t>
        </is>
      </c>
      <c r="G9134" s="94" t="inlineStr">
        <is>
          <t>500ml</t>
        </is>
      </c>
      <c r="H9134" s="94" t="n">
        <v>200801</v>
      </c>
      <c r="I9134" s="94" t="n">
        <v>200801</v>
      </c>
      <c r="K9134" s="6" t="n">
        <v>56</v>
      </c>
      <c r="L9134" s="94" t="n">
        <v>200801</v>
      </c>
      <c r="M9134" s="94">
        <f>VLOOKUP($Q9134,매칭테이블!$F:$I,2,0)*K9134</f>
        <v/>
      </c>
      <c r="N9134" s="94">
        <f>M9134-M9134*VLOOKUP($Q9134,매칭테이블!$F:$I,3,0)</f>
        <v/>
      </c>
      <c r="O9134" s="94">
        <f>VLOOKUP($Q9134,매칭테이블!$F:$I,4,0)*K9134</f>
        <v/>
      </c>
      <c r="P9134" s="148">
        <f>M9134/1.1</f>
        <v/>
      </c>
      <c r="Q9134" s="94">
        <f>F9134&amp;E9134&amp;G9134&amp;L9134</f>
        <v/>
      </c>
    </row>
    <row r="9135" customFormat="1" s="94">
      <c r="B9135" s="128" t="n">
        <v>44085</v>
      </c>
      <c r="C9135" s="94">
        <f>TEXT(B9135,"aaa")</f>
        <v/>
      </c>
      <c r="E9135" s="94" t="inlineStr">
        <is>
          <t>토너</t>
        </is>
      </c>
      <c r="F9135" s="94" t="inlineStr">
        <is>
          <t>카페24</t>
        </is>
      </c>
      <c r="G9135" s="94" t="inlineStr">
        <is>
          <t>스킨팩 화장솜 60P</t>
        </is>
      </c>
      <c r="H9135" s="94" t="n">
        <v>200801</v>
      </c>
      <c r="I9135" s="94" t="n">
        <v>200801</v>
      </c>
      <c r="K9135" s="6" t="n">
        <v>53</v>
      </c>
      <c r="L9135" s="94" t="n">
        <v>200801</v>
      </c>
      <c r="M9135" s="94">
        <f>VLOOKUP($Q9135,매칭테이블!$F:$I,2,0)*K9135</f>
        <v/>
      </c>
      <c r="N9135" s="94">
        <f>M9135-M9135*VLOOKUP($Q9135,매칭테이블!$F:$I,3,0)</f>
        <v/>
      </c>
      <c r="O9135" s="94">
        <f>VLOOKUP($Q9135,매칭테이블!$F:$I,4,0)*K9135</f>
        <v/>
      </c>
      <c r="P9135" s="148">
        <f>M9135/1.1</f>
        <v/>
      </c>
      <c r="Q9135" s="94">
        <f>F9135&amp;E9135&amp;G9135&amp;L9135</f>
        <v/>
      </c>
    </row>
    <row r="9136" customFormat="1" s="94">
      <c r="B9136" s="128" t="n">
        <v>44085</v>
      </c>
      <c r="C9136" s="94">
        <f>TEXT(B9136,"aaa")</f>
        <v/>
      </c>
      <c r="E9136" s="94" t="inlineStr">
        <is>
          <t>앰플</t>
        </is>
      </c>
      <c r="F9136" s="94" t="inlineStr">
        <is>
          <t>카페24</t>
        </is>
      </c>
      <c r="G9136" s="94" t="inlineStr">
        <is>
          <t>앰플 30ml</t>
        </is>
      </c>
      <c r="H9136" s="94" t="n">
        <v>200801</v>
      </c>
      <c r="I9136" s="94" t="n">
        <v>200801</v>
      </c>
      <c r="K9136" s="6" t="n">
        <v>16</v>
      </c>
      <c r="L9136" s="94" t="n">
        <v>200801</v>
      </c>
      <c r="M9136" s="94">
        <f>VLOOKUP($Q9136,매칭테이블!$F:$I,2,0)*K9136</f>
        <v/>
      </c>
      <c r="N9136" s="94">
        <f>M9136-M9136*VLOOKUP($Q9136,매칭테이블!$F:$I,3,0)</f>
        <v/>
      </c>
      <c r="O9136" s="94">
        <f>VLOOKUP($Q9136,매칭테이블!$F:$I,4,0)*K9136</f>
        <v/>
      </c>
      <c r="P9136" s="148">
        <f>M9136/1.1</f>
        <v/>
      </c>
      <c r="Q9136" s="94">
        <f>F9136&amp;E9136&amp;G9136&amp;L9136</f>
        <v/>
      </c>
    </row>
    <row r="9137" customFormat="1" s="94">
      <c r="B9137" s="128" t="n">
        <v>44085</v>
      </c>
      <c r="C9137" s="94">
        <f>TEXT(B9137,"aaa")</f>
        <v/>
      </c>
      <c r="E9137" s="94" t="inlineStr">
        <is>
          <t>앰플</t>
        </is>
      </c>
      <c r="F9137" s="94" t="inlineStr">
        <is>
          <t>카페24</t>
        </is>
      </c>
      <c r="G9137" s="94" t="inlineStr">
        <is>
          <t>앰플 30ml  2set</t>
        </is>
      </c>
      <c r="H9137" s="94" t="n">
        <v>200801</v>
      </c>
      <c r="I9137" s="94" t="n">
        <v>200801</v>
      </c>
      <c r="K9137" s="6" t="n">
        <v>3</v>
      </c>
      <c r="L9137" s="94" t="n">
        <v>200801</v>
      </c>
      <c r="M9137" s="94">
        <f>VLOOKUP($Q9137,매칭테이블!$F:$I,2,0)*K9137</f>
        <v/>
      </c>
      <c r="N9137" s="94">
        <f>M9137-M9137*VLOOKUP($Q9137,매칭테이블!$F:$I,3,0)</f>
        <v/>
      </c>
      <c r="O9137" s="94">
        <f>VLOOKUP($Q9137,매칭테이블!$F:$I,4,0)*K9137</f>
        <v/>
      </c>
      <c r="P9137" s="148">
        <f>M9137/1.1</f>
        <v/>
      </c>
      <c r="Q9137" s="94">
        <f>F9137&amp;E9137&amp;G9137&amp;L9137</f>
        <v/>
      </c>
    </row>
    <row r="9138" customFormat="1" s="94">
      <c r="B9138" s="128" t="n">
        <v>44085</v>
      </c>
      <c r="C9138" s="94">
        <f>TEXT(B9138,"aaa")</f>
        <v/>
      </c>
      <c r="E9138" s="94" t="inlineStr">
        <is>
          <t>수딩크림</t>
        </is>
      </c>
      <c r="F9138" s="94" t="inlineStr">
        <is>
          <t>카페24</t>
        </is>
      </c>
      <c r="G9138" s="94" t="inlineStr">
        <is>
          <t>수딩크림 100ml</t>
        </is>
      </c>
      <c r="H9138" s="94" t="n">
        <v>200801</v>
      </c>
      <c r="I9138" s="94" t="n">
        <v>200801</v>
      </c>
      <c r="K9138" s="6" t="n">
        <v>7</v>
      </c>
      <c r="L9138" s="94" t="n">
        <v>200801</v>
      </c>
      <c r="M9138" s="94">
        <f>VLOOKUP($Q9138,매칭테이블!$F:$I,2,0)*K9138</f>
        <v/>
      </c>
      <c r="N9138" s="94">
        <f>M9138-M9138*VLOOKUP($Q9138,매칭테이블!$F:$I,3,0)</f>
        <v/>
      </c>
      <c r="O9138" s="94">
        <f>VLOOKUP($Q9138,매칭테이블!$F:$I,4,0)*K9138</f>
        <v/>
      </c>
      <c r="P9138" s="148">
        <f>M9138/1.1</f>
        <v/>
      </c>
      <c r="Q9138" s="94">
        <f>F9138&amp;E9138&amp;G9138&amp;L9138</f>
        <v/>
      </c>
    </row>
    <row r="9139" customFormat="1" s="94">
      <c r="B9139" s="128" t="n">
        <v>44085</v>
      </c>
      <c r="C9139" s="94">
        <f>TEXT(B9139,"aaa")</f>
        <v/>
      </c>
      <c r="E9139" s="94" t="inlineStr">
        <is>
          <t>클렌징폼</t>
        </is>
      </c>
      <c r="F9139" s="94" t="inlineStr">
        <is>
          <t>카페24</t>
        </is>
      </c>
      <c r="G9139" s="94" t="inlineStr">
        <is>
          <t>클렌징폼 120ml</t>
        </is>
      </c>
      <c r="H9139" s="94" t="n">
        <v>200801</v>
      </c>
      <c r="I9139" s="94" t="n">
        <v>200801</v>
      </c>
      <c r="K9139" s="6" t="n">
        <v>3</v>
      </c>
      <c r="L9139" s="94" t="n">
        <v>200801</v>
      </c>
      <c r="M9139" s="94">
        <f>VLOOKUP($Q9139,매칭테이블!$F:$I,2,0)*K9139</f>
        <v/>
      </c>
      <c r="N9139" s="94">
        <f>M9139-M9139*VLOOKUP($Q9139,매칭테이블!$F:$I,3,0)</f>
        <v/>
      </c>
      <c r="O9139" s="94">
        <f>VLOOKUP($Q9139,매칭테이블!$F:$I,4,0)*K9139</f>
        <v/>
      </c>
      <c r="P9139" s="148">
        <f>M9139/1.1</f>
        <v/>
      </c>
      <c r="Q9139" s="94">
        <f>F9139&amp;E9139&amp;G9139&amp;L9139</f>
        <v/>
      </c>
    </row>
    <row r="9140" customFormat="1" s="94">
      <c r="B9140" s="128" t="n">
        <v>44085</v>
      </c>
      <c r="C9140" s="94">
        <f>TEXT(B9140,"aaa")</f>
        <v/>
      </c>
      <c r="E9140" s="94" t="inlineStr">
        <is>
          <t>클렌징폼</t>
        </is>
      </c>
      <c r="F9140" s="94" t="inlineStr">
        <is>
          <t>카페24</t>
        </is>
      </c>
      <c r="G9140" s="94" t="inlineStr">
        <is>
          <t>클렌징폼 120ml 2set</t>
        </is>
      </c>
      <c r="H9140" s="94" t="n">
        <v>200801</v>
      </c>
      <c r="I9140" s="94" t="n">
        <v>200801</v>
      </c>
      <c r="K9140" s="6" t="n">
        <v>1</v>
      </c>
      <c r="L9140" s="94" t="n">
        <v>200801</v>
      </c>
      <c r="M9140" s="94">
        <f>VLOOKUP($Q9140,매칭테이블!$F:$I,2,0)*K9140</f>
        <v/>
      </c>
      <c r="N9140" s="94">
        <f>M9140-M9140*VLOOKUP($Q9140,매칭테이블!$F:$I,3,0)</f>
        <v/>
      </c>
      <c r="O9140" s="94">
        <f>VLOOKUP($Q9140,매칭테이블!$F:$I,4,0)*K9140</f>
        <v/>
      </c>
      <c r="P9140" s="148">
        <f>M9140/1.1</f>
        <v/>
      </c>
      <c r="Q9140" s="94">
        <f>F9140&amp;E9140&amp;G9140&amp;L9140</f>
        <v/>
      </c>
    </row>
    <row r="9141" customFormat="1" s="94">
      <c r="B9141" s="128" t="n">
        <v>44085</v>
      </c>
      <c r="C9141" s="94">
        <f>TEXT(B9141,"aaa")</f>
        <v/>
      </c>
      <c r="E9141" s="94" t="inlineStr">
        <is>
          <t>토너</t>
        </is>
      </c>
      <c r="F9141" s="94" t="inlineStr">
        <is>
          <t>큐텐재팬</t>
        </is>
      </c>
      <c r="G9141" s="94" t="inlineStr">
        <is>
          <t>200726=250ml</t>
        </is>
      </c>
      <c r="H9141" s="94" t="n">
        <v>200801</v>
      </c>
      <c r="I9141" s="94" t="n">
        <v>200801</v>
      </c>
      <c r="K9141" s="6" t="n">
        <v>37</v>
      </c>
      <c r="L9141" s="94" t="n">
        <v>200801</v>
      </c>
      <c r="M9141" s="94">
        <f>VLOOKUP($Q9141,매칭테이블!$F:$I,2,0)*K9141</f>
        <v/>
      </c>
      <c r="N9141" s="94">
        <f>M9141-M9141*VLOOKUP($Q9141,매칭테이블!$F:$I,3,0)</f>
        <v/>
      </c>
      <c r="O9141" s="94">
        <f>VLOOKUP($Q9141,매칭테이블!$F:$I,4,0)*K9141</f>
        <v/>
      </c>
      <c r="P9141" s="148">
        <f>M9141/1.1</f>
        <v/>
      </c>
      <c r="Q9141" s="94">
        <f>F9141&amp;E9141&amp;G9141&amp;L9141</f>
        <v/>
      </c>
    </row>
    <row r="9142" customFormat="1" s="94">
      <c r="B9142" s="128" t="n">
        <v>44085</v>
      </c>
      <c r="C9142" s="94">
        <f>TEXT(B9142,"aaa")</f>
        <v/>
      </c>
      <c r="E9142" s="94" t="inlineStr">
        <is>
          <t>수딩크림</t>
        </is>
      </c>
      <c r="F9142" s="94" t="inlineStr">
        <is>
          <t>큐텐재팬</t>
        </is>
      </c>
      <c r="G9142" s="94" t="inlineStr">
        <is>
          <t>200726=수딩크림 100ml</t>
        </is>
      </c>
      <c r="H9142" s="94" t="n">
        <v>200801</v>
      </c>
      <c r="I9142" s="94" t="n">
        <v>200801</v>
      </c>
      <c r="K9142" s="6" t="n">
        <v>1</v>
      </c>
      <c r="L9142" s="94" t="n">
        <v>200801</v>
      </c>
      <c r="M9142" s="94">
        <f>VLOOKUP($Q9142,매칭테이블!$F:$I,2,0)*K9142</f>
        <v/>
      </c>
      <c r="N9142" s="94">
        <f>M9142-M9142*VLOOKUP($Q9142,매칭테이블!$F:$I,3,0)</f>
        <v/>
      </c>
      <c r="O9142" s="94">
        <f>VLOOKUP($Q9142,매칭테이블!$F:$I,4,0)*K9142</f>
        <v/>
      </c>
      <c r="P9142" s="148">
        <f>M9142/1.1</f>
        <v/>
      </c>
      <c r="Q9142" s="94">
        <f>F9142&amp;E9142&amp;G9142&amp;L9142</f>
        <v/>
      </c>
    </row>
    <row r="9143" customFormat="1" s="94">
      <c r="B9143" s="128" t="n">
        <v>44085</v>
      </c>
      <c r="C9143" s="94">
        <f>TEXT(B9143,"aaa")</f>
        <v/>
      </c>
      <c r="E9143" s="94" t="inlineStr">
        <is>
          <t>머드크림마스크</t>
        </is>
      </c>
      <c r="F9143" s="94" t="inlineStr">
        <is>
          <t>큐텐재팬</t>
        </is>
      </c>
      <c r="G9143" s="94" t="inlineStr">
        <is>
          <t>200726=머드크림마스크 100ml</t>
        </is>
      </c>
      <c r="H9143" s="94" t="n">
        <v>200801</v>
      </c>
      <c r="I9143" s="94" t="n">
        <v>200801</v>
      </c>
      <c r="K9143" s="6" t="n">
        <v>2</v>
      </c>
      <c r="L9143" s="94" t="n">
        <v>200801</v>
      </c>
      <c r="M9143" s="94">
        <f>VLOOKUP($Q9143,매칭테이블!$F:$I,2,0)*K9143</f>
        <v/>
      </c>
      <c r="N9143" s="94">
        <f>M9143-M9143*VLOOKUP($Q9143,매칭테이블!$F:$I,3,0)</f>
        <v/>
      </c>
      <c r="O9143" s="94">
        <f>VLOOKUP($Q9143,매칭테이블!$F:$I,4,0)*K9143</f>
        <v/>
      </c>
      <c r="P9143" s="148">
        <f>M9143/1.1</f>
        <v/>
      </c>
      <c r="Q9143" s="94">
        <f>F9143&amp;E9143&amp;G9143&amp;L9143</f>
        <v/>
      </c>
    </row>
    <row r="9144" customFormat="1" s="94">
      <c r="B9144" s="128" t="n">
        <v>44085</v>
      </c>
      <c r="C9144" s="94">
        <f>TEXT(B9144,"aaa")</f>
        <v/>
      </c>
      <c r="E9144" s="94" t="inlineStr">
        <is>
          <t>토너</t>
        </is>
      </c>
      <c r="F9144" s="94" t="inlineStr">
        <is>
          <t>큐텐재팬</t>
        </is>
      </c>
      <c r="G9144" s="94" t="inlineStr">
        <is>
          <t>200726=250ml 2set</t>
        </is>
      </c>
      <c r="H9144" s="94" t="n">
        <v>200801</v>
      </c>
      <c r="I9144" s="94" t="n">
        <v>200801</v>
      </c>
      <c r="K9144" s="6" t="n">
        <v>17</v>
      </c>
      <c r="L9144" s="94" t="n">
        <v>200801</v>
      </c>
      <c r="M9144" s="94">
        <f>VLOOKUP($Q9144,매칭테이블!$F:$I,2,0)*K9144</f>
        <v/>
      </c>
      <c r="N9144" s="94">
        <f>M9144-M9144*VLOOKUP($Q9144,매칭테이블!$F:$I,3,0)</f>
        <v/>
      </c>
      <c r="O9144" s="94">
        <f>VLOOKUP($Q9144,매칭테이블!$F:$I,4,0)*K9144</f>
        <v/>
      </c>
      <c r="P9144" s="148">
        <f>M9144/1.1</f>
        <v/>
      </c>
      <c r="Q9144" s="94">
        <f>F9144&amp;E9144&amp;G9144&amp;L9144</f>
        <v/>
      </c>
    </row>
    <row r="9145" customFormat="1" s="94">
      <c r="B9145" s="128" t="n">
        <v>44086</v>
      </c>
      <c r="C9145" s="94">
        <f>TEXT(B9145,"aaa")</f>
        <v/>
      </c>
      <c r="E9145" s="94" t="inlineStr">
        <is>
          <t>토너</t>
        </is>
      </c>
      <c r="F9145" s="94" t="inlineStr">
        <is>
          <t>스타일쉐어</t>
        </is>
      </c>
      <c r="G9145" s="94" t="inlineStr">
        <is>
          <t>250ml</t>
        </is>
      </c>
      <c r="H9145" s="94" t="n">
        <v>200801</v>
      </c>
      <c r="I9145" s="94" t="n">
        <v>200801</v>
      </c>
      <c r="K9145" s="6" t="n">
        <v>6</v>
      </c>
      <c r="L9145" s="94" t="n">
        <v>200801</v>
      </c>
      <c r="M9145" s="94">
        <f>VLOOKUP($Q9145,매칭테이블!$F:$I,2,0)*K9145</f>
        <v/>
      </c>
      <c r="N9145" s="94">
        <f>M9145-M9145*VLOOKUP($Q9145,매칭테이블!$F:$I,3,0)</f>
        <v/>
      </c>
      <c r="O9145" s="94">
        <f>VLOOKUP($Q9145,매칭테이블!$F:$I,4,0)*K9145</f>
        <v/>
      </c>
      <c r="P9145" s="148">
        <f>M9145/1.1</f>
        <v/>
      </c>
      <c r="Q9145" s="94">
        <f>F9145&amp;E9145&amp;G9145&amp;L9145</f>
        <v/>
      </c>
    </row>
    <row r="9146" customFormat="1" s="94">
      <c r="B9146" s="128" t="n">
        <v>44086</v>
      </c>
      <c r="C9146" s="94">
        <f>TEXT(B9146,"aaa")</f>
        <v/>
      </c>
      <c r="E9146" s="94" t="inlineStr">
        <is>
          <t>선크림</t>
        </is>
      </c>
      <c r="F9146" s="94" t="inlineStr">
        <is>
          <t>카페24</t>
        </is>
      </c>
      <c r="G9146" s="94" t="inlineStr">
        <is>
          <t>선크림 50ml</t>
        </is>
      </c>
      <c r="H9146" s="94" t="n">
        <v>200801</v>
      </c>
      <c r="I9146" s="94" t="n">
        <v>200801</v>
      </c>
      <c r="K9146" s="6" t="n">
        <v>1</v>
      </c>
      <c r="L9146" s="94" t="n">
        <v>200801</v>
      </c>
      <c r="M9146" s="94">
        <f>VLOOKUP($Q9146,매칭테이블!$F:$I,2,0)*K9146</f>
        <v/>
      </c>
      <c r="N9146" s="94">
        <f>M9146-M9146*VLOOKUP($Q9146,매칭테이블!$F:$I,3,0)</f>
        <v/>
      </c>
      <c r="O9146" s="94">
        <f>VLOOKUP($Q9146,매칭테이블!$F:$I,4,0)*K9146</f>
        <v/>
      </c>
      <c r="P9146" s="148">
        <f>M9146/1.1</f>
        <v/>
      </c>
      <c r="Q9146" s="94">
        <f>F9146&amp;E9146&amp;G9146&amp;L9146</f>
        <v/>
      </c>
    </row>
    <row r="9147" customFormat="1" s="94">
      <c r="B9147" s="128" t="n">
        <v>44086</v>
      </c>
      <c r="C9147" s="94">
        <f>TEXT(B9147,"aaa")</f>
        <v/>
      </c>
      <c r="E9147" s="94" t="inlineStr">
        <is>
          <t>어성초진정패키지</t>
        </is>
      </c>
      <c r="F9147" s="94" t="inlineStr">
        <is>
          <t>카페24</t>
        </is>
      </c>
      <c r="G9147" s="94" t="inlineStr">
        <is>
          <t>어성초 진정패키지세트</t>
        </is>
      </c>
      <c r="H9147" s="94" t="n">
        <v>200801</v>
      </c>
      <c r="I9147" s="94" t="n">
        <v>200801</v>
      </c>
      <c r="K9147" s="6" t="n">
        <v>2</v>
      </c>
      <c r="L9147" s="94" t="n">
        <v>200801</v>
      </c>
      <c r="M9147" s="94">
        <f>VLOOKUP($Q9147,매칭테이블!$F:$I,2,0)*K9147</f>
        <v/>
      </c>
      <c r="N9147" s="94">
        <f>M9147-M9147*VLOOKUP($Q9147,매칭테이블!$F:$I,3,0)</f>
        <v/>
      </c>
      <c r="O9147" s="94">
        <f>VLOOKUP($Q9147,매칭테이블!$F:$I,4,0)*K9147</f>
        <v/>
      </c>
      <c r="P9147" s="148">
        <f>M9147/1.1</f>
        <v/>
      </c>
      <c r="Q9147" s="94">
        <f>F9147&amp;E9147&amp;G9147&amp;L9147</f>
        <v/>
      </c>
    </row>
    <row r="9148" customFormat="1" s="94">
      <c r="B9148" s="128" t="n">
        <v>44086</v>
      </c>
      <c r="C9148" s="94">
        <f>TEXT(B9148,"aaa")</f>
        <v/>
      </c>
      <c r="E9148" s="94" t="inlineStr">
        <is>
          <t>머드크림마스크</t>
        </is>
      </c>
      <c r="F9148" s="94" t="inlineStr">
        <is>
          <t>카페24</t>
        </is>
      </c>
      <c r="G9148" s="94" t="inlineStr">
        <is>
          <t>머드크림마스크 100ml</t>
        </is>
      </c>
      <c r="H9148" s="94" t="n">
        <v>200801</v>
      </c>
      <c r="I9148" s="94" t="n">
        <v>200801</v>
      </c>
      <c r="K9148" s="6" t="n">
        <v>4</v>
      </c>
      <c r="L9148" s="94" t="n">
        <v>200801</v>
      </c>
      <c r="M9148" s="94">
        <f>VLOOKUP($Q9148,매칭테이블!$F:$I,2,0)*K9148</f>
        <v/>
      </c>
      <c r="N9148" s="94">
        <f>M9148-M9148*VLOOKUP($Q9148,매칭테이블!$F:$I,3,0)</f>
        <v/>
      </c>
      <c r="O9148" s="94">
        <f>VLOOKUP($Q9148,매칭테이블!$F:$I,4,0)*K9148</f>
        <v/>
      </c>
      <c r="P9148" s="148">
        <f>M9148/1.1</f>
        <v/>
      </c>
      <c r="Q9148" s="94">
        <f>F9148&amp;E9148&amp;G9148&amp;L9148</f>
        <v/>
      </c>
    </row>
    <row r="9149" customFormat="1" s="94">
      <c r="B9149" s="128" t="n">
        <v>44086</v>
      </c>
      <c r="C9149" s="94">
        <f>TEXT(B9149,"aaa")</f>
        <v/>
      </c>
      <c r="E9149" s="94" t="inlineStr">
        <is>
          <t>머드크림마스크</t>
        </is>
      </c>
      <c r="F9149" s="94" t="inlineStr">
        <is>
          <t>카페24</t>
        </is>
      </c>
      <c r="G9149" s="94" t="inlineStr">
        <is>
          <t>머드크림마스크 100ml 2set</t>
        </is>
      </c>
      <c r="H9149" s="94" t="n">
        <v>200801</v>
      </c>
      <c r="I9149" s="94" t="n">
        <v>200801</v>
      </c>
      <c r="K9149" s="6" t="n">
        <v>1</v>
      </c>
      <c r="L9149" s="94" t="n">
        <v>200801</v>
      </c>
      <c r="M9149" s="94">
        <f>VLOOKUP($Q9149,매칭테이블!$F:$I,2,0)*K9149</f>
        <v/>
      </c>
      <c r="N9149" s="94">
        <f>M9149-M9149*VLOOKUP($Q9149,매칭테이블!$F:$I,3,0)</f>
        <v/>
      </c>
      <c r="O9149" s="94">
        <f>VLOOKUP($Q9149,매칭테이블!$F:$I,4,0)*K9149</f>
        <v/>
      </c>
      <c r="P9149" s="148">
        <f>M9149/1.1</f>
        <v/>
      </c>
      <c r="Q9149" s="94">
        <f>F9149&amp;E9149&amp;G9149&amp;L9149</f>
        <v/>
      </c>
    </row>
    <row r="9150" customFormat="1" s="94">
      <c r="B9150" s="128" t="n">
        <v>44086</v>
      </c>
      <c r="C9150" s="94">
        <f>TEXT(B9150,"aaa")</f>
        <v/>
      </c>
      <c r="E9150" s="94" t="inlineStr">
        <is>
          <t>마스크팩</t>
        </is>
      </c>
      <c r="F9150" s="94" t="inlineStr">
        <is>
          <t>카페24</t>
        </is>
      </c>
      <c r="G9150" s="94" t="inlineStr">
        <is>
          <t>마스크팩 1매</t>
        </is>
      </c>
      <c r="H9150" s="94" t="n">
        <v>200801</v>
      </c>
      <c r="I9150" s="94" t="n">
        <v>200801</v>
      </c>
      <c r="K9150" s="6" t="n">
        <v>2</v>
      </c>
      <c r="L9150" s="94" t="n">
        <v>200801</v>
      </c>
      <c r="M9150" s="94">
        <f>VLOOKUP($Q9150,매칭테이블!$F:$I,2,0)*K9150</f>
        <v/>
      </c>
      <c r="N9150" s="94">
        <f>M9150-M9150*VLOOKUP($Q9150,매칭테이블!$F:$I,3,0)</f>
        <v/>
      </c>
      <c r="O9150" s="94">
        <f>VLOOKUP($Q9150,매칭테이블!$F:$I,4,0)*K9150</f>
        <v/>
      </c>
      <c r="P9150" s="148">
        <f>M9150/1.1</f>
        <v/>
      </c>
      <c r="Q9150" s="94">
        <f>F9150&amp;E9150&amp;G9150&amp;L9150</f>
        <v/>
      </c>
    </row>
    <row r="9151" customFormat="1" s="94">
      <c r="B9151" s="128" t="n">
        <v>44086</v>
      </c>
      <c r="C9151" s="94">
        <f>TEXT(B9151,"aaa")</f>
        <v/>
      </c>
      <c r="E9151" s="94" t="inlineStr">
        <is>
          <t>마스크팩</t>
        </is>
      </c>
      <c r="F9151" s="94" t="inlineStr">
        <is>
          <t>카페24</t>
        </is>
      </c>
      <c r="G9151" s="94" t="inlineStr">
        <is>
          <t>마스크팩 10매</t>
        </is>
      </c>
      <c r="H9151" s="94" t="n">
        <v>200801</v>
      </c>
      <c r="I9151" s="94" t="n">
        <v>200801</v>
      </c>
      <c r="K9151" s="6" t="n">
        <v>2</v>
      </c>
      <c r="L9151" s="94" t="n">
        <v>200801</v>
      </c>
      <c r="M9151" s="94">
        <f>VLOOKUP($Q9151,매칭테이블!$F:$I,2,0)*K9151</f>
        <v/>
      </c>
      <c r="N9151" s="94">
        <f>M9151-M9151*VLOOKUP($Q9151,매칭테이블!$F:$I,3,0)</f>
        <v/>
      </c>
      <c r="O9151" s="94">
        <f>VLOOKUP($Q9151,매칭테이블!$F:$I,4,0)*K9151</f>
        <v/>
      </c>
      <c r="P9151" s="148">
        <f>M9151/1.1</f>
        <v/>
      </c>
      <c r="Q9151" s="94">
        <f>F9151&amp;E9151&amp;G9151&amp;L9151</f>
        <v/>
      </c>
    </row>
    <row r="9152" customFormat="1" s="94">
      <c r="B9152" s="128" t="n">
        <v>44086</v>
      </c>
      <c r="C9152" s="94">
        <f>TEXT(B9152,"aaa")</f>
        <v/>
      </c>
      <c r="E9152" s="94" t="inlineStr">
        <is>
          <t>토너</t>
        </is>
      </c>
      <c r="F9152" s="94" t="inlineStr">
        <is>
          <t>카페24</t>
        </is>
      </c>
      <c r="G9152" s="94" t="inlineStr">
        <is>
          <t>250ml</t>
        </is>
      </c>
      <c r="H9152" s="94" t="n">
        <v>200801</v>
      </c>
      <c r="I9152" s="94" t="n">
        <v>200801</v>
      </c>
      <c r="K9152" s="6" t="n">
        <v>48</v>
      </c>
      <c r="L9152" s="94" t="n">
        <v>200801</v>
      </c>
      <c r="M9152" s="94">
        <f>VLOOKUP($Q9152,매칭테이블!$F:$I,2,0)*K9152</f>
        <v/>
      </c>
      <c r="N9152" s="94">
        <f>M9152-M9152*VLOOKUP($Q9152,매칭테이블!$F:$I,3,0)</f>
        <v/>
      </c>
      <c r="O9152" s="94">
        <f>VLOOKUP($Q9152,매칭테이블!$F:$I,4,0)*K9152</f>
        <v/>
      </c>
      <c r="P9152" s="148">
        <f>M9152/1.1</f>
        <v/>
      </c>
      <c r="Q9152" s="94">
        <f>F9152&amp;E9152&amp;G9152&amp;L9152</f>
        <v/>
      </c>
    </row>
    <row r="9153" customFormat="1" s="94">
      <c r="B9153" s="128" t="n">
        <v>44086</v>
      </c>
      <c r="C9153" s="94">
        <f>TEXT(B9153,"aaa")</f>
        <v/>
      </c>
      <c r="E9153" s="94" t="inlineStr">
        <is>
          <t>토너</t>
        </is>
      </c>
      <c r="F9153" s="94" t="inlineStr">
        <is>
          <t>카페24</t>
        </is>
      </c>
      <c r="G9153" s="94" t="inlineStr">
        <is>
          <t>250ml 2set</t>
        </is>
      </c>
      <c r="H9153" s="94" t="n">
        <v>200801</v>
      </c>
      <c r="I9153" s="94" t="n">
        <v>200801</v>
      </c>
      <c r="K9153" s="6" t="n">
        <v>26</v>
      </c>
      <c r="L9153" s="94" t="n">
        <v>200801</v>
      </c>
      <c r="M9153" s="94">
        <f>VLOOKUP($Q9153,매칭테이블!$F:$I,2,0)*K9153</f>
        <v/>
      </c>
      <c r="N9153" s="94">
        <f>M9153-M9153*VLOOKUP($Q9153,매칭테이블!$F:$I,3,0)</f>
        <v/>
      </c>
      <c r="O9153" s="94">
        <f>VLOOKUP($Q9153,매칭테이블!$F:$I,4,0)*K9153</f>
        <v/>
      </c>
      <c r="P9153" s="148">
        <f>M9153/1.1</f>
        <v/>
      </c>
      <c r="Q9153" s="94">
        <f>F9153&amp;E9153&amp;G9153&amp;L9153</f>
        <v/>
      </c>
    </row>
    <row r="9154" customFormat="1" s="94">
      <c r="B9154" s="128" t="n">
        <v>44086</v>
      </c>
      <c r="C9154" s="94">
        <f>TEXT(B9154,"aaa")</f>
        <v/>
      </c>
      <c r="E9154" s="94" t="inlineStr">
        <is>
          <t>토너</t>
        </is>
      </c>
      <c r="F9154" s="94" t="inlineStr">
        <is>
          <t>카페24</t>
        </is>
      </c>
      <c r="G9154" s="94" t="inlineStr">
        <is>
          <t>500ml</t>
        </is>
      </c>
      <c r="H9154" s="94" t="n">
        <v>200801</v>
      </c>
      <c r="I9154" s="94" t="n">
        <v>200801</v>
      </c>
      <c r="K9154" s="6" t="n">
        <v>49</v>
      </c>
      <c r="L9154" s="94" t="n">
        <v>200801</v>
      </c>
      <c r="M9154" s="94">
        <f>VLOOKUP($Q9154,매칭테이블!$F:$I,2,0)*K9154</f>
        <v/>
      </c>
      <c r="N9154" s="94">
        <f>M9154-M9154*VLOOKUP($Q9154,매칭테이블!$F:$I,3,0)</f>
        <v/>
      </c>
      <c r="O9154" s="94">
        <f>VLOOKUP($Q9154,매칭테이블!$F:$I,4,0)*K9154</f>
        <v/>
      </c>
      <c r="P9154" s="148">
        <f>M9154/1.1</f>
        <v/>
      </c>
      <c r="Q9154" s="94">
        <f>F9154&amp;E9154&amp;G9154&amp;L9154</f>
        <v/>
      </c>
    </row>
    <row r="9155" customFormat="1" s="94">
      <c r="B9155" s="128" t="n">
        <v>44086</v>
      </c>
      <c r="C9155" s="94">
        <f>TEXT(B9155,"aaa")</f>
        <v/>
      </c>
      <c r="E9155" s="94" t="inlineStr">
        <is>
          <t>토너</t>
        </is>
      </c>
      <c r="F9155" s="94" t="inlineStr">
        <is>
          <t>카페24</t>
        </is>
      </c>
      <c r="G9155" s="94" t="inlineStr">
        <is>
          <t>스킨팩 화장솜 60P</t>
        </is>
      </c>
      <c r="H9155" s="94" t="n">
        <v>200801</v>
      </c>
      <c r="I9155" s="94" t="n">
        <v>200801</v>
      </c>
      <c r="K9155" s="6" t="n">
        <v>44</v>
      </c>
      <c r="L9155" s="94" t="n">
        <v>200801</v>
      </c>
      <c r="M9155" s="94">
        <f>VLOOKUP($Q9155,매칭테이블!$F:$I,2,0)*K9155</f>
        <v/>
      </c>
      <c r="N9155" s="94">
        <f>M9155-M9155*VLOOKUP($Q9155,매칭테이블!$F:$I,3,0)</f>
        <v/>
      </c>
      <c r="O9155" s="94">
        <f>VLOOKUP($Q9155,매칭테이블!$F:$I,4,0)*K9155</f>
        <v/>
      </c>
      <c r="P9155" s="148">
        <f>M9155/1.1</f>
        <v/>
      </c>
      <c r="Q9155" s="94">
        <f>F9155&amp;E9155&amp;G9155&amp;L9155</f>
        <v/>
      </c>
    </row>
    <row r="9156" customFormat="1" s="94">
      <c r="B9156" s="128" t="n">
        <v>44086</v>
      </c>
      <c r="C9156" s="94">
        <f>TEXT(B9156,"aaa")</f>
        <v/>
      </c>
      <c r="E9156" s="94" t="inlineStr">
        <is>
          <t>앰플</t>
        </is>
      </c>
      <c r="F9156" s="94" t="inlineStr">
        <is>
          <t>카페24</t>
        </is>
      </c>
      <c r="G9156" s="94" t="inlineStr">
        <is>
          <t>앰플 30ml</t>
        </is>
      </c>
      <c r="H9156" s="94" t="n">
        <v>200801</v>
      </c>
      <c r="I9156" s="94" t="n">
        <v>200801</v>
      </c>
      <c r="K9156" s="6" t="n">
        <v>7</v>
      </c>
      <c r="L9156" s="94" t="n">
        <v>200801</v>
      </c>
      <c r="M9156" s="94">
        <f>VLOOKUP($Q9156,매칭테이블!$F:$I,2,0)*K9156</f>
        <v/>
      </c>
      <c r="N9156" s="94">
        <f>M9156-M9156*VLOOKUP($Q9156,매칭테이블!$F:$I,3,0)</f>
        <v/>
      </c>
      <c r="O9156" s="94">
        <f>VLOOKUP($Q9156,매칭테이블!$F:$I,4,0)*K9156</f>
        <v/>
      </c>
      <c r="P9156" s="148">
        <f>M9156/1.1</f>
        <v/>
      </c>
      <c r="Q9156" s="94">
        <f>F9156&amp;E9156&amp;G9156&amp;L9156</f>
        <v/>
      </c>
    </row>
    <row r="9157" customFormat="1" s="94">
      <c r="B9157" s="128" t="n">
        <v>44086</v>
      </c>
      <c r="C9157" s="94">
        <f>TEXT(B9157,"aaa")</f>
        <v/>
      </c>
      <c r="E9157" s="94" t="inlineStr">
        <is>
          <t>앰플</t>
        </is>
      </c>
      <c r="F9157" s="94" t="inlineStr">
        <is>
          <t>카페24</t>
        </is>
      </c>
      <c r="G9157" s="94" t="inlineStr">
        <is>
          <t>앰플 30ml  2set</t>
        </is>
      </c>
      <c r="H9157" s="94" t="n">
        <v>200801</v>
      </c>
      <c r="I9157" s="94" t="n">
        <v>200801</v>
      </c>
      <c r="K9157" s="6" t="n">
        <v>1</v>
      </c>
      <c r="L9157" s="94" t="n">
        <v>200801</v>
      </c>
      <c r="M9157" s="94">
        <f>VLOOKUP($Q9157,매칭테이블!$F:$I,2,0)*K9157</f>
        <v/>
      </c>
      <c r="N9157" s="94">
        <f>M9157-M9157*VLOOKUP($Q9157,매칭테이블!$F:$I,3,0)</f>
        <v/>
      </c>
      <c r="O9157" s="94">
        <f>VLOOKUP($Q9157,매칭테이블!$F:$I,4,0)*K9157</f>
        <v/>
      </c>
      <c r="P9157" s="148">
        <f>M9157/1.1</f>
        <v/>
      </c>
      <c r="Q9157" s="94">
        <f>F9157&amp;E9157&amp;G9157&amp;L9157</f>
        <v/>
      </c>
    </row>
    <row r="9158" customFormat="1" s="94">
      <c r="B9158" s="128" t="n">
        <v>44086</v>
      </c>
      <c r="C9158" s="94">
        <f>TEXT(B9158,"aaa")</f>
        <v/>
      </c>
      <c r="E9158" s="94" t="inlineStr">
        <is>
          <t>수딩크림</t>
        </is>
      </c>
      <c r="F9158" s="94" t="inlineStr">
        <is>
          <t>카페24</t>
        </is>
      </c>
      <c r="G9158" s="94" t="inlineStr">
        <is>
          <t>수딩크림 100ml</t>
        </is>
      </c>
      <c r="H9158" s="94" t="n">
        <v>200801</v>
      </c>
      <c r="I9158" s="94" t="n">
        <v>200801</v>
      </c>
      <c r="K9158" s="6" t="n">
        <v>10</v>
      </c>
      <c r="L9158" s="94" t="n">
        <v>200801</v>
      </c>
      <c r="M9158" s="94">
        <f>VLOOKUP($Q9158,매칭테이블!$F:$I,2,0)*K9158</f>
        <v/>
      </c>
      <c r="N9158" s="94">
        <f>M9158-M9158*VLOOKUP($Q9158,매칭테이블!$F:$I,3,0)</f>
        <v/>
      </c>
      <c r="O9158" s="94">
        <f>VLOOKUP($Q9158,매칭테이블!$F:$I,4,0)*K9158</f>
        <v/>
      </c>
      <c r="P9158" s="148">
        <f>M9158/1.1</f>
        <v/>
      </c>
      <c r="Q9158" s="94">
        <f>F9158&amp;E9158&amp;G9158&amp;L9158</f>
        <v/>
      </c>
    </row>
    <row r="9159" customFormat="1" s="94">
      <c r="B9159" s="128" t="n">
        <v>44086</v>
      </c>
      <c r="C9159" s="94">
        <f>TEXT(B9159,"aaa")</f>
        <v/>
      </c>
      <c r="E9159" s="94" t="inlineStr">
        <is>
          <t>클렌징폼</t>
        </is>
      </c>
      <c r="F9159" s="94" t="inlineStr">
        <is>
          <t>카페24</t>
        </is>
      </c>
      <c r="G9159" s="94" t="inlineStr">
        <is>
          <t>클렌징폼 120ml</t>
        </is>
      </c>
      <c r="H9159" s="94" t="n">
        <v>200801</v>
      </c>
      <c r="I9159" s="94" t="n">
        <v>200801</v>
      </c>
      <c r="K9159" s="6" t="n">
        <v>10</v>
      </c>
      <c r="L9159" s="94" t="n">
        <v>200801</v>
      </c>
      <c r="M9159" s="94">
        <f>VLOOKUP($Q9159,매칭테이블!$F:$I,2,0)*K9159</f>
        <v/>
      </c>
      <c r="N9159" s="94">
        <f>M9159-M9159*VLOOKUP($Q9159,매칭테이블!$F:$I,3,0)</f>
        <v/>
      </c>
      <c r="O9159" s="94">
        <f>VLOOKUP($Q9159,매칭테이블!$F:$I,4,0)*K9159</f>
        <v/>
      </c>
      <c r="P9159" s="148">
        <f>M9159/1.1</f>
        <v/>
      </c>
      <c r="Q9159" s="94">
        <f>F9159&amp;E9159&amp;G9159&amp;L9159</f>
        <v/>
      </c>
    </row>
    <row r="9160" customFormat="1" s="94">
      <c r="B9160" s="128" t="n">
        <v>44086</v>
      </c>
      <c r="C9160" s="94">
        <f>TEXT(B9160,"aaa")</f>
        <v/>
      </c>
      <c r="E9160" s="94" t="inlineStr">
        <is>
          <t>클렌징폼</t>
        </is>
      </c>
      <c r="F9160" s="94" t="inlineStr">
        <is>
          <t>카페24</t>
        </is>
      </c>
      <c r="G9160" s="94" t="inlineStr">
        <is>
          <t>클렌징폼 120ml 2set</t>
        </is>
      </c>
      <c r="H9160" s="94" t="n">
        <v>200801</v>
      </c>
      <c r="I9160" s="94" t="n">
        <v>200801</v>
      </c>
      <c r="K9160" s="6" t="n">
        <v>1</v>
      </c>
      <c r="L9160" s="94" t="n">
        <v>200801</v>
      </c>
      <c r="M9160" s="94">
        <f>VLOOKUP($Q9160,매칭테이블!$F:$I,2,0)*K9160</f>
        <v/>
      </c>
      <c r="N9160" s="94">
        <f>M9160-M9160*VLOOKUP($Q9160,매칭테이블!$F:$I,3,0)</f>
        <v/>
      </c>
      <c r="O9160" s="94">
        <f>VLOOKUP($Q9160,매칭테이블!$F:$I,4,0)*K9160</f>
        <v/>
      </c>
      <c r="P9160" s="148">
        <f>M9160/1.1</f>
        <v/>
      </c>
      <c r="Q9160" s="94">
        <f>F9160&amp;E9160&amp;G9160&amp;L9160</f>
        <v/>
      </c>
    </row>
    <row r="9161" customFormat="1" s="94">
      <c r="B9161" s="128" t="n">
        <v>44087</v>
      </c>
      <c r="C9161" s="94">
        <f>TEXT(B9161,"aaa")</f>
        <v/>
      </c>
      <c r="E9161" s="94" t="inlineStr">
        <is>
          <t>토너</t>
        </is>
      </c>
      <c r="F9161" s="94" t="inlineStr">
        <is>
          <t>스타일쉐어</t>
        </is>
      </c>
      <c r="G9161" s="94" t="inlineStr">
        <is>
          <t>250ml</t>
        </is>
      </c>
      <c r="H9161" s="94" t="n">
        <v>200801</v>
      </c>
      <c r="I9161" s="94" t="n">
        <v>200801</v>
      </c>
      <c r="K9161" s="6" t="n">
        <v>8</v>
      </c>
      <c r="L9161" s="94" t="n">
        <v>200801</v>
      </c>
      <c r="M9161" s="94">
        <f>VLOOKUP($Q9161,매칭테이블!$F:$I,2,0)*K9161</f>
        <v/>
      </c>
      <c r="N9161" s="94">
        <f>M9161-M9161*VLOOKUP($Q9161,매칭테이블!$F:$I,3,0)</f>
        <v/>
      </c>
      <c r="O9161" s="94">
        <f>VLOOKUP($Q9161,매칭테이블!$F:$I,4,0)*K9161</f>
        <v/>
      </c>
      <c r="P9161" s="148">
        <f>M9161/1.1</f>
        <v/>
      </c>
      <c r="Q9161" s="94">
        <f>F9161&amp;E9161&amp;G9161&amp;L9161</f>
        <v/>
      </c>
    </row>
    <row r="9162" customFormat="1" s="94">
      <c r="B9162" s="128" t="n">
        <v>44087</v>
      </c>
      <c r="C9162" s="94">
        <f>TEXT(B9162,"aaa")</f>
        <v/>
      </c>
      <c r="E9162" s="94" t="inlineStr">
        <is>
          <t>선크림</t>
        </is>
      </c>
      <c r="F9162" s="94" t="inlineStr">
        <is>
          <t>카페24</t>
        </is>
      </c>
      <c r="G9162" s="94" t="inlineStr">
        <is>
          <t>선크림 50ml</t>
        </is>
      </c>
      <c r="H9162" s="94" t="n">
        <v>200801</v>
      </c>
      <c r="I9162" s="94" t="n">
        <v>200801</v>
      </c>
      <c r="K9162" s="6" t="n">
        <v>2</v>
      </c>
      <c r="L9162" s="94" t="n">
        <v>200801</v>
      </c>
      <c r="M9162" s="94">
        <f>VLOOKUP($Q9162,매칭테이블!$F:$I,2,0)*K9162</f>
        <v/>
      </c>
      <c r="N9162" s="94">
        <f>M9162-M9162*VLOOKUP($Q9162,매칭테이블!$F:$I,3,0)</f>
        <v/>
      </c>
      <c r="O9162" s="94">
        <f>VLOOKUP($Q9162,매칭테이블!$F:$I,4,0)*K9162</f>
        <v/>
      </c>
      <c r="P9162" s="148">
        <f>M9162/1.1</f>
        <v/>
      </c>
      <c r="Q9162" s="94">
        <f>F9162&amp;E9162&amp;G9162&amp;L9162</f>
        <v/>
      </c>
    </row>
    <row r="9163" customFormat="1" s="94">
      <c r="B9163" s="128" t="n">
        <v>44087</v>
      </c>
      <c r="C9163" s="94">
        <f>TEXT(B9163,"aaa")</f>
        <v/>
      </c>
      <c r="E9163" s="94" t="inlineStr">
        <is>
          <t>여름 한정 진정세트</t>
        </is>
      </c>
      <c r="F9163" s="94" t="inlineStr">
        <is>
          <t>카페24</t>
        </is>
      </c>
      <c r="G9163" s="94" t="inlineStr">
        <is>
          <t>여름 한정 진정세트</t>
        </is>
      </c>
      <c r="H9163" s="94" t="n">
        <v>200801</v>
      </c>
      <c r="I9163" s="94" t="n">
        <v>200801</v>
      </c>
      <c r="K9163" s="6" t="n">
        <v>1</v>
      </c>
      <c r="L9163" s="94" t="n">
        <v>200801</v>
      </c>
      <c r="M9163" s="94">
        <f>VLOOKUP($Q9163,매칭테이블!$F:$I,2,0)*K9163</f>
        <v/>
      </c>
      <c r="N9163" s="94">
        <f>M9163-M9163*VLOOKUP($Q9163,매칭테이블!$F:$I,3,0)</f>
        <v/>
      </c>
      <c r="O9163" s="94">
        <f>VLOOKUP($Q9163,매칭테이블!$F:$I,4,0)*K9163</f>
        <v/>
      </c>
      <c r="P9163" s="148">
        <f>M9163/1.1</f>
        <v/>
      </c>
      <c r="Q9163" s="94">
        <f>F9163&amp;E9163&amp;G9163&amp;L9163</f>
        <v/>
      </c>
    </row>
    <row r="9164" customFormat="1" s="94">
      <c r="B9164" s="128" t="n">
        <v>44087</v>
      </c>
      <c r="C9164" s="94">
        <f>TEXT(B9164,"aaa")</f>
        <v/>
      </c>
      <c r="E9164" s="94" t="inlineStr">
        <is>
          <t>여름 한정 진정세트</t>
        </is>
      </c>
      <c r="F9164" s="94" t="inlineStr">
        <is>
          <t>카페24</t>
        </is>
      </c>
      <c r="G9164" s="94" t="inlineStr">
        <is>
          <t>여름 한정 진정세트 (대용량)</t>
        </is>
      </c>
      <c r="H9164" s="94" t="n">
        <v>200801</v>
      </c>
      <c r="I9164" s="94" t="n">
        <v>200801</v>
      </c>
      <c r="K9164" s="6" t="n">
        <v>2</v>
      </c>
      <c r="L9164" s="94" t="n">
        <v>200801</v>
      </c>
      <c r="M9164" s="94">
        <f>VLOOKUP($Q9164,매칭테이블!$F:$I,2,0)*K9164</f>
        <v/>
      </c>
      <c r="N9164" s="94">
        <f>M9164-M9164*VLOOKUP($Q9164,매칭테이블!$F:$I,3,0)</f>
        <v/>
      </c>
      <c r="O9164" s="94">
        <f>VLOOKUP($Q9164,매칭테이블!$F:$I,4,0)*K9164</f>
        <v/>
      </c>
      <c r="P9164" s="148">
        <f>M9164/1.1</f>
        <v/>
      </c>
      <c r="Q9164" s="94">
        <f>F9164&amp;E9164&amp;G9164&amp;L9164</f>
        <v/>
      </c>
    </row>
    <row r="9165" customFormat="1" s="94">
      <c r="B9165" s="128" t="n">
        <v>44087</v>
      </c>
      <c r="C9165" s="94">
        <f>TEXT(B9165,"aaa")</f>
        <v/>
      </c>
      <c r="E9165" s="94" t="inlineStr">
        <is>
          <t>어성초진정패키지</t>
        </is>
      </c>
      <c r="F9165" s="94" t="inlineStr">
        <is>
          <t>카페24</t>
        </is>
      </c>
      <c r="G9165" s="94" t="inlineStr">
        <is>
          <t>어성초 진정패키지세트</t>
        </is>
      </c>
      <c r="H9165" s="94" t="n">
        <v>200801</v>
      </c>
      <c r="I9165" s="94" t="n">
        <v>200801</v>
      </c>
      <c r="K9165" s="6" t="n">
        <v>2</v>
      </c>
      <c r="L9165" s="94" t="n">
        <v>200801</v>
      </c>
      <c r="M9165" s="94">
        <f>VLOOKUP($Q9165,매칭테이블!$F:$I,2,0)*K9165</f>
        <v/>
      </c>
      <c r="N9165" s="94">
        <f>M9165-M9165*VLOOKUP($Q9165,매칭테이블!$F:$I,3,0)</f>
        <v/>
      </c>
      <c r="O9165" s="94">
        <f>VLOOKUP($Q9165,매칭테이블!$F:$I,4,0)*K9165</f>
        <v/>
      </c>
      <c r="P9165" s="148">
        <f>M9165/1.1</f>
        <v/>
      </c>
      <c r="Q9165" s="94">
        <f>F9165&amp;E9165&amp;G9165&amp;L9165</f>
        <v/>
      </c>
    </row>
    <row r="9166" customFormat="1" s="94">
      <c r="B9166" s="128" t="n">
        <v>44087</v>
      </c>
      <c r="C9166" s="94">
        <f>TEXT(B9166,"aaa")</f>
        <v/>
      </c>
      <c r="E9166" s="94" t="inlineStr">
        <is>
          <t>머드크림마스크</t>
        </is>
      </c>
      <c r="F9166" s="94" t="inlineStr">
        <is>
          <t>카페24</t>
        </is>
      </c>
      <c r="G9166" s="94" t="inlineStr">
        <is>
          <t>머드크림마스크 100ml</t>
        </is>
      </c>
      <c r="H9166" s="94" t="n">
        <v>200801</v>
      </c>
      <c r="I9166" s="94" t="n">
        <v>200801</v>
      </c>
      <c r="K9166" s="6" t="n">
        <v>3</v>
      </c>
      <c r="L9166" s="94" t="n">
        <v>200801</v>
      </c>
      <c r="M9166" s="94">
        <f>VLOOKUP($Q9166,매칭테이블!$F:$I,2,0)*K9166</f>
        <v/>
      </c>
      <c r="N9166" s="94">
        <f>M9166-M9166*VLOOKUP($Q9166,매칭테이블!$F:$I,3,0)</f>
        <v/>
      </c>
      <c r="O9166" s="94">
        <f>VLOOKUP($Q9166,매칭테이블!$F:$I,4,0)*K9166</f>
        <v/>
      </c>
      <c r="P9166" s="148">
        <f>M9166/1.1</f>
        <v/>
      </c>
      <c r="Q9166" s="94">
        <f>F9166&amp;E9166&amp;G9166&amp;L9166</f>
        <v/>
      </c>
    </row>
    <row r="9167" customFormat="1" s="94">
      <c r="B9167" s="128" t="n">
        <v>44087</v>
      </c>
      <c r="C9167" s="94">
        <f>TEXT(B9167,"aaa")</f>
        <v/>
      </c>
      <c r="E9167" s="94" t="inlineStr">
        <is>
          <t>마스크팩</t>
        </is>
      </c>
      <c r="F9167" s="94" t="inlineStr">
        <is>
          <t>카페24</t>
        </is>
      </c>
      <c r="G9167" s="94" t="inlineStr">
        <is>
          <t>마스크팩 1매</t>
        </is>
      </c>
      <c r="H9167" s="94" t="n">
        <v>200801</v>
      </c>
      <c r="I9167" s="94" t="n">
        <v>200801</v>
      </c>
      <c r="K9167" s="6" t="n">
        <v>4</v>
      </c>
      <c r="L9167" s="94" t="n">
        <v>200801</v>
      </c>
      <c r="M9167" s="94">
        <f>VLOOKUP($Q9167,매칭테이블!$F:$I,2,0)*K9167</f>
        <v/>
      </c>
      <c r="N9167" s="94">
        <f>M9167-M9167*VLOOKUP($Q9167,매칭테이블!$F:$I,3,0)</f>
        <v/>
      </c>
      <c r="O9167" s="94">
        <f>VLOOKUP($Q9167,매칭테이블!$F:$I,4,0)*K9167</f>
        <v/>
      </c>
      <c r="P9167" s="148">
        <f>M9167/1.1</f>
        <v/>
      </c>
      <c r="Q9167" s="94">
        <f>F9167&amp;E9167&amp;G9167&amp;L9167</f>
        <v/>
      </c>
    </row>
    <row r="9168" customFormat="1" s="94">
      <c r="B9168" s="128" t="n">
        <v>44087</v>
      </c>
      <c r="C9168" s="94">
        <f>TEXT(B9168,"aaa")</f>
        <v/>
      </c>
      <c r="E9168" s="94" t="inlineStr">
        <is>
          <t>토너</t>
        </is>
      </c>
      <c r="F9168" s="94" t="inlineStr">
        <is>
          <t>카페24</t>
        </is>
      </c>
      <c r="G9168" s="94" t="inlineStr">
        <is>
          <t>250ml</t>
        </is>
      </c>
      <c r="H9168" s="94" t="n">
        <v>200801</v>
      </c>
      <c r="I9168" s="94" t="n">
        <v>200801</v>
      </c>
      <c r="K9168" s="6" t="n">
        <v>52</v>
      </c>
      <c r="L9168" s="94" t="n">
        <v>200801</v>
      </c>
      <c r="M9168" s="94">
        <f>VLOOKUP($Q9168,매칭테이블!$F:$I,2,0)*K9168</f>
        <v/>
      </c>
      <c r="N9168" s="94">
        <f>M9168-M9168*VLOOKUP($Q9168,매칭테이블!$F:$I,3,0)</f>
        <v/>
      </c>
      <c r="O9168" s="94">
        <f>VLOOKUP($Q9168,매칭테이블!$F:$I,4,0)*K9168</f>
        <v/>
      </c>
      <c r="P9168" s="148">
        <f>M9168/1.1</f>
        <v/>
      </c>
      <c r="Q9168" s="94">
        <f>F9168&amp;E9168&amp;G9168&amp;L9168</f>
        <v/>
      </c>
    </row>
    <row r="9169" customFormat="1" s="94">
      <c r="B9169" s="128" t="n">
        <v>44087</v>
      </c>
      <c r="C9169" s="94">
        <f>TEXT(B9169,"aaa")</f>
        <v/>
      </c>
      <c r="E9169" s="94" t="inlineStr">
        <is>
          <t>토너</t>
        </is>
      </c>
      <c r="F9169" s="94" t="inlineStr">
        <is>
          <t>카페24</t>
        </is>
      </c>
      <c r="G9169" s="94" t="inlineStr">
        <is>
          <t>250ml 2set</t>
        </is>
      </c>
      <c r="H9169" s="94" t="n">
        <v>200801</v>
      </c>
      <c r="I9169" s="94" t="n">
        <v>200801</v>
      </c>
      <c r="K9169" s="6" t="n">
        <v>35</v>
      </c>
      <c r="L9169" s="94" t="n">
        <v>200801</v>
      </c>
      <c r="M9169" s="94">
        <f>VLOOKUP($Q9169,매칭테이블!$F:$I,2,0)*K9169</f>
        <v/>
      </c>
      <c r="N9169" s="94">
        <f>M9169-M9169*VLOOKUP($Q9169,매칭테이블!$F:$I,3,0)</f>
        <v/>
      </c>
      <c r="O9169" s="94">
        <f>VLOOKUP($Q9169,매칭테이블!$F:$I,4,0)*K9169</f>
        <v/>
      </c>
      <c r="P9169" s="148">
        <f>M9169/1.1</f>
        <v/>
      </c>
      <c r="Q9169" s="94">
        <f>F9169&amp;E9169&amp;G9169&amp;L9169</f>
        <v/>
      </c>
    </row>
    <row r="9170" customFormat="1" s="94">
      <c r="B9170" s="128" t="n">
        <v>44087</v>
      </c>
      <c r="C9170" s="94">
        <f>TEXT(B9170,"aaa")</f>
        <v/>
      </c>
      <c r="E9170" s="94" t="inlineStr">
        <is>
          <t>토너</t>
        </is>
      </c>
      <c r="F9170" s="94" t="inlineStr">
        <is>
          <t>카페24</t>
        </is>
      </c>
      <c r="G9170" s="94" t="inlineStr">
        <is>
          <t>500ml</t>
        </is>
      </c>
      <c r="H9170" s="94" t="n">
        <v>200801</v>
      </c>
      <c r="I9170" s="94" t="n">
        <v>200801</v>
      </c>
      <c r="K9170" s="6" t="n">
        <v>44</v>
      </c>
      <c r="L9170" s="94" t="n">
        <v>200801</v>
      </c>
      <c r="M9170" s="94">
        <f>VLOOKUP($Q9170,매칭테이블!$F:$I,2,0)*K9170</f>
        <v/>
      </c>
      <c r="N9170" s="94">
        <f>M9170-M9170*VLOOKUP($Q9170,매칭테이블!$F:$I,3,0)</f>
        <v/>
      </c>
      <c r="O9170" s="94">
        <f>VLOOKUP($Q9170,매칭테이블!$F:$I,4,0)*K9170</f>
        <v/>
      </c>
      <c r="P9170" s="148">
        <f>M9170/1.1</f>
        <v/>
      </c>
      <c r="Q9170" s="94">
        <f>F9170&amp;E9170&amp;G9170&amp;L9170</f>
        <v/>
      </c>
    </row>
    <row r="9171" customFormat="1" s="94">
      <c r="B9171" s="128" t="n">
        <v>44087</v>
      </c>
      <c r="C9171" s="94">
        <f>TEXT(B9171,"aaa")</f>
        <v/>
      </c>
      <c r="E9171" s="94" t="inlineStr">
        <is>
          <t>토너</t>
        </is>
      </c>
      <c r="F9171" s="94" t="inlineStr">
        <is>
          <t>카페24</t>
        </is>
      </c>
      <c r="G9171" s="94" t="inlineStr">
        <is>
          <t>스킨팩 화장솜 60P</t>
        </is>
      </c>
      <c r="H9171" s="94" t="n">
        <v>200801</v>
      </c>
      <c r="I9171" s="94" t="n">
        <v>200801</v>
      </c>
      <c r="K9171" s="6" t="n">
        <v>54</v>
      </c>
      <c r="L9171" s="94" t="n">
        <v>200801</v>
      </c>
      <c r="M9171" s="94">
        <f>VLOOKUP($Q9171,매칭테이블!$F:$I,2,0)*K9171</f>
        <v/>
      </c>
      <c r="N9171" s="94">
        <f>M9171-M9171*VLOOKUP($Q9171,매칭테이블!$F:$I,3,0)</f>
        <v/>
      </c>
      <c r="O9171" s="94">
        <f>VLOOKUP($Q9171,매칭테이블!$F:$I,4,0)*K9171</f>
        <v/>
      </c>
      <c r="P9171" s="148">
        <f>M9171/1.1</f>
        <v/>
      </c>
      <c r="Q9171" s="94">
        <f>F9171&amp;E9171&amp;G9171&amp;L9171</f>
        <v/>
      </c>
    </row>
    <row r="9172" customFormat="1" s="94">
      <c r="B9172" s="128" t="n">
        <v>44087</v>
      </c>
      <c r="C9172" s="94">
        <f>TEXT(B9172,"aaa")</f>
        <v/>
      </c>
      <c r="E9172" s="94" t="inlineStr">
        <is>
          <t>앰플</t>
        </is>
      </c>
      <c r="F9172" s="94" t="inlineStr">
        <is>
          <t>카페24</t>
        </is>
      </c>
      <c r="G9172" s="94" t="inlineStr">
        <is>
          <t>앰플 30ml</t>
        </is>
      </c>
      <c r="H9172" s="94" t="n">
        <v>200801</v>
      </c>
      <c r="I9172" s="94" t="n">
        <v>200801</v>
      </c>
      <c r="K9172" s="6" t="n">
        <v>10</v>
      </c>
      <c r="L9172" s="94" t="n">
        <v>200801</v>
      </c>
      <c r="M9172" s="94">
        <f>VLOOKUP($Q9172,매칭테이블!$F:$I,2,0)*K9172</f>
        <v/>
      </c>
      <c r="N9172" s="94">
        <f>M9172-M9172*VLOOKUP($Q9172,매칭테이블!$F:$I,3,0)</f>
        <v/>
      </c>
      <c r="O9172" s="94">
        <f>VLOOKUP($Q9172,매칭테이블!$F:$I,4,0)*K9172</f>
        <v/>
      </c>
      <c r="P9172" s="148">
        <f>M9172/1.1</f>
        <v/>
      </c>
      <c r="Q9172" s="94">
        <f>F9172&amp;E9172&amp;G9172&amp;L9172</f>
        <v/>
      </c>
    </row>
    <row r="9173" customFormat="1" s="94">
      <c r="B9173" s="128" t="n">
        <v>44087</v>
      </c>
      <c r="C9173" s="94">
        <f>TEXT(B9173,"aaa")</f>
        <v/>
      </c>
      <c r="E9173" s="94" t="inlineStr">
        <is>
          <t>앰플</t>
        </is>
      </c>
      <c r="F9173" s="94" t="inlineStr">
        <is>
          <t>카페24</t>
        </is>
      </c>
      <c r="G9173" s="94" t="inlineStr">
        <is>
          <t>앰플 30ml  2set</t>
        </is>
      </c>
      <c r="H9173" s="94" t="n">
        <v>200801</v>
      </c>
      <c r="I9173" s="94" t="n">
        <v>200801</v>
      </c>
      <c r="K9173" s="6" t="n">
        <v>2</v>
      </c>
      <c r="L9173" s="94" t="n">
        <v>200801</v>
      </c>
      <c r="M9173" s="94">
        <f>VLOOKUP($Q9173,매칭테이블!$F:$I,2,0)*K9173</f>
        <v/>
      </c>
      <c r="N9173" s="94">
        <f>M9173-M9173*VLOOKUP($Q9173,매칭테이블!$F:$I,3,0)</f>
        <v/>
      </c>
      <c r="O9173" s="94">
        <f>VLOOKUP($Q9173,매칭테이블!$F:$I,4,0)*K9173</f>
        <v/>
      </c>
      <c r="P9173" s="148">
        <f>M9173/1.1</f>
        <v/>
      </c>
      <c r="Q9173" s="94">
        <f>F9173&amp;E9173&amp;G9173&amp;L9173</f>
        <v/>
      </c>
    </row>
    <row r="9174" customFormat="1" s="94">
      <c r="B9174" s="128" t="n">
        <v>44087</v>
      </c>
      <c r="C9174" s="94">
        <f>TEXT(B9174,"aaa")</f>
        <v/>
      </c>
      <c r="E9174" s="94" t="inlineStr">
        <is>
          <t>수딩크림</t>
        </is>
      </c>
      <c r="F9174" s="94" t="inlineStr">
        <is>
          <t>카페24</t>
        </is>
      </c>
      <c r="G9174" s="94" t="inlineStr">
        <is>
          <t>수딩크림 100ml</t>
        </is>
      </c>
      <c r="H9174" s="94" t="n">
        <v>200801</v>
      </c>
      <c r="I9174" s="94" t="n">
        <v>200801</v>
      </c>
      <c r="K9174" s="6" t="n">
        <v>7</v>
      </c>
      <c r="L9174" s="94" t="n">
        <v>200801</v>
      </c>
      <c r="M9174" s="94">
        <f>VLOOKUP($Q9174,매칭테이블!$F:$I,2,0)*K9174</f>
        <v/>
      </c>
      <c r="N9174" s="94">
        <f>M9174-M9174*VLOOKUP($Q9174,매칭테이블!$F:$I,3,0)</f>
        <v/>
      </c>
      <c r="O9174" s="94">
        <f>VLOOKUP($Q9174,매칭테이블!$F:$I,4,0)*K9174</f>
        <v/>
      </c>
      <c r="P9174" s="148">
        <f>M9174/1.1</f>
        <v/>
      </c>
      <c r="Q9174" s="94">
        <f>F9174&amp;E9174&amp;G9174&amp;L9174</f>
        <v/>
      </c>
    </row>
    <row r="9175" customFormat="1" s="94">
      <c r="B9175" s="128" t="n">
        <v>44087</v>
      </c>
      <c r="C9175" s="94">
        <f>TEXT(B9175,"aaa")</f>
        <v/>
      </c>
      <c r="E9175" s="94" t="inlineStr">
        <is>
          <t>클렌징폼</t>
        </is>
      </c>
      <c r="F9175" s="94" t="inlineStr">
        <is>
          <t>카페24</t>
        </is>
      </c>
      <c r="G9175" s="94" t="inlineStr">
        <is>
          <t>클렌징폼 120ml</t>
        </is>
      </c>
      <c r="H9175" s="94" t="n">
        <v>200801</v>
      </c>
      <c r="I9175" s="94" t="n">
        <v>200801</v>
      </c>
      <c r="K9175" s="6" t="n">
        <v>4</v>
      </c>
      <c r="L9175" s="94" t="n">
        <v>200801</v>
      </c>
      <c r="M9175" s="94">
        <f>VLOOKUP($Q9175,매칭테이블!$F:$I,2,0)*K9175</f>
        <v/>
      </c>
      <c r="N9175" s="94">
        <f>M9175-M9175*VLOOKUP($Q9175,매칭테이블!$F:$I,3,0)</f>
        <v/>
      </c>
      <c r="O9175" s="94">
        <f>VLOOKUP($Q9175,매칭테이블!$F:$I,4,0)*K9175</f>
        <v/>
      </c>
      <c r="P9175" s="148">
        <f>M9175/1.1</f>
        <v/>
      </c>
      <c r="Q9175" s="94">
        <f>F9175&amp;E9175&amp;G9175&amp;L9175</f>
        <v/>
      </c>
    </row>
    <row r="9176" customFormat="1" s="94">
      <c r="B9176" s="128" t="n">
        <v>44087</v>
      </c>
      <c r="C9176" s="94">
        <f>TEXT(B9176,"aaa")</f>
        <v/>
      </c>
      <c r="E9176" s="94" t="inlineStr">
        <is>
          <t>클렌징폼</t>
        </is>
      </c>
      <c r="F9176" s="94" t="inlineStr">
        <is>
          <t>카페24</t>
        </is>
      </c>
      <c r="G9176" s="94" t="inlineStr">
        <is>
          <t>클렌징폼 120ml 3set</t>
        </is>
      </c>
      <c r="H9176" s="94" t="n">
        <v>200801</v>
      </c>
      <c r="I9176" s="94" t="n">
        <v>200801</v>
      </c>
      <c r="K9176" s="6" t="n">
        <v>2</v>
      </c>
      <c r="L9176" s="94" t="n">
        <v>200801</v>
      </c>
      <c r="M9176" s="94">
        <f>VLOOKUP($Q9176,매칭테이블!$F:$I,2,0)*K9176</f>
        <v/>
      </c>
      <c r="N9176" s="94">
        <f>M9176-M9176*VLOOKUP($Q9176,매칭테이블!$F:$I,3,0)</f>
        <v/>
      </c>
      <c r="O9176" s="94">
        <f>VLOOKUP($Q9176,매칭테이블!$F:$I,4,0)*K9176</f>
        <v/>
      </c>
      <c r="P9176" s="148">
        <f>M9176/1.1</f>
        <v/>
      </c>
      <c r="Q9176" s="94">
        <f>F9176&amp;E9176&amp;G9176&amp;L9176</f>
        <v/>
      </c>
    </row>
    <row r="9177" customFormat="1" s="94">
      <c r="B9177" s="128" t="n">
        <v>44087</v>
      </c>
      <c r="C9177" s="94">
        <f>TEXT(B9177,"aaa")</f>
        <v/>
      </c>
      <c r="E9177" s="94" t="inlineStr">
        <is>
          <t>토너</t>
        </is>
      </c>
      <c r="F9177" s="94" t="inlineStr">
        <is>
          <t>랄라블라</t>
        </is>
      </c>
      <c r="G9177" s="94" t="inlineStr">
        <is>
          <t>250ml</t>
        </is>
      </c>
      <c r="H9177" s="94" t="n">
        <v>200801</v>
      </c>
      <c r="I9177" s="94" t="n">
        <v>200801</v>
      </c>
      <c r="K9177" s="6" t="n">
        <v>771</v>
      </c>
      <c r="L9177" s="94" t="n">
        <v>200801</v>
      </c>
      <c r="M9177" s="94">
        <f>VLOOKUP($Q9177,매칭테이블!$F:$I,2,0)*K9177</f>
        <v/>
      </c>
      <c r="N9177" s="94">
        <f>M9177-M9177*VLOOKUP($Q9177,매칭테이블!$F:$I,3,0)</f>
        <v/>
      </c>
      <c r="O9177" s="94">
        <f>VLOOKUP($Q9177,매칭테이블!$F:$I,4,0)*K9177</f>
        <v/>
      </c>
      <c r="P9177" s="148">
        <f>M9177/1.1</f>
        <v/>
      </c>
      <c r="Q9177" s="94">
        <f>F9177&amp;E9177&amp;G9177&amp;L9177</f>
        <v/>
      </c>
    </row>
    <row r="9178" customFormat="1" s="94">
      <c r="B9178" s="128" t="n">
        <v>44087</v>
      </c>
      <c r="C9178" s="94">
        <f>TEXT(B9178,"aaa")</f>
        <v/>
      </c>
      <c r="E9178" s="94" t="inlineStr">
        <is>
          <t>토너</t>
        </is>
      </c>
      <c r="F9178" s="94" t="inlineStr">
        <is>
          <t>랄라블라</t>
        </is>
      </c>
      <c r="G9178" s="94" t="inlineStr">
        <is>
          <t>500ml</t>
        </is>
      </c>
      <c r="H9178" s="94" t="n">
        <v>200801</v>
      </c>
      <c r="I9178" s="94" t="n">
        <v>200801</v>
      </c>
      <c r="K9178" s="6" t="n">
        <v>5</v>
      </c>
      <c r="L9178" s="94" t="n">
        <v>200801</v>
      </c>
      <c r="M9178" s="94">
        <f>VLOOKUP($Q9178,매칭테이블!$F:$I,2,0)*K9178</f>
        <v/>
      </c>
      <c r="N9178" s="94">
        <f>M9178-M9178*VLOOKUP($Q9178,매칭테이블!$F:$I,3,0)</f>
        <v/>
      </c>
      <c r="O9178" s="94">
        <f>VLOOKUP($Q9178,매칭테이블!$F:$I,4,0)*K9178</f>
        <v/>
      </c>
      <c r="P9178" s="148">
        <f>M9178/1.1</f>
        <v/>
      </c>
      <c r="Q9178" s="94">
        <f>F9178&amp;E9178&amp;G9178&amp;L9178</f>
        <v/>
      </c>
    </row>
    <row r="9179" customFormat="1" s="94">
      <c r="B9179" s="128" t="n">
        <v>44087</v>
      </c>
      <c r="C9179" s="94">
        <f>TEXT(B9179,"aaa")</f>
        <v/>
      </c>
      <c r="E9179" s="94" t="inlineStr">
        <is>
          <t>마스크팩</t>
        </is>
      </c>
      <c r="F9179" s="94" t="inlineStr">
        <is>
          <t>랄라블라</t>
        </is>
      </c>
      <c r="G9179" s="94" t="inlineStr">
        <is>
          <t>마스크팩 1매</t>
        </is>
      </c>
      <c r="H9179" s="94" t="n">
        <v>200801</v>
      </c>
      <c r="I9179" s="94" t="n">
        <v>200801</v>
      </c>
      <c r="K9179" s="6" t="n">
        <v>362</v>
      </c>
      <c r="L9179" s="94" t="n">
        <v>200801</v>
      </c>
      <c r="M9179" s="94">
        <f>VLOOKUP($Q9179,매칭테이블!$F:$I,2,0)*K9179</f>
        <v/>
      </c>
      <c r="N9179" s="94">
        <f>M9179-M9179*VLOOKUP($Q9179,매칭테이블!$F:$I,3,0)</f>
        <v/>
      </c>
      <c r="O9179" s="94">
        <f>VLOOKUP($Q9179,매칭테이블!$F:$I,4,0)*K9179</f>
        <v/>
      </c>
      <c r="P9179" s="148">
        <f>M9179/1.1</f>
        <v/>
      </c>
      <c r="Q9179" s="94">
        <f>F9179&amp;E9179&amp;G9179&amp;L9179</f>
        <v/>
      </c>
    </row>
    <row r="9180" customFormat="1" s="94">
      <c r="B9180" s="128" t="n">
        <v>44087</v>
      </c>
      <c r="C9180" s="94">
        <f>TEXT(B9180,"aaa")</f>
        <v/>
      </c>
      <c r="E9180" s="94" t="inlineStr">
        <is>
          <t>수딩크림 증정기획</t>
        </is>
      </c>
      <c r="F9180" s="94" t="inlineStr">
        <is>
          <t>랄라블라</t>
        </is>
      </c>
      <c r="G9180" s="94" t="inlineStr">
        <is>
          <t>수딩크림 증정기획</t>
        </is>
      </c>
      <c r="H9180" s="94" t="n">
        <v>200801</v>
      </c>
      <c r="I9180" s="94" t="n">
        <v>200801</v>
      </c>
      <c r="K9180" s="6" t="n">
        <v>35</v>
      </c>
      <c r="L9180" s="94" t="n">
        <v>200801</v>
      </c>
      <c r="M9180" s="94">
        <f>VLOOKUP($Q9180,매칭테이블!$F:$I,2,0)*K9180</f>
        <v/>
      </c>
      <c r="N9180" s="94">
        <f>M9180-M9180*VLOOKUP($Q9180,매칭테이블!$F:$I,3,0)</f>
        <v/>
      </c>
      <c r="O9180" s="94">
        <f>VLOOKUP($Q9180,매칭테이블!$F:$I,4,0)*K9180</f>
        <v/>
      </c>
      <c r="P9180" s="148">
        <f>M9180/1.1</f>
        <v/>
      </c>
      <c r="Q9180" s="94">
        <f>F9180&amp;E9180&amp;G9180&amp;L9180</f>
        <v/>
      </c>
    </row>
    <row r="9181" customFormat="1" s="94">
      <c r="B9181" s="128" t="n">
        <v>44087</v>
      </c>
      <c r="C9181" s="94">
        <f>TEXT(B9181,"aaa")</f>
        <v/>
      </c>
      <c r="E9181" s="94" t="inlineStr">
        <is>
          <t>수딩크림</t>
        </is>
      </c>
      <c r="F9181" s="94" t="inlineStr">
        <is>
          <t>랄라블라</t>
        </is>
      </c>
      <c r="G9181" s="94" t="inlineStr">
        <is>
          <t>수딩크림 100ml</t>
        </is>
      </c>
      <c r="H9181" s="94" t="n">
        <v>200801</v>
      </c>
      <c r="I9181" s="94" t="n">
        <v>200801</v>
      </c>
      <c r="K9181" s="6" t="n">
        <v>43</v>
      </c>
      <c r="L9181" s="94" t="n">
        <v>200801</v>
      </c>
      <c r="M9181" s="94">
        <f>VLOOKUP($Q9181,매칭테이블!$F:$I,2,0)*K9181</f>
        <v/>
      </c>
      <c r="N9181" s="94">
        <f>M9181-M9181*VLOOKUP($Q9181,매칭테이블!$F:$I,3,0)</f>
        <v/>
      </c>
      <c r="O9181" s="94">
        <f>VLOOKUP($Q9181,매칭테이블!$F:$I,4,0)*K9181</f>
        <v/>
      </c>
      <c r="P9181" s="148">
        <f>M9181/1.1</f>
        <v/>
      </c>
      <c r="Q9181" s="94">
        <f>F9181&amp;E9181&amp;G9181&amp;L9181</f>
        <v/>
      </c>
    </row>
    <row r="9182" customFormat="1" s="94">
      <c r="B9182" s="128" t="n">
        <v>44087</v>
      </c>
      <c r="C9182" s="94">
        <f>TEXT(B9182,"aaa")</f>
        <v/>
      </c>
      <c r="E9182" s="94" t="inlineStr">
        <is>
          <t>앰플 기획세트</t>
        </is>
      </c>
      <c r="F9182" s="94" t="inlineStr">
        <is>
          <t>랄라블라</t>
        </is>
      </c>
      <c r="G9182" s="94" t="inlineStr">
        <is>
          <t>앰플 기획세트</t>
        </is>
      </c>
      <c r="H9182" s="94" t="n">
        <v>200801</v>
      </c>
      <c r="I9182" s="94" t="n">
        <v>200801</v>
      </c>
      <c r="K9182" s="6" t="n">
        <v>168</v>
      </c>
      <c r="L9182" s="94" t="n">
        <v>200801</v>
      </c>
      <c r="M9182" s="94">
        <f>VLOOKUP($Q9182,매칭테이블!$F:$I,2,0)*K9182</f>
        <v/>
      </c>
      <c r="N9182" s="94">
        <f>M9182-M9182*VLOOKUP($Q9182,매칭테이블!$F:$I,3,0)</f>
        <v/>
      </c>
      <c r="O9182" s="94">
        <f>VLOOKUP($Q9182,매칭테이블!$F:$I,4,0)*K9182</f>
        <v/>
      </c>
      <c r="P9182" s="148">
        <f>M9182/1.1</f>
        <v/>
      </c>
      <c r="Q9182" s="94">
        <f>F9182&amp;E9182&amp;G9182&amp;L9182</f>
        <v/>
      </c>
    </row>
    <row r="9183" customFormat="1" s="94">
      <c r="B9183" s="128" t="n">
        <v>44087</v>
      </c>
      <c r="C9183" s="94">
        <f>TEXT(B9183,"aaa")</f>
        <v/>
      </c>
      <c r="E9183" s="94" t="inlineStr">
        <is>
          <t>클렌징폼 기획세트</t>
        </is>
      </c>
      <c r="F9183" s="94" t="inlineStr">
        <is>
          <t>랄라블라</t>
        </is>
      </c>
      <c r="G9183" s="94" t="inlineStr">
        <is>
          <t>클렌징폼 기획세트</t>
        </is>
      </c>
      <c r="H9183" s="94" t="n">
        <v>200801</v>
      </c>
      <c r="I9183" s="94" t="n">
        <v>200801</v>
      </c>
      <c r="K9183" s="6" t="n">
        <v>18</v>
      </c>
      <c r="L9183" s="94" t="n">
        <v>200801</v>
      </c>
      <c r="M9183" s="94">
        <f>VLOOKUP($Q9183,매칭테이블!$F:$I,2,0)*K9183</f>
        <v/>
      </c>
      <c r="N9183" s="94">
        <f>M9183-M9183*VLOOKUP($Q9183,매칭테이블!$F:$I,3,0)</f>
        <v/>
      </c>
      <c r="O9183" s="94">
        <f>VLOOKUP($Q9183,매칭테이블!$F:$I,4,0)*K9183</f>
        <v/>
      </c>
      <c r="P9183" s="148">
        <f>M9183/1.1</f>
        <v/>
      </c>
      <c r="Q9183" s="94">
        <f>F9183&amp;E9183&amp;G9183&amp;L9183</f>
        <v/>
      </c>
    </row>
    <row r="9184" customFormat="1" s="94">
      <c r="B9184" s="128" t="n">
        <v>44087</v>
      </c>
      <c r="C9184" s="94">
        <f>TEXT(B9184,"aaa")</f>
        <v/>
      </c>
      <c r="E9184" s="94" t="inlineStr">
        <is>
          <t>클렌징폼</t>
        </is>
      </c>
      <c r="F9184" s="94" t="inlineStr">
        <is>
          <t>랄라블라</t>
        </is>
      </c>
      <c r="G9184" s="94" t="inlineStr">
        <is>
          <t>클렌징폼 120ml</t>
        </is>
      </c>
      <c r="H9184" s="94" t="n">
        <v>200801</v>
      </c>
      <c r="I9184" s="94" t="n">
        <v>200801</v>
      </c>
      <c r="K9184" s="6" t="n">
        <v>50</v>
      </c>
      <c r="L9184" s="94" t="n">
        <v>200801</v>
      </c>
      <c r="M9184" s="94">
        <f>VLOOKUP($Q9184,매칭테이블!$F:$I,2,0)*K9184</f>
        <v/>
      </c>
      <c r="N9184" s="94">
        <f>M9184-M9184*VLOOKUP($Q9184,매칭테이블!$F:$I,3,0)</f>
        <v/>
      </c>
      <c r="O9184" s="94">
        <f>VLOOKUP($Q9184,매칭테이블!$F:$I,4,0)*K9184</f>
        <v/>
      </c>
      <c r="P9184" s="148">
        <f>M9184/1.1</f>
        <v/>
      </c>
      <c r="Q9184" s="94">
        <f>F9184&amp;E9184&amp;G9184&amp;L9184</f>
        <v/>
      </c>
    </row>
    <row r="9185" customFormat="1" s="94">
      <c r="B9185" s="128" t="n">
        <v>44087</v>
      </c>
      <c r="C9185" s="94">
        <f>TEXT(B9185,"aaa")</f>
        <v/>
      </c>
      <c r="E9185" s="94" t="inlineStr">
        <is>
          <t>토너 증정기획</t>
        </is>
      </c>
      <c r="F9185" s="94" t="inlineStr">
        <is>
          <t>랄라블라</t>
        </is>
      </c>
      <c r="G9185" s="94" t="inlineStr">
        <is>
          <t>토너 증정기획</t>
        </is>
      </c>
      <c r="H9185" s="94" t="n">
        <v>200801</v>
      </c>
      <c r="I9185" s="94" t="n">
        <v>200801</v>
      </c>
      <c r="K9185" s="6" t="n">
        <v>4</v>
      </c>
      <c r="L9185" s="94" t="n">
        <v>200801</v>
      </c>
      <c r="M9185" s="94">
        <f>VLOOKUP($Q9185,매칭테이블!$F:$I,2,0)*K9185</f>
        <v/>
      </c>
      <c r="N9185" s="94">
        <f>M9185-M9185*VLOOKUP($Q9185,매칭테이블!$F:$I,3,0)</f>
        <v/>
      </c>
      <c r="O9185" s="94">
        <f>VLOOKUP($Q9185,매칭테이블!$F:$I,4,0)*K9185</f>
        <v/>
      </c>
      <c r="P9185" s="148">
        <f>M9185/1.1</f>
        <v/>
      </c>
      <c r="Q9185" s="94">
        <f>F9185&amp;E9185&amp;G9185&amp;L9185</f>
        <v/>
      </c>
    </row>
    <row r="9186" customFormat="1" s="94">
      <c r="B9186" s="128" t="n">
        <v>44087</v>
      </c>
      <c r="C9186" s="94">
        <f>TEXT(B9186,"aaa")</f>
        <v/>
      </c>
      <c r="E9186" s="94" t="inlineStr">
        <is>
          <t>선크림</t>
        </is>
      </c>
      <c r="F9186" s="94" t="inlineStr">
        <is>
          <t>랄라블라</t>
        </is>
      </c>
      <c r="G9186" s="94" t="inlineStr">
        <is>
          <t>선크림 50ml</t>
        </is>
      </c>
      <c r="H9186" s="94" t="n">
        <v>200801</v>
      </c>
      <c r="I9186" s="94" t="n">
        <v>200801</v>
      </c>
      <c r="K9186" s="6" t="n">
        <v>17</v>
      </c>
      <c r="L9186" s="94" t="n">
        <v>200801</v>
      </c>
      <c r="M9186" s="94">
        <f>VLOOKUP($Q9186,매칭테이블!$F:$I,2,0)*K9186</f>
        <v/>
      </c>
      <c r="N9186" s="94">
        <f>M9186-M9186*VLOOKUP($Q9186,매칭테이블!$F:$I,3,0)</f>
        <v/>
      </c>
      <c r="O9186" s="94">
        <f>VLOOKUP($Q9186,매칭테이블!$F:$I,4,0)*K9186</f>
        <v/>
      </c>
      <c r="P9186" s="148">
        <f>M9186/1.1</f>
        <v/>
      </c>
      <c r="Q9186" s="94">
        <f>F9186&amp;E9186&amp;G9186&amp;L9186</f>
        <v/>
      </c>
    </row>
    <row r="9187" customFormat="1" s="94">
      <c r="B9187" s="128" t="n">
        <v>44087</v>
      </c>
      <c r="C9187" s="94">
        <f>TEXT(B9187,"aaa")</f>
        <v/>
      </c>
      <c r="E9187" s="94" t="inlineStr">
        <is>
          <t>대용량 기획세트</t>
        </is>
      </c>
      <c r="F9187" s="94" t="inlineStr">
        <is>
          <t>랄라블라</t>
        </is>
      </c>
      <c r="G9187" s="94" t="inlineStr">
        <is>
          <t>대용량 기획세트</t>
        </is>
      </c>
      <c r="H9187" s="94" t="n">
        <v>200801</v>
      </c>
      <c r="I9187" s="94" t="n">
        <v>200801</v>
      </c>
      <c r="K9187" s="6" t="n">
        <v>12</v>
      </c>
      <c r="L9187" s="94" t="n">
        <v>200801</v>
      </c>
      <c r="M9187" s="94">
        <f>VLOOKUP($Q9187,매칭테이블!$F:$I,2,0)*K9187</f>
        <v/>
      </c>
      <c r="N9187" s="94">
        <f>M9187-M9187*VLOOKUP($Q9187,매칭테이블!$F:$I,3,0)</f>
        <v/>
      </c>
      <c r="O9187" s="94">
        <f>VLOOKUP($Q9187,매칭테이블!$F:$I,4,0)*K9187</f>
        <v/>
      </c>
      <c r="P9187" s="148">
        <f>M9187/1.1</f>
        <v/>
      </c>
      <c r="Q9187" s="94">
        <f>F9187&amp;E9187&amp;G9187&amp;L9187</f>
        <v/>
      </c>
    </row>
    <row r="9188" customFormat="1" s="94">
      <c r="B9188" s="128" t="n">
        <v>44087</v>
      </c>
      <c r="C9188" s="94">
        <f>TEXT(B9188,"aaa")</f>
        <v/>
      </c>
      <c r="E9188" s="94" t="inlineStr">
        <is>
          <t>마스크팩</t>
        </is>
      </c>
      <c r="F9188" s="94" t="inlineStr">
        <is>
          <t>랄라블라</t>
        </is>
      </c>
      <c r="G9188" s="94" t="inlineStr">
        <is>
          <t>마스크 5+1 기획세트</t>
        </is>
      </c>
      <c r="H9188" s="94" t="n">
        <v>200801</v>
      </c>
      <c r="I9188" s="94" t="n">
        <v>200801</v>
      </c>
      <c r="K9188" s="6" t="n">
        <v>186</v>
      </c>
      <c r="L9188" s="94" t="n">
        <v>200801</v>
      </c>
      <c r="M9188" s="94">
        <f>VLOOKUP($Q9188,매칭테이블!$F:$I,2,0)*K9188</f>
        <v/>
      </c>
      <c r="N9188" s="94">
        <f>M9188-M9188*VLOOKUP($Q9188,매칭테이블!$F:$I,3,0)</f>
        <v/>
      </c>
      <c r="O9188" s="94">
        <f>VLOOKUP($Q9188,매칭테이블!$F:$I,4,0)*K9188</f>
        <v/>
      </c>
      <c r="P9188" s="148">
        <f>M9188/1.1</f>
        <v/>
      </c>
      <c r="Q9188" s="94">
        <f>F9188&amp;E9188&amp;G9188&amp;L9188</f>
        <v/>
      </c>
    </row>
    <row r="9189" customFormat="1" s="94">
      <c r="B9189" s="128" t="n">
        <v>44088</v>
      </c>
      <c r="C9189" s="94">
        <f>TEXT(B9189,"aaa")</f>
        <v/>
      </c>
      <c r="E9189" s="94" t="inlineStr">
        <is>
          <t>토너</t>
        </is>
      </c>
      <c r="F9189" s="94" t="inlineStr">
        <is>
          <t>W컨셉</t>
        </is>
      </c>
      <c r="G9189" s="94" t="inlineStr">
        <is>
          <t>250ml</t>
        </is>
      </c>
      <c r="H9189" s="94" t="n">
        <v>200801</v>
      </c>
      <c r="I9189" s="94" t="n">
        <v>200801</v>
      </c>
      <c r="K9189" s="6" t="n">
        <v>2</v>
      </c>
      <c r="L9189" s="94" t="n">
        <v>200801</v>
      </c>
      <c r="M9189" s="94">
        <f>VLOOKUP($Q9189,매칭테이블!$F:$I,2,0)*K9189</f>
        <v/>
      </c>
      <c r="N9189" s="94">
        <f>M9189-M9189*VLOOKUP($Q9189,매칭테이블!$F:$I,3,0)</f>
        <v/>
      </c>
      <c r="O9189" s="94">
        <f>VLOOKUP($Q9189,매칭테이블!$F:$I,4,0)*K9189</f>
        <v/>
      </c>
      <c r="P9189" s="148">
        <f>M9189/1.1</f>
        <v/>
      </c>
      <c r="Q9189" s="94">
        <f>F9189&amp;E9189&amp;G9189&amp;L9189</f>
        <v/>
      </c>
    </row>
    <row r="9190" customFormat="1" s="94">
      <c r="B9190" s="128" t="n">
        <v>44088</v>
      </c>
      <c r="C9190" s="94">
        <f>TEXT(B9190,"aaa")</f>
        <v/>
      </c>
      <c r="E9190" s="94" t="inlineStr">
        <is>
          <t>토너</t>
        </is>
      </c>
      <c r="F9190" s="94" t="inlineStr">
        <is>
          <t>W컨셉</t>
        </is>
      </c>
      <c r="G9190" s="94" t="inlineStr">
        <is>
          <t>250ml 2set</t>
        </is>
      </c>
      <c r="H9190" s="94" t="n">
        <v>200801</v>
      </c>
      <c r="I9190" s="94" t="n">
        <v>200801</v>
      </c>
      <c r="K9190" s="6" t="n">
        <v>18</v>
      </c>
      <c r="L9190" s="94" t="n">
        <v>200801</v>
      </c>
      <c r="M9190" s="94">
        <f>VLOOKUP($Q9190,매칭테이블!$F:$I,2,0)*K9190</f>
        <v/>
      </c>
      <c r="N9190" s="94">
        <f>M9190-M9190*VLOOKUP($Q9190,매칭테이블!$F:$I,3,0)</f>
        <v/>
      </c>
      <c r="O9190" s="94">
        <f>VLOOKUP($Q9190,매칭테이블!$F:$I,4,0)*K9190</f>
        <v/>
      </c>
      <c r="P9190" s="148">
        <f>M9190/1.1</f>
        <v/>
      </c>
      <c r="Q9190" s="94">
        <f>F9190&amp;E9190&amp;G9190&amp;L9190</f>
        <v/>
      </c>
    </row>
    <row r="9191" customFormat="1" s="94">
      <c r="B9191" s="128" t="n">
        <v>44088</v>
      </c>
      <c r="C9191" s="94">
        <f>TEXT(B9191,"aaa")</f>
        <v/>
      </c>
      <c r="E9191" s="94" t="inlineStr">
        <is>
          <t>토너</t>
        </is>
      </c>
      <c r="F9191" s="94" t="inlineStr">
        <is>
          <t>스타일쉐어</t>
        </is>
      </c>
      <c r="G9191" s="94" t="inlineStr">
        <is>
          <t>250ml</t>
        </is>
      </c>
      <c r="H9191" s="94" t="n">
        <v>200801</v>
      </c>
      <c r="I9191" s="94" t="n">
        <v>200801</v>
      </c>
      <c r="K9191" s="6" t="n">
        <v>10</v>
      </c>
      <c r="L9191" s="94" t="n">
        <v>200801</v>
      </c>
      <c r="M9191" s="94">
        <f>VLOOKUP($Q9191,매칭테이블!$F:$I,2,0)*K9191</f>
        <v/>
      </c>
      <c r="N9191" s="94">
        <f>M9191-M9191*VLOOKUP($Q9191,매칭테이블!$F:$I,3,0)</f>
        <v/>
      </c>
      <c r="O9191" s="94">
        <f>VLOOKUP($Q9191,매칭테이블!$F:$I,4,0)*K9191</f>
        <v/>
      </c>
      <c r="P9191" s="148">
        <f>M9191/1.1</f>
        <v/>
      </c>
      <c r="Q9191" s="94">
        <f>F9191&amp;E9191&amp;G9191&amp;L9191</f>
        <v/>
      </c>
    </row>
    <row r="9192" customFormat="1" s="94">
      <c r="B9192" s="128" t="n">
        <v>44088</v>
      </c>
      <c r="C9192" s="94">
        <f>TEXT(B9192,"aaa")</f>
        <v/>
      </c>
      <c r="E9192" s="94" t="inlineStr">
        <is>
          <t>토너</t>
        </is>
      </c>
      <c r="F9192" s="94" t="inlineStr">
        <is>
          <t>아누아 CS</t>
        </is>
      </c>
      <c r="G9192" s="94" t="inlineStr">
        <is>
          <t>250ml</t>
        </is>
      </c>
      <c r="H9192" s="94" t="n">
        <v>200801</v>
      </c>
      <c r="I9192" s="94" t="n">
        <v>200801</v>
      </c>
      <c r="K9192" s="6" t="n">
        <v>1</v>
      </c>
      <c r="L9192" s="94" t="n">
        <v>200801</v>
      </c>
      <c r="M9192" s="94">
        <f>VLOOKUP($Q9192,매칭테이블!$F:$I,2,0)*K9192</f>
        <v/>
      </c>
      <c r="N9192" s="94">
        <f>M9192-M9192*VLOOKUP($Q9192,매칭테이블!$F:$I,3,0)</f>
        <v/>
      </c>
      <c r="O9192" s="94">
        <f>VLOOKUP($Q9192,매칭테이블!$F:$I,4,0)*K9192</f>
        <v/>
      </c>
      <c r="P9192" s="148">
        <f>M9192/1.1</f>
        <v/>
      </c>
      <c r="Q9192" s="94">
        <f>F9192&amp;E9192&amp;G9192&amp;L9192</f>
        <v/>
      </c>
    </row>
    <row r="9193" customFormat="1" s="94">
      <c r="B9193" s="128" t="n">
        <v>44088</v>
      </c>
      <c r="C9193" s="94">
        <f>TEXT(B9193,"aaa")</f>
        <v/>
      </c>
      <c r="E9193" s="94" t="inlineStr">
        <is>
          <t>로션</t>
        </is>
      </c>
      <c r="F9193" s="94" t="inlineStr">
        <is>
          <t>아누아 CS</t>
        </is>
      </c>
      <c r="G9193" s="94" t="inlineStr">
        <is>
          <t>로션 200ml</t>
        </is>
      </c>
      <c r="H9193" s="94" t="n">
        <v>200801</v>
      </c>
      <c r="I9193" s="94" t="n">
        <v>200801</v>
      </c>
      <c r="K9193" s="6" t="n">
        <v>41</v>
      </c>
      <c r="L9193" s="94" t="n">
        <v>200801</v>
      </c>
      <c r="M9193" s="94">
        <f>VLOOKUP($Q9193,매칭테이블!$F:$I,2,0)*K9193</f>
        <v/>
      </c>
      <c r="N9193" s="94">
        <f>M9193-M9193*VLOOKUP($Q9193,매칭테이블!$F:$I,3,0)</f>
        <v/>
      </c>
      <c r="O9193" s="94">
        <f>VLOOKUP($Q9193,매칭테이블!$F:$I,4,0)*K9193</f>
        <v/>
      </c>
      <c r="P9193" s="148">
        <f>M9193/1.1</f>
        <v/>
      </c>
      <c r="Q9193" s="94">
        <f>F9193&amp;E9193&amp;G9193&amp;L9193</f>
        <v/>
      </c>
    </row>
    <row r="9194" customFormat="1" s="94">
      <c r="B9194" s="128" t="n">
        <v>44088</v>
      </c>
      <c r="C9194" s="94">
        <f>TEXT(B9194,"aaa")</f>
        <v/>
      </c>
      <c r="E9194" s="94" t="inlineStr">
        <is>
          <t>클리어 패드</t>
        </is>
      </c>
      <c r="F9194" s="94" t="inlineStr">
        <is>
          <t>아누아 CS</t>
        </is>
      </c>
      <c r="G9194" s="94" t="inlineStr">
        <is>
          <t>어성초 클리어패드 70P</t>
        </is>
      </c>
      <c r="H9194" s="94" t="n">
        <v>200801</v>
      </c>
      <c r="I9194" s="94" t="n">
        <v>200801</v>
      </c>
      <c r="K9194" s="6" t="n">
        <v>67</v>
      </c>
      <c r="L9194" s="94" t="n">
        <v>200801</v>
      </c>
      <c r="M9194" s="94">
        <f>VLOOKUP($Q9194,매칭테이블!$F:$I,2,0)*K9194</f>
        <v/>
      </c>
      <c r="N9194" s="94">
        <f>M9194-M9194*VLOOKUP($Q9194,매칭테이블!$F:$I,3,0)</f>
        <v/>
      </c>
      <c r="O9194" s="94">
        <f>VLOOKUP($Q9194,매칭테이블!$F:$I,4,0)*K9194</f>
        <v/>
      </c>
      <c r="P9194" s="148">
        <f>M9194/1.1</f>
        <v/>
      </c>
      <c r="Q9194" s="94">
        <f>F9194&amp;E9194&amp;G9194&amp;L9194</f>
        <v/>
      </c>
    </row>
    <row r="9195" customFormat="1" s="94">
      <c r="B9195" s="128" t="n">
        <v>44088</v>
      </c>
      <c r="C9195" s="94">
        <f>TEXT(B9195,"aaa")</f>
        <v/>
      </c>
      <c r="E9195" s="94" t="inlineStr">
        <is>
          <t>선크림</t>
        </is>
      </c>
      <c r="F9195" s="94" t="inlineStr">
        <is>
          <t>카페24</t>
        </is>
      </c>
      <c r="G9195" s="94" t="inlineStr">
        <is>
          <t>선크림 50ml</t>
        </is>
      </c>
      <c r="H9195" s="94" t="n">
        <v>200801</v>
      </c>
      <c r="I9195" s="94" t="n">
        <v>200801</v>
      </c>
      <c r="K9195" s="6" t="n">
        <v>2</v>
      </c>
      <c r="L9195" s="94" t="n">
        <v>200801</v>
      </c>
      <c r="M9195" s="94">
        <f>VLOOKUP($Q9195,매칭테이블!$F:$I,2,0)*K9195</f>
        <v/>
      </c>
      <c r="N9195" s="94">
        <f>M9195-M9195*VLOOKUP($Q9195,매칭테이블!$F:$I,3,0)</f>
        <v/>
      </c>
      <c r="O9195" s="94">
        <f>VLOOKUP($Q9195,매칭테이블!$F:$I,4,0)*K9195</f>
        <v/>
      </c>
      <c r="P9195" s="148">
        <f>M9195/1.1</f>
        <v/>
      </c>
      <c r="Q9195" s="94">
        <f>F9195&amp;E9195&amp;G9195&amp;L9195</f>
        <v/>
      </c>
    </row>
    <row r="9196" customFormat="1" s="94">
      <c r="B9196" s="128" t="n">
        <v>44088</v>
      </c>
      <c r="C9196" s="94">
        <f>TEXT(B9196,"aaa")</f>
        <v/>
      </c>
      <c r="E9196" s="94" t="inlineStr">
        <is>
          <t>여름 한정 진정세트</t>
        </is>
      </c>
      <c r="F9196" s="94" t="inlineStr">
        <is>
          <t>카페24</t>
        </is>
      </c>
      <c r="G9196" s="94" t="inlineStr">
        <is>
          <t>여름 한정 진정세트</t>
        </is>
      </c>
      <c r="H9196" s="94" t="n">
        <v>200801</v>
      </c>
      <c r="I9196" s="94" t="n">
        <v>200801</v>
      </c>
      <c r="K9196" s="6" t="n">
        <v>3</v>
      </c>
      <c r="L9196" s="94" t="n">
        <v>200801</v>
      </c>
      <c r="M9196" s="94">
        <f>VLOOKUP($Q9196,매칭테이블!$F:$I,2,0)*K9196</f>
        <v/>
      </c>
      <c r="N9196" s="94">
        <f>M9196-M9196*VLOOKUP($Q9196,매칭테이블!$F:$I,3,0)</f>
        <v/>
      </c>
      <c r="O9196" s="94">
        <f>VLOOKUP($Q9196,매칭테이블!$F:$I,4,0)*K9196</f>
        <v/>
      </c>
      <c r="P9196" s="148">
        <f>M9196/1.1</f>
        <v/>
      </c>
      <c r="Q9196" s="94">
        <f>F9196&amp;E9196&amp;G9196&amp;L9196</f>
        <v/>
      </c>
    </row>
    <row r="9197" customFormat="1" s="94">
      <c r="B9197" s="128" t="n">
        <v>44088</v>
      </c>
      <c r="C9197" s="94">
        <f>TEXT(B9197,"aaa")</f>
        <v/>
      </c>
      <c r="E9197" s="94" t="inlineStr">
        <is>
          <t>여름 한정 진정세트</t>
        </is>
      </c>
      <c r="F9197" s="94" t="inlineStr">
        <is>
          <t>카페24</t>
        </is>
      </c>
      <c r="G9197" s="94" t="inlineStr">
        <is>
          <t>여름 한정 진정세트 (대용량)</t>
        </is>
      </c>
      <c r="H9197" s="94" t="n">
        <v>200801</v>
      </c>
      <c r="I9197" s="94" t="n">
        <v>200801</v>
      </c>
      <c r="K9197" s="6" t="n">
        <v>8</v>
      </c>
      <c r="L9197" s="94" t="n">
        <v>200801</v>
      </c>
      <c r="M9197" s="94">
        <f>VLOOKUP($Q9197,매칭테이블!$F:$I,2,0)*K9197</f>
        <v/>
      </c>
      <c r="N9197" s="94">
        <f>M9197-M9197*VLOOKUP($Q9197,매칭테이블!$F:$I,3,0)</f>
        <v/>
      </c>
      <c r="O9197" s="94">
        <f>VLOOKUP($Q9197,매칭테이블!$F:$I,4,0)*K9197</f>
        <v/>
      </c>
      <c r="P9197" s="148">
        <f>M9197/1.1</f>
        <v/>
      </c>
      <c r="Q9197" s="94">
        <f>F9197&amp;E9197&amp;G9197&amp;L9197</f>
        <v/>
      </c>
    </row>
    <row r="9198" customFormat="1" s="94">
      <c r="B9198" s="128" t="n">
        <v>44088</v>
      </c>
      <c r="C9198" s="94">
        <f>TEXT(B9198,"aaa")</f>
        <v/>
      </c>
      <c r="E9198" s="94" t="inlineStr">
        <is>
          <t>어성초진정패키지</t>
        </is>
      </c>
      <c r="F9198" s="94" t="inlineStr">
        <is>
          <t>카페24</t>
        </is>
      </c>
      <c r="G9198" s="94" t="inlineStr">
        <is>
          <t>어성초 진정패키지세트</t>
        </is>
      </c>
      <c r="H9198" s="94" t="n">
        <v>200801</v>
      </c>
      <c r="I9198" s="94" t="n">
        <v>200801</v>
      </c>
      <c r="K9198" s="6" t="n">
        <v>3</v>
      </c>
      <c r="L9198" s="94" t="n">
        <v>200801</v>
      </c>
      <c r="M9198" s="94">
        <f>VLOOKUP($Q9198,매칭테이블!$F:$I,2,0)*K9198</f>
        <v/>
      </c>
      <c r="N9198" s="94">
        <f>M9198-M9198*VLOOKUP($Q9198,매칭테이블!$F:$I,3,0)</f>
        <v/>
      </c>
      <c r="O9198" s="94">
        <f>VLOOKUP($Q9198,매칭테이블!$F:$I,4,0)*K9198</f>
        <v/>
      </c>
      <c r="P9198" s="148">
        <f>M9198/1.1</f>
        <v/>
      </c>
      <c r="Q9198" s="94">
        <f>F9198&amp;E9198&amp;G9198&amp;L9198</f>
        <v/>
      </c>
    </row>
    <row r="9199" customFormat="1" s="94">
      <c r="B9199" s="128" t="n">
        <v>44088</v>
      </c>
      <c r="C9199" s="94">
        <f>TEXT(B9199,"aaa")</f>
        <v/>
      </c>
      <c r="E9199" s="94" t="inlineStr">
        <is>
          <t>클리어 패드</t>
        </is>
      </c>
      <c r="F9199" s="94" t="inlineStr">
        <is>
          <t>카페24</t>
        </is>
      </c>
      <c r="G9199" s="94" t="inlineStr">
        <is>
          <t>[플친단독할인] 어성초 77 클리어 패드 1개-29% off</t>
        </is>
      </c>
      <c r="H9199" s="94" t="n">
        <v>200801</v>
      </c>
      <c r="I9199" s="94" t="n">
        <v>200801</v>
      </c>
      <c r="K9199" s="6" t="n">
        <v>56</v>
      </c>
      <c r="L9199" s="94" t="n">
        <v>200801</v>
      </c>
      <c r="M9199" s="94">
        <f>VLOOKUP($Q9199,매칭테이블!$F:$I,2,0)*K9199</f>
        <v/>
      </c>
      <c r="N9199" s="94">
        <f>M9199-M9199*VLOOKUP($Q9199,매칭테이블!$F:$I,3,0)</f>
        <v/>
      </c>
      <c r="O9199" s="94">
        <f>VLOOKUP($Q9199,매칭테이블!$F:$I,4,0)*K9199</f>
        <v/>
      </c>
      <c r="P9199" s="148">
        <f>M9199/1.1</f>
        <v/>
      </c>
      <c r="Q9199" s="94">
        <f>F9199&amp;E9199&amp;G9199&amp;L9199</f>
        <v/>
      </c>
    </row>
    <row r="9200" customFormat="1" s="94">
      <c r="B9200" s="128" t="n">
        <v>44088</v>
      </c>
      <c r="C9200" s="94">
        <f>TEXT(B9200,"aaa")</f>
        <v/>
      </c>
      <c r="E9200" s="94" t="inlineStr">
        <is>
          <t>클리어 패드</t>
        </is>
      </c>
      <c r="F9200" s="94" t="inlineStr">
        <is>
          <t>카페24</t>
        </is>
      </c>
      <c r="G9200" s="94" t="inlineStr">
        <is>
          <t>[플친단독할인] 어성초 77 클리어 패드 2개-30% off</t>
        </is>
      </c>
      <c r="H9200" s="94" t="n">
        <v>200801</v>
      </c>
      <c r="I9200" s="94" t="n">
        <v>200801</v>
      </c>
      <c r="K9200" s="6" t="n">
        <v>77</v>
      </c>
      <c r="L9200" s="94" t="n">
        <v>200801</v>
      </c>
      <c r="M9200" s="94">
        <f>VLOOKUP($Q9200,매칭테이블!$F:$I,2,0)*K9200</f>
        <v/>
      </c>
      <c r="N9200" s="94">
        <f>M9200-M9200*VLOOKUP($Q9200,매칭테이블!$F:$I,3,0)</f>
        <v/>
      </c>
      <c r="O9200" s="94">
        <f>VLOOKUP($Q9200,매칭테이블!$F:$I,4,0)*K9200</f>
        <v/>
      </c>
      <c r="P9200" s="148">
        <f>M9200/1.1</f>
        <v/>
      </c>
      <c r="Q9200" s="94">
        <f>F9200&amp;E9200&amp;G9200&amp;L9200</f>
        <v/>
      </c>
    </row>
    <row r="9201" customFormat="1" s="94">
      <c r="B9201" s="128" t="n">
        <v>44088</v>
      </c>
      <c r="C9201" s="94">
        <f>TEXT(B9201,"aaa")</f>
        <v/>
      </c>
      <c r="E9201" s="94" t="inlineStr">
        <is>
          <t>토너+패드 세트</t>
        </is>
      </c>
      <c r="F9201" s="94" t="inlineStr">
        <is>
          <t>카페24</t>
        </is>
      </c>
      <c r="G9201" s="94" t="inlineStr">
        <is>
          <t>[플친단독할인] 좁쌀 진정 세트 토너+클리어 패드-30% off</t>
        </is>
      </c>
      <c r="H9201" s="94" t="n">
        <v>200801</v>
      </c>
      <c r="I9201" s="94" t="n">
        <v>200801</v>
      </c>
      <c r="K9201" s="6" t="n">
        <v>61</v>
      </c>
      <c r="L9201" s="94" t="n">
        <v>200801</v>
      </c>
      <c r="M9201" s="94">
        <f>VLOOKUP($Q9201,매칭테이블!$F:$I,2,0)*K9201</f>
        <v/>
      </c>
      <c r="N9201" s="94">
        <f>M9201-M9201*VLOOKUP($Q9201,매칭테이블!$F:$I,3,0)</f>
        <v/>
      </c>
      <c r="O9201" s="94">
        <f>VLOOKUP($Q9201,매칭테이블!$F:$I,4,0)*K9201</f>
        <v/>
      </c>
      <c r="P9201" s="148">
        <f>M9201/1.1</f>
        <v/>
      </c>
      <c r="Q9201" s="94">
        <f>F9201&amp;E9201&amp;G9201&amp;L9201</f>
        <v/>
      </c>
    </row>
    <row r="9202" customFormat="1" s="94">
      <c r="B9202" s="128" t="n">
        <v>44088</v>
      </c>
      <c r="C9202" s="94">
        <f>TEXT(B9202,"aaa")</f>
        <v/>
      </c>
      <c r="E9202" s="94" t="inlineStr">
        <is>
          <t>머드크림마스크</t>
        </is>
      </c>
      <c r="F9202" s="94" t="inlineStr">
        <is>
          <t>카페24</t>
        </is>
      </c>
      <c r="G9202" s="94" t="inlineStr">
        <is>
          <t>머드크림마스크 100ml</t>
        </is>
      </c>
      <c r="H9202" s="94" t="n">
        <v>200801</v>
      </c>
      <c r="I9202" s="94" t="n">
        <v>200801</v>
      </c>
      <c r="K9202" s="6" t="n">
        <v>6</v>
      </c>
      <c r="L9202" s="94" t="n">
        <v>200801</v>
      </c>
      <c r="M9202" s="94">
        <f>VLOOKUP($Q9202,매칭테이블!$F:$I,2,0)*K9202</f>
        <v/>
      </c>
      <c r="N9202" s="94">
        <f>M9202-M9202*VLOOKUP($Q9202,매칭테이블!$F:$I,3,0)</f>
        <v/>
      </c>
      <c r="O9202" s="94">
        <f>VLOOKUP($Q9202,매칭테이블!$F:$I,4,0)*K9202</f>
        <v/>
      </c>
      <c r="P9202" s="148">
        <f>M9202/1.1</f>
        <v/>
      </c>
      <c r="Q9202" s="94">
        <f>F9202&amp;E9202&amp;G9202&amp;L9202</f>
        <v/>
      </c>
    </row>
    <row r="9203" customFormat="1" s="94">
      <c r="B9203" s="128" t="n">
        <v>44088</v>
      </c>
      <c r="C9203" s="94">
        <f>TEXT(B9203,"aaa")</f>
        <v/>
      </c>
      <c r="E9203" s="94" t="inlineStr">
        <is>
          <t>머드크림마스크</t>
        </is>
      </c>
      <c r="F9203" s="94" t="inlineStr">
        <is>
          <t>카페24</t>
        </is>
      </c>
      <c r="G9203" s="94" t="inlineStr">
        <is>
          <t>머드크림마스크 100ml 2set</t>
        </is>
      </c>
      <c r="H9203" s="94" t="n">
        <v>200801</v>
      </c>
      <c r="I9203" s="94" t="n">
        <v>200801</v>
      </c>
      <c r="K9203" s="6" t="n">
        <v>1</v>
      </c>
      <c r="L9203" s="94" t="n">
        <v>200801</v>
      </c>
      <c r="M9203" s="94">
        <f>VLOOKUP($Q9203,매칭테이블!$F:$I,2,0)*K9203</f>
        <v/>
      </c>
      <c r="N9203" s="94">
        <f>M9203-M9203*VLOOKUP($Q9203,매칭테이블!$F:$I,3,0)</f>
        <v/>
      </c>
      <c r="O9203" s="94">
        <f>VLOOKUP($Q9203,매칭테이블!$F:$I,4,0)*K9203</f>
        <v/>
      </c>
      <c r="P9203" s="148">
        <f>M9203/1.1</f>
        <v/>
      </c>
      <c r="Q9203" s="94">
        <f>F9203&amp;E9203&amp;G9203&amp;L9203</f>
        <v/>
      </c>
    </row>
    <row r="9204" customFormat="1" s="94">
      <c r="B9204" s="128" t="n">
        <v>44088</v>
      </c>
      <c r="C9204" s="94">
        <f>TEXT(B9204,"aaa")</f>
        <v/>
      </c>
      <c r="E9204" s="94" t="inlineStr">
        <is>
          <t>마스크팩</t>
        </is>
      </c>
      <c r="F9204" s="94" t="inlineStr">
        <is>
          <t>카페24</t>
        </is>
      </c>
      <c r="G9204" s="94" t="inlineStr">
        <is>
          <t>마스크팩 10매</t>
        </is>
      </c>
      <c r="H9204" s="94" t="n">
        <v>200801</v>
      </c>
      <c r="I9204" s="94" t="n">
        <v>200801</v>
      </c>
      <c r="K9204" s="6" t="n">
        <v>3</v>
      </c>
      <c r="L9204" s="94" t="n">
        <v>200801</v>
      </c>
      <c r="M9204" s="94">
        <f>VLOOKUP($Q9204,매칭테이블!$F:$I,2,0)*K9204</f>
        <v/>
      </c>
      <c r="N9204" s="94">
        <f>M9204-M9204*VLOOKUP($Q9204,매칭테이블!$F:$I,3,0)</f>
        <v/>
      </c>
      <c r="O9204" s="94">
        <f>VLOOKUP($Q9204,매칭테이블!$F:$I,4,0)*K9204</f>
        <v/>
      </c>
      <c r="P9204" s="148">
        <f>M9204/1.1</f>
        <v/>
      </c>
      <c r="Q9204" s="94">
        <f>F9204&amp;E9204&amp;G9204&amp;L9204</f>
        <v/>
      </c>
    </row>
    <row r="9205" customFormat="1" s="94">
      <c r="B9205" s="128" t="n">
        <v>44088</v>
      </c>
      <c r="C9205" s="94">
        <f>TEXT(B9205,"aaa")</f>
        <v/>
      </c>
      <c r="E9205" s="94" t="inlineStr">
        <is>
          <t>토너</t>
        </is>
      </c>
      <c r="F9205" s="94" t="inlineStr">
        <is>
          <t>카페24</t>
        </is>
      </c>
      <c r="G9205" s="94" t="inlineStr">
        <is>
          <t>250ml</t>
        </is>
      </c>
      <c r="H9205" s="94" t="n">
        <v>200801</v>
      </c>
      <c r="I9205" s="94" t="n">
        <v>200801</v>
      </c>
      <c r="K9205" s="6" t="n">
        <v>99</v>
      </c>
      <c r="L9205" s="94" t="n">
        <v>200801</v>
      </c>
      <c r="M9205" s="94">
        <f>VLOOKUP($Q9205,매칭테이블!$F:$I,2,0)*K9205</f>
        <v/>
      </c>
      <c r="N9205" s="94">
        <f>M9205-M9205*VLOOKUP($Q9205,매칭테이블!$F:$I,3,0)</f>
        <v/>
      </c>
      <c r="O9205" s="94">
        <f>VLOOKUP($Q9205,매칭테이블!$F:$I,4,0)*K9205</f>
        <v/>
      </c>
      <c r="P9205" s="148">
        <f>M9205/1.1</f>
        <v/>
      </c>
      <c r="Q9205" s="94">
        <f>F9205&amp;E9205&amp;G9205&amp;L9205</f>
        <v/>
      </c>
    </row>
    <row r="9206" customFormat="1" s="94">
      <c r="B9206" s="128" t="n">
        <v>44088</v>
      </c>
      <c r="C9206" s="94">
        <f>TEXT(B9206,"aaa")</f>
        <v/>
      </c>
      <c r="E9206" s="94" t="inlineStr">
        <is>
          <t>토너</t>
        </is>
      </c>
      <c r="F9206" s="94" t="inlineStr">
        <is>
          <t>카페24</t>
        </is>
      </c>
      <c r="G9206" s="94" t="inlineStr">
        <is>
          <t>250ml 2set</t>
        </is>
      </c>
      <c r="H9206" s="94" t="n">
        <v>200801</v>
      </c>
      <c r="I9206" s="94" t="n">
        <v>200801</v>
      </c>
      <c r="K9206" s="6" t="n">
        <v>61</v>
      </c>
      <c r="L9206" s="94" t="n">
        <v>200801</v>
      </c>
      <c r="M9206" s="94">
        <f>VLOOKUP($Q9206,매칭테이블!$F:$I,2,0)*K9206</f>
        <v/>
      </c>
      <c r="N9206" s="94">
        <f>M9206-M9206*VLOOKUP($Q9206,매칭테이블!$F:$I,3,0)</f>
        <v/>
      </c>
      <c r="O9206" s="94">
        <f>VLOOKUP($Q9206,매칭테이블!$F:$I,4,0)*K9206</f>
        <v/>
      </c>
      <c r="P9206" s="148">
        <f>M9206/1.1</f>
        <v/>
      </c>
      <c r="Q9206" s="94">
        <f>F9206&amp;E9206&amp;G9206&amp;L9206</f>
        <v/>
      </c>
    </row>
    <row r="9207" customFormat="1" s="94">
      <c r="B9207" s="128" t="n">
        <v>44088</v>
      </c>
      <c r="C9207" s="94">
        <f>TEXT(B9207,"aaa")</f>
        <v/>
      </c>
      <c r="E9207" s="94" t="inlineStr">
        <is>
          <t>토너</t>
        </is>
      </c>
      <c r="F9207" s="94" t="inlineStr">
        <is>
          <t>카페24</t>
        </is>
      </c>
      <c r="G9207" s="94" t="inlineStr">
        <is>
          <t>500ml</t>
        </is>
      </c>
      <c r="H9207" s="94" t="n">
        <v>200801</v>
      </c>
      <c r="I9207" s="94" t="n">
        <v>200801</v>
      </c>
      <c r="K9207" s="6" t="n">
        <v>80</v>
      </c>
      <c r="L9207" s="94" t="n">
        <v>200801</v>
      </c>
      <c r="M9207" s="94">
        <f>VLOOKUP($Q9207,매칭테이블!$F:$I,2,0)*K9207</f>
        <v/>
      </c>
      <c r="N9207" s="94">
        <f>M9207-M9207*VLOOKUP($Q9207,매칭테이블!$F:$I,3,0)</f>
        <v/>
      </c>
      <c r="O9207" s="94">
        <f>VLOOKUP($Q9207,매칭테이블!$F:$I,4,0)*K9207</f>
        <v/>
      </c>
      <c r="P9207" s="148">
        <f>M9207/1.1</f>
        <v/>
      </c>
      <c r="Q9207" s="94">
        <f>F9207&amp;E9207&amp;G9207&amp;L9207</f>
        <v/>
      </c>
    </row>
    <row r="9208" customFormat="1" s="94">
      <c r="B9208" s="128" t="n">
        <v>44088</v>
      </c>
      <c r="C9208" s="94">
        <f>TEXT(B9208,"aaa")</f>
        <v/>
      </c>
      <c r="E9208" s="94" t="inlineStr">
        <is>
          <t>토너</t>
        </is>
      </c>
      <c r="F9208" s="94" t="inlineStr">
        <is>
          <t>카페24</t>
        </is>
      </c>
      <c r="G9208" s="94" t="inlineStr">
        <is>
          <t>스킨팩 화장솜 60P</t>
        </is>
      </c>
      <c r="H9208" s="94" t="n">
        <v>200801</v>
      </c>
      <c r="I9208" s="94" t="n">
        <v>200801</v>
      </c>
      <c r="K9208" s="6" t="n">
        <v>74</v>
      </c>
      <c r="L9208" s="94" t="n">
        <v>200801</v>
      </c>
      <c r="M9208" s="94">
        <f>VLOOKUP($Q9208,매칭테이블!$F:$I,2,0)*K9208</f>
        <v/>
      </c>
      <c r="N9208" s="94">
        <f>M9208-M9208*VLOOKUP($Q9208,매칭테이블!$F:$I,3,0)</f>
        <v/>
      </c>
      <c r="O9208" s="94">
        <f>VLOOKUP($Q9208,매칭테이블!$F:$I,4,0)*K9208</f>
        <v/>
      </c>
      <c r="P9208" s="148">
        <f>M9208/1.1</f>
        <v/>
      </c>
      <c r="Q9208" s="94">
        <f>F9208&amp;E9208&amp;G9208&amp;L9208</f>
        <v/>
      </c>
    </row>
    <row r="9209" customFormat="1" s="94">
      <c r="B9209" s="128" t="n">
        <v>44088</v>
      </c>
      <c r="C9209" s="94">
        <f>TEXT(B9209,"aaa")</f>
        <v/>
      </c>
      <c r="E9209" s="94" t="inlineStr">
        <is>
          <t>앰플</t>
        </is>
      </c>
      <c r="F9209" s="94" t="inlineStr">
        <is>
          <t>카페24</t>
        </is>
      </c>
      <c r="G9209" s="94" t="inlineStr">
        <is>
          <t>앰플 30ml</t>
        </is>
      </c>
      <c r="H9209" s="94" t="n">
        <v>200801</v>
      </c>
      <c r="I9209" s="94" t="n">
        <v>200801</v>
      </c>
      <c r="K9209" s="6" t="n">
        <v>20</v>
      </c>
      <c r="L9209" s="94" t="n">
        <v>200801</v>
      </c>
      <c r="M9209" s="94">
        <f>VLOOKUP($Q9209,매칭테이블!$F:$I,2,0)*K9209</f>
        <v/>
      </c>
      <c r="N9209" s="94">
        <f>M9209-M9209*VLOOKUP($Q9209,매칭테이블!$F:$I,3,0)</f>
        <v/>
      </c>
      <c r="O9209" s="94">
        <f>VLOOKUP($Q9209,매칭테이블!$F:$I,4,0)*K9209</f>
        <v/>
      </c>
      <c r="P9209" s="148">
        <f>M9209/1.1</f>
        <v/>
      </c>
      <c r="Q9209" s="94">
        <f>F9209&amp;E9209&amp;G9209&amp;L9209</f>
        <v/>
      </c>
    </row>
    <row r="9210" customFormat="1" s="94">
      <c r="B9210" s="128" t="n">
        <v>44088</v>
      </c>
      <c r="C9210" s="94">
        <f>TEXT(B9210,"aaa")</f>
        <v/>
      </c>
      <c r="E9210" s="94" t="inlineStr">
        <is>
          <t>앰플</t>
        </is>
      </c>
      <c r="F9210" s="94" t="inlineStr">
        <is>
          <t>카페24</t>
        </is>
      </c>
      <c r="G9210" s="94" t="inlineStr">
        <is>
          <t>앰플 30ml  2set</t>
        </is>
      </c>
      <c r="H9210" s="94" t="n">
        <v>200801</v>
      </c>
      <c r="I9210" s="94" t="n">
        <v>200801</v>
      </c>
      <c r="K9210" s="6" t="n">
        <v>7</v>
      </c>
      <c r="L9210" s="94" t="n">
        <v>200801</v>
      </c>
      <c r="M9210" s="94">
        <f>VLOOKUP($Q9210,매칭테이블!$F:$I,2,0)*K9210</f>
        <v/>
      </c>
      <c r="N9210" s="94">
        <f>M9210-M9210*VLOOKUP($Q9210,매칭테이블!$F:$I,3,0)</f>
        <v/>
      </c>
      <c r="O9210" s="94">
        <f>VLOOKUP($Q9210,매칭테이블!$F:$I,4,0)*K9210</f>
        <v/>
      </c>
      <c r="P9210" s="148">
        <f>M9210/1.1</f>
        <v/>
      </c>
      <c r="Q9210" s="94">
        <f>F9210&amp;E9210&amp;G9210&amp;L9210</f>
        <v/>
      </c>
    </row>
    <row r="9211" customFormat="1" s="94">
      <c r="B9211" s="128" t="n">
        <v>44088</v>
      </c>
      <c r="C9211" s="94">
        <f>TEXT(B9211,"aaa")</f>
        <v/>
      </c>
      <c r="E9211" s="94" t="inlineStr">
        <is>
          <t>수딩크림</t>
        </is>
      </c>
      <c r="F9211" s="94" t="inlineStr">
        <is>
          <t>카페24</t>
        </is>
      </c>
      <c r="G9211" s="94" t="inlineStr">
        <is>
          <t>수딩크림 100ml</t>
        </is>
      </c>
      <c r="H9211" s="94" t="n">
        <v>200801</v>
      </c>
      <c r="I9211" s="94" t="n">
        <v>200801</v>
      </c>
      <c r="K9211" s="6" t="n">
        <v>15</v>
      </c>
      <c r="L9211" s="94" t="n">
        <v>200801</v>
      </c>
      <c r="M9211" s="94">
        <f>VLOOKUP($Q9211,매칭테이블!$F:$I,2,0)*K9211</f>
        <v/>
      </c>
      <c r="N9211" s="94">
        <f>M9211-M9211*VLOOKUP($Q9211,매칭테이블!$F:$I,3,0)</f>
        <v/>
      </c>
      <c r="O9211" s="94">
        <f>VLOOKUP($Q9211,매칭테이블!$F:$I,4,0)*K9211</f>
        <v/>
      </c>
      <c r="P9211" s="148">
        <f>M9211/1.1</f>
        <v/>
      </c>
      <c r="Q9211" s="94">
        <f>F9211&amp;E9211&amp;G9211&amp;L9211</f>
        <v/>
      </c>
    </row>
    <row r="9212" customFormat="1" s="94">
      <c r="B9212" s="128" t="n">
        <v>44088</v>
      </c>
      <c r="C9212" s="94">
        <f>TEXT(B9212,"aaa")</f>
        <v/>
      </c>
      <c r="E9212" s="94" t="inlineStr">
        <is>
          <t>클렌징폼</t>
        </is>
      </c>
      <c r="F9212" s="94" t="inlineStr">
        <is>
          <t>카페24</t>
        </is>
      </c>
      <c r="G9212" s="94" t="inlineStr">
        <is>
          <t>클렌징폼 120ml</t>
        </is>
      </c>
      <c r="H9212" s="94" t="n">
        <v>200801</v>
      </c>
      <c r="I9212" s="94" t="n">
        <v>200801</v>
      </c>
      <c r="K9212" s="6" t="n">
        <v>18</v>
      </c>
      <c r="L9212" s="94" t="n">
        <v>200801</v>
      </c>
      <c r="M9212" s="94">
        <f>VLOOKUP($Q9212,매칭테이블!$F:$I,2,0)*K9212</f>
        <v/>
      </c>
      <c r="N9212" s="94">
        <f>M9212-M9212*VLOOKUP($Q9212,매칭테이블!$F:$I,3,0)</f>
        <v/>
      </c>
      <c r="O9212" s="94">
        <f>VLOOKUP($Q9212,매칭테이블!$F:$I,4,0)*K9212</f>
        <v/>
      </c>
      <c r="P9212" s="148">
        <f>M9212/1.1</f>
        <v/>
      </c>
      <c r="Q9212" s="94">
        <f>F9212&amp;E9212&amp;G9212&amp;L9212</f>
        <v/>
      </c>
    </row>
    <row r="9213" customFormat="1" s="94">
      <c r="B9213" s="128" t="n">
        <v>44088</v>
      </c>
      <c r="C9213" s="94">
        <f>TEXT(B9213,"aaa")</f>
        <v/>
      </c>
      <c r="E9213" s="94" t="inlineStr">
        <is>
          <t>클렌징폼</t>
        </is>
      </c>
      <c r="F9213" s="94" t="inlineStr">
        <is>
          <t>카페24</t>
        </is>
      </c>
      <c r="G9213" s="94" t="inlineStr">
        <is>
          <t>클렌징폼 120ml 2set</t>
        </is>
      </c>
      <c r="H9213" s="94" t="n">
        <v>200801</v>
      </c>
      <c r="I9213" s="94" t="n">
        <v>200801</v>
      </c>
      <c r="K9213" s="6" t="n">
        <v>4</v>
      </c>
      <c r="L9213" s="94" t="n">
        <v>200801</v>
      </c>
      <c r="M9213" s="94">
        <f>VLOOKUP($Q9213,매칭테이블!$F:$I,2,0)*K9213</f>
        <v/>
      </c>
      <c r="N9213" s="94">
        <f>M9213-M9213*VLOOKUP($Q9213,매칭테이블!$F:$I,3,0)</f>
        <v/>
      </c>
      <c r="O9213" s="94">
        <f>VLOOKUP($Q9213,매칭테이블!$F:$I,4,0)*K9213</f>
        <v/>
      </c>
      <c r="P9213" s="148">
        <f>M9213/1.1</f>
        <v/>
      </c>
      <c r="Q9213" s="94">
        <f>F9213&amp;E9213&amp;G9213&amp;L9213</f>
        <v/>
      </c>
    </row>
    <row r="9214" customFormat="1" s="94">
      <c r="B9214" s="128" t="n">
        <v>44088</v>
      </c>
      <c r="C9214" s="94">
        <f>TEXT(B9214,"aaa")</f>
        <v/>
      </c>
      <c r="E9214" s="94" t="inlineStr">
        <is>
          <t>클렌징폼</t>
        </is>
      </c>
      <c r="F9214" s="94" t="inlineStr">
        <is>
          <t>카페24</t>
        </is>
      </c>
      <c r="G9214" s="94" t="inlineStr">
        <is>
          <t>클렌징폼 120ml 3set</t>
        </is>
      </c>
      <c r="H9214" s="94" t="n">
        <v>200801</v>
      </c>
      <c r="I9214" s="94" t="n">
        <v>200801</v>
      </c>
      <c r="K9214" s="6" t="n">
        <v>3</v>
      </c>
      <c r="L9214" s="94" t="n">
        <v>200801</v>
      </c>
      <c r="M9214" s="94">
        <f>VLOOKUP($Q9214,매칭테이블!$F:$I,2,0)*K9214</f>
        <v/>
      </c>
      <c r="N9214" s="94">
        <f>M9214-M9214*VLOOKUP($Q9214,매칭테이블!$F:$I,3,0)</f>
        <v/>
      </c>
      <c r="O9214" s="94">
        <f>VLOOKUP($Q9214,매칭테이블!$F:$I,4,0)*K9214</f>
        <v/>
      </c>
      <c r="P9214" s="148">
        <f>M9214/1.1</f>
        <v/>
      </c>
      <c r="Q9214" s="94">
        <f>F9214&amp;E9214&amp;G9214&amp;L9214</f>
        <v/>
      </c>
    </row>
    <row r="9215" customFormat="1" s="94">
      <c r="B9215" s="128" t="n">
        <v>44088</v>
      </c>
      <c r="C9215" s="94">
        <f>TEXT(B9215,"aaa")</f>
        <v/>
      </c>
      <c r="E9215" s="94" t="inlineStr">
        <is>
          <t>토너</t>
        </is>
      </c>
      <c r="F9215" s="94" t="inlineStr">
        <is>
          <t>큐텐재팬</t>
        </is>
      </c>
      <c r="G9215" s="94" t="inlineStr">
        <is>
          <t>200726=250ml</t>
        </is>
      </c>
      <c r="H9215" s="94" t="n">
        <v>200801</v>
      </c>
      <c r="I9215" s="94" t="n">
        <v>200801</v>
      </c>
      <c r="K9215" s="6" t="n">
        <v>12</v>
      </c>
      <c r="L9215" s="94" t="n">
        <v>200801</v>
      </c>
      <c r="M9215" s="94">
        <f>VLOOKUP($Q9215,매칭테이블!$F:$I,2,0)*K9215</f>
        <v/>
      </c>
      <c r="N9215" s="94">
        <f>M9215-M9215*VLOOKUP($Q9215,매칭테이블!$F:$I,3,0)</f>
        <v/>
      </c>
      <c r="O9215" s="94">
        <f>VLOOKUP($Q9215,매칭테이블!$F:$I,4,0)*K9215</f>
        <v/>
      </c>
      <c r="P9215" s="148">
        <f>M9215/1.1</f>
        <v/>
      </c>
      <c r="Q9215" s="94">
        <f>F9215&amp;E9215&amp;G9215&amp;L9215</f>
        <v/>
      </c>
    </row>
    <row r="9216" customFormat="1" s="94">
      <c r="B9216" s="128" t="n">
        <v>44088</v>
      </c>
      <c r="C9216" s="94">
        <f>TEXT(B9216,"aaa")</f>
        <v/>
      </c>
      <c r="E9216" s="94" t="inlineStr">
        <is>
          <t>수딩크림</t>
        </is>
      </c>
      <c r="F9216" s="94" t="inlineStr">
        <is>
          <t>큐텐재팬</t>
        </is>
      </c>
      <c r="G9216" s="94" t="inlineStr">
        <is>
          <t>200726=수딩크림 100ml</t>
        </is>
      </c>
      <c r="H9216" s="94" t="n">
        <v>200801</v>
      </c>
      <c r="I9216" s="94" t="n">
        <v>200801</v>
      </c>
      <c r="K9216" s="6" t="n">
        <v>1</v>
      </c>
      <c r="L9216" s="94" t="n">
        <v>200801</v>
      </c>
      <c r="M9216" s="94">
        <f>VLOOKUP($Q9216,매칭테이블!$F:$I,2,0)*K9216</f>
        <v/>
      </c>
      <c r="N9216" s="94">
        <f>M9216-M9216*VLOOKUP($Q9216,매칭테이블!$F:$I,3,0)</f>
        <v/>
      </c>
      <c r="O9216" s="94">
        <f>VLOOKUP($Q9216,매칭테이블!$F:$I,4,0)*K9216</f>
        <v/>
      </c>
      <c r="P9216" s="148">
        <f>M9216/1.1</f>
        <v/>
      </c>
      <c r="Q9216" s="94">
        <f>F9216&amp;E9216&amp;G9216&amp;L9216</f>
        <v/>
      </c>
    </row>
    <row r="9217" customFormat="1" s="94">
      <c r="B9217" s="128" t="n">
        <v>44088</v>
      </c>
      <c r="C9217" s="94">
        <f>TEXT(B9217,"aaa")</f>
        <v/>
      </c>
      <c r="E9217" s="94" t="inlineStr">
        <is>
          <t>머드크림마스크</t>
        </is>
      </c>
      <c r="F9217" s="94" t="inlineStr">
        <is>
          <t>큐텐재팬</t>
        </is>
      </c>
      <c r="G9217" s="94" t="inlineStr">
        <is>
          <t>200726=머드크림마스크 100ml</t>
        </is>
      </c>
      <c r="H9217" s="94" t="n">
        <v>200801</v>
      </c>
      <c r="I9217" s="94" t="n">
        <v>200801</v>
      </c>
      <c r="K9217" s="6" t="n">
        <v>2</v>
      </c>
      <c r="L9217" s="94" t="n">
        <v>200801</v>
      </c>
      <c r="M9217" s="94">
        <f>VLOOKUP($Q9217,매칭테이블!$F:$I,2,0)*K9217</f>
        <v/>
      </c>
      <c r="N9217" s="94">
        <f>M9217-M9217*VLOOKUP($Q9217,매칭테이블!$F:$I,3,0)</f>
        <v/>
      </c>
      <c r="O9217" s="94">
        <f>VLOOKUP($Q9217,매칭테이블!$F:$I,4,0)*K9217</f>
        <v/>
      </c>
      <c r="P9217" s="148">
        <f>M9217/1.1</f>
        <v/>
      </c>
      <c r="Q9217" s="94">
        <f>F9217&amp;E9217&amp;G9217&amp;L9217</f>
        <v/>
      </c>
    </row>
    <row r="9218" customFormat="1" s="94">
      <c r="B9218" s="128" t="n">
        <v>44088</v>
      </c>
      <c r="C9218" s="94">
        <f>TEXT(B9218,"aaa")</f>
        <v/>
      </c>
      <c r="E9218" s="94" t="inlineStr">
        <is>
          <t>토너</t>
        </is>
      </c>
      <c r="F9218" s="94" t="inlineStr">
        <is>
          <t>큐텐재팬</t>
        </is>
      </c>
      <c r="G9218" s="94" t="inlineStr">
        <is>
          <t>200726=250ml 2set</t>
        </is>
      </c>
      <c r="H9218" s="94" t="n">
        <v>200801</v>
      </c>
      <c r="I9218" s="94" t="n">
        <v>200801</v>
      </c>
      <c r="K9218" s="6" t="n">
        <v>2</v>
      </c>
      <c r="L9218" s="94" t="n">
        <v>200801</v>
      </c>
      <c r="M9218" s="94">
        <f>VLOOKUP($Q9218,매칭테이블!$F:$I,2,0)*K9218</f>
        <v/>
      </c>
      <c r="N9218" s="94">
        <f>M9218-M9218*VLOOKUP($Q9218,매칭테이블!$F:$I,3,0)</f>
        <v/>
      </c>
      <c r="O9218" s="94">
        <f>VLOOKUP($Q9218,매칭테이블!$F:$I,4,0)*K9218</f>
        <v/>
      </c>
      <c r="P9218" s="148">
        <f>M9218/1.1</f>
        <v/>
      </c>
      <c r="Q9218" s="94">
        <f>F9218&amp;E9218&amp;G9218&amp;L9218</f>
        <v/>
      </c>
    </row>
    <row r="9219" customFormat="1" s="94">
      <c r="B9219" s="128" t="n">
        <v>44089</v>
      </c>
      <c r="C9219" s="94">
        <f>TEXT(B9219,"aaa")</f>
        <v/>
      </c>
      <c r="E9219" s="94" t="inlineStr">
        <is>
          <t>토너</t>
        </is>
      </c>
      <c r="F9219" s="94" t="inlineStr">
        <is>
          <t>W컨셉</t>
        </is>
      </c>
      <c r="G9219" s="94" t="inlineStr">
        <is>
          <t>250ml</t>
        </is>
      </c>
      <c r="H9219" s="94" t="n">
        <v>200801</v>
      </c>
      <c r="I9219" s="94" t="n">
        <v>200801</v>
      </c>
      <c r="K9219" s="6" t="n">
        <v>1</v>
      </c>
      <c r="L9219" s="94" t="n">
        <v>200801</v>
      </c>
      <c r="M9219" s="94">
        <f>VLOOKUP($Q9219,매칭테이블!$F:$I,2,0)*K9219</f>
        <v/>
      </c>
      <c r="N9219" s="94">
        <f>M9219-M9219*VLOOKUP($Q9219,매칭테이블!$F:$I,3,0)</f>
        <v/>
      </c>
      <c r="O9219" s="94">
        <f>VLOOKUP($Q9219,매칭테이블!$F:$I,4,0)*K9219</f>
        <v/>
      </c>
      <c r="P9219" s="148">
        <f>M9219/1.1</f>
        <v/>
      </c>
      <c r="Q9219" s="94">
        <f>F9219&amp;E9219&amp;G9219&amp;L9219</f>
        <v/>
      </c>
    </row>
    <row r="9220" customFormat="1" s="94">
      <c r="B9220" s="128" t="n">
        <v>44089</v>
      </c>
      <c r="C9220" s="94">
        <f>TEXT(B9220,"aaa")</f>
        <v/>
      </c>
      <c r="E9220" s="94" t="inlineStr">
        <is>
          <t>토너</t>
        </is>
      </c>
      <c r="F9220" s="94" t="inlineStr">
        <is>
          <t>W컨셉</t>
        </is>
      </c>
      <c r="G9220" s="94" t="inlineStr">
        <is>
          <t>250ml 2set</t>
        </is>
      </c>
      <c r="H9220" s="94" t="n">
        <v>200801</v>
      </c>
      <c r="I9220" s="94" t="n">
        <v>200801</v>
      </c>
      <c r="K9220" s="6" t="n">
        <v>12</v>
      </c>
      <c r="L9220" s="94" t="n">
        <v>200801</v>
      </c>
      <c r="M9220" s="94">
        <f>VLOOKUP($Q9220,매칭테이블!$F:$I,2,0)*K9220</f>
        <v/>
      </c>
      <c r="N9220" s="94">
        <f>M9220-M9220*VLOOKUP($Q9220,매칭테이블!$F:$I,3,0)</f>
        <v/>
      </c>
      <c r="O9220" s="94">
        <f>VLOOKUP($Q9220,매칭테이블!$F:$I,4,0)*K9220</f>
        <v/>
      </c>
      <c r="P9220" s="148">
        <f>M9220/1.1</f>
        <v/>
      </c>
      <c r="Q9220" s="94">
        <f>F9220&amp;E9220&amp;G9220&amp;L9220</f>
        <v/>
      </c>
    </row>
    <row r="9221" customFormat="1" s="94">
      <c r="B9221" s="128" t="n">
        <v>44089</v>
      </c>
      <c r="C9221" s="94">
        <f>TEXT(B9221,"aaa")</f>
        <v/>
      </c>
      <c r="E9221" s="94" t="inlineStr">
        <is>
          <t>토너</t>
        </is>
      </c>
      <c r="F9221" s="94" t="inlineStr">
        <is>
          <t>스타일쉐어</t>
        </is>
      </c>
      <c r="G9221" s="94" t="inlineStr">
        <is>
          <t>250ml</t>
        </is>
      </c>
      <c r="H9221" s="94" t="n">
        <v>200801</v>
      </c>
      <c r="I9221" s="94" t="n">
        <v>200801</v>
      </c>
      <c r="K9221" s="6" t="n">
        <v>5</v>
      </c>
      <c r="L9221" s="94" t="n">
        <v>200801</v>
      </c>
      <c r="M9221" s="94">
        <f>VLOOKUP($Q9221,매칭테이블!$F:$I,2,0)*K9221</f>
        <v/>
      </c>
      <c r="N9221" s="94">
        <f>M9221-M9221*VLOOKUP($Q9221,매칭테이블!$F:$I,3,0)</f>
        <v/>
      </c>
      <c r="O9221" s="94">
        <f>VLOOKUP($Q9221,매칭테이블!$F:$I,4,0)*K9221</f>
        <v/>
      </c>
      <c r="P9221" s="148">
        <f>M9221/1.1</f>
        <v/>
      </c>
      <c r="Q9221" s="94">
        <f>F9221&amp;E9221&amp;G9221&amp;L9221</f>
        <v/>
      </c>
    </row>
    <row r="9222" customFormat="1" s="94">
      <c r="B9222" s="128" t="n">
        <v>44089</v>
      </c>
      <c r="C9222" s="94">
        <f>TEXT(B9222,"aaa")</f>
        <v/>
      </c>
      <c r="E9222" s="94" t="inlineStr">
        <is>
          <t>클리어 패드</t>
        </is>
      </c>
      <c r="F9222" s="94" t="inlineStr">
        <is>
          <t>아누아 CS</t>
        </is>
      </c>
      <c r="G9222" s="94" t="inlineStr">
        <is>
          <t>어성초 클리어패드 70P</t>
        </is>
      </c>
      <c r="H9222" s="94" t="n">
        <v>200801</v>
      </c>
      <c r="I9222" s="94" t="n">
        <v>200801</v>
      </c>
      <c r="K9222" s="6" t="n">
        <v>4</v>
      </c>
      <c r="L9222" s="94" t="n">
        <v>200801</v>
      </c>
      <c r="M9222" s="94">
        <f>VLOOKUP($Q9222,매칭테이블!$F:$I,2,0)*K9222</f>
        <v/>
      </c>
      <c r="N9222" s="94">
        <f>M9222-M9222*VLOOKUP($Q9222,매칭테이블!$F:$I,3,0)</f>
        <v/>
      </c>
      <c r="O9222" s="94">
        <f>VLOOKUP($Q9222,매칭테이블!$F:$I,4,0)*K9222</f>
        <v/>
      </c>
      <c r="P9222" s="148">
        <f>M9222/1.1</f>
        <v/>
      </c>
      <c r="Q9222" s="94">
        <f>F9222&amp;E9222&amp;G9222&amp;L9222</f>
        <v/>
      </c>
    </row>
    <row r="9223" customFormat="1" s="94">
      <c r="B9223" s="128" t="n">
        <v>44089</v>
      </c>
      <c r="C9223" s="94">
        <f>TEXT(B9223,"aaa")</f>
        <v/>
      </c>
      <c r="E9223" s="94" t="inlineStr">
        <is>
          <t>선크림</t>
        </is>
      </c>
      <c r="F9223" s="94" t="inlineStr">
        <is>
          <t>카페24</t>
        </is>
      </c>
      <c r="G9223" s="94" t="inlineStr">
        <is>
          <t>선크림 50ml</t>
        </is>
      </c>
      <c r="H9223" s="94" t="n">
        <v>200801</v>
      </c>
      <c r="I9223" s="94" t="n">
        <v>200801</v>
      </c>
      <c r="K9223" s="6" t="n">
        <v>1</v>
      </c>
      <c r="L9223" s="94" t="n">
        <v>200801</v>
      </c>
      <c r="M9223" s="94">
        <f>VLOOKUP($Q9223,매칭테이블!$F:$I,2,0)*K9223</f>
        <v/>
      </c>
      <c r="N9223" s="94">
        <f>M9223-M9223*VLOOKUP($Q9223,매칭테이블!$F:$I,3,0)</f>
        <v/>
      </c>
      <c r="O9223" s="94">
        <f>VLOOKUP($Q9223,매칭테이블!$F:$I,4,0)*K9223</f>
        <v/>
      </c>
      <c r="P9223" s="148">
        <f>M9223/1.1</f>
        <v/>
      </c>
      <c r="Q9223" s="94">
        <f>F9223&amp;E9223&amp;G9223&amp;L9223</f>
        <v/>
      </c>
    </row>
    <row r="9224" customFormat="1" s="94">
      <c r="B9224" s="128" t="n">
        <v>44089</v>
      </c>
      <c r="C9224" s="94">
        <f>TEXT(B9224,"aaa")</f>
        <v/>
      </c>
      <c r="E9224" s="94" t="inlineStr">
        <is>
          <t>선크림</t>
        </is>
      </c>
      <c r="F9224" s="94" t="inlineStr">
        <is>
          <t>카페24</t>
        </is>
      </c>
      <c r="G9224" s="94" t="inlineStr">
        <is>
          <t>선크림 50ml  2set</t>
        </is>
      </c>
      <c r="H9224" s="94" t="n">
        <v>200801</v>
      </c>
      <c r="I9224" s="94" t="n">
        <v>200801</v>
      </c>
      <c r="K9224" s="6" t="n">
        <v>2</v>
      </c>
      <c r="L9224" s="94" t="n">
        <v>200801</v>
      </c>
      <c r="M9224" s="94">
        <f>VLOOKUP($Q9224,매칭테이블!$F:$I,2,0)*K9224</f>
        <v/>
      </c>
      <c r="N9224" s="94">
        <f>M9224-M9224*VLOOKUP($Q9224,매칭테이블!$F:$I,3,0)</f>
        <v/>
      </c>
      <c r="O9224" s="94">
        <f>VLOOKUP($Q9224,매칭테이블!$F:$I,4,0)*K9224</f>
        <v/>
      </c>
      <c r="P9224" s="148">
        <f>M9224/1.1</f>
        <v/>
      </c>
      <c r="Q9224" s="94">
        <f>F9224&amp;E9224&amp;G9224&amp;L9224</f>
        <v/>
      </c>
    </row>
    <row r="9225" customFormat="1" s="94">
      <c r="B9225" s="128" t="n">
        <v>44089</v>
      </c>
      <c r="C9225" s="94">
        <f>TEXT(B9225,"aaa")</f>
        <v/>
      </c>
      <c r="E9225" s="94" t="inlineStr">
        <is>
          <t>여름 한정 진정세트</t>
        </is>
      </c>
      <c r="F9225" s="94" t="inlineStr">
        <is>
          <t>카페24</t>
        </is>
      </c>
      <c r="G9225" s="94" t="inlineStr">
        <is>
          <t>여름 한정 진정세트</t>
        </is>
      </c>
      <c r="H9225" s="94" t="n">
        <v>200801</v>
      </c>
      <c r="I9225" s="94" t="n">
        <v>200801</v>
      </c>
      <c r="K9225" s="6" t="n">
        <v>1</v>
      </c>
      <c r="L9225" s="94" t="n">
        <v>200801</v>
      </c>
      <c r="M9225" s="94">
        <f>VLOOKUP($Q9225,매칭테이블!$F:$I,2,0)*K9225</f>
        <v/>
      </c>
      <c r="N9225" s="94">
        <f>M9225-M9225*VLOOKUP($Q9225,매칭테이블!$F:$I,3,0)</f>
        <v/>
      </c>
      <c r="O9225" s="94">
        <f>VLOOKUP($Q9225,매칭테이블!$F:$I,4,0)*K9225</f>
        <v/>
      </c>
      <c r="P9225" s="148">
        <f>M9225/1.1</f>
        <v/>
      </c>
      <c r="Q9225" s="94">
        <f>F9225&amp;E9225&amp;G9225&amp;L9225</f>
        <v/>
      </c>
    </row>
    <row r="9226" customFormat="1" s="94">
      <c r="B9226" s="128" t="n">
        <v>44089</v>
      </c>
      <c r="C9226" s="94">
        <f>TEXT(B9226,"aaa")</f>
        <v/>
      </c>
      <c r="E9226" s="94" t="inlineStr">
        <is>
          <t>어성초진정패키지</t>
        </is>
      </c>
      <c r="F9226" s="94" t="inlineStr">
        <is>
          <t>카페24</t>
        </is>
      </c>
      <c r="G9226" s="94" t="inlineStr">
        <is>
          <t>어성초 진정패키지세트</t>
        </is>
      </c>
      <c r="H9226" s="94" t="n">
        <v>200801</v>
      </c>
      <c r="I9226" s="94" t="n">
        <v>200801</v>
      </c>
      <c r="K9226" s="6" t="n">
        <v>6</v>
      </c>
      <c r="L9226" s="94" t="n">
        <v>200801</v>
      </c>
      <c r="M9226" s="94">
        <f>VLOOKUP($Q9226,매칭테이블!$F:$I,2,0)*K9226</f>
        <v/>
      </c>
      <c r="N9226" s="94">
        <f>M9226-M9226*VLOOKUP($Q9226,매칭테이블!$F:$I,3,0)</f>
        <v/>
      </c>
      <c r="O9226" s="94">
        <f>VLOOKUP($Q9226,매칭테이블!$F:$I,4,0)*K9226</f>
        <v/>
      </c>
      <c r="P9226" s="148">
        <f>M9226/1.1</f>
        <v/>
      </c>
      <c r="Q9226" s="94">
        <f>F9226&amp;E9226&amp;G9226&amp;L9226</f>
        <v/>
      </c>
    </row>
    <row r="9227" customFormat="1" s="94">
      <c r="B9227" s="128" t="n">
        <v>44089</v>
      </c>
      <c r="C9227" s="94">
        <f>TEXT(B9227,"aaa")</f>
        <v/>
      </c>
      <c r="E9227" s="94" t="inlineStr">
        <is>
          <t>클리어 패드</t>
        </is>
      </c>
      <c r="F9227" s="94" t="inlineStr">
        <is>
          <t>카페24</t>
        </is>
      </c>
      <c r="G9227" s="94" t="inlineStr">
        <is>
          <t>[플친단독할인] 어성초 77 클리어 패드 1개-29% off</t>
        </is>
      </c>
      <c r="H9227" s="94" t="n">
        <v>200801</v>
      </c>
      <c r="I9227" s="94" t="n">
        <v>200801</v>
      </c>
      <c r="K9227" s="6" t="n">
        <v>23</v>
      </c>
      <c r="L9227" s="94" t="n">
        <v>200801</v>
      </c>
      <c r="M9227" s="94">
        <f>VLOOKUP($Q9227,매칭테이블!$F:$I,2,0)*K9227</f>
        <v/>
      </c>
      <c r="N9227" s="94">
        <f>M9227-M9227*VLOOKUP($Q9227,매칭테이블!$F:$I,3,0)</f>
        <v/>
      </c>
      <c r="O9227" s="94">
        <f>VLOOKUP($Q9227,매칭테이블!$F:$I,4,0)*K9227</f>
        <v/>
      </c>
      <c r="P9227" s="148">
        <f>M9227/1.1</f>
        <v/>
      </c>
      <c r="Q9227" s="94">
        <f>F9227&amp;E9227&amp;G9227&amp;L9227</f>
        <v/>
      </c>
    </row>
    <row r="9228" customFormat="1" s="94">
      <c r="B9228" s="128" t="n">
        <v>44089</v>
      </c>
      <c r="C9228" s="94">
        <f>TEXT(B9228,"aaa")</f>
        <v/>
      </c>
      <c r="E9228" s="94" t="inlineStr">
        <is>
          <t>클리어 패드</t>
        </is>
      </c>
      <c r="F9228" s="94" t="inlineStr">
        <is>
          <t>카페24</t>
        </is>
      </c>
      <c r="G9228" s="94" t="inlineStr">
        <is>
          <t>[플친단독할인] 어성초 77 클리어 패드 2개-30% off</t>
        </is>
      </c>
      <c r="H9228" s="94" t="n">
        <v>200801</v>
      </c>
      <c r="I9228" s="94" t="n">
        <v>200801</v>
      </c>
      <c r="K9228" s="6" t="n">
        <v>13</v>
      </c>
      <c r="L9228" s="94" t="n">
        <v>200801</v>
      </c>
      <c r="M9228" s="94">
        <f>VLOOKUP($Q9228,매칭테이블!$F:$I,2,0)*K9228</f>
        <v/>
      </c>
      <c r="N9228" s="94">
        <f>M9228-M9228*VLOOKUP($Q9228,매칭테이블!$F:$I,3,0)</f>
        <v/>
      </c>
      <c r="O9228" s="94">
        <f>VLOOKUP($Q9228,매칭테이블!$F:$I,4,0)*K9228</f>
        <v/>
      </c>
      <c r="P9228" s="148">
        <f>M9228/1.1</f>
        <v/>
      </c>
      <c r="Q9228" s="94">
        <f>F9228&amp;E9228&amp;G9228&amp;L9228</f>
        <v/>
      </c>
    </row>
    <row r="9229" customFormat="1" s="94">
      <c r="B9229" s="128" t="n">
        <v>44089</v>
      </c>
      <c r="C9229" s="94">
        <f>TEXT(B9229,"aaa")</f>
        <v/>
      </c>
      <c r="E9229" s="94" t="inlineStr">
        <is>
          <t>토너+패드 세트</t>
        </is>
      </c>
      <c r="F9229" s="94" t="inlineStr">
        <is>
          <t>카페24</t>
        </is>
      </c>
      <c r="G9229" s="94" t="inlineStr">
        <is>
          <t>[플친단독할인] 좁쌀 진정 세트 토너+클리어 패드-30% off</t>
        </is>
      </c>
      <c r="H9229" s="94" t="n">
        <v>200801</v>
      </c>
      <c r="I9229" s="94" t="n">
        <v>200801</v>
      </c>
      <c r="K9229" s="6" t="n">
        <v>31</v>
      </c>
      <c r="L9229" s="94" t="n">
        <v>200801</v>
      </c>
      <c r="M9229" s="94">
        <f>VLOOKUP($Q9229,매칭테이블!$F:$I,2,0)*K9229</f>
        <v/>
      </c>
      <c r="N9229" s="94">
        <f>M9229-M9229*VLOOKUP($Q9229,매칭테이블!$F:$I,3,0)</f>
        <v/>
      </c>
      <c r="O9229" s="94">
        <f>VLOOKUP($Q9229,매칭테이블!$F:$I,4,0)*K9229</f>
        <v/>
      </c>
      <c r="P9229" s="148">
        <f>M9229/1.1</f>
        <v/>
      </c>
      <c r="Q9229" s="94">
        <f>F9229&amp;E9229&amp;G9229&amp;L9229</f>
        <v/>
      </c>
    </row>
    <row r="9230" customFormat="1" s="94">
      <c r="B9230" s="128" t="n">
        <v>44089</v>
      </c>
      <c r="C9230" s="94">
        <f>TEXT(B9230,"aaa")</f>
        <v/>
      </c>
      <c r="E9230" s="94" t="inlineStr">
        <is>
          <t>머드크림마스크</t>
        </is>
      </c>
      <c r="F9230" s="94" t="inlineStr">
        <is>
          <t>카페24</t>
        </is>
      </c>
      <c r="G9230" s="94" t="inlineStr">
        <is>
          <t>머드크림마스크 100ml</t>
        </is>
      </c>
      <c r="H9230" s="94" t="n">
        <v>200801</v>
      </c>
      <c r="I9230" s="94" t="n">
        <v>200801</v>
      </c>
      <c r="K9230" s="6" t="n">
        <v>2</v>
      </c>
      <c r="L9230" s="94" t="n">
        <v>200801</v>
      </c>
      <c r="M9230" s="94">
        <f>VLOOKUP($Q9230,매칭테이블!$F:$I,2,0)*K9230</f>
        <v/>
      </c>
      <c r="N9230" s="94">
        <f>M9230-M9230*VLOOKUP($Q9230,매칭테이블!$F:$I,3,0)</f>
        <v/>
      </c>
      <c r="O9230" s="94">
        <f>VLOOKUP($Q9230,매칭테이블!$F:$I,4,0)*K9230</f>
        <v/>
      </c>
      <c r="P9230" s="148">
        <f>M9230/1.1</f>
        <v/>
      </c>
      <c r="Q9230" s="94">
        <f>F9230&amp;E9230&amp;G9230&amp;L9230</f>
        <v/>
      </c>
    </row>
    <row r="9231" customFormat="1" s="94">
      <c r="B9231" s="128" t="n">
        <v>44089</v>
      </c>
      <c r="C9231" s="94">
        <f>TEXT(B9231,"aaa")</f>
        <v/>
      </c>
      <c r="E9231" s="94" t="inlineStr">
        <is>
          <t>머드크림마스크</t>
        </is>
      </c>
      <c r="F9231" s="94" t="inlineStr">
        <is>
          <t>카페24</t>
        </is>
      </c>
      <c r="G9231" s="94" t="inlineStr">
        <is>
          <t>머드크림마스크 100ml 2set</t>
        </is>
      </c>
      <c r="H9231" s="94" t="n">
        <v>200801</v>
      </c>
      <c r="I9231" s="94" t="n">
        <v>200801</v>
      </c>
      <c r="K9231" s="6" t="n">
        <v>3</v>
      </c>
      <c r="L9231" s="94" t="n">
        <v>200801</v>
      </c>
      <c r="M9231" s="94">
        <f>VLOOKUP($Q9231,매칭테이블!$F:$I,2,0)*K9231</f>
        <v/>
      </c>
      <c r="N9231" s="94">
        <f>M9231-M9231*VLOOKUP($Q9231,매칭테이블!$F:$I,3,0)</f>
        <v/>
      </c>
      <c r="O9231" s="94">
        <f>VLOOKUP($Q9231,매칭테이블!$F:$I,4,0)*K9231</f>
        <v/>
      </c>
      <c r="P9231" s="148">
        <f>M9231/1.1</f>
        <v/>
      </c>
      <c r="Q9231" s="94">
        <f>F9231&amp;E9231&amp;G9231&amp;L9231</f>
        <v/>
      </c>
    </row>
    <row r="9232" customFormat="1" s="94">
      <c r="B9232" s="128" t="n">
        <v>44089</v>
      </c>
      <c r="C9232" s="94">
        <f>TEXT(B9232,"aaa")</f>
        <v/>
      </c>
      <c r="E9232" s="94" t="inlineStr">
        <is>
          <t>마스크팩</t>
        </is>
      </c>
      <c r="F9232" s="94" t="inlineStr">
        <is>
          <t>카페24</t>
        </is>
      </c>
      <c r="G9232" s="94" t="inlineStr">
        <is>
          <t>마스크팩 1매</t>
        </is>
      </c>
      <c r="H9232" s="94" t="n">
        <v>200801</v>
      </c>
      <c r="I9232" s="94" t="n">
        <v>200801</v>
      </c>
      <c r="K9232" s="6" t="n">
        <v>6</v>
      </c>
      <c r="L9232" s="94" t="n">
        <v>200801</v>
      </c>
      <c r="M9232" s="94">
        <f>VLOOKUP($Q9232,매칭테이블!$F:$I,2,0)*K9232</f>
        <v/>
      </c>
      <c r="N9232" s="94">
        <f>M9232-M9232*VLOOKUP($Q9232,매칭테이블!$F:$I,3,0)</f>
        <v/>
      </c>
      <c r="O9232" s="94">
        <f>VLOOKUP($Q9232,매칭테이블!$F:$I,4,0)*K9232</f>
        <v/>
      </c>
      <c r="P9232" s="148">
        <f>M9232/1.1</f>
        <v/>
      </c>
      <c r="Q9232" s="94">
        <f>F9232&amp;E9232&amp;G9232&amp;L9232</f>
        <v/>
      </c>
    </row>
    <row r="9233" customFormat="1" s="94">
      <c r="B9233" s="128" t="n">
        <v>44089</v>
      </c>
      <c r="C9233" s="94">
        <f>TEXT(B9233,"aaa")</f>
        <v/>
      </c>
      <c r="E9233" s="94" t="inlineStr">
        <is>
          <t>마스크팩</t>
        </is>
      </c>
      <c r="F9233" s="94" t="inlineStr">
        <is>
          <t>카페24</t>
        </is>
      </c>
      <c r="G9233" s="94" t="inlineStr">
        <is>
          <t>마스크팩 10매</t>
        </is>
      </c>
      <c r="H9233" s="94" t="n">
        <v>200801</v>
      </c>
      <c r="I9233" s="94" t="n">
        <v>200801</v>
      </c>
      <c r="K9233" s="6" t="n">
        <v>7</v>
      </c>
      <c r="L9233" s="94" t="n">
        <v>200801</v>
      </c>
      <c r="M9233" s="94">
        <f>VLOOKUP($Q9233,매칭테이블!$F:$I,2,0)*K9233</f>
        <v/>
      </c>
      <c r="N9233" s="94">
        <f>M9233-M9233*VLOOKUP($Q9233,매칭테이블!$F:$I,3,0)</f>
        <v/>
      </c>
      <c r="O9233" s="94">
        <f>VLOOKUP($Q9233,매칭테이블!$F:$I,4,0)*K9233</f>
        <v/>
      </c>
      <c r="P9233" s="148">
        <f>M9233/1.1</f>
        <v/>
      </c>
      <c r="Q9233" s="94">
        <f>F9233&amp;E9233&amp;G9233&amp;L9233</f>
        <v/>
      </c>
    </row>
    <row r="9234" customFormat="1" s="94">
      <c r="B9234" s="128" t="n">
        <v>44089</v>
      </c>
      <c r="C9234" s="94">
        <f>TEXT(B9234,"aaa")</f>
        <v/>
      </c>
      <c r="E9234" s="94" t="inlineStr">
        <is>
          <t>토너</t>
        </is>
      </c>
      <c r="F9234" s="94" t="inlineStr">
        <is>
          <t>카페24</t>
        </is>
      </c>
      <c r="G9234" s="94" t="inlineStr">
        <is>
          <t>250ml</t>
        </is>
      </c>
      <c r="H9234" s="94" t="n">
        <v>200801</v>
      </c>
      <c r="I9234" s="94" t="n">
        <v>200801</v>
      </c>
      <c r="K9234" s="6" t="n">
        <v>76</v>
      </c>
      <c r="L9234" s="94" t="n">
        <v>200801</v>
      </c>
      <c r="M9234" s="94">
        <f>VLOOKUP($Q9234,매칭테이블!$F:$I,2,0)*K9234</f>
        <v/>
      </c>
      <c r="N9234" s="94">
        <f>M9234-M9234*VLOOKUP($Q9234,매칭테이블!$F:$I,3,0)</f>
        <v/>
      </c>
      <c r="O9234" s="94">
        <f>VLOOKUP($Q9234,매칭테이블!$F:$I,4,0)*K9234</f>
        <v/>
      </c>
      <c r="P9234" s="148">
        <f>M9234/1.1</f>
        <v/>
      </c>
      <c r="Q9234" s="94">
        <f>F9234&amp;E9234&amp;G9234&amp;L9234</f>
        <v/>
      </c>
    </row>
    <row r="9235" customFormat="1" s="94">
      <c r="B9235" s="128" t="n">
        <v>44089</v>
      </c>
      <c r="C9235" s="94">
        <f>TEXT(B9235,"aaa")</f>
        <v/>
      </c>
      <c r="E9235" s="94" t="inlineStr">
        <is>
          <t>토너</t>
        </is>
      </c>
      <c r="F9235" s="94" t="inlineStr">
        <is>
          <t>카페24</t>
        </is>
      </c>
      <c r="G9235" s="94" t="inlineStr">
        <is>
          <t>250ml 2set</t>
        </is>
      </c>
      <c r="H9235" s="94" t="n">
        <v>200801</v>
      </c>
      <c r="I9235" s="94" t="n">
        <v>200801</v>
      </c>
      <c r="K9235" s="6" t="n">
        <v>65</v>
      </c>
      <c r="L9235" s="94" t="n">
        <v>200801</v>
      </c>
      <c r="M9235" s="94">
        <f>VLOOKUP($Q9235,매칭테이블!$F:$I,2,0)*K9235</f>
        <v/>
      </c>
      <c r="N9235" s="94">
        <f>M9235-M9235*VLOOKUP($Q9235,매칭테이블!$F:$I,3,0)</f>
        <v/>
      </c>
      <c r="O9235" s="94">
        <f>VLOOKUP($Q9235,매칭테이블!$F:$I,4,0)*K9235</f>
        <v/>
      </c>
      <c r="P9235" s="148">
        <f>M9235/1.1</f>
        <v/>
      </c>
      <c r="Q9235" s="94">
        <f>F9235&amp;E9235&amp;G9235&amp;L9235</f>
        <v/>
      </c>
    </row>
    <row r="9236" customFormat="1" s="94">
      <c r="B9236" s="128" t="n">
        <v>44089</v>
      </c>
      <c r="C9236" s="94">
        <f>TEXT(B9236,"aaa")</f>
        <v/>
      </c>
      <c r="E9236" s="94" t="inlineStr">
        <is>
          <t>토너</t>
        </is>
      </c>
      <c r="F9236" s="94" t="inlineStr">
        <is>
          <t>카페24</t>
        </is>
      </c>
      <c r="G9236" s="94" t="inlineStr">
        <is>
          <t>500ml</t>
        </is>
      </c>
      <c r="H9236" s="94" t="n">
        <v>200801</v>
      </c>
      <c r="I9236" s="94" t="n">
        <v>200801</v>
      </c>
      <c r="K9236" s="6" t="n">
        <v>49</v>
      </c>
      <c r="L9236" s="94" t="n">
        <v>200801</v>
      </c>
      <c r="M9236" s="94">
        <f>VLOOKUP($Q9236,매칭테이블!$F:$I,2,0)*K9236</f>
        <v/>
      </c>
      <c r="N9236" s="94">
        <f>M9236-M9236*VLOOKUP($Q9236,매칭테이블!$F:$I,3,0)</f>
        <v/>
      </c>
      <c r="O9236" s="94">
        <f>VLOOKUP($Q9236,매칭테이블!$F:$I,4,0)*K9236</f>
        <v/>
      </c>
      <c r="P9236" s="148">
        <f>M9236/1.1</f>
        <v/>
      </c>
      <c r="Q9236" s="94">
        <f>F9236&amp;E9236&amp;G9236&amp;L9236</f>
        <v/>
      </c>
    </row>
    <row r="9237" customFormat="1" s="94">
      <c r="B9237" s="128" t="n">
        <v>44089</v>
      </c>
      <c r="C9237" s="94">
        <f>TEXT(B9237,"aaa")</f>
        <v/>
      </c>
      <c r="E9237" s="94" t="inlineStr">
        <is>
          <t>토너</t>
        </is>
      </c>
      <c r="F9237" s="94" t="inlineStr">
        <is>
          <t>카페24</t>
        </is>
      </c>
      <c r="G9237" s="94" t="inlineStr">
        <is>
          <t>스킨팩 화장솜 60P</t>
        </is>
      </c>
      <c r="H9237" s="94" t="n">
        <v>200801</v>
      </c>
      <c r="I9237" s="94" t="n">
        <v>200801</v>
      </c>
      <c r="K9237" s="6" t="n">
        <v>50</v>
      </c>
      <c r="L9237" s="94" t="n">
        <v>200801</v>
      </c>
      <c r="M9237" s="94">
        <f>VLOOKUP($Q9237,매칭테이블!$F:$I,2,0)*K9237</f>
        <v/>
      </c>
      <c r="N9237" s="94">
        <f>M9237-M9237*VLOOKUP($Q9237,매칭테이블!$F:$I,3,0)</f>
        <v/>
      </c>
      <c r="O9237" s="94">
        <f>VLOOKUP($Q9237,매칭테이블!$F:$I,4,0)*K9237</f>
        <v/>
      </c>
      <c r="P9237" s="148">
        <f>M9237/1.1</f>
        <v/>
      </c>
      <c r="Q9237" s="94">
        <f>F9237&amp;E9237&amp;G9237&amp;L9237</f>
        <v/>
      </c>
    </row>
    <row r="9238" customFormat="1" s="94">
      <c r="B9238" s="128" t="n">
        <v>44089</v>
      </c>
      <c r="C9238" s="94">
        <f>TEXT(B9238,"aaa")</f>
        <v/>
      </c>
      <c r="E9238" s="94" t="inlineStr">
        <is>
          <t>앰플</t>
        </is>
      </c>
      <c r="F9238" s="94" t="inlineStr">
        <is>
          <t>카페24</t>
        </is>
      </c>
      <c r="G9238" s="94" t="inlineStr">
        <is>
          <t>앰플 30ml</t>
        </is>
      </c>
      <c r="H9238" s="94" t="n">
        <v>200801</v>
      </c>
      <c r="I9238" s="94" t="n">
        <v>200801</v>
      </c>
      <c r="K9238" s="6" t="n">
        <v>23</v>
      </c>
      <c r="L9238" s="94" t="n">
        <v>200801</v>
      </c>
      <c r="M9238" s="94">
        <f>VLOOKUP($Q9238,매칭테이블!$F:$I,2,0)*K9238</f>
        <v/>
      </c>
      <c r="N9238" s="94">
        <f>M9238-M9238*VLOOKUP($Q9238,매칭테이블!$F:$I,3,0)</f>
        <v/>
      </c>
      <c r="O9238" s="94">
        <f>VLOOKUP($Q9238,매칭테이블!$F:$I,4,0)*K9238</f>
        <v/>
      </c>
      <c r="P9238" s="148">
        <f>M9238/1.1</f>
        <v/>
      </c>
      <c r="Q9238" s="94">
        <f>F9238&amp;E9238&amp;G9238&amp;L9238</f>
        <v/>
      </c>
    </row>
    <row r="9239" customFormat="1" s="94">
      <c r="B9239" s="128" t="n">
        <v>44089</v>
      </c>
      <c r="C9239" s="94">
        <f>TEXT(B9239,"aaa")</f>
        <v/>
      </c>
      <c r="E9239" s="94" t="inlineStr">
        <is>
          <t>앰플</t>
        </is>
      </c>
      <c r="F9239" s="94" t="inlineStr">
        <is>
          <t>카페24</t>
        </is>
      </c>
      <c r="G9239" s="94" t="inlineStr">
        <is>
          <t>앰플 30ml  2set</t>
        </is>
      </c>
      <c r="H9239" s="94" t="n">
        <v>200801</v>
      </c>
      <c r="I9239" s="94" t="n">
        <v>200801</v>
      </c>
      <c r="K9239" s="6" t="n">
        <v>4</v>
      </c>
      <c r="L9239" s="94" t="n">
        <v>200801</v>
      </c>
      <c r="M9239" s="94">
        <f>VLOOKUP($Q9239,매칭테이블!$F:$I,2,0)*K9239</f>
        <v/>
      </c>
      <c r="N9239" s="94">
        <f>M9239-M9239*VLOOKUP($Q9239,매칭테이블!$F:$I,3,0)</f>
        <v/>
      </c>
      <c r="O9239" s="94">
        <f>VLOOKUP($Q9239,매칭테이블!$F:$I,4,0)*K9239</f>
        <v/>
      </c>
      <c r="P9239" s="148">
        <f>M9239/1.1</f>
        <v/>
      </c>
      <c r="Q9239" s="94">
        <f>F9239&amp;E9239&amp;G9239&amp;L9239</f>
        <v/>
      </c>
    </row>
    <row r="9240" customFormat="1" s="94">
      <c r="B9240" s="128" t="n">
        <v>44089</v>
      </c>
      <c r="C9240" s="94">
        <f>TEXT(B9240,"aaa")</f>
        <v/>
      </c>
      <c r="E9240" s="94" t="inlineStr">
        <is>
          <t>수딩크림</t>
        </is>
      </c>
      <c r="F9240" s="94" t="inlineStr">
        <is>
          <t>카페24</t>
        </is>
      </c>
      <c r="G9240" s="94" t="inlineStr">
        <is>
          <t>수딩크림 100ml</t>
        </is>
      </c>
      <c r="H9240" s="94" t="n">
        <v>200801</v>
      </c>
      <c r="I9240" s="94" t="n">
        <v>200801</v>
      </c>
      <c r="K9240" s="6" t="n">
        <v>9</v>
      </c>
      <c r="L9240" s="94" t="n">
        <v>200801</v>
      </c>
      <c r="M9240" s="94">
        <f>VLOOKUP($Q9240,매칭테이블!$F:$I,2,0)*K9240</f>
        <v/>
      </c>
      <c r="N9240" s="94">
        <f>M9240-M9240*VLOOKUP($Q9240,매칭테이블!$F:$I,3,0)</f>
        <v/>
      </c>
      <c r="O9240" s="94">
        <f>VLOOKUP($Q9240,매칭테이블!$F:$I,4,0)*K9240</f>
        <v/>
      </c>
      <c r="P9240" s="148">
        <f>M9240/1.1</f>
        <v/>
      </c>
      <c r="Q9240" s="94">
        <f>F9240&amp;E9240&amp;G9240&amp;L9240</f>
        <v/>
      </c>
    </row>
    <row r="9241" customFormat="1" s="94">
      <c r="B9241" s="128" t="n">
        <v>44089</v>
      </c>
      <c r="C9241" s="94">
        <f>TEXT(B9241,"aaa")</f>
        <v/>
      </c>
      <c r="E9241" s="94" t="inlineStr">
        <is>
          <t>클렌징폼</t>
        </is>
      </c>
      <c r="F9241" s="94" t="inlineStr">
        <is>
          <t>카페24</t>
        </is>
      </c>
      <c r="G9241" s="94" t="inlineStr">
        <is>
          <t>클렌징폼 120ml</t>
        </is>
      </c>
      <c r="H9241" s="94" t="n">
        <v>200801</v>
      </c>
      <c r="I9241" s="94" t="n">
        <v>200801</v>
      </c>
      <c r="K9241" s="6" t="n">
        <v>10</v>
      </c>
      <c r="L9241" s="94" t="n">
        <v>200801</v>
      </c>
      <c r="M9241" s="94">
        <f>VLOOKUP($Q9241,매칭테이블!$F:$I,2,0)*K9241</f>
        <v/>
      </c>
      <c r="N9241" s="94">
        <f>M9241-M9241*VLOOKUP($Q9241,매칭테이블!$F:$I,3,0)</f>
        <v/>
      </c>
      <c r="O9241" s="94">
        <f>VLOOKUP($Q9241,매칭테이블!$F:$I,4,0)*K9241</f>
        <v/>
      </c>
      <c r="P9241" s="148">
        <f>M9241/1.1</f>
        <v/>
      </c>
      <c r="Q9241" s="94">
        <f>F9241&amp;E9241&amp;G9241&amp;L9241</f>
        <v/>
      </c>
    </row>
    <row r="9242" customFormat="1" s="94">
      <c r="B9242" s="128" t="n">
        <v>44089</v>
      </c>
      <c r="C9242" s="94">
        <f>TEXT(B9242,"aaa")</f>
        <v/>
      </c>
      <c r="E9242" s="94" t="inlineStr">
        <is>
          <t>클렌징폼</t>
        </is>
      </c>
      <c r="F9242" s="94" t="inlineStr">
        <is>
          <t>카페24</t>
        </is>
      </c>
      <c r="G9242" s="94" t="inlineStr">
        <is>
          <t>클렌징폼 120ml 2set</t>
        </is>
      </c>
      <c r="H9242" s="94" t="n">
        <v>200801</v>
      </c>
      <c r="I9242" s="94" t="n">
        <v>200801</v>
      </c>
      <c r="K9242" s="6" t="n">
        <v>2</v>
      </c>
      <c r="L9242" s="94" t="n">
        <v>200801</v>
      </c>
      <c r="M9242" s="94">
        <f>VLOOKUP($Q9242,매칭테이블!$F:$I,2,0)*K9242</f>
        <v/>
      </c>
      <c r="N9242" s="94">
        <f>M9242-M9242*VLOOKUP($Q9242,매칭테이블!$F:$I,3,0)</f>
        <v/>
      </c>
      <c r="O9242" s="94">
        <f>VLOOKUP($Q9242,매칭테이블!$F:$I,4,0)*K9242</f>
        <v/>
      </c>
      <c r="P9242" s="148">
        <f>M9242/1.1</f>
        <v/>
      </c>
      <c r="Q9242" s="94">
        <f>F9242&amp;E9242&amp;G9242&amp;L9242</f>
        <v/>
      </c>
    </row>
    <row r="9243" customFormat="1" s="94">
      <c r="B9243" s="128" t="n">
        <v>44089</v>
      </c>
      <c r="C9243" s="94">
        <f>TEXT(B9243,"aaa")</f>
        <v/>
      </c>
      <c r="E9243" s="94" t="inlineStr">
        <is>
          <t>토너</t>
        </is>
      </c>
      <c r="F9243" s="94" t="inlineStr">
        <is>
          <t>큐텐재팬</t>
        </is>
      </c>
      <c r="G9243" s="94" t="inlineStr">
        <is>
          <t>200726=250ml</t>
        </is>
      </c>
      <c r="H9243" s="94" t="n">
        <v>200801</v>
      </c>
      <c r="I9243" s="94" t="n">
        <v>200801</v>
      </c>
      <c r="K9243" s="6" t="n">
        <v>5</v>
      </c>
      <c r="L9243" s="94" t="n">
        <v>200801</v>
      </c>
      <c r="M9243" s="94">
        <f>VLOOKUP($Q9243,매칭테이블!$F:$I,2,0)*K9243</f>
        <v/>
      </c>
      <c r="N9243" s="94">
        <f>M9243-M9243*VLOOKUP($Q9243,매칭테이블!$F:$I,3,0)</f>
        <v/>
      </c>
      <c r="O9243" s="94">
        <f>VLOOKUP($Q9243,매칭테이블!$F:$I,4,0)*K9243</f>
        <v/>
      </c>
      <c r="P9243" s="148">
        <f>M9243/1.1</f>
        <v/>
      </c>
      <c r="Q9243" s="94">
        <f>F9243&amp;E9243&amp;G9243&amp;L9243</f>
        <v/>
      </c>
    </row>
    <row r="9244" customFormat="1" s="94">
      <c r="B9244" s="128" t="n">
        <v>44089</v>
      </c>
      <c r="C9244" s="94">
        <f>TEXT(B9244,"aaa")</f>
        <v/>
      </c>
      <c r="E9244" s="94" t="inlineStr">
        <is>
          <t>토너</t>
        </is>
      </c>
      <c r="F9244" s="94" t="inlineStr">
        <is>
          <t>큐텐재팬</t>
        </is>
      </c>
      <c r="G9244" s="94" t="inlineStr">
        <is>
          <t>200726=250ml 2set</t>
        </is>
      </c>
      <c r="H9244" s="94" t="n">
        <v>200801</v>
      </c>
      <c r="I9244" s="94" t="n">
        <v>200801</v>
      </c>
      <c r="K9244" s="6" t="n">
        <v>1</v>
      </c>
      <c r="L9244" s="94" t="n">
        <v>200801</v>
      </c>
      <c r="M9244" s="94">
        <f>VLOOKUP($Q9244,매칭테이블!$F:$I,2,0)*K9244</f>
        <v/>
      </c>
      <c r="N9244" s="94">
        <f>M9244-M9244*VLOOKUP($Q9244,매칭테이블!$F:$I,3,0)</f>
        <v/>
      </c>
      <c r="O9244" s="94">
        <f>VLOOKUP($Q9244,매칭테이블!$F:$I,4,0)*K9244</f>
        <v/>
      </c>
      <c r="P9244" s="148">
        <f>M9244/1.1</f>
        <v/>
      </c>
      <c r="Q9244" s="94">
        <f>F9244&amp;E9244&amp;G9244&amp;L9244</f>
        <v/>
      </c>
    </row>
    <row r="9245" customFormat="1" s="94">
      <c r="B9245" s="128" t="n">
        <v>44090</v>
      </c>
      <c r="C9245" s="94">
        <f>TEXT(B9245,"aaa")</f>
        <v/>
      </c>
      <c r="E9245" s="94" t="inlineStr">
        <is>
          <t>토너</t>
        </is>
      </c>
      <c r="F9245" s="94" t="inlineStr">
        <is>
          <t>W컨셉</t>
        </is>
      </c>
      <c r="G9245" s="94" t="inlineStr">
        <is>
          <t>250ml</t>
        </is>
      </c>
      <c r="H9245" s="94" t="n">
        <v>200801</v>
      </c>
      <c r="I9245" s="94" t="n">
        <v>200801</v>
      </c>
      <c r="K9245" s="6" t="n">
        <v>4</v>
      </c>
      <c r="L9245" s="94" t="n">
        <v>200801</v>
      </c>
      <c r="M9245" s="94">
        <f>VLOOKUP($Q9245,매칭테이블!$F:$I,2,0)*K9245</f>
        <v/>
      </c>
      <c r="N9245" s="94">
        <f>M9245-M9245*VLOOKUP($Q9245,매칭테이블!$F:$I,3,0)</f>
        <v/>
      </c>
      <c r="O9245" s="94">
        <f>VLOOKUP($Q9245,매칭테이블!$F:$I,4,0)*K9245</f>
        <v/>
      </c>
      <c r="P9245" s="148">
        <f>M9245/1.1</f>
        <v/>
      </c>
      <c r="Q9245" s="94">
        <f>F9245&amp;E9245&amp;G9245&amp;L9245</f>
        <v/>
      </c>
    </row>
    <row r="9246" customFormat="1" s="94">
      <c r="B9246" s="128" t="n">
        <v>44090</v>
      </c>
      <c r="C9246" s="94">
        <f>TEXT(B9246,"aaa")</f>
        <v/>
      </c>
      <c r="E9246" s="94" t="inlineStr">
        <is>
          <t>토너</t>
        </is>
      </c>
      <c r="F9246" s="94" t="inlineStr">
        <is>
          <t>W컨셉</t>
        </is>
      </c>
      <c r="G9246" s="94" t="inlineStr">
        <is>
          <t>250ml 2set</t>
        </is>
      </c>
      <c r="H9246" s="94" t="n">
        <v>200801</v>
      </c>
      <c r="I9246" s="94" t="n">
        <v>200801</v>
      </c>
      <c r="K9246" s="6" t="n">
        <v>3</v>
      </c>
      <c r="L9246" s="94" t="n">
        <v>200801</v>
      </c>
      <c r="M9246" s="94">
        <f>VLOOKUP($Q9246,매칭테이블!$F:$I,2,0)*K9246</f>
        <v/>
      </c>
      <c r="N9246" s="94">
        <f>M9246-M9246*VLOOKUP($Q9246,매칭테이블!$F:$I,3,0)</f>
        <v/>
      </c>
      <c r="O9246" s="94">
        <f>VLOOKUP($Q9246,매칭테이블!$F:$I,4,0)*K9246</f>
        <v/>
      </c>
      <c r="P9246" s="148">
        <f>M9246/1.1</f>
        <v/>
      </c>
      <c r="Q9246" s="94">
        <f>F9246&amp;E9246&amp;G9246&amp;L9246</f>
        <v/>
      </c>
    </row>
    <row r="9247" customFormat="1" s="94">
      <c r="B9247" s="128" t="n">
        <v>44090</v>
      </c>
      <c r="C9247" s="94">
        <f>TEXT(B9247,"aaa")</f>
        <v/>
      </c>
      <c r="E9247" s="94" t="inlineStr">
        <is>
          <t>토너</t>
        </is>
      </c>
      <c r="F9247" s="94" t="inlineStr">
        <is>
          <t>스타일쉐어</t>
        </is>
      </c>
      <c r="G9247" s="94" t="inlineStr">
        <is>
          <t>250ml</t>
        </is>
      </c>
      <c r="H9247" s="94" t="n">
        <v>200801</v>
      </c>
      <c r="I9247" s="94" t="n">
        <v>200801</v>
      </c>
      <c r="K9247" s="6" t="n">
        <v>3</v>
      </c>
      <c r="L9247" s="94" t="n">
        <v>200801</v>
      </c>
      <c r="M9247" s="94">
        <f>VLOOKUP($Q9247,매칭테이블!$F:$I,2,0)*K9247</f>
        <v/>
      </c>
      <c r="N9247" s="94">
        <f>M9247-M9247*VLOOKUP($Q9247,매칭테이블!$F:$I,3,0)</f>
        <v/>
      </c>
      <c r="O9247" s="94">
        <f>VLOOKUP($Q9247,매칭테이블!$F:$I,4,0)*K9247</f>
        <v/>
      </c>
      <c r="P9247" s="148">
        <f>M9247/1.1</f>
        <v/>
      </c>
      <c r="Q9247" s="94">
        <f>F9247&amp;E9247&amp;G9247&amp;L9247</f>
        <v/>
      </c>
    </row>
    <row r="9248" customFormat="1" s="94">
      <c r="B9248" s="128" t="n">
        <v>44090</v>
      </c>
      <c r="C9248" s="94">
        <f>TEXT(B9248,"aaa")</f>
        <v/>
      </c>
      <c r="E9248" s="94" t="inlineStr">
        <is>
          <t>여름 한정 진정세트</t>
        </is>
      </c>
      <c r="F9248" s="94" t="inlineStr">
        <is>
          <t>카페24</t>
        </is>
      </c>
      <c r="G9248" s="94" t="inlineStr">
        <is>
          <t>여름 한정 진정세트</t>
        </is>
      </c>
      <c r="H9248" s="94" t="n">
        <v>200801</v>
      </c>
      <c r="I9248" s="94" t="n">
        <v>200801</v>
      </c>
      <c r="K9248" s="6" t="n">
        <v>5</v>
      </c>
      <c r="L9248" s="94" t="n">
        <v>200801</v>
      </c>
      <c r="M9248" s="94">
        <f>VLOOKUP($Q9248,매칭테이블!$F:$I,2,0)*K9248</f>
        <v/>
      </c>
      <c r="N9248" s="94">
        <f>M9248-M9248*VLOOKUP($Q9248,매칭테이블!$F:$I,3,0)</f>
        <v/>
      </c>
      <c r="O9248" s="94">
        <f>VLOOKUP($Q9248,매칭테이블!$F:$I,4,0)*K9248</f>
        <v/>
      </c>
      <c r="P9248" s="148">
        <f>M9248/1.1</f>
        <v/>
      </c>
      <c r="Q9248" s="94">
        <f>F9248&amp;E9248&amp;G9248&amp;L9248</f>
        <v/>
      </c>
    </row>
    <row r="9249" customFormat="1" s="94">
      <c r="B9249" s="128" t="n">
        <v>44090</v>
      </c>
      <c r="C9249" s="94">
        <f>TEXT(B9249,"aaa")</f>
        <v/>
      </c>
      <c r="E9249" s="94" t="inlineStr">
        <is>
          <t>여름 한정 진정세트</t>
        </is>
      </c>
      <c r="F9249" s="94" t="inlineStr">
        <is>
          <t>카페24</t>
        </is>
      </c>
      <c r="G9249" s="94" t="inlineStr">
        <is>
          <t>여름 한정 진정세트 (대용량)</t>
        </is>
      </c>
      <c r="H9249" s="94" t="n">
        <v>200801</v>
      </c>
      <c r="I9249" s="94" t="n">
        <v>200801</v>
      </c>
      <c r="K9249" s="6" t="n">
        <v>3</v>
      </c>
      <c r="L9249" s="94" t="n">
        <v>200801</v>
      </c>
      <c r="M9249" s="94">
        <f>VLOOKUP($Q9249,매칭테이블!$F:$I,2,0)*K9249</f>
        <v/>
      </c>
      <c r="N9249" s="94">
        <f>M9249-M9249*VLOOKUP($Q9249,매칭테이블!$F:$I,3,0)</f>
        <v/>
      </c>
      <c r="O9249" s="94">
        <f>VLOOKUP($Q9249,매칭테이블!$F:$I,4,0)*K9249</f>
        <v/>
      </c>
      <c r="P9249" s="148">
        <f>M9249/1.1</f>
        <v/>
      </c>
      <c r="Q9249" s="94">
        <f>F9249&amp;E9249&amp;G9249&amp;L9249</f>
        <v/>
      </c>
    </row>
    <row r="9250" customFormat="1" s="94">
      <c r="B9250" s="128" t="n">
        <v>44090</v>
      </c>
      <c r="C9250" s="94">
        <f>TEXT(B9250,"aaa")</f>
        <v/>
      </c>
      <c r="E9250" s="94" t="inlineStr">
        <is>
          <t>클리어 패드</t>
        </is>
      </c>
      <c r="F9250" s="94" t="inlineStr">
        <is>
          <t>카페24</t>
        </is>
      </c>
      <c r="G9250" s="94" t="inlineStr">
        <is>
          <t>[플친단독할인] 어성초 77 클리어 패드 1개-29% off</t>
        </is>
      </c>
      <c r="H9250" s="94" t="n">
        <v>200801</v>
      </c>
      <c r="I9250" s="94" t="n">
        <v>200801</v>
      </c>
      <c r="K9250" s="6" t="n">
        <v>40</v>
      </c>
      <c r="L9250" s="94" t="n">
        <v>200801</v>
      </c>
      <c r="M9250" s="94">
        <f>VLOOKUP($Q9250,매칭테이블!$F:$I,2,0)*K9250</f>
        <v/>
      </c>
      <c r="N9250" s="94">
        <f>M9250-M9250*VLOOKUP($Q9250,매칭테이블!$F:$I,3,0)</f>
        <v/>
      </c>
      <c r="O9250" s="94">
        <f>VLOOKUP($Q9250,매칭테이블!$F:$I,4,0)*K9250</f>
        <v/>
      </c>
      <c r="P9250" s="148">
        <f>M9250/1.1</f>
        <v/>
      </c>
      <c r="Q9250" s="94">
        <f>F9250&amp;E9250&amp;G9250&amp;L9250</f>
        <v/>
      </c>
    </row>
    <row r="9251" customFormat="1" s="94">
      <c r="B9251" s="128" t="n">
        <v>44090</v>
      </c>
      <c r="C9251" s="94">
        <f>TEXT(B9251,"aaa")</f>
        <v/>
      </c>
      <c r="E9251" s="94" t="inlineStr">
        <is>
          <t>클리어 패드</t>
        </is>
      </c>
      <c r="F9251" s="94" t="inlineStr">
        <is>
          <t>카페24</t>
        </is>
      </c>
      <c r="G9251" s="94" t="inlineStr">
        <is>
          <t>[플친단독할인] 어성초 77 클리어 패드 2개-30% off</t>
        </is>
      </c>
      <c r="H9251" s="94" t="n">
        <v>200801</v>
      </c>
      <c r="I9251" s="94" t="n">
        <v>200801</v>
      </c>
      <c r="K9251" s="6" t="n">
        <v>43</v>
      </c>
      <c r="L9251" s="94" t="n">
        <v>200801</v>
      </c>
      <c r="M9251" s="94">
        <f>VLOOKUP($Q9251,매칭테이블!$F:$I,2,0)*K9251</f>
        <v/>
      </c>
      <c r="N9251" s="94">
        <f>M9251-M9251*VLOOKUP($Q9251,매칭테이블!$F:$I,3,0)</f>
        <v/>
      </c>
      <c r="O9251" s="94">
        <f>VLOOKUP($Q9251,매칭테이블!$F:$I,4,0)*K9251</f>
        <v/>
      </c>
      <c r="P9251" s="148">
        <f>M9251/1.1</f>
        <v/>
      </c>
      <c r="Q9251" s="94">
        <f>F9251&amp;E9251&amp;G9251&amp;L9251</f>
        <v/>
      </c>
    </row>
    <row r="9252" customFormat="1" s="94">
      <c r="B9252" s="128" t="n">
        <v>44090</v>
      </c>
      <c r="C9252" s="94">
        <f>TEXT(B9252,"aaa")</f>
        <v/>
      </c>
      <c r="E9252" s="94" t="inlineStr">
        <is>
          <t>토너+패드 세트</t>
        </is>
      </c>
      <c r="F9252" s="94" t="inlineStr">
        <is>
          <t>카페24</t>
        </is>
      </c>
      <c r="G9252" s="94" t="inlineStr">
        <is>
          <t>[플친단독할인] 좁쌀 진정 세트 토너+클리어 패드-30% off</t>
        </is>
      </c>
      <c r="H9252" s="94" t="n">
        <v>200801</v>
      </c>
      <c r="I9252" s="94" t="n">
        <v>200801</v>
      </c>
      <c r="K9252" s="6" t="n">
        <v>49</v>
      </c>
      <c r="L9252" s="94" t="n">
        <v>200801</v>
      </c>
      <c r="M9252" s="94">
        <f>VLOOKUP($Q9252,매칭테이블!$F:$I,2,0)*K9252</f>
        <v/>
      </c>
      <c r="N9252" s="94">
        <f>M9252-M9252*VLOOKUP($Q9252,매칭테이블!$F:$I,3,0)</f>
        <v/>
      </c>
      <c r="O9252" s="94">
        <f>VLOOKUP($Q9252,매칭테이블!$F:$I,4,0)*K9252</f>
        <v/>
      </c>
      <c r="P9252" s="148">
        <f>M9252/1.1</f>
        <v/>
      </c>
      <c r="Q9252" s="94">
        <f>F9252&amp;E9252&amp;G9252&amp;L9252</f>
        <v/>
      </c>
    </row>
    <row r="9253" customFormat="1" s="94">
      <c r="B9253" s="128" t="n">
        <v>44090</v>
      </c>
      <c r="C9253" s="94">
        <f>TEXT(B9253,"aaa")</f>
        <v/>
      </c>
      <c r="E9253" s="94" t="inlineStr">
        <is>
          <t>머드크림마스크</t>
        </is>
      </c>
      <c r="F9253" s="94" t="inlineStr">
        <is>
          <t>카페24</t>
        </is>
      </c>
      <c r="G9253" s="94" t="inlineStr">
        <is>
          <t>머드크림마스크 100ml</t>
        </is>
      </c>
      <c r="H9253" s="94" t="n">
        <v>200801</v>
      </c>
      <c r="I9253" s="94" t="n">
        <v>200801</v>
      </c>
      <c r="K9253" s="6" t="n">
        <v>5</v>
      </c>
      <c r="L9253" s="94" t="n">
        <v>200801</v>
      </c>
      <c r="M9253" s="94">
        <f>VLOOKUP($Q9253,매칭테이블!$F:$I,2,0)*K9253</f>
        <v/>
      </c>
      <c r="N9253" s="94">
        <f>M9253-M9253*VLOOKUP($Q9253,매칭테이블!$F:$I,3,0)</f>
        <v/>
      </c>
      <c r="O9253" s="94">
        <f>VLOOKUP($Q9253,매칭테이블!$F:$I,4,0)*K9253</f>
        <v/>
      </c>
      <c r="P9253" s="148">
        <f>M9253/1.1</f>
        <v/>
      </c>
      <c r="Q9253" s="94">
        <f>F9253&amp;E9253&amp;G9253&amp;L9253</f>
        <v/>
      </c>
    </row>
    <row r="9254" customFormat="1" s="94">
      <c r="B9254" s="128" t="n">
        <v>44090</v>
      </c>
      <c r="C9254" s="94">
        <f>TEXT(B9254,"aaa")</f>
        <v/>
      </c>
      <c r="E9254" s="94" t="inlineStr">
        <is>
          <t>마스크팩</t>
        </is>
      </c>
      <c r="F9254" s="94" t="inlineStr">
        <is>
          <t>카페24</t>
        </is>
      </c>
      <c r="G9254" s="94" t="inlineStr">
        <is>
          <t>마스크팩 1매</t>
        </is>
      </c>
      <c r="H9254" s="94" t="n">
        <v>200801</v>
      </c>
      <c r="I9254" s="94" t="n">
        <v>200801</v>
      </c>
      <c r="K9254" s="6" t="n">
        <v>2</v>
      </c>
      <c r="L9254" s="94" t="n">
        <v>200801</v>
      </c>
      <c r="M9254" s="94">
        <f>VLOOKUP($Q9254,매칭테이블!$F:$I,2,0)*K9254</f>
        <v/>
      </c>
      <c r="N9254" s="94">
        <f>M9254-M9254*VLOOKUP($Q9254,매칭테이블!$F:$I,3,0)</f>
        <v/>
      </c>
      <c r="O9254" s="94">
        <f>VLOOKUP($Q9254,매칭테이블!$F:$I,4,0)*K9254</f>
        <v/>
      </c>
      <c r="P9254" s="148">
        <f>M9254/1.1</f>
        <v/>
      </c>
      <c r="Q9254" s="94">
        <f>F9254&amp;E9254&amp;G9254&amp;L9254</f>
        <v/>
      </c>
    </row>
    <row r="9255" customFormat="1" s="94">
      <c r="B9255" s="128" t="n">
        <v>44090</v>
      </c>
      <c r="C9255" s="94">
        <f>TEXT(B9255,"aaa")</f>
        <v/>
      </c>
      <c r="E9255" s="94" t="inlineStr">
        <is>
          <t>마스크팩</t>
        </is>
      </c>
      <c r="F9255" s="94" t="inlineStr">
        <is>
          <t>카페24</t>
        </is>
      </c>
      <c r="G9255" s="94" t="inlineStr">
        <is>
          <t>마스크팩 10매</t>
        </is>
      </c>
      <c r="H9255" s="94" t="n">
        <v>200801</v>
      </c>
      <c r="I9255" s="94" t="n">
        <v>200801</v>
      </c>
      <c r="K9255" s="6" t="n">
        <v>2</v>
      </c>
      <c r="L9255" s="94" t="n">
        <v>200801</v>
      </c>
      <c r="M9255" s="94">
        <f>VLOOKUP($Q9255,매칭테이블!$F:$I,2,0)*K9255</f>
        <v/>
      </c>
      <c r="N9255" s="94">
        <f>M9255-M9255*VLOOKUP($Q9255,매칭테이블!$F:$I,3,0)</f>
        <v/>
      </c>
      <c r="O9255" s="94">
        <f>VLOOKUP($Q9255,매칭테이블!$F:$I,4,0)*K9255</f>
        <v/>
      </c>
      <c r="P9255" s="148">
        <f>M9255/1.1</f>
        <v/>
      </c>
      <c r="Q9255" s="94">
        <f>F9255&amp;E9255&amp;G9255&amp;L9255</f>
        <v/>
      </c>
    </row>
    <row r="9256" customFormat="1" s="94">
      <c r="B9256" s="128" t="n">
        <v>44090</v>
      </c>
      <c r="C9256" s="94">
        <f>TEXT(B9256,"aaa")</f>
        <v/>
      </c>
      <c r="E9256" s="94" t="inlineStr">
        <is>
          <t>토너</t>
        </is>
      </c>
      <c r="F9256" s="94" t="inlineStr">
        <is>
          <t>카페24</t>
        </is>
      </c>
      <c r="G9256" s="94" t="inlineStr">
        <is>
          <t>250ml</t>
        </is>
      </c>
      <c r="H9256" s="94" t="n">
        <v>200801</v>
      </c>
      <c r="I9256" s="94" t="n">
        <v>200801</v>
      </c>
      <c r="K9256" s="6" t="n">
        <v>55</v>
      </c>
      <c r="L9256" s="94" t="n">
        <v>200801</v>
      </c>
      <c r="M9256" s="94">
        <f>VLOOKUP($Q9256,매칭테이블!$F:$I,2,0)*K9256</f>
        <v/>
      </c>
      <c r="N9256" s="94">
        <f>M9256-M9256*VLOOKUP($Q9256,매칭테이블!$F:$I,3,0)</f>
        <v/>
      </c>
      <c r="O9256" s="94">
        <f>VLOOKUP($Q9256,매칭테이블!$F:$I,4,0)*K9256</f>
        <v/>
      </c>
      <c r="P9256" s="148">
        <f>M9256/1.1</f>
        <v/>
      </c>
      <c r="Q9256" s="94">
        <f>F9256&amp;E9256&amp;G9256&amp;L9256</f>
        <v/>
      </c>
    </row>
    <row r="9257" customFormat="1" s="94">
      <c r="B9257" s="128" t="n">
        <v>44090</v>
      </c>
      <c r="C9257" s="94">
        <f>TEXT(B9257,"aaa")</f>
        <v/>
      </c>
      <c r="E9257" s="94" t="inlineStr">
        <is>
          <t>토너</t>
        </is>
      </c>
      <c r="F9257" s="94" t="inlineStr">
        <is>
          <t>카페24</t>
        </is>
      </c>
      <c r="G9257" s="94" t="inlineStr">
        <is>
          <t>250ml 2set</t>
        </is>
      </c>
      <c r="H9257" s="94" t="n">
        <v>200801</v>
      </c>
      <c r="I9257" s="94" t="n">
        <v>200801</v>
      </c>
      <c r="K9257" s="6" t="n">
        <v>48</v>
      </c>
      <c r="L9257" s="94" t="n">
        <v>200801</v>
      </c>
      <c r="M9257" s="94">
        <f>VLOOKUP($Q9257,매칭테이블!$F:$I,2,0)*K9257</f>
        <v/>
      </c>
      <c r="N9257" s="94">
        <f>M9257-M9257*VLOOKUP($Q9257,매칭테이블!$F:$I,3,0)</f>
        <v/>
      </c>
      <c r="O9257" s="94">
        <f>VLOOKUP($Q9257,매칭테이블!$F:$I,4,0)*K9257</f>
        <v/>
      </c>
      <c r="P9257" s="148">
        <f>M9257/1.1</f>
        <v/>
      </c>
      <c r="Q9257" s="94">
        <f>F9257&amp;E9257&amp;G9257&amp;L9257</f>
        <v/>
      </c>
    </row>
    <row r="9258" customFormat="1" s="94">
      <c r="B9258" s="128" t="n">
        <v>44090</v>
      </c>
      <c r="C9258" s="94">
        <f>TEXT(B9258,"aaa")</f>
        <v/>
      </c>
      <c r="E9258" s="94" t="inlineStr">
        <is>
          <t>토너</t>
        </is>
      </c>
      <c r="F9258" s="94" t="inlineStr">
        <is>
          <t>카페24</t>
        </is>
      </c>
      <c r="G9258" s="94" t="inlineStr">
        <is>
          <t>500ml</t>
        </is>
      </c>
      <c r="H9258" s="94" t="n">
        <v>200801</v>
      </c>
      <c r="I9258" s="94" t="n">
        <v>200801</v>
      </c>
      <c r="K9258" s="6" t="n">
        <v>59</v>
      </c>
      <c r="L9258" s="94" t="n">
        <v>200801</v>
      </c>
      <c r="M9258" s="94">
        <f>VLOOKUP($Q9258,매칭테이블!$F:$I,2,0)*K9258</f>
        <v/>
      </c>
      <c r="N9258" s="94">
        <f>M9258-M9258*VLOOKUP($Q9258,매칭테이블!$F:$I,3,0)</f>
        <v/>
      </c>
      <c r="O9258" s="94">
        <f>VLOOKUP($Q9258,매칭테이블!$F:$I,4,0)*K9258</f>
        <v/>
      </c>
      <c r="P9258" s="148">
        <f>M9258/1.1</f>
        <v/>
      </c>
      <c r="Q9258" s="94">
        <f>F9258&amp;E9258&amp;G9258&amp;L9258</f>
        <v/>
      </c>
    </row>
    <row r="9259" customFormat="1" s="94">
      <c r="B9259" s="128" t="n">
        <v>44090</v>
      </c>
      <c r="C9259" s="94">
        <f>TEXT(B9259,"aaa")</f>
        <v/>
      </c>
      <c r="E9259" s="94" t="inlineStr">
        <is>
          <t>토너</t>
        </is>
      </c>
      <c r="F9259" s="94" t="inlineStr">
        <is>
          <t>카페24</t>
        </is>
      </c>
      <c r="G9259" s="94" t="inlineStr">
        <is>
          <t>스킨팩 화장솜 60P</t>
        </is>
      </c>
      <c r="H9259" s="94" t="n">
        <v>200801</v>
      </c>
      <c r="I9259" s="94" t="n">
        <v>200801</v>
      </c>
      <c r="K9259" s="6" t="n">
        <v>44</v>
      </c>
      <c r="L9259" s="94" t="n">
        <v>200801</v>
      </c>
      <c r="M9259" s="94">
        <f>VLOOKUP($Q9259,매칭테이블!$F:$I,2,0)*K9259</f>
        <v/>
      </c>
      <c r="N9259" s="94">
        <f>M9259-M9259*VLOOKUP($Q9259,매칭테이블!$F:$I,3,0)</f>
        <v/>
      </c>
      <c r="O9259" s="94">
        <f>VLOOKUP($Q9259,매칭테이블!$F:$I,4,0)*K9259</f>
        <v/>
      </c>
      <c r="P9259" s="148">
        <f>M9259/1.1</f>
        <v/>
      </c>
      <c r="Q9259" s="94">
        <f>F9259&amp;E9259&amp;G9259&amp;L9259</f>
        <v/>
      </c>
    </row>
    <row r="9260" customFormat="1" s="94">
      <c r="B9260" s="128" t="n">
        <v>44090</v>
      </c>
      <c r="C9260" s="94">
        <f>TEXT(B9260,"aaa")</f>
        <v/>
      </c>
      <c r="E9260" s="94" t="inlineStr">
        <is>
          <t>앰플</t>
        </is>
      </c>
      <c r="F9260" s="94" t="inlineStr">
        <is>
          <t>카페24</t>
        </is>
      </c>
      <c r="G9260" s="94" t="inlineStr">
        <is>
          <t>앰플 30ml</t>
        </is>
      </c>
      <c r="H9260" s="94" t="n">
        <v>200801</v>
      </c>
      <c r="I9260" s="94" t="n">
        <v>200801</v>
      </c>
      <c r="K9260" s="6" t="n">
        <v>17</v>
      </c>
      <c r="L9260" s="94" t="n">
        <v>200801</v>
      </c>
      <c r="M9260" s="94">
        <f>VLOOKUP($Q9260,매칭테이블!$F:$I,2,0)*K9260</f>
        <v/>
      </c>
      <c r="N9260" s="94">
        <f>M9260-M9260*VLOOKUP($Q9260,매칭테이블!$F:$I,3,0)</f>
        <v/>
      </c>
      <c r="O9260" s="94">
        <f>VLOOKUP($Q9260,매칭테이블!$F:$I,4,0)*K9260</f>
        <v/>
      </c>
      <c r="P9260" s="148">
        <f>M9260/1.1</f>
        <v/>
      </c>
      <c r="Q9260" s="94">
        <f>F9260&amp;E9260&amp;G9260&amp;L9260</f>
        <v/>
      </c>
    </row>
    <row r="9261" customFormat="1" s="94">
      <c r="B9261" s="128" t="n">
        <v>44090</v>
      </c>
      <c r="C9261" s="94">
        <f>TEXT(B9261,"aaa")</f>
        <v/>
      </c>
      <c r="E9261" s="94" t="inlineStr">
        <is>
          <t>앰플</t>
        </is>
      </c>
      <c r="F9261" s="94" t="inlineStr">
        <is>
          <t>카페24</t>
        </is>
      </c>
      <c r="G9261" s="94" t="inlineStr">
        <is>
          <t>앰플 30ml  2set</t>
        </is>
      </c>
      <c r="H9261" s="94" t="n">
        <v>200801</v>
      </c>
      <c r="I9261" s="94" t="n">
        <v>200801</v>
      </c>
      <c r="K9261" s="6" t="n">
        <v>4</v>
      </c>
      <c r="L9261" s="94" t="n">
        <v>200801</v>
      </c>
      <c r="M9261" s="94">
        <f>VLOOKUP($Q9261,매칭테이블!$F:$I,2,0)*K9261</f>
        <v/>
      </c>
      <c r="N9261" s="94">
        <f>M9261-M9261*VLOOKUP($Q9261,매칭테이블!$F:$I,3,0)</f>
        <v/>
      </c>
      <c r="O9261" s="94">
        <f>VLOOKUP($Q9261,매칭테이블!$F:$I,4,0)*K9261</f>
        <v/>
      </c>
      <c r="P9261" s="148">
        <f>M9261/1.1</f>
        <v/>
      </c>
      <c r="Q9261" s="94">
        <f>F9261&amp;E9261&amp;G9261&amp;L9261</f>
        <v/>
      </c>
    </row>
    <row r="9262" customFormat="1" s="94">
      <c r="B9262" s="128" t="n">
        <v>44090</v>
      </c>
      <c r="C9262" s="94">
        <f>TEXT(B9262,"aaa")</f>
        <v/>
      </c>
      <c r="E9262" s="94" t="inlineStr">
        <is>
          <t>수딩크림</t>
        </is>
      </c>
      <c r="F9262" s="94" t="inlineStr">
        <is>
          <t>카페24</t>
        </is>
      </c>
      <c r="G9262" s="94" t="inlineStr">
        <is>
          <t>수딩크림 100ml</t>
        </is>
      </c>
      <c r="H9262" s="94" t="n">
        <v>200801</v>
      </c>
      <c r="I9262" s="94" t="n">
        <v>200801</v>
      </c>
      <c r="K9262" s="6" t="n">
        <v>8</v>
      </c>
      <c r="L9262" s="94" t="n">
        <v>200801</v>
      </c>
      <c r="M9262" s="94">
        <f>VLOOKUP($Q9262,매칭테이블!$F:$I,2,0)*K9262</f>
        <v/>
      </c>
      <c r="N9262" s="94">
        <f>M9262-M9262*VLOOKUP($Q9262,매칭테이블!$F:$I,3,0)</f>
        <v/>
      </c>
      <c r="O9262" s="94">
        <f>VLOOKUP($Q9262,매칭테이블!$F:$I,4,0)*K9262</f>
        <v/>
      </c>
      <c r="P9262" s="148">
        <f>M9262/1.1</f>
        <v/>
      </c>
      <c r="Q9262" s="94">
        <f>F9262&amp;E9262&amp;G9262&amp;L9262</f>
        <v/>
      </c>
    </row>
    <row r="9263" customFormat="1" s="94">
      <c r="B9263" s="128" t="n">
        <v>44090</v>
      </c>
      <c r="C9263" s="94">
        <f>TEXT(B9263,"aaa")</f>
        <v/>
      </c>
      <c r="E9263" s="94" t="inlineStr">
        <is>
          <t>클렌징폼</t>
        </is>
      </c>
      <c r="F9263" s="94" t="inlineStr">
        <is>
          <t>카페24</t>
        </is>
      </c>
      <c r="G9263" s="94" t="inlineStr">
        <is>
          <t>클렌징폼 120ml</t>
        </is>
      </c>
      <c r="H9263" s="94" t="n">
        <v>200801</v>
      </c>
      <c r="I9263" s="94" t="n">
        <v>200801</v>
      </c>
      <c r="K9263" s="6" t="n">
        <v>10</v>
      </c>
      <c r="L9263" s="94" t="n">
        <v>200801</v>
      </c>
      <c r="M9263" s="94">
        <f>VLOOKUP($Q9263,매칭테이블!$F:$I,2,0)*K9263</f>
        <v/>
      </c>
      <c r="N9263" s="94">
        <f>M9263-M9263*VLOOKUP($Q9263,매칭테이블!$F:$I,3,0)</f>
        <v/>
      </c>
      <c r="O9263" s="94">
        <f>VLOOKUP($Q9263,매칭테이블!$F:$I,4,0)*K9263</f>
        <v/>
      </c>
      <c r="P9263" s="148">
        <f>M9263/1.1</f>
        <v/>
      </c>
      <c r="Q9263" s="94">
        <f>F9263&amp;E9263&amp;G9263&amp;L9263</f>
        <v/>
      </c>
    </row>
    <row r="9264" customFormat="1" s="94">
      <c r="B9264" s="128" t="n">
        <v>44090</v>
      </c>
      <c r="C9264" s="94">
        <f>TEXT(B9264,"aaa")</f>
        <v/>
      </c>
      <c r="E9264" s="94" t="inlineStr">
        <is>
          <t>클렌징폼</t>
        </is>
      </c>
      <c r="F9264" s="94" t="inlineStr">
        <is>
          <t>카페24</t>
        </is>
      </c>
      <c r="G9264" s="94" t="inlineStr">
        <is>
          <t>클렌징폼 120ml 2set</t>
        </is>
      </c>
      <c r="H9264" s="94" t="n">
        <v>200801</v>
      </c>
      <c r="I9264" s="94" t="n">
        <v>200801</v>
      </c>
      <c r="K9264" s="6" t="n">
        <v>1</v>
      </c>
      <c r="L9264" s="94" t="n">
        <v>200801</v>
      </c>
      <c r="M9264" s="94">
        <f>VLOOKUP($Q9264,매칭테이블!$F:$I,2,0)*K9264</f>
        <v/>
      </c>
      <c r="N9264" s="94">
        <f>M9264-M9264*VLOOKUP($Q9264,매칭테이블!$F:$I,3,0)</f>
        <v/>
      </c>
      <c r="O9264" s="94">
        <f>VLOOKUP($Q9264,매칭테이블!$F:$I,4,0)*K9264</f>
        <v/>
      </c>
      <c r="P9264" s="148">
        <f>M9264/1.1</f>
        <v/>
      </c>
      <c r="Q9264" s="94">
        <f>F9264&amp;E9264&amp;G9264&amp;L9264</f>
        <v/>
      </c>
    </row>
    <row r="9265" customFormat="1" s="94">
      <c r="B9265" s="128" t="n">
        <v>44090</v>
      </c>
      <c r="C9265" s="94">
        <f>TEXT(B9265,"aaa")</f>
        <v/>
      </c>
      <c r="E9265" s="94" t="inlineStr">
        <is>
          <t>클렌징폼</t>
        </is>
      </c>
      <c r="F9265" s="94" t="inlineStr">
        <is>
          <t>카페24</t>
        </is>
      </c>
      <c r="G9265" s="94" t="inlineStr">
        <is>
          <t>클렌징폼 120ml 3set</t>
        </is>
      </c>
      <c r="H9265" s="94" t="n">
        <v>200801</v>
      </c>
      <c r="I9265" s="94" t="n">
        <v>200801</v>
      </c>
      <c r="K9265" s="6" t="n">
        <v>1</v>
      </c>
      <c r="L9265" s="94" t="n">
        <v>200801</v>
      </c>
      <c r="M9265" s="94">
        <f>VLOOKUP($Q9265,매칭테이블!$F:$I,2,0)*K9265</f>
        <v/>
      </c>
      <c r="N9265" s="94">
        <f>M9265-M9265*VLOOKUP($Q9265,매칭테이블!$F:$I,3,0)</f>
        <v/>
      </c>
      <c r="O9265" s="94">
        <f>VLOOKUP($Q9265,매칭테이블!$F:$I,4,0)*K9265</f>
        <v/>
      </c>
      <c r="P9265" s="148">
        <f>M9265/1.1</f>
        <v/>
      </c>
      <c r="Q9265" s="94">
        <f>F9265&amp;E9265&amp;G9265&amp;L9265</f>
        <v/>
      </c>
    </row>
    <row r="9266" customFormat="1" s="94">
      <c r="B9266" s="128" t="n">
        <v>44090</v>
      </c>
      <c r="C9266" s="94">
        <f>TEXT(B9266,"aaa")</f>
        <v/>
      </c>
      <c r="E9266" s="94" t="inlineStr">
        <is>
          <t>토너</t>
        </is>
      </c>
      <c r="F9266" s="94" t="inlineStr">
        <is>
          <t>큐텐재팬</t>
        </is>
      </c>
      <c r="G9266" s="94" t="inlineStr">
        <is>
          <t>200726=250ml</t>
        </is>
      </c>
      <c r="H9266" s="94" t="n">
        <v>200801</v>
      </c>
      <c r="I9266" s="94" t="n">
        <v>200801</v>
      </c>
      <c r="K9266" s="6" t="n">
        <v>6</v>
      </c>
      <c r="L9266" s="94" t="n">
        <v>200801</v>
      </c>
      <c r="M9266" s="94">
        <f>VLOOKUP($Q9266,매칭테이블!$F:$I,2,0)*K9266</f>
        <v/>
      </c>
      <c r="N9266" s="94">
        <f>M9266-M9266*VLOOKUP($Q9266,매칭테이블!$F:$I,3,0)</f>
        <v/>
      </c>
      <c r="O9266" s="94">
        <f>VLOOKUP($Q9266,매칭테이블!$F:$I,4,0)*K9266</f>
        <v/>
      </c>
      <c r="P9266" s="148">
        <f>M9266/1.1</f>
        <v/>
      </c>
      <c r="Q9266" s="94">
        <f>F9266&amp;E9266&amp;G9266&amp;L9266</f>
        <v/>
      </c>
    </row>
    <row r="9267" customFormat="1" s="94">
      <c r="B9267" s="128" t="n">
        <v>44090</v>
      </c>
      <c r="C9267" s="94">
        <f>TEXT(B9267,"aaa")</f>
        <v/>
      </c>
      <c r="E9267" s="94" t="inlineStr">
        <is>
          <t>토너</t>
        </is>
      </c>
      <c r="F9267" s="94" t="inlineStr">
        <is>
          <t>큐텐재팬</t>
        </is>
      </c>
      <c r="G9267" s="94" t="inlineStr">
        <is>
          <t>200726=250ml 2set</t>
        </is>
      </c>
      <c r="H9267" s="94" t="n">
        <v>200801</v>
      </c>
      <c r="I9267" s="94" t="n">
        <v>200801</v>
      </c>
      <c r="K9267" s="6" t="n">
        <v>2</v>
      </c>
      <c r="L9267" s="94" t="n">
        <v>200801</v>
      </c>
      <c r="M9267" s="94">
        <f>VLOOKUP($Q9267,매칭테이블!$F:$I,2,0)*K9267</f>
        <v/>
      </c>
      <c r="N9267" s="94">
        <f>M9267-M9267*VLOOKUP($Q9267,매칭테이블!$F:$I,3,0)</f>
        <v/>
      </c>
      <c r="O9267" s="94">
        <f>VLOOKUP($Q9267,매칭테이블!$F:$I,4,0)*K9267</f>
        <v/>
      </c>
      <c r="P9267" s="148">
        <f>M9267/1.1</f>
        <v/>
      </c>
      <c r="Q9267" s="94">
        <f>F9267&amp;E9267&amp;G9267&amp;L9267</f>
        <v/>
      </c>
    </row>
    <row r="9268" customFormat="1" s="94">
      <c r="B9268" s="128" t="n">
        <v>44091</v>
      </c>
      <c r="C9268" s="94">
        <f>TEXT(B9268,"aaa")</f>
        <v/>
      </c>
      <c r="E9268" s="94" t="inlineStr">
        <is>
          <t>토너</t>
        </is>
      </c>
      <c r="F9268" s="94" t="inlineStr">
        <is>
          <t>W컨셉</t>
        </is>
      </c>
      <c r="G9268" s="94" t="inlineStr">
        <is>
          <t>250ml</t>
        </is>
      </c>
      <c r="H9268" s="94" t="n">
        <v>200801</v>
      </c>
      <c r="I9268" s="94" t="n">
        <v>200801</v>
      </c>
      <c r="K9268" s="6" t="n">
        <v>2</v>
      </c>
      <c r="L9268" s="94" t="n">
        <v>200801</v>
      </c>
      <c r="M9268" s="94">
        <f>VLOOKUP($Q9268,매칭테이블!$F:$I,2,0)*K9268</f>
        <v/>
      </c>
      <c r="N9268" s="94">
        <f>M9268-M9268*VLOOKUP($Q9268,매칭테이블!$F:$I,3,0)</f>
        <v/>
      </c>
      <c r="O9268" s="94">
        <f>VLOOKUP($Q9268,매칭테이블!$F:$I,4,0)*K9268</f>
        <v/>
      </c>
      <c r="P9268" s="148">
        <f>M9268/1.1</f>
        <v/>
      </c>
      <c r="Q9268" s="94">
        <f>F9268&amp;E9268&amp;G9268&amp;L9268</f>
        <v/>
      </c>
    </row>
    <row r="9269" customFormat="1" s="94">
      <c r="B9269" s="128" t="n">
        <v>44091</v>
      </c>
      <c r="C9269" s="94">
        <f>TEXT(B9269,"aaa")</f>
        <v/>
      </c>
      <c r="E9269" s="94" t="inlineStr">
        <is>
          <t>토너</t>
        </is>
      </c>
      <c r="F9269" s="94" t="inlineStr">
        <is>
          <t>W컨셉</t>
        </is>
      </c>
      <c r="G9269" s="94" t="inlineStr">
        <is>
          <t>250ml 2set</t>
        </is>
      </c>
      <c r="H9269" s="94" t="n">
        <v>200801</v>
      </c>
      <c r="I9269" s="94" t="n">
        <v>200801</v>
      </c>
      <c r="K9269" s="6" t="n">
        <v>9</v>
      </c>
      <c r="L9269" s="94" t="n">
        <v>200801</v>
      </c>
      <c r="M9269" s="94">
        <f>VLOOKUP($Q9269,매칭테이블!$F:$I,2,0)*K9269</f>
        <v/>
      </c>
      <c r="N9269" s="94">
        <f>M9269-M9269*VLOOKUP($Q9269,매칭테이블!$F:$I,3,0)</f>
        <v/>
      </c>
      <c r="O9269" s="94">
        <f>VLOOKUP($Q9269,매칭테이블!$F:$I,4,0)*K9269</f>
        <v/>
      </c>
      <c r="P9269" s="148">
        <f>M9269/1.1</f>
        <v/>
      </c>
      <c r="Q9269" s="94">
        <f>F9269&amp;E9269&amp;G9269&amp;L9269</f>
        <v/>
      </c>
    </row>
    <row r="9270" customFormat="1" s="94">
      <c r="B9270" s="128" t="n">
        <v>44091</v>
      </c>
      <c r="C9270" s="94">
        <f>TEXT(B9270,"aaa")</f>
        <v/>
      </c>
      <c r="E9270" s="94" t="inlineStr">
        <is>
          <t>토너</t>
        </is>
      </c>
      <c r="F9270" s="94" t="inlineStr">
        <is>
          <t>스타일쉐어</t>
        </is>
      </c>
      <c r="G9270" s="94" t="inlineStr">
        <is>
          <t>250ml</t>
        </is>
      </c>
      <c r="H9270" s="94" t="n">
        <v>200801</v>
      </c>
      <c r="I9270" s="94" t="n">
        <v>200801</v>
      </c>
      <c r="K9270" s="6" t="n">
        <v>1</v>
      </c>
      <c r="L9270" s="94" t="n">
        <v>200801</v>
      </c>
      <c r="M9270" s="94">
        <f>VLOOKUP($Q9270,매칭테이블!$F:$I,2,0)*K9270</f>
        <v/>
      </c>
      <c r="N9270" s="94">
        <f>M9270-M9270*VLOOKUP($Q9270,매칭테이블!$F:$I,3,0)</f>
        <v/>
      </c>
      <c r="O9270" s="94">
        <f>VLOOKUP($Q9270,매칭테이블!$F:$I,4,0)*K9270</f>
        <v/>
      </c>
      <c r="P9270" s="148">
        <f>M9270/1.1</f>
        <v/>
      </c>
      <c r="Q9270" s="94">
        <f>F9270&amp;E9270&amp;G9270&amp;L9270</f>
        <v/>
      </c>
    </row>
    <row r="9271" customFormat="1" s="94">
      <c r="B9271" s="128" t="n">
        <v>44091</v>
      </c>
      <c r="C9271" s="94">
        <f>TEXT(B9271,"aaa")</f>
        <v/>
      </c>
      <c r="E9271" s="94" t="inlineStr">
        <is>
          <t>선크림</t>
        </is>
      </c>
      <c r="F9271" s="94" t="inlineStr">
        <is>
          <t>카페24</t>
        </is>
      </c>
      <c r="G9271" s="94" t="inlineStr">
        <is>
          <t>선크림 50ml</t>
        </is>
      </c>
      <c r="H9271" s="94" t="n">
        <v>200801</v>
      </c>
      <c r="I9271" s="94" t="n">
        <v>200801</v>
      </c>
      <c r="K9271" s="6" t="n">
        <v>1</v>
      </c>
      <c r="L9271" s="94" t="n">
        <v>200801</v>
      </c>
      <c r="M9271" s="94">
        <f>VLOOKUP($Q9271,매칭테이블!$F:$I,2,0)*K9271</f>
        <v/>
      </c>
      <c r="N9271" s="94">
        <f>M9271-M9271*VLOOKUP($Q9271,매칭테이블!$F:$I,3,0)</f>
        <v/>
      </c>
      <c r="O9271" s="94">
        <f>VLOOKUP($Q9271,매칭테이블!$F:$I,4,0)*K9271</f>
        <v/>
      </c>
      <c r="P9271" s="148">
        <f>M9271/1.1</f>
        <v/>
      </c>
      <c r="Q9271" s="94">
        <f>F9271&amp;E9271&amp;G9271&amp;L9271</f>
        <v/>
      </c>
    </row>
    <row r="9272" customFormat="1" s="94">
      <c r="B9272" s="128" t="n">
        <v>44091</v>
      </c>
      <c r="C9272" s="94">
        <f>TEXT(B9272,"aaa")</f>
        <v/>
      </c>
      <c r="E9272" s="94" t="inlineStr">
        <is>
          <t>여름 한정 진정세트</t>
        </is>
      </c>
      <c r="F9272" s="94" t="inlineStr">
        <is>
          <t>카페24</t>
        </is>
      </c>
      <c r="G9272" s="94" t="inlineStr">
        <is>
          <t>여름 한정 진정세트</t>
        </is>
      </c>
      <c r="H9272" s="94" t="n">
        <v>200801</v>
      </c>
      <c r="I9272" s="94" t="n">
        <v>200801</v>
      </c>
      <c r="K9272" s="6" t="n">
        <v>1</v>
      </c>
      <c r="L9272" s="94" t="n">
        <v>200801</v>
      </c>
      <c r="M9272" s="94">
        <f>VLOOKUP($Q9272,매칭테이블!$F:$I,2,0)*K9272</f>
        <v/>
      </c>
      <c r="N9272" s="94">
        <f>M9272-M9272*VLOOKUP($Q9272,매칭테이블!$F:$I,3,0)</f>
        <v/>
      </c>
      <c r="O9272" s="94">
        <f>VLOOKUP($Q9272,매칭테이블!$F:$I,4,0)*K9272</f>
        <v/>
      </c>
      <c r="P9272" s="148">
        <f>M9272/1.1</f>
        <v/>
      </c>
      <c r="Q9272" s="94">
        <f>F9272&amp;E9272&amp;G9272&amp;L9272</f>
        <v/>
      </c>
    </row>
    <row r="9273" customFormat="1" s="94">
      <c r="B9273" s="128" t="n">
        <v>44091</v>
      </c>
      <c r="C9273" s="94">
        <f>TEXT(B9273,"aaa")</f>
        <v/>
      </c>
      <c r="E9273" s="94" t="inlineStr">
        <is>
          <t>여름 한정 진정세트</t>
        </is>
      </c>
      <c r="F9273" s="94" t="inlineStr">
        <is>
          <t>카페24</t>
        </is>
      </c>
      <c r="G9273" s="94" t="inlineStr">
        <is>
          <t>여름 한정 진정세트 (대용량)</t>
        </is>
      </c>
      <c r="H9273" s="94" t="n">
        <v>200801</v>
      </c>
      <c r="I9273" s="94" t="n">
        <v>200801</v>
      </c>
      <c r="K9273" s="6" t="n">
        <v>4</v>
      </c>
      <c r="L9273" s="94" t="n">
        <v>200801</v>
      </c>
      <c r="M9273" s="94">
        <f>VLOOKUP($Q9273,매칭테이블!$F:$I,2,0)*K9273</f>
        <v/>
      </c>
      <c r="N9273" s="94">
        <f>M9273-M9273*VLOOKUP($Q9273,매칭테이블!$F:$I,3,0)</f>
        <v/>
      </c>
      <c r="O9273" s="94">
        <f>VLOOKUP($Q9273,매칭테이블!$F:$I,4,0)*K9273</f>
        <v/>
      </c>
      <c r="P9273" s="148">
        <f>M9273/1.1</f>
        <v/>
      </c>
      <c r="Q9273" s="94">
        <f>F9273&amp;E9273&amp;G9273&amp;L9273</f>
        <v/>
      </c>
    </row>
    <row r="9274" customFormat="1" s="94">
      <c r="B9274" s="128" t="n">
        <v>44091</v>
      </c>
      <c r="C9274" s="94">
        <f>TEXT(B9274,"aaa")</f>
        <v/>
      </c>
      <c r="E9274" s="94" t="inlineStr">
        <is>
          <t>어성초진정패키지</t>
        </is>
      </c>
      <c r="F9274" s="94" t="inlineStr">
        <is>
          <t>카페24</t>
        </is>
      </c>
      <c r="G9274" s="94" t="inlineStr">
        <is>
          <t>어성초 진정패키지세트</t>
        </is>
      </c>
      <c r="H9274" s="94" t="n">
        <v>200801</v>
      </c>
      <c r="I9274" s="94" t="n">
        <v>200801</v>
      </c>
      <c r="K9274" s="6" t="n">
        <v>4</v>
      </c>
      <c r="L9274" s="94" t="n">
        <v>200801</v>
      </c>
      <c r="M9274" s="94">
        <f>VLOOKUP($Q9274,매칭테이블!$F:$I,2,0)*K9274</f>
        <v/>
      </c>
      <c r="N9274" s="94">
        <f>M9274-M9274*VLOOKUP($Q9274,매칭테이블!$F:$I,3,0)</f>
        <v/>
      </c>
      <c r="O9274" s="94">
        <f>VLOOKUP($Q9274,매칭테이블!$F:$I,4,0)*K9274</f>
        <v/>
      </c>
      <c r="P9274" s="148">
        <f>M9274/1.1</f>
        <v/>
      </c>
      <c r="Q9274" s="94">
        <f>F9274&amp;E9274&amp;G9274&amp;L9274</f>
        <v/>
      </c>
    </row>
    <row r="9275" customFormat="1" s="94">
      <c r="B9275" s="128" t="n">
        <v>44091</v>
      </c>
      <c r="C9275" s="94">
        <f>TEXT(B9275,"aaa")</f>
        <v/>
      </c>
      <c r="E9275" s="94" t="inlineStr">
        <is>
          <t>클리어 패드</t>
        </is>
      </c>
      <c r="F9275" s="94" t="inlineStr">
        <is>
          <t>카페24</t>
        </is>
      </c>
      <c r="G9275" s="94" t="inlineStr">
        <is>
          <t>[플친단독할인] 어성초 77 클리어 패드 1개-29% off</t>
        </is>
      </c>
      <c r="H9275" s="94" t="n">
        <v>200801</v>
      </c>
      <c r="I9275" s="94" t="n">
        <v>200801</v>
      </c>
      <c r="K9275" s="6" t="n">
        <v>1</v>
      </c>
      <c r="L9275" s="94" t="n">
        <v>200801</v>
      </c>
      <c r="M9275" s="94">
        <f>VLOOKUP($Q9275,매칭테이블!$F:$I,2,0)*K9275</f>
        <v/>
      </c>
      <c r="N9275" s="94">
        <f>M9275-M9275*VLOOKUP($Q9275,매칭테이블!$F:$I,3,0)</f>
        <v/>
      </c>
      <c r="O9275" s="94">
        <f>VLOOKUP($Q9275,매칭테이블!$F:$I,4,0)*K9275</f>
        <v/>
      </c>
      <c r="P9275" s="148">
        <f>M9275/1.1</f>
        <v/>
      </c>
      <c r="Q9275" s="94">
        <f>F9275&amp;E9275&amp;G9275&amp;L9275</f>
        <v/>
      </c>
    </row>
    <row r="9276" customFormat="1" s="94">
      <c r="B9276" s="128" t="n">
        <v>44091</v>
      </c>
      <c r="C9276" s="94">
        <f>TEXT(B9276,"aaa")</f>
        <v/>
      </c>
      <c r="E9276" s="94" t="inlineStr">
        <is>
          <t>머드크림마스크</t>
        </is>
      </c>
      <c r="F9276" s="94" t="inlineStr">
        <is>
          <t>카페24</t>
        </is>
      </c>
      <c r="G9276" s="94" t="inlineStr">
        <is>
          <t>머드크림마스크 100ml</t>
        </is>
      </c>
      <c r="H9276" s="94" t="n">
        <v>200801</v>
      </c>
      <c r="I9276" s="94" t="n">
        <v>200801</v>
      </c>
      <c r="K9276" s="6" t="n">
        <v>3</v>
      </c>
      <c r="L9276" s="94" t="n">
        <v>200801</v>
      </c>
      <c r="M9276" s="94">
        <f>VLOOKUP($Q9276,매칭테이블!$F:$I,2,0)*K9276</f>
        <v/>
      </c>
      <c r="N9276" s="94">
        <f>M9276-M9276*VLOOKUP($Q9276,매칭테이블!$F:$I,3,0)</f>
        <v/>
      </c>
      <c r="O9276" s="94">
        <f>VLOOKUP($Q9276,매칭테이블!$F:$I,4,0)*K9276</f>
        <v/>
      </c>
      <c r="P9276" s="148">
        <f>M9276/1.1</f>
        <v/>
      </c>
      <c r="Q9276" s="94">
        <f>F9276&amp;E9276&amp;G9276&amp;L9276</f>
        <v/>
      </c>
    </row>
    <row r="9277" customFormat="1" s="94">
      <c r="B9277" s="128" t="n">
        <v>44091</v>
      </c>
      <c r="C9277" s="94">
        <f>TEXT(B9277,"aaa")</f>
        <v/>
      </c>
      <c r="E9277" s="94" t="inlineStr">
        <is>
          <t>마스크팩</t>
        </is>
      </c>
      <c r="F9277" s="94" t="inlineStr">
        <is>
          <t>카페24</t>
        </is>
      </c>
      <c r="G9277" s="94" t="inlineStr">
        <is>
          <t>마스크팩 10매</t>
        </is>
      </c>
      <c r="H9277" s="94" t="n">
        <v>200801</v>
      </c>
      <c r="I9277" s="94" t="n">
        <v>200801</v>
      </c>
      <c r="K9277" s="6" t="n">
        <v>1</v>
      </c>
      <c r="L9277" s="94" t="n">
        <v>200801</v>
      </c>
      <c r="M9277" s="94">
        <f>VLOOKUP($Q9277,매칭테이블!$F:$I,2,0)*K9277</f>
        <v/>
      </c>
      <c r="N9277" s="94">
        <f>M9277-M9277*VLOOKUP($Q9277,매칭테이블!$F:$I,3,0)</f>
        <v/>
      </c>
      <c r="O9277" s="94">
        <f>VLOOKUP($Q9277,매칭테이블!$F:$I,4,0)*K9277</f>
        <v/>
      </c>
      <c r="P9277" s="148">
        <f>M9277/1.1</f>
        <v/>
      </c>
      <c r="Q9277" s="94">
        <f>F9277&amp;E9277&amp;G9277&amp;L9277</f>
        <v/>
      </c>
    </row>
    <row r="9278" customFormat="1" s="94">
      <c r="B9278" s="128" t="n">
        <v>44091</v>
      </c>
      <c r="C9278" s="94">
        <f>TEXT(B9278,"aaa")</f>
        <v/>
      </c>
      <c r="E9278" s="94" t="inlineStr">
        <is>
          <t>토너</t>
        </is>
      </c>
      <c r="F9278" s="94" t="inlineStr">
        <is>
          <t>카페24</t>
        </is>
      </c>
      <c r="G9278" s="94" t="inlineStr">
        <is>
          <t>250ml</t>
        </is>
      </c>
      <c r="H9278" s="94" t="n">
        <v>200801</v>
      </c>
      <c r="I9278" s="94" t="n">
        <v>200801</v>
      </c>
      <c r="K9278" s="6" t="n">
        <v>43</v>
      </c>
      <c r="L9278" s="94" t="n">
        <v>200801</v>
      </c>
      <c r="M9278" s="94">
        <f>VLOOKUP($Q9278,매칭테이블!$F:$I,2,0)*K9278</f>
        <v/>
      </c>
      <c r="N9278" s="94">
        <f>M9278-M9278*VLOOKUP($Q9278,매칭테이블!$F:$I,3,0)</f>
        <v/>
      </c>
      <c r="O9278" s="94">
        <f>VLOOKUP($Q9278,매칭테이블!$F:$I,4,0)*K9278</f>
        <v/>
      </c>
      <c r="P9278" s="148">
        <f>M9278/1.1</f>
        <v/>
      </c>
      <c r="Q9278" s="94">
        <f>F9278&amp;E9278&amp;G9278&amp;L9278</f>
        <v/>
      </c>
    </row>
    <row r="9279" customFormat="1" s="94">
      <c r="B9279" s="128" t="n">
        <v>44091</v>
      </c>
      <c r="C9279" s="94">
        <f>TEXT(B9279,"aaa")</f>
        <v/>
      </c>
      <c r="E9279" s="94" t="inlineStr">
        <is>
          <t>토너</t>
        </is>
      </c>
      <c r="F9279" s="94" t="inlineStr">
        <is>
          <t>카페24</t>
        </is>
      </c>
      <c r="G9279" s="94" t="inlineStr">
        <is>
          <t>250ml 2set</t>
        </is>
      </c>
      <c r="H9279" s="94" t="n">
        <v>200801</v>
      </c>
      <c r="I9279" s="94" t="n">
        <v>200801</v>
      </c>
      <c r="K9279" s="6" t="n">
        <v>36</v>
      </c>
      <c r="L9279" s="94" t="n">
        <v>200801</v>
      </c>
      <c r="M9279" s="94">
        <f>VLOOKUP($Q9279,매칭테이블!$F:$I,2,0)*K9279</f>
        <v/>
      </c>
      <c r="N9279" s="94">
        <f>M9279-M9279*VLOOKUP($Q9279,매칭테이블!$F:$I,3,0)</f>
        <v/>
      </c>
      <c r="O9279" s="94">
        <f>VLOOKUP($Q9279,매칭테이블!$F:$I,4,0)*K9279</f>
        <v/>
      </c>
      <c r="P9279" s="148">
        <f>M9279/1.1</f>
        <v/>
      </c>
      <c r="Q9279" s="94">
        <f>F9279&amp;E9279&amp;G9279&amp;L9279</f>
        <v/>
      </c>
    </row>
    <row r="9280" customFormat="1" s="94">
      <c r="B9280" s="128" t="n">
        <v>44091</v>
      </c>
      <c r="C9280" s="94">
        <f>TEXT(B9280,"aaa")</f>
        <v/>
      </c>
      <c r="E9280" s="94" t="inlineStr">
        <is>
          <t>토너</t>
        </is>
      </c>
      <c r="F9280" s="94" t="inlineStr">
        <is>
          <t>카페24</t>
        </is>
      </c>
      <c r="G9280" s="94" t="inlineStr">
        <is>
          <t>500ml</t>
        </is>
      </c>
      <c r="H9280" s="94" t="n">
        <v>200801</v>
      </c>
      <c r="I9280" s="94" t="n">
        <v>200801</v>
      </c>
      <c r="K9280" s="6" t="n">
        <v>58</v>
      </c>
      <c r="L9280" s="94" t="n">
        <v>200801</v>
      </c>
      <c r="M9280" s="94">
        <f>VLOOKUP($Q9280,매칭테이블!$F:$I,2,0)*K9280</f>
        <v/>
      </c>
      <c r="N9280" s="94">
        <f>M9280-M9280*VLOOKUP($Q9280,매칭테이블!$F:$I,3,0)</f>
        <v/>
      </c>
      <c r="O9280" s="94">
        <f>VLOOKUP($Q9280,매칭테이블!$F:$I,4,0)*K9280</f>
        <v/>
      </c>
      <c r="P9280" s="148">
        <f>M9280/1.1</f>
        <v/>
      </c>
      <c r="Q9280" s="94">
        <f>F9280&amp;E9280&amp;G9280&amp;L9280</f>
        <v/>
      </c>
    </row>
    <row r="9281" customFormat="1" s="94">
      <c r="B9281" s="128" t="n">
        <v>44091</v>
      </c>
      <c r="C9281" s="94">
        <f>TEXT(B9281,"aaa")</f>
        <v/>
      </c>
      <c r="E9281" s="94" t="inlineStr">
        <is>
          <t>토너</t>
        </is>
      </c>
      <c r="F9281" s="94" t="inlineStr">
        <is>
          <t>카페24</t>
        </is>
      </c>
      <c r="G9281" s="94" t="inlineStr">
        <is>
          <t>스킨팩 화장솜 60P</t>
        </is>
      </c>
      <c r="H9281" s="94" t="n">
        <v>200801</v>
      </c>
      <c r="I9281" s="94" t="n">
        <v>200801</v>
      </c>
      <c r="K9281" s="6" t="n">
        <v>40</v>
      </c>
      <c r="L9281" s="94" t="n">
        <v>200801</v>
      </c>
      <c r="M9281" s="94">
        <f>VLOOKUP($Q9281,매칭테이블!$F:$I,2,0)*K9281</f>
        <v/>
      </c>
      <c r="N9281" s="94">
        <f>M9281-M9281*VLOOKUP($Q9281,매칭테이블!$F:$I,3,0)</f>
        <v/>
      </c>
      <c r="O9281" s="94">
        <f>VLOOKUP($Q9281,매칭테이블!$F:$I,4,0)*K9281</f>
        <v/>
      </c>
      <c r="P9281" s="148">
        <f>M9281/1.1</f>
        <v/>
      </c>
      <c r="Q9281" s="94">
        <f>F9281&amp;E9281&amp;G9281&amp;L9281</f>
        <v/>
      </c>
    </row>
    <row r="9282" customFormat="1" s="94">
      <c r="B9282" s="128" t="n">
        <v>44091</v>
      </c>
      <c r="C9282" s="94">
        <f>TEXT(B9282,"aaa")</f>
        <v/>
      </c>
      <c r="E9282" s="94" t="inlineStr">
        <is>
          <t>앰플</t>
        </is>
      </c>
      <c r="F9282" s="94" t="inlineStr">
        <is>
          <t>카페24</t>
        </is>
      </c>
      <c r="G9282" s="94" t="inlineStr">
        <is>
          <t>앰플 30ml</t>
        </is>
      </c>
      <c r="H9282" s="94" t="n">
        <v>200801</v>
      </c>
      <c r="I9282" s="94" t="n">
        <v>200801</v>
      </c>
      <c r="K9282" s="6" t="n">
        <v>17</v>
      </c>
      <c r="L9282" s="94" t="n">
        <v>200801</v>
      </c>
      <c r="M9282" s="94">
        <f>VLOOKUP($Q9282,매칭테이블!$F:$I,2,0)*K9282</f>
        <v/>
      </c>
      <c r="N9282" s="94">
        <f>M9282-M9282*VLOOKUP($Q9282,매칭테이블!$F:$I,3,0)</f>
        <v/>
      </c>
      <c r="O9282" s="94">
        <f>VLOOKUP($Q9282,매칭테이블!$F:$I,4,0)*K9282</f>
        <v/>
      </c>
      <c r="P9282" s="148">
        <f>M9282/1.1</f>
        <v/>
      </c>
      <c r="Q9282" s="94">
        <f>F9282&amp;E9282&amp;G9282&amp;L9282</f>
        <v/>
      </c>
    </row>
    <row r="9283" customFormat="1" s="94">
      <c r="B9283" s="128" t="n">
        <v>44091</v>
      </c>
      <c r="C9283" s="94">
        <f>TEXT(B9283,"aaa")</f>
        <v/>
      </c>
      <c r="E9283" s="94" t="inlineStr">
        <is>
          <t>앰플</t>
        </is>
      </c>
      <c r="F9283" s="94" t="inlineStr">
        <is>
          <t>카페24</t>
        </is>
      </c>
      <c r="G9283" s="94" t="inlineStr">
        <is>
          <t>앰플 30ml  2set</t>
        </is>
      </c>
      <c r="H9283" s="94" t="n">
        <v>200801</v>
      </c>
      <c r="I9283" s="94" t="n">
        <v>200801</v>
      </c>
      <c r="K9283" s="6" t="n">
        <v>5</v>
      </c>
      <c r="L9283" s="94" t="n">
        <v>200801</v>
      </c>
      <c r="M9283" s="94">
        <f>VLOOKUP($Q9283,매칭테이블!$F:$I,2,0)*K9283</f>
        <v/>
      </c>
      <c r="N9283" s="94">
        <f>M9283-M9283*VLOOKUP($Q9283,매칭테이블!$F:$I,3,0)</f>
        <v/>
      </c>
      <c r="O9283" s="94">
        <f>VLOOKUP($Q9283,매칭테이블!$F:$I,4,0)*K9283</f>
        <v/>
      </c>
      <c r="P9283" s="148">
        <f>M9283/1.1</f>
        <v/>
      </c>
      <c r="Q9283" s="94">
        <f>F9283&amp;E9283&amp;G9283&amp;L9283</f>
        <v/>
      </c>
    </row>
    <row r="9284" customFormat="1" s="94">
      <c r="B9284" s="128" t="n">
        <v>44091</v>
      </c>
      <c r="C9284" s="94">
        <f>TEXT(B9284,"aaa")</f>
        <v/>
      </c>
      <c r="E9284" s="94" t="inlineStr">
        <is>
          <t>수딩크림</t>
        </is>
      </c>
      <c r="F9284" s="94" t="inlineStr">
        <is>
          <t>카페24</t>
        </is>
      </c>
      <c r="G9284" s="94" t="inlineStr">
        <is>
          <t>수딩크림 100ml</t>
        </is>
      </c>
      <c r="H9284" s="94" t="n">
        <v>200801</v>
      </c>
      <c r="I9284" s="94" t="n">
        <v>200801</v>
      </c>
      <c r="K9284" s="6" t="n">
        <v>5</v>
      </c>
      <c r="L9284" s="94" t="n">
        <v>200801</v>
      </c>
      <c r="M9284" s="94">
        <f>VLOOKUP($Q9284,매칭테이블!$F:$I,2,0)*K9284</f>
        <v/>
      </c>
      <c r="N9284" s="94">
        <f>M9284-M9284*VLOOKUP($Q9284,매칭테이블!$F:$I,3,0)</f>
        <v/>
      </c>
      <c r="O9284" s="94">
        <f>VLOOKUP($Q9284,매칭테이블!$F:$I,4,0)*K9284</f>
        <v/>
      </c>
      <c r="P9284" s="148">
        <f>M9284/1.1</f>
        <v/>
      </c>
      <c r="Q9284" s="94">
        <f>F9284&amp;E9284&amp;G9284&amp;L9284</f>
        <v/>
      </c>
    </row>
    <row r="9285" customFormat="1" s="94">
      <c r="B9285" s="128" t="n">
        <v>44091</v>
      </c>
      <c r="C9285" s="94">
        <f>TEXT(B9285,"aaa")</f>
        <v/>
      </c>
      <c r="E9285" s="94" t="inlineStr">
        <is>
          <t>클렌징폼</t>
        </is>
      </c>
      <c r="F9285" s="94" t="inlineStr">
        <is>
          <t>카페24</t>
        </is>
      </c>
      <c r="G9285" s="94" t="inlineStr">
        <is>
          <t>클렌징폼 120ml</t>
        </is>
      </c>
      <c r="H9285" s="94" t="n">
        <v>200801</v>
      </c>
      <c r="I9285" s="94" t="n">
        <v>200801</v>
      </c>
      <c r="K9285" s="6" t="n">
        <v>5</v>
      </c>
      <c r="L9285" s="94" t="n">
        <v>200801</v>
      </c>
      <c r="M9285" s="94">
        <f>VLOOKUP($Q9285,매칭테이블!$F:$I,2,0)*K9285</f>
        <v/>
      </c>
      <c r="N9285" s="94">
        <f>M9285-M9285*VLOOKUP($Q9285,매칭테이블!$F:$I,3,0)</f>
        <v/>
      </c>
      <c r="O9285" s="94">
        <f>VLOOKUP($Q9285,매칭테이블!$F:$I,4,0)*K9285</f>
        <v/>
      </c>
      <c r="P9285" s="148">
        <f>M9285/1.1</f>
        <v/>
      </c>
      <c r="Q9285" s="94">
        <f>F9285&amp;E9285&amp;G9285&amp;L9285</f>
        <v/>
      </c>
    </row>
    <row r="9286" customFormat="1" s="94">
      <c r="B9286" s="128" t="n">
        <v>44091</v>
      </c>
      <c r="C9286" s="94">
        <f>TEXT(B9286,"aaa")</f>
        <v/>
      </c>
      <c r="E9286" s="94" t="inlineStr">
        <is>
          <t>클렌징폼</t>
        </is>
      </c>
      <c r="F9286" s="94" t="inlineStr">
        <is>
          <t>카페24</t>
        </is>
      </c>
      <c r="G9286" s="94" t="inlineStr">
        <is>
          <t>클렌징폼 120ml 2set</t>
        </is>
      </c>
      <c r="H9286" s="94" t="n">
        <v>200801</v>
      </c>
      <c r="I9286" s="94" t="n">
        <v>200801</v>
      </c>
      <c r="K9286" s="6" t="n">
        <v>1</v>
      </c>
      <c r="L9286" s="94" t="n">
        <v>200801</v>
      </c>
      <c r="M9286" s="94">
        <f>VLOOKUP($Q9286,매칭테이블!$F:$I,2,0)*K9286</f>
        <v/>
      </c>
      <c r="N9286" s="94">
        <f>M9286-M9286*VLOOKUP($Q9286,매칭테이블!$F:$I,3,0)</f>
        <v/>
      </c>
      <c r="O9286" s="94">
        <f>VLOOKUP($Q9286,매칭테이블!$F:$I,4,0)*K9286</f>
        <v/>
      </c>
      <c r="P9286" s="148">
        <f>M9286/1.1</f>
        <v/>
      </c>
      <c r="Q9286" s="94">
        <f>F9286&amp;E9286&amp;G9286&amp;L9286</f>
        <v/>
      </c>
    </row>
    <row r="9287" customFormat="1" s="94">
      <c r="B9287" s="128" t="n">
        <v>44091</v>
      </c>
      <c r="C9287" s="94">
        <f>TEXT(B9287,"aaa")</f>
        <v/>
      </c>
      <c r="E9287" s="94" t="inlineStr">
        <is>
          <t>클렌징폼</t>
        </is>
      </c>
      <c r="F9287" s="94" t="inlineStr">
        <is>
          <t>카페24</t>
        </is>
      </c>
      <c r="G9287" s="94" t="inlineStr">
        <is>
          <t>클렌징폼 120ml 3set</t>
        </is>
      </c>
      <c r="H9287" s="94" t="n">
        <v>200801</v>
      </c>
      <c r="I9287" s="94" t="n">
        <v>200801</v>
      </c>
      <c r="K9287" s="6" t="n">
        <v>1</v>
      </c>
      <c r="L9287" s="94" t="n">
        <v>200801</v>
      </c>
      <c r="M9287" s="94">
        <f>VLOOKUP($Q9287,매칭테이블!$F:$I,2,0)*K9287</f>
        <v/>
      </c>
      <c r="N9287" s="94">
        <f>M9287-M9287*VLOOKUP($Q9287,매칭테이블!$F:$I,3,0)</f>
        <v/>
      </c>
      <c r="O9287" s="94">
        <f>VLOOKUP($Q9287,매칭테이블!$F:$I,4,0)*K9287</f>
        <v/>
      </c>
      <c r="P9287" s="148">
        <f>M9287/1.1</f>
        <v/>
      </c>
      <c r="Q9287" s="94">
        <f>F9287&amp;E9287&amp;G9287&amp;L9287</f>
        <v/>
      </c>
    </row>
    <row r="9288" customFormat="1" s="94">
      <c r="B9288" s="128" t="n">
        <v>44091</v>
      </c>
      <c r="C9288" s="94">
        <f>TEXT(B9288,"aaa")</f>
        <v/>
      </c>
      <c r="E9288" s="94" t="inlineStr">
        <is>
          <t>바디워시</t>
        </is>
      </c>
      <c r="F9288" s="94" t="inlineStr">
        <is>
          <t>카페24</t>
        </is>
      </c>
      <c r="G9288" s="94" t="inlineStr">
        <is>
          <t>바디워시 1개 -30% off</t>
        </is>
      </c>
      <c r="H9288" s="94" t="n">
        <v>200801</v>
      </c>
      <c r="I9288" s="94" t="n">
        <v>200801</v>
      </c>
      <c r="K9288" s="6" t="n">
        <v>1</v>
      </c>
      <c r="L9288" s="94" t="n">
        <v>200801</v>
      </c>
      <c r="M9288" s="94">
        <f>VLOOKUP($Q9288,매칭테이블!$F:$I,2,0)*K9288</f>
        <v/>
      </c>
      <c r="N9288" s="94">
        <f>M9288-M9288*VLOOKUP($Q9288,매칭테이블!$F:$I,3,0)</f>
        <v/>
      </c>
      <c r="O9288" s="94">
        <f>VLOOKUP($Q9288,매칭테이블!$F:$I,4,0)*K9288</f>
        <v/>
      </c>
      <c r="P9288" s="148">
        <f>M9288/1.1</f>
        <v/>
      </c>
      <c r="Q9288" s="94">
        <f>F9288&amp;E9288&amp;G9288&amp;L9288</f>
        <v/>
      </c>
    </row>
    <row r="9289" customFormat="1" s="94">
      <c r="B9289" s="128" t="n">
        <v>44091</v>
      </c>
      <c r="C9289" s="94">
        <f>TEXT(B9289,"aaa")</f>
        <v/>
      </c>
      <c r="E9289" s="94" t="inlineStr">
        <is>
          <t>바디워시</t>
        </is>
      </c>
      <c r="F9289" s="94" t="inlineStr">
        <is>
          <t>카페24</t>
        </is>
      </c>
      <c r="G9289" s="94" t="inlineStr">
        <is>
          <t>바디워시 2개 -35% off (무료배송)</t>
        </is>
      </c>
      <c r="H9289" s="94" t="n">
        <v>200801</v>
      </c>
      <c r="I9289" s="94" t="n">
        <v>200801</v>
      </c>
      <c r="K9289" s="6" t="n">
        <v>1</v>
      </c>
      <c r="L9289" s="94" t="n">
        <v>200801</v>
      </c>
      <c r="M9289" s="94">
        <f>VLOOKUP($Q9289,매칭테이블!$F:$I,2,0)*K9289</f>
        <v/>
      </c>
      <c r="N9289" s="94">
        <f>M9289-M9289*VLOOKUP($Q9289,매칭테이블!$F:$I,3,0)</f>
        <v/>
      </c>
      <c r="O9289" s="94">
        <f>VLOOKUP($Q9289,매칭테이블!$F:$I,4,0)*K9289</f>
        <v/>
      </c>
      <c r="P9289" s="148">
        <f>M9289/1.1</f>
        <v/>
      </c>
      <c r="Q9289" s="94">
        <f>F9289&amp;E9289&amp;G9289&amp;L9289</f>
        <v/>
      </c>
    </row>
    <row r="9290" customFormat="1" s="94">
      <c r="B9290" s="128" t="n">
        <v>44091</v>
      </c>
      <c r="C9290" s="94">
        <f>TEXT(B9290,"aaa")</f>
        <v/>
      </c>
      <c r="E9290" s="94" t="inlineStr">
        <is>
          <t>토너</t>
        </is>
      </c>
      <c r="F9290" s="94" t="inlineStr">
        <is>
          <t>큐텐재팬</t>
        </is>
      </c>
      <c r="G9290" s="94" t="inlineStr">
        <is>
          <t>200726=250ml</t>
        </is>
      </c>
      <c r="H9290" s="94" t="n">
        <v>200801</v>
      </c>
      <c r="I9290" s="94" t="n">
        <v>200801</v>
      </c>
      <c r="K9290" s="6" t="n">
        <v>7</v>
      </c>
      <c r="L9290" s="94" t="n">
        <v>200801</v>
      </c>
      <c r="M9290" s="94">
        <f>VLOOKUP($Q9290,매칭테이블!$F:$I,2,0)*K9290</f>
        <v/>
      </c>
      <c r="N9290" s="94">
        <f>M9290-M9290*VLOOKUP($Q9290,매칭테이블!$F:$I,3,0)</f>
        <v/>
      </c>
      <c r="O9290" s="94">
        <f>VLOOKUP($Q9290,매칭테이블!$F:$I,4,0)*K9290</f>
        <v/>
      </c>
      <c r="P9290" s="148">
        <f>M9290/1.1</f>
        <v/>
      </c>
      <c r="Q9290" s="94">
        <f>F9290&amp;E9290&amp;G9290&amp;L9290</f>
        <v/>
      </c>
    </row>
    <row r="9291" customFormat="1" s="94">
      <c r="B9291" s="128" t="n">
        <v>44091</v>
      </c>
      <c r="C9291" s="94">
        <f>TEXT(B9291,"aaa")</f>
        <v/>
      </c>
      <c r="E9291" s="94" t="inlineStr">
        <is>
          <t>수딩크림</t>
        </is>
      </c>
      <c r="F9291" s="94" t="inlineStr">
        <is>
          <t>큐텐재팬</t>
        </is>
      </c>
      <c r="G9291" s="94" t="inlineStr">
        <is>
          <t>200726=수딩크림 100ml</t>
        </is>
      </c>
      <c r="H9291" s="94" t="n">
        <v>200801</v>
      </c>
      <c r="I9291" s="94" t="n">
        <v>200801</v>
      </c>
      <c r="K9291" s="6" t="n">
        <v>1</v>
      </c>
      <c r="L9291" s="94" t="n">
        <v>200801</v>
      </c>
      <c r="M9291" s="94">
        <f>VLOOKUP($Q9291,매칭테이블!$F:$I,2,0)*K9291</f>
        <v/>
      </c>
      <c r="N9291" s="94">
        <f>M9291-M9291*VLOOKUP($Q9291,매칭테이블!$F:$I,3,0)</f>
        <v/>
      </c>
      <c r="O9291" s="94">
        <f>VLOOKUP($Q9291,매칭테이블!$F:$I,4,0)*K9291</f>
        <v/>
      </c>
      <c r="P9291" s="148">
        <f>M9291/1.1</f>
        <v/>
      </c>
      <c r="Q9291" s="94">
        <f>F9291&amp;E9291&amp;G9291&amp;L9291</f>
        <v/>
      </c>
    </row>
    <row r="9292" customFormat="1" s="94">
      <c r="B9292" s="128" t="n">
        <v>44091</v>
      </c>
      <c r="C9292" s="94">
        <f>TEXT(B9292,"aaa")</f>
        <v/>
      </c>
      <c r="E9292" s="94" t="inlineStr">
        <is>
          <t>토너</t>
        </is>
      </c>
      <c r="F9292" s="94" t="inlineStr">
        <is>
          <t>큐텐재팬</t>
        </is>
      </c>
      <c r="G9292" s="94" t="inlineStr">
        <is>
          <t>200726=250ml 2set</t>
        </is>
      </c>
      <c r="H9292" s="94" t="n">
        <v>200801</v>
      </c>
      <c r="I9292" s="94" t="n">
        <v>200801</v>
      </c>
      <c r="K9292" s="6" t="n">
        <v>1</v>
      </c>
      <c r="L9292" s="94" t="n">
        <v>200801</v>
      </c>
      <c r="M9292" s="94">
        <f>VLOOKUP($Q9292,매칭테이블!$F:$I,2,0)*K9292</f>
        <v/>
      </c>
      <c r="N9292" s="94">
        <f>M9292-M9292*VLOOKUP($Q9292,매칭테이블!$F:$I,3,0)</f>
        <v/>
      </c>
      <c r="O9292" s="94">
        <f>VLOOKUP($Q9292,매칭테이블!$F:$I,4,0)*K9292</f>
        <v/>
      </c>
      <c r="P9292" s="148">
        <f>M9292/1.1</f>
        <v/>
      </c>
      <c r="Q9292" s="94">
        <f>F9292&amp;E9292&amp;G9292&amp;L9292</f>
        <v/>
      </c>
    </row>
    <row r="9293" customFormat="1" s="94">
      <c r="B9293" s="128" t="n">
        <v>44091</v>
      </c>
      <c r="C9293" s="94">
        <f>TEXT(B9293,"aaa")</f>
        <v/>
      </c>
      <c r="E9293" s="94" t="inlineStr">
        <is>
          <t>토너</t>
        </is>
      </c>
      <c r="F9293" s="94" t="inlineStr">
        <is>
          <t>화해</t>
        </is>
      </c>
      <c r="G9293" s="94" t="inlineStr">
        <is>
          <t>250ml</t>
        </is>
      </c>
      <c r="H9293" s="94" t="n">
        <v>200801</v>
      </c>
      <c r="I9293" s="94" t="n">
        <v>200801</v>
      </c>
      <c r="K9293" s="6" t="n">
        <v>2</v>
      </c>
      <c r="L9293" s="94" t="n">
        <v>200801</v>
      </c>
      <c r="M9293" s="94">
        <f>VLOOKUP($Q9293,매칭테이블!$F:$I,2,0)*K9293</f>
        <v/>
      </c>
      <c r="N9293" s="94">
        <f>M9293-M9293*VLOOKUP($Q9293,매칭테이블!$F:$I,3,0)</f>
        <v/>
      </c>
      <c r="O9293" s="94">
        <f>VLOOKUP($Q9293,매칭테이블!$F:$I,4,0)*K9293</f>
        <v/>
      </c>
      <c r="P9293" s="148">
        <f>M9293/1.1</f>
        <v/>
      </c>
      <c r="Q9293" s="94">
        <f>F9293&amp;E9293&amp;G9293&amp;L9293</f>
        <v/>
      </c>
    </row>
    <row r="9294" customFormat="1" s="94">
      <c r="B9294" s="128" t="n">
        <v>44092</v>
      </c>
      <c r="C9294" s="94">
        <f>TEXT(B9294,"aaa")</f>
        <v/>
      </c>
      <c r="E9294" s="94" t="inlineStr">
        <is>
          <t>토너</t>
        </is>
      </c>
      <c r="F9294" s="94" t="inlineStr">
        <is>
          <t>W컨셉</t>
        </is>
      </c>
      <c r="G9294" s="94" t="inlineStr">
        <is>
          <t>250ml</t>
        </is>
      </c>
      <c r="H9294" s="94" t="n">
        <v>200801</v>
      </c>
      <c r="I9294" s="94" t="n">
        <v>200801</v>
      </c>
      <c r="K9294" s="6" t="n">
        <v>1</v>
      </c>
      <c r="L9294" s="94" t="n">
        <v>200801</v>
      </c>
      <c r="M9294" s="94">
        <f>VLOOKUP($Q9294,매칭테이블!$F:$I,2,0)*K9294</f>
        <v/>
      </c>
      <c r="N9294" s="94">
        <f>M9294-M9294*VLOOKUP($Q9294,매칭테이블!$F:$I,3,0)</f>
        <v/>
      </c>
      <c r="O9294" s="94">
        <f>VLOOKUP($Q9294,매칭테이블!$F:$I,4,0)*K9294</f>
        <v/>
      </c>
      <c r="P9294" s="148">
        <f>M9294/1.1</f>
        <v/>
      </c>
      <c r="Q9294" s="94">
        <f>F9294&amp;E9294&amp;G9294&amp;L9294</f>
        <v/>
      </c>
    </row>
    <row r="9295" customFormat="1" s="94">
      <c r="B9295" s="128" t="n">
        <v>44092</v>
      </c>
      <c r="C9295" s="94">
        <f>TEXT(B9295,"aaa")</f>
        <v/>
      </c>
      <c r="E9295" s="94" t="inlineStr">
        <is>
          <t>토너</t>
        </is>
      </c>
      <c r="F9295" s="94" t="inlineStr">
        <is>
          <t>W컨셉</t>
        </is>
      </c>
      <c r="G9295" s="94" t="inlineStr">
        <is>
          <t>250ml 2set</t>
        </is>
      </c>
      <c r="H9295" s="94" t="n">
        <v>200801</v>
      </c>
      <c r="I9295" s="94" t="n">
        <v>200801</v>
      </c>
      <c r="K9295" s="6" t="n">
        <v>6</v>
      </c>
      <c r="L9295" s="94" t="n">
        <v>200801</v>
      </c>
      <c r="M9295" s="94">
        <f>VLOOKUP($Q9295,매칭테이블!$F:$I,2,0)*K9295</f>
        <v/>
      </c>
      <c r="N9295" s="94">
        <f>M9295-M9295*VLOOKUP($Q9295,매칭테이블!$F:$I,3,0)</f>
        <v/>
      </c>
      <c r="O9295" s="94">
        <f>VLOOKUP($Q9295,매칭테이블!$F:$I,4,0)*K9295</f>
        <v/>
      </c>
      <c r="P9295" s="148">
        <f>M9295/1.1</f>
        <v/>
      </c>
      <c r="Q9295" s="94">
        <f>F9295&amp;E9295&amp;G9295&amp;L9295</f>
        <v/>
      </c>
    </row>
    <row r="9296" customFormat="1" s="94">
      <c r="B9296" s="128" t="n">
        <v>44092</v>
      </c>
      <c r="C9296" s="94">
        <f>TEXT(B9296,"aaa")</f>
        <v/>
      </c>
      <c r="E9296" s="94" t="inlineStr">
        <is>
          <t>앰플</t>
        </is>
      </c>
      <c r="F9296" s="94" t="inlineStr">
        <is>
          <t>글로우데이즈 시코르</t>
        </is>
      </c>
      <c r="G9296" s="94" t="inlineStr">
        <is>
          <t>앰플=앰플 30ml</t>
        </is>
      </c>
      <c r="H9296" s="94" t="n">
        <v>200801</v>
      </c>
      <c r="I9296" s="94" t="n">
        <v>200801</v>
      </c>
      <c r="K9296" s="6" t="n">
        <v>10</v>
      </c>
      <c r="L9296" s="94" t="n">
        <v>200801</v>
      </c>
      <c r="M9296" s="94">
        <f>VLOOKUP($Q9296,매칭테이블!$F:$I,2,0)*K9296</f>
        <v/>
      </c>
      <c r="N9296" s="94">
        <f>M9296-M9296*VLOOKUP($Q9296,매칭테이블!$F:$I,3,0)</f>
        <v/>
      </c>
      <c r="O9296" s="94">
        <f>VLOOKUP($Q9296,매칭테이블!$F:$I,4,0)*K9296</f>
        <v/>
      </c>
      <c r="P9296" s="148">
        <f>M9296/1.1</f>
        <v/>
      </c>
      <c r="Q9296" s="94">
        <f>F9296&amp;E9296&amp;G9296&amp;L9296</f>
        <v/>
      </c>
    </row>
    <row r="9297" customFormat="1" s="94">
      <c r="B9297" s="128" t="n">
        <v>44092</v>
      </c>
      <c r="C9297" s="94">
        <f>TEXT(B9297,"aaa")</f>
        <v/>
      </c>
      <c r="E9297" s="94" t="inlineStr">
        <is>
          <t>수딩크림</t>
        </is>
      </c>
      <c r="F9297" s="94" t="inlineStr">
        <is>
          <t>글로우데이즈 시코르</t>
        </is>
      </c>
      <c r="G9297" s="94" t="inlineStr">
        <is>
          <t>수딩크림=수딩크림 100ml</t>
        </is>
      </c>
      <c r="H9297" s="94" t="n">
        <v>200801</v>
      </c>
      <c r="I9297" s="94" t="n">
        <v>200801</v>
      </c>
      <c r="K9297" s="6" t="n">
        <v>20</v>
      </c>
      <c r="L9297" s="94" t="n">
        <v>200801</v>
      </c>
      <c r="M9297" s="94">
        <f>VLOOKUP($Q9297,매칭테이블!$F:$I,2,0)*K9297</f>
        <v/>
      </c>
      <c r="N9297" s="94">
        <f>M9297-M9297*VLOOKUP($Q9297,매칭테이블!$F:$I,3,0)</f>
        <v/>
      </c>
      <c r="O9297" s="94">
        <f>VLOOKUP($Q9297,매칭테이블!$F:$I,4,0)*K9297</f>
        <v/>
      </c>
      <c r="P9297" s="148">
        <f>M9297/1.1</f>
        <v/>
      </c>
      <c r="Q9297" s="94">
        <f>F9297&amp;E9297&amp;G9297&amp;L9297</f>
        <v/>
      </c>
    </row>
    <row r="9298" customFormat="1" s="94">
      <c r="B9298" s="128" t="n">
        <v>44092</v>
      </c>
      <c r="C9298" s="94">
        <f>TEXT(B9298,"aaa")</f>
        <v/>
      </c>
      <c r="E9298" s="94" t="inlineStr">
        <is>
          <t>클렌징폼</t>
        </is>
      </c>
      <c r="F9298" s="94" t="inlineStr">
        <is>
          <t>글로우데이즈 시코르</t>
        </is>
      </c>
      <c r="G9298" s="94" t="inlineStr">
        <is>
          <t>클렌징폼=클렌징폼 120ml</t>
        </is>
      </c>
      <c r="H9298" s="94" t="n">
        <v>200801</v>
      </c>
      <c r="I9298" s="94" t="n">
        <v>200801</v>
      </c>
      <c r="K9298" s="6" t="n">
        <v>40</v>
      </c>
      <c r="L9298" s="94" t="n">
        <v>200801</v>
      </c>
      <c r="M9298" s="94">
        <f>VLOOKUP($Q9298,매칭테이블!$F:$I,2,0)*K9298</f>
        <v/>
      </c>
      <c r="N9298" s="94">
        <f>M9298-M9298*VLOOKUP($Q9298,매칭테이블!$F:$I,3,0)</f>
        <v/>
      </c>
      <c r="O9298" s="94">
        <f>VLOOKUP($Q9298,매칭테이블!$F:$I,4,0)*K9298</f>
        <v/>
      </c>
      <c r="P9298" s="148">
        <f>M9298/1.1</f>
        <v/>
      </c>
      <c r="Q9298" s="94">
        <f>F9298&amp;E9298&amp;G9298&amp;L9298</f>
        <v/>
      </c>
    </row>
    <row r="9299" customFormat="1" s="94">
      <c r="B9299" s="128" t="n">
        <v>44092</v>
      </c>
      <c r="C9299" s="94">
        <f>TEXT(B9299,"aaa")</f>
        <v/>
      </c>
      <c r="E9299" s="94" t="inlineStr">
        <is>
          <t>마스크팩</t>
        </is>
      </c>
      <c r="F9299" s="94" t="inlineStr">
        <is>
          <t>글로우데이즈 시코르</t>
        </is>
      </c>
      <c r="G9299" s="94" t="inlineStr">
        <is>
          <t>마스크팩=마스크팩 10매</t>
        </is>
      </c>
      <c r="H9299" s="94" t="n">
        <v>200801</v>
      </c>
      <c r="I9299" s="94" t="n">
        <v>200801</v>
      </c>
      <c r="K9299" s="6" t="n">
        <v>20</v>
      </c>
      <c r="L9299" s="94" t="n">
        <v>200801</v>
      </c>
      <c r="M9299" s="94">
        <f>VLOOKUP($Q9299,매칭테이블!$F:$I,2,0)*K9299</f>
        <v/>
      </c>
      <c r="N9299" s="94">
        <f>M9299-M9299*VLOOKUP($Q9299,매칭테이블!$F:$I,3,0)</f>
        <v/>
      </c>
      <c r="O9299" s="94">
        <f>VLOOKUP($Q9299,매칭테이블!$F:$I,4,0)*K9299</f>
        <v/>
      </c>
      <c r="P9299" s="148">
        <f>M9299/1.1</f>
        <v/>
      </c>
      <c r="Q9299" s="94">
        <f>F9299&amp;E9299&amp;G9299&amp;L9299</f>
        <v/>
      </c>
    </row>
    <row r="9300" customFormat="1" s="94">
      <c r="B9300" s="128" t="n">
        <v>44092</v>
      </c>
      <c r="C9300" s="94">
        <f>TEXT(B9300,"aaa")</f>
        <v/>
      </c>
      <c r="E9300" s="94" t="inlineStr">
        <is>
          <t>토너</t>
        </is>
      </c>
      <c r="F9300" s="94" t="inlineStr">
        <is>
          <t>스타일쉐어</t>
        </is>
      </c>
      <c r="G9300" s="94" t="inlineStr">
        <is>
          <t>250ml</t>
        </is>
      </c>
      <c r="H9300" s="94" t="n">
        <v>200801</v>
      </c>
      <c r="I9300" s="94" t="n">
        <v>200801</v>
      </c>
      <c r="K9300" s="6" t="n">
        <v>3</v>
      </c>
      <c r="L9300" s="94" t="n">
        <v>200801</v>
      </c>
      <c r="M9300" s="94">
        <f>VLOOKUP($Q9300,매칭테이블!$F:$I,2,0)*K9300</f>
        <v/>
      </c>
      <c r="N9300" s="94">
        <f>M9300-M9300*VLOOKUP($Q9300,매칭테이블!$F:$I,3,0)</f>
        <v/>
      </c>
      <c r="O9300" s="94">
        <f>VLOOKUP($Q9300,매칭테이블!$F:$I,4,0)*K9300</f>
        <v/>
      </c>
      <c r="P9300" s="148">
        <f>M9300/1.1</f>
        <v/>
      </c>
      <c r="Q9300" s="94">
        <f>F9300&amp;E9300&amp;G9300&amp;L9300</f>
        <v/>
      </c>
    </row>
    <row r="9301" customFormat="1" s="94">
      <c r="B9301" s="128" t="n">
        <v>44092</v>
      </c>
      <c r="C9301" s="94">
        <f>TEXT(B9301,"aaa")</f>
        <v/>
      </c>
      <c r="E9301" s="94" t="inlineStr">
        <is>
          <t>바디워시</t>
        </is>
      </c>
      <c r="F9301" s="94" t="inlineStr">
        <is>
          <t>아누아 CS</t>
        </is>
      </c>
      <c r="G9301" s="94" t="inlineStr">
        <is>
          <t>바디워시 500ml</t>
        </is>
      </c>
      <c r="H9301" s="94" t="n">
        <v>200801</v>
      </c>
      <c r="I9301" s="94" t="n">
        <v>200801</v>
      </c>
      <c r="K9301" s="6" t="n">
        <v>1</v>
      </c>
      <c r="L9301" s="94" t="n">
        <v>200801</v>
      </c>
      <c r="M9301" s="94">
        <f>VLOOKUP($Q9301,매칭테이블!$F:$I,2,0)*K9301</f>
        <v/>
      </c>
      <c r="N9301" s="94">
        <f>M9301-M9301*VLOOKUP($Q9301,매칭테이블!$F:$I,3,0)</f>
        <v/>
      </c>
      <c r="O9301" s="94">
        <f>VLOOKUP($Q9301,매칭테이블!$F:$I,4,0)*K9301</f>
        <v/>
      </c>
      <c r="P9301" s="148">
        <f>M9301/1.1</f>
        <v/>
      </c>
      <c r="Q9301" s="94">
        <f>F9301&amp;E9301&amp;G9301&amp;L9301</f>
        <v/>
      </c>
    </row>
    <row r="9302" customFormat="1" s="94">
      <c r="B9302" s="128" t="n">
        <v>44092</v>
      </c>
      <c r="C9302" s="94">
        <f>TEXT(B9302,"aaa")</f>
        <v/>
      </c>
      <c r="E9302" s="94" t="inlineStr">
        <is>
          <t>클리어 패드</t>
        </is>
      </c>
      <c r="F9302" s="94" t="inlineStr">
        <is>
          <t>아누아 CS</t>
        </is>
      </c>
      <c r="G9302" s="94" t="inlineStr">
        <is>
          <t>어성초 클리어패드 70P</t>
        </is>
      </c>
      <c r="H9302" s="94" t="n">
        <v>200801</v>
      </c>
      <c r="I9302" s="94" t="n">
        <v>200801</v>
      </c>
      <c r="K9302" s="6" t="n">
        <v>1</v>
      </c>
      <c r="L9302" s="94" t="n">
        <v>200801</v>
      </c>
      <c r="M9302" s="94">
        <f>VLOOKUP($Q9302,매칭테이블!$F:$I,2,0)*K9302</f>
        <v/>
      </c>
      <c r="N9302" s="94">
        <f>M9302-M9302*VLOOKUP($Q9302,매칭테이블!$F:$I,3,0)</f>
        <v/>
      </c>
      <c r="O9302" s="94">
        <f>VLOOKUP($Q9302,매칭테이블!$F:$I,4,0)*K9302</f>
        <v/>
      </c>
      <c r="P9302" s="148">
        <f>M9302/1.1</f>
        <v/>
      </c>
      <c r="Q9302" s="94">
        <f>F9302&amp;E9302&amp;G9302&amp;L9302</f>
        <v/>
      </c>
    </row>
    <row r="9303" customFormat="1" s="94">
      <c r="B9303" s="128" t="n">
        <v>44092</v>
      </c>
      <c r="C9303" s="94">
        <f>TEXT(B9303,"aaa")</f>
        <v/>
      </c>
      <c r="E9303" s="94" t="inlineStr">
        <is>
          <t>토너</t>
        </is>
      </c>
      <c r="F9303" s="94" t="inlineStr">
        <is>
          <t>아누아 CS</t>
        </is>
      </c>
      <c r="G9303" s="94" t="inlineStr">
        <is>
          <t>250ml</t>
        </is>
      </c>
      <c r="H9303" s="94" t="n">
        <v>200801</v>
      </c>
      <c r="I9303" s="94" t="n">
        <v>200801</v>
      </c>
      <c r="K9303" s="6" t="n">
        <v>2</v>
      </c>
      <c r="L9303" s="94" t="n">
        <v>200801</v>
      </c>
      <c r="M9303" s="94">
        <f>VLOOKUP($Q9303,매칭테이블!$F:$I,2,0)*K9303</f>
        <v/>
      </c>
      <c r="N9303" s="94">
        <f>M9303-M9303*VLOOKUP($Q9303,매칭테이블!$F:$I,3,0)</f>
        <v/>
      </c>
      <c r="O9303" s="94">
        <f>VLOOKUP($Q9303,매칭테이블!$F:$I,4,0)*K9303</f>
        <v/>
      </c>
      <c r="P9303" s="148">
        <f>M9303/1.1</f>
        <v/>
      </c>
      <c r="Q9303" s="94">
        <f>F9303&amp;E9303&amp;G9303&amp;L9303</f>
        <v/>
      </c>
    </row>
    <row r="9304" customFormat="1" s="94">
      <c r="B9304" s="128" t="n">
        <v>44092</v>
      </c>
      <c r="C9304" s="94">
        <f>TEXT(B9304,"aaa")</f>
        <v/>
      </c>
      <c r="E9304" s="94" t="inlineStr">
        <is>
          <t>선크림</t>
        </is>
      </c>
      <c r="F9304" s="94" t="inlineStr">
        <is>
          <t>카페24</t>
        </is>
      </c>
      <c r="G9304" s="94" t="inlineStr">
        <is>
          <t>선크림 50ml</t>
        </is>
      </c>
      <c r="H9304" s="94" t="n">
        <v>200801</v>
      </c>
      <c r="I9304" s="94" t="n">
        <v>200801</v>
      </c>
      <c r="K9304" s="6" t="n">
        <v>1</v>
      </c>
      <c r="L9304" s="94" t="n">
        <v>200801</v>
      </c>
      <c r="M9304" s="94">
        <f>VLOOKUP($Q9304,매칭테이블!$F:$I,2,0)*K9304</f>
        <v/>
      </c>
      <c r="N9304" s="94">
        <f>M9304-M9304*VLOOKUP($Q9304,매칭테이블!$F:$I,3,0)</f>
        <v/>
      </c>
      <c r="O9304" s="94">
        <f>VLOOKUP($Q9304,매칭테이블!$F:$I,4,0)*K9304</f>
        <v/>
      </c>
      <c r="P9304" s="148">
        <f>M9304/1.1</f>
        <v/>
      </c>
      <c r="Q9304" s="94">
        <f>F9304&amp;E9304&amp;G9304&amp;L9304</f>
        <v/>
      </c>
    </row>
    <row r="9305" customFormat="1" s="94">
      <c r="B9305" s="128" t="n">
        <v>44092</v>
      </c>
      <c r="C9305" s="94">
        <f>TEXT(B9305,"aaa")</f>
        <v/>
      </c>
      <c r="E9305" s="94" t="inlineStr">
        <is>
          <t>어성초진정패키지</t>
        </is>
      </c>
      <c r="F9305" s="94" t="inlineStr">
        <is>
          <t>카페24</t>
        </is>
      </c>
      <c r="G9305" s="94" t="inlineStr">
        <is>
          <t>어성초 진정패키지세트</t>
        </is>
      </c>
      <c r="H9305" s="94" t="n">
        <v>200801</v>
      </c>
      <c r="I9305" s="94" t="n">
        <v>200801</v>
      </c>
      <c r="K9305" s="6" t="n">
        <v>3</v>
      </c>
      <c r="L9305" s="94" t="n">
        <v>200801</v>
      </c>
      <c r="M9305" s="94">
        <f>VLOOKUP($Q9305,매칭테이블!$F:$I,2,0)*K9305</f>
        <v/>
      </c>
      <c r="N9305" s="94">
        <f>M9305-M9305*VLOOKUP($Q9305,매칭테이블!$F:$I,3,0)</f>
        <v/>
      </c>
      <c r="O9305" s="94">
        <f>VLOOKUP($Q9305,매칭테이블!$F:$I,4,0)*K9305</f>
        <v/>
      </c>
      <c r="P9305" s="148">
        <f>M9305/1.1</f>
        <v/>
      </c>
      <c r="Q9305" s="94">
        <f>F9305&amp;E9305&amp;G9305&amp;L9305</f>
        <v/>
      </c>
    </row>
    <row r="9306" customFormat="1" s="94">
      <c r="B9306" s="128" t="n">
        <v>44092</v>
      </c>
      <c r="C9306" s="94">
        <f>TEXT(B9306,"aaa")</f>
        <v/>
      </c>
      <c r="E9306" s="94" t="inlineStr">
        <is>
          <t>마스크팩</t>
        </is>
      </c>
      <c r="F9306" s="94" t="inlineStr">
        <is>
          <t>카페24</t>
        </is>
      </c>
      <c r="G9306" s="94" t="inlineStr">
        <is>
          <t>마스크팩 1매</t>
        </is>
      </c>
      <c r="H9306" s="94" t="n">
        <v>200801</v>
      </c>
      <c r="I9306" s="94" t="n">
        <v>200801</v>
      </c>
      <c r="K9306" s="6" t="n">
        <v>14</v>
      </c>
      <c r="L9306" s="94" t="n">
        <v>200801</v>
      </c>
      <c r="M9306" s="94">
        <f>VLOOKUP($Q9306,매칭테이블!$F:$I,2,0)*K9306</f>
        <v/>
      </c>
      <c r="N9306" s="94">
        <f>M9306-M9306*VLOOKUP($Q9306,매칭테이블!$F:$I,3,0)</f>
        <v/>
      </c>
      <c r="O9306" s="94">
        <f>VLOOKUP($Q9306,매칭테이블!$F:$I,4,0)*K9306</f>
        <v/>
      </c>
      <c r="P9306" s="148">
        <f>M9306/1.1</f>
        <v/>
      </c>
      <c r="Q9306" s="94">
        <f>F9306&amp;E9306&amp;G9306&amp;L9306</f>
        <v/>
      </c>
    </row>
    <row r="9307" customFormat="1" s="94">
      <c r="B9307" s="128" t="n">
        <v>44092</v>
      </c>
      <c r="C9307" s="94">
        <f>TEXT(B9307,"aaa")</f>
        <v/>
      </c>
      <c r="E9307" s="94" t="inlineStr">
        <is>
          <t>마스크팩</t>
        </is>
      </c>
      <c r="F9307" s="94" t="inlineStr">
        <is>
          <t>카페24</t>
        </is>
      </c>
      <c r="G9307" s="94" t="inlineStr">
        <is>
          <t>마스크팩 10매</t>
        </is>
      </c>
      <c r="H9307" s="94" t="n">
        <v>200801</v>
      </c>
      <c r="I9307" s="94" t="n">
        <v>200801</v>
      </c>
      <c r="K9307" s="6" t="n">
        <v>2</v>
      </c>
      <c r="L9307" s="94" t="n">
        <v>200801</v>
      </c>
      <c r="M9307" s="94">
        <f>VLOOKUP($Q9307,매칭테이블!$F:$I,2,0)*K9307</f>
        <v/>
      </c>
      <c r="N9307" s="94">
        <f>M9307-M9307*VLOOKUP($Q9307,매칭테이블!$F:$I,3,0)</f>
        <v/>
      </c>
      <c r="O9307" s="94">
        <f>VLOOKUP($Q9307,매칭테이블!$F:$I,4,0)*K9307</f>
        <v/>
      </c>
      <c r="P9307" s="148">
        <f>M9307/1.1</f>
        <v/>
      </c>
      <c r="Q9307" s="94">
        <f>F9307&amp;E9307&amp;G9307&amp;L9307</f>
        <v/>
      </c>
    </row>
    <row r="9308" customFormat="1" s="94">
      <c r="B9308" s="128" t="n">
        <v>44092</v>
      </c>
      <c r="C9308" s="94">
        <f>TEXT(B9308,"aaa")</f>
        <v/>
      </c>
      <c r="E9308" s="94" t="inlineStr">
        <is>
          <t>토너</t>
        </is>
      </c>
      <c r="F9308" s="94" t="inlineStr">
        <is>
          <t>카페24</t>
        </is>
      </c>
      <c r="G9308" s="94" t="inlineStr">
        <is>
          <t>250ml</t>
        </is>
      </c>
      <c r="H9308" s="94" t="n">
        <v>200801</v>
      </c>
      <c r="I9308" s="94" t="n">
        <v>200801</v>
      </c>
      <c r="K9308" s="6" t="n">
        <v>46</v>
      </c>
      <c r="L9308" s="94" t="n">
        <v>200801</v>
      </c>
      <c r="M9308" s="94">
        <f>VLOOKUP($Q9308,매칭테이블!$F:$I,2,0)*K9308</f>
        <v/>
      </c>
      <c r="N9308" s="94">
        <f>M9308-M9308*VLOOKUP($Q9308,매칭테이블!$F:$I,3,0)</f>
        <v/>
      </c>
      <c r="O9308" s="94">
        <f>VLOOKUP($Q9308,매칭테이블!$F:$I,4,0)*K9308</f>
        <v/>
      </c>
      <c r="P9308" s="148">
        <f>M9308/1.1</f>
        <v/>
      </c>
      <c r="Q9308" s="94">
        <f>F9308&amp;E9308&amp;G9308&amp;L9308</f>
        <v/>
      </c>
    </row>
    <row r="9309" customFormat="1" s="94">
      <c r="B9309" s="128" t="n">
        <v>44092</v>
      </c>
      <c r="C9309" s="94">
        <f>TEXT(B9309,"aaa")</f>
        <v/>
      </c>
      <c r="E9309" s="94" t="inlineStr">
        <is>
          <t>토너</t>
        </is>
      </c>
      <c r="F9309" s="94" t="inlineStr">
        <is>
          <t>카페24</t>
        </is>
      </c>
      <c r="G9309" s="94" t="inlineStr">
        <is>
          <t>250ml 2set</t>
        </is>
      </c>
      <c r="H9309" s="94" t="n">
        <v>200801</v>
      </c>
      <c r="I9309" s="94" t="n">
        <v>200801</v>
      </c>
      <c r="K9309" s="6" t="n">
        <v>30</v>
      </c>
      <c r="L9309" s="94" t="n">
        <v>200801</v>
      </c>
      <c r="M9309" s="94">
        <f>VLOOKUP($Q9309,매칭테이블!$F:$I,2,0)*K9309</f>
        <v/>
      </c>
      <c r="N9309" s="94">
        <f>M9309-M9309*VLOOKUP($Q9309,매칭테이블!$F:$I,3,0)</f>
        <v/>
      </c>
      <c r="O9309" s="94">
        <f>VLOOKUP($Q9309,매칭테이블!$F:$I,4,0)*K9309</f>
        <v/>
      </c>
      <c r="P9309" s="148">
        <f>M9309/1.1</f>
        <v/>
      </c>
      <c r="Q9309" s="94">
        <f>F9309&amp;E9309&amp;G9309&amp;L9309</f>
        <v/>
      </c>
    </row>
    <row r="9310" customFormat="1" s="94">
      <c r="B9310" s="128" t="n">
        <v>44092</v>
      </c>
      <c r="C9310" s="94">
        <f>TEXT(B9310,"aaa")</f>
        <v/>
      </c>
      <c r="E9310" s="94" t="inlineStr">
        <is>
          <t>토너</t>
        </is>
      </c>
      <c r="F9310" s="94" t="inlineStr">
        <is>
          <t>카페24</t>
        </is>
      </c>
      <c r="G9310" s="94" t="inlineStr">
        <is>
          <t>500ml</t>
        </is>
      </c>
      <c r="H9310" s="94" t="n">
        <v>200801</v>
      </c>
      <c r="I9310" s="94" t="n">
        <v>200801</v>
      </c>
      <c r="K9310" s="6" t="n">
        <v>58</v>
      </c>
      <c r="L9310" s="94" t="n">
        <v>200801</v>
      </c>
      <c r="M9310" s="94">
        <f>VLOOKUP($Q9310,매칭테이블!$F:$I,2,0)*K9310</f>
        <v/>
      </c>
      <c r="N9310" s="94">
        <f>M9310-M9310*VLOOKUP($Q9310,매칭테이블!$F:$I,3,0)</f>
        <v/>
      </c>
      <c r="O9310" s="94">
        <f>VLOOKUP($Q9310,매칭테이블!$F:$I,4,0)*K9310</f>
        <v/>
      </c>
      <c r="P9310" s="148">
        <f>M9310/1.1</f>
        <v/>
      </c>
      <c r="Q9310" s="94">
        <f>F9310&amp;E9310&amp;G9310&amp;L9310</f>
        <v/>
      </c>
    </row>
    <row r="9311" customFormat="1" s="94">
      <c r="B9311" s="128" t="n">
        <v>44092</v>
      </c>
      <c r="C9311" s="94">
        <f>TEXT(B9311,"aaa")</f>
        <v/>
      </c>
      <c r="E9311" s="94" t="inlineStr">
        <is>
          <t>토너</t>
        </is>
      </c>
      <c r="F9311" s="94" t="inlineStr">
        <is>
          <t>카페24</t>
        </is>
      </c>
      <c r="G9311" s="94" t="inlineStr">
        <is>
          <t>스킨팩 화장솜 60P</t>
        </is>
      </c>
      <c r="H9311" s="94" t="n">
        <v>200801</v>
      </c>
      <c r="I9311" s="94" t="n">
        <v>200801</v>
      </c>
      <c r="K9311" s="6" t="n">
        <v>37</v>
      </c>
      <c r="L9311" s="94" t="n">
        <v>200801</v>
      </c>
      <c r="M9311" s="94">
        <f>VLOOKUP($Q9311,매칭테이블!$F:$I,2,0)*K9311</f>
        <v/>
      </c>
      <c r="N9311" s="94">
        <f>M9311-M9311*VLOOKUP($Q9311,매칭테이블!$F:$I,3,0)</f>
        <v/>
      </c>
      <c r="O9311" s="94">
        <f>VLOOKUP($Q9311,매칭테이블!$F:$I,4,0)*K9311</f>
        <v/>
      </c>
      <c r="P9311" s="148">
        <f>M9311/1.1</f>
        <v/>
      </c>
      <c r="Q9311" s="94">
        <f>F9311&amp;E9311&amp;G9311&amp;L9311</f>
        <v/>
      </c>
    </row>
    <row r="9312" customFormat="1" s="94">
      <c r="B9312" s="128" t="n">
        <v>44092</v>
      </c>
      <c r="C9312" s="94">
        <f>TEXT(B9312,"aaa")</f>
        <v/>
      </c>
      <c r="E9312" s="94" t="inlineStr">
        <is>
          <t>앰플</t>
        </is>
      </c>
      <c r="F9312" s="94" t="inlineStr">
        <is>
          <t>카페24</t>
        </is>
      </c>
      <c r="G9312" s="94" t="inlineStr">
        <is>
          <t>앰플 30ml</t>
        </is>
      </c>
      <c r="H9312" s="94" t="n">
        <v>200801</v>
      </c>
      <c r="I9312" s="94" t="n">
        <v>200801</v>
      </c>
      <c r="K9312" s="6" t="n">
        <v>16</v>
      </c>
      <c r="L9312" s="94" t="n">
        <v>200801</v>
      </c>
      <c r="M9312" s="94">
        <f>VLOOKUP($Q9312,매칭테이블!$F:$I,2,0)*K9312</f>
        <v/>
      </c>
      <c r="N9312" s="94">
        <f>M9312-M9312*VLOOKUP($Q9312,매칭테이블!$F:$I,3,0)</f>
        <v/>
      </c>
      <c r="O9312" s="94">
        <f>VLOOKUP($Q9312,매칭테이블!$F:$I,4,0)*K9312</f>
        <v/>
      </c>
      <c r="P9312" s="148">
        <f>M9312/1.1</f>
        <v/>
      </c>
      <c r="Q9312" s="94">
        <f>F9312&amp;E9312&amp;G9312&amp;L9312</f>
        <v/>
      </c>
    </row>
    <row r="9313" customFormat="1" s="94">
      <c r="B9313" s="128" t="n">
        <v>44092</v>
      </c>
      <c r="C9313" s="94">
        <f>TEXT(B9313,"aaa")</f>
        <v/>
      </c>
      <c r="E9313" s="94" t="inlineStr">
        <is>
          <t>앰플</t>
        </is>
      </c>
      <c r="F9313" s="94" t="inlineStr">
        <is>
          <t>카페24</t>
        </is>
      </c>
      <c r="G9313" s="94" t="inlineStr">
        <is>
          <t>앰플 30ml  2set</t>
        </is>
      </c>
      <c r="H9313" s="94" t="n">
        <v>200801</v>
      </c>
      <c r="I9313" s="94" t="n">
        <v>200801</v>
      </c>
      <c r="K9313" s="6" t="n">
        <v>4</v>
      </c>
      <c r="L9313" s="94" t="n">
        <v>200801</v>
      </c>
      <c r="M9313" s="94">
        <f>VLOOKUP($Q9313,매칭테이블!$F:$I,2,0)*K9313</f>
        <v/>
      </c>
      <c r="N9313" s="94">
        <f>M9313-M9313*VLOOKUP($Q9313,매칭테이블!$F:$I,3,0)</f>
        <v/>
      </c>
      <c r="O9313" s="94">
        <f>VLOOKUP($Q9313,매칭테이블!$F:$I,4,0)*K9313</f>
        <v/>
      </c>
      <c r="P9313" s="148">
        <f>M9313/1.1</f>
        <v/>
      </c>
      <c r="Q9313" s="94">
        <f>F9313&amp;E9313&amp;G9313&amp;L9313</f>
        <v/>
      </c>
    </row>
    <row r="9314" customFormat="1" s="94">
      <c r="B9314" s="128" t="n">
        <v>44092</v>
      </c>
      <c r="C9314" s="94">
        <f>TEXT(B9314,"aaa")</f>
        <v/>
      </c>
      <c r="E9314" s="94" t="inlineStr">
        <is>
          <t>수딩크림</t>
        </is>
      </c>
      <c r="F9314" s="94" t="inlineStr">
        <is>
          <t>카페24</t>
        </is>
      </c>
      <c r="G9314" s="94" t="inlineStr">
        <is>
          <t>수딩크림 100ml</t>
        </is>
      </c>
      <c r="H9314" s="94" t="n">
        <v>200801</v>
      </c>
      <c r="I9314" s="94" t="n">
        <v>200801</v>
      </c>
      <c r="K9314" s="6" t="n">
        <v>4</v>
      </c>
      <c r="L9314" s="94" t="n">
        <v>200801</v>
      </c>
      <c r="M9314" s="94">
        <f>VLOOKUP($Q9314,매칭테이블!$F:$I,2,0)*K9314</f>
        <v/>
      </c>
      <c r="N9314" s="94">
        <f>M9314-M9314*VLOOKUP($Q9314,매칭테이블!$F:$I,3,0)</f>
        <v/>
      </c>
      <c r="O9314" s="94">
        <f>VLOOKUP($Q9314,매칭테이블!$F:$I,4,0)*K9314</f>
        <v/>
      </c>
      <c r="P9314" s="148">
        <f>M9314/1.1</f>
        <v/>
      </c>
      <c r="Q9314" s="94">
        <f>F9314&amp;E9314&amp;G9314&amp;L9314</f>
        <v/>
      </c>
    </row>
    <row r="9315" customFormat="1" s="94">
      <c r="B9315" s="128" t="n">
        <v>44092</v>
      </c>
      <c r="C9315" s="94">
        <f>TEXT(B9315,"aaa")</f>
        <v/>
      </c>
      <c r="E9315" s="94" t="inlineStr">
        <is>
          <t>클렌징폼</t>
        </is>
      </c>
      <c r="F9315" s="94" t="inlineStr">
        <is>
          <t>카페24</t>
        </is>
      </c>
      <c r="G9315" s="94" t="inlineStr">
        <is>
          <t>클렌징폼 120ml</t>
        </is>
      </c>
      <c r="H9315" s="94" t="n">
        <v>200801</v>
      </c>
      <c r="I9315" s="94" t="n">
        <v>200801</v>
      </c>
      <c r="K9315" s="6" t="n">
        <v>9</v>
      </c>
      <c r="L9315" s="94" t="n">
        <v>200801</v>
      </c>
      <c r="M9315" s="94">
        <f>VLOOKUP($Q9315,매칭테이블!$F:$I,2,0)*K9315</f>
        <v/>
      </c>
      <c r="N9315" s="94">
        <f>M9315-M9315*VLOOKUP($Q9315,매칭테이블!$F:$I,3,0)</f>
        <v/>
      </c>
      <c r="O9315" s="94">
        <f>VLOOKUP($Q9315,매칭테이블!$F:$I,4,0)*K9315</f>
        <v/>
      </c>
      <c r="P9315" s="148">
        <f>M9315/1.1</f>
        <v/>
      </c>
      <c r="Q9315" s="94">
        <f>F9315&amp;E9315&amp;G9315&amp;L9315</f>
        <v/>
      </c>
    </row>
    <row r="9316" customFormat="1" s="94">
      <c r="B9316" s="128" t="n">
        <v>44092</v>
      </c>
      <c r="C9316" s="94">
        <f>TEXT(B9316,"aaa")</f>
        <v/>
      </c>
      <c r="E9316" s="94" t="inlineStr">
        <is>
          <t>바디워시</t>
        </is>
      </c>
      <c r="F9316" s="94" t="inlineStr">
        <is>
          <t>카페24</t>
        </is>
      </c>
      <c r="G9316" s="94" t="inlineStr">
        <is>
          <t>바디워시 1개 -30% off</t>
        </is>
      </c>
      <c r="H9316" s="94" t="n">
        <v>200801</v>
      </c>
      <c r="I9316" s="94" t="n">
        <v>200801</v>
      </c>
      <c r="K9316" s="6" t="n">
        <v>2</v>
      </c>
      <c r="L9316" s="94" t="n">
        <v>200801</v>
      </c>
      <c r="M9316" s="94">
        <f>VLOOKUP($Q9316,매칭테이블!$F:$I,2,0)*K9316</f>
        <v/>
      </c>
      <c r="N9316" s="94">
        <f>M9316-M9316*VLOOKUP($Q9316,매칭테이블!$F:$I,3,0)</f>
        <v/>
      </c>
      <c r="O9316" s="94">
        <f>VLOOKUP($Q9316,매칭테이블!$F:$I,4,0)*K9316</f>
        <v/>
      </c>
      <c r="P9316" s="148">
        <f>M9316/1.1</f>
        <v/>
      </c>
      <c r="Q9316" s="94">
        <f>F9316&amp;E9316&amp;G9316&amp;L9316</f>
        <v/>
      </c>
    </row>
    <row r="9317" customFormat="1" s="94">
      <c r="B9317" s="128" t="n">
        <v>44092</v>
      </c>
      <c r="C9317" s="94">
        <f>TEXT(B9317,"aaa")</f>
        <v/>
      </c>
      <c r="E9317" s="94" t="inlineStr">
        <is>
          <t>바디워시</t>
        </is>
      </c>
      <c r="F9317" s="94" t="inlineStr">
        <is>
          <t>카페24</t>
        </is>
      </c>
      <c r="G9317" s="94" t="inlineStr">
        <is>
          <t>바디워시 2개 -35% off (무료배송)</t>
        </is>
      </c>
      <c r="H9317" s="94" t="n">
        <v>200801</v>
      </c>
      <c r="I9317" s="94" t="n">
        <v>200801</v>
      </c>
      <c r="K9317" s="6" t="n">
        <v>1</v>
      </c>
      <c r="L9317" s="94" t="n">
        <v>200801</v>
      </c>
      <c r="M9317" s="94">
        <f>VLOOKUP($Q9317,매칭테이블!$F:$I,2,0)*K9317</f>
        <v/>
      </c>
      <c r="N9317" s="94">
        <f>M9317-M9317*VLOOKUP($Q9317,매칭테이블!$F:$I,3,0)</f>
        <v/>
      </c>
      <c r="O9317" s="94">
        <f>VLOOKUP($Q9317,매칭테이블!$F:$I,4,0)*K9317</f>
        <v/>
      </c>
      <c r="P9317" s="148">
        <f>M9317/1.1</f>
        <v/>
      </c>
      <c r="Q9317" s="94">
        <f>F9317&amp;E9317&amp;G9317&amp;L9317</f>
        <v/>
      </c>
    </row>
    <row r="9318" customFormat="1" s="94">
      <c r="B9318" s="128" t="n">
        <v>44092</v>
      </c>
      <c r="C9318" s="94">
        <f>TEXT(B9318,"aaa")</f>
        <v/>
      </c>
      <c r="E9318" s="94" t="inlineStr">
        <is>
          <t>토너</t>
        </is>
      </c>
      <c r="F9318" s="94" t="inlineStr">
        <is>
          <t>큐텐재팬</t>
        </is>
      </c>
      <c r="G9318" s="94" t="inlineStr">
        <is>
          <t>200726=250ml</t>
        </is>
      </c>
      <c r="H9318" s="94" t="n">
        <v>200801</v>
      </c>
      <c r="I9318" s="94" t="n">
        <v>200801</v>
      </c>
      <c r="K9318" s="6" t="n">
        <v>2</v>
      </c>
      <c r="L9318" s="94" t="n">
        <v>200801</v>
      </c>
      <c r="M9318" s="94">
        <f>VLOOKUP($Q9318,매칭테이블!$F:$I,2,0)*K9318</f>
        <v/>
      </c>
      <c r="N9318" s="94">
        <f>M9318-M9318*VLOOKUP($Q9318,매칭테이블!$F:$I,3,0)</f>
        <v/>
      </c>
      <c r="O9318" s="94">
        <f>VLOOKUP($Q9318,매칭테이블!$F:$I,4,0)*K9318</f>
        <v/>
      </c>
      <c r="P9318" s="148">
        <f>M9318/1.1</f>
        <v/>
      </c>
      <c r="Q9318" s="94">
        <f>F9318&amp;E9318&amp;G9318&amp;L9318</f>
        <v/>
      </c>
    </row>
    <row r="9319" customFormat="1" s="94">
      <c r="B9319" s="128" t="n">
        <v>44092</v>
      </c>
      <c r="C9319" s="94">
        <f>TEXT(B9319,"aaa")</f>
        <v/>
      </c>
      <c r="E9319" s="94" t="inlineStr">
        <is>
          <t>토너</t>
        </is>
      </c>
      <c r="F9319" s="94" t="inlineStr">
        <is>
          <t>화해</t>
        </is>
      </c>
      <c r="G9319" s="94" t="inlineStr">
        <is>
          <t>250ml</t>
        </is>
      </c>
      <c r="H9319" s="94" t="n">
        <v>200801</v>
      </c>
      <c r="I9319" s="94" t="n">
        <v>200801</v>
      </c>
      <c r="K9319" s="6" t="n">
        <v>2</v>
      </c>
      <c r="L9319" s="94" t="n">
        <v>200801</v>
      </c>
      <c r="M9319" s="94">
        <f>VLOOKUP($Q9319,매칭테이블!$F:$I,2,0)*K9319</f>
        <v/>
      </c>
      <c r="N9319" s="94">
        <f>M9319-M9319*VLOOKUP($Q9319,매칭테이블!$F:$I,3,0)</f>
        <v/>
      </c>
      <c r="O9319" s="94">
        <f>VLOOKUP($Q9319,매칭테이블!$F:$I,4,0)*K9319</f>
        <v/>
      </c>
      <c r="P9319" s="148">
        <f>M9319/1.1</f>
        <v/>
      </c>
      <c r="Q9319" s="94">
        <f>F9319&amp;E9319&amp;G9319&amp;L9319</f>
        <v/>
      </c>
    </row>
    <row r="9320" customFormat="1" s="94">
      <c r="B9320" s="128" t="n">
        <v>44093</v>
      </c>
      <c r="C9320" s="94">
        <f>TEXT(B9320,"aaa")</f>
        <v/>
      </c>
      <c r="E9320" s="94" t="inlineStr">
        <is>
          <t>토너</t>
        </is>
      </c>
      <c r="F9320" s="94" t="inlineStr">
        <is>
          <t>스타일쉐어</t>
        </is>
      </c>
      <c r="G9320" s="94" t="inlineStr">
        <is>
          <t>250ml</t>
        </is>
      </c>
      <c r="H9320" s="94" t="n">
        <v>200801</v>
      </c>
      <c r="I9320" s="94" t="n">
        <v>200801</v>
      </c>
      <c r="K9320" s="6" t="n">
        <v>2</v>
      </c>
      <c r="L9320" s="94" t="n">
        <v>200801</v>
      </c>
      <c r="M9320" s="94">
        <f>VLOOKUP($Q9320,매칭테이블!$F:$I,2,0)*K9320</f>
        <v/>
      </c>
      <c r="N9320" s="94">
        <f>M9320-M9320*VLOOKUP($Q9320,매칭테이블!$F:$I,3,0)</f>
        <v/>
      </c>
      <c r="O9320" s="94">
        <f>VLOOKUP($Q9320,매칭테이블!$F:$I,4,0)*K9320</f>
        <v/>
      </c>
      <c r="P9320" s="148">
        <f>M9320/1.1</f>
        <v/>
      </c>
      <c r="Q9320" s="94">
        <f>F9320&amp;E9320&amp;G9320&amp;L9320</f>
        <v/>
      </c>
    </row>
    <row r="9321" customFormat="1" s="94">
      <c r="B9321" s="128" t="n">
        <v>44093</v>
      </c>
      <c r="C9321" s="94">
        <f>TEXT(B9321,"aaa")</f>
        <v/>
      </c>
      <c r="E9321" s="94" t="inlineStr">
        <is>
          <t>선크림</t>
        </is>
      </c>
      <c r="F9321" s="94" t="inlineStr">
        <is>
          <t>카페24</t>
        </is>
      </c>
      <c r="G9321" s="94" t="inlineStr">
        <is>
          <t>선크림 50ml</t>
        </is>
      </c>
      <c r="H9321" s="94" t="n">
        <v>200801</v>
      </c>
      <c r="I9321" s="94" t="n">
        <v>200801</v>
      </c>
      <c r="K9321" s="6" t="n">
        <v>1</v>
      </c>
      <c r="L9321" s="94" t="n">
        <v>200801</v>
      </c>
      <c r="M9321" s="94">
        <f>VLOOKUP($Q9321,매칭테이블!$F:$I,2,0)*K9321</f>
        <v/>
      </c>
      <c r="N9321" s="94">
        <f>M9321-M9321*VLOOKUP($Q9321,매칭테이블!$F:$I,3,0)</f>
        <v/>
      </c>
      <c r="O9321" s="94">
        <f>VLOOKUP($Q9321,매칭테이블!$F:$I,4,0)*K9321</f>
        <v/>
      </c>
      <c r="P9321" s="148">
        <f>M9321/1.1</f>
        <v/>
      </c>
      <c r="Q9321" s="94">
        <f>F9321&amp;E9321&amp;G9321&amp;L9321</f>
        <v/>
      </c>
    </row>
    <row r="9322" customFormat="1" s="94">
      <c r="B9322" s="128" t="n">
        <v>44093</v>
      </c>
      <c r="C9322" s="94">
        <f>TEXT(B9322,"aaa")</f>
        <v/>
      </c>
      <c r="E9322" s="94" t="inlineStr">
        <is>
          <t>어성초진정패키지</t>
        </is>
      </c>
      <c r="F9322" s="94" t="inlineStr">
        <is>
          <t>카페24</t>
        </is>
      </c>
      <c r="G9322" s="94" t="inlineStr">
        <is>
          <t>어성초 진정패키지세트</t>
        </is>
      </c>
      <c r="H9322" s="94" t="n">
        <v>200801</v>
      </c>
      <c r="I9322" s="94" t="n">
        <v>200801</v>
      </c>
      <c r="K9322" s="6" t="n">
        <v>2</v>
      </c>
      <c r="L9322" s="94" t="n">
        <v>200801</v>
      </c>
      <c r="M9322" s="94">
        <f>VLOOKUP($Q9322,매칭테이블!$F:$I,2,0)*K9322</f>
        <v/>
      </c>
      <c r="N9322" s="94">
        <f>M9322-M9322*VLOOKUP($Q9322,매칭테이블!$F:$I,3,0)</f>
        <v/>
      </c>
      <c r="O9322" s="94">
        <f>VLOOKUP($Q9322,매칭테이블!$F:$I,4,0)*K9322</f>
        <v/>
      </c>
      <c r="P9322" s="148">
        <f>M9322/1.1</f>
        <v/>
      </c>
      <c r="Q9322" s="94">
        <f>F9322&amp;E9322&amp;G9322&amp;L9322</f>
        <v/>
      </c>
    </row>
    <row r="9323" customFormat="1" s="94">
      <c r="B9323" s="128" t="n">
        <v>44093</v>
      </c>
      <c r="C9323" s="94">
        <f>TEXT(B9323,"aaa")</f>
        <v/>
      </c>
      <c r="E9323" s="94" t="inlineStr">
        <is>
          <t>머드크림마스크</t>
        </is>
      </c>
      <c r="F9323" s="94" t="inlineStr">
        <is>
          <t>카페24</t>
        </is>
      </c>
      <c r="G9323" s="94" t="inlineStr">
        <is>
          <t>머드크림마스크 100ml 2set</t>
        </is>
      </c>
      <c r="H9323" s="94" t="n">
        <v>200801</v>
      </c>
      <c r="I9323" s="94" t="n">
        <v>200801</v>
      </c>
      <c r="K9323" s="6" t="n">
        <v>1</v>
      </c>
      <c r="L9323" s="94" t="n">
        <v>200801</v>
      </c>
      <c r="M9323" s="94">
        <f>VLOOKUP($Q9323,매칭테이블!$F:$I,2,0)*K9323</f>
        <v/>
      </c>
      <c r="N9323" s="94">
        <f>M9323-M9323*VLOOKUP($Q9323,매칭테이블!$F:$I,3,0)</f>
        <v/>
      </c>
      <c r="O9323" s="94">
        <f>VLOOKUP($Q9323,매칭테이블!$F:$I,4,0)*K9323</f>
        <v/>
      </c>
      <c r="P9323" s="148">
        <f>M9323/1.1</f>
        <v/>
      </c>
      <c r="Q9323" s="94">
        <f>F9323&amp;E9323&amp;G9323&amp;L9323</f>
        <v/>
      </c>
    </row>
    <row r="9324" customFormat="1" s="94">
      <c r="B9324" s="128" t="n">
        <v>44093</v>
      </c>
      <c r="C9324" s="94">
        <f>TEXT(B9324,"aaa")</f>
        <v/>
      </c>
      <c r="E9324" s="94" t="inlineStr">
        <is>
          <t>마스크팩</t>
        </is>
      </c>
      <c r="F9324" s="94" t="inlineStr">
        <is>
          <t>카페24</t>
        </is>
      </c>
      <c r="G9324" s="94" t="inlineStr">
        <is>
          <t>마스크팩 1매</t>
        </is>
      </c>
      <c r="H9324" s="94" t="n">
        <v>200801</v>
      </c>
      <c r="I9324" s="94" t="n">
        <v>200801</v>
      </c>
      <c r="K9324" s="6" t="n">
        <v>4</v>
      </c>
      <c r="L9324" s="94" t="n">
        <v>200801</v>
      </c>
      <c r="M9324" s="94">
        <f>VLOOKUP($Q9324,매칭테이블!$F:$I,2,0)*K9324</f>
        <v/>
      </c>
      <c r="N9324" s="94">
        <f>M9324-M9324*VLOOKUP($Q9324,매칭테이블!$F:$I,3,0)</f>
        <v/>
      </c>
      <c r="O9324" s="94">
        <f>VLOOKUP($Q9324,매칭테이블!$F:$I,4,0)*K9324</f>
        <v/>
      </c>
      <c r="P9324" s="148">
        <f>M9324/1.1</f>
        <v/>
      </c>
      <c r="Q9324" s="94">
        <f>F9324&amp;E9324&amp;G9324&amp;L9324</f>
        <v/>
      </c>
    </row>
    <row r="9325" customFormat="1" s="94">
      <c r="B9325" s="128" t="n">
        <v>44093</v>
      </c>
      <c r="C9325" s="94">
        <f>TEXT(B9325,"aaa")</f>
        <v/>
      </c>
      <c r="E9325" s="94" t="inlineStr">
        <is>
          <t>마스크팩</t>
        </is>
      </c>
      <c r="F9325" s="94" t="inlineStr">
        <is>
          <t>카페24</t>
        </is>
      </c>
      <c r="G9325" s="94" t="inlineStr">
        <is>
          <t>마스크팩 10매</t>
        </is>
      </c>
      <c r="H9325" s="94" t="n">
        <v>200801</v>
      </c>
      <c r="I9325" s="94" t="n">
        <v>200801</v>
      </c>
      <c r="K9325" s="6" t="n">
        <v>2</v>
      </c>
      <c r="L9325" s="94" t="n">
        <v>200801</v>
      </c>
      <c r="M9325" s="94">
        <f>VLOOKUP($Q9325,매칭테이블!$F:$I,2,0)*K9325</f>
        <v/>
      </c>
      <c r="N9325" s="94">
        <f>M9325-M9325*VLOOKUP($Q9325,매칭테이블!$F:$I,3,0)</f>
        <v/>
      </c>
      <c r="O9325" s="94">
        <f>VLOOKUP($Q9325,매칭테이블!$F:$I,4,0)*K9325</f>
        <v/>
      </c>
      <c r="P9325" s="148">
        <f>M9325/1.1</f>
        <v/>
      </c>
      <c r="Q9325" s="94">
        <f>F9325&amp;E9325&amp;G9325&amp;L9325</f>
        <v/>
      </c>
    </row>
    <row r="9326" customFormat="1" s="94">
      <c r="B9326" s="128" t="n">
        <v>44093</v>
      </c>
      <c r="C9326" s="94">
        <f>TEXT(B9326,"aaa")</f>
        <v/>
      </c>
      <c r="E9326" s="94" t="inlineStr">
        <is>
          <t>토너</t>
        </is>
      </c>
      <c r="F9326" s="94" t="inlineStr">
        <is>
          <t>카페24</t>
        </is>
      </c>
      <c r="G9326" s="94" t="inlineStr">
        <is>
          <t>250ml</t>
        </is>
      </c>
      <c r="H9326" s="94" t="n">
        <v>200801</v>
      </c>
      <c r="I9326" s="94" t="n">
        <v>200801</v>
      </c>
      <c r="K9326" s="6" t="n">
        <v>31</v>
      </c>
      <c r="L9326" s="94" t="n">
        <v>200801</v>
      </c>
      <c r="M9326" s="94">
        <f>VLOOKUP($Q9326,매칭테이블!$F:$I,2,0)*K9326</f>
        <v/>
      </c>
      <c r="N9326" s="94">
        <f>M9326-M9326*VLOOKUP($Q9326,매칭테이블!$F:$I,3,0)</f>
        <v/>
      </c>
      <c r="O9326" s="94">
        <f>VLOOKUP($Q9326,매칭테이블!$F:$I,4,0)*K9326</f>
        <v/>
      </c>
      <c r="P9326" s="148">
        <f>M9326/1.1</f>
        <v/>
      </c>
      <c r="Q9326" s="94">
        <f>F9326&amp;E9326&amp;G9326&amp;L9326</f>
        <v/>
      </c>
    </row>
    <row r="9327" customFormat="1" s="94">
      <c r="B9327" s="128" t="n">
        <v>44093</v>
      </c>
      <c r="C9327" s="94">
        <f>TEXT(B9327,"aaa")</f>
        <v/>
      </c>
      <c r="E9327" s="94" t="inlineStr">
        <is>
          <t>토너</t>
        </is>
      </c>
      <c r="F9327" s="94" t="inlineStr">
        <is>
          <t>카페24</t>
        </is>
      </c>
      <c r="G9327" s="94" t="inlineStr">
        <is>
          <t>250ml 2set</t>
        </is>
      </c>
      <c r="H9327" s="94" t="n">
        <v>200801</v>
      </c>
      <c r="I9327" s="94" t="n">
        <v>200801</v>
      </c>
      <c r="K9327" s="6" t="n">
        <v>30</v>
      </c>
      <c r="L9327" s="94" t="n">
        <v>200801</v>
      </c>
      <c r="M9327" s="94">
        <f>VLOOKUP($Q9327,매칭테이블!$F:$I,2,0)*K9327</f>
        <v/>
      </c>
      <c r="N9327" s="94">
        <f>M9327-M9327*VLOOKUP($Q9327,매칭테이블!$F:$I,3,0)</f>
        <v/>
      </c>
      <c r="O9327" s="94">
        <f>VLOOKUP($Q9327,매칭테이블!$F:$I,4,0)*K9327</f>
        <v/>
      </c>
      <c r="P9327" s="148">
        <f>M9327/1.1</f>
        <v/>
      </c>
      <c r="Q9327" s="94">
        <f>F9327&amp;E9327&amp;G9327&amp;L9327</f>
        <v/>
      </c>
    </row>
    <row r="9328" customFormat="1" s="94">
      <c r="B9328" s="128" t="n">
        <v>44093</v>
      </c>
      <c r="C9328" s="94">
        <f>TEXT(B9328,"aaa")</f>
        <v/>
      </c>
      <c r="E9328" s="94" t="inlineStr">
        <is>
          <t>토너</t>
        </is>
      </c>
      <c r="F9328" s="94" t="inlineStr">
        <is>
          <t>카페24</t>
        </is>
      </c>
      <c r="G9328" s="94" t="inlineStr">
        <is>
          <t>500ml</t>
        </is>
      </c>
      <c r="H9328" s="94" t="n">
        <v>200801</v>
      </c>
      <c r="I9328" s="94" t="n">
        <v>200801</v>
      </c>
      <c r="K9328" s="6" t="n">
        <v>44</v>
      </c>
      <c r="L9328" s="94" t="n">
        <v>200801</v>
      </c>
      <c r="M9328" s="94">
        <f>VLOOKUP($Q9328,매칭테이블!$F:$I,2,0)*K9328</f>
        <v/>
      </c>
      <c r="N9328" s="94">
        <f>M9328-M9328*VLOOKUP($Q9328,매칭테이블!$F:$I,3,0)</f>
        <v/>
      </c>
      <c r="O9328" s="94">
        <f>VLOOKUP($Q9328,매칭테이블!$F:$I,4,0)*K9328</f>
        <v/>
      </c>
      <c r="P9328" s="148">
        <f>M9328/1.1</f>
        <v/>
      </c>
      <c r="Q9328" s="94">
        <f>F9328&amp;E9328&amp;G9328&amp;L9328</f>
        <v/>
      </c>
    </row>
    <row r="9329" customFormat="1" s="94">
      <c r="B9329" s="128" t="n">
        <v>44093</v>
      </c>
      <c r="C9329" s="94">
        <f>TEXT(B9329,"aaa")</f>
        <v/>
      </c>
      <c r="E9329" s="94" t="inlineStr">
        <is>
          <t>토너</t>
        </is>
      </c>
      <c r="F9329" s="94" t="inlineStr">
        <is>
          <t>카페24</t>
        </is>
      </c>
      <c r="G9329" s="94" t="inlineStr">
        <is>
          <t>스킨팩 화장솜 60P</t>
        </is>
      </c>
      <c r="H9329" s="94" t="n">
        <v>200801</v>
      </c>
      <c r="I9329" s="94" t="n">
        <v>200801</v>
      </c>
      <c r="K9329" s="6" t="n">
        <v>33</v>
      </c>
      <c r="L9329" s="94" t="n">
        <v>200801</v>
      </c>
      <c r="M9329" s="94">
        <f>VLOOKUP($Q9329,매칭테이블!$F:$I,2,0)*K9329</f>
        <v/>
      </c>
      <c r="N9329" s="94">
        <f>M9329-M9329*VLOOKUP($Q9329,매칭테이블!$F:$I,3,0)</f>
        <v/>
      </c>
      <c r="O9329" s="94">
        <f>VLOOKUP($Q9329,매칭테이블!$F:$I,4,0)*K9329</f>
        <v/>
      </c>
      <c r="P9329" s="148">
        <f>M9329/1.1</f>
        <v/>
      </c>
      <c r="Q9329" s="94">
        <f>F9329&amp;E9329&amp;G9329&amp;L9329</f>
        <v/>
      </c>
    </row>
    <row r="9330" customFormat="1" s="94">
      <c r="B9330" s="128" t="n">
        <v>44093</v>
      </c>
      <c r="C9330" s="94">
        <f>TEXT(B9330,"aaa")</f>
        <v/>
      </c>
      <c r="E9330" s="94" t="inlineStr">
        <is>
          <t>앰플</t>
        </is>
      </c>
      <c r="F9330" s="94" t="inlineStr">
        <is>
          <t>카페24</t>
        </is>
      </c>
      <c r="G9330" s="94" t="inlineStr">
        <is>
          <t>앰플 30ml</t>
        </is>
      </c>
      <c r="H9330" s="94" t="n">
        <v>200801</v>
      </c>
      <c r="I9330" s="94" t="n">
        <v>200801</v>
      </c>
      <c r="K9330" s="6" t="n">
        <v>10</v>
      </c>
      <c r="L9330" s="94" t="n">
        <v>200801</v>
      </c>
      <c r="M9330" s="94">
        <f>VLOOKUP($Q9330,매칭테이블!$F:$I,2,0)*K9330</f>
        <v/>
      </c>
      <c r="N9330" s="94">
        <f>M9330-M9330*VLOOKUP($Q9330,매칭테이블!$F:$I,3,0)</f>
        <v/>
      </c>
      <c r="O9330" s="94">
        <f>VLOOKUP($Q9330,매칭테이블!$F:$I,4,0)*K9330</f>
        <v/>
      </c>
      <c r="P9330" s="148">
        <f>M9330/1.1</f>
        <v/>
      </c>
      <c r="Q9330" s="94">
        <f>F9330&amp;E9330&amp;G9330&amp;L9330</f>
        <v/>
      </c>
    </row>
    <row r="9331" customFormat="1" s="94">
      <c r="B9331" s="128" t="n">
        <v>44093</v>
      </c>
      <c r="C9331" s="94">
        <f>TEXT(B9331,"aaa")</f>
        <v/>
      </c>
      <c r="E9331" s="94" t="inlineStr">
        <is>
          <t>수딩크림</t>
        </is>
      </c>
      <c r="F9331" s="94" t="inlineStr">
        <is>
          <t>카페24</t>
        </is>
      </c>
      <c r="G9331" s="94" t="inlineStr">
        <is>
          <t>수딩크림 100ml</t>
        </is>
      </c>
      <c r="H9331" s="94" t="n">
        <v>200801</v>
      </c>
      <c r="I9331" s="94" t="n">
        <v>200801</v>
      </c>
      <c r="K9331" s="6" t="n">
        <v>7</v>
      </c>
      <c r="L9331" s="94" t="n">
        <v>200801</v>
      </c>
      <c r="M9331" s="94">
        <f>VLOOKUP($Q9331,매칭테이블!$F:$I,2,0)*K9331</f>
        <v/>
      </c>
      <c r="N9331" s="94">
        <f>M9331-M9331*VLOOKUP($Q9331,매칭테이블!$F:$I,3,0)</f>
        <v/>
      </c>
      <c r="O9331" s="94">
        <f>VLOOKUP($Q9331,매칭테이블!$F:$I,4,0)*K9331</f>
        <v/>
      </c>
      <c r="P9331" s="148">
        <f>M9331/1.1</f>
        <v/>
      </c>
      <c r="Q9331" s="94">
        <f>F9331&amp;E9331&amp;G9331&amp;L9331</f>
        <v/>
      </c>
    </row>
    <row r="9332" customFormat="1" s="94">
      <c r="B9332" s="128" t="n">
        <v>44093</v>
      </c>
      <c r="C9332" s="94">
        <f>TEXT(B9332,"aaa")</f>
        <v/>
      </c>
      <c r="E9332" s="94" t="inlineStr">
        <is>
          <t>클렌징폼</t>
        </is>
      </c>
      <c r="F9332" s="94" t="inlineStr">
        <is>
          <t>카페24</t>
        </is>
      </c>
      <c r="G9332" s="94" t="inlineStr">
        <is>
          <t>클렌징폼 120ml</t>
        </is>
      </c>
      <c r="H9332" s="94" t="n">
        <v>200801</v>
      </c>
      <c r="I9332" s="94" t="n">
        <v>200801</v>
      </c>
      <c r="K9332" s="6" t="n">
        <v>1</v>
      </c>
      <c r="L9332" s="94" t="n">
        <v>200801</v>
      </c>
      <c r="M9332" s="94">
        <f>VLOOKUP($Q9332,매칭테이블!$F:$I,2,0)*K9332</f>
        <v/>
      </c>
      <c r="N9332" s="94">
        <f>M9332-M9332*VLOOKUP($Q9332,매칭테이블!$F:$I,3,0)</f>
        <v/>
      </c>
      <c r="O9332" s="94">
        <f>VLOOKUP($Q9332,매칭테이블!$F:$I,4,0)*K9332</f>
        <v/>
      </c>
      <c r="P9332" s="148">
        <f>M9332/1.1</f>
        <v/>
      </c>
      <c r="Q9332" s="94">
        <f>F9332&amp;E9332&amp;G9332&amp;L9332</f>
        <v/>
      </c>
    </row>
    <row r="9333" customFormat="1" s="94">
      <c r="B9333" s="128" t="n">
        <v>44093</v>
      </c>
      <c r="C9333" s="94">
        <f>TEXT(B9333,"aaa")</f>
        <v/>
      </c>
      <c r="E9333" s="94" t="inlineStr">
        <is>
          <t>바디워시</t>
        </is>
      </c>
      <c r="F9333" s="94" t="inlineStr">
        <is>
          <t>카페24</t>
        </is>
      </c>
      <c r="G9333" s="94" t="inlineStr">
        <is>
          <t>바디워시 1개 -30% off</t>
        </is>
      </c>
      <c r="H9333" s="94" t="n">
        <v>200801</v>
      </c>
      <c r="I9333" s="94" t="n">
        <v>200801</v>
      </c>
      <c r="K9333" s="6" t="n">
        <v>2</v>
      </c>
      <c r="L9333" s="94" t="n">
        <v>200801</v>
      </c>
      <c r="M9333" s="94">
        <f>VLOOKUP($Q9333,매칭테이블!$F:$I,2,0)*K9333</f>
        <v/>
      </c>
      <c r="N9333" s="94">
        <f>M9333-M9333*VLOOKUP($Q9333,매칭테이블!$F:$I,3,0)</f>
        <v/>
      </c>
      <c r="O9333" s="94">
        <f>VLOOKUP($Q9333,매칭테이블!$F:$I,4,0)*K9333</f>
        <v/>
      </c>
      <c r="P9333" s="148">
        <f>M9333/1.1</f>
        <v/>
      </c>
      <c r="Q9333" s="94">
        <f>F9333&amp;E9333&amp;G9333&amp;L9333</f>
        <v/>
      </c>
    </row>
    <row r="9334" customFormat="1" s="94">
      <c r="B9334" s="128" t="n">
        <v>44093</v>
      </c>
      <c r="C9334" s="94">
        <f>TEXT(B9334,"aaa")</f>
        <v/>
      </c>
      <c r="E9334" s="94" t="inlineStr">
        <is>
          <t>바디워시</t>
        </is>
      </c>
      <c r="F9334" s="94" t="inlineStr">
        <is>
          <t>카페24</t>
        </is>
      </c>
      <c r="G9334" s="94" t="inlineStr">
        <is>
          <t>바디워시 2개 -35% off (무료배송)</t>
        </is>
      </c>
      <c r="H9334" s="94" t="n">
        <v>200801</v>
      </c>
      <c r="I9334" s="94" t="n">
        <v>200801</v>
      </c>
      <c r="K9334" s="6" t="n">
        <v>1</v>
      </c>
      <c r="L9334" s="94" t="n">
        <v>200801</v>
      </c>
      <c r="M9334" s="94">
        <f>VLOOKUP($Q9334,매칭테이블!$F:$I,2,0)*K9334</f>
        <v/>
      </c>
      <c r="N9334" s="94">
        <f>M9334-M9334*VLOOKUP($Q9334,매칭테이블!$F:$I,3,0)</f>
        <v/>
      </c>
      <c r="O9334" s="94">
        <f>VLOOKUP($Q9334,매칭테이블!$F:$I,4,0)*K9334</f>
        <v/>
      </c>
      <c r="P9334" s="148">
        <f>M9334/1.1</f>
        <v/>
      </c>
      <c r="Q9334" s="94">
        <f>F9334&amp;E9334&amp;G9334&amp;L9334</f>
        <v/>
      </c>
    </row>
    <row r="9335" customFormat="1" s="94">
      <c r="B9335" s="128" t="n">
        <v>44093</v>
      </c>
      <c r="C9335" s="94">
        <f>TEXT(B9335,"aaa")</f>
        <v/>
      </c>
      <c r="E9335" s="94" t="inlineStr">
        <is>
          <t>토너</t>
        </is>
      </c>
      <c r="F9335" s="94" t="inlineStr">
        <is>
          <t>화해</t>
        </is>
      </c>
      <c r="G9335" s="94" t="inlineStr">
        <is>
          <t>250ml</t>
        </is>
      </c>
      <c r="H9335" s="94" t="n">
        <v>200801</v>
      </c>
      <c r="I9335" s="94" t="n">
        <v>200801</v>
      </c>
      <c r="K9335" s="6" t="n">
        <v>7</v>
      </c>
      <c r="L9335" s="94" t="n">
        <v>200801</v>
      </c>
      <c r="M9335" s="94">
        <f>VLOOKUP($Q9335,매칭테이블!$F:$I,2,0)*K9335</f>
        <v/>
      </c>
      <c r="N9335" s="94">
        <f>M9335-M9335*VLOOKUP($Q9335,매칭테이블!$F:$I,3,0)</f>
        <v/>
      </c>
      <c r="O9335" s="94">
        <f>VLOOKUP($Q9335,매칭테이블!$F:$I,4,0)*K9335</f>
        <v/>
      </c>
      <c r="P9335" s="148">
        <f>M9335/1.1</f>
        <v/>
      </c>
      <c r="Q9335" s="94">
        <f>F9335&amp;E9335&amp;G9335&amp;L9335</f>
        <v/>
      </c>
    </row>
    <row r="9336" customFormat="1" s="94">
      <c r="B9336" s="128" t="n">
        <v>44093</v>
      </c>
      <c r="C9336" s="94">
        <f>TEXT(B9336,"aaa")</f>
        <v/>
      </c>
      <c r="E9336" s="94" t="inlineStr">
        <is>
          <t>머드크림마스크</t>
        </is>
      </c>
      <c r="F9336" s="94" t="inlineStr">
        <is>
          <t>화해</t>
        </is>
      </c>
      <c r="G9336" s="94" t="inlineStr">
        <is>
          <t>머드크림마스크 100ml</t>
        </is>
      </c>
      <c r="H9336" s="94" t="n">
        <v>200801</v>
      </c>
      <c r="I9336" s="94" t="n">
        <v>200801</v>
      </c>
      <c r="K9336" s="6" t="n">
        <v>1</v>
      </c>
      <c r="L9336" s="94" t="n">
        <v>200801</v>
      </c>
      <c r="M9336" s="94">
        <f>VLOOKUP($Q9336,매칭테이블!$F:$I,2,0)*K9336</f>
        <v/>
      </c>
      <c r="N9336" s="94">
        <f>M9336-M9336*VLOOKUP($Q9336,매칭테이블!$F:$I,3,0)</f>
        <v/>
      </c>
      <c r="O9336" s="94">
        <f>VLOOKUP($Q9336,매칭테이블!$F:$I,4,0)*K9336</f>
        <v/>
      </c>
      <c r="P9336" s="148">
        <f>M9336/1.1</f>
        <v/>
      </c>
      <c r="Q9336" s="94">
        <f>F9336&amp;E9336&amp;G9336&amp;L9336</f>
        <v/>
      </c>
    </row>
    <row r="9337" customFormat="1" s="94">
      <c r="B9337" s="128" t="n">
        <v>44093</v>
      </c>
      <c r="C9337" s="94">
        <f>TEXT(B9337,"aaa")</f>
        <v/>
      </c>
      <c r="E9337" s="94" t="inlineStr">
        <is>
          <t>선크림</t>
        </is>
      </c>
      <c r="F9337" s="94" t="inlineStr">
        <is>
          <t>화해</t>
        </is>
      </c>
      <c r="G9337" s="94" t="inlineStr">
        <is>
          <t>선크림 50ml</t>
        </is>
      </c>
      <c r="H9337" s="94" t="n">
        <v>200801</v>
      </c>
      <c r="I9337" s="94" t="n">
        <v>200801</v>
      </c>
      <c r="K9337" s="6" t="n">
        <v>1</v>
      </c>
      <c r="L9337" s="94" t="n">
        <v>200801</v>
      </c>
      <c r="M9337" s="94">
        <f>VLOOKUP($Q9337,매칭테이블!$F:$I,2,0)*K9337</f>
        <v/>
      </c>
      <c r="N9337" s="94">
        <f>M9337-M9337*VLOOKUP($Q9337,매칭테이블!$F:$I,3,0)</f>
        <v/>
      </c>
      <c r="O9337" s="94">
        <f>VLOOKUP($Q9337,매칭테이블!$F:$I,4,0)*K9337</f>
        <v/>
      </c>
      <c r="P9337" s="148">
        <f>M9337/1.1</f>
        <v/>
      </c>
      <c r="Q9337" s="94">
        <f>F9337&amp;E9337&amp;G9337&amp;L9337</f>
        <v/>
      </c>
    </row>
    <row r="9338" customFormat="1" s="94">
      <c r="B9338" s="128" t="n">
        <v>44094</v>
      </c>
      <c r="C9338" s="94">
        <f>TEXT(B9338,"aaa")</f>
        <v/>
      </c>
      <c r="E9338" s="94" t="inlineStr">
        <is>
          <t>토너</t>
        </is>
      </c>
      <c r="F9338" s="94" t="inlineStr">
        <is>
          <t>스타일쉐어</t>
        </is>
      </c>
      <c r="G9338" s="94" t="inlineStr">
        <is>
          <t>250ml</t>
        </is>
      </c>
      <c r="H9338" s="94" t="n">
        <v>200801</v>
      </c>
      <c r="I9338" s="94" t="n">
        <v>200801</v>
      </c>
      <c r="K9338" s="6" t="n">
        <v>5</v>
      </c>
      <c r="L9338" s="94" t="n">
        <v>200801</v>
      </c>
      <c r="M9338" s="94">
        <f>VLOOKUP($Q9338,매칭테이블!$F:$I,2,0)*K9338</f>
        <v/>
      </c>
      <c r="N9338" s="94">
        <f>M9338-M9338*VLOOKUP($Q9338,매칭테이블!$F:$I,3,0)</f>
        <v/>
      </c>
      <c r="O9338" s="94">
        <f>VLOOKUP($Q9338,매칭테이블!$F:$I,4,0)*K9338</f>
        <v/>
      </c>
      <c r="P9338" s="148">
        <f>M9338/1.1</f>
        <v/>
      </c>
      <c r="Q9338" s="94">
        <f>F9338&amp;E9338&amp;G9338&amp;L9338</f>
        <v/>
      </c>
    </row>
    <row r="9339" customFormat="1" s="94">
      <c r="B9339" s="128" t="n">
        <v>44094</v>
      </c>
      <c r="C9339" s="94">
        <f>TEXT(B9339,"aaa")</f>
        <v/>
      </c>
      <c r="E9339" s="94" t="inlineStr">
        <is>
          <t>선크림</t>
        </is>
      </c>
      <c r="F9339" s="94" t="inlineStr">
        <is>
          <t>카페24</t>
        </is>
      </c>
      <c r="G9339" s="94" t="inlineStr">
        <is>
          <t>선크림 50ml</t>
        </is>
      </c>
      <c r="H9339" s="94" t="n">
        <v>200801</v>
      </c>
      <c r="I9339" s="94" t="n">
        <v>200801</v>
      </c>
      <c r="K9339" s="6" t="n">
        <v>1</v>
      </c>
      <c r="L9339" s="94" t="n">
        <v>200801</v>
      </c>
      <c r="M9339" s="94">
        <f>VLOOKUP($Q9339,매칭테이블!$F:$I,2,0)*K9339</f>
        <v/>
      </c>
      <c r="N9339" s="94">
        <f>M9339-M9339*VLOOKUP($Q9339,매칭테이블!$F:$I,3,0)</f>
        <v/>
      </c>
      <c r="O9339" s="94">
        <f>VLOOKUP($Q9339,매칭테이블!$F:$I,4,0)*K9339</f>
        <v/>
      </c>
      <c r="P9339" s="148">
        <f>M9339/1.1</f>
        <v/>
      </c>
      <c r="Q9339" s="94">
        <f>F9339&amp;E9339&amp;G9339&amp;L9339</f>
        <v/>
      </c>
    </row>
    <row r="9340" customFormat="1" s="94">
      <c r="B9340" s="128" t="n">
        <v>44094</v>
      </c>
      <c r="C9340" s="94">
        <f>TEXT(B9340,"aaa")</f>
        <v/>
      </c>
      <c r="E9340" s="94" t="inlineStr">
        <is>
          <t>선크림</t>
        </is>
      </c>
      <c r="F9340" s="94" t="inlineStr">
        <is>
          <t>카페24</t>
        </is>
      </c>
      <c r="G9340" s="94" t="inlineStr">
        <is>
          <t>선크림 50ml  2set</t>
        </is>
      </c>
      <c r="H9340" s="94" t="n">
        <v>200801</v>
      </c>
      <c r="I9340" s="94" t="n">
        <v>200801</v>
      </c>
      <c r="K9340" s="6" t="n">
        <v>1</v>
      </c>
      <c r="L9340" s="94" t="n">
        <v>200801</v>
      </c>
      <c r="M9340" s="94">
        <f>VLOOKUP($Q9340,매칭테이블!$F:$I,2,0)*K9340</f>
        <v/>
      </c>
      <c r="N9340" s="94">
        <f>M9340-M9340*VLOOKUP($Q9340,매칭테이블!$F:$I,3,0)</f>
        <v/>
      </c>
      <c r="O9340" s="94">
        <f>VLOOKUP($Q9340,매칭테이블!$F:$I,4,0)*K9340</f>
        <v/>
      </c>
      <c r="P9340" s="148">
        <f>M9340/1.1</f>
        <v/>
      </c>
      <c r="Q9340" s="94">
        <f>F9340&amp;E9340&amp;G9340&amp;L9340</f>
        <v/>
      </c>
    </row>
    <row r="9341" customFormat="1" s="94">
      <c r="B9341" s="128" t="n">
        <v>44094</v>
      </c>
      <c r="C9341" s="94">
        <f>TEXT(B9341,"aaa")</f>
        <v/>
      </c>
      <c r="E9341" s="94" t="inlineStr">
        <is>
          <t>어성초진정패키지</t>
        </is>
      </c>
      <c r="F9341" s="94" t="inlineStr">
        <is>
          <t>카페24</t>
        </is>
      </c>
      <c r="G9341" s="94" t="inlineStr">
        <is>
          <t>어성초 진정패키지세트</t>
        </is>
      </c>
      <c r="H9341" s="94" t="n">
        <v>200801</v>
      </c>
      <c r="I9341" s="94" t="n">
        <v>200801</v>
      </c>
      <c r="K9341" s="6" t="n">
        <v>3</v>
      </c>
      <c r="L9341" s="94" t="n">
        <v>200801</v>
      </c>
      <c r="M9341" s="94">
        <f>VLOOKUP($Q9341,매칭테이블!$F:$I,2,0)*K9341</f>
        <v/>
      </c>
      <c r="N9341" s="94">
        <f>M9341-M9341*VLOOKUP($Q9341,매칭테이블!$F:$I,3,0)</f>
        <v/>
      </c>
      <c r="O9341" s="94">
        <f>VLOOKUP($Q9341,매칭테이블!$F:$I,4,0)*K9341</f>
        <v/>
      </c>
      <c r="P9341" s="148">
        <f>M9341/1.1</f>
        <v/>
      </c>
      <c r="Q9341" s="94">
        <f>F9341&amp;E9341&amp;G9341&amp;L9341</f>
        <v/>
      </c>
    </row>
    <row r="9342" customFormat="1" s="94">
      <c r="B9342" s="128" t="n">
        <v>44094</v>
      </c>
      <c r="C9342" s="94">
        <f>TEXT(B9342,"aaa")</f>
        <v/>
      </c>
      <c r="E9342" s="94" t="inlineStr">
        <is>
          <t>토너+패드 세트</t>
        </is>
      </c>
      <c r="F9342" s="94" t="inlineStr">
        <is>
          <t>카페24</t>
        </is>
      </c>
      <c r="G9342" s="94" t="inlineStr">
        <is>
          <t>[플친단독할인] 좁쌀 진정 세트 토너+클리어 패드-30% off</t>
        </is>
      </c>
      <c r="H9342" s="94" t="n">
        <v>200801</v>
      </c>
      <c r="I9342" s="94" t="n">
        <v>200801</v>
      </c>
      <c r="K9342" s="6" t="n">
        <v>1</v>
      </c>
      <c r="L9342" s="94" t="n">
        <v>200801</v>
      </c>
      <c r="M9342" s="94">
        <f>VLOOKUP($Q9342,매칭테이블!$F:$I,2,0)*K9342</f>
        <v/>
      </c>
      <c r="N9342" s="94">
        <f>M9342-M9342*VLOOKUP($Q9342,매칭테이블!$F:$I,3,0)</f>
        <v/>
      </c>
      <c r="O9342" s="94">
        <f>VLOOKUP($Q9342,매칭테이블!$F:$I,4,0)*K9342</f>
        <v/>
      </c>
      <c r="P9342" s="148">
        <f>M9342/1.1</f>
        <v/>
      </c>
      <c r="Q9342" s="94">
        <f>F9342&amp;E9342&amp;G9342&amp;L9342</f>
        <v/>
      </c>
    </row>
    <row r="9343" customFormat="1" s="94">
      <c r="B9343" s="128" t="n">
        <v>44094</v>
      </c>
      <c r="C9343" s="94">
        <f>TEXT(B9343,"aaa")</f>
        <v/>
      </c>
      <c r="E9343" s="94" t="inlineStr">
        <is>
          <t>머드크림마스크</t>
        </is>
      </c>
      <c r="F9343" s="94" t="inlineStr">
        <is>
          <t>카페24</t>
        </is>
      </c>
      <c r="G9343" s="94" t="inlineStr">
        <is>
          <t>머드크림마스크 100ml 2set</t>
        </is>
      </c>
      <c r="H9343" s="94" t="n">
        <v>200801</v>
      </c>
      <c r="I9343" s="94" t="n">
        <v>200801</v>
      </c>
      <c r="K9343" s="6" t="n">
        <v>1</v>
      </c>
      <c r="L9343" s="94" t="n">
        <v>200801</v>
      </c>
      <c r="M9343" s="94">
        <f>VLOOKUP($Q9343,매칭테이블!$F:$I,2,0)*K9343</f>
        <v/>
      </c>
      <c r="N9343" s="94">
        <f>M9343-M9343*VLOOKUP($Q9343,매칭테이블!$F:$I,3,0)</f>
        <v/>
      </c>
      <c r="O9343" s="94">
        <f>VLOOKUP($Q9343,매칭테이블!$F:$I,4,0)*K9343</f>
        <v/>
      </c>
      <c r="P9343" s="148">
        <f>M9343/1.1</f>
        <v/>
      </c>
      <c r="Q9343" s="94">
        <f>F9343&amp;E9343&amp;G9343&amp;L9343</f>
        <v/>
      </c>
    </row>
    <row r="9344" customFormat="1" s="94">
      <c r="B9344" s="128" t="n">
        <v>44094</v>
      </c>
      <c r="C9344" s="94">
        <f>TEXT(B9344,"aaa")</f>
        <v/>
      </c>
      <c r="E9344" s="94" t="inlineStr">
        <is>
          <t>마스크팩</t>
        </is>
      </c>
      <c r="F9344" s="94" t="inlineStr">
        <is>
          <t>카페24</t>
        </is>
      </c>
      <c r="G9344" s="94" t="inlineStr">
        <is>
          <t>마스크팩 1매</t>
        </is>
      </c>
      <c r="H9344" s="94" t="n">
        <v>200801</v>
      </c>
      <c r="I9344" s="94" t="n">
        <v>200801</v>
      </c>
      <c r="K9344" s="6" t="n">
        <v>6</v>
      </c>
      <c r="L9344" s="94" t="n">
        <v>200801</v>
      </c>
      <c r="M9344" s="94">
        <f>VLOOKUP($Q9344,매칭테이블!$F:$I,2,0)*K9344</f>
        <v/>
      </c>
      <c r="N9344" s="94">
        <f>M9344-M9344*VLOOKUP($Q9344,매칭테이블!$F:$I,3,0)</f>
        <v/>
      </c>
      <c r="O9344" s="94">
        <f>VLOOKUP($Q9344,매칭테이블!$F:$I,4,0)*K9344</f>
        <v/>
      </c>
      <c r="P9344" s="148">
        <f>M9344/1.1</f>
        <v/>
      </c>
      <c r="Q9344" s="94">
        <f>F9344&amp;E9344&amp;G9344&amp;L9344</f>
        <v/>
      </c>
    </row>
    <row r="9345" customFormat="1" s="94">
      <c r="B9345" s="128" t="n">
        <v>44094</v>
      </c>
      <c r="C9345" s="94">
        <f>TEXT(B9345,"aaa")</f>
        <v/>
      </c>
      <c r="E9345" s="94" t="inlineStr">
        <is>
          <t>마스크팩</t>
        </is>
      </c>
      <c r="F9345" s="94" t="inlineStr">
        <is>
          <t>카페24</t>
        </is>
      </c>
      <c r="G9345" s="94" t="inlineStr">
        <is>
          <t>마스크팩 10매</t>
        </is>
      </c>
      <c r="H9345" s="94" t="n">
        <v>200801</v>
      </c>
      <c r="I9345" s="94" t="n">
        <v>200801</v>
      </c>
      <c r="K9345" s="6" t="n">
        <v>3</v>
      </c>
      <c r="L9345" s="94" t="n">
        <v>200801</v>
      </c>
      <c r="M9345" s="94">
        <f>VLOOKUP($Q9345,매칭테이블!$F:$I,2,0)*K9345</f>
        <v/>
      </c>
      <c r="N9345" s="94">
        <f>M9345-M9345*VLOOKUP($Q9345,매칭테이블!$F:$I,3,0)</f>
        <v/>
      </c>
      <c r="O9345" s="94">
        <f>VLOOKUP($Q9345,매칭테이블!$F:$I,4,0)*K9345</f>
        <v/>
      </c>
      <c r="P9345" s="148">
        <f>M9345/1.1</f>
        <v/>
      </c>
      <c r="Q9345" s="94">
        <f>F9345&amp;E9345&amp;G9345&amp;L9345</f>
        <v/>
      </c>
    </row>
    <row r="9346" customFormat="1" s="94">
      <c r="B9346" s="128" t="n">
        <v>44094</v>
      </c>
      <c r="C9346" s="94">
        <f>TEXT(B9346,"aaa")</f>
        <v/>
      </c>
      <c r="E9346" s="94" t="inlineStr">
        <is>
          <t>토너</t>
        </is>
      </c>
      <c r="F9346" s="94" t="inlineStr">
        <is>
          <t>카페24</t>
        </is>
      </c>
      <c r="G9346" s="94" t="inlineStr">
        <is>
          <t>250ml</t>
        </is>
      </c>
      <c r="H9346" s="94" t="n">
        <v>200801</v>
      </c>
      <c r="I9346" s="94" t="n">
        <v>200801</v>
      </c>
      <c r="K9346" s="6" t="n">
        <v>45</v>
      </c>
      <c r="L9346" s="94" t="n">
        <v>200801</v>
      </c>
      <c r="M9346" s="94">
        <f>VLOOKUP($Q9346,매칭테이블!$F:$I,2,0)*K9346</f>
        <v/>
      </c>
      <c r="N9346" s="94">
        <f>M9346-M9346*VLOOKUP($Q9346,매칭테이블!$F:$I,3,0)</f>
        <v/>
      </c>
      <c r="O9346" s="94">
        <f>VLOOKUP($Q9346,매칭테이블!$F:$I,4,0)*K9346</f>
        <v/>
      </c>
      <c r="P9346" s="148">
        <f>M9346/1.1</f>
        <v/>
      </c>
      <c r="Q9346" s="94">
        <f>F9346&amp;E9346&amp;G9346&amp;L9346</f>
        <v/>
      </c>
    </row>
    <row r="9347" customFormat="1" s="94">
      <c r="B9347" s="128" t="n">
        <v>44094</v>
      </c>
      <c r="C9347" s="94">
        <f>TEXT(B9347,"aaa")</f>
        <v/>
      </c>
      <c r="E9347" s="94" t="inlineStr">
        <is>
          <t>토너</t>
        </is>
      </c>
      <c r="F9347" s="94" t="inlineStr">
        <is>
          <t>카페24</t>
        </is>
      </c>
      <c r="G9347" s="94" t="inlineStr">
        <is>
          <t>250ml 2set</t>
        </is>
      </c>
      <c r="H9347" s="94" t="n">
        <v>200801</v>
      </c>
      <c r="I9347" s="94" t="n">
        <v>200801</v>
      </c>
      <c r="K9347" s="6" t="n">
        <v>36</v>
      </c>
      <c r="L9347" s="94" t="n">
        <v>200801</v>
      </c>
      <c r="M9347" s="94">
        <f>VLOOKUP($Q9347,매칭테이블!$F:$I,2,0)*K9347</f>
        <v/>
      </c>
      <c r="N9347" s="94">
        <f>M9347-M9347*VLOOKUP($Q9347,매칭테이블!$F:$I,3,0)</f>
        <v/>
      </c>
      <c r="O9347" s="94">
        <f>VLOOKUP($Q9347,매칭테이블!$F:$I,4,0)*K9347</f>
        <v/>
      </c>
      <c r="P9347" s="148">
        <f>M9347/1.1</f>
        <v/>
      </c>
      <c r="Q9347" s="94">
        <f>F9347&amp;E9347&amp;G9347&amp;L9347</f>
        <v/>
      </c>
    </row>
    <row r="9348" customFormat="1" s="94">
      <c r="B9348" s="128" t="n">
        <v>44094</v>
      </c>
      <c r="C9348" s="94">
        <f>TEXT(B9348,"aaa")</f>
        <v/>
      </c>
      <c r="E9348" s="94" t="inlineStr">
        <is>
          <t>토너</t>
        </is>
      </c>
      <c r="F9348" s="94" t="inlineStr">
        <is>
          <t>카페24</t>
        </is>
      </c>
      <c r="G9348" s="94" t="inlineStr">
        <is>
          <t>500ml</t>
        </is>
      </c>
      <c r="H9348" s="94" t="n">
        <v>200801</v>
      </c>
      <c r="I9348" s="94" t="n">
        <v>200801</v>
      </c>
      <c r="K9348" s="6" t="n">
        <v>50</v>
      </c>
      <c r="L9348" s="94" t="n">
        <v>200801</v>
      </c>
      <c r="M9348" s="94">
        <f>VLOOKUP($Q9348,매칭테이블!$F:$I,2,0)*K9348</f>
        <v/>
      </c>
      <c r="N9348" s="94">
        <f>M9348-M9348*VLOOKUP($Q9348,매칭테이블!$F:$I,3,0)</f>
        <v/>
      </c>
      <c r="O9348" s="94">
        <f>VLOOKUP($Q9348,매칭테이블!$F:$I,4,0)*K9348</f>
        <v/>
      </c>
      <c r="P9348" s="148">
        <f>M9348/1.1</f>
        <v/>
      </c>
      <c r="Q9348" s="94">
        <f>F9348&amp;E9348&amp;G9348&amp;L9348</f>
        <v/>
      </c>
    </row>
    <row r="9349" customFormat="1" s="94">
      <c r="B9349" s="128" t="n">
        <v>44094</v>
      </c>
      <c r="C9349" s="94">
        <f>TEXT(B9349,"aaa")</f>
        <v/>
      </c>
      <c r="E9349" s="94" t="inlineStr">
        <is>
          <t>토너</t>
        </is>
      </c>
      <c r="F9349" s="94" t="inlineStr">
        <is>
          <t>카페24</t>
        </is>
      </c>
      <c r="G9349" s="94" t="inlineStr">
        <is>
          <t>스킨팩 화장솜 60P</t>
        </is>
      </c>
      <c r="H9349" s="94" t="n">
        <v>200801</v>
      </c>
      <c r="I9349" s="94" t="n">
        <v>200801</v>
      </c>
      <c r="K9349" s="6" t="n">
        <v>36</v>
      </c>
      <c r="L9349" s="94" t="n">
        <v>200801</v>
      </c>
      <c r="M9349" s="94">
        <f>VLOOKUP($Q9349,매칭테이블!$F:$I,2,0)*K9349</f>
        <v/>
      </c>
      <c r="N9349" s="94">
        <f>M9349-M9349*VLOOKUP($Q9349,매칭테이블!$F:$I,3,0)</f>
        <v/>
      </c>
      <c r="O9349" s="94">
        <f>VLOOKUP($Q9349,매칭테이블!$F:$I,4,0)*K9349</f>
        <v/>
      </c>
      <c r="P9349" s="148">
        <f>M9349/1.1</f>
        <v/>
      </c>
      <c r="Q9349" s="94">
        <f>F9349&amp;E9349&amp;G9349&amp;L9349</f>
        <v/>
      </c>
    </row>
    <row r="9350" customFormat="1" s="94">
      <c r="B9350" s="128" t="n">
        <v>44094</v>
      </c>
      <c r="C9350" s="94">
        <f>TEXT(B9350,"aaa")</f>
        <v/>
      </c>
      <c r="E9350" s="94" t="inlineStr">
        <is>
          <t>앰플</t>
        </is>
      </c>
      <c r="F9350" s="94" t="inlineStr">
        <is>
          <t>카페24</t>
        </is>
      </c>
      <c r="G9350" s="94" t="inlineStr">
        <is>
          <t>앰플 30ml</t>
        </is>
      </c>
      <c r="H9350" s="94" t="n">
        <v>200801</v>
      </c>
      <c r="I9350" s="94" t="n">
        <v>200801</v>
      </c>
      <c r="K9350" s="6" t="n">
        <v>17</v>
      </c>
      <c r="L9350" s="94" t="n">
        <v>200801</v>
      </c>
      <c r="M9350" s="94">
        <f>VLOOKUP($Q9350,매칭테이블!$F:$I,2,0)*K9350</f>
        <v/>
      </c>
      <c r="N9350" s="94">
        <f>M9350-M9350*VLOOKUP($Q9350,매칭테이블!$F:$I,3,0)</f>
        <v/>
      </c>
      <c r="O9350" s="94">
        <f>VLOOKUP($Q9350,매칭테이블!$F:$I,4,0)*K9350</f>
        <v/>
      </c>
      <c r="P9350" s="148">
        <f>M9350/1.1</f>
        <v/>
      </c>
      <c r="Q9350" s="94">
        <f>F9350&amp;E9350&amp;G9350&amp;L9350</f>
        <v/>
      </c>
    </row>
    <row r="9351" customFormat="1" s="94">
      <c r="B9351" s="128" t="n">
        <v>44094</v>
      </c>
      <c r="C9351" s="94">
        <f>TEXT(B9351,"aaa")</f>
        <v/>
      </c>
      <c r="E9351" s="94" t="inlineStr">
        <is>
          <t>앰플</t>
        </is>
      </c>
      <c r="F9351" s="94" t="inlineStr">
        <is>
          <t>카페24</t>
        </is>
      </c>
      <c r="G9351" s="94" t="inlineStr">
        <is>
          <t>앰플 30ml  2set</t>
        </is>
      </c>
      <c r="H9351" s="94" t="n">
        <v>200801</v>
      </c>
      <c r="I9351" s="94" t="n">
        <v>200801</v>
      </c>
      <c r="K9351" s="6" t="n">
        <v>1</v>
      </c>
      <c r="L9351" s="94" t="n">
        <v>200801</v>
      </c>
      <c r="M9351" s="94">
        <f>VLOOKUP($Q9351,매칭테이블!$F:$I,2,0)*K9351</f>
        <v/>
      </c>
      <c r="N9351" s="94">
        <f>M9351-M9351*VLOOKUP($Q9351,매칭테이블!$F:$I,3,0)</f>
        <v/>
      </c>
      <c r="O9351" s="94">
        <f>VLOOKUP($Q9351,매칭테이블!$F:$I,4,0)*K9351</f>
        <v/>
      </c>
      <c r="P9351" s="148">
        <f>M9351/1.1</f>
        <v/>
      </c>
      <c r="Q9351" s="94">
        <f>F9351&amp;E9351&amp;G9351&amp;L9351</f>
        <v/>
      </c>
    </row>
    <row r="9352" customFormat="1" s="94">
      <c r="B9352" s="128" t="n">
        <v>44094</v>
      </c>
      <c r="C9352" s="94">
        <f>TEXT(B9352,"aaa")</f>
        <v/>
      </c>
      <c r="E9352" s="94" t="inlineStr">
        <is>
          <t>수딩크림</t>
        </is>
      </c>
      <c r="F9352" s="94" t="inlineStr">
        <is>
          <t>카페24</t>
        </is>
      </c>
      <c r="G9352" s="94" t="inlineStr">
        <is>
          <t>수딩크림 100ml</t>
        </is>
      </c>
      <c r="H9352" s="94" t="n">
        <v>200801</v>
      </c>
      <c r="I9352" s="94" t="n">
        <v>200801</v>
      </c>
      <c r="K9352" s="6" t="n">
        <v>10</v>
      </c>
      <c r="L9352" s="94" t="n">
        <v>200801</v>
      </c>
      <c r="M9352" s="94">
        <f>VLOOKUP($Q9352,매칭테이블!$F:$I,2,0)*K9352</f>
        <v/>
      </c>
      <c r="N9352" s="94">
        <f>M9352-M9352*VLOOKUP($Q9352,매칭테이블!$F:$I,3,0)</f>
        <v/>
      </c>
      <c r="O9352" s="94">
        <f>VLOOKUP($Q9352,매칭테이블!$F:$I,4,0)*K9352</f>
        <v/>
      </c>
      <c r="P9352" s="148">
        <f>M9352/1.1</f>
        <v/>
      </c>
      <c r="Q9352" s="94">
        <f>F9352&amp;E9352&amp;G9352&amp;L9352</f>
        <v/>
      </c>
    </row>
    <row r="9353" customFormat="1" s="94">
      <c r="B9353" s="128" t="n">
        <v>44094</v>
      </c>
      <c r="C9353" s="94">
        <f>TEXT(B9353,"aaa")</f>
        <v/>
      </c>
      <c r="E9353" s="94" t="inlineStr">
        <is>
          <t>클렌징폼</t>
        </is>
      </c>
      <c r="F9353" s="94" t="inlineStr">
        <is>
          <t>카페24</t>
        </is>
      </c>
      <c r="G9353" s="94" t="inlineStr">
        <is>
          <t>클렌징폼 120ml</t>
        </is>
      </c>
      <c r="H9353" s="94" t="n">
        <v>200801</v>
      </c>
      <c r="I9353" s="94" t="n">
        <v>200801</v>
      </c>
      <c r="K9353" s="6" t="n">
        <v>4</v>
      </c>
      <c r="L9353" s="94" t="n">
        <v>200801</v>
      </c>
      <c r="M9353" s="94">
        <f>VLOOKUP($Q9353,매칭테이블!$F:$I,2,0)*K9353</f>
        <v/>
      </c>
      <c r="N9353" s="94">
        <f>M9353-M9353*VLOOKUP($Q9353,매칭테이블!$F:$I,3,0)</f>
        <v/>
      </c>
      <c r="O9353" s="94">
        <f>VLOOKUP($Q9353,매칭테이블!$F:$I,4,0)*K9353</f>
        <v/>
      </c>
      <c r="P9353" s="148">
        <f>M9353/1.1</f>
        <v/>
      </c>
      <c r="Q9353" s="94">
        <f>F9353&amp;E9353&amp;G9353&amp;L9353</f>
        <v/>
      </c>
    </row>
    <row r="9354" customFormat="1" s="94">
      <c r="B9354" s="128" t="n">
        <v>44094</v>
      </c>
      <c r="C9354" s="94">
        <f>TEXT(B9354,"aaa")</f>
        <v/>
      </c>
      <c r="E9354" s="94" t="inlineStr">
        <is>
          <t>클렌징폼</t>
        </is>
      </c>
      <c r="F9354" s="94" t="inlineStr">
        <is>
          <t>카페24</t>
        </is>
      </c>
      <c r="G9354" s="94" t="inlineStr">
        <is>
          <t>클렌징폼 120ml 2set</t>
        </is>
      </c>
      <c r="H9354" s="94" t="n">
        <v>200801</v>
      </c>
      <c r="I9354" s="94" t="n">
        <v>200801</v>
      </c>
      <c r="K9354" s="6" t="n">
        <v>1</v>
      </c>
      <c r="L9354" s="94" t="n">
        <v>200801</v>
      </c>
      <c r="M9354" s="94">
        <f>VLOOKUP($Q9354,매칭테이블!$F:$I,2,0)*K9354</f>
        <v/>
      </c>
      <c r="N9354" s="94">
        <f>M9354-M9354*VLOOKUP($Q9354,매칭테이블!$F:$I,3,0)</f>
        <v/>
      </c>
      <c r="O9354" s="94">
        <f>VLOOKUP($Q9354,매칭테이블!$F:$I,4,0)*K9354</f>
        <v/>
      </c>
      <c r="P9354" s="148">
        <f>M9354/1.1</f>
        <v/>
      </c>
      <c r="Q9354" s="94">
        <f>F9354&amp;E9354&amp;G9354&amp;L9354</f>
        <v/>
      </c>
    </row>
    <row r="9355" customFormat="1" s="94">
      <c r="B9355" s="128" t="n">
        <v>44094</v>
      </c>
      <c r="C9355" s="94">
        <f>TEXT(B9355,"aaa")</f>
        <v/>
      </c>
      <c r="E9355" s="94" t="inlineStr">
        <is>
          <t>클렌징폼</t>
        </is>
      </c>
      <c r="F9355" s="94" t="inlineStr">
        <is>
          <t>카페24</t>
        </is>
      </c>
      <c r="G9355" s="94" t="inlineStr">
        <is>
          <t>클렌징폼 120ml 3set</t>
        </is>
      </c>
      <c r="H9355" s="94" t="n">
        <v>200801</v>
      </c>
      <c r="I9355" s="94" t="n">
        <v>200801</v>
      </c>
      <c r="K9355" s="6" t="n">
        <v>2</v>
      </c>
      <c r="L9355" s="94" t="n">
        <v>200801</v>
      </c>
      <c r="M9355" s="94">
        <f>VLOOKUP($Q9355,매칭테이블!$F:$I,2,0)*K9355</f>
        <v/>
      </c>
      <c r="N9355" s="94">
        <f>M9355-M9355*VLOOKUP($Q9355,매칭테이블!$F:$I,3,0)</f>
        <v/>
      </c>
      <c r="O9355" s="94">
        <f>VLOOKUP($Q9355,매칭테이블!$F:$I,4,0)*K9355</f>
        <v/>
      </c>
      <c r="P9355" s="148">
        <f>M9355/1.1</f>
        <v/>
      </c>
      <c r="Q9355" s="94">
        <f>F9355&amp;E9355&amp;G9355&amp;L9355</f>
        <v/>
      </c>
    </row>
    <row r="9356" customFormat="1" s="94">
      <c r="B9356" s="128" t="n">
        <v>44094</v>
      </c>
      <c r="C9356" s="94">
        <f>TEXT(B9356,"aaa")</f>
        <v/>
      </c>
      <c r="E9356" s="94" t="inlineStr">
        <is>
          <t>바디워시</t>
        </is>
      </c>
      <c r="F9356" s="94" t="inlineStr">
        <is>
          <t>카페24</t>
        </is>
      </c>
      <c r="G9356" s="94" t="inlineStr">
        <is>
          <t>바디워시 1개 -30% off</t>
        </is>
      </c>
      <c r="H9356" s="94" t="n">
        <v>200801</v>
      </c>
      <c r="I9356" s="94" t="n">
        <v>200801</v>
      </c>
      <c r="K9356" s="6" t="n">
        <v>1</v>
      </c>
      <c r="L9356" s="94" t="n">
        <v>200801</v>
      </c>
      <c r="M9356" s="94">
        <f>VLOOKUP($Q9356,매칭테이블!$F:$I,2,0)*K9356</f>
        <v/>
      </c>
      <c r="N9356" s="94">
        <f>M9356-M9356*VLOOKUP($Q9356,매칭테이블!$F:$I,3,0)</f>
        <v/>
      </c>
      <c r="O9356" s="94">
        <f>VLOOKUP($Q9356,매칭테이블!$F:$I,4,0)*K9356</f>
        <v/>
      </c>
      <c r="P9356" s="148">
        <f>M9356/1.1</f>
        <v/>
      </c>
      <c r="Q9356" s="94">
        <f>F9356&amp;E9356&amp;G9356&amp;L9356</f>
        <v/>
      </c>
    </row>
    <row r="9357" customFormat="1" s="94">
      <c r="B9357" s="128" t="n">
        <v>44094</v>
      </c>
      <c r="C9357" s="94">
        <f>TEXT(B9357,"aaa")</f>
        <v/>
      </c>
      <c r="E9357" s="94" t="inlineStr">
        <is>
          <t>토너</t>
        </is>
      </c>
      <c r="F9357" s="94" t="inlineStr">
        <is>
          <t>화해</t>
        </is>
      </c>
      <c r="G9357" s="94" t="inlineStr">
        <is>
          <t>250ml</t>
        </is>
      </c>
      <c r="H9357" s="94" t="n">
        <v>200801</v>
      </c>
      <c r="I9357" s="94" t="n">
        <v>200801</v>
      </c>
      <c r="K9357" s="6" t="n">
        <v>8</v>
      </c>
      <c r="L9357" s="94" t="n">
        <v>200801</v>
      </c>
      <c r="M9357" s="94">
        <f>VLOOKUP($Q9357,매칭테이블!$F:$I,2,0)*K9357</f>
        <v/>
      </c>
      <c r="N9357" s="94">
        <f>M9357-M9357*VLOOKUP($Q9357,매칭테이블!$F:$I,3,0)</f>
        <v/>
      </c>
      <c r="O9357" s="94">
        <f>VLOOKUP($Q9357,매칭테이블!$F:$I,4,0)*K9357</f>
        <v/>
      </c>
      <c r="P9357" s="148">
        <f>M9357/1.1</f>
        <v/>
      </c>
      <c r="Q9357" s="94">
        <f>F9357&amp;E9357&amp;G9357&amp;L9357</f>
        <v/>
      </c>
    </row>
    <row r="9358" customFormat="1" s="94">
      <c r="B9358" s="128" t="n">
        <v>44094</v>
      </c>
      <c r="C9358" s="94">
        <f>TEXT(B9358,"aaa")</f>
        <v/>
      </c>
      <c r="E9358" s="94" t="inlineStr">
        <is>
          <t>토너</t>
        </is>
      </c>
      <c r="F9358" s="94" t="inlineStr">
        <is>
          <t>랄라블라</t>
        </is>
      </c>
      <c r="G9358" s="94" t="inlineStr">
        <is>
          <t>250ml</t>
        </is>
      </c>
      <c r="H9358" s="94" t="n">
        <v>200801</v>
      </c>
      <c r="I9358" s="94" t="n">
        <v>200801</v>
      </c>
      <c r="K9358" s="6" t="n">
        <v>936</v>
      </c>
      <c r="L9358" s="94" t="n">
        <v>200801</v>
      </c>
      <c r="M9358" s="94">
        <f>VLOOKUP($Q9358,매칭테이블!$F:$I,2,0)*K9358</f>
        <v/>
      </c>
      <c r="N9358" s="94">
        <f>M9358-M9358*VLOOKUP($Q9358,매칭테이블!$F:$I,3,0)</f>
        <v/>
      </c>
      <c r="O9358" s="94">
        <f>VLOOKUP($Q9358,매칭테이블!$F:$I,4,0)*K9358</f>
        <v/>
      </c>
      <c r="P9358" s="148">
        <f>M9358/1.1</f>
        <v/>
      </c>
      <c r="Q9358" s="94">
        <f>F9358&amp;E9358&amp;G9358&amp;L9358</f>
        <v/>
      </c>
    </row>
    <row r="9359" customFormat="1" s="94">
      <c r="B9359" s="128" t="n">
        <v>44094</v>
      </c>
      <c r="C9359" s="94">
        <f>TEXT(B9359,"aaa")</f>
        <v/>
      </c>
      <c r="E9359" s="94" t="inlineStr">
        <is>
          <t>토너</t>
        </is>
      </c>
      <c r="F9359" s="94" t="inlineStr">
        <is>
          <t>랄라블라</t>
        </is>
      </c>
      <c r="G9359" s="94" t="inlineStr">
        <is>
          <t>500ml</t>
        </is>
      </c>
      <c r="H9359" s="94" t="n">
        <v>200801</v>
      </c>
      <c r="I9359" s="94" t="n">
        <v>200801</v>
      </c>
      <c r="K9359" s="6" t="n">
        <v>3</v>
      </c>
      <c r="L9359" s="94" t="n">
        <v>200801</v>
      </c>
      <c r="M9359" s="94">
        <f>VLOOKUP($Q9359,매칭테이블!$F:$I,2,0)*K9359</f>
        <v/>
      </c>
      <c r="N9359" s="94">
        <f>M9359-M9359*VLOOKUP($Q9359,매칭테이블!$F:$I,3,0)</f>
        <v/>
      </c>
      <c r="O9359" s="94">
        <f>VLOOKUP($Q9359,매칭테이블!$F:$I,4,0)*K9359</f>
        <v/>
      </c>
      <c r="P9359" s="148">
        <f>M9359/1.1</f>
        <v/>
      </c>
      <c r="Q9359" s="94">
        <f>F9359&amp;E9359&amp;G9359&amp;L9359</f>
        <v/>
      </c>
    </row>
    <row r="9360" customFormat="1" s="94">
      <c r="B9360" s="128" t="n">
        <v>44094</v>
      </c>
      <c r="C9360" s="94">
        <f>TEXT(B9360,"aaa")</f>
        <v/>
      </c>
      <c r="E9360" s="94" t="inlineStr">
        <is>
          <t>마스크팩</t>
        </is>
      </c>
      <c r="F9360" s="94" t="inlineStr">
        <is>
          <t>랄라블라</t>
        </is>
      </c>
      <c r="G9360" s="94" t="inlineStr">
        <is>
          <t>마스크팩 1매</t>
        </is>
      </c>
      <c r="H9360" s="94" t="n">
        <v>200801</v>
      </c>
      <c r="I9360" s="94" t="n">
        <v>200801</v>
      </c>
      <c r="K9360" s="6" t="n">
        <v>401</v>
      </c>
      <c r="L9360" s="94" t="n">
        <v>200801</v>
      </c>
      <c r="M9360" s="94">
        <f>VLOOKUP($Q9360,매칭테이블!$F:$I,2,0)*K9360</f>
        <v/>
      </c>
      <c r="N9360" s="94">
        <f>M9360-M9360*VLOOKUP($Q9360,매칭테이블!$F:$I,3,0)</f>
        <v/>
      </c>
      <c r="O9360" s="94">
        <f>VLOOKUP($Q9360,매칭테이블!$F:$I,4,0)*K9360</f>
        <v/>
      </c>
      <c r="P9360" s="148">
        <f>M9360/1.1</f>
        <v/>
      </c>
      <c r="Q9360" s="94">
        <f>F9360&amp;E9360&amp;G9360&amp;L9360</f>
        <v/>
      </c>
    </row>
    <row r="9361" customFormat="1" s="94">
      <c r="B9361" s="128" t="n">
        <v>44094</v>
      </c>
      <c r="C9361" s="94">
        <f>TEXT(B9361,"aaa")</f>
        <v/>
      </c>
      <c r="E9361" s="94" t="inlineStr">
        <is>
          <t>수딩크림 증정기획</t>
        </is>
      </c>
      <c r="F9361" s="94" t="inlineStr">
        <is>
          <t>랄라블라</t>
        </is>
      </c>
      <c r="G9361" s="94" t="inlineStr">
        <is>
          <t>수딩크림 증정기획</t>
        </is>
      </c>
      <c r="H9361" s="94" t="n">
        <v>200801</v>
      </c>
      <c r="I9361" s="94" t="n">
        <v>200801</v>
      </c>
      <c r="K9361" s="6" t="n">
        <v>38</v>
      </c>
      <c r="L9361" s="94" t="n">
        <v>200801</v>
      </c>
      <c r="M9361" s="94">
        <f>VLOOKUP($Q9361,매칭테이블!$F:$I,2,0)*K9361</f>
        <v/>
      </c>
      <c r="N9361" s="94">
        <f>M9361-M9361*VLOOKUP($Q9361,매칭테이블!$F:$I,3,0)</f>
        <v/>
      </c>
      <c r="O9361" s="94">
        <f>VLOOKUP($Q9361,매칭테이블!$F:$I,4,0)*K9361</f>
        <v/>
      </c>
      <c r="P9361" s="148">
        <f>M9361/1.1</f>
        <v/>
      </c>
      <c r="Q9361" s="94">
        <f>F9361&amp;E9361&amp;G9361&amp;L9361</f>
        <v/>
      </c>
    </row>
    <row r="9362" customFormat="1" s="94">
      <c r="B9362" s="128" t="n">
        <v>44094</v>
      </c>
      <c r="C9362" s="94">
        <f>TEXT(B9362,"aaa")</f>
        <v/>
      </c>
      <c r="E9362" s="94" t="inlineStr">
        <is>
          <t>수딩크림</t>
        </is>
      </c>
      <c r="F9362" s="94" t="inlineStr">
        <is>
          <t>랄라블라</t>
        </is>
      </c>
      <c r="G9362" s="94" t="inlineStr">
        <is>
          <t>수딩크림 100ml</t>
        </is>
      </c>
      <c r="H9362" s="94" t="n">
        <v>200801</v>
      </c>
      <c r="I9362" s="94" t="n">
        <v>200801</v>
      </c>
      <c r="K9362" s="6" t="n">
        <v>63</v>
      </c>
      <c r="L9362" s="94" t="n">
        <v>200801</v>
      </c>
      <c r="M9362" s="94">
        <f>VLOOKUP($Q9362,매칭테이블!$F:$I,2,0)*K9362</f>
        <v/>
      </c>
      <c r="N9362" s="94">
        <f>M9362-M9362*VLOOKUP($Q9362,매칭테이블!$F:$I,3,0)</f>
        <v/>
      </c>
      <c r="O9362" s="94">
        <f>VLOOKUP($Q9362,매칭테이블!$F:$I,4,0)*K9362</f>
        <v/>
      </c>
      <c r="P9362" s="148">
        <f>M9362/1.1</f>
        <v/>
      </c>
      <c r="Q9362" s="94">
        <f>F9362&amp;E9362&amp;G9362&amp;L9362</f>
        <v/>
      </c>
    </row>
    <row r="9363" customFormat="1" s="94">
      <c r="B9363" s="128" t="n">
        <v>44094</v>
      </c>
      <c r="C9363" s="94">
        <f>TEXT(B9363,"aaa")</f>
        <v/>
      </c>
      <c r="E9363" s="94" t="inlineStr">
        <is>
          <t>앰플 기획세트</t>
        </is>
      </c>
      <c r="F9363" s="94" t="inlineStr">
        <is>
          <t>랄라블라</t>
        </is>
      </c>
      <c r="G9363" s="94" t="inlineStr">
        <is>
          <t>앰플 기획세트</t>
        </is>
      </c>
      <c r="H9363" s="94" t="n">
        <v>200801</v>
      </c>
      <c r="I9363" s="94" t="n">
        <v>200801</v>
      </c>
      <c r="K9363" s="6" t="n">
        <v>139</v>
      </c>
      <c r="L9363" s="94" t="n">
        <v>200801</v>
      </c>
      <c r="M9363" s="94">
        <f>VLOOKUP($Q9363,매칭테이블!$F:$I,2,0)*K9363</f>
        <v/>
      </c>
      <c r="N9363" s="94">
        <f>M9363-M9363*VLOOKUP($Q9363,매칭테이블!$F:$I,3,0)</f>
        <v/>
      </c>
      <c r="O9363" s="94">
        <f>VLOOKUP($Q9363,매칭테이블!$F:$I,4,0)*K9363</f>
        <v/>
      </c>
      <c r="P9363" s="148">
        <f>M9363/1.1</f>
        <v/>
      </c>
      <c r="Q9363" s="94">
        <f>F9363&amp;E9363&amp;G9363&amp;L9363</f>
        <v/>
      </c>
    </row>
    <row r="9364" customFormat="1" s="94">
      <c r="B9364" s="128" t="n">
        <v>44094</v>
      </c>
      <c r="C9364" s="94">
        <f>TEXT(B9364,"aaa")</f>
        <v/>
      </c>
      <c r="E9364" s="94" t="inlineStr">
        <is>
          <t>클렌징폼 기획세트</t>
        </is>
      </c>
      <c r="F9364" s="94" t="inlineStr">
        <is>
          <t>랄라블라</t>
        </is>
      </c>
      <c r="G9364" s="94" t="inlineStr">
        <is>
          <t>클렌징폼 기획세트</t>
        </is>
      </c>
      <c r="H9364" s="94" t="n">
        <v>200801</v>
      </c>
      <c r="I9364" s="94" t="n">
        <v>200801</v>
      </c>
      <c r="K9364" s="6" t="n">
        <v>12</v>
      </c>
      <c r="L9364" s="94" t="n">
        <v>200801</v>
      </c>
      <c r="M9364" s="94">
        <f>VLOOKUP($Q9364,매칭테이블!$F:$I,2,0)*K9364</f>
        <v/>
      </c>
      <c r="N9364" s="94">
        <f>M9364-M9364*VLOOKUP($Q9364,매칭테이블!$F:$I,3,0)</f>
        <v/>
      </c>
      <c r="O9364" s="94">
        <f>VLOOKUP($Q9364,매칭테이블!$F:$I,4,0)*K9364</f>
        <v/>
      </c>
      <c r="P9364" s="148">
        <f>M9364/1.1</f>
        <v/>
      </c>
      <c r="Q9364" s="94">
        <f>F9364&amp;E9364&amp;G9364&amp;L9364</f>
        <v/>
      </c>
    </row>
    <row r="9365" customFormat="1" s="94">
      <c r="B9365" s="128" t="n">
        <v>44094</v>
      </c>
      <c r="C9365" s="94">
        <f>TEXT(B9365,"aaa")</f>
        <v/>
      </c>
      <c r="E9365" s="94" t="inlineStr">
        <is>
          <t>토너 기획세트</t>
        </is>
      </c>
      <c r="F9365" s="94" t="inlineStr">
        <is>
          <t>랄라블라</t>
        </is>
      </c>
      <c r="G9365" s="94" t="inlineStr">
        <is>
          <t>토너 기획세트</t>
        </is>
      </c>
      <c r="H9365" s="94" t="n">
        <v>200801</v>
      </c>
      <c r="I9365" s="94" t="n">
        <v>200801</v>
      </c>
      <c r="K9365" s="6" t="n">
        <v>1</v>
      </c>
      <c r="L9365" s="94" t="n">
        <v>200801</v>
      </c>
      <c r="M9365" s="94">
        <f>VLOOKUP($Q9365,매칭테이블!$F:$I,2,0)*K9365</f>
        <v/>
      </c>
      <c r="N9365" s="94">
        <f>M9365-M9365*VLOOKUP($Q9365,매칭테이블!$F:$I,3,0)</f>
        <v/>
      </c>
      <c r="O9365" s="94">
        <f>VLOOKUP($Q9365,매칭테이블!$F:$I,4,0)*K9365</f>
        <v/>
      </c>
      <c r="P9365" s="148">
        <f>M9365/1.1</f>
        <v/>
      </c>
      <c r="Q9365" s="94">
        <f>F9365&amp;E9365&amp;G9365&amp;L9365</f>
        <v/>
      </c>
    </row>
    <row r="9366" customFormat="1" s="94">
      <c r="B9366" s="128" t="n">
        <v>44094</v>
      </c>
      <c r="C9366" s="94">
        <f>TEXT(B9366,"aaa")</f>
        <v/>
      </c>
      <c r="E9366" s="94" t="inlineStr">
        <is>
          <t>클렌징폼</t>
        </is>
      </c>
      <c r="F9366" s="94" t="inlineStr">
        <is>
          <t>랄라블라</t>
        </is>
      </c>
      <c r="G9366" s="94" t="inlineStr">
        <is>
          <t>클렌징폼 120ml</t>
        </is>
      </c>
      <c r="H9366" s="94" t="n">
        <v>200801</v>
      </c>
      <c r="I9366" s="94" t="n">
        <v>200801</v>
      </c>
      <c r="K9366" s="6" t="n">
        <v>55</v>
      </c>
      <c r="L9366" s="94" t="n">
        <v>200801</v>
      </c>
      <c r="M9366" s="94">
        <f>VLOOKUP($Q9366,매칭테이블!$F:$I,2,0)*K9366</f>
        <v/>
      </c>
      <c r="N9366" s="94">
        <f>M9366-M9366*VLOOKUP($Q9366,매칭테이블!$F:$I,3,0)</f>
        <v/>
      </c>
      <c r="O9366" s="94">
        <f>VLOOKUP($Q9366,매칭테이블!$F:$I,4,0)*K9366</f>
        <v/>
      </c>
      <c r="P9366" s="148">
        <f>M9366/1.1</f>
        <v/>
      </c>
      <c r="Q9366" s="94">
        <f>F9366&amp;E9366&amp;G9366&amp;L9366</f>
        <v/>
      </c>
    </row>
    <row r="9367" customFormat="1" s="94">
      <c r="B9367" s="128" t="n">
        <v>44094</v>
      </c>
      <c r="C9367" s="94">
        <f>TEXT(B9367,"aaa")</f>
        <v/>
      </c>
      <c r="E9367" s="94" t="inlineStr">
        <is>
          <t>토너 증정기획</t>
        </is>
      </c>
      <c r="F9367" s="94" t="inlineStr">
        <is>
          <t>랄라블라</t>
        </is>
      </c>
      <c r="G9367" s="94" t="inlineStr">
        <is>
          <t>토너 증정기획</t>
        </is>
      </c>
      <c r="H9367" s="94" t="n">
        <v>200801</v>
      </c>
      <c r="I9367" s="94" t="n">
        <v>200801</v>
      </c>
      <c r="K9367" s="6" t="n">
        <v>1</v>
      </c>
      <c r="L9367" s="94" t="n">
        <v>200801</v>
      </c>
      <c r="M9367" s="94">
        <f>VLOOKUP($Q9367,매칭테이블!$F:$I,2,0)*K9367</f>
        <v/>
      </c>
      <c r="N9367" s="94">
        <f>M9367-M9367*VLOOKUP($Q9367,매칭테이블!$F:$I,3,0)</f>
        <v/>
      </c>
      <c r="O9367" s="94">
        <f>VLOOKUP($Q9367,매칭테이블!$F:$I,4,0)*K9367</f>
        <v/>
      </c>
      <c r="P9367" s="148">
        <f>M9367/1.1</f>
        <v/>
      </c>
      <c r="Q9367" s="94">
        <f>F9367&amp;E9367&amp;G9367&amp;L9367</f>
        <v/>
      </c>
    </row>
    <row r="9368" customFormat="1" s="94">
      <c r="B9368" s="128" t="n">
        <v>44094</v>
      </c>
      <c r="C9368" s="94">
        <f>TEXT(B9368,"aaa")</f>
        <v/>
      </c>
      <c r="E9368" s="94" t="inlineStr">
        <is>
          <t>선크림</t>
        </is>
      </c>
      <c r="F9368" s="94" t="inlineStr">
        <is>
          <t>랄라블라</t>
        </is>
      </c>
      <c r="G9368" s="94" t="inlineStr">
        <is>
          <t>선크림 50ml</t>
        </is>
      </c>
      <c r="H9368" s="94" t="n">
        <v>200801</v>
      </c>
      <c r="I9368" s="94" t="n">
        <v>200801</v>
      </c>
      <c r="K9368" s="6" t="n">
        <v>34</v>
      </c>
      <c r="L9368" s="94" t="n">
        <v>200801</v>
      </c>
      <c r="M9368" s="94">
        <f>VLOOKUP($Q9368,매칭테이블!$F:$I,2,0)*K9368</f>
        <v/>
      </c>
      <c r="N9368" s="94">
        <f>M9368-M9368*VLOOKUP($Q9368,매칭테이블!$F:$I,3,0)</f>
        <v/>
      </c>
      <c r="O9368" s="94">
        <f>VLOOKUP($Q9368,매칭테이블!$F:$I,4,0)*K9368</f>
        <v/>
      </c>
      <c r="P9368" s="148">
        <f>M9368/1.1</f>
        <v/>
      </c>
      <c r="Q9368" s="94">
        <f>F9368&amp;E9368&amp;G9368&amp;L9368</f>
        <v/>
      </c>
    </row>
    <row r="9369" customFormat="1" s="94">
      <c r="B9369" s="128" t="n">
        <v>44094</v>
      </c>
      <c r="C9369" s="94">
        <f>TEXT(B9369,"aaa")</f>
        <v/>
      </c>
      <c r="E9369" s="94" t="inlineStr">
        <is>
          <t>대용량 기획세트</t>
        </is>
      </c>
      <c r="F9369" s="94" t="inlineStr">
        <is>
          <t>랄라블라</t>
        </is>
      </c>
      <c r="G9369" s="94" t="inlineStr">
        <is>
          <t>대용량 기획세트</t>
        </is>
      </c>
      <c r="H9369" s="94" t="n">
        <v>200801</v>
      </c>
      <c r="I9369" s="94" t="n">
        <v>200801</v>
      </c>
      <c r="K9369" s="6" t="n">
        <v>22</v>
      </c>
      <c r="L9369" s="94" t="n">
        <v>200801</v>
      </c>
      <c r="M9369" s="94">
        <f>VLOOKUP($Q9369,매칭테이블!$F:$I,2,0)*K9369</f>
        <v/>
      </c>
      <c r="N9369" s="94">
        <f>M9369-M9369*VLOOKUP($Q9369,매칭테이블!$F:$I,3,0)</f>
        <v/>
      </c>
      <c r="O9369" s="94">
        <f>VLOOKUP($Q9369,매칭테이블!$F:$I,4,0)*K9369</f>
        <v/>
      </c>
      <c r="P9369" s="148">
        <f>M9369/1.1</f>
        <v/>
      </c>
      <c r="Q9369" s="94">
        <f>F9369&amp;E9369&amp;G9369&amp;L9369</f>
        <v/>
      </c>
    </row>
    <row r="9370" customFormat="1" s="94">
      <c r="B9370" s="128" t="n">
        <v>44094</v>
      </c>
      <c r="C9370" s="94">
        <f>TEXT(B9370,"aaa")</f>
        <v/>
      </c>
      <c r="E9370" s="94" t="inlineStr">
        <is>
          <t>마스크팩</t>
        </is>
      </c>
      <c r="F9370" s="94" t="inlineStr">
        <is>
          <t>랄라블라</t>
        </is>
      </c>
      <c r="G9370" s="94" t="inlineStr">
        <is>
          <t>마스크 5+1 기획세트</t>
        </is>
      </c>
      <c r="H9370" s="94" t="n">
        <v>200801</v>
      </c>
      <c r="I9370" s="94" t="n">
        <v>200801</v>
      </c>
      <c r="K9370" s="6" t="n">
        <v>106</v>
      </c>
      <c r="L9370" s="94" t="n">
        <v>200801</v>
      </c>
      <c r="M9370" s="94">
        <f>VLOOKUP($Q9370,매칭테이블!$F:$I,2,0)*K9370</f>
        <v/>
      </c>
      <c r="N9370" s="94">
        <f>M9370-M9370*VLOOKUP($Q9370,매칭테이블!$F:$I,3,0)</f>
        <v/>
      </c>
      <c r="O9370" s="94">
        <f>VLOOKUP($Q9370,매칭테이블!$F:$I,4,0)*K9370</f>
        <v/>
      </c>
      <c r="P9370" s="148">
        <f>M9370/1.1</f>
        <v/>
      </c>
      <c r="Q9370" s="94">
        <f>F9370&amp;E9370&amp;G9370&amp;L9370</f>
        <v/>
      </c>
    </row>
    <row r="9371" customFormat="1" s="94">
      <c r="B9371" s="128" t="n">
        <v>44095</v>
      </c>
      <c r="C9371" s="94">
        <f>TEXT(B9371,"aaa")</f>
        <v/>
      </c>
      <c r="E9371" s="94" t="inlineStr">
        <is>
          <t>토너</t>
        </is>
      </c>
      <c r="F9371" s="94" t="inlineStr">
        <is>
          <t>W컨셉</t>
        </is>
      </c>
      <c r="G9371" s="94" t="inlineStr">
        <is>
          <t>250ml</t>
        </is>
      </c>
      <c r="H9371" s="94" t="n">
        <v>200801</v>
      </c>
      <c r="I9371" s="94" t="n">
        <v>200801</v>
      </c>
      <c r="K9371" s="6" t="n">
        <v>4</v>
      </c>
      <c r="L9371" s="94" t="n">
        <v>200801</v>
      </c>
      <c r="M9371" s="94">
        <f>VLOOKUP($Q9371,매칭테이블!$F:$I,2,0)*K9371</f>
        <v/>
      </c>
      <c r="N9371" s="94">
        <f>M9371-M9371*VLOOKUP($Q9371,매칭테이블!$F:$I,3,0)</f>
        <v/>
      </c>
      <c r="O9371" s="94">
        <f>VLOOKUP($Q9371,매칭테이블!$F:$I,4,0)*K9371</f>
        <v/>
      </c>
      <c r="P9371" s="148">
        <f>M9371/1.1</f>
        <v/>
      </c>
      <c r="Q9371" s="94">
        <f>F9371&amp;E9371&amp;G9371&amp;L9371</f>
        <v/>
      </c>
    </row>
    <row r="9372" customFormat="1" s="94">
      <c r="B9372" s="128" t="n">
        <v>44095</v>
      </c>
      <c r="C9372" s="94">
        <f>TEXT(B9372,"aaa")</f>
        <v/>
      </c>
      <c r="E9372" s="94" t="inlineStr">
        <is>
          <t>토너</t>
        </is>
      </c>
      <c r="F9372" s="94" t="inlineStr">
        <is>
          <t>W컨셉</t>
        </is>
      </c>
      <c r="G9372" s="94" t="inlineStr">
        <is>
          <t>250ml 2set</t>
        </is>
      </c>
      <c r="H9372" s="94" t="n">
        <v>200801</v>
      </c>
      <c r="I9372" s="94" t="n">
        <v>200801</v>
      </c>
      <c r="K9372" s="6" t="n">
        <v>16</v>
      </c>
      <c r="L9372" s="94" t="n">
        <v>200801</v>
      </c>
      <c r="M9372" s="94">
        <f>VLOOKUP($Q9372,매칭테이블!$F:$I,2,0)*K9372</f>
        <v/>
      </c>
      <c r="N9372" s="94">
        <f>M9372-M9372*VLOOKUP($Q9372,매칭테이블!$F:$I,3,0)</f>
        <v/>
      </c>
      <c r="O9372" s="94">
        <f>VLOOKUP($Q9372,매칭테이블!$F:$I,4,0)*K9372</f>
        <v/>
      </c>
      <c r="P9372" s="148">
        <f>M9372/1.1</f>
        <v/>
      </c>
      <c r="Q9372" s="94">
        <f>F9372&amp;E9372&amp;G9372&amp;L9372</f>
        <v/>
      </c>
    </row>
    <row r="9373" customFormat="1" s="94">
      <c r="B9373" s="128" t="n">
        <v>44095</v>
      </c>
      <c r="C9373" s="94">
        <f>TEXT(B9373,"aaa")</f>
        <v/>
      </c>
      <c r="E9373" s="94" t="inlineStr">
        <is>
          <t>토너</t>
        </is>
      </c>
      <c r="F9373" s="94" t="inlineStr">
        <is>
          <t>스타일쉐어</t>
        </is>
      </c>
      <c r="G9373" s="94" t="inlineStr">
        <is>
          <t>250ml</t>
        </is>
      </c>
      <c r="H9373" s="94" t="n">
        <v>200801</v>
      </c>
      <c r="I9373" s="94" t="n">
        <v>200801</v>
      </c>
      <c r="K9373" s="6" t="n">
        <v>7</v>
      </c>
      <c r="L9373" s="94" t="n">
        <v>200801</v>
      </c>
      <c r="M9373" s="94">
        <f>VLOOKUP($Q9373,매칭테이블!$F:$I,2,0)*K9373</f>
        <v/>
      </c>
      <c r="N9373" s="94">
        <f>M9373-M9373*VLOOKUP($Q9373,매칭테이블!$F:$I,3,0)</f>
        <v/>
      </c>
      <c r="O9373" s="94">
        <f>VLOOKUP($Q9373,매칭테이블!$F:$I,4,0)*K9373</f>
        <v/>
      </c>
      <c r="P9373" s="148">
        <f>M9373/1.1</f>
        <v/>
      </c>
      <c r="Q9373" s="94">
        <f>F9373&amp;E9373&amp;G9373&amp;L9373</f>
        <v/>
      </c>
    </row>
    <row r="9374" customFormat="1" s="94">
      <c r="B9374" s="128" t="n">
        <v>44095</v>
      </c>
      <c r="C9374" s="94">
        <f>TEXT(B9374,"aaa")</f>
        <v/>
      </c>
      <c r="E9374" s="94" t="inlineStr">
        <is>
          <t>토너</t>
        </is>
      </c>
      <c r="F9374" s="94" t="inlineStr">
        <is>
          <t>아누아 CS</t>
        </is>
      </c>
      <c r="G9374" s="94" t="inlineStr">
        <is>
          <t>250ml</t>
        </is>
      </c>
      <c r="H9374" s="94" t="n">
        <v>200801</v>
      </c>
      <c r="I9374" s="94" t="n">
        <v>200801</v>
      </c>
      <c r="K9374" s="6" t="n">
        <v>2</v>
      </c>
      <c r="L9374" s="94" t="n">
        <v>200801</v>
      </c>
      <c r="M9374" s="94">
        <f>VLOOKUP($Q9374,매칭테이블!$F:$I,2,0)*K9374</f>
        <v/>
      </c>
      <c r="N9374" s="94">
        <f>M9374-M9374*VLOOKUP($Q9374,매칭테이블!$F:$I,3,0)</f>
        <v/>
      </c>
      <c r="O9374" s="94">
        <f>VLOOKUP($Q9374,매칭테이블!$F:$I,4,0)*K9374</f>
        <v/>
      </c>
      <c r="P9374" s="148">
        <f>M9374/1.1</f>
        <v/>
      </c>
      <c r="Q9374" s="94">
        <f>F9374&amp;E9374&amp;G9374&amp;L9374</f>
        <v/>
      </c>
    </row>
    <row r="9375" customFormat="1" s="94">
      <c r="B9375" s="128" t="n">
        <v>44095</v>
      </c>
      <c r="C9375" s="94">
        <f>TEXT(B9375,"aaa")</f>
        <v/>
      </c>
      <c r="E9375" s="94" t="inlineStr">
        <is>
          <t>선크림</t>
        </is>
      </c>
      <c r="F9375" s="94" t="inlineStr">
        <is>
          <t>카페24</t>
        </is>
      </c>
      <c r="G9375" s="94" t="inlineStr">
        <is>
          <t>선크림 50ml</t>
        </is>
      </c>
      <c r="H9375" s="94" t="n">
        <v>200801</v>
      </c>
      <c r="I9375" s="94" t="n">
        <v>200801</v>
      </c>
      <c r="K9375" s="6" t="n">
        <v>3</v>
      </c>
      <c r="L9375" s="94" t="n">
        <v>200801</v>
      </c>
      <c r="M9375" s="94">
        <f>VLOOKUP($Q9375,매칭테이블!$F:$I,2,0)*K9375</f>
        <v/>
      </c>
      <c r="N9375" s="94">
        <f>M9375-M9375*VLOOKUP($Q9375,매칭테이블!$F:$I,3,0)</f>
        <v/>
      </c>
      <c r="O9375" s="94">
        <f>VLOOKUP($Q9375,매칭테이블!$F:$I,4,0)*K9375</f>
        <v/>
      </c>
      <c r="P9375" s="148">
        <f>M9375/1.1</f>
        <v/>
      </c>
      <c r="Q9375" s="94">
        <f>F9375&amp;E9375&amp;G9375&amp;L9375</f>
        <v/>
      </c>
    </row>
    <row r="9376" customFormat="1" s="94">
      <c r="B9376" s="128" t="n">
        <v>44095</v>
      </c>
      <c r="C9376" s="94">
        <f>TEXT(B9376,"aaa")</f>
        <v/>
      </c>
      <c r="E9376" s="94" t="inlineStr">
        <is>
          <t>어성초진정패키지</t>
        </is>
      </c>
      <c r="F9376" s="94" t="inlineStr">
        <is>
          <t>카페24</t>
        </is>
      </c>
      <c r="G9376" s="94" t="inlineStr">
        <is>
          <t>어성초 진정패키지세트</t>
        </is>
      </c>
      <c r="H9376" s="94" t="n">
        <v>200801</v>
      </c>
      <c r="I9376" s="94" t="n">
        <v>200801</v>
      </c>
      <c r="K9376" s="6" t="n">
        <v>5</v>
      </c>
      <c r="L9376" s="94" t="n">
        <v>200801</v>
      </c>
      <c r="M9376" s="94">
        <f>VLOOKUP($Q9376,매칭테이블!$F:$I,2,0)*K9376</f>
        <v/>
      </c>
      <c r="N9376" s="94">
        <f>M9376-M9376*VLOOKUP($Q9376,매칭테이블!$F:$I,3,0)</f>
        <v/>
      </c>
      <c r="O9376" s="94">
        <f>VLOOKUP($Q9376,매칭테이블!$F:$I,4,0)*K9376</f>
        <v/>
      </c>
      <c r="P9376" s="148">
        <f>M9376/1.1</f>
        <v/>
      </c>
      <c r="Q9376" s="94">
        <f>F9376&amp;E9376&amp;G9376&amp;L9376</f>
        <v/>
      </c>
    </row>
    <row r="9377" customFormat="1" s="94">
      <c r="B9377" s="128" t="n">
        <v>44095</v>
      </c>
      <c r="C9377" s="94">
        <f>TEXT(B9377,"aaa")</f>
        <v/>
      </c>
      <c r="E9377" s="94" t="inlineStr">
        <is>
          <t>토너+패드 세트</t>
        </is>
      </c>
      <c r="F9377" s="94" t="inlineStr">
        <is>
          <t>카페24</t>
        </is>
      </c>
      <c r="G9377" s="94" t="inlineStr">
        <is>
          <t>[플친단독할인] 좁쌀 진정 세트 토너+클리어 패드-30% off</t>
        </is>
      </c>
      <c r="H9377" s="94" t="n">
        <v>200801</v>
      </c>
      <c r="I9377" s="94" t="n">
        <v>200801</v>
      </c>
      <c r="K9377" s="6" t="n">
        <v>1</v>
      </c>
      <c r="L9377" s="94" t="n">
        <v>200801</v>
      </c>
      <c r="M9377" s="94">
        <f>VLOOKUP($Q9377,매칭테이블!$F:$I,2,0)*K9377</f>
        <v/>
      </c>
      <c r="N9377" s="94">
        <f>M9377-M9377*VLOOKUP($Q9377,매칭테이블!$F:$I,3,0)</f>
        <v/>
      </c>
      <c r="O9377" s="94">
        <f>VLOOKUP($Q9377,매칭테이블!$F:$I,4,0)*K9377</f>
        <v/>
      </c>
      <c r="P9377" s="148">
        <f>M9377/1.1</f>
        <v/>
      </c>
      <c r="Q9377" s="94">
        <f>F9377&amp;E9377&amp;G9377&amp;L9377</f>
        <v/>
      </c>
    </row>
    <row r="9378" customFormat="1" s="94">
      <c r="B9378" s="128" t="n">
        <v>44095</v>
      </c>
      <c r="C9378" s="94">
        <f>TEXT(B9378,"aaa")</f>
        <v/>
      </c>
      <c r="E9378" s="94" t="inlineStr">
        <is>
          <t>클리어 패드</t>
        </is>
      </c>
      <c r="F9378" s="94" t="inlineStr">
        <is>
          <t>카페24</t>
        </is>
      </c>
      <c r="G9378" s="94" t="inlineStr">
        <is>
          <t>어성초 77 클리어 패드 1개-20% off</t>
        </is>
      </c>
      <c r="H9378" s="94" t="n">
        <v>200801</v>
      </c>
      <c r="I9378" s="94" t="n">
        <v>200801</v>
      </c>
      <c r="K9378" s="6" t="n">
        <v>8</v>
      </c>
      <c r="L9378" s="94" t="n">
        <v>200801</v>
      </c>
      <c r="M9378" s="94">
        <f>VLOOKUP($Q9378,매칭테이블!$F:$I,2,0)*K9378</f>
        <v/>
      </c>
      <c r="N9378" s="94">
        <f>M9378-M9378*VLOOKUP($Q9378,매칭테이블!$F:$I,3,0)</f>
        <v/>
      </c>
      <c r="O9378" s="94">
        <f>VLOOKUP($Q9378,매칭테이블!$F:$I,4,0)*K9378</f>
        <v/>
      </c>
      <c r="P9378" s="148">
        <f>M9378/1.1</f>
        <v/>
      </c>
      <c r="Q9378" s="94">
        <f>F9378&amp;E9378&amp;G9378&amp;L9378</f>
        <v/>
      </c>
    </row>
    <row r="9379" customFormat="1" s="94">
      <c r="B9379" s="128" t="n">
        <v>44095</v>
      </c>
      <c r="C9379" s="94">
        <f>TEXT(B9379,"aaa")</f>
        <v/>
      </c>
      <c r="E9379" s="94" t="inlineStr">
        <is>
          <t>클리어 패드</t>
        </is>
      </c>
      <c r="F9379" s="94" t="inlineStr">
        <is>
          <t>카페24</t>
        </is>
      </c>
      <c r="G9379" s="94" t="inlineStr">
        <is>
          <t>어성초 77 클리어 패드 2개-30% off</t>
        </is>
      </c>
      <c r="H9379" s="94" t="n">
        <v>200801</v>
      </c>
      <c r="I9379" s="94" t="n">
        <v>200801</v>
      </c>
      <c r="K9379" s="6" t="n">
        <v>3</v>
      </c>
      <c r="L9379" s="94" t="n">
        <v>200801</v>
      </c>
      <c r="M9379" s="94">
        <f>VLOOKUP($Q9379,매칭테이블!$F:$I,2,0)*K9379</f>
        <v/>
      </c>
      <c r="N9379" s="94">
        <f>M9379-M9379*VLOOKUP($Q9379,매칭테이블!$F:$I,3,0)</f>
        <v/>
      </c>
      <c r="O9379" s="94">
        <f>VLOOKUP($Q9379,매칭테이블!$F:$I,4,0)*K9379</f>
        <v/>
      </c>
      <c r="P9379" s="148">
        <f>M9379/1.1</f>
        <v/>
      </c>
      <c r="Q9379" s="94">
        <f>F9379&amp;E9379&amp;G9379&amp;L9379</f>
        <v/>
      </c>
    </row>
    <row r="9380" customFormat="1" s="94">
      <c r="B9380" s="128" t="n">
        <v>44095</v>
      </c>
      <c r="C9380" s="94">
        <f>TEXT(B9380,"aaa")</f>
        <v/>
      </c>
      <c r="E9380" s="94" t="inlineStr">
        <is>
          <t>토너+패드 세트</t>
        </is>
      </c>
      <c r="F9380" s="94" t="inlineStr">
        <is>
          <t>카페24</t>
        </is>
      </c>
      <c r="G9380" s="94" t="inlineStr">
        <is>
          <t>좁쌀 진정 세트 토너+클리어 패드-30% off</t>
        </is>
      </c>
      <c r="H9380" s="94" t="n">
        <v>200801</v>
      </c>
      <c r="I9380" s="94" t="n">
        <v>200801</v>
      </c>
      <c r="K9380" s="6" t="n">
        <v>7</v>
      </c>
      <c r="L9380" s="94" t="n">
        <v>200801</v>
      </c>
      <c r="M9380" s="94">
        <f>VLOOKUP($Q9380,매칭테이블!$F:$I,2,0)*K9380</f>
        <v/>
      </c>
      <c r="N9380" s="94">
        <f>M9380-M9380*VLOOKUP($Q9380,매칭테이블!$F:$I,3,0)</f>
        <v/>
      </c>
      <c r="O9380" s="94">
        <f>VLOOKUP($Q9380,매칭테이블!$F:$I,4,0)*K9380</f>
        <v/>
      </c>
      <c r="P9380" s="148">
        <f>M9380/1.1</f>
        <v/>
      </c>
      <c r="Q9380" s="94">
        <f>F9380&amp;E9380&amp;G9380&amp;L9380</f>
        <v/>
      </c>
    </row>
    <row r="9381" customFormat="1" s="94">
      <c r="B9381" s="128" t="n">
        <v>44095</v>
      </c>
      <c r="C9381" s="94">
        <f>TEXT(B9381,"aaa")</f>
        <v/>
      </c>
      <c r="E9381" s="94" t="inlineStr">
        <is>
          <t>수분 보충 세트</t>
        </is>
      </c>
      <c r="F9381" s="94" t="inlineStr">
        <is>
          <t>카페24</t>
        </is>
      </c>
      <c r="G9381" s="94" t="inlineStr">
        <is>
          <t>어성초 77 토너 250ml + 어성초 70 로션 200ml -30%</t>
        </is>
      </c>
      <c r="H9381" s="94" t="n">
        <v>200801</v>
      </c>
      <c r="I9381" s="94" t="n">
        <v>200801</v>
      </c>
      <c r="K9381" s="6" t="n">
        <v>14</v>
      </c>
      <c r="L9381" s="94" t="n">
        <v>200801</v>
      </c>
      <c r="M9381" s="94">
        <f>VLOOKUP($Q9381,매칭테이블!$F:$I,2,0)*K9381</f>
        <v/>
      </c>
      <c r="N9381" s="94">
        <f>M9381-M9381*VLOOKUP($Q9381,매칭테이블!$F:$I,3,0)</f>
        <v/>
      </c>
      <c r="O9381" s="94">
        <f>VLOOKUP($Q9381,매칭테이블!$F:$I,4,0)*K9381</f>
        <v/>
      </c>
      <c r="P9381" s="148">
        <f>M9381/1.1</f>
        <v/>
      </c>
      <c r="Q9381" s="94">
        <f>F9381&amp;E9381&amp;G9381&amp;L9381</f>
        <v/>
      </c>
    </row>
    <row r="9382" customFormat="1" s="94">
      <c r="B9382" s="128" t="n">
        <v>44095</v>
      </c>
      <c r="C9382" s="94">
        <f>TEXT(B9382,"aaa")</f>
        <v/>
      </c>
      <c r="E9382" s="94" t="inlineStr">
        <is>
          <t>로션</t>
        </is>
      </c>
      <c r="F9382" s="94" t="inlineStr">
        <is>
          <t>카페24</t>
        </is>
      </c>
      <c r="G9382" s="94" t="inlineStr">
        <is>
          <t>어성초 70 데일리 릴리프 로션 1개 -20% off</t>
        </is>
      </c>
      <c r="H9382" s="94" t="n">
        <v>200801</v>
      </c>
      <c r="I9382" s="94" t="n">
        <v>200801</v>
      </c>
      <c r="K9382" s="6" t="n">
        <v>3</v>
      </c>
      <c r="L9382" s="94" t="n">
        <v>200801</v>
      </c>
      <c r="M9382" s="94">
        <f>VLOOKUP($Q9382,매칭테이블!$F:$I,2,0)*K9382</f>
        <v/>
      </c>
      <c r="N9382" s="94">
        <f>M9382-M9382*VLOOKUP($Q9382,매칭테이블!$F:$I,3,0)</f>
        <v/>
      </c>
      <c r="O9382" s="94">
        <f>VLOOKUP($Q9382,매칭테이블!$F:$I,4,0)*K9382</f>
        <v/>
      </c>
      <c r="P9382" s="148">
        <f>M9382/1.1</f>
        <v/>
      </c>
      <c r="Q9382" s="94">
        <f>F9382&amp;E9382&amp;G9382&amp;L9382</f>
        <v/>
      </c>
    </row>
    <row r="9383" customFormat="1" s="94">
      <c r="B9383" s="128" t="n">
        <v>44095</v>
      </c>
      <c r="C9383" s="94">
        <f>TEXT(B9383,"aaa")</f>
        <v/>
      </c>
      <c r="E9383" s="94" t="inlineStr">
        <is>
          <t>머드크림마스크</t>
        </is>
      </c>
      <c r="F9383" s="94" t="inlineStr">
        <is>
          <t>카페24</t>
        </is>
      </c>
      <c r="G9383" s="94" t="inlineStr">
        <is>
          <t>머드크림마스크 100ml</t>
        </is>
      </c>
      <c r="H9383" s="94" t="n">
        <v>200801</v>
      </c>
      <c r="I9383" s="94" t="n">
        <v>200801</v>
      </c>
      <c r="K9383" s="6" t="n">
        <v>3</v>
      </c>
      <c r="L9383" s="94" t="n">
        <v>200801</v>
      </c>
      <c r="M9383" s="94">
        <f>VLOOKUP($Q9383,매칭테이블!$F:$I,2,0)*K9383</f>
        <v/>
      </c>
      <c r="N9383" s="94">
        <f>M9383-M9383*VLOOKUP($Q9383,매칭테이블!$F:$I,3,0)</f>
        <v/>
      </c>
      <c r="O9383" s="94">
        <f>VLOOKUP($Q9383,매칭테이블!$F:$I,4,0)*K9383</f>
        <v/>
      </c>
      <c r="P9383" s="148">
        <f>M9383/1.1</f>
        <v/>
      </c>
      <c r="Q9383" s="94">
        <f>F9383&amp;E9383&amp;G9383&amp;L9383</f>
        <v/>
      </c>
    </row>
    <row r="9384" customFormat="1" s="94">
      <c r="B9384" s="128" t="n">
        <v>44095</v>
      </c>
      <c r="C9384" s="94">
        <f>TEXT(B9384,"aaa")</f>
        <v/>
      </c>
      <c r="E9384" s="94" t="inlineStr">
        <is>
          <t>머드크림마스크</t>
        </is>
      </c>
      <c r="F9384" s="94" t="inlineStr">
        <is>
          <t>카페24</t>
        </is>
      </c>
      <c r="G9384" s="94" t="inlineStr">
        <is>
          <t>머드크림마스크 100ml 2set</t>
        </is>
      </c>
      <c r="H9384" s="94" t="n">
        <v>200801</v>
      </c>
      <c r="I9384" s="94" t="n">
        <v>200801</v>
      </c>
      <c r="K9384" s="6" t="n">
        <v>1</v>
      </c>
      <c r="L9384" s="94" t="n">
        <v>200801</v>
      </c>
      <c r="M9384" s="94">
        <f>VLOOKUP($Q9384,매칭테이블!$F:$I,2,0)*K9384</f>
        <v/>
      </c>
      <c r="N9384" s="94">
        <f>M9384-M9384*VLOOKUP($Q9384,매칭테이블!$F:$I,3,0)</f>
        <v/>
      </c>
      <c r="O9384" s="94">
        <f>VLOOKUP($Q9384,매칭테이블!$F:$I,4,0)*K9384</f>
        <v/>
      </c>
      <c r="P9384" s="148">
        <f>M9384/1.1</f>
        <v/>
      </c>
      <c r="Q9384" s="94">
        <f>F9384&amp;E9384&amp;G9384&amp;L9384</f>
        <v/>
      </c>
    </row>
    <row r="9385" customFormat="1" s="94">
      <c r="B9385" s="128" t="n">
        <v>44095</v>
      </c>
      <c r="C9385" s="94">
        <f>TEXT(B9385,"aaa")</f>
        <v/>
      </c>
      <c r="E9385" s="94" t="inlineStr">
        <is>
          <t>마스크팩</t>
        </is>
      </c>
      <c r="F9385" s="94" t="inlineStr">
        <is>
          <t>카페24</t>
        </is>
      </c>
      <c r="G9385" s="94" t="inlineStr">
        <is>
          <t>마스크팩 1매</t>
        </is>
      </c>
      <c r="H9385" s="94" t="n">
        <v>200801</v>
      </c>
      <c r="I9385" s="94" t="n">
        <v>200801</v>
      </c>
      <c r="K9385" s="6" t="n">
        <v>6</v>
      </c>
      <c r="L9385" s="94" t="n">
        <v>200801</v>
      </c>
      <c r="M9385" s="94">
        <f>VLOOKUP($Q9385,매칭테이블!$F:$I,2,0)*K9385</f>
        <v/>
      </c>
      <c r="N9385" s="94">
        <f>M9385-M9385*VLOOKUP($Q9385,매칭테이블!$F:$I,3,0)</f>
        <v/>
      </c>
      <c r="O9385" s="94">
        <f>VLOOKUP($Q9385,매칭테이블!$F:$I,4,0)*K9385</f>
        <v/>
      </c>
      <c r="P9385" s="148">
        <f>M9385/1.1</f>
        <v/>
      </c>
      <c r="Q9385" s="94">
        <f>F9385&amp;E9385&amp;G9385&amp;L9385</f>
        <v/>
      </c>
    </row>
    <row r="9386" customFormat="1" s="94">
      <c r="B9386" s="128" t="n">
        <v>44095</v>
      </c>
      <c r="C9386" s="94">
        <f>TEXT(B9386,"aaa")</f>
        <v/>
      </c>
      <c r="E9386" s="94" t="inlineStr">
        <is>
          <t>마스크팩</t>
        </is>
      </c>
      <c r="F9386" s="94" t="inlineStr">
        <is>
          <t>카페24</t>
        </is>
      </c>
      <c r="G9386" s="94" t="inlineStr">
        <is>
          <t>마스크팩 10매</t>
        </is>
      </c>
      <c r="H9386" s="94" t="n">
        <v>200801</v>
      </c>
      <c r="I9386" s="94" t="n">
        <v>200801</v>
      </c>
      <c r="K9386" s="6" t="n">
        <v>8</v>
      </c>
      <c r="L9386" s="94" t="n">
        <v>200801</v>
      </c>
      <c r="M9386" s="94">
        <f>VLOOKUP($Q9386,매칭테이블!$F:$I,2,0)*K9386</f>
        <v/>
      </c>
      <c r="N9386" s="94">
        <f>M9386-M9386*VLOOKUP($Q9386,매칭테이블!$F:$I,3,0)</f>
        <v/>
      </c>
      <c r="O9386" s="94">
        <f>VLOOKUP($Q9386,매칭테이블!$F:$I,4,0)*K9386</f>
        <v/>
      </c>
      <c r="P9386" s="148">
        <f>M9386/1.1</f>
        <v/>
      </c>
      <c r="Q9386" s="94">
        <f>F9386&amp;E9386&amp;G9386&amp;L9386</f>
        <v/>
      </c>
    </row>
    <row r="9387" customFormat="1" s="94">
      <c r="B9387" s="128" t="n">
        <v>44095</v>
      </c>
      <c r="C9387" s="94">
        <f>TEXT(B9387,"aaa")</f>
        <v/>
      </c>
      <c r="E9387" s="94" t="inlineStr">
        <is>
          <t>토너</t>
        </is>
      </c>
      <c r="F9387" s="94" t="inlineStr">
        <is>
          <t>카페24</t>
        </is>
      </c>
      <c r="G9387" s="94" t="inlineStr">
        <is>
          <t>250ml</t>
        </is>
      </c>
      <c r="H9387" s="94" t="n">
        <v>200801</v>
      </c>
      <c r="I9387" s="94" t="n">
        <v>200801</v>
      </c>
      <c r="K9387" s="6" t="n">
        <v>66</v>
      </c>
      <c r="L9387" s="94" t="n">
        <v>200801</v>
      </c>
      <c r="M9387" s="94">
        <f>VLOOKUP($Q9387,매칭테이블!$F:$I,2,0)*K9387</f>
        <v/>
      </c>
      <c r="N9387" s="94">
        <f>M9387-M9387*VLOOKUP($Q9387,매칭테이블!$F:$I,3,0)</f>
        <v/>
      </c>
      <c r="O9387" s="94">
        <f>VLOOKUP($Q9387,매칭테이블!$F:$I,4,0)*K9387</f>
        <v/>
      </c>
      <c r="P9387" s="148">
        <f>M9387/1.1</f>
        <v/>
      </c>
      <c r="Q9387" s="94">
        <f>F9387&amp;E9387&amp;G9387&amp;L9387</f>
        <v/>
      </c>
    </row>
    <row r="9388" customFormat="1" s="94">
      <c r="B9388" s="128" t="n">
        <v>44095</v>
      </c>
      <c r="C9388" s="94">
        <f>TEXT(B9388,"aaa")</f>
        <v/>
      </c>
      <c r="E9388" s="94" t="inlineStr">
        <is>
          <t>토너</t>
        </is>
      </c>
      <c r="F9388" s="94" t="inlineStr">
        <is>
          <t>카페24</t>
        </is>
      </c>
      <c r="G9388" s="94" t="inlineStr">
        <is>
          <t>250ml 2set</t>
        </is>
      </c>
      <c r="H9388" s="94" t="n">
        <v>200801</v>
      </c>
      <c r="I9388" s="94" t="n">
        <v>200801</v>
      </c>
      <c r="K9388" s="6" t="n">
        <v>52</v>
      </c>
      <c r="L9388" s="94" t="n">
        <v>200801</v>
      </c>
      <c r="M9388" s="94">
        <f>VLOOKUP($Q9388,매칭테이블!$F:$I,2,0)*K9388</f>
        <v/>
      </c>
      <c r="N9388" s="94">
        <f>M9388-M9388*VLOOKUP($Q9388,매칭테이블!$F:$I,3,0)</f>
        <v/>
      </c>
      <c r="O9388" s="94">
        <f>VLOOKUP($Q9388,매칭테이블!$F:$I,4,0)*K9388</f>
        <v/>
      </c>
      <c r="P9388" s="148">
        <f>M9388/1.1</f>
        <v/>
      </c>
      <c r="Q9388" s="94">
        <f>F9388&amp;E9388&amp;G9388&amp;L9388</f>
        <v/>
      </c>
    </row>
    <row r="9389" customFormat="1" s="94">
      <c r="B9389" s="128" t="n">
        <v>44095</v>
      </c>
      <c r="C9389" s="94">
        <f>TEXT(B9389,"aaa")</f>
        <v/>
      </c>
      <c r="E9389" s="94" t="inlineStr">
        <is>
          <t>토너</t>
        </is>
      </c>
      <c r="F9389" s="94" t="inlineStr">
        <is>
          <t>카페24</t>
        </is>
      </c>
      <c r="G9389" s="94" t="inlineStr">
        <is>
          <t>500ml</t>
        </is>
      </c>
      <c r="H9389" s="94" t="n">
        <v>200801</v>
      </c>
      <c r="I9389" s="94" t="n">
        <v>200801</v>
      </c>
      <c r="K9389" s="6" t="n">
        <v>65</v>
      </c>
      <c r="L9389" s="94" t="n">
        <v>200801</v>
      </c>
      <c r="M9389" s="94">
        <f>VLOOKUP($Q9389,매칭테이블!$F:$I,2,0)*K9389</f>
        <v/>
      </c>
      <c r="N9389" s="94">
        <f>M9389-M9389*VLOOKUP($Q9389,매칭테이블!$F:$I,3,0)</f>
        <v/>
      </c>
      <c r="O9389" s="94">
        <f>VLOOKUP($Q9389,매칭테이블!$F:$I,4,0)*K9389</f>
        <v/>
      </c>
      <c r="P9389" s="148">
        <f>M9389/1.1</f>
        <v/>
      </c>
      <c r="Q9389" s="94">
        <f>F9389&amp;E9389&amp;G9389&amp;L9389</f>
        <v/>
      </c>
    </row>
    <row r="9390" customFormat="1" s="94">
      <c r="B9390" s="128" t="n">
        <v>44095</v>
      </c>
      <c r="C9390" s="94">
        <f>TEXT(B9390,"aaa")</f>
        <v/>
      </c>
      <c r="E9390" s="94" t="inlineStr">
        <is>
          <t>토너</t>
        </is>
      </c>
      <c r="F9390" s="94" t="inlineStr">
        <is>
          <t>카페24</t>
        </is>
      </c>
      <c r="G9390" s="94" t="inlineStr">
        <is>
          <t>스킨팩 화장솜 60P</t>
        </is>
      </c>
      <c r="H9390" s="94" t="n">
        <v>200801</v>
      </c>
      <c r="I9390" s="94" t="n">
        <v>200801</v>
      </c>
      <c r="K9390" s="6" t="n">
        <v>49</v>
      </c>
      <c r="L9390" s="94" t="n">
        <v>200801</v>
      </c>
      <c r="M9390" s="94">
        <f>VLOOKUP($Q9390,매칭테이블!$F:$I,2,0)*K9390</f>
        <v/>
      </c>
      <c r="N9390" s="94">
        <f>M9390-M9390*VLOOKUP($Q9390,매칭테이블!$F:$I,3,0)</f>
        <v/>
      </c>
      <c r="O9390" s="94">
        <f>VLOOKUP($Q9390,매칭테이블!$F:$I,4,0)*K9390</f>
        <v/>
      </c>
      <c r="P9390" s="148">
        <f>M9390/1.1</f>
        <v/>
      </c>
      <c r="Q9390" s="94">
        <f>F9390&amp;E9390&amp;G9390&amp;L9390</f>
        <v/>
      </c>
    </row>
    <row r="9391" customFormat="1" s="94">
      <c r="B9391" s="128" t="n">
        <v>44095</v>
      </c>
      <c r="C9391" s="94">
        <f>TEXT(B9391,"aaa")</f>
        <v/>
      </c>
      <c r="E9391" s="94" t="inlineStr">
        <is>
          <t>앰플</t>
        </is>
      </c>
      <c r="F9391" s="94" t="inlineStr">
        <is>
          <t>카페24</t>
        </is>
      </c>
      <c r="G9391" s="94" t="inlineStr">
        <is>
          <t>앰플 30ml</t>
        </is>
      </c>
      <c r="H9391" s="94" t="n">
        <v>200801</v>
      </c>
      <c r="I9391" s="94" t="n">
        <v>200801</v>
      </c>
      <c r="K9391" s="6" t="n">
        <v>21</v>
      </c>
      <c r="L9391" s="94" t="n">
        <v>200801</v>
      </c>
      <c r="M9391" s="94">
        <f>VLOOKUP($Q9391,매칭테이블!$F:$I,2,0)*K9391</f>
        <v/>
      </c>
      <c r="N9391" s="94">
        <f>M9391-M9391*VLOOKUP($Q9391,매칭테이블!$F:$I,3,0)</f>
        <v/>
      </c>
      <c r="O9391" s="94">
        <f>VLOOKUP($Q9391,매칭테이블!$F:$I,4,0)*K9391</f>
        <v/>
      </c>
      <c r="P9391" s="148">
        <f>M9391/1.1</f>
        <v/>
      </c>
      <c r="Q9391" s="94">
        <f>F9391&amp;E9391&amp;G9391&amp;L9391</f>
        <v/>
      </c>
    </row>
    <row r="9392" customFormat="1" s="94">
      <c r="B9392" s="128" t="n">
        <v>44095</v>
      </c>
      <c r="C9392" s="94">
        <f>TEXT(B9392,"aaa")</f>
        <v/>
      </c>
      <c r="E9392" s="94" t="inlineStr">
        <is>
          <t>앰플</t>
        </is>
      </c>
      <c r="F9392" s="94" t="inlineStr">
        <is>
          <t>카페24</t>
        </is>
      </c>
      <c r="G9392" s="94" t="inlineStr">
        <is>
          <t>앰플 30ml  2set</t>
        </is>
      </c>
      <c r="H9392" s="94" t="n">
        <v>200801</v>
      </c>
      <c r="I9392" s="94" t="n">
        <v>200801</v>
      </c>
      <c r="K9392" s="6" t="n">
        <v>3</v>
      </c>
      <c r="L9392" s="94" t="n">
        <v>200801</v>
      </c>
      <c r="M9392" s="94">
        <f>VLOOKUP($Q9392,매칭테이블!$F:$I,2,0)*K9392</f>
        <v/>
      </c>
      <c r="N9392" s="94">
        <f>M9392-M9392*VLOOKUP($Q9392,매칭테이블!$F:$I,3,0)</f>
        <v/>
      </c>
      <c r="O9392" s="94">
        <f>VLOOKUP($Q9392,매칭테이블!$F:$I,4,0)*K9392</f>
        <v/>
      </c>
      <c r="P9392" s="148">
        <f>M9392/1.1</f>
        <v/>
      </c>
      <c r="Q9392" s="94">
        <f>F9392&amp;E9392&amp;G9392&amp;L9392</f>
        <v/>
      </c>
    </row>
    <row r="9393" customFormat="1" s="94">
      <c r="B9393" s="128" t="n">
        <v>44095</v>
      </c>
      <c r="C9393" s="94">
        <f>TEXT(B9393,"aaa")</f>
        <v/>
      </c>
      <c r="E9393" s="94" t="inlineStr">
        <is>
          <t>수딩크림</t>
        </is>
      </c>
      <c r="F9393" s="94" t="inlineStr">
        <is>
          <t>카페24</t>
        </is>
      </c>
      <c r="G9393" s="94" t="inlineStr">
        <is>
          <t>수딩크림 100ml</t>
        </is>
      </c>
      <c r="H9393" s="94" t="n">
        <v>200801</v>
      </c>
      <c r="I9393" s="94" t="n">
        <v>200801</v>
      </c>
      <c r="K9393" s="6" t="n">
        <v>7</v>
      </c>
      <c r="L9393" s="94" t="n">
        <v>200801</v>
      </c>
      <c r="M9393" s="94">
        <f>VLOOKUP($Q9393,매칭테이블!$F:$I,2,0)*K9393</f>
        <v/>
      </c>
      <c r="N9393" s="94">
        <f>M9393-M9393*VLOOKUP($Q9393,매칭테이블!$F:$I,3,0)</f>
        <v/>
      </c>
      <c r="O9393" s="94">
        <f>VLOOKUP($Q9393,매칭테이블!$F:$I,4,0)*K9393</f>
        <v/>
      </c>
      <c r="P9393" s="148">
        <f>M9393/1.1</f>
        <v/>
      </c>
      <c r="Q9393" s="94">
        <f>F9393&amp;E9393&amp;G9393&amp;L9393</f>
        <v/>
      </c>
    </row>
    <row r="9394" customFormat="1" s="94">
      <c r="B9394" s="128" t="n">
        <v>44095</v>
      </c>
      <c r="C9394" s="94">
        <f>TEXT(B9394,"aaa")</f>
        <v/>
      </c>
      <c r="E9394" s="94" t="inlineStr">
        <is>
          <t>클렌징폼</t>
        </is>
      </c>
      <c r="F9394" s="94" t="inlineStr">
        <is>
          <t>카페24</t>
        </is>
      </c>
      <c r="G9394" s="94" t="inlineStr">
        <is>
          <t>클렌징폼 120ml</t>
        </is>
      </c>
      <c r="H9394" s="94" t="n">
        <v>200801</v>
      </c>
      <c r="I9394" s="94" t="n">
        <v>200801</v>
      </c>
      <c r="K9394" s="6" t="n">
        <v>4</v>
      </c>
      <c r="L9394" s="94" t="n">
        <v>200801</v>
      </c>
      <c r="M9394" s="94">
        <f>VLOOKUP($Q9394,매칭테이블!$F:$I,2,0)*K9394</f>
        <v/>
      </c>
      <c r="N9394" s="94">
        <f>M9394-M9394*VLOOKUP($Q9394,매칭테이블!$F:$I,3,0)</f>
        <v/>
      </c>
      <c r="O9394" s="94">
        <f>VLOOKUP($Q9394,매칭테이블!$F:$I,4,0)*K9394</f>
        <v/>
      </c>
      <c r="P9394" s="148">
        <f>M9394/1.1</f>
        <v/>
      </c>
      <c r="Q9394" s="94">
        <f>F9394&amp;E9394&amp;G9394&amp;L9394</f>
        <v/>
      </c>
    </row>
    <row r="9395" customFormat="1" s="94">
      <c r="B9395" s="128" t="n">
        <v>44095</v>
      </c>
      <c r="C9395" s="94">
        <f>TEXT(B9395,"aaa")</f>
        <v/>
      </c>
      <c r="E9395" s="94" t="inlineStr">
        <is>
          <t>클렌징폼</t>
        </is>
      </c>
      <c r="F9395" s="94" t="inlineStr">
        <is>
          <t>카페24</t>
        </is>
      </c>
      <c r="G9395" s="94" t="inlineStr">
        <is>
          <t>클렌징폼 120ml 2set</t>
        </is>
      </c>
      <c r="H9395" s="94" t="n">
        <v>200801</v>
      </c>
      <c r="I9395" s="94" t="n">
        <v>200801</v>
      </c>
      <c r="K9395" s="6" t="n">
        <v>1</v>
      </c>
      <c r="L9395" s="94" t="n">
        <v>200801</v>
      </c>
      <c r="M9395" s="94">
        <f>VLOOKUP($Q9395,매칭테이블!$F:$I,2,0)*K9395</f>
        <v/>
      </c>
      <c r="N9395" s="94">
        <f>M9395-M9395*VLOOKUP($Q9395,매칭테이블!$F:$I,3,0)</f>
        <v/>
      </c>
      <c r="O9395" s="94">
        <f>VLOOKUP($Q9395,매칭테이블!$F:$I,4,0)*K9395</f>
        <v/>
      </c>
      <c r="P9395" s="148">
        <f>M9395/1.1</f>
        <v/>
      </c>
      <c r="Q9395" s="94">
        <f>F9395&amp;E9395&amp;G9395&amp;L9395</f>
        <v/>
      </c>
    </row>
    <row r="9396" customFormat="1" s="94">
      <c r="B9396" s="128" t="n">
        <v>44095</v>
      </c>
      <c r="C9396" s="94">
        <f>TEXT(B9396,"aaa")</f>
        <v/>
      </c>
      <c r="E9396" s="94" t="inlineStr">
        <is>
          <t>바디워시</t>
        </is>
      </c>
      <c r="F9396" s="94" t="inlineStr">
        <is>
          <t>카페24</t>
        </is>
      </c>
      <c r="G9396" s="94" t="inlineStr">
        <is>
          <t>바디워시 1개 -30% off</t>
        </is>
      </c>
      <c r="H9396" s="94" t="n">
        <v>200801</v>
      </c>
      <c r="I9396" s="94" t="n">
        <v>200801</v>
      </c>
      <c r="K9396" s="6" t="n">
        <v>5</v>
      </c>
      <c r="L9396" s="94" t="n">
        <v>200801</v>
      </c>
      <c r="M9396" s="94">
        <f>VLOOKUP($Q9396,매칭테이블!$F:$I,2,0)*K9396</f>
        <v/>
      </c>
      <c r="N9396" s="94">
        <f>M9396-M9396*VLOOKUP($Q9396,매칭테이블!$F:$I,3,0)</f>
        <v/>
      </c>
      <c r="O9396" s="94">
        <f>VLOOKUP($Q9396,매칭테이블!$F:$I,4,0)*K9396</f>
        <v/>
      </c>
      <c r="P9396" s="148">
        <f>M9396/1.1</f>
        <v/>
      </c>
      <c r="Q9396" s="94">
        <f>F9396&amp;E9396&amp;G9396&amp;L9396</f>
        <v/>
      </c>
    </row>
    <row r="9397" customFormat="1" s="94">
      <c r="B9397" s="128" t="n">
        <v>44095</v>
      </c>
      <c r="C9397" s="94">
        <f>TEXT(B9397,"aaa")</f>
        <v/>
      </c>
      <c r="E9397" s="94" t="inlineStr">
        <is>
          <t>바디워시</t>
        </is>
      </c>
      <c r="F9397" s="94" t="inlineStr">
        <is>
          <t>카페24</t>
        </is>
      </c>
      <c r="G9397" s="94" t="inlineStr">
        <is>
          <t>바디워시 2개 -35% off (무료배송)</t>
        </is>
      </c>
      <c r="H9397" s="94" t="n">
        <v>200801</v>
      </c>
      <c r="I9397" s="94" t="n">
        <v>200801</v>
      </c>
      <c r="K9397" s="6" t="n">
        <v>1</v>
      </c>
      <c r="L9397" s="94" t="n">
        <v>200801</v>
      </c>
      <c r="M9397" s="94">
        <f>VLOOKUP($Q9397,매칭테이블!$F:$I,2,0)*K9397</f>
        <v/>
      </c>
      <c r="N9397" s="94">
        <f>M9397-M9397*VLOOKUP($Q9397,매칭테이블!$F:$I,3,0)</f>
        <v/>
      </c>
      <c r="O9397" s="94">
        <f>VLOOKUP($Q9397,매칭테이블!$F:$I,4,0)*K9397</f>
        <v/>
      </c>
      <c r="P9397" s="148">
        <f>M9397/1.1</f>
        <v/>
      </c>
      <c r="Q9397" s="94">
        <f>F9397&amp;E9397&amp;G9397&amp;L9397</f>
        <v/>
      </c>
    </row>
    <row r="9398" customFormat="1" s="94">
      <c r="B9398" s="128" t="n">
        <v>44095</v>
      </c>
      <c r="C9398" s="94">
        <f>TEXT(B9398,"aaa")</f>
        <v/>
      </c>
      <c r="E9398" s="94" t="inlineStr">
        <is>
          <t>토너</t>
        </is>
      </c>
      <c r="F9398" s="94" t="inlineStr">
        <is>
          <t>큐텐재팬</t>
        </is>
      </c>
      <c r="G9398" s="94" t="inlineStr">
        <is>
          <t>200726=250ml</t>
        </is>
      </c>
      <c r="H9398" s="94" t="n">
        <v>200801</v>
      </c>
      <c r="I9398" s="94" t="n">
        <v>200801</v>
      </c>
      <c r="K9398" s="6" t="n">
        <v>4</v>
      </c>
      <c r="L9398" s="94" t="n">
        <v>200801</v>
      </c>
      <c r="M9398" s="94">
        <f>VLOOKUP($Q9398,매칭테이블!$F:$I,2,0)*K9398</f>
        <v/>
      </c>
      <c r="N9398" s="94">
        <f>M9398-M9398*VLOOKUP($Q9398,매칭테이블!$F:$I,3,0)</f>
        <v/>
      </c>
      <c r="O9398" s="94">
        <f>VLOOKUP($Q9398,매칭테이블!$F:$I,4,0)*K9398</f>
        <v/>
      </c>
      <c r="P9398" s="148">
        <f>M9398/1.1</f>
        <v/>
      </c>
      <c r="Q9398" s="94">
        <f>F9398&amp;E9398&amp;G9398&amp;L9398</f>
        <v/>
      </c>
    </row>
    <row r="9399" customFormat="1" s="94">
      <c r="B9399" s="128" t="n">
        <v>44095</v>
      </c>
      <c r="C9399" s="94">
        <f>TEXT(B9399,"aaa")</f>
        <v/>
      </c>
      <c r="E9399" s="94" t="inlineStr">
        <is>
          <t>토너</t>
        </is>
      </c>
      <c r="F9399" s="94" t="inlineStr">
        <is>
          <t>큐텐재팬</t>
        </is>
      </c>
      <c r="G9399" s="94" t="inlineStr">
        <is>
          <t>200726=250ml 2set</t>
        </is>
      </c>
      <c r="H9399" s="94" t="n">
        <v>200801</v>
      </c>
      <c r="I9399" s="94" t="n">
        <v>200801</v>
      </c>
      <c r="K9399" s="6" t="n">
        <v>4</v>
      </c>
      <c r="L9399" s="94" t="n">
        <v>200801</v>
      </c>
      <c r="M9399" s="94">
        <f>VLOOKUP($Q9399,매칭테이블!$F:$I,2,0)*K9399</f>
        <v/>
      </c>
      <c r="N9399" s="94">
        <f>M9399-M9399*VLOOKUP($Q9399,매칭테이블!$F:$I,3,0)</f>
        <v/>
      </c>
      <c r="O9399" s="94">
        <f>VLOOKUP($Q9399,매칭테이블!$F:$I,4,0)*K9399</f>
        <v/>
      </c>
      <c r="P9399" s="148">
        <f>M9399/1.1</f>
        <v/>
      </c>
      <c r="Q9399" s="94">
        <f>F9399&amp;E9399&amp;G9399&amp;L9399</f>
        <v/>
      </c>
    </row>
    <row r="9400" customFormat="1" s="94">
      <c r="B9400" s="128" t="n">
        <v>44095</v>
      </c>
      <c r="C9400" s="94">
        <f>TEXT(B9400,"aaa")</f>
        <v/>
      </c>
      <c r="E9400" s="94" t="inlineStr">
        <is>
          <t>토너</t>
        </is>
      </c>
      <c r="F9400" s="94" t="inlineStr">
        <is>
          <t>화해</t>
        </is>
      </c>
      <c r="G9400" s="94" t="inlineStr">
        <is>
          <t>250ml</t>
        </is>
      </c>
      <c r="H9400" s="94" t="n">
        <v>200801</v>
      </c>
      <c r="I9400" s="94" t="n">
        <v>200801</v>
      </c>
      <c r="K9400" s="6" t="n">
        <v>3</v>
      </c>
      <c r="L9400" s="94" t="n">
        <v>200801</v>
      </c>
      <c r="M9400" s="94">
        <f>VLOOKUP($Q9400,매칭테이블!$F:$I,2,0)*K9400</f>
        <v/>
      </c>
      <c r="N9400" s="94">
        <f>M9400-M9400*VLOOKUP($Q9400,매칭테이블!$F:$I,3,0)</f>
        <v/>
      </c>
      <c r="O9400" s="94">
        <f>VLOOKUP($Q9400,매칭테이블!$F:$I,4,0)*K9400</f>
        <v/>
      </c>
      <c r="P9400" s="148">
        <f>M9400/1.1</f>
        <v/>
      </c>
      <c r="Q9400" s="94">
        <f>F9400&amp;E9400&amp;G9400&amp;L9400</f>
        <v/>
      </c>
    </row>
    <row r="9401" customFormat="1" s="94">
      <c r="B9401" s="128" t="n">
        <v>44095</v>
      </c>
      <c r="C9401" s="94">
        <f>TEXT(B9401,"aaa")</f>
        <v/>
      </c>
      <c r="E9401" s="94" t="inlineStr">
        <is>
          <t>선크림</t>
        </is>
      </c>
      <c r="F9401" s="94" t="inlineStr">
        <is>
          <t>굿닥</t>
        </is>
      </c>
      <c r="G9401" s="94" t="inlineStr">
        <is>
          <t>선크림 50ml</t>
        </is>
      </c>
      <c r="H9401" s="94" t="n">
        <v>200801</v>
      </c>
      <c r="I9401" s="94" t="n">
        <v>200801</v>
      </c>
      <c r="K9401" s="6" t="n">
        <v>1</v>
      </c>
      <c r="L9401" s="94" t="n">
        <v>200801</v>
      </c>
      <c r="M9401" s="94">
        <f>VLOOKUP($Q9401,매칭테이블!$F:$I,2,0)*K9401</f>
        <v/>
      </c>
      <c r="N9401" s="94">
        <f>M9401-M9401*VLOOKUP($Q9401,매칭테이블!$F:$I,3,0)</f>
        <v/>
      </c>
      <c r="O9401" s="94">
        <f>VLOOKUP($Q9401,매칭테이블!$F:$I,4,0)*K9401</f>
        <v/>
      </c>
      <c r="P9401" s="148">
        <f>M9401/1.1</f>
        <v/>
      </c>
      <c r="Q9401" s="94">
        <f>F9401&amp;E9401&amp;G9401&amp;L9401</f>
        <v/>
      </c>
    </row>
    <row r="9402">
      <c r="A9402" s="94" t="n"/>
      <c r="B9402" s="128" t="n">
        <v>44096</v>
      </c>
      <c r="C9402" s="94">
        <f>TEXT(B9402,"aaa")</f>
        <v/>
      </c>
      <c r="D9402" s="60" t="n"/>
      <c r="E9402" s="60" t="inlineStr">
        <is>
          <t>토너</t>
        </is>
      </c>
      <c r="F9402" s="60" t="inlineStr">
        <is>
          <t>W컨셉</t>
        </is>
      </c>
      <c r="G9402" s="60" t="inlineStr">
        <is>
          <t>250ml</t>
        </is>
      </c>
      <c r="H9402" s="60" t="n">
        <v>200801</v>
      </c>
      <c r="I9402" s="60" t="n">
        <v>200801</v>
      </c>
      <c r="J9402" s="60" t="n"/>
      <c r="K9402" s="60" t="n">
        <v>1</v>
      </c>
      <c r="L9402" s="60" t="n">
        <v>200801</v>
      </c>
      <c r="M9402" s="94">
        <f>VLOOKUP($Q9402,매칭테이블!$F:$I,2,0)*K9402</f>
        <v/>
      </c>
      <c r="N9402" s="94">
        <f>M9402-M9402*VLOOKUP($Q9402,매칭테이블!$F:$I,3,0)</f>
        <v/>
      </c>
      <c r="O9402" s="94">
        <f>VLOOKUP($Q9402,매칭테이블!$F:$I,4,0)*K9402</f>
        <v/>
      </c>
      <c r="P9402" s="148">
        <f>M9402/1.1</f>
        <v/>
      </c>
      <c r="Q9402" s="94">
        <f>F9402&amp;E9402&amp;G9402&amp;L9402</f>
        <v/>
      </c>
    </row>
    <row r="9403">
      <c r="A9403" s="94" t="n"/>
      <c r="B9403" s="128" t="n">
        <v>44096</v>
      </c>
      <c r="C9403" s="94">
        <f>TEXT(B9403,"aaa")</f>
        <v/>
      </c>
      <c r="D9403" s="60" t="n"/>
      <c r="E9403" s="60" t="inlineStr">
        <is>
          <t>토너</t>
        </is>
      </c>
      <c r="F9403" s="60" t="inlineStr">
        <is>
          <t>W컨셉</t>
        </is>
      </c>
      <c r="G9403" s="60" t="inlineStr">
        <is>
          <t>250ml 2set</t>
        </is>
      </c>
      <c r="H9403" s="60" t="n">
        <v>200801</v>
      </c>
      <c r="I9403" s="60" t="n">
        <v>200801</v>
      </c>
      <c r="J9403" s="60" t="n"/>
      <c r="K9403" s="60" t="n">
        <v>8</v>
      </c>
      <c r="L9403" s="60" t="n">
        <v>200801</v>
      </c>
      <c r="M9403" s="94">
        <f>VLOOKUP($Q9403,매칭테이블!$F:$I,2,0)*K9403</f>
        <v/>
      </c>
      <c r="N9403" s="94">
        <f>M9403-M9403*VLOOKUP($Q9403,매칭테이블!$F:$I,3,0)</f>
        <v/>
      </c>
      <c r="O9403" s="94">
        <f>VLOOKUP($Q9403,매칭테이블!$F:$I,4,0)*K9403</f>
        <v/>
      </c>
      <c r="P9403" s="148">
        <f>M9403/1.1</f>
        <v/>
      </c>
      <c r="Q9403" s="94">
        <f>F9403&amp;E9403&amp;G9403&amp;L9403</f>
        <v/>
      </c>
    </row>
    <row r="9404">
      <c r="A9404" s="94" t="n"/>
      <c r="B9404" s="128" t="n">
        <v>44096</v>
      </c>
      <c r="C9404" s="94">
        <f>TEXT(B9404,"aaa")</f>
        <v/>
      </c>
      <c r="D9404" s="60" t="n"/>
      <c r="E9404" s="60" t="inlineStr">
        <is>
          <t>토너</t>
        </is>
      </c>
      <c r="F9404" s="60" t="inlineStr">
        <is>
          <t>스타일쉐어</t>
        </is>
      </c>
      <c r="G9404" s="60" t="inlineStr">
        <is>
          <t>250ml</t>
        </is>
      </c>
      <c r="H9404" s="60" t="n">
        <v>200801</v>
      </c>
      <c r="I9404" s="60" t="n">
        <v>200801</v>
      </c>
      <c r="J9404" s="60" t="n"/>
      <c r="K9404" s="60" t="n">
        <v>2</v>
      </c>
      <c r="L9404" s="60" t="n">
        <v>200801</v>
      </c>
      <c r="M9404" s="94">
        <f>VLOOKUP($Q9404,매칭테이블!$F:$I,2,0)*K9404</f>
        <v/>
      </c>
      <c r="N9404" s="94">
        <f>M9404-M9404*VLOOKUP($Q9404,매칭테이블!$F:$I,3,0)</f>
        <v/>
      </c>
      <c r="O9404" s="94">
        <f>VLOOKUP($Q9404,매칭테이블!$F:$I,4,0)*K9404</f>
        <v/>
      </c>
      <c r="P9404" s="148">
        <f>M9404/1.1</f>
        <v/>
      </c>
      <c r="Q9404" s="94">
        <f>F9404&amp;E9404&amp;G9404&amp;L9404</f>
        <v/>
      </c>
    </row>
    <row r="9405">
      <c r="A9405" s="94" t="n"/>
      <c r="B9405" s="128" t="n">
        <v>44096</v>
      </c>
      <c r="C9405" s="94">
        <f>TEXT(B9405,"aaa")</f>
        <v/>
      </c>
      <c r="D9405" s="60" t="n"/>
      <c r="E9405" s="60" t="inlineStr">
        <is>
          <t>선크림</t>
        </is>
      </c>
      <c r="F9405" s="60" t="inlineStr">
        <is>
          <t>카페24</t>
        </is>
      </c>
      <c r="G9405" s="60" t="inlineStr">
        <is>
          <t>선크림 50ml</t>
        </is>
      </c>
      <c r="H9405" s="60" t="n">
        <v>200801</v>
      </c>
      <c r="I9405" s="60" t="n">
        <v>200801</v>
      </c>
      <c r="J9405" s="60" t="n"/>
      <c r="K9405" s="60" t="n">
        <v>1</v>
      </c>
      <c r="L9405" s="60" t="n">
        <v>200801</v>
      </c>
      <c r="M9405" s="94">
        <f>VLOOKUP($Q9405,매칭테이블!$F:$I,2,0)*K9405</f>
        <v/>
      </c>
      <c r="N9405" s="94">
        <f>M9405-M9405*VLOOKUP($Q9405,매칭테이블!$F:$I,3,0)</f>
        <v/>
      </c>
      <c r="O9405" s="94">
        <f>VLOOKUP($Q9405,매칭테이블!$F:$I,4,0)*K9405</f>
        <v/>
      </c>
      <c r="P9405" s="148">
        <f>M9405/1.1</f>
        <v/>
      </c>
      <c r="Q9405" s="94">
        <f>F9405&amp;E9405&amp;G9405&amp;L9405</f>
        <v/>
      </c>
    </row>
    <row r="9406">
      <c r="A9406" s="94" t="n"/>
      <c r="B9406" s="128" t="n">
        <v>44096</v>
      </c>
      <c r="C9406" s="94">
        <f>TEXT(B9406,"aaa")</f>
        <v/>
      </c>
      <c r="D9406" s="60" t="n"/>
      <c r="E9406" s="60" t="inlineStr">
        <is>
          <t>선크림</t>
        </is>
      </c>
      <c r="F9406" s="60" t="inlineStr">
        <is>
          <t>카페24</t>
        </is>
      </c>
      <c r="G9406" s="60" t="inlineStr">
        <is>
          <t>선크림 50ml  2set</t>
        </is>
      </c>
      <c r="H9406" s="60" t="n">
        <v>200801</v>
      </c>
      <c r="I9406" s="60" t="n">
        <v>200801</v>
      </c>
      <c r="J9406" s="60" t="n"/>
      <c r="K9406" s="60" t="n">
        <v>1</v>
      </c>
      <c r="L9406" s="60" t="n">
        <v>200801</v>
      </c>
      <c r="M9406" s="94">
        <f>VLOOKUP($Q9406,매칭테이블!$F:$I,2,0)*K9406</f>
        <v/>
      </c>
      <c r="N9406" s="94">
        <f>M9406-M9406*VLOOKUP($Q9406,매칭테이블!$F:$I,3,0)</f>
        <v/>
      </c>
      <c r="O9406" s="94">
        <f>VLOOKUP($Q9406,매칭테이블!$F:$I,4,0)*K9406</f>
        <v/>
      </c>
      <c r="P9406" s="148">
        <f>M9406/1.1</f>
        <v/>
      </c>
      <c r="Q9406" s="94">
        <f>F9406&amp;E9406&amp;G9406&amp;L9406</f>
        <v/>
      </c>
    </row>
    <row r="9407">
      <c r="A9407" s="94" t="n"/>
      <c r="B9407" s="128" t="n">
        <v>44096</v>
      </c>
      <c r="C9407" s="94">
        <f>TEXT(B9407,"aaa")</f>
        <v/>
      </c>
      <c r="D9407" s="60" t="n"/>
      <c r="E9407" s="60" t="inlineStr">
        <is>
          <t>어성초진정패키지</t>
        </is>
      </c>
      <c r="F9407" s="60" t="inlineStr">
        <is>
          <t>카페24</t>
        </is>
      </c>
      <c r="G9407" s="60" t="inlineStr">
        <is>
          <t>어성초 진정패키지세트</t>
        </is>
      </c>
      <c r="H9407" s="60" t="n">
        <v>200801</v>
      </c>
      <c r="I9407" s="60" t="n">
        <v>200801</v>
      </c>
      <c r="J9407" s="60" t="n"/>
      <c r="K9407" s="60" t="n">
        <v>2</v>
      </c>
      <c r="L9407" s="60" t="n">
        <v>200801</v>
      </c>
      <c r="M9407" s="94">
        <f>VLOOKUP($Q9407,매칭테이블!$F:$I,2,0)*K9407</f>
        <v/>
      </c>
      <c r="N9407" s="94">
        <f>M9407-M9407*VLOOKUP($Q9407,매칭테이블!$F:$I,3,0)</f>
        <v/>
      </c>
      <c r="O9407" s="94">
        <f>VLOOKUP($Q9407,매칭테이블!$F:$I,4,0)*K9407</f>
        <v/>
      </c>
      <c r="P9407" s="148">
        <f>M9407/1.1</f>
        <v/>
      </c>
      <c r="Q9407" s="94">
        <f>F9407&amp;E9407&amp;G9407&amp;L9407</f>
        <v/>
      </c>
    </row>
    <row r="9408">
      <c r="A9408" s="94" t="n"/>
      <c r="B9408" s="128" t="n">
        <v>44096</v>
      </c>
      <c r="C9408" s="94">
        <f>TEXT(B9408,"aaa")</f>
        <v/>
      </c>
      <c r="D9408" s="60" t="n"/>
      <c r="E9408" s="60" t="inlineStr">
        <is>
          <t>클리어 패드</t>
        </is>
      </c>
      <c r="F9408" s="60" t="inlineStr">
        <is>
          <t>카페24</t>
        </is>
      </c>
      <c r="G9408" s="60" t="inlineStr">
        <is>
          <t>어성초 77 클리어 패드 1개-20% off</t>
        </is>
      </c>
      <c r="H9408" s="60" t="n">
        <v>200801</v>
      </c>
      <c r="I9408" s="60" t="n">
        <v>200801</v>
      </c>
      <c r="J9408" s="60" t="n"/>
      <c r="K9408" s="60" t="n">
        <v>11</v>
      </c>
      <c r="L9408" s="60" t="n">
        <v>200801</v>
      </c>
      <c r="M9408" s="94">
        <f>VLOOKUP($Q9408,매칭테이블!$F:$I,2,0)*K9408</f>
        <v/>
      </c>
      <c r="N9408" s="94">
        <f>M9408-M9408*VLOOKUP($Q9408,매칭테이블!$F:$I,3,0)</f>
        <v/>
      </c>
      <c r="O9408" s="94">
        <f>VLOOKUP($Q9408,매칭테이블!$F:$I,4,0)*K9408</f>
        <v/>
      </c>
      <c r="P9408" s="148">
        <f>M9408/1.1</f>
        <v/>
      </c>
      <c r="Q9408" s="94">
        <f>F9408&amp;E9408&amp;G9408&amp;L9408</f>
        <v/>
      </c>
    </row>
    <row r="9409">
      <c r="A9409" s="94" t="n"/>
      <c r="B9409" s="128" t="n">
        <v>44096</v>
      </c>
      <c r="C9409" s="94">
        <f>TEXT(B9409,"aaa")</f>
        <v/>
      </c>
      <c r="D9409" s="60" t="n"/>
      <c r="E9409" s="60" t="inlineStr">
        <is>
          <t>클리어 패드</t>
        </is>
      </c>
      <c r="F9409" s="60" t="inlineStr">
        <is>
          <t>카페24</t>
        </is>
      </c>
      <c r="G9409" s="60" t="inlineStr">
        <is>
          <t>어성초 77 클리어 패드 2개-30% off</t>
        </is>
      </c>
      <c r="H9409" s="60" t="n">
        <v>200801</v>
      </c>
      <c r="I9409" s="60" t="n">
        <v>200801</v>
      </c>
      <c r="J9409" s="60" t="n"/>
      <c r="K9409" s="60" t="n">
        <v>10</v>
      </c>
      <c r="L9409" s="60" t="n">
        <v>200801</v>
      </c>
      <c r="M9409" s="94">
        <f>VLOOKUP($Q9409,매칭테이블!$F:$I,2,0)*K9409</f>
        <v/>
      </c>
      <c r="N9409" s="94">
        <f>M9409-M9409*VLOOKUP($Q9409,매칭테이블!$F:$I,3,0)</f>
        <v/>
      </c>
      <c r="O9409" s="94">
        <f>VLOOKUP($Q9409,매칭테이블!$F:$I,4,0)*K9409</f>
        <v/>
      </c>
      <c r="P9409" s="148">
        <f>M9409/1.1</f>
        <v/>
      </c>
      <c r="Q9409" s="94">
        <f>F9409&amp;E9409&amp;G9409&amp;L9409</f>
        <v/>
      </c>
    </row>
    <row r="9410">
      <c r="A9410" s="94" t="n"/>
      <c r="B9410" s="128" t="n">
        <v>44096</v>
      </c>
      <c r="C9410" s="94">
        <f>TEXT(B9410,"aaa")</f>
        <v/>
      </c>
      <c r="D9410" s="60" t="n"/>
      <c r="E9410" s="60" t="inlineStr">
        <is>
          <t>토너+패드 세트</t>
        </is>
      </c>
      <c r="F9410" s="60" t="inlineStr">
        <is>
          <t>카페24</t>
        </is>
      </c>
      <c r="G9410" s="60" t="inlineStr">
        <is>
          <t>좁쌀 진정 세트 토너+클리어 패드-30% off</t>
        </is>
      </c>
      <c r="H9410" s="60" t="n">
        <v>200801</v>
      </c>
      <c r="I9410" s="60" t="n">
        <v>200801</v>
      </c>
      <c r="J9410" s="60" t="n"/>
      <c r="K9410" s="60" t="n">
        <v>12</v>
      </c>
      <c r="L9410" s="60" t="n">
        <v>200801</v>
      </c>
      <c r="M9410" s="94">
        <f>VLOOKUP($Q9410,매칭테이블!$F:$I,2,0)*K9410</f>
        <v/>
      </c>
      <c r="N9410" s="94">
        <f>M9410-M9410*VLOOKUP($Q9410,매칭테이블!$F:$I,3,0)</f>
        <v/>
      </c>
      <c r="O9410" s="94">
        <f>VLOOKUP($Q9410,매칭테이블!$F:$I,4,0)*K9410</f>
        <v/>
      </c>
      <c r="P9410" s="148">
        <f>M9410/1.1</f>
        <v/>
      </c>
      <c r="Q9410" s="94">
        <f>F9410&amp;E9410&amp;G9410&amp;L9410</f>
        <v/>
      </c>
    </row>
    <row r="9411">
      <c r="A9411" s="94" t="n"/>
      <c r="B9411" s="128" t="n">
        <v>44096</v>
      </c>
      <c r="C9411" s="94">
        <f>TEXT(B9411,"aaa")</f>
        <v/>
      </c>
      <c r="D9411" s="60" t="n"/>
      <c r="E9411" s="60" t="inlineStr">
        <is>
          <t>수분 보충 세트</t>
        </is>
      </c>
      <c r="F9411" s="60" t="inlineStr">
        <is>
          <t>카페24</t>
        </is>
      </c>
      <c r="G9411" s="60" t="inlineStr">
        <is>
          <t>어성초 77 토너 250ml + 어성초 70 로션 200ml -30%</t>
        </is>
      </c>
      <c r="H9411" s="60" t="n">
        <v>200801</v>
      </c>
      <c r="I9411" s="60" t="n">
        <v>200801</v>
      </c>
      <c r="J9411" s="60" t="n"/>
      <c r="K9411" s="60" t="n">
        <v>23</v>
      </c>
      <c r="L9411" s="60" t="n">
        <v>200801</v>
      </c>
      <c r="M9411" s="94">
        <f>VLOOKUP($Q9411,매칭테이블!$F:$I,2,0)*K9411</f>
        <v/>
      </c>
      <c r="N9411" s="94">
        <f>M9411-M9411*VLOOKUP($Q9411,매칭테이블!$F:$I,3,0)</f>
        <v/>
      </c>
      <c r="O9411" s="94">
        <f>VLOOKUP($Q9411,매칭테이블!$F:$I,4,0)*K9411</f>
        <v/>
      </c>
      <c r="P9411" s="148">
        <f>M9411/1.1</f>
        <v/>
      </c>
      <c r="Q9411" s="94">
        <f>F9411&amp;E9411&amp;G9411&amp;L9411</f>
        <v/>
      </c>
    </row>
    <row r="9412">
      <c r="A9412" s="94" t="n"/>
      <c r="B9412" s="128" t="n">
        <v>44096</v>
      </c>
      <c r="C9412" s="94">
        <f>TEXT(B9412,"aaa")</f>
        <v/>
      </c>
      <c r="D9412" s="60" t="n"/>
      <c r="E9412" s="60" t="inlineStr">
        <is>
          <t>로션</t>
        </is>
      </c>
      <c r="F9412" s="60" t="inlineStr">
        <is>
          <t>카페24</t>
        </is>
      </c>
      <c r="G9412" s="60" t="inlineStr">
        <is>
          <t>어성초 70 데일리 릴리프 로션 1개 -20% off</t>
        </is>
      </c>
      <c r="H9412" s="60" t="n">
        <v>200801</v>
      </c>
      <c r="I9412" s="60" t="n">
        <v>200801</v>
      </c>
      <c r="J9412" s="60" t="n"/>
      <c r="K9412" s="60" t="n">
        <v>1</v>
      </c>
      <c r="L9412" s="60" t="n">
        <v>200801</v>
      </c>
      <c r="M9412" s="94">
        <f>VLOOKUP($Q9412,매칭테이블!$F:$I,2,0)*K9412</f>
        <v/>
      </c>
      <c r="N9412" s="94">
        <f>M9412-M9412*VLOOKUP($Q9412,매칭테이블!$F:$I,3,0)</f>
        <v/>
      </c>
      <c r="O9412" s="94">
        <f>VLOOKUP($Q9412,매칭테이블!$F:$I,4,0)*K9412</f>
        <v/>
      </c>
      <c r="P9412" s="148">
        <f>M9412/1.1</f>
        <v/>
      </c>
      <c r="Q9412" s="94">
        <f>F9412&amp;E9412&amp;G9412&amp;L9412</f>
        <v/>
      </c>
    </row>
    <row r="9413">
      <c r="A9413" s="94" t="n"/>
      <c r="B9413" s="128" t="n">
        <v>44096</v>
      </c>
      <c r="C9413" s="94">
        <f>TEXT(B9413,"aaa")</f>
        <v/>
      </c>
      <c r="D9413" s="60" t="n"/>
      <c r="E9413" s="60" t="inlineStr">
        <is>
          <t>로션</t>
        </is>
      </c>
      <c r="F9413" s="60" t="inlineStr">
        <is>
          <t>카페24</t>
        </is>
      </c>
      <c r="G9413" s="60" t="inlineStr">
        <is>
          <t>어성초 70 데일리 릴리프 로션 2개 -30% off</t>
        </is>
      </c>
      <c r="H9413" s="60" t="n">
        <v>200801</v>
      </c>
      <c r="I9413" s="60" t="n">
        <v>200801</v>
      </c>
      <c r="J9413" s="60" t="n"/>
      <c r="K9413" s="60" t="n">
        <v>1</v>
      </c>
      <c r="L9413" s="60" t="n">
        <v>200801</v>
      </c>
      <c r="M9413" s="94">
        <f>VLOOKUP($Q9413,매칭테이블!$F:$I,2,0)*K9413</f>
        <v/>
      </c>
      <c r="N9413" s="94">
        <f>M9413-M9413*VLOOKUP($Q9413,매칭테이블!$F:$I,3,0)</f>
        <v/>
      </c>
      <c r="O9413" s="94">
        <f>VLOOKUP($Q9413,매칭테이블!$F:$I,4,0)*K9413</f>
        <v/>
      </c>
      <c r="P9413" s="148">
        <f>M9413/1.1</f>
        <v/>
      </c>
      <c r="Q9413" s="94">
        <f>F9413&amp;E9413&amp;G9413&amp;L9413</f>
        <v/>
      </c>
    </row>
    <row r="9414">
      <c r="A9414" s="94" t="n"/>
      <c r="B9414" s="128" t="n">
        <v>44096</v>
      </c>
      <c r="C9414" s="94">
        <f>TEXT(B9414,"aaa")</f>
        <v/>
      </c>
      <c r="D9414" s="60" t="n"/>
      <c r="E9414" s="60" t="inlineStr">
        <is>
          <t>마스크팩</t>
        </is>
      </c>
      <c r="F9414" s="60" t="inlineStr">
        <is>
          <t>카페24</t>
        </is>
      </c>
      <c r="G9414" s="60" t="inlineStr">
        <is>
          <t>마스크팩 1매</t>
        </is>
      </c>
      <c r="H9414" s="60" t="n">
        <v>200801</v>
      </c>
      <c r="I9414" s="60" t="n">
        <v>200801</v>
      </c>
      <c r="J9414" s="60" t="n"/>
      <c r="K9414" s="60" t="n">
        <v>2</v>
      </c>
      <c r="L9414" s="60" t="n">
        <v>200801</v>
      </c>
      <c r="M9414" s="94">
        <f>VLOOKUP($Q9414,매칭테이블!$F:$I,2,0)*K9414</f>
        <v/>
      </c>
      <c r="N9414" s="94">
        <f>M9414-M9414*VLOOKUP($Q9414,매칭테이블!$F:$I,3,0)</f>
        <v/>
      </c>
      <c r="O9414" s="94">
        <f>VLOOKUP($Q9414,매칭테이블!$F:$I,4,0)*K9414</f>
        <v/>
      </c>
      <c r="P9414" s="148">
        <f>M9414/1.1</f>
        <v/>
      </c>
      <c r="Q9414" s="94">
        <f>F9414&amp;E9414&amp;G9414&amp;L9414</f>
        <v/>
      </c>
    </row>
    <row r="9415">
      <c r="A9415" s="94" t="n"/>
      <c r="B9415" s="128" t="n">
        <v>44096</v>
      </c>
      <c r="C9415" s="94">
        <f>TEXT(B9415,"aaa")</f>
        <v/>
      </c>
      <c r="D9415" s="60" t="n"/>
      <c r="E9415" s="60" t="inlineStr">
        <is>
          <t>마스크팩</t>
        </is>
      </c>
      <c r="F9415" s="60" t="inlineStr">
        <is>
          <t>카페24</t>
        </is>
      </c>
      <c r="G9415" s="60" t="inlineStr">
        <is>
          <t>마스크팩 10매</t>
        </is>
      </c>
      <c r="H9415" s="60" t="n">
        <v>200801</v>
      </c>
      <c r="I9415" s="60" t="n">
        <v>200801</v>
      </c>
      <c r="J9415" s="60" t="n"/>
      <c r="K9415" s="60" t="n">
        <v>5</v>
      </c>
      <c r="L9415" s="60" t="n">
        <v>200801</v>
      </c>
      <c r="M9415" s="94">
        <f>VLOOKUP($Q9415,매칭테이블!$F:$I,2,0)*K9415</f>
        <v/>
      </c>
      <c r="N9415" s="94">
        <f>M9415-M9415*VLOOKUP($Q9415,매칭테이블!$F:$I,3,0)</f>
        <v/>
      </c>
      <c r="O9415" s="94">
        <f>VLOOKUP($Q9415,매칭테이블!$F:$I,4,0)*K9415</f>
        <v/>
      </c>
      <c r="P9415" s="148">
        <f>M9415/1.1</f>
        <v/>
      </c>
      <c r="Q9415" s="94">
        <f>F9415&amp;E9415&amp;G9415&amp;L9415</f>
        <v/>
      </c>
    </row>
    <row r="9416">
      <c r="A9416" s="94" t="n"/>
      <c r="B9416" s="128" t="n">
        <v>44096</v>
      </c>
      <c r="C9416" s="94">
        <f>TEXT(B9416,"aaa")</f>
        <v/>
      </c>
      <c r="D9416" s="60" t="n"/>
      <c r="E9416" s="60" t="inlineStr">
        <is>
          <t>토너</t>
        </is>
      </c>
      <c r="F9416" s="60" t="inlineStr">
        <is>
          <t>카페24</t>
        </is>
      </c>
      <c r="G9416" s="60" t="inlineStr">
        <is>
          <t>250ml</t>
        </is>
      </c>
      <c r="H9416" s="60" t="n">
        <v>200801</v>
      </c>
      <c r="I9416" s="60" t="n">
        <v>200801</v>
      </c>
      <c r="J9416" s="60" t="n"/>
      <c r="K9416" s="60" t="n">
        <v>39</v>
      </c>
      <c r="L9416" s="60" t="n">
        <v>200801</v>
      </c>
      <c r="M9416" s="94">
        <f>VLOOKUP($Q9416,매칭테이블!$F:$I,2,0)*K9416</f>
        <v/>
      </c>
      <c r="N9416" s="94">
        <f>M9416-M9416*VLOOKUP($Q9416,매칭테이블!$F:$I,3,0)</f>
        <v/>
      </c>
      <c r="O9416" s="94">
        <f>VLOOKUP($Q9416,매칭테이블!$F:$I,4,0)*K9416</f>
        <v/>
      </c>
      <c r="P9416" s="148">
        <f>M9416/1.1</f>
        <v/>
      </c>
      <c r="Q9416" s="94">
        <f>F9416&amp;E9416&amp;G9416&amp;L9416</f>
        <v/>
      </c>
    </row>
    <row r="9417">
      <c r="A9417" s="94" t="n"/>
      <c r="B9417" s="128" t="n">
        <v>44096</v>
      </c>
      <c r="C9417" s="94">
        <f>TEXT(B9417,"aaa")</f>
        <v/>
      </c>
      <c r="D9417" s="60" t="n"/>
      <c r="E9417" s="60" t="inlineStr">
        <is>
          <t>토너</t>
        </is>
      </c>
      <c r="F9417" s="60" t="inlineStr">
        <is>
          <t>카페24</t>
        </is>
      </c>
      <c r="G9417" s="60" t="inlineStr">
        <is>
          <t>250ml 2set</t>
        </is>
      </c>
      <c r="H9417" s="60" t="n">
        <v>200801</v>
      </c>
      <c r="I9417" s="60" t="n">
        <v>200801</v>
      </c>
      <c r="J9417" s="60" t="n"/>
      <c r="K9417" s="60" t="n">
        <v>27</v>
      </c>
      <c r="L9417" s="60" t="n">
        <v>200801</v>
      </c>
      <c r="M9417" s="94">
        <f>VLOOKUP($Q9417,매칭테이블!$F:$I,2,0)*K9417</f>
        <v/>
      </c>
      <c r="N9417" s="94">
        <f>M9417-M9417*VLOOKUP($Q9417,매칭테이블!$F:$I,3,0)</f>
        <v/>
      </c>
      <c r="O9417" s="94">
        <f>VLOOKUP($Q9417,매칭테이블!$F:$I,4,0)*K9417</f>
        <v/>
      </c>
      <c r="P9417" s="148">
        <f>M9417/1.1</f>
        <v/>
      </c>
      <c r="Q9417" s="94">
        <f>F9417&amp;E9417&amp;G9417&amp;L9417</f>
        <v/>
      </c>
    </row>
    <row r="9418">
      <c r="A9418" s="94" t="n"/>
      <c r="B9418" s="128" t="n">
        <v>44096</v>
      </c>
      <c r="C9418" s="94">
        <f>TEXT(B9418,"aaa")</f>
        <v/>
      </c>
      <c r="D9418" s="60" t="n"/>
      <c r="E9418" s="60" t="inlineStr">
        <is>
          <t>토너</t>
        </is>
      </c>
      <c r="F9418" s="60" t="inlineStr">
        <is>
          <t>카페24</t>
        </is>
      </c>
      <c r="G9418" s="60" t="inlineStr">
        <is>
          <t>500ml</t>
        </is>
      </c>
      <c r="H9418" s="60" t="n">
        <v>200801</v>
      </c>
      <c r="I9418" s="60" t="n">
        <v>200801</v>
      </c>
      <c r="J9418" s="60" t="n"/>
      <c r="K9418" s="60" t="n">
        <v>45</v>
      </c>
      <c r="L9418" s="60" t="n">
        <v>200801</v>
      </c>
      <c r="M9418" s="94">
        <f>VLOOKUP($Q9418,매칭테이블!$F:$I,2,0)*K9418</f>
        <v/>
      </c>
      <c r="N9418" s="94">
        <f>M9418-M9418*VLOOKUP($Q9418,매칭테이블!$F:$I,3,0)</f>
        <v/>
      </c>
      <c r="O9418" s="94">
        <f>VLOOKUP($Q9418,매칭테이블!$F:$I,4,0)*K9418</f>
        <v/>
      </c>
      <c r="P9418" s="148">
        <f>M9418/1.1</f>
        <v/>
      </c>
      <c r="Q9418" s="94">
        <f>F9418&amp;E9418&amp;G9418&amp;L9418</f>
        <v/>
      </c>
    </row>
    <row r="9419">
      <c r="A9419" s="94" t="n"/>
      <c r="B9419" s="128" t="n">
        <v>44096</v>
      </c>
      <c r="C9419" s="94">
        <f>TEXT(B9419,"aaa")</f>
        <v/>
      </c>
      <c r="D9419" s="60" t="n"/>
      <c r="E9419" s="60" t="inlineStr">
        <is>
          <t>토너</t>
        </is>
      </c>
      <c r="F9419" s="60" t="inlineStr">
        <is>
          <t>카페24</t>
        </is>
      </c>
      <c r="G9419" s="60" t="inlineStr">
        <is>
          <t>스킨팩 화장솜 60P</t>
        </is>
      </c>
      <c r="H9419" s="60" t="n">
        <v>200801</v>
      </c>
      <c r="I9419" s="60" t="n">
        <v>200801</v>
      </c>
      <c r="J9419" s="60" t="n"/>
      <c r="K9419" s="60" t="n">
        <v>36</v>
      </c>
      <c r="L9419" s="60" t="n">
        <v>200801</v>
      </c>
      <c r="M9419" s="94">
        <f>VLOOKUP($Q9419,매칭테이블!$F:$I,2,0)*K9419</f>
        <v/>
      </c>
      <c r="N9419" s="94">
        <f>M9419-M9419*VLOOKUP($Q9419,매칭테이블!$F:$I,3,0)</f>
        <v/>
      </c>
      <c r="O9419" s="94">
        <f>VLOOKUP($Q9419,매칭테이블!$F:$I,4,0)*K9419</f>
        <v/>
      </c>
      <c r="P9419" s="148">
        <f>M9419/1.1</f>
        <v/>
      </c>
      <c r="Q9419" s="94">
        <f>F9419&amp;E9419&amp;G9419&amp;L9419</f>
        <v/>
      </c>
    </row>
    <row r="9420">
      <c r="A9420" s="94" t="n"/>
      <c r="B9420" s="128" t="n">
        <v>44096</v>
      </c>
      <c r="C9420" s="94">
        <f>TEXT(B9420,"aaa")</f>
        <v/>
      </c>
      <c r="D9420" s="60" t="n"/>
      <c r="E9420" s="60" t="inlineStr">
        <is>
          <t>앰플</t>
        </is>
      </c>
      <c r="F9420" s="60" t="inlineStr">
        <is>
          <t>카페24</t>
        </is>
      </c>
      <c r="G9420" s="60" t="inlineStr">
        <is>
          <t>앰플 30ml</t>
        </is>
      </c>
      <c r="H9420" s="60" t="n">
        <v>200801</v>
      </c>
      <c r="I9420" s="60" t="n">
        <v>200801</v>
      </c>
      <c r="J9420" s="60" t="n"/>
      <c r="K9420" s="60" t="n">
        <v>9</v>
      </c>
      <c r="L9420" s="60" t="n">
        <v>200801</v>
      </c>
      <c r="M9420" s="94">
        <f>VLOOKUP($Q9420,매칭테이블!$F:$I,2,0)*K9420</f>
        <v/>
      </c>
      <c r="N9420" s="94">
        <f>M9420-M9420*VLOOKUP($Q9420,매칭테이블!$F:$I,3,0)</f>
        <v/>
      </c>
      <c r="O9420" s="94">
        <f>VLOOKUP($Q9420,매칭테이블!$F:$I,4,0)*K9420</f>
        <v/>
      </c>
      <c r="P9420" s="148">
        <f>M9420/1.1</f>
        <v/>
      </c>
      <c r="Q9420" s="94">
        <f>F9420&amp;E9420&amp;G9420&amp;L9420</f>
        <v/>
      </c>
    </row>
    <row r="9421">
      <c r="A9421" s="94" t="n"/>
      <c r="B9421" s="128" t="n">
        <v>44096</v>
      </c>
      <c r="C9421" s="94">
        <f>TEXT(B9421,"aaa")</f>
        <v/>
      </c>
      <c r="D9421" s="60" t="n"/>
      <c r="E9421" s="60" t="inlineStr">
        <is>
          <t>앰플</t>
        </is>
      </c>
      <c r="F9421" s="60" t="inlineStr">
        <is>
          <t>카페24</t>
        </is>
      </c>
      <c r="G9421" s="60" t="inlineStr">
        <is>
          <t>앰플 30ml  2set</t>
        </is>
      </c>
      <c r="H9421" s="60" t="n">
        <v>200801</v>
      </c>
      <c r="I9421" s="60" t="n">
        <v>200801</v>
      </c>
      <c r="J9421" s="60" t="n"/>
      <c r="K9421" s="60" t="n">
        <v>4</v>
      </c>
      <c r="L9421" s="60" t="n">
        <v>200801</v>
      </c>
      <c r="M9421" s="94">
        <f>VLOOKUP($Q9421,매칭테이블!$F:$I,2,0)*K9421</f>
        <v/>
      </c>
      <c r="N9421" s="94">
        <f>M9421-M9421*VLOOKUP($Q9421,매칭테이블!$F:$I,3,0)</f>
        <v/>
      </c>
      <c r="O9421" s="94">
        <f>VLOOKUP($Q9421,매칭테이블!$F:$I,4,0)*K9421</f>
        <v/>
      </c>
      <c r="P9421" s="148">
        <f>M9421/1.1</f>
        <v/>
      </c>
      <c r="Q9421" s="94">
        <f>F9421&amp;E9421&amp;G9421&amp;L9421</f>
        <v/>
      </c>
    </row>
    <row r="9422">
      <c r="A9422" s="94" t="n"/>
      <c r="B9422" s="128" t="n">
        <v>44096</v>
      </c>
      <c r="C9422" s="94">
        <f>TEXT(B9422,"aaa")</f>
        <v/>
      </c>
      <c r="D9422" s="60" t="n"/>
      <c r="E9422" s="60" t="inlineStr">
        <is>
          <t>수딩크림</t>
        </is>
      </c>
      <c r="F9422" s="60" t="inlineStr">
        <is>
          <t>카페24</t>
        </is>
      </c>
      <c r="G9422" s="60" t="inlineStr">
        <is>
          <t>수딩크림 100ml</t>
        </is>
      </c>
      <c r="H9422" s="60" t="n">
        <v>200801</v>
      </c>
      <c r="I9422" s="60" t="n">
        <v>200801</v>
      </c>
      <c r="J9422" s="60" t="n"/>
      <c r="K9422" s="60" t="n">
        <v>1</v>
      </c>
      <c r="L9422" s="60" t="n">
        <v>200801</v>
      </c>
      <c r="M9422" s="94">
        <f>VLOOKUP($Q9422,매칭테이블!$F:$I,2,0)*K9422</f>
        <v/>
      </c>
      <c r="N9422" s="94">
        <f>M9422-M9422*VLOOKUP($Q9422,매칭테이블!$F:$I,3,0)</f>
        <v/>
      </c>
      <c r="O9422" s="94">
        <f>VLOOKUP($Q9422,매칭테이블!$F:$I,4,0)*K9422</f>
        <v/>
      </c>
      <c r="P9422" s="148">
        <f>M9422/1.1</f>
        <v/>
      </c>
      <c r="Q9422" s="94">
        <f>F9422&amp;E9422&amp;G9422&amp;L9422</f>
        <v/>
      </c>
    </row>
    <row r="9423">
      <c r="A9423" s="94" t="n"/>
      <c r="B9423" s="128" t="n">
        <v>44096</v>
      </c>
      <c r="C9423" s="94">
        <f>TEXT(B9423,"aaa")</f>
        <v/>
      </c>
      <c r="D9423" s="60" t="n"/>
      <c r="E9423" s="60" t="inlineStr">
        <is>
          <t>클렌징폼</t>
        </is>
      </c>
      <c r="F9423" s="60" t="inlineStr">
        <is>
          <t>카페24</t>
        </is>
      </c>
      <c r="G9423" s="60" t="inlineStr">
        <is>
          <t>클렌징폼 120ml</t>
        </is>
      </c>
      <c r="H9423" s="60" t="n">
        <v>200801</v>
      </c>
      <c r="I9423" s="60" t="n">
        <v>200801</v>
      </c>
      <c r="J9423" s="60" t="n"/>
      <c r="K9423" s="60" t="n">
        <v>7</v>
      </c>
      <c r="L9423" s="60" t="n">
        <v>200801</v>
      </c>
      <c r="M9423" s="94">
        <f>VLOOKUP($Q9423,매칭테이블!$F:$I,2,0)*K9423</f>
        <v/>
      </c>
      <c r="N9423" s="94">
        <f>M9423-M9423*VLOOKUP($Q9423,매칭테이블!$F:$I,3,0)</f>
        <v/>
      </c>
      <c r="O9423" s="94">
        <f>VLOOKUP($Q9423,매칭테이블!$F:$I,4,0)*K9423</f>
        <v/>
      </c>
      <c r="P9423" s="148">
        <f>M9423/1.1</f>
        <v/>
      </c>
      <c r="Q9423" s="94">
        <f>F9423&amp;E9423&amp;G9423&amp;L9423</f>
        <v/>
      </c>
    </row>
    <row r="9424">
      <c r="A9424" s="94" t="n"/>
      <c r="B9424" s="128" t="n">
        <v>44096</v>
      </c>
      <c r="C9424" s="94">
        <f>TEXT(B9424,"aaa")</f>
        <v/>
      </c>
      <c r="D9424" s="60" t="n"/>
      <c r="E9424" s="60" t="inlineStr">
        <is>
          <t>클렌징폼</t>
        </is>
      </c>
      <c r="F9424" s="60" t="inlineStr">
        <is>
          <t>카페24</t>
        </is>
      </c>
      <c r="G9424" s="60" t="inlineStr">
        <is>
          <t>클렌징폼 120ml 2set</t>
        </is>
      </c>
      <c r="H9424" s="60" t="n">
        <v>200801</v>
      </c>
      <c r="I9424" s="60" t="n">
        <v>200801</v>
      </c>
      <c r="J9424" s="60" t="n"/>
      <c r="K9424" s="60" t="n">
        <v>1</v>
      </c>
      <c r="L9424" s="60" t="n">
        <v>200801</v>
      </c>
      <c r="M9424" s="94">
        <f>VLOOKUP($Q9424,매칭테이블!$F:$I,2,0)*K9424</f>
        <v/>
      </c>
      <c r="N9424" s="94">
        <f>M9424-M9424*VLOOKUP($Q9424,매칭테이블!$F:$I,3,0)</f>
        <v/>
      </c>
      <c r="O9424" s="94">
        <f>VLOOKUP($Q9424,매칭테이블!$F:$I,4,0)*K9424</f>
        <v/>
      </c>
      <c r="P9424" s="148">
        <f>M9424/1.1</f>
        <v/>
      </c>
      <c r="Q9424" s="94">
        <f>F9424&amp;E9424&amp;G9424&amp;L9424</f>
        <v/>
      </c>
    </row>
    <row r="9425">
      <c r="A9425" s="94" t="n"/>
      <c r="B9425" s="128" t="n">
        <v>44096</v>
      </c>
      <c r="C9425" s="94">
        <f>TEXT(B9425,"aaa")</f>
        <v/>
      </c>
      <c r="D9425" s="60" t="n"/>
      <c r="E9425" s="60" t="inlineStr">
        <is>
          <t>클렌징폼</t>
        </is>
      </c>
      <c r="F9425" s="60" t="inlineStr">
        <is>
          <t>카페24</t>
        </is>
      </c>
      <c r="G9425" s="60" t="inlineStr">
        <is>
          <t>클렌징폼 120ml 3set</t>
        </is>
      </c>
      <c r="H9425" s="60" t="n">
        <v>200801</v>
      </c>
      <c r="I9425" s="60" t="n">
        <v>200801</v>
      </c>
      <c r="J9425" s="60" t="n"/>
      <c r="K9425" s="60" t="n">
        <v>1</v>
      </c>
      <c r="L9425" s="60" t="n">
        <v>200801</v>
      </c>
      <c r="M9425" s="94">
        <f>VLOOKUP($Q9425,매칭테이블!$F:$I,2,0)*K9425</f>
        <v/>
      </c>
      <c r="N9425" s="94">
        <f>M9425-M9425*VLOOKUP($Q9425,매칭테이블!$F:$I,3,0)</f>
        <v/>
      </c>
      <c r="O9425" s="94">
        <f>VLOOKUP($Q9425,매칭테이블!$F:$I,4,0)*K9425</f>
        <v/>
      </c>
      <c r="P9425" s="148">
        <f>M9425/1.1</f>
        <v/>
      </c>
      <c r="Q9425" s="94">
        <f>F9425&amp;E9425&amp;G9425&amp;L9425</f>
        <v/>
      </c>
    </row>
    <row r="9426">
      <c r="A9426" s="94" t="n"/>
      <c r="B9426" s="128" t="n">
        <v>44096</v>
      </c>
      <c r="C9426" s="94">
        <f>TEXT(B9426,"aaa")</f>
        <v/>
      </c>
      <c r="D9426" s="60" t="n"/>
      <c r="E9426" s="60" t="inlineStr">
        <is>
          <t>바디워시</t>
        </is>
      </c>
      <c r="F9426" s="60" t="inlineStr">
        <is>
          <t>카페24</t>
        </is>
      </c>
      <c r="G9426" s="60" t="inlineStr">
        <is>
          <t>바디워시 1개 -30% off</t>
        </is>
      </c>
      <c r="H9426" s="60" t="n">
        <v>200801</v>
      </c>
      <c r="I9426" s="60" t="n">
        <v>200801</v>
      </c>
      <c r="J9426" s="60" t="n"/>
      <c r="K9426" s="60" t="n">
        <v>1</v>
      </c>
      <c r="L9426" s="60" t="n">
        <v>200801</v>
      </c>
      <c r="M9426" s="94">
        <f>VLOOKUP($Q9426,매칭테이블!$F:$I,2,0)*K9426</f>
        <v/>
      </c>
      <c r="N9426" s="94">
        <f>M9426-M9426*VLOOKUP($Q9426,매칭테이블!$F:$I,3,0)</f>
        <v/>
      </c>
      <c r="O9426" s="94">
        <f>VLOOKUP($Q9426,매칭테이블!$F:$I,4,0)*K9426</f>
        <v/>
      </c>
      <c r="P9426" s="148">
        <f>M9426/1.1</f>
        <v/>
      </c>
      <c r="Q9426" s="94">
        <f>F9426&amp;E9426&amp;G9426&amp;L9426</f>
        <v/>
      </c>
    </row>
    <row r="9427">
      <c r="A9427" s="94" t="n"/>
      <c r="B9427" s="128" t="n">
        <v>44096</v>
      </c>
      <c r="C9427" s="94">
        <f>TEXT(B9427,"aaa")</f>
        <v/>
      </c>
      <c r="D9427" s="60" t="n"/>
      <c r="E9427" s="60" t="inlineStr">
        <is>
          <t>토너</t>
        </is>
      </c>
      <c r="F9427" s="60" t="inlineStr">
        <is>
          <t>큐텐재팬</t>
        </is>
      </c>
      <c r="G9427" s="60" t="inlineStr">
        <is>
          <t>200726=250ml</t>
        </is>
      </c>
      <c r="H9427" s="60" t="n">
        <v>200801</v>
      </c>
      <c r="I9427" s="60" t="n">
        <v>200801</v>
      </c>
      <c r="J9427" s="60" t="n"/>
      <c r="K9427" s="60" t="n">
        <v>2</v>
      </c>
      <c r="L9427" s="60" t="n">
        <v>200801</v>
      </c>
      <c r="M9427" s="94">
        <f>VLOOKUP($Q9427,매칭테이블!$F:$I,2,0)*K9427</f>
        <v/>
      </c>
      <c r="N9427" s="94">
        <f>M9427-M9427*VLOOKUP($Q9427,매칭테이블!$F:$I,3,0)</f>
        <v/>
      </c>
      <c r="O9427" s="94">
        <f>VLOOKUP($Q9427,매칭테이블!$F:$I,4,0)*K9427</f>
        <v/>
      </c>
      <c r="P9427" s="148">
        <f>M9427/1.1</f>
        <v/>
      </c>
      <c r="Q9427" s="94">
        <f>F9427&amp;E9427&amp;G9427&amp;L9427</f>
        <v/>
      </c>
    </row>
    <row r="9428">
      <c r="A9428" s="94" t="n"/>
      <c r="B9428" s="128" t="n">
        <v>44096</v>
      </c>
      <c r="C9428" s="94">
        <f>TEXT(B9428,"aaa")</f>
        <v/>
      </c>
      <c r="D9428" s="60" t="n"/>
      <c r="E9428" s="60" t="inlineStr">
        <is>
          <t>머드크림마스크</t>
        </is>
      </c>
      <c r="F9428" s="60" t="inlineStr">
        <is>
          <t>큐텐재팬</t>
        </is>
      </c>
      <c r="G9428" s="60" t="inlineStr">
        <is>
          <t>200726=머드크림마스크 100ml</t>
        </is>
      </c>
      <c r="H9428" s="60" t="n">
        <v>200801</v>
      </c>
      <c r="I9428" s="60" t="n">
        <v>200801</v>
      </c>
      <c r="J9428" s="60" t="n"/>
      <c r="K9428" s="60" t="n">
        <v>1</v>
      </c>
      <c r="L9428" s="60" t="n">
        <v>200801</v>
      </c>
      <c r="M9428" s="94">
        <f>VLOOKUP($Q9428,매칭테이블!$F:$I,2,0)*K9428</f>
        <v/>
      </c>
      <c r="N9428" s="94">
        <f>M9428-M9428*VLOOKUP($Q9428,매칭테이블!$F:$I,3,0)</f>
        <v/>
      </c>
      <c r="O9428" s="94">
        <f>VLOOKUP($Q9428,매칭테이블!$F:$I,4,0)*K9428</f>
        <v/>
      </c>
      <c r="P9428" s="148">
        <f>M9428/1.1</f>
        <v/>
      </c>
      <c r="Q9428" s="94">
        <f>F9428&amp;E9428&amp;G9428&amp;L9428</f>
        <v/>
      </c>
    </row>
    <row r="9429">
      <c r="A9429" s="94" t="n"/>
      <c r="B9429" s="128" t="n">
        <v>44096</v>
      </c>
      <c r="C9429" s="94">
        <f>TEXT(B9429,"aaa")</f>
        <v/>
      </c>
      <c r="D9429" s="60" t="n"/>
      <c r="E9429" s="60" t="inlineStr">
        <is>
          <t>앰플</t>
        </is>
      </c>
      <c r="F9429" s="60" t="inlineStr">
        <is>
          <t>화해</t>
        </is>
      </c>
      <c r="G9429" s="60" t="inlineStr">
        <is>
          <t>앰플 30ml</t>
        </is>
      </c>
      <c r="H9429" s="60" t="n">
        <v>200801</v>
      </c>
      <c r="I9429" s="60" t="n">
        <v>200801</v>
      </c>
      <c r="J9429" s="60" t="n"/>
      <c r="K9429" s="60" t="n">
        <v>1</v>
      </c>
      <c r="L9429" s="60" t="n">
        <v>200801</v>
      </c>
      <c r="M9429" s="94">
        <f>VLOOKUP($Q9429,매칭테이블!$F:$I,2,0)*K9429</f>
        <v/>
      </c>
      <c r="N9429" s="94">
        <f>M9429-M9429*VLOOKUP($Q9429,매칭테이블!$F:$I,3,0)</f>
        <v/>
      </c>
      <c r="O9429" s="94">
        <f>VLOOKUP($Q9429,매칭테이블!$F:$I,4,0)*K9429</f>
        <v/>
      </c>
      <c r="P9429" s="148">
        <f>M9429/1.1</f>
        <v/>
      </c>
      <c r="Q9429" s="94">
        <f>F9429&amp;E9429&amp;G9429&amp;L9429</f>
        <v/>
      </c>
    </row>
    <row r="9430">
      <c r="A9430" s="94" t="n"/>
      <c r="B9430" s="128" t="n">
        <v>44096</v>
      </c>
      <c r="C9430" s="94">
        <f>TEXT(B9430,"aaa")</f>
        <v/>
      </c>
      <c r="D9430" s="60" t="n"/>
      <c r="E9430" s="60" t="inlineStr">
        <is>
          <t>토너</t>
        </is>
      </c>
      <c r="F9430" s="60" t="inlineStr">
        <is>
          <t>화해</t>
        </is>
      </c>
      <c r="G9430" s="60" t="inlineStr">
        <is>
          <t>250ml</t>
        </is>
      </c>
      <c r="H9430" s="60" t="n">
        <v>200801</v>
      </c>
      <c r="I9430" s="60" t="n">
        <v>200801</v>
      </c>
      <c r="J9430" s="60" t="n"/>
      <c r="K9430" s="60" t="n">
        <v>7</v>
      </c>
      <c r="L9430" s="60" t="n">
        <v>200801</v>
      </c>
      <c r="M9430" s="94">
        <f>VLOOKUP($Q9430,매칭테이블!$F:$I,2,0)*K9430</f>
        <v/>
      </c>
      <c r="N9430" s="94">
        <f>M9430-M9430*VLOOKUP($Q9430,매칭테이블!$F:$I,3,0)</f>
        <v/>
      </c>
      <c r="O9430" s="94">
        <f>VLOOKUP($Q9430,매칭테이블!$F:$I,4,0)*K9430</f>
        <v/>
      </c>
      <c r="P9430" s="148">
        <f>M9430/1.1</f>
        <v/>
      </c>
      <c r="Q9430" s="94">
        <f>F9430&amp;E9430&amp;G9430&amp;L9430</f>
        <v/>
      </c>
    </row>
    <row r="9431" customFormat="1" s="94">
      <c r="B9431" s="128" t="n">
        <v>44097</v>
      </c>
      <c r="C9431" s="94">
        <f>TEXT(B9431,"aaa")</f>
        <v/>
      </c>
      <c r="D9431" s="60" t="inlineStr">
        <is>
          <t xml:space="preserve">　</t>
        </is>
      </c>
      <c r="E9431" s="60" t="inlineStr">
        <is>
          <t>토너</t>
        </is>
      </c>
      <c r="F9431" s="60" t="inlineStr">
        <is>
          <t>W컨셉</t>
        </is>
      </c>
      <c r="G9431" s="60" t="inlineStr">
        <is>
          <t>250ml 2set</t>
        </is>
      </c>
      <c r="H9431" s="60" t="n">
        <v>200801</v>
      </c>
      <c r="I9431" s="60" t="n">
        <v>200801</v>
      </c>
      <c r="J9431" s="60" t="n"/>
      <c r="K9431" s="60" t="n">
        <v>2</v>
      </c>
      <c r="L9431" s="60" t="n">
        <v>200801</v>
      </c>
      <c r="M9431" s="94">
        <f>VLOOKUP($Q9431,매칭테이블!$F:$I,2,0)*K9431</f>
        <v/>
      </c>
      <c r="N9431" s="94">
        <f>M9431-M9431*VLOOKUP($Q9431,매칭테이블!$F:$I,3,0)</f>
        <v/>
      </c>
      <c r="O9431" s="94">
        <f>VLOOKUP($Q9431,매칭테이블!$F:$I,4,0)*K9431</f>
        <v/>
      </c>
      <c r="P9431" s="148">
        <f>M9431/1.1</f>
        <v/>
      </c>
      <c r="Q9431" s="94">
        <f>F9431&amp;E9431&amp;G9431&amp;L9431</f>
        <v/>
      </c>
    </row>
    <row r="9432" customFormat="1" s="94">
      <c r="B9432" s="128" t="n">
        <v>44097</v>
      </c>
      <c r="C9432" s="94">
        <f>TEXT(B9432,"aaa")</f>
        <v/>
      </c>
      <c r="D9432" s="60" t="inlineStr">
        <is>
          <t xml:space="preserve">　</t>
        </is>
      </c>
      <c r="E9432" s="60" t="inlineStr">
        <is>
          <t>토너</t>
        </is>
      </c>
      <c r="F9432" s="60" t="inlineStr">
        <is>
          <t>글로우데이즈 시코르</t>
        </is>
      </c>
      <c r="G9432" s="60" t="inlineStr">
        <is>
          <t>토너=250ml</t>
        </is>
      </c>
      <c r="H9432" s="60" t="n">
        <v>200801</v>
      </c>
      <c r="I9432" s="60" t="n">
        <v>200801</v>
      </c>
      <c r="J9432" s="60" t="n"/>
      <c r="K9432" s="60" t="n">
        <v>50</v>
      </c>
      <c r="L9432" s="60" t="n">
        <v>200801</v>
      </c>
      <c r="M9432" s="94">
        <f>VLOOKUP($Q9432,매칭테이블!$F:$I,2,0)*K9432</f>
        <v/>
      </c>
      <c r="N9432" s="94">
        <f>M9432-M9432*VLOOKUP($Q9432,매칭테이블!$F:$I,3,0)</f>
        <v/>
      </c>
      <c r="O9432" s="94">
        <f>VLOOKUP($Q9432,매칭테이블!$F:$I,4,0)*K9432</f>
        <v/>
      </c>
      <c r="P9432" s="148">
        <f>M9432/1.1</f>
        <v/>
      </c>
      <c r="Q9432" s="94">
        <f>F9432&amp;E9432&amp;G9432&amp;L9432</f>
        <v/>
      </c>
    </row>
    <row r="9433" customFormat="1" s="94">
      <c r="B9433" s="128" t="n">
        <v>44097</v>
      </c>
      <c r="C9433" s="94">
        <f>TEXT(B9433,"aaa")</f>
        <v/>
      </c>
      <c r="D9433" s="60" t="inlineStr">
        <is>
          <t xml:space="preserve">　</t>
        </is>
      </c>
      <c r="E9433" s="60" t="inlineStr">
        <is>
          <t>앰플</t>
        </is>
      </c>
      <c r="F9433" s="60" t="inlineStr">
        <is>
          <t>글로우데이즈 시코르</t>
        </is>
      </c>
      <c r="G9433" s="60" t="inlineStr">
        <is>
          <t>앰플=앰플 30ml</t>
        </is>
      </c>
      <c r="H9433" s="60" t="n">
        <v>200801</v>
      </c>
      <c r="I9433" s="60" t="n">
        <v>200801</v>
      </c>
      <c r="J9433" s="60" t="n"/>
      <c r="K9433" s="60" t="n">
        <v>40</v>
      </c>
      <c r="L9433" s="60" t="n">
        <v>200801</v>
      </c>
      <c r="M9433" s="94">
        <f>VLOOKUP($Q9433,매칭테이블!$F:$I,2,0)*K9433</f>
        <v/>
      </c>
      <c r="N9433" s="94">
        <f>M9433-M9433*VLOOKUP($Q9433,매칭테이블!$F:$I,3,0)</f>
        <v/>
      </c>
      <c r="O9433" s="94">
        <f>VLOOKUP($Q9433,매칭테이블!$F:$I,4,0)*K9433</f>
        <v/>
      </c>
      <c r="P9433" s="148">
        <f>M9433/1.1</f>
        <v/>
      </c>
      <c r="Q9433" s="94">
        <f>F9433&amp;E9433&amp;G9433&amp;L9433</f>
        <v/>
      </c>
    </row>
    <row r="9434" customFormat="1" s="94">
      <c r="B9434" s="128" t="n">
        <v>44097</v>
      </c>
      <c r="C9434" s="94">
        <f>TEXT(B9434,"aaa")</f>
        <v/>
      </c>
      <c r="D9434" s="60" t="inlineStr">
        <is>
          <t xml:space="preserve">　</t>
        </is>
      </c>
      <c r="E9434" s="60" t="inlineStr">
        <is>
          <t>수딩크림</t>
        </is>
      </c>
      <c r="F9434" s="60" t="inlineStr">
        <is>
          <t>글로우데이즈 시코르</t>
        </is>
      </c>
      <c r="G9434" s="60" t="inlineStr">
        <is>
          <t>수딩크림=수딩크림 100ml</t>
        </is>
      </c>
      <c r="H9434" s="60" t="n">
        <v>200801</v>
      </c>
      <c r="I9434" s="60" t="n">
        <v>200801</v>
      </c>
      <c r="J9434" s="60" t="n"/>
      <c r="K9434" s="60" t="n">
        <v>10</v>
      </c>
      <c r="L9434" s="60" t="n">
        <v>200801</v>
      </c>
      <c r="M9434" s="94">
        <f>VLOOKUP($Q9434,매칭테이블!$F:$I,2,0)*K9434</f>
        <v/>
      </c>
      <c r="N9434" s="94">
        <f>M9434-M9434*VLOOKUP($Q9434,매칭테이블!$F:$I,3,0)</f>
        <v/>
      </c>
      <c r="O9434" s="94">
        <f>VLOOKUP($Q9434,매칭테이블!$F:$I,4,0)*K9434</f>
        <v/>
      </c>
      <c r="P9434" s="148">
        <f>M9434/1.1</f>
        <v/>
      </c>
      <c r="Q9434" s="94">
        <f>F9434&amp;E9434&amp;G9434&amp;L9434</f>
        <v/>
      </c>
    </row>
    <row r="9435" customFormat="1" s="94">
      <c r="B9435" s="128" t="n">
        <v>44097</v>
      </c>
      <c r="C9435" s="94">
        <f>TEXT(B9435,"aaa")</f>
        <v/>
      </c>
      <c r="D9435" s="60" t="inlineStr">
        <is>
          <t xml:space="preserve">　</t>
        </is>
      </c>
      <c r="E9435" s="60" t="inlineStr">
        <is>
          <t>머드크림마스크</t>
        </is>
      </c>
      <c r="F9435" s="60" t="inlineStr">
        <is>
          <t>글로우데이즈 시코르</t>
        </is>
      </c>
      <c r="G9435" s="60" t="inlineStr">
        <is>
          <t>머드크림마스크=머드크림마스크 100ml</t>
        </is>
      </c>
      <c r="H9435" s="60" t="n">
        <v>200801</v>
      </c>
      <c r="I9435" s="60" t="n">
        <v>200801</v>
      </c>
      <c r="J9435" s="60" t="n"/>
      <c r="K9435" s="60" t="n">
        <v>10</v>
      </c>
      <c r="L9435" s="60" t="n">
        <v>200801</v>
      </c>
      <c r="M9435" s="94">
        <f>VLOOKUP($Q9435,매칭테이블!$F:$I,2,0)*K9435</f>
        <v/>
      </c>
      <c r="N9435" s="94">
        <f>M9435-M9435*VLOOKUP($Q9435,매칭테이블!$F:$I,3,0)</f>
        <v/>
      </c>
      <c r="O9435" s="94">
        <f>VLOOKUP($Q9435,매칭테이블!$F:$I,4,0)*K9435</f>
        <v/>
      </c>
      <c r="P9435" s="148">
        <f>M9435/1.1</f>
        <v/>
      </c>
      <c r="Q9435" s="94">
        <f>F9435&amp;E9435&amp;G9435&amp;L9435</f>
        <v/>
      </c>
    </row>
    <row r="9436" customFormat="1" s="94">
      <c r="B9436" s="128" t="n">
        <v>44097</v>
      </c>
      <c r="C9436" s="94">
        <f>TEXT(B9436,"aaa")</f>
        <v/>
      </c>
      <c r="D9436" s="60" t="inlineStr">
        <is>
          <t xml:space="preserve">　</t>
        </is>
      </c>
      <c r="E9436" s="60" t="inlineStr">
        <is>
          <t>클렌징폼</t>
        </is>
      </c>
      <c r="F9436" s="60" t="inlineStr">
        <is>
          <t>글로우데이즈 시코르</t>
        </is>
      </c>
      <c r="G9436" s="60" t="inlineStr">
        <is>
          <t>클렌징폼=클렌징폼 120ml</t>
        </is>
      </c>
      <c r="H9436" s="60" t="n">
        <v>200801</v>
      </c>
      <c r="I9436" s="60" t="n">
        <v>200801</v>
      </c>
      <c r="J9436" s="60" t="n"/>
      <c r="K9436" s="60" t="n">
        <v>20</v>
      </c>
      <c r="L9436" s="60" t="n">
        <v>200801</v>
      </c>
      <c r="M9436" s="94">
        <f>VLOOKUP($Q9436,매칭테이블!$F:$I,2,0)*K9436</f>
        <v/>
      </c>
      <c r="N9436" s="94">
        <f>M9436-M9436*VLOOKUP($Q9436,매칭테이블!$F:$I,3,0)</f>
        <v/>
      </c>
      <c r="O9436" s="94">
        <f>VLOOKUP($Q9436,매칭테이블!$F:$I,4,0)*K9436</f>
        <v/>
      </c>
      <c r="P9436" s="148">
        <f>M9436/1.1</f>
        <v/>
      </c>
      <c r="Q9436" s="94">
        <f>F9436&amp;E9436&amp;G9436&amp;L9436</f>
        <v/>
      </c>
    </row>
    <row r="9437" customFormat="1" s="94">
      <c r="B9437" s="128" t="n">
        <v>44097</v>
      </c>
      <c r="C9437" s="94">
        <f>TEXT(B9437,"aaa")</f>
        <v/>
      </c>
      <c r="D9437" s="60" t="inlineStr">
        <is>
          <t xml:space="preserve">　</t>
        </is>
      </c>
      <c r="E9437" s="60" t="inlineStr">
        <is>
          <t>마스크팩</t>
        </is>
      </c>
      <c r="F9437" s="60" t="inlineStr">
        <is>
          <t>글로우데이즈 시코르</t>
        </is>
      </c>
      <c r="G9437" s="60" t="inlineStr">
        <is>
          <t>마스크팩=마스크팩 10매</t>
        </is>
      </c>
      <c r="H9437" s="60" t="n">
        <v>200801</v>
      </c>
      <c r="I9437" s="60" t="n">
        <v>200801</v>
      </c>
      <c r="J9437" s="60" t="n"/>
      <c r="K9437" s="60" t="n">
        <v>53</v>
      </c>
      <c r="L9437" s="60" t="n">
        <v>200801</v>
      </c>
      <c r="M9437" s="94">
        <f>VLOOKUP($Q9437,매칭테이블!$F:$I,2,0)*K9437</f>
        <v/>
      </c>
      <c r="N9437" s="94">
        <f>M9437-M9437*VLOOKUP($Q9437,매칭테이블!$F:$I,3,0)</f>
        <v/>
      </c>
      <c r="O9437" s="94">
        <f>VLOOKUP($Q9437,매칭테이블!$F:$I,4,0)*K9437</f>
        <v/>
      </c>
      <c r="P9437" s="148">
        <f>M9437/1.1</f>
        <v/>
      </c>
      <c r="Q9437" s="94">
        <f>F9437&amp;E9437&amp;G9437&amp;L9437</f>
        <v/>
      </c>
    </row>
    <row r="9438" customFormat="1" s="94">
      <c r="B9438" s="128" t="n">
        <v>44097</v>
      </c>
      <c r="C9438" s="94">
        <f>TEXT(B9438,"aaa")</f>
        <v/>
      </c>
      <c r="D9438" s="60" t="inlineStr">
        <is>
          <t xml:space="preserve">　</t>
        </is>
      </c>
      <c r="E9438" s="60" t="inlineStr">
        <is>
          <t>선크림</t>
        </is>
      </c>
      <c r="F9438" s="60" t="inlineStr">
        <is>
          <t>글로우데이즈 시코르</t>
        </is>
      </c>
      <c r="G9438" s="60" t="inlineStr">
        <is>
          <t>선크림=선크림 50ml</t>
        </is>
      </c>
      <c r="H9438" s="60" t="n">
        <v>200801</v>
      </c>
      <c r="I9438" s="60" t="n">
        <v>200801</v>
      </c>
      <c r="J9438" s="60" t="n"/>
      <c r="K9438" s="60" t="n">
        <v>20</v>
      </c>
      <c r="L9438" s="60" t="n">
        <v>200801</v>
      </c>
      <c r="M9438" s="94">
        <f>VLOOKUP($Q9438,매칭테이블!$F:$I,2,0)*K9438</f>
        <v/>
      </c>
      <c r="N9438" s="94">
        <f>M9438-M9438*VLOOKUP($Q9438,매칭테이블!$F:$I,3,0)</f>
        <v/>
      </c>
      <c r="O9438" s="94">
        <f>VLOOKUP($Q9438,매칭테이블!$F:$I,4,0)*K9438</f>
        <v/>
      </c>
      <c r="P9438" s="148">
        <f>M9438/1.1</f>
        <v/>
      </c>
      <c r="Q9438" s="94">
        <f>F9438&amp;E9438&amp;G9438&amp;L9438</f>
        <v/>
      </c>
    </row>
    <row r="9439" customFormat="1" s="94">
      <c r="B9439" s="128" t="n">
        <v>44097</v>
      </c>
      <c r="C9439" s="94">
        <f>TEXT(B9439,"aaa")</f>
        <v/>
      </c>
      <c r="D9439" s="60" t="inlineStr">
        <is>
          <t xml:space="preserve">　</t>
        </is>
      </c>
      <c r="E9439" s="60" t="inlineStr">
        <is>
          <t>토너</t>
        </is>
      </c>
      <c r="F9439" s="60" t="inlineStr">
        <is>
          <t>스타일쉐어</t>
        </is>
      </c>
      <c r="G9439" s="60" t="inlineStr">
        <is>
          <t>250ml</t>
        </is>
      </c>
      <c r="H9439" s="60" t="n">
        <v>200801</v>
      </c>
      <c r="I9439" s="60" t="n">
        <v>200801</v>
      </c>
      <c r="J9439" s="60" t="n"/>
      <c r="K9439" s="60" t="n">
        <v>6</v>
      </c>
      <c r="L9439" s="60" t="n">
        <v>200801</v>
      </c>
      <c r="M9439" s="94">
        <f>VLOOKUP($Q9439,매칭테이블!$F:$I,2,0)*K9439</f>
        <v/>
      </c>
      <c r="N9439" s="94">
        <f>M9439-M9439*VLOOKUP($Q9439,매칭테이블!$F:$I,3,0)</f>
        <v/>
      </c>
      <c r="O9439" s="94">
        <f>VLOOKUP($Q9439,매칭테이블!$F:$I,4,0)*K9439</f>
        <v/>
      </c>
      <c r="P9439" s="148">
        <f>M9439/1.1</f>
        <v/>
      </c>
      <c r="Q9439" s="94">
        <f>F9439&amp;E9439&amp;G9439&amp;L9439</f>
        <v/>
      </c>
    </row>
    <row r="9440" customFormat="1" s="94">
      <c r="B9440" s="128" t="n">
        <v>44097</v>
      </c>
      <c r="C9440" s="94">
        <f>TEXT(B9440,"aaa")</f>
        <v/>
      </c>
      <c r="D9440" s="60" t="inlineStr">
        <is>
          <t xml:space="preserve">　</t>
        </is>
      </c>
      <c r="E9440" s="94" t="inlineStr">
        <is>
          <t>클리어 패드</t>
        </is>
      </c>
      <c r="F9440" s="60" t="inlineStr">
        <is>
          <t>아누아 CS</t>
        </is>
      </c>
      <c r="G9440" s="94" t="inlineStr">
        <is>
          <t>어성초 클리어패드 70P</t>
        </is>
      </c>
      <c r="H9440" s="60" t="n">
        <v>200801</v>
      </c>
      <c r="I9440" s="60" t="n">
        <v>200801</v>
      </c>
      <c r="J9440" s="60" t="n"/>
      <c r="K9440" s="60" t="n">
        <v>21</v>
      </c>
      <c r="L9440" s="60" t="n">
        <v>200801</v>
      </c>
      <c r="M9440" s="94">
        <f>VLOOKUP($Q9440,매칭테이블!$F:$I,2,0)*K9440</f>
        <v/>
      </c>
      <c r="N9440" s="94">
        <f>M9440-M9440*VLOOKUP($Q9440,매칭테이블!$F:$I,3,0)</f>
        <v/>
      </c>
      <c r="O9440" s="94">
        <f>VLOOKUP($Q9440,매칭테이블!$F:$I,4,0)*K9440</f>
        <v/>
      </c>
      <c r="P9440" s="148">
        <f>M9440/1.1</f>
        <v/>
      </c>
      <c r="Q9440" s="94">
        <f>F9440&amp;E9440&amp;G9440&amp;L9440</f>
        <v/>
      </c>
    </row>
    <row r="9441" customFormat="1" s="94">
      <c r="B9441" s="128" t="n">
        <v>44097</v>
      </c>
      <c r="C9441" s="94">
        <f>TEXT(B9441,"aaa")</f>
        <v/>
      </c>
      <c r="D9441" s="60" t="inlineStr">
        <is>
          <t xml:space="preserve">　</t>
        </is>
      </c>
      <c r="E9441" s="60" t="inlineStr">
        <is>
          <t>앰플</t>
        </is>
      </c>
      <c r="F9441" s="60" t="inlineStr">
        <is>
          <t>아누아 CS</t>
        </is>
      </c>
      <c r="G9441" s="60" t="inlineStr">
        <is>
          <t>앰플 30ml</t>
        </is>
      </c>
      <c r="H9441" s="60" t="n">
        <v>200801</v>
      </c>
      <c r="I9441" s="60" t="n">
        <v>200801</v>
      </c>
      <c r="J9441" s="60" t="n"/>
      <c r="K9441" s="60" t="n">
        <v>35</v>
      </c>
      <c r="L9441" s="60" t="n">
        <v>200801</v>
      </c>
      <c r="M9441" s="94">
        <f>VLOOKUP($Q9441,매칭테이블!$F:$I,2,0)*K9441</f>
        <v/>
      </c>
      <c r="N9441" s="94">
        <f>M9441-M9441*VLOOKUP($Q9441,매칭테이블!$F:$I,3,0)</f>
        <v/>
      </c>
      <c r="O9441" s="94">
        <f>VLOOKUP($Q9441,매칭테이블!$F:$I,4,0)*K9441</f>
        <v/>
      </c>
      <c r="P9441" s="148">
        <f>M9441/1.1</f>
        <v/>
      </c>
      <c r="Q9441" s="94">
        <f>F9441&amp;E9441&amp;G9441&amp;L9441</f>
        <v/>
      </c>
    </row>
    <row r="9442" customFormat="1" s="94">
      <c r="B9442" s="128" t="n">
        <v>44097</v>
      </c>
      <c r="C9442" s="94">
        <f>TEXT(B9442,"aaa")</f>
        <v/>
      </c>
      <c r="D9442" s="60" t="inlineStr">
        <is>
          <t xml:space="preserve">　</t>
        </is>
      </c>
      <c r="E9442" s="60" t="inlineStr">
        <is>
          <t>마스크팩</t>
        </is>
      </c>
      <c r="F9442" s="60" t="inlineStr">
        <is>
          <t>아누아 CS</t>
        </is>
      </c>
      <c r="G9442" s="60" t="inlineStr">
        <is>
          <t>마스크팩 10매</t>
        </is>
      </c>
      <c r="H9442" s="60" t="n">
        <v>200801</v>
      </c>
      <c r="I9442" s="60" t="n">
        <v>200801</v>
      </c>
      <c r="J9442" s="60" t="n"/>
      <c r="K9442" s="60" t="n">
        <v>6</v>
      </c>
      <c r="L9442" s="60" t="n">
        <v>200801</v>
      </c>
      <c r="M9442" s="94">
        <f>VLOOKUP($Q9442,매칭테이블!$F:$I,2,0)*K9442</f>
        <v/>
      </c>
      <c r="N9442" s="94">
        <f>M9442-M9442*VLOOKUP($Q9442,매칭테이블!$F:$I,3,0)</f>
        <v/>
      </c>
      <c r="O9442" s="94">
        <f>VLOOKUP($Q9442,매칭테이블!$F:$I,4,0)*K9442</f>
        <v/>
      </c>
      <c r="P9442" s="148">
        <f>M9442/1.1</f>
        <v/>
      </c>
      <c r="Q9442" s="94">
        <f>F9442&amp;E9442&amp;G9442&amp;L9442</f>
        <v/>
      </c>
    </row>
    <row r="9443" customFormat="1" s="94">
      <c r="B9443" s="128" t="n">
        <v>44097</v>
      </c>
      <c r="C9443" s="94">
        <f>TEXT(B9443,"aaa")</f>
        <v/>
      </c>
      <c r="D9443" s="60" t="inlineStr">
        <is>
          <t xml:space="preserve">　</t>
        </is>
      </c>
      <c r="E9443" s="60" t="inlineStr">
        <is>
          <t>선크림</t>
        </is>
      </c>
      <c r="F9443" s="60" t="inlineStr">
        <is>
          <t>아누아 CS</t>
        </is>
      </c>
      <c r="G9443" s="60" t="inlineStr">
        <is>
          <t>선크림 50ml</t>
        </is>
      </c>
      <c r="H9443" s="60" t="n">
        <v>200801</v>
      </c>
      <c r="I9443" s="60" t="n">
        <v>200801</v>
      </c>
      <c r="J9443" s="60" t="n"/>
      <c r="K9443" s="60" t="n">
        <v>40</v>
      </c>
      <c r="L9443" s="60" t="n">
        <v>200801</v>
      </c>
      <c r="M9443" s="94">
        <f>VLOOKUP($Q9443,매칭테이블!$F:$I,2,0)*K9443</f>
        <v/>
      </c>
      <c r="N9443" s="94">
        <f>M9443-M9443*VLOOKUP($Q9443,매칭테이블!$F:$I,3,0)</f>
        <v/>
      </c>
      <c r="O9443" s="94">
        <f>VLOOKUP($Q9443,매칭테이블!$F:$I,4,0)*K9443</f>
        <v/>
      </c>
      <c r="P9443" s="148">
        <f>M9443/1.1</f>
        <v/>
      </c>
      <c r="Q9443" s="94">
        <f>F9443&amp;E9443&amp;G9443&amp;L9443</f>
        <v/>
      </c>
    </row>
    <row r="9444" customFormat="1" s="94">
      <c r="B9444" s="128" t="n">
        <v>44097</v>
      </c>
      <c r="C9444" s="94">
        <f>TEXT(B9444,"aaa")</f>
        <v/>
      </c>
      <c r="D9444" s="60" t="inlineStr">
        <is>
          <t xml:space="preserve">　</t>
        </is>
      </c>
      <c r="E9444" s="60" t="inlineStr">
        <is>
          <t>수딩크림</t>
        </is>
      </c>
      <c r="F9444" s="60" t="inlineStr">
        <is>
          <t>아누아 CS</t>
        </is>
      </c>
      <c r="G9444" s="60" t="inlineStr">
        <is>
          <t>수딩크림 100ml</t>
        </is>
      </c>
      <c r="H9444" s="60" t="n">
        <v>200801</v>
      </c>
      <c r="I9444" s="60" t="n">
        <v>200801</v>
      </c>
      <c r="J9444" s="60" t="n"/>
      <c r="K9444" s="60" t="n">
        <v>30</v>
      </c>
      <c r="L9444" s="60" t="n">
        <v>200801</v>
      </c>
      <c r="M9444" s="94">
        <f>VLOOKUP($Q9444,매칭테이블!$F:$I,2,0)*K9444</f>
        <v/>
      </c>
      <c r="N9444" s="94">
        <f>M9444-M9444*VLOOKUP($Q9444,매칭테이블!$F:$I,3,0)</f>
        <v/>
      </c>
      <c r="O9444" s="94">
        <f>VLOOKUP($Q9444,매칭테이블!$F:$I,4,0)*K9444</f>
        <v/>
      </c>
      <c r="P9444" s="148">
        <f>M9444/1.1</f>
        <v/>
      </c>
      <c r="Q9444" s="94">
        <f>F9444&amp;E9444&amp;G9444&amp;L9444</f>
        <v/>
      </c>
    </row>
    <row r="9445" customFormat="1" s="94">
      <c r="B9445" s="128" t="n">
        <v>44097</v>
      </c>
      <c r="C9445" s="94">
        <f>TEXT(B9445,"aaa")</f>
        <v/>
      </c>
      <c r="D9445" s="60" t="inlineStr">
        <is>
          <t xml:space="preserve">　</t>
        </is>
      </c>
      <c r="E9445" s="60" t="inlineStr">
        <is>
          <t>클렌징폼</t>
        </is>
      </c>
      <c r="F9445" s="60" t="inlineStr">
        <is>
          <t>아누아 CS</t>
        </is>
      </c>
      <c r="G9445" s="60" t="inlineStr">
        <is>
          <t>클렌징폼 120ml</t>
        </is>
      </c>
      <c r="H9445" s="60" t="n">
        <v>200801</v>
      </c>
      <c r="I9445" s="60" t="n">
        <v>200801</v>
      </c>
      <c r="J9445" s="60" t="n"/>
      <c r="K9445" s="60" t="n">
        <v>30</v>
      </c>
      <c r="L9445" s="60" t="n">
        <v>200801</v>
      </c>
      <c r="M9445" s="94">
        <f>VLOOKUP($Q9445,매칭테이블!$F:$I,2,0)*K9445</f>
        <v/>
      </c>
      <c r="N9445" s="94">
        <f>M9445-M9445*VLOOKUP($Q9445,매칭테이블!$F:$I,3,0)</f>
        <v/>
      </c>
      <c r="O9445" s="94">
        <f>VLOOKUP($Q9445,매칭테이블!$F:$I,4,0)*K9445</f>
        <v/>
      </c>
      <c r="P9445" s="148">
        <f>M9445/1.1</f>
        <v/>
      </c>
      <c r="Q9445" s="94">
        <f>F9445&amp;E9445&amp;G9445&amp;L9445</f>
        <v/>
      </c>
    </row>
    <row r="9446" customFormat="1" s="94">
      <c r="B9446" s="128" t="n">
        <v>44097</v>
      </c>
      <c r="C9446" s="94">
        <f>TEXT(B9446,"aaa")</f>
        <v/>
      </c>
      <c r="D9446" s="60" t="inlineStr">
        <is>
          <t xml:space="preserve">　</t>
        </is>
      </c>
      <c r="E9446" s="60" t="inlineStr">
        <is>
          <t>머드크림마스크</t>
        </is>
      </c>
      <c r="F9446" s="60" t="inlineStr">
        <is>
          <t>아누아 CS</t>
        </is>
      </c>
      <c r="G9446" s="60" t="inlineStr">
        <is>
          <t>머드크림마스크 100ml</t>
        </is>
      </c>
      <c r="H9446" s="60" t="n">
        <v>200801</v>
      </c>
      <c r="I9446" s="60" t="n">
        <v>200801</v>
      </c>
      <c r="J9446" s="60" t="n"/>
      <c r="K9446" s="60" t="n">
        <v>40</v>
      </c>
      <c r="L9446" s="60" t="n">
        <v>200801</v>
      </c>
      <c r="M9446" s="94">
        <f>VLOOKUP($Q9446,매칭테이블!$F:$I,2,0)*K9446</f>
        <v/>
      </c>
      <c r="N9446" s="94">
        <f>M9446-M9446*VLOOKUP($Q9446,매칭테이블!$F:$I,3,0)</f>
        <v/>
      </c>
      <c r="O9446" s="94">
        <f>VLOOKUP($Q9446,매칭테이블!$F:$I,4,0)*K9446</f>
        <v/>
      </c>
      <c r="P9446" s="148">
        <f>M9446/1.1</f>
        <v/>
      </c>
      <c r="Q9446" s="94">
        <f>F9446&amp;E9446&amp;G9446&amp;L9446</f>
        <v/>
      </c>
    </row>
    <row r="9447" customFormat="1" s="94">
      <c r="B9447" s="128" t="n">
        <v>44097</v>
      </c>
      <c r="C9447" s="94">
        <f>TEXT(B9447,"aaa")</f>
        <v/>
      </c>
      <c r="D9447" s="60" t="inlineStr">
        <is>
          <t xml:space="preserve">　</t>
        </is>
      </c>
      <c r="E9447" s="60" t="inlineStr">
        <is>
          <t>선크림</t>
        </is>
      </c>
      <c r="F9447" s="60" t="inlineStr">
        <is>
          <t>카페24</t>
        </is>
      </c>
      <c r="G9447" s="60" t="inlineStr">
        <is>
          <t>선크림 50ml</t>
        </is>
      </c>
      <c r="H9447" s="60" t="n">
        <v>200801</v>
      </c>
      <c r="I9447" s="60" t="n">
        <v>200801</v>
      </c>
      <c r="J9447" s="60" t="n"/>
      <c r="K9447" s="60" t="n">
        <v>2</v>
      </c>
      <c r="L9447" s="60" t="n">
        <v>200801</v>
      </c>
      <c r="M9447" s="94">
        <f>VLOOKUP($Q9447,매칭테이블!$F:$I,2,0)*K9447</f>
        <v/>
      </c>
      <c r="N9447" s="94">
        <f>M9447-M9447*VLOOKUP($Q9447,매칭테이블!$F:$I,3,0)</f>
        <v/>
      </c>
      <c r="O9447" s="94">
        <f>VLOOKUP($Q9447,매칭테이블!$F:$I,4,0)*K9447</f>
        <v/>
      </c>
      <c r="P9447" s="148">
        <f>M9447/1.1</f>
        <v/>
      </c>
      <c r="Q9447" s="94">
        <f>F9447&amp;E9447&amp;G9447&amp;L9447</f>
        <v/>
      </c>
    </row>
    <row r="9448" customFormat="1" s="94">
      <c r="B9448" s="128" t="n">
        <v>44097</v>
      </c>
      <c r="C9448" s="94">
        <f>TEXT(B9448,"aaa")</f>
        <v/>
      </c>
      <c r="D9448" s="60" t="inlineStr">
        <is>
          <t xml:space="preserve">　</t>
        </is>
      </c>
      <c r="E9448" s="60" t="inlineStr">
        <is>
          <t>어성초진정패키지</t>
        </is>
      </c>
      <c r="F9448" s="60" t="inlineStr">
        <is>
          <t>카페24</t>
        </is>
      </c>
      <c r="G9448" s="60" t="inlineStr">
        <is>
          <t>어성초 진정패키지세트</t>
        </is>
      </c>
      <c r="H9448" s="60" t="n">
        <v>200801</v>
      </c>
      <c r="I9448" s="60" t="n">
        <v>200801</v>
      </c>
      <c r="J9448" s="60" t="n"/>
      <c r="K9448" s="60" t="n">
        <v>7</v>
      </c>
      <c r="L9448" s="60" t="n">
        <v>200801</v>
      </c>
      <c r="M9448" s="94">
        <f>VLOOKUP($Q9448,매칭테이블!$F:$I,2,0)*K9448</f>
        <v/>
      </c>
      <c r="N9448" s="94">
        <f>M9448-M9448*VLOOKUP($Q9448,매칭테이블!$F:$I,3,0)</f>
        <v/>
      </c>
      <c r="O9448" s="94">
        <f>VLOOKUP($Q9448,매칭테이블!$F:$I,4,0)*K9448</f>
        <v/>
      </c>
      <c r="P9448" s="148">
        <f>M9448/1.1</f>
        <v/>
      </c>
      <c r="Q9448" s="94">
        <f>F9448&amp;E9448&amp;G9448&amp;L9448</f>
        <v/>
      </c>
    </row>
    <row r="9449" customFormat="1" s="94">
      <c r="B9449" s="128" t="n">
        <v>44097</v>
      </c>
      <c r="C9449" s="94">
        <f>TEXT(B9449,"aaa")</f>
        <v/>
      </c>
      <c r="D9449" s="60" t="inlineStr">
        <is>
          <t xml:space="preserve">　</t>
        </is>
      </c>
      <c r="E9449" s="60" t="inlineStr">
        <is>
          <t>클리어 패드</t>
        </is>
      </c>
      <c r="F9449" s="60" t="inlineStr">
        <is>
          <t>카페24</t>
        </is>
      </c>
      <c r="G9449" s="60" t="inlineStr">
        <is>
          <t>어성초 77 클리어 패드 1개-20% off</t>
        </is>
      </c>
      <c r="H9449" s="60" t="n">
        <v>200801</v>
      </c>
      <c r="I9449" s="60" t="n">
        <v>200801</v>
      </c>
      <c r="J9449" s="60" t="n"/>
      <c r="K9449" s="60" t="n">
        <v>22</v>
      </c>
      <c r="L9449" s="60" t="n">
        <v>200801</v>
      </c>
      <c r="M9449" s="94">
        <f>VLOOKUP($Q9449,매칭테이블!$F:$I,2,0)*K9449</f>
        <v/>
      </c>
      <c r="N9449" s="94">
        <f>M9449-M9449*VLOOKUP($Q9449,매칭테이블!$F:$I,3,0)</f>
        <v/>
      </c>
      <c r="O9449" s="94">
        <f>VLOOKUP($Q9449,매칭테이블!$F:$I,4,0)*K9449</f>
        <v/>
      </c>
      <c r="P9449" s="148">
        <f>M9449/1.1</f>
        <v/>
      </c>
      <c r="Q9449" s="94">
        <f>F9449&amp;E9449&amp;G9449&amp;L9449</f>
        <v/>
      </c>
    </row>
    <row r="9450" customFormat="1" s="94">
      <c r="B9450" s="128" t="n">
        <v>44097</v>
      </c>
      <c r="C9450" s="94">
        <f>TEXT(B9450,"aaa")</f>
        <v/>
      </c>
      <c r="D9450" s="60" t="inlineStr">
        <is>
          <t xml:space="preserve">　</t>
        </is>
      </c>
      <c r="E9450" s="60" t="inlineStr">
        <is>
          <t>클리어 패드</t>
        </is>
      </c>
      <c r="F9450" s="60" t="inlineStr">
        <is>
          <t>카페24</t>
        </is>
      </c>
      <c r="G9450" s="60" t="inlineStr">
        <is>
          <t>어성초 77 클리어 패드 2개-30% off</t>
        </is>
      </c>
      <c r="H9450" s="60" t="n">
        <v>200801</v>
      </c>
      <c r="I9450" s="60" t="n">
        <v>200801</v>
      </c>
      <c r="J9450" s="60" t="n"/>
      <c r="K9450" s="60" t="n">
        <v>13</v>
      </c>
      <c r="L9450" s="60" t="n">
        <v>200801</v>
      </c>
      <c r="M9450" s="94">
        <f>VLOOKUP($Q9450,매칭테이블!$F:$I,2,0)*K9450</f>
        <v/>
      </c>
      <c r="N9450" s="94">
        <f>M9450-M9450*VLOOKUP($Q9450,매칭테이블!$F:$I,3,0)</f>
        <v/>
      </c>
      <c r="O9450" s="94">
        <f>VLOOKUP($Q9450,매칭테이블!$F:$I,4,0)*K9450</f>
        <v/>
      </c>
      <c r="P9450" s="148">
        <f>M9450/1.1</f>
        <v/>
      </c>
      <c r="Q9450" s="94">
        <f>F9450&amp;E9450&amp;G9450&amp;L9450</f>
        <v/>
      </c>
    </row>
    <row r="9451" customFormat="1" s="94">
      <c r="B9451" s="128" t="n">
        <v>44097</v>
      </c>
      <c r="C9451" s="94">
        <f>TEXT(B9451,"aaa")</f>
        <v/>
      </c>
      <c r="D9451" s="60" t="inlineStr">
        <is>
          <t xml:space="preserve">　</t>
        </is>
      </c>
      <c r="E9451" s="60" t="inlineStr">
        <is>
          <t>토너+패드 세트</t>
        </is>
      </c>
      <c r="F9451" s="60" t="inlineStr">
        <is>
          <t>카페24</t>
        </is>
      </c>
      <c r="G9451" s="60" t="inlineStr">
        <is>
          <t>좁쌀 진정 세트 토너+클리어 패드-30% off</t>
        </is>
      </c>
      <c r="H9451" s="60" t="n">
        <v>200801</v>
      </c>
      <c r="I9451" s="60" t="n">
        <v>200801</v>
      </c>
      <c r="J9451" s="60" t="n"/>
      <c r="K9451" s="60" t="n">
        <v>21</v>
      </c>
      <c r="L9451" s="60" t="n">
        <v>200801</v>
      </c>
      <c r="M9451" s="94">
        <f>VLOOKUP($Q9451,매칭테이블!$F:$I,2,0)*K9451</f>
        <v/>
      </c>
      <c r="N9451" s="94">
        <f>M9451-M9451*VLOOKUP($Q9451,매칭테이블!$F:$I,3,0)</f>
        <v/>
      </c>
      <c r="O9451" s="94">
        <f>VLOOKUP($Q9451,매칭테이블!$F:$I,4,0)*K9451</f>
        <v/>
      </c>
      <c r="P9451" s="148">
        <f>M9451/1.1</f>
        <v/>
      </c>
      <c r="Q9451" s="94">
        <f>F9451&amp;E9451&amp;G9451&amp;L9451</f>
        <v/>
      </c>
    </row>
    <row r="9452" customFormat="1" s="94">
      <c r="B9452" s="128" t="n">
        <v>44097</v>
      </c>
      <c r="C9452" s="94">
        <f>TEXT(B9452,"aaa")</f>
        <v/>
      </c>
      <c r="D9452" s="60" t="inlineStr">
        <is>
          <t xml:space="preserve">　</t>
        </is>
      </c>
      <c r="E9452" s="60" t="inlineStr">
        <is>
          <t>수분 보충 세트</t>
        </is>
      </c>
      <c r="F9452" s="60" t="inlineStr">
        <is>
          <t>카페24</t>
        </is>
      </c>
      <c r="G9452" s="60" t="inlineStr">
        <is>
          <t>어성초 77 토너 250ml + 어성초 70 로션 200ml -30%</t>
        </is>
      </c>
      <c r="H9452" s="60" t="n">
        <v>200801</v>
      </c>
      <c r="I9452" s="60" t="n">
        <v>200801</v>
      </c>
      <c r="J9452" s="60" t="n"/>
      <c r="K9452" s="60" t="n">
        <v>29</v>
      </c>
      <c r="L9452" s="60" t="n">
        <v>200801</v>
      </c>
      <c r="M9452" s="94">
        <f>VLOOKUP($Q9452,매칭테이블!$F:$I,2,0)*K9452</f>
        <v/>
      </c>
      <c r="N9452" s="94">
        <f>M9452-M9452*VLOOKUP($Q9452,매칭테이블!$F:$I,3,0)</f>
        <v/>
      </c>
      <c r="O9452" s="94">
        <f>VLOOKUP($Q9452,매칭테이블!$F:$I,4,0)*K9452</f>
        <v/>
      </c>
      <c r="P9452" s="148">
        <f>M9452/1.1</f>
        <v/>
      </c>
      <c r="Q9452" s="94">
        <f>F9452&amp;E9452&amp;G9452&amp;L9452</f>
        <v/>
      </c>
    </row>
    <row r="9453" customFormat="1" s="94">
      <c r="B9453" s="128" t="n">
        <v>44097</v>
      </c>
      <c r="C9453" s="94">
        <f>TEXT(B9453,"aaa")</f>
        <v/>
      </c>
      <c r="D9453" s="60" t="inlineStr">
        <is>
          <t xml:space="preserve">　</t>
        </is>
      </c>
      <c r="E9453" s="60" t="inlineStr">
        <is>
          <t>로션</t>
        </is>
      </c>
      <c r="F9453" s="60" t="inlineStr">
        <is>
          <t>카페24</t>
        </is>
      </c>
      <c r="G9453" s="60" t="inlineStr">
        <is>
          <t>어성초 70 데일리 릴리프 로션 1개 -20% off</t>
        </is>
      </c>
      <c r="H9453" s="60" t="n">
        <v>200801</v>
      </c>
      <c r="I9453" s="60" t="n">
        <v>200801</v>
      </c>
      <c r="J9453" s="60" t="n"/>
      <c r="K9453" s="60" t="n">
        <v>8</v>
      </c>
      <c r="L9453" s="60" t="n">
        <v>200801</v>
      </c>
      <c r="M9453" s="94">
        <f>VLOOKUP($Q9453,매칭테이블!$F:$I,2,0)*K9453</f>
        <v/>
      </c>
      <c r="N9453" s="94">
        <f>M9453-M9453*VLOOKUP($Q9453,매칭테이블!$F:$I,3,0)</f>
        <v/>
      </c>
      <c r="O9453" s="94">
        <f>VLOOKUP($Q9453,매칭테이블!$F:$I,4,0)*K9453</f>
        <v/>
      </c>
      <c r="P9453" s="148">
        <f>M9453/1.1</f>
        <v/>
      </c>
      <c r="Q9453" s="94">
        <f>F9453&amp;E9453&amp;G9453&amp;L9453</f>
        <v/>
      </c>
    </row>
    <row r="9454" customFormat="1" s="94">
      <c r="B9454" s="128" t="n">
        <v>44097</v>
      </c>
      <c r="C9454" s="94">
        <f>TEXT(B9454,"aaa")</f>
        <v/>
      </c>
      <c r="D9454" s="60" t="inlineStr">
        <is>
          <t xml:space="preserve">　</t>
        </is>
      </c>
      <c r="E9454" s="60" t="inlineStr">
        <is>
          <t>머드크림마스크</t>
        </is>
      </c>
      <c r="F9454" s="60" t="inlineStr">
        <is>
          <t>카페24</t>
        </is>
      </c>
      <c r="G9454" s="60" t="inlineStr">
        <is>
          <t>머드크림마스크 100ml</t>
        </is>
      </c>
      <c r="H9454" s="60" t="n">
        <v>200801</v>
      </c>
      <c r="I9454" s="60" t="n">
        <v>200801</v>
      </c>
      <c r="J9454" s="60" t="n"/>
      <c r="K9454" s="60" t="n">
        <v>4</v>
      </c>
      <c r="L9454" s="60" t="n">
        <v>200801</v>
      </c>
      <c r="M9454" s="94">
        <f>VLOOKUP($Q9454,매칭테이블!$F:$I,2,0)*K9454</f>
        <v/>
      </c>
      <c r="N9454" s="94">
        <f>M9454-M9454*VLOOKUP($Q9454,매칭테이블!$F:$I,3,0)</f>
        <v/>
      </c>
      <c r="O9454" s="94">
        <f>VLOOKUP($Q9454,매칭테이블!$F:$I,4,0)*K9454</f>
        <v/>
      </c>
      <c r="P9454" s="148">
        <f>M9454/1.1</f>
        <v/>
      </c>
      <c r="Q9454" s="94">
        <f>F9454&amp;E9454&amp;G9454&amp;L9454</f>
        <v/>
      </c>
    </row>
    <row r="9455" customFormat="1" s="94">
      <c r="B9455" s="128" t="n">
        <v>44097</v>
      </c>
      <c r="C9455" s="94">
        <f>TEXT(B9455,"aaa")</f>
        <v/>
      </c>
      <c r="D9455" s="60" t="inlineStr">
        <is>
          <t xml:space="preserve">　</t>
        </is>
      </c>
      <c r="E9455" s="60" t="inlineStr">
        <is>
          <t>마스크팩</t>
        </is>
      </c>
      <c r="F9455" s="60" t="inlineStr">
        <is>
          <t>카페24</t>
        </is>
      </c>
      <c r="G9455" s="60" t="inlineStr">
        <is>
          <t>마스크팩 1매</t>
        </is>
      </c>
      <c r="H9455" s="60" t="n">
        <v>200801</v>
      </c>
      <c r="I9455" s="60" t="n">
        <v>200801</v>
      </c>
      <c r="J9455" s="60" t="n"/>
      <c r="K9455" s="60" t="n">
        <v>2</v>
      </c>
      <c r="L9455" s="60" t="n">
        <v>200801</v>
      </c>
      <c r="M9455" s="94">
        <f>VLOOKUP($Q9455,매칭테이블!$F:$I,2,0)*K9455</f>
        <v/>
      </c>
      <c r="N9455" s="94">
        <f>M9455-M9455*VLOOKUP($Q9455,매칭테이블!$F:$I,3,0)</f>
        <v/>
      </c>
      <c r="O9455" s="94">
        <f>VLOOKUP($Q9455,매칭테이블!$F:$I,4,0)*K9455</f>
        <v/>
      </c>
      <c r="P9455" s="148">
        <f>M9455/1.1</f>
        <v/>
      </c>
      <c r="Q9455" s="94">
        <f>F9455&amp;E9455&amp;G9455&amp;L9455</f>
        <v/>
      </c>
    </row>
    <row r="9456" customFormat="1" s="94">
      <c r="B9456" s="128" t="n">
        <v>44097</v>
      </c>
      <c r="C9456" s="94">
        <f>TEXT(B9456,"aaa")</f>
        <v/>
      </c>
      <c r="D9456" s="60" t="inlineStr">
        <is>
          <t xml:space="preserve">　</t>
        </is>
      </c>
      <c r="E9456" s="60" t="inlineStr">
        <is>
          <t>마스크팩</t>
        </is>
      </c>
      <c r="F9456" s="60" t="inlineStr">
        <is>
          <t>카페24</t>
        </is>
      </c>
      <c r="G9456" s="60" t="inlineStr">
        <is>
          <t>마스크팩 10매</t>
        </is>
      </c>
      <c r="H9456" s="60" t="n">
        <v>200801</v>
      </c>
      <c r="I9456" s="60" t="n">
        <v>200801</v>
      </c>
      <c r="J9456" s="60" t="n"/>
      <c r="K9456" s="60" t="n">
        <v>4</v>
      </c>
      <c r="L9456" s="60" t="n">
        <v>200801</v>
      </c>
      <c r="M9456" s="94">
        <f>VLOOKUP($Q9456,매칭테이블!$F:$I,2,0)*K9456</f>
        <v/>
      </c>
      <c r="N9456" s="94">
        <f>M9456-M9456*VLOOKUP($Q9456,매칭테이블!$F:$I,3,0)</f>
        <v/>
      </c>
      <c r="O9456" s="94">
        <f>VLOOKUP($Q9456,매칭테이블!$F:$I,4,0)*K9456</f>
        <v/>
      </c>
      <c r="P9456" s="148">
        <f>M9456/1.1</f>
        <v/>
      </c>
      <c r="Q9456" s="94">
        <f>F9456&amp;E9456&amp;G9456&amp;L9456</f>
        <v/>
      </c>
    </row>
    <row r="9457" customFormat="1" s="94">
      <c r="B9457" s="128" t="n">
        <v>44097</v>
      </c>
      <c r="C9457" s="94">
        <f>TEXT(B9457,"aaa")</f>
        <v/>
      </c>
      <c r="D9457" s="60" t="inlineStr">
        <is>
          <t xml:space="preserve">　</t>
        </is>
      </c>
      <c r="E9457" s="60" t="inlineStr">
        <is>
          <t>토너</t>
        </is>
      </c>
      <c r="F9457" s="60" t="inlineStr">
        <is>
          <t>카페24</t>
        </is>
      </c>
      <c r="G9457" s="60" t="inlineStr">
        <is>
          <t>250ml</t>
        </is>
      </c>
      <c r="H9457" s="60" t="n">
        <v>200801</v>
      </c>
      <c r="I9457" s="60" t="n">
        <v>200801</v>
      </c>
      <c r="J9457" s="60" t="n"/>
      <c r="K9457" s="60" t="n">
        <v>43</v>
      </c>
      <c r="L9457" s="60" t="n">
        <v>200801</v>
      </c>
      <c r="M9457" s="94">
        <f>VLOOKUP($Q9457,매칭테이블!$F:$I,2,0)*K9457</f>
        <v/>
      </c>
      <c r="N9457" s="94">
        <f>M9457-M9457*VLOOKUP($Q9457,매칭테이블!$F:$I,3,0)</f>
        <v/>
      </c>
      <c r="O9457" s="94">
        <f>VLOOKUP($Q9457,매칭테이블!$F:$I,4,0)*K9457</f>
        <v/>
      </c>
      <c r="P9457" s="148">
        <f>M9457/1.1</f>
        <v/>
      </c>
      <c r="Q9457" s="94">
        <f>F9457&amp;E9457&amp;G9457&amp;L9457</f>
        <v/>
      </c>
    </row>
    <row r="9458" customFormat="1" s="94">
      <c r="B9458" s="128" t="n">
        <v>44097</v>
      </c>
      <c r="C9458" s="94">
        <f>TEXT(B9458,"aaa")</f>
        <v/>
      </c>
      <c r="D9458" s="60" t="inlineStr">
        <is>
          <t xml:space="preserve">　</t>
        </is>
      </c>
      <c r="E9458" s="60" t="inlineStr">
        <is>
          <t>토너</t>
        </is>
      </c>
      <c r="F9458" s="60" t="inlineStr">
        <is>
          <t>카페24</t>
        </is>
      </c>
      <c r="G9458" s="60" t="inlineStr">
        <is>
          <t>250ml 2set</t>
        </is>
      </c>
      <c r="H9458" s="60" t="n">
        <v>200801</v>
      </c>
      <c r="I9458" s="60" t="n">
        <v>200801</v>
      </c>
      <c r="J9458" s="60" t="n"/>
      <c r="K9458" s="60" t="n">
        <v>45</v>
      </c>
      <c r="L9458" s="60" t="n">
        <v>200801</v>
      </c>
      <c r="M9458" s="94">
        <f>VLOOKUP($Q9458,매칭테이블!$F:$I,2,0)*K9458</f>
        <v/>
      </c>
      <c r="N9458" s="94">
        <f>M9458-M9458*VLOOKUP($Q9458,매칭테이블!$F:$I,3,0)</f>
        <v/>
      </c>
      <c r="O9458" s="94">
        <f>VLOOKUP($Q9458,매칭테이블!$F:$I,4,0)*K9458</f>
        <v/>
      </c>
      <c r="P9458" s="148">
        <f>M9458/1.1</f>
        <v/>
      </c>
      <c r="Q9458" s="94">
        <f>F9458&amp;E9458&amp;G9458&amp;L9458</f>
        <v/>
      </c>
    </row>
    <row r="9459" customFormat="1" s="94">
      <c r="B9459" s="128" t="n">
        <v>44097</v>
      </c>
      <c r="C9459" s="94">
        <f>TEXT(B9459,"aaa")</f>
        <v/>
      </c>
      <c r="D9459" s="60" t="inlineStr">
        <is>
          <t xml:space="preserve">　</t>
        </is>
      </c>
      <c r="E9459" s="60" t="inlineStr">
        <is>
          <t>토너</t>
        </is>
      </c>
      <c r="F9459" s="60" t="inlineStr">
        <is>
          <t>카페24</t>
        </is>
      </c>
      <c r="G9459" s="60" t="inlineStr">
        <is>
          <t>500ml</t>
        </is>
      </c>
      <c r="H9459" s="60" t="n">
        <v>200801</v>
      </c>
      <c r="I9459" s="60" t="n">
        <v>200801</v>
      </c>
      <c r="J9459" s="60" t="n"/>
      <c r="K9459" s="60" t="n">
        <v>47</v>
      </c>
      <c r="L9459" s="60" t="n">
        <v>200801</v>
      </c>
      <c r="M9459" s="94">
        <f>VLOOKUP($Q9459,매칭테이블!$F:$I,2,0)*K9459</f>
        <v/>
      </c>
      <c r="N9459" s="94">
        <f>M9459-M9459*VLOOKUP($Q9459,매칭테이블!$F:$I,3,0)</f>
        <v/>
      </c>
      <c r="O9459" s="94">
        <f>VLOOKUP($Q9459,매칭테이블!$F:$I,4,0)*K9459</f>
        <v/>
      </c>
      <c r="P9459" s="148">
        <f>M9459/1.1</f>
        <v/>
      </c>
      <c r="Q9459" s="94">
        <f>F9459&amp;E9459&amp;G9459&amp;L9459</f>
        <v/>
      </c>
    </row>
    <row r="9460" customFormat="1" s="94">
      <c r="B9460" s="128" t="n">
        <v>44097</v>
      </c>
      <c r="C9460" s="94">
        <f>TEXT(B9460,"aaa")</f>
        <v/>
      </c>
      <c r="D9460" s="60" t="inlineStr">
        <is>
          <t xml:space="preserve">　</t>
        </is>
      </c>
      <c r="E9460" s="60" t="inlineStr">
        <is>
          <t>토너</t>
        </is>
      </c>
      <c r="F9460" s="60" t="inlineStr">
        <is>
          <t>카페24</t>
        </is>
      </c>
      <c r="G9460" s="60" t="inlineStr">
        <is>
          <t>스킨팩 화장솜 60P</t>
        </is>
      </c>
      <c r="H9460" s="60" t="n">
        <v>200801</v>
      </c>
      <c r="I9460" s="60" t="n">
        <v>200801</v>
      </c>
      <c r="J9460" s="60" t="n"/>
      <c r="K9460" s="60" t="n">
        <v>33</v>
      </c>
      <c r="L9460" s="60" t="n">
        <v>200801</v>
      </c>
      <c r="M9460" s="94">
        <f>VLOOKUP($Q9460,매칭테이블!$F:$I,2,0)*K9460</f>
        <v/>
      </c>
      <c r="N9460" s="94">
        <f>M9460-M9460*VLOOKUP($Q9460,매칭테이블!$F:$I,3,0)</f>
        <v/>
      </c>
      <c r="O9460" s="94">
        <f>VLOOKUP($Q9460,매칭테이블!$F:$I,4,0)*K9460</f>
        <v/>
      </c>
      <c r="P9460" s="148">
        <f>M9460/1.1</f>
        <v/>
      </c>
      <c r="Q9460" s="94">
        <f>F9460&amp;E9460&amp;G9460&amp;L9460</f>
        <v/>
      </c>
    </row>
    <row r="9461" customFormat="1" s="94">
      <c r="B9461" s="128" t="n">
        <v>44097</v>
      </c>
      <c r="C9461" s="94">
        <f>TEXT(B9461,"aaa")</f>
        <v/>
      </c>
      <c r="D9461" s="60" t="inlineStr">
        <is>
          <t xml:space="preserve">　</t>
        </is>
      </c>
      <c r="E9461" s="60" t="inlineStr">
        <is>
          <t>앰플</t>
        </is>
      </c>
      <c r="F9461" s="60" t="inlineStr">
        <is>
          <t>카페24</t>
        </is>
      </c>
      <c r="G9461" s="60" t="inlineStr">
        <is>
          <t>앰플 30ml</t>
        </is>
      </c>
      <c r="H9461" s="60" t="n">
        <v>200801</v>
      </c>
      <c r="I9461" s="60" t="n">
        <v>200801</v>
      </c>
      <c r="J9461" s="60" t="n"/>
      <c r="K9461" s="60" t="n">
        <v>18</v>
      </c>
      <c r="L9461" s="60" t="n">
        <v>200801</v>
      </c>
      <c r="M9461" s="94">
        <f>VLOOKUP($Q9461,매칭테이블!$F:$I,2,0)*K9461</f>
        <v/>
      </c>
      <c r="N9461" s="94">
        <f>M9461-M9461*VLOOKUP($Q9461,매칭테이블!$F:$I,3,0)</f>
        <v/>
      </c>
      <c r="O9461" s="94">
        <f>VLOOKUP($Q9461,매칭테이블!$F:$I,4,0)*K9461</f>
        <v/>
      </c>
      <c r="P9461" s="148">
        <f>M9461/1.1</f>
        <v/>
      </c>
      <c r="Q9461" s="94">
        <f>F9461&amp;E9461&amp;G9461&amp;L9461</f>
        <v/>
      </c>
    </row>
    <row r="9462" customFormat="1" s="94">
      <c r="B9462" s="128" t="n">
        <v>44097</v>
      </c>
      <c r="C9462" s="94">
        <f>TEXT(B9462,"aaa")</f>
        <v/>
      </c>
      <c r="D9462" s="60" t="inlineStr">
        <is>
          <t xml:space="preserve">　</t>
        </is>
      </c>
      <c r="E9462" s="60" t="inlineStr">
        <is>
          <t>앰플</t>
        </is>
      </c>
      <c r="F9462" s="60" t="inlineStr">
        <is>
          <t>카페24</t>
        </is>
      </c>
      <c r="G9462" s="60" t="inlineStr">
        <is>
          <t>앰플 30ml  2set</t>
        </is>
      </c>
      <c r="H9462" s="60" t="n">
        <v>200801</v>
      </c>
      <c r="I9462" s="60" t="n">
        <v>200801</v>
      </c>
      <c r="J9462" s="60" t="n"/>
      <c r="K9462" s="60" t="n">
        <v>3</v>
      </c>
      <c r="L9462" s="60" t="n">
        <v>200801</v>
      </c>
      <c r="M9462" s="94">
        <f>VLOOKUP($Q9462,매칭테이블!$F:$I,2,0)*K9462</f>
        <v/>
      </c>
      <c r="N9462" s="94">
        <f>M9462-M9462*VLOOKUP($Q9462,매칭테이블!$F:$I,3,0)</f>
        <v/>
      </c>
      <c r="O9462" s="94">
        <f>VLOOKUP($Q9462,매칭테이블!$F:$I,4,0)*K9462</f>
        <v/>
      </c>
      <c r="P9462" s="148">
        <f>M9462/1.1</f>
        <v/>
      </c>
      <c r="Q9462" s="94">
        <f>F9462&amp;E9462&amp;G9462&amp;L9462</f>
        <v/>
      </c>
    </row>
    <row r="9463" customFormat="1" s="94">
      <c r="B9463" s="128" t="n">
        <v>44097</v>
      </c>
      <c r="C9463" s="94">
        <f>TEXT(B9463,"aaa")</f>
        <v/>
      </c>
      <c r="D9463" s="60" t="inlineStr">
        <is>
          <t xml:space="preserve">　</t>
        </is>
      </c>
      <c r="E9463" s="60" t="inlineStr">
        <is>
          <t>수딩크림</t>
        </is>
      </c>
      <c r="F9463" s="60" t="inlineStr">
        <is>
          <t>카페24</t>
        </is>
      </c>
      <c r="G9463" s="60" t="inlineStr">
        <is>
          <t>수딩크림 100ml</t>
        </is>
      </c>
      <c r="H9463" s="60" t="n">
        <v>200801</v>
      </c>
      <c r="I9463" s="60" t="n">
        <v>200801</v>
      </c>
      <c r="J9463" s="60" t="n"/>
      <c r="K9463" s="60" t="n">
        <v>6</v>
      </c>
      <c r="L9463" s="60" t="n">
        <v>200801</v>
      </c>
      <c r="M9463" s="94">
        <f>VLOOKUP($Q9463,매칭테이블!$F:$I,2,0)*K9463</f>
        <v/>
      </c>
      <c r="N9463" s="94">
        <f>M9463-M9463*VLOOKUP($Q9463,매칭테이블!$F:$I,3,0)</f>
        <v/>
      </c>
      <c r="O9463" s="94">
        <f>VLOOKUP($Q9463,매칭테이블!$F:$I,4,0)*K9463</f>
        <v/>
      </c>
      <c r="P9463" s="148">
        <f>M9463/1.1</f>
        <v/>
      </c>
      <c r="Q9463" s="94">
        <f>F9463&amp;E9463&amp;G9463&amp;L9463</f>
        <v/>
      </c>
    </row>
    <row r="9464" customFormat="1" s="94">
      <c r="B9464" s="128" t="n">
        <v>44097</v>
      </c>
      <c r="C9464" s="94">
        <f>TEXT(B9464,"aaa")</f>
        <v/>
      </c>
      <c r="D9464" s="60" t="inlineStr">
        <is>
          <t xml:space="preserve">　</t>
        </is>
      </c>
      <c r="E9464" s="60" t="inlineStr">
        <is>
          <t>클렌징폼</t>
        </is>
      </c>
      <c r="F9464" s="60" t="inlineStr">
        <is>
          <t>카페24</t>
        </is>
      </c>
      <c r="G9464" s="60" t="inlineStr">
        <is>
          <t>클렌징폼 120ml</t>
        </is>
      </c>
      <c r="H9464" s="60" t="n">
        <v>200801</v>
      </c>
      <c r="I9464" s="60" t="n">
        <v>200801</v>
      </c>
      <c r="J9464" s="60" t="n"/>
      <c r="K9464" s="60" t="n">
        <v>6</v>
      </c>
      <c r="L9464" s="60" t="n">
        <v>200801</v>
      </c>
      <c r="M9464" s="94">
        <f>VLOOKUP($Q9464,매칭테이블!$F:$I,2,0)*K9464</f>
        <v/>
      </c>
      <c r="N9464" s="94">
        <f>M9464-M9464*VLOOKUP($Q9464,매칭테이블!$F:$I,3,0)</f>
        <v/>
      </c>
      <c r="O9464" s="94">
        <f>VLOOKUP($Q9464,매칭테이블!$F:$I,4,0)*K9464</f>
        <v/>
      </c>
      <c r="P9464" s="148">
        <f>M9464/1.1</f>
        <v/>
      </c>
      <c r="Q9464" s="94">
        <f>F9464&amp;E9464&amp;G9464&amp;L9464</f>
        <v/>
      </c>
    </row>
    <row r="9465" customFormat="1" s="94">
      <c r="B9465" s="128" t="n">
        <v>44097</v>
      </c>
      <c r="C9465" s="94">
        <f>TEXT(B9465,"aaa")</f>
        <v/>
      </c>
      <c r="D9465" s="60" t="inlineStr">
        <is>
          <t xml:space="preserve">　</t>
        </is>
      </c>
      <c r="E9465" s="60" t="inlineStr">
        <is>
          <t>클렌징폼</t>
        </is>
      </c>
      <c r="F9465" s="60" t="inlineStr">
        <is>
          <t>카페24</t>
        </is>
      </c>
      <c r="G9465" s="60" t="inlineStr">
        <is>
          <t>클렌징폼 120ml 2set</t>
        </is>
      </c>
      <c r="H9465" s="60" t="n">
        <v>200801</v>
      </c>
      <c r="I9465" s="60" t="n">
        <v>200801</v>
      </c>
      <c r="J9465" s="60" t="n"/>
      <c r="K9465" s="60" t="n">
        <v>1</v>
      </c>
      <c r="L9465" s="60" t="n">
        <v>200801</v>
      </c>
      <c r="M9465" s="94">
        <f>VLOOKUP($Q9465,매칭테이블!$F:$I,2,0)*K9465</f>
        <v/>
      </c>
      <c r="N9465" s="94">
        <f>M9465-M9465*VLOOKUP($Q9465,매칭테이블!$F:$I,3,0)</f>
        <v/>
      </c>
      <c r="O9465" s="94">
        <f>VLOOKUP($Q9465,매칭테이블!$F:$I,4,0)*K9465</f>
        <v/>
      </c>
      <c r="P9465" s="148">
        <f>M9465/1.1</f>
        <v/>
      </c>
      <c r="Q9465" s="94">
        <f>F9465&amp;E9465&amp;G9465&amp;L9465</f>
        <v/>
      </c>
    </row>
    <row r="9466" customFormat="1" s="94">
      <c r="B9466" s="128" t="n">
        <v>44097</v>
      </c>
      <c r="C9466" s="94">
        <f>TEXT(B9466,"aaa")</f>
        <v/>
      </c>
      <c r="D9466" s="60" t="inlineStr">
        <is>
          <t xml:space="preserve">　</t>
        </is>
      </c>
      <c r="E9466" s="60" t="inlineStr">
        <is>
          <t>클렌징폼</t>
        </is>
      </c>
      <c r="F9466" s="60" t="inlineStr">
        <is>
          <t>카페24</t>
        </is>
      </c>
      <c r="G9466" s="60" t="inlineStr">
        <is>
          <t>클렌징폼 120ml 3set</t>
        </is>
      </c>
      <c r="H9466" s="60" t="n">
        <v>200801</v>
      </c>
      <c r="I9466" s="60" t="n">
        <v>200801</v>
      </c>
      <c r="J9466" s="60" t="n"/>
      <c r="K9466" s="60" t="n">
        <v>2</v>
      </c>
      <c r="L9466" s="60" t="n">
        <v>200801</v>
      </c>
      <c r="M9466" s="94">
        <f>VLOOKUP($Q9466,매칭테이블!$F:$I,2,0)*K9466</f>
        <v/>
      </c>
      <c r="N9466" s="94">
        <f>M9466-M9466*VLOOKUP($Q9466,매칭테이블!$F:$I,3,0)</f>
        <v/>
      </c>
      <c r="O9466" s="94">
        <f>VLOOKUP($Q9466,매칭테이블!$F:$I,4,0)*K9466</f>
        <v/>
      </c>
      <c r="P9466" s="148">
        <f>M9466/1.1</f>
        <v/>
      </c>
      <c r="Q9466" s="94">
        <f>F9466&amp;E9466&amp;G9466&amp;L9466</f>
        <v/>
      </c>
    </row>
    <row r="9467" customFormat="1" s="94">
      <c r="B9467" s="128" t="n">
        <v>44097</v>
      </c>
      <c r="C9467" s="94">
        <f>TEXT(B9467,"aaa")</f>
        <v/>
      </c>
      <c r="D9467" s="60" t="inlineStr">
        <is>
          <t xml:space="preserve">　</t>
        </is>
      </c>
      <c r="E9467" s="60" t="inlineStr">
        <is>
          <t>바디워시</t>
        </is>
      </c>
      <c r="F9467" s="60" t="inlineStr">
        <is>
          <t>카페24</t>
        </is>
      </c>
      <c r="G9467" s="60" t="inlineStr">
        <is>
          <t>바디워시 1개 -30% off</t>
        </is>
      </c>
      <c r="H9467" s="60" t="n">
        <v>200801</v>
      </c>
      <c r="I9467" s="60" t="n">
        <v>200801</v>
      </c>
      <c r="J9467" s="60" t="n"/>
      <c r="K9467" s="60" t="n">
        <v>1</v>
      </c>
      <c r="L9467" s="60" t="n">
        <v>200801</v>
      </c>
      <c r="M9467" s="94">
        <f>VLOOKUP($Q9467,매칭테이블!$F:$I,2,0)*K9467</f>
        <v/>
      </c>
      <c r="N9467" s="94">
        <f>M9467-M9467*VLOOKUP($Q9467,매칭테이블!$F:$I,3,0)</f>
        <v/>
      </c>
      <c r="O9467" s="94">
        <f>VLOOKUP($Q9467,매칭테이블!$F:$I,4,0)*K9467</f>
        <v/>
      </c>
      <c r="P9467" s="148">
        <f>M9467/1.1</f>
        <v/>
      </c>
      <c r="Q9467" s="94">
        <f>F9467&amp;E9467&amp;G9467&amp;L9467</f>
        <v/>
      </c>
    </row>
    <row r="9468" customFormat="1" s="94">
      <c r="B9468" s="128" t="n">
        <v>44097</v>
      </c>
      <c r="C9468" s="94">
        <f>TEXT(B9468,"aaa")</f>
        <v/>
      </c>
      <c r="D9468" s="60" t="inlineStr">
        <is>
          <t xml:space="preserve">　</t>
        </is>
      </c>
      <c r="E9468" s="60" t="inlineStr">
        <is>
          <t>토너</t>
        </is>
      </c>
      <c r="F9468" s="60" t="inlineStr">
        <is>
          <t>화해</t>
        </is>
      </c>
      <c r="G9468" s="60" t="inlineStr">
        <is>
          <t>250ml</t>
        </is>
      </c>
      <c r="H9468" s="60" t="n">
        <v>200801</v>
      </c>
      <c r="I9468" s="60" t="n">
        <v>200801</v>
      </c>
      <c r="J9468" s="60" t="n"/>
      <c r="K9468" s="60" t="n">
        <v>4</v>
      </c>
      <c r="L9468" s="60" t="n">
        <v>200801</v>
      </c>
      <c r="M9468" s="94">
        <f>VLOOKUP($Q9468,매칭테이블!$F:$I,2,0)*K9468</f>
        <v/>
      </c>
      <c r="N9468" s="94">
        <f>M9468-M9468*VLOOKUP($Q9468,매칭테이블!$F:$I,3,0)</f>
        <v/>
      </c>
      <c r="O9468" s="94">
        <f>VLOOKUP($Q9468,매칭테이블!$F:$I,4,0)*K9468</f>
        <v/>
      </c>
      <c r="P9468" s="148">
        <f>M9468/1.1</f>
        <v/>
      </c>
      <c r="Q9468" s="94">
        <f>F9468&amp;E9468&amp;G9468&amp;L9468</f>
        <v/>
      </c>
    </row>
    <row r="9469">
      <c r="A9469" s="94" t="n"/>
      <c r="B9469" s="128" t="n">
        <v>44098</v>
      </c>
      <c r="C9469" s="94">
        <f>TEXT(B9469,"aaa")</f>
        <v/>
      </c>
      <c r="D9469" s="60" t="n"/>
      <c r="E9469" s="60" t="inlineStr">
        <is>
          <t>토너</t>
        </is>
      </c>
      <c r="F9469" s="60" t="inlineStr">
        <is>
          <t>W컨셉</t>
        </is>
      </c>
      <c r="G9469" s="60" t="inlineStr">
        <is>
          <t>250ml</t>
        </is>
      </c>
      <c r="H9469" s="60" t="n">
        <v>200801</v>
      </c>
      <c r="I9469" s="60" t="n">
        <v>200801</v>
      </c>
      <c r="J9469" s="60" t="n"/>
      <c r="K9469" s="60" t="n">
        <v>2</v>
      </c>
      <c r="L9469" s="60" t="n">
        <v>200801</v>
      </c>
      <c r="M9469" s="94">
        <f>VLOOKUP($Q9469,매칭테이블!$F:$I,2,0)*K9469</f>
        <v/>
      </c>
      <c r="N9469" s="94">
        <f>M9469-M9469*VLOOKUP($Q9469,매칭테이블!$F:$I,3,0)</f>
        <v/>
      </c>
      <c r="O9469" s="94">
        <f>VLOOKUP($Q9469,매칭테이블!$F:$I,4,0)*K9469</f>
        <v/>
      </c>
      <c r="P9469" s="148">
        <f>M9469/1.1</f>
        <v/>
      </c>
      <c r="Q9469" s="94">
        <f>F9469&amp;E9469&amp;G9469&amp;L9469</f>
        <v/>
      </c>
    </row>
    <row r="9470">
      <c r="A9470" s="94" t="n"/>
      <c r="B9470" s="128" t="n">
        <v>44098</v>
      </c>
      <c r="C9470" s="94">
        <f>TEXT(B9470,"aaa")</f>
        <v/>
      </c>
      <c r="D9470" s="60" t="n"/>
      <c r="E9470" s="60" t="inlineStr">
        <is>
          <t>토너</t>
        </is>
      </c>
      <c r="F9470" s="60" t="inlineStr">
        <is>
          <t>W컨셉</t>
        </is>
      </c>
      <c r="G9470" s="60" t="inlineStr">
        <is>
          <t>250ml 2set</t>
        </is>
      </c>
      <c r="H9470" s="60" t="n">
        <v>200801</v>
      </c>
      <c r="I9470" s="60" t="n">
        <v>200801</v>
      </c>
      <c r="J9470" s="60" t="n"/>
      <c r="K9470" s="60" t="n">
        <v>10</v>
      </c>
      <c r="L9470" s="60" t="n">
        <v>200801</v>
      </c>
      <c r="M9470" s="94">
        <f>VLOOKUP($Q9470,매칭테이블!$F:$I,2,0)*K9470</f>
        <v/>
      </c>
      <c r="N9470" s="94">
        <f>M9470-M9470*VLOOKUP($Q9470,매칭테이블!$F:$I,3,0)</f>
        <v/>
      </c>
      <c r="O9470" s="94">
        <f>VLOOKUP($Q9470,매칭테이블!$F:$I,4,0)*K9470</f>
        <v/>
      </c>
      <c r="P9470" s="148">
        <f>M9470/1.1</f>
        <v/>
      </c>
      <c r="Q9470" s="94">
        <f>F9470&amp;E9470&amp;G9470&amp;L9470</f>
        <v/>
      </c>
    </row>
    <row r="9471">
      <c r="A9471" s="94" t="n"/>
      <c r="B9471" s="128" t="n">
        <v>44098</v>
      </c>
      <c r="C9471" s="94">
        <f>TEXT(B9471,"aaa")</f>
        <v/>
      </c>
      <c r="D9471" s="60" t="n"/>
      <c r="E9471" s="60" t="inlineStr">
        <is>
          <t>토너</t>
        </is>
      </c>
      <c r="F9471" s="60" t="inlineStr">
        <is>
          <t>쇼피태국</t>
        </is>
      </c>
      <c r="G9471" s="60" t="inlineStr">
        <is>
          <t>200820=250ml</t>
        </is>
      </c>
      <c r="H9471" s="60" t="n">
        <v>200801</v>
      </c>
      <c r="I9471" s="60" t="n">
        <v>200801</v>
      </c>
      <c r="J9471" s="60" t="n"/>
      <c r="K9471" s="60" t="n">
        <v>1</v>
      </c>
      <c r="L9471" s="60" t="n">
        <v>200801</v>
      </c>
      <c r="M9471" s="94">
        <f>VLOOKUP($Q9471,매칭테이블!$F:$I,2,0)*K9471</f>
        <v/>
      </c>
      <c r="N9471" s="94">
        <f>M9471-M9471*VLOOKUP($Q9471,매칭테이블!$F:$I,3,0)</f>
        <v/>
      </c>
      <c r="O9471" s="94">
        <f>VLOOKUP($Q9471,매칭테이블!$F:$I,4,0)*K9471</f>
        <v/>
      </c>
      <c r="P9471" s="148">
        <f>M9471/1.1</f>
        <v/>
      </c>
      <c r="Q9471" s="94">
        <f>F9471&amp;E9471&amp;G9471&amp;L9471</f>
        <v/>
      </c>
    </row>
    <row r="9472">
      <c r="A9472" s="94" t="n"/>
      <c r="B9472" s="128" t="n">
        <v>44098</v>
      </c>
      <c r="C9472" s="94">
        <f>TEXT(B9472,"aaa")</f>
        <v/>
      </c>
      <c r="D9472" s="60" t="n"/>
      <c r="E9472" s="60" t="inlineStr">
        <is>
          <t>토너</t>
        </is>
      </c>
      <c r="F9472" s="60" t="inlineStr">
        <is>
          <t>쇼피태국</t>
        </is>
      </c>
      <c r="G9472" s="60" t="inlineStr">
        <is>
          <t>200820=500ml</t>
        </is>
      </c>
      <c r="H9472" s="60" t="n">
        <v>200801</v>
      </c>
      <c r="I9472" s="60" t="n">
        <v>200801</v>
      </c>
      <c r="J9472" s="60" t="n"/>
      <c r="K9472" s="60" t="n">
        <v>1</v>
      </c>
      <c r="L9472" s="60" t="n">
        <v>200801</v>
      </c>
      <c r="M9472" s="94">
        <f>VLOOKUP($Q9472,매칭테이블!$F:$I,2,0)*K9472</f>
        <v/>
      </c>
      <c r="N9472" s="94">
        <f>M9472-M9472*VLOOKUP($Q9472,매칭테이블!$F:$I,3,0)</f>
        <v/>
      </c>
      <c r="O9472" s="94">
        <f>VLOOKUP($Q9472,매칭테이블!$F:$I,4,0)*K9472</f>
        <v/>
      </c>
      <c r="P9472" s="148">
        <f>M9472/1.1</f>
        <v/>
      </c>
      <c r="Q9472" s="94">
        <f>F9472&amp;E9472&amp;G9472&amp;L9472</f>
        <v/>
      </c>
    </row>
    <row r="9473">
      <c r="A9473" s="94" t="n"/>
      <c r="B9473" s="128" t="n">
        <v>44098</v>
      </c>
      <c r="C9473" s="94">
        <f>TEXT(B9473,"aaa")</f>
        <v/>
      </c>
      <c r="D9473" s="60" t="n"/>
      <c r="E9473" s="60" t="inlineStr">
        <is>
          <t>클렌징폼</t>
        </is>
      </c>
      <c r="F9473" s="60" t="inlineStr">
        <is>
          <t>쇼피태국</t>
        </is>
      </c>
      <c r="G9473" s="60" t="inlineStr">
        <is>
          <t>200820=클렌징폼 120ml</t>
        </is>
      </c>
      <c r="H9473" s="60" t="n">
        <v>200801</v>
      </c>
      <c r="I9473" s="60" t="n">
        <v>200801</v>
      </c>
      <c r="J9473" s="60" t="n"/>
      <c r="K9473" s="60" t="n">
        <v>1</v>
      </c>
      <c r="L9473" s="60" t="n">
        <v>200801</v>
      </c>
      <c r="M9473" s="94">
        <f>VLOOKUP($Q9473,매칭테이블!$F:$I,2,0)*K9473</f>
        <v/>
      </c>
      <c r="N9473" s="94">
        <f>M9473-M9473*VLOOKUP($Q9473,매칭테이블!$F:$I,3,0)</f>
        <v/>
      </c>
      <c r="O9473" s="94">
        <f>VLOOKUP($Q9473,매칭테이블!$F:$I,4,0)*K9473</f>
        <v/>
      </c>
      <c r="P9473" s="148">
        <f>M9473/1.1</f>
        <v/>
      </c>
      <c r="Q9473" s="94">
        <f>F9473&amp;E9473&amp;G9473&amp;L9473</f>
        <v/>
      </c>
    </row>
    <row r="9474">
      <c r="A9474" s="94" t="n"/>
      <c r="B9474" s="128" t="n">
        <v>44098</v>
      </c>
      <c r="C9474" s="94">
        <f>TEXT(B9474,"aaa")</f>
        <v/>
      </c>
      <c r="D9474" s="60" t="n"/>
      <c r="E9474" s="60" t="inlineStr">
        <is>
          <t>토너</t>
        </is>
      </c>
      <c r="F9474" s="60" t="inlineStr">
        <is>
          <t>스타일쉐어</t>
        </is>
      </c>
      <c r="G9474" s="60" t="inlineStr">
        <is>
          <t>250ml</t>
        </is>
      </c>
      <c r="H9474" s="60" t="n">
        <v>200801</v>
      </c>
      <c r="I9474" s="60" t="n">
        <v>200801</v>
      </c>
      <c r="J9474" s="60" t="n"/>
      <c r="K9474" s="60" t="n">
        <v>5</v>
      </c>
      <c r="L9474" s="60" t="n">
        <v>200801</v>
      </c>
      <c r="M9474" s="94">
        <f>VLOOKUP($Q9474,매칭테이블!$F:$I,2,0)*K9474</f>
        <v/>
      </c>
      <c r="N9474" s="94">
        <f>M9474-M9474*VLOOKUP($Q9474,매칭테이블!$F:$I,3,0)</f>
        <v/>
      </c>
      <c r="O9474" s="94">
        <f>VLOOKUP($Q9474,매칭테이블!$F:$I,4,0)*K9474</f>
        <v/>
      </c>
      <c r="P9474" s="148">
        <f>M9474/1.1</f>
        <v/>
      </c>
      <c r="Q9474" s="94">
        <f>F9474&amp;E9474&amp;G9474&amp;L9474</f>
        <v/>
      </c>
    </row>
    <row r="9475">
      <c r="A9475" s="94" t="n"/>
      <c r="B9475" s="128" t="n">
        <v>44098</v>
      </c>
      <c r="C9475" s="94">
        <f>TEXT(B9475,"aaa")</f>
        <v/>
      </c>
      <c r="D9475" s="60" t="n"/>
      <c r="E9475" s="60" t="inlineStr">
        <is>
          <t>로션</t>
        </is>
      </c>
      <c r="F9475" s="60" t="inlineStr">
        <is>
          <t>아누아 CS</t>
        </is>
      </c>
      <c r="G9475" s="60" t="inlineStr">
        <is>
          <t>로션 200ml</t>
        </is>
      </c>
      <c r="H9475" s="60" t="n">
        <v>200801</v>
      </c>
      <c r="I9475" s="60" t="n">
        <v>200801</v>
      </c>
      <c r="J9475" s="60" t="n"/>
      <c r="K9475" s="60" t="n">
        <v>2</v>
      </c>
      <c r="L9475" s="60" t="n">
        <v>200801</v>
      </c>
      <c r="M9475" s="94">
        <f>VLOOKUP($Q9475,매칭테이블!$F:$I,2,0)*K9475</f>
        <v/>
      </c>
      <c r="N9475" s="94">
        <f>M9475-M9475*VLOOKUP($Q9475,매칭테이블!$F:$I,3,0)</f>
        <v/>
      </c>
      <c r="O9475" s="94">
        <f>VLOOKUP($Q9475,매칭테이블!$F:$I,4,0)*K9475</f>
        <v/>
      </c>
      <c r="P9475" s="148">
        <f>M9475/1.1</f>
        <v/>
      </c>
      <c r="Q9475" s="94">
        <f>F9475&amp;E9475&amp;G9475&amp;L9475</f>
        <v/>
      </c>
    </row>
    <row r="9476">
      <c r="A9476" s="94" t="n"/>
      <c r="B9476" s="128" t="n">
        <v>44098</v>
      </c>
      <c r="C9476" s="94">
        <f>TEXT(B9476,"aaa")</f>
        <v/>
      </c>
      <c r="D9476" s="60" t="n"/>
      <c r="E9476" s="94" t="inlineStr">
        <is>
          <t>클리어 패드</t>
        </is>
      </c>
      <c r="F9476" s="60" t="inlineStr">
        <is>
          <t>아누아 CS</t>
        </is>
      </c>
      <c r="G9476" s="94" t="inlineStr">
        <is>
          <t>어성초 클리어패드 70P</t>
        </is>
      </c>
      <c r="H9476" s="60" t="n">
        <v>200801</v>
      </c>
      <c r="I9476" s="60" t="n">
        <v>200801</v>
      </c>
      <c r="J9476" s="60" t="n"/>
      <c r="K9476" s="60" t="n">
        <v>2</v>
      </c>
      <c r="L9476" s="60" t="n">
        <v>200801</v>
      </c>
      <c r="M9476" s="94">
        <f>VLOOKUP($Q9476,매칭테이블!$F:$I,2,0)*K9476</f>
        <v/>
      </c>
      <c r="N9476" s="94">
        <f>M9476-M9476*VLOOKUP($Q9476,매칭테이블!$F:$I,3,0)</f>
        <v/>
      </c>
      <c r="O9476" s="94">
        <f>VLOOKUP($Q9476,매칭테이블!$F:$I,4,0)*K9476</f>
        <v/>
      </c>
      <c r="P9476" s="148">
        <f>M9476/1.1</f>
        <v/>
      </c>
      <c r="Q9476" s="94">
        <f>F9476&amp;E9476&amp;G9476&amp;L9476</f>
        <v/>
      </c>
    </row>
    <row r="9477">
      <c r="A9477" s="94" t="n"/>
      <c r="B9477" s="128" t="n">
        <v>44098</v>
      </c>
      <c r="C9477" s="94">
        <f>TEXT(B9477,"aaa")</f>
        <v/>
      </c>
      <c r="D9477" s="60" t="n"/>
      <c r="E9477" s="60" t="inlineStr">
        <is>
          <t>토너</t>
        </is>
      </c>
      <c r="F9477" s="60" t="inlineStr">
        <is>
          <t>아누아 CS</t>
        </is>
      </c>
      <c r="G9477" s="60" t="inlineStr">
        <is>
          <t>250ml</t>
        </is>
      </c>
      <c r="H9477" s="60" t="n">
        <v>200801</v>
      </c>
      <c r="I9477" s="60" t="n">
        <v>200801</v>
      </c>
      <c r="J9477" s="60" t="n"/>
      <c r="K9477" s="60" t="n">
        <v>11</v>
      </c>
      <c r="L9477" s="60" t="n">
        <v>200801</v>
      </c>
      <c r="M9477" s="94">
        <f>VLOOKUP($Q9477,매칭테이블!$F:$I,2,0)*K9477</f>
        <v/>
      </c>
      <c r="N9477" s="94">
        <f>M9477-M9477*VLOOKUP($Q9477,매칭테이블!$F:$I,3,0)</f>
        <v/>
      </c>
      <c r="O9477" s="94">
        <f>VLOOKUP($Q9477,매칭테이블!$F:$I,4,0)*K9477</f>
        <v/>
      </c>
      <c r="P9477" s="148">
        <f>M9477/1.1</f>
        <v/>
      </c>
      <c r="Q9477" s="94">
        <f>F9477&amp;E9477&amp;G9477&amp;L9477</f>
        <v/>
      </c>
    </row>
    <row r="9478">
      <c r="A9478" s="94" t="n"/>
      <c r="B9478" s="128" t="n">
        <v>44098</v>
      </c>
      <c r="C9478" s="94">
        <f>TEXT(B9478,"aaa")</f>
        <v/>
      </c>
      <c r="D9478" s="60" t="n"/>
      <c r="E9478" s="60" t="inlineStr">
        <is>
          <t>화장솜</t>
        </is>
      </c>
      <c r="F9478" s="60" t="inlineStr">
        <is>
          <t>아누아 CS</t>
        </is>
      </c>
      <c r="G9478" s="60" t="inlineStr">
        <is>
          <t>스킨팩 화장솜 60P</t>
        </is>
      </c>
      <c r="H9478" s="60" t="n">
        <v>200801</v>
      </c>
      <c r="I9478" s="60" t="n">
        <v>200801</v>
      </c>
      <c r="J9478" s="60" t="n"/>
      <c r="K9478" s="60" t="n">
        <v>1</v>
      </c>
      <c r="L9478" s="60" t="n">
        <v>200801</v>
      </c>
      <c r="M9478" s="94">
        <f>VLOOKUP($Q9478,매칭테이블!$F:$I,2,0)*K9478</f>
        <v/>
      </c>
      <c r="N9478" s="94">
        <f>M9478-M9478*VLOOKUP($Q9478,매칭테이블!$F:$I,3,0)</f>
        <v/>
      </c>
      <c r="O9478" s="94">
        <f>VLOOKUP($Q9478,매칭테이블!$F:$I,4,0)*K9478</f>
        <v/>
      </c>
      <c r="P9478" s="148">
        <f>M9478/1.1</f>
        <v/>
      </c>
      <c r="Q9478" s="94">
        <f>F9478&amp;E9478&amp;G9478&amp;L9478</f>
        <v/>
      </c>
    </row>
    <row r="9479">
      <c r="A9479" s="94" t="n"/>
      <c r="B9479" s="128" t="n">
        <v>44098</v>
      </c>
      <c r="C9479" s="94">
        <f>TEXT(B9479,"aaa")</f>
        <v/>
      </c>
      <c r="D9479" s="60" t="n"/>
      <c r="E9479" s="60" t="inlineStr">
        <is>
          <t>앰플</t>
        </is>
      </c>
      <c r="F9479" s="60" t="inlineStr">
        <is>
          <t>아누아 CS</t>
        </is>
      </c>
      <c r="G9479" s="60" t="inlineStr">
        <is>
          <t>앰플 30ml</t>
        </is>
      </c>
      <c r="H9479" s="60" t="n">
        <v>200801</v>
      </c>
      <c r="I9479" s="60" t="n">
        <v>200801</v>
      </c>
      <c r="J9479" s="60" t="n"/>
      <c r="K9479" s="60" t="n">
        <v>25</v>
      </c>
      <c r="L9479" s="60" t="n">
        <v>200801</v>
      </c>
      <c r="M9479" s="94">
        <f>VLOOKUP($Q9479,매칭테이블!$F:$I,2,0)*K9479</f>
        <v/>
      </c>
      <c r="N9479" s="94">
        <f>M9479-M9479*VLOOKUP($Q9479,매칭테이블!$F:$I,3,0)</f>
        <v/>
      </c>
      <c r="O9479" s="94">
        <f>VLOOKUP($Q9479,매칭테이블!$F:$I,4,0)*K9479</f>
        <v/>
      </c>
      <c r="P9479" s="148">
        <f>M9479/1.1</f>
        <v/>
      </c>
      <c r="Q9479" s="94">
        <f>F9479&amp;E9479&amp;G9479&amp;L9479</f>
        <v/>
      </c>
    </row>
    <row r="9480">
      <c r="A9480" s="94" t="n"/>
      <c r="B9480" s="128" t="n">
        <v>44098</v>
      </c>
      <c r="C9480" s="94">
        <f>TEXT(B9480,"aaa")</f>
        <v/>
      </c>
      <c r="D9480" s="60" t="n"/>
      <c r="E9480" s="60" t="inlineStr">
        <is>
          <t>클렌징폼</t>
        </is>
      </c>
      <c r="F9480" s="60" t="inlineStr">
        <is>
          <t>아누아 CS</t>
        </is>
      </c>
      <c r="G9480" s="60" t="inlineStr">
        <is>
          <t>클렌징폼 120ml</t>
        </is>
      </c>
      <c r="H9480" s="60" t="n">
        <v>200801</v>
      </c>
      <c r="I9480" s="60" t="n">
        <v>200801</v>
      </c>
      <c r="J9480" s="60" t="n"/>
      <c r="K9480" s="60" t="n">
        <v>35</v>
      </c>
      <c r="L9480" s="60" t="n">
        <v>200801</v>
      </c>
      <c r="M9480" s="94">
        <f>VLOOKUP($Q9480,매칭테이블!$F:$I,2,0)*K9480</f>
        <v/>
      </c>
      <c r="N9480" s="94">
        <f>M9480-M9480*VLOOKUP($Q9480,매칭테이블!$F:$I,3,0)</f>
        <v/>
      </c>
      <c r="O9480" s="94">
        <f>VLOOKUP($Q9480,매칭테이블!$F:$I,4,0)*K9480</f>
        <v/>
      </c>
      <c r="P9480" s="148">
        <f>M9480/1.1</f>
        <v/>
      </c>
      <c r="Q9480" s="94">
        <f>F9480&amp;E9480&amp;G9480&amp;L9480</f>
        <v/>
      </c>
    </row>
    <row r="9481">
      <c r="A9481" s="94" t="n"/>
      <c r="B9481" s="128" t="n">
        <v>44098</v>
      </c>
      <c r="C9481" s="94">
        <f>TEXT(B9481,"aaa")</f>
        <v/>
      </c>
      <c r="D9481" s="60" t="n"/>
      <c r="E9481" s="60" t="inlineStr">
        <is>
          <t>머드크림마스크</t>
        </is>
      </c>
      <c r="F9481" s="60" t="inlineStr">
        <is>
          <t>아누아 CS</t>
        </is>
      </c>
      <c r="G9481" s="60" t="inlineStr">
        <is>
          <t>머드크림마스크 100ml</t>
        </is>
      </c>
      <c r="H9481" s="60" t="n">
        <v>200801</v>
      </c>
      <c r="I9481" s="60" t="n">
        <v>200801</v>
      </c>
      <c r="J9481" s="60" t="n"/>
      <c r="K9481" s="60" t="n">
        <v>25</v>
      </c>
      <c r="L9481" s="60" t="n">
        <v>200801</v>
      </c>
      <c r="M9481" s="94">
        <f>VLOOKUP($Q9481,매칭테이블!$F:$I,2,0)*K9481</f>
        <v/>
      </c>
      <c r="N9481" s="94">
        <f>M9481-M9481*VLOOKUP($Q9481,매칭테이블!$F:$I,3,0)</f>
        <v/>
      </c>
      <c r="O9481" s="94">
        <f>VLOOKUP($Q9481,매칭테이블!$F:$I,4,0)*K9481</f>
        <v/>
      </c>
      <c r="P9481" s="148">
        <f>M9481/1.1</f>
        <v/>
      </c>
      <c r="Q9481" s="94">
        <f>F9481&amp;E9481&amp;G9481&amp;L9481</f>
        <v/>
      </c>
    </row>
    <row r="9482">
      <c r="A9482" s="94" t="n"/>
      <c r="B9482" s="128" t="n">
        <v>44098</v>
      </c>
      <c r="C9482" s="94">
        <f>TEXT(B9482,"aaa")</f>
        <v/>
      </c>
      <c r="D9482" s="60" t="n"/>
      <c r="E9482" s="60" t="inlineStr">
        <is>
          <t>선크림</t>
        </is>
      </c>
      <c r="F9482" s="60" t="inlineStr">
        <is>
          <t>카페24</t>
        </is>
      </c>
      <c r="G9482" s="60" t="inlineStr">
        <is>
          <t>선크림 50ml</t>
        </is>
      </c>
      <c r="H9482" s="60" t="n">
        <v>200801</v>
      </c>
      <c r="I9482" s="60" t="n">
        <v>200801</v>
      </c>
      <c r="J9482" s="60" t="n"/>
      <c r="K9482" s="60" t="n">
        <v>1</v>
      </c>
      <c r="L9482" s="60" t="n">
        <v>200801</v>
      </c>
      <c r="M9482" s="94">
        <f>VLOOKUP($Q9482,매칭테이블!$F:$I,2,0)*K9482</f>
        <v/>
      </c>
      <c r="N9482" s="94">
        <f>M9482-M9482*VLOOKUP($Q9482,매칭테이블!$F:$I,3,0)</f>
        <v/>
      </c>
      <c r="O9482" s="94">
        <f>VLOOKUP($Q9482,매칭테이블!$F:$I,4,0)*K9482</f>
        <v/>
      </c>
      <c r="P9482" s="148">
        <f>M9482/1.1</f>
        <v/>
      </c>
      <c r="Q9482" s="94">
        <f>F9482&amp;E9482&amp;G9482&amp;L9482</f>
        <v/>
      </c>
    </row>
    <row r="9483">
      <c r="A9483" s="94" t="n"/>
      <c r="B9483" s="128" t="n">
        <v>44098</v>
      </c>
      <c r="C9483" s="94">
        <f>TEXT(B9483,"aaa")</f>
        <v/>
      </c>
      <c r="D9483" s="60" t="n"/>
      <c r="E9483" s="60" t="inlineStr">
        <is>
          <t>어성초진정패키지</t>
        </is>
      </c>
      <c r="F9483" s="60" t="inlineStr">
        <is>
          <t>카페24</t>
        </is>
      </c>
      <c r="G9483" s="60" t="inlineStr">
        <is>
          <t>어성초 진정패키지세트</t>
        </is>
      </c>
      <c r="H9483" s="60" t="n">
        <v>200801</v>
      </c>
      <c r="I9483" s="60" t="n">
        <v>200801</v>
      </c>
      <c r="J9483" s="60" t="n"/>
      <c r="K9483" s="60" t="n">
        <v>1</v>
      </c>
      <c r="L9483" s="60" t="n">
        <v>200801</v>
      </c>
      <c r="M9483" s="94">
        <f>VLOOKUP($Q9483,매칭테이블!$F:$I,2,0)*K9483</f>
        <v/>
      </c>
      <c r="N9483" s="94">
        <f>M9483-M9483*VLOOKUP($Q9483,매칭테이블!$F:$I,3,0)</f>
        <v/>
      </c>
      <c r="O9483" s="94">
        <f>VLOOKUP($Q9483,매칭테이블!$F:$I,4,0)*K9483</f>
        <v/>
      </c>
      <c r="P9483" s="148">
        <f>M9483/1.1</f>
        <v/>
      </c>
      <c r="Q9483" s="94">
        <f>F9483&amp;E9483&amp;G9483&amp;L9483</f>
        <v/>
      </c>
    </row>
    <row r="9484">
      <c r="A9484" s="94" t="n"/>
      <c r="B9484" s="128" t="n">
        <v>44098</v>
      </c>
      <c r="C9484" s="94">
        <f>TEXT(B9484,"aaa")</f>
        <v/>
      </c>
      <c r="D9484" s="60" t="n"/>
      <c r="E9484" s="60" t="inlineStr">
        <is>
          <t>클리어 패드</t>
        </is>
      </c>
      <c r="F9484" s="60" t="inlineStr">
        <is>
          <t>카페24</t>
        </is>
      </c>
      <c r="G9484" s="60" t="inlineStr">
        <is>
          <t>어성초 77 클리어 패드 1개-20% off</t>
        </is>
      </c>
      <c r="H9484" s="60" t="n">
        <v>200801</v>
      </c>
      <c r="I9484" s="60" t="n">
        <v>200801</v>
      </c>
      <c r="J9484" s="60" t="n"/>
      <c r="K9484" s="60" t="n">
        <v>19</v>
      </c>
      <c r="L9484" s="60" t="n">
        <v>200801</v>
      </c>
      <c r="M9484" s="94">
        <f>VLOOKUP($Q9484,매칭테이블!$F:$I,2,0)*K9484</f>
        <v/>
      </c>
      <c r="N9484" s="94">
        <f>M9484-M9484*VLOOKUP($Q9484,매칭테이블!$F:$I,3,0)</f>
        <v/>
      </c>
      <c r="O9484" s="94">
        <f>VLOOKUP($Q9484,매칭테이블!$F:$I,4,0)*K9484</f>
        <v/>
      </c>
      <c r="P9484" s="148">
        <f>M9484/1.1</f>
        <v/>
      </c>
      <c r="Q9484" s="94">
        <f>F9484&amp;E9484&amp;G9484&amp;L9484</f>
        <v/>
      </c>
    </row>
    <row r="9485">
      <c r="A9485" s="94" t="n"/>
      <c r="B9485" s="128" t="n">
        <v>44098</v>
      </c>
      <c r="C9485" s="94">
        <f>TEXT(B9485,"aaa")</f>
        <v/>
      </c>
      <c r="D9485" s="60" t="n"/>
      <c r="E9485" s="60" t="inlineStr">
        <is>
          <t>클리어 패드</t>
        </is>
      </c>
      <c r="F9485" s="60" t="inlineStr">
        <is>
          <t>카페24</t>
        </is>
      </c>
      <c r="G9485" s="60" t="inlineStr">
        <is>
          <t>어성초 77 클리어 패드 2개-30% off</t>
        </is>
      </c>
      <c r="H9485" s="60" t="n">
        <v>200801</v>
      </c>
      <c r="I9485" s="60" t="n">
        <v>200801</v>
      </c>
      <c r="J9485" s="60" t="n"/>
      <c r="K9485" s="60" t="n">
        <v>21</v>
      </c>
      <c r="L9485" s="60" t="n">
        <v>200801</v>
      </c>
      <c r="M9485" s="94">
        <f>VLOOKUP($Q9485,매칭테이블!$F:$I,2,0)*K9485</f>
        <v/>
      </c>
      <c r="N9485" s="94">
        <f>M9485-M9485*VLOOKUP($Q9485,매칭테이블!$F:$I,3,0)</f>
        <v/>
      </c>
      <c r="O9485" s="94">
        <f>VLOOKUP($Q9485,매칭테이블!$F:$I,4,0)*K9485</f>
        <v/>
      </c>
      <c r="P9485" s="148">
        <f>M9485/1.1</f>
        <v/>
      </c>
      <c r="Q9485" s="94">
        <f>F9485&amp;E9485&amp;G9485&amp;L9485</f>
        <v/>
      </c>
    </row>
    <row r="9486">
      <c r="A9486" s="94" t="n"/>
      <c r="B9486" s="128" t="n">
        <v>44098</v>
      </c>
      <c r="C9486" s="94">
        <f>TEXT(B9486,"aaa")</f>
        <v/>
      </c>
      <c r="D9486" s="60" t="n"/>
      <c r="E9486" s="60" t="inlineStr">
        <is>
          <t>토너+패드 세트</t>
        </is>
      </c>
      <c r="F9486" s="60" t="inlineStr">
        <is>
          <t>카페24</t>
        </is>
      </c>
      <c r="G9486" s="60" t="inlineStr">
        <is>
          <t>좁쌀 진정 세트 토너+클리어 패드-30% off</t>
        </is>
      </c>
      <c r="H9486" s="60" t="n">
        <v>200801</v>
      </c>
      <c r="I9486" s="60" t="n">
        <v>200801</v>
      </c>
      <c r="J9486" s="60" t="n"/>
      <c r="K9486" s="60" t="n">
        <v>20</v>
      </c>
      <c r="L9486" s="60" t="n">
        <v>200801</v>
      </c>
      <c r="M9486" s="94">
        <f>VLOOKUP($Q9486,매칭테이블!$F:$I,2,0)*K9486</f>
        <v/>
      </c>
      <c r="N9486" s="94">
        <f>M9486-M9486*VLOOKUP($Q9486,매칭테이블!$F:$I,3,0)</f>
        <v/>
      </c>
      <c r="O9486" s="94">
        <f>VLOOKUP($Q9486,매칭테이블!$F:$I,4,0)*K9486</f>
        <v/>
      </c>
      <c r="P9486" s="148">
        <f>M9486/1.1</f>
        <v/>
      </c>
      <c r="Q9486" s="94">
        <f>F9486&amp;E9486&amp;G9486&amp;L9486</f>
        <v/>
      </c>
    </row>
    <row r="9487">
      <c r="A9487" s="94" t="n"/>
      <c r="B9487" s="128" t="n">
        <v>44098</v>
      </c>
      <c r="C9487" s="94">
        <f>TEXT(B9487,"aaa")</f>
        <v/>
      </c>
      <c r="D9487" s="60" t="n"/>
      <c r="E9487" s="60" t="inlineStr">
        <is>
          <t>수분 보충 세트</t>
        </is>
      </c>
      <c r="F9487" s="60" t="inlineStr">
        <is>
          <t>카페24</t>
        </is>
      </c>
      <c r="G9487" s="60" t="inlineStr">
        <is>
          <t>어성초 77 토너 250ml + 어성초 70 로션 200ml -30%</t>
        </is>
      </c>
      <c r="H9487" s="60" t="n">
        <v>200801</v>
      </c>
      <c r="I9487" s="60" t="n">
        <v>200801</v>
      </c>
      <c r="J9487" s="60" t="n"/>
      <c r="K9487" s="60" t="n">
        <v>31</v>
      </c>
      <c r="L9487" s="60" t="n">
        <v>200801</v>
      </c>
      <c r="M9487" s="94">
        <f>VLOOKUP($Q9487,매칭테이블!$F:$I,2,0)*K9487</f>
        <v/>
      </c>
      <c r="N9487" s="94">
        <f>M9487-M9487*VLOOKUP($Q9487,매칭테이블!$F:$I,3,0)</f>
        <v/>
      </c>
      <c r="O9487" s="94">
        <f>VLOOKUP($Q9487,매칭테이블!$F:$I,4,0)*K9487</f>
        <v/>
      </c>
      <c r="P9487" s="148">
        <f>M9487/1.1</f>
        <v/>
      </c>
      <c r="Q9487" s="94">
        <f>F9487&amp;E9487&amp;G9487&amp;L9487</f>
        <v/>
      </c>
    </row>
    <row r="9488">
      <c r="A9488" s="94" t="n"/>
      <c r="B9488" s="128" t="n">
        <v>44098</v>
      </c>
      <c r="C9488" s="94">
        <f>TEXT(B9488,"aaa")</f>
        <v/>
      </c>
      <c r="D9488" s="60" t="n"/>
      <c r="E9488" s="60" t="inlineStr">
        <is>
          <t>로션</t>
        </is>
      </c>
      <c r="F9488" s="60" t="inlineStr">
        <is>
          <t>카페24</t>
        </is>
      </c>
      <c r="G9488" s="60" t="inlineStr">
        <is>
          <t>어성초 70 데일리 릴리프 로션 1개 -20% off</t>
        </is>
      </c>
      <c r="H9488" s="60" t="n">
        <v>200801</v>
      </c>
      <c r="I9488" s="60" t="n">
        <v>200801</v>
      </c>
      <c r="J9488" s="60" t="n"/>
      <c r="K9488" s="60" t="n">
        <v>6</v>
      </c>
      <c r="L9488" s="60" t="n">
        <v>200801</v>
      </c>
      <c r="M9488" s="94">
        <f>VLOOKUP($Q9488,매칭테이블!$F:$I,2,0)*K9488</f>
        <v/>
      </c>
      <c r="N9488" s="94">
        <f>M9488-M9488*VLOOKUP($Q9488,매칭테이블!$F:$I,3,0)</f>
        <v/>
      </c>
      <c r="O9488" s="94">
        <f>VLOOKUP($Q9488,매칭테이블!$F:$I,4,0)*K9488</f>
        <v/>
      </c>
      <c r="P9488" s="148">
        <f>M9488/1.1</f>
        <v/>
      </c>
      <c r="Q9488" s="94">
        <f>F9488&amp;E9488&amp;G9488&amp;L9488</f>
        <v/>
      </c>
    </row>
    <row r="9489">
      <c r="A9489" s="94" t="n"/>
      <c r="B9489" s="128" t="n">
        <v>44098</v>
      </c>
      <c r="C9489" s="94">
        <f>TEXT(B9489,"aaa")</f>
        <v/>
      </c>
      <c r="D9489" s="60" t="n"/>
      <c r="E9489" s="60" t="inlineStr">
        <is>
          <t>로션</t>
        </is>
      </c>
      <c r="F9489" s="60" t="inlineStr">
        <is>
          <t>카페24</t>
        </is>
      </c>
      <c r="G9489" s="60" t="inlineStr">
        <is>
          <t>어성초 70 데일리 릴리프 로션 2개 -30% off</t>
        </is>
      </c>
      <c r="H9489" s="60" t="n">
        <v>200801</v>
      </c>
      <c r="I9489" s="60" t="n">
        <v>200801</v>
      </c>
      <c r="J9489" s="60" t="n"/>
      <c r="K9489" s="60" t="n">
        <v>1</v>
      </c>
      <c r="L9489" s="60" t="n">
        <v>200801</v>
      </c>
      <c r="M9489" s="94">
        <f>VLOOKUP($Q9489,매칭테이블!$F:$I,2,0)*K9489</f>
        <v/>
      </c>
      <c r="N9489" s="94">
        <f>M9489-M9489*VLOOKUP($Q9489,매칭테이블!$F:$I,3,0)</f>
        <v/>
      </c>
      <c r="O9489" s="94">
        <f>VLOOKUP($Q9489,매칭테이블!$F:$I,4,0)*K9489</f>
        <v/>
      </c>
      <c r="P9489" s="148">
        <f>M9489/1.1</f>
        <v/>
      </c>
      <c r="Q9489" s="94">
        <f>F9489&amp;E9489&amp;G9489&amp;L9489</f>
        <v/>
      </c>
    </row>
    <row r="9490">
      <c r="A9490" s="94" t="n"/>
      <c r="B9490" s="128" t="n">
        <v>44098</v>
      </c>
      <c r="C9490" s="94">
        <f>TEXT(B9490,"aaa")</f>
        <v/>
      </c>
      <c r="D9490" s="60" t="n"/>
      <c r="E9490" s="60" t="inlineStr">
        <is>
          <t>머드크림마스크</t>
        </is>
      </c>
      <c r="F9490" s="60" t="inlineStr">
        <is>
          <t>카페24</t>
        </is>
      </c>
      <c r="G9490" s="60" t="inlineStr">
        <is>
          <t>머드크림마스크 100ml</t>
        </is>
      </c>
      <c r="H9490" s="60" t="n">
        <v>200801</v>
      </c>
      <c r="I9490" s="60" t="n">
        <v>200801</v>
      </c>
      <c r="J9490" s="60" t="n"/>
      <c r="K9490" s="60" t="n">
        <v>2</v>
      </c>
      <c r="L9490" s="60" t="n">
        <v>200801</v>
      </c>
      <c r="M9490" s="94">
        <f>VLOOKUP($Q9490,매칭테이블!$F:$I,2,0)*K9490</f>
        <v/>
      </c>
      <c r="N9490" s="94">
        <f>M9490-M9490*VLOOKUP($Q9490,매칭테이블!$F:$I,3,0)</f>
        <v/>
      </c>
      <c r="O9490" s="94">
        <f>VLOOKUP($Q9490,매칭테이블!$F:$I,4,0)*K9490</f>
        <v/>
      </c>
      <c r="P9490" s="148">
        <f>M9490/1.1</f>
        <v/>
      </c>
      <c r="Q9490" s="94">
        <f>F9490&amp;E9490&amp;G9490&amp;L9490</f>
        <v/>
      </c>
    </row>
    <row r="9491">
      <c r="A9491" s="94" t="n"/>
      <c r="B9491" s="128" t="n">
        <v>44098</v>
      </c>
      <c r="C9491" s="94">
        <f>TEXT(B9491,"aaa")</f>
        <v/>
      </c>
      <c r="D9491" s="60" t="n"/>
      <c r="E9491" s="60" t="inlineStr">
        <is>
          <t>마스크팩</t>
        </is>
      </c>
      <c r="F9491" s="60" t="inlineStr">
        <is>
          <t>카페24</t>
        </is>
      </c>
      <c r="G9491" s="60" t="inlineStr">
        <is>
          <t>마스크팩 1매</t>
        </is>
      </c>
      <c r="H9491" s="60" t="n">
        <v>200801</v>
      </c>
      <c r="I9491" s="60" t="n">
        <v>200801</v>
      </c>
      <c r="J9491" s="60" t="n"/>
      <c r="K9491" s="60" t="n">
        <v>4</v>
      </c>
      <c r="L9491" s="60" t="n">
        <v>200801</v>
      </c>
      <c r="M9491" s="94">
        <f>VLOOKUP($Q9491,매칭테이블!$F:$I,2,0)*K9491</f>
        <v/>
      </c>
      <c r="N9491" s="94">
        <f>M9491-M9491*VLOOKUP($Q9491,매칭테이블!$F:$I,3,0)</f>
        <v/>
      </c>
      <c r="O9491" s="94">
        <f>VLOOKUP($Q9491,매칭테이블!$F:$I,4,0)*K9491</f>
        <v/>
      </c>
      <c r="P9491" s="148">
        <f>M9491/1.1</f>
        <v/>
      </c>
      <c r="Q9491" s="94">
        <f>F9491&amp;E9491&amp;G9491&amp;L9491</f>
        <v/>
      </c>
    </row>
    <row r="9492">
      <c r="A9492" s="94" t="n"/>
      <c r="B9492" s="128" t="n">
        <v>44098</v>
      </c>
      <c r="C9492" s="94">
        <f>TEXT(B9492,"aaa")</f>
        <v/>
      </c>
      <c r="D9492" s="60" t="n"/>
      <c r="E9492" s="60" t="inlineStr">
        <is>
          <t>마스크팩</t>
        </is>
      </c>
      <c r="F9492" s="60" t="inlineStr">
        <is>
          <t>카페24</t>
        </is>
      </c>
      <c r="G9492" s="60" t="inlineStr">
        <is>
          <t>마스크팩 10매</t>
        </is>
      </c>
      <c r="H9492" s="60" t="n">
        <v>200801</v>
      </c>
      <c r="I9492" s="60" t="n">
        <v>200801</v>
      </c>
      <c r="J9492" s="60" t="n"/>
      <c r="K9492" s="60" t="n">
        <v>6</v>
      </c>
      <c r="L9492" s="60" t="n">
        <v>200801</v>
      </c>
      <c r="M9492" s="94">
        <f>VLOOKUP($Q9492,매칭테이블!$F:$I,2,0)*K9492</f>
        <v/>
      </c>
      <c r="N9492" s="94">
        <f>M9492-M9492*VLOOKUP($Q9492,매칭테이블!$F:$I,3,0)</f>
        <v/>
      </c>
      <c r="O9492" s="94">
        <f>VLOOKUP($Q9492,매칭테이블!$F:$I,4,0)*K9492</f>
        <v/>
      </c>
      <c r="P9492" s="148">
        <f>M9492/1.1</f>
        <v/>
      </c>
      <c r="Q9492" s="94">
        <f>F9492&amp;E9492&amp;G9492&amp;L9492</f>
        <v/>
      </c>
    </row>
    <row r="9493">
      <c r="A9493" s="94" t="n"/>
      <c r="B9493" s="128" t="n">
        <v>44098</v>
      </c>
      <c r="C9493" s="94">
        <f>TEXT(B9493,"aaa")</f>
        <v/>
      </c>
      <c r="D9493" s="60" t="n"/>
      <c r="E9493" s="60" t="inlineStr">
        <is>
          <t>토너</t>
        </is>
      </c>
      <c r="F9493" s="60" t="inlineStr">
        <is>
          <t>카페24</t>
        </is>
      </c>
      <c r="G9493" s="60" t="inlineStr">
        <is>
          <t>250ml</t>
        </is>
      </c>
      <c r="H9493" s="60" t="n">
        <v>200801</v>
      </c>
      <c r="I9493" s="60" t="n">
        <v>200801</v>
      </c>
      <c r="J9493" s="60" t="n"/>
      <c r="K9493" s="60" t="n">
        <v>55</v>
      </c>
      <c r="L9493" s="60" t="n">
        <v>200801</v>
      </c>
      <c r="M9493" s="94">
        <f>VLOOKUP($Q9493,매칭테이블!$F:$I,2,0)*K9493</f>
        <v/>
      </c>
      <c r="N9493" s="94">
        <f>M9493-M9493*VLOOKUP($Q9493,매칭테이블!$F:$I,3,0)</f>
        <v/>
      </c>
      <c r="O9493" s="94">
        <f>VLOOKUP($Q9493,매칭테이블!$F:$I,4,0)*K9493</f>
        <v/>
      </c>
      <c r="P9493" s="148">
        <f>M9493/1.1</f>
        <v/>
      </c>
      <c r="Q9493" s="94">
        <f>F9493&amp;E9493&amp;G9493&amp;L9493</f>
        <v/>
      </c>
    </row>
    <row r="9494">
      <c r="A9494" s="94" t="n"/>
      <c r="B9494" s="128" t="n">
        <v>44098</v>
      </c>
      <c r="C9494" s="94">
        <f>TEXT(B9494,"aaa")</f>
        <v/>
      </c>
      <c r="D9494" s="60" t="n"/>
      <c r="E9494" s="60" t="inlineStr">
        <is>
          <t>토너</t>
        </is>
      </c>
      <c r="F9494" s="60" t="inlineStr">
        <is>
          <t>카페24</t>
        </is>
      </c>
      <c r="G9494" s="60" t="inlineStr">
        <is>
          <t>250ml 2set</t>
        </is>
      </c>
      <c r="H9494" s="60" t="n">
        <v>200801</v>
      </c>
      <c r="I9494" s="60" t="n">
        <v>200801</v>
      </c>
      <c r="J9494" s="60" t="n"/>
      <c r="K9494" s="60" t="n">
        <v>30</v>
      </c>
      <c r="L9494" s="60" t="n">
        <v>200801</v>
      </c>
      <c r="M9494" s="94">
        <f>VLOOKUP($Q9494,매칭테이블!$F:$I,2,0)*K9494</f>
        <v/>
      </c>
      <c r="N9494" s="94">
        <f>M9494-M9494*VLOOKUP($Q9494,매칭테이블!$F:$I,3,0)</f>
        <v/>
      </c>
      <c r="O9494" s="94">
        <f>VLOOKUP($Q9494,매칭테이블!$F:$I,4,0)*K9494</f>
        <v/>
      </c>
      <c r="P9494" s="148">
        <f>M9494/1.1</f>
        <v/>
      </c>
      <c r="Q9494" s="94">
        <f>F9494&amp;E9494&amp;G9494&amp;L9494</f>
        <v/>
      </c>
    </row>
    <row r="9495">
      <c r="A9495" s="94" t="n"/>
      <c r="B9495" s="128" t="n">
        <v>44098</v>
      </c>
      <c r="C9495" s="94">
        <f>TEXT(B9495,"aaa")</f>
        <v/>
      </c>
      <c r="D9495" s="60" t="n"/>
      <c r="E9495" s="60" t="inlineStr">
        <is>
          <t>토너</t>
        </is>
      </c>
      <c r="F9495" s="60" t="inlineStr">
        <is>
          <t>카페24</t>
        </is>
      </c>
      <c r="G9495" s="60" t="inlineStr">
        <is>
          <t>500ml</t>
        </is>
      </c>
      <c r="H9495" s="60" t="n">
        <v>200801</v>
      </c>
      <c r="I9495" s="60" t="n">
        <v>200801</v>
      </c>
      <c r="J9495" s="60" t="n"/>
      <c r="K9495" s="60" t="n">
        <v>49</v>
      </c>
      <c r="L9495" s="60" t="n">
        <v>200801</v>
      </c>
      <c r="M9495" s="94">
        <f>VLOOKUP($Q9495,매칭테이블!$F:$I,2,0)*K9495</f>
        <v/>
      </c>
      <c r="N9495" s="94">
        <f>M9495-M9495*VLOOKUP($Q9495,매칭테이블!$F:$I,3,0)</f>
        <v/>
      </c>
      <c r="O9495" s="94">
        <f>VLOOKUP($Q9495,매칭테이블!$F:$I,4,0)*K9495</f>
        <v/>
      </c>
      <c r="P9495" s="148">
        <f>M9495/1.1</f>
        <v/>
      </c>
      <c r="Q9495" s="94">
        <f>F9495&amp;E9495&amp;G9495&amp;L9495</f>
        <v/>
      </c>
    </row>
    <row r="9496">
      <c r="A9496" s="94" t="n"/>
      <c r="B9496" s="128" t="n">
        <v>44098</v>
      </c>
      <c r="C9496" s="94">
        <f>TEXT(B9496,"aaa")</f>
        <v/>
      </c>
      <c r="D9496" s="60" t="n"/>
      <c r="E9496" s="60" t="inlineStr">
        <is>
          <t>토너</t>
        </is>
      </c>
      <c r="F9496" s="60" t="inlineStr">
        <is>
          <t>카페24</t>
        </is>
      </c>
      <c r="G9496" s="60" t="inlineStr">
        <is>
          <t>스킨팩 화장솜 60P</t>
        </is>
      </c>
      <c r="H9496" s="60" t="n">
        <v>200801</v>
      </c>
      <c r="I9496" s="60" t="n">
        <v>200801</v>
      </c>
      <c r="J9496" s="60" t="n"/>
      <c r="K9496" s="60" t="n">
        <v>45</v>
      </c>
      <c r="L9496" s="60" t="n">
        <v>200801</v>
      </c>
      <c r="M9496" s="94">
        <f>VLOOKUP($Q9496,매칭테이블!$F:$I,2,0)*K9496</f>
        <v/>
      </c>
      <c r="N9496" s="94">
        <f>M9496-M9496*VLOOKUP($Q9496,매칭테이블!$F:$I,3,0)</f>
        <v/>
      </c>
      <c r="O9496" s="94">
        <f>VLOOKUP($Q9496,매칭테이블!$F:$I,4,0)*K9496</f>
        <v/>
      </c>
      <c r="P9496" s="148">
        <f>M9496/1.1</f>
        <v/>
      </c>
      <c r="Q9496" s="94">
        <f>F9496&amp;E9496&amp;G9496&amp;L9496</f>
        <v/>
      </c>
    </row>
    <row r="9497">
      <c r="A9497" s="94" t="n"/>
      <c r="B9497" s="128" t="n">
        <v>44098</v>
      </c>
      <c r="C9497" s="94">
        <f>TEXT(B9497,"aaa")</f>
        <v/>
      </c>
      <c r="D9497" s="60" t="n"/>
      <c r="E9497" s="60" t="inlineStr">
        <is>
          <t>앰플</t>
        </is>
      </c>
      <c r="F9497" s="60" t="inlineStr">
        <is>
          <t>카페24</t>
        </is>
      </c>
      <c r="G9497" s="60" t="inlineStr">
        <is>
          <t>앰플 30ml</t>
        </is>
      </c>
      <c r="H9497" s="60" t="n">
        <v>200801</v>
      </c>
      <c r="I9497" s="60" t="n">
        <v>200801</v>
      </c>
      <c r="J9497" s="60" t="n"/>
      <c r="K9497" s="60" t="n">
        <v>23</v>
      </c>
      <c r="L9497" s="60" t="n">
        <v>200801</v>
      </c>
      <c r="M9497" s="94">
        <f>VLOOKUP($Q9497,매칭테이블!$F:$I,2,0)*K9497</f>
        <v/>
      </c>
      <c r="N9497" s="94">
        <f>M9497-M9497*VLOOKUP($Q9497,매칭테이블!$F:$I,3,0)</f>
        <v/>
      </c>
      <c r="O9497" s="94">
        <f>VLOOKUP($Q9497,매칭테이블!$F:$I,4,0)*K9497</f>
        <v/>
      </c>
      <c r="P9497" s="148">
        <f>M9497/1.1</f>
        <v/>
      </c>
      <c r="Q9497" s="94">
        <f>F9497&amp;E9497&amp;G9497&amp;L9497</f>
        <v/>
      </c>
    </row>
    <row r="9498">
      <c r="A9498" s="94" t="n"/>
      <c r="B9498" s="128" t="n">
        <v>44098</v>
      </c>
      <c r="C9498" s="94">
        <f>TEXT(B9498,"aaa")</f>
        <v/>
      </c>
      <c r="D9498" s="60" t="n"/>
      <c r="E9498" s="60" t="inlineStr">
        <is>
          <t>앰플</t>
        </is>
      </c>
      <c r="F9498" s="60" t="inlineStr">
        <is>
          <t>카페24</t>
        </is>
      </c>
      <c r="G9498" s="60" t="inlineStr">
        <is>
          <t>앰플 30ml  2set</t>
        </is>
      </c>
      <c r="H9498" s="60" t="n">
        <v>200801</v>
      </c>
      <c r="I9498" s="60" t="n">
        <v>200801</v>
      </c>
      <c r="J9498" s="60" t="n"/>
      <c r="K9498" s="60" t="n">
        <v>4</v>
      </c>
      <c r="L9498" s="60" t="n">
        <v>200801</v>
      </c>
      <c r="M9498" s="94">
        <f>VLOOKUP($Q9498,매칭테이블!$F:$I,2,0)*K9498</f>
        <v/>
      </c>
      <c r="N9498" s="94">
        <f>M9498-M9498*VLOOKUP($Q9498,매칭테이블!$F:$I,3,0)</f>
        <v/>
      </c>
      <c r="O9498" s="94">
        <f>VLOOKUP($Q9498,매칭테이블!$F:$I,4,0)*K9498</f>
        <v/>
      </c>
      <c r="P9498" s="148">
        <f>M9498/1.1</f>
        <v/>
      </c>
      <c r="Q9498" s="94">
        <f>F9498&amp;E9498&amp;G9498&amp;L9498</f>
        <v/>
      </c>
    </row>
    <row r="9499">
      <c r="A9499" s="94" t="n"/>
      <c r="B9499" s="128" t="n">
        <v>44098</v>
      </c>
      <c r="C9499" s="94">
        <f>TEXT(B9499,"aaa")</f>
        <v/>
      </c>
      <c r="D9499" s="60" t="n"/>
      <c r="E9499" s="60" t="inlineStr">
        <is>
          <t>수딩크림</t>
        </is>
      </c>
      <c r="F9499" s="60" t="inlineStr">
        <is>
          <t>카페24</t>
        </is>
      </c>
      <c r="G9499" s="60" t="inlineStr">
        <is>
          <t>수딩크림 100ml</t>
        </is>
      </c>
      <c r="H9499" s="60" t="n">
        <v>200801</v>
      </c>
      <c r="I9499" s="60" t="n">
        <v>200801</v>
      </c>
      <c r="J9499" s="60" t="n"/>
      <c r="K9499" s="60" t="n">
        <v>7</v>
      </c>
      <c r="L9499" s="60" t="n">
        <v>200801</v>
      </c>
      <c r="M9499" s="94">
        <f>VLOOKUP($Q9499,매칭테이블!$F:$I,2,0)*K9499</f>
        <v/>
      </c>
      <c r="N9499" s="94">
        <f>M9499-M9499*VLOOKUP($Q9499,매칭테이블!$F:$I,3,0)</f>
        <v/>
      </c>
      <c r="O9499" s="94">
        <f>VLOOKUP($Q9499,매칭테이블!$F:$I,4,0)*K9499</f>
        <v/>
      </c>
      <c r="P9499" s="148">
        <f>M9499/1.1</f>
        <v/>
      </c>
      <c r="Q9499" s="94">
        <f>F9499&amp;E9499&amp;G9499&amp;L9499</f>
        <v/>
      </c>
    </row>
    <row r="9500">
      <c r="A9500" s="94" t="n"/>
      <c r="B9500" s="128" t="n">
        <v>44098</v>
      </c>
      <c r="C9500" s="94">
        <f>TEXT(B9500,"aaa")</f>
        <v/>
      </c>
      <c r="D9500" s="60" t="n"/>
      <c r="E9500" s="60" t="inlineStr">
        <is>
          <t>클렌징폼</t>
        </is>
      </c>
      <c r="F9500" s="60" t="inlineStr">
        <is>
          <t>카페24</t>
        </is>
      </c>
      <c r="G9500" s="60" t="inlineStr">
        <is>
          <t>클렌징폼 120ml</t>
        </is>
      </c>
      <c r="H9500" s="60" t="n">
        <v>200801</v>
      </c>
      <c r="I9500" s="60" t="n">
        <v>200801</v>
      </c>
      <c r="J9500" s="60" t="n"/>
      <c r="K9500" s="60" t="n">
        <v>6</v>
      </c>
      <c r="L9500" s="60" t="n">
        <v>200801</v>
      </c>
      <c r="M9500" s="94">
        <f>VLOOKUP($Q9500,매칭테이블!$F:$I,2,0)*K9500</f>
        <v/>
      </c>
      <c r="N9500" s="94">
        <f>M9500-M9500*VLOOKUP($Q9500,매칭테이블!$F:$I,3,0)</f>
        <v/>
      </c>
      <c r="O9500" s="94">
        <f>VLOOKUP($Q9500,매칭테이블!$F:$I,4,0)*K9500</f>
        <v/>
      </c>
      <c r="P9500" s="148">
        <f>M9500/1.1</f>
        <v/>
      </c>
      <c r="Q9500" s="94">
        <f>F9500&amp;E9500&amp;G9500&amp;L9500</f>
        <v/>
      </c>
    </row>
    <row r="9501">
      <c r="A9501" s="94" t="n"/>
      <c r="B9501" s="128" t="n">
        <v>44098</v>
      </c>
      <c r="C9501" s="94">
        <f>TEXT(B9501,"aaa")</f>
        <v/>
      </c>
      <c r="D9501" s="60" t="n"/>
      <c r="E9501" s="60" t="inlineStr">
        <is>
          <t>클렌징폼</t>
        </is>
      </c>
      <c r="F9501" s="60" t="inlineStr">
        <is>
          <t>카페24</t>
        </is>
      </c>
      <c r="G9501" s="60" t="inlineStr">
        <is>
          <t>클렌징폼 120ml 2set</t>
        </is>
      </c>
      <c r="H9501" s="60" t="n">
        <v>200801</v>
      </c>
      <c r="I9501" s="60" t="n">
        <v>200801</v>
      </c>
      <c r="J9501" s="60" t="n"/>
      <c r="K9501" s="60" t="n">
        <v>4</v>
      </c>
      <c r="L9501" s="60" t="n">
        <v>200801</v>
      </c>
      <c r="M9501" s="94">
        <f>VLOOKUP($Q9501,매칭테이블!$F:$I,2,0)*K9501</f>
        <v/>
      </c>
      <c r="N9501" s="94">
        <f>M9501-M9501*VLOOKUP($Q9501,매칭테이블!$F:$I,3,0)</f>
        <v/>
      </c>
      <c r="O9501" s="94">
        <f>VLOOKUP($Q9501,매칭테이블!$F:$I,4,0)*K9501</f>
        <v/>
      </c>
      <c r="P9501" s="148">
        <f>M9501/1.1</f>
        <v/>
      </c>
      <c r="Q9501" s="94">
        <f>F9501&amp;E9501&amp;G9501&amp;L9501</f>
        <v/>
      </c>
    </row>
    <row r="9502">
      <c r="A9502" s="94" t="n"/>
      <c r="B9502" s="128" t="n">
        <v>44098</v>
      </c>
      <c r="C9502" s="94">
        <f>TEXT(B9502,"aaa")</f>
        <v/>
      </c>
      <c r="D9502" s="60" t="n"/>
      <c r="E9502" s="60" t="inlineStr">
        <is>
          <t>클렌징폼</t>
        </is>
      </c>
      <c r="F9502" s="60" t="inlineStr">
        <is>
          <t>카페24</t>
        </is>
      </c>
      <c r="G9502" s="60" t="inlineStr">
        <is>
          <t>클렌징폼 120ml 3set</t>
        </is>
      </c>
      <c r="H9502" s="60" t="n">
        <v>200801</v>
      </c>
      <c r="I9502" s="60" t="n">
        <v>200801</v>
      </c>
      <c r="J9502" s="60" t="n"/>
      <c r="K9502" s="60" t="n">
        <v>3</v>
      </c>
      <c r="L9502" s="60" t="n">
        <v>200801</v>
      </c>
      <c r="M9502" s="94">
        <f>VLOOKUP($Q9502,매칭테이블!$F:$I,2,0)*K9502</f>
        <v/>
      </c>
      <c r="N9502" s="94">
        <f>M9502-M9502*VLOOKUP($Q9502,매칭테이블!$F:$I,3,0)</f>
        <v/>
      </c>
      <c r="O9502" s="94">
        <f>VLOOKUP($Q9502,매칭테이블!$F:$I,4,0)*K9502</f>
        <v/>
      </c>
      <c r="P9502" s="148">
        <f>M9502/1.1</f>
        <v/>
      </c>
      <c r="Q9502" s="94">
        <f>F9502&amp;E9502&amp;G9502&amp;L9502</f>
        <v/>
      </c>
    </row>
    <row r="9503">
      <c r="A9503" s="94" t="n"/>
      <c r="B9503" s="128" t="n">
        <v>44098</v>
      </c>
      <c r="C9503" s="94">
        <f>TEXT(B9503,"aaa")</f>
        <v/>
      </c>
      <c r="D9503" s="60" t="n"/>
      <c r="E9503" s="60" t="inlineStr">
        <is>
          <t>바디워시</t>
        </is>
      </c>
      <c r="F9503" s="60" t="inlineStr">
        <is>
          <t>카페24</t>
        </is>
      </c>
      <c r="G9503" s="60" t="inlineStr">
        <is>
          <t>바디워시 2개 -35% off (무료배송)</t>
        </is>
      </c>
      <c r="H9503" s="60" t="n">
        <v>200801</v>
      </c>
      <c r="I9503" s="60" t="n">
        <v>200801</v>
      </c>
      <c r="J9503" s="60" t="n"/>
      <c r="K9503" s="60" t="n">
        <v>1</v>
      </c>
      <c r="L9503" s="60" t="n">
        <v>200801</v>
      </c>
      <c r="M9503" s="94">
        <f>VLOOKUP($Q9503,매칭테이블!$F:$I,2,0)*K9503</f>
        <v/>
      </c>
      <c r="N9503" s="94">
        <f>M9503-M9503*VLOOKUP($Q9503,매칭테이블!$F:$I,3,0)</f>
        <v/>
      </c>
      <c r="O9503" s="94">
        <f>VLOOKUP($Q9503,매칭테이블!$F:$I,4,0)*K9503</f>
        <v/>
      </c>
      <c r="P9503" s="148">
        <f>M9503/1.1</f>
        <v/>
      </c>
      <c r="Q9503" s="94">
        <f>F9503&amp;E9503&amp;G9503&amp;L9503</f>
        <v/>
      </c>
    </row>
    <row r="9504">
      <c r="A9504" s="94" t="n"/>
      <c r="B9504" s="128" t="n">
        <v>44098</v>
      </c>
      <c r="C9504" s="94">
        <f>TEXT(B9504,"aaa")</f>
        <v/>
      </c>
      <c r="D9504" s="60" t="n"/>
      <c r="E9504" s="60" t="inlineStr">
        <is>
          <t>토너</t>
        </is>
      </c>
      <c r="F9504" s="60" t="inlineStr">
        <is>
          <t>화해</t>
        </is>
      </c>
      <c r="G9504" s="60" t="inlineStr">
        <is>
          <t>250ml</t>
        </is>
      </c>
      <c r="H9504" s="60" t="n">
        <v>200801</v>
      </c>
      <c r="I9504" s="60" t="n">
        <v>200801</v>
      </c>
      <c r="J9504" s="60" t="n"/>
      <c r="K9504" s="60" t="n">
        <v>4</v>
      </c>
      <c r="L9504" s="60" t="n">
        <v>200801</v>
      </c>
      <c r="M9504" s="94">
        <f>VLOOKUP($Q9504,매칭테이블!$F:$I,2,0)*K9504</f>
        <v/>
      </c>
      <c r="N9504" s="94">
        <f>M9504-M9504*VLOOKUP($Q9504,매칭테이블!$F:$I,3,0)</f>
        <v/>
      </c>
      <c r="O9504" s="94">
        <f>VLOOKUP($Q9504,매칭테이블!$F:$I,4,0)*K9504</f>
        <v/>
      </c>
      <c r="P9504" s="148">
        <f>M9504/1.1</f>
        <v/>
      </c>
      <c r="Q9504" s="94">
        <f>F9504&amp;E9504&amp;G9504&amp;L9504</f>
        <v/>
      </c>
    </row>
    <row r="9505" customFormat="1" s="94">
      <c r="B9505" s="128" t="n">
        <v>44099</v>
      </c>
      <c r="C9505" s="94">
        <f>TEXT(B9505,"aaa")</f>
        <v/>
      </c>
      <c r="D9505" s="60" t="n"/>
      <c r="E9505" s="60" t="inlineStr">
        <is>
          <t>토너</t>
        </is>
      </c>
      <c r="F9505" s="60" t="inlineStr">
        <is>
          <t>W컨셉</t>
        </is>
      </c>
      <c r="G9505" s="60" t="inlineStr">
        <is>
          <t>250ml</t>
        </is>
      </c>
      <c r="H9505" s="60" t="n">
        <v>200801</v>
      </c>
      <c r="I9505" s="60" t="n">
        <v>200801</v>
      </c>
      <c r="J9505" s="60" t="n"/>
      <c r="K9505" s="60" t="n">
        <v>2</v>
      </c>
      <c r="L9505" s="60" t="n">
        <v>200801</v>
      </c>
      <c r="M9505" s="94">
        <f>VLOOKUP($Q9505,매칭테이블!$F:$I,2,0)*K9505</f>
        <v/>
      </c>
      <c r="N9505" s="94">
        <f>M9505-M9505*VLOOKUP($Q9505,매칭테이블!$F:$I,3,0)</f>
        <v/>
      </c>
      <c r="O9505" s="94">
        <f>VLOOKUP($Q9505,매칭테이블!$F:$I,4,0)*K9505</f>
        <v/>
      </c>
      <c r="P9505" s="148">
        <f>M9505/1.1</f>
        <v/>
      </c>
      <c r="Q9505" s="94">
        <f>F9505&amp;E9505&amp;G9505&amp;L9505</f>
        <v/>
      </c>
    </row>
    <row r="9506" customFormat="1" s="94">
      <c r="B9506" s="128" t="n">
        <v>44099</v>
      </c>
      <c r="C9506" s="94">
        <f>TEXT(B9506,"aaa")</f>
        <v/>
      </c>
      <c r="D9506" s="60" t="n"/>
      <c r="E9506" s="60" t="inlineStr">
        <is>
          <t>토너</t>
        </is>
      </c>
      <c r="F9506" s="60" t="inlineStr">
        <is>
          <t>W컨셉</t>
        </is>
      </c>
      <c r="G9506" s="60" t="inlineStr">
        <is>
          <t>250ml 2set</t>
        </is>
      </c>
      <c r="H9506" s="60" t="n">
        <v>200801</v>
      </c>
      <c r="I9506" s="60" t="n">
        <v>200801</v>
      </c>
      <c r="J9506" s="60" t="n"/>
      <c r="K9506" s="60" t="n">
        <v>5</v>
      </c>
      <c r="L9506" s="60" t="n">
        <v>200801</v>
      </c>
      <c r="M9506" s="94">
        <f>VLOOKUP($Q9506,매칭테이블!$F:$I,2,0)*K9506</f>
        <v/>
      </c>
      <c r="N9506" s="94">
        <f>M9506-M9506*VLOOKUP($Q9506,매칭테이블!$F:$I,3,0)</f>
        <v/>
      </c>
      <c r="O9506" s="94">
        <f>VLOOKUP($Q9506,매칭테이블!$F:$I,4,0)*K9506</f>
        <v/>
      </c>
      <c r="P9506" s="148">
        <f>M9506/1.1</f>
        <v/>
      </c>
      <c r="Q9506" s="94">
        <f>F9506&amp;E9506&amp;G9506&amp;L9506</f>
        <v/>
      </c>
    </row>
    <row r="9507" customFormat="1" s="94">
      <c r="B9507" s="128" t="n">
        <v>44099</v>
      </c>
      <c r="C9507" s="94">
        <f>TEXT(B9507,"aaa")</f>
        <v/>
      </c>
      <c r="D9507" s="60" t="n"/>
      <c r="E9507" s="60" t="inlineStr">
        <is>
          <t>토너</t>
        </is>
      </c>
      <c r="F9507" s="60" t="inlineStr">
        <is>
          <t>스타일쉐어</t>
        </is>
      </c>
      <c r="G9507" s="60" t="inlineStr">
        <is>
          <t>250ml</t>
        </is>
      </c>
      <c r="H9507" s="60" t="n">
        <v>200801</v>
      </c>
      <c r="I9507" s="60" t="n">
        <v>200801</v>
      </c>
      <c r="J9507" s="60" t="n"/>
      <c r="K9507" s="60" t="n">
        <v>2</v>
      </c>
      <c r="L9507" s="60" t="n">
        <v>200801</v>
      </c>
      <c r="M9507" s="94">
        <f>VLOOKUP($Q9507,매칭테이블!$F:$I,2,0)*K9507</f>
        <v/>
      </c>
      <c r="N9507" s="94">
        <f>M9507-M9507*VLOOKUP($Q9507,매칭테이블!$F:$I,3,0)</f>
        <v/>
      </c>
      <c r="O9507" s="94">
        <f>VLOOKUP($Q9507,매칭테이블!$F:$I,4,0)*K9507</f>
        <v/>
      </c>
      <c r="P9507" s="148">
        <f>M9507/1.1</f>
        <v/>
      </c>
      <c r="Q9507" s="94">
        <f>F9507&amp;E9507&amp;G9507&amp;L9507</f>
        <v/>
      </c>
    </row>
    <row r="9508" customFormat="1" s="94">
      <c r="B9508" s="128" t="n">
        <v>44099</v>
      </c>
      <c r="C9508" s="94">
        <f>TEXT(B9508,"aaa")</f>
        <v/>
      </c>
      <c r="D9508" s="60" t="n"/>
      <c r="E9508" s="60" t="inlineStr">
        <is>
          <t>로션</t>
        </is>
      </c>
      <c r="F9508" s="60" t="inlineStr">
        <is>
          <t>아누아 CS</t>
        </is>
      </c>
      <c r="G9508" s="60" t="inlineStr">
        <is>
          <t>로션 200ml</t>
        </is>
      </c>
      <c r="H9508" s="60" t="n">
        <v>200801</v>
      </c>
      <c r="I9508" s="60" t="n">
        <v>200801</v>
      </c>
      <c r="J9508" s="60" t="n"/>
      <c r="K9508" s="60" t="n">
        <v>2</v>
      </c>
      <c r="L9508" s="60" t="n">
        <v>200801</v>
      </c>
      <c r="M9508" s="94">
        <f>VLOOKUP($Q9508,매칭테이블!$F:$I,2,0)*K9508</f>
        <v/>
      </c>
      <c r="N9508" s="94">
        <f>M9508-M9508*VLOOKUP($Q9508,매칭테이블!$F:$I,3,0)</f>
        <v/>
      </c>
      <c r="O9508" s="94">
        <f>VLOOKUP($Q9508,매칭테이블!$F:$I,4,0)*K9508</f>
        <v/>
      </c>
      <c r="P9508" s="148">
        <f>M9508/1.1</f>
        <v/>
      </c>
      <c r="Q9508" s="94">
        <f>F9508&amp;E9508&amp;G9508&amp;L9508</f>
        <v/>
      </c>
    </row>
    <row r="9509" customFormat="1" s="94">
      <c r="B9509" s="128" t="n">
        <v>44099</v>
      </c>
      <c r="C9509" s="94">
        <f>TEXT(B9509,"aaa")</f>
        <v/>
      </c>
      <c r="D9509" s="60" t="n"/>
      <c r="E9509" s="60" t="inlineStr">
        <is>
          <t>클리어 패드</t>
        </is>
      </c>
      <c r="F9509" s="60" t="inlineStr">
        <is>
          <t>아누아 CS</t>
        </is>
      </c>
      <c r="G9509" s="94" t="inlineStr">
        <is>
          <t>어성초 클리어패드 70P</t>
        </is>
      </c>
      <c r="H9509" s="60" t="n">
        <v>200801</v>
      </c>
      <c r="I9509" s="60" t="n">
        <v>200801</v>
      </c>
      <c r="J9509" s="60" t="n"/>
      <c r="K9509" s="60" t="n">
        <v>2</v>
      </c>
      <c r="L9509" s="60" t="n">
        <v>200801</v>
      </c>
      <c r="M9509" s="94">
        <f>VLOOKUP($Q9509,매칭테이블!$F:$I,2,0)*K9509</f>
        <v/>
      </c>
      <c r="N9509" s="94">
        <f>M9509-M9509*VLOOKUP($Q9509,매칭테이블!$F:$I,3,0)</f>
        <v/>
      </c>
      <c r="O9509" s="94">
        <f>VLOOKUP($Q9509,매칭테이블!$F:$I,4,0)*K9509</f>
        <v/>
      </c>
      <c r="P9509" s="148">
        <f>M9509/1.1</f>
        <v/>
      </c>
      <c r="Q9509" s="94">
        <f>F9509&amp;E9509&amp;G9509&amp;L9509</f>
        <v/>
      </c>
    </row>
    <row r="9510" customFormat="1" s="94">
      <c r="B9510" s="128" t="n">
        <v>44099</v>
      </c>
      <c r="C9510" s="94">
        <f>TEXT(B9510,"aaa")</f>
        <v/>
      </c>
      <c r="D9510" s="60" t="n"/>
      <c r="E9510" s="60" t="inlineStr">
        <is>
          <t>토너</t>
        </is>
      </c>
      <c r="F9510" s="60" t="inlineStr">
        <is>
          <t>아누아 CS</t>
        </is>
      </c>
      <c r="G9510" s="60" t="inlineStr">
        <is>
          <t>250ml</t>
        </is>
      </c>
      <c r="H9510" s="60" t="n">
        <v>200801</v>
      </c>
      <c r="I9510" s="60" t="n">
        <v>200801</v>
      </c>
      <c r="J9510" s="60" t="n"/>
      <c r="K9510" s="60" t="n">
        <v>1</v>
      </c>
      <c r="L9510" s="60" t="n">
        <v>200801</v>
      </c>
      <c r="M9510" s="94">
        <f>VLOOKUP($Q9510,매칭테이블!$F:$I,2,0)*K9510</f>
        <v/>
      </c>
      <c r="N9510" s="94">
        <f>M9510-M9510*VLOOKUP($Q9510,매칭테이블!$F:$I,3,0)</f>
        <v/>
      </c>
      <c r="O9510" s="94">
        <f>VLOOKUP($Q9510,매칭테이블!$F:$I,4,0)*K9510</f>
        <v/>
      </c>
      <c r="P9510" s="148">
        <f>M9510/1.1</f>
        <v/>
      </c>
      <c r="Q9510" s="94">
        <f>F9510&amp;E9510&amp;G9510&amp;L9510</f>
        <v/>
      </c>
    </row>
    <row r="9511" customFormat="1" s="94">
      <c r="B9511" s="128" t="n">
        <v>44099</v>
      </c>
      <c r="C9511" s="94">
        <f>TEXT(B9511,"aaa")</f>
        <v/>
      </c>
      <c r="D9511" s="60" t="n"/>
      <c r="E9511" s="60" t="inlineStr">
        <is>
          <t>화장솜</t>
        </is>
      </c>
      <c r="F9511" s="60" t="inlineStr">
        <is>
          <t>아누아 CS</t>
        </is>
      </c>
      <c r="G9511" s="60" t="inlineStr">
        <is>
          <t>스킨팩 화장솜 60P</t>
        </is>
      </c>
      <c r="H9511" s="60" t="n">
        <v>200801</v>
      </c>
      <c r="I9511" s="60" t="n">
        <v>200801</v>
      </c>
      <c r="J9511" s="60" t="n"/>
      <c r="K9511" s="60" t="n">
        <v>1</v>
      </c>
      <c r="L9511" s="60" t="n">
        <v>200801</v>
      </c>
      <c r="M9511" s="94">
        <f>VLOOKUP($Q9511,매칭테이블!$F:$I,2,0)*K9511</f>
        <v/>
      </c>
      <c r="N9511" s="94">
        <f>M9511-M9511*VLOOKUP($Q9511,매칭테이블!$F:$I,3,0)</f>
        <v/>
      </c>
      <c r="O9511" s="94">
        <f>VLOOKUP($Q9511,매칭테이블!$F:$I,4,0)*K9511</f>
        <v/>
      </c>
      <c r="P9511" s="148">
        <f>M9511/1.1</f>
        <v/>
      </c>
      <c r="Q9511" s="94">
        <f>F9511&amp;E9511&amp;G9511&amp;L9511</f>
        <v/>
      </c>
    </row>
    <row r="9512" customFormat="1" s="94">
      <c r="B9512" s="128" t="n">
        <v>44099</v>
      </c>
      <c r="C9512" s="94">
        <f>TEXT(B9512,"aaa")</f>
        <v/>
      </c>
      <c r="D9512" s="60" t="n"/>
      <c r="E9512" s="60" t="inlineStr">
        <is>
          <t>앰플</t>
        </is>
      </c>
      <c r="F9512" s="60" t="inlineStr">
        <is>
          <t>아누아 CS</t>
        </is>
      </c>
      <c r="G9512" s="60" t="inlineStr">
        <is>
          <t>앰플 30ml</t>
        </is>
      </c>
      <c r="H9512" s="60" t="n">
        <v>200801</v>
      </c>
      <c r="I9512" s="60" t="n">
        <v>200801</v>
      </c>
      <c r="J9512" s="60" t="n"/>
      <c r="K9512" s="60" t="n">
        <v>1</v>
      </c>
      <c r="L9512" s="60" t="n">
        <v>200801</v>
      </c>
      <c r="M9512" s="94">
        <f>VLOOKUP($Q9512,매칭테이블!$F:$I,2,0)*K9512</f>
        <v/>
      </c>
      <c r="N9512" s="94">
        <f>M9512-M9512*VLOOKUP($Q9512,매칭테이블!$F:$I,3,0)</f>
        <v/>
      </c>
      <c r="O9512" s="94">
        <f>VLOOKUP($Q9512,매칭테이블!$F:$I,4,0)*K9512</f>
        <v/>
      </c>
      <c r="P9512" s="148">
        <f>M9512/1.1</f>
        <v/>
      </c>
      <c r="Q9512" s="94">
        <f>F9512&amp;E9512&amp;G9512&amp;L9512</f>
        <v/>
      </c>
    </row>
    <row r="9513" customFormat="1" s="94">
      <c r="B9513" s="128" t="n">
        <v>44099</v>
      </c>
      <c r="C9513" s="94">
        <f>TEXT(B9513,"aaa")</f>
        <v/>
      </c>
      <c r="D9513" s="60" t="n"/>
      <c r="E9513" s="60" t="inlineStr">
        <is>
          <t>선크림</t>
        </is>
      </c>
      <c r="F9513" s="60" t="inlineStr">
        <is>
          <t>카페24</t>
        </is>
      </c>
      <c r="G9513" s="60" t="inlineStr">
        <is>
          <t>선크림 50ml</t>
        </is>
      </c>
      <c r="H9513" s="60" t="n">
        <v>200801</v>
      </c>
      <c r="I9513" s="60" t="n">
        <v>200801</v>
      </c>
      <c r="J9513" s="60" t="n"/>
      <c r="K9513" s="60" t="n">
        <v>4</v>
      </c>
      <c r="L9513" s="60" t="n">
        <v>200801</v>
      </c>
      <c r="M9513" s="94">
        <f>VLOOKUP($Q9513,매칭테이블!$F:$I,2,0)*K9513</f>
        <v/>
      </c>
      <c r="N9513" s="94">
        <f>M9513-M9513*VLOOKUP($Q9513,매칭테이블!$F:$I,3,0)</f>
        <v/>
      </c>
      <c r="O9513" s="94">
        <f>VLOOKUP($Q9513,매칭테이블!$F:$I,4,0)*K9513</f>
        <v/>
      </c>
      <c r="P9513" s="148">
        <f>M9513/1.1</f>
        <v/>
      </c>
      <c r="Q9513" s="94">
        <f>F9513&amp;E9513&amp;G9513&amp;L9513</f>
        <v/>
      </c>
    </row>
    <row r="9514" customFormat="1" s="94">
      <c r="B9514" s="128" t="n">
        <v>44099</v>
      </c>
      <c r="C9514" s="94">
        <f>TEXT(B9514,"aaa")</f>
        <v/>
      </c>
      <c r="D9514" s="60" t="n"/>
      <c r="E9514" s="60" t="inlineStr">
        <is>
          <t>선크림</t>
        </is>
      </c>
      <c r="F9514" s="60" t="inlineStr">
        <is>
          <t>카페24</t>
        </is>
      </c>
      <c r="G9514" s="60" t="inlineStr">
        <is>
          <t>선크림 50ml  2set</t>
        </is>
      </c>
      <c r="H9514" s="60" t="n">
        <v>200801</v>
      </c>
      <c r="I9514" s="60" t="n">
        <v>200801</v>
      </c>
      <c r="J9514" s="60" t="n"/>
      <c r="K9514" s="60" t="n">
        <v>1</v>
      </c>
      <c r="L9514" s="60" t="n">
        <v>200801</v>
      </c>
      <c r="M9514" s="94">
        <f>VLOOKUP($Q9514,매칭테이블!$F:$I,2,0)*K9514</f>
        <v/>
      </c>
      <c r="N9514" s="94">
        <f>M9514-M9514*VLOOKUP($Q9514,매칭테이블!$F:$I,3,0)</f>
        <v/>
      </c>
      <c r="O9514" s="94">
        <f>VLOOKUP($Q9514,매칭테이블!$F:$I,4,0)*K9514</f>
        <v/>
      </c>
      <c r="P9514" s="148">
        <f>M9514/1.1</f>
        <v/>
      </c>
      <c r="Q9514" s="94">
        <f>F9514&amp;E9514&amp;G9514&amp;L9514</f>
        <v/>
      </c>
    </row>
    <row r="9515" customFormat="1" s="94">
      <c r="B9515" s="128" t="n">
        <v>44099</v>
      </c>
      <c r="C9515" s="94">
        <f>TEXT(B9515,"aaa")</f>
        <v/>
      </c>
      <c r="D9515" s="60" t="n"/>
      <c r="E9515" s="60" t="inlineStr">
        <is>
          <t>어성초진정패키지</t>
        </is>
      </c>
      <c r="F9515" s="60" t="inlineStr">
        <is>
          <t>카페24</t>
        </is>
      </c>
      <c r="G9515" s="60" t="inlineStr">
        <is>
          <t>어성초 진정패키지세트</t>
        </is>
      </c>
      <c r="H9515" s="60" t="n">
        <v>200801</v>
      </c>
      <c r="I9515" s="60" t="n">
        <v>200801</v>
      </c>
      <c r="J9515" s="60" t="n"/>
      <c r="K9515" s="60" t="n">
        <v>2</v>
      </c>
      <c r="L9515" s="60" t="n">
        <v>200801</v>
      </c>
      <c r="M9515" s="94">
        <f>VLOOKUP($Q9515,매칭테이블!$F:$I,2,0)*K9515</f>
        <v/>
      </c>
      <c r="N9515" s="94">
        <f>M9515-M9515*VLOOKUP($Q9515,매칭테이블!$F:$I,3,0)</f>
        <v/>
      </c>
      <c r="O9515" s="94">
        <f>VLOOKUP($Q9515,매칭테이블!$F:$I,4,0)*K9515</f>
        <v/>
      </c>
      <c r="P9515" s="148">
        <f>M9515/1.1</f>
        <v/>
      </c>
      <c r="Q9515" s="94">
        <f>F9515&amp;E9515&amp;G9515&amp;L9515</f>
        <v/>
      </c>
    </row>
    <row r="9516" customFormat="1" s="94">
      <c r="B9516" s="128" t="n">
        <v>44099</v>
      </c>
      <c r="C9516" s="94">
        <f>TEXT(B9516,"aaa")</f>
        <v/>
      </c>
      <c r="D9516" s="60" t="n"/>
      <c r="E9516" s="60" t="inlineStr">
        <is>
          <t>클리어 패드</t>
        </is>
      </c>
      <c r="F9516" s="60" t="inlineStr">
        <is>
          <t>카페24</t>
        </is>
      </c>
      <c r="G9516" s="60" t="inlineStr">
        <is>
          <t>어성초 77 클리어 패드 1개-20% off</t>
        </is>
      </c>
      <c r="H9516" s="60" t="n">
        <v>200801</v>
      </c>
      <c r="I9516" s="60" t="n">
        <v>200801</v>
      </c>
      <c r="J9516" s="60" t="n"/>
      <c r="K9516" s="60" t="n">
        <v>14</v>
      </c>
      <c r="L9516" s="60" t="n">
        <v>200801</v>
      </c>
      <c r="M9516" s="94">
        <f>VLOOKUP($Q9516,매칭테이블!$F:$I,2,0)*K9516</f>
        <v/>
      </c>
      <c r="N9516" s="94">
        <f>M9516-M9516*VLOOKUP($Q9516,매칭테이블!$F:$I,3,0)</f>
        <v/>
      </c>
      <c r="O9516" s="94">
        <f>VLOOKUP($Q9516,매칭테이블!$F:$I,4,0)*K9516</f>
        <v/>
      </c>
      <c r="P9516" s="148">
        <f>M9516/1.1</f>
        <v/>
      </c>
      <c r="Q9516" s="94">
        <f>F9516&amp;E9516&amp;G9516&amp;L9516</f>
        <v/>
      </c>
    </row>
    <row r="9517" customFormat="1" s="94">
      <c r="B9517" s="128" t="n">
        <v>44099</v>
      </c>
      <c r="C9517" s="94">
        <f>TEXT(B9517,"aaa")</f>
        <v/>
      </c>
      <c r="D9517" s="60" t="n"/>
      <c r="E9517" s="60" t="inlineStr">
        <is>
          <t>클리어 패드</t>
        </is>
      </c>
      <c r="F9517" s="60" t="inlineStr">
        <is>
          <t>카페24</t>
        </is>
      </c>
      <c r="G9517" s="60" t="inlineStr">
        <is>
          <t>어성초 77 클리어 패드 2개-30% off</t>
        </is>
      </c>
      <c r="H9517" s="60" t="n">
        <v>200801</v>
      </c>
      <c r="I9517" s="60" t="n">
        <v>200801</v>
      </c>
      <c r="J9517" s="60" t="n"/>
      <c r="K9517" s="60" t="n">
        <v>18</v>
      </c>
      <c r="L9517" s="60" t="n">
        <v>200801</v>
      </c>
      <c r="M9517" s="94">
        <f>VLOOKUP($Q9517,매칭테이블!$F:$I,2,0)*K9517</f>
        <v/>
      </c>
      <c r="N9517" s="94">
        <f>M9517-M9517*VLOOKUP($Q9517,매칭테이블!$F:$I,3,0)</f>
        <v/>
      </c>
      <c r="O9517" s="94">
        <f>VLOOKUP($Q9517,매칭테이블!$F:$I,4,0)*K9517</f>
        <v/>
      </c>
      <c r="P9517" s="148">
        <f>M9517/1.1</f>
        <v/>
      </c>
      <c r="Q9517" s="94">
        <f>F9517&amp;E9517&amp;G9517&amp;L9517</f>
        <v/>
      </c>
    </row>
    <row r="9518" customFormat="1" s="94">
      <c r="B9518" s="128" t="n">
        <v>44099</v>
      </c>
      <c r="C9518" s="94">
        <f>TEXT(B9518,"aaa")</f>
        <v/>
      </c>
      <c r="D9518" s="60" t="n"/>
      <c r="E9518" s="60" t="inlineStr">
        <is>
          <t>토너+패드 세트</t>
        </is>
      </c>
      <c r="F9518" s="60" t="inlineStr">
        <is>
          <t>카페24</t>
        </is>
      </c>
      <c r="G9518" s="60" t="inlineStr">
        <is>
          <t>좁쌀 진정 세트 토너+클리어 패드-30% off</t>
        </is>
      </c>
      <c r="H9518" s="60" t="n">
        <v>200801</v>
      </c>
      <c r="I9518" s="60" t="n">
        <v>200801</v>
      </c>
      <c r="J9518" s="60" t="n"/>
      <c r="K9518" s="60" t="n">
        <v>15</v>
      </c>
      <c r="L9518" s="60" t="n">
        <v>200801</v>
      </c>
      <c r="M9518" s="94">
        <f>VLOOKUP($Q9518,매칭테이블!$F:$I,2,0)*K9518</f>
        <v/>
      </c>
      <c r="N9518" s="94">
        <f>M9518-M9518*VLOOKUP($Q9518,매칭테이블!$F:$I,3,0)</f>
        <v/>
      </c>
      <c r="O9518" s="94">
        <f>VLOOKUP($Q9518,매칭테이블!$F:$I,4,0)*K9518</f>
        <v/>
      </c>
      <c r="P9518" s="148">
        <f>M9518/1.1</f>
        <v/>
      </c>
      <c r="Q9518" s="94">
        <f>F9518&amp;E9518&amp;G9518&amp;L9518</f>
        <v/>
      </c>
    </row>
    <row r="9519" customFormat="1" s="94">
      <c r="B9519" s="128" t="n">
        <v>44099</v>
      </c>
      <c r="C9519" s="94">
        <f>TEXT(B9519,"aaa")</f>
        <v/>
      </c>
      <c r="D9519" s="60" t="n"/>
      <c r="E9519" s="60" t="inlineStr">
        <is>
          <t>수분 보충 세트</t>
        </is>
      </c>
      <c r="F9519" s="60" t="inlineStr">
        <is>
          <t>카페24</t>
        </is>
      </c>
      <c r="G9519" s="60" t="inlineStr">
        <is>
          <t>어성초 77 토너 250ml + 어성초 70 로션 200ml -30%</t>
        </is>
      </c>
      <c r="H9519" s="60" t="n">
        <v>200801</v>
      </c>
      <c r="I9519" s="60" t="n">
        <v>200801</v>
      </c>
      <c r="J9519" s="60" t="n"/>
      <c r="K9519" s="60" t="n">
        <v>34</v>
      </c>
      <c r="L9519" s="60" t="n">
        <v>200801</v>
      </c>
      <c r="M9519" s="94">
        <f>VLOOKUP($Q9519,매칭테이블!$F:$I,2,0)*K9519</f>
        <v/>
      </c>
      <c r="N9519" s="94">
        <f>M9519-M9519*VLOOKUP($Q9519,매칭테이블!$F:$I,3,0)</f>
        <v/>
      </c>
      <c r="O9519" s="94">
        <f>VLOOKUP($Q9519,매칭테이블!$F:$I,4,0)*K9519</f>
        <v/>
      </c>
      <c r="P9519" s="148">
        <f>M9519/1.1</f>
        <v/>
      </c>
      <c r="Q9519" s="94">
        <f>F9519&amp;E9519&amp;G9519&amp;L9519</f>
        <v/>
      </c>
    </row>
    <row r="9520" customFormat="1" s="94">
      <c r="B9520" s="128" t="n">
        <v>44099</v>
      </c>
      <c r="C9520" s="94">
        <f>TEXT(B9520,"aaa")</f>
        <v/>
      </c>
      <c r="D9520" s="60" t="n"/>
      <c r="E9520" s="60" t="inlineStr">
        <is>
          <t>로션</t>
        </is>
      </c>
      <c r="F9520" s="60" t="inlineStr">
        <is>
          <t>카페24</t>
        </is>
      </c>
      <c r="G9520" s="60" t="inlineStr">
        <is>
          <t>어성초 70 데일리 릴리프 로션 1개 -20% off</t>
        </is>
      </c>
      <c r="H9520" s="60" t="n">
        <v>200801</v>
      </c>
      <c r="I9520" s="60" t="n">
        <v>200801</v>
      </c>
      <c r="J9520" s="60" t="n"/>
      <c r="K9520" s="60" t="n">
        <v>4</v>
      </c>
      <c r="L9520" s="60" t="n">
        <v>200801</v>
      </c>
      <c r="M9520" s="94">
        <f>VLOOKUP($Q9520,매칭테이블!$F:$I,2,0)*K9520</f>
        <v/>
      </c>
      <c r="N9520" s="94">
        <f>M9520-M9520*VLOOKUP($Q9520,매칭테이블!$F:$I,3,0)</f>
        <v/>
      </c>
      <c r="O9520" s="94">
        <f>VLOOKUP($Q9520,매칭테이블!$F:$I,4,0)*K9520</f>
        <v/>
      </c>
      <c r="P9520" s="148">
        <f>M9520/1.1</f>
        <v/>
      </c>
      <c r="Q9520" s="94">
        <f>F9520&amp;E9520&amp;G9520&amp;L9520</f>
        <v/>
      </c>
    </row>
    <row r="9521" customFormat="1" s="94">
      <c r="B9521" s="128" t="n">
        <v>44099</v>
      </c>
      <c r="C9521" s="94">
        <f>TEXT(B9521,"aaa")</f>
        <v/>
      </c>
      <c r="D9521" s="60" t="n"/>
      <c r="E9521" s="60" t="inlineStr">
        <is>
          <t>로션</t>
        </is>
      </c>
      <c r="F9521" s="60" t="inlineStr">
        <is>
          <t>카페24</t>
        </is>
      </c>
      <c r="G9521" s="60" t="inlineStr">
        <is>
          <t>어성초 70 데일리 릴리프 로션 2개 -30% off</t>
        </is>
      </c>
      <c r="H9521" s="60" t="n">
        <v>200801</v>
      </c>
      <c r="I9521" s="60" t="n">
        <v>200801</v>
      </c>
      <c r="J9521" s="60" t="n"/>
      <c r="K9521" s="60" t="n">
        <v>2</v>
      </c>
      <c r="L9521" s="60" t="n">
        <v>200801</v>
      </c>
      <c r="M9521" s="94">
        <f>VLOOKUP($Q9521,매칭테이블!$F:$I,2,0)*K9521</f>
        <v/>
      </c>
      <c r="N9521" s="94">
        <f>M9521-M9521*VLOOKUP($Q9521,매칭테이블!$F:$I,3,0)</f>
        <v/>
      </c>
      <c r="O9521" s="94">
        <f>VLOOKUP($Q9521,매칭테이블!$F:$I,4,0)*K9521</f>
        <v/>
      </c>
      <c r="P9521" s="148">
        <f>M9521/1.1</f>
        <v/>
      </c>
      <c r="Q9521" s="94">
        <f>F9521&amp;E9521&amp;G9521&amp;L9521</f>
        <v/>
      </c>
    </row>
    <row r="9522" customFormat="1" s="94">
      <c r="B9522" s="128" t="n">
        <v>44099</v>
      </c>
      <c r="C9522" s="94">
        <f>TEXT(B9522,"aaa")</f>
        <v/>
      </c>
      <c r="D9522" s="60" t="n"/>
      <c r="E9522" s="60" t="inlineStr">
        <is>
          <t>머드크림마스크</t>
        </is>
      </c>
      <c r="F9522" s="60" t="inlineStr">
        <is>
          <t>카페24</t>
        </is>
      </c>
      <c r="G9522" s="60" t="inlineStr">
        <is>
          <t>머드크림마스크 100ml</t>
        </is>
      </c>
      <c r="H9522" s="60" t="n">
        <v>200801</v>
      </c>
      <c r="I9522" s="60" t="n">
        <v>200801</v>
      </c>
      <c r="J9522" s="60" t="n"/>
      <c r="K9522" s="60" t="n">
        <v>1</v>
      </c>
      <c r="L9522" s="60" t="n">
        <v>200801</v>
      </c>
      <c r="M9522" s="94">
        <f>VLOOKUP($Q9522,매칭테이블!$F:$I,2,0)*K9522</f>
        <v/>
      </c>
      <c r="N9522" s="94">
        <f>M9522-M9522*VLOOKUP($Q9522,매칭테이블!$F:$I,3,0)</f>
        <v/>
      </c>
      <c r="O9522" s="94">
        <f>VLOOKUP($Q9522,매칭테이블!$F:$I,4,0)*K9522</f>
        <v/>
      </c>
      <c r="P9522" s="148">
        <f>M9522/1.1</f>
        <v/>
      </c>
      <c r="Q9522" s="94">
        <f>F9522&amp;E9522&amp;G9522&amp;L9522</f>
        <v/>
      </c>
    </row>
    <row r="9523" customFormat="1" s="94">
      <c r="B9523" s="128" t="n">
        <v>44099</v>
      </c>
      <c r="C9523" s="94">
        <f>TEXT(B9523,"aaa")</f>
        <v/>
      </c>
      <c r="D9523" s="60" t="n"/>
      <c r="E9523" s="60" t="inlineStr">
        <is>
          <t>마스크팩</t>
        </is>
      </c>
      <c r="F9523" s="60" t="inlineStr">
        <is>
          <t>카페24</t>
        </is>
      </c>
      <c r="G9523" s="60" t="inlineStr">
        <is>
          <t>마스크팩 10매</t>
        </is>
      </c>
      <c r="H9523" s="60" t="n">
        <v>200801</v>
      </c>
      <c r="I9523" s="60" t="n">
        <v>200801</v>
      </c>
      <c r="J9523" s="60" t="n"/>
      <c r="K9523" s="60" t="n">
        <v>2</v>
      </c>
      <c r="L9523" s="60" t="n">
        <v>200801</v>
      </c>
      <c r="M9523" s="94">
        <f>VLOOKUP($Q9523,매칭테이블!$F:$I,2,0)*K9523</f>
        <v/>
      </c>
      <c r="N9523" s="94">
        <f>M9523-M9523*VLOOKUP($Q9523,매칭테이블!$F:$I,3,0)</f>
        <v/>
      </c>
      <c r="O9523" s="94">
        <f>VLOOKUP($Q9523,매칭테이블!$F:$I,4,0)*K9523</f>
        <v/>
      </c>
      <c r="P9523" s="148">
        <f>M9523/1.1</f>
        <v/>
      </c>
      <c r="Q9523" s="94">
        <f>F9523&amp;E9523&amp;G9523&amp;L9523</f>
        <v/>
      </c>
    </row>
    <row r="9524" customFormat="1" s="94">
      <c r="B9524" s="128" t="n">
        <v>44099</v>
      </c>
      <c r="C9524" s="94">
        <f>TEXT(B9524,"aaa")</f>
        <v/>
      </c>
      <c r="D9524" s="60" t="n"/>
      <c r="E9524" s="60" t="inlineStr">
        <is>
          <t>토너</t>
        </is>
      </c>
      <c r="F9524" s="60" t="inlineStr">
        <is>
          <t>카페24</t>
        </is>
      </c>
      <c r="G9524" s="60" t="inlineStr">
        <is>
          <t>250ml</t>
        </is>
      </c>
      <c r="H9524" s="60" t="n">
        <v>200801</v>
      </c>
      <c r="I9524" s="60" t="n">
        <v>200801</v>
      </c>
      <c r="J9524" s="60" t="n"/>
      <c r="K9524" s="60" t="n">
        <v>43</v>
      </c>
      <c r="L9524" s="60" t="n">
        <v>200801</v>
      </c>
      <c r="M9524" s="94">
        <f>VLOOKUP($Q9524,매칭테이블!$F:$I,2,0)*K9524</f>
        <v/>
      </c>
      <c r="N9524" s="94">
        <f>M9524-M9524*VLOOKUP($Q9524,매칭테이블!$F:$I,3,0)</f>
        <v/>
      </c>
      <c r="O9524" s="94">
        <f>VLOOKUP($Q9524,매칭테이블!$F:$I,4,0)*K9524</f>
        <v/>
      </c>
      <c r="P9524" s="148">
        <f>M9524/1.1</f>
        <v/>
      </c>
      <c r="Q9524" s="94">
        <f>F9524&amp;E9524&amp;G9524&amp;L9524</f>
        <v/>
      </c>
    </row>
    <row r="9525" customFormat="1" s="94">
      <c r="B9525" s="128" t="n">
        <v>44099</v>
      </c>
      <c r="C9525" s="94">
        <f>TEXT(B9525,"aaa")</f>
        <v/>
      </c>
      <c r="D9525" s="60" t="n"/>
      <c r="E9525" s="60" t="inlineStr">
        <is>
          <t>토너</t>
        </is>
      </c>
      <c r="F9525" s="60" t="inlineStr">
        <is>
          <t>카페24</t>
        </is>
      </c>
      <c r="G9525" s="60" t="inlineStr">
        <is>
          <t>250ml 2set</t>
        </is>
      </c>
      <c r="H9525" s="60" t="n">
        <v>200801</v>
      </c>
      <c r="I9525" s="60" t="n">
        <v>200801</v>
      </c>
      <c r="J9525" s="60" t="n"/>
      <c r="K9525" s="60" t="n">
        <v>30</v>
      </c>
      <c r="L9525" s="60" t="n">
        <v>200801</v>
      </c>
      <c r="M9525" s="94">
        <f>VLOOKUP($Q9525,매칭테이블!$F:$I,2,0)*K9525</f>
        <v/>
      </c>
      <c r="N9525" s="94">
        <f>M9525-M9525*VLOOKUP($Q9525,매칭테이블!$F:$I,3,0)</f>
        <v/>
      </c>
      <c r="O9525" s="94">
        <f>VLOOKUP($Q9525,매칭테이블!$F:$I,4,0)*K9525</f>
        <v/>
      </c>
      <c r="P9525" s="148">
        <f>M9525/1.1</f>
        <v/>
      </c>
      <c r="Q9525" s="94">
        <f>F9525&amp;E9525&amp;G9525&amp;L9525</f>
        <v/>
      </c>
    </row>
    <row r="9526" customFormat="1" s="94">
      <c r="B9526" s="128" t="n">
        <v>44099</v>
      </c>
      <c r="C9526" s="94">
        <f>TEXT(B9526,"aaa")</f>
        <v/>
      </c>
      <c r="D9526" s="60" t="n"/>
      <c r="E9526" s="60" t="inlineStr">
        <is>
          <t>토너</t>
        </is>
      </c>
      <c r="F9526" s="60" t="inlineStr">
        <is>
          <t>카페24</t>
        </is>
      </c>
      <c r="G9526" s="60" t="inlineStr">
        <is>
          <t>500ml</t>
        </is>
      </c>
      <c r="H9526" s="60" t="n">
        <v>200801</v>
      </c>
      <c r="I9526" s="60" t="n">
        <v>200801</v>
      </c>
      <c r="J9526" s="60" t="n"/>
      <c r="K9526" s="60" t="n">
        <v>34</v>
      </c>
      <c r="L9526" s="60" t="n">
        <v>200801</v>
      </c>
      <c r="M9526" s="94">
        <f>VLOOKUP($Q9526,매칭테이블!$F:$I,2,0)*K9526</f>
        <v/>
      </c>
      <c r="N9526" s="94">
        <f>M9526-M9526*VLOOKUP($Q9526,매칭테이블!$F:$I,3,0)</f>
        <v/>
      </c>
      <c r="O9526" s="94">
        <f>VLOOKUP($Q9526,매칭테이블!$F:$I,4,0)*K9526</f>
        <v/>
      </c>
      <c r="P9526" s="148">
        <f>M9526/1.1</f>
        <v/>
      </c>
      <c r="Q9526" s="94">
        <f>F9526&amp;E9526&amp;G9526&amp;L9526</f>
        <v/>
      </c>
    </row>
    <row r="9527" customFormat="1" s="94">
      <c r="B9527" s="128" t="n">
        <v>44099</v>
      </c>
      <c r="C9527" s="94">
        <f>TEXT(B9527,"aaa")</f>
        <v/>
      </c>
      <c r="D9527" s="60" t="n"/>
      <c r="E9527" s="60" t="inlineStr">
        <is>
          <t>토너</t>
        </is>
      </c>
      <c r="F9527" s="60" t="inlineStr">
        <is>
          <t>카페24</t>
        </is>
      </c>
      <c r="G9527" s="60" t="inlineStr">
        <is>
          <t>스킨팩 화장솜 60P</t>
        </is>
      </c>
      <c r="H9527" s="60" t="n">
        <v>200801</v>
      </c>
      <c r="I9527" s="60" t="n">
        <v>200801</v>
      </c>
      <c r="J9527" s="60" t="n"/>
      <c r="K9527" s="60" t="n">
        <v>27</v>
      </c>
      <c r="L9527" s="60" t="n">
        <v>200801</v>
      </c>
      <c r="M9527" s="94">
        <f>VLOOKUP($Q9527,매칭테이블!$F:$I,2,0)*K9527</f>
        <v/>
      </c>
      <c r="N9527" s="94">
        <f>M9527-M9527*VLOOKUP($Q9527,매칭테이블!$F:$I,3,0)</f>
        <v/>
      </c>
      <c r="O9527" s="94">
        <f>VLOOKUP($Q9527,매칭테이블!$F:$I,4,0)*K9527</f>
        <v/>
      </c>
      <c r="P9527" s="148">
        <f>M9527/1.1</f>
        <v/>
      </c>
      <c r="Q9527" s="94">
        <f>F9527&amp;E9527&amp;G9527&amp;L9527</f>
        <v/>
      </c>
    </row>
    <row r="9528" customFormat="1" s="94">
      <c r="B9528" s="128" t="n">
        <v>44099</v>
      </c>
      <c r="C9528" s="94">
        <f>TEXT(B9528,"aaa")</f>
        <v/>
      </c>
      <c r="D9528" s="60" t="n"/>
      <c r="E9528" s="60" t="inlineStr">
        <is>
          <t>앰플</t>
        </is>
      </c>
      <c r="F9528" s="60" t="inlineStr">
        <is>
          <t>카페24</t>
        </is>
      </c>
      <c r="G9528" s="60" t="inlineStr">
        <is>
          <t>앰플 30ml</t>
        </is>
      </c>
      <c r="H9528" s="60" t="n">
        <v>200801</v>
      </c>
      <c r="I9528" s="60" t="n">
        <v>200801</v>
      </c>
      <c r="J9528" s="60" t="n"/>
      <c r="K9528" s="60" t="n">
        <v>20</v>
      </c>
      <c r="L9528" s="60" t="n">
        <v>200801</v>
      </c>
      <c r="M9528" s="94">
        <f>VLOOKUP($Q9528,매칭테이블!$F:$I,2,0)*K9528</f>
        <v/>
      </c>
      <c r="N9528" s="94">
        <f>M9528-M9528*VLOOKUP($Q9528,매칭테이블!$F:$I,3,0)</f>
        <v/>
      </c>
      <c r="O9528" s="94">
        <f>VLOOKUP($Q9528,매칭테이블!$F:$I,4,0)*K9528</f>
        <v/>
      </c>
      <c r="P9528" s="148">
        <f>M9528/1.1</f>
        <v/>
      </c>
      <c r="Q9528" s="94">
        <f>F9528&amp;E9528&amp;G9528&amp;L9528</f>
        <v/>
      </c>
    </row>
    <row r="9529" customFormat="1" s="94">
      <c r="B9529" s="128" t="n">
        <v>44099</v>
      </c>
      <c r="C9529" s="94">
        <f>TEXT(B9529,"aaa")</f>
        <v/>
      </c>
      <c r="D9529" s="60" t="n"/>
      <c r="E9529" s="60" t="inlineStr">
        <is>
          <t>앰플</t>
        </is>
      </c>
      <c r="F9529" s="60" t="inlineStr">
        <is>
          <t>카페24</t>
        </is>
      </c>
      <c r="G9529" s="60" t="inlineStr">
        <is>
          <t>앰플 30ml  2set</t>
        </is>
      </c>
      <c r="H9529" s="60" t="n">
        <v>200801</v>
      </c>
      <c r="I9529" s="60" t="n">
        <v>200801</v>
      </c>
      <c r="J9529" s="60" t="n"/>
      <c r="K9529" s="60" t="n">
        <v>3</v>
      </c>
      <c r="L9529" s="60" t="n">
        <v>200801</v>
      </c>
      <c r="M9529" s="94">
        <f>VLOOKUP($Q9529,매칭테이블!$F:$I,2,0)*K9529</f>
        <v/>
      </c>
      <c r="N9529" s="94">
        <f>M9529-M9529*VLOOKUP($Q9529,매칭테이블!$F:$I,3,0)</f>
        <v/>
      </c>
      <c r="O9529" s="94">
        <f>VLOOKUP($Q9529,매칭테이블!$F:$I,4,0)*K9529</f>
        <v/>
      </c>
      <c r="P9529" s="148">
        <f>M9529/1.1</f>
        <v/>
      </c>
      <c r="Q9529" s="94">
        <f>F9529&amp;E9529&amp;G9529&amp;L9529</f>
        <v/>
      </c>
    </row>
    <row r="9530" customFormat="1" s="94">
      <c r="B9530" s="128" t="n">
        <v>44099</v>
      </c>
      <c r="C9530" s="94">
        <f>TEXT(B9530,"aaa")</f>
        <v/>
      </c>
      <c r="D9530" s="60" t="n"/>
      <c r="E9530" s="60" t="inlineStr">
        <is>
          <t>수딩크림</t>
        </is>
      </c>
      <c r="F9530" s="60" t="inlineStr">
        <is>
          <t>카페24</t>
        </is>
      </c>
      <c r="G9530" s="60" t="inlineStr">
        <is>
          <t>수딩크림 100ml</t>
        </is>
      </c>
      <c r="H9530" s="60" t="n">
        <v>200801</v>
      </c>
      <c r="I9530" s="60" t="n">
        <v>200801</v>
      </c>
      <c r="J9530" s="60" t="n"/>
      <c r="K9530" s="60" t="n">
        <v>2</v>
      </c>
      <c r="L9530" s="60" t="n">
        <v>200801</v>
      </c>
      <c r="M9530" s="94">
        <f>VLOOKUP($Q9530,매칭테이블!$F:$I,2,0)*K9530</f>
        <v/>
      </c>
      <c r="N9530" s="94">
        <f>M9530-M9530*VLOOKUP($Q9530,매칭테이블!$F:$I,3,0)</f>
        <v/>
      </c>
      <c r="O9530" s="94">
        <f>VLOOKUP($Q9530,매칭테이블!$F:$I,4,0)*K9530</f>
        <v/>
      </c>
      <c r="P9530" s="148">
        <f>M9530/1.1</f>
        <v/>
      </c>
      <c r="Q9530" s="94">
        <f>F9530&amp;E9530&amp;G9530&amp;L9530</f>
        <v/>
      </c>
    </row>
    <row r="9531" customFormat="1" s="94">
      <c r="B9531" s="128" t="n">
        <v>44099</v>
      </c>
      <c r="C9531" s="94">
        <f>TEXT(B9531,"aaa")</f>
        <v/>
      </c>
      <c r="D9531" s="60" t="n"/>
      <c r="E9531" s="60" t="inlineStr">
        <is>
          <t>클렌징폼</t>
        </is>
      </c>
      <c r="F9531" s="60" t="inlineStr">
        <is>
          <t>카페24</t>
        </is>
      </c>
      <c r="G9531" s="60" t="inlineStr">
        <is>
          <t>클렌징폼 120ml</t>
        </is>
      </c>
      <c r="H9531" s="60" t="n">
        <v>200801</v>
      </c>
      <c r="I9531" s="60" t="n">
        <v>200801</v>
      </c>
      <c r="J9531" s="60" t="n"/>
      <c r="K9531" s="60" t="n">
        <v>4</v>
      </c>
      <c r="L9531" s="60" t="n">
        <v>200801</v>
      </c>
      <c r="M9531" s="94">
        <f>VLOOKUP($Q9531,매칭테이블!$F:$I,2,0)*K9531</f>
        <v/>
      </c>
      <c r="N9531" s="94">
        <f>M9531-M9531*VLOOKUP($Q9531,매칭테이블!$F:$I,3,0)</f>
        <v/>
      </c>
      <c r="O9531" s="94">
        <f>VLOOKUP($Q9531,매칭테이블!$F:$I,4,0)*K9531</f>
        <v/>
      </c>
      <c r="P9531" s="148">
        <f>M9531/1.1</f>
        <v/>
      </c>
      <c r="Q9531" s="94">
        <f>F9531&amp;E9531&amp;G9531&amp;L9531</f>
        <v/>
      </c>
    </row>
    <row r="9532" customFormat="1" s="94">
      <c r="B9532" s="128" t="n">
        <v>44099</v>
      </c>
      <c r="C9532" s="94">
        <f>TEXT(B9532,"aaa")</f>
        <v/>
      </c>
      <c r="D9532" s="60" t="n"/>
      <c r="E9532" s="60" t="inlineStr">
        <is>
          <t>클렌징폼</t>
        </is>
      </c>
      <c r="F9532" s="60" t="inlineStr">
        <is>
          <t>카페24</t>
        </is>
      </c>
      <c r="G9532" s="60" t="inlineStr">
        <is>
          <t>클렌징폼 120ml 2set</t>
        </is>
      </c>
      <c r="H9532" s="60" t="n">
        <v>200801</v>
      </c>
      <c r="I9532" s="60" t="n">
        <v>200801</v>
      </c>
      <c r="J9532" s="60" t="n"/>
      <c r="K9532" s="60" t="n">
        <v>1</v>
      </c>
      <c r="L9532" s="60" t="n">
        <v>200801</v>
      </c>
      <c r="M9532" s="94">
        <f>VLOOKUP($Q9532,매칭테이블!$F:$I,2,0)*K9532</f>
        <v/>
      </c>
      <c r="N9532" s="94">
        <f>M9532-M9532*VLOOKUP($Q9532,매칭테이블!$F:$I,3,0)</f>
        <v/>
      </c>
      <c r="O9532" s="94">
        <f>VLOOKUP($Q9532,매칭테이블!$F:$I,4,0)*K9532</f>
        <v/>
      </c>
      <c r="P9532" s="148">
        <f>M9532/1.1</f>
        <v/>
      </c>
      <c r="Q9532" s="94">
        <f>F9532&amp;E9532&amp;G9532&amp;L9532</f>
        <v/>
      </c>
    </row>
    <row r="9533" customFormat="1" s="94">
      <c r="B9533" s="128" t="n">
        <v>44099</v>
      </c>
      <c r="C9533" s="94">
        <f>TEXT(B9533,"aaa")</f>
        <v/>
      </c>
      <c r="D9533" s="60" t="n"/>
      <c r="E9533" s="60" t="inlineStr">
        <is>
          <t>클렌징폼</t>
        </is>
      </c>
      <c r="F9533" s="60" t="inlineStr">
        <is>
          <t>카페24</t>
        </is>
      </c>
      <c r="G9533" s="60" t="inlineStr">
        <is>
          <t>클렌징폼 120ml 3set</t>
        </is>
      </c>
      <c r="H9533" s="60" t="n">
        <v>200801</v>
      </c>
      <c r="I9533" s="60" t="n">
        <v>200801</v>
      </c>
      <c r="J9533" s="60" t="n"/>
      <c r="K9533" s="60" t="n">
        <v>1</v>
      </c>
      <c r="L9533" s="60" t="n">
        <v>200801</v>
      </c>
      <c r="M9533" s="94">
        <f>VLOOKUP($Q9533,매칭테이블!$F:$I,2,0)*K9533</f>
        <v/>
      </c>
      <c r="N9533" s="94">
        <f>M9533-M9533*VLOOKUP($Q9533,매칭테이블!$F:$I,3,0)</f>
        <v/>
      </c>
      <c r="O9533" s="94">
        <f>VLOOKUP($Q9533,매칭테이블!$F:$I,4,0)*K9533</f>
        <v/>
      </c>
      <c r="P9533" s="148">
        <f>M9533/1.1</f>
        <v/>
      </c>
      <c r="Q9533" s="94">
        <f>F9533&amp;E9533&amp;G9533&amp;L9533</f>
        <v/>
      </c>
    </row>
    <row r="9534" customFormat="1" s="94">
      <c r="B9534" s="128" t="n">
        <v>44099</v>
      </c>
      <c r="C9534" s="94">
        <f>TEXT(B9534,"aaa")</f>
        <v/>
      </c>
      <c r="D9534" s="60" t="n"/>
      <c r="E9534" s="60" t="inlineStr">
        <is>
          <t>토너</t>
        </is>
      </c>
      <c r="F9534" s="60" t="inlineStr">
        <is>
          <t>큐텐재팬</t>
        </is>
      </c>
      <c r="G9534" s="60" t="inlineStr">
        <is>
          <t>200726=250ml</t>
        </is>
      </c>
      <c r="H9534" s="60" t="n">
        <v>200801</v>
      </c>
      <c r="I9534" s="60" t="n">
        <v>200801</v>
      </c>
      <c r="J9534" s="60" t="n"/>
      <c r="K9534" s="60" t="n">
        <v>2</v>
      </c>
      <c r="L9534" s="60" t="n">
        <v>200801</v>
      </c>
      <c r="M9534" s="94">
        <f>VLOOKUP($Q9534,매칭테이블!$F:$I,2,0)*K9534</f>
        <v/>
      </c>
      <c r="N9534" s="94">
        <f>M9534-M9534*VLOOKUP($Q9534,매칭테이블!$F:$I,3,0)</f>
        <v/>
      </c>
      <c r="O9534" s="94">
        <f>VLOOKUP($Q9534,매칭테이블!$F:$I,4,0)*K9534</f>
        <v/>
      </c>
      <c r="P9534" s="148">
        <f>M9534/1.1</f>
        <v/>
      </c>
      <c r="Q9534" s="94">
        <f>F9534&amp;E9534&amp;G9534&amp;L9534</f>
        <v/>
      </c>
    </row>
    <row r="9535" customFormat="1" s="94">
      <c r="B9535" s="128" t="n">
        <v>44099</v>
      </c>
      <c r="C9535" s="94">
        <f>TEXT(B9535,"aaa")</f>
        <v/>
      </c>
      <c r="D9535" s="60" t="n"/>
      <c r="E9535" s="60" t="inlineStr">
        <is>
          <t>토너</t>
        </is>
      </c>
      <c r="F9535" s="60" t="inlineStr">
        <is>
          <t>큐텐재팬</t>
        </is>
      </c>
      <c r="G9535" s="60" t="inlineStr">
        <is>
          <t>200726=250ml 2set</t>
        </is>
      </c>
      <c r="H9535" s="60" t="n">
        <v>200801</v>
      </c>
      <c r="I9535" s="60" t="n">
        <v>200801</v>
      </c>
      <c r="J9535" s="60" t="n"/>
      <c r="K9535" s="60" t="n">
        <v>1</v>
      </c>
      <c r="L9535" s="60" t="n">
        <v>200801</v>
      </c>
      <c r="M9535" s="94">
        <f>VLOOKUP($Q9535,매칭테이블!$F:$I,2,0)*K9535</f>
        <v/>
      </c>
      <c r="N9535" s="94">
        <f>M9535-M9535*VLOOKUP($Q9535,매칭테이블!$F:$I,3,0)</f>
        <v/>
      </c>
      <c r="O9535" s="94">
        <f>VLOOKUP($Q9535,매칭테이블!$F:$I,4,0)*K9535</f>
        <v/>
      </c>
      <c r="P9535" s="148">
        <f>M9535/1.1</f>
        <v/>
      </c>
      <c r="Q9535" s="94">
        <f>F9535&amp;E9535&amp;G9535&amp;L9535</f>
        <v/>
      </c>
    </row>
    <row r="9536" customFormat="1" s="94">
      <c r="B9536" s="128" t="n">
        <v>44099</v>
      </c>
      <c r="C9536" s="94">
        <f>TEXT(B9536,"aaa")</f>
        <v/>
      </c>
      <c r="D9536" s="60" t="n"/>
      <c r="E9536" s="60" t="inlineStr">
        <is>
          <t>토너</t>
        </is>
      </c>
      <c r="F9536" s="60" t="inlineStr">
        <is>
          <t>화해</t>
        </is>
      </c>
      <c r="G9536" s="60" t="inlineStr">
        <is>
          <t>250ml</t>
        </is>
      </c>
      <c r="H9536" s="60" t="n">
        <v>200801</v>
      </c>
      <c r="I9536" s="60" t="n">
        <v>200801</v>
      </c>
      <c r="J9536" s="60" t="n"/>
      <c r="K9536" s="60" t="n">
        <v>5</v>
      </c>
      <c r="L9536" s="60" t="n">
        <v>200801</v>
      </c>
      <c r="M9536" s="94">
        <f>VLOOKUP($Q9536,매칭테이블!$F:$I,2,0)*K9536</f>
        <v/>
      </c>
      <c r="N9536" s="94">
        <f>M9536-M9536*VLOOKUP($Q9536,매칭테이블!$F:$I,3,0)</f>
        <v/>
      </c>
      <c r="O9536" s="94">
        <f>VLOOKUP($Q9536,매칭테이블!$F:$I,4,0)*K9536</f>
        <v/>
      </c>
      <c r="P9536" s="148">
        <f>M9536/1.1</f>
        <v/>
      </c>
      <c r="Q9536" s="94">
        <f>F9536&amp;E9536&amp;G9536&amp;L9536</f>
        <v/>
      </c>
    </row>
    <row r="9537" customFormat="1" s="94">
      <c r="B9537" s="128" t="n">
        <v>44100</v>
      </c>
      <c r="C9537" s="94">
        <f>TEXT(B9537,"aaa")</f>
        <v/>
      </c>
      <c r="D9537" s="60" t="n"/>
      <c r="E9537" s="60" t="inlineStr">
        <is>
          <t>토너</t>
        </is>
      </c>
      <c r="F9537" s="60" t="inlineStr">
        <is>
          <t>스타일쉐어</t>
        </is>
      </c>
      <c r="G9537" s="60" t="inlineStr">
        <is>
          <t>250ml</t>
        </is>
      </c>
      <c r="H9537" s="60" t="n">
        <v>200801</v>
      </c>
      <c r="I9537" s="60" t="n">
        <v>200801</v>
      </c>
      <c r="J9537" s="60" t="n"/>
      <c r="K9537" s="60" t="n">
        <v>7</v>
      </c>
      <c r="L9537" s="60" t="n">
        <v>200801</v>
      </c>
      <c r="M9537" s="94">
        <f>VLOOKUP($Q9537,매칭테이블!$F:$I,2,0)*K9537</f>
        <v/>
      </c>
      <c r="N9537" s="94">
        <f>M9537-M9537*VLOOKUP($Q9537,매칭테이블!$F:$I,3,0)</f>
        <v/>
      </c>
      <c r="O9537" s="94">
        <f>VLOOKUP($Q9537,매칭테이블!$F:$I,4,0)*K9537</f>
        <v/>
      </c>
      <c r="P9537" s="148">
        <f>M9537/1.1</f>
        <v/>
      </c>
      <c r="Q9537" s="94">
        <f>F9537&amp;E9537&amp;G9537&amp;L9537</f>
        <v/>
      </c>
    </row>
    <row r="9538" customFormat="1" s="94">
      <c r="B9538" s="128" t="n">
        <v>44100</v>
      </c>
      <c r="C9538" s="94">
        <f>TEXT(B9538,"aaa")</f>
        <v/>
      </c>
      <c r="D9538" s="60" t="n"/>
      <c r="E9538" s="60" t="inlineStr">
        <is>
          <t>선크림</t>
        </is>
      </c>
      <c r="F9538" s="60" t="inlineStr">
        <is>
          <t>카페24</t>
        </is>
      </c>
      <c r="G9538" s="60" t="inlineStr">
        <is>
          <t>선크림 50ml</t>
        </is>
      </c>
      <c r="H9538" s="60" t="n">
        <v>200801</v>
      </c>
      <c r="I9538" s="60" t="n">
        <v>200801</v>
      </c>
      <c r="J9538" s="60" t="n"/>
      <c r="K9538" s="60" t="n">
        <v>2</v>
      </c>
      <c r="L9538" s="60" t="n">
        <v>200801</v>
      </c>
      <c r="M9538" s="94">
        <f>VLOOKUP($Q9538,매칭테이블!$F:$I,2,0)*K9538</f>
        <v/>
      </c>
      <c r="N9538" s="94">
        <f>M9538-M9538*VLOOKUP($Q9538,매칭테이블!$F:$I,3,0)</f>
        <v/>
      </c>
      <c r="O9538" s="94">
        <f>VLOOKUP($Q9538,매칭테이블!$F:$I,4,0)*K9538</f>
        <v/>
      </c>
      <c r="P9538" s="148">
        <f>M9538/1.1</f>
        <v/>
      </c>
      <c r="Q9538" s="94">
        <f>F9538&amp;E9538&amp;G9538&amp;L9538</f>
        <v/>
      </c>
    </row>
    <row r="9539" customFormat="1" s="94">
      <c r="B9539" s="128" t="n">
        <v>44100</v>
      </c>
      <c r="C9539" s="94">
        <f>TEXT(B9539,"aaa")</f>
        <v/>
      </c>
      <c r="D9539" s="60" t="n"/>
      <c r="E9539" s="60" t="inlineStr">
        <is>
          <t>어성초진정패키지</t>
        </is>
      </c>
      <c r="F9539" s="60" t="inlineStr">
        <is>
          <t>카페24</t>
        </is>
      </c>
      <c r="G9539" s="60" t="inlineStr">
        <is>
          <t>어성초 진정패키지세트</t>
        </is>
      </c>
      <c r="H9539" s="60" t="n">
        <v>200801</v>
      </c>
      <c r="I9539" s="60" t="n">
        <v>200801</v>
      </c>
      <c r="J9539" s="60" t="n"/>
      <c r="K9539" s="60" t="n">
        <v>3</v>
      </c>
      <c r="L9539" s="60" t="n">
        <v>200801</v>
      </c>
      <c r="M9539" s="94">
        <f>VLOOKUP($Q9539,매칭테이블!$F:$I,2,0)*K9539</f>
        <v/>
      </c>
      <c r="N9539" s="94">
        <f>M9539-M9539*VLOOKUP($Q9539,매칭테이블!$F:$I,3,0)</f>
        <v/>
      </c>
      <c r="O9539" s="94">
        <f>VLOOKUP($Q9539,매칭테이블!$F:$I,4,0)*K9539</f>
        <v/>
      </c>
      <c r="P9539" s="148">
        <f>M9539/1.1</f>
        <v/>
      </c>
      <c r="Q9539" s="94">
        <f>F9539&amp;E9539&amp;G9539&amp;L9539</f>
        <v/>
      </c>
    </row>
    <row r="9540" customFormat="1" s="94">
      <c r="B9540" s="128" t="n">
        <v>44100</v>
      </c>
      <c r="C9540" s="94">
        <f>TEXT(B9540,"aaa")</f>
        <v/>
      </c>
      <c r="D9540" s="60" t="n"/>
      <c r="E9540" s="60" t="inlineStr">
        <is>
          <t>클리어 패드</t>
        </is>
      </c>
      <c r="F9540" s="60" t="inlineStr">
        <is>
          <t>카페24</t>
        </is>
      </c>
      <c r="G9540" s="60" t="inlineStr">
        <is>
          <t>어성초 77 클리어 패드 1개-20% off</t>
        </is>
      </c>
      <c r="H9540" s="60" t="n">
        <v>200801</v>
      </c>
      <c r="I9540" s="60" t="n">
        <v>200801</v>
      </c>
      <c r="J9540" s="60" t="n"/>
      <c r="K9540" s="60" t="n">
        <v>20</v>
      </c>
      <c r="L9540" s="60" t="n">
        <v>200801</v>
      </c>
      <c r="M9540" s="94">
        <f>VLOOKUP($Q9540,매칭테이블!$F:$I,2,0)*K9540</f>
        <v/>
      </c>
      <c r="N9540" s="94">
        <f>M9540-M9540*VLOOKUP($Q9540,매칭테이블!$F:$I,3,0)</f>
        <v/>
      </c>
      <c r="O9540" s="94">
        <f>VLOOKUP($Q9540,매칭테이블!$F:$I,4,0)*K9540</f>
        <v/>
      </c>
      <c r="P9540" s="148">
        <f>M9540/1.1</f>
        <v/>
      </c>
      <c r="Q9540" s="94">
        <f>F9540&amp;E9540&amp;G9540&amp;L9540</f>
        <v/>
      </c>
    </row>
    <row r="9541" customFormat="1" s="94">
      <c r="B9541" s="128" t="n">
        <v>44100</v>
      </c>
      <c r="C9541" s="94">
        <f>TEXT(B9541,"aaa")</f>
        <v/>
      </c>
      <c r="D9541" s="60" t="n"/>
      <c r="E9541" s="60" t="inlineStr">
        <is>
          <t>클리어 패드</t>
        </is>
      </c>
      <c r="F9541" s="60" t="inlineStr">
        <is>
          <t>카페24</t>
        </is>
      </c>
      <c r="G9541" s="60" t="inlineStr">
        <is>
          <t>어성초 77 클리어 패드 2개-30% off</t>
        </is>
      </c>
      <c r="H9541" s="60" t="n">
        <v>200801</v>
      </c>
      <c r="I9541" s="60" t="n">
        <v>200801</v>
      </c>
      <c r="J9541" s="60" t="n"/>
      <c r="K9541" s="60" t="n">
        <v>10</v>
      </c>
      <c r="L9541" s="60" t="n">
        <v>200801</v>
      </c>
      <c r="M9541" s="94">
        <f>VLOOKUP($Q9541,매칭테이블!$F:$I,2,0)*K9541</f>
        <v/>
      </c>
      <c r="N9541" s="94">
        <f>M9541-M9541*VLOOKUP($Q9541,매칭테이블!$F:$I,3,0)</f>
        <v/>
      </c>
      <c r="O9541" s="94">
        <f>VLOOKUP($Q9541,매칭테이블!$F:$I,4,0)*K9541</f>
        <v/>
      </c>
      <c r="P9541" s="148">
        <f>M9541/1.1</f>
        <v/>
      </c>
      <c r="Q9541" s="94">
        <f>F9541&amp;E9541&amp;G9541&amp;L9541</f>
        <v/>
      </c>
    </row>
    <row r="9542" customFormat="1" s="94">
      <c r="B9542" s="128" t="n">
        <v>44100</v>
      </c>
      <c r="C9542" s="94">
        <f>TEXT(B9542,"aaa")</f>
        <v/>
      </c>
      <c r="D9542" s="60" t="n"/>
      <c r="E9542" s="60" t="inlineStr">
        <is>
          <t>토너+패드 세트</t>
        </is>
      </c>
      <c r="F9542" s="60" t="inlineStr">
        <is>
          <t>카페24</t>
        </is>
      </c>
      <c r="G9542" s="60" t="inlineStr">
        <is>
          <t>좁쌀 진정 세트 토너+클리어 패드-30% off</t>
        </is>
      </c>
      <c r="H9542" s="60" t="n">
        <v>200801</v>
      </c>
      <c r="I9542" s="60" t="n">
        <v>200801</v>
      </c>
      <c r="J9542" s="60" t="n"/>
      <c r="K9542" s="60" t="n">
        <v>18</v>
      </c>
      <c r="L9542" s="60" t="n">
        <v>200801</v>
      </c>
      <c r="M9542" s="94">
        <f>VLOOKUP($Q9542,매칭테이블!$F:$I,2,0)*K9542</f>
        <v/>
      </c>
      <c r="N9542" s="94">
        <f>M9542-M9542*VLOOKUP($Q9542,매칭테이블!$F:$I,3,0)</f>
        <v/>
      </c>
      <c r="O9542" s="94">
        <f>VLOOKUP($Q9542,매칭테이블!$F:$I,4,0)*K9542</f>
        <v/>
      </c>
      <c r="P9542" s="148">
        <f>M9542/1.1</f>
        <v/>
      </c>
      <c r="Q9542" s="94">
        <f>F9542&amp;E9542&amp;G9542&amp;L9542</f>
        <v/>
      </c>
    </row>
    <row r="9543" customFormat="1" s="94">
      <c r="B9543" s="128" t="n">
        <v>44100</v>
      </c>
      <c r="C9543" s="94">
        <f>TEXT(B9543,"aaa")</f>
        <v/>
      </c>
      <c r="D9543" s="60" t="n"/>
      <c r="E9543" s="60" t="inlineStr">
        <is>
          <t>수분 보충 세트</t>
        </is>
      </c>
      <c r="F9543" s="60" t="inlineStr">
        <is>
          <t>카페24</t>
        </is>
      </c>
      <c r="G9543" s="60" t="inlineStr">
        <is>
          <t>어성초 77 토너 250ml + 어성초 70 로션 200ml -30%</t>
        </is>
      </c>
      <c r="H9543" s="60" t="n">
        <v>200801</v>
      </c>
      <c r="I9543" s="60" t="n">
        <v>200801</v>
      </c>
      <c r="J9543" s="60" t="n"/>
      <c r="K9543" s="60" t="n">
        <v>23</v>
      </c>
      <c r="L9543" s="60" t="n">
        <v>200801</v>
      </c>
      <c r="M9543" s="94">
        <f>VLOOKUP($Q9543,매칭테이블!$F:$I,2,0)*K9543</f>
        <v/>
      </c>
      <c r="N9543" s="94">
        <f>M9543-M9543*VLOOKUP($Q9543,매칭테이블!$F:$I,3,0)</f>
        <v/>
      </c>
      <c r="O9543" s="94">
        <f>VLOOKUP($Q9543,매칭테이블!$F:$I,4,0)*K9543</f>
        <v/>
      </c>
      <c r="P9543" s="148">
        <f>M9543/1.1</f>
        <v/>
      </c>
      <c r="Q9543" s="94">
        <f>F9543&amp;E9543&amp;G9543&amp;L9543</f>
        <v/>
      </c>
    </row>
    <row r="9544" customFormat="1" s="94">
      <c r="B9544" s="128" t="n">
        <v>44100</v>
      </c>
      <c r="C9544" s="94">
        <f>TEXT(B9544,"aaa")</f>
        <v/>
      </c>
      <c r="D9544" s="60" t="n"/>
      <c r="E9544" s="60" t="inlineStr">
        <is>
          <t>로션</t>
        </is>
      </c>
      <c r="F9544" s="60" t="inlineStr">
        <is>
          <t>카페24</t>
        </is>
      </c>
      <c r="G9544" s="60" t="inlineStr">
        <is>
          <t>어성초 70 데일리 릴리프 로션 1개 -20% off</t>
        </is>
      </c>
      <c r="H9544" s="60" t="n">
        <v>200801</v>
      </c>
      <c r="I9544" s="60" t="n">
        <v>200801</v>
      </c>
      <c r="J9544" s="60" t="n"/>
      <c r="K9544" s="60" t="n">
        <v>9</v>
      </c>
      <c r="L9544" s="60" t="n">
        <v>200801</v>
      </c>
      <c r="M9544" s="94">
        <f>VLOOKUP($Q9544,매칭테이블!$F:$I,2,0)*K9544</f>
        <v/>
      </c>
      <c r="N9544" s="94">
        <f>M9544-M9544*VLOOKUP($Q9544,매칭테이블!$F:$I,3,0)</f>
        <v/>
      </c>
      <c r="O9544" s="94">
        <f>VLOOKUP($Q9544,매칭테이블!$F:$I,4,0)*K9544</f>
        <v/>
      </c>
      <c r="P9544" s="148">
        <f>M9544/1.1</f>
        <v/>
      </c>
      <c r="Q9544" s="94">
        <f>F9544&amp;E9544&amp;G9544&amp;L9544</f>
        <v/>
      </c>
    </row>
    <row r="9545" customFormat="1" s="94">
      <c r="B9545" s="128" t="n">
        <v>44100</v>
      </c>
      <c r="C9545" s="94">
        <f>TEXT(B9545,"aaa")</f>
        <v/>
      </c>
      <c r="D9545" s="60" t="n"/>
      <c r="E9545" s="60" t="inlineStr">
        <is>
          <t>머드크림마스크</t>
        </is>
      </c>
      <c r="F9545" s="60" t="inlineStr">
        <is>
          <t>카페24</t>
        </is>
      </c>
      <c r="G9545" s="60" t="inlineStr">
        <is>
          <t>머드크림마스크 100ml</t>
        </is>
      </c>
      <c r="H9545" s="60" t="n">
        <v>200801</v>
      </c>
      <c r="I9545" s="60" t="n">
        <v>200801</v>
      </c>
      <c r="J9545" s="60" t="n"/>
      <c r="K9545" s="60" t="n">
        <v>3</v>
      </c>
      <c r="L9545" s="60" t="n">
        <v>200801</v>
      </c>
      <c r="M9545" s="94">
        <f>VLOOKUP($Q9545,매칭테이블!$F:$I,2,0)*K9545</f>
        <v/>
      </c>
      <c r="N9545" s="94">
        <f>M9545-M9545*VLOOKUP($Q9545,매칭테이블!$F:$I,3,0)</f>
        <v/>
      </c>
      <c r="O9545" s="94">
        <f>VLOOKUP($Q9545,매칭테이블!$F:$I,4,0)*K9545</f>
        <v/>
      </c>
      <c r="P9545" s="148">
        <f>M9545/1.1</f>
        <v/>
      </c>
      <c r="Q9545" s="94">
        <f>F9545&amp;E9545&amp;G9545&amp;L9545</f>
        <v/>
      </c>
    </row>
    <row r="9546" customFormat="1" s="94">
      <c r="B9546" s="128" t="n">
        <v>44100</v>
      </c>
      <c r="C9546" s="94">
        <f>TEXT(B9546,"aaa")</f>
        <v/>
      </c>
      <c r="D9546" s="60" t="n"/>
      <c r="E9546" s="60" t="inlineStr">
        <is>
          <t>머드크림마스크</t>
        </is>
      </c>
      <c r="F9546" s="60" t="inlineStr">
        <is>
          <t>카페24</t>
        </is>
      </c>
      <c r="G9546" s="60" t="inlineStr">
        <is>
          <t>머드크림마스크 100ml 2set</t>
        </is>
      </c>
      <c r="H9546" s="60" t="n">
        <v>200801</v>
      </c>
      <c r="I9546" s="60" t="n">
        <v>200801</v>
      </c>
      <c r="J9546" s="60" t="n"/>
      <c r="K9546" s="60" t="n">
        <v>1</v>
      </c>
      <c r="L9546" s="60" t="n">
        <v>200801</v>
      </c>
      <c r="M9546" s="94">
        <f>VLOOKUP($Q9546,매칭테이블!$F:$I,2,0)*K9546</f>
        <v/>
      </c>
      <c r="N9546" s="94">
        <f>M9546-M9546*VLOOKUP($Q9546,매칭테이블!$F:$I,3,0)</f>
        <v/>
      </c>
      <c r="O9546" s="94">
        <f>VLOOKUP($Q9546,매칭테이블!$F:$I,4,0)*K9546</f>
        <v/>
      </c>
      <c r="P9546" s="148">
        <f>M9546/1.1</f>
        <v/>
      </c>
      <c r="Q9546" s="94">
        <f>F9546&amp;E9546&amp;G9546&amp;L9546</f>
        <v/>
      </c>
    </row>
    <row r="9547" customFormat="1" s="94">
      <c r="B9547" s="128" t="n">
        <v>44100</v>
      </c>
      <c r="C9547" s="94">
        <f>TEXT(B9547,"aaa")</f>
        <v/>
      </c>
      <c r="D9547" s="60" t="n"/>
      <c r="E9547" s="60" t="inlineStr">
        <is>
          <t>마스크팩</t>
        </is>
      </c>
      <c r="F9547" s="60" t="inlineStr">
        <is>
          <t>카페24</t>
        </is>
      </c>
      <c r="G9547" s="60" t="inlineStr">
        <is>
          <t>마스크팩 1매</t>
        </is>
      </c>
      <c r="H9547" s="60" t="n">
        <v>200801</v>
      </c>
      <c r="I9547" s="60" t="n">
        <v>200801</v>
      </c>
      <c r="J9547" s="60" t="n"/>
      <c r="K9547" s="60" t="n">
        <v>1</v>
      </c>
      <c r="L9547" s="60" t="n">
        <v>200801</v>
      </c>
      <c r="M9547" s="94">
        <f>VLOOKUP($Q9547,매칭테이블!$F:$I,2,0)*K9547</f>
        <v/>
      </c>
      <c r="N9547" s="94">
        <f>M9547-M9547*VLOOKUP($Q9547,매칭테이블!$F:$I,3,0)</f>
        <v/>
      </c>
      <c r="O9547" s="94">
        <f>VLOOKUP($Q9547,매칭테이블!$F:$I,4,0)*K9547</f>
        <v/>
      </c>
      <c r="P9547" s="148">
        <f>M9547/1.1</f>
        <v/>
      </c>
      <c r="Q9547" s="94">
        <f>F9547&amp;E9547&amp;G9547&amp;L9547</f>
        <v/>
      </c>
    </row>
    <row r="9548" customFormat="1" s="94">
      <c r="B9548" s="128" t="n">
        <v>44100</v>
      </c>
      <c r="C9548" s="94">
        <f>TEXT(B9548,"aaa")</f>
        <v/>
      </c>
      <c r="D9548" s="60" t="n"/>
      <c r="E9548" s="60" t="inlineStr">
        <is>
          <t>마스크팩</t>
        </is>
      </c>
      <c r="F9548" s="60" t="inlineStr">
        <is>
          <t>카페24</t>
        </is>
      </c>
      <c r="G9548" s="60" t="inlineStr">
        <is>
          <t>마스크팩 10매</t>
        </is>
      </c>
      <c r="H9548" s="60" t="n">
        <v>200801</v>
      </c>
      <c r="I9548" s="60" t="n">
        <v>200801</v>
      </c>
      <c r="J9548" s="60" t="n"/>
      <c r="K9548" s="60" t="n">
        <v>2</v>
      </c>
      <c r="L9548" s="60" t="n">
        <v>200801</v>
      </c>
      <c r="M9548" s="94">
        <f>VLOOKUP($Q9548,매칭테이블!$F:$I,2,0)*K9548</f>
        <v/>
      </c>
      <c r="N9548" s="94">
        <f>M9548-M9548*VLOOKUP($Q9548,매칭테이블!$F:$I,3,0)</f>
        <v/>
      </c>
      <c r="O9548" s="94">
        <f>VLOOKUP($Q9548,매칭테이블!$F:$I,4,0)*K9548</f>
        <v/>
      </c>
      <c r="P9548" s="148">
        <f>M9548/1.1</f>
        <v/>
      </c>
      <c r="Q9548" s="94">
        <f>F9548&amp;E9548&amp;G9548&amp;L9548</f>
        <v/>
      </c>
    </row>
    <row r="9549" customFormat="1" s="94">
      <c r="B9549" s="128" t="n">
        <v>44100</v>
      </c>
      <c r="C9549" s="94">
        <f>TEXT(B9549,"aaa")</f>
        <v/>
      </c>
      <c r="D9549" s="60" t="n"/>
      <c r="E9549" s="60" t="inlineStr">
        <is>
          <t>토너</t>
        </is>
      </c>
      <c r="F9549" s="60" t="inlineStr">
        <is>
          <t>카페24</t>
        </is>
      </c>
      <c r="G9549" s="60" t="inlineStr">
        <is>
          <t>250ml</t>
        </is>
      </c>
      <c r="H9549" s="60" t="n">
        <v>200801</v>
      </c>
      <c r="I9549" s="60" t="n">
        <v>200801</v>
      </c>
      <c r="J9549" s="60" t="n"/>
      <c r="K9549" s="60" t="n">
        <v>24</v>
      </c>
      <c r="L9549" s="60" t="n">
        <v>200801</v>
      </c>
      <c r="M9549" s="94">
        <f>VLOOKUP($Q9549,매칭테이블!$F:$I,2,0)*K9549</f>
        <v/>
      </c>
      <c r="N9549" s="94">
        <f>M9549-M9549*VLOOKUP($Q9549,매칭테이블!$F:$I,3,0)</f>
        <v/>
      </c>
      <c r="O9549" s="94">
        <f>VLOOKUP($Q9549,매칭테이블!$F:$I,4,0)*K9549</f>
        <v/>
      </c>
      <c r="P9549" s="148">
        <f>M9549/1.1</f>
        <v/>
      </c>
      <c r="Q9549" s="94">
        <f>F9549&amp;E9549&amp;G9549&amp;L9549</f>
        <v/>
      </c>
    </row>
    <row r="9550" customFormat="1" s="94">
      <c r="B9550" s="128" t="n">
        <v>44100</v>
      </c>
      <c r="C9550" s="94">
        <f>TEXT(B9550,"aaa")</f>
        <v/>
      </c>
      <c r="D9550" s="60" t="n"/>
      <c r="E9550" s="60" t="inlineStr">
        <is>
          <t>토너</t>
        </is>
      </c>
      <c r="F9550" s="60" t="inlineStr">
        <is>
          <t>카페24</t>
        </is>
      </c>
      <c r="G9550" s="60" t="inlineStr">
        <is>
          <t>250ml 2set</t>
        </is>
      </c>
      <c r="H9550" s="60" t="n">
        <v>200801</v>
      </c>
      <c r="I9550" s="60" t="n">
        <v>200801</v>
      </c>
      <c r="J9550" s="60" t="n"/>
      <c r="K9550" s="60" t="n">
        <v>18</v>
      </c>
      <c r="L9550" s="60" t="n">
        <v>200801</v>
      </c>
      <c r="M9550" s="94">
        <f>VLOOKUP($Q9550,매칭테이블!$F:$I,2,0)*K9550</f>
        <v/>
      </c>
      <c r="N9550" s="94">
        <f>M9550-M9550*VLOOKUP($Q9550,매칭테이블!$F:$I,3,0)</f>
        <v/>
      </c>
      <c r="O9550" s="94">
        <f>VLOOKUP($Q9550,매칭테이블!$F:$I,4,0)*K9550</f>
        <v/>
      </c>
      <c r="P9550" s="148">
        <f>M9550/1.1</f>
        <v/>
      </c>
      <c r="Q9550" s="94">
        <f>F9550&amp;E9550&amp;G9550&amp;L9550</f>
        <v/>
      </c>
    </row>
    <row r="9551" customFormat="1" s="94">
      <c r="B9551" s="128" t="n">
        <v>44100</v>
      </c>
      <c r="C9551" s="94">
        <f>TEXT(B9551,"aaa")</f>
        <v/>
      </c>
      <c r="D9551" s="60" t="n"/>
      <c r="E9551" s="60" t="inlineStr">
        <is>
          <t>토너</t>
        </is>
      </c>
      <c r="F9551" s="60" t="inlineStr">
        <is>
          <t>카페24</t>
        </is>
      </c>
      <c r="G9551" s="60" t="inlineStr">
        <is>
          <t>500ml</t>
        </is>
      </c>
      <c r="H9551" s="60" t="n">
        <v>200801</v>
      </c>
      <c r="I9551" s="60" t="n">
        <v>200801</v>
      </c>
      <c r="J9551" s="60" t="n"/>
      <c r="K9551" s="60" t="n">
        <v>27</v>
      </c>
      <c r="L9551" s="60" t="n">
        <v>200801</v>
      </c>
      <c r="M9551" s="94">
        <f>VLOOKUP($Q9551,매칭테이블!$F:$I,2,0)*K9551</f>
        <v/>
      </c>
      <c r="N9551" s="94">
        <f>M9551-M9551*VLOOKUP($Q9551,매칭테이블!$F:$I,3,0)</f>
        <v/>
      </c>
      <c r="O9551" s="94">
        <f>VLOOKUP($Q9551,매칭테이블!$F:$I,4,0)*K9551</f>
        <v/>
      </c>
      <c r="P9551" s="148">
        <f>M9551/1.1</f>
        <v/>
      </c>
      <c r="Q9551" s="94">
        <f>F9551&amp;E9551&amp;G9551&amp;L9551</f>
        <v/>
      </c>
    </row>
    <row r="9552" customFormat="1" s="94">
      <c r="B9552" s="128" t="n">
        <v>44100</v>
      </c>
      <c r="C9552" s="94">
        <f>TEXT(B9552,"aaa")</f>
        <v/>
      </c>
      <c r="D9552" s="60" t="n"/>
      <c r="E9552" s="60" t="inlineStr">
        <is>
          <t>토너</t>
        </is>
      </c>
      <c r="F9552" s="60" t="inlineStr">
        <is>
          <t>카페24</t>
        </is>
      </c>
      <c r="G9552" s="60" t="inlineStr">
        <is>
          <t>스킨팩 화장솜 60P</t>
        </is>
      </c>
      <c r="H9552" s="60" t="n">
        <v>200801</v>
      </c>
      <c r="I9552" s="60" t="n">
        <v>200801</v>
      </c>
      <c r="J9552" s="60" t="n"/>
      <c r="K9552" s="60" t="n">
        <v>23</v>
      </c>
      <c r="L9552" s="60" t="n">
        <v>200801</v>
      </c>
      <c r="M9552" s="94">
        <f>VLOOKUP($Q9552,매칭테이블!$F:$I,2,0)*K9552</f>
        <v/>
      </c>
      <c r="N9552" s="94">
        <f>M9552-M9552*VLOOKUP($Q9552,매칭테이블!$F:$I,3,0)</f>
        <v/>
      </c>
      <c r="O9552" s="94">
        <f>VLOOKUP($Q9552,매칭테이블!$F:$I,4,0)*K9552</f>
        <v/>
      </c>
      <c r="P9552" s="148">
        <f>M9552/1.1</f>
        <v/>
      </c>
      <c r="Q9552" s="94">
        <f>F9552&amp;E9552&amp;G9552&amp;L9552</f>
        <v/>
      </c>
    </row>
    <row r="9553" customFormat="1" s="94">
      <c r="B9553" s="128" t="n">
        <v>44100</v>
      </c>
      <c r="C9553" s="94">
        <f>TEXT(B9553,"aaa")</f>
        <v/>
      </c>
      <c r="D9553" s="60" t="n"/>
      <c r="E9553" s="60" t="inlineStr">
        <is>
          <t>앰플</t>
        </is>
      </c>
      <c r="F9553" s="60" t="inlineStr">
        <is>
          <t>카페24</t>
        </is>
      </c>
      <c r="G9553" s="60" t="inlineStr">
        <is>
          <t>앰플 30ml</t>
        </is>
      </c>
      <c r="H9553" s="60" t="n">
        <v>200801</v>
      </c>
      <c r="I9553" s="60" t="n">
        <v>200801</v>
      </c>
      <c r="J9553" s="60" t="n"/>
      <c r="K9553" s="60" t="n">
        <v>15</v>
      </c>
      <c r="L9553" s="60" t="n">
        <v>200801</v>
      </c>
      <c r="M9553" s="94">
        <f>VLOOKUP($Q9553,매칭테이블!$F:$I,2,0)*K9553</f>
        <v/>
      </c>
      <c r="N9553" s="94">
        <f>M9553-M9553*VLOOKUP($Q9553,매칭테이블!$F:$I,3,0)</f>
        <v/>
      </c>
      <c r="O9553" s="94">
        <f>VLOOKUP($Q9553,매칭테이블!$F:$I,4,0)*K9553</f>
        <v/>
      </c>
      <c r="P9553" s="148">
        <f>M9553/1.1</f>
        <v/>
      </c>
      <c r="Q9553" s="94">
        <f>F9553&amp;E9553&amp;G9553&amp;L9553</f>
        <v/>
      </c>
    </row>
    <row r="9554" customFormat="1" s="94">
      <c r="B9554" s="128" t="n">
        <v>44100</v>
      </c>
      <c r="C9554" s="94">
        <f>TEXT(B9554,"aaa")</f>
        <v/>
      </c>
      <c r="D9554" s="60" t="n"/>
      <c r="E9554" s="60" t="inlineStr">
        <is>
          <t>앰플</t>
        </is>
      </c>
      <c r="F9554" s="60" t="inlineStr">
        <is>
          <t>카페24</t>
        </is>
      </c>
      <c r="G9554" s="60" t="inlineStr">
        <is>
          <t>앰플 30ml  2set</t>
        </is>
      </c>
      <c r="H9554" s="60" t="n">
        <v>200801</v>
      </c>
      <c r="I9554" s="60" t="n">
        <v>200801</v>
      </c>
      <c r="J9554" s="60" t="n"/>
      <c r="K9554" s="60" t="n">
        <v>4</v>
      </c>
      <c r="L9554" s="60" t="n">
        <v>200801</v>
      </c>
      <c r="M9554" s="94">
        <f>VLOOKUP($Q9554,매칭테이블!$F:$I,2,0)*K9554</f>
        <v/>
      </c>
      <c r="N9554" s="94">
        <f>M9554-M9554*VLOOKUP($Q9554,매칭테이블!$F:$I,3,0)</f>
        <v/>
      </c>
      <c r="O9554" s="94">
        <f>VLOOKUP($Q9554,매칭테이블!$F:$I,4,0)*K9554</f>
        <v/>
      </c>
      <c r="P9554" s="148">
        <f>M9554/1.1</f>
        <v/>
      </c>
      <c r="Q9554" s="94">
        <f>F9554&amp;E9554&amp;G9554&amp;L9554</f>
        <v/>
      </c>
    </row>
    <row r="9555" customFormat="1" s="94">
      <c r="B9555" s="128" t="n">
        <v>44100</v>
      </c>
      <c r="C9555" s="94">
        <f>TEXT(B9555,"aaa")</f>
        <v/>
      </c>
      <c r="D9555" s="60" t="n"/>
      <c r="E9555" s="60" t="inlineStr">
        <is>
          <t>수딩크림</t>
        </is>
      </c>
      <c r="F9555" s="60" t="inlineStr">
        <is>
          <t>카페24</t>
        </is>
      </c>
      <c r="G9555" s="60" t="inlineStr">
        <is>
          <t>수딩크림 100ml</t>
        </is>
      </c>
      <c r="H9555" s="60" t="n">
        <v>200801</v>
      </c>
      <c r="I9555" s="60" t="n">
        <v>200801</v>
      </c>
      <c r="J9555" s="60" t="n"/>
      <c r="K9555" s="60" t="n">
        <v>4</v>
      </c>
      <c r="L9555" s="60" t="n">
        <v>200801</v>
      </c>
      <c r="M9555" s="94">
        <f>VLOOKUP($Q9555,매칭테이블!$F:$I,2,0)*K9555</f>
        <v/>
      </c>
      <c r="N9555" s="94">
        <f>M9555-M9555*VLOOKUP($Q9555,매칭테이블!$F:$I,3,0)</f>
        <v/>
      </c>
      <c r="O9555" s="94">
        <f>VLOOKUP($Q9555,매칭테이블!$F:$I,4,0)*K9555</f>
        <v/>
      </c>
      <c r="P9555" s="148">
        <f>M9555/1.1</f>
        <v/>
      </c>
      <c r="Q9555" s="94">
        <f>F9555&amp;E9555&amp;G9555&amp;L9555</f>
        <v/>
      </c>
    </row>
    <row r="9556" customFormat="1" s="94">
      <c r="B9556" s="128" t="n">
        <v>44100</v>
      </c>
      <c r="C9556" s="94">
        <f>TEXT(B9556,"aaa")</f>
        <v/>
      </c>
      <c r="D9556" s="60" t="n"/>
      <c r="E9556" s="60" t="inlineStr">
        <is>
          <t>클렌징폼</t>
        </is>
      </c>
      <c r="F9556" s="60" t="inlineStr">
        <is>
          <t>카페24</t>
        </is>
      </c>
      <c r="G9556" s="60" t="inlineStr">
        <is>
          <t>클렌징폼 120ml</t>
        </is>
      </c>
      <c r="H9556" s="60" t="n">
        <v>200801</v>
      </c>
      <c r="I9556" s="60" t="n">
        <v>200801</v>
      </c>
      <c r="J9556" s="60" t="n"/>
      <c r="K9556" s="60" t="n">
        <v>7</v>
      </c>
      <c r="L9556" s="60" t="n">
        <v>200801</v>
      </c>
      <c r="M9556" s="94">
        <f>VLOOKUP($Q9556,매칭테이블!$F:$I,2,0)*K9556</f>
        <v/>
      </c>
      <c r="N9556" s="94">
        <f>M9556-M9556*VLOOKUP($Q9556,매칭테이블!$F:$I,3,0)</f>
        <v/>
      </c>
      <c r="O9556" s="94">
        <f>VLOOKUP($Q9556,매칭테이블!$F:$I,4,0)*K9556</f>
        <v/>
      </c>
      <c r="P9556" s="148">
        <f>M9556/1.1</f>
        <v/>
      </c>
      <c r="Q9556" s="94">
        <f>F9556&amp;E9556&amp;G9556&amp;L9556</f>
        <v/>
      </c>
    </row>
    <row r="9557" customFormat="1" s="94">
      <c r="B9557" s="128" t="n">
        <v>44100</v>
      </c>
      <c r="C9557" s="94">
        <f>TEXT(B9557,"aaa")</f>
        <v/>
      </c>
      <c r="D9557" s="60" t="n"/>
      <c r="E9557" s="60" t="inlineStr">
        <is>
          <t>클렌징폼</t>
        </is>
      </c>
      <c r="F9557" s="60" t="inlineStr">
        <is>
          <t>카페24</t>
        </is>
      </c>
      <c r="G9557" s="60" t="inlineStr">
        <is>
          <t>클렌징폼 120ml 2set</t>
        </is>
      </c>
      <c r="H9557" s="60" t="n">
        <v>200801</v>
      </c>
      <c r="I9557" s="60" t="n">
        <v>200801</v>
      </c>
      <c r="J9557" s="60" t="n"/>
      <c r="K9557" s="60" t="n">
        <v>1</v>
      </c>
      <c r="L9557" s="60" t="n">
        <v>200801</v>
      </c>
      <c r="M9557" s="94">
        <f>VLOOKUP($Q9557,매칭테이블!$F:$I,2,0)*K9557</f>
        <v/>
      </c>
      <c r="N9557" s="94">
        <f>M9557-M9557*VLOOKUP($Q9557,매칭테이블!$F:$I,3,0)</f>
        <v/>
      </c>
      <c r="O9557" s="94">
        <f>VLOOKUP($Q9557,매칭테이블!$F:$I,4,0)*K9557</f>
        <v/>
      </c>
      <c r="P9557" s="148">
        <f>M9557/1.1</f>
        <v/>
      </c>
      <c r="Q9557" s="94">
        <f>F9557&amp;E9557&amp;G9557&amp;L9557</f>
        <v/>
      </c>
    </row>
    <row r="9558" customFormat="1" s="94">
      <c r="B9558" s="128" t="n">
        <v>44100</v>
      </c>
      <c r="C9558" s="94">
        <f>TEXT(B9558,"aaa")</f>
        <v/>
      </c>
      <c r="D9558" s="60" t="n"/>
      <c r="E9558" s="60" t="inlineStr">
        <is>
          <t>바디워시</t>
        </is>
      </c>
      <c r="F9558" s="60" t="inlineStr">
        <is>
          <t>카페24</t>
        </is>
      </c>
      <c r="G9558" s="60" t="inlineStr">
        <is>
          <t>바디워시 1개 -30% off</t>
        </is>
      </c>
      <c r="H9558" s="60" t="n">
        <v>200801</v>
      </c>
      <c r="I9558" s="60" t="n">
        <v>200801</v>
      </c>
      <c r="J9558" s="60" t="n"/>
      <c r="K9558" s="60" t="n">
        <v>1</v>
      </c>
      <c r="L9558" s="60" t="n">
        <v>200801</v>
      </c>
      <c r="M9558" s="94">
        <f>VLOOKUP($Q9558,매칭테이블!$F:$I,2,0)*K9558</f>
        <v/>
      </c>
      <c r="N9558" s="94">
        <f>M9558-M9558*VLOOKUP($Q9558,매칭테이블!$F:$I,3,0)</f>
        <v/>
      </c>
      <c r="O9558" s="94">
        <f>VLOOKUP($Q9558,매칭테이블!$F:$I,4,0)*K9558</f>
        <v/>
      </c>
      <c r="P9558" s="148">
        <f>M9558/1.1</f>
        <v/>
      </c>
      <c r="Q9558" s="94">
        <f>F9558&amp;E9558&amp;G9558&amp;L9558</f>
        <v/>
      </c>
    </row>
    <row r="9559" customFormat="1" s="94">
      <c r="B9559" s="128" t="n">
        <v>44100</v>
      </c>
      <c r="C9559" s="94">
        <f>TEXT(B9559,"aaa")</f>
        <v/>
      </c>
      <c r="D9559" s="60" t="n"/>
      <c r="E9559" s="60" t="inlineStr">
        <is>
          <t>토너</t>
        </is>
      </c>
      <c r="F9559" s="60" t="inlineStr">
        <is>
          <t>화해</t>
        </is>
      </c>
      <c r="G9559" s="60" t="inlineStr">
        <is>
          <t>250ml</t>
        </is>
      </c>
      <c r="H9559" s="60" t="n">
        <v>200801</v>
      </c>
      <c r="I9559" s="60" t="n">
        <v>200801</v>
      </c>
      <c r="J9559" s="60" t="n"/>
      <c r="K9559" s="60" t="n">
        <v>4</v>
      </c>
      <c r="L9559" s="60" t="n">
        <v>200801</v>
      </c>
      <c r="M9559" s="94">
        <f>VLOOKUP($Q9559,매칭테이블!$F:$I,2,0)*K9559</f>
        <v/>
      </c>
      <c r="N9559" s="94">
        <f>M9559-M9559*VLOOKUP($Q9559,매칭테이블!$F:$I,3,0)</f>
        <v/>
      </c>
      <c r="O9559" s="94">
        <f>VLOOKUP($Q9559,매칭테이블!$F:$I,4,0)*K9559</f>
        <v/>
      </c>
      <c r="P9559" s="148">
        <f>M9559/1.1</f>
        <v/>
      </c>
      <c r="Q9559" s="94">
        <f>F9559&amp;E9559&amp;G9559&amp;L9559</f>
        <v/>
      </c>
    </row>
    <row r="9560" customFormat="1" s="94">
      <c r="B9560" s="128" t="n">
        <v>44101</v>
      </c>
      <c r="C9560" s="94">
        <f>TEXT(B9560,"aaa")</f>
        <v/>
      </c>
      <c r="D9560" s="60" t="n"/>
      <c r="E9560" s="60" t="inlineStr">
        <is>
          <t>토너</t>
        </is>
      </c>
      <c r="F9560" s="60" t="inlineStr">
        <is>
          <t>스타일쉐어</t>
        </is>
      </c>
      <c r="G9560" s="60" t="inlineStr">
        <is>
          <t>250ml</t>
        </is>
      </c>
      <c r="H9560" s="60" t="n">
        <v>200801</v>
      </c>
      <c r="I9560" s="60" t="n">
        <v>200801</v>
      </c>
      <c r="J9560" s="60" t="n"/>
      <c r="K9560" s="60" t="n">
        <v>4</v>
      </c>
      <c r="L9560" s="60" t="n">
        <v>200801</v>
      </c>
      <c r="M9560" s="94">
        <f>VLOOKUP($Q9560,매칭테이블!$F:$I,2,0)*K9560</f>
        <v/>
      </c>
      <c r="N9560" s="94">
        <f>M9560-M9560*VLOOKUP($Q9560,매칭테이블!$F:$I,3,0)</f>
        <v/>
      </c>
      <c r="O9560" s="94">
        <f>VLOOKUP($Q9560,매칭테이블!$F:$I,4,0)*K9560</f>
        <v/>
      </c>
      <c r="P9560" s="148">
        <f>M9560/1.1</f>
        <v/>
      </c>
      <c r="Q9560" s="94">
        <f>F9560&amp;E9560&amp;G9560&amp;L9560</f>
        <v/>
      </c>
    </row>
    <row r="9561" customFormat="1" s="94">
      <c r="B9561" s="128" t="n">
        <v>44101</v>
      </c>
      <c r="C9561" s="94">
        <f>TEXT(B9561,"aaa")</f>
        <v/>
      </c>
      <c r="D9561" s="60" t="n"/>
      <c r="E9561" s="60" t="inlineStr">
        <is>
          <t>선크림</t>
        </is>
      </c>
      <c r="F9561" s="60" t="inlineStr">
        <is>
          <t>카페24</t>
        </is>
      </c>
      <c r="G9561" s="60" t="inlineStr">
        <is>
          <t>선크림 50ml</t>
        </is>
      </c>
      <c r="H9561" s="60" t="n">
        <v>200801</v>
      </c>
      <c r="I9561" s="60" t="n">
        <v>200801</v>
      </c>
      <c r="J9561" s="60" t="n"/>
      <c r="K9561" s="60" t="n">
        <v>3</v>
      </c>
      <c r="L9561" s="60" t="n">
        <v>200801</v>
      </c>
      <c r="M9561" s="94">
        <f>VLOOKUP($Q9561,매칭테이블!$F:$I,2,0)*K9561</f>
        <v/>
      </c>
      <c r="N9561" s="94">
        <f>M9561-M9561*VLOOKUP($Q9561,매칭테이블!$F:$I,3,0)</f>
        <v/>
      </c>
      <c r="O9561" s="94">
        <f>VLOOKUP($Q9561,매칭테이블!$F:$I,4,0)*K9561</f>
        <v/>
      </c>
      <c r="P9561" s="148">
        <f>M9561/1.1</f>
        <v/>
      </c>
      <c r="Q9561" s="94">
        <f>F9561&amp;E9561&amp;G9561&amp;L9561</f>
        <v/>
      </c>
    </row>
    <row r="9562" customFormat="1" s="94">
      <c r="B9562" s="128" t="n">
        <v>44101</v>
      </c>
      <c r="C9562" s="94">
        <f>TEXT(B9562,"aaa")</f>
        <v/>
      </c>
      <c r="D9562" s="60" t="n"/>
      <c r="E9562" s="60" t="inlineStr">
        <is>
          <t>어성초진정패키지</t>
        </is>
      </c>
      <c r="F9562" s="60" t="inlineStr">
        <is>
          <t>카페24</t>
        </is>
      </c>
      <c r="G9562" s="60" t="inlineStr">
        <is>
          <t>어성초 진정패키지세트</t>
        </is>
      </c>
      <c r="H9562" s="60" t="n">
        <v>200801</v>
      </c>
      <c r="I9562" s="60" t="n">
        <v>200801</v>
      </c>
      <c r="J9562" s="60" t="n"/>
      <c r="K9562" s="60" t="n">
        <v>4</v>
      </c>
      <c r="L9562" s="60" t="n">
        <v>200801</v>
      </c>
      <c r="M9562" s="94">
        <f>VLOOKUP($Q9562,매칭테이블!$F:$I,2,0)*K9562</f>
        <v/>
      </c>
      <c r="N9562" s="94">
        <f>M9562-M9562*VLOOKUP($Q9562,매칭테이블!$F:$I,3,0)</f>
        <v/>
      </c>
      <c r="O9562" s="94">
        <f>VLOOKUP($Q9562,매칭테이블!$F:$I,4,0)*K9562</f>
        <v/>
      </c>
      <c r="P9562" s="148">
        <f>M9562/1.1</f>
        <v/>
      </c>
      <c r="Q9562" s="94">
        <f>F9562&amp;E9562&amp;G9562&amp;L9562</f>
        <v/>
      </c>
    </row>
    <row r="9563" customFormat="1" s="94">
      <c r="B9563" s="128" t="n">
        <v>44101</v>
      </c>
      <c r="C9563" s="94">
        <f>TEXT(B9563,"aaa")</f>
        <v/>
      </c>
      <c r="D9563" s="60" t="n"/>
      <c r="E9563" s="60" t="inlineStr">
        <is>
          <t>클리어 패드</t>
        </is>
      </c>
      <c r="F9563" s="60" t="inlineStr">
        <is>
          <t>카페24</t>
        </is>
      </c>
      <c r="G9563" s="60" t="inlineStr">
        <is>
          <t>어성초 77 클리어 패드 1개-20% off</t>
        </is>
      </c>
      <c r="H9563" s="60" t="n">
        <v>200801</v>
      </c>
      <c r="I9563" s="60" t="n">
        <v>200801</v>
      </c>
      <c r="J9563" s="60" t="n"/>
      <c r="K9563" s="60" t="n">
        <v>31</v>
      </c>
      <c r="L9563" s="60" t="n">
        <v>200801</v>
      </c>
      <c r="M9563" s="94">
        <f>VLOOKUP($Q9563,매칭테이블!$F:$I,2,0)*K9563</f>
        <v/>
      </c>
      <c r="N9563" s="94">
        <f>M9563-M9563*VLOOKUP($Q9563,매칭테이블!$F:$I,3,0)</f>
        <v/>
      </c>
      <c r="O9563" s="94">
        <f>VLOOKUP($Q9563,매칭테이블!$F:$I,4,0)*K9563</f>
        <v/>
      </c>
      <c r="P9563" s="148">
        <f>M9563/1.1</f>
        <v/>
      </c>
      <c r="Q9563" s="94">
        <f>F9563&amp;E9563&amp;G9563&amp;L9563</f>
        <v/>
      </c>
    </row>
    <row r="9564" customFormat="1" s="94">
      <c r="B9564" s="128" t="n">
        <v>44101</v>
      </c>
      <c r="C9564" s="94">
        <f>TEXT(B9564,"aaa")</f>
        <v/>
      </c>
      <c r="D9564" s="60" t="n"/>
      <c r="E9564" s="60" t="inlineStr">
        <is>
          <t>클리어 패드</t>
        </is>
      </c>
      <c r="F9564" s="60" t="inlineStr">
        <is>
          <t>카페24</t>
        </is>
      </c>
      <c r="G9564" s="60" t="inlineStr">
        <is>
          <t>어성초 77 클리어 패드 2개-30% off</t>
        </is>
      </c>
      <c r="H9564" s="60" t="n">
        <v>200801</v>
      </c>
      <c r="I9564" s="60" t="n">
        <v>200801</v>
      </c>
      <c r="J9564" s="60" t="n"/>
      <c r="K9564" s="60" t="n">
        <v>16</v>
      </c>
      <c r="L9564" s="60" t="n">
        <v>200801</v>
      </c>
      <c r="M9564" s="94">
        <f>VLOOKUP($Q9564,매칭테이블!$F:$I,2,0)*K9564</f>
        <v/>
      </c>
      <c r="N9564" s="94">
        <f>M9564-M9564*VLOOKUP($Q9564,매칭테이블!$F:$I,3,0)</f>
        <v/>
      </c>
      <c r="O9564" s="94">
        <f>VLOOKUP($Q9564,매칭테이블!$F:$I,4,0)*K9564</f>
        <v/>
      </c>
      <c r="P9564" s="148">
        <f>M9564/1.1</f>
        <v/>
      </c>
      <c r="Q9564" s="94">
        <f>F9564&amp;E9564&amp;G9564&amp;L9564</f>
        <v/>
      </c>
    </row>
    <row r="9565" customFormat="1" s="94">
      <c r="B9565" s="128" t="n">
        <v>44101</v>
      </c>
      <c r="C9565" s="94">
        <f>TEXT(B9565,"aaa")</f>
        <v/>
      </c>
      <c r="D9565" s="60" t="n"/>
      <c r="E9565" s="60" t="inlineStr">
        <is>
          <t>토너+패드 세트</t>
        </is>
      </c>
      <c r="F9565" s="60" t="inlineStr">
        <is>
          <t>카페24</t>
        </is>
      </c>
      <c r="G9565" s="60" t="inlineStr">
        <is>
          <t>좁쌀 진정 세트 토너+클리어 패드-30% off</t>
        </is>
      </c>
      <c r="H9565" s="60" t="n">
        <v>200801</v>
      </c>
      <c r="I9565" s="60" t="n">
        <v>200801</v>
      </c>
      <c r="J9565" s="60" t="n"/>
      <c r="K9565" s="60" t="n">
        <v>25</v>
      </c>
      <c r="L9565" s="60" t="n">
        <v>200801</v>
      </c>
      <c r="M9565" s="94">
        <f>VLOOKUP($Q9565,매칭테이블!$F:$I,2,0)*K9565</f>
        <v/>
      </c>
      <c r="N9565" s="94">
        <f>M9565-M9565*VLOOKUP($Q9565,매칭테이블!$F:$I,3,0)</f>
        <v/>
      </c>
      <c r="O9565" s="94">
        <f>VLOOKUP($Q9565,매칭테이블!$F:$I,4,0)*K9565</f>
        <v/>
      </c>
      <c r="P9565" s="148">
        <f>M9565/1.1</f>
        <v/>
      </c>
      <c r="Q9565" s="94">
        <f>F9565&amp;E9565&amp;G9565&amp;L9565</f>
        <v/>
      </c>
    </row>
    <row r="9566" customFormat="1" s="94">
      <c r="B9566" s="128" t="n">
        <v>44101</v>
      </c>
      <c r="C9566" s="94">
        <f>TEXT(B9566,"aaa")</f>
        <v/>
      </c>
      <c r="D9566" s="60" t="n"/>
      <c r="E9566" s="60" t="inlineStr">
        <is>
          <t>수분 보충 세트</t>
        </is>
      </c>
      <c r="F9566" s="60" t="inlineStr">
        <is>
          <t>카페24</t>
        </is>
      </c>
      <c r="G9566" s="60" t="inlineStr">
        <is>
          <t>어성초 77 토너 250ml + 어성초 70 로션 200ml -30%</t>
        </is>
      </c>
      <c r="H9566" s="60" t="n">
        <v>200801</v>
      </c>
      <c r="I9566" s="60" t="n">
        <v>200801</v>
      </c>
      <c r="J9566" s="60" t="n"/>
      <c r="K9566" s="60" t="n">
        <v>29</v>
      </c>
      <c r="L9566" s="60" t="n">
        <v>200801</v>
      </c>
      <c r="M9566" s="94">
        <f>VLOOKUP($Q9566,매칭테이블!$F:$I,2,0)*K9566</f>
        <v/>
      </c>
      <c r="N9566" s="94">
        <f>M9566-M9566*VLOOKUP($Q9566,매칭테이블!$F:$I,3,0)</f>
        <v/>
      </c>
      <c r="O9566" s="94">
        <f>VLOOKUP($Q9566,매칭테이블!$F:$I,4,0)*K9566</f>
        <v/>
      </c>
      <c r="P9566" s="148">
        <f>M9566/1.1</f>
        <v/>
      </c>
      <c r="Q9566" s="94">
        <f>F9566&amp;E9566&amp;G9566&amp;L9566</f>
        <v/>
      </c>
    </row>
    <row r="9567" customFormat="1" s="94">
      <c r="B9567" s="128" t="n">
        <v>44101</v>
      </c>
      <c r="C9567" s="94">
        <f>TEXT(B9567,"aaa")</f>
        <v/>
      </c>
      <c r="D9567" s="60" t="n"/>
      <c r="E9567" s="60" t="inlineStr">
        <is>
          <t>로션</t>
        </is>
      </c>
      <c r="F9567" s="60" t="inlineStr">
        <is>
          <t>카페24</t>
        </is>
      </c>
      <c r="G9567" s="60" t="inlineStr">
        <is>
          <t>어성초 70 데일리 릴리프 로션 1개 -20% off</t>
        </is>
      </c>
      <c r="H9567" s="60" t="n">
        <v>200801</v>
      </c>
      <c r="I9567" s="60" t="n">
        <v>200801</v>
      </c>
      <c r="J9567" s="60" t="n"/>
      <c r="K9567" s="60" t="n">
        <v>3</v>
      </c>
      <c r="L9567" s="60" t="n">
        <v>200801</v>
      </c>
      <c r="M9567" s="94">
        <f>VLOOKUP($Q9567,매칭테이블!$F:$I,2,0)*K9567</f>
        <v/>
      </c>
      <c r="N9567" s="94">
        <f>M9567-M9567*VLOOKUP($Q9567,매칭테이블!$F:$I,3,0)</f>
        <v/>
      </c>
      <c r="O9567" s="94">
        <f>VLOOKUP($Q9567,매칭테이블!$F:$I,4,0)*K9567</f>
        <v/>
      </c>
      <c r="P9567" s="148">
        <f>M9567/1.1</f>
        <v/>
      </c>
      <c r="Q9567" s="94">
        <f>F9567&amp;E9567&amp;G9567&amp;L9567</f>
        <v/>
      </c>
    </row>
    <row r="9568" customFormat="1" s="94">
      <c r="B9568" s="128" t="n">
        <v>44101</v>
      </c>
      <c r="C9568" s="94">
        <f>TEXT(B9568,"aaa")</f>
        <v/>
      </c>
      <c r="D9568" s="60" t="n"/>
      <c r="E9568" s="60" t="inlineStr">
        <is>
          <t>로션</t>
        </is>
      </c>
      <c r="F9568" s="60" t="inlineStr">
        <is>
          <t>카페24</t>
        </is>
      </c>
      <c r="G9568" s="60" t="inlineStr">
        <is>
          <t>어성초 70 데일리 릴리프 로션 2개 -30% off</t>
        </is>
      </c>
      <c r="H9568" s="60" t="n">
        <v>200801</v>
      </c>
      <c r="I9568" s="60" t="n">
        <v>200801</v>
      </c>
      <c r="J9568" s="60" t="n"/>
      <c r="K9568" s="60" t="n">
        <v>2</v>
      </c>
      <c r="L9568" s="60" t="n">
        <v>200801</v>
      </c>
      <c r="M9568" s="94">
        <f>VLOOKUP($Q9568,매칭테이블!$F:$I,2,0)*K9568</f>
        <v/>
      </c>
      <c r="N9568" s="94">
        <f>M9568-M9568*VLOOKUP($Q9568,매칭테이블!$F:$I,3,0)</f>
        <v/>
      </c>
      <c r="O9568" s="94">
        <f>VLOOKUP($Q9568,매칭테이블!$F:$I,4,0)*K9568</f>
        <v/>
      </c>
      <c r="P9568" s="148">
        <f>M9568/1.1</f>
        <v/>
      </c>
      <c r="Q9568" s="94">
        <f>F9568&amp;E9568&amp;G9568&amp;L9568</f>
        <v/>
      </c>
    </row>
    <row r="9569" customFormat="1" s="94">
      <c r="B9569" s="128" t="n">
        <v>44101</v>
      </c>
      <c r="C9569" s="94">
        <f>TEXT(B9569,"aaa")</f>
        <v/>
      </c>
      <c r="D9569" s="60" t="n"/>
      <c r="E9569" s="60" t="inlineStr">
        <is>
          <t>머드크림마스크</t>
        </is>
      </c>
      <c r="F9569" s="60" t="inlineStr">
        <is>
          <t>카페24</t>
        </is>
      </c>
      <c r="G9569" s="60" t="inlineStr">
        <is>
          <t>머드크림마스크 100ml</t>
        </is>
      </c>
      <c r="H9569" s="60" t="n">
        <v>200801</v>
      </c>
      <c r="I9569" s="60" t="n">
        <v>200801</v>
      </c>
      <c r="J9569" s="60" t="n"/>
      <c r="K9569" s="60" t="n">
        <v>1</v>
      </c>
      <c r="L9569" s="60" t="n">
        <v>200801</v>
      </c>
      <c r="M9569" s="94">
        <f>VLOOKUP($Q9569,매칭테이블!$F:$I,2,0)*K9569</f>
        <v/>
      </c>
      <c r="N9569" s="94">
        <f>M9569-M9569*VLOOKUP($Q9569,매칭테이블!$F:$I,3,0)</f>
        <v/>
      </c>
      <c r="O9569" s="94">
        <f>VLOOKUP($Q9569,매칭테이블!$F:$I,4,0)*K9569</f>
        <v/>
      </c>
      <c r="P9569" s="148">
        <f>M9569/1.1</f>
        <v/>
      </c>
      <c r="Q9569" s="94">
        <f>F9569&amp;E9569&amp;G9569&amp;L9569</f>
        <v/>
      </c>
    </row>
    <row r="9570" customFormat="1" s="94">
      <c r="B9570" s="128" t="n">
        <v>44101</v>
      </c>
      <c r="C9570" s="94">
        <f>TEXT(B9570,"aaa")</f>
        <v/>
      </c>
      <c r="D9570" s="60" t="n"/>
      <c r="E9570" s="60" t="inlineStr">
        <is>
          <t>마스크팩</t>
        </is>
      </c>
      <c r="F9570" s="60" t="inlineStr">
        <is>
          <t>카페24</t>
        </is>
      </c>
      <c r="G9570" s="60" t="inlineStr">
        <is>
          <t>마스크팩 1매</t>
        </is>
      </c>
      <c r="H9570" s="60" t="n">
        <v>200801</v>
      </c>
      <c r="I9570" s="60" t="n">
        <v>200801</v>
      </c>
      <c r="J9570" s="60" t="n"/>
      <c r="K9570" s="60" t="n">
        <v>7</v>
      </c>
      <c r="L9570" s="60" t="n">
        <v>200801</v>
      </c>
      <c r="M9570" s="94">
        <f>VLOOKUP($Q9570,매칭테이블!$F:$I,2,0)*K9570</f>
        <v/>
      </c>
      <c r="N9570" s="94">
        <f>M9570-M9570*VLOOKUP($Q9570,매칭테이블!$F:$I,3,0)</f>
        <v/>
      </c>
      <c r="O9570" s="94">
        <f>VLOOKUP($Q9570,매칭테이블!$F:$I,4,0)*K9570</f>
        <v/>
      </c>
      <c r="P9570" s="148">
        <f>M9570/1.1</f>
        <v/>
      </c>
      <c r="Q9570" s="94">
        <f>F9570&amp;E9570&amp;G9570&amp;L9570</f>
        <v/>
      </c>
    </row>
    <row r="9571" customFormat="1" s="94">
      <c r="B9571" s="128" t="n">
        <v>44101</v>
      </c>
      <c r="C9571" s="94">
        <f>TEXT(B9571,"aaa")</f>
        <v/>
      </c>
      <c r="D9571" s="60" t="n"/>
      <c r="E9571" s="60" t="inlineStr">
        <is>
          <t>마스크팩</t>
        </is>
      </c>
      <c r="F9571" s="60" t="inlineStr">
        <is>
          <t>카페24</t>
        </is>
      </c>
      <c r="G9571" s="60" t="inlineStr">
        <is>
          <t>마스크팩 10매</t>
        </is>
      </c>
      <c r="H9571" s="60" t="n">
        <v>200801</v>
      </c>
      <c r="I9571" s="60" t="n">
        <v>200801</v>
      </c>
      <c r="J9571" s="60" t="n"/>
      <c r="K9571" s="60" t="n">
        <v>4</v>
      </c>
      <c r="L9571" s="60" t="n">
        <v>200801</v>
      </c>
      <c r="M9571" s="94">
        <f>VLOOKUP($Q9571,매칭테이블!$F:$I,2,0)*K9571</f>
        <v/>
      </c>
      <c r="N9571" s="94">
        <f>M9571-M9571*VLOOKUP($Q9571,매칭테이블!$F:$I,3,0)</f>
        <v/>
      </c>
      <c r="O9571" s="94">
        <f>VLOOKUP($Q9571,매칭테이블!$F:$I,4,0)*K9571</f>
        <v/>
      </c>
      <c r="P9571" s="148">
        <f>M9571/1.1</f>
        <v/>
      </c>
      <c r="Q9571" s="94">
        <f>F9571&amp;E9571&amp;G9571&amp;L9571</f>
        <v/>
      </c>
    </row>
    <row r="9572" customFormat="1" s="94">
      <c r="B9572" s="128" t="n">
        <v>44101</v>
      </c>
      <c r="C9572" s="94">
        <f>TEXT(B9572,"aaa")</f>
        <v/>
      </c>
      <c r="D9572" s="60" t="n"/>
      <c r="E9572" s="60" t="inlineStr">
        <is>
          <t>토너</t>
        </is>
      </c>
      <c r="F9572" s="60" t="inlineStr">
        <is>
          <t>카페24</t>
        </is>
      </c>
      <c r="G9572" s="60" t="inlineStr">
        <is>
          <t>250ml</t>
        </is>
      </c>
      <c r="H9572" s="60" t="n">
        <v>200801</v>
      </c>
      <c r="I9572" s="60" t="n">
        <v>200801</v>
      </c>
      <c r="J9572" s="60" t="n"/>
      <c r="K9572" s="60" t="n">
        <v>32</v>
      </c>
      <c r="L9572" s="60" t="n">
        <v>200801</v>
      </c>
      <c r="M9572" s="94">
        <f>VLOOKUP($Q9572,매칭테이블!$F:$I,2,0)*K9572</f>
        <v/>
      </c>
      <c r="N9572" s="94">
        <f>M9572-M9572*VLOOKUP($Q9572,매칭테이블!$F:$I,3,0)</f>
        <v/>
      </c>
      <c r="O9572" s="94">
        <f>VLOOKUP($Q9572,매칭테이블!$F:$I,4,0)*K9572</f>
        <v/>
      </c>
      <c r="P9572" s="148">
        <f>M9572/1.1</f>
        <v/>
      </c>
      <c r="Q9572" s="94">
        <f>F9572&amp;E9572&amp;G9572&amp;L9572</f>
        <v/>
      </c>
    </row>
    <row r="9573" customFormat="1" s="94">
      <c r="B9573" s="128" t="n">
        <v>44101</v>
      </c>
      <c r="C9573" s="94">
        <f>TEXT(B9573,"aaa")</f>
        <v/>
      </c>
      <c r="D9573" s="60" t="n"/>
      <c r="E9573" s="60" t="inlineStr">
        <is>
          <t>토너</t>
        </is>
      </c>
      <c r="F9573" s="60" t="inlineStr">
        <is>
          <t>카페24</t>
        </is>
      </c>
      <c r="G9573" s="60" t="inlineStr">
        <is>
          <t>250ml 2set</t>
        </is>
      </c>
      <c r="H9573" s="60" t="n">
        <v>200801</v>
      </c>
      <c r="I9573" s="60" t="n">
        <v>200801</v>
      </c>
      <c r="J9573" s="60" t="n"/>
      <c r="K9573" s="60" t="n">
        <v>22</v>
      </c>
      <c r="L9573" s="60" t="n">
        <v>200801</v>
      </c>
      <c r="M9573" s="94">
        <f>VLOOKUP($Q9573,매칭테이블!$F:$I,2,0)*K9573</f>
        <v/>
      </c>
      <c r="N9573" s="94">
        <f>M9573-M9573*VLOOKUP($Q9573,매칭테이블!$F:$I,3,0)</f>
        <v/>
      </c>
      <c r="O9573" s="94">
        <f>VLOOKUP($Q9573,매칭테이블!$F:$I,4,0)*K9573</f>
        <v/>
      </c>
      <c r="P9573" s="148">
        <f>M9573/1.1</f>
        <v/>
      </c>
      <c r="Q9573" s="94">
        <f>F9573&amp;E9573&amp;G9573&amp;L9573</f>
        <v/>
      </c>
    </row>
    <row r="9574" customFormat="1" s="94">
      <c r="B9574" s="128" t="n">
        <v>44101</v>
      </c>
      <c r="C9574" s="94">
        <f>TEXT(B9574,"aaa")</f>
        <v/>
      </c>
      <c r="D9574" s="60" t="n"/>
      <c r="E9574" s="60" t="inlineStr">
        <is>
          <t>토너</t>
        </is>
      </c>
      <c r="F9574" s="60" t="inlineStr">
        <is>
          <t>카페24</t>
        </is>
      </c>
      <c r="G9574" s="60" t="inlineStr">
        <is>
          <t>500ml</t>
        </is>
      </c>
      <c r="H9574" s="60" t="n">
        <v>200801</v>
      </c>
      <c r="I9574" s="60" t="n">
        <v>200801</v>
      </c>
      <c r="J9574" s="60" t="n"/>
      <c r="K9574" s="60" t="n">
        <v>33</v>
      </c>
      <c r="L9574" s="60" t="n">
        <v>200801</v>
      </c>
      <c r="M9574" s="94">
        <f>VLOOKUP($Q9574,매칭테이블!$F:$I,2,0)*K9574</f>
        <v/>
      </c>
      <c r="N9574" s="94">
        <f>M9574-M9574*VLOOKUP($Q9574,매칭테이블!$F:$I,3,0)</f>
        <v/>
      </c>
      <c r="O9574" s="94">
        <f>VLOOKUP($Q9574,매칭테이블!$F:$I,4,0)*K9574</f>
        <v/>
      </c>
      <c r="P9574" s="148">
        <f>M9574/1.1</f>
        <v/>
      </c>
      <c r="Q9574" s="94">
        <f>F9574&amp;E9574&amp;G9574&amp;L9574</f>
        <v/>
      </c>
    </row>
    <row r="9575" customFormat="1" s="94">
      <c r="B9575" s="128" t="n">
        <v>44101</v>
      </c>
      <c r="C9575" s="94">
        <f>TEXT(B9575,"aaa")</f>
        <v/>
      </c>
      <c r="D9575" s="60" t="n"/>
      <c r="E9575" s="60" t="inlineStr">
        <is>
          <t>토너</t>
        </is>
      </c>
      <c r="F9575" s="60" t="inlineStr">
        <is>
          <t>카페24</t>
        </is>
      </c>
      <c r="G9575" s="60" t="inlineStr">
        <is>
          <t>스킨팩 화장솜 60P</t>
        </is>
      </c>
      <c r="H9575" s="60" t="n">
        <v>200801</v>
      </c>
      <c r="I9575" s="60" t="n">
        <v>200801</v>
      </c>
      <c r="J9575" s="60" t="n"/>
      <c r="K9575" s="60" t="n">
        <v>29</v>
      </c>
      <c r="L9575" s="60" t="n">
        <v>200801</v>
      </c>
      <c r="M9575" s="94">
        <f>VLOOKUP($Q9575,매칭테이블!$F:$I,2,0)*K9575</f>
        <v/>
      </c>
      <c r="N9575" s="94">
        <f>M9575-M9575*VLOOKUP($Q9575,매칭테이블!$F:$I,3,0)</f>
        <v/>
      </c>
      <c r="O9575" s="94">
        <f>VLOOKUP($Q9575,매칭테이블!$F:$I,4,0)*K9575</f>
        <v/>
      </c>
      <c r="P9575" s="148">
        <f>M9575/1.1</f>
        <v/>
      </c>
      <c r="Q9575" s="94">
        <f>F9575&amp;E9575&amp;G9575&amp;L9575</f>
        <v/>
      </c>
    </row>
    <row r="9576" customFormat="1" s="94">
      <c r="B9576" s="128" t="n">
        <v>44101</v>
      </c>
      <c r="C9576" s="94">
        <f>TEXT(B9576,"aaa")</f>
        <v/>
      </c>
      <c r="D9576" s="60" t="n"/>
      <c r="E9576" s="60" t="inlineStr">
        <is>
          <t>앰플</t>
        </is>
      </c>
      <c r="F9576" s="60" t="inlineStr">
        <is>
          <t>카페24</t>
        </is>
      </c>
      <c r="G9576" s="60" t="inlineStr">
        <is>
          <t>앰플 30ml</t>
        </is>
      </c>
      <c r="H9576" s="60" t="n">
        <v>200801</v>
      </c>
      <c r="I9576" s="60" t="n">
        <v>200801</v>
      </c>
      <c r="J9576" s="60" t="n"/>
      <c r="K9576" s="60" t="n">
        <v>17</v>
      </c>
      <c r="L9576" s="60" t="n">
        <v>200801</v>
      </c>
      <c r="M9576" s="94">
        <f>VLOOKUP($Q9576,매칭테이블!$F:$I,2,0)*K9576</f>
        <v/>
      </c>
      <c r="N9576" s="94">
        <f>M9576-M9576*VLOOKUP($Q9576,매칭테이블!$F:$I,3,0)</f>
        <v/>
      </c>
      <c r="O9576" s="94">
        <f>VLOOKUP($Q9576,매칭테이블!$F:$I,4,0)*K9576</f>
        <v/>
      </c>
      <c r="P9576" s="148">
        <f>M9576/1.1</f>
        <v/>
      </c>
      <c r="Q9576" s="94">
        <f>F9576&amp;E9576&amp;G9576&amp;L9576</f>
        <v/>
      </c>
    </row>
    <row r="9577" customFormat="1" s="94">
      <c r="B9577" s="128" t="n">
        <v>44101</v>
      </c>
      <c r="C9577" s="94">
        <f>TEXT(B9577,"aaa")</f>
        <v/>
      </c>
      <c r="D9577" s="60" t="n"/>
      <c r="E9577" s="60" t="inlineStr">
        <is>
          <t>앰플</t>
        </is>
      </c>
      <c r="F9577" s="60" t="inlineStr">
        <is>
          <t>카페24</t>
        </is>
      </c>
      <c r="G9577" s="60" t="inlineStr">
        <is>
          <t>앰플 30ml  2set</t>
        </is>
      </c>
      <c r="H9577" s="60" t="n">
        <v>200801</v>
      </c>
      <c r="I9577" s="60" t="n">
        <v>200801</v>
      </c>
      <c r="J9577" s="60" t="n"/>
      <c r="K9577" s="60" t="n">
        <v>3</v>
      </c>
      <c r="L9577" s="60" t="n">
        <v>200801</v>
      </c>
      <c r="M9577" s="94">
        <f>VLOOKUP($Q9577,매칭테이블!$F:$I,2,0)*K9577</f>
        <v/>
      </c>
      <c r="N9577" s="94">
        <f>M9577-M9577*VLOOKUP($Q9577,매칭테이블!$F:$I,3,0)</f>
        <v/>
      </c>
      <c r="O9577" s="94">
        <f>VLOOKUP($Q9577,매칭테이블!$F:$I,4,0)*K9577</f>
        <v/>
      </c>
      <c r="P9577" s="148">
        <f>M9577/1.1</f>
        <v/>
      </c>
      <c r="Q9577" s="94">
        <f>F9577&amp;E9577&amp;G9577&amp;L9577</f>
        <v/>
      </c>
    </row>
    <row r="9578" customFormat="1" s="94">
      <c r="B9578" s="128" t="n">
        <v>44101</v>
      </c>
      <c r="C9578" s="94">
        <f>TEXT(B9578,"aaa")</f>
        <v/>
      </c>
      <c r="D9578" s="60" t="n"/>
      <c r="E9578" s="60" t="inlineStr">
        <is>
          <t>수딩크림</t>
        </is>
      </c>
      <c r="F9578" s="60" t="inlineStr">
        <is>
          <t>카페24</t>
        </is>
      </c>
      <c r="G9578" s="60" t="inlineStr">
        <is>
          <t>수딩크림 100ml</t>
        </is>
      </c>
      <c r="H9578" s="60" t="n">
        <v>200801</v>
      </c>
      <c r="I9578" s="60" t="n">
        <v>200801</v>
      </c>
      <c r="J9578" s="60" t="n"/>
      <c r="K9578" s="60" t="n">
        <v>2</v>
      </c>
      <c r="L9578" s="60" t="n">
        <v>200801</v>
      </c>
      <c r="M9578" s="94">
        <f>VLOOKUP($Q9578,매칭테이블!$F:$I,2,0)*K9578</f>
        <v/>
      </c>
      <c r="N9578" s="94">
        <f>M9578-M9578*VLOOKUP($Q9578,매칭테이블!$F:$I,3,0)</f>
        <v/>
      </c>
      <c r="O9578" s="94">
        <f>VLOOKUP($Q9578,매칭테이블!$F:$I,4,0)*K9578</f>
        <v/>
      </c>
      <c r="P9578" s="148">
        <f>M9578/1.1</f>
        <v/>
      </c>
      <c r="Q9578" s="94">
        <f>F9578&amp;E9578&amp;G9578&amp;L9578</f>
        <v/>
      </c>
    </row>
    <row r="9579" customFormat="1" s="94">
      <c r="B9579" s="128" t="n">
        <v>44101</v>
      </c>
      <c r="C9579" s="94">
        <f>TEXT(B9579,"aaa")</f>
        <v/>
      </c>
      <c r="D9579" s="60" t="n"/>
      <c r="E9579" s="60" t="inlineStr">
        <is>
          <t>클렌징폼</t>
        </is>
      </c>
      <c r="F9579" s="60" t="inlineStr">
        <is>
          <t>카페24</t>
        </is>
      </c>
      <c r="G9579" s="60" t="inlineStr">
        <is>
          <t>클렌징폼 120ml</t>
        </is>
      </c>
      <c r="H9579" s="60" t="n">
        <v>200801</v>
      </c>
      <c r="I9579" s="60" t="n">
        <v>200801</v>
      </c>
      <c r="J9579" s="60" t="n"/>
      <c r="K9579" s="60" t="n">
        <v>4</v>
      </c>
      <c r="L9579" s="60" t="n">
        <v>200801</v>
      </c>
      <c r="M9579" s="94">
        <f>VLOOKUP($Q9579,매칭테이블!$F:$I,2,0)*K9579</f>
        <v/>
      </c>
      <c r="N9579" s="94">
        <f>M9579-M9579*VLOOKUP($Q9579,매칭테이블!$F:$I,3,0)</f>
        <v/>
      </c>
      <c r="O9579" s="94">
        <f>VLOOKUP($Q9579,매칭테이블!$F:$I,4,0)*K9579</f>
        <v/>
      </c>
      <c r="P9579" s="148">
        <f>M9579/1.1</f>
        <v/>
      </c>
      <c r="Q9579" s="94">
        <f>F9579&amp;E9579&amp;G9579&amp;L9579</f>
        <v/>
      </c>
    </row>
    <row r="9580" customFormat="1" s="94">
      <c r="B9580" s="128" t="n">
        <v>44101</v>
      </c>
      <c r="C9580" s="94">
        <f>TEXT(B9580,"aaa")</f>
        <v/>
      </c>
      <c r="D9580" s="60" t="n"/>
      <c r="E9580" s="60" t="inlineStr">
        <is>
          <t>클렌징폼</t>
        </is>
      </c>
      <c r="F9580" s="60" t="inlineStr">
        <is>
          <t>카페24</t>
        </is>
      </c>
      <c r="G9580" s="60" t="inlineStr">
        <is>
          <t>클렌징폼 120ml 3set</t>
        </is>
      </c>
      <c r="H9580" s="60" t="n">
        <v>200801</v>
      </c>
      <c r="I9580" s="60" t="n">
        <v>200801</v>
      </c>
      <c r="J9580" s="60" t="n"/>
      <c r="K9580" s="60" t="n">
        <v>1</v>
      </c>
      <c r="L9580" s="60" t="n">
        <v>200801</v>
      </c>
      <c r="M9580" s="94">
        <f>VLOOKUP($Q9580,매칭테이블!$F:$I,2,0)*K9580</f>
        <v/>
      </c>
      <c r="N9580" s="94">
        <f>M9580-M9580*VLOOKUP($Q9580,매칭테이블!$F:$I,3,0)</f>
        <v/>
      </c>
      <c r="O9580" s="94">
        <f>VLOOKUP($Q9580,매칭테이블!$F:$I,4,0)*K9580</f>
        <v/>
      </c>
      <c r="P9580" s="148">
        <f>M9580/1.1</f>
        <v/>
      </c>
      <c r="Q9580" s="94">
        <f>F9580&amp;E9580&amp;G9580&amp;L9580</f>
        <v/>
      </c>
    </row>
    <row r="9581" customFormat="1" s="94">
      <c r="B9581" s="128" t="n">
        <v>44101</v>
      </c>
      <c r="C9581" s="94">
        <f>TEXT(B9581,"aaa")</f>
        <v/>
      </c>
      <c r="D9581" s="60" t="n"/>
      <c r="E9581" s="60" t="inlineStr">
        <is>
          <t>바디워시</t>
        </is>
      </c>
      <c r="F9581" s="60" t="inlineStr">
        <is>
          <t>카페24</t>
        </is>
      </c>
      <c r="G9581" s="60" t="inlineStr">
        <is>
          <t>바디워시 1개 -30% off</t>
        </is>
      </c>
      <c r="H9581" s="60" t="n">
        <v>200801</v>
      </c>
      <c r="I9581" s="60" t="n">
        <v>200801</v>
      </c>
      <c r="J9581" s="60" t="n"/>
      <c r="K9581" s="60" t="n">
        <v>2</v>
      </c>
      <c r="L9581" s="60" t="n">
        <v>200801</v>
      </c>
      <c r="M9581" s="94">
        <f>VLOOKUP($Q9581,매칭테이블!$F:$I,2,0)*K9581</f>
        <v/>
      </c>
      <c r="N9581" s="94">
        <f>M9581-M9581*VLOOKUP($Q9581,매칭테이블!$F:$I,3,0)</f>
        <v/>
      </c>
      <c r="O9581" s="94">
        <f>VLOOKUP($Q9581,매칭테이블!$F:$I,4,0)*K9581</f>
        <v/>
      </c>
      <c r="P9581" s="148">
        <f>M9581/1.1</f>
        <v/>
      </c>
      <c r="Q9581" s="94">
        <f>F9581&amp;E9581&amp;G9581&amp;L9581</f>
        <v/>
      </c>
    </row>
    <row r="9582" customFormat="1" s="94">
      <c r="B9582" s="128" t="n">
        <v>44101</v>
      </c>
      <c r="C9582" s="94">
        <f>TEXT(B9582,"aaa")</f>
        <v/>
      </c>
      <c r="D9582" s="60" t="n"/>
      <c r="E9582" s="60" t="inlineStr">
        <is>
          <t>바디워시</t>
        </is>
      </c>
      <c r="F9582" s="60" t="inlineStr">
        <is>
          <t>카페24</t>
        </is>
      </c>
      <c r="G9582" s="60" t="inlineStr">
        <is>
          <t>바디워시 2개 -35% off (무료배송)</t>
        </is>
      </c>
      <c r="H9582" s="60" t="n">
        <v>200801</v>
      </c>
      <c r="I9582" s="60" t="n">
        <v>200801</v>
      </c>
      <c r="J9582" s="60" t="n"/>
      <c r="K9582" s="60" t="n">
        <v>2</v>
      </c>
      <c r="L9582" s="60" t="n">
        <v>200801</v>
      </c>
      <c r="M9582" s="94">
        <f>VLOOKUP($Q9582,매칭테이블!$F:$I,2,0)*K9582</f>
        <v/>
      </c>
      <c r="N9582" s="94">
        <f>M9582-M9582*VLOOKUP($Q9582,매칭테이블!$F:$I,3,0)</f>
        <v/>
      </c>
      <c r="O9582" s="94">
        <f>VLOOKUP($Q9582,매칭테이블!$F:$I,4,0)*K9582</f>
        <v/>
      </c>
      <c r="P9582" s="148">
        <f>M9582/1.1</f>
        <v/>
      </c>
      <c r="Q9582" s="94">
        <f>F9582&amp;E9582&amp;G9582&amp;L9582</f>
        <v/>
      </c>
    </row>
    <row r="9583" customFormat="1" s="94">
      <c r="B9583" s="128" t="n">
        <v>44101</v>
      </c>
      <c r="C9583" s="94">
        <f>TEXT(B9583,"aaa")</f>
        <v/>
      </c>
      <c r="D9583" s="60" t="n"/>
      <c r="E9583" s="60" t="inlineStr">
        <is>
          <t>토너</t>
        </is>
      </c>
      <c r="F9583" s="60" t="inlineStr">
        <is>
          <t>랄라블라</t>
        </is>
      </c>
      <c r="G9583" s="60" t="inlineStr">
        <is>
          <t>250ml</t>
        </is>
      </c>
      <c r="H9583" s="60" t="n">
        <v>200801</v>
      </c>
      <c r="I9583" s="60" t="n">
        <v>200801</v>
      </c>
      <c r="J9583" s="60" t="n"/>
      <c r="K9583" s="60" t="n">
        <v>648</v>
      </c>
      <c r="L9583" s="60" t="n">
        <v>200801</v>
      </c>
      <c r="M9583" s="94">
        <f>VLOOKUP($Q9583,매칭테이블!$F:$I,2,0)*K9583</f>
        <v/>
      </c>
      <c r="N9583" s="94">
        <f>M9583-M9583*VLOOKUP($Q9583,매칭테이블!$F:$I,3,0)</f>
        <v/>
      </c>
      <c r="O9583" s="94">
        <f>VLOOKUP($Q9583,매칭테이블!$F:$I,4,0)*K9583</f>
        <v/>
      </c>
      <c r="P9583" s="148">
        <f>M9583/1.1</f>
        <v/>
      </c>
      <c r="Q9583" s="94">
        <f>F9583&amp;E9583&amp;G9583&amp;L9583</f>
        <v/>
      </c>
    </row>
    <row r="9584" customFormat="1" s="94">
      <c r="B9584" s="128" t="n">
        <v>44101</v>
      </c>
      <c r="C9584" s="94">
        <f>TEXT(B9584,"aaa")</f>
        <v/>
      </c>
      <c r="D9584" s="60" t="n"/>
      <c r="E9584" s="60" t="inlineStr">
        <is>
          <t>토너</t>
        </is>
      </c>
      <c r="F9584" s="60" t="inlineStr">
        <is>
          <t>랄라블라</t>
        </is>
      </c>
      <c r="G9584" s="60" t="inlineStr">
        <is>
          <t>500ml</t>
        </is>
      </c>
      <c r="H9584" s="60" t="n">
        <v>200801</v>
      </c>
      <c r="I9584" s="60" t="n">
        <v>200801</v>
      </c>
      <c r="J9584" s="60" t="n"/>
      <c r="K9584" s="60" t="n">
        <v>66</v>
      </c>
      <c r="L9584" s="60" t="n">
        <v>200801</v>
      </c>
      <c r="M9584" s="94">
        <f>VLOOKUP($Q9584,매칭테이블!$F:$I,2,0)*K9584</f>
        <v/>
      </c>
      <c r="N9584" s="94">
        <f>M9584-M9584*VLOOKUP($Q9584,매칭테이블!$F:$I,3,0)</f>
        <v/>
      </c>
      <c r="O9584" s="94">
        <f>VLOOKUP($Q9584,매칭테이블!$F:$I,4,0)*K9584</f>
        <v/>
      </c>
      <c r="P9584" s="148">
        <f>M9584/1.1</f>
        <v/>
      </c>
      <c r="Q9584" s="94">
        <f>F9584&amp;E9584&amp;G9584&amp;L9584</f>
        <v/>
      </c>
    </row>
    <row r="9585" customFormat="1" s="94">
      <c r="B9585" s="128" t="n">
        <v>44101</v>
      </c>
      <c r="C9585" s="94">
        <f>TEXT(B9585,"aaa")</f>
        <v/>
      </c>
      <c r="D9585" s="60" t="n"/>
      <c r="E9585" s="60" t="inlineStr">
        <is>
          <t>마스크팩</t>
        </is>
      </c>
      <c r="F9585" s="60" t="inlineStr">
        <is>
          <t>랄라블라</t>
        </is>
      </c>
      <c r="G9585" s="60" t="inlineStr">
        <is>
          <t>마스크팩 1매</t>
        </is>
      </c>
      <c r="H9585" s="60" t="n">
        <v>200801</v>
      </c>
      <c r="I9585" s="60" t="n">
        <v>200801</v>
      </c>
      <c r="J9585" s="60" t="n"/>
      <c r="K9585" s="60" t="n">
        <v>416</v>
      </c>
      <c r="L9585" s="60" t="n">
        <v>200801</v>
      </c>
      <c r="M9585" s="94">
        <f>VLOOKUP($Q9585,매칭테이블!$F:$I,2,0)*K9585</f>
        <v/>
      </c>
      <c r="N9585" s="94">
        <f>M9585-M9585*VLOOKUP($Q9585,매칭테이블!$F:$I,3,0)</f>
        <v/>
      </c>
      <c r="O9585" s="94">
        <f>VLOOKUP($Q9585,매칭테이블!$F:$I,4,0)*K9585</f>
        <v/>
      </c>
      <c r="P9585" s="148">
        <f>M9585/1.1</f>
        <v/>
      </c>
      <c r="Q9585" s="94">
        <f>F9585&amp;E9585&amp;G9585&amp;L9585</f>
        <v/>
      </c>
    </row>
    <row r="9586" customFormat="1" s="94">
      <c r="B9586" s="128" t="n">
        <v>44101</v>
      </c>
      <c r="C9586" s="94">
        <f>TEXT(B9586,"aaa")</f>
        <v/>
      </c>
      <c r="D9586" s="60" t="n"/>
      <c r="E9586" s="60" t="inlineStr">
        <is>
          <t>수딩크림 증정기획</t>
        </is>
      </c>
      <c r="F9586" s="60" t="inlineStr">
        <is>
          <t>랄라블라</t>
        </is>
      </c>
      <c r="G9586" s="60" t="inlineStr">
        <is>
          <t>수딩크림 증정기획</t>
        </is>
      </c>
      <c r="H9586" s="60" t="n">
        <v>200801</v>
      </c>
      <c r="I9586" s="60" t="n">
        <v>200801</v>
      </c>
      <c r="J9586" s="60" t="n"/>
      <c r="K9586" s="60" t="n">
        <v>29</v>
      </c>
      <c r="L9586" s="60" t="n">
        <v>200801</v>
      </c>
      <c r="M9586" s="94">
        <f>VLOOKUP($Q9586,매칭테이블!$F:$I,2,0)*K9586</f>
        <v/>
      </c>
      <c r="N9586" s="94">
        <f>M9586-M9586*VLOOKUP($Q9586,매칭테이블!$F:$I,3,0)</f>
        <v/>
      </c>
      <c r="O9586" s="94">
        <f>VLOOKUP($Q9586,매칭테이블!$F:$I,4,0)*K9586</f>
        <v/>
      </c>
      <c r="P9586" s="148">
        <f>M9586/1.1</f>
        <v/>
      </c>
      <c r="Q9586" s="94">
        <f>F9586&amp;E9586&amp;G9586&amp;L9586</f>
        <v/>
      </c>
    </row>
    <row r="9587" customFormat="1" s="94">
      <c r="B9587" s="128" t="n">
        <v>44101</v>
      </c>
      <c r="C9587" s="94">
        <f>TEXT(B9587,"aaa")</f>
        <v/>
      </c>
      <c r="D9587" s="60" t="n"/>
      <c r="E9587" s="60" t="inlineStr">
        <is>
          <t>수딩크림</t>
        </is>
      </c>
      <c r="F9587" s="60" t="inlineStr">
        <is>
          <t>랄라블라</t>
        </is>
      </c>
      <c r="G9587" s="60" t="inlineStr">
        <is>
          <t>수딩크림 100ml</t>
        </is>
      </c>
      <c r="H9587" s="60" t="n">
        <v>200801</v>
      </c>
      <c r="I9587" s="60" t="n">
        <v>200801</v>
      </c>
      <c r="J9587" s="60" t="n"/>
      <c r="K9587" s="60" t="n">
        <v>44</v>
      </c>
      <c r="L9587" s="60" t="n">
        <v>200801</v>
      </c>
      <c r="M9587" s="94">
        <f>VLOOKUP($Q9587,매칭테이블!$F:$I,2,0)*K9587</f>
        <v/>
      </c>
      <c r="N9587" s="94">
        <f>M9587-M9587*VLOOKUP($Q9587,매칭테이블!$F:$I,3,0)</f>
        <v/>
      </c>
      <c r="O9587" s="94">
        <f>VLOOKUP($Q9587,매칭테이블!$F:$I,4,0)*K9587</f>
        <v/>
      </c>
      <c r="P9587" s="148">
        <f>M9587/1.1</f>
        <v/>
      </c>
      <c r="Q9587" s="94">
        <f>F9587&amp;E9587&amp;G9587&amp;L9587</f>
        <v/>
      </c>
    </row>
    <row r="9588" customFormat="1" s="94">
      <c r="B9588" s="128" t="n">
        <v>44101</v>
      </c>
      <c r="C9588" s="94">
        <f>TEXT(B9588,"aaa")</f>
        <v/>
      </c>
      <c r="D9588" s="60" t="n"/>
      <c r="E9588" s="60" t="inlineStr">
        <is>
          <t>앰플 기획세트</t>
        </is>
      </c>
      <c r="F9588" s="60" t="inlineStr">
        <is>
          <t>랄라블라</t>
        </is>
      </c>
      <c r="G9588" s="60" t="inlineStr">
        <is>
          <t>앰플 기획세트</t>
        </is>
      </c>
      <c r="H9588" s="60" t="n">
        <v>200801</v>
      </c>
      <c r="I9588" s="60" t="n">
        <v>200801</v>
      </c>
      <c r="J9588" s="60" t="n"/>
      <c r="K9588" s="60" t="n">
        <v>131</v>
      </c>
      <c r="L9588" s="60" t="n">
        <v>200801</v>
      </c>
      <c r="M9588" s="94">
        <f>VLOOKUP($Q9588,매칭테이블!$F:$I,2,0)*K9588</f>
        <v/>
      </c>
      <c r="N9588" s="94">
        <f>M9588-M9588*VLOOKUP($Q9588,매칭테이블!$F:$I,3,0)</f>
        <v/>
      </c>
      <c r="O9588" s="94">
        <f>VLOOKUP($Q9588,매칭테이블!$F:$I,4,0)*K9588</f>
        <v/>
      </c>
      <c r="P9588" s="148">
        <f>M9588/1.1</f>
        <v/>
      </c>
      <c r="Q9588" s="94">
        <f>F9588&amp;E9588&amp;G9588&amp;L9588</f>
        <v/>
      </c>
    </row>
    <row r="9589" customFormat="1" s="94">
      <c r="B9589" s="128" t="n">
        <v>44101</v>
      </c>
      <c r="C9589" s="94">
        <f>TEXT(B9589,"aaa")</f>
        <v/>
      </c>
      <c r="D9589" s="60" t="n"/>
      <c r="E9589" s="60" t="inlineStr">
        <is>
          <t>클렌징폼 기획세트</t>
        </is>
      </c>
      <c r="F9589" s="60" t="inlineStr">
        <is>
          <t>랄라블라</t>
        </is>
      </c>
      <c r="G9589" s="60" t="inlineStr">
        <is>
          <t>클렌징폼 기획세트</t>
        </is>
      </c>
      <c r="H9589" s="60" t="n">
        <v>200801</v>
      </c>
      <c r="I9589" s="60" t="n">
        <v>200801</v>
      </c>
      <c r="J9589" s="60" t="n"/>
      <c r="K9589" s="60" t="n">
        <v>13</v>
      </c>
      <c r="L9589" s="60" t="n">
        <v>200801</v>
      </c>
      <c r="M9589" s="94">
        <f>VLOOKUP($Q9589,매칭테이블!$F:$I,2,0)*K9589</f>
        <v/>
      </c>
      <c r="N9589" s="94">
        <f>M9589-M9589*VLOOKUP($Q9589,매칭테이블!$F:$I,3,0)</f>
        <v/>
      </c>
      <c r="O9589" s="94">
        <f>VLOOKUP($Q9589,매칭테이블!$F:$I,4,0)*K9589</f>
        <v/>
      </c>
      <c r="P9589" s="148">
        <f>M9589/1.1</f>
        <v/>
      </c>
      <c r="Q9589" s="94">
        <f>F9589&amp;E9589&amp;G9589&amp;L9589</f>
        <v/>
      </c>
    </row>
    <row r="9590" customFormat="1" s="94">
      <c r="B9590" s="128" t="n">
        <v>44101</v>
      </c>
      <c r="C9590" s="94">
        <f>TEXT(B9590,"aaa")</f>
        <v/>
      </c>
      <c r="D9590" s="60" t="n"/>
      <c r="E9590" s="60" t="inlineStr">
        <is>
          <t>클렌징폼</t>
        </is>
      </c>
      <c r="F9590" s="60" t="inlineStr">
        <is>
          <t>랄라블라</t>
        </is>
      </c>
      <c r="G9590" s="60" t="inlineStr">
        <is>
          <t>클렌징폼 120ml</t>
        </is>
      </c>
      <c r="H9590" s="60" t="n">
        <v>200801</v>
      </c>
      <c r="I9590" s="60" t="n">
        <v>200801</v>
      </c>
      <c r="J9590" s="60" t="n"/>
      <c r="K9590" s="60" t="n">
        <v>43</v>
      </c>
      <c r="L9590" s="60" t="n">
        <v>200801</v>
      </c>
      <c r="M9590" s="94">
        <f>VLOOKUP($Q9590,매칭테이블!$F:$I,2,0)*K9590</f>
        <v/>
      </c>
      <c r="N9590" s="94">
        <f>M9590-M9590*VLOOKUP($Q9590,매칭테이블!$F:$I,3,0)</f>
        <v/>
      </c>
      <c r="O9590" s="94">
        <f>VLOOKUP($Q9590,매칭테이블!$F:$I,4,0)*K9590</f>
        <v/>
      </c>
      <c r="P9590" s="148">
        <f>M9590/1.1</f>
        <v/>
      </c>
      <c r="Q9590" s="94">
        <f>F9590&amp;E9590&amp;G9590&amp;L9590</f>
        <v/>
      </c>
    </row>
    <row r="9591" customFormat="1" s="94">
      <c r="B9591" s="128" t="n">
        <v>44101</v>
      </c>
      <c r="C9591" s="94">
        <f>TEXT(B9591,"aaa")</f>
        <v/>
      </c>
      <c r="D9591" s="60" t="n"/>
      <c r="E9591" s="60" t="inlineStr">
        <is>
          <t>토너 증정기획</t>
        </is>
      </c>
      <c r="F9591" s="60" t="inlineStr">
        <is>
          <t>랄라블라</t>
        </is>
      </c>
      <c r="G9591" s="60" t="inlineStr">
        <is>
          <t>토너 증정기획</t>
        </is>
      </c>
      <c r="H9591" s="60" t="n">
        <v>200801</v>
      </c>
      <c r="I9591" s="60" t="n">
        <v>200801</v>
      </c>
      <c r="J9591" s="60" t="n"/>
      <c r="K9591" s="60" t="n">
        <v>1</v>
      </c>
      <c r="L9591" s="60" t="n">
        <v>200801</v>
      </c>
      <c r="M9591" s="94">
        <f>VLOOKUP($Q9591,매칭테이블!$F:$I,2,0)*K9591</f>
        <v/>
      </c>
      <c r="N9591" s="94">
        <f>M9591-M9591*VLOOKUP($Q9591,매칭테이블!$F:$I,3,0)</f>
        <v/>
      </c>
      <c r="O9591" s="94">
        <f>VLOOKUP($Q9591,매칭테이블!$F:$I,4,0)*K9591</f>
        <v/>
      </c>
      <c r="P9591" s="148">
        <f>M9591/1.1</f>
        <v/>
      </c>
      <c r="Q9591" s="94">
        <f>F9591&amp;E9591&amp;G9591&amp;L9591</f>
        <v/>
      </c>
    </row>
    <row r="9592" customFormat="1" s="94">
      <c r="B9592" s="128" t="n">
        <v>44101</v>
      </c>
      <c r="C9592" s="94">
        <f>TEXT(B9592,"aaa")</f>
        <v/>
      </c>
      <c r="D9592" s="60" t="n"/>
      <c r="E9592" s="60" t="inlineStr">
        <is>
          <t>선크림</t>
        </is>
      </c>
      <c r="F9592" s="60" t="inlineStr">
        <is>
          <t>랄라블라</t>
        </is>
      </c>
      <c r="G9592" s="60" t="inlineStr">
        <is>
          <t>선크림 50ml</t>
        </is>
      </c>
      <c r="H9592" s="60" t="n">
        <v>200801</v>
      </c>
      <c r="I9592" s="60" t="n">
        <v>200801</v>
      </c>
      <c r="J9592" s="60" t="n"/>
      <c r="K9592" s="60" t="n">
        <v>14</v>
      </c>
      <c r="L9592" s="60" t="n">
        <v>200801</v>
      </c>
      <c r="M9592" s="94">
        <f>VLOOKUP($Q9592,매칭테이블!$F:$I,2,0)*K9592</f>
        <v/>
      </c>
      <c r="N9592" s="94">
        <f>M9592-M9592*VLOOKUP($Q9592,매칭테이블!$F:$I,3,0)</f>
        <v/>
      </c>
      <c r="O9592" s="94">
        <f>VLOOKUP($Q9592,매칭테이블!$F:$I,4,0)*K9592</f>
        <v/>
      </c>
      <c r="P9592" s="148">
        <f>M9592/1.1</f>
        <v/>
      </c>
      <c r="Q9592" s="94">
        <f>F9592&amp;E9592&amp;G9592&amp;L9592</f>
        <v/>
      </c>
    </row>
    <row r="9593" customFormat="1" s="94">
      <c r="B9593" s="128" t="n">
        <v>44101</v>
      </c>
      <c r="C9593" s="94">
        <f>TEXT(B9593,"aaa")</f>
        <v/>
      </c>
      <c r="D9593" s="60" t="n"/>
      <c r="E9593" s="60" t="inlineStr">
        <is>
          <t>대용량 기획세트</t>
        </is>
      </c>
      <c r="F9593" s="60" t="inlineStr">
        <is>
          <t>랄라블라</t>
        </is>
      </c>
      <c r="G9593" s="60" t="inlineStr">
        <is>
          <t>대용량 기획세트</t>
        </is>
      </c>
      <c r="H9593" s="60" t="n">
        <v>200801</v>
      </c>
      <c r="I9593" s="60" t="n">
        <v>200801</v>
      </c>
      <c r="J9593" s="60" t="n"/>
      <c r="K9593" s="60" t="n">
        <v>12</v>
      </c>
      <c r="L9593" s="60" t="n">
        <v>200801</v>
      </c>
      <c r="M9593" s="94">
        <f>VLOOKUP($Q9593,매칭테이블!$F:$I,2,0)*K9593</f>
        <v/>
      </c>
      <c r="N9593" s="94">
        <f>M9593-M9593*VLOOKUP($Q9593,매칭테이블!$F:$I,3,0)</f>
        <v/>
      </c>
      <c r="O9593" s="94">
        <f>VLOOKUP($Q9593,매칭테이블!$F:$I,4,0)*K9593</f>
        <v/>
      </c>
      <c r="P9593" s="148">
        <f>M9593/1.1</f>
        <v/>
      </c>
      <c r="Q9593" s="94">
        <f>F9593&amp;E9593&amp;G9593&amp;L9593</f>
        <v/>
      </c>
    </row>
    <row r="9594" customFormat="1" s="94">
      <c r="B9594" s="128" t="n">
        <v>44101</v>
      </c>
      <c r="C9594" s="94">
        <f>TEXT(B9594,"aaa")</f>
        <v/>
      </c>
      <c r="D9594" s="60" t="n"/>
      <c r="E9594" s="60" t="inlineStr">
        <is>
          <t>마스크팩</t>
        </is>
      </c>
      <c r="F9594" s="60" t="inlineStr">
        <is>
          <t>랄라블라</t>
        </is>
      </c>
      <c r="G9594" s="60" t="inlineStr">
        <is>
          <t>마스크 5+1 기획세트</t>
        </is>
      </c>
      <c r="H9594" s="60" t="n">
        <v>200801</v>
      </c>
      <c r="I9594" s="60" t="n">
        <v>200801</v>
      </c>
      <c r="J9594" s="60" t="n"/>
      <c r="K9594" s="60" t="n">
        <v>70</v>
      </c>
      <c r="L9594" s="60" t="n">
        <v>200801</v>
      </c>
      <c r="M9594" s="94">
        <f>VLOOKUP($Q9594,매칭테이블!$F:$I,2,0)*K9594</f>
        <v/>
      </c>
      <c r="N9594" s="94">
        <f>M9594-M9594*VLOOKUP($Q9594,매칭테이블!$F:$I,3,0)</f>
        <v/>
      </c>
      <c r="O9594" s="94">
        <f>VLOOKUP($Q9594,매칭테이블!$F:$I,4,0)*K9594</f>
        <v/>
      </c>
      <c r="P9594" s="148">
        <f>M9594/1.1</f>
        <v/>
      </c>
      <c r="Q9594" s="94">
        <f>F9594&amp;E9594&amp;G9594&amp;L9594</f>
        <v/>
      </c>
    </row>
    <row r="9595" customFormat="1" s="94">
      <c r="B9595" s="128" t="n">
        <v>44101</v>
      </c>
      <c r="C9595" s="94">
        <f>TEXT(B9595,"aaa")</f>
        <v/>
      </c>
      <c r="D9595" s="60" t="n"/>
      <c r="E9595" s="60" t="inlineStr">
        <is>
          <t>클리어 패드</t>
        </is>
      </c>
      <c r="F9595" s="60" t="inlineStr">
        <is>
          <t>랄라블라</t>
        </is>
      </c>
      <c r="G9595" s="60" t="inlineStr">
        <is>
          <t>아누아 어성초77 클리어 패드</t>
        </is>
      </c>
      <c r="H9595" s="60" t="n">
        <v>200801</v>
      </c>
      <c r="I9595" s="60" t="n">
        <v>200801</v>
      </c>
      <c r="J9595" s="60" t="n"/>
      <c r="K9595" s="60" t="n">
        <v>21</v>
      </c>
      <c r="L9595" s="60" t="n">
        <v>200801</v>
      </c>
      <c r="M9595" s="94">
        <f>VLOOKUP($Q9595,매칭테이블!$F:$I,2,0)*K9595</f>
        <v/>
      </c>
      <c r="N9595" s="94">
        <f>M9595-M9595*VLOOKUP($Q9595,매칭테이블!$F:$I,3,0)</f>
        <v/>
      </c>
      <c r="O9595" s="94">
        <f>VLOOKUP($Q9595,매칭테이블!$F:$I,4,0)*K9595</f>
        <v/>
      </c>
      <c r="P9595" s="148">
        <f>M9595/1.1</f>
        <v/>
      </c>
      <c r="Q9595" s="94">
        <f>F9595&amp;E9595&amp;G9595&amp;L9595</f>
        <v/>
      </c>
    </row>
    <row r="9596" customFormat="1" s="94">
      <c r="B9596" s="128" t="n">
        <v>44101</v>
      </c>
      <c r="C9596" s="94">
        <f>TEXT(B9596,"aaa")</f>
        <v/>
      </c>
      <c r="D9596" s="60" t="n"/>
      <c r="E9596" s="60" t="inlineStr">
        <is>
          <t>로션</t>
        </is>
      </c>
      <c r="F9596" s="60" t="inlineStr">
        <is>
          <t>랄라블라</t>
        </is>
      </c>
      <c r="G9596" s="60" t="inlineStr">
        <is>
          <t>아누아 어성초70 로션 200ml</t>
        </is>
      </c>
      <c r="H9596" s="60" t="n">
        <v>200801</v>
      </c>
      <c r="I9596" s="60" t="n">
        <v>200801</v>
      </c>
      <c r="J9596" s="60" t="n"/>
      <c r="K9596" s="60" t="n">
        <v>15</v>
      </c>
      <c r="L9596" s="60" t="n">
        <v>200801</v>
      </c>
      <c r="M9596" s="94">
        <f>VLOOKUP($Q9596,매칭테이블!$F:$I,2,0)*K9596</f>
        <v/>
      </c>
      <c r="N9596" s="94">
        <f>M9596-M9596*VLOOKUP($Q9596,매칭테이블!$F:$I,3,0)</f>
        <v/>
      </c>
      <c r="O9596" s="94">
        <f>VLOOKUP($Q9596,매칭테이블!$F:$I,4,0)*K9596</f>
        <v/>
      </c>
      <c r="P9596" s="148">
        <f>M9596/1.1</f>
        <v/>
      </c>
      <c r="Q9596" s="94">
        <f>F9596&amp;E9596&amp;G9596&amp;L9596</f>
        <v/>
      </c>
    </row>
    <row r="9597" customFormat="1" s="94">
      <c r="B9597" s="128" t="n">
        <v>44102</v>
      </c>
      <c r="C9597" s="94">
        <f>TEXT(B9597,"aaa")</f>
        <v/>
      </c>
      <c r="D9597" s="60" t="n"/>
      <c r="E9597" s="60" t="inlineStr">
        <is>
          <t>토너</t>
        </is>
      </c>
      <c r="F9597" s="60" t="inlineStr">
        <is>
          <t>W컨셉</t>
        </is>
      </c>
      <c r="G9597" s="60" t="inlineStr">
        <is>
          <t>250ml</t>
        </is>
      </c>
      <c r="H9597" s="60" t="n">
        <v>200801</v>
      </c>
      <c r="I9597" s="60" t="n">
        <v>200801</v>
      </c>
      <c r="J9597" s="60" t="n"/>
      <c r="K9597" s="60" t="n">
        <v>1</v>
      </c>
      <c r="L9597" s="60" t="n">
        <v>200801</v>
      </c>
      <c r="M9597" s="94">
        <f>VLOOKUP($Q9597,매칭테이블!$F:$I,2,0)*K9597</f>
        <v/>
      </c>
      <c r="N9597" s="94">
        <f>M9597-M9597*VLOOKUP($Q9597,매칭테이블!$F:$I,3,0)</f>
        <v/>
      </c>
      <c r="O9597" s="94">
        <f>VLOOKUP($Q9597,매칭테이블!$F:$I,4,0)*K9597</f>
        <v/>
      </c>
      <c r="P9597" s="148">
        <f>M9597/1.1</f>
        <v/>
      </c>
      <c r="Q9597" s="94">
        <f>F9597&amp;E9597&amp;G9597&amp;L9597</f>
        <v/>
      </c>
    </row>
    <row r="9598" customFormat="1" s="94">
      <c r="B9598" s="128" t="n">
        <v>44102</v>
      </c>
      <c r="C9598" s="94">
        <f>TEXT(B9598,"aaa")</f>
        <v/>
      </c>
      <c r="D9598" s="60" t="n"/>
      <c r="E9598" s="60" t="inlineStr">
        <is>
          <t>토너</t>
        </is>
      </c>
      <c r="F9598" s="60" t="inlineStr">
        <is>
          <t>W컨셉</t>
        </is>
      </c>
      <c r="G9598" s="60" t="inlineStr">
        <is>
          <t>250ml 2set</t>
        </is>
      </c>
      <c r="H9598" s="60" t="n">
        <v>200801</v>
      </c>
      <c r="I9598" s="60" t="n">
        <v>200801</v>
      </c>
      <c r="J9598" s="60" t="n"/>
      <c r="K9598" s="60" t="n">
        <v>12</v>
      </c>
      <c r="L9598" s="60" t="n">
        <v>200801</v>
      </c>
      <c r="M9598" s="94">
        <f>VLOOKUP($Q9598,매칭테이블!$F:$I,2,0)*K9598</f>
        <v/>
      </c>
      <c r="N9598" s="94">
        <f>M9598-M9598*VLOOKUP($Q9598,매칭테이블!$F:$I,3,0)</f>
        <v/>
      </c>
      <c r="O9598" s="94">
        <f>VLOOKUP($Q9598,매칭테이블!$F:$I,4,0)*K9598</f>
        <v/>
      </c>
      <c r="P9598" s="148">
        <f>M9598/1.1</f>
        <v/>
      </c>
      <c r="Q9598" s="94">
        <f>F9598&amp;E9598&amp;G9598&amp;L9598</f>
        <v/>
      </c>
    </row>
    <row r="9599" customFormat="1" s="94">
      <c r="B9599" s="128" t="n">
        <v>44102</v>
      </c>
      <c r="C9599" s="94">
        <f>TEXT(B9599,"aaa")</f>
        <v/>
      </c>
      <c r="D9599" s="60" t="n"/>
      <c r="E9599" s="60" t="inlineStr">
        <is>
          <t>토너</t>
        </is>
      </c>
      <c r="F9599" s="60" t="inlineStr">
        <is>
          <t>스타일쉐어</t>
        </is>
      </c>
      <c r="G9599" s="60" t="inlineStr">
        <is>
          <t>250ml</t>
        </is>
      </c>
      <c r="H9599" s="60" t="n">
        <v>200801</v>
      </c>
      <c r="I9599" s="60" t="n">
        <v>200801</v>
      </c>
      <c r="J9599" s="60" t="n"/>
      <c r="K9599" s="60" t="n">
        <v>7</v>
      </c>
      <c r="L9599" s="60" t="n">
        <v>200801</v>
      </c>
      <c r="M9599" s="94">
        <f>VLOOKUP($Q9599,매칭테이블!$F:$I,2,0)*K9599</f>
        <v/>
      </c>
      <c r="N9599" s="94">
        <f>M9599-M9599*VLOOKUP($Q9599,매칭테이블!$F:$I,3,0)</f>
        <v/>
      </c>
      <c r="O9599" s="94">
        <f>VLOOKUP($Q9599,매칭테이블!$F:$I,4,0)*K9599</f>
        <v/>
      </c>
      <c r="P9599" s="148">
        <f>M9599/1.1</f>
        <v/>
      </c>
      <c r="Q9599" s="94">
        <f>F9599&amp;E9599&amp;G9599&amp;L9599</f>
        <v/>
      </c>
    </row>
    <row r="9600" customFormat="1" s="94">
      <c r="B9600" s="128" t="n">
        <v>44102</v>
      </c>
      <c r="C9600" s="94">
        <f>TEXT(B9600,"aaa")</f>
        <v/>
      </c>
      <c r="D9600" s="60" t="n"/>
      <c r="E9600" s="60" t="inlineStr">
        <is>
          <t>로션</t>
        </is>
      </c>
      <c r="F9600" s="60" t="inlineStr">
        <is>
          <t>아누아 CS</t>
        </is>
      </c>
      <c r="G9600" s="60" t="inlineStr">
        <is>
          <t>로션 200ml</t>
        </is>
      </c>
      <c r="H9600" s="60" t="n">
        <v>200801</v>
      </c>
      <c r="I9600" s="60" t="n">
        <v>200801</v>
      </c>
      <c r="J9600" s="60" t="n"/>
      <c r="K9600" s="60" t="n">
        <v>3</v>
      </c>
      <c r="L9600" s="60" t="n">
        <v>200801</v>
      </c>
      <c r="M9600" s="94">
        <f>VLOOKUP($Q9600,매칭테이블!$F:$I,2,0)*K9600</f>
        <v/>
      </c>
      <c r="N9600" s="94">
        <f>M9600-M9600*VLOOKUP($Q9600,매칭테이블!$F:$I,3,0)</f>
        <v/>
      </c>
      <c r="O9600" s="94">
        <f>VLOOKUP($Q9600,매칭테이블!$F:$I,4,0)*K9600</f>
        <v/>
      </c>
      <c r="P9600" s="148">
        <f>M9600/1.1</f>
        <v/>
      </c>
      <c r="Q9600" s="94">
        <f>F9600&amp;E9600&amp;G9600&amp;L9600</f>
        <v/>
      </c>
    </row>
    <row r="9601" customFormat="1" s="94">
      <c r="B9601" s="128" t="n">
        <v>44102</v>
      </c>
      <c r="C9601" s="94">
        <f>TEXT(B9601,"aaa")</f>
        <v/>
      </c>
      <c r="D9601" s="60" t="n"/>
      <c r="E9601" s="60" t="inlineStr">
        <is>
          <t>클리어 패드</t>
        </is>
      </c>
      <c r="F9601" s="60" t="inlineStr">
        <is>
          <t>아누아 CS</t>
        </is>
      </c>
      <c r="G9601" s="94" t="inlineStr">
        <is>
          <t>어성초 클리어패드 70P</t>
        </is>
      </c>
      <c r="H9601" s="60" t="n">
        <v>200801</v>
      </c>
      <c r="I9601" s="60" t="n">
        <v>200801</v>
      </c>
      <c r="J9601" s="60" t="n"/>
      <c r="K9601" s="60" t="n">
        <v>3</v>
      </c>
      <c r="L9601" s="60" t="n">
        <v>200801</v>
      </c>
      <c r="M9601" s="94">
        <f>VLOOKUP($Q9601,매칭테이블!$F:$I,2,0)*K9601</f>
        <v/>
      </c>
      <c r="N9601" s="94">
        <f>M9601-M9601*VLOOKUP($Q9601,매칭테이블!$F:$I,3,0)</f>
        <v/>
      </c>
      <c r="O9601" s="94">
        <f>VLOOKUP($Q9601,매칭테이블!$F:$I,4,0)*K9601</f>
        <v/>
      </c>
      <c r="P9601" s="148">
        <f>M9601/1.1</f>
        <v/>
      </c>
      <c r="Q9601" s="94">
        <f>F9601&amp;E9601&amp;G9601&amp;L9601</f>
        <v/>
      </c>
    </row>
    <row r="9602" customFormat="1" s="94">
      <c r="B9602" s="128" t="n">
        <v>44102</v>
      </c>
      <c r="C9602" s="94">
        <f>TEXT(B9602,"aaa")</f>
        <v/>
      </c>
      <c r="D9602" s="60" t="n"/>
      <c r="E9602" s="60" t="inlineStr">
        <is>
          <t>어성초진정패키지</t>
        </is>
      </c>
      <c r="F9602" s="60" t="inlineStr">
        <is>
          <t>카페24</t>
        </is>
      </c>
      <c r="G9602" s="60" t="inlineStr">
        <is>
          <t>어성초 진정패키지세트</t>
        </is>
      </c>
      <c r="H9602" s="60" t="n">
        <v>200801</v>
      </c>
      <c r="I9602" s="60" t="n">
        <v>200801</v>
      </c>
      <c r="J9602" s="60" t="n"/>
      <c r="K9602" s="60" t="n">
        <v>3</v>
      </c>
      <c r="L9602" s="60" t="n">
        <v>200801</v>
      </c>
      <c r="M9602" s="94">
        <f>VLOOKUP($Q9602,매칭테이블!$F:$I,2,0)*K9602</f>
        <v/>
      </c>
      <c r="N9602" s="94">
        <f>M9602-M9602*VLOOKUP($Q9602,매칭테이블!$F:$I,3,0)</f>
        <v/>
      </c>
      <c r="O9602" s="94">
        <f>VLOOKUP($Q9602,매칭테이블!$F:$I,4,0)*K9602</f>
        <v/>
      </c>
      <c r="P9602" s="148">
        <f>M9602/1.1</f>
        <v/>
      </c>
      <c r="Q9602" s="94">
        <f>F9602&amp;E9602&amp;G9602&amp;L9602</f>
        <v/>
      </c>
    </row>
    <row r="9603" customFormat="1" s="94">
      <c r="B9603" s="128" t="n">
        <v>44102</v>
      </c>
      <c r="C9603" s="94">
        <f>TEXT(B9603,"aaa")</f>
        <v/>
      </c>
      <c r="D9603" s="60" t="n"/>
      <c r="E9603" s="60" t="inlineStr">
        <is>
          <t>클리어 패드</t>
        </is>
      </c>
      <c r="F9603" s="60" t="inlineStr">
        <is>
          <t>카페24</t>
        </is>
      </c>
      <c r="G9603" s="60" t="inlineStr">
        <is>
          <t>어성초 77 클리어 패드 1개-20% off</t>
        </is>
      </c>
      <c r="H9603" s="60" t="n">
        <v>200801</v>
      </c>
      <c r="I9603" s="60" t="n">
        <v>200801</v>
      </c>
      <c r="J9603" s="60" t="n"/>
      <c r="K9603" s="60" t="n">
        <v>23</v>
      </c>
      <c r="L9603" s="60" t="n">
        <v>200801</v>
      </c>
      <c r="M9603" s="94">
        <f>VLOOKUP($Q9603,매칭테이블!$F:$I,2,0)*K9603</f>
        <v/>
      </c>
      <c r="N9603" s="94">
        <f>M9603-M9603*VLOOKUP($Q9603,매칭테이블!$F:$I,3,0)</f>
        <v/>
      </c>
      <c r="O9603" s="94">
        <f>VLOOKUP($Q9603,매칭테이블!$F:$I,4,0)*K9603</f>
        <v/>
      </c>
      <c r="P9603" s="148">
        <f>M9603/1.1</f>
        <v/>
      </c>
      <c r="Q9603" s="94">
        <f>F9603&amp;E9603&amp;G9603&amp;L9603</f>
        <v/>
      </c>
    </row>
    <row r="9604" customFormat="1" s="94">
      <c r="B9604" s="128" t="n">
        <v>44102</v>
      </c>
      <c r="C9604" s="94">
        <f>TEXT(B9604,"aaa")</f>
        <v/>
      </c>
      <c r="D9604" s="60" t="n"/>
      <c r="E9604" s="60" t="inlineStr">
        <is>
          <t>클리어 패드</t>
        </is>
      </c>
      <c r="F9604" s="60" t="inlineStr">
        <is>
          <t>카페24</t>
        </is>
      </c>
      <c r="G9604" s="60" t="inlineStr">
        <is>
          <t>어성초 77 클리어 패드 2개-30% off</t>
        </is>
      </c>
      <c r="H9604" s="60" t="n">
        <v>200801</v>
      </c>
      <c r="I9604" s="60" t="n">
        <v>200801</v>
      </c>
      <c r="J9604" s="60" t="n"/>
      <c r="K9604" s="60" t="n">
        <v>16</v>
      </c>
      <c r="L9604" s="60" t="n">
        <v>200801</v>
      </c>
      <c r="M9604" s="94">
        <f>VLOOKUP($Q9604,매칭테이블!$F:$I,2,0)*K9604</f>
        <v/>
      </c>
      <c r="N9604" s="94">
        <f>M9604-M9604*VLOOKUP($Q9604,매칭테이블!$F:$I,3,0)</f>
        <v/>
      </c>
      <c r="O9604" s="94">
        <f>VLOOKUP($Q9604,매칭테이블!$F:$I,4,0)*K9604</f>
        <v/>
      </c>
      <c r="P9604" s="148">
        <f>M9604/1.1</f>
        <v/>
      </c>
      <c r="Q9604" s="94">
        <f>F9604&amp;E9604&amp;G9604&amp;L9604</f>
        <v/>
      </c>
    </row>
    <row r="9605" customFormat="1" s="94">
      <c r="B9605" s="128" t="n">
        <v>44102</v>
      </c>
      <c r="C9605" s="94">
        <f>TEXT(B9605,"aaa")</f>
        <v/>
      </c>
      <c r="D9605" s="60" t="n"/>
      <c r="E9605" s="60" t="inlineStr">
        <is>
          <t>토너+패드 세트</t>
        </is>
      </c>
      <c r="F9605" s="60" t="inlineStr">
        <is>
          <t>카페24</t>
        </is>
      </c>
      <c r="G9605" s="60" t="inlineStr">
        <is>
          <t>좁쌀 진정 세트 토너+클리어 패드-30% off</t>
        </is>
      </c>
      <c r="H9605" s="60" t="n">
        <v>200801</v>
      </c>
      <c r="I9605" s="60" t="n">
        <v>200801</v>
      </c>
      <c r="J9605" s="60" t="n"/>
      <c r="K9605" s="60" t="n">
        <v>18</v>
      </c>
      <c r="L9605" s="60" t="n">
        <v>200801</v>
      </c>
      <c r="M9605" s="94">
        <f>VLOOKUP($Q9605,매칭테이블!$F:$I,2,0)*K9605</f>
        <v/>
      </c>
      <c r="N9605" s="94">
        <f>M9605-M9605*VLOOKUP($Q9605,매칭테이블!$F:$I,3,0)</f>
        <v/>
      </c>
      <c r="O9605" s="94">
        <f>VLOOKUP($Q9605,매칭테이블!$F:$I,4,0)*K9605</f>
        <v/>
      </c>
      <c r="P9605" s="148">
        <f>M9605/1.1</f>
        <v/>
      </c>
      <c r="Q9605" s="94">
        <f>F9605&amp;E9605&amp;G9605&amp;L9605</f>
        <v/>
      </c>
    </row>
    <row r="9606" customFormat="1" s="94">
      <c r="B9606" s="128" t="n">
        <v>44102</v>
      </c>
      <c r="C9606" s="94">
        <f>TEXT(B9606,"aaa")</f>
        <v/>
      </c>
      <c r="D9606" s="60" t="n"/>
      <c r="E9606" s="60" t="inlineStr">
        <is>
          <t>수분 보충 세트</t>
        </is>
      </c>
      <c r="F9606" s="60" t="inlineStr">
        <is>
          <t>카페24</t>
        </is>
      </c>
      <c r="G9606" s="60" t="inlineStr">
        <is>
          <t>[20/09/28 부터] 어성초 77 토너 250ml + 어성초 70 로션 200ml -30%</t>
        </is>
      </c>
      <c r="H9606" s="60" t="n">
        <v>200801</v>
      </c>
      <c r="I9606" s="60" t="n">
        <v>200801</v>
      </c>
      <c r="J9606" s="60" t="n"/>
      <c r="K9606" s="60" t="n">
        <v>19</v>
      </c>
      <c r="L9606" s="60" t="n">
        <v>200801</v>
      </c>
      <c r="M9606" s="94">
        <f>VLOOKUP($Q9606,매칭테이블!$F:$I,2,0)*K9606</f>
        <v/>
      </c>
      <c r="N9606" s="94">
        <f>M9606-M9606*VLOOKUP($Q9606,매칭테이블!$F:$I,3,0)</f>
        <v/>
      </c>
      <c r="O9606" s="94">
        <f>VLOOKUP($Q9606,매칭테이블!$F:$I,4,0)*K9606</f>
        <v/>
      </c>
      <c r="P9606" s="148">
        <f>M9606/1.1</f>
        <v/>
      </c>
      <c r="Q9606" s="94">
        <f>F9606&amp;E9606&amp;G9606&amp;L9606</f>
        <v/>
      </c>
    </row>
    <row r="9607" customFormat="1" s="94">
      <c r="B9607" s="128" t="n">
        <v>44102</v>
      </c>
      <c r="C9607" s="94">
        <f>TEXT(B9607,"aaa")</f>
        <v/>
      </c>
      <c r="D9607" s="60" t="n"/>
      <c r="E9607" s="60" t="inlineStr">
        <is>
          <t>로션</t>
        </is>
      </c>
      <c r="F9607" s="60" t="inlineStr">
        <is>
          <t>카페24</t>
        </is>
      </c>
      <c r="G9607" s="60" t="inlineStr">
        <is>
          <t>어성초 70 데일리 릴리프 로션 1개 -20% off</t>
        </is>
      </c>
      <c r="H9607" s="60" t="n">
        <v>200801</v>
      </c>
      <c r="I9607" s="60" t="n">
        <v>200801</v>
      </c>
      <c r="J9607" s="60" t="n"/>
      <c r="K9607" s="60" t="n">
        <v>2</v>
      </c>
      <c r="L9607" s="60" t="n">
        <v>200801</v>
      </c>
      <c r="M9607" s="94">
        <f>VLOOKUP($Q9607,매칭테이블!$F:$I,2,0)*K9607</f>
        <v/>
      </c>
      <c r="N9607" s="94">
        <f>M9607-M9607*VLOOKUP($Q9607,매칭테이블!$F:$I,3,0)</f>
        <v/>
      </c>
      <c r="O9607" s="94">
        <f>VLOOKUP($Q9607,매칭테이블!$F:$I,4,0)*K9607</f>
        <v/>
      </c>
      <c r="P9607" s="148">
        <f>M9607/1.1</f>
        <v/>
      </c>
      <c r="Q9607" s="94">
        <f>F9607&amp;E9607&amp;G9607&amp;L9607</f>
        <v/>
      </c>
    </row>
    <row r="9608" customFormat="1" s="94">
      <c r="B9608" s="128" t="n">
        <v>44102</v>
      </c>
      <c r="C9608" s="94">
        <f>TEXT(B9608,"aaa")</f>
        <v/>
      </c>
      <c r="D9608" s="60" t="n"/>
      <c r="E9608" s="60" t="inlineStr">
        <is>
          <t>로션</t>
        </is>
      </c>
      <c r="F9608" s="60" t="inlineStr">
        <is>
          <t>카페24</t>
        </is>
      </c>
      <c r="G9608" s="60" t="inlineStr">
        <is>
          <t>어성초 70 데일리 릴리프 로션 2개 -30% off</t>
        </is>
      </c>
      <c r="H9608" s="60" t="n">
        <v>200801</v>
      </c>
      <c r="I9608" s="60" t="n">
        <v>200801</v>
      </c>
      <c r="J9608" s="60" t="n"/>
      <c r="K9608" s="60" t="n">
        <v>1</v>
      </c>
      <c r="L9608" s="60" t="n">
        <v>200801</v>
      </c>
      <c r="M9608" s="94">
        <f>VLOOKUP($Q9608,매칭테이블!$F:$I,2,0)*K9608</f>
        <v/>
      </c>
      <c r="N9608" s="94">
        <f>M9608-M9608*VLOOKUP($Q9608,매칭테이블!$F:$I,3,0)</f>
        <v/>
      </c>
      <c r="O9608" s="94">
        <f>VLOOKUP($Q9608,매칭테이블!$F:$I,4,0)*K9608</f>
        <v/>
      </c>
      <c r="P9608" s="148">
        <f>M9608/1.1</f>
        <v/>
      </c>
      <c r="Q9608" s="94">
        <f>F9608&amp;E9608&amp;G9608&amp;L9608</f>
        <v/>
      </c>
    </row>
    <row r="9609" customFormat="1" s="94">
      <c r="B9609" s="128" t="n">
        <v>44102</v>
      </c>
      <c r="C9609" s="94">
        <f>TEXT(B9609,"aaa")</f>
        <v/>
      </c>
      <c r="D9609" s="60" t="n"/>
      <c r="E9609" s="60" t="inlineStr">
        <is>
          <t>머드크림마스크</t>
        </is>
      </c>
      <c r="F9609" s="60" t="inlineStr">
        <is>
          <t>카페24</t>
        </is>
      </c>
      <c r="G9609" s="60" t="inlineStr">
        <is>
          <t>머드크림마스크 100ml</t>
        </is>
      </c>
      <c r="H9609" s="60" t="n">
        <v>200801</v>
      </c>
      <c r="I9609" s="60" t="n">
        <v>200801</v>
      </c>
      <c r="J9609" s="60" t="n"/>
      <c r="K9609" s="60" t="n">
        <v>3</v>
      </c>
      <c r="L9609" s="60" t="n">
        <v>200801</v>
      </c>
      <c r="M9609" s="94">
        <f>VLOOKUP($Q9609,매칭테이블!$F:$I,2,0)*K9609</f>
        <v/>
      </c>
      <c r="N9609" s="94">
        <f>M9609-M9609*VLOOKUP($Q9609,매칭테이블!$F:$I,3,0)</f>
        <v/>
      </c>
      <c r="O9609" s="94">
        <f>VLOOKUP($Q9609,매칭테이블!$F:$I,4,0)*K9609</f>
        <v/>
      </c>
      <c r="P9609" s="148">
        <f>M9609/1.1</f>
        <v/>
      </c>
      <c r="Q9609" s="94">
        <f>F9609&amp;E9609&amp;G9609&amp;L9609</f>
        <v/>
      </c>
    </row>
    <row r="9610" customFormat="1" s="94">
      <c r="B9610" s="128" t="n">
        <v>44102</v>
      </c>
      <c r="C9610" s="94">
        <f>TEXT(B9610,"aaa")</f>
        <v/>
      </c>
      <c r="D9610" s="60" t="n"/>
      <c r="E9610" s="60" t="inlineStr">
        <is>
          <t>마스크팩</t>
        </is>
      </c>
      <c r="F9610" s="60" t="inlineStr">
        <is>
          <t>카페24</t>
        </is>
      </c>
      <c r="G9610" s="60" t="inlineStr">
        <is>
          <t>마스크팩 1매</t>
        </is>
      </c>
      <c r="H9610" s="60" t="n">
        <v>200801</v>
      </c>
      <c r="I9610" s="60" t="n">
        <v>200801</v>
      </c>
      <c r="J9610" s="60" t="n"/>
      <c r="K9610" s="60" t="n">
        <v>3</v>
      </c>
      <c r="L9610" s="60" t="n">
        <v>200801</v>
      </c>
      <c r="M9610" s="94">
        <f>VLOOKUP($Q9610,매칭테이블!$F:$I,2,0)*K9610</f>
        <v/>
      </c>
      <c r="N9610" s="94">
        <f>M9610-M9610*VLOOKUP($Q9610,매칭테이블!$F:$I,3,0)</f>
        <v/>
      </c>
      <c r="O9610" s="94">
        <f>VLOOKUP($Q9610,매칭테이블!$F:$I,4,0)*K9610</f>
        <v/>
      </c>
      <c r="P9610" s="148">
        <f>M9610/1.1</f>
        <v/>
      </c>
      <c r="Q9610" s="94">
        <f>F9610&amp;E9610&amp;G9610&amp;L9610</f>
        <v/>
      </c>
    </row>
    <row r="9611" customFormat="1" s="94">
      <c r="B9611" s="128" t="n">
        <v>44102</v>
      </c>
      <c r="C9611" s="94">
        <f>TEXT(B9611,"aaa")</f>
        <v/>
      </c>
      <c r="D9611" s="60" t="n"/>
      <c r="E9611" s="60" t="inlineStr">
        <is>
          <t>마스크팩</t>
        </is>
      </c>
      <c r="F9611" s="60" t="inlineStr">
        <is>
          <t>카페24</t>
        </is>
      </c>
      <c r="G9611" s="60" t="inlineStr">
        <is>
          <t>마스크팩 10매</t>
        </is>
      </c>
      <c r="H9611" s="60" t="n">
        <v>200801</v>
      </c>
      <c r="I9611" s="60" t="n">
        <v>200801</v>
      </c>
      <c r="J9611" s="60" t="n"/>
      <c r="K9611" s="60" t="n">
        <v>4</v>
      </c>
      <c r="L9611" s="60" t="n">
        <v>200801</v>
      </c>
      <c r="M9611" s="94">
        <f>VLOOKUP($Q9611,매칭테이블!$F:$I,2,0)*K9611</f>
        <v/>
      </c>
      <c r="N9611" s="94">
        <f>M9611-M9611*VLOOKUP($Q9611,매칭테이블!$F:$I,3,0)</f>
        <v/>
      </c>
      <c r="O9611" s="94">
        <f>VLOOKUP($Q9611,매칭테이블!$F:$I,4,0)*K9611</f>
        <v/>
      </c>
      <c r="P9611" s="148">
        <f>M9611/1.1</f>
        <v/>
      </c>
      <c r="Q9611" s="94">
        <f>F9611&amp;E9611&amp;G9611&amp;L9611</f>
        <v/>
      </c>
    </row>
    <row r="9612" customFormat="1" s="94">
      <c r="B9612" s="128" t="n">
        <v>44102</v>
      </c>
      <c r="C9612" s="94">
        <f>TEXT(B9612,"aaa")</f>
        <v/>
      </c>
      <c r="D9612" s="60" t="n"/>
      <c r="E9612" s="60" t="inlineStr">
        <is>
          <t>토너</t>
        </is>
      </c>
      <c r="F9612" s="60" t="inlineStr">
        <is>
          <t>카페24</t>
        </is>
      </c>
      <c r="G9612" s="60" t="inlineStr">
        <is>
          <t>250ml</t>
        </is>
      </c>
      <c r="H9612" s="60" t="n">
        <v>200801</v>
      </c>
      <c r="I9612" s="60" t="n">
        <v>200801</v>
      </c>
      <c r="J9612" s="60" t="n"/>
      <c r="K9612" s="60" t="n">
        <v>27</v>
      </c>
      <c r="L9612" s="60" t="n">
        <v>200801</v>
      </c>
      <c r="M9612" s="94">
        <f>VLOOKUP($Q9612,매칭테이블!$F:$I,2,0)*K9612</f>
        <v/>
      </c>
      <c r="N9612" s="94">
        <f>M9612-M9612*VLOOKUP($Q9612,매칭테이블!$F:$I,3,0)</f>
        <v/>
      </c>
      <c r="O9612" s="94">
        <f>VLOOKUP($Q9612,매칭테이블!$F:$I,4,0)*K9612</f>
        <v/>
      </c>
      <c r="P9612" s="148">
        <f>M9612/1.1</f>
        <v/>
      </c>
      <c r="Q9612" s="94">
        <f>F9612&amp;E9612&amp;G9612&amp;L9612</f>
        <v/>
      </c>
    </row>
    <row r="9613" customFormat="1" s="94">
      <c r="B9613" s="128" t="n">
        <v>44102</v>
      </c>
      <c r="C9613" s="94">
        <f>TEXT(B9613,"aaa")</f>
        <v/>
      </c>
      <c r="D9613" s="60" t="n"/>
      <c r="E9613" s="60" t="inlineStr">
        <is>
          <t>토너</t>
        </is>
      </c>
      <c r="F9613" s="60" t="inlineStr">
        <is>
          <t>카페24</t>
        </is>
      </c>
      <c r="G9613" s="60" t="inlineStr">
        <is>
          <t>250ml 2set</t>
        </is>
      </c>
      <c r="H9613" s="60" t="n">
        <v>200801</v>
      </c>
      <c r="I9613" s="60" t="n">
        <v>200801</v>
      </c>
      <c r="J9613" s="60" t="n"/>
      <c r="K9613" s="60" t="n">
        <v>26</v>
      </c>
      <c r="L9613" s="60" t="n">
        <v>200801</v>
      </c>
      <c r="M9613" s="94">
        <f>VLOOKUP($Q9613,매칭테이블!$F:$I,2,0)*K9613</f>
        <v/>
      </c>
      <c r="N9613" s="94">
        <f>M9613-M9613*VLOOKUP($Q9613,매칭테이블!$F:$I,3,0)</f>
        <v/>
      </c>
      <c r="O9613" s="94">
        <f>VLOOKUP($Q9613,매칭테이블!$F:$I,4,0)*K9613</f>
        <v/>
      </c>
      <c r="P9613" s="148">
        <f>M9613/1.1</f>
        <v/>
      </c>
      <c r="Q9613" s="94">
        <f>F9613&amp;E9613&amp;G9613&amp;L9613</f>
        <v/>
      </c>
    </row>
    <row r="9614" customFormat="1" s="94">
      <c r="B9614" s="128" t="n">
        <v>44102</v>
      </c>
      <c r="C9614" s="94">
        <f>TEXT(B9614,"aaa")</f>
        <v/>
      </c>
      <c r="D9614" s="60" t="n"/>
      <c r="E9614" s="60" t="inlineStr">
        <is>
          <t>토너</t>
        </is>
      </c>
      <c r="F9614" s="60" t="inlineStr">
        <is>
          <t>카페24</t>
        </is>
      </c>
      <c r="G9614" s="60" t="inlineStr">
        <is>
          <t>500ml</t>
        </is>
      </c>
      <c r="H9614" s="60" t="n">
        <v>200801</v>
      </c>
      <c r="I9614" s="60" t="n">
        <v>200801</v>
      </c>
      <c r="J9614" s="60" t="n"/>
      <c r="K9614" s="60" t="n">
        <v>41</v>
      </c>
      <c r="L9614" s="60" t="n">
        <v>200801</v>
      </c>
      <c r="M9614" s="94">
        <f>VLOOKUP($Q9614,매칭테이블!$F:$I,2,0)*K9614</f>
        <v/>
      </c>
      <c r="N9614" s="94">
        <f>M9614-M9614*VLOOKUP($Q9614,매칭테이블!$F:$I,3,0)</f>
        <v/>
      </c>
      <c r="O9614" s="94">
        <f>VLOOKUP($Q9614,매칭테이블!$F:$I,4,0)*K9614</f>
        <v/>
      </c>
      <c r="P9614" s="148">
        <f>M9614/1.1</f>
        <v/>
      </c>
      <c r="Q9614" s="94">
        <f>F9614&amp;E9614&amp;G9614&amp;L9614</f>
        <v/>
      </c>
    </row>
    <row r="9615" customFormat="1" s="94">
      <c r="B9615" s="128" t="n">
        <v>44102</v>
      </c>
      <c r="C9615" s="94">
        <f>TEXT(B9615,"aaa")</f>
        <v/>
      </c>
      <c r="D9615" s="60" t="n"/>
      <c r="E9615" s="60" t="inlineStr">
        <is>
          <t>토너</t>
        </is>
      </c>
      <c r="F9615" s="60" t="inlineStr">
        <is>
          <t>카페24</t>
        </is>
      </c>
      <c r="G9615" s="60" t="inlineStr">
        <is>
          <t>스킨팩 화장솜 60P</t>
        </is>
      </c>
      <c r="H9615" s="60" t="n">
        <v>200801</v>
      </c>
      <c r="I9615" s="60" t="n">
        <v>200801</v>
      </c>
      <c r="J9615" s="60" t="n"/>
      <c r="K9615" s="60" t="n">
        <v>32</v>
      </c>
      <c r="L9615" s="60" t="n">
        <v>200801</v>
      </c>
      <c r="M9615" s="94">
        <f>VLOOKUP($Q9615,매칭테이블!$F:$I,2,0)*K9615</f>
        <v/>
      </c>
      <c r="N9615" s="94">
        <f>M9615-M9615*VLOOKUP($Q9615,매칭테이블!$F:$I,3,0)</f>
        <v/>
      </c>
      <c r="O9615" s="94">
        <f>VLOOKUP($Q9615,매칭테이블!$F:$I,4,0)*K9615</f>
        <v/>
      </c>
      <c r="P9615" s="148">
        <f>M9615/1.1</f>
        <v/>
      </c>
      <c r="Q9615" s="94">
        <f>F9615&amp;E9615&amp;G9615&amp;L9615</f>
        <v/>
      </c>
    </row>
    <row r="9616" customFormat="1" s="94">
      <c r="B9616" s="128" t="n">
        <v>44102</v>
      </c>
      <c r="C9616" s="94">
        <f>TEXT(B9616,"aaa")</f>
        <v/>
      </c>
      <c r="D9616" s="60" t="n"/>
      <c r="E9616" s="60" t="inlineStr">
        <is>
          <t>앰플</t>
        </is>
      </c>
      <c r="F9616" s="60" t="inlineStr">
        <is>
          <t>카페24</t>
        </is>
      </c>
      <c r="G9616" s="60" t="inlineStr">
        <is>
          <t>앰플 30ml</t>
        </is>
      </c>
      <c r="H9616" s="60" t="n">
        <v>200801</v>
      </c>
      <c r="I9616" s="60" t="n">
        <v>200801</v>
      </c>
      <c r="J9616" s="60" t="n"/>
      <c r="K9616" s="60" t="n">
        <v>15</v>
      </c>
      <c r="L9616" s="60" t="n">
        <v>200801</v>
      </c>
      <c r="M9616" s="94">
        <f>VLOOKUP($Q9616,매칭테이블!$F:$I,2,0)*K9616</f>
        <v/>
      </c>
      <c r="N9616" s="94">
        <f>M9616-M9616*VLOOKUP($Q9616,매칭테이블!$F:$I,3,0)</f>
        <v/>
      </c>
      <c r="O9616" s="94">
        <f>VLOOKUP($Q9616,매칭테이블!$F:$I,4,0)*K9616</f>
        <v/>
      </c>
      <c r="P9616" s="148">
        <f>M9616/1.1</f>
        <v/>
      </c>
      <c r="Q9616" s="94">
        <f>F9616&amp;E9616&amp;G9616&amp;L9616</f>
        <v/>
      </c>
    </row>
    <row r="9617" customFormat="1" s="94">
      <c r="B9617" s="128" t="n">
        <v>44102</v>
      </c>
      <c r="C9617" s="94">
        <f>TEXT(B9617,"aaa")</f>
        <v/>
      </c>
      <c r="D9617" s="60" t="n"/>
      <c r="E9617" s="60" t="inlineStr">
        <is>
          <t>수딩크림</t>
        </is>
      </c>
      <c r="F9617" s="60" t="inlineStr">
        <is>
          <t>카페24</t>
        </is>
      </c>
      <c r="G9617" s="60" t="inlineStr">
        <is>
          <t>수딩크림 100ml</t>
        </is>
      </c>
      <c r="H9617" s="60" t="n">
        <v>200801</v>
      </c>
      <c r="I9617" s="60" t="n">
        <v>200801</v>
      </c>
      <c r="J9617" s="60" t="n"/>
      <c r="K9617" s="60" t="n">
        <v>4</v>
      </c>
      <c r="L9617" s="60" t="n">
        <v>200801</v>
      </c>
      <c r="M9617" s="94">
        <f>VLOOKUP($Q9617,매칭테이블!$F:$I,2,0)*K9617</f>
        <v/>
      </c>
      <c r="N9617" s="94">
        <f>M9617-M9617*VLOOKUP($Q9617,매칭테이블!$F:$I,3,0)</f>
        <v/>
      </c>
      <c r="O9617" s="94">
        <f>VLOOKUP($Q9617,매칭테이블!$F:$I,4,0)*K9617</f>
        <v/>
      </c>
      <c r="P9617" s="148">
        <f>M9617/1.1</f>
        <v/>
      </c>
      <c r="Q9617" s="94">
        <f>F9617&amp;E9617&amp;G9617&amp;L9617</f>
        <v/>
      </c>
    </row>
    <row r="9618" customFormat="1" s="94">
      <c r="B9618" s="128" t="n">
        <v>44102</v>
      </c>
      <c r="C9618" s="94">
        <f>TEXT(B9618,"aaa")</f>
        <v/>
      </c>
      <c r="D9618" s="60" t="n"/>
      <c r="E9618" s="60" t="inlineStr">
        <is>
          <t>클렌징폼</t>
        </is>
      </c>
      <c r="F9618" s="60" t="inlineStr">
        <is>
          <t>카페24</t>
        </is>
      </c>
      <c r="G9618" s="60" t="inlineStr">
        <is>
          <t>클렌징폼 120ml</t>
        </is>
      </c>
      <c r="H9618" s="60" t="n">
        <v>200801</v>
      </c>
      <c r="I9618" s="60" t="n">
        <v>200801</v>
      </c>
      <c r="J9618" s="60" t="n"/>
      <c r="K9618" s="60" t="n">
        <v>2</v>
      </c>
      <c r="L9618" s="60" t="n">
        <v>200801</v>
      </c>
      <c r="M9618" s="94">
        <f>VLOOKUP($Q9618,매칭테이블!$F:$I,2,0)*K9618</f>
        <v/>
      </c>
      <c r="N9618" s="94">
        <f>M9618-M9618*VLOOKUP($Q9618,매칭테이블!$F:$I,3,0)</f>
        <v/>
      </c>
      <c r="O9618" s="94">
        <f>VLOOKUP($Q9618,매칭테이블!$F:$I,4,0)*K9618</f>
        <v/>
      </c>
      <c r="P9618" s="148">
        <f>M9618/1.1</f>
        <v/>
      </c>
      <c r="Q9618" s="94">
        <f>F9618&amp;E9618&amp;G9618&amp;L9618</f>
        <v/>
      </c>
    </row>
    <row r="9619" customFormat="1" s="94">
      <c r="B9619" s="128" t="n">
        <v>44102</v>
      </c>
      <c r="C9619" s="94">
        <f>TEXT(B9619,"aaa")</f>
        <v/>
      </c>
      <c r="D9619" s="60" t="n"/>
      <c r="E9619" s="60" t="inlineStr">
        <is>
          <t>클렌징폼</t>
        </is>
      </c>
      <c r="F9619" s="60" t="inlineStr">
        <is>
          <t>카페24</t>
        </is>
      </c>
      <c r="G9619" s="60" t="inlineStr">
        <is>
          <t>클렌징폼 120ml 2set</t>
        </is>
      </c>
      <c r="H9619" s="60" t="n">
        <v>200801</v>
      </c>
      <c r="I9619" s="60" t="n">
        <v>200801</v>
      </c>
      <c r="J9619" s="60" t="n"/>
      <c r="K9619" s="60" t="n">
        <v>1</v>
      </c>
      <c r="L9619" s="60" t="n">
        <v>200801</v>
      </c>
      <c r="M9619" s="94">
        <f>VLOOKUP($Q9619,매칭테이블!$F:$I,2,0)*K9619</f>
        <v/>
      </c>
      <c r="N9619" s="94">
        <f>M9619-M9619*VLOOKUP($Q9619,매칭테이블!$F:$I,3,0)</f>
        <v/>
      </c>
      <c r="O9619" s="94">
        <f>VLOOKUP($Q9619,매칭테이블!$F:$I,4,0)*K9619</f>
        <v/>
      </c>
      <c r="P9619" s="148">
        <f>M9619/1.1</f>
        <v/>
      </c>
      <c r="Q9619" s="94">
        <f>F9619&amp;E9619&amp;G9619&amp;L9619</f>
        <v/>
      </c>
    </row>
    <row r="9620" customFormat="1" s="94">
      <c r="B9620" s="128" t="n">
        <v>44102</v>
      </c>
      <c r="C9620" s="94">
        <f>TEXT(B9620,"aaa")</f>
        <v/>
      </c>
      <c r="D9620" s="60" t="n"/>
      <c r="E9620" s="60" t="inlineStr">
        <is>
          <t>바디워시</t>
        </is>
      </c>
      <c r="F9620" s="60" t="inlineStr">
        <is>
          <t>카페24</t>
        </is>
      </c>
      <c r="G9620" s="60" t="inlineStr">
        <is>
          <t>바디워시 1개 -30% off</t>
        </is>
      </c>
      <c r="H9620" s="60" t="n">
        <v>200801</v>
      </c>
      <c r="I9620" s="60" t="n">
        <v>200801</v>
      </c>
      <c r="J9620" s="60" t="n"/>
      <c r="K9620" s="60" t="n">
        <v>2</v>
      </c>
      <c r="L9620" s="60" t="n">
        <v>200801</v>
      </c>
      <c r="M9620" s="94">
        <f>VLOOKUP($Q9620,매칭테이블!$F:$I,2,0)*K9620</f>
        <v/>
      </c>
      <c r="N9620" s="94">
        <f>M9620-M9620*VLOOKUP($Q9620,매칭테이블!$F:$I,3,0)</f>
        <v/>
      </c>
      <c r="O9620" s="94">
        <f>VLOOKUP($Q9620,매칭테이블!$F:$I,4,0)*K9620</f>
        <v/>
      </c>
      <c r="P9620" s="148">
        <f>M9620/1.1</f>
        <v/>
      </c>
      <c r="Q9620" s="94">
        <f>F9620&amp;E9620&amp;G9620&amp;L9620</f>
        <v/>
      </c>
    </row>
    <row r="9621" customFormat="1" s="94">
      <c r="B9621" s="128" t="n">
        <v>44102</v>
      </c>
      <c r="C9621" s="94">
        <f>TEXT(B9621,"aaa")</f>
        <v/>
      </c>
      <c r="D9621" s="60" t="n"/>
      <c r="E9621" s="60" t="inlineStr">
        <is>
          <t>토너</t>
        </is>
      </c>
      <c r="F9621" s="60" t="inlineStr">
        <is>
          <t>화해</t>
        </is>
      </c>
      <c r="G9621" s="60" t="inlineStr">
        <is>
          <t>250ml</t>
        </is>
      </c>
      <c r="H9621" s="60" t="n">
        <v>200801</v>
      </c>
      <c r="I9621" s="60" t="n">
        <v>200801</v>
      </c>
      <c r="J9621" s="60" t="n"/>
      <c r="K9621" s="60" t="n">
        <v>6</v>
      </c>
      <c r="L9621" s="60" t="n">
        <v>200801</v>
      </c>
      <c r="M9621" s="94">
        <f>VLOOKUP($Q9621,매칭테이블!$F:$I,2,0)*K9621</f>
        <v/>
      </c>
      <c r="N9621" s="94">
        <f>M9621-M9621*VLOOKUP($Q9621,매칭테이블!$F:$I,3,0)</f>
        <v/>
      </c>
      <c r="O9621" s="94">
        <f>VLOOKUP($Q9621,매칭테이블!$F:$I,4,0)*K9621</f>
        <v/>
      </c>
      <c r="P9621" s="148">
        <f>M9621/1.1</f>
        <v/>
      </c>
      <c r="Q9621" s="94">
        <f>F9621&amp;E9621&amp;G9621&amp;L9621</f>
        <v/>
      </c>
    </row>
    <row r="9622" customFormat="1" s="94">
      <c r="B9622" s="128" t="n">
        <v>44103</v>
      </c>
      <c r="C9622" s="94">
        <f>TEXT(B9622,"aaa")</f>
        <v/>
      </c>
      <c r="D9622" s="60" t="n"/>
      <c r="E9622" s="60" t="inlineStr">
        <is>
          <t>토너</t>
        </is>
      </c>
      <c r="F9622" s="60" t="inlineStr">
        <is>
          <t>스타일쉐어</t>
        </is>
      </c>
      <c r="G9622" s="60" t="inlineStr">
        <is>
          <t>250ml</t>
        </is>
      </c>
      <c r="H9622" s="60" t="n">
        <v>200801</v>
      </c>
      <c r="I9622" s="60" t="n">
        <v>200801</v>
      </c>
      <c r="J9622" s="60" t="n"/>
      <c r="K9622" s="60" t="n">
        <v>4</v>
      </c>
      <c r="L9622" s="60" t="n">
        <v>200801</v>
      </c>
      <c r="M9622" s="94">
        <f>VLOOKUP($Q9622,매칭테이블!$F:$I,2,0)*K9622</f>
        <v/>
      </c>
      <c r="N9622" s="94">
        <f>M9622-M9622*VLOOKUP($Q9622,매칭테이블!$F:$I,3,0)</f>
        <v/>
      </c>
      <c r="O9622" s="94">
        <f>VLOOKUP($Q9622,매칭테이블!$F:$I,4,0)*K9622</f>
        <v/>
      </c>
      <c r="P9622" s="148">
        <f>M9622/1.1</f>
        <v/>
      </c>
      <c r="Q9622" s="94">
        <f>F9622&amp;E9622&amp;G9622&amp;L9622</f>
        <v/>
      </c>
    </row>
    <row r="9623" customFormat="1" s="94">
      <c r="B9623" s="128" t="n">
        <v>44103</v>
      </c>
      <c r="C9623" s="94">
        <f>TEXT(B9623,"aaa")</f>
        <v/>
      </c>
      <c r="D9623" s="60" t="n"/>
      <c r="E9623" s="60" t="inlineStr">
        <is>
          <t>선크림</t>
        </is>
      </c>
      <c r="F9623" s="60" t="inlineStr">
        <is>
          <t>카페24</t>
        </is>
      </c>
      <c r="G9623" s="60" t="inlineStr">
        <is>
          <t>선크림 50ml</t>
        </is>
      </c>
      <c r="H9623" s="60" t="n">
        <v>200801</v>
      </c>
      <c r="I9623" s="60" t="n">
        <v>200801</v>
      </c>
      <c r="J9623" s="60" t="n"/>
      <c r="K9623" s="60" t="n">
        <v>3</v>
      </c>
      <c r="L9623" s="60" t="n">
        <v>200801</v>
      </c>
      <c r="M9623" s="94">
        <f>VLOOKUP($Q9623,매칭테이블!$F:$I,2,0)*K9623</f>
        <v/>
      </c>
      <c r="N9623" s="94">
        <f>M9623-M9623*VLOOKUP($Q9623,매칭테이블!$F:$I,3,0)</f>
        <v/>
      </c>
      <c r="O9623" s="94">
        <f>VLOOKUP($Q9623,매칭테이블!$F:$I,4,0)*K9623</f>
        <v/>
      </c>
      <c r="P9623" s="148">
        <f>M9623/1.1</f>
        <v/>
      </c>
      <c r="Q9623" s="94">
        <f>F9623&amp;E9623&amp;G9623&amp;L9623</f>
        <v/>
      </c>
    </row>
    <row r="9624" customFormat="1" s="94">
      <c r="B9624" s="128" t="n">
        <v>44103</v>
      </c>
      <c r="C9624" s="94">
        <f>TEXT(B9624,"aaa")</f>
        <v/>
      </c>
      <c r="D9624" s="60" t="n"/>
      <c r="E9624" s="60" t="inlineStr">
        <is>
          <t>선크림</t>
        </is>
      </c>
      <c r="F9624" s="60" t="inlineStr">
        <is>
          <t>카페24</t>
        </is>
      </c>
      <c r="G9624" s="60" t="inlineStr">
        <is>
          <t>선크림 50ml  2set</t>
        </is>
      </c>
      <c r="H9624" s="60" t="n">
        <v>200801</v>
      </c>
      <c r="I9624" s="60" t="n">
        <v>200801</v>
      </c>
      <c r="J9624" s="60" t="n"/>
      <c r="K9624" s="60" t="n">
        <v>1</v>
      </c>
      <c r="L9624" s="60" t="n">
        <v>200801</v>
      </c>
      <c r="M9624" s="94">
        <f>VLOOKUP($Q9624,매칭테이블!$F:$I,2,0)*K9624</f>
        <v/>
      </c>
      <c r="N9624" s="94">
        <f>M9624-M9624*VLOOKUP($Q9624,매칭테이블!$F:$I,3,0)</f>
        <v/>
      </c>
      <c r="O9624" s="94">
        <f>VLOOKUP($Q9624,매칭테이블!$F:$I,4,0)*K9624</f>
        <v/>
      </c>
      <c r="P9624" s="148">
        <f>M9624/1.1</f>
        <v/>
      </c>
      <c r="Q9624" s="94">
        <f>F9624&amp;E9624&amp;G9624&amp;L9624</f>
        <v/>
      </c>
    </row>
    <row r="9625" customFormat="1" s="94">
      <c r="B9625" s="128" t="n">
        <v>44103</v>
      </c>
      <c r="C9625" s="94">
        <f>TEXT(B9625,"aaa")</f>
        <v/>
      </c>
      <c r="D9625" s="60" t="n"/>
      <c r="E9625" s="60" t="inlineStr">
        <is>
          <t>어성초진정패키지</t>
        </is>
      </c>
      <c r="F9625" s="60" t="inlineStr">
        <is>
          <t>카페24</t>
        </is>
      </c>
      <c r="G9625" s="60" t="inlineStr">
        <is>
          <t>어성초 진정패키지세트</t>
        </is>
      </c>
      <c r="H9625" s="60" t="n">
        <v>200801</v>
      </c>
      <c r="I9625" s="60" t="n">
        <v>200801</v>
      </c>
      <c r="J9625" s="60" t="n"/>
      <c r="K9625" s="60" t="n">
        <v>1</v>
      </c>
      <c r="L9625" s="60" t="n">
        <v>200801</v>
      </c>
      <c r="M9625" s="94">
        <f>VLOOKUP($Q9625,매칭테이블!$F:$I,2,0)*K9625</f>
        <v/>
      </c>
      <c r="N9625" s="94">
        <f>M9625-M9625*VLOOKUP($Q9625,매칭테이블!$F:$I,3,0)</f>
        <v/>
      </c>
      <c r="O9625" s="94">
        <f>VLOOKUP($Q9625,매칭테이블!$F:$I,4,0)*K9625</f>
        <v/>
      </c>
      <c r="P9625" s="148">
        <f>M9625/1.1</f>
        <v/>
      </c>
      <c r="Q9625" s="94">
        <f>F9625&amp;E9625&amp;G9625&amp;L9625</f>
        <v/>
      </c>
    </row>
    <row r="9626" customFormat="1" s="94">
      <c r="B9626" s="128" t="n">
        <v>44103</v>
      </c>
      <c r="C9626" s="94">
        <f>TEXT(B9626,"aaa")</f>
        <v/>
      </c>
      <c r="D9626" s="60" t="n"/>
      <c r="E9626" s="60" t="inlineStr">
        <is>
          <t>클리어 패드</t>
        </is>
      </c>
      <c r="F9626" s="60" t="inlineStr">
        <is>
          <t>카페24</t>
        </is>
      </c>
      <c r="G9626" s="60" t="inlineStr">
        <is>
          <t>어성초 77 클리어 패드 1개-20% off</t>
        </is>
      </c>
      <c r="H9626" s="60" t="n">
        <v>200801</v>
      </c>
      <c r="I9626" s="60" t="n">
        <v>200801</v>
      </c>
      <c r="J9626" s="60" t="n"/>
      <c r="K9626" s="60" t="n">
        <v>18</v>
      </c>
      <c r="L9626" s="60" t="n">
        <v>200801</v>
      </c>
      <c r="M9626" s="94">
        <f>VLOOKUP($Q9626,매칭테이블!$F:$I,2,0)*K9626</f>
        <v/>
      </c>
      <c r="N9626" s="94">
        <f>M9626-M9626*VLOOKUP($Q9626,매칭테이블!$F:$I,3,0)</f>
        <v/>
      </c>
      <c r="O9626" s="94">
        <f>VLOOKUP($Q9626,매칭테이블!$F:$I,4,0)*K9626</f>
        <v/>
      </c>
      <c r="P9626" s="148">
        <f>M9626/1.1</f>
        <v/>
      </c>
      <c r="Q9626" s="94">
        <f>F9626&amp;E9626&amp;G9626&amp;L9626</f>
        <v/>
      </c>
    </row>
    <row r="9627" customFormat="1" s="94">
      <c r="B9627" s="128" t="n">
        <v>44103</v>
      </c>
      <c r="C9627" s="94">
        <f>TEXT(B9627,"aaa")</f>
        <v/>
      </c>
      <c r="D9627" s="60" t="n"/>
      <c r="E9627" s="60" t="inlineStr">
        <is>
          <t>클리어 패드</t>
        </is>
      </c>
      <c r="F9627" s="60" t="inlineStr">
        <is>
          <t>카페24</t>
        </is>
      </c>
      <c r="G9627" s="60" t="inlineStr">
        <is>
          <t>어성초 77 클리어 패드 2개-30% off</t>
        </is>
      </c>
      <c r="H9627" s="60" t="n">
        <v>200801</v>
      </c>
      <c r="I9627" s="60" t="n">
        <v>200801</v>
      </c>
      <c r="J9627" s="60" t="n"/>
      <c r="K9627" s="60" t="n">
        <v>8</v>
      </c>
      <c r="L9627" s="60" t="n">
        <v>200801</v>
      </c>
      <c r="M9627" s="94">
        <f>VLOOKUP($Q9627,매칭테이블!$F:$I,2,0)*K9627</f>
        <v/>
      </c>
      <c r="N9627" s="94">
        <f>M9627-M9627*VLOOKUP($Q9627,매칭테이블!$F:$I,3,0)</f>
        <v/>
      </c>
      <c r="O9627" s="94">
        <f>VLOOKUP($Q9627,매칭테이블!$F:$I,4,0)*K9627</f>
        <v/>
      </c>
      <c r="P9627" s="148">
        <f>M9627/1.1</f>
        <v/>
      </c>
      <c r="Q9627" s="94">
        <f>F9627&amp;E9627&amp;G9627&amp;L9627</f>
        <v/>
      </c>
    </row>
    <row r="9628" customFormat="1" s="94">
      <c r="B9628" s="128" t="n">
        <v>44103</v>
      </c>
      <c r="C9628" s="94">
        <f>TEXT(B9628,"aaa")</f>
        <v/>
      </c>
      <c r="D9628" s="60" t="n"/>
      <c r="E9628" s="60" t="inlineStr">
        <is>
          <t>토너+패드 세트</t>
        </is>
      </c>
      <c r="F9628" s="60" t="inlineStr">
        <is>
          <t>카페24</t>
        </is>
      </c>
      <c r="G9628" s="60" t="inlineStr">
        <is>
          <t>좁쌀 진정 세트 토너+클리어 패드-30% off</t>
        </is>
      </c>
      <c r="H9628" s="60" t="n">
        <v>200801</v>
      </c>
      <c r="I9628" s="60" t="n">
        <v>200801</v>
      </c>
      <c r="J9628" s="60" t="n"/>
      <c r="K9628" s="60" t="n">
        <v>13</v>
      </c>
      <c r="L9628" s="60" t="n">
        <v>200801</v>
      </c>
      <c r="M9628" s="94">
        <f>VLOOKUP($Q9628,매칭테이블!$F:$I,2,0)*K9628</f>
        <v/>
      </c>
      <c r="N9628" s="94">
        <f>M9628-M9628*VLOOKUP($Q9628,매칭테이블!$F:$I,3,0)</f>
        <v/>
      </c>
      <c r="O9628" s="94">
        <f>VLOOKUP($Q9628,매칭테이블!$F:$I,4,0)*K9628</f>
        <v/>
      </c>
      <c r="P9628" s="148">
        <f>M9628/1.1</f>
        <v/>
      </c>
      <c r="Q9628" s="94">
        <f>F9628&amp;E9628&amp;G9628&amp;L9628</f>
        <v/>
      </c>
    </row>
    <row r="9629" customFormat="1" s="94">
      <c r="B9629" s="128" t="n">
        <v>44103</v>
      </c>
      <c r="C9629" s="94">
        <f>TEXT(B9629,"aaa")</f>
        <v/>
      </c>
      <c r="D9629" s="60" t="n"/>
      <c r="E9629" s="60" t="inlineStr">
        <is>
          <t>수분 보충 세트</t>
        </is>
      </c>
      <c r="F9629" s="60" t="inlineStr">
        <is>
          <t>카페24</t>
        </is>
      </c>
      <c r="G9629" s="60" t="inlineStr">
        <is>
          <t>[20/09/28 부터] 어성초 77 토너 250ml + 어성초 70 로션 200ml -30%</t>
        </is>
      </c>
      <c r="H9629" s="60" t="n">
        <v>200801</v>
      </c>
      <c r="I9629" s="60" t="n">
        <v>200801</v>
      </c>
      <c r="J9629" s="60" t="n"/>
      <c r="K9629" s="60" t="n">
        <v>15</v>
      </c>
      <c r="L9629" s="60" t="n">
        <v>200801</v>
      </c>
      <c r="M9629" s="94">
        <f>VLOOKUP($Q9629,매칭테이블!$F:$I,2,0)*K9629</f>
        <v/>
      </c>
      <c r="N9629" s="94">
        <f>M9629-M9629*VLOOKUP($Q9629,매칭테이블!$F:$I,3,0)</f>
        <v/>
      </c>
      <c r="O9629" s="94">
        <f>VLOOKUP($Q9629,매칭테이블!$F:$I,4,0)*K9629</f>
        <v/>
      </c>
      <c r="P9629" s="148">
        <f>M9629/1.1</f>
        <v/>
      </c>
      <c r="Q9629" s="94">
        <f>F9629&amp;E9629&amp;G9629&amp;L9629</f>
        <v/>
      </c>
    </row>
    <row r="9630" customFormat="1" s="94">
      <c r="B9630" s="128" t="n">
        <v>44103</v>
      </c>
      <c r="C9630" s="94">
        <f>TEXT(B9630,"aaa")</f>
        <v/>
      </c>
      <c r="D9630" s="60" t="n"/>
      <c r="E9630" s="60" t="inlineStr">
        <is>
          <t>로션</t>
        </is>
      </c>
      <c r="F9630" s="60" t="inlineStr">
        <is>
          <t>카페24</t>
        </is>
      </c>
      <c r="G9630" s="60" t="inlineStr">
        <is>
          <t>어성초 70 데일리 릴리프 로션 1개 -20% off</t>
        </is>
      </c>
      <c r="H9630" s="60" t="n">
        <v>200801</v>
      </c>
      <c r="I9630" s="60" t="n">
        <v>200801</v>
      </c>
      <c r="J9630" s="60" t="n"/>
      <c r="K9630" s="60" t="n">
        <v>2</v>
      </c>
      <c r="L9630" s="60" t="n">
        <v>200801</v>
      </c>
      <c r="M9630" s="94">
        <f>VLOOKUP($Q9630,매칭테이블!$F:$I,2,0)*K9630</f>
        <v/>
      </c>
      <c r="N9630" s="94">
        <f>M9630-M9630*VLOOKUP($Q9630,매칭테이블!$F:$I,3,0)</f>
        <v/>
      </c>
      <c r="O9630" s="94">
        <f>VLOOKUP($Q9630,매칭테이블!$F:$I,4,0)*K9630</f>
        <v/>
      </c>
      <c r="P9630" s="148">
        <f>M9630/1.1</f>
        <v/>
      </c>
      <c r="Q9630" s="94">
        <f>F9630&amp;E9630&amp;G9630&amp;L9630</f>
        <v/>
      </c>
    </row>
    <row r="9631" customFormat="1" s="94">
      <c r="B9631" s="128" t="n">
        <v>44103</v>
      </c>
      <c r="C9631" s="94">
        <f>TEXT(B9631,"aaa")</f>
        <v/>
      </c>
      <c r="D9631" s="60" t="n"/>
      <c r="E9631" s="60" t="inlineStr">
        <is>
          <t>로션</t>
        </is>
      </c>
      <c r="F9631" s="60" t="inlineStr">
        <is>
          <t>카페24</t>
        </is>
      </c>
      <c r="G9631" s="60" t="inlineStr">
        <is>
          <t>어성초 70 데일리 릴리프 로션 2개 -30% off</t>
        </is>
      </c>
      <c r="H9631" s="60" t="n">
        <v>200801</v>
      </c>
      <c r="I9631" s="60" t="n">
        <v>200801</v>
      </c>
      <c r="J9631" s="60" t="n"/>
      <c r="K9631" s="60" t="n">
        <v>2</v>
      </c>
      <c r="L9631" s="60" t="n">
        <v>200801</v>
      </c>
      <c r="M9631" s="94">
        <f>VLOOKUP($Q9631,매칭테이블!$F:$I,2,0)*K9631</f>
        <v/>
      </c>
      <c r="N9631" s="94">
        <f>M9631-M9631*VLOOKUP($Q9631,매칭테이블!$F:$I,3,0)</f>
        <v/>
      </c>
      <c r="O9631" s="94">
        <f>VLOOKUP($Q9631,매칭테이블!$F:$I,4,0)*K9631</f>
        <v/>
      </c>
      <c r="P9631" s="148">
        <f>M9631/1.1</f>
        <v/>
      </c>
      <c r="Q9631" s="94">
        <f>F9631&amp;E9631&amp;G9631&amp;L9631</f>
        <v/>
      </c>
    </row>
    <row r="9632" customFormat="1" s="94">
      <c r="B9632" s="128" t="n">
        <v>44103</v>
      </c>
      <c r="C9632" s="94">
        <f>TEXT(B9632,"aaa")</f>
        <v/>
      </c>
      <c r="D9632" s="60" t="n"/>
      <c r="E9632" s="60" t="inlineStr">
        <is>
          <t>머드크림마스크</t>
        </is>
      </c>
      <c r="F9632" s="60" t="inlineStr">
        <is>
          <t>카페24</t>
        </is>
      </c>
      <c r="G9632" s="60" t="inlineStr">
        <is>
          <t>머드크림마스크 100ml</t>
        </is>
      </c>
      <c r="H9632" s="60" t="n">
        <v>200801</v>
      </c>
      <c r="I9632" s="60" t="n">
        <v>200801</v>
      </c>
      <c r="J9632" s="60" t="n"/>
      <c r="K9632" s="60" t="n">
        <v>2</v>
      </c>
      <c r="L9632" s="60" t="n">
        <v>200801</v>
      </c>
      <c r="M9632" s="94">
        <f>VLOOKUP($Q9632,매칭테이블!$F:$I,2,0)*K9632</f>
        <v/>
      </c>
      <c r="N9632" s="94">
        <f>M9632-M9632*VLOOKUP($Q9632,매칭테이블!$F:$I,3,0)</f>
        <v/>
      </c>
      <c r="O9632" s="94">
        <f>VLOOKUP($Q9632,매칭테이블!$F:$I,4,0)*K9632</f>
        <v/>
      </c>
      <c r="P9632" s="148">
        <f>M9632/1.1</f>
        <v/>
      </c>
      <c r="Q9632" s="94">
        <f>F9632&amp;E9632&amp;G9632&amp;L9632</f>
        <v/>
      </c>
    </row>
    <row r="9633" customFormat="1" s="94">
      <c r="B9633" s="128" t="n">
        <v>44103</v>
      </c>
      <c r="C9633" s="94">
        <f>TEXT(B9633,"aaa")</f>
        <v/>
      </c>
      <c r="D9633" s="60" t="n"/>
      <c r="E9633" s="60" t="inlineStr">
        <is>
          <t>마스크팩</t>
        </is>
      </c>
      <c r="F9633" s="60" t="inlineStr">
        <is>
          <t>카페24</t>
        </is>
      </c>
      <c r="G9633" s="60" t="inlineStr">
        <is>
          <t>마스크팩 1매</t>
        </is>
      </c>
      <c r="H9633" s="60" t="n">
        <v>200801</v>
      </c>
      <c r="I9633" s="60" t="n">
        <v>200801</v>
      </c>
      <c r="J9633" s="60" t="n"/>
      <c r="K9633" s="60" t="n">
        <v>1</v>
      </c>
      <c r="L9633" s="60" t="n">
        <v>200801</v>
      </c>
      <c r="M9633" s="94">
        <f>VLOOKUP($Q9633,매칭테이블!$F:$I,2,0)*K9633</f>
        <v/>
      </c>
      <c r="N9633" s="94">
        <f>M9633-M9633*VLOOKUP($Q9633,매칭테이블!$F:$I,3,0)</f>
        <v/>
      </c>
      <c r="O9633" s="94">
        <f>VLOOKUP($Q9633,매칭테이블!$F:$I,4,0)*K9633</f>
        <v/>
      </c>
      <c r="P9633" s="148">
        <f>M9633/1.1</f>
        <v/>
      </c>
      <c r="Q9633" s="94">
        <f>F9633&amp;E9633&amp;G9633&amp;L9633</f>
        <v/>
      </c>
    </row>
    <row r="9634" customFormat="1" s="94">
      <c r="B9634" s="128" t="n">
        <v>44103</v>
      </c>
      <c r="C9634" s="94">
        <f>TEXT(B9634,"aaa")</f>
        <v/>
      </c>
      <c r="D9634" s="60" t="n"/>
      <c r="E9634" s="60" t="inlineStr">
        <is>
          <t>마스크팩</t>
        </is>
      </c>
      <c r="F9634" s="60" t="inlineStr">
        <is>
          <t>카페24</t>
        </is>
      </c>
      <c r="G9634" s="60" t="inlineStr">
        <is>
          <t>마스크팩 10매</t>
        </is>
      </c>
      <c r="H9634" s="60" t="n">
        <v>200801</v>
      </c>
      <c r="I9634" s="60" t="n">
        <v>200801</v>
      </c>
      <c r="J9634" s="60" t="n"/>
      <c r="K9634" s="60" t="n">
        <v>7</v>
      </c>
      <c r="L9634" s="60" t="n">
        <v>200801</v>
      </c>
      <c r="M9634" s="94">
        <f>VLOOKUP($Q9634,매칭테이블!$F:$I,2,0)*K9634</f>
        <v/>
      </c>
      <c r="N9634" s="94">
        <f>M9634-M9634*VLOOKUP($Q9634,매칭테이블!$F:$I,3,0)</f>
        <v/>
      </c>
      <c r="O9634" s="94">
        <f>VLOOKUP($Q9634,매칭테이블!$F:$I,4,0)*K9634</f>
        <v/>
      </c>
      <c r="P9634" s="148">
        <f>M9634/1.1</f>
        <v/>
      </c>
      <c r="Q9634" s="94">
        <f>F9634&amp;E9634&amp;G9634&amp;L9634</f>
        <v/>
      </c>
    </row>
    <row r="9635" customFormat="1" s="94">
      <c r="B9635" s="128" t="n">
        <v>44103</v>
      </c>
      <c r="C9635" s="94">
        <f>TEXT(B9635,"aaa")</f>
        <v/>
      </c>
      <c r="D9635" s="60" t="n"/>
      <c r="E9635" s="60" t="inlineStr">
        <is>
          <t>토너</t>
        </is>
      </c>
      <c r="F9635" s="60" t="inlineStr">
        <is>
          <t>카페24</t>
        </is>
      </c>
      <c r="G9635" s="60" t="inlineStr">
        <is>
          <t>250ml</t>
        </is>
      </c>
      <c r="H9635" s="60" t="n">
        <v>200801</v>
      </c>
      <c r="I9635" s="60" t="n">
        <v>200801</v>
      </c>
      <c r="J9635" s="60" t="n"/>
      <c r="K9635" s="60" t="n">
        <v>30</v>
      </c>
      <c r="L9635" s="60" t="n">
        <v>200801</v>
      </c>
      <c r="M9635" s="94">
        <f>VLOOKUP($Q9635,매칭테이블!$F:$I,2,0)*K9635</f>
        <v/>
      </c>
      <c r="N9635" s="94">
        <f>M9635-M9635*VLOOKUP($Q9635,매칭테이블!$F:$I,3,0)</f>
        <v/>
      </c>
      <c r="O9635" s="94">
        <f>VLOOKUP($Q9635,매칭테이블!$F:$I,4,0)*K9635</f>
        <v/>
      </c>
      <c r="P9635" s="148">
        <f>M9635/1.1</f>
        <v/>
      </c>
      <c r="Q9635" s="94">
        <f>F9635&amp;E9635&amp;G9635&amp;L9635</f>
        <v/>
      </c>
    </row>
    <row r="9636" customFormat="1" s="94">
      <c r="B9636" s="128" t="n">
        <v>44103</v>
      </c>
      <c r="C9636" s="94">
        <f>TEXT(B9636,"aaa")</f>
        <v/>
      </c>
      <c r="D9636" s="60" t="n"/>
      <c r="E9636" s="60" t="inlineStr">
        <is>
          <t>토너</t>
        </is>
      </c>
      <c r="F9636" s="60" t="inlineStr">
        <is>
          <t>카페24</t>
        </is>
      </c>
      <c r="G9636" s="60" t="inlineStr">
        <is>
          <t>250ml 2set</t>
        </is>
      </c>
      <c r="H9636" s="60" t="n">
        <v>200801</v>
      </c>
      <c r="I9636" s="60" t="n">
        <v>200801</v>
      </c>
      <c r="J9636" s="60" t="n"/>
      <c r="K9636" s="60" t="n">
        <v>14</v>
      </c>
      <c r="L9636" s="60" t="n">
        <v>200801</v>
      </c>
      <c r="M9636" s="94">
        <f>VLOOKUP($Q9636,매칭테이블!$F:$I,2,0)*K9636</f>
        <v/>
      </c>
      <c r="N9636" s="94">
        <f>M9636-M9636*VLOOKUP($Q9636,매칭테이블!$F:$I,3,0)</f>
        <v/>
      </c>
      <c r="O9636" s="94">
        <f>VLOOKUP($Q9636,매칭테이블!$F:$I,4,0)*K9636</f>
        <v/>
      </c>
      <c r="P9636" s="148">
        <f>M9636/1.1</f>
        <v/>
      </c>
      <c r="Q9636" s="94">
        <f>F9636&amp;E9636&amp;G9636&amp;L9636</f>
        <v/>
      </c>
    </row>
    <row r="9637" customFormat="1" s="94">
      <c r="B9637" s="128" t="n">
        <v>44103</v>
      </c>
      <c r="C9637" s="94">
        <f>TEXT(B9637,"aaa")</f>
        <v/>
      </c>
      <c r="D9637" s="60" t="n"/>
      <c r="E9637" s="60" t="inlineStr">
        <is>
          <t>토너</t>
        </is>
      </c>
      <c r="F9637" s="60" t="inlineStr">
        <is>
          <t>카페24</t>
        </is>
      </c>
      <c r="G9637" s="60" t="inlineStr">
        <is>
          <t>500ml</t>
        </is>
      </c>
      <c r="H9637" s="60" t="n">
        <v>200801</v>
      </c>
      <c r="I9637" s="60" t="n">
        <v>200801</v>
      </c>
      <c r="J9637" s="60" t="n"/>
      <c r="K9637" s="60" t="n">
        <v>21</v>
      </c>
      <c r="L9637" s="60" t="n">
        <v>200801</v>
      </c>
      <c r="M9637" s="94">
        <f>VLOOKUP($Q9637,매칭테이블!$F:$I,2,0)*K9637</f>
        <v/>
      </c>
      <c r="N9637" s="94">
        <f>M9637-M9637*VLOOKUP($Q9637,매칭테이블!$F:$I,3,0)</f>
        <v/>
      </c>
      <c r="O9637" s="94">
        <f>VLOOKUP($Q9637,매칭테이블!$F:$I,4,0)*K9637</f>
        <v/>
      </c>
      <c r="P9637" s="148">
        <f>M9637/1.1</f>
        <v/>
      </c>
      <c r="Q9637" s="94">
        <f>F9637&amp;E9637&amp;G9637&amp;L9637</f>
        <v/>
      </c>
    </row>
    <row r="9638" customFormat="1" s="94">
      <c r="B9638" s="128" t="n">
        <v>44103</v>
      </c>
      <c r="C9638" s="94">
        <f>TEXT(B9638,"aaa")</f>
        <v/>
      </c>
      <c r="D9638" s="60" t="n"/>
      <c r="E9638" s="60" t="inlineStr">
        <is>
          <t>토너</t>
        </is>
      </c>
      <c r="F9638" s="60" t="inlineStr">
        <is>
          <t>카페24</t>
        </is>
      </c>
      <c r="G9638" s="60" t="inlineStr">
        <is>
          <t>스킨팩 화장솜 60P</t>
        </is>
      </c>
      <c r="H9638" s="60" t="n">
        <v>200801</v>
      </c>
      <c r="I9638" s="60" t="n">
        <v>200801</v>
      </c>
      <c r="J9638" s="60" t="n"/>
      <c r="K9638" s="60" t="n">
        <v>32</v>
      </c>
      <c r="L9638" s="60" t="n">
        <v>200801</v>
      </c>
      <c r="M9638" s="94">
        <f>VLOOKUP($Q9638,매칭테이블!$F:$I,2,0)*K9638</f>
        <v/>
      </c>
      <c r="N9638" s="94">
        <f>M9638-M9638*VLOOKUP($Q9638,매칭테이블!$F:$I,3,0)</f>
        <v/>
      </c>
      <c r="O9638" s="94">
        <f>VLOOKUP($Q9638,매칭테이블!$F:$I,4,0)*K9638</f>
        <v/>
      </c>
      <c r="P9638" s="148">
        <f>M9638/1.1</f>
        <v/>
      </c>
      <c r="Q9638" s="94">
        <f>F9638&amp;E9638&amp;G9638&amp;L9638</f>
        <v/>
      </c>
    </row>
    <row r="9639" customFormat="1" s="94">
      <c r="B9639" s="128" t="n">
        <v>44103</v>
      </c>
      <c r="C9639" s="94">
        <f>TEXT(B9639,"aaa")</f>
        <v/>
      </c>
      <c r="D9639" s="60" t="n"/>
      <c r="E9639" s="60" t="inlineStr">
        <is>
          <t>앰플</t>
        </is>
      </c>
      <c r="F9639" s="60" t="inlineStr">
        <is>
          <t>카페24</t>
        </is>
      </c>
      <c r="G9639" s="60" t="inlineStr">
        <is>
          <t>앰플 30ml</t>
        </is>
      </c>
      <c r="H9639" s="60" t="n">
        <v>200801</v>
      </c>
      <c r="I9639" s="60" t="n">
        <v>200801</v>
      </c>
      <c r="J9639" s="60" t="n"/>
      <c r="K9639" s="60" t="n">
        <v>24</v>
      </c>
      <c r="L9639" s="60" t="n">
        <v>200801</v>
      </c>
      <c r="M9639" s="94">
        <f>VLOOKUP($Q9639,매칭테이블!$F:$I,2,0)*K9639</f>
        <v/>
      </c>
      <c r="N9639" s="94">
        <f>M9639-M9639*VLOOKUP($Q9639,매칭테이블!$F:$I,3,0)</f>
        <v/>
      </c>
      <c r="O9639" s="94">
        <f>VLOOKUP($Q9639,매칭테이블!$F:$I,4,0)*K9639</f>
        <v/>
      </c>
      <c r="P9639" s="148">
        <f>M9639/1.1</f>
        <v/>
      </c>
      <c r="Q9639" s="94">
        <f>F9639&amp;E9639&amp;G9639&amp;L9639</f>
        <v/>
      </c>
    </row>
    <row r="9640" customFormat="1" s="94">
      <c r="B9640" s="128" t="n">
        <v>44103</v>
      </c>
      <c r="C9640" s="94">
        <f>TEXT(B9640,"aaa")</f>
        <v/>
      </c>
      <c r="D9640" s="60" t="n"/>
      <c r="E9640" s="60" t="inlineStr">
        <is>
          <t>앰플</t>
        </is>
      </c>
      <c r="F9640" s="60" t="inlineStr">
        <is>
          <t>카페24</t>
        </is>
      </c>
      <c r="G9640" s="60" t="inlineStr">
        <is>
          <t>앰플 30ml  2set</t>
        </is>
      </c>
      <c r="H9640" s="60" t="n">
        <v>200801</v>
      </c>
      <c r="I9640" s="60" t="n">
        <v>200801</v>
      </c>
      <c r="J9640" s="60" t="n"/>
      <c r="K9640" s="60" t="n">
        <v>6</v>
      </c>
      <c r="L9640" s="60" t="n">
        <v>200801</v>
      </c>
      <c r="M9640" s="94">
        <f>VLOOKUP($Q9640,매칭테이블!$F:$I,2,0)*K9640</f>
        <v/>
      </c>
      <c r="N9640" s="94">
        <f>M9640-M9640*VLOOKUP($Q9640,매칭테이블!$F:$I,3,0)</f>
        <v/>
      </c>
      <c r="O9640" s="94">
        <f>VLOOKUP($Q9640,매칭테이블!$F:$I,4,0)*K9640</f>
        <v/>
      </c>
      <c r="P9640" s="148">
        <f>M9640/1.1</f>
        <v/>
      </c>
      <c r="Q9640" s="94">
        <f>F9640&amp;E9640&amp;G9640&amp;L9640</f>
        <v/>
      </c>
    </row>
    <row r="9641" customFormat="1" s="94">
      <c r="B9641" s="128" t="n">
        <v>44103</v>
      </c>
      <c r="C9641" s="94">
        <f>TEXT(B9641,"aaa")</f>
        <v/>
      </c>
      <c r="D9641" s="60" t="n"/>
      <c r="E9641" s="60" t="inlineStr">
        <is>
          <t>수딩크림</t>
        </is>
      </c>
      <c r="F9641" s="60" t="inlineStr">
        <is>
          <t>카페24</t>
        </is>
      </c>
      <c r="G9641" s="60" t="inlineStr">
        <is>
          <t>수딩크림 100ml</t>
        </is>
      </c>
      <c r="H9641" s="60" t="n">
        <v>200801</v>
      </c>
      <c r="I9641" s="60" t="n">
        <v>200801</v>
      </c>
      <c r="J9641" s="60" t="n"/>
      <c r="K9641" s="60" t="n">
        <v>1</v>
      </c>
      <c r="L9641" s="60" t="n">
        <v>200801</v>
      </c>
      <c r="M9641" s="94">
        <f>VLOOKUP($Q9641,매칭테이블!$F:$I,2,0)*K9641</f>
        <v/>
      </c>
      <c r="N9641" s="94">
        <f>M9641-M9641*VLOOKUP($Q9641,매칭테이블!$F:$I,3,0)</f>
        <v/>
      </c>
      <c r="O9641" s="94">
        <f>VLOOKUP($Q9641,매칭테이블!$F:$I,4,0)*K9641</f>
        <v/>
      </c>
      <c r="P9641" s="148">
        <f>M9641/1.1</f>
        <v/>
      </c>
      <c r="Q9641" s="94">
        <f>F9641&amp;E9641&amp;G9641&amp;L9641</f>
        <v/>
      </c>
    </row>
    <row r="9642" customFormat="1" s="94">
      <c r="B9642" s="128" t="n">
        <v>44103</v>
      </c>
      <c r="C9642" s="94">
        <f>TEXT(B9642,"aaa")</f>
        <v/>
      </c>
      <c r="D9642" s="60" t="n"/>
      <c r="E9642" s="60" t="inlineStr">
        <is>
          <t>클렌징폼</t>
        </is>
      </c>
      <c r="F9642" s="60" t="inlineStr">
        <is>
          <t>카페24</t>
        </is>
      </c>
      <c r="G9642" s="60" t="inlineStr">
        <is>
          <t>클렌징폼 120ml</t>
        </is>
      </c>
      <c r="H9642" s="60" t="n">
        <v>200801</v>
      </c>
      <c r="I9642" s="60" t="n">
        <v>200801</v>
      </c>
      <c r="J9642" s="60" t="n"/>
      <c r="K9642" s="60" t="n">
        <v>5</v>
      </c>
      <c r="L9642" s="60" t="n">
        <v>200801</v>
      </c>
      <c r="M9642" s="94">
        <f>VLOOKUP($Q9642,매칭테이블!$F:$I,2,0)*K9642</f>
        <v/>
      </c>
      <c r="N9642" s="94">
        <f>M9642-M9642*VLOOKUP($Q9642,매칭테이블!$F:$I,3,0)</f>
        <v/>
      </c>
      <c r="O9642" s="94">
        <f>VLOOKUP($Q9642,매칭테이블!$F:$I,4,0)*K9642</f>
        <v/>
      </c>
      <c r="P9642" s="148">
        <f>M9642/1.1</f>
        <v/>
      </c>
      <c r="Q9642" s="94">
        <f>F9642&amp;E9642&amp;G9642&amp;L9642</f>
        <v/>
      </c>
    </row>
    <row r="9643" customFormat="1" s="94">
      <c r="B9643" s="128" t="n">
        <v>44103</v>
      </c>
      <c r="C9643" s="94">
        <f>TEXT(B9643,"aaa")</f>
        <v/>
      </c>
      <c r="D9643" s="60" t="n"/>
      <c r="E9643" s="60" t="inlineStr">
        <is>
          <t>클렌징폼</t>
        </is>
      </c>
      <c r="F9643" s="60" t="inlineStr">
        <is>
          <t>카페24</t>
        </is>
      </c>
      <c r="G9643" s="60" t="inlineStr">
        <is>
          <t>클렌징폼 120ml 2set</t>
        </is>
      </c>
      <c r="H9643" s="60" t="n">
        <v>200801</v>
      </c>
      <c r="I9643" s="60" t="n">
        <v>200801</v>
      </c>
      <c r="J9643" s="60" t="n"/>
      <c r="K9643" s="60" t="n">
        <v>3</v>
      </c>
      <c r="L9643" s="60" t="n">
        <v>200801</v>
      </c>
      <c r="M9643" s="94">
        <f>VLOOKUP($Q9643,매칭테이블!$F:$I,2,0)*K9643</f>
        <v/>
      </c>
      <c r="N9643" s="94">
        <f>M9643-M9643*VLOOKUP($Q9643,매칭테이블!$F:$I,3,0)</f>
        <v/>
      </c>
      <c r="O9643" s="94">
        <f>VLOOKUP($Q9643,매칭테이블!$F:$I,4,0)*K9643</f>
        <v/>
      </c>
      <c r="P9643" s="148">
        <f>M9643/1.1</f>
        <v/>
      </c>
      <c r="Q9643" s="94">
        <f>F9643&amp;E9643&amp;G9643&amp;L9643</f>
        <v/>
      </c>
    </row>
    <row r="9644" customFormat="1" s="94">
      <c r="B9644" s="128" t="n">
        <v>44103</v>
      </c>
      <c r="C9644" s="94">
        <f>TEXT(B9644,"aaa")</f>
        <v/>
      </c>
      <c r="D9644" s="60" t="n"/>
      <c r="E9644" s="60" t="inlineStr">
        <is>
          <t>클렌징폼</t>
        </is>
      </c>
      <c r="F9644" s="60" t="inlineStr">
        <is>
          <t>카페24</t>
        </is>
      </c>
      <c r="G9644" s="60" t="inlineStr">
        <is>
          <t>클렌징폼 120ml 3set</t>
        </is>
      </c>
      <c r="H9644" s="60" t="n">
        <v>200801</v>
      </c>
      <c r="I9644" s="60" t="n">
        <v>200801</v>
      </c>
      <c r="J9644" s="60" t="n"/>
      <c r="K9644" s="60" t="n">
        <v>1</v>
      </c>
      <c r="L9644" s="60" t="n">
        <v>200801</v>
      </c>
      <c r="M9644" s="94">
        <f>VLOOKUP($Q9644,매칭테이블!$F:$I,2,0)*K9644</f>
        <v/>
      </c>
      <c r="N9644" s="94">
        <f>M9644-M9644*VLOOKUP($Q9644,매칭테이블!$F:$I,3,0)</f>
        <v/>
      </c>
      <c r="O9644" s="94">
        <f>VLOOKUP($Q9644,매칭테이블!$F:$I,4,0)*K9644</f>
        <v/>
      </c>
      <c r="P9644" s="148">
        <f>M9644/1.1</f>
        <v/>
      </c>
      <c r="Q9644" s="94">
        <f>F9644&amp;E9644&amp;G9644&amp;L9644</f>
        <v/>
      </c>
    </row>
    <row r="9645" customFormat="1" s="94">
      <c r="B9645" s="128" t="n">
        <v>44103</v>
      </c>
      <c r="C9645" s="94">
        <f>TEXT(B9645,"aaa")</f>
        <v/>
      </c>
      <c r="D9645" s="60" t="n"/>
      <c r="E9645" s="60" t="inlineStr">
        <is>
          <t>바디워시</t>
        </is>
      </c>
      <c r="F9645" s="60" t="inlineStr">
        <is>
          <t>카페24</t>
        </is>
      </c>
      <c r="G9645" s="60" t="inlineStr">
        <is>
          <t>바디워시 1개 -30% off</t>
        </is>
      </c>
      <c r="H9645" s="60" t="n">
        <v>200801</v>
      </c>
      <c r="I9645" s="60" t="n">
        <v>200801</v>
      </c>
      <c r="J9645" s="60" t="n"/>
      <c r="K9645" s="60" t="n">
        <v>2</v>
      </c>
      <c r="L9645" s="60" t="n">
        <v>200801</v>
      </c>
      <c r="M9645" s="94">
        <f>VLOOKUP($Q9645,매칭테이블!$F:$I,2,0)*K9645</f>
        <v/>
      </c>
      <c r="N9645" s="94">
        <f>M9645-M9645*VLOOKUP($Q9645,매칭테이블!$F:$I,3,0)</f>
        <v/>
      </c>
      <c r="O9645" s="94">
        <f>VLOOKUP($Q9645,매칭테이블!$F:$I,4,0)*K9645</f>
        <v/>
      </c>
      <c r="P9645" s="148">
        <f>M9645/1.1</f>
        <v/>
      </c>
      <c r="Q9645" s="94">
        <f>F9645&amp;E9645&amp;G9645&amp;L9645</f>
        <v/>
      </c>
    </row>
    <row r="9646" customFormat="1" s="94">
      <c r="B9646" s="128" t="n">
        <v>44103</v>
      </c>
      <c r="C9646" s="94">
        <f>TEXT(B9646,"aaa")</f>
        <v/>
      </c>
      <c r="D9646" s="60" t="n"/>
      <c r="E9646" s="60" t="inlineStr">
        <is>
          <t>토너</t>
        </is>
      </c>
      <c r="F9646" s="60" t="inlineStr">
        <is>
          <t>화해</t>
        </is>
      </c>
      <c r="G9646" s="60" t="inlineStr">
        <is>
          <t>250ml</t>
        </is>
      </c>
      <c r="H9646" s="60" t="n">
        <v>200801</v>
      </c>
      <c r="I9646" s="60" t="n">
        <v>200801</v>
      </c>
      <c r="J9646" s="60" t="n"/>
      <c r="K9646" s="60" t="n">
        <v>4</v>
      </c>
      <c r="L9646" s="60" t="n">
        <v>200801</v>
      </c>
      <c r="M9646" s="94">
        <f>VLOOKUP($Q9646,매칭테이블!$F:$I,2,0)*K9646</f>
        <v/>
      </c>
      <c r="N9646" s="94">
        <f>M9646-M9646*VLOOKUP($Q9646,매칭테이블!$F:$I,3,0)</f>
        <v/>
      </c>
      <c r="O9646" s="94">
        <f>VLOOKUP($Q9646,매칭테이블!$F:$I,4,0)*K9646</f>
        <v/>
      </c>
      <c r="P9646" s="148">
        <f>M9646/1.1</f>
        <v/>
      </c>
      <c r="Q9646" s="94">
        <f>F9646&amp;E9646&amp;G9646&amp;L9646</f>
        <v/>
      </c>
    </row>
    <row r="9647" customFormat="1" s="94">
      <c r="B9647" s="128" t="n">
        <v>44104</v>
      </c>
      <c r="C9647" s="94">
        <f>TEXT(B9647,"aaa")</f>
        <v/>
      </c>
      <c r="D9647" s="60" t="n"/>
      <c r="E9647" s="60" t="inlineStr">
        <is>
          <t>토너</t>
        </is>
      </c>
      <c r="F9647" s="60" t="inlineStr">
        <is>
          <t>스타일쉐어</t>
        </is>
      </c>
      <c r="G9647" s="60" t="inlineStr">
        <is>
          <t>250ml</t>
        </is>
      </c>
      <c r="H9647" s="60" t="n">
        <v>200801</v>
      </c>
      <c r="I9647" s="60" t="n">
        <v>200801</v>
      </c>
      <c r="J9647" s="60" t="n"/>
      <c r="K9647" s="60" t="n">
        <v>1</v>
      </c>
      <c r="L9647" s="60" t="n">
        <v>200801</v>
      </c>
      <c r="M9647" s="94">
        <f>VLOOKUP($Q9647,매칭테이블!$F:$I,2,0)*K9647</f>
        <v/>
      </c>
      <c r="N9647" s="94">
        <f>M9647-M9647*VLOOKUP($Q9647,매칭테이블!$F:$I,3,0)</f>
        <v/>
      </c>
      <c r="O9647" s="94">
        <f>VLOOKUP($Q9647,매칭테이블!$F:$I,4,0)*K9647</f>
        <v/>
      </c>
      <c r="P9647" s="148">
        <f>M9647/1.1</f>
        <v/>
      </c>
      <c r="Q9647" s="94">
        <f>F9647&amp;E9647&amp;G9647&amp;L9647</f>
        <v/>
      </c>
    </row>
    <row r="9648" customFormat="1" s="94">
      <c r="B9648" s="128" t="n">
        <v>44104</v>
      </c>
      <c r="C9648" s="94">
        <f>TEXT(B9648,"aaa")</f>
        <v/>
      </c>
      <c r="D9648" s="60" t="n"/>
      <c r="E9648" s="60" t="inlineStr">
        <is>
          <t>선크림</t>
        </is>
      </c>
      <c r="F9648" s="60" t="inlineStr">
        <is>
          <t>카페24</t>
        </is>
      </c>
      <c r="G9648" s="60" t="inlineStr">
        <is>
          <t>선크림 50ml</t>
        </is>
      </c>
      <c r="H9648" s="60" t="n">
        <v>200801</v>
      </c>
      <c r="I9648" s="60" t="n">
        <v>200801</v>
      </c>
      <c r="J9648" s="60" t="n"/>
      <c r="K9648" s="60" t="n">
        <v>3</v>
      </c>
      <c r="L9648" s="60" t="n">
        <v>200801</v>
      </c>
      <c r="M9648" s="94">
        <f>VLOOKUP($Q9648,매칭테이블!$F:$I,2,0)*K9648</f>
        <v/>
      </c>
      <c r="N9648" s="94">
        <f>M9648-M9648*VLOOKUP($Q9648,매칭테이블!$F:$I,3,0)</f>
        <v/>
      </c>
      <c r="O9648" s="94">
        <f>VLOOKUP($Q9648,매칭테이블!$F:$I,4,0)*K9648</f>
        <v/>
      </c>
      <c r="P9648" s="148">
        <f>M9648/1.1</f>
        <v/>
      </c>
      <c r="Q9648" s="94">
        <f>F9648&amp;E9648&amp;G9648&amp;L9648</f>
        <v/>
      </c>
    </row>
    <row r="9649" customFormat="1" s="94">
      <c r="B9649" s="128" t="n">
        <v>44104</v>
      </c>
      <c r="C9649" s="94">
        <f>TEXT(B9649,"aaa")</f>
        <v/>
      </c>
      <c r="D9649" s="60" t="n"/>
      <c r="E9649" s="60" t="inlineStr">
        <is>
          <t>어성초진정패키지</t>
        </is>
      </c>
      <c r="F9649" s="60" t="inlineStr">
        <is>
          <t>카페24</t>
        </is>
      </c>
      <c r="G9649" s="60" t="inlineStr">
        <is>
          <t>어성초 진정패키지세트</t>
        </is>
      </c>
      <c r="H9649" s="60" t="n">
        <v>200801</v>
      </c>
      <c r="I9649" s="60" t="n">
        <v>200801</v>
      </c>
      <c r="J9649" s="60" t="n"/>
      <c r="K9649" s="60" t="n">
        <v>2</v>
      </c>
      <c r="L9649" s="60" t="n">
        <v>200801</v>
      </c>
      <c r="M9649" s="94">
        <f>VLOOKUP($Q9649,매칭테이블!$F:$I,2,0)*K9649</f>
        <v/>
      </c>
      <c r="N9649" s="94">
        <f>M9649-M9649*VLOOKUP($Q9649,매칭테이블!$F:$I,3,0)</f>
        <v/>
      </c>
      <c r="O9649" s="94">
        <f>VLOOKUP($Q9649,매칭테이블!$F:$I,4,0)*K9649</f>
        <v/>
      </c>
      <c r="P9649" s="148">
        <f>M9649/1.1</f>
        <v/>
      </c>
      <c r="Q9649" s="94">
        <f>F9649&amp;E9649&amp;G9649&amp;L9649</f>
        <v/>
      </c>
    </row>
    <row r="9650" customFormat="1" s="94">
      <c r="B9650" s="128" t="n">
        <v>44104</v>
      </c>
      <c r="C9650" s="94">
        <f>TEXT(B9650,"aaa")</f>
        <v/>
      </c>
      <c r="D9650" s="60" t="n"/>
      <c r="E9650" s="60" t="inlineStr">
        <is>
          <t>클리어 패드</t>
        </is>
      </c>
      <c r="F9650" s="60" t="inlineStr">
        <is>
          <t>카페24</t>
        </is>
      </c>
      <c r="G9650" s="60" t="inlineStr">
        <is>
          <t>어성초 77 클리어 패드 1개-20% off</t>
        </is>
      </c>
      <c r="H9650" s="60" t="n">
        <v>200801</v>
      </c>
      <c r="I9650" s="60" t="n">
        <v>200801</v>
      </c>
      <c r="J9650" s="60" t="n"/>
      <c r="K9650" s="60" t="n">
        <v>9</v>
      </c>
      <c r="L9650" s="60" t="n">
        <v>200801</v>
      </c>
      <c r="M9650" s="94">
        <f>VLOOKUP($Q9650,매칭테이블!$F:$I,2,0)*K9650</f>
        <v/>
      </c>
      <c r="N9650" s="94">
        <f>M9650-M9650*VLOOKUP($Q9650,매칭테이블!$F:$I,3,0)</f>
        <v/>
      </c>
      <c r="O9650" s="94">
        <f>VLOOKUP($Q9650,매칭테이블!$F:$I,4,0)*K9650</f>
        <v/>
      </c>
      <c r="P9650" s="148">
        <f>M9650/1.1</f>
        <v/>
      </c>
      <c r="Q9650" s="94">
        <f>F9650&amp;E9650&amp;G9650&amp;L9650</f>
        <v/>
      </c>
    </row>
    <row r="9651" customFormat="1" s="94">
      <c r="B9651" s="128" t="n">
        <v>44104</v>
      </c>
      <c r="C9651" s="94">
        <f>TEXT(B9651,"aaa")</f>
        <v/>
      </c>
      <c r="D9651" s="60" t="n"/>
      <c r="E9651" s="60" t="inlineStr">
        <is>
          <t>클리어 패드</t>
        </is>
      </c>
      <c r="F9651" s="60" t="inlineStr">
        <is>
          <t>카페24</t>
        </is>
      </c>
      <c r="G9651" s="60" t="inlineStr">
        <is>
          <t>어성초 77 클리어 패드 2개-30% off</t>
        </is>
      </c>
      <c r="H9651" s="60" t="n">
        <v>200801</v>
      </c>
      <c r="I9651" s="60" t="n">
        <v>200801</v>
      </c>
      <c r="J9651" s="60" t="n"/>
      <c r="K9651" s="60" t="n">
        <v>9</v>
      </c>
      <c r="L9651" s="60" t="n">
        <v>200801</v>
      </c>
      <c r="M9651" s="94">
        <f>VLOOKUP($Q9651,매칭테이블!$F:$I,2,0)*K9651</f>
        <v/>
      </c>
      <c r="N9651" s="94">
        <f>M9651-M9651*VLOOKUP($Q9651,매칭테이블!$F:$I,3,0)</f>
        <v/>
      </c>
      <c r="O9651" s="94">
        <f>VLOOKUP($Q9651,매칭테이블!$F:$I,4,0)*K9651</f>
        <v/>
      </c>
      <c r="P9651" s="148">
        <f>M9651/1.1</f>
        <v/>
      </c>
      <c r="Q9651" s="94">
        <f>F9651&amp;E9651&amp;G9651&amp;L9651</f>
        <v/>
      </c>
    </row>
    <row r="9652" customFormat="1" s="94">
      <c r="B9652" s="128" t="n">
        <v>44104</v>
      </c>
      <c r="C9652" s="94">
        <f>TEXT(B9652,"aaa")</f>
        <v/>
      </c>
      <c r="D9652" s="60" t="n"/>
      <c r="E9652" s="60" t="inlineStr">
        <is>
          <t>토너+패드 세트</t>
        </is>
      </c>
      <c r="F9652" s="60" t="inlineStr">
        <is>
          <t>카페24</t>
        </is>
      </c>
      <c r="G9652" s="60" t="inlineStr">
        <is>
          <t>좁쌀 진정 세트 토너+클리어 패드-30% off</t>
        </is>
      </c>
      <c r="H9652" s="60" t="n">
        <v>200801</v>
      </c>
      <c r="I9652" s="60" t="n">
        <v>200801</v>
      </c>
      <c r="J9652" s="60" t="n"/>
      <c r="K9652" s="60" t="n">
        <v>20</v>
      </c>
      <c r="L9652" s="60" t="n">
        <v>200801</v>
      </c>
      <c r="M9652" s="94">
        <f>VLOOKUP($Q9652,매칭테이블!$F:$I,2,0)*K9652</f>
        <v/>
      </c>
      <c r="N9652" s="94">
        <f>M9652-M9652*VLOOKUP($Q9652,매칭테이블!$F:$I,3,0)</f>
        <v/>
      </c>
      <c r="O9652" s="94">
        <f>VLOOKUP($Q9652,매칭테이블!$F:$I,4,0)*K9652</f>
        <v/>
      </c>
      <c r="P9652" s="148">
        <f>M9652/1.1</f>
        <v/>
      </c>
      <c r="Q9652" s="94">
        <f>F9652&amp;E9652&amp;G9652&amp;L9652</f>
        <v/>
      </c>
    </row>
    <row r="9653" customFormat="1" s="94">
      <c r="B9653" s="128" t="n">
        <v>44104</v>
      </c>
      <c r="C9653" s="94">
        <f>TEXT(B9653,"aaa")</f>
        <v/>
      </c>
      <c r="D9653" s="60" t="n"/>
      <c r="E9653" s="60" t="inlineStr">
        <is>
          <t>수분 보충 세트</t>
        </is>
      </c>
      <c r="F9653" s="60" t="inlineStr">
        <is>
          <t>카페24</t>
        </is>
      </c>
      <c r="G9653" s="60" t="inlineStr">
        <is>
          <t>[20/09/28 부터] 어성초 77 토너 250ml + 어성초 70 로션 200ml -30%</t>
        </is>
      </c>
      <c r="H9653" s="60" t="n">
        <v>200801</v>
      </c>
      <c r="I9653" s="60" t="n">
        <v>200801</v>
      </c>
      <c r="J9653" s="60" t="n"/>
      <c r="K9653" s="60" t="n">
        <v>14</v>
      </c>
      <c r="L9653" s="60" t="n">
        <v>200801</v>
      </c>
      <c r="M9653" s="94">
        <f>VLOOKUP($Q9653,매칭테이블!$F:$I,2,0)*K9653</f>
        <v/>
      </c>
      <c r="N9653" s="94">
        <f>M9653-M9653*VLOOKUP($Q9653,매칭테이블!$F:$I,3,0)</f>
        <v/>
      </c>
      <c r="O9653" s="94">
        <f>VLOOKUP($Q9653,매칭테이블!$F:$I,4,0)*K9653</f>
        <v/>
      </c>
      <c r="P9653" s="148">
        <f>M9653/1.1</f>
        <v/>
      </c>
      <c r="Q9653" s="94">
        <f>F9653&amp;E9653&amp;G9653&amp;L9653</f>
        <v/>
      </c>
    </row>
    <row r="9654" customFormat="1" s="94">
      <c r="B9654" s="128" t="n">
        <v>44104</v>
      </c>
      <c r="C9654" s="94">
        <f>TEXT(B9654,"aaa")</f>
        <v/>
      </c>
      <c r="D9654" s="60" t="n"/>
      <c r="E9654" s="60" t="inlineStr">
        <is>
          <t>로션</t>
        </is>
      </c>
      <c r="F9654" s="60" t="inlineStr">
        <is>
          <t>카페24</t>
        </is>
      </c>
      <c r="G9654" s="60" t="inlineStr">
        <is>
          <t>어성초 70 데일리 릴리프 로션 1개 -20% off</t>
        </is>
      </c>
      <c r="H9654" s="60" t="n">
        <v>200801</v>
      </c>
      <c r="I9654" s="60" t="n">
        <v>200801</v>
      </c>
      <c r="J9654" s="60" t="n"/>
      <c r="K9654" s="60" t="n">
        <v>3</v>
      </c>
      <c r="L9654" s="60" t="n">
        <v>200801</v>
      </c>
      <c r="M9654" s="94">
        <f>VLOOKUP($Q9654,매칭테이블!$F:$I,2,0)*K9654</f>
        <v/>
      </c>
      <c r="N9654" s="94">
        <f>M9654-M9654*VLOOKUP($Q9654,매칭테이블!$F:$I,3,0)</f>
        <v/>
      </c>
      <c r="O9654" s="94">
        <f>VLOOKUP($Q9654,매칭테이블!$F:$I,4,0)*K9654</f>
        <v/>
      </c>
      <c r="P9654" s="148">
        <f>M9654/1.1</f>
        <v/>
      </c>
      <c r="Q9654" s="94">
        <f>F9654&amp;E9654&amp;G9654&amp;L9654</f>
        <v/>
      </c>
    </row>
    <row r="9655" customFormat="1" s="94">
      <c r="B9655" s="128" t="n">
        <v>44104</v>
      </c>
      <c r="C9655" s="94">
        <f>TEXT(B9655,"aaa")</f>
        <v/>
      </c>
      <c r="D9655" s="60" t="n"/>
      <c r="E9655" s="60" t="inlineStr">
        <is>
          <t>머드크림마스크</t>
        </is>
      </c>
      <c r="F9655" s="60" t="inlineStr">
        <is>
          <t>카페24</t>
        </is>
      </c>
      <c r="G9655" s="60" t="inlineStr">
        <is>
          <t>머드크림마스크 100ml</t>
        </is>
      </c>
      <c r="H9655" s="60" t="n">
        <v>200801</v>
      </c>
      <c r="I9655" s="60" t="n">
        <v>200801</v>
      </c>
      <c r="J9655" s="60" t="n"/>
      <c r="K9655" s="60" t="n">
        <v>4</v>
      </c>
      <c r="L9655" s="60" t="n">
        <v>200801</v>
      </c>
      <c r="M9655" s="94">
        <f>VLOOKUP($Q9655,매칭테이블!$F:$I,2,0)*K9655</f>
        <v/>
      </c>
      <c r="N9655" s="94">
        <f>M9655-M9655*VLOOKUP($Q9655,매칭테이블!$F:$I,3,0)</f>
        <v/>
      </c>
      <c r="O9655" s="94">
        <f>VLOOKUP($Q9655,매칭테이블!$F:$I,4,0)*K9655</f>
        <v/>
      </c>
      <c r="P9655" s="148">
        <f>M9655/1.1</f>
        <v/>
      </c>
      <c r="Q9655" s="94">
        <f>F9655&amp;E9655&amp;G9655&amp;L9655</f>
        <v/>
      </c>
    </row>
    <row r="9656" customFormat="1" s="94">
      <c r="B9656" s="128" t="n">
        <v>44104</v>
      </c>
      <c r="C9656" s="94">
        <f>TEXT(B9656,"aaa")</f>
        <v/>
      </c>
      <c r="D9656" s="60" t="n"/>
      <c r="E9656" s="60" t="inlineStr">
        <is>
          <t>마스크팩</t>
        </is>
      </c>
      <c r="F9656" s="60" t="inlineStr">
        <is>
          <t>카페24</t>
        </is>
      </c>
      <c r="G9656" s="60" t="inlineStr">
        <is>
          <t>마스크팩 1매</t>
        </is>
      </c>
      <c r="H9656" s="60" t="n">
        <v>200801</v>
      </c>
      <c r="I9656" s="60" t="n">
        <v>200801</v>
      </c>
      <c r="J9656" s="60" t="n"/>
      <c r="K9656" s="60" t="n">
        <v>1</v>
      </c>
      <c r="L9656" s="60" t="n">
        <v>200801</v>
      </c>
      <c r="M9656" s="94">
        <f>VLOOKUP($Q9656,매칭테이블!$F:$I,2,0)*K9656</f>
        <v/>
      </c>
      <c r="N9656" s="94">
        <f>M9656-M9656*VLOOKUP($Q9656,매칭테이블!$F:$I,3,0)</f>
        <v/>
      </c>
      <c r="O9656" s="94">
        <f>VLOOKUP($Q9656,매칭테이블!$F:$I,4,0)*K9656</f>
        <v/>
      </c>
      <c r="P9656" s="148">
        <f>M9656/1.1</f>
        <v/>
      </c>
      <c r="Q9656" s="94">
        <f>F9656&amp;E9656&amp;G9656&amp;L9656</f>
        <v/>
      </c>
    </row>
    <row r="9657" customFormat="1" s="94">
      <c r="B9657" s="128" t="n">
        <v>44104</v>
      </c>
      <c r="C9657" s="94">
        <f>TEXT(B9657,"aaa")</f>
        <v/>
      </c>
      <c r="D9657" s="60" t="n"/>
      <c r="E9657" s="60" t="inlineStr">
        <is>
          <t>마스크팩</t>
        </is>
      </c>
      <c r="F9657" s="60" t="inlineStr">
        <is>
          <t>카페24</t>
        </is>
      </c>
      <c r="G9657" s="60" t="inlineStr">
        <is>
          <t>마스크팩 10매</t>
        </is>
      </c>
      <c r="H9657" s="60" t="n">
        <v>200801</v>
      </c>
      <c r="I9657" s="60" t="n">
        <v>200801</v>
      </c>
      <c r="J9657" s="60" t="n"/>
      <c r="K9657" s="60" t="n">
        <v>2</v>
      </c>
      <c r="L9657" s="60" t="n">
        <v>200801</v>
      </c>
      <c r="M9657" s="94">
        <f>VLOOKUP($Q9657,매칭테이블!$F:$I,2,0)*K9657</f>
        <v/>
      </c>
      <c r="N9657" s="94">
        <f>M9657-M9657*VLOOKUP($Q9657,매칭테이블!$F:$I,3,0)</f>
        <v/>
      </c>
      <c r="O9657" s="94">
        <f>VLOOKUP($Q9657,매칭테이블!$F:$I,4,0)*K9657</f>
        <v/>
      </c>
      <c r="P9657" s="148">
        <f>M9657/1.1</f>
        <v/>
      </c>
      <c r="Q9657" s="94">
        <f>F9657&amp;E9657&amp;G9657&amp;L9657</f>
        <v/>
      </c>
    </row>
    <row r="9658" customFormat="1" s="94">
      <c r="B9658" s="128" t="n">
        <v>44104</v>
      </c>
      <c r="C9658" s="94">
        <f>TEXT(B9658,"aaa")</f>
        <v/>
      </c>
      <c r="D9658" s="60" t="n"/>
      <c r="E9658" s="60" t="inlineStr">
        <is>
          <t>토너</t>
        </is>
      </c>
      <c r="F9658" s="60" t="inlineStr">
        <is>
          <t>카페24</t>
        </is>
      </c>
      <c r="G9658" s="60" t="inlineStr">
        <is>
          <t>250ml</t>
        </is>
      </c>
      <c r="H9658" s="60" t="n">
        <v>200801</v>
      </c>
      <c r="I9658" s="60" t="n">
        <v>200801</v>
      </c>
      <c r="J9658" s="60" t="n"/>
      <c r="K9658" s="60" t="n">
        <v>27</v>
      </c>
      <c r="L9658" s="60" t="n">
        <v>200801</v>
      </c>
      <c r="M9658" s="94">
        <f>VLOOKUP($Q9658,매칭테이블!$F:$I,2,0)*K9658</f>
        <v/>
      </c>
      <c r="N9658" s="94">
        <f>M9658-M9658*VLOOKUP($Q9658,매칭테이블!$F:$I,3,0)</f>
        <v/>
      </c>
      <c r="O9658" s="94">
        <f>VLOOKUP($Q9658,매칭테이블!$F:$I,4,0)*K9658</f>
        <v/>
      </c>
      <c r="P9658" s="148">
        <f>M9658/1.1</f>
        <v/>
      </c>
      <c r="Q9658" s="94">
        <f>F9658&amp;E9658&amp;G9658&amp;L9658</f>
        <v/>
      </c>
    </row>
    <row r="9659" customFormat="1" s="94">
      <c r="B9659" s="128" t="n">
        <v>44104</v>
      </c>
      <c r="C9659" s="94">
        <f>TEXT(B9659,"aaa")</f>
        <v/>
      </c>
      <c r="D9659" s="60" t="n"/>
      <c r="E9659" s="60" t="inlineStr">
        <is>
          <t>토너</t>
        </is>
      </c>
      <c r="F9659" s="60" t="inlineStr">
        <is>
          <t>카페24</t>
        </is>
      </c>
      <c r="G9659" s="60" t="inlineStr">
        <is>
          <t>250ml 2set</t>
        </is>
      </c>
      <c r="H9659" s="60" t="n">
        <v>200801</v>
      </c>
      <c r="I9659" s="60" t="n">
        <v>200801</v>
      </c>
      <c r="J9659" s="60" t="n"/>
      <c r="K9659" s="60" t="n">
        <v>7</v>
      </c>
      <c r="L9659" s="60" t="n">
        <v>200801</v>
      </c>
      <c r="M9659" s="94">
        <f>VLOOKUP($Q9659,매칭테이블!$F:$I,2,0)*K9659</f>
        <v/>
      </c>
      <c r="N9659" s="94">
        <f>M9659-M9659*VLOOKUP($Q9659,매칭테이블!$F:$I,3,0)</f>
        <v/>
      </c>
      <c r="O9659" s="94">
        <f>VLOOKUP($Q9659,매칭테이블!$F:$I,4,0)*K9659</f>
        <v/>
      </c>
      <c r="P9659" s="148">
        <f>M9659/1.1</f>
        <v/>
      </c>
      <c r="Q9659" s="94">
        <f>F9659&amp;E9659&amp;G9659&amp;L9659</f>
        <v/>
      </c>
    </row>
    <row r="9660" customFormat="1" s="94">
      <c r="B9660" s="128" t="n">
        <v>44104</v>
      </c>
      <c r="C9660" s="94">
        <f>TEXT(B9660,"aaa")</f>
        <v/>
      </c>
      <c r="D9660" s="60" t="n"/>
      <c r="E9660" s="60" t="inlineStr">
        <is>
          <t>토너</t>
        </is>
      </c>
      <c r="F9660" s="60" t="inlineStr">
        <is>
          <t>카페24</t>
        </is>
      </c>
      <c r="G9660" s="60" t="inlineStr">
        <is>
          <t>500ml</t>
        </is>
      </c>
      <c r="H9660" s="60" t="n">
        <v>200801</v>
      </c>
      <c r="I9660" s="60" t="n">
        <v>200801</v>
      </c>
      <c r="J9660" s="60" t="n"/>
      <c r="K9660" s="60" t="n">
        <v>27</v>
      </c>
      <c r="L9660" s="60" t="n">
        <v>200801</v>
      </c>
      <c r="M9660" s="94">
        <f>VLOOKUP($Q9660,매칭테이블!$F:$I,2,0)*K9660</f>
        <v/>
      </c>
      <c r="N9660" s="94">
        <f>M9660-M9660*VLOOKUP($Q9660,매칭테이블!$F:$I,3,0)</f>
        <v/>
      </c>
      <c r="O9660" s="94">
        <f>VLOOKUP($Q9660,매칭테이블!$F:$I,4,0)*K9660</f>
        <v/>
      </c>
      <c r="P9660" s="148">
        <f>M9660/1.1</f>
        <v/>
      </c>
      <c r="Q9660" s="94">
        <f>F9660&amp;E9660&amp;G9660&amp;L9660</f>
        <v/>
      </c>
    </row>
    <row r="9661" customFormat="1" s="94">
      <c r="B9661" s="128" t="n">
        <v>44104</v>
      </c>
      <c r="C9661" s="94">
        <f>TEXT(B9661,"aaa")</f>
        <v/>
      </c>
      <c r="D9661" s="60" t="n"/>
      <c r="E9661" s="60" t="inlineStr">
        <is>
          <t>토너</t>
        </is>
      </c>
      <c r="F9661" s="60" t="inlineStr">
        <is>
          <t>카페24</t>
        </is>
      </c>
      <c r="G9661" s="60" t="inlineStr">
        <is>
          <t>스킨팩 화장솜 60P</t>
        </is>
      </c>
      <c r="H9661" s="60" t="n">
        <v>200801</v>
      </c>
      <c r="I9661" s="60" t="n">
        <v>200801</v>
      </c>
      <c r="J9661" s="60" t="n"/>
      <c r="K9661" s="60" t="n">
        <v>21</v>
      </c>
      <c r="L9661" s="60" t="n">
        <v>200801</v>
      </c>
      <c r="M9661" s="94">
        <f>VLOOKUP($Q9661,매칭테이블!$F:$I,2,0)*K9661</f>
        <v/>
      </c>
      <c r="N9661" s="94">
        <f>M9661-M9661*VLOOKUP($Q9661,매칭테이블!$F:$I,3,0)</f>
        <v/>
      </c>
      <c r="O9661" s="94">
        <f>VLOOKUP($Q9661,매칭테이블!$F:$I,4,0)*K9661</f>
        <v/>
      </c>
      <c r="P9661" s="148">
        <f>M9661/1.1</f>
        <v/>
      </c>
      <c r="Q9661" s="94">
        <f>F9661&amp;E9661&amp;G9661&amp;L9661</f>
        <v/>
      </c>
    </row>
    <row r="9662" customFormat="1" s="94">
      <c r="B9662" s="128" t="n">
        <v>44104</v>
      </c>
      <c r="C9662" s="94">
        <f>TEXT(B9662,"aaa")</f>
        <v/>
      </c>
      <c r="D9662" s="60" t="n"/>
      <c r="E9662" s="60" t="inlineStr">
        <is>
          <t>앰플</t>
        </is>
      </c>
      <c r="F9662" s="60" t="inlineStr">
        <is>
          <t>카페24</t>
        </is>
      </c>
      <c r="G9662" s="60" t="inlineStr">
        <is>
          <t>앰플 30ml</t>
        </is>
      </c>
      <c r="H9662" s="60" t="n">
        <v>200801</v>
      </c>
      <c r="I9662" s="60" t="n">
        <v>200801</v>
      </c>
      <c r="J9662" s="60" t="n"/>
      <c r="K9662" s="60" t="n">
        <v>20</v>
      </c>
      <c r="L9662" s="60" t="n">
        <v>200801</v>
      </c>
      <c r="M9662" s="94">
        <f>VLOOKUP($Q9662,매칭테이블!$F:$I,2,0)*K9662</f>
        <v/>
      </c>
      <c r="N9662" s="94">
        <f>M9662-M9662*VLOOKUP($Q9662,매칭테이블!$F:$I,3,0)</f>
        <v/>
      </c>
      <c r="O9662" s="94">
        <f>VLOOKUP($Q9662,매칭테이블!$F:$I,4,0)*K9662</f>
        <v/>
      </c>
      <c r="P9662" s="148">
        <f>M9662/1.1</f>
        <v/>
      </c>
      <c r="Q9662" s="94">
        <f>F9662&amp;E9662&amp;G9662&amp;L9662</f>
        <v/>
      </c>
    </row>
    <row r="9663" customFormat="1" s="94">
      <c r="B9663" s="128" t="n">
        <v>44104</v>
      </c>
      <c r="C9663" s="94">
        <f>TEXT(B9663,"aaa")</f>
        <v/>
      </c>
      <c r="D9663" s="60" t="n"/>
      <c r="E9663" s="60" t="inlineStr">
        <is>
          <t>앰플</t>
        </is>
      </c>
      <c r="F9663" s="60" t="inlineStr">
        <is>
          <t>카페24</t>
        </is>
      </c>
      <c r="G9663" s="60" t="inlineStr">
        <is>
          <t>앰플 30ml  2set</t>
        </is>
      </c>
      <c r="H9663" s="60" t="n">
        <v>200801</v>
      </c>
      <c r="I9663" s="60" t="n">
        <v>200801</v>
      </c>
      <c r="J9663" s="60" t="n"/>
      <c r="K9663" s="60" t="n">
        <v>2</v>
      </c>
      <c r="L9663" s="60" t="n">
        <v>200801</v>
      </c>
      <c r="M9663" s="94">
        <f>VLOOKUP($Q9663,매칭테이블!$F:$I,2,0)*K9663</f>
        <v/>
      </c>
      <c r="N9663" s="94">
        <f>M9663-M9663*VLOOKUP($Q9663,매칭테이블!$F:$I,3,0)</f>
        <v/>
      </c>
      <c r="O9663" s="94">
        <f>VLOOKUP($Q9663,매칭테이블!$F:$I,4,0)*K9663</f>
        <v/>
      </c>
      <c r="P9663" s="148">
        <f>M9663/1.1</f>
        <v/>
      </c>
      <c r="Q9663" s="94">
        <f>F9663&amp;E9663&amp;G9663&amp;L9663</f>
        <v/>
      </c>
    </row>
    <row r="9664" customFormat="1" s="94">
      <c r="B9664" s="128" t="n">
        <v>44104</v>
      </c>
      <c r="C9664" s="94">
        <f>TEXT(B9664,"aaa")</f>
        <v/>
      </c>
      <c r="D9664" s="60" t="n"/>
      <c r="E9664" s="60" t="inlineStr">
        <is>
          <t>클렌징폼</t>
        </is>
      </c>
      <c r="F9664" s="60" t="inlineStr">
        <is>
          <t>카페24</t>
        </is>
      </c>
      <c r="G9664" s="60" t="inlineStr">
        <is>
          <t>클렌징폼 120ml</t>
        </is>
      </c>
      <c r="H9664" s="60" t="n">
        <v>200801</v>
      </c>
      <c r="I9664" s="60" t="n">
        <v>200801</v>
      </c>
      <c r="J9664" s="60" t="n"/>
      <c r="K9664" s="60" t="n">
        <v>3</v>
      </c>
      <c r="L9664" s="60" t="n">
        <v>200801</v>
      </c>
      <c r="M9664" s="94">
        <f>VLOOKUP($Q9664,매칭테이블!$F:$I,2,0)*K9664</f>
        <v/>
      </c>
      <c r="N9664" s="94">
        <f>M9664-M9664*VLOOKUP($Q9664,매칭테이블!$F:$I,3,0)</f>
        <v/>
      </c>
      <c r="O9664" s="94">
        <f>VLOOKUP($Q9664,매칭테이블!$F:$I,4,0)*K9664</f>
        <v/>
      </c>
      <c r="P9664" s="148">
        <f>M9664/1.1</f>
        <v/>
      </c>
      <c r="Q9664" s="94">
        <f>F9664&amp;E9664&amp;G9664&amp;L9664</f>
        <v/>
      </c>
    </row>
    <row r="9665" customFormat="1" s="94">
      <c r="B9665" s="128" t="n">
        <v>44104</v>
      </c>
      <c r="C9665" s="94">
        <f>TEXT(B9665,"aaa")</f>
        <v/>
      </c>
      <c r="D9665" s="60" t="n"/>
      <c r="E9665" s="60" t="inlineStr">
        <is>
          <t>클렌징폼</t>
        </is>
      </c>
      <c r="F9665" s="60" t="inlineStr">
        <is>
          <t>카페24</t>
        </is>
      </c>
      <c r="G9665" s="60" t="inlineStr">
        <is>
          <t>클렌징폼 120ml 2set</t>
        </is>
      </c>
      <c r="H9665" s="60" t="n">
        <v>200801</v>
      </c>
      <c r="I9665" s="60" t="n">
        <v>200801</v>
      </c>
      <c r="J9665" s="60" t="n"/>
      <c r="K9665" s="60" t="n">
        <v>1</v>
      </c>
      <c r="L9665" s="60" t="n">
        <v>200801</v>
      </c>
      <c r="M9665" s="94">
        <f>VLOOKUP($Q9665,매칭테이블!$F:$I,2,0)*K9665</f>
        <v/>
      </c>
      <c r="N9665" s="94">
        <f>M9665-M9665*VLOOKUP($Q9665,매칭테이블!$F:$I,3,0)</f>
        <v/>
      </c>
      <c r="O9665" s="94">
        <f>VLOOKUP($Q9665,매칭테이블!$F:$I,4,0)*K9665</f>
        <v/>
      </c>
      <c r="P9665" s="148">
        <f>M9665/1.1</f>
        <v/>
      </c>
      <c r="Q9665" s="94">
        <f>F9665&amp;E9665&amp;G9665&amp;L9665</f>
        <v/>
      </c>
    </row>
    <row r="9666" customFormat="1" s="94">
      <c r="B9666" s="128" t="n">
        <v>44104</v>
      </c>
      <c r="C9666" s="94">
        <f>TEXT(B9666,"aaa")</f>
        <v/>
      </c>
      <c r="D9666" s="60" t="n"/>
      <c r="E9666" s="60" t="inlineStr">
        <is>
          <t>토너</t>
        </is>
      </c>
      <c r="F9666" s="60" t="inlineStr">
        <is>
          <t>화해</t>
        </is>
      </c>
      <c r="G9666" s="60" t="inlineStr">
        <is>
          <t>250ml</t>
        </is>
      </c>
      <c r="H9666" s="60" t="n">
        <v>200801</v>
      </c>
      <c r="I9666" s="60" t="n">
        <v>200801</v>
      </c>
      <c r="J9666" s="60" t="n"/>
      <c r="K9666" s="60" t="n">
        <v>2</v>
      </c>
      <c r="L9666" s="60" t="n">
        <v>200801</v>
      </c>
      <c r="M9666" s="94">
        <f>VLOOKUP($Q9666,매칭테이블!$F:$I,2,0)*K9666</f>
        <v/>
      </c>
      <c r="N9666" s="94">
        <f>M9666-M9666*VLOOKUP($Q9666,매칭테이블!$F:$I,3,0)</f>
        <v/>
      </c>
      <c r="O9666" s="94">
        <f>VLOOKUP($Q9666,매칭테이블!$F:$I,4,0)*K9666</f>
        <v/>
      </c>
      <c r="P9666" s="148">
        <f>M9666/1.1</f>
        <v/>
      </c>
      <c r="Q9666" s="94">
        <f>F9666&amp;E9666&amp;G9666&amp;L9666</f>
        <v/>
      </c>
    </row>
    <row r="9667" customFormat="1" s="94">
      <c r="B9667" s="128" t="n">
        <v>44104</v>
      </c>
      <c r="C9667" s="94">
        <f>TEXT(B9667,"aaa")</f>
        <v/>
      </c>
      <c r="D9667" s="60" t="n"/>
      <c r="E9667" s="60" t="inlineStr">
        <is>
          <t>수딩크림</t>
        </is>
      </c>
      <c r="F9667" s="60" t="inlineStr">
        <is>
          <t>화해</t>
        </is>
      </c>
      <c r="G9667" s="60" t="inlineStr">
        <is>
          <t>수딩크림 100ml</t>
        </is>
      </c>
      <c r="H9667" s="60" t="n">
        <v>200801</v>
      </c>
      <c r="I9667" s="60" t="n">
        <v>200801</v>
      </c>
      <c r="J9667" s="60" t="n"/>
      <c r="K9667" s="60" t="n">
        <v>1</v>
      </c>
      <c r="L9667" s="60" t="n">
        <v>200801</v>
      </c>
      <c r="M9667" s="94">
        <f>VLOOKUP($Q9667,매칭테이블!$F:$I,2,0)*K9667</f>
        <v/>
      </c>
      <c r="N9667" s="94">
        <f>M9667-M9667*VLOOKUP($Q9667,매칭테이블!$F:$I,3,0)</f>
        <v/>
      </c>
      <c r="O9667" s="94">
        <f>VLOOKUP($Q9667,매칭테이블!$F:$I,4,0)*K9667</f>
        <v/>
      </c>
      <c r="P9667" s="148">
        <f>M9667/1.1</f>
        <v/>
      </c>
      <c r="Q9667" s="94">
        <f>F9667&amp;E9667&amp;G9667&amp;L9667</f>
        <v/>
      </c>
    </row>
    <row r="9668" customFormat="1" s="94">
      <c r="B9668" s="128" t="n">
        <v>44105</v>
      </c>
      <c r="C9668" s="94">
        <f>TEXT(B9668,"aaa")</f>
        <v/>
      </c>
      <c r="D9668" s="60" t="n"/>
      <c r="E9668" s="60" t="inlineStr">
        <is>
          <t>토너</t>
        </is>
      </c>
      <c r="F9668" s="60" t="inlineStr">
        <is>
          <t>스타일쉐어</t>
        </is>
      </c>
      <c r="G9668" s="60" t="inlineStr">
        <is>
          <t>250ml</t>
        </is>
      </c>
      <c r="H9668" s="60" t="n">
        <v>200801</v>
      </c>
      <c r="I9668" s="60" t="n">
        <v>200801</v>
      </c>
      <c r="J9668" s="60" t="n"/>
      <c r="K9668" s="60" t="n">
        <v>7</v>
      </c>
      <c r="L9668" s="60" t="n">
        <v>200801</v>
      </c>
      <c r="M9668" s="94">
        <f>VLOOKUP($Q9668,매칭테이블!$F:$I,2,0)*K9668</f>
        <v/>
      </c>
      <c r="N9668" s="94">
        <f>M9668-M9668*VLOOKUP($Q9668,매칭테이블!$F:$I,3,0)</f>
        <v/>
      </c>
      <c r="O9668" s="94">
        <f>VLOOKUP($Q9668,매칭테이블!$F:$I,4,0)*K9668</f>
        <v/>
      </c>
      <c r="P9668" s="148">
        <f>M9668/1.1</f>
        <v/>
      </c>
      <c r="Q9668" s="94">
        <f>F9668&amp;E9668&amp;G9668&amp;L9668</f>
        <v/>
      </c>
    </row>
    <row r="9669" customFormat="1" s="94">
      <c r="B9669" s="128" t="n">
        <v>44105</v>
      </c>
      <c r="C9669" s="94">
        <f>TEXT(B9669,"aaa")</f>
        <v/>
      </c>
      <c r="D9669" s="60" t="n"/>
      <c r="E9669" s="60" t="inlineStr">
        <is>
          <t>선크림</t>
        </is>
      </c>
      <c r="F9669" s="60" t="inlineStr">
        <is>
          <t>카페24</t>
        </is>
      </c>
      <c r="G9669" s="60" t="inlineStr">
        <is>
          <t>선크림 50ml</t>
        </is>
      </c>
      <c r="H9669" s="60" t="n">
        <v>200801</v>
      </c>
      <c r="I9669" s="60" t="n">
        <v>200801</v>
      </c>
      <c r="J9669" s="60" t="n"/>
      <c r="K9669" s="60" t="n">
        <v>4</v>
      </c>
      <c r="L9669" s="60" t="n">
        <v>200801</v>
      </c>
      <c r="M9669" s="94">
        <f>VLOOKUP($Q9669,매칭테이블!$F:$I,2,0)*K9669</f>
        <v/>
      </c>
      <c r="N9669" s="94">
        <f>M9669-M9669*VLOOKUP($Q9669,매칭테이블!$F:$I,3,0)</f>
        <v/>
      </c>
      <c r="O9669" s="94">
        <f>VLOOKUP($Q9669,매칭테이블!$F:$I,4,0)*K9669</f>
        <v/>
      </c>
      <c r="P9669" s="148">
        <f>M9669/1.1</f>
        <v/>
      </c>
      <c r="Q9669" s="94">
        <f>F9669&amp;E9669&amp;G9669&amp;L9669</f>
        <v/>
      </c>
    </row>
    <row r="9670" customFormat="1" s="94">
      <c r="B9670" s="128" t="n">
        <v>44105</v>
      </c>
      <c r="C9670" s="94">
        <f>TEXT(B9670,"aaa")</f>
        <v/>
      </c>
      <c r="D9670" s="60" t="n"/>
      <c r="E9670" s="60" t="inlineStr">
        <is>
          <t>선크림</t>
        </is>
      </c>
      <c r="F9670" s="60" t="inlineStr">
        <is>
          <t>카페24</t>
        </is>
      </c>
      <c r="G9670" s="60" t="inlineStr">
        <is>
          <t>선크림 50ml  2set</t>
        </is>
      </c>
      <c r="H9670" s="60" t="n">
        <v>200801</v>
      </c>
      <c r="I9670" s="60" t="n">
        <v>200801</v>
      </c>
      <c r="J9670" s="60" t="n"/>
      <c r="K9670" s="60" t="n">
        <v>2</v>
      </c>
      <c r="L9670" s="60" t="n">
        <v>200801</v>
      </c>
      <c r="M9670" s="94">
        <f>VLOOKUP($Q9670,매칭테이블!$F:$I,2,0)*K9670</f>
        <v/>
      </c>
      <c r="N9670" s="94">
        <f>M9670-M9670*VLOOKUP($Q9670,매칭테이블!$F:$I,3,0)</f>
        <v/>
      </c>
      <c r="O9670" s="94">
        <f>VLOOKUP($Q9670,매칭테이블!$F:$I,4,0)*K9670</f>
        <v/>
      </c>
      <c r="P9670" s="148">
        <f>M9670/1.1</f>
        <v/>
      </c>
      <c r="Q9670" s="94">
        <f>F9670&amp;E9670&amp;G9670&amp;L9670</f>
        <v/>
      </c>
    </row>
    <row r="9671" customFormat="1" s="94">
      <c r="B9671" s="128" t="n">
        <v>44105</v>
      </c>
      <c r="C9671" s="94">
        <f>TEXT(B9671,"aaa")</f>
        <v/>
      </c>
      <c r="D9671" s="60" t="n"/>
      <c r="E9671" s="60" t="inlineStr">
        <is>
          <t>어성초진정패키지</t>
        </is>
      </c>
      <c r="F9671" s="60" t="inlineStr">
        <is>
          <t>카페24</t>
        </is>
      </c>
      <c r="G9671" s="60" t="inlineStr">
        <is>
          <t>어성초 진정패키지세트</t>
        </is>
      </c>
      <c r="H9671" s="60" t="n">
        <v>200801</v>
      </c>
      <c r="I9671" s="60" t="n">
        <v>200801</v>
      </c>
      <c r="J9671" s="60" t="n"/>
      <c r="K9671" s="60" t="n">
        <v>5</v>
      </c>
      <c r="L9671" s="60" t="n">
        <v>200801</v>
      </c>
      <c r="M9671" s="94">
        <f>VLOOKUP($Q9671,매칭테이블!$F:$I,2,0)*K9671</f>
        <v/>
      </c>
      <c r="N9671" s="94">
        <f>M9671-M9671*VLOOKUP($Q9671,매칭테이블!$F:$I,3,0)</f>
        <v/>
      </c>
      <c r="O9671" s="94">
        <f>VLOOKUP($Q9671,매칭테이블!$F:$I,4,0)*K9671</f>
        <v/>
      </c>
      <c r="P9671" s="148">
        <f>M9671/1.1</f>
        <v/>
      </c>
      <c r="Q9671" s="94">
        <f>F9671&amp;E9671&amp;G9671&amp;L9671</f>
        <v/>
      </c>
    </row>
    <row r="9672" customFormat="1" s="94">
      <c r="B9672" s="128" t="n">
        <v>44105</v>
      </c>
      <c r="C9672" s="94">
        <f>TEXT(B9672,"aaa")</f>
        <v/>
      </c>
      <c r="D9672" s="60" t="n"/>
      <c r="E9672" s="60" t="inlineStr">
        <is>
          <t>클리어 패드</t>
        </is>
      </c>
      <c r="F9672" s="60" t="inlineStr">
        <is>
          <t>카페24</t>
        </is>
      </c>
      <c r="G9672" s="60" t="inlineStr">
        <is>
          <t>어성초 77 클리어 패드 1개-20% off</t>
        </is>
      </c>
      <c r="H9672" s="60" t="n">
        <v>200801</v>
      </c>
      <c r="I9672" s="60" t="n">
        <v>200801</v>
      </c>
      <c r="J9672" s="60" t="n"/>
      <c r="K9672" s="60" t="n">
        <v>11</v>
      </c>
      <c r="L9672" s="60" t="n">
        <v>200801</v>
      </c>
      <c r="M9672" s="94">
        <f>VLOOKUP($Q9672,매칭테이블!$F:$I,2,0)*K9672</f>
        <v/>
      </c>
      <c r="N9672" s="94">
        <f>M9672-M9672*VLOOKUP($Q9672,매칭테이블!$F:$I,3,0)</f>
        <v/>
      </c>
      <c r="O9672" s="94">
        <f>VLOOKUP($Q9672,매칭테이블!$F:$I,4,0)*K9672</f>
        <v/>
      </c>
      <c r="P9672" s="148">
        <f>M9672/1.1</f>
        <v/>
      </c>
      <c r="Q9672" s="94">
        <f>F9672&amp;E9672&amp;G9672&amp;L9672</f>
        <v/>
      </c>
    </row>
    <row r="9673" customFormat="1" s="94">
      <c r="B9673" s="128" t="n">
        <v>44105</v>
      </c>
      <c r="C9673" s="94">
        <f>TEXT(B9673,"aaa")</f>
        <v/>
      </c>
      <c r="D9673" s="60" t="n"/>
      <c r="E9673" s="60" t="inlineStr">
        <is>
          <t>클리어 패드</t>
        </is>
      </c>
      <c r="F9673" s="60" t="inlineStr">
        <is>
          <t>카페24</t>
        </is>
      </c>
      <c r="G9673" s="60" t="inlineStr">
        <is>
          <t>어성초 77 클리어 패드 2개-30% off</t>
        </is>
      </c>
      <c r="H9673" s="60" t="n">
        <v>200801</v>
      </c>
      <c r="I9673" s="60" t="n">
        <v>200801</v>
      </c>
      <c r="J9673" s="60" t="n"/>
      <c r="K9673" s="60" t="n">
        <v>10</v>
      </c>
      <c r="L9673" s="60" t="n">
        <v>200801</v>
      </c>
      <c r="M9673" s="94">
        <f>VLOOKUP($Q9673,매칭테이블!$F:$I,2,0)*K9673</f>
        <v/>
      </c>
      <c r="N9673" s="94">
        <f>M9673-M9673*VLOOKUP($Q9673,매칭테이블!$F:$I,3,0)</f>
        <v/>
      </c>
      <c r="O9673" s="94">
        <f>VLOOKUP($Q9673,매칭테이블!$F:$I,4,0)*K9673</f>
        <v/>
      </c>
      <c r="P9673" s="148">
        <f>M9673/1.1</f>
        <v/>
      </c>
      <c r="Q9673" s="94">
        <f>F9673&amp;E9673&amp;G9673&amp;L9673</f>
        <v/>
      </c>
    </row>
    <row r="9674" customFormat="1" s="94">
      <c r="B9674" s="128" t="n">
        <v>44105</v>
      </c>
      <c r="C9674" s="94">
        <f>TEXT(B9674,"aaa")</f>
        <v/>
      </c>
      <c r="D9674" s="60" t="n"/>
      <c r="E9674" s="60" t="inlineStr">
        <is>
          <t>토너+패드 세트</t>
        </is>
      </c>
      <c r="F9674" s="60" t="inlineStr">
        <is>
          <t>카페24</t>
        </is>
      </c>
      <c r="G9674" s="60" t="inlineStr">
        <is>
          <t>좁쌀 진정 세트 토너+클리어 패드-30% off</t>
        </is>
      </c>
      <c r="H9674" s="60" t="n">
        <v>200801</v>
      </c>
      <c r="I9674" s="60" t="n">
        <v>200801</v>
      </c>
      <c r="J9674" s="60" t="n"/>
      <c r="K9674" s="60" t="n">
        <v>21</v>
      </c>
      <c r="L9674" s="60" t="n">
        <v>200801</v>
      </c>
      <c r="M9674" s="94">
        <f>VLOOKUP($Q9674,매칭테이블!$F:$I,2,0)*K9674</f>
        <v/>
      </c>
      <c r="N9674" s="94">
        <f>M9674-M9674*VLOOKUP($Q9674,매칭테이블!$F:$I,3,0)</f>
        <v/>
      </c>
      <c r="O9674" s="94">
        <f>VLOOKUP($Q9674,매칭테이블!$F:$I,4,0)*K9674</f>
        <v/>
      </c>
      <c r="P9674" s="148">
        <f>M9674/1.1</f>
        <v/>
      </c>
      <c r="Q9674" s="94">
        <f>F9674&amp;E9674&amp;G9674&amp;L9674</f>
        <v/>
      </c>
    </row>
    <row r="9675" customFormat="1" s="94">
      <c r="B9675" s="128" t="n">
        <v>44105</v>
      </c>
      <c r="C9675" s="94">
        <f>TEXT(B9675,"aaa")</f>
        <v/>
      </c>
      <c r="D9675" s="60" t="n"/>
      <c r="E9675" s="60" t="inlineStr">
        <is>
          <t>수분 보충 세트</t>
        </is>
      </c>
      <c r="F9675" s="60" t="inlineStr">
        <is>
          <t>카페24</t>
        </is>
      </c>
      <c r="G9675" s="60" t="inlineStr">
        <is>
          <t>[20/09/28 부터] 어성초 77 토너 250ml + 어성초 70 로션 200ml -30%</t>
        </is>
      </c>
      <c r="H9675" s="60" t="n">
        <v>200801</v>
      </c>
      <c r="I9675" s="60" t="n">
        <v>200801</v>
      </c>
      <c r="J9675" s="60" t="n"/>
      <c r="K9675" s="60" t="n">
        <v>19</v>
      </c>
      <c r="L9675" s="60" t="n">
        <v>200801</v>
      </c>
      <c r="M9675" s="94">
        <f>VLOOKUP($Q9675,매칭테이블!$F:$I,2,0)*K9675</f>
        <v/>
      </c>
      <c r="N9675" s="94">
        <f>M9675-M9675*VLOOKUP($Q9675,매칭테이블!$F:$I,3,0)</f>
        <v/>
      </c>
      <c r="O9675" s="94">
        <f>VLOOKUP($Q9675,매칭테이블!$F:$I,4,0)*K9675</f>
        <v/>
      </c>
      <c r="P9675" s="148">
        <f>M9675/1.1</f>
        <v/>
      </c>
      <c r="Q9675" s="94">
        <f>F9675&amp;E9675&amp;G9675&amp;L9675</f>
        <v/>
      </c>
    </row>
    <row r="9676" customFormat="1" s="94">
      <c r="B9676" s="128" t="n">
        <v>44105</v>
      </c>
      <c r="C9676" s="94">
        <f>TEXT(B9676,"aaa")</f>
        <v/>
      </c>
      <c r="D9676" s="60" t="n"/>
      <c r="E9676" s="60" t="inlineStr">
        <is>
          <t>로션</t>
        </is>
      </c>
      <c r="F9676" s="60" t="inlineStr">
        <is>
          <t>카페24</t>
        </is>
      </c>
      <c r="G9676" s="60" t="inlineStr">
        <is>
          <t>어성초 70 데일리 릴리프 로션 1개 -20% off</t>
        </is>
      </c>
      <c r="H9676" s="60" t="n">
        <v>200801</v>
      </c>
      <c r="I9676" s="60" t="n">
        <v>200801</v>
      </c>
      <c r="J9676" s="60" t="n"/>
      <c r="K9676" s="60" t="n">
        <v>7</v>
      </c>
      <c r="L9676" s="60" t="n">
        <v>200801</v>
      </c>
      <c r="M9676" s="94">
        <f>VLOOKUP($Q9676,매칭테이블!$F:$I,2,0)*K9676</f>
        <v/>
      </c>
      <c r="N9676" s="94">
        <f>M9676-M9676*VLOOKUP($Q9676,매칭테이블!$F:$I,3,0)</f>
        <v/>
      </c>
      <c r="O9676" s="94">
        <f>VLOOKUP($Q9676,매칭테이블!$F:$I,4,0)*K9676</f>
        <v/>
      </c>
      <c r="P9676" s="148">
        <f>M9676/1.1</f>
        <v/>
      </c>
      <c r="Q9676" s="94">
        <f>F9676&amp;E9676&amp;G9676&amp;L9676</f>
        <v/>
      </c>
    </row>
    <row r="9677" customFormat="1" s="94">
      <c r="B9677" s="128" t="n">
        <v>44105</v>
      </c>
      <c r="C9677" s="94">
        <f>TEXT(B9677,"aaa")</f>
        <v/>
      </c>
      <c r="D9677" s="60" t="n"/>
      <c r="E9677" s="60" t="inlineStr">
        <is>
          <t>로션</t>
        </is>
      </c>
      <c r="F9677" s="60" t="inlineStr">
        <is>
          <t>카페24</t>
        </is>
      </c>
      <c r="G9677" s="60" t="inlineStr">
        <is>
          <t>어성초 70 데일리 릴리프 로션 2개 -30% off</t>
        </is>
      </c>
      <c r="H9677" s="60" t="n">
        <v>200801</v>
      </c>
      <c r="I9677" s="60" t="n">
        <v>200801</v>
      </c>
      <c r="J9677" s="60" t="n"/>
      <c r="K9677" s="60" t="n">
        <v>1</v>
      </c>
      <c r="L9677" s="60" t="n">
        <v>200801</v>
      </c>
      <c r="M9677" s="94">
        <f>VLOOKUP($Q9677,매칭테이블!$F:$I,2,0)*K9677</f>
        <v/>
      </c>
      <c r="N9677" s="94">
        <f>M9677-M9677*VLOOKUP($Q9677,매칭테이블!$F:$I,3,0)</f>
        <v/>
      </c>
      <c r="O9677" s="94">
        <f>VLOOKUP($Q9677,매칭테이블!$F:$I,4,0)*K9677</f>
        <v/>
      </c>
      <c r="P9677" s="148">
        <f>M9677/1.1</f>
        <v/>
      </c>
      <c r="Q9677" s="94">
        <f>F9677&amp;E9677&amp;G9677&amp;L9677</f>
        <v/>
      </c>
    </row>
    <row r="9678" customFormat="1" s="94">
      <c r="B9678" s="128" t="n">
        <v>44105</v>
      </c>
      <c r="C9678" s="94">
        <f>TEXT(B9678,"aaa")</f>
        <v/>
      </c>
      <c r="D9678" s="60" t="n"/>
      <c r="E9678" s="60" t="inlineStr">
        <is>
          <t>머드크림마스크</t>
        </is>
      </c>
      <c r="F9678" s="60" t="inlineStr">
        <is>
          <t>카페24</t>
        </is>
      </c>
      <c r="G9678" s="60" t="inlineStr">
        <is>
          <t>머드크림마스크 100ml</t>
        </is>
      </c>
      <c r="H9678" s="60" t="n">
        <v>200801</v>
      </c>
      <c r="I9678" s="60" t="n">
        <v>200801</v>
      </c>
      <c r="J9678" s="60" t="n"/>
      <c r="K9678" s="60" t="n">
        <v>1</v>
      </c>
      <c r="L9678" s="60" t="n">
        <v>200801</v>
      </c>
      <c r="M9678" s="94">
        <f>VLOOKUP($Q9678,매칭테이블!$F:$I,2,0)*K9678</f>
        <v/>
      </c>
      <c r="N9678" s="94">
        <f>M9678-M9678*VLOOKUP($Q9678,매칭테이블!$F:$I,3,0)</f>
        <v/>
      </c>
      <c r="O9678" s="94">
        <f>VLOOKUP($Q9678,매칭테이블!$F:$I,4,0)*K9678</f>
        <v/>
      </c>
      <c r="P9678" s="148">
        <f>M9678/1.1</f>
        <v/>
      </c>
      <c r="Q9678" s="94">
        <f>F9678&amp;E9678&amp;G9678&amp;L9678</f>
        <v/>
      </c>
    </row>
    <row r="9679" customFormat="1" s="94">
      <c r="B9679" s="128" t="n">
        <v>44105</v>
      </c>
      <c r="C9679" s="94">
        <f>TEXT(B9679,"aaa")</f>
        <v/>
      </c>
      <c r="D9679" s="60" t="n"/>
      <c r="E9679" s="60" t="inlineStr">
        <is>
          <t>머드크림마스크</t>
        </is>
      </c>
      <c r="F9679" s="60" t="inlineStr">
        <is>
          <t>카페24</t>
        </is>
      </c>
      <c r="G9679" s="60" t="inlineStr">
        <is>
          <t>머드크림마스크 100ml 2set</t>
        </is>
      </c>
      <c r="H9679" s="60" t="n">
        <v>200801</v>
      </c>
      <c r="I9679" s="60" t="n">
        <v>200801</v>
      </c>
      <c r="J9679" s="60" t="n"/>
      <c r="K9679" s="60" t="n">
        <v>1</v>
      </c>
      <c r="L9679" s="60" t="n">
        <v>200801</v>
      </c>
      <c r="M9679" s="94">
        <f>VLOOKUP($Q9679,매칭테이블!$F:$I,2,0)*K9679</f>
        <v/>
      </c>
      <c r="N9679" s="94">
        <f>M9679-M9679*VLOOKUP($Q9679,매칭테이블!$F:$I,3,0)</f>
        <v/>
      </c>
      <c r="O9679" s="94">
        <f>VLOOKUP($Q9679,매칭테이블!$F:$I,4,0)*K9679</f>
        <v/>
      </c>
      <c r="P9679" s="148">
        <f>M9679/1.1</f>
        <v/>
      </c>
      <c r="Q9679" s="94">
        <f>F9679&amp;E9679&amp;G9679&amp;L9679</f>
        <v/>
      </c>
    </row>
    <row r="9680" customFormat="1" s="94">
      <c r="B9680" s="128" t="n">
        <v>44105</v>
      </c>
      <c r="C9680" s="94">
        <f>TEXT(B9680,"aaa")</f>
        <v/>
      </c>
      <c r="D9680" s="60" t="n"/>
      <c r="E9680" s="60" t="inlineStr">
        <is>
          <t>마스크팩</t>
        </is>
      </c>
      <c r="F9680" s="60" t="inlineStr">
        <is>
          <t>카페24</t>
        </is>
      </c>
      <c r="G9680" s="60" t="inlineStr">
        <is>
          <t>마스크팩 10매</t>
        </is>
      </c>
      <c r="H9680" s="60" t="n">
        <v>200801</v>
      </c>
      <c r="I9680" s="60" t="n">
        <v>200801</v>
      </c>
      <c r="J9680" s="60" t="n"/>
      <c r="K9680" s="60" t="n">
        <v>8</v>
      </c>
      <c r="L9680" s="60" t="n">
        <v>200801</v>
      </c>
      <c r="M9680" s="94">
        <f>VLOOKUP($Q9680,매칭테이블!$F:$I,2,0)*K9680</f>
        <v/>
      </c>
      <c r="N9680" s="94">
        <f>M9680-M9680*VLOOKUP($Q9680,매칭테이블!$F:$I,3,0)</f>
        <v/>
      </c>
      <c r="O9680" s="94">
        <f>VLOOKUP($Q9680,매칭테이블!$F:$I,4,0)*K9680</f>
        <v/>
      </c>
      <c r="P9680" s="148">
        <f>M9680/1.1</f>
        <v/>
      </c>
      <c r="Q9680" s="94">
        <f>F9680&amp;E9680&amp;G9680&amp;L9680</f>
        <v/>
      </c>
    </row>
    <row r="9681" customFormat="1" s="94">
      <c r="B9681" s="128" t="n">
        <v>44105</v>
      </c>
      <c r="C9681" s="94">
        <f>TEXT(B9681,"aaa")</f>
        <v/>
      </c>
      <c r="D9681" s="60" t="n"/>
      <c r="E9681" s="60" t="inlineStr">
        <is>
          <t>토너</t>
        </is>
      </c>
      <c r="F9681" s="60" t="inlineStr">
        <is>
          <t>카페24</t>
        </is>
      </c>
      <c r="G9681" s="60" t="inlineStr">
        <is>
          <t>250ml</t>
        </is>
      </c>
      <c r="H9681" s="60" t="n">
        <v>200801</v>
      </c>
      <c r="I9681" s="60" t="n">
        <v>200801</v>
      </c>
      <c r="J9681" s="60" t="n"/>
      <c r="K9681" s="60" t="n">
        <v>28</v>
      </c>
      <c r="L9681" s="60" t="n">
        <v>200801</v>
      </c>
      <c r="M9681" s="94">
        <f>VLOOKUP($Q9681,매칭테이블!$F:$I,2,0)*K9681</f>
        <v/>
      </c>
      <c r="N9681" s="94">
        <f>M9681-M9681*VLOOKUP($Q9681,매칭테이블!$F:$I,3,0)</f>
        <v/>
      </c>
      <c r="O9681" s="94">
        <f>VLOOKUP($Q9681,매칭테이블!$F:$I,4,0)*K9681</f>
        <v/>
      </c>
      <c r="P9681" s="148">
        <f>M9681/1.1</f>
        <v/>
      </c>
      <c r="Q9681" s="94">
        <f>F9681&amp;E9681&amp;G9681&amp;L9681</f>
        <v/>
      </c>
    </row>
    <row r="9682" customFormat="1" s="94">
      <c r="B9682" s="128" t="n">
        <v>44105</v>
      </c>
      <c r="C9682" s="94">
        <f>TEXT(B9682,"aaa")</f>
        <v/>
      </c>
      <c r="D9682" s="60" t="n"/>
      <c r="E9682" s="60" t="inlineStr">
        <is>
          <t>토너</t>
        </is>
      </c>
      <c r="F9682" s="60" t="inlineStr">
        <is>
          <t>카페24</t>
        </is>
      </c>
      <c r="G9682" s="60" t="inlineStr">
        <is>
          <t>250ml 2set</t>
        </is>
      </c>
      <c r="H9682" s="60" t="n">
        <v>200801</v>
      </c>
      <c r="I9682" s="60" t="n">
        <v>200801</v>
      </c>
      <c r="J9682" s="60" t="n"/>
      <c r="K9682" s="60" t="n">
        <v>17</v>
      </c>
      <c r="L9682" s="60" t="n">
        <v>200801</v>
      </c>
      <c r="M9682" s="94">
        <f>VLOOKUP($Q9682,매칭테이블!$F:$I,2,0)*K9682</f>
        <v/>
      </c>
      <c r="N9682" s="94">
        <f>M9682-M9682*VLOOKUP($Q9682,매칭테이블!$F:$I,3,0)</f>
        <v/>
      </c>
      <c r="O9682" s="94">
        <f>VLOOKUP($Q9682,매칭테이블!$F:$I,4,0)*K9682</f>
        <v/>
      </c>
      <c r="P9682" s="148">
        <f>M9682/1.1</f>
        <v/>
      </c>
      <c r="Q9682" s="94">
        <f>F9682&amp;E9682&amp;G9682&amp;L9682</f>
        <v/>
      </c>
    </row>
    <row r="9683" customFormat="1" s="94">
      <c r="B9683" s="128" t="n">
        <v>44105</v>
      </c>
      <c r="C9683" s="94">
        <f>TEXT(B9683,"aaa")</f>
        <v/>
      </c>
      <c r="D9683" s="60" t="n"/>
      <c r="E9683" s="60" t="inlineStr">
        <is>
          <t>토너</t>
        </is>
      </c>
      <c r="F9683" s="60" t="inlineStr">
        <is>
          <t>카페24</t>
        </is>
      </c>
      <c r="G9683" s="60" t="inlineStr">
        <is>
          <t>500ml</t>
        </is>
      </c>
      <c r="H9683" s="60" t="n">
        <v>200801</v>
      </c>
      <c r="I9683" s="60" t="n">
        <v>200801</v>
      </c>
      <c r="J9683" s="60" t="n"/>
      <c r="K9683" s="60" t="n">
        <v>29</v>
      </c>
      <c r="L9683" s="60" t="n">
        <v>200801</v>
      </c>
      <c r="M9683" s="94">
        <f>VLOOKUP($Q9683,매칭테이블!$F:$I,2,0)*K9683</f>
        <v/>
      </c>
      <c r="N9683" s="94">
        <f>M9683-M9683*VLOOKUP($Q9683,매칭테이블!$F:$I,3,0)</f>
        <v/>
      </c>
      <c r="O9683" s="94">
        <f>VLOOKUP($Q9683,매칭테이블!$F:$I,4,0)*K9683</f>
        <v/>
      </c>
      <c r="P9683" s="148">
        <f>M9683/1.1</f>
        <v/>
      </c>
      <c r="Q9683" s="94">
        <f>F9683&amp;E9683&amp;G9683&amp;L9683</f>
        <v/>
      </c>
    </row>
    <row r="9684" customFormat="1" s="94">
      <c r="B9684" s="128" t="n">
        <v>44105</v>
      </c>
      <c r="C9684" s="94">
        <f>TEXT(B9684,"aaa")</f>
        <v/>
      </c>
      <c r="D9684" s="60" t="n"/>
      <c r="E9684" s="60" t="inlineStr">
        <is>
          <t>토너</t>
        </is>
      </c>
      <c r="F9684" s="60" t="inlineStr">
        <is>
          <t>카페24</t>
        </is>
      </c>
      <c r="G9684" s="60" t="inlineStr">
        <is>
          <t>스킨팩 화장솜 60P</t>
        </is>
      </c>
      <c r="H9684" s="60" t="n">
        <v>200801</v>
      </c>
      <c r="I9684" s="60" t="n">
        <v>200801</v>
      </c>
      <c r="J9684" s="60" t="n"/>
      <c r="K9684" s="60" t="n">
        <v>24</v>
      </c>
      <c r="L9684" s="60" t="n">
        <v>200801</v>
      </c>
      <c r="M9684" s="94">
        <f>VLOOKUP($Q9684,매칭테이블!$F:$I,2,0)*K9684</f>
        <v/>
      </c>
      <c r="N9684" s="94">
        <f>M9684-M9684*VLOOKUP($Q9684,매칭테이블!$F:$I,3,0)</f>
        <v/>
      </c>
      <c r="O9684" s="94">
        <f>VLOOKUP($Q9684,매칭테이블!$F:$I,4,0)*K9684</f>
        <v/>
      </c>
      <c r="P9684" s="148">
        <f>M9684/1.1</f>
        <v/>
      </c>
      <c r="Q9684" s="94">
        <f>F9684&amp;E9684&amp;G9684&amp;L9684</f>
        <v/>
      </c>
    </row>
    <row r="9685" customFormat="1" s="94">
      <c r="B9685" s="128" t="n">
        <v>44105</v>
      </c>
      <c r="C9685" s="94">
        <f>TEXT(B9685,"aaa")</f>
        <v/>
      </c>
      <c r="D9685" s="60" t="n"/>
      <c r="E9685" s="60" t="inlineStr">
        <is>
          <t>앰플</t>
        </is>
      </c>
      <c r="F9685" s="60" t="inlineStr">
        <is>
          <t>카페24</t>
        </is>
      </c>
      <c r="G9685" s="60" t="inlineStr">
        <is>
          <t>앰플 30ml</t>
        </is>
      </c>
      <c r="H9685" s="60" t="n">
        <v>200801</v>
      </c>
      <c r="I9685" s="60" t="n">
        <v>200801</v>
      </c>
      <c r="J9685" s="60" t="n"/>
      <c r="K9685" s="60" t="n">
        <v>16</v>
      </c>
      <c r="L9685" s="60" t="n">
        <v>200801</v>
      </c>
      <c r="M9685" s="94">
        <f>VLOOKUP($Q9685,매칭테이블!$F:$I,2,0)*K9685</f>
        <v/>
      </c>
      <c r="N9685" s="94">
        <f>M9685-M9685*VLOOKUP($Q9685,매칭테이블!$F:$I,3,0)</f>
        <v/>
      </c>
      <c r="O9685" s="94">
        <f>VLOOKUP($Q9685,매칭테이블!$F:$I,4,0)*K9685</f>
        <v/>
      </c>
      <c r="P9685" s="148">
        <f>M9685/1.1</f>
        <v/>
      </c>
      <c r="Q9685" s="94">
        <f>F9685&amp;E9685&amp;G9685&amp;L9685</f>
        <v/>
      </c>
    </row>
    <row r="9686" customFormat="1" s="94">
      <c r="B9686" s="128" t="n">
        <v>44105</v>
      </c>
      <c r="C9686" s="94">
        <f>TEXT(B9686,"aaa")</f>
        <v/>
      </c>
      <c r="D9686" s="60" t="n"/>
      <c r="E9686" s="60" t="inlineStr">
        <is>
          <t>앰플</t>
        </is>
      </c>
      <c r="F9686" s="60" t="inlineStr">
        <is>
          <t>카페24</t>
        </is>
      </c>
      <c r="G9686" s="60" t="inlineStr">
        <is>
          <t>앰플 30ml  2set</t>
        </is>
      </c>
      <c r="H9686" s="60" t="n">
        <v>200801</v>
      </c>
      <c r="I9686" s="60" t="n">
        <v>200801</v>
      </c>
      <c r="J9686" s="60" t="n"/>
      <c r="K9686" s="60" t="n">
        <v>6</v>
      </c>
      <c r="L9686" s="60" t="n">
        <v>200801</v>
      </c>
      <c r="M9686" s="94">
        <f>VLOOKUP($Q9686,매칭테이블!$F:$I,2,0)*K9686</f>
        <v/>
      </c>
      <c r="N9686" s="94">
        <f>M9686-M9686*VLOOKUP($Q9686,매칭테이블!$F:$I,3,0)</f>
        <v/>
      </c>
      <c r="O9686" s="94">
        <f>VLOOKUP($Q9686,매칭테이블!$F:$I,4,0)*K9686</f>
        <v/>
      </c>
      <c r="P9686" s="148">
        <f>M9686/1.1</f>
        <v/>
      </c>
      <c r="Q9686" s="94">
        <f>F9686&amp;E9686&amp;G9686&amp;L9686</f>
        <v/>
      </c>
    </row>
    <row r="9687" customFormat="1" s="94">
      <c r="B9687" s="128" t="n">
        <v>44105</v>
      </c>
      <c r="C9687" s="94">
        <f>TEXT(B9687,"aaa")</f>
        <v/>
      </c>
      <c r="D9687" s="60" t="n"/>
      <c r="E9687" s="60" t="inlineStr">
        <is>
          <t>수딩크림</t>
        </is>
      </c>
      <c r="F9687" s="60" t="inlineStr">
        <is>
          <t>카페24</t>
        </is>
      </c>
      <c r="G9687" s="60" t="inlineStr">
        <is>
          <t>수딩크림 100ml</t>
        </is>
      </c>
      <c r="H9687" s="60" t="n">
        <v>200801</v>
      </c>
      <c r="I9687" s="60" t="n">
        <v>200801</v>
      </c>
      <c r="J9687" s="60" t="n"/>
      <c r="K9687" s="60" t="n">
        <v>6</v>
      </c>
      <c r="L9687" s="60" t="n">
        <v>200801</v>
      </c>
      <c r="M9687" s="94">
        <f>VLOOKUP($Q9687,매칭테이블!$F:$I,2,0)*K9687</f>
        <v/>
      </c>
      <c r="N9687" s="94">
        <f>M9687-M9687*VLOOKUP($Q9687,매칭테이블!$F:$I,3,0)</f>
        <v/>
      </c>
      <c r="O9687" s="94">
        <f>VLOOKUP($Q9687,매칭테이블!$F:$I,4,0)*K9687</f>
        <v/>
      </c>
      <c r="P9687" s="148">
        <f>M9687/1.1</f>
        <v/>
      </c>
      <c r="Q9687" s="94">
        <f>F9687&amp;E9687&amp;G9687&amp;L9687</f>
        <v/>
      </c>
    </row>
    <row r="9688" customFormat="1" s="94">
      <c r="B9688" s="128" t="n">
        <v>44105</v>
      </c>
      <c r="C9688" s="94">
        <f>TEXT(B9688,"aaa")</f>
        <v/>
      </c>
      <c r="D9688" s="60" t="n"/>
      <c r="E9688" s="60" t="inlineStr">
        <is>
          <t>클렌징폼</t>
        </is>
      </c>
      <c r="F9688" s="60" t="inlineStr">
        <is>
          <t>카페24</t>
        </is>
      </c>
      <c r="G9688" s="60" t="inlineStr">
        <is>
          <t>클렌징폼 120ml</t>
        </is>
      </c>
      <c r="H9688" s="60" t="n">
        <v>200801</v>
      </c>
      <c r="I9688" s="60" t="n">
        <v>200801</v>
      </c>
      <c r="J9688" s="60" t="n"/>
      <c r="K9688" s="60" t="n">
        <v>9</v>
      </c>
      <c r="L9688" s="60" t="n">
        <v>200801</v>
      </c>
      <c r="M9688" s="94">
        <f>VLOOKUP($Q9688,매칭테이블!$F:$I,2,0)*K9688</f>
        <v/>
      </c>
      <c r="N9688" s="94">
        <f>M9688-M9688*VLOOKUP($Q9688,매칭테이블!$F:$I,3,0)</f>
        <v/>
      </c>
      <c r="O9688" s="94">
        <f>VLOOKUP($Q9688,매칭테이블!$F:$I,4,0)*K9688</f>
        <v/>
      </c>
      <c r="P9688" s="148">
        <f>M9688/1.1</f>
        <v/>
      </c>
      <c r="Q9688" s="94">
        <f>F9688&amp;E9688&amp;G9688&amp;L9688</f>
        <v/>
      </c>
    </row>
    <row r="9689" customFormat="1" s="94">
      <c r="B9689" s="128" t="n">
        <v>44105</v>
      </c>
      <c r="C9689" s="94">
        <f>TEXT(B9689,"aaa")</f>
        <v/>
      </c>
      <c r="D9689" s="60" t="n"/>
      <c r="E9689" s="60" t="inlineStr">
        <is>
          <t>클렌징폼</t>
        </is>
      </c>
      <c r="F9689" s="60" t="inlineStr">
        <is>
          <t>카페24</t>
        </is>
      </c>
      <c r="G9689" s="60" t="inlineStr">
        <is>
          <t>클렌징폼 120ml 2set</t>
        </is>
      </c>
      <c r="H9689" s="60" t="n">
        <v>200801</v>
      </c>
      <c r="I9689" s="60" t="n">
        <v>200801</v>
      </c>
      <c r="J9689" s="60" t="n"/>
      <c r="K9689" s="60" t="n">
        <v>3</v>
      </c>
      <c r="L9689" s="60" t="n">
        <v>200801</v>
      </c>
      <c r="M9689" s="94">
        <f>VLOOKUP($Q9689,매칭테이블!$F:$I,2,0)*K9689</f>
        <v/>
      </c>
      <c r="N9689" s="94">
        <f>M9689-M9689*VLOOKUP($Q9689,매칭테이블!$F:$I,3,0)</f>
        <v/>
      </c>
      <c r="O9689" s="94">
        <f>VLOOKUP($Q9689,매칭테이블!$F:$I,4,0)*K9689</f>
        <v/>
      </c>
      <c r="P9689" s="148">
        <f>M9689/1.1</f>
        <v/>
      </c>
      <c r="Q9689" s="94">
        <f>F9689&amp;E9689&amp;G9689&amp;L9689</f>
        <v/>
      </c>
    </row>
    <row r="9690" customFormat="1" s="94">
      <c r="B9690" s="128" t="n">
        <v>44105</v>
      </c>
      <c r="C9690" s="94">
        <f>TEXT(B9690,"aaa")</f>
        <v/>
      </c>
      <c r="D9690" s="60" t="n"/>
      <c r="E9690" s="60" t="inlineStr">
        <is>
          <t>클렌징폼</t>
        </is>
      </c>
      <c r="F9690" s="60" t="inlineStr">
        <is>
          <t>카페24</t>
        </is>
      </c>
      <c r="G9690" s="60" t="inlineStr">
        <is>
          <t>클렌징폼 120ml 3set</t>
        </is>
      </c>
      <c r="H9690" s="60" t="n">
        <v>200801</v>
      </c>
      <c r="I9690" s="60" t="n">
        <v>200801</v>
      </c>
      <c r="J9690" s="60" t="n"/>
      <c r="K9690" s="60" t="n">
        <v>1</v>
      </c>
      <c r="L9690" s="60" t="n">
        <v>200801</v>
      </c>
      <c r="M9690" s="94">
        <f>VLOOKUP($Q9690,매칭테이블!$F:$I,2,0)*K9690</f>
        <v/>
      </c>
      <c r="N9690" s="94">
        <f>M9690-M9690*VLOOKUP($Q9690,매칭테이블!$F:$I,3,0)</f>
        <v/>
      </c>
      <c r="O9690" s="94">
        <f>VLOOKUP($Q9690,매칭테이블!$F:$I,4,0)*K9690</f>
        <v/>
      </c>
      <c r="P9690" s="148">
        <f>M9690/1.1</f>
        <v/>
      </c>
      <c r="Q9690" s="94">
        <f>F9690&amp;E9690&amp;G9690&amp;L9690</f>
        <v/>
      </c>
    </row>
    <row r="9691" customFormat="1" s="94">
      <c r="B9691" s="128" t="n">
        <v>44105</v>
      </c>
      <c r="C9691" s="94">
        <f>TEXT(B9691,"aaa")</f>
        <v/>
      </c>
      <c r="D9691" s="60" t="n"/>
      <c r="E9691" s="60" t="inlineStr">
        <is>
          <t>바디워시</t>
        </is>
      </c>
      <c r="F9691" s="60" t="inlineStr">
        <is>
          <t>카페24</t>
        </is>
      </c>
      <c r="G9691" s="60" t="inlineStr">
        <is>
          <t>바디워시 1개 -30% off</t>
        </is>
      </c>
      <c r="H9691" s="60" t="n">
        <v>200801</v>
      </c>
      <c r="I9691" s="60" t="n">
        <v>200801</v>
      </c>
      <c r="J9691" s="60" t="n"/>
      <c r="K9691" s="60" t="n">
        <v>1</v>
      </c>
      <c r="L9691" s="60" t="n">
        <v>200801</v>
      </c>
      <c r="M9691" s="94">
        <f>VLOOKUP($Q9691,매칭테이블!$F:$I,2,0)*K9691</f>
        <v/>
      </c>
      <c r="N9691" s="94">
        <f>M9691-M9691*VLOOKUP($Q9691,매칭테이블!$F:$I,3,0)</f>
        <v/>
      </c>
      <c r="O9691" s="94">
        <f>VLOOKUP($Q9691,매칭테이블!$F:$I,4,0)*K9691</f>
        <v/>
      </c>
      <c r="P9691" s="148">
        <f>M9691/1.1</f>
        <v/>
      </c>
      <c r="Q9691" s="94">
        <f>F9691&amp;E9691&amp;G9691&amp;L9691</f>
        <v/>
      </c>
    </row>
    <row r="9692" customFormat="1" s="94">
      <c r="B9692" s="128" t="n">
        <v>44105</v>
      </c>
      <c r="C9692" s="94">
        <f>TEXT(B9692,"aaa")</f>
        <v/>
      </c>
      <c r="D9692" s="60" t="n"/>
      <c r="E9692" s="60" t="inlineStr">
        <is>
          <t>토너</t>
        </is>
      </c>
      <c r="F9692" s="60" t="inlineStr">
        <is>
          <t>화해</t>
        </is>
      </c>
      <c r="G9692" s="60" t="inlineStr">
        <is>
          <t>250ml</t>
        </is>
      </c>
      <c r="H9692" s="60" t="n">
        <v>200801</v>
      </c>
      <c r="I9692" s="60" t="n">
        <v>200801</v>
      </c>
      <c r="J9692" s="60" t="n"/>
      <c r="K9692" s="60" t="n">
        <v>4</v>
      </c>
      <c r="L9692" s="60" t="n">
        <v>200801</v>
      </c>
      <c r="M9692" s="94">
        <f>VLOOKUP($Q9692,매칭테이블!$F:$I,2,0)*K9692</f>
        <v/>
      </c>
      <c r="N9692" s="94">
        <f>M9692-M9692*VLOOKUP($Q9692,매칭테이블!$F:$I,3,0)</f>
        <v/>
      </c>
      <c r="O9692" s="94">
        <f>VLOOKUP($Q9692,매칭테이블!$F:$I,4,0)*K9692</f>
        <v/>
      </c>
      <c r="P9692" s="148">
        <f>M9692/1.1</f>
        <v/>
      </c>
      <c r="Q9692" s="94">
        <f>F9692&amp;E9692&amp;G9692&amp;L9692</f>
        <v/>
      </c>
    </row>
    <row r="9693" customFormat="1" s="94">
      <c r="B9693" s="128" t="n">
        <v>44106</v>
      </c>
      <c r="C9693" s="94">
        <f>TEXT(B9693,"aaa")</f>
        <v/>
      </c>
      <c r="D9693" s="60" t="n"/>
      <c r="E9693" s="60" t="inlineStr">
        <is>
          <t>토너</t>
        </is>
      </c>
      <c r="F9693" s="60" t="inlineStr">
        <is>
          <t>스타일쉐어</t>
        </is>
      </c>
      <c r="G9693" s="60" t="inlineStr">
        <is>
          <t>250ml</t>
        </is>
      </c>
      <c r="H9693" s="60" t="n">
        <v>200801</v>
      </c>
      <c r="I9693" s="60" t="n">
        <v>200801</v>
      </c>
      <c r="J9693" s="60" t="n"/>
      <c r="K9693" s="60" t="n">
        <v>4</v>
      </c>
      <c r="L9693" s="60" t="n">
        <v>200801</v>
      </c>
      <c r="M9693" s="94">
        <f>VLOOKUP($Q9693,매칭테이블!$F:$I,2,0)*K9693</f>
        <v/>
      </c>
      <c r="N9693" s="94">
        <f>M9693-M9693*VLOOKUP($Q9693,매칭테이블!$F:$I,3,0)</f>
        <v/>
      </c>
      <c r="O9693" s="94">
        <f>VLOOKUP($Q9693,매칭테이블!$F:$I,4,0)*K9693</f>
        <v/>
      </c>
      <c r="P9693" s="148">
        <f>M9693/1.1</f>
        <v/>
      </c>
      <c r="Q9693" s="94">
        <f>F9693&amp;E9693&amp;G9693&amp;L9693</f>
        <v/>
      </c>
    </row>
    <row r="9694" customFormat="1" s="94">
      <c r="B9694" s="128" t="n">
        <v>44106</v>
      </c>
      <c r="C9694" s="94">
        <f>TEXT(B9694,"aaa")</f>
        <v/>
      </c>
      <c r="D9694" s="60" t="n"/>
      <c r="E9694" s="60" t="inlineStr">
        <is>
          <t>선크림</t>
        </is>
      </c>
      <c r="F9694" s="60" t="inlineStr">
        <is>
          <t>카페24</t>
        </is>
      </c>
      <c r="G9694" s="60" t="inlineStr">
        <is>
          <t>선크림 50ml</t>
        </is>
      </c>
      <c r="H9694" s="60" t="n">
        <v>200801</v>
      </c>
      <c r="I9694" s="60" t="n">
        <v>200801</v>
      </c>
      <c r="J9694" s="60" t="n"/>
      <c r="K9694" s="60" t="n">
        <v>3</v>
      </c>
      <c r="L9694" s="60" t="n">
        <v>200801</v>
      </c>
      <c r="M9694" s="94">
        <f>VLOOKUP($Q9694,매칭테이블!$F:$I,2,0)*K9694</f>
        <v/>
      </c>
      <c r="N9694" s="94">
        <f>M9694-M9694*VLOOKUP($Q9694,매칭테이블!$F:$I,3,0)</f>
        <v/>
      </c>
      <c r="O9694" s="94">
        <f>VLOOKUP($Q9694,매칭테이블!$F:$I,4,0)*K9694</f>
        <v/>
      </c>
      <c r="P9694" s="148">
        <f>M9694/1.1</f>
        <v/>
      </c>
      <c r="Q9694" s="94">
        <f>F9694&amp;E9694&amp;G9694&amp;L9694</f>
        <v/>
      </c>
    </row>
    <row r="9695" customFormat="1" s="94">
      <c r="B9695" s="128" t="n">
        <v>44106</v>
      </c>
      <c r="C9695" s="94">
        <f>TEXT(B9695,"aaa")</f>
        <v/>
      </c>
      <c r="D9695" s="60" t="n"/>
      <c r="E9695" s="60" t="inlineStr">
        <is>
          <t>어성초진정패키지</t>
        </is>
      </c>
      <c r="F9695" s="60" t="inlineStr">
        <is>
          <t>카페24</t>
        </is>
      </c>
      <c r="G9695" s="60" t="inlineStr">
        <is>
          <t>어성초 진정패키지세트</t>
        </is>
      </c>
      <c r="H9695" s="60" t="n">
        <v>200801</v>
      </c>
      <c r="I9695" s="60" t="n">
        <v>200801</v>
      </c>
      <c r="J9695" s="60" t="n"/>
      <c r="K9695" s="60" t="n">
        <v>3</v>
      </c>
      <c r="L9695" s="60" t="n">
        <v>200801</v>
      </c>
      <c r="M9695" s="94">
        <f>VLOOKUP($Q9695,매칭테이블!$F:$I,2,0)*K9695</f>
        <v/>
      </c>
      <c r="N9695" s="94">
        <f>M9695-M9695*VLOOKUP($Q9695,매칭테이블!$F:$I,3,0)</f>
        <v/>
      </c>
      <c r="O9695" s="94">
        <f>VLOOKUP($Q9695,매칭테이블!$F:$I,4,0)*K9695</f>
        <v/>
      </c>
      <c r="P9695" s="148">
        <f>M9695/1.1</f>
        <v/>
      </c>
      <c r="Q9695" s="94">
        <f>F9695&amp;E9695&amp;G9695&amp;L9695</f>
        <v/>
      </c>
    </row>
    <row r="9696" customFormat="1" s="94">
      <c r="B9696" s="128" t="n">
        <v>44106</v>
      </c>
      <c r="C9696" s="94">
        <f>TEXT(B9696,"aaa")</f>
        <v/>
      </c>
      <c r="D9696" s="60" t="n"/>
      <c r="E9696" s="60" t="inlineStr">
        <is>
          <t>클리어 패드</t>
        </is>
      </c>
      <c r="F9696" s="60" t="inlineStr">
        <is>
          <t>카페24</t>
        </is>
      </c>
      <c r="G9696" s="60" t="inlineStr">
        <is>
          <t>어성초 77 클리어 패드 1개-20% off</t>
        </is>
      </c>
      <c r="H9696" s="60" t="n">
        <v>200801</v>
      </c>
      <c r="I9696" s="60" t="n">
        <v>200801</v>
      </c>
      <c r="J9696" s="60" t="n"/>
      <c r="K9696" s="60" t="n">
        <v>23</v>
      </c>
      <c r="L9696" s="60" t="n">
        <v>200801</v>
      </c>
      <c r="M9696" s="94">
        <f>VLOOKUP($Q9696,매칭테이블!$F:$I,2,0)*K9696</f>
        <v/>
      </c>
      <c r="N9696" s="94">
        <f>M9696-M9696*VLOOKUP($Q9696,매칭테이블!$F:$I,3,0)</f>
        <v/>
      </c>
      <c r="O9696" s="94">
        <f>VLOOKUP($Q9696,매칭테이블!$F:$I,4,0)*K9696</f>
        <v/>
      </c>
      <c r="P9696" s="148">
        <f>M9696/1.1</f>
        <v/>
      </c>
      <c r="Q9696" s="94">
        <f>F9696&amp;E9696&amp;G9696&amp;L9696</f>
        <v/>
      </c>
    </row>
    <row r="9697" customFormat="1" s="94">
      <c r="B9697" s="128" t="n">
        <v>44106</v>
      </c>
      <c r="C9697" s="94">
        <f>TEXT(B9697,"aaa")</f>
        <v/>
      </c>
      <c r="D9697" s="60" t="n"/>
      <c r="E9697" s="60" t="inlineStr">
        <is>
          <t>클리어 패드</t>
        </is>
      </c>
      <c r="F9697" s="60" t="inlineStr">
        <is>
          <t>카페24</t>
        </is>
      </c>
      <c r="G9697" s="60" t="inlineStr">
        <is>
          <t>어성초 77 클리어 패드 2개-30% off</t>
        </is>
      </c>
      <c r="H9697" s="60" t="n">
        <v>200801</v>
      </c>
      <c r="I9697" s="60" t="n">
        <v>200801</v>
      </c>
      <c r="J9697" s="60" t="n"/>
      <c r="K9697" s="60" t="n">
        <v>12</v>
      </c>
      <c r="L9697" s="60" t="n">
        <v>200801</v>
      </c>
      <c r="M9697" s="94">
        <f>VLOOKUP($Q9697,매칭테이블!$F:$I,2,0)*K9697</f>
        <v/>
      </c>
      <c r="N9697" s="94">
        <f>M9697-M9697*VLOOKUP($Q9697,매칭테이블!$F:$I,3,0)</f>
        <v/>
      </c>
      <c r="O9697" s="94">
        <f>VLOOKUP($Q9697,매칭테이블!$F:$I,4,0)*K9697</f>
        <v/>
      </c>
      <c r="P9697" s="148">
        <f>M9697/1.1</f>
        <v/>
      </c>
      <c r="Q9697" s="94">
        <f>F9697&amp;E9697&amp;G9697&amp;L9697</f>
        <v/>
      </c>
    </row>
    <row r="9698" customFormat="1" s="94">
      <c r="B9698" s="128" t="n">
        <v>44106</v>
      </c>
      <c r="C9698" s="94">
        <f>TEXT(B9698,"aaa")</f>
        <v/>
      </c>
      <c r="D9698" s="60" t="n"/>
      <c r="E9698" s="60" t="inlineStr">
        <is>
          <t>토너+패드 세트</t>
        </is>
      </c>
      <c r="F9698" s="60" t="inlineStr">
        <is>
          <t>카페24</t>
        </is>
      </c>
      <c r="G9698" s="60" t="inlineStr">
        <is>
          <t>좁쌀 진정 세트 토너+클리어 패드-30% off</t>
        </is>
      </c>
      <c r="H9698" s="60" t="n">
        <v>200801</v>
      </c>
      <c r="I9698" s="60" t="n">
        <v>200801</v>
      </c>
      <c r="J9698" s="60" t="n"/>
      <c r="K9698" s="60" t="n">
        <v>17</v>
      </c>
      <c r="L9698" s="60" t="n">
        <v>200801</v>
      </c>
      <c r="M9698" s="94">
        <f>VLOOKUP($Q9698,매칭테이블!$F:$I,2,0)*K9698</f>
        <v/>
      </c>
      <c r="N9698" s="94">
        <f>M9698-M9698*VLOOKUP($Q9698,매칭테이블!$F:$I,3,0)</f>
        <v/>
      </c>
      <c r="O9698" s="94">
        <f>VLOOKUP($Q9698,매칭테이블!$F:$I,4,0)*K9698</f>
        <v/>
      </c>
      <c r="P9698" s="148">
        <f>M9698/1.1</f>
        <v/>
      </c>
      <c r="Q9698" s="94">
        <f>F9698&amp;E9698&amp;G9698&amp;L9698</f>
        <v/>
      </c>
    </row>
    <row r="9699" customFormat="1" s="94">
      <c r="B9699" s="128" t="n">
        <v>44106</v>
      </c>
      <c r="C9699" s="94">
        <f>TEXT(B9699,"aaa")</f>
        <v/>
      </c>
      <c r="D9699" s="60" t="n"/>
      <c r="E9699" s="60" t="inlineStr">
        <is>
          <t>수분 보충 세트</t>
        </is>
      </c>
      <c r="F9699" s="60" t="inlineStr">
        <is>
          <t>카페24</t>
        </is>
      </c>
      <c r="G9699" s="60" t="inlineStr">
        <is>
          <t>[20/09/28 부터] 어성초 77 토너 250ml + 어성초 70 로션 200ml -30%</t>
        </is>
      </c>
      <c r="H9699" s="60" t="n">
        <v>200801</v>
      </c>
      <c r="I9699" s="60" t="n">
        <v>200801</v>
      </c>
      <c r="J9699" s="60" t="n"/>
      <c r="K9699" s="60" t="n">
        <v>21</v>
      </c>
      <c r="L9699" s="60" t="n">
        <v>200801</v>
      </c>
      <c r="M9699" s="94">
        <f>VLOOKUP($Q9699,매칭테이블!$F:$I,2,0)*K9699</f>
        <v/>
      </c>
      <c r="N9699" s="94">
        <f>M9699-M9699*VLOOKUP($Q9699,매칭테이블!$F:$I,3,0)</f>
        <v/>
      </c>
      <c r="O9699" s="94">
        <f>VLOOKUP($Q9699,매칭테이블!$F:$I,4,0)*K9699</f>
        <v/>
      </c>
      <c r="P9699" s="148">
        <f>M9699/1.1</f>
        <v/>
      </c>
      <c r="Q9699" s="94">
        <f>F9699&amp;E9699&amp;G9699&amp;L9699</f>
        <v/>
      </c>
    </row>
    <row r="9700" customFormat="1" s="94">
      <c r="B9700" s="128" t="n">
        <v>44106</v>
      </c>
      <c r="C9700" s="94">
        <f>TEXT(B9700,"aaa")</f>
        <v/>
      </c>
      <c r="D9700" s="60" t="n"/>
      <c r="E9700" s="60" t="inlineStr">
        <is>
          <t>로션</t>
        </is>
      </c>
      <c r="F9700" s="60" t="inlineStr">
        <is>
          <t>카페24</t>
        </is>
      </c>
      <c r="G9700" s="60" t="inlineStr">
        <is>
          <t>어성초 70 데일리 릴리프 로션 1개 -20% off</t>
        </is>
      </c>
      <c r="H9700" s="60" t="n">
        <v>200801</v>
      </c>
      <c r="I9700" s="60" t="n">
        <v>200801</v>
      </c>
      <c r="J9700" s="60" t="n"/>
      <c r="K9700" s="60" t="n">
        <v>7</v>
      </c>
      <c r="L9700" s="60" t="n">
        <v>200801</v>
      </c>
      <c r="M9700" s="94">
        <f>VLOOKUP($Q9700,매칭테이블!$F:$I,2,0)*K9700</f>
        <v/>
      </c>
      <c r="N9700" s="94">
        <f>M9700-M9700*VLOOKUP($Q9700,매칭테이블!$F:$I,3,0)</f>
        <v/>
      </c>
      <c r="O9700" s="94">
        <f>VLOOKUP($Q9700,매칭테이블!$F:$I,4,0)*K9700</f>
        <v/>
      </c>
      <c r="P9700" s="148">
        <f>M9700/1.1</f>
        <v/>
      </c>
      <c r="Q9700" s="94">
        <f>F9700&amp;E9700&amp;G9700&amp;L9700</f>
        <v/>
      </c>
    </row>
    <row r="9701" customFormat="1" s="94">
      <c r="B9701" s="128" t="n">
        <v>44106</v>
      </c>
      <c r="C9701" s="94">
        <f>TEXT(B9701,"aaa")</f>
        <v/>
      </c>
      <c r="D9701" s="60" t="n"/>
      <c r="E9701" s="60" t="inlineStr">
        <is>
          <t>머드크림마스크</t>
        </is>
      </c>
      <c r="F9701" s="60" t="inlineStr">
        <is>
          <t>카페24</t>
        </is>
      </c>
      <c r="G9701" s="60" t="inlineStr">
        <is>
          <t>머드크림마스크 100ml</t>
        </is>
      </c>
      <c r="H9701" s="60" t="n">
        <v>200801</v>
      </c>
      <c r="I9701" s="60" t="n">
        <v>200801</v>
      </c>
      <c r="J9701" s="60" t="n"/>
      <c r="K9701" s="60" t="n">
        <v>3</v>
      </c>
      <c r="L9701" s="60" t="n">
        <v>200801</v>
      </c>
      <c r="M9701" s="94">
        <f>VLOOKUP($Q9701,매칭테이블!$F:$I,2,0)*K9701</f>
        <v/>
      </c>
      <c r="N9701" s="94">
        <f>M9701-M9701*VLOOKUP($Q9701,매칭테이블!$F:$I,3,0)</f>
        <v/>
      </c>
      <c r="O9701" s="94">
        <f>VLOOKUP($Q9701,매칭테이블!$F:$I,4,0)*K9701</f>
        <v/>
      </c>
      <c r="P9701" s="148">
        <f>M9701/1.1</f>
        <v/>
      </c>
      <c r="Q9701" s="94">
        <f>F9701&amp;E9701&amp;G9701&amp;L9701</f>
        <v/>
      </c>
    </row>
    <row r="9702" customFormat="1" s="94">
      <c r="B9702" s="128" t="n">
        <v>44106</v>
      </c>
      <c r="C9702" s="94">
        <f>TEXT(B9702,"aaa")</f>
        <v/>
      </c>
      <c r="D9702" s="60" t="n"/>
      <c r="E9702" s="60" t="inlineStr">
        <is>
          <t>마스크팩</t>
        </is>
      </c>
      <c r="F9702" s="60" t="inlineStr">
        <is>
          <t>카페24</t>
        </is>
      </c>
      <c r="G9702" s="60" t="inlineStr">
        <is>
          <t>마스크팩 10매</t>
        </is>
      </c>
      <c r="H9702" s="60" t="n">
        <v>200801</v>
      </c>
      <c r="I9702" s="60" t="n">
        <v>200801</v>
      </c>
      <c r="J9702" s="60" t="n"/>
      <c r="K9702" s="60" t="n">
        <v>3</v>
      </c>
      <c r="L9702" s="60" t="n">
        <v>200801</v>
      </c>
      <c r="M9702" s="94">
        <f>VLOOKUP($Q9702,매칭테이블!$F:$I,2,0)*K9702</f>
        <v/>
      </c>
      <c r="N9702" s="94">
        <f>M9702-M9702*VLOOKUP($Q9702,매칭테이블!$F:$I,3,0)</f>
        <v/>
      </c>
      <c r="O9702" s="94">
        <f>VLOOKUP($Q9702,매칭테이블!$F:$I,4,0)*K9702</f>
        <v/>
      </c>
      <c r="P9702" s="148">
        <f>M9702/1.1</f>
        <v/>
      </c>
      <c r="Q9702" s="94">
        <f>F9702&amp;E9702&amp;G9702&amp;L9702</f>
        <v/>
      </c>
    </row>
    <row r="9703" customFormat="1" s="94">
      <c r="B9703" s="128" t="n">
        <v>44106</v>
      </c>
      <c r="C9703" s="94">
        <f>TEXT(B9703,"aaa")</f>
        <v/>
      </c>
      <c r="D9703" s="60" t="n"/>
      <c r="E9703" s="60" t="inlineStr">
        <is>
          <t>토너</t>
        </is>
      </c>
      <c r="F9703" s="60" t="inlineStr">
        <is>
          <t>카페24</t>
        </is>
      </c>
      <c r="G9703" s="60" t="inlineStr">
        <is>
          <t>250ml</t>
        </is>
      </c>
      <c r="H9703" s="60" t="n">
        <v>200801</v>
      </c>
      <c r="I9703" s="60" t="n">
        <v>200801</v>
      </c>
      <c r="J9703" s="60" t="n"/>
      <c r="K9703" s="60" t="n">
        <v>36</v>
      </c>
      <c r="L9703" s="60" t="n">
        <v>200801</v>
      </c>
      <c r="M9703" s="94">
        <f>VLOOKUP($Q9703,매칭테이블!$F:$I,2,0)*K9703</f>
        <v/>
      </c>
      <c r="N9703" s="94">
        <f>M9703-M9703*VLOOKUP($Q9703,매칭테이블!$F:$I,3,0)</f>
        <v/>
      </c>
      <c r="O9703" s="94">
        <f>VLOOKUP($Q9703,매칭테이블!$F:$I,4,0)*K9703</f>
        <v/>
      </c>
      <c r="P9703" s="148">
        <f>M9703/1.1</f>
        <v/>
      </c>
      <c r="Q9703" s="94">
        <f>F9703&amp;E9703&amp;G9703&amp;L9703</f>
        <v/>
      </c>
    </row>
    <row r="9704" customFormat="1" s="94">
      <c r="B9704" s="128" t="n">
        <v>44106</v>
      </c>
      <c r="C9704" s="94">
        <f>TEXT(B9704,"aaa")</f>
        <v/>
      </c>
      <c r="D9704" s="60" t="n"/>
      <c r="E9704" s="60" t="inlineStr">
        <is>
          <t>토너</t>
        </is>
      </c>
      <c r="F9704" s="60" t="inlineStr">
        <is>
          <t>카페24</t>
        </is>
      </c>
      <c r="G9704" s="60" t="inlineStr">
        <is>
          <t>250ml 2set</t>
        </is>
      </c>
      <c r="H9704" s="60" t="n">
        <v>200801</v>
      </c>
      <c r="I9704" s="60" t="n">
        <v>200801</v>
      </c>
      <c r="J9704" s="60" t="n"/>
      <c r="K9704" s="60" t="n">
        <v>24</v>
      </c>
      <c r="L9704" s="60" t="n">
        <v>200801</v>
      </c>
      <c r="M9704" s="94">
        <f>VLOOKUP($Q9704,매칭테이블!$F:$I,2,0)*K9704</f>
        <v/>
      </c>
      <c r="N9704" s="94">
        <f>M9704-M9704*VLOOKUP($Q9704,매칭테이블!$F:$I,3,0)</f>
        <v/>
      </c>
      <c r="O9704" s="94">
        <f>VLOOKUP($Q9704,매칭테이블!$F:$I,4,0)*K9704</f>
        <v/>
      </c>
      <c r="P9704" s="148">
        <f>M9704/1.1</f>
        <v/>
      </c>
      <c r="Q9704" s="94">
        <f>F9704&amp;E9704&amp;G9704&amp;L9704</f>
        <v/>
      </c>
    </row>
    <row r="9705" customFormat="1" s="94">
      <c r="B9705" s="128" t="n">
        <v>44106</v>
      </c>
      <c r="C9705" s="94">
        <f>TEXT(B9705,"aaa")</f>
        <v/>
      </c>
      <c r="D9705" s="60" t="n"/>
      <c r="E9705" s="60" t="inlineStr">
        <is>
          <t>토너</t>
        </is>
      </c>
      <c r="F9705" s="60" t="inlineStr">
        <is>
          <t>카페24</t>
        </is>
      </c>
      <c r="G9705" s="60" t="inlineStr">
        <is>
          <t>500ml</t>
        </is>
      </c>
      <c r="H9705" s="60" t="n">
        <v>200801</v>
      </c>
      <c r="I9705" s="60" t="n">
        <v>200801</v>
      </c>
      <c r="J9705" s="60" t="n"/>
      <c r="K9705" s="60" t="n">
        <v>34</v>
      </c>
      <c r="L9705" s="60" t="n">
        <v>200801</v>
      </c>
      <c r="M9705" s="94">
        <f>VLOOKUP($Q9705,매칭테이블!$F:$I,2,0)*K9705</f>
        <v/>
      </c>
      <c r="N9705" s="94">
        <f>M9705-M9705*VLOOKUP($Q9705,매칭테이블!$F:$I,3,0)</f>
        <v/>
      </c>
      <c r="O9705" s="94">
        <f>VLOOKUP($Q9705,매칭테이블!$F:$I,4,0)*K9705</f>
        <v/>
      </c>
      <c r="P9705" s="148">
        <f>M9705/1.1</f>
        <v/>
      </c>
      <c r="Q9705" s="94">
        <f>F9705&amp;E9705&amp;G9705&amp;L9705</f>
        <v/>
      </c>
    </row>
    <row r="9706" customFormat="1" s="94">
      <c r="B9706" s="128" t="n">
        <v>44106</v>
      </c>
      <c r="C9706" s="94">
        <f>TEXT(B9706,"aaa")</f>
        <v/>
      </c>
      <c r="D9706" s="60" t="n"/>
      <c r="E9706" s="60" t="inlineStr">
        <is>
          <t>토너</t>
        </is>
      </c>
      <c r="F9706" s="60" t="inlineStr">
        <is>
          <t>카페24</t>
        </is>
      </c>
      <c r="G9706" s="60" t="inlineStr">
        <is>
          <t>스킨팩 화장솜 60P</t>
        </is>
      </c>
      <c r="H9706" s="60" t="n">
        <v>200801</v>
      </c>
      <c r="I9706" s="60" t="n">
        <v>200801</v>
      </c>
      <c r="J9706" s="60" t="n"/>
      <c r="K9706" s="60" t="n">
        <v>37</v>
      </c>
      <c r="L9706" s="60" t="n">
        <v>200801</v>
      </c>
      <c r="M9706" s="94">
        <f>VLOOKUP($Q9706,매칭테이블!$F:$I,2,0)*K9706</f>
        <v/>
      </c>
      <c r="N9706" s="94">
        <f>M9706-M9706*VLOOKUP($Q9706,매칭테이블!$F:$I,3,0)</f>
        <v/>
      </c>
      <c r="O9706" s="94">
        <f>VLOOKUP($Q9706,매칭테이블!$F:$I,4,0)*K9706</f>
        <v/>
      </c>
      <c r="P9706" s="148">
        <f>M9706/1.1</f>
        <v/>
      </c>
      <c r="Q9706" s="94">
        <f>F9706&amp;E9706&amp;G9706&amp;L9706</f>
        <v/>
      </c>
    </row>
    <row r="9707" customFormat="1" s="94">
      <c r="B9707" s="128" t="n">
        <v>44106</v>
      </c>
      <c r="C9707" s="94">
        <f>TEXT(B9707,"aaa")</f>
        <v/>
      </c>
      <c r="D9707" s="60" t="n"/>
      <c r="E9707" s="60" t="inlineStr">
        <is>
          <t>앰플</t>
        </is>
      </c>
      <c r="F9707" s="60" t="inlineStr">
        <is>
          <t>카페24</t>
        </is>
      </c>
      <c r="G9707" s="60" t="inlineStr">
        <is>
          <t>앰플 30ml</t>
        </is>
      </c>
      <c r="H9707" s="60" t="n">
        <v>200801</v>
      </c>
      <c r="I9707" s="60" t="n">
        <v>200801</v>
      </c>
      <c r="J9707" s="60" t="n"/>
      <c r="K9707" s="60" t="n">
        <v>15</v>
      </c>
      <c r="L9707" s="60" t="n">
        <v>200801</v>
      </c>
      <c r="M9707" s="94">
        <f>VLOOKUP($Q9707,매칭테이블!$F:$I,2,0)*K9707</f>
        <v/>
      </c>
      <c r="N9707" s="94">
        <f>M9707-M9707*VLOOKUP($Q9707,매칭테이블!$F:$I,3,0)</f>
        <v/>
      </c>
      <c r="O9707" s="94">
        <f>VLOOKUP($Q9707,매칭테이블!$F:$I,4,0)*K9707</f>
        <v/>
      </c>
      <c r="P9707" s="148">
        <f>M9707/1.1</f>
        <v/>
      </c>
      <c r="Q9707" s="94">
        <f>F9707&amp;E9707&amp;G9707&amp;L9707</f>
        <v/>
      </c>
    </row>
    <row r="9708" customFormat="1" s="94">
      <c r="B9708" s="128" t="n">
        <v>44106</v>
      </c>
      <c r="C9708" s="94">
        <f>TEXT(B9708,"aaa")</f>
        <v/>
      </c>
      <c r="D9708" s="60" t="n"/>
      <c r="E9708" s="60" t="inlineStr">
        <is>
          <t>앰플</t>
        </is>
      </c>
      <c r="F9708" s="60" t="inlineStr">
        <is>
          <t>카페24</t>
        </is>
      </c>
      <c r="G9708" s="60" t="inlineStr">
        <is>
          <t>앰플 30ml  2set</t>
        </is>
      </c>
      <c r="H9708" s="60" t="n">
        <v>200801</v>
      </c>
      <c r="I9708" s="60" t="n">
        <v>200801</v>
      </c>
      <c r="J9708" s="60" t="n"/>
      <c r="K9708" s="60" t="n">
        <v>4</v>
      </c>
      <c r="L9708" s="60" t="n">
        <v>200801</v>
      </c>
      <c r="M9708" s="94">
        <f>VLOOKUP($Q9708,매칭테이블!$F:$I,2,0)*K9708</f>
        <v/>
      </c>
      <c r="N9708" s="94">
        <f>M9708-M9708*VLOOKUP($Q9708,매칭테이블!$F:$I,3,0)</f>
        <v/>
      </c>
      <c r="O9708" s="94">
        <f>VLOOKUP($Q9708,매칭테이블!$F:$I,4,0)*K9708</f>
        <v/>
      </c>
      <c r="P9708" s="148">
        <f>M9708/1.1</f>
        <v/>
      </c>
      <c r="Q9708" s="94">
        <f>F9708&amp;E9708&amp;G9708&amp;L9708</f>
        <v/>
      </c>
    </row>
    <row r="9709" customFormat="1" s="94">
      <c r="B9709" s="128" t="n">
        <v>44106</v>
      </c>
      <c r="C9709" s="94">
        <f>TEXT(B9709,"aaa")</f>
        <v/>
      </c>
      <c r="D9709" s="60" t="n"/>
      <c r="E9709" s="60" t="inlineStr">
        <is>
          <t>수딩크림</t>
        </is>
      </c>
      <c r="F9709" s="60" t="inlineStr">
        <is>
          <t>카페24</t>
        </is>
      </c>
      <c r="G9709" s="60" t="inlineStr">
        <is>
          <t>수딩크림 100ml</t>
        </is>
      </c>
      <c r="H9709" s="60" t="n">
        <v>200801</v>
      </c>
      <c r="I9709" s="60" t="n">
        <v>200801</v>
      </c>
      <c r="J9709" s="60" t="n"/>
      <c r="K9709" s="60" t="n">
        <v>6</v>
      </c>
      <c r="L9709" s="60" t="n">
        <v>200801</v>
      </c>
      <c r="M9709" s="94">
        <f>VLOOKUP($Q9709,매칭테이블!$F:$I,2,0)*K9709</f>
        <v/>
      </c>
      <c r="N9709" s="94">
        <f>M9709-M9709*VLOOKUP($Q9709,매칭테이블!$F:$I,3,0)</f>
        <v/>
      </c>
      <c r="O9709" s="94">
        <f>VLOOKUP($Q9709,매칭테이블!$F:$I,4,0)*K9709</f>
        <v/>
      </c>
      <c r="P9709" s="148">
        <f>M9709/1.1</f>
        <v/>
      </c>
      <c r="Q9709" s="94">
        <f>F9709&amp;E9709&amp;G9709&amp;L9709</f>
        <v/>
      </c>
    </row>
    <row r="9710" customFormat="1" s="94">
      <c r="B9710" s="128" t="n">
        <v>44106</v>
      </c>
      <c r="C9710" s="94">
        <f>TEXT(B9710,"aaa")</f>
        <v/>
      </c>
      <c r="D9710" s="60" t="n"/>
      <c r="E9710" s="60" t="inlineStr">
        <is>
          <t>클렌징폼</t>
        </is>
      </c>
      <c r="F9710" s="60" t="inlineStr">
        <is>
          <t>카페24</t>
        </is>
      </c>
      <c r="G9710" s="60" t="inlineStr">
        <is>
          <t>클렌징폼 120ml</t>
        </is>
      </c>
      <c r="H9710" s="60" t="n">
        <v>200801</v>
      </c>
      <c r="I9710" s="60" t="n">
        <v>200801</v>
      </c>
      <c r="J9710" s="60" t="n"/>
      <c r="K9710" s="60" t="n">
        <v>4</v>
      </c>
      <c r="L9710" s="60" t="n">
        <v>200801</v>
      </c>
      <c r="M9710" s="94">
        <f>VLOOKUP($Q9710,매칭테이블!$F:$I,2,0)*K9710</f>
        <v/>
      </c>
      <c r="N9710" s="94">
        <f>M9710-M9710*VLOOKUP($Q9710,매칭테이블!$F:$I,3,0)</f>
        <v/>
      </c>
      <c r="O9710" s="94">
        <f>VLOOKUP($Q9710,매칭테이블!$F:$I,4,0)*K9710</f>
        <v/>
      </c>
      <c r="P9710" s="148">
        <f>M9710/1.1</f>
        <v/>
      </c>
      <c r="Q9710" s="94">
        <f>F9710&amp;E9710&amp;G9710&amp;L9710</f>
        <v/>
      </c>
    </row>
    <row r="9711" customFormat="1" s="94">
      <c r="B9711" s="128" t="n">
        <v>44106</v>
      </c>
      <c r="C9711" s="94">
        <f>TEXT(B9711,"aaa")</f>
        <v/>
      </c>
      <c r="D9711" s="60" t="n"/>
      <c r="E9711" s="60" t="inlineStr">
        <is>
          <t>클렌징폼</t>
        </is>
      </c>
      <c r="F9711" s="60" t="inlineStr">
        <is>
          <t>카페24</t>
        </is>
      </c>
      <c r="G9711" s="60" t="inlineStr">
        <is>
          <t>클렌징폼 120ml 3set</t>
        </is>
      </c>
      <c r="H9711" s="60" t="n">
        <v>200801</v>
      </c>
      <c r="I9711" s="60" t="n">
        <v>200801</v>
      </c>
      <c r="J9711" s="60" t="n"/>
      <c r="K9711" s="60" t="n">
        <v>1</v>
      </c>
      <c r="L9711" s="60" t="n">
        <v>200801</v>
      </c>
      <c r="M9711" s="94">
        <f>VLOOKUP($Q9711,매칭테이블!$F:$I,2,0)*K9711</f>
        <v/>
      </c>
      <c r="N9711" s="94">
        <f>M9711-M9711*VLOOKUP($Q9711,매칭테이블!$F:$I,3,0)</f>
        <v/>
      </c>
      <c r="O9711" s="94">
        <f>VLOOKUP($Q9711,매칭테이블!$F:$I,4,0)*K9711</f>
        <v/>
      </c>
      <c r="P9711" s="148">
        <f>M9711/1.1</f>
        <v/>
      </c>
      <c r="Q9711" s="94">
        <f>F9711&amp;E9711&amp;G9711&amp;L9711</f>
        <v/>
      </c>
    </row>
    <row r="9712" customFormat="1" s="94">
      <c r="B9712" s="128" t="n">
        <v>44106</v>
      </c>
      <c r="C9712" s="94">
        <f>TEXT(B9712,"aaa")</f>
        <v/>
      </c>
      <c r="D9712" s="60" t="n"/>
      <c r="E9712" s="60" t="inlineStr">
        <is>
          <t>바디워시</t>
        </is>
      </c>
      <c r="F9712" s="60" t="inlineStr">
        <is>
          <t>카페24</t>
        </is>
      </c>
      <c r="G9712" s="60" t="inlineStr">
        <is>
          <t>바디워시 1개 -30% off</t>
        </is>
      </c>
      <c r="H9712" s="60" t="n">
        <v>200801</v>
      </c>
      <c r="I9712" s="60" t="n">
        <v>200801</v>
      </c>
      <c r="J9712" s="60" t="n"/>
      <c r="K9712" s="60" t="n">
        <v>2</v>
      </c>
      <c r="L9712" s="60" t="n">
        <v>200801</v>
      </c>
      <c r="M9712" s="94">
        <f>VLOOKUP($Q9712,매칭테이블!$F:$I,2,0)*K9712</f>
        <v/>
      </c>
      <c r="N9712" s="94">
        <f>M9712-M9712*VLOOKUP($Q9712,매칭테이블!$F:$I,3,0)</f>
        <v/>
      </c>
      <c r="O9712" s="94">
        <f>VLOOKUP($Q9712,매칭테이블!$F:$I,4,0)*K9712</f>
        <v/>
      </c>
      <c r="P9712" s="148">
        <f>M9712/1.1</f>
        <v/>
      </c>
      <c r="Q9712" s="94">
        <f>F9712&amp;E9712&amp;G9712&amp;L9712</f>
        <v/>
      </c>
    </row>
    <row r="9713" customFormat="1" s="94">
      <c r="B9713" s="128" t="n">
        <v>44106</v>
      </c>
      <c r="C9713" s="94">
        <f>TEXT(B9713,"aaa")</f>
        <v/>
      </c>
      <c r="D9713" s="60" t="n"/>
      <c r="E9713" s="60" t="inlineStr">
        <is>
          <t>토너</t>
        </is>
      </c>
      <c r="F9713" s="60" t="inlineStr">
        <is>
          <t>화해</t>
        </is>
      </c>
      <c r="G9713" s="60" t="inlineStr">
        <is>
          <t>250ml</t>
        </is>
      </c>
      <c r="H9713" s="60" t="n">
        <v>200801</v>
      </c>
      <c r="I9713" s="60" t="n">
        <v>200801</v>
      </c>
      <c r="J9713" s="60" t="n"/>
      <c r="K9713" s="60" t="n">
        <v>4</v>
      </c>
      <c r="L9713" s="60" t="n">
        <v>200801</v>
      </c>
      <c r="M9713" s="94">
        <f>VLOOKUP($Q9713,매칭테이블!$F:$I,2,0)*K9713</f>
        <v/>
      </c>
      <c r="N9713" s="94">
        <f>M9713-M9713*VLOOKUP($Q9713,매칭테이블!$F:$I,3,0)</f>
        <v/>
      </c>
      <c r="O9713" s="94">
        <f>VLOOKUP($Q9713,매칭테이블!$F:$I,4,0)*K9713</f>
        <v/>
      </c>
      <c r="P9713" s="148">
        <f>M9713/1.1</f>
        <v/>
      </c>
      <c r="Q9713" s="94">
        <f>F9713&amp;E9713&amp;G9713&amp;L9713</f>
        <v/>
      </c>
    </row>
    <row r="9714" customFormat="1" s="94">
      <c r="B9714" s="128" t="n">
        <v>44107</v>
      </c>
      <c r="C9714" s="94">
        <f>TEXT(B9714,"aaa")</f>
        <v/>
      </c>
      <c r="D9714" s="60" t="n"/>
      <c r="E9714" s="60" t="inlineStr">
        <is>
          <t>토너</t>
        </is>
      </c>
      <c r="F9714" s="60" t="inlineStr">
        <is>
          <t>스타일쉐어</t>
        </is>
      </c>
      <c r="G9714" s="60" t="inlineStr">
        <is>
          <t>250ml</t>
        </is>
      </c>
      <c r="H9714" s="60" t="n">
        <v>200801</v>
      </c>
      <c r="I9714" s="60" t="n">
        <v>200801</v>
      </c>
      <c r="J9714" s="60" t="n"/>
      <c r="K9714" s="60" t="n">
        <v>8</v>
      </c>
      <c r="L9714" s="60" t="n">
        <v>200801</v>
      </c>
      <c r="M9714" s="94">
        <f>VLOOKUP($Q9714,매칭테이블!$F:$I,2,0)*K9714</f>
        <v/>
      </c>
      <c r="N9714" s="94">
        <f>M9714-M9714*VLOOKUP($Q9714,매칭테이블!$F:$I,3,0)</f>
        <v/>
      </c>
      <c r="O9714" s="94">
        <f>VLOOKUP($Q9714,매칭테이블!$F:$I,4,0)*K9714</f>
        <v/>
      </c>
      <c r="P9714" s="148">
        <f>M9714/1.1</f>
        <v/>
      </c>
      <c r="Q9714" s="94">
        <f>F9714&amp;E9714&amp;G9714&amp;L9714</f>
        <v/>
      </c>
    </row>
    <row r="9715" customFormat="1" s="94">
      <c r="B9715" s="128" t="n">
        <v>44107</v>
      </c>
      <c r="C9715" s="94">
        <f>TEXT(B9715,"aaa")</f>
        <v/>
      </c>
      <c r="D9715" s="60" t="n"/>
      <c r="E9715" s="60" t="inlineStr">
        <is>
          <t>선크림</t>
        </is>
      </c>
      <c r="F9715" s="60" t="inlineStr">
        <is>
          <t>카페24</t>
        </is>
      </c>
      <c r="G9715" s="60" t="inlineStr">
        <is>
          <t>선크림 50ml</t>
        </is>
      </c>
      <c r="H9715" s="60" t="n">
        <v>200801</v>
      </c>
      <c r="I9715" s="60" t="n">
        <v>200801</v>
      </c>
      <c r="J9715" s="60" t="n"/>
      <c r="K9715" s="60" t="n">
        <v>2</v>
      </c>
      <c r="L9715" s="60" t="n">
        <v>200801</v>
      </c>
      <c r="M9715" s="94">
        <f>VLOOKUP($Q9715,매칭테이블!$F:$I,2,0)*K9715</f>
        <v/>
      </c>
      <c r="N9715" s="94">
        <f>M9715-M9715*VLOOKUP($Q9715,매칭테이블!$F:$I,3,0)</f>
        <v/>
      </c>
      <c r="O9715" s="94">
        <f>VLOOKUP($Q9715,매칭테이블!$F:$I,4,0)*K9715</f>
        <v/>
      </c>
      <c r="P9715" s="148">
        <f>M9715/1.1</f>
        <v/>
      </c>
      <c r="Q9715" s="94">
        <f>F9715&amp;E9715&amp;G9715&amp;L9715</f>
        <v/>
      </c>
    </row>
    <row r="9716" customFormat="1" s="94">
      <c r="B9716" s="128" t="n">
        <v>44107</v>
      </c>
      <c r="C9716" s="94">
        <f>TEXT(B9716,"aaa")</f>
        <v/>
      </c>
      <c r="D9716" s="60" t="n"/>
      <c r="E9716" s="60" t="inlineStr">
        <is>
          <t>어성초진정패키지</t>
        </is>
      </c>
      <c r="F9716" s="60" t="inlineStr">
        <is>
          <t>카페24</t>
        </is>
      </c>
      <c r="G9716" s="60" t="inlineStr">
        <is>
          <t>어성초 진정패키지세트</t>
        </is>
      </c>
      <c r="H9716" s="60" t="n">
        <v>200801</v>
      </c>
      <c r="I9716" s="60" t="n">
        <v>200801</v>
      </c>
      <c r="J9716" s="60" t="n"/>
      <c r="K9716" s="60" t="n">
        <v>5</v>
      </c>
      <c r="L9716" s="60" t="n">
        <v>200801</v>
      </c>
      <c r="M9716" s="94">
        <f>VLOOKUP($Q9716,매칭테이블!$F:$I,2,0)*K9716</f>
        <v/>
      </c>
      <c r="N9716" s="94">
        <f>M9716-M9716*VLOOKUP($Q9716,매칭테이블!$F:$I,3,0)</f>
        <v/>
      </c>
      <c r="O9716" s="94">
        <f>VLOOKUP($Q9716,매칭테이블!$F:$I,4,0)*K9716</f>
        <v/>
      </c>
      <c r="P9716" s="148">
        <f>M9716/1.1</f>
        <v/>
      </c>
      <c r="Q9716" s="94">
        <f>F9716&amp;E9716&amp;G9716&amp;L9716</f>
        <v/>
      </c>
    </row>
    <row r="9717" customFormat="1" s="94">
      <c r="B9717" s="128" t="n">
        <v>44107</v>
      </c>
      <c r="C9717" s="94">
        <f>TEXT(B9717,"aaa")</f>
        <v/>
      </c>
      <c r="D9717" s="60" t="n"/>
      <c r="E9717" s="60" t="inlineStr">
        <is>
          <t>클리어 패드</t>
        </is>
      </c>
      <c r="F9717" s="60" t="inlineStr">
        <is>
          <t>카페24</t>
        </is>
      </c>
      <c r="G9717" s="60" t="inlineStr">
        <is>
          <t>어성초 77 클리어 패드 1개-20% off</t>
        </is>
      </c>
      <c r="H9717" s="60" t="n">
        <v>200801</v>
      </c>
      <c r="I9717" s="60" t="n">
        <v>200801</v>
      </c>
      <c r="J9717" s="60" t="n"/>
      <c r="K9717" s="60" t="n">
        <v>24</v>
      </c>
      <c r="L9717" s="60" t="n">
        <v>200801</v>
      </c>
      <c r="M9717" s="94">
        <f>VLOOKUP($Q9717,매칭테이블!$F:$I,2,0)*K9717</f>
        <v/>
      </c>
      <c r="N9717" s="94">
        <f>M9717-M9717*VLOOKUP($Q9717,매칭테이블!$F:$I,3,0)</f>
        <v/>
      </c>
      <c r="O9717" s="94">
        <f>VLOOKUP($Q9717,매칭테이블!$F:$I,4,0)*K9717</f>
        <v/>
      </c>
      <c r="P9717" s="148">
        <f>M9717/1.1</f>
        <v/>
      </c>
      <c r="Q9717" s="94">
        <f>F9717&amp;E9717&amp;G9717&amp;L9717</f>
        <v/>
      </c>
    </row>
    <row r="9718" customFormat="1" s="94">
      <c r="B9718" s="128" t="n">
        <v>44107</v>
      </c>
      <c r="C9718" s="94">
        <f>TEXT(B9718,"aaa")</f>
        <v/>
      </c>
      <c r="D9718" s="60" t="n"/>
      <c r="E9718" s="60" t="inlineStr">
        <is>
          <t>클리어 패드</t>
        </is>
      </c>
      <c r="F9718" s="60" t="inlineStr">
        <is>
          <t>카페24</t>
        </is>
      </c>
      <c r="G9718" s="60" t="inlineStr">
        <is>
          <t>어성초 77 클리어 패드 2개-30% off</t>
        </is>
      </c>
      <c r="H9718" s="60" t="n">
        <v>200801</v>
      </c>
      <c r="I9718" s="60" t="n">
        <v>200801</v>
      </c>
      <c r="J9718" s="60" t="n"/>
      <c r="K9718" s="60" t="n">
        <v>19</v>
      </c>
      <c r="L9718" s="60" t="n">
        <v>200801</v>
      </c>
      <c r="M9718" s="94">
        <f>VLOOKUP($Q9718,매칭테이블!$F:$I,2,0)*K9718</f>
        <v/>
      </c>
      <c r="N9718" s="94">
        <f>M9718-M9718*VLOOKUP($Q9718,매칭테이블!$F:$I,3,0)</f>
        <v/>
      </c>
      <c r="O9718" s="94">
        <f>VLOOKUP($Q9718,매칭테이블!$F:$I,4,0)*K9718</f>
        <v/>
      </c>
      <c r="P9718" s="148">
        <f>M9718/1.1</f>
        <v/>
      </c>
      <c r="Q9718" s="94">
        <f>F9718&amp;E9718&amp;G9718&amp;L9718</f>
        <v/>
      </c>
    </row>
    <row r="9719" customFormat="1" s="94">
      <c r="B9719" s="128" t="n">
        <v>44107</v>
      </c>
      <c r="C9719" s="94">
        <f>TEXT(B9719,"aaa")</f>
        <v/>
      </c>
      <c r="D9719" s="60" t="n"/>
      <c r="E9719" s="60" t="inlineStr">
        <is>
          <t>토너+패드 세트</t>
        </is>
      </c>
      <c r="F9719" s="60" t="inlineStr">
        <is>
          <t>카페24</t>
        </is>
      </c>
      <c r="G9719" s="60" t="inlineStr">
        <is>
          <t>좁쌀 진정 세트 토너+클리어 패드-30% off</t>
        </is>
      </c>
      <c r="H9719" s="60" t="n">
        <v>200801</v>
      </c>
      <c r="I9719" s="60" t="n">
        <v>200801</v>
      </c>
      <c r="J9719" s="60" t="n"/>
      <c r="K9719" s="60" t="n">
        <v>22</v>
      </c>
      <c r="L9719" s="60" t="n">
        <v>200801</v>
      </c>
      <c r="M9719" s="94">
        <f>VLOOKUP($Q9719,매칭테이블!$F:$I,2,0)*K9719</f>
        <v/>
      </c>
      <c r="N9719" s="94">
        <f>M9719-M9719*VLOOKUP($Q9719,매칭테이블!$F:$I,3,0)</f>
        <v/>
      </c>
      <c r="O9719" s="94">
        <f>VLOOKUP($Q9719,매칭테이블!$F:$I,4,0)*K9719</f>
        <v/>
      </c>
      <c r="P9719" s="148">
        <f>M9719/1.1</f>
        <v/>
      </c>
      <c r="Q9719" s="94">
        <f>F9719&amp;E9719&amp;G9719&amp;L9719</f>
        <v/>
      </c>
    </row>
    <row r="9720" customFormat="1" s="94">
      <c r="B9720" s="128" t="n">
        <v>44107</v>
      </c>
      <c r="C9720" s="94">
        <f>TEXT(B9720,"aaa")</f>
        <v/>
      </c>
      <c r="D9720" s="60" t="n"/>
      <c r="E9720" s="60" t="inlineStr">
        <is>
          <t>수분 보충 세트</t>
        </is>
      </c>
      <c r="F9720" s="60" t="inlineStr">
        <is>
          <t>카페24</t>
        </is>
      </c>
      <c r="G9720" s="60" t="inlineStr">
        <is>
          <t>[20/09/28 부터] 어성초 77 토너 250ml + 어성초 70 로션 200ml -30%</t>
        </is>
      </c>
      <c r="H9720" s="60" t="n">
        <v>200801</v>
      </c>
      <c r="I9720" s="60" t="n">
        <v>200801</v>
      </c>
      <c r="J9720" s="60" t="n"/>
      <c r="K9720" s="60" t="n">
        <v>21</v>
      </c>
      <c r="L9720" s="60" t="n">
        <v>200801</v>
      </c>
      <c r="M9720" s="94">
        <f>VLOOKUP($Q9720,매칭테이블!$F:$I,2,0)*K9720</f>
        <v/>
      </c>
      <c r="N9720" s="94">
        <f>M9720-M9720*VLOOKUP($Q9720,매칭테이블!$F:$I,3,0)</f>
        <v/>
      </c>
      <c r="O9720" s="94">
        <f>VLOOKUP($Q9720,매칭테이블!$F:$I,4,0)*K9720</f>
        <v/>
      </c>
      <c r="P9720" s="148">
        <f>M9720/1.1</f>
        <v/>
      </c>
      <c r="Q9720" s="94">
        <f>F9720&amp;E9720&amp;G9720&amp;L9720</f>
        <v/>
      </c>
    </row>
    <row r="9721" customFormat="1" s="94">
      <c r="B9721" s="128" t="n">
        <v>44107</v>
      </c>
      <c r="C9721" s="94">
        <f>TEXT(B9721,"aaa")</f>
        <v/>
      </c>
      <c r="D9721" s="60" t="n"/>
      <c r="E9721" s="60" t="inlineStr">
        <is>
          <t>로션</t>
        </is>
      </c>
      <c r="F9721" s="60" t="inlineStr">
        <is>
          <t>카페24</t>
        </is>
      </c>
      <c r="G9721" s="60" t="inlineStr">
        <is>
          <t>어성초 70 데일리 릴리프 로션 1개 -20% off</t>
        </is>
      </c>
      <c r="H9721" s="60" t="n">
        <v>200801</v>
      </c>
      <c r="I9721" s="60" t="n">
        <v>200801</v>
      </c>
      <c r="J9721" s="60" t="n"/>
      <c r="K9721" s="60" t="n">
        <v>3</v>
      </c>
      <c r="L9721" s="60" t="n">
        <v>200801</v>
      </c>
      <c r="M9721" s="94">
        <f>VLOOKUP($Q9721,매칭테이블!$F:$I,2,0)*K9721</f>
        <v/>
      </c>
      <c r="N9721" s="94">
        <f>M9721-M9721*VLOOKUP($Q9721,매칭테이블!$F:$I,3,0)</f>
        <v/>
      </c>
      <c r="O9721" s="94">
        <f>VLOOKUP($Q9721,매칭테이블!$F:$I,4,0)*K9721</f>
        <v/>
      </c>
      <c r="P9721" s="148">
        <f>M9721/1.1</f>
        <v/>
      </c>
      <c r="Q9721" s="94">
        <f>F9721&amp;E9721&amp;G9721&amp;L9721</f>
        <v/>
      </c>
    </row>
    <row r="9722" customFormat="1" s="94">
      <c r="B9722" s="128" t="n">
        <v>44107</v>
      </c>
      <c r="C9722" s="94">
        <f>TEXT(B9722,"aaa")</f>
        <v/>
      </c>
      <c r="D9722" s="60" t="n"/>
      <c r="E9722" s="60" t="inlineStr">
        <is>
          <t>머드크림마스크</t>
        </is>
      </c>
      <c r="F9722" s="60" t="inlineStr">
        <is>
          <t>카페24</t>
        </is>
      </c>
      <c r="G9722" s="60" t="inlineStr">
        <is>
          <t>머드크림마스크 100ml</t>
        </is>
      </c>
      <c r="H9722" s="60" t="n">
        <v>200801</v>
      </c>
      <c r="I9722" s="60" t="n">
        <v>200801</v>
      </c>
      <c r="J9722" s="60" t="n"/>
      <c r="K9722" s="60" t="n">
        <v>6</v>
      </c>
      <c r="L9722" s="60" t="n">
        <v>200801</v>
      </c>
      <c r="M9722" s="94">
        <f>VLOOKUP($Q9722,매칭테이블!$F:$I,2,0)*K9722</f>
        <v/>
      </c>
      <c r="N9722" s="94">
        <f>M9722-M9722*VLOOKUP($Q9722,매칭테이블!$F:$I,3,0)</f>
        <v/>
      </c>
      <c r="O9722" s="94">
        <f>VLOOKUP($Q9722,매칭테이블!$F:$I,4,0)*K9722</f>
        <v/>
      </c>
      <c r="P9722" s="148">
        <f>M9722/1.1</f>
        <v/>
      </c>
      <c r="Q9722" s="94">
        <f>F9722&amp;E9722&amp;G9722&amp;L9722</f>
        <v/>
      </c>
    </row>
    <row r="9723" customFormat="1" s="94">
      <c r="B9723" s="128" t="n">
        <v>44107</v>
      </c>
      <c r="C9723" s="94">
        <f>TEXT(B9723,"aaa")</f>
        <v/>
      </c>
      <c r="D9723" s="60" t="n"/>
      <c r="E9723" s="60" t="inlineStr">
        <is>
          <t>마스크팩</t>
        </is>
      </c>
      <c r="F9723" s="60" t="inlineStr">
        <is>
          <t>카페24</t>
        </is>
      </c>
      <c r="G9723" s="60" t="inlineStr">
        <is>
          <t>마스크팩 1매</t>
        </is>
      </c>
      <c r="H9723" s="60" t="n">
        <v>200801</v>
      </c>
      <c r="I9723" s="60" t="n">
        <v>200801</v>
      </c>
      <c r="J9723" s="60" t="n"/>
      <c r="K9723" s="60" t="n">
        <v>4</v>
      </c>
      <c r="L9723" s="60" t="n">
        <v>200801</v>
      </c>
      <c r="M9723" s="94">
        <f>VLOOKUP($Q9723,매칭테이블!$F:$I,2,0)*K9723</f>
        <v/>
      </c>
      <c r="N9723" s="94">
        <f>M9723-M9723*VLOOKUP($Q9723,매칭테이블!$F:$I,3,0)</f>
        <v/>
      </c>
      <c r="O9723" s="94">
        <f>VLOOKUP($Q9723,매칭테이블!$F:$I,4,0)*K9723</f>
        <v/>
      </c>
      <c r="P9723" s="148">
        <f>M9723/1.1</f>
        <v/>
      </c>
      <c r="Q9723" s="94">
        <f>F9723&amp;E9723&amp;G9723&amp;L9723</f>
        <v/>
      </c>
    </row>
    <row r="9724" customFormat="1" s="94">
      <c r="B9724" s="128" t="n">
        <v>44107</v>
      </c>
      <c r="C9724" s="94">
        <f>TEXT(B9724,"aaa")</f>
        <v/>
      </c>
      <c r="D9724" s="60" t="n"/>
      <c r="E9724" s="60" t="inlineStr">
        <is>
          <t>마스크팩</t>
        </is>
      </c>
      <c r="F9724" s="60" t="inlineStr">
        <is>
          <t>카페24</t>
        </is>
      </c>
      <c r="G9724" s="60" t="inlineStr">
        <is>
          <t>마스크팩 10매</t>
        </is>
      </c>
      <c r="H9724" s="60" t="n">
        <v>200801</v>
      </c>
      <c r="I9724" s="60" t="n">
        <v>200801</v>
      </c>
      <c r="J9724" s="60" t="n"/>
      <c r="K9724" s="60" t="n">
        <v>3</v>
      </c>
      <c r="L9724" s="60" t="n">
        <v>200801</v>
      </c>
      <c r="M9724" s="94">
        <f>VLOOKUP($Q9724,매칭테이블!$F:$I,2,0)*K9724</f>
        <v/>
      </c>
      <c r="N9724" s="94">
        <f>M9724-M9724*VLOOKUP($Q9724,매칭테이블!$F:$I,3,0)</f>
        <v/>
      </c>
      <c r="O9724" s="94">
        <f>VLOOKUP($Q9724,매칭테이블!$F:$I,4,0)*K9724</f>
        <v/>
      </c>
      <c r="P9724" s="148">
        <f>M9724/1.1</f>
        <v/>
      </c>
      <c r="Q9724" s="94">
        <f>F9724&amp;E9724&amp;G9724&amp;L9724</f>
        <v/>
      </c>
    </row>
    <row r="9725" customFormat="1" s="94">
      <c r="B9725" s="128" t="n">
        <v>44107</v>
      </c>
      <c r="C9725" s="94">
        <f>TEXT(B9725,"aaa")</f>
        <v/>
      </c>
      <c r="D9725" s="60" t="n"/>
      <c r="E9725" s="60" t="inlineStr">
        <is>
          <t>토너</t>
        </is>
      </c>
      <c r="F9725" s="60" t="inlineStr">
        <is>
          <t>카페24</t>
        </is>
      </c>
      <c r="G9725" s="60" t="inlineStr">
        <is>
          <t>250ml</t>
        </is>
      </c>
      <c r="H9725" s="60" t="n">
        <v>200801</v>
      </c>
      <c r="I9725" s="60" t="n">
        <v>200801</v>
      </c>
      <c r="J9725" s="60" t="n"/>
      <c r="K9725" s="60" t="n">
        <v>48</v>
      </c>
      <c r="L9725" s="60" t="n">
        <v>200801</v>
      </c>
      <c r="M9725" s="94">
        <f>VLOOKUP($Q9725,매칭테이블!$F:$I,2,0)*K9725</f>
        <v/>
      </c>
      <c r="N9725" s="94">
        <f>M9725-M9725*VLOOKUP($Q9725,매칭테이블!$F:$I,3,0)</f>
        <v/>
      </c>
      <c r="O9725" s="94">
        <f>VLOOKUP($Q9725,매칭테이블!$F:$I,4,0)*K9725</f>
        <v/>
      </c>
      <c r="P9725" s="148">
        <f>M9725/1.1</f>
        <v/>
      </c>
      <c r="Q9725" s="94">
        <f>F9725&amp;E9725&amp;G9725&amp;L9725</f>
        <v/>
      </c>
    </row>
    <row r="9726" customFormat="1" s="94">
      <c r="B9726" s="128" t="n">
        <v>44107</v>
      </c>
      <c r="C9726" s="94">
        <f>TEXT(B9726,"aaa")</f>
        <v/>
      </c>
      <c r="D9726" s="60" t="n"/>
      <c r="E9726" s="60" t="inlineStr">
        <is>
          <t>토너</t>
        </is>
      </c>
      <c r="F9726" s="60" t="inlineStr">
        <is>
          <t>카페24</t>
        </is>
      </c>
      <c r="G9726" s="60" t="inlineStr">
        <is>
          <t>250ml 2set</t>
        </is>
      </c>
      <c r="H9726" s="60" t="n">
        <v>200801</v>
      </c>
      <c r="I9726" s="60" t="n">
        <v>200801</v>
      </c>
      <c r="J9726" s="60" t="n"/>
      <c r="K9726" s="60" t="n">
        <v>33</v>
      </c>
      <c r="L9726" s="60" t="n">
        <v>200801</v>
      </c>
      <c r="M9726" s="94">
        <f>VLOOKUP($Q9726,매칭테이블!$F:$I,2,0)*K9726</f>
        <v/>
      </c>
      <c r="N9726" s="94">
        <f>M9726-M9726*VLOOKUP($Q9726,매칭테이블!$F:$I,3,0)</f>
        <v/>
      </c>
      <c r="O9726" s="94">
        <f>VLOOKUP($Q9726,매칭테이블!$F:$I,4,0)*K9726</f>
        <v/>
      </c>
      <c r="P9726" s="148">
        <f>M9726/1.1</f>
        <v/>
      </c>
      <c r="Q9726" s="94">
        <f>F9726&amp;E9726&amp;G9726&amp;L9726</f>
        <v/>
      </c>
    </row>
    <row r="9727" customFormat="1" s="94">
      <c r="B9727" s="128" t="n">
        <v>44107</v>
      </c>
      <c r="C9727" s="94">
        <f>TEXT(B9727,"aaa")</f>
        <v/>
      </c>
      <c r="D9727" s="60" t="n"/>
      <c r="E9727" s="60" t="inlineStr">
        <is>
          <t>토너</t>
        </is>
      </c>
      <c r="F9727" s="60" t="inlineStr">
        <is>
          <t>카페24</t>
        </is>
      </c>
      <c r="G9727" s="60" t="inlineStr">
        <is>
          <t>500ml</t>
        </is>
      </c>
      <c r="H9727" s="60" t="n">
        <v>200801</v>
      </c>
      <c r="I9727" s="60" t="n">
        <v>200801</v>
      </c>
      <c r="J9727" s="60" t="n"/>
      <c r="K9727" s="60" t="n">
        <v>50</v>
      </c>
      <c r="L9727" s="60" t="n">
        <v>200801</v>
      </c>
      <c r="M9727" s="94">
        <f>VLOOKUP($Q9727,매칭테이블!$F:$I,2,0)*K9727</f>
        <v/>
      </c>
      <c r="N9727" s="94">
        <f>M9727-M9727*VLOOKUP($Q9727,매칭테이블!$F:$I,3,0)</f>
        <v/>
      </c>
      <c r="O9727" s="94">
        <f>VLOOKUP($Q9727,매칭테이블!$F:$I,4,0)*K9727</f>
        <v/>
      </c>
      <c r="P9727" s="148">
        <f>M9727/1.1</f>
        <v/>
      </c>
      <c r="Q9727" s="94">
        <f>F9727&amp;E9727&amp;G9727&amp;L9727</f>
        <v/>
      </c>
    </row>
    <row r="9728" customFormat="1" s="94">
      <c r="B9728" s="128" t="n">
        <v>44107</v>
      </c>
      <c r="C9728" s="94">
        <f>TEXT(B9728,"aaa")</f>
        <v/>
      </c>
      <c r="D9728" s="60" t="n"/>
      <c r="E9728" s="60" t="inlineStr">
        <is>
          <t>토너</t>
        </is>
      </c>
      <c r="F9728" s="60" t="inlineStr">
        <is>
          <t>카페24</t>
        </is>
      </c>
      <c r="G9728" s="60" t="inlineStr">
        <is>
          <t>스킨팩 화장솜 60P</t>
        </is>
      </c>
      <c r="H9728" s="60" t="n">
        <v>200801</v>
      </c>
      <c r="I9728" s="60" t="n">
        <v>200801</v>
      </c>
      <c r="J9728" s="60" t="n"/>
      <c r="K9728" s="60" t="n">
        <v>35</v>
      </c>
      <c r="L9728" s="60" t="n">
        <v>200801</v>
      </c>
      <c r="M9728" s="94">
        <f>VLOOKUP($Q9728,매칭테이블!$F:$I,2,0)*K9728</f>
        <v/>
      </c>
      <c r="N9728" s="94">
        <f>M9728-M9728*VLOOKUP($Q9728,매칭테이블!$F:$I,3,0)</f>
        <v/>
      </c>
      <c r="O9728" s="94">
        <f>VLOOKUP($Q9728,매칭테이블!$F:$I,4,0)*K9728</f>
        <v/>
      </c>
      <c r="P9728" s="148">
        <f>M9728/1.1</f>
        <v/>
      </c>
      <c r="Q9728" s="94">
        <f>F9728&amp;E9728&amp;G9728&amp;L9728</f>
        <v/>
      </c>
    </row>
    <row r="9729" customFormat="1" s="94">
      <c r="B9729" s="128" t="n">
        <v>44107</v>
      </c>
      <c r="C9729" s="94">
        <f>TEXT(B9729,"aaa")</f>
        <v/>
      </c>
      <c r="D9729" s="60" t="n"/>
      <c r="E9729" s="60" t="inlineStr">
        <is>
          <t>앰플</t>
        </is>
      </c>
      <c r="F9729" s="60" t="inlineStr">
        <is>
          <t>카페24</t>
        </is>
      </c>
      <c r="G9729" s="60" t="inlineStr">
        <is>
          <t>앰플 30ml</t>
        </is>
      </c>
      <c r="H9729" s="60" t="n">
        <v>200801</v>
      </c>
      <c r="I9729" s="60" t="n">
        <v>200801</v>
      </c>
      <c r="J9729" s="60" t="n"/>
      <c r="K9729" s="60" t="n">
        <v>25</v>
      </c>
      <c r="L9729" s="60" t="n">
        <v>200801</v>
      </c>
      <c r="M9729" s="94">
        <f>VLOOKUP($Q9729,매칭테이블!$F:$I,2,0)*K9729</f>
        <v/>
      </c>
      <c r="N9729" s="94">
        <f>M9729-M9729*VLOOKUP($Q9729,매칭테이블!$F:$I,3,0)</f>
        <v/>
      </c>
      <c r="O9729" s="94">
        <f>VLOOKUP($Q9729,매칭테이블!$F:$I,4,0)*K9729</f>
        <v/>
      </c>
      <c r="P9729" s="148">
        <f>M9729/1.1</f>
        <v/>
      </c>
      <c r="Q9729" s="94">
        <f>F9729&amp;E9729&amp;G9729&amp;L9729</f>
        <v/>
      </c>
    </row>
    <row r="9730" customFormat="1" s="94">
      <c r="B9730" s="128" t="n">
        <v>44107</v>
      </c>
      <c r="C9730" s="94">
        <f>TEXT(B9730,"aaa")</f>
        <v/>
      </c>
      <c r="D9730" s="60" t="n"/>
      <c r="E9730" s="60" t="inlineStr">
        <is>
          <t>앰플</t>
        </is>
      </c>
      <c r="F9730" s="60" t="inlineStr">
        <is>
          <t>카페24</t>
        </is>
      </c>
      <c r="G9730" s="60" t="inlineStr">
        <is>
          <t>앰플 30ml  2set</t>
        </is>
      </c>
      <c r="H9730" s="60" t="n">
        <v>200801</v>
      </c>
      <c r="I9730" s="60" t="n">
        <v>200801</v>
      </c>
      <c r="J9730" s="60" t="n"/>
      <c r="K9730" s="60" t="n">
        <v>8</v>
      </c>
      <c r="L9730" s="60" t="n">
        <v>200801</v>
      </c>
      <c r="M9730" s="94">
        <f>VLOOKUP($Q9730,매칭테이블!$F:$I,2,0)*K9730</f>
        <v/>
      </c>
      <c r="N9730" s="94">
        <f>M9730-M9730*VLOOKUP($Q9730,매칭테이블!$F:$I,3,0)</f>
        <v/>
      </c>
      <c r="O9730" s="94">
        <f>VLOOKUP($Q9730,매칭테이블!$F:$I,4,0)*K9730</f>
        <v/>
      </c>
      <c r="P9730" s="148">
        <f>M9730/1.1</f>
        <v/>
      </c>
      <c r="Q9730" s="94">
        <f>F9730&amp;E9730&amp;G9730&amp;L9730</f>
        <v/>
      </c>
    </row>
    <row r="9731" customFormat="1" s="94">
      <c r="B9731" s="128" t="n">
        <v>44107</v>
      </c>
      <c r="C9731" s="94">
        <f>TEXT(B9731,"aaa")</f>
        <v/>
      </c>
      <c r="D9731" s="60" t="n"/>
      <c r="E9731" s="60" t="inlineStr">
        <is>
          <t>수딩크림</t>
        </is>
      </c>
      <c r="F9731" s="60" t="inlineStr">
        <is>
          <t>카페24</t>
        </is>
      </c>
      <c r="G9731" s="60" t="inlineStr">
        <is>
          <t>수딩크림 100ml</t>
        </is>
      </c>
      <c r="H9731" s="60" t="n">
        <v>200801</v>
      </c>
      <c r="I9731" s="60" t="n">
        <v>200801</v>
      </c>
      <c r="J9731" s="60" t="n"/>
      <c r="K9731" s="60" t="n">
        <v>9</v>
      </c>
      <c r="L9731" s="60" t="n">
        <v>200801</v>
      </c>
      <c r="M9731" s="94">
        <f>VLOOKUP($Q9731,매칭테이블!$F:$I,2,0)*K9731</f>
        <v/>
      </c>
      <c r="N9731" s="94">
        <f>M9731-M9731*VLOOKUP($Q9731,매칭테이블!$F:$I,3,0)</f>
        <v/>
      </c>
      <c r="O9731" s="94">
        <f>VLOOKUP($Q9731,매칭테이블!$F:$I,4,0)*K9731</f>
        <v/>
      </c>
      <c r="P9731" s="148">
        <f>M9731/1.1</f>
        <v/>
      </c>
      <c r="Q9731" s="94">
        <f>F9731&amp;E9731&amp;G9731&amp;L9731</f>
        <v/>
      </c>
    </row>
    <row r="9732" customFormat="1" s="94">
      <c r="B9732" s="128" t="n">
        <v>44107</v>
      </c>
      <c r="C9732" s="94">
        <f>TEXT(B9732,"aaa")</f>
        <v/>
      </c>
      <c r="D9732" s="60" t="n"/>
      <c r="E9732" s="60" t="inlineStr">
        <is>
          <t>클렌징폼</t>
        </is>
      </c>
      <c r="F9732" s="60" t="inlineStr">
        <is>
          <t>카페24</t>
        </is>
      </c>
      <c r="G9732" s="60" t="inlineStr">
        <is>
          <t>클렌징폼 120ml</t>
        </is>
      </c>
      <c r="H9732" s="60" t="n">
        <v>200801</v>
      </c>
      <c r="I9732" s="60" t="n">
        <v>200801</v>
      </c>
      <c r="J9732" s="60" t="n"/>
      <c r="K9732" s="60" t="n">
        <v>11</v>
      </c>
      <c r="L9732" s="60" t="n">
        <v>200801</v>
      </c>
      <c r="M9732" s="94">
        <f>VLOOKUP($Q9732,매칭테이블!$F:$I,2,0)*K9732</f>
        <v/>
      </c>
      <c r="N9732" s="94">
        <f>M9732-M9732*VLOOKUP($Q9732,매칭테이블!$F:$I,3,0)</f>
        <v/>
      </c>
      <c r="O9732" s="94">
        <f>VLOOKUP($Q9732,매칭테이블!$F:$I,4,0)*K9732</f>
        <v/>
      </c>
      <c r="P9732" s="148">
        <f>M9732/1.1</f>
        <v/>
      </c>
      <c r="Q9732" s="94">
        <f>F9732&amp;E9732&amp;G9732&amp;L9732</f>
        <v/>
      </c>
    </row>
    <row r="9733" customFormat="1" s="94">
      <c r="B9733" s="128" t="n">
        <v>44107</v>
      </c>
      <c r="C9733" s="94">
        <f>TEXT(B9733,"aaa")</f>
        <v/>
      </c>
      <c r="D9733" s="60" t="n"/>
      <c r="E9733" s="60" t="inlineStr">
        <is>
          <t>클렌징폼</t>
        </is>
      </c>
      <c r="F9733" s="60" t="inlineStr">
        <is>
          <t>카페24</t>
        </is>
      </c>
      <c r="G9733" s="60" t="inlineStr">
        <is>
          <t>클렌징폼 120ml 2set</t>
        </is>
      </c>
      <c r="H9733" s="60" t="n">
        <v>200801</v>
      </c>
      <c r="I9733" s="60" t="n">
        <v>200801</v>
      </c>
      <c r="J9733" s="60" t="n"/>
      <c r="K9733" s="60" t="n">
        <v>1</v>
      </c>
      <c r="L9733" s="60" t="n">
        <v>200801</v>
      </c>
      <c r="M9733" s="94">
        <f>VLOOKUP($Q9733,매칭테이블!$F:$I,2,0)*K9733</f>
        <v/>
      </c>
      <c r="N9733" s="94">
        <f>M9733-M9733*VLOOKUP($Q9733,매칭테이블!$F:$I,3,0)</f>
        <v/>
      </c>
      <c r="O9733" s="94">
        <f>VLOOKUP($Q9733,매칭테이블!$F:$I,4,0)*K9733</f>
        <v/>
      </c>
      <c r="P9733" s="148">
        <f>M9733/1.1</f>
        <v/>
      </c>
      <c r="Q9733" s="94">
        <f>F9733&amp;E9733&amp;G9733&amp;L9733</f>
        <v/>
      </c>
    </row>
    <row r="9734" customFormat="1" s="94">
      <c r="B9734" s="128" t="n">
        <v>44107</v>
      </c>
      <c r="C9734" s="94">
        <f>TEXT(B9734,"aaa")</f>
        <v/>
      </c>
      <c r="D9734" s="60" t="n"/>
      <c r="E9734" s="60" t="inlineStr">
        <is>
          <t>클렌징폼</t>
        </is>
      </c>
      <c r="F9734" s="60" t="inlineStr">
        <is>
          <t>카페24</t>
        </is>
      </c>
      <c r="G9734" s="60" t="inlineStr">
        <is>
          <t>클렌징폼 120ml 3set</t>
        </is>
      </c>
      <c r="H9734" s="60" t="n">
        <v>200801</v>
      </c>
      <c r="I9734" s="60" t="n">
        <v>200801</v>
      </c>
      <c r="J9734" s="60" t="n"/>
      <c r="K9734" s="60" t="n">
        <v>1</v>
      </c>
      <c r="L9734" s="60" t="n">
        <v>200801</v>
      </c>
      <c r="M9734" s="94">
        <f>VLOOKUP($Q9734,매칭테이블!$F:$I,2,0)*K9734</f>
        <v/>
      </c>
      <c r="N9734" s="94">
        <f>M9734-M9734*VLOOKUP($Q9734,매칭테이블!$F:$I,3,0)</f>
        <v/>
      </c>
      <c r="O9734" s="94">
        <f>VLOOKUP($Q9734,매칭테이블!$F:$I,4,0)*K9734</f>
        <v/>
      </c>
      <c r="P9734" s="148">
        <f>M9734/1.1</f>
        <v/>
      </c>
      <c r="Q9734" s="94">
        <f>F9734&amp;E9734&amp;G9734&amp;L9734</f>
        <v/>
      </c>
    </row>
    <row r="9735" customFormat="1" s="94">
      <c r="B9735" s="128" t="n">
        <v>44107</v>
      </c>
      <c r="C9735" s="94">
        <f>TEXT(B9735,"aaa")</f>
        <v/>
      </c>
      <c r="D9735" s="60" t="n"/>
      <c r="E9735" s="60" t="inlineStr">
        <is>
          <t>바디워시</t>
        </is>
      </c>
      <c r="F9735" s="60" t="inlineStr">
        <is>
          <t>카페24</t>
        </is>
      </c>
      <c r="G9735" s="60" t="inlineStr">
        <is>
          <t>바디워시 1개 -30% off</t>
        </is>
      </c>
      <c r="H9735" s="60" t="n">
        <v>200801</v>
      </c>
      <c r="I9735" s="60" t="n">
        <v>200801</v>
      </c>
      <c r="J9735" s="60" t="n"/>
      <c r="K9735" s="60" t="n">
        <v>3</v>
      </c>
      <c r="L9735" s="60" t="n">
        <v>200801</v>
      </c>
      <c r="M9735" s="94">
        <f>VLOOKUP($Q9735,매칭테이블!$F:$I,2,0)*K9735</f>
        <v/>
      </c>
      <c r="N9735" s="94">
        <f>M9735-M9735*VLOOKUP($Q9735,매칭테이블!$F:$I,3,0)</f>
        <v/>
      </c>
      <c r="O9735" s="94">
        <f>VLOOKUP($Q9735,매칭테이블!$F:$I,4,0)*K9735</f>
        <v/>
      </c>
      <c r="P9735" s="148">
        <f>M9735/1.1</f>
        <v/>
      </c>
      <c r="Q9735" s="94">
        <f>F9735&amp;E9735&amp;G9735&amp;L9735</f>
        <v/>
      </c>
    </row>
    <row r="9736" customFormat="1" s="94">
      <c r="B9736" s="128" t="n">
        <v>44107</v>
      </c>
      <c r="C9736" s="94">
        <f>TEXT(B9736,"aaa")</f>
        <v/>
      </c>
      <c r="D9736" s="60" t="n"/>
      <c r="E9736" s="60" t="inlineStr">
        <is>
          <t>앰플</t>
        </is>
      </c>
      <c r="F9736" s="60" t="inlineStr">
        <is>
          <t>화해</t>
        </is>
      </c>
      <c r="G9736" s="60" t="inlineStr">
        <is>
          <t>앰플 30ml</t>
        </is>
      </c>
      <c r="H9736" s="60" t="n">
        <v>200801</v>
      </c>
      <c r="I9736" s="60" t="n">
        <v>200801</v>
      </c>
      <c r="J9736" s="60" t="n"/>
      <c r="K9736" s="60" t="n">
        <v>1</v>
      </c>
      <c r="L9736" s="60" t="n">
        <v>200801</v>
      </c>
      <c r="M9736" s="94">
        <f>VLOOKUP($Q9736,매칭테이블!$F:$I,2,0)*K9736</f>
        <v/>
      </c>
      <c r="N9736" s="94">
        <f>M9736-M9736*VLOOKUP($Q9736,매칭테이블!$F:$I,3,0)</f>
        <v/>
      </c>
      <c r="O9736" s="94">
        <f>VLOOKUP($Q9736,매칭테이블!$F:$I,4,0)*K9736</f>
        <v/>
      </c>
      <c r="P9736" s="148">
        <f>M9736/1.1</f>
        <v/>
      </c>
      <c r="Q9736" s="94">
        <f>F9736&amp;E9736&amp;G9736&amp;L9736</f>
        <v/>
      </c>
    </row>
    <row r="9737" customFormat="1" s="94">
      <c r="B9737" s="128" t="n">
        <v>44107</v>
      </c>
      <c r="C9737" s="94">
        <f>TEXT(B9737,"aaa")</f>
        <v/>
      </c>
      <c r="D9737" s="60" t="n"/>
      <c r="E9737" s="60" t="inlineStr">
        <is>
          <t>토너</t>
        </is>
      </c>
      <c r="F9737" s="60" t="inlineStr">
        <is>
          <t>화해</t>
        </is>
      </c>
      <c r="G9737" s="60" t="inlineStr">
        <is>
          <t>250ml</t>
        </is>
      </c>
      <c r="H9737" s="60" t="n">
        <v>200801</v>
      </c>
      <c r="I9737" s="60" t="n">
        <v>200801</v>
      </c>
      <c r="J9737" s="60" t="n"/>
      <c r="K9737" s="60" t="n">
        <v>5</v>
      </c>
      <c r="L9737" s="60" t="n">
        <v>200801</v>
      </c>
      <c r="M9737" s="94">
        <f>VLOOKUP($Q9737,매칭테이블!$F:$I,2,0)*K9737</f>
        <v/>
      </c>
      <c r="N9737" s="94">
        <f>M9737-M9737*VLOOKUP($Q9737,매칭테이블!$F:$I,3,0)</f>
        <v/>
      </c>
      <c r="O9737" s="94">
        <f>VLOOKUP($Q9737,매칭테이블!$F:$I,4,0)*K9737</f>
        <v/>
      </c>
      <c r="P9737" s="148">
        <f>M9737/1.1</f>
        <v/>
      </c>
      <c r="Q9737" s="94">
        <f>F9737&amp;E9737&amp;G9737&amp;L9737</f>
        <v/>
      </c>
    </row>
    <row r="9738" customFormat="1" s="94">
      <c r="B9738" s="128" t="n">
        <v>44108</v>
      </c>
      <c r="C9738" s="94">
        <f>TEXT(B9738,"aaa")</f>
        <v/>
      </c>
      <c r="D9738" s="60" t="n"/>
      <c r="E9738" s="60" t="inlineStr">
        <is>
          <t>토너</t>
        </is>
      </c>
      <c r="F9738" s="60" t="inlineStr">
        <is>
          <t>스타일쉐어</t>
        </is>
      </c>
      <c r="G9738" s="60" t="inlineStr">
        <is>
          <t>250ml</t>
        </is>
      </c>
      <c r="H9738" s="60" t="n">
        <v>200801</v>
      </c>
      <c r="I9738" s="60" t="n">
        <v>200801</v>
      </c>
      <c r="J9738" s="60" t="n"/>
      <c r="K9738" s="60" t="n">
        <v>7</v>
      </c>
      <c r="L9738" s="60" t="n">
        <v>200801</v>
      </c>
      <c r="M9738" s="94">
        <f>VLOOKUP($Q9738,매칭테이블!$F:$I,2,0)*K9738</f>
        <v/>
      </c>
      <c r="N9738" s="94">
        <f>M9738-M9738*VLOOKUP($Q9738,매칭테이블!$F:$I,3,0)</f>
        <v/>
      </c>
      <c r="O9738" s="94">
        <f>VLOOKUP($Q9738,매칭테이블!$F:$I,4,0)*K9738</f>
        <v/>
      </c>
      <c r="P9738" s="148">
        <f>M9738/1.1</f>
        <v/>
      </c>
      <c r="Q9738" s="94">
        <f>F9738&amp;E9738&amp;G9738&amp;L9738</f>
        <v/>
      </c>
    </row>
    <row r="9739" customFormat="1" s="94">
      <c r="B9739" s="128" t="n">
        <v>44108</v>
      </c>
      <c r="C9739" s="94">
        <f>TEXT(B9739,"aaa")</f>
        <v/>
      </c>
      <c r="D9739" s="60" t="n"/>
      <c r="E9739" s="60" t="inlineStr">
        <is>
          <t>선크림</t>
        </is>
      </c>
      <c r="F9739" s="60" t="inlineStr">
        <is>
          <t>카페24</t>
        </is>
      </c>
      <c r="G9739" s="60" t="inlineStr">
        <is>
          <t>선크림 50ml</t>
        </is>
      </c>
      <c r="H9739" s="60" t="n">
        <v>200801</v>
      </c>
      <c r="I9739" s="60" t="n">
        <v>200801</v>
      </c>
      <c r="J9739" s="60" t="n"/>
      <c r="K9739" s="60" t="n">
        <v>4</v>
      </c>
      <c r="L9739" s="60" t="n">
        <v>200801</v>
      </c>
      <c r="M9739" s="94">
        <f>VLOOKUP($Q9739,매칭테이블!$F:$I,2,0)*K9739</f>
        <v/>
      </c>
      <c r="N9739" s="94">
        <f>M9739-M9739*VLOOKUP($Q9739,매칭테이블!$F:$I,3,0)</f>
        <v/>
      </c>
      <c r="O9739" s="94">
        <f>VLOOKUP($Q9739,매칭테이블!$F:$I,4,0)*K9739</f>
        <v/>
      </c>
      <c r="P9739" s="148">
        <f>M9739/1.1</f>
        <v/>
      </c>
      <c r="Q9739" s="94">
        <f>F9739&amp;E9739&amp;G9739&amp;L9739</f>
        <v/>
      </c>
    </row>
    <row r="9740" customFormat="1" s="94">
      <c r="B9740" s="128" t="n">
        <v>44108</v>
      </c>
      <c r="C9740" s="94">
        <f>TEXT(B9740,"aaa")</f>
        <v/>
      </c>
      <c r="D9740" s="60" t="n"/>
      <c r="E9740" s="60" t="inlineStr">
        <is>
          <t>선크림</t>
        </is>
      </c>
      <c r="F9740" s="60" t="inlineStr">
        <is>
          <t>카페24</t>
        </is>
      </c>
      <c r="G9740" s="60" t="inlineStr">
        <is>
          <t>선크림 50ml  2set</t>
        </is>
      </c>
      <c r="H9740" s="60" t="n">
        <v>200801</v>
      </c>
      <c r="I9740" s="60" t="n">
        <v>200801</v>
      </c>
      <c r="J9740" s="60" t="n"/>
      <c r="K9740" s="60" t="n">
        <v>1</v>
      </c>
      <c r="L9740" s="60" t="n">
        <v>200801</v>
      </c>
      <c r="M9740" s="94">
        <f>VLOOKUP($Q9740,매칭테이블!$F:$I,2,0)*K9740</f>
        <v/>
      </c>
      <c r="N9740" s="94">
        <f>M9740-M9740*VLOOKUP($Q9740,매칭테이블!$F:$I,3,0)</f>
        <v/>
      </c>
      <c r="O9740" s="94">
        <f>VLOOKUP($Q9740,매칭테이블!$F:$I,4,0)*K9740</f>
        <v/>
      </c>
      <c r="P9740" s="148">
        <f>M9740/1.1</f>
        <v/>
      </c>
      <c r="Q9740" s="94">
        <f>F9740&amp;E9740&amp;G9740&amp;L9740</f>
        <v/>
      </c>
    </row>
    <row r="9741" customFormat="1" s="94">
      <c r="B9741" s="128" t="n">
        <v>44108</v>
      </c>
      <c r="C9741" s="94">
        <f>TEXT(B9741,"aaa")</f>
        <v/>
      </c>
      <c r="D9741" s="60" t="n"/>
      <c r="E9741" s="60" t="inlineStr">
        <is>
          <t>어성초진정패키지</t>
        </is>
      </c>
      <c r="F9741" s="60" t="inlineStr">
        <is>
          <t>카페24</t>
        </is>
      </c>
      <c r="G9741" s="60" t="inlineStr">
        <is>
          <t>어성초 진정패키지세트</t>
        </is>
      </c>
      <c r="H9741" s="60" t="n">
        <v>200801</v>
      </c>
      <c r="I9741" s="60" t="n">
        <v>200801</v>
      </c>
      <c r="J9741" s="60" t="n"/>
      <c r="K9741" s="60" t="n">
        <v>4</v>
      </c>
      <c r="L9741" s="60" t="n">
        <v>200801</v>
      </c>
      <c r="M9741" s="94">
        <f>VLOOKUP($Q9741,매칭테이블!$F:$I,2,0)*K9741</f>
        <v/>
      </c>
      <c r="N9741" s="94">
        <f>M9741-M9741*VLOOKUP($Q9741,매칭테이블!$F:$I,3,0)</f>
        <v/>
      </c>
      <c r="O9741" s="94">
        <f>VLOOKUP($Q9741,매칭테이블!$F:$I,4,0)*K9741</f>
        <v/>
      </c>
      <c r="P9741" s="148">
        <f>M9741/1.1</f>
        <v/>
      </c>
      <c r="Q9741" s="94">
        <f>F9741&amp;E9741&amp;G9741&amp;L9741</f>
        <v/>
      </c>
    </row>
    <row r="9742" customFormat="1" s="94">
      <c r="B9742" s="128" t="n">
        <v>44108</v>
      </c>
      <c r="C9742" s="94">
        <f>TEXT(B9742,"aaa")</f>
        <v/>
      </c>
      <c r="D9742" s="60" t="n"/>
      <c r="E9742" s="60" t="inlineStr">
        <is>
          <t>클리어 패드</t>
        </is>
      </c>
      <c r="F9742" s="60" t="inlineStr">
        <is>
          <t>카페24</t>
        </is>
      </c>
      <c r="G9742" s="60" t="inlineStr">
        <is>
          <t>어성초 77 클리어 패드 1개-20% off</t>
        </is>
      </c>
      <c r="H9742" s="60" t="n">
        <v>200801</v>
      </c>
      <c r="I9742" s="60" t="n">
        <v>200801</v>
      </c>
      <c r="J9742" s="60" t="n"/>
      <c r="K9742" s="60" t="n">
        <v>36</v>
      </c>
      <c r="L9742" s="60" t="n">
        <v>200801</v>
      </c>
      <c r="M9742" s="94">
        <f>VLOOKUP($Q9742,매칭테이블!$F:$I,2,0)*K9742</f>
        <v/>
      </c>
      <c r="N9742" s="94">
        <f>M9742-M9742*VLOOKUP($Q9742,매칭테이블!$F:$I,3,0)</f>
        <v/>
      </c>
      <c r="O9742" s="94">
        <f>VLOOKUP($Q9742,매칭테이블!$F:$I,4,0)*K9742</f>
        <v/>
      </c>
      <c r="P9742" s="148">
        <f>M9742/1.1</f>
        <v/>
      </c>
      <c r="Q9742" s="94">
        <f>F9742&amp;E9742&amp;G9742&amp;L9742</f>
        <v/>
      </c>
    </row>
    <row r="9743" customFormat="1" s="94">
      <c r="B9743" s="128" t="n">
        <v>44108</v>
      </c>
      <c r="C9743" s="94">
        <f>TEXT(B9743,"aaa")</f>
        <v/>
      </c>
      <c r="D9743" s="60" t="n"/>
      <c r="E9743" s="60" t="inlineStr">
        <is>
          <t>클리어 패드</t>
        </is>
      </c>
      <c r="F9743" s="60" t="inlineStr">
        <is>
          <t>카페24</t>
        </is>
      </c>
      <c r="G9743" s="60" t="inlineStr">
        <is>
          <t>어성초 77 클리어 패드 2개-30% off</t>
        </is>
      </c>
      <c r="H9743" s="60" t="n">
        <v>200801</v>
      </c>
      <c r="I9743" s="60" t="n">
        <v>200801</v>
      </c>
      <c r="J9743" s="60" t="n"/>
      <c r="K9743" s="60" t="n">
        <v>33</v>
      </c>
      <c r="L9743" s="60" t="n">
        <v>200801</v>
      </c>
      <c r="M9743" s="94">
        <f>VLOOKUP($Q9743,매칭테이블!$F:$I,2,0)*K9743</f>
        <v/>
      </c>
      <c r="N9743" s="94">
        <f>M9743-M9743*VLOOKUP($Q9743,매칭테이블!$F:$I,3,0)</f>
        <v/>
      </c>
      <c r="O9743" s="94">
        <f>VLOOKUP($Q9743,매칭테이블!$F:$I,4,0)*K9743</f>
        <v/>
      </c>
      <c r="P9743" s="148">
        <f>M9743/1.1</f>
        <v/>
      </c>
      <c r="Q9743" s="94">
        <f>F9743&amp;E9743&amp;G9743&amp;L9743</f>
        <v/>
      </c>
    </row>
    <row r="9744" customFormat="1" s="94">
      <c r="B9744" s="128" t="n">
        <v>44108</v>
      </c>
      <c r="C9744" s="94">
        <f>TEXT(B9744,"aaa")</f>
        <v/>
      </c>
      <c r="D9744" s="60" t="n"/>
      <c r="E9744" s="60" t="inlineStr">
        <is>
          <t>토너+패드 세트</t>
        </is>
      </c>
      <c r="F9744" s="60" t="inlineStr">
        <is>
          <t>카페24</t>
        </is>
      </c>
      <c r="G9744" s="60" t="inlineStr">
        <is>
          <t>좁쌀 진정 세트 토너+클리어 패드-30% off</t>
        </is>
      </c>
      <c r="H9744" s="60" t="n">
        <v>200801</v>
      </c>
      <c r="I9744" s="60" t="n">
        <v>200801</v>
      </c>
      <c r="J9744" s="60" t="n"/>
      <c r="K9744" s="60" t="n">
        <v>44</v>
      </c>
      <c r="L9744" s="60" t="n">
        <v>200801</v>
      </c>
      <c r="M9744" s="94">
        <f>VLOOKUP($Q9744,매칭테이블!$F:$I,2,0)*K9744</f>
        <v/>
      </c>
      <c r="N9744" s="94">
        <f>M9744-M9744*VLOOKUP($Q9744,매칭테이블!$F:$I,3,0)</f>
        <v/>
      </c>
      <c r="O9744" s="94">
        <f>VLOOKUP($Q9744,매칭테이블!$F:$I,4,0)*K9744</f>
        <v/>
      </c>
      <c r="P9744" s="148">
        <f>M9744/1.1</f>
        <v/>
      </c>
      <c r="Q9744" s="94">
        <f>F9744&amp;E9744&amp;G9744&amp;L9744</f>
        <v/>
      </c>
    </row>
    <row r="9745" customFormat="1" s="94">
      <c r="B9745" s="128" t="n">
        <v>44108</v>
      </c>
      <c r="C9745" s="94">
        <f>TEXT(B9745,"aaa")</f>
        <v/>
      </c>
      <c r="D9745" s="60" t="n"/>
      <c r="E9745" s="60" t="inlineStr">
        <is>
          <t>수분 보충 세트</t>
        </is>
      </c>
      <c r="F9745" s="60" t="inlineStr">
        <is>
          <t>카페24</t>
        </is>
      </c>
      <c r="G9745" s="60" t="inlineStr">
        <is>
          <t>[20/09/28 부터] 어성초 77 토너 250ml + 어성초 70 로션 200ml -30%</t>
        </is>
      </c>
      <c r="H9745" s="60" t="n">
        <v>200801</v>
      </c>
      <c r="I9745" s="60" t="n">
        <v>200801</v>
      </c>
      <c r="J9745" s="60" t="n"/>
      <c r="K9745" s="60" t="n">
        <v>44</v>
      </c>
      <c r="L9745" s="60" t="n">
        <v>200801</v>
      </c>
      <c r="M9745" s="94">
        <f>VLOOKUP($Q9745,매칭테이블!$F:$I,2,0)*K9745</f>
        <v/>
      </c>
      <c r="N9745" s="94">
        <f>M9745-M9745*VLOOKUP($Q9745,매칭테이블!$F:$I,3,0)</f>
        <v/>
      </c>
      <c r="O9745" s="94">
        <f>VLOOKUP($Q9745,매칭테이블!$F:$I,4,0)*K9745</f>
        <v/>
      </c>
      <c r="P9745" s="148">
        <f>M9745/1.1</f>
        <v/>
      </c>
      <c r="Q9745" s="94">
        <f>F9745&amp;E9745&amp;G9745&amp;L9745</f>
        <v/>
      </c>
    </row>
    <row r="9746" customFormat="1" s="94">
      <c r="B9746" s="128" t="n">
        <v>44108</v>
      </c>
      <c r="C9746" s="94">
        <f>TEXT(B9746,"aaa")</f>
        <v/>
      </c>
      <c r="D9746" s="60" t="n"/>
      <c r="E9746" s="60" t="inlineStr">
        <is>
          <t>로션</t>
        </is>
      </c>
      <c r="F9746" s="60" t="inlineStr">
        <is>
          <t>카페24</t>
        </is>
      </c>
      <c r="G9746" s="60" t="inlineStr">
        <is>
          <t>어성초 70 데일리 릴리프 로션 1개 -20% off</t>
        </is>
      </c>
      <c r="H9746" s="60" t="n">
        <v>200801</v>
      </c>
      <c r="I9746" s="60" t="n">
        <v>200801</v>
      </c>
      <c r="J9746" s="60" t="n"/>
      <c r="K9746" s="60" t="n">
        <v>8</v>
      </c>
      <c r="L9746" s="60" t="n">
        <v>200801</v>
      </c>
      <c r="M9746" s="94">
        <f>VLOOKUP($Q9746,매칭테이블!$F:$I,2,0)*K9746</f>
        <v/>
      </c>
      <c r="N9746" s="94">
        <f>M9746-M9746*VLOOKUP($Q9746,매칭테이블!$F:$I,3,0)</f>
        <v/>
      </c>
      <c r="O9746" s="94">
        <f>VLOOKUP($Q9746,매칭테이블!$F:$I,4,0)*K9746</f>
        <v/>
      </c>
      <c r="P9746" s="148">
        <f>M9746/1.1</f>
        <v/>
      </c>
      <c r="Q9746" s="94">
        <f>F9746&amp;E9746&amp;G9746&amp;L9746</f>
        <v/>
      </c>
    </row>
    <row r="9747" customFormat="1" s="94">
      <c r="B9747" s="128" t="n">
        <v>44108</v>
      </c>
      <c r="C9747" s="94">
        <f>TEXT(B9747,"aaa")</f>
        <v/>
      </c>
      <c r="D9747" s="60" t="n"/>
      <c r="E9747" s="60" t="inlineStr">
        <is>
          <t>로션</t>
        </is>
      </c>
      <c r="F9747" s="60" t="inlineStr">
        <is>
          <t>카페24</t>
        </is>
      </c>
      <c r="G9747" s="60" t="inlineStr">
        <is>
          <t>어성초 70 데일리 릴리프 로션 2개 -30% off</t>
        </is>
      </c>
      <c r="H9747" s="60" t="n">
        <v>200801</v>
      </c>
      <c r="I9747" s="60" t="n">
        <v>200801</v>
      </c>
      <c r="J9747" s="60" t="n"/>
      <c r="K9747" s="60" t="n">
        <v>1</v>
      </c>
      <c r="L9747" s="60" t="n">
        <v>200801</v>
      </c>
      <c r="M9747" s="94">
        <f>VLOOKUP($Q9747,매칭테이블!$F:$I,2,0)*K9747</f>
        <v/>
      </c>
      <c r="N9747" s="94">
        <f>M9747-M9747*VLOOKUP($Q9747,매칭테이블!$F:$I,3,0)</f>
        <v/>
      </c>
      <c r="O9747" s="94">
        <f>VLOOKUP($Q9747,매칭테이블!$F:$I,4,0)*K9747</f>
        <v/>
      </c>
      <c r="P9747" s="148">
        <f>M9747/1.1</f>
        <v/>
      </c>
      <c r="Q9747" s="94">
        <f>F9747&amp;E9747&amp;G9747&amp;L9747</f>
        <v/>
      </c>
    </row>
    <row r="9748" customFormat="1" s="94">
      <c r="B9748" s="128" t="n">
        <v>44108</v>
      </c>
      <c r="C9748" s="94">
        <f>TEXT(B9748,"aaa")</f>
        <v/>
      </c>
      <c r="D9748" s="60" t="n"/>
      <c r="E9748" s="60" t="inlineStr">
        <is>
          <t>머드크림마스크</t>
        </is>
      </c>
      <c r="F9748" s="60" t="inlineStr">
        <is>
          <t>카페24</t>
        </is>
      </c>
      <c r="G9748" s="60" t="inlineStr">
        <is>
          <t>머드크림마스크 100ml</t>
        </is>
      </c>
      <c r="H9748" s="60" t="n">
        <v>200801</v>
      </c>
      <c r="I9748" s="60" t="n">
        <v>200801</v>
      </c>
      <c r="J9748" s="60" t="n"/>
      <c r="K9748" s="60" t="n">
        <v>2</v>
      </c>
      <c r="L9748" s="60" t="n">
        <v>200801</v>
      </c>
      <c r="M9748" s="94">
        <f>VLOOKUP($Q9748,매칭테이블!$F:$I,2,0)*K9748</f>
        <v/>
      </c>
      <c r="N9748" s="94">
        <f>M9748-M9748*VLOOKUP($Q9748,매칭테이블!$F:$I,3,0)</f>
        <v/>
      </c>
      <c r="O9748" s="94">
        <f>VLOOKUP($Q9748,매칭테이블!$F:$I,4,0)*K9748</f>
        <v/>
      </c>
      <c r="P9748" s="148">
        <f>M9748/1.1</f>
        <v/>
      </c>
      <c r="Q9748" s="94">
        <f>F9748&amp;E9748&amp;G9748&amp;L9748</f>
        <v/>
      </c>
    </row>
    <row r="9749" customFormat="1" s="94">
      <c r="B9749" s="128" t="n">
        <v>44108</v>
      </c>
      <c r="C9749" s="94">
        <f>TEXT(B9749,"aaa")</f>
        <v/>
      </c>
      <c r="D9749" s="60" t="n"/>
      <c r="E9749" s="60" t="inlineStr">
        <is>
          <t>머드크림마스크</t>
        </is>
      </c>
      <c r="F9749" s="60" t="inlineStr">
        <is>
          <t>카페24</t>
        </is>
      </c>
      <c r="G9749" s="60" t="inlineStr">
        <is>
          <t>머드크림마스크 100ml 2set</t>
        </is>
      </c>
      <c r="H9749" s="60" t="n">
        <v>200801</v>
      </c>
      <c r="I9749" s="60" t="n">
        <v>200801</v>
      </c>
      <c r="J9749" s="60" t="n"/>
      <c r="K9749" s="60" t="n">
        <v>1</v>
      </c>
      <c r="L9749" s="60" t="n">
        <v>200801</v>
      </c>
      <c r="M9749" s="94">
        <f>VLOOKUP($Q9749,매칭테이블!$F:$I,2,0)*K9749</f>
        <v/>
      </c>
      <c r="N9749" s="94">
        <f>M9749-M9749*VLOOKUP($Q9749,매칭테이블!$F:$I,3,0)</f>
        <v/>
      </c>
      <c r="O9749" s="94">
        <f>VLOOKUP($Q9749,매칭테이블!$F:$I,4,0)*K9749</f>
        <v/>
      </c>
      <c r="P9749" s="148">
        <f>M9749/1.1</f>
        <v/>
      </c>
      <c r="Q9749" s="94">
        <f>F9749&amp;E9749&amp;G9749&amp;L9749</f>
        <v/>
      </c>
    </row>
    <row r="9750" customFormat="1" s="94">
      <c r="B9750" s="128" t="n">
        <v>44108</v>
      </c>
      <c r="C9750" s="94">
        <f>TEXT(B9750,"aaa")</f>
        <v/>
      </c>
      <c r="D9750" s="60" t="n"/>
      <c r="E9750" s="60" t="inlineStr">
        <is>
          <t>마스크팩</t>
        </is>
      </c>
      <c r="F9750" s="60" t="inlineStr">
        <is>
          <t>카페24</t>
        </is>
      </c>
      <c r="G9750" s="60" t="inlineStr">
        <is>
          <t>마스크팩 1매</t>
        </is>
      </c>
      <c r="H9750" s="60" t="n">
        <v>200801</v>
      </c>
      <c r="I9750" s="60" t="n">
        <v>200801</v>
      </c>
      <c r="J9750" s="60" t="n"/>
      <c r="K9750" s="60" t="n">
        <v>2</v>
      </c>
      <c r="L9750" s="60" t="n">
        <v>200801</v>
      </c>
      <c r="M9750" s="94">
        <f>VLOOKUP($Q9750,매칭테이블!$F:$I,2,0)*K9750</f>
        <v/>
      </c>
      <c r="N9750" s="94">
        <f>M9750-M9750*VLOOKUP($Q9750,매칭테이블!$F:$I,3,0)</f>
        <v/>
      </c>
      <c r="O9750" s="94">
        <f>VLOOKUP($Q9750,매칭테이블!$F:$I,4,0)*K9750</f>
        <v/>
      </c>
      <c r="P9750" s="148">
        <f>M9750/1.1</f>
        <v/>
      </c>
      <c r="Q9750" s="94">
        <f>F9750&amp;E9750&amp;G9750&amp;L9750</f>
        <v/>
      </c>
    </row>
    <row r="9751" customFormat="1" s="94">
      <c r="B9751" s="128" t="n">
        <v>44108</v>
      </c>
      <c r="C9751" s="94">
        <f>TEXT(B9751,"aaa")</f>
        <v/>
      </c>
      <c r="D9751" s="60" t="n"/>
      <c r="E9751" s="60" t="inlineStr">
        <is>
          <t>마스크팩</t>
        </is>
      </c>
      <c r="F9751" s="60" t="inlineStr">
        <is>
          <t>카페24</t>
        </is>
      </c>
      <c r="G9751" s="60" t="inlineStr">
        <is>
          <t>마스크팩 10매</t>
        </is>
      </c>
      <c r="H9751" s="60" t="n">
        <v>200801</v>
      </c>
      <c r="I9751" s="60" t="n">
        <v>200801</v>
      </c>
      <c r="J9751" s="60" t="n"/>
      <c r="K9751" s="60" t="n">
        <v>5</v>
      </c>
      <c r="L9751" s="60" t="n">
        <v>200801</v>
      </c>
      <c r="M9751" s="94">
        <f>VLOOKUP($Q9751,매칭테이블!$F:$I,2,0)*K9751</f>
        <v/>
      </c>
      <c r="N9751" s="94">
        <f>M9751-M9751*VLOOKUP($Q9751,매칭테이블!$F:$I,3,0)</f>
        <v/>
      </c>
      <c r="O9751" s="94">
        <f>VLOOKUP($Q9751,매칭테이블!$F:$I,4,0)*K9751</f>
        <v/>
      </c>
      <c r="P9751" s="148">
        <f>M9751/1.1</f>
        <v/>
      </c>
      <c r="Q9751" s="94">
        <f>F9751&amp;E9751&amp;G9751&amp;L9751</f>
        <v/>
      </c>
    </row>
    <row r="9752" customFormat="1" s="94">
      <c r="B9752" s="128" t="n">
        <v>44108</v>
      </c>
      <c r="C9752" s="94">
        <f>TEXT(B9752,"aaa")</f>
        <v/>
      </c>
      <c r="D9752" s="60" t="n"/>
      <c r="E9752" s="60" t="inlineStr">
        <is>
          <t>토너</t>
        </is>
      </c>
      <c r="F9752" s="60" t="inlineStr">
        <is>
          <t>카페24</t>
        </is>
      </c>
      <c r="G9752" s="60" t="inlineStr">
        <is>
          <t>250ml</t>
        </is>
      </c>
      <c r="H9752" s="60" t="n">
        <v>200801</v>
      </c>
      <c r="I9752" s="60" t="n">
        <v>200801</v>
      </c>
      <c r="J9752" s="60" t="n"/>
      <c r="K9752" s="60" t="n">
        <v>61</v>
      </c>
      <c r="L9752" s="60" t="n">
        <v>200801</v>
      </c>
      <c r="M9752" s="94">
        <f>VLOOKUP($Q9752,매칭테이블!$F:$I,2,0)*K9752</f>
        <v/>
      </c>
      <c r="N9752" s="94">
        <f>M9752-M9752*VLOOKUP($Q9752,매칭테이블!$F:$I,3,0)</f>
        <v/>
      </c>
      <c r="O9752" s="94">
        <f>VLOOKUP($Q9752,매칭테이블!$F:$I,4,0)*K9752</f>
        <v/>
      </c>
      <c r="P9752" s="148">
        <f>M9752/1.1</f>
        <v/>
      </c>
      <c r="Q9752" s="94">
        <f>F9752&amp;E9752&amp;G9752&amp;L9752</f>
        <v/>
      </c>
    </row>
    <row r="9753" customFormat="1" s="94">
      <c r="B9753" s="128" t="n">
        <v>44108</v>
      </c>
      <c r="C9753" s="94">
        <f>TEXT(B9753,"aaa")</f>
        <v/>
      </c>
      <c r="D9753" s="60" t="n"/>
      <c r="E9753" s="60" t="inlineStr">
        <is>
          <t>토너</t>
        </is>
      </c>
      <c r="F9753" s="60" t="inlineStr">
        <is>
          <t>카페24</t>
        </is>
      </c>
      <c r="G9753" s="60" t="inlineStr">
        <is>
          <t>250ml 2set</t>
        </is>
      </c>
      <c r="H9753" s="60" t="n">
        <v>200801</v>
      </c>
      <c r="I9753" s="60" t="n">
        <v>200801</v>
      </c>
      <c r="J9753" s="60" t="n"/>
      <c r="K9753" s="60" t="n">
        <v>46</v>
      </c>
      <c r="L9753" s="60" t="n">
        <v>200801</v>
      </c>
      <c r="M9753" s="94">
        <f>VLOOKUP($Q9753,매칭테이블!$F:$I,2,0)*K9753</f>
        <v/>
      </c>
      <c r="N9753" s="94">
        <f>M9753-M9753*VLOOKUP($Q9753,매칭테이블!$F:$I,3,0)</f>
        <v/>
      </c>
      <c r="O9753" s="94">
        <f>VLOOKUP($Q9753,매칭테이블!$F:$I,4,0)*K9753</f>
        <v/>
      </c>
      <c r="P9753" s="148">
        <f>M9753/1.1</f>
        <v/>
      </c>
      <c r="Q9753" s="94">
        <f>F9753&amp;E9753&amp;G9753&amp;L9753</f>
        <v/>
      </c>
    </row>
    <row r="9754" customFormat="1" s="94">
      <c r="B9754" s="128" t="n">
        <v>44108</v>
      </c>
      <c r="C9754" s="94">
        <f>TEXT(B9754,"aaa")</f>
        <v/>
      </c>
      <c r="D9754" s="60" t="n"/>
      <c r="E9754" s="60" t="inlineStr">
        <is>
          <t>토너</t>
        </is>
      </c>
      <c r="F9754" s="60" t="inlineStr">
        <is>
          <t>카페24</t>
        </is>
      </c>
      <c r="G9754" s="60" t="inlineStr">
        <is>
          <t>500ml</t>
        </is>
      </c>
      <c r="H9754" s="60" t="n">
        <v>200801</v>
      </c>
      <c r="I9754" s="60" t="n">
        <v>200801</v>
      </c>
      <c r="J9754" s="60" t="n"/>
      <c r="K9754" s="60" t="n">
        <v>62</v>
      </c>
      <c r="L9754" s="60" t="n">
        <v>200801</v>
      </c>
      <c r="M9754" s="94">
        <f>VLOOKUP($Q9754,매칭테이블!$F:$I,2,0)*K9754</f>
        <v/>
      </c>
      <c r="N9754" s="94">
        <f>M9754-M9754*VLOOKUP($Q9754,매칭테이블!$F:$I,3,0)</f>
        <v/>
      </c>
      <c r="O9754" s="94">
        <f>VLOOKUP($Q9754,매칭테이블!$F:$I,4,0)*K9754</f>
        <v/>
      </c>
      <c r="P9754" s="148">
        <f>M9754/1.1</f>
        <v/>
      </c>
      <c r="Q9754" s="94">
        <f>F9754&amp;E9754&amp;G9754&amp;L9754</f>
        <v/>
      </c>
    </row>
    <row r="9755" customFormat="1" s="94">
      <c r="B9755" s="128" t="n">
        <v>44108</v>
      </c>
      <c r="C9755" s="94">
        <f>TEXT(B9755,"aaa")</f>
        <v/>
      </c>
      <c r="D9755" s="60" t="n"/>
      <c r="E9755" s="60" t="inlineStr">
        <is>
          <t>토너</t>
        </is>
      </c>
      <c r="F9755" s="60" t="inlineStr">
        <is>
          <t>카페24</t>
        </is>
      </c>
      <c r="G9755" s="60" t="inlineStr">
        <is>
          <t>스킨팩 화장솜 60P</t>
        </is>
      </c>
      <c r="H9755" s="60" t="n">
        <v>200801</v>
      </c>
      <c r="I9755" s="60" t="n">
        <v>200801</v>
      </c>
      <c r="J9755" s="60" t="n"/>
      <c r="K9755" s="60" t="n">
        <v>53</v>
      </c>
      <c r="L9755" s="60" t="n">
        <v>200801</v>
      </c>
      <c r="M9755" s="94">
        <f>VLOOKUP($Q9755,매칭테이블!$F:$I,2,0)*K9755</f>
        <v/>
      </c>
      <c r="N9755" s="94">
        <f>M9755-M9755*VLOOKUP($Q9755,매칭테이블!$F:$I,3,0)</f>
        <v/>
      </c>
      <c r="O9755" s="94">
        <f>VLOOKUP($Q9755,매칭테이블!$F:$I,4,0)*K9755</f>
        <v/>
      </c>
      <c r="P9755" s="148">
        <f>M9755/1.1</f>
        <v/>
      </c>
      <c r="Q9755" s="94">
        <f>F9755&amp;E9755&amp;G9755&amp;L9755</f>
        <v/>
      </c>
    </row>
    <row r="9756" customFormat="1" s="94">
      <c r="B9756" s="128" t="n">
        <v>44108</v>
      </c>
      <c r="C9756" s="94">
        <f>TEXT(B9756,"aaa")</f>
        <v/>
      </c>
      <c r="D9756" s="60" t="n"/>
      <c r="E9756" s="60" t="inlineStr">
        <is>
          <t>앰플</t>
        </is>
      </c>
      <c r="F9756" s="60" t="inlineStr">
        <is>
          <t>카페24</t>
        </is>
      </c>
      <c r="G9756" s="60" t="inlineStr">
        <is>
          <t>앰플 30ml</t>
        </is>
      </c>
      <c r="H9756" s="60" t="n">
        <v>200801</v>
      </c>
      <c r="I9756" s="60" t="n">
        <v>200801</v>
      </c>
      <c r="J9756" s="60" t="n"/>
      <c r="K9756" s="60" t="n">
        <v>44</v>
      </c>
      <c r="L9756" s="60" t="n">
        <v>200801</v>
      </c>
      <c r="M9756" s="94">
        <f>VLOOKUP($Q9756,매칭테이블!$F:$I,2,0)*K9756</f>
        <v/>
      </c>
      <c r="N9756" s="94">
        <f>M9756-M9756*VLOOKUP($Q9756,매칭테이블!$F:$I,3,0)</f>
        <v/>
      </c>
      <c r="O9756" s="94">
        <f>VLOOKUP($Q9756,매칭테이블!$F:$I,4,0)*K9756</f>
        <v/>
      </c>
      <c r="P9756" s="148">
        <f>M9756/1.1</f>
        <v/>
      </c>
      <c r="Q9756" s="94">
        <f>F9756&amp;E9756&amp;G9756&amp;L9756</f>
        <v/>
      </c>
    </row>
    <row r="9757" customFormat="1" s="94">
      <c r="B9757" s="128" t="n">
        <v>44108</v>
      </c>
      <c r="C9757" s="94">
        <f>TEXT(B9757,"aaa")</f>
        <v/>
      </c>
      <c r="D9757" s="60" t="n"/>
      <c r="E9757" s="60" t="inlineStr">
        <is>
          <t>앰플</t>
        </is>
      </c>
      <c r="F9757" s="60" t="inlineStr">
        <is>
          <t>카페24</t>
        </is>
      </c>
      <c r="G9757" s="60" t="inlineStr">
        <is>
          <t>앰플 30ml  2set</t>
        </is>
      </c>
      <c r="H9757" s="60" t="n">
        <v>200801</v>
      </c>
      <c r="I9757" s="60" t="n">
        <v>200801</v>
      </c>
      <c r="J9757" s="60" t="n"/>
      <c r="K9757" s="60" t="n">
        <v>9</v>
      </c>
      <c r="L9757" s="60" t="n">
        <v>200801</v>
      </c>
      <c r="M9757" s="94">
        <f>VLOOKUP($Q9757,매칭테이블!$F:$I,2,0)*K9757</f>
        <v/>
      </c>
      <c r="N9757" s="94">
        <f>M9757-M9757*VLOOKUP($Q9757,매칭테이블!$F:$I,3,0)</f>
        <v/>
      </c>
      <c r="O9757" s="94">
        <f>VLOOKUP($Q9757,매칭테이블!$F:$I,4,0)*K9757</f>
        <v/>
      </c>
      <c r="P9757" s="148">
        <f>M9757/1.1</f>
        <v/>
      </c>
      <c r="Q9757" s="94">
        <f>F9757&amp;E9757&amp;G9757&amp;L9757</f>
        <v/>
      </c>
    </row>
    <row r="9758" customFormat="1" s="94">
      <c r="B9758" s="128" t="n">
        <v>44108</v>
      </c>
      <c r="C9758" s="94">
        <f>TEXT(B9758,"aaa")</f>
        <v/>
      </c>
      <c r="D9758" s="60" t="n"/>
      <c r="E9758" s="60" t="inlineStr">
        <is>
          <t>수딩크림</t>
        </is>
      </c>
      <c r="F9758" s="60" t="inlineStr">
        <is>
          <t>카페24</t>
        </is>
      </c>
      <c r="G9758" s="60" t="inlineStr">
        <is>
          <t>수딩크림 100ml</t>
        </is>
      </c>
      <c r="H9758" s="60" t="n">
        <v>200801</v>
      </c>
      <c r="I9758" s="60" t="n">
        <v>200801</v>
      </c>
      <c r="J9758" s="60" t="n"/>
      <c r="K9758" s="60" t="n">
        <v>14</v>
      </c>
      <c r="L9758" s="60" t="n">
        <v>200801</v>
      </c>
      <c r="M9758" s="94">
        <f>VLOOKUP($Q9758,매칭테이블!$F:$I,2,0)*K9758</f>
        <v/>
      </c>
      <c r="N9758" s="94">
        <f>M9758-M9758*VLOOKUP($Q9758,매칭테이블!$F:$I,3,0)</f>
        <v/>
      </c>
      <c r="O9758" s="94">
        <f>VLOOKUP($Q9758,매칭테이블!$F:$I,4,0)*K9758</f>
        <v/>
      </c>
      <c r="P9758" s="148">
        <f>M9758/1.1</f>
        <v/>
      </c>
      <c r="Q9758" s="94">
        <f>F9758&amp;E9758&amp;G9758&amp;L9758</f>
        <v/>
      </c>
    </row>
    <row r="9759" customFormat="1" s="94">
      <c r="B9759" s="128" t="n">
        <v>44108</v>
      </c>
      <c r="C9759" s="94">
        <f>TEXT(B9759,"aaa")</f>
        <v/>
      </c>
      <c r="D9759" s="60" t="n"/>
      <c r="E9759" s="60" t="inlineStr">
        <is>
          <t>클렌징폼</t>
        </is>
      </c>
      <c r="F9759" s="60" t="inlineStr">
        <is>
          <t>카페24</t>
        </is>
      </c>
      <c r="G9759" s="60" t="inlineStr">
        <is>
          <t>클렌징폼 120ml</t>
        </is>
      </c>
      <c r="H9759" s="60" t="n">
        <v>200801</v>
      </c>
      <c r="I9759" s="60" t="n">
        <v>200801</v>
      </c>
      <c r="J9759" s="60" t="n"/>
      <c r="K9759" s="60" t="n">
        <v>9</v>
      </c>
      <c r="L9759" s="60" t="n">
        <v>200801</v>
      </c>
      <c r="M9759" s="94">
        <f>VLOOKUP($Q9759,매칭테이블!$F:$I,2,0)*K9759</f>
        <v/>
      </c>
      <c r="N9759" s="94">
        <f>M9759-M9759*VLOOKUP($Q9759,매칭테이블!$F:$I,3,0)</f>
        <v/>
      </c>
      <c r="O9759" s="94">
        <f>VLOOKUP($Q9759,매칭테이블!$F:$I,4,0)*K9759</f>
        <v/>
      </c>
      <c r="P9759" s="148">
        <f>M9759/1.1</f>
        <v/>
      </c>
      <c r="Q9759" s="94">
        <f>F9759&amp;E9759&amp;G9759&amp;L9759</f>
        <v/>
      </c>
    </row>
    <row r="9760" customFormat="1" s="94">
      <c r="B9760" s="128" t="n">
        <v>44108</v>
      </c>
      <c r="C9760" s="94">
        <f>TEXT(B9760,"aaa")</f>
        <v/>
      </c>
      <c r="D9760" s="60" t="n"/>
      <c r="E9760" s="60" t="inlineStr">
        <is>
          <t>클렌징폼</t>
        </is>
      </c>
      <c r="F9760" s="60" t="inlineStr">
        <is>
          <t>카페24</t>
        </is>
      </c>
      <c r="G9760" s="60" t="inlineStr">
        <is>
          <t>클렌징폼 120ml 2set</t>
        </is>
      </c>
      <c r="H9760" s="60" t="n">
        <v>200801</v>
      </c>
      <c r="I9760" s="60" t="n">
        <v>200801</v>
      </c>
      <c r="J9760" s="60" t="n"/>
      <c r="K9760" s="60" t="n">
        <v>2</v>
      </c>
      <c r="L9760" s="60" t="n">
        <v>200801</v>
      </c>
      <c r="M9760" s="94">
        <f>VLOOKUP($Q9760,매칭테이블!$F:$I,2,0)*K9760</f>
        <v/>
      </c>
      <c r="N9760" s="94">
        <f>M9760-M9760*VLOOKUP($Q9760,매칭테이블!$F:$I,3,0)</f>
        <v/>
      </c>
      <c r="O9760" s="94">
        <f>VLOOKUP($Q9760,매칭테이블!$F:$I,4,0)*K9760</f>
        <v/>
      </c>
      <c r="P9760" s="148">
        <f>M9760/1.1</f>
        <v/>
      </c>
      <c r="Q9760" s="94">
        <f>F9760&amp;E9760&amp;G9760&amp;L9760</f>
        <v/>
      </c>
    </row>
    <row r="9761" customFormat="1" s="94">
      <c r="B9761" s="128" t="n">
        <v>44108</v>
      </c>
      <c r="C9761" s="94">
        <f>TEXT(B9761,"aaa")</f>
        <v/>
      </c>
      <c r="D9761" s="60" t="n"/>
      <c r="E9761" s="60" t="inlineStr">
        <is>
          <t>클렌징폼</t>
        </is>
      </c>
      <c r="F9761" s="60" t="inlineStr">
        <is>
          <t>카페24</t>
        </is>
      </c>
      <c r="G9761" s="60" t="inlineStr">
        <is>
          <t>클렌징폼 120ml 3set</t>
        </is>
      </c>
      <c r="H9761" s="60" t="n">
        <v>200801</v>
      </c>
      <c r="I9761" s="60" t="n">
        <v>200801</v>
      </c>
      <c r="J9761" s="60" t="n"/>
      <c r="K9761" s="60" t="n">
        <v>3</v>
      </c>
      <c r="L9761" s="60" t="n">
        <v>200801</v>
      </c>
      <c r="M9761" s="94">
        <f>VLOOKUP($Q9761,매칭테이블!$F:$I,2,0)*K9761</f>
        <v/>
      </c>
      <c r="N9761" s="94">
        <f>M9761-M9761*VLOOKUP($Q9761,매칭테이블!$F:$I,3,0)</f>
        <v/>
      </c>
      <c r="O9761" s="94">
        <f>VLOOKUP($Q9761,매칭테이블!$F:$I,4,0)*K9761</f>
        <v/>
      </c>
      <c r="P9761" s="148">
        <f>M9761/1.1</f>
        <v/>
      </c>
      <c r="Q9761" s="94">
        <f>F9761&amp;E9761&amp;G9761&amp;L9761</f>
        <v/>
      </c>
    </row>
    <row r="9762" customFormat="1" s="94">
      <c r="B9762" s="128" t="n">
        <v>44108</v>
      </c>
      <c r="C9762" s="94">
        <f>TEXT(B9762,"aaa")</f>
        <v/>
      </c>
      <c r="D9762" s="60" t="n"/>
      <c r="E9762" s="60" t="inlineStr">
        <is>
          <t>바디워시</t>
        </is>
      </c>
      <c r="F9762" s="60" t="inlineStr">
        <is>
          <t>카페24</t>
        </is>
      </c>
      <c r="G9762" s="60" t="inlineStr">
        <is>
          <t>바디워시 1개 -30% off</t>
        </is>
      </c>
      <c r="H9762" s="60" t="n">
        <v>200801</v>
      </c>
      <c r="I9762" s="60" t="n">
        <v>200801</v>
      </c>
      <c r="J9762" s="60" t="n"/>
      <c r="K9762" s="60" t="n">
        <v>3</v>
      </c>
      <c r="L9762" s="60" t="n">
        <v>200801</v>
      </c>
      <c r="M9762" s="94">
        <f>VLOOKUP($Q9762,매칭테이블!$F:$I,2,0)*K9762</f>
        <v/>
      </c>
      <c r="N9762" s="94">
        <f>M9762-M9762*VLOOKUP($Q9762,매칭테이블!$F:$I,3,0)</f>
        <v/>
      </c>
      <c r="O9762" s="94">
        <f>VLOOKUP($Q9762,매칭테이블!$F:$I,4,0)*K9762</f>
        <v/>
      </c>
      <c r="P9762" s="148">
        <f>M9762/1.1</f>
        <v/>
      </c>
      <c r="Q9762" s="94">
        <f>F9762&amp;E9762&amp;G9762&amp;L9762</f>
        <v/>
      </c>
    </row>
    <row r="9763" customFormat="1" s="94">
      <c r="B9763" s="128" t="n">
        <v>44108</v>
      </c>
      <c r="C9763" s="94">
        <f>TEXT(B9763,"aaa")</f>
        <v/>
      </c>
      <c r="D9763" s="60" t="n"/>
      <c r="E9763" s="60" t="inlineStr">
        <is>
          <t>바디워시</t>
        </is>
      </c>
      <c r="F9763" s="60" t="inlineStr">
        <is>
          <t>카페24</t>
        </is>
      </c>
      <c r="G9763" s="60" t="inlineStr">
        <is>
          <t>바디워시 2개 -35% off (무료배송)</t>
        </is>
      </c>
      <c r="H9763" s="60" t="n">
        <v>200801</v>
      </c>
      <c r="I9763" s="60" t="n">
        <v>200801</v>
      </c>
      <c r="J9763" s="60" t="n"/>
      <c r="K9763" s="60" t="n">
        <v>1</v>
      </c>
      <c r="L9763" s="60" t="n">
        <v>200801</v>
      </c>
      <c r="M9763" s="94">
        <f>VLOOKUP($Q9763,매칭테이블!$F:$I,2,0)*K9763</f>
        <v/>
      </c>
      <c r="N9763" s="94">
        <f>M9763-M9763*VLOOKUP($Q9763,매칭테이블!$F:$I,3,0)</f>
        <v/>
      </c>
      <c r="O9763" s="94">
        <f>VLOOKUP($Q9763,매칭테이블!$F:$I,4,0)*K9763</f>
        <v/>
      </c>
      <c r="P9763" s="148">
        <f>M9763/1.1</f>
        <v/>
      </c>
      <c r="Q9763" s="94">
        <f>F9763&amp;E9763&amp;G9763&amp;L9763</f>
        <v/>
      </c>
    </row>
    <row r="9764" customFormat="1" s="94">
      <c r="B9764" s="128" t="n">
        <v>44108</v>
      </c>
      <c r="C9764" s="94">
        <f>TEXT(B9764,"aaa")</f>
        <v/>
      </c>
      <c r="D9764" s="60" t="n"/>
      <c r="E9764" s="60" t="inlineStr">
        <is>
          <t>토너</t>
        </is>
      </c>
      <c r="F9764" s="60" t="inlineStr">
        <is>
          <t>화해</t>
        </is>
      </c>
      <c r="G9764" s="60" t="inlineStr">
        <is>
          <t>250ml</t>
        </is>
      </c>
      <c r="H9764" s="60" t="n">
        <v>200801</v>
      </c>
      <c r="I9764" s="60" t="n">
        <v>200801</v>
      </c>
      <c r="J9764" s="60" t="n"/>
      <c r="K9764" s="60" t="n">
        <v>12</v>
      </c>
      <c r="L9764" s="60" t="n">
        <v>200801</v>
      </c>
      <c r="M9764" s="94">
        <f>VLOOKUP($Q9764,매칭테이블!$F:$I,2,0)*K9764</f>
        <v/>
      </c>
      <c r="N9764" s="94">
        <f>M9764-M9764*VLOOKUP($Q9764,매칭테이블!$F:$I,3,0)</f>
        <v/>
      </c>
      <c r="O9764" s="94">
        <f>VLOOKUP($Q9764,매칭테이블!$F:$I,4,0)*K9764</f>
        <v/>
      </c>
      <c r="P9764" s="148">
        <f>M9764/1.1</f>
        <v/>
      </c>
      <c r="Q9764" s="94">
        <f>F9764&amp;E9764&amp;G9764&amp;L9764</f>
        <v/>
      </c>
    </row>
    <row r="9765" customFormat="1" s="94">
      <c r="B9765" s="128" t="n">
        <v>44108</v>
      </c>
      <c r="C9765" s="94">
        <f>TEXT(B9765,"aaa")</f>
        <v/>
      </c>
      <c r="D9765" s="60" t="n"/>
      <c r="E9765" s="60" t="inlineStr">
        <is>
          <t>토너</t>
        </is>
      </c>
      <c r="F9765" s="60" t="inlineStr">
        <is>
          <t>랄라블라</t>
        </is>
      </c>
      <c r="G9765" s="60" t="inlineStr">
        <is>
          <t>250ml</t>
        </is>
      </c>
      <c r="H9765" s="60" t="n">
        <v>200801</v>
      </c>
      <c r="I9765" s="60" t="n">
        <v>200801</v>
      </c>
      <c r="J9765" s="60" t="n"/>
      <c r="K9765" s="60" t="n">
        <v>479</v>
      </c>
      <c r="L9765" s="60" t="n">
        <v>200801</v>
      </c>
      <c r="M9765" s="94">
        <f>VLOOKUP($Q9765,매칭테이블!$F:$I,2,0)*K9765</f>
        <v/>
      </c>
      <c r="N9765" s="94">
        <f>M9765-M9765*VLOOKUP($Q9765,매칭테이블!$F:$I,3,0)</f>
        <v/>
      </c>
      <c r="O9765" s="94">
        <f>VLOOKUP($Q9765,매칭테이블!$F:$I,4,0)*K9765</f>
        <v/>
      </c>
      <c r="P9765" s="148">
        <f>M9765/1.1</f>
        <v/>
      </c>
      <c r="Q9765" s="94">
        <f>F9765&amp;E9765&amp;G9765&amp;L9765</f>
        <v/>
      </c>
    </row>
    <row r="9766" customFormat="1" s="94">
      <c r="B9766" s="128" t="n">
        <v>44108</v>
      </c>
      <c r="C9766" s="94">
        <f>TEXT(B9766,"aaa")</f>
        <v/>
      </c>
      <c r="D9766" s="60" t="n"/>
      <c r="E9766" s="60" t="inlineStr">
        <is>
          <t>토너</t>
        </is>
      </c>
      <c r="F9766" s="60" t="inlineStr">
        <is>
          <t>랄라블라</t>
        </is>
      </c>
      <c r="G9766" s="60" t="inlineStr">
        <is>
          <t>500ml</t>
        </is>
      </c>
      <c r="H9766" s="60" t="n">
        <v>200801</v>
      </c>
      <c r="I9766" s="60" t="n">
        <v>200801</v>
      </c>
      <c r="J9766" s="60" t="n"/>
      <c r="K9766" s="60" t="n">
        <v>344</v>
      </c>
      <c r="L9766" s="60" t="n">
        <v>200801</v>
      </c>
      <c r="M9766" s="94">
        <f>VLOOKUP($Q9766,매칭테이블!$F:$I,2,0)*K9766</f>
        <v/>
      </c>
      <c r="N9766" s="94">
        <f>M9766-M9766*VLOOKUP($Q9766,매칭테이블!$F:$I,3,0)</f>
        <v/>
      </c>
      <c r="O9766" s="94">
        <f>VLOOKUP($Q9766,매칭테이블!$F:$I,4,0)*K9766</f>
        <v/>
      </c>
      <c r="P9766" s="148">
        <f>M9766/1.1</f>
        <v/>
      </c>
      <c r="Q9766" s="94">
        <f>F9766&amp;E9766&amp;G9766&amp;L9766</f>
        <v/>
      </c>
    </row>
    <row r="9767" customFormat="1" s="94">
      <c r="B9767" s="128" t="n">
        <v>44108</v>
      </c>
      <c r="C9767" s="94">
        <f>TEXT(B9767,"aaa")</f>
        <v/>
      </c>
      <c r="D9767" s="60" t="n"/>
      <c r="E9767" s="60" t="inlineStr">
        <is>
          <t>마스크팩</t>
        </is>
      </c>
      <c r="F9767" s="60" t="inlineStr">
        <is>
          <t>랄라블라</t>
        </is>
      </c>
      <c r="G9767" s="60" t="inlineStr">
        <is>
          <t>마스크팩 1매</t>
        </is>
      </c>
      <c r="H9767" s="60" t="n">
        <v>200801</v>
      </c>
      <c r="I9767" s="60" t="n">
        <v>200801</v>
      </c>
      <c r="J9767" s="60" t="n"/>
      <c r="K9767" s="60" t="n">
        <v>567</v>
      </c>
      <c r="L9767" s="60" t="n">
        <v>200801</v>
      </c>
      <c r="M9767" s="94">
        <f>VLOOKUP($Q9767,매칭테이블!$F:$I,2,0)*K9767</f>
        <v/>
      </c>
      <c r="N9767" s="94">
        <f>M9767-M9767*VLOOKUP($Q9767,매칭테이블!$F:$I,3,0)</f>
        <v/>
      </c>
      <c r="O9767" s="94">
        <f>VLOOKUP($Q9767,매칭테이블!$F:$I,4,0)*K9767</f>
        <v/>
      </c>
      <c r="P9767" s="148">
        <f>M9767/1.1</f>
        <v/>
      </c>
      <c r="Q9767" s="94">
        <f>F9767&amp;E9767&amp;G9767&amp;L9767</f>
        <v/>
      </c>
    </row>
    <row r="9768" customFormat="1" s="94">
      <c r="B9768" s="128" t="n">
        <v>44108</v>
      </c>
      <c r="C9768" s="94">
        <f>TEXT(B9768,"aaa")</f>
        <v/>
      </c>
      <c r="D9768" s="60" t="n"/>
      <c r="E9768" s="60" t="inlineStr">
        <is>
          <t>수딩크림 증정기획</t>
        </is>
      </c>
      <c r="F9768" s="60" t="inlineStr">
        <is>
          <t>랄라블라</t>
        </is>
      </c>
      <c r="G9768" s="60" t="inlineStr">
        <is>
          <t>수딩크림 증정기획</t>
        </is>
      </c>
      <c r="H9768" s="60" t="n">
        <v>200801</v>
      </c>
      <c r="I9768" s="60" t="n">
        <v>200801</v>
      </c>
      <c r="J9768" s="60" t="n"/>
      <c r="K9768" s="60" t="n">
        <v>57</v>
      </c>
      <c r="L9768" s="60" t="n">
        <v>200801</v>
      </c>
      <c r="M9768" s="94">
        <f>VLOOKUP($Q9768,매칭테이블!$F:$I,2,0)*K9768</f>
        <v/>
      </c>
      <c r="N9768" s="94">
        <f>M9768-M9768*VLOOKUP($Q9768,매칭테이블!$F:$I,3,0)</f>
        <v/>
      </c>
      <c r="O9768" s="94">
        <f>VLOOKUP($Q9768,매칭테이블!$F:$I,4,0)*K9768</f>
        <v/>
      </c>
      <c r="P9768" s="148">
        <f>M9768/1.1</f>
        <v/>
      </c>
      <c r="Q9768" s="94">
        <f>F9768&amp;E9768&amp;G9768&amp;L9768</f>
        <v/>
      </c>
    </row>
    <row r="9769" customFormat="1" s="94">
      <c r="B9769" s="128" t="n">
        <v>44108</v>
      </c>
      <c r="C9769" s="94">
        <f>TEXT(B9769,"aaa")</f>
        <v/>
      </c>
      <c r="D9769" s="60" t="n"/>
      <c r="E9769" s="60" t="inlineStr">
        <is>
          <t>수딩크림</t>
        </is>
      </c>
      <c r="F9769" s="60" t="inlineStr">
        <is>
          <t>랄라블라</t>
        </is>
      </c>
      <c r="G9769" s="60" t="inlineStr">
        <is>
          <t>수딩크림 100ml</t>
        </is>
      </c>
      <c r="H9769" s="60" t="n">
        <v>200801</v>
      </c>
      <c r="I9769" s="60" t="n">
        <v>200801</v>
      </c>
      <c r="J9769" s="60" t="n"/>
      <c r="K9769" s="60" t="n">
        <v>39</v>
      </c>
      <c r="L9769" s="60" t="n">
        <v>200801</v>
      </c>
      <c r="M9769" s="94">
        <f>VLOOKUP($Q9769,매칭테이블!$F:$I,2,0)*K9769</f>
        <v/>
      </c>
      <c r="N9769" s="94">
        <f>M9769-M9769*VLOOKUP($Q9769,매칭테이블!$F:$I,3,0)</f>
        <v/>
      </c>
      <c r="O9769" s="94">
        <f>VLOOKUP($Q9769,매칭테이블!$F:$I,4,0)*K9769</f>
        <v/>
      </c>
      <c r="P9769" s="148">
        <f>M9769/1.1</f>
        <v/>
      </c>
      <c r="Q9769" s="94">
        <f>F9769&amp;E9769&amp;G9769&amp;L9769</f>
        <v/>
      </c>
    </row>
    <row r="9770" customFormat="1" s="94">
      <c r="B9770" s="128" t="n">
        <v>44108</v>
      </c>
      <c r="C9770" s="94">
        <f>TEXT(B9770,"aaa")</f>
        <v/>
      </c>
      <c r="D9770" s="60" t="n"/>
      <c r="E9770" s="60" t="inlineStr">
        <is>
          <t>앰플 기획세트</t>
        </is>
      </c>
      <c r="F9770" s="60" t="inlineStr">
        <is>
          <t>랄라블라</t>
        </is>
      </c>
      <c r="G9770" s="60" t="inlineStr">
        <is>
          <t>앰플 기획세트</t>
        </is>
      </c>
      <c r="H9770" s="60" t="n">
        <v>200801</v>
      </c>
      <c r="I9770" s="60" t="n">
        <v>200801</v>
      </c>
      <c r="J9770" s="60" t="n"/>
      <c r="K9770" s="60" t="n">
        <v>199</v>
      </c>
      <c r="L9770" s="60" t="n">
        <v>200801</v>
      </c>
      <c r="M9770" s="94">
        <f>VLOOKUP($Q9770,매칭테이블!$F:$I,2,0)*K9770</f>
        <v/>
      </c>
      <c r="N9770" s="94">
        <f>M9770-M9770*VLOOKUP($Q9770,매칭테이블!$F:$I,3,0)</f>
        <v/>
      </c>
      <c r="O9770" s="94">
        <f>VLOOKUP($Q9770,매칭테이블!$F:$I,4,0)*K9770</f>
        <v/>
      </c>
      <c r="P9770" s="148">
        <f>M9770/1.1</f>
        <v/>
      </c>
      <c r="Q9770" s="94">
        <f>F9770&amp;E9770&amp;G9770&amp;L9770</f>
        <v/>
      </c>
    </row>
    <row r="9771" customFormat="1" s="94">
      <c r="B9771" s="128" t="n">
        <v>44108</v>
      </c>
      <c r="C9771" s="94">
        <f>TEXT(B9771,"aaa")</f>
        <v/>
      </c>
      <c r="D9771" s="60" t="n"/>
      <c r="E9771" s="60" t="inlineStr">
        <is>
          <t>클렌징폼 기획세트</t>
        </is>
      </c>
      <c r="F9771" s="60" t="inlineStr">
        <is>
          <t>랄라블라</t>
        </is>
      </c>
      <c r="G9771" s="60" t="inlineStr">
        <is>
          <t>클렌징폼 기획세트</t>
        </is>
      </c>
      <c r="H9771" s="60" t="n">
        <v>200801</v>
      </c>
      <c r="I9771" s="60" t="n">
        <v>200801</v>
      </c>
      <c r="J9771" s="60" t="n"/>
      <c r="K9771" s="60" t="n">
        <v>17</v>
      </c>
      <c r="L9771" s="60" t="n">
        <v>200801</v>
      </c>
      <c r="M9771" s="94">
        <f>VLOOKUP($Q9771,매칭테이블!$F:$I,2,0)*K9771</f>
        <v/>
      </c>
      <c r="N9771" s="94">
        <f>M9771-M9771*VLOOKUP($Q9771,매칭테이블!$F:$I,3,0)</f>
        <v/>
      </c>
      <c r="O9771" s="94">
        <f>VLOOKUP($Q9771,매칭테이블!$F:$I,4,0)*K9771</f>
        <v/>
      </c>
      <c r="P9771" s="148">
        <f>M9771/1.1</f>
        <v/>
      </c>
      <c r="Q9771" s="94">
        <f>F9771&amp;E9771&amp;G9771&amp;L9771</f>
        <v/>
      </c>
    </row>
    <row r="9772" customFormat="1" s="94">
      <c r="B9772" s="128" t="n">
        <v>44108</v>
      </c>
      <c r="C9772" s="94">
        <f>TEXT(B9772,"aaa")</f>
        <v/>
      </c>
      <c r="D9772" s="60" t="n"/>
      <c r="E9772" s="60" t="inlineStr">
        <is>
          <t>클렌징폼</t>
        </is>
      </c>
      <c r="F9772" s="60" t="inlineStr">
        <is>
          <t>랄라블라</t>
        </is>
      </c>
      <c r="G9772" s="60" t="inlineStr">
        <is>
          <t>클렌징폼 120ml</t>
        </is>
      </c>
      <c r="H9772" s="60" t="n">
        <v>200801</v>
      </c>
      <c r="I9772" s="60" t="n">
        <v>200801</v>
      </c>
      <c r="J9772" s="60" t="n"/>
      <c r="K9772" s="60" t="n">
        <v>68</v>
      </c>
      <c r="L9772" s="60" t="n">
        <v>200801</v>
      </c>
      <c r="M9772" s="94">
        <f>VLOOKUP($Q9772,매칭테이블!$F:$I,2,0)*K9772</f>
        <v/>
      </c>
      <c r="N9772" s="94">
        <f>M9772-M9772*VLOOKUP($Q9772,매칭테이블!$F:$I,3,0)</f>
        <v/>
      </c>
      <c r="O9772" s="94">
        <f>VLOOKUP($Q9772,매칭테이블!$F:$I,4,0)*K9772</f>
        <v/>
      </c>
      <c r="P9772" s="148">
        <f>M9772/1.1</f>
        <v/>
      </c>
      <c r="Q9772" s="94">
        <f>F9772&amp;E9772&amp;G9772&amp;L9772</f>
        <v/>
      </c>
    </row>
    <row r="9773" customFormat="1" s="94">
      <c r="B9773" s="128" t="n">
        <v>44108</v>
      </c>
      <c r="C9773" s="94">
        <f>TEXT(B9773,"aaa")</f>
        <v/>
      </c>
      <c r="D9773" s="60" t="n"/>
      <c r="E9773" s="60" t="inlineStr">
        <is>
          <t>앰플</t>
        </is>
      </c>
      <c r="F9773" s="60" t="inlineStr">
        <is>
          <t>랄라블라</t>
        </is>
      </c>
      <c r="G9773" s="60" t="inlineStr">
        <is>
          <t>앰플 30ml</t>
        </is>
      </c>
      <c r="H9773" s="60" t="n">
        <v>200801</v>
      </c>
      <c r="I9773" s="60" t="n">
        <v>200801</v>
      </c>
      <c r="J9773" s="60" t="n"/>
      <c r="K9773" s="60" t="n">
        <v>5</v>
      </c>
      <c r="L9773" s="60" t="n">
        <v>200801</v>
      </c>
      <c r="M9773" s="94">
        <f>VLOOKUP($Q9773,매칭테이블!$F:$I,2,0)*K9773</f>
        <v/>
      </c>
      <c r="N9773" s="94">
        <f>M9773-M9773*VLOOKUP($Q9773,매칭테이블!$F:$I,3,0)</f>
        <v/>
      </c>
      <c r="O9773" s="94">
        <f>VLOOKUP($Q9773,매칭테이블!$F:$I,4,0)*K9773</f>
        <v/>
      </c>
      <c r="P9773" s="148">
        <f>M9773/1.1</f>
        <v/>
      </c>
      <c r="Q9773" s="94">
        <f>F9773&amp;E9773&amp;G9773&amp;L9773</f>
        <v/>
      </c>
    </row>
    <row r="9774" customFormat="1" s="94">
      <c r="B9774" s="128" t="n">
        <v>44108</v>
      </c>
      <c r="C9774" s="94">
        <f>TEXT(B9774,"aaa")</f>
        <v/>
      </c>
      <c r="D9774" s="60" t="n"/>
      <c r="E9774" s="60" t="inlineStr">
        <is>
          <t>선크림</t>
        </is>
      </c>
      <c r="F9774" s="60" t="inlineStr">
        <is>
          <t>랄라블라</t>
        </is>
      </c>
      <c r="G9774" s="60" t="inlineStr">
        <is>
          <t>선크림 50ml</t>
        </is>
      </c>
      <c r="H9774" s="60" t="n">
        <v>200801</v>
      </c>
      <c r="I9774" s="60" t="n">
        <v>200801</v>
      </c>
      <c r="J9774" s="60" t="n"/>
      <c r="K9774" s="60" t="n">
        <v>30</v>
      </c>
      <c r="L9774" s="60" t="n">
        <v>200801</v>
      </c>
      <c r="M9774" s="94">
        <f>VLOOKUP($Q9774,매칭테이블!$F:$I,2,0)*K9774</f>
        <v/>
      </c>
      <c r="N9774" s="94">
        <f>M9774-M9774*VLOOKUP($Q9774,매칭테이블!$F:$I,3,0)</f>
        <v/>
      </c>
      <c r="O9774" s="94">
        <f>VLOOKUP($Q9774,매칭테이블!$F:$I,4,0)*K9774</f>
        <v/>
      </c>
      <c r="P9774" s="148">
        <f>M9774/1.1</f>
        <v/>
      </c>
      <c r="Q9774" s="94">
        <f>F9774&amp;E9774&amp;G9774&amp;L9774</f>
        <v/>
      </c>
    </row>
    <row r="9775" customFormat="1" s="94">
      <c r="B9775" s="128" t="n">
        <v>44108</v>
      </c>
      <c r="C9775" s="94">
        <f>TEXT(B9775,"aaa")</f>
        <v/>
      </c>
      <c r="D9775" s="60" t="n"/>
      <c r="E9775" s="60" t="inlineStr">
        <is>
          <t>대용량 기획세트</t>
        </is>
      </c>
      <c r="F9775" s="60" t="inlineStr">
        <is>
          <t>랄라블라</t>
        </is>
      </c>
      <c r="G9775" s="60" t="inlineStr">
        <is>
          <t>대용량 기획세트</t>
        </is>
      </c>
      <c r="H9775" s="60" t="n">
        <v>200801</v>
      </c>
      <c r="I9775" s="60" t="n">
        <v>200801</v>
      </c>
      <c r="J9775" s="60" t="n"/>
      <c r="K9775" s="60" t="n">
        <v>7</v>
      </c>
      <c r="L9775" s="60" t="n">
        <v>200801</v>
      </c>
      <c r="M9775" s="94">
        <f>VLOOKUP($Q9775,매칭테이블!$F:$I,2,0)*K9775</f>
        <v/>
      </c>
      <c r="N9775" s="94">
        <f>M9775-M9775*VLOOKUP($Q9775,매칭테이블!$F:$I,3,0)</f>
        <v/>
      </c>
      <c r="O9775" s="94">
        <f>VLOOKUP($Q9775,매칭테이블!$F:$I,4,0)*K9775</f>
        <v/>
      </c>
      <c r="P9775" s="148">
        <f>M9775/1.1</f>
        <v/>
      </c>
      <c r="Q9775" s="94">
        <f>F9775&amp;E9775&amp;G9775&amp;L9775</f>
        <v/>
      </c>
    </row>
    <row r="9776" customFormat="1" s="94">
      <c r="B9776" s="128" t="n">
        <v>44108</v>
      </c>
      <c r="C9776" s="94">
        <f>TEXT(B9776,"aaa")</f>
        <v/>
      </c>
      <c r="D9776" s="60" t="n"/>
      <c r="E9776" s="60" t="inlineStr">
        <is>
          <t>마스크팩</t>
        </is>
      </c>
      <c r="F9776" s="60" t="inlineStr">
        <is>
          <t>랄라블라</t>
        </is>
      </c>
      <c r="G9776" s="60" t="inlineStr">
        <is>
          <t>마스크 5+1 기획세트</t>
        </is>
      </c>
      <c r="H9776" s="60" t="n">
        <v>200801</v>
      </c>
      <c r="I9776" s="60" t="n">
        <v>200801</v>
      </c>
      <c r="J9776" s="60" t="n"/>
      <c r="K9776" s="60" t="n">
        <v>80</v>
      </c>
      <c r="L9776" s="60" t="n">
        <v>200801</v>
      </c>
      <c r="M9776" s="94">
        <f>VLOOKUP($Q9776,매칭테이블!$F:$I,2,0)*K9776</f>
        <v/>
      </c>
      <c r="N9776" s="94">
        <f>M9776-M9776*VLOOKUP($Q9776,매칭테이블!$F:$I,3,0)</f>
        <v/>
      </c>
      <c r="O9776" s="94">
        <f>VLOOKUP($Q9776,매칭테이블!$F:$I,4,0)*K9776</f>
        <v/>
      </c>
      <c r="P9776" s="148">
        <f>M9776/1.1</f>
        <v/>
      </c>
      <c r="Q9776" s="94">
        <f>F9776&amp;E9776&amp;G9776&amp;L9776</f>
        <v/>
      </c>
    </row>
    <row r="9777" customFormat="1" s="94">
      <c r="B9777" s="128" t="n">
        <v>44108</v>
      </c>
      <c r="C9777" s="94">
        <f>TEXT(B9777,"aaa")</f>
        <v/>
      </c>
      <c r="D9777" s="60" t="n"/>
      <c r="E9777" s="60" t="inlineStr">
        <is>
          <t>바디워시</t>
        </is>
      </c>
      <c r="F9777" s="60" t="inlineStr">
        <is>
          <t>랄라블라</t>
        </is>
      </c>
      <c r="G9777" s="60" t="inlineStr">
        <is>
          <t>아누아 어성초 아크네 바디워시 500ml</t>
        </is>
      </c>
      <c r="H9777" s="60" t="n">
        <v>200801</v>
      </c>
      <c r="I9777" s="60" t="n">
        <v>200801</v>
      </c>
      <c r="J9777" s="60" t="n"/>
      <c r="K9777" s="60" t="n">
        <v>4</v>
      </c>
      <c r="L9777" s="60" t="n">
        <v>200801</v>
      </c>
      <c r="M9777" s="94">
        <f>VLOOKUP($Q9777,매칭테이블!$F:$I,2,0)*K9777</f>
        <v/>
      </c>
      <c r="N9777" s="94">
        <f>M9777-M9777*VLOOKUP($Q9777,매칭테이블!$F:$I,3,0)</f>
        <v/>
      </c>
      <c r="O9777" s="94">
        <f>VLOOKUP($Q9777,매칭테이블!$F:$I,4,0)*K9777</f>
        <v/>
      </c>
      <c r="P9777" s="148">
        <f>M9777/1.1</f>
        <v/>
      </c>
      <c r="Q9777" s="94">
        <f>F9777&amp;E9777&amp;G9777&amp;L9777</f>
        <v/>
      </c>
    </row>
    <row r="9778" customFormat="1" s="94">
      <c r="B9778" s="128" t="n">
        <v>44108</v>
      </c>
      <c r="C9778" s="94">
        <f>TEXT(B9778,"aaa")</f>
        <v/>
      </c>
      <c r="D9778" s="60" t="n"/>
      <c r="E9778" s="60" t="inlineStr">
        <is>
          <t>클리어 패드</t>
        </is>
      </c>
      <c r="F9778" s="60" t="inlineStr">
        <is>
          <t>랄라블라</t>
        </is>
      </c>
      <c r="G9778" s="60" t="inlineStr">
        <is>
          <t>아누아 어성초77 클리어 패드</t>
        </is>
      </c>
      <c r="H9778" s="60" t="n">
        <v>200801</v>
      </c>
      <c r="I9778" s="60" t="n">
        <v>200801</v>
      </c>
      <c r="J9778" s="60" t="n"/>
      <c r="K9778" s="60" t="n">
        <v>105</v>
      </c>
      <c r="L9778" s="60" t="n">
        <v>200801</v>
      </c>
      <c r="M9778" s="94">
        <f>VLOOKUP($Q9778,매칭테이블!$F:$I,2,0)*K9778</f>
        <v/>
      </c>
      <c r="N9778" s="94">
        <f>M9778-M9778*VLOOKUP($Q9778,매칭테이블!$F:$I,3,0)</f>
        <v/>
      </c>
      <c r="O9778" s="94">
        <f>VLOOKUP($Q9778,매칭테이블!$F:$I,4,0)*K9778</f>
        <v/>
      </c>
      <c r="P9778" s="148">
        <f>M9778/1.1</f>
        <v/>
      </c>
      <c r="Q9778" s="94">
        <f>F9778&amp;E9778&amp;G9778&amp;L9778</f>
        <v/>
      </c>
    </row>
    <row r="9779" customFormat="1" s="94">
      <c r="B9779" s="128" t="n">
        <v>44108</v>
      </c>
      <c r="C9779" s="94">
        <f>TEXT(B9779,"aaa")</f>
        <v/>
      </c>
      <c r="D9779" s="60" t="n"/>
      <c r="E9779" s="60" t="inlineStr">
        <is>
          <t>로션</t>
        </is>
      </c>
      <c r="F9779" s="60" t="inlineStr">
        <is>
          <t>랄라블라</t>
        </is>
      </c>
      <c r="G9779" s="60" t="inlineStr">
        <is>
          <t>아누아 어성초70 로션 200ml</t>
        </is>
      </c>
      <c r="H9779" s="60" t="n">
        <v>200801</v>
      </c>
      <c r="I9779" s="60" t="n">
        <v>200801</v>
      </c>
      <c r="J9779" s="60" t="n"/>
      <c r="K9779" s="60" t="n">
        <v>97</v>
      </c>
      <c r="L9779" s="60" t="n">
        <v>200801</v>
      </c>
      <c r="M9779" s="94">
        <f>VLOOKUP($Q9779,매칭테이블!$F:$I,2,0)*K9779</f>
        <v/>
      </c>
      <c r="N9779" s="94">
        <f>M9779-M9779*VLOOKUP($Q9779,매칭테이블!$F:$I,3,0)</f>
        <v/>
      </c>
      <c r="O9779" s="94">
        <f>VLOOKUP($Q9779,매칭테이블!$F:$I,4,0)*K9779</f>
        <v/>
      </c>
      <c r="P9779" s="148">
        <f>M9779/1.1</f>
        <v/>
      </c>
      <c r="Q9779" s="94">
        <f>F9779&amp;E9779&amp;G9779&amp;L9779</f>
        <v/>
      </c>
    </row>
    <row r="9780" customFormat="1" s="94">
      <c r="B9780" s="128" t="n">
        <v>44109</v>
      </c>
      <c r="C9780" s="94">
        <f>TEXT(B9780,"aaa")</f>
        <v/>
      </c>
      <c r="D9780" s="60" t="n"/>
      <c r="E9780" s="60" t="inlineStr">
        <is>
          <t>클렌징폼</t>
        </is>
      </c>
      <c r="F9780" s="60" t="inlineStr">
        <is>
          <t>굿닥</t>
        </is>
      </c>
      <c r="G9780" s="60" t="inlineStr">
        <is>
          <t>클렌징폼 120ml</t>
        </is>
      </c>
      <c r="H9780" s="60" t="n">
        <v>200801</v>
      </c>
      <c r="I9780" s="60" t="n">
        <v>200801</v>
      </c>
      <c r="J9780" s="60" t="n"/>
      <c r="K9780" s="60" t="n">
        <v>2</v>
      </c>
      <c r="L9780" s="60" t="n">
        <v>200801</v>
      </c>
      <c r="M9780" s="94">
        <f>VLOOKUP($Q9780,매칭테이블!$F:$I,2,0)*K9780</f>
        <v/>
      </c>
      <c r="N9780" s="94">
        <f>M9780-M9780*VLOOKUP($Q9780,매칭테이블!$F:$I,3,0)</f>
        <v/>
      </c>
      <c r="O9780" s="94">
        <f>VLOOKUP($Q9780,매칭테이블!$F:$I,4,0)*K9780</f>
        <v/>
      </c>
      <c r="P9780" s="148">
        <f>M9780/1.1</f>
        <v/>
      </c>
      <c r="Q9780" s="94">
        <f>F9780&amp;E9780&amp;G9780&amp;L9780</f>
        <v/>
      </c>
    </row>
    <row r="9781" customFormat="1" s="94">
      <c r="B9781" s="128" t="n">
        <v>44109</v>
      </c>
      <c r="C9781" s="94">
        <f>TEXT(B9781,"aaa")</f>
        <v/>
      </c>
      <c r="D9781" s="60" t="n"/>
      <c r="E9781" s="60" t="inlineStr">
        <is>
          <t>선크림</t>
        </is>
      </c>
      <c r="F9781" s="60" t="inlineStr">
        <is>
          <t>굿닥</t>
        </is>
      </c>
      <c r="G9781" s="60" t="inlineStr">
        <is>
          <t>선크림 50ml</t>
        </is>
      </c>
      <c r="H9781" s="60" t="n">
        <v>200801</v>
      </c>
      <c r="I9781" s="60" t="n">
        <v>200801</v>
      </c>
      <c r="J9781" s="60" t="n"/>
      <c r="K9781" s="60" t="n">
        <v>1</v>
      </c>
      <c r="L9781" s="60" t="n">
        <v>200801</v>
      </c>
      <c r="M9781" s="94">
        <f>VLOOKUP($Q9781,매칭테이블!$F:$I,2,0)*K9781</f>
        <v/>
      </c>
      <c r="N9781" s="94">
        <f>M9781-M9781*VLOOKUP($Q9781,매칭테이블!$F:$I,3,0)</f>
        <v/>
      </c>
      <c r="O9781" s="94">
        <f>VLOOKUP($Q9781,매칭테이블!$F:$I,4,0)*K9781</f>
        <v/>
      </c>
      <c r="P9781" s="148">
        <f>M9781/1.1</f>
        <v/>
      </c>
      <c r="Q9781" s="94">
        <f>F9781&amp;E9781&amp;G9781&amp;L9781</f>
        <v/>
      </c>
    </row>
    <row r="9782" customFormat="1" s="94">
      <c r="B9782" s="128" t="n">
        <v>44109</v>
      </c>
      <c r="C9782" s="94">
        <f>TEXT(B9782,"aaa")</f>
        <v/>
      </c>
      <c r="D9782" s="60" t="n"/>
      <c r="E9782" s="60" t="inlineStr">
        <is>
          <t>토너</t>
        </is>
      </c>
      <c r="F9782" s="60" t="inlineStr">
        <is>
          <t>W컨셉</t>
        </is>
      </c>
      <c r="G9782" s="60" t="inlineStr">
        <is>
          <t>250ml</t>
        </is>
      </c>
      <c r="H9782" s="60" t="n">
        <v>200801</v>
      </c>
      <c r="I9782" s="60" t="n">
        <v>200801</v>
      </c>
      <c r="J9782" s="60" t="n"/>
      <c r="K9782" s="60" t="n">
        <v>5</v>
      </c>
      <c r="L9782" s="60" t="n">
        <v>200801</v>
      </c>
      <c r="M9782" s="94">
        <f>VLOOKUP($Q9782,매칭테이블!$F:$I,2,0)*K9782</f>
        <v/>
      </c>
      <c r="N9782" s="94">
        <f>M9782-M9782*VLOOKUP($Q9782,매칭테이블!$F:$I,3,0)</f>
        <v/>
      </c>
      <c r="O9782" s="94">
        <f>VLOOKUP($Q9782,매칭테이블!$F:$I,4,0)*K9782</f>
        <v/>
      </c>
      <c r="P9782" s="148">
        <f>M9782/1.1</f>
        <v/>
      </c>
      <c r="Q9782" s="94">
        <f>F9782&amp;E9782&amp;G9782&amp;L9782</f>
        <v/>
      </c>
    </row>
    <row r="9783" customFormat="1" s="94">
      <c r="B9783" s="128" t="n">
        <v>44109</v>
      </c>
      <c r="C9783" s="94">
        <f>TEXT(B9783,"aaa")</f>
        <v/>
      </c>
      <c r="D9783" s="60" t="n"/>
      <c r="E9783" s="60" t="inlineStr">
        <is>
          <t>토너</t>
        </is>
      </c>
      <c r="F9783" s="60" t="inlineStr">
        <is>
          <t>W컨셉</t>
        </is>
      </c>
      <c r="G9783" s="60" t="inlineStr">
        <is>
          <t>250ml 2set</t>
        </is>
      </c>
      <c r="H9783" s="60" t="n">
        <v>200801</v>
      </c>
      <c r="I9783" s="60" t="n">
        <v>200801</v>
      </c>
      <c r="J9783" s="60" t="n"/>
      <c r="K9783" s="60" t="n">
        <v>35</v>
      </c>
      <c r="L9783" s="60" t="n">
        <v>200801</v>
      </c>
      <c r="M9783" s="94">
        <f>VLOOKUP($Q9783,매칭테이블!$F:$I,2,0)*K9783</f>
        <v/>
      </c>
      <c r="N9783" s="94">
        <f>M9783-M9783*VLOOKUP($Q9783,매칭테이블!$F:$I,3,0)</f>
        <v/>
      </c>
      <c r="O9783" s="94">
        <f>VLOOKUP($Q9783,매칭테이블!$F:$I,4,0)*K9783</f>
        <v/>
      </c>
      <c r="P9783" s="148">
        <f>M9783/1.1</f>
        <v/>
      </c>
      <c r="Q9783" s="94">
        <f>F9783&amp;E9783&amp;G9783&amp;L9783</f>
        <v/>
      </c>
    </row>
    <row r="9784" customFormat="1" s="94">
      <c r="B9784" s="128" t="n">
        <v>44109</v>
      </c>
      <c r="C9784" s="94">
        <f>TEXT(B9784,"aaa")</f>
        <v/>
      </c>
      <c r="D9784" s="60" t="n"/>
      <c r="E9784" s="60" t="inlineStr">
        <is>
          <t>토너</t>
        </is>
      </c>
      <c r="F9784" s="60" t="inlineStr">
        <is>
          <t>스타일쉐어</t>
        </is>
      </c>
      <c r="G9784" s="60" t="inlineStr">
        <is>
          <t>250ml</t>
        </is>
      </c>
      <c r="H9784" s="60" t="n">
        <v>200801</v>
      </c>
      <c r="I9784" s="60" t="n">
        <v>200801</v>
      </c>
      <c r="J9784" s="60" t="n"/>
      <c r="K9784" s="60" t="n">
        <v>12</v>
      </c>
      <c r="L9784" s="60" t="n">
        <v>200801</v>
      </c>
      <c r="M9784" s="94">
        <f>VLOOKUP($Q9784,매칭테이블!$F:$I,2,0)*K9784</f>
        <v/>
      </c>
      <c r="N9784" s="94">
        <f>M9784-M9784*VLOOKUP($Q9784,매칭테이블!$F:$I,3,0)</f>
        <v/>
      </c>
      <c r="O9784" s="94">
        <f>VLOOKUP($Q9784,매칭테이블!$F:$I,4,0)*K9784</f>
        <v/>
      </c>
      <c r="P9784" s="148">
        <f>M9784/1.1</f>
        <v/>
      </c>
      <c r="Q9784" s="94">
        <f>F9784&amp;E9784&amp;G9784&amp;L9784</f>
        <v/>
      </c>
    </row>
    <row r="9785" customFormat="1" s="94">
      <c r="B9785" s="128" t="n">
        <v>44109</v>
      </c>
      <c r="C9785" s="94">
        <f>TEXT(B9785,"aaa")</f>
        <v/>
      </c>
      <c r="D9785" s="60" t="n"/>
      <c r="E9785" s="60" t="inlineStr">
        <is>
          <t>선크림</t>
        </is>
      </c>
      <c r="F9785" s="60" t="inlineStr">
        <is>
          <t>카페24</t>
        </is>
      </c>
      <c r="G9785" s="60" t="inlineStr">
        <is>
          <t>선크림 50ml</t>
        </is>
      </c>
      <c r="H9785" s="60" t="n">
        <v>200801</v>
      </c>
      <c r="I9785" s="60" t="n">
        <v>200801</v>
      </c>
      <c r="J9785" s="60" t="n"/>
      <c r="K9785" s="60" t="n">
        <v>8</v>
      </c>
      <c r="L9785" s="60" t="n">
        <v>200801</v>
      </c>
      <c r="M9785" s="94">
        <f>VLOOKUP($Q9785,매칭테이블!$F:$I,2,0)*K9785</f>
        <v/>
      </c>
      <c r="N9785" s="94">
        <f>M9785-M9785*VLOOKUP($Q9785,매칭테이블!$F:$I,3,0)</f>
        <v/>
      </c>
      <c r="O9785" s="94">
        <f>VLOOKUP($Q9785,매칭테이블!$F:$I,4,0)*K9785</f>
        <v/>
      </c>
      <c r="P9785" s="148">
        <f>M9785/1.1</f>
        <v/>
      </c>
      <c r="Q9785" s="94">
        <f>F9785&amp;E9785&amp;G9785&amp;L9785</f>
        <v/>
      </c>
    </row>
    <row r="9786" customFormat="1" s="94">
      <c r="B9786" s="128" t="n">
        <v>44109</v>
      </c>
      <c r="C9786" s="94">
        <f>TEXT(B9786,"aaa")</f>
        <v/>
      </c>
      <c r="D9786" s="60" t="n"/>
      <c r="E9786" s="60" t="inlineStr">
        <is>
          <t>어성초진정패키지</t>
        </is>
      </c>
      <c r="F9786" s="60" t="inlineStr">
        <is>
          <t>카페24</t>
        </is>
      </c>
      <c r="G9786" s="60" t="inlineStr">
        <is>
          <t>어성초 진정패키지세트</t>
        </is>
      </c>
      <c r="H9786" s="60" t="n">
        <v>200801</v>
      </c>
      <c r="I9786" s="60" t="n">
        <v>200801</v>
      </c>
      <c r="J9786" s="60" t="n"/>
      <c r="K9786" s="60" t="n">
        <v>7</v>
      </c>
      <c r="L9786" s="60" t="n">
        <v>200801</v>
      </c>
      <c r="M9786" s="94">
        <f>VLOOKUP($Q9786,매칭테이블!$F:$I,2,0)*K9786</f>
        <v/>
      </c>
      <c r="N9786" s="94">
        <f>M9786-M9786*VLOOKUP($Q9786,매칭테이블!$F:$I,3,0)</f>
        <v/>
      </c>
      <c r="O9786" s="94">
        <f>VLOOKUP($Q9786,매칭테이블!$F:$I,4,0)*K9786</f>
        <v/>
      </c>
      <c r="P9786" s="148">
        <f>M9786/1.1</f>
        <v/>
      </c>
      <c r="Q9786" s="94">
        <f>F9786&amp;E9786&amp;G9786&amp;L9786</f>
        <v/>
      </c>
    </row>
    <row r="9787" customFormat="1" s="94">
      <c r="B9787" s="128" t="n">
        <v>44109</v>
      </c>
      <c r="C9787" s="94">
        <f>TEXT(B9787,"aaa")</f>
        <v/>
      </c>
      <c r="D9787" s="60" t="n"/>
      <c r="E9787" s="60" t="inlineStr">
        <is>
          <t>클리어 패드</t>
        </is>
      </c>
      <c r="F9787" s="60" t="inlineStr">
        <is>
          <t>카페24</t>
        </is>
      </c>
      <c r="G9787" s="60" t="inlineStr">
        <is>
          <t>어성초 77 클리어 패드 1개-20% off</t>
        </is>
      </c>
      <c r="H9787" s="60" t="n">
        <v>200801</v>
      </c>
      <c r="I9787" s="60" t="n">
        <v>200801</v>
      </c>
      <c r="J9787" s="60" t="n"/>
      <c r="K9787" s="60" t="n">
        <v>49</v>
      </c>
      <c r="L9787" s="60" t="n">
        <v>200801</v>
      </c>
      <c r="M9787" s="94">
        <f>VLOOKUP($Q9787,매칭테이블!$F:$I,2,0)*K9787</f>
        <v/>
      </c>
      <c r="N9787" s="94">
        <f>M9787-M9787*VLOOKUP($Q9787,매칭테이블!$F:$I,3,0)</f>
        <v/>
      </c>
      <c r="O9787" s="94">
        <f>VLOOKUP($Q9787,매칭테이블!$F:$I,4,0)*K9787</f>
        <v/>
      </c>
      <c r="P9787" s="148">
        <f>M9787/1.1</f>
        <v/>
      </c>
      <c r="Q9787" s="94">
        <f>F9787&amp;E9787&amp;G9787&amp;L9787</f>
        <v/>
      </c>
    </row>
    <row r="9788" customFormat="1" s="94">
      <c r="B9788" s="128" t="n">
        <v>44109</v>
      </c>
      <c r="C9788" s="94">
        <f>TEXT(B9788,"aaa")</f>
        <v/>
      </c>
      <c r="D9788" s="60" t="n"/>
      <c r="E9788" s="60" t="inlineStr">
        <is>
          <t>클리어 패드</t>
        </is>
      </c>
      <c r="F9788" s="60" t="inlineStr">
        <is>
          <t>카페24</t>
        </is>
      </c>
      <c r="G9788" s="60" t="inlineStr">
        <is>
          <t>어성초 77 클리어 패드 2개-30% off</t>
        </is>
      </c>
      <c r="H9788" s="60" t="n">
        <v>200801</v>
      </c>
      <c r="I9788" s="60" t="n">
        <v>200801</v>
      </c>
      <c r="J9788" s="60" t="n"/>
      <c r="K9788" s="60" t="n">
        <v>34</v>
      </c>
      <c r="L9788" s="60" t="n">
        <v>200801</v>
      </c>
      <c r="M9788" s="94">
        <f>VLOOKUP($Q9788,매칭테이블!$F:$I,2,0)*K9788</f>
        <v/>
      </c>
      <c r="N9788" s="94">
        <f>M9788-M9788*VLOOKUP($Q9788,매칭테이블!$F:$I,3,0)</f>
        <v/>
      </c>
      <c r="O9788" s="94">
        <f>VLOOKUP($Q9788,매칭테이블!$F:$I,4,0)*K9788</f>
        <v/>
      </c>
      <c r="P9788" s="148">
        <f>M9788/1.1</f>
        <v/>
      </c>
      <c r="Q9788" s="94">
        <f>F9788&amp;E9788&amp;G9788&amp;L9788</f>
        <v/>
      </c>
    </row>
    <row r="9789" customFormat="1" s="94">
      <c r="B9789" s="128" t="n">
        <v>44109</v>
      </c>
      <c r="C9789" s="94">
        <f>TEXT(B9789,"aaa")</f>
        <v/>
      </c>
      <c r="D9789" s="60" t="n"/>
      <c r="E9789" s="60" t="inlineStr">
        <is>
          <t>토너+패드 세트</t>
        </is>
      </c>
      <c r="F9789" s="60" t="inlineStr">
        <is>
          <t>카페24</t>
        </is>
      </c>
      <c r="G9789" s="60" t="inlineStr">
        <is>
          <t>좁쌀 진정 세트 토너+클리어 패드-30% off</t>
        </is>
      </c>
      <c r="H9789" s="60" t="n">
        <v>200801</v>
      </c>
      <c r="I9789" s="60" t="n">
        <v>200801</v>
      </c>
      <c r="J9789" s="60" t="n"/>
      <c r="K9789" s="60" t="n">
        <v>41</v>
      </c>
      <c r="L9789" s="60" t="n">
        <v>200801</v>
      </c>
      <c r="M9789" s="94">
        <f>VLOOKUP($Q9789,매칭테이블!$F:$I,2,0)*K9789</f>
        <v/>
      </c>
      <c r="N9789" s="94">
        <f>M9789-M9789*VLOOKUP($Q9789,매칭테이블!$F:$I,3,0)</f>
        <v/>
      </c>
      <c r="O9789" s="94">
        <f>VLOOKUP($Q9789,매칭테이블!$F:$I,4,0)*K9789</f>
        <v/>
      </c>
      <c r="P9789" s="148">
        <f>M9789/1.1</f>
        <v/>
      </c>
      <c r="Q9789" s="94">
        <f>F9789&amp;E9789&amp;G9789&amp;L9789</f>
        <v/>
      </c>
    </row>
    <row r="9790" customFormat="1" s="94">
      <c r="B9790" s="128" t="n">
        <v>44109</v>
      </c>
      <c r="C9790" s="94">
        <f>TEXT(B9790,"aaa")</f>
        <v/>
      </c>
      <c r="D9790" s="60" t="n"/>
      <c r="E9790" s="60" t="inlineStr">
        <is>
          <t>수분 보충 세트</t>
        </is>
      </c>
      <c r="F9790" s="60" t="inlineStr">
        <is>
          <t>카페24</t>
        </is>
      </c>
      <c r="G9790" s="60" t="inlineStr">
        <is>
          <t>[20/09/28 부터] 어성초 77 토너 250ml + 어성초 70 로션 200ml -30%</t>
        </is>
      </c>
      <c r="H9790" s="60" t="n">
        <v>200801</v>
      </c>
      <c r="I9790" s="60" t="n">
        <v>200801</v>
      </c>
      <c r="J9790" s="60" t="n"/>
      <c r="K9790" s="60" t="n">
        <v>53</v>
      </c>
      <c r="L9790" s="60" t="n">
        <v>200801</v>
      </c>
      <c r="M9790" s="94">
        <f>VLOOKUP($Q9790,매칭테이블!$F:$I,2,0)*K9790</f>
        <v/>
      </c>
      <c r="N9790" s="94">
        <f>M9790-M9790*VLOOKUP($Q9790,매칭테이블!$F:$I,3,0)</f>
        <v/>
      </c>
      <c r="O9790" s="94">
        <f>VLOOKUP($Q9790,매칭테이블!$F:$I,4,0)*K9790</f>
        <v/>
      </c>
      <c r="P9790" s="148">
        <f>M9790/1.1</f>
        <v/>
      </c>
      <c r="Q9790" s="94">
        <f>F9790&amp;E9790&amp;G9790&amp;L9790</f>
        <v/>
      </c>
    </row>
    <row r="9791" customFormat="1" s="94">
      <c r="B9791" s="128" t="n">
        <v>44109</v>
      </c>
      <c r="C9791" s="94">
        <f>TEXT(B9791,"aaa")</f>
        <v/>
      </c>
      <c r="D9791" s="60" t="n"/>
      <c r="E9791" s="60" t="inlineStr">
        <is>
          <t>로션</t>
        </is>
      </c>
      <c r="F9791" s="60" t="inlineStr">
        <is>
          <t>카페24</t>
        </is>
      </c>
      <c r="G9791" s="60" t="inlineStr">
        <is>
          <t>어성초 70 데일리 릴리프 로션 1개 -20% off</t>
        </is>
      </c>
      <c r="H9791" s="60" t="n">
        <v>200801</v>
      </c>
      <c r="I9791" s="60" t="n">
        <v>200801</v>
      </c>
      <c r="J9791" s="60" t="n"/>
      <c r="K9791" s="60" t="n">
        <v>13</v>
      </c>
      <c r="L9791" s="60" t="n">
        <v>200801</v>
      </c>
      <c r="M9791" s="94">
        <f>VLOOKUP($Q9791,매칭테이블!$F:$I,2,0)*K9791</f>
        <v/>
      </c>
      <c r="N9791" s="94">
        <f>M9791-M9791*VLOOKUP($Q9791,매칭테이블!$F:$I,3,0)</f>
        <v/>
      </c>
      <c r="O9791" s="94">
        <f>VLOOKUP($Q9791,매칭테이블!$F:$I,4,0)*K9791</f>
        <v/>
      </c>
      <c r="P9791" s="148">
        <f>M9791/1.1</f>
        <v/>
      </c>
      <c r="Q9791" s="94">
        <f>F9791&amp;E9791&amp;G9791&amp;L9791</f>
        <v/>
      </c>
    </row>
    <row r="9792" customFormat="1" s="94">
      <c r="B9792" s="128" t="n">
        <v>44109</v>
      </c>
      <c r="C9792" s="94">
        <f>TEXT(B9792,"aaa")</f>
        <v/>
      </c>
      <c r="D9792" s="60" t="n"/>
      <c r="E9792" s="60" t="inlineStr">
        <is>
          <t>로션</t>
        </is>
      </c>
      <c r="F9792" s="60" t="inlineStr">
        <is>
          <t>카페24</t>
        </is>
      </c>
      <c r="G9792" s="60" t="inlineStr">
        <is>
          <t>어성초 70 데일리 릴리프 로션 2개 -30% off</t>
        </is>
      </c>
      <c r="H9792" s="60" t="n">
        <v>200801</v>
      </c>
      <c r="I9792" s="60" t="n">
        <v>200801</v>
      </c>
      <c r="J9792" s="60" t="n"/>
      <c r="K9792" s="60" t="n">
        <v>1</v>
      </c>
      <c r="L9792" s="60" t="n">
        <v>200801</v>
      </c>
      <c r="M9792" s="94">
        <f>VLOOKUP($Q9792,매칭테이블!$F:$I,2,0)*K9792</f>
        <v/>
      </c>
      <c r="N9792" s="94">
        <f>M9792-M9792*VLOOKUP($Q9792,매칭테이블!$F:$I,3,0)</f>
        <v/>
      </c>
      <c r="O9792" s="94">
        <f>VLOOKUP($Q9792,매칭테이블!$F:$I,4,0)*K9792</f>
        <v/>
      </c>
      <c r="P9792" s="148">
        <f>M9792/1.1</f>
        <v/>
      </c>
      <c r="Q9792" s="94">
        <f>F9792&amp;E9792&amp;G9792&amp;L9792</f>
        <v/>
      </c>
    </row>
    <row r="9793" customFormat="1" s="94">
      <c r="B9793" s="128" t="n">
        <v>44109</v>
      </c>
      <c r="C9793" s="94">
        <f>TEXT(B9793,"aaa")</f>
        <v/>
      </c>
      <c r="D9793" s="60" t="n"/>
      <c r="E9793" s="60" t="inlineStr">
        <is>
          <t>머드크림마스크</t>
        </is>
      </c>
      <c r="F9793" s="60" t="inlineStr">
        <is>
          <t>카페24</t>
        </is>
      </c>
      <c r="G9793" s="60" t="inlineStr">
        <is>
          <t>머드크림마스크 100ml</t>
        </is>
      </c>
      <c r="H9793" s="60" t="n">
        <v>200801</v>
      </c>
      <c r="I9793" s="60" t="n">
        <v>200801</v>
      </c>
      <c r="J9793" s="60" t="n"/>
      <c r="K9793" s="60" t="n">
        <v>5</v>
      </c>
      <c r="L9793" s="60" t="n">
        <v>200801</v>
      </c>
      <c r="M9793" s="94">
        <f>VLOOKUP($Q9793,매칭테이블!$F:$I,2,0)*K9793</f>
        <v/>
      </c>
      <c r="N9793" s="94">
        <f>M9793-M9793*VLOOKUP($Q9793,매칭테이블!$F:$I,3,0)</f>
        <v/>
      </c>
      <c r="O9793" s="94">
        <f>VLOOKUP($Q9793,매칭테이블!$F:$I,4,0)*K9793</f>
        <v/>
      </c>
      <c r="P9793" s="148">
        <f>M9793/1.1</f>
        <v/>
      </c>
      <c r="Q9793" s="94">
        <f>F9793&amp;E9793&amp;G9793&amp;L9793</f>
        <v/>
      </c>
    </row>
    <row r="9794" customFormat="1" s="94">
      <c r="B9794" s="128" t="n">
        <v>44109</v>
      </c>
      <c r="C9794" s="94">
        <f>TEXT(B9794,"aaa")</f>
        <v/>
      </c>
      <c r="D9794" s="60" t="n"/>
      <c r="E9794" s="60" t="inlineStr">
        <is>
          <t>머드크림마스크</t>
        </is>
      </c>
      <c r="F9794" s="60" t="inlineStr">
        <is>
          <t>카페24</t>
        </is>
      </c>
      <c r="G9794" s="60" t="inlineStr">
        <is>
          <t>머드크림마스크 100ml 2set</t>
        </is>
      </c>
      <c r="H9794" s="60" t="n">
        <v>200801</v>
      </c>
      <c r="I9794" s="60" t="n">
        <v>200801</v>
      </c>
      <c r="J9794" s="60" t="n"/>
      <c r="K9794" s="60" t="n">
        <v>1</v>
      </c>
      <c r="L9794" s="60" t="n">
        <v>200801</v>
      </c>
      <c r="M9794" s="94">
        <f>VLOOKUP($Q9794,매칭테이블!$F:$I,2,0)*K9794</f>
        <v/>
      </c>
      <c r="N9794" s="94">
        <f>M9794-M9794*VLOOKUP($Q9794,매칭테이블!$F:$I,3,0)</f>
        <v/>
      </c>
      <c r="O9794" s="94">
        <f>VLOOKUP($Q9794,매칭테이블!$F:$I,4,0)*K9794</f>
        <v/>
      </c>
      <c r="P9794" s="148">
        <f>M9794/1.1</f>
        <v/>
      </c>
      <c r="Q9794" s="94">
        <f>F9794&amp;E9794&amp;G9794&amp;L9794</f>
        <v/>
      </c>
    </row>
    <row r="9795" customFormat="1" s="94">
      <c r="B9795" s="128" t="n">
        <v>44109</v>
      </c>
      <c r="C9795" s="94">
        <f>TEXT(B9795,"aaa")</f>
        <v/>
      </c>
      <c r="D9795" s="60" t="n"/>
      <c r="E9795" s="60" t="inlineStr">
        <is>
          <t>마스크팩</t>
        </is>
      </c>
      <c r="F9795" s="60" t="inlineStr">
        <is>
          <t>카페24</t>
        </is>
      </c>
      <c r="G9795" s="60" t="inlineStr">
        <is>
          <t>마스크팩 1매</t>
        </is>
      </c>
      <c r="H9795" s="60" t="n">
        <v>200801</v>
      </c>
      <c r="I9795" s="60" t="n">
        <v>200801</v>
      </c>
      <c r="J9795" s="60" t="n"/>
      <c r="K9795" s="60" t="n">
        <v>2</v>
      </c>
      <c r="L9795" s="60" t="n">
        <v>200801</v>
      </c>
      <c r="M9795" s="94">
        <f>VLOOKUP($Q9795,매칭테이블!$F:$I,2,0)*K9795</f>
        <v/>
      </c>
      <c r="N9795" s="94">
        <f>M9795-M9795*VLOOKUP($Q9795,매칭테이블!$F:$I,3,0)</f>
        <v/>
      </c>
      <c r="O9795" s="94">
        <f>VLOOKUP($Q9795,매칭테이블!$F:$I,4,0)*K9795</f>
        <v/>
      </c>
      <c r="P9795" s="148">
        <f>M9795/1.1</f>
        <v/>
      </c>
      <c r="Q9795" s="94">
        <f>F9795&amp;E9795&amp;G9795&amp;L9795</f>
        <v/>
      </c>
    </row>
    <row r="9796" customFormat="1" s="94">
      <c r="B9796" s="128" t="n">
        <v>44109</v>
      </c>
      <c r="C9796" s="94">
        <f>TEXT(B9796,"aaa")</f>
        <v/>
      </c>
      <c r="D9796" s="60" t="n"/>
      <c r="E9796" s="60" t="inlineStr">
        <is>
          <t>마스크팩</t>
        </is>
      </c>
      <c r="F9796" s="60" t="inlineStr">
        <is>
          <t>카페24</t>
        </is>
      </c>
      <c r="G9796" s="60" t="inlineStr">
        <is>
          <t>마스크팩 10매</t>
        </is>
      </c>
      <c r="H9796" s="60" t="n">
        <v>200801</v>
      </c>
      <c r="I9796" s="60" t="n">
        <v>200801</v>
      </c>
      <c r="J9796" s="60" t="n"/>
      <c r="K9796" s="60" t="n">
        <v>7</v>
      </c>
      <c r="L9796" s="60" t="n">
        <v>200801</v>
      </c>
      <c r="M9796" s="94">
        <f>VLOOKUP($Q9796,매칭테이블!$F:$I,2,0)*K9796</f>
        <v/>
      </c>
      <c r="N9796" s="94">
        <f>M9796-M9796*VLOOKUP($Q9796,매칭테이블!$F:$I,3,0)</f>
        <v/>
      </c>
      <c r="O9796" s="94">
        <f>VLOOKUP($Q9796,매칭테이블!$F:$I,4,0)*K9796</f>
        <v/>
      </c>
      <c r="P9796" s="148">
        <f>M9796/1.1</f>
        <v/>
      </c>
      <c r="Q9796" s="94">
        <f>F9796&amp;E9796&amp;G9796&amp;L9796</f>
        <v/>
      </c>
    </row>
    <row r="9797" customFormat="1" s="94">
      <c r="B9797" s="128" t="n">
        <v>44109</v>
      </c>
      <c r="C9797" s="94">
        <f>TEXT(B9797,"aaa")</f>
        <v/>
      </c>
      <c r="D9797" s="60" t="n"/>
      <c r="E9797" s="60" t="inlineStr">
        <is>
          <t>토너</t>
        </is>
      </c>
      <c r="F9797" s="60" t="inlineStr">
        <is>
          <t>카페24</t>
        </is>
      </c>
      <c r="G9797" s="60" t="inlineStr">
        <is>
          <t>250ml</t>
        </is>
      </c>
      <c r="H9797" s="60" t="n">
        <v>200801</v>
      </c>
      <c r="I9797" s="60" t="n">
        <v>200801</v>
      </c>
      <c r="J9797" s="60" t="n"/>
      <c r="K9797" s="60" t="n">
        <v>55</v>
      </c>
      <c r="L9797" s="60" t="n">
        <v>200801</v>
      </c>
      <c r="M9797" s="94">
        <f>VLOOKUP($Q9797,매칭테이블!$F:$I,2,0)*K9797</f>
        <v/>
      </c>
      <c r="N9797" s="94">
        <f>M9797-M9797*VLOOKUP($Q9797,매칭테이블!$F:$I,3,0)</f>
        <v/>
      </c>
      <c r="O9797" s="94">
        <f>VLOOKUP($Q9797,매칭테이블!$F:$I,4,0)*K9797</f>
        <v/>
      </c>
      <c r="P9797" s="148">
        <f>M9797/1.1</f>
        <v/>
      </c>
      <c r="Q9797" s="94">
        <f>F9797&amp;E9797&amp;G9797&amp;L9797</f>
        <v/>
      </c>
    </row>
    <row r="9798" customFormat="1" s="94">
      <c r="B9798" s="128" t="n">
        <v>44109</v>
      </c>
      <c r="C9798" s="94">
        <f>TEXT(B9798,"aaa")</f>
        <v/>
      </c>
      <c r="D9798" s="60" t="n"/>
      <c r="E9798" s="60" t="inlineStr">
        <is>
          <t>토너</t>
        </is>
      </c>
      <c r="F9798" s="60" t="inlineStr">
        <is>
          <t>카페24</t>
        </is>
      </c>
      <c r="G9798" s="60" t="inlineStr">
        <is>
          <t>250ml 2set</t>
        </is>
      </c>
      <c r="H9798" s="60" t="n">
        <v>200801</v>
      </c>
      <c r="I9798" s="60" t="n">
        <v>200801</v>
      </c>
      <c r="J9798" s="60" t="n"/>
      <c r="K9798" s="60" t="n">
        <v>63</v>
      </c>
      <c r="L9798" s="60" t="n">
        <v>200801</v>
      </c>
      <c r="M9798" s="94">
        <f>VLOOKUP($Q9798,매칭테이블!$F:$I,2,0)*K9798</f>
        <v/>
      </c>
      <c r="N9798" s="94">
        <f>M9798-M9798*VLOOKUP($Q9798,매칭테이블!$F:$I,3,0)</f>
        <v/>
      </c>
      <c r="O9798" s="94">
        <f>VLOOKUP($Q9798,매칭테이블!$F:$I,4,0)*K9798</f>
        <v/>
      </c>
      <c r="P9798" s="148">
        <f>M9798/1.1</f>
        <v/>
      </c>
      <c r="Q9798" s="94">
        <f>F9798&amp;E9798&amp;G9798&amp;L9798</f>
        <v/>
      </c>
    </row>
    <row r="9799" customFormat="1" s="94">
      <c r="B9799" s="128" t="n">
        <v>44109</v>
      </c>
      <c r="C9799" s="94">
        <f>TEXT(B9799,"aaa")</f>
        <v/>
      </c>
      <c r="D9799" s="60" t="n"/>
      <c r="E9799" s="60" t="inlineStr">
        <is>
          <t>토너</t>
        </is>
      </c>
      <c r="F9799" s="60" t="inlineStr">
        <is>
          <t>카페24</t>
        </is>
      </c>
      <c r="G9799" s="60" t="inlineStr">
        <is>
          <t>500ml</t>
        </is>
      </c>
      <c r="H9799" s="60" t="n">
        <v>200801</v>
      </c>
      <c r="I9799" s="60" t="n">
        <v>200801</v>
      </c>
      <c r="J9799" s="60" t="n"/>
      <c r="K9799" s="60" t="n">
        <v>80</v>
      </c>
      <c r="L9799" s="60" t="n">
        <v>200801</v>
      </c>
      <c r="M9799" s="94">
        <f>VLOOKUP($Q9799,매칭테이블!$F:$I,2,0)*K9799</f>
        <v/>
      </c>
      <c r="N9799" s="94">
        <f>M9799-M9799*VLOOKUP($Q9799,매칭테이블!$F:$I,3,0)</f>
        <v/>
      </c>
      <c r="O9799" s="94">
        <f>VLOOKUP($Q9799,매칭테이블!$F:$I,4,0)*K9799</f>
        <v/>
      </c>
      <c r="P9799" s="148">
        <f>M9799/1.1</f>
        <v/>
      </c>
      <c r="Q9799" s="94">
        <f>F9799&amp;E9799&amp;G9799&amp;L9799</f>
        <v/>
      </c>
    </row>
    <row r="9800" customFormat="1" s="94">
      <c r="B9800" s="128" t="n">
        <v>44109</v>
      </c>
      <c r="C9800" s="94">
        <f>TEXT(B9800,"aaa")</f>
        <v/>
      </c>
      <c r="D9800" s="60" t="n"/>
      <c r="E9800" s="60" t="inlineStr">
        <is>
          <t>토너</t>
        </is>
      </c>
      <c r="F9800" s="60" t="inlineStr">
        <is>
          <t>카페24</t>
        </is>
      </c>
      <c r="G9800" s="60" t="inlineStr">
        <is>
          <t>스킨팩 화장솜 60P</t>
        </is>
      </c>
      <c r="H9800" s="60" t="n">
        <v>200801</v>
      </c>
      <c r="I9800" s="60" t="n">
        <v>200801</v>
      </c>
      <c r="J9800" s="60" t="n"/>
      <c r="K9800" s="60" t="n">
        <v>48</v>
      </c>
      <c r="L9800" s="60" t="n">
        <v>200801</v>
      </c>
      <c r="M9800" s="94">
        <f>VLOOKUP($Q9800,매칭테이블!$F:$I,2,0)*K9800</f>
        <v/>
      </c>
      <c r="N9800" s="94">
        <f>M9800-M9800*VLOOKUP($Q9800,매칭테이블!$F:$I,3,0)</f>
        <v/>
      </c>
      <c r="O9800" s="94">
        <f>VLOOKUP($Q9800,매칭테이블!$F:$I,4,0)*K9800</f>
        <v/>
      </c>
      <c r="P9800" s="148">
        <f>M9800/1.1</f>
        <v/>
      </c>
      <c r="Q9800" s="94">
        <f>F9800&amp;E9800&amp;G9800&amp;L9800</f>
        <v/>
      </c>
    </row>
    <row r="9801" customFormat="1" s="94">
      <c r="B9801" s="128" t="n">
        <v>44109</v>
      </c>
      <c r="C9801" s="94">
        <f>TEXT(B9801,"aaa")</f>
        <v/>
      </c>
      <c r="D9801" s="60" t="n"/>
      <c r="E9801" s="60" t="inlineStr">
        <is>
          <t>앰플</t>
        </is>
      </c>
      <c r="F9801" s="60" t="inlineStr">
        <is>
          <t>카페24</t>
        </is>
      </c>
      <c r="G9801" s="60" t="inlineStr">
        <is>
          <t>앰플 30ml</t>
        </is>
      </c>
      <c r="H9801" s="60" t="n">
        <v>200801</v>
      </c>
      <c r="I9801" s="60" t="n">
        <v>200801</v>
      </c>
      <c r="J9801" s="60" t="n"/>
      <c r="K9801" s="60" t="n">
        <v>33</v>
      </c>
      <c r="L9801" s="60" t="n">
        <v>200801</v>
      </c>
      <c r="M9801" s="94">
        <f>VLOOKUP($Q9801,매칭테이블!$F:$I,2,0)*K9801</f>
        <v/>
      </c>
      <c r="N9801" s="94">
        <f>M9801-M9801*VLOOKUP($Q9801,매칭테이블!$F:$I,3,0)</f>
        <v/>
      </c>
      <c r="O9801" s="94">
        <f>VLOOKUP($Q9801,매칭테이블!$F:$I,4,0)*K9801</f>
        <v/>
      </c>
      <c r="P9801" s="148">
        <f>M9801/1.1</f>
        <v/>
      </c>
      <c r="Q9801" s="94">
        <f>F9801&amp;E9801&amp;G9801&amp;L9801</f>
        <v/>
      </c>
    </row>
    <row r="9802" customFormat="1" s="94">
      <c r="B9802" s="128" t="n">
        <v>44109</v>
      </c>
      <c r="C9802" s="94">
        <f>TEXT(B9802,"aaa")</f>
        <v/>
      </c>
      <c r="D9802" s="60" t="n"/>
      <c r="E9802" s="60" t="inlineStr">
        <is>
          <t>앰플</t>
        </is>
      </c>
      <c r="F9802" s="60" t="inlineStr">
        <is>
          <t>카페24</t>
        </is>
      </c>
      <c r="G9802" s="60" t="inlineStr">
        <is>
          <t>앰플 30ml  2set</t>
        </is>
      </c>
      <c r="H9802" s="60" t="n">
        <v>200801</v>
      </c>
      <c r="I9802" s="60" t="n">
        <v>200801</v>
      </c>
      <c r="J9802" s="60" t="n"/>
      <c r="K9802" s="60" t="n">
        <v>9</v>
      </c>
      <c r="L9802" s="60" t="n">
        <v>200801</v>
      </c>
      <c r="M9802" s="94">
        <f>VLOOKUP($Q9802,매칭테이블!$F:$I,2,0)*K9802</f>
        <v/>
      </c>
      <c r="N9802" s="94">
        <f>M9802-M9802*VLOOKUP($Q9802,매칭테이블!$F:$I,3,0)</f>
        <v/>
      </c>
      <c r="O9802" s="94">
        <f>VLOOKUP($Q9802,매칭테이블!$F:$I,4,0)*K9802</f>
        <v/>
      </c>
      <c r="P9802" s="148">
        <f>M9802/1.1</f>
        <v/>
      </c>
      <c r="Q9802" s="94">
        <f>F9802&amp;E9802&amp;G9802&amp;L9802</f>
        <v/>
      </c>
    </row>
    <row r="9803" customFormat="1" s="94">
      <c r="B9803" s="128" t="n">
        <v>44109</v>
      </c>
      <c r="C9803" s="94">
        <f>TEXT(B9803,"aaa")</f>
        <v/>
      </c>
      <c r="D9803" s="60" t="n"/>
      <c r="E9803" s="60" t="inlineStr">
        <is>
          <t>수딩크림</t>
        </is>
      </c>
      <c r="F9803" s="60" t="inlineStr">
        <is>
          <t>카페24</t>
        </is>
      </c>
      <c r="G9803" s="60" t="inlineStr">
        <is>
          <t>수딩크림 100ml</t>
        </is>
      </c>
      <c r="H9803" s="60" t="n">
        <v>200801</v>
      </c>
      <c r="I9803" s="60" t="n">
        <v>200801</v>
      </c>
      <c r="J9803" s="60" t="n"/>
      <c r="K9803" s="60" t="n">
        <v>7</v>
      </c>
      <c r="L9803" s="60" t="n">
        <v>200801</v>
      </c>
      <c r="M9803" s="94">
        <f>VLOOKUP($Q9803,매칭테이블!$F:$I,2,0)*K9803</f>
        <v/>
      </c>
      <c r="N9803" s="94">
        <f>M9803-M9803*VLOOKUP($Q9803,매칭테이블!$F:$I,3,0)</f>
        <v/>
      </c>
      <c r="O9803" s="94">
        <f>VLOOKUP($Q9803,매칭테이블!$F:$I,4,0)*K9803</f>
        <v/>
      </c>
      <c r="P9803" s="148">
        <f>M9803/1.1</f>
        <v/>
      </c>
      <c r="Q9803" s="94">
        <f>F9803&amp;E9803&amp;G9803&amp;L9803</f>
        <v/>
      </c>
    </row>
    <row r="9804" customFormat="1" s="94">
      <c r="B9804" s="128" t="n">
        <v>44109</v>
      </c>
      <c r="C9804" s="94">
        <f>TEXT(B9804,"aaa")</f>
        <v/>
      </c>
      <c r="D9804" s="60" t="n"/>
      <c r="E9804" s="60" t="inlineStr">
        <is>
          <t>클렌징폼</t>
        </is>
      </c>
      <c r="F9804" s="60" t="inlineStr">
        <is>
          <t>카페24</t>
        </is>
      </c>
      <c r="G9804" s="60" t="inlineStr">
        <is>
          <t>클렌징폼 120ml</t>
        </is>
      </c>
      <c r="H9804" s="60" t="n">
        <v>200801</v>
      </c>
      <c r="I9804" s="60" t="n">
        <v>200801</v>
      </c>
      <c r="J9804" s="60" t="n"/>
      <c r="K9804" s="60" t="n">
        <v>14</v>
      </c>
      <c r="L9804" s="60" t="n">
        <v>200801</v>
      </c>
      <c r="M9804" s="94">
        <f>VLOOKUP($Q9804,매칭테이블!$F:$I,2,0)*K9804</f>
        <v/>
      </c>
      <c r="N9804" s="94">
        <f>M9804-M9804*VLOOKUP($Q9804,매칭테이블!$F:$I,3,0)</f>
        <v/>
      </c>
      <c r="O9804" s="94">
        <f>VLOOKUP($Q9804,매칭테이블!$F:$I,4,0)*K9804</f>
        <v/>
      </c>
      <c r="P9804" s="148">
        <f>M9804/1.1</f>
        <v/>
      </c>
      <c r="Q9804" s="94">
        <f>F9804&amp;E9804&amp;G9804&amp;L9804</f>
        <v/>
      </c>
    </row>
    <row r="9805" customFormat="1" s="94">
      <c r="B9805" s="128" t="n">
        <v>44109</v>
      </c>
      <c r="C9805" s="94">
        <f>TEXT(B9805,"aaa")</f>
        <v/>
      </c>
      <c r="D9805" s="60" t="n"/>
      <c r="E9805" s="60" t="inlineStr">
        <is>
          <t>클렌징폼</t>
        </is>
      </c>
      <c r="F9805" s="60" t="inlineStr">
        <is>
          <t>카페24</t>
        </is>
      </c>
      <c r="G9805" s="60" t="inlineStr">
        <is>
          <t>클렌징폼 120ml 2set</t>
        </is>
      </c>
      <c r="H9805" s="60" t="n">
        <v>200801</v>
      </c>
      <c r="I9805" s="60" t="n">
        <v>200801</v>
      </c>
      <c r="J9805" s="60" t="n"/>
      <c r="K9805" s="60" t="n">
        <v>3</v>
      </c>
      <c r="L9805" s="60" t="n">
        <v>200801</v>
      </c>
      <c r="M9805" s="94">
        <f>VLOOKUP($Q9805,매칭테이블!$F:$I,2,0)*K9805</f>
        <v/>
      </c>
      <c r="N9805" s="94">
        <f>M9805-M9805*VLOOKUP($Q9805,매칭테이블!$F:$I,3,0)</f>
        <v/>
      </c>
      <c r="O9805" s="94">
        <f>VLOOKUP($Q9805,매칭테이블!$F:$I,4,0)*K9805</f>
        <v/>
      </c>
      <c r="P9805" s="148">
        <f>M9805/1.1</f>
        <v/>
      </c>
      <c r="Q9805" s="94">
        <f>F9805&amp;E9805&amp;G9805&amp;L9805</f>
        <v/>
      </c>
    </row>
    <row r="9806" customFormat="1" s="94">
      <c r="B9806" s="128" t="n">
        <v>44109</v>
      </c>
      <c r="C9806" s="94">
        <f>TEXT(B9806,"aaa")</f>
        <v/>
      </c>
      <c r="D9806" s="60" t="n"/>
      <c r="E9806" s="60" t="inlineStr">
        <is>
          <t>토너</t>
        </is>
      </c>
      <c r="F9806" s="60" t="inlineStr">
        <is>
          <t>화해</t>
        </is>
      </c>
      <c r="G9806" s="60" t="inlineStr">
        <is>
          <t>250ml</t>
        </is>
      </c>
      <c r="H9806" s="60" t="n">
        <v>200801</v>
      </c>
      <c r="I9806" s="60" t="n">
        <v>200801</v>
      </c>
      <c r="J9806" s="60" t="n"/>
      <c r="K9806" s="60" t="n">
        <v>5</v>
      </c>
      <c r="L9806" s="60" t="n">
        <v>200801</v>
      </c>
      <c r="M9806" s="94">
        <f>VLOOKUP($Q9806,매칭테이블!$F:$I,2,0)*K9806</f>
        <v/>
      </c>
      <c r="N9806" s="94">
        <f>M9806-M9806*VLOOKUP($Q9806,매칭테이블!$F:$I,3,0)</f>
        <v/>
      </c>
      <c r="O9806" s="94">
        <f>VLOOKUP($Q9806,매칭테이블!$F:$I,4,0)*K9806</f>
        <v/>
      </c>
      <c r="P9806" s="148">
        <f>M9806/1.1</f>
        <v/>
      </c>
      <c r="Q9806" s="94">
        <f>F9806&amp;E9806&amp;G9806&amp;L9806</f>
        <v/>
      </c>
    </row>
    <row r="9807" customFormat="1" s="94">
      <c r="B9807" s="128" t="n">
        <v>44110</v>
      </c>
      <c r="C9807" s="94">
        <f>TEXT(B9807,"aaa")</f>
        <v/>
      </c>
      <c r="D9807" s="60" t="n"/>
      <c r="E9807" s="60" t="inlineStr">
        <is>
          <t>토너</t>
        </is>
      </c>
      <c r="F9807" s="60" t="inlineStr">
        <is>
          <t>W컨셉</t>
        </is>
      </c>
      <c r="G9807" s="60" t="inlineStr">
        <is>
          <t>250ml</t>
        </is>
      </c>
      <c r="H9807" s="60" t="n">
        <v>200801</v>
      </c>
      <c r="I9807" s="60" t="n">
        <v>200801</v>
      </c>
      <c r="J9807" s="60" t="n"/>
      <c r="K9807" s="60" t="n">
        <v>2</v>
      </c>
      <c r="L9807" s="60" t="n">
        <v>200801</v>
      </c>
      <c r="M9807" s="94">
        <f>VLOOKUP($Q9807,매칭테이블!$F:$I,2,0)*K9807</f>
        <v/>
      </c>
      <c r="N9807" s="94">
        <f>M9807-M9807*VLOOKUP($Q9807,매칭테이블!$F:$I,3,0)</f>
        <v/>
      </c>
      <c r="O9807" s="94">
        <f>VLOOKUP($Q9807,매칭테이블!$F:$I,4,0)*K9807</f>
        <v/>
      </c>
      <c r="P9807" s="148">
        <f>M9807/1.1</f>
        <v/>
      </c>
      <c r="Q9807" s="94">
        <f>F9807&amp;E9807&amp;G9807&amp;L9807</f>
        <v/>
      </c>
    </row>
    <row r="9808" customFormat="1" s="94">
      <c r="B9808" s="128" t="n">
        <v>44110</v>
      </c>
      <c r="C9808" s="94">
        <f>TEXT(B9808,"aaa")</f>
        <v/>
      </c>
      <c r="D9808" s="60" t="n"/>
      <c r="E9808" s="60" t="inlineStr">
        <is>
          <t>토너</t>
        </is>
      </c>
      <c r="F9808" s="60" t="inlineStr">
        <is>
          <t>W컨셉</t>
        </is>
      </c>
      <c r="G9808" s="60" t="inlineStr">
        <is>
          <t>250ml 2set</t>
        </is>
      </c>
      <c r="H9808" s="60" t="n">
        <v>200801</v>
      </c>
      <c r="I9808" s="60" t="n">
        <v>200801</v>
      </c>
      <c r="J9808" s="60" t="n"/>
      <c r="K9808" s="60" t="n">
        <v>8</v>
      </c>
      <c r="L9808" s="60" t="n">
        <v>200801</v>
      </c>
      <c r="M9808" s="94">
        <f>VLOOKUP($Q9808,매칭테이블!$F:$I,2,0)*K9808</f>
        <v/>
      </c>
      <c r="N9808" s="94">
        <f>M9808-M9808*VLOOKUP($Q9808,매칭테이블!$F:$I,3,0)</f>
        <v/>
      </c>
      <c r="O9808" s="94">
        <f>VLOOKUP($Q9808,매칭테이블!$F:$I,4,0)*K9808</f>
        <v/>
      </c>
      <c r="P9808" s="148">
        <f>M9808/1.1</f>
        <v/>
      </c>
      <c r="Q9808" s="94">
        <f>F9808&amp;E9808&amp;G9808&amp;L9808</f>
        <v/>
      </c>
    </row>
    <row r="9809" customFormat="1" s="94">
      <c r="B9809" s="128" t="n">
        <v>44110</v>
      </c>
      <c r="C9809" s="94">
        <f>TEXT(B9809,"aaa")</f>
        <v/>
      </c>
      <c r="D9809" s="60" t="n"/>
      <c r="E9809" s="60" t="inlineStr">
        <is>
          <t>토너</t>
        </is>
      </c>
      <c r="F9809" s="60" t="inlineStr">
        <is>
          <t>스타일쉐어</t>
        </is>
      </c>
      <c r="G9809" s="60" t="inlineStr">
        <is>
          <t>250ml</t>
        </is>
      </c>
      <c r="H9809" s="60" t="n">
        <v>200801</v>
      </c>
      <c r="I9809" s="60" t="n">
        <v>200801</v>
      </c>
      <c r="J9809" s="60" t="n"/>
      <c r="K9809" s="60" t="n">
        <v>2</v>
      </c>
      <c r="L9809" s="60" t="n">
        <v>200801</v>
      </c>
      <c r="M9809" s="94">
        <f>VLOOKUP($Q9809,매칭테이블!$F:$I,2,0)*K9809</f>
        <v/>
      </c>
      <c r="N9809" s="94">
        <f>M9809-M9809*VLOOKUP($Q9809,매칭테이블!$F:$I,3,0)</f>
        <v/>
      </c>
      <c r="O9809" s="94">
        <f>VLOOKUP($Q9809,매칭테이블!$F:$I,4,0)*K9809</f>
        <v/>
      </c>
      <c r="P9809" s="148">
        <f>M9809/1.1</f>
        <v/>
      </c>
      <c r="Q9809" s="94">
        <f>F9809&amp;E9809&amp;G9809&amp;L9809</f>
        <v/>
      </c>
    </row>
    <row r="9810" customFormat="1" s="94">
      <c r="B9810" s="128" t="n">
        <v>44110</v>
      </c>
      <c r="C9810" s="94">
        <f>TEXT(B9810,"aaa")</f>
        <v/>
      </c>
      <c r="D9810" s="60" t="n"/>
      <c r="E9810" s="60" t="inlineStr">
        <is>
          <t>선크림</t>
        </is>
      </c>
      <c r="F9810" s="60" t="inlineStr">
        <is>
          <t>카페24</t>
        </is>
      </c>
      <c r="G9810" s="60" t="inlineStr">
        <is>
          <t>선크림 50ml</t>
        </is>
      </c>
      <c r="H9810" s="60" t="n">
        <v>200801</v>
      </c>
      <c r="I9810" s="60" t="n">
        <v>200801</v>
      </c>
      <c r="J9810" s="60" t="n"/>
      <c r="K9810" s="60" t="n">
        <v>4</v>
      </c>
      <c r="L9810" s="60" t="n">
        <v>200801</v>
      </c>
      <c r="M9810" s="94">
        <f>VLOOKUP($Q9810,매칭테이블!$F:$I,2,0)*K9810</f>
        <v/>
      </c>
      <c r="N9810" s="94">
        <f>M9810-M9810*VLOOKUP($Q9810,매칭테이블!$F:$I,3,0)</f>
        <v/>
      </c>
      <c r="O9810" s="94">
        <f>VLOOKUP($Q9810,매칭테이블!$F:$I,4,0)*K9810</f>
        <v/>
      </c>
      <c r="P9810" s="148">
        <f>M9810/1.1</f>
        <v/>
      </c>
      <c r="Q9810" s="94">
        <f>F9810&amp;E9810&amp;G9810&amp;L9810</f>
        <v/>
      </c>
    </row>
    <row r="9811" customFormat="1" s="94">
      <c r="B9811" s="128" t="n">
        <v>44110</v>
      </c>
      <c r="C9811" s="94">
        <f>TEXT(B9811,"aaa")</f>
        <v/>
      </c>
      <c r="D9811" s="60" t="n"/>
      <c r="E9811" s="60" t="inlineStr">
        <is>
          <t>어성초진정패키지</t>
        </is>
      </c>
      <c r="F9811" s="60" t="inlineStr">
        <is>
          <t>카페24</t>
        </is>
      </c>
      <c r="G9811" s="60" t="inlineStr">
        <is>
          <t>어성초 진정패키지세트</t>
        </is>
      </c>
      <c r="H9811" s="60" t="n">
        <v>200801</v>
      </c>
      <c r="I9811" s="60" t="n">
        <v>200801</v>
      </c>
      <c r="J9811" s="60" t="n"/>
      <c r="K9811" s="60" t="n">
        <v>3</v>
      </c>
      <c r="L9811" s="60" t="n">
        <v>200801</v>
      </c>
      <c r="M9811" s="94">
        <f>VLOOKUP($Q9811,매칭테이블!$F:$I,2,0)*K9811</f>
        <v/>
      </c>
      <c r="N9811" s="94">
        <f>M9811-M9811*VLOOKUP($Q9811,매칭테이블!$F:$I,3,0)</f>
        <v/>
      </c>
      <c r="O9811" s="94">
        <f>VLOOKUP($Q9811,매칭테이블!$F:$I,4,0)*K9811</f>
        <v/>
      </c>
      <c r="P9811" s="148">
        <f>M9811/1.1</f>
        <v/>
      </c>
      <c r="Q9811" s="94">
        <f>F9811&amp;E9811&amp;G9811&amp;L9811</f>
        <v/>
      </c>
    </row>
    <row r="9812" customFormat="1" s="94">
      <c r="B9812" s="128" t="n">
        <v>44110</v>
      </c>
      <c r="C9812" s="94">
        <f>TEXT(B9812,"aaa")</f>
        <v/>
      </c>
      <c r="D9812" s="60" t="n"/>
      <c r="E9812" s="60" t="inlineStr">
        <is>
          <t>클리어 패드</t>
        </is>
      </c>
      <c r="F9812" s="60" t="inlineStr">
        <is>
          <t>카페24</t>
        </is>
      </c>
      <c r="G9812" s="60" t="inlineStr">
        <is>
          <t>어성초 77 클리어 패드 1개-20% off</t>
        </is>
      </c>
      <c r="H9812" s="60" t="n">
        <v>200801</v>
      </c>
      <c r="I9812" s="60" t="n">
        <v>200801</v>
      </c>
      <c r="J9812" s="60" t="n"/>
      <c r="K9812" s="60" t="n">
        <v>28</v>
      </c>
      <c r="L9812" s="60" t="n">
        <v>200801</v>
      </c>
      <c r="M9812" s="94">
        <f>VLOOKUP($Q9812,매칭테이블!$F:$I,2,0)*K9812</f>
        <v/>
      </c>
      <c r="N9812" s="94">
        <f>M9812-M9812*VLOOKUP($Q9812,매칭테이블!$F:$I,3,0)</f>
        <v/>
      </c>
      <c r="O9812" s="94">
        <f>VLOOKUP($Q9812,매칭테이블!$F:$I,4,0)*K9812</f>
        <v/>
      </c>
      <c r="P9812" s="148">
        <f>M9812/1.1</f>
        <v/>
      </c>
      <c r="Q9812" s="94">
        <f>F9812&amp;E9812&amp;G9812&amp;L9812</f>
        <v/>
      </c>
    </row>
    <row r="9813" customFormat="1" s="94">
      <c r="B9813" s="128" t="n">
        <v>44110</v>
      </c>
      <c r="C9813" s="94">
        <f>TEXT(B9813,"aaa")</f>
        <v/>
      </c>
      <c r="D9813" s="60" t="n"/>
      <c r="E9813" s="60" t="inlineStr">
        <is>
          <t>클리어 패드</t>
        </is>
      </c>
      <c r="F9813" s="60" t="inlineStr">
        <is>
          <t>카페24</t>
        </is>
      </c>
      <c r="G9813" s="60" t="inlineStr">
        <is>
          <t>어성초 77 클리어 패드 2개-30% off</t>
        </is>
      </c>
      <c r="H9813" s="60" t="n">
        <v>200801</v>
      </c>
      <c r="I9813" s="60" t="n">
        <v>200801</v>
      </c>
      <c r="J9813" s="60" t="n"/>
      <c r="K9813" s="60" t="n">
        <v>37</v>
      </c>
      <c r="L9813" s="60" t="n">
        <v>200801</v>
      </c>
      <c r="M9813" s="94">
        <f>VLOOKUP($Q9813,매칭테이블!$F:$I,2,0)*K9813</f>
        <v/>
      </c>
      <c r="N9813" s="94">
        <f>M9813-M9813*VLOOKUP($Q9813,매칭테이블!$F:$I,3,0)</f>
        <v/>
      </c>
      <c r="O9813" s="94">
        <f>VLOOKUP($Q9813,매칭테이블!$F:$I,4,0)*K9813</f>
        <v/>
      </c>
      <c r="P9813" s="148">
        <f>M9813/1.1</f>
        <v/>
      </c>
      <c r="Q9813" s="94">
        <f>F9813&amp;E9813&amp;G9813&amp;L9813</f>
        <v/>
      </c>
    </row>
    <row r="9814" customFormat="1" s="94">
      <c r="B9814" s="128" t="n">
        <v>44110</v>
      </c>
      <c r="C9814" s="94">
        <f>TEXT(B9814,"aaa")</f>
        <v/>
      </c>
      <c r="D9814" s="60" t="n"/>
      <c r="E9814" s="60" t="inlineStr">
        <is>
          <t>토너+패드 세트</t>
        </is>
      </c>
      <c r="F9814" s="60" t="inlineStr">
        <is>
          <t>카페24</t>
        </is>
      </c>
      <c r="G9814" s="60" t="inlineStr">
        <is>
          <t>좁쌀 진정 세트 토너+클리어 패드-30% off</t>
        </is>
      </c>
      <c r="H9814" s="60" t="n">
        <v>200801</v>
      </c>
      <c r="I9814" s="60" t="n">
        <v>200801</v>
      </c>
      <c r="J9814" s="60" t="n"/>
      <c r="K9814" s="60" t="n">
        <v>36</v>
      </c>
      <c r="L9814" s="60" t="n">
        <v>200801</v>
      </c>
      <c r="M9814" s="94">
        <f>VLOOKUP($Q9814,매칭테이블!$F:$I,2,0)*K9814</f>
        <v/>
      </c>
      <c r="N9814" s="94">
        <f>M9814-M9814*VLOOKUP($Q9814,매칭테이블!$F:$I,3,0)</f>
        <v/>
      </c>
      <c r="O9814" s="94">
        <f>VLOOKUP($Q9814,매칭테이블!$F:$I,4,0)*K9814</f>
        <v/>
      </c>
      <c r="P9814" s="148">
        <f>M9814/1.1</f>
        <v/>
      </c>
      <c r="Q9814" s="94">
        <f>F9814&amp;E9814&amp;G9814&amp;L9814</f>
        <v/>
      </c>
    </row>
    <row r="9815" customFormat="1" s="94">
      <c r="B9815" s="128" t="n">
        <v>44110</v>
      </c>
      <c r="C9815" s="94">
        <f>TEXT(B9815,"aaa")</f>
        <v/>
      </c>
      <c r="D9815" s="60" t="n"/>
      <c r="E9815" s="60" t="inlineStr">
        <is>
          <t>수분 보충 세트</t>
        </is>
      </c>
      <c r="F9815" s="60" t="inlineStr">
        <is>
          <t>카페24</t>
        </is>
      </c>
      <c r="G9815" s="60" t="inlineStr">
        <is>
          <t>[20/09/28 부터] 어성초 77 토너 250ml + 어성초 70 로션 200ml -30%</t>
        </is>
      </c>
      <c r="H9815" s="60" t="n">
        <v>200801</v>
      </c>
      <c r="I9815" s="60" t="n">
        <v>200801</v>
      </c>
      <c r="J9815" s="60" t="n"/>
      <c r="K9815" s="60" t="n">
        <v>53</v>
      </c>
      <c r="L9815" s="60" t="n">
        <v>200801</v>
      </c>
      <c r="M9815" s="94">
        <f>VLOOKUP($Q9815,매칭테이블!$F:$I,2,0)*K9815</f>
        <v/>
      </c>
      <c r="N9815" s="94">
        <f>M9815-M9815*VLOOKUP($Q9815,매칭테이블!$F:$I,3,0)</f>
        <v/>
      </c>
      <c r="O9815" s="94">
        <f>VLOOKUP($Q9815,매칭테이블!$F:$I,4,0)*K9815</f>
        <v/>
      </c>
      <c r="P9815" s="148">
        <f>M9815/1.1</f>
        <v/>
      </c>
      <c r="Q9815" s="94">
        <f>F9815&amp;E9815&amp;G9815&amp;L9815</f>
        <v/>
      </c>
    </row>
    <row r="9816" customFormat="1" s="94">
      <c r="B9816" s="128" t="n">
        <v>44110</v>
      </c>
      <c r="C9816" s="94">
        <f>TEXT(B9816,"aaa")</f>
        <v/>
      </c>
      <c r="D9816" s="60" t="n"/>
      <c r="E9816" s="60" t="inlineStr">
        <is>
          <t>로션</t>
        </is>
      </c>
      <c r="F9816" s="60" t="inlineStr">
        <is>
          <t>카페24</t>
        </is>
      </c>
      <c r="G9816" s="60" t="inlineStr">
        <is>
          <t>어성초 70 데일리 릴리프 로션 1개 -20% off</t>
        </is>
      </c>
      <c r="H9816" s="60" t="n">
        <v>200801</v>
      </c>
      <c r="I9816" s="60" t="n">
        <v>200801</v>
      </c>
      <c r="J9816" s="60" t="n"/>
      <c r="K9816" s="60" t="n">
        <v>7</v>
      </c>
      <c r="L9816" s="60" t="n">
        <v>200801</v>
      </c>
      <c r="M9816" s="94">
        <f>VLOOKUP($Q9816,매칭테이블!$F:$I,2,0)*K9816</f>
        <v/>
      </c>
      <c r="N9816" s="94">
        <f>M9816-M9816*VLOOKUP($Q9816,매칭테이블!$F:$I,3,0)</f>
        <v/>
      </c>
      <c r="O9816" s="94">
        <f>VLOOKUP($Q9816,매칭테이블!$F:$I,4,0)*K9816</f>
        <v/>
      </c>
      <c r="P9816" s="148">
        <f>M9816/1.1</f>
        <v/>
      </c>
      <c r="Q9816" s="94">
        <f>F9816&amp;E9816&amp;G9816&amp;L9816</f>
        <v/>
      </c>
    </row>
    <row r="9817" customFormat="1" s="94">
      <c r="B9817" s="128" t="n">
        <v>44110</v>
      </c>
      <c r="C9817" s="94">
        <f>TEXT(B9817,"aaa")</f>
        <v/>
      </c>
      <c r="D9817" s="60" t="n"/>
      <c r="E9817" s="60" t="inlineStr">
        <is>
          <t>로션</t>
        </is>
      </c>
      <c r="F9817" s="60" t="inlineStr">
        <is>
          <t>카페24</t>
        </is>
      </c>
      <c r="G9817" s="60" t="inlineStr">
        <is>
          <t>어성초 70 데일리 릴리프 로션 2개 -30% off</t>
        </is>
      </c>
      <c r="H9817" s="60" t="n">
        <v>200801</v>
      </c>
      <c r="I9817" s="60" t="n">
        <v>200801</v>
      </c>
      <c r="J9817" s="60" t="n"/>
      <c r="K9817" s="60" t="n">
        <v>1</v>
      </c>
      <c r="L9817" s="60" t="n">
        <v>200801</v>
      </c>
      <c r="M9817" s="94">
        <f>VLOOKUP($Q9817,매칭테이블!$F:$I,2,0)*K9817</f>
        <v/>
      </c>
      <c r="N9817" s="94">
        <f>M9817-M9817*VLOOKUP($Q9817,매칭테이블!$F:$I,3,0)</f>
        <v/>
      </c>
      <c r="O9817" s="94">
        <f>VLOOKUP($Q9817,매칭테이블!$F:$I,4,0)*K9817</f>
        <v/>
      </c>
      <c r="P9817" s="148">
        <f>M9817/1.1</f>
        <v/>
      </c>
      <c r="Q9817" s="94">
        <f>F9817&amp;E9817&amp;G9817&amp;L9817</f>
        <v/>
      </c>
    </row>
    <row r="9818" customFormat="1" s="94">
      <c r="B9818" s="128" t="n">
        <v>44110</v>
      </c>
      <c r="C9818" s="94">
        <f>TEXT(B9818,"aaa")</f>
        <v/>
      </c>
      <c r="D9818" s="60" t="n"/>
      <c r="E9818" s="60" t="inlineStr">
        <is>
          <t>머드크림마스크</t>
        </is>
      </c>
      <c r="F9818" s="60" t="inlineStr">
        <is>
          <t>카페24</t>
        </is>
      </c>
      <c r="G9818" s="60" t="inlineStr">
        <is>
          <t>머드크림마스크 100ml</t>
        </is>
      </c>
      <c r="H9818" s="60" t="n">
        <v>200801</v>
      </c>
      <c r="I9818" s="60" t="n">
        <v>200801</v>
      </c>
      <c r="J9818" s="60" t="n"/>
      <c r="K9818" s="60" t="n">
        <v>3</v>
      </c>
      <c r="L9818" s="60" t="n">
        <v>200801</v>
      </c>
      <c r="M9818" s="94">
        <f>VLOOKUP($Q9818,매칭테이블!$F:$I,2,0)*K9818</f>
        <v/>
      </c>
      <c r="N9818" s="94">
        <f>M9818-M9818*VLOOKUP($Q9818,매칭테이블!$F:$I,3,0)</f>
        <v/>
      </c>
      <c r="O9818" s="94">
        <f>VLOOKUP($Q9818,매칭테이블!$F:$I,4,0)*K9818</f>
        <v/>
      </c>
      <c r="P9818" s="148">
        <f>M9818/1.1</f>
        <v/>
      </c>
      <c r="Q9818" s="94">
        <f>F9818&amp;E9818&amp;G9818&amp;L9818</f>
        <v/>
      </c>
    </row>
    <row r="9819" customFormat="1" s="94">
      <c r="B9819" s="128" t="n">
        <v>44110</v>
      </c>
      <c r="C9819" s="94">
        <f>TEXT(B9819,"aaa")</f>
        <v/>
      </c>
      <c r="D9819" s="60" t="n"/>
      <c r="E9819" s="60" t="inlineStr">
        <is>
          <t>머드크림마스크</t>
        </is>
      </c>
      <c r="F9819" s="60" t="inlineStr">
        <is>
          <t>카페24</t>
        </is>
      </c>
      <c r="G9819" s="60" t="inlineStr">
        <is>
          <t>머드크림마스크 100ml 2set</t>
        </is>
      </c>
      <c r="H9819" s="60" t="n">
        <v>200801</v>
      </c>
      <c r="I9819" s="60" t="n">
        <v>200801</v>
      </c>
      <c r="J9819" s="60" t="n"/>
      <c r="K9819" s="60" t="n">
        <v>4</v>
      </c>
      <c r="L9819" s="60" t="n">
        <v>200801</v>
      </c>
      <c r="M9819" s="94">
        <f>VLOOKUP($Q9819,매칭테이블!$F:$I,2,0)*K9819</f>
        <v/>
      </c>
      <c r="N9819" s="94">
        <f>M9819-M9819*VLOOKUP($Q9819,매칭테이블!$F:$I,3,0)</f>
        <v/>
      </c>
      <c r="O9819" s="94">
        <f>VLOOKUP($Q9819,매칭테이블!$F:$I,4,0)*K9819</f>
        <v/>
      </c>
      <c r="P9819" s="148">
        <f>M9819/1.1</f>
        <v/>
      </c>
      <c r="Q9819" s="94">
        <f>F9819&amp;E9819&amp;G9819&amp;L9819</f>
        <v/>
      </c>
    </row>
    <row r="9820" customFormat="1" s="94">
      <c r="B9820" s="128" t="n">
        <v>44110</v>
      </c>
      <c r="C9820" s="94">
        <f>TEXT(B9820,"aaa")</f>
        <v/>
      </c>
      <c r="D9820" s="60" t="n"/>
      <c r="E9820" s="60" t="inlineStr">
        <is>
          <t>마스크팩</t>
        </is>
      </c>
      <c r="F9820" s="60" t="inlineStr">
        <is>
          <t>카페24</t>
        </is>
      </c>
      <c r="G9820" s="60" t="inlineStr">
        <is>
          <t>마스크팩 1매</t>
        </is>
      </c>
      <c r="H9820" s="60" t="n">
        <v>200801</v>
      </c>
      <c r="I9820" s="60" t="n">
        <v>200801</v>
      </c>
      <c r="J9820" s="60" t="n"/>
      <c r="K9820" s="60" t="n">
        <v>5</v>
      </c>
      <c r="L9820" s="60" t="n">
        <v>200801</v>
      </c>
      <c r="M9820" s="94">
        <f>VLOOKUP($Q9820,매칭테이블!$F:$I,2,0)*K9820</f>
        <v/>
      </c>
      <c r="N9820" s="94">
        <f>M9820-M9820*VLOOKUP($Q9820,매칭테이블!$F:$I,3,0)</f>
        <v/>
      </c>
      <c r="O9820" s="94">
        <f>VLOOKUP($Q9820,매칭테이블!$F:$I,4,0)*K9820</f>
        <v/>
      </c>
      <c r="P9820" s="148">
        <f>M9820/1.1</f>
        <v/>
      </c>
      <c r="Q9820" s="94">
        <f>F9820&amp;E9820&amp;G9820&amp;L9820</f>
        <v/>
      </c>
    </row>
    <row r="9821" customFormat="1" s="94">
      <c r="B9821" s="128" t="n">
        <v>44110</v>
      </c>
      <c r="C9821" s="94">
        <f>TEXT(B9821,"aaa")</f>
        <v/>
      </c>
      <c r="D9821" s="60" t="n"/>
      <c r="E9821" s="60" t="inlineStr">
        <is>
          <t>마스크팩</t>
        </is>
      </c>
      <c r="F9821" s="60" t="inlineStr">
        <is>
          <t>카페24</t>
        </is>
      </c>
      <c r="G9821" s="60" t="inlineStr">
        <is>
          <t>마스크팩 10매</t>
        </is>
      </c>
      <c r="H9821" s="60" t="n">
        <v>200801</v>
      </c>
      <c r="I9821" s="60" t="n">
        <v>200801</v>
      </c>
      <c r="J9821" s="60" t="n"/>
      <c r="K9821" s="60" t="n">
        <v>4</v>
      </c>
      <c r="L9821" s="60" t="n">
        <v>200801</v>
      </c>
      <c r="M9821" s="94">
        <f>VLOOKUP($Q9821,매칭테이블!$F:$I,2,0)*K9821</f>
        <v/>
      </c>
      <c r="N9821" s="94">
        <f>M9821-M9821*VLOOKUP($Q9821,매칭테이블!$F:$I,3,0)</f>
        <v/>
      </c>
      <c r="O9821" s="94">
        <f>VLOOKUP($Q9821,매칭테이블!$F:$I,4,0)*K9821</f>
        <v/>
      </c>
      <c r="P9821" s="148">
        <f>M9821/1.1</f>
        <v/>
      </c>
      <c r="Q9821" s="94">
        <f>F9821&amp;E9821&amp;G9821&amp;L9821</f>
        <v/>
      </c>
    </row>
    <row r="9822" customFormat="1" s="94">
      <c r="B9822" s="128" t="n">
        <v>44110</v>
      </c>
      <c r="C9822" s="94">
        <f>TEXT(B9822,"aaa")</f>
        <v/>
      </c>
      <c r="D9822" s="60" t="n"/>
      <c r="E9822" s="60" t="inlineStr">
        <is>
          <t>토너</t>
        </is>
      </c>
      <c r="F9822" s="60" t="inlineStr">
        <is>
          <t>카페24</t>
        </is>
      </c>
      <c r="G9822" s="60" t="inlineStr">
        <is>
          <t>250ml</t>
        </is>
      </c>
      <c r="H9822" s="60" t="n">
        <v>200801</v>
      </c>
      <c r="I9822" s="60" t="n">
        <v>200801</v>
      </c>
      <c r="J9822" s="60" t="n"/>
      <c r="K9822" s="60" t="n">
        <v>71</v>
      </c>
      <c r="L9822" s="60" t="n">
        <v>200801</v>
      </c>
      <c r="M9822" s="94">
        <f>VLOOKUP($Q9822,매칭테이블!$F:$I,2,0)*K9822</f>
        <v/>
      </c>
      <c r="N9822" s="94">
        <f>M9822-M9822*VLOOKUP($Q9822,매칭테이블!$F:$I,3,0)</f>
        <v/>
      </c>
      <c r="O9822" s="94">
        <f>VLOOKUP($Q9822,매칭테이블!$F:$I,4,0)*K9822</f>
        <v/>
      </c>
      <c r="P9822" s="148">
        <f>M9822/1.1</f>
        <v/>
      </c>
      <c r="Q9822" s="94">
        <f>F9822&amp;E9822&amp;G9822&amp;L9822</f>
        <v/>
      </c>
    </row>
    <row r="9823" customFormat="1" s="94">
      <c r="B9823" s="128" t="n">
        <v>44110</v>
      </c>
      <c r="C9823" s="94">
        <f>TEXT(B9823,"aaa")</f>
        <v/>
      </c>
      <c r="D9823" s="60" t="n"/>
      <c r="E9823" s="60" t="inlineStr">
        <is>
          <t>토너</t>
        </is>
      </c>
      <c r="F9823" s="60" t="inlineStr">
        <is>
          <t>카페24</t>
        </is>
      </c>
      <c r="G9823" s="60" t="inlineStr">
        <is>
          <t>250ml 2set</t>
        </is>
      </c>
      <c r="H9823" s="60" t="n">
        <v>200801</v>
      </c>
      <c r="I9823" s="60" t="n">
        <v>200801</v>
      </c>
      <c r="J9823" s="60" t="n"/>
      <c r="K9823" s="60" t="n">
        <v>62</v>
      </c>
      <c r="L9823" s="60" t="n">
        <v>200801</v>
      </c>
      <c r="M9823" s="94">
        <f>VLOOKUP($Q9823,매칭테이블!$F:$I,2,0)*K9823</f>
        <v/>
      </c>
      <c r="N9823" s="94">
        <f>M9823-M9823*VLOOKUP($Q9823,매칭테이블!$F:$I,3,0)</f>
        <v/>
      </c>
      <c r="O9823" s="94">
        <f>VLOOKUP($Q9823,매칭테이블!$F:$I,4,0)*K9823</f>
        <v/>
      </c>
      <c r="P9823" s="148">
        <f>M9823/1.1</f>
        <v/>
      </c>
      <c r="Q9823" s="94">
        <f>F9823&amp;E9823&amp;G9823&amp;L9823</f>
        <v/>
      </c>
    </row>
    <row r="9824" customFormat="1" s="94">
      <c r="B9824" s="128" t="n">
        <v>44110</v>
      </c>
      <c r="C9824" s="94">
        <f>TEXT(B9824,"aaa")</f>
        <v/>
      </c>
      <c r="D9824" s="60" t="n"/>
      <c r="E9824" s="60" t="inlineStr">
        <is>
          <t>토너</t>
        </is>
      </c>
      <c r="F9824" s="60" t="inlineStr">
        <is>
          <t>카페24</t>
        </is>
      </c>
      <c r="G9824" s="60" t="inlineStr">
        <is>
          <t>500ml</t>
        </is>
      </c>
      <c r="H9824" s="60" t="n">
        <v>200801</v>
      </c>
      <c r="I9824" s="60" t="n">
        <v>200801</v>
      </c>
      <c r="J9824" s="60" t="n"/>
      <c r="K9824" s="60" t="n">
        <v>85</v>
      </c>
      <c r="L9824" s="60" t="n">
        <v>200801</v>
      </c>
      <c r="M9824" s="94">
        <f>VLOOKUP($Q9824,매칭테이블!$F:$I,2,0)*K9824</f>
        <v/>
      </c>
      <c r="N9824" s="94">
        <f>M9824-M9824*VLOOKUP($Q9824,매칭테이블!$F:$I,3,0)</f>
        <v/>
      </c>
      <c r="O9824" s="94">
        <f>VLOOKUP($Q9824,매칭테이블!$F:$I,4,0)*K9824</f>
        <v/>
      </c>
      <c r="P9824" s="148">
        <f>M9824/1.1</f>
        <v/>
      </c>
      <c r="Q9824" s="94">
        <f>F9824&amp;E9824&amp;G9824&amp;L9824</f>
        <v/>
      </c>
    </row>
    <row r="9825" customFormat="1" s="94">
      <c r="B9825" s="128" t="n">
        <v>44110</v>
      </c>
      <c r="C9825" s="94">
        <f>TEXT(B9825,"aaa")</f>
        <v/>
      </c>
      <c r="D9825" s="60" t="n"/>
      <c r="E9825" s="60" t="inlineStr">
        <is>
          <t>토너</t>
        </is>
      </c>
      <c r="F9825" s="60" t="inlineStr">
        <is>
          <t>카페24</t>
        </is>
      </c>
      <c r="G9825" s="60" t="inlineStr">
        <is>
          <t>스킨팩 화장솜 60P</t>
        </is>
      </c>
      <c r="H9825" s="60" t="n">
        <v>200801</v>
      </c>
      <c r="I9825" s="60" t="n">
        <v>200801</v>
      </c>
      <c r="J9825" s="60" t="n"/>
      <c r="K9825" s="60" t="n">
        <v>61</v>
      </c>
      <c r="L9825" s="60" t="n">
        <v>200801</v>
      </c>
      <c r="M9825" s="94">
        <f>VLOOKUP($Q9825,매칭테이블!$F:$I,2,0)*K9825</f>
        <v/>
      </c>
      <c r="N9825" s="94">
        <f>M9825-M9825*VLOOKUP($Q9825,매칭테이블!$F:$I,3,0)</f>
        <v/>
      </c>
      <c r="O9825" s="94">
        <f>VLOOKUP($Q9825,매칭테이블!$F:$I,4,0)*K9825</f>
        <v/>
      </c>
      <c r="P9825" s="148">
        <f>M9825/1.1</f>
        <v/>
      </c>
      <c r="Q9825" s="94">
        <f>F9825&amp;E9825&amp;G9825&amp;L9825</f>
        <v/>
      </c>
    </row>
    <row r="9826" customFormat="1" s="94">
      <c r="B9826" s="128" t="n">
        <v>44110</v>
      </c>
      <c r="C9826" s="94">
        <f>TEXT(B9826,"aaa")</f>
        <v/>
      </c>
      <c r="D9826" s="60" t="n"/>
      <c r="E9826" s="60" t="inlineStr">
        <is>
          <t>앰플</t>
        </is>
      </c>
      <c r="F9826" s="60" t="inlineStr">
        <is>
          <t>카페24</t>
        </is>
      </c>
      <c r="G9826" s="60" t="inlineStr">
        <is>
          <t>앰플 30ml</t>
        </is>
      </c>
      <c r="H9826" s="60" t="n">
        <v>200801</v>
      </c>
      <c r="I9826" s="60" t="n">
        <v>200801</v>
      </c>
      <c r="J9826" s="60" t="n"/>
      <c r="K9826" s="60" t="n">
        <v>28</v>
      </c>
      <c r="L9826" s="60" t="n">
        <v>200801</v>
      </c>
      <c r="M9826" s="94">
        <f>VLOOKUP($Q9826,매칭테이블!$F:$I,2,0)*K9826</f>
        <v/>
      </c>
      <c r="N9826" s="94">
        <f>M9826-M9826*VLOOKUP($Q9826,매칭테이블!$F:$I,3,0)</f>
        <v/>
      </c>
      <c r="O9826" s="94">
        <f>VLOOKUP($Q9826,매칭테이블!$F:$I,4,0)*K9826</f>
        <v/>
      </c>
      <c r="P9826" s="148">
        <f>M9826/1.1</f>
        <v/>
      </c>
      <c r="Q9826" s="94">
        <f>F9826&amp;E9826&amp;G9826&amp;L9826</f>
        <v/>
      </c>
    </row>
    <row r="9827" customFormat="1" s="94">
      <c r="B9827" s="128" t="n">
        <v>44110</v>
      </c>
      <c r="C9827" s="94">
        <f>TEXT(B9827,"aaa")</f>
        <v/>
      </c>
      <c r="D9827" s="60" t="n"/>
      <c r="E9827" s="60" t="inlineStr">
        <is>
          <t>앰플</t>
        </is>
      </c>
      <c r="F9827" s="60" t="inlineStr">
        <is>
          <t>카페24</t>
        </is>
      </c>
      <c r="G9827" s="60" t="inlineStr">
        <is>
          <t>앰플 30ml  2set</t>
        </is>
      </c>
      <c r="H9827" s="60" t="n">
        <v>200801</v>
      </c>
      <c r="I9827" s="60" t="n">
        <v>200801</v>
      </c>
      <c r="J9827" s="60" t="n"/>
      <c r="K9827" s="60" t="n">
        <v>4</v>
      </c>
      <c r="L9827" s="60" t="n">
        <v>200801</v>
      </c>
      <c r="M9827" s="94">
        <f>VLOOKUP($Q9827,매칭테이블!$F:$I,2,0)*K9827</f>
        <v/>
      </c>
      <c r="N9827" s="94">
        <f>M9827-M9827*VLOOKUP($Q9827,매칭테이블!$F:$I,3,0)</f>
        <v/>
      </c>
      <c r="O9827" s="94">
        <f>VLOOKUP($Q9827,매칭테이블!$F:$I,4,0)*K9827</f>
        <v/>
      </c>
      <c r="P9827" s="148">
        <f>M9827/1.1</f>
        <v/>
      </c>
      <c r="Q9827" s="94">
        <f>F9827&amp;E9827&amp;G9827&amp;L9827</f>
        <v/>
      </c>
    </row>
    <row r="9828" customFormat="1" s="94">
      <c r="B9828" s="128" t="n">
        <v>44110</v>
      </c>
      <c r="C9828" s="94">
        <f>TEXT(B9828,"aaa")</f>
        <v/>
      </c>
      <c r="D9828" s="60" t="n"/>
      <c r="E9828" s="60" t="inlineStr">
        <is>
          <t>수딩크림</t>
        </is>
      </c>
      <c r="F9828" s="60" t="inlineStr">
        <is>
          <t>카페24</t>
        </is>
      </c>
      <c r="G9828" s="60" t="inlineStr">
        <is>
          <t>수딩크림 100ml</t>
        </is>
      </c>
      <c r="H9828" s="60" t="n">
        <v>200801</v>
      </c>
      <c r="I9828" s="60" t="n">
        <v>200801</v>
      </c>
      <c r="J9828" s="60" t="n"/>
      <c r="K9828" s="60" t="n">
        <v>5</v>
      </c>
      <c r="L9828" s="60" t="n">
        <v>200801</v>
      </c>
      <c r="M9828" s="94">
        <f>VLOOKUP($Q9828,매칭테이블!$F:$I,2,0)*K9828</f>
        <v/>
      </c>
      <c r="N9828" s="94">
        <f>M9828-M9828*VLOOKUP($Q9828,매칭테이블!$F:$I,3,0)</f>
        <v/>
      </c>
      <c r="O9828" s="94">
        <f>VLOOKUP($Q9828,매칭테이블!$F:$I,4,0)*K9828</f>
        <v/>
      </c>
      <c r="P9828" s="148">
        <f>M9828/1.1</f>
        <v/>
      </c>
      <c r="Q9828" s="94">
        <f>F9828&amp;E9828&amp;G9828&amp;L9828</f>
        <v/>
      </c>
    </row>
    <row r="9829" customFormat="1" s="94">
      <c r="B9829" s="128" t="n">
        <v>44110</v>
      </c>
      <c r="C9829" s="94">
        <f>TEXT(B9829,"aaa")</f>
        <v/>
      </c>
      <c r="D9829" s="60" t="n"/>
      <c r="E9829" s="60" t="inlineStr">
        <is>
          <t>클렌징폼</t>
        </is>
      </c>
      <c r="F9829" s="60" t="inlineStr">
        <is>
          <t>카페24</t>
        </is>
      </c>
      <c r="G9829" s="60" t="inlineStr">
        <is>
          <t>클렌징폼 120ml</t>
        </is>
      </c>
      <c r="H9829" s="60" t="n">
        <v>200801</v>
      </c>
      <c r="I9829" s="60" t="n">
        <v>200801</v>
      </c>
      <c r="J9829" s="60" t="n"/>
      <c r="K9829" s="60" t="n">
        <v>8</v>
      </c>
      <c r="L9829" s="60" t="n">
        <v>200801</v>
      </c>
      <c r="M9829" s="94">
        <f>VLOOKUP($Q9829,매칭테이블!$F:$I,2,0)*K9829</f>
        <v/>
      </c>
      <c r="N9829" s="94">
        <f>M9829-M9829*VLOOKUP($Q9829,매칭테이블!$F:$I,3,0)</f>
        <v/>
      </c>
      <c r="O9829" s="94">
        <f>VLOOKUP($Q9829,매칭테이블!$F:$I,4,0)*K9829</f>
        <v/>
      </c>
      <c r="P9829" s="148">
        <f>M9829/1.1</f>
        <v/>
      </c>
      <c r="Q9829" s="94">
        <f>F9829&amp;E9829&amp;G9829&amp;L9829</f>
        <v/>
      </c>
    </row>
    <row r="9830" customFormat="1" s="94">
      <c r="B9830" s="128" t="n">
        <v>44110</v>
      </c>
      <c r="C9830" s="94">
        <f>TEXT(B9830,"aaa")</f>
        <v/>
      </c>
      <c r="D9830" s="60" t="n"/>
      <c r="E9830" s="60" t="inlineStr">
        <is>
          <t>클렌징폼</t>
        </is>
      </c>
      <c r="F9830" s="60" t="inlineStr">
        <is>
          <t>카페24</t>
        </is>
      </c>
      <c r="G9830" s="60" t="inlineStr">
        <is>
          <t>클렌징폼 120ml 2set</t>
        </is>
      </c>
      <c r="H9830" s="60" t="n">
        <v>200801</v>
      </c>
      <c r="I9830" s="60" t="n">
        <v>200801</v>
      </c>
      <c r="J9830" s="60" t="n"/>
      <c r="K9830" s="60" t="n">
        <v>5</v>
      </c>
      <c r="L9830" s="60" t="n">
        <v>200801</v>
      </c>
      <c r="M9830" s="94">
        <f>VLOOKUP($Q9830,매칭테이블!$F:$I,2,0)*K9830</f>
        <v/>
      </c>
      <c r="N9830" s="94">
        <f>M9830-M9830*VLOOKUP($Q9830,매칭테이블!$F:$I,3,0)</f>
        <v/>
      </c>
      <c r="O9830" s="94">
        <f>VLOOKUP($Q9830,매칭테이블!$F:$I,4,0)*K9830</f>
        <v/>
      </c>
      <c r="P9830" s="148">
        <f>M9830/1.1</f>
        <v/>
      </c>
      <c r="Q9830" s="94">
        <f>F9830&amp;E9830&amp;G9830&amp;L9830</f>
        <v/>
      </c>
    </row>
    <row r="9831" customFormat="1" s="94">
      <c r="B9831" s="128" t="n">
        <v>44110</v>
      </c>
      <c r="C9831" s="94">
        <f>TEXT(B9831,"aaa")</f>
        <v/>
      </c>
      <c r="D9831" s="60" t="n"/>
      <c r="E9831" s="60" t="inlineStr">
        <is>
          <t>바디워시</t>
        </is>
      </c>
      <c r="F9831" s="60" t="inlineStr">
        <is>
          <t>카페24</t>
        </is>
      </c>
      <c r="G9831" s="60" t="inlineStr">
        <is>
          <t>바디워시 1개 -30% off</t>
        </is>
      </c>
      <c r="H9831" s="60" t="n">
        <v>200801</v>
      </c>
      <c r="I9831" s="60" t="n">
        <v>200801</v>
      </c>
      <c r="J9831" s="60" t="n"/>
      <c r="K9831" s="60" t="n">
        <v>2</v>
      </c>
      <c r="L9831" s="60" t="n">
        <v>200801</v>
      </c>
      <c r="M9831" s="94">
        <f>VLOOKUP($Q9831,매칭테이블!$F:$I,2,0)*K9831</f>
        <v/>
      </c>
      <c r="N9831" s="94">
        <f>M9831-M9831*VLOOKUP($Q9831,매칭테이블!$F:$I,3,0)</f>
        <v/>
      </c>
      <c r="O9831" s="94">
        <f>VLOOKUP($Q9831,매칭테이블!$F:$I,4,0)*K9831</f>
        <v/>
      </c>
      <c r="P9831" s="148">
        <f>M9831/1.1</f>
        <v/>
      </c>
      <c r="Q9831" s="94">
        <f>F9831&amp;E9831&amp;G9831&amp;L9831</f>
        <v/>
      </c>
    </row>
    <row r="9832" customFormat="1" s="94">
      <c r="B9832" s="128" t="n">
        <v>44110</v>
      </c>
      <c r="C9832" s="94">
        <f>TEXT(B9832,"aaa")</f>
        <v/>
      </c>
      <c r="D9832" s="60" t="n"/>
      <c r="E9832" s="60" t="inlineStr">
        <is>
          <t>토너</t>
        </is>
      </c>
      <c r="F9832" s="60" t="inlineStr">
        <is>
          <t>화해</t>
        </is>
      </c>
      <c r="G9832" s="60" t="inlineStr">
        <is>
          <t>250ml</t>
        </is>
      </c>
      <c r="H9832" s="60" t="n">
        <v>200801</v>
      </c>
      <c r="I9832" s="60" t="n">
        <v>200801</v>
      </c>
      <c r="J9832" s="60" t="n"/>
      <c r="K9832" s="60" t="n">
        <v>5</v>
      </c>
      <c r="L9832" s="60" t="n">
        <v>200801</v>
      </c>
      <c r="M9832" s="94">
        <f>VLOOKUP($Q9832,매칭테이블!$F:$I,2,0)*K9832</f>
        <v/>
      </c>
      <c r="N9832" s="94">
        <f>M9832-M9832*VLOOKUP($Q9832,매칭테이블!$F:$I,3,0)</f>
        <v/>
      </c>
      <c r="O9832" s="94">
        <f>VLOOKUP($Q9832,매칭테이블!$F:$I,4,0)*K9832</f>
        <v/>
      </c>
      <c r="P9832" s="148">
        <f>M9832/1.1</f>
        <v/>
      </c>
      <c r="Q9832" s="94">
        <f>F9832&amp;E9832&amp;G9832&amp;L9832</f>
        <v/>
      </c>
    </row>
    <row r="9833" customFormat="1" s="94">
      <c r="B9833" s="128" t="n">
        <v>44111</v>
      </c>
      <c r="C9833" s="94">
        <f>TEXT(B9833,"aaa")</f>
        <v/>
      </c>
      <c r="D9833" s="60" t="n"/>
      <c r="E9833" s="60" t="inlineStr">
        <is>
          <t>토너</t>
        </is>
      </c>
      <c r="F9833" s="60" t="inlineStr">
        <is>
          <t>W컨셉</t>
        </is>
      </c>
      <c r="G9833" s="60" t="inlineStr">
        <is>
          <t>250ml</t>
        </is>
      </c>
      <c r="H9833" s="60" t="n">
        <v>200801</v>
      </c>
      <c r="I9833" s="60" t="n">
        <v>200801</v>
      </c>
      <c r="J9833" s="60" t="n"/>
      <c r="K9833" s="60" t="n">
        <v>2</v>
      </c>
      <c r="L9833" s="60" t="n">
        <v>200801</v>
      </c>
      <c r="M9833" s="94">
        <f>VLOOKUP($Q9833,매칭테이블!$F:$I,2,0)*K9833</f>
        <v/>
      </c>
      <c r="N9833" s="94">
        <f>M9833-M9833*VLOOKUP($Q9833,매칭테이블!$F:$I,3,0)</f>
        <v/>
      </c>
      <c r="O9833" s="94">
        <f>VLOOKUP($Q9833,매칭테이블!$F:$I,4,0)*K9833</f>
        <v/>
      </c>
      <c r="P9833" s="148">
        <f>M9833/1.1</f>
        <v/>
      </c>
      <c r="Q9833" s="94">
        <f>F9833&amp;E9833&amp;G9833&amp;L9833</f>
        <v/>
      </c>
    </row>
    <row r="9834" customFormat="1" s="94">
      <c r="B9834" s="128" t="n">
        <v>44111</v>
      </c>
      <c r="C9834" s="94">
        <f>TEXT(B9834,"aaa")</f>
        <v/>
      </c>
      <c r="D9834" s="60" t="n"/>
      <c r="E9834" s="60" t="inlineStr">
        <is>
          <t>토너</t>
        </is>
      </c>
      <c r="F9834" s="60" t="inlineStr">
        <is>
          <t>W컨셉</t>
        </is>
      </c>
      <c r="G9834" s="60" t="inlineStr">
        <is>
          <t>250ml 2set</t>
        </is>
      </c>
      <c r="H9834" s="60" t="n">
        <v>200801</v>
      </c>
      <c r="I9834" s="60" t="n">
        <v>200801</v>
      </c>
      <c r="J9834" s="60" t="n"/>
      <c r="K9834" s="60" t="n">
        <v>18</v>
      </c>
      <c r="L9834" s="60" t="n">
        <v>200801</v>
      </c>
      <c r="M9834" s="94">
        <f>VLOOKUP($Q9834,매칭테이블!$F:$I,2,0)*K9834</f>
        <v/>
      </c>
      <c r="N9834" s="94">
        <f>M9834-M9834*VLOOKUP($Q9834,매칭테이블!$F:$I,3,0)</f>
        <v/>
      </c>
      <c r="O9834" s="94">
        <f>VLOOKUP($Q9834,매칭테이블!$F:$I,4,0)*K9834</f>
        <v/>
      </c>
      <c r="P9834" s="148">
        <f>M9834/1.1</f>
        <v/>
      </c>
      <c r="Q9834" s="94">
        <f>F9834&amp;E9834&amp;G9834&amp;L9834</f>
        <v/>
      </c>
    </row>
    <row r="9835" customFormat="1" s="94">
      <c r="B9835" s="128" t="n">
        <v>44111</v>
      </c>
      <c r="C9835" s="94">
        <f>TEXT(B9835,"aaa")</f>
        <v/>
      </c>
      <c r="D9835" s="60" t="n"/>
      <c r="E9835" s="60" t="inlineStr">
        <is>
          <t>앰플</t>
        </is>
      </c>
      <c r="F9835" s="60" t="inlineStr">
        <is>
          <t>글로우데이즈 시코르</t>
        </is>
      </c>
      <c r="G9835" s="60" t="inlineStr">
        <is>
          <t>앰플=앰플 30ml</t>
        </is>
      </c>
      <c r="H9835" s="60" t="n">
        <v>200801</v>
      </c>
      <c r="I9835" s="60" t="n">
        <v>200801</v>
      </c>
      <c r="J9835" s="60" t="n"/>
      <c r="K9835" s="60" t="n">
        <v>20</v>
      </c>
      <c r="L9835" s="60" t="n">
        <v>200801</v>
      </c>
      <c r="M9835" s="94">
        <f>VLOOKUP($Q9835,매칭테이블!$F:$I,2,0)*K9835</f>
        <v/>
      </c>
      <c r="N9835" s="94">
        <f>M9835-M9835*VLOOKUP($Q9835,매칭테이블!$F:$I,3,0)</f>
        <v/>
      </c>
      <c r="O9835" s="94">
        <f>VLOOKUP($Q9835,매칭테이블!$F:$I,4,0)*K9835</f>
        <v/>
      </c>
      <c r="P9835" s="148">
        <f>M9835/1.1</f>
        <v/>
      </c>
      <c r="Q9835" s="94">
        <f>F9835&amp;E9835&amp;G9835&amp;L9835</f>
        <v/>
      </c>
    </row>
    <row r="9836" customFormat="1" s="94">
      <c r="B9836" s="128" t="n">
        <v>44111</v>
      </c>
      <c r="C9836" s="94">
        <f>TEXT(B9836,"aaa")</f>
        <v/>
      </c>
      <c r="D9836" s="60" t="n"/>
      <c r="E9836" s="60" t="inlineStr">
        <is>
          <t>수딩크림</t>
        </is>
      </c>
      <c r="F9836" s="60" t="inlineStr">
        <is>
          <t>글로우데이즈 시코르</t>
        </is>
      </c>
      <c r="G9836" s="60" t="inlineStr">
        <is>
          <t>수딩크림=수딩크림 100ml</t>
        </is>
      </c>
      <c r="H9836" s="60" t="n">
        <v>200801</v>
      </c>
      <c r="I9836" s="60" t="n">
        <v>200801</v>
      </c>
      <c r="J9836" s="60" t="n"/>
      <c r="K9836" s="60" t="n">
        <v>20</v>
      </c>
      <c r="L9836" s="60" t="n">
        <v>200801</v>
      </c>
      <c r="M9836" s="94">
        <f>VLOOKUP($Q9836,매칭테이블!$F:$I,2,0)*K9836</f>
        <v/>
      </c>
      <c r="N9836" s="94">
        <f>M9836-M9836*VLOOKUP($Q9836,매칭테이블!$F:$I,3,0)</f>
        <v/>
      </c>
      <c r="O9836" s="94">
        <f>VLOOKUP($Q9836,매칭테이블!$F:$I,4,0)*K9836</f>
        <v/>
      </c>
      <c r="P9836" s="148">
        <f>M9836/1.1</f>
        <v/>
      </c>
      <c r="Q9836" s="94">
        <f>F9836&amp;E9836&amp;G9836&amp;L9836</f>
        <v/>
      </c>
    </row>
    <row r="9837" customFormat="1" s="94">
      <c r="B9837" s="128" t="n">
        <v>44111</v>
      </c>
      <c r="C9837" s="94">
        <f>TEXT(B9837,"aaa")</f>
        <v/>
      </c>
      <c r="D9837" s="60" t="n"/>
      <c r="E9837" s="60" t="inlineStr">
        <is>
          <t>토너</t>
        </is>
      </c>
      <c r="F9837" s="60" t="inlineStr">
        <is>
          <t>스타일쉐어</t>
        </is>
      </c>
      <c r="G9837" s="60" t="inlineStr">
        <is>
          <t>250ml</t>
        </is>
      </c>
      <c r="H9837" s="60" t="n">
        <v>200801</v>
      </c>
      <c r="I9837" s="60" t="n">
        <v>200801</v>
      </c>
      <c r="J9837" s="60" t="n"/>
      <c r="K9837" s="60" t="n">
        <v>6</v>
      </c>
      <c r="L9837" s="60" t="n">
        <v>200801</v>
      </c>
      <c r="M9837" s="94">
        <f>VLOOKUP($Q9837,매칭테이블!$F:$I,2,0)*K9837</f>
        <v/>
      </c>
      <c r="N9837" s="94">
        <f>M9837-M9837*VLOOKUP($Q9837,매칭테이블!$F:$I,3,0)</f>
        <v/>
      </c>
      <c r="O9837" s="94">
        <f>VLOOKUP($Q9837,매칭테이블!$F:$I,4,0)*K9837</f>
        <v/>
      </c>
      <c r="P9837" s="148">
        <f>M9837/1.1</f>
        <v/>
      </c>
      <c r="Q9837" s="94">
        <f>F9837&amp;E9837&amp;G9837&amp;L9837</f>
        <v/>
      </c>
    </row>
    <row r="9838" customFormat="1" s="94">
      <c r="B9838" s="128" t="n">
        <v>44111</v>
      </c>
      <c r="C9838" s="94">
        <f>TEXT(B9838,"aaa")</f>
        <v/>
      </c>
      <c r="D9838" s="60" t="n"/>
      <c r="E9838" s="60" t="inlineStr">
        <is>
          <t>선크림</t>
        </is>
      </c>
      <c r="F9838" s="60" t="inlineStr">
        <is>
          <t>카페24</t>
        </is>
      </c>
      <c r="G9838" s="60" t="inlineStr">
        <is>
          <t>선크림 50ml</t>
        </is>
      </c>
      <c r="H9838" s="60" t="n">
        <v>200801</v>
      </c>
      <c r="I9838" s="60" t="n">
        <v>200801</v>
      </c>
      <c r="J9838" s="60" t="n"/>
      <c r="K9838" s="60" t="n">
        <v>4</v>
      </c>
      <c r="L9838" s="60" t="n">
        <v>200801</v>
      </c>
      <c r="M9838" s="94">
        <f>VLOOKUP($Q9838,매칭테이블!$F:$I,2,0)*K9838</f>
        <v/>
      </c>
      <c r="N9838" s="94">
        <f>M9838-M9838*VLOOKUP($Q9838,매칭테이블!$F:$I,3,0)</f>
        <v/>
      </c>
      <c r="O9838" s="94">
        <f>VLOOKUP($Q9838,매칭테이블!$F:$I,4,0)*K9838</f>
        <v/>
      </c>
      <c r="P9838" s="148">
        <f>M9838/1.1</f>
        <v/>
      </c>
      <c r="Q9838" s="94">
        <f>F9838&amp;E9838&amp;G9838&amp;L9838</f>
        <v/>
      </c>
    </row>
    <row r="9839" customFormat="1" s="94">
      <c r="B9839" s="128" t="n">
        <v>44111</v>
      </c>
      <c r="C9839" s="94">
        <f>TEXT(B9839,"aaa")</f>
        <v/>
      </c>
      <c r="D9839" s="60" t="n"/>
      <c r="E9839" s="60" t="inlineStr">
        <is>
          <t>선크림</t>
        </is>
      </c>
      <c r="F9839" s="60" t="inlineStr">
        <is>
          <t>카페24</t>
        </is>
      </c>
      <c r="G9839" s="60" t="inlineStr">
        <is>
          <t>선크림 50ml  2set</t>
        </is>
      </c>
      <c r="H9839" s="60" t="n">
        <v>200801</v>
      </c>
      <c r="I9839" s="60" t="n">
        <v>200801</v>
      </c>
      <c r="J9839" s="60" t="n"/>
      <c r="K9839" s="60" t="n">
        <v>3</v>
      </c>
      <c r="L9839" s="60" t="n">
        <v>200801</v>
      </c>
      <c r="M9839" s="94">
        <f>VLOOKUP($Q9839,매칭테이블!$F:$I,2,0)*K9839</f>
        <v/>
      </c>
      <c r="N9839" s="94">
        <f>M9839-M9839*VLOOKUP($Q9839,매칭테이블!$F:$I,3,0)</f>
        <v/>
      </c>
      <c r="O9839" s="94">
        <f>VLOOKUP($Q9839,매칭테이블!$F:$I,4,0)*K9839</f>
        <v/>
      </c>
      <c r="P9839" s="148">
        <f>M9839/1.1</f>
        <v/>
      </c>
      <c r="Q9839" s="94">
        <f>F9839&amp;E9839&amp;G9839&amp;L9839</f>
        <v/>
      </c>
    </row>
    <row r="9840" customFormat="1" s="94">
      <c r="B9840" s="128" t="n">
        <v>44111</v>
      </c>
      <c r="C9840" s="94">
        <f>TEXT(B9840,"aaa")</f>
        <v/>
      </c>
      <c r="D9840" s="60" t="n"/>
      <c r="E9840" s="60" t="inlineStr">
        <is>
          <t>어성초진정패키지</t>
        </is>
      </c>
      <c r="F9840" s="60" t="inlineStr">
        <is>
          <t>카페24</t>
        </is>
      </c>
      <c r="G9840" s="60" t="inlineStr">
        <is>
          <t>어성초 진정패키지세트</t>
        </is>
      </c>
      <c r="H9840" s="60" t="n">
        <v>200801</v>
      </c>
      <c r="I9840" s="60" t="n">
        <v>200801</v>
      </c>
      <c r="J9840" s="60" t="n"/>
      <c r="K9840" s="60" t="n">
        <v>5</v>
      </c>
      <c r="L9840" s="60" t="n">
        <v>200801</v>
      </c>
      <c r="M9840" s="94">
        <f>VLOOKUP($Q9840,매칭테이블!$F:$I,2,0)*K9840</f>
        <v/>
      </c>
      <c r="N9840" s="94">
        <f>M9840-M9840*VLOOKUP($Q9840,매칭테이블!$F:$I,3,0)</f>
        <v/>
      </c>
      <c r="O9840" s="94">
        <f>VLOOKUP($Q9840,매칭테이블!$F:$I,4,0)*K9840</f>
        <v/>
      </c>
      <c r="P9840" s="148">
        <f>M9840/1.1</f>
        <v/>
      </c>
      <c r="Q9840" s="94">
        <f>F9840&amp;E9840&amp;G9840&amp;L9840</f>
        <v/>
      </c>
    </row>
    <row r="9841" customFormat="1" s="94">
      <c r="B9841" s="128" t="n">
        <v>44111</v>
      </c>
      <c r="C9841" s="94">
        <f>TEXT(B9841,"aaa")</f>
        <v/>
      </c>
      <c r="D9841" s="60" t="n"/>
      <c r="E9841" s="60" t="inlineStr">
        <is>
          <t>클리어 패드</t>
        </is>
      </c>
      <c r="F9841" s="60" t="inlineStr">
        <is>
          <t>카페24</t>
        </is>
      </c>
      <c r="G9841" s="60" t="inlineStr">
        <is>
          <t>어성초 77 클리어 패드 1개-20% off</t>
        </is>
      </c>
      <c r="H9841" s="60" t="n">
        <v>200801</v>
      </c>
      <c r="I9841" s="60" t="n">
        <v>200801</v>
      </c>
      <c r="J9841" s="60" t="n"/>
      <c r="K9841" s="60" t="n">
        <v>16</v>
      </c>
      <c r="L9841" s="60" t="n">
        <v>200801</v>
      </c>
      <c r="M9841" s="94">
        <f>VLOOKUP($Q9841,매칭테이블!$F:$I,2,0)*K9841</f>
        <v/>
      </c>
      <c r="N9841" s="94">
        <f>M9841-M9841*VLOOKUP($Q9841,매칭테이블!$F:$I,3,0)</f>
        <v/>
      </c>
      <c r="O9841" s="94">
        <f>VLOOKUP($Q9841,매칭테이블!$F:$I,4,0)*K9841</f>
        <v/>
      </c>
      <c r="P9841" s="148">
        <f>M9841/1.1</f>
        <v/>
      </c>
      <c r="Q9841" s="94">
        <f>F9841&amp;E9841&amp;G9841&amp;L9841</f>
        <v/>
      </c>
    </row>
    <row r="9842" customFormat="1" s="94">
      <c r="B9842" s="128" t="n">
        <v>44111</v>
      </c>
      <c r="C9842" s="94">
        <f>TEXT(B9842,"aaa")</f>
        <v/>
      </c>
      <c r="D9842" s="60" t="n"/>
      <c r="E9842" s="60" t="inlineStr">
        <is>
          <t>클리어 패드</t>
        </is>
      </c>
      <c r="F9842" s="60" t="inlineStr">
        <is>
          <t>카페24</t>
        </is>
      </c>
      <c r="G9842" s="60" t="inlineStr">
        <is>
          <t>어성초 77 클리어 패드 2개-30% off</t>
        </is>
      </c>
      <c r="H9842" s="60" t="n">
        <v>200801</v>
      </c>
      <c r="I9842" s="60" t="n">
        <v>200801</v>
      </c>
      <c r="J9842" s="60" t="n"/>
      <c r="K9842" s="60" t="n">
        <v>13</v>
      </c>
      <c r="L9842" s="60" t="n">
        <v>200801</v>
      </c>
      <c r="M9842" s="94">
        <f>VLOOKUP($Q9842,매칭테이블!$F:$I,2,0)*K9842</f>
        <v/>
      </c>
      <c r="N9842" s="94">
        <f>M9842-M9842*VLOOKUP($Q9842,매칭테이블!$F:$I,3,0)</f>
        <v/>
      </c>
      <c r="O9842" s="94">
        <f>VLOOKUP($Q9842,매칭테이블!$F:$I,4,0)*K9842</f>
        <v/>
      </c>
      <c r="P9842" s="148">
        <f>M9842/1.1</f>
        <v/>
      </c>
      <c r="Q9842" s="94">
        <f>F9842&amp;E9842&amp;G9842&amp;L9842</f>
        <v/>
      </c>
    </row>
    <row r="9843" customFormat="1" s="94">
      <c r="B9843" s="128" t="n">
        <v>44111</v>
      </c>
      <c r="C9843" s="94">
        <f>TEXT(B9843,"aaa")</f>
        <v/>
      </c>
      <c r="D9843" s="60" t="n"/>
      <c r="E9843" s="60" t="inlineStr">
        <is>
          <t>토너+패드 세트</t>
        </is>
      </c>
      <c r="F9843" s="60" t="inlineStr">
        <is>
          <t>카페24</t>
        </is>
      </c>
      <c r="G9843" s="60" t="inlineStr">
        <is>
          <t>좁쌀 진정 세트 토너+클리어 패드-30% off</t>
        </is>
      </c>
      <c r="H9843" s="60" t="n">
        <v>200801</v>
      </c>
      <c r="I9843" s="60" t="n">
        <v>200801</v>
      </c>
      <c r="J9843" s="60" t="n"/>
      <c r="K9843" s="60" t="n">
        <v>20</v>
      </c>
      <c r="L9843" s="60" t="n">
        <v>200801</v>
      </c>
      <c r="M9843" s="94">
        <f>VLOOKUP($Q9843,매칭테이블!$F:$I,2,0)*K9843</f>
        <v/>
      </c>
      <c r="N9843" s="94">
        <f>M9843-M9843*VLOOKUP($Q9843,매칭테이블!$F:$I,3,0)</f>
        <v/>
      </c>
      <c r="O9843" s="94">
        <f>VLOOKUP($Q9843,매칭테이블!$F:$I,4,0)*K9843</f>
        <v/>
      </c>
      <c r="P9843" s="148">
        <f>M9843/1.1</f>
        <v/>
      </c>
      <c r="Q9843" s="94">
        <f>F9843&amp;E9843&amp;G9843&amp;L9843</f>
        <v/>
      </c>
    </row>
    <row r="9844" customFormat="1" s="94">
      <c r="B9844" s="128" t="n">
        <v>44111</v>
      </c>
      <c r="C9844" s="94">
        <f>TEXT(B9844,"aaa")</f>
        <v/>
      </c>
      <c r="D9844" s="60" t="n"/>
      <c r="E9844" s="60" t="inlineStr">
        <is>
          <t>수분 보충 세트</t>
        </is>
      </c>
      <c r="F9844" s="60" t="inlineStr">
        <is>
          <t>카페24</t>
        </is>
      </c>
      <c r="G9844" s="60" t="inlineStr">
        <is>
          <t>[20/09/28 부터] 어성초 77 토너 250ml + 어성초 70 로션 200ml -30%</t>
        </is>
      </c>
      <c r="H9844" s="60" t="n">
        <v>200801</v>
      </c>
      <c r="I9844" s="60" t="n">
        <v>200801</v>
      </c>
      <c r="J9844" s="60" t="n"/>
      <c r="K9844" s="60" t="n">
        <v>56</v>
      </c>
      <c r="L9844" s="60" t="n">
        <v>200801</v>
      </c>
      <c r="M9844" s="94">
        <f>VLOOKUP($Q9844,매칭테이블!$F:$I,2,0)*K9844</f>
        <v/>
      </c>
      <c r="N9844" s="94">
        <f>M9844-M9844*VLOOKUP($Q9844,매칭테이블!$F:$I,3,0)</f>
        <v/>
      </c>
      <c r="O9844" s="94">
        <f>VLOOKUP($Q9844,매칭테이블!$F:$I,4,0)*K9844</f>
        <v/>
      </c>
      <c r="P9844" s="148">
        <f>M9844/1.1</f>
        <v/>
      </c>
      <c r="Q9844" s="94">
        <f>F9844&amp;E9844&amp;G9844&amp;L9844</f>
        <v/>
      </c>
    </row>
    <row r="9845" customFormat="1" s="94">
      <c r="B9845" s="128" t="n">
        <v>44111</v>
      </c>
      <c r="C9845" s="94">
        <f>TEXT(B9845,"aaa")</f>
        <v/>
      </c>
      <c r="D9845" s="60" t="n"/>
      <c r="E9845" s="60" t="inlineStr">
        <is>
          <t>로션</t>
        </is>
      </c>
      <c r="F9845" s="60" t="inlineStr">
        <is>
          <t>카페24</t>
        </is>
      </c>
      <c r="G9845" s="60" t="inlineStr">
        <is>
          <t>어성초 70 데일리 릴리프 로션 1개 -20% off</t>
        </is>
      </c>
      <c r="H9845" s="60" t="n">
        <v>200801</v>
      </c>
      <c r="I9845" s="60" t="n">
        <v>200801</v>
      </c>
      <c r="J9845" s="60" t="n"/>
      <c r="K9845" s="60" t="n">
        <v>9</v>
      </c>
      <c r="L9845" s="60" t="n">
        <v>200801</v>
      </c>
      <c r="M9845" s="94">
        <f>VLOOKUP($Q9845,매칭테이블!$F:$I,2,0)*K9845</f>
        <v/>
      </c>
      <c r="N9845" s="94">
        <f>M9845-M9845*VLOOKUP($Q9845,매칭테이블!$F:$I,3,0)</f>
        <v/>
      </c>
      <c r="O9845" s="94">
        <f>VLOOKUP($Q9845,매칭테이블!$F:$I,4,0)*K9845</f>
        <v/>
      </c>
      <c r="P9845" s="148">
        <f>M9845/1.1</f>
        <v/>
      </c>
      <c r="Q9845" s="94">
        <f>F9845&amp;E9845&amp;G9845&amp;L9845</f>
        <v/>
      </c>
    </row>
    <row r="9846" customFormat="1" s="94">
      <c r="B9846" s="128" t="n">
        <v>44111</v>
      </c>
      <c r="C9846" s="94">
        <f>TEXT(B9846,"aaa")</f>
        <v/>
      </c>
      <c r="D9846" s="60" t="n"/>
      <c r="E9846" s="60" t="inlineStr">
        <is>
          <t>로션</t>
        </is>
      </c>
      <c r="F9846" s="60" t="inlineStr">
        <is>
          <t>카페24</t>
        </is>
      </c>
      <c r="G9846" s="60" t="inlineStr">
        <is>
          <t>어성초 70 데일리 릴리프 로션 2개 -30% off</t>
        </is>
      </c>
      <c r="H9846" s="60" t="n">
        <v>200801</v>
      </c>
      <c r="I9846" s="60" t="n">
        <v>200801</v>
      </c>
      <c r="J9846" s="60" t="n"/>
      <c r="K9846" s="60" t="n">
        <v>2</v>
      </c>
      <c r="L9846" s="60" t="n">
        <v>200801</v>
      </c>
      <c r="M9846" s="94">
        <f>VLOOKUP($Q9846,매칭테이블!$F:$I,2,0)*K9846</f>
        <v/>
      </c>
      <c r="N9846" s="94">
        <f>M9846-M9846*VLOOKUP($Q9846,매칭테이블!$F:$I,3,0)</f>
        <v/>
      </c>
      <c r="O9846" s="94">
        <f>VLOOKUP($Q9846,매칭테이블!$F:$I,4,0)*K9846</f>
        <v/>
      </c>
      <c r="P9846" s="148">
        <f>M9846/1.1</f>
        <v/>
      </c>
      <c r="Q9846" s="94">
        <f>F9846&amp;E9846&amp;G9846&amp;L9846</f>
        <v/>
      </c>
    </row>
    <row r="9847" customFormat="1" s="94">
      <c r="B9847" s="128" t="n">
        <v>44111</v>
      </c>
      <c r="C9847" s="94">
        <f>TEXT(B9847,"aaa")</f>
        <v/>
      </c>
      <c r="D9847" s="60" t="n"/>
      <c r="E9847" s="60" t="inlineStr">
        <is>
          <t>머드크림마스크</t>
        </is>
      </c>
      <c r="F9847" s="60" t="inlineStr">
        <is>
          <t>카페24</t>
        </is>
      </c>
      <c r="G9847" s="60" t="inlineStr">
        <is>
          <t>머드크림마스크 100ml</t>
        </is>
      </c>
      <c r="H9847" s="60" t="n">
        <v>200801</v>
      </c>
      <c r="I9847" s="60" t="n">
        <v>200801</v>
      </c>
      <c r="J9847" s="60" t="n"/>
      <c r="K9847" s="60" t="n">
        <v>7</v>
      </c>
      <c r="L9847" s="60" t="n">
        <v>200801</v>
      </c>
      <c r="M9847" s="94">
        <f>VLOOKUP($Q9847,매칭테이블!$F:$I,2,0)*K9847</f>
        <v/>
      </c>
      <c r="N9847" s="94">
        <f>M9847-M9847*VLOOKUP($Q9847,매칭테이블!$F:$I,3,0)</f>
        <v/>
      </c>
      <c r="O9847" s="94">
        <f>VLOOKUP($Q9847,매칭테이블!$F:$I,4,0)*K9847</f>
        <v/>
      </c>
      <c r="P9847" s="148">
        <f>M9847/1.1</f>
        <v/>
      </c>
      <c r="Q9847" s="94">
        <f>F9847&amp;E9847&amp;G9847&amp;L9847</f>
        <v/>
      </c>
    </row>
    <row r="9848" customFormat="1" s="94">
      <c r="B9848" s="128" t="n">
        <v>44111</v>
      </c>
      <c r="C9848" s="94">
        <f>TEXT(B9848,"aaa")</f>
        <v/>
      </c>
      <c r="D9848" s="60" t="n"/>
      <c r="E9848" s="60" t="inlineStr">
        <is>
          <t>머드크림마스크</t>
        </is>
      </c>
      <c r="F9848" s="60" t="inlineStr">
        <is>
          <t>카페24</t>
        </is>
      </c>
      <c r="G9848" s="60" t="inlineStr">
        <is>
          <t>머드크림마스크 100ml 2set</t>
        </is>
      </c>
      <c r="H9848" s="60" t="n">
        <v>200801</v>
      </c>
      <c r="I9848" s="60" t="n">
        <v>200801</v>
      </c>
      <c r="J9848" s="60" t="n"/>
      <c r="K9848" s="60" t="n">
        <v>2</v>
      </c>
      <c r="L9848" s="60" t="n">
        <v>200801</v>
      </c>
      <c r="M9848" s="94">
        <f>VLOOKUP($Q9848,매칭테이블!$F:$I,2,0)*K9848</f>
        <v/>
      </c>
      <c r="N9848" s="94">
        <f>M9848-M9848*VLOOKUP($Q9848,매칭테이블!$F:$I,3,0)</f>
        <v/>
      </c>
      <c r="O9848" s="94">
        <f>VLOOKUP($Q9848,매칭테이블!$F:$I,4,0)*K9848</f>
        <v/>
      </c>
      <c r="P9848" s="148">
        <f>M9848/1.1</f>
        <v/>
      </c>
      <c r="Q9848" s="94">
        <f>F9848&amp;E9848&amp;G9848&amp;L9848</f>
        <v/>
      </c>
    </row>
    <row r="9849" customFormat="1" s="94">
      <c r="B9849" s="128" t="n">
        <v>44111</v>
      </c>
      <c r="C9849" s="94">
        <f>TEXT(B9849,"aaa")</f>
        <v/>
      </c>
      <c r="D9849" s="60" t="n"/>
      <c r="E9849" s="60" t="inlineStr">
        <is>
          <t>마스크팩</t>
        </is>
      </c>
      <c r="F9849" s="60" t="inlineStr">
        <is>
          <t>카페24</t>
        </is>
      </c>
      <c r="G9849" s="60" t="inlineStr">
        <is>
          <t>마스크팩 1매</t>
        </is>
      </c>
      <c r="H9849" s="60" t="n">
        <v>200801</v>
      </c>
      <c r="I9849" s="60" t="n">
        <v>200801</v>
      </c>
      <c r="J9849" s="60" t="n"/>
      <c r="K9849" s="60" t="n">
        <v>1</v>
      </c>
      <c r="L9849" s="60" t="n">
        <v>200801</v>
      </c>
      <c r="M9849" s="94">
        <f>VLOOKUP($Q9849,매칭테이블!$F:$I,2,0)*K9849</f>
        <v/>
      </c>
      <c r="N9849" s="94">
        <f>M9849-M9849*VLOOKUP($Q9849,매칭테이블!$F:$I,3,0)</f>
        <v/>
      </c>
      <c r="O9849" s="94">
        <f>VLOOKUP($Q9849,매칭테이블!$F:$I,4,0)*K9849</f>
        <v/>
      </c>
      <c r="P9849" s="148">
        <f>M9849/1.1</f>
        <v/>
      </c>
      <c r="Q9849" s="94">
        <f>F9849&amp;E9849&amp;G9849&amp;L9849</f>
        <v/>
      </c>
    </row>
    <row r="9850" customFormat="1" s="94">
      <c r="B9850" s="128" t="n">
        <v>44111</v>
      </c>
      <c r="C9850" s="94">
        <f>TEXT(B9850,"aaa")</f>
        <v/>
      </c>
      <c r="D9850" s="60" t="n"/>
      <c r="E9850" s="60" t="inlineStr">
        <is>
          <t>마스크팩</t>
        </is>
      </c>
      <c r="F9850" s="60" t="inlineStr">
        <is>
          <t>카페24</t>
        </is>
      </c>
      <c r="G9850" s="60" t="inlineStr">
        <is>
          <t>마스크팩 10매</t>
        </is>
      </c>
      <c r="H9850" s="60" t="n">
        <v>200801</v>
      </c>
      <c r="I9850" s="60" t="n">
        <v>200801</v>
      </c>
      <c r="J9850" s="60" t="n"/>
      <c r="K9850" s="60" t="n">
        <v>4</v>
      </c>
      <c r="L9850" s="60" t="n">
        <v>200801</v>
      </c>
      <c r="M9850" s="94">
        <f>VLOOKUP($Q9850,매칭테이블!$F:$I,2,0)*K9850</f>
        <v/>
      </c>
      <c r="N9850" s="94">
        <f>M9850-M9850*VLOOKUP($Q9850,매칭테이블!$F:$I,3,0)</f>
        <v/>
      </c>
      <c r="O9850" s="94">
        <f>VLOOKUP($Q9850,매칭테이블!$F:$I,4,0)*K9850</f>
        <v/>
      </c>
      <c r="P9850" s="148">
        <f>M9850/1.1</f>
        <v/>
      </c>
      <c r="Q9850" s="94">
        <f>F9850&amp;E9850&amp;G9850&amp;L9850</f>
        <v/>
      </c>
    </row>
    <row r="9851" customFormat="1" s="94">
      <c r="B9851" s="128" t="n">
        <v>44111</v>
      </c>
      <c r="C9851" s="94">
        <f>TEXT(B9851,"aaa")</f>
        <v/>
      </c>
      <c r="D9851" s="60" t="n"/>
      <c r="E9851" s="60" t="inlineStr">
        <is>
          <t>토너</t>
        </is>
      </c>
      <c r="F9851" s="60" t="inlineStr">
        <is>
          <t>카페24</t>
        </is>
      </c>
      <c r="G9851" s="60" t="inlineStr">
        <is>
          <t>250ml</t>
        </is>
      </c>
      <c r="H9851" s="60" t="n">
        <v>200801</v>
      </c>
      <c r="I9851" s="60" t="n">
        <v>200801</v>
      </c>
      <c r="J9851" s="60" t="n"/>
      <c r="K9851" s="60" t="n">
        <v>43</v>
      </c>
      <c r="L9851" s="60" t="n">
        <v>200801</v>
      </c>
      <c r="M9851" s="94">
        <f>VLOOKUP($Q9851,매칭테이블!$F:$I,2,0)*K9851</f>
        <v/>
      </c>
      <c r="N9851" s="94">
        <f>M9851-M9851*VLOOKUP($Q9851,매칭테이블!$F:$I,3,0)</f>
        <v/>
      </c>
      <c r="O9851" s="94">
        <f>VLOOKUP($Q9851,매칭테이블!$F:$I,4,0)*K9851</f>
        <v/>
      </c>
      <c r="P9851" s="148">
        <f>M9851/1.1</f>
        <v/>
      </c>
      <c r="Q9851" s="94">
        <f>F9851&amp;E9851&amp;G9851&amp;L9851</f>
        <v/>
      </c>
    </row>
    <row r="9852" customFormat="1" s="94">
      <c r="B9852" s="128" t="n">
        <v>44111</v>
      </c>
      <c r="C9852" s="94">
        <f>TEXT(B9852,"aaa")</f>
        <v/>
      </c>
      <c r="D9852" s="60" t="n"/>
      <c r="E9852" s="60" t="inlineStr">
        <is>
          <t>토너</t>
        </is>
      </c>
      <c r="F9852" s="60" t="inlineStr">
        <is>
          <t>카페24</t>
        </is>
      </c>
      <c r="G9852" s="60" t="inlineStr">
        <is>
          <t>250ml 2set</t>
        </is>
      </c>
      <c r="H9852" s="60" t="n">
        <v>200801</v>
      </c>
      <c r="I9852" s="60" t="n">
        <v>200801</v>
      </c>
      <c r="J9852" s="60" t="n"/>
      <c r="K9852" s="60" t="n">
        <v>24</v>
      </c>
      <c r="L9852" s="60" t="n">
        <v>200801</v>
      </c>
      <c r="M9852" s="94">
        <f>VLOOKUP($Q9852,매칭테이블!$F:$I,2,0)*K9852</f>
        <v/>
      </c>
      <c r="N9852" s="94">
        <f>M9852-M9852*VLOOKUP($Q9852,매칭테이블!$F:$I,3,0)</f>
        <v/>
      </c>
      <c r="O9852" s="94">
        <f>VLOOKUP($Q9852,매칭테이블!$F:$I,4,0)*K9852</f>
        <v/>
      </c>
      <c r="P9852" s="148">
        <f>M9852/1.1</f>
        <v/>
      </c>
      <c r="Q9852" s="94">
        <f>F9852&amp;E9852&amp;G9852&amp;L9852</f>
        <v/>
      </c>
    </row>
    <row r="9853" customFormat="1" s="94">
      <c r="B9853" s="128" t="n">
        <v>44111</v>
      </c>
      <c r="C9853" s="94">
        <f>TEXT(B9853,"aaa")</f>
        <v/>
      </c>
      <c r="D9853" s="60" t="n"/>
      <c r="E9853" s="60" t="inlineStr">
        <is>
          <t>토너</t>
        </is>
      </c>
      <c r="F9853" s="60" t="inlineStr">
        <is>
          <t>카페24</t>
        </is>
      </c>
      <c r="G9853" s="60" t="inlineStr">
        <is>
          <t>500ml</t>
        </is>
      </c>
      <c r="H9853" s="60" t="n">
        <v>200801</v>
      </c>
      <c r="I9853" s="60" t="n">
        <v>200801</v>
      </c>
      <c r="J9853" s="60" t="n"/>
      <c r="K9853" s="60" t="n">
        <v>61</v>
      </c>
      <c r="L9853" s="60" t="n">
        <v>200801</v>
      </c>
      <c r="M9853" s="94">
        <f>VLOOKUP($Q9853,매칭테이블!$F:$I,2,0)*K9853</f>
        <v/>
      </c>
      <c r="N9853" s="94">
        <f>M9853-M9853*VLOOKUP($Q9853,매칭테이블!$F:$I,3,0)</f>
        <v/>
      </c>
      <c r="O9853" s="94">
        <f>VLOOKUP($Q9853,매칭테이블!$F:$I,4,0)*K9853</f>
        <v/>
      </c>
      <c r="P9853" s="148">
        <f>M9853/1.1</f>
        <v/>
      </c>
      <c r="Q9853" s="94">
        <f>F9853&amp;E9853&amp;G9853&amp;L9853</f>
        <v/>
      </c>
    </row>
    <row r="9854" customFormat="1" s="94">
      <c r="B9854" s="128" t="n">
        <v>44111</v>
      </c>
      <c r="C9854" s="94">
        <f>TEXT(B9854,"aaa")</f>
        <v/>
      </c>
      <c r="D9854" s="60" t="n"/>
      <c r="E9854" s="60" t="inlineStr">
        <is>
          <t>토너</t>
        </is>
      </c>
      <c r="F9854" s="60" t="inlineStr">
        <is>
          <t>카페24</t>
        </is>
      </c>
      <c r="G9854" s="60" t="inlineStr">
        <is>
          <t>스킨팩 화장솜 60P</t>
        </is>
      </c>
      <c r="H9854" s="60" t="n">
        <v>200801</v>
      </c>
      <c r="I9854" s="60" t="n">
        <v>200801</v>
      </c>
      <c r="J9854" s="60" t="n"/>
      <c r="K9854" s="60" t="n">
        <v>35</v>
      </c>
      <c r="L9854" s="60" t="n">
        <v>200801</v>
      </c>
      <c r="M9854" s="94">
        <f>VLOOKUP($Q9854,매칭테이블!$F:$I,2,0)*K9854</f>
        <v/>
      </c>
      <c r="N9854" s="94">
        <f>M9854-M9854*VLOOKUP($Q9854,매칭테이블!$F:$I,3,0)</f>
        <v/>
      </c>
      <c r="O9854" s="94">
        <f>VLOOKUP($Q9854,매칭테이블!$F:$I,4,0)*K9854</f>
        <v/>
      </c>
      <c r="P9854" s="148">
        <f>M9854/1.1</f>
        <v/>
      </c>
      <c r="Q9854" s="94">
        <f>F9854&amp;E9854&amp;G9854&amp;L9854</f>
        <v/>
      </c>
    </row>
    <row r="9855" customFormat="1" s="94">
      <c r="B9855" s="128" t="n">
        <v>44111</v>
      </c>
      <c r="C9855" s="94">
        <f>TEXT(B9855,"aaa")</f>
        <v/>
      </c>
      <c r="D9855" s="60" t="n"/>
      <c r="E9855" s="60" t="inlineStr">
        <is>
          <t>앰플</t>
        </is>
      </c>
      <c r="F9855" s="60" t="inlineStr">
        <is>
          <t>카페24</t>
        </is>
      </c>
      <c r="G9855" s="60" t="inlineStr">
        <is>
          <t>앰플 30ml</t>
        </is>
      </c>
      <c r="H9855" s="60" t="n">
        <v>200801</v>
      </c>
      <c r="I9855" s="60" t="n">
        <v>200801</v>
      </c>
      <c r="J9855" s="60" t="n"/>
      <c r="K9855" s="60" t="n">
        <v>29</v>
      </c>
      <c r="L9855" s="60" t="n">
        <v>200801</v>
      </c>
      <c r="M9855" s="94">
        <f>VLOOKUP($Q9855,매칭테이블!$F:$I,2,0)*K9855</f>
        <v/>
      </c>
      <c r="N9855" s="94">
        <f>M9855-M9855*VLOOKUP($Q9855,매칭테이블!$F:$I,3,0)</f>
        <v/>
      </c>
      <c r="O9855" s="94">
        <f>VLOOKUP($Q9855,매칭테이블!$F:$I,4,0)*K9855</f>
        <v/>
      </c>
      <c r="P9855" s="148">
        <f>M9855/1.1</f>
        <v/>
      </c>
      <c r="Q9855" s="94">
        <f>F9855&amp;E9855&amp;G9855&amp;L9855</f>
        <v/>
      </c>
    </row>
    <row r="9856" customFormat="1" s="94">
      <c r="B9856" s="128" t="n">
        <v>44111</v>
      </c>
      <c r="C9856" s="94">
        <f>TEXT(B9856,"aaa")</f>
        <v/>
      </c>
      <c r="D9856" s="60" t="n"/>
      <c r="E9856" s="60" t="inlineStr">
        <is>
          <t>앰플</t>
        </is>
      </c>
      <c r="F9856" s="60" t="inlineStr">
        <is>
          <t>카페24</t>
        </is>
      </c>
      <c r="G9856" s="60" t="inlineStr">
        <is>
          <t>앰플 30ml  2set</t>
        </is>
      </c>
      <c r="H9856" s="60" t="n">
        <v>200801</v>
      </c>
      <c r="I9856" s="60" t="n">
        <v>200801</v>
      </c>
      <c r="J9856" s="60" t="n"/>
      <c r="K9856" s="60" t="n">
        <v>4</v>
      </c>
      <c r="L9856" s="60" t="n">
        <v>200801</v>
      </c>
      <c r="M9856" s="94">
        <f>VLOOKUP($Q9856,매칭테이블!$F:$I,2,0)*K9856</f>
        <v/>
      </c>
      <c r="N9856" s="94">
        <f>M9856-M9856*VLOOKUP($Q9856,매칭테이블!$F:$I,3,0)</f>
        <v/>
      </c>
      <c r="O9856" s="94">
        <f>VLOOKUP($Q9856,매칭테이블!$F:$I,4,0)*K9856</f>
        <v/>
      </c>
      <c r="P9856" s="148">
        <f>M9856/1.1</f>
        <v/>
      </c>
      <c r="Q9856" s="94">
        <f>F9856&amp;E9856&amp;G9856&amp;L9856</f>
        <v/>
      </c>
    </row>
    <row r="9857" customFormat="1" s="94">
      <c r="B9857" s="128" t="n">
        <v>44111</v>
      </c>
      <c r="C9857" s="94">
        <f>TEXT(B9857,"aaa")</f>
        <v/>
      </c>
      <c r="D9857" s="60" t="n"/>
      <c r="E9857" s="60" t="inlineStr">
        <is>
          <t>수딩크림</t>
        </is>
      </c>
      <c r="F9857" s="60" t="inlineStr">
        <is>
          <t>카페24</t>
        </is>
      </c>
      <c r="G9857" s="60" t="inlineStr">
        <is>
          <t>수딩크림 100ml</t>
        </is>
      </c>
      <c r="H9857" s="60" t="n">
        <v>200801</v>
      </c>
      <c r="I9857" s="60" t="n">
        <v>200801</v>
      </c>
      <c r="J9857" s="60" t="n"/>
      <c r="K9857" s="60" t="n">
        <v>5</v>
      </c>
      <c r="L9857" s="60" t="n">
        <v>200801</v>
      </c>
      <c r="M9857" s="94">
        <f>VLOOKUP($Q9857,매칭테이블!$F:$I,2,0)*K9857</f>
        <v/>
      </c>
      <c r="N9857" s="94">
        <f>M9857-M9857*VLOOKUP($Q9857,매칭테이블!$F:$I,3,0)</f>
        <v/>
      </c>
      <c r="O9857" s="94">
        <f>VLOOKUP($Q9857,매칭테이블!$F:$I,4,0)*K9857</f>
        <v/>
      </c>
      <c r="P9857" s="148">
        <f>M9857/1.1</f>
        <v/>
      </c>
      <c r="Q9857" s="94">
        <f>F9857&amp;E9857&amp;G9857&amp;L9857</f>
        <v/>
      </c>
    </row>
    <row r="9858" customFormat="1" s="94">
      <c r="B9858" s="128" t="n">
        <v>44111</v>
      </c>
      <c r="C9858" s="94">
        <f>TEXT(B9858,"aaa")</f>
        <v/>
      </c>
      <c r="D9858" s="60" t="n"/>
      <c r="E9858" s="60" t="inlineStr">
        <is>
          <t>클렌징폼</t>
        </is>
      </c>
      <c r="F9858" s="60" t="inlineStr">
        <is>
          <t>카페24</t>
        </is>
      </c>
      <c r="G9858" s="60" t="inlineStr">
        <is>
          <t>클렌징폼 120ml</t>
        </is>
      </c>
      <c r="H9858" s="60" t="n">
        <v>200801</v>
      </c>
      <c r="I9858" s="60" t="n">
        <v>200801</v>
      </c>
      <c r="J9858" s="60" t="n"/>
      <c r="K9858" s="60" t="n">
        <v>13</v>
      </c>
      <c r="L9858" s="60" t="n">
        <v>200801</v>
      </c>
      <c r="M9858" s="94">
        <f>VLOOKUP($Q9858,매칭테이블!$F:$I,2,0)*K9858</f>
        <v/>
      </c>
      <c r="N9858" s="94">
        <f>M9858-M9858*VLOOKUP($Q9858,매칭테이블!$F:$I,3,0)</f>
        <v/>
      </c>
      <c r="O9858" s="94">
        <f>VLOOKUP($Q9858,매칭테이블!$F:$I,4,0)*K9858</f>
        <v/>
      </c>
      <c r="P9858" s="148">
        <f>M9858/1.1</f>
        <v/>
      </c>
      <c r="Q9858" s="94">
        <f>F9858&amp;E9858&amp;G9858&amp;L9858</f>
        <v/>
      </c>
    </row>
    <row r="9859" customFormat="1" s="94">
      <c r="B9859" s="128" t="n">
        <v>44111</v>
      </c>
      <c r="C9859" s="94">
        <f>TEXT(B9859,"aaa")</f>
        <v/>
      </c>
      <c r="D9859" s="60" t="n"/>
      <c r="E9859" s="60" t="inlineStr">
        <is>
          <t>클렌징폼</t>
        </is>
      </c>
      <c r="F9859" s="60" t="inlineStr">
        <is>
          <t>카페24</t>
        </is>
      </c>
      <c r="G9859" s="60" t="inlineStr">
        <is>
          <t>클렌징폼 120ml 2set</t>
        </is>
      </c>
      <c r="H9859" s="60" t="n">
        <v>200801</v>
      </c>
      <c r="I9859" s="60" t="n">
        <v>200801</v>
      </c>
      <c r="J9859" s="60" t="n"/>
      <c r="K9859" s="60" t="n">
        <v>4</v>
      </c>
      <c r="L9859" s="60" t="n">
        <v>200801</v>
      </c>
      <c r="M9859" s="94">
        <f>VLOOKUP($Q9859,매칭테이블!$F:$I,2,0)*K9859</f>
        <v/>
      </c>
      <c r="N9859" s="94">
        <f>M9859-M9859*VLOOKUP($Q9859,매칭테이블!$F:$I,3,0)</f>
        <v/>
      </c>
      <c r="O9859" s="94">
        <f>VLOOKUP($Q9859,매칭테이블!$F:$I,4,0)*K9859</f>
        <v/>
      </c>
      <c r="P9859" s="148">
        <f>M9859/1.1</f>
        <v/>
      </c>
      <c r="Q9859" s="94">
        <f>F9859&amp;E9859&amp;G9859&amp;L9859</f>
        <v/>
      </c>
    </row>
    <row r="9860" customFormat="1" s="94">
      <c r="B9860" s="128" t="n">
        <v>44111</v>
      </c>
      <c r="C9860" s="94">
        <f>TEXT(B9860,"aaa")</f>
        <v/>
      </c>
      <c r="D9860" s="60" t="n"/>
      <c r="E9860" s="60" t="inlineStr">
        <is>
          <t>클렌징폼</t>
        </is>
      </c>
      <c r="F9860" s="60" t="inlineStr">
        <is>
          <t>카페24</t>
        </is>
      </c>
      <c r="G9860" s="60" t="inlineStr">
        <is>
          <t>클렌징폼 120ml 3set</t>
        </is>
      </c>
      <c r="H9860" s="60" t="n">
        <v>200801</v>
      </c>
      <c r="I9860" s="60" t="n">
        <v>200801</v>
      </c>
      <c r="J9860" s="60" t="n"/>
      <c r="K9860" s="60" t="n">
        <v>1</v>
      </c>
      <c r="L9860" s="60" t="n">
        <v>200801</v>
      </c>
      <c r="M9860" s="94">
        <f>VLOOKUP($Q9860,매칭테이블!$F:$I,2,0)*K9860</f>
        <v/>
      </c>
      <c r="N9860" s="94">
        <f>M9860-M9860*VLOOKUP($Q9860,매칭테이블!$F:$I,3,0)</f>
        <v/>
      </c>
      <c r="O9860" s="94">
        <f>VLOOKUP($Q9860,매칭테이블!$F:$I,4,0)*K9860</f>
        <v/>
      </c>
      <c r="P9860" s="148">
        <f>M9860/1.1</f>
        <v/>
      </c>
      <c r="Q9860" s="94">
        <f>F9860&amp;E9860&amp;G9860&amp;L9860</f>
        <v/>
      </c>
    </row>
    <row r="9861" customFormat="1" s="94">
      <c r="B9861" s="128" t="n">
        <v>44111</v>
      </c>
      <c r="C9861" s="94">
        <f>TEXT(B9861,"aaa")</f>
        <v/>
      </c>
      <c r="D9861" s="60" t="n"/>
      <c r="E9861" s="60" t="inlineStr">
        <is>
          <t>토너</t>
        </is>
      </c>
      <c r="F9861" s="60" t="inlineStr">
        <is>
          <t>화해</t>
        </is>
      </c>
      <c r="G9861" s="60" t="inlineStr">
        <is>
          <t>250ml</t>
        </is>
      </c>
      <c r="H9861" s="60" t="n">
        <v>200801</v>
      </c>
      <c r="I9861" s="60" t="n">
        <v>200801</v>
      </c>
      <c r="J9861" s="60" t="n"/>
      <c r="K9861" s="60" t="n">
        <v>2</v>
      </c>
      <c r="L9861" s="60" t="n">
        <v>200801</v>
      </c>
      <c r="M9861" s="94">
        <f>VLOOKUP($Q9861,매칭테이블!$F:$I,2,0)*K9861</f>
        <v/>
      </c>
      <c r="N9861" s="94">
        <f>M9861-M9861*VLOOKUP($Q9861,매칭테이블!$F:$I,3,0)</f>
        <v/>
      </c>
      <c r="O9861" s="94">
        <f>VLOOKUP($Q9861,매칭테이블!$F:$I,4,0)*K9861</f>
        <v/>
      </c>
      <c r="P9861" s="148">
        <f>M9861/1.1</f>
        <v/>
      </c>
      <c r="Q9861" s="94">
        <f>F9861&amp;E9861&amp;G9861&amp;L9861</f>
        <v/>
      </c>
    </row>
    <row r="9862" customFormat="1" s="94">
      <c r="B9862" s="128" t="n">
        <v>44112</v>
      </c>
      <c r="C9862" s="94">
        <f>TEXT(B9862,"aaa")</f>
        <v/>
      </c>
      <c r="E9862" s="94" t="inlineStr">
        <is>
          <t>토너</t>
        </is>
      </c>
      <c r="F9862" s="5" t="inlineStr">
        <is>
          <t>W컨셉</t>
        </is>
      </c>
      <c r="G9862" s="94" t="inlineStr">
        <is>
          <t>250ml 2set</t>
        </is>
      </c>
      <c r="H9862" s="94" t="n">
        <v>200801</v>
      </c>
      <c r="I9862" s="94" t="n">
        <v>200801</v>
      </c>
      <c r="K9862" s="94" t="n">
        <v>10</v>
      </c>
      <c r="L9862" s="94" t="n">
        <v>200801</v>
      </c>
      <c r="M9862" s="94">
        <f>VLOOKUP($Q9862,매칭테이블!$F:$I,2,0)*K9862</f>
        <v/>
      </c>
      <c r="N9862" s="94">
        <f>M9862-M9862*VLOOKUP($Q9862,매칭테이블!$F:$I,3,0)</f>
        <v/>
      </c>
      <c r="O9862" s="94">
        <f>VLOOKUP($Q9862,매칭테이블!$F:$I,4,0)*K9862</f>
        <v/>
      </c>
      <c r="P9862" s="148">
        <f>M9862/1.1</f>
        <v/>
      </c>
      <c r="Q9862" s="94">
        <f>F9862&amp;E9862&amp;G9862&amp;L9862</f>
        <v/>
      </c>
    </row>
    <row r="9863" customFormat="1" s="94">
      <c r="B9863" s="128" t="n">
        <v>44112</v>
      </c>
      <c r="C9863" s="94">
        <f>TEXT(B9863,"aaa")</f>
        <v/>
      </c>
      <c r="E9863" s="94" t="inlineStr">
        <is>
          <t>로션</t>
        </is>
      </c>
      <c r="F9863" s="5" t="inlineStr">
        <is>
          <t>글로우데이즈 시코르</t>
        </is>
      </c>
      <c r="G9863" s="94" t="inlineStr">
        <is>
          <t>로션 200ml</t>
        </is>
      </c>
      <c r="H9863" s="94" t="n">
        <v>200801</v>
      </c>
      <c r="I9863" s="94" t="n">
        <v>200801</v>
      </c>
      <c r="K9863" s="94" t="n">
        <v>5</v>
      </c>
      <c r="L9863" s="94" t="n">
        <v>200801</v>
      </c>
      <c r="M9863" s="94">
        <f>VLOOKUP($Q9863,매칭테이블!$F:$I,2,0)*K9863</f>
        <v/>
      </c>
      <c r="N9863" s="94">
        <f>M9863-M9863*VLOOKUP($Q9863,매칭테이블!$F:$I,3,0)</f>
        <v/>
      </c>
      <c r="O9863" s="94">
        <f>VLOOKUP($Q9863,매칭테이블!$F:$I,4,0)*K9863</f>
        <v/>
      </c>
      <c r="P9863" s="148">
        <f>M9863/1.1</f>
        <v/>
      </c>
      <c r="Q9863" s="94">
        <f>F9863&amp;E9863&amp;G9863&amp;L9863</f>
        <v/>
      </c>
    </row>
    <row r="9864" customFormat="1" s="94">
      <c r="B9864" s="128" t="n">
        <v>44112</v>
      </c>
      <c r="C9864" s="94">
        <f>TEXT(B9864,"aaa")</f>
        <v/>
      </c>
      <c r="E9864" s="94" t="inlineStr">
        <is>
          <t>클리어 패드</t>
        </is>
      </c>
      <c r="F9864" s="5" t="inlineStr">
        <is>
          <t>글로우데이즈 시코르</t>
        </is>
      </c>
      <c r="G9864" s="94" t="inlineStr">
        <is>
          <t>어성초 클리어패드 70P</t>
        </is>
      </c>
      <c r="H9864" s="94" t="n">
        <v>200801</v>
      </c>
      <c r="I9864" s="94" t="n">
        <v>200801</v>
      </c>
      <c r="K9864" s="94" t="n">
        <v>5</v>
      </c>
      <c r="L9864" s="94" t="n">
        <v>200801</v>
      </c>
      <c r="M9864" s="94">
        <f>VLOOKUP($Q9864,매칭테이블!$F:$I,2,0)*K9864</f>
        <v/>
      </c>
      <c r="N9864" s="94">
        <f>M9864-M9864*VLOOKUP($Q9864,매칭테이블!$F:$I,3,0)</f>
        <v/>
      </c>
      <c r="O9864" s="94">
        <f>VLOOKUP($Q9864,매칭테이블!$F:$I,4,0)*K9864</f>
        <v/>
      </c>
      <c r="P9864" s="148">
        <f>M9864/1.1</f>
        <v/>
      </c>
      <c r="Q9864" s="94">
        <f>F9864&amp;E9864&amp;G9864&amp;L9864</f>
        <v/>
      </c>
    </row>
    <row r="9865" customFormat="1" s="94">
      <c r="B9865" s="128" t="n">
        <v>44112</v>
      </c>
      <c r="C9865" s="94">
        <f>TEXT(B9865,"aaa")</f>
        <v/>
      </c>
      <c r="E9865" s="94" t="inlineStr">
        <is>
          <t>토너</t>
        </is>
      </c>
      <c r="F9865" s="5" t="inlineStr">
        <is>
          <t>스타일쉐어</t>
        </is>
      </c>
      <c r="G9865" s="94" t="inlineStr">
        <is>
          <t>250ml</t>
        </is>
      </c>
      <c r="H9865" s="94" t="n">
        <v>200801</v>
      </c>
      <c r="I9865" s="94" t="n">
        <v>200801</v>
      </c>
      <c r="K9865" s="94" t="n">
        <v>5</v>
      </c>
      <c r="L9865" s="94" t="n">
        <v>200801</v>
      </c>
      <c r="M9865" s="94">
        <f>VLOOKUP($Q9865,매칭테이블!$F:$I,2,0)*K9865</f>
        <v/>
      </c>
      <c r="N9865" s="94">
        <f>M9865-M9865*VLOOKUP($Q9865,매칭테이블!$F:$I,3,0)</f>
        <v/>
      </c>
      <c r="O9865" s="94">
        <f>VLOOKUP($Q9865,매칭테이블!$F:$I,4,0)*K9865</f>
        <v/>
      </c>
      <c r="P9865" s="148">
        <f>M9865/1.1</f>
        <v/>
      </c>
      <c r="Q9865" s="94">
        <f>F9865&amp;E9865&amp;G9865&amp;L9865</f>
        <v/>
      </c>
    </row>
    <row r="9866" customFormat="1" s="94">
      <c r="B9866" s="128" t="n">
        <v>44112</v>
      </c>
      <c r="C9866" s="94">
        <f>TEXT(B9866,"aaa")</f>
        <v/>
      </c>
      <c r="E9866" s="94" t="inlineStr">
        <is>
          <t>로션</t>
        </is>
      </c>
      <c r="F9866" s="5" t="inlineStr">
        <is>
          <t>아누아 CS</t>
        </is>
      </c>
      <c r="G9866" s="94" t="inlineStr">
        <is>
          <t>로션 200ml</t>
        </is>
      </c>
      <c r="H9866" s="94" t="n">
        <v>200801</v>
      </c>
      <c r="I9866" s="94" t="n">
        <v>200801</v>
      </c>
      <c r="K9866" s="94" t="n">
        <v>20</v>
      </c>
      <c r="L9866" s="94" t="n">
        <v>200801</v>
      </c>
      <c r="M9866" s="94">
        <f>VLOOKUP($Q9866,매칭테이블!$F:$I,2,0)*K9866</f>
        <v/>
      </c>
      <c r="N9866" s="94">
        <f>M9866-M9866*VLOOKUP($Q9866,매칭테이블!$F:$I,3,0)</f>
        <v/>
      </c>
      <c r="O9866" s="94">
        <f>VLOOKUP($Q9866,매칭테이블!$F:$I,4,0)*K9866</f>
        <v/>
      </c>
      <c r="P9866" s="148">
        <f>M9866/1.1</f>
        <v/>
      </c>
      <c r="Q9866" s="94">
        <f>F9866&amp;E9866&amp;G9866&amp;L9866</f>
        <v/>
      </c>
    </row>
    <row r="9867" customFormat="1" s="94">
      <c r="B9867" s="128" t="n">
        <v>44112</v>
      </c>
      <c r="C9867" s="94">
        <f>TEXT(B9867,"aaa")</f>
        <v/>
      </c>
      <c r="E9867" s="94" t="inlineStr">
        <is>
          <t>바디워시</t>
        </is>
      </c>
      <c r="F9867" s="5" t="inlineStr">
        <is>
          <t>아누아 CS</t>
        </is>
      </c>
      <c r="G9867" s="94" t="inlineStr">
        <is>
          <t>바디워시 500ml</t>
        </is>
      </c>
      <c r="H9867" s="94" t="n">
        <v>200801</v>
      </c>
      <c r="I9867" s="94" t="n">
        <v>200801</v>
      </c>
      <c r="K9867" s="94" t="n">
        <v>10</v>
      </c>
      <c r="L9867" s="94" t="n">
        <v>200801</v>
      </c>
      <c r="M9867" s="94">
        <f>VLOOKUP($Q9867,매칭테이블!$F:$I,2,0)*K9867</f>
        <v/>
      </c>
      <c r="N9867" s="94">
        <f>M9867-M9867*VLOOKUP($Q9867,매칭테이블!$F:$I,3,0)</f>
        <v/>
      </c>
      <c r="O9867" s="94">
        <f>VLOOKUP($Q9867,매칭테이블!$F:$I,4,0)*K9867</f>
        <v/>
      </c>
      <c r="P9867" s="148">
        <f>M9867/1.1</f>
        <v/>
      </c>
      <c r="Q9867" s="94">
        <f>F9867&amp;E9867&amp;G9867&amp;L9867</f>
        <v/>
      </c>
    </row>
    <row r="9868" customFormat="1" s="94">
      <c r="B9868" s="128" t="n">
        <v>44112</v>
      </c>
      <c r="C9868" s="94">
        <f>TEXT(B9868,"aaa")</f>
        <v/>
      </c>
      <c r="E9868" s="94" t="inlineStr">
        <is>
          <t>토너</t>
        </is>
      </c>
      <c r="F9868" s="5" t="inlineStr">
        <is>
          <t>아누아 CS</t>
        </is>
      </c>
      <c r="G9868" s="94" t="inlineStr">
        <is>
          <t>250ml</t>
        </is>
      </c>
      <c r="H9868" s="94" t="n">
        <v>200801</v>
      </c>
      <c r="I9868" s="94" t="n">
        <v>200801</v>
      </c>
      <c r="K9868" s="94" t="n">
        <v>80</v>
      </c>
      <c r="L9868" s="94" t="n">
        <v>200801</v>
      </c>
      <c r="M9868" s="94">
        <f>VLOOKUP($Q9868,매칭테이블!$F:$I,2,0)*K9868</f>
        <v/>
      </c>
      <c r="N9868" s="94">
        <f>M9868-M9868*VLOOKUP($Q9868,매칭테이블!$F:$I,3,0)</f>
        <v/>
      </c>
      <c r="O9868" s="94">
        <f>VLOOKUP($Q9868,매칭테이블!$F:$I,4,0)*K9868</f>
        <v/>
      </c>
      <c r="P9868" s="148">
        <f>M9868/1.1</f>
        <v/>
      </c>
      <c r="Q9868" s="94">
        <f>F9868&amp;E9868&amp;G9868&amp;L9868</f>
        <v/>
      </c>
    </row>
    <row r="9869" customFormat="1" s="94">
      <c r="B9869" s="128" t="n">
        <v>44112</v>
      </c>
      <c r="C9869" s="94">
        <f>TEXT(B9869,"aaa")</f>
        <v/>
      </c>
      <c r="E9869" s="94" t="inlineStr">
        <is>
          <t>앰플</t>
        </is>
      </c>
      <c r="F9869" s="5" t="inlineStr">
        <is>
          <t>아누아 CS</t>
        </is>
      </c>
      <c r="G9869" s="94" t="inlineStr">
        <is>
          <t>앰플 30ml</t>
        </is>
      </c>
      <c r="H9869" s="94" t="n">
        <v>200801</v>
      </c>
      <c r="I9869" s="94" t="n">
        <v>200801</v>
      </c>
      <c r="K9869" s="94" t="n">
        <v>70</v>
      </c>
      <c r="L9869" s="94" t="n">
        <v>200801</v>
      </c>
      <c r="M9869" s="94">
        <f>VLOOKUP($Q9869,매칭테이블!$F:$I,2,0)*K9869</f>
        <v/>
      </c>
      <c r="N9869" s="94">
        <f>M9869-M9869*VLOOKUP($Q9869,매칭테이블!$F:$I,3,0)</f>
        <v/>
      </c>
      <c r="O9869" s="94">
        <f>VLOOKUP($Q9869,매칭테이블!$F:$I,4,0)*K9869</f>
        <v/>
      </c>
      <c r="P9869" s="148">
        <f>M9869/1.1</f>
        <v/>
      </c>
      <c r="Q9869" s="94">
        <f>F9869&amp;E9869&amp;G9869&amp;L9869</f>
        <v/>
      </c>
    </row>
    <row r="9870" customFormat="1" s="94">
      <c r="B9870" s="128" t="n">
        <v>44112</v>
      </c>
      <c r="C9870" s="94">
        <f>TEXT(B9870,"aaa")</f>
        <v/>
      </c>
      <c r="E9870" s="94" t="inlineStr">
        <is>
          <t>마스크팩</t>
        </is>
      </c>
      <c r="F9870" s="5" t="inlineStr">
        <is>
          <t>아누아 CS</t>
        </is>
      </c>
      <c r="G9870" s="94" t="inlineStr">
        <is>
          <t>마스크팩 1매</t>
        </is>
      </c>
      <c r="H9870" s="94" t="n">
        <v>200801</v>
      </c>
      <c r="I9870" s="94" t="n">
        <v>200801</v>
      </c>
      <c r="K9870" s="94" t="n">
        <v>80</v>
      </c>
      <c r="L9870" s="94" t="n">
        <v>200801</v>
      </c>
      <c r="M9870" s="94">
        <f>VLOOKUP($Q9870,매칭테이블!$F:$I,2,0)*K9870</f>
        <v/>
      </c>
      <c r="N9870" s="94">
        <f>M9870-M9870*VLOOKUP($Q9870,매칭테이블!$F:$I,3,0)</f>
        <v/>
      </c>
      <c r="O9870" s="94">
        <f>VLOOKUP($Q9870,매칭테이블!$F:$I,4,0)*K9870</f>
        <v/>
      </c>
      <c r="P9870" s="148">
        <f>M9870/1.1</f>
        <v/>
      </c>
      <c r="Q9870" s="94">
        <f>F9870&amp;E9870&amp;G9870&amp;L9870</f>
        <v/>
      </c>
    </row>
    <row r="9871" customFormat="1" s="94">
      <c r="B9871" s="128" t="n">
        <v>44112</v>
      </c>
      <c r="C9871" s="94">
        <f>TEXT(B9871,"aaa")</f>
        <v/>
      </c>
      <c r="E9871" s="94" t="inlineStr">
        <is>
          <t>선크림</t>
        </is>
      </c>
      <c r="F9871" s="5" t="inlineStr">
        <is>
          <t>아누아 CS</t>
        </is>
      </c>
      <c r="G9871" s="94" t="inlineStr">
        <is>
          <t>선크림 50ml</t>
        </is>
      </c>
      <c r="H9871" s="94" t="n">
        <v>200801</v>
      </c>
      <c r="I9871" s="94" t="n">
        <v>200801</v>
      </c>
      <c r="K9871" s="94" t="n">
        <v>15</v>
      </c>
      <c r="L9871" s="94" t="n">
        <v>200801</v>
      </c>
      <c r="M9871" s="94">
        <f>VLOOKUP($Q9871,매칭테이블!$F:$I,2,0)*K9871</f>
        <v/>
      </c>
      <c r="N9871" s="94">
        <f>M9871-M9871*VLOOKUP($Q9871,매칭테이블!$F:$I,3,0)</f>
        <v/>
      </c>
      <c r="O9871" s="94">
        <f>VLOOKUP($Q9871,매칭테이블!$F:$I,4,0)*K9871</f>
        <v/>
      </c>
      <c r="P9871" s="148">
        <f>M9871/1.1</f>
        <v/>
      </c>
      <c r="Q9871" s="94">
        <f>F9871&amp;E9871&amp;G9871&amp;L9871</f>
        <v/>
      </c>
    </row>
    <row r="9872" customFormat="1" s="94">
      <c r="B9872" s="128" t="n">
        <v>44112</v>
      </c>
      <c r="C9872" s="94">
        <f>TEXT(B9872,"aaa")</f>
        <v/>
      </c>
      <c r="E9872" s="94" t="inlineStr">
        <is>
          <t>수딩크림</t>
        </is>
      </c>
      <c r="F9872" s="5" t="inlineStr">
        <is>
          <t>아누아 CS</t>
        </is>
      </c>
      <c r="G9872" s="94" t="inlineStr">
        <is>
          <t>수딩크림 100ml</t>
        </is>
      </c>
      <c r="H9872" s="94" t="n">
        <v>200801</v>
      </c>
      <c r="I9872" s="94" t="n">
        <v>200801</v>
      </c>
      <c r="K9872" s="94" t="n">
        <v>20</v>
      </c>
      <c r="L9872" s="94" t="n">
        <v>200801</v>
      </c>
      <c r="M9872" s="94">
        <f>VLOOKUP($Q9872,매칭테이블!$F:$I,2,0)*K9872</f>
        <v/>
      </c>
      <c r="N9872" s="94">
        <f>M9872-M9872*VLOOKUP($Q9872,매칭테이블!$F:$I,3,0)</f>
        <v/>
      </c>
      <c r="O9872" s="94">
        <f>VLOOKUP($Q9872,매칭테이블!$F:$I,4,0)*K9872</f>
        <v/>
      </c>
      <c r="P9872" s="148">
        <f>M9872/1.1</f>
        <v/>
      </c>
      <c r="Q9872" s="94">
        <f>F9872&amp;E9872&amp;G9872&amp;L9872</f>
        <v/>
      </c>
    </row>
    <row r="9873" customFormat="1" s="94">
      <c r="B9873" s="128" t="n">
        <v>44112</v>
      </c>
      <c r="C9873" s="94">
        <f>TEXT(B9873,"aaa")</f>
        <v/>
      </c>
      <c r="E9873" s="94" t="inlineStr">
        <is>
          <t>클렌징폼</t>
        </is>
      </c>
      <c r="F9873" s="5" t="inlineStr">
        <is>
          <t>아누아 CS</t>
        </is>
      </c>
      <c r="G9873" s="94" t="inlineStr">
        <is>
          <t>클렌징폼 120ml</t>
        </is>
      </c>
      <c r="H9873" s="94" t="n">
        <v>200801</v>
      </c>
      <c r="I9873" s="94" t="n">
        <v>200801</v>
      </c>
      <c r="K9873" s="94" t="n">
        <v>20</v>
      </c>
      <c r="L9873" s="94" t="n">
        <v>200801</v>
      </c>
      <c r="M9873" s="94">
        <f>VLOOKUP($Q9873,매칭테이블!$F:$I,2,0)*K9873</f>
        <v/>
      </c>
      <c r="N9873" s="94">
        <f>M9873-M9873*VLOOKUP($Q9873,매칭테이블!$F:$I,3,0)</f>
        <v/>
      </c>
      <c r="O9873" s="94">
        <f>VLOOKUP($Q9873,매칭테이블!$F:$I,4,0)*K9873</f>
        <v/>
      </c>
      <c r="P9873" s="148">
        <f>M9873/1.1</f>
        <v/>
      </c>
      <c r="Q9873" s="94">
        <f>F9873&amp;E9873&amp;G9873&amp;L9873</f>
        <v/>
      </c>
    </row>
    <row r="9874" customFormat="1" s="94">
      <c r="B9874" s="128" t="n">
        <v>44112</v>
      </c>
      <c r="C9874" s="94">
        <f>TEXT(B9874,"aaa")</f>
        <v/>
      </c>
      <c r="E9874" s="94" t="inlineStr">
        <is>
          <t>머드크림마스크</t>
        </is>
      </c>
      <c r="F9874" s="5" t="inlineStr">
        <is>
          <t>아누아 CS</t>
        </is>
      </c>
      <c r="G9874" s="94" t="inlineStr">
        <is>
          <t>머드크림마스크 100ml</t>
        </is>
      </c>
      <c r="H9874" s="94" t="n">
        <v>200801</v>
      </c>
      <c r="I9874" s="94" t="n">
        <v>200801</v>
      </c>
      <c r="K9874" s="94" t="n">
        <v>30</v>
      </c>
      <c r="L9874" s="94" t="n">
        <v>200801</v>
      </c>
      <c r="M9874" s="94">
        <f>VLOOKUP($Q9874,매칭테이블!$F:$I,2,0)*K9874</f>
        <v/>
      </c>
      <c r="N9874" s="94">
        <f>M9874-M9874*VLOOKUP($Q9874,매칭테이블!$F:$I,3,0)</f>
        <v/>
      </c>
      <c r="O9874" s="94">
        <f>VLOOKUP($Q9874,매칭테이블!$F:$I,4,0)*K9874</f>
        <v/>
      </c>
      <c r="P9874" s="148">
        <f>M9874/1.1</f>
        <v/>
      </c>
      <c r="Q9874" s="94">
        <f>F9874&amp;E9874&amp;G9874&amp;L9874</f>
        <v/>
      </c>
    </row>
    <row r="9875" customFormat="1" s="94">
      <c r="B9875" s="128" t="n">
        <v>44112</v>
      </c>
      <c r="C9875" s="94">
        <f>TEXT(B9875,"aaa")</f>
        <v/>
      </c>
      <c r="E9875" s="94" t="inlineStr">
        <is>
          <t>선크림</t>
        </is>
      </c>
      <c r="F9875" s="5" t="inlineStr">
        <is>
          <t>카페24</t>
        </is>
      </c>
      <c r="G9875" s="94" t="inlineStr">
        <is>
          <t>선크림 50ml  2set</t>
        </is>
      </c>
      <c r="H9875" s="94" t="n">
        <v>200801</v>
      </c>
      <c r="I9875" s="94" t="n">
        <v>200801</v>
      </c>
      <c r="K9875" s="94" t="n">
        <v>1</v>
      </c>
      <c r="L9875" s="94" t="n">
        <v>200801</v>
      </c>
      <c r="M9875" s="94">
        <f>VLOOKUP($Q9875,매칭테이블!$F:$I,2,0)*K9875</f>
        <v/>
      </c>
      <c r="N9875" s="94">
        <f>M9875-M9875*VLOOKUP($Q9875,매칭테이블!$F:$I,3,0)</f>
        <v/>
      </c>
      <c r="O9875" s="94">
        <f>VLOOKUP($Q9875,매칭테이블!$F:$I,4,0)*K9875</f>
        <v/>
      </c>
      <c r="P9875" s="148">
        <f>M9875/1.1</f>
        <v/>
      </c>
      <c r="Q9875" s="94">
        <f>F9875&amp;E9875&amp;G9875&amp;L9875</f>
        <v/>
      </c>
    </row>
    <row r="9876" customFormat="1" s="94">
      <c r="B9876" s="128" t="n">
        <v>44112</v>
      </c>
      <c r="C9876" s="94">
        <f>TEXT(B9876,"aaa")</f>
        <v/>
      </c>
      <c r="E9876" s="94" t="inlineStr">
        <is>
          <t>어성초진정패키지</t>
        </is>
      </c>
      <c r="F9876" s="5" t="inlineStr">
        <is>
          <t>카페24</t>
        </is>
      </c>
      <c r="G9876" s="94" t="inlineStr">
        <is>
          <t>어성초 진정패키지세트</t>
        </is>
      </c>
      <c r="H9876" s="94" t="n">
        <v>200801</v>
      </c>
      <c r="I9876" s="94" t="n">
        <v>200801</v>
      </c>
      <c r="K9876" s="94" t="n">
        <v>5</v>
      </c>
      <c r="L9876" s="94" t="n">
        <v>200801</v>
      </c>
      <c r="M9876" s="94">
        <f>VLOOKUP($Q9876,매칭테이블!$F:$I,2,0)*K9876</f>
        <v/>
      </c>
      <c r="N9876" s="94">
        <f>M9876-M9876*VLOOKUP($Q9876,매칭테이블!$F:$I,3,0)</f>
        <v/>
      </c>
      <c r="O9876" s="94">
        <f>VLOOKUP($Q9876,매칭테이블!$F:$I,4,0)*K9876</f>
        <v/>
      </c>
      <c r="P9876" s="148">
        <f>M9876/1.1</f>
        <v/>
      </c>
      <c r="Q9876" s="94">
        <f>F9876&amp;E9876&amp;G9876&amp;L9876</f>
        <v/>
      </c>
    </row>
    <row r="9877" customFormat="1" s="94">
      <c r="B9877" s="128" t="n">
        <v>44112</v>
      </c>
      <c r="C9877" s="94">
        <f>TEXT(B9877,"aaa")</f>
        <v/>
      </c>
      <c r="E9877" s="94" t="inlineStr">
        <is>
          <t>클리어 패드</t>
        </is>
      </c>
      <c r="F9877" s="5" t="inlineStr">
        <is>
          <t>카페24</t>
        </is>
      </c>
      <c r="G9877" s="94" t="inlineStr">
        <is>
          <t>어성초 77 클리어 패드 1개-20% off</t>
        </is>
      </c>
      <c r="H9877" s="94" t="n">
        <v>200801</v>
      </c>
      <c r="I9877" s="94" t="n">
        <v>200801</v>
      </c>
      <c r="K9877" s="94" t="n">
        <v>8</v>
      </c>
      <c r="L9877" s="94" t="n">
        <v>200801</v>
      </c>
      <c r="M9877" s="94">
        <f>VLOOKUP($Q9877,매칭테이블!$F:$I,2,0)*K9877</f>
        <v/>
      </c>
      <c r="N9877" s="94">
        <f>M9877-M9877*VLOOKUP($Q9877,매칭테이블!$F:$I,3,0)</f>
        <v/>
      </c>
      <c r="O9877" s="94">
        <f>VLOOKUP($Q9877,매칭테이블!$F:$I,4,0)*K9877</f>
        <v/>
      </c>
      <c r="P9877" s="148">
        <f>M9877/1.1</f>
        <v/>
      </c>
      <c r="Q9877" s="94">
        <f>F9877&amp;E9877&amp;G9877&amp;L9877</f>
        <v/>
      </c>
    </row>
    <row r="9878" customFormat="1" s="94">
      <c r="B9878" s="128" t="n">
        <v>44112</v>
      </c>
      <c r="C9878" s="94">
        <f>TEXT(B9878,"aaa")</f>
        <v/>
      </c>
      <c r="E9878" s="94" t="inlineStr">
        <is>
          <t>클리어 패드</t>
        </is>
      </c>
      <c r="F9878" s="5" t="inlineStr">
        <is>
          <t>카페24</t>
        </is>
      </c>
      <c r="G9878" s="94" t="inlineStr">
        <is>
          <t>어성초 77 클리어 패드 2개-30% off</t>
        </is>
      </c>
      <c r="H9878" s="94" t="n">
        <v>200801</v>
      </c>
      <c r="I9878" s="94" t="n">
        <v>200801</v>
      </c>
      <c r="K9878" s="94" t="n">
        <v>8</v>
      </c>
      <c r="L9878" s="94" t="n">
        <v>200801</v>
      </c>
      <c r="M9878" s="94">
        <f>VLOOKUP($Q9878,매칭테이블!$F:$I,2,0)*K9878</f>
        <v/>
      </c>
      <c r="N9878" s="94">
        <f>M9878-M9878*VLOOKUP($Q9878,매칭테이블!$F:$I,3,0)</f>
        <v/>
      </c>
      <c r="O9878" s="94">
        <f>VLOOKUP($Q9878,매칭테이블!$F:$I,4,0)*K9878</f>
        <v/>
      </c>
      <c r="P9878" s="148">
        <f>M9878/1.1</f>
        <v/>
      </c>
      <c r="Q9878" s="94">
        <f>F9878&amp;E9878&amp;G9878&amp;L9878</f>
        <v/>
      </c>
    </row>
    <row r="9879" customFormat="1" s="94">
      <c r="B9879" s="128" t="n">
        <v>44112</v>
      </c>
      <c r="C9879" s="94">
        <f>TEXT(B9879,"aaa")</f>
        <v/>
      </c>
      <c r="E9879" s="94" t="inlineStr">
        <is>
          <t>토너+패드 세트</t>
        </is>
      </c>
      <c r="F9879" s="5" t="inlineStr">
        <is>
          <t>카페24</t>
        </is>
      </c>
      <c r="G9879" s="94" t="inlineStr">
        <is>
          <t>좁쌀 진정 세트 토너+클리어 패드-30% off</t>
        </is>
      </c>
      <c r="H9879" s="94" t="n">
        <v>200801</v>
      </c>
      <c r="I9879" s="94" t="n">
        <v>200801</v>
      </c>
      <c r="K9879" s="94" t="n">
        <v>26</v>
      </c>
      <c r="L9879" s="94" t="n">
        <v>200801</v>
      </c>
      <c r="M9879" s="94">
        <f>VLOOKUP($Q9879,매칭테이블!$F:$I,2,0)*K9879</f>
        <v/>
      </c>
      <c r="N9879" s="94">
        <f>M9879-M9879*VLOOKUP($Q9879,매칭테이블!$F:$I,3,0)</f>
        <v/>
      </c>
      <c r="O9879" s="94">
        <f>VLOOKUP($Q9879,매칭테이블!$F:$I,4,0)*K9879</f>
        <v/>
      </c>
      <c r="P9879" s="148">
        <f>M9879/1.1</f>
        <v/>
      </c>
      <c r="Q9879" s="94">
        <f>F9879&amp;E9879&amp;G9879&amp;L9879</f>
        <v/>
      </c>
    </row>
    <row r="9880" customFormat="1" s="94">
      <c r="B9880" s="128" t="n">
        <v>44112</v>
      </c>
      <c r="C9880" s="94">
        <f>TEXT(B9880,"aaa")</f>
        <v/>
      </c>
      <c r="E9880" s="94" t="inlineStr">
        <is>
          <t>수분 보충 세트</t>
        </is>
      </c>
      <c r="F9880" s="5" t="inlineStr">
        <is>
          <t>카페24</t>
        </is>
      </c>
      <c r="G9880" s="71" t="inlineStr">
        <is>
          <t>[20/09/28 부터] 어성초 77 토너 250ml + 어성초 70 로션 200ml -30%</t>
        </is>
      </c>
      <c r="H9880" s="94" t="n">
        <v>200801</v>
      </c>
      <c r="I9880" s="94" t="n">
        <v>200801</v>
      </c>
      <c r="K9880" s="94" t="n">
        <v>32</v>
      </c>
      <c r="L9880" s="94" t="n">
        <v>200801</v>
      </c>
      <c r="M9880" s="94">
        <f>VLOOKUP($Q9880,매칭테이블!$F:$I,2,0)*K9880</f>
        <v/>
      </c>
      <c r="N9880" s="94">
        <f>M9880-M9880*VLOOKUP($Q9880,매칭테이블!$F:$I,3,0)</f>
        <v/>
      </c>
      <c r="O9880" s="94">
        <f>VLOOKUP($Q9880,매칭테이블!$F:$I,4,0)*K9880</f>
        <v/>
      </c>
      <c r="P9880" s="148">
        <f>M9880/1.1</f>
        <v/>
      </c>
      <c r="Q9880" s="94">
        <f>F9880&amp;E9880&amp;G9880&amp;L9880</f>
        <v/>
      </c>
    </row>
    <row r="9881" customFormat="1" s="94">
      <c r="B9881" s="128" t="n">
        <v>44112</v>
      </c>
      <c r="C9881" s="94">
        <f>TEXT(B9881,"aaa")</f>
        <v/>
      </c>
      <c r="E9881" s="94" t="inlineStr">
        <is>
          <t>로션</t>
        </is>
      </c>
      <c r="F9881" s="5" t="inlineStr">
        <is>
          <t>카페24</t>
        </is>
      </c>
      <c r="G9881" s="94" t="inlineStr">
        <is>
          <t>어성초 70 데일리 릴리프 로션 1개 -20% off</t>
        </is>
      </c>
      <c r="H9881" s="94" t="n">
        <v>200801</v>
      </c>
      <c r="I9881" s="94" t="n">
        <v>200801</v>
      </c>
      <c r="K9881" s="94" t="n">
        <v>4</v>
      </c>
      <c r="L9881" s="94" t="n">
        <v>200801</v>
      </c>
      <c r="M9881" s="94">
        <f>VLOOKUP($Q9881,매칭테이블!$F:$I,2,0)*K9881</f>
        <v/>
      </c>
      <c r="N9881" s="94">
        <f>M9881-M9881*VLOOKUP($Q9881,매칭테이블!$F:$I,3,0)</f>
        <v/>
      </c>
      <c r="O9881" s="94">
        <f>VLOOKUP($Q9881,매칭테이블!$F:$I,4,0)*K9881</f>
        <v/>
      </c>
      <c r="P9881" s="148">
        <f>M9881/1.1</f>
        <v/>
      </c>
      <c r="Q9881" s="94">
        <f>F9881&amp;E9881&amp;G9881&amp;L9881</f>
        <v/>
      </c>
    </row>
    <row r="9882" customFormat="1" s="94">
      <c r="B9882" s="128" t="n">
        <v>44112</v>
      </c>
      <c r="C9882" s="94">
        <f>TEXT(B9882,"aaa")</f>
        <v/>
      </c>
      <c r="E9882" s="94" t="inlineStr">
        <is>
          <t>머드크림마스크</t>
        </is>
      </c>
      <c r="F9882" s="5" t="inlineStr">
        <is>
          <t>카페24</t>
        </is>
      </c>
      <c r="G9882" s="94" t="inlineStr">
        <is>
          <t>머드크림마스크 100ml</t>
        </is>
      </c>
      <c r="H9882" s="94" t="n">
        <v>200801</v>
      </c>
      <c r="I9882" s="94" t="n">
        <v>200801</v>
      </c>
      <c r="K9882" s="94" t="n">
        <v>3</v>
      </c>
      <c r="L9882" s="94" t="n">
        <v>200801</v>
      </c>
      <c r="M9882" s="94">
        <f>VLOOKUP($Q9882,매칭테이블!$F:$I,2,0)*K9882</f>
        <v/>
      </c>
      <c r="N9882" s="94">
        <f>M9882-M9882*VLOOKUP($Q9882,매칭테이블!$F:$I,3,0)</f>
        <v/>
      </c>
      <c r="O9882" s="94">
        <f>VLOOKUP($Q9882,매칭테이블!$F:$I,4,0)*K9882</f>
        <v/>
      </c>
      <c r="P9882" s="148">
        <f>M9882/1.1</f>
        <v/>
      </c>
      <c r="Q9882" s="94">
        <f>F9882&amp;E9882&amp;G9882&amp;L9882</f>
        <v/>
      </c>
    </row>
    <row r="9883" customFormat="1" s="94">
      <c r="B9883" s="128" t="n">
        <v>44112</v>
      </c>
      <c r="C9883" s="94">
        <f>TEXT(B9883,"aaa")</f>
        <v/>
      </c>
      <c r="E9883" s="94" t="inlineStr">
        <is>
          <t>머드크림마스크</t>
        </is>
      </c>
      <c r="F9883" s="5" t="inlineStr">
        <is>
          <t>카페24</t>
        </is>
      </c>
      <c r="G9883" s="94" t="inlineStr">
        <is>
          <t>머드크림마스크 100ml 2set</t>
        </is>
      </c>
      <c r="H9883" s="94" t="n">
        <v>200801</v>
      </c>
      <c r="I9883" s="94" t="n">
        <v>200801</v>
      </c>
      <c r="K9883" s="94" t="n">
        <v>2</v>
      </c>
      <c r="L9883" s="94" t="n">
        <v>200801</v>
      </c>
      <c r="M9883" s="94">
        <f>VLOOKUP($Q9883,매칭테이블!$F:$I,2,0)*K9883</f>
        <v/>
      </c>
      <c r="N9883" s="94">
        <f>M9883-M9883*VLOOKUP($Q9883,매칭테이블!$F:$I,3,0)</f>
        <v/>
      </c>
      <c r="O9883" s="94">
        <f>VLOOKUP($Q9883,매칭테이블!$F:$I,4,0)*K9883</f>
        <v/>
      </c>
      <c r="P9883" s="148">
        <f>M9883/1.1</f>
        <v/>
      </c>
      <c r="Q9883" s="94">
        <f>F9883&amp;E9883&amp;G9883&amp;L9883</f>
        <v/>
      </c>
    </row>
    <row r="9884" customFormat="1" s="94">
      <c r="B9884" s="128" t="n">
        <v>44112</v>
      </c>
      <c r="C9884" s="94">
        <f>TEXT(B9884,"aaa")</f>
        <v/>
      </c>
      <c r="E9884" s="94" t="inlineStr">
        <is>
          <t>마스크팩</t>
        </is>
      </c>
      <c r="F9884" s="5" t="inlineStr">
        <is>
          <t>카페24</t>
        </is>
      </c>
      <c r="G9884" s="94" t="inlineStr">
        <is>
          <t>마스크팩 1매</t>
        </is>
      </c>
      <c r="H9884" s="94" t="n">
        <v>200801</v>
      </c>
      <c r="I9884" s="94" t="n">
        <v>200801</v>
      </c>
      <c r="K9884" s="94" t="n">
        <v>1</v>
      </c>
      <c r="L9884" s="94" t="n">
        <v>200801</v>
      </c>
      <c r="M9884" s="94">
        <f>VLOOKUP($Q9884,매칭테이블!$F:$I,2,0)*K9884</f>
        <v/>
      </c>
      <c r="N9884" s="94">
        <f>M9884-M9884*VLOOKUP($Q9884,매칭테이블!$F:$I,3,0)</f>
        <v/>
      </c>
      <c r="O9884" s="94">
        <f>VLOOKUP($Q9884,매칭테이블!$F:$I,4,0)*K9884</f>
        <v/>
      </c>
      <c r="P9884" s="148">
        <f>M9884/1.1</f>
        <v/>
      </c>
      <c r="Q9884" s="94">
        <f>F9884&amp;E9884&amp;G9884&amp;L9884</f>
        <v/>
      </c>
    </row>
    <row r="9885" customFormat="1" s="94">
      <c r="B9885" s="128" t="n">
        <v>44112</v>
      </c>
      <c r="C9885" s="94">
        <f>TEXT(B9885,"aaa")</f>
        <v/>
      </c>
      <c r="E9885" s="94" t="inlineStr">
        <is>
          <t>마스크팩</t>
        </is>
      </c>
      <c r="F9885" s="5" t="inlineStr">
        <is>
          <t>카페24</t>
        </is>
      </c>
      <c r="G9885" s="94" t="inlineStr">
        <is>
          <t>마스크팩 10매</t>
        </is>
      </c>
      <c r="H9885" s="94" t="n">
        <v>200801</v>
      </c>
      <c r="I9885" s="94" t="n">
        <v>200801</v>
      </c>
      <c r="K9885" s="94" t="n">
        <v>3</v>
      </c>
      <c r="L9885" s="94" t="n">
        <v>200801</v>
      </c>
      <c r="M9885" s="94">
        <f>VLOOKUP($Q9885,매칭테이블!$F:$I,2,0)*K9885</f>
        <v/>
      </c>
      <c r="N9885" s="94">
        <f>M9885-M9885*VLOOKUP($Q9885,매칭테이블!$F:$I,3,0)</f>
        <v/>
      </c>
      <c r="O9885" s="94">
        <f>VLOOKUP($Q9885,매칭테이블!$F:$I,4,0)*K9885</f>
        <v/>
      </c>
      <c r="P9885" s="148">
        <f>M9885/1.1</f>
        <v/>
      </c>
      <c r="Q9885" s="94">
        <f>F9885&amp;E9885&amp;G9885&amp;L9885</f>
        <v/>
      </c>
    </row>
    <row r="9886" customFormat="1" s="94">
      <c r="B9886" s="128" t="n">
        <v>44112</v>
      </c>
      <c r="C9886" s="94">
        <f>TEXT(B9886,"aaa")</f>
        <v/>
      </c>
      <c r="E9886" s="94" t="inlineStr">
        <is>
          <t>토너</t>
        </is>
      </c>
      <c r="F9886" s="5" t="inlineStr">
        <is>
          <t>카페24</t>
        </is>
      </c>
      <c r="G9886" s="94" t="inlineStr">
        <is>
          <t>250ml</t>
        </is>
      </c>
      <c r="H9886" s="94" t="n">
        <v>200801</v>
      </c>
      <c r="I9886" s="94" t="n">
        <v>200801</v>
      </c>
      <c r="K9886" s="94" t="n">
        <v>33</v>
      </c>
      <c r="L9886" s="94" t="n">
        <v>200801</v>
      </c>
      <c r="M9886" s="94">
        <f>VLOOKUP($Q9886,매칭테이블!$F:$I,2,0)*K9886</f>
        <v/>
      </c>
      <c r="N9886" s="94">
        <f>M9886-M9886*VLOOKUP($Q9886,매칭테이블!$F:$I,3,0)</f>
        <v/>
      </c>
      <c r="O9886" s="94">
        <f>VLOOKUP($Q9886,매칭테이블!$F:$I,4,0)*K9886</f>
        <v/>
      </c>
      <c r="P9886" s="148">
        <f>M9886/1.1</f>
        <v/>
      </c>
      <c r="Q9886" s="94">
        <f>F9886&amp;E9886&amp;G9886&amp;L9886</f>
        <v/>
      </c>
    </row>
    <row r="9887" customFormat="1" s="94">
      <c r="B9887" s="128" t="n">
        <v>44112</v>
      </c>
      <c r="C9887" s="94">
        <f>TEXT(B9887,"aaa")</f>
        <v/>
      </c>
      <c r="E9887" s="94" t="inlineStr">
        <is>
          <t>토너</t>
        </is>
      </c>
      <c r="F9887" s="5" t="inlineStr">
        <is>
          <t>카페24</t>
        </is>
      </c>
      <c r="G9887" s="94" t="inlineStr">
        <is>
          <t>250ml 2set</t>
        </is>
      </c>
      <c r="H9887" s="94" t="n">
        <v>200801</v>
      </c>
      <c r="I9887" s="94" t="n">
        <v>200801</v>
      </c>
      <c r="K9887" s="94" t="n">
        <v>13</v>
      </c>
      <c r="L9887" s="94" t="n">
        <v>200801</v>
      </c>
      <c r="M9887" s="94">
        <f>VLOOKUP($Q9887,매칭테이블!$F:$I,2,0)*K9887</f>
        <v/>
      </c>
      <c r="N9887" s="94">
        <f>M9887-M9887*VLOOKUP($Q9887,매칭테이블!$F:$I,3,0)</f>
        <v/>
      </c>
      <c r="O9887" s="94">
        <f>VLOOKUP($Q9887,매칭테이블!$F:$I,4,0)*K9887</f>
        <v/>
      </c>
      <c r="P9887" s="148">
        <f>M9887/1.1</f>
        <v/>
      </c>
      <c r="Q9887" s="94">
        <f>F9887&amp;E9887&amp;G9887&amp;L9887</f>
        <v/>
      </c>
    </row>
    <row r="9888" customFormat="1" s="94">
      <c r="B9888" s="128" t="n">
        <v>44112</v>
      </c>
      <c r="C9888" s="94">
        <f>TEXT(B9888,"aaa")</f>
        <v/>
      </c>
      <c r="E9888" s="94" t="inlineStr">
        <is>
          <t>토너</t>
        </is>
      </c>
      <c r="F9888" s="5" t="inlineStr">
        <is>
          <t>카페24</t>
        </is>
      </c>
      <c r="G9888" s="94" t="inlineStr">
        <is>
          <t>500ml</t>
        </is>
      </c>
      <c r="H9888" s="94" t="n">
        <v>200801</v>
      </c>
      <c r="I9888" s="94" t="n">
        <v>200801</v>
      </c>
      <c r="K9888" s="94" t="n">
        <v>50</v>
      </c>
      <c r="L9888" s="94" t="n">
        <v>200801</v>
      </c>
      <c r="M9888" s="94">
        <f>VLOOKUP($Q9888,매칭테이블!$F:$I,2,0)*K9888</f>
        <v/>
      </c>
      <c r="N9888" s="94">
        <f>M9888-M9888*VLOOKUP($Q9888,매칭테이블!$F:$I,3,0)</f>
        <v/>
      </c>
      <c r="O9888" s="94">
        <f>VLOOKUP($Q9888,매칭테이블!$F:$I,4,0)*K9888</f>
        <v/>
      </c>
      <c r="P9888" s="148">
        <f>M9888/1.1</f>
        <v/>
      </c>
      <c r="Q9888" s="94">
        <f>F9888&amp;E9888&amp;G9888&amp;L9888</f>
        <v/>
      </c>
    </row>
    <row r="9889" customFormat="1" s="94">
      <c r="B9889" s="128" t="n">
        <v>44112</v>
      </c>
      <c r="C9889" s="94">
        <f>TEXT(B9889,"aaa")</f>
        <v/>
      </c>
      <c r="E9889" s="94" t="inlineStr">
        <is>
          <t>토너</t>
        </is>
      </c>
      <c r="F9889" s="5" t="inlineStr">
        <is>
          <t>카페24</t>
        </is>
      </c>
      <c r="G9889" s="94" t="inlineStr">
        <is>
          <t>스킨팩 화장솜 60P</t>
        </is>
      </c>
      <c r="H9889" s="94" t="n">
        <v>200801</v>
      </c>
      <c r="I9889" s="94" t="n">
        <v>200801</v>
      </c>
      <c r="K9889" s="94" t="n">
        <v>39</v>
      </c>
      <c r="L9889" s="94" t="n">
        <v>200801</v>
      </c>
      <c r="M9889" s="94">
        <f>VLOOKUP($Q9889,매칭테이블!$F:$I,2,0)*K9889</f>
        <v/>
      </c>
      <c r="N9889" s="94">
        <f>M9889-M9889*VLOOKUP($Q9889,매칭테이블!$F:$I,3,0)</f>
        <v/>
      </c>
      <c r="O9889" s="94">
        <f>VLOOKUP($Q9889,매칭테이블!$F:$I,4,0)*K9889</f>
        <v/>
      </c>
      <c r="P9889" s="148">
        <f>M9889/1.1</f>
        <v/>
      </c>
      <c r="Q9889" s="94">
        <f>F9889&amp;E9889&amp;G9889&amp;L9889</f>
        <v/>
      </c>
    </row>
    <row r="9890" customFormat="1" s="94">
      <c r="B9890" s="128" t="n">
        <v>44112</v>
      </c>
      <c r="C9890" s="94">
        <f>TEXT(B9890,"aaa")</f>
        <v/>
      </c>
      <c r="E9890" s="94" t="inlineStr">
        <is>
          <t>앰플</t>
        </is>
      </c>
      <c r="F9890" s="5" t="inlineStr">
        <is>
          <t>카페24</t>
        </is>
      </c>
      <c r="G9890" s="94" t="inlineStr">
        <is>
          <t>앰플 30ml</t>
        </is>
      </c>
      <c r="H9890" s="94" t="n">
        <v>200801</v>
      </c>
      <c r="I9890" s="94" t="n">
        <v>200801</v>
      </c>
      <c r="K9890" s="94" t="n">
        <v>18</v>
      </c>
      <c r="L9890" s="94" t="n">
        <v>200801</v>
      </c>
      <c r="M9890" s="94">
        <f>VLOOKUP($Q9890,매칭테이블!$F:$I,2,0)*K9890</f>
        <v/>
      </c>
      <c r="N9890" s="94">
        <f>M9890-M9890*VLOOKUP($Q9890,매칭테이블!$F:$I,3,0)</f>
        <v/>
      </c>
      <c r="O9890" s="94">
        <f>VLOOKUP($Q9890,매칭테이블!$F:$I,4,0)*K9890</f>
        <v/>
      </c>
      <c r="P9890" s="148">
        <f>M9890/1.1</f>
        <v/>
      </c>
      <c r="Q9890" s="94">
        <f>F9890&amp;E9890&amp;G9890&amp;L9890</f>
        <v/>
      </c>
    </row>
    <row r="9891" customFormat="1" s="94">
      <c r="B9891" s="128" t="n">
        <v>44112</v>
      </c>
      <c r="C9891" s="94">
        <f>TEXT(B9891,"aaa")</f>
        <v/>
      </c>
      <c r="E9891" s="94" t="inlineStr">
        <is>
          <t>앰플</t>
        </is>
      </c>
      <c r="F9891" s="5" t="inlineStr">
        <is>
          <t>카페24</t>
        </is>
      </c>
      <c r="G9891" s="94" t="inlineStr">
        <is>
          <t>앰플 30ml  2set</t>
        </is>
      </c>
      <c r="H9891" s="94" t="n">
        <v>200801</v>
      </c>
      <c r="I9891" s="94" t="n">
        <v>200801</v>
      </c>
      <c r="K9891" s="94" t="n">
        <v>1</v>
      </c>
      <c r="L9891" s="94" t="n">
        <v>200801</v>
      </c>
      <c r="M9891" s="94">
        <f>VLOOKUP($Q9891,매칭테이블!$F:$I,2,0)*K9891</f>
        <v/>
      </c>
      <c r="N9891" s="94">
        <f>M9891-M9891*VLOOKUP($Q9891,매칭테이블!$F:$I,3,0)</f>
        <v/>
      </c>
      <c r="O9891" s="94">
        <f>VLOOKUP($Q9891,매칭테이블!$F:$I,4,0)*K9891</f>
        <v/>
      </c>
      <c r="P9891" s="148">
        <f>M9891/1.1</f>
        <v/>
      </c>
      <c r="Q9891" s="94">
        <f>F9891&amp;E9891&amp;G9891&amp;L9891</f>
        <v/>
      </c>
    </row>
    <row r="9892" customFormat="1" s="94">
      <c r="B9892" s="128" t="n">
        <v>44112</v>
      </c>
      <c r="C9892" s="94">
        <f>TEXT(B9892,"aaa")</f>
        <v/>
      </c>
      <c r="E9892" s="94" t="inlineStr">
        <is>
          <t>수딩크림</t>
        </is>
      </c>
      <c r="F9892" s="5" t="inlineStr">
        <is>
          <t>카페24</t>
        </is>
      </c>
      <c r="G9892" s="94" t="inlineStr">
        <is>
          <t>수딩크림 100ml</t>
        </is>
      </c>
      <c r="H9892" s="94" t="n">
        <v>200801</v>
      </c>
      <c r="I9892" s="94" t="n">
        <v>200801</v>
      </c>
      <c r="K9892" s="94" t="n">
        <v>8</v>
      </c>
      <c r="L9892" s="94" t="n">
        <v>200801</v>
      </c>
      <c r="M9892" s="94">
        <f>VLOOKUP($Q9892,매칭테이블!$F:$I,2,0)*K9892</f>
        <v/>
      </c>
      <c r="N9892" s="94">
        <f>M9892-M9892*VLOOKUP($Q9892,매칭테이블!$F:$I,3,0)</f>
        <v/>
      </c>
      <c r="O9892" s="94">
        <f>VLOOKUP($Q9892,매칭테이블!$F:$I,4,0)*K9892</f>
        <v/>
      </c>
      <c r="P9892" s="148">
        <f>M9892/1.1</f>
        <v/>
      </c>
      <c r="Q9892" s="94">
        <f>F9892&amp;E9892&amp;G9892&amp;L9892</f>
        <v/>
      </c>
    </row>
    <row r="9893" customFormat="1" s="94">
      <c r="B9893" s="128" t="n">
        <v>44112</v>
      </c>
      <c r="C9893" s="94">
        <f>TEXT(B9893,"aaa")</f>
        <v/>
      </c>
      <c r="E9893" s="94" t="inlineStr">
        <is>
          <t>클렌징폼</t>
        </is>
      </c>
      <c r="F9893" s="5" t="inlineStr">
        <is>
          <t>카페24</t>
        </is>
      </c>
      <c r="G9893" s="94" t="inlineStr">
        <is>
          <t>클렌징폼 120ml</t>
        </is>
      </c>
      <c r="H9893" s="94" t="n">
        <v>200801</v>
      </c>
      <c r="I9893" s="94" t="n">
        <v>200801</v>
      </c>
      <c r="K9893" s="94" t="n">
        <v>4</v>
      </c>
      <c r="L9893" s="94" t="n">
        <v>200801</v>
      </c>
      <c r="M9893" s="94">
        <f>VLOOKUP($Q9893,매칭테이블!$F:$I,2,0)*K9893</f>
        <v/>
      </c>
      <c r="N9893" s="94">
        <f>M9893-M9893*VLOOKUP($Q9893,매칭테이블!$F:$I,3,0)</f>
        <v/>
      </c>
      <c r="O9893" s="94">
        <f>VLOOKUP($Q9893,매칭테이블!$F:$I,4,0)*K9893</f>
        <v/>
      </c>
      <c r="P9893" s="148">
        <f>M9893/1.1</f>
        <v/>
      </c>
      <c r="Q9893" s="94">
        <f>F9893&amp;E9893&amp;G9893&amp;L9893</f>
        <v/>
      </c>
    </row>
    <row r="9894" customFormat="1" s="94">
      <c r="B9894" s="128" t="n">
        <v>44112</v>
      </c>
      <c r="C9894" s="94">
        <f>TEXT(B9894,"aaa")</f>
        <v/>
      </c>
      <c r="E9894" s="94" t="inlineStr">
        <is>
          <t>클렌징폼</t>
        </is>
      </c>
      <c r="F9894" s="5" t="inlineStr">
        <is>
          <t>카페24</t>
        </is>
      </c>
      <c r="G9894" s="94" t="inlineStr">
        <is>
          <t>클렌징폼 120ml 2set</t>
        </is>
      </c>
      <c r="H9894" s="94" t="n">
        <v>200801</v>
      </c>
      <c r="I9894" s="94" t="n">
        <v>200801</v>
      </c>
      <c r="K9894" s="94" t="n">
        <v>3</v>
      </c>
      <c r="L9894" s="94" t="n">
        <v>200801</v>
      </c>
      <c r="M9894" s="94">
        <f>VLOOKUP($Q9894,매칭테이블!$F:$I,2,0)*K9894</f>
        <v/>
      </c>
      <c r="N9894" s="94">
        <f>M9894-M9894*VLOOKUP($Q9894,매칭테이블!$F:$I,3,0)</f>
        <v/>
      </c>
      <c r="O9894" s="94">
        <f>VLOOKUP($Q9894,매칭테이블!$F:$I,4,0)*K9894</f>
        <v/>
      </c>
      <c r="P9894" s="148">
        <f>M9894/1.1</f>
        <v/>
      </c>
      <c r="Q9894" s="94">
        <f>F9894&amp;E9894&amp;G9894&amp;L9894</f>
        <v/>
      </c>
    </row>
    <row r="9895" customFormat="1" s="94">
      <c r="B9895" s="128" t="n">
        <v>44112</v>
      </c>
      <c r="C9895" s="94">
        <f>TEXT(B9895,"aaa")</f>
        <v/>
      </c>
      <c r="E9895" s="94" t="inlineStr">
        <is>
          <t>앰플</t>
        </is>
      </c>
      <c r="F9895" s="5" t="inlineStr">
        <is>
          <t>화해</t>
        </is>
      </c>
      <c r="G9895" s="94" t="inlineStr">
        <is>
          <t>앰플 30ml</t>
        </is>
      </c>
      <c r="H9895" s="94" t="n">
        <v>200801</v>
      </c>
      <c r="I9895" s="94" t="n">
        <v>200801</v>
      </c>
      <c r="K9895" s="94" t="n">
        <v>1</v>
      </c>
      <c r="L9895" s="94" t="n">
        <v>200801</v>
      </c>
      <c r="M9895" s="94">
        <f>VLOOKUP($Q9895,매칭테이블!$F:$I,2,0)*K9895</f>
        <v/>
      </c>
      <c r="N9895" s="94">
        <f>M9895-M9895*VLOOKUP($Q9895,매칭테이블!$F:$I,3,0)</f>
        <v/>
      </c>
      <c r="O9895" s="94">
        <f>VLOOKUP($Q9895,매칭테이블!$F:$I,4,0)*K9895</f>
        <v/>
      </c>
      <c r="P9895" s="148">
        <f>M9895/1.1</f>
        <v/>
      </c>
      <c r="Q9895" s="94">
        <f>F9895&amp;E9895&amp;G9895&amp;L9895</f>
        <v/>
      </c>
    </row>
    <row r="9896" customFormat="1" s="94">
      <c r="B9896" s="128" t="n">
        <v>44112</v>
      </c>
      <c r="C9896" s="94">
        <f>TEXT(B9896,"aaa")</f>
        <v/>
      </c>
      <c r="E9896" s="94" t="inlineStr">
        <is>
          <t>마스크팩</t>
        </is>
      </c>
      <c r="F9896" s="5" t="inlineStr">
        <is>
          <t>화해</t>
        </is>
      </c>
      <c r="G9896" s="94" t="inlineStr">
        <is>
          <t>마스크팩 1매</t>
        </is>
      </c>
      <c r="H9896" s="94" t="n">
        <v>200801</v>
      </c>
      <c r="I9896" s="94" t="n">
        <v>200801</v>
      </c>
      <c r="K9896" s="94" t="n">
        <v>1</v>
      </c>
      <c r="L9896" s="94" t="n">
        <v>200801</v>
      </c>
      <c r="M9896" s="94">
        <f>VLOOKUP($Q9896,매칭테이블!$F:$I,2,0)*K9896</f>
        <v/>
      </c>
      <c r="N9896" s="94">
        <f>M9896-M9896*VLOOKUP($Q9896,매칭테이블!$F:$I,3,0)</f>
        <v/>
      </c>
      <c r="O9896" s="94">
        <f>VLOOKUP($Q9896,매칭테이블!$F:$I,4,0)*K9896</f>
        <v/>
      </c>
      <c r="P9896" s="148">
        <f>M9896/1.1</f>
        <v/>
      </c>
      <c r="Q9896" s="94">
        <f>F9896&amp;E9896&amp;G9896&amp;L9896</f>
        <v/>
      </c>
    </row>
    <row r="9897" customFormat="1" s="94">
      <c r="B9897" s="128" t="n">
        <v>44112</v>
      </c>
      <c r="C9897" s="94">
        <f>TEXT(B9897,"aaa")</f>
        <v/>
      </c>
      <c r="E9897" s="94" t="inlineStr">
        <is>
          <t>토너</t>
        </is>
      </c>
      <c r="F9897" s="5" t="inlineStr">
        <is>
          <t>화해</t>
        </is>
      </c>
      <c r="G9897" s="94" t="inlineStr">
        <is>
          <t>250ml</t>
        </is>
      </c>
      <c r="H9897" s="94" t="n">
        <v>200801</v>
      </c>
      <c r="I9897" s="94" t="n">
        <v>200801</v>
      </c>
      <c r="K9897" s="94" t="n">
        <v>4</v>
      </c>
      <c r="L9897" s="94" t="n">
        <v>200801</v>
      </c>
      <c r="M9897" s="94">
        <f>VLOOKUP($Q9897,매칭테이블!$F:$I,2,0)*K9897</f>
        <v/>
      </c>
      <c r="N9897" s="94">
        <f>M9897-M9897*VLOOKUP($Q9897,매칭테이블!$F:$I,3,0)</f>
        <v/>
      </c>
      <c r="O9897" s="94">
        <f>VLOOKUP($Q9897,매칭테이블!$F:$I,4,0)*K9897</f>
        <v/>
      </c>
      <c r="P9897" s="148">
        <f>M9897/1.1</f>
        <v/>
      </c>
      <c r="Q9897" s="94">
        <f>F9897&amp;E9897&amp;G9897&amp;L9897</f>
        <v/>
      </c>
    </row>
    <row r="9898" customFormat="1" s="94">
      <c r="B9898" s="128" t="n">
        <v>44113</v>
      </c>
      <c r="C9898" s="94">
        <f>TEXT(B9898,"aaa")</f>
        <v/>
      </c>
      <c r="E9898" s="94" t="inlineStr">
        <is>
          <t>토너</t>
        </is>
      </c>
      <c r="F9898" s="5" t="inlineStr">
        <is>
          <t>스타일쉐어</t>
        </is>
      </c>
      <c r="G9898" s="94" t="inlineStr">
        <is>
          <t>250ml</t>
        </is>
      </c>
      <c r="H9898" s="94" t="n">
        <v>200801</v>
      </c>
      <c r="I9898" s="94" t="n">
        <v>200801</v>
      </c>
      <c r="K9898" s="94" t="n">
        <v>2</v>
      </c>
      <c r="L9898" s="94" t="n">
        <v>200801</v>
      </c>
      <c r="M9898" s="94">
        <f>VLOOKUP($Q9898,매칭테이블!$F:$I,2,0)*K9898</f>
        <v/>
      </c>
      <c r="N9898" s="94">
        <f>M9898-M9898*VLOOKUP($Q9898,매칭테이블!$F:$I,3,0)</f>
        <v/>
      </c>
      <c r="O9898" s="94">
        <f>VLOOKUP($Q9898,매칭테이블!$F:$I,4,0)*K9898</f>
        <v/>
      </c>
      <c r="P9898" s="148">
        <f>M9898/1.1</f>
        <v/>
      </c>
      <c r="Q9898" s="94">
        <f>F9898&amp;E9898&amp;G9898&amp;L9898</f>
        <v/>
      </c>
    </row>
    <row r="9899" customFormat="1" s="94">
      <c r="B9899" s="128" t="n">
        <v>44113</v>
      </c>
      <c r="C9899" s="94">
        <f>TEXT(B9899,"aaa")</f>
        <v/>
      </c>
      <c r="E9899" s="94" t="inlineStr">
        <is>
          <t>선크림</t>
        </is>
      </c>
      <c r="F9899" s="5" t="inlineStr">
        <is>
          <t>카페24</t>
        </is>
      </c>
      <c r="G9899" s="94" t="inlineStr">
        <is>
          <t>선크림 50ml</t>
        </is>
      </c>
      <c r="H9899" s="94" t="n">
        <v>200801</v>
      </c>
      <c r="I9899" s="94" t="n">
        <v>200801</v>
      </c>
      <c r="K9899" s="94" t="n">
        <v>3</v>
      </c>
      <c r="L9899" s="94" t="n">
        <v>200801</v>
      </c>
      <c r="M9899" s="94">
        <f>VLOOKUP($Q9899,매칭테이블!$F:$I,2,0)*K9899</f>
        <v/>
      </c>
      <c r="N9899" s="94">
        <f>M9899-M9899*VLOOKUP($Q9899,매칭테이블!$F:$I,3,0)</f>
        <v/>
      </c>
      <c r="O9899" s="94">
        <f>VLOOKUP($Q9899,매칭테이블!$F:$I,4,0)*K9899</f>
        <v/>
      </c>
      <c r="P9899" s="148">
        <f>M9899/1.1</f>
        <v/>
      </c>
      <c r="Q9899" s="94">
        <f>F9899&amp;E9899&amp;G9899&amp;L9899</f>
        <v/>
      </c>
    </row>
    <row r="9900" customFormat="1" s="94">
      <c r="B9900" s="128" t="n">
        <v>44113</v>
      </c>
      <c r="C9900" s="94">
        <f>TEXT(B9900,"aaa")</f>
        <v/>
      </c>
      <c r="E9900" s="94" t="inlineStr">
        <is>
          <t>선크림</t>
        </is>
      </c>
      <c r="F9900" s="5" t="inlineStr">
        <is>
          <t>카페24</t>
        </is>
      </c>
      <c r="G9900" s="94" t="inlineStr">
        <is>
          <t>선크림 50ml  2set</t>
        </is>
      </c>
      <c r="H9900" s="94" t="n">
        <v>200801</v>
      </c>
      <c r="I9900" s="94" t="n">
        <v>200801</v>
      </c>
      <c r="K9900" s="94" t="n">
        <v>2</v>
      </c>
      <c r="L9900" s="94" t="n">
        <v>200801</v>
      </c>
      <c r="M9900" s="94">
        <f>VLOOKUP($Q9900,매칭테이블!$F:$I,2,0)*K9900</f>
        <v/>
      </c>
      <c r="N9900" s="94">
        <f>M9900-M9900*VLOOKUP($Q9900,매칭테이블!$F:$I,3,0)</f>
        <v/>
      </c>
      <c r="O9900" s="94">
        <f>VLOOKUP($Q9900,매칭테이블!$F:$I,4,0)*K9900</f>
        <v/>
      </c>
      <c r="P9900" s="148">
        <f>M9900/1.1</f>
        <v/>
      </c>
      <c r="Q9900" s="94">
        <f>F9900&amp;E9900&amp;G9900&amp;L9900</f>
        <v/>
      </c>
    </row>
    <row r="9901" customFormat="1" s="94">
      <c r="B9901" s="128" t="n">
        <v>44113</v>
      </c>
      <c r="C9901" s="94">
        <f>TEXT(B9901,"aaa")</f>
        <v/>
      </c>
      <c r="E9901" s="94" t="inlineStr">
        <is>
          <t>어성초진정패키지</t>
        </is>
      </c>
      <c r="F9901" s="5" t="inlineStr">
        <is>
          <t>카페24</t>
        </is>
      </c>
      <c r="G9901" s="94" t="inlineStr">
        <is>
          <t>어성초 진정패키지세트</t>
        </is>
      </c>
      <c r="H9901" s="94" t="n">
        <v>200801</v>
      </c>
      <c r="I9901" s="94" t="n">
        <v>200801</v>
      </c>
      <c r="K9901" s="94" t="n">
        <v>5</v>
      </c>
      <c r="L9901" s="94" t="n">
        <v>200801</v>
      </c>
      <c r="M9901" s="94">
        <f>VLOOKUP($Q9901,매칭테이블!$F:$I,2,0)*K9901</f>
        <v/>
      </c>
      <c r="N9901" s="94">
        <f>M9901-M9901*VLOOKUP($Q9901,매칭테이블!$F:$I,3,0)</f>
        <v/>
      </c>
      <c r="O9901" s="94">
        <f>VLOOKUP($Q9901,매칭테이블!$F:$I,4,0)*K9901</f>
        <v/>
      </c>
      <c r="P9901" s="148">
        <f>M9901/1.1</f>
        <v/>
      </c>
      <c r="Q9901" s="94">
        <f>F9901&amp;E9901&amp;G9901&amp;L9901</f>
        <v/>
      </c>
    </row>
    <row r="9902" customFormat="1" s="94">
      <c r="B9902" s="128" t="n">
        <v>44113</v>
      </c>
      <c r="C9902" s="94">
        <f>TEXT(B9902,"aaa")</f>
        <v/>
      </c>
      <c r="E9902" s="94" t="inlineStr">
        <is>
          <t>클리어 패드</t>
        </is>
      </c>
      <c r="F9902" s="5" t="inlineStr">
        <is>
          <t>카페24</t>
        </is>
      </c>
      <c r="G9902" s="94" t="inlineStr">
        <is>
          <t>어성초 77 클리어 패드 1개-20% off</t>
        </is>
      </c>
      <c r="H9902" s="94" t="n">
        <v>200801</v>
      </c>
      <c r="I9902" s="94" t="n">
        <v>200801</v>
      </c>
      <c r="K9902" s="94" t="n">
        <v>9</v>
      </c>
      <c r="L9902" s="94" t="n">
        <v>200801</v>
      </c>
      <c r="M9902" s="94">
        <f>VLOOKUP($Q9902,매칭테이블!$F:$I,2,0)*K9902</f>
        <v/>
      </c>
      <c r="N9902" s="94">
        <f>M9902-M9902*VLOOKUP($Q9902,매칭테이블!$F:$I,3,0)</f>
        <v/>
      </c>
      <c r="O9902" s="94">
        <f>VLOOKUP($Q9902,매칭테이블!$F:$I,4,0)*K9902</f>
        <v/>
      </c>
      <c r="P9902" s="148">
        <f>M9902/1.1</f>
        <v/>
      </c>
      <c r="Q9902" s="94">
        <f>F9902&amp;E9902&amp;G9902&amp;L9902</f>
        <v/>
      </c>
    </row>
    <row r="9903" customFormat="1" s="94">
      <c r="B9903" s="128" t="n">
        <v>44113</v>
      </c>
      <c r="C9903" s="94">
        <f>TEXT(B9903,"aaa")</f>
        <v/>
      </c>
      <c r="E9903" s="94" t="inlineStr">
        <is>
          <t>클리어 패드</t>
        </is>
      </c>
      <c r="F9903" s="5" t="inlineStr">
        <is>
          <t>카페24</t>
        </is>
      </c>
      <c r="G9903" s="94" t="inlineStr">
        <is>
          <t>어성초 77 클리어 패드 2개-30% off</t>
        </is>
      </c>
      <c r="H9903" s="94" t="n">
        <v>200801</v>
      </c>
      <c r="I9903" s="94" t="n">
        <v>200801</v>
      </c>
      <c r="K9903" s="94" t="n">
        <v>6</v>
      </c>
      <c r="L9903" s="94" t="n">
        <v>200801</v>
      </c>
      <c r="M9903" s="94">
        <f>VLOOKUP($Q9903,매칭테이블!$F:$I,2,0)*K9903</f>
        <v/>
      </c>
      <c r="N9903" s="94">
        <f>M9903-M9903*VLOOKUP($Q9903,매칭테이블!$F:$I,3,0)</f>
        <v/>
      </c>
      <c r="O9903" s="94">
        <f>VLOOKUP($Q9903,매칭테이블!$F:$I,4,0)*K9903</f>
        <v/>
      </c>
      <c r="P9903" s="148">
        <f>M9903/1.1</f>
        <v/>
      </c>
      <c r="Q9903" s="94">
        <f>F9903&amp;E9903&amp;G9903&amp;L9903</f>
        <v/>
      </c>
    </row>
    <row r="9904" customFormat="1" s="94">
      <c r="B9904" s="128" t="n">
        <v>44113</v>
      </c>
      <c r="C9904" s="94">
        <f>TEXT(B9904,"aaa")</f>
        <v/>
      </c>
      <c r="E9904" s="94" t="inlineStr">
        <is>
          <t>토너+패드 세트</t>
        </is>
      </c>
      <c r="F9904" s="5" t="inlineStr">
        <is>
          <t>카페24</t>
        </is>
      </c>
      <c r="G9904" s="94" t="inlineStr">
        <is>
          <t>좁쌀 진정 세트 토너+클리어 패드-30% off</t>
        </is>
      </c>
      <c r="H9904" s="94" t="n">
        <v>200801</v>
      </c>
      <c r="I9904" s="94" t="n">
        <v>200801</v>
      </c>
      <c r="K9904" s="94" t="n">
        <v>3</v>
      </c>
      <c r="L9904" s="94" t="n">
        <v>200801</v>
      </c>
      <c r="M9904" s="94">
        <f>VLOOKUP($Q9904,매칭테이블!$F:$I,2,0)*K9904</f>
        <v/>
      </c>
      <c r="N9904" s="94">
        <f>M9904-M9904*VLOOKUP($Q9904,매칭테이블!$F:$I,3,0)</f>
        <v/>
      </c>
      <c r="O9904" s="94">
        <f>VLOOKUP($Q9904,매칭테이블!$F:$I,4,0)*K9904</f>
        <v/>
      </c>
      <c r="P9904" s="148">
        <f>M9904/1.1</f>
        <v/>
      </c>
      <c r="Q9904" s="94">
        <f>F9904&amp;E9904&amp;G9904&amp;L9904</f>
        <v/>
      </c>
    </row>
    <row r="9905" customFormat="1" s="94">
      <c r="B9905" s="128" t="n">
        <v>44113</v>
      </c>
      <c r="C9905" s="94">
        <f>TEXT(B9905,"aaa")</f>
        <v/>
      </c>
      <c r="E9905" s="94" t="inlineStr">
        <is>
          <t>수분 보충 세트</t>
        </is>
      </c>
      <c r="F9905" s="5" t="inlineStr">
        <is>
          <t>카페24</t>
        </is>
      </c>
      <c r="G9905" s="94" t="inlineStr">
        <is>
          <t>[20/09/28 부터] 어성초 77 토너 250ml + 어성초 70 로션 200ml -30%</t>
        </is>
      </c>
      <c r="H9905" s="94" t="n">
        <v>200801</v>
      </c>
      <c r="I9905" s="94" t="n">
        <v>200801</v>
      </c>
      <c r="K9905" s="94" t="n">
        <v>23</v>
      </c>
      <c r="L9905" s="94" t="n">
        <v>200801</v>
      </c>
      <c r="M9905" s="94">
        <f>VLOOKUP($Q9905,매칭테이블!$F:$I,2,0)*K9905</f>
        <v/>
      </c>
      <c r="N9905" s="94">
        <f>M9905-M9905*VLOOKUP($Q9905,매칭테이블!$F:$I,3,0)</f>
        <v/>
      </c>
      <c r="O9905" s="94">
        <f>VLOOKUP($Q9905,매칭테이블!$F:$I,4,0)*K9905</f>
        <v/>
      </c>
      <c r="P9905" s="148">
        <f>M9905/1.1</f>
        <v/>
      </c>
      <c r="Q9905" s="94">
        <f>F9905&amp;E9905&amp;G9905&amp;L9905</f>
        <v/>
      </c>
    </row>
    <row r="9906" customFormat="1" s="94">
      <c r="B9906" s="128" t="n">
        <v>44113</v>
      </c>
      <c r="C9906" s="94">
        <f>TEXT(B9906,"aaa")</f>
        <v/>
      </c>
      <c r="E9906" s="94" t="inlineStr">
        <is>
          <t>로션</t>
        </is>
      </c>
      <c r="F9906" s="5" t="inlineStr">
        <is>
          <t>카페24</t>
        </is>
      </c>
      <c r="G9906" s="94" t="inlineStr">
        <is>
          <t>어성초 70 데일리 릴리프 로션 1개 -20% off</t>
        </is>
      </c>
      <c r="H9906" s="94" t="n">
        <v>200801</v>
      </c>
      <c r="I9906" s="94" t="n">
        <v>200801</v>
      </c>
      <c r="K9906" s="94" t="n">
        <v>1</v>
      </c>
      <c r="L9906" s="94" t="n">
        <v>200801</v>
      </c>
      <c r="M9906" s="94">
        <f>VLOOKUP($Q9906,매칭테이블!$F:$I,2,0)*K9906</f>
        <v/>
      </c>
      <c r="N9906" s="94">
        <f>M9906-M9906*VLOOKUP($Q9906,매칭테이블!$F:$I,3,0)</f>
        <v/>
      </c>
      <c r="O9906" s="94">
        <f>VLOOKUP($Q9906,매칭테이블!$F:$I,4,0)*K9906</f>
        <v/>
      </c>
      <c r="P9906" s="148">
        <f>M9906/1.1</f>
        <v/>
      </c>
      <c r="Q9906" s="94">
        <f>F9906&amp;E9906&amp;G9906&amp;L9906</f>
        <v/>
      </c>
    </row>
    <row r="9907" customFormat="1" s="94">
      <c r="B9907" s="128" t="n">
        <v>44113</v>
      </c>
      <c r="C9907" s="94">
        <f>TEXT(B9907,"aaa")</f>
        <v/>
      </c>
      <c r="E9907" s="94" t="inlineStr">
        <is>
          <t>머드크림마스크</t>
        </is>
      </c>
      <c r="F9907" s="5" t="inlineStr">
        <is>
          <t>카페24</t>
        </is>
      </c>
      <c r="G9907" s="94" t="inlineStr">
        <is>
          <t>머드크림마스크 100ml</t>
        </is>
      </c>
      <c r="H9907" s="94" t="n">
        <v>200801</v>
      </c>
      <c r="I9907" s="94" t="n">
        <v>200801</v>
      </c>
      <c r="K9907" s="94" t="n">
        <v>4</v>
      </c>
      <c r="L9907" s="94" t="n">
        <v>200801</v>
      </c>
      <c r="M9907" s="94">
        <f>VLOOKUP($Q9907,매칭테이블!$F:$I,2,0)*K9907</f>
        <v/>
      </c>
      <c r="N9907" s="94">
        <f>M9907-M9907*VLOOKUP($Q9907,매칭테이블!$F:$I,3,0)</f>
        <v/>
      </c>
      <c r="O9907" s="94">
        <f>VLOOKUP($Q9907,매칭테이블!$F:$I,4,0)*K9907</f>
        <v/>
      </c>
      <c r="P9907" s="148">
        <f>M9907/1.1</f>
        <v/>
      </c>
      <c r="Q9907" s="94">
        <f>F9907&amp;E9907&amp;G9907&amp;L9907</f>
        <v/>
      </c>
    </row>
    <row r="9908" customFormat="1" s="94">
      <c r="B9908" s="128" t="n">
        <v>44113</v>
      </c>
      <c r="C9908" s="94">
        <f>TEXT(B9908,"aaa")</f>
        <v/>
      </c>
      <c r="E9908" s="94" t="inlineStr">
        <is>
          <t>마스크팩</t>
        </is>
      </c>
      <c r="F9908" s="5" t="inlineStr">
        <is>
          <t>카페24</t>
        </is>
      </c>
      <c r="G9908" s="94" t="inlineStr">
        <is>
          <t>마스크팩 10매</t>
        </is>
      </c>
      <c r="H9908" s="94" t="n">
        <v>200801</v>
      </c>
      <c r="I9908" s="94" t="n">
        <v>200801</v>
      </c>
      <c r="K9908" s="94" t="n">
        <v>1</v>
      </c>
      <c r="L9908" s="94" t="n">
        <v>200801</v>
      </c>
      <c r="M9908" s="94">
        <f>VLOOKUP($Q9908,매칭테이블!$F:$I,2,0)*K9908</f>
        <v/>
      </c>
      <c r="N9908" s="94">
        <f>M9908-M9908*VLOOKUP($Q9908,매칭테이블!$F:$I,3,0)</f>
        <v/>
      </c>
      <c r="O9908" s="94">
        <f>VLOOKUP($Q9908,매칭테이블!$F:$I,4,0)*K9908</f>
        <v/>
      </c>
      <c r="P9908" s="148">
        <f>M9908/1.1</f>
        <v/>
      </c>
      <c r="Q9908" s="94">
        <f>F9908&amp;E9908&amp;G9908&amp;L9908</f>
        <v/>
      </c>
    </row>
    <row r="9909" customFormat="1" s="94">
      <c r="B9909" s="128" t="n">
        <v>44113</v>
      </c>
      <c r="C9909" s="94">
        <f>TEXT(B9909,"aaa")</f>
        <v/>
      </c>
      <c r="E9909" s="94" t="inlineStr">
        <is>
          <t>토너</t>
        </is>
      </c>
      <c r="F9909" s="5" t="inlineStr">
        <is>
          <t>카페24</t>
        </is>
      </c>
      <c r="G9909" s="94" t="inlineStr">
        <is>
          <t>250ml</t>
        </is>
      </c>
      <c r="H9909" s="94" t="n">
        <v>200801</v>
      </c>
      <c r="I9909" s="94" t="n">
        <v>200801</v>
      </c>
      <c r="K9909" s="94" t="n">
        <v>34</v>
      </c>
      <c r="L9909" s="94" t="n">
        <v>200801</v>
      </c>
      <c r="M9909" s="94">
        <f>VLOOKUP($Q9909,매칭테이블!$F:$I,2,0)*K9909</f>
        <v/>
      </c>
      <c r="N9909" s="94">
        <f>M9909-M9909*VLOOKUP($Q9909,매칭테이블!$F:$I,3,0)</f>
        <v/>
      </c>
      <c r="O9909" s="94">
        <f>VLOOKUP($Q9909,매칭테이블!$F:$I,4,0)*K9909</f>
        <v/>
      </c>
      <c r="P9909" s="148">
        <f>M9909/1.1</f>
        <v/>
      </c>
      <c r="Q9909" s="94">
        <f>F9909&amp;E9909&amp;G9909&amp;L9909</f>
        <v/>
      </c>
    </row>
    <row r="9910" customFormat="1" s="94">
      <c r="B9910" s="128" t="n">
        <v>44113</v>
      </c>
      <c r="C9910" s="94">
        <f>TEXT(B9910,"aaa")</f>
        <v/>
      </c>
      <c r="E9910" s="94" t="inlineStr">
        <is>
          <t>토너</t>
        </is>
      </c>
      <c r="F9910" s="5" t="inlineStr">
        <is>
          <t>카페24</t>
        </is>
      </c>
      <c r="G9910" s="94" t="inlineStr">
        <is>
          <t>250ml 2set</t>
        </is>
      </c>
      <c r="H9910" s="94" t="n">
        <v>200801</v>
      </c>
      <c r="I9910" s="94" t="n">
        <v>200801</v>
      </c>
      <c r="K9910" s="94" t="n">
        <v>10</v>
      </c>
      <c r="L9910" s="94" t="n">
        <v>200801</v>
      </c>
      <c r="M9910" s="94">
        <f>VLOOKUP($Q9910,매칭테이블!$F:$I,2,0)*K9910</f>
        <v/>
      </c>
      <c r="N9910" s="94">
        <f>M9910-M9910*VLOOKUP($Q9910,매칭테이블!$F:$I,3,0)</f>
        <v/>
      </c>
      <c r="O9910" s="94">
        <f>VLOOKUP($Q9910,매칭테이블!$F:$I,4,0)*K9910</f>
        <v/>
      </c>
      <c r="P9910" s="148">
        <f>M9910/1.1</f>
        <v/>
      </c>
      <c r="Q9910" s="94">
        <f>F9910&amp;E9910&amp;G9910&amp;L9910</f>
        <v/>
      </c>
    </row>
    <row r="9911" customFormat="1" s="94">
      <c r="B9911" s="128" t="n">
        <v>44113</v>
      </c>
      <c r="C9911" s="94">
        <f>TEXT(B9911,"aaa")</f>
        <v/>
      </c>
      <c r="E9911" s="94" t="inlineStr">
        <is>
          <t>토너</t>
        </is>
      </c>
      <c r="F9911" s="5" t="inlineStr">
        <is>
          <t>카페24</t>
        </is>
      </c>
      <c r="G9911" s="94" t="inlineStr">
        <is>
          <t>500ml</t>
        </is>
      </c>
      <c r="H9911" s="94" t="n">
        <v>200801</v>
      </c>
      <c r="I9911" s="94" t="n">
        <v>200801</v>
      </c>
      <c r="K9911" s="94" t="n">
        <v>38</v>
      </c>
      <c r="L9911" s="94" t="n">
        <v>200801</v>
      </c>
      <c r="M9911" s="94">
        <f>VLOOKUP($Q9911,매칭테이블!$F:$I,2,0)*K9911</f>
        <v/>
      </c>
      <c r="N9911" s="94">
        <f>M9911-M9911*VLOOKUP($Q9911,매칭테이블!$F:$I,3,0)</f>
        <v/>
      </c>
      <c r="O9911" s="94">
        <f>VLOOKUP($Q9911,매칭테이블!$F:$I,4,0)*K9911</f>
        <v/>
      </c>
      <c r="P9911" s="148">
        <f>M9911/1.1</f>
        <v/>
      </c>
      <c r="Q9911" s="94">
        <f>F9911&amp;E9911&amp;G9911&amp;L9911</f>
        <v/>
      </c>
    </row>
    <row r="9912" customFormat="1" s="94">
      <c r="B9912" s="128" t="n">
        <v>44113</v>
      </c>
      <c r="C9912" s="94">
        <f>TEXT(B9912,"aaa")</f>
        <v/>
      </c>
      <c r="E9912" s="94" t="inlineStr">
        <is>
          <t>토너</t>
        </is>
      </c>
      <c r="F9912" s="5" t="inlineStr">
        <is>
          <t>카페24</t>
        </is>
      </c>
      <c r="G9912" s="94" t="inlineStr">
        <is>
          <t>스킨팩 화장솜 60P</t>
        </is>
      </c>
      <c r="H9912" s="94" t="n">
        <v>200801</v>
      </c>
      <c r="I9912" s="94" t="n">
        <v>200801</v>
      </c>
      <c r="K9912" s="94" t="n">
        <v>17</v>
      </c>
      <c r="L9912" s="94" t="n">
        <v>200801</v>
      </c>
      <c r="M9912" s="94">
        <f>VLOOKUP($Q9912,매칭테이블!$F:$I,2,0)*K9912</f>
        <v/>
      </c>
      <c r="N9912" s="94">
        <f>M9912-M9912*VLOOKUP($Q9912,매칭테이블!$F:$I,3,0)</f>
        <v/>
      </c>
      <c r="O9912" s="94">
        <f>VLOOKUP($Q9912,매칭테이블!$F:$I,4,0)*K9912</f>
        <v/>
      </c>
      <c r="P9912" s="148">
        <f>M9912/1.1</f>
        <v/>
      </c>
      <c r="Q9912" s="94">
        <f>F9912&amp;E9912&amp;G9912&amp;L9912</f>
        <v/>
      </c>
    </row>
    <row r="9913" customFormat="1" s="94">
      <c r="B9913" s="128" t="n">
        <v>44113</v>
      </c>
      <c r="C9913" s="94">
        <f>TEXT(B9913,"aaa")</f>
        <v/>
      </c>
      <c r="E9913" s="94" t="inlineStr">
        <is>
          <t>앰플</t>
        </is>
      </c>
      <c r="F9913" s="5" t="inlineStr">
        <is>
          <t>카페24</t>
        </is>
      </c>
      <c r="G9913" s="94" t="inlineStr">
        <is>
          <t>앰플 30ml</t>
        </is>
      </c>
      <c r="H9913" s="94" t="n">
        <v>200801</v>
      </c>
      <c r="I9913" s="94" t="n">
        <v>200801</v>
      </c>
      <c r="K9913" s="94" t="n">
        <v>16</v>
      </c>
      <c r="L9913" s="94" t="n">
        <v>200801</v>
      </c>
      <c r="M9913" s="94">
        <f>VLOOKUP($Q9913,매칭테이블!$F:$I,2,0)*K9913</f>
        <v/>
      </c>
      <c r="N9913" s="94">
        <f>M9913-M9913*VLOOKUP($Q9913,매칭테이블!$F:$I,3,0)</f>
        <v/>
      </c>
      <c r="O9913" s="94">
        <f>VLOOKUP($Q9913,매칭테이블!$F:$I,4,0)*K9913</f>
        <v/>
      </c>
      <c r="P9913" s="148">
        <f>M9913/1.1</f>
        <v/>
      </c>
      <c r="Q9913" s="94">
        <f>F9913&amp;E9913&amp;G9913&amp;L9913</f>
        <v/>
      </c>
    </row>
    <row r="9914" customFormat="1" s="94">
      <c r="B9914" s="128" t="n">
        <v>44113</v>
      </c>
      <c r="C9914" s="94">
        <f>TEXT(B9914,"aaa")</f>
        <v/>
      </c>
      <c r="E9914" s="94" t="inlineStr">
        <is>
          <t>앰플</t>
        </is>
      </c>
      <c r="F9914" s="5" t="inlineStr">
        <is>
          <t>카페24</t>
        </is>
      </c>
      <c r="G9914" s="94" t="inlineStr">
        <is>
          <t>앰플 30ml  2set</t>
        </is>
      </c>
      <c r="H9914" s="94" t="n">
        <v>200801</v>
      </c>
      <c r="I9914" s="94" t="n">
        <v>200801</v>
      </c>
      <c r="K9914" s="94" t="n">
        <v>4</v>
      </c>
      <c r="L9914" s="94" t="n">
        <v>200801</v>
      </c>
      <c r="M9914" s="94">
        <f>VLOOKUP($Q9914,매칭테이블!$F:$I,2,0)*K9914</f>
        <v/>
      </c>
      <c r="N9914" s="94">
        <f>M9914-M9914*VLOOKUP($Q9914,매칭테이블!$F:$I,3,0)</f>
        <v/>
      </c>
      <c r="O9914" s="94">
        <f>VLOOKUP($Q9914,매칭테이블!$F:$I,4,0)*K9914</f>
        <v/>
      </c>
      <c r="P9914" s="148">
        <f>M9914/1.1</f>
        <v/>
      </c>
      <c r="Q9914" s="94">
        <f>F9914&amp;E9914&amp;G9914&amp;L9914</f>
        <v/>
      </c>
    </row>
    <row r="9915" customFormat="1" s="94">
      <c r="B9915" s="128" t="n">
        <v>44113</v>
      </c>
      <c r="C9915" s="94">
        <f>TEXT(B9915,"aaa")</f>
        <v/>
      </c>
      <c r="E9915" s="94" t="inlineStr">
        <is>
          <t>수딩크림</t>
        </is>
      </c>
      <c r="F9915" s="5" t="inlineStr">
        <is>
          <t>카페24</t>
        </is>
      </c>
      <c r="G9915" s="94" t="inlineStr">
        <is>
          <t>수딩크림 100ml</t>
        </is>
      </c>
      <c r="H9915" s="94" t="n">
        <v>200801</v>
      </c>
      <c r="I9915" s="94" t="n">
        <v>200801</v>
      </c>
      <c r="K9915" s="94" t="n">
        <v>5</v>
      </c>
      <c r="L9915" s="94" t="n">
        <v>200801</v>
      </c>
      <c r="M9915" s="94">
        <f>VLOOKUP($Q9915,매칭테이블!$F:$I,2,0)*K9915</f>
        <v/>
      </c>
      <c r="N9915" s="94">
        <f>M9915-M9915*VLOOKUP($Q9915,매칭테이블!$F:$I,3,0)</f>
        <v/>
      </c>
      <c r="O9915" s="94">
        <f>VLOOKUP($Q9915,매칭테이블!$F:$I,4,0)*K9915</f>
        <v/>
      </c>
      <c r="P9915" s="148">
        <f>M9915/1.1</f>
        <v/>
      </c>
      <c r="Q9915" s="94">
        <f>F9915&amp;E9915&amp;G9915&amp;L9915</f>
        <v/>
      </c>
    </row>
    <row r="9916" customFormat="1" s="94">
      <c r="B9916" s="128" t="n">
        <v>44113</v>
      </c>
      <c r="C9916" s="94">
        <f>TEXT(B9916,"aaa")</f>
        <v/>
      </c>
      <c r="E9916" s="94" t="inlineStr">
        <is>
          <t>클렌징폼</t>
        </is>
      </c>
      <c r="F9916" s="5" t="inlineStr">
        <is>
          <t>카페24</t>
        </is>
      </c>
      <c r="G9916" s="94" t="inlineStr">
        <is>
          <t>클렌징폼 120ml</t>
        </is>
      </c>
      <c r="H9916" s="94" t="n">
        <v>200801</v>
      </c>
      <c r="I9916" s="94" t="n">
        <v>200801</v>
      </c>
      <c r="K9916" s="94" t="n">
        <v>7</v>
      </c>
      <c r="L9916" s="94" t="n">
        <v>200801</v>
      </c>
      <c r="M9916" s="94">
        <f>VLOOKUP($Q9916,매칭테이블!$F:$I,2,0)*K9916</f>
        <v/>
      </c>
      <c r="N9916" s="94">
        <f>M9916-M9916*VLOOKUP($Q9916,매칭테이블!$F:$I,3,0)</f>
        <v/>
      </c>
      <c r="O9916" s="94">
        <f>VLOOKUP($Q9916,매칭테이블!$F:$I,4,0)*K9916</f>
        <v/>
      </c>
      <c r="P9916" s="148">
        <f>M9916/1.1</f>
        <v/>
      </c>
      <c r="Q9916" s="94">
        <f>F9916&amp;E9916&amp;G9916&amp;L9916</f>
        <v/>
      </c>
    </row>
    <row r="9917" customFormat="1" s="94">
      <c r="B9917" s="128" t="n">
        <v>44113</v>
      </c>
      <c r="C9917" s="94">
        <f>TEXT(B9917,"aaa")</f>
        <v/>
      </c>
      <c r="E9917" s="94" t="inlineStr">
        <is>
          <t>클렌징폼</t>
        </is>
      </c>
      <c r="F9917" s="5" t="inlineStr">
        <is>
          <t>카페24</t>
        </is>
      </c>
      <c r="G9917" s="94" t="inlineStr">
        <is>
          <t>클렌징폼 120ml 2set</t>
        </is>
      </c>
      <c r="H9917" s="94" t="n">
        <v>200801</v>
      </c>
      <c r="I9917" s="94" t="n">
        <v>200801</v>
      </c>
      <c r="K9917" s="94" t="n">
        <v>2</v>
      </c>
      <c r="L9917" s="94" t="n">
        <v>200801</v>
      </c>
      <c r="M9917" s="94">
        <f>VLOOKUP($Q9917,매칭테이블!$F:$I,2,0)*K9917</f>
        <v/>
      </c>
      <c r="N9917" s="94">
        <f>M9917-M9917*VLOOKUP($Q9917,매칭테이블!$F:$I,3,0)</f>
        <v/>
      </c>
      <c r="O9917" s="94">
        <f>VLOOKUP($Q9917,매칭테이블!$F:$I,4,0)*K9917</f>
        <v/>
      </c>
      <c r="P9917" s="148">
        <f>M9917/1.1</f>
        <v/>
      </c>
      <c r="Q9917" s="94">
        <f>F9917&amp;E9917&amp;G9917&amp;L9917</f>
        <v/>
      </c>
    </row>
    <row r="9918" customFormat="1" s="94">
      <c r="B9918" s="128" t="n">
        <v>44113</v>
      </c>
      <c r="C9918" s="94">
        <f>TEXT(B9918,"aaa")</f>
        <v/>
      </c>
      <c r="E9918" s="94" t="inlineStr">
        <is>
          <t>바디워시</t>
        </is>
      </c>
      <c r="F9918" s="5" t="inlineStr">
        <is>
          <t>카페24</t>
        </is>
      </c>
      <c r="G9918" s="94" t="inlineStr">
        <is>
          <t>바디워시 1개 -30% off</t>
        </is>
      </c>
      <c r="H9918" s="94" t="n">
        <v>200801</v>
      </c>
      <c r="I9918" s="94" t="n">
        <v>200801</v>
      </c>
      <c r="K9918" s="94" t="n">
        <v>1</v>
      </c>
      <c r="L9918" s="94" t="n">
        <v>200801</v>
      </c>
      <c r="M9918" s="94">
        <f>VLOOKUP($Q9918,매칭테이블!$F:$I,2,0)*K9918</f>
        <v/>
      </c>
      <c r="N9918" s="94">
        <f>M9918-M9918*VLOOKUP($Q9918,매칭테이블!$F:$I,3,0)</f>
        <v/>
      </c>
      <c r="O9918" s="94">
        <f>VLOOKUP($Q9918,매칭테이블!$F:$I,4,0)*K9918</f>
        <v/>
      </c>
      <c r="P9918" s="148">
        <f>M9918/1.1</f>
        <v/>
      </c>
      <c r="Q9918" s="94">
        <f>F9918&amp;E9918&amp;G9918&amp;L9918</f>
        <v/>
      </c>
    </row>
    <row r="9919" customFormat="1" s="94">
      <c r="B9919" s="128" t="n">
        <v>44113</v>
      </c>
      <c r="C9919" s="94">
        <f>TEXT(B9919,"aaa")</f>
        <v/>
      </c>
      <c r="E9919" s="94" t="inlineStr">
        <is>
          <t>토너</t>
        </is>
      </c>
      <c r="F9919" s="5" t="inlineStr">
        <is>
          <t>화해</t>
        </is>
      </c>
      <c r="G9919" s="94" t="inlineStr">
        <is>
          <t>250ml</t>
        </is>
      </c>
      <c r="H9919" s="94" t="n">
        <v>200801</v>
      </c>
      <c r="I9919" s="94" t="n">
        <v>200801</v>
      </c>
      <c r="K9919" s="94" t="n">
        <v>6</v>
      </c>
      <c r="L9919" s="94" t="n">
        <v>200801</v>
      </c>
      <c r="M9919" s="94">
        <f>VLOOKUP($Q9919,매칭테이블!$F:$I,2,0)*K9919</f>
        <v/>
      </c>
      <c r="N9919" s="94">
        <f>M9919-M9919*VLOOKUP($Q9919,매칭테이블!$F:$I,3,0)</f>
        <v/>
      </c>
      <c r="O9919" s="94">
        <f>VLOOKUP($Q9919,매칭테이블!$F:$I,4,0)*K9919</f>
        <v/>
      </c>
      <c r="P9919" s="148">
        <f>M9919/1.1</f>
        <v/>
      </c>
      <c r="Q9919" s="94">
        <f>F9919&amp;E9919&amp;G9919&amp;L9919</f>
        <v/>
      </c>
    </row>
    <row r="9920" customFormat="1" s="94">
      <c r="B9920" s="128" t="n">
        <v>44114</v>
      </c>
      <c r="C9920" s="94">
        <f>TEXT(B9920,"aaa")</f>
        <v/>
      </c>
      <c r="E9920" s="94" t="inlineStr">
        <is>
          <t>토너</t>
        </is>
      </c>
      <c r="F9920" s="5" t="inlineStr">
        <is>
          <t>스타일쉐어</t>
        </is>
      </c>
      <c r="G9920" s="94" t="inlineStr">
        <is>
          <t>250ml</t>
        </is>
      </c>
      <c r="H9920" s="94" t="n">
        <v>200801</v>
      </c>
      <c r="I9920" s="94" t="n">
        <v>200801</v>
      </c>
      <c r="K9920" s="94" t="n">
        <v>7</v>
      </c>
      <c r="L9920" s="94" t="n">
        <v>200801</v>
      </c>
      <c r="M9920" s="94">
        <f>VLOOKUP($Q9920,매칭테이블!$F:$I,2,0)*K9920</f>
        <v/>
      </c>
      <c r="N9920" s="94">
        <f>M9920-M9920*VLOOKUP($Q9920,매칭테이블!$F:$I,3,0)</f>
        <v/>
      </c>
      <c r="O9920" s="94">
        <f>VLOOKUP($Q9920,매칭테이블!$F:$I,4,0)*K9920</f>
        <v/>
      </c>
      <c r="P9920" s="148">
        <f>M9920/1.1</f>
        <v/>
      </c>
      <c r="Q9920" s="94">
        <f>F9920&amp;E9920&amp;G9920&amp;L9920</f>
        <v/>
      </c>
    </row>
    <row r="9921" customFormat="1" s="94">
      <c r="B9921" s="128" t="n">
        <v>44114</v>
      </c>
      <c r="C9921" s="94">
        <f>TEXT(B9921,"aaa")</f>
        <v/>
      </c>
      <c r="E9921" s="94" t="inlineStr">
        <is>
          <t>선크림</t>
        </is>
      </c>
      <c r="F9921" s="5" t="inlineStr">
        <is>
          <t>카페24</t>
        </is>
      </c>
      <c r="G9921" s="94" t="inlineStr">
        <is>
          <t>선크림 50ml</t>
        </is>
      </c>
      <c r="H9921" s="94" t="n">
        <v>200801</v>
      </c>
      <c r="I9921" s="94" t="n">
        <v>200801</v>
      </c>
      <c r="K9921" s="94" t="n">
        <v>2</v>
      </c>
      <c r="L9921" s="94" t="n">
        <v>200801</v>
      </c>
      <c r="M9921" s="94">
        <f>VLOOKUP($Q9921,매칭테이블!$F:$I,2,0)*K9921</f>
        <v/>
      </c>
      <c r="N9921" s="94">
        <f>M9921-M9921*VLOOKUP($Q9921,매칭테이블!$F:$I,3,0)</f>
        <v/>
      </c>
      <c r="O9921" s="94">
        <f>VLOOKUP($Q9921,매칭테이블!$F:$I,4,0)*K9921</f>
        <v/>
      </c>
      <c r="P9921" s="148">
        <f>M9921/1.1</f>
        <v/>
      </c>
      <c r="Q9921" s="94">
        <f>F9921&amp;E9921&amp;G9921&amp;L9921</f>
        <v/>
      </c>
    </row>
    <row r="9922" customFormat="1" s="94">
      <c r="B9922" s="128" t="n">
        <v>44114</v>
      </c>
      <c r="C9922" s="94">
        <f>TEXT(B9922,"aaa")</f>
        <v/>
      </c>
      <c r="E9922" s="94" t="inlineStr">
        <is>
          <t>선크림</t>
        </is>
      </c>
      <c r="F9922" s="5" t="inlineStr">
        <is>
          <t>카페24</t>
        </is>
      </c>
      <c r="G9922" s="94" t="inlineStr">
        <is>
          <t>선크림 50ml  2set</t>
        </is>
      </c>
      <c r="H9922" s="94" t="n">
        <v>200801</v>
      </c>
      <c r="I9922" s="94" t="n">
        <v>200801</v>
      </c>
      <c r="K9922" s="94" t="n">
        <v>2</v>
      </c>
      <c r="L9922" s="94" t="n">
        <v>200801</v>
      </c>
      <c r="M9922" s="94">
        <f>VLOOKUP($Q9922,매칭테이블!$F:$I,2,0)*K9922</f>
        <v/>
      </c>
      <c r="N9922" s="94">
        <f>M9922-M9922*VLOOKUP($Q9922,매칭테이블!$F:$I,3,0)</f>
        <v/>
      </c>
      <c r="O9922" s="94">
        <f>VLOOKUP($Q9922,매칭테이블!$F:$I,4,0)*K9922</f>
        <v/>
      </c>
      <c r="P9922" s="148">
        <f>M9922/1.1</f>
        <v/>
      </c>
      <c r="Q9922" s="94">
        <f>F9922&amp;E9922&amp;G9922&amp;L9922</f>
        <v/>
      </c>
    </row>
    <row r="9923" customFormat="1" s="94">
      <c r="B9923" s="128" t="n">
        <v>44114</v>
      </c>
      <c r="C9923" s="94">
        <f>TEXT(B9923,"aaa")</f>
        <v/>
      </c>
      <c r="E9923" s="94" t="inlineStr">
        <is>
          <t>어성초진정패키지</t>
        </is>
      </c>
      <c r="F9923" s="5" t="inlineStr">
        <is>
          <t>카페24</t>
        </is>
      </c>
      <c r="G9923" s="94" t="inlineStr">
        <is>
          <t>어성초 진정패키지세트</t>
        </is>
      </c>
      <c r="H9923" s="94" t="n">
        <v>200801</v>
      </c>
      <c r="I9923" s="94" t="n">
        <v>200801</v>
      </c>
      <c r="K9923" s="94" t="n">
        <v>1</v>
      </c>
      <c r="L9923" s="94" t="n">
        <v>200801</v>
      </c>
      <c r="M9923" s="94">
        <f>VLOOKUP($Q9923,매칭테이블!$F:$I,2,0)*K9923</f>
        <v/>
      </c>
      <c r="N9923" s="94">
        <f>M9923-M9923*VLOOKUP($Q9923,매칭테이블!$F:$I,3,0)</f>
        <v/>
      </c>
      <c r="O9923" s="94">
        <f>VLOOKUP($Q9923,매칭테이블!$F:$I,4,0)*K9923</f>
        <v/>
      </c>
      <c r="P9923" s="148">
        <f>M9923/1.1</f>
        <v/>
      </c>
      <c r="Q9923" s="94">
        <f>F9923&amp;E9923&amp;G9923&amp;L9923</f>
        <v/>
      </c>
    </row>
    <row r="9924" customFormat="1" s="94">
      <c r="B9924" s="128" t="n">
        <v>44114</v>
      </c>
      <c r="C9924" s="94">
        <f>TEXT(B9924,"aaa")</f>
        <v/>
      </c>
      <c r="E9924" s="94" t="inlineStr">
        <is>
          <t>클리어 패드</t>
        </is>
      </c>
      <c r="F9924" s="5" t="inlineStr">
        <is>
          <t>카페24</t>
        </is>
      </c>
      <c r="G9924" s="94" t="inlineStr">
        <is>
          <t>어성초 77 클리어 패드 1개-20% off</t>
        </is>
      </c>
      <c r="H9924" s="94" t="n">
        <v>200801</v>
      </c>
      <c r="I9924" s="94" t="n">
        <v>200801</v>
      </c>
      <c r="K9924" s="94" t="n">
        <v>12</v>
      </c>
      <c r="L9924" s="94" t="n">
        <v>200801</v>
      </c>
      <c r="M9924" s="94">
        <f>VLOOKUP($Q9924,매칭테이블!$F:$I,2,0)*K9924</f>
        <v/>
      </c>
      <c r="N9924" s="94">
        <f>M9924-M9924*VLOOKUP($Q9924,매칭테이블!$F:$I,3,0)</f>
        <v/>
      </c>
      <c r="O9924" s="94">
        <f>VLOOKUP($Q9924,매칭테이블!$F:$I,4,0)*K9924</f>
        <v/>
      </c>
      <c r="P9924" s="148">
        <f>M9924/1.1</f>
        <v/>
      </c>
      <c r="Q9924" s="94">
        <f>F9924&amp;E9924&amp;G9924&amp;L9924</f>
        <v/>
      </c>
    </row>
    <row r="9925" customFormat="1" s="94">
      <c r="B9925" s="128" t="n">
        <v>44114</v>
      </c>
      <c r="C9925" s="94">
        <f>TEXT(B9925,"aaa")</f>
        <v/>
      </c>
      <c r="E9925" s="94" t="inlineStr">
        <is>
          <t>클리어 패드</t>
        </is>
      </c>
      <c r="F9925" s="5" t="inlineStr">
        <is>
          <t>카페24</t>
        </is>
      </c>
      <c r="G9925" s="94" t="inlineStr">
        <is>
          <t>어성초 77 클리어 패드 2개-30% off</t>
        </is>
      </c>
      <c r="H9925" s="94" t="n">
        <v>200801</v>
      </c>
      <c r="I9925" s="94" t="n">
        <v>200801</v>
      </c>
      <c r="K9925" s="94" t="n">
        <v>1</v>
      </c>
      <c r="L9925" s="94" t="n">
        <v>200801</v>
      </c>
      <c r="M9925" s="94">
        <f>VLOOKUP($Q9925,매칭테이블!$F:$I,2,0)*K9925</f>
        <v/>
      </c>
      <c r="N9925" s="94">
        <f>M9925-M9925*VLOOKUP($Q9925,매칭테이블!$F:$I,3,0)</f>
        <v/>
      </c>
      <c r="O9925" s="94">
        <f>VLOOKUP($Q9925,매칭테이블!$F:$I,4,0)*K9925</f>
        <v/>
      </c>
      <c r="P9925" s="148">
        <f>M9925/1.1</f>
        <v/>
      </c>
      <c r="Q9925" s="94">
        <f>F9925&amp;E9925&amp;G9925&amp;L9925</f>
        <v/>
      </c>
    </row>
    <row r="9926" customFormat="1" s="94">
      <c r="B9926" s="128" t="n">
        <v>44114</v>
      </c>
      <c r="C9926" s="94">
        <f>TEXT(B9926,"aaa")</f>
        <v/>
      </c>
      <c r="E9926" s="94" t="inlineStr">
        <is>
          <t>토너+패드 세트</t>
        </is>
      </c>
      <c r="F9926" s="5" t="inlineStr">
        <is>
          <t>카페24</t>
        </is>
      </c>
      <c r="G9926" s="94" t="inlineStr">
        <is>
          <t>좁쌀 진정 세트 토너+클리어 패드-30% off</t>
        </is>
      </c>
      <c r="H9926" s="94" t="n">
        <v>200801</v>
      </c>
      <c r="I9926" s="94" t="n">
        <v>200801</v>
      </c>
      <c r="K9926" s="94" t="n">
        <v>4</v>
      </c>
      <c r="L9926" s="94" t="n">
        <v>200801</v>
      </c>
      <c r="M9926" s="94">
        <f>VLOOKUP($Q9926,매칭테이블!$F:$I,2,0)*K9926</f>
        <v/>
      </c>
      <c r="N9926" s="94">
        <f>M9926-M9926*VLOOKUP($Q9926,매칭테이블!$F:$I,3,0)</f>
        <v/>
      </c>
      <c r="O9926" s="94">
        <f>VLOOKUP($Q9926,매칭테이블!$F:$I,4,0)*K9926</f>
        <v/>
      </c>
      <c r="P9926" s="148">
        <f>M9926/1.1</f>
        <v/>
      </c>
      <c r="Q9926" s="94">
        <f>F9926&amp;E9926&amp;G9926&amp;L9926</f>
        <v/>
      </c>
    </row>
    <row r="9927" customFormat="1" s="94">
      <c r="B9927" s="128" t="n">
        <v>44114</v>
      </c>
      <c r="C9927" s="94">
        <f>TEXT(B9927,"aaa")</f>
        <v/>
      </c>
      <c r="E9927" s="94" t="inlineStr">
        <is>
          <t>수분 보충 세트</t>
        </is>
      </c>
      <c r="F9927" s="5" t="inlineStr">
        <is>
          <t>카페24</t>
        </is>
      </c>
      <c r="G9927" s="94" t="inlineStr">
        <is>
          <t>[20/09/28 부터] 어성초 77 토너 250ml + 어성초 70 로션 200ml -30%</t>
        </is>
      </c>
      <c r="H9927" s="94" t="n">
        <v>200801</v>
      </c>
      <c r="I9927" s="94" t="n">
        <v>200801</v>
      </c>
      <c r="K9927" s="94" t="n">
        <v>19</v>
      </c>
      <c r="L9927" s="94" t="n">
        <v>200801</v>
      </c>
      <c r="M9927" s="94">
        <f>VLOOKUP($Q9927,매칭테이블!$F:$I,2,0)*K9927</f>
        <v/>
      </c>
      <c r="N9927" s="94">
        <f>M9927-M9927*VLOOKUP($Q9927,매칭테이블!$F:$I,3,0)</f>
        <v/>
      </c>
      <c r="O9927" s="94">
        <f>VLOOKUP($Q9927,매칭테이블!$F:$I,4,0)*K9927</f>
        <v/>
      </c>
      <c r="P9927" s="148">
        <f>M9927/1.1</f>
        <v/>
      </c>
      <c r="Q9927" s="94">
        <f>F9927&amp;E9927&amp;G9927&amp;L9927</f>
        <v/>
      </c>
    </row>
    <row r="9928" customFormat="1" s="94">
      <c r="B9928" s="128" t="n">
        <v>44114</v>
      </c>
      <c r="C9928" s="94">
        <f>TEXT(B9928,"aaa")</f>
        <v/>
      </c>
      <c r="E9928" s="94" t="inlineStr">
        <is>
          <t>로션</t>
        </is>
      </c>
      <c r="F9928" s="5" t="inlineStr">
        <is>
          <t>카페24</t>
        </is>
      </c>
      <c r="G9928" s="94" t="inlineStr">
        <is>
          <t>어성초 70 데일리 릴리프 로션 1개 -20% off</t>
        </is>
      </c>
      <c r="H9928" s="94" t="n">
        <v>200801</v>
      </c>
      <c r="I9928" s="94" t="n">
        <v>200801</v>
      </c>
      <c r="K9928" s="94" t="n">
        <v>5</v>
      </c>
      <c r="L9928" s="94" t="n">
        <v>200801</v>
      </c>
      <c r="M9928" s="94">
        <f>VLOOKUP($Q9928,매칭테이블!$F:$I,2,0)*K9928</f>
        <v/>
      </c>
      <c r="N9928" s="94">
        <f>M9928-M9928*VLOOKUP($Q9928,매칭테이블!$F:$I,3,0)</f>
        <v/>
      </c>
      <c r="O9928" s="94">
        <f>VLOOKUP($Q9928,매칭테이블!$F:$I,4,0)*K9928</f>
        <v/>
      </c>
      <c r="P9928" s="148">
        <f>M9928/1.1</f>
        <v/>
      </c>
      <c r="Q9928" s="94">
        <f>F9928&amp;E9928&amp;G9928&amp;L9928</f>
        <v/>
      </c>
    </row>
    <row r="9929" customFormat="1" s="94">
      <c r="B9929" s="128" t="n">
        <v>44114</v>
      </c>
      <c r="C9929" s="94">
        <f>TEXT(B9929,"aaa")</f>
        <v/>
      </c>
      <c r="E9929" s="94" t="inlineStr">
        <is>
          <t>머드크림마스크</t>
        </is>
      </c>
      <c r="F9929" s="5" t="inlineStr">
        <is>
          <t>카페24</t>
        </is>
      </c>
      <c r="G9929" s="94" t="inlineStr">
        <is>
          <t>머드크림마스크 100ml</t>
        </is>
      </c>
      <c r="H9929" s="94" t="n">
        <v>200801</v>
      </c>
      <c r="I9929" s="94" t="n">
        <v>200801</v>
      </c>
      <c r="K9929" s="94" t="n">
        <v>4</v>
      </c>
      <c r="L9929" s="94" t="n">
        <v>200801</v>
      </c>
      <c r="M9929" s="94">
        <f>VLOOKUP($Q9929,매칭테이블!$F:$I,2,0)*K9929</f>
        <v/>
      </c>
      <c r="N9929" s="94">
        <f>M9929-M9929*VLOOKUP($Q9929,매칭테이블!$F:$I,3,0)</f>
        <v/>
      </c>
      <c r="O9929" s="94">
        <f>VLOOKUP($Q9929,매칭테이블!$F:$I,4,0)*K9929</f>
        <v/>
      </c>
      <c r="P9929" s="148">
        <f>M9929/1.1</f>
        <v/>
      </c>
      <c r="Q9929" s="94">
        <f>F9929&amp;E9929&amp;G9929&amp;L9929</f>
        <v/>
      </c>
    </row>
    <row r="9930" customFormat="1" s="94">
      <c r="B9930" s="128" t="n">
        <v>44114</v>
      </c>
      <c r="C9930" s="94">
        <f>TEXT(B9930,"aaa")</f>
        <v/>
      </c>
      <c r="E9930" s="94" t="inlineStr">
        <is>
          <t>토너</t>
        </is>
      </c>
      <c r="F9930" s="5" t="inlineStr">
        <is>
          <t>카페24</t>
        </is>
      </c>
      <c r="G9930" s="94" t="inlineStr">
        <is>
          <t>250ml</t>
        </is>
      </c>
      <c r="H9930" s="94" t="n">
        <v>200801</v>
      </c>
      <c r="I9930" s="94" t="n">
        <v>200801</v>
      </c>
      <c r="K9930" s="94" t="n">
        <v>21</v>
      </c>
      <c r="L9930" s="94" t="n">
        <v>200801</v>
      </c>
      <c r="M9930" s="94">
        <f>VLOOKUP($Q9930,매칭테이블!$F:$I,2,0)*K9930</f>
        <v/>
      </c>
      <c r="N9930" s="94">
        <f>M9930-M9930*VLOOKUP($Q9930,매칭테이블!$F:$I,3,0)</f>
        <v/>
      </c>
      <c r="O9930" s="94">
        <f>VLOOKUP($Q9930,매칭테이블!$F:$I,4,0)*K9930</f>
        <v/>
      </c>
      <c r="P9930" s="148">
        <f>M9930/1.1</f>
        <v/>
      </c>
      <c r="Q9930" s="94">
        <f>F9930&amp;E9930&amp;G9930&amp;L9930</f>
        <v/>
      </c>
    </row>
    <row r="9931" customFormat="1" s="94">
      <c r="B9931" s="128" t="n">
        <v>44114</v>
      </c>
      <c r="C9931" s="94">
        <f>TEXT(B9931,"aaa")</f>
        <v/>
      </c>
      <c r="E9931" s="94" t="inlineStr">
        <is>
          <t>토너</t>
        </is>
      </c>
      <c r="F9931" s="5" t="inlineStr">
        <is>
          <t>카페24</t>
        </is>
      </c>
      <c r="G9931" s="94" t="inlineStr">
        <is>
          <t>250ml 2set</t>
        </is>
      </c>
      <c r="H9931" s="94" t="n">
        <v>200801</v>
      </c>
      <c r="I9931" s="94" t="n">
        <v>200801</v>
      </c>
      <c r="K9931" s="94" t="n">
        <v>10</v>
      </c>
      <c r="L9931" s="94" t="n">
        <v>200801</v>
      </c>
      <c r="M9931" s="94">
        <f>VLOOKUP($Q9931,매칭테이블!$F:$I,2,0)*K9931</f>
        <v/>
      </c>
      <c r="N9931" s="94">
        <f>M9931-M9931*VLOOKUP($Q9931,매칭테이블!$F:$I,3,0)</f>
        <v/>
      </c>
      <c r="O9931" s="94">
        <f>VLOOKUP($Q9931,매칭테이블!$F:$I,4,0)*K9931</f>
        <v/>
      </c>
      <c r="P9931" s="148">
        <f>M9931/1.1</f>
        <v/>
      </c>
      <c r="Q9931" s="94">
        <f>F9931&amp;E9931&amp;G9931&amp;L9931</f>
        <v/>
      </c>
    </row>
    <row r="9932" customFormat="1" s="94">
      <c r="B9932" s="128" t="n">
        <v>44114</v>
      </c>
      <c r="C9932" s="94">
        <f>TEXT(B9932,"aaa")</f>
        <v/>
      </c>
      <c r="E9932" s="94" t="inlineStr">
        <is>
          <t>토너</t>
        </is>
      </c>
      <c r="F9932" s="5" t="inlineStr">
        <is>
          <t>카페24</t>
        </is>
      </c>
      <c r="G9932" s="94" t="inlineStr">
        <is>
          <t>500ml</t>
        </is>
      </c>
      <c r="H9932" s="94" t="n">
        <v>200801</v>
      </c>
      <c r="I9932" s="94" t="n">
        <v>200801</v>
      </c>
      <c r="K9932" s="94" t="n">
        <v>42</v>
      </c>
      <c r="L9932" s="94" t="n">
        <v>200801</v>
      </c>
      <c r="M9932" s="94">
        <f>VLOOKUP($Q9932,매칭테이블!$F:$I,2,0)*K9932</f>
        <v/>
      </c>
      <c r="N9932" s="94">
        <f>M9932-M9932*VLOOKUP($Q9932,매칭테이블!$F:$I,3,0)</f>
        <v/>
      </c>
      <c r="O9932" s="94">
        <f>VLOOKUP($Q9932,매칭테이블!$F:$I,4,0)*K9932</f>
        <v/>
      </c>
      <c r="P9932" s="148">
        <f>M9932/1.1</f>
        <v/>
      </c>
      <c r="Q9932" s="94">
        <f>F9932&amp;E9932&amp;G9932&amp;L9932</f>
        <v/>
      </c>
    </row>
    <row r="9933" customFormat="1" s="94">
      <c r="B9933" s="128" t="n">
        <v>44114</v>
      </c>
      <c r="C9933" s="94">
        <f>TEXT(B9933,"aaa")</f>
        <v/>
      </c>
      <c r="E9933" s="94" t="inlineStr">
        <is>
          <t>토너</t>
        </is>
      </c>
      <c r="F9933" s="5" t="inlineStr">
        <is>
          <t>카페24</t>
        </is>
      </c>
      <c r="G9933" s="94" t="inlineStr">
        <is>
          <t>스킨팩 화장솜 60P</t>
        </is>
      </c>
      <c r="H9933" s="94" t="n">
        <v>200801</v>
      </c>
      <c r="I9933" s="94" t="n">
        <v>200801</v>
      </c>
      <c r="K9933" s="94" t="n">
        <v>19</v>
      </c>
      <c r="L9933" s="94" t="n">
        <v>200801</v>
      </c>
      <c r="M9933" s="94">
        <f>VLOOKUP($Q9933,매칭테이블!$F:$I,2,0)*K9933</f>
        <v/>
      </c>
      <c r="N9933" s="94">
        <f>M9933-M9933*VLOOKUP($Q9933,매칭테이블!$F:$I,3,0)</f>
        <v/>
      </c>
      <c r="O9933" s="94">
        <f>VLOOKUP($Q9933,매칭테이블!$F:$I,4,0)*K9933</f>
        <v/>
      </c>
      <c r="P9933" s="148">
        <f>M9933/1.1</f>
        <v/>
      </c>
      <c r="Q9933" s="94">
        <f>F9933&amp;E9933&amp;G9933&amp;L9933</f>
        <v/>
      </c>
    </row>
    <row r="9934" customFormat="1" s="94">
      <c r="B9934" s="128" t="n">
        <v>44114</v>
      </c>
      <c r="C9934" s="94">
        <f>TEXT(B9934,"aaa")</f>
        <v/>
      </c>
      <c r="E9934" s="94" t="inlineStr">
        <is>
          <t>앰플</t>
        </is>
      </c>
      <c r="F9934" s="5" t="inlineStr">
        <is>
          <t>카페24</t>
        </is>
      </c>
      <c r="G9934" s="94" t="inlineStr">
        <is>
          <t>앰플 30ml</t>
        </is>
      </c>
      <c r="H9934" s="94" t="n">
        <v>200801</v>
      </c>
      <c r="I9934" s="94" t="n">
        <v>200801</v>
      </c>
      <c r="K9934" s="94" t="n">
        <v>17</v>
      </c>
      <c r="L9934" s="94" t="n">
        <v>200801</v>
      </c>
      <c r="M9934" s="94">
        <f>VLOOKUP($Q9934,매칭테이블!$F:$I,2,0)*K9934</f>
        <v/>
      </c>
      <c r="N9934" s="94">
        <f>M9934-M9934*VLOOKUP($Q9934,매칭테이블!$F:$I,3,0)</f>
        <v/>
      </c>
      <c r="O9934" s="94">
        <f>VLOOKUP($Q9934,매칭테이블!$F:$I,4,0)*K9934</f>
        <v/>
      </c>
      <c r="P9934" s="148">
        <f>M9934/1.1</f>
        <v/>
      </c>
      <c r="Q9934" s="94">
        <f>F9934&amp;E9934&amp;G9934&amp;L9934</f>
        <v/>
      </c>
    </row>
    <row r="9935" customFormat="1" s="94">
      <c r="B9935" s="128" t="n">
        <v>44114</v>
      </c>
      <c r="C9935" s="94">
        <f>TEXT(B9935,"aaa")</f>
        <v/>
      </c>
      <c r="E9935" s="94" t="inlineStr">
        <is>
          <t>앰플</t>
        </is>
      </c>
      <c r="F9935" s="5" t="inlineStr">
        <is>
          <t>카페24</t>
        </is>
      </c>
      <c r="G9935" s="94" t="inlineStr">
        <is>
          <t>앰플 30ml  2set</t>
        </is>
      </c>
      <c r="H9935" s="94" t="n">
        <v>200801</v>
      </c>
      <c r="I9935" s="94" t="n">
        <v>200801</v>
      </c>
      <c r="K9935" s="94" t="n">
        <v>2</v>
      </c>
      <c r="L9935" s="94" t="n">
        <v>200801</v>
      </c>
      <c r="M9935" s="94">
        <f>VLOOKUP($Q9935,매칭테이블!$F:$I,2,0)*K9935</f>
        <v/>
      </c>
      <c r="N9935" s="94">
        <f>M9935-M9935*VLOOKUP($Q9935,매칭테이블!$F:$I,3,0)</f>
        <v/>
      </c>
      <c r="O9935" s="94">
        <f>VLOOKUP($Q9935,매칭테이블!$F:$I,4,0)*K9935</f>
        <v/>
      </c>
      <c r="P9935" s="148">
        <f>M9935/1.1</f>
        <v/>
      </c>
      <c r="Q9935" s="94">
        <f>F9935&amp;E9935&amp;G9935&amp;L9935</f>
        <v/>
      </c>
    </row>
    <row r="9936" customFormat="1" s="94">
      <c r="B9936" s="128" t="n">
        <v>44114</v>
      </c>
      <c r="C9936" s="94">
        <f>TEXT(B9936,"aaa")</f>
        <v/>
      </c>
      <c r="E9936" s="94" t="inlineStr">
        <is>
          <t>수딩크림</t>
        </is>
      </c>
      <c r="F9936" s="5" t="inlineStr">
        <is>
          <t>카페24</t>
        </is>
      </c>
      <c r="G9936" s="94" t="inlineStr">
        <is>
          <t>수딩크림 100ml</t>
        </is>
      </c>
      <c r="H9936" s="94" t="n">
        <v>200801</v>
      </c>
      <c r="I9936" s="94" t="n">
        <v>200801</v>
      </c>
      <c r="K9936" s="94" t="n">
        <v>3</v>
      </c>
      <c r="L9936" s="94" t="n">
        <v>200801</v>
      </c>
      <c r="M9936" s="94">
        <f>VLOOKUP($Q9936,매칭테이블!$F:$I,2,0)*K9936</f>
        <v/>
      </c>
      <c r="N9936" s="94">
        <f>M9936-M9936*VLOOKUP($Q9936,매칭테이블!$F:$I,3,0)</f>
        <v/>
      </c>
      <c r="O9936" s="94">
        <f>VLOOKUP($Q9936,매칭테이블!$F:$I,4,0)*K9936</f>
        <v/>
      </c>
      <c r="P9936" s="148">
        <f>M9936/1.1</f>
        <v/>
      </c>
      <c r="Q9936" s="94">
        <f>F9936&amp;E9936&amp;G9936&amp;L9936</f>
        <v/>
      </c>
    </row>
    <row r="9937" customFormat="1" s="94">
      <c r="B9937" s="128" t="n">
        <v>44114</v>
      </c>
      <c r="C9937" s="94">
        <f>TEXT(B9937,"aaa")</f>
        <v/>
      </c>
      <c r="E9937" s="94" t="inlineStr">
        <is>
          <t>클렌징폼</t>
        </is>
      </c>
      <c r="F9937" s="5" t="inlineStr">
        <is>
          <t>카페24</t>
        </is>
      </c>
      <c r="G9937" s="94" t="inlineStr">
        <is>
          <t>클렌징폼 120ml</t>
        </is>
      </c>
      <c r="H9937" s="94" t="n">
        <v>200801</v>
      </c>
      <c r="I9937" s="94" t="n">
        <v>200801</v>
      </c>
      <c r="K9937" s="94" t="n">
        <v>3</v>
      </c>
      <c r="L9937" s="94" t="n">
        <v>200801</v>
      </c>
      <c r="M9937" s="94">
        <f>VLOOKUP($Q9937,매칭테이블!$F:$I,2,0)*K9937</f>
        <v/>
      </c>
      <c r="N9937" s="94">
        <f>M9937-M9937*VLOOKUP($Q9937,매칭테이블!$F:$I,3,0)</f>
        <v/>
      </c>
      <c r="O9937" s="94">
        <f>VLOOKUP($Q9937,매칭테이블!$F:$I,4,0)*K9937</f>
        <v/>
      </c>
      <c r="P9937" s="148">
        <f>M9937/1.1</f>
        <v/>
      </c>
      <c r="Q9937" s="94">
        <f>F9937&amp;E9937&amp;G9937&amp;L9937</f>
        <v/>
      </c>
    </row>
    <row r="9938" customFormat="1" s="94">
      <c r="B9938" s="128" t="n">
        <v>44114</v>
      </c>
      <c r="C9938" s="94">
        <f>TEXT(B9938,"aaa")</f>
        <v/>
      </c>
      <c r="E9938" s="94" t="inlineStr">
        <is>
          <t>클렌징폼</t>
        </is>
      </c>
      <c r="F9938" s="5" t="inlineStr">
        <is>
          <t>카페24</t>
        </is>
      </c>
      <c r="G9938" s="94" t="inlineStr">
        <is>
          <t>클렌징폼 120ml 2set</t>
        </is>
      </c>
      <c r="H9938" s="94" t="n">
        <v>200801</v>
      </c>
      <c r="I9938" s="94" t="n">
        <v>200801</v>
      </c>
      <c r="K9938" s="94" t="n">
        <v>1</v>
      </c>
      <c r="L9938" s="94" t="n">
        <v>200801</v>
      </c>
      <c r="M9938" s="94">
        <f>VLOOKUP($Q9938,매칭테이블!$F:$I,2,0)*K9938</f>
        <v/>
      </c>
      <c r="N9938" s="94">
        <f>M9938-M9938*VLOOKUP($Q9938,매칭테이블!$F:$I,3,0)</f>
        <v/>
      </c>
      <c r="O9938" s="94">
        <f>VLOOKUP($Q9938,매칭테이블!$F:$I,4,0)*K9938</f>
        <v/>
      </c>
      <c r="P9938" s="148">
        <f>M9938/1.1</f>
        <v/>
      </c>
      <c r="Q9938" s="94">
        <f>F9938&amp;E9938&amp;G9938&amp;L9938</f>
        <v/>
      </c>
    </row>
    <row r="9939" customFormat="1" s="94">
      <c r="B9939" s="128" t="n">
        <v>44114</v>
      </c>
      <c r="C9939" s="94">
        <f>TEXT(B9939,"aaa")</f>
        <v/>
      </c>
      <c r="E9939" s="94" t="inlineStr">
        <is>
          <t>토너</t>
        </is>
      </c>
      <c r="F9939" s="5" t="inlineStr">
        <is>
          <t>화해</t>
        </is>
      </c>
      <c r="G9939" s="94" t="inlineStr">
        <is>
          <t>250ml</t>
        </is>
      </c>
      <c r="H9939" s="94" t="n">
        <v>200801</v>
      </c>
      <c r="I9939" s="94" t="n">
        <v>200801</v>
      </c>
      <c r="K9939" s="94" t="n">
        <v>2</v>
      </c>
      <c r="L9939" s="94" t="n">
        <v>200801</v>
      </c>
      <c r="M9939" s="94">
        <f>VLOOKUP($Q9939,매칭테이블!$F:$I,2,0)*K9939</f>
        <v/>
      </c>
      <c r="N9939" s="94">
        <f>M9939-M9939*VLOOKUP($Q9939,매칭테이블!$F:$I,3,0)</f>
        <v/>
      </c>
      <c r="O9939" s="94">
        <f>VLOOKUP($Q9939,매칭테이블!$F:$I,4,0)*K9939</f>
        <v/>
      </c>
      <c r="P9939" s="148">
        <f>M9939/1.1</f>
        <v/>
      </c>
      <c r="Q9939" s="94">
        <f>F9939&amp;E9939&amp;G9939&amp;L9939</f>
        <v/>
      </c>
    </row>
    <row r="9940" customFormat="1" s="94">
      <c r="B9940" s="128" t="n">
        <v>44115</v>
      </c>
      <c r="C9940" s="94">
        <f>TEXT(B9940,"aaa")</f>
        <v/>
      </c>
      <c r="E9940" s="94" t="inlineStr">
        <is>
          <t>토너</t>
        </is>
      </c>
      <c r="F9940" s="5" t="inlineStr">
        <is>
          <t>스타일쉐어</t>
        </is>
      </c>
      <c r="G9940" s="94" t="inlineStr">
        <is>
          <t>250ml</t>
        </is>
      </c>
      <c r="H9940" s="94" t="n">
        <v>200801</v>
      </c>
      <c r="I9940" s="94" t="n">
        <v>200801</v>
      </c>
      <c r="K9940" s="94" t="n">
        <v>15</v>
      </c>
      <c r="L9940" s="94" t="n">
        <v>200801</v>
      </c>
      <c r="M9940" s="94">
        <f>VLOOKUP($Q9940,매칭테이블!$F:$I,2,0)*K9940</f>
        <v/>
      </c>
      <c r="N9940" s="94">
        <f>M9940-M9940*VLOOKUP($Q9940,매칭테이블!$F:$I,3,0)</f>
        <v/>
      </c>
      <c r="O9940" s="94">
        <f>VLOOKUP($Q9940,매칭테이블!$F:$I,4,0)*K9940</f>
        <v/>
      </c>
      <c r="P9940" s="148">
        <f>M9940/1.1</f>
        <v/>
      </c>
      <c r="Q9940" s="94">
        <f>F9940&amp;E9940&amp;G9940&amp;L9940</f>
        <v/>
      </c>
    </row>
    <row r="9941" customFormat="1" s="94">
      <c r="B9941" s="128" t="n">
        <v>44115</v>
      </c>
      <c r="C9941" s="94">
        <f>TEXT(B9941,"aaa")</f>
        <v/>
      </c>
      <c r="E9941" s="94" t="inlineStr">
        <is>
          <t>선크림</t>
        </is>
      </c>
      <c r="F9941" s="5" t="inlineStr">
        <is>
          <t>카페24</t>
        </is>
      </c>
      <c r="G9941" s="94" t="inlineStr">
        <is>
          <t>선크림 50ml</t>
        </is>
      </c>
      <c r="H9941" s="94" t="n">
        <v>200801</v>
      </c>
      <c r="I9941" s="94" t="n">
        <v>200801</v>
      </c>
      <c r="K9941" s="94" t="n">
        <v>1</v>
      </c>
      <c r="L9941" s="94" t="n">
        <v>200801</v>
      </c>
      <c r="M9941" s="94">
        <f>VLOOKUP($Q9941,매칭테이블!$F:$I,2,0)*K9941</f>
        <v/>
      </c>
      <c r="N9941" s="94">
        <f>M9941-M9941*VLOOKUP($Q9941,매칭테이블!$F:$I,3,0)</f>
        <v/>
      </c>
      <c r="O9941" s="94">
        <f>VLOOKUP($Q9941,매칭테이블!$F:$I,4,0)*K9941</f>
        <v/>
      </c>
      <c r="P9941" s="148">
        <f>M9941/1.1</f>
        <v/>
      </c>
      <c r="Q9941" s="94">
        <f>F9941&amp;E9941&amp;G9941&amp;L9941</f>
        <v/>
      </c>
    </row>
    <row r="9942" customFormat="1" s="94">
      <c r="B9942" s="128" t="n">
        <v>44115</v>
      </c>
      <c r="C9942" s="94">
        <f>TEXT(B9942,"aaa")</f>
        <v/>
      </c>
      <c r="E9942" s="94" t="inlineStr">
        <is>
          <t>어성초진정패키지</t>
        </is>
      </c>
      <c r="F9942" s="5" t="inlineStr">
        <is>
          <t>카페24</t>
        </is>
      </c>
      <c r="G9942" s="94" t="inlineStr">
        <is>
          <t>어성초 진정패키지세트</t>
        </is>
      </c>
      <c r="H9942" s="94" t="n">
        <v>200801</v>
      </c>
      <c r="I9942" s="94" t="n">
        <v>200801</v>
      </c>
      <c r="K9942" s="94" t="n">
        <v>1</v>
      </c>
      <c r="L9942" s="94" t="n">
        <v>200801</v>
      </c>
      <c r="M9942" s="94">
        <f>VLOOKUP($Q9942,매칭테이블!$F:$I,2,0)*K9942</f>
        <v/>
      </c>
      <c r="N9942" s="94">
        <f>M9942-M9942*VLOOKUP($Q9942,매칭테이블!$F:$I,3,0)</f>
        <v/>
      </c>
      <c r="O9942" s="94">
        <f>VLOOKUP($Q9942,매칭테이블!$F:$I,4,0)*K9942</f>
        <v/>
      </c>
      <c r="P9942" s="148">
        <f>M9942/1.1</f>
        <v/>
      </c>
      <c r="Q9942" s="94">
        <f>F9942&amp;E9942&amp;G9942&amp;L9942</f>
        <v/>
      </c>
    </row>
    <row r="9943" customFormat="1" s="94">
      <c r="B9943" s="128" t="n">
        <v>44115</v>
      </c>
      <c r="C9943" s="94">
        <f>TEXT(B9943,"aaa")</f>
        <v/>
      </c>
      <c r="E9943" s="94" t="inlineStr">
        <is>
          <t>클리어 패드</t>
        </is>
      </c>
      <c r="F9943" s="5" t="inlineStr">
        <is>
          <t>카페24</t>
        </is>
      </c>
      <c r="G9943" s="94" t="inlineStr">
        <is>
          <t>어성초 77 클리어 패드 1개-20% off</t>
        </is>
      </c>
      <c r="H9943" s="94" t="n">
        <v>200801</v>
      </c>
      <c r="I9943" s="94" t="n">
        <v>200801</v>
      </c>
      <c r="K9943" s="94" t="n">
        <v>12</v>
      </c>
      <c r="L9943" s="94" t="n">
        <v>200801</v>
      </c>
      <c r="M9943" s="94">
        <f>VLOOKUP($Q9943,매칭테이블!$F:$I,2,0)*K9943</f>
        <v/>
      </c>
      <c r="N9943" s="94">
        <f>M9943-M9943*VLOOKUP($Q9943,매칭테이블!$F:$I,3,0)</f>
        <v/>
      </c>
      <c r="O9943" s="94">
        <f>VLOOKUP($Q9943,매칭테이블!$F:$I,4,0)*K9943</f>
        <v/>
      </c>
      <c r="P9943" s="148">
        <f>M9943/1.1</f>
        <v/>
      </c>
      <c r="Q9943" s="94">
        <f>F9943&amp;E9943&amp;G9943&amp;L9943</f>
        <v/>
      </c>
    </row>
    <row r="9944" customFormat="1" s="94">
      <c r="B9944" s="128" t="n">
        <v>44115</v>
      </c>
      <c r="C9944" s="94">
        <f>TEXT(B9944,"aaa")</f>
        <v/>
      </c>
      <c r="E9944" s="94" t="inlineStr">
        <is>
          <t>클리어 패드</t>
        </is>
      </c>
      <c r="F9944" s="5" t="inlineStr">
        <is>
          <t>카페24</t>
        </is>
      </c>
      <c r="G9944" s="94" t="inlineStr">
        <is>
          <t>어성초 77 클리어 패드 2개-30% off</t>
        </is>
      </c>
      <c r="H9944" s="94" t="n">
        <v>200801</v>
      </c>
      <c r="I9944" s="94" t="n">
        <v>200801</v>
      </c>
      <c r="K9944" s="94" t="n">
        <v>3</v>
      </c>
      <c r="L9944" s="94" t="n">
        <v>200801</v>
      </c>
      <c r="M9944" s="94">
        <f>VLOOKUP($Q9944,매칭테이블!$F:$I,2,0)*K9944</f>
        <v/>
      </c>
      <c r="N9944" s="94">
        <f>M9944-M9944*VLOOKUP($Q9944,매칭테이블!$F:$I,3,0)</f>
        <v/>
      </c>
      <c r="O9944" s="94">
        <f>VLOOKUP($Q9944,매칭테이블!$F:$I,4,0)*K9944</f>
        <v/>
      </c>
      <c r="P9944" s="148">
        <f>M9944/1.1</f>
        <v/>
      </c>
      <c r="Q9944" s="94">
        <f>F9944&amp;E9944&amp;G9944&amp;L9944</f>
        <v/>
      </c>
    </row>
    <row r="9945" customFormat="1" s="94">
      <c r="B9945" s="128" t="n">
        <v>44115</v>
      </c>
      <c r="C9945" s="94">
        <f>TEXT(B9945,"aaa")</f>
        <v/>
      </c>
      <c r="E9945" s="94" t="inlineStr">
        <is>
          <t>토너+패드 세트</t>
        </is>
      </c>
      <c r="F9945" s="5" t="inlineStr">
        <is>
          <t>카페24</t>
        </is>
      </c>
      <c r="G9945" s="94" t="inlineStr">
        <is>
          <t>좁쌀 진정 세트 토너+클리어 패드-30% off</t>
        </is>
      </c>
      <c r="H9945" s="94" t="n">
        <v>200801</v>
      </c>
      <c r="I9945" s="94" t="n">
        <v>200801</v>
      </c>
      <c r="K9945" s="94" t="n">
        <v>18</v>
      </c>
      <c r="L9945" s="94" t="n">
        <v>200801</v>
      </c>
      <c r="M9945" s="94">
        <f>VLOOKUP($Q9945,매칭테이블!$F:$I,2,0)*K9945</f>
        <v/>
      </c>
      <c r="N9945" s="94">
        <f>M9945-M9945*VLOOKUP($Q9945,매칭테이블!$F:$I,3,0)</f>
        <v/>
      </c>
      <c r="O9945" s="94">
        <f>VLOOKUP($Q9945,매칭테이블!$F:$I,4,0)*K9945</f>
        <v/>
      </c>
      <c r="P9945" s="148">
        <f>M9945/1.1</f>
        <v/>
      </c>
      <c r="Q9945" s="94">
        <f>F9945&amp;E9945&amp;G9945&amp;L9945</f>
        <v/>
      </c>
    </row>
    <row r="9946" customFormat="1" s="94">
      <c r="B9946" s="128" t="n">
        <v>44115</v>
      </c>
      <c r="C9946" s="94">
        <f>TEXT(B9946,"aaa")</f>
        <v/>
      </c>
      <c r="E9946" s="94" t="inlineStr">
        <is>
          <t>수분 보충 세트</t>
        </is>
      </c>
      <c r="F9946" s="5" t="inlineStr">
        <is>
          <t>카페24</t>
        </is>
      </c>
      <c r="G9946" s="94" t="inlineStr">
        <is>
          <t>[20/09/28 부터] 어성초 77 토너 250ml + 어성초 70 로션 200ml -30%</t>
        </is>
      </c>
      <c r="H9946" s="94" t="n">
        <v>200801</v>
      </c>
      <c r="I9946" s="94" t="n">
        <v>200801</v>
      </c>
      <c r="K9946" s="94" t="n">
        <v>35</v>
      </c>
      <c r="L9946" s="94" t="n">
        <v>200801</v>
      </c>
      <c r="M9946" s="94">
        <f>VLOOKUP($Q9946,매칭테이블!$F:$I,2,0)*K9946</f>
        <v/>
      </c>
      <c r="N9946" s="94">
        <f>M9946-M9946*VLOOKUP($Q9946,매칭테이블!$F:$I,3,0)</f>
        <v/>
      </c>
      <c r="O9946" s="94">
        <f>VLOOKUP($Q9946,매칭테이블!$F:$I,4,0)*K9946</f>
        <v/>
      </c>
      <c r="P9946" s="148">
        <f>M9946/1.1</f>
        <v/>
      </c>
      <c r="Q9946" s="94">
        <f>F9946&amp;E9946&amp;G9946&amp;L9946</f>
        <v/>
      </c>
    </row>
    <row r="9947" customFormat="1" s="94">
      <c r="B9947" s="128" t="n">
        <v>44115</v>
      </c>
      <c r="C9947" s="94">
        <f>TEXT(B9947,"aaa")</f>
        <v/>
      </c>
      <c r="E9947" s="94" t="inlineStr">
        <is>
          <t>로션</t>
        </is>
      </c>
      <c r="F9947" s="5" t="inlineStr">
        <is>
          <t>카페24</t>
        </is>
      </c>
      <c r="G9947" s="94" t="inlineStr">
        <is>
          <t>어성초 70 데일리 릴리프 로션 1개 -20% off</t>
        </is>
      </c>
      <c r="H9947" s="94" t="n">
        <v>200801</v>
      </c>
      <c r="I9947" s="94" t="n">
        <v>200801</v>
      </c>
      <c r="K9947" s="94" t="n">
        <v>3</v>
      </c>
      <c r="L9947" s="94" t="n">
        <v>200801</v>
      </c>
      <c r="M9947" s="94">
        <f>VLOOKUP($Q9947,매칭테이블!$F:$I,2,0)*K9947</f>
        <v/>
      </c>
      <c r="N9947" s="94">
        <f>M9947-M9947*VLOOKUP($Q9947,매칭테이블!$F:$I,3,0)</f>
        <v/>
      </c>
      <c r="O9947" s="94">
        <f>VLOOKUP($Q9947,매칭테이블!$F:$I,4,0)*K9947</f>
        <v/>
      </c>
      <c r="P9947" s="148">
        <f>M9947/1.1</f>
        <v/>
      </c>
      <c r="Q9947" s="94">
        <f>F9947&amp;E9947&amp;G9947&amp;L9947</f>
        <v/>
      </c>
    </row>
    <row r="9948" customFormat="1" s="94">
      <c r="B9948" s="128" t="n">
        <v>44115</v>
      </c>
      <c r="C9948" s="94">
        <f>TEXT(B9948,"aaa")</f>
        <v/>
      </c>
      <c r="E9948" s="94" t="inlineStr">
        <is>
          <t>로션</t>
        </is>
      </c>
      <c r="F9948" s="5" t="inlineStr">
        <is>
          <t>카페24</t>
        </is>
      </c>
      <c r="G9948" s="94" t="inlineStr">
        <is>
          <t>어성초 70 데일리 릴리프 로션 2개 -30% off</t>
        </is>
      </c>
      <c r="H9948" s="94" t="n">
        <v>200801</v>
      </c>
      <c r="I9948" s="94" t="n">
        <v>200801</v>
      </c>
      <c r="K9948" s="94" t="n">
        <v>1</v>
      </c>
      <c r="L9948" s="94" t="n">
        <v>200801</v>
      </c>
      <c r="M9948" s="94">
        <f>VLOOKUP($Q9948,매칭테이블!$F:$I,2,0)*K9948</f>
        <v/>
      </c>
      <c r="N9948" s="94">
        <f>M9948-M9948*VLOOKUP($Q9948,매칭테이블!$F:$I,3,0)</f>
        <v/>
      </c>
      <c r="O9948" s="94">
        <f>VLOOKUP($Q9948,매칭테이블!$F:$I,4,0)*K9948</f>
        <v/>
      </c>
      <c r="P9948" s="148">
        <f>M9948/1.1</f>
        <v/>
      </c>
      <c r="Q9948" s="94">
        <f>F9948&amp;E9948&amp;G9948&amp;L9948</f>
        <v/>
      </c>
    </row>
    <row r="9949" customFormat="1" s="94">
      <c r="B9949" s="128" t="n">
        <v>44115</v>
      </c>
      <c r="C9949" s="94">
        <f>TEXT(B9949,"aaa")</f>
        <v/>
      </c>
      <c r="E9949" s="94" t="inlineStr">
        <is>
          <t>머드크림마스크</t>
        </is>
      </c>
      <c r="F9949" s="5" t="inlineStr">
        <is>
          <t>카페24</t>
        </is>
      </c>
      <c r="G9949" s="94" t="inlineStr">
        <is>
          <t>머드크림마스크 100ml</t>
        </is>
      </c>
      <c r="H9949" s="94" t="n">
        <v>200801</v>
      </c>
      <c r="I9949" s="94" t="n">
        <v>200801</v>
      </c>
      <c r="K9949" s="94" t="n">
        <v>3</v>
      </c>
      <c r="L9949" s="94" t="n">
        <v>200801</v>
      </c>
      <c r="M9949" s="94">
        <f>VLOOKUP($Q9949,매칭테이블!$F:$I,2,0)*K9949</f>
        <v/>
      </c>
      <c r="N9949" s="94">
        <f>M9949-M9949*VLOOKUP($Q9949,매칭테이블!$F:$I,3,0)</f>
        <v/>
      </c>
      <c r="O9949" s="94">
        <f>VLOOKUP($Q9949,매칭테이블!$F:$I,4,0)*K9949</f>
        <v/>
      </c>
      <c r="P9949" s="148">
        <f>M9949/1.1</f>
        <v/>
      </c>
      <c r="Q9949" s="94">
        <f>F9949&amp;E9949&amp;G9949&amp;L9949</f>
        <v/>
      </c>
    </row>
    <row r="9950" customFormat="1" s="94">
      <c r="B9950" s="128" t="n">
        <v>44115</v>
      </c>
      <c r="C9950" s="94">
        <f>TEXT(B9950,"aaa")</f>
        <v/>
      </c>
      <c r="E9950" s="94" t="inlineStr">
        <is>
          <t>머드크림마스크</t>
        </is>
      </c>
      <c r="F9950" s="5" t="inlineStr">
        <is>
          <t>카페24</t>
        </is>
      </c>
      <c r="G9950" s="94" t="inlineStr">
        <is>
          <t>머드크림마스크 100ml 2set</t>
        </is>
      </c>
      <c r="H9950" s="94" t="n">
        <v>200801</v>
      </c>
      <c r="I9950" s="94" t="n">
        <v>200801</v>
      </c>
      <c r="K9950" s="94" t="n">
        <v>1</v>
      </c>
      <c r="L9950" s="94" t="n">
        <v>200801</v>
      </c>
      <c r="M9950" s="94">
        <f>VLOOKUP($Q9950,매칭테이블!$F:$I,2,0)*K9950</f>
        <v/>
      </c>
      <c r="N9950" s="94">
        <f>M9950-M9950*VLOOKUP($Q9950,매칭테이블!$F:$I,3,0)</f>
        <v/>
      </c>
      <c r="O9950" s="94">
        <f>VLOOKUP($Q9950,매칭테이블!$F:$I,4,0)*K9950</f>
        <v/>
      </c>
      <c r="P9950" s="148">
        <f>M9950/1.1</f>
        <v/>
      </c>
      <c r="Q9950" s="94">
        <f>F9950&amp;E9950&amp;G9950&amp;L9950</f>
        <v/>
      </c>
    </row>
    <row r="9951" customFormat="1" s="94">
      <c r="B9951" s="128" t="n">
        <v>44115</v>
      </c>
      <c r="C9951" s="94">
        <f>TEXT(B9951,"aaa")</f>
        <v/>
      </c>
      <c r="E9951" s="94" t="inlineStr">
        <is>
          <t>마스크팩</t>
        </is>
      </c>
      <c r="F9951" s="5" t="inlineStr">
        <is>
          <t>카페24</t>
        </is>
      </c>
      <c r="G9951" s="94" t="inlineStr">
        <is>
          <t>마스크팩 1매</t>
        </is>
      </c>
      <c r="H9951" s="94" t="n">
        <v>200801</v>
      </c>
      <c r="I9951" s="94" t="n">
        <v>200801</v>
      </c>
      <c r="K9951" s="94" t="n">
        <v>2</v>
      </c>
      <c r="L9951" s="94" t="n">
        <v>200801</v>
      </c>
      <c r="M9951" s="94">
        <f>VLOOKUP($Q9951,매칭테이블!$F:$I,2,0)*K9951</f>
        <v/>
      </c>
      <c r="N9951" s="94">
        <f>M9951-M9951*VLOOKUP($Q9951,매칭테이블!$F:$I,3,0)</f>
        <v/>
      </c>
      <c r="O9951" s="94">
        <f>VLOOKUP($Q9951,매칭테이블!$F:$I,4,0)*K9951</f>
        <v/>
      </c>
      <c r="P9951" s="148">
        <f>M9951/1.1</f>
        <v/>
      </c>
      <c r="Q9951" s="94">
        <f>F9951&amp;E9951&amp;G9951&amp;L9951</f>
        <v/>
      </c>
    </row>
    <row r="9952" customFormat="1" s="94">
      <c r="B9952" s="128" t="n">
        <v>44115</v>
      </c>
      <c r="C9952" s="94">
        <f>TEXT(B9952,"aaa")</f>
        <v/>
      </c>
      <c r="E9952" s="94" t="inlineStr">
        <is>
          <t>마스크팩</t>
        </is>
      </c>
      <c r="F9952" s="5" t="inlineStr">
        <is>
          <t>카페24</t>
        </is>
      </c>
      <c r="G9952" s="94" t="inlineStr">
        <is>
          <t>마스크팩 10매</t>
        </is>
      </c>
      <c r="H9952" s="94" t="n">
        <v>200801</v>
      </c>
      <c r="I9952" s="94" t="n">
        <v>200801</v>
      </c>
      <c r="K9952" s="94" t="n">
        <v>2</v>
      </c>
      <c r="L9952" s="94" t="n">
        <v>200801</v>
      </c>
      <c r="M9952" s="94">
        <f>VLOOKUP($Q9952,매칭테이블!$F:$I,2,0)*K9952</f>
        <v/>
      </c>
      <c r="N9952" s="94">
        <f>M9952-M9952*VLOOKUP($Q9952,매칭테이블!$F:$I,3,0)</f>
        <v/>
      </c>
      <c r="O9952" s="94">
        <f>VLOOKUP($Q9952,매칭테이블!$F:$I,4,0)*K9952</f>
        <v/>
      </c>
      <c r="P9952" s="148">
        <f>M9952/1.1</f>
        <v/>
      </c>
      <c r="Q9952" s="94">
        <f>F9952&amp;E9952&amp;G9952&amp;L9952</f>
        <v/>
      </c>
    </row>
    <row r="9953" customFormat="1" s="94">
      <c r="B9953" s="128" t="n">
        <v>44115</v>
      </c>
      <c r="C9953" s="94">
        <f>TEXT(B9953,"aaa")</f>
        <v/>
      </c>
      <c r="E9953" s="94" t="inlineStr">
        <is>
          <t>토너</t>
        </is>
      </c>
      <c r="F9953" s="5" t="inlineStr">
        <is>
          <t>카페24</t>
        </is>
      </c>
      <c r="G9953" s="94" t="inlineStr">
        <is>
          <t>250ml</t>
        </is>
      </c>
      <c r="H9953" s="94" t="n">
        <v>200801</v>
      </c>
      <c r="I9953" s="94" t="n">
        <v>200801</v>
      </c>
      <c r="K9953" s="94" t="n">
        <v>24</v>
      </c>
      <c r="L9953" s="94" t="n">
        <v>200801</v>
      </c>
      <c r="M9953" s="94">
        <f>VLOOKUP($Q9953,매칭테이블!$F:$I,2,0)*K9953</f>
        <v/>
      </c>
      <c r="N9953" s="94">
        <f>M9953-M9953*VLOOKUP($Q9953,매칭테이블!$F:$I,3,0)</f>
        <v/>
      </c>
      <c r="O9953" s="94">
        <f>VLOOKUP($Q9953,매칭테이블!$F:$I,4,0)*K9953</f>
        <v/>
      </c>
      <c r="P9953" s="148">
        <f>M9953/1.1</f>
        <v/>
      </c>
      <c r="Q9953" s="94">
        <f>F9953&amp;E9953&amp;G9953&amp;L9953</f>
        <v/>
      </c>
    </row>
    <row r="9954" customFormat="1" s="94">
      <c r="B9954" s="128" t="n">
        <v>44115</v>
      </c>
      <c r="C9954" s="94">
        <f>TEXT(B9954,"aaa")</f>
        <v/>
      </c>
      <c r="E9954" s="94" t="inlineStr">
        <is>
          <t>토너</t>
        </is>
      </c>
      <c r="F9954" s="5" t="inlineStr">
        <is>
          <t>카페24</t>
        </is>
      </c>
      <c r="G9954" s="94" t="inlineStr">
        <is>
          <t>250ml 2set</t>
        </is>
      </c>
      <c r="H9954" s="94" t="n">
        <v>200801</v>
      </c>
      <c r="I9954" s="94" t="n">
        <v>200801</v>
      </c>
      <c r="K9954" s="94" t="n">
        <v>14</v>
      </c>
      <c r="L9954" s="94" t="n">
        <v>200801</v>
      </c>
      <c r="M9954" s="94">
        <f>VLOOKUP($Q9954,매칭테이블!$F:$I,2,0)*K9954</f>
        <v/>
      </c>
      <c r="N9954" s="94">
        <f>M9954-M9954*VLOOKUP($Q9954,매칭테이블!$F:$I,3,0)</f>
        <v/>
      </c>
      <c r="O9954" s="94">
        <f>VLOOKUP($Q9954,매칭테이블!$F:$I,4,0)*K9954</f>
        <v/>
      </c>
      <c r="P9954" s="148">
        <f>M9954/1.1</f>
        <v/>
      </c>
      <c r="Q9954" s="94">
        <f>F9954&amp;E9954&amp;G9954&amp;L9954</f>
        <v/>
      </c>
    </row>
    <row r="9955" customFormat="1" s="94">
      <c r="B9955" s="128" t="n">
        <v>44115</v>
      </c>
      <c r="C9955" s="94">
        <f>TEXT(B9955,"aaa")</f>
        <v/>
      </c>
      <c r="E9955" s="94" t="inlineStr">
        <is>
          <t>토너</t>
        </is>
      </c>
      <c r="F9955" s="5" t="inlineStr">
        <is>
          <t>카페24</t>
        </is>
      </c>
      <c r="G9955" s="94" t="inlineStr">
        <is>
          <t>500ml</t>
        </is>
      </c>
      <c r="H9955" s="94" t="n">
        <v>200801</v>
      </c>
      <c r="I9955" s="94" t="n">
        <v>200801</v>
      </c>
      <c r="K9955" s="94" t="n">
        <v>53</v>
      </c>
      <c r="L9955" s="94" t="n">
        <v>200801</v>
      </c>
      <c r="M9955" s="94">
        <f>VLOOKUP($Q9955,매칭테이블!$F:$I,2,0)*K9955</f>
        <v/>
      </c>
      <c r="N9955" s="94">
        <f>M9955-M9955*VLOOKUP($Q9955,매칭테이블!$F:$I,3,0)</f>
        <v/>
      </c>
      <c r="O9955" s="94">
        <f>VLOOKUP($Q9955,매칭테이블!$F:$I,4,0)*K9955</f>
        <v/>
      </c>
      <c r="P9955" s="148">
        <f>M9955/1.1</f>
        <v/>
      </c>
      <c r="Q9955" s="94">
        <f>F9955&amp;E9955&amp;G9955&amp;L9955</f>
        <v/>
      </c>
    </row>
    <row r="9956" customFormat="1" s="94">
      <c r="B9956" s="128" t="n">
        <v>44115</v>
      </c>
      <c r="C9956" s="94">
        <f>TEXT(B9956,"aaa")</f>
        <v/>
      </c>
      <c r="E9956" s="94" t="inlineStr">
        <is>
          <t>토너</t>
        </is>
      </c>
      <c r="F9956" s="5" t="inlineStr">
        <is>
          <t>카페24</t>
        </is>
      </c>
      <c r="G9956" s="94" t="inlineStr">
        <is>
          <t>스킨팩 화장솜 60P</t>
        </is>
      </c>
      <c r="H9956" s="94" t="n">
        <v>200801</v>
      </c>
      <c r="I9956" s="94" t="n">
        <v>200801</v>
      </c>
      <c r="K9956" s="94" t="n">
        <v>34</v>
      </c>
      <c r="L9956" s="94" t="n">
        <v>200801</v>
      </c>
      <c r="M9956" s="94">
        <f>VLOOKUP($Q9956,매칭테이블!$F:$I,2,0)*K9956</f>
        <v/>
      </c>
      <c r="N9956" s="94">
        <f>M9956-M9956*VLOOKUP($Q9956,매칭테이블!$F:$I,3,0)</f>
        <v/>
      </c>
      <c r="O9956" s="94">
        <f>VLOOKUP($Q9956,매칭테이블!$F:$I,4,0)*K9956</f>
        <v/>
      </c>
      <c r="P9956" s="148">
        <f>M9956/1.1</f>
        <v/>
      </c>
      <c r="Q9956" s="94">
        <f>F9956&amp;E9956&amp;G9956&amp;L9956</f>
        <v/>
      </c>
    </row>
    <row r="9957" customFormat="1" s="94">
      <c r="B9957" s="128" t="n">
        <v>44115</v>
      </c>
      <c r="C9957" s="94">
        <f>TEXT(B9957,"aaa")</f>
        <v/>
      </c>
      <c r="E9957" s="94" t="inlineStr">
        <is>
          <t>앰플</t>
        </is>
      </c>
      <c r="F9957" s="5" t="inlineStr">
        <is>
          <t>카페24</t>
        </is>
      </c>
      <c r="G9957" s="94" t="inlineStr">
        <is>
          <t>앰플 30ml</t>
        </is>
      </c>
      <c r="H9957" s="94" t="n">
        <v>200801</v>
      </c>
      <c r="I9957" s="94" t="n">
        <v>200801</v>
      </c>
      <c r="K9957" s="94" t="n">
        <v>21</v>
      </c>
      <c r="L9957" s="94" t="n">
        <v>200801</v>
      </c>
      <c r="M9957" s="94">
        <f>VLOOKUP($Q9957,매칭테이블!$F:$I,2,0)*K9957</f>
        <v/>
      </c>
      <c r="N9957" s="94">
        <f>M9957-M9957*VLOOKUP($Q9957,매칭테이블!$F:$I,3,0)</f>
        <v/>
      </c>
      <c r="O9957" s="94">
        <f>VLOOKUP($Q9957,매칭테이블!$F:$I,4,0)*K9957</f>
        <v/>
      </c>
      <c r="P9957" s="148">
        <f>M9957/1.1</f>
        <v/>
      </c>
      <c r="Q9957" s="94">
        <f>F9957&amp;E9957&amp;G9957&amp;L9957</f>
        <v/>
      </c>
    </row>
    <row r="9958" customFormat="1" s="94">
      <c r="B9958" s="128" t="n">
        <v>44115</v>
      </c>
      <c r="C9958" s="94">
        <f>TEXT(B9958,"aaa")</f>
        <v/>
      </c>
      <c r="E9958" s="94" t="inlineStr">
        <is>
          <t>앰플</t>
        </is>
      </c>
      <c r="F9958" s="5" t="inlineStr">
        <is>
          <t>카페24</t>
        </is>
      </c>
      <c r="G9958" s="94" t="inlineStr">
        <is>
          <t>앰플 30ml  2set</t>
        </is>
      </c>
      <c r="H9958" s="94" t="n">
        <v>200801</v>
      </c>
      <c r="I9958" s="94" t="n">
        <v>200801</v>
      </c>
      <c r="K9958" s="94" t="n">
        <v>9</v>
      </c>
      <c r="L9958" s="94" t="n">
        <v>200801</v>
      </c>
      <c r="M9958" s="94">
        <f>VLOOKUP($Q9958,매칭테이블!$F:$I,2,0)*K9958</f>
        <v/>
      </c>
      <c r="N9958" s="94">
        <f>M9958-M9958*VLOOKUP($Q9958,매칭테이블!$F:$I,3,0)</f>
        <v/>
      </c>
      <c r="O9958" s="94">
        <f>VLOOKUP($Q9958,매칭테이블!$F:$I,4,0)*K9958</f>
        <v/>
      </c>
      <c r="P9958" s="148">
        <f>M9958/1.1</f>
        <v/>
      </c>
      <c r="Q9958" s="94">
        <f>F9958&amp;E9958&amp;G9958&amp;L9958</f>
        <v/>
      </c>
    </row>
    <row r="9959" customFormat="1" s="94">
      <c r="B9959" s="128" t="n">
        <v>44115</v>
      </c>
      <c r="C9959" s="94">
        <f>TEXT(B9959,"aaa")</f>
        <v/>
      </c>
      <c r="E9959" s="94" t="inlineStr">
        <is>
          <t>수딩크림</t>
        </is>
      </c>
      <c r="F9959" s="5" t="inlineStr">
        <is>
          <t>카페24</t>
        </is>
      </c>
      <c r="G9959" s="94" t="inlineStr">
        <is>
          <t>수딩크림 100ml</t>
        </is>
      </c>
      <c r="H9959" s="94" t="n">
        <v>200801</v>
      </c>
      <c r="I9959" s="94" t="n">
        <v>200801</v>
      </c>
      <c r="K9959" s="94" t="n">
        <v>3</v>
      </c>
      <c r="L9959" s="94" t="n">
        <v>200801</v>
      </c>
      <c r="M9959" s="94">
        <f>VLOOKUP($Q9959,매칭테이블!$F:$I,2,0)*K9959</f>
        <v/>
      </c>
      <c r="N9959" s="94">
        <f>M9959-M9959*VLOOKUP($Q9959,매칭테이블!$F:$I,3,0)</f>
        <v/>
      </c>
      <c r="O9959" s="94">
        <f>VLOOKUP($Q9959,매칭테이블!$F:$I,4,0)*K9959</f>
        <v/>
      </c>
      <c r="P9959" s="148">
        <f>M9959/1.1</f>
        <v/>
      </c>
      <c r="Q9959" s="94">
        <f>F9959&amp;E9959&amp;G9959&amp;L9959</f>
        <v/>
      </c>
    </row>
    <row r="9960" customFormat="1" s="94">
      <c r="B9960" s="128" t="n">
        <v>44115</v>
      </c>
      <c r="C9960" s="94">
        <f>TEXT(B9960,"aaa")</f>
        <v/>
      </c>
      <c r="E9960" s="94" t="inlineStr">
        <is>
          <t>클렌징폼</t>
        </is>
      </c>
      <c r="F9960" s="5" t="inlineStr">
        <is>
          <t>카페24</t>
        </is>
      </c>
      <c r="G9960" s="94" t="inlineStr">
        <is>
          <t>클렌징폼 120ml</t>
        </is>
      </c>
      <c r="H9960" s="94" t="n">
        <v>200801</v>
      </c>
      <c r="I9960" s="94" t="n">
        <v>200801</v>
      </c>
      <c r="K9960" s="94" t="n">
        <v>7</v>
      </c>
      <c r="L9960" s="94" t="n">
        <v>200801</v>
      </c>
      <c r="M9960" s="94">
        <f>VLOOKUP($Q9960,매칭테이블!$F:$I,2,0)*K9960</f>
        <v/>
      </c>
      <c r="N9960" s="94">
        <f>M9960-M9960*VLOOKUP($Q9960,매칭테이블!$F:$I,3,0)</f>
        <v/>
      </c>
      <c r="O9960" s="94">
        <f>VLOOKUP($Q9960,매칭테이블!$F:$I,4,0)*K9960</f>
        <v/>
      </c>
      <c r="P9960" s="148">
        <f>M9960/1.1</f>
        <v/>
      </c>
      <c r="Q9960" s="94">
        <f>F9960&amp;E9960&amp;G9960&amp;L9960</f>
        <v/>
      </c>
    </row>
    <row r="9961" customFormat="1" s="94">
      <c r="B9961" s="128" t="n">
        <v>44115</v>
      </c>
      <c r="C9961" s="94">
        <f>TEXT(B9961,"aaa")</f>
        <v/>
      </c>
      <c r="E9961" s="94" t="inlineStr">
        <is>
          <t>클렌징폼</t>
        </is>
      </c>
      <c r="F9961" s="5" t="inlineStr">
        <is>
          <t>카페24</t>
        </is>
      </c>
      <c r="G9961" s="94" t="inlineStr">
        <is>
          <t>클렌징폼 120ml 2set</t>
        </is>
      </c>
      <c r="H9961" s="94" t="n">
        <v>200801</v>
      </c>
      <c r="I9961" s="94" t="n">
        <v>200801</v>
      </c>
      <c r="K9961" s="94" t="n">
        <v>1</v>
      </c>
      <c r="L9961" s="94" t="n">
        <v>200801</v>
      </c>
      <c r="M9961" s="94">
        <f>VLOOKUP($Q9961,매칭테이블!$F:$I,2,0)*K9961</f>
        <v/>
      </c>
      <c r="N9961" s="94">
        <f>M9961-M9961*VLOOKUP($Q9961,매칭테이블!$F:$I,3,0)</f>
        <v/>
      </c>
      <c r="O9961" s="94">
        <f>VLOOKUP($Q9961,매칭테이블!$F:$I,4,0)*K9961</f>
        <v/>
      </c>
      <c r="P9961" s="148">
        <f>M9961/1.1</f>
        <v/>
      </c>
      <c r="Q9961" s="94">
        <f>F9961&amp;E9961&amp;G9961&amp;L9961</f>
        <v/>
      </c>
    </row>
    <row r="9962" customFormat="1" s="94">
      <c r="B9962" s="128" t="n">
        <v>44115</v>
      </c>
      <c r="C9962" s="94">
        <f>TEXT(B9962,"aaa")</f>
        <v/>
      </c>
      <c r="E9962" s="94" t="inlineStr">
        <is>
          <t>클렌징폼</t>
        </is>
      </c>
      <c r="F9962" s="5" t="inlineStr">
        <is>
          <t>카페24</t>
        </is>
      </c>
      <c r="G9962" s="94" t="inlineStr">
        <is>
          <t>클렌징폼 120ml 3set</t>
        </is>
      </c>
      <c r="H9962" s="94" t="n">
        <v>200801</v>
      </c>
      <c r="I9962" s="94" t="n">
        <v>200801</v>
      </c>
      <c r="K9962" s="94" t="n">
        <v>1</v>
      </c>
      <c r="L9962" s="94" t="n">
        <v>200801</v>
      </c>
      <c r="M9962" s="94">
        <f>VLOOKUP($Q9962,매칭테이블!$F:$I,2,0)*K9962</f>
        <v/>
      </c>
      <c r="N9962" s="94">
        <f>M9962-M9962*VLOOKUP($Q9962,매칭테이블!$F:$I,3,0)</f>
        <v/>
      </c>
      <c r="O9962" s="94">
        <f>VLOOKUP($Q9962,매칭테이블!$F:$I,4,0)*K9962</f>
        <v/>
      </c>
      <c r="P9962" s="148">
        <f>M9962/1.1</f>
        <v/>
      </c>
      <c r="Q9962" s="94">
        <f>F9962&amp;E9962&amp;G9962&amp;L9962</f>
        <v/>
      </c>
    </row>
    <row r="9963" customFormat="1" s="94">
      <c r="B9963" s="128" t="n">
        <v>44115</v>
      </c>
      <c r="C9963" s="94">
        <f>TEXT(B9963,"aaa")</f>
        <v/>
      </c>
      <c r="E9963" s="94" t="inlineStr">
        <is>
          <t>바디워시</t>
        </is>
      </c>
      <c r="F9963" s="5" t="inlineStr">
        <is>
          <t>카페24</t>
        </is>
      </c>
      <c r="G9963" s="94" t="inlineStr">
        <is>
          <t>바디워시 1개 -30% off</t>
        </is>
      </c>
      <c r="H9963" s="94" t="n">
        <v>200801</v>
      </c>
      <c r="I9963" s="94" t="n">
        <v>200801</v>
      </c>
      <c r="K9963" s="94" t="n">
        <v>1</v>
      </c>
      <c r="L9963" s="94" t="n">
        <v>200801</v>
      </c>
      <c r="M9963" s="94">
        <f>VLOOKUP($Q9963,매칭테이블!$F:$I,2,0)*K9963</f>
        <v/>
      </c>
      <c r="N9963" s="94">
        <f>M9963-M9963*VLOOKUP($Q9963,매칭테이블!$F:$I,3,0)</f>
        <v/>
      </c>
      <c r="O9963" s="94">
        <f>VLOOKUP($Q9963,매칭테이블!$F:$I,4,0)*K9963</f>
        <v/>
      </c>
      <c r="P9963" s="148">
        <f>M9963/1.1</f>
        <v/>
      </c>
      <c r="Q9963" s="94">
        <f>F9963&amp;E9963&amp;G9963&amp;L9963</f>
        <v/>
      </c>
    </row>
    <row r="9964" customFormat="1" s="94">
      <c r="B9964" s="128" t="n">
        <v>44115</v>
      </c>
      <c r="C9964" s="94">
        <f>TEXT(B9964,"aaa")</f>
        <v/>
      </c>
      <c r="E9964" s="94" t="inlineStr">
        <is>
          <t>토너</t>
        </is>
      </c>
      <c r="F9964" s="5" t="inlineStr">
        <is>
          <t>화해</t>
        </is>
      </c>
      <c r="G9964" s="94" t="inlineStr">
        <is>
          <t>250ml</t>
        </is>
      </c>
      <c r="H9964" s="94" t="n">
        <v>200801</v>
      </c>
      <c r="I9964" s="94" t="n">
        <v>200801</v>
      </c>
      <c r="K9964" s="94" t="n">
        <v>4</v>
      </c>
      <c r="L9964" s="94" t="n">
        <v>200801</v>
      </c>
      <c r="M9964" s="94">
        <f>VLOOKUP($Q9964,매칭테이블!$F:$I,2,0)*K9964</f>
        <v/>
      </c>
      <c r="N9964" s="94">
        <f>M9964-M9964*VLOOKUP($Q9964,매칭테이블!$F:$I,3,0)</f>
        <v/>
      </c>
      <c r="O9964" s="94">
        <f>VLOOKUP($Q9964,매칭테이블!$F:$I,4,0)*K9964</f>
        <v/>
      </c>
      <c r="P9964" s="148">
        <f>M9964/1.1</f>
        <v/>
      </c>
      <c r="Q9964" s="94">
        <f>F9964&amp;E9964&amp;G9964&amp;L9964</f>
        <v/>
      </c>
    </row>
    <row r="9965" customFormat="1" s="94">
      <c r="B9965" s="128" t="n">
        <v>44115</v>
      </c>
      <c r="C9965" s="94">
        <f>TEXT(B9965,"aaa")</f>
        <v/>
      </c>
      <c r="E9965" s="94" t="inlineStr">
        <is>
          <t>앰플</t>
        </is>
      </c>
      <c r="F9965" s="5" t="inlineStr">
        <is>
          <t>화해</t>
        </is>
      </c>
      <c r="G9965" s="94" t="inlineStr">
        <is>
          <t>앰플 30ml</t>
        </is>
      </c>
      <c r="H9965" s="94" t="n">
        <v>200801</v>
      </c>
      <c r="I9965" s="94" t="n">
        <v>200801</v>
      </c>
      <c r="K9965" s="94" t="n">
        <v>1</v>
      </c>
      <c r="L9965" s="94" t="n">
        <v>200801</v>
      </c>
      <c r="M9965" s="94">
        <f>VLOOKUP($Q9965,매칭테이블!$F:$I,2,0)*K9965</f>
        <v/>
      </c>
      <c r="N9965" s="94">
        <f>M9965-M9965*VLOOKUP($Q9965,매칭테이블!$F:$I,3,0)</f>
        <v/>
      </c>
      <c r="O9965" s="94">
        <f>VLOOKUP($Q9965,매칭테이블!$F:$I,4,0)*K9965</f>
        <v/>
      </c>
      <c r="P9965" s="148">
        <f>M9965/1.1</f>
        <v/>
      </c>
      <c r="Q9965" s="94">
        <f>F9965&amp;E9965&amp;G9965&amp;L9965</f>
        <v/>
      </c>
    </row>
    <row r="9966" customFormat="1" s="94">
      <c r="B9966" s="128" t="n">
        <v>44115</v>
      </c>
      <c r="C9966" s="94">
        <f>TEXT(B9966,"aaa")</f>
        <v/>
      </c>
      <c r="E9966" s="94" t="inlineStr">
        <is>
          <t>토너</t>
        </is>
      </c>
      <c r="F9966" s="5" t="inlineStr">
        <is>
          <t>랄라블라</t>
        </is>
      </c>
      <c r="G9966" s="94" t="inlineStr">
        <is>
          <t>250ml</t>
        </is>
      </c>
      <c r="H9966" s="94" t="n">
        <v>200801</v>
      </c>
      <c r="I9966" s="94" t="n">
        <v>200801</v>
      </c>
      <c r="K9966" s="94" t="n">
        <v>370</v>
      </c>
      <c r="L9966" s="94" t="n">
        <v>200801</v>
      </c>
      <c r="M9966" s="94">
        <f>VLOOKUP($Q9966,매칭테이블!$F:$I,2,0)*K9966</f>
        <v/>
      </c>
      <c r="N9966" s="94">
        <f>M9966-M9966*VLOOKUP($Q9966,매칭테이블!$F:$I,3,0)</f>
        <v/>
      </c>
      <c r="O9966" s="94">
        <f>VLOOKUP($Q9966,매칭테이블!$F:$I,4,0)*K9966</f>
        <v/>
      </c>
      <c r="P9966" s="148">
        <f>M9966/1.1</f>
        <v/>
      </c>
      <c r="Q9966" s="94">
        <f>F9966&amp;E9966&amp;G9966&amp;L9966</f>
        <v/>
      </c>
    </row>
    <row r="9967" customFormat="1" s="94">
      <c r="B9967" s="128" t="n">
        <v>44115</v>
      </c>
      <c r="C9967" s="94">
        <f>TEXT(B9967,"aaa")</f>
        <v/>
      </c>
      <c r="E9967" s="94" t="inlineStr">
        <is>
          <t>토너</t>
        </is>
      </c>
      <c r="F9967" s="5" t="inlineStr">
        <is>
          <t>랄라블라</t>
        </is>
      </c>
      <c r="G9967" s="94" t="inlineStr">
        <is>
          <t>500ml</t>
        </is>
      </c>
      <c r="H9967" s="94" t="n">
        <v>200801</v>
      </c>
      <c r="I9967" s="94" t="n">
        <v>200801</v>
      </c>
      <c r="K9967" s="94" t="n">
        <v>543</v>
      </c>
      <c r="L9967" s="94" t="n">
        <v>200801</v>
      </c>
      <c r="M9967" s="94">
        <f>VLOOKUP($Q9967,매칭테이블!$F:$I,2,0)*K9967</f>
        <v/>
      </c>
      <c r="N9967" s="94">
        <f>M9967-M9967*VLOOKUP($Q9967,매칭테이블!$F:$I,3,0)</f>
        <v/>
      </c>
      <c r="O9967" s="94">
        <f>VLOOKUP($Q9967,매칭테이블!$F:$I,4,0)*K9967</f>
        <v/>
      </c>
      <c r="P9967" s="148">
        <f>M9967/1.1</f>
        <v/>
      </c>
      <c r="Q9967" s="94">
        <f>F9967&amp;E9967&amp;G9967&amp;L9967</f>
        <v/>
      </c>
    </row>
    <row r="9968" customFormat="1" s="94">
      <c r="B9968" s="128" t="n">
        <v>44115</v>
      </c>
      <c r="C9968" s="94">
        <f>TEXT(B9968,"aaa")</f>
        <v/>
      </c>
      <c r="E9968" s="94" t="inlineStr">
        <is>
          <t>마스크팩</t>
        </is>
      </c>
      <c r="F9968" s="5" t="inlineStr">
        <is>
          <t>랄라블라</t>
        </is>
      </c>
      <c r="G9968" s="94" t="inlineStr">
        <is>
          <t>마스크팩 1매</t>
        </is>
      </c>
      <c r="H9968" s="94" t="n">
        <v>200801</v>
      </c>
      <c r="I9968" s="94" t="n">
        <v>200801</v>
      </c>
      <c r="K9968" s="94" t="n">
        <v>715</v>
      </c>
      <c r="L9968" s="94" t="n">
        <v>200801</v>
      </c>
      <c r="M9968" s="94">
        <f>VLOOKUP($Q9968,매칭테이블!$F:$I,2,0)*K9968</f>
        <v/>
      </c>
      <c r="N9968" s="94">
        <f>M9968-M9968*VLOOKUP($Q9968,매칭테이블!$F:$I,3,0)</f>
        <v/>
      </c>
      <c r="O9968" s="94">
        <f>VLOOKUP($Q9968,매칭테이블!$F:$I,4,0)*K9968</f>
        <v/>
      </c>
      <c r="P9968" s="148">
        <f>M9968/1.1</f>
        <v/>
      </c>
      <c r="Q9968" s="94">
        <f>F9968&amp;E9968&amp;G9968&amp;L9968</f>
        <v/>
      </c>
    </row>
    <row r="9969" customFormat="1" s="94">
      <c r="B9969" s="128" t="n">
        <v>44115</v>
      </c>
      <c r="C9969" s="94">
        <f>TEXT(B9969,"aaa")</f>
        <v/>
      </c>
      <c r="E9969" s="94" t="inlineStr">
        <is>
          <t>수딩크림 증정기획</t>
        </is>
      </c>
      <c r="F9969" s="5" t="inlineStr">
        <is>
          <t>랄라블라</t>
        </is>
      </c>
      <c r="G9969" s="94" t="inlineStr">
        <is>
          <t>수딩크림 증정기획</t>
        </is>
      </c>
      <c r="H9969" s="94" t="n">
        <v>200801</v>
      </c>
      <c r="I9969" s="94" t="n">
        <v>200801</v>
      </c>
      <c r="K9969" s="94" t="n">
        <v>51</v>
      </c>
      <c r="L9969" s="94" t="n">
        <v>200801</v>
      </c>
      <c r="M9969" s="94">
        <f>VLOOKUP($Q9969,매칭테이블!$F:$I,2,0)*K9969</f>
        <v/>
      </c>
      <c r="N9969" s="94">
        <f>M9969-M9969*VLOOKUP($Q9969,매칭테이블!$F:$I,3,0)</f>
        <v/>
      </c>
      <c r="O9969" s="94">
        <f>VLOOKUP($Q9969,매칭테이블!$F:$I,4,0)*K9969</f>
        <v/>
      </c>
      <c r="P9969" s="148">
        <f>M9969/1.1</f>
        <v/>
      </c>
      <c r="Q9969" s="94">
        <f>F9969&amp;E9969&amp;G9969&amp;L9969</f>
        <v/>
      </c>
    </row>
    <row r="9970" customFormat="1" s="94">
      <c r="B9970" s="128" t="n">
        <v>44115</v>
      </c>
      <c r="C9970" s="94">
        <f>TEXT(B9970,"aaa")</f>
        <v/>
      </c>
      <c r="E9970" s="94" t="inlineStr">
        <is>
          <t>수딩크림</t>
        </is>
      </c>
      <c r="F9970" s="5" t="inlineStr">
        <is>
          <t>랄라블라</t>
        </is>
      </c>
      <c r="G9970" s="94" t="inlineStr">
        <is>
          <t>수딩크림 100ml</t>
        </is>
      </c>
      <c r="H9970" s="94" t="n">
        <v>200801</v>
      </c>
      <c r="I9970" s="94" t="n">
        <v>200801</v>
      </c>
      <c r="K9970" s="94" t="n">
        <v>54</v>
      </c>
      <c r="L9970" s="94" t="n">
        <v>200801</v>
      </c>
      <c r="M9970" s="94">
        <f>VLOOKUP($Q9970,매칭테이블!$F:$I,2,0)*K9970</f>
        <v/>
      </c>
      <c r="N9970" s="94">
        <f>M9970-M9970*VLOOKUP($Q9970,매칭테이블!$F:$I,3,0)</f>
        <v/>
      </c>
      <c r="O9970" s="94">
        <f>VLOOKUP($Q9970,매칭테이블!$F:$I,4,0)*K9970</f>
        <v/>
      </c>
      <c r="P9970" s="148">
        <f>M9970/1.1</f>
        <v/>
      </c>
      <c r="Q9970" s="94">
        <f>F9970&amp;E9970&amp;G9970&amp;L9970</f>
        <v/>
      </c>
    </row>
    <row r="9971" customFormat="1" s="94">
      <c r="B9971" s="128" t="n">
        <v>44115</v>
      </c>
      <c r="C9971" s="94">
        <f>TEXT(B9971,"aaa")</f>
        <v/>
      </c>
      <c r="E9971" s="94" t="inlineStr">
        <is>
          <t>앰플 기획세트</t>
        </is>
      </c>
      <c r="F9971" s="5" t="inlineStr">
        <is>
          <t>랄라블라</t>
        </is>
      </c>
      <c r="G9971" s="94" t="inlineStr">
        <is>
          <t>앰플 기획세트</t>
        </is>
      </c>
      <c r="H9971" s="94" t="n">
        <v>200801</v>
      </c>
      <c r="I9971" s="94" t="n">
        <v>200801</v>
      </c>
      <c r="K9971" s="94" t="n">
        <v>231</v>
      </c>
      <c r="L9971" s="94" t="n">
        <v>200801</v>
      </c>
      <c r="M9971" s="94">
        <f>VLOOKUP($Q9971,매칭테이블!$F:$I,2,0)*K9971</f>
        <v/>
      </c>
      <c r="N9971" s="94">
        <f>M9971-M9971*VLOOKUP($Q9971,매칭테이블!$F:$I,3,0)</f>
        <v/>
      </c>
      <c r="O9971" s="94">
        <f>VLOOKUP($Q9971,매칭테이블!$F:$I,4,0)*K9971</f>
        <v/>
      </c>
      <c r="P9971" s="148">
        <f>M9971/1.1</f>
        <v/>
      </c>
      <c r="Q9971" s="94">
        <f>F9971&amp;E9971&amp;G9971&amp;L9971</f>
        <v/>
      </c>
    </row>
    <row r="9972" customFormat="1" s="94">
      <c r="B9972" s="128" t="n">
        <v>44115</v>
      </c>
      <c r="C9972" s="94">
        <f>TEXT(B9972,"aaa")</f>
        <v/>
      </c>
      <c r="E9972" s="94" t="inlineStr">
        <is>
          <t>클렌징폼 기획세트</t>
        </is>
      </c>
      <c r="F9972" s="5" t="inlineStr">
        <is>
          <t>랄라블라</t>
        </is>
      </c>
      <c r="G9972" s="94" t="inlineStr">
        <is>
          <t>클렌징폼 기획세트</t>
        </is>
      </c>
      <c r="H9972" s="94" t="n">
        <v>200801</v>
      </c>
      <c r="I9972" s="94" t="n">
        <v>200801</v>
      </c>
      <c r="K9972" s="94" t="n">
        <v>9</v>
      </c>
      <c r="L9972" s="94" t="n">
        <v>200801</v>
      </c>
      <c r="M9972" s="94">
        <f>VLOOKUP($Q9972,매칭테이블!$F:$I,2,0)*K9972</f>
        <v/>
      </c>
      <c r="N9972" s="94">
        <f>M9972-M9972*VLOOKUP($Q9972,매칭테이블!$F:$I,3,0)</f>
        <v/>
      </c>
      <c r="O9972" s="94">
        <f>VLOOKUP($Q9972,매칭테이블!$F:$I,4,0)*K9972</f>
        <v/>
      </c>
      <c r="P9972" s="148">
        <f>M9972/1.1</f>
        <v/>
      </c>
      <c r="Q9972" s="94">
        <f>F9972&amp;E9972&amp;G9972&amp;L9972</f>
        <v/>
      </c>
    </row>
    <row r="9973" customFormat="1" s="94">
      <c r="B9973" s="128" t="n">
        <v>44115</v>
      </c>
      <c r="C9973" s="94">
        <f>TEXT(B9973,"aaa")</f>
        <v/>
      </c>
      <c r="E9973" s="94" t="inlineStr">
        <is>
          <t>클렌징폼</t>
        </is>
      </c>
      <c r="F9973" s="5" t="inlineStr">
        <is>
          <t>랄라블라</t>
        </is>
      </c>
      <c r="G9973" s="94" t="inlineStr">
        <is>
          <t>클렌징폼 120ml</t>
        </is>
      </c>
      <c r="H9973" s="94" t="n">
        <v>200801</v>
      </c>
      <c r="I9973" s="94" t="n">
        <v>200801</v>
      </c>
      <c r="K9973" s="94" t="n">
        <v>79</v>
      </c>
      <c r="L9973" s="94" t="n">
        <v>200801</v>
      </c>
      <c r="M9973" s="94">
        <f>VLOOKUP($Q9973,매칭테이블!$F:$I,2,0)*K9973</f>
        <v/>
      </c>
      <c r="N9973" s="94">
        <f>M9973-M9973*VLOOKUP($Q9973,매칭테이블!$F:$I,3,0)</f>
        <v/>
      </c>
      <c r="O9973" s="94">
        <f>VLOOKUP($Q9973,매칭테이블!$F:$I,4,0)*K9973</f>
        <v/>
      </c>
      <c r="P9973" s="148">
        <f>M9973/1.1</f>
        <v/>
      </c>
      <c r="Q9973" s="94">
        <f>F9973&amp;E9973&amp;G9973&amp;L9973</f>
        <v/>
      </c>
    </row>
    <row r="9974" customFormat="1" s="94">
      <c r="B9974" s="128" t="n">
        <v>44115</v>
      </c>
      <c r="C9974" s="94">
        <f>TEXT(B9974,"aaa")</f>
        <v/>
      </c>
      <c r="E9974" s="94" t="inlineStr">
        <is>
          <t>선크림</t>
        </is>
      </c>
      <c r="F9974" s="5" t="inlineStr">
        <is>
          <t>랄라블라</t>
        </is>
      </c>
      <c r="G9974" s="94" t="inlineStr">
        <is>
          <t>선크림 50ml</t>
        </is>
      </c>
      <c r="H9974" s="94" t="n">
        <v>200801</v>
      </c>
      <c r="I9974" s="94" t="n">
        <v>200801</v>
      </c>
      <c r="K9974" s="94" t="n">
        <v>31</v>
      </c>
      <c r="L9974" s="94" t="n">
        <v>200801</v>
      </c>
      <c r="M9974" s="94">
        <f>VLOOKUP($Q9974,매칭테이블!$F:$I,2,0)*K9974</f>
        <v/>
      </c>
      <c r="N9974" s="94">
        <f>M9974-M9974*VLOOKUP($Q9974,매칭테이블!$F:$I,3,0)</f>
        <v/>
      </c>
      <c r="O9974" s="94">
        <f>VLOOKUP($Q9974,매칭테이블!$F:$I,4,0)*K9974</f>
        <v/>
      </c>
      <c r="P9974" s="148">
        <f>M9974/1.1</f>
        <v/>
      </c>
      <c r="Q9974" s="94">
        <f>F9974&amp;E9974&amp;G9974&amp;L9974</f>
        <v/>
      </c>
    </row>
    <row r="9975" customFormat="1" s="94">
      <c r="B9975" s="128" t="n">
        <v>44115</v>
      </c>
      <c r="C9975" s="94">
        <f>TEXT(B9975,"aaa")</f>
        <v/>
      </c>
      <c r="E9975" s="94" t="inlineStr">
        <is>
          <t>대용량 기획세트</t>
        </is>
      </c>
      <c r="F9975" s="5" t="inlineStr">
        <is>
          <t>랄라블라</t>
        </is>
      </c>
      <c r="G9975" s="94" t="inlineStr">
        <is>
          <t>대용량 기획세트</t>
        </is>
      </c>
      <c r="H9975" s="94" t="n">
        <v>200801</v>
      </c>
      <c r="I9975" s="94" t="n">
        <v>200801</v>
      </c>
      <c r="K9975" s="94" t="n">
        <v>11</v>
      </c>
      <c r="L9975" s="94" t="n">
        <v>200801</v>
      </c>
      <c r="M9975" s="94">
        <f>VLOOKUP($Q9975,매칭테이블!$F:$I,2,0)*K9975</f>
        <v/>
      </c>
      <c r="N9975" s="94">
        <f>M9975-M9975*VLOOKUP($Q9975,매칭테이블!$F:$I,3,0)</f>
        <v/>
      </c>
      <c r="O9975" s="94">
        <f>VLOOKUP($Q9975,매칭테이블!$F:$I,4,0)*K9975</f>
        <v/>
      </c>
      <c r="P9975" s="148">
        <f>M9975/1.1</f>
        <v/>
      </c>
      <c r="Q9975" s="94">
        <f>F9975&amp;E9975&amp;G9975&amp;L9975</f>
        <v/>
      </c>
    </row>
    <row r="9976" customFormat="1" s="94">
      <c r="B9976" s="128" t="n">
        <v>44115</v>
      </c>
      <c r="C9976" s="94">
        <f>TEXT(B9976,"aaa")</f>
        <v/>
      </c>
      <c r="E9976" s="94" t="inlineStr">
        <is>
          <t>마스크팩</t>
        </is>
      </c>
      <c r="F9976" s="5" t="inlineStr">
        <is>
          <t>랄라블라</t>
        </is>
      </c>
      <c r="G9976" s="94" t="inlineStr">
        <is>
          <t>마스크 5+1 기획세트</t>
        </is>
      </c>
      <c r="H9976" s="94" t="n">
        <v>200801</v>
      </c>
      <c r="I9976" s="94" t="n">
        <v>200801</v>
      </c>
      <c r="K9976" s="94" t="n">
        <v>81</v>
      </c>
      <c r="L9976" s="94" t="n">
        <v>200801</v>
      </c>
      <c r="M9976" s="94">
        <f>VLOOKUP($Q9976,매칭테이블!$F:$I,2,0)*K9976</f>
        <v/>
      </c>
      <c r="N9976" s="94">
        <f>M9976-M9976*VLOOKUP($Q9976,매칭테이블!$F:$I,3,0)</f>
        <v/>
      </c>
      <c r="O9976" s="94">
        <f>VLOOKUP($Q9976,매칭테이블!$F:$I,4,0)*K9976</f>
        <v/>
      </c>
      <c r="P9976" s="148">
        <f>M9976/1.1</f>
        <v/>
      </c>
      <c r="Q9976" s="94">
        <f>F9976&amp;E9976&amp;G9976&amp;L9976</f>
        <v/>
      </c>
    </row>
    <row r="9977" customFormat="1" s="94">
      <c r="B9977" s="128" t="n">
        <v>44115</v>
      </c>
      <c r="C9977" s="94">
        <f>TEXT(B9977,"aaa")</f>
        <v/>
      </c>
      <c r="E9977" s="94" t="inlineStr">
        <is>
          <t>바디워시</t>
        </is>
      </c>
      <c r="F9977" s="5" t="inlineStr">
        <is>
          <t>랄라블라</t>
        </is>
      </c>
      <c r="G9977" s="94" t="inlineStr">
        <is>
          <t>아누아 어성초 아크네 바디워시 500ml</t>
        </is>
      </c>
      <c r="H9977" s="94" t="n">
        <v>200801</v>
      </c>
      <c r="I9977" s="94" t="n">
        <v>200801</v>
      </c>
      <c r="K9977" s="94" t="n">
        <v>15</v>
      </c>
      <c r="L9977" s="94" t="n">
        <v>200801</v>
      </c>
      <c r="M9977" s="94">
        <f>VLOOKUP($Q9977,매칭테이블!$F:$I,2,0)*K9977</f>
        <v/>
      </c>
      <c r="N9977" s="94">
        <f>M9977-M9977*VLOOKUP($Q9977,매칭테이블!$F:$I,3,0)</f>
        <v/>
      </c>
      <c r="O9977" s="94">
        <f>VLOOKUP($Q9977,매칭테이블!$F:$I,4,0)*K9977</f>
        <v/>
      </c>
      <c r="P9977" s="148">
        <f>M9977/1.1</f>
        <v/>
      </c>
      <c r="Q9977" s="94">
        <f>F9977&amp;E9977&amp;G9977&amp;L9977</f>
        <v/>
      </c>
    </row>
    <row r="9978" customFormat="1" s="94">
      <c r="B9978" s="128" t="n">
        <v>44115</v>
      </c>
      <c r="C9978" s="94">
        <f>TEXT(B9978,"aaa")</f>
        <v/>
      </c>
      <c r="E9978" s="94" t="inlineStr">
        <is>
          <t>클리어 패드</t>
        </is>
      </c>
      <c r="F9978" s="5" t="inlineStr">
        <is>
          <t>랄라블라</t>
        </is>
      </c>
      <c r="G9978" s="94" t="inlineStr">
        <is>
          <t>아누아 어성초77 클리어 패드</t>
        </is>
      </c>
      <c r="H9978" s="94" t="n">
        <v>200801</v>
      </c>
      <c r="I9978" s="94" t="n">
        <v>200801</v>
      </c>
      <c r="K9978" s="94" t="n">
        <v>125</v>
      </c>
      <c r="L9978" s="94" t="n">
        <v>200801</v>
      </c>
      <c r="M9978" s="94">
        <f>VLOOKUP($Q9978,매칭테이블!$F:$I,2,0)*K9978</f>
        <v/>
      </c>
      <c r="N9978" s="94">
        <f>M9978-M9978*VLOOKUP($Q9978,매칭테이블!$F:$I,3,0)</f>
        <v/>
      </c>
      <c r="O9978" s="94">
        <f>VLOOKUP($Q9978,매칭테이블!$F:$I,4,0)*K9978</f>
        <v/>
      </c>
      <c r="P9978" s="148">
        <f>M9978/1.1</f>
        <v/>
      </c>
      <c r="Q9978" s="94">
        <f>F9978&amp;E9978&amp;G9978&amp;L9978</f>
        <v/>
      </c>
    </row>
    <row r="9979" customFormat="1" s="94">
      <c r="B9979" s="128" t="n">
        <v>44115</v>
      </c>
      <c r="C9979" s="94">
        <f>TEXT(B9979,"aaa")</f>
        <v/>
      </c>
      <c r="E9979" s="94" t="inlineStr">
        <is>
          <t>로션</t>
        </is>
      </c>
      <c r="F9979" s="5" t="inlineStr">
        <is>
          <t>랄라블라</t>
        </is>
      </c>
      <c r="G9979" s="94" t="inlineStr">
        <is>
          <t>아누아 어성초70 로션 200ml</t>
        </is>
      </c>
      <c r="H9979" s="94" t="n">
        <v>200801</v>
      </c>
      <c r="I9979" s="94" t="n">
        <v>200801</v>
      </c>
      <c r="K9979" s="94" t="n">
        <v>136</v>
      </c>
      <c r="L9979" s="94" t="n">
        <v>200801</v>
      </c>
      <c r="M9979" s="94">
        <f>VLOOKUP($Q9979,매칭테이블!$F:$I,2,0)*K9979</f>
        <v/>
      </c>
      <c r="N9979" s="94">
        <f>M9979-M9979*VLOOKUP($Q9979,매칭테이블!$F:$I,3,0)</f>
        <v/>
      </c>
      <c r="O9979" s="94">
        <f>VLOOKUP($Q9979,매칭테이블!$F:$I,4,0)*K9979</f>
        <v/>
      </c>
      <c r="P9979" s="148">
        <f>M9979/1.1</f>
        <v/>
      </c>
      <c r="Q9979" s="94">
        <f>F9979&amp;E9979&amp;G9979&amp;L9979</f>
        <v/>
      </c>
    </row>
    <row r="9980" customFormat="1" s="94">
      <c r="B9980" s="128" t="n">
        <v>44115</v>
      </c>
      <c r="C9980" s="94">
        <f>TEXT(B9980,"aaa")</f>
        <v/>
      </c>
      <c r="E9980" s="94" t="inlineStr">
        <is>
          <t>앰플</t>
        </is>
      </c>
      <c r="F9980" s="5" t="inlineStr">
        <is>
          <t>랄라블라</t>
        </is>
      </c>
      <c r="G9980" s="94" t="inlineStr">
        <is>
          <t>앰플 30ml</t>
        </is>
      </c>
      <c r="H9980" s="94" t="n">
        <v>200801</v>
      </c>
      <c r="I9980" s="94" t="n">
        <v>200801</v>
      </c>
      <c r="K9980" s="94" t="n">
        <v>2</v>
      </c>
      <c r="L9980" s="94" t="n">
        <v>200801</v>
      </c>
      <c r="M9980" s="94">
        <f>VLOOKUP($Q9980,매칭테이블!$F:$I,2,0)*K9980</f>
        <v/>
      </c>
      <c r="N9980" s="94">
        <f>M9980-M9980*VLOOKUP($Q9980,매칭테이블!$F:$I,3,0)</f>
        <v/>
      </c>
      <c r="O9980" s="94">
        <f>VLOOKUP($Q9980,매칭테이블!$F:$I,4,0)*K9980</f>
        <v/>
      </c>
      <c r="P9980" s="148">
        <f>M9980/1.1</f>
        <v/>
      </c>
      <c r="Q9980" s="94">
        <f>F9980&amp;E9980&amp;G9980&amp;L9980</f>
        <v/>
      </c>
    </row>
    <row r="9981">
      <c r="A9981" s="94" t="n"/>
      <c r="B9981" s="128" t="n">
        <v>44116</v>
      </c>
      <c r="C9981" s="94">
        <f>TEXT(B9981,"aaa")</f>
        <v/>
      </c>
      <c r="D9981" s="94" t="n"/>
      <c r="E9981" s="94" t="inlineStr">
        <is>
          <t>토너</t>
        </is>
      </c>
      <c r="F9981" s="5" t="inlineStr">
        <is>
          <t>W컨셉</t>
        </is>
      </c>
      <c r="G9981" s="94" t="inlineStr">
        <is>
          <t>250ml</t>
        </is>
      </c>
      <c r="H9981" s="94" t="n">
        <v>200801</v>
      </c>
      <c r="I9981" s="94" t="n">
        <v>200801</v>
      </c>
      <c r="J9981" s="94" t="n"/>
      <c r="K9981" s="94" t="n">
        <v>10</v>
      </c>
      <c r="L9981" s="94" t="n">
        <v>200801</v>
      </c>
      <c r="M9981" s="94">
        <f>VLOOKUP($Q9981,매칭테이블!$F:$I,2,0)*K9981</f>
        <v/>
      </c>
      <c r="N9981" s="94">
        <f>M9981-M9981*VLOOKUP($Q9981,매칭테이블!$F:$I,3,0)</f>
        <v/>
      </c>
      <c r="O9981" s="94">
        <f>VLOOKUP($Q9981,매칭테이블!$F:$I,4,0)*K9981</f>
        <v/>
      </c>
      <c r="P9981" s="148">
        <f>M9981/1.1</f>
        <v/>
      </c>
      <c r="Q9981" s="94">
        <f>F9981&amp;E9981&amp;G9981&amp;L9981</f>
        <v/>
      </c>
    </row>
    <row r="9982">
      <c r="A9982" s="94" t="n"/>
      <c r="B9982" s="128" t="n">
        <v>44116</v>
      </c>
      <c r="C9982" s="94">
        <f>TEXT(B9982,"aaa")</f>
        <v/>
      </c>
      <c r="D9982" s="94" t="n"/>
      <c r="E9982" s="94" t="inlineStr">
        <is>
          <t>토너</t>
        </is>
      </c>
      <c r="F9982" s="5" t="inlineStr">
        <is>
          <t>W컨셉</t>
        </is>
      </c>
      <c r="G9982" s="94" t="inlineStr">
        <is>
          <t>250ml 2set</t>
        </is>
      </c>
      <c r="H9982" s="94" t="n">
        <v>200801</v>
      </c>
      <c r="I9982" s="94" t="n">
        <v>200801</v>
      </c>
      <c r="J9982" s="94" t="n"/>
      <c r="K9982" s="94" t="n">
        <v>37</v>
      </c>
      <c r="L9982" s="94" t="n">
        <v>200801</v>
      </c>
      <c r="M9982" s="94">
        <f>VLOOKUP($Q9982,매칭테이블!$F:$I,2,0)*K9982</f>
        <v/>
      </c>
      <c r="N9982" s="94">
        <f>M9982-M9982*VLOOKUP($Q9982,매칭테이블!$F:$I,3,0)</f>
        <v/>
      </c>
      <c r="O9982" s="94">
        <f>VLOOKUP($Q9982,매칭테이블!$F:$I,4,0)*K9982</f>
        <v/>
      </c>
      <c r="P9982" s="148">
        <f>M9982/1.1</f>
        <v/>
      </c>
      <c r="Q9982" s="94">
        <f>F9982&amp;E9982&amp;G9982&amp;L9982</f>
        <v/>
      </c>
    </row>
    <row r="9983">
      <c r="A9983" s="94" t="n"/>
      <c r="B9983" s="128" t="n">
        <v>44116</v>
      </c>
      <c r="C9983" s="94">
        <f>TEXT(B9983,"aaa")</f>
        <v/>
      </c>
      <c r="D9983" s="94" t="n"/>
      <c r="E9983" s="94" t="inlineStr">
        <is>
          <t>토너</t>
        </is>
      </c>
      <c r="F9983" s="5" t="inlineStr">
        <is>
          <t>스타일쉐어</t>
        </is>
      </c>
      <c r="G9983" s="94" t="inlineStr">
        <is>
          <t>250ml</t>
        </is>
      </c>
      <c r="H9983" s="94" t="n">
        <v>200801</v>
      </c>
      <c r="I9983" s="94" t="n">
        <v>200801</v>
      </c>
      <c r="J9983" s="94" t="n"/>
      <c r="K9983" s="94" t="n">
        <v>6</v>
      </c>
      <c r="L9983" s="94" t="n">
        <v>200801</v>
      </c>
      <c r="M9983" s="94">
        <f>VLOOKUP($Q9983,매칭테이블!$F:$I,2,0)*K9983</f>
        <v/>
      </c>
      <c r="N9983" s="94">
        <f>M9983-M9983*VLOOKUP($Q9983,매칭테이블!$F:$I,3,0)</f>
        <v/>
      </c>
      <c r="O9983" s="94">
        <f>VLOOKUP($Q9983,매칭테이블!$F:$I,4,0)*K9983</f>
        <v/>
      </c>
      <c r="P9983" s="148">
        <f>M9983/1.1</f>
        <v/>
      </c>
      <c r="Q9983" s="94">
        <f>F9983&amp;E9983&amp;G9983&amp;L9983</f>
        <v/>
      </c>
    </row>
    <row r="9984">
      <c r="A9984" s="94" t="n"/>
      <c r="B9984" s="128" t="n">
        <v>44116</v>
      </c>
      <c r="C9984" s="94">
        <f>TEXT(B9984,"aaa")</f>
        <v/>
      </c>
      <c r="D9984" s="94" t="n"/>
      <c r="E9984" s="94" t="inlineStr">
        <is>
          <t>선크림</t>
        </is>
      </c>
      <c r="F9984" s="5" t="inlineStr">
        <is>
          <t>카페24</t>
        </is>
      </c>
      <c r="G9984" s="94" t="inlineStr">
        <is>
          <t>선크림 50ml</t>
        </is>
      </c>
      <c r="H9984" s="94" t="n">
        <v>200801</v>
      </c>
      <c r="I9984" s="94" t="n">
        <v>200801</v>
      </c>
      <c r="J9984" s="94" t="n"/>
      <c r="K9984" s="94" t="n">
        <v>5</v>
      </c>
      <c r="L9984" s="94" t="n">
        <v>200801</v>
      </c>
      <c r="M9984" s="94">
        <f>VLOOKUP($Q9984,매칭테이블!$F:$I,2,0)*K9984</f>
        <v/>
      </c>
      <c r="N9984" s="94">
        <f>M9984-M9984*VLOOKUP($Q9984,매칭테이블!$F:$I,3,0)</f>
        <v/>
      </c>
      <c r="O9984" s="94">
        <f>VLOOKUP($Q9984,매칭테이블!$F:$I,4,0)*K9984</f>
        <v/>
      </c>
      <c r="P9984" s="148">
        <f>M9984/1.1</f>
        <v/>
      </c>
      <c r="Q9984" s="94">
        <f>F9984&amp;E9984&amp;G9984&amp;L9984</f>
        <v/>
      </c>
    </row>
    <row r="9985">
      <c r="A9985" s="94" t="n"/>
      <c r="B9985" s="128" t="n">
        <v>44116</v>
      </c>
      <c r="C9985" s="94">
        <f>TEXT(B9985,"aaa")</f>
        <v/>
      </c>
      <c r="D9985" s="94" t="n"/>
      <c r="E9985" s="94" t="inlineStr">
        <is>
          <t>어성초진정패키지</t>
        </is>
      </c>
      <c r="F9985" s="5" t="inlineStr">
        <is>
          <t>카페24</t>
        </is>
      </c>
      <c r="G9985" s="94" t="inlineStr">
        <is>
          <t>어성초 진정패키지세트</t>
        </is>
      </c>
      <c r="H9985" s="94" t="n">
        <v>200801</v>
      </c>
      <c r="I9985" s="94" t="n">
        <v>200801</v>
      </c>
      <c r="J9985" s="94" t="n"/>
      <c r="K9985" s="94" t="n">
        <v>4</v>
      </c>
      <c r="L9985" s="94" t="n">
        <v>200801</v>
      </c>
      <c r="M9985" s="94">
        <f>VLOOKUP($Q9985,매칭테이블!$F:$I,2,0)*K9985</f>
        <v/>
      </c>
      <c r="N9985" s="94">
        <f>M9985-M9985*VLOOKUP($Q9985,매칭테이블!$F:$I,3,0)</f>
        <v/>
      </c>
      <c r="O9985" s="94">
        <f>VLOOKUP($Q9985,매칭테이블!$F:$I,4,0)*K9985</f>
        <v/>
      </c>
      <c r="P9985" s="148">
        <f>M9985/1.1</f>
        <v/>
      </c>
      <c r="Q9985" s="94">
        <f>F9985&amp;E9985&amp;G9985&amp;L9985</f>
        <v/>
      </c>
    </row>
    <row r="9986">
      <c r="A9986" s="94" t="n"/>
      <c r="B9986" s="128" t="n">
        <v>44116</v>
      </c>
      <c r="C9986" s="94">
        <f>TEXT(B9986,"aaa")</f>
        <v/>
      </c>
      <c r="D9986" s="94" t="n"/>
      <c r="E9986" s="94" t="inlineStr">
        <is>
          <t>클리어 패드</t>
        </is>
      </c>
      <c r="F9986" s="5" t="inlineStr">
        <is>
          <t>카페24</t>
        </is>
      </c>
      <c r="G9986" s="94" t="inlineStr">
        <is>
          <t>어성초 77 클리어 패드 1개-20% off</t>
        </is>
      </c>
      <c r="H9986" s="94" t="n">
        <v>200801</v>
      </c>
      <c r="I9986" s="94" t="n">
        <v>200801</v>
      </c>
      <c r="J9986" s="94" t="n"/>
      <c r="K9986" s="94" t="n">
        <v>12</v>
      </c>
      <c r="L9986" s="94" t="n">
        <v>200801</v>
      </c>
      <c r="M9986" s="94">
        <f>VLOOKUP($Q9986,매칭테이블!$F:$I,2,0)*K9986</f>
        <v/>
      </c>
      <c r="N9986" s="94">
        <f>M9986-M9986*VLOOKUP($Q9986,매칭테이블!$F:$I,3,0)</f>
        <v/>
      </c>
      <c r="O9986" s="94">
        <f>VLOOKUP($Q9986,매칭테이블!$F:$I,4,0)*K9986</f>
        <v/>
      </c>
      <c r="P9986" s="148">
        <f>M9986/1.1</f>
        <v/>
      </c>
      <c r="Q9986" s="94">
        <f>F9986&amp;E9986&amp;G9986&amp;L9986</f>
        <v/>
      </c>
    </row>
    <row r="9987">
      <c r="A9987" s="94" t="n"/>
      <c r="B9987" s="128" t="n">
        <v>44116</v>
      </c>
      <c r="C9987" s="94">
        <f>TEXT(B9987,"aaa")</f>
        <v/>
      </c>
      <c r="D9987" s="94" t="n"/>
      <c r="E9987" s="94" t="inlineStr">
        <is>
          <t>클리어 패드</t>
        </is>
      </c>
      <c r="F9987" s="5" t="inlineStr">
        <is>
          <t>카페24</t>
        </is>
      </c>
      <c r="G9987" s="94" t="inlineStr">
        <is>
          <t>어성초 77 클리어 패드 2개-30% off</t>
        </is>
      </c>
      <c r="H9987" s="94" t="n">
        <v>200801</v>
      </c>
      <c r="I9987" s="94" t="n">
        <v>200801</v>
      </c>
      <c r="J9987" s="94" t="n"/>
      <c r="K9987" s="94" t="n">
        <v>3</v>
      </c>
      <c r="L9987" s="94" t="n">
        <v>200801</v>
      </c>
      <c r="M9987" s="94">
        <f>VLOOKUP($Q9987,매칭테이블!$F:$I,2,0)*K9987</f>
        <v/>
      </c>
      <c r="N9987" s="94">
        <f>M9987-M9987*VLOOKUP($Q9987,매칭테이블!$F:$I,3,0)</f>
        <v/>
      </c>
      <c r="O9987" s="94">
        <f>VLOOKUP($Q9987,매칭테이블!$F:$I,4,0)*K9987</f>
        <v/>
      </c>
      <c r="P9987" s="148">
        <f>M9987/1.1</f>
        <v/>
      </c>
      <c r="Q9987" s="94">
        <f>F9987&amp;E9987&amp;G9987&amp;L9987</f>
        <v/>
      </c>
    </row>
    <row r="9988">
      <c r="A9988" s="94" t="n"/>
      <c r="B9988" s="128" t="n">
        <v>44116</v>
      </c>
      <c r="C9988" s="94">
        <f>TEXT(B9988,"aaa")</f>
        <v/>
      </c>
      <c r="D9988" s="94" t="n"/>
      <c r="E9988" s="94" t="inlineStr">
        <is>
          <t>토너+패드 세트</t>
        </is>
      </c>
      <c r="F9988" s="5" t="inlineStr">
        <is>
          <t>카페24</t>
        </is>
      </c>
      <c r="G9988" s="94" t="inlineStr">
        <is>
          <t>좁쌀 진정 세트 토너+클리어 패드-30% off</t>
        </is>
      </c>
      <c r="H9988" s="94" t="n">
        <v>200801</v>
      </c>
      <c r="I9988" s="94" t="n">
        <v>200801</v>
      </c>
      <c r="J9988" s="94" t="n"/>
      <c r="K9988" s="94" t="n">
        <v>7</v>
      </c>
      <c r="L9988" s="94" t="n">
        <v>200801</v>
      </c>
      <c r="M9988" s="94">
        <f>VLOOKUP($Q9988,매칭테이블!$F:$I,2,0)*K9988</f>
        <v/>
      </c>
      <c r="N9988" s="94">
        <f>M9988-M9988*VLOOKUP($Q9988,매칭테이블!$F:$I,3,0)</f>
        <v/>
      </c>
      <c r="O9988" s="94">
        <f>VLOOKUP($Q9988,매칭테이블!$F:$I,4,0)*K9988</f>
        <v/>
      </c>
      <c r="P9988" s="148">
        <f>M9988/1.1</f>
        <v/>
      </c>
      <c r="Q9988" s="94">
        <f>F9988&amp;E9988&amp;G9988&amp;L9988</f>
        <v/>
      </c>
    </row>
    <row r="9989">
      <c r="A9989" s="94" t="n"/>
      <c r="B9989" s="128" t="n">
        <v>44116</v>
      </c>
      <c r="C9989" s="94">
        <f>TEXT(B9989,"aaa")</f>
        <v/>
      </c>
      <c r="D9989" s="94" t="n"/>
      <c r="E9989" s="94" t="inlineStr">
        <is>
          <t>수분 보충 세트</t>
        </is>
      </c>
      <c r="F9989" s="5" t="inlineStr">
        <is>
          <t>카페24</t>
        </is>
      </c>
      <c r="G9989" s="94" t="inlineStr">
        <is>
          <t>[20/09/28 부터] 어성초 77 토너 250ml + 어성초 70 로션 200ml -30%</t>
        </is>
      </c>
      <c r="H9989" s="94" t="n">
        <v>200801</v>
      </c>
      <c r="I9989" s="94" t="n">
        <v>200801</v>
      </c>
      <c r="J9989" s="94" t="n"/>
      <c r="K9989" s="94" t="n">
        <v>34</v>
      </c>
      <c r="L9989" s="94" t="n">
        <v>200801</v>
      </c>
      <c r="M9989" s="94">
        <f>VLOOKUP($Q9989,매칭테이블!$F:$I,2,0)*K9989</f>
        <v/>
      </c>
      <c r="N9989" s="94">
        <f>M9989-M9989*VLOOKUP($Q9989,매칭테이블!$F:$I,3,0)</f>
        <v/>
      </c>
      <c r="O9989" s="94">
        <f>VLOOKUP($Q9989,매칭테이블!$F:$I,4,0)*K9989</f>
        <v/>
      </c>
      <c r="P9989" s="148">
        <f>M9989/1.1</f>
        <v/>
      </c>
      <c r="Q9989" s="94">
        <f>F9989&amp;E9989&amp;G9989&amp;L9989</f>
        <v/>
      </c>
    </row>
    <row r="9990">
      <c r="A9990" s="94" t="n"/>
      <c r="B9990" s="128" t="n">
        <v>44116</v>
      </c>
      <c r="C9990" s="94">
        <f>TEXT(B9990,"aaa")</f>
        <v/>
      </c>
      <c r="D9990" s="94" t="n"/>
      <c r="E9990" s="94" t="inlineStr">
        <is>
          <t>로션</t>
        </is>
      </c>
      <c r="F9990" s="5" t="inlineStr">
        <is>
          <t>카페24</t>
        </is>
      </c>
      <c r="G9990" s="94" t="inlineStr">
        <is>
          <t>어성초 70 데일리 릴리프 로션 1개 -20% off</t>
        </is>
      </c>
      <c r="H9990" s="94" t="n">
        <v>200801</v>
      </c>
      <c r="I9990" s="94" t="n">
        <v>200801</v>
      </c>
      <c r="J9990" s="94" t="n"/>
      <c r="K9990" s="94" t="n">
        <v>10</v>
      </c>
      <c r="L9990" s="94" t="n">
        <v>200801</v>
      </c>
      <c r="M9990" s="94">
        <f>VLOOKUP($Q9990,매칭테이블!$F:$I,2,0)*K9990</f>
        <v/>
      </c>
      <c r="N9990" s="94">
        <f>M9990-M9990*VLOOKUP($Q9990,매칭테이블!$F:$I,3,0)</f>
        <v/>
      </c>
      <c r="O9990" s="94">
        <f>VLOOKUP($Q9990,매칭테이블!$F:$I,4,0)*K9990</f>
        <v/>
      </c>
      <c r="P9990" s="148">
        <f>M9990/1.1</f>
        <v/>
      </c>
      <c r="Q9990" s="94">
        <f>F9990&amp;E9990&amp;G9990&amp;L9990</f>
        <v/>
      </c>
    </row>
    <row r="9991">
      <c r="A9991" s="94" t="n"/>
      <c r="B9991" s="128" t="n">
        <v>44116</v>
      </c>
      <c r="C9991" s="94">
        <f>TEXT(B9991,"aaa")</f>
        <v/>
      </c>
      <c r="D9991" s="94" t="n"/>
      <c r="E9991" s="94" t="inlineStr">
        <is>
          <t>로션</t>
        </is>
      </c>
      <c r="F9991" s="5" t="inlineStr">
        <is>
          <t>카페24</t>
        </is>
      </c>
      <c r="G9991" s="94" t="inlineStr">
        <is>
          <t>어성초 70 데일리 릴리프 로션 2개 -30% off</t>
        </is>
      </c>
      <c r="H9991" s="94" t="n">
        <v>200801</v>
      </c>
      <c r="I9991" s="94" t="n">
        <v>200801</v>
      </c>
      <c r="J9991" s="94" t="n"/>
      <c r="K9991" s="94" t="n">
        <v>1</v>
      </c>
      <c r="L9991" s="94" t="n">
        <v>200801</v>
      </c>
      <c r="M9991" s="94">
        <f>VLOOKUP($Q9991,매칭테이블!$F:$I,2,0)*K9991</f>
        <v/>
      </c>
      <c r="N9991" s="94">
        <f>M9991-M9991*VLOOKUP($Q9991,매칭테이블!$F:$I,3,0)</f>
        <v/>
      </c>
      <c r="O9991" s="94">
        <f>VLOOKUP($Q9991,매칭테이블!$F:$I,4,0)*K9991</f>
        <v/>
      </c>
      <c r="P9991" s="148">
        <f>M9991/1.1</f>
        <v/>
      </c>
      <c r="Q9991" s="94">
        <f>F9991&amp;E9991&amp;G9991&amp;L9991</f>
        <v/>
      </c>
    </row>
    <row r="9992">
      <c r="A9992" s="94" t="n"/>
      <c r="B9992" s="128" t="n">
        <v>44116</v>
      </c>
      <c r="C9992" s="94">
        <f>TEXT(B9992,"aaa")</f>
        <v/>
      </c>
      <c r="D9992" s="94" t="n"/>
      <c r="E9992" s="94" t="inlineStr">
        <is>
          <t>머드크림마스크</t>
        </is>
      </c>
      <c r="F9992" s="5" t="inlineStr">
        <is>
          <t>카페24</t>
        </is>
      </c>
      <c r="G9992" s="94" t="inlineStr">
        <is>
          <t>머드크림마스크 100ml</t>
        </is>
      </c>
      <c r="H9992" s="94" t="n">
        <v>200801</v>
      </c>
      <c r="I9992" s="94" t="n">
        <v>200801</v>
      </c>
      <c r="J9992" s="94" t="n"/>
      <c r="K9992" s="94" t="n">
        <v>7</v>
      </c>
      <c r="L9992" s="94" t="n">
        <v>200801</v>
      </c>
      <c r="M9992" s="94">
        <f>VLOOKUP($Q9992,매칭테이블!$F:$I,2,0)*K9992</f>
        <v/>
      </c>
      <c r="N9992" s="94">
        <f>M9992-M9992*VLOOKUP($Q9992,매칭테이블!$F:$I,3,0)</f>
        <v/>
      </c>
      <c r="O9992" s="94">
        <f>VLOOKUP($Q9992,매칭테이블!$F:$I,4,0)*K9992</f>
        <v/>
      </c>
      <c r="P9992" s="148">
        <f>M9992/1.1</f>
        <v/>
      </c>
      <c r="Q9992" s="94">
        <f>F9992&amp;E9992&amp;G9992&amp;L9992</f>
        <v/>
      </c>
    </row>
    <row r="9993">
      <c r="A9993" s="94" t="n"/>
      <c r="B9993" s="128" t="n">
        <v>44116</v>
      </c>
      <c r="C9993" s="94">
        <f>TEXT(B9993,"aaa")</f>
        <v/>
      </c>
      <c r="D9993" s="94" t="n"/>
      <c r="E9993" s="94" t="inlineStr">
        <is>
          <t>마스크팩</t>
        </is>
      </c>
      <c r="F9993" s="5" t="inlineStr">
        <is>
          <t>카페24</t>
        </is>
      </c>
      <c r="G9993" s="94" t="inlineStr">
        <is>
          <t>마스크팩 10매</t>
        </is>
      </c>
      <c r="H9993" s="94" t="n">
        <v>200801</v>
      </c>
      <c r="I9993" s="94" t="n">
        <v>200801</v>
      </c>
      <c r="J9993" s="94" t="n"/>
      <c r="K9993" s="94" t="n">
        <v>6</v>
      </c>
      <c r="L9993" s="94" t="n">
        <v>200801</v>
      </c>
      <c r="M9993" s="94">
        <f>VLOOKUP($Q9993,매칭테이블!$F:$I,2,0)*K9993</f>
        <v/>
      </c>
      <c r="N9993" s="94">
        <f>M9993-M9993*VLOOKUP($Q9993,매칭테이블!$F:$I,3,0)</f>
        <v/>
      </c>
      <c r="O9993" s="94">
        <f>VLOOKUP($Q9993,매칭테이블!$F:$I,4,0)*K9993</f>
        <v/>
      </c>
      <c r="P9993" s="148">
        <f>M9993/1.1</f>
        <v/>
      </c>
      <c r="Q9993" s="94">
        <f>F9993&amp;E9993&amp;G9993&amp;L9993</f>
        <v/>
      </c>
    </row>
    <row r="9994">
      <c r="A9994" s="94" t="n"/>
      <c r="B9994" s="128" t="n">
        <v>44116</v>
      </c>
      <c r="C9994" s="94">
        <f>TEXT(B9994,"aaa")</f>
        <v/>
      </c>
      <c r="D9994" s="94" t="n"/>
      <c r="E9994" s="94" t="inlineStr">
        <is>
          <t>토너</t>
        </is>
      </c>
      <c r="F9994" s="5" t="inlineStr">
        <is>
          <t>카페24</t>
        </is>
      </c>
      <c r="G9994" s="94" t="inlineStr">
        <is>
          <t>250ml</t>
        </is>
      </c>
      <c r="H9994" s="94" t="n">
        <v>200801</v>
      </c>
      <c r="I9994" s="94" t="n">
        <v>200801</v>
      </c>
      <c r="J9994" s="94" t="n"/>
      <c r="K9994" s="94" t="n">
        <v>26</v>
      </c>
      <c r="L9994" s="94" t="n">
        <v>200801</v>
      </c>
      <c r="M9994" s="94">
        <f>VLOOKUP($Q9994,매칭테이블!$F:$I,2,0)*K9994</f>
        <v/>
      </c>
      <c r="N9994" s="94">
        <f>M9994-M9994*VLOOKUP($Q9994,매칭테이블!$F:$I,3,0)</f>
        <v/>
      </c>
      <c r="O9994" s="94">
        <f>VLOOKUP($Q9994,매칭테이블!$F:$I,4,0)*K9994</f>
        <v/>
      </c>
      <c r="P9994" s="148">
        <f>M9994/1.1</f>
        <v/>
      </c>
      <c r="Q9994" s="94">
        <f>F9994&amp;E9994&amp;G9994&amp;L9994</f>
        <v/>
      </c>
    </row>
    <row r="9995">
      <c r="A9995" s="94" t="n"/>
      <c r="B9995" s="128" t="n">
        <v>44116</v>
      </c>
      <c r="C9995" s="94">
        <f>TEXT(B9995,"aaa")</f>
        <v/>
      </c>
      <c r="D9995" s="94" t="n"/>
      <c r="E9995" s="94" t="inlineStr">
        <is>
          <t>토너</t>
        </is>
      </c>
      <c r="F9995" s="5" t="inlineStr">
        <is>
          <t>카페24</t>
        </is>
      </c>
      <c r="G9995" s="94" t="inlineStr">
        <is>
          <t>250ml 2set</t>
        </is>
      </c>
      <c r="H9995" s="94" t="n">
        <v>200801</v>
      </c>
      <c r="I9995" s="94" t="n">
        <v>200801</v>
      </c>
      <c r="J9995" s="94" t="n"/>
      <c r="K9995" s="94" t="n">
        <v>15</v>
      </c>
      <c r="L9995" s="94" t="n">
        <v>200801</v>
      </c>
      <c r="M9995" s="94">
        <f>VLOOKUP($Q9995,매칭테이블!$F:$I,2,0)*K9995</f>
        <v/>
      </c>
      <c r="N9995" s="94">
        <f>M9995-M9995*VLOOKUP($Q9995,매칭테이블!$F:$I,3,0)</f>
        <v/>
      </c>
      <c r="O9995" s="94">
        <f>VLOOKUP($Q9995,매칭테이블!$F:$I,4,0)*K9995</f>
        <v/>
      </c>
      <c r="P9995" s="148">
        <f>M9995/1.1</f>
        <v/>
      </c>
      <c r="Q9995" s="94">
        <f>F9995&amp;E9995&amp;G9995&amp;L9995</f>
        <v/>
      </c>
    </row>
    <row r="9996">
      <c r="A9996" s="94" t="n"/>
      <c r="B9996" s="128" t="n">
        <v>44116</v>
      </c>
      <c r="C9996" s="94">
        <f>TEXT(B9996,"aaa")</f>
        <v/>
      </c>
      <c r="D9996" s="94" t="n"/>
      <c r="E9996" s="94" t="inlineStr">
        <is>
          <t>토너</t>
        </is>
      </c>
      <c r="F9996" s="5" t="inlineStr">
        <is>
          <t>카페24</t>
        </is>
      </c>
      <c r="G9996" s="94" t="inlineStr">
        <is>
          <t>500ml</t>
        </is>
      </c>
      <c r="H9996" s="94" t="n">
        <v>200801</v>
      </c>
      <c r="I9996" s="94" t="n">
        <v>200801</v>
      </c>
      <c r="J9996" s="94" t="n"/>
      <c r="K9996" s="94" t="n">
        <v>70</v>
      </c>
      <c r="L9996" s="94" t="n">
        <v>200801</v>
      </c>
      <c r="M9996" s="94">
        <f>VLOOKUP($Q9996,매칭테이블!$F:$I,2,0)*K9996</f>
        <v/>
      </c>
      <c r="N9996" s="94">
        <f>M9996-M9996*VLOOKUP($Q9996,매칭테이블!$F:$I,3,0)</f>
        <v/>
      </c>
      <c r="O9996" s="94">
        <f>VLOOKUP($Q9996,매칭테이블!$F:$I,4,0)*K9996</f>
        <v/>
      </c>
      <c r="P9996" s="148">
        <f>M9996/1.1</f>
        <v/>
      </c>
      <c r="Q9996" s="94">
        <f>F9996&amp;E9996&amp;G9996&amp;L9996</f>
        <v/>
      </c>
    </row>
    <row r="9997">
      <c r="A9997" s="94" t="n"/>
      <c r="B9997" s="128" t="n">
        <v>44116</v>
      </c>
      <c r="C9997" s="94">
        <f>TEXT(B9997,"aaa")</f>
        <v/>
      </c>
      <c r="D9997" s="94" t="n"/>
      <c r="E9997" s="94" t="inlineStr">
        <is>
          <t>토너</t>
        </is>
      </c>
      <c r="F9997" s="5" t="inlineStr">
        <is>
          <t>카페24</t>
        </is>
      </c>
      <c r="G9997" s="94" t="inlineStr">
        <is>
          <t>스킨팩 화장솜 60P</t>
        </is>
      </c>
      <c r="H9997" s="94" t="n">
        <v>200801</v>
      </c>
      <c r="I9997" s="94" t="n">
        <v>200801</v>
      </c>
      <c r="J9997" s="94" t="n"/>
      <c r="K9997" s="94" t="n">
        <v>20</v>
      </c>
      <c r="L9997" s="94" t="n">
        <v>200801</v>
      </c>
      <c r="M9997" s="94">
        <f>VLOOKUP($Q9997,매칭테이블!$F:$I,2,0)*K9997</f>
        <v/>
      </c>
      <c r="N9997" s="94">
        <f>M9997-M9997*VLOOKUP($Q9997,매칭테이블!$F:$I,3,0)</f>
        <v/>
      </c>
      <c r="O9997" s="94">
        <f>VLOOKUP($Q9997,매칭테이블!$F:$I,4,0)*K9997</f>
        <v/>
      </c>
      <c r="P9997" s="148">
        <f>M9997/1.1</f>
        <v/>
      </c>
      <c r="Q9997" s="94">
        <f>F9997&amp;E9997&amp;G9997&amp;L9997</f>
        <v/>
      </c>
    </row>
    <row r="9998">
      <c r="A9998" s="94" t="n"/>
      <c r="B9998" s="128" t="n">
        <v>44116</v>
      </c>
      <c r="C9998" s="94">
        <f>TEXT(B9998,"aaa")</f>
        <v/>
      </c>
      <c r="D9998" s="94" t="n"/>
      <c r="E9998" s="94" t="inlineStr">
        <is>
          <t>앰플</t>
        </is>
      </c>
      <c r="F9998" s="5" t="inlineStr">
        <is>
          <t>카페24</t>
        </is>
      </c>
      <c r="G9998" s="94" t="inlineStr">
        <is>
          <t>앰플 30ml</t>
        </is>
      </c>
      <c r="H9998" s="94" t="n">
        <v>200801</v>
      </c>
      <c r="I9998" s="94" t="n">
        <v>200801</v>
      </c>
      <c r="J9998" s="94" t="n"/>
      <c r="K9998" s="94" t="n">
        <v>29</v>
      </c>
      <c r="L9998" s="94" t="n">
        <v>200801</v>
      </c>
      <c r="M9998" s="94">
        <f>VLOOKUP($Q9998,매칭테이블!$F:$I,2,0)*K9998</f>
        <v/>
      </c>
      <c r="N9998" s="94">
        <f>M9998-M9998*VLOOKUP($Q9998,매칭테이블!$F:$I,3,0)</f>
        <v/>
      </c>
      <c r="O9998" s="94">
        <f>VLOOKUP($Q9998,매칭테이블!$F:$I,4,0)*K9998</f>
        <v/>
      </c>
      <c r="P9998" s="148">
        <f>M9998/1.1</f>
        <v/>
      </c>
      <c r="Q9998" s="94">
        <f>F9998&amp;E9998&amp;G9998&amp;L9998</f>
        <v/>
      </c>
    </row>
    <row r="9999">
      <c r="A9999" s="94" t="n"/>
      <c r="B9999" s="128" t="n">
        <v>44116</v>
      </c>
      <c r="C9999" s="94">
        <f>TEXT(B9999,"aaa")</f>
        <v/>
      </c>
      <c r="D9999" s="94" t="n"/>
      <c r="E9999" s="94" t="inlineStr">
        <is>
          <t>앰플</t>
        </is>
      </c>
      <c r="F9999" s="5" t="inlineStr">
        <is>
          <t>카페24</t>
        </is>
      </c>
      <c r="G9999" s="94" t="inlineStr">
        <is>
          <t>앰플 30ml  2set</t>
        </is>
      </c>
      <c r="H9999" s="94" t="n">
        <v>200801</v>
      </c>
      <c r="I9999" s="94" t="n">
        <v>200801</v>
      </c>
      <c r="J9999" s="94" t="n"/>
      <c r="K9999" s="94" t="n">
        <v>2</v>
      </c>
      <c r="L9999" s="94" t="n">
        <v>200801</v>
      </c>
      <c r="M9999" s="94">
        <f>VLOOKUP($Q9999,매칭테이블!$F:$I,2,0)*K9999</f>
        <v/>
      </c>
      <c r="N9999" s="94">
        <f>M9999-M9999*VLOOKUP($Q9999,매칭테이블!$F:$I,3,0)</f>
        <v/>
      </c>
      <c r="O9999" s="94">
        <f>VLOOKUP($Q9999,매칭테이블!$F:$I,4,0)*K9999</f>
        <v/>
      </c>
      <c r="P9999" s="148">
        <f>M9999/1.1</f>
        <v/>
      </c>
      <c r="Q9999" s="94">
        <f>F9999&amp;E9999&amp;G9999&amp;L9999</f>
        <v/>
      </c>
    </row>
    <row r="10000">
      <c r="A10000" s="94" t="n"/>
      <c r="B10000" s="128" t="n">
        <v>44116</v>
      </c>
      <c r="C10000" s="94">
        <f>TEXT(B10000,"aaa")</f>
        <v/>
      </c>
      <c r="D10000" s="94" t="n"/>
      <c r="E10000" s="94" t="inlineStr">
        <is>
          <t>수딩크림</t>
        </is>
      </c>
      <c r="F10000" s="5" t="inlineStr">
        <is>
          <t>카페24</t>
        </is>
      </c>
      <c r="G10000" s="94" t="inlineStr">
        <is>
          <t>수딩크림 100ml</t>
        </is>
      </c>
      <c r="H10000" s="94" t="n">
        <v>200801</v>
      </c>
      <c r="I10000" s="94" t="n">
        <v>200801</v>
      </c>
      <c r="J10000" s="94" t="n"/>
      <c r="K10000" s="94" t="n">
        <v>6</v>
      </c>
      <c r="L10000" s="94" t="n">
        <v>200801</v>
      </c>
      <c r="M10000" s="94">
        <f>VLOOKUP($Q10000,매칭테이블!$F:$I,2,0)*K10000</f>
        <v/>
      </c>
      <c r="N10000" s="94">
        <f>M10000-M10000*VLOOKUP($Q10000,매칭테이블!$F:$I,3,0)</f>
        <v/>
      </c>
      <c r="O10000" s="94">
        <f>VLOOKUP($Q10000,매칭테이블!$F:$I,4,0)*K10000</f>
        <v/>
      </c>
      <c r="P10000" s="148">
        <f>M10000/1.1</f>
        <v/>
      </c>
      <c r="Q10000" s="94">
        <f>F10000&amp;E10000&amp;G10000&amp;L10000</f>
        <v/>
      </c>
    </row>
    <row r="10001">
      <c r="A10001" s="94" t="n"/>
      <c r="B10001" s="128" t="n">
        <v>44116</v>
      </c>
      <c r="C10001" s="94">
        <f>TEXT(B10001,"aaa")</f>
        <v/>
      </c>
      <c r="D10001" s="94" t="n"/>
      <c r="E10001" s="94" t="inlineStr">
        <is>
          <t>클렌징폼</t>
        </is>
      </c>
      <c r="F10001" s="5" t="inlineStr">
        <is>
          <t>카페24</t>
        </is>
      </c>
      <c r="G10001" s="94" t="inlineStr">
        <is>
          <t>클렌징폼 120ml</t>
        </is>
      </c>
      <c r="H10001" s="94" t="n">
        <v>200801</v>
      </c>
      <c r="I10001" s="94" t="n">
        <v>200801</v>
      </c>
      <c r="J10001" s="94" t="n"/>
      <c r="K10001" s="94" t="n">
        <v>14</v>
      </c>
      <c r="L10001" s="94" t="n">
        <v>200801</v>
      </c>
      <c r="M10001" s="94">
        <f>VLOOKUP($Q10001,매칭테이블!$F:$I,2,0)*K10001</f>
        <v/>
      </c>
      <c r="N10001" s="94">
        <f>M10001-M10001*VLOOKUP($Q10001,매칭테이블!$F:$I,3,0)</f>
        <v/>
      </c>
      <c r="O10001" s="94">
        <f>VLOOKUP($Q10001,매칭테이블!$F:$I,4,0)*K10001</f>
        <v/>
      </c>
      <c r="P10001" s="148">
        <f>M10001/1.1</f>
        <v/>
      </c>
      <c r="Q10001" s="94">
        <f>F10001&amp;E10001&amp;G10001&amp;L10001</f>
        <v/>
      </c>
    </row>
    <row r="10002">
      <c r="A10002" s="94" t="n"/>
      <c r="B10002" s="128" t="n">
        <v>44116</v>
      </c>
      <c r="C10002" s="94">
        <f>TEXT(B10002,"aaa")</f>
        <v/>
      </c>
      <c r="D10002" s="94" t="n"/>
      <c r="E10002" s="94" t="inlineStr">
        <is>
          <t>바디워시</t>
        </is>
      </c>
      <c r="F10002" s="5" t="inlineStr">
        <is>
          <t>카페24</t>
        </is>
      </c>
      <c r="G10002" s="94" t="inlineStr">
        <is>
          <t>바디워시 1개 -30% off</t>
        </is>
      </c>
      <c r="H10002" s="94" t="n">
        <v>200801</v>
      </c>
      <c r="I10002" s="94" t="n">
        <v>200801</v>
      </c>
      <c r="J10002" s="94" t="n"/>
      <c r="K10002" s="94" t="n">
        <v>1</v>
      </c>
      <c r="L10002" s="94" t="n">
        <v>200801</v>
      </c>
      <c r="M10002" s="94">
        <f>VLOOKUP($Q10002,매칭테이블!$F:$I,2,0)*K10002</f>
        <v/>
      </c>
      <c r="N10002" s="94">
        <f>M10002-M10002*VLOOKUP($Q10002,매칭테이블!$F:$I,3,0)</f>
        <v/>
      </c>
      <c r="O10002" s="94">
        <f>VLOOKUP($Q10002,매칭테이블!$F:$I,4,0)*K10002</f>
        <v/>
      </c>
      <c r="P10002" s="148">
        <f>M10002/1.1</f>
        <v/>
      </c>
      <c r="Q10002" s="94">
        <f>F10002&amp;E10002&amp;G10002&amp;L10002</f>
        <v/>
      </c>
    </row>
    <row r="10003">
      <c r="A10003" s="94" t="n"/>
      <c r="B10003" s="128" t="n">
        <v>44116</v>
      </c>
      <c r="C10003" s="94">
        <f>TEXT(B10003,"aaa")</f>
        <v/>
      </c>
      <c r="D10003" s="94" t="n"/>
      <c r="E10003" s="94" t="inlineStr">
        <is>
          <t>토너</t>
        </is>
      </c>
      <c r="F10003" s="5" t="inlineStr">
        <is>
          <t>화해</t>
        </is>
      </c>
      <c r="G10003" s="94" t="inlineStr">
        <is>
          <t>250ml</t>
        </is>
      </c>
      <c r="H10003" s="94" t="n">
        <v>200801</v>
      </c>
      <c r="I10003" s="94" t="n">
        <v>200801</v>
      </c>
      <c r="J10003" s="94" t="n"/>
      <c r="K10003" s="94" t="n">
        <v>3</v>
      </c>
      <c r="L10003" s="94" t="n">
        <v>200801</v>
      </c>
      <c r="M10003" s="94">
        <f>VLOOKUP($Q10003,매칭테이블!$F:$I,2,0)*K10003</f>
        <v/>
      </c>
      <c r="N10003" s="94">
        <f>M10003-M10003*VLOOKUP($Q10003,매칭테이블!$F:$I,3,0)</f>
        <v/>
      </c>
      <c r="O10003" s="94">
        <f>VLOOKUP($Q10003,매칭테이블!$F:$I,4,0)*K10003</f>
        <v/>
      </c>
      <c r="P10003" s="148">
        <f>M10003/1.1</f>
        <v/>
      </c>
      <c r="Q10003" s="94">
        <f>F10003&amp;E10003&amp;G10003&amp;L10003</f>
        <v/>
      </c>
    </row>
    <row r="10004" customFormat="1" s="94">
      <c r="B10004" s="128" t="n">
        <v>44117</v>
      </c>
      <c r="C10004" s="94">
        <f>TEXT(B10004,"aaa")</f>
        <v/>
      </c>
      <c r="E10004" s="94" t="inlineStr">
        <is>
          <t>토너</t>
        </is>
      </c>
      <c r="F10004" s="5" t="inlineStr">
        <is>
          <t>W컨셉</t>
        </is>
      </c>
      <c r="G10004" s="94" t="inlineStr">
        <is>
          <t>250ml 2set</t>
        </is>
      </c>
      <c r="H10004" s="94" t="n">
        <v>200801</v>
      </c>
      <c r="I10004" s="94" t="n">
        <v>200801</v>
      </c>
      <c r="K10004" s="94" t="n">
        <v>6</v>
      </c>
      <c r="L10004" s="94" t="n">
        <v>200801</v>
      </c>
      <c r="M10004" s="94">
        <f>VLOOKUP($Q10004,매칭테이블!$F:$I,2,0)*K10004</f>
        <v/>
      </c>
      <c r="N10004" s="94">
        <f>M10004-M10004*VLOOKUP($Q10004,매칭테이블!$F:$I,3,0)</f>
        <v/>
      </c>
      <c r="O10004" s="94">
        <f>VLOOKUP($Q10004,매칭테이블!$F:$I,4,0)*K10004</f>
        <v/>
      </c>
      <c r="P10004" s="148">
        <f>M10004/1.1</f>
        <v/>
      </c>
      <c r="Q10004" s="94">
        <f>F10004&amp;E10004&amp;G10004&amp;L10004</f>
        <v/>
      </c>
    </row>
    <row r="10005" customFormat="1" s="94">
      <c r="B10005" s="128" t="n">
        <v>44117</v>
      </c>
      <c r="C10005" s="94">
        <f>TEXT(B10005,"aaa")</f>
        <v/>
      </c>
      <c r="E10005" s="94" t="inlineStr">
        <is>
          <t>토너</t>
        </is>
      </c>
      <c r="F10005" s="5" t="inlineStr">
        <is>
          <t>스타일쉐어</t>
        </is>
      </c>
      <c r="G10005" s="94" t="inlineStr">
        <is>
          <t>250ml</t>
        </is>
      </c>
      <c r="H10005" s="94" t="n">
        <v>200801</v>
      </c>
      <c r="I10005" s="94" t="n">
        <v>200801</v>
      </c>
      <c r="K10005" s="94" t="n">
        <v>6</v>
      </c>
      <c r="L10005" s="94" t="n">
        <v>200801</v>
      </c>
      <c r="M10005" s="94">
        <f>VLOOKUP($Q10005,매칭테이블!$F:$I,2,0)*K10005</f>
        <v/>
      </c>
      <c r="N10005" s="94">
        <f>M10005-M10005*VLOOKUP($Q10005,매칭테이블!$F:$I,3,0)</f>
        <v/>
      </c>
      <c r="O10005" s="94">
        <f>VLOOKUP($Q10005,매칭테이블!$F:$I,4,0)*K10005</f>
        <v/>
      </c>
      <c r="P10005" s="148">
        <f>M10005/1.1</f>
        <v/>
      </c>
      <c r="Q10005" s="94">
        <f>F10005&amp;E10005&amp;G10005&amp;L10005</f>
        <v/>
      </c>
    </row>
    <row r="10006" customFormat="1" s="94">
      <c r="B10006" s="128" t="n">
        <v>44117</v>
      </c>
      <c r="C10006" s="94">
        <f>TEXT(B10006,"aaa")</f>
        <v/>
      </c>
      <c r="E10006" s="94" t="inlineStr">
        <is>
          <t>로션</t>
        </is>
      </c>
      <c r="F10006" s="5" t="inlineStr">
        <is>
          <t>아누아 CS</t>
        </is>
      </c>
      <c r="G10006" s="94" t="inlineStr">
        <is>
          <t>로션 200ml</t>
        </is>
      </c>
      <c r="H10006" s="94" t="n">
        <v>200801</v>
      </c>
      <c r="I10006" s="94" t="n">
        <v>200801</v>
      </c>
      <c r="K10006" s="94" t="n">
        <v>1</v>
      </c>
      <c r="L10006" s="94" t="n">
        <v>200801</v>
      </c>
      <c r="M10006" s="94">
        <f>VLOOKUP($Q10006,매칭테이블!$F:$I,2,0)*K10006</f>
        <v/>
      </c>
      <c r="N10006" s="94">
        <f>M10006-M10006*VLOOKUP($Q10006,매칭테이블!$F:$I,3,0)</f>
        <v/>
      </c>
      <c r="O10006" s="94">
        <f>VLOOKUP($Q10006,매칭테이블!$F:$I,4,0)*K10006</f>
        <v/>
      </c>
      <c r="P10006" s="148">
        <f>M10006/1.1</f>
        <v/>
      </c>
      <c r="Q10006" s="94">
        <f>F10006&amp;E10006&amp;G10006&amp;L10006</f>
        <v/>
      </c>
    </row>
    <row r="10007" customFormat="1" s="94">
      <c r="B10007" s="128" t="n">
        <v>44117</v>
      </c>
      <c r="C10007" s="94">
        <f>TEXT(B10007,"aaa")</f>
        <v/>
      </c>
      <c r="E10007" s="94" t="inlineStr">
        <is>
          <t>클리어 패드</t>
        </is>
      </c>
      <c r="F10007" s="5" t="inlineStr">
        <is>
          <t>아누아 CS</t>
        </is>
      </c>
      <c r="G10007" s="94" t="inlineStr">
        <is>
          <t>어성초 클리어패드 70P</t>
        </is>
      </c>
      <c r="H10007" s="94" t="n">
        <v>200801</v>
      </c>
      <c r="I10007" s="94" t="n">
        <v>200801</v>
      </c>
      <c r="K10007" s="94" t="n">
        <v>1</v>
      </c>
      <c r="L10007" s="94" t="n">
        <v>200801</v>
      </c>
      <c r="M10007" s="94">
        <f>VLOOKUP($Q10007,매칭테이블!$F:$I,2,0)*K10007</f>
        <v/>
      </c>
      <c r="N10007" s="94">
        <f>M10007-M10007*VLOOKUP($Q10007,매칭테이블!$F:$I,3,0)</f>
        <v/>
      </c>
      <c r="O10007" s="94">
        <f>VLOOKUP($Q10007,매칭테이블!$F:$I,4,0)*K10007</f>
        <v/>
      </c>
      <c r="P10007" s="148">
        <f>M10007/1.1</f>
        <v/>
      </c>
      <c r="Q10007" s="94">
        <f>F10007&amp;E10007&amp;G10007&amp;L10007</f>
        <v/>
      </c>
    </row>
    <row r="10008" customFormat="1" s="94">
      <c r="B10008" s="128" t="n">
        <v>44117</v>
      </c>
      <c r="C10008" s="94">
        <f>TEXT(B10008,"aaa")</f>
        <v/>
      </c>
      <c r="E10008" s="94" t="inlineStr">
        <is>
          <t>바디워시</t>
        </is>
      </c>
      <c r="F10008" s="5" t="inlineStr">
        <is>
          <t>아누아 CS</t>
        </is>
      </c>
      <c r="G10008" s="94" t="inlineStr">
        <is>
          <t>바디워시 500ml</t>
        </is>
      </c>
      <c r="H10008" s="94" t="n">
        <v>200801</v>
      </c>
      <c r="I10008" s="94" t="n">
        <v>200801</v>
      </c>
      <c r="K10008" s="94" t="n">
        <v>1</v>
      </c>
      <c r="L10008" s="94" t="n">
        <v>200801</v>
      </c>
      <c r="M10008" s="94">
        <f>VLOOKUP($Q10008,매칭테이블!$F:$I,2,0)*K10008</f>
        <v/>
      </c>
      <c r="N10008" s="94">
        <f>M10008-M10008*VLOOKUP($Q10008,매칭테이블!$F:$I,3,0)</f>
        <v/>
      </c>
      <c r="O10008" s="94">
        <f>VLOOKUP($Q10008,매칭테이블!$F:$I,4,0)*K10008</f>
        <v/>
      </c>
      <c r="P10008" s="148">
        <f>M10008/1.1</f>
        <v/>
      </c>
      <c r="Q10008" s="94">
        <f>F10008&amp;E10008&amp;G10008&amp;L10008</f>
        <v/>
      </c>
    </row>
    <row r="10009" customFormat="1" s="94">
      <c r="B10009" s="128" t="n">
        <v>44117</v>
      </c>
      <c r="C10009" s="94">
        <f>TEXT(B10009,"aaa")</f>
        <v/>
      </c>
      <c r="E10009" s="94" t="inlineStr">
        <is>
          <t>토너</t>
        </is>
      </c>
      <c r="F10009" s="5" t="inlineStr">
        <is>
          <t>아누아 CS</t>
        </is>
      </c>
      <c r="G10009" s="94" t="inlineStr">
        <is>
          <t>250ml</t>
        </is>
      </c>
      <c r="H10009" s="94" t="n">
        <v>200801</v>
      </c>
      <c r="I10009" s="94" t="n">
        <v>200801</v>
      </c>
      <c r="K10009" s="94" t="n">
        <v>1</v>
      </c>
      <c r="L10009" s="94" t="n">
        <v>200801</v>
      </c>
      <c r="M10009" s="94">
        <f>VLOOKUP($Q10009,매칭테이블!$F:$I,2,0)*K10009</f>
        <v/>
      </c>
      <c r="N10009" s="94">
        <f>M10009-M10009*VLOOKUP($Q10009,매칭테이블!$F:$I,3,0)</f>
        <v/>
      </c>
      <c r="O10009" s="94">
        <f>VLOOKUP($Q10009,매칭테이블!$F:$I,4,0)*K10009</f>
        <v/>
      </c>
      <c r="P10009" s="148">
        <f>M10009/1.1</f>
        <v/>
      </c>
      <c r="Q10009" s="94">
        <f>F10009&amp;E10009&amp;G10009&amp;L10009</f>
        <v/>
      </c>
    </row>
    <row r="10010" customFormat="1" s="94">
      <c r="B10010" s="128" t="n">
        <v>44117</v>
      </c>
      <c r="C10010" s="94">
        <f>TEXT(B10010,"aaa")</f>
        <v/>
      </c>
      <c r="E10010" s="94" t="inlineStr">
        <is>
          <t>토너</t>
        </is>
      </c>
      <c r="F10010" s="5" t="inlineStr">
        <is>
          <t>아누아 CS</t>
        </is>
      </c>
      <c r="G10010" s="94" t="inlineStr">
        <is>
          <t>500ml</t>
        </is>
      </c>
      <c r="H10010" s="94" t="n">
        <v>200801</v>
      </c>
      <c r="I10010" s="94" t="n">
        <v>200801</v>
      </c>
      <c r="K10010" s="94" t="n">
        <v>1</v>
      </c>
      <c r="L10010" s="94" t="n">
        <v>200801</v>
      </c>
      <c r="M10010" s="94">
        <f>VLOOKUP($Q10010,매칭테이블!$F:$I,2,0)*K10010</f>
        <v/>
      </c>
      <c r="N10010" s="94">
        <f>M10010-M10010*VLOOKUP($Q10010,매칭테이블!$F:$I,3,0)</f>
        <v/>
      </c>
      <c r="O10010" s="94">
        <f>VLOOKUP($Q10010,매칭테이블!$F:$I,4,0)*K10010</f>
        <v/>
      </c>
      <c r="P10010" s="148">
        <f>M10010/1.1</f>
        <v/>
      </c>
      <c r="Q10010" s="94">
        <f>F10010&amp;E10010&amp;G10010&amp;L10010</f>
        <v/>
      </c>
    </row>
    <row r="10011" customFormat="1" s="94">
      <c r="B10011" s="128" t="n">
        <v>44117</v>
      </c>
      <c r="C10011" s="94">
        <f>TEXT(B10011,"aaa")</f>
        <v/>
      </c>
      <c r="E10011" s="94" t="inlineStr">
        <is>
          <t>화장솜</t>
        </is>
      </c>
      <c r="F10011" s="5" t="inlineStr">
        <is>
          <t>아누아 CS</t>
        </is>
      </c>
      <c r="G10011" s="94" t="inlineStr">
        <is>
          <t>스킨팩 화장솜 60P</t>
        </is>
      </c>
      <c r="H10011" s="94" t="n">
        <v>200801</v>
      </c>
      <c r="I10011" s="94" t="n">
        <v>200801</v>
      </c>
      <c r="K10011" s="94" t="n">
        <v>1</v>
      </c>
      <c r="L10011" s="94" t="n">
        <v>200801</v>
      </c>
      <c r="M10011" s="94">
        <f>VLOOKUP($Q10011,매칭테이블!$F:$I,2,0)*K10011</f>
        <v/>
      </c>
      <c r="N10011" s="94">
        <f>M10011-M10011*VLOOKUP($Q10011,매칭테이블!$F:$I,3,0)</f>
        <v/>
      </c>
      <c r="O10011" s="94">
        <f>VLOOKUP($Q10011,매칭테이블!$F:$I,4,0)*K10011</f>
        <v/>
      </c>
      <c r="P10011" s="148">
        <f>M10011/1.1</f>
        <v/>
      </c>
      <c r="Q10011" s="94">
        <f>F10011&amp;E10011&amp;G10011&amp;L10011</f>
        <v/>
      </c>
    </row>
    <row r="10012" customFormat="1" s="94">
      <c r="B10012" s="128" t="n">
        <v>44117</v>
      </c>
      <c r="C10012" s="94">
        <f>TEXT(B10012,"aaa")</f>
        <v/>
      </c>
      <c r="E10012" s="94" t="inlineStr">
        <is>
          <t>앰플</t>
        </is>
      </c>
      <c r="F10012" s="5" t="inlineStr">
        <is>
          <t>아누아 CS</t>
        </is>
      </c>
      <c r="G10012" s="94" t="inlineStr">
        <is>
          <t>앰플 30ml</t>
        </is>
      </c>
      <c r="H10012" s="94" t="n">
        <v>200801</v>
      </c>
      <c r="I10012" s="94" t="n">
        <v>200801</v>
      </c>
      <c r="K10012" s="94" t="n">
        <v>1</v>
      </c>
      <c r="L10012" s="94" t="n">
        <v>200801</v>
      </c>
      <c r="M10012" s="94">
        <f>VLOOKUP($Q10012,매칭테이블!$F:$I,2,0)*K10012</f>
        <v/>
      </c>
      <c r="N10012" s="94">
        <f>M10012-M10012*VLOOKUP($Q10012,매칭테이블!$F:$I,3,0)</f>
        <v/>
      </c>
      <c r="O10012" s="94">
        <f>VLOOKUP($Q10012,매칭테이블!$F:$I,4,0)*K10012</f>
        <v/>
      </c>
      <c r="P10012" s="148">
        <f>M10012/1.1</f>
        <v/>
      </c>
      <c r="Q10012" s="94">
        <f>F10012&amp;E10012&amp;G10012&amp;L10012</f>
        <v/>
      </c>
    </row>
    <row r="10013" customFormat="1" s="94">
      <c r="B10013" s="128" t="n">
        <v>44117</v>
      </c>
      <c r="C10013" s="94">
        <f>TEXT(B10013,"aaa")</f>
        <v/>
      </c>
      <c r="E10013" s="94" t="inlineStr">
        <is>
          <t>마스크팩</t>
        </is>
      </c>
      <c r="F10013" s="5" t="inlineStr">
        <is>
          <t>아누아 CS</t>
        </is>
      </c>
      <c r="G10013" s="94" t="inlineStr">
        <is>
          <t>마스크팩 10매</t>
        </is>
      </c>
      <c r="H10013" s="94" t="n">
        <v>200801</v>
      </c>
      <c r="I10013" s="94" t="n">
        <v>200801</v>
      </c>
      <c r="K10013" s="94" t="n">
        <v>1</v>
      </c>
      <c r="L10013" s="94" t="n">
        <v>200801</v>
      </c>
      <c r="M10013" s="94">
        <f>VLOOKUP($Q10013,매칭테이블!$F:$I,2,0)*K10013</f>
        <v/>
      </c>
      <c r="N10013" s="94">
        <f>M10013-M10013*VLOOKUP($Q10013,매칭테이블!$F:$I,3,0)</f>
        <v/>
      </c>
      <c r="O10013" s="94">
        <f>VLOOKUP($Q10013,매칭테이블!$F:$I,4,0)*K10013</f>
        <v/>
      </c>
      <c r="P10013" s="148">
        <f>M10013/1.1</f>
        <v/>
      </c>
      <c r="Q10013" s="94">
        <f>F10013&amp;E10013&amp;G10013&amp;L10013</f>
        <v/>
      </c>
    </row>
    <row r="10014" customFormat="1" s="94">
      <c r="B10014" s="128" t="n">
        <v>44117</v>
      </c>
      <c r="C10014" s="94">
        <f>TEXT(B10014,"aaa")</f>
        <v/>
      </c>
      <c r="E10014" s="94" t="inlineStr">
        <is>
          <t>수딩크림</t>
        </is>
      </c>
      <c r="F10014" s="5" t="inlineStr">
        <is>
          <t>아누아 CS</t>
        </is>
      </c>
      <c r="G10014" s="94" t="inlineStr">
        <is>
          <t>수딩크림 100ml</t>
        </is>
      </c>
      <c r="H10014" s="94" t="n">
        <v>200801</v>
      </c>
      <c r="I10014" s="94" t="n">
        <v>200801</v>
      </c>
      <c r="K10014" s="94" t="n">
        <v>1</v>
      </c>
      <c r="L10014" s="94" t="n">
        <v>200801</v>
      </c>
      <c r="M10014" s="94">
        <f>VLOOKUP($Q10014,매칭테이블!$F:$I,2,0)*K10014</f>
        <v/>
      </c>
      <c r="N10014" s="94">
        <f>M10014-M10014*VLOOKUP($Q10014,매칭테이블!$F:$I,3,0)</f>
        <v/>
      </c>
      <c r="O10014" s="94">
        <f>VLOOKUP($Q10014,매칭테이블!$F:$I,4,0)*K10014</f>
        <v/>
      </c>
      <c r="P10014" s="148">
        <f>M10014/1.1</f>
        <v/>
      </c>
      <c r="Q10014" s="94">
        <f>F10014&amp;E10014&amp;G10014&amp;L10014</f>
        <v/>
      </c>
    </row>
    <row r="10015" customFormat="1" s="94">
      <c r="B10015" s="128" t="n">
        <v>44117</v>
      </c>
      <c r="C10015" s="94">
        <f>TEXT(B10015,"aaa")</f>
        <v/>
      </c>
      <c r="E10015" s="94" t="inlineStr">
        <is>
          <t>클렌징폼</t>
        </is>
      </c>
      <c r="F10015" s="5" t="inlineStr">
        <is>
          <t>아누아 CS</t>
        </is>
      </c>
      <c r="G10015" s="94" t="inlineStr">
        <is>
          <t>클렌징폼 120ml</t>
        </is>
      </c>
      <c r="H10015" s="94" t="n">
        <v>200801</v>
      </c>
      <c r="I10015" s="94" t="n">
        <v>200801</v>
      </c>
      <c r="K10015" s="94" t="n">
        <v>1</v>
      </c>
      <c r="L10015" s="94" t="n">
        <v>200801</v>
      </c>
      <c r="M10015" s="94">
        <f>VLOOKUP($Q10015,매칭테이블!$F:$I,2,0)*K10015</f>
        <v/>
      </c>
      <c r="N10015" s="94">
        <f>M10015-M10015*VLOOKUP($Q10015,매칭테이블!$F:$I,3,0)</f>
        <v/>
      </c>
      <c r="O10015" s="94">
        <f>VLOOKUP($Q10015,매칭테이블!$F:$I,4,0)*K10015</f>
        <v/>
      </c>
      <c r="P10015" s="148">
        <f>M10015/1.1</f>
        <v/>
      </c>
      <c r="Q10015" s="94">
        <f>F10015&amp;E10015&amp;G10015&amp;L10015</f>
        <v/>
      </c>
    </row>
    <row r="10016" customFormat="1" s="94">
      <c r="B10016" s="128" t="n">
        <v>44117</v>
      </c>
      <c r="C10016" s="94">
        <f>TEXT(B10016,"aaa")</f>
        <v/>
      </c>
      <c r="E10016" s="94" t="inlineStr">
        <is>
          <t>머드크림마스크</t>
        </is>
      </c>
      <c r="F10016" s="5" t="inlineStr">
        <is>
          <t>아누아 CS</t>
        </is>
      </c>
      <c r="G10016" s="94" t="inlineStr">
        <is>
          <t>머드크림마스크 100ml</t>
        </is>
      </c>
      <c r="H10016" s="94" t="n">
        <v>200801</v>
      </c>
      <c r="I10016" s="94" t="n">
        <v>200801</v>
      </c>
      <c r="K10016" s="94" t="n">
        <v>1</v>
      </c>
      <c r="L10016" s="94" t="n">
        <v>200801</v>
      </c>
      <c r="M10016" s="94">
        <f>VLOOKUP($Q10016,매칭테이블!$F:$I,2,0)*K10016</f>
        <v/>
      </c>
      <c r="N10016" s="94">
        <f>M10016-M10016*VLOOKUP($Q10016,매칭테이블!$F:$I,3,0)</f>
        <v/>
      </c>
      <c r="O10016" s="94">
        <f>VLOOKUP($Q10016,매칭테이블!$F:$I,4,0)*K10016</f>
        <v/>
      </c>
      <c r="P10016" s="148">
        <f>M10016/1.1</f>
        <v/>
      </c>
      <c r="Q10016" s="94">
        <f>F10016&amp;E10016&amp;G10016&amp;L10016</f>
        <v/>
      </c>
    </row>
    <row r="10017" customFormat="1" s="94">
      <c r="B10017" s="128" t="n">
        <v>44117</v>
      </c>
      <c r="C10017" s="94">
        <f>TEXT(B10017,"aaa")</f>
        <v/>
      </c>
      <c r="E10017" s="94" t="inlineStr">
        <is>
          <t>선크림</t>
        </is>
      </c>
      <c r="F10017" s="5" t="inlineStr">
        <is>
          <t>카페24</t>
        </is>
      </c>
      <c r="G10017" s="94" t="inlineStr">
        <is>
          <t>선크림 50ml</t>
        </is>
      </c>
      <c r="H10017" s="94" t="n">
        <v>200801</v>
      </c>
      <c r="I10017" s="94" t="n">
        <v>200801</v>
      </c>
      <c r="K10017" s="94" t="n">
        <v>4</v>
      </c>
      <c r="L10017" s="94" t="n">
        <v>200801</v>
      </c>
      <c r="M10017" s="94">
        <f>VLOOKUP($Q10017,매칭테이블!$F:$I,2,0)*K10017</f>
        <v/>
      </c>
      <c r="N10017" s="94">
        <f>M10017-M10017*VLOOKUP($Q10017,매칭테이블!$F:$I,3,0)</f>
        <v/>
      </c>
      <c r="O10017" s="94">
        <f>VLOOKUP($Q10017,매칭테이블!$F:$I,4,0)*K10017</f>
        <v/>
      </c>
      <c r="P10017" s="148">
        <f>M10017/1.1</f>
        <v/>
      </c>
      <c r="Q10017" s="94">
        <f>F10017&amp;E10017&amp;G10017&amp;L10017</f>
        <v/>
      </c>
    </row>
    <row r="10018" customFormat="1" s="94">
      <c r="B10018" s="128" t="n">
        <v>44117</v>
      </c>
      <c r="C10018" s="94">
        <f>TEXT(B10018,"aaa")</f>
        <v/>
      </c>
      <c r="E10018" s="94" t="inlineStr">
        <is>
          <t>어성초진정패키지</t>
        </is>
      </c>
      <c r="F10018" s="5" t="inlineStr">
        <is>
          <t>카페24</t>
        </is>
      </c>
      <c r="G10018" s="94" t="inlineStr">
        <is>
          <t>어성초 진정패키지세트</t>
        </is>
      </c>
      <c r="H10018" s="94" t="n">
        <v>200801</v>
      </c>
      <c r="I10018" s="94" t="n">
        <v>200801</v>
      </c>
      <c r="K10018" s="94" t="n">
        <v>2</v>
      </c>
      <c r="L10018" s="94" t="n">
        <v>200801</v>
      </c>
      <c r="M10018" s="94">
        <f>VLOOKUP($Q10018,매칭테이블!$F:$I,2,0)*K10018</f>
        <v/>
      </c>
      <c r="N10018" s="94">
        <f>M10018-M10018*VLOOKUP($Q10018,매칭테이블!$F:$I,3,0)</f>
        <v/>
      </c>
      <c r="O10018" s="94">
        <f>VLOOKUP($Q10018,매칭테이블!$F:$I,4,0)*K10018</f>
        <v/>
      </c>
      <c r="P10018" s="148">
        <f>M10018/1.1</f>
        <v/>
      </c>
      <c r="Q10018" s="94">
        <f>F10018&amp;E10018&amp;G10018&amp;L10018</f>
        <v/>
      </c>
    </row>
    <row r="10019" customFormat="1" s="94">
      <c r="B10019" s="128" t="n">
        <v>44117</v>
      </c>
      <c r="C10019" s="94">
        <f>TEXT(B10019,"aaa")</f>
        <v/>
      </c>
      <c r="E10019" s="94" t="inlineStr">
        <is>
          <t>클리어 패드</t>
        </is>
      </c>
      <c r="F10019" s="5" t="inlineStr">
        <is>
          <t>카페24</t>
        </is>
      </c>
      <c r="G10019" s="94" t="inlineStr">
        <is>
          <t>어성초 77 클리어 패드 1개-20% off</t>
        </is>
      </c>
      <c r="H10019" s="94" t="n">
        <v>200801</v>
      </c>
      <c r="I10019" s="94" t="n">
        <v>200801</v>
      </c>
      <c r="K10019" s="94" t="n">
        <v>3</v>
      </c>
      <c r="L10019" s="94" t="n">
        <v>200801</v>
      </c>
      <c r="M10019" s="94">
        <f>VLOOKUP($Q10019,매칭테이블!$F:$I,2,0)*K10019</f>
        <v/>
      </c>
      <c r="N10019" s="94">
        <f>M10019-M10019*VLOOKUP($Q10019,매칭테이블!$F:$I,3,0)</f>
        <v/>
      </c>
      <c r="O10019" s="94">
        <f>VLOOKUP($Q10019,매칭테이블!$F:$I,4,0)*K10019</f>
        <v/>
      </c>
      <c r="P10019" s="148">
        <f>M10019/1.1</f>
        <v/>
      </c>
      <c r="Q10019" s="94">
        <f>F10019&amp;E10019&amp;G10019&amp;L10019</f>
        <v/>
      </c>
    </row>
    <row r="10020" customFormat="1" s="94">
      <c r="B10020" s="128" t="n">
        <v>44117</v>
      </c>
      <c r="C10020" s="94">
        <f>TEXT(B10020,"aaa")</f>
        <v/>
      </c>
      <c r="E10020" s="94" t="inlineStr">
        <is>
          <t>클리어 패드</t>
        </is>
      </c>
      <c r="F10020" s="5" t="inlineStr">
        <is>
          <t>카페24</t>
        </is>
      </c>
      <c r="G10020" s="94" t="inlineStr">
        <is>
          <t>어성초 77 클리어 패드 2개-30% off</t>
        </is>
      </c>
      <c r="H10020" s="94" t="n">
        <v>200801</v>
      </c>
      <c r="I10020" s="94" t="n">
        <v>200801</v>
      </c>
      <c r="K10020" s="94" t="n">
        <v>2</v>
      </c>
      <c r="L10020" s="94" t="n">
        <v>200801</v>
      </c>
      <c r="M10020" s="94">
        <f>VLOOKUP($Q10020,매칭테이블!$F:$I,2,0)*K10020</f>
        <v/>
      </c>
      <c r="N10020" s="94">
        <f>M10020-M10020*VLOOKUP($Q10020,매칭테이블!$F:$I,3,0)</f>
        <v/>
      </c>
      <c r="O10020" s="94">
        <f>VLOOKUP($Q10020,매칭테이블!$F:$I,4,0)*K10020</f>
        <v/>
      </c>
      <c r="P10020" s="148">
        <f>M10020/1.1</f>
        <v/>
      </c>
      <c r="Q10020" s="94">
        <f>F10020&amp;E10020&amp;G10020&amp;L10020</f>
        <v/>
      </c>
    </row>
    <row r="10021" customFormat="1" s="94">
      <c r="B10021" s="128" t="n">
        <v>44117</v>
      </c>
      <c r="C10021" s="94">
        <f>TEXT(B10021,"aaa")</f>
        <v/>
      </c>
      <c r="E10021" s="94" t="inlineStr">
        <is>
          <t>토너+패드 세트</t>
        </is>
      </c>
      <c r="F10021" s="5" t="inlineStr">
        <is>
          <t>카페24</t>
        </is>
      </c>
      <c r="G10021" s="94" t="inlineStr">
        <is>
          <t>좁쌀 진정 세트 토너+클리어 패드-30% off</t>
        </is>
      </c>
      <c r="H10021" s="94" t="n">
        <v>200801</v>
      </c>
      <c r="I10021" s="94" t="n">
        <v>200801</v>
      </c>
      <c r="K10021" s="94" t="n">
        <v>7</v>
      </c>
      <c r="L10021" s="94" t="n">
        <v>200801</v>
      </c>
      <c r="M10021" s="94">
        <f>VLOOKUP($Q10021,매칭테이블!$F:$I,2,0)*K10021</f>
        <v/>
      </c>
      <c r="N10021" s="94">
        <f>M10021-M10021*VLOOKUP($Q10021,매칭테이블!$F:$I,3,0)</f>
        <v/>
      </c>
      <c r="O10021" s="94">
        <f>VLOOKUP($Q10021,매칭테이블!$F:$I,4,0)*K10021</f>
        <v/>
      </c>
      <c r="P10021" s="148">
        <f>M10021/1.1</f>
        <v/>
      </c>
      <c r="Q10021" s="94">
        <f>F10021&amp;E10021&amp;G10021&amp;L10021</f>
        <v/>
      </c>
    </row>
    <row r="10022" customFormat="1" s="94">
      <c r="B10022" s="128" t="n">
        <v>44117</v>
      </c>
      <c r="C10022" s="94">
        <f>TEXT(B10022,"aaa")</f>
        <v/>
      </c>
      <c r="E10022" s="94" t="inlineStr">
        <is>
          <t>수분 보충 세트</t>
        </is>
      </c>
      <c r="F10022" s="5" t="inlineStr">
        <is>
          <t>카페24</t>
        </is>
      </c>
      <c r="G10022" s="94" t="inlineStr">
        <is>
          <t>[20/09/28 부터] 어성초 77 토너 250ml + 어성초 70 로션 200ml -30%</t>
        </is>
      </c>
      <c r="H10022" s="94" t="n">
        <v>200801</v>
      </c>
      <c r="I10022" s="94" t="n">
        <v>200801</v>
      </c>
      <c r="K10022" s="94" t="n">
        <v>38</v>
      </c>
      <c r="L10022" s="94" t="n">
        <v>200801</v>
      </c>
      <c r="M10022" s="94">
        <f>VLOOKUP($Q10022,매칭테이블!$F:$I,2,0)*K10022</f>
        <v/>
      </c>
      <c r="N10022" s="94">
        <f>M10022-M10022*VLOOKUP($Q10022,매칭테이블!$F:$I,3,0)</f>
        <v/>
      </c>
      <c r="O10022" s="94">
        <f>VLOOKUP($Q10022,매칭테이블!$F:$I,4,0)*K10022</f>
        <v/>
      </c>
      <c r="P10022" s="148">
        <f>M10022/1.1</f>
        <v/>
      </c>
      <c r="Q10022" s="94">
        <f>F10022&amp;E10022&amp;G10022&amp;L10022</f>
        <v/>
      </c>
    </row>
    <row r="10023" customFormat="1" s="94">
      <c r="B10023" s="128" t="n">
        <v>44117</v>
      </c>
      <c r="C10023" s="94">
        <f>TEXT(B10023,"aaa")</f>
        <v/>
      </c>
      <c r="E10023" s="94" t="inlineStr">
        <is>
          <t>로션</t>
        </is>
      </c>
      <c r="F10023" s="5" t="inlineStr">
        <is>
          <t>카페24</t>
        </is>
      </c>
      <c r="G10023" s="94" t="inlineStr">
        <is>
          <t>어성초 70 데일리 릴리프 로션 1개 -20% off</t>
        </is>
      </c>
      <c r="H10023" s="94" t="n">
        <v>200801</v>
      </c>
      <c r="I10023" s="94" t="n">
        <v>200801</v>
      </c>
      <c r="K10023" s="94" t="n">
        <v>3</v>
      </c>
      <c r="L10023" s="94" t="n">
        <v>200801</v>
      </c>
      <c r="M10023" s="94">
        <f>VLOOKUP($Q10023,매칭테이블!$F:$I,2,0)*K10023</f>
        <v/>
      </c>
      <c r="N10023" s="94">
        <f>M10023-M10023*VLOOKUP($Q10023,매칭테이블!$F:$I,3,0)</f>
        <v/>
      </c>
      <c r="O10023" s="94">
        <f>VLOOKUP($Q10023,매칭테이블!$F:$I,4,0)*K10023</f>
        <v/>
      </c>
      <c r="P10023" s="148">
        <f>M10023/1.1</f>
        <v/>
      </c>
      <c r="Q10023" s="94">
        <f>F10023&amp;E10023&amp;G10023&amp;L10023</f>
        <v/>
      </c>
    </row>
    <row r="10024" customFormat="1" s="94">
      <c r="B10024" s="128" t="n">
        <v>44117</v>
      </c>
      <c r="C10024" s="94">
        <f>TEXT(B10024,"aaa")</f>
        <v/>
      </c>
      <c r="E10024" s="94" t="inlineStr">
        <is>
          <t>머드크림마스크</t>
        </is>
      </c>
      <c r="F10024" s="5" t="inlineStr">
        <is>
          <t>카페24</t>
        </is>
      </c>
      <c r="G10024" s="94" t="inlineStr">
        <is>
          <t>머드크림마스크 100ml</t>
        </is>
      </c>
      <c r="H10024" s="94" t="n">
        <v>200801</v>
      </c>
      <c r="I10024" s="94" t="n">
        <v>200801</v>
      </c>
      <c r="K10024" s="94" t="n">
        <v>10</v>
      </c>
      <c r="L10024" s="94" t="n">
        <v>200801</v>
      </c>
      <c r="M10024" s="94">
        <f>VLOOKUP($Q10024,매칭테이블!$F:$I,2,0)*K10024</f>
        <v/>
      </c>
      <c r="N10024" s="94">
        <f>M10024-M10024*VLOOKUP($Q10024,매칭테이블!$F:$I,3,0)</f>
        <v/>
      </c>
      <c r="O10024" s="94">
        <f>VLOOKUP($Q10024,매칭테이블!$F:$I,4,0)*K10024</f>
        <v/>
      </c>
      <c r="P10024" s="148">
        <f>M10024/1.1</f>
        <v/>
      </c>
      <c r="Q10024" s="94">
        <f>F10024&amp;E10024&amp;G10024&amp;L10024</f>
        <v/>
      </c>
    </row>
    <row r="10025" customFormat="1" s="94">
      <c r="B10025" s="128" t="n">
        <v>44117</v>
      </c>
      <c r="C10025" s="94">
        <f>TEXT(B10025,"aaa")</f>
        <v/>
      </c>
      <c r="E10025" s="94" t="inlineStr">
        <is>
          <t>머드크림마스크</t>
        </is>
      </c>
      <c r="F10025" s="5" t="inlineStr">
        <is>
          <t>카페24</t>
        </is>
      </c>
      <c r="G10025" s="94" t="inlineStr">
        <is>
          <t>머드크림마스크 100ml 2set</t>
        </is>
      </c>
      <c r="H10025" s="94" t="n">
        <v>200801</v>
      </c>
      <c r="I10025" s="94" t="n">
        <v>200801</v>
      </c>
      <c r="K10025" s="94" t="n">
        <v>2</v>
      </c>
      <c r="L10025" s="94" t="n">
        <v>200801</v>
      </c>
      <c r="M10025" s="94">
        <f>VLOOKUP($Q10025,매칭테이블!$F:$I,2,0)*K10025</f>
        <v/>
      </c>
      <c r="N10025" s="94">
        <f>M10025-M10025*VLOOKUP($Q10025,매칭테이블!$F:$I,3,0)</f>
        <v/>
      </c>
      <c r="O10025" s="94">
        <f>VLOOKUP($Q10025,매칭테이블!$F:$I,4,0)*K10025</f>
        <v/>
      </c>
      <c r="P10025" s="148">
        <f>M10025/1.1</f>
        <v/>
      </c>
      <c r="Q10025" s="94">
        <f>F10025&amp;E10025&amp;G10025&amp;L10025</f>
        <v/>
      </c>
    </row>
    <row r="10026" customFormat="1" s="94">
      <c r="B10026" s="128" t="n">
        <v>44117</v>
      </c>
      <c r="C10026" s="94">
        <f>TEXT(B10026,"aaa")</f>
        <v/>
      </c>
      <c r="E10026" s="94" t="inlineStr">
        <is>
          <t>마스크팩</t>
        </is>
      </c>
      <c r="F10026" s="5" t="inlineStr">
        <is>
          <t>카페24</t>
        </is>
      </c>
      <c r="G10026" s="94" t="inlineStr">
        <is>
          <t>마스크팩 1매</t>
        </is>
      </c>
      <c r="H10026" s="94" t="n">
        <v>200801</v>
      </c>
      <c r="I10026" s="94" t="n">
        <v>200801</v>
      </c>
      <c r="K10026" s="94" t="n">
        <v>3</v>
      </c>
      <c r="L10026" s="94" t="n">
        <v>200801</v>
      </c>
      <c r="M10026" s="94">
        <f>VLOOKUP($Q10026,매칭테이블!$F:$I,2,0)*K10026</f>
        <v/>
      </c>
      <c r="N10026" s="94">
        <f>M10026-M10026*VLOOKUP($Q10026,매칭테이블!$F:$I,3,0)</f>
        <v/>
      </c>
      <c r="O10026" s="94">
        <f>VLOOKUP($Q10026,매칭테이블!$F:$I,4,0)*K10026</f>
        <v/>
      </c>
      <c r="P10026" s="148">
        <f>M10026/1.1</f>
        <v/>
      </c>
      <c r="Q10026" s="94">
        <f>F10026&amp;E10026&amp;G10026&amp;L10026</f>
        <v/>
      </c>
    </row>
    <row r="10027" customFormat="1" s="94">
      <c r="B10027" s="128" t="n">
        <v>44117</v>
      </c>
      <c r="C10027" s="94">
        <f>TEXT(B10027,"aaa")</f>
        <v/>
      </c>
      <c r="E10027" s="94" t="inlineStr">
        <is>
          <t>마스크팩</t>
        </is>
      </c>
      <c r="F10027" s="5" t="inlineStr">
        <is>
          <t>카페24</t>
        </is>
      </c>
      <c r="G10027" s="94" t="inlineStr">
        <is>
          <t>마스크팩 10매</t>
        </is>
      </c>
      <c r="H10027" s="94" t="n">
        <v>200801</v>
      </c>
      <c r="I10027" s="94" t="n">
        <v>200801</v>
      </c>
      <c r="K10027" s="94" t="n">
        <v>7</v>
      </c>
      <c r="L10027" s="94" t="n">
        <v>200801</v>
      </c>
      <c r="M10027" s="94">
        <f>VLOOKUP($Q10027,매칭테이블!$F:$I,2,0)*K10027</f>
        <v/>
      </c>
      <c r="N10027" s="94">
        <f>M10027-M10027*VLOOKUP($Q10027,매칭테이블!$F:$I,3,0)</f>
        <v/>
      </c>
      <c r="O10027" s="94">
        <f>VLOOKUP($Q10027,매칭테이블!$F:$I,4,0)*K10027</f>
        <v/>
      </c>
      <c r="P10027" s="148">
        <f>M10027/1.1</f>
        <v/>
      </c>
      <c r="Q10027" s="94">
        <f>F10027&amp;E10027&amp;G10027&amp;L10027</f>
        <v/>
      </c>
    </row>
    <row r="10028" customFormat="1" s="94">
      <c r="B10028" s="128" t="n">
        <v>44117</v>
      </c>
      <c r="C10028" s="94">
        <f>TEXT(B10028,"aaa")</f>
        <v/>
      </c>
      <c r="E10028" s="94" t="inlineStr">
        <is>
          <t>토너</t>
        </is>
      </c>
      <c r="F10028" s="5" t="inlineStr">
        <is>
          <t>카페24</t>
        </is>
      </c>
      <c r="G10028" s="94" t="inlineStr">
        <is>
          <t>250ml</t>
        </is>
      </c>
      <c r="H10028" s="94" t="n">
        <v>200801</v>
      </c>
      <c r="I10028" s="94" t="n">
        <v>200801</v>
      </c>
      <c r="K10028" s="94" t="n">
        <v>35</v>
      </c>
      <c r="L10028" s="94" t="n">
        <v>200801</v>
      </c>
      <c r="M10028" s="94">
        <f>VLOOKUP($Q10028,매칭테이블!$F:$I,2,0)*K10028</f>
        <v/>
      </c>
      <c r="N10028" s="94">
        <f>M10028-M10028*VLOOKUP($Q10028,매칭테이블!$F:$I,3,0)</f>
        <v/>
      </c>
      <c r="O10028" s="94">
        <f>VLOOKUP($Q10028,매칭테이블!$F:$I,4,0)*K10028</f>
        <v/>
      </c>
      <c r="P10028" s="148">
        <f>M10028/1.1</f>
        <v/>
      </c>
      <c r="Q10028" s="94">
        <f>F10028&amp;E10028&amp;G10028&amp;L10028</f>
        <v/>
      </c>
    </row>
    <row r="10029" customFormat="1" s="94">
      <c r="B10029" s="128" t="n">
        <v>44117</v>
      </c>
      <c r="C10029" s="94">
        <f>TEXT(B10029,"aaa")</f>
        <v/>
      </c>
      <c r="E10029" s="94" t="inlineStr">
        <is>
          <t>토너</t>
        </is>
      </c>
      <c r="F10029" s="5" t="inlineStr">
        <is>
          <t>카페24</t>
        </is>
      </c>
      <c r="G10029" s="94" t="inlineStr">
        <is>
          <t>250ml 2set</t>
        </is>
      </c>
      <c r="H10029" s="94" t="n">
        <v>200801</v>
      </c>
      <c r="I10029" s="94" t="n">
        <v>200801</v>
      </c>
      <c r="K10029" s="94" t="n">
        <v>30</v>
      </c>
      <c r="L10029" s="94" t="n">
        <v>200801</v>
      </c>
      <c r="M10029" s="94">
        <f>VLOOKUP($Q10029,매칭테이블!$F:$I,2,0)*K10029</f>
        <v/>
      </c>
      <c r="N10029" s="94">
        <f>M10029-M10029*VLOOKUP($Q10029,매칭테이블!$F:$I,3,0)</f>
        <v/>
      </c>
      <c r="O10029" s="94">
        <f>VLOOKUP($Q10029,매칭테이블!$F:$I,4,0)*K10029</f>
        <v/>
      </c>
      <c r="P10029" s="148">
        <f>M10029/1.1</f>
        <v/>
      </c>
      <c r="Q10029" s="94">
        <f>F10029&amp;E10029&amp;G10029&amp;L10029</f>
        <v/>
      </c>
    </row>
    <row r="10030" customFormat="1" s="94">
      <c r="B10030" s="128" t="n">
        <v>44117</v>
      </c>
      <c r="C10030" s="94">
        <f>TEXT(B10030,"aaa")</f>
        <v/>
      </c>
      <c r="E10030" s="94" t="inlineStr">
        <is>
          <t>토너</t>
        </is>
      </c>
      <c r="F10030" s="5" t="inlineStr">
        <is>
          <t>카페24</t>
        </is>
      </c>
      <c r="G10030" s="94" t="inlineStr">
        <is>
          <t>500ml</t>
        </is>
      </c>
      <c r="H10030" s="94" t="n">
        <v>200801</v>
      </c>
      <c r="I10030" s="94" t="n">
        <v>200801</v>
      </c>
      <c r="K10030" s="94" t="n">
        <v>65</v>
      </c>
      <c r="L10030" s="94" t="n">
        <v>200801</v>
      </c>
      <c r="M10030" s="94">
        <f>VLOOKUP($Q10030,매칭테이블!$F:$I,2,0)*K10030</f>
        <v/>
      </c>
      <c r="N10030" s="94">
        <f>M10030-M10030*VLOOKUP($Q10030,매칭테이블!$F:$I,3,0)</f>
        <v/>
      </c>
      <c r="O10030" s="94">
        <f>VLOOKUP($Q10030,매칭테이블!$F:$I,4,0)*K10030</f>
        <v/>
      </c>
      <c r="P10030" s="148">
        <f>M10030/1.1</f>
        <v/>
      </c>
      <c r="Q10030" s="94">
        <f>F10030&amp;E10030&amp;G10030&amp;L10030</f>
        <v/>
      </c>
    </row>
    <row r="10031" customFormat="1" s="94">
      <c r="B10031" s="128" t="n">
        <v>44117</v>
      </c>
      <c r="C10031" s="94">
        <f>TEXT(B10031,"aaa")</f>
        <v/>
      </c>
      <c r="E10031" s="94" t="inlineStr">
        <is>
          <t>토너</t>
        </is>
      </c>
      <c r="F10031" s="5" t="inlineStr">
        <is>
          <t>카페24</t>
        </is>
      </c>
      <c r="G10031" s="94" t="inlineStr">
        <is>
          <t>스킨팩 화장솜 60P</t>
        </is>
      </c>
      <c r="H10031" s="94" t="n">
        <v>200801</v>
      </c>
      <c r="I10031" s="94" t="n">
        <v>200801</v>
      </c>
      <c r="K10031" s="94" t="n">
        <v>27</v>
      </c>
      <c r="L10031" s="94" t="n">
        <v>200801</v>
      </c>
      <c r="M10031" s="94">
        <f>VLOOKUP($Q10031,매칭테이블!$F:$I,2,0)*K10031</f>
        <v/>
      </c>
      <c r="N10031" s="94">
        <f>M10031-M10031*VLOOKUP($Q10031,매칭테이블!$F:$I,3,0)</f>
        <v/>
      </c>
      <c r="O10031" s="94">
        <f>VLOOKUP($Q10031,매칭테이블!$F:$I,4,0)*K10031</f>
        <v/>
      </c>
      <c r="P10031" s="148">
        <f>M10031/1.1</f>
        <v/>
      </c>
      <c r="Q10031" s="94">
        <f>F10031&amp;E10031&amp;G10031&amp;L10031</f>
        <v/>
      </c>
    </row>
    <row r="10032" customFormat="1" s="94">
      <c r="B10032" s="128" t="n">
        <v>44117</v>
      </c>
      <c r="C10032" s="94">
        <f>TEXT(B10032,"aaa")</f>
        <v/>
      </c>
      <c r="E10032" s="94" t="inlineStr">
        <is>
          <t>앰플</t>
        </is>
      </c>
      <c r="F10032" s="5" t="inlineStr">
        <is>
          <t>카페24</t>
        </is>
      </c>
      <c r="G10032" s="94" t="inlineStr">
        <is>
          <t>앰플 30ml</t>
        </is>
      </c>
      <c r="H10032" s="94" t="n">
        <v>200801</v>
      </c>
      <c r="I10032" s="94" t="n">
        <v>200801</v>
      </c>
      <c r="K10032" s="94" t="n">
        <v>17</v>
      </c>
      <c r="L10032" s="94" t="n">
        <v>200801</v>
      </c>
      <c r="M10032" s="94">
        <f>VLOOKUP($Q10032,매칭테이블!$F:$I,2,0)*K10032</f>
        <v/>
      </c>
      <c r="N10032" s="94">
        <f>M10032-M10032*VLOOKUP($Q10032,매칭테이블!$F:$I,3,0)</f>
        <v/>
      </c>
      <c r="O10032" s="94">
        <f>VLOOKUP($Q10032,매칭테이블!$F:$I,4,0)*K10032</f>
        <v/>
      </c>
      <c r="P10032" s="148">
        <f>M10032/1.1</f>
        <v/>
      </c>
      <c r="Q10032" s="94">
        <f>F10032&amp;E10032&amp;G10032&amp;L10032</f>
        <v/>
      </c>
    </row>
    <row r="10033" customFormat="1" s="94">
      <c r="B10033" s="128" t="n">
        <v>44117</v>
      </c>
      <c r="C10033" s="94">
        <f>TEXT(B10033,"aaa")</f>
        <v/>
      </c>
      <c r="E10033" s="94" t="inlineStr">
        <is>
          <t>앰플</t>
        </is>
      </c>
      <c r="F10033" s="5" t="inlineStr">
        <is>
          <t>카페24</t>
        </is>
      </c>
      <c r="G10033" s="94" t="inlineStr">
        <is>
          <t>앰플 30ml  2set</t>
        </is>
      </c>
      <c r="H10033" s="94" t="n">
        <v>200801</v>
      </c>
      <c r="I10033" s="94" t="n">
        <v>200801</v>
      </c>
      <c r="K10033" s="94" t="n">
        <v>4</v>
      </c>
      <c r="L10033" s="94" t="n">
        <v>200801</v>
      </c>
      <c r="M10033" s="94">
        <f>VLOOKUP($Q10033,매칭테이블!$F:$I,2,0)*K10033</f>
        <v/>
      </c>
      <c r="N10033" s="94">
        <f>M10033-M10033*VLOOKUP($Q10033,매칭테이블!$F:$I,3,0)</f>
        <v/>
      </c>
      <c r="O10033" s="94">
        <f>VLOOKUP($Q10033,매칭테이블!$F:$I,4,0)*K10033</f>
        <v/>
      </c>
      <c r="P10033" s="148">
        <f>M10033/1.1</f>
        <v/>
      </c>
      <c r="Q10033" s="94">
        <f>F10033&amp;E10033&amp;G10033&amp;L10033</f>
        <v/>
      </c>
    </row>
    <row r="10034" customFormat="1" s="94">
      <c r="B10034" s="128" t="n">
        <v>44117</v>
      </c>
      <c r="C10034" s="94">
        <f>TEXT(B10034,"aaa")</f>
        <v/>
      </c>
      <c r="E10034" s="94" t="inlineStr">
        <is>
          <t>수딩크림</t>
        </is>
      </c>
      <c r="F10034" s="5" t="inlineStr">
        <is>
          <t>카페24</t>
        </is>
      </c>
      <c r="G10034" s="94" t="inlineStr">
        <is>
          <t>수딩크림 100ml</t>
        </is>
      </c>
      <c r="H10034" s="94" t="n">
        <v>200801</v>
      </c>
      <c r="I10034" s="94" t="n">
        <v>200801</v>
      </c>
      <c r="K10034" s="94" t="n">
        <v>4</v>
      </c>
      <c r="L10034" s="94" t="n">
        <v>200801</v>
      </c>
      <c r="M10034" s="94">
        <f>VLOOKUP($Q10034,매칭테이블!$F:$I,2,0)*K10034</f>
        <v/>
      </c>
      <c r="N10034" s="94">
        <f>M10034-M10034*VLOOKUP($Q10034,매칭테이블!$F:$I,3,0)</f>
        <v/>
      </c>
      <c r="O10034" s="94">
        <f>VLOOKUP($Q10034,매칭테이블!$F:$I,4,0)*K10034</f>
        <v/>
      </c>
      <c r="P10034" s="148">
        <f>M10034/1.1</f>
        <v/>
      </c>
      <c r="Q10034" s="94">
        <f>F10034&amp;E10034&amp;G10034&amp;L10034</f>
        <v/>
      </c>
    </row>
    <row r="10035" customFormat="1" s="94">
      <c r="B10035" s="128" t="n">
        <v>44117</v>
      </c>
      <c r="C10035" s="94">
        <f>TEXT(B10035,"aaa")</f>
        <v/>
      </c>
      <c r="E10035" s="94" t="inlineStr">
        <is>
          <t>클렌징폼</t>
        </is>
      </c>
      <c r="F10035" s="5" t="inlineStr">
        <is>
          <t>카페24</t>
        </is>
      </c>
      <c r="G10035" s="94" t="inlineStr">
        <is>
          <t>클렌징폼 120ml</t>
        </is>
      </c>
      <c r="H10035" s="94" t="n">
        <v>200801</v>
      </c>
      <c r="I10035" s="94" t="n">
        <v>200801</v>
      </c>
      <c r="K10035" s="94" t="n">
        <v>8</v>
      </c>
      <c r="L10035" s="94" t="n">
        <v>200801</v>
      </c>
      <c r="M10035" s="94">
        <f>VLOOKUP($Q10035,매칭테이블!$F:$I,2,0)*K10035</f>
        <v/>
      </c>
      <c r="N10035" s="94">
        <f>M10035-M10035*VLOOKUP($Q10035,매칭테이블!$F:$I,3,0)</f>
        <v/>
      </c>
      <c r="O10035" s="94">
        <f>VLOOKUP($Q10035,매칭테이블!$F:$I,4,0)*K10035</f>
        <v/>
      </c>
      <c r="P10035" s="148">
        <f>M10035/1.1</f>
        <v/>
      </c>
      <c r="Q10035" s="94">
        <f>F10035&amp;E10035&amp;G10035&amp;L10035</f>
        <v/>
      </c>
    </row>
    <row r="10036" customFormat="1" s="94">
      <c r="B10036" s="128" t="n">
        <v>44117</v>
      </c>
      <c r="C10036" s="94">
        <f>TEXT(B10036,"aaa")</f>
        <v/>
      </c>
      <c r="E10036" s="94" t="inlineStr">
        <is>
          <t>클렌징폼</t>
        </is>
      </c>
      <c r="F10036" s="5" t="inlineStr">
        <is>
          <t>카페24</t>
        </is>
      </c>
      <c r="G10036" s="94" t="inlineStr">
        <is>
          <t>클렌징폼 120ml 2set</t>
        </is>
      </c>
      <c r="H10036" s="94" t="n">
        <v>200801</v>
      </c>
      <c r="I10036" s="94" t="n">
        <v>200801</v>
      </c>
      <c r="K10036" s="94" t="n">
        <v>1</v>
      </c>
      <c r="L10036" s="94" t="n">
        <v>200801</v>
      </c>
      <c r="M10036" s="94">
        <f>VLOOKUP($Q10036,매칭테이블!$F:$I,2,0)*K10036</f>
        <v/>
      </c>
      <c r="N10036" s="94">
        <f>M10036-M10036*VLOOKUP($Q10036,매칭테이블!$F:$I,3,0)</f>
        <v/>
      </c>
      <c r="O10036" s="94">
        <f>VLOOKUP($Q10036,매칭테이블!$F:$I,4,0)*K10036</f>
        <v/>
      </c>
      <c r="P10036" s="148">
        <f>M10036/1.1</f>
        <v/>
      </c>
      <c r="Q10036" s="94">
        <f>F10036&amp;E10036&amp;G10036&amp;L10036</f>
        <v/>
      </c>
    </row>
    <row r="10037" customFormat="1" s="94">
      <c r="B10037" s="128" t="n">
        <v>44117</v>
      </c>
      <c r="C10037" s="94">
        <f>TEXT(B10037,"aaa")</f>
        <v/>
      </c>
      <c r="E10037" s="94" t="inlineStr">
        <is>
          <t>바디워시</t>
        </is>
      </c>
      <c r="F10037" s="5" t="inlineStr">
        <is>
          <t>카페24</t>
        </is>
      </c>
      <c r="G10037" s="94" t="inlineStr">
        <is>
          <t>바디워시 1개 -30% off</t>
        </is>
      </c>
      <c r="H10037" s="94" t="n">
        <v>200801</v>
      </c>
      <c r="I10037" s="94" t="n">
        <v>200801</v>
      </c>
      <c r="K10037" s="94" t="n">
        <v>2</v>
      </c>
      <c r="L10037" s="94" t="n">
        <v>200801</v>
      </c>
      <c r="M10037" s="94">
        <f>VLOOKUP($Q10037,매칭테이블!$F:$I,2,0)*K10037</f>
        <v/>
      </c>
      <c r="N10037" s="94">
        <f>M10037-M10037*VLOOKUP($Q10037,매칭테이블!$F:$I,3,0)</f>
        <v/>
      </c>
      <c r="O10037" s="94">
        <f>VLOOKUP($Q10037,매칭테이블!$F:$I,4,0)*K10037</f>
        <v/>
      </c>
      <c r="P10037" s="148">
        <f>M10037/1.1</f>
        <v/>
      </c>
      <c r="Q10037" s="94">
        <f>F10037&amp;E10037&amp;G10037&amp;L10037</f>
        <v/>
      </c>
    </row>
    <row r="10038" customFormat="1" s="94">
      <c r="B10038" s="128" t="n">
        <v>44117</v>
      </c>
      <c r="C10038" s="94">
        <f>TEXT(B10038,"aaa")</f>
        <v/>
      </c>
      <c r="E10038" s="94" t="inlineStr">
        <is>
          <t>바디워시</t>
        </is>
      </c>
      <c r="F10038" s="5" t="inlineStr">
        <is>
          <t>카페24</t>
        </is>
      </c>
      <c r="G10038" s="94" t="inlineStr">
        <is>
          <t>바디워시 2개 -35% off (무료배송)</t>
        </is>
      </c>
      <c r="H10038" s="94" t="n">
        <v>200801</v>
      </c>
      <c r="I10038" s="94" t="n">
        <v>200801</v>
      </c>
      <c r="K10038" s="94" t="n">
        <v>1</v>
      </c>
      <c r="L10038" s="94" t="n">
        <v>200801</v>
      </c>
      <c r="M10038" s="94">
        <f>VLOOKUP($Q10038,매칭테이블!$F:$I,2,0)*K10038</f>
        <v/>
      </c>
      <c r="N10038" s="94">
        <f>M10038-M10038*VLOOKUP($Q10038,매칭테이블!$F:$I,3,0)</f>
        <v/>
      </c>
      <c r="O10038" s="94">
        <f>VLOOKUP($Q10038,매칭테이블!$F:$I,4,0)*K10038</f>
        <v/>
      </c>
      <c r="P10038" s="148">
        <f>M10038/1.1</f>
        <v/>
      </c>
      <c r="Q10038" s="94">
        <f>F10038&amp;E10038&amp;G10038&amp;L10038</f>
        <v/>
      </c>
    </row>
    <row r="10039" customFormat="1" s="94">
      <c r="B10039" s="128" t="n">
        <v>44117</v>
      </c>
      <c r="C10039" s="94">
        <f>TEXT(B10039,"aaa")</f>
        <v/>
      </c>
      <c r="E10039" s="94" t="inlineStr">
        <is>
          <t>토너</t>
        </is>
      </c>
      <c r="F10039" s="5" t="inlineStr">
        <is>
          <t>화해</t>
        </is>
      </c>
      <c r="G10039" s="94" t="inlineStr">
        <is>
          <t>250ml</t>
        </is>
      </c>
      <c r="H10039" s="94" t="n">
        <v>200801</v>
      </c>
      <c r="I10039" s="94" t="n">
        <v>200801</v>
      </c>
      <c r="K10039" s="94" t="n">
        <v>6</v>
      </c>
      <c r="L10039" s="94" t="n">
        <v>200801</v>
      </c>
      <c r="M10039" s="94">
        <f>VLOOKUP($Q10039,매칭테이블!$F:$I,2,0)*K10039</f>
        <v/>
      </c>
      <c r="N10039" s="94">
        <f>M10039-M10039*VLOOKUP($Q10039,매칭테이블!$F:$I,3,0)</f>
        <v/>
      </c>
      <c r="O10039" s="94">
        <f>VLOOKUP($Q10039,매칭테이블!$F:$I,4,0)*K10039</f>
        <v/>
      </c>
      <c r="P10039" s="148">
        <f>M10039/1.1</f>
        <v/>
      </c>
      <c r="Q10039" s="94">
        <f>F10039&amp;E10039&amp;G10039&amp;L10039</f>
        <v/>
      </c>
    </row>
    <row r="10040" customFormat="1" s="94">
      <c r="B10040" s="128" t="n">
        <v>44117</v>
      </c>
      <c r="C10040" s="94">
        <f>TEXT(B10040,"aaa")</f>
        <v/>
      </c>
      <c r="E10040" s="94" t="inlineStr">
        <is>
          <t>머드크림마스크</t>
        </is>
      </c>
      <c r="F10040" s="5" t="inlineStr">
        <is>
          <t>화해</t>
        </is>
      </c>
      <c r="G10040" s="94" t="inlineStr">
        <is>
          <t>머드크림마스크 100ml</t>
        </is>
      </c>
      <c r="H10040" s="94" t="n">
        <v>200801</v>
      </c>
      <c r="I10040" s="94" t="n">
        <v>200801</v>
      </c>
      <c r="K10040" s="94" t="n">
        <v>1</v>
      </c>
      <c r="L10040" s="94" t="n">
        <v>200801</v>
      </c>
      <c r="M10040" s="94">
        <f>VLOOKUP($Q10040,매칭테이블!$F:$I,2,0)*K10040</f>
        <v/>
      </c>
      <c r="N10040" s="94">
        <f>M10040-M10040*VLOOKUP($Q10040,매칭테이블!$F:$I,3,0)</f>
        <v/>
      </c>
      <c r="O10040" s="94">
        <f>VLOOKUP($Q10040,매칭테이블!$F:$I,4,0)*K10040</f>
        <v/>
      </c>
      <c r="P10040" s="148">
        <f>M10040/1.1</f>
        <v/>
      </c>
      <c r="Q10040" s="94">
        <f>F10040&amp;E10040&amp;G10040&amp;L10040</f>
        <v/>
      </c>
    </row>
    <row r="10041" customFormat="1" s="94">
      <c r="B10041" s="128" t="n">
        <v>44117</v>
      </c>
      <c r="C10041" s="94">
        <f>TEXT(B10041,"aaa")</f>
        <v/>
      </c>
      <c r="E10041" s="94" t="inlineStr">
        <is>
          <t>클리어 패드</t>
        </is>
      </c>
      <c r="F10041" s="5" t="inlineStr">
        <is>
          <t>화해</t>
        </is>
      </c>
      <c r="G10041" s="94" t="inlineStr">
        <is>
          <t>어성초 클리어패드 70P</t>
        </is>
      </c>
      <c r="H10041" s="94" t="n">
        <v>200801</v>
      </c>
      <c r="I10041" s="94" t="n">
        <v>200801</v>
      </c>
      <c r="K10041" s="94" t="n">
        <v>1</v>
      </c>
      <c r="L10041" s="94" t="n">
        <v>200801</v>
      </c>
      <c r="M10041" s="94">
        <f>VLOOKUP($Q10041,매칭테이블!$F:$I,2,0)*K10041</f>
        <v/>
      </c>
      <c r="N10041" s="94">
        <f>M10041-M10041*VLOOKUP($Q10041,매칭테이블!$F:$I,3,0)</f>
        <v/>
      </c>
      <c r="O10041" s="94">
        <f>VLOOKUP($Q10041,매칭테이블!$F:$I,4,0)*K10041</f>
        <v/>
      </c>
      <c r="P10041" s="148">
        <f>M10041/1.1</f>
        <v/>
      </c>
      <c r="Q10041" s="94">
        <f>F10041&amp;E10041&amp;G10041&amp;L10041</f>
        <v/>
      </c>
    </row>
    <row r="10042" customFormat="1" s="94">
      <c r="B10042" s="128" t="n">
        <v>44118</v>
      </c>
      <c r="C10042" s="94">
        <f>TEXT(B10042,"aaa")</f>
        <v/>
      </c>
      <c r="E10042" s="94" t="inlineStr">
        <is>
          <t>토너</t>
        </is>
      </c>
      <c r="F10042" s="5" t="inlineStr">
        <is>
          <t>W컨셉</t>
        </is>
      </c>
      <c r="G10042" s="94" t="inlineStr">
        <is>
          <t>250ml 2set</t>
        </is>
      </c>
      <c r="H10042" s="94" t="n">
        <v>200801</v>
      </c>
      <c r="I10042" s="94" t="n">
        <v>200801</v>
      </c>
      <c r="K10042" s="94" t="n">
        <v>16</v>
      </c>
      <c r="L10042" s="94" t="n">
        <v>200801</v>
      </c>
      <c r="M10042" s="94">
        <f>VLOOKUP($Q10042,매칭테이블!$F:$I,2,0)*K10042</f>
        <v/>
      </c>
      <c r="N10042" s="94">
        <f>M10042-M10042*VLOOKUP($Q10042,매칭테이블!$F:$I,3,0)</f>
        <v/>
      </c>
      <c r="O10042" s="94">
        <f>VLOOKUP($Q10042,매칭테이블!$F:$I,4,0)*K10042</f>
        <v/>
      </c>
      <c r="P10042" s="148">
        <f>M10042/1.1</f>
        <v/>
      </c>
      <c r="Q10042" s="94">
        <f>F10042&amp;E10042&amp;G10042&amp;L10042</f>
        <v/>
      </c>
    </row>
    <row r="10043" customFormat="1" s="94">
      <c r="B10043" s="128" t="n">
        <v>44118</v>
      </c>
      <c r="C10043" s="94">
        <f>TEXT(B10043,"aaa")</f>
        <v/>
      </c>
      <c r="E10043" s="94" t="inlineStr">
        <is>
          <t>수딩크림</t>
        </is>
      </c>
      <c r="F10043" s="5" t="inlineStr">
        <is>
          <t>글로우데이즈 시코르</t>
        </is>
      </c>
      <c r="G10043" s="94" t="inlineStr">
        <is>
          <t>수딩크림=수딩크림 100ml</t>
        </is>
      </c>
      <c r="H10043" s="94" t="n">
        <v>200801</v>
      </c>
      <c r="I10043" s="94" t="n">
        <v>200801</v>
      </c>
      <c r="K10043" s="94" t="n">
        <v>30</v>
      </c>
      <c r="L10043" s="94" t="n">
        <v>200801</v>
      </c>
      <c r="M10043" s="94">
        <f>VLOOKUP($Q10043,매칭테이블!$F:$I,2,0)*K10043</f>
        <v/>
      </c>
      <c r="N10043" s="94">
        <f>M10043-M10043*VLOOKUP($Q10043,매칭테이블!$F:$I,3,0)</f>
        <v/>
      </c>
      <c r="O10043" s="94">
        <f>VLOOKUP($Q10043,매칭테이블!$F:$I,4,0)*K10043</f>
        <v/>
      </c>
      <c r="P10043" s="148">
        <f>M10043/1.1</f>
        <v/>
      </c>
      <c r="Q10043" s="94">
        <f>F10043&amp;E10043&amp;G10043&amp;L10043</f>
        <v/>
      </c>
    </row>
    <row r="10044" customFormat="1" s="94">
      <c r="B10044" s="128" t="n">
        <v>44118</v>
      </c>
      <c r="C10044" s="94">
        <f>TEXT(B10044,"aaa")</f>
        <v/>
      </c>
      <c r="E10044" s="94" t="inlineStr">
        <is>
          <t>클렌징폼</t>
        </is>
      </c>
      <c r="F10044" s="5" t="inlineStr">
        <is>
          <t>글로우데이즈 시코르</t>
        </is>
      </c>
      <c r="G10044" s="94" t="inlineStr">
        <is>
          <t>클렌징폼=클렌징폼 120ml</t>
        </is>
      </c>
      <c r="H10044" s="94" t="n">
        <v>200801</v>
      </c>
      <c r="I10044" s="94" t="n">
        <v>200801</v>
      </c>
      <c r="K10044" s="94" t="n">
        <v>30</v>
      </c>
      <c r="L10044" s="94" t="n">
        <v>200801</v>
      </c>
      <c r="M10044" s="94">
        <f>VLOOKUP($Q10044,매칭테이블!$F:$I,2,0)*K10044</f>
        <v/>
      </c>
      <c r="N10044" s="94">
        <f>M10044-M10044*VLOOKUP($Q10044,매칭테이블!$F:$I,3,0)</f>
        <v/>
      </c>
      <c r="O10044" s="94">
        <f>VLOOKUP($Q10044,매칭테이블!$F:$I,4,0)*K10044</f>
        <v/>
      </c>
      <c r="P10044" s="148">
        <f>M10044/1.1</f>
        <v/>
      </c>
      <c r="Q10044" s="94">
        <f>F10044&amp;E10044&amp;G10044&amp;L10044</f>
        <v/>
      </c>
    </row>
    <row r="10045" customFormat="1" s="94">
      <c r="B10045" s="128" t="n">
        <v>44118</v>
      </c>
      <c r="C10045" s="94">
        <f>TEXT(B10045,"aaa")</f>
        <v/>
      </c>
      <c r="E10045" s="94" t="inlineStr">
        <is>
          <t>마스크팩</t>
        </is>
      </c>
      <c r="F10045" s="5" t="inlineStr">
        <is>
          <t>글로우데이즈 시코르</t>
        </is>
      </c>
      <c r="G10045" s="94" t="inlineStr">
        <is>
          <t>마스크팩=마스크팩 10매</t>
        </is>
      </c>
      <c r="H10045" s="94" t="n">
        <v>200801</v>
      </c>
      <c r="I10045" s="94" t="n">
        <v>200801</v>
      </c>
      <c r="K10045" s="94" t="n">
        <v>23</v>
      </c>
      <c r="L10045" s="94" t="n">
        <v>200801</v>
      </c>
      <c r="M10045" s="94">
        <f>VLOOKUP($Q10045,매칭테이블!$F:$I,2,0)*K10045</f>
        <v/>
      </c>
      <c r="N10045" s="94">
        <f>M10045-M10045*VLOOKUP($Q10045,매칭테이블!$F:$I,3,0)</f>
        <v/>
      </c>
      <c r="O10045" s="94">
        <f>VLOOKUP($Q10045,매칭테이블!$F:$I,4,0)*K10045</f>
        <v/>
      </c>
      <c r="P10045" s="148">
        <f>M10045/1.1</f>
        <v/>
      </c>
      <c r="Q10045" s="94">
        <f>F10045&amp;E10045&amp;G10045&amp;L10045</f>
        <v/>
      </c>
    </row>
    <row r="10046" customFormat="1" s="94">
      <c r="B10046" s="128" t="n">
        <v>44118</v>
      </c>
      <c r="C10046" s="94">
        <f>TEXT(B10046,"aaa")</f>
        <v/>
      </c>
      <c r="E10046" s="94" t="inlineStr">
        <is>
          <t>선크림</t>
        </is>
      </c>
      <c r="F10046" s="5" t="inlineStr">
        <is>
          <t>글로우데이즈 시코르</t>
        </is>
      </c>
      <c r="G10046" s="94" t="inlineStr">
        <is>
          <t>선크림=선크림 50ml</t>
        </is>
      </c>
      <c r="H10046" s="94" t="n">
        <v>200801</v>
      </c>
      <c r="I10046" s="94" t="n">
        <v>200801</v>
      </c>
      <c r="K10046" s="94" t="n">
        <v>10</v>
      </c>
      <c r="L10046" s="94" t="n">
        <v>200801</v>
      </c>
      <c r="M10046" s="94">
        <f>VLOOKUP($Q10046,매칭테이블!$F:$I,2,0)*K10046</f>
        <v/>
      </c>
      <c r="N10046" s="94">
        <f>M10046-M10046*VLOOKUP($Q10046,매칭테이블!$F:$I,3,0)</f>
        <v/>
      </c>
      <c r="O10046" s="94">
        <f>VLOOKUP($Q10046,매칭테이블!$F:$I,4,0)*K10046</f>
        <v/>
      </c>
      <c r="P10046" s="148">
        <f>M10046/1.1</f>
        <v/>
      </c>
      <c r="Q10046" s="94">
        <f>F10046&amp;E10046&amp;G10046&amp;L10046</f>
        <v/>
      </c>
    </row>
    <row r="10047" customFormat="1" s="94">
      <c r="B10047" s="128" t="n">
        <v>44118</v>
      </c>
      <c r="C10047" s="94">
        <f>TEXT(B10047,"aaa")</f>
        <v/>
      </c>
      <c r="E10047" s="94" t="inlineStr">
        <is>
          <t>토너</t>
        </is>
      </c>
      <c r="F10047" s="5" t="inlineStr">
        <is>
          <t>스타일쉐어</t>
        </is>
      </c>
      <c r="G10047" s="94" t="inlineStr">
        <is>
          <t>250ml</t>
        </is>
      </c>
      <c r="H10047" s="94" t="n">
        <v>200801</v>
      </c>
      <c r="I10047" s="94" t="n">
        <v>200801</v>
      </c>
      <c r="K10047" s="94" t="n">
        <v>13</v>
      </c>
      <c r="L10047" s="94" t="n">
        <v>200801</v>
      </c>
      <c r="M10047" s="94">
        <f>VLOOKUP($Q10047,매칭테이블!$F:$I,2,0)*K10047</f>
        <v/>
      </c>
      <c r="N10047" s="94">
        <f>M10047-M10047*VLOOKUP($Q10047,매칭테이블!$F:$I,3,0)</f>
        <v/>
      </c>
      <c r="O10047" s="94">
        <f>VLOOKUP($Q10047,매칭테이블!$F:$I,4,0)*K10047</f>
        <v/>
      </c>
      <c r="P10047" s="148">
        <f>M10047/1.1</f>
        <v/>
      </c>
      <c r="Q10047" s="94">
        <f>F10047&amp;E10047&amp;G10047&amp;L10047</f>
        <v/>
      </c>
    </row>
    <row r="10048" customFormat="1" s="94">
      <c r="B10048" s="128" t="n">
        <v>44118</v>
      </c>
      <c r="C10048" s="94">
        <f>TEXT(B10048,"aaa")</f>
        <v/>
      </c>
      <c r="E10048" s="94" t="inlineStr">
        <is>
          <t>선크림</t>
        </is>
      </c>
      <c r="F10048" s="5" t="inlineStr">
        <is>
          <t>카페24</t>
        </is>
      </c>
      <c r="G10048" s="94" t="inlineStr">
        <is>
          <t>선크림 50ml</t>
        </is>
      </c>
      <c r="H10048" s="94" t="n">
        <v>200801</v>
      </c>
      <c r="I10048" s="94" t="n">
        <v>200801</v>
      </c>
      <c r="K10048" s="94" t="n">
        <v>2</v>
      </c>
      <c r="L10048" s="94" t="n">
        <v>200801</v>
      </c>
      <c r="M10048" s="94">
        <f>VLOOKUP($Q10048,매칭테이블!$F:$I,2,0)*K10048</f>
        <v/>
      </c>
      <c r="N10048" s="94">
        <f>M10048-M10048*VLOOKUP($Q10048,매칭테이블!$F:$I,3,0)</f>
        <v/>
      </c>
      <c r="O10048" s="94">
        <f>VLOOKUP($Q10048,매칭테이블!$F:$I,4,0)*K10048</f>
        <v/>
      </c>
      <c r="P10048" s="148">
        <f>M10048/1.1</f>
        <v/>
      </c>
      <c r="Q10048" s="94">
        <f>F10048&amp;E10048&amp;G10048&amp;L10048</f>
        <v/>
      </c>
    </row>
    <row r="10049" customFormat="1" s="94">
      <c r="B10049" s="128" t="n">
        <v>44118</v>
      </c>
      <c r="C10049" s="94">
        <f>TEXT(B10049,"aaa")</f>
        <v/>
      </c>
      <c r="E10049" s="94" t="inlineStr">
        <is>
          <t>선크림</t>
        </is>
      </c>
      <c r="F10049" s="5" t="inlineStr">
        <is>
          <t>카페24</t>
        </is>
      </c>
      <c r="G10049" s="94" t="inlineStr">
        <is>
          <t>선크림 50ml  2set</t>
        </is>
      </c>
      <c r="H10049" s="94" t="n">
        <v>200801</v>
      </c>
      <c r="I10049" s="94" t="n">
        <v>200801</v>
      </c>
      <c r="K10049" s="94" t="n">
        <v>1</v>
      </c>
      <c r="L10049" s="94" t="n">
        <v>200801</v>
      </c>
      <c r="M10049" s="94">
        <f>VLOOKUP($Q10049,매칭테이블!$F:$I,2,0)*K10049</f>
        <v/>
      </c>
      <c r="N10049" s="94">
        <f>M10049-M10049*VLOOKUP($Q10049,매칭테이블!$F:$I,3,0)</f>
        <v/>
      </c>
      <c r="O10049" s="94">
        <f>VLOOKUP($Q10049,매칭테이블!$F:$I,4,0)*K10049</f>
        <v/>
      </c>
      <c r="P10049" s="148">
        <f>M10049/1.1</f>
        <v/>
      </c>
      <c r="Q10049" s="94">
        <f>F10049&amp;E10049&amp;G10049&amp;L10049</f>
        <v/>
      </c>
    </row>
    <row r="10050" customFormat="1" s="94">
      <c r="B10050" s="128" t="n">
        <v>44118</v>
      </c>
      <c r="C10050" s="94">
        <f>TEXT(B10050,"aaa")</f>
        <v/>
      </c>
      <c r="E10050" s="94" t="inlineStr">
        <is>
          <t>어성초진정패키지</t>
        </is>
      </c>
      <c r="F10050" s="5" t="inlineStr">
        <is>
          <t>카페24</t>
        </is>
      </c>
      <c r="G10050" s="94" t="inlineStr">
        <is>
          <t>어성초 진정패키지세트</t>
        </is>
      </c>
      <c r="H10050" s="94" t="n">
        <v>200801</v>
      </c>
      <c r="I10050" s="94" t="n">
        <v>200801</v>
      </c>
      <c r="K10050" s="94" t="n">
        <v>2</v>
      </c>
      <c r="L10050" s="94" t="n">
        <v>200801</v>
      </c>
      <c r="M10050" s="94">
        <f>VLOOKUP($Q10050,매칭테이블!$F:$I,2,0)*K10050</f>
        <v/>
      </c>
      <c r="N10050" s="94">
        <f>M10050-M10050*VLOOKUP($Q10050,매칭테이블!$F:$I,3,0)</f>
        <v/>
      </c>
      <c r="O10050" s="94">
        <f>VLOOKUP($Q10050,매칭테이블!$F:$I,4,0)*K10050</f>
        <v/>
      </c>
      <c r="P10050" s="148">
        <f>M10050/1.1</f>
        <v/>
      </c>
      <c r="Q10050" s="94">
        <f>F10050&amp;E10050&amp;G10050&amp;L10050</f>
        <v/>
      </c>
    </row>
    <row r="10051" customFormat="1" s="94">
      <c r="B10051" s="128" t="n">
        <v>44118</v>
      </c>
      <c r="C10051" s="94">
        <f>TEXT(B10051,"aaa")</f>
        <v/>
      </c>
      <c r="E10051" s="94" t="inlineStr">
        <is>
          <t>토너+패드 세트</t>
        </is>
      </c>
      <c r="F10051" s="5" t="inlineStr">
        <is>
          <t>카페24</t>
        </is>
      </c>
      <c r="G10051" s="94" t="inlineStr">
        <is>
          <t>좁쌀 진정 세트 토너+클리어 패드-30% off</t>
        </is>
      </c>
      <c r="H10051" s="94" t="n">
        <v>200801</v>
      </c>
      <c r="I10051" s="94" t="n">
        <v>200801</v>
      </c>
      <c r="K10051" s="94" t="n">
        <v>3</v>
      </c>
      <c r="L10051" s="94" t="n">
        <v>200801</v>
      </c>
      <c r="M10051" s="94">
        <f>VLOOKUP($Q10051,매칭테이블!$F:$I,2,0)*K10051</f>
        <v/>
      </c>
      <c r="N10051" s="94">
        <f>M10051-M10051*VLOOKUP($Q10051,매칭테이블!$F:$I,3,0)</f>
        <v/>
      </c>
      <c r="O10051" s="94">
        <f>VLOOKUP($Q10051,매칭테이블!$F:$I,4,0)*K10051</f>
        <v/>
      </c>
      <c r="P10051" s="148">
        <f>M10051/1.1</f>
        <v/>
      </c>
      <c r="Q10051" s="94">
        <f>F10051&amp;E10051&amp;G10051&amp;L10051</f>
        <v/>
      </c>
    </row>
    <row r="10052" customFormat="1" s="94">
      <c r="B10052" s="128" t="n">
        <v>44118</v>
      </c>
      <c r="C10052" s="94">
        <f>TEXT(B10052,"aaa")</f>
        <v/>
      </c>
      <c r="E10052" s="94" t="inlineStr">
        <is>
          <t>수분 보충 세트</t>
        </is>
      </c>
      <c r="F10052" s="5" t="inlineStr">
        <is>
          <t>카페24</t>
        </is>
      </c>
      <c r="G10052" s="94" t="inlineStr">
        <is>
          <t>[20/09/28 부터] 어성초 77 토너 250ml + 어성초 70 로션 200ml -30%</t>
        </is>
      </c>
      <c r="H10052" s="94" t="n">
        <v>200801</v>
      </c>
      <c r="I10052" s="94" t="n">
        <v>200801</v>
      </c>
      <c r="K10052" s="94" t="n">
        <v>34</v>
      </c>
      <c r="L10052" s="94" t="n">
        <v>200801</v>
      </c>
      <c r="M10052" s="94">
        <f>VLOOKUP($Q10052,매칭테이블!$F:$I,2,0)*K10052</f>
        <v/>
      </c>
      <c r="N10052" s="94">
        <f>M10052-M10052*VLOOKUP($Q10052,매칭테이블!$F:$I,3,0)</f>
        <v/>
      </c>
      <c r="O10052" s="94">
        <f>VLOOKUP($Q10052,매칭테이블!$F:$I,4,0)*K10052</f>
        <v/>
      </c>
      <c r="P10052" s="148">
        <f>M10052/1.1</f>
        <v/>
      </c>
      <c r="Q10052" s="94">
        <f>F10052&amp;E10052&amp;G10052&amp;L10052</f>
        <v/>
      </c>
    </row>
    <row r="10053" customFormat="1" s="94">
      <c r="B10053" s="128" t="n">
        <v>44118</v>
      </c>
      <c r="C10053" s="94">
        <f>TEXT(B10053,"aaa")</f>
        <v/>
      </c>
      <c r="E10053" s="94" t="inlineStr">
        <is>
          <t>로션</t>
        </is>
      </c>
      <c r="F10053" s="5" t="inlineStr">
        <is>
          <t>카페24</t>
        </is>
      </c>
      <c r="G10053" s="94" t="inlineStr">
        <is>
          <t>어성초 70 데일리 릴리프 로션 1개 -20% off</t>
        </is>
      </c>
      <c r="H10053" s="94" t="n">
        <v>200801</v>
      </c>
      <c r="I10053" s="94" t="n">
        <v>200801</v>
      </c>
      <c r="K10053" s="94" t="n">
        <v>6</v>
      </c>
      <c r="L10053" s="94" t="n">
        <v>200801</v>
      </c>
      <c r="M10053" s="94">
        <f>VLOOKUP($Q10053,매칭테이블!$F:$I,2,0)*K10053</f>
        <v/>
      </c>
      <c r="N10053" s="94">
        <f>M10053-M10053*VLOOKUP($Q10053,매칭테이블!$F:$I,3,0)</f>
        <v/>
      </c>
      <c r="O10053" s="94">
        <f>VLOOKUP($Q10053,매칭테이블!$F:$I,4,0)*K10053</f>
        <v/>
      </c>
      <c r="P10053" s="148">
        <f>M10053/1.1</f>
        <v/>
      </c>
      <c r="Q10053" s="94">
        <f>F10053&amp;E10053&amp;G10053&amp;L10053</f>
        <v/>
      </c>
    </row>
    <row r="10054" customFormat="1" s="94">
      <c r="B10054" s="128" t="n">
        <v>44118</v>
      </c>
      <c r="C10054" s="94">
        <f>TEXT(B10054,"aaa")</f>
        <v/>
      </c>
      <c r="E10054" s="94" t="inlineStr">
        <is>
          <t>로션</t>
        </is>
      </c>
      <c r="F10054" s="5" t="inlineStr">
        <is>
          <t>카페24</t>
        </is>
      </c>
      <c r="G10054" s="94" t="inlineStr">
        <is>
          <t>어성초 70 데일리 릴리프 로션 2개 -30% off</t>
        </is>
      </c>
      <c r="H10054" s="94" t="n">
        <v>200801</v>
      </c>
      <c r="I10054" s="94" t="n">
        <v>200801</v>
      </c>
      <c r="K10054" s="94" t="n">
        <v>1</v>
      </c>
      <c r="L10054" s="94" t="n">
        <v>200801</v>
      </c>
      <c r="M10054" s="94">
        <f>VLOOKUP($Q10054,매칭테이블!$F:$I,2,0)*K10054</f>
        <v/>
      </c>
      <c r="N10054" s="94">
        <f>M10054-M10054*VLOOKUP($Q10054,매칭테이블!$F:$I,3,0)</f>
        <v/>
      </c>
      <c r="O10054" s="94">
        <f>VLOOKUP($Q10054,매칭테이블!$F:$I,4,0)*K10054</f>
        <v/>
      </c>
      <c r="P10054" s="148">
        <f>M10054/1.1</f>
        <v/>
      </c>
      <c r="Q10054" s="94">
        <f>F10054&amp;E10054&amp;G10054&amp;L10054</f>
        <v/>
      </c>
    </row>
    <row r="10055" customFormat="1" s="94">
      <c r="B10055" s="128" t="n">
        <v>44118</v>
      </c>
      <c r="C10055" s="94">
        <f>TEXT(B10055,"aaa")</f>
        <v/>
      </c>
      <c r="E10055" s="94" t="inlineStr">
        <is>
          <t>머드크림마스크</t>
        </is>
      </c>
      <c r="F10055" s="5" t="inlineStr">
        <is>
          <t>카페24</t>
        </is>
      </c>
      <c r="G10055" s="94" t="inlineStr">
        <is>
          <t>머드크림마스크 100ml</t>
        </is>
      </c>
      <c r="H10055" s="94" t="n">
        <v>200801</v>
      </c>
      <c r="I10055" s="94" t="n">
        <v>200801</v>
      </c>
      <c r="K10055" s="94" t="n">
        <v>16</v>
      </c>
      <c r="L10055" s="94" t="n">
        <v>200801</v>
      </c>
      <c r="M10055" s="94">
        <f>VLOOKUP($Q10055,매칭테이블!$F:$I,2,0)*K10055</f>
        <v/>
      </c>
      <c r="N10055" s="94">
        <f>M10055-M10055*VLOOKUP($Q10055,매칭테이블!$F:$I,3,0)</f>
        <v/>
      </c>
      <c r="O10055" s="94">
        <f>VLOOKUP($Q10055,매칭테이블!$F:$I,4,0)*K10055</f>
        <v/>
      </c>
      <c r="P10055" s="148">
        <f>M10055/1.1</f>
        <v/>
      </c>
      <c r="Q10055" s="94">
        <f>F10055&amp;E10055&amp;G10055&amp;L10055</f>
        <v/>
      </c>
    </row>
    <row r="10056" customFormat="1" s="94">
      <c r="B10056" s="128" t="n">
        <v>44118</v>
      </c>
      <c r="C10056" s="94">
        <f>TEXT(B10056,"aaa")</f>
        <v/>
      </c>
      <c r="E10056" s="94" t="inlineStr">
        <is>
          <t>머드크림마스크</t>
        </is>
      </c>
      <c r="F10056" s="5" t="inlineStr">
        <is>
          <t>카페24</t>
        </is>
      </c>
      <c r="G10056" s="94" t="inlineStr">
        <is>
          <t>머드크림마스크 100ml 2set</t>
        </is>
      </c>
      <c r="H10056" s="94" t="n">
        <v>200801</v>
      </c>
      <c r="I10056" s="94" t="n">
        <v>200801</v>
      </c>
      <c r="K10056" s="94" t="n">
        <v>6</v>
      </c>
      <c r="L10056" s="94" t="n">
        <v>200801</v>
      </c>
      <c r="M10056" s="94">
        <f>VLOOKUP($Q10056,매칭테이블!$F:$I,2,0)*K10056</f>
        <v/>
      </c>
      <c r="N10056" s="94">
        <f>M10056-M10056*VLOOKUP($Q10056,매칭테이블!$F:$I,3,0)</f>
        <v/>
      </c>
      <c r="O10056" s="94">
        <f>VLOOKUP($Q10056,매칭테이블!$F:$I,4,0)*K10056</f>
        <v/>
      </c>
      <c r="P10056" s="148">
        <f>M10056/1.1</f>
        <v/>
      </c>
      <c r="Q10056" s="94">
        <f>F10056&amp;E10056&amp;G10056&amp;L10056</f>
        <v/>
      </c>
    </row>
    <row r="10057" customFormat="1" s="94">
      <c r="B10057" s="128" t="n">
        <v>44118</v>
      </c>
      <c r="C10057" s="94">
        <f>TEXT(B10057,"aaa")</f>
        <v/>
      </c>
      <c r="E10057" s="94" t="inlineStr">
        <is>
          <t>마스크팩</t>
        </is>
      </c>
      <c r="F10057" s="5" t="inlineStr">
        <is>
          <t>카페24</t>
        </is>
      </c>
      <c r="G10057" s="94" t="inlineStr">
        <is>
          <t>마스크팩 1매</t>
        </is>
      </c>
      <c r="H10057" s="94" t="n">
        <v>200801</v>
      </c>
      <c r="I10057" s="94" t="n">
        <v>200801</v>
      </c>
      <c r="K10057" s="94" t="n">
        <v>5</v>
      </c>
      <c r="L10057" s="94" t="n">
        <v>200801</v>
      </c>
      <c r="M10057" s="94">
        <f>VLOOKUP($Q10057,매칭테이블!$F:$I,2,0)*K10057</f>
        <v/>
      </c>
      <c r="N10057" s="94">
        <f>M10057-M10057*VLOOKUP($Q10057,매칭테이블!$F:$I,3,0)</f>
        <v/>
      </c>
      <c r="O10057" s="94">
        <f>VLOOKUP($Q10057,매칭테이블!$F:$I,4,0)*K10057</f>
        <v/>
      </c>
      <c r="P10057" s="148">
        <f>M10057/1.1</f>
        <v/>
      </c>
      <c r="Q10057" s="94">
        <f>F10057&amp;E10057&amp;G10057&amp;L10057</f>
        <v/>
      </c>
    </row>
    <row r="10058" customFormat="1" s="94">
      <c r="B10058" s="128" t="n">
        <v>44118</v>
      </c>
      <c r="C10058" s="94">
        <f>TEXT(B10058,"aaa")</f>
        <v/>
      </c>
      <c r="E10058" s="94" t="inlineStr">
        <is>
          <t>마스크팩</t>
        </is>
      </c>
      <c r="F10058" s="5" t="inlineStr">
        <is>
          <t>카페24</t>
        </is>
      </c>
      <c r="G10058" s="94" t="inlineStr">
        <is>
          <t>마스크팩 10매</t>
        </is>
      </c>
      <c r="H10058" s="94" t="n">
        <v>200801</v>
      </c>
      <c r="I10058" s="94" t="n">
        <v>200801</v>
      </c>
      <c r="K10058" s="94" t="n">
        <v>5</v>
      </c>
      <c r="L10058" s="94" t="n">
        <v>200801</v>
      </c>
      <c r="M10058" s="94">
        <f>VLOOKUP($Q10058,매칭테이블!$F:$I,2,0)*K10058</f>
        <v/>
      </c>
      <c r="N10058" s="94">
        <f>M10058-M10058*VLOOKUP($Q10058,매칭테이블!$F:$I,3,0)</f>
        <v/>
      </c>
      <c r="O10058" s="94">
        <f>VLOOKUP($Q10058,매칭테이블!$F:$I,4,0)*K10058</f>
        <v/>
      </c>
      <c r="P10058" s="148">
        <f>M10058/1.1</f>
        <v/>
      </c>
      <c r="Q10058" s="94">
        <f>F10058&amp;E10058&amp;G10058&amp;L10058</f>
        <v/>
      </c>
    </row>
    <row r="10059" customFormat="1" s="94">
      <c r="B10059" s="128" t="n">
        <v>44118</v>
      </c>
      <c r="C10059" s="94">
        <f>TEXT(B10059,"aaa")</f>
        <v/>
      </c>
      <c r="E10059" s="94" t="inlineStr">
        <is>
          <t>토너</t>
        </is>
      </c>
      <c r="F10059" s="5" t="inlineStr">
        <is>
          <t>카페24</t>
        </is>
      </c>
      <c r="G10059" s="94" t="inlineStr">
        <is>
          <t>250ml</t>
        </is>
      </c>
      <c r="H10059" s="94" t="n">
        <v>200801</v>
      </c>
      <c r="I10059" s="94" t="n">
        <v>200801</v>
      </c>
      <c r="K10059" s="94" t="n">
        <v>31</v>
      </c>
      <c r="L10059" s="94" t="n">
        <v>200801</v>
      </c>
      <c r="M10059" s="94">
        <f>VLOOKUP($Q10059,매칭테이블!$F:$I,2,0)*K10059</f>
        <v/>
      </c>
      <c r="N10059" s="94">
        <f>M10059-M10059*VLOOKUP($Q10059,매칭테이블!$F:$I,3,0)</f>
        <v/>
      </c>
      <c r="O10059" s="94">
        <f>VLOOKUP($Q10059,매칭테이블!$F:$I,4,0)*K10059</f>
        <v/>
      </c>
      <c r="P10059" s="148">
        <f>M10059/1.1</f>
        <v/>
      </c>
      <c r="Q10059" s="94">
        <f>F10059&amp;E10059&amp;G10059&amp;L10059</f>
        <v/>
      </c>
    </row>
    <row r="10060" customFormat="1" s="94">
      <c r="B10060" s="128" t="n">
        <v>44118</v>
      </c>
      <c r="C10060" s="94">
        <f>TEXT(B10060,"aaa")</f>
        <v/>
      </c>
      <c r="E10060" s="94" t="inlineStr">
        <is>
          <t>토너</t>
        </is>
      </c>
      <c r="F10060" s="5" t="inlineStr">
        <is>
          <t>카페24</t>
        </is>
      </c>
      <c r="G10060" s="94" t="inlineStr">
        <is>
          <t>250ml 2set</t>
        </is>
      </c>
      <c r="H10060" s="94" t="n">
        <v>200801</v>
      </c>
      <c r="I10060" s="94" t="n">
        <v>200801</v>
      </c>
      <c r="K10060" s="94" t="n">
        <v>33</v>
      </c>
      <c r="L10060" s="94" t="n">
        <v>200801</v>
      </c>
      <c r="M10060" s="94">
        <f>VLOOKUP($Q10060,매칭테이블!$F:$I,2,0)*K10060</f>
        <v/>
      </c>
      <c r="N10060" s="94">
        <f>M10060-M10060*VLOOKUP($Q10060,매칭테이블!$F:$I,3,0)</f>
        <v/>
      </c>
      <c r="O10060" s="94">
        <f>VLOOKUP($Q10060,매칭테이블!$F:$I,4,0)*K10060</f>
        <v/>
      </c>
      <c r="P10060" s="148">
        <f>M10060/1.1</f>
        <v/>
      </c>
      <c r="Q10060" s="94">
        <f>F10060&amp;E10060&amp;G10060&amp;L10060</f>
        <v/>
      </c>
    </row>
    <row r="10061" customFormat="1" s="94">
      <c r="B10061" s="128" t="n">
        <v>44118</v>
      </c>
      <c r="C10061" s="94">
        <f>TEXT(B10061,"aaa")</f>
        <v/>
      </c>
      <c r="E10061" s="94" t="inlineStr">
        <is>
          <t>토너</t>
        </is>
      </c>
      <c r="F10061" s="5" t="inlineStr">
        <is>
          <t>카페24</t>
        </is>
      </c>
      <c r="G10061" s="94" t="inlineStr">
        <is>
          <t>500ml</t>
        </is>
      </c>
      <c r="H10061" s="94" t="n">
        <v>200801</v>
      </c>
      <c r="I10061" s="94" t="n">
        <v>200801</v>
      </c>
      <c r="K10061" s="94" t="n">
        <v>56</v>
      </c>
      <c r="L10061" s="94" t="n">
        <v>200801</v>
      </c>
      <c r="M10061" s="94">
        <f>VLOOKUP($Q10061,매칭테이블!$F:$I,2,0)*K10061</f>
        <v/>
      </c>
      <c r="N10061" s="94">
        <f>M10061-M10061*VLOOKUP($Q10061,매칭테이블!$F:$I,3,0)</f>
        <v/>
      </c>
      <c r="O10061" s="94">
        <f>VLOOKUP($Q10061,매칭테이블!$F:$I,4,0)*K10061</f>
        <v/>
      </c>
      <c r="P10061" s="148">
        <f>M10061/1.1</f>
        <v/>
      </c>
      <c r="Q10061" s="94">
        <f>F10061&amp;E10061&amp;G10061&amp;L10061</f>
        <v/>
      </c>
    </row>
    <row r="10062" customFormat="1" s="94">
      <c r="B10062" s="128" t="n">
        <v>44118</v>
      </c>
      <c r="C10062" s="94">
        <f>TEXT(B10062,"aaa")</f>
        <v/>
      </c>
      <c r="E10062" s="94" t="inlineStr">
        <is>
          <t>토너</t>
        </is>
      </c>
      <c r="F10062" s="5" t="inlineStr">
        <is>
          <t>카페24</t>
        </is>
      </c>
      <c r="G10062" s="94" t="inlineStr">
        <is>
          <t>스킨팩 화장솜 60P</t>
        </is>
      </c>
      <c r="H10062" s="94" t="n">
        <v>200801</v>
      </c>
      <c r="I10062" s="94" t="n">
        <v>200801</v>
      </c>
      <c r="K10062" s="94" t="n">
        <v>45</v>
      </c>
      <c r="L10062" s="94" t="n">
        <v>200801</v>
      </c>
      <c r="M10062" s="94">
        <f>VLOOKUP($Q10062,매칭테이블!$F:$I,2,0)*K10062</f>
        <v/>
      </c>
      <c r="N10062" s="94">
        <f>M10062-M10062*VLOOKUP($Q10062,매칭테이블!$F:$I,3,0)</f>
        <v/>
      </c>
      <c r="O10062" s="94">
        <f>VLOOKUP($Q10062,매칭테이블!$F:$I,4,0)*K10062</f>
        <v/>
      </c>
      <c r="P10062" s="148">
        <f>M10062/1.1</f>
        <v/>
      </c>
      <c r="Q10062" s="94">
        <f>F10062&amp;E10062&amp;G10062&amp;L10062</f>
        <v/>
      </c>
    </row>
    <row r="10063" customFormat="1" s="94">
      <c r="B10063" s="128" t="n">
        <v>44118</v>
      </c>
      <c r="C10063" s="94">
        <f>TEXT(B10063,"aaa")</f>
        <v/>
      </c>
      <c r="E10063" s="94" t="inlineStr">
        <is>
          <t>앰플</t>
        </is>
      </c>
      <c r="F10063" s="5" t="inlineStr">
        <is>
          <t>카페24</t>
        </is>
      </c>
      <c r="G10063" s="94" t="inlineStr">
        <is>
          <t>앰플 30ml</t>
        </is>
      </c>
      <c r="H10063" s="94" t="n">
        <v>200801</v>
      </c>
      <c r="I10063" s="94" t="n">
        <v>200801</v>
      </c>
      <c r="K10063" s="94" t="n">
        <v>27</v>
      </c>
      <c r="L10063" s="94" t="n">
        <v>200801</v>
      </c>
      <c r="M10063" s="94">
        <f>VLOOKUP($Q10063,매칭테이블!$F:$I,2,0)*K10063</f>
        <v/>
      </c>
      <c r="N10063" s="94">
        <f>M10063-M10063*VLOOKUP($Q10063,매칭테이블!$F:$I,3,0)</f>
        <v/>
      </c>
      <c r="O10063" s="94">
        <f>VLOOKUP($Q10063,매칭테이블!$F:$I,4,0)*K10063</f>
        <v/>
      </c>
      <c r="P10063" s="148">
        <f>M10063/1.1</f>
        <v/>
      </c>
      <c r="Q10063" s="94">
        <f>F10063&amp;E10063&amp;G10063&amp;L10063</f>
        <v/>
      </c>
    </row>
    <row r="10064" customFormat="1" s="94">
      <c r="B10064" s="128" t="n">
        <v>44118</v>
      </c>
      <c r="C10064" s="94">
        <f>TEXT(B10064,"aaa")</f>
        <v/>
      </c>
      <c r="E10064" s="94" t="inlineStr">
        <is>
          <t>앰플</t>
        </is>
      </c>
      <c r="F10064" s="5" t="inlineStr">
        <is>
          <t>카페24</t>
        </is>
      </c>
      <c r="G10064" s="94" t="inlineStr">
        <is>
          <t>앰플 30ml  2set</t>
        </is>
      </c>
      <c r="H10064" s="94" t="n">
        <v>200801</v>
      </c>
      <c r="I10064" s="94" t="n">
        <v>200801</v>
      </c>
      <c r="K10064" s="94" t="n">
        <v>1</v>
      </c>
      <c r="L10064" s="94" t="n">
        <v>200801</v>
      </c>
      <c r="M10064" s="94">
        <f>VLOOKUP($Q10064,매칭테이블!$F:$I,2,0)*K10064</f>
        <v/>
      </c>
      <c r="N10064" s="94">
        <f>M10064-M10064*VLOOKUP($Q10064,매칭테이블!$F:$I,3,0)</f>
        <v/>
      </c>
      <c r="O10064" s="94">
        <f>VLOOKUP($Q10064,매칭테이블!$F:$I,4,0)*K10064</f>
        <v/>
      </c>
      <c r="P10064" s="148">
        <f>M10064/1.1</f>
        <v/>
      </c>
      <c r="Q10064" s="94">
        <f>F10064&amp;E10064&amp;G10064&amp;L10064</f>
        <v/>
      </c>
    </row>
    <row r="10065" customFormat="1" s="94">
      <c r="B10065" s="128" t="n">
        <v>44118</v>
      </c>
      <c r="C10065" s="94">
        <f>TEXT(B10065,"aaa")</f>
        <v/>
      </c>
      <c r="E10065" s="94" t="inlineStr">
        <is>
          <t>수딩크림</t>
        </is>
      </c>
      <c r="F10065" s="5" t="inlineStr">
        <is>
          <t>카페24</t>
        </is>
      </c>
      <c r="G10065" s="94" t="inlineStr">
        <is>
          <t>수딩크림 100ml</t>
        </is>
      </c>
      <c r="H10065" s="94" t="n">
        <v>200801</v>
      </c>
      <c r="I10065" s="94" t="n">
        <v>200801</v>
      </c>
      <c r="K10065" s="94" t="n">
        <v>6</v>
      </c>
      <c r="L10065" s="94" t="n">
        <v>200801</v>
      </c>
      <c r="M10065" s="94">
        <f>VLOOKUP($Q10065,매칭테이블!$F:$I,2,0)*K10065</f>
        <v/>
      </c>
      <c r="N10065" s="94">
        <f>M10065-M10065*VLOOKUP($Q10065,매칭테이블!$F:$I,3,0)</f>
        <v/>
      </c>
      <c r="O10065" s="94">
        <f>VLOOKUP($Q10065,매칭테이블!$F:$I,4,0)*K10065</f>
        <v/>
      </c>
      <c r="P10065" s="148">
        <f>M10065/1.1</f>
        <v/>
      </c>
      <c r="Q10065" s="94">
        <f>F10065&amp;E10065&amp;G10065&amp;L10065</f>
        <v/>
      </c>
    </row>
    <row r="10066" customFormat="1" s="94">
      <c r="B10066" s="128" t="n">
        <v>44118</v>
      </c>
      <c r="C10066" s="94">
        <f>TEXT(B10066,"aaa")</f>
        <v/>
      </c>
      <c r="E10066" s="94" t="inlineStr">
        <is>
          <t>클렌징폼</t>
        </is>
      </c>
      <c r="F10066" s="5" t="inlineStr">
        <is>
          <t>카페24</t>
        </is>
      </c>
      <c r="G10066" s="94" t="inlineStr">
        <is>
          <t>클렌징폼 120ml</t>
        </is>
      </c>
      <c r="H10066" s="94" t="n">
        <v>200801</v>
      </c>
      <c r="I10066" s="94" t="n">
        <v>200801</v>
      </c>
      <c r="K10066" s="94" t="n">
        <v>7</v>
      </c>
      <c r="L10066" s="94" t="n">
        <v>200801</v>
      </c>
      <c r="M10066" s="94">
        <f>VLOOKUP($Q10066,매칭테이블!$F:$I,2,0)*K10066</f>
        <v/>
      </c>
      <c r="N10066" s="94">
        <f>M10066-M10066*VLOOKUP($Q10066,매칭테이블!$F:$I,3,0)</f>
        <v/>
      </c>
      <c r="O10066" s="94">
        <f>VLOOKUP($Q10066,매칭테이블!$F:$I,4,0)*K10066</f>
        <v/>
      </c>
      <c r="P10066" s="148">
        <f>M10066/1.1</f>
        <v/>
      </c>
      <c r="Q10066" s="94">
        <f>F10066&amp;E10066&amp;G10066&amp;L10066</f>
        <v/>
      </c>
    </row>
    <row r="10067" customFormat="1" s="94">
      <c r="B10067" s="128" t="n">
        <v>44118</v>
      </c>
      <c r="C10067" s="94">
        <f>TEXT(B10067,"aaa")</f>
        <v/>
      </c>
      <c r="E10067" s="94" t="inlineStr">
        <is>
          <t>클렌징폼</t>
        </is>
      </c>
      <c r="F10067" s="5" t="inlineStr">
        <is>
          <t>카페24</t>
        </is>
      </c>
      <c r="G10067" s="94" t="inlineStr">
        <is>
          <t>클렌징폼 120ml 3set</t>
        </is>
      </c>
      <c r="H10067" s="94" t="n">
        <v>200801</v>
      </c>
      <c r="I10067" s="94" t="n">
        <v>200801</v>
      </c>
      <c r="K10067" s="94" t="n">
        <v>2</v>
      </c>
      <c r="L10067" s="94" t="n">
        <v>200801</v>
      </c>
      <c r="M10067" s="94">
        <f>VLOOKUP($Q10067,매칭테이블!$F:$I,2,0)*K10067</f>
        <v/>
      </c>
      <c r="N10067" s="94">
        <f>M10067-M10067*VLOOKUP($Q10067,매칭테이블!$F:$I,3,0)</f>
        <v/>
      </c>
      <c r="O10067" s="94">
        <f>VLOOKUP($Q10067,매칭테이블!$F:$I,4,0)*K10067</f>
        <v/>
      </c>
      <c r="P10067" s="148">
        <f>M10067/1.1</f>
        <v/>
      </c>
      <c r="Q10067" s="94">
        <f>F10067&amp;E10067&amp;G10067&amp;L10067</f>
        <v/>
      </c>
    </row>
    <row r="10068" customFormat="1" s="94">
      <c r="B10068" s="128" t="n">
        <v>44118</v>
      </c>
      <c r="C10068" s="94">
        <f>TEXT(B10068,"aaa")</f>
        <v/>
      </c>
      <c r="E10068" s="94" t="inlineStr">
        <is>
          <t>바디워시</t>
        </is>
      </c>
      <c r="F10068" s="5" t="inlineStr">
        <is>
          <t>카페24</t>
        </is>
      </c>
      <c r="G10068" s="94" t="inlineStr">
        <is>
          <t>바디워시 1개 -30% off</t>
        </is>
      </c>
      <c r="H10068" s="94" t="n">
        <v>200801</v>
      </c>
      <c r="I10068" s="94" t="n">
        <v>200801</v>
      </c>
      <c r="K10068" s="94" t="n">
        <v>1</v>
      </c>
      <c r="L10068" s="94" t="n">
        <v>200801</v>
      </c>
      <c r="M10068" s="94">
        <f>VLOOKUP($Q10068,매칭테이블!$F:$I,2,0)*K10068</f>
        <v/>
      </c>
      <c r="N10068" s="94">
        <f>M10068-M10068*VLOOKUP($Q10068,매칭테이블!$F:$I,3,0)</f>
        <v/>
      </c>
      <c r="O10068" s="94">
        <f>VLOOKUP($Q10068,매칭테이블!$F:$I,4,0)*K10068</f>
        <v/>
      </c>
      <c r="P10068" s="148">
        <f>M10068/1.1</f>
        <v/>
      </c>
      <c r="Q10068" s="94">
        <f>F10068&amp;E10068&amp;G10068&amp;L10068</f>
        <v/>
      </c>
    </row>
    <row r="10069" customFormat="1" s="94">
      <c r="B10069" s="128" t="n">
        <v>44118</v>
      </c>
      <c r="C10069" s="94">
        <f>TEXT(B10069,"aaa")</f>
        <v/>
      </c>
      <c r="E10069" s="94" t="inlineStr">
        <is>
          <t>바디워시</t>
        </is>
      </c>
      <c r="F10069" s="5" t="inlineStr">
        <is>
          <t>카페24</t>
        </is>
      </c>
      <c r="G10069" s="94" t="inlineStr">
        <is>
          <t>바디워시 2개 -35% off (무료배송)</t>
        </is>
      </c>
      <c r="H10069" s="94" t="n">
        <v>200801</v>
      </c>
      <c r="I10069" s="94" t="n">
        <v>200801</v>
      </c>
      <c r="K10069" s="94" t="n">
        <v>1</v>
      </c>
      <c r="L10069" s="94" t="n">
        <v>200801</v>
      </c>
      <c r="M10069" s="94">
        <f>VLOOKUP($Q10069,매칭테이블!$F:$I,2,0)*K10069</f>
        <v/>
      </c>
      <c r="N10069" s="94">
        <f>M10069-M10069*VLOOKUP($Q10069,매칭테이블!$F:$I,3,0)</f>
        <v/>
      </c>
      <c r="O10069" s="94">
        <f>VLOOKUP($Q10069,매칭테이블!$F:$I,4,0)*K10069</f>
        <v/>
      </c>
      <c r="P10069" s="148">
        <f>M10069/1.1</f>
        <v/>
      </c>
      <c r="Q10069" s="94">
        <f>F10069&amp;E10069&amp;G10069&amp;L10069</f>
        <v/>
      </c>
    </row>
    <row r="10070" customFormat="1" s="94">
      <c r="B10070" s="128" t="n">
        <v>44118</v>
      </c>
      <c r="C10070" s="94">
        <f>TEXT(B10070,"aaa")</f>
        <v/>
      </c>
      <c r="E10070" s="94" t="inlineStr">
        <is>
          <t>토너</t>
        </is>
      </c>
      <c r="F10070" s="5" t="inlineStr">
        <is>
          <t>화해</t>
        </is>
      </c>
      <c r="G10070" s="94" t="inlineStr">
        <is>
          <t>250ml</t>
        </is>
      </c>
      <c r="H10070" s="94" t="n">
        <v>200801</v>
      </c>
      <c r="I10070" s="94" t="n">
        <v>200801</v>
      </c>
      <c r="K10070" s="94" t="n">
        <v>2</v>
      </c>
      <c r="L10070" s="94" t="n">
        <v>200801</v>
      </c>
      <c r="M10070" s="94">
        <f>VLOOKUP($Q10070,매칭테이블!$F:$I,2,0)*K10070</f>
        <v/>
      </c>
      <c r="N10070" s="94">
        <f>M10070-M10070*VLOOKUP($Q10070,매칭테이블!$F:$I,3,0)</f>
        <v/>
      </c>
      <c r="O10070" s="94">
        <f>VLOOKUP($Q10070,매칭테이블!$F:$I,4,0)*K10070</f>
        <v/>
      </c>
      <c r="P10070" s="148">
        <f>M10070/1.1</f>
        <v/>
      </c>
      <c r="Q10070" s="94">
        <f>F10070&amp;E10070&amp;G10070&amp;L10070</f>
        <v/>
      </c>
    </row>
    <row r="10071">
      <c r="A10071" s="94" t="n"/>
      <c r="B10071" s="128" t="n">
        <v>44119</v>
      </c>
      <c r="C10071" s="94">
        <f>TEXT(B10071,"aaa")</f>
        <v/>
      </c>
      <c r="D10071" s="94" t="n"/>
      <c r="E10071" s="94" t="inlineStr">
        <is>
          <t>토너</t>
        </is>
      </c>
      <c r="F10071" s="5" t="inlineStr">
        <is>
          <t>스타일쉐어</t>
        </is>
      </c>
      <c r="G10071" s="94" t="inlineStr">
        <is>
          <t>250ml</t>
        </is>
      </c>
      <c r="H10071" s="94" t="n">
        <v>200801</v>
      </c>
      <c r="I10071" s="94" t="n">
        <v>200801</v>
      </c>
      <c r="J10071" s="94" t="n"/>
      <c r="K10071" s="94" t="n">
        <v>6</v>
      </c>
      <c r="L10071" s="94" t="n">
        <v>200801</v>
      </c>
      <c r="M10071" s="94">
        <f>VLOOKUP($Q10071,매칭테이블!$F:$I,2,0)*K10071</f>
        <v/>
      </c>
      <c r="N10071" s="94">
        <f>M10071-M10071*VLOOKUP($Q10071,매칭테이블!$F:$I,3,0)</f>
        <v/>
      </c>
      <c r="O10071" s="94">
        <f>VLOOKUP($Q10071,매칭테이블!$F:$I,4,0)*K10071</f>
        <v/>
      </c>
      <c r="P10071" s="148">
        <f>M10071/1.1</f>
        <v/>
      </c>
      <c r="Q10071" s="94">
        <f>F10071&amp;E10071&amp;G10071&amp;L10071</f>
        <v/>
      </c>
    </row>
    <row r="10072">
      <c r="A10072" s="94" t="n"/>
      <c r="B10072" s="128" t="n">
        <v>44119</v>
      </c>
      <c r="C10072" s="94">
        <f>TEXT(B10072,"aaa")</f>
        <v/>
      </c>
      <c r="D10072" s="94" t="n"/>
      <c r="E10072" s="94" t="inlineStr">
        <is>
          <t>토너</t>
        </is>
      </c>
      <c r="F10072" s="5" t="inlineStr">
        <is>
          <t>W컨셉</t>
        </is>
      </c>
      <c r="G10072" s="94" t="inlineStr">
        <is>
          <t>250ml</t>
        </is>
      </c>
      <c r="H10072" s="94" t="n">
        <v>200801</v>
      </c>
      <c r="I10072" s="94" t="n">
        <v>200801</v>
      </c>
      <c r="J10072" s="94" t="n"/>
      <c r="K10072" s="94" t="n">
        <v>3</v>
      </c>
      <c r="L10072" s="94" t="n">
        <v>200801</v>
      </c>
      <c r="M10072" s="94">
        <f>VLOOKUP($Q10072,매칭테이블!$F:$I,2,0)*K10072</f>
        <v/>
      </c>
      <c r="N10072" s="94">
        <f>M10072-M10072*VLOOKUP($Q10072,매칭테이블!$F:$I,3,0)</f>
        <v/>
      </c>
      <c r="O10072" s="94">
        <f>VLOOKUP($Q10072,매칭테이블!$F:$I,4,0)*K10072</f>
        <v/>
      </c>
      <c r="P10072" s="148">
        <f>M10072/1.1</f>
        <v/>
      </c>
      <c r="Q10072" s="94">
        <f>F10072&amp;E10072&amp;G10072&amp;L10072</f>
        <v/>
      </c>
    </row>
    <row r="10073">
      <c r="A10073" s="94" t="n"/>
      <c r="B10073" s="128" t="n">
        <v>44119</v>
      </c>
      <c r="C10073" s="94">
        <f>TEXT(B10073,"aaa")</f>
        <v/>
      </c>
      <c r="D10073" s="94" t="n"/>
      <c r="E10073" s="94" t="inlineStr">
        <is>
          <t>토너</t>
        </is>
      </c>
      <c r="F10073" s="5" t="inlineStr">
        <is>
          <t>W컨셉</t>
        </is>
      </c>
      <c r="G10073" s="94" t="inlineStr">
        <is>
          <t>250ml 2set</t>
        </is>
      </c>
      <c r="H10073" s="94" t="n">
        <v>200801</v>
      </c>
      <c r="I10073" s="94" t="n">
        <v>200801</v>
      </c>
      <c r="J10073" s="94" t="n"/>
      <c r="K10073" s="94" t="n">
        <v>11</v>
      </c>
      <c r="L10073" s="94" t="n">
        <v>200801</v>
      </c>
      <c r="M10073" s="94">
        <f>VLOOKUP($Q10073,매칭테이블!$F:$I,2,0)*K10073</f>
        <v/>
      </c>
      <c r="N10073" s="94">
        <f>M10073-M10073*VLOOKUP($Q10073,매칭테이블!$F:$I,3,0)</f>
        <v/>
      </c>
      <c r="O10073" s="94">
        <f>VLOOKUP($Q10073,매칭테이블!$F:$I,4,0)*K10073</f>
        <v/>
      </c>
      <c r="P10073" s="148">
        <f>M10073/1.1</f>
        <v/>
      </c>
      <c r="Q10073" s="94">
        <f>F10073&amp;E10073&amp;G10073&amp;L10073</f>
        <v/>
      </c>
    </row>
    <row r="10074">
      <c r="A10074" s="94" t="n"/>
      <c r="B10074" s="128" t="n">
        <v>44119</v>
      </c>
      <c r="C10074" s="94">
        <f>TEXT(B10074,"aaa")</f>
        <v/>
      </c>
      <c r="D10074" s="94" t="n"/>
      <c r="E10074" s="94" t="inlineStr">
        <is>
          <t>선크림</t>
        </is>
      </c>
      <c r="F10074" s="5" t="inlineStr">
        <is>
          <t>카페24</t>
        </is>
      </c>
      <c r="G10074" s="94" t="inlineStr">
        <is>
          <t>선크림 50ml</t>
        </is>
      </c>
      <c r="H10074" s="94" t="n">
        <v>200801</v>
      </c>
      <c r="I10074" s="94" t="n">
        <v>200801</v>
      </c>
      <c r="J10074" s="94" t="n"/>
      <c r="K10074" s="94" t="n">
        <v>3</v>
      </c>
      <c r="L10074" s="94" t="n">
        <v>200801</v>
      </c>
      <c r="M10074" s="94">
        <f>VLOOKUP($Q10074,매칭테이블!$F:$I,2,0)*K10074</f>
        <v/>
      </c>
      <c r="N10074" s="94">
        <f>M10074-M10074*VLOOKUP($Q10074,매칭테이블!$F:$I,3,0)</f>
        <v/>
      </c>
      <c r="O10074" s="94">
        <f>VLOOKUP($Q10074,매칭테이블!$F:$I,4,0)*K10074</f>
        <v/>
      </c>
      <c r="P10074" s="148">
        <f>M10074/1.1</f>
        <v/>
      </c>
      <c r="Q10074" s="94">
        <f>F10074&amp;E10074&amp;G10074&amp;L10074</f>
        <v/>
      </c>
    </row>
    <row r="10075">
      <c r="A10075" s="94" t="n"/>
      <c r="B10075" s="128" t="n">
        <v>44119</v>
      </c>
      <c r="C10075" s="94">
        <f>TEXT(B10075,"aaa")</f>
        <v/>
      </c>
      <c r="D10075" s="94" t="n"/>
      <c r="E10075" s="94" t="inlineStr">
        <is>
          <t>선크림</t>
        </is>
      </c>
      <c r="F10075" s="5" t="inlineStr">
        <is>
          <t>카페24</t>
        </is>
      </c>
      <c r="G10075" s="94" t="inlineStr">
        <is>
          <t>선크림 50ml  2set</t>
        </is>
      </c>
      <c r="H10075" s="94" t="n">
        <v>200801</v>
      </c>
      <c r="I10075" s="94" t="n">
        <v>200801</v>
      </c>
      <c r="J10075" s="94" t="n"/>
      <c r="K10075" s="94" t="n">
        <v>2</v>
      </c>
      <c r="L10075" s="94" t="n">
        <v>200801</v>
      </c>
      <c r="M10075" s="94">
        <f>VLOOKUP($Q10075,매칭테이블!$F:$I,2,0)*K10075</f>
        <v/>
      </c>
      <c r="N10075" s="94">
        <f>M10075-M10075*VLOOKUP($Q10075,매칭테이블!$F:$I,3,0)</f>
        <v/>
      </c>
      <c r="O10075" s="94">
        <f>VLOOKUP($Q10075,매칭테이블!$F:$I,4,0)*K10075</f>
        <v/>
      </c>
      <c r="P10075" s="148">
        <f>M10075/1.1</f>
        <v/>
      </c>
      <c r="Q10075" s="94">
        <f>F10075&amp;E10075&amp;G10075&amp;L10075</f>
        <v/>
      </c>
    </row>
    <row r="10076">
      <c r="A10076" s="94" t="n"/>
      <c r="B10076" s="128" t="n">
        <v>44119</v>
      </c>
      <c r="C10076" s="94">
        <f>TEXT(B10076,"aaa")</f>
        <v/>
      </c>
      <c r="D10076" s="94" t="n"/>
      <c r="E10076" s="94" t="inlineStr">
        <is>
          <t>어성초진정패키지</t>
        </is>
      </c>
      <c r="F10076" s="5" t="inlineStr">
        <is>
          <t>카페24</t>
        </is>
      </c>
      <c r="G10076" s="94" t="inlineStr">
        <is>
          <t>어성초 진정패키지세트</t>
        </is>
      </c>
      <c r="H10076" s="94" t="n">
        <v>200801</v>
      </c>
      <c r="I10076" s="94" t="n">
        <v>200801</v>
      </c>
      <c r="J10076" s="94" t="n"/>
      <c r="K10076" s="94" t="n">
        <v>4</v>
      </c>
      <c r="L10076" s="94" t="n">
        <v>200801</v>
      </c>
      <c r="M10076" s="94">
        <f>VLOOKUP($Q10076,매칭테이블!$F:$I,2,0)*K10076</f>
        <v/>
      </c>
      <c r="N10076" s="94">
        <f>M10076-M10076*VLOOKUP($Q10076,매칭테이블!$F:$I,3,0)</f>
        <v/>
      </c>
      <c r="O10076" s="94">
        <f>VLOOKUP($Q10076,매칭테이블!$F:$I,4,0)*K10076</f>
        <v/>
      </c>
      <c r="P10076" s="148">
        <f>M10076/1.1</f>
        <v/>
      </c>
      <c r="Q10076" s="94">
        <f>F10076&amp;E10076&amp;G10076&amp;L10076</f>
        <v/>
      </c>
    </row>
    <row r="10077">
      <c r="A10077" s="94" t="n"/>
      <c r="B10077" s="128" t="n">
        <v>44119</v>
      </c>
      <c r="C10077" s="94">
        <f>TEXT(B10077,"aaa")</f>
        <v/>
      </c>
      <c r="D10077" s="94" t="n"/>
      <c r="E10077" s="94" t="inlineStr">
        <is>
          <t>수분 보충 세트</t>
        </is>
      </c>
      <c r="F10077" s="5" t="inlineStr">
        <is>
          <t>카페24</t>
        </is>
      </c>
      <c r="G10077" s="94" t="inlineStr">
        <is>
          <t>[20/09/28 부터] 어성초 77 토너 250ml + 어성초 70 로션 200ml -30%</t>
        </is>
      </c>
      <c r="H10077" s="94" t="n">
        <v>200801</v>
      </c>
      <c r="I10077" s="94" t="n">
        <v>200801</v>
      </c>
      <c r="J10077" s="94" t="n"/>
      <c r="K10077" s="94" t="n">
        <v>35</v>
      </c>
      <c r="L10077" s="94" t="n">
        <v>200801</v>
      </c>
      <c r="M10077" s="94">
        <f>VLOOKUP($Q10077,매칭테이블!$F:$I,2,0)*K10077</f>
        <v/>
      </c>
      <c r="N10077" s="94">
        <f>M10077-M10077*VLOOKUP($Q10077,매칭테이블!$F:$I,3,0)</f>
        <v/>
      </c>
      <c r="O10077" s="94">
        <f>VLOOKUP($Q10077,매칭테이블!$F:$I,4,0)*K10077</f>
        <v/>
      </c>
      <c r="P10077" s="148">
        <f>M10077/1.1</f>
        <v/>
      </c>
      <c r="Q10077" s="94">
        <f>F10077&amp;E10077&amp;G10077&amp;L10077</f>
        <v/>
      </c>
    </row>
    <row r="10078">
      <c r="A10078" s="94" t="n"/>
      <c r="B10078" s="128" t="n">
        <v>44119</v>
      </c>
      <c r="C10078" s="94">
        <f>TEXT(B10078,"aaa")</f>
        <v/>
      </c>
      <c r="D10078" s="94" t="n"/>
      <c r="E10078" s="94" t="inlineStr">
        <is>
          <t>로션</t>
        </is>
      </c>
      <c r="F10078" s="5" t="inlineStr">
        <is>
          <t>카페24</t>
        </is>
      </c>
      <c r="G10078" s="94" t="inlineStr">
        <is>
          <t>어성초 70 데일리 릴리프 로션 1개 -20% off</t>
        </is>
      </c>
      <c r="H10078" s="94" t="n">
        <v>200801</v>
      </c>
      <c r="I10078" s="94" t="n">
        <v>200801</v>
      </c>
      <c r="J10078" s="94" t="n"/>
      <c r="K10078" s="94" t="n">
        <v>5</v>
      </c>
      <c r="L10078" s="94" t="n">
        <v>200801</v>
      </c>
      <c r="M10078" s="94">
        <f>VLOOKUP($Q10078,매칭테이블!$F:$I,2,0)*K10078</f>
        <v/>
      </c>
      <c r="N10078" s="94">
        <f>M10078-M10078*VLOOKUP($Q10078,매칭테이블!$F:$I,3,0)</f>
        <v/>
      </c>
      <c r="O10078" s="94">
        <f>VLOOKUP($Q10078,매칭테이블!$F:$I,4,0)*K10078</f>
        <v/>
      </c>
      <c r="P10078" s="148">
        <f>M10078/1.1</f>
        <v/>
      </c>
      <c r="Q10078" s="94">
        <f>F10078&amp;E10078&amp;G10078&amp;L10078</f>
        <v/>
      </c>
    </row>
    <row r="10079">
      <c r="A10079" s="94" t="n"/>
      <c r="B10079" s="128" t="n">
        <v>44119</v>
      </c>
      <c r="C10079" s="94">
        <f>TEXT(B10079,"aaa")</f>
        <v/>
      </c>
      <c r="D10079" s="94" t="n"/>
      <c r="E10079" s="94" t="inlineStr">
        <is>
          <t>머드크림마스크</t>
        </is>
      </c>
      <c r="F10079" s="5" t="inlineStr">
        <is>
          <t>카페24</t>
        </is>
      </c>
      <c r="G10079" s="94" t="inlineStr">
        <is>
          <t>머드크림마스크 100ml</t>
        </is>
      </c>
      <c r="H10079" s="94" t="n">
        <v>200801</v>
      </c>
      <c r="I10079" s="94" t="n">
        <v>200801</v>
      </c>
      <c r="J10079" s="94" t="n"/>
      <c r="K10079" s="94" t="n">
        <v>13</v>
      </c>
      <c r="L10079" s="94" t="n">
        <v>200801</v>
      </c>
      <c r="M10079" s="94">
        <f>VLOOKUP($Q10079,매칭테이블!$F:$I,2,0)*K10079</f>
        <v/>
      </c>
      <c r="N10079" s="94">
        <f>M10079-M10079*VLOOKUP($Q10079,매칭테이블!$F:$I,3,0)</f>
        <v/>
      </c>
      <c r="O10079" s="94">
        <f>VLOOKUP($Q10079,매칭테이블!$F:$I,4,0)*K10079</f>
        <v/>
      </c>
      <c r="P10079" s="148">
        <f>M10079/1.1</f>
        <v/>
      </c>
      <c r="Q10079" s="94">
        <f>F10079&amp;E10079&amp;G10079&amp;L10079</f>
        <v/>
      </c>
    </row>
    <row r="10080">
      <c r="A10080" s="94" t="n"/>
      <c r="B10080" s="128" t="n">
        <v>44119</v>
      </c>
      <c r="C10080" s="94">
        <f>TEXT(B10080,"aaa")</f>
        <v/>
      </c>
      <c r="D10080" s="94" t="n"/>
      <c r="E10080" s="94" t="inlineStr">
        <is>
          <t>머드크림마스크</t>
        </is>
      </c>
      <c r="F10080" s="5" t="inlineStr">
        <is>
          <t>카페24</t>
        </is>
      </c>
      <c r="G10080" s="94" t="inlineStr">
        <is>
          <t>머드크림마스크 100ml 2set</t>
        </is>
      </c>
      <c r="H10080" s="94" t="n">
        <v>200801</v>
      </c>
      <c r="I10080" s="94" t="n">
        <v>200801</v>
      </c>
      <c r="J10080" s="94" t="n"/>
      <c r="K10080" s="94" t="n">
        <v>4</v>
      </c>
      <c r="L10080" s="94" t="n">
        <v>200801</v>
      </c>
      <c r="M10080" s="94">
        <f>VLOOKUP($Q10080,매칭테이블!$F:$I,2,0)*K10080</f>
        <v/>
      </c>
      <c r="N10080" s="94">
        <f>M10080-M10080*VLOOKUP($Q10080,매칭테이블!$F:$I,3,0)</f>
        <v/>
      </c>
      <c r="O10080" s="94">
        <f>VLOOKUP($Q10080,매칭테이블!$F:$I,4,0)*K10080</f>
        <v/>
      </c>
      <c r="P10080" s="148">
        <f>M10080/1.1</f>
        <v/>
      </c>
      <c r="Q10080" s="94">
        <f>F10080&amp;E10080&amp;G10080&amp;L10080</f>
        <v/>
      </c>
    </row>
    <row r="10081">
      <c r="A10081" s="94" t="n"/>
      <c r="B10081" s="128" t="n">
        <v>44119</v>
      </c>
      <c r="C10081" s="94">
        <f>TEXT(B10081,"aaa")</f>
        <v/>
      </c>
      <c r="D10081" s="94" t="n"/>
      <c r="E10081" s="94" t="inlineStr">
        <is>
          <t>마스크팩</t>
        </is>
      </c>
      <c r="F10081" s="5" t="inlineStr">
        <is>
          <t>카페24</t>
        </is>
      </c>
      <c r="G10081" s="94" t="inlineStr">
        <is>
          <t>마스크팩 10매</t>
        </is>
      </c>
      <c r="H10081" s="94" t="n">
        <v>200801</v>
      </c>
      <c r="I10081" s="94" t="n">
        <v>200801</v>
      </c>
      <c r="J10081" s="94" t="n"/>
      <c r="K10081" s="94" t="n">
        <v>5</v>
      </c>
      <c r="L10081" s="94" t="n">
        <v>200801</v>
      </c>
      <c r="M10081" s="94">
        <f>VLOOKUP($Q10081,매칭테이블!$F:$I,2,0)*K10081</f>
        <v/>
      </c>
      <c r="N10081" s="94">
        <f>M10081-M10081*VLOOKUP($Q10081,매칭테이블!$F:$I,3,0)</f>
        <v/>
      </c>
      <c r="O10081" s="94">
        <f>VLOOKUP($Q10081,매칭테이블!$F:$I,4,0)*K10081</f>
        <v/>
      </c>
      <c r="P10081" s="148">
        <f>M10081/1.1</f>
        <v/>
      </c>
      <c r="Q10081" s="94">
        <f>F10081&amp;E10081&amp;G10081&amp;L10081</f>
        <v/>
      </c>
    </row>
    <row r="10082">
      <c r="A10082" s="94" t="n"/>
      <c r="B10082" s="128" t="n">
        <v>44119</v>
      </c>
      <c r="C10082" s="94">
        <f>TEXT(B10082,"aaa")</f>
        <v/>
      </c>
      <c r="D10082" s="94" t="n"/>
      <c r="E10082" s="94" t="inlineStr">
        <is>
          <t>토너</t>
        </is>
      </c>
      <c r="F10082" s="5" t="inlineStr">
        <is>
          <t>카페24</t>
        </is>
      </c>
      <c r="G10082" s="94" t="inlineStr">
        <is>
          <t>250ml</t>
        </is>
      </c>
      <c r="H10082" s="94" t="n">
        <v>200801</v>
      </c>
      <c r="I10082" s="94" t="n">
        <v>200801</v>
      </c>
      <c r="J10082" s="94" t="n"/>
      <c r="K10082" s="94" t="n">
        <v>20</v>
      </c>
      <c r="L10082" s="94" t="n">
        <v>200801</v>
      </c>
      <c r="M10082" s="94">
        <f>VLOOKUP($Q10082,매칭테이블!$F:$I,2,0)*K10082</f>
        <v/>
      </c>
      <c r="N10082" s="94">
        <f>M10082-M10082*VLOOKUP($Q10082,매칭테이블!$F:$I,3,0)</f>
        <v/>
      </c>
      <c r="O10082" s="94">
        <f>VLOOKUP($Q10082,매칭테이블!$F:$I,4,0)*K10082</f>
        <v/>
      </c>
      <c r="P10082" s="148">
        <f>M10082/1.1</f>
        <v/>
      </c>
      <c r="Q10082" s="94">
        <f>F10082&amp;E10082&amp;G10082&amp;L10082</f>
        <v/>
      </c>
    </row>
    <row r="10083">
      <c r="A10083" s="94" t="n"/>
      <c r="B10083" s="128" t="n">
        <v>44119</v>
      </c>
      <c r="C10083" s="94">
        <f>TEXT(B10083,"aaa")</f>
        <v/>
      </c>
      <c r="D10083" s="94" t="n"/>
      <c r="E10083" s="94" t="inlineStr">
        <is>
          <t>토너</t>
        </is>
      </c>
      <c r="F10083" s="5" t="inlineStr">
        <is>
          <t>카페24</t>
        </is>
      </c>
      <c r="G10083" s="94" t="inlineStr">
        <is>
          <t>250ml 2set</t>
        </is>
      </c>
      <c r="H10083" s="94" t="n">
        <v>200801</v>
      </c>
      <c r="I10083" s="94" t="n">
        <v>200801</v>
      </c>
      <c r="J10083" s="94" t="n"/>
      <c r="K10083" s="94" t="n">
        <v>26</v>
      </c>
      <c r="L10083" s="94" t="n">
        <v>200801</v>
      </c>
      <c r="M10083" s="94">
        <f>VLOOKUP($Q10083,매칭테이블!$F:$I,2,0)*K10083</f>
        <v/>
      </c>
      <c r="N10083" s="94">
        <f>M10083-M10083*VLOOKUP($Q10083,매칭테이블!$F:$I,3,0)</f>
        <v/>
      </c>
      <c r="O10083" s="94">
        <f>VLOOKUP($Q10083,매칭테이블!$F:$I,4,0)*K10083</f>
        <v/>
      </c>
      <c r="P10083" s="148">
        <f>M10083/1.1</f>
        <v/>
      </c>
      <c r="Q10083" s="94">
        <f>F10083&amp;E10083&amp;G10083&amp;L10083</f>
        <v/>
      </c>
    </row>
    <row r="10084">
      <c r="A10084" s="94" t="n"/>
      <c r="B10084" s="128" t="n">
        <v>44119</v>
      </c>
      <c r="C10084" s="94">
        <f>TEXT(B10084,"aaa")</f>
        <v/>
      </c>
      <c r="D10084" s="94" t="n"/>
      <c r="E10084" s="94" t="inlineStr">
        <is>
          <t>토너</t>
        </is>
      </c>
      <c r="F10084" s="5" t="inlineStr">
        <is>
          <t>카페24</t>
        </is>
      </c>
      <c r="G10084" s="94" t="inlineStr">
        <is>
          <t>500ml</t>
        </is>
      </c>
      <c r="H10084" s="94" t="n">
        <v>200801</v>
      </c>
      <c r="I10084" s="94" t="n">
        <v>200801</v>
      </c>
      <c r="J10084" s="94" t="n"/>
      <c r="K10084" s="94" t="n">
        <v>38</v>
      </c>
      <c r="L10084" s="94" t="n">
        <v>200801</v>
      </c>
      <c r="M10084" s="94">
        <f>VLOOKUP($Q10084,매칭테이블!$F:$I,2,0)*K10084</f>
        <v/>
      </c>
      <c r="N10084" s="94">
        <f>M10084-M10084*VLOOKUP($Q10084,매칭테이블!$F:$I,3,0)</f>
        <v/>
      </c>
      <c r="O10084" s="94">
        <f>VLOOKUP($Q10084,매칭테이블!$F:$I,4,0)*K10084</f>
        <v/>
      </c>
      <c r="P10084" s="148">
        <f>M10084/1.1</f>
        <v/>
      </c>
      <c r="Q10084" s="94">
        <f>F10084&amp;E10084&amp;G10084&amp;L10084</f>
        <v/>
      </c>
    </row>
    <row r="10085">
      <c r="A10085" s="94" t="n"/>
      <c r="B10085" s="128" t="n">
        <v>44119</v>
      </c>
      <c r="C10085" s="94">
        <f>TEXT(B10085,"aaa")</f>
        <v/>
      </c>
      <c r="D10085" s="94" t="n"/>
      <c r="E10085" s="94" t="inlineStr">
        <is>
          <t>토너</t>
        </is>
      </c>
      <c r="F10085" s="5" t="inlineStr">
        <is>
          <t>카페24</t>
        </is>
      </c>
      <c r="G10085" s="94" t="inlineStr">
        <is>
          <t>스킨팩 화장솜 60P</t>
        </is>
      </c>
      <c r="H10085" s="94" t="n">
        <v>200801</v>
      </c>
      <c r="I10085" s="94" t="n">
        <v>200801</v>
      </c>
      <c r="J10085" s="94" t="n"/>
      <c r="K10085" s="94" t="n">
        <v>14</v>
      </c>
      <c r="L10085" s="94" t="n">
        <v>200801</v>
      </c>
      <c r="M10085" s="94">
        <f>VLOOKUP($Q10085,매칭테이블!$F:$I,2,0)*K10085</f>
        <v/>
      </c>
      <c r="N10085" s="94">
        <f>M10085-M10085*VLOOKUP($Q10085,매칭테이블!$F:$I,3,0)</f>
        <v/>
      </c>
      <c r="O10085" s="94">
        <f>VLOOKUP($Q10085,매칭테이블!$F:$I,4,0)*K10085</f>
        <v/>
      </c>
      <c r="P10085" s="148">
        <f>M10085/1.1</f>
        <v/>
      </c>
      <c r="Q10085" s="94">
        <f>F10085&amp;E10085&amp;G10085&amp;L10085</f>
        <v/>
      </c>
    </row>
    <row r="10086">
      <c r="A10086" s="94" t="n"/>
      <c r="B10086" s="128" t="n">
        <v>44119</v>
      </c>
      <c r="C10086" s="94">
        <f>TEXT(B10086,"aaa")</f>
        <v/>
      </c>
      <c r="D10086" s="94" t="n"/>
      <c r="E10086" s="94" t="inlineStr">
        <is>
          <t>앰플</t>
        </is>
      </c>
      <c r="F10086" s="5" t="inlineStr">
        <is>
          <t>카페24</t>
        </is>
      </c>
      <c r="G10086" s="94" t="inlineStr">
        <is>
          <t>앰플 30ml</t>
        </is>
      </c>
      <c r="H10086" s="94" t="n">
        <v>200801</v>
      </c>
      <c r="I10086" s="94" t="n">
        <v>200801</v>
      </c>
      <c r="J10086" s="94" t="n"/>
      <c r="K10086" s="94" t="n">
        <v>11</v>
      </c>
      <c r="L10086" s="94" t="n">
        <v>200801</v>
      </c>
      <c r="M10086" s="94">
        <f>VLOOKUP($Q10086,매칭테이블!$F:$I,2,0)*K10086</f>
        <v/>
      </c>
      <c r="N10086" s="94">
        <f>M10086-M10086*VLOOKUP($Q10086,매칭테이블!$F:$I,3,0)</f>
        <v/>
      </c>
      <c r="O10086" s="94">
        <f>VLOOKUP($Q10086,매칭테이블!$F:$I,4,0)*K10086</f>
        <v/>
      </c>
      <c r="P10086" s="148">
        <f>M10086/1.1</f>
        <v/>
      </c>
      <c r="Q10086" s="94">
        <f>F10086&amp;E10086&amp;G10086&amp;L10086</f>
        <v/>
      </c>
    </row>
    <row r="10087">
      <c r="A10087" s="94" t="n"/>
      <c r="B10087" s="128" t="n">
        <v>44119</v>
      </c>
      <c r="C10087" s="94">
        <f>TEXT(B10087,"aaa")</f>
        <v/>
      </c>
      <c r="D10087" s="94" t="n"/>
      <c r="E10087" s="94" t="inlineStr">
        <is>
          <t>앰플</t>
        </is>
      </c>
      <c r="F10087" s="5" t="inlineStr">
        <is>
          <t>카페24</t>
        </is>
      </c>
      <c r="G10087" s="94" t="inlineStr">
        <is>
          <t>앰플 30ml  2set</t>
        </is>
      </c>
      <c r="H10087" s="94" t="n">
        <v>200801</v>
      </c>
      <c r="I10087" s="94" t="n">
        <v>200801</v>
      </c>
      <c r="J10087" s="94" t="n"/>
      <c r="K10087" s="94" t="n">
        <v>7</v>
      </c>
      <c r="L10087" s="94" t="n">
        <v>200801</v>
      </c>
      <c r="M10087" s="94">
        <f>VLOOKUP($Q10087,매칭테이블!$F:$I,2,0)*K10087</f>
        <v/>
      </c>
      <c r="N10087" s="94">
        <f>M10087-M10087*VLOOKUP($Q10087,매칭테이블!$F:$I,3,0)</f>
        <v/>
      </c>
      <c r="O10087" s="94">
        <f>VLOOKUP($Q10087,매칭테이블!$F:$I,4,0)*K10087</f>
        <v/>
      </c>
      <c r="P10087" s="148">
        <f>M10087/1.1</f>
        <v/>
      </c>
      <c r="Q10087" s="94">
        <f>F10087&amp;E10087&amp;G10087&amp;L10087</f>
        <v/>
      </c>
    </row>
    <row r="10088">
      <c r="A10088" s="94" t="n"/>
      <c r="B10088" s="128" t="n">
        <v>44119</v>
      </c>
      <c r="C10088" s="94">
        <f>TEXT(B10088,"aaa")</f>
        <v/>
      </c>
      <c r="D10088" s="94" t="n"/>
      <c r="E10088" s="94" t="inlineStr">
        <is>
          <t>수딩크림</t>
        </is>
      </c>
      <c r="F10088" s="5" t="inlineStr">
        <is>
          <t>카페24</t>
        </is>
      </c>
      <c r="G10088" s="94" t="inlineStr">
        <is>
          <t>수딩크림 100ml</t>
        </is>
      </c>
      <c r="H10088" s="94" t="n">
        <v>200801</v>
      </c>
      <c r="I10088" s="94" t="n">
        <v>200801</v>
      </c>
      <c r="J10088" s="94" t="n"/>
      <c r="K10088" s="94" t="n">
        <v>2</v>
      </c>
      <c r="L10088" s="94" t="n">
        <v>200801</v>
      </c>
      <c r="M10088" s="94">
        <f>VLOOKUP($Q10088,매칭테이블!$F:$I,2,0)*K10088</f>
        <v/>
      </c>
      <c r="N10088" s="94">
        <f>M10088-M10088*VLOOKUP($Q10088,매칭테이블!$F:$I,3,0)</f>
        <v/>
      </c>
      <c r="O10088" s="94">
        <f>VLOOKUP($Q10088,매칭테이블!$F:$I,4,0)*K10088</f>
        <v/>
      </c>
      <c r="P10088" s="148">
        <f>M10088/1.1</f>
        <v/>
      </c>
      <c r="Q10088" s="94">
        <f>F10088&amp;E10088&amp;G10088&amp;L10088</f>
        <v/>
      </c>
    </row>
    <row r="10089">
      <c r="A10089" s="94" t="n"/>
      <c r="B10089" s="128" t="n">
        <v>44119</v>
      </c>
      <c r="C10089" s="94">
        <f>TEXT(B10089,"aaa")</f>
        <v/>
      </c>
      <c r="D10089" s="94" t="n"/>
      <c r="E10089" s="94" t="inlineStr">
        <is>
          <t>클렌징폼</t>
        </is>
      </c>
      <c r="F10089" s="5" t="inlineStr">
        <is>
          <t>카페24</t>
        </is>
      </c>
      <c r="G10089" s="94" t="inlineStr">
        <is>
          <t>클렌징폼 120ml</t>
        </is>
      </c>
      <c r="H10089" s="94" t="n">
        <v>200801</v>
      </c>
      <c r="I10089" s="94" t="n">
        <v>200801</v>
      </c>
      <c r="J10089" s="94" t="n"/>
      <c r="K10089" s="94" t="n">
        <v>4</v>
      </c>
      <c r="L10089" s="94" t="n">
        <v>200801</v>
      </c>
      <c r="M10089" s="94">
        <f>VLOOKUP($Q10089,매칭테이블!$F:$I,2,0)*K10089</f>
        <v/>
      </c>
      <c r="N10089" s="94">
        <f>M10089-M10089*VLOOKUP($Q10089,매칭테이블!$F:$I,3,0)</f>
        <v/>
      </c>
      <c r="O10089" s="94">
        <f>VLOOKUP($Q10089,매칭테이블!$F:$I,4,0)*K10089</f>
        <v/>
      </c>
      <c r="P10089" s="148">
        <f>M10089/1.1</f>
        <v/>
      </c>
      <c r="Q10089" s="94">
        <f>F10089&amp;E10089&amp;G10089&amp;L10089</f>
        <v/>
      </c>
    </row>
    <row r="10090">
      <c r="A10090" s="94" t="n"/>
      <c r="B10090" s="128" t="n">
        <v>44119</v>
      </c>
      <c r="C10090" s="94">
        <f>TEXT(B10090,"aaa")</f>
        <v/>
      </c>
      <c r="D10090" s="94" t="n"/>
      <c r="E10090" s="94" t="inlineStr">
        <is>
          <t>클렌징폼</t>
        </is>
      </c>
      <c r="F10090" s="5" t="inlineStr">
        <is>
          <t>카페24</t>
        </is>
      </c>
      <c r="G10090" s="94" t="inlineStr">
        <is>
          <t>클렌징폼 120ml 2set</t>
        </is>
      </c>
      <c r="H10090" s="94" t="n">
        <v>200801</v>
      </c>
      <c r="I10090" s="94" t="n">
        <v>200801</v>
      </c>
      <c r="J10090" s="94" t="n"/>
      <c r="K10090" s="94" t="n">
        <v>2</v>
      </c>
      <c r="L10090" s="94" t="n">
        <v>200801</v>
      </c>
      <c r="M10090" s="94">
        <f>VLOOKUP($Q10090,매칭테이블!$F:$I,2,0)*K10090</f>
        <v/>
      </c>
      <c r="N10090" s="94">
        <f>M10090-M10090*VLOOKUP($Q10090,매칭테이블!$F:$I,3,0)</f>
        <v/>
      </c>
      <c r="O10090" s="94">
        <f>VLOOKUP($Q10090,매칭테이블!$F:$I,4,0)*K10090</f>
        <v/>
      </c>
      <c r="P10090" s="148">
        <f>M10090/1.1</f>
        <v/>
      </c>
      <c r="Q10090" s="94">
        <f>F10090&amp;E10090&amp;G10090&amp;L10090</f>
        <v/>
      </c>
    </row>
    <row r="10091">
      <c r="A10091" s="94" t="n"/>
      <c r="B10091" s="128" t="n">
        <v>44119</v>
      </c>
      <c r="C10091" s="94">
        <f>TEXT(B10091,"aaa")</f>
        <v/>
      </c>
      <c r="D10091" s="94" t="n"/>
      <c r="E10091" s="94" t="inlineStr">
        <is>
          <t>바디워시</t>
        </is>
      </c>
      <c r="F10091" s="5" t="inlineStr">
        <is>
          <t>카페24</t>
        </is>
      </c>
      <c r="G10091" s="94" t="inlineStr">
        <is>
          <t>바디워시 1개 -30% off</t>
        </is>
      </c>
      <c r="H10091" s="94" t="n">
        <v>200801</v>
      </c>
      <c r="I10091" s="94" t="n">
        <v>200801</v>
      </c>
      <c r="J10091" s="94" t="n"/>
      <c r="K10091" s="94" t="n">
        <v>1</v>
      </c>
      <c r="L10091" s="94" t="n">
        <v>200801</v>
      </c>
      <c r="M10091" s="94">
        <f>VLOOKUP($Q10091,매칭테이블!$F:$I,2,0)*K10091</f>
        <v/>
      </c>
      <c r="N10091" s="94">
        <f>M10091-M10091*VLOOKUP($Q10091,매칭테이블!$F:$I,3,0)</f>
        <v/>
      </c>
      <c r="O10091" s="94">
        <f>VLOOKUP($Q10091,매칭테이블!$F:$I,4,0)*K10091</f>
        <v/>
      </c>
      <c r="P10091" s="148">
        <f>M10091/1.1</f>
        <v/>
      </c>
      <c r="Q10091" s="94">
        <f>F10091&amp;E10091&amp;G10091&amp;L10091</f>
        <v/>
      </c>
    </row>
    <row r="10092">
      <c r="A10092" s="94" t="n"/>
      <c r="B10092" s="128" t="n">
        <v>44119</v>
      </c>
      <c r="C10092" s="94">
        <f>TEXT(B10092,"aaa")</f>
        <v/>
      </c>
      <c r="D10092" s="94" t="n"/>
      <c r="E10092" s="94" t="inlineStr">
        <is>
          <t>토너</t>
        </is>
      </c>
      <c r="F10092" s="5" t="inlineStr">
        <is>
          <t>화해</t>
        </is>
      </c>
      <c r="G10092" s="94" t="inlineStr">
        <is>
          <t>250ml</t>
        </is>
      </c>
      <c r="H10092" s="94" t="n">
        <v>200801</v>
      </c>
      <c r="I10092" s="94" t="n">
        <v>200801</v>
      </c>
      <c r="J10092" s="94" t="n"/>
      <c r="K10092" s="94" t="n">
        <v>4</v>
      </c>
      <c r="L10092" s="94" t="n">
        <v>200801</v>
      </c>
      <c r="M10092" s="94">
        <f>VLOOKUP($Q10092,매칭테이블!$F:$I,2,0)*K10092</f>
        <v/>
      </c>
      <c r="N10092" s="94">
        <f>M10092-M10092*VLOOKUP($Q10092,매칭테이블!$F:$I,3,0)</f>
        <v/>
      </c>
      <c r="O10092" s="94">
        <f>VLOOKUP($Q10092,매칭테이블!$F:$I,4,0)*K10092</f>
        <v/>
      </c>
      <c r="P10092" s="148">
        <f>M10092/1.1</f>
        <v/>
      </c>
      <c r="Q10092" s="94">
        <f>F10092&amp;E10092&amp;G10092&amp;L10092</f>
        <v/>
      </c>
    </row>
    <row r="10093" customFormat="1" s="94">
      <c r="B10093" s="128" t="n">
        <v>44120</v>
      </c>
      <c r="C10093" s="94">
        <f>TEXT(B10093,"aaa")</f>
        <v/>
      </c>
      <c r="E10093" s="94" t="inlineStr">
        <is>
          <t>토너</t>
        </is>
      </c>
      <c r="F10093" s="5" t="inlineStr">
        <is>
          <t>스타일쉐어</t>
        </is>
      </c>
      <c r="G10093" s="94" t="inlineStr">
        <is>
          <t>250ml</t>
        </is>
      </c>
      <c r="H10093" s="94" t="n">
        <v>200801</v>
      </c>
      <c r="I10093" s="94" t="n">
        <v>200801</v>
      </c>
      <c r="K10093" s="94" t="n">
        <v>5</v>
      </c>
      <c r="L10093" s="94" t="n">
        <v>200801</v>
      </c>
      <c r="M10093" s="94">
        <f>VLOOKUP($Q10093,매칭테이블!$F:$I,2,0)*K10093</f>
        <v/>
      </c>
      <c r="N10093" s="94">
        <f>M10093-M10093*VLOOKUP($Q10093,매칭테이블!$F:$I,3,0)</f>
        <v/>
      </c>
      <c r="O10093" s="94">
        <f>VLOOKUP($Q10093,매칭테이블!$F:$I,4,0)*K10093</f>
        <v/>
      </c>
      <c r="P10093" s="148">
        <f>M10093/1.1</f>
        <v/>
      </c>
      <c r="Q10093" s="94">
        <f>F10093&amp;E10093&amp;G10093&amp;L10093</f>
        <v/>
      </c>
    </row>
    <row r="10094" customFormat="1" s="94">
      <c r="B10094" s="128" t="n">
        <v>44120</v>
      </c>
      <c r="C10094" s="94">
        <f>TEXT(B10094,"aaa")</f>
        <v/>
      </c>
      <c r="E10094" s="94" t="inlineStr">
        <is>
          <t>토너+패드 세트</t>
        </is>
      </c>
      <c r="F10094" s="5" t="inlineStr">
        <is>
          <t>카페24</t>
        </is>
      </c>
      <c r="G10094" s="94" t="inlineStr">
        <is>
          <t>좁쌀 진정 세트 토너+클리어 패드-30% off</t>
        </is>
      </c>
      <c r="H10094" s="94" t="n">
        <v>200801</v>
      </c>
      <c r="I10094" s="94" t="n">
        <v>200801</v>
      </c>
      <c r="K10094" s="94" t="n">
        <v>1</v>
      </c>
      <c r="L10094" s="94" t="n">
        <v>200801</v>
      </c>
      <c r="M10094" s="94">
        <f>VLOOKUP($Q10094,매칭테이블!$F:$I,2,0)*K10094</f>
        <v/>
      </c>
      <c r="N10094" s="94">
        <f>M10094-M10094*VLOOKUP($Q10094,매칭테이블!$F:$I,3,0)</f>
        <v/>
      </c>
      <c r="O10094" s="94">
        <f>VLOOKUP($Q10094,매칭테이블!$F:$I,4,0)*K10094</f>
        <v/>
      </c>
      <c r="P10094" s="148">
        <f>M10094/1.1</f>
        <v/>
      </c>
      <c r="Q10094" s="94">
        <f>F10094&amp;E10094&amp;G10094&amp;L10094</f>
        <v/>
      </c>
    </row>
    <row r="10095" customFormat="1" s="94">
      <c r="B10095" s="128" t="n">
        <v>44120</v>
      </c>
      <c r="C10095" s="94">
        <f>TEXT(B10095,"aaa")</f>
        <v/>
      </c>
      <c r="E10095" s="94" t="inlineStr">
        <is>
          <t>수분 보충 세트</t>
        </is>
      </c>
      <c r="F10095" s="5" t="inlineStr">
        <is>
          <t>카페24</t>
        </is>
      </c>
      <c r="G10095" s="94" t="inlineStr">
        <is>
          <t>[20/09/28 부터] 어성초 77 토너 250ml + 어성초 70 로션 200ml -30%</t>
        </is>
      </c>
      <c r="H10095" s="94" t="n">
        <v>200801</v>
      </c>
      <c r="I10095" s="94" t="n">
        <v>200801</v>
      </c>
      <c r="K10095" s="94" t="n">
        <v>25</v>
      </c>
      <c r="L10095" s="94" t="n">
        <v>200801</v>
      </c>
      <c r="M10095" s="94">
        <f>VLOOKUP($Q10095,매칭테이블!$F:$I,2,0)*K10095</f>
        <v/>
      </c>
      <c r="N10095" s="94">
        <f>M10095-M10095*VLOOKUP($Q10095,매칭테이블!$F:$I,3,0)</f>
        <v/>
      </c>
      <c r="O10095" s="94">
        <f>VLOOKUP($Q10095,매칭테이블!$F:$I,4,0)*K10095</f>
        <v/>
      </c>
      <c r="P10095" s="148">
        <f>M10095/1.1</f>
        <v/>
      </c>
      <c r="Q10095" s="94">
        <f>F10095&amp;E10095&amp;G10095&amp;L10095</f>
        <v/>
      </c>
    </row>
    <row r="10096" customFormat="1" s="94">
      <c r="B10096" s="128" t="n">
        <v>44120</v>
      </c>
      <c r="C10096" s="94">
        <f>TEXT(B10096,"aaa")</f>
        <v/>
      </c>
      <c r="E10096" s="94" t="inlineStr">
        <is>
          <t>로션</t>
        </is>
      </c>
      <c r="F10096" s="5" t="inlineStr">
        <is>
          <t>카페24</t>
        </is>
      </c>
      <c r="G10096" s="94" t="inlineStr">
        <is>
          <t>어성초 70 데일리 릴리프 로션 1개 -20% off</t>
        </is>
      </c>
      <c r="H10096" s="94" t="n">
        <v>200801</v>
      </c>
      <c r="I10096" s="94" t="n">
        <v>200801</v>
      </c>
      <c r="K10096" s="94" t="n">
        <v>3</v>
      </c>
      <c r="L10096" s="94" t="n">
        <v>200801</v>
      </c>
      <c r="M10096" s="94">
        <f>VLOOKUP($Q10096,매칭테이블!$F:$I,2,0)*K10096</f>
        <v/>
      </c>
      <c r="N10096" s="94">
        <f>M10096-M10096*VLOOKUP($Q10096,매칭테이블!$F:$I,3,0)</f>
        <v/>
      </c>
      <c r="O10096" s="94">
        <f>VLOOKUP($Q10096,매칭테이블!$F:$I,4,0)*K10096</f>
        <v/>
      </c>
      <c r="P10096" s="148">
        <f>M10096/1.1</f>
        <v/>
      </c>
      <c r="Q10096" s="94">
        <f>F10096&amp;E10096&amp;G10096&amp;L10096</f>
        <v/>
      </c>
    </row>
    <row r="10097" customFormat="1" s="94">
      <c r="B10097" s="128" t="n">
        <v>44120</v>
      </c>
      <c r="C10097" s="94">
        <f>TEXT(B10097,"aaa")</f>
        <v/>
      </c>
      <c r="E10097" s="94" t="inlineStr">
        <is>
          <t>머드크림마스크</t>
        </is>
      </c>
      <c r="F10097" s="5" t="inlineStr">
        <is>
          <t>카페24</t>
        </is>
      </c>
      <c r="G10097" s="94" t="inlineStr">
        <is>
          <t>머드크림마스크 100ml</t>
        </is>
      </c>
      <c r="H10097" s="94" t="n">
        <v>200801</v>
      </c>
      <c r="I10097" s="94" t="n">
        <v>200801</v>
      </c>
      <c r="K10097" s="94" t="n">
        <v>7</v>
      </c>
      <c r="L10097" s="94" t="n">
        <v>200801</v>
      </c>
      <c r="M10097" s="94">
        <f>VLOOKUP($Q10097,매칭테이블!$F:$I,2,0)*K10097</f>
        <v/>
      </c>
      <c r="N10097" s="94">
        <f>M10097-M10097*VLOOKUP($Q10097,매칭테이블!$F:$I,3,0)</f>
        <v/>
      </c>
      <c r="O10097" s="94">
        <f>VLOOKUP($Q10097,매칭테이블!$F:$I,4,0)*K10097</f>
        <v/>
      </c>
      <c r="P10097" s="148">
        <f>M10097/1.1</f>
        <v/>
      </c>
      <c r="Q10097" s="94">
        <f>F10097&amp;E10097&amp;G10097&amp;L10097</f>
        <v/>
      </c>
    </row>
    <row r="10098" customFormat="1" s="94">
      <c r="B10098" s="128" t="n">
        <v>44120</v>
      </c>
      <c r="C10098" s="94">
        <f>TEXT(B10098,"aaa")</f>
        <v/>
      </c>
      <c r="E10098" s="94" t="inlineStr">
        <is>
          <t>머드크림마스크</t>
        </is>
      </c>
      <c r="F10098" s="5" t="inlineStr">
        <is>
          <t>카페24</t>
        </is>
      </c>
      <c r="G10098" s="94" t="inlineStr">
        <is>
          <t>머드크림마스크 100ml 2set</t>
        </is>
      </c>
      <c r="H10098" s="94" t="n">
        <v>200801</v>
      </c>
      <c r="I10098" s="94" t="n">
        <v>200801</v>
      </c>
      <c r="K10098" s="94" t="n">
        <v>3</v>
      </c>
      <c r="L10098" s="94" t="n">
        <v>200801</v>
      </c>
      <c r="M10098" s="94">
        <f>VLOOKUP($Q10098,매칭테이블!$F:$I,2,0)*K10098</f>
        <v/>
      </c>
      <c r="N10098" s="94">
        <f>M10098-M10098*VLOOKUP($Q10098,매칭테이블!$F:$I,3,0)</f>
        <v/>
      </c>
      <c r="O10098" s="94">
        <f>VLOOKUP($Q10098,매칭테이블!$F:$I,4,0)*K10098</f>
        <v/>
      </c>
      <c r="P10098" s="148">
        <f>M10098/1.1</f>
        <v/>
      </c>
      <c r="Q10098" s="94">
        <f>F10098&amp;E10098&amp;G10098&amp;L10098</f>
        <v/>
      </c>
    </row>
    <row r="10099" customFormat="1" s="94">
      <c r="B10099" s="128" t="n">
        <v>44120</v>
      </c>
      <c r="C10099" s="94">
        <f>TEXT(B10099,"aaa")</f>
        <v/>
      </c>
      <c r="E10099" s="94" t="inlineStr">
        <is>
          <t>마스크팩</t>
        </is>
      </c>
      <c r="F10099" s="5" t="inlineStr">
        <is>
          <t>카페24</t>
        </is>
      </c>
      <c r="G10099" s="94" t="inlineStr">
        <is>
          <t>마스크팩 10매</t>
        </is>
      </c>
      <c r="H10099" s="94" t="n">
        <v>200801</v>
      </c>
      <c r="I10099" s="94" t="n">
        <v>200801</v>
      </c>
      <c r="K10099" s="94" t="n">
        <v>5</v>
      </c>
      <c r="L10099" s="94" t="n">
        <v>200801</v>
      </c>
      <c r="M10099" s="94">
        <f>VLOOKUP($Q10099,매칭테이블!$F:$I,2,0)*K10099</f>
        <v/>
      </c>
      <c r="N10099" s="94">
        <f>M10099-M10099*VLOOKUP($Q10099,매칭테이블!$F:$I,3,0)</f>
        <v/>
      </c>
      <c r="O10099" s="94">
        <f>VLOOKUP($Q10099,매칭테이블!$F:$I,4,0)*K10099</f>
        <v/>
      </c>
      <c r="P10099" s="148">
        <f>M10099/1.1</f>
        <v/>
      </c>
      <c r="Q10099" s="94">
        <f>F10099&amp;E10099&amp;G10099&amp;L10099</f>
        <v/>
      </c>
    </row>
    <row r="10100" customFormat="1" s="94">
      <c r="B10100" s="128" t="n">
        <v>44120</v>
      </c>
      <c r="C10100" s="94">
        <f>TEXT(B10100,"aaa")</f>
        <v/>
      </c>
      <c r="E10100" s="94" t="inlineStr">
        <is>
          <t>토너</t>
        </is>
      </c>
      <c r="F10100" s="5" t="inlineStr">
        <is>
          <t>카페24</t>
        </is>
      </c>
      <c r="G10100" s="94" t="inlineStr">
        <is>
          <t>250ml</t>
        </is>
      </c>
      <c r="H10100" s="94" t="n">
        <v>200801</v>
      </c>
      <c r="I10100" s="94" t="n">
        <v>200801</v>
      </c>
      <c r="K10100" s="94" t="n">
        <v>14</v>
      </c>
      <c r="L10100" s="94" t="n">
        <v>200801</v>
      </c>
      <c r="M10100" s="94">
        <f>VLOOKUP($Q10100,매칭테이블!$F:$I,2,0)*K10100</f>
        <v/>
      </c>
      <c r="N10100" s="94">
        <f>M10100-M10100*VLOOKUP($Q10100,매칭테이블!$F:$I,3,0)</f>
        <v/>
      </c>
      <c r="O10100" s="94">
        <f>VLOOKUP($Q10100,매칭테이블!$F:$I,4,0)*K10100</f>
        <v/>
      </c>
      <c r="P10100" s="148">
        <f>M10100/1.1</f>
        <v/>
      </c>
      <c r="Q10100" s="94">
        <f>F10100&amp;E10100&amp;G10100&amp;L10100</f>
        <v/>
      </c>
    </row>
    <row r="10101" customFormat="1" s="94">
      <c r="B10101" s="128" t="n">
        <v>44120</v>
      </c>
      <c r="C10101" s="94">
        <f>TEXT(B10101,"aaa")</f>
        <v/>
      </c>
      <c r="E10101" s="94" t="inlineStr">
        <is>
          <t>토너</t>
        </is>
      </c>
      <c r="F10101" s="5" t="inlineStr">
        <is>
          <t>카페24</t>
        </is>
      </c>
      <c r="G10101" s="94" t="inlineStr">
        <is>
          <t>250ml 2set</t>
        </is>
      </c>
      <c r="H10101" s="94" t="n">
        <v>200801</v>
      </c>
      <c r="I10101" s="94" t="n">
        <v>200801</v>
      </c>
      <c r="K10101" s="94" t="n">
        <v>17</v>
      </c>
      <c r="L10101" s="94" t="n">
        <v>200801</v>
      </c>
      <c r="M10101" s="94">
        <f>VLOOKUP($Q10101,매칭테이블!$F:$I,2,0)*K10101</f>
        <v/>
      </c>
      <c r="N10101" s="94">
        <f>M10101-M10101*VLOOKUP($Q10101,매칭테이블!$F:$I,3,0)</f>
        <v/>
      </c>
      <c r="O10101" s="94">
        <f>VLOOKUP($Q10101,매칭테이블!$F:$I,4,0)*K10101</f>
        <v/>
      </c>
      <c r="P10101" s="148">
        <f>M10101/1.1</f>
        <v/>
      </c>
      <c r="Q10101" s="94">
        <f>F10101&amp;E10101&amp;G10101&amp;L10101</f>
        <v/>
      </c>
    </row>
    <row r="10102" customFormat="1" s="94">
      <c r="B10102" s="128" t="n">
        <v>44120</v>
      </c>
      <c r="C10102" s="94">
        <f>TEXT(B10102,"aaa")</f>
        <v/>
      </c>
      <c r="E10102" s="94" t="inlineStr">
        <is>
          <t>토너</t>
        </is>
      </c>
      <c r="F10102" s="5" t="inlineStr">
        <is>
          <t>카페24</t>
        </is>
      </c>
      <c r="G10102" s="94" t="inlineStr">
        <is>
          <t>500ml</t>
        </is>
      </c>
      <c r="H10102" s="94" t="n">
        <v>200801</v>
      </c>
      <c r="I10102" s="94" t="n">
        <v>200801</v>
      </c>
      <c r="K10102" s="94" t="n">
        <v>49</v>
      </c>
      <c r="L10102" s="94" t="n">
        <v>200801</v>
      </c>
      <c r="M10102" s="94">
        <f>VLOOKUP($Q10102,매칭테이블!$F:$I,2,0)*K10102</f>
        <v/>
      </c>
      <c r="N10102" s="94">
        <f>M10102-M10102*VLOOKUP($Q10102,매칭테이블!$F:$I,3,0)</f>
        <v/>
      </c>
      <c r="O10102" s="94">
        <f>VLOOKUP($Q10102,매칭테이블!$F:$I,4,0)*K10102</f>
        <v/>
      </c>
      <c r="P10102" s="148">
        <f>M10102/1.1</f>
        <v/>
      </c>
      <c r="Q10102" s="94">
        <f>F10102&amp;E10102&amp;G10102&amp;L10102</f>
        <v/>
      </c>
    </row>
    <row r="10103" customFormat="1" s="94">
      <c r="B10103" s="128" t="n">
        <v>44120</v>
      </c>
      <c r="C10103" s="94">
        <f>TEXT(B10103,"aaa")</f>
        <v/>
      </c>
      <c r="E10103" s="94" t="inlineStr">
        <is>
          <t>토너</t>
        </is>
      </c>
      <c r="F10103" s="5" t="inlineStr">
        <is>
          <t>카페24</t>
        </is>
      </c>
      <c r="G10103" s="94" t="inlineStr">
        <is>
          <t>스킨팩 화장솜 60P</t>
        </is>
      </c>
      <c r="H10103" s="94" t="n">
        <v>200801</v>
      </c>
      <c r="I10103" s="94" t="n">
        <v>200801</v>
      </c>
      <c r="K10103" s="94" t="n">
        <v>17</v>
      </c>
      <c r="L10103" s="94" t="n">
        <v>200801</v>
      </c>
      <c r="M10103" s="94">
        <f>VLOOKUP($Q10103,매칭테이블!$F:$I,2,0)*K10103</f>
        <v/>
      </c>
      <c r="N10103" s="94">
        <f>M10103-M10103*VLOOKUP($Q10103,매칭테이블!$F:$I,3,0)</f>
        <v/>
      </c>
      <c r="O10103" s="94">
        <f>VLOOKUP($Q10103,매칭테이블!$F:$I,4,0)*K10103</f>
        <v/>
      </c>
      <c r="P10103" s="148">
        <f>M10103/1.1</f>
        <v/>
      </c>
      <c r="Q10103" s="94">
        <f>F10103&amp;E10103&amp;G10103&amp;L10103</f>
        <v/>
      </c>
    </row>
    <row r="10104" customFormat="1" s="94">
      <c r="B10104" s="128" t="n">
        <v>44120</v>
      </c>
      <c r="C10104" s="94">
        <f>TEXT(B10104,"aaa")</f>
        <v/>
      </c>
      <c r="E10104" s="94" t="inlineStr">
        <is>
          <t>앰플</t>
        </is>
      </c>
      <c r="F10104" s="5" t="inlineStr">
        <is>
          <t>카페24</t>
        </is>
      </c>
      <c r="G10104" s="94" t="inlineStr">
        <is>
          <t>앰플 30ml</t>
        </is>
      </c>
      <c r="H10104" s="94" t="n">
        <v>200801</v>
      </c>
      <c r="I10104" s="94" t="n">
        <v>200801</v>
      </c>
      <c r="K10104" s="94" t="n">
        <v>10</v>
      </c>
      <c r="L10104" s="94" t="n">
        <v>200801</v>
      </c>
      <c r="M10104" s="94">
        <f>VLOOKUP($Q10104,매칭테이블!$F:$I,2,0)*K10104</f>
        <v/>
      </c>
      <c r="N10104" s="94">
        <f>M10104-M10104*VLOOKUP($Q10104,매칭테이블!$F:$I,3,0)</f>
        <v/>
      </c>
      <c r="O10104" s="94">
        <f>VLOOKUP($Q10104,매칭테이블!$F:$I,4,0)*K10104</f>
        <v/>
      </c>
      <c r="P10104" s="148">
        <f>M10104/1.1</f>
        <v/>
      </c>
      <c r="Q10104" s="94">
        <f>F10104&amp;E10104&amp;G10104&amp;L10104</f>
        <v/>
      </c>
    </row>
    <row r="10105" customFormat="1" s="94">
      <c r="B10105" s="128" t="n">
        <v>44120</v>
      </c>
      <c r="C10105" s="94">
        <f>TEXT(B10105,"aaa")</f>
        <v/>
      </c>
      <c r="E10105" s="94" t="inlineStr">
        <is>
          <t>앰플</t>
        </is>
      </c>
      <c r="F10105" s="5" t="inlineStr">
        <is>
          <t>카페24</t>
        </is>
      </c>
      <c r="G10105" s="94" t="inlineStr">
        <is>
          <t>앰플 30ml  2set</t>
        </is>
      </c>
      <c r="H10105" s="94" t="n">
        <v>200801</v>
      </c>
      <c r="I10105" s="94" t="n">
        <v>200801</v>
      </c>
      <c r="K10105" s="94" t="n">
        <v>4</v>
      </c>
      <c r="L10105" s="94" t="n">
        <v>200801</v>
      </c>
      <c r="M10105" s="94">
        <f>VLOOKUP($Q10105,매칭테이블!$F:$I,2,0)*K10105</f>
        <v/>
      </c>
      <c r="N10105" s="94">
        <f>M10105-M10105*VLOOKUP($Q10105,매칭테이블!$F:$I,3,0)</f>
        <v/>
      </c>
      <c r="O10105" s="94">
        <f>VLOOKUP($Q10105,매칭테이블!$F:$I,4,0)*K10105</f>
        <v/>
      </c>
      <c r="P10105" s="148">
        <f>M10105/1.1</f>
        <v/>
      </c>
      <c r="Q10105" s="94">
        <f>F10105&amp;E10105&amp;G10105&amp;L10105</f>
        <v/>
      </c>
    </row>
    <row r="10106" customFormat="1" s="94">
      <c r="B10106" s="128" t="n">
        <v>44120</v>
      </c>
      <c r="C10106" s="94">
        <f>TEXT(B10106,"aaa")</f>
        <v/>
      </c>
      <c r="E10106" s="94" t="inlineStr">
        <is>
          <t>수딩크림</t>
        </is>
      </c>
      <c r="F10106" s="5" t="inlineStr">
        <is>
          <t>카페24</t>
        </is>
      </c>
      <c r="G10106" s="94" t="inlineStr">
        <is>
          <t>수딩크림 100ml</t>
        </is>
      </c>
      <c r="H10106" s="94" t="n">
        <v>200801</v>
      </c>
      <c r="I10106" s="94" t="n">
        <v>200801</v>
      </c>
      <c r="K10106" s="94" t="n">
        <v>6</v>
      </c>
      <c r="L10106" s="94" t="n">
        <v>200801</v>
      </c>
      <c r="M10106" s="94">
        <f>VLOOKUP($Q10106,매칭테이블!$F:$I,2,0)*K10106</f>
        <v/>
      </c>
      <c r="N10106" s="94">
        <f>M10106-M10106*VLOOKUP($Q10106,매칭테이블!$F:$I,3,0)</f>
        <v/>
      </c>
      <c r="O10106" s="94">
        <f>VLOOKUP($Q10106,매칭테이블!$F:$I,4,0)*K10106</f>
        <v/>
      </c>
      <c r="P10106" s="148">
        <f>M10106/1.1</f>
        <v/>
      </c>
      <c r="Q10106" s="94">
        <f>F10106&amp;E10106&amp;G10106&amp;L10106</f>
        <v/>
      </c>
    </row>
    <row r="10107" customFormat="1" s="94">
      <c r="B10107" s="128" t="n">
        <v>44120</v>
      </c>
      <c r="C10107" s="94">
        <f>TEXT(B10107,"aaa")</f>
        <v/>
      </c>
      <c r="E10107" s="94" t="inlineStr">
        <is>
          <t>클렌징폼</t>
        </is>
      </c>
      <c r="F10107" s="5" t="inlineStr">
        <is>
          <t>카페24</t>
        </is>
      </c>
      <c r="G10107" s="94" t="inlineStr">
        <is>
          <t>클렌징폼 120ml</t>
        </is>
      </c>
      <c r="H10107" s="94" t="n">
        <v>200801</v>
      </c>
      <c r="I10107" s="94" t="n">
        <v>200801</v>
      </c>
      <c r="K10107" s="94" t="n">
        <v>1</v>
      </c>
      <c r="L10107" s="94" t="n">
        <v>200801</v>
      </c>
      <c r="M10107" s="94">
        <f>VLOOKUP($Q10107,매칭테이블!$F:$I,2,0)*K10107</f>
        <v/>
      </c>
      <c r="N10107" s="94">
        <f>M10107-M10107*VLOOKUP($Q10107,매칭테이블!$F:$I,3,0)</f>
        <v/>
      </c>
      <c r="O10107" s="94">
        <f>VLOOKUP($Q10107,매칭테이블!$F:$I,4,0)*K10107</f>
        <v/>
      </c>
      <c r="P10107" s="148">
        <f>M10107/1.1</f>
        <v/>
      </c>
      <c r="Q10107" s="94">
        <f>F10107&amp;E10107&amp;G10107&amp;L10107</f>
        <v/>
      </c>
    </row>
    <row r="10108" customFormat="1" s="94">
      <c r="B10108" s="128" t="n">
        <v>44120</v>
      </c>
      <c r="C10108" s="94">
        <f>TEXT(B10108,"aaa")</f>
        <v/>
      </c>
      <c r="E10108" s="94" t="inlineStr">
        <is>
          <t>클렌징폼</t>
        </is>
      </c>
      <c r="F10108" s="5" t="inlineStr">
        <is>
          <t>카페24</t>
        </is>
      </c>
      <c r="G10108" s="94" t="inlineStr">
        <is>
          <t>클렌징폼 120ml 2set</t>
        </is>
      </c>
      <c r="H10108" s="94" t="n">
        <v>200801</v>
      </c>
      <c r="I10108" s="94" t="n">
        <v>200801</v>
      </c>
      <c r="K10108" s="94" t="n">
        <v>3</v>
      </c>
      <c r="L10108" s="94" t="n">
        <v>200801</v>
      </c>
      <c r="M10108" s="94">
        <f>VLOOKUP($Q10108,매칭테이블!$F:$I,2,0)*K10108</f>
        <v/>
      </c>
      <c r="N10108" s="94">
        <f>M10108-M10108*VLOOKUP($Q10108,매칭테이블!$F:$I,3,0)</f>
        <v/>
      </c>
      <c r="O10108" s="94">
        <f>VLOOKUP($Q10108,매칭테이블!$F:$I,4,0)*K10108</f>
        <v/>
      </c>
      <c r="P10108" s="148">
        <f>M10108/1.1</f>
        <v/>
      </c>
      <c r="Q10108" s="94">
        <f>F10108&amp;E10108&amp;G10108&amp;L10108</f>
        <v/>
      </c>
    </row>
    <row r="10109" customFormat="1" s="94">
      <c r="B10109" s="128" t="n">
        <v>44120</v>
      </c>
      <c r="C10109" s="94">
        <f>TEXT(B10109,"aaa")</f>
        <v/>
      </c>
      <c r="E10109" s="94" t="inlineStr">
        <is>
          <t>토너</t>
        </is>
      </c>
      <c r="F10109" s="5" t="inlineStr">
        <is>
          <t>화해</t>
        </is>
      </c>
      <c r="G10109" s="94" t="inlineStr">
        <is>
          <t>250ml</t>
        </is>
      </c>
      <c r="H10109" s="94" t="n">
        <v>200801</v>
      </c>
      <c r="I10109" s="94" t="n">
        <v>200801</v>
      </c>
      <c r="K10109" s="94" t="n">
        <v>6</v>
      </c>
      <c r="L10109" s="94" t="n">
        <v>200801</v>
      </c>
      <c r="M10109" s="94">
        <f>VLOOKUP($Q10109,매칭테이블!$F:$I,2,0)*K10109</f>
        <v/>
      </c>
      <c r="N10109" s="94">
        <f>M10109-M10109*VLOOKUP($Q10109,매칭테이블!$F:$I,3,0)</f>
        <v/>
      </c>
      <c r="O10109" s="94">
        <f>VLOOKUP($Q10109,매칭테이블!$F:$I,4,0)*K10109</f>
        <v/>
      </c>
      <c r="P10109" s="148">
        <f>M10109/1.1</f>
        <v/>
      </c>
      <c r="Q10109" s="94">
        <f>F10109&amp;E10109&amp;G10109&amp;L10109</f>
        <v/>
      </c>
    </row>
    <row r="10110" customFormat="1" s="94">
      <c r="B10110" s="128" t="n">
        <v>44120</v>
      </c>
      <c r="C10110" s="94">
        <f>TEXT(B10110,"aaa")</f>
        <v/>
      </c>
      <c r="E10110" s="94" t="inlineStr">
        <is>
          <t>머드크림마스크</t>
        </is>
      </c>
      <c r="F10110" s="5" t="inlineStr">
        <is>
          <t>화해</t>
        </is>
      </c>
      <c r="G10110" s="94" t="inlineStr">
        <is>
          <t>머드크림마스크 100ml</t>
        </is>
      </c>
      <c r="H10110" s="94" t="n">
        <v>200801</v>
      </c>
      <c r="I10110" s="94" t="n">
        <v>200801</v>
      </c>
      <c r="K10110" s="94" t="n">
        <v>1</v>
      </c>
      <c r="L10110" s="94" t="n">
        <v>200801</v>
      </c>
      <c r="M10110" s="94">
        <f>VLOOKUP($Q10110,매칭테이블!$F:$I,2,0)*K10110</f>
        <v/>
      </c>
      <c r="N10110" s="94">
        <f>M10110-M10110*VLOOKUP($Q10110,매칭테이블!$F:$I,3,0)</f>
        <v/>
      </c>
      <c r="O10110" s="94">
        <f>VLOOKUP($Q10110,매칭테이블!$F:$I,4,0)*K10110</f>
        <v/>
      </c>
      <c r="P10110" s="148">
        <f>M10110/1.1</f>
        <v/>
      </c>
      <c r="Q10110" s="94">
        <f>F10110&amp;E10110&amp;G10110&amp;L10110</f>
        <v/>
      </c>
    </row>
    <row r="10111" customFormat="1" s="94">
      <c r="B10111" s="128" t="n">
        <v>44120</v>
      </c>
      <c r="C10111" s="94">
        <f>TEXT(B10111,"aaa")</f>
        <v/>
      </c>
      <c r="E10111" s="94" t="inlineStr">
        <is>
          <t>머드크림마스크</t>
        </is>
      </c>
      <c r="F10111" s="5" t="inlineStr">
        <is>
          <t>굿닥</t>
        </is>
      </c>
      <c r="G10111" s="94" t="inlineStr">
        <is>
          <t>머드크림마스크 100ml</t>
        </is>
      </c>
      <c r="H10111" s="94" t="n">
        <v>200801</v>
      </c>
      <c r="I10111" s="94" t="n">
        <v>200801</v>
      </c>
      <c r="K10111" s="94" t="n">
        <v>1</v>
      </c>
      <c r="L10111" s="94" t="n">
        <v>200801</v>
      </c>
      <c r="M10111" s="94">
        <f>VLOOKUP($Q10111,매칭테이블!$F:$I,2,0)*K10111</f>
        <v/>
      </c>
      <c r="N10111" s="94">
        <f>M10111-M10111*VLOOKUP($Q10111,매칭테이블!$F:$I,3,0)</f>
        <v/>
      </c>
      <c r="O10111" s="94">
        <f>VLOOKUP($Q10111,매칭테이블!$F:$I,4,0)*K10111</f>
        <v/>
      </c>
      <c r="P10111" s="148">
        <f>M10111/1.1</f>
        <v/>
      </c>
      <c r="Q10111" s="94">
        <f>F10111&amp;E10111&amp;G10111&amp;L10111</f>
        <v/>
      </c>
    </row>
    <row r="10112" customFormat="1" s="94">
      <c r="B10112" s="128" t="n">
        <v>44121</v>
      </c>
      <c r="C10112" s="94">
        <f>TEXT(B10112,"aaa")</f>
        <v/>
      </c>
      <c r="E10112" s="94" t="inlineStr">
        <is>
          <t>토너</t>
        </is>
      </c>
      <c r="F10112" s="5" t="inlineStr">
        <is>
          <t>스타일쉐어</t>
        </is>
      </c>
      <c r="G10112" s="94" t="inlineStr">
        <is>
          <t>250ml</t>
        </is>
      </c>
      <c r="H10112" s="94" t="n">
        <v>200801</v>
      </c>
      <c r="I10112" s="94" t="n">
        <v>200801</v>
      </c>
      <c r="K10112" s="94" t="n">
        <v>3</v>
      </c>
      <c r="L10112" s="94" t="n">
        <v>200801</v>
      </c>
      <c r="M10112" s="94">
        <f>VLOOKUP($Q10112,매칭테이블!$F:$I,2,0)*K10112</f>
        <v/>
      </c>
      <c r="N10112" s="94">
        <f>M10112-M10112*VLOOKUP($Q10112,매칭테이블!$F:$I,3,0)</f>
        <v/>
      </c>
      <c r="O10112" s="94">
        <f>VLOOKUP($Q10112,매칭테이블!$F:$I,4,0)*K10112</f>
        <v/>
      </c>
      <c r="P10112" s="148">
        <f>M10112/1.1</f>
        <v/>
      </c>
      <c r="Q10112" s="94">
        <f>F10112&amp;E10112&amp;G10112&amp;L10112</f>
        <v/>
      </c>
    </row>
    <row r="10113" customFormat="1" s="94">
      <c r="B10113" s="128" t="n">
        <v>44121</v>
      </c>
      <c r="C10113" s="94">
        <f>TEXT(B10113,"aaa")</f>
        <v/>
      </c>
      <c r="E10113" s="94" t="inlineStr">
        <is>
          <t>토너+패드 세트</t>
        </is>
      </c>
      <c r="F10113" s="5" t="inlineStr">
        <is>
          <t>카페24</t>
        </is>
      </c>
      <c r="G10113" s="94" t="inlineStr">
        <is>
          <t>좁쌀 진정 세트 토너+클리어 패드-30% off</t>
        </is>
      </c>
      <c r="H10113" s="94" t="n">
        <v>200801</v>
      </c>
      <c r="I10113" s="94" t="n">
        <v>200801</v>
      </c>
      <c r="K10113" s="94" t="n">
        <v>1</v>
      </c>
      <c r="L10113" s="94" t="n">
        <v>200801</v>
      </c>
      <c r="M10113" s="94">
        <f>VLOOKUP($Q10113,매칭테이블!$F:$I,2,0)*K10113</f>
        <v/>
      </c>
      <c r="N10113" s="94">
        <f>M10113-M10113*VLOOKUP($Q10113,매칭테이블!$F:$I,3,0)</f>
        <v/>
      </c>
      <c r="O10113" s="94">
        <f>VLOOKUP($Q10113,매칭테이블!$F:$I,4,0)*K10113</f>
        <v/>
      </c>
      <c r="P10113" s="148">
        <f>M10113/1.1</f>
        <v/>
      </c>
      <c r="Q10113" s="94">
        <f>F10113&amp;E10113&amp;G10113&amp;L10113</f>
        <v/>
      </c>
    </row>
    <row r="10114" customFormat="1" s="94">
      <c r="B10114" s="128" t="n">
        <v>44121</v>
      </c>
      <c r="C10114" s="94">
        <f>TEXT(B10114,"aaa")</f>
        <v/>
      </c>
      <c r="E10114" s="94" t="inlineStr">
        <is>
          <t>수분 보충 세트</t>
        </is>
      </c>
      <c r="F10114" s="5" t="inlineStr">
        <is>
          <t>카페24</t>
        </is>
      </c>
      <c r="G10114" s="94" t="inlineStr">
        <is>
          <t>[20/09/28 부터] 어성초 77 토너 250ml + 어성초 70 로션 200ml -30%</t>
        </is>
      </c>
      <c r="H10114" s="94" t="n">
        <v>200801</v>
      </c>
      <c r="I10114" s="94" t="n">
        <v>200801</v>
      </c>
      <c r="K10114" s="94" t="n">
        <v>21</v>
      </c>
      <c r="L10114" s="94" t="n">
        <v>200801</v>
      </c>
      <c r="M10114" s="94">
        <f>VLOOKUP($Q10114,매칭테이블!$F:$I,2,0)*K10114</f>
        <v/>
      </c>
      <c r="N10114" s="94">
        <f>M10114-M10114*VLOOKUP($Q10114,매칭테이블!$F:$I,3,0)</f>
        <v/>
      </c>
      <c r="O10114" s="94">
        <f>VLOOKUP($Q10114,매칭테이블!$F:$I,4,0)*K10114</f>
        <v/>
      </c>
      <c r="P10114" s="148">
        <f>M10114/1.1</f>
        <v/>
      </c>
      <c r="Q10114" s="94">
        <f>F10114&amp;E10114&amp;G10114&amp;L10114</f>
        <v/>
      </c>
    </row>
    <row r="10115" customFormat="1" s="94">
      <c r="B10115" s="128" t="n">
        <v>44121</v>
      </c>
      <c r="C10115" s="94">
        <f>TEXT(B10115,"aaa")</f>
        <v/>
      </c>
      <c r="E10115" s="94" t="inlineStr">
        <is>
          <t>로션</t>
        </is>
      </c>
      <c r="F10115" s="5" t="inlineStr">
        <is>
          <t>카페24</t>
        </is>
      </c>
      <c r="G10115" s="94" t="inlineStr">
        <is>
          <t>어성초 70 데일리 릴리프 로션 1개 -20% off</t>
        </is>
      </c>
      <c r="H10115" s="94" t="n">
        <v>200801</v>
      </c>
      <c r="I10115" s="94" t="n">
        <v>200801</v>
      </c>
      <c r="K10115" s="94" t="n">
        <v>2</v>
      </c>
      <c r="L10115" s="94" t="n">
        <v>200801</v>
      </c>
      <c r="M10115" s="94">
        <f>VLOOKUP($Q10115,매칭테이블!$F:$I,2,0)*K10115</f>
        <v/>
      </c>
      <c r="N10115" s="94">
        <f>M10115-M10115*VLOOKUP($Q10115,매칭테이블!$F:$I,3,0)</f>
        <v/>
      </c>
      <c r="O10115" s="94">
        <f>VLOOKUP($Q10115,매칭테이블!$F:$I,4,0)*K10115</f>
        <v/>
      </c>
      <c r="P10115" s="148">
        <f>M10115/1.1</f>
        <v/>
      </c>
      <c r="Q10115" s="94">
        <f>F10115&amp;E10115&amp;G10115&amp;L10115</f>
        <v/>
      </c>
    </row>
    <row r="10116" customFormat="1" s="94">
      <c r="B10116" s="128" t="n">
        <v>44121</v>
      </c>
      <c r="C10116" s="94">
        <f>TEXT(B10116,"aaa")</f>
        <v/>
      </c>
      <c r="E10116" s="94" t="inlineStr">
        <is>
          <t>로션</t>
        </is>
      </c>
      <c r="F10116" s="5" t="inlineStr">
        <is>
          <t>카페24</t>
        </is>
      </c>
      <c r="G10116" s="94" t="inlineStr">
        <is>
          <t>어성초 70 데일리 릴리프 로션 2개 -30% off</t>
        </is>
      </c>
      <c r="H10116" s="94" t="n">
        <v>200801</v>
      </c>
      <c r="I10116" s="94" t="n">
        <v>200801</v>
      </c>
      <c r="K10116" s="94" t="n">
        <v>1</v>
      </c>
      <c r="L10116" s="94" t="n">
        <v>200801</v>
      </c>
      <c r="M10116" s="94">
        <f>VLOOKUP($Q10116,매칭테이블!$F:$I,2,0)*K10116</f>
        <v/>
      </c>
      <c r="N10116" s="94">
        <f>M10116-M10116*VLOOKUP($Q10116,매칭테이블!$F:$I,3,0)</f>
        <v/>
      </c>
      <c r="O10116" s="94">
        <f>VLOOKUP($Q10116,매칭테이블!$F:$I,4,0)*K10116</f>
        <v/>
      </c>
      <c r="P10116" s="148">
        <f>M10116/1.1</f>
        <v/>
      </c>
      <c r="Q10116" s="94">
        <f>F10116&amp;E10116&amp;G10116&amp;L10116</f>
        <v/>
      </c>
    </row>
    <row r="10117" customFormat="1" s="94">
      <c r="B10117" s="128" t="n">
        <v>44121</v>
      </c>
      <c r="C10117" s="94">
        <f>TEXT(B10117,"aaa")</f>
        <v/>
      </c>
      <c r="E10117" s="94" t="inlineStr">
        <is>
          <t>머드크림마스크</t>
        </is>
      </c>
      <c r="F10117" s="5" t="inlineStr">
        <is>
          <t>카페24</t>
        </is>
      </c>
      <c r="G10117" s="94" t="inlineStr">
        <is>
          <t>머드크림마스크 100ml</t>
        </is>
      </c>
      <c r="H10117" s="94" t="n">
        <v>200801</v>
      </c>
      <c r="I10117" s="94" t="n">
        <v>200801</v>
      </c>
      <c r="K10117" s="94" t="n">
        <v>16</v>
      </c>
      <c r="L10117" s="94" t="n">
        <v>200801</v>
      </c>
      <c r="M10117" s="94">
        <f>VLOOKUP($Q10117,매칭테이블!$F:$I,2,0)*K10117</f>
        <v/>
      </c>
      <c r="N10117" s="94">
        <f>M10117-M10117*VLOOKUP($Q10117,매칭테이블!$F:$I,3,0)</f>
        <v/>
      </c>
      <c r="O10117" s="94">
        <f>VLOOKUP($Q10117,매칭테이블!$F:$I,4,0)*K10117</f>
        <v/>
      </c>
      <c r="P10117" s="148">
        <f>M10117/1.1</f>
        <v/>
      </c>
      <c r="Q10117" s="94">
        <f>F10117&amp;E10117&amp;G10117&amp;L10117</f>
        <v/>
      </c>
    </row>
    <row r="10118" customFormat="1" s="94">
      <c r="B10118" s="128" t="n">
        <v>44121</v>
      </c>
      <c r="C10118" s="94">
        <f>TEXT(B10118,"aaa")</f>
        <v/>
      </c>
      <c r="E10118" s="94" t="inlineStr">
        <is>
          <t>머드크림마스크</t>
        </is>
      </c>
      <c r="F10118" s="5" t="inlineStr">
        <is>
          <t>카페24</t>
        </is>
      </c>
      <c r="G10118" s="94" t="inlineStr">
        <is>
          <t>머드크림마스크 100ml 2set</t>
        </is>
      </c>
      <c r="H10118" s="94" t="n">
        <v>200801</v>
      </c>
      <c r="I10118" s="94" t="n">
        <v>200801</v>
      </c>
      <c r="K10118" s="94" t="n">
        <v>4</v>
      </c>
      <c r="L10118" s="94" t="n">
        <v>200801</v>
      </c>
      <c r="M10118" s="94">
        <f>VLOOKUP($Q10118,매칭테이블!$F:$I,2,0)*K10118</f>
        <v/>
      </c>
      <c r="N10118" s="94">
        <f>M10118-M10118*VLOOKUP($Q10118,매칭테이블!$F:$I,3,0)</f>
        <v/>
      </c>
      <c r="O10118" s="94">
        <f>VLOOKUP($Q10118,매칭테이블!$F:$I,4,0)*K10118</f>
        <v/>
      </c>
      <c r="P10118" s="148">
        <f>M10118/1.1</f>
        <v/>
      </c>
      <c r="Q10118" s="94">
        <f>F10118&amp;E10118&amp;G10118&amp;L10118</f>
        <v/>
      </c>
    </row>
    <row r="10119" customFormat="1" s="94">
      <c r="B10119" s="128" t="n">
        <v>44121</v>
      </c>
      <c r="C10119" s="94">
        <f>TEXT(B10119,"aaa")</f>
        <v/>
      </c>
      <c r="E10119" s="94" t="inlineStr">
        <is>
          <t>마스크팩</t>
        </is>
      </c>
      <c r="F10119" s="5" t="inlineStr">
        <is>
          <t>카페24</t>
        </is>
      </c>
      <c r="G10119" s="94" t="inlineStr">
        <is>
          <t>마스크팩 1매</t>
        </is>
      </c>
      <c r="H10119" s="94" t="n">
        <v>200801</v>
      </c>
      <c r="I10119" s="94" t="n">
        <v>200801</v>
      </c>
      <c r="K10119" s="94" t="n">
        <v>3</v>
      </c>
      <c r="L10119" s="94" t="n">
        <v>200801</v>
      </c>
      <c r="M10119" s="94">
        <f>VLOOKUP($Q10119,매칭테이블!$F:$I,2,0)*K10119</f>
        <v/>
      </c>
      <c r="N10119" s="94">
        <f>M10119-M10119*VLOOKUP($Q10119,매칭테이블!$F:$I,3,0)</f>
        <v/>
      </c>
      <c r="O10119" s="94">
        <f>VLOOKUP($Q10119,매칭테이블!$F:$I,4,0)*K10119</f>
        <v/>
      </c>
      <c r="P10119" s="148">
        <f>M10119/1.1</f>
        <v/>
      </c>
      <c r="Q10119" s="94">
        <f>F10119&amp;E10119&amp;G10119&amp;L10119</f>
        <v/>
      </c>
    </row>
    <row r="10120" customFormat="1" s="94">
      <c r="B10120" s="128" t="n">
        <v>44121</v>
      </c>
      <c r="C10120" s="94">
        <f>TEXT(B10120,"aaa")</f>
        <v/>
      </c>
      <c r="E10120" s="94" t="inlineStr">
        <is>
          <t>마스크팩</t>
        </is>
      </c>
      <c r="F10120" s="5" t="inlineStr">
        <is>
          <t>카페24</t>
        </is>
      </c>
      <c r="G10120" s="94" t="inlineStr">
        <is>
          <t>마스크팩 10매</t>
        </is>
      </c>
      <c r="H10120" s="94" t="n">
        <v>200801</v>
      </c>
      <c r="I10120" s="94" t="n">
        <v>200801</v>
      </c>
      <c r="K10120" s="94" t="n">
        <v>4</v>
      </c>
      <c r="L10120" s="94" t="n">
        <v>200801</v>
      </c>
      <c r="M10120" s="94">
        <f>VLOOKUP($Q10120,매칭테이블!$F:$I,2,0)*K10120</f>
        <v/>
      </c>
      <c r="N10120" s="94">
        <f>M10120-M10120*VLOOKUP($Q10120,매칭테이블!$F:$I,3,0)</f>
        <v/>
      </c>
      <c r="O10120" s="94">
        <f>VLOOKUP($Q10120,매칭테이블!$F:$I,4,0)*K10120</f>
        <v/>
      </c>
      <c r="P10120" s="148">
        <f>M10120/1.1</f>
        <v/>
      </c>
      <c r="Q10120" s="94">
        <f>F10120&amp;E10120&amp;G10120&amp;L10120</f>
        <v/>
      </c>
    </row>
    <row r="10121" customFormat="1" s="94">
      <c r="B10121" s="128" t="n">
        <v>44121</v>
      </c>
      <c r="C10121" s="94">
        <f>TEXT(B10121,"aaa")</f>
        <v/>
      </c>
      <c r="E10121" s="94" t="inlineStr">
        <is>
          <t>토너</t>
        </is>
      </c>
      <c r="F10121" s="5" t="inlineStr">
        <is>
          <t>카페24</t>
        </is>
      </c>
      <c r="G10121" s="94" t="inlineStr">
        <is>
          <t>250ml</t>
        </is>
      </c>
      <c r="H10121" s="94" t="n">
        <v>200801</v>
      </c>
      <c r="I10121" s="94" t="n">
        <v>200801</v>
      </c>
      <c r="K10121" s="94" t="n">
        <v>18</v>
      </c>
      <c r="L10121" s="94" t="n">
        <v>200801</v>
      </c>
      <c r="M10121" s="94">
        <f>VLOOKUP($Q10121,매칭테이블!$F:$I,2,0)*K10121</f>
        <v/>
      </c>
      <c r="N10121" s="94">
        <f>M10121-M10121*VLOOKUP($Q10121,매칭테이블!$F:$I,3,0)</f>
        <v/>
      </c>
      <c r="O10121" s="94">
        <f>VLOOKUP($Q10121,매칭테이블!$F:$I,4,0)*K10121</f>
        <v/>
      </c>
      <c r="P10121" s="148">
        <f>M10121/1.1</f>
        <v/>
      </c>
      <c r="Q10121" s="94">
        <f>F10121&amp;E10121&amp;G10121&amp;L10121</f>
        <v/>
      </c>
    </row>
    <row r="10122" customFormat="1" s="94">
      <c r="B10122" s="128" t="n">
        <v>44121</v>
      </c>
      <c r="C10122" s="94">
        <f>TEXT(B10122,"aaa")</f>
        <v/>
      </c>
      <c r="E10122" s="94" t="inlineStr">
        <is>
          <t>토너</t>
        </is>
      </c>
      <c r="F10122" s="5" t="inlineStr">
        <is>
          <t>카페24</t>
        </is>
      </c>
      <c r="G10122" s="94" t="inlineStr">
        <is>
          <t>250ml 2set</t>
        </is>
      </c>
      <c r="H10122" s="94" t="n">
        <v>200801</v>
      </c>
      <c r="I10122" s="94" t="n">
        <v>200801</v>
      </c>
      <c r="K10122" s="94" t="n">
        <v>3</v>
      </c>
      <c r="L10122" s="94" t="n">
        <v>200801</v>
      </c>
      <c r="M10122" s="94">
        <f>VLOOKUP($Q10122,매칭테이블!$F:$I,2,0)*K10122</f>
        <v/>
      </c>
      <c r="N10122" s="94">
        <f>M10122-M10122*VLOOKUP($Q10122,매칭테이블!$F:$I,3,0)</f>
        <v/>
      </c>
      <c r="O10122" s="94">
        <f>VLOOKUP($Q10122,매칭테이블!$F:$I,4,0)*K10122</f>
        <v/>
      </c>
      <c r="P10122" s="148">
        <f>M10122/1.1</f>
        <v/>
      </c>
      <c r="Q10122" s="94">
        <f>F10122&amp;E10122&amp;G10122&amp;L10122</f>
        <v/>
      </c>
    </row>
    <row r="10123" customFormat="1" s="94">
      <c r="B10123" s="128" t="n">
        <v>44121</v>
      </c>
      <c r="C10123" s="94">
        <f>TEXT(B10123,"aaa")</f>
        <v/>
      </c>
      <c r="E10123" s="94" t="inlineStr">
        <is>
          <t>토너</t>
        </is>
      </c>
      <c r="F10123" s="5" t="inlineStr">
        <is>
          <t>카페24</t>
        </is>
      </c>
      <c r="G10123" s="94" t="inlineStr">
        <is>
          <t>500ml</t>
        </is>
      </c>
      <c r="H10123" s="94" t="n">
        <v>200801</v>
      </c>
      <c r="I10123" s="94" t="n">
        <v>200801</v>
      </c>
      <c r="K10123" s="94" t="n">
        <v>33</v>
      </c>
      <c r="L10123" s="94" t="n">
        <v>200801</v>
      </c>
      <c r="M10123" s="94">
        <f>VLOOKUP($Q10123,매칭테이블!$F:$I,2,0)*K10123</f>
        <v/>
      </c>
      <c r="N10123" s="94">
        <f>M10123-M10123*VLOOKUP($Q10123,매칭테이블!$F:$I,3,0)</f>
        <v/>
      </c>
      <c r="O10123" s="94">
        <f>VLOOKUP($Q10123,매칭테이블!$F:$I,4,0)*K10123</f>
        <v/>
      </c>
      <c r="P10123" s="148">
        <f>M10123/1.1</f>
        <v/>
      </c>
      <c r="Q10123" s="94">
        <f>F10123&amp;E10123&amp;G10123&amp;L10123</f>
        <v/>
      </c>
    </row>
    <row r="10124" customFormat="1" s="94">
      <c r="B10124" s="128" t="n">
        <v>44121</v>
      </c>
      <c r="C10124" s="94">
        <f>TEXT(B10124,"aaa")</f>
        <v/>
      </c>
      <c r="E10124" s="94" t="inlineStr">
        <is>
          <t>토너</t>
        </is>
      </c>
      <c r="F10124" s="5" t="inlineStr">
        <is>
          <t>카페24</t>
        </is>
      </c>
      <c r="G10124" s="94" t="inlineStr">
        <is>
          <t>스킨팩 화장솜 60P</t>
        </is>
      </c>
      <c r="H10124" s="94" t="n">
        <v>200801</v>
      </c>
      <c r="I10124" s="94" t="n">
        <v>200801</v>
      </c>
      <c r="K10124" s="94" t="n">
        <v>11</v>
      </c>
      <c r="L10124" s="94" t="n">
        <v>200801</v>
      </c>
      <c r="M10124" s="94">
        <f>VLOOKUP($Q10124,매칭테이블!$F:$I,2,0)*K10124</f>
        <v/>
      </c>
      <c r="N10124" s="94">
        <f>M10124-M10124*VLOOKUP($Q10124,매칭테이블!$F:$I,3,0)</f>
        <v/>
      </c>
      <c r="O10124" s="94">
        <f>VLOOKUP($Q10124,매칭테이블!$F:$I,4,0)*K10124</f>
        <v/>
      </c>
      <c r="P10124" s="148">
        <f>M10124/1.1</f>
        <v/>
      </c>
      <c r="Q10124" s="94">
        <f>F10124&amp;E10124&amp;G10124&amp;L10124</f>
        <v/>
      </c>
    </row>
    <row r="10125" customFormat="1" s="94">
      <c r="B10125" s="128" t="n">
        <v>44121</v>
      </c>
      <c r="C10125" s="94">
        <f>TEXT(B10125,"aaa")</f>
        <v/>
      </c>
      <c r="E10125" s="94" t="inlineStr">
        <is>
          <t>앰플</t>
        </is>
      </c>
      <c r="F10125" s="5" t="inlineStr">
        <is>
          <t>카페24</t>
        </is>
      </c>
      <c r="G10125" s="94" t="inlineStr">
        <is>
          <t>앰플 30ml</t>
        </is>
      </c>
      <c r="H10125" s="94" t="n">
        <v>200801</v>
      </c>
      <c r="I10125" s="94" t="n">
        <v>200801</v>
      </c>
      <c r="K10125" s="94" t="n">
        <v>14</v>
      </c>
      <c r="L10125" s="94" t="n">
        <v>200801</v>
      </c>
      <c r="M10125" s="94">
        <f>VLOOKUP($Q10125,매칭테이블!$F:$I,2,0)*K10125</f>
        <v/>
      </c>
      <c r="N10125" s="94">
        <f>M10125-M10125*VLOOKUP($Q10125,매칭테이블!$F:$I,3,0)</f>
        <v/>
      </c>
      <c r="O10125" s="94">
        <f>VLOOKUP($Q10125,매칭테이블!$F:$I,4,0)*K10125</f>
        <v/>
      </c>
      <c r="P10125" s="148">
        <f>M10125/1.1</f>
        <v/>
      </c>
      <c r="Q10125" s="94">
        <f>F10125&amp;E10125&amp;G10125&amp;L10125</f>
        <v/>
      </c>
    </row>
    <row r="10126" customFormat="1" s="94">
      <c r="B10126" s="128" t="n">
        <v>44121</v>
      </c>
      <c r="C10126" s="94">
        <f>TEXT(B10126,"aaa")</f>
        <v/>
      </c>
      <c r="E10126" s="94" t="inlineStr">
        <is>
          <t>앰플</t>
        </is>
      </c>
      <c r="F10126" s="5" t="inlineStr">
        <is>
          <t>카페24</t>
        </is>
      </c>
      <c r="G10126" s="94" t="inlineStr">
        <is>
          <t>앰플 30ml  2set</t>
        </is>
      </c>
      <c r="H10126" s="94" t="n">
        <v>200801</v>
      </c>
      <c r="I10126" s="94" t="n">
        <v>200801</v>
      </c>
      <c r="K10126" s="94" t="n">
        <v>1</v>
      </c>
      <c r="L10126" s="94" t="n">
        <v>200801</v>
      </c>
      <c r="M10126" s="94">
        <f>VLOOKUP($Q10126,매칭테이블!$F:$I,2,0)*K10126</f>
        <v/>
      </c>
      <c r="N10126" s="94">
        <f>M10126-M10126*VLOOKUP($Q10126,매칭테이블!$F:$I,3,0)</f>
        <v/>
      </c>
      <c r="O10126" s="94">
        <f>VLOOKUP($Q10126,매칭테이블!$F:$I,4,0)*K10126</f>
        <v/>
      </c>
      <c r="P10126" s="148">
        <f>M10126/1.1</f>
        <v/>
      </c>
      <c r="Q10126" s="94">
        <f>F10126&amp;E10126&amp;G10126&amp;L10126</f>
        <v/>
      </c>
    </row>
    <row r="10127" customFormat="1" s="94">
      <c r="B10127" s="128" t="n">
        <v>44121</v>
      </c>
      <c r="C10127" s="94">
        <f>TEXT(B10127,"aaa")</f>
        <v/>
      </c>
      <c r="E10127" s="94" t="inlineStr">
        <is>
          <t>수딩크림</t>
        </is>
      </c>
      <c r="F10127" s="5" t="inlineStr">
        <is>
          <t>카페24</t>
        </is>
      </c>
      <c r="G10127" s="94" t="inlineStr">
        <is>
          <t>수딩크림 100ml</t>
        </is>
      </c>
      <c r="H10127" s="94" t="n">
        <v>200801</v>
      </c>
      <c r="I10127" s="94" t="n">
        <v>200801</v>
      </c>
      <c r="K10127" s="94" t="n">
        <v>3</v>
      </c>
      <c r="L10127" s="94" t="n">
        <v>200801</v>
      </c>
      <c r="M10127" s="94">
        <f>VLOOKUP($Q10127,매칭테이블!$F:$I,2,0)*K10127</f>
        <v/>
      </c>
      <c r="N10127" s="94">
        <f>M10127-M10127*VLOOKUP($Q10127,매칭테이블!$F:$I,3,0)</f>
        <v/>
      </c>
      <c r="O10127" s="94">
        <f>VLOOKUP($Q10127,매칭테이블!$F:$I,4,0)*K10127</f>
        <v/>
      </c>
      <c r="P10127" s="148">
        <f>M10127/1.1</f>
        <v/>
      </c>
      <c r="Q10127" s="94">
        <f>F10127&amp;E10127&amp;G10127&amp;L10127</f>
        <v/>
      </c>
    </row>
    <row r="10128" customFormat="1" s="94">
      <c r="B10128" s="128" t="n">
        <v>44121</v>
      </c>
      <c r="C10128" s="94">
        <f>TEXT(B10128,"aaa")</f>
        <v/>
      </c>
      <c r="E10128" s="94" t="inlineStr">
        <is>
          <t>클렌징폼</t>
        </is>
      </c>
      <c r="F10128" s="5" t="inlineStr">
        <is>
          <t>카페24</t>
        </is>
      </c>
      <c r="G10128" s="94" t="inlineStr">
        <is>
          <t>클렌징폼 120ml</t>
        </is>
      </c>
      <c r="H10128" s="94" t="n">
        <v>200801</v>
      </c>
      <c r="I10128" s="94" t="n">
        <v>200801</v>
      </c>
      <c r="K10128" s="94" t="n">
        <v>7</v>
      </c>
      <c r="L10128" s="94" t="n">
        <v>200801</v>
      </c>
      <c r="M10128" s="94">
        <f>VLOOKUP($Q10128,매칭테이블!$F:$I,2,0)*K10128</f>
        <v/>
      </c>
      <c r="N10128" s="94">
        <f>M10128-M10128*VLOOKUP($Q10128,매칭테이블!$F:$I,3,0)</f>
        <v/>
      </c>
      <c r="O10128" s="94">
        <f>VLOOKUP($Q10128,매칭테이블!$F:$I,4,0)*K10128</f>
        <v/>
      </c>
      <c r="P10128" s="148">
        <f>M10128/1.1</f>
        <v/>
      </c>
      <c r="Q10128" s="94">
        <f>F10128&amp;E10128&amp;G10128&amp;L10128</f>
        <v/>
      </c>
    </row>
    <row r="10129" customFormat="1" s="94">
      <c r="B10129" s="128" t="n">
        <v>44121</v>
      </c>
      <c r="C10129" s="94">
        <f>TEXT(B10129,"aaa")</f>
        <v/>
      </c>
      <c r="E10129" s="94" t="inlineStr">
        <is>
          <t>클렌징폼</t>
        </is>
      </c>
      <c r="F10129" s="5" t="inlineStr">
        <is>
          <t>카페24</t>
        </is>
      </c>
      <c r="G10129" s="94" t="inlineStr">
        <is>
          <t>클렌징폼 120ml 2set</t>
        </is>
      </c>
      <c r="H10129" s="94" t="n">
        <v>200801</v>
      </c>
      <c r="I10129" s="94" t="n">
        <v>200801</v>
      </c>
      <c r="K10129" s="94" t="n">
        <v>4</v>
      </c>
      <c r="L10129" s="94" t="n">
        <v>200801</v>
      </c>
      <c r="M10129" s="94">
        <f>VLOOKUP($Q10129,매칭테이블!$F:$I,2,0)*K10129</f>
        <v/>
      </c>
      <c r="N10129" s="94">
        <f>M10129-M10129*VLOOKUP($Q10129,매칭테이블!$F:$I,3,0)</f>
        <v/>
      </c>
      <c r="O10129" s="94">
        <f>VLOOKUP($Q10129,매칭테이블!$F:$I,4,0)*K10129</f>
        <v/>
      </c>
      <c r="P10129" s="148">
        <f>M10129/1.1</f>
        <v/>
      </c>
      <c r="Q10129" s="94">
        <f>F10129&amp;E10129&amp;G10129&amp;L10129</f>
        <v/>
      </c>
    </row>
    <row r="10130" customFormat="1" s="94">
      <c r="B10130" s="128" t="n">
        <v>44121</v>
      </c>
      <c r="C10130" s="94">
        <f>TEXT(B10130,"aaa")</f>
        <v/>
      </c>
      <c r="E10130" s="94" t="inlineStr">
        <is>
          <t>바디워시</t>
        </is>
      </c>
      <c r="F10130" s="5" t="inlineStr">
        <is>
          <t>카페24</t>
        </is>
      </c>
      <c r="G10130" s="94" t="inlineStr">
        <is>
          <t>바디워시 1개 -30% off</t>
        </is>
      </c>
      <c r="H10130" s="94" t="n">
        <v>200801</v>
      </c>
      <c r="I10130" s="94" t="n">
        <v>200801</v>
      </c>
      <c r="K10130" s="94" t="n">
        <v>1</v>
      </c>
      <c r="L10130" s="94" t="n">
        <v>200801</v>
      </c>
      <c r="M10130" s="94">
        <f>VLOOKUP($Q10130,매칭테이블!$F:$I,2,0)*K10130</f>
        <v/>
      </c>
      <c r="N10130" s="94">
        <f>M10130-M10130*VLOOKUP($Q10130,매칭테이블!$F:$I,3,0)</f>
        <v/>
      </c>
      <c r="O10130" s="94">
        <f>VLOOKUP($Q10130,매칭테이블!$F:$I,4,0)*K10130</f>
        <v/>
      </c>
      <c r="P10130" s="148">
        <f>M10130/1.1</f>
        <v/>
      </c>
      <c r="Q10130" s="94">
        <f>F10130&amp;E10130&amp;G10130&amp;L10130</f>
        <v/>
      </c>
    </row>
    <row r="10131" customFormat="1" s="94">
      <c r="B10131" s="128" t="n">
        <v>44121</v>
      </c>
      <c r="C10131" s="94">
        <f>TEXT(B10131,"aaa")</f>
        <v/>
      </c>
      <c r="E10131" s="94" t="inlineStr">
        <is>
          <t>토너</t>
        </is>
      </c>
      <c r="F10131" s="5" t="inlineStr">
        <is>
          <t>화해</t>
        </is>
      </c>
      <c r="G10131" s="94" t="inlineStr">
        <is>
          <t>250ml</t>
        </is>
      </c>
      <c r="H10131" s="94" t="n">
        <v>200801</v>
      </c>
      <c r="I10131" s="94" t="n">
        <v>200801</v>
      </c>
      <c r="K10131" s="94" t="n">
        <v>6</v>
      </c>
      <c r="L10131" s="94" t="n">
        <v>200801</v>
      </c>
      <c r="M10131" s="94">
        <f>VLOOKUP($Q10131,매칭테이블!$F:$I,2,0)*K10131</f>
        <v/>
      </c>
      <c r="N10131" s="94">
        <f>M10131-M10131*VLOOKUP($Q10131,매칭테이블!$F:$I,3,0)</f>
        <v/>
      </c>
      <c r="O10131" s="94">
        <f>VLOOKUP($Q10131,매칭테이블!$F:$I,4,0)*K10131</f>
        <v/>
      </c>
      <c r="P10131" s="148">
        <f>M10131/1.1</f>
        <v/>
      </c>
      <c r="Q10131" s="94">
        <f>F10131&amp;E10131&amp;G10131&amp;L10131</f>
        <v/>
      </c>
    </row>
    <row r="10132" customFormat="1" s="94">
      <c r="B10132" s="128" t="n">
        <v>44122</v>
      </c>
      <c r="C10132" s="94">
        <f>TEXT(B10132,"aaa")</f>
        <v/>
      </c>
      <c r="E10132" s="94" t="inlineStr">
        <is>
          <t>토너</t>
        </is>
      </c>
      <c r="F10132" s="5" t="inlineStr">
        <is>
          <t>스타일쉐어</t>
        </is>
      </c>
      <c r="G10132" s="94" t="inlineStr">
        <is>
          <t>250ml</t>
        </is>
      </c>
      <c r="H10132" s="94" t="n">
        <v>200801</v>
      </c>
      <c r="I10132" s="94" t="n">
        <v>200801</v>
      </c>
      <c r="K10132" s="94" t="n">
        <v>4</v>
      </c>
      <c r="L10132" s="94" t="n">
        <v>200801</v>
      </c>
      <c r="M10132" s="94">
        <f>VLOOKUP($Q10132,매칭테이블!$F:$I,2,0)*K10132</f>
        <v/>
      </c>
      <c r="N10132" s="94">
        <f>M10132-M10132*VLOOKUP($Q10132,매칭테이블!$F:$I,3,0)</f>
        <v/>
      </c>
      <c r="O10132" s="94">
        <f>VLOOKUP($Q10132,매칭테이블!$F:$I,4,0)*K10132</f>
        <v/>
      </c>
      <c r="P10132" s="148">
        <f>M10132/1.1</f>
        <v/>
      </c>
      <c r="Q10132" s="94">
        <f>F10132&amp;E10132&amp;G10132&amp;L10132</f>
        <v/>
      </c>
    </row>
    <row r="10133" customFormat="1" s="94">
      <c r="B10133" s="128" t="n">
        <v>44122</v>
      </c>
      <c r="C10133" s="94">
        <f>TEXT(B10133,"aaa")</f>
        <v/>
      </c>
      <c r="E10133" s="94" t="inlineStr">
        <is>
          <t>선크림</t>
        </is>
      </c>
      <c r="F10133" s="5" t="inlineStr">
        <is>
          <t>카페24</t>
        </is>
      </c>
      <c r="G10133" s="94" t="inlineStr">
        <is>
          <t>선크림 50ml</t>
        </is>
      </c>
      <c r="H10133" s="94" t="n">
        <v>200801</v>
      </c>
      <c r="I10133" s="94" t="n">
        <v>200801</v>
      </c>
      <c r="K10133" s="94" t="n">
        <v>2</v>
      </c>
      <c r="L10133" s="94" t="n">
        <v>200801</v>
      </c>
      <c r="M10133" s="94">
        <f>VLOOKUP($Q10133,매칭테이블!$F:$I,2,0)*K10133</f>
        <v/>
      </c>
      <c r="N10133" s="94">
        <f>M10133-M10133*VLOOKUP($Q10133,매칭테이블!$F:$I,3,0)</f>
        <v/>
      </c>
      <c r="O10133" s="94">
        <f>VLOOKUP($Q10133,매칭테이블!$F:$I,4,0)*K10133</f>
        <v/>
      </c>
      <c r="P10133" s="148">
        <f>M10133/1.1</f>
        <v/>
      </c>
      <c r="Q10133" s="94">
        <f>F10133&amp;E10133&amp;G10133&amp;L10133</f>
        <v/>
      </c>
    </row>
    <row r="10134" customFormat="1" s="94">
      <c r="B10134" s="128" t="n">
        <v>44122</v>
      </c>
      <c r="C10134" s="94">
        <f>TEXT(B10134,"aaa")</f>
        <v/>
      </c>
      <c r="E10134" s="94" t="inlineStr">
        <is>
          <t>어성초진정패키지</t>
        </is>
      </c>
      <c r="F10134" s="5" t="inlineStr">
        <is>
          <t>카페24</t>
        </is>
      </c>
      <c r="G10134" s="94" t="inlineStr">
        <is>
          <t>어성초 진정패키지세트</t>
        </is>
      </c>
      <c r="H10134" s="94" t="n">
        <v>200801</v>
      </c>
      <c r="I10134" s="94" t="n">
        <v>200801</v>
      </c>
      <c r="K10134" s="94" t="n">
        <v>5</v>
      </c>
      <c r="L10134" s="94" t="n">
        <v>200801</v>
      </c>
      <c r="M10134" s="94">
        <f>VLOOKUP($Q10134,매칭테이블!$F:$I,2,0)*K10134</f>
        <v/>
      </c>
      <c r="N10134" s="94">
        <f>M10134-M10134*VLOOKUP($Q10134,매칭테이블!$F:$I,3,0)</f>
        <v/>
      </c>
      <c r="O10134" s="94">
        <f>VLOOKUP($Q10134,매칭테이블!$F:$I,4,0)*K10134</f>
        <v/>
      </c>
      <c r="P10134" s="148">
        <f>M10134/1.1</f>
        <v/>
      </c>
      <c r="Q10134" s="94">
        <f>F10134&amp;E10134&amp;G10134&amp;L10134</f>
        <v/>
      </c>
    </row>
    <row r="10135" customFormat="1" s="94">
      <c r="B10135" s="128" t="n">
        <v>44122</v>
      </c>
      <c r="C10135" s="94">
        <f>TEXT(B10135,"aaa")</f>
        <v/>
      </c>
      <c r="E10135" s="94" t="inlineStr">
        <is>
          <t>토너+패드 세트</t>
        </is>
      </c>
      <c r="F10135" s="5" t="inlineStr">
        <is>
          <t>카페24</t>
        </is>
      </c>
      <c r="G10135" s="94" t="inlineStr">
        <is>
          <t>좁쌀 진정 세트 토너+클리어 패드-30% off</t>
        </is>
      </c>
      <c r="H10135" s="94" t="n">
        <v>200801</v>
      </c>
      <c r="I10135" s="94" t="n">
        <v>200801</v>
      </c>
      <c r="K10135" s="94" t="n">
        <v>4</v>
      </c>
      <c r="L10135" s="94" t="n">
        <v>200801</v>
      </c>
      <c r="M10135" s="94">
        <f>VLOOKUP($Q10135,매칭테이블!$F:$I,2,0)*K10135</f>
        <v/>
      </c>
      <c r="N10135" s="94">
        <f>M10135-M10135*VLOOKUP($Q10135,매칭테이블!$F:$I,3,0)</f>
        <v/>
      </c>
      <c r="O10135" s="94">
        <f>VLOOKUP($Q10135,매칭테이블!$F:$I,4,0)*K10135</f>
        <v/>
      </c>
      <c r="P10135" s="148">
        <f>M10135/1.1</f>
        <v/>
      </c>
      <c r="Q10135" s="94">
        <f>F10135&amp;E10135&amp;G10135&amp;L10135</f>
        <v/>
      </c>
    </row>
    <row r="10136" customFormat="1" s="94">
      <c r="B10136" s="128" t="n">
        <v>44122</v>
      </c>
      <c r="C10136" s="94">
        <f>TEXT(B10136,"aaa")</f>
        <v/>
      </c>
      <c r="E10136" s="94" t="inlineStr">
        <is>
          <t>수분 보충 세트</t>
        </is>
      </c>
      <c r="F10136" s="5" t="inlineStr">
        <is>
          <t>카페24</t>
        </is>
      </c>
      <c r="G10136" s="94" t="inlineStr">
        <is>
          <t>[20/09/28 부터] 어성초 77 토너 250ml + 어성초 70 로션 200ml -30%</t>
        </is>
      </c>
      <c r="H10136" s="94" t="n">
        <v>200801</v>
      </c>
      <c r="I10136" s="94" t="n">
        <v>200801</v>
      </c>
      <c r="K10136" s="94" t="n">
        <v>26</v>
      </c>
      <c r="L10136" s="94" t="n">
        <v>200801</v>
      </c>
      <c r="M10136" s="94">
        <f>VLOOKUP($Q10136,매칭테이블!$F:$I,2,0)*K10136</f>
        <v/>
      </c>
      <c r="N10136" s="94">
        <f>M10136-M10136*VLOOKUP($Q10136,매칭테이블!$F:$I,3,0)</f>
        <v/>
      </c>
      <c r="O10136" s="94">
        <f>VLOOKUP($Q10136,매칭테이블!$F:$I,4,0)*K10136</f>
        <v/>
      </c>
      <c r="P10136" s="148">
        <f>M10136/1.1</f>
        <v/>
      </c>
      <c r="Q10136" s="94">
        <f>F10136&amp;E10136&amp;G10136&amp;L10136</f>
        <v/>
      </c>
    </row>
    <row r="10137" customFormat="1" s="94">
      <c r="B10137" s="128" t="n">
        <v>44122</v>
      </c>
      <c r="C10137" s="94">
        <f>TEXT(B10137,"aaa")</f>
        <v/>
      </c>
      <c r="E10137" s="94" t="inlineStr">
        <is>
          <t>로션</t>
        </is>
      </c>
      <c r="F10137" s="5" t="inlineStr">
        <is>
          <t>카페24</t>
        </is>
      </c>
      <c r="G10137" s="94" t="inlineStr">
        <is>
          <t>어성초 70 데일리 릴리프 로션 1개 -20% off</t>
        </is>
      </c>
      <c r="H10137" s="94" t="n">
        <v>200801</v>
      </c>
      <c r="I10137" s="94" t="n">
        <v>200801</v>
      </c>
      <c r="K10137" s="94" t="n">
        <v>4</v>
      </c>
      <c r="L10137" s="94" t="n">
        <v>200801</v>
      </c>
      <c r="M10137" s="94">
        <f>VLOOKUP($Q10137,매칭테이블!$F:$I,2,0)*K10137</f>
        <v/>
      </c>
      <c r="N10137" s="94">
        <f>M10137-M10137*VLOOKUP($Q10137,매칭테이블!$F:$I,3,0)</f>
        <v/>
      </c>
      <c r="O10137" s="94">
        <f>VLOOKUP($Q10137,매칭테이블!$F:$I,4,0)*K10137</f>
        <v/>
      </c>
      <c r="P10137" s="148">
        <f>M10137/1.1</f>
        <v/>
      </c>
      <c r="Q10137" s="94">
        <f>F10137&amp;E10137&amp;G10137&amp;L10137</f>
        <v/>
      </c>
    </row>
    <row r="10138" customFormat="1" s="94">
      <c r="B10138" s="128" t="n">
        <v>44122</v>
      </c>
      <c r="C10138" s="94">
        <f>TEXT(B10138,"aaa")</f>
        <v/>
      </c>
      <c r="E10138" s="94" t="inlineStr">
        <is>
          <t>머드크림마스크</t>
        </is>
      </c>
      <c r="F10138" s="5" t="inlineStr">
        <is>
          <t>카페24</t>
        </is>
      </c>
      <c r="G10138" s="94" t="inlineStr">
        <is>
          <t>머드크림마스크 100ml</t>
        </is>
      </c>
      <c r="H10138" s="94" t="n">
        <v>200801</v>
      </c>
      <c r="I10138" s="94" t="n">
        <v>200801</v>
      </c>
      <c r="K10138" s="94" t="n">
        <v>29</v>
      </c>
      <c r="L10138" s="94" t="n">
        <v>200801</v>
      </c>
      <c r="M10138" s="94">
        <f>VLOOKUP($Q10138,매칭테이블!$F:$I,2,0)*K10138</f>
        <v/>
      </c>
      <c r="N10138" s="94">
        <f>M10138-M10138*VLOOKUP($Q10138,매칭테이블!$F:$I,3,0)</f>
        <v/>
      </c>
      <c r="O10138" s="94">
        <f>VLOOKUP($Q10138,매칭테이블!$F:$I,4,0)*K10138</f>
        <v/>
      </c>
      <c r="P10138" s="148">
        <f>M10138/1.1</f>
        <v/>
      </c>
      <c r="Q10138" s="94">
        <f>F10138&amp;E10138&amp;G10138&amp;L10138</f>
        <v/>
      </c>
    </row>
    <row r="10139" customFormat="1" s="94">
      <c r="B10139" s="128" t="n">
        <v>44122</v>
      </c>
      <c r="C10139" s="94">
        <f>TEXT(B10139,"aaa")</f>
        <v/>
      </c>
      <c r="E10139" s="94" t="inlineStr">
        <is>
          <t>머드크림마스크</t>
        </is>
      </c>
      <c r="F10139" s="5" t="inlineStr">
        <is>
          <t>카페24</t>
        </is>
      </c>
      <c r="G10139" s="94" t="inlineStr">
        <is>
          <t>머드크림마스크 100ml 2set</t>
        </is>
      </c>
      <c r="H10139" s="94" t="n">
        <v>200801</v>
      </c>
      <c r="I10139" s="94" t="n">
        <v>200801</v>
      </c>
      <c r="K10139" s="94" t="n">
        <v>3</v>
      </c>
      <c r="L10139" s="94" t="n">
        <v>200801</v>
      </c>
      <c r="M10139" s="94">
        <f>VLOOKUP($Q10139,매칭테이블!$F:$I,2,0)*K10139</f>
        <v/>
      </c>
      <c r="N10139" s="94">
        <f>M10139-M10139*VLOOKUP($Q10139,매칭테이블!$F:$I,3,0)</f>
        <v/>
      </c>
      <c r="O10139" s="94">
        <f>VLOOKUP($Q10139,매칭테이블!$F:$I,4,0)*K10139</f>
        <v/>
      </c>
      <c r="P10139" s="148">
        <f>M10139/1.1</f>
        <v/>
      </c>
      <c r="Q10139" s="94">
        <f>F10139&amp;E10139&amp;G10139&amp;L10139</f>
        <v/>
      </c>
    </row>
    <row r="10140" customFormat="1" s="94">
      <c r="B10140" s="128" t="n">
        <v>44122</v>
      </c>
      <c r="C10140" s="94">
        <f>TEXT(B10140,"aaa")</f>
        <v/>
      </c>
      <c r="E10140" s="94" t="inlineStr">
        <is>
          <t>마스크팩</t>
        </is>
      </c>
      <c r="F10140" s="5" t="inlineStr">
        <is>
          <t>카페24</t>
        </is>
      </c>
      <c r="G10140" s="94" t="inlineStr">
        <is>
          <t>마스크팩 1매</t>
        </is>
      </c>
      <c r="H10140" s="94" t="n">
        <v>200801</v>
      </c>
      <c r="I10140" s="94" t="n">
        <v>200801</v>
      </c>
      <c r="K10140" s="94" t="n">
        <v>2</v>
      </c>
      <c r="L10140" s="94" t="n">
        <v>200801</v>
      </c>
      <c r="M10140" s="94">
        <f>VLOOKUP($Q10140,매칭테이블!$F:$I,2,0)*K10140</f>
        <v/>
      </c>
      <c r="N10140" s="94">
        <f>M10140-M10140*VLOOKUP($Q10140,매칭테이블!$F:$I,3,0)</f>
        <v/>
      </c>
      <c r="O10140" s="94">
        <f>VLOOKUP($Q10140,매칭테이블!$F:$I,4,0)*K10140</f>
        <v/>
      </c>
      <c r="P10140" s="148">
        <f>M10140/1.1</f>
        <v/>
      </c>
      <c r="Q10140" s="94">
        <f>F10140&amp;E10140&amp;G10140&amp;L10140</f>
        <v/>
      </c>
    </row>
    <row r="10141" customFormat="1" s="94">
      <c r="B10141" s="128" t="n">
        <v>44122</v>
      </c>
      <c r="C10141" s="94">
        <f>TEXT(B10141,"aaa")</f>
        <v/>
      </c>
      <c r="E10141" s="94" t="inlineStr">
        <is>
          <t>마스크팩</t>
        </is>
      </c>
      <c r="F10141" s="5" t="inlineStr">
        <is>
          <t>카페24</t>
        </is>
      </c>
      <c r="G10141" s="94" t="inlineStr">
        <is>
          <t>마스크팩 10매</t>
        </is>
      </c>
      <c r="H10141" s="94" t="n">
        <v>200801</v>
      </c>
      <c r="I10141" s="94" t="n">
        <v>200801</v>
      </c>
      <c r="K10141" s="94" t="n">
        <v>3</v>
      </c>
      <c r="L10141" s="94" t="n">
        <v>200801</v>
      </c>
      <c r="M10141" s="94">
        <f>VLOOKUP($Q10141,매칭테이블!$F:$I,2,0)*K10141</f>
        <v/>
      </c>
      <c r="N10141" s="94">
        <f>M10141-M10141*VLOOKUP($Q10141,매칭테이블!$F:$I,3,0)</f>
        <v/>
      </c>
      <c r="O10141" s="94">
        <f>VLOOKUP($Q10141,매칭테이블!$F:$I,4,0)*K10141</f>
        <v/>
      </c>
      <c r="P10141" s="148">
        <f>M10141/1.1</f>
        <v/>
      </c>
      <c r="Q10141" s="94">
        <f>F10141&amp;E10141&amp;G10141&amp;L10141</f>
        <v/>
      </c>
    </row>
    <row r="10142" customFormat="1" s="94">
      <c r="B10142" s="128" t="n">
        <v>44122</v>
      </c>
      <c r="C10142" s="94">
        <f>TEXT(B10142,"aaa")</f>
        <v/>
      </c>
      <c r="E10142" s="94" t="inlineStr">
        <is>
          <t>토너</t>
        </is>
      </c>
      <c r="F10142" s="5" t="inlineStr">
        <is>
          <t>카페24</t>
        </is>
      </c>
      <c r="G10142" s="94" t="inlineStr">
        <is>
          <t>250ml</t>
        </is>
      </c>
      <c r="H10142" s="94" t="n">
        <v>200801</v>
      </c>
      <c r="I10142" s="94" t="n">
        <v>200801</v>
      </c>
      <c r="K10142" s="94" t="n">
        <v>37</v>
      </c>
      <c r="L10142" s="94" t="n">
        <v>200801</v>
      </c>
      <c r="M10142" s="94">
        <f>VLOOKUP($Q10142,매칭테이블!$F:$I,2,0)*K10142</f>
        <v/>
      </c>
      <c r="N10142" s="94">
        <f>M10142-M10142*VLOOKUP($Q10142,매칭테이블!$F:$I,3,0)</f>
        <v/>
      </c>
      <c r="O10142" s="94">
        <f>VLOOKUP($Q10142,매칭테이블!$F:$I,4,0)*K10142</f>
        <v/>
      </c>
      <c r="P10142" s="148">
        <f>M10142/1.1</f>
        <v/>
      </c>
      <c r="Q10142" s="94">
        <f>F10142&amp;E10142&amp;G10142&amp;L10142</f>
        <v/>
      </c>
    </row>
    <row r="10143" customFormat="1" s="94">
      <c r="B10143" s="128" t="n">
        <v>44122</v>
      </c>
      <c r="C10143" s="94">
        <f>TEXT(B10143,"aaa")</f>
        <v/>
      </c>
      <c r="E10143" s="94" t="inlineStr">
        <is>
          <t>토너</t>
        </is>
      </c>
      <c r="F10143" s="5" t="inlineStr">
        <is>
          <t>카페24</t>
        </is>
      </c>
      <c r="G10143" s="94" t="inlineStr">
        <is>
          <t>250ml 2set</t>
        </is>
      </c>
      <c r="H10143" s="94" t="n">
        <v>200801</v>
      </c>
      <c r="I10143" s="94" t="n">
        <v>200801</v>
      </c>
      <c r="K10143" s="94" t="n">
        <v>17</v>
      </c>
      <c r="L10143" s="94" t="n">
        <v>200801</v>
      </c>
      <c r="M10143" s="94">
        <f>VLOOKUP($Q10143,매칭테이블!$F:$I,2,0)*K10143</f>
        <v/>
      </c>
      <c r="N10143" s="94">
        <f>M10143-M10143*VLOOKUP($Q10143,매칭테이블!$F:$I,3,0)</f>
        <v/>
      </c>
      <c r="O10143" s="94">
        <f>VLOOKUP($Q10143,매칭테이블!$F:$I,4,0)*K10143</f>
        <v/>
      </c>
      <c r="P10143" s="148">
        <f>M10143/1.1</f>
        <v/>
      </c>
      <c r="Q10143" s="94">
        <f>F10143&amp;E10143&amp;G10143&amp;L10143</f>
        <v/>
      </c>
    </row>
    <row r="10144" customFormat="1" s="94">
      <c r="B10144" s="128" t="n">
        <v>44122</v>
      </c>
      <c r="C10144" s="94">
        <f>TEXT(B10144,"aaa")</f>
        <v/>
      </c>
      <c r="E10144" s="94" t="inlineStr">
        <is>
          <t>토너</t>
        </is>
      </c>
      <c r="F10144" s="5" t="inlineStr">
        <is>
          <t>카페24</t>
        </is>
      </c>
      <c r="G10144" s="94" t="inlineStr">
        <is>
          <t>500ml</t>
        </is>
      </c>
      <c r="H10144" s="94" t="n">
        <v>200801</v>
      </c>
      <c r="I10144" s="94" t="n">
        <v>200801</v>
      </c>
      <c r="K10144" s="94" t="n">
        <v>46</v>
      </c>
      <c r="L10144" s="94" t="n">
        <v>200801</v>
      </c>
      <c r="M10144" s="94">
        <f>VLOOKUP($Q10144,매칭테이블!$F:$I,2,0)*K10144</f>
        <v/>
      </c>
      <c r="N10144" s="94">
        <f>M10144-M10144*VLOOKUP($Q10144,매칭테이블!$F:$I,3,0)</f>
        <v/>
      </c>
      <c r="O10144" s="94">
        <f>VLOOKUP($Q10144,매칭테이블!$F:$I,4,0)*K10144</f>
        <v/>
      </c>
      <c r="P10144" s="148">
        <f>M10144/1.1</f>
        <v/>
      </c>
      <c r="Q10144" s="94">
        <f>F10144&amp;E10144&amp;G10144&amp;L10144</f>
        <v/>
      </c>
    </row>
    <row r="10145" customFormat="1" s="94">
      <c r="B10145" s="128" t="n">
        <v>44122</v>
      </c>
      <c r="C10145" s="94">
        <f>TEXT(B10145,"aaa")</f>
        <v/>
      </c>
      <c r="E10145" s="94" t="inlineStr">
        <is>
          <t>토너</t>
        </is>
      </c>
      <c r="F10145" s="5" t="inlineStr">
        <is>
          <t>카페24</t>
        </is>
      </c>
      <c r="G10145" s="94" t="inlineStr">
        <is>
          <t>스킨팩 화장솜 60P</t>
        </is>
      </c>
      <c r="H10145" s="94" t="n">
        <v>200801</v>
      </c>
      <c r="I10145" s="94" t="n">
        <v>200801</v>
      </c>
      <c r="K10145" s="94" t="n">
        <v>38</v>
      </c>
      <c r="L10145" s="94" t="n">
        <v>200801</v>
      </c>
      <c r="M10145" s="94">
        <f>VLOOKUP($Q10145,매칭테이블!$F:$I,2,0)*K10145</f>
        <v/>
      </c>
      <c r="N10145" s="94">
        <f>M10145-M10145*VLOOKUP($Q10145,매칭테이블!$F:$I,3,0)</f>
        <v/>
      </c>
      <c r="O10145" s="94">
        <f>VLOOKUP($Q10145,매칭테이블!$F:$I,4,0)*K10145</f>
        <v/>
      </c>
      <c r="P10145" s="148">
        <f>M10145/1.1</f>
        <v/>
      </c>
      <c r="Q10145" s="94">
        <f>F10145&amp;E10145&amp;G10145&amp;L10145</f>
        <v/>
      </c>
    </row>
    <row r="10146" customFormat="1" s="94">
      <c r="B10146" s="128" t="n">
        <v>44122</v>
      </c>
      <c r="C10146" s="94">
        <f>TEXT(B10146,"aaa")</f>
        <v/>
      </c>
      <c r="E10146" s="94" t="inlineStr">
        <is>
          <t>앰플</t>
        </is>
      </c>
      <c r="F10146" s="5" t="inlineStr">
        <is>
          <t>카페24</t>
        </is>
      </c>
      <c r="G10146" s="94" t="inlineStr">
        <is>
          <t>앰플 30ml</t>
        </is>
      </c>
      <c r="H10146" s="94" t="n">
        <v>200801</v>
      </c>
      <c r="I10146" s="94" t="n">
        <v>200801</v>
      </c>
      <c r="K10146" s="94" t="n">
        <v>19</v>
      </c>
      <c r="L10146" s="94" t="n">
        <v>200801</v>
      </c>
      <c r="M10146" s="94">
        <f>VLOOKUP($Q10146,매칭테이블!$F:$I,2,0)*K10146</f>
        <v/>
      </c>
      <c r="N10146" s="94">
        <f>M10146-M10146*VLOOKUP($Q10146,매칭테이블!$F:$I,3,0)</f>
        <v/>
      </c>
      <c r="O10146" s="94">
        <f>VLOOKUP($Q10146,매칭테이블!$F:$I,4,0)*K10146</f>
        <v/>
      </c>
      <c r="P10146" s="148">
        <f>M10146/1.1</f>
        <v/>
      </c>
      <c r="Q10146" s="94">
        <f>F10146&amp;E10146&amp;G10146&amp;L10146</f>
        <v/>
      </c>
    </row>
    <row r="10147" customFormat="1" s="94">
      <c r="B10147" s="128" t="n">
        <v>44122</v>
      </c>
      <c r="C10147" s="94">
        <f>TEXT(B10147,"aaa")</f>
        <v/>
      </c>
      <c r="E10147" s="94" t="inlineStr">
        <is>
          <t>앰플</t>
        </is>
      </c>
      <c r="F10147" s="5" t="inlineStr">
        <is>
          <t>카페24</t>
        </is>
      </c>
      <c r="G10147" s="94" t="inlineStr">
        <is>
          <t>앰플 30ml  2set</t>
        </is>
      </c>
      <c r="H10147" s="94" t="n">
        <v>200801</v>
      </c>
      <c r="I10147" s="94" t="n">
        <v>200801</v>
      </c>
      <c r="K10147" s="94" t="n">
        <v>4</v>
      </c>
      <c r="L10147" s="94" t="n">
        <v>200801</v>
      </c>
      <c r="M10147" s="94">
        <f>VLOOKUP($Q10147,매칭테이블!$F:$I,2,0)*K10147</f>
        <v/>
      </c>
      <c r="N10147" s="94">
        <f>M10147-M10147*VLOOKUP($Q10147,매칭테이블!$F:$I,3,0)</f>
        <v/>
      </c>
      <c r="O10147" s="94">
        <f>VLOOKUP($Q10147,매칭테이블!$F:$I,4,0)*K10147</f>
        <v/>
      </c>
      <c r="P10147" s="148">
        <f>M10147/1.1</f>
        <v/>
      </c>
      <c r="Q10147" s="94">
        <f>F10147&amp;E10147&amp;G10147&amp;L10147</f>
        <v/>
      </c>
    </row>
    <row r="10148" customFormat="1" s="94">
      <c r="B10148" s="128" t="n">
        <v>44122</v>
      </c>
      <c r="C10148" s="94">
        <f>TEXT(B10148,"aaa")</f>
        <v/>
      </c>
      <c r="E10148" s="94" t="inlineStr">
        <is>
          <t>수딩크림</t>
        </is>
      </c>
      <c r="F10148" s="5" t="inlineStr">
        <is>
          <t>카페24</t>
        </is>
      </c>
      <c r="G10148" s="94" t="inlineStr">
        <is>
          <t>수딩크림 100ml</t>
        </is>
      </c>
      <c r="H10148" s="94" t="n">
        <v>200801</v>
      </c>
      <c r="I10148" s="94" t="n">
        <v>200801</v>
      </c>
      <c r="K10148" s="94" t="n">
        <v>4</v>
      </c>
      <c r="L10148" s="94" t="n">
        <v>200801</v>
      </c>
      <c r="M10148" s="94">
        <f>VLOOKUP($Q10148,매칭테이블!$F:$I,2,0)*K10148</f>
        <v/>
      </c>
      <c r="N10148" s="94">
        <f>M10148-M10148*VLOOKUP($Q10148,매칭테이블!$F:$I,3,0)</f>
        <v/>
      </c>
      <c r="O10148" s="94">
        <f>VLOOKUP($Q10148,매칭테이블!$F:$I,4,0)*K10148</f>
        <v/>
      </c>
      <c r="P10148" s="148">
        <f>M10148/1.1</f>
        <v/>
      </c>
      <c r="Q10148" s="94">
        <f>F10148&amp;E10148&amp;G10148&amp;L10148</f>
        <v/>
      </c>
    </row>
    <row r="10149" customFormat="1" s="94">
      <c r="B10149" s="128" t="n">
        <v>44122</v>
      </c>
      <c r="C10149" s="94">
        <f>TEXT(B10149,"aaa")</f>
        <v/>
      </c>
      <c r="E10149" s="94" t="inlineStr">
        <is>
          <t>클렌징폼</t>
        </is>
      </c>
      <c r="F10149" s="5" t="inlineStr">
        <is>
          <t>카페24</t>
        </is>
      </c>
      <c r="G10149" s="94" t="inlineStr">
        <is>
          <t>클렌징폼 120ml</t>
        </is>
      </c>
      <c r="H10149" s="94" t="n">
        <v>200801</v>
      </c>
      <c r="I10149" s="94" t="n">
        <v>200801</v>
      </c>
      <c r="K10149" s="94" t="n">
        <v>11</v>
      </c>
      <c r="L10149" s="94" t="n">
        <v>200801</v>
      </c>
      <c r="M10149" s="94">
        <f>VLOOKUP($Q10149,매칭테이블!$F:$I,2,0)*K10149</f>
        <v/>
      </c>
      <c r="N10149" s="94">
        <f>M10149-M10149*VLOOKUP($Q10149,매칭테이블!$F:$I,3,0)</f>
        <v/>
      </c>
      <c r="O10149" s="94">
        <f>VLOOKUP($Q10149,매칭테이블!$F:$I,4,0)*K10149</f>
        <v/>
      </c>
      <c r="P10149" s="148">
        <f>M10149/1.1</f>
        <v/>
      </c>
      <c r="Q10149" s="94">
        <f>F10149&amp;E10149&amp;G10149&amp;L10149</f>
        <v/>
      </c>
    </row>
    <row r="10150" customFormat="1" s="94">
      <c r="B10150" s="128" t="n">
        <v>44122</v>
      </c>
      <c r="C10150" s="94">
        <f>TEXT(B10150,"aaa")</f>
        <v/>
      </c>
      <c r="E10150" s="94" t="inlineStr">
        <is>
          <t>클렌징폼</t>
        </is>
      </c>
      <c r="F10150" s="5" t="inlineStr">
        <is>
          <t>카페24</t>
        </is>
      </c>
      <c r="G10150" s="94" t="inlineStr">
        <is>
          <t>클렌징폼 120ml 2set</t>
        </is>
      </c>
      <c r="H10150" s="94" t="n">
        <v>200801</v>
      </c>
      <c r="I10150" s="94" t="n">
        <v>200801</v>
      </c>
      <c r="K10150" s="94" t="n">
        <v>1</v>
      </c>
      <c r="L10150" s="94" t="n">
        <v>200801</v>
      </c>
      <c r="M10150" s="94">
        <f>VLOOKUP($Q10150,매칭테이블!$F:$I,2,0)*K10150</f>
        <v/>
      </c>
      <c r="N10150" s="94">
        <f>M10150-M10150*VLOOKUP($Q10150,매칭테이블!$F:$I,3,0)</f>
        <v/>
      </c>
      <c r="O10150" s="94">
        <f>VLOOKUP($Q10150,매칭테이블!$F:$I,4,0)*K10150</f>
        <v/>
      </c>
      <c r="P10150" s="148">
        <f>M10150/1.1</f>
        <v/>
      </c>
      <c r="Q10150" s="94">
        <f>F10150&amp;E10150&amp;G10150&amp;L10150</f>
        <v/>
      </c>
    </row>
    <row r="10151" customFormat="1" s="94">
      <c r="B10151" s="128" t="n">
        <v>44122</v>
      </c>
      <c r="C10151" s="94">
        <f>TEXT(B10151,"aaa")</f>
        <v/>
      </c>
      <c r="E10151" s="94" t="inlineStr">
        <is>
          <t>클렌징폼</t>
        </is>
      </c>
      <c r="F10151" s="5" t="inlineStr">
        <is>
          <t>카페24</t>
        </is>
      </c>
      <c r="G10151" s="94" t="inlineStr">
        <is>
          <t>클렌징폼 120ml 3set</t>
        </is>
      </c>
      <c r="H10151" s="94" t="n">
        <v>200801</v>
      </c>
      <c r="I10151" s="94" t="n">
        <v>200801</v>
      </c>
      <c r="K10151" s="94" t="n">
        <v>5</v>
      </c>
      <c r="L10151" s="94" t="n">
        <v>200801</v>
      </c>
      <c r="M10151" s="94">
        <f>VLOOKUP($Q10151,매칭테이블!$F:$I,2,0)*K10151</f>
        <v/>
      </c>
      <c r="N10151" s="94">
        <f>M10151-M10151*VLOOKUP($Q10151,매칭테이블!$F:$I,3,0)</f>
        <v/>
      </c>
      <c r="O10151" s="94">
        <f>VLOOKUP($Q10151,매칭테이블!$F:$I,4,0)*K10151</f>
        <v/>
      </c>
      <c r="P10151" s="148">
        <f>M10151/1.1</f>
        <v/>
      </c>
      <c r="Q10151" s="94">
        <f>F10151&amp;E10151&amp;G10151&amp;L10151</f>
        <v/>
      </c>
    </row>
    <row r="10152" customFormat="1" s="94">
      <c r="B10152" s="128" t="n">
        <v>44122</v>
      </c>
      <c r="C10152" s="94">
        <f>TEXT(B10152,"aaa")</f>
        <v/>
      </c>
      <c r="E10152" s="94" t="inlineStr">
        <is>
          <t>앰플</t>
        </is>
      </c>
      <c r="F10152" s="5" t="inlineStr">
        <is>
          <t>화해</t>
        </is>
      </c>
      <c r="G10152" s="94" t="inlineStr">
        <is>
          <t>앰플 30ml</t>
        </is>
      </c>
      <c r="H10152" s="94" t="n">
        <v>200801</v>
      </c>
      <c r="I10152" s="94" t="n">
        <v>200801</v>
      </c>
      <c r="K10152" s="94" t="n">
        <v>2</v>
      </c>
      <c r="L10152" s="94" t="n">
        <v>200801</v>
      </c>
      <c r="M10152" s="94">
        <f>VLOOKUP($Q10152,매칭테이블!$F:$I,2,0)*K10152</f>
        <v/>
      </c>
      <c r="N10152" s="94">
        <f>M10152-M10152*VLOOKUP($Q10152,매칭테이블!$F:$I,3,0)</f>
        <v/>
      </c>
      <c r="O10152" s="94">
        <f>VLOOKUP($Q10152,매칭테이블!$F:$I,4,0)*K10152</f>
        <v/>
      </c>
      <c r="P10152" s="148">
        <f>M10152/1.1</f>
        <v/>
      </c>
      <c r="Q10152" s="94">
        <f>F10152&amp;E10152&amp;G10152&amp;L10152</f>
        <v/>
      </c>
    </row>
    <row r="10153" customFormat="1" s="94">
      <c r="B10153" s="128" t="n">
        <v>44122</v>
      </c>
      <c r="C10153" s="94">
        <f>TEXT(B10153,"aaa")</f>
        <v/>
      </c>
      <c r="E10153" s="94" t="inlineStr">
        <is>
          <t>토너</t>
        </is>
      </c>
      <c r="F10153" s="5" t="inlineStr">
        <is>
          <t>화해</t>
        </is>
      </c>
      <c r="G10153" s="94" t="inlineStr">
        <is>
          <t>250ml</t>
        </is>
      </c>
      <c r="H10153" s="94" t="n">
        <v>200801</v>
      </c>
      <c r="I10153" s="94" t="n">
        <v>200801</v>
      </c>
      <c r="K10153" s="94" t="n">
        <v>10</v>
      </c>
      <c r="L10153" s="94" t="n">
        <v>200801</v>
      </c>
      <c r="M10153" s="94">
        <f>VLOOKUP($Q10153,매칭테이블!$F:$I,2,0)*K10153</f>
        <v/>
      </c>
      <c r="N10153" s="94">
        <f>M10153-M10153*VLOOKUP($Q10153,매칭테이블!$F:$I,3,0)</f>
        <v/>
      </c>
      <c r="O10153" s="94">
        <f>VLOOKUP($Q10153,매칭테이블!$F:$I,4,0)*K10153</f>
        <v/>
      </c>
      <c r="P10153" s="148">
        <f>M10153/1.1</f>
        <v/>
      </c>
      <c r="Q10153" s="94">
        <f>F10153&amp;E10153&amp;G10153&amp;L10153</f>
        <v/>
      </c>
    </row>
    <row r="10154" customFormat="1" s="94">
      <c r="B10154" s="128" t="n">
        <v>44122</v>
      </c>
      <c r="C10154" s="94">
        <f>TEXT(B10154,"aaa")</f>
        <v/>
      </c>
      <c r="E10154" s="94" t="inlineStr">
        <is>
          <t>수딩크림</t>
        </is>
      </c>
      <c r="F10154" s="5" t="inlineStr">
        <is>
          <t>화해</t>
        </is>
      </c>
      <c r="G10154" s="94" t="inlineStr">
        <is>
          <t>수딩크림 100ml</t>
        </is>
      </c>
      <c r="H10154" s="94" t="n">
        <v>200801</v>
      </c>
      <c r="I10154" s="94" t="n">
        <v>200801</v>
      </c>
      <c r="K10154" s="94" t="n">
        <v>1</v>
      </c>
      <c r="L10154" s="94" t="n">
        <v>200801</v>
      </c>
      <c r="M10154" s="94">
        <f>VLOOKUP($Q10154,매칭테이블!$F:$I,2,0)*K10154</f>
        <v/>
      </c>
      <c r="N10154" s="94">
        <f>M10154-M10154*VLOOKUP($Q10154,매칭테이블!$F:$I,3,0)</f>
        <v/>
      </c>
      <c r="O10154" s="94">
        <f>VLOOKUP($Q10154,매칭테이블!$F:$I,4,0)*K10154</f>
        <v/>
      </c>
      <c r="P10154" s="148">
        <f>M10154/1.1</f>
        <v/>
      </c>
      <c r="Q10154" s="94">
        <f>F10154&amp;E10154&amp;G10154&amp;L10154</f>
        <v/>
      </c>
    </row>
    <row r="10155" customFormat="1" s="94">
      <c r="B10155" s="128" t="n">
        <v>44122</v>
      </c>
      <c r="C10155" s="94">
        <f>TEXT(B10155,"aaa")</f>
        <v/>
      </c>
      <c r="E10155" s="94" t="inlineStr">
        <is>
          <t>토너</t>
        </is>
      </c>
      <c r="F10155" s="5" t="inlineStr">
        <is>
          <t>랄라블라</t>
        </is>
      </c>
      <c r="G10155" s="94" t="inlineStr">
        <is>
          <t>250ml</t>
        </is>
      </c>
      <c r="H10155" s="94" t="n">
        <v>200801</v>
      </c>
      <c r="I10155" s="94" t="n">
        <v>200801</v>
      </c>
      <c r="K10155" s="94" t="n">
        <v>97</v>
      </c>
      <c r="L10155" s="94" t="n">
        <v>200801</v>
      </c>
      <c r="M10155" s="94">
        <f>VLOOKUP($Q10155,매칭테이블!$F:$I,2,0)*K10155</f>
        <v/>
      </c>
      <c r="N10155" s="94">
        <f>M10155-M10155*VLOOKUP($Q10155,매칭테이블!$F:$I,3,0)</f>
        <v/>
      </c>
      <c r="O10155" s="94">
        <f>VLOOKUP($Q10155,매칭테이블!$F:$I,4,0)*K10155</f>
        <v/>
      </c>
      <c r="P10155" s="148">
        <f>M10155/1.1</f>
        <v/>
      </c>
      <c r="Q10155" s="94">
        <f>F10155&amp;E10155&amp;G10155&amp;L10155</f>
        <v/>
      </c>
    </row>
    <row r="10156" customFormat="1" s="94">
      <c r="B10156" s="128" t="n">
        <v>44122</v>
      </c>
      <c r="C10156" s="94">
        <f>TEXT(B10156,"aaa")</f>
        <v/>
      </c>
      <c r="E10156" s="94" t="inlineStr">
        <is>
          <t>토너</t>
        </is>
      </c>
      <c r="F10156" s="5" t="inlineStr">
        <is>
          <t>랄라블라</t>
        </is>
      </c>
      <c r="G10156" s="94" t="inlineStr">
        <is>
          <t>500ml</t>
        </is>
      </c>
      <c r="H10156" s="94" t="n">
        <v>200801</v>
      </c>
      <c r="I10156" s="94" t="n">
        <v>200801</v>
      </c>
      <c r="K10156" s="94" t="n">
        <v>470</v>
      </c>
      <c r="L10156" s="94" t="n">
        <v>200801</v>
      </c>
      <c r="M10156" s="94">
        <f>VLOOKUP($Q10156,매칭테이블!$F:$I,2,0)*K10156</f>
        <v/>
      </c>
      <c r="N10156" s="94">
        <f>M10156-M10156*VLOOKUP($Q10156,매칭테이블!$F:$I,3,0)</f>
        <v/>
      </c>
      <c r="O10156" s="94">
        <f>VLOOKUP($Q10156,매칭테이블!$F:$I,4,0)*K10156</f>
        <v/>
      </c>
      <c r="P10156" s="148">
        <f>M10156/1.1</f>
        <v/>
      </c>
      <c r="Q10156" s="94">
        <f>F10156&amp;E10156&amp;G10156&amp;L10156</f>
        <v/>
      </c>
    </row>
    <row r="10157" customFormat="1" s="94">
      <c r="B10157" s="128" t="n">
        <v>44122</v>
      </c>
      <c r="C10157" s="94">
        <f>TEXT(B10157,"aaa")</f>
        <v/>
      </c>
      <c r="E10157" s="94" t="inlineStr">
        <is>
          <t>마스크팩</t>
        </is>
      </c>
      <c r="F10157" s="5" t="inlineStr">
        <is>
          <t>랄라블라</t>
        </is>
      </c>
      <c r="G10157" s="94" t="inlineStr">
        <is>
          <t>마스크팩 1매</t>
        </is>
      </c>
      <c r="H10157" s="94" t="n">
        <v>200801</v>
      </c>
      <c r="I10157" s="94" t="n">
        <v>200801</v>
      </c>
      <c r="K10157" s="94" t="n">
        <v>592</v>
      </c>
      <c r="L10157" s="94" t="n">
        <v>200801</v>
      </c>
      <c r="M10157" s="94">
        <f>VLOOKUP($Q10157,매칭테이블!$F:$I,2,0)*K10157</f>
        <v/>
      </c>
      <c r="N10157" s="94">
        <f>M10157-M10157*VLOOKUP($Q10157,매칭테이블!$F:$I,3,0)</f>
        <v/>
      </c>
      <c r="O10157" s="94">
        <f>VLOOKUP($Q10157,매칭테이블!$F:$I,4,0)*K10157</f>
        <v/>
      </c>
      <c r="P10157" s="148">
        <f>M10157/1.1</f>
        <v/>
      </c>
      <c r="Q10157" s="94">
        <f>F10157&amp;E10157&amp;G10157&amp;L10157</f>
        <v/>
      </c>
    </row>
    <row r="10158" customFormat="1" s="94">
      <c r="B10158" s="128" t="n">
        <v>44122</v>
      </c>
      <c r="C10158" s="94">
        <f>TEXT(B10158,"aaa")</f>
        <v/>
      </c>
      <c r="E10158" s="94" t="inlineStr">
        <is>
          <t>수딩크림 증정기획</t>
        </is>
      </c>
      <c r="F10158" s="5" t="inlineStr">
        <is>
          <t>랄라블라</t>
        </is>
      </c>
      <c r="G10158" s="94" t="inlineStr">
        <is>
          <t>수딩크림 증정기획</t>
        </is>
      </c>
      <c r="H10158" s="94" t="n">
        <v>200801</v>
      </c>
      <c r="I10158" s="94" t="n">
        <v>200801</v>
      </c>
      <c r="K10158" s="94" t="n">
        <v>36</v>
      </c>
      <c r="L10158" s="94" t="n">
        <v>200801</v>
      </c>
      <c r="M10158" s="94">
        <f>VLOOKUP($Q10158,매칭테이블!$F:$I,2,0)*K10158</f>
        <v/>
      </c>
      <c r="N10158" s="94">
        <f>M10158-M10158*VLOOKUP($Q10158,매칭테이블!$F:$I,3,0)</f>
        <v/>
      </c>
      <c r="O10158" s="94">
        <f>VLOOKUP($Q10158,매칭테이블!$F:$I,4,0)*K10158</f>
        <v/>
      </c>
      <c r="P10158" s="148">
        <f>M10158/1.1</f>
        <v/>
      </c>
      <c r="Q10158" s="94">
        <f>F10158&amp;E10158&amp;G10158&amp;L10158</f>
        <v/>
      </c>
    </row>
    <row r="10159" customFormat="1" s="94">
      <c r="B10159" s="128" t="n">
        <v>44122</v>
      </c>
      <c r="C10159" s="94">
        <f>TEXT(B10159,"aaa")</f>
        <v/>
      </c>
      <c r="E10159" s="94" t="inlineStr">
        <is>
          <t>수딩크림</t>
        </is>
      </c>
      <c r="F10159" s="5" t="inlineStr">
        <is>
          <t>랄라블라</t>
        </is>
      </c>
      <c r="G10159" s="94" t="inlineStr">
        <is>
          <t>수딩크림 100ml</t>
        </is>
      </c>
      <c r="H10159" s="94" t="n">
        <v>200801</v>
      </c>
      <c r="I10159" s="94" t="n">
        <v>200801</v>
      </c>
      <c r="K10159" s="94" t="n">
        <v>39</v>
      </c>
      <c r="L10159" s="94" t="n">
        <v>200801</v>
      </c>
      <c r="M10159" s="94">
        <f>VLOOKUP($Q10159,매칭테이블!$F:$I,2,0)*K10159</f>
        <v/>
      </c>
      <c r="N10159" s="94">
        <f>M10159-M10159*VLOOKUP($Q10159,매칭테이블!$F:$I,3,0)</f>
        <v/>
      </c>
      <c r="O10159" s="94">
        <f>VLOOKUP($Q10159,매칭테이블!$F:$I,4,0)*K10159</f>
        <v/>
      </c>
      <c r="P10159" s="148">
        <f>M10159/1.1</f>
        <v/>
      </c>
      <c r="Q10159" s="94">
        <f>F10159&amp;E10159&amp;G10159&amp;L10159</f>
        <v/>
      </c>
    </row>
    <row r="10160" customFormat="1" s="94">
      <c r="B10160" s="128" t="n">
        <v>44122</v>
      </c>
      <c r="C10160" s="94">
        <f>TEXT(B10160,"aaa")</f>
        <v/>
      </c>
      <c r="E10160" s="94" t="inlineStr">
        <is>
          <t>앰플 기획세트</t>
        </is>
      </c>
      <c r="F10160" s="5" t="inlineStr">
        <is>
          <t>랄라블라</t>
        </is>
      </c>
      <c r="G10160" s="94" t="inlineStr">
        <is>
          <t>앰플 기획세트</t>
        </is>
      </c>
      <c r="H10160" s="94" t="n">
        <v>200801</v>
      </c>
      <c r="I10160" s="94" t="n">
        <v>200801</v>
      </c>
      <c r="K10160" s="94" t="n">
        <v>120</v>
      </c>
      <c r="L10160" s="94" t="n">
        <v>200801</v>
      </c>
      <c r="M10160" s="94">
        <f>VLOOKUP($Q10160,매칭테이블!$F:$I,2,0)*K10160</f>
        <v/>
      </c>
      <c r="N10160" s="94">
        <f>M10160-M10160*VLOOKUP($Q10160,매칭테이블!$F:$I,3,0)</f>
        <v/>
      </c>
      <c r="O10160" s="94">
        <f>VLOOKUP($Q10160,매칭테이블!$F:$I,4,0)*K10160</f>
        <v/>
      </c>
      <c r="P10160" s="148">
        <f>M10160/1.1</f>
        <v/>
      </c>
      <c r="Q10160" s="94">
        <f>F10160&amp;E10160&amp;G10160&amp;L10160</f>
        <v/>
      </c>
    </row>
    <row r="10161" customFormat="1" s="94">
      <c r="B10161" s="128" t="n">
        <v>44122</v>
      </c>
      <c r="C10161" s="94">
        <f>TEXT(B10161,"aaa")</f>
        <v/>
      </c>
      <c r="E10161" s="94" t="inlineStr">
        <is>
          <t>클렌징폼 기획세트</t>
        </is>
      </c>
      <c r="F10161" s="5" t="inlineStr">
        <is>
          <t>랄라블라</t>
        </is>
      </c>
      <c r="G10161" s="94" t="inlineStr">
        <is>
          <t>클렌징폼 기획세트</t>
        </is>
      </c>
      <c r="H10161" s="94" t="n">
        <v>200801</v>
      </c>
      <c r="I10161" s="94" t="n">
        <v>200801</v>
      </c>
      <c r="K10161" s="94" t="n">
        <v>10</v>
      </c>
      <c r="L10161" s="94" t="n">
        <v>200801</v>
      </c>
      <c r="M10161" s="94">
        <f>VLOOKUP($Q10161,매칭테이블!$F:$I,2,0)*K10161</f>
        <v/>
      </c>
      <c r="N10161" s="94">
        <f>M10161-M10161*VLOOKUP($Q10161,매칭테이블!$F:$I,3,0)</f>
        <v/>
      </c>
      <c r="O10161" s="94">
        <f>VLOOKUP($Q10161,매칭테이블!$F:$I,4,0)*K10161</f>
        <v/>
      </c>
      <c r="P10161" s="148">
        <f>M10161/1.1</f>
        <v/>
      </c>
      <c r="Q10161" s="94">
        <f>F10161&amp;E10161&amp;G10161&amp;L10161</f>
        <v/>
      </c>
    </row>
    <row r="10162" customFormat="1" s="94">
      <c r="B10162" s="128" t="n">
        <v>44122</v>
      </c>
      <c r="C10162" s="94">
        <f>TEXT(B10162,"aaa")</f>
        <v/>
      </c>
      <c r="E10162" s="94" t="inlineStr">
        <is>
          <t>클렌징폼</t>
        </is>
      </c>
      <c r="F10162" s="5" t="inlineStr">
        <is>
          <t>랄라블라</t>
        </is>
      </c>
      <c r="G10162" s="94" t="inlineStr">
        <is>
          <t>클렌징폼 120ml</t>
        </is>
      </c>
      <c r="H10162" s="94" t="n">
        <v>200801</v>
      </c>
      <c r="I10162" s="94" t="n">
        <v>200801</v>
      </c>
      <c r="K10162" s="94" t="n">
        <v>54</v>
      </c>
      <c r="L10162" s="94" t="n">
        <v>200801</v>
      </c>
      <c r="M10162" s="94">
        <f>VLOOKUP($Q10162,매칭테이블!$F:$I,2,0)*K10162</f>
        <v/>
      </c>
      <c r="N10162" s="94">
        <f>M10162-M10162*VLOOKUP($Q10162,매칭테이블!$F:$I,3,0)</f>
        <v/>
      </c>
      <c r="O10162" s="94">
        <f>VLOOKUP($Q10162,매칭테이블!$F:$I,4,0)*K10162</f>
        <v/>
      </c>
      <c r="P10162" s="148">
        <f>M10162/1.1</f>
        <v/>
      </c>
      <c r="Q10162" s="94">
        <f>F10162&amp;E10162&amp;G10162&amp;L10162</f>
        <v/>
      </c>
    </row>
    <row r="10163" customFormat="1" s="94">
      <c r="B10163" s="128" t="n">
        <v>44122</v>
      </c>
      <c r="C10163" s="94">
        <f>TEXT(B10163,"aaa")</f>
        <v/>
      </c>
      <c r="E10163" s="94" t="inlineStr">
        <is>
          <t>토너 증정기획</t>
        </is>
      </c>
      <c r="F10163" s="5" t="inlineStr">
        <is>
          <t>랄라블라</t>
        </is>
      </c>
      <c r="G10163" s="94" t="inlineStr">
        <is>
          <t>토너 증정기획</t>
        </is>
      </c>
      <c r="H10163" s="94" t="n">
        <v>200801</v>
      </c>
      <c r="I10163" s="94" t="n">
        <v>200801</v>
      </c>
      <c r="K10163" s="94" t="n">
        <v>1</v>
      </c>
      <c r="L10163" s="94" t="n">
        <v>200801</v>
      </c>
      <c r="M10163" s="94">
        <f>VLOOKUP($Q10163,매칭테이블!$F:$I,2,0)*K10163</f>
        <v/>
      </c>
      <c r="N10163" s="94">
        <f>M10163-M10163*VLOOKUP($Q10163,매칭테이블!$F:$I,3,0)</f>
        <v/>
      </c>
      <c r="O10163" s="94">
        <f>VLOOKUP($Q10163,매칭테이블!$F:$I,4,0)*K10163</f>
        <v/>
      </c>
      <c r="P10163" s="148">
        <f>M10163/1.1</f>
        <v/>
      </c>
      <c r="Q10163" s="94">
        <f>F10163&amp;E10163&amp;G10163&amp;L10163</f>
        <v/>
      </c>
    </row>
    <row r="10164" customFormat="1" s="94">
      <c r="B10164" s="128" t="n">
        <v>44122</v>
      </c>
      <c r="C10164" s="94">
        <f>TEXT(B10164,"aaa")</f>
        <v/>
      </c>
      <c r="E10164" s="94" t="inlineStr">
        <is>
          <t>선크림</t>
        </is>
      </c>
      <c r="F10164" s="5" t="inlineStr">
        <is>
          <t>랄라블라</t>
        </is>
      </c>
      <c r="G10164" s="94" t="inlineStr">
        <is>
          <t>선크림 50ml</t>
        </is>
      </c>
      <c r="H10164" s="94" t="n">
        <v>200801</v>
      </c>
      <c r="I10164" s="94" t="n">
        <v>200801</v>
      </c>
      <c r="K10164" s="94" t="n">
        <v>32</v>
      </c>
      <c r="L10164" s="94" t="n">
        <v>200801</v>
      </c>
      <c r="M10164" s="94">
        <f>VLOOKUP($Q10164,매칭테이블!$F:$I,2,0)*K10164</f>
        <v/>
      </c>
      <c r="N10164" s="94">
        <f>M10164-M10164*VLOOKUP($Q10164,매칭테이블!$F:$I,3,0)</f>
        <v/>
      </c>
      <c r="O10164" s="94">
        <f>VLOOKUP($Q10164,매칭테이블!$F:$I,4,0)*K10164</f>
        <v/>
      </c>
      <c r="P10164" s="148">
        <f>M10164/1.1</f>
        <v/>
      </c>
      <c r="Q10164" s="94">
        <f>F10164&amp;E10164&amp;G10164&amp;L10164</f>
        <v/>
      </c>
    </row>
    <row r="10165" customFormat="1" s="94">
      <c r="B10165" s="128" t="n">
        <v>44122</v>
      </c>
      <c r="C10165" s="94">
        <f>TEXT(B10165,"aaa")</f>
        <v/>
      </c>
      <c r="E10165" s="94" t="inlineStr">
        <is>
          <t>대용량 기획세트</t>
        </is>
      </c>
      <c r="F10165" s="5" t="inlineStr">
        <is>
          <t>랄라블라</t>
        </is>
      </c>
      <c r="G10165" s="94" t="inlineStr">
        <is>
          <t>대용량 기획세트</t>
        </is>
      </c>
      <c r="H10165" s="94" t="n">
        <v>200801</v>
      </c>
      <c r="I10165" s="94" t="n">
        <v>200801</v>
      </c>
      <c r="K10165" s="94" t="n">
        <v>6</v>
      </c>
      <c r="L10165" s="94" t="n">
        <v>200801</v>
      </c>
      <c r="M10165" s="94">
        <f>VLOOKUP($Q10165,매칭테이블!$F:$I,2,0)*K10165</f>
        <v/>
      </c>
      <c r="N10165" s="94">
        <f>M10165-M10165*VLOOKUP($Q10165,매칭테이블!$F:$I,3,0)</f>
        <v/>
      </c>
      <c r="O10165" s="94">
        <f>VLOOKUP($Q10165,매칭테이블!$F:$I,4,0)*K10165</f>
        <v/>
      </c>
      <c r="P10165" s="148">
        <f>M10165/1.1</f>
        <v/>
      </c>
      <c r="Q10165" s="94">
        <f>F10165&amp;E10165&amp;G10165&amp;L10165</f>
        <v/>
      </c>
    </row>
    <row r="10166" customFormat="1" s="94">
      <c r="B10166" s="128" t="n">
        <v>44122</v>
      </c>
      <c r="C10166" s="94">
        <f>TEXT(B10166,"aaa")</f>
        <v/>
      </c>
      <c r="E10166" s="94" t="inlineStr">
        <is>
          <t>마스크팩</t>
        </is>
      </c>
      <c r="F10166" s="5" t="inlineStr">
        <is>
          <t>랄라블라</t>
        </is>
      </c>
      <c r="G10166" s="94" t="inlineStr">
        <is>
          <t>마스크 5+1 기획세트</t>
        </is>
      </c>
      <c r="H10166" s="94" t="n">
        <v>200801</v>
      </c>
      <c r="I10166" s="94" t="n">
        <v>200801</v>
      </c>
      <c r="K10166" s="94" t="n">
        <v>70</v>
      </c>
      <c r="L10166" s="94" t="n">
        <v>200801</v>
      </c>
      <c r="M10166" s="94">
        <f>VLOOKUP($Q10166,매칭테이블!$F:$I,2,0)*K10166</f>
        <v/>
      </c>
      <c r="N10166" s="94">
        <f>M10166-M10166*VLOOKUP($Q10166,매칭테이블!$F:$I,3,0)</f>
        <v/>
      </c>
      <c r="O10166" s="94">
        <f>VLOOKUP($Q10166,매칭테이블!$F:$I,4,0)*K10166</f>
        <v/>
      </c>
      <c r="P10166" s="148">
        <f>M10166/1.1</f>
        <v/>
      </c>
      <c r="Q10166" s="94">
        <f>F10166&amp;E10166&amp;G10166&amp;L10166</f>
        <v/>
      </c>
    </row>
    <row r="10167" customFormat="1" s="94">
      <c r="B10167" s="128" t="n">
        <v>44122</v>
      </c>
      <c r="C10167" s="94">
        <f>TEXT(B10167,"aaa")</f>
        <v/>
      </c>
      <c r="E10167" s="94" t="inlineStr">
        <is>
          <t>바디워시</t>
        </is>
      </c>
      <c r="F10167" s="5" t="inlineStr">
        <is>
          <t>랄라블라</t>
        </is>
      </c>
      <c r="G10167" s="94" t="inlineStr">
        <is>
          <t>아누아 어성초 아크네 바디워시 500ml</t>
        </is>
      </c>
      <c r="H10167" s="94" t="n">
        <v>200801</v>
      </c>
      <c r="I10167" s="94" t="n">
        <v>200801</v>
      </c>
      <c r="K10167" s="94" t="n">
        <v>14</v>
      </c>
      <c r="L10167" s="94" t="n">
        <v>200801</v>
      </c>
      <c r="M10167" s="94">
        <f>VLOOKUP($Q10167,매칭테이블!$F:$I,2,0)*K10167</f>
        <v/>
      </c>
      <c r="N10167" s="94">
        <f>M10167-M10167*VLOOKUP($Q10167,매칭테이블!$F:$I,3,0)</f>
        <v/>
      </c>
      <c r="O10167" s="94">
        <f>VLOOKUP($Q10167,매칭테이블!$F:$I,4,0)*K10167</f>
        <v/>
      </c>
      <c r="P10167" s="148">
        <f>M10167/1.1</f>
        <v/>
      </c>
      <c r="Q10167" s="94">
        <f>F10167&amp;E10167&amp;G10167&amp;L10167</f>
        <v/>
      </c>
    </row>
    <row r="10168" customFormat="1" s="94">
      <c r="B10168" s="128" t="n">
        <v>44122</v>
      </c>
      <c r="C10168" s="94">
        <f>TEXT(B10168,"aaa")</f>
        <v/>
      </c>
      <c r="E10168" s="94" t="inlineStr">
        <is>
          <t>클리어 패드</t>
        </is>
      </c>
      <c r="F10168" s="5" t="inlineStr">
        <is>
          <t>랄라블라</t>
        </is>
      </c>
      <c r="G10168" s="94" t="inlineStr">
        <is>
          <t>아누아 어성초77 클리어 패드</t>
        </is>
      </c>
      <c r="H10168" s="94" t="n">
        <v>200801</v>
      </c>
      <c r="I10168" s="94" t="n">
        <v>200801</v>
      </c>
      <c r="K10168" s="94" t="n">
        <v>77</v>
      </c>
      <c r="L10168" s="94" t="n">
        <v>200801</v>
      </c>
      <c r="M10168" s="94">
        <f>VLOOKUP($Q10168,매칭테이블!$F:$I,2,0)*K10168</f>
        <v/>
      </c>
      <c r="N10168" s="94">
        <f>M10168-M10168*VLOOKUP($Q10168,매칭테이블!$F:$I,3,0)</f>
        <v/>
      </c>
      <c r="O10168" s="94">
        <f>VLOOKUP($Q10168,매칭테이블!$F:$I,4,0)*K10168</f>
        <v/>
      </c>
      <c r="P10168" s="148">
        <f>M10168/1.1</f>
        <v/>
      </c>
      <c r="Q10168" s="94">
        <f>F10168&amp;E10168&amp;G10168&amp;L10168</f>
        <v/>
      </c>
    </row>
    <row r="10169" customFormat="1" s="94">
      <c r="B10169" s="128" t="n">
        <v>44122</v>
      </c>
      <c r="C10169" s="94">
        <f>TEXT(B10169,"aaa")</f>
        <v/>
      </c>
      <c r="E10169" s="94" t="inlineStr">
        <is>
          <t>로션</t>
        </is>
      </c>
      <c r="F10169" s="5" t="inlineStr">
        <is>
          <t>랄라블라</t>
        </is>
      </c>
      <c r="G10169" s="94" t="inlineStr">
        <is>
          <t>아누아 어성초70 로션 200ml</t>
        </is>
      </c>
      <c r="H10169" s="94" t="n">
        <v>200801</v>
      </c>
      <c r="I10169" s="94" t="n">
        <v>200801</v>
      </c>
      <c r="K10169" s="94" t="n">
        <v>104</v>
      </c>
      <c r="L10169" s="94" t="n">
        <v>200801</v>
      </c>
      <c r="M10169" s="94">
        <f>VLOOKUP($Q10169,매칭테이블!$F:$I,2,0)*K10169</f>
        <v/>
      </c>
      <c r="N10169" s="94">
        <f>M10169-M10169*VLOOKUP($Q10169,매칭테이블!$F:$I,3,0)</f>
        <v/>
      </c>
      <c r="O10169" s="94">
        <f>VLOOKUP($Q10169,매칭테이블!$F:$I,4,0)*K10169</f>
        <v/>
      </c>
      <c r="P10169" s="148">
        <f>M10169/1.1</f>
        <v/>
      </c>
      <c r="Q10169" s="94">
        <f>F10169&amp;E10169&amp;G10169&amp;L10169</f>
        <v/>
      </c>
    </row>
    <row r="10170" customFormat="1" s="94">
      <c r="B10170" s="128" t="n">
        <v>44122</v>
      </c>
      <c r="C10170" s="94">
        <f>TEXT(B10170,"aaa")</f>
        <v/>
      </c>
      <c r="E10170" s="94" t="inlineStr">
        <is>
          <t>앰플</t>
        </is>
      </c>
      <c r="F10170" s="5" t="inlineStr">
        <is>
          <t>랄라블라</t>
        </is>
      </c>
      <c r="G10170" s="94" t="inlineStr">
        <is>
          <t>앰플 30ml</t>
        </is>
      </c>
      <c r="H10170" s="94" t="n">
        <v>200801</v>
      </c>
      <c r="I10170" s="94" t="n">
        <v>200801</v>
      </c>
      <c r="K10170" s="94" t="n">
        <v>5</v>
      </c>
      <c r="L10170" s="94" t="n">
        <v>200801</v>
      </c>
      <c r="M10170" s="94">
        <f>VLOOKUP($Q10170,매칭테이블!$F:$I,2,0)*K10170</f>
        <v/>
      </c>
      <c r="N10170" s="94">
        <f>M10170-M10170*VLOOKUP($Q10170,매칭테이블!$F:$I,3,0)</f>
        <v/>
      </c>
      <c r="O10170" s="94">
        <f>VLOOKUP($Q10170,매칭테이블!$F:$I,4,0)*K10170</f>
        <v/>
      </c>
      <c r="P10170" s="148">
        <f>M10170/1.1</f>
        <v/>
      </c>
      <c r="Q10170" s="94">
        <f>F10170&amp;E10170&amp;G10170&amp;L10170</f>
        <v/>
      </c>
    </row>
    <row r="10171" customFormat="1" s="94">
      <c r="B10171" s="128" t="n">
        <v>44123</v>
      </c>
      <c r="C10171" s="94">
        <f>TEXT(B10171,"aaa")</f>
        <v/>
      </c>
      <c r="E10171" s="94" t="inlineStr">
        <is>
          <t>토너</t>
        </is>
      </c>
      <c r="F10171" s="5" t="inlineStr">
        <is>
          <t>W컨셉</t>
        </is>
      </c>
      <c r="G10171" s="94" t="inlineStr">
        <is>
          <t>250ml 2set</t>
        </is>
      </c>
      <c r="H10171" s="94" t="n">
        <v>200801</v>
      </c>
      <c r="I10171" s="94" t="n">
        <v>200801</v>
      </c>
      <c r="K10171" s="94" t="n">
        <v>3</v>
      </c>
      <c r="L10171" s="94" t="n">
        <v>200801</v>
      </c>
      <c r="M10171" s="94">
        <f>VLOOKUP($Q10171,매칭테이블!$F:$I,2,0)*K10171</f>
        <v/>
      </c>
      <c r="N10171" s="94">
        <f>M10171-M10171*VLOOKUP($Q10171,매칭테이블!$F:$I,3,0)</f>
        <v/>
      </c>
      <c r="O10171" s="94">
        <f>VLOOKUP($Q10171,매칭테이블!$F:$I,4,0)*K10171</f>
        <v/>
      </c>
      <c r="P10171" s="148">
        <f>M10171/1.1</f>
        <v/>
      </c>
      <c r="Q10171" s="94">
        <f>F10171&amp;E10171&amp;G10171&amp;L10171</f>
        <v/>
      </c>
    </row>
    <row r="10172" customFormat="1" s="94">
      <c r="B10172" s="128" t="n">
        <v>44123</v>
      </c>
      <c r="C10172" s="94">
        <f>TEXT(B10172,"aaa")</f>
        <v/>
      </c>
      <c r="E10172" s="94" t="inlineStr">
        <is>
          <t>토너</t>
        </is>
      </c>
      <c r="F10172" s="5" t="inlineStr">
        <is>
          <t>스타일쉐어</t>
        </is>
      </c>
      <c r="G10172" s="94" t="inlineStr">
        <is>
          <t>250ml</t>
        </is>
      </c>
      <c r="H10172" s="94" t="n">
        <v>200801</v>
      </c>
      <c r="I10172" s="94" t="n">
        <v>200801</v>
      </c>
      <c r="K10172" s="94" t="n">
        <v>6</v>
      </c>
      <c r="L10172" s="94" t="n">
        <v>200801</v>
      </c>
      <c r="M10172" s="94">
        <f>VLOOKUP($Q10172,매칭테이블!$F:$I,2,0)*K10172</f>
        <v/>
      </c>
      <c r="N10172" s="94">
        <f>M10172-M10172*VLOOKUP($Q10172,매칭테이블!$F:$I,3,0)</f>
        <v/>
      </c>
      <c r="O10172" s="94">
        <f>VLOOKUP($Q10172,매칭테이블!$F:$I,4,0)*K10172</f>
        <v/>
      </c>
      <c r="P10172" s="148">
        <f>M10172/1.1</f>
        <v/>
      </c>
      <c r="Q10172" s="94">
        <f>F10172&amp;E10172&amp;G10172&amp;L10172</f>
        <v/>
      </c>
    </row>
    <row r="10173" customFormat="1" s="94">
      <c r="B10173" s="128" t="n">
        <v>44123</v>
      </c>
      <c r="C10173" s="94">
        <f>TEXT(B10173,"aaa")</f>
        <v/>
      </c>
      <c r="E10173" s="94" t="inlineStr">
        <is>
          <t>바디워시</t>
        </is>
      </c>
      <c r="F10173" s="5" t="inlineStr">
        <is>
          <t>아누아 CS</t>
        </is>
      </c>
      <c r="G10173" s="94" t="inlineStr">
        <is>
          <t>바디워시 500ml</t>
        </is>
      </c>
      <c r="H10173" s="94" t="n">
        <v>200801</v>
      </c>
      <c r="I10173" s="94" t="n">
        <v>200801</v>
      </c>
      <c r="K10173" s="94" t="n">
        <v>35</v>
      </c>
      <c r="L10173" s="94" t="n">
        <v>200801</v>
      </c>
      <c r="M10173" s="94">
        <f>VLOOKUP($Q10173,매칭테이블!$F:$I,2,0)*K10173</f>
        <v/>
      </c>
      <c r="N10173" s="94">
        <f>M10173-M10173*VLOOKUP($Q10173,매칭테이블!$F:$I,3,0)</f>
        <v/>
      </c>
      <c r="O10173" s="94">
        <f>VLOOKUP($Q10173,매칭테이블!$F:$I,4,0)*K10173</f>
        <v/>
      </c>
      <c r="P10173" s="148">
        <f>M10173/1.1</f>
        <v/>
      </c>
      <c r="Q10173" s="94">
        <f>F10173&amp;E10173&amp;G10173&amp;L10173</f>
        <v/>
      </c>
    </row>
    <row r="10174" customFormat="1" s="94">
      <c r="B10174" s="128" t="n">
        <v>44123</v>
      </c>
      <c r="C10174" s="94">
        <f>TEXT(B10174,"aaa")</f>
        <v/>
      </c>
      <c r="E10174" s="94" t="inlineStr">
        <is>
          <t>선크림</t>
        </is>
      </c>
      <c r="F10174" s="5" t="inlineStr">
        <is>
          <t>카페24</t>
        </is>
      </c>
      <c r="G10174" s="94" t="inlineStr">
        <is>
          <t>선크림 50ml  2set</t>
        </is>
      </c>
      <c r="H10174" s="94" t="n">
        <v>200801</v>
      </c>
      <c r="I10174" s="94" t="n">
        <v>200801</v>
      </c>
      <c r="K10174" s="94" t="n">
        <v>1</v>
      </c>
      <c r="L10174" s="94" t="n">
        <v>200801</v>
      </c>
      <c r="M10174" s="94">
        <f>VLOOKUP($Q10174,매칭테이블!$F:$I,2,0)*K10174</f>
        <v/>
      </c>
      <c r="N10174" s="94">
        <f>M10174-M10174*VLOOKUP($Q10174,매칭테이블!$F:$I,3,0)</f>
        <v/>
      </c>
      <c r="O10174" s="94">
        <f>VLOOKUP($Q10174,매칭테이블!$F:$I,4,0)*K10174</f>
        <v/>
      </c>
      <c r="P10174" s="148">
        <f>M10174/1.1</f>
        <v/>
      </c>
      <c r="Q10174" s="94">
        <f>F10174&amp;E10174&amp;G10174&amp;L10174</f>
        <v/>
      </c>
    </row>
    <row r="10175" customFormat="1" s="94">
      <c r="B10175" s="128" t="n">
        <v>44123</v>
      </c>
      <c r="C10175" s="94">
        <f>TEXT(B10175,"aaa")</f>
        <v/>
      </c>
      <c r="E10175" s="94" t="inlineStr">
        <is>
          <t>여름 한정 진정세트</t>
        </is>
      </c>
      <c r="F10175" s="5" t="inlineStr">
        <is>
          <t>카페24</t>
        </is>
      </c>
      <c r="G10175" s="94" t="inlineStr">
        <is>
          <t>여름 한정 진정세트 (대용량)</t>
        </is>
      </c>
      <c r="H10175" s="94" t="n">
        <v>200801</v>
      </c>
      <c r="I10175" s="94" t="n">
        <v>200801</v>
      </c>
      <c r="K10175" s="94" t="n">
        <v>3</v>
      </c>
      <c r="L10175" s="94" t="n">
        <v>200801</v>
      </c>
      <c r="M10175" s="94">
        <f>VLOOKUP($Q10175,매칭테이블!$F:$I,2,0)*K10175</f>
        <v/>
      </c>
      <c r="N10175" s="94">
        <f>M10175-M10175*VLOOKUP($Q10175,매칭테이블!$F:$I,3,0)</f>
        <v/>
      </c>
      <c r="O10175" s="94">
        <f>VLOOKUP($Q10175,매칭테이블!$F:$I,4,0)*K10175</f>
        <v/>
      </c>
      <c r="P10175" s="148">
        <f>M10175/1.1</f>
        <v/>
      </c>
      <c r="Q10175" s="94">
        <f>F10175&amp;E10175&amp;G10175&amp;L10175</f>
        <v/>
      </c>
    </row>
    <row r="10176" customFormat="1" s="94">
      <c r="B10176" s="128" t="n">
        <v>44123</v>
      </c>
      <c r="C10176" s="94">
        <f>TEXT(B10176,"aaa")</f>
        <v/>
      </c>
      <c r="E10176" s="94" t="inlineStr">
        <is>
          <t>수분 보충 세트</t>
        </is>
      </c>
      <c r="F10176" s="5" t="inlineStr">
        <is>
          <t>카페24</t>
        </is>
      </c>
      <c r="G10176" s="94" t="inlineStr">
        <is>
          <t>[20/09/28 부터] 어성초 77 토너 250ml + 어성초 70 로션 200ml -30%</t>
        </is>
      </c>
      <c r="H10176" s="94" t="n">
        <v>200801</v>
      </c>
      <c r="I10176" s="94" t="n">
        <v>200801</v>
      </c>
      <c r="K10176" s="94" t="n">
        <v>30</v>
      </c>
      <c r="L10176" s="94" t="n">
        <v>200801</v>
      </c>
      <c r="M10176" s="94">
        <f>VLOOKUP($Q10176,매칭테이블!$F:$I,2,0)*K10176</f>
        <v/>
      </c>
      <c r="N10176" s="94">
        <f>M10176-M10176*VLOOKUP($Q10176,매칭테이블!$F:$I,3,0)</f>
        <v/>
      </c>
      <c r="O10176" s="94">
        <f>VLOOKUP($Q10176,매칭테이블!$F:$I,4,0)*K10176</f>
        <v/>
      </c>
      <c r="P10176" s="148">
        <f>M10176/1.1</f>
        <v/>
      </c>
      <c r="Q10176" s="94">
        <f>F10176&amp;E10176&amp;G10176&amp;L10176</f>
        <v/>
      </c>
    </row>
    <row r="10177" customFormat="1" s="94">
      <c r="B10177" s="128" t="n">
        <v>44123</v>
      </c>
      <c r="C10177" s="94">
        <f>TEXT(B10177,"aaa")</f>
        <v/>
      </c>
      <c r="E10177" s="94" t="inlineStr">
        <is>
          <t>로션</t>
        </is>
      </c>
      <c r="F10177" s="5" t="inlineStr">
        <is>
          <t>카페24</t>
        </is>
      </c>
      <c r="G10177" s="94" t="inlineStr">
        <is>
          <t>어성초 70 데일리 릴리프 로션 1개 -20% off</t>
        </is>
      </c>
      <c r="H10177" s="94" t="n">
        <v>200801</v>
      </c>
      <c r="I10177" s="94" t="n">
        <v>200801</v>
      </c>
      <c r="K10177" s="94" t="n">
        <v>4</v>
      </c>
      <c r="L10177" s="94" t="n">
        <v>200801</v>
      </c>
      <c r="M10177" s="94">
        <f>VLOOKUP($Q10177,매칭테이블!$F:$I,2,0)*K10177</f>
        <v/>
      </c>
      <c r="N10177" s="94">
        <f>M10177-M10177*VLOOKUP($Q10177,매칭테이블!$F:$I,3,0)</f>
        <v/>
      </c>
      <c r="O10177" s="94">
        <f>VLOOKUP($Q10177,매칭테이블!$F:$I,4,0)*K10177</f>
        <v/>
      </c>
      <c r="P10177" s="148">
        <f>M10177/1.1</f>
        <v/>
      </c>
      <c r="Q10177" s="94">
        <f>F10177&amp;E10177&amp;G10177&amp;L10177</f>
        <v/>
      </c>
    </row>
    <row r="10178" customFormat="1" s="94">
      <c r="B10178" s="128" t="n">
        <v>44123</v>
      </c>
      <c r="C10178" s="94">
        <f>TEXT(B10178,"aaa")</f>
        <v/>
      </c>
      <c r="E10178" s="94" t="inlineStr">
        <is>
          <t>로션</t>
        </is>
      </c>
      <c r="F10178" s="5" t="inlineStr">
        <is>
          <t>카페24</t>
        </is>
      </c>
      <c r="G10178" s="94" t="inlineStr">
        <is>
          <t>어성초 70 데일리 릴리프 로션 2개 -30% off</t>
        </is>
      </c>
      <c r="H10178" s="94" t="n">
        <v>200801</v>
      </c>
      <c r="I10178" s="94" t="n">
        <v>200801</v>
      </c>
      <c r="K10178" s="94" t="n">
        <v>1</v>
      </c>
      <c r="L10178" s="94" t="n">
        <v>200801</v>
      </c>
      <c r="M10178" s="94">
        <f>VLOOKUP($Q10178,매칭테이블!$F:$I,2,0)*K10178</f>
        <v/>
      </c>
      <c r="N10178" s="94">
        <f>M10178-M10178*VLOOKUP($Q10178,매칭테이블!$F:$I,3,0)</f>
        <v/>
      </c>
      <c r="O10178" s="94">
        <f>VLOOKUP($Q10178,매칭테이블!$F:$I,4,0)*K10178</f>
        <v/>
      </c>
      <c r="P10178" s="148">
        <f>M10178/1.1</f>
        <v/>
      </c>
      <c r="Q10178" s="94">
        <f>F10178&amp;E10178&amp;G10178&amp;L10178</f>
        <v/>
      </c>
    </row>
    <row r="10179" customFormat="1" s="94">
      <c r="B10179" s="128" t="n">
        <v>44123</v>
      </c>
      <c r="C10179" s="94">
        <f>TEXT(B10179,"aaa")</f>
        <v/>
      </c>
      <c r="E10179" s="94" t="inlineStr">
        <is>
          <t>머드크림마스크</t>
        </is>
      </c>
      <c r="F10179" s="5" t="inlineStr">
        <is>
          <t>카페24</t>
        </is>
      </c>
      <c r="G10179" s="94" t="inlineStr">
        <is>
          <t>머드크림마스크 100ml</t>
        </is>
      </c>
      <c r="H10179" s="94" t="n">
        <v>200801</v>
      </c>
      <c r="I10179" s="94" t="n">
        <v>200801</v>
      </c>
      <c r="K10179" s="94" t="n">
        <v>46</v>
      </c>
      <c r="L10179" s="94" t="n">
        <v>200801</v>
      </c>
      <c r="M10179" s="94">
        <f>VLOOKUP($Q10179,매칭테이블!$F:$I,2,0)*K10179</f>
        <v/>
      </c>
      <c r="N10179" s="94">
        <f>M10179-M10179*VLOOKUP($Q10179,매칭테이블!$F:$I,3,0)</f>
        <v/>
      </c>
      <c r="O10179" s="94">
        <f>VLOOKUP($Q10179,매칭테이블!$F:$I,4,0)*K10179</f>
        <v/>
      </c>
      <c r="P10179" s="148">
        <f>M10179/1.1</f>
        <v/>
      </c>
      <c r="Q10179" s="94">
        <f>F10179&amp;E10179&amp;G10179&amp;L10179</f>
        <v/>
      </c>
    </row>
    <row r="10180" customFormat="1" s="94">
      <c r="B10180" s="128" t="n">
        <v>44123</v>
      </c>
      <c r="C10180" s="94">
        <f>TEXT(B10180,"aaa")</f>
        <v/>
      </c>
      <c r="E10180" s="94" t="inlineStr">
        <is>
          <t>머드크림마스크</t>
        </is>
      </c>
      <c r="F10180" s="5" t="inlineStr">
        <is>
          <t>카페24</t>
        </is>
      </c>
      <c r="G10180" s="94" t="inlineStr">
        <is>
          <t>머드크림마스크 100ml 2set</t>
        </is>
      </c>
      <c r="H10180" s="94" t="n">
        <v>200801</v>
      </c>
      <c r="I10180" s="94" t="n">
        <v>200801</v>
      </c>
      <c r="K10180" s="94" t="n">
        <v>23</v>
      </c>
      <c r="L10180" s="94" t="n">
        <v>200801</v>
      </c>
      <c r="M10180" s="94">
        <f>VLOOKUP($Q10180,매칭테이블!$F:$I,2,0)*K10180</f>
        <v/>
      </c>
      <c r="N10180" s="94">
        <f>M10180-M10180*VLOOKUP($Q10180,매칭테이블!$F:$I,3,0)</f>
        <v/>
      </c>
      <c r="O10180" s="94">
        <f>VLOOKUP($Q10180,매칭테이블!$F:$I,4,0)*K10180</f>
        <v/>
      </c>
      <c r="P10180" s="148">
        <f>M10180/1.1</f>
        <v/>
      </c>
      <c r="Q10180" s="94">
        <f>F10180&amp;E10180&amp;G10180&amp;L10180</f>
        <v/>
      </c>
    </row>
    <row r="10181" customFormat="1" s="94">
      <c r="B10181" s="128" t="n">
        <v>44123</v>
      </c>
      <c r="C10181" s="94">
        <f>TEXT(B10181,"aaa")</f>
        <v/>
      </c>
      <c r="E10181" s="94" t="inlineStr">
        <is>
          <t>마스크팩</t>
        </is>
      </c>
      <c r="F10181" s="5" t="inlineStr">
        <is>
          <t>카페24</t>
        </is>
      </c>
      <c r="G10181" s="94" t="inlineStr">
        <is>
          <t>마스크팩 1매</t>
        </is>
      </c>
      <c r="H10181" s="94" t="n">
        <v>200801</v>
      </c>
      <c r="I10181" s="94" t="n">
        <v>200801</v>
      </c>
      <c r="K10181" s="94" t="n">
        <v>2</v>
      </c>
      <c r="L10181" s="94" t="n">
        <v>200801</v>
      </c>
      <c r="M10181" s="94">
        <f>VLOOKUP($Q10181,매칭테이블!$F:$I,2,0)*K10181</f>
        <v/>
      </c>
      <c r="N10181" s="94">
        <f>M10181-M10181*VLOOKUP($Q10181,매칭테이블!$F:$I,3,0)</f>
        <v/>
      </c>
      <c r="O10181" s="94">
        <f>VLOOKUP($Q10181,매칭테이블!$F:$I,4,0)*K10181</f>
        <v/>
      </c>
      <c r="P10181" s="148">
        <f>M10181/1.1</f>
        <v/>
      </c>
      <c r="Q10181" s="94">
        <f>F10181&amp;E10181&amp;G10181&amp;L10181</f>
        <v/>
      </c>
    </row>
    <row r="10182" customFormat="1" s="94">
      <c r="B10182" s="128" t="n">
        <v>44123</v>
      </c>
      <c r="C10182" s="94">
        <f>TEXT(B10182,"aaa")</f>
        <v/>
      </c>
      <c r="E10182" s="94" t="inlineStr">
        <is>
          <t>마스크팩</t>
        </is>
      </c>
      <c r="F10182" s="5" t="inlineStr">
        <is>
          <t>카페24</t>
        </is>
      </c>
      <c r="G10182" s="94" t="inlineStr">
        <is>
          <t>마스크팩 10매</t>
        </is>
      </c>
      <c r="H10182" s="94" t="n">
        <v>200801</v>
      </c>
      <c r="I10182" s="94" t="n">
        <v>200801</v>
      </c>
      <c r="K10182" s="94" t="n">
        <v>3</v>
      </c>
      <c r="L10182" s="94" t="n">
        <v>200801</v>
      </c>
      <c r="M10182" s="94">
        <f>VLOOKUP($Q10182,매칭테이블!$F:$I,2,0)*K10182</f>
        <v/>
      </c>
      <c r="N10182" s="94">
        <f>M10182-M10182*VLOOKUP($Q10182,매칭테이블!$F:$I,3,0)</f>
        <v/>
      </c>
      <c r="O10182" s="94">
        <f>VLOOKUP($Q10182,매칭테이블!$F:$I,4,0)*K10182</f>
        <v/>
      </c>
      <c r="P10182" s="148">
        <f>M10182/1.1</f>
        <v/>
      </c>
      <c r="Q10182" s="94">
        <f>F10182&amp;E10182&amp;G10182&amp;L10182</f>
        <v/>
      </c>
    </row>
    <row r="10183" customFormat="1" s="94">
      <c r="B10183" s="128" t="n">
        <v>44123</v>
      </c>
      <c r="C10183" s="94">
        <f>TEXT(B10183,"aaa")</f>
        <v/>
      </c>
      <c r="E10183" s="94" t="inlineStr">
        <is>
          <t>토너</t>
        </is>
      </c>
      <c r="F10183" s="5" t="inlineStr">
        <is>
          <t>카페24</t>
        </is>
      </c>
      <c r="G10183" s="94" t="inlineStr">
        <is>
          <t>250ml</t>
        </is>
      </c>
      <c r="H10183" s="94" t="n">
        <v>200801</v>
      </c>
      <c r="I10183" s="94" t="n">
        <v>200801</v>
      </c>
      <c r="K10183" s="94" t="n">
        <v>42</v>
      </c>
      <c r="L10183" s="94" t="n">
        <v>200801</v>
      </c>
      <c r="M10183" s="94">
        <f>VLOOKUP($Q10183,매칭테이블!$F:$I,2,0)*K10183</f>
        <v/>
      </c>
      <c r="N10183" s="94">
        <f>M10183-M10183*VLOOKUP($Q10183,매칭테이블!$F:$I,3,0)</f>
        <v/>
      </c>
      <c r="O10183" s="94">
        <f>VLOOKUP($Q10183,매칭테이블!$F:$I,4,0)*K10183</f>
        <v/>
      </c>
      <c r="P10183" s="148">
        <f>M10183/1.1</f>
        <v/>
      </c>
      <c r="Q10183" s="94">
        <f>F10183&amp;E10183&amp;G10183&amp;L10183</f>
        <v/>
      </c>
    </row>
    <row r="10184" customFormat="1" s="94">
      <c r="B10184" s="128" t="n">
        <v>44123</v>
      </c>
      <c r="C10184" s="94">
        <f>TEXT(B10184,"aaa")</f>
        <v/>
      </c>
      <c r="E10184" s="94" t="inlineStr">
        <is>
          <t>토너</t>
        </is>
      </c>
      <c r="F10184" s="5" t="inlineStr">
        <is>
          <t>카페24</t>
        </is>
      </c>
      <c r="G10184" s="94" t="inlineStr">
        <is>
          <t>250ml 2set</t>
        </is>
      </c>
      <c r="H10184" s="94" t="n">
        <v>200801</v>
      </c>
      <c r="I10184" s="94" t="n">
        <v>200801</v>
      </c>
      <c r="K10184" s="94" t="n">
        <v>58</v>
      </c>
      <c r="L10184" s="94" t="n">
        <v>200801</v>
      </c>
      <c r="M10184" s="94">
        <f>VLOOKUP($Q10184,매칭테이블!$F:$I,2,0)*K10184</f>
        <v/>
      </c>
      <c r="N10184" s="94">
        <f>M10184-M10184*VLOOKUP($Q10184,매칭테이블!$F:$I,3,0)</f>
        <v/>
      </c>
      <c r="O10184" s="94">
        <f>VLOOKUP($Q10184,매칭테이블!$F:$I,4,0)*K10184</f>
        <v/>
      </c>
      <c r="P10184" s="148">
        <f>M10184/1.1</f>
        <v/>
      </c>
      <c r="Q10184" s="94">
        <f>F10184&amp;E10184&amp;G10184&amp;L10184</f>
        <v/>
      </c>
    </row>
    <row r="10185" customFormat="1" s="94">
      <c r="B10185" s="128" t="n">
        <v>44123</v>
      </c>
      <c r="C10185" s="94">
        <f>TEXT(B10185,"aaa")</f>
        <v/>
      </c>
      <c r="E10185" s="94" t="inlineStr">
        <is>
          <t>토너</t>
        </is>
      </c>
      <c r="F10185" s="5" t="inlineStr">
        <is>
          <t>카페24</t>
        </is>
      </c>
      <c r="G10185" s="94" t="inlineStr">
        <is>
          <t>500ml</t>
        </is>
      </c>
      <c r="H10185" s="94" t="n">
        <v>200801</v>
      </c>
      <c r="I10185" s="94" t="n">
        <v>200801</v>
      </c>
      <c r="K10185" s="94" t="n">
        <v>72</v>
      </c>
      <c r="L10185" s="94" t="n">
        <v>200801</v>
      </c>
      <c r="M10185" s="94">
        <f>VLOOKUP($Q10185,매칭테이블!$F:$I,2,0)*K10185</f>
        <v/>
      </c>
      <c r="N10185" s="94">
        <f>M10185-M10185*VLOOKUP($Q10185,매칭테이블!$F:$I,3,0)</f>
        <v/>
      </c>
      <c r="O10185" s="94">
        <f>VLOOKUP($Q10185,매칭테이블!$F:$I,4,0)*K10185</f>
        <v/>
      </c>
      <c r="P10185" s="148">
        <f>M10185/1.1</f>
        <v/>
      </c>
      <c r="Q10185" s="94">
        <f>F10185&amp;E10185&amp;G10185&amp;L10185</f>
        <v/>
      </c>
    </row>
    <row r="10186" customFormat="1" s="94">
      <c r="B10186" s="128" t="n">
        <v>44123</v>
      </c>
      <c r="C10186" s="94">
        <f>TEXT(B10186,"aaa")</f>
        <v/>
      </c>
      <c r="E10186" s="94" t="inlineStr">
        <is>
          <t>토너</t>
        </is>
      </c>
      <c r="F10186" s="5" t="inlineStr">
        <is>
          <t>카페24</t>
        </is>
      </c>
      <c r="G10186" s="94" t="inlineStr">
        <is>
          <t>스킨팩 화장솜 60P</t>
        </is>
      </c>
      <c r="H10186" s="94" t="n">
        <v>200801</v>
      </c>
      <c r="I10186" s="94" t="n">
        <v>200801</v>
      </c>
      <c r="K10186" s="94" t="n">
        <v>28</v>
      </c>
      <c r="L10186" s="94" t="n">
        <v>200801</v>
      </c>
      <c r="M10186" s="94">
        <f>VLOOKUP($Q10186,매칭테이블!$F:$I,2,0)*K10186</f>
        <v/>
      </c>
      <c r="N10186" s="94">
        <f>M10186-M10186*VLOOKUP($Q10186,매칭테이블!$F:$I,3,0)</f>
        <v/>
      </c>
      <c r="O10186" s="94">
        <f>VLOOKUP($Q10186,매칭테이블!$F:$I,4,0)*K10186</f>
        <v/>
      </c>
      <c r="P10186" s="148">
        <f>M10186/1.1</f>
        <v/>
      </c>
      <c r="Q10186" s="94">
        <f>F10186&amp;E10186&amp;G10186&amp;L10186</f>
        <v/>
      </c>
    </row>
    <row r="10187" customFormat="1" s="94">
      <c r="B10187" s="128" t="n">
        <v>44123</v>
      </c>
      <c r="C10187" s="94">
        <f>TEXT(B10187,"aaa")</f>
        <v/>
      </c>
      <c r="E10187" s="94" t="inlineStr">
        <is>
          <t>앰플</t>
        </is>
      </c>
      <c r="F10187" s="5" t="inlineStr">
        <is>
          <t>카페24</t>
        </is>
      </c>
      <c r="G10187" s="94" t="inlineStr">
        <is>
          <t>앰플 30ml</t>
        </is>
      </c>
      <c r="H10187" s="94" t="n">
        <v>200801</v>
      </c>
      <c r="I10187" s="94" t="n">
        <v>200801</v>
      </c>
      <c r="K10187" s="94" t="n">
        <v>20</v>
      </c>
      <c r="L10187" s="94" t="n">
        <v>200801</v>
      </c>
      <c r="M10187" s="94">
        <f>VLOOKUP($Q10187,매칭테이블!$F:$I,2,0)*K10187</f>
        <v/>
      </c>
      <c r="N10187" s="94">
        <f>M10187-M10187*VLOOKUP($Q10187,매칭테이블!$F:$I,3,0)</f>
        <v/>
      </c>
      <c r="O10187" s="94">
        <f>VLOOKUP($Q10187,매칭테이블!$F:$I,4,0)*K10187</f>
        <v/>
      </c>
      <c r="P10187" s="148">
        <f>M10187/1.1</f>
        <v/>
      </c>
      <c r="Q10187" s="94">
        <f>F10187&amp;E10187&amp;G10187&amp;L10187</f>
        <v/>
      </c>
    </row>
    <row r="10188" customFormat="1" s="94">
      <c r="B10188" s="128" t="n">
        <v>44123</v>
      </c>
      <c r="C10188" s="94">
        <f>TEXT(B10188,"aaa")</f>
        <v/>
      </c>
      <c r="E10188" s="94" t="inlineStr">
        <is>
          <t>앰플</t>
        </is>
      </c>
      <c r="F10188" s="5" t="inlineStr">
        <is>
          <t>카페24</t>
        </is>
      </c>
      <c r="G10188" s="94" t="inlineStr">
        <is>
          <t>앰플 30ml  2set</t>
        </is>
      </c>
      <c r="H10188" s="94" t="n">
        <v>200801</v>
      </c>
      <c r="I10188" s="94" t="n">
        <v>200801</v>
      </c>
      <c r="K10188" s="94" t="n">
        <v>5</v>
      </c>
      <c r="L10188" s="94" t="n">
        <v>200801</v>
      </c>
      <c r="M10188" s="94">
        <f>VLOOKUP($Q10188,매칭테이블!$F:$I,2,0)*K10188</f>
        <v/>
      </c>
      <c r="N10188" s="94">
        <f>M10188-M10188*VLOOKUP($Q10188,매칭테이블!$F:$I,3,0)</f>
        <v/>
      </c>
      <c r="O10188" s="94">
        <f>VLOOKUP($Q10188,매칭테이블!$F:$I,4,0)*K10188</f>
        <v/>
      </c>
      <c r="P10188" s="148">
        <f>M10188/1.1</f>
        <v/>
      </c>
      <c r="Q10188" s="94">
        <f>F10188&amp;E10188&amp;G10188&amp;L10188</f>
        <v/>
      </c>
    </row>
    <row r="10189" customFormat="1" s="94">
      <c r="B10189" s="128" t="n">
        <v>44123</v>
      </c>
      <c r="C10189" s="94">
        <f>TEXT(B10189,"aaa")</f>
        <v/>
      </c>
      <c r="E10189" s="94" t="inlineStr">
        <is>
          <t>수딩크림</t>
        </is>
      </c>
      <c r="F10189" s="5" t="inlineStr">
        <is>
          <t>카페24</t>
        </is>
      </c>
      <c r="G10189" s="94" t="inlineStr">
        <is>
          <t>수딩크림 100ml</t>
        </is>
      </c>
      <c r="H10189" s="94" t="n">
        <v>200801</v>
      </c>
      <c r="I10189" s="94" t="n">
        <v>200801</v>
      </c>
      <c r="K10189" s="94" t="n">
        <v>10</v>
      </c>
      <c r="L10189" s="94" t="n">
        <v>200801</v>
      </c>
      <c r="M10189" s="94">
        <f>VLOOKUP($Q10189,매칭테이블!$F:$I,2,0)*K10189</f>
        <v/>
      </c>
      <c r="N10189" s="94">
        <f>M10189-M10189*VLOOKUP($Q10189,매칭테이블!$F:$I,3,0)</f>
        <v/>
      </c>
      <c r="O10189" s="94">
        <f>VLOOKUP($Q10189,매칭테이블!$F:$I,4,0)*K10189</f>
        <v/>
      </c>
      <c r="P10189" s="148">
        <f>M10189/1.1</f>
        <v/>
      </c>
      <c r="Q10189" s="94">
        <f>F10189&amp;E10189&amp;G10189&amp;L10189</f>
        <v/>
      </c>
    </row>
    <row r="10190" customFormat="1" s="94">
      <c r="B10190" s="128" t="n">
        <v>44123</v>
      </c>
      <c r="C10190" s="94">
        <f>TEXT(B10190,"aaa")</f>
        <v/>
      </c>
      <c r="E10190" s="94" t="inlineStr">
        <is>
          <t>클렌징폼</t>
        </is>
      </c>
      <c r="F10190" s="5" t="inlineStr">
        <is>
          <t>카페24</t>
        </is>
      </c>
      <c r="G10190" s="94" t="inlineStr">
        <is>
          <t>클렌징폼 120ml</t>
        </is>
      </c>
      <c r="H10190" s="94" t="n">
        <v>200801</v>
      </c>
      <c r="I10190" s="94" t="n">
        <v>200801</v>
      </c>
      <c r="K10190" s="94" t="n">
        <v>8</v>
      </c>
      <c r="L10190" s="94" t="n">
        <v>200801</v>
      </c>
      <c r="M10190" s="94">
        <f>VLOOKUP($Q10190,매칭테이블!$F:$I,2,0)*K10190</f>
        <v/>
      </c>
      <c r="N10190" s="94">
        <f>M10190-M10190*VLOOKUP($Q10190,매칭테이블!$F:$I,3,0)</f>
        <v/>
      </c>
      <c r="O10190" s="94">
        <f>VLOOKUP($Q10190,매칭테이블!$F:$I,4,0)*K10190</f>
        <v/>
      </c>
      <c r="P10190" s="148">
        <f>M10190/1.1</f>
        <v/>
      </c>
      <c r="Q10190" s="94">
        <f>F10190&amp;E10190&amp;G10190&amp;L10190</f>
        <v/>
      </c>
    </row>
    <row r="10191" customFormat="1" s="94">
      <c r="B10191" s="128" t="n">
        <v>44123</v>
      </c>
      <c r="C10191" s="94">
        <f>TEXT(B10191,"aaa")</f>
        <v/>
      </c>
      <c r="E10191" s="94" t="inlineStr">
        <is>
          <t>클렌징폼</t>
        </is>
      </c>
      <c r="F10191" s="5" t="inlineStr">
        <is>
          <t>카페24</t>
        </is>
      </c>
      <c r="G10191" s="94" t="inlineStr">
        <is>
          <t>클렌징폼 120ml 2set</t>
        </is>
      </c>
      <c r="H10191" s="94" t="n">
        <v>200801</v>
      </c>
      <c r="I10191" s="94" t="n">
        <v>200801</v>
      </c>
      <c r="K10191" s="94" t="n">
        <v>2</v>
      </c>
      <c r="L10191" s="94" t="n">
        <v>200801</v>
      </c>
      <c r="M10191" s="94">
        <f>VLOOKUP($Q10191,매칭테이블!$F:$I,2,0)*K10191</f>
        <v/>
      </c>
      <c r="N10191" s="94">
        <f>M10191-M10191*VLOOKUP($Q10191,매칭테이블!$F:$I,3,0)</f>
        <v/>
      </c>
      <c r="O10191" s="94">
        <f>VLOOKUP($Q10191,매칭테이블!$F:$I,4,0)*K10191</f>
        <v/>
      </c>
      <c r="P10191" s="148">
        <f>M10191/1.1</f>
        <v/>
      </c>
      <c r="Q10191" s="94">
        <f>F10191&amp;E10191&amp;G10191&amp;L10191</f>
        <v/>
      </c>
    </row>
    <row r="10192" customFormat="1" s="94">
      <c r="B10192" s="128" t="n">
        <v>44123</v>
      </c>
      <c r="C10192" s="94">
        <f>TEXT(B10192,"aaa")</f>
        <v/>
      </c>
      <c r="E10192" s="94" t="inlineStr">
        <is>
          <t>클렌징폼</t>
        </is>
      </c>
      <c r="F10192" s="5" t="inlineStr">
        <is>
          <t>카페24</t>
        </is>
      </c>
      <c r="G10192" s="94" t="inlineStr">
        <is>
          <t>클렌징폼 120ml 3set</t>
        </is>
      </c>
      <c r="H10192" s="94" t="n">
        <v>200801</v>
      </c>
      <c r="I10192" s="94" t="n">
        <v>200801</v>
      </c>
      <c r="K10192" s="94" t="n">
        <v>1</v>
      </c>
      <c r="L10192" s="94" t="n">
        <v>200801</v>
      </c>
      <c r="M10192" s="94">
        <f>VLOOKUP($Q10192,매칭테이블!$F:$I,2,0)*K10192</f>
        <v/>
      </c>
      <c r="N10192" s="94">
        <f>M10192-M10192*VLOOKUP($Q10192,매칭테이블!$F:$I,3,0)</f>
        <v/>
      </c>
      <c r="O10192" s="94">
        <f>VLOOKUP($Q10192,매칭테이블!$F:$I,4,0)*K10192</f>
        <v/>
      </c>
      <c r="P10192" s="148">
        <f>M10192/1.1</f>
        <v/>
      </c>
      <c r="Q10192" s="94">
        <f>F10192&amp;E10192&amp;G10192&amp;L10192</f>
        <v/>
      </c>
    </row>
    <row r="10193" customFormat="1" s="94">
      <c r="B10193" s="128" t="n">
        <v>44123</v>
      </c>
      <c r="C10193" s="94">
        <f>TEXT(B10193,"aaa")</f>
        <v/>
      </c>
      <c r="E10193" s="94" t="inlineStr">
        <is>
          <t>바디워시</t>
        </is>
      </c>
      <c r="F10193" s="5" t="inlineStr">
        <is>
          <t>카페24</t>
        </is>
      </c>
      <c r="G10193" s="94" t="inlineStr">
        <is>
          <t>바디워시 1개 -30% off</t>
        </is>
      </c>
      <c r="H10193" s="94" t="n">
        <v>200801</v>
      </c>
      <c r="I10193" s="94" t="n">
        <v>200801</v>
      </c>
      <c r="K10193" s="94" t="n">
        <v>3</v>
      </c>
      <c r="L10193" s="94" t="n">
        <v>200801</v>
      </c>
      <c r="M10193" s="94">
        <f>VLOOKUP($Q10193,매칭테이블!$F:$I,2,0)*K10193</f>
        <v/>
      </c>
      <c r="N10193" s="94">
        <f>M10193-M10193*VLOOKUP($Q10193,매칭테이블!$F:$I,3,0)</f>
        <v/>
      </c>
      <c r="O10193" s="94">
        <f>VLOOKUP($Q10193,매칭테이블!$F:$I,4,0)*K10193</f>
        <v/>
      </c>
      <c r="P10193" s="148">
        <f>M10193/1.1</f>
        <v/>
      </c>
      <c r="Q10193" s="94">
        <f>F10193&amp;E10193&amp;G10193&amp;L10193</f>
        <v/>
      </c>
    </row>
    <row r="10194" customFormat="1" s="94">
      <c r="B10194" s="128" t="n">
        <v>44123</v>
      </c>
      <c r="C10194" s="94">
        <f>TEXT(B10194,"aaa")</f>
        <v/>
      </c>
      <c r="E10194" s="94" t="inlineStr">
        <is>
          <t>앰플</t>
        </is>
      </c>
      <c r="F10194" s="5" t="inlineStr">
        <is>
          <t>화해</t>
        </is>
      </c>
      <c r="G10194" s="94" t="inlineStr">
        <is>
          <t>앰플 30ml</t>
        </is>
      </c>
      <c r="H10194" s="94" t="n">
        <v>200801</v>
      </c>
      <c r="I10194" s="94" t="n">
        <v>200801</v>
      </c>
      <c r="K10194" s="94" t="n">
        <v>1</v>
      </c>
      <c r="L10194" s="94" t="n">
        <v>200801</v>
      </c>
      <c r="M10194" s="94">
        <f>VLOOKUP($Q10194,매칭테이블!$F:$I,2,0)*K10194</f>
        <v/>
      </c>
      <c r="N10194" s="94">
        <f>M10194-M10194*VLOOKUP($Q10194,매칭테이블!$F:$I,3,0)</f>
        <v/>
      </c>
      <c r="O10194" s="94">
        <f>VLOOKUP($Q10194,매칭테이블!$F:$I,4,0)*K10194</f>
        <v/>
      </c>
      <c r="P10194" s="148">
        <f>M10194/1.1</f>
        <v/>
      </c>
      <c r="Q10194" s="94">
        <f>F10194&amp;E10194&amp;G10194&amp;L10194</f>
        <v/>
      </c>
    </row>
    <row r="10195" customFormat="1" s="94">
      <c r="B10195" s="128" t="n">
        <v>44123</v>
      </c>
      <c r="C10195" s="94">
        <f>TEXT(B10195,"aaa")</f>
        <v/>
      </c>
      <c r="E10195" s="94" t="inlineStr">
        <is>
          <t>토너</t>
        </is>
      </c>
      <c r="F10195" s="5" t="inlineStr">
        <is>
          <t>화해</t>
        </is>
      </c>
      <c r="G10195" s="94" t="inlineStr">
        <is>
          <t>250ml</t>
        </is>
      </c>
      <c r="H10195" s="94" t="n">
        <v>200801</v>
      </c>
      <c r="I10195" s="94" t="n">
        <v>200801</v>
      </c>
      <c r="K10195" s="94" t="n">
        <v>5</v>
      </c>
      <c r="L10195" s="94" t="n">
        <v>200801</v>
      </c>
      <c r="M10195" s="94">
        <f>VLOOKUP($Q10195,매칭테이블!$F:$I,2,0)*K10195</f>
        <v/>
      </c>
      <c r="N10195" s="94">
        <f>M10195-M10195*VLOOKUP($Q10195,매칭테이블!$F:$I,3,0)</f>
        <v/>
      </c>
      <c r="O10195" s="94">
        <f>VLOOKUP($Q10195,매칭테이블!$F:$I,4,0)*K10195</f>
        <v/>
      </c>
      <c r="P10195" s="148">
        <f>M10195/1.1</f>
        <v/>
      </c>
      <c r="Q10195" s="94">
        <f>F10195&amp;E10195&amp;G10195&amp;L10195</f>
        <v/>
      </c>
    </row>
    <row r="10196" customFormat="1" s="94">
      <c r="B10196" s="128" t="n">
        <v>44123</v>
      </c>
      <c r="C10196" s="94">
        <f>TEXT(B10196,"aaa")</f>
        <v/>
      </c>
      <c r="E10196" s="94" t="inlineStr">
        <is>
          <t>머드크림마스크</t>
        </is>
      </c>
      <c r="F10196" s="5" t="inlineStr">
        <is>
          <t>화해</t>
        </is>
      </c>
      <c r="G10196" s="94" t="inlineStr">
        <is>
          <t>머드크림마스크 100ml</t>
        </is>
      </c>
      <c r="H10196" s="94" t="n">
        <v>200801</v>
      </c>
      <c r="I10196" s="94" t="n">
        <v>200801</v>
      </c>
      <c r="K10196" s="94" t="n">
        <v>1</v>
      </c>
      <c r="L10196" s="94" t="n">
        <v>200801</v>
      </c>
      <c r="M10196" s="94">
        <f>VLOOKUP($Q10196,매칭테이블!$F:$I,2,0)*K10196</f>
        <v/>
      </c>
      <c r="N10196" s="94">
        <f>M10196-M10196*VLOOKUP($Q10196,매칭테이블!$F:$I,3,0)</f>
        <v/>
      </c>
      <c r="O10196" s="94">
        <f>VLOOKUP($Q10196,매칭테이블!$F:$I,4,0)*K10196</f>
        <v/>
      </c>
      <c r="P10196" s="148">
        <f>M10196/1.1</f>
        <v/>
      </c>
      <c r="Q10196" s="94">
        <f>F10196&amp;E10196&amp;G10196&amp;L10196</f>
        <v/>
      </c>
    </row>
    <row r="10197">
      <c r="A10197" s="94" t="n"/>
      <c r="B10197" s="128" t="n">
        <v>44124</v>
      </c>
      <c r="C10197" s="94">
        <f>TEXT(B10197,"aaa")</f>
        <v/>
      </c>
      <c r="D10197" s="94" t="n"/>
      <c r="E10197" s="94" t="inlineStr">
        <is>
          <t>토너</t>
        </is>
      </c>
      <c r="F10197" s="5" t="inlineStr">
        <is>
          <t>W컨셉</t>
        </is>
      </c>
      <c r="G10197" s="94" t="inlineStr">
        <is>
          <t>250ml</t>
        </is>
      </c>
      <c r="H10197" s="94" t="n">
        <v>200801</v>
      </c>
      <c r="I10197" s="94" t="n">
        <v>200801</v>
      </c>
      <c r="J10197" s="94" t="n"/>
      <c r="K10197" s="94" t="n">
        <v>8</v>
      </c>
      <c r="L10197" s="94" t="n">
        <v>200801</v>
      </c>
      <c r="M10197" s="94">
        <f>VLOOKUP($Q10197,매칭테이블!$F:$I,2,0)*K10197</f>
        <v/>
      </c>
      <c r="N10197" s="94">
        <f>M10197-M10197*VLOOKUP($Q10197,매칭테이블!$F:$I,3,0)</f>
        <v/>
      </c>
      <c r="O10197" s="94">
        <f>VLOOKUP($Q10197,매칭테이블!$F:$I,4,0)*K10197</f>
        <v/>
      </c>
      <c r="P10197" s="148">
        <f>M10197/1.1</f>
        <v/>
      </c>
      <c r="Q10197" s="94">
        <f>F10197&amp;E10197&amp;G10197&amp;L10197</f>
        <v/>
      </c>
    </row>
    <row r="10198">
      <c r="A10198" s="94" t="n"/>
      <c r="B10198" s="128" t="n">
        <v>44124</v>
      </c>
      <c r="C10198" s="94">
        <f>TEXT(B10198,"aaa")</f>
        <v/>
      </c>
      <c r="D10198" s="94" t="n"/>
      <c r="E10198" s="94" t="inlineStr">
        <is>
          <t>토너</t>
        </is>
      </c>
      <c r="F10198" s="5" t="inlineStr">
        <is>
          <t>W컨셉</t>
        </is>
      </c>
      <c r="G10198" s="94" t="inlineStr">
        <is>
          <t>250ml 2set</t>
        </is>
      </c>
      <c r="H10198" s="94" t="n">
        <v>200801</v>
      </c>
      <c r="I10198" s="94" t="n">
        <v>200801</v>
      </c>
      <c r="J10198" s="94" t="n"/>
      <c r="K10198" s="94" t="n">
        <v>28</v>
      </c>
      <c r="L10198" s="94" t="n">
        <v>200801</v>
      </c>
      <c r="M10198" s="94">
        <f>VLOOKUP($Q10198,매칭테이블!$F:$I,2,0)*K10198</f>
        <v/>
      </c>
      <c r="N10198" s="94">
        <f>M10198-M10198*VLOOKUP($Q10198,매칭테이블!$F:$I,3,0)</f>
        <v/>
      </c>
      <c r="O10198" s="94">
        <f>VLOOKUP($Q10198,매칭테이블!$F:$I,4,0)*K10198</f>
        <v/>
      </c>
      <c r="P10198" s="148">
        <f>M10198/1.1</f>
        <v/>
      </c>
      <c r="Q10198" s="94">
        <f>F10198&amp;E10198&amp;G10198&amp;L10198</f>
        <v/>
      </c>
    </row>
    <row r="10199">
      <c r="A10199" s="94" t="n"/>
      <c r="B10199" s="128" t="n">
        <v>44124</v>
      </c>
      <c r="C10199" s="94">
        <f>TEXT(B10199,"aaa")</f>
        <v/>
      </c>
      <c r="D10199" s="94" t="n"/>
      <c r="E10199" s="94" t="inlineStr">
        <is>
          <t>클렌징폼</t>
        </is>
      </c>
      <c r="F10199" s="5" t="inlineStr">
        <is>
          <t>글로우데이즈 시코르</t>
        </is>
      </c>
      <c r="G10199" s="94" t="inlineStr">
        <is>
          <t>클렌징폼=클렌징폼 120ml</t>
        </is>
      </c>
      <c r="H10199" s="94" t="n">
        <v>200801</v>
      </c>
      <c r="I10199" s="94" t="n">
        <v>200801</v>
      </c>
      <c r="J10199" s="94" t="n"/>
      <c r="K10199" s="94" t="n">
        <v>4</v>
      </c>
      <c r="L10199" s="94" t="n">
        <v>200801</v>
      </c>
      <c r="M10199" s="94">
        <f>VLOOKUP($Q10199,매칭테이블!$F:$I,2,0)*K10199</f>
        <v/>
      </c>
      <c r="N10199" s="94">
        <f>M10199-M10199*VLOOKUP($Q10199,매칭테이블!$F:$I,3,0)</f>
        <v/>
      </c>
      <c r="O10199" s="94">
        <f>VLOOKUP($Q10199,매칭테이블!$F:$I,4,0)*K10199</f>
        <v/>
      </c>
      <c r="P10199" s="148">
        <f>M10199/1.1</f>
        <v/>
      </c>
      <c r="Q10199" s="94">
        <f>F10199&amp;E10199&amp;G10199&amp;L10199</f>
        <v/>
      </c>
    </row>
    <row r="10200">
      <c r="A10200" s="94" t="n"/>
      <c r="B10200" s="128" t="n">
        <v>44124</v>
      </c>
      <c r="C10200" s="94">
        <f>TEXT(B10200,"aaa")</f>
        <v/>
      </c>
      <c r="D10200" s="94" t="n"/>
      <c r="E10200" s="94" t="inlineStr">
        <is>
          <t>선크림</t>
        </is>
      </c>
      <c r="F10200" s="5" t="inlineStr">
        <is>
          <t>글로우데이즈 시코르</t>
        </is>
      </c>
      <c r="G10200" s="94" t="inlineStr">
        <is>
          <t>선크림=선크림 50ml</t>
        </is>
      </c>
      <c r="H10200" s="94" t="n">
        <v>200801</v>
      </c>
      <c r="I10200" s="94" t="n">
        <v>200801</v>
      </c>
      <c r="J10200" s="94" t="n"/>
      <c r="K10200" s="94" t="n">
        <v>1</v>
      </c>
      <c r="L10200" s="94" t="n">
        <v>200801</v>
      </c>
      <c r="M10200" s="94">
        <f>VLOOKUP($Q10200,매칭테이블!$F:$I,2,0)*K10200</f>
        <v/>
      </c>
      <c r="N10200" s="94">
        <f>M10200-M10200*VLOOKUP($Q10200,매칭테이블!$F:$I,3,0)</f>
        <v/>
      </c>
      <c r="O10200" s="94">
        <f>VLOOKUP($Q10200,매칭테이블!$F:$I,4,0)*K10200</f>
        <v/>
      </c>
      <c r="P10200" s="148">
        <f>M10200/1.1</f>
        <v/>
      </c>
      <c r="Q10200" s="94">
        <f>F10200&amp;E10200&amp;G10200&amp;L10200</f>
        <v/>
      </c>
    </row>
    <row r="10201">
      <c r="A10201" s="94" t="n"/>
      <c r="B10201" s="128" t="n">
        <v>44124</v>
      </c>
      <c r="C10201" s="94">
        <f>TEXT(B10201,"aaa")</f>
        <v/>
      </c>
      <c r="D10201" s="94" t="n"/>
      <c r="E10201" s="94" t="inlineStr">
        <is>
          <t>토너</t>
        </is>
      </c>
      <c r="F10201" s="5" t="inlineStr">
        <is>
          <t>스타일쉐어</t>
        </is>
      </c>
      <c r="G10201" s="94" t="inlineStr">
        <is>
          <t>250ml</t>
        </is>
      </c>
      <c r="H10201" s="94" t="n">
        <v>200801</v>
      </c>
      <c r="I10201" s="94" t="n">
        <v>200801</v>
      </c>
      <c r="J10201" s="94" t="n"/>
      <c r="K10201" s="94" t="n">
        <v>4</v>
      </c>
      <c r="L10201" s="94" t="n">
        <v>200801</v>
      </c>
      <c r="M10201" s="94">
        <f>VLOOKUP($Q10201,매칭테이블!$F:$I,2,0)*K10201</f>
        <v/>
      </c>
      <c r="N10201" s="94">
        <f>M10201-M10201*VLOOKUP($Q10201,매칭테이블!$F:$I,3,0)</f>
        <v/>
      </c>
      <c r="O10201" s="94">
        <f>VLOOKUP($Q10201,매칭테이블!$F:$I,4,0)*K10201</f>
        <v/>
      </c>
      <c r="P10201" s="148">
        <f>M10201/1.1</f>
        <v/>
      </c>
      <c r="Q10201" s="94">
        <f>F10201&amp;E10201&amp;G10201&amp;L10201</f>
        <v/>
      </c>
    </row>
    <row r="10202">
      <c r="A10202" s="94" t="n"/>
      <c r="B10202" s="128" t="n">
        <v>44124</v>
      </c>
      <c r="C10202" s="94">
        <f>TEXT(B10202,"aaa")</f>
        <v/>
      </c>
      <c r="D10202" s="94" t="n"/>
      <c r="E10202" s="94" t="inlineStr">
        <is>
          <t>선크림</t>
        </is>
      </c>
      <c r="F10202" s="5" t="inlineStr">
        <is>
          <t>카페24</t>
        </is>
      </c>
      <c r="G10202" s="94" t="inlineStr">
        <is>
          <t>선크림 50ml</t>
        </is>
      </c>
      <c r="H10202" s="94" t="n">
        <v>200801</v>
      </c>
      <c r="I10202" s="94" t="n">
        <v>200801</v>
      </c>
      <c r="J10202" s="94" t="n"/>
      <c r="K10202" s="94" t="n">
        <v>4</v>
      </c>
      <c r="L10202" s="94" t="n">
        <v>200801</v>
      </c>
      <c r="M10202" s="94">
        <f>VLOOKUP($Q10202,매칭테이블!$F:$I,2,0)*K10202</f>
        <v/>
      </c>
      <c r="N10202" s="94">
        <f>M10202-M10202*VLOOKUP($Q10202,매칭테이블!$F:$I,3,0)</f>
        <v/>
      </c>
      <c r="O10202" s="94">
        <f>VLOOKUP($Q10202,매칭테이블!$F:$I,4,0)*K10202</f>
        <v/>
      </c>
      <c r="P10202" s="148">
        <f>M10202/1.1</f>
        <v/>
      </c>
      <c r="Q10202" s="94">
        <f>F10202&amp;E10202&amp;G10202&amp;L10202</f>
        <v/>
      </c>
    </row>
    <row r="10203">
      <c r="A10203" s="94" t="n"/>
      <c r="B10203" s="128" t="n">
        <v>44124</v>
      </c>
      <c r="C10203" s="94">
        <f>TEXT(B10203,"aaa")</f>
        <v/>
      </c>
      <c r="D10203" s="94" t="n"/>
      <c r="E10203" s="94" t="inlineStr">
        <is>
          <t>선크림</t>
        </is>
      </c>
      <c r="F10203" s="5" t="inlineStr">
        <is>
          <t>카페24</t>
        </is>
      </c>
      <c r="G10203" s="94" t="inlineStr">
        <is>
          <t>선크림 50ml  2set</t>
        </is>
      </c>
      <c r="H10203" s="94" t="n">
        <v>200801</v>
      </c>
      <c r="I10203" s="94" t="n">
        <v>200801</v>
      </c>
      <c r="J10203" s="94" t="n"/>
      <c r="K10203" s="94" t="n">
        <v>1</v>
      </c>
      <c r="L10203" s="94" t="n">
        <v>200801</v>
      </c>
      <c r="M10203" s="94">
        <f>VLOOKUP($Q10203,매칭테이블!$F:$I,2,0)*K10203</f>
        <v/>
      </c>
      <c r="N10203" s="94">
        <f>M10203-M10203*VLOOKUP($Q10203,매칭테이블!$F:$I,3,0)</f>
        <v/>
      </c>
      <c r="O10203" s="94">
        <f>VLOOKUP($Q10203,매칭테이블!$F:$I,4,0)*K10203</f>
        <v/>
      </c>
      <c r="P10203" s="148">
        <f>M10203/1.1</f>
        <v/>
      </c>
      <c r="Q10203" s="94">
        <f>F10203&amp;E10203&amp;G10203&amp;L10203</f>
        <v/>
      </c>
    </row>
    <row r="10204">
      <c r="A10204" s="94" t="n"/>
      <c r="B10204" s="128" t="n">
        <v>44124</v>
      </c>
      <c r="C10204" s="94">
        <f>TEXT(B10204,"aaa")</f>
        <v/>
      </c>
      <c r="D10204" s="94" t="n"/>
      <c r="E10204" s="94" t="inlineStr">
        <is>
          <t>어성초진정패키지</t>
        </is>
      </c>
      <c r="F10204" s="5" t="inlineStr">
        <is>
          <t>카페24</t>
        </is>
      </c>
      <c r="G10204" s="94" t="inlineStr">
        <is>
          <t>어성초 진정패키지세트</t>
        </is>
      </c>
      <c r="H10204" s="94" t="n">
        <v>200801</v>
      </c>
      <c r="I10204" s="94" t="n">
        <v>200801</v>
      </c>
      <c r="J10204" s="94" t="n"/>
      <c r="K10204" s="94" t="n">
        <v>5</v>
      </c>
      <c r="L10204" s="94" t="n">
        <v>200801</v>
      </c>
      <c r="M10204" s="94">
        <f>VLOOKUP($Q10204,매칭테이블!$F:$I,2,0)*K10204</f>
        <v/>
      </c>
      <c r="N10204" s="94">
        <f>M10204-M10204*VLOOKUP($Q10204,매칭테이블!$F:$I,3,0)</f>
        <v/>
      </c>
      <c r="O10204" s="94">
        <f>VLOOKUP($Q10204,매칭테이블!$F:$I,4,0)*K10204</f>
        <v/>
      </c>
      <c r="P10204" s="148">
        <f>M10204/1.1</f>
        <v/>
      </c>
      <c r="Q10204" s="94">
        <f>F10204&amp;E10204&amp;G10204&amp;L10204</f>
        <v/>
      </c>
    </row>
    <row r="10205">
      <c r="A10205" s="94" t="n"/>
      <c r="B10205" s="128" t="n">
        <v>44124</v>
      </c>
      <c r="C10205" s="94">
        <f>TEXT(B10205,"aaa")</f>
        <v/>
      </c>
      <c r="D10205" s="94" t="n"/>
      <c r="E10205" s="94" t="inlineStr">
        <is>
          <t>수분 보충 세트</t>
        </is>
      </c>
      <c r="F10205" s="5" t="inlineStr">
        <is>
          <t>카페24</t>
        </is>
      </c>
      <c r="G10205" s="94" t="inlineStr">
        <is>
          <t>[20/09/28 부터] 어성초 77 토너 250ml + 어성초 70 로션 200ml -30%</t>
        </is>
      </c>
      <c r="H10205" s="94" t="n">
        <v>200801</v>
      </c>
      <c r="I10205" s="94" t="n">
        <v>200801</v>
      </c>
      <c r="J10205" s="94" t="n"/>
      <c r="K10205" s="94" t="n">
        <v>31</v>
      </c>
      <c r="L10205" s="94" t="n">
        <v>200801</v>
      </c>
      <c r="M10205" s="94">
        <f>VLOOKUP($Q10205,매칭테이블!$F:$I,2,0)*K10205</f>
        <v/>
      </c>
      <c r="N10205" s="94">
        <f>M10205-M10205*VLOOKUP($Q10205,매칭테이블!$F:$I,3,0)</f>
        <v/>
      </c>
      <c r="O10205" s="94">
        <f>VLOOKUP($Q10205,매칭테이블!$F:$I,4,0)*K10205</f>
        <v/>
      </c>
      <c r="P10205" s="148">
        <f>M10205/1.1</f>
        <v/>
      </c>
      <c r="Q10205" s="94">
        <f>F10205&amp;E10205&amp;G10205&amp;L10205</f>
        <v/>
      </c>
    </row>
    <row r="10206">
      <c r="A10206" s="94" t="n"/>
      <c r="B10206" s="128" t="n">
        <v>44124</v>
      </c>
      <c r="C10206" s="94">
        <f>TEXT(B10206,"aaa")</f>
        <v/>
      </c>
      <c r="D10206" s="94" t="n"/>
      <c r="E10206" s="94" t="inlineStr">
        <is>
          <t>로션</t>
        </is>
      </c>
      <c r="F10206" s="5" t="inlineStr">
        <is>
          <t>카페24</t>
        </is>
      </c>
      <c r="G10206" s="94" t="inlineStr">
        <is>
          <t>어성초 70 데일리 릴리프 로션 1개 -20% off</t>
        </is>
      </c>
      <c r="H10206" s="94" t="n">
        <v>200801</v>
      </c>
      <c r="I10206" s="94" t="n">
        <v>200801</v>
      </c>
      <c r="J10206" s="94" t="n"/>
      <c r="K10206" s="94" t="n">
        <v>7</v>
      </c>
      <c r="L10206" s="94" t="n">
        <v>200801</v>
      </c>
      <c r="M10206" s="94">
        <f>VLOOKUP($Q10206,매칭테이블!$F:$I,2,0)*K10206</f>
        <v/>
      </c>
      <c r="N10206" s="94">
        <f>M10206-M10206*VLOOKUP($Q10206,매칭테이블!$F:$I,3,0)</f>
        <v/>
      </c>
      <c r="O10206" s="94">
        <f>VLOOKUP($Q10206,매칭테이블!$F:$I,4,0)*K10206</f>
        <v/>
      </c>
      <c r="P10206" s="148">
        <f>M10206/1.1</f>
        <v/>
      </c>
      <c r="Q10206" s="94">
        <f>F10206&amp;E10206&amp;G10206&amp;L10206</f>
        <v/>
      </c>
    </row>
    <row r="10207">
      <c r="A10207" s="94" t="n"/>
      <c r="B10207" s="128" t="n">
        <v>44124</v>
      </c>
      <c r="C10207" s="94">
        <f>TEXT(B10207,"aaa")</f>
        <v/>
      </c>
      <c r="D10207" s="94" t="n"/>
      <c r="E10207" s="94" t="inlineStr">
        <is>
          <t>머드크림마스크</t>
        </is>
      </c>
      <c r="F10207" s="5" t="inlineStr">
        <is>
          <t>카페24</t>
        </is>
      </c>
      <c r="G10207" s="94" t="inlineStr">
        <is>
          <t>머드크림마스크 100ml</t>
        </is>
      </c>
      <c r="H10207" s="94" t="n">
        <v>200801</v>
      </c>
      <c r="I10207" s="94" t="n">
        <v>200801</v>
      </c>
      <c r="J10207" s="94" t="n"/>
      <c r="K10207" s="94" t="n">
        <v>41</v>
      </c>
      <c r="L10207" s="94" t="n">
        <v>200801</v>
      </c>
      <c r="M10207" s="94">
        <f>VLOOKUP($Q10207,매칭테이블!$F:$I,2,0)*K10207</f>
        <v/>
      </c>
      <c r="N10207" s="94">
        <f>M10207-M10207*VLOOKUP($Q10207,매칭테이블!$F:$I,3,0)</f>
        <v/>
      </c>
      <c r="O10207" s="94">
        <f>VLOOKUP($Q10207,매칭테이블!$F:$I,4,0)*K10207</f>
        <v/>
      </c>
      <c r="P10207" s="148">
        <f>M10207/1.1</f>
        <v/>
      </c>
      <c r="Q10207" s="94">
        <f>F10207&amp;E10207&amp;G10207&amp;L10207</f>
        <v/>
      </c>
    </row>
    <row r="10208">
      <c r="A10208" s="94" t="n"/>
      <c r="B10208" s="128" t="n">
        <v>44124</v>
      </c>
      <c r="C10208" s="94">
        <f>TEXT(B10208,"aaa")</f>
        <v/>
      </c>
      <c r="D10208" s="94" t="n"/>
      <c r="E10208" s="94" t="inlineStr">
        <is>
          <t>머드크림마스크</t>
        </is>
      </c>
      <c r="F10208" s="5" t="inlineStr">
        <is>
          <t>카페24</t>
        </is>
      </c>
      <c r="G10208" s="94" t="inlineStr">
        <is>
          <t>머드크림마스크 100ml 2set</t>
        </is>
      </c>
      <c r="H10208" s="94" t="n">
        <v>200801</v>
      </c>
      <c r="I10208" s="94" t="n">
        <v>200801</v>
      </c>
      <c r="J10208" s="94" t="n"/>
      <c r="K10208" s="94" t="n">
        <v>14</v>
      </c>
      <c r="L10208" s="94" t="n">
        <v>200801</v>
      </c>
      <c r="M10208" s="94">
        <f>VLOOKUP($Q10208,매칭테이블!$F:$I,2,0)*K10208</f>
        <v/>
      </c>
      <c r="N10208" s="94">
        <f>M10208-M10208*VLOOKUP($Q10208,매칭테이블!$F:$I,3,0)</f>
        <v/>
      </c>
      <c r="O10208" s="94">
        <f>VLOOKUP($Q10208,매칭테이블!$F:$I,4,0)*K10208</f>
        <v/>
      </c>
      <c r="P10208" s="148">
        <f>M10208/1.1</f>
        <v/>
      </c>
      <c r="Q10208" s="94">
        <f>F10208&amp;E10208&amp;G10208&amp;L10208</f>
        <v/>
      </c>
    </row>
    <row r="10209">
      <c r="A10209" s="94" t="n"/>
      <c r="B10209" s="128" t="n">
        <v>44124</v>
      </c>
      <c r="C10209" s="94">
        <f>TEXT(B10209,"aaa")</f>
        <v/>
      </c>
      <c r="D10209" s="94" t="n"/>
      <c r="E10209" s="94" t="inlineStr">
        <is>
          <t>마스크팩</t>
        </is>
      </c>
      <c r="F10209" s="5" t="inlineStr">
        <is>
          <t>카페24</t>
        </is>
      </c>
      <c r="G10209" s="94" t="inlineStr">
        <is>
          <t>마스크팩 1매</t>
        </is>
      </c>
      <c r="H10209" s="94" t="n">
        <v>200801</v>
      </c>
      <c r="I10209" s="94" t="n">
        <v>200801</v>
      </c>
      <c r="J10209" s="94" t="n"/>
      <c r="K10209" s="94" t="n">
        <v>2</v>
      </c>
      <c r="L10209" s="94" t="n">
        <v>200801</v>
      </c>
      <c r="M10209" s="94">
        <f>VLOOKUP($Q10209,매칭테이블!$F:$I,2,0)*K10209</f>
        <v/>
      </c>
      <c r="N10209" s="94">
        <f>M10209-M10209*VLOOKUP($Q10209,매칭테이블!$F:$I,3,0)</f>
        <v/>
      </c>
      <c r="O10209" s="94">
        <f>VLOOKUP($Q10209,매칭테이블!$F:$I,4,0)*K10209</f>
        <v/>
      </c>
      <c r="P10209" s="148">
        <f>M10209/1.1</f>
        <v/>
      </c>
      <c r="Q10209" s="94">
        <f>F10209&amp;E10209&amp;G10209&amp;L10209</f>
        <v/>
      </c>
    </row>
    <row r="10210">
      <c r="A10210" s="94" t="n"/>
      <c r="B10210" s="128" t="n">
        <v>44124</v>
      </c>
      <c r="C10210" s="94">
        <f>TEXT(B10210,"aaa")</f>
        <v/>
      </c>
      <c r="D10210" s="94" t="n"/>
      <c r="E10210" s="94" t="inlineStr">
        <is>
          <t>마스크팩</t>
        </is>
      </c>
      <c r="F10210" s="5" t="inlineStr">
        <is>
          <t>카페24</t>
        </is>
      </c>
      <c r="G10210" s="94" t="inlineStr">
        <is>
          <t>마스크팩 10매</t>
        </is>
      </c>
      <c r="H10210" s="94" t="n">
        <v>200801</v>
      </c>
      <c r="I10210" s="94" t="n">
        <v>200801</v>
      </c>
      <c r="J10210" s="94" t="n"/>
      <c r="K10210" s="94" t="n">
        <v>2</v>
      </c>
      <c r="L10210" s="94" t="n">
        <v>200801</v>
      </c>
      <c r="M10210" s="94">
        <f>VLOOKUP($Q10210,매칭테이블!$F:$I,2,0)*K10210</f>
        <v/>
      </c>
      <c r="N10210" s="94">
        <f>M10210-M10210*VLOOKUP($Q10210,매칭테이블!$F:$I,3,0)</f>
        <v/>
      </c>
      <c r="O10210" s="94">
        <f>VLOOKUP($Q10210,매칭테이블!$F:$I,4,0)*K10210</f>
        <v/>
      </c>
      <c r="P10210" s="148">
        <f>M10210/1.1</f>
        <v/>
      </c>
      <c r="Q10210" s="94">
        <f>F10210&amp;E10210&amp;G10210&amp;L10210</f>
        <v/>
      </c>
    </row>
    <row r="10211">
      <c r="A10211" s="94" t="n"/>
      <c r="B10211" s="128" t="n">
        <v>44124</v>
      </c>
      <c r="C10211" s="94">
        <f>TEXT(B10211,"aaa")</f>
        <v/>
      </c>
      <c r="D10211" s="94" t="n"/>
      <c r="E10211" s="94" t="inlineStr">
        <is>
          <t>토너</t>
        </is>
      </c>
      <c r="F10211" s="5" t="inlineStr">
        <is>
          <t>카페24</t>
        </is>
      </c>
      <c r="G10211" s="94" t="inlineStr">
        <is>
          <t>250ml</t>
        </is>
      </c>
      <c r="H10211" s="94" t="n">
        <v>200801</v>
      </c>
      <c r="I10211" s="94" t="n">
        <v>200801</v>
      </c>
      <c r="J10211" s="94" t="n"/>
      <c r="K10211" s="94" t="n">
        <v>40</v>
      </c>
      <c r="L10211" s="94" t="n">
        <v>200801</v>
      </c>
      <c r="M10211" s="94">
        <f>VLOOKUP($Q10211,매칭테이블!$F:$I,2,0)*K10211</f>
        <v/>
      </c>
      <c r="N10211" s="94">
        <f>M10211-M10211*VLOOKUP($Q10211,매칭테이블!$F:$I,3,0)</f>
        <v/>
      </c>
      <c r="O10211" s="94">
        <f>VLOOKUP($Q10211,매칭테이블!$F:$I,4,0)*K10211</f>
        <v/>
      </c>
      <c r="P10211" s="148">
        <f>M10211/1.1</f>
        <v/>
      </c>
      <c r="Q10211" s="94">
        <f>F10211&amp;E10211&amp;G10211&amp;L10211</f>
        <v/>
      </c>
    </row>
    <row r="10212">
      <c r="A10212" s="94" t="n"/>
      <c r="B10212" s="128" t="n">
        <v>44124</v>
      </c>
      <c r="C10212" s="94">
        <f>TEXT(B10212,"aaa")</f>
        <v/>
      </c>
      <c r="D10212" s="94" t="n"/>
      <c r="E10212" s="94" t="inlineStr">
        <is>
          <t>토너</t>
        </is>
      </c>
      <c r="F10212" s="5" t="inlineStr">
        <is>
          <t>카페24</t>
        </is>
      </c>
      <c r="G10212" s="94" t="inlineStr">
        <is>
          <t>250ml 2set</t>
        </is>
      </c>
      <c r="H10212" s="94" t="n">
        <v>200801</v>
      </c>
      <c r="I10212" s="94" t="n">
        <v>200801</v>
      </c>
      <c r="J10212" s="94" t="n"/>
      <c r="K10212" s="94" t="n">
        <v>20</v>
      </c>
      <c r="L10212" s="94" t="n">
        <v>200801</v>
      </c>
      <c r="M10212" s="94">
        <f>VLOOKUP($Q10212,매칭테이블!$F:$I,2,0)*K10212</f>
        <v/>
      </c>
      <c r="N10212" s="94">
        <f>M10212-M10212*VLOOKUP($Q10212,매칭테이블!$F:$I,3,0)</f>
        <v/>
      </c>
      <c r="O10212" s="94">
        <f>VLOOKUP($Q10212,매칭테이블!$F:$I,4,0)*K10212</f>
        <v/>
      </c>
      <c r="P10212" s="148">
        <f>M10212/1.1</f>
        <v/>
      </c>
      <c r="Q10212" s="94">
        <f>F10212&amp;E10212&amp;G10212&amp;L10212</f>
        <v/>
      </c>
    </row>
    <row r="10213">
      <c r="A10213" s="94" t="n"/>
      <c r="B10213" s="128" t="n">
        <v>44124</v>
      </c>
      <c r="C10213" s="94">
        <f>TEXT(B10213,"aaa")</f>
        <v/>
      </c>
      <c r="D10213" s="94" t="n"/>
      <c r="E10213" s="94" t="inlineStr">
        <is>
          <t>토너</t>
        </is>
      </c>
      <c r="F10213" s="5" t="inlineStr">
        <is>
          <t>카페24</t>
        </is>
      </c>
      <c r="G10213" s="94" t="inlineStr">
        <is>
          <t>500ml</t>
        </is>
      </c>
      <c r="H10213" s="94" t="n">
        <v>200801</v>
      </c>
      <c r="I10213" s="94" t="n">
        <v>200801</v>
      </c>
      <c r="J10213" s="94" t="n"/>
      <c r="K10213" s="94" t="n">
        <v>70</v>
      </c>
      <c r="L10213" s="94" t="n">
        <v>200801</v>
      </c>
      <c r="M10213" s="94">
        <f>VLOOKUP($Q10213,매칭테이블!$F:$I,2,0)*K10213</f>
        <v/>
      </c>
      <c r="N10213" s="94">
        <f>M10213-M10213*VLOOKUP($Q10213,매칭테이블!$F:$I,3,0)</f>
        <v/>
      </c>
      <c r="O10213" s="94">
        <f>VLOOKUP($Q10213,매칭테이블!$F:$I,4,0)*K10213</f>
        <v/>
      </c>
      <c r="P10213" s="148">
        <f>M10213/1.1</f>
        <v/>
      </c>
      <c r="Q10213" s="94">
        <f>F10213&amp;E10213&amp;G10213&amp;L10213</f>
        <v/>
      </c>
    </row>
    <row r="10214">
      <c r="A10214" s="94" t="n"/>
      <c r="B10214" s="128" t="n">
        <v>44124</v>
      </c>
      <c r="C10214" s="94">
        <f>TEXT(B10214,"aaa")</f>
        <v/>
      </c>
      <c r="D10214" s="94" t="n"/>
      <c r="E10214" s="94" t="inlineStr">
        <is>
          <t>토너</t>
        </is>
      </c>
      <c r="F10214" s="5" t="inlineStr">
        <is>
          <t>카페24</t>
        </is>
      </c>
      <c r="G10214" s="94" t="inlineStr">
        <is>
          <t>스킨팩 화장솜 60P</t>
        </is>
      </c>
      <c r="H10214" s="94" t="n">
        <v>200801</v>
      </c>
      <c r="I10214" s="94" t="n">
        <v>200801</v>
      </c>
      <c r="J10214" s="94" t="n"/>
      <c r="K10214" s="94" t="n">
        <v>40</v>
      </c>
      <c r="L10214" s="94" t="n">
        <v>200801</v>
      </c>
      <c r="M10214" s="94">
        <f>VLOOKUP($Q10214,매칭테이블!$F:$I,2,0)*K10214</f>
        <v/>
      </c>
      <c r="N10214" s="94">
        <f>M10214-M10214*VLOOKUP($Q10214,매칭테이블!$F:$I,3,0)</f>
        <v/>
      </c>
      <c r="O10214" s="94">
        <f>VLOOKUP($Q10214,매칭테이블!$F:$I,4,0)*K10214</f>
        <v/>
      </c>
      <c r="P10214" s="148">
        <f>M10214/1.1</f>
        <v/>
      </c>
      <c r="Q10214" s="94">
        <f>F10214&amp;E10214&amp;G10214&amp;L10214</f>
        <v/>
      </c>
    </row>
    <row r="10215">
      <c r="A10215" s="94" t="n"/>
      <c r="B10215" s="128" t="n">
        <v>44124</v>
      </c>
      <c r="C10215" s="94">
        <f>TEXT(B10215,"aaa")</f>
        <v/>
      </c>
      <c r="D10215" s="94" t="n"/>
      <c r="E10215" s="94" t="inlineStr">
        <is>
          <t>앰플</t>
        </is>
      </c>
      <c r="F10215" s="5" t="inlineStr">
        <is>
          <t>카페24</t>
        </is>
      </c>
      <c r="G10215" s="94" t="inlineStr">
        <is>
          <t>앰플 30ml</t>
        </is>
      </c>
      <c r="H10215" s="94" t="n">
        <v>200801</v>
      </c>
      <c r="I10215" s="94" t="n">
        <v>200801</v>
      </c>
      <c r="J10215" s="94" t="n"/>
      <c r="K10215" s="94" t="n">
        <v>19</v>
      </c>
      <c r="L10215" s="94" t="n">
        <v>200801</v>
      </c>
      <c r="M10215" s="94">
        <f>VLOOKUP($Q10215,매칭테이블!$F:$I,2,0)*K10215</f>
        <v/>
      </c>
      <c r="N10215" s="94">
        <f>M10215-M10215*VLOOKUP($Q10215,매칭테이블!$F:$I,3,0)</f>
        <v/>
      </c>
      <c r="O10215" s="94">
        <f>VLOOKUP($Q10215,매칭테이블!$F:$I,4,0)*K10215</f>
        <v/>
      </c>
      <c r="P10215" s="148">
        <f>M10215/1.1</f>
        <v/>
      </c>
      <c r="Q10215" s="94">
        <f>F10215&amp;E10215&amp;G10215&amp;L10215</f>
        <v/>
      </c>
    </row>
    <row r="10216">
      <c r="A10216" s="94" t="n"/>
      <c r="B10216" s="128" t="n">
        <v>44124</v>
      </c>
      <c r="C10216" s="94">
        <f>TEXT(B10216,"aaa")</f>
        <v/>
      </c>
      <c r="D10216" s="94" t="n"/>
      <c r="E10216" s="94" t="inlineStr">
        <is>
          <t>앰플</t>
        </is>
      </c>
      <c r="F10216" s="5" t="inlineStr">
        <is>
          <t>카페24</t>
        </is>
      </c>
      <c r="G10216" s="94" t="inlineStr">
        <is>
          <t>앰플 30ml  2set</t>
        </is>
      </c>
      <c r="H10216" s="94" t="n">
        <v>200801</v>
      </c>
      <c r="I10216" s="94" t="n">
        <v>200801</v>
      </c>
      <c r="J10216" s="94" t="n"/>
      <c r="K10216" s="94" t="n">
        <v>4</v>
      </c>
      <c r="L10216" s="94" t="n">
        <v>200801</v>
      </c>
      <c r="M10216" s="94">
        <f>VLOOKUP($Q10216,매칭테이블!$F:$I,2,0)*K10216</f>
        <v/>
      </c>
      <c r="N10216" s="94">
        <f>M10216-M10216*VLOOKUP($Q10216,매칭테이블!$F:$I,3,0)</f>
        <v/>
      </c>
      <c r="O10216" s="94">
        <f>VLOOKUP($Q10216,매칭테이블!$F:$I,4,0)*K10216</f>
        <v/>
      </c>
      <c r="P10216" s="148">
        <f>M10216/1.1</f>
        <v/>
      </c>
      <c r="Q10216" s="94">
        <f>F10216&amp;E10216&amp;G10216&amp;L10216</f>
        <v/>
      </c>
    </row>
    <row r="10217">
      <c r="A10217" s="94" t="n"/>
      <c r="B10217" s="128" t="n">
        <v>44124</v>
      </c>
      <c r="C10217" s="94">
        <f>TEXT(B10217,"aaa")</f>
        <v/>
      </c>
      <c r="D10217" s="94" t="n"/>
      <c r="E10217" s="94" t="inlineStr">
        <is>
          <t>수딩크림</t>
        </is>
      </c>
      <c r="F10217" s="5" t="inlineStr">
        <is>
          <t>카페24</t>
        </is>
      </c>
      <c r="G10217" s="94" t="inlineStr">
        <is>
          <t>수딩크림 100ml</t>
        </is>
      </c>
      <c r="H10217" s="94" t="n">
        <v>200801</v>
      </c>
      <c r="I10217" s="94" t="n">
        <v>200801</v>
      </c>
      <c r="J10217" s="94" t="n"/>
      <c r="K10217" s="94" t="n">
        <v>7</v>
      </c>
      <c r="L10217" s="94" t="n">
        <v>200801</v>
      </c>
      <c r="M10217" s="94">
        <f>VLOOKUP($Q10217,매칭테이블!$F:$I,2,0)*K10217</f>
        <v/>
      </c>
      <c r="N10217" s="94">
        <f>M10217-M10217*VLOOKUP($Q10217,매칭테이블!$F:$I,3,0)</f>
        <v/>
      </c>
      <c r="O10217" s="94">
        <f>VLOOKUP($Q10217,매칭테이블!$F:$I,4,0)*K10217</f>
        <v/>
      </c>
      <c r="P10217" s="148">
        <f>M10217/1.1</f>
        <v/>
      </c>
      <c r="Q10217" s="94">
        <f>F10217&amp;E10217&amp;G10217&amp;L10217</f>
        <v/>
      </c>
    </row>
    <row r="10218">
      <c r="A10218" s="94" t="n"/>
      <c r="B10218" s="128" t="n">
        <v>44124</v>
      </c>
      <c r="C10218" s="94">
        <f>TEXT(B10218,"aaa")</f>
        <v/>
      </c>
      <c r="D10218" s="94" t="n"/>
      <c r="E10218" s="94" t="inlineStr">
        <is>
          <t>클렌징폼</t>
        </is>
      </c>
      <c r="F10218" s="5" t="inlineStr">
        <is>
          <t>카페24</t>
        </is>
      </c>
      <c r="G10218" s="94" t="inlineStr">
        <is>
          <t>클렌징폼 120ml</t>
        </is>
      </c>
      <c r="H10218" s="94" t="n">
        <v>200801</v>
      </c>
      <c r="I10218" s="94" t="n">
        <v>200801</v>
      </c>
      <c r="J10218" s="94" t="n"/>
      <c r="K10218" s="94" t="n">
        <v>13</v>
      </c>
      <c r="L10218" s="94" t="n">
        <v>200801</v>
      </c>
      <c r="M10218" s="94">
        <f>VLOOKUP($Q10218,매칭테이블!$F:$I,2,0)*K10218</f>
        <v/>
      </c>
      <c r="N10218" s="94">
        <f>M10218-M10218*VLOOKUP($Q10218,매칭테이블!$F:$I,3,0)</f>
        <v/>
      </c>
      <c r="O10218" s="94">
        <f>VLOOKUP($Q10218,매칭테이블!$F:$I,4,0)*K10218</f>
        <v/>
      </c>
      <c r="P10218" s="148">
        <f>M10218/1.1</f>
        <v/>
      </c>
      <c r="Q10218" s="94">
        <f>F10218&amp;E10218&amp;G10218&amp;L10218</f>
        <v/>
      </c>
    </row>
    <row r="10219">
      <c r="A10219" s="94" t="n"/>
      <c r="B10219" s="128" t="n">
        <v>44124</v>
      </c>
      <c r="C10219" s="94">
        <f>TEXT(B10219,"aaa")</f>
        <v/>
      </c>
      <c r="D10219" s="94" t="n"/>
      <c r="E10219" s="94" t="inlineStr">
        <is>
          <t>클렌징폼</t>
        </is>
      </c>
      <c r="F10219" s="5" t="inlineStr">
        <is>
          <t>카페24</t>
        </is>
      </c>
      <c r="G10219" s="94" t="inlineStr">
        <is>
          <t>클렌징폼 120ml 2set</t>
        </is>
      </c>
      <c r="H10219" s="94" t="n">
        <v>200801</v>
      </c>
      <c r="I10219" s="94" t="n">
        <v>200801</v>
      </c>
      <c r="J10219" s="94" t="n"/>
      <c r="K10219" s="94" t="n">
        <v>1</v>
      </c>
      <c r="L10219" s="94" t="n">
        <v>200801</v>
      </c>
      <c r="M10219" s="94">
        <f>VLOOKUP($Q10219,매칭테이블!$F:$I,2,0)*K10219</f>
        <v/>
      </c>
      <c r="N10219" s="94">
        <f>M10219-M10219*VLOOKUP($Q10219,매칭테이블!$F:$I,3,0)</f>
        <v/>
      </c>
      <c r="O10219" s="94">
        <f>VLOOKUP($Q10219,매칭테이블!$F:$I,4,0)*K10219</f>
        <v/>
      </c>
      <c r="P10219" s="148">
        <f>M10219/1.1</f>
        <v/>
      </c>
      <c r="Q10219" s="94">
        <f>F10219&amp;E10219&amp;G10219&amp;L10219</f>
        <v/>
      </c>
    </row>
    <row r="10220">
      <c r="A10220" s="94" t="n"/>
      <c r="B10220" s="128" t="n">
        <v>44124</v>
      </c>
      <c r="C10220" s="94">
        <f>TEXT(B10220,"aaa")</f>
        <v/>
      </c>
      <c r="D10220" s="94" t="n"/>
      <c r="E10220" s="94" t="inlineStr">
        <is>
          <t>클렌징폼</t>
        </is>
      </c>
      <c r="F10220" s="5" t="inlineStr">
        <is>
          <t>카페24</t>
        </is>
      </c>
      <c r="G10220" s="94" t="inlineStr">
        <is>
          <t>클렌징폼 120ml 3set</t>
        </is>
      </c>
      <c r="H10220" s="94" t="n">
        <v>200801</v>
      </c>
      <c r="I10220" s="94" t="n">
        <v>200801</v>
      </c>
      <c r="J10220" s="94" t="n"/>
      <c r="K10220" s="94" t="n">
        <v>1</v>
      </c>
      <c r="L10220" s="94" t="n">
        <v>200801</v>
      </c>
      <c r="M10220" s="94">
        <f>VLOOKUP($Q10220,매칭테이블!$F:$I,2,0)*K10220</f>
        <v/>
      </c>
      <c r="N10220" s="94">
        <f>M10220-M10220*VLOOKUP($Q10220,매칭테이블!$F:$I,3,0)</f>
        <v/>
      </c>
      <c r="O10220" s="94">
        <f>VLOOKUP($Q10220,매칭테이블!$F:$I,4,0)*K10220</f>
        <v/>
      </c>
      <c r="P10220" s="148">
        <f>M10220/1.1</f>
        <v/>
      </c>
      <c r="Q10220" s="94">
        <f>F10220&amp;E10220&amp;G10220&amp;L10220</f>
        <v/>
      </c>
    </row>
    <row r="10221">
      <c r="A10221" s="94" t="n"/>
      <c r="B10221" s="128" t="n">
        <v>44124</v>
      </c>
      <c r="C10221" s="94">
        <f>TEXT(B10221,"aaa")</f>
        <v/>
      </c>
      <c r="D10221" s="94" t="n"/>
      <c r="E10221" s="94" t="inlineStr">
        <is>
          <t>바디워시</t>
        </is>
      </c>
      <c r="F10221" s="5" t="inlineStr">
        <is>
          <t>카페24</t>
        </is>
      </c>
      <c r="G10221" s="94" t="inlineStr">
        <is>
          <t>바디워시 1개 -30% off</t>
        </is>
      </c>
      <c r="H10221" s="94" t="n">
        <v>200801</v>
      </c>
      <c r="I10221" s="94" t="n">
        <v>200801</v>
      </c>
      <c r="J10221" s="94" t="n"/>
      <c r="K10221" s="94" t="n">
        <v>1</v>
      </c>
      <c r="L10221" s="94" t="n">
        <v>200801</v>
      </c>
      <c r="M10221" s="94">
        <f>VLOOKUP($Q10221,매칭테이블!$F:$I,2,0)*K10221</f>
        <v/>
      </c>
      <c r="N10221" s="94">
        <f>M10221-M10221*VLOOKUP($Q10221,매칭테이블!$F:$I,3,0)</f>
        <v/>
      </c>
      <c r="O10221" s="94">
        <f>VLOOKUP($Q10221,매칭테이블!$F:$I,4,0)*K10221</f>
        <v/>
      </c>
      <c r="P10221" s="148">
        <f>M10221/1.1</f>
        <v/>
      </c>
      <c r="Q10221" s="94">
        <f>F10221&amp;E10221&amp;G10221&amp;L10221</f>
        <v/>
      </c>
    </row>
    <row r="10222">
      <c r="A10222" s="94" t="n"/>
      <c r="B10222" s="128" t="n">
        <v>44124</v>
      </c>
      <c r="C10222" s="94">
        <f>TEXT(B10222,"aaa")</f>
        <v/>
      </c>
      <c r="D10222" s="94" t="n"/>
      <c r="E10222" s="94" t="inlineStr">
        <is>
          <t>토너</t>
        </is>
      </c>
      <c r="F10222" s="5" t="inlineStr">
        <is>
          <t>화해</t>
        </is>
      </c>
      <c r="G10222" s="94" t="inlineStr">
        <is>
          <t>250ml</t>
        </is>
      </c>
      <c r="H10222" s="94" t="n">
        <v>200801</v>
      </c>
      <c r="I10222" s="94" t="n">
        <v>200801</v>
      </c>
      <c r="J10222" s="94" t="n"/>
      <c r="K10222" s="94" t="n">
        <v>4</v>
      </c>
      <c r="L10222" s="94" t="n">
        <v>200801</v>
      </c>
      <c r="M10222" s="94">
        <f>VLOOKUP($Q10222,매칭테이블!$F:$I,2,0)*K10222</f>
        <v/>
      </c>
      <c r="N10222" s="94">
        <f>M10222-M10222*VLOOKUP($Q10222,매칭테이블!$F:$I,3,0)</f>
        <v/>
      </c>
      <c r="O10222" s="94">
        <f>VLOOKUP($Q10222,매칭테이블!$F:$I,4,0)*K10222</f>
        <v/>
      </c>
      <c r="P10222" s="148">
        <f>M10222/1.1</f>
        <v/>
      </c>
      <c r="Q10222" s="94">
        <f>F10222&amp;E10222&amp;G10222&amp;L10222</f>
        <v/>
      </c>
    </row>
    <row r="10223">
      <c r="A10223" s="94" t="n"/>
      <c r="B10223" s="128" t="n">
        <v>44124</v>
      </c>
      <c r="C10223" s="94">
        <f>TEXT(B10223,"aaa")</f>
        <v/>
      </c>
      <c r="D10223" s="94" t="n"/>
      <c r="E10223" s="94" t="inlineStr">
        <is>
          <t>머드크림마스크</t>
        </is>
      </c>
      <c r="F10223" s="5" t="inlineStr">
        <is>
          <t>화해</t>
        </is>
      </c>
      <c r="G10223" s="94" t="inlineStr">
        <is>
          <t>머드크림마스크 100ml</t>
        </is>
      </c>
      <c r="H10223" s="94" t="n">
        <v>200801</v>
      </c>
      <c r="I10223" s="94" t="n">
        <v>200801</v>
      </c>
      <c r="J10223" s="94" t="n"/>
      <c r="K10223" s="94" t="n">
        <v>1</v>
      </c>
      <c r="L10223" s="94" t="n">
        <v>200801</v>
      </c>
      <c r="M10223" s="94">
        <f>VLOOKUP($Q10223,매칭테이블!$F:$I,2,0)*K10223</f>
        <v/>
      </c>
      <c r="N10223" s="94">
        <f>M10223-M10223*VLOOKUP($Q10223,매칭테이블!$F:$I,3,0)</f>
        <v/>
      </c>
      <c r="O10223" s="94">
        <f>VLOOKUP($Q10223,매칭테이블!$F:$I,4,0)*K10223</f>
        <v/>
      </c>
      <c r="P10223" s="148">
        <f>M10223/1.1</f>
        <v/>
      </c>
      <c r="Q10223" s="94">
        <f>F10223&amp;E10223&amp;G10223&amp;L10223</f>
        <v/>
      </c>
    </row>
    <row r="10224" customFormat="1" s="94">
      <c r="B10224" s="128" t="n">
        <v>44125</v>
      </c>
      <c r="C10224" s="94">
        <f>TEXT(B10224,"aaa")</f>
        <v/>
      </c>
      <c r="E10224" s="94" t="inlineStr">
        <is>
          <t>토너</t>
        </is>
      </c>
      <c r="F10224" s="5" t="inlineStr">
        <is>
          <t>W컨셉</t>
        </is>
      </c>
      <c r="G10224" s="94" t="inlineStr">
        <is>
          <t>250ml</t>
        </is>
      </c>
      <c r="H10224" s="94" t="n">
        <v>200801</v>
      </c>
      <c r="I10224" s="94" t="n">
        <v>200801</v>
      </c>
      <c r="K10224" s="94" t="n">
        <v>4</v>
      </c>
      <c r="L10224" s="94" t="n">
        <v>200801</v>
      </c>
      <c r="M10224" s="94">
        <f>VLOOKUP($Q10224,매칭테이블!$F:$I,2,0)*K10224</f>
        <v/>
      </c>
      <c r="N10224" s="94">
        <f>M10224-M10224*VLOOKUP($Q10224,매칭테이블!$F:$I,3,0)</f>
        <v/>
      </c>
      <c r="O10224" s="94">
        <f>VLOOKUP($Q10224,매칭테이블!$F:$I,4,0)*K10224</f>
        <v/>
      </c>
      <c r="P10224" s="148">
        <f>M10224/1.1</f>
        <v/>
      </c>
      <c r="Q10224" s="94">
        <f>F10224&amp;E10224&amp;G10224&amp;L10224</f>
        <v/>
      </c>
    </row>
    <row r="10225" customFormat="1" s="94">
      <c r="B10225" s="128" t="n">
        <v>44125</v>
      </c>
      <c r="C10225" s="94">
        <f>TEXT(B10225,"aaa")</f>
        <v/>
      </c>
      <c r="E10225" s="94" t="inlineStr">
        <is>
          <t>토너</t>
        </is>
      </c>
      <c r="F10225" s="5" t="inlineStr">
        <is>
          <t>W컨셉</t>
        </is>
      </c>
      <c r="G10225" s="94" t="inlineStr">
        <is>
          <t>250ml 2set</t>
        </is>
      </c>
      <c r="H10225" s="94" t="n">
        <v>200801</v>
      </c>
      <c r="I10225" s="94" t="n">
        <v>200801</v>
      </c>
      <c r="K10225" s="94" t="n">
        <v>10</v>
      </c>
      <c r="L10225" s="94" t="n">
        <v>200801</v>
      </c>
      <c r="M10225" s="94">
        <f>VLOOKUP($Q10225,매칭테이블!$F:$I,2,0)*K10225</f>
        <v/>
      </c>
      <c r="N10225" s="94">
        <f>M10225-M10225*VLOOKUP($Q10225,매칭테이블!$F:$I,3,0)</f>
        <v/>
      </c>
      <c r="O10225" s="94">
        <f>VLOOKUP($Q10225,매칭테이블!$F:$I,4,0)*K10225</f>
        <v/>
      </c>
      <c r="P10225" s="148">
        <f>M10225/1.1</f>
        <v/>
      </c>
      <c r="Q10225" s="94">
        <f>F10225&amp;E10225&amp;G10225&amp;L10225</f>
        <v/>
      </c>
    </row>
    <row r="10226" customFormat="1" s="94">
      <c r="B10226" s="128" t="n">
        <v>44125</v>
      </c>
      <c r="C10226" s="94">
        <f>TEXT(B10226,"aaa")</f>
        <v/>
      </c>
      <c r="E10226" s="94" t="inlineStr">
        <is>
          <t>토너</t>
        </is>
      </c>
      <c r="F10226" s="5" t="inlineStr">
        <is>
          <t>스타일쉐어</t>
        </is>
      </c>
      <c r="G10226" s="94" t="inlineStr">
        <is>
          <t>250ml</t>
        </is>
      </c>
      <c r="H10226" s="94" t="n">
        <v>200801</v>
      </c>
      <c r="I10226" s="94" t="n">
        <v>200801</v>
      </c>
      <c r="K10226" s="94" t="n">
        <v>3</v>
      </c>
      <c r="L10226" s="94" t="n">
        <v>200801</v>
      </c>
      <c r="M10226" s="94">
        <f>VLOOKUP($Q10226,매칭테이블!$F:$I,2,0)*K10226</f>
        <v/>
      </c>
      <c r="N10226" s="94">
        <f>M10226-M10226*VLOOKUP($Q10226,매칭테이블!$F:$I,3,0)</f>
        <v/>
      </c>
      <c r="O10226" s="94">
        <f>VLOOKUP($Q10226,매칭테이블!$F:$I,4,0)*K10226</f>
        <v/>
      </c>
      <c r="P10226" s="148">
        <f>M10226/1.1</f>
        <v/>
      </c>
      <c r="Q10226" s="94">
        <f>F10226&amp;E10226&amp;G10226&amp;L10226</f>
        <v/>
      </c>
    </row>
    <row r="10227" customFormat="1" s="94">
      <c r="B10227" s="128" t="n">
        <v>44125</v>
      </c>
      <c r="C10227" s="94">
        <f>TEXT(B10227,"aaa")</f>
        <v/>
      </c>
      <c r="E10227" s="94" t="inlineStr">
        <is>
          <t>바디워시</t>
        </is>
      </c>
      <c r="F10227" s="5" t="inlineStr">
        <is>
          <t>아누아 CS</t>
        </is>
      </c>
      <c r="G10227" s="94" t="inlineStr">
        <is>
          <t>바디워시 500ml</t>
        </is>
      </c>
      <c r="H10227" s="94" t="n">
        <v>200801</v>
      </c>
      <c r="I10227" s="94" t="n">
        <v>200801</v>
      </c>
      <c r="K10227" s="94" t="n">
        <v>1</v>
      </c>
      <c r="L10227" s="94" t="n">
        <v>200801</v>
      </c>
      <c r="M10227" s="94">
        <f>VLOOKUP($Q10227,매칭테이블!$F:$I,2,0)*K10227</f>
        <v/>
      </c>
      <c r="N10227" s="94">
        <f>M10227-M10227*VLOOKUP($Q10227,매칭테이블!$F:$I,3,0)</f>
        <v/>
      </c>
      <c r="O10227" s="94">
        <f>VLOOKUP($Q10227,매칭테이블!$F:$I,4,0)*K10227</f>
        <v/>
      </c>
      <c r="P10227" s="148">
        <f>M10227/1.1</f>
        <v/>
      </c>
      <c r="Q10227" s="94">
        <f>F10227&amp;E10227&amp;G10227&amp;L10227</f>
        <v/>
      </c>
    </row>
    <row r="10228" customFormat="1" s="94">
      <c r="B10228" s="128" t="n">
        <v>44125</v>
      </c>
      <c r="C10228" s="94">
        <f>TEXT(B10228,"aaa")</f>
        <v/>
      </c>
      <c r="E10228" s="94" t="inlineStr">
        <is>
          <t>토너</t>
        </is>
      </c>
      <c r="F10228" s="5" t="inlineStr">
        <is>
          <t>아누아 CS</t>
        </is>
      </c>
      <c r="G10228" s="94" t="inlineStr">
        <is>
          <t>250ml</t>
        </is>
      </c>
      <c r="H10228" s="94" t="n">
        <v>200801</v>
      </c>
      <c r="I10228" s="94" t="n">
        <v>200801</v>
      </c>
      <c r="K10228" s="94" t="n">
        <v>1</v>
      </c>
      <c r="L10228" s="94" t="n">
        <v>200801</v>
      </c>
      <c r="M10228" s="94">
        <f>VLOOKUP($Q10228,매칭테이블!$F:$I,2,0)*K10228</f>
        <v/>
      </c>
      <c r="N10228" s="94">
        <f>M10228-M10228*VLOOKUP($Q10228,매칭테이블!$F:$I,3,0)</f>
        <v/>
      </c>
      <c r="O10228" s="94">
        <f>VLOOKUP($Q10228,매칭테이블!$F:$I,4,0)*K10228</f>
        <v/>
      </c>
      <c r="P10228" s="148">
        <f>M10228/1.1</f>
        <v/>
      </c>
      <c r="Q10228" s="94">
        <f>F10228&amp;E10228&amp;G10228&amp;L10228</f>
        <v/>
      </c>
    </row>
    <row r="10229" customFormat="1" s="94">
      <c r="B10229" s="128" t="n">
        <v>44125</v>
      </c>
      <c r="C10229" s="94">
        <f>TEXT(B10229,"aaa")</f>
        <v/>
      </c>
      <c r="E10229" s="94" t="inlineStr">
        <is>
          <t>화장솜</t>
        </is>
      </c>
      <c r="F10229" s="5" t="inlineStr">
        <is>
          <t>아누아 CS</t>
        </is>
      </c>
      <c r="G10229" s="94" t="inlineStr">
        <is>
          <t>스킨팩 화장솜 60P</t>
        </is>
      </c>
      <c r="H10229" s="94" t="n">
        <v>200801</v>
      </c>
      <c r="I10229" s="94" t="n">
        <v>200801</v>
      </c>
      <c r="K10229" s="94" t="n">
        <v>1</v>
      </c>
      <c r="L10229" s="94" t="n">
        <v>200801</v>
      </c>
      <c r="M10229" s="94">
        <f>VLOOKUP($Q10229,매칭테이블!$F:$I,2,0)*K10229</f>
        <v/>
      </c>
      <c r="N10229" s="94">
        <f>M10229-M10229*VLOOKUP($Q10229,매칭테이블!$F:$I,3,0)</f>
        <v/>
      </c>
      <c r="O10229" s="94">
        <f>VLOOKUP($Q10229,매칭테이블!$F:$I,4,0)*K10229</f>
        <v/>
      </c>
      <c r="P10229" s="148">
        <f>M10229/1.1</f>
        <v/>
      </c>
      <c r="Q10229" s="94">
        <f>F10229&amp;E10229&amp;G10229&amp;L10229</f>
        <v/>
      </c>
    </row>
    <row r="10230" customFormat="1" s="94">
      <c r="B10230" s="128" t="n">
        <v>44125</v>
      </c>
      <c r="C10230" s="94">
        <f>TEXT(B10230,"aaa")</f>
        <v/>
      </c>
      <c r="E10230" s="94" t="inlineStr">
        <is>
          <t>앰플</t>
        </is>
      </c>
      <c r="F10230" s="5" t="inlineStr">
        <is>
          <t>아누아 CS</t>
        </is>
      </c>
      <c r="G10230" s="94" t="inlineStr">
        <is>
          <t>앰플 30ml</t>
        </is>
      </c>
      <c r="H10230" s="94" t="n">
        <v>200801</v>
      </c>
      <c r="I10230" s="94" t="n">
        <v>200801</v>
      </c>
      <c r="K10230" s="94" t="n">
        <v>1</v>
      </c>
      <c r="L10230" s="94" t="n">
        <v>200801</v>
      </c>
      <c r="M10230" s="94">
        <f>VLOOKUP($Q10230,매칭테이블!$F:$I,2,0)*K10230</f>
        <v/>
      </c>
      <c r="N10230" s="94">
        <f>M10230-M10230*VLOOKUP($Q10230,매칭테이블!$F:$I,3,0)</f>
        <v/>
      </c>
      <c r="O10230" s="94">
        <f>VLOOKUP($Q10230,매칭테이블!$F:$I,4,0)*K10230</f>
        <v/>
      </c>
      <c r="P10230" s="148">
        <f>M10230/1.1</f>
        <v/>
      </c>
      <c r="Q10230" s="94">
        <f>F10230&amp;E10230&amp;G10230&amp;L10230</f>
        <v/>
      </c>
    </row>
    <row r="10231" customFormat="1" s="94">
      <c r="B10231" s="128" t="n">
        <v>44125</v>
      </c>
      <c r="C10231" s="94">
        <f>TEXT(B10231,"aaa")</f>
        <v/>
      </c>
      <c r="E10231" s="94" t="inlineStr">
        <is>
          <t>마스크팩</t>
        </is>
      </c>
      <c r="F10231" s="5" t="inlineStr">
        <is>
          <t>아누아 CS</t>
        </is>
      </c>
      <c r="G10231" s="94" t="inlineStr">
        <is>
          <t>마스크팩 10매</t>
        </is>
      </c>
      <c r="H10231" s="94" t="n">
        <v>200801</v>
      </c>
      <c r="I10231" s="94" t="n">
        <v>200801</v>
      </c>
      <c r="K10231" s="94" t="n">
        <v>1</v>
      </c>
      <c r="L10231" s="94" t="n">
        <v>200801</v>
      </c>
      <c r="M10231" s="94">
        <f>VLOOKUP($Q10231,매칭테이블!$F:$I,2,0)*K10231</f>
        <v/>
      </c>
      <c r="N10231" s="94">
        <f>M10231-M10231*VLOOKUP($Q10231,매칭테이블!$F:$I,3,0)</f>
        <v/>
      </c>
      <c r="O10231" s="94">
        <f>VLOOKUP($Q10231,매칭테이블!$F:$I,4,0)*K10231</f>
        <v/>
      </c>
      <c r="P10231" s="148">
        <f>M10231/1.1</f>
        <v/>
      </c>
      <c r="Q10231" s="94">
        <f>F10231&amp;E10231&amp;G10231&amp;L10231</f>
        <v/>
      </c>
    </row>
    <row r="10232" customFormat="1" s="94">
      <c r="B10232" s="128" t="n">
        <v>44125</v>
      </c>
      <c r="C10232" s="94">
        <f>TEXT(B10232,"aaa")</f>
        <v/>
      </c>
      <c r="E10232" s="94" t="inlineStr">
        <is>
          <t>선크림</t>
        </is>
      </c>
      <c r="F10232" s="5" t="inlineStr">
        <is>
          <t>아누아 CS</t>
        </is>
      </c>
      <c r="G10232" s="94" t="inlineStr">
        <is>
          <t>선크림 50ml</t>
        </is>
      </c>
      <c r="H10232" s="94" t="n">
        <v>200801</v>
      </c>
      <c r="I10232" s="94" t="n">
        <v>200801</v>
      </c>
      <c r="K10232" s="94" t="n">
        <v>1</v>
      </c>
      <c r="L10232" s="94" t="n">
        <v>200801</v>
      </c>
      <c r="M10232" s="94">
        <f>VLOOKUP($Q10232,매칭테이블!$F:$I,2,0)*K10232</f>
        <v/>
      </c>
      <c r="N10232" s="94">
        <f>M10232-M10232*VLOOKUP($Q10232,매칭테이블!$F:$I,3,0)</f>
        <v/>
      </c>
      <c r="O10232" s="94">
        <f>VLOOKUP($Q10232,매칭테이블!$F:$I,4,0)*K10232</f>
        <v/>
      </c>
      <c r="P10232" s="148">
        <f>M10232/1.1</f>
        <v/>
      </c>
      <c r="Q10232" s="94">
        <f>F10232&amp;E10232&amp;G10232&amp;L10232</f>
        <v/>
      </c>
    </row>
    <row r="10233" customFormat="1" s="94">
      <c r="B10233" s="128" t="n">
        <v>44125</v>
      </c>
      <c r="C10233" s="94">
        <f>TEXT(B10233,"aaa")</f>
        <v/>
      </c>
      <c r="E10233" s="94" t="inlineStr">
        <is>
          <t>수딩크림</t>
        </is>
      </c>
      <c r="F10233" s="5" t="inlineStr">
        <is>
          <t>아누아 CS</t>
        </is>
      </c>
      <c r="G10233" s="94" t="inlineStr">
        <is>
          <t>수딩크림 100ml</t>
        </is>
      </c>
      <c r="H10233" s="94" t="n">
        <v>200801</v>
      </c>
      <c r="I10233" s="94" t="n">
        <v>200801</v>
      </c>
      <c r="K10233" s="94" t="n">
        <v>1</v>
      </c>
      <c r="L10233" s="94" t="n">
        <v>200801</v>
      </c>
      <c r="M10233" s="94">
        <f>VLOOKUP($Q10233,매칭테이블!$F:$I,2,0)*K10233</f>
        <v/>
      </c>
      <c r="N10233" s="94">
        <f>M10233-M10233*VLOOKUP($Q10233,매칭테이블!$F:$I,3,0)</f>
        <v/>
      </c>
      <c r="O10233" s="94">
        <f>VLOOKUP($Q10233,매칭테이블!$F:$I,4,0)*K10233</f>
        <v/>
      </c>
      <c r="P10233" s="148">
        <f>M10233/1.1</f>
        <v/>
      </c>
      <c r="Q10233" s="94">
        <f>F10233&amp;E10233&amp;G10233&amp;L10233</f>
        <v/>
      </c>
    </row>
    <row r="10234" customFormat="1" s="94">
      <c r="B10234" s="128" t="n">
        <v>44125</v>
      </c>
      <c r="C10234" s="94">
        <f>TEXT(B10234,"aaa")</f>
        <v/>
      </c>
      <c r="E10234" s="94" t="inlineStr">
        <is>
          <t>클렌징폼</t>
        </is>
      </c>
      <c r="F10234" s="5" t="inlineStr">
        <is>
          <t>아누아 CS</t>
        </is>
      </c>
      <c r="G10234" s="94" t="inlineStr">
        <is>
          <t>클렌징폼 120ml</t>
        </is>
      </c>
      <c r="H10234" s="94" t="n">
        <v>200801</v>
      </c>
      <c r="I10234" s="94" t="n">
        <v>200801</v>
      </c>
      <c r="K10234" s="94" t="n">
        <v>1</v>
      </c>
      <c r="L10234" s="94" t="n">
        <v>200801</v>
      </c>
      <c r="M10234" s="94">
        <f>VLOOKUP($Q10234,매칭테이블!$F:$I,2,0)*K10234</f>
        <v/>
      </c>
      <c r="N10234" s="94">
        <f>M10234-M10234*VLOOKUP($Q10234,매칭테이블!$F:$I,3,0)</f>
        <v/>
      </c>
      <c r="O10234" s="94">
        <f>VLOOKUP($Q10234,매칭테이블!$F:$I,4,0)*K10234</f>
        <v/>
      </c>
      <c r="P10234" s="148">
        <f>M10234/1.1</f>
        <v/>
      </c>
      <c r="Q10234" s="94">
        <f>F10234&amp;E10234&amp;G10234&amp;L10234</f>
        <v/>
      </c>
    </row>
    <row r="10235" customFormat="1" s="94">
      <c r="B10235" s="128" t="n">
        <v>44125</v>
      </c>
      <c r="C10235" s="94">
        <f>TEXT(B10235,"aaa")</f>
        <v/>
      </c>
      <c r="E10235" s="94" t="inlineStr">
        <is>
          <t>머드크림마스크</t>
        </is>
      </c>
      <c r="F10235" s="5" t="inlineStr">
        <is>
          <t>아누아 CS</t>
        </is>
      </c>
      <c r="G10235" s="94" t="inlineStr">
        <is>
          <t>머드크림마스크 100ml</t>
        </is>
      </c>
      <c r="H10235" s="94" t="n">
        <v>200801</v>
      </c>
      <c r="I10235" s="94" t="n">
        <v>200801</v>
      </c>
      <c r="K10235" s="94" t="n">
        <v>1</v>
      </c>
      <c r="L10235" s="94" t="n">
        <v>200801</v>
      </c>
      <c r="M10235" s="94">
        <f>VLOOKUP($Q10235,매칭테이블!$F:$I,2,0)*K10235</f>
        <v/>
      </c>
      <c r="N10235" s="94">
        <f>M10235-M10235*VLOOKUP($Q10235,매칭테이블!$F:$I,3,0)</f>
        <v/>
      </c>
      <c r="O10235" s="94">
        <f>VLOOKUP($Q10235,매칭테이블!$F:$I,4,0)*K10235</f>
        <v/>
      </c>
      <c r="P10235" s="148">
        <f>M10235/1.1</f>
        <v/>
      </c>
      <c r="Q10235" s="94">
        <f>F10235&amp;E10235&amp;G10235&amp;L10235</f>
        <v/>
      </c>
    </row>
    <row r="10236" customFormat="1" s="94">
      <c r="B10236" s="128" t="n">
        <v>44125</v>
      </c>
      <c r="C10236" s="94">
        <f>TEXT(B10236,"aaa")</f>
        <v/>
      </c>
      <c r="E10236" s="94" t="inlineStr">
        <is>
          <t>선크림</t>
        </is>
      </c>
      <c r="F10236" s="5" t="inlineStr">
        <is>
          <t>카페24</t>
        </is>
      </c>
      <c r="G10236" s="94" t="inlineStr">
        <is>
          <t>선크림 50ml</t>
        </is>
      </c>
      <c r="H10236" s="94" t="n">
        <v>200801</v>
      </c>
      <c r="I10236" s="94" t="n">
        <v>200801</v>
      </c>
      <c r="K10236" s="94" t="n">
        <v>3</v>
      </c>
      <c r="L10236" s="94" t="n">
        <v>200801</v>
      </c>
      <c r="M10236" s="94">
        <f>VLOOKUP($Q10236,매칭테이블!$F:$I,2,0)*K10236</f>
        <v/>
      </c>
      <c r="N10236" s="94">
        <f>M10236-M10236*VLOOKUP($Q10236,매칭테이블!$F:$I,3,0)</f>
        <v/>
      </c>
      <c r="O10236" s="94">
        <f>VLOOKUP($Q10236,매칭테이블!$F:$I,4,0)*K10236</f>
        <v/>
      </c>
      <c r="P10236" s="148">
        <f>M10236/1.1</f>
        <v/>
      </c>
      <c r="Q10236" s="94">
        <f>F10236&amp;E10236&amp;G10236&amp;L10236</f>
        <v/>
      </c>
    </row>
    <row r="10237" customFormat="1" s="94">
      <c r="B10237" s="128" t="n">
        <v>44125</v>
      </c>
      <c r="C10237" s="94">
        <f>TEXT(B10237,"aaa")</f>
        <v/>
      </c>
      <c r="E10237" s="94" t="inlineStr">
        <is>
          <t>선크림</t>
        </is>
      </c>
      <c r="F10237" s="5" t="inlineStr">
        <is>
          <t>카페24</t>
        </is>
      </c>
      <c r="G10237" s="94" t="inlineStr">
        <is>
          <t>선크림 50ml  2set</t>
        </is>
      </c>
      <c r="H10237" s="94" t="n">
        <v>200801</v>
      </c>
      <c r="I10237" s="94" t="n">
        <v>200801</v>
      </c>
      <c r="K10237" s="94" t="n">
        <v>1</v>
      </c>
      <c r="L10237" s="94" t="n">
        <v>200801</v>
      </c>
      <c r="M10237" s="94">
        <f>VLOOKUP($Q10237,매칭테이블!$F:$I,2,0)*K10237</f>
        <v/>
      </c>
      <c r="N10237" s="94">
        <f>M10237-M10237*VLOOKUP($Q10237,매칭테이블!$F:$I,3,0)</f>
        <v/>
      </c>
      <c r="O10237" s="94">
        <f>VLOOKUP($Q10237,매칭테이블!$F:$I,4,0)*K10237</f>
        <v/>
      </c>
      <c r="P10237" s="148">
        <f>M10237/1.1</f>
        <v/>
      </c>
      <c r="Q10237" s="94">
        <f>F10237&amp;E10237&amp;G10237&amp;L10237</f>
        <v/>
      </c>
    </row>
    <row r="10238" customFormat="1" s="94">
      <c r="B10238" s="128" t="n">
        <v>44125</v>
      </c>
      <c r="C10238" s="94">
        <f>TEXT(B10238,"aaa")</f>
        <v/>
      </c>
      <c r="E10238" s="94" t="inlineStr">
        <is>
          <t>어성초진정패키지</t>
        </is>
      </c>
      <c r="F10238" s="5" t="inlineStr">
        <is>
          <t>카페24</t>
        </is>
      </c>
      <c r="G10238" s="94" t="inlineStr">
        <is>
          <t>어성초 진정패키지세트</t>
        </is>
      </c>
      <c r="H10238" s="94" t="n">
        <v>200801</v>
      </c>
      <c r="I10238" s="94" t="n">
        <v>200801</v>
      </c>
      <c r="K10238" s="94" t="n">
        <v>3</v>
      </c>
      <c r="L10238" s="94" t="n">
        <v>200801</v>
      </c>
      <c r="M10238" s="94">
        <f>VLOOKUP($Q10238,매칭테이블!$F:$I,2,0)*K10238</f>
        <v/>
      </c>
      <c r="N10238" s="94">
        <f>M10238-M10238*VLOOKUP($Q10238,매칭테이블!$F:$I,3,0)</f>
        <v/>
      </c>
      <c r="O10238" s="94">
        <f>VLOOKUP($Q10238,매칭테이블!$F:$I,4,0)*K10238</f>
        <v/>
      </c>
      <c r="P10238" s="148">
        <f>M10238/1.1</f>
        <v/>
      </c>
      <c r="Q10238" s="94">
        <f>F10238&amp;E10238&amp;G10238&amp;L10238</f>
        <v/>
      </c>
    </row>
    <row r="10239" customFormat="1" s="94">
      <c r="B10239" s="128" t="n">
        <v>44125</v>
      </c>
      <c r="C10239" s="94">
        <f>TEXT(B10239,"aaa")</f>
        <v/>
      </c>
      <c r="E10239" s="94" t="inlineStr">
        <is>
          <t>수분 보충 세트</t>
        </is>
      </c>
      <c r="F10239" s="5" t="inlineStr">
        <is>
          <t>카페24</t>
        </is>
      </c>
      <c r="G10239" s="94" t="inlineStr">
        <is>
          <t>[20/09/28 부터] 어성초 77 토너 250ml + 어성초 70 로션 200ml -30%</t>
        </is>
      </c>
      <c r="H10239" s="94" t="n">
        <v>200801</v>
      </c>
      <c r="I10239" s="94" t="n">
        <v>200801</v>
      </c>
      <c r="K10239" s="94" t="n">
        <v>7</v>
      </c>
      <c r="L10239" s="94" t="n">
        <v>200801</v>
      </c>
      <c r="M10239" s="94">
        <f>VLOOKUP($Q10239,매칭테이블!$F:$I,2,0)*K10239</f>
        <v/>
      </c>
      <c r="N10239" s="94">
        <f>M10239-M10239*VLOOKUP($Q10239,매칭테이블!$F:$I,3,0)</f>
        <v/>
      </c>
      <c r="O10239" s="94">
        <f>VLOOKUP($Q10239,매칭테이블!$F:$I,4,0)*K10239</f>
        <v/>
      </c>
      <c r="P10239" s="148">
        <f>M10239/1.1</f>
        <v/>
      </c>
      <c r="Q10239" s="94">
        <f>F10239&amp;E10239&amp;G10239&amp;L10239</f>
        <v/>
      </c>
    </row>
    <row r="10240" customFormat="1" s="94">
      <c r="B10240" s="128" t="n">
        <v>44125</v>
      </c>
      <c r="C10240" s="94">
        <f>TEXT(B10240,"aaa")</f>
        <v/>
      </c>
      <c r="E10240" s="94" t="inlineStr">
        <is>
          <t>로션</t>
        </is>
      </c>
      <c r="F10240" s="5" t="inlineStr">
        <is>
          <t>카페24</t>
        </is>
      </c>
      <c r="G10240" s="94" t="inlineStr">
        <is>
          <t>어성초 70 데일리 릴리프 로션 1개 -20% off</t>
        </is>
      </c>
      <c r="H10240" s="94" t="n">
        <v>200801</v>
      </c>
      <c r="I10240" s="94" t="n">
        <v>200801</v>
      </c>
      <c r="K10240" s="94" t="n">
        <v>1</v>
      </c>
      <c r="L10240" s="94" t="n">
        <v>200801</v>
      </c>
      <c r="M10240" s="94">
        <f>VLOOKUP($Q10240,매칭테이블!$F:$I,2,0)*K10240</f>
        <v/>
      </c>
      <c r="N10240" s="94">
        <f>M10240-M10240*VLOOKUP($Q10240,매칭테이블!$F:$I,3,0)</f>
        <v/>
      </c>
      <c r="O10240" s="94">
        <f>VLOOKUP($Q10240,매칭테이블!$F:$I,4,0)*K10240</f>
        <v/>
      </c>
      <c r="P10240" s="148">
        <f>M10240/1.1</f>
        <v/>
      </c>
      <c r="Q10240" s="94">
        <f>F10240&amp;E10240&amp;G10240&amp;L10240</f>
        <v/>
      </c>
    </row>
    <row r="10241" customFormat="1" s="94">
      <c r="B10241" s="128" t="n">
        <v>44125</v>
      </c>
      <c r="C10241" s="94">
        <f>TEXT(B10241,"aaa")</f>
        <v/>
      </c>
      <c r="E10241" s="94" t="inlineStr">
        <is>
          <t>머드크림마스크</t>
        </is>
      </c>
      <c r="F10241" s="5" t="inlineStr">
        <is>
          <t>카페24</t>
        </is>
      </c>
      <c r="G10241" s="94" t="inlineStr">
        <is>
          <t>머드크림마스크 100ml</t>
        </is>
      </c>
      <c r="H10241" s="94" t="n">
        <v>200801</v>
      </c>
      <c r="I10241" s="94" t="n">
        <v>200801</v>
      </c>
      <c r="K10241" s="94" t="n">
        <v>46</v>
      </c>
      <c r="L10241" s="94" t="n">
        <v>200801</v>
      </c>
      <c r="M10241" s="94">
        <f>VLOOKUP($Q10241,매칭테이블!$F:$I,2,0)*K10241</f>
        <v/>
      </c>
      <c r="N10241" s="94">
        <f>M10241-M10241*VLOOKUP($Q10241,매칭테이블!$F:$I,3,0)</f>
        <v/>
      </c>
      <c r="O10241" s="94">
        <f>VLOOKUP($Q10241,매칭테이블!$F:$I,4,0)*K10241</f>
        <v/>
      </c>
      <c r="P10241" s="148">
        <f>M10241/1.1</f>
        <v/>
      </c>
      <c r="Q10241" s="94">
        <f>F10241&amp;E10241&amp;G10241&amp;L10241</f>
        <v/>
      </c>
    </row>
    <row r="10242" customFormat="1" s="94">
      <c r="B10242" s="128" t="n">
        <v>44125</v>
      </c>
      <c r="C10242" s="94">
        <f>TEXT(B10242,"aaa")</f>
        <v/>
      </c>
      <c r="E10242" s="94" t="inlineStr">
        <is>
          <t>머드크림마스크</t>
        </is>
      </c>
      <c r="F10242" s="5" t="inlineStr">
        <is>
          <t>카페24</t>
        </is>
      </c>
      <c r="G10242" s="94" t="inlineStr">
        <is>
          <t>머드크림마스크 100ml 2set</t>
        </is>
      </c>
      <c r="H10242" s="94" t="n">
        <v>200801</v>
      </c>
      <c r="I10242" s="94" t="n">
        <v>200801</v>
      </c>
      <c r="K10242" s="94" t="n">
        <v>16</v>
      </c>
      <c r="L10242" s="94" t="n">
        <v>200801</v>
      </c>
      <c r="M10242" s="94">
        <f>VLOOKUP($Q10242,매칭테이블!$F:$I,2,0)*K10242</f>
        <v/>
      </c>
      <c r="N10242" s="94">
        <f>M10242-M10242*VLOOKUP($Q10242,매칭테이블!$F:$I,3,0)</f>
        <v/>
      </c>
      <c r="O10242" s="94">
        <f>VLOOKUP($Q10242,매칭테이블!$F:$I,4,0)*K10242</f>
        <v/>
      </c>
      <c r="P10242" s="148">
        <f>M10242/1.1</f>
        <v/>
      </c>
      <c r="Q10242" s="94">
        <f>F10242&amp;E10242&amp;G10242&amp;L10242</f>
        <v/>
      </c>
    </row>
    <row r="10243" customFormat="1" s="94">
      <c r="B10243" s="128" t="n">
        <v>44125</v>
      </c>
      <c r="C10243" s="94">
        <f>TEXT(B10243,"aaa")</f>
        <v/>
      </c>
      <c r="E10243" s="94" t="inlineStr">
        <is>
          <t>마스크팩</t>
        </is>
      </c>
      <c r="F10243" s="5" t="inlineStr">
        <is>
          <t>카페24</t>
        </is>
      </c>
      <c r="G10243" s="94" t="inlineStr">
        <is>
          <t>마스크팩 10매</t>
        </is>
      </c>
      <c r="H10243" s="94" t="n">
        <v>200801</v>
      </c>
      <c r="I10243" s="94" t="n">
        <v>200801</v>
      </c>
      <c r="K10243" s="94" t="n">
        <v>2</v>
      </c>
      <c r="L10243" s="94" t="n">
        <v>200801</v>
      </c>
      <c r="M10243" s="94">
        <f>VLOOKUP($Q10243,매칭테이블!$F:$I,2,0)*K10243</f>
        <v/>
      </c>
      <c r="N10243" s="94">
        <f>M10243-M10243*VLOOKUP($Q10243,매칭테이블!$F:$I,3,0)</f>
        <v/>
      </c>
      <c r="O10243" s="94">
        <f>VLOOKUP($Q10243,매칭테이블!$F:$I,4,0)*K10243</f>
        <v/>
      </c>
      <c r="P10243" s="148">
        <f>M10243/1.1</f>
        <v/>
      </c>
      <c r="Q10243" s="94">
        <f>F10243&amp;E10243&amp;G10243&amp;L10243</f>
        <v/>
      </c>
    </row>
    <row r="10244" customFormat="1" s="94">
      <c r="B10244" s="128" t="n">
        <v>44125</v>
      </c>
      <c r="C10244" s="94">
        <f>TEXT(B10244,"aaa")</f>
        <v/>
      </c>
      <c r="E10244" s="94" t="inlineStr">
        <is>
          <t>토너</t>
        </is>
      </c>
      <c r="F10244" s="5" t="inlineStr">
        <is>
          <t>카페24</t>
        </is>
      </c>
      <c r="G10244" s="94" t="inlineStr">
        <is>
          <t>250ml</t>
        </is>
      </c>
      <c r="H10244" s="94" t="n">
        <v>200801</v>
      </c>
      <c r="I10244" s="94" t="n">
        <v>200801</v>
      </c>
      <c r="K10244" s="94" t="n">
        <v>42</v>
      </c>
      <c r="L10244" s="94" t="n">
        <v>200801</v>
      </c>
      <c r="M10244" s="94">
        <f>VLOOKUP($Q10244,매칭테이블!$F:$I,2,0)*K10244</f>
        <v/>
      </c>
      <c r="N10244" s="94">
        <f>M10244-M10244*VLOOKUP($Q10244,매칭테이블!$F:$I,3,0)</f>
        <v/>
      </c>
      <c r="O10244" s="94">
        <f>VLOOKUP($Q10244,매칭테이블!$F:$I,4,0)*K10244</f>
        <v/>
      </c>
      <c r="P10244" s="148">
        <f>M10244/1.1</f>
        <v/>
      </c>
      <c r="Q10244" s="94">
        <f>F10244&amp;E10244&amp;G10244&amp;L10244</f>
        <v/>
      </c>
    </row>
    <row r="10245" customFormat="1" s="94">
      <c r="B10245" s="128" t="n">
        <v>44125</v>
      </c>
      <c r="C10245" s="94">
        <f>TEXT(B10245,"aaa")</f>
        <v/>
      </c>
      <c r="E10245" s="94" t="inlineStr">
        <is>
          <t>토너</t>
        </is>
      </c>
      <c r="F10245" s="5" t="inlineStr">
        <is>
          <t>카페24</t>
        </is>
      </c>
      <c r="G10245" s="94" t="inlineStr">
        <is>
          <t>250ml 2set</t>
        </is>
      </c>
      <c r="H10245" s="94" t="n">
        <v>200801</v>
      </c>
      <c r="I10245" s="94" t="n">
        <v>200801</v>
      </c>
      <c r="K10245" s="94" t="n">
        <v>17</v>
      </c>
      <c r="L10245" s="94" t="n">
        <v>200801</v>
      </c>
      <c r="M10245" s="94">
        <f>VLOOKUP($Q10245,매칭테이블!$F:$I,2,0)*K10245</f>
        <v/>
      </c>
      <c r="N10245" s="94">
        <f>M10245-M10245*VLOOKUP($Q10245,매칭테이블!$F:$I,3,0)</f>
        <v/>
      </c>
      <c r="O10245" s="94">
        <f>VLOOKUP($Q10245,매칭테이블!$F:$I,4,0)*K10245</f>
        <v/>
      </c>
      <c r="P10245" s="148">
        <f>M10245/1.1</f>
        <v/>
      </c>
      <c r="Q10245" s="94">
        <f>F10245&amp;E10245&amp;G10245&amp;L10245</f>
        <v/>
      </c>
    </row>
    <row r="10246" customFormat="1" s="94">
      <c r="B10246" s="128" t="n">
        <v>44125</v>
      </c>
      <c r="C10246" s="94">
        <f>TEXT(B10246,"aaa")</f>
        <v/>
      </c>
      <c r="E10246" s="94" t="inlineStr">
        <is>
          <t>토너</t>
        </is>
      </c>
      <c r="F10246" s="5" t="inlineStr">
        <is>
          <t>카페24</t>
        </is>
      </c>
      <c r="G10246" s="94" t="inlineStr">
        <is>
          <t>500ml</t>
        </is>
      </c>
      <c r="H10246" s="94" t="n">
        <v>200801</v>
      </c>
      <c r="I10246" s="94" t="n">
        <v>200801</v>
      </c>
      <c r="K10246" s="94" t="n">
        <v>59</v>
      </c>
      <c r="L10246" s="94" t="n">
        <v>200801</v>
      </c>
      <c r="M10246" s="94">
        <f>VLOOKUP($Q10246,매칭테이블!$F:$I,2,0)*K10246</f>
        <v/>
      </c>
      <c r="N10246" s="94">
        <f>M10246-M10246*VLOOKUP($Q10246,매칭테이블!$F:$I,3,0)</f>
        <v/>
      </c>
      <c r="O10246" s="94">
        <f>VLOOKUP($Q10246,매칭테이블!$F:$I,4,0)*K10246</f>
        <v/>
      </c>
      <c r="P10246" s="148">
        <f>M10246/1.1</f>
        <v/>
      </c>
      <c r="Q10246" s="94">
        <f>F10246&amp;E10246&amp;G10246&amp;L10246</f>
        <v/>
      </c>
    </row>
    <row r="10247" customFormat="1" s="94">
      <c r="B10247" s="128" t="n">
        <v>44125</v>
      </c>
      <c r="C10247" s="94">
        <f>TEXT(B10247,"aaa")</f>
        <v/>
      </c>
      <c r="E10247" s="94" t="inlineStr">
        <is>
          <t>토너</t>
        </is>
      </c>
      <c r="F10247" s="5" t="inlineStr">
        <is>
          <t>카페24</t>
        </is>
      </c>
      <c r="G10247" s="94" t="inlineStr">
        <is>
          <t>스킨팩 화장솜 60P</t>
        </is>
      </c>
      <c r="H10247" s="94" t="n">
        <v>200801</v>
      </c>
      <c r="I10247" s="94" t="n">
        <v>200801</v>
      </c>
      <c r="K10247" s="94" t="n">
        <v>24</v>
      </c>
      <c r="L10247" s="94" t="n">
        <v>200801</v>
      </c>
      <c r="M10247" s="94">
        <f>VLOOKUP($Q10247,매칭테이블!$F:$I,2,0)*K10247</f>
        <v/>
      </c>
      <c r="N10247" s="94">
        <f>M10247-M10247*VLOOKUP($Q10247,매칭테이블!$F:$I,3,0)</f>
        <v/>
      </c>
      <c r="O10247" s="94">
        <f>VLOOKUP($Q10247,매칭테이블!$F:$I,4,0)*K10247</f>
        <v/>
      </c>
      <c r="P10247" s="148">
        <f>M10247/1.1</f>
        <v/>
      </c>
      <c r="Q10247" s="94">
        <f>F10247&amp;E10247&amp;G10247&amp;L10247</f>
        <v/>
      </c>
    </row>
    <row r="10248" customFormat="1" s="94">
      <c r="B10248" s="128" t="n">
        <v>44125</v>
      </c>
      <c r="C10248" s="94">
        <f>TEXT(B10248,"aaa")</f>
        <v/>
      </c>
      <c r="E10248" s="94" t="inlineStr">
        <is>
          <t>앰플</t>
        </is>
      </c>
      <c r="F10248" s="5" t="inlineStr">
        <is>
          <t>카페24</t>
        </is>
      </c>
      <c r="G10248" s="94" t="inlineStr">
        <is>
          <t>앰플 30ml</t>
        </is>
      </c>
      <c r="H10248" s="94" t="n">
        <v>200801</v>
      </c>
      <c r="I10248" s="94" t="n">
        <v>200801</v>
      </c>
      <c r="K10248" s="94" t="n">
        <v>11</v>
      </c>
      <c r="L10248" s="94" t="n">
        <v>200801</v>
      </c>
      <c r="M10248" s="94">
        <f>VLOOKUP($Q10248,매칭테이블!$F:$I,2,0)*K10248</f>
        <v/>
      </c>
      <c r="N10248" s="94">
        <f>M10248-M10248*VLOOKUP($Q10248,매칭테이블!$F:$I,3,0)</f>
        <v/>
      </c>
      <c r="O10248" s="94">
        <f>VLOOKUP($Q10248,매칭테이블!$F:$I,4,0)*K10248</f>
        <v/>
      </c>
      <c r="P10248" s="148">
        <f>M10248/1.1</f>
        <v/>
      </c>
      <c r="Q10248" s="94">
        <f>F10248&amp;E10248&amp;G10248&amp;L10248</f>
        <v/>
      </c>
    </row>
    <row r="10249" customFormat="1" s="94">
      <c r="B10249" s="128" t="n">
        <v>44125</v>
      </c>
      <c r="C10249" s="94">
        <f>TEXT(B10249,"aaa")</f>
        <v/>
      </c>
      <c r="E10249" s="94" t="inlineStr">
        <is>
          <t>앰플</t>
        </is>
      </c>
      <c r="F10249" s="5" t="inlineStr">
        <is>
          <t>카페24</t>
        </is>
      </c>
      <c r="G10249" s="94" t="inlineStr">
        <is>
          <t>앰플 30ml  2set</t>
        </is>
      </c>
      <c r="H10249" s="94" t="n">
        <v>200801</v>
      </c>
      <c r="I10249" s="94" t="n">
        <v>200801</v>
      </c>
      <c r="K10249" s="94" t="n">
        <v>1</v>
      </c>
      <c r="L10249" s="94" t="n">
        <v>200801</v>
      </c>
      <c r="M10249" s="94">
        <f>VLOOKUP($Q10249,매칭테이블!$F:$I,2,0)*K10249</f>
        <v/>
      </c>
      <c r="N10249" s="94">
        <f>M10249-M10249*VLOOKUP($Q10249,매칭테이블!$F:$I,3,0)</f>
        <v/>
      </c>
      <c r="O10249" s="94">
        <f>VLOOKUP($Q10249,매칭테이블!$F:$I,4,0)*K10249</f>
        <v/>
      </c>
      <c r="P10249" s="148">
        <f>M10249/1.1</f>
        <v/>
      </c>
      <c r="Q10249" s="94">
        <f>F10249&amp;E10249&amp;G10249&amp;L10249</f>
        <v/>
      </c>
    </row>
    <row r="10250" customFormat="1" s="94">
      <c r="B10250" s="128" t="n">
        <v>44125</v>
      </c>
      <c r="C10250" s="94">
        <f>TEXT(B10250,"aaa")</f>
        <v/>
      </c>
      <c r="E10250" s="94" t="inlineStr">
        <is>
          <t>수딩크림</t>
        </is>
      </c>
      <c r="F10250" s="5" t="inlineStr">
        <is>
          <t>카페24</t>
        </is>
      </c>
      <c r="G10250" s="94" t="inlineStr">
        <is>
          <t>수딩크림 100ml</t>
        </is>
      </c>
      <c r="H10250" s="94" t="n">
        <v>200801</v>
      </c>
      <c r="I10250" s="94" t="n">
        <v>200801</v>
      </c>
      <c r="K10250" s="94" t="n">
        <v>5</v>
      </c>
      <c r="L10250" s="94" t="n">
        <v>200801</v>
      </c>
      <c r="M10250" s="94">
        <f>VLOOKUP($Q10250,매칭테이블!$F:$I,2,0)*K10250</f>
        <v/>
      </c>
      <c r="N10250" s="94">
        <f>M10250-M10250*VLOOKUP($Q10250,매칭테이블!$F:$I,3,0)</f>
        <v/>
      </c>
      <c r="O10250" s="94">
        <f>VLOOKUP($Q10250,매칭테이블!$F:$I,4,0)*K10250</f>
        <v/>
      </c>
      <c r="P10250" s="148">
        <f>M10250/1.1</f>
        <v/>
      </c>
      <c r="Q10250" s="94">
        <f>F10250&amp;E10250&amp;G10250&amp;L10250</f>
        <v/>
      </c>
    </row>
    <row r="10251" customFormat="1" s="94">
      <c r="B10251" s="128" t="n">
        <v>44125</v>
      </c>
      <c r="C10251" s="94">
        <f>TEXT(B10251,"aaa")</f>
        <v/>
      </c>
      <c r="E10251" s="94" t="inlineStr">
        <is>
          <t>클렌징폼</t>
        </is>
      </c>
      <c r="F10251" s="5" t="inlineStr">
        <is>
          <t>카페24</t>
        </is>
      </c>
      <c r="G10251" s="94" t="inlineStr">
        <is>
          <t>클렌징폼 120ml</t>
        </is>
      </c>
      <c r="H10251" s="94" t="n">
        <v>200801</v>
      </c>
      <c r="I10251" s="94" t="n">
        <v>200801</v>
      </c>
      <c r="K10251" s="94" t="n">
        <v>6</v>
      </c>
      <c r="L10251" s="94" t="n">
        <v>200801</v>
      </c>
      <c r="M10251" s="94">
        <f>VLOOKUP($Q10251,매칭테이블!$F:$I,2,0)*K10251</f>
        <v/>
      </c>
      <c r="N10251" s="94">
        <f>M10251-M10251*VLOOKUP($Q10251,매칭테이블!$F:$I,3,0)</f>
        <v/>
      </c>
      <c r="O10251" s="94">
        <f>VLOOKUP($Q10251,매칭테이블!$F:$I,4,0)*K10251</f>
        <v/>
      </c>
      <c r="P10251" s="148">
        <f>M10251/1.1</f>
        <v/>
      </c>
      <c r="Q10251" s="94">
        <f>F10251&amp;E10251&amp;G10251&amp;L10251</f>
        <v/>
      </c>
    </row>
    <row r="10252" customFormat="1" s="94">
      <c r="B10252" s="128" t="n">
        <v>44125</v>
      </c>
      <c r="C10252" s="94">
        <f>TEXT(B10252,"aaa")</f>
        <v/>
      </c>
      <c r="E10252" s="94" t="inlineStr">
        <is>
          <t>클렌징폼</t>
        </is>
      </c>
      <c r="F10252" s="5" t="inlineStr">
        <is>
          <t>카페24</t>
        </is>
      </c>
      <c r="G10252" s="94" t="inlineStr">
        <is>
          <t>클렌징폼 120ml 2set</t>
        </is>
      </c>
      <c r="H10252" s="94" t="n">
        <v>200801</v>
      </c>
      <c r="I10252" s="94" t="n">
        <v>200801</v>
      </c>
      <c r="K10252" s="94" t="n">
        <v>2</v>
      </c>
      <c r="L10252" s="94" t="n">
        <v>200801</v>
      </c>
      <c r="M10252" s="94">
        <f>VLOOKUP($Q10252,매칭테이블!$F:$I,2,0)*K10252</f>
        <v/>
      </c>
      <c r="N10252" s="94">
        <f>M10252-M10252*VLOOKUP($Q10252,매칭테이블!$F:$I,3,0)</f>
        <v/>
      </c>
      <c r="O10252" s="94">
        <f>VLOOKUP($Q10252,매칭테이블!$F:$I,4,0)*K10252</f>
        <v/>
      </c>
      <c r="P10252" s="148">
        <f>M10252/1.1</f>
        <v/>
      </c>
      <c r="Q10252" s="94">
        <f>F10252&amp;E10252&amp;G10252&amp;L10252</f>
        <v/>
      </c>
    </row>
    <row r="10253" customFormat="1" s="94">
      <c r="B10253" s="128" t="n">
        <v>44125</v>
      </c>
      <c r="C10253" s="94">
        <f>TEXT(B10253,"aaa")</f>
        <v/>
      </c>
      <c r="E10253" s="94" t="inlineStr">
        <is>
          <t>클렌징폼</t>
        </is>
      </c>
      <c r="F10253" s="5" t="inlineStr">
        <is>
          <t>카페24</t>
        </is>
      </c>
      <c r="G10253" s="94" t="inlineStr">
        <is>
          <t>클렌징폼 120ml 3set</t>
        </is>
      </c>
      <c r="H10253" s="94" t="n">
        <v>200801</v>
      </c>
      <c r="I10253" s="94" t="n">
        <v>200801</v>
      </c>
      <c r="K10253" s="94" t="n">
        <v>1</v>
      </c>
      <c r="L10253" s="94" t="n">
        <v>200801</v>
      </c>
      <c r="M10253" s="94">
        <f>VLOOKUP($Q10253,매칭테이블!$F:$I,2,0)*K10253</f>
        <v/>
      </c>
      <c r="N10253" s="94">
        <f>M10253-M10253*VLOOKUP($Q10253,매칭테이블!$F:$I,3,0)</f>
        <v/>
      </c>
      <c r="O10253" s="94">
        <f>VLOOKUP($Q10253,매칭테이블!$F:$I,4,0)*K10253</f>
        <v/>
      </c>
      <c r="P10253" s="148">
        <f>M10253/1.1</f>
        <v/>
      </c>
      <c r="Q10253" s="94">
        <f>F10253&amp;E10253&amp;G10253&amp;L10253</f>
        <v/>
      </c>
    </row>
    <row r="10254" customFormat="1" s="94">
      <c r="B10254" s="128" t="n">
        <v>44125</v>
      </c>
      <c r="C10254" s="94">
        <f>TEXT(B10254,"aaa")</f>
        <v/>
      </c>
      <c r="E10254" s="94" t="inlineStr">
        <is>
          <t>바디워시</t>
        </is>
      </c>
      <c r="F10254" s="5" t="inlineStr">
        <is>
          <t>카페24</t>
        </is>
      </c>
      <c r="G10254" s="94" t="inlineStr">
        <is>
          <t>바디워시 1개 -30% off</t>
        </is>
      </c>
      <c r="H10254" s="94" t="n">
        <v>200801</v>
      </c>
      <c r="I10254" s="94" t="n">
        <v>200801</v>
      </c>
      <c r="K10254" s="94" t="n">
        <v>2</v>
      </c>
      <c r="L10254" s="94" t="n">
        <v>200801</v>
      </c>
      <c r="M10254" s="94">
        <f>VLOOKUP($Q10254,매칭테이블!$F:$I,2,0)*K10254</f>
        <v/>
      </c>
      <c r="N10254" s="94">
        <f>M10254-M10254*VLOOKUP($Q10254,매칭테이블!$F:$I,3,0)</f>
        <v/>
      </c>
      <c r="O10254" s="94">
        <f>VLOOKUP($Q10254,매칭테이블!$F:$I,4,0)*K10254</f>
        <v/>
      </c>
      <c r="P10254" s="148">
        <f>M10254/1.1</f>
        <v/>
      </c>
      <c r="Q10254" s="94">
        <f>F10254&amp;E10254&amp;G10254&amp;L10254</f>
        <v/>
      </c>
    </row>
    <row r="10255" customFormat="1" s="94">
      <c r="B10255" s="128" t="n">
        <v>44126</v>
      </c>
      <c r="C10255" s="94">
        <f>TEXT(B10255,"aaa")</f>
        <v/>
      </c>
      <c r="E10255" s="94" t="inlineStr">
        <is>
          <t>토너</t>
        </is>
      </c>
      <c r="F10255" s="5" t="inlineStr">
        <is>
          <t>W컨셉</t>
        </is>
      </c>
      <c r="G10255" s="94" t="inlineStr">
        <is>
          <t>250ml 2set</t>
        </is>
      </c>
      <c r="H10255" s="94" t="n">
        <v>200801</v>
      </c>
      <c r="I10255" s="94" t="n">
        <v>200801</v>
      </c>
      <c r="K10255" s="94" t="n">
        <v>7</v>
      </c>
      <c r="L10255" s="94" t="n">
        <v>200801</v>
      </c>
      <c r="M10255" s="94">
        <f>VLOOKUP($Q10255,매칭테이블!$F:$I,2,0)*K10255</f>
        <v/>
      </c>
      <c r="N10255" s="94">
        <f>M10255-M10255*VLOOKUP($Q10255,매칭테이블!$F:$I,3,0)</f>
        <v/>
      </c>
      <c r="O10255" s="94">
        <f>VLOOKUP($Q10255,매칭테이블!$F:$I,4,0)*K10255</f>
        <v/>
      </c>
      <c r="P10255" s="148">
        <f>M10255/1.1</f>
        <v/>
      </c>
      <c r="Q10255" s="94">
        <f>F10255&amp;E10255&amp;G10255&amp;L10255</f>
        <v/>
      </c>
    </row>
    <row r="10256" customFormat="1" s="94">
      <c r="B10256" s="128" t="n">
        <v>44126</v>
      </c>
      <c r="C10256" s="94">
        <f>TEXT(B10256,"aaa")</f>
        <v/>
      </c>
      <c r="E10256" s="94" t="inlineStr">
        <is>
          <t>토너</t>
        </is>
      </c>
      <c r="F10256" s="5" t="inlineStr">
        <is>
          <t>스타일쉐어</t>
        </is>
      </c>
      <c r="G10256" s="94" t="inlineStr">
        <is>
          <t>250ml</t>
        </is>
      </c>
      <c r="H10256" s="94" t="n">
        <v>200801</v>
      </c>
      <c r="I10256" s="94" t="n">
        <v>200801</v>
      </c>
      <c r="K10256" s="94" t="n">
        <v>1</v>
      </c>
      <c r="L10256" s="94" t="n">
        <v>200801</v>
      </c>
      <c r="M10256" s="94">
        <f>VLOOKUP($Q10256,매칭테이블!$F:$I,2,0)*K10256</f>
        <v/>
      </c>
      <c r="N10256" s="94">
        <f>M10256-M10256*VLOOKUP($Q10256,매칭테이블!$F:$I,3,0)</f>
        <v/>
      </c>
      <c r="O10256" s="94">
        <f>VLOOKUP($Q10256,매칭테이블!$F:$I,4,0)*K10256</f>
        <v/>
      </c>
      <c r="P10256" s="148">
        <f>M10256/1.1</f>
        <v/>
      </c>
      <c r="Q10256" s="94">
        <f>F10256&amp;E10256&amp;G10256&amp;L10256</f>
        <v/>
      </c>
    </row>
    <row r="10257" customFormat="1" s="94">
      <c r="B10257" s="128" t="n">
        <v>44126</v>
      </c>
      <c r="C10257" s="94">
        <f>TEXT(B10257,"aaa")</f>
        <v/>
      </c>
      <c r="E10257" s="94" t="inlineStr">
        <is>
          <t>토너</t>
        </is>
      </c>
      <c r="F10257" s="5" t="inlineStr">
        <is>
          <t>글로우데이즈 시코르</t>
        </is>
      </c>
      <c r="G10257" s="94" t="inlineStr">
        <is>
          <t>토너=250ml</t>
        </is>
      </c>
      <c r="H10257" s="94" t="n">
        <v>200801</v>
      </c>
      <c r="I10257" s="94" t="n">
        <v>200801</v>
      </c>
      <c r="K10257" s="94" t="n">
        <v>20</v>
      </c>
      <c r="L10257" s="94" t="n">
        <v>200801</v>
      </c>
      <c r="M10257" s="94">
        <f>VLOOKUP($Q10257,매칭테이블!$F:$I,2,0)*K10257</f>
        <v/>
      </c>
      <c r="N10257" s="94">
        <f>M10257-M10257*VLOOKUP($Q10257,매칭테이블!$F:$I,3,0)</f>
        <v/>
      </c>
      <c r="O10257" s="94">
        <f>VLOOKUP($Q10257,매칭테이블!$F:$I,4,0)*K10257</f>
        <v/>
      </c>
      <c r="P10257" s="148">
        <f>M10257/1.1</f>
        <v/>
      </c>
      <c r="Q10257" s="94">
        <f>F10257&amp;E10257&amp;G10257&amp;L10257</f>
        <v/>
      </c>
    </row>
    <row r="10258" customFormat="1" s="94">
      <c r="B10258" s="128" t="n">
        <v>44126</v>
      </c>
      <c r="C10258" s="94">
        <f>TEXT(B10258,"aaa")</f>
        <v/>
      </c>
      <c r="E10258" s="94" t="inlineStr">
        <is>
          <t>앰플</t>
        </is>
      </c>
      <c r="F10258" s="5" t="inlineStr">
        <is>
          <t>글로우데이즈 시코르</t>
        </is>
      </c>
      <c r="G10258" s="94" t="inlineStr">
        <is>
          <t>앰플=앰플 30ml</t>
        </is>
      </c>
      <c r="H10258" s="94" t="n">
        <v>200801</v>
      </c>
      <c r="I10258" s="94" t="n">
        <v>200801</v>
      </c>
      <c r="K10258" s="94" t="n">
        <v>20</v>
      </c>
      <c r="L10258" s="94" t="n">
        <v>200801</v>
      </c>
      <c r="M10258" s="94">
        <f>VLOOKUP($Q10258,매칭테이블!$F:$I,2,0)*K10258</f>
        <v/>
      </c>
      <c r="N10258" s="94">
        <f>M10258-M10258*VLOOKUP($Q10258,매칭테이블!$F:$I,3,0)</f>
        <v/>
      </c>
      <c r="O10258" s="94">
        <f>VLOOKUP($Q10258,매칭테이블!$F:$I,4,0)*K10258</f>
        <v/>
      </c>
      <c r="P10258" s="148">
        <f>M10258/1.1</f>
        <v/>
      </c>
      <c r="Q10258" s="94">
        <f>F10258&amp;E10258&amp;G10258&amp;L10258</f>
        <v/>
      </c>
    </row>
    <row r="10259" customFormat="1" s="94">
      <c r="B10259" s="128" t="n">
        <v>44126</v>
      </c>
      <c r="C10259" s="94">
        <f>TEXT(B10259,"aaa")</f>
        <v/>
      </c>
      <c r="E10259" s="94" t="inlineStr">
        <is>
          <t>마스크팩</t>
        </is>
      </c>
      <c r="F10259" s="5" t="inlineStr">
        <is>
          <t>글로우데이즈 시코르</t>
        </is>
      </c>
      <c r="G10259" s="94" t="inlineStr">
        <is>
          <t>마스크팩=마스크팩 10매</t>
        </is>
      </c>
      <c r="H10259" s="94" t="n">
        <v>200801</v>
      </c>
      <c r="I10259" s="94" t="n">
        <v>200801</v>
      </c>
      <c r="K10259" s="94" t="n">
        <v>8</v>
      </c>
      <c r="L10259" s="94" t="n">
        <v>200801</v>
      </c>
      <c r="M10259" s="94">
        <f>VLOOKUP($Q10259,매칭테이블!$F:$I,2,0)*K10259</f>
        <v/>
      </c>
      <c r="N10259" s="94">
        <f>M10259-M10259*VLOOKUP($Q10259,매칭테이블!$F:$I,3,0)</f>
        <v/>
      </c>
      <c r="O10259" s="94">
        <f>VLOOKUP($Q10259,매칭테이블!$F:$I,4,0)*K10259</f>
        <v/>
      </c>
      <c r="P10259" s="148">
        <f>M10259/1.1</f>
        <v/>
      </c>
      <c r="Q10259" s="94">
        <f>F10259&amp;E10259&amp;G10259&amp;L10259</f>
        <v/>
      </c>
    </row>
    <row r="10260" customFormat="1" s="94">
      <c r="B10260" s="128" t="n">
        <v>44126</v>
      </c>
      <c r="C10260" s="94">
        <f>TEXT(B10260,"aaa")</f>
        <v/>
      </c>
      <c r="E10260" s="94" t="inlineStr">
        <is>
          <t>선크림</t>
        </is>
      </c>
      <c r="F10260" s="5" t="inlineStr">
        <is>
          <t>글로우데이즈 시코르</t>
        </is>
      </c>
      <c r="G10260" s="94" t="inlineStr">
        <is>
          <t>선크림=선크림 50ml</t>
        </is>
      </c>
      <c r="H10260" s="94" t="n">
        <v>200801</v>
      </c>
      <c r="I10260" s="94" t="n">
        <v>200801</v>
      </c>
      <c r="K10260" s="94" t="n">
        <v>10</v>
      </c>
      <c r="L10260" s="94" t="n">
        <v>200801</v>
      </c>
      <c r="M10260" s="94">
        <f>VLOOKUP($Q10260,매칭테이블!$F:$I,2,0)*K10260</f>
        <v/>
      </c>
      <c r="N10260" s="94">
        <f>M10260-M10260*VLOOKUP($Q10260,매칭테이블!$F:$I,3,0)</f>
        <v/>
      </c>
      <c r="O10260" s="94">
        <f>VLOOKUP($Q10260,매칭테이블!$F:$I,4,0)*K10260</f>
        <v/>
      </c>
      <c r="P10260" s="148">
        <f>M10260/1.1</f>
        <v/>
      </c>
      <c r="Q10260" s="94">
        <f>F10260&amp;E10260&amp;G10260&amp;L10260</f>
        <v/>
      </c>
    </row>
    <row r="10261" customFormat="1" s="94">
      <c r="B10261" s="128" t="n">
        <v>44126</v>
      </c>
      <c r="C10261" s="94">
        <f>TEXT(B10261,"aaa")</f>
        <v/>
      </c>
      <c r="E10261" s="94" t="inlineStr">
        <is>
          <t>클렌징폼</t>
        </is>
      </c>
      <c r="F10261" s="5" t="inlineStr">
        <is>
          <t>글로우데이즈 시코르</t>
        </is>
      </c>
      <c r="G10261" s="94" t="inlineStr">
        <is>
          <t>클렌징폼=클렌징폼 120ml</t>
        </is>
      </c>
      <c r="H10261" s="94" t="n">
        <v>200801</v>
      </c>
      <c r="I10261" s="94" t="n">
        <v>200801</v>
      </c>
      <c r="K10261" s="94" t="n">
        <v>20</v>
      </c>
      <c r="L10261" s="94" t="n">
        <v>200801</v>
      </c>
      <c r="M10261" s="94">
        <f>VLOOKUP($Q10261,매칭테이블!$F:$I,2,0)*K10261</f>
        <v/>
      </c>
      <c r="N10261" s="94">
        <f>M10261-M10261*VLOOKUP($Q10261,매칭테이블!$F:$I,3,0)</f>
        <v/>
      </c>
      <c r="O10261" s="94">
        <f>VLOOKUP($Q10261,매칭테이블!$F:$I,4,0)*K10261</f>
        <v/>
      </c>
      <c r="P10261" s="148">
        <f>M10261/1.1</f>
        <v/>
      </c>
      <c r="Q10261" s="94">
        <f>F10261&amp;E10261&amp;G10261&amp;L10261</f>
        <v/>
      </c>
    </row>
    <row r="10262" customFormat="1" s="94">
      <c r="B10262" s="128" t="n">
        <v>44126</v>
      </c>
      <c r="C10262" s="94">
        <f>TEXT(B10262,"aaa")</f>
        <v/>
      </c>
      <c r="E10262" s="94" t="inlineStr">
        <is>
          <t>선크림</t>
        </is>
      </c>
      <c r="F10262" s="5" t="inlineStr">
        <is>
          <t>카페24</t>
        </is>
      </c>
      <c r="G10262" s="94" t="inlineStr">
        <is>
          <t>선크림 50ml</t>
        </is>
      </c>
      <c r="H10262" s="94" t="n">
        <v>200801</v>
      </c>
      <c r="I10262" s="94" t="n">
        <v>200801</v>
      </c>
      <c r="K10262" s="94" t="n">
        <v>5</v>
      </c>
      <c r="L10262" s="94" t="n">
        <v>200801</v>
      </c>
      <c r="M10262" s="94">
        <f>VLOOKUP($Q10262,매칭테이블!$F:$I,2,0)*K10262</f>
        <v/>
      </c>
      <c r="N10262" s="94">
        <f>M10262-M10262*VLOOKUP($Q10262,매칭테이블!$F:$I,3,0)</f>
        <v/>
      </c>
      <c r="O10262" s="94">
        <f>VLOOKUP($Q10262,매칭테이블!$F:$I,4,0)*K10262</f>
        <v/>
      </c>
      <c r="P10262" s="148">
        <f>M10262/1.1</f>
        <v/>
      </c>
      <c r="Q10262" s="94">
        <f>F10262&amp;E10262&amp;G10262&amp;L10262</f>
        <v/>
      </c>
    </row>
    <row r="10263" customFormat="1" s="94">
      <c r="B10263" s="128" t="n">
        <v>44126</v>
      </c>
      <c r="C10263" s="94">
        <f>TEXT(B10263,"aaa")</f>
        <v/>
      </c>
      <c r="E10263" s="94" t="inlineStr">
        <is>
          <t>선크림</t>
        </is>
      </c>
      <c r="F10263" s="5" t="inlineStr">
        <is>
          <t>카페24</t>
        </is>
      </c>
      <c r="G10263" s="94" t="inlineStr">
        <is>
          <t>선크림 50ml  2set</t>
        </is>
      </c>
      <c r="H10263" s="94" t="n">
        <v>200801</v>
      </c>
      <c r="I10263" s="94" t="n">
        <v>200801</v>
      </c>
      <c r="K10263" s="94" t="n">
        <v>1</v>
      </c>
      <c r="L10263" s="94" t="n">
        <v>200801</v>
      </c>
      <c r="M10263" s="94">
        <f>VLOOKUP($Q10263,매칭테이블!$F:$I,2,0)*K10263</f>
        <v/>
      </c>
      <c r="N10263" s="94">
        <f>M10263-M10263*VLOOKUP($Q10263,매칭테이블!$F:$I,3,0)</f>
        <v/>
      </c>
      <c r="O10263" s="94">
        <f>VLOOKUP($Q10263,매칭테이블!$F:$I,4,0)*K10263</f>
        <v/>
      </c>
      <c r="P10263" s="148">
        <f>M10263/1.1</f>
        <v/>
      </c>
      <c r="Q10263" s="94">
        <f>F10263&amp;E10263&amp;G10263&amp;L10263</f>
        <v/>
      </c>
    </row>
    <row r="10264" customFormat="1" s="94">
      <c r="B10264" s="128" t="n">
        <v>44126</v>
      </c>
      <c r="C10264" s="94">
        <f>TEXT(B10264,"aaa")</f>
        <v/>
      </c>
      <c r="E10264" s="94" t="inlineStr">
        <is>
          <t>머드크림마스크</t>
        </is>
      </c>
      <c r="F10264" s="5" t="inlineStr">
        <is>
          <t>카페24</t>
        </is>
      </c>
      <c r="G10264" s="94" t="inlineStr">
        <is>
          <t>머드크림마스크 100ml</t>
        </is>
      </c>
      <c r="H10264" s="94" t="n">
        <v>200801</v>
      </c>
      <c r="I10264" s="94" t="n">
        <v>200801</v>
      </c>
      <c r="K10264" s="94" t="n">
        <v>27</v>
      </c>
      <c r="L10264" s="94" t="n">
        <v>200801</v>
      </c>
      <c r="M10264" s="94">
        <f>VLOOKUP($Q10264,매칭테이블!$F:$I,2,0)*K10264</f>
        <v/>
      </c>
      <c r="N10264" s="94">
        <f>M10264-M10264*VLOOKUP($Q10264,매칭테이블!$F:$I,3,0)</f>
        <v/>
      </c>
      <c r="O10264" s="94">
        <f>VLOOKUP($Q10264,매칭테이블!$F:$I,4,0)*K10264</f>
        <v/>
      </c>
      <c r="P10264" s="148">
        <f>M10264/1.1</f>
        <v/>
      </c>
      <c r="Q10264" s="94">
        <f>F10264&amp;E10264&amp;G10264&amp;L10264</f>
        <v/>
      </c>
    </row>
    <row r="10265" customFormat="1" s="94">
      <c r="B10265" s="128" t="n">
        <v>44126</v>
      </c>
      <c r="C10265" s="94">
        <f>TEXT(B10265,"aaa")</f>
        <v/>
      </c>
      <c r="E10265" s="94" t="inlineStr">
        <is>
          <t>머드크림마스크</t>
        </is>
      </c>
      <c r="F10265" s="5" t="inlineStr">
        <is>
          <t>카페24</t>
        </is>
      </c>
      <c r="G10265" s="94" t="inlineStr">
        <is>
          <t>머드크림마스크 100ml 2set</t>
        </is>
      </c>
      <c r="H10265" s="94" t="n">
        <v>200801</v>
      </c>
      <c r="I10265" s="94" t="n">
        <v>200801</v>
      </c>
      <c r="K10265" s="94" t="n">
        <v>4</v>
      </c>
      <c r="L10265" s="94" t="n">
        <v>200801</v>
      </c>
      <c r="M10265" s="94">
        <f>VLOOKUP($Q10265,매칭테이블!$F:$I,2,0)*K10265</f>
        <v/>
      </c>
      <c r="N10265" s="94">
        <f>M10265-M10265*VLOOKUP($Q10265,매칭테이블!$F:$I,3,0)</f>
        <v/>
      </c>
      <c r="O10265" s="94">
        <f>VLOOKUP($Q10265,매칭테이블!$F:$I,4,0)*K10265</f>
        <v/>
      </c>
      <c r="P10265" s="148">
        <f>M10265/1.1</f>
        <v/>
      </c>
      <c r="Q10265" s="94">
        <f>F10265&amp;E10265&amp;G10265&amp;L10265</f>
        <v/>
      </c>
    </row>
    <row r="10266" customFormat="1" s="94">
      <c r="B10266" s="128" t="n">
        <v>44126</v>
      </c>
      <c r="C10266" s="94">
        <f>TEXT(B10266,"aaa")</f>
        <v/>
      </c>
      <c r="E10266" s="94" t="inlineStr">
        <is>
          <t>마스크팩</t>
        </is>
      </c>
      <c r="F10266" s="5" t="inlineStr">
        <is>
          <t>카페24</t>
        </is>
      </c>
      <c r="G10266" s="94" t="inlineStr">
        <is>
          <t>마스크팩 1매</t>
        </is>
      </c>
      <c r="H10266" s="94" t="n">
        <v>200801</v>
      </c>
      <c r="I10266" s="94" t="n">
        <v>200801</v>
      </c>
      <c r="K10266" s="94" t="n">
        <v>9</v>
      </c>
      <c r="L10266" s="94" t="n">
        <v>200801</v>
      </c>
      <c r="M10266" s="94">
        <f>VLOOKUP($Q10266,매칭테이블!$F:$I,2,0)*K10266</f>
        <v/>
      </c>
      <c r="N10266" s="94">
        <f>M10266-M10266*VLOOKUP($Q10266,매칭테이블!$F:$I,3,0)</f>
        <v/>
      </c>
      <c r="O10266" s="94">
        <f>VLOOKUP($Q10266,매칭테이블!$F:$I,4,0)*K10266</f>
        <v/>
      </c>
      <c r="P10266" s="148">
        <f>M10266/1.1</f>
        <v/>
      </c>
      <c r="Q10266" s="94">
        <f>F10266&amp;E10266&amp;G10266&amp;L10266</f>
        <v/>
      </c>
    </row>
    <row r="10267" customFormat="1" s="94">
      <c r="B10267" s="128" t="n">
        <v>44126</v>
      </c>
      <c r="C10267" s="94">
        <f>TEXT(B10267,"aaa")</f>
        <v/>
      </c>
      <c r="E10267" s="94" t="inlineStr">
        <is>
          <t>마스크팩</t>
        </is>
      </c>
      <c r="F10267" s="5" t="inlineStr">
        <is>
          <t>카페24</t>
        </is>
      </c>
      <c r="G10267" s="94" t="inlineStr">
        <is>
          <t>마스크팩 10매</t>
        </is>
      </c>
      <c r="H10267" s="94" t="n">
        <v>200801</v>
      </c>
      <c r="I10267" s="94" t="n">
        <v>200801</v>
      </c>
      <c r="K10267" s="94" t="n">
        <v>2</v>
      </c>
      <c r="L10267" s="94" t="n">
        <v>200801</v>
      </c>
      <c r="M10267" s="94">
        <f>VLOOKUP($Q10267,매칭테이블!$F:$I,2,0)*K10267</f>
        <v/>
      </c>
      <c r="N10267" s="94">
        <f>M10267-M10267*VLOOKUP($Q10267,매칭테이블!$F:$I,3,0)</f>
        <v/>
      </c>
      <c r="O10267" s="94">
        <f>VLOOKUP($Q10267,매칭테이블!$F:$I,4,0)*K10267</f>
        <v/>
      </c>
      <c r="P10267" s="148">
        <f>M10267/1.1</f>
        <v/>
      </c>
      <c r="Q10267" s="94">
        <f>F10267&amp;E10267&amp;G10267&amp;L10267</f>
        <v/>
      </c>
    </row>
    <row r="10268" customFormat="1" s="94">
      <c r="B10268" s="128" t="n">
        <v>44126</v>
      </c>
      <c r="C10268" s="94">
        <f>TEXT(B10268,"aaa")</f>
        <v/>
      </c>
      <c r="E10268" s="94" t="inlineStr">
        <is>
          <t>토너</t>
        </is>
      </c>
      <c r="F10268" s="5" t="inlineStr">
        <is>
          <t>카페24</t>
        </is>
      </c>
      <c r="G10268" s="94" t="inlineStr">
        <is>
          <t>250ml</t>
        </is>
      </c>
      <c r="H10268" s="94" t="n">
        <v>200801</v>
      </c>
      <c r="I10268" s="94" t="n">
        <v>200801</v>
      </c>
      <c r="K10268" s="94" t="n">
        <v>37</v>
      </c>
      <c r="L10268" s="94" t="n">
        <v>200801</v>
      </c>
      <c r="M10268" s="94">
        <f>VLOOKUP($Q10268,매칭테이블!$F:$I,2,0)*K10268</f>
        <v/>
      </c>
      <c r="N10268" s="94">
        <f>M10268-M10268*VLOOKUP($Q10268,매칭테이블!$F:$I,3,0)</f>
        <v/>
      </c>
      <c r="O10268" s="94">
        <f>VLOOKUP($Q10268,매칭테이블!$F:$I,4,0)*K10268</f>
        <v/>
      </c>
      <c r="P10268" s="148">
        <f>M10268/1.1</f>
        <v/>
      </c>
      <c r="Q10268" s="94">
        <f>F10268&amp;E10268&amp;G10268&amp;L10268</f>
        <v/>
      </c>
    </row>
    <row r="10269" customFormat="1" s="94">
      <c r="B10269" s="128" t="n">
        <v>44126</v>
      </c>
      <c r="C10269" s="94">
        <f>TEXT(B10269,"aaa")</f>
        <v/>
      </c>
      <c r="E10269" s="94" t="inlineStr">
        <is>
          <t>토너</t>
        </is>
      </c>
      <c r="F10269" s="5" t="inlineStr">
        <is>
          <t>카페24</t>
        </is>
      </c>
      <c r="G10269" s="94" t="inlineStr">
        <is>
          <t>250ml 2set</t>
        </is>
      </c>
      <c r="H10269" s="94" t="n">
        <v>200801</v>
      </c>
      <c r="I10269" s="94" t="n">
        <v>200801</v>
      </c>
      <c r="K10269" s="94" t="n">
        <v>11</v>
      </c>
      <c r="L10269" s="94" t="n">
        <v>200801</v>
      </c>
      <c r="M10269" s="94">
        <f>VLOOKUP($Q10269,매칭테이블!$F:$I,2,0)*K10269</f>
        <v/>
      </c>
      <c r="N10269" s="94">
        <f>M10269-M10269*VLOOKUP($Q10269,매칭테이블!$F:$I,3,0)</f>
        <v/>
      </c>
      <c r="O10269" s="94">
        <f>VLOOKUP($Q10269,매칭테이블!$F:$I,4,0)*K10269</f>
        <v/>
      </c>
      <c r="P10269" s="148">
        <f>M10269/1.1</f>
        <v/>
      </c>
      <c r="Q10269" s="94">
        <f>F10269&amp;E10269&amp;G10269&amp;L10269</f>
        <v/>
      </c>
    </row>
    <row r="10270" customFormat="1" s="94">
      <c r="B10270" s="128" t="n">
        <v>44126</v>
      </c>
      <c r="C10270" s="94">
        <f>TEXT(B10270,"aaa")</f>
        <v/>
      </c>
      <c r="E10270" s="94" t="inlineStr">
        <is>
          <t>토너</t>
        </is>
      </c>
      <c r="F10270" s="5" t="inlineStr">
        <is>
          <t>카페24</t>
        </is>
      </c>
      <c r="G10270" s="94" t="inlineStr">
        <is>
          <t>500ml</t>
        </is>
      </c>
      <c r="H10270" s="94" t="n">
        <v>200801</v>
      </c>
      <c r="I10270" s="94" t="n">
        <v>200801</v>
      </c>
      <c r="K10270" s="94" t="n">
        <v>56</v>
      </c>
      <c r="L10270" s="94" t="n">
        <v>200801</v>
      </c>
      <c r="M10270" s="94">
        <f>VLOOKUP($Q10270,매칭테이블!$F:$I,2,0)*K10270</f>
        <v/>
      </c>
      <c r="N10270" s="94">
        <f>M10270-M10270*VLOOKUP($Q10270,매칭테이블!$F:$I,3,0)</f>
        <v/>
      </c>
      <c r="O10270" s="94">
        <f>VLOOKUP($Q10270,매칭테이블!$F:$I,4,0)*K10270</f>
        <v/>
      </c>
      <c r="P10270" s="148">
        <f>M10270/1.1</f>
        <v/>
      </c>
      <c r="Q10270" s="94">
        <f>F10270&amp;E10270&amp;G10270&amp;L10270</f>
        <v/>
      </c>
    </row>
    <row r="10271" customFormat="1" s="94">
      <c r="B10271" s="128" t="n">
        <v>44126</v>
      </c>
      <c r="C10271" s="94">
        <f>TEXT(B10271,"aaa")</f>
        <v/>
      </c>
      <c r="E10271" s="94" t="inlineStr">
        <is>
          <t>토너</t>
        </is>
      </c>
      <c r="F10271" s="5" t="inlineStr">
        <is>
          <t>카페24</t>
        </is>
      </c>
      <c r="G10271" s="94" t="inlineStr">
        <is>
          <t>스킨팩 화장솜 60P</t>
        </is>
      </c>
      <c r="H10271" s="94" t="n">
        <v>200801</v>
      </c>
      <c r="I10271" s="94" t="n">
        <v>200801</v>
      </c>
      <c r="K10271" s="94" t="n">
        <v>28</v>
      </c>
      <c r="L10271" s="94" t="n">
        <v>200801</v>
      </c>
      <c r="M10271" s="94">
        <f>VLOOKUP($Q10271,매칭테이블!$F:$I,2,0)*K10271</f>
        <v/>
      </c>
      <c r="N10271" s="94">
        <f>M10271-M10271*VLOOKUP($Q10271,매칭테이블!$F:$I,3,0)</f>
        <v/>
      </c>
      <c r="O10271" s="94">
        <f>VLOOKUP($Q10271,매칭테이블!$F:$I,4,0)*K10271</f>
        <v/>
      </c>
      <c r="P10271" s="148">
        <f>M10271/1.1</f>
        <v/>
      </c>
      <c r="Q10271" s="94">
        <f>F10271&amp;E10271&amp;G10271&amp;L10271</f>
        <v/>
      </c>
    </row>
    <row r="10272" customFormat="1" s="94">
      <c r="B10272" s="128" t="n">
        <v>44126</v>
      </c>
      <c r="C10272" s="94">
        <f>TEXT(B10272,"aaa")</f>
        <v/>
      </c>
      <c r="E10272" s="94" t="inlineStr">
        <is>
          <t>앰플</t>
        </is>
      </c>
      <c r="F10272" s="5" t="inlineStr">
        <is>
          <t>카페24</t>
        </is>
      </c>
      <c r="G10272" s="94" t="inlineStr">
        <is>
          <t>앰플 30ml</t>
        </is>
      </c>
      <c r="H10272" s="94" t="n">
        <v>200801</v>
      </c>
      <c r="I10272" s="94" t="n">
        <v>200801</v>
      </c>
      <c r="K10272" s="94" t="n">
        <v>13</v>
      </c>
      <c r="L10272" s="94" t="n">
        <v>200801</v>
      </c>
      <c r="M10272" s="94">
        <f>VLOOKUP($Q10272,매칭테이블!$F:$I,2,0)*K10272</f>
        <v/>
      </c>
      <c r="N10272" s="94">
        <f>M10272-M10272*VLOOKUP($Q10272,매칭테이블!$F:$I,3,0)</f>
        <v/>
      </c>
      <c r="O10272" s="94">
        <f>VLOOKUP($Q10272,매칭테이블!$F:$I,4,0)*K10272</f>
        <v/>
      </c>
      <c r="P10272" s="148">
        <f>M10272/1.1</f>
        <v/>
      </c>
      <c r="Q10272" s="94">
        <f>F10272&amp;E10272&amp;G10272&amp;L10272</f>
        <v/>
      </c>
    </row>
    <row r="10273" customFormat="1" s="94">
      <c r="B10273" s="128" t="n">
        <v>44126</v>
      </c>
      <c r="C10273" s="94">
        <f>TEXT(B10273,"aaa")</f>
        <v/>
      </c>
      <c r="E10273" s="94" t="inlineStr">
        <is>
          <t>앰플</t>
        </is>
      </c>
      <c r="F10273" s="5" t="inlineStr">
        <is>
          <t>카페24</t>
        </is>
      </c>
      <c r="G10273" s="94" t="inlineStr">
        <is>
          <t>앰플 30ml  2set</t>
        </is>
      </c>
      <c r="H10273" s="94" t="n">
        <v>200801</v>
      </c>
      <c r="I10273" s="94" t="n">
        <v>200801</v>
      </c>
      <c r="K10273" s="94" t="n">
        <v>6</v>
      </c>
      <c r="L10273" s="94" t="n">
        <v>200801</v>
      </c>
      <c r="M10273" s="94">
        <f>VLOOKUP($Q10273,매칭테이블!$F:$I,2,0)*K10273</f>
        <v/>
      </c>
      <c r="N10273" s="94">
        <f>M10273-M10273*VLOOKUP($Q10273,매칭테이블!$F:$I,3,0)</f>
        <v/>
      </c>
      <c r="O10273" s="94">
        <f>VLOOKUP($Q10273,매칭테이블!$F:$I,4,0)*K10273</f>
        <v/>
      </c>
      <c r="P10273" s="148">
        <f>M10273/1.1</f>
        <v/>
      </c>
      <c r="Q10273" s="94">
        <f>F10273&amp;E10273&amp;G10273&amp;L10273</f>
        <v/>
      </c>
    </row>
    <row r="10274" customFormat="1" s="94">
      <c r="B10274" s="128" t="n">
        <v>44126</v>
      </c>
      <c r="C10274" s="94">
        <f>TEXT(B10274,"aaa")</f>
        <v/>
      </c>
      <c r="E10274" s="94" t="inlineStr">
        <is>
          <t>수딩크림</t>
        </is>
      </c>
      <c r="F10274" s="5" t="inlineStr">
        <is>
          <t>카페24</t>
        </is>
      </c>
      <c r="G10274" s="94" t="inlineStr">
        <is>
          <t>수딩크림 100ml</t>
        </is>
      </c>
      <c r="H10274" s="94" t="n">
        <v>200801</v>
      </c>
      <c r="I10274" s="94" t="n">
        <v>200801</v>
      </c>
      <c r="K10274" s="94" t="n">
        <v>1</v>
      </c>
      <c r="L10274" s="94" t="n">
        <v>200801</v>
      </c>
      <c r="M10274" s="94">
        <f>VLOOKUP($Q10274,매칭테이블!$F:$I,2,0)*K10274</f>
        <v/>
      </c>
      <c r="N10274" s="94">
        <f>M10274-M10274*VLOOKUP($Q10274,매칭테이블!$F:$I,3,0)</f>
        <v/>
      </c>
      <c r="O10274" s="94">
        <f>VLOOKUP($Q10274,매칭테이블!$F:$I,4,0)*K10274</f>
        <v/>
      </c>
      <c r="P10274" s="148">
        <f>M10274/1.1</f>
        <v/>
      </c>
      <c r="Q10274" s="94">
        <f>F10274&amp;E10274&amp;G10274&amp;L10274</f>
        <v/>
      </c>
    </row>
    <row r="10275" customFormat="1" s="94">
      <c r="B10275" s="128" t="n">
        <v>44126</v>
      </c>
      <c r="C10275" s="94">
        <f>TEXT(B10275,"aaa")</f>
        <v/>
      </c>
      <c r="E10275" s="94" t="inlineStr">
        <is>
          <t>클렌징폼</t>
        </is>
      </c>
      <c r="F10275" s="5" t="inlineStr">
        <is>
          <t>카페24</t>
        </is>
      </c>
      <c r="G10275" s="94" t="inlineStr">
        <is>
          <t>클렌징폼 120ml</t>
        </is>
      </c>
      <c r="H10275" s="94" t="n">
        <v>200801</v>
      </c>
      <c r="I10275" s="94" t="n">
        <v>200801</v>
      </c>
      <c r="K10275" s="94" t="n">
        <v>9</v>
      </c>
      <c r="L10275" s="94" t="n">
        <v>200801</v>
      </c>
      <c r="M10275" s="94">
        <f>VLOOKUP($Q10275,매칭테이블!$F:$I,2,0)*K10275</f>
        <v/>
      </c>
      <c r="N10275" s="94">
        <f>M10275-M10275*VLOOKUP($Q10275,매칭테이블!$F:$I,3,0)</f>
        <v/>
      </c>
      <c r="O10275" s="94">
        <f>VLOOKUP($Q10275,매칭테이블!$F:$I,4,0)*K10275</f>
        <v/>
      </c>
      <c r="P10275" s="148">
        <f>M10275/1.1</f>
        <v/>
      </c>
      <c r="Q10275" s="94">
        <f>F10275&amp;E10275&amp;G10275&amp;L10275</f>
        <v/>
      </c>
    </row>
    <row r="10276" customFormat="1" s="94">
      <c r="B10276" s="128" t="n">
        <v>44126</v>
      </c>
      <c r="C10276" s="94">
        <f>TEXT(B10276,"aaa")</f>
        <v/>
      </c>
      <c r="E10276" s="94" t="inlineStr">
        <is>
          <t>클렌징폼</t>
        </is>
      </c>
      <c r="F10276" s="5" t="inlineStr">
        <is>
          <t>카페24</t>
        </is>
      </c>
      <c r="G10276" s="94" t="inlineStr">
        <is>
          <t>클렌징폼 120ml 2set</t>
        </is>
      </c>
      <c r="H10276" s="94" t="n">
        <v>200801</v>
      </c>
      <c r="I10276" s="94" t="n">
        <v>200801</v>
      </c>
      <c r="K10276" s="94" t="n">
        <v>2</v>
      </c>
      <c r="L10276" s="94" t="n">
        <v>200801</v>
      </c>
      <c r="M10276" s="94">
        <f>VLOOKUP($Q10276,매칭테이블!$F:$I,2,0)*K10276</f>
        <v/>
      </c>
      <c r="N10276" s="94">
        <f>M10276-M10276*VLOOKUP($Q10276,매칭테이블!$F:$I,3,0)</f>
        <v/>
      </c>
      <c r="O10276" s="94">
        <f>VLOOKUP($Q10276,매칭테이블!$F:$I,4,0)*K10276</f>
        <v/>
      </c>
      <c r="P10276" s="148">
        <f>M10276/1.1</f>
        <v/>
      </c>
      <c r="Q10276" s="94">
        <f>F10276&amp;E10276&amp;G10276&amp;L10276</f>
        <v/>
      </c>
    </row>
    <row r="10277" customFormat="1" s="94">
      <c r="B10277" s="128" t="n">
        <v>44126</v>
      </c>
      <c r="C10277" s="94">
        <f>TEXT(B10277,"aaa")</f>
        <v/>
      </c>
      <c r="E10277" s="94" t="inlineStr">
        <is>
          <t>클렌징폼</t>
        </is>
      </c>
      <c r="F10277" s="5" t="inlineStr">
        <is>
          <t>카페24</t>
        </is>
      </c>
      <c r="G10277" s="94" t="inlineStr">
        <is>
          <t>클렌징폼 120ml 3set</t>
        </is>
      </c>
      <c r="H10277" s="94" t="n">
        <v>200801</v>
      </c>
      <c r="I10277" s="94" t="n">
        <v>200801</v>
      </c>
      <c r="K10277" s="94" t="n">
        <v>1</v>
      </c>
      <c r="L10277" s="94" t="n">
        <v>200801</v>
      </c>
      <c r="M10277" s="94">
        <f>VLOOKUP($Q10277,매칭테이블!$F:$I,2,0)*K10277</f>
        <v/>
      </c>
      <c r="N10277" s="94">
        <f>M10277-M10277*VLOOKUP($Q10277,매칭테이블!$F:$I,3,0)</f>
        <v/>
      </c>
      <c r="O10277" s="94">
        <f>VLOOKUP($Q10277,매칭테이블!$F:$I,4,0)*K10277</f>
        <v/>
      </c>
      <c r="P10277" s="148">
        <f>M10277/1.1</f>
        <v/>
      </c>
      <c r="Q10277" s="94">
        <f>F10277&amp;E10277&amp;G10277&amp;L10277</f>
        <v/>
      </c>
    </row>
    <row r="10278" customFormat="1" s="94">
      <c r="B10278" s="128" t="n">
        <v>44126</v>
      </c>
      <c r="C10278" s="94">
        <f>TEXT(B10278,"aaa")</f>
        <v/>
      </c>
      <c r="E10278" s="94" t="inlineStr">
        <is>
          <t>바디워시</t>
        </is>
      </c>
      <c r="F10278" s="5" t="inlineStr">
        <is>
          <t>카페24</t>
        </is>
      </c>
      <c r="G10278" s="94" t="inlineStr">
        <is>
          <t>바디워시 1개 -30% off</t>
        </is>
      </c>
      <c r="H10278" s="94" t="n">
        <v>200801</v>
      </c>
      <c r="I10278" s="94" t="n">
        <v>200801</v>
      </c>
      <c r="K10278" s="94" t="n">
        <v>1</v>
      </c>
      <c r="L10278" s="94" t="n">
        <v>200801</v>
      </c>
      <c r="M10278" s="94">
        <f>VLOOKUP($Q10278,매칭테이블!$F:$I,2,0)*K10278</f>
        <v/>
      </c>
      <c r="N10278" s="94">
        <f>M10278-M10278*VLOOKUP($Q10278,매칭테이블!$F:$I,3,0)</f>
        <v/>
      </c>
      <c r="O10278" s="94">
        <f>VLOOKUP($Q10278,매칭테이블!$F:$I,4,0)*K10278</f>
        <v/>
      </c>
      <c r="P10278" s="148">
        <f>M10278/1.1</f>
        <v/>
      </c>
      <c r="Q10278" s="94">
        <f>F10278&amp;E10278&amp;G10278&amp;L10278</f>
        <v/>
      </c>
    </row>
    <row r="10279" customFormat="1" s="94">
      <c r="B10279" s="128" t="n">
        <v>44126</v>
      </c>
      <c r="C10279" s="94">
        <f>TEXT(B10279,"aaa")</f>
        <v/>
      </c>
      <c r="E10279" s="94" t="inlineStr">
        <is>
          <t>선크림</t>
        </is>
      </c>
      <c r="F10279" s="5" t="inlineStr">
        <is>
          <t>화해</t>
        </is>
      </c>
      <c r="G10279" s="94" t="inlineStr">
        <is>
          <t>선크림 50ml</t>
        </is>
      </c>
      <c r="H10279" s="94" t="n">
        <v>200801</v>
      </c>
      <c r="I10279" s="94" t="n">
        <v>200801</v>
      </c>
      <c r="K10279" s="94" t="n">
        <v>1</v>
      </c>
      <c r="L10279" s="94" t="n">
        <v>200801</v>
      </c>
      <c r="M10279" s="94">
        <f>VLOOKUP($Q10279,매칭테이블!$F:$I,2,0)*K10279</f>
        <v/>
      </c>
      <c r="N10279" s="94">
        <f>M10279-M10279*VLOOKUP($Q10279,매칭테이블!$F:$I,3,0)</f>
        <v/>
      </c>
      <c r="O10279" s="94">
        <f>VLOOKUP($Q10279,매칭테이블!$F:$I,4,0)*K10279</f>
        <v/>
      </c>
      <c r="P10279" s="148">
        <f>M10279/1.1</f>
        <v/>
      </c>
      <c r="Q10279" s="94">
        <f>F10279&amp;E10279&amp;G10279&amp;L10279</f>
        <v/>
      </c>
    </row>
    <row r="10280" customFormat="1" s="94">
      <c r="B10280" s="128" t="n">
        <v>44129</v>
      </c>
      <c r="C10280" s="94">
        <f>TEXT(B10280,"aaa")</f>
        <v/>
      </c>
      <c r="E10280" s="94" t="inlineStr">
        <is>
          <t>토너</t>
        </is>
      </c>
      <c r="F10280" s="5" t="inlineStr">
        <is>
          <t>랄라블라</t>
        </is>
      </c>
      <c r="G10280" s="94" t="inlineStr">
        <is>
          <t>250ml</t>
        </is>
      </c>
      <c r="H10280" s="94" t="n">
        <v>200801</v>
      </c>
      <c r="I10280" s="94" t="n">
        <v>200801</v>
      </c>
      <c r="K10280" s="94" t="n">
        <v>92</v>
      </c>
      <c r="L10280" s="94" t="n">
        <v>200801</v>
      </c>
      <c r="M10280" s="94">
        <f>VLOOKUP($Q10280,매칭테이블!$F:$I,2,0)*K10280</f>
        <v/>
      </c>
      <c r="N10280" s="94">
        <f>M10280-M10280*VLOOKUP($Q10280,매칭테이블!$F:$I,3,0)</f>
        <v/>
      </c>
      <c r="O10280" s="94">
        <f>VLOOKUP($Q10280,매칭테이블!$F:$I,4,0)*K10280</f>
        <v/>
      </c>
      <c r="P10280" s="148">
        <f>M10280/1.1</f>
        <v/>
      </c>
      <c r="Q10280" s="94">
        <f>F10280&amp;E10280&amp;G10280&amp;L10280</f>
        <v/>
      </c>
    </row>
    <row r="10281" customFormat="1" s="94">
      <c r="B10281" s="128" t="n">
        <v>44129</v>
      </c>
      <c r="C10281" s="94">
        <f>TEXT(B10281,"aaa")</f>
        <v/>
      </c>
      <c r="E10281" s="94" t="inlineStr">
        <is>
          <t>토너</t>
        </is>
      </c>
      <c r="F10281" s="5" t="inlineStr">
        <is>
          <t>랄라블라</t>
        </is>
      </c>
      <c r="G10281" s="94" t="inlineStr">
        <is>
          <t>500ml</t>
        </is>
      </c>
      <c r="H10281" s="94" t="n">
        <v>200801</v>
      </c>
      <c r="I10281" s="94" t="n">
        <v>200801</v>
      </c>
      <c r="K10281" s="94" t="n">
        <v>432</v>
      </c>
      <c r="L10281" s="94" t="n">
        <v>200801</v>
      </c>
      <c r="M10281" s="94">
        <f>VLOOKUP($Q10281,매칭테이블!$F:$I,2,0)*K10281</f>
        <v/>
      </c>
      <c r="N10281" s="94">
        <f>M10281-M10281*VLOOKUP($Q10281,매칭테이블!$F:$I,3,0)</f>
        <v/>
      </c>
      <c r="O10281" s="94">
        <f>VLOOKUP($Q10281,매칭테이블!$F:$I,4,0)*K10281</f>
        <v/>
      </c>
      <c r="P10281" s="148">
        <f>M10281/1.1</f>
        <v/>
      </c>
      <c r="Q10281" s="94">
        <f>F10281&amp;E10281&amp;G10281&amp;L10281</f>
        <v/>
      </c>
    </row>
    <row r="10282" customFormat="1" s="94">
      <c r="B10282" s="128" t="n">
        <v>44129</v>
      </c>
      <c r="C10282" s="94">
        <f>TEXT(B10282,"aaa")</f>
        <v/>
      </c>
      <c r="E10282" s="94" t="inlineStr">
        <is>
          <t>마스크팩</t>
        </is>
      </c>
      <c r="F10282" s="5" t="inlineStr">
        <is>
          <t>랄라블라</t>
        </is>
      </c>
      <c r="G10282" s="94" t="inlineStr">
        <is>
          <t>마스크팩 1매</t>
        </is>
      </c>
      <c r="H10282" s="94" t="n">
        <v>200801</v>
      </c>
      <c r="I10282" s="94" t="n">
        <v>200801</v>
      </c>
      <c r="K10282" s="94" t="n">
        <v>459</v>
      </c>
      <c r="L10282" s="94" t="n">
        <v>200801</v>
      </c>
      <c r="M10282" s="94">
        <f>VLOOKUP($Q10282,매칭테이블!$F:$I,2,0)*K10282</f>
        <v/>
      </c>
      <c r="N10282" s="94">
        <f>M10282-M10282*VLOOKUP($Q10282,매칭테이블!$F:$I,3,0)</f>
        <v/>
      </c>
      <c r="O10282" s="94">
        <f>VLOOKUP($Q10282,매칭테이블!$F:$I,4,0)*K10282</f>
        <v/>
      </c>
      <c r="P10282" s="148">
        <f>M10282/1.1</f>
        <v/>
      </c>
      <c r="Q10282" s="94">
        <f>F10282&amp;E10282&amp;G10282&amp;L10282</f>
        <v/>
      </c>
    </row>
    <row r="10283" customFormat="1" s="94">
      <c r="B10283" s="128" t="n">
        <v>44129</v>
      </c>
      <c r="C10283" s="94">
        <f>TEXT(B10283,"aaa")</f>
        <v/>
      </c>
      <c r="E10283" s="94" t="inlineStr">
        <is>
          <t>수딩크림 증정기획</t>
        </is>
      </c>
      <c r="F10283" s="5" t="inlineStr">
        <is>
          <t>랄라블라</t>
        </is>
      </c>
      <c r="G10283" s="94" t="inlineStr">
        <is>
          <t>수딩크림 증정기획</t>
        </is>
      </c>
      <c r="H10283" s="94" t="n">
        <v>200801</v>
      </c>
      <c r="I10283" s="94" t="n">
        <v>200801</v>
      </c>
      <c r="K10283" s="94" t="n">
        <v>33</v>
      </c>
      <c r="L10283" s="94" t="n">
        <v>200801</v>
      </c>
      <c r="M10283" s="94">
        <f>VLOOKUP($Q10283,매칭테이블!$F:$I,2,0)*K10283</f>
        <v/>
      </c>
      <c r="N10283" s="94">
        <f>M10283-M10283*VLOOKUP($Q10283,매칭테이블!$F:$I,3,0)</f>
        <v/>
      </c>
      <c r="O10283" s="94">
        <f>VLOOKUP($Q10283,매칭테이블!$F:$I,4,0)*K10283</f>
        <v/>
      </c>
      <c r="P10283" s="148">
        <f>M10283/1.1</f>
        <v/>
      </c>
      <c r="Q10283" s="94">
        <f>F10283&amp;E10283&amp;G10283&amp;L10283</f>
        <v/>
      </c>
    </row>
    <row r="10284" customFormat="1" s="94">
      <c r="B10284" s="128" t="n">
        <v>44129</v>
      </c>
      <c r="C10284" s="94">
        <f>TEXT(B10284,"aaa")</f>
        <v/>
      </c>
      <c r="E10284" s="94" t="inlineStr">
        <is>
          <t>수딩크림</t>
        </is>
      </c>
      <c r="F10284" s="5" t="inlineStr">
        <is>
          <t>랄라블라</t>
        </is>
      </c>
      <c r="G10284" s="94" t="inlineStr">
        <is>
          <t>수딩크림 100ml</t>
        </is>
      </c>
      <c r="H10284" s="94" t="n">
        <v>200801</v>
      </c>
      <c r="I10284" s="94" t="n">
        <v>200801</v>
      </c>
      <c r="K10284" s="94" t="n">
        <v>28</v>
      </c>
      <c r="L10284" s="94" t="n">
        <v>200801</v>
      </c>
      <c r="M10284" s="94">
        <f>VLOOKUP($Q10284,매칭테이블!$F:$I,2,0)*K10284</f>
        <v/>
      </c>
      <c r="N10284" s="94">
        <f>M10284-M10284*VLOOKUP($Q10284,매칭테이블!$F:$I,3,0)</f>
        <v/>
      </c>
      <c r="O10284" s="94">
        <f>VLOOKUP($Q10284,매칭테이블!$F:$I,4,0)*K10284</f>
        <v/>
      </c>
      <c r="P10284" s="148">
        <f>M10284/1.1</f>
        <v/>
      </c>
      <c r="Q10284" s="94">
        <f>F10284&amp;E10284&amp;G10284&amp;L10284</f>
        <v/>
      </c>
    </row>
    <row r="10285" customFormat="1" s="94">
      <c r="B10285" s="128" t="n">
        <v>44129</v>
      </c>
      <c r="C10285" s="94">
        <f>TEXT(B10285,"aaa")</f>
        <v/>
      </c>
      <c r="E10285" s="94" t="inlineStr">
        <is>
          <t>앰플 기획세트</t>
        </is>
      </c>
      <c r="F10285" s="5" t="inlineStr">
        <is>
          <t>랄라블라</t>
        </is>
      </c>
      <c r="G10285" s="94" t="inlineStr">
        <is>
          <t>앰플 기획세트</t>
        </is>
      </c>
      <c r="H10285" s="94" t="n">
        <v>200801</v>
      </c>
      <c r="I10285" s="94" t="n">
        <v>200801</v>
      </c>
      <c r="K10285" s="94" t="n">
        <v>92</v>
      </c>
      <c r="L10285" s="94" t="n">
        <v>200801</v>
      </c>
      <c r="M10285" s="94">
        <f>VLOOKUP($Q10285,매칭테이블!$F:$I,2,0)*K10285</f>
        <v/>
      </c>
      <c r="N10285" s="94">
        <f>M10285-M10285*VLOOKUP($Q10285,매칭테이블!$F:$I,3,0)</f>
        <v/>
      </c>
      <c r="O10285" s="94">
        <f>VLOOKUP($Q10285,매칭테이블!$F:$I,4,0)*K10285</f>
        <v/>
      </c>
      <c r="P10285" s="148">
        <f>M10285/1.1</f>
        <v/>
      </c>
      <c r="Q10285" s="94">
        <f>F10285&amp;E10285&amp;G10285&amp;L10285</f>
        <v/>
      </c>
    </row>
    <row r="10286" customFormat="1" s="94">
      <c r="B10286" s="128" t="n">
        <v>44129</v>
      </c>
      <c r="C10286" s="94">
        <f>TEXT(B10286,"aaa")</f>
        <v/>
      </c>
      <c r="E10286" s="94" t="inlineStr">
        <is>
          <t>클렌징폼 기획세트</t>
        </is>
      </c>
      <c r="F10286" s="5" t="inlineStr">
        <is>
          <t>랄라블라</t>
        </is>
      </c>
      <c r="G10286" s="94" t="inlineStr">
        <is>
          <t>클렌징폼 기획세트</t>
        </is>
      </c>
      <c r="H10286" s="94" t="n">
        <v>200801</v>
      </c>
      <c r="I10286" s="94" t="n">
        <v>200801</v>
      </c>
      <c r="K10286" s="94" t="n">
        <v>6</v>
      </c>
      <c r="L10286" s="94" t="n">
        <v>200801</v>
      </c>
      <c r="M10286" s="94">
        <f>VLOOKUP($Q10286,매칭테이블!$F:$I,2,0)*K10286</f>
        <v/>
      </c>
      <c r="N10286" s="94">
        <f>M10286-M10286*VLOOKUP($Q10286,매칭테이블!$F:$I,3,0)</f>
        <v/>
      </c>
      <c r="O10286" s="94">
        <f>VLOOKUP($Q10286,매칭테이블!$F:$I,4,0)*K10286</f>
        <v/>
      </c>
      <c r="P10286" s="148">
        <f>M10286/1.1</f>
        <v/>
      </c>
      <c r="Q10286" s="94">
        <f>F10286&amp;E10286&amp;G10286&amp;L10286</f>
        <v/>
      </c>
    </row>
    <row r="10287" customFormat="1" s="94">
      <c r="B10287" s="128" t="n">
        <v>44129</v>
      </c>
      <c r="C10287" s="94">
        <f>TEXT(B10287,"aaa")</f>
        <v/>
      </c>
      <c r="E10287" s="94" t="inlineStr">
        <is>
          <t>클렌징폼</t>
        </is>
      </c>
      <c r="F10287" s="5" t="inlineStr">
        <is>
          <t>랄라블라</t>
        </is>
      </c>
      <c r="G10287" s="94" t="inlineStr">
        <is>
          <t>클렌징폼 120ml</t>
        </is>
      </c>
      <c r="H10287" s="94" t="n">
        <v>200801</v>
      </c>
      <c r="I10287" s="94" t="n">
        <v>200801</v>
      </c>
      <c r="K10287" s="94" t="n">
        <v>53</v>
      </c>
      <c r="L10287" s="94" t="n">
        <v>200801</v>
      </c>
      <c r="M10287" s="94">
        <f>VLOOKUP($Q10287,매칭테이블!$F:$I,2,0)*K10287</f>
        <v/>
      </c>
      <c r="N10287" s="94">
        <f>M10287-M10287*VLOOKUP($Q10287,매칭테이블!$F:$I,3,0)</f>
        <v/>
      </c>
      <c r="O10287" s="94">
        <f>VLOOKUP($Q10287,매칭테이블!$F:$I,4,0)*K10287</f>
        <v/>
      </c>
      <c r="P10287" s="148">
        <f>M10287/1.1</f>
        <v/>
      </c>
      <c r="Q10287" s="94">
        <f>F10287&amp;E10287&amp;G10287&amp;L10287</f>
        <v/>
      </c>
    </row>
    <row r="10288" customFormat="1" s="94">
      <c r="B10288" s="128" t="n">
        <v>44129</v>
      </c>
      <c r="C10288" s="94">
        <f>TEXT(B10288,"aaa")</f>
        <v/>
      </c>
      <c r="E10288" s="94" t="inlineStr">
        <is>
          <t>선크림</t>
        </is>
      </c>
      <c r="F10288" s="5" t="inlineStr">
        <is>
          <t>랄라블라</t>
        </is>
      </c>
      <c r="G10288" s="94" t="inlineStr">
        <is>
          <t>선크림 50ml</t>
        </is>
      </c>
      <c r="H10288" s="94" t="n">
        <v>200801</v>
      </c>
      <c r="I10288" s="94" t="n">
        <v>200801</v>
      </c>
      <c r="K10288" s="94" t="n">
        <v>16</v>
      </c>
      <c r="L10288" s="94" t="n">
        <v>200801</v>
      </c>
      <c r="M10288" s="94">
        <f>VLOOKUP($Q10288,매칭테이블!$F:$I,2,0)*K10288</f>
        <v/>
      </c>
      <c r="N10288" s="94">
        <f>M10288-M10288*VLOOKUP($Q10288,매칭테이블!$F:$I,3,0)</f>
        <v/>
      </c>
      <c r="O10288" s="94">
        <f>VLOOKUP($Q10288,매칭테이블!$F:$I,4,0)*K10288</f>
        <v/>
      </c>
      <c r="P10288" s="148">
        <f>M10288/1.1</f>
        <v/>
      </c>
      <c r="Q10288" s="94">
        <f>F10288&amp;E10288&amp;G10288&amp;L10288</f>
        <v/>
      </c>
    </row>
    <row r="10289" customFormat="1" s="94">
      <c r="B10289" s="128" t="n">
        <v>44129</v>
      </c>
      <c r="C10289" s="94">
        <f>TEXT(B10289,"aaa")</f>
        <v/>
      </c>
      <c r="E10289" s="94" t="inlineStr">
        <is>
          <t>대용량 기획세트</t>
        </is>
      </c>
      <c r="F10289" s="5" t="inlineStr">
        <is>
          <t>랄라블라</t>
        </is>
      </c>
      <c r="G10289" s="94" t="inlineStr">
        <is>
          <t>대용량 기획세트</t>
        </is>
      </c>
      <c r="H10289" s="94" t="n">
        <v>200801</v>
      </c>
      <c r="I10289" s="94" t="n">
        <v>200801</v>
      </c>
      <c r="K10289" s="94" t="n">
        <v>5</v>
      </c>
      <c r="L10289" s="94" t="n">
        <v>200801</v>
      </c>
      <c r="M10289" s="94">
        <f>VLOOKUP($Q10289,매칭테이블!$F:$I,2,0)*K10289</f>
        <v/>
      </c>
      <c r="N10289" s="94">
        <f>M10289-M10289*VLOOKUP($Q10289,매칭테이블!$F:$I,3,0)</f>
        <v/>
      </c>
      <c r="O10289" s="94">
        <f>VLOOKUP($Q10289,매칭테이블!$F:$I,4,0)*K10289</f>
        <v/>
      </c>
      <c r="P10289" s="148">
        <f>M10289/1.1</f>
        <v/>
      </c>
      <c r="Q10289" s="94">
        <f>F10289&amp;E10289&amp;G10289&amp;L10289</f>
        <v/>
      </c>
    </row>
    <row r="10290" customFormat="1" s="94">
      <c r="B10290" s="128" t="n">
        <v>44129</v>
      </c>
      <c r="C10290" s="94">
        <f>TEXT(B10290,"aaa")</f>
        <v/>
      </c>
      <c r="E10290" s="94" t="inlineStr">
        <is>
          <t>마스크팩</t>
        </is>
      </c>
      <c r="F10290" s="5" t="inlineStr">
        <is>
          <t>랄라블라</t>
        </is>
      </c>
      <c r="G10290" s="94" t="inlineStr">
        <is>
          <t>마스크 5+1 기획세트</t>
        </is>
      </c>
      <c r="H10290" s="94" t="n">
        <v>200801</v>
      </c>
      <c r="I10290" s="94" t="n">
        <v>200801</v>
      </c>
      <c r="K10290" s="94" t="n">
        <v>37</v>
      </c>
      <c r="L10290" s="94" t="n">
        <v>200801</v>
      </c>
      <c r="M10290" s="94">
        <f>VLOOKUP($Q10290,매칭테이블!$F:$I,2,0)*K10290</f>
        <v/>
      </c>
      <c r="N10290" s="94">
        <f>M10290-M10290*VLOOKUP($Q10290,매칭테이블!$F:$I,3,0)</f>
        <v/>
      </c>
      <c r="O10290" s="94">
        <f>VLOOKUP($Q10290,매칭테이블!$F:$I,4,0)*K10290</f>
        <v/>
      </c>
      <c r="P10290" s="148">
        <f>M10290/1.1</f>
        <v/>
      </c>
      <c r="Q10290" s="94">
        <f>F10290&amp;E10290&amp;G10290&amp;L10290</f>
        <v/>
      </c>
    </row>
    <row r="10291" customFormat="1" s="94">
      <c r="B10291" s="128" t="n">
        <v>44129</v>
      </c>
      <c r="C10291" s="94">
        <f>TEXT(B10291,"aaa")</f>
        <v/>
      </c>
      <c r="E10291" s="94" t="inlineStr">
        <is>
          <t>바디워시</t>
        </is>
      </c>
      <c r="F10291" s="5" t="inlineStr">
        <is>
          <t>랄라블라</t>
        </is>
      </c>
      <c r="G10291" s="94" t="inlineStr">
        <is>
          <t>아누아 어성초 아크네 바디워시 500ml</t>
        </is>
      </c>
      <c r="H10291" s="94" t="n">
        <v>200801</v>
      </c>
      <c r="I10291" s="94" t="n">
        <v>200801</v>
      </c>
      <c r="K10291" s="94" t="n">
        <v>13</v>
      </c>
      <c r="L10291" s="94" t="n">
        <v>200801</v>
      </c>
      <c r="M10291" s="94">
        <f>VLOOKUP($Q10291,매칭테이블!$F:$I,2,0)*K10291</f>
        <v/>
      </c>
      <c r="N10291" s="94">
        <f>M10291-M10291*VLOOKUP($Q10291,매칭테이블!$F:$I,3,0)</f>
        <v/>
      </c>
      <c r="O10291" s="94">
        <f>VLOOKUP($Q10291,매칭테이블!$F:$I,4,0)*K10291</f>
        <v/>
      </c>
      <c r="P10291" s="148">
        <f>M10291/1.1</f>
        <v/>
      </c>
      <c r="Q10291" s="94">
        <f>F10291&amp;E10291&amp;G10291&amp;L10291</f>
        <v/>
      </c>
    </row>
    <row r="10292" customFormat="1" s="94">
      <c r="B10292" s="128" t="n">
        <v>44129</v>
      </c>
      <c r="C10292" s="94">
        <f>TEXT(B10292,"aaa")</f>
        <v/>
      </c>
      <c r="E10292" s="94" t="inlineStr">
        <is>
          <t>클리어 패드</t>
        </is>
      </c>
      <c r="F10292" s="5" t="inlineStr">
        <is>
          <t>랄라블라</t>
        </is>
      </c>
      <c r="G10292" s="94" t="inlineStr">
        <is>
          <t>아누아 어성초77 클리어 패드</t>
        </is>
      </c>
      <c r="H10292" s="94" t="n">
        <v>200801</v>
      </c>
      <c r="I10292" s="94" t="n">
        <v>200801</v>
      </c>
      <c r="K10292" s="94" t="n">
        <v>61</v>
      </c>
      <c r="L10292" s="94" t="n">
        <v>200801</v>
      </c>
      <c r="M10292" s="94">
        <f>VLOOKUP($Q10292,매칭테이블!$F:$I,2,0)*K10292</f>
        <v/>
      </c>
      <c r="N10292" s="94">
        <f>M10292-M10292*VLOOKUP($Q10292,매칭테이블!$F:$I,3,0)</f>
        <v/>
      </c>
      <c r="O10292" s="94">
        <f>VLOOKUP($Q10292,매칭테이블!$F:$I,4,0)*K10292</f>
        <v/>
      </c>
      <c r="P10292" s="148">
        <f>M10292/1.1</f>
        <v/>
      </c>
      <c r="Q10292" s="94">
        <f>F10292&amp;E10292&amp;G10292&amp;L10292</f>
        <v/>
      </c>
    </row>
    <row r="10293" customFormat="1" s="94">
      <c r="B10293" s="128" t="n">
        <v>44129</v>
      </c>
      <c r="C10293" s="94">
        <f>TEXT(B10293,"aaa")</f>
        <v/>
      </c>
      <c r="E10293" s="94" t="inlineStr">
        <is>
          <t>로션</t>
        </is>
      </c>
      <c r="F10293" s="5" t="inlineStr">
        <is>
          <t>랄라블라</t>
        </is>
      </c>
      <c r="G10293" s="94" t="inlineStr">
        <is>
          <t>아누아 어성초70 로션 200ml</t>
        </is>
      </c>
      <c r="H10293" s="94" t="n">
        <v>200801</v>
      </c>
      <c r="I10293" s="94" t="n">
        <v>200801</v>
      </c>
      <c r="K10293" s="94" t="n">
        <v>101</v>
      </c>
      <c r="L10293" s="94" t="n">
        <v>200801</v>
      </c>
      <c r="M10293" s="94">
        <f>VLOOKUP($Q10293,매칭테이블!$F:$I,2,0)*K10293</f>
        <v/>
      </c>
      <c r="N10293" s="94">
        <f>M10293-M10293*VLOOKUP($Q10293,매칭테이블!$F:$I,3,0)</f>
        <v/>
      </c>
      <c r="O10293" s="94">
        <f>VLOOKUP($Q10293,매칭테이블!$F:$I,4,0)*K10293</f>
        <v/>
      </c>
      <c r="P10293" s="148">
        <f>M10293/1.1</f>
        <v/>
      </c>
      <c r="Q10293" s="94">
        <f>F10293&amp;E10293&amp;G10293&amp;L10293</f>
        <v/>
      </c>
    </row>
    <row r="10294" customFormat="1" s="94">
      <c r="B10294" s="128" t="n">
        <v>44129</v>
      </c>
      <c r="C10294" s="94">
        <f>TEXT(B10294,"aaa")</f>
        <v/>
      </c>
      <c r="E10294" s="94" t="inlineStr">
        <is>
          <t>앰플</t>
        </is>
      </c>
      <c r="F10294" s="5" t="inlineStr">
        <is>
          <t>랄라블라</t>
        </is>
      </c>
      <c r="G10294" s="94" t="inlineStr">
        <is>
          <t>앰플 30ml</t>
        </is>
      </c>
      <c r="H10294" s="94" t="n">
        <v>200801</v>
      </c>
      <c r="I10294" s="94" t="n">
        <v>200801</v>
      </c>
      <c r="K10294" s="94" t="n">
        <v>13</v>
      </c>
      <c r="L10294" s="94" t="n">
        <v>200801</v>
      </c>
      <c r="M10294" s="94">
        <f>VLOOKUP($Q10294,매칭테이블!$F:$I,2,0)*K10294</f>
        <v/>
      </c>
      <c r="N10294" s="94">
        <f>M10294-M10294*VLOOKUP($Q10294,매칭테이블!$F:$I,3,0)</f>
        <v/>
      </c>
      <c r="O10294" s="94">
        <f>VLOOKUP($Q10294,매칭테이블!$F:$I,4,0)*K10294</f>
        <v/>
      </c>
      <c r="P10294" s="148">
        <f>M10294/1.1</f>
        <v/>
      </c>
      <c r="Q10294" s="94">
        <f>F10294&amp;E10294&amp;G10294&amp;L10294</f>
        <v/>
      </c>
    </row>
    <row r="10295" customFormat="1" s="94">
      <c r="B10295" s="128" t="n">
        <v>44127</v>
      </c>
      <c r="C10295" s="94">
        <f>TEXT(B10295,"aaa")</f>
        <v/>
      </c>
      <c r="E10295" s="94" t="inlineStr">
        <is>
          <t>토너</t>
        </is>
      </c>
      <c r="F10295" s="5" t="inlineStr">
        <is>
          <t>W컨셉</t>
        </is>
      </c>
      <c r="G10295" s="94" t="inlineStr">
        <is>
          <t>250ml</t>
        </is>
      </c>
      <c r="H10295" s="94" t="n">
        <v>200801</v>
      </c>
      <c r="I10295" s="94" t="n">
        <v>200801</v>
      </c>
      <c r="K10295" s="94" t="n">
        <v>1</v>
      </c>
      <c r="L10295" s="94" t="n">
        <v>200801</v>
      </c>
      <c r="M10295" s="94">
        <f>VLOOKUP($Q10295,매칭테이블!$F:$I,2,0)*K10295</f>
        <v/>
      </c>
      <c r="N10295" s="94">
        <f>M10295-M10295*VLOOKUP($Q10295,매칭테이블!$F:$I,3,0)</f>
        <v/>
      </c>
      <c r="O10295" s="94">
        <f>VLOOKUP($Q10295,매칭테이블!$F:$I,4,0)*K10295</f>
        <v/>
      </c>
      <c r="P10295" s="148">
        <f>M10295/1.1</f>
        <v/>
      </c>
      <c r="Q10295" s="94">
        <f>F10295&amp;E10295&amp;G10295&amp;L10295</f>
        <v/>
      </c>
    </row>
    <row r="10296" customFormat="1" s="94">
      <c r="B10296" s="128" t="n">
        <v>44127</v>
      </c>
      <c r="C10296" s="94">
        <f>TEXT(B10296,"aaa")</f>
        <v/>
      </c>
      <c r="E10296" s="94" t="inlineStr">
        <is>
          <t>토너</t>
        </is>
      </c>
      <c r="F10296" s="5" t="inlineStr">
        <is>
          <t>W컨셉</t>
        </is>
      </c>
      <c r="G10296" s="94" t="inlineStr">
        <is>
          <t>250ml 2set</t>
        </is>
      </c>
      <c r="H10296" s="94" t="n">
        <v>200801</v>
      </c>
      <c r="I10296" s="94" t="n">
        <v>200801</v>
      </c>
      <c r="K10296" s="94" t="n">
        <v>3</v>
      </c>
      <c r="L10296" s="94" t="n">
        <v>200801</v>
      </c>
      <c r="M10296" s="94">
        <f>VLOOKUP($Q10296,매칭테이블!$F:$I,2,0)*K10296</f>
        <v/>
      </c>
      <c r="N10296" s="94">
        <f>M10296-M10296*VLOOKUP($Q10296,매칭테이블!$F:$I,3,0)</f>
        <v/>
      </c>
      <c r="O10296" s="94">
        <f>VLOOKUP($Q10296,매칭테이블!$F:$I,4,0)*K10296</f>
        <v/>
      </c>
      <c r="P10296" s="148">
        <f>M10296/1.1</f>
        <v/>
      </c>
      <c r="Q10296" s="94">
        <f>F10296&amp;E10296&amp;G10296&amp;L10296</f>
        <v/>
      </c>
    </row>
    <row r="10297" customFormat="1" s="94">
      <c r="B10297" s="128" t="n">
        <v>44127</v>
      </c>
      <c r="C10297" s="94">
        <f>TEXT(B10297,"aaa")</f>
        <v/>
      </c>
      <c r="E10297" s="94" t="inlineStr">
        <is>
          <t>토너</t>
        </is>
      </c>
      <c r="F10297" s="5" t="inlineStr">
        <is>
          <t>스타일쉐어</t>
        </is>
      </c>
      <c r="G10297" s="94" t="inlineStr">
        <is>
          <t>250ml</t>
        </is>
      </c>
      <c r="H10297" s="94" t="n">
        <v>200801</v>
      </c>
      <c r="I10297" s="94" t="n">
        <v>200801</v>
      </c>
      <c r="K10297" s="94" t="n">
        <v>1</v>
      </c>
      <c r="L10297" s="94" t="n">
        <v>200801</v>
      </c>
      <c r="M10297" s="94">
        <f>VLOOKUP($Q10297,매칭테이블!$F:$I,2,0)*K10297</f>
        <v/>
      </c>
      <c r="N10297" s="94">
        <f>M10297-M10297*VLOOKUP($Q10297,매칭테이블!$F:$I,3,0)</f>
        <v/>
      </c>
      <c r="O10297" s="94">
        <f>VLOOKUP($Q10297,매칭테이블!$F:$I,4,0)*K10297</f>
        <v/>
      </c>
      <c r="P10297" s="148">
        <f>M10297/1.1</f>
        <v/>
      </c>
      <c r="Q10297" s="94">
        <f>F10297&amp;E10297&amp;G10297&amp;L10297</f>
        <v/>
      </c>
    </row>
    <row r="10298" customFormat="1" s="94">
      <c r="B10298" s="128" t="n">
        <v>44127</v>
      </c>
      <c r="C10298" s="94">
        <f>TEXT(B10298,"aaa")</f>
        <v/>
      </c>
      <c r="E10298" s="94" t="inlineStr">
        <is>
          <t>선크림</t>
        </is>
      </c>
      <c r="F10298" s="5" t="inlineStr">
        <is>
          <t>카페24</t>
        </is>
      </c>
      <c r="G10298" s="94" t="inlineStr">
        <is>
          <t>선크림 50ml</t>
        </is>
      </c>
      <c r="H10298" s="94" t="n">
        <v>200801</v>
      </c>
      <c r="I10298" s="94" t="n">
        <v>200801</v>
      </c>
      <c r="K10298" s="94" t="n">
        <v>2</v>
      </c>
      <c r="L10298" s="94" t="n">
        <v>200801</v>
      </c>
      <c r="M10298" s="94">
        <f>VLOOKUP($Q10298,매칭테이블!$F:$I,2,0)*K10298</f>
        <v/>
      </c>
      <c r="N10298" s="94">
        <f>M10298-M10298*VLOOKUP($Q10298,매칭테이블!$F:$I,3,0)</f>
        <v/>
      </c>
      <c r="O10298" s="94">
        <f>VLOOKUP($Q10298,매칭테이블!$F:$I,4,0)*K10298</f>
        <v/>
      </c>
      <c r="P10298" s="148">
        <f>M10298/1.1</f>
        <v/>
      </c>
      <c r="Q10298" s="94">
        <f>F10298&amp;E10298&amp;G10298&amp;L10298</f>
        <v/>
      </c>
    </row>
    <row r="10299" customFormat="1" s="94">
      <c r="B10299" s="128" t="n">
        <v>44127</v>
      </c>
      <c r="C10299" s="94">
        <f>TEXT(B10299,"aaa")</f>
        <v/>
      </c>
      <c r="E10299" s="94" t="inlineStr">
        <is>
          <t>선크림</t>
        </is>
      </c>
      <c r="F10299" s="5" t="inlineStr">
        <is>
          <t>카페24</t>
        </is>
      </c>
      <c r="G10299" s="94" t="inlineStr">
        <is>
          <t>선크림 50ml  2set</t>
        </is>
      </c>
      <c r="H10299" s="94" t="n">
        <v>200801</v>
      </c>
      <c r="I10299" s="94" t="n">
        <v>200801</v>
      </c>
      <c r="K10299" s="94" t="n">
        <v>1</v>
      </c>
      <c r="L10299" s="94" t="n">
        <v>200801</v>
      </c>
      <c r="M10299" s="94">
        <f>VLOOKUP($Q10299,매칭테이블!$F:$I,2,0)*K10299</f>
        <v/>
      </c>
      <c r="N10299" s="94">
        <f>M10299-M10299*VLOOKUP($Q10299,매칭테이블!$F:$I,3,0)</f>
        <v/>
      </c>
      <c r="O10299" s="94">
        <f>VLOOKUP($Q10299,매칭테이블!$F:$I,4,0)*K10299</f>
        <v/>
      </c>
      <c r="P10299" s="148">
        <f>M10299/1.1</f>
        <v/>
      </c>
      <c r="Q10299" s="94">
        <f>F10299&amp;E10299&amp;G10299&amp;L10299</f>
        <v/>
      </c>
    </row>
    <row r="10300" customFormat="1" s="94">
      <c r="B10300" s="128" t="n">
        <v>44127</v>
      </c>
      <c r="C10300" s="94">
        <f>TEXT(B10300,"aaa")</f>
        <v/>
      </c>
      <c r="E10300" s="94" t="inlineStr">
        <is>
          <t>어성초진정패키지</t>
        </is>
      </c>
      <c r="F10300" s="5" t="inlineStr">
        <is>
          <t>카페24</t>
        </is>
      </c>
      <c r="G10300" s="94" t="inlineStr">
        <is>
          <t>어성초 진정패키지세트</t>
        </is>
      </c>
      <c r="H10300" s="94" t="n">
        <v>200801</v>
      </c>
      <c r="I10300" s="94" t="n">
        <v>200801</v>
      </c>
      <c r="K10300" s="94" t="n">
        <v>1</v>
      </c>
      <c r="L10300" s="94" t="n">
        <v>200801</v>
      </c>
      <c r="M10300" s="94">
        <f>VLOOKUP($Q10300,매칭테이블!$F:$I,2,0)*K10300</f>
        <v/>
      </c>
      <c r="N10300" s="94">
        <f>M10300-M10300*VLOOKUP($Q10300,매칭테이블!$F:$I,3,0)</f>
        <v/>
      </c>
      <c r="O10300" s="94">
        <f>VLOOKUP($Q10300,매칭테이블!$F:$I,4,0)*K10300</f>
        <v/>
      </c>
      <c r="P10300" s="148">
        <f>M10300/1.1</f>
        <v/>
      </c>
      <c r="Q10300" s="94">
        <f>F10300&amp;E10300&amp;G10300&amp;L10300</f>
        <v/>
      </c>
    </row>
    <row r="10301" customFormat="1" s="94">
      <c r="B10301" s="128" t="n">
        <v>44127</v>
      </c>
      <c r="C10301" s="94">
        <f>TEXT(B10301,"aaa")</f>
        <v/>
      </c>
      <c r="E10301" s="94" t="inlineStr">
        <is>
          <t>클리어 패드</t>
        </is>
      </c>
      <c r="F10301" s="5" t="inlineStr">
        <is>
          <t>카페24</t>
        </is>
      </c>
      <c r="G10301" s="94" t="inlineStr">
        <is>
          <t>어성초 77 클리어 패드 1개-20% off</t>
        </is>
      </c>
      <c r="H10301" s="94" t="n">
        <v>200801</v>
      </c>
      <c r="I10301" s="94" t="n">
        <v>200801</v>
      </c>
      <c r="K10301" s="94" t="n">
        <v>11</v>
      </c>
      <c r="L10301" s="94" t="n">
        <v>200801</v>
      </c>
      <c r="M10301" s="94">
        <f>VLOOKUP($Q10301,매칭테이블!$F:$I,2,0)*K10301</f>
        <v/>
      </c>
      <c r="N10301" s="94">
        <f>M10301-M10301*VLOOKUP($Q10301,매칭테이블!$F:$I,3,0)</f>
        <v/>
      </c>
      <c r="O10301" s="94">
        <f>VLOOKUP($Q10301,매칭테이블!$F:$I,4,0)*K10301</f>
        <v/>
      </c>
      <c r="P10301" s="148">
        <f>M10301/1.1</f>
        <v/>
      </c>
      <c r="Q10301" s="94">
        <f>F10301&amp;E10301&amp;G10301&amp;L10301</f>
        <v/>
      </c>
    </row>
    <row r="10302" customFormat="1" s="94">
      <c r="B10302" s="128" t="n">
        <v>44127</v>
      </c>
      <c r="C10302" s="94">
        <f>TEXT(B10302,"aaa")</f>
        <v/>
      </c>
      <c r="E10302" s="94" t="inlineStr">
        <is>
          <t>클리어 패드</t>
        </is>
      </c>
      <c r="F10302" s="5" t="inlineStr">
        <is>
          <t>카페24</t>
        </is>
      </c>
      <c r="G10302" s="94" t="inlineStr">
        <is>
          <t>어성초 77 클리어 패드 2개-30% off</t>
        </is>
      </c>
      <c r="H10302" s="94" t="n">
        <v>200801</v>
      </c>
      <c r="I10302" s="94" t="n">
        <v>200801</v>
      </c>
      <c r="K10302" s="94" t="n">
        <v>8</v>
      </c>
      <c r="L10302" s="94" t="n">
        <v>200801</v>
      </c>
      <c r="M10302" s="94">
        <f>VLOOKUP($Q10302,매칭테이블!$F:$I,2,0)*K10302</f>
        <v/>
      </c>
      <c r="N10302" s="94">
        <f>M10302-M10302*VLOOKUP($Q10302,매칭테이블!$F:$I,3,0)</f>
        <v/>
      </c>
      <c r="O10302" s="94">
        <f>VLOOKUP($Q10302,매칭테이블!$F:$I,4,0)*K10302</f>
        <v/>
      </c>
      <c r="P10302" s="148">
        <f>M10302/1.1</f>
        <v/>
      </c>
      <c r="Q10302" s="94">
        <f>F10302&amp;E10302&amp;G10302&amp;L10302</f>
        <v/>
      </c>
    </row>
    <row r="10303" customFormat="1" s="94">
      <c r="B10303" s="128" t="n">
        <v>44127</v>
      </c>
      <c r="C10303" s="94">
        <f>TEXT(B10303,"aaa")</f>
        <v/>
      </c>
      <c r="E10303" s="94" t="inlineStr">
        <is>
          <t>토너+패드 세트</t>
        </is>
      </c>
      <c r="F10303" s="5" t="inlineStr">
        <is>
          <t>카페24</t>
        </is>
      </c>
      <c r="G10303" s="94" t="inlineStr">
        <is>
          <t>좁쌀 진정 세트 토너+클리어 패드-30% off</t>
        </is>
      </c>
      <c r="H10303" s="94" t="n">
        <v>200801</v>
      </c>
      <c r="I10303" s="94" t="n">
        <v>200801</v>
      </c>
      <c r="K10303" s="94" t="n">
        <v>5</v>
      </c>
      <c r="L10303" s="94" t="n">
        <v>200801</v>
      </c>
      <c r="M10303" s="94">
        <f>VLOOKUP($Q10303,매칭테이블!$F:$I,2,0)*K10303</f>
        <v/>
      </c>
      <c r="N10303" s="94">
        <f>M10303-M10303*VLOOKUP($Q10303,매칭테이블!$F:$I,3,0)</f>
        <v/>
      </c>
      <c r="O10303" s="94">
        <f>VLOOKUP($Q10303,매칭테이블!$F:$I,4,0)*K10303</f>
        <v/>
      </c>
      <c r="P10303" s="148">
        <f>M10303/1.1</f>
        <v/>
      </c>
      <c r="Q10303" s="94">
        <f>F10303&amp;E10303&amp;G10303&amp;L10303</f>
        <v/>
      </c>
    </row>
    <row r="10304" customFormat="1" s="94">
      <c r="B10304" s="128" t="n">
        <v>44127</v>
      </c>
      <c r="C10304" s="94">
        <f>TEXT(B10304,"aaa")</f>
        <v/>
      </c>
      <c r="E10304" s="94" t="inlineStr">
        <is>
          <t>머드크림마스크</t>
        </is>
      </c>
      <c r="F10304" s="5" t="inlineStr">
        <is>
          <t>카페24</t>
        </is>
      </c>
      <c r="G10304" s="94" t="inlineStr">
        <is>
          <t>머드크림마스크 100ml</t>
        </is>
      </c>
      <c r="H10304" s="94" t="n">
        <v>200801</v>
      </c>
      <c r="I10304" s="94" t="n">
        <v>200801</v>
      </c>
      <c r="K10304" s="94" t="n">
        <v>12</v>
      </c>
      <c r="L10304" s="94" t="n">
        <v>200801</v>
      </c>
      <c r="M10304" s="94">
        <f>VLOOKUP($Q10304,매칭테이블!$F:$I,2,0)*K10304</f>
        <v/>
      </c>
      <c r="N10304" s="94">
        <f>M10304-M10304*VLOOKUP($Q10304,매칭테이블!$F:$I,3,0)</f>
        <v/>
      </c>
      <c r="O10304" s="94">
        <f>VLOOKUP($Q10304,매칭테이블!$F:$I,4,0)*K10304</f>
        <v/>
      </c>
      <c r="P10304" s="148">
        <f>M10304/1.1</f>
        <v/>
      </c>
      <c r="Q10304" s="94">
        <f>F10304&amp;E10304&amp;G10304&amp;L10304</f>
        <v/>
      </c>
    </row>
    <row r="10305" customFormat="1" s="94">
      <c r="B10305" s="128" t="n">
        <v>44127</v>
      </c>
      <c r="C10305" s="94">
        <f>TEXT(B10305,"aaa")</f>
        <v/>
      </c>
      <c r="E10305" s="94" t="inlineStr">
        <is>
          <t>머드크림마스크</t>
        </is>
      </c>
      <c r="F10305" s="5" t="inlineStr">
        <is>
          <t>카페24</t>
        </is>
      </c>
      <c r="G10305" s="94" t="inlineStr">
        <is>
          <t>머드크림마스크 100ml 2set</t>
        </is>
      </c>
      <c r="H10305" s="94" t="n">
        <v>200801</v>
      </c>
      <c r="I10305" s="94" t="n">
        <v>200801</v>
      </c>
      <c r="K10305" s="94" t="n">
        <v>3</v>
      </c>
      <c r="L10305" s="94" t="n">
        <v>200801</v>
      </c>
      <c r="M10305" s="94">
        <f>VLOOKUP($Q10305,매칭테이블!$F:$I,2,0)*K10305</f>
        <v/>
      </c>
      <c r="N10305" s="94">
        <f>M10305-M10305*VLOOKUP($Q10305,매칭테이블!$F:$I,3,0)</f>
        <v/>
      </c>
      <c r="O10305" s="94">
        <f>VLOOKUP($Q10305,매칭테이블!$F:$I,4,0)*K10305</f>
        <v/>
      </c>
      <c r="P10305" s="148">
        <f>M10305/1.1</f>
        <v/>
      </c>
      <c r="Q10305" s="94">
        <f>F10305&amp;E10305&amp;G10305&amp;L10305</f>
        <v/>
      </c>
    </row>
    <row r="10306" customFormat="1" s="94">
      <c r="B10306" s="128" t="n">
        <v>44127</v>
      </c>
      <c r="C10306" s="94">
        <f>TEXT(B10306,"aaa")</f>
        <v/>
      </c>
      <c r="E10306" s="94" t="inlineStr">
        <is>
          <t>마스크팩</t>
        </is>
      </c>
      <c r="F10306" s="5" t="inlineStr">
        <is>
          <t>카페24</t>
        </is>
      </c>
      <c r="G10306" s="94" t="inlineStr">
        <is>
          <t>마스크팩 10매</t>
        </is>
      </c>
      <c r="H10306" s="94" t="n">
        <v>200801</v>
      </c>
      <c r="I10306" s="94" t="n">
        <v>200801</v>
      </c>
      <c r="K10306" s="94" t="n">
        <v>3</v>
      </c>
      <c r="L10306" s="94" t="n">
        <v>200801</v>
      </c>
      <c r="M10306" s="94">
        <f>VLOOKUP($Q10306,매칭테이블!$F:$I,2,0)*K10306</f>
        <v/>
      </c>
      <c r="N10306" s="94">
        <f>M10306-M10306*VLOOKUP($Q10306,매칭테이블!$F:$I,3,0)</f>
        <v/>
      </c>
      <c r="O10306" s="94">
        <f>VLOOKUP($Q10306,매칭테이블!$F:$I,4,0)*K10306</f>
        <v/>
      </c>
      <c r="P10306" s="148">
        <f>M10306/1.1</f>
        <v/>
      </c>
      <c r="Q10306" s="94">
        <f>F10306&amp;E10306&amp;G10306&amp;L10306</f>
        <v/>
      </c>
    </row>
    <row r="10307" customFormat="1" s="94">
      <c r="B10307" s="128" t="n">
        <v>44127</v>
      </c>
      <c r="C10307" s="94">
        <f>TEXT(B10307,"aaa")</f>
        <v/>
      </c>
      <c r="E10307" s="94" t="inlineStr">
        <is>
          <t>토너</t>
        </is>
      </c>
      <c r="F10307" s="5" t="inlineStr">
        <is>
          <t>카페24</t>
        </is>
      </c>
      <c r="G10307" s="94" t="inlineStr">
        <is>
          <t>250ml</t>
        </is>
      </c>
      <c r="H10307" s="94" t="n">
        <v>200801</v>
      </c>
      <c r="I10307" s="94" t="n">
        <v>200801</v>
      </c>
      <c r="K10307" s="94" t="n">
        <v>20</v>
      </c>
      <c r="L10307" s="94" t="n">
        <v>200801</v>
      </c>
      <c r="M10307" s="94">
        <f>VLOOKUP($Q10307,매칭테이블!$F:$I,2,0)*K10307</f>
        <v/>
      </c>
      <c r="N10307" s="94">
        <f>M10307-M10307*VLOOKUP($Q10307,매칭테이블!$F:$I,3,0)</f>
        <v/>
      </c>
      <c r="O10307" s="94">
        <f>VLOOKUP($Q10307,매칭테이블!$F:$I,4,0)*K10307</f>
        <v/>
      </c>
      <c r="P10307" s="148">
        <f>M10307/1.1</f>
        <v/>
      </c>
      <c r="Q10307" s="94">
        <f>F10307&amp;E10307&amp;G10307&amp;L10307</f>
        <v/>
      </c>
    </row>
    <row r="10308" customFormat="1" s="94">
      <c r="B10308" s="128" t="n">
        <v>44127</v>
      </c>
      <c r="C10308" s="94">
        <f>TEXT(B10308,"aaa")</f>
        <v/>
      </c>
      <c r="E10308" s="94" t="inlineStr">
        <is>
          <t>토너</t>
        </is>
      </c>
      <c r="F10308" s="5" t="inlineStr">
        <is>
          <t>카페24</t>
        </is>
      </c>
      <c r="G10308" s="94" t="inlineStr">
        <is>
          <t>250ml 2set</t>
        </is>
      </c>
      <c r="H10308" s="94" t="n">
        <v>200801</v>
      </c>
      <c r="I10308" s="94" t="n">
        <v>200801</v>
      </c>
      <c r="K10308" s="94" t="n">
        <v>31</v>
      </c>
      <c r="L10308" s="94" t="n">
        <v>200801</v>
      </c>
      <c r="M10308" s="94">
        <f>VLOOKUP($Q10308,매칭테이블!$F:$I,2,0)*K10308</f>
        <v/>
      </c>
      <c r="N10308" s="94">
        <f>M10308-M10308*VLOOKUP($Q10308,매칭테이블!$F:$I,3,0)</f>
        <v/>
      </c>
      <c r="O10308" s="94">
        <f>VLOOKUP($Q10308,매칭테이블!$F:$I,4,0)*K10308</f>
        <v/>
      </c>
      <c r="P10308" s="148">
        <f>M10308/1.1</f>
        <v/>
      </c>
      <c r="Q10308" s="94">
        <f>F10308&amp;E10308&amp;G10308&amp;L10308</f>
        <v/>
      </c>
    </row>
    <row r="10309" customFormat="1" s="94">
      <c r="B10309" s="128" t="n">
        <v>44127</v>
      </c>
      <c r="C10309" s="94">
        <f>TEXT(B10309,"aaa")</f>
        <v/>
      </c>
      <c r="E10309" s="94" t="inlineStr">
        <is>
          <t>토너</t>
        </is>
      </c>
      <c r="F10309" s="5" t="inlineStr">
        <is>
          <t>카페24</t>
        </is>
      </c>
      <c r="G10309" s="94" t="inlineStr">
        <is>
          <t>500ml</t>
        </is>
      </c>
      <c r="H10309" s="94" t="n">
        <v>200801</v>
      </c>
      <c r="I10309" s="94" t="n">
        <v>200801</v>
      </c>
      <c r="K10309" s="94" t="n">
        <v>37</v>
      </c>
      <c r="L10309" s="94" t="n">
        <v>200801</v>
      </c>
      <c r="M10309" s="94">
        <f>VLOOKUP($Q10309,매칭테이블!$F:$I,2,0)*K10309</f>
        <v/>
      </c>
      <c r="N10309" s="94">
        <f>M10309-M10309*VLOOKUP($Q10309,매칭테이블!$F:$I,3,0)</f>
        <v/>
      </c>
      <c r="O10309" s="94">
        <f>VLOOKUP($Q10309,매칭테이블!$F:$I,4,0)*K10309</f>
        <v/>
      </c>
      <c r="P10309" s="148">
        <f>M10309/1.1</f>
        <v/>
      </c>
      <c r="Q10309" s="94">
        <f>F10309&amp;E10309&amp;G10309&amp;L10309</f>
        <v/>
      </c>
    </row>
    <row r="10310" customFormat="1" s="94">
      <c r="B10310" s="128" t="n">
        <v>44127</v>
      </c>
      <c r="C10310" s="94">
        <f>TEXT(B10310,"aaa")</f>
        <v/>
      </c>
      <c r="E10310" s="94" t="inlineStr">
        <is>
          <t>토너</t>
        </is>
      </c>
      <c r="F10310" s="5" t="inlineStr">
        <is>
          <t>카페24</t>
        </is>
      </c>
      <c r="G10310" s="94" t="inlineStr">
        <is>
          <t>스킨팩 화장솜 60P</t>
        </is>
      </c>
      <c r="H10310" s="94" t="n">
        <v>200801</v>
      </c>
      <c r="I10310" s="94" t="n">
        <v>200801</v>
      </c>
      <c r="K10310" s="94" t="n">
        <v>12</v>
      </c>
      <c r="L10310" s="94" t="n">
        <v>200801</v>
      </c>
      <c r="M10310" s="94">
        <f>VLOOKUP($Q10310,매칭테이블!$F:$I,2,0)*K10310</f>
        <v/>
      </c>
      <c r="N10310" s="94">
        <f>M10310-M10310*VLOOKUP($Q10310,매칭테이블!$F:$I,3,0)</f>
        <v/>
      </c>
      <c r="O10310" s="94">
        <f>VLOOKUP($Q10310,매칭테이블!$F:$I,4,0)*K10310</f>
        <v/>
      </c>
      <c r="P10310" s="148">
        <f>M10310/1.1</f>
        <v/>
      </c>
      <c r="Q10310" s="94">
        <f>F10310&amp;E10310&amp;G10310&amp;L10310</f>
        <v/>
      </c>
    </row>
    <row r="10311" customFormat="1" s="94">
      <c r="B10311" s="128" t="n">
        <v>44127</v>
      </c>
      <c r="C10311" s="94">
        <f>TEXT(B10311,"aaa")</f>
        <v/>
      </c>
      <c r="E10311" s="94" t="inlineStr">
        <is>
          <t>앰플</t>
        </is>
      </c>
      <c r="F10311" s="5" t="inlineStr">
        <is>
          <t>카페24</t>
        </is>
      </c>
      <c r="G10311" s="94" t="inlineStr">
        <is>
          <t>앰플 30ml</t>
        </is>
      </c>
      <c r="H10311" s="94" t="n">
        <v>200801</v>
      </c>
      <c r="I10311" s="94" t="n">
        <v>200801</v>
      </c>
      <c r="K10311" s="94" t="n">
        <v>6</v>
      </c>
      <c r="L10311" s="94" t="n">
        <v>200801</v>
      </c>
      <c r="M10311" s="94">
        <f>VLOOKUP($Q10311,매칭테이블!$F:$I,2,0)*K10311</f>
        <v/>
      </c>
      <c r="N10311" s="94">
        <f>M10311-M10311*VLOOKUP($Q10311,매칭테이블!$F:$I,3,0)</f>
        <v/>
      </c>
      <c r="O10311" s="94">
        <f>VLOOKUP($Q10311,매칭테이블!$F:$I,4,0)*K10311</f>
        <v/>
      </c>
      <c r="P10311" s="148">
        <f>M10311/1.1</f>
        <v/>
      </c>
      <c r="Q10311" s="94">
        <f>F10311&amp;E10311&amp;G10311&amp;L10311</f>
        <v/>
      </c>
    </row>
    <row r="10312" customFormat="1" s="94">
      <c r="B10312" s="128" t="n">
        <v>44127</v>
      </c>
      <c r="C10312" s="94">
        <f>TEXT(B10312,"aaa")</f>
        <v/>
      </c>
      <c r="E10312" s="94" t="inlineStr">
        <is>
          <t>앰플</t>
        </is>
      </c>
      <c r="F10312" s="5" t="inlineStr">
        <is>
          <t>카페24</t>
        </is>
      </c>
      <c r="G10312" s="94" t="inlineStr">
        <is>
          <t>앰플 30ml  2set</t>
        </is>
      </c>
      <c r="H10312" s="94" t="n">
        <v>200801</v>
      </c>
      <c r="I10312" s="94" t="n">
        <v>200801</v>
      </c>
      <c r="K10312" s="94" t="n">
        <v>3</v>
      </c>
      <c r="L10312" s="94" t="n">
        <v>200801</v>
      </c>
      <c r="M10312" s="94">
        <f>VLOOKUP($Q10312,매칭테이블!$F:$I,2,0)*K10312</f>
        <v/>
      </c>
      <c r="N10312" s="94">
        <f>M10312-M10312*VLOOKUP($Q10312,매칭테이블!$F:$I,3,0)</f>
        <v/>
      </c>
      <c r="O10312" s="94">
        <f>VLOOKUP($Q10312,매칭테이블!$F:$I,4,0)*K10312</f>
        <v/>
      </c>
      <c r="P10312" s="148">
        <f>M10312/1.1</f>
        <v/>
      </c>
      <c r="Q10312" s="94">
        <f>F10312&amp;E10312&amp;G10312&amp;L10312</f>
        <v/>
      </c>
    </row>
    <row r="10313" customFormat="1" s="94">
      <c r="B10313" s="128" t="n">
        <v>44127</v>
      </c>
      <c r="C10313" s="94">
        <f>TEXT(B10313,"aaa")</f>
        <v/>
      </c>
      <c r="E10313" s="94" t="inlineStr">
        <is>
          <t>수딩크림</t>
        </is>
      </c>
      <c r="F10313" s="5" t="inlineStr">
        <is>
          <t>카페24</t>
        </is>
      </c>
      <c r="G10313" s="94" t="inlineStr">
        <is>
          <t>수딩크림 100ml</t>
        </is>
      </c>
      <c r="H10313" s="94" t="n">
        <v>200801</v>
      </c>
      <c r="I10313" s="94" t="n">
        <v>200801</v>
      </c>
      <c r="K10313" s="94" t="n">
        <v>5</v>
      </c>
      <c r="L10313" s="94" t="n">
        <v>200801</v>
      </c>
      <c r="M10313" s="94">
        <f>VLOOKUP($Q10313,매칭테이블!$F:$I,2,0)*K10313</f>
        <v/>
      </c>
      <c r="N10313" s="94">
        <f>M10313-M10313*VLOOKUP($Q10313,매칭테이블!$F:$I,3,0)</f>
        <v/>
      </c>
      <c r="O10313" s="94">
        <f>VLOOKUP($Q10313,매칭테이블!$F:$I,4,0)*K10313</f>
        <v/>
      </c>
      <c r="P10313" s="148">
        <f>M10313/1.1</f>
        <v/>
      </c>
      <c r="Q10313" s="94">
        <f>F10313&amp;E10313&amp;G10313&amp;L10313</f>
        <v/>
      </c>
    </row>
    <row r="10314" customFormat="1" s="94">
      <c r="B10314" s="128" t="n">
        <v>44127</v>
      </c>
      <c r="C10314" s="94">
        <f>TEXT(B10314,"aaa")</f>
        <v/>
      </c>
      <c r="E10314" s="94" t="inlineStr">
        <is>
          <t>클렌징폼</t>
        </is>
      </c>
      <c r="F10314" s="5" t="inlineStr">
        <is>
          <t>카페24</t>
        </is>
      </c>
      <c r="G10314" s="94" t="inlineStr">
        <is>
          <t>클렌징폼 120ml</t>
        </is>
      </c>
      <c r="H10314" s="94" t="n">
        <v>200801</v>
      </c>
      <c r="I10314" s="94" t="n">
        <v>200801</v>
      </c>
      <c r="K10314" s="94" t="n">
        <v>3</v>
      </c>
      <c r="L10314" s="94" t="n">
        <v>200801</v>
      </c>
      <c r="M10314" s="94">
        <f>VLOOKUP($Q10314,매칭테이블!$F:$I,2,0)*K10314</f>
        <v/>
      </c>
      <c r="N10314" s="94">
        <f>M10314-M10314*VLOOKUP($Q10314,매칭테이블!$F:$I,3,0)</f>
        <v/>
      </c>
      <c r="O10314" s="94">
        <f>VLOOKUP($Q10314,매칭테이블!$F:$I,4,0)*K10314</f>
        <v/>
      </c>
      <c r="P10314" s="148">
        <f>M10314/1.1</f>
        <v/>
      </c>
      <c r="Q10314" s="94">
        <f>F10314&amp;E10314&amp;G10314&amp;L10314</f>
        <v/>
      </c>
    </row>
    <row r="10315" customFormat="1" s="94">
      <c r="B10315" s="128" t="n">
        <v>44127</v>
      </c>
      <c r="C10315" s="94">
        <f>TEXT(B10315,"aaa")</f>
        <v/>
      </c>
      <c r="E10315" s="94" t="inlineStr">
        <is>
          <t>머드크림마스크</t>
        </is>
      </c>
      <c r="F10315" s="5" t="inlineStr">
        <is>
          <t>화해</t>
        </is>
      </c>
      <c r="G10315" s="94" t="inlineStr">
        <is>
          <t>머드크림마스크 100ml</t>
        </is>
      </c>
      <c r="H10315" s="94" t="n">
        <v>200801</v>
      </c>
      <c r="I10315" s="94" t="n">
        <v>200801</v>
      </c>
      <c r="K10315" s="94" t="n">
        <v>1</v>
      </c>
      <c r="L10315" s="94" t="n">
        <v>200801</v>
      </c>
      <c r="M10315" s="94">
        <f>VLOOKUP($Q10315,매칭테이블!$F:$I,2,0)*K10315</f>
        <v/>
      </c>
      <c r="N10315" s="94">
        <f>M10315-M10315*VLOOKUP($Q10315,매칭테이블!$F:$I,3,0)</f>
        <v/>
      </c>
      <c r="O10315" s="94">
        <f>VLOOKUP($Q10315,매칭테이블!$F:$I,4,0)*K10315</f>
        <v/>
      </c>
      <c r="P10315" s="148">
        <f>M10315/1.1</f>
        <v/>
      </c>
      <c r="Q10315" s="94">
        <f>F10315&amp;E10315&amp;G10315&amp;L10315</f>
        <v/>
      </c>
    </row>
    <row r="10316" customFormat="1" s="94">
      <c r="B10316" s="128" t="n">
        <v>44128</v>
      </c>
      <c r="C10316" s="94">
        <f>TEXT(B10316,"aaa")</f>
        <v/>
      </c>
      <c r="E10316" s="94" t="inlineStr">
        <is>
          <t>토너</t>
        </is>
      </c>
      <c r="F10316" s="5" t="inlineStr">
        <is>
          <t>스타일쉐어</t>
        </is>
      </c>
      <c r="G10316" s="94" t="inlineStr">
        <is>
          <t>250ml</t>
        </is>
      </c>
      <c r="H10316" s="94" t="n">
        <v>200801</v>
      </c>
      <c r="I10316" s="94" t="n">
        <v>200801</v>
      </c>
      <c r="K10316" s="94" t="n">
        <v>6</v>
      </c>
      <c r="L10316" s="94" t="n">
        <v>200801</v>
      </c>
      <c r="M10316" s="94">
        <f>VLOOKUP($Q10316,매칭테이블!$F:$I,2,0)*K10316</f>
        <v/>
      </c>
      <c r="N10316" s="94">
        <f>M10316-M10316*VLOOKUP($Q10316,매칭테이블!$F:$I,3,0)</f>
        <v/>
      </c>
      <c r="O10316" s="94">
        <f>VLOOKUP($Q10316,매칭테이블!$F:$I,4,0)*K10316</f>
        <v/>
      </c>
      <c r="P10316" s="148">
        <f>M10316/1.1</f>
        <v/>
      </c>
      <c r="Q10316" s="94">
        <f>F10316&amp;E10316&amp;G10316&amp;L10316</f>
        <v/>
      </c>
    </row>
    <row r="10317" customFormat="1" s="94">
      <c r="B10317" s="128" t="n">
        <v>44128</v>
      </c>
      <c r="C10317" s="94">
        <f>TEXT(B10317,"aaa")</f>
        <v/>
      </c>
      <c r="E10317" s="94" t="inlineStr">
        <is>
          <t>선크림</t>
        </is>
      </c>
      <c r="F10317" s="5" t="inlineStr">
        <is>
          <t>카페24</t>
        </is>
      </c>
      <c r="G10317" s="94" t="inlineStr">
        <is>
          <t>선크림 50ml</t>
        </is>
      </c>
      <c r="H10317" s="94" t="n">
        <v>200801</v>
      </c>
      <c r="I10317" s="94" t="n">
        <v>200801</v>
      </c>
      <c r="K10317" s="94" t="n">
        <v>1</v>
      </c>
      <c r="L10317" s="94" t="n">
        <v>200801</v>
      </c>
      <c r="M10317" s="94">
        <f>VLOOKUP($Q10317,매칭테이블!$F:$I,2,0)*K10317</f>
        <v/>
      </c>
      <c r="N10317" s="94">
        <f>M10317-M10317*VLOOKUP($Q10317,매칭테이블!$F:$I,3,0)</f>
        <v/>
      </c>
      <c r="O10317" s="94">
        <f>VLOOKUP($Q10317,매칭테이블!$F:$I,4,0)*K10317</f>
        <v/>
      </c>
      <c r="P10317" s="148">
        <f>M10317/1.1</f>
        <v/>
      </c>
      <c r="Q10317" s="94">
        <f>F10317&amp;E10317&amp;G10317&amp;L10317</f>
        <v/>
      </c>
    </row>
    <row r="10318" customFormat="1" s="94">
      <c r="B10318" s="128" t="n">
        <v>44128</v>
      </c>
      <c r="C10318" s="94">
        <f>TEXT(B10318,"aaa")</f>
        <v/>
      </c>
      <c r="E10318" s="94" t="inlineStr">
        <is>
          <t>어성초진정패키지</t>
        </is>
      </c>
      <c r="F10318" s="5" t="inlineStr">
        <is>
          <t>카페24</t>
        </is>
      </c>
      <c r="G10318" s="94" t="inlineStr">
        <is>
          <t>어성초 진정패키지세트</t>
        </is>
      </c>
      <c r="H10318" s="94" t="n">
        <v>200801</v>
      </c>
      <c r="I10318" s="94" t="n">
        <v>200801</v>
      </c>
      <c r="K10318" s="94" t="n">
        <v>3</v>
      </c>
      <c r="L10318" s="94" t="n">
        <v>200801</v>
      </c>
      <c r="M10318" s="94">
        <f>VLOOKUP($Q10318,매칭테이블!$F:$I,2,0)*K10318</f>
        <v/>
      </c>
      <c r="N10318" s="94">
        <f>M10318-M10318*VLOOKUP($Q10318,매칭테이블!$F:$I,3,0)</f>
        <v/>
      </c>
      <c r="O10318" s="94">
        <f>VLOOKUP($Q10318,매칭테이블!$F:$I,4,0)*K10318</f>
        <v/>
      </c>
      <c r="P10318" s="148">
        <f>M10318/1.1</f>
        <v/>
      </c>
      <c r="Q10318" s="94">
        <f>F10318&amp;E10318&amp;G10318&amp;L10318</f>
        <v/>
      </c>
    </row>
    <row r="10319" customFormat="1" s="94">
      <c r="B10319" s="128" t="n">
        <v>44128</v>
      </c>
      <c r="C10319" s="94">
        <f>TEXT(B10319,"aaa")</f>
        <v/>
      </c>
      <c r="E10319" s="94" t="inlineStr">
        <is>
          <t>클리어 패드</t>
        </is>
      </c>
      <c r="F10319" s="5" t="inlineStr">
        <is>
          <t>카페24</t>
        </is>
      </c>
      <c r="G10319" s="94" t="inlineStr">
        <is>
          <t>어성초 77 클리어 패드 1개-20% off</t>
        </is>
      </c>
      <c r="H10319" s="94" t="n">
        <v>200801</v>
      </c>
      <c r="I10319" s="94" t="n">
        <v>200801</v>
      </c>
      <c r="K10319" s="94" t="n">
        <v>26</v>
      </c>
      <c r="L10319" s="94" t="n">
        <v>200801</v>
      </c>
      <c r="M10319" s="94">
        <f>VLOOKUP($Q10319,매칭테이블!$F:$I,2,0)*K10319</f>
        <v/>
      </c>
      <c r="N10319" s="94">
        <f>M10319-M10319*VLOOKUP($Q10319,매칭테이블!$F:$I,3,0)</f>
        <v/>
      </c>
      <c r="O10319" s="94">
        <f>VLOOKUP($Q10319,매칭테이블!$F:$I,4,0)*K10319</f>
        <v/>
      </c>
      <c r="P10319" s="148">
        <f>M10319/1.1</f>
        <v/>
      </c>
      <c r="Q10319" s="94">
        <f>F10319&amp;E10319&amp;G10319&amp;L10319</f>
        <v/>
      </c>
    </row>
    <row r="10320" customFormat="1" s="94">
      <c r="B10320" s="128" t="n">
        <v>44128</v>
      </c>
      <c r="C10320" s="94">
        <f>TEXT(B10320,"aaa")</f>
        <v/>
      </c>
      <c r="E10320" s="94" t="inlineStr">
        <is>
          <t>클리어 패드</t>
        </is>
      </c>
      <c r="F10320" s="5" t="inlineStr">
        <is>
          <t>카페24</t>
        </is>
      </c>
      <c r="G10320" s="94" t="inlineStr">
        <is>
          <t>어성초 77 클리어 패드 2개-30% off</t>
        </is>
      </c>
      <c r="H10320" s="94" t="n">
        <v>200801</v>
      </c>
      <c r="I10320" s="94" t="n">
        <v>200801</v>
      </c>
      <c r="K10320" s="94" t="n">
        <v>18</v>
      </c>
      <c r="L10320" s="94" t="n">
        <v>200801</v>
      </c>
      <c r="M10320" s="94">
        <f>VLOOKUP($Q10320,매칭테이블!$F:$I,2,0)*K10320</f>
        <v/>
      </c>
      <c r="N10320" s="94">
        <f>M10320-M10320*VLOOKUP($Q10320,매칭테이블!$F:$I,3,0)</f>
        <v/>
      </c>
      <c r="O10320" s="94">
        <f>VLOOKUP($Q10320,매칭테이블!$F:$I,4,0)*K10320</f>
        <v/>
      </c>
      <c r="P10320" s="148">
        <f>M10320/1.1</f>
        <v/>
      </c>
      <c r="Q10320" s="94">
        <f>F10320&amp;E10320&amp;G10320&amp;L10320</f>
        <v/>
      </c>
    </row>
    <row r="10321" customFormat="1" s="94">
      <c r="B10321" s="128" t="n">
        <v>44128</v>
      </c>
      <c r="C10321" s="94">
        <f>TEXT(B10321,"aaa")</f>
        <v/>
      </c>
      <c r="E10321" s="94" t="inlineStr">
        <is>
          <t>토너+패드 세트</t>
        </is>
      </c>
      <c r="F10321" s="5" t="inlineStr">
        <is>
          <t>카페24</t>
        </is>
      </c>
      <c r="G10321" s="94" t="inlineStr">
        <is>
          <t>좁쌀 진정 세트 토너+클리어 패드-30% off</t>
        </is>
      </c>
      <c r="H10321" s="94" t="n">
        <v>200801</v>
      </c>
      <c r="I10321" s="94" t="n">
        <v>200801</v>
      </c>
      <c r="K10321" s="94" t="n">
        <v>13</v>
      </c>
      <c r="L10321" s="94" t="n">
        <v>200801</v>
      </c>
      <c r="M10321" s="94">
        <f>VLOOKUP($Q10321,매칭테이블!$F:$I,2,0)*K10321</f>
        <v/>
      </c>
      <c r="N10321" s="94">
        <f>M10321-M10321*VLOOKUP($Q10321,매칭테이블!$F:$I,3,0)</f>
        <v/>
      </c>
      <c r="O10321" s="94">
        <f>VLOOKUP($Q10321,매칭테이블!$F:$I,4,0)*K10321</f>
        <v/>
      </c>
      <c r="P10321" s="148">
        <f>M10321/1.1</f>
        <v/>
      </c>
      <c r="Q10321" s="94">
        <f>F10321&amp;E10321&amp;G10321&amp;L10321</f>
        <v/>
      </c>
    </row>
    <row r="10322" customFormat="1" s="94">
      <c r="B10322" s="128" t="n">
        <v>44128</v>
      </c>
      <c r="C10322" s="94">
        <f>TEXT(B10322,"aaa")</f>
        <v/>
      </c>
      <c r="E10322" s="94" t="inlineStr">
        <is>
          <t>머드크림마스크</t>
        </is>
      </c>
      <c r="F10322" s="5" t="inlineStr">
        <is>
          <t>카페24</t>
        </is>
      </c>
      <c r="G10322" s="94" t="inlineStr">
        <is>
          <t>머드크림마스크 100ml</t>
        </is>
      </c>
      <c r="H10322" s="94" t="n">
        <v>200801</v>
      </c>
      <c r="I10322" s="94" t="n">
        <v>200801</v>
      </c>
      <c r="K10322" s="94" t="n">
        <v>12</v>
      </c>
      <c r="L10322" s="94" t="n">
        <v>200801</v>
      </c>
      <c r="M10322" s="94">
        <f>VLOOKUP($Q10322,매칭테이블!$F:$I,2,0)*K10322</f>
        <v/>
      </c>
      <c r="N10322" s="94">
        <f>M10322-M10322*VLOOKUP($Q10322,매칭테이블!$F:$I,3,0)</f>
        <v/>
      </c>
      <c r="O10322" s="94">
        <f>VLOOKUP($Q10322,매칭테이블!$F:$I,4,0)*K10322</f>
        <v/>
      </c>
      <c r="P10322" s="148">
        <f>M10322/1.1</f>
        <v/>
      </c>
      <c r="Q10322" s="94">
        <f>F10322&amp;E10322&amp;G10322&amp;L10322</f>
        <v/>
      </c>
    </row>
    <row r="10323" customFormat="1" s="94">
      <c r="B10323" s="128" t="n">
        <v>44128</v>
      </c>
      <c r="C10323" s="94">
        <f>TEXT(B10323,"aaa")</f>
        <v/>
      </c>
      <c r="E10323" s="94" t="inlineStr">
        <is>
          <t>머드크림마스크</t>
        </is>
      </c>
      <c r="F10323" s="5" t="inlineStr">
        <is>
          <t>카페24</t>
        </is>
      </c>
      <c r="G10323" s="94" t="inlineStr">
        <is>
          <t>머드크림마스크 100ml 2set</t>
        </is>
      </c>
      <c r="H10323" s="94" t="n">
        <v>200801</v>
      </c>
      <c r="I10323" s="94" t="n">
        <v>200801</v>
      </c>
      <c r="K10323" s="94" t="n">
        <v>5</v>
      </c>
      <c r="L10323" s="94" t="n">
        <v>200801</v>
      </c>
      <c r="M10323" s="94">
        <f>VLOOKUP($Q10323,매칭테이블!$F:$I,2,0)*K10323</f>
        <v/>
      </c>
      <c r="N10323" s="94">
        <f>M10323-M10323*VLOOKUP($Q10323,매칭테이블!$F:$I,3,0)</f>
        <v/>
      </c>
      <c r="O10323" s="94">
        <f>VLOOKUP($Q10323,매칭테이블!$F:$I,4,0)*K10323</f>
        <v/>
      </c>
      <c r="P10323" s="148">
        <f>M10323/1.1</f>
        <v/>
      </c>
      <c r="Q10323" s="94">
        <f>F10323&amp;E10323&amp;G10323&amp;L10323</f>
        <v/>
      </c>
    </row>
    <row r="10324" customFormat="1" s="94">
      <c r="B10324" s="128" t="n">
        <v>44128</v>
      </c>
      <c r="C10324" s="94">
        <f>TEXT(B10324,"aaa")</f>
        <v/>
      </c>
      <c r="E10324" s="94" t="inlineStr">
        <is>
          <t>마스크팩</t>
        </is>
      </c>
      <c r="F10324" s="5" t="inlineStr">
        <is>
          <t>카페24</t>
        </is>
      </c>
      <c r="G10324" s="94" t="inlineStr">
        <is>
          <t>마스크팩 1매</t>
        </is>
      </c>
      <c r="H10324" s="94" t="n">
        <v>200801</v>
      </c>
      <c r="I10324" s="94" t="n">
        <v>200801</v>
      </c>
      <c r="K10324" s="94" t="n">
        <v>5</v>
      </c>
      <c r="L10324" s="94" t="n">
        <v>200801</v>
      </c>
      <c r="M10324" s="94">
        <f>VLOOKUP($Q10324,매칭테이블!$F:$I,2,0)*K10324</f>
        <v/>
      </c>
      <c r="N10324" s="94">
        <f>M10324-M10324*VLOOKUP($Q10324,매칭테이블!$F:$I,3,0)</f>
        <v/>
      </c>
      <c r="O10324" s="94">
        <f>VLOOKUP($Q10324,매칭테이블!$F:$I,4,0)*K10324</f>
        <v/>
      </c>
      <c r="P10324" s="148">
        <f>M10324/1.1</f>
        <v/>
      </c>
      <c r="Q10324" s="94">
        <f>F10324&amp;E10324&amp;G10324&amp;L10324</f>
        <v/>
      </c>
    </row>
    <row r="10325" customFormat="1" s="94">
      <c r="B10325" s="128" t="n">
        <v>44128</v>
      </c>
      <c r="C10325" s="94">
        <f>TEXT(B10325,"aaa")</f>
        <v/>
      </c>
      <c r="E10325" s="94" t="inlineStr">
        <is>
          <t>마스크팩</t>
        </is>
      </c>
      <c r="F10325" s="5" t="inlineStr">
        <is>
          <t>카페24</t>
        </is>
      </c>
      <c r="G10325" s="94" t="inlineStr">
        <is>
          <t>마스크팩 10매</t>
        </is>
      </c>
      <c r="H10325" s="94" t="n">
        <v>200801</v>
      </c>
      <c r="I10325" s="94" t="n">
        <v>200801</v>
      </c>
      <c r="K10325" s="94" t="n">
        <v>6</v>
      </c>
      <c r="L10325" s="94" t="n">
        <v>200801</v>
      </c>
      <c r="M10325" s="94">
        <f>VLOOKUP($Q10325,매칭테이블!$F:$I,2,0)*K10325</f>
        <v/>
      </c>
      <c r="N10325" s="94">
        <f>M10325-M10325*VLOOKUP($Q10325,매칭테이블!$F:$I,3,0)</f>
        <v/>
      </c>
      <c r="O10325" s="94">
        <f>VLOOKUP($Q10325,매칭테이블!$F:$I,4,0)*K10325</f>
        <v/>
      </c>
      <c r="P10325" s="148">
        <f>M10325/1.1</f>
        <v/>
      </c>
      <c r="Q10325" s="94">
        <f>F10325&amp;E10325&amp;G10325&amp;L10325</f>
        <v/>
      </c>
    </row>
    <row r="10326" customFormat="1" s="94">
      <c r="B10326" s="128" t="n">
        <v>44128</v>
      </c>
      <c r="C10326" s="94">
        <f>TEXT(B10326,"aaa")</f>
        <v/>
      </c>
      <c r="E10326" s="94" t="inlineStr">
        <is>
          <t>토너</t>
        </is>
      </c>
      <c r="F10326" s="5" t="inlineStr">
        <is>
          <t>카페24</t>
        </is>
      </c>
      <c r="G10326" s="94" t="inlineStr">
        <is>
          <t>250ml</t>
        </is>
      </c>
      <c r="H10326" s="94" t="n">
        <v>200801</v>
      </c>
      <c r="I10326" s="94" t="n">
        <v>200801</v>
      </c>
      <c r="K10326" s="94" t="n">
        <v>13</v>
      </c>
      <c r="L10326" s="94" t="n">
        <v>200801</v>
      </c>
      <c r="M10326" s="94">
        <f>VLOOKUP($Q10326,매칭테이블!$F:$I,2,0)*K10326</f>
        <v/>
      </c>
      <c r="N10326" s="94">
        <f>M10326-M10326*VLOOKUP($Q10326,매칭테이블!$F:$I,3,0)</f>
        <v/>
      </c>
      <c r="O10326" s="94">
        <f>VLOOKUP($Q10326,매칭테이블!$F:$I,4,0)*K10326</f>
        <v/>
      </c>
      <c r="P10326" s="148">
        <f>M10326/1.1</f>
        <v/>
      </c>
      <c r="Q10326" s="94">
        <f>F10326&amp;E10326&amp;G10326&amp;L10326</f>
        <v/>
      </c>
    </row>
    <row r="10327" customFormat="1" s="94">
      <c r="B10327" s="128" t="n">
        <v>44128</v>
      </c>
      <c r="C10327" s="94">
        <f>TEXT(B10327,"aaa")</f>
        <v/>
      </c>
      <c r="E10327" s="94" t="inlineStr">
        <is>
          <t>토너</t>
        </is>
      </c>
      <c r="F10327" s="5" t="inlineStr">
        <is>
          <t>카페24</t>
        </is>
      </c>
      <c r="G10327" s="94" t="inlineStr">
        <is>
          <t>250ml 2set</t>
        </is>
      </c>
      <c r="H10327" s="94" t="n">
        <v>200801</v>
      </c>
      <c r="I10327" s="94" t="n">
        <v>200801</v>
      </c>
      <c r="K10327" s="94" t="n">
        <v>7</v>
      </c>
      <c r="L10327" s="94" t="n">
        <v>200801</v>
      </c>
      <c r="M10327" s="94">
        <f>VLOOKUP($Q10327,매칭테이블!$F:$I,2,0)*K10327</f>
        <v/>
      </c>
      <c r="N10327" s="94">
        <f>M10327-M10327*VLOOKUP($Q10327,매칭테이블!$F:$I,3,0)</f>
        <v/>
      </c>
      <c r="O10327" s="94">
        <f>VLOOKUP($Q10327,매칭테이블!$F:$I,4,0)*K10327</f>
        <v/>
      </c>
      <c r="P10327" s="148">
        <f>M10327/1.1</f>
        <v/>
      </c>
      <c r="Q10327" s="94">
        <f>F10327&amp;E10327&amp;G10327&amp;L10327</f>
        <v/>
      </c>
    </row>
    <row r="10328" customFormat="1" s="94">
      <c r="B10328" s="128" t="n">
        <v>44128</v>
      </c>
      <c r="C10328" s="94">
        <f>TEXT(B10328,"aaa")</f>
        <v/>
      </c>
      <c r="E10328" s="94" t="inlineStr">
        <is>
          <t>토너</t>
        </is>
      </c>
      <c r="F10328" s="5" t="inlineStr">
        <is>
          <t>카페24</t>
        </is>
      </c>
      <c r="G10328" s="94" t="inlineStr">
        <is>
          <t>500ml</t>
        </is>
      </c>
      <c r="H10328" s="94" t="n">
        <v>200801</v>
      </c>
      <c r="I10328" s="94" t="n">
        <v>200801</v>
      </c>
      <c r="K10328" s="94" t="n">
        <v>41</v>
      </c>
      <c r="L10328" s="94" t="n">
        <v>200801</v>
      </c>
      <c r="M10328" s="94">
        <f>VLOOKUP($Q10328,매칭테이블!$F:$I,2,0)*K10328</f>
        <v/>
      </c>
      <c r="N10328" s="94">
        <f>M10328-M10328*VLOOKUP($Q10328,매칭테이블!$F:$I,3,0)</f>
        <v/>
      </c>
      <c r="O10328" s="94">
        <f>VLOOKUP($Q10328,매칭테이블!$F:$I,4,0)*K10328</f>
        <v/>
      </c>
      <c r="P10328" s="148">
        <f>M10328/1.1</f>
        <v/>
      </c>
      <c r="Q10328" s="94">
        <f>F10328&amp;E10328&amp;G10328&amp;L10328</f>
        <v/>
      </c>
    </row>
    <row r="10329" customFormat="1" s="94">
      <c r="B10329" s="128" t="n">
        <v>44128</v>
      </c>
      <c r="C10329" s="94">
        <f>TEXT(B10329,"aaa")</f>
        <v/>
      </c>
      <c r="E10329" s="94" t="inlineStr">
        <is>
          <t>토너</t>
        </is>
      </c>
      <c r="F10329" s="5" t="inlineStr">
        <is>
          <t>카페24</t>
        </is>
      </c>
      <c r="G10329" s="94" t="inlineStr">
        <is>
          <t>스킨팩 화장솜 60P</t>
        </is>
      </c>
      <c r="H10329" s="94" t="n">
        <v>200801</v>
      </c>
      <c r="I10329" s="94" t="n">
        <v>200801</v>
      </c>
      <c r="K10329" s="94" t="n">
        <v>21</v>
      </c>
      <c r="L10329" s="94" t="n">
        <v>200801</v>
      </c>
      <c r="M10329" s="94">
        <f>VLOOKUP($Q10329,매칭테이블!$F:$I,2,0)*K10329</f>
        <v/>
      </c>
      <c r="N10329" s="94">
        <f>M10329-M10329*VLOOKUP($Q10329,매칭테이블!$F:$I,3,0)</f>
        <v/>
      </c>
      <c r="O10329" s="94">
        <f>VLOOKUP($Q10329,매칭테이블!$F:$I,4,0)*K10329</f>
        <v/>
      </c>
      <c r="P10329" s="148">
        <f>M10329/1.1</f>
        <v/>
      </c>
      <c r="Q10329" s="94">
        <f>F10329&amp;E10329&amp;G10329&amp;L10329</f>
        <v/>
      </c>
    </row>
    <row r="10330" customFormat="1" s="94">
      <c r="B10330" s="128" t="n">
        <v>44128</v>
      </c>
      <c r="C10330" s="94">
        <f>TEXT(B10330,"aaa")</f>
        <v/>
      </c>
      <c r="E10330" s="94" t="inlineStr">
        <is>
          <t>앰플</t>
        </is>
      </c>
      <c r="F10330" s="5" t="inlineStr">
        <is>
          <t>카페24</t>
        </is>
      </c>
      <c r="G10330" s="94" t="inlineStr">
        <is>
          <t>앰플 30ml</t>
        </is>
      </c>
      <c r="H10330" s="94" t="n">
        <v>200801</v>
      </c>
      <c r="I10330" s="94" t="n">
        <v>200801</v>
      </c>
      <c r="K10330" s="94" t="n">
        <v>17</v>
      </c>
      <c r="L10330" s="94" t="n">
        <v>200801</v>
      </c>
      <c r="M10330" s="94">
        <f>VLOOKUP($Q10330,매칭테이블!$F:$I,2,0)*K10330</f>
        <v/>
      </c>
      <c r="N10330" s="94">
        <f>M10330-M10330*VLOOKUP($Q10330,매칭테이블!$F:$I,3,0)</f>
        <v/>
      </c>
      <c r="O10330" s="94">
        <f>VLOOKUP($Q10330,매칭테이블!$F:$I,4,0)*K10330</f>
        <v/>
      </c>
      <c r="P10330" s="148">
        <f>M10330/1.1</f>
        <v/>
      </c>
      <c r="Q10330" s="94">
        <f>F10330&amp;E10330&amp;G10330&amp;L10330</f>
        <v/>
      </c>
    </row>
    <row r="10331" customFormat="1" s="94">
      <c r="B10331" s="128" t="n">
        <v>44128</v>
      </c>
      <c r="C10331" s="94">
        <f>TEXT(B10331,"aaa")</f>
        <v/>
      </c>
      <c r="E10331" s="94" t="inlineStr">
        <is>
          <t>앰플</t>
        </is>
      </c>
      <c r="F10331" s="5" t="inlineStr">
        <is>
          <t>카페24</t>
        </is>
      </c>
      <c r="G10331" s="94" t="inlineStr">
        <is>
          <t>앰플 30ml  2set</t>
        </is>
      </c>
      <c r="H10331" s="94" t="n">
        <v>200801</v>
      </c>
      <c r="I10331" s="94" t="n">
        <v>200801</v>
      </c>
      <c r="K10331" s="94" t="n">
        <v>3</v>
      </c>
      <c r="L10331" s="94" t="n">
        <v>200801</v>
      </c>
      <c r="M10331" s="94">
        <f>VLOOKUP($Q10331,매칭테이블!$F:$I,2,0)*K10331</f>
        <v/>
      </c>
      <c r="N10331" s="94">
        <f>M10331-M10331*VLOOKUP($Q10331,매칭테이블!$F:$I,3,0)</f>
        <v/>
      </c>
      <c r="O10331" s="94">
        <f>VLOOKUP($Q10331,매칭테이블!$F:$I,4,0)*K10331</f>
        <v/>
      </c>
      <c r="P10331" s="148">
        <f>M10331/1.1</f>
        <v/>
      </c>
      <c r="Q10331" s="94">
        <f>F10331&amp;E10331&amp;G10331&amp;L10331</f>
        <v/>
      </c>
    </row>
    <row r="10332" customFormat="1" s="94">
      <c r="B10332" s="128" t="n">
        <v>44128</v>
      </c>
      <c r="C10332" s="94">
        <f>TEXT(B10332,"aaa")</f>
        <v/>
      </c>
      <c r="E10332" s="94" t="inlineStr">
        <is>
          <t>수딩크림</t>
        </is>
      </c>
      <c r="F10332" s="5" t="inlineStr">
        <is>
          <t>카페24</t>
        </is>
      </c>
      <c r="G10332" s="94" t="inlineStr">
        <is>
          <t>수딩크림 100ml</t>
        </is>
      </c>
      <c r="H10332" s="94" t="n">
        <v>200801</v>
      </c>
      <c r="I10332" s="94" t="n">
        <v>200801</v>
      </c>
      <c r="K10332" s="94" t="n">
        <v>5</v>
      </c>
      <c r="L10332" s="94" t="n">
        <v>200801</v>
      </c>
      <c r="M10332" s="94">
        <f>VLOOKUP($Q10332,매칭테이블!$F:$I,2,0)*K10332</f>
        <v/>
      </c>
      <c r="N10332" s="94">
        <f>M10332-M10332*VLOOKUP($Q10332,매칭테이블!$F:$I,3,0)</f>
        <v/>
      </c>
      <c r="O10332" s="94">
        <f>VLOOKUP($Q10332,매칭테이블!$F:$I,4,0)*K10332</f>
        <v/>
      </c>
      <c r="P10332" s="148">
        <f>M10332/1.1</f>
        <v/>
      </c>
      <c r="Q10332" s="94">
        <f>F10332&amp;E10332&amp;G10332&amp;L10332</f>
        <v/>
      </c>
    </row>
    <row r="10333" customFormat="1" s="94">
      <c r="B10333" s="128" t="n">
        <v>44128</v>
      </c>
      <c r="C10333" s="94">
        <f>TEXT(B10333,"aaa")</f>
        <v/>
      </c>
      <c r="E10333" s="94" t="inlineStr">
        <is>
          <t>클렌징폼</t>
        </is>
      </c>
      <c r="F10333" s="5" t="inlineStr">
        <is>
          <t>카페24</t>
        </is>
      </c>
      <c r="G10333" s="94" t="inlineStr">
        <is>
          <t>클렌징폼 120ml</t>
        </is>
      </c>
      <c r="H10333" s="94" t="n">
        <v>200801</v>
      </c>
      <c r="I10333" s="94" t="n">
        <v>200801</v>
      </c>
      <c r="K10333" s="94" t="n">
        <v>10</v>
      </c>
      <c r="L10333" s="94" t="n">
        <v>200801</v>
      </c>
      <c r="M10333" s="94">
        <f>VLOOKUP($Q10333,매칭테이블!$F:$I,2,0)*K10333</f>
        <v/>
      </c>
      <c r="N10333" s="94">
        <f>M10333-M10333*VLOOKUP($Q10333,매칭테이블!$F:$I,3,0)</f>
        <v/>
      </c>
      <c r="O10333" s="94">
        <f>VLOOKUP($Q10333,매칭테이블!$F:$I,4,0)*K10333</f>
        <v/>
      </c>
      <c r="P10333" s="148">
        <f>M10333/1.1</f>
        <v/>
      </c>
      <c r="Q10333" s="94">
        <f>F10333&amp;E10333&amp;G10333&amp;L10333</f>
        <v/>
      </c>
    </row>
    <row r="10334" customFormat="1" s="94">
      <c r="B10334" s="128" t="n">
        <v>44128</v>
      </c>
      <c r="C10334" s="94">
        <f>TEXT(B10334,"aaa")</f>
        <v/>
      </c>
      <c r="E10334" s="94" t="inlineStr">
        <is>
          <t>클렌징폼</t>
        </is>
      </c>
      <c r="F10334" s="5" t="inlineStr">
        <is>
          <t>카페24</t>
        </is>
      </c>
      <c r="G10334" s="94" t="inlineStr">
        <is>
          <t>클렌징폼 120ml 3set</t>
        </is>
      </c>
      <c r="H10334" s="94" t="n">
        <v>200801</v>
      </c>
      <c r="I10334" s="94" t="n">
        <v>200801</v>
      </c>
      <c r="K10334" s="94" t="n">
        <v>2</v>
      </c>
      <c r="L10334" s="94" t="n">
        <v>200801</v>
      </c>
      <c r="M10334" s="94">
        <f>VLOOKUP($Q10334,매칭테이블!$F:$I,2,0)*K10334</f>
        <v/>
      </c>
      <c r="N10334" s="94">
        <f>M10334-M10334*VLOOKUP($Q10334,매칭테이블!$F:$I,3,0)</f>
        <v/>
      </c>
      <c r="O10334" s="94">
        <f>VLOOKUP($Q10334,매칭테이블!$F:$I,4,0)*K10334</f>
        <v/>
      </c>
      <c r="P10334" s="148">
        <f>M10334/1.1</f>
        <v/>
      </c>
      <c r="Q10334" s="94">
        <f>F10334&amp;E10334&amp;G10334&amp;L10334</f>
        <v/>
      </c>
    </row>
    <row r="10335" customFormat="1" s="94">
      <c r="B10335" s="128" t="n">
        <v>44128</v>
      </c>
      <c r="C10335" s="94">
        <f>TEXT(B10335,"aaa")</f>
        <v/>
      </c>
      <c r="E10335" s="94" t="inlineStr">
        <is>
          <t>바디워시</t>
        </is>
      </c>
      <c r="F10335" s="5" t="inlineStr">
        <is>
          <t>카페24</t>
        </is>
      </c>
      <c r="G10335" s="94" t="inlineStr">
        <is>
          <t>바디워시 1개 -30% off</t>
        </is>
      </c>
      <c r="H10335" s="94" t="n">
        <v>200801</v>
      </c>
      <c r="I10335" s="94" t="n">
        <v>200801</v>
      </c>
      <c r="K10335" s="94" t="n">
        <v>2</v>
      </c>
      <c r="L10335" s="94" t="n">
        <v>200801</v>
      </c>
      <c r="M10335" s="94">
        <f>VLOOKUP($Q10335,매칭테이블!$F:$I,2,0)*K10335</f>
        <v/>
      </c>
      <c r="N10335" s="94">
        <f>M10335-M10335*VLOOKUP($Q10335,매칭테이블!$F:$I,3,0)</f>
        <v/>
      </c>
      <c r="O10335" s="94">
        <f>VLOOKUP($Q10335,매칭테이블!$F:$I,4,0)*K10335</f>
        <v/>
      </c>
      <c r="P10335" s="148">
        <f>M10335/1.1</f>
        <v/>
      </c>
      <c r="Q10335" s="94">
        <f>F10335&amp;E10335&amp;G10335&amp;L10335</f>
        <v/>
      </c>
    </row>
    <row r="10336" customFormat="1" s="94">
      <c r="B10336" s="128" t="n">
        <v>44128</v>
      </c>
      <c r="C10336" s="94">
        <f>TEXT(B10336,"aaa")</f>
        <v/>
      </c>
      <c r="E10336" s="94" t="inlineStr">
        <is>
          <t>토너</t>
        </is>
      </c>
      <c r="F10336" s="5" t="inlineStr">
        <is>
          <t>화해</t>
        </is>
      </c>
      <c r="G10336" s="94" t="inlineStr">
        <is>
          <t>250ml</t>
        </is>
      </c>
      <c r="H10336" s="94" t="n">
        <v>200801</v>
      </c>
      <c r="I10336" s="94" t="n">
        <v>200801</v>
      </c>
      <c r="K10336" s="94" t="n">
        <v>2</v>
      </c>
      <c r="L10336" s="94" t="n">
        <v>200801</v>
      </c>
      <c r="M10336" s="94">
        <f>VLOOKUP($Q10336,매칭테이블!$F:$I,2,0)*K10336</f>
        <v/>
      </c>
      <c r="N10336" s="94">
        <f>M10336-M10336*VLOOKUP($Q10336,매칭테이블!$F:$I,3,0)</f>
        <v/>
      </c>
      <c r="O10336" s="94">
        <f>VLOOKUP($Q10336,매칭테이블!$F:$I,4,0)*K10336</f>
        <v/>
      </c>
      <c r="P10336" s="148">
        <f>M10336/1.1</f>
        <v/>
      </c>
      <c r="Q10336" s="94">
        <f>F10336&amp;E10336&amp;G10336&amp;L10336</f>
        <v/>
      </c>
    </row>
    <row r="10337" customFormat="1" s="94">
      <c r="B10337" s="128" t="n">
        <v>44129</v>
      </c>
      <c r="C10337" s="94">
        <f>TEXT(B10337,"aaa")</f>
        <v/>
      </c>
      <c r="E10337" s="94" t="inlineStr">
        <is>
          <t>토너</t>
        </is>
      </c>
      <c r="F10337" s="5" t="inlineStr">
        <is>
          <t>스타일쉐어</t>
        </is>
      </c>
      <c r="G10337" s="94" t="inlineStr">
        <is>
          <t>250ml</t>
        </is>
      </c>
      <c r="H10337" s="94" t="n">
        <v>200801</v>
      </c>
      <c r="I10337" s="94" t="n">
        <v>200801</v>
      </c>
      <c r="K10337" s="94" t="n">
        <v>2</v>
      </c>
      <c r="L10337" s="94" t="n">
        <v>200801</v>
      </c>
      <c r="M10337" s="94">
        <f>VLOOKUP($Q10337,매칭테이블!$F:$I,2,0)*K10337</f>
        <v/>
      </c>
      <c r="N10337" s="94">
        <f>M10337-M10337*VLOOKUP($Q10337,매칭테이블!$F:$I,3,0)</f>
        <v/>
      </c>
      <c r="O10337" s="94">
        <f>VLOOKUP($Q10337,매칭테이블!$F:$I,4,0)*K10337</f>
        <v/>
      </c>
      <c r="P10337" s="148">
        <f>M10337/1.1</f>
        <v/>
      </c>
      <c r="Q10337" s="94">
        <f>F10337&amp;E10337&amp;G10337&amp;L10337</f>
        <v/>
      </c>
    </row>
    <row r="10338" customFormat="1" s="94">
      <c r="B10338" s="128" t="n">
        <v>44129</v>
      </c>
      <c r="C10338" s="94">
        <f>TEXT(B10338,"aaa")</f>
        <v/>
      </c>
      <c r="E10338" s="94" t="inlineStr">
        <is>
          <t>선크림</t>
        </is>
      </c>
      <c r="F10338" s="5" t="inlineStr">
        <is>
          <t>카페24</t>
        </is>
      </c>
      <c r="G10338" s="94" t="inlineStr">
        <is>
          <t>선크림 50ml</t>
        </is>
      </c>
      <c r="H10338" s="94" t="n">
        <v>200801</v>
      </c>
      <c r="I10338" s="94" t="n">
        <v>200801</v>
      </c>
      <c r="K10338" s="94" t="n">
        <v>5</v>
      </c>
      <c r="L10338" s="94" t="n">
        <v>200801</v>
      </c>
      <c r="M10338" s="94">
        <f>VLOOKUP($Q10338,매칭테이블!$F:$I,2,0)*K10338</f>
        <v/>
      </c>
      <c r="N10338" s="94">
        <f>M10338-M10338*VLOOKUP($Q10338,매칭테이블!$F:$I,3,0)</f>
        <v/>
      </c>
      <c r="O10338" s="94">
        <f>VLOOKUP($Q10338,매칭테이블!$F:$I,4,0)*K10338</f>
        <v/>
      </c>
      <c r="P10338" s="148">
        <f>M10338/1.1</f>
        <v/>
      </c>
      <c r="Q10338" s="94">
        <f>F10338&amp;E10338&amp;G10338&amp;L10338</f>
        <v/>
      </c>
    </row>
    <row r="10339" customFormat="1" s="94">
      <c r="B10339" s="128" t="n">
        <v>44129</v>
      </c>
      <c r="C10339" s="94">
        <f>TEXT(B10339,"aaa")</f>
        <v/>
      </c>
      <c r="E10339" s="94" t="inlineStr">
        <is>
          <t>어성초진정패키지</t>
        </is>
      </c>
      <c r="F10339" s="5" t="inlineStr">
        <is>
          <t>카페24</t>
        </is>
      </c>
      <c r="G10339" s="94" t="inlineStr">
        <is>
          <t>어성초 진정패키지세트</t>
        </is>
      </c>
      <c r="H10339" s="94" t="n">
        <v>200801</v>
      </c>
      <c r="I10339" s="94" t="n">
        <v>200801</v>
      </c>
      <c r="K10339" s="94" t="n">
        <v>5</v>
      </c>
      <c r="L10339" s="94" t="n">
        <v>200801</v>
      </c>
      <c r="M10339" s="94">
        <f>VLOOKUP($Q10339,매칭테이블!$F:$I,2,0)*K10339</f>
        <v/>
      </c>
      <c r="N10339" s="94">
        <f>M10339-M10339*VLOOKUP($Q10339,매칭테이블!$F:$I,3,0)</f>
        <v/>
      </c>
      <c r="O10339" s="94">
        <f>VLOOKUP($Q10339,매칭테이블!$F:$I,4,0)*K10339</f>
        <v/>
      </c>
      <c r="P10339" s="148">
        <f>M10339/1.1</f>
        <v/>
      </c>
      <c r="Q10339" s="94">
        <f>F10339&amp;E10339&amp;G10339&amp;L10339</f>
        <v/>
      </c>
    </row>
    <row r="10340" customFormat="1" s="94">
      <c r="B10340" s="128" t="n">
        <v>44129</v>
      </c>
      <c r="C10340" s="94">
        <f>TEXT(B10340,"aaa")</f>
        <v/>
      </c>
      <c r="E10340" s="94" t="inlineStr">
        <is>
          <t>클리어 패드</t>
        </is>
      </c>
      <c r="F10340" s="5" t="inlineStr">
        <is>
          <t>카페24</t>
        </is>
      </c>
      <c r="G10340" s="94" t="inlineStr">
        <is>
          <t>어성초 77 클리어 패드 1개-20% off</t>
        </is>
      </c>
      <c r="H10340" s="94" t="n">
        <v>200801</v>
      </c>
      <c r="I10340" s="94" t="n">
        <v>200801</v>
      </c>
      <c r="K10340" s="94" t="n">
        <v>22</v>
      </c>
      <c r="L10340" s="94" t="n">
        <v>200801</v>
      </c>
      <c r="M10340" s="94">
        <f>VLOOKUP($Q10340,매칭테이블!$F:$I,2,0)*K10340</f>
        <v/>
      </c>
      <c r="N10340" s="94">
        <f>M10340-M10340*VLOOKUP($Q10340,매칭테이블!$F:$I,3,0)</f>
        <v/>
      </c>
      <c r="O10340" s="94">
        <f>VLOOKUP($Q10340,매칭테이블!$F:$I,4,0)*K10340</f>
        <v/>
      </c>
      <c r="P10340" s="148">
        <f>M10340/1.1</f>
        <v/>
      </c>
      <c r="Q10340" s="94">
        <f>F10340&amp;E10340&amp;G10340&amp;L10340</f>
        <v/>
      </c>
    </row>
    <row r="10341" customFormat="1" s="94">
      <c r="B10341" s="128" t="n">
        <v>44129</v>
      </c>
      <c r="C10341" s="94">
        <f>TEXT(B10341,"aaa")</f>
        <v/>
      </c>
      <c r="E10341" s="94" t="inlineStr">
        <is>
          <t>클리어 패드</t>
        </is>
      </c>
      <c r="F10341" s="5" t="inlineStr">
        <is>
          <t>카페24</t>
        </is>
      </c>
      <c r="G10341" s="94" t="inlineStr">
        <is>
          <t>어성초 77 클리어 패드 2개-30% off</t>
        </is>
      </c>
      <c r="H10341" s="94" t="n">
        <v>200801</v>
      </c>
      <c r="I10341" s="94" t="n">
        <v>200801</v>
      </c>
      <c r="K10341" s="94" t="n">
        <v>17</v>
      </c>
      <c r="L10341" s="94" t="n">
        <v>200801</v>
      </c>
      <c r="M10341" s="94">
        <f>VLOOKUP($Q10341,매칭테이블!$F:$I,2,0)*K10341</f>
        <v/>
      </c>
      <c r="N10341" s="94">
        <f>M10341-M10341*VLOOKUP($Q10341,매칭테이블!$F:$I,3,0)</f>
        <v/>
      </c>
      <c r="O10341" s="94">
        <f>VLOOKUP($Q10341,매칭테이블!$F:$I,4,0)*K10341</f>
        <v/>
      </c>
      <c r="P10341" s="148">
        <f>M10341/1.1</f>
        <v/>
      </c>
      <c r="Q10341" s="94">
        <f>F10341&amp;E10341&amp;G10341&amp;L10341</f>
        <v/>
      </c>
    </row>
    <row r="10342" customFormat="1" s="94">
      <c r="B10342" s="128" t="n">
        <v>44129</v>
      </c>
      <c r="C10342" s="94">
        <f>TEXT(B10342,"aaa")</f>
        <v/>
      </c>
      <c r="E10342" s="94" t="inlineStr">
        <is>
          <t>토너+패드 세트</t>
        </is>
      </c>
      <c r="F10342" s="5" t="inlineStr">
        <is>
          <t>카페24</t>
        </is>
      </c>
      <c r="G10342" s="94" t="inlineStr">
        <is>
          <t>좁쌀 진정 세트 토너+클리어 패드-30% off</t>
        </is>
      </c>
      <c r="H10342" s="94" t="n">
        <v>200801</v>
      </c>
      <c r="I10342" s="94" t="n">
        <v>200801</v>
      </c>
      <c r="K10342" s="94" t="n">
        <v>17</v>
      </c>
      <c r="L10342" s="94" t="n">
        <v>200801</v>
      </c>
      <c r="M10342" s="94">
        <f>VLOOKUP($Q10342,매칭테이블!$F:$I,2,0)*K10342</f>
        <v/>
      </c>
      <c r="N10342" s="94">
        <f>M10342-M10342*VLOOKUP($Q10342,매칭테이블!$F:$I,3,0)</f>
        <v/>
      </c>
      <c r="O10342" s="94">
        <f>VLOOKUP($Q10342,매칭테이블!$F:$I,4,0)*K10342</f>
        <v/>
      </c>
      <c r="P10342" s="148">
        <f>M10342/1.1</f>
        <v/>
      </c>
      <c r="Q10342" s="94">
        <f>F10342&amp;E10342&amp;G10342&amp;L10342</f>
        <v/>
      </c>
    </row>
    <row r="10343" customFormat="1" s="94">
      <c r="B10343" s="128" t="n">
        <v>44129</v>
      </c>
      <c r="C10343" s="94">
        <f>TEXT(B10343,"aaa")</f>
        <v/>
      </c>
      <c r="E10343" s="94" t="inlineStr">
        <is>
          <t>머드크림마스크</t>
        </is>
      </c>
      <c r="F10343" s="5" t="inlineStr">
        <is>
          <t>카페24</t>
        </is>
      </c>
      <c r="G10343" s="94" t="inlineStr">
        <is>
          <t>머드크림마스크 100ml</t>
        </is>
      </c>
      <c r="H10343" s="94" t="n">
        <v>200801</v>
      </c>
      <c r="I10343" s="94" t="n">
        <v>200801</v>
      </c>
      <c r="K10343" s="94" t="n">
        <v>8</v>
      </c>
      <c r="L10343" s="94" t="n">
        <v>200801</v>
      </c>
      <c r="M10343" s="94">
        <f>VLOOKUP($Q10343,매칭테이블!$F:$I,2,0)*K10343</f>
        <v/>
      </c>
      <c r="N10343" s="94">
        <f>M10343-M10343*VLOOKUP($Q10343,매칭테이블!$F:$I,3,0)</f>
        <v/>
      </c>
      <c r="O10343" s="94">
        <f>VLOOKUP($Q10343,매칭테이블!$F:$I,4,0)*K10343</f>
        <v/>
      </c>
      <c r="P10343" s="148">
        <f>M10343/1.1</f>
        <v/>
      </c>
      <c r="Q10343" s="94">
        <f>F10343&amp;E10343&amp;G10343&amp;L10343</f>
        <v/>
      </c>
    </row>
    <row r="10344" customFormat="1" s="94">
      <c r="B10344" s="128" t="n">
        <v>44129</v>
      </c>
      <c r="C10344" s="94">
        <f>TEXT(B10344,"aaa")</f>
        <v/>
      </c>
      <c r="E10344" s="94" t="inlineStr">
        <is>
          <t>머드크림마스크</t>
        </is>
      </c>
      <c r="F10344" s="5" t="inlineStr">
        <is>
          <t>카페24</t>
        </is>
      </c>
      <c r="G10344" s="94" t="inlineStr">
        <is>
          <t>머드크림마스크 100ml 2set</t>
        </is>
      </c>
      <c r="H10344" s="94" t="n">
        <v>200801</v>
      </c>
      <c r="I10344" s="94" t="n">
        <v>200801</v>
      </c>
      <c r="K10344" s="94" t="n">
        <v>1</v>
      </c>
      <c r="L10344" s="94" t="n">
        <v>200801</v>
      </c>
      <c r="M10344" s="94">
        <f>VLOOKUP($Q10344,매칭테이블!$F:$I,2,0)*K10344</f>
        <v/>
      </c>
      <c r="N10344" s="94">
        <f>M10344-M10344*VLOOKUP($Q10344,매칭테이블!$F:$I,3,0)</f>
        <v/>
      </c>
      <c r="O10344" s="94">
        <f>VLOOKUP($Q10344,매칭테이블!$F:$I,4,0)*K10344</f>
        <v/>
      </c>
      <c r="P10344" s="148">
        <f>M10344/1.1</f>
        <v/>
      </c>
      <c r="Q10344" s="94">
        <f>F10344&amp;E10344&amp;G10344&amp;L10344</f>
        <v/>
      </c>
    </row>
    <row r="10345" customFormat="1" s="94">
      <c r="B10345" s="128" t="n">
        <v>44129</v>
      </c>
      <c r="C10345" s="94">
        <f>TEXT(B10345,"aaa")</f>
        <v/>
      </c>
      <c r="E10345" s="94" t="inlineStr">
        <is>
          <t>마스크팩</t>
        </is>
      </c>
      <c r="F10345" s="5" t="inlineStr">
        <is>
          <t>카페24</t>
        </is>
      </c>
      <c r="G10345" s="94" t="inlineStr">
        <is>
          <t>마스크팩 10매</t>
        </is>
      </c>
      <c r="H10345" s="94" t="n">
        <v>200801</v>
      </c>
      <c r="I10345" s="94" t="n">
        <v>200801</v>
      </c>
      <c r="K10345" s="94" t="n">
        <v>4</v>
      </c>
      <c r="L10345" s="94" t="n">
        <v>200801</v>
      </c>
      <c r="M10345" s="94">
        <f>VLOOKUP($Q10345,매칭테이블!$F:$I,2,0)*K10345</f>
        <v/>
      </c>
      <c r="N10345" s="94">
        <f>M10345-M10345*VLOOKUP($Q10345,매칭테이블!$F:$I,3,0)</f>
        <v/>
      </c>
      <c r="O10345" s="94">
        <f>VLOOKUP($Q10345,매칭테이블!$F:$I,4,0)*K10345</f>
        <v/>
      </c>
      <c r="P10345" s="148">
        <f>M10345/1.1</f>
        <v/>
      </c>
      <c r="Q10345" s="94">
        <f>F10345&amp;E10345&amp;G10345&amp;L10345</f>
        <v/>
      </c>
    </row>
    <row r="10346" customFormat="1" s="94">
      <c r="B10346" s="128" t="n">
        <v>44129</v>
      </c>
      <c r="C10346" s="94">
        <f>TEXT(B10346,"aaa")</f>
        <v/>
      </c>
      <c r="E10346" s="94" t="inlineStr">
        <is>
          <t>토너</t>
        </is>
      </c>
      <c r="F10346" s="5" t="inlineStr">
        <is>
          <t>카페24</t>
        </is>
      </c>
      <c r="G10346" s="94" t="inlineStr">
        <is>
          <t>250ml</t>
        </is>
      </c>
      <c r="H10346" s="94" t="n">
        <v>200801</v>
      </c>
      <c r="I10346" s="94" t="n">
        <v>200801</v>
      </c>
      <c r="K10346" s="94" t="n">
        <v>38</v>
      </c>
      <c r="L10346" s="94" t="n">
        <v>200801</v>
      </c>
      <c r="M10346" s="94">
        <f>VLOOKUP($Q10346,매칭테이블!$F:$I,2,0)*K10346</f>
        <v/>
      </c>
      <c r="N10346" s="94">
        <f>M10346-M10346*VLOOKUP($Q10346,매칭테이블!$F:$I,3,0)</f>
        <v/>
      </c>
      <c r="O10346" s="94">
        <f>VLOOKUP($Q10346,매칭테이블!$F:$I,4,0)*K10346</f>
        <v/>
      </c>
      <c r="P10346" s="148">
        <f>M10346/1.1</f>
        <v/>
      </c>
      <c r="Q10346" s="94">
        <f>F10346&amp;E10346&amp;G10346&amp;L10346</f>
        <v/>
      </c>
    </row>
    <row r="10347" customFormat="1" s="94">
      <c r="B10347" s="128" t="n">
        <v>44129</v>
      </c>
      <c r="C10347" s="94">
        <f>TEXT(B10347,"aaa")</f>
        <v/>
      </c>
      <c r="E10347" s="94" t="inlineStr">
        <is>
          <t>토너</t>
        </is>
      </c>
      <c r="F10347" s="5" t="inlineStr">
        <is>
          <t>카페24</t>
        </is>
      </c>
      <c r="G10347" s="94" t="inlineStr">
        <is>
          <t>250ml 2set</t>
        </is>
      </c>
      <c r="H10347" s="94" t="n">
        <v>200801</v>
      </c>
      <c r="I10347" s="94" t="n">
        <v>200801</v>
      </c>
      <c r="K10347" s="94" t="n">
        <v>3</v>
      </c>
      <c r="L10347" s="94" t="n">
        <v>200801</v>
      </c>
      <c r="M10347" s="94">
        <f>VLOOKUP($Q10347,매칭테이블!$F:$I,2,0)*K10347</f>
        <v/>
      </c>
      <c r="N10347" s="94">
        <f>M10347-M10347*VLOOKUP($Q10347,매칭테이블!$F:$I,3,0)</f>
        <v/>
      </c>
      <c r="O10347" s="94">
        <f>VLOOKUP($Q10347,매칭테이블!$F:$I,4,0)*K10347</f>
        <v/>
      </c>
      <c r="P10347" s="148">
        <f>M10347/1.1</f>
        <v/>
      </c>
      <c r="Q10347" s="94">
        <f>F10347&amp;E10347&amp;G10347&amp;L10347</f>
        <v/>
      </c>
    </row>
    <row r="10348" customFormat="1" s="94">
      <c r="B10348" s="128" t="n">
        <v>44129</v>
      </c>
      <c r="C10348" s="94">
        <f>TEXT(B10348,"aaa")</f>
        <v/>
      </c>
      <c r="E10348" s="94" t="inlineStr">
        <is>
          <t>토너</t>
        </is>
      </c>
      <c r="F10348" s="5" t="inlineStr">
        <is>
          <t>카페24</t>
        </is>
      </c>
      <c r="G10348" s="94" t="inlineStr">
        <is>
          <t>500ml</t>
        </is>
      </c>
      <c r="H10348" s="94" t="n">
        <v>200801</v>
      </c>
      <c r="I10348" s="94" t="n">
        <v>200801</v>
      </c>
      <c r="K10348" s="94" t="n">
        <v>55</v>
      </c>
      <c r="L10348" s="94" t="n">
        <v>200801</v>
      </c>
      <c r="M10348" s="94">
        <f>VLOOKUP($Q10348,매칭테이블!$F:$I,2,0)*K10348</f>
        <v/>
      </c>
      <c r="N10348" s="94">
        <f>M10348-M10348*VLOOKUP($Q10348,매칭테이블!$F:$I,3,0)</f>
        <v/>
      </c>
      <c r="O10348" s="94">
        <f>VLOOKUP($Q10348,매칭테이블!$F:$I,4,0)*K10348</f>
        <v/>
      </c>
      <c r="P10348" s="148">
        <f>M10348/1.1</f>
        <v/>
      </c>
      <c r="Q10348" s="94">
        <f>F10348&amp;E10348&amp;G10348&amp;L10348</f>
        <v/>
      </c>
    </row>
    <row r="10349" customFormat="1" s="94">
      <c r="B10349" s="128" t="n">
        <v>44129</v>
      </c>
      <c r="C10349" s="94">
        <f>TEXT(B10349,"aaa")</f>
        <v/>
      </c>
      <c r="E10349" s="94" t="inlineStr">
        <is>
          <t>토너</t>
        </is>
      </c>
      <c r="F10349" s="5" t="inlineStr">
        <is>
          <t>카페24</t>
        </is>
      </c>
      <c r="G10349" s="94" t="inlineStr">
        <is>
          <t>스킨팩 화장솜 60P</t>
        </is>
      </c>
      <c r="H10349" s="94" t="n">
        <v>200801</v>
      </c>
      <c r="I10349" s="94" t="n">
        <v>200801</v>
      </c>
      <c r="K10349" s="94" t="n">
        <v>27</v>
      </c>
      <c r="L10349" s="94" t="n">
        <v>200801</v>
      </c>
      <c r="M10349" s="94">
        <f>VLOOKUP($Q10349,매칭테이블!$F:$I,2,0)*K10349</f>
        <v/>
      </c>
      <c r="N10349" s="94">
        <f>M10349-M10349*VLOOKUP($Q10349,매칭테이블!$F:$I,3,0)</f>
        <v/>
      </c>
      <c r="O10349" s="94">
        <f>VLOOKUP($Q10349,매칭테이블!$F:$I,4,0)*K10349</f>
        <v/>
      </c>
      <c r="P10349" s="148">
        <f>M10349/1.1</f>
        <v/>
      </c>
      <c r="Q10349" s="94">
        <f>F10349&amp;E10349&amp;G10349&amp;L10349</f>
        <v/>
      </c>
    </row>
    <row r="10350" customFormat="1" s="94">
      <c r="B10350" s="128" t="n">
        <v>44129</v>
      </c>
      <c r="C10350" s="94">
        <f>TEXT(B10350,"aaa")</f>
        <v/>
      </c>
      <c r="E10350" s="94" t="inlineStr">
        <is>
          <t>앰플</t>
        </is>
      </c>
      <c r="F10350" s="5" t="inlineStr">
        <is>
          <t>카페24</t>
        </is>
      </c>
      <c r="G10350" s="94" t="inlineStr">
        <is>
          <t>앰플 30ml</t>
        </is>
      </c>
      <c r="H10350" s="94" t="n">
        <v>200801</v>
      </c>
      <c r="I10350" s="94" t="n">
        <v>200801</v>
      </c>
      <c r="K10350" s="94" t="n">
        <v>13</v>
      </c>
      <c r="L10350" s="94" t="n">
        <v>200801</v>
      </c>
      <c r="M10350" s="94">
        <f>VLOOKUP($Q10350,매칭테이블!$F:$I,2,0)*K10350</f>
        <v/>
      </c>
      <c r="N10350" s="94">
        <f>M10350-M10350*VLOOKUP($Q10350,매칭테이블!$F:$I,3,0)</f>
        <v/>
      </c>
      <c r="O10350" s="94">
        <f>VLOOKUP($Q10350,매칭테이블!$F:$I,4,0)*K10350</f>
        <v/>
      </c>
      <c r="P10350" s="148">
        <f>M10350/1.1</f>
        <v/>
      </c>
      <c r="Q10350" s="94">
        <f>F10350&amp;E10350&amp;G10350&amp;L10350</f>
        <v/>
      </c>
    </row>
    <row r="10351" customFormat="1" s="94">
      <c r="B10351" s="128" t="n">
        <v>44129</v>
      </c>
      <c r="C10351" s="94">
        <f>TEXT(B10351,"aaa")</f>
        <v/>
      </c>
      <c r="E10351" s="94" t="inlineStr">
        <is>
          <t>앰플</t>
        </is>
      </c>
      <c r="F10351" s="5" t="inlineStr">
        <is>
          <t>카페24</t>
        </is>
      </c>
      <c r="G10351" s="94" t="inlineStr">
        <is>
          <t>앰플 30ml  2set</t>
        </is>
      </c>
      <c r="H10351" s="94" t="n">
        <v>200801</v>
      </c>
      <c r="I10351" s="94" t="n">
        <v>200801</v>
      </c>
      <c r="K10351" s="94" t="n">
        <v>3</v>
      </c>
      <c r="L10351" s="94" t="n">
        <v>200801</v>
      </c>
      <c r="M10351" s="94">
        <f>VLOOKUP($Q10351,매칭테이블!$F:$I,2,0)*K10351</f>
        <v/>
      </c>
      <c r="N10351" s="94">
        <f>M10351-M10351*VLOOKUP($Q10351,매칭테이블!$F:$I,3,0)</f>
        <v/>
      </c>
      <c r="O10351" s="94">
        <f>VLOOKUP($Q10351,매칭테이블!$F:$I,4,0)*K10351</f>
        <v/>
      </c>
      <c r="P10351" s="148">
        <f>M10351/1.1</f>
        <v/>
      </c>
      <c r="Q10351" s="94">
        <f>F10351&amp;E10351&amp;G10351&amp;L10351</f>
        <v/>
      </c>
    </row>
    <row r="10352" customFormat="1" s="94">
      <c r="B10352" s="128" t="n">
        <v>44129</v>
      </c>
      <c r="C10352" s="94">
        <f>TEXT(B10352,"aaa")</f>
        <v/>
      </c>
      <c r="E10352" s="94" t="inlineStr">
        <is>
          <t>수딩크림</t>
        </is>
      </c>
      <c r="F10352" s="5" t="inlineStr">
        <is>
          <t>카페24</t>
        </is>
      </c>
      <c r="G10352" s="94" t="inlineStr">
        <is>
          <t>수딩크림 100ml</t>
        </is>
      </c>
      <c r="H10352" s="94" t="n">
        <v>200801</v>
      </c>
      <c r="I10352" s="94" t="n">
        <v>200801</v>
      </c>
      <c r="K10352" s="94" t="n">
        <v>11</v>
      </c>
      <c r="L10352" s="94" t="n">
        <v>200801</v>
      </c>
      <c r="M10352" s="94">
        <f>VLOOKUP($Q10352,매칭테이블!$F:$I,2,0)*K10352</f>
        <v/>
      </c>
      <c r="N10352" s="94">
        <f>M10352-M10352*VLOOKUP($Q10352,매칭테이블!$F:$I,3,0)</f>
        <v/>
      </c>
      <c r="O10352" s="94">
        <f>VLOOKUP($Q10352,매칭테이블!$F:$I,4,0)*K10352</f>
        <v/>
      </c>
      <c r="P10352" s="148">
        <f>M10352/1.1</f>
        <v/>
      </c>
      <c r="Q10352" s="94">
        <f>F10352&amp;E10352&amp;G10352&amp;L10352</f>
        <v/>
      </c>
    </row>
    <row r="10353" customFormat="1" s="94">
      <c r="B10353" s="128" t="n">
        <v>44129</v>
      </c>
      <c r="C10353" s="94">
        <f>TEXT(B10353,"aaa")</f>
        <v/>
      </c>
      <c r="E10353" s="94" t="inlineStr">
        <is>
          <t>클렌징폼</t>
        </is>
      </c>
      <c r="F10353" s="5" t="inlineStr">
        <is>
          <t>카페24</t>
        </is>
      </c>
      <c r="G10353" s="94" t="inlineStr">
        <is>
          <t>클렌징폼 120ml</t>
        </is>
      </c>
      <c r="H10353" s="94" t="n">
        <v>200801</v>
      </c>
      <c r="I10353" s="94" t="n">
        <v>200801</v>
      </c>
      <c r="K10353" s="94" t="n">
        <v>9</v>
      </c>
      <c r="L10353" s="94" t="n">
        <v>200801</v>
      </c>
      <c r="M10353" s="94">
        <f>VLOOKUP($Q10353,매칭테이블!$F:$I,2,0)*K10353</f>
        <v/>
      </c>
      <c r="N10353" s="94">
        <f>M10353-M10353*VLOOKUP($Q10353,매칭테이블!$F:$I,3,0)</f>
        <v/>
      </c>
      <c r="O10353" s="94">
        <f>VLOOKUP($Q10353,매칭테이블!$F:$I,4,0)*K10353</f>
        <v/>
      </c>
      <c r="P10353" s="148">
        <f>M10353/1.1</f>
        <v/>
      </c>
      <c r="Q10353" s="94">
        <f>F10353&amp;E10353&amp;G10353&amp;L10353</f>
        <v/>
      </c>
    </row>
    <row r="10354" customFormat="1" s="94">
      <c r="B10354" s="128" t="n">
        <v>44129</v>
      </c>
      <c r="C10354" s="94">
        <f>TEXT(B10354,"aaa")</f>
        <v/>
      </c>
      <c r="E10354" s="94" t="inlineStr">
        <is>
          <t>클렌징폼</t>
        </is>
      </c>
      <c r="F10354" s="5" t="inlineStr">
        <is>
          <t>카페24</t>
        </is>
      </c>
      <c r="G10354" s="94" t="inlineStr">
        <is>
          <t>클렌징폼 120ml 2set</t>
        </is>
      </c>
      <c r="H10354" s="94" t="n">
        <v>200801</v>
      </c>
      <c r="I10354" s="94" t="n">
        <v>200801</v>
      </c>
      <c r="K10354" s="94" t="n">
        <v>5</v>
      </c>
      <c r="L10354" s="94" t="n">
        <v>200801</v>
      </c>
      <c r="M10354" s="94">
        <f>VLOOKUP($Q10354,매칭테이블!$F:$I,2,0)*K10354</f>
        <v/>
      </c>
      <c r="N10354" s="94">
        <f>M10354-M10354*VLOOKUP($Q10354,매칭테이블!$F:$I,3,0)</f>
        <v/>
      </c>
      <c r="O10354" s="94">
        <f>VLOOKUP($Q10354,매칭테이블!$F:$I,4,0)*K10354</f>
        <v/>
      </c>
      <c r="P10354" s="148">
        <f>M10354/1.1</f>
        <v/>
      </c>
      <c r="Q10354" s="94">
        <f>F10354&amp;E10354&amp;G10354&amp;L10354</f>
        <v/>
      </c>
    </row>
    <row r="10355" customFormat="1" s="94">
      <c r="B10355" s="128" t="n">
        <v>44129</v>
      </c>
      <c r="C10355" s="94">
        <f>TEXT(B10355,"aaa")</f>
        <v/>
      </c>
      <c r="E10355" s="94" t="inlineStr">
        <is>
          <t>클렌징폼</t>
        </is>
      </c>
      <c r="F10355" s="5" t="inlineStr">
        <is>
          <t>카페24</t>
        </is>
      </c>
      <c r="G10355" s="94" t="inlineStr">
        <is>
          <t>클렌징폼 120ml 3set</t>
        </is>
      </c>
      <c r="H10355" s="94" t="n">
        <v>200801</v>
      </c>
      <c r="I10355" s="94" t="n">
        <v>200801</v>
      </c>
      <c r="K10355" s="94" t="n">
        <v>2</v>
      </c>
      <c r="L10355" s="94" t="n">
        <v>200801</v>
      </c>
      <c r="M10355" s="94">
        <f>VLOOKUP($Q10355,매칭테이블!$F:$I,2,0)*K10355</f>
        <v/>
      </c>
      <c r="N10355" s="94">
        <f>M10355-M10355*VLOOKUP($Q10355,매칭테이블!$F:$I,3,0)</f>
        <v/>
      </c>
      <c r="O10355" s="94">
        <f>VLOOKUP($Q10355,매칭테이블!$F:$I,4,0)*K10355</f>
        <v/>
      </c>
      <c r="P10355" s="148">
        <f>M10355/1.1</f>
        <v/>
      </c>
      <c r="Q10355" s="94">
        <f>F10355&amp;E10355&amp;G10355&amp;L10355</f>
        <v/>
      </c>
    </row>
    <row r="10356" customFormat="1" s="94">
      <c r="B10356" s="128" t="n">
        <v>44129</v>
      </c>
      <c r="C10356" s="94">
        <f>TEXT(B10356,"aaa")</f>
        <v/>
      </c>
      <c r="E10356" s="94" t="inlineStr">
        <is>
          <t>바디워시</t>
        </is>
      </c>
      <c r="F10356" s="5" t="inlineStr">
        <is>
          <t>카페24</t>
        </is>
      </c>
      <c r="G10356" s="94" t="inlineStr">
        <is>
          <t>바디워시 1개 -30% off</t>
        </is>
      </c>
      <c r="H10356" s="94" t="n">
        <v>200801</v>
      </c>
      <c r="I10356" s="94" t="n">
        <v>200801</v>
      </c>
      <c r="K10356" s="94" t="n">
        <v>1</v>
      </c>
      <c r="L10356" s="94" t="n">
        <v>200801</v>
      </c>
      <c r="M10356" s="94">
        <f>VLOOKUP($Q10356,매칭테이블!$F:$I,2,0)*K10356</f>
        <v/>
      </c>
      <c r="N10356" s="94">
        <f>M10356-M10356*VLOOKUP($Q10356,매칭테이블!$F:$I,3,0)</f>
        <v/>
      </c>
      <c r="O10356" s="94">
        <f>VLOOKUP($Q10356,매칭테이블!$F:$I,4,0)*K10356</f>
        <v/>
      </c>
      <c r="P10356" s="148">
        <f>M10356/1.1</f>
        <v/>
      </c>
      <c r="Q10356" s="94">
        <f>F10356&amp;E10356&amp;G10356&amp;L10356</f>
        <v/>
      </c>
    </row>
    <row r="10357" customFormat="1" s="94">
      <c r="B10357" s="128" t="n">
        <v>44129</v>
      </c>
      <c r="C10357" s="94">
        <f>TEXT(B10357,"aaa")</f>
        <v/>
      </c>
      <c r="E10357" s="94" t="inlineStr">
        <is>
          <t>바디워시</t>
        </is>
      </c>
      <c r="F10357" s="5" t="inlineStr">
        <is>
          <t>카페24</t>
        </is>
      </c>
      <c r="G10357" s="94" t="inlineStr">
        <is>
          <t>바디워시 2개 -35% off (무료배송)</t>
        </is>
      </c>
      <c r="H10357" s="94" t="n">
        <v>200801</v>
      </c>
      <c r="I10357" s="94" t="n">
        <v>200801</v>
      </c>
      <c r="K10357" s="94" t="n">
        <v>2</v>
      </c>
      <c r="L10357" s="94" t="n">
        <v>200801</v>
      </c>
      <c r="M10357" s="94">
        <f>VLOOKUP($Q10357,매칭테이블!$F:$I,2,0)*K10357</f>
        <v/>
      </c>
      <c r="N10357" s="94">
        <f>M10357-M10357*VLOOKUP($Q10357,매칭테이블!$F:$I,3,0)</f>
        <v/>
      </c>
      <c r="O10357" s="94">
        <f>VLOOKUP($Q10357,매칭테이블!$F:$I,4,0)*K10357</f>
        <v/>
      </c>
      <c r="P10357" s="148">
        <f>M10357/1.1</f>
        <v/>
      </c>
      <c r="Q10357" s="94">
        <f>F10357&amp;E10357&amp;G10357&amp;L10357</f>
        <v/>
      </c>
    </row>
    <row r="10358" customFormat="1" s="94">
      <c r="B10358" s="128" t="n">
        <v>44129</v>
      </c>
      <c r="C10358" s="94">
        <f>TEXT(B10358,"aaa")</f>
        <v/>
      </c>
      <c r="E10358" s="94" t="inlineStr">
        <is>
          <t>앰플</t>
        </is>
      </c>
      <c r="F10358" s="5" t="inlineStr">
        <is>
          <t>화해</t>
        </is>
      </c>
      <c r="G10358" s="94" t="inlineStr">
        <is>
          <t>앰플 30ml</t>
        </is>
      </c>
      <c r="H10358" s="94" t="n">
        <v>200801</v>
      </c>
      <c r="I10358" s="94" t="n">
        <v>200801</v>
      </c>
      <c r="K10358" s="94" t="n">
        <v>1</v>
      </c>
      <c r="L10358" s="94" t="n">
        <v>200801</v>
      </c>
      <c r="M10358" s="94">
        <f>VLOOKUP($Q10358,매칭테이블!$F:$I,2,0)*K10358</f>
        <v/>
      </c>
      <c r="N10358" s="94">
        <f>M10358-M10358*VLOOKUP($Q10358,매칭테이블!$F:$I,3,0)</f>
        <v/>
      </c>
      <c r="O10358" s="94">
        <f>VLOOKUP($Q10358,매칭테이블!$F:$I,4,0)*K10358</f>
        <v/>
      </c>
      <c r="P10358" s="148">
        <f>M10358/1.1</f>
        <v/>
      </c>
      <c r="Q10358" s="94">
        <f>F10358&amp;E10358&amp;G10358&amp;L10358</f>
        <v/>
      </c>
    </row>
    <row r="10359" customFormat="1" s="94">
      <c r="B10359" s="128" t="n">
        <v>44129</v>
      </c>
      <c r="C10359" s="94">
        <f>TEXT(B10359,"aaa")</f>
        <v/>
      </c>
      <c r="E10359" s="94" t="inlineStr">
        <is>
          <t>토너</t>
        </is>
      </c>
      <c r="F10359" s="5" t="inlineStr">
        <is>
          <t>화해</t>
        </is>
      </c>
      <c r="G10359" s="94" t="inlineStr">
        <is>
          <t>250ml</t>
        </is>
      </c>
      <c r="H10359" s="94" t="n">
        <v>200801</v>
      </c>
      <c r="I10359" s="94" t="n">
        <v>200801</v>
      </c>
      <c r="K10359" s="94" t="n">
        <v>1</v>
      </c>
      <c r="L10359" s="94" t="n">
        <v>200801</v>
      </c>
      <c r="M10359" s="94">
        <f>VLOOKUP($Q10359,매칭테이블!$F:$I,2,0)*K10359</f>
        <v/>
      </c>
      <c r="N10359" s="94">
        <f>M10359-M10359*VLOOKUP($Q10359,매칭테이블!$F:$I,3,0)</f>
        <v/>
      </c>
      <c r="O10359" s="94">
        <f>VLOOKUP($Q10359,매칭테이블!$F:$I,4,0)*K10359</f>
        <v/>
      </c>
      <c r="P10359" s="148">
        <f>M10359/1.1</f>
        <v/>
      </c>
      <c r="Q10359" s="94">
        <f>F10359&amp;E10359&amp;G10359&amp;L10359</f>
        <v/>
      </c>
    </row>
    <row r="10360" customFormat="1" s="94">
      <c r="B10360" s="128" t="n">
        <v>44129</v>
      </c>
      <c r="C10360" s="94">
        <f>TEXT(B10360,"aaa")</f>
        <v/>
      </c>
      <c r="E10360" s="94" t="inlineStr">
        <is>
          <t>클렌징폼</t>
        </is>
      </c>
      <c r="F10360" s="5" t="inlineStr">
        <is>
          <t>화해</t>
        </is>
      </c>
      <c r="G10360" s="94" t="inlineStr">
        <is>
          <t>클렌징폼 120ml</t>
        </is>
      </c>
      <c r="H10360" s="94" t="n">
        <v>200801</v>
      </c>
      <c r="I10360" s="94" t="n">
        <v>200801</v>
      </c>
      <c r="K10360" s="94" t="n">
        <v>1</v>
      </c>
      <c r="L10360" s="94" t="n">
        <v>200801</v>
      </c>
      <c r="M10360" s="94">
        <f>VLOOKUP($Q10360,매칭테이블!$F:$I,2,0)*K10360</f>
        <v/>
      </c>
      <c r="N10360" s="94">
        <f>M10360-M10360*VLOOKUP($Q10360,매칭테이블!$F:$I,3,0)</f>
        <v/>
      </c>
      <c r="O10360" s="94">
        <f>VLOOKUP($Q10360,매칭테이블!$F:$I,4,0)*K10360</f>
        <v/>
      </c>
      <c r="P10360" s="148">
        <f>M10360/1.1</f>
        <v/>
      </c>
      <c r="Q10360" s="94">
        <f>F10360&amp;E10360&amp;G10360&amp;L10360</f>
        <v/>
      </c>
    </row>
    <row r="10361" customFormat="1" s="94">
      <c r="B10361" s="128" t="n">
        <v>44130</v>
      </c>
      <c r="C10361" s="94">
        <f>TEXT(B10361,"aaa")</f>
        <v/>
      </c>
      <c r="E10361" s="94" t="inlineStr">
        <is>
          <t>토너</t>
        </is>
      </c>
      <c r="F10361" s="5" t="inlineStr">
        <is>
          <t>W컨셉</t>
        </is>
      </c>
      <c r="G10361" s="94" t="inlineStr">
        <is>
          <t>250ml</t>
        </is>
      </c>
      <c r="H10361" s="94" t="n">
        <v>200801</v>
      </c>
      <c r="I10361" s="94" t="n">
        <v>200801</v>
      </c>
      <c r="K10361" s="94" t="n">
        <v>2</v>
      </c>
      <c r="L10361" s="94" t="n">
        <v>200801</v>
      </c>
      <c r="M10361" s="94">
        <f>VLOOKUP($Q10361,매칭테이블!$F:$I,2,0)*K10361</f>
        <v/>
      </c>
      <c r="N10361" s="94">
        <f>M10361-M10361*VLOOKUP($Q10361,매칭테이블!$F:$I,3,0)</f>
        <v/>
      </c>
      <c r="O10361" s="94">
        <f>VLOOKUP($Q10361,매칭테이블!$F:$I,4,0)*K10361</f>
        <v/>
      </c>
      <c r="P10361" s="148">
        <f>M10361/1.1</f>
        <v/>
      </c>
      <c r="Q10361" s="94">
        <f>F10361&amp;E10361&amp;G10361&amp;L10361</f>
        <v/>
      </c>
    </row>
    <row r="10362" customFormat="1" s="94">
      <c r="B10362" s="128" t="n">
        <v>44130</v>
      </c>
      <c r="C10362" s="94">
        <f>TEXT(B10362,"aaa")</f>
        <v/>
      </c>
      <c r="E10362" s="94" t="inlineStr">
        <is>
          <t>토너</t>
        </is>
      </c>
      <c r="F10362" s="5" t="inlineStr">
        <is>
          <t>W컨셉</t>
        </is>
      </c>
      <c r="G10362" s="94" t="inlineStr">
        <is>
          <t>250ml 2set</t>
        </is>
      </c>
      <c r="H10362" s="94" t="n">
        <v>200801</v>
      </c>
      <c r="I10362" s="94" t="n">
        <v>200801</v>
      </c>
      <c r="K10362" s="94" t="n">
        <v>19</v>
      </c>
      <c r="L10362" s="94" t="n">
        <v>200801</v>
      </c>
      <c r="M10362" s="94">
        <f>VLOOKUP($Q10362,매칭테이블!$F:$I,2,0)*K10362</f>
        <v/>
      </c>
      <c r="N10362" s="94">
        <f>M10362-M10362*VLOOKUP($Q10362,매칭테이블!$F:$I,3,0)</f>
        <v/>
      </c>
      <c r="O10362" s="94">
        <f>VLOOKUP($Q10362,매칭테이블!$F:$I,4,0)*K10362</f>
        <v/>
      </c>
      <c r="P10362" s="148">
        <f>M10362/1.1</f>
        <v/>
      </c>
      <c r="Q10362" s="94">
        <f>F10362&amp;E10362&amp;G10362&amp;L10362</f>
        <v/>
      </c>
    </row>
    <row r="10363" customFormat="1" s="94">
      <c r="B10363" s="128" t="n">
        <v>44130</v>
      </c>
      <c r="C10363" s="94">
        <f>TEXT(B10363,"aaa")</f>
        <v/>
      </c>
      <c r="E10363" s="94" t="inlineStr">
        <is>
          <t>토너</t>
        </is>
      </c>
      <c r="F10363" s="5" t="inlineStr">
        <is>
          <t>스타일쉐어</t>
        </is>
      </c>
      <c r="G10363" s="94" t="inlineStr">
        <is>
          <t>250ml</t>
        </is>
      </c>
      <c r="H10363" s="94" t="n">
        <v>200801</v>
      </c>
      <c r="I10363" s="94" t="n">
        <v>200801</v>
      </c>
      <c r="K10363" s="94" t="n">
        <v>3</v>
      </c>
      <c r="L10363" s="94" t="n">
        <v>200801</v>
      </c>
      <c r="M10363" s="94">
        <f>VLOOKUP($Q10363,매칭테이블!$F:$I,2,0)*K10363</f>
        <v/>
      </c>
      <c r="N10363" s="94">
        <f>M10363-M10363*VLOOKUP($Q10363,매칭테이블!$F:$I,3,0)</f>
        <v/>
      </c>
      <c r="O10363" s="94">
        <f>VLOOKUP($Q10363,매칭테이블!$F:$I,4,0)*K10363</f>
        <v/>
      </c>
      <c r="P10363" s="148">
        <f>M10363/1.1</f>
        <v/>
      </c>
      <c r="Q10363" s="94">
        <f>F10363&amp;E10363&amp;G10363&amp;L10363</f>
        <v/>
      </c>
    </row>
    <row r="10364" customFormat="1" s="94">
      <c r="B10364" s="128" t="n">
        <v>44130</v>
      </c>
      <c r="C10364" s="94">
        <f>TEXT(B10364,"aaa")</f>
        <v/>
      </c>
      <c r="E10364" s="94" t="inlineStr">
        <is>
          <t>클리어 패드</t>
        </is>
      </c>
      <c r="F10364" s="5" t="inlineStr">
        <is>
          <t>아누아 CS</t>
        </is>
      </c>
      <c r="G10364" s="94" t="inlineStr">
        <is>
          <t>어성초 클리어패드 70P</t>
        </is>
      </c>
      <c r="H10364" s="94" t="n">
        <v>200801</v>
      </c>
      <c r="I10364" s="94" t="n">
        <v>200801</v>
      </c>
      <c r="K10364" s="94" t="n">
        <v>45</v>
      </c>
      <c r="L10364" s="94" t="n">
        <v>200801</v>
      </c>
      <c r="M10364" s="94">
        <f>VLOOKUP($Q10364,매칭테이블!$F:$I,2,0)*K10364</f>
        <v/>
      </c>
      <c r="N10364" s="94">
        <f>M10364-M10364*VLOOKUP($Q10364,매칭테이블!$F:$I,3,0)</f>
        <v/>
      </c>
      <c r="O10364" s="94">
        <f>VLOOKUP($Q10364,매칭테이블!$F:$I,4,0)*K10364</f>
        <v/>
      </c>
      <c r="P10364" s="148">
        <f>M10364/1.1</f>
        <v/>
      </c>
      <c r="Q10364" s="94">
        <f>F10364&amp;E10364&amp;G10364&amp;L10364</f>
        <v/>
      </c>
    </row>
    <row r="10365" customFormat="1" s="94">
      <c r="B10365" s="128" t="n">
        <v>44130</v>
      </c>
      <c r="C10365" s="94">
        <f>TEXT(B10365,"aaa")</f>
        <v/>
      </c>
      <c r="E10365" s="94" t="inlineStr">
        <is>
          <t>토너</t>
        </is>
      </c>
      <c r="F10365" s="5" t="inlineStr">
        <is>
          <t>아누아 CS</t>
        </is>
      </c>
      <c r="G10365" s="94" t="inlineStr">
        <is>
          <t>250ml</t>
        </is>
      </c>
      <c r="H10365" s="94" t="n">
        <v>200801</v>
      </c>
      <c r="I10365" s="94" t="n">
        <v>200801</v>
      </c>
      <c r="K10365" s="94" t="n">
        <v>25</v>
      </c>
      <c r="L10365" s="94" t="n">
        <v>200801</v>
      </c>
      <c r="M10365" s="94">
        <f>VLOOKUP($Q10365,매칭테이블!$F:$I,2,0)*K10365</f>
        <v/>
      </c>
      <c r="N10365" s="94">
        <f>M10365-M10365*VLOOKUP($Q10365,매칭테이블!$F:$I,3,0)</f>
        <v/>
      </c>
      <c r="O10365" s="94">
        <f>VLOOKUP($Q10365,매칭테이블!$F:$I,4,0)*K10365</f>
        <v/>
      </c>
      <c r="P10365" s="148">
        <f>M10365/1.1</f>
        <v/>
      </c>
      <c r="Q10365" s="94">
        <f>F10365&amp;E10365&amp;G10365&amp;L10365</f>
        <v/>
      </c>
    </row>
    <row r="10366" customFormat="1" s="94">
      <c r="B10366" s="128" t="n">
        <v>44130</v>
      </c>
      <c r="C10366" s="94">
        <f>TEXT(B10366,"aaa")</f>
        <v/>
      </c>
      <c r="E10366" s="94" t="inlineStr">
        <is>
          <t>앰플</t>
        </is>
      </c>
      <c r="F10366" s="5" t="inlineStr">
        <is>
          <t>아누아 CS</t>
        </is>
      </c>
      <c r="G10366" s="94" t="inlineStr">
        <is>
          <t>앰플 30ml</t>
        </is>
      </c>
      <c r="H10366" s="94" t="n">
        <v>200801</v>
      </c>
      <c r="I10366" s="94" t="n">
        <v>200801</v>
      </c>
      <c r="K10366" s="94" t="n">
        <v>25</v>
      </c>
      <c r="L10366" s="94" t="n">
        <v>200801</v>
      </c>
      <c r="M10366" s="94">
        <f>VLOOKUP($Q10366,매칭테이블!$F:$I,2,0)*K10366</f>
        <v/>
      </c>
      <c r="N10366" s="94">
        <f>M10366-M10366*VLOOKUP($Q10366,매칭테이블!$F:$I,3,0)</f>
        <v/>
      </c>
      <c r="O10366" s="94">
        <f>VLOOKUP($Q10366,매칭테이블!$F:$I,4,0)*K10366</f>
        <v/>
      </c>
      <c r="P10366" s="148">
        <f>M10366/1.1</f>
        <v/>
      </c>
      <c r="Q10366" s="94">
        <f>F10366&amp;E10366&amp;G10366&amp;L10366</f>
        <v/>
      </c>
    </row>
    <row r="10367" customFormat="1" s="94">
      <c r="B10367" s="128" t="n">
        <v>44130</v>
      </c>
      <c r="C10367" s="94">
        <f>TEXT(B10367,"aaa")</f>
        <v/>
      </c>
      <c r="E10367" s="94" t="inlineStr">
        <is>
          <t>수딩크림</t>
        </is>
      </c>
      <c r="F10367" s="5" t="inlineStr">
        <is>
          <t>아누아 CS</t>
        </is>
      </c>
      <c r="G10367" s="94" t="inlineStr">
        <is>
          <t>수딩크림 100ml</t>
        </is>
      </c>
      <c r="H10367" s="94" t="n">
        <v>200801</v>
      </c>
      <c r="I10367" s="94" t="n">
        <v>200801</v>
      </c>
      <c r="K10367" s="94" t="n">
        <v>25</v>
      </c>
      <c r="L10367" s="94" t="n">
        <v>200801</v>
      </c>
      <c r="M10367" s="94">
        <f>VLOOKUP($Q10367,매칭테이블!$F:$I,2,0)*K10367</f>
        <v/>
      </c>
      <c r="N10367" s="94">
        <f>M10367-M10367*VLOOKUP($Q10367,매칭테이블!$F:$I,3,0)</f>
        <v/>
      </c>
      <c r="O10367" s="94">
        <f>VLOOKUP($Q10367,매칭테이블!$F:$I,4,0)*K10367</f>
        <v/>
      </c>
      <c r="P10367" s="148">
        <f>M10367/1.1</f>
        <v/>
      </c>
      <c r="Q10367" s="94">
        <f>F10367&amp;E10367&amp;G10367&amp;L10367</f>
        <v/>
      </c>
    </row>
    <row r="10368" customFormat="1" s="94">
      <c r="B10368" s="128" t="n">
        <v>44130</v>
      </c>
      <c r="C10368" s="94">
        <f>TEXT(B10368,"aaa")</f>
        <v/>
      </c>
      <c r="E10368" s="94" t="inlineStr">
        <is>
          <t>선크림</t>
        </is>
      </c>
      <c r="F10368" s="5" t="inlineStr">
        <is>
          <t>카페24</t>
        </is>
      </c>
      <c r="G10368" s="94" t="inlineStr">
        <is>
          <t>선크림 50ml</t>
        </is>
      </c>
      <c r="H10368" s="94" t="n">
        <v>200801</v>
      </c>
      <c r="I10368" s="94" t="n">
        <v>200801</v>
      </c>
      <c r="K10368" s="94" t="n">
        <v>6</v>
      </c>
      <c r="L10368" s="94" t="n">
        <v>200801</v>
      </c>
      <c r="M10368" s="94">
        <f>VLOOKUP($Q10368,매칭테이블!$F:$I,2,0)*K10368</f>
        <v/>
      </c>
      <c r="N10368" s="94">
        <f>M10368-M10368*VLOOKUP($Q10368,매칭테이블!$F:$I,3,0)</f>
        <v/>
      </c>
      <c r="O10368" s="94">
        <f>VLOOKUP($Q10368,매칭테이블!$F:$I,4,0)*K10368</f>
        <v/>
      </c>
      <c r="P10368" s="148">
        <f>M10368/1.1</f>
        <v/>
      </c>
      <c r="Q10368" s="94">
        <f>F10368&amp;E10368&amp;G10368&amp;L10368</f>
        <v/>
      </c>
    </row>
    <row r="10369" customFormat="1" s="94">
      <c r="B10369" s="128" t="n">
        <v>44130</v>
      </c>
      <c r="C10369" s="94">
        <f>TEXT(B10369,"aaa")</f>
        <v/>
      </c>
      <c r="E10369" s="94" t="inlineStr">
        <is>
          <t>어성초진정패키지</t>
        </is>
      </c>
      <c r="F10369" s="5" t="inlineStr">
        <is>
          <t>카페24</t>
        </is>
      </c>
      <c r="G10369" s="94" t="inlineStr">
        <is>
          <t>어성초 진정패키지세트</t>
        </is>
      </c>
      <c r="H10369" s="94" t="n">
        <v>200801</v>
      </c>
      <c r="I10369" s="94" t="n">
        <v>200801</v>
      </c>
      <c r="K10369" s="94" t="n">
        <v>4</v>
      </c>
      <c r="L10369" s="94" t="n">
        <v>200801</v>
      </c>
      <c r="M10369" s="94">
        <f>VLOOKUP($Q10369,매칭테이블!$F:$I,2,0)*K10369</f>
        <v/>
      </c>
      <c r="N10369" s="94">
        <f>M10369-M10369*VLOOKUP($Q10369,매칭테이블!$F:$I,3,0)</f>
        <v/>
      </c>
      <c r="O10369" s="94">
        <f>VLOOKUP($Q10369,매칭테이블!$F:$I,4,0)*K10369</f>
        <v/>
      </c>
      <c r="P10369" s="148">
        <f>M10369/1.1</f>
        <v/>
      </c>
      <c r="Q10369" s="94">
        <f>F10369&amp;E10369&amp;G10369&amp;L10369</f>
        <v/>
      </c>
    </row>
    <row r="10370" customFormat="1" s="94">
      <c r="B10370" s="128" t="n">
        <v>44130</v>
      </c>
      <c r="C10370" s="94">
        <f>TEXT(B10370,"aaa")</f>
        <v/>
      </c>
      <c r="E10370" s="94" t="inlineStr">
        <is>
          <t>클리어 패드</t>
        </is>
      </c>
      <c r="F10370" s="5" t="inlineStr">
        <is>
          <t>카페24</t>
        </is>
      </c>
      <c r="G10370" s="94" t="inlineStr">
        <is>
          <t>어성초 77 클리어 패드 1개-20% off</t>
        </is>
      </c>
      <c r="H10370" s="94" t="n">
        <v>200801</v>
      </c>
      <c r="I10370" s="94" t="n">
        <v>200801</v>
      </c>
      <c r="K10370" s="94" t="n">
        <v>45</v>
      </c>
      <c r="L10370" s="94" t="n">
        <v>200801</v>
      </c>
      <c r="M10370" s="94">
        <f>VLOOKUP($Q10370,매칭테이블!$F:$I,2,0)*K10370</f>
        <v/>
      </c>
      <c r="N10370" s="94">
        <f>M10370-M10370*VLOOKUP($Q10370,매칭테이블!$F:$I,3,0)</f>
        <v/>
      </c>
      <c r="O10370" s="94">
        <f>VLOOKUP($Q10370,매칭테이블!$F:$I,4,0)*K10370</f>
        <v/>
      </c>
      <c r="P10370" s="148">
        <f>M10370/1.1</f>
        <v/>
      </c>
      <c r="Q10370" s="94">
        <f>F10370&amp;E10370&amp;G10370&amp;L10370</f>
        <v/>
      </c>
    </row>
    <row r="10371" customFormat="1" s="94">
      <c r="B10371" s="128" t="n">
        <v>44130</v>
      </c>
      <c r="C10371" s="94">
        <f>TEXT(B10371,"aaa")</f>
        <v/>
      </c>
      <c r="E10371" s="94" t="inlineStr">
        <is>
          <t>클리어 패드</t>
        </is>
      </c>
      <c r="F10371" s="5" t="inlineStr">
        <is>
          <t>카페24</t>
        </is>
      </c>
      <c r="G10371" s="94" t="inlineStr">
        <is>
          <t>어성초 77 클리어 패드 2개-30% off</t>
        </is>
      </c>
      <c r="H10371" s="94" t="n">
        <v>200801</v>
      </c>
      <c r="I10371" s="94" t="n">
        <v>200801</v>
      </c>
      <c r="K10371" s="94" t="n">
        <v>117</v>
      </c>
      <c r="L10371" s="94" t="n">
        <v>200801</v>
      </c>
      <c r="M10371" s="94">
        <f>VLOOKUP($Q10371,매칭테이블!$F:$I,2,0)*K10371</f>
        <v/>
      </c>
      <c r="N10371" s="94">
        <f>M10371-M10371*VLOOKUP($Q10371,매칭테이블!$F:$I,3,0)</f>
        <v/>
      </c>
      <c r="O10371" s="94">
        <f>VLOOKUP($Q10371,매칭테이블!$F:$I,4,0)*K10371</f>
        <v/>
      </c>
      <c r="P10371" s="148">
        <f>M10371/1.1</f>
        <v/>
      </c>
      <c r="Q10371" s="94">
        <f>F10371&amp;E10371&amp;G10371&amp;L10371</f>
        <v/>
      </c>
    </row>
    <row r="10372" customFormat="1" s="94">
      <c r="B10372" s="128" t="n">
        <v>44130</v>
      </c>
      <c r="C10372" s="94">
        <f>TEXT(B10372,"aaa")</f>
        <v/>
      </c>
      <c r="E10372" s="94" t="inlineStr">
        <is>
          <t>토너+패드 세트</t>
        </is>
      </c>
      <c r="F10372" s="5" t="inlineStr">
        <is>
          <t>카페24</t>
        </is>
      </c>
      <c r="G10372" s="94" t="inlineStr">
        <is>
          <t>좁쌀 진정 세트 토너+클리어 패드-30% off</t>
        </is>
      </c>
      <c r="H10372" s="94" t="n">
        <v>200801</v>
      </c>
      <c r="I10372" s="94" t="n">
        <v>200801</v>
      </c>
      <c r="K10372" s="94" t="n">
        <v>53</v>
      </c>
      <c r="L10372" s="94" t="n">
        <v>200801</v>
      </c>
      <c r="M10372" s="94">
        <f>VLOOKUP($Q10372,매칭테이블!$F:$I,2,0)*K10372</f>
        <v/>
      </c>
      <c r="N10372" s="94">
        <f>M10372-M10372*VLOOKUP($Q10372,매칭테이블!$F:$I,3,0)</f>
        <v/>
      </c>
      <c r="O10372" s="94">
        <f>VLOOKUP($Q10372,매칭테이블!$F:$I,4,0)*K10372</f>
        <v/>
      </c>
      <c r="P10372" s="148">
        <f>M10372/1.1</f>
        <v/>
      </c>
      <c r="Q10372" s="94">
        <f>F10372&amp;E10372&amp;G10372&amp;L10372</f>
        <v/>
      </c>
    </row>
    <row r="10373" customFormat="1" s="94">
      <c r="B10373" s="128" t="n">
        <v>44130</v>
      </c>
      <c r="C10373" s="94">
        <f>TEXT(B10373,"aaa")</f>
        <v/>
      </c>
      <c r="E10373" s="94" t="inlineStr">
        <is>
          <t>머드크림마스크</t>
        </is>
      </c>
      <c r="F10373" s="5" t="inlineStr">
        <is>
          <t>카페24</t>
        </is>
      </c>
      <c r="G10373" s="94" t="inlineStr">
        <is>
          <t>머드크림마스크 100ml</t>
        </is>
      </c>
      <c r="H10373" s="94" t="n">
        <v>200801</v>
      </c>
      <c r="I10373" s="94" t="n">
        <v>200801</v>
      </c>
      <c r="K10373" s="94" t="n">
        <v>13</v>
      </c>
      <c r="L10373" s="94" t="n">
        <v>200801</v>
      </c>
      <c r="M10373" s="94">
        <f>VLOOKUP($Q10373,매칭테이블!$F:$I,2,0)*K10373</f>
        <v/>
      </c>
      <c r="N10373" s="94">
        <f>M10373-M10373*VLOOKUP($Q10373,매칭테이블!$F:$I,3,0)</f>
        <v/>
      </c>
      <c r="O10373" s="94">
        <f>VLOOKUP($Q10373,매칭테이블!$F:$I,4,0)*K10373</f>
        <v/>
      </c>
      <c r="P10373" s="148">
        <f>M10373/1.1</f>
        <v/>
      </c>
      <c r="Q10373" s="94">
        <f>F10373&amp;E10373&amp;G10373&amp;L10373</f>
        <v/>
      </c>
    </row>
    <row r="10374" customFormat="1" s="94">
      <c r="B10374" s="128" t="n">
        <v>44130</v>
      </c>
      <c r="C10374" s="94">
        <f>TEXT(B10374,"aaa")</f>
        <v/>
      </c>
      <c r="E10374" s="94" t="inlineStr">
        <is>
          <t>머드크림마스크</t>
        </is>
      </c>
      <c r="F10374" s="5" t="inlineStr">
        <is>
          <t>카페24</t>
        </is>
      </c>
      <c r="G10374" s="94" t="inlineStr">
        <is>
          <t>머드크림마스크 100ml 2set</t>
        </is>
      </c>
      <c r="H10374" s="94" t="n">
        <v>200801</v>
      </c>
      <c r="I10374" s="94" t="n">
        <v>200801</v>
      </c>
      <c r="K10374" s="94" t="n">
        <v>6</v>
      </c>
      <c r="L10374" s="94" t="n">
        <v>200801</v>
      </c>
      <c r="M10374" s="94">
        <f>VLOOKUP($Q10374,매칭테이블!$F:$I,2,0)*K10374</f>
        <v/>
      </c>
      <c r="N10374" s="94">
        <f>M10374-M10374*VLOOKUP($Q10374,매칭테이블!$F:$I,3,0)</f>
        <v/>
      </c>
      <c r="O10374" s="94">
        <f>VLOOKUP($Q10374,매칭테이블!$F:$I,4,0)*K10374</f>
        <v/>
      </c>
      <c r="P10374" s="148">
        <f>M10374/1.1</f>
        <v/>
      </c>
      <c r="Q10374" s="94">
        <f>F10374&amp;E10374&amp;G10374&amp;L10374</f>
        <v/>
      </c>
    </row>
    <row r="10375" customFormat="1" s="94">
      <c r="B10375" s="128" t="n">
        <v>44130</v>
      </c>
      <c r="C10375" s="94">
        <f>TEXT(B10375,"aaa")</f>
        <v/>
      </c>
      <c r="E10375" s="94" t="inlineStr">
        <is>
          <t>마스크팩</t>
        </is>
      </c>
      <c r="F10375" s="5" t="inlineStr">
        <is>
          <t>카페24</t>
        </is>
      </c>
      <c r="G10375" s="94" t="inlineStr">
        <is>
          <t>마스크팩 1매</t>
        </is>
      </c>
      <c r="H10375" s="94" t="n">
        <v>200801</v>
      </c>
      <c r="I10375" s="94" t="n">
        <v>200801</v>
      </c>
      <c r="K10375" s="94" t="n">
        <v>5</v>
      </c>
      <c r="L10375" s="94" t="n">
        <v>200801</v>
      </c>
      <c r="M10375" s="94">
        <f>VLOOKUP($Q10375,매칭테이블!$F:$I,2,0)*K10375</f>
        <v/>
      </c>
      <c r="N10375" s="94">
        <f>M10375-M10375*VLOOKUP($Q10375,매칭테이블!$F:$I,3,0)</f>
        <v/>
      </c>
      <c r="O10375" s="94">
        <f>VLOOKUP($Q10375,매칭테이블!$F:$I,4,0)*K10375</f>
        <v/>
      </c>
      <c r="P10375" s="148">
        <f>M10375/1.1</f>
        <v/>
      </c>
      <c r="Q10375" s="94">
        <f>F10375&amp;E10375&amp;G10375&amp;L10375</f>
        <v/>
      </c>
    </row>
    <row r="10376" customFormat="1" s="94">
      <c r="B10376" s="128" t="n">
        <v>44130</v>
      </c>
      <c r="C10376" s="94">
        <f>TEXT(B10376,"aaa")</f>
        <v/>
      </c>
      <c r="E10376" s="94" t="inlineStr">
        <is>
          <t>마스크팩</t>
        </is>
      </c>
      <c r="F10376" s="5" t="inlineStr">
        <is>
          <t>카페24</t>
        </is>
      </c>
      <c r="G10376" s="94" t="inlineStr">
        <is>
          <t>마스크팩 10매</t>
        </is>
      </c>
      <c r="H10376" s="94" t="n">
        <v>200801</v>
      </c>
      <c r="I10376" s="94" t="n">
        <v>200801</v>
      </c>
      <c r="K10376" s="94" t="n">
        <v>14</v>
      </c>
      <c r="L10376" s="94" t="n">
        <v>200801</v>
      </c>
      <c r="M10376" s="94">
        <f>VLOOKUP($Q10376,매칭테이블!$F:$I,2,0)*K10376</f>
        <v/>
      </c>
      <c r="N10376" s="94">
        <f>M10376-M10376*VLOOKUP($Q10376,매칭테이블!$F:$I,3,0)</f>
        <v/>
      </c>
      <c r="O10376" s="94">
        <f>VLOOKUP($Q10376,매칭테이블!$F:$I,4,0)*K10376</f>
        <v/>
      </c>
      <c r="P10376" s="148">
        <f>M10376/1.1</f>
        <v/>
      </c>
      <c r="Q10376" s="94">
        <f>F10376&amp;E10376&amp;G10376&amp;L10376</f>
        <v/>
      </c>
    </row>
    <row r="10377" customFormat="1" s="94">
      <c r="B10377" s="128" t="n">
        <v>44130</v>
      </c>
      <c r="C10377" s="94">
        <f>TEXT(B10377,"aaa")</f>
        <v/>
      </c>
      <c r="E10377" s="94" t="inlineStr">
        <is>
          <t>토너</t>
        </is>
      </c>
      <c r="F10377" s="5" t="inlineStr">
        <is>
          <t>카페24</t>
        </is>
      </c>
      <c r="G10377" s="94" t="inlineStr">
        <is>
          <t>250ml</t>
        </is>
      </c>
      <c r="H10377" s="94" t="n">
        <v>200801</v>
      </c>
      <c r="I10377" s="94" t="n">
        <v>200801</v>
      </c>
      <c r="K10377" s="94" t="n">
        <v>35</v>
      </c>
      <c r="L10377" s="94" t="n">
        <v>200801</v>
      </c>
      <c r="M10377" s="94">
        <f>VLOOKUP($Q10377,매칭테이블!$F:$I,2,0)*K10377</f>
        <v/>
      </c>
      <c r="N10377" s="94">
        <f>M10377-M10377*VLOOKUP($Q10377,매칭테이블!$F:$I,3,0)</f>
        <v/>
      </c>
      <c r="O10377" s="94">
        <f>VLOOKUP($Q10377,매칭테이블!$F:$I,4,0)*K10377</f>
        <v/>
      </c>
      <c r="P10377" s="148">
        <f>M10377/1.1</f>
        <v/>
      </c>
      <c r="Q10377" s="94">
        <f>F10377&amp;E10377&amp;G10377&amp;L10377</f>
        <v/>
      </c>
    </row>
    <row r="10378" customFormat="1" s="94">
      <c r="B10378" s="128" t="n">
        <v>44130</v>
      </c>
      <c r="C10378" s="94">
        <f>TEXT(B10378,"aaa")</f>
        <v/>
      </c>
      <c r="E10378" s="94" t="inlineStr">
        <is>
          <t>토너</t>
        </is>
      </c>
      <c r="F10378" s="5" t="inlineStr">
        <is>
          <t>카페24</t>
        </is>
      </c>
      <c r="G10378" s="94" t="inlineStr">
        <is>
          <t>250ml 2set</t>
        </is>
      </c>
      <c r="H10378" s="94" t="n">
        <v>200801</v>
      </c>
      <c r="I10378" s="94" t="n">
        <v>200801</v>
      </c>
      <c r="K10378" s="94" t="n">
        <v>17</v>
      </c>
      <c r="L10378" s="94" t="n">
        <v>200801</v>
      </c>
      <c r="M10378" s="94">
        <f>VLOOKUP($Q10378,매칭테이블!$F:$I,2,0)*K10378</f>
        <v/>
      </c>
      <c r="N10378" s="94">
        <f>M10378-M10378*VLOOKUP($Q10378,매칭테이블!$F:$I,3,0)</f>
        <v/>
      </c>
      <c r="O10378" s="94">
        <f>VLOOKUP($Q10378,매칭테이블!$F:$I,4,0)*K10378</f>
        <v/>
      </c>
      <c r="P10378" s="148">
        <f>M10378/1.1</f>
        <v/>
      </c>
      <c r="Q10378" s="94">
        <f>F10378&amp;E10378&amp;G10378&amp;L10378</f>
        <v/>
      </c>
    </row>
    <row r="10379" customFormat="1" s="94">
      <c r="B10379" s="128" t="n">
        <v>44130</v>
      </c>
      <c r="C10379" s="94">
        <f>TEXT(B10379,"aaa")</f>
        <v/>
      </c>
      <c r="E10379" s="94" t="inlineStr">
        <is>
          <t>토너</t>
        </is>
      </c>
      <c r="F10379" s="5" t="inlineStr">
        <is>
          <t>카페24</t>
        </is>
      </c>
      <c r="G10379" s="94" t="inlineStr">
        <is>
          <t>500ml</t>
        </is>
      </c>
      <c r="H10379" s="94" t="n">
        <v>200801</v>
      </c>
      <c r="I10379" s="94" t="n">
        <v>200801</v>
      </c>
      <c r="K10379" s="94" t="n">
        <v>73</v>
      </c>
      <c r="L10379" s="94" t="n">
        <v>200801</v>
      </c>
      <c r="M10379" s="94">
        <f>VLOOKUP($Q10379,매칭테이블!$F:$I,2,0)*K10379</f>
        <v/>
      </c>
      <c r="N10379" s="94">
        <f>M10379-M10379*VLOOKUP($Q10379,매칭테이블!$F:$I,3,0)</f>
        <v/>
      </c>
      <c r="O10379" s="94">
        <f>VLOOKUP($Q10379,매칭테이블!$F:$I,4,0)*K10379</f>
        <v/>
      </c>
      <c r="P10379" s="148">
        <f>M10379/1.1</f>
        <v/>
      </c>
      <c r="Q10379" s="94">
        <f>F10379&amp;E10379&amp;G10379&amp;L10379</f>
        <v/>
      </c>
    </row>
    <row r="10380" customFormat="1" s="94">
      <c r="B10380" s="128" t="n">
        <v>44130</v>
      </c>
      <c r="C10380" s="94">
        <f>TEXT(B10380,"aaa")</f>
        <v/>
      </c>
      <c r="E10380" s="94" t="inlineStr">
        <is>
          <t>토너</t>
        </is>
      </c>
      <c r="F10380" s="5" t="inlineStr">
        <is>
          <t>카페24</t>
        </is>
      </c>
      <c r="G10380" s="94" t="inlineStr">
        <is>
          <t>스킨팩 화장솜 60P</t>
        </is>
      </c>
      <c r="H10380" s="94" t="n">
        <v>200801</v>
      </c>
      <c r="I10380" s="94" t="n">
        <v>200801</v>
      </c>
      <c r="K10380" s="94" t="n">
        <v>47</v>
      </c>
      <c r="L10380" s="94" t="n">
        <v>200801</v>
      </c>
      <c r="M10380" s="94">
        <f>VLOOKUP($Q10380,매칭테이블!$F:$I,2,0)*K10380</f>
        <v/>
      </c>
      <c r="N10380" s="94">
        <f>M10380-M10380*VLOOKUP($Q10380,매칭테이블!$F:$I,3,0)</f>
        <v/>
      </c>
      <c r="O10380" s="94">
        <f>VLOOKUP($Q10380,매칭테이블!$F:$I,4,0)*K10380</f>
        <v/>
      </c>
      <c r="P10380" s="148">
        <f>M10380/1.1</f>
        <v/>
      </c>
      <c r="Q10380" s="94">
        <f>F10380&amp;E10380&amp;G10380&amp;L10380</f>
        <v/>
      </c>
    </row>
    <row r="10381" customFormat="1" s="94">
      <c r="B10381" s="128" t="n">
        <v>44130</v>
      </c>
      <c r="C10381" s="94">
        <f>TEXT(B10381,"aaa")</f>
        <v/>
      </c>
      <c r="E10381" s="94" t="inlineStr">
        <is>
          <t>앰플</t>
        </is>
      </c>
      <c r="F10381" s="5" t="inlineStr">
        <is>
          <t>카페24</t>
        </is>
      </c>
      <c r="G10381" s="94" t="inlineStr">
        <is>
          <t>앰플 30ml</t>
        </is>
      </c>
      <c r="H10381" s="94" t="n">
        <v>200801</v>
      </c>
      <c r="I10381" s="94" t="n">
        <v>200801</v>
      </c>
      <c r="K10381" s="94" t="n">
        <v>18</v>
      </c>
      <c r="L10381" s="94" t="n">
        <v>200801</v>
      </c>
      <c r="M10381" s="94">
        <f>VLOOKUP($Q10381,매칭테이블!$F:$I,2,0)*K10381</f>
        <v/>
      </c>
      <c r="N10381" s="94">
        <f>M10381-M10381*VLOOKUP($Q10381,매칭테이블!$F:$I,3,0)</f>
        <v/>
      </c>
      <c r="O10381" s="94">
        <f>VLOOKUP($Q10381,매칭테이블!$F:$I,4,0)*K10381</f>
        <v/>
      </c>
      <c r="P10381" s="148">
        <f>M10381/1.1</f>
        <v/>
      </c>
      <c r="Q10381" s="94">
        <f>F10381&amp;E10381&amp;G10381&amp;L10381</f>
        <v/>
      </c>
    </row>
    <row r="10382" customFormat="1" s="94">
      <c r="B10382" s="128" t="n">
        <v>44130</v>
      </c>
      <c r="C10382" s="94">
        <f>TEXT(B10382,"aaa")</f>
        <v/>
      </c>
      <c r="E10382" s="94" t="inlineStr">
        <is>
          <t>앰플</t>
        </is>
      </c>
      <c r="F10382" s="5" t="inlineStr">
        <is>
          <t>카페24</t>
        </is>
      </c>
      <c r="G10382" s="94" t="inlineStr">
        <is>
          <t>앰플 30ml  2set</t>
        </is>
      </c>
      <c r="H10382" s="94" t="n">
        <v>200801</v>
      </c>
      <c r="I10382" s="94" t="n">
        <v>200801</v>
      </c>
      <c r="K10382" s="94" t="n">
        <v>13</v>
      </c>
      <c r="L10382" s="94" t="n">
        <v>200801</v>
      </c>
      <c r="M10382" s="94">
        <f>VLOOKUP($Q10382,매칭테이블!$F:$I,2,0)*K10382</f>
        <v/>
      </c>
      <c r="N10382" s="94">
        <f>M10382-M10382*VLOOKUP($Q10382,매칭테이블!$F:$I,3,0)</f>
        <v/>
      </c>
      <c r="O10382" s="94">
        <f>VLOOKUP($Q10382,매칭테이블!$F:$I,4,0)*K10382</f>
        <v/>
      </c>
      <c r="P10382" s="148">
        <f>M10382/1.1</f>
        <v/>
      </c>
      <c r="Q10382" s="94">
        <f>F10382&amp;E10382&amp;G10382&amp;L10382</f>
        <v/>
      </c>
    </row>
    <row r="10383" customFormat="1" s="94">
      <c r="B10383" s="128" t="n">
        <v>44130</v>
      </c>
      <c r="C10383" s="94">
        <f>TEXT(B10383,"aaa")</f>
        <v/>
      </c>
      <c r="E10383" s="94" t="inlineStr">
        <is>
          <t>수딩크림</t>
        </is>
      </c>
      <c r="F10383" s="5" t="inlineStr">
        <is>
          <t>카페24</t>
        </is>
      </c>
      <c r="G10383" s="94" t="inlineStr">
        <is>
          <t>수딩크림 100ml</t>
        </is>
      </c>
      <c r="H10383" s="94" t="n">
        <v>200801</v>
      </c>
      <c r="I10383" s="94" t="n">
        <v>200801</v>
      </c>
      <c r="K10383" s="94" t="n">
        <v>8</v>
      </c>
      <c r="L10383" s="94" t="n">
        <v>200801</v>
      </c>
      <c r="M10383" s="94">
        <f>VLOOKUP($Q10383,매칭테이블!$F:$I,2,0)*K10383</f>
        <v/>
      </c>
      <c r="N10383" s="94">
        <f>M10383-M10383*VLOOKUP($Q10383,매칭테이블!$F:$I,3,0)</f>
        <v/>
      </c>
      <c r="O10383" s="94">
        <f>VLOOKUP($Q10383,매칭테이블!$F:$I,4,0)*K10383</f>
        <v/>
      </c>
      <c r="P10383" s="148">
        <f>M10383/1.1</f>
        <v/>
      </c>
      <c r="Q10383" s="94">
        <f>F10383&amp;E10383&amp;G10383&amp;L10383</f>
        <v/>
      </c>
    </row>
    <row r="10384" customFormat="1" s="94">
      <c r="B10384" s="128" t="n">
        <v>44130</v>
      </c>
      <c r="C10384" s="94">
        <f>TEXT(B10384,"aaa")</f>
        <v/>
      </c>
      <c r="E10384" s="94" t="inlineStr">
        <is>
          <t>클렌징폼</t>
        </is>
      </c>
      <c r="F10384" s="5" t="inlineStr">
        <is>
          <t>카페24</t>
        </is>
      </c>
      <c r="G10384" s="94" t="inlineStr">
        <is>
          <t>클렌징폼 120ml</t>
        </is>
      </c>
      <c r="H10384" s="94" t="n">
        <v>200801</v>
      </c>
      <c r="I10384" s="94" t="n">
        <v>200801</v>
      </c>
      <c r="K10384" s="94" t="n">
        <v>16</v>
      </c>
      <c r="L10384" s="94" t="n">
        <v>200801</v>
      </c>
      <c r="M10384" s="94">
        <f>VLOOKUP($Q10384,매칭테이블!$F:$I,2,0)*K10384</f>
        <v/>
      </c>
      <c r="N10384" s="94">
        <f>M10384-M10384*VLOOKUP($Q10384,매칭테이블!$F:$I,3,0)</f>
        <v/>
      </c>
      <c r="O10384" s="94">
        <f>VLOOKUP($Q10384,매칭테이블!$F:$I,4,0)*K10384</f>
        <v/>
      </c>
      <c r="P10384" s="148">
        <f>M10384/1.1</f>
        <v/>
      </c>
      <c r="Q10384" s="94">
        <f>F10384&amp;E10384&amp;G10384&amp;L10384</f>
        <v/>
      </c>
    </row>
    <row r="10385" customFormat="1" s="94">
      <c r="B10385" s="128" t="n">
        <v>44130</v>
      </c>
      <c r="C10385" s="94">
        <f>TEXT(B10385,"aaa")</f>
        <v/>
      </c>
      <c r="E10385" s="94" t="inlineStr">
        <is>
          <t>클렌징폼</t>
        </is>
      </c>
      <c r="F10385" s="5" t="inlineStr">
        <is>
          <t>카페24</t>
        </is>
      </c>
      <c r="G10385" s="94" t="inlineStr">
        <is>
          <t>클렌징폼 120ml 2set</t>
        </is>
      </c>
      <c r="H10385" s="94" t="n">
        <v>200801</v>
      </c>
      <c r="I10385" s="94" t="n">
        <v>200801</v>
      </c>
      <c r="K10385" s="94" t="n">
        <v>6</v>
      </c>
      <c r="L10385" s="94" t="n">
        <v>200801</v>
      </c>
      <c r="M10385" s="94">
        <f>VLOOKUP($Q10385,매칭테이블!$F:$I,2,0)*K10385</f>
        <v/>
      </c>
      <c r="N10385" s="94">
        <f>M10385-M10385*VLOOKUP($Q10385,매칭테이블!$F:$I,3,0)</f>
        <v/>
      </c>
      <c r="O10385" s="94">
        <f>VLOOKUP($Q10385,매칭테이블!$F:$I,4,0)*K10385</f>
        <v/>
      </c>
      <c r="P10385" s="148">
        <f>M10385/1.1</f>
        <v/>
      </c>
      <c r="Q10385" s="94">
        <f>F10385&amp;E10385&amp;G10385&amp;L10385</f>
        <v/>
      </c>
    </row>
    <row r="10386" customFormat="1" s="94">
      <c r="B10386" s="128" t="n">
        <v>44130</v>
      </c>
      <c r="C10386" s="94">
        <f>TEXT(B10386,"aaa")</f>
        <v/>
      </c>
      <c r="E10386" s="94" t="inlineStr">
        <is>
          <t>클렌징폼</t>
        </is>
      </c>
      <c r="F10386" s="5" t="inlineStr">
        <is>
          <t>카페24</t>
        </is>
      </c>
      <c r="G10386" s="94" t="inlineStr">
        <is>
          <t>클렌징폼 120ml 3set</t>
        </is>
      </c>
      <c r="H10386" s="94" t="n">
        <v>200801</v>
      </c>
      <c r="I10386" s="94" t="n">
        <v>200801</v>
      </c>
      <c r="K10386" s="94" t="n">
        <v>3</v>
      </c>
      <c r="L10386" s="94" t="n">
        <v>200801</v>
      </c>
      <c r="M10386" s="94">
        <f>VLOOKUP($Q10386,매칭테이블!$F:$I,2,0)*K10386</f>
        <v/>
      </c>
      <c r="N10386" s="94">
        <f>M10386-M10386*VLOOKUP($Q10386,매칭테이블!$F:$I,3,0)</f>
        <v/>
      </c>
      <c r="O10386" s="94">
        <f>VLOOKUP($Q10386,매칭테이블!$F:$I,4,0)*K10386</f>
        <v/>
      </c>
      <c r="P10386" s="148">
        <f>M10386/1.1</f>
        <v/>
      </c>
      <c r="Q10386" s="94">
        <f>F10386&amp;E10386&amp;G10386&amp;L10386</f>
        <v/>
      </c>
    </row>
    <row r="10387" customFormat="1" s="94">
      <c r="B10387" s="128" t="n">
        <v>44130</v>
      </c>
      <c r="C10387" s="94">
        <f>TEXT(B10387,"aaa")</f>
        <v/>
      </c>
      <c r="E10387" s="94" t="inlineStr">
        <is>
          <t>바디워시</t>
        </is>
      </c>
      <c r="F10387" s="5" t="inlineStr">
        <is>
          <t>카페24</t>
        </is>
      </c>
      <c r="G10387" s="94" t="inlineStr">
        <is>
          <t>바디워시 1개 -30% off</t>
        </is>
      </c>
      <c r="H10387" s="94" t="n">
        <v>200801</v>
      </c>
      <c r="I10387" s="94" t="n">
        <v>200801</v>
      </c>
      <c r="K10387" s="94" t="n">
        <v>2</v>
      </c>
      <c r="L10387" s="94" t="n">
        <v>200801</v>
      </c>
      <c r="M10387" s="94">
        <f>VLOOKUP($Q10387,매칭테이블!$F:$I,2,0)*K10387</f>
        <v/>
      </c>
      <c r="N10387" s="94">
        <f>M10387-M10387*VLOOKUP($Q10387,매칭테이블!$F:$I,3,0)</f>
        <v/>
      </c>
      <c r="O10387" s="94">
        <f>VLOOKUP($Q10387,매칭테이블!$F:$I,4,0)*K10387</f>
        <v/>
      </c>
      <c r="P10387" s="148">
        <f>M10387/1.1</f>
        <v/>
      </c>
      <c r="Q10387" s="94">
        <f>F10387&amp;E10387&amp;G10387&amp;L10387</f>
        <v/>
      </c>
    </row>
    <row r="10388" customFormat="1" s="94">
      <c r="B10388" s="128" t="n">
        <v>44130</v>
      </c>
      <c r="C10388" s="94">
        <f>TEXT(B10388,"aaa")</f>
        <v/>
      </c>
      <c r="E10388" s="94" t="inlineStr">
        <is>
          <t>앰플</t>
        </is>
      </c>
      <c r="F10388" s="5" t="inlineStr">
        <is>
          <t>화해</t>
        </is>
      </c>
      <c r="G10388" s="94" t="inlineStr">
        <is>
          <t>앰플 30ml</t>
        </is>
      </c>
      <c r="H10388" s="94" t="n">
        <v>200801</v>
      </c>
      <c r="I10388" s="94" t="n">
        <v>200801</v>
      </c>
      <c r="K10388" s="94" t="n">
        <v>1</v>
      </c>
      <c r="L10388" s="94" t="n">
        <v>200801</v>
      </c>
      <c r="M10388" s="94">
        <f>VLOOKUP($Q10388,매칭테이블!$F:$I,2,0)*K10388</f>
        <v/>
      </c>
      <c r="N10388" s="94">
        <f>M10388-M10388*VLOOKUP($Q10388,매칭테이블!$F:$I,3,0)</f>
        <v/>
      </c>
      <c r="O10388" s="94">
        <f>VLOOKUP($Q10388,매칭테이블!$F:$I,4,0)*K10388</f>
        <v/>
      </c>
      <c r="P10388" s="148">
        <f>M10388/1.1</f>
        <v/>
      </c>
      <c r="Q10388" s="94">
        <f>F10388&amp;E10388&amp;G10388&amp;L10388</f>
        <v/>
      </c>
    </row>
    <row r="10389" customFormat="1" s="94">
      <c r="B10389" s="128" t="n">
        <v>44130</v>
      </c>
      <c r="C10389" s="94">
        <f>TEXT(B10389,"aaa")</f>
        <v/>
      </c>
      <c r="E10389" s="94" t="inlineStr">
        <is>
          <t>토너</t>
        </is>
      </c>
      <c r="F10389" s="5" t="inlineStr">
        <is>
          <t>화해</t>
        </is>
      </c>
      <c r="G10389" s="94" t="inlineStr">
        <is>
          <t>250ml</t>
        </is>
      </c>
      <c r="H10389" s="94" t="n">
        <v>200801</v>
      </c>
      <c r="I10389" s="94" t="n">
        <v>200801</v>
      </c>
      <c r="K10389" s="94" t="n">
        <v>6</v>
      </c>
      <c r="L10389" s="94" t="n">
        <v>200801</v>
      </c>
      <c r="M10389" s="94">
        <f>VLOOKUP($Q10389,매칭테이블!$F:$I,2,0)*K10389</f>
        <v/>
      </c>
      <c r="N10389" s="94">
        <f>M10389-M10389*VLOOKUP($Q10389,매칭테이블!$F:$I,3,0)</f>
        <v/>
      </c>
      <c r="O10389" s="94">
        <f>VLOOKUP($Q10389,매칭테이블!$F:$I,4,0)*K10389</f>
        <v/>
      </c>
      <c r="P10389" s="148">
        <f>M10389/1.1</f>
        <v/>
      </c>
      <c r="Q10389" s="94">
        <f>F10389&amp;E10389&amp;G10389&amp;L10389</f>
        <v/>
      </c>
    </row>
    <row r="10390" customFormat="1" s="94">
      <c r="B10390" s="128" t="n">
        <v>44131</v>
      </c>
      <c r="C10390" s="94">
        <f>TEXT(B10390,"aaa")</f>
        <v/>
      </c>
      <c r="E10390" s="94" t="inlineStr">
        <is>
          <t>토너</t>
        </is>
      </c>
      <c r="F10390" s="5" t="inlineStr">
        <is>
          <t>W컨셉</t>
        </is>
      </c>
      <c r="G10390" s="94" t="inlineStr">
        <is>
          <t>250ml</t>
        </is>
      </c>
      <c r="H10390" s="94" t="n">
        <v>200801</v>
      </c>
      <c r="I10390" s="94" t="n">
        <v>200801</v>
      </c>
      <c r="K10390" s="94" t="n">
        <v>1</v>
      </c>
      <c r="L10390" s="94" t="n">
        <v>200801</v>
      </c>
      <c r="M10390" s="94">
        <f>VLOOKUP($Q10390,매칭테이블!$F:$I,2,0)*K10390</f>
        <v/>
      </c>
      <c r="N10390" s="94">
        <f>M10390-M10390*VLOOKUP($Q10390,매칭테이블!$F:$I,3,0)</f>
        <v/>
      </c>
      <c r="O10390" s="94">
        <f>VLOOKUP($Q10390,매칭테이블!$F:$I,4,0)*K10390</f>
        <v/>
      </c>
      <c r="P10390" s="148">
        <f>M10390/1.1</f>
        <v/>
      </c>
      <c r="Q10390" s="94">
        <f>F10390&amp;E10390&amp;G10390&amp;L10390</f>
        <v/>
      </c>
    </row>
    <row r="10391" customFormat="1" s="94">
      <c r="B10391" s="128" t="n">
        <v>44131</v>
      </c>
      <c r="C10391" s="94">
        <f>TEXT(B10391,"aaa")</f>
        <v/>
      </c>
      <c r="E10391" s="94" t="inlineStr">
        <is>
          <t>토너</t>
        </is>
      </c>
      <c r="F10391" s="5" t="inlineStr">
        <is>
          <t>W컨셉</t>
        </is>
      </c>
      <c r="G10391" s="94" t="inlineStr">
        <is>
          <t>250ml 2set</t>
        </is>
      </c>
      <c r="H10391" s="94" t="n">
        <v>200801</v>
      </c>
      <c r="I10391" s="94" t="n">
        <v>200801</v>
      </c>
      <c r="K10391" s="94" t="n">
        <v>9</v>
      </c>
      <c r="L10391" s="94" t="n">
        <v>200801</v>
      </c>
      <c r="M10391" s="94">
        <f>VLOOKUP($Q10391,매칭테이블!$F:$I,2,0)*K10391</f>
        <v/>
      </c>
      <c r="N10391" s="94">
        <f>M10391-M10391*VLOOKUP($Q10391,매칭테이블!$F:$I,3,0)</f>
        <v/>
      </c>
      <c r="O10391" s="94">
        <f>VLOOKUP($Q10391,매칭테이블!$F:$I,4,0)*K10391</f>
        <v/>
      </c>
      <c r="P10391" s="148">
        <f>M10391/1.1</f>
        <v/>
      </c>
      <c r="Q10391" s="94">
        <f>F10391&amp;E10391&amp;G10391&amp;L10391</f>
        <v/>
      </c>
    </row>
    <row r="10392" customFormat="1" s="94">
      <c r="B10392" s="128" t="n">
        <v>44131</v>
      </c>
      <c r="C10392" s="94">
        <f>TEXT(B10392,"aaa")</f>
        <v/>
      </c>
      <c r="E10392" s="94" t="inlineStr">
        <is>
          <t>토너</t>
        </is>
      </c>
      <c r="F10392" s="5" t="inlineStr">
        <is>
          <t>글로우데이즈 시코르</t>
        </is>
      </c>
      <c r="G10392" s="94" t="inlineStr">
        <is>
          <t>토너=250ml</t>
        </is>
      </c>
      <c r="H10392" s="94" t="n">
        <v>200801</v>
      </c>
      <c r="I10392" s="94" t="n">
        <v>200801</v>
      </c>
      <c r="K10392" s="94" t="n">
        <v>20</v>
      </c>
      <c r="L10392" s="94" t="n">
        <v>200801</v>
      </c>
      <c r="M10392" s="94">
        <f>VLOOKUP($Q10392,매칭테이블!$F:$I,2,0)*K10392</f>
        <v/>
      </c>
      <c r="N10392" s="94">
        <f>M10392-M10392*VLOOKUP($Q10392,매칭테이블!$F:$I,3,0)</f>
        <v/>
      </c>
      <c r="O10392" s="94">
        <f>VLOOKUP($Q10392,매칭테이블!$F:$I,4,0)*K10392</f>
        <v/>
      </c>
      <c r="P10392" s="148">
        <f>M10392/1.1</f>
        <v/>
      </c>
      <c r="Q10392" s="94">
        <f>F10392&amp;E10392&amp;G10392&amp;L10392</f>
        <v/>
      </c>
    </row>
    <row r="10393" customFormat="1" s="94">
      <c r="B10393" s="128" t="n">
        <v>44131</v>
      </c>
      <c r="C10393" s="94">
        <f>TEXT(B10393,"aaa")</f>
        <v/>
      </c>
      <c r="E10393" s="94" t="inlineStr">
        <is>
          <t>앰플</t>
        </is>
      </c>
      <c r="F10393" s="5" t="inlineStr">
        <is>
          <t>글로우데이즈 시코르</t>
        </is>
      </c>
      <c r="G10393" s="94" t="inlineStr">
        <is>
          <t>앰플=앰플 30ml</t>
        </is>
      </c>
      <c r="H10393" s="94" t="n">
        <v>200801</v>
      </c>
      <c r="I10393" s="94" t="n">
        <v>200801</v>
      </c>
      <c r="K10393" s="94" t="n">
        <v>20</v>
      </c>
      <c r="L10393" s="94" t="n">
        <v>200801</v>
      </c>
      <c r="M10393" s="94">
        <f>VLOOKUP($Q10393,매칭테이블!$F:$I,2,0)*K10393</f>
        <v/>
      </c>
      <c r="N10393" s="94">
        <f>M10393-M10393*VLOOKUP($Q10393,매칭테이블!$F:$I,3,0)</f>
        <v/>
      </c>
      <c r="O10393" s="94">
        <f>VLOOKUP($Q10393,매칭테이블!$F:$I,4,0)*K10393</f>
        <v/>
      </c>
      <c r="P10393" s="148">
        <f>M10393/1.1</f>
        <v/>
      </c>
      <c r="Q10393" s="94">
        <f>F10393&amp;E10393&amp;G10393&amp;L10393</f>
        <v/>
      </c>
    </row>
    <row r="10394" customFormat="1" s="94">
      <c r="B10394" s="128" t="n">
        <v>44131</v>
      </c>
      <c r="C10394" s="94">
        <f>TEXT(B10394,"aaa")</f>
        <v/>
      </c>
      <c r="E10394" s="94" t="inlineStr">
        <is>
          <t>머드크림마스크</t>
        </is>
      </c>
      <c r="F10394" s="5" t="inlineStr">
        <is>
          <t>글로우데이즈 시코르</t>
        </is>
      </c>
      <c r="G10394" s="94" t="inlineStr">
        <is>
          <t>머드크림마스크=머드크림마스크 100ml</t>
        </is>
      </c>
      <c r="H10394" s="94" t="n">
        <v>200801</v>
      </c>
      <c r="I10394" s="94" t="n">
        <v>200801</v>
      </c>
      <c r="K10394" s="94" t="n">
        <v>10</v>
      </c>
      <c r="L10394" s="94" t="n">
        <v>200801</v>
      </c>
      <c r="M10394" s="94">
        <f>VLOOKUP($Q10394,매칭테이블!$F:$I,2,0)*K10394</f>
        <v/>
      </c>
      <c r="N10394" s="94">
        <f>M10394-M10394*VLOOKUP($Q10394,매칭테이블!$F:$I,3,0)</f>
        <v/>
      </c>
      <c r="O10394" s="94">
        <f>VLOOKUP($Q10394,매칭테이블!$F:$I,4,0)*K10394</f>
        <v/>
      </c>
      <c r="P10394" s="148">
        <f>M10394/1.1</f>
        <v/>
      </c>
      <c r="Q10394" s="94">
        <f>F10394&amp;E10394&amp;G10394&amp;L10394</f>
        <v/>
      </c>
    </row>
    <row r="10395" customFormat="1" s="94">
      <c r="B10395" s="128" t="n">
        <v>44131</v>
      </c>
      <c r="C10395" s="94">
        <f>TEXT(B10395,"aaa")</f>
        <v/>
      </c>
      <c r="E10395" s="94" t="inlineStr">
        <is>
          <t>마스크팩</t>
        </is>
      </c>
      <c r="F10395" s="5" t="inlineStr">
        <is>
          <t>글로우데이즈 시코르</t>
        </is>
      </c>
      <c r="G10395" s="94" t="inlineStr">
        <is>
          <t>마스크팩=마스크팩 10매</t>
        </is>
      </c>
      <c r="H10395" s="94" t="n">
        <v>200801</v>
      </c>
      <c r="I10395" s="94" t="n">
        <v>200801</v>
      </c>
      <c r="K10395" s="94" t="n">
        <v>5</v>
      </c>
      <c r="L10395" s="94" t="n">
        <v>200801</v>
      </c>
      <c r="M10395" s="94">
        <f>VLOOKUP($Q10395,매칭테이블!$F:$I,2,0)*K10395</f>
        <v/>
      </c>
      <c r="N10395" s="94">
        <f>M10395-M10395*VLOOKUP($Q10395,매칭테이블!$F:$I,3,0)</f>
        <v/>
      </c>
      <c r="O10395" s="94">
        <f>VLOOKUP($Q10395,매칭테이블!$F:$I,4,0)*K10395</f>
        <v/>
      </c>
      <c r="P10395" s="148">
        <f>M10395/1.1</f>
        <v/>
      </c>
      <c r="Q10395" s="94">
        <f>F10395&amp;E10395&amp;G10395&amp;L10395</f>
        <v/>
      </c>
    </row>
    <row r="10396" customFormat="1" s="94">
      <c r="B10396" s="128" t="n">
        <v>44131</v>
      </c>
      <c r="C10396" s="94">
        <f>TEXT(B10396,"aaa")</f>
        <v/>
      </c>
      <c r="E10396" s="94" t="inlineStr">
        <is>
          <t>토너</t>
        </is>
      </c>
      <c r="F10396" s="5" t="inlineStr">
        <is>
          <t>스타일쉐어</t>
        </is>
      </c>
      <c r="G10396" s="94" t="inlineStr">
        <is>
          <t>250ml</t>
        </is>
      </c>
      <c r="H10396" s="94" t="n">
        <v>200801</v>
      </c>
      <c r="I10396" s="94" t="n">
        <v>200801</v>
      </c>
      <c r="K10396" s="94" t="n">
        <v>3</v>
      </c>
      <c r="L10396" s="94" t="n">
        <v>200801</v>
      </c>
      <c r="M10396" s="94">
        <f>VLOOKUP($Q10396,매칭테이블!$F:$I,2,0)*K10396</f>
        <v/>
      </c>
      <c r="N10396" s="94">
        <f>M10396-M10396*VLOOKUP($Q10396,매칭테이블!$F:$I,3,0)</f>
        <v/>
      </c>
      <c r="O10396" s="94">
        <f>VLOOKUP($Q10396,매칭테이블!$F:$I,4,0)*K10396</f>
        <v/>
      </c>
      <c r="P10396" s="148">
        <f>M10396/1.1</f>
        <v/>
      </c>
      <c r="Q10396" s="94">
        <f>F10396&amp;E10396&amp;G10396&amp;L10396</f>
        <v/>
      </c>
    </row>
    <row r="10397" customFormat="1" s="94">
      <c r="B10397" s="128" t="n">
        <v>44131</v>
      </c>
      <c r="C10397" s="94">
        <f>TEXT(B10397,"aaa")</f>
        <v/>
      </c>
      <c r="E10397" s="94" t="inlineStr">
        <is>
          <t>선크림</t>
        </is>
      </c>
      <c r="F10397" s="5" t="inlineStr">
        <is>
          <t>카페24</t>
        </is>
      </c>
      <c r="G10397" s="94" t="inlineStr">
        <is>
          <t>선크림 50ml</t>
        </is>
      </c>
      <c r="H10397" s="94" t="n">
        <v>200801</v>
      </c>
      <c r="I10397" s="94" t="n">
        <v>200801</v>
      </c>
      <c r="K10397" s="94" t="n">
        <v>2</v>
      </c>
      <c r="L10397" s="94" t="n">
        <v>200801</v>
      </c>
      <c r="M10397" s="94">
        <f>VLOOKUP($Q10397,매칭테이블!$F:$I,2,0)*K10397</f>
        <v/>
      </c>
      <c r="N10397" s="94">
        <f>M10397-M10397*VLOOKUP($Q10397,매칭테이블!$F:$I,3,0)</f>
        <v/>
      </c>
      <c r="O10397" s="94">
        <f>VLOOKUP($Q10397,매칭테이블!$F:$I,4,0)*K10397</f>
        <v/>
      </c>
      <c r="P10397" s="148">
        <f>M10397/1.1</f>
        <v/>
      </c>
      <c r="Q10397" s="94">
        <f>F10397&amp;E10397&amp;G10397&amp;L10397</f>
        <v/>
      </c>
    </row>
    <row r="10398" customFormat="1" s="94">
      <c r="B10398" s="128" t="n">
        <v>44131</v>
      </c>
      <c r="C10398" s="94">
        <f>TEXT(B10398,"aaa")</f>
        <v/>
      </c>
      <c r="E10398" s="94" t="inlineStr">
        <is>
          <t>선크림</t>
        </is>
      </c>
      <c r="F10398" s="5" t="inlineStr">
        <is>
          <t>카페24</t>
        </is>
      </c>
      <c r="G10398" s="94" t="inlineStr">
        <is>
          <t>선크림 50ml  2set</t>
        </is>
      </c>
      <c r="H10398" s="94" t="n">
        <v>200801</v>
      </c>
      <c r="I10398" s="94" t="n">
        <v>200801</v>
      </c>
      <c r="K10398" s="94" t="n">
        <v>2</v>
      </c>
      <c r="L10398" s="94" t="n">
        <v>200801</v>
      </c>
      <c r="M10398" s="94">
        <f>VLOOKUP($Q10398,매칭테이블!$F:$I,2,0)*K10398</f>
        <v/>
      </c>
      <c r="N10398" s="94">
        <f>M10398-M10398*VLOOKUP($Q10398,매칭테이블!$F:$I,3,0)</f>
        <v/>
      </c>
      <c r="O10398" s="94">
        <f>VLOOKUP($Q10398,매칭테이블!$F:$I,4,0)*K10398</f>
        <v/>
      </c>
      <c r="P10398" s="148">
        <f>M10398/1.1</f>
        <v/>
      </c>
      <c r="Q10398" s="94">
        <f>F10398&amp;E10398&amp;G10398&amp;L10398</f>
        <v/>
      </c>
    </row>
    <row r="10399" customFormat="1" s="94">
      <c r="B10399" s="128" t="n">
        <v>44131</v>
      </c>
      <c r="C10399" s="94">
        <f>TEXT(B10399,"aaa")</f>
        <v/>
      </c>
      <c r="E10399" s="94" t="inlineStr">
        <is>
          <t>어성초진정패키지</t>
        </is>
      </c>
      <c r="F10399" s="5" t="inlineStr">
        <is>
          <t>카페24</t>
        </is>
      </c>
      <c r="G10399" s="94" t="inlineStr">
        <is>
          <t>어성초 진정패키지세트</t>
        </is>
      </c>
      <c r="H10399" s="94" t="n">
        <v>200801</v>
      </c>
      <c r="I10399" s="94" t="n">
        <v>200801</v>
      </c>
      <c r="K10399" s="94" t="n">
        <v>2</v>
      </c>
      <c r="L10399" s="94" t="n">
        <v>200801</v>
      </c>
      <c r="M10399" s="94">
        <f>VLOOKUP($Q10399,매칭테이블!$F:$I,2,0)*K10399</f>
        <v/>
      </c>
      <c r="N10399" s="94">
        <f>M10399-M10399*VLOOKUP($Q10399,매칭테이블!$F:$I,3,0)</f>
        <v/>
      </c>
      <c r="O10399" s="94">
        <f>VLOOKUP($Q10399,매칭테이블!$F:$I,4,0)*K10399</f>
        <v/>
      </c>
      <c r="P10399" s="148">
        <f>M10399/1.1</f>
        <v/>
      </c>
      <c r="Q10399" s="94">
        <f>F10399&amp;E10399&amp;G10399&amp;L10399</f>
        <v/>
      </c>
    </row>
    <row r="10400" customFormat="1" s="94">
      <c r="B10400" s="128" t="n">
        <v>44131</v>
      </c>
      <c r="C10400" s="94">
        <f>TEXT(B10400,"aaa")</f>
        <v/>
      </c>
      <c r="E10400" s="94" t="inlineStr">
        <is>
          <t>클리어 패드</t>
        </is>
      </c>
      <c r="F10400" s="5" t="inlineStr">
        <is>
          <t>카페24</t>
        </is>
      </c>
      <c r="G10400" s="94" t="inlineStr">
        <is>
          <t>어성초 77 클리어 패드 1개-20% off</t>
        </is>
      </c>
      <c r="H10400" s="94" t="n">
        <v>200801</v>
      </c>
      <c r="I10400" s="94" t="n">
        <v>200801</v>
      </c>
      <c r="K10400" s="94" t="n">
        <v>26</v>
      </c>
      <c r="L10400" s="94" t="n">
        <v>200801</v>
      </c>
      <c r="M10400" s="94">
        <f>VLOOKUP($Q10400,매칭테이블!$F:$I,2,0)*K10400</f>
        <v/>
      </c>
      <c r="N10400" s="94">
        <f>M10400-M10400*VLOOKUP($Q10400,매칭테이블!$F:$I,3,0)</f>
        <v/>
      </c>
      <c r="O10400" s="94">
        <f>VLOOKUP($Q10400,매칭테이블!$F:$I,4,0)*K10400</f>
        <v/>
      </c>
      <c r="P10400" s="148">
        <f>M10400/1.1</f>
        <v/>
      </c>
      <c r="Q10400" s="94">
        <f>F10400&amp;E10400&amp;G10400&amp;L10400</f>
        <v/>
      </c>
    </row>
    <row r="10401" customFormat="1" s="94">
      <c r="B10401" s="128" t="n">
        <v>44131</v>
      </c>
      <c r="C10401" s="94">
        <f>TEXT(B10401,"aaa")</f>
        <v/>
      </c>
      <c r="E10401" s="94" t="inlineStr">
        <is>
          <t>클리어 패드</t>
        </is>
      </c>
      <c r="F10401" s="5" t="inlineStr">
        <is>
          <t>카페24</t>
        </is>
      </c>
      <c r="G10401" s="94" t="inlineStr">
        <is>
          <t>어성초 77 클리어 패드 2개-30% off</t>
        </is>
      </c>
      <c r="H10401" s="94" t="n">
        <v>200801</v>
      </c>
      <c r="I10401" s="94" t="n">
        <v>200801</v>
      </c>
      <c r="K10401" s="94" t="n">
        <v>31</v>
      </c>
      <c r="L10401" s="94" t="n">
        <v>200801</v>
      </c>
      <c r="M10401" s="94">
        <f>VLOOKUP($Q10401,매칭테이블!$F:$I,2,0)*K10401</f>
        <v/>
      </c>
      <c r="N10401" s="94">
        <f>M10401-M10401*VLOOKUP($Q10401,매칭테이블!$F:$I,3,0)</f>
        <v/>
      </c>
      <c r="O10401" s="94">
        <f>VLOOKUP($Q10401,매칭테이블!$F:$I,4,0)*K10401</f>
        <v/>
      </c>
      <c r="P10401" s="148">
        <f>M10401/1.1</f>
        <v/>
      </c>
      <c r="Q10401" s="94">
        <f>F10401&amp;E10401&amp;G10401&amp;L10401</f>
        <v/>
      </c>
    </row>
    <row r="10402" customFormat="1" s="94">
      <c r="B10402" s="128" t="n">
        <v>44131</v>
      </c>
      <c r="C10402" s="94">
        <f>TEXT(B10402,"aaa")</f>
        <v/>
      </c>
      <c r="E10402" s="94" t="inlineStr">
        <is>
          <t>토너+패드 세트</t>
        </is>
      </c>
      <c r="F10402" s="5" t="inlineStr">
        <is>
          <t>카페24</t>
        </is>
      </c>
      <c r="G10402" s="94" t="inlineStr">
        <is>
          <t>좁쌀 진정 세트 토너+클리어 패드-30% off</t>
        </is>
      </c>
      <c r="H10402" s="94" t="n">
        <v>200801</v>
      </c>
      <c r="I10402" s="94" t="n">
        <v>200801</v>
      </c>
      <c r="K10402" s="94" t="n">
        <v>19</v>
      </c>
      <c r="L10402" s="94" t="n">
        <v>200801</v>
      </c>
      <c r="M10402" s="94">
        <f>VLOOKUP($Q10402,매칭테이블!$F:$I,2,0)*K10402</f>
        <v/>
      </c>
      <c r="N10402" s="94">
        <f>M10402-M10402*VLOOKUP($Q10402,매칭테이블!$F:$I,3,0)</f>
        <v/>
      </c>
      <c r="O10402" s="94">
        <f>VLOOKUP($Q10402,매칭테이블!$F:$I,4,0)*K10402</f>
        <v/>
      </c>
      <c r="P10402" s="148">
        <f>M10402/1.1</f>
        <v/>
      </c>
      <c r="Q10402" s="94">
        <f>F10402&amp;E10402&amp;G10402&amp;L10402</f>
        <v/>
      </c>
    </row>
    <row r="10403" customFormat="1" s="94">
      <c r="B10403" s="128" t="n">
        <v>44131</v>
      </c>
      <c r="C10403" s="94">
        <f>TEXT(B10403,"aaa")</f>
        <v/>
      </c>
      <c r="E10403" s="94" t="inlineStr">
        <is>
          <t>머드크림마스크</t>
        </is>
      </c>
      <c r="F10403" s="5" t="inlineStr">
        <is>
          <t>카페24</t>
        </is>
      </c>
      <c r="G10403" s="94" t="inlineStr">
        <is>
          <t>머드크림마스크 100ml</t>
        </is>
      </c>
      <c r="H10403" s="94" t="n">
        <v>200801</v>
      </c>
      <c r="I10403" s="94" t="n">
        <v>200801</v>
      </c>
      <c r="K10403" s="94" t="n">
        <v>15</v>
      </c>
      <c r="L10403" s="94" t="n">
        <v>200801</v>
      </c>
      <c r="M10403" s="94">
        <f>VLOOKUP($Q10403,매칭테이블!$F:$I,2,0)*K10403</f>
        <v/>
      </c>
      <c r="N10403" s="94">
        <f>M10403-M10403*VLOOKUP($Q10403,매칭테이블!$F:$I,3,0)</f>
        <v/>
      </c>
      <c r="O10403" s="94">
        <f>VLOOKUP($Q10403,매칭테이블!$F:$I,4,0)*K10403</f>
        <v/>
      </c>
      <c r="P10403" s="148">
        <f>M10403/1.1</f>
        <v/>
      </c>
      <c r="Q10403" s="94">
        <f>F10403&amp;E10403&amp;G10403&amp;L10403</f>
        <v/>
      </c>
    </row>
    <row r="10404" customFormat="1" s="94">
      <c r="B10404" s="128" t="n">
        <v>44131</v>
      </c>
      <c r="C10404" s="94">
        <f>TEXT(B10404,"aaa")</f>
        <v/>
      </c>
      <c r="E10404" s="94" t="inlineStr">
        <is>
          <t>머드크림마스크</t>
        </is>
      </c>
      <c r="F10404" s="5" t="inlineStr">
        <is>
          <t>카페24</t>
        </is>
      </c>
      <c r="G10404" s="94" t="inlineStr">
        <is>
          <t>머드크림마스크 100ml 2set</t>
        </is>
      </c>
      <c r="H10404" s="94" t="n">
        <v>200801</v>
      </c>
      <c r="I10404" s="94" t="n">
        <v>200801</v>
      </c>
      <c r="K10404" s="94" t="n">
        <v>7</v>
      </c>
      <c r="L10404" s="94" t="n">
        <v>200801</v>
      </c>
      <c r="M10404" s="94">
        <f>VLOOKUP($Q10404,매칭테이블!$F:$I,2,0)*K10404</f>
        <v/>
      </c>
      <c r="N10404" s="94">
        <f>M10404-M10404*VLOOKUP($Q10404,매칭테이블!$F:$I,3,0)</f>
        <v/>
      </c>
      <c r="O10404" s="94">
        <f>VLOOKUP($Q10404,매칭테이블!$F:$I,4,0)*K10404</f>
        <v/>
      </c>
      <c r="P10404" s="148">
        <f>M10404/1.1</f>
        <v/>
      </c>
      <c r="Q10404" s="94">
        <f>F10404&amp;E10404&amp;G10404&amp;L10404</f>
        <v/>
      </c>
    </row>
    <row r="10405" customFormat="1" s="94">
      <c r="B10405" s="128" t="n">
        <v>44131</v>
      </c>
      <c r="C10405" s="94">
        <f>TEXT(B10405,"aaa")</f>
        <v/>
      </c>
      <c r="E10405" s="94" t="inlineStr">
        <is>
          <t>마스크팩</t>
        </is>
      </c>
      <c r="F10405" s="5" t="inlineStr">
        <is>
          <t>카페24</t>
        </is>
      </c>
      <c r="G10405" s="94" t="inlineStr">
        <is>
          <t>마스크팩 1매</t>
        </is>
      </c>
      <c r="H10405" s="94" t="n">
        <v>200801</v>
      </c>
      <c r="I10405" s="94" t="n">
        <v>200801</v>
      </c>
      <c r="K10405" s="94" t="n">
        <v>1</v>
      </c>
      <c r="L10405" s="94" t="n">
        <v>200801</v>
      </c>
      <c r="M10405" s="94">
        <f>VLOOKUP($Q10405,매칭테이블!$F:$I,2,0)*K10405</f>
        <v/>
      </c>
      <c r="N10405" s="94">
        <f>M10405-M10405*VLOOKUP($Q10405,매칭테이블!$F:$I,3,0)</f>
        <v/>
      </c>
      <c r="O10405" s="94">
        <f>VLOOKUP($Q10405,매칭테이블!$F:$I,4,0)*K10405</f>
        <v/>
      </c>
      <c r="P10405" s="148">
        <f>M10405/1.1</f>
        <v/>
      </c>
      <c r="Q10405" s="94">
        <f>F10405&amp;E10405&amp;G10405&amp;L10405</f>
        <v/>
      </c>
    </row>
    <row r="10406" customFormat="1" s="94">
      <c r="B10406" s="128" t="n">
        <v>44131</v>
      </c>
      <c r="C10406" s="94">
        <f>TEXT(B10406,"aaa")</f>
        <v/>
      </c>
      <c r="E10406" s="94" t="inlineStr">
        <is>
          <t>마스크팩</t>
        </is>
      </c>
      <c r="F10406" s="5" t="inlineStr">
        <is>
          <t>카페24</t>
        </is>
      </c>
      <c r="G10406" s="94" t="inlineStr">
        <is>
          <t>마스크팩 10매</t>
        </is>
      </c>
      <c r="H10406" s="94" t="n">
        <v>200801</v>
      </c>
      <c r="I10406" s="94" t="n">
        <v>200801</v>
      </c>
      <c r="K10406" s="94" t="n">
        <v>1</v>
      </c>
      <c r="L10406" s="94" t="n">
        <v>200801</v>
      </c>
      <c r="M10406" s="94">
        <f>VLOOKUP($Q10406,매칭테이블!$F:$I,2,0)*K10406</f>
        <v/>
      </c>
      <c r="N10406" s="94">
        <f>M10406-M10406*VLOOKUP($Q10406,매칭테이블!$F:$I,3,0)</f>
        <v/>
      </c>
      <c r="O10406" s="94">
        <f>VLOOKUP($Q10406,매칭테이블!$F:$I,4,0)*K10406</f>
        <v/>
      </c>
      <c r="P10406" s="148">
        <f>M10406/1.1</f>
        <v/>
      </c>
      <c r="Q10406" s="94">
        <f>F10406&amp;E10406&amp;G10406&amp;L10406</f>
        <v/>
      </c>
    </row>
    <row r="10407" customFormat="1" s="94">
      <c r="B10407" s="128" t="n">
        <v>44131</v>
      </c>
      <c r="C10407" s="94">
        <f>TEXT(B10407,"aaa")</f>
        <v/>
      </c>
      <c r="E10407" s="94" t="inlineStr">
        <is>
          <t>토너</t>
        </is>
      </c>
      <c r="F10407" s="5" t="inlineStr">
        <is>
          <t>카페24</t>
        </is>
      </c>
      <c r="G10407" s="94" t="inlineStr">
        <is>
          <t>250ml</t>
        </is>
      </c>
      <c r="H10407" s="94" t="n">
        <v>200801</v>
      </c>
      <c r="I10407" s="94" t="n">
        <v>200801</v>
      </c>
      <c r="K10407" s="94" t="n">
        <v>33</v>
      </c>
      <c r="L10407" s="94" t="n">
        <v>200801</v>
      </c>
      <c r="M10407" s="94">
        <f>VLOOKUP($Q10407,매칭테이블!$F:$I,2,0)*K10407</f>
        <v/>
      </c>
      <c r="N10407" s="94">
        <f>M10407-M10407*VLOOKUP($Q10407,매칭테이블!$F:$I,3,0)</f>
        <v/>
      </c>
      <c r="O10407" s="94">
        <f>VLOOKUP($Q10407,매칭테이블!$F:$I,4,0)*K10407</f>
        <v/>
      </c>
      <c r="P10407" s="148">
        <f>M10407/1.1</f>
        <v/>
      </c>
      <c r="Q10407" s="94">
        <f>F10407&amp;E10407&amp;G10407&amp;L10407</f>
        <v/>
      </c>
    </row>
    <row r="10408" customFormat="1" s="94">
      <c r="B10408" s="128" t="n">
        <v>44131</v>
      </c>
      <c r="C10408" s="94">
        <f>TEXT(B10408,"aaa")</f>
        <v/>
      </c>
      <c r="E10408" s="94" t="inlineStr">
        <is>
          <t>토너</t>
        </is>
      </c>
      <c r="F10408" s="5" t="inlineStr">
        <is>
          <t>카페24</t>
        </is>
      </c>
      <c r="G10408" s="94" t="inlineStr">
        <is>
          <t>250ml 2set</t>
        </is>
      </c>
      <c r="H10408" s="94" t="n">
        <v>200801</v>
      </c>
      <c r="I10408" s="94" t="n">
        <v>200801</v>
      </c>
      <c r="K10408" s="94" t="n">
        <v>11</v>
      </c>
      <c r="L10408" s="94" t="n">
        <v>200801</v>
      </c>
      <c r="M10408" s="94">
        <f>VLOOKUP($Q10408,매칭테이블!$F:$I,2,0)*K10408</f>
        <v/>
      </c>
      <c r="N10408" s="94">
        <f>M10408-M10408*VLOOKUP($Q10408,매칭테이블!$F:$I,3,0)</f>
        <v/>
      </c>
      <c r="O10408" s="94">
        <f>VLOOKUP($Q10408,매칭테이블!$F:$I,4,0)*K10408</f>
        <v/>
      </c>
      <c r="P10408" s="148">
        <f>M10408/1.1</f>
        <v/>
      </c>
      <c r="Q10408" s="94">
        <f>F10408&amp;E10408&amp;G10408&amp;L10408</f>
        <v/>
      </c>
    </row>
    <row r="10409" customFormat="1" s="94">
      <c r="B10409" s="128" t="n">
        <v>44131</v>
      </c>
      <c r="C10409" s="94">
        <f>TEXT(B10409,"aaa")</f>
        <v/>
      </c>
      <c r="E10409" s="94" t="inlineStr">
        <is>
          <t>토너</t>
        </is>
      </c>
      <c r="F10409" s="5" t="inlineStr">
        <is>
          <t>카페24</t>
        </is>
      </c>
      <c r="G10409" s="94" t="inlineStr">
        <is>
          <t>500ml</t>
        </is>
      </c>
      <c r="H10409" s="94" t="n">
        <v>200801</v>
      </c>
      <c r="I10409" s="94" t="n">
        <v>200801</v>
      </c>
      <c r="K10409" s="94" t="n">
        <v>43</v>
      </c>
      <c r="L10409" s="94" t="n">
        <v>200801</v>
      </c>
      <c r="M10409" s="94">
        <f>VLOOKUP($Q10409,매칭테이블!$F:$I,2,0)*K10409</f>
        <v/>
      </c>
      <c r="N10409" s="94">
        <f>M10409-M10409*VLOOKUP($Q10409,매칭테이블!$F:$I,3,0)</f>
        <v/>
      </c>
      <c r="O10409" s="94">
        <f>VLOOKUP($Q10409,매칭테이블!$F:$I,4,0)*K10409</f>
        <v/>
      </c>
      <c r="P10409" s="148">
        <f>M10409/1.1</f>
        <v/>
      </c>
      <c r="Q10409" s="94">
        <f>F10409&amp;E10409&amp;G10409&amp;L10409</f>
        <v/>
      </c>
    </row>
    <row r="10410" customFormat="1" s="94">
      <c r="B10410" s="128" t="n">
        <v>44131</v>
      </c>
      <c r="C10410" s="94">
        <f>TEXT(B10410,"aaa")</f>
        <v/>
      </c>
      <c r="E10410" s="94" t="inlineStr">
        <is>
          <t>토너</t>
        </is>
      </c>
      <c r="F10410" s="5" t="inlineStr">
        <is>
          <t>카페24</t>
        </is>
      </c>
      <c r="G10410" s="94" t="inlineStr">
        <is>
          <t>스킨팩 화장솜 60P</t>
        </is>
      </c>
      <c r="H10410" s="94" t="n">
        <v>200801</v>
      </c>
      <c r="I10410" s="94" t="n">
        <v>200801</v>
      </c>
      <c r="K10410" s="94" t="n">
        <v>33</v>
      </c>
      <c r="L10410" s="94" t="n">
        <v>200801</v>
      </c>
      <c r="M10410" s="94">
        <f>VLOOKUP($Q10410,매칭테이블!$F:$I,2,0)*K10410</f>
        <v/>
      </c>
      <c r="N10410" s="94">
        <f>M10410-M10410*VLOOKUP($Q10410,매칭테이블!$F:$I,3,0)</f>
        <v/>
      </c>
      <c r="O10410" s="94">
        <f>VLOOKUP($Q10410,매칭테이블!$F:$I,4,0)*K10410</f>
        <v/>
      </c>
      <c r="P10410" s="148">
        <f>M10410/1.1</f>
        <v/>
      </c>
      <c r="Q10410" s="94">
        <f>F10410&amp;E10410&amp;G10410&amp;L10410</f>
        <v/>
      </c>
    </row>
    <row r="10411" customFormat="1" s="94">
      <c r="B10411" s="128" t="n">
        <v>44131</v>
      </c>
      <c r="C10411" s="94">
        <f>TEXT(B10411,"aaa")</f>
        <v/>
      </c>
      <c r="E10411" s="94" t="inlineStr">
        <is>
          <t>앰플</t>
        </is>
      </c>
      <c r="F10411" s="5" t="inlineStr">
        <is>
          <t>카페24</t>
        </is>
      </c>
      <c r="G10411" s="94" t="inlineStr">
        <is>
          <t>앰플 30ml</t>
        </is>
      </c>
      <c r="H10411" s="94" t="n">
        <v>200801</v>
      </c>
      <c r="I10411" s="94" t="n">
        <v>200801</v>
      </c>
      <c r="K10411" s="94" t="n">
        <v>14</v>
      </c>
      <c r="L10411" s="94" t="n">
        <v>200801</v>
      </c>
      <c r="M10411" s="94">
        <f>VLOOKUP($Q10411,매칭테이블!$F:$I,2,0)*K10411</f>
        <v/>
      </c>
      <c r="N10411" s="94">
        <f>M10411-M10411*VLOOKUP($Q10411,매칭테이블!$F:$I,3,0)</f>
        <v/>
      </c>
      <c r="O10411" s="94">
        <f>VLOOKUP($Q10411,매칭테이블!$F:$I,4,0)*K10411</f>
        <v/>
      </c>
      <c r="P10411" s="148">
        <f>M10411/1.1</f>
        <v/>
      </c>
      <c r="Q10411" s="94">
        <f>F10411&amp;E10411&amp;G10411&amp;L10411</f>
        <v/>
      </c>
    </row>
    <row r="10412" customFormat="1" s="94">
      <c r="B10412" s="128" t="n">
        <v>44131</v>
      </c>
      <c r="C10412" s="94">
        <f>TEXT(B10412,"aaa")</f>
        <v/>
      </c>
      <c r="E10412" s="94" t="inlineStr">
        <is>
          <t>앰플</t>
        </is>
      </c>
      <c r="F10412" s="5" t="inlineStr">
        <is>
          <t>카페24</t>
        </is>
      </c>
      <c r="G10412" s="94" t="inlineStr">
        <is>
          <t>앰플 30ml  2set</t>
        </is>
      </c>
      <c r="H10412" s="94" t="n">
        <v>200801</v>
      </c>
      <c r="I10412" s="94" t="n">
        <v>200801</v>
      </c>
      <c r="K10412" s="94" t="n">
        <v>4</v>
      </c>
      <c r="L10412" s="94" t="n">
        <v>200801</v>
      </c>
      <c r="M10412" s="94">
        <f>VLOOKUP($Q10412,매칭테이블!$F:$I,2,0)*K10412</f>
        <v/>
      </c>
      <c r="N10412" s="94">
        <f>M10412-M10412*VLOOKUP($Q10412,매칭테이블!$F:$I,3,0)</f>
        <v/>
      </c>
      <c r="O10412" s="94">
        <f>VLOOKUP($Q10412,매칭테이블!$F:$I,4,0)*K10412</f>
        <v/>
      </c>
      <c r="P10412" s="148">
        <f>M10412/1.1</f>
        <v/>
      </c>
      <c r="Q10412" s="94">
        <f>F10412&amp;E10412&amp;G10412&amp;L10412</f>
        <v/>
      </c>
    </row>
    <row r="10413" customFormat="1" s="94">
      <c r="B10413" s="128" t="n">
        <v>44131</v>
      </c>
      <c r="C10413" s="94">
        <f>TEXT(B10413,"aaa")</f>
        <v/>
      </c>
      <c r="E10413" s="94" t="inlineStr">
        <is>
          <t>수딩크림</t>
        </is>
      </c>
      <c r="F10413" s="5" t="inlineStr">
        <is>
          <t>카페24</t>
        </is>
      </c>
      <c r="G10413" s="94" t="inlineStr">
        <is>
          <t>수딩크림 100ml</t>
        </is>
      </c>
      <c r="H10413" s="94" t="n">
        <v>200801</v>
      </c>
      <c r="I10413" s="94" t="n">
        <v>200801</v>
      </c>
      <c r="K10413" s="94" t="n">
        <v>7</v>
      </c>
      <c r="L10413" s="94" t="n">
        <v>200801</v>
      </c>
      <c r="M10413" s="94">
        <f>VLOOKUP($Q10413,매칭테이블!$F:$I,2,0)*K10413</f>
        <v/>
      </c>
      <c r="N10413" s="94">
        <f>M10413-M10413*VLOOKUP($Q10413,매칭테이블!$F:$I,3,0)</f>
        <v/>
      </c>
      <c r="O10413" s="94">
        <f>VLOOKUP($Q10413,매칭테이블!$F:$I,4,0)*K10413</f>
        <v/>
      </c>
      <c r="P10413" s="148">
        <f>M10413/1.1</f>
        <v/>
      </c>
      <c r="Q10413" s="94">
        <f>F10413&amp;E10413&amp;G10413&amp;L10413</f>
        <v/>
      </c>
    </row>
    <row r="10414" customFormat="1" s="94">
      <c r="B10414" s="128" t="n">
        <v>44131</v>
      </c>
      <c r="C10414" s="94">
        <f>TEXT(B10414,"aaa")</f>
        <v/>
      </c>
      <c r="E10414" s="94" t="inlineStr">
        <is>
          <t>클렌징폼</t>
        </is>
      </c>
      <c r="F10414" s="5" t="inlineStr">
        <is>
          <t>카페24</t>
        </is>
      </c>
      <c r="G10414" s="94" t="inlineStr">
        <is>
          <t>클렌징폼 120ml</t>
        </is>
      </c>
      <c r="H10414" s="94" t="n">
        <v>200801</v>
      </c>
      <c r="I10414" s="94" t="n">
        <v>200801</v>
      </c>
      <c r="K10414" s="94" t="n">
        <v>8</v>
      </c>
      <c r="L10414" s="94" t="n">
        <v>200801</v>
      </c>
      <c r="M10414" s="94">
        <f>VLOOKUP($Q10414,매칭테이블!$F:$I,2,0)*K10414</f>
        <v/>
      </c>
      <c r="N10414" s="94">
        <f>M10414-M10414*VLOOKUP($Q10414,매칭테이블!$F:$I,3,0)</f>
        <v/>
      </c>
      <c r="O10414" s="94">
        <f>VLOOKUP($Q10414,매칭테이블!$F:$I,4,0)*K10414</f>
        <v/>
      </c>
      <c r="P10414" s="148">
        <f>M10414/1.1</f>
        <v/>
      </c>
      <c r="Q10414" s="94">
        <f>F10414&amp;E10414&amp;G10414&amp;L10414</f>
        <v/>
      </c>
    </row>
    <row r="10415" customFormat="1" s="94">
      <c r="B10415" s="128" t="n">
        <v>44131</v>
      </c>
      <c r="C10415" s="94">
        <f>TEXT(B10415,"aaa")</f>
        <v/>
      </c>
      <c r="E10415" s="94" t="inlineStr">
        <is>
          <t>클렌징폼</t>
        </is>
      </c>
      <c r="F10415" s="5" t="inlineStr">
        <is>
          <t>카페24</t>
        </is>
      </c>
      <c r="G10415" s="94" t="inlineStr">
        <is>
          <t>클렌징폼 120ml 2set</t>
        </is>
      </c>
      <c r="H10415" s="94" t="n">
        <v>200801</v>
      </c>
      <c r="I10415" s="94" t="n">
        <v>200801</v>
      </c>
      <c r="K10415" s="94" t="n">
        <v>1</v>
      </c>
      <c r="L10415" s="94" t="n">
        <v>200801</v>
      </c>
      <c r="M10415" s="94">
        <f>VLOOKUP($Q10415,매칭테이블!$F:$I,2,0)*K10415</f>
        <v/>
      </c>
      <c r="N10415" s="94">
        <f>M10415-M10415*VLOOKUP($Q10415,매칭테이블!$F:$I,3,0)</f>
        <v/>
      </c>
      <c r="O10415" s="94">
        <f>VLOOKUP($Q10415,매칭테이블!$F:$I,4,0)*K10415</f>
        <v/>
      </c>
      <c r="P10415" s="148">
        <f>M10415/1.1</f>
        <v/>
      </c>
      <c r="Q10415" s="94">
        <f>F10415&amp;E10415&amp;G10415&amp;L10415</f>
        <v/>
      </c>
    </row>
    <row r="10416" customFormat="1" s="94">
      <c r="B10416" s="128" t="n">
        <v>44131</v>
      </c>
      <c r="C10416" s="94">
        <f>TEXT(B10416,"aaa")</f>
        <v/>
      </c>
      <c r="E10416" s="94" t="inlineStr">
        <is>
          <t>바디워시</t>
        </is>
      </c>
      <c r="F10416" s="5" t="inlineStr">
        <is>
          <t>카페24</t>
        </is>
      </c>
      <c r="G10416" s="94" t="inlineStr">
        <is>
          <t>바디워시 1개 -30% off</t>
        </is>
      </c>
      <c r="H10416" s="94" t="n">
        <v>200801</v>
      </c>
      <c r="I10416" s="94" t="n">
        <v>200801</v>
      </c>
      <c r="K10416" s="94" t="n">
        <v>1</v>
      </c>
      <c r="L10416" s="94" t="n">
        <v>200801</v>
      </c>
      <c r="M10416" s="94">
        <f>VLOOKUP($Q10416,매칭테이블!$F:$I,2,0)*K10416</f>
        <v/>
      </c>
      <c r="N10416" s="94">
        <f>M10416-M10416*VLOOKUP($Q10416,매칭테이블!$F:$I,3,0)</f>
        <v/>
      </c>
      <c r="O10416" s="94">
        <f>VLOOKUP($Q10416,매칭테이블!$F:$I,4,0)*K10416</f>
        <v/>
      </c>
      <c r="P10416" s="148">
        <f>M10416/1.1</f>
        <v/>
      </c>
      <c r="Q10416" s="94">
        <f>F10416&amp;E10416&amp;G10416&amp;L10416</f>
        <v/>
      </c>
    </row>
    <row r="10417" customFormat="1" s="94">
      <c r="B10417" s="128" t="n">
        <v>44131</v>
      </c>
      <c r="C10417" s="94">
        <f>TEXT(B10417,"aaa")</f>
        <v/>
      </c>
      <c r="E10417" s="94" t="inlineStr">
        <is>
          <t>토너</t>
        </is>
      </c>
      <c r="F10417" s="5" t="inlineStr">
        <is>
          <t>화해</t>
        </is>
      </c>
      <c r="G10417" s="94" t="inlineStr">
        <is>
          <t>250ml</t>
        </is>
      </c>
      <c r="H10417" s="94" t="n">
        <v>200801</v>
      </c>
      <c r="I10417" s="94" t="n">
        <v>200801</v>
      </c>
      <c r="K10417" s="94" t="n">
        <v>2</v>
      </c>
      <c r="L10417" s="94" t="n">
        <v>200801</v>
      </c>
      <c r="M10417" s="94">
        <f>VLOOKUP($Q10417,매칭테이블!$F:$I,2,0)*K10417</f>
        <v/>
      </c>
      <c r="N10417" s="94">
        <f>M10417-M10417*VLOOKUP($Q10417,매칭테이블!$F:$I,3,0)</f>
        <v/>
      </c>
      <c r="O10417" s="94">
        <f>VLOOKUP($Q10417,매칭테이블!$F:$I,4,0)*K10417</f>
        <v/>
      </c>
      <c r="P10417" s="148">
        <f>M10417/1.1</f>
        <v/>
      </c>
      <c r="Q10417" s="94">
        <f>F10417&amp;E10417&amp;G10417&amp;L10417</f>
        <v/>
      </c>
    </row>
    <row r="10418" customFormat="1" s="94">
      <c r="B10418" s="128" t="n">
        <v>44132</v>
      </c>
      <c r="C10418" s="94">
        <f>TEXT(B10418,"aaa")</f>
        <v/>
      </c>
      <c r="E10418" s="94" t="inlineStr">
        <is>
          <t>토너</t>
        </is>
      </c>
      <c r="F10418" s="5" t="inlineStr">
        <is>
          <t>W컨셉</t>
        </is>
      </c>
      <c r="G10418" s="94" t="inlineStr">
        <is>
          <t>250ml 2set</t>
        </is>
      </c>
      <c r="H10418" s="94" t="n">
        <v>200801</v>
      </c>
      <c r="I10418" s="94" t="n">
        <v>200801</v>
      </c>
      <c r="K10418" s="94" t="n">
        <v>7</v>
      </c>
      <c r="L10418" s="94" t="n">
        <v>200801</v>
      </c>
      <c r="M10418" s="94">
        <f>VLOOKUP($Q10418,매칭테이블!$F:$I,2,0)*K10418</f>
        <v/>
      </c>
      <c r="N10418" s="94">
        <f>M10418-M10418*VLOOKUP($Q10418,매칭테이블!$F:$I,3,0)</f>
        <v/>
      </c>
      <c r="O10418" s="94">
        <f>VLOOKUP($Q10418,매칭테이블!$F:$I,4,0)*K10418</f>
        <v/>
      </c>
      <c r="P10418" s="148">
        <f>M10418/1.1</f>
        <v/>
      </c>
      <c r="Q10418" s="94">
        <f>F10418&amp;E10418&amp;G10418&amp;L10418</f>
        <v/>
      </c>
    </row>
    <row r="10419" customFormat="1" s="94">
      <c r="B10419" s="128" t="n">
        <v>44132</v>
      </c>
      <c r="C10419" s="94">
        <f>TEXT(B10419,"aaa")</f>
        <v/>
      </c>
      <c r="E10419" s="94" t="inlineStr">
        <is>
          <t>토너</t>
        </is>
      </c>
      <c r="F10419" s="5" t="inlineStr">
        <is>
          <t>스타일쉐어</t>
        </is>
      </c>
      <c r="G10419" s="94" t="inlineStr">
        <is>
          <t>250ml</t>
        </is>
      </c>
      <c r="H10419" s="94" t="n">
        <v>200801</v>
      </c>
      <c r="I10419" s="94" t="n">
        <v>200801</v>
      </c>
      <c r="K10419" s="94" t="n">
        <v>3</v>
      </c>
      <c r="L10419" s="94" t="n">
        <v>200801</v>
      </c>
      <c r="M10419" s="94">
        <f>VLOOKUP($Q10419,매칭테이블!$F:$I,2,0)*K10419</f>
        <v/>
      </c>
      <c r="N10419" s="94">
        <f>M10419-M10419*VLOOKUP($Q10419,매칭테이블!$F:$I,3,0)</f>
        <v/>
      </c>
      <c r="O10419" s="94">
        <f>VLOOKUP($Q10419,매칭테이블!$F:$I,4,0)*K10419</f>
        <v/>
      </c>
      <c r="P10419" s="148">
        <f>M10419/1.1</f>
        <v/>
      </c>
      <c r="Q10419" s="94">
        <f>F10419&amp;E10419&amp;G10419&amp;L10419</f>
        <v/>
      </c>
    </row>
    <row r="10420" customFormat="1" s="94">
      <c r="B10420" s="128" t="n">
        <v>44132</v>
      </c>
      <c r="C10420" s="94">
        <f>TEXT(B10420,"aaa")</f>
        <v/>
      </c>
      <c r="E10420" s="94" t="inlineStr">
        <is>
          <t>로션</t>
        </is>
      </c>
      <c r="F10420" s="5" t="inlineStr">
        <is>
          <t>아누아 CS</t>
        </is>
      </c>
      <c r="G10420" s="94" t="inlineStr">
        <is>
          <t>로션 200ml</t>
        </is>
      </c>
      <c r="H10420" s="94" t="n">
        <v>200801</v>
      </c>
      <c r="I10420" s="94" t="n">
        <v>200801</v>
      </c>
      <c r="K10420" s="94" t="n">
        <v>8</v>
      </c>
      <c r="L10420" s="94" t="n">
        <v>200801</v>
      </c>
      <c r="M10420" s="94">
        <f>VLOOKUP($Q10420,매칭테이블!$F:$I,2,0)*K10420</f>
        <v/>
      </c>
      <c r="N10420" s="94">
        <f>M10420-M10420*VLOOKUP($Q10420,매칭테이블!$F:$I,3,0)</f>
        <v/>
      </c>
      <c r="O10420" s="94">
        <f>VLOOKUP($Q10420,매칭테이블!$F:$I,4,0)*K10420</f>
        <v/>
      </c>
      <c r="P10420" s="148">
        <f>M10420/1.1</f>
        <v/>
      </c>
      <c r="Q10420" s="94">
        <f>F10420&amp;E10420&amp;G10420&amp;L10420</f>
        <v/>
      </c>
    </row>
    <row r="10421" customFormat="1" s="94">
      <c r="B10421" s="128" t="n">
        <v>44132</v>
      </c>
      <c r="C10421" s="94">
        <f>TEXT(B10421,"aaa")</f>
        <v/>
      </c>
      <c r="E10421" s="94" t="inlineStr">
        <is>
          <t>클리어 패드</t>
        </is>
      </c>
      <c r="F10421" s="5" t="inlineStr">
        <is>
          <t>아누아 CS</t>
        </is>
      </c>
      <c r="G10421" s="94" t="inlineStr">
        <is>
          <t>어성초 클리어패드 70P</t>
        </is>
      </c>
      <c r="H10421" s="94" t="n">
        <v>200801</v>
      </c>
      <c r="I10421" s="94" t="n">
        <v>200801</v>
      </c>
      <c r="K10421" s="94" t="n">
        <v>12</v>
      </c>
      <c r="L10421" s="94" t="n">
        <v>200801</v>
      </c>
      <c r="M10421" s="94">
        <f>VLOOKUP($Q10421,매칭테이블!$F:$I,2,0)*K10421</f>
        <v/>
      </c>
      <c r="N10421" s="94">
        <f>M10421-M10421*VLOOKUP($Q10421,매칭테이블!$F:$I,3,0)</f>
        <v/>
      </c>
      <c r="O10421" s="94">
        <f>VLOOKUP($Q10421,매칭테이블!$F:$I,4,0)*K10421</f>
        <v/>
      </c>
      <c r="P10421" s="148">
        <f>M10421/1.1</f>
        <v/>
      </c>
      <c r="Q10421" s="94">
        <f>F10421&amp;E10421&amp;G10421&amp;L10421</f>
        <v/>
      </c>
    </row>
    <row r="10422" customFormat="1" s="94">
      <c r="B10422" s="128" t="n">
        <v>44132</v>
      </c>
      <c r="C10422" s="94">
        <f>TEXT(B10422,"aaa")</f>
        <v/>
      </c>
      <c r="E10422" s="94" t="inlineStr">
        <is>
          <t>바디워시</t>
        </is>
      </c>
      <c r="F10422" s="5" t="inlineStr">
        <is>
          <t>아누아 CS</t>
        </is>
      </c>
      <c r="G10422" s="94" t="inlineStr">
        <is>
          <t>바디워시 500ml</t>
        </is>
      </c>
      <c r="H10422" s="94" t="n">
        <v>200801</v>
      </c>
      <c r="I10422" s="94" t="n">
        <v>200801</v>
      </c>
      <c r="K10422" s="94" t="n">
        <v>7</v>
      </c>
      <c r="L10422" s="94" t="n">
        <v>200801</v>
      </c>
      <c r="M10422" s="94">
        <f>VLOOKUP($Q10422,매칭테이블!$F:$I,2,0)*K10422</f>
        <v/>
      </c>
      <c r="N10422" s="94">
        <f>M10422-M10422*VLOOKUP($Q10422,매칭테이블!$F:$I,3,0)</f>
        <v/>
      </c>
      <c r="O10422" s="94">
        <f>VLOOKUP($Q10422,매칭테이블!$F:$I,4,0)*K10422</f>
        <v/>
      </c>
      <c r="P10422" s="148">
        <f>M10422/1.1</f>
        <v/>
      </c>
      <c r="Q10422" s="94">
        <f>F10422&amp;E10422&amp;G10422&amp;L10422</f>
        <v/>
      </c>
    </row>
    <row r="10423" customFormat="1" s="94">
      <c r="B10423" s="128" t="n">
        <v>44132</v>
      </c>
      <c r="C10423" s="94">
        <f>TEXT(B10423,"aaa")</f>
        <v/>
      </c>
      <c r="E10423" s="94" t="inlineStr">
        <is>
          <t>토너</t>
        </is>
      </c>
      <c r="F10423" s="5" t="inlineStr">
        <is>
          <t>아누아 CS</t>
        </is>
      </c>
      <c r="G10423" s="94" t="inlineStr">
        <is>
          <t>250ml</t>
        </is>
      </c>
      <c r="H10423" s="94" t="n">
        <v>200801</v>
      </c>
      <c r="I10423" s="94" t="n">
        <v>200801</v>
      </c>
      <c r="K10423" s="94" t="n">
        <v>12</v>
      </c>
      <c r="L10423" s="94" t="n">
        <v>200801</v>
      </c>
      <c r="M10423" s="94">
        <f>VLOOKUP($Q10423,매칭테이블!$F:$I,2,0)*K10423</f>
        <v/>
      </c>
      <c r="N10423" s="94">
        <f>M10423-M10423*VLOOKUP($Q10423,매칭테이블!$F:$I,3,0)</f>
        <v/>
      </c>
      <c r="O10423" s="94">
        <f>VLOOKUP($Q10423,매칭테이블!$F:$I,4,0)*K10423</f>
        <v/>
      </c>
      <c r="P10423" s="148">
        <f>M10423/1.1</f>
        <v/>
      </c>
      <c r="Q10423" s="94">
        <f>F10423&amp;E10423&amp;G10423&amp;L10423</f>
        <v/>
      </c>
    </row>
    <row r="10424" customFormat="1" s="94">
      <c r="B10424" s="128" t="n">
        <v>44132</v>
      </c>
      <c r="C10424" s="94">
        <f>TEXT(B10424,"aaa")</f>
        <v/>
      </c>
      <c r="E10424" s="94" t="inlineStr">
        <is>
          <t>화장솜</t>
        </is>
      </c>
      <c r="F10424" s="5" t="inlineStr">
        <is>
          <t>아누아 CS</t>
        </is>
      </c>
      <c r="G10424" s="94" t="inlineStr">
        <is>
          <t>스킨팩 화장솜 60P</t>
        </is>
      </c>
      <c r="H10424" s="94" t="n">
        <v>200801</v>
      </c>
      <c r="I10424" s="94" t="n">
        <v>200801</v>
      </c>
      <c r="K10424" s="94" t="n">
        <v>7</v>
      </c>
      <c r="L10424" s="94" t="n">
        <v>200801</v>
      </c>
      <c r="M10424" s="94">
        <f>VLOOKUP($Q10424,매칭테이블!$F:$I,2,0)*K10424</f>
        <v/>
      </c>
      <c r="N10424" s="94">
        <f>M10424-M10424*VLOOKUP($Q10424,매칭테이블!$F:$I,3,0)</f>
        <v/>
      </c>
      <c r="O10424" s="94">
        <f>VLOOKUP($Q10424,매칭테이블!$F:$I,4,0)*K10424</f>
        <v/>
      </c>
      <c r="P10424" s="148">
        <f>M10424/1.1</f>
        <v/>
      </c>
      <c r="Q10424" s="94">
        <f>F10424&amp;E10424&amp;G10424&amp;L10424</f>
        <v/>
      </c>
    </row>
    <row r="10425" customFormat="1" s="94">
      <c r="B10425" s="128" t="n">
        <v>44132</v>
      </c>
      <c r="C10425" s="94">
        <f>TEXT(B10425,"aaa")</f>
        <v/>
      </c>
      <c r="E10425" s="94" t="inlineStr">
        <is>
          <t>앰플</t>
        </is>
      </c>
      <c r="F10425" s="5" t="inlineStr">
        <is>
          <t>아누아 CS</t>
        </is>
      </c>
      <c r="G10425" s="94" t="inlineStr">
        <is>
          <t>앰플 30ml</t>
        </is>
      </c>
      <c r="H10425" s="94" t="n">
        <v>200801</v>
      </c>
      <c r="I10425" s="94" t="n">
        <v>200801</v>
      </c>
      <c r="K10425" s="94" t="n">
        <v>12</v>
      </c>
      <c r="L10425" s="94" t="n">
        <v>200801</v>
      </c>
      <c r="M10425" s="94">
        <f>VLOOKUP($Q10425,매칭테이블!$F:$I,2,0)*K10425</f>
        <v/>
      </c>
      <c r="N10425" s="94">
        <f>M10425-M10425*VLOOKUP($Q10425,매칭테이블!$F:$I,3,0)</f>
        <v/>
      </c>
      <c r="O10425" s="94">
        <f>VLOOKUP($Q10425,매칭테이블!$F:$I,4,0)*K10425</f>
        <v/>
      </c>
      <c r="P10425" s="148">
        <f>M10425/1.1</f>
        <v/>
      </c>
      <c r="Q10425" s="94">
        <f>F10425&amp;E10425&amp;G10425&amp;L10425</f>
        <v/>
      </c>
    </row>
    <row r="10426" customFormat="1" s="94">
      <c r="B10426" s="128" t="n">
        <v>44132</v>
      </c>
      <c r="C10426" s="94">
        <f>TEXT(B10426,"aaa")</f>
        <v/>
      </c>
      <c r="E10426" s="94" t="inlineStr">
        <is>
          <t>마스크팩</t>
        </is>
      </c>
      <c r="F10426" s="5" t="inlineStr">
        <is>
          <t>아누아 CS</t>
        </is>
      </c>
      <c r="G10426" s="94" t="inlineStr">
        <is>
          <t>마스크팩 10매</t>
        </is>
      </c>
      <c r="H10426" s="94" t="n">
        <v>200801</v>
      </c>
      <c r="I10426" s="94" t="n">
        <v>200801</v>
      </c>
      <c r="K10426" s="94" t="n">
        <v>12</v>
      </c>
      <c r="L10426" s="94" t="n">
        <v>200801</v>
      </c>
      <c r="M10426" s="94">
        <f>VLOOKUP($Q10426,매칭테이블!$F:$I,2,0)*K10426</f>
        <v/>
      </c>
      <c r="N10426" s="94">
        <f>M10426-M10426*VLOOKUP($Q10426,매칭테이블!$F:$I,3,0)</f>
        <v/>
      </c>
      <c r="O10426" s="94">
        <f>VLOOKUP($Q10426,매칭테이블!$F:$I,4,0)*K10426</f>
        <v/>
      </c>
      <c r="P10426" s="148">
        <f>M10426/1.1</f>
        <v/>
      </c>
      <c r="Q10426" s="94">
        <f>F10426&amp;E10426&amp;G10426&amp;L10426</f>
        <v/>
      </c>
    </row>
    <row r="10427" customFormat="1" s="94">
      <c r="B10427" s="128" t="n">
        <v>44132</v>
      </c>
      <c r="C10427" s="94">
        <f>TEXT(B10427,"aaa")</f>
        <v/>
      </c>
      <c r="E10427" s="94" t="inlineStr">
        <is>
          <t>선크림</t>
        </is>
      </c>
      <c r="F10427" s="5" t="inlineStr">
        <is>
          <t>아누아 CS</t>
        </is>
      </c>
      <c r="G10427" s="94" t="inlineStr">
        <is>
          <t>선크림 50ml</t>
        </is>
      </c>
      <c r="H10427" s="94" t="n">
        <v>200801</v>
      </c>
      <c r="I10427" s="94" t="n">
        <v>200801</v>
      </c>
      <c r="K10427" s="94" t="n">
        <v>7</v>
      </c>
      <c r="L10427" s="94" t="n">
        <v>200801</v>
      </c>
      <c r="M10427" s="94">
        <f>VLOOKUP($Q10427,매칭테이블!$F:$I,2,0)*K10427</f>
        <v/>
      </c>
      <c r="N10427" s="94">
        <f>M10427-M10427*VLOOKUP($Q10427,매칭테이블!$F:$I,3,0)</f>
        <v/>
      </c>
      <c r="O10427" s="94">
        <f>VLOOKUP($Q10427,매칭테이블!$F:$I,4,0)*K10427</f>
        <v/>
      </c>
      <c r="P10427" s="148">
        <f>M10427/1.1</f>
        <v/>
      </c>
      <c r="Q10427" s="94">
        <f>F10427&amp;E10427&amp;G10427&amp;L10427</f>
        <v/>
      </c>
    </row>
    <row r="10428" customFormat="1" s="94">
      <c r="B10428" s="128" t="n">
        <v>44132</v>
      </c>
      <c r="C10428" s="94">
        <f>TEXT(B10428,"aaa")</f>
        <v/>
      </c>
      <c r="E10428" s="94" t="inlineStr">
        <is>
          <t>수딩크림</t>
        </is>
      </c>
      <c r="F10428" s="5" t="inlineStr">
        <is>
          <t>아누아 CS</t>
        </is>
      </c>
      <c r="G10428" s="94" t="inlineStr">
        <is>
          <t>수딩크림 100ml</t>
        </is>
      </c>
      <c r="H10428" s="94" t="n">
        <v>200801</v>
      </c>
      <c r="I10428" s="94" t="n">
        <v>200801</v>
      </c>
      <c r="K10428" s="94" t="n">
        <v>7</v>
      </c>
      <c r="L10428" s="94" t="n">
        <v>200801</v>
      </c>
      <c r="M10428" s="94">
        <f>VLOOKUP($Q10428,매칭테이블!$F:$I,2,0)*K10428</f>
        <v/>
      </c>
      <c r="N10428" s="94">
        <f>M10428-M10428*VLOOKUP($Q10428,매칭테이블!$F:$I,3,0)</f>
        <v/>
      </c>
      <c r="O10428" s="94">
        <f>VLOOKUP($Q10428,매칭테이블!$F:$I,4,0)*K10428</f>
        <v/>
      </c>
      <c r="P10428" s="148">
        <f>M10428/1.1</f>
        <v/>
      </c>
      <c r="Q10428" s="94">
        <f>F10428&amp;E10428&amp;G10428&amp;L10428</f>
        <v/>
      </c>
    </row>
    <row r="10429" customFormat="1" s="94">
      <c r="B10429" s="128" t="n">
        <v>44132</v>
      </c>
      <c r="C10429" s="94">
        <f>TEXT(B10429,"aaa")</f>
        <v/>
      </c>
      <c r="E10429" s="94" t="inlineStr">
        <is>
          <t>클렌징폼</t>
        </is>
      </c>
      <c r="F10429" s="5" t="inlineStr">
        <is>
          <t>아누아 CS</t>
        </is>
      </c>
      <c r="G10429" s="94" t="inlineStr">
        <is>
          <t>클렌징폼 120ml</t>
        </is>
      </c>
      <c r="H10429" s="94" t="n">
        <v>200801</v>
      </c>
      <c r="I10429" s="94" t="n">
        <v>200801</v>
      </c>
      <c r="K10429" s="94" t="n">
        <v>10</v>
      </c>
      <c r="L10429" s="94" t="n">
        <v>200801</v>
      </c>
      <c r="M10429" s="94">
        <f>VLOOKUP($Q10429,매칭테이블!$F:$I,2,0)*K10429</f>
        <v/>
      </c>
      <c r="N10429" s="94">
        <f>M10429-M10429*VLOOKUP($Q10429,매칭테이블!$F:$I,3,0)</f>
        <v/>
      </c>
      <c r="O10429" s="94">
        <f>VLOOKUP($Q10429,매칭테이블!$F:$I,4,0)*K10429</f>
        <v/>
      </c>
      <c r="P10429" s="148">
        <f>M10429/1.1</f>
        <v/>
      </c>
      <c r="Q10429" s="94">
        <f>F10429&amp;E10429&amp;G10429&amp;L10429</f>
        <v/>
      </c>
    </row>
    <row r="10430" customFormat="1" s="94">
      <c r="B10430" s="128" t="n">
        <v>44132</v>
      </c>
      <c r="C10430" s="94">
        <f>TEXT(B10430,"aaa")</f>
        <v/>
      </c>
      <c r="E10430" s="94" t="inlineStr">
        <is>
          <t>머드크림마스크</t>
        </is>
      </c>
      <c r="F10430" s="5" t="inlineStr">
        <is>
          <t>아누아 CS</t>
        </is>
      </c>
      <c r="G10430" s="94" t="inlineStr">
        <is>
          <t>머드크림마스크 100ml</t>
        </is>
      </c>
      <c r="H10430" s="94" t="n">
        <v>200801</v>
      </c>
      <c r="I10430" s="94" t="n">
        <v>200801</v>
      </c>
      <c r="K10430" s="94" t="n">
        <v>12</v>
      </c>
      <c r="L10430" s="94" t="n">
        <v>200801</v>
      </c>
      <c r="M10430" s="94">
        <f>VLOOKUP($Q10430,매칭테이블!$F:$I,2,0)*K10430</f>
        <v/>
      </c>
      <c r="N10430" s="94">
        <f>M10430-M10430*VLOOKUP($Q10430,매칭테이블!$F:$I,3,0)</f>
        <v/>
      </c>
      <c r="O10430" s="94">
        <f>VLOOKUP($Q10430,매칭테이블!$F:$I,4,0)*K10430</f>
        <v/>
      </c>
      <c r="P10430" s="148">
        <f>M10430/1.1</f>
        <v/>
      </c>
      <c r="Q10430" s="94">
        <f>F10430&amp;E10430&amp;G10430&amp;L10430</f>
        <v/>
      </c>
    </row>
    <row r="10431" customFormat="1" s="94">
      <c r="B10431" s="128" t="n">
        <v>44132</v>
      </c>
      <c r="C10431" s="94">
        <f>TEXT(B10431,"aaa")</f>
        <v/>
      </c>
      <c r="E10431" s="94" t="inlineStr">
        <is>
          <t>선크림</t>
        </is>
      </c>
      <c r="F10431" s="5" t="inlineStr">
        <is>
          <t>카페24</t>
        </is>
      </c>
      <c r="G10431" s="94" t="inlineStr">
        <is>
          <t>선크림 50ml</t>
        </is>
      </c>
      <c r="H10431" s="94" t="n">
        <v>200801</v>
      </c>
      <c r="I10431" s="94" t="n">
        <v>200801</v>
      </c>
      <c r="K10431" s="94" t="n">
        <v>1</v>
      </c>
      <c r="L10431" s="94" t="n">
        <v>200801</v>
      </c>
      <c r="M10431" s="94">
        <f>VLOOKUP($Q10431,매칭테이블!$F:$I,2,0)*K10431</f>
        <v/>
      </c>
      <c r="N10431" s="94">
        <f>M10431-M10431*VLOOKUP($Q10431,매칭테이블!$F:$I,3,0)</f>
        <v/>
      </c>
      <c r="O10431" s="94">
        <f>VLOOKUP($Q10431,매칭테이블!$F:$I,4,0)*K10431</f>
        <v/>
      </c>
      <c r="P10431" s="148">
        <f>M10431/1.1</f>
        <v/>
      </c>
      <c r="Q10431" s="94">
        <f>F10431&amp;E10431&amp;G10431&amp;L10431</f>
        <v/>
      </c>
    </row>
    <row r="10432" customFormat="1" s="94">
      <c r="B10432" s="128" t="n">
        <v>44132</v>
      </c>
      <c r="C10432" s="94">
        <f>TEXT(B10432,"aaa")</f>
        <v/>
      </c>
      <c r="E10432" s="94" t="inlineStr">
        <is>
          <t>선크림</t>
        </is>
      </c>
      <c r="F10432" s="5" t="inlineStr">
        <is>
          <t>카페24</t>
        </is>
      </c>
      <c r="G10432" s="94" t="inlineStr">
        <is>
          <t>선크림 50ml  2set</t>
        </is>
      </c>
      <c r="H10432" s="94" t="n">
        <v>200801</v>
      </c>
      <c r="I10432" s="94" t="n">
        <v>200801</v>
      </c>
      <c r="K10432" s="94" t="n">
        <v>1</v>
      </c>
      <c r="L10432" s="94" t="n">
        <v>200801</v>
      </c>
      <c r="M10432" s="94">
        <f>VLOOKUP($Q10432,매칭테이블!$F:$I,2,0)*K10432</f>
        <v/>
      </c>
      <c r="N10432" s="94">
        <f>M10432-M10432*VLOOKUP($Q10432,매칭테이블!$F:$I,3,0)</f>
        <v/>
      </c>
      <c r="O10432" s="94">
        <f>VLOOKUP($Q10432,매칭테이블!$F:$I,4,0)*K10432</f>
        <v/>
      </c>
      <c r="P10432" s="148">
        <f>M10432/1.1</f>
        <v/>
      </c>
      <c r="Q10432" s="94">
        <f>F10432&amp;E10432&amp;G10432&amp;L10432</f>
        <v/>
      </c>
    </row>
    <row r="10433" customFormat="1" s="94">
      <c r="B10433" s="128" t="n">
        <v>44132</v>
      </c>
      <c r="C10433" s="94">
        <f>TEXT(B10433,"aaa")</f>
        <v/>
      </c>
      <c r="E10433" s="94" t="inlineStr">
        <is>
          <t>어성초진정패키지</t>
        </is>
      </c>
      <c r="F10433" s="5" t="inlineStr">
        <is>
          <t>카페24</t>
        </is>
      </c>
      <c r="G10433" s="94" t="inlineStr">
        <is>
          <t>어성초 진정패키지세트</t>
        </is>
      </c>
      <c r="H10433" s="94" t="n">
        <v>200801</v>
      </c>
      <c r="I10433" s="94" t="n">
        <v>200801</v>
      </c>
      <c r="K10433" s="94" t="n">
        <v>3</v>
      </c>
      <c r="L10433" s="94" t="n">
        <v>200801</v>
      </c>
      <c r="M10433" s="94">
        <f>VLOOKUP($Q10433,매칭테이블!$F:$I,2,0)*K10433</f>
        <v/>
      </c>
      <c r="N10433" s="94">
        <f>M10433-M10433*VLOOKUP($Q10433,매칭테이블!$F:$I,3,0)</f>
        <v/>
      </c>
      <c r="O10433" s="94">
        <f>VLOOKUP($Q10433,매칭테이블!$F:$I,4,0)*K10433</f>
        <v/>
      </c>
      <c r="P10433" s="148">
        <f>M10433/1.1</f>
        <v/>
      </c>
      <c r="Q10433" s="94">
        <f>F10433&amp;E10433&amp;G10433&amp;L10433</f>
        <v/>
      </c>
    </row>
    <row r="10434" customFormat="1" s="94">
      <c r="B10434" s="128" t="n">
        <v>44132</v>
      </c>
      <c r="C10434" s="94">
        <f>TEXT(B10434,"aaa")</f>
        <v/>
      </c>
      <c r="E10434" s="94" t="inlineStr">
        <is>
          <t>클리어 패드</t>
        </is>
      </c>
      <c r="F10434" s="5" t="inlineStr">
        <is>
          <t>카페24</t>
        </is>
      </c>
      <c r="G10434" s="94" t="inlineStr">
        <is>
          <t>어성초 77 클리어 패드 1개-20% off</t>
        </is>
      </c>
      <c r="H10434" s="94" t="n">
        <v>200801</v>
      </c>
      <c r="I10434" s="94" t="n">
        <v>200801</v>
      </c>
      <c r="K10434" s="94" t="n">
        <v>18</v>
      </c>
      <c r="L10434" s="94" t="n">
        <v>200801</v>
      </c>
      <c r="M10434" s="94">
        <f>VLOOKUP($Q10434,매칭테이블!$F:$I,2,0)*K10434</f>
        <v/>
      </c>
      <c r="N10434" s="94">
        <f>M10434-M10434*VLOOKUP($Q10434,매칭테이블!$F:$I,3,0)</f>
        <v/>
      </c>
      <c r="O10434" s="94">
        <f>VLOOKUP($Q10434,매칭테이블!$F:$I,4,0)*K10434</f>
        <v/>
      </c>
      <c r="P10434" s="148">
        <f>M10434/1.1</f>
        <v/>
      </c>
      <c r="Q10434" s="94">
        <f>F10434&amp;E10434&amp;G10434&amp;L10434</f>
        <v/>
      </c>
    </row>
    <row r="10435" customFormat="1" s="94">
      <c r="B10435" s="128" t="n">
        <v>44132</v>
      </c>
      <c r="C10435" s="94">
        <f>TEXT(B10435,"aaa")</f>
        <v/>
      </c>
      <c r="E10435" s="94" t="inlineStr">
        <is>
          <t>클리어 패드</t>
        </is>
      </c>
      <c r="F10435" s="5" t="inlineStr">
        <is>
          <t>카페24</t>
        </is>
      </c>
      <c r="G10435" s="94" t="inlineStr">
        <is>
          <t>어성초 77 클리어 패드 2개-30% off</t>
        </is>
      </c>
      <c r="H10435" s="94" t="n">
        <v>200801</v>
      </c>
      <c r="I10435" s="94" t="n">
        <v>200801</v>
      </c>
      <c r="K10435" s="94" t="n">
        <v>25</v>
      </c>
      <c r="L10435" s="94" t="n">
        <v>200801</v>
      </c>
      <c r="M10435" s="94">
        <f>VLOOKUP($Q10435,매칭테이블!$F:$I,2,0)*K10435</f>
        <v/>
      </c>
      <c r="N10435" s="94">
        <f>M10435-M10435*VLOOKUP($Q10435,매칭테이블!$F:$I,3,0)</f>
        <v/>
      </c>
      <c r="O10435" s="94">
        <f>VLOOKUP($Q10435,매칭테이블!$F:$I,4,0)*K10435</f>
        <v/>
      </c>
      <c r="P10435" s="148">
        <f>M10435/1.1</f>
        <v/>
      </c>
      <c r="Q10435" s="94">
        <f>F10435&amp;E10435&amp;G10435&amp;L10435</f>
        <v/>
      </c>
    </row>
    <row r="10436" customFormat="1" s="94">
      <c r="B10436" s="128" t="n">
        <v>44132</v>
      </c>
      <c r="C10436" s="94">
        <f>TEXT(B10436,"aaa")</f>
        <v/>
      </c>
      <c r="E10436" s="94" t="inlineStr">
        <is>
          <t>토너+패드 세트</t>
        </is>
      </c>
      <c r="F10436" s="5" t="inlineStr">
        <is>
          <t>카페24</t>
        </is>
      </c>
      <c r="G10436" s="94" t="inlineStr">
        <is>
          <t>좁쌀 진정 세트 토너+클리어 패드-30% off</t>
        </is>
      </c>
      <c r="H10436" s="94" t="n">
        <v>200801</v>
      </c>
      <c r="I10436" s="94" t="n">
        <v>200801</v>
      </c>
      <c r="K10436" s="94" t="n">
        <v>18</v>
      </c>
      <c r="L10436" s="94" t="n">
        <v>200801</v>
      </c>
      <c r="M10436" s="94">
        <f>VLOOKUP($Q10436,매칭테이블!$F:$I,2,0)*K10436</f>
        <v/>
      </c>
      <c r="N10436" s="94">
        <f>M10436-M10436*VLOOKUP($Q10436,매칭테이블!$F:$I,3,0)</f>
        <v/>
      </c>
      <c r="O10436" s="94">
        <f>VLOOKUP($Q10436,매칭테이블!$F:$I,4,0)*K10436</f>
        <v/>
      </c>
      <c r="P10436" s="148">
        <f>M10436/1.1</f>
        <v/>
      </c>
      <c r="Q10436" s="94">
        <f>F10436&amp;E10436&amp;G10436&amp;L10436</f>
        <v/>
      </c>
    </row>
    <row r="10437" customFormat="1" s="94">
      <c r="B10437" s="128" t="n">
        <v>44132</v>
      </c>
      <c r="C10437" s="94">
        <f>TEXT(B10437,"aaa")</f>
        <v/>
      </c>
      <c r="E10437" s="94" t="inlineStr">
        <is>
          <t>머드크림마스크</t>
        </is>
      </c>
      <c r="F10437" s="5" t="inlineStr">
        <is>
          <t>카페24</t>
        </is>
      </c>
      <c r="G10437" s="94" t="inlineStr">
        <is>
          <t>머드크림마스크 100ml</t>
        </is>
      </c>
      <c r="H10437" s="94" t="n">
        <v>200801</v>
      </c>
      <c r="I10437" s="94" t="n">
        <v>200801</v>
      </c>
      <c r="K10437" s="94" t="n">
        <v>10</v>
      </c>
      <c r="L10437" s="94" t="n">
        <v>200801</v>
      </c>
      <c r="M10437" s="94">
        <f>VLOOKUP($Q10437,매칭테이블!$F:$I,2,0)*K10437</f>
        <v/>
      </c>
      <c r="N10437" s="94">
        <f>M10437-M10437*VLOOKUP($Q10437,매칭테이블!$F:$I,3,0)</f>
        <v/>
      </c>
      <c r="O10437" s="94">
        <f>VLOOKUP($Q10437,매칭테이블!$F:$I,4,0)*K10437</f>
        <v/>
      </c>
      <c r="P10437" s="148">
        <f>M10437/1.1</f>
        <v/>
      </c>
      <c r="Q10437" s="94">
        <f>F10437&amp;E10437&amp;G10437&amp;L10437</f>
        <v/>
      </c>
    </row>
    <row r="10438" customFormat="1" s="94">
      <c r="B10438" s="128" t="n">
        <v>44132</v>
      </c>
      <c r="C10438" s="94">
        <f>TEXT(B10438,"aaa")</f>
        <v/>
      </c>
      <c r="E10438" s="94" t="inlineStr">
        <is>
          <t>머드크림마스크</t>
        </is>
      </c>
      <c r="F10438" s="5" t="inlineStr">
        <is>
          <t>카페24</t>
        </is>
      </c>
      <c r="G10438" s="94" t="inlineStr">
        <is>
          <t>머드크림마스크 100ml 2set</t>
        </is>
      </c>
      <c r="H10438" s="94" t="n">
        <v>200801</v>
      </c>
      <c r="I10438" s="94" t="n">
        <v>200801</v>
      </c>
      <c r="K10438" s="94" t="n">
        <v>2</v>
      </c>
      <c r="L10438" s="94" t="n">
        <v>200801</v>
      </c>
      <c r="M10438" s="94">
        <f>VLOOKUP($Q10438,매칭테이블!$F:$I,2,0)*K10438</f>
        <v/>
      </c>
      <c r="N10438" s="94">
        <f>M10438-M10438*VLOOKUP($Q10438,매칭테이블!$F:$I,3,0)</f>
        <v/>
      </c>
      <c r="O10438" s="94">
        <f>VLOOKUP($Q10438,매칭테이블!$F:$I,4,0)*K10438</f>
        <v/>
      </c>
      <c r="P10438" s="148">
        <f>M10438/1.1</f>
        <v/>
      </c>
      <c r="Q10438" s="94">
        <f>F10438&amp;E10438&amp;G10438&amp;L10438</f>
        <v/>
      </c>
    </row>
    <row r="10439" customFormat="1" s="94">
      <c r="B10439" s="128" t="n">
        <v>44132</v>
      </c>
      <c r="C10439" s="94">
        <f>TEXT(B10439,"aaa")</f>
        <v/>
      </c>
      <c r="E10439" s="94" t="inlineStr">
        <is>
          <t>마스크팩</t>
        </is>
      </c>
      <c r="F10439" s="5" t="inlineStr">
        <is>
          <t>카페24</t>
        </is>
      </c>
      <c r="G10439" s="94" t="inlineStr">
        <is>
          <t>마스크팩 10매</t>
        </is>
      </c>
      <c r="H10439" s="94" t="n">
        <v>200801</v>
      </c>
      <c r="I10439" s="94" t="n">
        <v>200801</v>
      </c>
      <c r="K10439" s="94" t="n">
        <v>7</v>
      </c>
      <c r="L10439" s="94" t="n">
        <v>200801</v>
      </c>
      <c r="M10439" s="94">
        <f>VLOOKUP($Q10439,매칭테이블!$F:$I,2,0)*K10439</f>
        <v/>
      </c>
      <c r="N10439" s="94">
        <f>M10439-M10439*VLOOKUP($Q10439,매칭테이블!$F:$I,3,0)</f>
        <v/>
      </c>
      <c r="O10439" s="94">
        <f>VLOOKUP($Q10439,매칭테이블!$F:$I,4,0)*K10439</f>
        <v/>
      </c>
      <c r="P10439" s="148">
        <f>M10439/1.1</f>
        <v/>
      </c>
      <c r="Q10439" s="94">
        <f>F10439&amp;E10439&amp;G10439&amp;L10439</f>
        <v/>
      </c>
    </row>
    <row r="10440" customFormat="1" s="94">
      <c r="B10440" s="128" t="n">
        <v>44132</v>
      </c>
      <c r="C10440" s="94">
        <f>TEXT(B10440,"aaa")</f>
        <v/>
      </c>
      <c r="E10440" s="94" t="inlineStr">
        <is>
          <t>토너</t>
        </is>
      </c>
      <c r="F10440" s="5" t="inlineStr">
        <is>
          <t>카페24</t>
        </is>
      </c>
      <c r="G10440" s="94" t="inlineStr">
        <is>
          <t>250ml</t>
        </is>
      </c>
      <c r="H10440" s="94" t="n">
        <v>200801</v>
      </c>
      <c r="I10440" s="94" t="n">
        <v>200801</v>
      </c>
      <c r="K10440" s="94" t="n">
        <v>22</v>
      </c>
      <c r="L10440" s="94" t="n">
        <v>200801</v>
      </c>
      <c r="M10440" s="94">
        <f>VLOOKUP($Q10440,매칭테이블!$F:$I,2,0)*K10440</f>
        <v/>
      </c>
      <c r="N10440" s="94">
        <f>M10440-M10440*VLOOKUP($Q10440,매칭테이블!$F:$I,3,0)</f>
        <v/>
      </c>
      <c r="O10440" s="94">
        <f>VLOOKUP($Q10440,매칭테이블!$F:$I,4,0)*K10440</f>
        <v/>
      </c>
      <c r="P10440" s="148">
        <f>M10440/1.1</f>
        <v/>
      </c>
      <c r="Q10440" s="94">
        <f>F10440&amp;E10440&amp;G10440&amp;L10440</f>
        <v/>
      </c>
    </row>
    <row r="10441" customFormat="1" s="94">
      <c r="B10441" s="128" t="n">
        <v>44132</v>
      </c>
      <c r="C10441" s="94">
        <f>TEXT(B10441,"aaa")</f>
        <v/>
      </c>
      <c r="E10441" s="94" t="inlineStr">
        <is>
          <t>토너</t>
        </is>
      </c>
      <c r="F10441" s="5" t="inlineStr">
        <is>
          <t>카페24</t>
        </is>
      </c>
      <c r="G10441" s="94" t="inlineStr">
        <is>
          <t>250ml 2set</t>
        </is>
      </c>
      <c r="H10441" s="94" t="n">
        <v>200801</v>
      </c>
      <c r="I10441" s="94" t="n">
        <v>200801</v>
      </c>
      <c r="K10441" s="94" t="n">
        <v>16</v>
      </c>
      <c r="L10441" s="94" t="n">
        <v>200801</v>
      </c>
      <c r="M10441" s="94">
        <f>VLOOKUP($Q10441,매칭테이블!$F:$I,2,0)*K10441</f>
        <v/>
      </c>
      <c r="N10441" s="94">
        <f>M10441-M10441*VLOOKUP($Q10441,매칭테이블!$F:$I,3,0)</f>
        <v/>
      </c>
      <c r="O10441" s="94">
        <f>VLOOKUP($Q10441,매칭테이블!$F:$I,4,0)*K10441</f>
        <v/>
      </c>
      <c r="P10441" s="148">
        <f>M10441/1.1</f>
        <v/>
      </c>
      <c r="Q10441" s="94">
        <f>F10441&amp;E10441&amp;G10441&amp;L10441</f>
        <v/>
      </c>
    </row>
    <row r="10442" customFormat="1" s="94">
      <c r="B10442" s="128" t="n">
        <v>44132</v>
      </c>
      <c r="C10442" s="94">
        <f>TEXT(B10442,"aaa")</f>
        <v/>
      </c>
      <c r="E10442" s="94" t="inlineStr">
        <is>
          <t>토너</t>
        </is>
      </c>
      <c r="F10442" s="5" t="inlineStr">
        <is>
          <t>카페24</t>
        </is>
      </c>
      <c r="G10442" s="94" t="inlineStr">
        <is>
          <t>500ml</t>
        </is>
      </c>
      <c r="H10442" s="94" t="n">
        <v>200801</v>
      </c>
      <c r="I10442" s="94" t="n">
        <v>200801</v>
      </c>
      <c r="K10442" s="94" t="n">
        <v>33</v>
      </c>
      <c r="L10442" s="94" t="n">
        <v>200801</v>
      </c>
      <c r="M10442" s="94">
        <f>VLOOKUP($Q10442,매칭테이블!$F:$I,2,0)*K10442</f>
        <v/>
      </c>
      <c r="N10442" s="94">
        <f>M10442-M10442*VLOOKUP($Q10442,매칭테이블!$F:$I,3,0)</f>
        <v/>
      </c>
      <c r="O10442" s="94">
        <f>VLOOKUP($Q10442,매칭테이블!$F:$I,4,0)*K10442</f>
        <v/>
      </c>
      <c r="P10442" s="148">
        <f>M10442/1.1</f>
        <v/>
      </c>
      <c r="Q10442" s="94">
        <f>F10442&amp;E10442&amp;G10442&amp;L10442</f>
        <v/>
      </c>
    </row>
    <row r="10443" customFormat="1" s="94">
      <c r="B10443" s="128" t="n">
        <v>44132</v>
      </c>
      <c r="C10443" s="94">
        <f>TEXT(B10443,"aaa")</f>
        <v/>
      </c>
      <c r="E10443" s="94" t="inlineStr">
        <is>
          <t>토너</t>
        </is>
      </c>
      <c r="F10443" s="5" t="inlineStr">
        <is>
          <t>카페24</t>
        </is>
      </c>
      <c r="G10443" s="94" t="inlineStr">
        <is>
          <t>스킨팩 화장솜 60P</t>
        </is>
      </c>
      <c r="H10443" s="94" t="n">
        <v>200801</v>
      </c>
      <c r="I10443" s="94" t="n">
        <v>200801</v>
      </c>
      <c r="K10443" s="94" t="n">
        <v>11</v>
      </c>
      <c r="L10443" s="94" t="n">
        <v>200801</v>
      </c>
      <c r="M10443" s="94">
        <f>VLOOKUP($Q10443,매칭테이블!$F:$I,2,0)*K10443</f>
        <v/>
      </c>
      <c r="N10443" s="94">
        <f>M10443-M10443*VLOOKUP($Q10443,매칭테이블!$F:$I,3,0)</f>
        <v/>
      </c>
      <c r="O10443" s="94">
        <f>VLOOKUP($Q10443,매칭테이블!$F:$I,4,0)*K10443</f>
        <v/>
      </c>
      <c r="P10443" s="148">
        <f>M10443/1.1</f>
        <v/>
      </c>
      <c r="Q10443" s="94">
        <f>F10443&amp;E10443&amp;G10443&amp;L10443</f>
        <v/>
      </c>
    </row>
    <row r="10444" customFormat="1" s="94">
      <c r="B10444" s="128" t="n">
        <v>44132</v>
      </c>
      <c r="C10444" s="94">
        <f>TEXT(B10444,"aaa")</f>
        <v/>
      </c>
      <c r="E10444" s="94" t="inlineStr">
        <is>
          <t>앰플</t>
        </is>
      </c>
      <c r="F10444" s="5" t="inlineStr">
        <is>
          <t>카페24</t>
        </is>
      </c>
      <c r="G10444" s="94" t="inlineStr">
        <is>
          <t>앰플 30ml</t>
        </is>
      </c>
      <c r="H10444" s="94" t="n">
        <v>200801</v>
      </c>
      <c r="I10444" s="94" t="n">
        <v>200801</v>
      </c>
      <c r="K10444" s="94" t="n">
        <v>10</v>
      </c>
      <c r="L10444" s="94" t="n">
        <v>200801</v>
      </c>
      <c r="M10444" s="94">
        <f>VLOOKUP($Q10444,매칭테이블!$F:$I,2,0)*K10444</f>
        <v/>
      </c>
      <c r="N10444" s="94">
        <f>M10444-M10444*VLOOKUP($Q10444,매칭테이블!$F:$I,3,0)</f>
        <v/>
      </c>
      <c r="O10444" s="94">
        <f>VLOOKUP($Q10444,매칭테이블!$F:$I,4,0)*K10444</f>
        <v/>
      </c>
      <c r="P10444" s="148">
        <f>M10444/1.1</f>
        <v/>
      </c>
      <c r="Q10444" s="94">
        <f>F10444&amp;E10444&amp;G10444&amp;L10444</f>
        <v/>
      </c>
    </row>
    <row r="10445" customFormat="1" s="94">
      <c r="B10445" s="128" t="n">
        <v>44132</v>
      </c>
      <c r="C10445" s="94">
        <f>TEXT(B10445,"aaa")</f>
        <v/>
      </c>
      <c r="E10445" s="94" t="inlineStr">
        <is>
          <t>앰플</t>
        </is>
      </c>
      <c r="F10445" s="5" t="inlineStr">
        <is>
          <t>카페24</t>
        </is>
      </c>
      <c r="G10445" s="94" t="inlineStr">
        <is>
          <t>앰플 30ml  2set</t>
        </is>
      </c>
      <c r="H10445" s="94" t="n">
        <v>200801</v>
      </c>
      <c r="I10445" s="94" t="n">
        <v>200801</v>
      </c>
      <c r="K10445" s="94" t="n">
        <v>4</v>
      </c>
      <c r="L10445" s="94" t="n">
        <v>200801</v>
      </c>
      <c r="M10445" s="94">
        <f>VLOOKUP($Q10445,매칭테이블!$F:$I,2,0)*K10445</f>
        <v/>
      </c>
      <c r="N10445" s="94">
        <f>M10445-M10445*VLOOKUP($Q10445,매칭테이블!$F:$I,3,0)</f>
        <v/>
      </c>
      <c r="O10445" s="94">
        <f>VLOOKUP($Q10445,매칭테이블!$F:$I,4,0)*K10445</f>
        <v/>
      </c>
      <c r="P10445" s="148">
        <f>M10445/1.1</f>
        <v/>
      </c>
      <c r="Q10445" s="94">
        <f>F10445&amp;E10445&amp;G10445&amp;L10445</f>
        <v/>
      </c>
    </row>
    <row r="10446" customFormat="1" s="94">
      <c r="B10446" s="128" t="n">
        <v>44132</v>
      </c>
      <c r="C10446" s="94">
        <f>TEXT(B10446,"aaa")</f>
        <v/>
      </c>
      <c r="E10446" s="94" t="inlineStr">
        <is>
          <t>수딩크림</t>
        </is>
      </c>
      <c r="F10446" s="5" t="inlineStr">
        <is>
          <t>카페24</t>
        </is>
      </c>
      <c r="G10446" s="94" t="inlineStr">
        <is>
          <t>수딩크림 100ml</t>
        </is>
      </c>
      <c r="H10446" s="94" t="n">
        <v>200801</v>
      </c>
      <c r="I10446" s="94" t="n">
        <v>200801</v>
      </c>
      <c r="K10446" s="94" t="n">
        <v>2</v>
      </c>
      <c r="L10446" s="94" t="n">
        <v>200801</v>
      </c>
      <c r="M10446" s="94">
        <f>VLOOKUP($Q10446,매칭테이블!$F:$I,2,0)*K10446</f>
        <v/>
      </c>
      <c r="N10446" s="94">
        <f>M10446-M10446*VLOOKUP($Q10446,매칭테이블!$F:$I,3,0)</f>
        <v/>
      </c>
      <c r="O10446" s="94">
        <f>VLOOKUP($Q10446,매칭테이블!$F:$I,4,0)*K10446</f>
        <v/>
      </c>
      <c r="P10446" s="148">
        <f>M10446/1.1</f>
        <v/>
      </c>
      <c r="Q10446" s="94">
        <f>F10446&amp;E10446&amp;G10446&amp;L10446</f>
        <v/>
      </c>
    </row>
    <row r="10447" customFormat="1" s="94">
      <c r="B10447" s="128" t="n">
        <v>44132</v>
      </c>
      <c r="C10447" s="94">
        <f>TEXT(B10447,"aaa")</f>
        <v/>
      </c>
      <c r="E10447" s="94" t="inlineStr">
        <is>
          <t>클렌징폼</t>
        </is>
      </c>
      <c r="F10447" s="5" t="inlineStr">
        <is>
          <t>카페24</t>
        </is>
      </c>
      <c r="G10447" s="94" t="inlineStr">
        <is>
          <t>클렌징폼 120ml</t>
        </is>
      </c>
      <c r="H10447" s="94" t="n">
        <v>200801</v>
      </c>
      <c r="I10447" s="94" t="n">
        <v>200801</v>
      </c>
      <c r="K10447" s="94" t="n">
        <v>8</v>
      </c>
      <c r="L10447" s="94" t="n">
        <v>200801</v>
      </c>
      <c r="M10447" s="94">
        <f>VLOOKUP($Q10447,매칭테이블!$F:$I,2,0)*K10447</f>
        <v/>
      </c>
      <c r="N10447" s="94">
        <f>M10447-M10447*VLOOKUP($Q10447,매칭테이블!$F:$I,3,0)</f>
        <v/>
      </c>
      <c r="O10447" s="94">
        <f>VLOOKUP($Q10447,매칭테이블!$F:$I,4,0)*K10447</f>
        <v/>
      </c>
      <c r="P10447" s="148">
        <f>M10447/1.1</f>
        <v/>
      </c>
      <c r="Q10447" s="94">
        <f>F10447&amp;E10447&amp;G10447&amp;L10447</f>
        <v/>
      </c>
    </row>
    <row r="10448" customFormat="1" s="94">
      <c r="B10448" s="128" t="n">
        <v>44132</v>
      </c>
      <c r="C10448" s="94">
        <f>TEXT(B10448,"aaa")</f>
        <v/>
      </c>
      <c r="E10448" s="94" t="inlineStr">
        <is>
          <t>바디워시</t>
        </is>
      </c>
      <c r="F10448" s="5" t="inlineStr">
        <is>
          <t>카페24</t>
        </is>
      </c>
      <c r="G10448" s="94" t="inlineStr">
        <is>
          <t>바디워시 1개 -30% off</t>
        </is>
      </c>
      <c r="H10448" s="94" t="n">
        <v>200801</v>
      </c>
      <c r="I10448" s="94" t="n">
        <v>200801</v>
      </c>
      <c r="K10448" s="94" t="n">
        <v>2</v>
      </c>
      <c r="L10448" s="94" t="n">
        <v>200801</v>
      </c>
      <c r="M10448" s="94">
        <f>VLOOKUP($Q10448,매칭테이블!$F:$I,2,0)*K10448</f>
        <v/>
      </c>
      <c r="N10448" s="94">
        <f>M10448-M10448*VLOOKUP($Q10448,매칭테이블!$F:$I,3,0)</f>
        <v/>
      </c>
      <c r="O10448" s="94">
        <f>VLOOKUP($Q10448,매칭테이블!$F:$I,4,0)*K10448</f>
        <v/>
      </c>
      <c r="P10448" s="148">
        <f>M10448/1.1</f>
        <v/>
      </c>
      <c r="Q10448" s="94">
        <f>F10448&amp;E10448&amp;G10448&amp;L10448</f>
        <v/>
      </c>
    </row>
    <row r="10449" customFormat="1" s="94">
      <c r="B10449" s="128" t="n">
        <v>44132</v>
      </c>
      <c r="C10449" s="94">
        <f>TEXT(B10449,"aaa")</f>
        <v/>
      </c>
      <c r="E10449" s="94" t="inlineStr">
        <is>
          <t>토너</t>
        </is>
      </c>
      <c r="F10449" s="5" t="inlineStr">
        <is>
          <t>화해</t>
        </is>
      </c>
      <c r="G10449" s="94" t="inlineStr">
        <is>
          <t>250ml</t>
        </is>
      </c>
      <c r="H10449" s="94" t="n">
        <v>200801</v>
      </c>
      <c r="I10449" s="94" t="n">
        <v>200801</v>
      </c>
      <c r="K10449" s="94" t="n">
        <v>5</v>
      </c>
      <c r="L10449" s="94" t="n">
        <v>200801</v>
      </c>
      <c r="M10449" s="94">
        <f>VLOOKUP($Q10449,매칭테이블!$F:$I,2,0)*K10449</f>
        <v/>
      </c>
      <c r="N10449" s="94">
        <f>M10449-M10449*VLOOKUP($Q10449,매칭테이블!$F:$I,3,0)</f>
        <v/>
      </c>
      <c r="O10449" s="94">
        <f>VLOOKUP($Q10449,매칭테이블!$F:$I,4,0)*K10449</f>
        <v/>
      </c>
      <c r="P10449" s="148">
        <f>M10449/1.1</f>
        <v/>
      </c>
      <c r="Q10449" s="94">
        <f>F10449&amp;E10449&amp;G10449&amp;L10449</f>
        <v/>
      </c>
    </row>
    <row r="10450" customFormat="1" s="94">
      <c r="B10450" s="128" t="n">
        <v>44133</v>
      </c>
      <c r="C10450" s="94">
        <f>TEXT(B10450,"aaa")</f>
        <v/>
      </c>
      <c r="E10450" s="94" t="inlineStr">
        <is>
          <t>토너</t>
        </is>
      </c>
      <c r="F10450" s="5" t="inlineStr">
        <is>
          <t>W컨셉</t>
        </is>
      </c>
      <c r="G10450" s="94" t="inlineStr">
        <is>
          <t>250ml 2set</t>
        </is>
      </c>
      <c r="H10450" s="94" t="n">
        <v>200801</v>
      </c>
      <c r="I10450" s="94" t="n">
        <v>200801</v>
      </c>
      <c r="K10450" s="94" t="n">
        <v>4</v>
      </c>
      <c r="L10450" s="94" t="n">
        <v>200801</v>
      </c>
      <c r="M10450" s="94">
        <f>VLOOKUP($Q10450,매칭테이블!$F:$I,2,0)*K10450</f>
        <v/>
      </c>
      <c r="N10450" s="94">
        <f>M10450-M10450*VLOOKUP($Q10450,매칭테이블!$F:$I,3,0)</f>
        <v/>
      </c>
      <c r="O10450" s="94">
        <f>VLOOKUP($Q10450,매칭테이블!$F:$I,4,0)*K10450</f>
        <v/>
      </c>
      <c r="P10450" s="148">
        <f>M10450/1.1</f>
        <v/>
      </c>
      <c r="Q10450" s="94">
        <f>F10450&amp;E10450&amp;G10450&amp;L10450</f>
        <v/>
      </c>
    </row>
    <row r="10451" customFormat="1" s="94">
      <c r="B10451" s="128" t="n">
        <v>44133</v>
      </c>
      <c r="C10451" s="94">
        <f>TEXT(B10451,"aaa")</f>
        <v/>
      </c>
      <c r="E10451" s="94" t="inlineStr">
        <is>
          <t>클리어 패드</t>
        </is>
      </c>
      <c r="F10451" s="5" t="inlineStr">
        <is>
          <t>글로우데이즈 시코르</t>
        </is>
      </c>
      <c r="G10451" s="94" t="inlineStr">
        <is>
          <t>어성초 클리어패드 70P</t>
        </is>
      </c>
      <c r="H10451" s="94" t="n">
        <v>200801</v>
      </c>
      <c r="I10451" s="94" t="n">
        <v>200801</v>
      </c>
      <c r="K10451" s="94" t="n">
        <v>20</v>
      </c>
      <c r="L10451" s="94" t="n">
        <v>200801</v>
      </c>
      <c r="M10451" s="94">
        <f>VLOOKUP($Q10451,매칭테이블!$F:$I,2,0)*K10451</f>
        <v/>
      </c>
      <c r="N10451" s="94">
        <f>M10451-M10451*VLOOKUP($Q10451,매칭테이블!$F:$I,3,0)</f>
        <v/>
      </c>
      <c r="O10451" s="94">
        <f>VLOOKUP($Q10451,매칭테이블!$F:$I,4,0)*K10451</f>
        <v/>
      </c>
      <c r="P10451" s="148">
        <f>M10451/1.1</f>
        <v/>
      </c>
      <c r="Q10451" s="94">
        <f>F10451&amp;E10451&amp;G10451&amp;L10451</f>
        <v/>
      </c>
    </row>
    <row r="10452" customFormat="1" s="94">
      <c r="B10452" s="128" t="n">
        <v>44133</v>
      </c>
      <c r="C10452" s="94">
        <f>TEXT(B10452,"aaa")</f>
        <v/>
      </c>
      <c r="E10452" s="94" t="inlineStr">
        <is>
          <t>토너</t>
        </is>
      </c>
      <c r="F10452" s="5" t="inlineStr">
        <is>
          <t>스타일쉐어</t>
        </is>
      </c>
      <c r="G10452" s="94" t="inlineStr">
        <is>
          <t>250ml</t>
        </is>
      </c>
      <c r="H10452" s="94" t="n">
        <v>200801</v>
      </c>
      <c r="I10452" s="94" t="n">
        <v>200801</v>
      </c>
      <c r="K10452" s="94" t="n">
        <v>3</v>
      </c>
      <c r="L10452" s="94" t="n">
        <v>200801</v>
      </c>
      <c r="M10452" s="94">
        <f>VLOOKUP($Q10452,매칭테이블!$F:$I,2,0)*K10452</f>
        <v/>
      </c>
      <c r="N10452" s="94">
        <f>M10452-M10452*VLOOKUP($Q10452,매칭테이블!$F:$I,3,0)</f>
        <v/>
      </c>
      <c r="O10452" s="94">
        <f>VLOOKUP($Q10452,매칭테이블!$F:$I,4,0)*K10452</f>
        <v/>
      </c>
      <c r="P10452" s="148">
        <f>M10452/1.1</f>
        <v/>
      </c>
      <c r="Q10452" s="94">
        <f>F10452&amp;E10452&amp;G10452&amp;L10452</f>
        <v/>
      </c>
    </row>
    <row r="10453" customFormat="1" s="94">
      <c r="B10453" s="128" t="n">
        <v>44133</v>
      </c>
      <c r="C10453" s="94">
        <f>TEXT(B10453,"aaa")</f>
        <v/>
      </c>
      <c r="E10453" s="94" t="inlineStr">
        <is>
          <t>로션</t>
        </is>
      </c>
      <c r="F10453" s="5" t="inlineStr">
        <is>
          <t>아누아 CS</t>
        </is>
      </c>
      <c r="G10453" s="94" t="inlineStr">
        <is>
          <t>로션 200ml</t>
        </is>
      </c>
      <c r="H10453" s="94" t="n">
        <v>200801</v>
      </c>
      <c r="I10453" s="94" t="n">
        <v>200801</v>
      </c>
      <c r="K10453" s="94" t="n">
        <v>3</v>
      </c>
      <c r="L10453" s="94" t="n">
        <v>200801</v>
      </c>
      <c r="M10453" s="94">
        <f>VLOOKUP($Q10453,매칭테이블!$F:$I,2,0)*K10453</f>
        <v/>
      </c>
      <c r="N10453" s="94">
        <f>M10453-M10453*VLOOKUP($Q10453,매칭테이블!$F:$I,3,0)</f>
        <v/>
      </c>
      <c r="O10453" s="94">
        <f>VLOOKUP($Q10453,매칭테이블!$F:$I,4,0)*K10453</f>
        <v/>
      </c>
      <c r="P10453" s="148">
        <f>M10453/1.1</f>
        <v/>
      </c>
      <c r="Q10453" s="94">
        <f>F10453&amp;E10453&amp;G10453&amp;L10453</f>
        <v/>
      </c>
    </row>
    <row r="10454" customFormat="1" s="94">
      <c r="B10454" s="128" t="n">
        <v>44133</v>
      </c>
      <c r="C10454" s="94">
        <f>TEXT(B10454,"aaa")</f>
        <v/>
      </c>
      <c r="E10454" s="94" t="inlineStr">
        <is>
          <t>클리어 패드</t>
        </is>
      </c>
      <c r="F10454" s="5" t="inlineStr">
        <is>
          <t>아누아 CS</t>
        </is>
      </c>
      <c r="G10454" s="94" t="inlineStr">
        <is>
          <t>어성초 클리어패드 70P</t>
        </is>
      </c>
      <c r="H10454" s="94" t="n">
        <v>200801</v>
      </c>
      <c r="I10454" s="94" t="n">
        <v>200801</v>
      </c>
      <c r="K10454" s="94" t="n">
        <v>3</v>
      </c>
      <c r="L10454" s="94" t="n">
        <v>200801</v>
      </c>
      <c r="M10454" s="94">
        <f>VLOOKUP($Q10454,매칭테이블!$F:$I,2,0)*K10454</f>
        <v/>
      </c>
      <c r="N10454" s="94">
        <f>M10454-M10454*VLOOKUP($Q10454,매칭테이블!$F:$I,3,0)</f>
        <v/>
      </c>
      <c r="O10454" s="94">
        <f>VLOOKUP($Q10454,매칭테이블!$F:$I,4,0)*K10454</f>
        <v/>
      </c>
      <c r="P10454" s="148">
        <f>M10454/1.1</f>
        <v/>
      </c>
      <c r="Q10454" s="94">
        <f>F10454&amp;E10454&amp;G10454&amp;L10454</f>
        <v/>
      </c>
    </row>
    <row r="10455" customFormat="1" s="94">
      <c r="B10455" s="128" t="n">
        <v>44133</v>
      </c>
      <c r="C10455" s="94">
        <f>TEXT(B10455,"aaa")</f>
        <v/>
      </c>
      <c r="E10455" s="94" t="inlineStr">
        <is>
          <t>바디워시</t>
        </is>
      </c>
      <c r="F10455" s="5" t="inlineStr">
        <is>
          <t>아누아 CS</t>
        </is>
      </c>
      <c r="G10455" s="94" t="inlineStr">
        <is>
          <t>바디워시 500ml</t>
        </is>
      </c>
      <c r="H10455" s="94" t="n">
        <v>200801</v>
      </c>
      <c r="I10455" s="94" t="n">
        <v>200801</v>
      </c>
      <c r="K10455" s="94" t="n">
        <v>3</v>
      </c>
      <c r="L10455" s="94" t="n">
        <v>200801</v>
      </c>
      <c r="M10455" s="94">
        <f>VLOOKUP($Q10455,매칭테이블!$F:$I,2,0)*K10455</f>
        <v/>
      </c>
      <c r="N10455" s="94">
        <f>M10455-M10455*VLOOKUP($Q10455,매칭테이블!$F:$I,3,0)</f>
        <v/>
      </c>
      <c r="O10455" s="94">
        <f>VLOOKUP($Q10455,매칭테이블!$F:$I,4,0)*K10455</f>
        <v/>
      </c>
      <c r="P10455" s="148">
        <f>M10455/1.1</f>
        <v/>
      </c>
      <c r="Q10455" s="94">
        <f>F10455&amp;E10455&amp;G10455&amp;L10455</f>
        <v/>
      </c>
    </row>
    <row r="10456" customFormat="1" s="94">
      <c r="B10456" s="128" t="n">
        <v>44133</v>
      </c>
      <c r="C10456" s="94">
        <f>TEXT(B10456,"aaa")</f>
        <v/>
      </c>
      <c r="E10456" s="94" t="inlineStr">
        <is>
          <t>토너</t>
        </is>
      </c>
      <c r="F10456" s="5" t="inlineStr">
        <is>
          <t>아누아 CS</t>
        </is>
      </c>
      <c r="G10456" s="94" t="inlineStr">
        <is>
          <t>250ml</t>
        </is>
      </c>
      <c r="H10456" s="94" t="n">
        <v>200801</v>
      </c>
      <c r="I10456" s="94" t="n">
        <v>200801</v>
      </c>
      <c r="K10456" s="94" t="n">
        <v>6</v>
      </c>
      <c r="L10456" s="94" t="n">
        <v>200801</v>
      </c>
      <c r="M10456" s="94">
        <f>VLOOKUP($Q10456,매칭테이블!$F:$I,2,0)*K10456</f>
        <v/>
      </c>
      <c r="N10456" s="94">
        <f>M10456-M10456*VLOOKUP($Q10456,매칭테이블!$F:$I,3,0)</f>
        <v/>
      </c>
      <c r="O10456" s="94">
        <f>VLOOKUP($Q10456,매칭테이블!$F:$I,4,0)*K10456</f>
        <v/>
      </c>
      <c r="P10456" s="148">
        <f>M10456/1.1</f>
        <v/>
      </c>
      <c r="Q10456" s="94">
        <f>F10456&amp;E10456&amp;G10456&amp;L10456</f>
        <v/>
      </c>
    </row>
    <row r="10457" customFormat="1" s="94">
      <c r="B10457" s="128" t="n">
        <v>44133</v>
      </c>
      <c r="C10457" s="94">
        <f>TEXT(B10457,"aaa")</f>
        <v/>
      </c>
      <c r="E10457" s="94" t="inlineStr">
        <is>
          <t>화장솜</t>
        </is>
      </c>
      <c r="F10457" s="5" t="inlineStr">
        <is>
          <t>아누아 CS</t>
        </is>
      </c>
      <c r="G10457" s="94" t="inlineStr">
        <is>
          <t>스킨팩 화장솜 60P</t>
        </is>
      </c>
      <c r="H10457" s="94" t="n">
        <v>200801</v>
      </c>
      <c r="I10457" s="94" t="n">
        <v>200801</v>
      </c>
      <c r="K10457" s="94" t="n">
        <v>3</v>
      </c>
      <c r="L10457" s="94" t="n">
        <v>200801</v>
      </c>
      <c r="M10457" s="94">
        <f>VLOOKUP($Q10457,매칭테이블!$F:$I,2,0)*K10457</f>
        <v/>
      </c>
      <c r="N10457" s="94">
        <f>M10457-M10457*VLOOKUP($Q10457,매칭테이블!$F:$I,3,0)</f>
        <v/>
      </c>
      <c r="O10457" s="94">
        <f>VLOOKUP($Q10457,매칭테이블!$F:$I,4,0)*K10457</f>
        <v/>
      </c>
      <c r="P10457" s="148">
        <f>M10457/1.1</f>
        <v/>
      </c>
      <c r="Q10457" s="94">
        <f>F10457&amp;E10457&amp;G10457&amp;L10457</f>
        <v/>
      </c>
    </row>
    <row r="10458" customFormat="1" s="94">
      <c r="B10458" s="128" t="n">
        <v>44133</v>
      </c>
      <c r="C10458" s="94">
        <f>TEXT(B10458,"aaa")</f>
        <v/>
      </c>
      <c r="E10458" s="94" t="inlineStr">
        <is>
          <t>앰플</t>
        </is>
      </c>
      <c r="F10458" s="5" t="inlineStr">
        <is>
          <t>아누아 CS</t>
        </is>
      </c>
      <c r="G10458" s="94" t="inlineStr">
        <is>
          <t>앰플 30ml</t>
        </is>
      </c>
      <c r="H10458" s="94" t="n">
        <v>200801</v>
      </c>
      <c r="I10458" s="94" t="n">
        <v>200801</v>
      </c>
      <c r="K10458" s="94" t="n">
        <v>4</v>
      </c>
      <c r="L10458" s="94" t="n">
        <v>200801</v>
      </c>
      <c r="M10458" s="94">
        <f>VLOOKUP($Q10458,매칭테이블!$F:$I,2,0)*K10458</f>
        <v/>
      </c>
      <c r="N10458" s="94">
        <f>M10458-M10458*VLOOKUP($Q10458,매칭테이블!$F:$I,3,0)</f>
        <v/>
      </c>
      <c r="O10458" s="94">
        <f>VLOOKUP($Q10458,매칭테이블!$F:$I,4,0)*K10458</f>
        <v/>
      </c>
      <c r="P10458" s="148">
        <f>M10458/1.1</f>
        <v/>
      </c>
      <c r="Q10458" s="94">
        <f>F10458&amp;E10458&amp;G10458&amp;L10458</f>
        <v/>
      </c>
    </row>
    <row r="10459" customFormat="1" s="94">
      <c r="B10459" s="128" t="n">
        <v>44133</v>
      </c>
      <c r="C10459" s="94">
        <f>TEXT(B10459,"aaa")</f>
        <v/>
      </c>
      <c r="E10459" s="94" t="inlineStr">
        <is>
          <t>마스크팩</t>
        </is>
      </c>
      <c r="F10459" s="5" t="inlineStr">
        <is>
          <t>아누아 CS</t>
        </is>
      </c>
      <c r="G10459" s="94" t="inlineStr">
        <is>
          <t>마스크팩 10매</t>
        </is>
      </c>
      <c r="H10459" s="94" t="n">
        <v>200801</v>
      </c>
      <c r="I10459" s="94" t="n">
        <v>200801</v>
      </c>
      <c r="K10459" s="94" t="n">
        <v>3</v>
      </c>
      <c r="L10459" s="94" t="n">
        <v>200801</v>
      </c>
      <c r="M10459" s="94">
        <f>VLOOKUP($Q10459,매칭테이블!$F:$I,2,0)*K10459</f>
        <v/>
      </c>
      <c r="N10459" s="94">
        <f>M10459-M10459*VLOOKUP($Q10459,매칭테이블!$F:$I,3,0)</f>
        <v/>
      </c>
      <c r="O10459" s="94">
        <f>VLOOKUP($Q10459,매칭테이블!$F:$I,4,0)*K10459</f>
        <v/>
      </c>
      <c r="P10459" s="148">
        <f>M10459/1.1</f>
        <v/>
      </c>
      <c r="Q10459" s="94">
        <f>F10459&amp;E10459&amp;G10459&amp;L10459</f>
        <v/>
      </c>
    </row>
    <row r="10460" customFormat="1" s="94">
      <c r="B10460" s="128" t="n">
        <v>44133</v>
      </c>
      <c r="C10460" s="94">
        <f>TEXT(B10460,"aaa")</f>
        <v/>
      </c>
      <c r="E10460" s="94" t="inlineStr">
        <is>
          <t>선크림</t>
        </is>
      </c>
      <c r="F10460" s="5" t="inlineStr">
        <is>
          <t>아누아 CS</t>
        </is>
      </c>
      <c r="G10460" s="94" t="inlineStr">
        <is>
          <t>선크림 50ml</t>
        </is>
      </c>
      <c r="H10460" s="94" t="n">
        <v>200801</v>
      </c>
      <c r="I10460" s="94" t="n">
        <v>200801</v>
      </c>
      <c r="K10460" s="94" t="n">
        <v>3</v>
      </c>
      <c r="L10460" s="94" t="n">
        <v>200801</v>
      </c>
      <c r="M10460" s="94">
        <f>VLOOKUP($Q10460,매칭테이블!$F:$I,2,0)*K10460</f>
        <v/>
      </c>
      <c r="N10460" s="94">
        <f>M10460-M10460*VLOOKUP($Q10460,매칭테이블!$F:$I,3,0)</f>
        <v/>
      </c>
      <c r="O10460" s="94">
        <f>VLOOKUP($Q10460,매칭테이블!$F:$I,4,0)*K10460</f>
        <v/>
      </c>
      <c r="P10460" s="148">
        <f>M10460/1.1</f>
        <v/>
      </c>
      <c r="Q10460" s="94">
        <f>F10460&amp;E10460&amp;G10460&amp;L10460</f>
        <v/>
      </c>
    </row>
    <row r="10461" customFormat="1" s="94">
      <c r="B10461" s="128" t="n">
        <v>44133</v>
      </c>
      <c r="C10461" s="94">
        <f>TEXT(B10461,"aaa")</f>
        <v/>
      </c>
      <c r="E10461" s="94" t="inlineStr">
        <is>
          <t>수딩크림</t>
        </is>
      </c>
      <c r="F10461" s="5" t="inlineStr">
        <is>
          <t>아누아 CS</t>
        </is>
      </c>
      <c r="G10461" s="94" t="inlineStr">
        <is>
          <t>수딩크림 100ml</t>
        </is>
      </c>
      <c r="H10461" s="94" t="n">
        <v>200801</v>
      </c>
      <c r="I10461" s="94" t="n">
        <v>200801</v>
      </c>
      <c r="K10461" s="94" t="n">
        <v>4</v>
      </c>
      <c r="L10461" s="94" t="n">
        <v>200801</v>
      </c>
      <c r="M10461" s="94">
        <f>VLOOKUP($Q10461,매칭테이블!$F:$I,2,0)*K10461</f>
        <v/>
      </c>
      <c r="N10461" s="94">
        <f>M10461-M10461*VLOOKUP($Q10461,매칭테이블!$F:$I,3,0)</f>
        <v/>
      </c>
      <c r="O10461" s="94">
        <f>VLOOKUP($Q10461,매칭테이블!$F:$I,4,0)*K10461</f>
        <v/>
      </c>
      <c r="P10461" s="148">
        <f>M10461/1.1</f>
        <v/>
      </c>
      <c r="Q10461" s="94">
        <f>F10461&amp;E10461&amp;G10461&amp;L10461</f>
        <v/>
      </c>
    </row>
    <row r="10462" customFormat="1" s="94">
      <c r="B10462" s="128" t="n">
        <v>44133</v>
      </c>
      <c r="C10462" s="94">
        <f>TEXT(B10462,"aaa")</f>
        <v/>
      </c>
      <c r="E10462" s="94" t="inlineStr">
        <is>
          <t>클렌징폼</t>
        </is>
      </c>
      <c r="F10462" s="5" t="inlineStr">
        <is>
          <t>아누아 CS</t>
        </is>
      </c>
      <c r="G10462" s="94" t="inlineStr">
        <is>
          <t>클렌징폼 120ml</t>
        </is>
      </c>
      <c r="H10462" s="94" t="n">
        <v>200801</v>
      </c>
      <c r="I10462" s="94" t="n">
        <v>200801</v>
      </c>
      <c r="K10462" s="94" t="n">
        <v>3</v>
      </c>
      <c r="L10462" s="94" t="n">
        <v>200801</v>
      </c>
      <c r="M10462" s="94">
        <f>VLOOKUP($Q10462,매칭테이블!$F:$I,2,0)*K10462</f>
        <v/>
      </c>
      <c r="N10462" s="94">
        <f>M10462-M10462*VLOOKUP($Q10462,매칭테이블!$F:$I,3,0)</f>
        <v/>
      </c>
      <c r="O10462" s="94">
        <f>VLOOKUP($Q10462,매칭테이블!$F:$I,4,0)*K10462</f>
        <v/>
      </c>
      <c r="P10462" s="148">
        <f>M10462/1.1</f>
        <v/>
      </c>
      <c r="Q10462" s="94">
        <f>F10462&amp;E10462&amp;G10462&amp;L10462</f>
        <v/>
      </c>
    </row>
    <row r="10463" customFormat="1" s="94">
      <c r="B10463" s="128" t="n">
        <v>44133</v>
      </c>
      <c r="C10463" s="94">
        <f>TEXT(B10463,"aaa")</f>
        <v/>
      </c>
      <c r="E10463" s="94" t="inlineStr">
        <is>
          <t>머드크림마스크</t>
        </is>
      </c>
      <c r="F10463" s="5" t="inlineStr">
        <is>
          <t>아누아 CS</t>
        </is>
      </c>
      <c r="G10463" s="94" t="inlineStr">
        <is>
          <t>머드크림마스크 100ml</t>
        </is>
      </c>
      <c r="H10463" s="94" t="n">
        <v>200801</v>
      </c>
      <c r="I10463" s="94" t="n">
        <v>200801</v>
      </c>
      <c r="K10463" s="94" t="n">
        <v>3</v>
      </c>
      <c r="L10463" s="94" t="n">
        <v>200801</v>
      </c>
      <c r="M10463" s="94">
        <f>VLOOKUP($Q10463,매칭테이블!$F:$I,2,0)*K10463</f>
        <v/>
      </c>
      <c r="N10463" s="94">
        <f>M10463-M10463*VLOOKUP($Q10463,매칭테이블!$F:$I,3,0)</f>
        <v/>
      </c>
      <c r="O10463" s="94">
        <f>VLOOKUP($Q10463,매칭테이블!$F:$I,4,0)*K10463</f>
        <v/>
      </c>
      <c r="P10463" s="148">
        <f>M10463/1.1</f>
        <v/>
      </c>
      <c r="Q10463" s="94">
        <f>F10463&amp;E10463&amp;G10463&amp;L10463</f>
        <v/>
      </c>
    </row>
    <row r="10464" customFormat="1" s="94">
      <c r="B10464" s="128" t="n">
        <v>44133</v>
      </c>
      <c r="C10464" s="94">
        <f>TEXT(B10464,"aaa")</f>
        <v/>
      </c>
      <c r="E10464" s="94" t="inlineStr">
        <is>
          <t>선크림</t>
        </is>
      </c>
      <c r="F10464" s="5" t="inlineStr">
        <is>
          <t>카페24</t>
        </is>
      </c>
      <c r="G10464" s="94" t="inlineStr">
        <is>
          <t>선크림 50ml  2set</t>
        </is>
      </c>
      <c r="H10464" s="94" t="n">
        <v>200801</v>
      </c>
      <c r="I10464" s="94" t="n">
        <v>200801</v>
      </c>
      <c r="K10464" s="94" t="n">
        <v>2</v>
      </c>
      <c r="L10464" s="94" t="n">
        <v>200801</v>
      </c>
      <c r="M10464" s="94">
        <f>VLOOKUP($Q10464,매칭테이블!$F:$I,2,0)*K10464</f>
        <v/>
      </c>
      <c r="N10464" s="94">
        <f>M10464-M10464*VLOOKUP($Q10464,매칭테이블!$F:$I,3,0)</f>
        <v/>
      </c>
      <c r="O10464" s="94">
        <f>VLOOKUP($Q10464,매칭테이블!$F:$I,4,0)*K10464</f>
        <v/>
      </c>
      <c r="P10464" s="148">
        <f>M10464/1.1</f>
        <v/>
      </c>
      <c r="Q10464" s="94">
        <f>F10464&amp;E10464&amp;G10464&amp;L10464</f>
        <v/>
      </c>
    </row>
    <row r="10465" customFormat="1" s="94">
      <c r="B10465" s="128" t="n">
        <v>44133</v>
      </c>
      <c r="C10465" s="94">
        <f>TEXT(B10465,"aaa")</f>
        <v/>
      </c>
      <c r="E10465" s="94" t="inlineStr">
        <is>
          <t>어성초진정패키지</t>
        </is>
      </c>
      <c r="F10465" s="5" t="inlineStr">
        <is>
          <t>카페24</t>
        </is>
      </c>
      <c r="G10465" s="94" t="inlineStr">
        <is>
          <t>어성초 진정패키지세트</t>
        </is>
      </c>
      <c r="H10465" s="94" t="n">
        <v>200801</v>
      </c>
      <c r="I10465" s="94" t="n">
        <v>200801</v>
      </c>
      <c r="K10465" s="94" t="n">
        <v>4</v>
      </c>
      <c r="L10465" s="94" t="n">
        <v>200801</v>
      </c>
      <c r="M10465" s="94">
        <f>VLOOKUP($Q10465,매칭테이블!$F:$I,2,0)*K10465</f>
        <v/>
      </c>
      <c r="N10465" s="94">
        <f>M10465-M10465*VLOOKUP($Q10465,매칭테이블!$F:$I,3,0)</f>
        <v/>
      </c>
      <c r="O10465" s="94">
        <f>VLOOKUP($Q10465,매칭테이블!$F:$I,4,0)*K10465</f>
        <v/>
      </c>
      <c r="P10465" s="148">
        <f>M10465/1.1</f>
        <v/>
      </c>
      <c r="Q10465" s="94">
        <f>F10465&amp;E10465&amp;G10465&amp;L10465</f>
        <v/>
      </c>
    </row>
    <row r="10466" customFormat="1" s="94">
      <c r="B10466" s="128" t="n">
        <v>44133</v>
      </c>
      <c r="C10466" s="94">
        <f>TEXT(B10466,"aaa")</f>
        <v/>
      </c>
      <c r="E10466" s="94" t="inlineStr">
        <is>
          <t>클리어 패드</t>
        </is>
      </c>
      <c r="F10466" s="5" t="inlineStr">
        <is>
          <t>카페24</t>
        </is>
      </c>
      <c r="G10466" s="94" t="inlineStr">
        <is>
          <t>어성초 77 클리어 패드 1개-20% off</t>
        </is>
      </c>
      <c r="H10466" s="94" t="n">
        <v>200801</v>
      </c>
      <c r="I10466" s="94" t="n">
        <v>200801</v>
      </c>
      <c r="K10466" s="94" t="n">
        <v>24</v>
      </c>
      <c r="L10466" s="94" t="n">
        <v>200801</v>
      </c>
      <c r="M10466" s="94">
        <f>VLOOKUP($Q10466,매칭테이블!$F:$I,2,0)*K10466</f>
        <v/>
      </c>
      <c r="N10466" s="94">
        <f>M10466-M10466*VLOOKUP($Q10466,매칭테이블!$F:$I,3,0)</f>
        <v/>
      </c>
      <c r="O10466" s="94">
        <f>VLOOKUP($Q10466,매칭테이블!$F:$I,4,0)*K10466</f>
        <v/>
      </c>
      <c r="P10466" s="148">
        <f>M10466/1.1</f>
        <v/>
      </c>
      <c r="Q10466" s="94">
        <f>F10466&amp;E10466&amp;G10466&amp;L10466</f>
        <v/>
      </c>
    </row>
    <row r="10467" customFormat="1" s="94">
      <c r="B10467" s="128" t="n">
        <v>44133</v>
      </c>
      <c r="C10467" s="94">
        <f>TEXT(B10467,"aaa")</f>
        <v/>
      </c>
      <c r="E10467" s="94" t="inlineStr">
        <is>
          <t>클리어 패드</t>
        </is>
      </c>
      <c r="F10467" s="5" t="inlineStr">
        <is>
          <t>카페24</t>
        </is>
      </c>
      <c r="G10467" s="94" t="inlineStr">
        <is>
          <t>어성초 77 클리어 패드 2개-30% off</t>
        </is>
      </c>
      <c r="H10467" s="94" t="n">
        <v>200801</v>
      </c>
      <c r="I10467" s="94" t="n">
        <v>200801</v>
      </c>
      <c r="K10467" s="94" t="n">
        <v>19</v>
      </c>
      <c r="L10467" s="94" t="n">
        <v>200801</v>
      </c>
      <c r="M10467" s="94">
        <f>VLOOKUP($Q10467,매칭테이블!$F:$I,2,0)*K10467</f>
        <v/>
      </c>
      <c r="N10467" s="94">
        <f>M10467-M10467*VLOOKUP($Q10467,매칭테이블!$F:$I,3,0)</f>
        <v/>
      </c>
      <c r="O10467" s="94">
        <f>VLOOKUP($Q10467,매칭테이블!$F:$I,4,0)*K10467</f>
        <v/>
      </c>
      <c r="P10467" s="148">
        <f>M10467/1.1</f>
        <v/>
      </c>
      <c r="Q10467" s="94">
        <f>F10467&amp;E10467&amp;G10467&amp;L10467</f>
        <v/>
      </c>
    </row>
    <row r="10468" customFormat="1" s="94">
      <c r="B10468" s="128" t="n">
        <v>44133</v>
      </c>
      <c r="C10468" s="94">
        <f>TEXT(B10468,"aaa")</f>
        <v/>
      </c>
      <c r="E10468" s="94" t="inlineStr">
        <is>
          <t>토너+패드 세트</t>
        </is>
      </c>
      <c r="F10468" s="5" t="inlineStr">
        <is>
          <t>카페24</t>
        </is>
      </c>
      <c r="G10468" s="94" t="inlineStr">
        <is>
          <t>좁쌀 진정 세트 토너+클리어 패드-30% off</t>
        </is>
      </c>
      <c r="H10468" s="94" t="n">
        <v>200801</v>
      </c>
      <c r="I10468" s="94" t="n">
        <v>200801</v>
      </c>
      <c r="K10468" s="94" t="n">
        <v>15</v>
      </c>
      <c r="L10468" s="94" t="n">
        <v>200801</v>
      </c>
      <c r="M10468" s="94">
        <f>VLOOKUP($Q10468,매칭테이블!$F:$I,2,0)*K10468</f>
        <v/>
      </c>
      <c r="N10468" s="94">
        <f>M10468-M10468*VLOOKUP($Q10468,매칭테이블!$F:$I,3,0)</f>
        <v/>
      </c>
      <c r="O10468" s="94">
        <f>VLOOKUP($Q10468,매칭테이블!$F:$I,4,0)*K10468</f>
        <v/>
      </c>
      <c r="P10468" s="148">
        <f>M10468/1.1</f>
        <v/>
      </c>
      <c r="Q10468" s="94">
        <f>F10468&amp;E10468&amp;G10468&amp;L10468</f>
        <v/>
      </c>
    </row>
    <row r="10469" customFormat="1" s="94">
      <c r="B10469" s="128" t="n">
        <v>44133</v>
      </c>
      <c r="C10469" s="94">
        <f>TEXT(B10469,"aaa")</f>
        <v/>
      </c>
      <c r="E10469" s="94" t="inlineStr">
        <is>
          <t>머드크림마스크</t>
        </is>
      </c>
      <c r="F10469" s="5" t="inlineStr">
        <is>
          <t>카페24</t>
        </is>
      </c>
      <c r="G10469" s="94" t="inlineStr">
        <is>
          <t>머드크림마스크 100ml</t>
        </is>
      </c>
      <c r="H10469" s="94" t="n">
        <v>200801</v>
      </c>
      <c r="I10469" s="94" t="n">
        <v>200801</v>
      </c>
      <c r="K10469" s="94" t="n">
        <v>6</v>
      </c>
      <c r="L10469" s="94" t="n">
        <v>200801</v>
      </c>
      <c r="M10469" s="94">
        <f>VLOOKUP($Q10469,매칭테이블!$F:$I,2,0)*K10469</f>
        <v/>
      </c>
      <c r="N10469" s="94">
        <f>M10469-M10469*VLOOKUP($Q10469,매칭테이블!$F:$I,3,0)</f>
        <v/>
      </c>
      <c r="O10469" s="94">
        <f>VLOOKUP($Q10469,매칭테이블!$F:$I,4,0)*K10469</f>
        <v/>
      </c>
      <c r="P10469" s="148">
        <f>M10469/1.1</f>
        <v/>
      </c>
      <c r="Q10469" s="94">
        <f>F10469&amp;E10469&amp;G10469&amp;L10469</f>
        <v/>
      </c>
    </row>
    <row r="10470" customFormat="1" s="94">
      <c r="B10470" s="128" t="n">
        <v>44133</v>
      </c>
      <c r="C10470" s="94">
        <f>TEXT(B10470,"aaa")</f>
        <v/>
      </c>
      <c r="E10470" s="94" t="inlineStr">
        <is>
          <t>머드크림마스크</t>
        </is>
      </c>
      <c r="F10470" s="5" t="inlineStr">
        <is>
          <t>카페24</t>
        </is>
      </c>
      <c r="G10470" s="94" t="inlineStr">
        <is>
          <t>머드크림마스크 100ml 2set</t>
        </is>
      </c>
      <c r="H10470" s="94" t="n">
        <v>200801</v>
      </c>
      <c r="I10470" s="94" t="n">
        <v>200801</v>
      </c>
      <c r="K10470" s="94" t="n">
        <v>3</v>
      </c>
      <c r="L10470" s="94" t="n">
        <v>200801</v>
      </c>
      <c r="M10470" s="94">
        <f>VLOOKUP($Q10470,매칭테이블!$F:$I,2,0)*K10470</f>
        <v/>
      </c>
      <c r="N10470" s="94">
        <f>M10470-M10470*VLOOKUP($Q10470,매칭테이블!$F:$I,3,0)</f>
        <v/>
      </c>
      <c r="O10470" s="94">
        <f>VLOOKUP($Q10470,매칭테이블!$F:$I,4,0)*K10470</f>
        <v/>
      </c>
      <c r="P10470" s="148">
        <f>M10470/1.1</f>
        <v/>
      </c>
      <c r="Q10470" s="94">
        <f>F10470&amp;E10470&amp;G10470&amp;L10470</f>
        <v/>
      </c>
    </row>
    <row r="10471" customFormat="1" s="94">
      <c r="B10471" s="128" t="n">
        <v>44133</v>
      </c>
      <c r="C10471" s="94">
        <f>TEXT(B10471,"aaa")</f>
        <v/>
      </c>
      <c r="E10471" s="94" t="inlineStr">
        <is>
          <t>마스크팩</t>
        </is>
      </c>
      <c r="F10471" s="5" t="inlineStr">
        <is>
          <t>카페24</t>
        </is>
      </c>
      <c r="G10471" s="94" t="inlineStr">
        <is>
          <t>마스크팩 10매</t>
        </is>
      </c>
      <c r="H10471" s="94" t="n">
        <v>200801</v>
      </c>
      <c r="I10471" s="94" t="n">
        <v>200801</v>
      </c>
      <c r="K10471" s="94" t="n">
        <v>4</v>
      </c>
      <c r="L10471" s="94" t="n">
        <v>200801</v>
      </c>
      <c r="M10471" s="94">
        <f>VLOOKUP($Q10471,매칭테이블!$F:$I,2,0)*K10471</f>
        <v/>
      </c>
      <c r="N10471" s="94">
        <f>M10471-M10471*VLOOKUP($Q10471,매칭테이블!$F:$I,3,0)</f>
        <v/>
      </c>
      <c r="O10471" s="94">
        <f>VLOOKUP($Q10471,매칭테이블!$F:$I,4,0)*K10471</f>
        <v/>
      </c>
      <c r="P10471" s="148">
        <f>M10471/1.1</f>
        <v/>
      </c>
      <c r="Q10471" s="94">
        <f>F10471&amp;E10471&amp;G10471&amp;L10471</f>
        <v/>
      </c>
    </row>
    <row r="10472" customFormat="1" s="94">
      <c r="B10472" s="128" t="n">
        <v>44133</v>
      </c>
      <c r="C10472" s="94">
        <f>TEXT(B10472,"aaa")</f>
        <v/>
      </c>
      <c r="E10472" s="94" t="inlineStr">
        <is>
          <t>토너</t>
        </is>
      </c>
      <c r="F10472" s="5" t="inlineStr">
        <is>
          <t>카페24</t>
        </is>
      </c>
      <c r="G10472" s="94" t="inlineStr">
        <is>
          <t>250ml</t>
        </is>
      </c>
      <c r="H10472" s="94" t="n">
        <v>200801</v>
      </c>
      <c r="I10472" s="94" t="n">
        <v>200801</v>
      </c>
      <c r="K10472" s="94" t="n">
        <v>24</v>
      </c>
      <c r="L10472" s="94" t="n">
        <v>200801</v>
      </c>
      <c r="M10472" s="94">
        <f>VLOOKUP($Q10472,매칭테이블!$F:$I,2,0)*K10472</f>
        <v/>
      </c>
      <c r="N10472" s="94">
        <f>M10472-M10472*VLOOKUP($Q10472,매칭테이블!$F:$I,3,0)</f>
        <v/>
      </c>
      <c r="O10472" s="94">
        <f>VLOOKUP($Q10472,매칭테이블!$F:$I,4,0)*K10472</f>
        <v/>
      </c>
      <c r="P10472" s="148">
        <f>M10472/1.1</f>
        <v/>
      </c>
      <c r="Q10472" s="94">
        <f>F10472&amp;E10472&amp;G10472&amp;L10472</f>
        <v/>
      </c>
    </row>
    <row r="10473" customFormat="1" s="94">
      <c r="B10473" s="128" t="n">
        <v>44133</v>
      </c>
      <c r="C10473" s="94">
        <f>TEXT(B10473,"aaa")</f>
        <v/>
      </c>
      <c r="E10473" s="94" t="inlineStr">
        <is>
          <t>토너</t>
        </is>
      </c>
      <c r="F10473" s="5" t="inlineStr">
        <is>
          <t>카페24</t>
        </is>
      </c>
      <c r="G10473" s="94" t="inlineStr">
        <is>
          <t>250ml 2set</t>
        </is>
      </c>
      <c r="H10473" s="94" t="n">
        <v>200801</v>
      </c>
      <c r="I10473" s="94" t="n">
        <v>200801</v>
      </c>
      <c r="K10473" s="94" t="n">
        <v>14</v>
      </c>
      <c r="L10473" s="94" t="n">
        <v>200801</v>
      </c>
      <c r="M10473" s="94">
        <f>VLOOKUP($Q10473,매칭테이블!$F:$I,2,0)*K10473</f>
        <v/>
      </c>
      <c r="N10473" s="94">
        <f>M10473-M10473*VLOOKUP($Q10473,매칭테이블!$F:$I,3,0)</f>
        <v/>
      </c>
      <c r="O10473" s="94">
        <f>VLOOKUP($Q10473,매칭테이블!$F:$I,4,0)*K10473</f>
        <v/>
      </c>
      <c r="P10473" s="148">
        <f>M10473/1.1</f>
        <v/>
      </c>
      <c r="Q10473" s="94">
        <f>F10473&amp;E10473&amp;G10473&amp;L10473</f>
        <v/>
      </c>
    </row>
    <row r="10474" customFormat="1" s="94">
      <c r="B10474" s="128" t="n">
        <v>44133</v>
      </c>
      <c r="C10474" s="94">
        <f>TEXT(B10474,"aaa")</f>
        <v/>
      </c>
      <c r="E10474" s="94" t="inlineStr">
        <is>
          <t>토너</t>
        </is>
      </c>
      <c r="F10474" s="5" t="inlineStr">
        <is>
          <t>카페24</t>
        </is>
      </c>
      <c r="G10474" s="94" t="inlineStr">
        <is>
          <t>500ml</t>
        </is>
      </c>
      <c r="H10474" s="94" t="n">
        <v>200801</v>
      </c>
      <c r="I10474" s="94" t="n">
        <v>200801</v>
      </c>
      <c r="K10474" s="94" t="n">
        <v>36</v>
      </c>
      <c r="L10474" s="94" t="n">
        <v>200801</v>
      </c>
      <c r="M10474" s="94">
        <f>VLOOKUP($Q10474,매칭테이블!$F:$I,2,0)*K10474</f>
        <v/>
      </c>
      <c r="N10474" s="94">
        <f>M10474-M10474*VLOOKUP($Q10474,매칭테이블!$F:$I,3,0)</f>
        <v/>
      </c>
      <c r="O10474" s="94">
        <f>VLOOKUP($Q10474,매칭테이블!$F:$I,4,0)*K10474</f>
        <v/>
      </c>
      <c r="P10474" s="148">
        <f>M10474/1.1</f>
        <v/>
      </c>
      <c r="Q10474" s="94">
        <f>F10474&amp;E10474&amp;G10474&amp;L10474</f>
        <v/>
      </c>
    </row>
    <row r="10475" customFormat="1" s="94">
      <c r="B10475" s="128" t="n">
        <v>44133</v>
      </c>
      <c r="C10475" s="94">
        <f>TEXT(B10475,"aaa")</f>
        <v/>
      </c>
      <c r="E10475" s="94" t="inlineStr">
        <is>
          <t>토너</t>
        </is>
      </c>
      <c r="F10475" s="5" t="inlineStr">
        <is>
          <t>카페24</t>
        </is>
      </c>
      <c r="G10475" s="94" t="inlineStr">
        <is>
          <t>스킨팩 화장솜 60P</t>
        </is>
      </c>
      <c r="H10475" s="94" t="n">
        <v>200801</v>
      </c>
      <c r="I10475" s="94" t="n">
        <v>200801</v>
      </c>
      <c r="K10475" s="94" t="n">
        <v>20</v>
      </c>
      <c r="L10475" s="94" t="n">
        <v>200801</v>
      </c>
      <c r="M10475" s="94">
        <f>VLOOKUP($Q10475,매칭테이블!$F:$I,2,0)*K10475</f>
        <v/>
      </c>
      <c r="N10475" s="94">
        <f>M10475-M10475*VLOOKUP($Q10475,매칭테이블!$F:$I,3,0)</f>
        <v/>
      </c>
      <c r="O10475" s="94">
        <f>VLOOKUP($Q10475,매칭테이블!$F:$I,4,0)*K10475</f>
        <v/>
      </c>
      <c r="P10475" s="148">
        <f>M10475/1.1</f>
        <v/>
      </c>
      <c r="Q10475" s="94">
        <f>F10475&amp;E10475&amp;G10475&amp;L10475</f>
        <v/>
      </c>
    </row>
    <row r="10476" customFormat="1" s="94">
      <c r="B10476" s="128" t="n">
        <v>44133</v>
      </c>
      <c r="C10476" s="94">
        <f>TEXT(B10476,"aaa")</f>
        <v/>
      </c>
      <c r="E10476" s="94" t="inlineStr">
        <is>
          <t>앰플</t>
        </is>
      </c>
      <c r="F10476" s="5" t="inlineStr">
        <is>
          <t>카페24</t>
        </is>
      </c>
      <c r="G10476" s="94" t="inlineStr">
        <is>
          <t>앰플 30ml</t>
        </is>
      </c>
      <c r="H10476" s="94" t="n">
        <v>200801</v>
      </c>
      <c r="I10476" s="94" t="n">
        <v>200801</v>
      </c>
      <c r="K10476" s="94" t="n">
        <v>13</v>
      </c>
      <c r="L10476" s="94" t="n">
        <v>200801</v>
      </c>
      <c r="M10476" s="94">
        <f>VLOOKUP($Q10476,매칭테이블!$F:$I,2,0)*K10476</f>
        <v/>
      </c>
      <c r="N10476" s="94">
        <f>M10476-M10476*VLOOKUP($Q10476,매칭테이블!$F:$I,3,0)</f>
        <v/>
      </c>
      <c r="O10476" s="94">
        <f>VLOOKUP($Q10476,매칭테이블!$F:$I,4,0)*K10476</f>
        <v/>
      </c>
      <c r="P10476" s="148">
        <f>M10476/1.1</f>
        <v/>
      </c>
      <c r="Q10476" s="94">
        <f>F10476&amp;E10476&amp;G10476&amp;L10476</f>
        <v/>
      </c>
    </row>
    <row r="10477" customFormat="1" s="94">
      <c r="B10477" s="128" t="n">
        <v>44133</v>
      </c>
      <c r="C10477" s="94">
        <f>TEXT(B10477,"aaa")</f>
        <v/>
      </c>
      <c r="E10477" s="94" t="inlineStr">
        <is>
          <t>앰플</t>
        </is>
      </c>
      <c r="F10477" s="5" t="inlineStr">
        <is>
          <t>카페24</t>
        </is>
      </c>
      <c r="G10477" s="94" t="inlineStr">
        <is>
          <t>앰플 30ml  2set</t>
        </is>
      </c>
      <c r="H10477" s="94" t="n">
        <v>200801</v>
      </c>
      <c r="I10477" s="94" t="n">
        <v>200801</v>
      </c>
      <c r="K10477" s="94" t="n">
        <v>3</v>
      </c>
      <c r="L10477" s="94" t="n">
        <v>200801</v>
      </c>
      <c r="M10477" s="94">
        <f>VLOOKUP($Q10477,매칭테이블!$F:$I,2,0)*K10477</f>
        <v/>
      </c>
      <c r="N10477" s="94">
        <f>M10477-M10477*VLOOKUP($Q10477,매칭테이블!$F:$I,3,0)</f>
        <v/>
      </c>
      <c r="O10477" s="94">
        <f>VLOOKUP($Q10477,매칭테이블!$F:$I,4,0)*K10477</f>
        <v/>
      </c>
      <c r="P10477" s="148">
        <f>M10477/1.1</f>
        <v/>
      </c>
      <c r="Q10477" s="94">
        <f>F10477&amp;E10477&amp;G10477&amp;L10477</f>
        <v/>
      </c>
    </row>
    <row r="10478" customFormat="1" s="94">
      <c r="B10478" s="128" t="n">
        <v>44133</v>
      </c>
      <c r="C10478" s="94">
        <f>TEXT(B10478,"aaa")</f>
        <v/>
      </c>
      <c r="E10478" s="94" t="inlineStr">
        <is>
          <t>클렌징폼</t>
        </is>
      </c>
      <c r="F10478" s="5" t="inlineStr">
        <is>
          <t>카페24</t>
        </is>
      </c>
      <c r="G10478" s="94" t="inlineStr">
        <is>
          <t>클렌징폼 120ml</t>
        </is>
      </c>
      <c r="H10478" s="94" t="n">
        <v>200801</v>
      </c>
      <c r="I10478" s="94" t="n">
        <v>200801</v>
      </c>
      <c r="K10478" s="94" t="n">
        <v>5</v>
      </c>
      <c r="L10478" s="94" t="n">
        <v>200801</v>
      </c>
      <c r="M10478" s="94">
        <f>VLOOKUP($Q10478,매칭테이블!$F:$I,2,0)*K10478</f>
        <v/>
      </c>
      <c r="N10478" s="94">
        <f>M10478-M10478*VLOOKUP($Q10478,매칭테이블!$F:$I,3,0)</f>
        <v/>
      </c>
      <c r="O10478" s="94">
        <f>VLOOKUP($Q10478,매칭테이블!$F:$I,4,0)*K10478</f>
        <v/>
      </c>
      <c r="P10478" s="148">
        <f>M10478/1.1</f>
        <v/>
      </c>
      <c r="Q10478" s="94">
        <f>F10478&amp;E10478&amp;G10478&amp;L10478</f>
        <v/>
      </c>
    </row>
    <row r="10479" customFormat="1" s="94">
      <c r="B10479" s="128" t="n">
        <v>44133</v>
      </c>
      <c r="C10479" s="94">
        <f>TEXT(B10479,"aaa")</f>
        <v/>
      </c>
      <c r="E10479" s="94" t="inlineStr">
        <is>
          <t>클렌징폼</t>
        </is>
      </c>
      <c r="F10479" s="5" t="inlineStr">
        <is>
          <t>카페24</t>
        </is>
      </c>
      <c r="G10479" s="94" t="inlineStr">
        <is>
          <t>클렌징폼 120ml 2set</t>
        </is>
      </c>
      <c r="H10479" s="94" t="n">
        <v>200801</v>
      </c>
      <c r="I10479" s="94" t="n">
        <v>200801</v>
      </c>
      <c r="K10479" s="94" t="n">
        <v>1</v>
      </c>
      <c r="L10479" s="94" t="n">
        <v>200801</v>
      </c>
      <c r="M10479" s="94">
        <f>VLOOKUP($Q10479,매칭테이블!$F:$I,2,0)*K10479</f>
        <v/>
      </c>
      <c r="N10479" s="94">
        <f>M10479-M10479*VLOOKUP($Q10479,매칭테이블!$F:$I,3,0)</f>
        <v/>
      </c>
      <c r="O10479" s="94">
        <f>VLOOKUP($Q10479,매칭테이블!$F:$I,4,0)*K10479</f>
        <v/>
      </c>
      <c r="P10479" s="148">
        <f>M10479/1.1</f>
        <v/>
      </c>
      <c r="Q10479" s="94">
        <f>F10479&amp;E10479&amp;G10479&amp;L10479</f>
        <v/>
      </c>
    </row>
    <row r="10480" customFormat="1" s="94">
      <c r="B10480" s="128" t="n">
        <v>44133</v>
      </c>
      <c r="C10480" s="94">
        <f>TEXT(B10480,"aaa")</f>
        <v/>
      </c>
      <c r="E10480" s="94" t="inlineStr">
        <is>
          <t>클렌징폼</t>
        </is>
      </c>
      <c r="F10480" s="5" t="inlineStr">
        <is>
          <t>카페24</t>
        </is>
      </c>
      <c r="G10480" s="94" t="inlineStr">
        <is>
          <t>클렌징폼 120ml 3set</t>
        </is>
      </c>
      <c r="H10480" s="94" t="n">
        <v>200801</v>
      </c>
      <c r="I10480" s="94" t="n">
        <v>200801</v>
      </c>
      <c r="K10480" s="94" t="n">
        <v>1</v>
      </c>
      <c r="L10480" s="94" t="n">
        <v>200801</v>
      </c>
      <c r="M10480" s="94">
        <f>VLOOKUP($Q10480,매칭테이블!$F:$I,2,0)*K10480</f>
        <v/>
      </c>
      <c r="N10480" s="94">
        <f>M10480-M10480*VLOOKUP($Q10480,매칭테이블!$F:$I,3,0)</f>
        <v/>
      </c>
      <c r="O10480" s="94">
        <f>VLOOKUP($Q10480,매칭테이블!$F:$I,4,0)*K10480</f>
        <v/>
      </c>
      <c r="P10480" s="148">
        <f>M10480/1.1</f>
        <v/>
      </c>
      <c r="Q10480" s="94">
        <f>F10480&amp;E10480&amp;G10480&amp;L10480</f>
        <v/>
      </c>
    </row>
    <row r="10481" customFormat="1" s="94">
      <c r="B10481" s="128" t="n">
        <v>44133</v>
      </c>
      <c r="C10481" s="94">
        <f>TEXT(B10481,"aaa")</f>
        <v/>
      </c>
      <c r="E10481" s="94" t="inlineStr">
        <is>
          <t>바디워시</t>
        </is>
      </c>
      <c r="F10481" s="5" t="inlineStr">
        <is>
          <t>카페24</t>
        </is>
      </c>
      <c r="G10481" s="94" t="inlineStr">
        <is>
          <t>바디워시 1개 -30% off</t>
        </is>
      </c>
      <c r="H10481" s="94" t="n">
        <v>200801</v>
      </c>
      <c r="I10481" s="94" t="n">
        <v>200801</v>
      </c>
      <c r="K10481" s="94" t="n">
        <v>2</v>
      </c>
      <c r="L10481" s="94" t="n">
        <v>200801</v>
      </c>
      <c r="M10481" s="94">
        <f>VLOOKUP($Q10481,매칭테이블!$F:$I,2,0)*K10481</f>
        <v/>
      </c>
      <c r="N10481" s="94">
        <f>M10481-M10481*VLOOKUP($Q10481,매칭테이블!$F:$I,3,0)</f>
        <v/>
      </c>
      <c r="O10481" s="94">
        <f>VLOOKUP($Q10481,매칭테이블!$F:$I,4,0)*K10481</f>
        <v/>
      </c>
      <c r="P10481" s="148">
        <f>M10481/1.1</f>
        <v/>
      </c>
      <c r="Q10481" s="94">
        <f>F10481&amp;E10481&amp;G10481&amp;L10481</f>
        <v/>
      </c>
    </row>
    <row r="10482" customFormat="1" s="94">
      <c r="B10482" s="128" t="n">
        <v>44133</v>
      </c>
      <c r="C10482" s="94">
        <f>TEXT(B10482,"aaa")</f>
        <v/>
      </c>
      <c r="E10482" s="94" t="inlineStr">
        <is>
          <t>바디워시</t>
        </is>
      </c>
      <c r="F10482" s="5" t="inlineStr">
        <is>
          <t>카페24</t>
        </is>
      </c>
      <c r="G10482" s="94" t="inlineStr">
        <is>
          <t>바디워시 2개 -35% off (무료배송)</t>
        </is>
      </c>
      <c r="H10482" s="94" t="n">
        <v>200801</v>
      </c>
      <c r="I10482" s="94" t="n">
        <v>200801</v>
      </c>
      <c r="K10482" s="94" t="n">
        <v>1</v>
      </c>
      <c r="L10482" s="94" t="n">
        <v>200801</v>
      </c>
      <c r="M10482" s="94">
        <f>VLOOKUP($Q10482,매칭테이블!$F:$I,2,0)*K10482</f>
        <v/>
      </c>
      <c r="N10482" s="94">
        <f>M10482-M10482*VLOOKUP($Q10482,매칭테이블!$F:$I,3,0)</f>
        <v/>
      </c>
      <c r="O10482" s="94">
        <f>VLOOKUP($Q10482,매칭테이블!$F:$I,4,0)*K10482</f>
        <v/>
      </c>
      <c r="P10482" s="148">
        <f>M10482/1.1</f>
        <v/>
      </c>
      <c r="Q10482" s="94">
        <f>F10482&amp;E10482&amp;G10482&amp;L10482</f>
        <v/>
      </c>
    </row>
    <row r="10483" customFormat="1" s="94">
      <c r="B10483" s="128" t="n">
        <v>44133</v>
      </c>
      <c r="C10483" s="94">
        <f>TEXT(B10483,"aaa")</f>
        <v/>
      </c>
      <c r="E10483" s="94" t="inlineStr">
        <is>
          <t>토너</t>
        </is>
      </c>
      <c r="F10483" s="5" t="inlineStr">
        <is>
          <t>화해</t>
        </is>
      </c>
      <c r="G10483" s="94" t="inlineStr">
        <is>
          <t>250ml</t>
        </is>
      </c>
      <c r="H10483" s="94" t="n">
        <v>200801</v>
      </c>
      <c r="I10483" s="94" t="n">
        <v>200801</v>
      </c>
      <c r="K10483" s="94" t="n">
        <v>4</v>
      </c>
      <c r="L10483" s="94" t="n">
        <v>200801</v>
      </c>
      <c r="M10483" s="94">
        <f>VLOOKUP($Q10483,매칭테이블!$F:$I,2,0)*K10483</f>
        <v/>
      </c>
      <c r="N10483" s="94">
        <f>M10483-M10483*VLOOKUP($Q10483,매칭테이블!$F:$I,3,0)</f>
        <v/>
      </c>
      <c r="O10483" s="94">
        <f>VLOOKUP($Q10483,매칭테이블!$F:$I,4,0)*K10483</f>
        <v/>
      </c>
      <c r="P10483" s="148">
        <f>M10483/1.1</f>
        <v/>
      </c>
      <c r="Q10483" s="94">
        <f>F10483&amp;E10483&amp;G10483&amp;L10483</f>
        <v/>
      </c>
    </row>
    <row r="10484" customFormat="1" s="94">
      <c r="B10484" s="128" t="n">
        <v>44134</v>
      </c>
      <c r="C10484" s="94">
        <f>TEXT(B10484,"aaa")</f>
        <v/>
      </c>
      <c r="E10484" s="94" t="inlineStr">
        <is>
          <t>토너</t>
        </is>
      </c>
      <c r="F10484" s="5" t="inlineStr">
        <is>
          <t>W컨셉</t>
        </is>
      </c>
      <c r="G10484" s="94" t="inlineStr">
        <is>
          <t>250ml 2set</t>
        </is>
      </c>
      <c r="H10484" s="94" t="n">
        <v>200801</v>
      </c>
      <c r="I10484" s="94" t="n">
        <v>200801</v>
      </c>
      <c r="K10484" s="94" t="n">
        <v>2</v>
      </c>
      <c r="L10484" s="94" t="n">
        <v>200801</v>
      </c>
      <c r="M10484" s="94">
        <f>VLOOKUP($Q10484,매칭테이블!$F:$I,2,0)*K10484</f>
        <v/>
      </c>
      <c r="N10484" s="94">
        <f>M10484-M10484*VLOOKUP($Q10484,매칭테이블!$F:$I,3,0)</f>
        <v/>
      </c>
      <c r="O10484" s="94">
        <f>VLOOKUP($Q10484,매칭테이블!$F:$I,4,0)*K10484</f>
        <v/>
      </c>
      <c r="P10484" s="148">
        <f>M10484/1.1</f>
        <v/>
      </c>
      <c r="Q10484" s="94">
        <f>F10484&amp;E10484&amp;G10484&amp;L10484</f>
        <v/>
      </c>
    </row>
    <row r="10485" customFormat="1" s="94">
      <c r="B10485" s="128" t="n">
        <v>44134</v>
      </c>
      <c r="C10485" s="94">
        <f>TEXT(B10485,"aaa")</f>
        <v/>
      </c>
      <c r="E10485" s="94" t="inlineStr">
        <is>
          <t>토너</t>
        </is>
      </c>
      <c r="F10485" s="5" t="inlineStr">
        <is>
          <t>스타일쉐어</t>
        </is>
      </c>
      <c r="G10485" s="94" t="inlineStr">
        <is>
          <t>250ml</t>
        </is>
      </c>
      <c r="H10485" s="94" t="n">
        <v>200801</v>
      </c>
      <c r="I10485" s="94" t="n">
        <v>200801</v>
      </c>
      <c r="K10485" s="94" t="n">
        <v>1</v>
      </c>
      <c r="L10485" s="94" t="n">
        <v>200801</v>
      </c>
      <c r="M10485" s="94">
        <f>VLOOKUP($Q10485,매칭테이블!$F:$I,2,0)*K10485</f>
        <v/>
      </c>
      <c r="N10485" s="94">
        <f>M10485-M10485*VLOOKUP($Q10485,매칭테이블!$F:$I,3,0)</f>
        <v/>
      </c>
      <c r="O10485" s="94">
        <f>VLOOKUP($Q10485,매칭테이블!$F:$I,4,0)*K10485</f>
        <v/>
      </c>
      <c r="P10485" s="148">
        <f>M10485/1.1</f>
        <v/>
      </c>
      <c r="Q10485" s="94">
        <f>F10485&amp;E10485&amp;G10485&amp;L10485</f>
        <v/>
      </c>
    </row>
    <row r="10486" customFormat="1" s="94">
      <c r="B10486" s="128" t="n">
        <v>44134</v>
      </c>
      <c r="C10486" s="94">
        <f>TEXT(B10486,"aaa")</f>
        <v/>
      </c>
      <c r="E10486" s="94" t="inlineStr">
        <is>
          <t>로션</t>
        </is>
      </c>
      <c r="F10486" s="5" t="inlineStr">
        <is>
          <t>아누아 CS</t>
        </is>
      </c>
      <c r="G10486" s="94" t="inlineStr">
        <is>
          <t>로션 200ml</t>
        </is>
      </c>
      <c r="H10486" s="94" t="n">
        <v>200801</v>
      </c>
      <c r="I10486" s="94" t="n">
        <v>200801</v>
      </c>
      <c r="K10486" s="94" t="n">
        <v>1</v>
      </c>
      <c r="L10486" s="94" t="n">
        <v>200801</v>
      </c>
      <c r="M10486" s="94">
        <f>VLOOKUP($Q10486,매칭테이블!$F:$I,2,0)*K10486</f>
        <v/>
      </c>
      <c r="N10486" s="94">
        <f>M10486-M10486*VLOOKUP($Q10486,매칭테이블!$F:$I,3,0)</f>
        <v/>
      </c>
      <c r="O10486" s="94">
        <f>VLOOKUP($Q10486,매칭테이블!$F:$I,4,0)*K10486</f>
        <v/>
      </c>
      <c r="P10486" s="148">
        <f>M10486/1.1</f>
        <v/>
      </c>
      <c r="Q10486" s="94">
        <f>F10486&amp;E10486&amp;G10486&amp;L10486</f>
        <v/>
      </c>
    </row>
    <row r="10487" customFormat="1" s="94">
      <c r="B10487" s="128" t="n">
        <v>44134</v>
      </c>
      <c r="C10487" s="94">
        <f>TEXT(B10487,"aaa")</f>
        <v/>
      </c>
      <c r="E10487" s="94" t="inlineStr">
        <is>
          <t>클리어 패드</t>
        </is>
      </c>
      <c r="F10487" s="5" t="inlineStr">
        <is>
          <t>아누아 CS</t>
        </is>
      </c>
      <c r="G10487" s="94" t="inlineStr">
        <is>
          <t>어성초 클리어패드 70P</t>
        </is>
      </c>
      <c r="H10487" s="94" t="n">
        <v>200801</v>
      </c>
      <c r="I10487" s="94" t="n">
        <v>200801</v>
      </c>
      <c r="K10487" s="94" t="n">
        <v>40</v>
      </c>
      <c r="L10487" s="94" t="n">
        <v>200801</v>
      </c>
      <c r="M10487" s="94">
        <f>VLOOKUP($Q10487,매칭테이블!$F:$I,2,0)*K10487</f>
        <v/>
      </c>
      <c r="N10487" s="94">
        <f>M10487-M10487*VLOOKUP($Q10487,매칭테이블!$F:$I,3,0)</f>
        <v/>
      </c>
      <c r="O10487" s="94">
        <f>VLOOKUP($Q10487,매칭테이블!$F:$I,4,0)*K10487</f>
        <v/>
      </c>
      <c r="P10487" s="148">
        <f>M10487/1.1</f>
        <v/>
      </c>
      <c r="Q10487" s="94">
        <f>F10487&amp;E10487&amp;G10487&amp;L10487</f>
        <v/>
      </c>
    </row>
    <row r="10488" customFormat="1" s="94">
      <c r="B10488" s="128" t="n">
        <v>44134</v>
      </c>
      <c r="C10488" s="94">
        <f>TEXT(B10488,"aaa")</f>
        <v/>
      </c>
      <c r="E10488" s="94" t="inlineStr">
        <is>
          <t>크림마스크</t>
        </is>
      </c>
      <c r="F10488" s="5" t="inlineStr">
        <is>
          <t>아누아 CS</t>
        </is>
      </c>
      <c r="G10488" s="94" t="inlineStr">
        <is>
          <t>어성초 크림마스크 나이트 솔루션 10매</t>
        </is>
      </c>
      <c r="H10488" s="94" t="n">
        <v>200801</v>
      </c>
      <c r="I10488" s="94" t="n">
        <v>200801</v>
      </c>
      <c r="K10488" s="94" t="n">
        <v>1</v>
      </c>
      <c r="L10488" s="94" t="n">
        <v>200801</v>
      </c>
      <c r="M10488" s="94">
        <f>VLOOKUP($Q10488,매칭테이블!$F:$I,2,0)*K10488</f>
        <v/>
      </c>
      <c r="N10488" s="94">
        <f>M10488-M10488*VLOOKUP($Q10488,매칭테이블!$F:$I,3,0)</f>
        <v/>
      </c>
      <c r="O10488" s="94">
        <f>VLOOKUP($Q10488,매칭테이블!$F:$I,4,0)*K10488</f>
        <v/>
      </c>
      <c r="P10488" s="148">
        <f>M10488/1.1</f>
        <v/>
      </c>
      <c r="Q10488" s="94">
        <f>F10488&amp;E10488&amp;G10488&amp;L10488</f>
        <v/>
      </c>
    </row>
    <row r="10489" customFormat="1" s="94">
      <c r="B10489" s="128" t="n">
        <v>44134</v>
      </c>
      <c r="C10489" s="94">
        <f>TEXT(B10489,"aaa")</f>
        <v/>
      </c>
      <c r="E10489" s="94" t="inlineStr">
        <is>
          <t>클리어 패드</t>
        </is>
      </c>
      <c r="F10489" s="5" t="inlineStr">
        <is>
          <t>카페24</t>
        </is>
      </c>
      <c r="G10489" s="94" t="inlineStr">
        <is>
          <t>어성초 77 클리어 패드 1개-20% off</t>
        </is>
      </c>
      <c r="H10489" s="94" t="n">
        <v>200801</v>
      </c>
      <c r="I10489" s="94" t="n">
        <v>200801</v>
      </c>
      <c r="K10489" s="94" t="n">
        <v>17</v>
      </c>
      <c r="L10489" s="94" t="n">
        <v>200801</v>
      </c>
      <c r="M10489" s="94">
        <f>VLOOKUP($Q10489,매칭테이블!$F:$I,2,0)*K10489</f>
        <v/>
      </c>
      <c r="N10489" s="94">
        <f>M10489-M10489*VLOOKUP($Q10489,매칭테이블!$F:$I,3,0)</f>
        <v/>
      </c>
      <c r="O10489" s="94">
        <f>VLOOKUP($Q10489,매칭테이블!$F:$I,4,0)*K10489</f>
        <v/>
      </c>
      <c r="P10489" s="148">
        <f>M10489/1.1</f>
        <v/>
      </c>
      <c r="Q10489" s="94">
        <f>F10489&amp;E10489&amp;G10489&amp;L10489</f>
        <v/>
      </c>
    </row>
    <row r="10490" customFormat="1" s="94">
      <c r="B10490" s="128" t="n">
        <v>44134</v>
      </c>
      <c r="C10490" s="94">
        <f>TEXT(B10490,"aaa")</f>
        <v/>
      </c>
      <c r="E10490" s="94" t="inlineStr">
        <is>
          <t>클리어 패드</t>
        </is>
      </c>
      <c r="F10490" s="5" t="inlineStr">
        <is>
          <t>카페24</t>
        </is>
      </c>
      <c r="G10490" s="94" t="inlineStr">
        <is>
          <t>어성초 77 클리어 패드 2개-30% off</t>
        </is>
      </c>
      <c r="H10490" s="94" t="n">
        <v>200801</v>
      </c>
      <c r="I10490" s="94" t="n">
        <v>200801</v>
      </c>
      <c r="K10490" s="94" t="n">
        <v>20</v>
      </c>
      <c r="L10490" s="94" t="n">
        <v>200801</v>
      </c>
      <c r="M10490" s="94">
        <f>VLOOKUP($Q10490,매칭테이블!$F:$I,2,0)*K10490</f>
        <v/>
      </c>
      <c r="N10490" s="94">
        <f>M10490-M10490*VLOOKUP($Q10490,매칭테이블!$F:$I,3,0)</f>
        <v/>
      </c>
      <c r="O10490" s="94">
        <f>VLOOKUP($Q10490,매칭테이블!$F:$I,4,0)*K10490</f>
        <v/>
      </c>
      <c r="P10490" s="148">
        <f>M10490/1.1</f>
        <v/>
      </c>
      <c r="Q10490" s="94">
        <f>F10490&amp;E10490&amp;G10490&amp;L10490</f>
        <v/>
      </c>
    </row>
    <row r="10491" customFormat="1" s="94">
      <c r="B10491" s="128" t="n">
        <v>44134</v>
      </c>
      <c r="C10491" s="94">
        <f>TEXT(B10491,"aaa")</f>
        <v/>
      </c>
      <c r="E10491" s="94" t="inlineStr">
        <is>
          <t>토너+패드 세트</t>
        </is>
      </c>
      <c r="F10491" s="5" t="inlineStr">
        <is>
          <t>카페24</t>
        </is>
      </c>
      <c r="G10491" s="94" t="inlineStr">
        <is>
          <t>좁쌀 진정 세트 토너+클리어 패드-30% off</t>
        </is>
      </c>
      <c r="H10491" s="94" t="n">
        <v>200801</v>
      </c>
      <c r="I10491" s="94" t="n">
        <v>200801</v>
      </c>
      <c r="K10491" s="94" t="n">
        <v>18</v>
      </c>
      <c r="L10491" s="94" t="n">
        <v>200801</v>
      </c>
      <c r="M10491" s="94">
        <f>VLOOKUP($Q10491,매칭테이블!$F:$I,2,0)*K10491</f>
        <v/>
      </c>
      <c r="N10491" s="94">
        <f>M10491-M10491*VLOOKUP($Q10491,매칭테이블!$F:$I,3,0)</f>
        <v/>
      </c>
      <c r="O10491" s="94">
        <f>VLOOKUP($Q10491,매칭테이블!$F:$I,4,0)*K10491</f>
        <v/>
      </c>
      <c r="P10491" s="148">
        <f>M10491/1.1</f>
        <v/>
      </c>
      <c r="Q10491" s="94">
        <f>F10491&amp;E10491&amp;G10491&amp;L10491</f>
        <v/>
      </c>
    </row>
    <row r="10492" customFormat="1" s="94">
      <c r="B10492" s="128" t="n">
        <v>44134</v>
      </c>
      <c r="C10492" s="94">
        <f>TEXT(B10492,"aaa")</f>
        <v/>
      </c>
      <c r="E10492" s="94" t="inlineStr">
        <is>
          <t>수분 보충 세트</t>
        </is>
      </c>
      <c r="F10492" s="5" t="inlineStr">
        <is>
          <t>카페24</t>
        </is>
      </c>
      <c r="G10492" s="94" t="inlineStr">
        <is>
          <t>[20/09/28 부터] 어성초 77 토너 250ml + 어성초 70 로션 200ml -30%</t>
        </is>
      </c>
      <c r="H10492" s="94" t="n">
        <v>200801</v>
      </c>
      <c r="I10492" s="94" t="n">
        <v>200801</v>
      </c>
      <c r="K10492" s="94" t="n">
        <v>44</v>
      </c>
      <c r="L10492" s="94" t="n">
        <v>200801</v>
      </c>
      <c r="M10492" s="94">
        <f>VLOOKUP($Q10492,매칭테이블!$F:$I,2,0)*K10492</f>
        <v/>
      </c>
      <c r="N10492" s="94">
        <f>M10492-M10492*VLOOKUP($Q10492,매칭테이블!$F:$I,3,0)</f>
        <v/>
      </c>
      <c r="O10492" s="94">
        <f>VLOOKUP($Q10492,매칭테이블!$F:$I,4,0)*K10492</f>
        <v/>
      </c>
      <c r="P10492" s="148">
        <f>M10492/1.1</f>
        <v/>
      </c>
      <c r="Q10492" s="94">
        <f>F10492&amp;E10492&amp;G10492&amp;L10492</f>
        <v/>
      </c>
    </row>
    <row r="10493" customFormat="1" s="94">
      <c r="B10493" s="128" t="n">
        <v>44134</v>
      </c>
      <c r="C10493" s="94">
        <f>TEXT(B10493,"aaa")</f>
        <v/>
      </c>
      <c r="E10493" s="94" t="inlineStr">
        <is>
          <t>로션</t>
        </is>
      </c>
      <c r="F10493" s="5" t="inlineStr">
        <is>
          <t>카페24</t>
        </is>
      </c>
      <c r="G10493" s="94" t="inlineStr">
        <is>
          <t>어성초 70 데일리 릴리프 로션 1개 -20% off</t>
        </is>
      </c>
      <c r="H10493" s="94" t="n">
        <v>200801</v>
      </c>
      <c r="I10493" s="94" t="n">
        <v>200801</v>
      </c>
      <c r="K10493" s="94" t="n">
        <v>7</v>
      </c>
      <c r="L10493" s="94" t="n">
        <v>200801</v>
      </c>
      <c r="M10493" s="94">
        <f>VLOOKUP($Q10493,매칭테이블!$F:$I,2,0)*K10493</f>
        <v/>
      </c>
      <c r="N10493" s="94">
        <f>M10493-M10493*VLOOKUP($Q10493,매칭테이블!$F:$I,3,0)</f>
        <v/>
      </c>
      <c r="O10493" s="94">
        <f>VLOOKUP($Q10493,매칭테이블!$F:$I,4,0)*K10493</f>
        <v/>
      </c>
      <c r="P10493" s="148">
        <f>M10493/1.1</f>
        <v/>
      </c>
      <c r="Q10493" s="94">
        <f>F10493&amp;E10493&amp;G10493&amp;L10493</f>
        <v/>
      </c>
    </row>
    <row r="10494" customFormat="1" s="94">
      <c r="B10494" s="128" t="n">
        <v>44134</v>
      </c>
      <c r="C10494" s="94">
        <f>TEXT(B10494,"aaa")</f>
        <v/>
      </c>
      <c r="E10494" s="94" t="inlineStr">
        <is>
          <t>로션</t>
        </is>
      </c>
      <c r="F10494" s="5" t="inlineStr">
        <is>
          <t>카페24</t>
        </is>
      </c>
      <c r="G10494" s="94" t="inlineStr">
        <is>
          <t>어성초 70 데일리 릴리프 로션 2개 -30% off</t>
        </is>
      </c>
      <c r="H10494" s="94" t="n">
        <v>200801</v>
      </c>
      <c r="I10494" s="94" t="n">
        <v>200801</v>
      </c>
      <c r="K10494" s="94" t="n">
        <v>1</v>
      </c>
      <c r="L10494" s="94" t="n">
        <v>200801</v>
      </c>
      <c r="M10494" s="94">
        <f>VLOOKUP($Q10494,매칭테이블!$F:$I,2,0)*K10494</f>
        <v/>
      </c>
      <c r="N10494" s="94">
        <f>M10494-M10494*VLOOKUP($Q10494,매칭테이블!$F:$I,3,0)</f>
        <v/>
      </c>
      <c r="O10494" s="94">
        <f>VLOOKUP($Q10494,매칭테이블!$F:$I,4,0)*K10494</f>
        <v/>
      </c>
      <c r="P10494" s="148">
        <f>M10494/1.1</f>
        <v/>
      </c>
      <c r="Q10494" s="94">
        <f>F10494&amp;E10494&amp;G10494&amp;L10494</f>
        <v/>
      </c>
    </row>
    <row r="10495" customFormat="1" s="94">
      <c r="B10495" s="128" t="n">
        <v>44134</v>
      </c>
      <c r="C10495" s="94">
        <f>TEXT(B10495,"aaa")</f>
        <v/>
      </c>
      <c r="E10495" s="94" t="inlineStr">
        <is>
          <t>머드크림마스크</t>
        </is>
      </c>
      <c r="F10495" s="5" t="inlineStr">
        <is>
          <t>카페24</t>
        </is>
      </c>
      <c r="G10495" s="94" t="inlineStr">
        <is>
          <t>머드크림마스크 100ml</t>
        </is>
      </c>
      <c r="H10495" s="94" t="n">
        <v>200801</v>
      </c>
      <c r="I10495" s="94" t="n">
        <v>200801</v>
      </c>
      <c r="K10495" s="94" t="n">
        <v>6</v>
      </c>
      <c r="L10495" s="94" t="n">
        <v>200801</v>
      </c>
      <c r="M10495" s="94">
        <f>VLOOKUP($Q10495,매칭테이블!$F:$I,2,0)*K10495</f>
        <v/>
      </c>
      <c r="N10495" s="94">
        <f>M10495-M10495*VLOOKUP($Q10495,매칭테이블!$F:$I,3,0)</f>
        <v/>
      </c>
      <c r="O10495" s="94">
        <f>VLOOKUP($Q10495,매칭테이블!$F:$I,4,0)*K10495</f>
        <v/>
      </c>
      <c r="P10495" s="148">
        <f>M10495/1.1</f>
        <v/>
      </c>
      <c r="Q10495" s="94">
        <f>F10495&amp;E10495&amp;G10495&amp;L10495</f>
        <v/>
      </c>
    </row>
    <row r="10496" customFormat="1" s="94">
      <c r="B10496" s="128" t="n">
        <v>44134</v>
      </c>
      <c r="C10496" s="94">
        <f>TEXT(B10496,"aaa")</f>
        <v/>
      </c>
      <c r="E10496" s="94" t="inlineStr">
        <is>
          <t>머드크림마스크</t>
        </is>
      </c>
      <c r="F10496" s="5" t="inlineStr">
        <is>
          <t>카페24</t>
        </is>
      </c>
      <c r="G10496" s="94" t="inlineStr">
        <is>
          <t>머드크림마스크 100ml 2set</t>
        </is>
      </c>
      <c r="H10496" s="94" t="n">
        <v>200801</v>
      </c>
      <c r="I10496" s="94" t="n">
        <v>200801</v>
      </c>
      <c r="K10496" s="94" t="n">
        <v>1</v>
      </c>
      <c r="L10496" s="94" t="n">
        <v>200801</v>
      </c>
      <c r="M10496" s="94">
        <f>VLOOKUP($Q10496,매칭테이블!$F:$I,2,0)*K10496</f>
        <v/>
      </c>
      <c r="N10496" s="94">
        <f>M10496-M10496*VLOOKUP($Q10496,매칭테이블!$F:$I,3,0)</f>
        <v/>
      </c>
      <c r="O10496" s="94">
        <f>VLOOKUP($Q10496,매칭테이블!$F:$I,4,0)*K10496</f>
        <v/>
      </c>
      <c r="P10496" s="148">
        <f>M10496/1.1</f>
        <v/>
      </c>
      <c r="Q10496" s="94">
        <f>F10496&amp;E10496&amp;G10496&amp;L10496</f>
        <v/>
      </c>
    </row>
    <row r="10497" customFormat="1" s="94">
      <c r="B10497" s="128" t="n">
        <v>44134</v>
      </c>
      <c r="C10497" s="94">
        <f>TEXT(B10497,"aaa")</f>
        <v/>
      </c>
      <c r="E10497" s="94" t="inlineStr">
        <is>
          <t>마스크팩</t>
        </is>
      </c>
      <c r="F10497" s="5" t="inlineStr">
        <is>
          <t>카페24</t>
        </is>
      </c>
      <c r="G10497" s="94" t="inlineStr">
        <is>
          <t>마스크팩 1매</t>
        </is>
      </c>
      <c r="H10497" s="94" t="n">
        <v>200801</v>
      </c>
      <c r="I10497" s="94" t="n">
        <v>200801</v>
      </c>
      <c r="K10497" s="94" t="n">
        <v>4</v>
      </c>
      <c r="L10497" s="94" t="n">
        <v>200801</v>
      </c>
      <c r="M10497" s="94">
        <f>VLOOKUP($Q10497,매칭테이블!$F:$I,2,0)*K10497</f>
        <v/>
      </c>
      <c r="N10497" s="94">
        <f>M10497-M10497*VLOOKUP($Q10497,매칭테이블!$F:$I,3,0)</f>
        <v/>
      </c>
      <c r="O10497" s="94">
        <f>VLOOKUP($Q10497,매칭테이블!$F:$I,4,0)*K10497</f>
        <v/>
      </c>
      <c r="P10497" s="148">
        <f>M10497/1.1</f>
        <v/>
      </c>
      <c r="Q10497" s="94">
        <f>F10497&amp;E10497&amp;G10497&amp;L10497</f>
        <v/>
      </c>
    </row>
    <row r="10498" customFormat="1" s="94">
      <c r="B10498" s="128" t="n">
        <v>44134</v>
      </c>
      <c r="C10498" s="94">
        <f>TEXT(B10498,"aaa")</f>
        <v/>
      </c>
      <c r="E10498" s="94" t="inlineStr">
        <is>
          <t>마스크팩</t>
        </is>
      </c>
      <c r="F10498" s="5" t="inlineStr">
        <is>
          <t>카페24</t>
        </is>
      </c>
      <c r="G10498" s="94" t="inlineStr">
        <is>
          <t>마스크팩 10매</t>
        </is>
      </c>
      <c r="H10498" s="94" t="n">
        <v>200801</v>
      </c>
      <c r="I10498" s="94" t="n">
        <v>200801</v>
      </c>
      <c r="K10498" s="94" t="n">
        <v>1</v>
      </c>
      <c r="L10498" s="94" t="n">
        <v>200801</v>
      </c>
      <c r="M10498" s="94">
        <f>VLOOKUP($Q10498,매칭테이블!$F:$I,2,0)*K10498</f>
        <v/>
      </c>
      <c r="N10498" s="94">
        <f>M10498-M10498*VLOOKUP($Q10498,매칭테이블!$F:$I,3,0)</f>
        <v/>
      </c>
      <c r="O10498" s="94">
        <f>VLOOKUP($Q10498,매칭테이블!$F:$I,4,0)*K10498</f>
        <v/>
      </c>
      <c r="P10498" s="148">
        <f>M10498/1.1</f>
        <v/>
      </c>
      <c r="Q10498" s="94">
        <f>F10498&amp;E10498&amp;G10498&amp;L10498</f>
        <v/>
      </c>
    </row>
    <row r="10499" customFormat="1" s="94">
      <c r="B10499" s="128" t="n">
        <v>44134</v>
      </c>
      <c r="C10499" s="94">
        <f>TEXT(B10499,"aaa")</f>
        <v/>
      </c>
      <c r="E10499" s="94" t="inlineStr">
        <is>
          <t>토너</t>
        </is>
      </c>
      <c r="F10499" s="5" t="inlineStr">
        <is>
          <t>카페24</t>
        </is>
      </c>
      <c r="G10499" s="94" t="inlineStr">
        <is>
          <t>250ml</t>
        </is>
      </c>
      <c r="H10499" s="94" t="n">
        <v>200801</v>
      </c>
      <c r="I10499" s="94" t="n">
        <v>200801</v>
      </c>
      <c r="K10499" s="94" t="n">
        <v>23</v>
      </c>
      <c r="L10499" s="94" t="n">
        <v>200801</v>
      </c>
      <c r="M10499" s="94">
        <f>VLOOKUP($Q10499,매칭테이블!$F:$I,2,0)*K10499</f>
        <v/>
      </c>
      <c r="N10499" s="94">
        <f>M10499-M10499*VLOOKUP($Q10499,매칭테이블!$F:$I,3,0)</f>
        <v/>
      </c>
      <c r="O10499" s="94">
        <f>VLOOKUP($Q10499,매칭테이블!$F:$I,4,0)*K10499</f>
        <v/>
      </c>
      <c r="P10499" s="148">
        <f>M10499/1.1</f>
        <v/>
      </c>
      <c r="Q10499" s="94">
        <f>F10499&amp;E10499&amp;G10499&amp;L10499</f>
        <v/>
      </c>
    </row>
    <row r="10500" customFormat="1" s="94">
      <c r="B10500" s="128" t="n">
        <v>44134</v>
      </c>
      <c r="C10500" s="94">
        <f>TEXT(B10500,"aaa")</f>
        <v/>
      </c>
      <c r="E10500" s="94" t="inlineStr">
        <is>
          <t>토너</t>
        </is>
      </c>
      <c r="F10500" s="5" t="inlineStr">
        <is>
          <t>카페24</t>
        </is>
      </c>
      <c r="G10500" s="94" t="inlineStr">
        <is>
          <t>250ml 2set</t>
        </is>
      </c>
      <c r="H10500" s="94" t="n">
        <v>200801</v>
      </c>
      <c r="I10500" s="94" t="n">
        <v>200801</v>
      </c>
      <c r="K10500" s="94" t="n">
        <v>23</v>
      </c>
      <c r="L10500" s="94" t="n">
        <v>200801</v>
      </c>
      <c r="M10500" s="94">
        <f>VLOOKUP($Q10500,매칭테이블!$F:$I,2,0)*K10500</f>
        <v/>
      </c>
      <c r="N10500" s="94">
        <f>M10500-M10500*VLOOKUP($Q10500,매칭테이블!$F:$I,3,0)</f>
        <v/>
      </c>
      <c r="O10500" s="94">
        <f>VLOOKUP($Q10500,매칭테이블!$F:$I,4,0)*K10500</f>
        <v/>
      </c>
      <c r="P10500" s="148">
        <f>M10500/1.1</f>
        <v/>
      </c>
      <c r="Q10500" s="94">
        <f>F10500&amp;E10500&amp;G10500&amp;L10500</f>
        <v/>
      </c>
    </row>
    <row r="10501" customFormat="1" s="94">
      <c r="B10501" s="128" t="n">
        <v>44134</v>
      </c>
      <c r="C10501" s="94">
        <f>TEXT(B10501,"aaa")</f>
        <v/>
      </c>
      <c r="E10501" s="94" t="inlineStr">
        <is>
          <t>토너</t>
        </is>
      </c>
      <c r="F10501" s="5" t="inlineStr">
        <is>
          <t>카페24</t>
        </is>
      </c>
      <c r="G10501" s="94" t="inlineStr">
        <is>
          <t>500ml</t>
        </is>
      </c>
      <c r="H10501" s="94" t="n">
        <v>200801</v>
      </c>
      <c r="I10501" s="94" t="n">
        <v>200801</v>
      </c>
      <c r="K10501" s="94" t="n">
        <v>26</v>
      </c>
      <c r="L10501" s="94" t="n">
        <v>200801</v>
      </c>
      <c r="M10501" s="94">
        <f>VLOOKUP($Q10501,매칭테이블!$F:$I,2,0)*K10501</f>
        <v/>
      </c>
      <c r="N10501" s="94">
        <f>M10501-M10501*VLOOKUP($Q10501,매칭테이블!$F:$I,3,0)</f>
        <v/>
      </c>
      <c r="O10501" s="94">
        <f>VLOOKUP($Q10501,매칭테이블!$F:$I,4,0)*K10501</f>
        <v/>
      </c>
      <c r="P10501" s="148">
        <f>M10501/1.1</f>
        <v/>
      </c>
      <c r="Q10501" s="94">
        <f>F10501&amp;E10501&amp;G10501&amp;L10501</f>
        <v/>
      </c>
    </row>
    <row r="10502" customFormat="1" s="94">
      <c r="B10502" s="128" t="n">
        <v>44134</v>
      </c>
      <c r="C10502" s="94">
        <f>TEXT(B10502,"aaa")</f>
        <v/>
      </c>
      <c r="E10502" s="94" t="inlineStr">
        <is>
          <t>토너</t>
        </is>
      </c>
      <c r="F10502" s="5" t="inlineStr">
        <is>
          <t>카페24</t>
        </is>
      </c>
      <c r="G10502" s="94" t="inlineStr">
        <is>
          <t>스킨팩 화장솜 60P</t>
        </is>
      </c>
      <c r="H10502" s="94" t="n">
        <v>200801</v>
      </c>
      <c r="I10502" s="94" t="n">
        <v>200801</v>
      </c>
      <c r="K10502" s="94" t="n">
        <v>26</v>
      </c>
      <c r="L10502" s="94" t="n">
        <v>200801</v>
      </c>
      <c r="M10502" s="94">
        <f>VLOOKUP($Q10502,매칭테이블!$F:$I,2,0)*K10502</f>
        <v/>
      </c>
      <c r="N10502" s="94">
        <f>M10502-M10502*VLOOKUP($Q10502,매칭테이블!$F:$I,3,0)</f>
        <v/>
      </c>
      <c r="O10502" s="94">
        <f>VLOOKUP($Q10502,매칭테이블!$F:$I,4,0)*K10502</f>
        <v/>
      </c>
      <c r="P10502" s="148">
        <f>M10502/1.1</f>
        <v/>
      </c>
      <c r="Q10502" s="94">
        <f>F10502&amp;E10502&amp;G10502&amp;L10502</f>
        <v/>
      </c>
    </row>
    <row r="10503" customFormat="1" s="94">
      <c r="B10503" s="128" t="n">
        <v>44134</v>
      </c>
      <c r="C10503" s="94">
        <f>TEXT(B10503,"aaa")</f>
        <v/>
      </c>
      <c r="E10503" s="94" t="inlineStr">
        <is>
          <t>앰플</t>
        </is>
      </c>
      <c r="F10503" s="5" t="inlineStr">
        <is>
          <t>카페24</t>
        </is>
      </c>
      <c r="G10503" s="94" t="inlineStr">
        <is>
          <t>앰플 30ml</t>
        </is>
      </c>
      <c r="H10503" s="94" t="n">
        <v>200801</v>
      </c>
      <c r="I10503" s="94" t="n">
        <v>200801</v>
      </c>
      <c r="K10503" s="94" t="n">
        <v>16</v>
      </c>
      <c r="L10503" s="94" t="n">
        <v>200801</v>
      </c>
      <c r="M10503" s="94">
        <f>VLOOKUP($Q10503,매칭테이블!$F:$I,2,0)*K10503</f>
        <v/>
      </c>
      <c r="N10503" s="94">
        <f>M10503-M10503*VLOOKUP($Q10503,매칭테이블!$F:$I,3,0)</f>
        <v/>
      </c>
      <c r="O10503" s="94">
        <f>VLOOKUP($Q10503,매칭테이블!$F:$I,4,0)*K10503</f>
        <v/>
      </c>
      <c r="P10503" s="148">
        <f>M10503/1.1</f>
        <v/>
      </c>
      <c r="Q10503" s="94">
        <f>F10503&amp;E10503&amp;G10503&amp;L10503</f>
        <v/>
      </c>
    </row>
    <row r="10504" customFormat="1" s="94">
      <c r="B10504" s="128" t="n">
        <v>44134</v>
      </c>
      <c r="C10504" s="94">
        <f>TEXT(B10504,"aaa")</f>
        <v/>
      </c>
      <c r="E10504" s="94" t="inlineStr">
        <is>
          <t>수딩크림</t>
        </is>
      </c>
      <c r="F10504" s="5" t="inlineStr">
        <is>
          <t>카페24</t>
        </is>
      </c>
      <c r="G10504" s="94" t="inlineStr">
        <is>
          <t>수딩크림 100ml</t>
        </is>
      </c>
      <c r="H10504" s="94" t="n">
        <v>200801</v>
      </c>
      <c r="I10504" s="94" t="n">
        <v>200801</v>
      </c>
      <c r="K10504" s="94" t="n">
        <v>8</v>
      </c>
      <c r="L10504" s="94" t="n">
        <v>200801</v>
      </c>
      <c r="M10504" s="94">
        <f>VLOOKUP($Q10504,매칭테이블!$F:$I,2,0)*K10504</f>
        <v/>
      </c>
      <c r="N10504" s="94">
        <f>M10504-M10504*VLOOKUP($Q10504,매칭테이블!$F:$I,3,0)</f>
        <v/>
      </c>
      <c r="O10504" s="94">
        <f>VLOOKUP($Q10504,매칭테이블!$F:$I,4,0)*K10504</f>
        <v/>
      </c>
      <c r="P10504" s="148">
        <f>M10504/1.1</f>
        <v/>
      </c>
      <c r="Q10504" s="94">
        <f>F10504&amp;E10504&amp;G10504&amp;L10504</f>
        <v/>
      </c>
    </row>
    <row r="10505" customFormat="1" s="94">
      <c r="B10505" s="128" t="n">
        <v>44134</v>
      </c>
      <c r="C10505" s="94">
        <f>TEXT(B10505,"aaa")</f>
        <v/>
      </c>
      <c r="E10505" s="94" t="inlineStr">
        <is>
          <t>클렌징폼</t>
        </is>
      </c>
      <c r="F10505" s="5" t="inlineStr">
        <is>
          <t>카페24</t>
        </is>
      </c>
      <c r="G10505" s="94" t="inlineStr">
        <is>
          <t>클렌징폼 120ml</t>
        </is>
      </c>
      <c r="H10505" s="94" t="n">
        <v>200801</v>
      </c>
      <c r="I10505" s="94" t="n">
        <v>200801</v>
      </c>
      <c r="K10505" s="94" t="n">
        <v>6</v>
      </c>
      <c r="L10505" s="94" t="n">
        <v>200801</v>
      </c>
      <c r="M10505" s="94">
        <f>VLOOKUP($Q10505,매칭테이블!$F:$I,2,0)*K10505</f>
        <v/>
      </c>
      <c r="N10505" s="94">
        <f>M10505-M10505*VLOOKUP($Q10505,매칭테이블!$F:$I,3,0)</f>
        <v/>
      </c>
      <c r="O10505" s="94">
        <f>VLOOKUP($Q10505,매칭테이블!$F:$I,4,0)*K10505</f>
        <v/>
      </c>
      <c r="P10505" s="148">
        <f>M10505/1.1</f>
        <v/>
      </c>
      <c r="Q10505" s="94">
        <f>F10505&amp;E10505&amp;G10505&amp;L10505</f>
        <v/>
      </c>
    </row>
    <row r="10506" customFormat="1" s="94">
      <c r="B10506" s="128" t="n">
        <v>44134</v>
      </c>
      <c r="C10506" s="94">
        <f>TEXT(B10506,"aaa")</f>
        <v/>
      </c>
      <c r="E10506" s="94" t="inlineStr">
        <is>
          <t>클렌징폼</t>
        </is>
      </c>
      <c r="F10506" s="5" t="inlineStr">
        <is>
          <t>카페24</t>
        </is>
      </c>
      <c r="G10506" s="94" t="inlineStr">
        <is>
          <t>클렌징폼 120ml 2set</t>
        </is>
      </c>
      <c r="H10506" s="94" t="n">
        <v>200801</v>
      </c>
      <c r="I10506" s="94" t="n">
        <v>200801</v>
      </c>
      <c r="K10506" s="94" t="n">
        <v>1</v>
      </c>
      <c r="L10506" s="94" t="n">
        <v>200801</v>
      </c>
      <c r="M10506" s="94">
        <f>VLOOKUP($Q10506,매칭테이블!$F:$I,2,0)*K10506</f>
        <v/>
      </c>
      <c r="N10506" s="94">
        <f>M10506-M10506*VLOOKUP($Q10506,매칭테이블!$F:$I,3,0)</f>
        <v/>
      </c>
      <c r="O10506" s="94">
        <f>VLOOKUP($Q10506,매칭테이블!$F:$I,4,0)*K10506</f>
        <v/>
      </c>
      <c r="P10506" s="148">
        <f>M10506/1.1</f>
        <v/>
      </c>
      <c r="Q10506" s="94">
        <f>F10506&amp;E10506&amp;G10506&amp;L10506</f>
        <v/>
      </c>
    </row>
    <row r="10507" customFormat="1" s="94">
      <c r="B10507" s="128" t="n">
        <v>44135</v>
      </c>
      <c r="C10507" s="94">
        <f>TEXT(B10507,"aaa")</f>
        <v/>
      </c>
      <c r="E10507" s="94" t="inlineStr">
        <is>
          <t>토너</t>
        </is>
      </c>
      <c r="F10507" s="5" t="inlineStr">
        <is>
          <t>스타일쉐어</t>
        </is>
      </c>
      <c r="G10507" s="94" t="inlineStr">
        <is>
          <t>250ml</t>
        </is>
      </c>
      <c r="H10507" s="94" t="n">
        <v>200801</v>
      </c>
      <c r="I10507" s="94" t="n">
        <v>200801</v>
      </c>
      <c r="K10507" s="94" t="n">
        <v>5</v>
      </c>
      <c r="L10507" s="94" t="n">
        <v>200801</v>
      </c>
      <c r="M10507" s="94">
        <f>VLOOKUP($Q10507,매칭테이블!$F:$I,2,0)*K10507</f>
        <v/>
      </c>
      <c r="N10507" s="94">
        <f>M10507-M10507*VLOOKUP($Q10507,매칭테이블!$F:$I,3,0)</f>
        <v/>
      </c>
      <c r="O10507" s="94">
        <f>VLOOKUP($Q10507,매칭테이블!$F:$I,4,0)*K10507</f>
        <v/>
      </c>
      <c r="P10507" s="148">
        <f>M10507/1.1</f>
        <v/>
      </c>
      <c r="Q10507" s="94">
        <f>F10507&amp;E10507&amp;G10507&amp;L10507</f>
        <v/>
      </c>
    </row>
    <row r="10508" customFormat="1" s="94">
      <c r="B10508" s="128" t="n">
        <v>44135</v>
      </c>
      <c r="C10508" s="94">
        <f>TEXT(B10508,"aaa")</f>
        <v/>
      </c>
      <c r="E10508" s="94" t="inlineStr">
        <is>
          <t>선크림</t>
        </is>
      </c>
      <c r="F10508" s="5" t="inlineStr">
        <is>
          <t>카페24</t>
        </is>
      </c>
      <c r="G10508" s="94" t="inlineStr">
        <is>
          <t>선크림 50ml</t>
        </is>
      </c>
      <c r="H10508" s="94" t="n">
        <v>200801</v>
      </c>
      <c r="I10508" s="94" t="n">
        <v>200801</v>
      </c>
      <c r="K10508" s="94" t="n">
        <v>4</v>
      </c>
      <c r="L10508" s="94" t="n">
        <v>200801</v>
      </c>
      <c r="M10508" s="94">
        <f>VLOOKUP($Q10508,매칭테이블!$F:$I,2,0)*K10508</f>
        <v/>
      </c>
      <c r="N10508" s="94">
        <f>M10508-M10508*VLOOKUP($Q10508,매칭테이블!$F:$I,3,0)</f>
        <v/>
      </c>
      <c r="O10508" s="94">
        <f>VLOOKUP($Q10508,매칭테이블!$F:$I,4,0)*K10508</f>
        <v/>
      </c>
      <c r="P10508" s="148">
        <f>M10508/1.1</f>
        <v/>
      </c>
      <c r="Q10508" s="94">
        <f>F10508&amp;E10508&amp;G10508&amp;L10508</f>
        <v/>
      </c>
    </row>
    <row r="10509" customFormat="1" s="94">
      <c r="B10509" s="128" t="n">
        <v>44135</v>
      </c>
      <c r="C10509" s="94">
        <f>TEXT(B10509,"aaa")</f>
        <v/>
      </c>
      <c r="E10509" s="94" t="inlineStr">
        <is>
          <t>선크림</t>
        </is>
      </c>
      <c r="F10509" s="5" t="inlineStr">
        <is>
          <t>카페24</t>
        </is>
      </c>
      <c r="G10509" s="94" t="inlineStr">
        <is>
          <t>선크림 50ml  2set</t>
        </is>
      </c>
      <c r="H10509" s="94" t="n">
        <v>200801</v>
      </c>
      <c r="I10509" s="94" t="n">
        <v>200801</v>
      </c>
      <c r="K10509" s="94" t="n">
        <v>1</v>
      </c>
      <c r="L10509" s="94" t="n">
        <v>200801</v>
      </c>
      <c r="M10509" s="94">
        <f>VLOOKUP($Q10509,매칭테이블!$F:$I,2,0)*K10509</f>
        <v/>
      </c>
      <c r="N10509" s="94">
        <f>M10509-M10509*VLOOKUP($Q10509,매칭테이블!$F:$I,3,0)</f>
        <v/>
      </c>
      <c r="O10509" s="94">
        <f>VLOOKUP($Q10509,매칭테이블!$F:$I,4,0)*K10509</f>
        <v/>
      </c>
      <c r="P10509" s="148">
        <f>M10509/1.1</f>
        <v/>
      </c>
      <c r="Q10509" s="94">
        <f>F10509&amp;E10509&amp;G10509&amp;L10509</f>
        <v/>
      </c>
    </row>
    <row r="10510" customFormat="1" s="94">
      <c r="B10510" s="128" t="n">
        <v>44135</v>
      </c>
      <c r="C10510" s="94">
        <f>TEXT(B10510,"aaa")</f>
        <v/>
      </c>
      <c r="E10510" s="94" t="inlineStr">
        <is>
          <t>어성초진정패키지</t>
        </is>
      </c>
      <c r="F10510" s="5" t="inlineStr">
        <is>
          <t>카페24</t>
        </is>
      </c>
      <c r="G10510" s="94" t="inlineStr">
        <is>
          <t>어성초 진정패키지세트</t>
        </is>
      </c>
      <c r="H10510" s="94" t="n">
        <v>200801</v>
      </c>
      <c r="I10510" s="94" t="n">
        <v>200801</v>
      </c>
      <c r="K10510" s="94" t="n">
        <v>2</v>
      </c>
      <c r="L10510" s="94" t="n">
        <v>200801</v>
      </c>
      <c r="M10510" s="94">
        <f>VLOOKUP($Q10510,매칭테이블!$F:$I,2,0)*K10510</f>
        <v/>
      </c>
      <c r="N10510" s="94">
        <f>M10510-M10510*VLOOKUP($Q10510,매칭테이블!$F:$I,3,0)</f>
        <v/>
      </c>
      <c r="O10510" s="94">
        <f>VLOOKUP($Q10510,매칭테이블!$F:$I,4,0)*K10510</f>
        <v/>
      </c>
      <c r="P10510" s="148">
        <f>M10510/1.1</f>
        <v/>
      </c>
      <c r="Q10510" s="94">
        <f>F10510&amp;E10510&amp;G10510&amp;L10510</f>
        <v/>
      </c>
    </row>
    <row r="10511" customFormat="1" s="94">
      <c r="B10511" s="128" t="n">
        <v>44135</v>
      </c>
      <c r="C10511" s="94">
        <f>TEXT(B10511,"aaa")</f>
        <v/>
      </c>
      <c r="E10511" s="94" t="inlineStr">
        <is>
          <t>클리어 패드</t>
        </is>
      </c>
      <c r="F10511" s="5" t="inlineStr">
        <is>
          <t>카페24</t>
        </is>
      </c>
      <c r="G10511" s="94" t="inlineStr">
        <is>
          <t>어성초 77 클리어 패드 1개-20% off</t>
        </is>
      </c>
      <c r="H10511" s="94" t="n">
        <v>200801</v>
      </c>
      <c r="I10511" s="94" t="n">
        <v>200801</v>
      </c>
      <c r="K10511" s="94" t="n">
        <v>21</v>
      </c>
      <c r="L10511" s="94" t="n">
        <v>200801</v>
      </c>
      <c r="M10511" s="94">
        <f>VLOOKUP($Q10511,매칭테이블!$F:$I,2,0)*K10511</f>
        <v/>
      </c>
      <c r="N10511" s="94">
        <f>M10511-M10511*VLOOKUP($Q10511,매칭테이블!$F:$I,3,0)</f>
        <v/>
      </c>
      <c r="O10511" s="94">
        <f>VLOOKUP($Q10511,매칭테이블!$F:$I,4,0)*K10511</f>
        <v/>
      </c>
      <c r="P10511" s="148">
        <f>M10511/1.1</f>
        <v/>
      </c>
      <c r="Q10511" s="94">
        <f>F10511&amp;E10511&amp;G10511&amp;L10511</f>
        <v/>
      </c>
    </row>
    <row r="10512" customFormat="1" s="94">
      <c r="B10512" s="128" t="n">
        <v>44135</v>
      </c>
      <c r="C10512" s="94">
        <f>TEXT(B10512,"aaa")</f>
        <v/>
      </c>
      <c r="E10512" s="94" t="inlineStr">
        <is>
          <t>클리어 패드</t>
        </is>
      </c>
      <c r="F10512" s="5" t="inlineStr">
        <is>
          <t>카페24</t>
        </is>
      </c>
      <c r="G10512" s="94" t="inlineStr">
        <is>
          <t>어성초 77 클리어 패드 2개-30% off</t>
        </is>
      </c>
      <c r="H10512" s="94" t="n">
        <v>200801</v>
      </c>
      <c r="I10512" s="94" t="n">
        <v>200801</v>
      </c>
      <c r="K10512" s="94" t="n">
        <v>17</v>
      </c>
      <c r="L10512" s="94" t="n">
        <v>200801</v>
      </c>
      <c r="M10512" s="94">
        <f>VLOOKUP($Q10512,매칭테이블!$F:$I,2,0)*K10512</f>
        <v/>
      </c>
      <c r="N10512" s="94">
        <f>M10512-M10512*VLOOKUP($Q10512,매칭테이블!$F:$I,3,0)</f>
        <v/>
      </c>
      <c r="O10512" s="94">
        <f>VLOOKUP($Q10512,매칭테이블!$F:$I,4,0)*K10512</f>
        <v/>
      </c>
      <c r="P10512" s="148">
        <f>M10512/1.1</f>
        <v/>
      </c>
      <c r="Q10512" s="94">
        <f>F10512&amp;E10512&amp;G10512&amp;L10512</f>
        <v/>
      </c>
    </row>
    <row r="10513" customFormat="1" s="94">
      <c r="B10513" s="128" t="n">
        <v>44135</v>
      </c>
      <c r="C10513" s="94">
        <f>TEXT(B10513,"aaa")</f>
        <v/>
      </c>
      <c r="E10513" s="94" t="inlineStr">
        <is>
          <t>토너+패드 세트</t>
        </is>
      </c>
      <c r="F10513" s="5" t="inlineStr">
        <is>
          <t>카페24</t>
        </is>
      </c>
      <c r="G10513" s="94" t="inlineStr">
        <is>
          <t>좁쌀 진정 세트 토너+클리어 패드-30% off</t>
        </is>
      </c>
      <c r="H10513" s="94" t="n">
        <v>200801</v>
      </c>
      <c r="I10513" s="94" t="n">
        <v>200801</v>
      </c>
      <c r="K10513" s="94" t="n">
        <v>14</v>
      </c>
      <c r="L10513" s="94" t="n">
        <v>200801</v>
      </c>
      <c r="M10513" s="94">
        <f>VLOOKUP($Q10513,매칭테이블!$F:$I,2,0)*K10513</f>
        <v/>
      </c>
      <c r="N10513" s="94">
        <f>M10513-M10513*VLOOKUP($Q10513,매칭테이블!$F:$I,3,0)</f>
        <v/>
      </c>
      <c r="O10513" s="94">
        <f>VLOOKUP($Q10513,매칭테이블!$F:$I,4,0)*K10513</f>
        <v/>
      </c>
      <c r="P10513" s="148">
        <f>M10513/1.1</f>
        <v/>
      </c>
      <c r="Q10513" s="94">
        <f>F10513&amp;E10513&amp;G10513&amp;L10513</f>
        <v/>
      </c>
    </row>
    <row r="10514" customFormat="1" s="94">
      <c r="B10514" s="128" t="n">
        <v>44135</v>
      </c>
      <c r="C10514" s="94">
        <f>TEXT(B10514,"aaa")</f>
        <v/>
      </c>
      <c r="E10514" s="94" t="inlineStr">
        <is>
          <t>수분 보충 세트</t>
        </is>
      </c>
      <c r="F10514" s="5" t="inlineStr">
        <is>
          <t>카페24</t>
        </is>
      </c>
      <c r="G10514" s="94" t="inlineStr">
        <is>
          <t>[20/09/28 부터] 어성초 77 토너 250ml + 어성초 70 로션 200ml -30%</t>
        </is>
      </c>
      <c r="H10514" s="94" t="n">
        <v>200801</v>
      </c>
      <c r="I10514" s="94" t="n">
        <v>200801</v>
      </c>
      <c r="K10514" s="94" t="n">
        <v>53</v>
      </c>
      <c r="L10514" s="94" t="n">
        <v>200801</v>
      </c>
      <c r="M10514" s="94">
        <f>VLOOKUP($Q10514,매칭테이블!$F:$I,2,0)*K10514</f>
        <v/>
      </c>
      <c r="N10514" s="94">
        <f>M10514-M10514*VLOOKUP($Q10514,매칭테이블!$F:$I,3,0)</f>
        <v/>
      </c>
      <c r="O10514" s="94">
        <f>VLOOKUP($Q10514,매칭테이블!$F:$I,4,0)*K10514</f>
        <v/>
      </c>
      <c r="P10514" s="148">
        <f>M10514/1.1</f>
        <v/>
      </c>
      <c r="Q10514" s="94">
        <f>F10514&amp;E10514&amp;G10514&amp;L10514</f>
        <v/>
      </c>
    </row>
    <row r="10515" customFormat="1" s="94">
      <c r="B10515" s="128" t="n">
        <v>44135</v>
      </c>
      <c r="C10515" s="94">
        <f>TEXT(B10515,"aaa")</f>
        <v/>
      </c>
      <c r="E10515" s="94" t="inlineStr">
        <is>
          <t>로션</t>
        </is>
      </c>
      <c r="F10515" s="5" t="inlineStr">
        <is>
          <t>카페24</t>
        </is>
      </c>
      <c r="G10515" s="94" t="inlineStr">
        <is>
          <t>어성초 70 데일리 릴리프 로션 1개 -20% off</t>
        </is>
      </c>
      <c r="H10515" s="94" t="n">
        <v>200801</v>
      </c>
      <c r="I10515" s="94" t="n">
        <v>200801</v>
      </c>
      <c r="K10515" s="94" t="n">
        <v>6</v>
      </c>
      <c r="L10515" s="94" t="n">
        <v>200801</v>
      </c>
      <c r="M10515" s="94">
        <f>VLOOKUP($Q10515,매칭테이블!$F:$I,2,0)*K10515</f>
        <v/>
      </c>
      <c r="N10515" s="94">
        <f>M10515-M10515*VLOOKUP($Q10515,매칭테이블!$F:$I,3,0)</f>
        <v/>
      </c>
      <c r="O10515" s="94">
        <f>VLOOKUP($Q10515,매칭테이블!$F:$I,4,0)*K10515</f>
        <v/>
      </c>
      <c r="P10515" s="148">
        <f>M10515/1.1</f>
        <v/>
      </c>
      <c r="Q10515" s="94">
        <f>F10515&amp;E10515&amp;G10515&amp;L10515</f>
        <v/>
      </c>
    </row>
    <row r="10516" customFormat="1" s="94">
      <c r="B10516" s="128" t="n">
        <v>44135</v>
      </c>
      <c r="C10516" s="94">
        <f>TEXT(B10516,"aaa")</f>
        <v/>
      </c>
      <c r="E10516" s="94" t="inlineStr">
        <is>
          <t>로션</t>
        </is>
      </c>
      <c r="F10516" s="5" t="inlineStr">
        <is>
          <t>카페24</t>
        </is>
      </c>
      <c r="G10516" s="94" t="inlineStr">
        <is>
          <t>어성초 70 데일리 릴리프 로션 2개 -30% off</t>
        </is>
      </c>
      <c r="H10516" s="94" t="n">
        <v>200801</v>
      </c>
      <c r="I10516" s="94" t="n">
        <v>200801</v>
      </c>
      <c r="K10516" s="94" t="n">
        <v>1</v>
      </c>
      <c r="L10516" s="94" t="n">
        <v>200801</v>
      </c>
      <c r="M10516" s="94">
        <f>VLOOKUP($Q10516,매칭테이블!$F:$I,2,0)*K10516</f>
        <v/>
      </c>
      <c r="N10516" s="94">
        <f>M10516-M10516*VLOOKUP($Q10516,매칭테이블!$F:$I,3,0)</f>
        <v/>
      </c>
      <c r="O10516" s="94">
        <f>VLOOKUP($Q10516,매칭테이블!$F:$I,4,0)*K10516</f>
        <v/>
      </c>
      <c r="P10516" s="148">
        <f>M10516/1.1</f>
        <v/>
      </c>
      <c r="Q10516" s="94">
        <f>F10516&amp;E10516&amp;G10516&amp;L10516</f>
        <v/>
      </c>
    </row>
    <row r="10517" customFormat="1" s="94">
      <c r="B10517" s="128" t="n">
        <v>44135</v>
      </c>
      <c r="C10517" s="94">
        <f>TEXT(B10517,"aaa")</f>
        <v/>
      </c>
      <c r="E10517" s="94" t="inlineStr">
        <is>
          <t>머드크림마스크</t>
        </is>
      </c>
      <c r="F10517" s="5" t="inlineStr">
        <is>
          <t>카페24</t>
        </is>
      </c>
      <c r="G10517" s="94" t="inlineStr">
        <is>
          <t>머드크림마스크 100ml</t>
        </is>
      </c>
      <c r="H10517" s="94" t="n">
        <v>200801</v>
      </c>
      <c r="I10517" s="94" t="n">
        <v>200801</v>
      </c>
      <c r="K10517" s="94" t="n">
        <v>3</v>
      </c>
      <c r="L10517" s="94" t="n">
        <v>200801</v>
      </c>
      <c r="M10517" s="94">
        <f>VLOOKUP($Q10517,매칭테이블!$F:$I,2,0)*K10517</f>
        <v/>
      </c>
      <c r="N10517" s="94">
        <f>M10517-M10517*VLOOKUP($Q10517,매칭테이블!$F:$I,3,0)</f>
        <v/>
      </c>
      <c r="O10517" s="94">
        <f>VLOOKUP($Q10517,매칭테이블!$F:$I,4,0)*K10517</f>
        <v/>
      </c>
      <c r="P10517" s="148">
        <f>M10517/1.1</f>
        <v/>
      </c>
      <c r="Q10517" s="94">
        <f>F10517&amp;E10517&amp;G10517&amp;L10517</f>
        <v/>
      </c>
    </row>
    <row r="10518" customFormat="1" s="94">
      <c r="B10518" s="128" t="n">
        <v>44135</v>
      </c>
      <c r="C10518" s="94">
        <f>TEXT(B10518,"aaa")</f>
        <v/>
      </c>
      <c r="E10518" s="94" t="inlineStr">
        <is>
          <t>머드크림마스크</t>
        </is>
      </c>
      <c r="F10518" s="5" t="inlineStr">
        <is>
          <t>카페24</t>
        </is>
      </c>
      <c r="G10518" s="94" t="inlineStr">
        <is>
          <t>머드크림마스크 100ml 2set</t>
        </is>
      </c>
      <c r="H10518" s="94" t="n">
        <v>200801</v>
      </c>
      <c r="I10518" s="94" t="n">
        <v>200801</v>
      </c>
      <c r="K10518" s="94" t="n">
        <v>4</v>
      </c>
      <c r="L10518" s="94" t="n">
        <v>200801</v>
      </c>
      <c r="M10518" s="94">
        <f>VLOOKUP($Q10518,매칭테이블!$F:$I,2,0)*K10518</f>
        <v/>
      </c>
      <c r="N10518" s="94">
        <f>M10518-M10518*VLOOKUP($Q10518,매칭테이블!$F:$I,3,0)</f>
        <v/>
      </c>
      <c r="O10518" s="94">
        <f>VLOOKUP($Q10518,매칭테이블!$F:$I,4,0)*K10518</f>
        <v/>
      </c>
      <c r="P10518" s="148">
        <f>M10518/1.1</f>
        <v/>
      </c>
      <c r="Q10518" s="94">
        <f>F10518&amp;E10518&amp;G10518&amp;L10518</f>
        <v/>
      </c>
    </row>
    <row r="10519" customFormat="1" s="94">
      <c r="B10519" s="128" t="n">
        <v>44135</v>
      </c>
      <c r="C10519" s="94">
        <f>TEXT(B10519,"aaa")</f>
        <v/>
      </c>
      <c r="E10519" s="94" t="inlineStr">
        <is>
          <t>마스크팩</t>
        </is>
      </c>
      <c r="F10519" s="5" t="inlineStr">
        <is>
          <t>카페24</t>
        </is>
      </c>
      <c r="G10519" s="94" t="inlineStr">
        <is>
          <t>마스크팩 1매</t>
        </is>
      </c>
      <c r="H10519" s="94" t="n">
        <v>200801</v>
      </c>
      <c r="I10519" s="94" t="n">
        <v>200801</v>
      </c>
      <c r="K10519" s="94" t="n">
        <v>4</v>
      </c>
      <c r="L10519" s="94" t="n">
        <v>200801</v>
      </c>
      <c r="M10519" s="94">
        <f>VLOOKUP($Q10519,매칭테이블!$F:$I,2,0)*K10519</f>
        <v/>
      </c>
      <c r="N10519" s="94">
        <f>M10519-M10519*VLOOKUP($Q10519,매칭테이블!$F:$I,3,0)</f>
        <v/>
      </c>
      <c r="O10519" s="94">
        <f>VLOOKUP($Q10519,매칭테이블!$F:$I,4,0)*K10519</f>
        <v/>
      </c>
      <c r="P10519" s="148">
        <f>M10519/1.1</f>
        <v/>
      </c>
      <c r="Q10519" s="94">
        <f>F10519&amp;E10519&amp;G10519&amp;L10519</f>
        <v/>
      </c>
    </row>
    <row r="10520" customFormat="1" s="94">
      <c r="B10520" s="128" t="n">
        <v>44135</v>
      </c>
      <c r="C10520" s="94">
        <f>TEXT(B10520,"aaa")</f>
        <v/>
      </c>
      <c r="E10520" s="94" t="inlineStr">
        <is>
          <t>마스크팩</t>
        </is>
      </c>
      <c r="F10520" s="5" t="inlineStr">
        <is>
          <t>카페24</t>
        </is>
      </c>
      <c r="G10520" s="94" t="inlineStr">
        <is>
          <t>마스크팩 10매</t>
        </is>
      </c>
      <c r="H10520" s="94" t="n">
        <v>200801</v>
      </c>
      <c r="I10520" s="94" t="n">
        <v>200801</v>
      </c>
      <c r="K10520" s="94" t="n">
        <v>4</v>
      </c>
      <c r="L10520" s="94" t="n">
        <v>200801</v>
      </c>
      <c r="M10520" s="94">
        <f>VLOOKUP($Q10520,매칭테이블!$F:$I,2,0)*K10520</f>
        <v/>
      </c>
      <c r="N10520" s="94">
        <f>M10520-M10520*VLOOKUP($Q10520,매칭테이블!$F:$I,3,0)</f>
        <v/>
      </c>
      <c r="O10520" s="94">
        <f>VLOOKUP($Q10520,매칭테이블!$F:$I,4,0)*K10520</f>
        <v/>
      </c>
      <c r="P10520" s="148">
        <f>M10520/1.1</f>
        <v/>
      </c>
      <c r="Q10520" s="94">
        <f>F10520&amp;E10520&amp;G10520&amp;L10520</f>
        <v/>
      </c>
    </row>
    <row r="10521" customFormat="1" s="94">
      <c r="B10521" s="128" t="n">
        <v>44135</v>
      </c>
      <c r="C10521" s="94">
        <f>TEXT(B10521,"aaa")</f>
        <v/>
      </c>
      <c r="E10521" s="94" t="inlineStr">
        <is>
          <t>토너</t>
        </is>
      </c>
      <c r="F10521" s="5" t="inlineStr">
        <is>
          <t>카페24</t>
        </is>
      </c>
      <c r="G10521" s="94" t="inlineStr">
        <is>
          <t>250ml</t>
        </is>
      </c>
      <c r="H10521" s="94" t="n">
        <v>200801</v>
      </c>
      <c r="I10521" s="94" t="n">
        <v>200801</v>
      </c>
      <c r="K10521" s="94" t="n">
        <v>19</v>
      </c>
      <c r="L10521" s="94" t="n">
        <v>200801</v>
      </c>
      <c r="M10521" s="94">
        <f>VLOOKUP($Q10521,매칭테이블!$F:$I,2,0)*K10521</f>
        <v/>
      </c>
      <c r="N10521" s="94">
        <f>M10521-M10521*VLOOKUP($Q10521,매칭테이블!$F:$I,3,0)</f>
        <v/>
      </c>
      <c r="O10521" s="94">
        <f>VLOOKUP($Q10521,매칭테이블!$F:$I,4,0)*K10521</f>
        <v/>
      </c>
      <c r="P10521" s="148">
        <f>M10521/1.1</f>
        <v/>
      </c>
      <c r="Q10521" s="94">
        <f>F10521&amp;E10521&amp;G10521&amp;L10521</f>
        <v/>
      </c>
    </row>
    <row r="10522" customFormat="1" s="94">
      <c r="B10522" s="128" t="n">
        <v>44135</v>
      </c>
      <c r="C10522" s="94">
        <f>TEXT(B10522,"aaa")</f>
        <v/>
      </c>
      <c r="E10522" s="94" t="inlineStr">
        <is>
          <t>토너</t>
        </is>
      </c>
      <c r="F10522" s="5" t="inlineStr">
        <is>
          <t>카페24</t>
        </is>
      </c>
      <c r="G10522" s="94" t="inlineStr">
        <is>
          <t>250ml 2set</t>
        </is>
      </c>
      <c r="H10522" s="94" t="n">
        <v>200801</v>
      </c>
      <c r="I10522" s="94" t="n">
        <v>200801</v>
      </c>
      <c r="K10522" s="94" t="n">
        <v>13</v>
      </c>
      <c r="L10522" s="94" t="n">
        <v>200801</v>
      </c>
      <c r="M10522" s="94">
        <f>VLOOKUP($Q10522,매칭테이블!$F:$I,2,0)*K10522</f>
        <v/>
      </c>
      <c r="N10522" s="94">
        <f>M10522-M10522*VLOOKUP($Q10522,매칭테이블!$F:$I,3,0)</f>
        <v/>
      </c>
      <c r="O10522" s="94">
        <f>VLOOKUP($Q10522,매칭테이블!$F:$I,4,0)*K10522</f>
        <v/>
      </c>
      <c r="P10522" s="148">
        <f>M10522/1.1</f>
        <v/>
      </c>
      <c r="Q10522" s="94">
        <f>F10522&amp;E10522&amp;G10522&amp;L10522</f>
        <v/>
      </c>
    </row>
    <row r="10523" customFormat="1" s="94">
      <c r="B10523" s="128" t="n">
        <v>44135</v>
      </c>
      <c r="C10523" s="94">
        <f>TEXT(B10523,"aaa")</f>
        <v/>
      </c>
      <c r="E10523" s="94" t="inlineStr">
        <is>
          <t>토너</t>
        </is>
      </c>
      <c r="F10523" s="5" t="inlineStr">
        <is>
          <t>카페24</t>
        </is>
      </c>
      <c r="G10523" s="94" t="inlineStr">
        <is>
          <t>500ml</t>
        </is>
      </c>
      <c r="H10523" s="94" t="n">
        <v>200801</v>
      </c>
      <c r="I10523" s="94" t="n">
        <v>200801</v>
      </c>
      <c r="K10523" s="94" t="n">
        <v>26</v>
      </c>
      <c r="L10523" s="94" t="n">
        <v>200801</v>
      </c>
      <c r="M10523" s="94">
        <f>VLOOKUP($Q10523,매칭테이블!$F:$I,2,0)*K10523</f>
        <v/>
      </c>
      <c r="N10523" s="94">
        <f>M10523-M10523*VLOOKUP($Q10523,매칭테이블!$F:$I,3,0)</f>
        <v/>
      </c>
      <c r="O10523" s="94">
        <f>VLOOKUP($Q10523,매칭테이블!$F:$I,4,0)*K10523</f>
        <v/>
      </c>
      <c r="P10523" s="148">
        <f>M10523/1.1</f>
        <v/>
      </c>
      <c r="Q10523" s="94">
        <f>F10523&amp;E10523&amp;G10523&amp;L10523</f>
        <v/>
      </c>
    </row>
    <row r="10524" customFormat="1" s="94">
      <c r="B10524" s="128" t="n">
        <v>44135</v>
      </c>
      <c r="C10524" s="94">
        <f>TEXT(B10524,"aaa")</f>
        <v/>
      </c>
      <c r="E10524" s="94" t="inlineStr">
        <is>
          <t>토너</t>
        </is>
      </c>
      <c r="F10524" s="5" t="inlineStr">
        <is>
          <t>카페24</t>
        </is>
      </c>
      <c r="G10524" s="94" t="inlineStr">
        <is>
          <t>스킨팩 화장솜 60P</t>
        </is>
      </c>
      <c r="H10524" s="94" t="n">
        <v>200801</v>
      </c>
      <c r="I10524" s="94" t="n">
        <v>200801</v>
      </c>
      <c r="K10524" s="94" t="n">
        <v>24</v>
      </c>
      <c r="L10524" s="94" t="n">
        <v>200801</v>
      </c>
      <c r="M10524" s="94">
        <f>VLOOKUP($Q10524,매칭테이블!$F:$I,2,0)*K10524</f>
        <v/>
      </c>
      <c r="N10524" s="94">
        <f>M10524-M10524*VLOOKUP($Q10524,매칭테이블!$F:$I,3,0)</f>
        <v/>
      </c>
      <c r="O10524" s="94">
        <f>VLOOKUP($Q10524,매칭테이블!$F:$I,4,0)*K10524</f>
        <v/>
      </c>
      <c r="P10524" s="148">
        <f>M10524/1.1</f>
        <v/>
      </c>
      <c r="Q10524" s="94">
        <f>F10524&amp;E10524&amp;G10524&amp;L10524</f>
        <v/>
      </c>
    </row>
    <row r="10525" customFormat="1" s="94">
      <c r="B10525" s="128" t="n">
        <v>44135</v>
      </c>
      <c r="C10525" s="94">
        <f>TEXT(B10525,"aaa")</f>
        <v/>
      </c>
      <c r="E10525" s="94" t="inlineStr">
        <is>
          <t>앰플</t>
        </is>
      </c>
      <c r="F10525" s="5" t="inlineStr">
        <is>
          <t>카페24</t>
        </is>
      </c>
      <c r="G10525" s="94" t="inlineStr">
        <is>
          <t>앰플 30ml</t>
        </is>
      </c>
      <c r="H10525" s="94" t="n">
        <v>200801</v>
      </c>
      <c r="I10525" s="94" t="n">
        <v>200801</v>
      </c>
      <c r="K10525" s="94" t="n">
        <v>11</v>
      </c>
      <c r="L10525" s="94" t="n">
        <v>200801</v>
      </c>
      <c r="M10525" s="94">
        <f>VLOOKUP($Q10525,매칭테이블!$F:$I,2,0)*K10525</f>
        <v/>
      </c>
      <c r="N10525" s="94">
        <f>M10525-M10525*VLOOKUP($Q10525,매칭테이블!$F:$I,3,0)</f>
        <v/>
      </c>
      <c r="O10525" s="94">
        <f>VLOOKUP($Q10525,매칭테이블!$F:$I,4,0)*K10525</f>
        <v/>
      </c>
      <c r="P10525" s="148">
        <f>M10525/1.1</f>
        <v/>
      </c>
      <c r="Q10525" s="94">
        <f>F10525&amp;E10525&amp;G10525&amp;L10525</f>
        <v/>
      </c>
    </row>
    <row r="10526" customFormat="1" s="94">
      <c r="B10526" s="128" t="n">
        <v>44135</v>
      </c>
      <c r="C10526" s="94">
        <f>TEXT(B10526,"aaa")</f>
        <v/>
      </c>
      <c r="E10526" s="94" t="inlineStr">
        <is>
          <t>앰플</t>
        </is>
      </c>
      <c r="F10526" s="5" t="inlineStr">
        <is>
          <t>카페24</t>
        </is>
      </c>
      <c r="G10526" s="94" t="inlineStr">
        <is>
          <t>앰플 30ml  2set</t>
        </is>
      </c>
      <c r="H10526" s="94" t="n">
        <v>200801</v>
      </c>
      <c r="I10526" s="94" t="n">
        <v>200801</v>
      </c>
      <c r="K10526" s="94" t="n">
        <v>2</v>
      </c>
      <c r="L10526" s="94" t="n">
        <v>200801</v>
      </c>
      <c r="M10526" s="94">
        <f>VLOOKUP($Q10526,매칭테이블!$F:$I,2,0)*K10526</f>
        <v/>
      </c>
      <c r="N10526" s="94">
        <f>M10526-M10526*VLOOKUP($Q10526,매칭테이블!$F:$I,3,0)</f>
        <v/>
      </c>
      <c r="O10526" s="94">
        <f>VLOOKUP($Q10526,매칭테이블!$F:$I,4,0)*K10526</f>
        <v/>
      </c>
      <c r="P10526" s="148">
        <f>M10526/1.1</f>
        <v/>
      </c>
      <c r="Q10526" s="94">
        <f>F10526&amp;E10526&amp;G10526&amp;L10526</f>
        <v/>
      </c>
    </row>
    <row r="10527" customFormat="1" s="94">
      <c r="B10527" s="128" t="n">
        <v>44135</v>
      </c>
      <c r="C10527" s="94">
        <f>TEXT(B10527,"aaa")</f>
        <v/>
      </c>
      <c r="E10527" s="94" t="inlineStr">
        <is>
          <t>수딩크림</t>
        </is>
      </c>
      <c r="F10527" s="5" t="inlineStr">
        <is>
          <t>카페24</t>
        </is>
      </c>
      <c r="G10527" s="94" t="inlineStr">
        <is>
          <t>수딩크림 100ml</t>
        </is>
      </c>
      <c r="H10527" s="94" t="n">
        <v>200801</v>
      </c>
      <c r="I10527" s="94" t="n">
        <v>200801</v>
      </c>
      <c r="K10527" s="94" t="n">
        <v>12</v>
      </c>
      <c r="L10527" s="94" t="n">
        <v>200801</v>
      </c>
      <c r="M10527" s="94">
        <f>VLOOKUP($Q10527,매칭테이블!$F:$I,2,0)*K10527</f>
        <v/>
      </c>
      <c r="N10527" s="94">
        <f>M10527-M10527*VLOOKUP($Q10527,매칭테이블!$F:$I,3,0)</f>
        <v/>
      </c>
      <c r="O10527" s="94">
        <f>VLOOKUP($Q10527,매칭테이블!$F:$I,4,0)*K10527</f>
        <v/>
      </c>
      <c r="P10527" s="148">
        <f>M10527/1.1</f>
        <v/>
      </c>
      <c r="Q10527" s="94">
        <f>F10527&amp;E10527&amp;G10527&amp;L10527</f>
        <v/>
      </c>
    </row>
    <row r="10528" customFormat="1" s="94">
      <c r="B10528" s="128" t="n">
        <v>44135</v>
      </c>
      <c r="C10528" s="94">
        <f>TEXT(B10528,"aaa")</f>
        <v/>
      </c>
      <c r="E10528" s="94" t="inlineStr">
        <is>
          <t>클렌징폼</t>
        </is>
      </c>
      <c r="F10528" s="5" t="inlineStr">
        <is>
          <t>카페24</t>
        </is>
      </c>
      <c r="G10528" s="94" t="inlineStr">
        <is>
          <t>클렌징폼 120ml</t>
        </is>
      </c>
      <c r="H10528" s="94" t="n">
        <v>200801</v>
      </c>
      <c r="I10528" s="94" t="n">
        <v>200801</v>
      </c>
      <c r="K10528" s="94" t="n">
        <v>8</v>
      </c>
      <c r="L10528" s="94" t="n">
        <v>200801</v>
      </c>
      <c r="M10528" s="94">
        <f>VLOOKUP($Q10528,매칭테이블!$F:$I,2,0)*K10528</f>
        <v/>
      </c>
      <c r="N10528" s="94">
        <f>M10528-M10528*VLOOKUP($Q10528,매칭테이블!$F:$I,3,0)</f>
        <v/>
      </c>
      <c r="O10528" s="94">
        <f>VLOOKUP($Q10528,매칭테이블!$F:$I,4,0)*K10528</f>
        <v/>
      </c>
      <c r="P10528" s="148">
        <f>M10528/1.1</f>
        <v/>
      </c>
      <c r="Q10528" s="94">
        <f>F10528&amp;E10528&amp;G10528&amp;L10528</f>
        <v/>
      </c>
    </row>
    <row r="10529" customFormat="1" s="94">
      <c r="B10529" s="128" t="n">
        <v>44135</v>
      </c>
      <c r="C10529" s="94">
        <f>TEXT(B10529,"aaa")</f>
        <v/>
      </c>
      <c r="E10529" s="94" t="inlineStr">
        <is>
          <t>클렌징폼</t>
        </is>
      </c>
      <c r="F10529" s="5" t="inlineStr">
        <is>
          <t>카페24</t>
        </is>
      </c>
      <c r="G10529" s="94" t="inlineStr">
        <is>
          <t>클렌징폼 120ml 2set</t>
        </is>
      </c>
      <c r="H10529" s="94" t="n">
        <v>200801</v>
      </c>
      <c r="I10529" s="94" t="n">
        <v>200801</v>
      </c>
      <c r="K10529" s="94" t="n">
        <v>1</v>
      </c>
      <c r="L10529" s="94" t="n">
        <v>200801</v>
      </c>
      <c r="M10529" s="94">
        <f>VLOOKUP($Q10529,매칭테이블!$F:$I,2,0)*K10529</f>
        <v/>
      </c>
      <c r="N10529" s="94">
        <f>M10529-M10529*VLOOKUP($Q10529,매칭테이블!$F:$I,3,0)</f>
        <v/>
      </c>
      <c r="O10529" s="94">
        <f>VLOOKUP($Q10529,매칭테이블!$F:$I,4,0)*K10529</f>
        <v/>
      </c>
      <c r="P10529" s="148">
        <f>M10529/1.1</f>
        <v/>
      </c>
      <c r="Q10529" s="94">
        <f>F10529&amp;E10529&amp;G10529&amp;L10529</f>
        <v/>
      </c>
    </row>
    <row r="10530" customFormat="1" s="94">
      <c r="B10530" s="128" t="n">
        <v>44135</v>
      </c>
      <c r="C10530" s="94">
        <f>TEXT(B10530,"aaa")</f>
        <v/>
      </c>
      <c r="E10530" s="94" t="inlineStr">
        <is>
          <t>클렌징폼</t>
        </is>
      </c>
      <c r="F10530" s="5" t="inlineStr">
        <is>
          <t>카페24</t>
        </is>
      </c>
      <c r="G10530" s="94" t="inlineStr">
        <is>
          <t>클렌징폼 120ml 3set</t>
        </is>
      </c>
      <c r="H10530" s="94" t="n">
        <v>200801</v>
      </c>
      <c r="I10530" s="94" t="n">
        <v>200801</v>
      </c>
      <c r="K10530" s="94" t="n">
        <v>1</v>
      </c>
      <c r="L10530" s="94" t="n">
        <v>200801</v>
      </c>
      <c r="M10530" s="94">
        <f>VLOOKUP($Q10530,매칭테이블!$F:$I,2,0)*K10530</f>
        <v/>
      </c>
      <c r="N10530" s="94">
        <f>M10530-M10530*VLOOKUP($Q10530,매칭테이블!$F:$I,3,0)</f>
        <v/>
      </c>
      <c r="O10530" s="94">
        <f>VLOOKUP($Q10530,매칭테이블!$F:$I,4,0)*K10530</f>
        <v/>
      </c>
      <c r="P10530" s="148">
        <f>M10530/1.1</f>
        <v/>
      </c>
      <c r="Q10530" s="94">
        <f>F10530&amp;E10530&amp;G10530&amp;L10530</f>
        <v/>
      </c>
    </row>
    <row r="10531" customFormat="1" s="94">
      <c r="B10531" s="128" t="n">
        <v>44135</v>
      </c>
      <c r="C10531" s="94">
        <f>TEXT(B10531,"aaa")</f>
        <v/>
      </c>
      <c r="E10531" s="94" t="inlineStr">
        <is>
          <t>바디워시</t>
        </is>
      </c>
      <c r="F10531" s="5" t="inlineStr">
        <is>
          <t>카페24</t>
        </is>
      </c>
      <c r="G10531" s="94" t="inlineStr">
        <is>
          <t>바디워시 1개 -30% off</t>
        </is>
      </c>
      <c r="H10531" s="94" t="n">
        <v>200801</v>
      </c>
      <c r="I10531" s="94" t="n">
        <v>200801</v>
      </c>
      <c r="K10531" s="94" t="n">
        <v>3</v>
      </c>
      <c r="L10531" s="94" t="n">
        <v>200801</v>
      </c>
      <c r="M10531" s="94">
        <f>VLOOKUP($Q10531,매칭테이블!$F:$I,2,0)*K10531</f>
        <v/>
      </c>
      <c r="N10531" s="94">
        <f>M10531-M10531*VLOOKUP($Q10531,매칭테이블!$F:$I,3,0)</f>
        <v/>
      </c>
      <c r="O10531" s="94">
        <f>VLOOKUP($Q10531,매칭테이블!$F:$I,4,0)*K10531</f>
        <v/>
      </c>
      <c r="P10531" s="148">
        <f>M10531/1.1</f>
        <v/>
      </c>
      <c r="Q10531" s="94">
        <f>F10531&amp;E10531&amp;G10531&amp;L10531</f>
        <v/>
      </c>
    </row>
    <row r="10532" customFormat="1" s="94">
      <c r="B10532" s="128" t="n">
        <v>44135</v>
      </c>
      <c r="C10532" s="94">
        <f>TEXT(B10532,"aaa")</f>
        <v/>
      </c>
      <c r="E10532" s="94" t="inlineStr">
        <is>
          <t>바디워시</t>
        </is>
      </c>
      <c r="F10532" s="5" t="inlineStr">
        <is>
          <t>카페24</t>
        </is>
      </c>
      <c r="G10532" s="94" t="inlineStr">
        <is>
          <t>바디워시 2개 -35% off (무료배송)</t>
        </is>
      </c>
      <c r="H10532" s="94" t="n">
        <v>200801</v>
      </c>
      <c r="I10532" s="94" t="n">
        <v>200801</v>
      </c>
      <c r="K10532" s="94" t="n">
        <v>1</v>
      </c>
      <c r="L10532" s="94" t="n">
        <v>200801</v>
      </c>
      <c r="M10532" s="94">
        <f>VLOOKUP($Q10532,매칭테이블!$F:$I,2,0)*K10532</f>
        <v/>
      </c>
      <c r="N10532" s="94">
        <f>M10532-M10532*VLOOKUP($Q10532,매칭테이블!$F:$I,3,0)</f>
        <v/>
      </c>
      <c r="O10532" s="94">
        <f>VLOOKUP($Q10532,매칭테이블!$F:$I,4,0)*K10532</f>
        <v/>
      </c>
      <c r="P10532" s="148">
        <f>M10532/1.1</f>
        <v/>
      </c>
      <c r="Q10532" s="94">
        <f>F10532&amp;E10532&amp;G10532&amp;L10532</f>
        <v/>
      </c>
    </row>
    <row r="10533" customFormat="1" s="94">
      <c r="B10533" s="128" t="n">
        <v>44135</v>
      </c>
      <c r="C10533" s="94">
        <f>TEXT(B10533,"aaa")</f>
        <v/>
      </c>
      <c r="E10533" s="94" t="inlineStr">
        <is>
          <t>토너</t>
        </is>
      </c>
      <c r="F10533" s="5" t="inlineStr">
        <is>
          <t>화해</t>
        </is>
      </c>
      <c r="G10533" s="94" t="inlineStr">
        <is>
          <t>250ml</t>
        </is>
      </c>
      <c r="H10533" s="94" t="n">
        <v>200801</v>
      </c>
      <c r="I10533" s="94" t="n">
        <v>200801</v>
      </c>
      <c r="K10533" s="94" t="n">
        <v>1</v>
      </c>
      <c r="L10533" s="94" t="n">
        <v>200801</v>
      </c>
      <c r="M10533" s="94">
        <f>VLOOKUP($Q10533,매칭테이블!$F:$I,2,0)*K10533</f>
        <v/>
      </c>
      <c r="N10533" s="94">
        <f>M10533-M10533*VLOOKUP($Q10533,매칭테이블!$F:$I,3,0)</f>
        <v/>
      </c>
      <c r="O10533" s="94">
        <f>VLOOKUP($Q10533,매칭테이블!$F:$I,4,0)*K10533</f>
        <v/>
      </c>
      <c r="P10533" s="148">
        <f>M10533/1.1</f>
        <v/>
      </c>
      <c r="Q10533" s="94">
        <f>F10533&amp;E10533&amp;G10533&amp;L10533</f>
        <v/>
      </c>
    </row>
    <row r="10534" customFormat="1" s="94">
      <c r="B10534" s="128" t="n">
        <v>44136</v>
      </c>
      <c r="C10534" s="94">
        <f>TEXT(B10534,"aaa")</f>
        <v/>
      </c>
      <c r="E10534" s="94" t="inlineStr">
        <is>
          <t>토너</t>
        </is>
      </c>
      <c r="F10534" s="5" t="inlineStr">
        <is>
          <t>랄라블라</t>
        </is>
      </c>
      <c r="G10534" s="94" t="inlineStr">
        <is>
          <t>250ml</t>
        </is>
      </c>
      <c r="H10534" s="94" t="n">
        <v>200801</v>
      </c>
      <c r="I10534" s="94" t="n">
        <v>200801</v>
      </c>
      <c r="K10534" s="94" t="n">
        <v>293</v>
      </c>
      <c r="L10534" s="94" t="n">
        <v>200801</v>
      </c>
      <c r="M10534" s="94">
        <f>VLOOKUP($Q10534,매칭테이블!$F:$I,2,0)*K10534</f>
        <v/>
      </c>
      <c r="N10534" s="94">
        <f>M10534-M10534*VLOOKUP($Q10534,매칭테이블!$F:$I,3,0)</f>
        <v/>
      </c>
      <c r="O10534" s="94">
        <f>VLOOKUP($Q10534,매칭테이블!$F:$I,4,0)*K10534</f>
        <v/>
      </c>
      <c r="P10534" s="148">
        <f>M10534/1.1</f>
        <v/>
      </c>
      <c r="Q10534" s="94">
        <f>F10534&amp;E10534&amp;G10534&amp;L10534</f>
        <v/>
      </c>
    </row>
    <row r="10535" customFormat="1" s="94">
      <c r="B10535" s="128" t="n">
        <v>44136</v>
      </c>
      <c r="C10535" s="94">
        <f>TEXT(B10535,"aaa")</f>
        <v/>
      </c>
      <c r="E10535" s="94" t="inlineStr">
        <is>
          <t>토너</t>
        </is>
      </c>
      <c r="F10535" s="5" t="inlineStr">
        <is>
          <t>랄라블라</t>
        </is>
      </c>
      <c r="G10535" s="94" t="inlineStr">
        <is>
          <t>500ml</t>
        </is>
      </c>
      <c r="H10535" s="94" t="n">
        <v>200801</v>
      </c>
      <c r="I10535" s="94" t="n">
        <v>200801</v>
      </c>
      <c r="K10535" s="94" t="n">
        <v>260</v>
      </c>
      <c r="L10535" s="94" t="n">
        <v>200801</v>
      </c>
      <c r="M10535" s="94">
        <f>VLOOKUP($Q10535,매칭테이블!$F:$I,2,0)*K10535</f>
        <v/>
      </c>
      <c r="N10535" s="94">
        <f>M10535-M10535*VLOOKUP($Q10535,매칭테이블!$F:$I,3,0)</f>
        <v/>
      </c>
      <c r="O10535" s="94">
        <f>VLOOKUP($Q10535,매칭테이블!$F:$I,4,0)*K10535</f>
        <v/>
      </c>
      <c r="P10535" s="148">
        <f>M10535/1.1</f>
        <v/>
      </c>
      <c r="Q10535" s="94">
        <f>F10535&amp;E10535&amp;G10535&amp;L10535</f>
        <v/>
      </c>
    </row>
    <row r="10536" customFormat="1" s="94">
      <c r="B10536" s="128" t="n">
        <v>44136</v>
      </c>
      <c r="C10536" s="94">
        <f>TEXT(B10536,"aaa")</f>
        <v/>
      </c>
      <c r="E10536" s="94" t="inlineStr">
        <is>
          <t>마스크팩</t>
        </is>
      </c>
      <c r="F10536" s="5" t="inlineStr">
        <is>
          <t>랄라블라</t>
        </is>
      </c>
      <c r="G10536" s="94" t="inlineStr">
        <is>
          <t>마스크팩 1매</t>
        </is>
      </c>
      <c r="H10536" s="94" t="n">
        <v>200801</v>
      </c>
      <c r="I10536" s="94" t="n">
        <v>200801</v>
      </c>
      <c r="K10536" s="94" t="n">
        <v>436</v>
      </c>
      <c r="L10536" s="94" t="n">
        <v>200801</v>
      </c>
      <c r="M10536" s="94">
        <f>VLOOKUP($Q10536,매칭테이블!$F:$I,2,0)*K10536</f>
        <v/>
      </c>
      <c r="N10536" s="94">
        <f>M10536-M10536*VLOOKUP($Q10536,매칭테이블!$F:$I,3,0)</f>
        <v/>
      </c>
      <c r="O10536" s="94">
        <f>VLOOKUP($Q10536,매칭테이블!$F:$I,4,0)*K10536</f>
        <v/>
      </c>
      <c r="P10536" s="148">
        <f>M10536/1.1</f>
        <v/>
      </c>
      <c r="Q10536" s="94">
        <f>F10536&amp;E10536&amp;G10536&amp;L10536</f>
        <v/>
      </c>
    </row>
    <row r="10537" customFormat="1" s="94">
      <c r="B10537" s="128" t="n">
        <v>44136</v>
      </c>
      <c r="C10537" s="94">
        <f>TEXT(B10537,"aaa")</f>
        <v/>
      </c>
      <c r="E10537" s="94" t="inlineStr">
        <is>
          <t>수딩크림 증정기획</t>
        </is>
      </c>
      <c r="F10537" s="5" t="inlineStr">
        <is>
          <t>랄라블라</t>
        </is>
      </c>
      <c r="G10537" s="94" t="inlineStr">
        <is>
          <t>수딩크림 증정기획</t>
        </is>
      </c>
      <c r="H10537" s="94" t="n">
        <v>200801</v>
      </c>
      <c r="I10537" s="94" t="n">
        <v>200801</v>
      </c>
      <c r="K10537" s="94" t="n">
        <v>25</v>
      </c>
      <c r="L10537" s="94" t="n">
        <v>200801</v>
      </c>
      <c r="M10537" s="94">
        <f>VLOOKUP($Q10537,매칭테이블!$F:$I,2,0)*K10537</f>
        <v/>
      </c>
      <c r="N10537" s="94">
        <f>M10537-M10537*VLOOKUP($Q10537,매칭테이블!$F:$I,3,0)</f>
        <v/>
      </c>
      <c r="O10537" s="94">
        <f>VLOOKUP($Q10537,매칭테이블!$F:$I,4,0)*K10537</f>
        <v/>
      </c>
      <c r="P10537" s="148">
        <f>M10537/1.1</f>
        <v/>
      </c>
      <c r="Q10537" s="94">
        <f>F10537&amp;E10537&amp;G10537&amp;L10537</f>
        <v/>
      </c>
    </row>
    <row r="10538" customFormat="1" s="94">
      <c r="B10538" s="128" t="n">
        <v>44136</v>
      </c>
      <c r="C10538" s="94">
        <f>TEXT(B10538,"aaa")</f>
        <v/>
      </c>
      <c r="E10538" s="94" t="inlineStr">
        <is>
          <t>수딩크림</t>
        </is>
      </c>
      <c r="F10538" s="5" t="inlineStr">
        <is>
          <t>랄라블라</t>
        </is>
      </c>
      <c r="G10538" s="94" t="inlineStr">
        <is>
          <t>수딩크림 100ml</t>
        </is>
      </c>
      <c r="H10538" s="94" t="n">
        <v>200801</v>
      </c>
      <c r="I10538" s="94" t="n">
        <v>200801</v>
      </c>
      <c r="K10538" s="94" t="n">
        <v>43</v>
      </c>
      <c r="L10538" s="94" t="n">
        <v>200801</v>
      </c>
      <c r="M10538" s="94">
        <f>VLOOKUP($Q10538,매칭테이블!$F:$I,2,0)*K10538</f>
        <v/>
      </c>
      <c r="N10538" s="94">
        <f>M10538-M10538*VLOOKUP($Q10538,매칭테이블!$F:$I,3,0)</f>
        <v/>
      </c>
      <c r="O10538" s="94">
        <f>VLOOKUP($Q10538,매칭테이블!$F:$I,4,0)*K10538</f>
        <v/>
      </c>
      <c r="P10538" s="148">
        <f>M10538/1.1</f>
        <v/>
      </c>
      <c r="Q10538" s="94">
        <f>F10538&amp;E10538&amp;G10538&amp;L10538</f>
        <v/>
      </c>
    </row>
    <row r="10539" customFormat="1" s="94">
      <c r="B10539" s="128" t="n">
        <v>44136</v>
      </c>
      <c r="C10539" s="94">
        <f>TEXT(B10539,"aaa")</f>
        <v/>
      </c>
      <c r="E10539" s="94" t="inlineStr">
        <is>
          <t>앰플 기획세트</t>
        </is>
      </c>
      <c r="F10539" s="5" t="inlineStr">
        <is>
          <t>랄라블라</t>
        </is>
      </c>
      <c r="G10539" s="94" t="inlineStr">
        <is>
          <t>앰플 기획세트</t>
        </is>
      </c>
      <c r="H10539" s="94" t="n">
        <v>200801</v>
      </c>
      <c r="I10539" s="94" t="n">
        <v>200801</v>
      </c>
      <c r="K10539" s="94" t="n">
        <v>83</v>
      </c>
      <c r="L10539" s="94" t="n">
        <v>200801</v>
      </c>
      <c r="M10539" s="94">
        <f>VLOOKUP($Q10539,매칭테이블!$F:$I,2,0)*K10539</f>
        <v/>
      </c>
      <c r="N10539" s="94">
        <f>M10539-M10539*VLOOKUP($Q10539,매칭테이블!$F:$I,3,0)</f>
        <v/>
      </c>
      <c r="O10539" s="94">
        <f>VLOOKUP($Q10539,매칭테이블!$F:$I,4,0)*K10539</f>
        <v/>
      </c>
      <c r="P10539" s="148">
        <f>M10539/1.1</f>
        <v/>
      </c>
      <c r="Q10539" s="94">
        <f>F10539&amp;E10539&amp;G10539&amp;L10539</f>
        <v/>
      </c>
    </row>
    <row r="10540" customFormat="1" s="94">
      <c r="B10540" s="128" t="n">
        <v>44136</v>
      </c>
      <c r="C10540" s="94">
        <f>TEXT(B10540,"aaa")</f>
        <v/>
      </c>
      <c r="E10540" s="94" t="inlineStr">
        <is>
          <t>클렌징폼 기획세트</t>
        </is>
      </c>
      <c r="F10540" s="5" t="inlineStr">
        <is>
          <t>랄라블라</t>
        </is>
      </c>
      <c r="G10540" s="94" t="inlineStr">
        <is>
          <t>클렌징폼 기획세트</t>
        </is>
      </c>
      <c r="H10540" s="94" t="n">
        <v>200801</v>
      </c>
      <c r="I10540" s="94" t="n">
        <v>200801</v>
      </c>
      <c r="K10540" s="94" t="n">
        <v>5</v>
      </c>
      <c r="L10540" s="94" t="n">
        <v>200801</v>
      </c>
      <c r="M10540" s="94">
        <f>VLOOKUP($Q10540,매칭테이블!$F:$I,2,0)*K10540</f>
        <v/>
      </c>
      <c r="N10540" s="94">
        <f>M10540-M10540*VLOOKUP($Q10540,매칭테이블!$F:$I,3,0)</f>
        <v/>
      </c>
      <c r="O10540" s="94">
        <f>VLOOKUP($Q10540,매칭테이블!$F:$I,4,0)*K10540</f>
        <v/>
      </c>
      <c r="P10540" s="148">
        <f>M10540/1.1</f>
        <v/>
      </c>
      <c r="Q10540" s="94">
        <f>F10540&amp;E10540&amp;G10540&amp;L10540</f>
        <v/>
      </c>
    </row>
    <row r="10541" customFormat="1" s="94">
      <c r="B10541" s="128" t="n">
        <v>44136</v>
      </c>
      <c r="C10541" s="94">
        <f>TEXT(B10541,"aaa")</f>
        <v/>
      </c>
      <c r="E10541" s="94" t="inlineStr">
        <is>
          <t>클렌징폼</t>
        </is>
      </c>
      <c r="F10541" s="5" t="inlineStr">
        <is>
          <t>랄라블라</t>
        </is>
      </c>
      <c r="G10541" s="94" t="inlineStr">
        <is>
          <t>클렌징폼 120ml</t>
        </is>
      </c>
      <c r="H10541" s="94" t="n">
        <v>200801</v>
      </c>
      <c r="I10541" s="94" t="n">
        <v>200801</v>
      </c>
      <c r="K10541" s="94" t="n">
        <v>45</v>
      </c>
      <c r="L10541" s="94" t="n">
        <v>200801</v>
      </c>
      <c r="M10541" s="94">
        <f>VLOOKUP($Q10541,매칭테이블!$F:$I,2,0)*K10541</f>
        <v/>
      </c>
      <c r="N10541" s="94">
        <f>M10541-M10541*VLOOKUP($Q10541,매칭테이블!$F:$I,3,0)</f>
        <v/>
      </c>
      <c r="O10541" s="94">
        <f>VLOOKUP($Q10541,매칭테이블!$F:$I,4,0)*K10541</f>
        <v/>
      </c>
      <c r="P10541" s="148">
        <f>M10541/1.1</f>
        <v/>
      </c>
      <c r="Q10541" s="94">
        <f>F10541&amp;E10541&amp;G10541&amp;L10541</f>
        <v/>
      </c>
    </row>
    <row r="10542" customFormat="1" s="94">
      <c r="B10542" s="128" t="n">
        <v>44136</v>
      </c>
      <c r="C10542" s="94">
        <f>TEXT(B10542,"aaa")</f>
        <v/>
      </c>
      <c r="E10542" s="94" t="inlineStr">
        <is>
          <t>토너 증정기획</t>
        </is>
      </c>
      <c r="F10542" s="5" t="inlineStr">
        <is>
          <t>랄라블라</t>
        </is>
      </c>
      <c r="G10542" s="94" t="inlineStr">
        <is>
          <t>토너 증정기획</t>
        </is>
      </c>
      <c r="H10542" s="94" t="n">
        <v>200801</v>
      </c>
      <c r="I10542" s="94" t="n">
        <v>200801</v>
      </c>
      <c r="K10542" s="94" t="n">
        <v>1</v>
      </c>
      <c r="L10542" s="94" t="n">
        <v>200801</v>
      </c>
      <c r="M10542" s="94">
        <f>VLOOKUP($Q10542,매칭테이블!$F:$I,2,0)*K10542</f>
        <v/>
      </c>
      <c r="N10542" s="94">
        <f>M10542-M10542*VLOOKUP($Q10542,매칭테이블!$F:$I,3,0)</f>
        <v/>
      </c>
      <c r="O10542" s="94">
        <f>VLOOKUP($Q10542,매칭테이블!$F:$I,4,0)*K10542</f>
        <v/>
      </c>
      <c r="P10542" s="148">
        <f>M10542/1.1</f>
        <v/>
      </c>
      <c r="Q10542" s="94">
        <f>F10542&amp;E10542&amp;G10542&amp;L10542</f>
        <v/>
      </c>
    </row>
    <row r="10543" customFormat="1" s="94">
      <c r="B10543" s="128" t="n">
        <v>44136</v>
      </c>
      <c r="C10543" s="94">
        <f>TEXT(B10543,"aaa")</f>
        <v/>
      </c>
      <c r="E10543" s="94" t="inlineStr">
        <is>
          <t>선크림</t>
        </is>
      </c>
      <c r="F10543" s="5" t="inlineStr">
        <is>
          <t>랄라블라</t>
        </is>
      </c>
      <c r="G10543" s="94" t="inlineStr">
        <is>
          <t>선크림 50ml</t>
        </is>
      </c>
      <c r="H10543" s="94" t="n">
        <v>200801</v>
      </c>
      <c r="I10543" s="94" t="n">
        <v>200801</v>
      </c>
      <c r="K10543" s="94" t="n">
        <v>11</v>
      </c>
      <c r="L10543" s="94" t="n">
        <v>200801</v>
      </c>
      <c r="M10543" s="94">
        <f>VLOOKUP($Q10543,매칭테이블!$F:$I,2,0)*K10543</f>
        <v/>
      </c>
      <c r="N10543" s="94">
        <f>M10543-M10543*VLOOKUP($Q10543,매칭테이블!$F:$I,3,0)</f>
        <v/>
      </c>
      <c r="O10543" s="94">
        <f>VLOOKUP($Q10543,매칭테이블!$F:$I,4,0)*K10543</f>
        <v/>
      </c>
      <c r="P10543" s="148">
        <f>M10543/1.1</f>
        <v/>
      </c>
      <c r="Q10543" s="94">
        <f>F10543&amp;E10543&amp;G10543&amp;L10543</f>
        <v/>
      </c>
    </row>
    <row r="10544" customFormat="1" s="94">
      <c r="B10544" s="128" t="n">
        <v>44136</v>
      </c>
      <c r="C10544" s="94">
        <f>TEXT(B10544,"aaa")</f>
        <v/>
      </c>
      <c r="E10544" s="94" t="inlineStr">
        <is>
          <t>대용량 기획세트</t>
        </is>
      </c>
      <c r="F10544" s="5" t="inlineStr">
        <is>
          <t>랄라블라</t>
        </is>
      </c>
      <c r="G10544" s="94" t="inlineStr">
        <is>
          <t>대용량 기획세트</t>
        </is>
      </c>
      <c r="H10544" s="94" t="n">
        <v>200801</v>
      </c>
      <c r="I10544" s="94" t="n">
        <v>200801</v>
      </c>
      <c r="K10544" s="94" t="n">
        <v>1</v>
      </c>
      <c r="L10544" s="94" t="n">
        <v>200801</v>
      </c>
      <c r="M10544" s="94">
        <f>VLOOKUP($Q10544,매칭테이블!$F:$I,2,0)*K10544</f>
        <v/>
      </c>
      <c r="N10544" s="94">
        <f>M10544-M10544*VLOOKUP($Q10544,매칭테이블!$F:$I,3,0)</f>
        <v/>
      </c>
      <c r="O10544" s="94">
        <f>VLOOKUP($Q10544,매칭테이블!$F:$I,4,0)*K10544</f>
        <v/>
      </c>
      <c r="P10544" s="148">
        <f>M10544/1.1</f>
        <v/>
      </c>
      <c r="Q10544" s="94">
        <f>F10544&amp;E10544&amp;G10544&amp;L10544</f>
        <v/>
      </c>
    </row>
    <row r="10545" customFormat="1" s="94">
      <c r="B10545" s="128" t="n">
        <v>44136</v>
      </c>
      <c r="C10545" s="94">
        <f>TEXT(B10545,"aaa")</f>
        <v/>
      </c>
      <c r="E10545" s="94" t="inlineStr">
        <is>
          <t>마스크팩</t>
        </is>
      </c>
      <c r="F10545" s="5" t="inlineStr">
        <is>
          <t>랄라블라</t>
        </is>
      </c>
      <c r="G10545" s="94" t="inlineStr">
        <is>
          <t>마스크 5+1 기획세트</t>
        </is>
      </c>
      <c r="H10545" s="94" t="n">
        <v>200801</v>
      </c>
      <c r="I10545" s="94" t="n">
        <v>200801</v>
      </c>
      <c r="K10545" s="94" t="n">
        <v>268</v>
      </c>
      <c r="L10545" s="94" t="n">
        <v>200801</v>
      </c>
      <c r="M10545" s="94">
        <f>VLOOKUP($Q10545,매칭테이블!$F:$I,2,0)*K10545</f>
        <v/>
      </c>
      <c r="N10545" s="94">
        <f>M10545-M10545*VLOOKUP($Q10545,매칭테이블!$F:$I,3,0)</f>
        <v/>
      </c>
      <c r="O10545" s="94">
        <f>VLOOKUP($Q10545,매칭테이블!$F:$I,4,0)*K10545</f>
        <v/>
      </c>
      <c r="P10545" s="148">
        <f>M10545/1.1</f>
        <v/>
      </c>
      <c r="Q10545" s="94">
        <f>F10545&amp;E10545&amp;G10545&amp;L10545</f>
        <v/>
      </c>
    </row>
    <row r="10546" customFormat="1" s="94">
      <c r="B10546" s="128" t="n">
        <v>44136</v>
      </c>
      <c r="C10546" s="94">
        <f>TEXT(B10546,"aaa")</f>
        <v/>
      </c>
      <c r="E10546" s="94" t="inlineStr">
        <is>
          <t>바디워시</t>
        </is>
      </c>
      <c r="F10546" s="5" t="inlineStr">
        <is>
          <t>랄라블라</t>
        </is>
      </c>
      <c r="G10546" s="94" t="inlineStr">
        <is>
          <t>아누아 어성초 아크네 바디워시 500ml</t>
        </is>
      </c>
      <c r="H10546" s="94" t="n">
        <v>200801</v>
      </c>
      <c r="I10546" s="94" t="n">
        <v>200801</v>
      </c>
      <c r="K10546" s="94" t="n">
        <v>11</v>
      </c>
      <c r="L10546" s="94" t="n">
        <v>200801</v>
      </c>
      <c r="M10546" s="94">
        <f>VLOOKUP($Q10546,매칭테이블!$F:$I,2,0)*K10546</f>
        <v/>
      </c>
      <c r="N10546" s="94">
        <f>M10546-M10546*VLOOKUP($Q10546,매칭테이블!$F:$I,3,0)</f>
        <v/>
      </c>
      <c r="O10546" s="94">
        <f>VLOOKUP($Q10546,매칭테이블!$F:$I,4,0)*K10546</f>
        <v/>
      </c>
      <c r="P10546" s="148">
        <f>M10546/1.1</f>
        <v/>
      </c>
      <c r="Q10546" s="94">
        <f>F10546&amp;E10546&amp;G10546&amp;L10546</f>
        <v/>
      </c>
    </row>
    <row r="10547" customFormat="1" s="94">
      <c r="B10547" s="128" t="n">
        <v>44136</v>
      </c>
      <c r="C10547" s="94">
        <f>TEXT(B10547,"aaa")</f>
        <v/>
      </c>
      <c r="E10547" s="94" t="inlineStr">
        <is>
          <t>클리어 패드</t>
        </is>
      </c>
      <c r="F10547" s="5" t="inlineStr">
        <is>
          <t>랄라블라</t>
        </is>
      </c>
      <c r="G10547" s="94" t="inlineStr">
        <is>
          <t>아누아 어성초77 클리어 패드</t>
        </is>
      </c>
      <c r="H10547" s="94" t="n">
        <v>200801</v>
      </c>
      <c r="I10547" s="94" t="n">
        <v>200801</v>
      </c>
      <c r="K10547" s="94" t="n">
        <v>71</v>
      </c>
      <c r="L10547" s="94" t="n">
        <v>200801</v>
      </c>
      <c r="M10547" s="94">
        <f>VLOOKUP($Q10547,매칭테이블!$F:$I,2,0)*K10547</f>
        <v/>
      </c>
      <c r="N10547" s="94">
        <f>M10547-M10547*VLOOKUP($Q10547,매칭테이블!$F:$I,3,0)</f>
        <v/>
      </c>
      <c r="O10547" s="94">
        <f>VLOOKUP($Q10547,매칭테이블!$F:$I,4,0)*K10547</f>
        <v/>
      </c>
      <c r="P10547" s="148">
        <f>M10547/1.1</f>
        <v/>
      </c>
      <c r="Q10547" s="94">
        <f>F10547&amp;E10547&amp;G10547&amp;L10547</f>
        <v/>
      </c>
    </row>
    <row r="10548" customFormat="1" s="94">
      <c r="B10548" s="128" t="n">
        <v>44136</v>
      </c>
      <c r="C10548" s="94">
        <f>TEXT(B10548,"aaa")</f>
        <v/>
      </c>
      <c r="E10548" s="94" t="inlineStr">
        <is>
          <t>로션</t>
        </is>
      </c>
      <c r="F10548" s="5" t="inlineStr">
        <is>
          <t>랄라블라</t>
        </is>
      </c>
      <c r="G10548" s="94" t="inlineStr">
        <is>
          <t>아누아 어성초70 로션 200ml</t>
        </is>
      </c>
      <c r="H10548" s="94" t="n">
        <v>200801</v>
      </c>
      <c r="I10548" s="94" t="n">
        <v>200801</v>
      </c>
      <c r="K10548" s="94" t="n">
        <v>63</v>
      </c>
      <c r="L10548" s="94" t="n">
        <v>200801</v>
      </c>
      <c r="M10548" s="94">
        <f>VLOOKUP($Q10548,매칭테이블!$F:$I,2,0)*K10548</f>
        <v/>
      </c>
      <c r="N10548" s="94">
        <f>M10548-M10548*VLOOKUP($Q10548,매칭테이블!$F:$I,3,0)</f>
        <v/>
      </c>
      <c r="O10548" s="94">
        <f>VLOOKUP($Q10548,매칭테이블!$F:$I,4,0)*K10548</f>
        <v/>
      </c>
      <c r="P10548" s="148">
        <f>M10548/1.1</f>
        <v/>
      </c>
      <c r="Q10548" s="94">
        <f>F10548&amp;E10548&amp;G10548&amp;L10548</f>
        <v/>
      </c>
    </row>
    <row r="10549" customFormat="1" s="94">
      <c r="B10549" s="128" t="n">
        <v>44136</v>
      </c>
      <c r="C10549" s="94">
        <f>TEXT(B10549,"aaa")</f>
        <v/>
      </c>
      <c r="E10549" s="94" t="inlineStr">
        <is>
          <t>크림마스크</t>
        </is>
      </c>
      <c r="F10549" s="5" t="inlineStr">
        <is>
          <t>랄라블라</t>
        </is>
      </c>
      <c r="G10549" s="94" t="inlineStr">
        <is>
          <t>아누아 어성초 크림 마스크</t>
        </is>
      </c>
      <c r="H10549" s="94" t="n">
        <v>200801</v>
      </c>
      <c r="I10549" s="94" t="n">
        <v>200801</v>
      </c>
      <c r="K10549" s="94" t="n">
        <v>110</v>
      </c>
      <c r="L10549" s="94" t="n">
        <v>200801</v>
      </c>
      <c r="M10549" s="94">
        <f>VLOOKUP($Q10549,매칭테이블!$F:$I,2,0)*K10549</f>
        <v/>
      </c>
      <c r="N10549" s="94">
        <f>M10549-M10549*VLOOKUP($Q10549,매칭테이블!$F:$I,3,0)</f>
        <v/>
      </c>
      <c r="O10549" s="94">
        <f>VLOOKUP($Q10549,매칭테이블!$F:$I,4,0)*K10549</f>
        <v/>
      </c>
      <c r="P10549" s="148">
        <f>M10549/1.1</f>
        <v/>
      </c>
      <c r="Q10549" s="94">
        <f>F10549&amp;E10549&amp;G10549&amp;L10549</f>
        <v/>
      </c>
    </row>
    <row r="10550" customFormat="1" s="94">
      <c r="B10550" s="128" t="n">
        <v>44136</v>
      </c>
      <c r="C10550" s="94">
        <f>TEXT(B10550,"aaa")</f>
        <v/>
      </c>
      <c r="E10550" s="94" t="inlineStr">
        <is>
          <t>앰플</t>
        </is>
      </c>
      <c r="F10550" s="5" t="inlineStr">
        <is>
          <t>랄라블라</t>
        </is>
      </c>
      <c r="G10550" s="94" t="inlineStr">
        <is>
          <t>앰플 30ml</t>
        </is>
      </c>
      <c r="H10550" s="94" t="n">
        <v>200801</v>
      </c>
      <c r="I10550" s="94" t="n">
        <v>200801</v>
      </c>
      <c r="K10550" s="94" t="n">
        <v>14</v>
      </c>
      <c r="L10550" s="94" t="n">
        <v>200801</v>
      </c>
      <c r="M10550" s="94">
        <f>VLOOKUP($Q10550,매칭테이블!$F:$I,2,0)*K10550</f>
        <v/>
      </c>
      <c r="N10550" s="94">
        <f>M10550-M10550*VLOOKUP($Q10550,매칭테이블!$F:$I,3,0)</f>
        <v/>
      </c>
      <c r="O10550" s="94">
        <f>VLOOKUP($Q10550,매칭테이블!$F:$I,4,0)*K10550</f>
        <v/>
      </c>
      <c r="P10550" s="148">
        <f>M10550/1.1</f>
        <v/>
      </c>
      <c r="Q10550" s="94">
        <f>F10550&amp;E10550&amp;G10550&amp;L10550</f>
        <v/>
      </c>
    </row>
    <row r="10551" customFormat="1" s="94">
      <c r="B10551" s="128" t="n">
        <v>44136</v>
      </c>
      <c r="C10551" s="94">
        <f>TEXT(B10551,"aaa")</f>
        <v/>
      </c>
      <c r="E10551" s="94" t="inlineStr">
        <is>
          <t>선크림</t>
        </is>
      </c>
      <c r="F10551" s="5" t="inlineStr">
        <is>
          <t>카페24</t>
        </is>
      </c>
      <c r="G10551" s="94" t="inlineStr">
        <is>
          <t>선크림 50ml</t>
        </is>
      </c>
      <c r="H10551" s="94" t="n">
        <v>200801</v>
      </c>
      <c r="I10551" s="94" t="n">
        <v>200801</v>
      </c>
      <c r="K10551" s="94" t="n">
        <v>2</v>
      </c>
      <c r="L10551" s="94" t="n">
        <v>200801</v>
      </c>
      <c r="M10551" s="94">
        <f>VLOOKUP($Q10551,매칭테이블!$F:$I,2,0)*K10551</f>
        <v/>
      </c>
      <c r="N10551" s="94">
        <f>M10551-M10551*VLOOKUP($Q10551,매칭테이블!$F:$I,3,0)</f>
        <v/>
      </c>
      <c r="O10551" s="94">
        <f>VLOOKUP($Q10551,매칭테이블!$F:$I,4,0)*K10551</f>
        <v/>
      </c>
      <c r="P10551" s="148">
        <f>M10551/1.1</f>
        <v/>
      </c>
      <c r="Q10551" s="94">
        <f>F10551&amp;E10551&amp;G10551&amp;L10551</f>
        <v/>
      </c>
    </row>
    <row r="10552" customFormat="1" s="94">
      <c r="B10552" s="128" t="n">
        <v>44136</v>
      </c>
      <c r="C10552" s="94">
        <f>TEXT(B10552,"aaa")</f>
        <v/>
      </c>
      <c r="E10552" s="94" t="inlineStr">
        <is>
          <t>어성초진정패키지</t>
        </is>
      </c>
      <c r="F10552" s="5" t="inlineStr">
        <is>
          <t>카페24</t>
        </is>
      </c>
      <c r="G10552" s="94" t="inlineStr">
        <is>
          <t>어성초 진정패키지세트</t>
        </is>
      </c>
      <c r="H10552" s="94" t="n">
        <v>200801</v>
      </c>
      <c r="I10552" s="94" t="n">
        <v>200801</v>
      </c>
      <c r="K10552" s="94" t="n">
        <v>5</v>
      </c>
      <c r="L10552" s="94" t="n">
        <v>200801</v>
      </c>
      <c r="M10552" s="94">
        <f>VLOOKUP($Q10552,매칭테이블!$F:$I,2,0)*K10552</f>
        <v/>
      </c>
      <c r="N10552" s="94">
        <f>M10552-M10552*VLOOKUP($Q10552,매칭테이블!$F:$I,3,0)</f>
        <v/>
      </c>
      <c r="O10552" s="94">
        <f>VLOOKUP($Q10552,매칭테이블!$F:$I,4,0)*K10552</f>
        <v/>
      </c>
      <c r="P10552" s="148">
        <f>M10552/1.1</f>
        <v/>
      </c>
      <c r="Q10552" s="94">
        <f>F10552&amp;E10552&amp;G10552&amp;L10552</f>
        <v/>
      </c>
    </row>
    <row r="10553" customFormat="1" s="94">
      <c r="B10553" s="128" t="n">
        <v>44136</v>
      </c>
      <c r="C10553" s="94">
        <f>TEXT(B10553,"aaa")</f>
        <v/>
      </c>
      <c r="E10553" s="94" t="inlineStr">
        <is>
          <t>클리어 패드</t>
        </is>
      </c>
      <c r="F10553" s="5" t="inlineStr">
        <is>
          <t>카페24</t>
        </is>
      </c>
      <c r="G10553" s="94" t="inlineStr">
        <is>
          <t>어성초 77 클리어 패드 1개-20% off</t>
        </is>
      </c>
      <c r="H10553" s="94" t="n">
        <v>200801</v>
      </c>
      <c r="I10553" s="94" t="n">
        <v>200801</v>
      </c>
      <c r="K10553" s="94" t="n">
        <v>17</v>
      </c>
      <c r="L10553" s="94" t="n">
        <v>200801</v>
      </c>
      <c r="M10553" s="94">
        <f>VLOOKUP($Q10553,매칭테이블!$F:$I,2,0)*K10553</f>
        <v/>
      </c>
      <c r="N10553" s="94">
        <f>M10553-M10553*VLOOKUP($Q10553,매칭테이블!$F:$I,3,0)</f>
        <v/>
      </c>
      <c r="O10553" s="94">
        <f>VLOOKUP($Q10553,매칭테이블!$F:$I,4,0)*K10553</f>
        <v/>
      </c>
      <c r="P10553" s="148">
        <f>M10553/1.1</f>
        <v/>
      </c>
      <c r="Q10553" s="94">
        <f>F10553&amp;E10553&amp;G10553&amp;L10553</f>
        <v/>
      </c>
    </row>
    <row r="10554" customFormat="1" s="94">
      <c r="B10554" s="128" t="n">
        <v>44136</v>
      </c>
      <c r="C10554" s="94">
        <f>TEXT(B10554,"aaa")</f>
        <v/>
      </c>
      <c r="E10554" s="94" t="inlineStr">
        <is>
          <t>클리어 패드</t>
        </is>
      </c>
      <c r="F10554" s="5" t="inlineStr">
        <is>
          <t>카페24</t>
        </is>
      </c>
      <c r="G10554" s="94" t="inlineStr">
        <is>
          <t>어성초 77 클리어 패드 2개-30% off</t>
        </is>
      </c>
      <c r="H10554" s="94" t="n">
        <v>200801</v>
      </c>
      <c r="I10554" s="94" t="n">
        <v>200801</v>
      </c>
      <c r="K10554" s="94" t="n">
        <v>22</v>
      </c>
      <c r="L10554" s="94" t="n">
        <v>200801</v>
      </c>
      <c r="M10554" s="94">
        <f>VLOOKUP($Q10554,매칭테이블!$F:$I,2,0)*K10554</f>
        <v/>
      </c>
      <c r="N10554" s="94">
        <f>M10554-M10554*VLOOKUP($Q10554,매칭테이블!$F:$I,3,0)</f>
        <v/>
      </c>
      <c r="O10554" s="94">
        <f>VLOOKUP($Q10554,매칭테이블!$F:$I,4,0)*K10554</f>
        <v/>
      </c>
      <c r="P10554" s="148">
        <f>M10554/1.1</f>
        <v/>
      </c>
      <c r="Q10554" s="94">
        <f>F10554&amp;E10554&amp;G10554&amp;L10554</f>
        <v/>
      </c>
    </row>
    <row r="10555" customFormat="1" s="94">
      <c r="B10555" s="128" t="n">
        <v>44136</v>
      </c>
      <c r="C10555" s="94">
        <f>TEXT(B10555,"aaa")</f>
        <v/>
      </c>
      <c r="E10555" s="94" t="inlineStr">
        <is>
          <t>토너+패드 세트</t>
        </is>
      </c>
      <c r="F10555" s="5" t="inlineStr">
        <is>
          <t>카페24</t>
        </is>
      </c>
      <c r="G10555" s="94" t="inlineStr">
        <is>
          <t>좁쌀 진정 세트 토너+클리어 패드-30% off</t>
        </is>
      </c>
      <c r="H10555" s="94" t="n">
        <v>200801</v>
      </c>
      <c r="I10555" s="94" t="n">
        <v>200801</v>
      </c>
      <c r="K10555" s="94" t="n">
        <v>11</v>
      </c>
      <c r="L10555" s="94" t="n">
        <v>200801</v>
      </c>
      <c r="M10555" s="94">
        <f>VLOOKUP($Q10555,매칭테이블!$F:$I,2,0)*K10555</f>
        <v/>
      </c>
      <c r="N10555" s="94">
        <f>M10555-M10555*VLOOKUP($Q10555,매칭테이블!$F:$I,3,0)</f>
        <v/>
      </c>
      <c r="O10555" s="94">
        <f>VLOOKUP($Q10555,매칭테이블!$F:$I,4,0)*K10555</f>
        <v/>
      </c>
      <c r="P10555" s="148">
        <f>M10555/1.1</f>
        <v/>
      </c>
      <c r="Q10555" s="94">
        <f>F10555&amp;E10555&amp;G10555&amp;L10555</f>
        <v/>
      </c>
    </row>
    <row r="10556" customFormat="1" s="94">
      <c r="B10556" s="128" t="n">
        <v>44136</v>
      </c>
      <c r="C10556" s="94">
        <f>TEXT(B10556,"aaa")</f>
        <v/>
      </c>
      <c r="E10556" s="94" t="inlineStr">
        <is>
          <t>수분 보충 세트</t>
        </is>
      </c>
      <c r="F10556" s="5" t="inlineStr">
        <is>
          <t>카페24</t>
        </is>
      </c>
      <c r="G10556" s="94" t="inlineStr">
        <is>
          <t>[20/09/28 부터] 어성초 77 토너 250ml + 어성초 70 로션 200ml -30%</t>
        </is>
      </c>
      <c r="H10556" s="94" t="n">
        <v>200801</v>
      </c>
      <c r="I10556" s="94" t="n">
        <v>200801</v>
      </c>
      <c r="K10556" s="94" t="n">
        <v>32</v>
      </c>
      <c r="L10556" s="94" t="n">
        <v>200801</v>
      </c>
      <c r="M10556" s="94">
        <f>VLOOKUP($Q10556,매칭테이블!$F:$I,2,0)*K10556</f>
        <v/>
      </c>
      <c r="N10556" s="94">
        <f>M10556-M10556*VLOOKUP($Q10556,매칭테이블!$F:$I,3,0)</f>
        <v/>
      </c>
      <c r="O10556" s="94">
        <f>VLOOKUP($Q10556,매칭테이블!$F:$I,4,0)*K10556</f>
        <v/>
      </c>
      <c r="P10556" s="148">
        <f>M10556/1.1</f>
        <v/>
      </c>
      <c r="Q10556" s="94">
        <f>F10556&amp;E10556&amp;G10556&amp;L10556</f>
        <v/>
      </c>
    </row>
    <row r="10557" customFormat="1" s="94">
      <c r="B10557" s="128" t="n">
        <v>44136</v>
      </c>
      <c r="C10557" s="94">
        <f>TEXT(B10557,"aaa")</f>
        <v/>
      </c>
      <c r="E10557" s="94" t="inlineStr">
        <is>
          <t>로션</t>
        </is>
      </c>
      <c r="F10557" s="5" t="inlineStr">
        <is>
          <t>카페24</t>
        </is>
      </c>
      <c r="G10557" s="94" t="inlineStr">
        <is>
          <t>어성초 70 데일리 릴리프 로션 1개 -20% off</t>
        </is>
      </c>
      <c r="H10557" s="94" t="n">
        <v>200801</v>
      </c>
      <c r="I10557" s="94" t="n">
        <v>200801</v>
      </c>
      <c r="K10557" s="94" t="n">
        <v>8</v>
      </c>
      <c r="L10557" s="94" t="n">
        <v>200801</v>
      </c>
      <c r="M10557" s="94">
        <f>VLOOKUP($Q10557,매칭테이블!$F:$I,2,0)*K10557</f>
        <v/>
      </c>
      <c r="N10557" s="94">
        <f>M10557-M10557*VLOOKUP($Q10557,매칭테이블!$F:$I,3,0)</f>
        <v/>
      </c>
      <c r="O10557" s="94">
        <f>VLOOKUP($Q10557,매칭테이블!$F:$I,4,0)*K10557</f>
        <v/>
      </c>
      <c r="P10557" s="148">
        <f>M10557/1.1</f>
        <v/>
      </c>
      <c r="Q10557" s="94">
        <f>F10557&amp;E10557&amp;G10557&amp;L10557</f>
        <v/>
      </c>
    </row>
    <row r="10558" customFormat="1" s="94">
      <c r="B10558" s="128" t="n">
        <v>44136</v>
      </c>
      <c r="C10558" s="94">
        <f>TEXT(B10558,"aaa")</f>
        <v/>
      </c>
      <c r="E10558" s="94" t="inlineStr">
        <is>
          <t>로션</t>
        </is>
      </c>
      <c r="F10558" s="5" t="inlineStr">
        <is>
          <t>카페24</t>
        </is>
      </c>
      <c r="G10558" s="94" t="inlineStr">
        <is>
          <t>어성초 70 데일리 릴리프 로션 2개 -30% off</t>
        </is>
      </c>
      <c r="H10558" s="94" t="n">
        <v>200801</v>
      </c>
      <c r="I10558" s="94" t="n">
        <v>200801</v>
      </c>
      <c r="K10558" s="94" t="n">
        <v>3</v>
      </c>
      <c r="L10558" s="94" t="n">
        <v>200801</v>
      </c>
      <c r="M10558" s="94">
        <f>VLOOKUP($Q10558,매칭테이블!$F:$I,2,0)*K10558</f>
        <v/>
      </c>
      <c r="N10558" s="94">
        <f>M10558-M10558*VLOOKUP($Q10558,매칭테이블!$F:$I,3,0)</f>
        <v/>
      </c>
      <c r="O10558" s="94">
        <f>VLOOKUP($Q10558,매칭테이블!$F:$I,4,0)*K10558</f>
        <v/>
      </c>
      <c r="P10558" s="148">
        <f>M10558/1.1</f>
        <v/>
      </c>
      <c r="Q10558" s="94">
        <f>F10558&amp;E10558&amp;G10558&amp;L10558</f>
        <v/>
      </c>
    </row>
    <row r="10559" customFormat="1" s="94">
      <c r="B10559" s="128" t="n">
        <v>44136</v>
      </c>
      <c r="C10559" s="94">
        <f>TEXT(B10559,"aaa")</f>
        <v/>
      </c>
      <c r="E10559" s="94" t="inlineStr">
        <is>
          <t>머드크림마스크</t>
        </is>
      </c>
      <c r="F10559" s="5" t="inlineStr">
        <is>
          <t>카페24</t>
        </is>
      </c>
      <c r="G10559" s="94" t="inlineStr">
        <is>
          <t>머드크림마스크 100ml</t>
        </is>
      </c>
      <c r="H10559" s="94" t="n">
        <v>200801</v>
      </c>
      <c r="I10559" s="94" t="n">
        <v>200801</v>
      </c>
      <c r="K10559" s="94" t="n">
        <v>6</v>
      </c>
      <c r="L10559" s="94" t="n">
        <v>200801</v>
      </c>
      <c r="M10559" s="94">
        <f>VLOOKUP($Q10559,매칭테이블!$F:$I,2,0)*K10559</f>
        <v/>
      </c>
      <c r="N10559" s="94">
        <f>M10559-M10559*VLOOKUP($Q10559,매칭테이블!$F:$I,3,0)</f>
        <v/>
      </c>
      <c r="O10559" s="94">
        <f>VLOOKUP($Q10559,매칭테이블!$F:$I,4,0)*K10559</f>
        <v/>
      </c>
      <c r="P10559" s="148">
        <f>M10559/1.1</f>
        <v/>
      </c>
      <c r="Q10559" s="94">
        <f>F10559&amp;E10559&amp;G10559&amp;L10559</f>
        <v/>
      </c>
    </row>
    <row r="10560" customFormat="1" s="94">
      <c r="B10560" s="128" t="n">
        <v>44136</v>
      </c>
      <c r="C10560" s="94">
        <f>TEXT(B10560,"aaa")</f>
        <v/>
      </c>
      <c r="E10560" s="94" t="inlineStr">
        <is>
          <t>머드크림마스크</t>
        </is>
      </c>
      <c r="F10560" s="5" t="inlineStr">
        <is>
          <t>카페24</t>
        </is>
      </c>
      <c r="G10560" s="94" t="inlineStr">
        <is>
          <t>머드크림마스크 100ml 2set</t>
        </is>
      </c>
      <c r="H10560" s="94" t="n">
        <v>200801</v>
      </c>
      <c r="I10560" s="94" t="n">
        <v>200801</v>
      </c>
      <c r="K10560" s="94" t="n">
        <v>4</v>
      </c>
      <c r="L10560" s="94" t="n">
        <v>200801</v>
      </c>
      <c r="M10560" s="94">
        <f>VLOOKUP($Q10560,매칭테이블!$F:$I,2,0)*K10560</f>
        <v/>
      </c>
      <c r="N10560" s="94">
        <f>M10560-M10560*VLOOKUP($Q10560,매칭테이블!$F:$I,3,0)</f>
        <v/>
      </c>
      <c r="O10560" s="94">
        <f>VLOOKUP($Q10560,매칭테이블!$F:$I,4,0)*K10560</f>
        <v/>
      </c>
      <c r="P10560" s="148">
        <f>M10560/1.1</f>
        <v/>
      </c>
      <c r="Q10560" s="94">
        <f>F10560&amp;E10560&amp;G10560&amp;L10560</f>
        <v/>
      </c>
    </row>
    <row r="10561" customFormat="1" s="94">
      <c r="B10561" s="128" t="n">
        <v>44136</v>
      </c>
      <c r="C10561" s="94">
        <f>TEXT(B10561,"aaa")</f>
        <v/>
      </c>
      <c r="E10561" s="94" t="inlineStr">
        <is>
          <t>마스크팩</t>
        </is>
      </c>
      <c r="F10561" s="5" t="inlineStr">
        <is>
          <t>카페24</t>
        </is>
      </c>
      <c r="G10561" s="94" t="inlineStr">
        <is>
          <t>마스크팩 1매</t>
        </is>
      </c>
      <c r="H10561" s="94" t="n">
        <v>200801</v>
      </c>
      <c r="I10561" s="94" t="n">
        <v>200801</v>
      </c>
      <c r="K10561" s="94" t="n">
        <v>2</v>
      </c>
      <c r="L10561" s="94" t="n">
        <v>200801</v>
      </c>
      <c r="M10561" s="94">
        <f>VLOOKUP($Q10561,매칭테이블!$F:$I,2,0)*K10561</f>
        <v/>
      </c>
      <c r="N10561" s="94">
        <f>M10561-M10561*VLOOKUP($Q10561,매칭테이블!$F:$I,3,0)</f>
        <v/>
      </c>
      <c r="O10561" s="94">
        <f>VLOOKUP($Q10561,매칭테이블!$F:$I,4,0)*K10561</f>
        <v/>
      </c>
      <c r="P10561" s="148">
        <f>M10561/1.1</f>
        <v/>
      </c>
      <c r="Q10561" s="94">
        <f>F10561&amp;E10561&amp;G10561&amp;L10561</f>
        <v/>
      </c>
    </row>
    <row r="10562" customFormat="1" s="94">
      <c r="B10562" s="128" t="n">
        <v>44136</v>
      </c>
      <c r="C10562" s="94">
        <f>TEXT(B10562,"aaa")</f>
        <v/>
      </c>
      <c r="E10562" s="94" t="inlineStr">
        <is>
          <t>마스크팩</t>
        </is>
      </c>
      <c r="F10562" s="5" t="inlineStr">
        <is>
          <t>카페24</t>
        </is>
      </c>
      <c r="G10562" s="94" t="inlineStr">
        <is>
          <t>마스크팩 10매</t>
        </is>
      </c>
      <c r="H10562" s="94" t="n">
        <v>200801</v>
      </c>
      <c r="I10562" s="94" t="n">
        <v>200801</v>
      </c>
      <c r="K10562" s="94" t="n">
        <v>6</v>
      </c>
      <c r="L10562" s="94" t="n">
        <v>200801</v>
      </c>
      <c r="M10562" s="94">
        <f>VLOOKUP($Q10562,매칭테이블!$F:$I,2,0)*K10562</f>
        <v/>
      </c>
      <c r="N10562" s="94">
        <f>M10562-M10562*VLOOKUP($Q10562,매칭테이블!$F:$I,3,0)</f>
        <v/>
      </c>
      <c r="O10562" s="94">
        <f>VLOOKUP($Q10562,매칭테이블!$F:$I,4,0)*K10562</f>
        <v/>
      </c>
      <c r="P10562" s="148">
        <f>M10562/1.1</f>
        <v/>
      </c>
      <c r="Q10562" s="94">
        <f>F10562&amp;E10562&amp;G10562&amp;L10562</f>
        <v/>
      </c>
    </row>
    <row r="10563" customFormat="1" s="94">
      <c r="B10563" s="128" t="n">
        <v>44136</v>
      </c>
      <c r="C10563" s="94">
        <f>TEXT(B10563,"aaa")</f>
        <v/>
      </c>
      <c r="E10563" s="94" t="inlineStr">
        <is>
          <t>토너</t>
        </is>
      </c>
      <c r="F10563" s="5" t="inlineStr">
        <is>
          <t>카페24</t>
        </is>
      </c>
      <c r="G10563" s="94" t="inlineStr">
        <is>
          <t>250ml</t>
        </is>
      </c>
      <c r="H10563" s="94" t="n">
        <v>200801</v>
      </c>
      <c r="I10563" s="94" t="n">
        <v>200801</v>
      </c>
      <c r="K10563" s="94" t="n">
        <v>29</v>
      </c>
      <c r="L10563" s="94" t="n">
        <v>200801</v>
      </c>
      <c r="M10563" s="94">
        <f>VLOOKUP($Q10563,매칭테이블!$F:$I,2,0)*K10563</f>
        <v/>
      </c>
      <c r="N10563" s="94">
        <f>M10563-M10563*VLOOKUP($Q10563,매칭테이블!$F:$I,3,0)</f>
        <v/>
      </c>
      <c r="O10563" s="94">
        <f>VLOOKUP($Q10563,매칭테이블!$F:$I,4,0)*K10563</f>
        <v/>
      </c>
      <c r="P10563" s="148">
        <f>M10563/1.1</f>
        <v/>
      </c>
      <c r="Q10563" s="94">
        <f>F10563&amp;E10563&amp;G10563&amp;L10563</f>
        <v/>
      </c>
    </row>
    <row r="10564" customFormat="1" s="94">
      <c r="B10564" s="128" t="n">
        <v>44136</v>
      </c>
      <c r="C10564" s="94">
        <f>TEXT(B10564,"aaa")</f>
        <v/>
      </c>
      <c r="E10564" s="94" t="inlineStr">
        <is>
          <t>토너</t>
        </is>
      </c>
      <c r="F10564" s="5" t="inlineStr">
        <is>
          <t>카페24</t>
        </is>
      </c>
      <c r="G10564" s="94" t="inlineStr">
        <is>
          <t>250ml 2set</t>
        </is>
      </c>
      <c r="H10564" s="94" t="n">
        <v>200801</v>
      </c>
      <c r="I10564" s="94" t="n">
        <v>200801</v>
      </c>
      <c r="K10564" s="94" t="n">
        <v>30</v>
      </c>
      <c r="L10564" s="94" t="n">
        <v>200801</v>
      </c>
      <c r="M10564" s="94">
        <f>VLOOKUP($Q10564,매칭테이블!$F:$I,2,0)*K10564</f>
        <v/>
      </c>
      <c r="N10564" s="94">
        <f>M10564-M10564*VLOOKUP($Q10564,매칭테이블!$F:$I,3,0)</f>
        <v/>
      </c>
      <c r="O10564" s="94">
        <f>VLOOKUP($Q10564,매칭테이블!$F:$I,4,0)*K10564</f>
        <v/>
      </c>
      <c r="P10564" s="148">
        <f>M10564/1.1</f>
        <v/>
      </c>
      <c r="Q10564" s="94">
        <f>F10564&amp;E10564&amp;G10564&amp;L10564</f>
        <v/>
      </c>
    </row>
    <row r="10565" customFormat="1" s="94">
      <c r="B10565" s="128" t="n">
        <v>44136</v>
      </c>
      <c r="C10565" s="94">
        <f>TEXT(B10565,"aaa")</f>
        <v/>
      </c>
      <c r="E10565" s="94" t="inlineStr">
        <is>
          <t>토너</t>
        </is>
      </c>
      <c r="F10565" s="5" t="inlineStr">
        <is>
          <t>카페24</t>
        </is>
      </c>
      <c r="G10565" s="94" t="inlineStr">
        <is>
          <t>500ml</t>
        </is>
      </c>
      <c r="H10565" s="94" t="n">
        <v>200801</v>
      </c>
      <c r="I10565" s="94" t="n">
        <v>200801</v>
      </c>
      <c r="K10565" s="94" t="n">
        <v>41</v>
      </c>
      <c r="L10565" s="94" t="n">
        <v>200801</v>
      </c>
      <c r="M10565" s="94">
        <f>VLOOKUP($Q10565,매칭테이블!$F:$I,2,0)*K10565</f>
        <v/>
      </c>
      <c r="N10565" s="94">
        <f>M10565-M10565*VLOOKUP($Q10565,매칭테이블!$F:$I,3,0)</f>
        <v/>
      </c>
      <c r="O10565" s="94">
        <f>VLOOKUP($Q10565,매칭테이블!$F:$I,4,0)*K10565</f>
        <v/>
      </c>
      <c r="P10565" s="148">
        <f>M10565/1.1</f>
        <v/>
      </c>
      <c r="Q10565" s="94">
        <f>F10565&amp;E10565&amp;G10565&amp;L10565</f>
        <v/>
      </c>
    </row>
    <row r="10566" customFormat="1" s="94">
      <c r="B10566" s="128" t="n">
        <v>44136</v>
      </c>
      <c r="C10566" s="94">
        <f>TEXT(B10566,"aaa")</f>
        <v/>
      </c>
      <c r="E10566" s="94" t="inlineStr">
        <is>
          <t>토너</t>
        </is>
      </c>
      <c r="F10566" s="5" t="inlineStr">
        <is>
          <t>카페24</t>
        </is>
      </c>
      <c r="G10566" s="94" t="inlineStr">
        <is>
          <t>스킨팩 화장솜 60P</t>
        </is>
      </c>
      <c r="H10566" s="94" t="n">
        <v>200801</v>
      </c>
      <c r="I10566" s="94" t="n">
        <v>200801</v>
      </c>
      <c r="K10566" s="94" t="n">
        <v>33</v>
      </c>
      <c r="L10566" s="94" t="n">
        <v>200801</v>
      </c>
      <c r="M10566" s="94">
        <f>VLOOKUP($Q10566,매칭테이블!$F:$I,2,0)*K10566</f>
        <v/>
      </c>
      <c r="N10566" s="94">
        <f>M10566-M10566*VLOOKUP($Q10566,매칭테이블!$F:$I,3,0)</f>
        <v/>
      </c>
      <c r="O10566" s="94">
        <f>VLOOKUP($Q10566,매칭테이블!$F:$I,4,0)*K10566</f>
        <v/>
      </c>
      <c r="P10566" s="148">
        <f>M10566/1.1</f>
        <v/>
      </c>
      <c r="Q10566" s="94">
        <f>F10566&amp;E10566&amp;G10566&amp;L10566</f>
        <v/>
      </c>
    </row>
    <row r="10567" customFormat="1" s="94">
      <c r="B10567" s="128" t="n">
        <v>44136</v>
      </c>
      <c r="C10567" s="94">
        <f>TEXT(B10567,"aaa")</f>
        <v/>
      </c>
      <c r="E10567" s="94" t="inlineStr">
        <is>
          <t>앰플</t>
        </is>
      </c>
      <c r="F10567" s="5" t="inlineStr">
        <is>
          <t>카페24</t>
        </is>
      </c>
      <c r="G10567" s="94" t="inlineStr">
        <is>
          <t>앰플 30ml</t>
        </is>
      </c>
      <c r="H10567" s="94" t="n">
        <v>200801</v>
      </c>
      <c r="I10567" s="94" t="n">
        <v>200801</v>
      </c>
      <c r="K10567" s="94" t="n">
        <v>23</v>
      </c>
      <c r="L10567" s="94" t="n">
        <v>200801</v>
      </c>
      <c r="M10567" s="94">
        <f>VLOOKUP($Q10567,매칭테이블!$F:$I,2,0)*K10567</f>
        <v/>
      </c>
      <c r="N10567" s="94">
        <f>M10567-M10567*VLOOKUP($Q10567,매칭테이블!$F:$I,3,0)</f>
        <v/>
      </c>
      <c r="O10567" s="94">
        <f>VLOOKUP($Q10567,매칭테이블!$F:$I,4,0)*K10567</f>
        <v/>
      </c>
      <c r="P10567" s="148">
        <f>M10567/1.1</f>
        <v/>
      </c>
      <c r="Q10567" s="94">
        <f>F10567&amp;E10567&amp;G10567&amp;L10567</f>
        <v/>
      </c>
    </row>
    <row r="10568" customFormat="1" s="94">
      <c r="B10568" s="128" t="n">
        <v>44136</v>
      </c>
      <c r="C10568" s="94">
        <f>TEXT(B10568,"aaa")</f>
        <v/>
      </c>
      <c r="E10568" s="94" t="inlineStr">
        <is>
          <t>앰플</t>
        </is>
      </c>
      <c r="F10568" s="5" t="inlineStr">
        <is>
          <t>카페24</t>
        </is>
      </c>
      <c r="G10568" s="94" t="inlineStr">
        <is>
          <t>앰플 30ml  2set</t>
        </is>
      </c>
      <c r="H10568" s="94" t="n">
        <v>200801</v>
      </c>
      <c r="I10568" s="94" t="n">
        <v>200801</v>
      </c>
      <c r="K10568" s="94" t="n">
        <v>7</v>
      </c>
      <c r="L10568" s="94" t="n">
        <v>200801</v>
      </c>
      <c r="M10568" s="94">
        <f>VLOOKUP($Q10568,매칭테이블!$F:$I,2,0)*K10568</f>
        <v/>
      </c>
      <c r="N10568" s="94">
        <f>M10568-M10568*VLOOKUP($Q10568,매칭테이블!$F:$I,3,0)</f>
        <v/>
      </c>
      <c r="O10568" s="94">
        <f>VLOOKUP($Q10568,매칭테이블!$F:$I,4,0)*K10568</f>
        <v/>
      </c>
      <c r="P10568" s="148">
        <f>M10568/1.1</f>
        <v/>
      </c>
      <c r="Q10568" s="94">
        <f>F10568&amp;E10568&amp;G10568&amp;L10568</f>
        <v/>
      </c>
    </row>
    <row r="10569" customFormat="1" s="94">
      <c r="B10569" s="128" t="n">
        <v>44136</v>
      </c>
      <c r="C10569" s="94">
        <f>TEXT(B10569,"aaa")</f>
        <v/>
      </c>
      <c r="E10569" s="94" t="inlineStr">
        <is>
          <t>수딩크림</t>
        </is>
      </c>
      <c r="F10569" s="5" t="inlineStr">
        <is>
          <t>카페24</t>
        </is>
      </c>
      <c r="G10569" s="94" t="inlineStr">
        <is>
          <t>수딩크림 100ml</t>
        </is>
      </c>
      <c r="H10569" s="94" t="n">
        <v>200801</v>
      </c>
      <c r="I10569" s="94" t="n">
        <v>200801</v>
      </c>
      <c r="K10569" s="94" t="n">
        <v>5</v>
      </c>
      <c r="L10569" s="94" t="n">
        <v>200801</v>
      </c>
      <c r="M10569" s="94">
        <f>VLOOKUP($Q10569,매칭테이블!$F:$I,2,0)*K10569</f>
        <v/>
      </c>
      <c r="N10569" s="94">
        <f>M10569-M10569*VLOOKUP($Q10569,매칭테이블!$F:$I,3,0)</f>
        <v/>
      </c>
      <c r="O10569" s="94">
        <f>VLOOKUP($Q10569,매칭테이블!$F:$I,4,0)*K10569</f>
        <v/>
      </c>
      <c r="P10569" s="148">
        <f>M10569/1.1</f>
        <v/>
      </c>
      <c r="Q10569" s="94">
        <f>F10569&amp;E10569&amp;G10569&amp;L10569</f>
        <v/>
      </c>
    </row>
    <row r="10570" customFormat="1" s="94">
      <c r="B10570" s="128" t="n">
        <v>44136</v>
      </c>
      <c r="C10570" s="94">
        <f>TEXT(B10570,"aaa")</f>
        <v/>
      </c>
      <c r="E10570" s="94" t="inlineStr">
        <is>
          <t>클렌징폼</t>
        </is>
      </c>
      <c r="F10570" s="5" t="inlineStr">
        <is>
          <t>카페24</t>
        </is>
      </c>
      <c r="G10570" s="94" t="inlineStr">
        <is>
          <t>클렌징폼 120ml</t>
        </is>
      </c>
      <c r="H10570" s="94" t="n">
        <v>200801</v>
      </c>
      <c r="I10570" s="94" t="n">
        <v>200801</v>
      </c>
      <c r="K10570" s="94" t="n">
        <v>12</v>
      </c>
      <c r="L10570" s="94" t="n">
        <v>200801</v>
      </c>
      <c r="M10570" s="94">
        <f>VLOOKUP($Q10570,매칭테이블!$F:$I,2,0)*K10570</f>
        <v/>
      </c>
      <c r="N10570" s="94">
        <f>M10570-M10570*VLOOKUP($Q10570,매칭테이블!$F:$I,3,0)</f>
        <v/>
      </c>
      <c r="O10570" s="94">
        <f>VLOOKUP($Q10570,매칭테이블!$F:$I,4,0)*K10570</f>
        <v/>
      </c>
      <c r="P10570" s="148">
        <f>M10570/1.1</f>
        <v/>
      </c>
      <c r="Q10570" s="94">
        <f>F10570&amp;E10570&amp;G10570&amp;L10570</f>
        <v/>
      </c>
    </row>
    <row r="10571" customFormat="1" s="94">
      <c r="B10571" s="128" t="n">
        <v>44136</v>
      </c>
      <c r="C10571" s="94">
        <f>TEXT(B10571,"aaa")</f>
        <v/>
      </c>
      <c r="E10571" s="94" t="inlineStr">
        <is>
          <t>클렌징폼</t>
        </is>
      </c>
      <c r="F10571" s="5" t="inlineStr">
        <is>
          <t>카페24</t>
        </is>
      </c>
      <c r="G10571" s="94" t="inlineStr">
        <is>
          <t>클렌징폼 120ml 2set</t>
        </is>
      </c>
      <c r="H10571" s="94" t="n">
        <v>200801</v>
      </c>
      <c r="I10571" s="94" t="n">
        <v>200801</v>
      </c>
      <c r="K10571" s="94" t="n">
        <v>3</v>
      </c>
      <c r="L10571" s="94" t="n">
        <v>200801</v>
      </c>
      <c r="M10571" s="94">
        <f>VLOOKUP($Q10571,매칭테이블!$F:$I,2,0)*K10571</f>
        <v/>
      </c>
      <c r="N10571" s="94">
        <f>M10571-M10571*VLOOKUP($Q10571,매칭테이블!$F:$I,3,0)</f>
        <v/>
      </c>
      <c r="O10571" s="94">
        <f>VLOOKUP($Q10571,매칭테이블!$F:$I,4,0)*K10571</f>
        <v/>
      </c>
      <c r="P10571" s="148">
        <f>M10571/1.1</f>
        <v/>
      </c>
      <c r="Q10571" s="94">
        <f>F10571&amp;E10571&amp;G10571&amp;L10571</f>
        <v/>
      </c>
    </row>
    <row r="10572" customFormat="1" s="94">
      <c r="B10572" s="128" t="n">
        <v>44136</v>
      </c>
      <c r="C10572" s="94">
        <f>TEXT(B10572,"aaa")</f>
        <v/>
      </c>
      <c r="E10572" s="94" t="inlineStr">
        <is>
          <t>바디워시</t>
        </is>
      </c>
      <c r="F10572" s="5" t="inlineStr">
        <is>
          <t>카페24</t>
        </is>
      </c>
      <c r="G10572" s="94" t="inlineStr">
        <is>
          <t>바디워시 1개 -30% off</t>
        </is>
      </c>
      <c r="H10572" s="94" t="n">
        <v>200801</v>
      </c>
      <c r="I10572" s="94" t="n">
        <v>200801</v>
      </c>
      <c r="K10572" s="94" t="n">
        <v>3</v>
      </c>
      <c r="L10572" s="94" t="n">
        <v>200801</v>
      </c>
      <c r="M10572" s="94">
        <f>VLOOKUP($Q10572,매칭테이블!$F:$I,2,0)*K10572</f>
        <v/>
      </c>
      <c r="N10572" s="94">
        <f>M10572-M10572*VLOOKUP($Q10572,매칭테이블!$F:$I,3,0)</f>
        <v/>
      </c>
      <c r="O10572" s="94">
        <f>VLOOKUP($Q10572,매칭테이블!$F:$I,4,0)*K10572</f>
        <v/>
      </c>
      <c r="P10572" s="148">
        <f>M10572/1.1</f>
        <v/>
      </c>
      <c r="Q10572" s="94">
        <f>F10572&amp;E10572&amp;G10572&amp;L10572</f>
        <v/>
      </c>
    </row>
    <row r="10573" customFormat="1" s="94">
      <c r="B10573" s="128" t="n">
        <v>44136</v>
      </c>
      <c r="C10573" s="94">
        <f>TEXT(B10573,"aaa")</f>
        <v/>
      </c>
      <c r="E10573" s="94" t="inlineStr">
        <is>
          <t>토너</t>
        </is>
      </c>
      <c r="F10573" s="5" t="inlineStr">
        <is>
          <t>화해</t>
        </is>
      </c>
      <c r="G10573" s="94" t="inlineStr">
        <is>
          <t>250ml</t>
        </is>
      </c>
      <c r="H10573" s="94" t="n">
        <v>200801</v>
      </c>
      <c r="I10573" s="94" t="n">
        <v>200801</v>
      </c>
      <c r="K10573" s="94" t="n">
        <v>2</v>
      </c>
      <c r="L10573" s="94" t="n">
        <v>200801</v>
      </c>
      <c r="M10573" s="94">
        <f>VLOOKUP($Q10573,매칭테이블!$F:$I,2,0)*K10573</f>
        <v/>
      </c>
      <c r="N10573" s="94">
        <f>M10573-M10573*VLOOKUP($Q10573,매칭테이블!$F:$I,3,0)</f>
        <v/>
      </c>
      <c r="O10573" s="94">
        <f>VLOOKUP($Q10573,매칭테이블!$F:$I,4,0)*K10573</f>
        <v/>
      </c>
      <c r="P10573" s="148">
        <f>M10573/1.1</f>
        <v/>
      </c>
      <c r="Q10573" s="94">
        <f>F10573&amp;E10573&amp;G10573&amp;L10573</f>
        <v/>
      </c>
    </row>
    <row r="10574" customFormat="1" s="94">
      <c r="B10574" s="128" t="n">
        <v>44137</v>
      </c>
      <c r="C10574" s="94">
        <f>TEXT(B10574,"aaa")</f>
        <v/>
      </c>
      <c r="E10574" s="94" t="inlineStr">
        <is>
          <t>토너</t>
        </is>
      </c>
      <c r="F10574" s="5" t="inlineStr">
        <is>
          <t>W컨셉</t>
        </is>
      </c>
      <c r="G10574" s="94" t="inlineStr">
        <is>
          <t>250ml</t>
        </is>
      </c>
      <c r="H10574" s="94" t="n">
        <v>200801</v>
      </c>
      <c r="I10574" s="94" t="n">
        <v>200801</v>
      </c>
      <c r="K10574" s="94" t="n">
        <v>4</v>
      </c>
      <c r="L10574" s="94" t="n">
        <v>200801</v>
      </c>
      <c r="M10574" s="94">
        <f>VLOOKUP($Q10574,매칭테이블!$F:$I,2,0)*K10574</f>
        <v/>
      </c>
      <c r="N10574" s="94">
        <f>M10574-M10574*VLOOKUP($Q10574,매칭테이블!$F:$I,3,0)</f>
        <v/>
      </c>
      <c r="O10574" s="94">
        <f>VLOOKUP($Q10574,매칭테이블!$F:$I,4,0)*K10574</f>
        <v/>
      </c>
      <c r="P10574" s="148">
        <f>M10574/1.1</f>
        <v/>
      </c>
      <c r="Q10574" s="94">
        <f>F10574&amp;E10574&amp;G10574&amp;L10574</f>
        <v/>
      </c>
    </row>
    <row r="10575" customFormat="1" s="94">
      <c r="B10575" s="128" t="n">
        <v>44137</v>
      </c>
      <c r="C10575" s="94">
        <f>TEXT(B10575,"aaa")</f>
        <v/>
      </c>
      <c r="E10575" s="94" t="inlineStr">
        <is>
          <t>토너</t>
        </is>
      </c>
      <c r="F10575" s="5" t="inlineStr">
        <is>
          <t>W컨셉</t>
        </is>
      </c>
      <c r="G10575" s="94" t="inlineStr">
        <is>
          <t>250ml 2set</t>
        </is>
      </c>
      <c r="H10575" s="94" t="n">
        <v>200801</v>
      </c>
      <c r="I10575" s="94" t="n">
        <v>200801</v>
      </c>
      <c r="K10575" s="94" t="n">
        <v>20</v>
      </c>
      <c r="L10575" s="94" t="n">
        <v>200801</v>
      </c>
      <c r="M10575" s="94">
        <f>VLOOKUP($Q10575,매칭테이블!$F:$I,2,0)*K10575</f>
        <v/>
      </c>
      <c r="N10575" s="94">
        <f>M10575-M10575*VLOOKUP($Q10575,매칭테이블!$F:$I,3,0)</f>
        <v/>
      </c>
      <c r="O10575" s="94">
        <f>VLOOKUP($Q10575,매칭테이블!$F:$I,4,0)*K10575</f>
        <v/>
      </c>
      <c r="P10575" s="148">
        <f>M10575/1.1</f>
        <v/>
      </c>
      <c r="Q10575" s="94">
        <f>F10575&amp;E10575&amp;G10575&amp;L10575</f>
        <v/>
      </c>
    </row>
    <row r="10576" customFormat="1" s="94">
      <c r="B10576" s="128" t="n">
        <v>44137</v>
      </c>
      <c r="C10576" s="94">
        <f>TEXT(B10576,"aaa")</f>
        <v/>
      </c>
      <c r="E10576" s="94" t="inlineStr">
        <is>
          <t>토너</t>
        </is>
      </c>
      <c r="F10576" s="5" t="inlineStr">
        <is>
          <t>스타일쉐어</t>
        </is>
      </c>
      <c r="G10576" s="94" t="inlineStr">
        <is>
          <t>250ml</t>
        </is>
      </c>
      <c r="H10576" s="94" t="n">
        <v>200801</v>
      </c>
      <c r="I10576" s="94" t="n">
        <v>200801</v>
      </c>
      <c r="K10576" s="94" t="n">
        <v>5</v>
      </c>
      <c r="L10576" s="94" t="n">
        <v>200801</v>
      </c>
      <c r="M10576" s="94">
        <f>VLOOKUP($Q10576,매칭테이블!$F:$I,2,0)*K10576</f>
        <v/>
      </c>
      <c r="N10576" s="94">
        <f>M10576-M10576*VLOOKUP($Q10576,매칭테이블!$F:$I,3,0)</f>
        <v/>
      </c>
      <c r="O10576" s="94">
        <f>VLOOKUP($Q10576,매칭테이블!$F:$I,4,0)*K10576</f>
        <v/>
      </c>
      <c r="P10576" s="148">
        <f>M10576/1.1</f>
        <v/>
      </c>
      <c r="Q10576" s="94">
        <f>F10576&amp;E10576&amp;G10576&amp;L10576</f>
        <v/>
      </c>
    </row>
    <row r="10577" customFormat="1" s="94">
      <c r="B10577" s="128" t="n">
        <v>44137</v>
      </c>
      <c r="C10577" s="94">
        <f>TEXT(B10577,"aaa")</f>
        <v/>
      </c>
      <c r="E10577" s="94" t="inlineStr">
        <is>
          <t>로션</t>
        </is>
      </c>
      <c r="F10577" s="5" t="inlineStr">
        <is>
          <t>아누아 CS</t>
        </is>
      </c>
      <c r="G10577" s="94" t="inlineStr">
        <is>
          <t>로션 200ml</t>
        </is>
      </c>
      <c r="H10577" s="94" t="n">
        <v>200801</v>
      </c>
      <c r="I10577" s="94" t="n">
        <v>200801</v>
      </c>
      <c r="K10577" s="94" t="n">
        <v>1</v>
      </c>
      <c r="L10577" s="94" t="n">
        <v>200801</v>
      </c>
      <c r="M10577" s="94">
        <f>VLOOKUP($Q10577,매칭테이블!$F:$I,2,0)*K10577</f>
        <v/>
      </c>
      <c r="N10577" s="94">
        <f>M10577-M10577*VLOOKUP($Q10577,매칭테이블!$F:$I,3,0)</f>
        <v/>
      </c>
      <c r="O10577" s="94">
        <f>VLOOKUP($Q10577,매칭테이블!$F:$I,4,0)*K10577</f>
        <v/>
      </c>
      <c r="P10577" s="148">
        <f>M10577/1.1</f>
        <v/>
      </c>
      <c r="Q10577" s="94">
        <f>F10577&amp;E10577&amp;G10577&amp;L10577</f>
        <v/>
      </c>
    </row>
    <row r="10578" customFormat="1" s="94">
      <c r="B10578" s="128" t="n">
        <v>44137</v>
      </c>
      <c r="C10578" s="94">
        <f>TEXT(B10578,"aaa")</f>
        <v/>
      </c>
      <c r="E10578" s="94" t="inlineStr">
        <is>
          <t>클리어 패드</t>
        </is>
      </c>
      <c r="F10578" s="5" t="inlineStr">
        <is>
          <t>아누아 CS</t>
        </is>
      </c>
      <c r="G10578" s="94" t="inlineStr">
        <is>
          <t>어성초 클리어패드 70P</t>
        </is>
      </c>
      <c r="H10578" s="94" t="n">
        <v>200801</v>
      </c>
      <c r="I10578" s="94" t="n">
        <v>200801</v>
      </c>
      <c r="K10578" s="94" t="n">
        <v>1</v>
      </c>
      <c r="L10578" s="94" t="n">
        <v>200801</v>
      </c>
      <c r="M10578" s="94">
        <f>VLOOKUP($Q10578,매칭테이블!$F:$I,2,0)*K10578</f>
        <v/>
      </c>
      <c r="N10578" s="94">
        <f>M10578-M10578*VLOOKUP($Q10578,매칭테이블!$F:$I,3,0)</f>
        <v/>
      </c>
      <c r="O10578" s="94">
        <f>VLOOKUP($Q10578,매칭테이블!$F:$I,4,0)*K10578</f>
        <v/>
      </c>
      <c r="P10578" s="148">
        <f>M10578/1.1</f>
        <v/>
      </c>
      <c r="Q10578" s="94">
        <f>F10578&amp;E10578&amp;G10578&amp;L10578</f>
        <v/>
      </c>
    </row>
    <row r="10579" customFormat="1" s="94">
      <c r="B10579" s="128" t="n">
        <v>44137</v>
      </c>
      <c r="C10579" s="94">
        <f>TEXT(B10579,"aaa")</f>
        <v/>
      </c>
      <c r="E10579" s="94" t="inlineStr">
        <is>
          <t>바디워시</t>
        </is>
      </c>
      <c r="F10579" s="5" t="inlineStr">
        <is>
          <t>아누아 CS</t>
        </is>
      </c>
      <c r="G10579" s="94" t="inlineStr">
        <is>
          <t>바디워시 500ml</t>
        </is>
      </c>
      <c r="H10579" s="94" t="n">
        <v>200801</v>
      </c>
      <c r="I10579" s="94" t="n">
        <v>200801</v>
      </c>
      <c r="K10579" s="94" t="n">
        <v>1</v>
      </c>
      <c r="L10579" s="94" t="n">
        <v>200801</v>
      </c>
      <c r="M10579" s="94">
        <f>VLOOKUP($Q10579,매칭테이블!$F:$I,2,0)*K10579</f>
        <v/>
      </c>
      <c r="N10579" s="94">
        <f>M10579-M10579*VLOOKUP($Q10579,매칭테이블!$F:$I,3,0)</f>
        <v/>
      </c>
      <c r="O10579" s="94">
        <f>VLOOKUP($Q10579,매칭테이블!$F:$I,4,0)*K10579</f>
        <v/>
      </c>
      <c r="P10579" s="148">
        <f>M10579/1.1</f>
        <v/>
      </c>
      <c r="Q10579" s="94">
        <f>F10579&amp;E10579&amp;G10579&amp;L10579</f>
        <v/>
      </c>
    </row>
    <row r="10580" customFormat="1" s="94">
      <c r="B10580" s="128" t="n">
        <v>44137</v>
      </c>
      <c r="C10580" s="94">
        <f>TEXT(B10580,"aaa")</f>
        <v/>
      </c>
      <c r="E10580" s="94" t="inlineStr">
        <is>
          <t>토너</t>
        </is>
      </c>
      <c r="F10580" s="5" t="inlineStr">
        <is>
          <t>아누아 CS</t>
        </is>
      </c>
      <c r="G10580" s="94" t="inlineStr">
        <is>
          <t>250ml</t>
        </is>
      </c>
      <c r="H10580" s="94" t="n">
        <v>200801</v>
      </c>
      <c r="I10580" s="94" t="n">
        <v>200801</v>
      </c>
      <c r="K10580" s="94" t="n">
        <v>4</v>
      </c>
      <c r="L10580" s="94" t="n">
        <v>200801</v>
      </c>
      <c r="M10580" s="94">
        <f>VLOOKUP($Q10580,매칭테이블!$F:$I,2,0)*K10580</f>
        <v/>
      </c>
      <c r="N10580" s="94">
        <f>M10580-M10580*VLOOKUP($Q10580,매칭테이블!$F:$I,3,0)</f>
        <v/>
      </c>
      <c r="O10580" s="94">
        <f>VLOOKUP($Q10580,매칭테이블!$F:$I,4,0)*K10580</f>
        <v/>
      </c>
      <c r="P10580" s="148">
        <f>M10580/1.1</f>
        <v/>
      </c>
      <c r="Q10580" s="94">
        <f>F10580&amp;E10580&amp;G10580&amp;L10580</f>
        <v/>
      </c>
    </row>
    <row r="10581" customFormat="1" s="94">
      <c r="B10581" s="128" t="n">
        <v>44137</v>
      </c>
      <c r="C10581" s="94">
        <f>TEXT(B10581,"aaa")</f>
        <v/>
      </c>
      <c r="E10581" s="94" t="inlineStr">
        <is>
          <t>토너</t>
        </is>
      </c>
      <c r="F10581" s="5" t="inlineStr">
        <is>
          <t>아누아 CS</t>
        </is>
      </c>
      <c r="G10581" s="94" t="inlineStr">
        <is>
          <t>500ml</t>
        </is>
      </c>
      <c r="H10581" s="94" t="n">
        <v>200801</v>
      </c>
      <c r="I10581" s="94" t="n">
        <v>200801</v>
      </c>
      <c r="K10581" s="94" t="n">
        <v>3</v>
      </c>
      <c r="L10581" s="94" t="n">
        <v>200801</v>
      </c>
      <c r="M10581" s="94">
        <f>VLOOKUP($Q10581,매칭테이블!$F:$I,2,0)*K10581</f>
        <v/>
      </c>
      <c r="N10581" s="94">
        <f>M10581-M10581*VLOOKUP($Q10581,매칭테이블!$F:$I,3,0)</f>
        <v/>
      </c>
      <c r="O10581" s="94">
        <f>VLOOKUP($Q10581,매칭테이블!$F:$I,4,0)*K10581</f>
        <v/>
      </c>
      <c r="P10581" s="148">
        <f>M10581/1.1</f>
        <v/>
      </c>
      <c r="Q10581" s="94">
        <f>F10581&amp;E10581&amp;G10581&amp;L10581</f>
        <v/>
      </c>
    </row>
    <row r="10582" customFormat="1" s="94">
      <c r="B10582" s="128" t="n">
        <v>44137</v>
      </c>
      <c r="C10582" s="94">
        <f>TEXT(B10582,"aaa")</f>
        <v/>
      </c>
      <c r="E10582" s="94" t="inlineStr">
        <is>
          <t>화장솜</t>
        </is>
      </c>
      <c r="F10582" s="5" t="inlineStr">
        <is>
          <t>아누아 CS</t>
        </is>
      </c>
      <c r="G10582" s="94" t="inlineStr">
        <is>
          <t>스킨팩 화장솜 60P</t>
        </is>
      </c>
      <c r="H10582" s="94" t="n">
        <v>200801</v>
      </c>
      <c r="I10582" s="94" t="n">
        <v>200801</v>
      </c>
      <c r="K10582" s="94" t="n">
        <v>1</v>
      </c>
      <c r="L10582" s="94" t="n">
        <v>200801</v>
      </c>
      <c r="M10582" s="94">
        <f>VLOOKUP($Q10582,매칭테이블!$F:$I,2,0)*K10582</f>
        <v/>
      </c>
      <c r="N10582" s="94">
        <f>M10582-M10582*VLOOKUP($Q10582,매칭테이블!$F:$I,3,0)</f>
        <v/>
      </c>
      <c r="O10582" s="94">
        <f>VLOOKUP($Q10582,매칭테이블!$F:$I,4,0)*K10582</f>
        <v/>
      </c>
      <c r="P10582" s="148">
        <f>M10582/1.1</f>
        <v/>
      </c>
      <c r="Q10582" s="94">
        <f>F10582&amp;E10582&amp;G10582&amp;L10582</f>
        <v/>
      </c>
    </row>
    <row r="10583" customFormat="1" s="94">
      <c r="B10583" s="128" t="n">
        <v>44137</v>
      </c>
      <c r="C10583" s="94">
        <f>TEXT(B10583,"aaa")</f>
        <v/>
      </c>
      <c r="E10583" s="94" t="inlineStr">
        <is>
          <t>앰플</t>
        </is>
      </c>
      <c r="F10583" s="5" t="inlineStr">
        <is>
          <t>아누아 CS</t>
        </is>
      </c>
      <c r="G10583" s="94" t="inlineStr">
        <is>
          <t>앰플 30ml</t>
        </is>
      </c>
      <c r="H10583" s="94" t="n">
        <v>200801</v>
      </c>
      <c r="I10583" s="94" t="n">
        <v>200801</v>
      </c>
      <c r="K10583" s="94" t="n">
        <v>1</v>
      </c>
      <c r="L10583" s="94" t="n">
        <v>200801</v>
      </c>
      <c r="M10583" s="94">
        <f>VLOOKUP($Q10583,매칭테이블!$F:$I,2,0)*K10583</f>
        <v/>
      </c>
      <c r="N10583" s="94">
        <f>M10583-M10583*VLOOKUP($Q10583,매칭테이블!$F:$I,3,0)</f>
        <v/>
      </c>
      <c r="O10583" s="94">
        <f>VLOOKUP($Q10583,매칭테이블!$F:$I,4,0)*K10583</f>
        <v/>
      </c>
      <c r="P10583" s="148">
        <f>M10583/1.1</f>
        <v/>
      </c>
      <c r="Q10583" s="94">
        <f>F10583&amp;E10583&amp;G10583&amp;L10583</f>
        <v/>
      </c>
    </row>
    <row r="10584" customFormat="1" s="94">
      <c r="B10584" s="128" t="n">
        <v>44137</v>
      </c>
      <c r="C10584" s="94">
        <f>TEXT(B10584,"aaa")</f>
        <v/>
      </c>
      <c r="E10584" s="94" t="inlineStr">
        <is>
          <t>마스크팩</t>
        </is>
      </c>
      <c r="F10584" s="5" t="inlineStr">
        <is>
          <t>아누아 CS</t>
        </is>
      </c>
      <c r="G10584" s="94" t="inlineStr">
        <is>
          <t>마스크팩 10매</t>
        </is>
      </c>
      <c r="H10584" s="94" t="n">
        <v>200801</v>
      </c>
      <c r="I10584" s="94" t="n">
        <v>200801</v>
      </c>
      <c r="K10584" s="94" t="n">
        <v>1</v>
      </c>
      <c r="L10584" s="94" t="n">
        <v>200801</v>
      </c>
      <c r="M10584" s="94">
        <f>VLOOKUP($Q10584,매칭테이블!$F:$I,2,0)*K10584</f>
        <v/>
      </c>
      <c r="N10584" s="94">
        <f>M10584-M10584*VLOOKUP($Q10584,매칭테이블!$F:$I,3,0)</f>
        <v/>
      </c>
      <c r="O10584" s="94">
        <f>VLOOKUP($Q10584,매칭테이블!$F:$I,4,0)*K10584</f>
        <v/>
      </c>
      <c r="P10584" s="148">
        <f>M10584/1.1</f>
        <v/>
      </c>
      <c r="Q10584" s="94">
        <f>F10584&amp;E10584&amp;G10584&amp;L10584</f>
        <v/>
      </c>
    </row>
    <row r="10585" customFormat="1" s="94">
      <c r="B10585" s="128" t="n">
        <v>44137</v>
      </c>
      <c r="C10585" s="94">
        <f>TEXT(B10585,"aaa")</f>
        <v/>
      </c>
      <c r="E10585" s="94" t="inlineStr">
        <is>
          <t>클렌징폼</t>
        </is>
      </c>
      <c r="F10585" s="5" t="inlineStr">
        <is>
          <t>아누아 CS</t>
        </is>
      </c>
      <c r="G10585" s="94" t="inlineStr">
        <is>
          <t>클렌징폼 120ml</t>
        </is>
      </c>
      <c r="H10585" s="94" t="n">
        <v>200801</v>
      </c>
      <c r="I10585" s="94" t="n">
        <v>200801</v>
      </c>
      <c r="K10585" s="94" t="n">
        <v>1</v>
      </c>
      <c r="L10585" s="94" t="n">
        <v>200801</v>
      </c>
      <c r="M10585" s="94">
        <f>VLOOKUP($Q10585,매칭테이블!$F:$I,2,0)*K10585</f>
        <v/>
      </c>
      <c r="N10585" s="94">
        <f>M10585-M10585*VLOOKUP($Q10585,매칭테이블!$F:$I,3,0)</f>
        <v/>
      </c>
      <c r="O10585" s="94">
        <f>VLOOKUP($Q10585,매칭테이블!$F:$I,4,0)*K10585</f>
        <v/>
      </c>
      <c r="P10585" s="148">
        <f>M10585/1.1</f>
        <v/>
      </c>
      <c r="Q10585" s="94">
        <f>F10585&amp;E10585&amp;G10585&amp;L10585</f>
        <v/>
      </c>
    </row>
    <row r="10586" customFormat="1" s="94">
      <c r="B10586" s="128" t="n">
        <v>44137</v>
      </c>
      <c r="C10586" s="94">
        <f>TEXT(B10586,"aaa")</f>
        <v/>
      </c>
      <c r="E10586" s="94" t="inlineStr">
        <is>
          <t>머드크림마스크</t>
        </is>
      </c>
      <c r="F10586" s="5" t="inlineStr">
        <is>
          <t>아누아 CS</t>
        </is>
      </c>
      <c r="G10586" s="94" t="inlineStr">
        <is>
          <t>머드크림마스크 100ml</t>
        </is>
      </c>
      <c r="H10586" s="94" t="n">
        <v>200801</v>
      </c>
      <c r="I10586" s="94" t="n">
        <v>200801</v>
      </c>
      <c r="K10586" s="94" t="n">
        <v>1</v>
      </c>
      <c r="L10586" s="94" t="n">
        <v>200801</v>
      </c>
      <c r="M10586" s="94">
        <f>VLOOKUP($Q10586,매칭테이블!$F:$I,2,0)*K10586</f>
        <v/>
      </c>
      <c r="N10586" s="94">
        <f>M10586-M10586*VLOOKUP($Q10586,매칭테이블!$F:$I,3,0)</f>
        <v/>
      </c>
      <c r="O10586" s="94">
        <f>VLOOKUP($Q10586,매칭테이블!$F:$I,4,0)*K10586</f>
        <v/>
      </c>
      <c r="P10586" s="148">
        <f>M10586/1.1</f>
        <v/>
      </c>
      <c r="Q10586" s="94">
        <f>F10586&amp;E10586&amp;G10586&amp;L10586</f>
        <v/>
      </c>
    </row>
    <row r="10587" customFormat="1" s="94">
      <c r="B10587" s="128" t="n">
        <v>44137</v>
      </c>
      <c r="C10587" s="94">
        <f>TEXT(B10587,"aaa")</f>
        <v/>
      </c>
      <c r="E10587" s="94" t="inlineStr">
        <is>
          <t>선크림</t>
        </is>
      </c>
      <c r="F10587" s="5" t="inlineStr">
        <is>
          <t>카페24</t>
        </is>
      </c>
      <c r="G10587" s="94" t="inlineStr">
        <is>
          <t>선크림 50ml</t>
        </is>
      </c>
      <c r="H10587" s="94" t="n">
        <v>200801</v>
      </c>
      <c r="I10587" s="94" t="n">
        <v>200801</v>
      </c>
      <c r="K10587" s="94" t="n">
        <v>2</v>
      </c>
      <c r="L10587" s="94" t="n">
        <v>200801</v>
      </c>
      <c r="M10587" s="94">
        <f>VLOOKUP($Q10587,매칭테이블!$F:$I,2,0)*K10587</f>
        <v/>
      </c>
      <c r="N10587" s="94">
        <f>M10587-M10587*VLOOKUP($Q10587,매칭테이블!$F:$I,3,0)</f>
        <v/>
      </c>
      <c r="O10587" s="94">
        <f>VLOOKUP($Q10587,매칭테이블!$F:$I,4,0)*K10587</f>
        <v/>
      </c>
      <c r="P10587" s="148">
        <f>M10587/1.1</f>
        <v/>
      </c>
      <c r="Q10587" s="94">
        <f>F10587&amp;E10587&amp;G10587&amp;L10587</f>
        <v/>
      </c>
    </row>
    <row r="10588" customFormat="1" s="94">
      <c r="B10588" s="128" t="n">
        <v>44137</v>
      </c>
      <c r="C10588" s="94">
        <f>TEXT(B10588,"aaa")</f>
        <v/>
      </c>
      <c r="E10588" s="94" t="inlineStr">
        <is>
          <t>어성초진정패키지</t>
        </is>
      </c>
      <c r="F10588" s="5" t="inlineStr">
        <is>
          <t>카페24</t>
        </is>
      </c>
      <c r="G10588" s="94" t="inlineStr">
        <is>
          <t>어성초 진정패키지세트</t>
        </is>
      </c>
      <c r="H10588" s="94" t="n">
        <v>200801</v>
      </c>
      <c r="I10588" s="94" t="n">
        <v>200801</v>
      </c>
      <c r="K10588" s="94" t="n">
        <v>3</v>
      </c>
      <c r="L10588" s="94" t="n">
        <v>200801</v>
      </c>
      <c r="M10588" s="94">
        <f>VLOOKUP($Q10588,매칭테이블!$F:$I,2,0)*K10588</f>
        <v/>
      </c>
      <c r="N10588" s="94">
        <f>M10588-M10588*VLOOKUP($Q10588,매칭테이블!$F:$I,3,0)</f>
        <v/>
      </c>
      <c r="O10588" s="94">
        <f>VLOOKUP($Q10588,매칭테이블!$F:$I,4,0)*K10588</f>
        <v/>
      </c>
      <c r="P10588" s="148">
        <f>M10588/1.1</f>
        <v/>
      </c>
      <c r="Q10588" s="94">
        <f>F10588&amp;E10588&amp;G10588&amp;L10588</f>
        <v/>
      </c>
    </row>
    <row r="10589" customFormat="1" s="94">
      <c r="B10589" s="128" t="n">
        <v>44137</v>
      </c>
      <c r="C10589" s="94">
        <f>TEXT(B10589,"aaa")</f>
        <v/>
      </c>
      <c r="E10589" s="94" t="inlineStr">
        <is>
          <t>클리어 패드</t>
        </is>
      </c>
      <c r="F10589" s="5" t="inlineStr">
        <is>
          <t>카페24</t>
        </is>
      </c>
      <c r="G10589" s="94" t="inlineStr">
        <is>
          <t>어성초 77 클리어 패드 1개-20% off</t>
        </is>
      </c>
      <c r="H10589" s="94" t="n">
        <v>200801</v>
      </c>
      <c r="I10589" s="94" t="n">
        <v>200801</v>
      </c>
      <c r="K10589" s="94" t="n">
        <v>32</v>
      </c>
      <c r="L10589" s="94" t="n">
        <v>200801</v>
      </c>
      <c r="M10589" s="94">
        <f>VLOOKUP($Q10589,매칭테이블!$F:$I,2,0)*K10589</f>
        <v/>
      </c>
      <c r="N10589" s="94">
        <f>M10589-M10589*VLOOKUP($Q10589,매칭테이블!$F:$I,3,0)</f>
        <v/>
      </c>
      <c r="O10589" s="94">
        <f>VLOOKUP($Q10589,매칭테이블!$F:$I,4,0)*K10589</f>
        <v/>
      </c>
      <c r="P10589" s="148">
        <f>M10589/1.1</f>
        <v/>
      </c>
      <c r="Q10589" s="94">
        <f>F10589&amp;E10589&amp;G10589&amp;L10589</f>
        <v/>
      </c>
    </row>
    <row r="10590" customFormat="1" s="94">
      <c r="B10590" s="128" t="n">
        <v>44137</v>
      </c>
      <c r="C10590" s="94">
        <f>TEXT(B10590,"aaa")</f>
        <v/>
      </c>
      <c r="E10590" s="94" t="inlineStr">
        <is>
          <t>클리어 패드</t>
        </is>
      </c>
      <c r="F10590" s="5" t="inlineStr">
        <is>
          <t>카페24</t>
        </is>
      </c>
      <c r="G10590" s="94" t="inlineStr">
        <is>
          <t>어성초 77 클리어 패드 2개-30% off</t>
        </is>
      </c>
      <c r="H10590" s="94" t="n">
        <v>200801</v>
      </c>
      <c r="I10590" s="94" t="n">
        <v>200801</v>
      </c>
      <c r="K10590" s="94" t="n">
        <v>29</v>
      </c>
      <c r="L10590" s="94" t="n">
        <v>200801</v>
      </c>
      <c r="M10590" s="94">
        <f>VLOOKUP($Q10590,매칭테이블!$F:$I,2,0)*K10590</f>
        <v/>
      </c>
      <c r="N10590" s="94">
        <f>M10590-M10590*VLOOKUP($Q10590,매칭테이블!$F:$I,3,0)</f>
        <v/>
      </c>
      <c r="O10590" s="94">
        <f>VLOOKUP($Q10590,매칭테이블!$F:$I,4,0)*K10590</f>
        <v/>
      </c>
      <c r="P10590" s="148">
        <f>M10590/1.1</f>
        <v/>
      </c>
      <c r="Q10590" s="94">
        <f>F10590&amp;E10590&amp;G10590&amp;L10590</f>
        <v/>
      </c>
    </row>
    <row r="10591" customFormat="1" s="94">
      <c r="B10591" s="128" t="n">
        <v>44137</v>
      </c>
      <c r="C10591" s="94">
        <f>TEXT(B10591,"aaa")</f>
        <v/>
      </c>
      <c r="E10591" s="94" t="inlineStr">
        <is>
          <t>토너+패드 세트</t>
        </is>
      </c>
      <c r="F10591" s="5" t="inlineStr">
        <is>
          <t>카페24</t>
        </is>
      </c>
      <c r="G10591" s="94" t="inlineStr">
        <is>
          <t>좁쌀 진정 세트 토너+클리어 패드-30% off</t>
        </is>
      </c>
      <c r="H10591" s="94" t="n">
        <v>200801</v>
      </c>
      <c r="I10591" s="94" t="n">
        <v>200801</v>
      </c>
      <c r="K10591" s="94" t="n">
        <v>25</v>
      </c>
      <c r="L10591" s="94" t="n">
        <v>200801</v>
      </c>
      <c r="M10591" s="94">
        <f>VLOOKUP($Q10591,매칭테이블!$F:$I,2,0)*K10591</f>
        <v/>
      </c>
      <c r="N10591" s="94">
        <f>M10591-M10591*VLOOKUP($Q10591,매칭테이블!$F:$I,3,0)</f>
        <v/>
      </c>
      <c r="O10591" s="94">
        <f>VLOOKUP($Q10591,매칭테이블!$F:$I,4,0)*K10591</f>
        <v/>
      </c>
      <c r="P10591" s="148">
        <f>M10591/1.1</f>
        <v/>
      </c>
      <c r="Q10591" s="94">
        <f>F10591&amp;E10591&amp;G10591&amp;L10591</f>
        <v/>
      </c>
    </row>
    <row r="10592" customFormat="1" s="94">
      <c r="B10592" s="128" t="n">
        <v>44137</v>
      </c>
      <c r="C10592" s="94">
        <f>TEXT(B10592,"aaa")</f>
        <v/>
      </c>
      <c r="E10592" s="94" t="inlineStr">
        <is>
          <t>수분 보충 세트</t>
        </is>
      </c>
      <c r="F10592" s="5" t="inlineStr">
        <is>
          <t>카페24</t>
        </is>
      </c>
      <c r="G10592" s="94" t="inlineStr">
        <is>
          <t>[20/09/28 부터] 어성초 77 토너 250ml + 어성초 70 로션 200ml -30%</t>
        </is>
      </c>
      <c r="H10592" s="94" t="n">
        <v>200801</v>
      </c>
      <c r="I10592" s="94" t="n">
        <v>200801</v>
      </c>
      <c r="K10592" s="94" t="n">
        <v>32</v>
      </c>
      <c r="L10592" s="94" t="n">
        <v>200801</v>
      </c>
      <c r="M10592" s="94">
        <f>VLOOKUP($Q10592,매칭테이블!$F:$I,2,0)*K10592</f>
        <v/>
      </c>
      <c r="N10592" s="94">
        <f>M10592-M10592*VLOOKUP($Q10592,매칭테이블!$F:$I,3,0)</f>
        <v/>
      </c>
      <c r="O10592" s="94">
        <f>VLOOKUP($Q10592,매칭테이블!$F:$I,4,0)*K10592</f>
        <v/>
      </c>
      <c r="P10592" s="148">
        <f>M10592/1.1</f>
        <v/>
      </c>
      <c r="Q10592" s="94">
        <f>F10592&amp;E10592&amp;G10592&amp;L10592</f>
        <v/>
      </c>
    </row>
    <row r="10593" customFormat="1" s="94">
      <c r="B10593" s="128" t="n">
        <v>44137</v>
      </c>
      <c r="C10593" s="94">
        <f>TEXT(B10593,"aaa")</f>
        <v/>
      </c>
      <c r="E10593" s="94" t="inlineStr">
        <is>
          <t>로션</t>
        </is>
      </c>
      <c r="F10593" s="5" t="inlineStr">
        <is>
          <t>카페24</t>
        </is>
      </c>
      <c r="G10593" s="94" t="inlineStr">
        <is>
          <t>어성초 70 데일리 릴리프 로션 1개 -20% off</t>
        </is>
      </c>
      <c r="H10593" s="94" t="n">
        <v>200801</v>
      </c>
      <c r="I10593" s="94" t="n">
        <v>200801</v>
      </c>
      <c r="K10593" s="94" t="n">
        <v>10</v>
      </c>
      <c r="L10593" s="94" t="n">
        <v>200801</v>
      </c>
      <c r="M10593" s="94">
        <f>VLOOKUP($Q10593,매칭테이블!$F:$I,2,0)*K10593</f>
        <v/>
      </c>
      <c r="N10593" s="94">
        <f>M10593-M10593*VLOOKUP($Q10593,매칭테이블!$F:$I,3,0)</f>
        <v/>
      </c>
      <c r="O10593" s="94">
        <f>VLOOKUP($Q10593,매칭테이블!$F:$I,4,0)*K10593</f>
        <v/>
      </c>
      <c r="P10593" s="148">
        <f>M10593/1.1</f>
        <v/>
      </c>
      <c r="Q10593" s="94">
        <f>F10593&amp;E10593&amp;G10593&amp;L10593</f>
        <v/>
      </c>
    </row>
    <row r="10594" customFormat="1" s="94">
      <c r="B10594" s="128" t="n">
        <v>44137</v>
      </c>
      <c r="C10594" s="94">
        <f>TEXT(B10594,"aaa")</f>
        <v/>
      </c>
      <c r="E10594" s="94" t="inlineStr">
        <is>
          <t>로션</t>
        </is>
      </c>
      <c r="F10594" s="5" t="inlineStr">
        <is>
          <t>카페24</t>
        </is>
      </c>
      <c r="G10594" s="94" t="inlineStr">
        <is>
          <t>어성초 70 데일리 릴리프 로션 2개 -30% off</t>
        </is>
      </c>
      <c r="H10594" s="94" t="n">
        <v>200801</v>
      </c>
      <c r="I10594" s="94" t="n">
        <v>200801</v>
      </c>
      <c r="K10594" s="94" t="n">
        <v>1</v>
      </c>
      <c r="L10594" s="94" t="n">
        <v>200801</v>
      </c>
      <c r="M10594" s="94">
        <f>VLOOKUP($Q10594,매칭테이블!$F:$I,2,0)*K10594</f>
        <v/>
      </c>
      <c r="N10594" s="94">
        <f>M10594-M10594*VLOOKUP($Q10594,매칭테이블!$F:$I,3,0)</f>
        <v/>
      </c>
      <c r="O10594" s="94">
        <f>VLOOKUP($Q10594,매칭테이블!$F:$I,4,0)*K10594</f>
        <v/>
      </c>
      <c r="P10594" s="148">
        <f>M10594/1.1</f>
        <v/>
      </c>
      <c r="Q10594" s="94">
        <f>F10594&amp;E10594&amp;G10594&amp;L10594</f>
        <v/>
      </c>
    </row>
    <row r="10595" customFormat="1" s="94">
      <c r="B10595" s="128" t="n">
        <v>44137</v>
      </c>
      <c r="C10595" s="94">
        <f>TEXT(B10595,"aaa")</f>
        <v/>
      </c>
      <c r="E10595" s="94" t="inlineStr">
        <is>
          <t>머드크림마스크</t>
        </is>
      </c>
      <c r="F10595" s="5" t="inlineStr">
        <is>
          <t>카페24</t>
        </is>
      </c>
      <c r="G10595" s="94" t="inlineStr">
        <is>
          <t>머드크림마스크 100ml</t>
        </is>
      </c>
      <c r="H10595" s="94" t="n">
        <v>200801</v>
      </c>
      <c r="I10595" s="94" t="n">
        <v>200801</v>
      </c>
      <c r="K10595" s="94" t="n">
        <v>7</v>
      </c>
      <c r="L10595" s="94" t="n">
        <v>200801</v>
      </c>
      <c r="M10595" s="94">
        <f>VLOOKUP($Q10595,매칭테이블!$F:$I,2,0)*K10595</f>
        <v/>
      </c>
      <c r="N10595" s="94">
        <f>M10595-M10595*VLOOKUP($Q10595,매칭테이블!$F:$I,3,0)</f>
        <v/>
      </c>
      <c r="O10595" s="94">
        <f>VLOOKUP($Q10595,매칭테이블!$F:$I,4,0)*K10595</f>
        <v/>
      </c>
      <c r="P10595" s="148">
        <f>M10595/1.1</f>
        <v/>
      </c>
      <c r="Q10595" s="94">
        <f>F10595&amp;E10595&amp;G10595&amp;L10595</f>
        <v/>
      </c>
    </row>
    <row r="10596" customFormat="1" s="94">
      <c r="B10596" s="128" t="n">
        <v>44137</v>
      </c>
      <c r="C10596" s="94">
        <f>TEXT(B10596,"aaa")</f>
        <v/>
      </c>
      <c r="E10596" s="94" t="inlineStr">
        <is>
          <t>머드크림마스크</t>
        </is>
      </c>
      <c r="F10596" s="5" t="inlineStr">
        <is>
          <t>카페24</t>
        </is>
      </c>
      <c r="G10596" s="94" t="inlineStr">
        <is>
          <t>머드크림마스크 100ml 2set</t>
        </is>
      </c>
      <c r="H10596" s="94" t="n">
        <v>200801</v>
      </c>
      <c r="I10596" s="94" t="n">
        <v>200801</v>
      </c>
      <c r="K10596" s="94" t="n">
        <v>2</v>
      </c>
      <c r="L10596" s="94" t="n">
        <v>200801</v>
      </c>
      <c r="M10596" s="94">
        <f>VLOOKUP($Q10596,매칭테이블!$F:$I,2,0)*K10596</f>
        <v/>
      </c>
      <c r="N10596" s="94">
        <f>M10596-M10596*VLOOKUP($Q10596,매칭테이블!$F:$I,3,0)</f>
        <v/>
      </c>
      <c r="O10596" s="94">
        <f>VLOOKUP($Q10596,매칭테이블!$F:$I,4,0)*K10596</f>
        <v/>
      </c>
      <c r="P10596" s="148">
        <f>M10596/1.1</f>
        <v/>
      </c>
      <c r="Q10596" s="94">
        <f>F10596&amp;E10596&amp;G10596&amp;L10596</f>
        <v/>
      </c>
    </row>
    <row r="10597" customFormat="1" s="94">
      <c r="B10597" s="128" t="n">
        <v>44137</v>
      </c>
      <c r="C10597" s="94">
        <f>TEXT(B10597,"aaa")</f>
        <v/>
      </c>
      <c r="E10597" s="94" t="inlineStr">
        <is>
          <t>마스크팩</t>
        </is>
      </c>
      <c r="F10597" s="5" t="inlineStr">
        <is>
          <t>카페24</t>
        </is>
      </c>
      <c r="G10597" s="94" t="inlineStr">
        <is>
          <t>마스크팩 1매</t>
        </is>
      </c>
      <c r="H10597" s="94" t="n">
        <v>200801</v>
      </c>
      <c r="I10597" s="94" t="n">
        <v>200801</v>
      </c>
      <c r="K10597" s="94" t="n">
        <v>1</v>
      </c>
      <c r="L10597" s="94" t="n">
        <v>200801</v>
      </c>
      <c r="M10597" s="94">
        <f>VLOOKUP($Q10597,매칭테이블!$F:$I,2,0)*K10597</f>
        <v/>
      </c>
      <c r="N10597" s="94">
        <f>M10597-M10597*VLOOKUP($Q10597,매칭테이블!$F:$I,3,0)</f>
        <v/>
      </c>
      <c r="O10597" s="94">
        <f>VLOOKUP($Q10597,매칭테이블!$F:$I,4,0)*K10597</f>
        <v/>
      </c>
      <c r="P10597" s="148">
        <f>M10597/1.1</f>
        <v/>
      </c>
      <c r="Q10597" s="94">
        <f>F10597&amp;E10597&amp;G10597&amp;L10597</f>
        <v/>
      </c>
    </row>
    <row r="10598" customFormat="1" s="94">
      <c r="B10598" s="128" t="n">
        <v>44137</v>
      </c>
      <c r="C10598" s="94">
        <f>TEXT(B10598,"aaa")</f>
        <v/>
      </c>
      <c r="E10598" s="94" t="inlineStr">
        <is>
          <t>마스크팩</t>
        </is>
      </c>
      <c r="F10598" s="5" t="inlineStr">
        <is>
          <t>카페24</t>
        </is>
      </c>
      <c r="G10598" s="94" t="inlineStr">
        <is>
          <t>마스크팩 10매</t>
        </is>
      </c>
      <c r="H10598" s="94" t="n">
        <v>200801</v>
      </c>
      <c r="I10598" s="94" t="n">
        <v>200801</v>
      </c>
      <c r="K10598" s="94" t="n">
        <v>2</v>
      </c>
      <c r="L10598" s="94" t="n">
        <v>200801</v>
      </c>
      <c r="M10598" s="94">
        <f>VLOOKUP($Q10598,매칭테이블!$F:$I,2,0)*K10598</f>
        <v/>
      </c>
      <c r="N10598" s="94">
        <f>M10598-M10598*VLOOKUP($Q10598,매칭테이블!$F:$I,3,0)</f>
        <v/>
      </c>
      <c r="O10598" s="94">
        <f>VLOOKUP($Q10598,매칭테이블!$F:$I,4,0)*K10598</f>
        <v/>
      </c>
      <c r="P10598" s="148">
        <f>M10598/1.1</f>
        <v/>
      </c>
      <c r="Q10598" s="94">
        <f>F10598&amp;E10598&amp;G10598&amp;L10598</f>
        <v/>
      </c>
    </row>
    <row r="10599" customFormat="1" s="94">
      <c r="B10599" s="128" t="n">
        <v>44137</v>
      </c>
      <c r="C10599" s="94">
        <f>TEXT(B10599,"aaa")</f>
        <v/>
      </c>
      <c r="E10599" s="94" t="inlineStr">
        <is>
          <t>토너</t>
        </is>
      </c>
      <c r="F10599" s="5" t="inlineStr">
        <is>
          <t>카페24</t>
        </is>
      </c>
      <c r="G10599" s="94" t="inlineStr">
        <is>
          <t>250ml</t>
        </is>
      </c>
      <c r="H10599" s="94" t="n">
        <v>200801</v>
      </c>
      <c r="I10599" s="94" t="n">
        <v>200801</v>
      </c>
      <c r="K10599" s="94" t="n">
        <v>40</v>
      </c>
      <c r="L10599" s="94" t="n">
        <v>200801</v>
      </c>
      <c r="M10599" s="94">
        <f>VLOOKUP($Q10599,매칭테이블!$F:$I,2,0)*K10599</f>
        <v/>
      </c>
      <c r="N10599" s="94">
        <f>M10599-M10599*VLOOKUP($Q10599,매칭테이블!$F:$I,3,0)</f>
        <v/>
      </c>
      <c r="O10599" s="94">
        <f>VLOOKUP($Q10599,매칭테이블!$F:$I,4,0)*K10599</f>
        <v/>
      </c>
      <c r="P10599" s="148">
        <f>M10599/1.1</f>
        <v/>
      </c>
      <c r="Q10599" s="94">
        <f>F10599&amp;E10599&amp;G10599&amp;L10599</f>
        <v/>
      </c>
    </row>
    <row r="10600" customFormat="1" s="94">
      <c r="B10600" s="128" t="n">
        <v>44137</v>
      </c>
      <c r="C10600" s="94">
        <f>TEXT(B10600,"aaa")</f>
        <v/>
      </c>
      <c r="E10600" s="94" t="inlineStr">
        <is>
          <t>토너</t>
        </is>
      </c>
      <c r="F10600" s="5" t="inlineStr">
        <is>
          <t>카페24</t>
        </is>
      </c>
      <c r="G10600" s="94" t="inlineStr">
        <is>
          <t>250ml 2set</t>
        </is>
      </c>
      <c r="H10600" s="94" t="n">
        <v>200801</v>
      </c>
      <c r="I10600" s="94" t="n">
        <v>200801</v>
      </c>
      <c r="K10600" s="94" t="n">
        <v>37</v>
      </c>
      <c r="L10600" s="94" t="n">
        <v>200801</v>
      </c>
      <c r="M10600" s="94">
        <f>VLOOKUP($Q10600,매칭테이블!$F:$I,2,0)*K10600</f>
        <v/>
      </c>
      <c r="N10600" s="94">
        <f>M10600-M10600*VLOOKUP($Q10600,매칭테이블!$F:$I,3,0)</f>
        <v/>
      </c>
      <c r="O10600" s="94">
        <f>VLOOKUP($Q10600,매칭테이블!$F:$I,4,0)*K10600</f>
        <v/>
      </c>
      <c r="P10600" s="148">
        <f>M10600/1.1</f>
        <v/>
      </c>
      <c r="Q10600" s="94">
        <f>F10600&amp;E10600&amp;G10600&amp;L10600</f>
        <v/>
      </c>
    </row>
    <row r="10601" customFormat="1" s="94">
      <c r="B10601" s="128" t="n">
        <v>44137</v>
      </c>
      <c r="C10601" s="94">
        <f>TEXT(B10601,"aaa")</f>
        <v/>
      </c>
      <c r="E10601" s="94" t="inlineStr">
        <is>
          <t>토너</t>
        </is>
      </c>
      <c r="F10601" s="5" t="inlineStr">
        <is>
          <t>카페24</t>
        </is>
      </c>
      <c r="G10601" s="94" t="inlineStr">
        <is>
          <t>500ml</t>
        </is>
      </c>
      <c r="H10601" s="94" t="n">
        <v>200801</v>
      </c>
      <c r="I10601" s="94" t="n">
        <v>200801</v>
      </c>
      <c r="K10601" s="94" t="n">
        <v>51</v>
      </c>
      <c r="L10601" s="94" t="n">
        <v>200801</v>
      </c>
      <c r="M10601" s="94">
        <f>VLOOKUP($Q10601,매칭테이블!$F:$I,2,0)*K10601</f>
        <v/>
      </c>
      <c r="N10601" s="94">
        <f>M10601-M10601*VLOOKUP($Q10601,매칭테이블!$F:$I,3,0)</f>
        <v/>
      </c>
      <c r="O10601" s="94">
        <f>VLOOKUP($Q10601,매칭테이블!$F:$I,4,0)*K10601</f>
        <v/>
      </c>
      <c r="P10601" s="148">
        <f>M10601/1.1</f>
        <v/>
      </c>
      <c r="Q10601" s="94">
        <f>F10601&amp;E10601&amp;G10601&amp;L10601</f>
        <v/>
      </c>
    </row>
    <row r="10602" customFormat="1" s="94">
      <c r="B10602" s="128" t="n">
        <v>44137</v>
      </c>
      <c r="C10602" s="94">
        <f>TEXT(B10602,"aaa")</f>
        <v/>
      </c>
      <c r="E10602" s="94" t="inlineStr">
        <is>
          <t>토너</t>
        </is>
      </c>
      <c r="F10602" s="5" t="inlineStr">
        <is>
          <t>카페24</t>
        </is>
      </c>
      <c r="G10602" s="94" t="inlineStr">
        <is>
          <t>스킨팩 화장솜 60P</t>
        </is>
      </c>
      <c r="H10602" s="94" t="n">
        <v>200801</v>
      </c>
      <c r="I10602" s="94" t="n">
        <v>200801</v>
      </c>
      <c r="K10602" s="94" t="n">
        <v>28</v>
      </c>
      <c r="L10602" s="94" t="n">
        <v>200801</v>
      </c>
      <c r="M10602" s="94">
        <f>VLOOKUP($Q10602,매칭테이블!$F:$I,2,0)*K10602</f>
        <v/>
      </c>
      <c r="N10602" s="94">
        <f>M10602-M10602*VLOOKUP($Q10602,매칭테이블!$F:$I,3,0)</f>
        <v/>
      </c>
      <c r="O10602" s="94">
        <f>VLOOKUP($Q10602,매칭테이블!$F:$I,4,0)*K10602</f>
        <v/>
      </c>
      <c r="P10602" s="148">
        <f>M10602/1.1</f>
        <v/>
      </c>
      <c r="Q10602" s="94">
        <f>F10602&amp;E10602&amp;G10602&amp;L10602</f>
        <v/>
      </c>
    </row>
    <row r="10603" customFormat="1" s="94">
      <c r="B10603" s="128" t="n">
        <v>44137</v>
      </c>
      <c r="C10603" s="94">
        <f>TEXT(B10603,"aaa")</f>
        <v/>
      </c>
      <c r="E10603" s="94" t="inlineStr">
        <is>
          <t>앰플</t>
        </is>
      </c>
      <c r="F10603" s="5" t="inlineStr">
        <is>
          <t>카페24</t>
        </is>
      </c>
      <c r="G10603" s="94" t="inlineStr">
        <is>
          <t>앰플 30ml</t>
        </is>
      </c>
      <c r="H10603" s="94" t="n">
        <v>200801</v>
      </c>
      <c r="I10603" s="94" t="n">
        <v>200801</v>
      </c>
      <c r="K10603" s="94" t="n">
        <v>22</v>
      </c>
      <c r="L10603" s="94" t="n">
        <v>200801</v>
      </c>
      <c r="M10603" s="94">
        <f>VLOOKUP($Q10603,매칭테이블!$F:$I,2,0)*K10603</f>
        <v/>
      </c>
      <c r="N10603" s="94">
        <f>M10603-M10603*VLOOKUP($Q10603,매칭테이블!$F:$I,3,0)</f>
        <v/>
      </c>
      <c r="O10603" s="94">
        <f>VLOOKUP($Q10603,매칭테이블!$F:$I,4,0)*K10603</f>
        <v/>
      </c>
      <c r="P10603" s="148">
        <f>M10603/1.1</f>
        <v/>
      </c>
      <c r="Q10603" s="94">
        <f>F10603&amp;E10603&amp;G10603&amp;L10603</f>
        <v/>
      </c>
    </row>
    <row r="10604" customFormat="1" s="94">
      <c r="B10604" s="128" t="n">
        <v>44137</v>
      </c>
      <c r="C10604" s="94">
        <f>TEXT(B10604,"aaa")</f>
        <v/>
      </c>
      <c r="E10604" s="94" t="inlineStr">
        <is>
          <t>앰플</t>
        </is>
      </c>
      <c r="F10604" s="5" t="inlineStr">
        <is>
          <t>카페24</t>
        </is>
      </c>
      <c r="G10604" s="94" t="inlineStr">
        <is>
          <t>앰플 30ml  2set</t>
        </is>
      </c>
      <c r="H10604" s="94" t="n">
        <v>200801</v>
      </c>
      <c r="I10604" s="94" t="n">
        <v>200801</v>
      </c>
      <c r="K10604" s="94" t="n">
        <v>9</v>
      </c>
      <c r="L10604" s="94" t="n">
        <v>200801</v>
      </c>
      <c r="M10604" s="94">
        <f>VLOOKUP($Q10604,매칭테이블!$F:$I,2,0)*K10604</f>
        <v/>
      </c>
      <c r="N10604" s="94">
        <f>M10604-M10604*VLOOKUP($Q10604,매칭테이블!$F:$I,3,0)</f>
        <v/>
      </c>
      <c r="O10604" s="94">
        <f>VLOOKUP($Q10604,매칭테이블!$F:$I,4,0)*K10604</f>
        <v/>
      </c>
      <c r="P10604" s="148">
        <f>M10604/1.1</f>
        <v/>
      </c>
      <c r="Q10604" s="94">
        <f>F10604&amp;E10604&amp;G10604&amp;L10604</f>
        <v/>
      </c>
    </row>
    <row r="10605" customFormat="1" s="94">
      <c r="B10605" s="128" t="n">
        <v>44137</v>
      </c>
      <c r="C10605" s="94">
        <f>TEXT(B10605,"aaa")</f>
        <v/>
      </c>
      <c r="E10605" s="94" t="inlineStr">
        <is>
          <t>수딩크림</t>
        </is>
      </c>
      <c r="F10605" s="5" t="inlineStr">
        <is>
          <t>카페24</t>
        </is>
      </c>
      <c r="G10605" s="94" t="inlineStr">
        <is>
          <t>수딩크림 100ml</t>
        </is>
      </c>
      <c r="H10605" s="94" t="n">
        <v>200801</v>
      </c>
      <c r="I10605" s="94" t="n">
        <v>200801</v>
      </c>
      <c r="K10605" s="94" t="n">
        <v>11</v>
      </c>
      <c r="L10605" s="94" t="n">
        <v>200801</v>
      </c>
      <c r="M10605" s="94">
        <f>VLOOKUP($Q10605,매칭테이블!$F:$I,2,0)*K10605</f>
        <v/>
      </c>
      <c r="N10605" s="94">
        <f>M10605-M10605*VLOOKUP($Q10605,매칭테이블!$F:$I,3,0)</f>
        <v/>
      </c>
      <c r="O10605" s="94">
        <f>VLOOKUP($Q10605,매칭테이블!$F:$I,4,0)*K10605</f>
        <v/>
      </c>
      <c r="P10605" s="148">
        <f>M10605/1.1</f>
        <v/>
      </c>
      <c r="Q10605" s="94">
        <f>F10605&amp;E10605&amp;G10605&amp;L10605</f>
        <v/>
      </c>
    </row>
    <row r="10606" customFormat="1" s="94">
      <c r="B10606" s="128" t="n">
        <v>44137</v>
      </c>
      <c r="C10606" s="94">
        <f>TEXT(B10606,"aaa")</f>
        <v/>
      </c>
      <c r="E10606" s="94" t="inlineStr">
        <is>
          <t>클렌징폼</t>
        </is>
      </c>
      <c r="F10606" s="5" t="inlineStr">
        <is>
          <t>카페24</t>
        </is>
      </c>
      <c r="G10606" s="94" t="inlineStr">
        <is>
          <t>클렌징폼 120ml</t>
        </is>
      </c>
      <c r="H10606" s="94" t="n">
        <v>200801</v>
      </c>
      <c r="I10606" s="94" t="n">
        <v>200801</v>
      </c>
      <c r="K10606" s="94" t="n">
        <v>11</v>
      </c>
      <c r="L10606" s="94" t="n">
        <v>200801</v>
      </c>
      <c r="M10606" s="94">
        <f>VLOOKUP($Q10606,매칭테이블!$F:$I,2,0)*K10606</f>
        <v/>
      </c>
      <c r="N10606" s="94">
        <f>M10606-M10606*VLOOKUP($Q10606,매칭테이블!$F:$I,3,0)</f>
        <v/>
      </c>
      <c r="O10606" s="94">
        <f>VLOOKUP($Q10606,매칭테이블!$F:$I,4,0)*K10606</f>
        <v/>
      </c>
      <c r="P10606" s="148">
        <f>M10606/1.1</f>
        <v/>
      </c>
      <c r="Q10606" s="94">
        <f>F10606&amp;E10606&amp;G10606&amp;L10606</f>
        <v/>
      </c>
    </row>
    <row r="10607" customFormat="1" s="94">
      <c r="B10607" s="128" t="n">
        <v>44137</v>
      </c>
      <c r="C10607" s="94">
        <f>TEXT(B10607,"aaa")</f>
        <v/>
      </c>
      <c r="E10607" s="94" t="inlineStr">
        <is>
          <t>클렌징폼</t>
        </is>
      </c>
      <c r="F10607" s="5" t="inlineStr">
        <is>
          <t>카페24</t>
        </is>
      </c>
      <c r="G10607" s="94" t="inlineStr">
        <is>
          <t>클렌징폼 120ml 2set</t>
        </is>
      </c>
      <c r="H10607" s="94" t="n">
        <v>200801</v>
      </c>
      <c r="I10607" s="94" t="n">
        <v>200801</v>
      </c>
      <c r="K10607" s="94" t="n">
        <v>3</v>
      </c>
      <c r="L10607" s="94" t="n">
        <v>200801</v>
      </c>
      <c r="M10607" s="94">
        <f>VLOOKUP($Q10607,매칭테이블!$F:$I,2,0)*K10607</f>
        <v/>
      </c>
      <c r="N10607" s="94">
        <f>M10607-M10607*VLOOKUP($Q10607,매칭테이블!$F:$I,3,0)</f>
        <v/>
      </c>
      <c r="O10607" s="94">
        <f>VLOOKUP($Q10607,매칭테이블!$F:$I,4,0)*K10607</f>
        <v/>
      </c>
      <c r="P10607" s="148">
        <f>M10607/1.1</f>
        <v/>
      </c>
      <c r="Q10607" s="94">
        <f>F10607&amp;E10607&amp;G10607&amp;L10607</f>
        <v/>
      </c>
    </row>
    <row r="10608" customFormat="1" s="94">
      <c r="B10608" s="128" t="n">
        <v>44137</v>
      </c>
      <c r="C10608" s="94">
        <f>TEXT(B10608,"aaa")</f>
        <v/>
      </c>
      <c r="E10608" s="94" t="inlineStr">
        <is>
          <t>클렌징폼</t>
        </is>
      </c>
      <c r="F10608" s="5" t="inlineStr">
        <is>
          <t>카페24</t>
        </is>
      </c>
      <c r="G10608" s="94" t="inlineStr">
        <is>
          <t>클렌징폼 120ml 3set</t>
        </is>
      </c>
      <c r="H10608" s="94" t="n">
        <v>200801</v>
      </c>
      <c r="I10608" s="94" t="n">
        <v>200801</v>
      </c>
      <c r="K10608" s="94" t="n">
        <v>2</v>
      </c>
      <c r="L10608" s="94" t="n">
        <v>200801</v>
      </c>
      <c r="M10608" s="94">
        <f>VLOOKUP($Q10608,매칭테이블!$F:$I,2,0)*K10608</f>
        <v/>
      </c>
      <c r="N10608" s="94">
        <f>M10608-M10608*VLOOKUP($Q10608,매칭테이블!$F:$I,3,0)</f>
        <v/>
      </c>
      <c r="O10608" s="94">
        <f>VLOOKUP($Q10608,매칭테이블!$F:$I,4,0)*K10608</f>
        <v/>
      </c>
      <c r="P10608" s="148">
        <f>M10608/1.1</f>
        <v/>
      </c>
      <c r="Q10608" s="94">
        <f>F10608&amp;E10608&amp;G10608&amp;L10608</f>
        <v/>
      </c>
    </row>
    <row r="10609" customFormat="1" s="94">
      <c r="B10609" s="128" t="n">
        <v>44137</v>
      </c>
      <c r="C10609" s="94">
        <f>TEXT(B10609,"aaa")</f>
        <v/>
      </c>
      <c r="E10609" s="94" t="inlineStr">
        <is>
          <t>바디워시</t>
        </is>
      </c>
      <c r="F10609" s="5" t="inlineStr">
        <is>
          <t>카페24</t>
        </is>
      </c>
      <c r="G10609" s="94" t="inlineStr">
        <is>
          <t>바디워시 1개 -30% off</t>
        </is>
      </c>
      <c r="H10609" s="94" t="n">
        <v>200801</v>
      </c>
      <c r="I10609" s="94" t="n">
        <v>200801</v>
      </c>
      <c r="K10609" s="94" t="n">
        <v>1</v>
      </c>
      <c r="L10609" s="94" t="n">
        <v>200801</v>
      </c>
      <c r="M10609" s="94">
        <f>VLOOKUP($Q10609,매칭테이블!$F:$I,2,0)*K10609</f>
        <v/>
      </c>
      <c r="N10609" s="94">
        <f>M10609-M10609*VLOOKUP($Q10609,매칭테이블!$F:$I,3,0)</f>
        <v/>
      </c>
      <c r="O10609" s="94">
        <f>VLOOKUP($Q10609,매칭테이블!$F:$I,4,0)*K10609</f>
        <v/>
      </c>
      <c r="P10609" s="148">
        <f>M10609/1.1</f>
        <v/>
      </c>
      <c r="Q10609" s="94">
        <f>F10609&amp;E10609&amp;G10609&amp;L10609</f>
        <v/>
      </c>
    </row>
    <row r="10610" customFormat="1" s="94">
      <c r="B10610" s="128" t="n">
        <v>44137</v>
      </c>
      <c r="C10610" s="94">
        <f>TEXT(B10610,"aaa")</f>
        <v/>
      </c>
      <c r="E10610" s="94" t="inlineStr">
        <is>
          <t>바디워시</t>
        </is>
      </c>
      <c r="F10610" s="5" t="inlineStr">
        <is>
          <t>카페24</t>
        </is>
      </c>
      <c r="G10610" s="94" t="inlineStr">
        <is>
          <t>바디워시 2개 -35% off (무료배송)</t>
        </is>
      </c>
      <c r="H10610" s="94" t="n">
        <v>200801</v>
      </c>
      <c r="I10610" s="94" t="n">
        <v>200801</v>
      </c>
      <c r="K10610" s="94" t="n">
        <v>1</v>
      </c>
      <c r="L10610" s="94" t="n">
        <v>200801</v>
      </c>
      <c r="M10610" s="94">
        <f>VLOOKUP($Q10610,매칭테이블!$F:$I,2,0)*K10610</f>
        <v/>
      </c>
      <c r="N10610" s="94">
        <f>M10610-M10610*VLOOKUP($Q10610,매칭테이블!$F:$I,3,0)</f>
        <v/>
      </c>
      <c r="O10610" s="94">
        <f>VLOOKUP($Q10610,매칭테이블!$F:$I,4,0)*K10610</f>
        <v/>
      </c>
      <c r="P10610" s="148">
        <f>M10610/1.1</f>
        <v/>
      </c>
      <c r="Q10610" s="94">
        <f>F10610&amp;E10610&amp;G10610&amp;L10610</f>
        <v/>
      </c>
    </row>
    <row r="10611" customFormat="1" s="94">
      <c r="B10611" s="128" t="n">
        <v>44137</v>
      </c>
      <c r="C10611" s="94">
        <f>TEXT(B10611,"aaa")</f>
        <v/>
      </c>
      <c r="E10611" s="94" t="inlineStr">
        <is>
          <t>토너</t>
        </is>
      </c>
      <c r="F10611" s="5" t="inlineStr">
        <is>
          <t>화해</t>
        </is>
      </c>
      <c r="G10611" s="94" t="inlineStr">
        <is>
          <t>250ml</t>
        </is>
      </c>
      <c r="H10611" s="94" t="n">
        <v>200801</v>
      </c>
      <c r="I10611" s="94" t="n">
        <v>200801</v>
      </c>
      <c r="K10611" s="94" t="n">
        <v>7</v>
      </c>
      <c r="L10611" s="94" t="n">
        <v>200801</v>
      </c>
      <c r="M10611" s="94">
        <f>VLOOKUP($Q10611,매칭테이블!$F:$I,2,0)*K10611</f>
        <v/>
      </c>
      <c r="N10611" s="94">
        <f>M10611-M10611*VLOOKUP($Q10611,매칭테이블!$F:$I,3,0)</f>
        <v/>
      </c>
      <c r="O10611" s="94">
        <f>VLOOKUP($Q10611,매칭테이블!$F:$I,4,0)*K10611</f>
        <v/>
      </c>
      <c r="P10611" s="148">
        <f>M10611/1.1</f>
        <v/>
      </c>
      <c r="Q10611" s="94">
        <f>F10611&amp;E10611&amp;G10611&amp;L10611</f>
        <v/>
      </c>
    </row>
    <row r="10612" customFormat="1" s="94">
      <c r="B10612" s="128" t="n">
        <v>44137</v>
      </c>
      <c r="C10612" s="94">
        <f>TEXT(B10612,"aaa")</f>
        <v/>
      </c>
      <c r="E10612" s="94" t="inlineStr">
        <is>
          <t>클리어 패드</t>
        </is>
      </c>
      <c r="F10612" s="5" t="inlineStr">
        <is>
          <t>화해</t>
        </is>
      </c>
      <c r="G10612" s="94" t="inlineStr">
        <is>
          <t>어성초 클리어패드 70P</t>
        </is>
      </c>
      <c r="H10612" s="94" t="n">
        <v>200801</v>
      </c>
      <c r="I10612" s="94" t="n">
        <v>200801</v>
      </c>
      <c r="K10612" s="94" t="n">
        <v>1</v>
      </c>
      <c r="L10612" s="94" t="n">
        <v>200801</v>
      </c>
      <c r="M10612" s="94">
        <f>VLOOKUP($Q10612,매칭테이블!$F:$I,2,0)*K10612</f>
        <v/>
      </c>
      <c r="N10612" s="94">
        <f>M10612-M10612*VLOOKUP($Q10612,매칭테이블!$F:$I,3,0)</f>
        <v/>
      </c>
      <c r="O10612" s="94">
        <f>VLOOKUP($Q10612,매칭테이블!$F:$I,4,0)*K10612</f>
        <v/>
      </c>
      <c r="P10612" s="148">
        <f>M10612/1.1</f>
        <v/>
      </c>
      <c r="Q10612" s="94">
        <f>F10612&amp;E10612&amp;G10612&amp;L10612</f>
        <v/>
      </c>
    </row>
    <row r="10613">
      <c r="B10613" s="128" t="n">
        <v>44138</v>
      </c>
      <c r="C10613" s="94">
        <f>TEXT(B10613,"aaa")</f>
        <v/>
      </c>
      <c r="D10613" s="94" t="n"/>
      <c r="E10613" s="94" t="inlineStr">
        <is>
          <t>토너</t>
        </is>
      </c>
      <c r="F10613" s="5" t="inlineStr">
        <is>
          <t>W컨셉</t>
        </is>
      </c>
      <c r="G10613" s="94" t="inlineStr">
        <is>
          <t>250ml 2set</t>
        </is>
      </c>
      <c r="H10613" s="94" t="n">
        <v>200801</v>
      </c>
      <c r="I10613" s="94" t="n">
        <v>200801</v>
      </c>
      <c r="J10613" s="94" t="n"/>
      <c r="K10613" s="94" t="n">
        <v>6</v>
      </c>
      <c r="L10613" s="94" t="n">
        <v>200801</v>
      </c>
      <c r="M10613" s="94">
        <f>VLOOKUP($Q10613,매칭테이블!$F:$I,2,0)*K10613</f>
        <v/>
      </c>
      <c r="N10613" s="94">
        <f>M10613-M10613*VLOOKUP($Q10613,매칭테이블!$F:$I,3,0)</f>
        <v/>
      </c>
      <c r="O10613" s="94">
        <f>VLOOKUP($Q10613,매칭테이블!$F:$I,4,0)*K10613</f>
        <v/>
      </c>
      <c r="P10613" s="148">
        <f>M10613/1.1</f>
        <v/>
      </c>
      <c r="Q10613" s="94">
        <f>F10613&amp;E10613&amp;G10613&amp;L10613</f>
        <v/>
      </c>
    </row>
    <row r="10614">
      <c r="B10614" s="128" t="n">
        <v>44138</v>
      </c>
      <c r="C10614" s="94">
        <f>TEXT(B10614,"aaa")</f>
        <v/>
      </c>
      <c r="D10614" s="94" t="n"/>
      <c r="E10614" s="94" t="inlineStr">
        <is>
          <t>토너</t>
        </is>
      </c>
      <c r="F10614" s="5" t="inlineStr">
        <is>
          <t>스타일쉐어</t>
        </is>
      </c>
      <c r="G10614" s="94" t="inlineStr">
        <is>
          <t>250ml</t>
        </is>
      </c>
      <c r="H10614" s="94" t="n">
        <v>200801</v>
      </c>
      <c r="I10614" s="94" t="n">
        <v>200801</v>
      </c>
      <c r="J10614" s="94" t="n"/>
      <c r="K10614" s="94" t="n">
        <v>5</v>
      </c>
      <c r="L10614" s="94" t="n">
        <v>200801</v>
      </c>
      <c r="M10614" s="94">
        <f>VLOOKUP($Q10614,매칭테이블!$F:$I,2,0)*K10614</f>
        <v/>
      </c>
      <c r="N10614" s="94">
        <f>M10614-M10614*VLOOKUP($Q10614,매칭테이블!$F:$I,3,0)</f>
        <v/>
      </c>
      <c r="O10614" s="94">
        <f>VLOOKUP($Q10614,매칭테이블!$F:$I,4,0)*K10614</f>
        <v/>
      </c>
      <c r="P10614" s="148">
        <f>M10614/1.1</f>
        <v/>
      </c>
      <c r="Q10614" s="94">
        <f>F10614&amp;E10614&amp;G10614&amp;L10614</f>
        <v/>
      </c>
    </row>
    <row r="10615">
      <c r="B10615" s="128" t="n">
        <v>44138</v>
      </c>
      <c r="C10615" s="94">
        <f>TEXT(B10615,"aaa")</f>
        <v/>
      </c>
      <c r="D10615" s="94" t="n"/>
      <c r="E10615" s="94" t="inlineStr">
        <is>
          <t>로션</t>
        </is>
      </c>
      <c r="F10615" s="5" t="inlineStr">
        <is>
          <t>아누아 CS</t>
        </is>
      </c>
      <c r="G10615" s="94" t="inlineStr">
        <is>
          <t>로션 200ml</t>
        </is>
      </c>
      <c r="H10615" s="94" t="n">
        <v>200801</v>
      </c>
      <c r="I10615" s="94" t="n">
        <v>200801</v>
      </c>
      <c r="J10615" s="94" t="n"/>
      <c r="K10615" s="94" t="n">
        <v>30</v>
      </c>
      <c r="L10615" s="94" t="n">
        <v>200801</v>
      </c>
      <c r="M10615" s="94">
        <f>VLOOKUP($Q10615,매칭테이블!$F:$I,2,0)*K10615</f>
        <v/>
      </c>
      <c r="N10615" s="94">
        <f>M10615-M10615*VLOOKUP($Q10615,매칭테이블!$F:$I,3,0)</f>
        <v/>
      </c>
      <c r="O10615" s="94">
        <f>VLOOKUP($Q10615,매칭테이블!$F:$I,4,0)*K10615</f>
        <v/>
      </c>
      <c r="P10615" s="148">
        <f>M10615/1.1</f>
        <v/>
      </c>
      <c r="Q10615" s="94">
        <f>F10615&amp;E10615&amp;G10615&amp;L10615</f>
        <v/>
      </c>
    </row>
    <row r="10616">
      <c r="B10616" s="128" t="n">
        <v>44138</v>
      </c>
      <c r="C10616" s="94">
        <f>TEXT(B10616,"aaa")</f>
        <v/>
      </c>
      <c r="D10616" s="94" t="n"/>
      <c r="E10616" s="94" t="inlineStr">
        <is>
          <t>선크림</t>
        </is>
      </c>
      <c r="F10616" s="5" t="inlineStr">
        <is>
          <t>카페24</t>
        </is>
      </c>
      <c r="G10616" s="94" t="inlineStr">
        <is>
          <t>선크림 50ml</t>
        </is>
      </c>
      <c r="H10616" s="94" t="n">
        <v>200801</v>
      </c>
      <c r="I10616" s="94" t="n">
        <v>200801</v>
      </c>
      <c r="J10616" s="94" t="n"/>
      <c r="K10616" s="94" t="n">
        <v>4</v>
      </c>
      <c r="L10616" s="94" t="n">
        <v>200801</v>
      </c>
      <c r="M10616" s="94">
        <f>VLOOKUP($Q10616,매칭테이블!$F:$I,2,0)*K10616</f>
        <v/>
      </c>
      <c r="N10616" s="94">
        <f>M10616-M10616*VLOOKUP($Q10616,매칭테이블!$F:$I,3,0)</f>
        <v/>
      </c>
      <c r="O10616" s="94">
        <f>VLOOKUP($Q10616,매칭테이블!$F:$I,4,0)*K10616</f>
        <v/>
      </c>
      <c r="P10616" s="148">
        <f>M10616/1.1</f>
        <v/>
      </c>
      <c r="Q10616" s="94">
        <f>F10616&amp;E10616&amp;G10616&amp;L10616</f>
        <v/>
      </c>
    </row>
    <row r="10617">
      <c r="B10617" s="128" t="n">
        <v>44138</v>
      </c>
      <c r="C10617" s="94">
        <f>TEXT(B10617,"aaa")</f>
        <v/>
      </c>
      <c r="D10617" s="94" t="n"/>
      <c r="E10617" s="94" t="inlineStr">
        <is>
          <t>선크림</t>
        </is>
      </c>
      <c r="F10617" s="5" t="inlineStr">
        <is>
          <t>카페24</t>
        </is>
      </c>
      <c r="G10617" s="94" t="inlineStr">
        <is>
          <t>선크림 50ml  2set</t>
        </is>
      </c>
      <c r="H10617" s="94" t="n">
        <v>200801</v>
      </c>
      <c r="I10617" s="94" t="n">
        <v>200801</v>
      </c>
      <c r="J10617" s="94" t="n"/>
      <c r="K10617" s="94" t="n">
        <v>1</v>
      </c>
      <c r="L10617" s="94" t="n">
        <v>200801</v>
      </c>
      <c r="M10617" s="94">
        <f>VLOOKUP($Q10617,매칭테이블!$F:$I,2,0)*K10617</f>
        <v/>
      </c>
      <c r="N10617" s="94">
        <f>M10617-M10617*VLOOKUP($Q10617,매칭테이블!$F:$I,3,0)</f>
        <v/>
      </c>
      <c r="O10617" s="94">
        <f>VLOOKUP($Q10617,매칭테이블!$F:$I,4,0)*K10617</f>
        <v/>
      </c>
      <c r="P10617" s="148">
        <f>M10617/1.1</f>
        <v/>
      </c>
      <c r="Q10617" s="94">
        <f>F10617&amp;E10617&amp;G10617&amp;L10617</f>
        <v/>
      </c>
    </row>
    <row r="10618">
      <c r="B10618" s="128" t="n">
        <v>44138</v>
      </c>
      <c r="C10618" s="94">
        <f>TEXT(B10618,"aaa")</f>
        <v/>
      </c>
      <c r="D10618" s="94" t="n"/>
      <c r="E10618" s="94" t="inlineStr">
        <is>
          <t>어성초진정패키지</t>
        </is>
      </c>
      <c r="F10618" s="5" t="inlineStr">
        <is>
          <t>카페24</t>
        </is>
      </c>
      <c r="G10618" s="94" t="inlineStr">
        <is>
          <t>어성초 진정패키지세트</t>
        </is>
      </c>
      <c r="H10618" s="94" t="n">
        <v>200801</v>
      </c>
      <c r="I10618" s="94" t="n">
        <v>200801</v>
      </c>
      <c r="J10618" s="94" t="n"/>
      <c r="K10618" s="94" t="n">
        <v>3</v>
      </c>
      <c r="L10618" s="94" t="n">
        <v>200801</v>
      </c>
      <c r="M10618" s="94">
        <f>VLOOKUP($Q10618,매칭테이블!$F:$I,2,0)*K10618</f>
        <v/>
      </c>
      <c r="N10618" s="94">
        <f>M10618-M10618*VLOOKUP($Q10618,매칭테이블!$F:$I,3,0)</f>
        <v/>
      </c>
      <c r="O10618" s="94">
        <f>VLOOKUP($Q10618,매칭테이블!$F:$I,4,0)*K10618</f>
        <v/>
      </c>
      <c r="P10618" s="148">
        <f>M10618/1.1</f>
        <v/>
      </c>
      <c r="Q10618" s="94">
        <f>F10618&amp;E10618&amp;G10618&amp;L10618</f>
        <v/>
      </c>
    </row>
    <row r="10619">
      <c r="B10619" s="128" t="n">
        <v>44138</v>
      </c>
      <c r="C10619" s="94">
        <f>TEXT(B10619,"aaa")</f>
        <v/>
      </c>
      <c r="D10619" s="94" t="n"/>
      <c r="E10619" s="94" t="inlineStr">
        <is>
          <t>클리어 패드</t>
        </is>
      </c>
      <c r="F10619" s="5" t="inlineStr">
        <is>
          <t>카페24</t>
        </is>
      </c>
      <c r="G10619" s="94" t="inlineStr">
        <is>
          <t>어성초 77 클리어 패드 1개-20% off</t>
        </is>
      </c>
      <c r="H10619" s="94" t="n">
        <v>200801</v>
      </c>
      <c r="I10619" s="94" t="n">
        <v>200801</v>
      </c>
      <c r="J10619" s="94" t="n"/>
      <c r="K10619" s="94" t="n">
        <v>20</v>
      </c>
      <c r="L10619" s="94" t="n">
        <v>200801</v>
      </c>
      <c r="M10619" s="94">
        <f>VLOOKUP($Q10619,매칭테이블!$F:$I,2,0)*K10619</f>
        <v/>
      </c>
      <c r="N10619" s="94">
        <f>M10619-M10619*VLOOKUP($Q10619,매칭테이블!$F:$I,3,0)</f>
        <v/>
      </c>
      <c r="O10619" s="94">
        <f>VLOOKUP($Q10619,매칭테이블!$F:$I,4,0)*K10619</f>
        <v/>
      </c>
      <c r="P10619" s="148">
        <f>M10619/1.1</f>
        <v/>
      </c>
      <c r="Q10619" s="94">
        <f>F10619&amp;E10619&amp;G10619&amp;L10619</f>
        <v/>
      </c>
    </row>
    <row r="10620">
      <c r="B10620" s="128" t="n">
        <v>44138</v>
      </c>
      <c r="C10620" s="94">
        <f>TEXT(B10620,"aaa")</f>
        <v/>
      </c>
      <c r="D10620" s="94" t="n"/>
      <c r="E10620" s="94" t="inlineStr">
        <is>
          <t>클리어 패드</t>
        </is>
      </c>
      <c r="F10620" s="5" t="inlineStr">
        <is>
          <t>카페24</t>
        </is>
      </c>
      <c r="G10620" s="94" t="inlineStr">
        <is>
          <t>어성초 77 클리어 패드 2개-30% off</t>
        </is>
      </c>
      <c r="H10620" s="94" t="n">
        <v>200801</v>
      </c>
      <c r="I10620" s="94" t="n">
        <v>200801</v>
      </c>
      <c r="J10620" s="94" t="n"/>
      <c r="K10620" s="94" t="n">
        <v>33</v>
      </c>
      <c r="L10620" s="94" t="n">
        <v>200801</v>
      </c>
      <c r="M10620" s="94">
        <f>VLOOKUP($Q10620,매칭테이블!$F:$I,2,0)*K10620</f>
        <v/>
      </c>
      <c r="N10620" s="94">
        <f>M10620-M10620*VLOOKUP($Q10620,매칭테이블!$F:$I,3,0)</f>
        <v/>
      </c>
      <c r="O10620" s="94">
        <f>VLOOKUP($Q10620,매칭테이블!$F:$I,4,0)*K10620</f>
        <v/>
      </c>
      <c r="P10620" s="148">
        <f>M10620/1.1</f>
        <v/>
      </c>
      <c r="Q10620" s="94">
        <f>F10620&amp;E10620&amp;G10620&amp;L10620</f>
        <v/>
      </c>
    </row>
    <row r="10621">
      <c r="B10621" s="128" t="n">
        <v>44138</v>
      </c>
      <c r="C10621" s="94">
        <f>TEXT(B10621,"aaa")</f>
        <v/>
      </c>
      <c r="D10621" s="94" t="n"/>
      <c r="E10621" s="94" t="inlineStr">
        <is>
          <t>토너+패드 세트</t>
        </is>
      </c>
      <c r="F10621" s="5" t="inlineStr">
        <is>
          <t>카페24</t>
        </is>
      </c>
      <c r="G10621" s="94" t="inlineStr">
        <is>
          <t>좁쌀 진정 세트 토너+클리어 패드-30% off</t>
        </is>
      </c>
      <c r="H10621" s="94" t="n">
        <v>200801</v>
      </c>
      <c r="I10621" s="94" t="n">
        <v>200801</v>
      </c>
      <c r="J10621" s="94" t="n"/>
      <c r="K10621" s="94" t="n">
        <v>15</v>
      </c>
      <c r="L10621" s="94" t="n">
        <v>200801</v>
      </c>
      <c r="M10621" s="94">
        <f>VLOOKUP($Q10621,매칭테이블!$F:$I,2,0)*K10621</f>
        <v/>
      </c>
      <c r="N10621" s="94">
        <f>M10621-M10621*VLOOKUP($Q10621,매칭테이블!$F:$I,3,0)</f>
        <v/>
      </c>
      <c r="O10621" s="94">
        <f>VLOOKUP($Q10621,매칭테이블!$F:$I,4,0)*K10621</f>
        <v/>
      </c>
      <c r="P10621" s="148">
        <f>M10621/1.1</f>
        <v/>
      </c>
      <c r="Q10621" s="94">
        <f>F10621&amp;E10621&amp;G10621&amp;L10621</f>
        <v/>
      </c>
    </row>
    <row r="10622">
      <c r="B10622" s="128" t="n">
        <v>44138</v>
      </c>
      <c r="C10622" s="94">
        <f>TEXT(B10622,"aaa")</f>
        <v/>
      </c>
      <c r="D10622" s="94" t="n"/>
      <c r="E10622" s="94" t="inlineStr">
        <is>
          <t>수분 보충 세트</t>
        </is>
      </c>
      <c r="F10622" s="5" t="inlineStr">
        <is>
          <t>카페24</t>
        </is>
      </c>
      <c r="G10622" s="94" t="inlineStr">
        <is>
          <t>[20/09/28 부터] 어성초 77 토너 250ml + 어성초 70 로션 200ml -30%</t>
        </is>
      </c>
      <c r="H10622" s="94" t="n">
        <v>200801</v>
      </c>
      <c r="I10622" s="94" t="n">
        <v>200801</v>
      </c>
      <c r="J10622" s="94" t="n"/>
      <c r="K10622" s="94" t="n">
        <v>26</v>
      </c>
      <c r="L10622" s="94" t="n">
        <v>200801</v>
      </c>
      <c r="M10622" s="94">
        <f>VLOOKUP($Q10622,매칭테이블!$F:$I,2,0)*K10622</f>
        <v/>
      </c>
      <c r="N10622" s="94">
        <f>M10622-M10622*VLOOKUP($Q10622,매칭테이블!$F:$I,3,0)</f>
        <v/>
      </c>
      <c r="O10622" s="94">
        <f>VLOOKUP($Q10622,매칭테이블!$F:$I,4,0)*K10622</f>
        <v/>
      </c>
      <c r="P10622" s="148">
        <f>M10622/1.1</f>
        <v/>
      </c>
      <c r="Q10622" s="94">
        <f>F10622&amp;E10622&amp;G10622&amp;L10622</f>
        <v/>
      </c>
    </row>
    <row r="10623">
      <c r="B10623" s="128" t="n">
        <v>44138</v>
      </c>
      <c r="C10623" s="94">
        <f>TEXT(B10623,"aaa")</f>
        <v/>
      </c>
      <c r="D10623" s="94" t="n"/>
      <c r="E10623" s="94" t="inlineStr">
        <is>
          <t>로션</t>
        </is>
      </c>
      <c r="F10623" s="5" t="inlineStr">
        <is>
          <t>카페24</t>
        </is>
      </c>
      <c r="G10623" s="94" t="inlineStr">
        <is>
          <t>어성초 70 데일리 릴리프 로션 1개 -20% off</t>
        </is>
      </c>
      <c r="H10623" s="94" t="n">
        <v>200801</v>
      </c>
      <c r="I10623" s="94" t="n">
        <v>200801</v>
      </c>
      <c r="J10623" s="94" t="n"/>
      <c r="K10623" s="94" t="n">
        <v>12</v>
      </c>
      <c r="L10623" s="94" t="n">
        <v>200801</v>
      </c>
      <c r="M10623" s="94">
        <f>VLOOKUP($Q10623,매칭테이블!$F:$I,2,0)*K10623</f>
        <v/>
      </c>
      <c r="N10623" s="94">
        <f>M10623-M10623*VLOOKUP($Q10623,매칭테이블!$F:$I,3,0)</f>
        <v/>
      </c>
      <c r="O10623" s="94">
        <f>VLOOKUP($Q10623,매칭테이블!$F:$I,4,0)*K10623</f>
        <v/>
      </c>
      <c r="P10623" s="148">
        <f>M10623/1.1</f>
        <v/>
      </c>
      <c r="Q10623" s="94">
        <f>F10623&amp;E10623&amp;G10623&amp;L10623</f>
        <v/>
      </c>
    </row>
    <row r="10624">
      <c r="B10624" s="128" t="n">
        <v>44138</v>
      </c>
      <c r="C10624" s="94">
        <f>TEXT(B10624,"aaa")</f>
        <v/>
      </c>
      <c r="D10624" s="94" t="n"/>
      <c r="E10624" s="94" t="inlineStr">
        <is>
          <t>머드크림마스크</t>
        </is>
      </c>
      <c r="F10624" s="5" t="inlineStr">
        <is>
          <t>카페24</t>
        </is>
      </c>
      <c r="G10624" s="94" t="inlineStr">
        <is>
          <t>머드크림마스크 100ml 2set</t>
        </is>
      </c>
      <c r="H10624" s="94" t="n">
        <v>200801</v>
      </c>
      <c r="I10624" s="94" t="n">
        <v>200801</v>
      </c>
      <c r="J10624" s="94" t="n"/>
      <c r="K10624" s="94" t="n">
        <v>1</v>
      </c>
      <c r="L10624" s="94" t="n">
        <v>200801</v>
      </c>
      <c r="M10624" s="94">
        <f>VLOOKUP($Q10624,매칭테이블!$F:$I,2,0)*K10624</f>
        <v/>
      </c>
      <c r="N10624" s="94">
        <f>M10624-M10624*VLOOKUP($Q10624,매칭테이블!$F:$I,3,0)</f>
        <v/>
      </c>
      <c r="O10624" s="94">
        <f>VLOOKUP($Q10624,매칭테이블!$F:$I,4,0)*K10624</f>
        <v/>
      </c>
      <c r="P10624" s="148">
        <f>M10624/1.1</f>
        <v/>
      </c>
      <c r="Q10624" s="94">
        <f>F10624&amp;E10624&amp;G10624&amp;L10624</f>
        <v/>
      </c>
    </row>
    <row r="10625">
      <c r="B10625" s="128" t="n">
        <v>44138</v>
      </c>
      <c r="C10625" s="94">
        <f>TEXT(B10625,"aaa")</f>
        <v/>
      </c>
      <c r="D10625" s="94" t="n"/>
      <c r="E10625" s="94" t="inlineStr">
        <is>
          <t>마스크팩</t>
        </is>
      </c>
      <c r="F10625" s="5" t="inlineStr">
        <is>
          <t>카페24</t>
        </is>
      </c>
      <c r="G10625" s="94" t="inlineStr">
        <is>
          <t>마스크팩 1매</t>
        </is>
      </c>
      <c r="H10625" s="94" t="n">
        <v>200801</v>
      </c>
      <c r="I10625" s="94" t="n">
        <v>200801</v>
      </c>
      <c r="J10625" s="94" t="n"/>
      <c r="K10625" s="94" t="n">
        <v>6</v>
      </c>
      <c r="L10625" s="94" t="n">
        <v>200801</v>
      </c>
      <c r="M10625" s="94">
        <f>VLOOKUP($Q10625,매칭테이블!$F:$I,2,0)*K10625</f>
        <v/>
      </c>
      <c r="N10625" s="94">
        <f>M10625-M10625*VLOOKUP($Q10625,매칭테이블!$F:$I,3,0)</f>
        <v/>
      </c>
      <c r="O10625" s="94">
        <f>VLOOKUP($Q10625,매칭테이블!$F:$I,4,0)*K10625</f>
        <v/>
      </c>
      <c r="P10625" s="148">
        <f>M10625/1.1</f>
        <v/>
      </c>
      <c r="Q10625" s="94">
        <f>F10625&amp;E10625&amp;G10625&amp;L10625</f>
        <v/>
      </c>
    </row>
    <row r="10626">
      <c r="B10626" s="128" t="n">
        <v>44138</v>
      </c>
      <c r="C10626" s="94">
        <f>TEXT(B10626,"aaa")</f>
        <v/>
      </c>
      <c r="D10626" s="94" t="n"/>
      <c r="E10626" s="94" t="inlineStr">
        <is>
          <t>마스크팩</t>
        </is>
      </c>
      <c r="F10626" s="5" t="inlineStr">
        <is>
          <t>카페24</t>
        </is>
      </c>
      <c r="G10626" s="94" t="inlineStr">
        <is>
          <t>마스크팩 10매</t>
        </is>
      </c>
      <c r="H10626" s="94" t="n">
        <v>200801</v>
      </c>
      <c r="I10626" s="94" t="n">
        <v>200801</v>
      </c>
      <c r="J10626" s="94" t="n"/>
      <c r="K10626" s="94" t="n">
        <v>1</v>
      </c>
      <c r="L10626" s="94" t="n">
        <v>200801</v>
      </c>
      <c r="M10626" s="94">
        <f>VLOOKUP($Q10626,매칭테이블!$F:$I,2,0)*K10626</f>
        <v/>
      </c>
      <c r="N10626" s="94">
        <f>M10626-M10626*VLOOKUP($Q10626,매칭테이블!$F:$I,3,0)</f>
        <v/>
      </c>
      <c r="O10626" s="94">
        <f>VLOOKUP($Q10626,매칭테이블!$F:$I,4,0)*K10626</f>
        <v/>
      </c>
      <c r="P10626" s="148">
        <f>M10626/1.1</f>
        <v/>
      </c>
      <c r="Q10626" s="94">
        <f>F10626&amp;E10626&amp;G10626&amp;L10626</f>
        <v/>
      </c>
    </row>
    <row r="10627">
      <c r="B10627" s="128" t="n">
        <v>44138</v>
      </c>
      <c r="C10627" s="94">
        <f>TEXT(B10627,"aaa")</f>
        <v/>
      </c>
      <c r="D10627" s="94" t="n"/>
      <c r="E10627" s="94" t="inlineStr">
        <is>
          <t>토너</t>
        </is>
      </c>
      <c r="F10627" s="5" t="inlineStr">
        <is>
          <t>카페24</t>
        </is>
      </c>
      <c r="G10627" s="94" t="inlineStr">
        <is>
          <t>250ml</t>
        </is>
      </c>
      <c r="H10627" s="94" t="n">
        <v>200801</v>
      </c>
      <c r="I10627" s="94" t="n">
        <v>200801</v>
      </c>
      <c r="J10627" s="94" t="n"/>
      <c r="K10627" s="94" t="n">
        <v>33</v>
      </c>
      <c r="L10627" s="94" t="n">
        <v>200801</v>
      </c>
      <c r="M10627" s="94">
        <f>VLOOKUP($Q10627,매칭테이블!$F:$I,2,0)*K10627</f>
        <v/>
      </c>
      <c r="N10627" s="94">
        <f>M10627-M10627*VLOOKUP($Q10627,매칭테이블!$F:$I,3,0)</f>
        <v/>
      </c>
      <c r="O10627" s="94">
        <f>VLOOKUP($Q10627,매칭테이블!$F:$I,4,0)*K10627</f>
        <v/>
      </c>
      <c r="P10627" s="148">
        <f>M10627/1.1</f>
        <v/>
      </c>
      <c r="Q10627" s="94">
        <f>F10627&amp;E10627&amp;G10627&amp;L10627</f>
        <v/>
      </c>
    </row>
    <row r="10628">
      <c r="B10628" s="128" t="n">
        <v>44138</v>
      </c>
      <c r="C10628" s="94">
        <f>TEXT(B10628,"aaa")</f>
        <v/>
      </c>
      <c r="D10628" s="94" t="n"/>
      <c r="E10628" s="94" t="inlineStr">
        <is>
          <t>토너</t>
        </is>
      </c>
      <c r="F10628" s="5" t="inlineStr">
        <is>
          <t>카페24</t>
        </is>
      </c>
      <c r="G10628" s="94" t="inlineStr">
        <is>
          <t>250ml 2set</t>
        </is>
      </c>
      <c r="H10628" s="94" t="n">
        <v>200801</v>
      </c>
      <c r="I10628" s="94" t="n">
        <v>200801</v>
      </c>
      <c r="J10628" s="94" t="n"/>
      <c r="K10628" s="94" t="n">
        <v>26</v>
      </c>
      <c r="L10628" s="94" t="n">
        <v>200801</v>
      </c>
      <c r="M10628" s="94">
        <f>VLOOKUP($Q10628,매칭테이블!$F:$I,2,0)*K10628</f>
        <v/>
      </c>
      <c r="N10628" s="94">
        <f>M10628-M10628*VLOOKUP($Q10628,매칭테이블!$F:$I,3,0)</f>
        <v/>
      </c>
      <c r="O10628" s="94">
        <f>VLOOKUP($Q10628,매칭테이블!$F:$I,4,0)*K10628</f>
        <v/>
      </c>
      <c r="P10628" s="148">
        <f>M10628/1.1</f>
        <v/>
      </c>
      <c r="Q10628" s="94">
        <f>F10628&amp;E10628&amp;G10628&amp;L10628</f>
        <v/>
      </c>
    </row>
    <row r="10629">
      <c r="B10629" s="128" t="n">
        <v>44138</v>
      </c>
      <c r="C10629" s="94">
        <f>TEXT(B10629,"aaa")</f>
        <v/>
      </c>
      <c r="D10629" s="94" t="n"/>
      <c r="E10629" s="94" t="inlineStr">
        <is>
          <t>토너</t>
        </is>
      </c>
      <c r="F10629" s="5" t="inlineStr">
        <is>
          <t>카페24</t>
        </is>
      </c>
      <c r="G10629" s="94" t="inlineStr">
        <is>
          <t>500ml</t>
        </is>
      </c>
      <c r="H10629" s="94" t="n">
        <v>200801</v>
      </c>
      <c r="I10629" s="94" t="n">
        <v>200801</v>
      </c>
      <c r="J10629" s="94" t="n"/>
      <c r="K10629" s="94" t="n">
        <v>50</v>
      </c>
      <c r="L10629" s="94" t="n">
        <v>200801</v>
      </c>
      <c r="M10629" s="94">
        <f>VLOOKUP($Q10629,매칭테이블!$F:$I,2,0)*K10629</f>
        <v/>
      </c>
      <c r="N10629" s="94">
        <f>M10629-M10629*VLOOKUP($Q10629,매칭테이블!$F:$I,3,0)</f>
        <v/>
      </c>
      <c r="O10629" s="94">
        <f>VLOOKUP($Q10629,매칭테이블!$F:$I,4,0)*K10629</f>
        <v/>
      </c>
      <c r="P10629" s="148">
        <f>M10629/1.1</f>
        <v/>
      </c>
      <c r="Q10629" s="94">
        <f>F10629&amp;E10629&amp;G10629&amp;L10629</f>
        <v/>
      </c>
    </row>
    <row r="10630">
      <c r="B10630" s="128" t="n">
        <v>44138</v>
      </c>
      <c r="C10630" s="94">
        <f>TEXT(B10630,"aaa")</f>
        <v/>
      </c>
      <c r="D10630" s="94" t="n"/>
      <c r="E10630" s="94" t="inlineStr">
        <is>
          <t>토너</t>
        </is>
      </c>
      <c r="F10630" s="5" t="inlineStr">
        <is>
          <t>카페24</t>
        </is>
      </c>
      <c r="G10630" s="94" t="inlineStr">
        <is>
          <t>스킨팩 화장솜 60P</t>
        </is>
      </c>
      <c r="H10630" s="94" t="n">
        <v>200801</v>
      </c>
      <c r="I10630" s="94" t="n">
        <v>200801</v>
      </c>
      <c r="J10630" s="94" t="n"/>
      <c r="K10630" s="94" t="n">
        <v>29</v>
      </c>
      <c r="L10630" s="94" t="n">
        <v>200801</v>
      </c>
      <c r="M10630" s="94">
        <f>VLOOKUP($Q10630,매칭테이블!$F:$I,2,0)*K10630</f>
        <v/>
      </c>
      <c r="N10630" s="94">
        <f>M10630-M10630*VLOOKUP($Q10630,매칭테이블!$F:$I,3,0)</f>
        <v/>
      </c>
      <c r="O10630" s="94">
        <f>VLOOKUP($Q10630,매칭테이블!$F:$I,4,0)*K10630</f>
        <v/>
      </c>
      <c r="P10630" s="148">
        <f>M10630/1.1</f>
        <v/>
      </c>
      <c r="Q10630" s="94">
        <f>F10630&amp;E10630&amp;G10630&amp;L10630</f>
        <v/>
      </c>
    </row>
    <row r="10631">
      <c r="B10631" s="128" t="n">
        <v>44138</v>
      </c>
      <c r="C10631" s="94">
        <f>TEXT(B10631,"aaa")</f>
        <v/>
      </c>
      <c r="D10631" s="94" t="n"/>
      <c r="E10631" s="94" t="inlineStr">
        <is>
          <t>앰플</t>
        </is>
      </c>
      <c r="F10631" s="5" t="inlineStr">
        <is>
          <t>카페24</t>
        </is>
      </c>
      <c r="G10631" s="94" t="inlineStr">
        <is>
          <t>앰플 30ml</t>
        </is>
      </c>
      <c r="H10631" s="94" t="n">
        <v>200801</v>
      </c>
      <c r="I10631" s="94" t="n">
        <v>200801</v>
      </c>
      <c r="J10631" s="94" t="n"/>
      <c r="K10631" s="94" t="n">
        <v>25</v>
      </c>
      <c r="L10631" s="94" t="n">
        <v>200801</v>
      </c>
      <c r="M10631" s="94">
        <f>VLOOKUP($Q10631,매칭테이블!$F:$I,2,0)*K10631</f>
        <v/>
      </c>
      <c r="N10631" s="94">
        <f>M10631-M10631*VLOOKUP($Q10631,매칭테이블!$F:$I,3,0)</f>
        <v/>
      </c>
      <c r="O10631" s="94">
        <f>VLOOKUP($Q10631,매칭테이블!$F:$I,4,0)*K10631</f>
        <v/>
      </c>
      <c r="P10631" s="148">
        <f>M10631/1.1</f>
        <v/>
      </c>
      <c r="Q10631" s="94">
        <f>F10631&amp;E10631&amp;G10631&amp;L10631</f>
        <v/>
      </c>
    </row>
    <row r="10632">
      <c r="B10632" s="128" t="n">
        <v>44138</v>
      </c>
      <c r="C10632" s="94">
        <f>TEXT(B10632,"aaa")</f>
        <v/>
      </c>
      <c r="D10632" s="94" t="n"/>
      <c r="E10632" s="94" t="inlineStr">
        <is>
          <t>앰플</t>
        </is>
      </c>
      <c r="F10632" s="5" t="inlineStr">
        <is>
          <t>카페24</t>
        </is>
      </c>
      <c r="G10632" s="94" t="inlineStr">
        <is>
          <t>앰플 30ml  2set</t>
        </is>
      </c>
      <c r="H10632" s="94" t="n">
        <v>200801</v>
      </c>
      <c r="I10632" s="94" t="n">
        <v>200801</v>
      </c>
      <c r="J10632" s="94" t="n"/>
      <c r="K10632" s="94" t="n">
        <v>9</v>
      </c>
      <c r="L10632" s="94" t="n">
        <v>200801</v>
      </c>
      <c r="M10632" s="94">
        <f>VLOOKUP($Q10632,매칭테이블!$F:$I,2,0)*K10632</f>
        <v/>
      </c>
      <c r="N10632" s="94">
        <f>M10632-M10632*VLOOKUP($Q10632,매칭테이블!$F:$I,3,0)</f>
        <v/>
      </c>
      <c r="O10632" s="94">
        <f>VLOOKUP($Q10632,매칭테이블!$F:$I,4,0)*K10632</f>
        <v/>
      </c>
      <c r="P10632" s="148">
        <f>M10632/1.1</f>
        <v/>
      </c>
      <c r="Q10632" s="94">
        <f>F10632&amp;E10632&amp;G10632&amp;L10632</f>
        <v/>
      </c>
    </row>
    <row r="10633">
      <c r="B10633" s="128" t="n">
        <v>44138</v>
      </c>
      <c r="C10633" s="94">
        <f>TEXT(B10633,"aaa")</f>
        <v/>
      </c>
      <c r="D10633" s="94" t="n"/>
      <c r="E10633" s="94" t="inlineStr">
        <is>
          <t>수딩크림</t>
        </is>
      </c>
      <c r="F10633" s="5" t="inlineStr">
        <is>
          <t>카페24</t>
        </is>
      </c>
      <c r="G10633" s="94" t="inlineStr">
        <is>
          <t>수딩크림 100ml</t>
        </is>
      </c>
      <c r="H10633" s="94" t="n">
        <v>200801</v>
      </c>
      <c r="I10633" s="94" t="n">
        <v>200801</v>
      </c>
      <c r="J10633" s="94" t="n"/>
      <c r="K10633" s="94" t="n">
        <v>3</v>
      </c>
      <c r="L10633" s="94" t="n">
        <v>200801</v>
      </c>
      <c r="M10633" s="94">
        <f>VLOOKUP($Q10633,매칭테이블!$F:$I,2,0)*K10633</f>
        <v/>
      </c>
      <c r="N10633" s="94">
        <f>M10633-M10633*VLOOKUP($Q10633,매칭테이블!$F:$I,3,0)</f>
        <v/>
      </c>
      <c r="O10633" s="94">
        <f>VLOOKUP($Q10633,매칭테이블!$F:$I,4,0)*K10633</f>
        <v/>
      </c>
      <c r="P10633" s="148">
        <f>M10633/1.1</f>
        <v/>
      </c>
      <c r="Q10633" s="94">
        <f>F10633&amp;E10633&amp;G10633&amp;L10633</f>
        <v/>
      </c>
    </row>
    <row r="10634">
      <c r="B10634" s="128" t="n">
        <v>44138</v>
      </c>
      <c r="C10634" s="94">
        <f>TEXT(B10634,"aaa")</f>
        <v/>
      </c>
      <c r="D10634" s="94" t="n"/>
      <c r="E10634" s="94" t="inlineStr">
        <is>
          <t>클렌징폼</t>
        </is>
      </c>
      <c r="F10634" s="5" t="inlineStr">
        <is>
          <t>카페24</t>
        </is>
      </c>
      <c r="G10634" s="94" t="inlineStr">
        <is>
          <t>클렌징폼 120ml</t>
        </is>
      </c>
      <c r="H10634" s="94" t="n">
        <v>200801</v>
      </c>
      <c r="I10634" s="94" t="n">
        <v>200801</v>
      </c>
      <c r="J10634" s="94" t="n"/>
      <c r="K10634" s="94" t="n">
        <v>7</v>
      </c>
      <c r="L10634" s="94" t="n">
        <v>200801</v>
      </c>
      <c r="M10634" s="94">
        <f>VLOOKUP($Q10634,매칭테이블!$F:$I,2,0)*K10634</f>
        <v/>
      </c>
      <c r="N10634" s="94">
        <f>M10634-M10634*VLOOKUP($Q10634,매칭테이블!$F:$I,3,0)</f>
        <v/>
      </c>
      <c r="O10634" s="94">
        <f>VLOOKUP($Q10634,매칭테이블!$F:$I,4,0)*K10634</f>
        <v/>
      </c>
      <c r="P10634" s="148">
        <f>M10634/1.1</f>
        <v/>
      </c>
      <c r="Q10634" s="94">
        <f>F10634&amp;E10634&amp;G10634&amp;L10634</f>
        <v/>
      </c>
    </row>
    <row r="10635">
      <c r="B10635" s="128" t="n">
        <v>44138</v>
      </c>
      <c r="C10635" s="94">
        <f>TEXT(B10635,"aaa")</f>
        <v/>
      </c>
      <c r="D10635" s="94" t="n"/>
      <c r="E10635" s="94" t="inlineStr">
        <is>
          <t>클렌징폼</t>
        </is>
      </c>
      <c r="F10635" s="5" t="inlineStr">
        <is>
          <t>카페24</t>
        </is>
      </c>
      <c r="G10635" s="94" t="inlineStr">
        <is>
          <t>클렌징폼 120ml 2set</t>
        </is>
      </c>
      <c r="H10635" s="94" t="n">
        <v>200801</v>
      </c>
      <c r="I10635" s="94" t="n">
        <v>200801</v>
      </c>
      <c r="J10635" s="94" t="n"/>
      <c r="K10635" s="94" t="n">
        <v>3</v>
      </c>
      <c r="L10635" s="94" t="n">
        <v>200801</v>
      </c>
      <c r="M10635" s="94">
        <f>VLOOKUP($Q10635,매칭테이블!$F:$I,2,0)*K10635</f>
        <v/>
      </c>
      <c r="N10635" s="94">
        <f>M10635-M10635*VLOOKUP($Q10635,매칭테이블!$F:$I,3,0)</f>
        <v/>
      </c>
      <c r="O10635" s="94">
        <f>VLOOKUP($Q10635,매칭테이블!$F:$I,4,0)*K10635</f>
        <v/>
      </c>
      <c r="P10635" s="148">
        <f>M10635/1.1</f>
        <v/>
      </c>
      <c r="Q10635" s="94">
        <f>F10635&amp;E10635&amp;G10635&amp;L10635</f>
        <v/>
      </c>
    </row>
    <row r="10636">
      <c r="B10636" s="128" t="n">
        <v>44138</v>
      </c>
      <c r="C10636" s="94">
        <f>TEXT(B10636,"aaa")</f>
        <v/>
      </c>
      <c r="D10636" s="94" t="n"/>
      <c r="E10636" s="94" t="inlineStr">
        <is>
          <t>바디워시</t>
        </is>
      </c>
      <c r="F10636" s="5" t="inlineStr">
        <is>
          <t>카페24</t>
        </is>
      </c>
      <c r="G10636" s="94" t="inlineStr">
        <is>
          <t>바디워시 1개 -30% off</t>
        </is>
      </c>
      <c r="H10636" s="94" t="n">
        <v>200801</v>
      </c>
      <c r="I10636" s="94" t="n">
        <v>200801</v>
      </c>
      <c r="J10636" s="94" t="n"/>
      <c r="K10636" s="94" t="n">
        <v>1</v>
      </c>
      <c r="L10636" s="94" t="n">
        <v>200801</v>
      </c>
      <c r="M10636" s="94">
        <f>VLOOKUP($Q10636,매칭테이블!$F:$I,2,0)*K10636</f>
        <v/>
      </c>
      <c r="N10636" s="94">
        <f>M10636-M10636*VLOOKUP($Q10636,매칭테이블!$F:$I,3,0)</f>
        <v/>
      </c>
      <c r="O10636" s="94">
        <f>VLOOKUP($Q10636,매칭테이블!$F:$I,4,0)*K10636</f>
        <v/>
      </c>
      <c r="P10636" s="148">
        <f>M10636/1.1</f>
        <v/>
      </c>
      <c r="Q10636" s="94">
        <f>F10636&amp;E10636&amp;G10636&amp;L10636</f>
        <v/>
      </c>
    </row>
    <row r="10637">
      <c r="B10637" s="128" t="n">
        <v>44138</v>
      </c>
      <c r="C10637" s="94">
        <f>TEXT(B10637,"aaa")</f>
        <v/>
      </c>
      <c r="D10637" s="94" t="n"/>
      <c r="E10637" s="94" t="inlineStr">
        <is>
          <t>바디워시</t>
        </is>
      </c>
      <c r="F10637" s="5" t="inlineStr">
        <is>
          <t>카페24</t>
        </is>
      </c>
      <c r="G10637" s="94" t="inlineStr">
        <is>
          <t>바디워시 2개 -35% off (무료배송)</t>
        </is>
      </c>
      <c r="H10637" s="94" t="n">
        <v>200801</v>
      </c>
      <c r="I10637" s="94" t="n">
        <v>200801</v>
      </c>
      <c r="J10637" s="94" t="n"/>
      <c r="K10637" s="94" t="n">
        <v>1</v>
      </c>
      <c r="L10637" s="94" t="n">
        <v>200801</v>
      </c>
      <c r="M10637" s="94">
        <f>VLOOKUP($Q10637,매칭테이블!$F:$I,2,0)*K10637</f>
        <v/>
      </c>
      <c r="N10637" s="94">
        <f>M10637-M10637*VLOOKUP($Q10637,매칭테이블!$F:$I,3,0)</f>
        <v/>
      </c>
      <c r="O10637" s="94">
        <f>VLOOKUP($Q10637,매칭테이블!$F:$I,4,0)*K10637</f>
        <v/>
      </c>
      <c r="P10637" s="148">
        <f>M10637/1.1</f>
        <v/>
      </c>
      <c r="Q10637" s="94">
        <f>F10637&amp;E10637&amp;G10637&amp;L10637</f>
        <v/>
      </c>
    </row>
    <row r="10638">
      <c r="B10638" s="128" t="n">
        <v>44138</v>
      </c>
      <c r="C10638" s="94">
        <f>TEXT(B10638,"aaa")</f>
        <v/>
      </c>
      <c r="D10638" s="94" t="n"/>
      <c r="E10638" s="94" t="inlineStr">
        <is>
          <t>토너</t>
        </is>
      </c>
      <c r="F10638" s="5" t="inlineStr">
        <is>
          <t>화해</t>
        </is>
      </c>
      <c r="G10638" s="94" t="inlineStr">
        <is>
          <t>250ml</t>
        </is>
      </c>
      <c r="H10638" s="94" t="n">
        <v>200801</v>
      </c>
      <c r="I10638" s="94" t="n">
        <v>200801</v>
      </c>
      <c r="J10638" s="94" t="n"/>
      <c r="K10638" s="94" t="n">
        <v>1</v>
      </c>
      <c r="L10638" s="94" t="n">
        <v>200801</v>
      </c>
      <c r="M10638" s="94">
        <f>VLOOKUP($Q10638,매칭테이블!$F:$I,2,0)*K10638</f>
        <v/>
      </c>
      <c r="N10638" s="94">
        <f>M10638-M10638*VLOOKUP($Q10638,매칭테이블!$F:$I,3,0)</f>
        <v/>
      </c>
      <c r="O10638" s="94">
        <f>VLOOKUP($Q10638,매칭테이블!$F:$I,4,0)*K10638</f>
        <v/>
      </c>
      <c r="P10638" s="148">
        <f>M10638/1.1</f>
        <v/>
      </c>
      <c r="Q10638" s="94">
        <f>F10638&amp;E10638&amp;G10638&amp;L10638</f>
        <v/>
      </c>
    </row>
    <row r="10639">
      <c r="B10639" s="128" t="n">
        <v>44138</v>
      </c>
      <c r="C10639" s="94">
        <f>TEXT(B10639,"aaa")</f>
        <v/>
      </c>
      <c r="D10639" s="94" t="n"/>
      <c r="E10639" s="94" t="inlineStr">
        <is>
          <t>클렌징폼</t>
        </is>
      </c>
      <c r="F10639" s="5" t="inlineStr">
        <is>
          <t>굿닥</t>
        </is>
      </c>
      <c r="G10639" s="94" t="inlineStr">
        <is>
          <t>클렌징폼 120ml</t>
        </is>
      </c>
      <c r="H10639" s="94" t="n">
        <v>200801</v>
      </c>
      <c r="I10639" s="94" t="n">
        <v>200801</v>
      </c>
      <c r="J10639" s="94" t="n"/>
      <c r="K10639" s="94" t="n">
        <v>1</v>
      </c>
      <c r="L10639" s="94" t="n">
        <v>200801</v>
      </c>
      <c r="M10639" s="94">
        <f>VLOOKUP($Q10639,매칭테이블!$F:$I,2,0)*K10639</f>
        <v/>
      </c>
      <c r="N10639" s="94">
        <f>M10639-M10639*VLOOKUP($Q10639,매칭테이블!$F:$I,3,0)</f>
        <v/>
      </c>
      <c r="O10639" s="94">
        <f>VLOOKUP($Q10639,매칭테이블!$F:$I,4,0)*K10639</f>
        <v/>
      </c>
      <c r="P10639" s="148">
        <f>M10639/1.1</f>
        <v/>
      </c>
      <c r="Q10639" s="94">
        <f>F10639&amp;E10639&amp;G10639&amp;L10639</f>
        <v/>
      </c>
    </row>
    <row r="10640">
      <c r="B10640" s="128" t="n">
        <v>44139</v>
      </c>
      <c r="C10640" s="94">
        <f>TEXT(B10640,"aaa")</f>
        <v/>
      </c>
      <c r="D10640" s="94" t="n"/>
      <c r="E10640" s="94" t="inlineStr">
        <is>
          <t>토너</t>
        </is>
      </c>
      <c r="F10640" s="5" t="inlineStr">
        <is>
          <t>W컨셉</t>
        </is>
      </c>
      <c r="G10640" s="94" t="inlineStr">
        <is>
          <t>250ml</t>
        </is>
      </c>
      <c r="H10640" s="94" t="n">
        <v>200801</v>
      </c>
      <c r="I10640" s="94" t="n">
        <v>200801</v>
      </c>
      <c r="J10640" s="94" t="n"/>
      <c r="K10640" s="94" t="n">
        <v>1</v>
      </c>
      <c r="L10640" s="94" t="n">
        <v>200801</v>
      </c>
      <c r="M10640" s="94">
        <f>VLOOKUP($Q10640,매칭테이블!$F:$I,2,0)*K10640</f>
        <v/>
      </c>
      <c r="N10640" s="94">
        <f>M10640-M10640*VLOOKUP($Q10640,매칭테이블!$F:$I,3,0)</f>
        <v/>
      </c>
      <c r="O10640" s="94">
        <f>VLOOKUP($Q10640,매칭테이블!$F:$I,4,0)*K10640</f>
        <v/>
      </c>
      <c r="P10640" s="148">
        <f>M10640/1.1</f>
        <v/>
      </c>
      <c r="Q10640" s="94">
        <f>F10640&amp;E10640&amp;G10640&amp;L10640</f>
        <v/>
      </c>
    </row>
    <row r="10641">
      <c r="B10641" s="128" t="n">
        <v>44139</v>
      </c>
      <c r="C10641" s="94">
        <f>TEXT(B10641,"aaa")</f>
        <v/>
      </c>
      <c r="D10641" s="94" t="n"/>
      <c r="E10641" s="94" t="inlineStr">
        <is>
          <t>토너</t>
        </is>
      </c>
      <c r="F10641" s="5" t="inlineStr">
        <is>
          <t>W컨셉</t>
        </is>
      </c>
      <c r="G10641" s="94" t="inlineStr">
        <is>
          <t>250ml 2set</t>
        </is>
      </c>
      <c r="H10641" s="94" t="n">
        <v>200801</v>
      </c>
      <c r="I10641" s="94" t="n">
        <v>200801</v>
      </c>
      <c r="J10641" s="94" t="n"/>
      <c r="K10641" s="94" t="n">
        <v>5</v>
      </c>
      <c r="L10641" s="94" t="n">
        <v>200801</v>
      </c>
      <c r="M10641" s="94">
        <f>VLOOKUP($Q10641,매칭테이블!$F:$I,2,0)*K10641</f>
        <v/>
      </c>
      <c r="N10641" s="94">
        <f>M10641-M10641*VLOOKUP($Q10641,매칭테이블!$F:$I,3,0)</f>
        <v/>
      </c>
      <c r="O10641" s="94">
        <f>VLOOKUP($Q10641,매칭테이블!$F:$I,4,0)*K10641</f>
        <v/>
      </c>
      <c r="P10641" s="148">
        <f>M10641/1.1</f>
        <v/>
      </c>
      <c r="Q10641" s="94">
        <f>F10641&amp;E10641&amp;G10641&amp;L10641</f>
        <v/>
      </c>
    </row>
    <row r="10642">
      <c r="B10642" s="128" t="n">
        <v>44139</v>
      </c>
      <c r="C10642" s="94">
        <f>TEXT(B10642,"aaa")</f>
        <v/>
      </c>
      <c r="D10642" s="94" t="n"/>
      <c r="E10642" s="94" t="inlineStr">
        <is>
          <t>토너</t>
        </is>
      </c>
      <c r="F10642" s="5" t="inlineStr">
        <is>
          <t>스타일쉐어</t>
        </is>
      </c>
      <c r="G10642" s="94" t="inlineStr">
        <is>
          <t>250ml</t>
        </is>
      </c>
      <c r="H10642" s="94" t="n">
        <v>200801</v>
      </c>
      <c r="I10642" s="94" t="n">
        <v>200801</v>
      </c>
      <c r="J10642" s="94" t="n"/>
      <c r="K10642" s="94" t="n">
        <v>1</v>
      </c>
      <c r="L10642" s="94" t="n">
        <v>200801</v>
      </c>
      <c r="M10642" s="94">
        <f>VLOOKUP($Q10642,매칭테이블!$F:$I,2,0)*K10642</f>
        <v/>
      </c>
      <c r="N10642" s="94">
        <f>M10642-M10642*VLOOKUP($Q10642,매칭테이블!$F:$I,3,0)</f>
        <v/>
      </c>
      <c r="O10642" s="94">
        <f>VLOOKUP($Q10642,매칭테이블!$F:$I,4,0)*K10642</f>
        <v/>
      </c>
      <c r="P10642" s="148">
        <f>M10642/1.1</f>
        <v/>
      </c>
      <c r="Q10642" s="94">
        <f>F10642&amp;E10642&amp;G10642&amp;L10642</f>
        <v/>
      </c>
    </row>
    <row r="10643">
      <c r="B10643" s="128" t="n">
        <v>44139</v>
      </c>
      <c r="C10643" s="94">
        <f>TEXT(B10643,"aaa")</f>
        <v/>
      </c>
      <c r="D10643" s="94" t="n"/>
      <c r="E10643" s="94" t="inlineStr">
        <is>
          <t>로션</t>
        </is>
      </c>
      <c r="F10643" s="5" t="inlineStr">
        <is>
          <t>아누아 CS</t>
        </is>
      </c>
      <c r="G10643" s="94" t="inlineStr">
        <is>
          <t>로션 200ml</t>
        </is>
      </c>
      <c r="H10643" s="94" t="n">
        <v>200801</v>
      </c>
      <c r="I10643" s="94" t="n">
        <v>200801</v>
      </c>
      <c r="J10643" s="94" t="n"/>
      <c r="K10643" s="94" t="n">
        <v>1</v>
      </c>
      <c r="L10643" s="94" t="n">
        <v>200801</v>
      </c>
      <c r="M10643" s="94">
        <f>VLOOKUP($Q10643,매칭테이블!$F:$I,2,0)*K10643</f>
        <v/>
      </c>
      <c r="N10643" s="94">
        <f>M10643-M10643*VLOOKUP($Q10643,매칭테이블!$F:$I,3,0)</f>
        <v/>
      </c>
      <c r="O10643" s="94">
        <f>VLOOKUP($Q10643,매칭테이블!$F:$I,4,0)*K10643</f>
        <v/>
      </c>
      <c r="P10643" s="148">
        <f>M10643/1.1</f>
        <v/>
      </c>
      <c r="Q10643" s="94">
        <f>F10643&amp;E10643&amp;G10643&amp;L10643</f>
        <v/>
      </c>
    </row>
    <row r="10644">
      <c r="B10644" s="128" t="n">
        <v>44139</v>
      </c>
      <c r="C10644" s="94">
        <f>TEXT(B10644,"aaa")</f>
        <v/>
      </c>
      <c r="D10644" s="94" t="n"/>
      <c r="E10644" s="94" t="inlineStr">
        <is>
          <t>클리어 패드</t>
        </is>
      </c>
      <c r="F10644" s="5" t="inlineStr">
        <is>
          <t>아누아 CS</t>
        </is>
      </c>
      <c r="G10644" s="94" t="inlineStr">
        <is>
          <t>어성초 클리어패드 70P</t>
        </is>
      </c>
      <c r="H10644" s="94" t="n">
        <v>200801</v>
      </c>
      <c r="I10644" s="94" t="n">
        <v>200801</v>
      </c>
      <c r="J10644" s="94" t="n"/>
      <c r="K10644" s="94" t="n">
        <v>1</v>
      </c>
      <c r="L10644" s="94" t="n">
        <v>200801</v>
      </c>
      <c r="M10644" s="94">
        <f>VLOOKUP($Q10644,매칭테이블!$F:$I,2,0)*K10644</f>
        <v/>
      </c>
      <c r="N10644" s="94">
        <f>M10644-M10644*VLOOKUP($Q10644,매칭테이블!$F:$I,3,0)</f>
        <v/>
      </c>
      <c r="O10644" s="94">
        <f>VLOOKUP($Q10644,매칭테이블!$F:$I,4,0)*K10644</f>
        <v/>
      </c>
      <c r="P10644" s="148">
        <f>M10644/1.1</f>
        <v/>
      </c>
      <c r="Q10644" s="94">
        <f>F10644&amp;E10644&amp;G10644&amp;L10644</f>
        <v/>
      </c>
    </row>
    <row r="10645">
      <c r="B10645" s="128" t="n">
        <v>44139</v>
      </c>
      <c r="C10645" s="94">
        <f>TEXT(B10645,"aaa")</f>
        <v/>
      </c>
      <c r="D10645" s="94" t="n"/>
      <c r="E10645" s="94" t="inlineStr">
        <is>
          <t>바디워시</t>
        </is>
      </c>
      <c r="F10645" s="5" t="inlineStr">
        <is>
          <t>아누아 CS</t>
        </is>
      </c>
      <c r="G10645" s="94" t="inlineStr">
        <is>
          <t>바디워시 500ml</t>
        </is>
      </c>
      <c r="H10645" s="94" t="n">
        <v>200801</v>
      </c>
      <c r="I10645" s="94" t="n">
        <v>200801</v>
      </c>
      <c r="J10645" s="94" t="n"/>
      <c r="K10645" s="94" t="n">
        <v>1</v>
      </c>
      <c r="L10645" s="94" t="n">
        <v>200801</v>
      </c>
      <c r="M10645" s="94">
        <f>VLOOKUP($Q10645,매칭테이블!$F:$I,2,0)*K10645</f>
        <v/>
      </c>
      <c r="N10645" s="94">
        <f>M10645-M10645*VLOOKUP($Q10645,매칭테이블!$F:$I,3,0)</f>
        <v/>
      </c>
      <c r="O10645" s="94">
        <f>VLOOKUP($Q10645,매칭테이블!$F:$I,4,0)*K10645</f>
        <v/>
      </c>
      <c r="P10645" s="148">
        <f>M10645/1.1</f>
        <v/>
      </c>
      <c r="Q10645" s="94">
        <f>F10645&amp;E10645&amp;G10645&amp;L10645</f>
        <v/>
      </c>
    </row>
    <row r="10646">
      <c r="B10646" s="128" t="n">
        <v>44139</v>
      </c>
      <c r="C10646" s="94">
        <f>TEXT(B10646,"aaa")</f>
        <v/>
      </c>
      <c r="D10646" s="94" t="n"/>
      <c r="E10646" s="94" t="inlineStr">
        <is>
          <t>토너</t>
        </is>
      </c>
      <c r="F10646" s="5" t="inlineStr">
        <is>
          <t>아누아 CS</t>
        </is>
      </c>
      <c r="G10646" s="94" t="inlineStr">
        <is>
          <t>250ml</t>
        </is>
      </c>
      <c r="H10646" s="94" t="n">
        <v>200801</v>
      </c>
      <c r="I10646" s="94" t="n">
        <v>200801</v>
      </c>
      <c r="J10646" s="94" t="n"/>
      <c r="K10646" s="94" t="n">
        <v>11</v>
      </c>
      <c r="L10646" s="94" t="n">
        <v>200801</v>
      </c>
      <c r="M10646" s="94">
        <f>VLOOKUP($Q10646,매칭테이블!$F:$I,2,0)*K10646</f>
        <v/>
      </c>
      <c r="N10646" s="94">
        <f>M10646-M10646*VLOOKUP($Q10646,매칭테이블!$F:$I,3,0)</f>
        <v/>
      </c>
      <c r="O10646" s="94">
        <f>VLOOKUP($Q10646,매칭테이블!$F:$I,4,0)*K10646</f>
        <v/>
      </c>
      <c r="P10646" s="148">
        <f>M10646/1.1</f>
        <v/>
      </c>
      <c r="Q10646" s="94">
        <f>F10646&amp;E10646&amp;G10646&amp;L10646</f>
        <v/>
      </c>
    </row>
    <row r="10647">
      <c r="B10647" s="128" t="n">
        <v>44139</v>
      </c>
      <c r="C10647" s="94">
        <f>TEXT(B10647,"aaa")</f>
        <v/>
      </c>
      <c r="D10647" s="94" t="n"/>
      <c r="E10647" s="94" t="inlineStr">
        <is>
          <t>화장솜</t>
        </is>
      </c>
      <c r="F10647" s="5" t="inlineStr">
        <is>
          <t>아누아 CS</t>
        </is>
      </c>
      <c r="G10647" s="94" t="inlineStr">
        <is>
          <t>스킨팩 화장솜 60P</t>
        </is>
      </c>
      <c r="H10647" s="94" t="n">
        <v>200801</v>
      </c>
      <c r="I10647" s="94" t="n">
        <v>200801</v>
      </c>
      <c r="J10647" s="94" t="n"/>
      <c r="K10647" s="94" t="n">
        <v>1</v>
      </c>
      <c r="L10647" s="94" t="n">
        <v>200801</v>
      </c>
      <c r="M10647" s="94">
        <f>VLOOKUP($Q10647,매칭테이블!$F:$I,2,0)*K10647</f>
        <v/>
      </c>
      <c r="N10647" s="94">
        <f>M10647-M10647*VLOOKUP($Q10647,매칭테이블!$F:$I,3,0)</f>
        <v/>
      </c>
      <c r="O10647" s="94">
        <f>VLOOKUP($Q10647,매칭테이블!$F:$I,4,0)*K10647</f>
        <v/>
      </c>
      <c r="P10647" s="148">
        <f>M10647/1.1</f>
        <v/>
      </c>
      <c r="Q10647" s="94">
        <f>F10647&amp;E10647&amp;G10647&amp;L10647</f>
        <v/>
      </c>
    </row>
    <row r="10648">
      <c r="B10648" s="128" t="n">
        <v>44139</v>
      </c>
      <c r="C10648" s="94">
        <f>TEXT(B10648,"aaa")</f>
        <v/>
      </c>
      <c r="D10648" s="94" t="n"/>
      <c r="E10648" s="94" t="inlineStr">
        <is>
          <t>앰플</t>
        </is>
      </c>
      <c r="F10648" s="5" t="inlineStr">
        <is>
          <t>아누아 CS</t>
        </is>
      </c>
      <c r="G10648" s="94" t="inlineStr">
        <is>
          <t>앰플 30ml</t>
        </is>
      </c>
      <c r="H10648" s="94" t="n">
        <v>200801</v>
      </c>
      <c r="I10648" s="94" t="n">
        <v>200801</v>
      </c>
      <c r="J10648" s="94" t="n"/>
      <c r="K10648" s="94" t="n">
        <v>1</v>
      </c>
      <c r="L10648" s="94" t="n">
        <v>200801</v>
      </c>
      <c r="M10648" s="94">
        <f>VLOOKUP($Q10648,매칭테이블!$F:$I,2,0)*K10648</f>
        <v/>
      </c>
      <c r="N10648" s="94">
        <f>M10648-M10648*VLOOKUP($Q10648,매칭테이블!$F:$I,3,0)</f>
        <v/>
      </c>
      <c r="O10648" s="94">
        <f>VLOOKUP($Q10648,매칭테이블!$F:$I,4,0)*K10648</f>
        <v/>
      </c>
      <c r="P10648" s="148">
        <f>M10648/1.1</f>
        <v/>
      </c>
      <c r="Q10648" s="94">
        <f>F10648&amp;E10648&amp;G10648&amp;L10648</f>
        <v/>
      </c>
    </row>
    <row r="10649">
      <c r="B10649" s="128" t="n">
        <v>44139</v>
      </c>
      <c r="C10649" s="94">
        <f>TEXT(B10649,"aaa")</f>
        <v/>
      </c>
      <c r="D10649" s="94" t="n"/>
      <c r="E10649" s="94" t="inlineStr">
        <is>
          <t>마스크팩</t>
        </is>
      </c>
      <c r="F10649" s="5" t="inlineStr">
        <is>
          <t>아누아 CS</t>
        </is>
      </c>
      <c r="G10649" s="94" t="inlineStr">
        <is>
          <t>마스크팩 10매</t>
        </is>
      </c>
      <c r="H10649" s="94" t="n">
        <v>200801</v>
      </c>
      <c r="I10649" s="94" t="n">
        <v>200801</v>
      </c>
      <c r="J10649" s="94" t="n"/>
      <c r="K10649" s="94" t="n">
        <v>1</v>
      </c>
      <c r="L10649" s="94" t="n">
        <v>200801</v>
      </c>
      <c r="M10649" s="94">
        <f>VLOOKUP($Q10649,매칭테이블!$F:$I,2,0)*K10649</f>
        <v/>
      </c>
      <c r="N10649" s="94">
        <f>M10649-M10649*VLOOKUP($Q10649,매칭테이블!$F:$I,3,0)</f>
        <v/>
      </c>
      <c r="O10649" s="94">
        <f>VLOOKUP($Q10649,매칭테이블!$F:$I,4,0)*K10649</f>
        <v/>
      </c>
      <c r="P10649" s="148">
        <f>M10649/1.1</f>
        <v/>
      </c>
      <c r="Q10649" s="94">
        <f>F10649&amp;E10649&amp;G10649&amp;L10649</f>
        <v/>
      </c>
    </row>
    <row r="10650">
      <c r="B10650" s="128" t="n">
        <v>44139</v>
      </c>
      <c r="C10650" s="94">
        <f>TEXT(B10650,"aaa")</f>
        <v/>
      </c>
      <c r="D10650" s="94" t="n"/>
      <c r="E10650" s="94" t="inlineStr">
        <is>
          <t>선크림</t>
        </is>
      </c>
      <c r="F10650" s="5" t="inlineStr">
        <is>
          <t>아누아 CS</t>
        </is>
      </c>
      <c r="G10650" s="94" t="inlineStr">
        <is>
          <t>선크림 50ml</t>
        </is>
      </c>
      <c r="H10650" s="94" t="n">
        <v>200801</v>
      </c>
      <c r="I10650" s="94" t="n">
        <v>200801</v>
      </c>
      <c r="J10650" s="94" t="n"/>
      <c r="K10650" s="94" t="n">
        <v>1</v>
      </c>
      <c r="L10650" s="94" t="n">
        <v>200801</v>
      </c>
      <c r="M10650" s="94">
        <f>VLOOKUP($Q10650,매칭테이블!$F:$I,2,0)*K10650</f>
        <v/>
      </c>
      <c r="N10650" s="94">
        <f>M10650-M10650*VLOOKUP($Q10650,매칭테이블!$F:$I,3,0)</f>
        <v/>
      </c>
      <c r="O10650" s="94">
        <f>VLOOKUP($Q10650,매칭테이블!$F:$I,4,0)*K10650</f>
        <v/>
      </c>
      <c r="P10650" s="148">
        <f>M10650/1.1</f>
        <v/>
      </c>
      <c r="Q10650" s="94">
        <f>F10650&amp;E10650&amp;G10650&amp;L10650</f>
        <v/>
      </c>
    </row>
    <row r="10651">
      <c r="B10651" s="128" t="n">
        <v>44139</v>
      </c>
      <c r="C10651" s="94">
        <f>TEXT(B10651,"aaa")</f>
        <v/>
      </c>
      <c r="D10651" s="94" t="n"/>
      <c r="E10651" s="94" t="inlineStr">
        <is>
          <t>수딩크림</t>
        </is>
      </c>
      <c r="F10651" s="5" t="inlineStr">
        <is>
          <t>아누아 CS</t>
        </is>
      </c>
      <c r="G10651" s="94" t="inlineStr">
        <is>
          <t>수딩크림 100ml</t>
        </is>
      </c>
      <c r="H10651" s="94" t="n">
        <v>200801</v>
      </c>
      <c r="I10651" s="94" t="n">
        <v>200801</v>
      </c>
      <c r="J10651" s="94" t="n"/>
      <c r="K10651" s="94" t="n">
        <v>1</v>
      </c>
      <c r="L10651" s="94" t="n">
        <v>200801</v>
      </c>
      <c r="M10651" s="94">
        <f>VLOOKUP($Q10651,매칭테이블!$F:$I,2,0)*K10651</f>
        <v/>
      </c>
      <c r="N10651" s="94">
        <f>M10651-M10651*VLOOKUP($Q10651,매칭테이블!$F:$I,3,0)</f>
        <v/>
      </c>
      <c r="O10651" s="94">
        <f>VLOOKUP($Q10651,매칭테이블!$F:$I,4,0)*K10651</f>
        <v/>
      </c>
      <c r="P10651" s="148">
        <f>M10651/1.1</f>
        <v/>
      </c>
      <c r="Q10651" s="94">
        <f>F10651&amp;E10651&amp;G10651&amp;L10651</f>
        <v/>
      </c>
    </row>
    <row r="10652">
      <c r="B10652" s="128" t="n">
        <v>44139</v>
      </c>
      <c r="C10652" s="94">
        <f>TEXT(B10652,"aaa")</f>
        <v/>
      </c>
      <c r="D10652" s="94" t="n"/>
      <c r="E10652" s="94" t="inlineStr">
        <is>
          <t>클렌징폼</t>
        </is>
      </c>
      <c r="F10652" s="5" t="inlineStr">
        <is>
          <t>아누아 CS</t>
        </is>
      </c>
      <c r="G10652" s="94" t="inlineStr">
        <is>
          <t>클렌징폼 120ml</t>
        </is>
      </c>
      <c r="H10652" s="94" t="n">
        <v>200801</v>
      </c>
      <c r="I10652" s="94" t="n">
        <v>200801</v>
      </c>
      <c r="J10652" s="94" t="n"/>
      <c r="K10652" s="94" t="n">
        <v>1</v>
      </c>
      <c r="L10652" s="94" t="n">
        <v>200801</v>
      </c>
      <c r="M10652" s="94">
        <f>VLOOKUP($Q10652,매칭테이블!$F:$I,2,0)*K10652</f>
        <v/>
      </c>
      <c r="N10652" s="94">
        <f>M10652-M10652*VLOOKUP($Q10652,매칭테이블!$F:$I,3,0)</f>
        <v/>
      </c>
      <c r="O10652" s="94">
        <f>VLOOKUP($Q10652,매칭테이블!$F:$I,4,0)*K10652</f>
        <v/>
      </c>
      <c r="P10652" s="148">
        <f>M10652/1.1</f>
        <v/>
      </c>
      <c r="Q10652" s="94">
        <f>F10652&amp;E10652&amp;G10652&amp;L10652</f>
        <v/>
      </c>
    </row>
    <row r="10653">
      <c r="B10653" s="128" t="n">
        <v>44139</v>
      </c>
      <c r="C10653" s="94">
        <f>TEXT(B10653,"aaa")</f>
        <v/>
      </c>
      <c r="D10653" s="94" t="n"/>
      <c r="E10653" s="94" t="inlineStr">
        <is>
          <t>머드크림마스크</t>
        </is>
      </c>
      <c r="F10653" s="5" t="inlineStr">
        <is>
          <t>아누아 CS</t>
        </is>
      </c>
      <c r="G10653" s="94" t="inlineStr">
        <is>
          <t>머드크림마스크 100ml</t>
        </is>
      </c>
      <c r="H10653" s="94" t="n">
        <v>200801</v>
      </c>
      <c r="I10653" s="94" t="n">
        <v>200801</v>
      </c>
      <c r="J10653" s="94" t="n"/>
      <c r="K10653" s="94" t="n">
        <v>1</v>
      </c>
      <c r="L10653" s="94" t="n">
        <v>200801</v>
      </c>
      <c r="M10653" s="94">
        <f>VLOOKUP($Q10653,매칭테이블!$F:$I,2,0)*K10653</f>
        <v/>
      </c>
      <c r="N10653" s="94">
        <f>M10653-M10653*VLOOKUP($Q10653,매칭테이블!$F:$I,3,0)</f>
        <v/>
      </c>
      <c r="O10653" s="94">
        <f>VLOOKUP($Q10653,매칭테이블!$F:$I,4,0)*K10653</f>
        <v/>
      </c>
      <c r="P10653" s="148">
        <f>M10653/1.1</f>
        <v/>
      </c>
      <c r="Q10653" s="94">
        <f>F10653&amp;E10653&amp;G10653&amp;L10653</f>
        <v/>
      </c>
    </row>
    <row r="10654">
      <c r="B10654" s="128" t="n">
        <v>44139</v>
      </c>
      <c r="C10654" s="94">
        <f>TEXT(B10654,"aaa")</f>
        <v/>
      </c>
      <c r="D10654" s="94" t="n"/>
      <c r="E10654" s="94" t="inlineStr">
        <is>
          <t>선크림</t>
        </is>
      </c>
      <c r="F10654" s="5" t="inlineStr">
        <is>
          <t>카페24</t>
        </is>
      </c>
      <c r="G10654" s="94" t="inlineStr">
        <is>
          <t>선크림 50ml</t>
        </is>
      </c>
      <c r="H10654" s="94" t="n">
        <v>200801</v>
      </c>
      <c r="I10654" s="94" t="n">
        <v>200801</v>
      </c>
      <c r="J10654" s="94" t="n"/>
      <c r="K10654" s="94" t="n">
        <v>2</v>
      </c>
      <c r="L10654" s="94" t="n">
        <v>200801</v>
      </c>
      <c r="M10654" s="94">
        <f>VLOOKUP($Q10654,매칭테이블!$F:$I,2,0)*K10654</f>
        <v/>
      </c>
      <c r="N10654" s="94">
        <f>M10654-M10654*VLOOKUP($Q10654,매칭테이블!$F:$I,3,0)</f>
        <v/>
      </c>
      <c r="O10654" s="94">
        <f>VLOOKUP($Q10654,매칭테이블!$F:$I,4,0)*K10654</f>
        <v/>
      </c>
      <c r="P10654" s="148">
        <f>M10654/1.1</f>
        <v/>
      </c>
      <c r="Q10654" s="94">
        <f>F10654&amp;E10654&amp;G10654&amp;L10654</f>
        <v/>
      </c>
    </row>
    <row r="10655">
      <c r="B10655" s="128" t="n">
        <v>44139</v>
      </c>
      <c r="C10655" s="94">
        <f>TEXT(B10655,"aaa")</f>
        <v/>
      </c>
      <c r="D10655" s="94" t="n"/>
      <c r="E10655" s="94" t="inlineStr">
        <is>
          <t>어성초진정패키지</t>
        </is>
      </c>
      <c r="F10655" s="5" t="inlineStr">
        <is>
          <t>카페24</t>
        </is>
      </c>
      <c r="G10655" s="94" t="inlineStr">
        <is>
          <t>어성초 진정패키지세트</t>
        </is>
      </c>
      <c r="H10655" s="94" t="n">
        <v>200801</v>
      </c>
      <c r="I10655" s="94" t="n">
        <v>200801</v>
      </c>
      <c r="J10655" s="94" t="n"/>
      <c r="K10655" s="94" t="n">
        <v>1</v>
      </c>
      <c r="L10655" s="94" t="n">
        <v>200801</v>
      </c>
      <c r="M10655" s="94">
        <f>VLOOKUP($Q10655,매칭테이블!$F:$I,2,0)*K10655</f>
        <v/>
      </c>
      <c r="N10655" s="94">
        <f>M10655-M10655*VLOOKUP($Q10655,매칭테이블!$F:$I,3,0)</f>
        <v/>
      </c>
      <c r="O10655" s="94">
        <f>VLOOKUP($Q10655,매칭테이블!$F:$I,4,0)*K10655</f>
        <v/>
      </c>
      <c r="P10655" s="148">
        <f>M10655/1.1</f>
        <v/>
      </c>
      <c r="Q10655" s="94">
        <f>F10655&amp;E10655&amp;G10655&amp;L10655</f>
        <v/>
      </c>
    </row>
    <row r="10656">
      <c r="B10656" s="128" t="n">
        <v>44139</v>
      </c>
      <c r="C10656" s="94">
        <f>TEXT(B10656,"aaa")</f>
        <v/>
      </c>
      <c r="D10656" s="94" t="n"/>
      <c r="E10656" s="94" t="inlineStr">
        <is>
          <t>클리어 패드</t>
        </is>
      </c>
      <c r="F10656" s="5" t="inlineStr">
        <is>
          <t>카페24</t>
        </is>
      </c>
      <c r="G10656" s="94" t="inlineStr">
        <is>
          <t>어성초 77 클리어 패드 1개-20% off</t>
        </is>
      </c>
      <c r="H10656" s="94" t="n">
        <v>200801</v>
      </c>
      <c r="I10656" s="94" t="n">
        <v>200801</v>
      </c>
      <c r="J10656" s="94" t="n"/>
      <c r="K10656" s="94" t="n">
        <v>24</v>
      </c>
      <c r="L10656" s="94" t="n">
        <v>200801</v>
      </c>
      <c r="M10656" s="94">
        <f>VLOOKUP($Q10656,매칭테이블!$F:$I,2,0)*K10656</f>
        <v/>
      </c>
      <c r="N10656" s="94">
        <f>M10656-M10656*VLOOKUP($Q10656,매칭테이블!$F:$I,3,0)</f>
        <v/>
      </c>
      <c r="O10656" s="94">
        <f>VLOOKUP($Q10656,매칭테이블!$F:$I,4,0)*K10656</f>
        <v/>
      </c>
      <c r="P10656" s="148">
        <f>M10656/1.1</f>
        <v/>
      </c>
      <c r="Q10656" s="94">
        <f>F10656&amp;E10656&amp;G10656&amp;L10656</f>
        <v/>
      </c>
    </row>
    <row r="10657">
      <c r="B10657" s="128" t="n">
        <v>44139</v>
      </c>
      <c r="C10657" s="94">
        <f>TEXT(B10657,"aaa")</f>
        <v/>
      </c>
      <c r="D10657" s="94" t="n"/>
      <c r="E10657" s="94" t="inlineStr">
        <is>
          <t>클리어 패드</t>
        </is>
      </c>
      <c r="F10657" s="5" t="inlineStr">
        <is>
          <t>카페24</t>
        </is>
      </c>
      <c r="G10657" s="94" t="inlineStr">
        <is>
          <t>어성초 77 클리어 패드 2개-30% off</t>
        </is>
      </c>
      <c r="H10657" s="94" t="n">
        <v>200801</v>
      </c>
      <c r="I10657" s="94" t="n">
        <v>200801</v>
      </c>
      <c r="J10657" s="94" t="n"/>
      <c r="K10657" s="94" t="n">
        <v>33</v>
      </c>
      <c r="L10657" s="94" t="n">
        <v>200801</v>
      </c>
      <c r="M10657" s="94">
        <f>VLOOKUP($Q10657,매칭테이블!$F:$I,2,0)*K10657</f>
        <v/>
      </c>
      <c r="N10657" s="94">
        <f>M10657-M10657*VLOOKUP($Q10657,매칭테이블!$F:$I,3,0)</f>
        <v/>
      </c>
      <c r="O10657" s="94">
        <f>VLOOKUP($Q10657,매칭테이블!$F:$I,4,0)*K10657</f>
        <v/>
      </c>
      <c r="P10657" s="148">
        <f>M10657/1.1</f>
        <v/>
      </c>
      <c r="Q10657" s="94">
        <f>F10657&amp;E10657&amp;G10657&amp;L10657</f>
        <v/>
      </c>
    </row>
    <row r="10658">
      <c r="B10658" s="128" t="n">
        <v>44139</v>
      </c>
      <c r="C10658" s="94">
        <f>TEXT(B10658,"aaa")</f>
        <v/>
      </c>
      <c r="D10658" s="94" t="n"/>
      <c r="E10658" s="94" t="inlineStr">
        <is>
          <t>토너+패드 세트</t>
        </is>
      </c>
      <c r="F10658" s="5" t="inlineStr">
        <is>
          <t>카페24</t>
        </is>
      </c>
      <c r="G10658" s="94" t="inlineStr">
        <is>
          <t>좁쌀 진정 세트 토너+클리어 패드-30% off</t>
        </is>
      </c>
      <c r="H10658" s="94" t="n">
        <v>200801</v>
      </c>
      <c r="I10658" s="94" t="n">
        <v>200801</v>
      </c>
      <c r="J10658" s="94" t="n"/>
      <c r="K10658" s="94" t="n">
        <v>19</v>
      </c>
      <c r="L10658" s="94" t="n">
        <v>200801</v>
      </c>
      <c r="M10658" s="94">
        <f>VLOOKUP($Q10658,매칭테이블!$F:$I,2,0)*K10658</f>
        <v/>
      </c>
      <c r="N10658" s="94">
        <f>M10658-M10658*VLOOKUP($Q10658,매칭테이블!$F:$I,3,0)</f>
        <v/>
      </c>
      <c r="O10658" s="94">
        <f>VLOOKUP($Q10658,매칭테이블!$F:$I,4,0)*K10658</f>
        <v/>
      </c>
      <c r="P10658" s="148">
        <f>M10658/1.1</f>
        <v/>
      </c>
      <c r="Q10658" s="94">
        <f>F10658&amp;E10658&amp;G10658&amp;L10658</f>
        <v/>
      </c>
    </row>
    <row r="10659">
      <c r="B10659" s="128" t="n">
        <v>44139</v>
      </c>
      <c r="C10659" s="94">
        <f>TEXT(B10659,"aaa")</f>
        <v/>
      </c>
      <c r="D10659" s="94" t="n"/>
      <c r="E10659" s="94" t="inlineStr">
        <is>
          <t>수분 보충 세트</t>
        </is>
      </c>
      <c r="F10659" s="5" t="inlineStr">
        <is>
          <t>카페24</t>
        </is>
      </c>
      <c r="G10659" s="94" t="inlineStr">
        <is>
          <t>[20/09/28 부터] 어성초 77 토너 250ml + 어성초 70 로션 200ml -30%</t>
        </is>
      </c>
      <c r="H10659" s="94" t="n">
        <v>200801</v>
      </c>
      <c r="I10659" s="94" t="n">
        <v>200801</v>
      </c>
      <c r="J10659" s="94" t="n"/>
      <c r="K10659" s="94" t="n">
        <v>22</v>
      </c>
      <c r="L10659" s="94" t="n">
        <v>200801</v>
      </c>
      <c r="M10659" s="94">
        <f>VLOOKUP($Q10659,매칭테이블!$F:$I,2,0)*K10659</f>
        <v/>
      </c>
      <c r="N10659" s="94">
        <f>M10659-M10659*VLOOKUP($Q10659,매칭테이블!$F:$I,3,0)</f>
        <v/>
      </c>
      <c r="O10659" s="94">
        <f>VLOOKUP($Q10659,매칭테이블!$F:$I,4,0)*K10659</f>
        <v/>
      </c>
      <c r="P10659" s="148">
        <f>M10659/1.1</f>
        <v/>
      </c>
      <c r="Q10659" s="94">
        <f>F10659&amp;E10659&amp;G10659&amp;L10659</f>
        <v/>
      </c>
    </row>
    <row r="10660">
      <c r="B10660" s="128" t="n">
        <v>44139</v>
      </c>
      <c r="C10660" s="94">
        <f>TEXT(B10660,"aaa")</f>
        <v/>
      </c>
      <c r="D10660" s="94" t="n"/>
      <c r="E10660" s="94" t="inlineStr">
        <is>
          <t>로션</t>
        </is>
      </c>
      <c r="F10660" s="5" t="inlineStr">
        <is>
          <t>카페24</t>
        </is>
      </c>
      <c r="G10660" s="94" t="inlineStr">
        <is>
          <t>어성초 70 데일리 릴리프 로션 1개 -20% off</t>
        </is>
      </c>
      <c r="H10660" s="94" t="n">
        <v>200801</v>
      </c>
      <c r="I10660" s="94" t="n">
        <v>200801</v>
      </c>
      <c r="J10660" s="94" t="n"/>
      <c r="K10660" s="94" t="n">
        <v>8</v>
      </c>
      <c r="L10660" s="94" t="n">
        <v>200801</v>
      </c>
      <c r="M10660" s="94">
        <f>VLOOKUP($Q10660,매칭테이블!$F:$I,2,0)*K10660</f>
        <v/>
      </c>
      <c r="N10660" s="94">
        <f>M10660-M10660*VLOOKUP($Q10660,매칭테이블!$F:$I,3,0)</f>
        <v/>
      </c>
      <c r="O10660" s="94">
        <f>VLOOKUP($Q10660,매칭테이블!$F:$I,4,0)*K10660</f>
        <v/>
      </c>
      <c r="P10660" s="148">
        <f>M10660/1.1</f>
        <v/>
      </c>
      <c r="Q10660" s="94">
        <f>F10660&amp;E10660&amp;G10660&amp;L10660</f>
        <v/>
      </c>
    </row>
    <row r="10661">
      <c r="B10661" s="128" t="n">
        <v>44139</v>
      </c>
      <c r="C10661" s="94">
        <f>TEXT(B10661,"aaa")</f>
        <v/>
      </c>
      <c r="D10661" s="94" t="n"/>
      <c r="E10661" s="94" t="inlineStr">
        <is>
          <t>로션</t>
        </is>
      </c>
      <c r="F10661" s="5" t="inlineStr">
        <is>
          <t>카페24</t>
        </is>
      </c>
      <c r="G10661" s="94" t="inlineStr">
        <is>
          <t>어성초 70 데일리 릴리프 로션 2개 -30% off</t>
        </is>
      </c>
      <c r="H10661" s="94" t="n">
        <v>200801</v>
      </c>
      <c r="I10661" s="94" t="n">
        <v>200801</v>
      </c>
      <c r="J10661" s="94" t="n"/>
      <c r="K10661" s="94" t="n">
        <v>1</v>
      </c>
      <c r="L10661" s="94" t="n">
        <v>200801</v>
      </c>
      <c r="M10661" s="94">
        <f>VLOOKUP($Q10661,매칭테이블!$F:$I,2,0)*K10661</f>
        <v/>
      </c>
      <c r="N10661" s="94">
        <f>M10661-M10661*VLOOKUP($Q10661,매칭테이블!$F:$I,3,0)</f>
        <v/>
      </c>
      <c r="O10661" s="94">
        <f>VLOOKUP($Q10661,매칭테이블!$F:$I,4,0)*K10661</f>
        <v/>
      </c>
      <c r="P10661" s="148">
        <f>M10661/1.1</f>
        <v/>
      </c>
      <c r="Q10661" s="94">
        <f>F10661&amp;E10661&amp;G10661&amp;L10661</f>
        <v/>
      </c>
    </row>
    <row r="10662">
      <c r="B10662" s="128" t="n">
        <v>44139</v>
      </c>
      <c r="C10662" s="94">
        <f>TEXT(B10662,"aaa")</f>
        <v/>
      </c>
      <c r="D10662" s="94" t="n"/>
      <c r="E10662" s="94" t="inlineStr">
        <is>
          <t>머드크림마스크</t>
        </is>
      </c>
      <c r="F10662" s="5" t="inlineStr">
        <is>
          <t>카페24</t>
        </is>
      </c>
      <c r="G10662" s="94" t="inlineStr">
        <is>
          <t>머드크림마스크 100ml</t>
        </is>
      </c>
      <c r="H10662" s="94" t="n">
        <v>200801</v>
      </c>
      <c r="I10662" s="94" t="n">
        <v>200801</v>
      </c>
      <c r="J10662" s="94" t="n"/>
      <c r="K10662" s="94" t="n">
        <v>6</v>
      </c>
      <c r="L10662" s="94" t="n">
        <v>200801</v>
      </c>
      <c r="M10662" s="94">
        <f>VLOOKUP($Q10662,매칭테이블!$F:$I,2,0)*K10662</f>
        <v/>
      </c>
      <c r="N10662" s="94">
        <f>M10662-M10662*VLOOKUP($Q10662,매칭테이블!$F:$I,3,0)</f>
        <v/>
      </c>
      <c r="O10662" s="94">
        <f>VLOOKUP($Q10662,매칭테이블!$F:$I,4,0)*K10662</f>
        <v/>
      </c>
      <c r="P10662" s="148">
        <f>M10662/1.1</f>
        <v/>
      </c>
      <c r="Q10662" s="94">
        <f>F10662&amp;E10662&amp;G10662&amp;L10662</f>
        <v/>
      </c>
    </row>
    <row r="10663">
      <c r="B10663" s="128" t="n">
        <v>44139</v>
      </c>
      <c r="C10663" s="94">
        <f>TEXT(B10663,"aaa")</f>
        <v/>
      </c>
      <c r="D10663" s="94" t="n"/>
      <c r="E10663" s="94" t="inlineStr">
        <is>
          <t>머드크림마스크</t>
        </is>
      </c>
      <c r="F10663" s="5" t="inlineStr">
        <is>
          <t>카페24</t>
        </is>
      </c>
      <c r="G10663" s="94" t="inlineStr">
        <is>
          <t>머드크림마스크 100ml 2set</t>
        </is>
      </c>
      <c r="H10663" s="94" t="n">
        <v>200801</v>
      </c>
      <c r="I10663" s="94" t="n">
        <v>200801</v>
      </c>
      <c r="J10663" s="94" t="n"/>
      <c r="K10663" s="94" t="n">
        <v>1</v>
      </c>
      <c r="L10663" s="94" t="n">
        <v>200801</v>
      </c>
      <c r="M10663" s="94">
        <f>VLOOKUP($Q10663,매칭테이블!$F:$I,2,0)*K10663</f>
        <v/>
      </c>
      <c r="N10663" s="94">
        <f>M10663-M10663*VLOOKUP($Q10663,매칭테이블!$F:$I,3,0)</f>
        <v/>
      </c>
      <c r="O10663" s="94">
        <f>VLOOKUP($Q10663,매칭테이블!$F:$I,4,0)*K10663</f>
        <v/>
      </c>
      <c r="P10663" s="148">
        <f>M10663/1.1</f>
        <v/>
      </c>
      <c r="Q10663" s="94">
        <f>F10663&amp;E10663&amp;G10663&amp;L10663</f>
        <v/>
      </c>
    </row>
    <row r="10664">
      <c r="B10664" s="128" t="n">
        <v>44139</v>
      </c>
      <c r="C10664" s="94">
        <f>TEXT(B10664,"aaa")</f>
        <v/>
      </c>
      <c r="D10664" s="94" t="n"/>
      <c r="E10664" s="94" t="inlineStr">
        <is>
          <t>마스크팩</t>
        </is>
      </c>
      <c r="F10664" s="5" t="inlineStr">
        <is>
          <t>카페24</t>
        </is>
      </c>
      <c r="G10664" s="94" t="inlineStr">
        <is>
          <t>마스크팩 1매</t>
        </is>
      </c>
      <c r="H10664" s="94" t="n">
        <v>200801</v>
      </c>
      <c r="I10664" s="94" t="n">
        <v>200801</v>
      </c>
      <c r="J10664" s="94" t="n"/>
      <c r="K10664" s="94" t="n">
        <v>2</v>
      </c>
      <c r="L10664" s="94" t="n">
        <v>200801</v>
      </c>
      <c r="M10664" s="94">
        <f>VLOOKUP($Q10664,매칭테이블!$F:$I,2,0)*K10664</f>
        <v/>
      </c>
      <c r="N10664" s="94">
        <f>M10664-M10664*VLOOKUP($Q10664,매칭테이블!$F:$I,3,0)</f>
        <v/>
      </c>
      <c r="O10664" s="94">
        <f>VLOOKUP($Q10664,매칭테이블!$F:$I,4,0)*K10664</f>
        <v/>
      </c>
      <c r="P10664" s="148">
        <f>M10664/1.1</f>
        <v/>
      </c>
      <c r="Q10664" s="94">
        <f>F10664&amp;E10664&amp;G10664&amp;L10664</f>
        <v/>
      </c>
    </row>
    <row r="10665">
      <c r="B10665" s="128" t="n">
        <v>44139</v>
      </c>
      <c r="C10665" s="94">
        <f>TEXT(B10665,"aaa")</f>
        <v/>
      </c>
      <c r="D10665" s="94" t="n"/>
      <c r="E10665" s="94" t="inlineStr">
        <is>
          <t>마스크팩</t>
        </is>
      </c>
      <c r="F10665" s="5" t="inlineStr">
        <is>
          <t>카페24</t>
        </is>
      </c>
      <c r="G10665" s="94" t="inlineStr">
        <is>
          <t>마스크팩 10매</t>
        </is>
      </c>
      <c r="H10665" s="94" t="n">
        <v>200801</v>
      </c>
      <c r="I10665" s="94" t="n">
        <v>200801</v>
      </c>
      <c r="J10665" s="94" t="n"/>
      <c r="K10665" s="94" t="n">
        <v>4</v>
      </c>
      <c r="L10665" s="94" t="n">
        <v>200801</v>
      </c>
      <c r="M10665" s="94">
        <f>VLOOKUP($Q10665,매칭테이블!$F:$I,2,0)*K10665</f>
        <v/>
      </c>
      <c r="N10665" s="94">
        <f>M10665-M10665*VLOOKUP($Q10665,매칭테이블!$F:$I,3,0)</f>
        <v/>
      </c>
      <c r="O10665" s="94">
        <f>VLOOKUP($Q10665,매칭테이블!$F:$I,4,0)*K10665</f>
        <v/>
      </c>
      <c r="P10665" s="148">
        <f>M10665/1.1</f>
        <v/>
      </c>
      <c r="Q10665" s="94">
        <f>F10665&amp;E10665&amp;G10665&amp;L10665</f>
        <v/>
      </c>
    </row>
    <row r="10666">
      <c r="B10666" s="128" t="n">
        <v>44139</v>
      </c>
      <c r="C10666" s="94">
        <f>TEXT(B10666,"aaa")</f>
        <v/>
      </c>
      <c r="D10666" s="94" t="n"/>
      <c r="E10666" s="94" t="inlineStr">
        <is>
          <t>토너</t>
        </is>
      </c>
      <c r="F10666" s="5" t="inlineStr">
        <is>
          <t>카페24</t>
        </is>
      </c>
      <c r="G10666" s="94" t="inlineStr">
        <is>
          <t>250ml</t>
        </is>
      </c>
      <c r="H10666" s="94" t="n">
        <v>200801</v>
      </c>
      <c r="I10666" s="94" t="n">
        <v>200801</v>
      </c>
      <c r="J10666" s="94" t="n"/>
      <c r="K10666" s="94" t="n">
        <v>42</v>
      </c>
      <c r="L10666" s="94" t="n">
        <v>200801</v>
      </c>
      <c r="M10666" s="94">
        <f>VLOOKUP($Q10666,매칭테이블!$F:$I,2,0)*K10666</f>
        <v/>
      </c>
      <c r="N10666" s="94">
        <f>M10666-M10666*VLOOKUP($Q10666,매칭테이블!$F:$I,3,0)</f>
        <v/>
      </c>
      <c r="O10666" s="94">
        <f>VLOOKUP($Q10666,매칭테이블!$F:$I,4,0)*K10666</f>
        <v/>
      </c>
      <c r="P10666" s="148">
        <f>M10666/1.1</f>
        <v/>
      </c>
      <c r="Q10666" s="94">
        <f>F10666&amp;E10666&amp;G10666&amp;L10666</f>
        <v/>
      </c>
    </row>
    <row r="10667">
      <c r="B10667" s="128" t="n">
        <v>44139</v>
      </c>
      <c r="C10667" s="94">
        <f>TEXT(B10667,"aaa")</f>
        <v/>
      </c>
      <c r="D10667" s="94" t="n"/>
      <c r="E10667" s="94" t="inlineStr">
        <is>
          <t>토너</t>
        </is>
      </c>
      <c r="F10667" s="5" t="inlineStr">
        <is>
          <t>카페24</t>
        </is>
      </c>
      <c r="G10667" s="94" t="inlineStr">
        <is>
          <t>250ml 2set</t>
        </is>
      </c>
      <c r="H10667" s="94" t="n">
        <v>200801</v>
      </c>
      <c r="I10667" s="94" t="n">
        <v>200801</v>
      </c>
      <c r="J10667" s="94" t="n"/>
      <c r="K10667" s="94" t="n">
        <v>26</v>
      </c>
      <c r="L10667" s="94" t="n">
        <v>200801</v>
      </c>
      <c r="M10667" s="94">
        <f>VLOOKUP($Q10667,매칭테이블!$F:$I,2,0)*K10667</f>
        <v/>
      </c>
      <c r="N10667" s="94">
        <f>M10667-M10667*VLOOKUP($Q10667,매칭테이블!$F:$I,3,0)</f>
        <v/>
      </c>
      <c r="O10667" s="94">
        <f>VLOOKUP($Q10667,매칭테이블!$F:$I,4,0)*K10667</f>
        <v/>
      </c>
      <c r="P10667" s="148">
        <f>M10667/1.1</f>
        <v/>
      </c>
      <c r="Q10667" s="94">
        <f>F10667&amp;E10667&amp;G10667&amp;L10667</f>
        <v/>
      </c>
    </row>
    <row r="10668">
      <c r="B10668" s="128" t="n">
        <v>44139</v>
      </c>
      <c r="C10668" s="94">
        <f>TEXT(B10668,"aaa")</f>
        <v/>
      </c>
      <c r="D10668" s="94" t="n"/>
      <c r="E10668" s="94" t="inlineStr">
        <is>
          <t>토너</t>
        </is>
      </c>
      <c r="F10668" s="5" t="inlineStr">
        <is>
          <t>카페24</t>
        </is>
      </c>
      <c r="G10668" s="94" t="inlineStr">
        <is>
          <t>500ml</t>
        </is>
      </c>
      <c r="H10668" s="94" t="n">
        <v>200801</v>
      </c>
      <c r="I10668" s="94" t="n">
        <v>200801</v>
      </c>
      <c r="J10668" s="94" t="n"/>
      <c r="K10668" s="94" t="n">
        <v>49</v>
      </c>
      <c r="L10668" s="94" t="n">
        <v>200801</v>
      </c>
      <c r="M10668" s="94">
        <f>VLOOKUP($Q10668,매칭테이블!$F:$I,2,0)*K10668</f>
        <v/>
      </c>
      <c r="N10668" s="94">
        <f>M10668-M10668*VLOOKUP($Q10668,매칭테이블!$F:$I,3,0)</f>
        <v/>
      </c>
      <c r="O10668" s="94">
        <f>VLOOKUP($Q10668,매칭테이블!$F:$I,4,0)*K10668</f>
        <v/>
      </c>
      <c r="P10668" s="148">
        <f>M10668/1.1</f>
        <v/>
      </c>
      <c r="Q10668" s="94">
        <f>F10668&amp;E10668&amp;G10668&amp;L10668</f>
        <v/>
      </c>
    </row>
    <row r="10669">
      <c r="B10669" s="128" t="n">
        <v>44139</v>
      </c>
      <c r="C10669" s="94">
        <f>TEXT(B10669,"aaa")</f>
        <v/>
      </c>
      <c r="D10669" s="94" t="n"/>
      <c r="E10669" s="94" t="inlineStr">
        <is>
          <t>토너</t>
        </is>
      </c>
      <c r="F10669" s="5" t="inlineStr">
        <is>
          <t>카페24</t>
        </is>
      </c>
      <c r="G10669" s="94" t="inlineStr">
        <is>
          <t>스킨팩 화장솜 60P</t>
        </is>
      </c>
      <c r="H10669" s="94" t="n">
        <v>200801</v>
      </c>
      <c r="I10669" s="94" t="n">
        <v>200801</v>
      </c>
      <c r="J10669" s="94" t="n"/>
      <c r="K10669" s="94" t="n">
        <v>42</v>
      </c>
      <c r="L10669" s="94" t="n">
        <v>200801</v>
      </c>
      <c r="M10669" s="94">
        <f>VLOOKUP($Q10669,매칭테이블!$F:$I,2,0)*K10669</f>
        <v/>
      </c>
      <c r="N10669" s="94">
        <f>M10669-M10669*VLOOKUP($Q10669,매칭테이블!$F:$I,3,0)</f>
        <v/>
      </c>
      <c r="O10669" s="94">
        <f>VLOOKUP($Q10669,매칭테이블!$F:$I,4,0)*K10669</f>
        <v/>
      </c>
      <c r="P10669" s="148">
        <f>M10669/1.1</f>
        <v/>
      </c>
      <c r="Q10669" s="94">
        <f>F10669&amp;E10669&amp;G10669&amp;L10669</f>
        <v/>
      </c>
    </row>
    <row r="10670">
      <c r="B10670" s="128" t="n">
        <v>44139</v>
      </c>
      <c r="C10670" s="94">
        <f>TEXT(B10670,"aaa")</f>
        <v/>
      </c>
      <c r="D10670" s="94" t="n"/>
      <c r="E10670" s="94" t="inlineStr">
        <is>
          <t>앰플</t>
        </is>
      </c>
      <c r="F10670" s="5" t="inlineStr">
        <is>
          <t>카페24</t>
        </is>
      </c>
      <c r="G10670" s="94" t="inlineStr">
        <is>
          <t>앰플 30ml</t>
        </is>
      </c>
      <c r="H10670" s="94" t="n">
        <v>200801</v>
      </c>
      <c r="I10670" s="94" t="n">
        <v>200801</v>
      </c>
      <c r="J10670" s="94" t="n"/>
      <c r="K10670" s="94" t="n">
        <v>18</v>
      </c>
      <c r="L10670" s="94" t="n">
        <v>200801</v>
      </c>
      <c r="M10670" s="94">
        <f>VLOOKUP($Q10670,매칭테이블!$F:$I,2,0)*K10670</f>
        <v/>
      </c>
      <c r="N10670" s="94">
        <f>M10670-M10670*VLOOKUP($Q10670,매칭테이블!$F:$I,3,0)</f>
        <v/>
      </c>
      <c r="O10670" s="94">
        <f>VLOOKUP($Q10670,매칭테이블!$F:$I,4,0)*K10670</f>
        <v/>
      </c>
      <c r="P10670" s="148">
        <f>M10670/1.1</f>
        <v/>
      </c>
      <c r="Q10670" s="94">
        <f>F10670&amp;E10670&amp;G10670&amp;L10670</f>
        <v/>
      </c>
    </row>
    <row r="10671">
      <c r="B10671" s="128" t="n">
        <v>44139</v>
      </c>
      <c r="C10671" s="94">
        <f>TEXT(B10671,"aaa")</f>
        <v/>
      </c>
      <c r="D10671" s="94" t="n"/>
      <c r="E10671" s="94" t="inlineStr">
        <is>
          <t>앰플</t>
        </is>
      </c>
      <c r="F10671" s="5" t="inlineStr">
        <is>
          <t>카페24</t>
        </is>
      </c>
      <c r="G10671" s="94" t="inlineStr">
        <is>
          <t>앰플 30ml  2set</t>
        </is>
      </c>
      <c r="H10671" s="94" t="n">
        <v>200801</v>
      </c>
      <c r="I10671" s="94" t="n">
        <v>200801</v>
      </c>
      <c r="J10671" s="94" t="n"/>
      <c r="K10671" s="94" t="n">
        <v>7</v>
      </c>
      <c r="L10671" s="94" t="n">
        <v>200801</v>
      </c>
      <c r="M10671" s="94">
        <f>VLOOKUP($Q10671,매칭테이블!$F:$I,2,0)*K10671</f>
        <v/>
      </c>
      <c r="N10671" s="94">
        <f>M10671-M10671*VLOOKUP($Q10671,매칭테이블!$F:$I,3,0)</f>
        <v/>
      </c>
      <c r="O10671" s="94">
        <f>VLOOKUP($Q10671,매칭테이블!$F:$I,4,0)*K10671</f>
        <v/>
      </c>
      <c r="P10671" s="148">
        <f>M10671/1.1</f>
        <v/>
      </c>
      <c r="Q10671" s="94">
        <f>F10671&amp;E10671&amp;G10671&amp;L10671</f>
        <v/>
      </c>
    </row>
    <row r="10672">
      <c r="B10672" s="128" t="n">
        <v>44139</v>
      </c>
      <c r="C10672" s="94">
        <f>TEXT(B10672,"aaa")</f>
        <v/>
      </c>
      <c r="D10672" s="94" t="n"/>
      <c r="E10672" s="94" t="inlineStr">
        <is>
          <t>수딩크림</t>
        </is>
      </c>
      <c r="F10672" s="5" t="inlineStr">
        <is>
          <t>카페24</t>
        </is>
      </c>
      <c r="G10672" s="94" t="inlineStr">
        <is>
          <t>수딩크림 100ml</t>
        </is>
      </c>
      <c r="H10672" s="94" t="n">
        <v>200801</v>
      </c>
      <c r="I10672" s="94" t="n">
        <v>200801</v>
      </c>
      <c r="J10672" s="94" t="n"/>
      <c r="K10672" s="94" t="n">
        <v>12</v>
      </c>
      <c r="L10672" s="94" t="n">
        <v>200801</v>
      </c>
      <c r="M10672" s="94">
        <f>VLOOKUP($Q10672,매칭테이블!$F:$I,2,0)*K10672</f>
        <v/>
      </c>
      <c r="N10672" s="94">
        <f>M10672-M10672*VLOOKUP($Q10672,매칭테이블!$F:$I,3,0)</f>
        <v/>
      </c>
      <c r="O10672" s="94">
        <f>VLOOKUP($Q10672,매칭테이블!$F:$I,4,0)*K10672</f>
        <v/>
      </c>
      <c r="P10672" s="148">
        <f>M10672/1.1</f>
        <v/>
      </c>
      <c r="Q10672" s="94">
        <f>F10672&amp;E10672&amp;G10672&amp;L10672</f>
        <v/>
      </c>
    </row>
    <row r="10673">
      <c r="B10673" s="128" t="n">
        <v>44139</v>
      </c>
      <c r="C10673" s="94">
        <f>TEXT(B10673,"aaa")</f>
        <v/>
      </c>
      <c r="D10673" s="94" t="n"/>
      <c r="E10673" s="94" t="inlineStr">
        <is>
          <t>클렌징폼</t>
        </is>
      </c>
      <c r="F10673" s="5" t="inlineStr">
        <is>
          <t>카페24</t>
        </is>
      </c>
      <c r="G10673" s="94" t="inlineStr">
        <is>
          <t>클렌징폼 120ml</t>
        </is>
      </c>
      <c r="H10673" s="94" t="n">
        <v>200801</v>
      </c>
      <c r="I10673" s="94" t="n">
        <v>200801</v>
      </c>
      <c r="J10673" s="94" t="n"/>
      <c r="K10673" s="94" t="n">
        <v>19</v>
      </c>
      <c r="L10673" s="94" t="n">
        <v>200801</v>
      </c>
      <c r="M10673" s="94">
        <f>VLOOKUP($Q10673,매칭테이블!$F:$I,2,0)*K10673</f>
        <v/>
      </c>
      <c r="N10673" s="94">
        <f>M10673-M10673*VLOOKUP($Q10673,매칭테이블!$F:$I,3,0)</f>
        <v/>
      </c>
      <c r="O10673" s="94">
        <f>VLOOKUP($Q10673,매칭테이블!$F:$I,4,0)*K10673</f>
        <v/>
      </c>
      <c r="P10673" s="148">
        <f>M10673/1.1</f>
        <v/>
      </c>
      <c r="Q10673" s="94">
        <f>F10673&amp;E10673&amp;G10673&amp;L10673</f>
        <v/>
      </c>
    </row>
    <row r="10674">
      <c r="B10674" s="128" t="n">
        <v>44139</v>
      </c>
      <c r="C10674" s="94">
        <f>TEXT(B10674,"aaa")</f>
        <v/>
      </c>
      <c r="D10674" s="94" t="n"/>
      <c r="E10674" s="94" t="inlineStr">
        <is>
          <t>클렌징폼</t>
        </is>
      </c>
      <c r="F10674" s="5" t="inlineStr">
        <is>
          <t>카페24</t>
        </is>
      </c>
      <c r="G10674" s="94" t="inlineStr">
        <is>
          <t>클렌징폼 120ml 2set</t>
        </is>
      </c>
      <c r="H10674" s="94" t="n">
        <v>200801</v>
      </c>
      <c r="I10674" s="94" t="n">
        <v>200801</v>
      </c>
      <c r="J10674" s="94" t="n"/>
      <c r="K10674" s="94" t="n">
        <v>1</v>
      </c>
      <c r="L10674" s="94" t="n">
        <v>200801</v>
      </c>
      <c r="M10674" s="94">
        <f>VLOOKUP($Q10674,매칭테이블!$F:$I,2,0)*K10674</f>
        <v/>
      </c>
      <c r="N10674" s="94">
        <f>M10674-M10674*VLOOKUP($Q10674,매칭테이블!$F:$I,3,0)</f>
        <v/>
      </c>
      <c r="O10674" s="94">
        <f>VLOOKUP($Q10674,매칭테이블!$F:$I,4,0)*K10674</f>
        <v/>
      </c>
      <c r="P10674" s="148">
        <f>M10674/1.1</f>
        <v/>
      </c>
      <c r="Q10674" s="94">
        <f>F10674&amp;E10674&amp;G10674&amp;L10674</f>
        <v/>
      </c>
    </row>
    <row r="10675">
      <c r="B10675" s="128" t="n">
        <v>44139</v>
      </c>
      <c r="C10675" s="94">
        <f>TEXT(B10675,"aaa")</f>
        <v/>
      </c>
      <c r="D10675" s="94" t="n"/>
      <c r="E10675" s="94" t="inlineStr">
        <is>
          <t>클렌징폼</t>
        </is>
      </c>
      <c r="F10675" s="5" t="inlineStr">
        <is>
          <t>카페24</t>
        </is>
      </c>
      <c r="G10675" s="94" t="inlineStr">
        <is>
          <t>클렌징폼 120ml 3set</t>
        </is>
      </c>
      <c r="H10675" s="94" t="n">
        <v>200801</v>
      </c>
      <c r="I10675" s="94" t="n">
        <v>200801</v>
      </c>
      <c r="J10675" s="94" t="n"/>
      <c r="K10675" s="94" t="n">
        <v>1</v>
      </c>
      <c r="L10675" s="94" t="n">
        <v>200801</v>
      </c>
      <c r="M10675" s="94">
        <f>VLOOKUP($Q10675,매칭테이블!$F:$I,2,0)*K10675</f>
        <v/>
      </c>
      <c r="N10675" s="94">
        <f>M10675-M10675*VLOOKUP($Q10675,매칭테이블!$F:$I,3,0)</f>
        <v/>
      </c>
      <c r="O10675" s="94">
        <f>VLOOKUP($Q10675,매칭테이블!$F:$I,4,0)*K10675</f>
        <v/>
      </c>
      <c r="P10675" s="148">
        <f>M10675/1.1</f>
        <v/>
      </c>
      <c r="Q10675" s="94">
        <f>F10675&amp;E10675&amp;G10675&amp;L10675</f>
        <v/>
      </c>
    </row>
    <row r="10676">
      <c r="B10676" s="128" t="n">
        <v>44139</v>
      </c>
      <c r="C10676" s="94">
        <f>TEXT(B10676,"aaa")</f>
        <v/>
      </c>
      <c r="D10676" s="94" t="n"/>
      <c r="E10676" s="94" t="inlineStr">
        <is>
          <t>바디워시</t>
        </is>
      </c>
      <c r="F10676" s="5" t="inlineStr">
        <is>
          <t>카페24</t>
        </is>
      </c>
      <c r="G10676" s="94" t="inlineStr">
        <is>
          <t>바디워시 1개 -30% off</t>
        </is>
      </c>
      <c r="H10676" s="94" t="n">
        <v>200801</v>
      </c>
      <c r="I10676" s="94" t="n">
        <v>200801</v>
      </c>
      <c r="J10676" s="94" t="n"/>
      <c r="K10676" s="94" t="n">
        <v>3</v>
      </c>
      <c r="L10676" s="94" t="n">
        <v>200801</v>
      </c>
      <c r="M10676" s="94">
        <f>VLOOKUP($Q10676,매칭테이블!$F:$I,2,0)*K10676</f>
        <v/>
      </c>
      <c r="N10676" s="94">
        <f>M10676-M10676*VLOOKUP($Q10676,매칭테이블!$F:$I,3,0)</f>
        <v/>
      </c>
      <c r="O10676" s="94">
        <f>VLOOKUP($Q10676,매칭테이블!$F:$I,4,0)*K10676</f>
        <v/>
      </c>
      <c r="P10676" s="148">
        <f>M10676/1.1</f>
        <v/>
      </c>
      <c r="Q10676" s="94">
        <f>F10676&amp;E10676&amp;G10676&amp;L10676</f>
        <v/>
      </c>
    </row>
    <row r="10677">
      <c r="B10677" s="128" t="n">
        <v>44139</v>
      </c>
      <c r="C10677" s="94">
        <f>TEXT(B10677,"aaa")</f>
        <v/>
      </c>
      <c r="D10677" s="94" t="n"/>
      <c r="E10677" s="94" t="inlineStr">
        <is>
          <t>바디워시</t>
        </is>
      </c>
      <c r="F10677" s="5" t="inlineStr">
        <is>
          <t>카페24</t>
        </is>
      </c>
      <c r="G10677" s="94" t="inlineStr">
        <is>
          <t>바디워시 2개 -35% off (무료배송)</t>
        </is>
      </c>
      <c r="H10677" s="94" t="n">
        <v>200801</v>
      </c>
      <c r="I10677" s="94" t="n">
        <v>200801</v>
      </c>
      <c r="J10677" s="94" t="n"/>
      <c r="K10677" s="94" t="n">
        <v>1</v>
      </c>
      <c r="L10677" s="94" t="n">
        <v>200801</v>
      </c>
      <c r="M10677" s="94">
        <f>VLOOKUP($Q10677,매칭테이블!$F:$I,2,0)*K10677</f>
        <v/>
      </c>
      <c r="N10677" s="94">
        <f>M10677-M10677*VLOOKUP($Q10677,매칭테이블!$F:$I,3,0)</f>
        <v/>
      </c>
      <c r="O10677" s="94">
        <f>VLOOKUP($Q10677,매칭테이블!$F:$I,4,0)*K10677</f>
        <v/>
      </c>
      <c r="P10677" s="148">
        <f>M10677/1.1</f>
        <v/>
      </c>
      <c r="Q10677" s="94">
        <f>F10677&amp;E10677&amp;G10677&amp;L10677</f>
        <v/>
      </c>
    </row>
    <row r="10678">
      <c r="B10678" s="128" t="n">
        <v>44139</v>
      </c>
      <c r="C10678" s="94">
        <f>TEXT(B10678,"aaa")</f>
        <v/>
      </c>
      <c r="D10678" s="94" t="n"/>
      <c r="E10678" s="94" t="inlineStr">
        <is>
          <t>앰플</t>
        </is>
      </c>
      <c r="F10678" s="5" t="inlineStr">
        <is>
          <t>화해</t>
        </is>
      </c>
      <c r="G10678" s="94" t="inlineStr">
        <is>
          <t>앰플 30ml</t>
        </is>
      </c>
      <c r="H10678" s="94" t="n">
        <v>200801</v>
      </c>
      <c r="I10678" s="94" t="n">
        <v>200801</v>
      </c>
      <c r="J10678" s="94" t="n"/>
      <c r="K10678" s="94" t="n">
        <v>1</v>
      </c>
      <c r="L10678" s="94" t="n">
        <v>200801</v>
      </c>
      <c r="M10678" s="94">
        <f>VLOOKUP($Q10678,매칭테이블!$F:$I,2,0)*K10678</f>
        <v/>
      </c>
      <c r="N10678" s="94">
        <f>M10678-M10678*VLOOKUP($Q10678,매칭테이블!$F:$I,3,0)</f>
        <v/>
      </c>
      <c r="O10678" s="94">
        <f>VLOOKUP($Q10678,매칭테이블!$F:$I,4,0)*K10678</f>
        <v/>
      </c>
      <c r="P10678" s="148">
        <f>M10678/1.1</f>
        <v/>
      </c>
      <c r="Q10678" s="94">
        <f>F10678&amp;E10678&amp;G10678&amp;L10678</f>
        <v/>
      </c>
    </row>
    <row r="10679">
      <c r="B10679" s="128" t="n">
        <v>44139</v>
      </c>
      <c r="C10679" s="94">
        <f>TEXT(B10679,"aaa")</f>
        <v/>
      </c>
      <c r="D10679" s="94" t="n"/>
      <c r="E10679" s="94" t="inlineStr">
        <is>
          <t>토너</t>
        </is>
      </c>
      <c r="F10679" s="5" t="inlineStr">
        <is>
          <t>화해</t>
        </is>
      </c>
      <c r="G10679" s="94" t="inlineStr">
        <is>
          <t>250ml</t>
        </is>
      </c>
      <c r="H10679" s="94" t="n">
        <v>200801</v>
      </c>
      <c r="I10679" s="94" t="n">
        <v>200801</v>
      </c>
      <c r="J10679" s="94" t="n"/>
      <c r="K10679" s="94" t="n">
        <v>4</v>
      </c>
      <c r="L10679" s="94" t="n">
        <v>200801</v>
      </c>
      <c r="M10679" s="94">
        <f>VLOOKUP($Q10679,매칭테이블!$F:$I,2,0)*K10679</f>
        <v/>
      </c>
      <c r="N10679" s="94">
        <f>M10679-M10679*VLOOKUP($Q10679,매칭테이블!$F:$I,3,0)</f>
        <v/>
      </c>
      <c r="O10679" s="94">
        <f>VLOOKUP($Q10679,매칭테이블!$F:$I,4,0)*K10679</f>
        <v/>
      </c>
      <c r="P10679" s="148">
        <f>M10679/1.1</f>
        <v/>
      </c>
      <c r="Q10679" s="94">
        <f>F10679&amp;E10679&amp;G10679&amp;L10679</f>
        <v/>
      </c>
    </row>
    <row r="10680">
      <c r="B10680" s="128" t="n">
        <v>44139</v>
      </c>
      <c r="C10680" s="94">
        <f>TEXT(B10680,"aaa")</f>
        <v/>
      </c>
      <c r="D10680" s="94" t="n"/>
      <c r="E10680" s="94" t="inlineStr">
        <is>
          <t>클렌징폼</t>
        </is>
      </c>
      <c r="F10680" s="5" t="inlineStr">
        <is>
          <t>화해</t>
        </is>
      </c>
      <c r="G10680" s="94" t="inlineStr">
        <is>
          <t>클렌징폼 120ml</t>
        </is>
      </c>
      <c r="H10680" s="94" t="n">
        <v>200801</v>
      </c>
      <c r="I10680" s="94" t="n">
        <v>200801</v>
      </c>
      <c r="J10680" s="94" t="n"/>
      <c r="K10680" s="94" t="n">
        <v>1</v>
      </c>
      <c r="L10680" s="94" t="n">
        <v>200801</v>
      </c>
      <c r="M10680" s="94">
        <f>VLOOKUP($Q10680,매칭테이블!$F:$I,2,0)*K10680</f>
        <v/>
      </c>
      <c r="N10680" s="94">
        <f>M10680-M10680*VLOOKUP($Q10680,매칭테이블!$F:$I,3,0)</f>
        <v/>
      </c>
      <c r="O10680" s="94">
        <f>VLOOKUP($Q10680,매칭테이블!$F:$I,4,0)*K10680</f>
        <v/>
      </c>
      <c r="P10680" s="148">
        <f>M10680/1.1</f>
        <v/>
      </c>
      <c r="Q10680" s="94">
        <f>F10680&amp;E10680&amp;G10680&amp;L10680</f>
        <v/>
      </c>
    </row>
    <row r="10681">
      <c r="B10681" s="128" t="n">
        <v>44140</v>
      </c>
      <c r="C10681" s="94">
        <f>TEXT(B10681,"aaa")</f>
        <v/>
      </c>
      <c r="D10681" s="94" t="n"/>
      <c r="E10681" s="94" t="inlineStr">
        <is>
          <t>토너</t>
        </is>
      </c>
      <c r="F10681" s="94" t="inlineStr">
        <is>
          <t>W컨셉</t>
        </is>
      </c>
      <c r="G10681" s="94" t="inlineStr">
        <is>
          <t>250ml</t>
        </is>
      </c>
      <c r="H10681" s="94" t="n">
        <v>200801</v>
      </c>
      <c r="I10681" s="94" t="n">
        <v>200801</v>
      </c>
      <c r="J10681" s="94" t="n"/>
      <c r="K10681" s="6" t="n">
        <v>3</v>
      </c>
      <c r="L10681" s="94" t="n">
        <v>200801</v>
      </c>
      <c r="M10681" s="94">
        <f>VLOOKUP($Q10681,매칭테이블!$F:$I,2,0)*K10681</f>
        <v/>
      </c>
      <c r="N10681" s="94">
        <f>M10681-M10681*VLOOKUP($Q10681,매칭테이블!$F:$I,3,0)</f>
        <v/>
      </c>
      <c r="O10681" s="94">
        <f>VLOOKUP($Q10681,매칭테이블!$F:$I,4,0)*K10681</f>
        <v/>
      </c>
      <c r="P10681" s="148">
        <f>M10681/1.1</f>
        <v/>
      </c>
      <c r="Q10681" s="94">
        <f>F10681&amp;E10681&amp;G10681&amp;L10681</f>
        <v/>
      </c>
    </row>
    <row r="10682">
      <c r="B10682" s="128" t="n">
        <v>44140</v>
      </c>
      <c r="C10682" s="94">
        <f>TEXT(B10682,"aaa")</f>
        <v/>
      </c>
      <c r="D10682" s="94" t="n"/>
      <c r="E10682" s="94" t="inlineStr">
        <is>
          <t>토너</t>
        </is>
      </c>
      <c r="F10682" s="94" t="inlineStr">
        <is>
          <t>W컨셉</t>
        </is>
      </c>
      <c r="G10682" s="94" t="inlineStr">
        <is>
          <t>250ml 2set</t>
        </is>
      </c>
      <c r="H10682" s="94" t="n">
        <v>200801</v>
      </c>
      <c r="I10682" s="94" t="n">
        <v>200801</v>
      </c>
      <c r="J10682" s="94" t="n"/>
      <c r="K10682" s="6" t="n">
        <v>10</v>
      </c>
      <c r="L10682" s="94" t="n">
        <v>200801</v>
      </c>
      <c r="M10682" s="94">
        <f>VLOOKUP($Q10682,매칭테이블!$F:$I,2,0)*K10682</f>
        <v/>
      </c>
      <c r="N10682" s="94">
        <f>M10682-M10682*VLOOKUP($Q10682,매칭테이블!$F:$I,3,0)</f>
        <v/>
      </c>
      <c r="O10682" s="94">
        <f>VLOOKUP($Q10682,매칭테이블!$F:$I,4,0)*K10682</f>
        <v/>
      </c>
      <c r="P10682" s="148">
        <f>M10682/1.1</f>
        <v/>
      </c>
      <c r="Q10682" s="94">
        <f>F10682&amp;E10682&amp;G10682&amp;L10682</f>
        <v/>
      </c>
    </row>
    <row r="10683">
      <c r="B10683" s="128" t="n">
        <v>44140</v>
      </c>
      <c r="C10683" s="94">
        <f>TEXT(B10683,"aaa")</f>
        <v/>
      </c>
      <c r="D10683" s="94" t="n"/>
      <c r="E10683" s="94" t="inlineStr">
        <is>
          <t>클리어 패드</t>
        </is>
      </c>
      <c r="F10683" s="94" t="inlineStr">
        <is>
          <t>아누아 CS</t>
        </is>
      </c>
      <c r="G10683" s="94" t="inlineStr">
        <is>
          <t>어성초 클리어패드 70P</t>
        </is>
      </c>
      <c r="H10683" s="94" t="n">
        <v>200801</v>
      </c>
      <c r="I10683" s="94" t="n">
        <v>200801</v>
      </c>
      <c r="J10683" s="94" t="n"/>
      <c r="K10683" s="6" t="n">
        <v>40</v>
      </c>
      <c r="L10683" s="94" t="n">
        <v>200801</v>
      </c>
      <c r="M10683" s="94">
        <f>VLOOKUP($Q10683,매칭테이블!$F:$I,2,0)*K10683</f>
        <v/>
      </c>
      <c r="N10683" s="94">
        <f>M10683-M10683*VLOOKUP($Q10683,매칭테이블!$F:$I,3,0)</f>
        <v/>
      </c>
      <c r="O10683" s="94">
        <f>VLOOKUP($Q10683,매칭테이블!$F:$I,4,0)*K10683</f>
        <v/>
      </c>
      <c r="P10683" s="148">
        <f>M10683/1.1</f>
        <v/>
      </c>
      <c r="Q10683" s="94">
        <f>F10683&amp;E10683&amp;G10683&amp;L10683</f>
        <v/>
      </c>
    </row>
    <row r="10684">
      <c r="B10684" s="128" t="n">
        <v>44140</v>
      </c>
      <c r="C10684" s="94">
        <f>TEXT(B10684,"aaa")</f>
        <v/>
      </c>
      <c r="D10684" s="94" t="n"/>
      <c r="E10684" s="94" t="inlineStr">
        <is>
          <t>선크림</t>
        </is>
      </c>
      <c r="F10684" s="94" t="inlineStr">
        <is>
          <t>카페24</t>
        </is>
      </c>
      <c r="G10684" s="94" t="inlineStr">
        <is>
          <t>선크림 50ml</t>
        </is>
      </c>
      <c r="H10684" s="94" t="n">
        <v>200801</v>
      </c>
      <c r="I10684" s="94" t="n">
        <v>200801</v>
      </c>
      <c r="J10684" s="94" t="n"/>
      <c r="K10684" s="6" t="n">
        <v>3</v>
      </c>
      <c r="L10684" s="94" t="n">
        <v>200801</v>
      </c>
      <c r="M10684" s="94">
        <f>VLOOKUP($Q10684,매칭테이블!$F:$I,2,0)*K10684</f>
        <v/>
      </c>
      <c r="N10684" s="94">
        <f>M10684-M10684*VLOOKUP($Q10684,매칭테이블!$F:$I,3,0)</f>
        <v/>
      </c>
      <c r="O10684" s="94">
        <f>VLOOKUP($Q10684,매칭테이블!$F:$I,4,0)*K10684</f>
        <v/>
      </c>
      <c r="P10684" s="148">
        <f>M10684/1.1</f>
        <v/>
      </c>
      <c r="Q10684" s="94">
        <f>F10684&amp;E10684&amp;G10684&amp;L10684</f>
        <v/>
      </c>
    </row>
    <row r="10685">
      <c r="B10685" s="128" t="n">
        <v>44140</v>
      </c>
      <c r="C10685" s="94">
        <f>TEXT(B10685,"aaa")</f>
        <v/>
      </c>
      <c r="D10685" s="94" t="n"/>
      <c r="E10685" s="94" t="inlineStr">
        <is>
          <t>선크림</t>
        </is>
      </c>
      <c r="F10685" s="94" t="inlineStr">
        <is>
          <t>카페24</t>
        </is>
      </c>
      <c r="G10685" s="94" t="inlineStr">
        <is>
          <t>선크림 50ml  2set</t>
        </is>
      </c>
      <c r="H10685" s="94" t="n">
        <v>200801</v>
      </c>
      <c r="I10685" s="94" t="n">
        <v>200801</v>
      </c>
      <c r="J10685" s="94" t="n"/>
      <c r="K10685" s="6" t="n">
        <v>1</v>
      </c>
      <c r="L10685" s="94" t="n">
        <v>200801</v>
      </c>
      <c r="M10685" s="94">
        <f>VLOOKUP($Q10685,매칭테이블!$F:$I,2,0)*K10685</f>
        <v/>
      </c>
      <c r="N10685" s="94">
        <f>M10685-M10685*VLOOKUP($Q10685,매칭테이블!$F:$I,3,0)</f>
        <v/>
      </c>
      <c r="O10685" s="94">
        <f>VLOOKUP($Q10685,매칭테이블!$F:$I,4,0)*K10685</f>
        <v/>
      </c>
      <c r="P10685" s="148">
        <f>M10685/1.1</f>
        <v/>
      </c>
      <c r="Q10685" s="94">
        <f>F10685&amp;E10685&amp;G10685&amp;L10685</f>
        <v/>
      </c>
    </row>
    <row r="10686">
      <c r="B10686" s="128" t="n">
        <v>44140</v>
      </c>
      <c r="C10686" s="94">
        <f>TEXT(B10686,"aaa")</f>
        <v/>
      </c>
      <c r="D10686" s="94" t="n"/>
      <c r="E10686" s="94" t="inlineStr">
        <is>
          <t>클리어 패드</t>
        </is>
      </c>
      <c r="F10686" s="94" t="inlineStr">
        <is>
          <t>카페24</t>
        </is>
      </c>
      <c r="G10686" s="94" t="inlineStr">
        <is>
          <t>어성초 77 클리어 패드 1개-20% off</t>
        </is>
      </c>
      <c r="H10686" s="94" t="n">
        <v>200801</v>
      </c>
      <c r="I10686" s="94" t="n">
        <v>200801</v>
      </c>
      <c r="J10686" s="94" t="n"/>
      <c r="K10686" s="6" t="n">
        <v>21</v>
      </c>
      <c r="L10686" s="94" t="n">
        <v>200801</v>
      </c>
      <c r="M10686" s="94">
        <f>VLOOKUP($Q10686,매칭테이블!$F:$I,2,0)*K10686</f>
        <v/>
      </c>
      <c r="N10686" s="94">
        <f>M10686-M10686*VLOOKUP($Q10686,매칭테이블!$F:$I,3,0)</f>
        <v/>
      </c>
      <c r="O10686" s="94">
        <f>VLOOKUP($Q10686,매칭테이블!$F:$I,4,0)*K10686</f>
        <v/>
      </c>
      <c r="P10686" s="148">
        <f>M10686/1.1</f>
        <v/>
      </c>
      <c r="Q10686" s="94">
        <f>F10686&amp;E10686&amp;G10686&amp;L10686</f>
        <v/>
      </c>
    </row>
    <row r="10687">
      <c r="B10687" s="128" t="n">
        <v>44140</v>
      </c>
      <c r="C10687" s="94">
        <f>TEXT(B10687,"aaa")</f>
        <v/>
      </c>
      <c r="D10687" s="94" t="n"/>
      <c r="E10687" s="94" t="inlineStr">
        <is>
          <t>클리어 패드</t>
        </is>
      </c>
      <c r="F10687" s="94" t="inlineStr">
        <is>
          <t>카페24</t>
        </is>
      </c>
      <c r="G10687" s="94" t="inlineStr">
        <is>
          <t>어성초 77 클리어 패드 2개-30% off</t>
        </is>
      </c>
      <c r="H10687" s="94" t="n">
        <v>200801</v>
      </c>
      <c r="I10687" s="94" t="n">
        <v>200801</v>
      </c>
      <c r="J10687" s="94" t="n"/>
      <c r="K10687" s="6" t="n">
        <v>24</v>
      </c>
      <c r="L10687" s="94" t="n">
        <v>200801</v>
      </c>
      <c r="M10687" s="94">
        <f>VLOOKUP($Q10687,매칭테이블!$F:$I,2,0)*K10687</f>
        <v/>
      </c>
      <c r="N10687" s="94">
        <f>M10687-M10687*VLOOKUP($Q10687,매칭테이블!$F:$I,3,0)</f>
        <v/>
      </c>
      <c r="O10687" s="94">
        <f>VLOOKUP($Q10687,매칭테이블!$F:$I,4,0)*K10687</f>
        <v/>
      </c>
      <c r="P10687" s="148">
        <f>M10687/1.1</f>
        <v/>
      </c>
      <c r="Q10687" s="94">
        <f>F10687&amp;E10687&amp;G10687&amp;L10687</f>
        <v/>
      </c>
    </row>
    <row r="10688">
      <c r="B10688" s="128" t="n">
        <v>44140</v>
      </c>
      <c r="C10688" s="94">
        <f>TEXT(B10688,"aaa")</f>
        <v/>
      </c>
      <c r="D10688" s="94" t="n"/>
      <c r="E10688" s="94" t="inlineStr">
        <is>
          <t>토너+패드 세트</t>
        </is>
      </c>
      <c r="F10688" s="94" t="inlineStr">
        <is>
          <t>카페24</t>
        </is>
      </c>
      <c r="G10688" s="94" t="inlineStr">
        <is>
          <t>좁쌀 진정 세트 토너+클리어 패드-30% off</t>
        </is>
      </c>
      <c r="H10688" s="94" t="n">
        <v>200801</v>
      </c>
      <c r="I10688" s="94" t="n">
        <v>200801</v>
      </c>
      <c r="J10688" s="94" t="n"/>
      <c r="K10688" s="6" t="n">
        <v>26</v>
      </c>
      <c r="L10688" s="94" t="n">
        <v>200801</v>
      </c>
      <c r="M10688" s="94">
        <f>VLOOKUP($Q10688,매칭테이블!$F:$I,2,0)*K10688</f>
        <v/>
      </c>
      <c r="N10688" s="94">
        <f>M10688-M10688*VLOOKUP($Q10688,매칭테이블!$F:$I,3,0)</f>
        <v/>
      </c>
      <c r="O10688" s="94">
        <f>VLOOKUP($Q10688,매칭테이블!$F:$I,4,0)*K10688</f>
        <v/>
      </c>
      <c r="P10688" s="148">
        <f>M10688/1.1</f>
        <v/>
      </c>
      <c r="Q10688" s="94">
        <f>F10688&amp;E10688&amp;G10688&amp;L10688</f>
        <v/>
      </c>
    </row>
    <row r="10689">
      <c r="B10689" s="128" t="n">
        <v>44140</v>
      </c>
      <c r="C10689" s="94">
        <f>TEXT(B10689,"aaa")</f>
        <v/>
      </c>
      <c r="D10689" s="94" t="n"/>
      <c r="E10689" s="94" t="inlineStr">
        <is>
          <t>수분 보충 세트</t>
        </is>
      </c>
      <c r="F10689" s="94" t="inlineStr">
        <is>
          <t>카페24</t>
        </is>
      </c>
      <c r="G10689" s="94" t="inlineStr">
        <is>
          <t>[20/09/28 부터] 어성초 77 토너 250ml + 어성초 70 로션 200ml -30%</t>
        </is>
      </c>
      <c r="H10689" s="94" t="n">
        <v>200801</v>
      </c>
      <c r="I10689" s="94" t="n">
        <v>200801</v>
      </c>
      <c r="J10689" s="94" t="n"/>
      <c r="K10689" s="6" t="n">
        <v>30</v>
      </c>
      <c r="L10689" s="94" t="n">
        <v>200801</v>
      </c>
      <c r="M10689" s="94">
        <f>VLOOKUP($Q10689,매칭테이블!$F:$I,2,0)*K10689</f>
        <v/>
      </c>
      <c r="N10689" s="94">
        <f>M10689-M10689*VLOOKUP($Q10689,매칭테이블!$F:$I,3,0)</f>
        <v/>
      </c>
      <c r="O10689" s="94">
        <f>VLOOKUP($Q10689,매칭테이블!$F:$I,4,0)*K10689</f>
        <v/>
      </c>
      <c r="P10689" s="148">
        <f>M10689/1.1</f>
        <v/>
      </c>
      <c r="Q10689" s="94">
        <f>F10689&amp;E10689&amp;G10689&amp;L10689</f>
        <v/>
      </c>
    </row>
    <row r="10690">
      <c r="B10690" s="128" t="n">
        <v>44140</v>
      </c>
      <c r="C10690" s="94">
        <f>TEXT(B10690,"aaa")</f>
        <v/>
      </c>
      <c r="D10690" s="94" t="n"/>
      <c r="E10690" s="94" t="inlineStr">
        <is>
          <t>로션</t>
        </is>
      </c>
      <c r="F10690" s="94" t="inlineStr">
        <is>
          <t>카페24</t>
        </is>
      </c>
      <c r="G10690" s="94" t="inlineStr">
        <is>
          <t>어성초 70 데일리 릴리프 로션 1개 -20% off</t>
        </is>
      </c>
      <c r="H10690" s="94" t="n">
        <v>200801</v>
      </c>
      <c r="I10690" s="94" t="n">
        <v>200801</v>
      </c>
      <c r="J10690" s="94" t="n"/>
      <c r="K10690" s="6" t="n">
        <v>6</v>
      </c>
      <c r="L10690" s="94" t="n">
        <v>200801</v>
      </c>
      <c r="M10690" s="94">
        <f>VLOOKUP($Q10690,매칭테이블!$F:$I,2,0)*K10690</f>
        <v/>
      </c>
      <c r="N10690" s="94">
        <f>M10690-M10690*VLOOKUP($Q10690,매칭테이블!$F:$I,3,0)</f>
        <v/>
      </c>
      <c r="O10690" s="94">
        <f>VLOOKUP($Q10690,매칭테이블!$F:$I,4,0)*K10690</f>
        <v/>
      </c>
      <c r="P10690" s="148">
        <f>M10690/1.1</f>
        <v/>
      </c>
      <c r="Q10690" s="94">
        <f>F10690&amp;E10690&amp;G10690&amp;L10690</f>
        <v/>
      </c>
    </row>
    <row r="10691">
      <c r="B10691" s="128" t="n">
        <v>44140</v>
      </c>
      <c r="C10691" s="94">
        <f>TEXT(B10691,"aaa")</f>
        <v/>
      </c>
      <c r="D10691" s="94" t="n"/>
      <c r="E10691" s="94" t="inlineStr">
        <is>
          <t>로션</t>
        </is>
      </c>
      <c r="F10691" s="94" t="inlineStr">
        <is>
          <t>카페24</t>
        </is>
      </c>
      <c r="G10691" s="94" t="inlineStr">
        <is>
          <t>어성초 70 데일리 릴리프 로션 2개 -30% off</t>
        </is>
      </c>
      <c r="H10691" s="94" t="n">
        <v>200801</v>
      </c>
      <c r="I10691" s="94" t="n">
        <v>200801</v>
      </c>
      <c r="J10691" s="94" t="n"/>
      <c r="K10691" s="6" t="n">
        <v>1</v>
      </c>
      <c r="L10691" s="94" t="n">
        <v>200801</v>
      </c>
      <c r="M10691" s="94">
        <f>VLOOKUP($Q10691,매칭테이블!$F:$I,2,0)*K10691</f>
        <v/>
      </c>
      <c r="N10691" s="94">
        <f>M10691-M10691*VLOOKUP($Q10691,매칭테이블!$F:$I,3,0)</f>
        <v/>
      </c>
      <c r="O10691" s="94">
        <f>VLOOKUP($Q10691,매칭테이블!$F:$I,4,0)*K10691</f>
        <v/>
      </c>
      <c r="P10691" s="148">
        <f>M10691/1.1</f>
        <v/>
      </c>
      <c r="Q10691" s="94">
        <f>F10691&amp;E10691&amp;G10691&amp;L10691</f>
        <v/>
      </c>
    </row>
    <row r="10692">
      <c r="B10692" s="128" t="n">
        <v>44140</v>
      </c>
      <c r="C10692" s="94">
        <f>TEXT(B10692,"aaa")</f>
        <v/>
      </c>
      <c r="D10692" s="94" t="n"/>
      <c r="E10692" s="94" t="inlineStr">
        <is>
          <t>머드크림마스크</t>
        </is>
      </c>
      <c r="F10692" s="94" t="inlineStr">
        <is>
          <t>카페24</t>
        </is>
      </c>
      <c r="G10692" s="94" t="inlineStr">
        <is>
          <t>머드크림마스크 100ml</t>
        </is>
      </c>
      <c r="H10692" s="94" t="n">
        <v>200801</v>
      </c>
      <c r="I10692" s="94" t="n">
        <v>200801</v>
      </c>
      <c r="J10692" s="94" t="n"/>
      <c r="K10692" s="6" t="n">
        <v>7</v>
      </c>
      <c r="L10692" s="94" t="n">
        <v>200801</v>
      </c>
      <c r="M10692" s="94">
        <f>VLOOKUP($Q10692,매칭테이블!$F:$I,2,0)*K10692</f>
        <v/>
      </c>
      <c r="N10692" s="94">
        <f>M10692-M10692*VLOOKUP($Q10692,매칭테이블!$F:$I,3,0)</f>
        <v/>
      </c>
      <c r="O10692" s="94">
        <f>VLOOKUP($Q10692,매칭테이블!$F:$I,4,0)*K10692</f>
        <v/>
      </c>
      <c r="P10692" s="148">
        <f>M10692/1.1</f>
        <v/>
      </c>
      <c r="Q10692" s="94">
        <f>F10692&amp;E10692&amp;G10692&amp;L10692</f>
        <v/>
      </c>
    </row>
    <row r="10693">
      <c r="B10693" s="128" t="n">
        <v>44140</v>
      </c>
      <c r="C10693" s="94">
        <f>TEXT(B10693,"aaa")</f>
        <v/>
      </c>
      <c r="D10693" s="94" t="n"/>
      <c r="E10693" s="94" t="inlineStr">
        <is>
          <t>마스크팩</t>
        </is>
      </c>
      <c r="F10693" s="94" t="inlineStr">
        <is>
          <t>카페24</t>
        </is>
      </c>
      <c r="G10693" s="94" t="inlineStr">
        <is>
          <t>마스크팩 1매</t>
        </is>
      </c>
      <c r="H10693" s="94" t="n">
        <v>200801</v>
      </c>
      <c r="I10693" s="94" t="n">
        <v>200801</v>
      </c>
      <c r="J10693" s="94" t="n"/>
      <c r="K10693" s="6" t="n">
        <v>2</v>
      </c>
      <c r="L10693" s="94" t="n">
        <v>200801</v>
      </c>
      <c r="M10693" s="94">
        <f>VLOOKUP($Q10693,매칭테이블!$F:$I,2,0)*K10693</f>
        <v/>
      </c>
      <c r="N10693" s="94">
        <f>M10693-M10693*VLOOKUP($Q10693,매칭테이블!$F:$I,3,0)</f>
        <v/>
      </c>
      <c r="O10693" s="94">
        <f>VLOOKUP($Q10693,매칭테이블!$F:$I,4,0)*K10693</f>
        <v/>
      </c>
      <c r="P10693" s="148">
        <f>M10693/1.1</f>
        <v/>
      </c>
      <c r="Q10693" s="94">
        <f>F10693&amp;E10693&amp;G10693&amp;L10693</f>
        <v/>
      </c>
    </row>
    <row r="10694">
      <c r="B10694" s="128" t="n">
        <v>44140</v>
      </c>
      <c r="C10694" s="94">
        <f>TEXT(B10694,"aaa")</f>
        <v/>
      </c>
      <c r="D10694" s="94" t="n"/>
      <c r="E10694" s="94" t="inlineStr">
        <is>
          <t>마스크팩</t>
        </is>
      </c>
      <c r="F10694" s="94" t="inlineStr">
        <is>
          <t>카페24</t>
        </is>
      </c>
      <c r="G10694" s="94" t="inlineStr">
        <is>
          <t>마스크팩 10매</t>
        </is>
      </c>
      <c r="H10694" s="94" t="n">
        <v>200801</v>
      </c>
      <c r="I10694" s="94" t="n">
        <v>200801</v>
      </c>
      <c r="J10694" s="94" t="n"/>
      <c r="K10694" s="6" t="n">
        <v>6</v>
      </c>
      <c r="L10694" s="94" t="n">
        <v>200801</v>
      </c>
      <c r="M10694" s="94">
        <f>VLOOKUP($Q10694,매칭테이블!$F:$I,2,0)*K10694</f>
        <v/>
      </c>
      <c r="N10694" s="94">
        <f>M10694-M10694*VLOOKUP($Q10694,매칭테이블!$F:$I,3,0)</f>
        <v/>
      </c>
      <c r="O10694" s="94">
        <f>VLOOKUP($Q10694,매칭테이블!$F:$I,4,0)*K10694</f>
        <v/>
      </c>
      <c r="P10694" s="148">
        <f>M10694/1.1</f>
        <v/>
      </c>
      <c r="Q10694" s="94">
        <f>F10694&amp;E10694&amp;G10694&amp;L10694</f>
        <v/>
      </c>
    </row>
    <row r="10695">
      <c r="B10695" s="128" t="n">
        <v>44140</v>
      </c>
      <c r="C10695" s="94">
        <f>TEXT(B10695,"aaa")</f>
        <v/>
      </c>
      <c r="D10695" s="94" t="n"/>
      <c r="E10695" s="94" t="inlineStr">
        <is>
          <t>토너</t>
        </is>
      </c>
      <c r="F10695" s="94" t="inlineStr">
        <is>
          <t>카페24</t>
        </is>
      </c>
      <c r="G10695" s="94" t="inlineStr">
        <is>
          <t>250ml</t>
        </is>
      </c>
      <c r="H10695" s="94" t="n">
        <v>200801</v>
      </c>
      <c r="I10695" s="94" t="n">
        <v>200801</v>
      </c>
      <c r="J10695" s="94" t="n"/>
      <c r="K10695" s="6" t="n">
        <v>27</v>
      </c>
      <c r="L10695" s="94" t="n">
        <v>200801</v>
      </c>
      <c r="M10695" s="94">
        <f>VLOOKUP($Q10695,매칭테이블!$F:$I,2,0)*K10695</f>
        <v/>
      </c>
      <c r="N10695" s="94">
        <f>M10695-M10695*VLOOKUP($Q10695,매칭테이블!$F:$I,3,0)</f>
        <v/>
      </c>
      <c r="O10695" s="94">
        <f>VLOOKUP($Q10695,매칭테이블!$F:$I,4,0)*K10695</f>
        <v/>
      </c>
      <c r="P10695" s="148">
        <f>M10695/1.1</f>
        <v/>
      </c>
      <c r="Q10695" s="94">
        <f>F10695&amp;E10695&amp;G10695&amp;L10695</f>
        <v/>
      </c>
    </row>
    <row r="10696">
      <c r="B10696" s="128" t="n">
        <v>44140</v>
      </c>
      <c r="C10696" s="94">
        <f>TEXT(B10696,"aaa")</f>
        <v/>
      </c>
      <c r="D10696" s="94" t="n"/>
      <c r="E10696" s="94" t="inlineStr">
        <is>
          <t>토너</t>
        </is>
      </c>
      <c r="F10696" s="94" t="inlineStr">
        <is>
          <t>카페24</t>
        </is>
      </c>
      <c r="G10696" s="94" t="inlineStr">
        <is>
          <t>250ml 2set</t>
        </is>
      </c>
      <c r="H10696" s="94" t="n">
        <v>200801</v>
      </c>
      <c r="I10696" s="94" t="n">
        <v>200801</v>
      </c>
      <c r="J10696" s="94" t="n"/>
      <c r="K10696" s="6" t="n">
        <v>21</v>
      </c>
      <c r="L10696" s="94" t="n">
        <v>200801</v>
      </c>
      <c r="M10696" s="94">
        <f>VLOOKUP($Q10696,매칭테이블!$F:$I,2,0)*K10696</f>
        <v/>
      </c>
      <c r="N10696" s="94">
        <f>M10696-M10696*VLOOKUP($Q10696,매칭테이블!$F:$I,3,0)</f>
        <v/>
      </c>
      <c r="O10696" s="94">
        <f>VLOOKUP($Q10696,매칭테이블!$F:$I,4,0)*K10696</f>
        <v/>
      </c>
      <c r="P10696" s="148">
        <f>M10696/1.1</f>
        <v/>
      </c>
      <c r="Q10696" s="94">
        <f>F10696&amp;E10696&amp;G10696&amp;L10696</f>
        <v/>
      </c>
    </row>
    <row r="10697">
      <c r="B10697" s="128" t="n">
        <v>44140</v>
      </c>
      <c r="C10697" s="94">
        <f>TEXT(B10697,"aaa")</f>
        <v/>
      </c>
      <c r="D10697" s="94" t="n"/>
      <c r="E10697" s="94" t="inlineStr">
        <is>
          <t>토너</t>
        </is>
      </c>
      <c r="F10697" s="94" t="inlineStr">
        <is>
          <t>카페24</t>
        </is>
      </c>
      <c r="G10697" s="94" t="inlineStr">
        <is>
          <t>500ml</t>
        </is>
      </c>
      <c r="H10697" s="94" t="n">
        <v>200801</v>
      </c>
      <c r="I10697" s="94" t="n">
        <v>200801</v>
      </c>
      <c r="J10697" s="94" t="n"/>
      <c r="K10697" s="6" t="n">
        <v>38</v>
      </c>
      <c r="L10697" s="94" t="n">
        <v>200801</v>
      </c>
      <c r="M10697" s="94">
        <f>VLOOKUP($Q10697,매칭테이블!$F:$I,2,0)*K10697</f>
        <v/>
      </c>
      <c r="N10697" s="94">
        <f>M10697-M10697*VLOOKUP($Q10697,매칭테이블!$F:$I,3,0)</f>
        <v/>
      </c>
      <c r="O10697" s="94">
        <f>VLOOKUP($Q10697,매칭테이블!$F:$I,4,0)*K10697</f>
        <v/>
      </c>
      <c r="P10697" s="148">
        <f>M10697/1.1</f>
        <v/>
      </c>
      <c r="Q10697" s="94">
        <f>F10697&amp;E10697&amp;G10697&amp;L10697</f>
        <v/>
      </c>
    </row>
    <row r="10698">
      <c r="B10698" s="128" t="n">
        <v>44140</v>
      </c>
      <c r="C10698" s="94">
        <f>TEXT(B10698,"aaa")</f>
        <v/>
      </c>
      <c r="D10698" s="94" t="n"/>
      <c r="E10698" s="94" t="inlineStr">
        <is>
          <t>토너</t>
        </is>
      </c>
      <c r="F10698" s="94" t="inlineStr">
        <is>
          <t>카페24</t>
        </is>
      </c>
      <c r="G10698" s="94" t="inlineStr">
        <is>
          <t>스킨팩 화장솜 60P</t>
        </is>
      </c>
      <c r="H10698" s="94" t="n">
        <v>200801</v>
      </c>
      <c r="I10698" s="94" t="n">
        <v>200801</v>
      </c>
      <c r="J10698" s="94" t="n"/>
      <c r="K10698" s="6" t="n">
        <v>37</v>
      </c>
      <c r="L10698" s="94" t="n">
        <v>200801</v>
      </c>
      <c r="M10698" s="94">
        <f>VLOOKUP($Q10698,매칭테이블!$F:$I,2,0)*K10698</f>
        <v/>
      </c>
      <c r="N10698" s="94">
        <f>M10698-M10698*VLOOKUP($Q10698,매칭테이블!$F:$I,3,0)</f>
        <v/>
      </c>
      <c r="O10698" s="94">
        <f>VLOOKUP($Q10698,매칭테이블!$F:$I,4,0)*K10698</f>
        <v/>
      </c>
      <c r="P10698" s="148">
        <f>M10698/1.1</f>
        <v/>
      </c>
      <c r="Q10698" s="94">
        <f>F10698&amp;E10698&amp;G10698&amp;L10698</f>
        <v/>
      </c>
    </row>
    <row r="10699">
      <c r="B10699" s="128" t="n">
        <v>44140</v>
      </c>
      <c r="C10699" s="94">
        <f>TEXT(B10699,"aaa")</f>
        <v/>
      </c>
      <c r="D10699" s="94" t="n"/>
      <c r="E10699" s="94" t="inlineStr">
        <is>
          <t>앰플</t>
        </is>
      </c>
      <c r="F10699" s="94" t="inlineStr">
        <is>
          <t>카페24</t>
        </is>
      </c>
      <c r="G10699" s="94" t="inlineStr">
        <is>
          <t>앰플 30ml</t>
        </is>
      </c>
      <c r="H10699" s="94" t="n">
        <v>200801</v>
      </c>
      <c r="I10699" s="94" t="n">
        <v>200801</v>
      </c>
      <c r="J10699" s="94" t="n"/>
      <c r="K10699" s="6" t="n">
        <v>21</v>
      </c>
      <c r="L10699" s="94" t="n">
        <v>200801</v>
      </c>
      <c r="M10699" s="94">
        <f>VLOOKUP($Q10699,매칭테이블!$F:$I,2,0)*K10699</f>
        <v/>
      </c>
      <c r="N10699" s="94">
        <f>M10699-M10699*VLOOKUP($Q10699,매칭테이블!$F:$I,3,0)</f>
        <v/>
      </c>
      <c r="O10699" s="94">
        <f>VLOOKUP($Q10699,매칭테이블!$F:$I,4,0)*K10699</f>
        <v/>
      </c>
      <c r="P10699" s="148">
        <f>M10699/1.1</f>
        <v/>
      </c>
      <c r="Q10699" s="94">
        <f>F10699&amp;E10699&amp;G10699&amp;L10699</f>
        <v/>
      </c>
    </row>
    <row r="10700">
      <c r="B10700" s="128" t="n">
        <v>44140</v>
      </c>
      <c r="C10700" s="94">
        <f>TEXT(B10700,"aaa")</f>
        <v/>
      </c>
      <c r="D10700" s="94" t="n"/>
      <c r="E10700" s="94" t="inlineStr">
        <is>
          <t>앰플</t>
        </is>
      </c>
      <c r="F10700" s="94" t="inlineStr">
        <is>
          <t>카페24</t>
        </is>
      </c>
      <c r="G10700" s="94" t="inlineStr">
        <is>
          <t>앰플 30ml  2set</t>
        </is>
      </c>
      <c r="H10700" s="94" t="n">
        <v>200801</v>
      </c>
      <c r="I10700" s="94" t="n">
        <v>200801</v>
      </c>
      <c r="J10700" s="94" t="n"/>
      <c r="K10700" s="6" t="n">
        <v>10</v>
      </c>
      <c r="L10700" s="94" t="n">
        <v>200801</v>
      </c>
      <c r="M10700" s="94">
        <f>VLOOKUP($Q10700,매칭테이블!$F:$I,2,0)*K10700</f>
        <v/>
      </c>
      <c r="N10700" s="94">
        <f>M10700-M10700*VLOOKUP($Q10700,매칭테이블!$F:$I,3,0)</f>
        <v/>
      </c>
      <c r="O10700" s="94">
        <f>VLOOKUP($Q10700,매칭테이블!$F:$I,4,0)*K10700</f>
        <v/>
      </c>
      <c r="P10700" s="148">
        <f>M10700/1.1</f>
        <v/>
      </c>
      <c r="Q10700" s="94">
        <f>F10700&amp;E10700&amp;G10700&amp;L10700</f>
        <v/>
      </c>
    </row>
    <row r="10701">
      <c r="B10701" s="128" t="n">
        <v>44140</v>
      </c>
      <c r="C10701" s="94">
        <f>TEXT(B10701,"aaa")</f>
        <v/>
      </c>
      <c r="D10701" s="94" t="n"/>
      <c r="E10701" s="94" t="inlineStr">
        <is>
          <t>수딩크림</t>
        </is>
      </c>
      <c r="F10701" s="94" t="inlineStr">
        <is>
          <t>카페24</t>
        </is>
      </c>
      <c r="G10701" s="94" t="inlineStr">
        <is>
          <t>수딩크림 100ml</t>
        </is>
      </c>
      <c r="H10701" s="94" t="n">
        <v>200801</v>
      </c>
      <c r="I10701" s="94" t="n">
        <v>200801</v>
      </c>
      <c r="J10701" s="94" t="n"/>
      <c r="K10701" s="6" t="n">
        <v>9</v>
      </c>
      <c r="L10701" s="94" t="n">
        <v>200801</v>
      </c>
      <c r="M10701" s="94">
        <f>VLOOKUP($Q10701,매칭테이블!$F:$I,2,0)*K10701</f>
        <v/>
      </c>
      <c r="N10701" s="94">
        <f>M10701-M10701*VLOOKUP($Q10701,매칭테이블!$F:$I,3,0)</f>
        <v/>
      </c>
      <c r="O10701" s="94">
        <f>VLOOKUP($Q10701,매칭테이블!$F:$I,4,0)*K10701</f>
        <v/>
      </c>
      <c r="P10701" s="148">
        <f>M10701/1.1</f>
        <v/>
      </c>
      <c r="Q10701" s="94">
        <f>F10701&amp;E10701&amp;G10701&amp;L10701</f>
        <v/>
      </c>
    </row>
    <row r="10702">
      <c r="B10702" s="128" t="n">
        <v>44140</v>
      </c>
      <c r="C10702" s="94">
        <f>TEXT(B10702,"aaa")</f>
        <v/>
      </c>
      <c r="D10702" s="94" t="n"/>
      <c r="E10702" s="94" t="inlineStr">
        <is>
          <t>클렌징폼</t>
        </is>
      </c>
      <c r="F10702" s="94" t="inlineStr">
        <is>
          <t>카페24</t>
        </is>
      </c>
      <c r="G10702" s="94" t="inlineStr">
        <is>
          <t>클렌징폼 120ml</t>
        </is>
      </c>
      <c r="H10702" s="94" t="n">
        <v>200801</v>
      </c>
      <c r="I10702" s="94" t="n">
        <v>200801</v>
      </c>
      <c r="J10702" s="94" t="n"/>
      <c r="K10702" s="6" t="n">
        <v>11</v>
      </c>
      <c r="L10702" s="94" t="n">
        <v>200801</v>
      </c>
      <c r="M10702" s="94">
        <f>VLOOKUP($Q10702,매칭테이블!$F:$I,2,0)*K10702</f>
        <v/>
      </c>
      <c r="N10702" s="94">
        <f>M10702-M10702*VLOOKUP($Q10702,매칭테이블!$F:$I,3,0)</f>
        <v/>
      </c>
      <c r="O10702" s="94">
        <f>VLOOKUP($Q10702,매칭테이블!$F:$I,4,0)*K10702</f>
        <v/>
      </c>
      <c r="P10702" s="148">
        <f>M10702/1.1</f>
        <v/>
      </c>
      <c r="Q10702" s="94">
        <f>F10702&amp;E10702&amp;G10702&amp;L10702</f>
        <v/>
      </c>
    </row>
    <row r="10703">
      <c r="B10703" s="128" t="n">
        <v>44140</v>
      </c>
      <c r="C10703" s="94">
        <f>TEXT(B10703,"aaa")</f>
        <v/>
      </c>
      <c r="D10703" s="94" t="n"/>
      <c r="E10703" s="94" t="inlineStr">
        <is>
          <t>클렌징폼</t>
        </is>
      </c>
      <c r="F10703" s="94" t="inlineStr">
        <is>
          <t>카페24</t>
        </is>
      </c>
      <c r="G10703" s="94" t="inlineStr">
        <is>
          <t>클렌징폼 120ml 3set</t>
        </is>
      </c>
      <c r="H10703" s="94" t="n">
        <v>200801</v>
      </c>
      <c r="I10703" s="94" t="n">
        <v>200801</v>
      </c>
      <c r="J10703" s="94" t="n"/>
      <c r="K10703" s="6" t="n">
        <v>1</v>
      </c>
      <c r="L10703" s="94" t="n">
        <v>200801</v>
      </c>
      <c r="M10703" s="94">
        <f>VLOOKUP($Q10703,매칭테이블!$F:$I,2,0)*K10703</f>
        <v/>
      </c>
      <c r="N10703" s="94">
        <f>M10703-M10703*VLOOKUP($Q10703,매칭테이블!$F:$I,3,0)</f>
        <v/>
      </c>
      <c r="O10703" s="94">
        <f>VLOOKUP($Q10703,매칭테이블!$F:$I,4,0)*K10703</f>
        <v/>
      </c>
      <c r="P10703" s="148">
        <f>M10703/1.1</f>
        <v/>
      </c>
      <c r="Q10703" s="94">
        <f>F10703&amp;E10703&amp;G10703&amp;L10703</f>
        <v/>
      </c>
    </row>
    <row r="10704">
      <c r="B10704" s="128" t="n">
        <v>44140</v>
      </c>
      <c r="C10704" s="94">
        <f>TEXT(B10704,"aaa")</f>
        <v/>
      </c>
      <c r="D10704" s="94" t="n"/>
      <c r="E10704" s="94" t="inlineStr">
        <is>
          <t>바디워시</t>
        </is>
      </c>
      <c r="F10704" s="94" t="inlineStr">
        <is>
          <t>카페24</t>
        </is>
      </c>
      <c r="G10704" s="94" t="inlineStr">
        <is>
          <t>바디워시 1개 -30% off</t>
        </is>
      </c>
      <c r="H10704" s="94" t="n">
        <v>200801</v>
      </c>
      <c r="I10704" s="94" t="n">
        <v>200801</v>
      </c>
      <c r="J10704" s="94" t="n"/>
      <c r="K10704" s="6" t="n">
        <v>1</v>
      </c>
      <c r="L10704" s="94" t="n">
        <v>200801</v>
      </c>
      <c r="M10704" s="94">
        <f>VLOOKUP($Q10704,매칭테이블!$F:$I,2,0)*K10704</f>
        <v/>
      </c>
      <c r="N10704" s="94">
        <f>M10704-M10704*VLOOKUP($Q10704,매칭테이블!$F:$I,3,0)</f>
        <v/>
      </c>
      <c r="O10704" s="94">
        <f>VLOOKUP($Q10704,매칭테이블!$F:$I,4,0)*K10704</f>
        <v/>
      </c>
      <c r="P10704" s="148">
        <f>M10704/1.1</f>
        <v/>
      </c>
      <c r="Q10704" s="94">
        <f>F10704&amp;E10704&amp;G10704&amp;L10704</f>
        <v/>
      </c>
    </row>
    <row r="10705" customFormat="1" s="94">
      <c r="B10705" s="128" t="n">
        <v>44140</v>
      </c>
      <c r="C10705" s="94">
        <f>TEXT(B10705,"aaa")</f>
        <v/>
      </c>
      <c r="E10705" s="94" t="inlineStr">
        <is>
          <t>토너</t>
        </is>
      </c>
      <c r="F10705" s="94" t="inlineStr">
        <is>
          <t>화해</t>
        </is>
      </c>
      <c r="G10705" s="94" t="inlineStr">
        <is>
          <t>250ml</t>
        </is>
      </c>
      <c r="H10705" s="94" t="n">
        <v>200801</v>
      </c>
      <c r="I10705" s="94" t="n">
        <v>200801</v>
      </c>
      <c r="K10705" s="6" t="n">
        <v>5</v>
      </c>
      <c r="L10705" s="94" t="n">
        <v>200801</v>
      </c>
      <c r="M10705" s="94">
        <f>VLOOKUP($Q10705,매칭테이블!$F:$I,2,0)*K10705</f>
        <v/>
      </c>
      <c r="N10705" s="94">
        <f>M10705-M10705*VLOOKUP($Q10705,매칭테이블!$F:$I,3,0)</f>
        <v/>
      </c>
      <c r="O10705" s="94">
        <f>VLOOKUP($Q10705,매칭테이블!$F:$I,4,0)*K10705</f>
        <v/>
      </c>
      <c r="P10705" s="148">
        <f>M10705/1.1</f>
        <v/>
      </c>
      <c r="Q10705" s="94">
        <f>F10705&amp;E10705&amp;G10705&amp;L10705</f>
        <v/>
      </c>
    </row>
    <row r="10706" customFormat="1" s="94">
      <c r="B10706" s="128" t="n">
        <v>44141</v>
      </c>
      <c r="C10706" s="94">
        <f>TEXT(B10706,"aaa")</f>
        <v/>
      </c>
      <c r="E10706" s="94" t="inlineStr">
        <is>
          <t>토너</t>
        </is>
      </c>
      <c r="F10706" s="5" t="inlineStr">
        <is>
          <t>W컨셉</t>
        </is>
      </c>
      <c r="G10706" s="94" t="inlineStr">
        <is>
          <t>250ml</t>
        </is>
      </c>
      <c r="H10706" s="94" t="n">
        <v>200801</v>
      </c>
      <c r="I10706" s="94" t="n">
        <v>200801</v>
      </c>
      <c r="K10706" s="94" t="n">
        <v>1</v>
      </c>
      <c r="L10706" s="94" t="n">
        <v>200801</v>
      </c>
      <c r="M10706" s="94">
        <f>VLOOKUP($Q10706,매칭테이블!$F:$I,2,0)*K10706</f>
        <v/>
      </c>
      <c r="N10706" s="94">
        <f>M10706-M10706*VLOOKUP($Q10706,매칭테이블!$F:$I,3,0)</f>
        <v/>
      </c>
      <c r="O10706" s="94">
        <f>VLOOKUP($Q10706,매칭테이블!$F:$I,4,0)*K10706</f>
        <v/>
      </c>
      <c r="P10706" s="148">
        <f>M10706/1.1</f>
        <v/>
      </c>
      <c r="Q10706" s="94">
        <f>F10706&amp;E10706&amp;G10706&amp;L10706</f>
        <v/>
      </c>
    </row>
    <row r="10707" customFormat="1" s="94">
      <c r="B10707" s="128" t="n">
        <v>44141</v>
      </c>
      <c r="C10707" s="94">
        <f>TEXT(B10707,"aaa")</f>
        <v/>
      </c>
      <c r="E10707" s="94" t="inlineStr">
        <is>
          <t>토너</t>
        </is>
      </c>
      <c r="F10707" s="5" t="inlineStr">
        <is>
          <t>W컨셉</t>
        </is>
      </c>
      <c r="G10707" s="94" t="inlineStr">
        <is>
          <t>250ml 2set</t>
        </is>
      </c>
      <c r="H10707" s="94" t="n">
        <v>200801</v>
      </c>
      <c r="I10707" s="94" t="n">
        <v>200801</v>
      </c>
      <c r="K10707" s="94" t="n">
        <v>4</v>
      </c>
      <c r="L10707" s="94" t="n">
        <v>200801</v>
      </c>
      <c r="M10707" s="94">
        <f>VLOOKUP($Q10707,매칭테이블!$F:$I,2,0)*K10707</f>
        <v/>
      </c>
      <c r="N10707" s="94">
        <f>M10707-M10707*VLOOKUP($Q10707,매칭테이블!$F:$I,3,0)</f>
        <v/>
      </c>
      <c r="O10707" s="94">
        <f>VLOOKUP($Q10707,매칭테이블!$F:$I,4,0)*K10707</f>
        <v/>
      </c>
      <c r="P10707" s="148">
        <f>M10707/1.1</f>
        <v/>
      </c>
      <c r="Q10707" s="94">
        <f>F10707&amp;E10707&amp;G10707&amp;L10707</f>
        <v/>
      </c>
    </row>
    <row r="10708" customFormat="1" s="94">
      <c r="B10708" s="128" t="n">
        <v>44141</v>
      </c>
      <c r="C10708" s="94">
        <f>TEXT(B10708,"aaa")</f>
        <v/>
      </c>
      <c r="E10708" s="94" t="inlineStr">
        <is>
          <t>토너</t>
        </is>
      </c>
      <c r="F10708" s="5" t="inlineStr">
        <is>
          <t>스타일쉐어</t>
        </is>
      </c>
      <c r="G10708" s="94" t="inlineStr">
        <is>
          <t>250ml</t>
        </is>
      </c>
      <c r="H10708" s="94" t="n">
        <v>200801</v>
      </c>
      <c r="I10708" s="94" t="n">
        <v>200801</v>
      </c>
      <c r="K10708" s="94" t="n">
        <v>3</v>
      </c>
      <c r="L10708" s="94" t="n">
        <v>200801</v>
      </c>
      <c r="M10708" s="94">
        <f>VLOOKUP($Q10708,매칭테이블!$F:$I,2,0)*K10708</f>
        <v/>
      </c>
      <c r="N10708" s="94">
        <f>M10708-M10708*VLOOKUP($Q10708,매칭테이블!$F:$I,3,0)</f>
        <v/>
      </c>
      <c r="O10708" s="94">
        <f>VLOOKUP($Q10708,매칭테이블!$F:$I,4,0)*K10708</f>
        <v/>
      </c>
      <c r="P10708" s="148">
        <f>M10708/1.1</f>
        <v/>
      </c>
      <c r="Q10708" s="94">
        <f>F10708&amp;E10708&amp;G10708&amp;L10708</f>
        <v/>
      </c>
    </row>
    <row r="10709" customFormat="1" s="94">
      <c r="B10709" s="128" t="n">
        <v>44141</v>
      </c>
      <c r="C10709" s="94">
        <f>TEXT(B10709,"aaa")</f>
        <v/>
      </c>
      <c r="E10709" s="74" t="inlineStr">
        <is>
          <t>클리어 패드</t>
        </is>
      </c>
      <c r="F10709" s="5" t="inlineStr">
        <is>
          <t>아누아 CS</t>
        </is>
      </c>
      <c r="G10709" s="74" t="inlineStr">
        <is>
          <t>어성초 클리어패드 70P</t>
        </is>
      </c>
      <c r="H10709" s="94" t="n">
        <v>200801</v>
      </c>
      <c r="I10709" s="94" t="n">
        <v>200801</v>
      </c>
      <c r="K10709" s="94" t="n">
        <v>1</v>
      </c>
      <c r="L10709" s="94" t="n">
        <v>200801</v>
      </c>
      <c r="M10709" s="94">
        <f>VLOOKUP($Q10709,매칭테이블!$F:$I,2,0)*K10709</f>
        <v/>
      </c>
      <c r="N10709" s="94">
        <f>M10709-M10709*VLOOKUP($Q10709,매칭테이블!$F:$I,3,0)</f>
        <v/>
      </c>
      <c r="O10709" s="94">
        <f>VLOOKUP($Q10709,매칭테이블!$F:$I,4,0)*K10709</f>
        <v/>
      </c>
      <c r="P10709" s="148">
        <f>M10709/1.1</f>
        <v/>
      </c>
      <c r="Q10709" s="94">
        <f>F10709&amp;E10709&amp;G10709&amp;L10709</f>
        <v/>
      </c>
    </row>
    <row r="10710" customFormat="1" s="94">
      <c r="B10710" s="128" t="n">
        <v>44141</v>
      </c>
      <c r="C10710" s="94">
        <f>TEXT(B10710,"aaa")</f>
        <v/>
      </c>
      <c r="E10710" s="94" t="inlineStr">
        <is>
          <t>크림마스크</t>
        </is>
      </c>
      <c r="F10710" s="5" t="inlineStr">
        <is>
          <t>아누아 CS</t>
        </is>
      </c>
      <c r="G10710" s="94" t="inlineStr">
        <is>
          <t>어성초 크림마스크 나이트 솔루션 10매</t>
        </is>
      </c>
      <c r="H10710" s="94" t="n">
        <v>200801</v>
      </c>
      <c r="I10710" s="94" t="n">
        <v>200801</v>
      </c>
      <c r="K10710" s="94" t="n">
        <v>1</v>
      </c>
      <c r="L10710" s="94" t="n">
        <v>200801</v>
      </c>
      <c r="M10710" s="94">
        <f>VLOOKUP($Q10710,매칭테이블!$F:$I,2,0)*K10710</f>
        <v/>
      </c>
      <c r="N10710" s="94">
        <f>M10710-M10710*VLOOKUP($Q10710,매칭테이블!$F:$I,3,0)</f>
        <v/>
      </c>
      <c r="O10710" s="94">
        <f>VLOOKUP($Q10710,매칭테이블!$F:$I,4,0)*K10710</f>
        <v/>
      </c>
      <c r="P10710" s="148">
        <f>M10710/1.1</f>
        <v/>
      </c>
      <c r="Q10710" s="94">
        <f>F10710&amp;E10710&amp;G10710&amp;L10710</f>
        <v/>
      </c>
    </row>
    <row r="10711" customFormat="1" s="94">
      <c r="B10711" s="128" t="n">
        <v>44141</v>
      </c>
      <c r="C10711" s="94">
        <f>TEXT(B10711,"aaa")</f>
        <v/>
      </c>
      <c r="E10711" s="94" t="inlineStr">
        <is>
          <t>토너</t>
        </is>
      </c>
      <c r="F10711" s="5" t="inlineStr">
        <is>
          <t>아누아 CS</t>
        </is>
      </c>
      <c r="G10711" s="94" t="inlineStr">
        <is>
          <t>250ml</t>
        </is>
      </c>
      <c r="H10711" s="94" t="n">
        <v>200801</v>
      </c>
      <c r="I10711" s="94" t="n">
        <v>200801</v>
      </c>
      <c r="K10711" s="94" t="n">
        <v>1</v>
      </c>
      <c r="L10711" s="94" t="n">
        <v>200801</v>
      </c>
      <c r="M10711" s="94">
        <f>VLOOKUP($Q10711,매칭테이블!$F:$I,2,0)*K10711</f>
        <v/>
      </c>
      <c r="N10711" s="94">
        <f>M10711-M10711*VLOOKUP($Q10711,매칭테이블!$F:$I,3,0)</f>
        <v/>
      </c>
      <c r="O10711" s="94">
        <f>VLOOKUP($Q10711,매칭테이블!$F:$I,4,0)*K10711</f>
        <v/>
      </c>
      <c r="P10711" s="148">
        <f>M10711/1.1</f>
        <v/>
      </c>
      <c r="Q10711" s="94">
        <f>F10711&amp;E10711&amp;G10711&amp;L10711</f>
        <v/>
      </c>
    </row>
    <row r="10712" customFormat="1" s="94">
      <c r="B10712" s="128" t="n">
        <v>44141</v>
      </c>
      <c r="C10712" s="94">
        <f>TEXT(B10712,"aaa")</f>
        <v/>
      </c>
      <c r="E10712" s="94" t="inlineStr">
        <is>
          <t>카밍크림</t>
        </is>
      </c>
      <c r="F10712" s="5" t="inlineStr">
        <is>
          <t>아누아 CS</t>
        </is>
      </c>
      <c r="G10712" s="94" t="inlineStr">
        <is>
          <t xml:space="preserve">	어성초 70 인텐스 카밍 크림 50ml</t>
        </is>
      </c>
      <c r="H10712" s="94" t="n">
        <v>200801</v>
      </c>
      <c r="I10712" s="94" t="n">
        <v>200801</v>
      </c>
      <c r="K10712" s="94" t="n">
        <v>1</v>
      </c>
      <c r="L10712" s="94" t="n">
        <v>200801</v>
      </c>
      <c r="M10712" s="94">
        <f>VLOOKUP($Q10712,매칭테이블!$F:$I,2,0)*K10712</f>
        <v/>
      </c>
      <c r="N10712" s="94">
        <f>M10712-M10712*VLOOKUP($Q10712,매칭테이블!$F:$I,3,0)</f>
        <v/>
      </c>
      <c r="O10712" s="94">
        <f>VLOOKUP($Q10712,매칭테이블!$F:$I,4,0)*K10712</f>
        <v/>
      </c>
      <c r="P10712" s="148">
        <f>M10712/1.1</f>
        <v/>
      </c>
      <c r="Q10712" s="94">
        <f>F10712&amp;E10712&amp;G10712&amp;L10712</f>
        <v/>
      </c>
    </row>
    <row r="10713" customFormat="1" s="94">
      <c r="B10713" s="128" t="n">
        <v>44141</v>
      </c>
      <c r="C10713" s="94">
        <f>TEXT(B10713,"aaa")</f>
        <v/>
      </c>
      <c r="E10713" s="94" t="inlineStr">
        <is>
          <t>화장솜</t>
        </is>
      </c>
      <c r="F10713" s="5" t="inlineStr">
        <is>
          <t>아누아 CS</t>
        </is>
      </c>
      <c r="G10713" s="94" t="inlineStr">
        <is>
          <t>스킨팩 화장솜 60P</t>
        </is>
      </c>
      <c r="H10713" s="94" t="n">
        <v>200801</v>
      </c>
      <c r="I10713" s="94" t="n">
        <v>200801</v>
      </c>
      <c r="K10713" s="94" t="n">
        <v>1</v>
      </c>
      <c r="L10713" s="94" t="n">
        <v>200801</v>
      </c>
      <c r="M10713" s="94">
        <f>VLOOKUP($Q10713,매칭테이블!$F:$I,2,0)*K10713</f>
        <v/>
      </c>
      <c r="N10713" s="94">
        <f>M10713-M10713*VLOOKUP($Q10713,매칭테이블!$F:$I,3,0)</f>
        <v/>
      </c>
      <c r="O10713" s="94">
        <f>VLOOKUP($Q10713,매칭테이블!$F:$I,4,0)*K10713</f>
        <v/>
      </c>
      <c r="P10713" s="148">
        <f>M10713/1.1</f>
        <v/>
      </c>
      <c r="Q10713" s="94">
        <f>F10713&amp;E10713&amp;G10713&amp;L10713</f>
        <v/>
      </c>
    </row>
    <row r="10714" customFormat="1" s="94">
      <c r="B10714" s="128" t="n">
        <v>44141</v>
      </c>
      <c r="C10714" s="94">
        <f>TEXT(B10714,"aaa")</f>
        <v/>
      </c>
      <c r="E10714" s="94" t="inlineStr">
        <is>
          <t>선크림</t>
        </is>
      </c>
      <c r="F10714" s="5" t="inlineStr">
        <is>
          <t>카페24</t>
        </is>
      </c>
      <c r="G10714" s="94" t="inlineStr">
        <is>
          <t>선크림 50ml  2set</t>
        </is>
      </c>
      <c r="H10714" s="94" t="n">
        <v>200801</v>
      </c>
      <c r="I10714" s="94" t="n">
        <v>200801</v>
      </c>
      <c r="K10714" s="94" t="n">
        <v>2</v>
      </c>
      <c r="L10714" s="94" t="n">
        <v>200801</v>
      </c>
      <c r="M10714" s="94">
        <f>VLOOKUP($Q10714,매칭테이블!$F:$I,2,0)*K10714</f>
        <v/>
      </c>
      <c r="N10714" s="94">
        <f>M10714-M10714*VLOOKUP($Q10714,매칭테이블!$F:$I,3,0)</f>
        <v/>
      </c>
      <c r="O10714" s="94">
        <f>VLOOKUP($Q10714,매칭테이블!$F:$I,4,0)*K10714</f>
        <v/>
      </c>
      <c r="P10714" s="148">
        <f>M10714/1.1</f>
        <v/>
      </c>
      <c r="Q10714" s="94">
        <f>F10714&amp;E10714&amp;G10714&amp;L10714</f>
        <v/>
      </c>
    </row>
    <row r="10715" customFormat="1" s="94">
      <c r="B10715" s="128" t="n">
        <v>44141</v>
      </c>
      <c r="C10715" s="94">
        <f>TEXT(B10715,"aaa")</f>
        <v/>
      </c>
      <c r="E10715" s="94" t="inlineStr">
        <is>
          <t>클리어 패드</t>
        </is>
      </c>
      <c r="F10715" s="5" t="inlineStr">
        <is>
          <t>카페24</t>
        </is>
      </c>
      <c r="G10715" s="94" t="inlineStr">
        <is>
          <t>어성초 77 클리어 패드 1개-20% off</t>
        </is>
      </c>
      <c r="H10715" s="94" t="n">
        <v>200801</v>
      </c>
      <c r="I10715" s="94" t="n">
        <v>200801</v>
      </c>
      <c r="K10715" s="94" t="n">
        <v>13</v>
      </c>
      <c r="L10715" s="94" t="n">
        <v>200801</v>
      </c>
      <c r="M10715" s="94">
        <f>VLOOKUP($Q10715,매칭테이블!$F:$I,2,0)*K10715</f>
        <v/>
      </c>
      <c r="N10715" s="94">
        <f>M10715-M10715*VLOOKUP($Q10715,매칭테이블!$F:$I,3,0)</f>
        <v/>
      </c>
      <c r="O10715" s="94">
        <f>VLOOKUP($Q10715,매칭테이블!$F:$I,4,0)*K10715</f>
        <v/>
      </c>
      <c r="P10715" s="148">
        <f>M10715/1.1</f>
        <v/>
      </c>
      <c r="Q10715" s="94">
        <f>F10715&amp;E10715&amp;G10715&amp;L10715</f>
        <v/>
      </c>
    </row>
    <row r="10716" customFormat="1" s="94">
      <c r="B10716" s="128" t="n">
        <v>44141</v>
      </c>
      <c r="C10716" s="94">
        <f>TEXT(B10716,"aaa")</f>
        <v/>
      </c>
      <c r="E10716" s="94" t="inlineStr">
        <is>
          <t>클리어 패드</t>
        </is>
      </c>
      <c r="F10716" s="5" t="inlineStr">
        <is>
          <t>카페24</t>
        </is>
      </c>
      <c r="G10716" s="94" t="inlineStr">
        <is>
          <t>어성초 77 클리어 패드 2개-30% off</t>
        </is>
      </c>
      <c r="H10716" s="94" t="n">
        <v>200801</v>
      </c>
      <c r="I10716" s="94" t="n">
        <v>200801</v>
      </c>
      <c r="K10716" s="94" t="n">
        <v>30</v>
      </c>
      <c r="L10716" s="94" t="n">
        <v>200801</v>
      </c>
      <c r="M10716" s="94">
        <f>VLOOKUP($Q10716,매칭테이블!$F:$I,2,0)*K10716</f>
        <v/>
      </c>
      <c r="N10716" s="94">
        <f>M10716-M10716*VLOOKUP($Q10716,매칭테이블!$F:$I,3,0)</f>
        <v/>
      </c>
      <c r="O10716" s="94">
        <f>VLOOKUP($Q10716,매칭테이블!$F:$I,4,0)*K10716</f>
        <v/>
      </c>
      <c r="P10716" s="148">
        <f>M10716/1.1</f>
        <v/>
      </c>
      <c r="Q10716" s="94">
        <f>F10716&amp;E10716&amp;G10716&amp;L10716</f>
        <v/>
      </c>
    </row>
    <row r="10717" customFormat="1" s="94">
      <c r="B10717" s="128" t="n">
        <v>44141</v>
      </c>
      <c r="C10717" s="94">
        <f>TEXT(B10717,"aaa")</f>
        <v/>
      </c>
      <c r="E10717" s="94" t="inlineStr">
        <is>
          <t>토너+패드 세트</t>
        </is>
      </c>
      <c r="F10717" s="5" t="inlineStr">
        <is>
          <t>카페24</t>
        </is>
      </c>
      <c r="G10717" s="94" t="inlineStr">
        <is>
          <t>좁쌀 진정 세트 토너+클리어 패드-30% off</t>
        </is>
      </c>
      <c r="H10717" s="94" t="n">
        <v>200801</v>
      </c>
      <c r="I10717" s="94" t="n">
        <v>200801</v>
      </c>
      <c r="K10717" s="94" t="n">
        <v>20</v>
      </c>
      <c r="L10717" s="94" t="n">
        <v>200801</v>
      </c>
      <c r="M10717" s="94">
        <f>VLOOKUP($Q10717,매칭테이블!$F:$I,2,0)*K10717</f>
        <v/>
      </c>
      <c r="N10717" s="94">
        <f>M10717-M10717*VLOOKUP($Q10717,매칭테이블!$F:$I,3,0)</f>
        <v/>
      </c>
      <c r="O10717" s="94">
        <f>VLOOKUP($Q10717,매칭테이블!$F:$I,4,0)*K10717</f>
        <v/>
      </c>
      <c r="P10717" s="148">
        <f>M10717/1.1</f>
        <v/>
      </c>
      <c r="Q10717" s="94">
        <f>F10717&amp;E10717&amp;G10717&amp;L10717</f>
        <v/>
      </c>
    </row>
    <row r="10718" customFormat="1" s="94">
      <c r="B10718" s="128" t="n">
        <v>44141</v>
      </c>
      <c r="C10718" s="94">
        <f>TEXT(B10718,"aaa")</f>
        <v/>
      </c>
      <c r="E10718" s="94" t="inlineStr">
        <is>
          <t>수분 보충 세트</t>
        </is>
      </c>
      <c r="F10718" s="5" t="inlineStr">
        <is>
          <t>카페24</t>
        </is>
      </c>
      <c r="G10718" s="71" t="inlineStr">
        <is>
          <t>[20/09/28 부터] 어성초 77 토너 250ml + 어성초 70 로션 200ml -30%</t>
        </is>
      </c>
      <c r="H10718" s="94" t="n">
        <v>200801</v>
      </c>
      <c r="I10718" s="94" t="n">
        <v>200801</v>
      </c>
      <c r="K10718" s="94" t="n">
        <v>23</v>
      </c>
      <c r="L10718" s="94" t="n">
        <v>200801</v>
      </c>
      <c r="M10718" s="94">
        <f>VLOOKUP($Q10718,매칭테이블!$F:$I,2,0)*K10718</f>
        <v/>
      </c>
      <c r="N10718" s="94">
        <f>M10718-M10718*VLOOKUP($Q10718,매칭테이블!$F:$I,3,0)</f>
        <v/>
      </c>
      <c r="O10718" s="94">
        <f>VLOOKUP($Q10718,매칭테이블!$F:$I,4,0)*K10718</f>
        <v/>
      </c>
      <c r="P10718" s="148">
        <f>M10718/1.1</f>
        <v/>
      </c>
      <c r="Q10718" s="94">
        <f>F10718&amp;E10718&amp;G10718&amp;L10718</f>
        <v/>
      </c>
    </row>
    <row r="10719" customFormat="1" s="94">
      <c r="B10719" s="128" t="n">
        <v>44141</v>
      </c>
      <c r="C10719" s="94">
        <f>TEXT(B10719,"aaa")</f>
        <v/>
      </c>
      <c r="E10719" s="94" t="inlineStr">
        <is>
          <t>로션</t>
        </is>
      </c>
      <c r="F10719" s="5" t="inlineStr">
        <is>
          <t>카페24</t>
        </is>
      </c>
      <c r="G10719" s="94" t="inlineStr">
        <is>
          <t>어성초 70 데일리 릴리프 로션 1개 -20% off</t>
        </is>
      </c>
      <c r="H10719" s="94" t="n">
        <v>200801</v>
      </c>
      <c r="I10719" s="94" t="n">
        <v>200801</v>
      </c>
      <c r="K10719" s="94" t="n">
        <v>5</v>
      </c>
      <c r="L10719" s="94" t="n">
        <v>200801</v>
      </c>
      <c r="M10719" s="94">
        <f>VLOOKUP($Q10719,매칭테이블!$F:$I,2,0)*K10719</f>
        <v/>
      </c>
      <c r="N10719" s="94">
        <f>M10719-M10719*VLOOKUP($Q10719,매칭테이블!$F:$I,3,0)</f>
        <v/>
      </c>
      <c r="O10719" s="94">
        <f>VLOOKUP($Q10719,매칭테이블!$F:$I,4,0)*K10719</f>
        <v/>
      </c>
      <c r="P10719" s="148">
        <f>M10719/1.1</f>
        <v/>
      </c>
      <c r="Q10719" s="94">
        <f>F10719&amp;E10719&amp;G10719&amp;L10719</f>
        <v/>
      </c>
    </row>
    <row r="10720" customFormat="1" s="94">
      <c r="B10720" s="128" t="n">
        <v>44141</v>
      </c>
      <c r="C10720" s="94">
        <f>TEXT(B10720,"aaa")</f>
        <v/>
      </c>
      <c r="E10720" s="94" t="inlineStr">
        <is>
          <t>로션</t>
        </is>
      </c>
      <c r="F10720" s="5" t="inlineStr">
        <is>
          <t>카페24</t>
        </is>
      </c>
      <c r="G10720" s="94" t="inlineStr">
        <is>
          <t>어성초 70 데일리 릴리프 로션 2개 -30% off</t>
        </is>
      </c>
      <c r="H10720" s="94" t="n">
        <v>200801</v>
      </c>
      <c r="I10720" s="94" t="n">
        <v>200801</v>
      </c>
      <c r="K10720" s="94" t="n">
        <v>2</v>
      </c>
      <c r="L10720" s="94" t="n">
        <v>200801</v>
      </c>
      <c r="M10720" s="94">
        <f>VLOOKUP($Q10720,매칭테이블!$F:$I,2,0)*K10720</f>
        <v/>
      </c>
      <c r="N10720" s="94">
        <f>M10720-M10720*VLOOKUP($Q10720,매칭테이블!$F:$I,3,0)</f>
        <v/>
      </c>
      <c r="O10720" s="94">
        <f>VLOOKUP($Q10720,매칭테이블!$F:$I,4,0)*K10720</f>
        <v/>
      </c>
      <c r="P10720" s="148">
        <f>M10720/1.1</f>
        <v/>
      </c>
      <c r="Q10720" s="94">
        <f>F10720&amp;E10720&amp;G10720&amp;L10720</f>
        <v/>
      </c>
    </row>
    <row r="10721" customFormat="1" s="94">
      <c r="B10721" s="128" t="n">
        <v>44141</v>
      </c>
      <c r="C10721" s="94">
        <f>TEXT(B10721,"aaa")</f>
        <v/>
      </c>
      <c r="E10721" s="94" t="inlineStr">
        <is>
          <t>머드크림마스크</t>
        </is>
      </c>
      <c r="F10721" s="5" t="inlineStr">
        <is>
          <t>카페24</t>
        </is>
      </c>
      <c r="G10721" s="94" t="inlineStr">
        <is>
          <t>머드크림마스크 100ml</t>
        </is>
      </c>
      <c r="H10721" s="94" t="n">
        <v>200801</v>
      </c>
      <c r="I10721" s="94" t="n">
        <v>200801</v>
      </c>
      <c r="K10721" s="94" t="n">
        <v>2</v>
      </c>
      <c r="L10721" s="94" t="n">
        <v>200801</v>
      </c>
      <c r="M10721" s="94">
        <f>VLOOKUP($Q10721,매칭테이블!$F:$I,2,0)*K10721</f>
        <v/>
      </c>
      <c r="N10721" s="94">
        <f>M10721-M10721*VLOOKUP($Q10721,매칭테이블!$F:$I,3,0)</f>
        <v/>
      </c>
      <c r="O10721" s="94">
        <f>VLOOKUP($Q10721,매칭테이블!$F:$I,4,0)*K10721</f>
        <v/>
      </c>
      <c r="P10721" s="148">
        <f>M10721/1.1</f>
        <v/>
      </c>
      <c r="Q10721" s="94">
        <f>F10721&amp;E10721&amp;G10721&amp;L10721</f>
        <v/>
      </c>
    </row>
    <row r="10722" customFormat="1" s="94">
      <c r="B10722" s="128" t="n">
        <v>44141</v>
      </c>
      <c r="C10722" s="94">
        <f>TEXT(B10722,"aaa")</f>
        <v/>
      </c>
      <c r="E10722" s="94" t="inlineStr">
        <is>
          <t>마스크팩</t>
        </is>
      </c>
      <c r="F10722" s="5" t="inlineStr">
        <is>
          <t>카페24</t>
        </is>
      </c>
      <c r="G10722" s="94" t="inlineStr">
        <is>
          <t>마스크팩 1매</t>
        </is>
      </c>
      <c r="H10722" s="94" t="n">
        <v>200801</v>
      </c>
      <c r="I10722" s="94" t="n">
        <v>200801</v>
      </c>
      <c r="K10722" s="94" t="n">
        <v>1</v>
      </c>
      <c r="L10722" s="94" t="n">
        <v>200801</v>
      </c>
      <c r="M10722" s="94">
        <f>VLOOKUP($Q10722,매칭테이블!$F:$I,2,0)*K10722</f>
        <v/>
      </c>
      <c r="N10722" s="94">
        <f>M10722-M10722*VLOOKUP($Q10722,매칭테이블!$F:$I,3,0)</f>
        <v/>
      </c>
      <c r="O10722" s="94">
        <f>VLOOKUP($Q10722,매칭테이블!$F:$I,4,0)*K10722</f>
        <v/>
      </c>
      <c r="P10722" s="148">
        <f>M10722/1.1</f>
        <v/>
      </c>
      <c r="Q10722" s="94">
        <f>F10722&amp;E10722&amp;G10722&amp;L10722</f>
        <v/>
      </c>
    </row>
    <row r="10723" customFormat="1" s="94">
      <c r="B10723" s="128" t="n">
        <v>44141</v>
      </c>
      <c r="C10723" s="94">
        <f>TEXT(B10723,"aaa")</f>
        <v/>
      </c>
      <c r="E10723" s="94" t="inlineStr">
        <is>
          <t>마스크팩</t>
        </is>
      </c>
      <c r="F10723" s="5" t="inlineStr">
        <is>
          <t>카페24</t>
        </is>
      </c>
      <c r="G10723" s="94" t="inlineStr">
        <is>
          <t>마스크팩 10매</t>
        </is>
      </c>
      <c r="H10723" s="94" t="n">
        <v>200801</v>
      </c>
      <c r="I10723" s="94" t="n">
        <v>200801</v>
      </c>
      <c r="K10723" s="94" t="n">
        <v>3</v>
      </c>
      <c r="L10723" s="94" t="n">
        <v>200801</v>
      </c>
      <c r="M10723" s="94">
        <f>VLOOKUP($Q10723,매칭테이블!$F:$I,2,0)*K10723</f>
        <v/>
      </c>
      <c r="N10723" s="94">
        <f>M10723-M10723*VLOOKUP($Q10723,매칭테이블!$F:$I,3,0)</f>
        <v/>
      </c>
      <c r="O10723" s="94">
        <f>VLOOKUP($Q10723,매칭테이블!$F:$I,4,0)*K10723</f>
        <v/>
      </c>
      <c r="P10723" s="148">
        <f>M10723/1.1</f>
        <v/>
      </c>
      <c r="Q10723" s="94">
        <f>F10723&amp;E10723&amp;G10723&amp;L10723</f>
        <v/>
      </c>
    </row>
    <row r="10724" customFormat="1" s="94">
      <c r="B10724" s="128" t="n">
        <v>44141</v>
      </c>
      <c r="C10724" s="94">
        <f>TEXT(B10724,"aaa")</f>
        <v/>
      </c>
      <c r="E10724" s="94" t="inlineStr">
        <is>
          <t>토너</t>
        </is>
      </c>
      <c r="F10724" s="5" t="inlineStr">
        <is>
          <t>카페24</t>
        </is>
      </c>
      <c r="G10724" s="94" t="inlineStr">
        <is>
          <t>250ml</t>
        </is>
      </c>
      <c r="H10724" s="94" t="n">
        <v>200801</v>
      </c>
      <c r="I10724" s="94" t="n">
        <v>200801</v>
      </c>
      <c r="K10724" s="94" t="n">
        <v>17</v>
      </c>
      <c r="L10724" s="94" t="n">
        <v>200801</v>
      </c>
      <c r="M10724" s="94">
        <f>VLOOKUP($Q10724,매칭테이블!$F:$I,2,0)*K10724</f>
        <v/>
      </c>
      <c r="N10724" s="94">
        <f>M10724-M10724*VLOOKUP($Q10724,매칭테이블!$F:$I,3,0)</f>
        <v/>
      </c>
      <c r="O10724" s="94">
        <f>VLOOKUP($Q10724,매칭테이블!$F:$I,4,0)*K10724</f>
        <v/>
      </c>
      <c r="P10724" s="148">
        <f>M10724/1.1</f>
        <v/>
      </c>
      <c r="Q10724" s="94">
        <f>F10724&amp;E10724&amp;G10724&amp;L10724</f>
        <v/>
      </c>
    </row>
    <row r="10725" customFormat="1" s="94">
      <c r="B10725" s="128" t="n">
        <v>44141</v>
      </c>
      <c r="C10725" s="94">
        <f>TEXT(B10725,"aaa")</f>
        <v/>
      </c>
      <c r="E10725" s="94" t="inlineStr">
        <is>
          <t>토너</t>
        </is>
      </c>
      <c r="F10725" s="5" t="inlineStr">
        <is>
          <t>카페24</t>
        </is>
      </c>
      <c r="G10725" s="94" t="inlineStr">
        <is>
          <t>250ml 2set</t>
        </is>
      </c>
      <c r="H10725" s="94" t="n">
        <v>200801</v>
      </c>
      <c r="I10725" s="94" t="n">
        <v>200801</v>
      </c>
      <c r="K10725" s="94" t="n">
        <v>21</v>
      </c>
      <c r="L10725" s="94" t="n">
        <v>200801</v>
      </c>
      <c r="M10725" s="94">
        <f>VLOOKUP($Q10725,매칭테이블!$F:$I,2,0)*K10725</f>
        <v/>
      </c>
      <c r="N10725" s="94">
        <f>M10725-M10725*VLOOKUP($Q10725,매칭테이블!$F:$I,3,0)</f>
        <v/>
      </c>
      <c r="O10725" s="94">
        <f>VLOOKUP($Q10725,매칭테이블!$F:$I,4,0)*K10725</f>
        <v/>
      </c>
      <c r="P10725" s="148">
        <f>M10725/1.1</f>
        <v/>
      </c>
      <c r="Q10725" s="94">
        <f>F10725&amp;E10725&amp;G10725&amp;L10725</f>
        <v/>
      </c>
    </row>
    <row r="10726" customFormat="1" s="94">
      <c r="B10726" s="128" t="n">
        <v>44141</v>
      </c>
      <c r="C10726" s="94">
        <f>TEXT(B10726,"aaa")</f>
        <v/>
      </c>
      <c r="E10726" s="94" t="inlineStr">
        <is>
          <t>토너</t>
        </is>
      </c>
      <c r="F10726" s="5" t="inlineStr">
        <is>
          <t>카페24</t>
        </is>
      </c>
      <c r="G10726" s="94" t="inlineStr">
        <is>
          <t>500ml</t>
        </is>
      </c>
      <c r="H10726" s="94" t="n">
        <v>200801</v>
      </c>
      <c r="I10726" s="94" t="n">
        <v>200801</v>
      </c>
      <c r="K10726" s="94" t="n">
        <v>19</v>
      </c>
      <c r="L10726" s="94" t="n">
        <v>200801</v>
      </c>
      <c r="M10726" s="94">
        <f>VLOOKUP($Q10726,매칭테이블!$F:$I,2,0)*K10726</f>
        <v/>
      </c>
      <c r="N10726" s="94">
        <f>M10726-M10726*VLOOKUP($Q10726,매칭테이블!$F:$I,3,0)</f>
        <v/>
      </c>
      <c r="O10726" s="94">
        <f>VLOOKUP($Q10726,매칭테이블!$F:$I,4,0)*K10726</f>
        <v/>
      </c>
      <c r="P10726" s="148">
        <f>M10726/1.1</f>
        <v/>
      </c>
      <c r="Q10726" s="94">
        <f>F10726&amp;E10726&amp;G10726&amp;L10726</f>
        <v/>
      </c>
    </row>
    <row r="10727" customFormat="1" s="94">
      <c r="B10727" s="128" t="n">
        <v>44141</v>
      </c>
      <c r="C10727" s="94">
        <f>TEXT(B10727,"aaa")</f>
        <v/>
      </c>
      <c r="E10727" s="94" t="inlineStr">
        <is>
          <t>토너</t>
        </is>
      </c>
      <c r="F10727" s="5" t="inlineStr">
        <is>
          <t>카페24</t>
        </is>
      </c>
      <c r="G10727" s="94" t="inlineStr">
        <is>
          <t>스킨팩 화장솜 60P</t>
        </is>
      </c>
      <c r="H10727" s="94" t="n">
        <v>200801</v>
      </c>
      <c r="I10727" s="94" t="n">
        <v>200801</v>
      </c>
      <c r="K10727" s="94" t="n">
        <v>19</v>
      </c>
      <c r="L10727" s="94" t="n">
        <v>200801</v>
      </c>
      <c r="M10727" s="94">
        <f>VLOOKUP($Q10727,매칭테이블!$F:$I,2,0)*K10727</f>
        <v/>
      </c>
      <c r="N10727" s="94">
        <f>M10727-M10727*VLOOKUP($Q10727,매칭테이블!$F:$I,3,0)</f>
        <v/>
      </c>
      <c r="O10727" s="94">
        <f>VLOOKUP($Q10727,매칭테이블!$F:$I,4,0)*K10727</f>
        <v/>
      </c>
      <c r="P10727" s="148">
        <f>M10727/1.1</f>
        <v/>
      </c>
      <c r="Q10727" s="94">
        <f>F10727&amp;E10727&amp;G10727&amp;L10727</f>
        <v/>
      </c>
    </row>
    <row r="10728" customFormat="1" s="94">
      <c r="B10728" s="128" t="n">
        <v>44141</v>
      </c>
      <c r="C10728" s="94">
        <f>TEXT(B10728,"aaa")</f>
        <v/>
      </c>
      <c r="E10728" s="94" t="inlineStr">
        <is>
          <t>앰플</t>
        </is>
      </c>
      <c r="F10728" s="5" t="inlineStr">
        <is>
          <t>카페24</t>
        </is>
      </c>
      <c r="G10728" s="94" t="inlineStr">
        <is>
          <t>앰플 30ml</t>
        </is>
      </c>
      <c r="H10728" s="94" t="n">
        <v>200801</v>
      </c>
      <c r="I10728" s="94" t="n">
        <v>200801</v>
      </c>
      <c r="K10728" s="94" t="n">
        <v>15</v>
      </c>
      <c r="L10728" s="94" t="n">
        <v>200801</v>
      </c>
      <c r="M10728" s="94">
        <f>VLOOKUP($Q10728,매칭테이블!$F:$I,2,0)*K10728</f>
        <v/>
      </c>
      <c r="N10728" s="94">
        <f>M10728-M10728*VLOOKUP($Q10728,매칭테이블!$F:$I,3,0)</f>
        <v/>
      </c>
      <c r="O10728" s="94">
        <f>VLOOKUP($Q10728,매칭테이블!$F:$I,4,0)*K10728</f>
        <v/>
      </c>
      <c r="P10728" s="148">
        <f>M10728/1.1</f>
        <v/>
      </c>
      <c r="Q10728" s="94">
        <f>F10728&amp;E10728&amp;G10728&amp;L10728</f>
        <v/>
      </c>
    </row>
    <row r="10729" customFormat="1" s="94">
      <c r="B10729" s="128" t="n">
        <v>44141</v>
      </c>
      <c r="C10729" s="94">
        <f>TEXT(B10729,"aaa")</f>
        <v/>
      </c>
      <c r="E10729" s="94" t="inlineStr">
        <is>
          <t>앰플</t>
        </is>
      </c>
      <c r="F10729" s="5" t="inlineStr">
        <is>
          <t>카페24</t>
        </is>
      </c>
      <c r="G10729" s="94" t="inlineStr">
        <is>
          <t>앰플 30ml  2set</t>
        </is>
      </c>
      <c r="H10729" s="94" t="n">
        <v>200801</v>
      </c>
      <c r="I10729" s="94" t="n">
        <v>200801</v>
      </c>
      <c r="K10729" s="94" t="n">
        <v>4</v>
      </c>
      <c r="L10729" s="94" t="n">
        <v>200801</v>
      </c>
      <c r="M10729" s="94">
        <f>VLOOKUP($Q10729,매칭테이블!$F:$I,2,0)*K10729</f>
        <v/>
      </c>
      <c r="N10729" s="94">
        <f>M10729-M10729*VLOOKUP($Q10729,매칭테이블!$F:$I,3,0)</f>
        <v/>
      </c>
      <c r="O10729" s="94">
        <f>VLOOKUP($Q10729,매칭테이블!$F:$I,4,0)*K10729</f>
        <v/>
      </c>
      <c r="P10729" s="148">
        <f>M10729/1.1</f>
        <v/>
      </c>
      <c r="Q10729" s="94">
        <f>F10729&amp;E10729&amp;G10729&amp;L10729</f>
        <v/>
      </c>
    </row>
    <row r="10730" customFormat="1" s="94">
      <c r="B10730" s="128" t="n">
        <v>44141</v>
      </c>
      <c r="C10730" s="94">
        <f>TEXT(B10730,"aaa")</f>
        <v/>
      </c>
      <c r="E10730" s="94" t="inlineStr">
        <is>
          <t>수딩크림</t>
        </is>
      </c>
      <c r="F10730" s="5" t="inlineStr">
        <is>
          <t>카페24</t>
        </is>
      </c>
      <c r="G10730" s="94" t="inlineStr">
        <is>
          <t>수딩크림 100ml</t>
        </is>
      </c>
      <c r="H10730" s="94" t="n">
        <v>200801</v>
      </c>
      <c r="I10730" s="94" t="n">
        <v>200801</v>
      </c>
      <c r="K10730" s="94" t="n">
        <v>6</v>
      </c>
      <c r="L10730" s="94" t="n">
        <v>200801</v>
      </c>
      <c r="M10730" s="94">
        <f>VLOOKUP($Q10730,매칭테이블!$F:$I,2,0)*K10730</f>
        <v/>
      </c>
      <c r="N10730" s="94">
        <f>M10730-M10730*VLOOKUP($Q10730,매칭테이블!$F:$I,3,0)</f>
        <v/>
      </c>
      <c r="O10730" s="94">
        <f>VLOOKUP($Q10730,매칭테이블!$F:$I,4,0)*K10730</f>
        <v/>
      </c>
      <c r="P10730" s="148">
        <f>M10730/1.1</f>
        <v/>
      </c>
      <c r="Q10730" s="94">
        <f>F10730&amp;E10730&amp;G10730&amp;L10730</f>
        <v/>
      </c>
    </row>
    <row r="10731" customFormat="1" s="94">
      <c r="B10731" s="128" t="n">
        <v>44141</v>
      </c>
      <c r="C10731" s="94">
        <f>TEXT(B10731,"aaa")</f>
        <v/>
      </c>
      <c r="E10731" s="94" t="inlineStr">
        <is>
          <t>클렌징폼</t>
        </is>
      </c>
      <c r="F10731" s="5" t="inlineStr">
        <is>
          <t>카페24</t>
        </is>
      </c>
      <c r="G10731" s="94" t="inlineStr">
        <is>
          <t>클렌징폼 120ml</t>
        </is>
      </c>
      <c r="H10731" s="94" t="n">
        <v>200801</v>
      </c>
      <c r="I10731" s="94" t="n">
        <v>200801</v>
      </c>
      <c r="K10731" s="94" t="n">
        <v>6</v>
      </c>
      <c r="L10731" s="94" t="n">
        <v>200801</v>
      </c>
      <c r="M10731" s="94">
        <f>VLOOKUP($Q10731,매칭테이블!$F:$I,2,0)*K10731</f>
        <v/>
      </c>
      <c r="N10731" s="94">
        <f>M10731-M10731*VLOOKUP($Q10731,매칭테이블!$F:$I,3,0)</f>
        <v/>
      </c>
      <c r="O10731" s="94">
        <f>VLOOKUP($Q10731,매칭테이블!$F:$I,4,0)*K10731</f>
        <v/>
      </c>
      <c r="P10731" s="148">
        <f>M10731/1.1</f>
        <v/>
      </c>
      <c r="Q10731" s="94">
        <f>F10731&amp;E10731&amp;G10731&amp;L10731</f>
        <v/>
      </c>
    </row>
    <row r="10732" customFormat="1" s="94">
      <c r="B10732" s="128" t="n">
        <v>44141</v>
      </c>
      <c r="C10732" s="94">
        <f>TEXT(B10732,"aaa")</f>
        <v/>
      </c>
      <c r="E10732" s="94" t="inlineStr">
        <is>
          <t>클렌징폼</t>
        </is>
      </c>
      <c r="F10732" s="5" t="inlineStr">
        <is>
          <t>카페24</t>
        </is>
      </c>
      <c r="G10732" s="94" t="inlineStr">
        <is>
          <t>클렌징폼 120ml 2set</t>
        </is>
      </c>
      <c r="H10732" s="94" t="n">
        <v>200801</v>
      </c>
      <c r="I10732" s="94" t="n">
        <v>200801</v>
      </c>
      <c r="K10732" s="94" t="n">
        <v>1</v>
      </c>
      <c r="L10732" s="94" t="n">
        <v>200801</v>
      </c>
      <c r="M10732" s="94">
        <f>VLOOKUP($Q10732,매칭테이블!$F:$I,2,0)*K10732</f>
        <v/>
      </c>
      <c r="N10732" s="94">
        <f>M10732-M10732*VLOOKUP($Q10732,매칭테이블!$F:$I,3,0)</f>
        <v/>
      </c>
      <c r="O10732" s="94">
        <f>VLOOKUP($Q10732,매칭테이블!$F:$I,4,0)*K10732</f>
        <v/>
      </c>
      <c r="P10732" s="148">
        <f>M10732/1.1</f>
        <v/>
      </c>
      <c r="Q10732" s="94">
        <f>F10732&amp;E10732&amp;G10732&amp;L10732</f>
        <v/>
      </c>
    </row>
    <row r="10733" customFormat="1" s="94">
      <c r="B10733" s="128" t="n">
        <v>44141</v>
      </c>
      <c r="C10733" s="94">
        <f>TEXT(B10733,"aaa")</f>
        <v/>
      </c>
      <c r="E10733" s="94" t="inlineStr">
        <is>
          <t>클렌징폼</t>
        </is>
      </c>
      <c r="F10733" s="5" t="inlineStr">
        <is>
          <t>카페24</t>
        </is>
      </c>
      <c r="G10733" s="94" t="inlineStr">
        <is>
          <t>클렌징폼 120ml 3set</t>
        </is>
      </c>
      <c r="H10733" s="94" t="n">
        <v>200801</v>
      </c>
      <c r="I10733" s="94" t="n">
        <v>200801</v>
      </c>
      <c r="K10733" s="94" t="n">
        <v>1</v>
      </c>
      <c r="L10733" s="94" t="n">
        <v>200801</v>
      </c>
      <c r="M10733" s="94">
        <f>VLOOKUP($Q10733,매칭테이블!$F:$I,2,0)*K10733</f>
        <v/>
      </c>
      <c r="N10733" s="94">
        <f>M10733-M10733*VLOOKUP($Q10733,매칭테이블!$F:$I,3,0)</f>
        <v/>
      </c>
      <c r="O10733" s="94">
        <f>VLOOKUP($Q10733,매칭테이블!$F:$I,4,0)*K10733</f>
        <v/>
      </c>
      <c r="P10733" s="148">
        <f>M10733/1.1</f>
        <v/>
      </c>
      <c r="Q10733" s="94">
        <f>F10733&amp;E10733&amp;G10733&amp;L10733</f>
        <v/>
      </c>
    </row>
    <row r="10734" customFormat="1" s="94">
      <c r="B10734" s="128" t="n">
        <v>44141</v>
      </c>
      <c r="C10734" s="94">
        <f>TEXT(B10734,"aaa")</f>
        <v/>
      </c>
      <c r="E10734" s="94" t="inlineStr">
        <is>
          <t>바디워시</t>
        </is>
      </c>
      <c r="F10734" s="5" t="inlineStr">
        <is>
          <t>카페24</t>
        </is>
      </c>
      <c r="G10734" s="94" t="inlineStr">
        <is>
          <t>바디워시 1개 -30% off</t>
        </is>
      </c>
      <c r="H10734" s="94" t="n">
        <v>200801</v>
      </c>
      <c r="I10734" s="94" t="n">
        <v>200801</v>
      </c>
      <c r="K10734" s="94" t="n">
        <v>1</v>
      </c>
      <c r="L10734" s="94" t="n">
        <v>200801</v>
      </c>
      <c r="M10734" s="94">
        <f>VLOOKUP($Q10734,매칭테이블!$F:$I,2,0)*K10734</f>
        <v/>
      </c>
      <c r="N10734" s="94">
        <f>M10734-M10734*VLOOKUP($Q10734,매칭테이블!$F:$I,3,0)</f>
        <v/>
      </c>
      <c r="O10734" s="94">
        <f>VLOOKUP($Q10734,매칭테이블!$F:$I,4,0)*K10734</f>
        <v/>
      </c>
      <c r="P10734" s="148">
        <f>M10734/1.1</f>
        <v/>
      </c>
      <c r="Q10734" s="94">
        <f>F10734&amp;E10734&amp;G10734&amp;L10734</f>
        <v/>
      </c>
    </row>
    <row r="10735" customFormat="1" s="94">
      <c r="B10735" s="128" t="n">
        <v>44141</v>
      </c>
      <c r="C10735" s="94">
        <f>TEXT(B10735,"aaa")</f>
        <v/>
      </c>
      <c r="E10735" s="94" t="inlineStr">
        <is>
          <t>바디워시</t>
        </is>
      </c>
      <c r="F10735" s="5" t="inlineStr">
        <is>
          <t>카페24</t>
        </is>
      </c>
      <c r="G10735" s="94" t="inlineStr">
        <is>
          <t>바디워시 2개 -35% off (무료배송)</t>
        </is>
      </c>
      <c r="H10735" s="94" t="n">
        <v>200801</v>
      </c>
      <c r="I10735" s="94" t="n">
        <v>200801</v>
      </c>
      <c r="K10735" s="94" t="n">
        <v>1</v>
      </c>
      <c r="L10735" s="94" t="n">
        <v>200801</v>
      </c>
      <c r="M10735" s="94">
        <f>VLOOKUP($Q10735,매칭테이블!$F:$I,2,0)*K10735</f>
        <v/>
      </c>
      <c r="N10735" s="94">
        <f>M10735-M10735*VLOOKUP($Q10735,매칭테이블!$F:$I,3,0)</f>
        <v/>
      </c>
      <c r="O10735" s="94">
        <f>VLOOKUP($Q10735,매칭테이블!$F:$I,4,0)*K10735</f>
        <v/>
      </c>
      <c r="P10735" s="148">
        <f>M10735/1.1</f>
        <v/>
      </c>
      <c r="Q10735" s="94">
        <f>F10735&amp;E10735&amp;G10735&amp;L10735</f>
        <v/>
      </c>
    </row>
    <row r="10736" customFormat="1" s="94">
      <c r="B10736" s="128" t="n">
        <v>44141</v>
      </c>
      <c r="C10736" s="94">
        <f>TEXT(B10736,"aaa")</f>
        <v/>
      </c>
      <c r="E10736" s="94" t="inlineStr">
        <is>
          <t>앰플</t>
        </is>
      </c>
      <c r="F10736" s="5" t="inlineStr">
        <is>
          <t>화해</t>
        </is>
      </c>
      <c r="G10736" s="94" t="inlineStr">
        <is>
          <t>앰플 30ml</t>
        </is>
      </c>
      <c r="H10736" s="94" t="n">
        <v>200801</v>
      </c>
      <c r="I10736" s="94" t="n">
        <v>200801</v>
      </c>
      <c r="K10736" s="94" t="n">
        <v>2</v>
      </c>
      <c r="L10736" s="94" t="n">
        <v>200801</v>
      </c>
      <c r="M10736" s="94">
        <f>VLOOKUP($Q10736,매칭테이블!$F:$I,2,0)*K10736</f>
        <v/>
      </c>
      <c r="N10736" s="94">
        <f>M10736-M10736*VLOOKUP($Q10736,매칭테이블!$F:$I,3,0)</f>
        <v/>
      </c>
      <c r="O10736" s="94">
        <f>VLOOKUP($Q10736,매칭테이블!$F:$I,4,0)*K10736</f>
        <v/>
      </c>
      <c r="P10736" s="148">
        <f>M10736/1.1</f>
        <v/>
      </c>
      <c r="Q10736" s="94">
        <f>F10736&amp;E10736&amp;G10736&amp;L10736</f>
        <v/>
      </c>
    </row>
    <row r="10737" customFormat="1" s="94">
      <c r="B10737" s="128" t="n">
        <v>44141</v>
      </c>
      <c r="C10737" s="94">
        <f>TEXT(B10737,"aaa")</f>
        <v/>
      </c>
      <c r="E10737" s="94" t="inlineStr">
        <is>
          <t>토너</t>
        </is>
      </c>
      <c r="F10737" s="5" t="inlineStr">
        <is>
          <t>화해</t>
        </is>
      </c>
      <c r="G10737" s="94" t="inlineStr">
        <is>
          <t>250ml</t>
        </is>
      </c>
      <c r="H10737" s="94" t="n">
        <v>200801</v>
      </c>
      <c r="I10737" s="94" t="n">
        <v>200801</v>
      </c>
      <c r="K10737" s="94" t="n">
        <v>3</v>
      </c>
      <c r="L10737" s="94" t="n">
        <v>200801</v>
      </c>
      <c r="M10737" s="94">
        <f>VLOOKUP($Q10737,매칭테이블!$F:$I,2,0)*K10737</f>
        <v/>
      </c>
      <c r="N10737" s="94">
        <f>M10737-M10737*VLOOKUP($Q10737,매칭테이블!$F:$I,3,0)</f>
        <v/>
      </c>
      <c r="O10737" s="94">
        <f>VLOOKUP($Q10737,매칭테이블!$F:$I,4,0)*K10737</f>
        <v/>
      </c>
      <c r="P10737" s="148">
        <f>M10737/1.1</f>
        <v/>
      </c>
      <c r="Q10737" s="94">
        <f>F10737&amp;E10737&amp;G10737&amp;L10737</f>
        <v/>
      </c>
    </row>
    <row r="10738" customFormat="1" s="94">
      <c r="B10738" s="128" t="n">
        <v>44142</v>
      </c>
      <c r="C10738" s="94">
        <f>TEXT(B10738,"aaa")</f>
        <v/>
      </c>
      <c r="E10738" s="94" t="inlineStr">
        <is>
          <t>토너</t>
        </is>
      </c>
      <c r="F10738" s="5" t="inlineStr">
        <is>
          <t>스타일쉐어</t>
        </is>
      </c>
      <c r="G10738" s="94" t="inlineStr">
        <is>
          <t>250ml</t>
        </is>
      </c>
      <c r="H10738" s="94" t="n">
        <v>200801</v>
      </c>
      <c r="I10738" s="94" t="n">
        <v>200801</v>
      </c>
      <c r="K10738" s="94" t="n">
        <v>2</v>
      </c>
      <c r="L10738" s="94" t="n">
        <v>200801</v>
      </c>
      <c r="M10738" s="94">
        <f>VLOOKUP($Q10738,매칭테이블!$F:$I,2,0)*K10738</f>
        <v/>
      </c>
      <c r="N10738" s="94">
        <f>M10738-M10738*VLOOKUP($Q10738,매칭테이블!$F:$I,3,0)</f>
        <v/>
      </c>
      <c r="O10738" s="94">
        <f>VLOOKUP($Q10738,매칭테이블!$F:$I,4,0)*K10738</f>
        <v/>
      </c>
      <c r="P10738" s="148">
        <f>M10738/1.1</f>
        <v/>
      </c>
      <c r="Q10738" s="94">
        <f>F10738&amp;E10738&amp;G10738&amp;L10738</f>
        <v/>
      </c>
    </row>
    <row r="10739" customFormat="1" s="94">
      <c r="B10739" s="128" t="n">
        <v>44142</v>
      </c>
      <c r="C10739" s="94">
        <f>TEXT(B10739,"aaa")</f>
        <v/>
      </c>
      <c r="E10739" s="94" t="inlineStr">
        <is>
          <t>어성초진정패키지</t>
        </is>
      </c>
      <c r="F10739" s="5" t="inlineStr">
        <is>
          <t>카페24</t>
        </is>
      </c>
      <c r="G10739" s="94" t="inlineStr">
        <is>
          <t>어성초 진정패키지세트</t>
        </is>
      </c>
      <c r="H10739" s="94" t="n">
        <v>200801</v>
      </c>
      <c r="I10739" s="94" t="n">
        <v>200801</v>
      </c>
      <c r="K10739" s="94" t="n">
        <v>3</v>
      </c>
      <c r="L10739" s="94" t="n">
        <v>200801</v>
      </c>
      <c r="M10739" s="94">
        <f>VLOOKUP($Q10739,매칭테이블!$F:$I,2,0)*K10739</f>
        <v/>
      </c>
      <c r="N10739" s="94">
        <f>M10739-M10739*VLOOKUP($Q10739,매칭테이블!$F:$I,3,0)</f>
        <v/>
      </c>
      <c r="O10739" s="94">
        <f>VLOOKUP($Q10739,매칭테이블!$F:$I,4,0)*K10739</f>
        <v/>
      </c>
      <c r="P10739" s="148">
        <f>M10739/1.1</f>
        <v/>
      </c>
      <c r="Q10739" s="94">
        <f>F10739&amp;E10739&amp;G10739&amp;L10739</f>
        <v/>
      </c>
    </row>
    <row r="10740" customFormat="1" s="94">
      <c r="B10740" s="128" t="n">
        <v>44142</v>
      </c>
      <c r="C10740" s="94">
        <f>TEXT(B10740,"aaa")</f>
        <v/>
      </c>
      <c r="E10740" s="94" t="inlineStr">
        <is>
          <t>클리어 패드</t>
        </is>
      </c>
      <c r="F10740" s="5" t="inlineStr">
        <is>
          <t>카페24</t>
        </is>
      </c>
      <c r="G10740" s="94" t="inlineStr">
        <is>
          <t>어성초 77 클리어 패드 1개-20% off</t>
        </is>
      </c>
      <c r="H10740" s="94" t="n">
        <v>200801</v>
      </c>
      <c r="I10740" s="94" t="n">
        <v>200801</v>
      </c>
      <c r="K10740" s="94" t="n">
        <v>10</v>
      </c>
      <c r="L10740" s="94" t="n">
        <v>200801</v>
      </c>
      <c r="M10740" s="94">
        <f>VLOOKUP($Q10740,매칭테이블!$F:$I,2,0)*K10740</f>
        <v/>
      </c>
      <c r="N10740" s="94">
        <f>M10740-M10740*VLOOKUP($Q10740,매칭테이블!$F:$I,3,0)</f>
        <v/>
      </c>
      <c r="O10740" s="94">
        <f>VLOOKUP($Q10740,매칭테이블!$F:$I,4,0)*K10740</f>
        <v/>
      </c>
      <c r="P10740" s="148">
        <f>M10740/1.1</f>
        <v/>
      </c>
      <c r="Q10740" s="94">
        <f>F10740&amp;E10740&amp;G10740&amp;L10740</f>
        <v/>
      </c>
    </row>
    <row r="10741" customFormat="1" s="94">
      <c r="B10741" s="128" t="n">
        <v>44142</v>
      </c>
      <c r="C10741" s="94">
        <f>TEXT(B10741,"aaa")</f>
        <v/>
      </c>
      <c r="E10741" s="94" t="inlineStr">
        <is>
          <t>클리어 패드</t>
        </is>
      </c>
      <c r="F10741" s="5" t="inlineStr">
        <is>
          <t>카페24</t>
        </is>
      </c>
      <c r="G10741" s="94" t="inlineStr">
        <is>
          <t>어성초 77 클리어 패드 2개-30% off</t>
        </is>
      </c>
      <c r="H10741" s="94" t="n">
        <v>200801</v>
      </c>
      <c r="I10741" s="94" t="n">
        <v>200801</v>
      </c>
      <c r="K10741" s="94" t="n">
        <v>24</v>
      </c>
      <c r="L10741" s="94" t="n">
        <v>200801</v>
      </c>
      <c r="M10741" s="94">
        <f>VLOOKUP($Q10741,매칭테이블!$F:$I,2,0)*K10741</f>
        <v/>
      </c>
      <c r="N10741" s="94">
        <f>M10741-M10741*VLOOKUP($Q10741,매칭테이블!$F:$I,3,0)</f>
        <v/>
      </c>
      <c r="O10741" s="94">
        <f>VLOOKUP($Q10741,매칭테이블!$F:$I,4,0)*K10741</f>
        <v/>
      </c>
      <c r="P10741" s="148">
        <f>M10741/1.1</f>
        <v/>
      </c>
      <c r="Q10741" s="94">
        <f>F10741&amp;E10741&amp;G10741&amp;L10741</f>
        <v/>
      </c>
    </row>
    <row r="10742" customFormat="1" s="94">
      <c r="B10742" s="128" t="n">
        <v>44142</v>
      </c>
      <c r="C10742" s="94">
        <f>TEXT(B10742,"aaa")</f>
        <v/>
      </c>
      <c r="E10742" s="94" t="inlineStr">
        <is>
          <t>토너+패드 세트</t>
        </is>
      </c>
      <c r="F10742" s="5" t="inlineStr">
        <is>
          <t>카페24</t>
        </is>
      </c>
      <c r="G10742" s="94" t="inlineStr">
        <is>
          <t>좁쌀 진정 세트 토너+클리어 패드-30% off</t>
        </is>
      </c>
      <c r="H10742" s="94" t="n">
        <v>200801</v>
      </c>
      <c r="I10742" s="94" t="n">
        <v>200801</v>
      </c>
      <c r="K10742" s="94" t="n">
        <v>9</v>
      </c>
      <c r="L10742" s="94" t="n">
        <v>200801</v>
      </c>
      <c r="M10742" s="94">
        <f>VLOOKUP($Q10742,매칭테이블!$F:$I,2,0)*K10742</f>
        <v/>
      </c>
      <c r="N10742" s="94">
        <f>M10742-M10742*VLOOKUP($Q10742,매칭테이블!$F:$I,3,0)</f>
        <v/>
      </c>
      <c r="O10742" s="94">
        <f>VLOOKUP($Q10742,매칭테이블!$F:$I,4,0)*K10742</f>
        <v/>
      </c>
      <c r="P10742" s="148">
        <f>M10742/1.1</f>
        <v/>
      </c>
      <c r="Q10742" s="94">
        <f>F10742&amp;E10742&amp;G10742&amp;L10742</f>
        <v/>
      </c>
    </row>
    <row r="10743" customFormat="1" s="94">
      <c r="B10743" s="128" t="n">
        <v>44142</v>
      </c>
      <c r="C10743" s="94">
        <f>TEXT(B10743,"aaa")</f>
        <v/>
      </c>
      <c r="E10743" s="94" t="inlineStr">
        <is>
          <t>수분 보충 세트</t>
        </is>
      </c>
      <c r="F10743" s="5" t="inlineStr">
        <is>
          <t>카페24</t>
        </is>
      </c>
      <c r="G10743" s="94" t="inlineStr">
        <is>
          <t>[20/09/28 부터] 어성초 77 토너 250ml + 어성초 70 로션 200ml -30%</t>
        </is>
      </c>
      <c r="H10743" s="94" t="n">
        <v>200801</v>
      </c>
      <c r="I10743" s="94" t="n">
        <v>200801</v>
      </c>
      <c r="K10743" s="94" t="n">
        <v>16</v>
      </c>
      <c r="L10743" s="94" t="n">
        <v>200801</v>
      </c>
      <c r="M10743" s="94">
        <f>VLOOKUP($Q10743,매칭테이블!$F:$I,2,0)*K10743</f>
        <v/>
      </c>
      <c r="N10743" s="94">
        <f>M10743-M10743*VLOOKUP($Q10743,매칭테이블!$F:$I,3,0)</f>
        <v/>
      </c>
      <c r="O10743" s="94">
        <f>VLOOKUP($Q10743,매칭테이블!$F:$I,4,0)*K10743</f>
        <v/>
      </c>
      <c r="P10743" s="148">
        <f>M10743/1.1</f>
        <v/>
      </c>
      <c r="Q10743" s="94">
        <f>F10743&amp;E10743&amp;G10743&amp;L10743</f>
        <v/>
      </c>
    </row>
    <row r="10744" customFormat="1" s="94">
      <c r="B10744" s="128" t="n">
        <v>44142</v>
      </c>
      <c r="C10744" s="94">
        <f>TEXT(B10744,"aaa")</f>
        <v/>
      </c>
      <c r="E10744" s="94" t="inlineStr">
        <is>
          <t>로션</t>
        </is>
      </c>
      <c r="F10744" s="5" t="inlineStr">
        <is>
          <t>카페24</t>
        </is>
      </c>
      <c r="G10744" s="94" t="inlineStr">
        <is>
          <t>어성초 70 데일리 릴리프 로션 1개 -20% off</t>
        </is>
      </c>
      <c r="H10744" s="94" t="n">
        <v>200801</v>
      </c>
      <c r="I10744" s="94" t="n">
        <v>200801</v>
      </c>
      <c r="K10744" s="94" t="n">
        <v>5</v>
      </c>
      <c r="L10744" s="94" t="n">
        <v>200801</v>
      </c>
      <c r="M10744" s="94">
        <f>VLOOKUP($Q10744,매칭테이블!$F:$I,2,0)*K10744</f>
        <v/>
      </c>
      <c r="N10744" s="94">
        <f>M10744-M10744*VLOOKUP($Q10744,매칭테이블!$F:$I,3,0)</f>
        <v/>
      </c>
      <c r="O10744" s="94">
        <f>VLOOKUP($Q10744,매칭테이블!$F:$I,4,0)*K10744</f>
        <v/>
      </c>
      <c r="P10744" s="148">
        <f>M10744/1.1</f>
        <v/>
      </c>
      <c r="Q10744" s="94">
        <f>F10744&amp;E10744&amp;G10744&amp;L10744</f>
        <v/>
      </c>
    </row>
    <row r="10745" customFormat="1" s="94">
      <c r="B10745" s="128" t="n">
        <v>44142</v>
      </c>
      <c r="C10745" s="94">
        <f>TEXT(B10745,"aaa")</f>
        <v/>
      </c>
      <c r="E10745" s="94" t="inlineStr">
        <is>
          <t>머드크림마스크</t>
        </is>
      </c>
      <c r="F10745" s="5" t="inlineStr">
        <is>
          <t>카페24</t>
        </is>
      </c>
      <c r="G10745" s="94" t="inlineStr">
        <is>
          <t>머드크림마스크 100ml</t>
        </is>
      </c>
      <c r="H10745" s="94" t="n">
        <v>200801</v>
      </c>
      <c r="I10745" s="94" t="n">
        <v>200801</v>
      </c>
      <c r="K10745" s="94" t="n">
        <v>1</v>
      </c>
      <c r="L10745" s="94" t="n">
        <v>200801</v>
      </c>
      <c r="M10745" s="94">
        <f>VLOOKUP($Q10745,매칭테이블!$F:$I,2,0)*K10745</f>
        <v/>
      </c>
      <c r="N10745" s="94">
        <f>M10745-M10745*VLOOKUP($Q10745,매칭테이블!$F:$I,3,0)</f>
        <v/>
      </c>
      <c r="O10745" s="94">
        <f>VLOOKUP($Q10745,매칭테이블!$F:$I,4,0)*K10745</f>
        <v/>
      </c>
      <c r="P10745" s="148">
        <f>M10745/1.1</f>
        <v/>
      </c>
      <c r="Q10745" s="94">
        <f>F10745&amp;E10745&amp;G10745&amp;L10745</f>
        <v/>
      </c>
    </row>
    <row r="10746" customFormat="1" s="94">
      <c r="B10746" s="128" t="n">
        <v>44142</v>
      </c>
      <c r="C10746" s="94">
        <f>TEXT(B10746,"aaa")</f>
        <v/>
      </c>
      <c r="E10746" s="94" t="inlineStr">
        <is>
          <t>마스크팩</t>
        </is>
      </c>
      <c r="F10746" s="5" t="inlineStr">
        <is>
          <t>카페24</t>
        </is>
      </c>
      <c r="G10746" s="94" t="inlineStr">
        <is>
          <t>마스크팩 1매</t>
        </is>
      </c>
      <c r="H10746" s="94" t="n">
        <v>200801</v>
      </c>
      <c r="I10746" s="94" t="n">
        <v>200801</v>
      </c>
      <c r="K10746" s="94" t="n">
        <v>2</v>
      </c>
      <c r="L10746" s="94" t="n">
        <v>200801</v>
      </c>
      <c r="M10746" s="94">
        <f>VLOOKUP($Q10746,매칭테이블!$F:$I,2,0)*K10746</f>
        <v/>
      </c>
      <c r="N10746" s="94">
        <f>M10746-M10746*VLOOKUP($Q10746,매칭테이블!$F:$I,3,0)</f>
        <v/>
      </c>
      <c r="O10746" s="94">
        <f>VLOOKUP($Q10746,매칭테이블!$F:$I,4,0)*K10746</f>
        <v/>
      </c>
      <c r="P10746" s="148">
        <f>M10746/1.1</f>
        <v/>
      </c>
      <c r="Q10746" s="94">
        <f>F10746&amp;E10746&amp;G10746&amp;L10746</f>
        <v/>
      </c>
    </row>
    <row r="10747" customFormat="1" s="94">
      <c r="B10747" s="128" t="n">
        <v>44142</v>
      </c>
      <c r="C10747" s="94">
        <f>TEXT(B10747,"aaa")</f>
        <v/>
      </c>
      <c r="E10747" s="94" t="inlineStr">
        <is>
          <t>마스크팩</t>
        </is>
      </c>
      <c r="F10747" s="5" t="inlineStr">
        <is>
          <t>카페24</t>
        </is>
      </c>
      <c r="G10747" s="94" t="inlineStr">
        <is>
          <t>마스크팩 10매</t>
        </is>
      </c>
      <c r="H10747" s="94" t="n">
        <v>200801</v>
      </c>
      <c r="I10747" s="94" t="n">
        <v>200801</v>
      </c>
      <c r="K10747" s="94" t="n">
        <v>5</v>
      </c>
      <c r="L10747" s="94" t="n">
        <v>200801</v>
      </c>
      <c r="M10747" s="94">
        <f>VLOOKUP($Q10747,매칭테이블!$F:$I,2,0)*K10747</f>
        <v/>
      </c>
      <c r="N10747" s="94">
        <f>M10747-M10747*VLOOKUP($Q10747,매칭테이블!$F:$I,3,0)</f>
        <v/>
      </c>
      <c r="O10747" s="94">
        <f>VLOOKUP($Q10747,매칭테이블!$F:$I,4,0)*K10747</f>
        <v/>
      </c>
      <c r="P10747" s="148">
        <f>M10747/1.1</f>
        <v/>
      </c>
      <c r="Q10747" s="94">
        <f>F10747&amp;E10747&amp;G10747&amp;L10747</f>
        <v/>
      </c>
    </row>
    <row r="10748" customFormat="1" s="94">
      <c r="B10748" s="128" t="n">
        <v>44142</v>
      </c>
      <c r="C10748" s="94">
        <f>TEXT(B10748,"aaa")</f>
        <v/>
      </c>
      <c r="E10748" s="94" t="inlineStr">
        <is>
          <t>토너</t>
        </is>
      </c>
      <c r="F10748" s="5" t="inlineStr">
        <is>
          <t>카페24</t>
        </is>
      </c>
      <c r="G10748" s="94" t="inlineStr">
        <is>
          <t>250ml</t>
        </is>
      </c>
      <c r="H10748" s="94" t="n">
        <v>200801</v>
      </c>
      <c r="I10748" s="94" t="n">
        <v>200801</v>
      </c>
      <c r="K10748" s="94" t="n">
        <v>18</v>
      </c>
      <c r="L10748" s="94" t="n">
        <v>200801</v>
      </c>
      <c r="M10748" s="94">
        <f>VLOOKUP($Q10748,매칭테이블!$F:$I,2,0)*K10748</f>
        <v/>
      </c>
      <c r="N10748" s="94">
        <f>M10748-M10748*VLOOKUP($Q10748,매칭테이블!$F:$I,3,0)</f>
        <v/>
      </c>
      <c r="O10748" s="94">
        <f>VLOOKUP($Q10748,매칭테이블!$F:$I,4,0)*K10748</f>
        <v/>
      </c>
      <c r="P10748" s="148">
        <f>M10748/1.1</f>
        <v/>
      </c>
      <c r="Q10748" s="94">
        <f>F10748&amp;E10748&amp;G10748&amp;L10748</f>
        <v/>
      </c>
    </row>
    <row r="10749" customFormat="1" s="94">
      <c r="B10749" s="128" t="n">
        <v>44142</v>
      </c>
      <c r="C10749" s="94">
        <f>TEXT(B10749,"aaa")</f>
        <v/>
      </c>
      <c r="E10749" s="94" t="inlineStr">
        <is>
          <t>토너</t>
        </is>
      </c>
      <c r="F10749" s="5" t="inlineStr">
        <is>
          <t>카페24</t>
        </is>
      </c>
      <c r="G10749" s="94" t="inlineStr">
        <is>
          <t>250ml 2set</t>
        </is>
      </c>
      <c r="H10749" s="94" t="n">
        <v>200801</v>
      </c>
      <c r="I10749" s="94" t="n">
        <v>200801</v>
      </c>
      <c r="K10749" s="94" t="n">
        <v>18</v>
      </c>
      <c r="L10749" s="94" t="n">
        <v>200801</v>
      </c>
      <c r="M10749" s="94">
        <f>VLOOKUP($Q10749,매칭테이블!$F:$I,2,0)*K10749</f>
        <v/>
      </c>
      <c r="N10749" s="94">
        <f>M10749-M10749*VLOOKUP($Q10749,매칭테이블!$F:$I,3,0)</f>
        <v/>
      </c>
      <c r="O10749" s="94">
        <f>VLOOKUP($Q10749,매칭테이블!$F:$I,4,0)*K10749</f>
        <v/>
      </c>
      <c r="P10749" s="148">
        <f>M10749/1.1</f>
        <v/>
      </c>
      <c r="Q10749" s="94">
        <f>F10749&amp;E10749&amp;G10749&amp;L10749</f>
        <v/>
      </c>
    </row>
    <row r="10750" customFormat="1" s="94">
      <c r="B10750" s="128" t="n">
        <v>44142</v>
      </c>
      <c r="C10750" s="94">
        <f>TEXT(B10750,"aaa")</f>
        <v/>
      </c>
      <c r="E10750" s="94" t="inlineStr">
        <is>
          <t>토너</t>
        </is>
      </c>
      <c r="F10750" s="5" t="inlineStr">
        <is>
          <t>카페24</t>
        </is>
      </c>
      <c r="G10750" s="94" t="inlineStr">
        <is>
          <t>500ml</t>
        </is>
      </c>
      <c r="H10750" s="94" t="n">
        <v>200801</v>
      </c>
      <c r="I10750" s="94" t="n">
        <v>200801</v>
      </c>
      <c r="K10750" s="94" t="n">
        <v>20</v>
      </c>
      <c r="L10750" s="94" t="n">
        <v>200801</v>
      </c>
      <c r="M10750" s="94">
        <f>VLOOKUP($Q10750,매칭테이블!$F:$I,2,0)*K10750</f>
        <v/>
      </c>
      <c r="N10750" s="94">
        <f>M10750-M10750*VLOOKUP($Q10750,매칭테이블!$F:$I,3,0)</f>
        <v/>
      </c>
      <c r="O10750" s="94">
        <f>VLOOKUP($Q10750,매칭테이블!$F:$I,4,0)*K10750</f>
        <v/>
      </c>
      <c r="P10750" s="148">
        <f>M10750/1.1</f>
        <v/>
      </c>
      <c r="Q10750" s="94">
        <f>F10750&amp;E10750&amp;G10750&amp;L10750</f>
        <v/>
      </c>
    </row>
    <row r="10751" customFormat="1" s="94">
      <c r="B10751" s="128" t="n">
        <v>44142</v>
      </c>
      <c r="C10751" s="94">
        <f>TEXT(B10751,"aaa")</f>
        <v/>
      </c>
      <c r="E10751" s="94" t="inlineStr">
        <is>
          <t>토너</t>
        </is>
      </c>
      <c r="F10751" s="5" t="inlineStr">
        <is>
          <t>카페24</t>
        </is>
      </c>
      <c r="G10751" s="94" t="inlineStr">
        <is>
          <t>스킨팩 화장솜 60P</t>
        </is>
      </c>
      <c r="H10751" s="94" t="n">
        <v>200801</v>
      </c>
      <c r="I10751" s="94" t="n">
        <v>200801</v>
      </c>
      <c r="K10751" s="94" t="n">
        <v>15</v>
      </c>
      <c r="L10751" s="94" t="n">
        <v>200801</v>
      </c>
      <c r="M10751" s="94">
        <f>VLOOKUP($Q10751,매칭테이블!$F:$I,2,0)*K10751</f>
        <v/>
      </c>
      <c r="N10751" s="94">
        <f>M10751-M10751*VLOOKUP($Q10751,매칭테이블!$F:$I,3,0)</f>
        <v/>
      </c>
      <c r="O10751" s="94">
        <f>VLOOKUP($Q10751,매칭테이블!$F:$I,4,0)*K10751</f>
        <v/>
      </c>
      <c r="P10751" s="148">
        <f>M10751/1.1</f>
        <v/>
      </c>
      <c r="Q10751" s="94">
        <f>F10751&amp;E10751&amp;G10751&amp;L10751</f>
        <v/>
      </c>
    </row>
    <row r="10752" customFormat="1" s="94">
      <c r="B10752" s="128" t="n">
        <v>44142</v>
      </c>
      <c r="C10752" s="94">
        <f>TEXT(B10752,"aaa")</f>
        <v/>
      </c>
      <c r="E10752" s="94" t="inlineStr">
        <is>
          <t>앰플</t>
        </is>
      </c>
      <c r="F10752" s="5" t="inlineStr">
        <is>
          <t>카페24</t>
        </is>
      </c>
      <c r="G10752" s="94" t="inlineStr">
        <is>
          <t>앰플 30ml</t>
        </is>
      </c>
      <c r="H10752" s="94" t="n">
        <v>200801</v>
      </c>
      <c r="I10752" s="94" t="n">
        <v>200801</v>
      </c>
      <c r="K10752" s="94" t="n">
        <v>13</v>
      </c>
      <c r="L10752" s="94" t="n">
        <v>200801</v>
      </c>
      <c r="M10752" s="94">
        <f>VLOOKUP($Q10752,매칭테이블!$F:$I,2,0)*K10752</f>
        <v/>
      </c>
      <c r="N10752" s="94">
        <f>M10752-M10752*VLOOKUP($Q10752,매칭테이블!$F:$I,3,0)</f>
        <v/>
      </c>
      <c r="O10752" s="94">
        <f>VLOOKUP($Q10752,매칭테이블!$F:$I,4,0)*K10752</f>
        <v/>
      </c>
      <c r="P10752" s="148">
        <f>M10752/1.1</f>
        <v/>
      </c>
      <c r="Q10752" s="94">
        <f>F10752&amp;E10752&amp;G10752&amp;L10752</f>
        <v/>
      </c>
    </row>
    <row r="10753" customFormat="1" s="94">
      <c r="B10753" s="128" t="n">
        <v>44142</v>
      </c>
      <c r="C10753" s="94">
        <f>TEXT(B10753,"aaa")</f>
        <v/>
      </c>
      <c r="E10753" s="94" t="inlineStr">
        <is>
          <t>앰플</t>
        </is>
      </c>
      <c r="F10753" s="5" t="inlineStr">
        <is>
          <t>카페24</t>
        </is>
      </c>
      <c r="G10753" s="94" t="inlineStr">
        <is>
          <t>앰플 30ml  2set</t>
        </is>
      </c>
      <c r="H10753" s="94" t="n">
        <v>200801</v>
      </c>
      <c r="I10753" s="94" t="n">
        <v>200801</v>
      </c>
      <c r="K10753" s="94" t="n">
        <v>4</v>
      </c>
      <c r="L10753" s="94" t="n">
        <v>200801</v>
      </c>
      <c r="M10753" s="94">
        <f>VLOOKUP($Q10753,매칭테이블!$F:$I,2,0)*K10753</f>
        <v/>
      </c>
      <c r="N10753" s="94">
        <f>M10753-M10753*VLOOKUP($Q10753,매칭테이블!$F:$I,3,0)</f>
        <v/>
      </c>
      <c r="O10753" s="94">
        <f>VLOOKUP($Q10753,매칭테이블!$F:$I,4,0)*K10753</f>
        <v/>
      </c>
      <c r="P10753" s="148">
        <f>M10753/1.1</f>
        <v/>
      </c>
      <c r="Q10753" s="94">
        <f>F10753&amp;E10753&amp;G10753&amp;L10753</f>
        <v/>
      </c>
    </row>
    <row r="10754" customFormat="1" s="94">
      <c r="B10754" s="128" t="n">
        <v>44142</v>
      </c>
      <c r="C10754" s="94">
        <f>TEXT(B10754,"aaa")</f>
        <v/>
      </c>
      <c r="E10754" s="94" t="inlineStr">
        <is>
          <t>수딩크림</t>
        </is>
      </c>
      <c r="F10754" s="5" t="inlineStr">
        <is>
          <t>카페24</t>
        </is>
      </c>
      <c r="G10754" s="94" t="inlineStr">
        <is>
          <t>수딩크림 100ml</t>
        </is>
      </c>
      <c r="H10754" s="94" t="n">
        <v>200801</v>
      </c>
      <c r="I10754" s="94" t="n">
        <v>200801</v>
      </c>
      <c r="K10754" s="94" t="n">
        <v>4</v>
      </c>
      <c r="L10754" s="94" t="n">
        <v>200801</v>
      </c>
      <c r="M10754" s="94">
        <f>VLOOKUP($Q10754,매칭테이블!$F:$I,2,0)*K10754</f>
        <v/>
      </c>
      <c r="N10754" s="94">
        <f>M10754-M10754*VLOOKUP($Q10754,매칭테이블!$F:$I,3,0)</f>
        <v/>
      </c>
      <c r="O10754" s="94">
        <f>VLOOKUP($Q10754,매칭테이블!$F:$I,4,0)*K10754</f>
        <v/>
      </c>
      <c r="P10754" s="148">
        <f>M10754/1.1</f>
        <v/>
      </c>
      <c r="Q10754" s="94">
        <f>F10754&amp;E10754&amp;G10754&amp;L10754</f>
        <v/>
      </c>
    </row>
    <row r="10755" customFormat="1" s="94">
      <c r="B10755" s="128" t="n">
        <v>44142</v>
      </c>
      <c r="C10755" s="94">
        <f>TEXT(B10755,"aaa")</f>
        <v/>
      </c>
      <c r="E10755" s="94" t="inlineStr">
        <is>
          <t>클렌징폼</t>
        </is>
      </c>
      <c r="F10755" s="5" t="inlineStr">
        <is>
          <t>카페24</t>
        </is>
      </c>
      <c r="G10755" s="94" t="inlineStr">
        <is>
          <t>클렌징폼 120ml</t>
        </is>
      </c>
      <c r="H10755" s="94" t="n">
        <v>200801</v>
      </c>
      <c r="I10755" s="94" t="n">
        <v>200801</v>
      </c>
      <c r="K10755" s="94" t="n">
        <v>4</v>
      </c>
      <c r="L10755" s="94" t="n">
        <v>200801</v>
      </c>
      <c r="M10755" s="94">
        <f>VLOOKUP($Q10755,매칭테이블!$F:$I,2,0)*K10755</f>
        <v/>
      </c>
      <c r="N10755" s="94">
        <f>M10755-M10755*VLOOKUP($Q10755,매칭테이블!$F:$I,3,0)</f>
        <v/>
      </c>
      <c r="O10755" s="94">
        <f>VLOOKUP($Q10755,매칭테이블!$F:$I,4,0)*K10755</f>
        <v/>
      </c>
      <c r="P10755" s="148">
        <f>M10755/1.1</f>
        <v/>
      </c>
      <c r="Q10755" s="94">
        <f>F10755&amp;E10755&amp;G10755&amp;L10755</f>
        <v/>
      </c>
    </row>
    <row r="10756" customFormat="1" s="94">
      <c r="B10756" s="128" t="n">
        <v>44142</v>
      </c>
      <c r="C10756" s="94">
        <f>TEXT(B10756,"aaa")</f>
        <v/>
      </c>
      <c r="E10756" s="94" t="inlineStr">
        <is>
          <t>앰플</t>
        </is>
      </c>
      <c r="F10756" s="5" t="inlineStr">
        <is>
          <t>화해</t>
        </is>
      </c>
      <c r="G10756" s="94" t="inlineStr">
        <is>
          <t>앰플 30ml</t>
        </is>
      </c>
      <c r="H10756" s="94" t="n">
        <v>200801</v>
      </c>
      <c r="I10756" s="94" t="n">
        <v>200801</v>
      </c>
      <c r="K10756" s="94" t="n">
        <v>1</v>
      </c>
      <c r="L10756" s="94" t="n">
        <v>200801</v>
      </c>
      <c r="M10756" s="94">
        <f>VLOOKUP($Q10756,매칭테이블!$F:$I,2,0)*K10756</f>
        <v/>
      </c>
      <c r="N10756" s="94">
        <f>M10756-M10756*VLOOKUP($Q10756,매칭테이블!$F:$I,3,0)</f>
        <v/>
      </c>
      <c r="O10756" s="94">
        <f>VLOOKUP($Q10756,매칭테이블!$F:$I,4,0)*K10756</f>
        <v/>
      </c>
      <c r="P10756" s="148">
        <f>M10756/1.1</f>
        <v/>
      </c>
      <c r="Q10756" s="94">
        <f>F10756&amp;E10756&amp;G10756&amp;L10756</f>
        <v/>
      </c>
    </row>
    <row r="10757" customFormat="1" s="94">
      <c r="B10757" s="128" t="n">
        <v>44142</v>
      </c>
      <c r="C10757" s="94">
        <f>TEXT(B10757,"aaa")</f>
        <v/>
      </c>
      <c r="E10757" s="94" t="inlineStr">
        <is>
          <t>마스크팩</t>
        </is>
      </c>
      <c r="F10757" s="5" t="inlineStr">
        <is>
          <t>화해</t>
        </is>
      </c>
      <c r="G10757" s="94" t="inlineStr">
        <is>
          <t>마스크팩 10매</t>
        </is>
      </c>
      <c r="H10757" s="94" t="n">
        <v>200801</v>
      </c>
      <c r="I10757" s="94" t="n">
        <v>200801</v>
      </c>
      <c r="K10757" s="94" t="n">
        <v>2</v>
      </c>
      <c r="L10757" s="94" t="n">
        <v>200801</v>
      </c>
      <c r="M10757" s="94">
        <f>VLOOKUP($Q10757,매칭테이블!$F:$I,2,0)*K10757</f>
        <v/>
      </c>
      <c r="N10757" s="94">
        <f>M10757-M10757*VLOOKUP($Q10757,매칭테이블!$F:$I,3,0)</f>
        <v/>
      </c>
      <c r="O10757" s="94">
        <f>VLOOKUP($Q10757,매칭테이블!$F:$I,4,0)*K10757</f>
        <v/>
      </c>
      <c r="P10757" s="148">
        <f>M10757/1.1</f>
        <v/>
      </c>
      <c r="Q10757" s="94">
        <f>F10757&amp;E10757&amp;G10757&amp;L10757</f>
        <v/>
      </c>
    </row>
    <row r="10758" customFormat="1" s="94">
      <c r="B10758" s="128" t="n">
        <v>44142</v>
      </c>
      <c r="C10758" s="94">
        <f>TEXT(B10758,"aaa")</f>
        <v/>
      </c>
      <c r="E10758" s="94" t="inlineStr">
        <is>
          <t>토너</t>
        </is>
      </c>
      <c r="F10758" s="5" t="inlineStr">
        <is>
          <t>화해</t>
        </is>
      </c>
      <c r="G10758" s="94" t="inlineStr">
        <is>
          <t>250ml</t>
        </is>
      </c>
      <c r="H10758" s="94" t="n">
        <v>200801</v>
      </c>
      <c r="I10758" s="94" t="n">
        <v>200801</v>
      </c>
      <c r="K10758" s="94" t="n">
        <v>7</v>
      </c>
      <c r="L10758" s="94" t="n">
        <v>200801</v>
      </c>
      <c r="M10758" s="94">
        <f>VLOOKUP($Q10758,매칭테이블!$F:$I,2,0)*K10758</f>
        <v/>
      </c>
      <c r="N10758" s="94">
        <f>M10758-M10758*VLOOKUP($Q10758,매칭테이블!$F:$I,3,0)</f>
        <v/>
      </c>
      <c r="O10758" s="94">
        <f>VLOOKUP($Q10758,매칭테이블!$F:$I,4,0)*K10758</f>
        <v/>
      </c>
      <c r="P10758" s="148">
        <f>M10758/1.1</f>
        <v/>
      </c>
      <c r="Q10758" s="94">
        <f>F10758&amp;E10758&amp;G10758&amp;L10758</f>
        <v/>
      </c>
    </row>
    <row r="10759" customFormat="1" s="94">
      <c r="B10759" s="128" t="n">
        <v>44142</v>
      </c>
      <c r="C10759" s="94">
        <f>TEXT(B10759,"aaa")</f>
        <v/>
      </c>
      <c r="E10759" s="94" t="inlineStr">
        <is>
          <t>수딩크림</t>
        </is>
      </c>
      <c r="F10759" s="5" t="inlineStr">
        <is>
          <t>화해</t>
        </is>
      </c>
      <c r="G10759" s="94" t="inlineStr">
        <is>
          <t>수딩크림 100ml</t>
        </is>
      </c>
      <c r="H10759" s="94" t="n">
        <v>200801</v>
      </c>
      <c r="I10759" s="94" t="n">
        <v>200801</v>
      </c>
      <c r="K10759" s="94" t="n">
        <v>1</v>
      </c>
      <c r="L10759" s="94" t="n">
        <v>200801</v>
      </c>
      <c r="M10759" s="94">
        <f>VLOOKUP($Q10759,매칭테이블!$F:$I,2,0)*K10759</f>
        <v/>
      </c>
      <c r="N10759" s="94">
        <f>M10759-M10759*VLOOKUP($Q10759,매칭테이블!$F:$I,3,0)</f>
        <v/>
      </c>
      <c r="O10759" s="94">
        <f>VLOOKUP($Q10759,매칭테이블!$F:$I,4,0)*K10759</f>
        <v/>
      </c>
      <c r="P10759" s="148">
        <f>M10759/1.1</f>
        <v/>
      </c>
      <c r="Q10759" s="94">
        <f>F10759&amp;E10759&amp;G10759&amp;L10759</f>
        <v/>
      </c>
    </row>
    <row r="10760" customFormat="1" s="94">
      <c r="B10760" s="128" t="n">
        <v>44142</v>
      </c>
      <c r="C10760" s="94">
        <f>TEXT(B10760,"aaa")</f>
        <v/>
      </c>
      <c r="E10760" s="94" t="inlineStr">
        <is>
          <t>클리어 패드</t>
        </is>
      </c>
      <c r="F10760" s="5" t="inlineStr">
        <is>
          <t>화해</t>
        </is>
      </c>
      <c r="G10760" s="94" t="inlineStr">
        <is>
          <t>어성초 클리어패드 70P</t>
        </is>
      </c>
      <c r="H10760" s="94" t="n">
        <v>200801</v>
      </c>
      <c r="I10760" s="94" t="n">
        <v>200801</v>
      </c>
      <c r="K10760" s="94" t="n">
        <v>1</v>
      </c>
      <c r="L10760" s="94" t="n">
        <v>200801</v>
      </c>
      <c r="M10760" s="94">
        <f>VLOOKUP($Q10760,매칭테이블!$F:$I,2,0)*K10760</f>
        <v/>
      </c>
      <c r="N10760" s="94">
        <f>M10760-M10760*VLOOKUP($Q10760,매칭테이블!$F:$I,3,0)</f>
        <v/>
      </c>
      <c r="O10760" s="94">
        <f>VLOOKUP($Q10760,매칭테이블!$F:$I,4,0)*K10760</f>
        <v/>
      </c>
      <c r="P10760" s="148">
        <f>M10760/1.1</f>
        <v/>
      </c>
      <c r="Q10760" s="94">
        <f>F10760&amp;E10760&amp;G10760&amp;L10760</f>
        <v/>
      </c>
    </row>
    <row r="10761" customFormat="1" s="94">
      <c r="B10761" s="128" t="n">
        <v>44143</v>
      </c>
      <c r="C10761" s="94">
        <f>TEXT(B10761,"aaa")</f>
        <v/>
      </c>
      <c r="E10761" s="94" t="inlineStr">
        <is>
          <t>토너</t>
        </is>
      </c>
      <c r="F10761" s="5" t="inlineStr">
        <is>
          <t>스타일쉐어</t>
        </is>
      </c>
      <c r="G10761" s="94" t="inlineStr">
        <is>
          <t>250ml</t>
        </is>
      </c>
      <c r="H10761" s="94" t="n">
        <v>200801</v>
      </c>
      <c r="I10761" s="94" t="n">
        <v>200801</v>
      </c>
      <c r="K10761" s="94" t="n">
        <v>3</v>
      </c>
      <c r="L10761" s="94" t="n">
        <v>200801</v>
      </c>
      <c r="M10761" s="94">
        <f>VLOOKUP($Q10761,매칭테이블!$F:$I,2,0)*K10761</f>
        <v/>
      </c>
      <c r="N10761" s="94">
        <f>M10761-M10761*VLOOKUP($Q10761,매칭테이블!$F:$I,3,0)</f>
        <v/>
      </c>
      <c r="O10761" s="94">
        <f>VLOOKUP($Q10761,매칭테이블!$F:$I,4,0)*K10761</f>
        <v/>
      </c>
      <c r="P10761" s="148">
        <f>M10761/1.1</f>
        <v/>
      </c>
      <c r="Q10761" s="94">
        <f>F10761&amp;E10761&amp;G10761&amp;L10761</f>
        <v/>
      </c>
    </row>
    <row r="10762" customFormat="1" s="94">
      <c r="B10762" s="128" t="n">
        <v>44143</v>
      </c>
      <c r="C10762" s="94">
        <f>TEXT(B10762,"aaa")</f>
        <v/>
      </c>
      <c r="E10762" s="94" t="inlineStr">
        <is>
          <t>선크림</t>
        </is>
      </c>
      <c r="F10762" s="5" t="inlineStr">
        <is>
          <t>카페24</t>
        </is>
      </c>
      <c r="G10762" s="94" t="inlineStr">
        <is>
          <t>선크림 50ml</t>
        </is>
      </c>
      <c r="H10762" s="94" t="n">
        <v>200801</v>
      </c>
      <c r="I10762" s="94" t="n">
        <v>200801</v>
      </c>
      <c r="K10762" s="94" t="n">
        <v>2</v>
      </c>
      <c r="L10762" s="94" t="n">
        <v>200801</v>
      </c>
      <c r="M10762" s="94">
        <f>VLOOKUP($Q10762,매칭테이블!$F:$I,2,0)*K10762</f>
        <v/>
      </c>
      <c r="N10762" s="94">
        <f>M10762-M10762*VLOOKUP($Q10762,매칭테이블!$F:$I,3,0)</f>
        <v/>
      </c>
      <c r="O10762" s="94">
        <f>VLOOKUP($Q10762,매칭테이블!$F:$I,4,0)*K10762</f>
        <v/>
      </c>
      <c r="P10762" s="148">
        <f>M10762/1.1</f>
        <v/>
      </c>
      <c r="Q10762" s="94">
        <f>F10762&amp;E10762&amp;G10762&amp;L10762</f>
        <v/>
      </c>
    </row>
    <row r="10763" customFormat="1" s="94">
      <c r="B10763" s="128" t="n">
        <v>44143</v>
      </c>
      <c r="C10763" s="94">
        <f>TEXT(B10763,"aaa")</f>
        <v/>
      </c>
      <c r="E10763" s="94" t="inlineStr">
        <is>
          <t>어성초진정패키지</t>
        </is>
      </c>
      <c r="F10763" s="5" t="inlineStr">
        <is>
          <t>카페24</t>
        </is>
      </c>
      <c r="G10763" s="94" t="inlineStr">
        <is>
          <t>어성초 진정패키지세트</t>
        </is>
      </c>
      <c r="H10763" s="94" t="n">
        <v>200801</v>
      </c>
      <c r="I10763" s="94" t="n">
        <v>200801</v>
      </c>
      <c r="K10763" s="94" t="n">
        <v>4</v>
      </c>
      <c r="L10763" s="94" t="n">
        <v>200801</v>
      </c>
      <c r="M10763" s="94">
        <f>VLOOKUP($Q10763,매칭테이블!$F:$I,2,0)*K10763</f>
        <v/>
      </c>
      <c r="N10763" s="94">
        <f>M10763-M10763*VLOOKUP($Q10763,매칭테이블!$F:$I,3,0)</f>
        <v/>
      </c>
      <c r="O10763" s="94">
        <f>VLOOKUP($Q10763,매칭테이블!$F:$I,4,0)*K10763</f>
        <v/>
      </c>
      <c r="P10763" s="148">
        <f>M10763/1.1</f>
        <v/>
      </c>
      <c r="Q10763" s="94">
        <f>F10763&amp;E10763&amp;G10763&amp;L10763</f>
        <v/>
      </c>
    </row>
    <row r="10764" customFormat="1" s="94">
      <c r="B10764" s="128" t="n">
        <v>44143</v>
      </c>
      <c r="C10764" s="94">
        <f>TEXT(B10764,"aaa")</f>
        <v/>
      </c>
      <c r="E10764" s="94" t="inlineStr">
        <is>
          <t>클리어 패드</t>
        </is>
      </c>
      <c r="F10764" s="5" t="inlineStr">
        <is>
          <t>카페24</t>
        </is>
      </c>
      <c r="G10764" s="94" t="inlineStr">
        <is>
          <t>어성초 77 클리어 패드 1개-20% off</t>
        </is>
      </c>
      <c r="H10764" s="94" t="n">
        <v>200801</v>
      </c>
      <c r="I10764" s="94" t="n">
        <v>200801</v>
      </c>
      <c r="K10764" s="94" t="n">
        <v>26</v>
      </c>
      <c r="L10764" s="94" t="n">
        <v>200801</v>
      </c>
      <c r="M10764" s="94">
        <f>VLOOKUP($Q10764,매칭테이블!$F:$I,2,0)*K10764</f>
        <v/>
      </c>
      <c r="N10764" s="94">
        <f>M10764-M10764*VLOOKUP($Q10764,매칭테이블!$F:$I,3,0)</f>
        <v/>
      </c>
      <c r="O10764" s="94">
        <f>VLOOKUP($Q10764,매칭테이블!$F:$I,4,0)*K10764</f>
        <v/>
      </c>
      <c r="P10764" s="148">
        <f>M10764/1.1</f>
        <v/>
      </c>
      <c r="Q10764" s="94">
        <f>F10764&amp;E10764&amp;G10764&amp;L10764</f>
        <v/>
      </c>
    </row>
    <row r="10765" customFormat="1" s="94">
      <c r="B10765" s="128" t="n">
        <v>44143</v>
      </c>
      <c r="C10765" s="94">
        <f>TEXT(B10765,"aaa")</f>
        <v/>
      </c>
      <c r="E10765" s="94" t="inlineStr">
        <is>
          <t>클리어 패드</t>
        </is>
      </c>
      <c r="F10765" s="5" t="inlineStr">
        <is>
          <t>카페24</t>
        </is>
      </c>
      <c r="G10765" s="94" t="inlineStr">
        <is>
          <t>어성초 77 클리어 패드 2개-30% off</t>
        </is>
      </c>
      <c r="H10765" s="94" t="n">
        <v>200801</v>
      </c>
      <c r="I10765" s="94" t="n">
        <v>200801</v>
      </c>
      <c r="K10765" s="94" t="n">
        <v>17</v>
      </c>
      <c r="L10765" s="94" t="n">
        <v>200801</v>
      </c>
      <c r="M10765" s="94">
        <f>VLOOKUP($Q10765,매칭테이블!$F:$I,2,0)*K10765</f>
        <v/>
      </c>
      <c r="N10765" s="94">
        <f>M10765-M10765*VLOOKUP($Q10765,매칭테이블!$F:$I,3,0)</f>
        <v/>
      </c>
      <c r="O10765" s="94">
        <f>VLOOKUP($Q10765,매칭테이블!$F:$I,4,0)*K10765</f>
        <v/>
      </c>
      <c r="P10765" s="148">
        <f>M10765/1.1</f>
        <v/>
      </c>
      <c r="Q10765" s="94">
        <f>F10765&amp;E10765&amp;G10765&amp;L10765</f>
        <v/>
      </c>
    </row>
    <row r="10766" customFormat="1" s="94">
      <c r="B10766" s="128" t="n">
        <v>44143</v>
      </c>
      <c r="C10766" s="94">
        <f>TEXT(B10766,"aaa")</f>
        <v/>
      </c>
      <c r="E10766" s="94" t="inlineStr">
        <is>
          <t>토너+패드 세트</t>
        </is>
      </c>
      <c r="F10766" s="5" t="inlineStr">
        <is>
          <t>카페24</t>
        </is>
      </c>
      <c r="G10766" s="94" t="inlineStr">
        <is>
          <t>좁쌀 진정 세트 토너+클리어 패드-30% off</t>
        </is>
      </c>
      <c r="H10766" s="94" t="n">
        <v>200801</v>
      </c>
      <c r="I10766" s="94" t="n">
        <v>200801</v>
      </c>
      <c r="K10766" s="94" t="n">
        <v>15</v>
      </c>
      <c r="L10766" s="94" t="n">
        <v>200801</v>
      </c>
      <c r="M10766" s="94">
        <f>VLOOKUP($Q10766,매칭테이블!$F:$I,2,0)*K10766</f>
        <v/>
      </c>
      <c r="N10766" s="94">
        <f>M10766-M10766*VLOOKUP($Q10766,매칭테이블!$F:$I,3,0)</f>
        <v/>
      </c>
      <c r="O10766" s="94">
        <f>VLOOKUP($Q10766,매칭테이블!$F:$I,4,0)*K10766</f>
        <v/>
      </c>
      <c r="P10766" s="148">
        <f>M10766/1.1</f>
        <v/>
      </c>
      <c r="Q10766" s="94">
        <f>F10766&amp;E10766&amp;G10766&amp;L10766</f>
        <v/>
      </c>
    </row>
    <row r="10767" customFormat="1" s="94">
      <c r="B10767" s="128" t="n">
        <v>44143</v>
      </c>
      <c r="C10767" s="94">
        <f>TEXT(B10767,"aaa")</f>
        <v/>
      </c>
      <c r="E10767" s="94" t="inlineStr">
        <is>
          <t>수분 보충 세트</t>
        </is>
      </c>
      <c r="F10767" s="5" t="inlineStr">
        <is>
          <t>카페24</t>
        </is>
      </c>
      <c r="G10767" s="94" t="inlineStr">
        <is>
          <t>[20/09/28 부터] 어성초 77 토너 250ml + 어성초 70 로션 200ml -30%</t>
        </is>
      </c>
      <c r="H10767" s="94" t="n">
        <v>200801</v>
      </c>
      <c r="I10767" s="94" t="n">
        <v>200801</v>
      </c>
      <c r="K10767" s="94" t="n">
        <v>22</v>
      </c>
      <c r="L10767" s="94" t="n">
        <v>200801</v>
      </c>
      <c r="M10767" s="94">
        <f>VLOOKUP($Q10767,매칭테이블!$F:$I,2,0)*K10767</f>
        <v/>
      </c>
      <c r="N10767" s="94">
        <f>M10767-M10767*VLOOKUP($Q10767,매칭테이블!$F:$I,3,0)</f>
        <v/>
      </c>
      <c r="O10767" s="94">
        <f>VLOOKUP($Q10767,매칭테이블!$F:$I,4,0)*K10767</f>
        <v/>
      </c>
      <c r="P10767" s="148">
        <f>M10767/1.1</f>
        <v/>
      </c>
      <c r="Q10767" s="94">
        <f>F10767&amp;E10767&amp;G10767&amp;L10767</f>
        <v/>
      </c>
    </row>
    <row r="10768" customFormat="1" s="94">
      <c r="B10768" s="128" t="n">
        <v>44143</v>
      </c>
      <c r="C10768" s="94">
        <f>TEXT(B10768,"aaa")</f>
        <v/>
      </c>
      <c r="E10768" s="94" t="inlineStr">
        <is>
          <t>로션</t>
        </is>
      </c>
      <c r="F10768" s="5" t="inlineStr">
        <is>
          <t>카페24</t>
        </is>
      </c>
      <c r="G10768" s="94" t="inlineStr">
        <is>
          <t>어성초 70 데일리 릴리프 로션 1개 -20% off</t>
        </is>
      </c>
      <c r="H10768" s="94" t="n">
        <v>200801</v>
      </c>
      <c r="I10768" s="94" t="n">
        <v>200801</v>
      </c>
      <c r="K10768" s="94" t="n">
        <v>12</v>
      </c>
      <c r="L10768" s="94" t="n">
        <v>200801</v>
      </c>
      <c r="M10768" s="94">
        <f>VLOOKUP($Q10768,매칭테이블!$F:$I,2,0)*K10768</f>
        <v/>
      </c>
      <c r="N10768" s="94">
        <f>M10768-M10768*VLOOKUP($Q10768,매칭테이블!$F:$I,3,0)</f>
        <v/>
      </c>
      <c r="O10768" s="94">
        <f>VLOOKUP($Q10768,매칭테이블!$F:$I,4,0)*K10768</f>
        <v/>
      </c>
      <c r="P10768" s="148">
        <f>M10768/1.1</f>
        <v/>
      </c>
      <c r="Q10768" s="94">
        <f>F10768&amp;E10768&amp;G10768&amp;L10768</f>
        <v/>
      </c>
    </row>
    <row r="10769" customFormat="1" s="94">
      <c r="B10769" s="128" t="n">
        <v>44143</v>
      </c>
      <c r="C10769" s="94">
        <f>TEXT(B10769,"aaa")</f>
        <v/>
      </c>
      <c r="E10769" s="94" t="inlineStr">
        <is>
          <t>로션</t>
        </is>
      </c>
      <c r="F10769" s="5" t="inlineStr">
        <is>
          <t>카페24</t>
        </is>
      </c>
      <c r="G10769" s="94" t="inlineStr">
        <is>
          <t>어성초 70 데일리 릴리프 로션 2개 -30% off</t>
        </is>
      </c>
      <c r="H10769" s="94" t="n">
        <v>200801</v>
      </c>
      <c r="I10769" s="94" t="n">
        <v>200801</v>
      </c>
      <c r="K10769" s="94" t="n">
        <v>1</v>
      </c>
      <c r="L10769" s="94" t="n">
        <v>200801</v>
      </c>
      <c r="M10769" s="94">
        <f>VLOOKUP($Q10769,매칭테이블!$F:$I,2,0)*K10769</f>
        <v/>
      </c>
      <c r="N10769" s="94">
        <f>M10769-M10769*VLOOKUP($Q10769,매칭테이블!$F:$I,3,0)</f>
        <v/>
      </c>
      <c r="O10769" s="94">
        <f>VLOOKUP($Q10769,매칭테이블!$F:$I,4,0)*K10769</f>
        <v/>
      </c>
      <c r="P10769" s="148">
        <f>M10769/1.1</f>
        <v/>
      </c>
      <c r="Q10769" s="94">
        <f>F10769&amp;E10769&amp;G10769&amp;L10769</f>
        <v/>
      </c>
    </row>
    <row r="10770" customFormat="1" s="94">
      <c r="B10770" s="128" t="n">
        <v>44143</v>
      </c>
      <c r="C10770" s="94">
        <f>TEXT(B10770,"aaa")</f>
        <v/>
      </c>
      <c r="E10770" s="94" t="inlineStr">
        <is>
          <t>머드크림마스크</t>
        </is>
      </c>
      <c r="F10770" s="5" t="inlineStr">
        <is>
          <t>카페24</t>
        </is>
      </c>
      <c r="G10770" s="94" t="inlineStr">
        <is>
          <t>머드크림마스크 100ml</t>
        </is>
      </c>
      <c r="H10770" s="94" t="n">
        <v>200801</v>
      </c>
      <c r="I10770" s="94" t="n">
        <v>200801</v>
      </c>
      <c r="K10770" s="94" t="n">
        <v>3</v>
      </c>
      <c r="L10770" s="94" t="n">
        <v>200801</v>
      </c>
      <c r="M10770" s="94">
        <f>VLOOKUP($Q10770,매칭테이블!$F:$I,2,0)*K10770</f>
        <v/>
      </c>
      <c r="N10770" s="94">
        <f>M10770-M10770*VLOOKUP($Q10770,매칭테이블!$F:$I,3,0)</f>
        <v/>
      </c>
      <c r="O10770" s="94">
        <f>VLOOKUP($Q10770,매칭테이블!$F:$I,4,0)*K10770</f>
        <v/>
      </c>
      <c r="P10770" s="148">
        <f>M10770/1.1</f>
        <v/>
      </c>
      <c r="Q10770" s="94">
        <f>F10770&amp;E10770&amp;G10770&amp;L10770</f>
        <v/>
      </c>
    </row>
    <row r="10771" customFormat="1" s="94">
      <c r="B10771" s="128" t="n">
        <v>44143</v>
      </c>
      <c r="C10771" s="94">
        <f>TEXT(B10771,"aaa")</f>
        <v/>
      </c>
      <c r="E10771" s="94" t="inlineStr">
        <is>
          <t>마스크팩</t>
        </is>
      </c>
      <c r="F10771" s="5" t="inlineStr">
        <is>
          <t>카페24</t>
        </is>
      </c>
      <c r="G10771" s="94" t="inlineStr">
        <is>
          <t>마스크팩 10매</t>
        </is>
      </c>
      <c r="H10771" s="94" t="n">
        <v>200801</v>
      </c>
      <c r="I10771" s="94" t="n">
        <v>200801</v>
      </c>
      <c r="K10771" s="94" t="n">
        <v>1</v>
      </c>
      <c r="L10771" s="94" t="n">
        <v>200801</v>
      </c>
      <c r="M10771" s="94">
        <f>VLOOKUP($Q10771,매칭테이블!$F:$I,2,0)*K10771</f>
        <v/>
      </c>
      <c r="N10771" s="94">
        <f>M10771-M10771*VLOOKUP($Q10771,매칭테이블!$F:$I,3,0)</f>
        <v/>
      </c>
      <c r="O10771" s="94">
        <f>VLOOKUP($Q10771,매칭테이블!$F:$I,4,0)*K10771</f>
        <v/>
      </c>
      <c r="P10771" s="148">
        <f>M10771/1.1</f>
        <v/>
      </c>
      <c r="Q10771" s="94">
        <f>F10771&amp;E10771&amp;G10771&amp;L10771</f>
        <v/>
      </c>
    </row>
    <row r="10772" customFormat="1" s="94">
      <c r="B10772" s="128" t="n">
        <v>44143</v>
      </c>
      <c r="C10772" s="94">
        <f>TEXT(B10772,"aaa")</f>
        <v/>
      </c>
      <c r="E10772" s="94" t="inlineStr">
        <is>
          <t>토너</t>
        </is>
      </c>
      <c r="F10772" s="5" t="inlineStr">
        <is>
          <t>카페24</t>
        </is>
      </c>
      <c r="G10772" s="94" t="inlineStr">
        <is>
          <t>250ml</t>
        </is>
      </c>
      <c r="H10772" s="94" t="n">
        <v>200801</v>
      </c>
      <c r="I10772" s="94" t="n">
        <v>200801</v>
      </c>
      <c r="K10772" s="94" t="n">
        <v>28</v>
      </c>
      <c r="L10772" s="94" t="n">
        <v>200801</v>
      </c>
      <c r="M10772" s="94">
        <f>VLOOKUP($Q10772,매칭테이블!$F:$I,2,0)*K10772</f>
        <v/>
      </c>
      <c r="N10772" s="94">
        <f>M10772-M10772*VLOOKUP($Q10772,매칭테이블!$F:$I,3,0)</f>
        <v/>
      </c>
      <c r="O10772" s="94">
        <f>VLOOKUP($Q10772,매칭테이블!$F:$I,4,0)*K10772</f>
        <v/>
      </c>
      <c r="P10772" s="148">
        <f>M10772/1.1</f>
        <v/>
      </c>
      <c r="Q10772" s="94">
        <f>F10772&amp;E10772&amp;G10772&amp;L10772</f>
        <v/>
      </c>
    </row>
    <row r="10773" customFormat="1" s="94">
      <c r="B10773" s="128" t="n">
        <v>44143</v>
      </c>
      <c r="C10773" s="94">
        <f>TEXT(B10773,"aaa")</f>
        <v/>
      </c>
      <c r="E10773" s="94" t="inlineStr">
        <is>
          <t>토너</t>
        </is>
      </c>
      <c r="F10773" s="5" t="inlineStr">
        <is>
          <t>카페24</t>
        </is>
      </c>
      <c r="G10773" s="94" t="inlineStr">
        <is>
          <t>250ml 2set</t>
        </is>
      </c>
      <c r="H10773" s="94" t="n">
        <v>200801</v>
      </c>
      <c r="I10773" s="94" t="n">
        <v>200801</v>
      </c>
      <c r="K10773" s="94" t="n">
        <v>30</v>
      </c>
      <c r="L10773" s="94" t="n">
        <v>200801</v>
      </c>
      <c r="M10773" s="94">
        <f>VLOOKUP($Q10773,매칭테이블!$F:$I,2,0)*K10773</f>
        <v/>
      </c>
      <c r="N10773" s="94">
        <f>M10773-M10773*VLOOKUP($Q10773,매칭테이블!$F:$I,3,0)</f>
        <v/>
      </c>
      <c r="O10773" s="94">
        <f>VLOOKUP($Q10773,매칭테이블!$F:$I,4,0)*K10773</f>
        <v/>
      </c>
      <c r="P10773" s="148">
        <f>M10773/1.1</f>
        <v/>
      </c>
      <c r="Q10773" s="94">
        <f>F10773&amp;E10773&amp;G10773&amp;L10773</f>
        <v/>
      </c>
    </row>
    <row r="10774" customFormat="1" s="94">
      <c r="B10774" s="128" t="n">
        <v>44143</v>
      </c>
      <c r="C10774" s="94">
        <f>TEXT(B10774,"aaa")</f>
        <v/>
      </c>
      <c r="E10774" s="94" t="inlineStr">
        <is>
          <t>토너</t>
        </is>
      </c>
      <c r="F10774" s="5" t="inlineStr">
        <is>
          <t>카페24</t>
        </is>
      </c>
      <c r="G10774" s="94" t="inlineStr">
        <is>
          <t>500ml</t>
        </is>
      </c>
      <c r="H10774" s="94" t="n">
        <v>200801</v>
      </c>
      <c r="I10774" s="94" t="n">
        <v>200801</v>
      </c>
      <c r="K10774" s="94" t="n">
        <v>31</v>
      </c>
      <c r="L10774" s="94" t="n">
        <v>200801</v>
      </c>
      <c r="M10774" s="94">
        <f>VLOOKUP($Q10774,매칭테이블!$F:$I,2,0)*K10774</f>
        <v/>
      </c>
      <c r="N10774" s="94">
        <f>M10774-M10774*VLOOKUP($Q10774,매칭테이블!$F:$I,3,0)</f>
        <v/>
      </c>
      <c r="O10774" s="94">
        <f>VLOOKUP($Q10774,매칭테이블!$F:$I,4,0)*K10774</f>
        <v/>
      </c>
      <c r="P10774" s="148">
        <f>M10774/1.1</f>
        <v/>
      </c>
      <c r="Q10774" s="94">
        <f>F10774&amp;E10774&amp;G10774&amp;L10774</f>
        <v/>
      </c>
    </row>
    <row r="10775" customFormat="1" s="94">
      <c r="B10775" s="128" t="n">
        <v>44143</v>
      </c>
      <c r="C10775" s="94">
        <f>TEXT(B10775,"aaa")</f>
        <v/>
      </c>
      <c r="E10775" s="94" t="inlineStr">
        <is>
          <t>토너</t>
        </is>
      </c>
      <c r="F10775" s="5" t="inlineStr">
        <is>
          <t>카페24</t>
        </is>
      </c>
      <c r="G10775" s="94" t="inlineStr">
        <is>
          <t>스킨팩 화장솜 60P</t>
        </is>
      </c>
      <c r="H10775" s="94" t="n">
        <v>200801</v>
      </c>
      <c r="I10775" s="94" t="n">
        <v>200801</v>
      </c>
      <c r="K10775" s="94" t="n">
        <v>32</v>
      </c>
      <c r="L10775" s="94" t="n">
        <v>200801</v>
      </c>
      <c r="M10775" s="94">
        <f>VLOOKUP($Q10775,매칭테이블!$F:$I,2,0)*K10775</f>
        <v/>
      </c>
      <c r="N10775" s="94">
        <f>M10775-M10775*VLOOKUP($Q10775,매칭테이블!$F:$I,3,0)</f>
        <v/>
      </c>
      <c r="O10775" s="94">
        <f>VLOOKUP($Q10775,매칭테이블!$F:$I,4,0)*K10775</f>
        <v/>
      </c>
      <c r="P10775" s="148">
        <f>M10775/1.1</f>
        <v/>
      </c>
      <c r="Q10775" s="94">
        <f>F10775&amp;E10775&amp;G10775&amp;L10775</f>
        <v/>
      </c>
    </row>
    <row r="10776" customFormat="1" s="94">
      <c r="B10776" s="128" t="n">
        <v>44143</v>
      </c>
      <c r="C10776" s="94">
        <f>TEXT(B10776,"aaa")</f>
        <v/>
      </c>
      <c r="E10776" s="94" t="inlineStr">
        <is>
          <t>앰플</t>
        </is>
      </c>
      <c r="F10776" s="5" t="inlineStr">
        <is>
          <t>카페24</t>
        </is>
      </c>
      <c r="G10776" s="94" t="inlineStr">
        <is>
          <t>앰플 30ml</t>
        </is>
      </c>
      <c r="H10776" s="94" t="n">
        <v>200801</v>
      </c>
      <c r="I10776" s="94" t="n">
        <v>200801</v>
      </c>
      <c r="K10776" s="94" t="n">
        <v>10</v>
      </c>
      <c r="L10776" s="94" t="n">
        <v>200801</v>
      </c>
      <c r="M10776" s="94">
        <f>VLOOKUP($Q10776,매칭테이블!$F:$I,2,0)*K10776</f>
        <v/>
      </c>
      <c r="N10776" s="94">
        <f>M10776-M10776*VLOOKUP($Q10776,매칭테이블!$F:$I,3,0)</f>
        <v/>
      </c>
      <c r="O10776" s="94">
        <f>VLOOKUP($Q10776,매칭테이블!$F:$I,4,0)*K10776</f>
        <v/>
      </c>
      <c r="P10776" s="148">
        <f>M10776/1.1</f>
        <v/>
      </c>
      <c r="Q10776" s="94">
        <f>F10776&amp;E10776&amp;G10776&amp;L10776</f>
        <v/>
      </c>
    </row>
    <row r="10777" customFormat="1" s="94">
      <c r="B10777" s="128" t="n">
        <v>44143</v>
      </c>
      <c r="C10777" s="94">
        <f>TEXT(B10777,"aaa")</f>
        <v/>
      </c>
      <c r="E10777" s="94" t="inlineStr">
        <is>
          <t>앰플</t>
        </is>
      </c>
      <c r="F10777" s="5" t="inlineStr">
        <is>
          <t>카페24</t>
        </is>
      </c>
      <c r="G10777" s="94" t="inlineStr">
        <is>
          <t>앰플 30ml  2set</t>
        </is>
      </c>
      <c r="H10777" s="94" t="n">
        <v>200801</v>
      </c>
      <c r="I10777" s="94" t="n">
        <v>200801</v>
      </c>
      <c r="K10777" s="94" t="n">
        <v>6</v>
      </c>
      <c r="L10777" s="94" t="n">
        <v>200801</v>
      </c>
      <c r="M10777" s="94">
        <f>VLOOKUP($Q10777,매칭테이블!$F:$I,2,0)*K10777</f>
        <v/>
      </c>
      <c r="N10777" s="94">
        <f>M10777-M10777*VLOOKUP($Q10777,매칭테이블!$F:$I,3,0)</f>
        <v/>
      </c>
      <c r="O10777" s="94">
        <f>VLOOKUP($Q10777,매칭테이블!$F:$I,4,0)*K10777</f>
        <v/>
      </c>
      <c r="P10777" s="148">
        <f>M10777/1.1</f>
        <v/>
      </c>
      <c r="Q10777" s="94">
        <f>F10777&amp;E10777&amp;G10777&amp;L10777</f>
        <v/>
      </c>
    </row>
    <row r="10778" customFormat="1" s="94">
      <c r="B10778" s="128" t="n">
        <v>44143</v>
      </c>
      <c r="C10778" s="94">
        <f>TEXT(B10778,"aaa")</f>
        <v/>
      </c>
      <c r="E10778" s="94" t="inlineStr">
        <is>
          <t>수딩크림</t>
        </is>
      </c>
      <c r="F10778" s="5" t="inlineStr">
        <is>
          <t>카페24</t>
        </is>
      </c>
      <c r="G10778" s="94" t="inlineStr">
        <is>
          <t>수딩크림 100ml</t>
        </is>
      </c>
      <c r="H10778" s="94" t="n">
        <v>200801</v>
      </c>
      <c r="I10778" s="94" t="n">
        <v>200801</v>
      </c>
      <c r="K10778" s="94" t="n">
        <v>5</v>
      </c>
      <c r="L10778" s="94" t="n">
        <v>200801</v>
      </c>
      <c r="M10778" s="94">
        <f>VLOOKUP($Q10778,매칭테이블!$F:$I,2,0)*K10778</f>
        <v/>
      </c>
      <c r="N10778" s="94">
        <f>M10778-M10778*VLOOKUP($Q10778,매칭테이블!$F:$I,3,0)</f>
        <v/>
      </c>
      <c r="O10778" s="94">
        <f>VLOOKUP($Q10778,매칭테이블!$F:$I,4,0)*K10778</f>
        <v/>
      </c>
      <c r="P10778" s="148">
        <f>M10778/1.1</f>
        <v/>
      </c>
      <c r="Q10778" s="94">
        <f>F10778&amp;E10778&amp;G10778&amp;L10778</f>
        <v/>
      </c>
    </row>
    <row r="10779" customFormat="1" s="94">
      <c r="B10779" s="128" t="n">
        <v>44143</v>
      </c>
      <c r="C10779" s="94">
        <f>TEXT(B10779,"aaa")</f>
        <v/>
      </c>
      <c r="E10779" s="94" t="inlineStr">
        <is>
          <t>클렌징폼</t>
        </is>
      </c>
      <c r="F10779" s="5" t="inlineStr">
        <is>
          <t>카페24</t>
        </is>
      </c>
      <c r="G10779" s="94" t="inlineStr">
        <is>
          <t>클렌징폼 120ml</t>
        </is>
      </c>
      <c r="H10779" s="94" t="n">
        <v>200801</v>
      </c>
      <c r="I10779" s="94" t="n">
        <v>200801</v>
      </c>
      <c r="K10779" s="94" t="n">
        <v>9</v>
      </c>
      <c r="L10779" s="94" t="n">
        <v>200801</v>
      </c>
      <c r="M10779" s="94">
        <f>VLOOKUP($Q10779,매칭테이블!$F:$I,2,0)*K10779</f>
        <v/>
      </c>
      <c r="N10779" s="94">
        <f>M10779-M10779*VLOOKUP($Q10779,매칭테이블!$F:$I,3,0)</f>
        <v/>
      </c>
      <c r="O10779" s="94">
        <f>VLOOKUP($Q10779,매칭테이블!$F:$I,4,0)*K10779</f>
        <v/>
      </c>
      <c r="P10779" s="148">
        <f>M10779/1.1</f>
        <v/>
      </c>
      <c r="Q10779" s="94">
        <f>F10779&amp;E10779&amp;G10779&amp;L10779</f>
        <v/>
      </c>
    </row>
    <row r="10780" customFormat="1" s="94">
      <c r="B10780" s="128" t="n">
        <v>44143</v>
      </c>
      <c r="C10780" s="94">
        <f>TEXT(B10780,"aaa")</f>
        <v/>
      </c>
      <c r="E10780" s="94" t="inlineStr">
        <is>
          <t>클렌징폼</t>
        </is>
      </c>
      <c r="F10780" s="5" t="inlineStr">
        <is>
          <t>카페24</t>
        </is>
      </c>
      <c r="G10780" s="94" t="inlineStr">
        <is>
          <t>클렌징폼 120ml 2set</t>
        </is>
      </c>
      <c r="H10780" s="94" t="n">
        <v>200801</v>
      </c>
      <c r="I10780" s="94" t="n">
        <v>200801</v>
      </c>
      <c r="K10780" s="94" t="n">
        <v>4</v>
      </c>
      <c r="L10780" s="94" t="n">
        <v>200801</v>
      </c>
      <c r="M10780" s="94">
        <f>VLOOKUP($Q10780,매칭테이블!$F:$I,2,0)*K10780</f>
        <v/>
      </c>
      <c r="N10780" s="94">
        <f>M10780-M10780*VLOOKUP($Q10780,매칭테이블!$F:$I,3,0)</f>
        <v/>
      </c>
      <c r="O10780" s="94">
        <f>VLOOKUP($Q10780,매칭테이블!$F:$I,4,0)*K10780</f>
        <v/>
      </c>
      <c r="P10780" s="148">
        <f>M10780/1.1</f>
        <v/>
      </c>
      <c r="Q10780" s="94">
        <f>F10780&amp;E10780&amp;G10780&amp;L10780</f>
        <v/>
      </c>
    </row>
    <row r="10781" customFormat="1" s="94">
      <c r="B10781" s="128" t="n">
        <v>44143</v>
      </c>
      <c r="C10781" s="94">
        <f>TEXT(B10781,"aaa")</f>
        <v/>
      </c>
      <c r="E10781" s="94" t="inlineStr">
        <is>
          <t>클렌징폼</t>
        </is>
      </c>
      <c r="F10781" s="5" t="inlineStr">
        <is>
          <t>카페24</t>
        </is>
      </c>
      <c r="G10781" s="94" t="inlineStr">
        <is>
          <t>클렌징폼 120ml 3set</t>
        </is>
      </c>
      <c r="H10781" s="94" t="n">
        <v>200801</v>
      </c>
      <c r="I10781" s="94" t="n">
        <v>200801</v>
      </c>
      <c r="K10781" s="94" t="n">
        <v>1</v>
      </c>
      <c r="L10781" s="94" t="n">
        <v>200801</v>
      </c>
      <c r="M10781" s="94">
        <f>VLOOKUP($Q10781,매칭테이블!$F:$I,2,0)*K10781</f>
        <v/>
      </c>
      <c r="N10781" s="94">
        <f>M10781-M10781*VLOOKUP($Q10781,매칭테이블!$F:$I,3,0)</f>
        <v/>
      </c>
      <c r="O10781" s="94">
        <f>VLOOKUP($Q10781,매칭테이블!$F:$I,4,0)*K10781</f>
        <v/>
      </c>
      <c r="P10781" s="148">
        <f>M10781/1.1</f>
        <v/>
      </c>
      <c r="Q10781" s="94">
        <f>F10781&amp;E10781&amp;G10781&amp;L10781</f>
        <v/>
      </c>
    </row>
    <row r="10782" customFormat="1" s="94">
      <c r="B10782" s="128" t="n">
        <v>44143</v>
      </c>
      <c r="C10782" s="94">
        <f>TEXT(B10782,"aaa")</f>
        <v/>
      </c>
      <c r="E10782" s="94" t="inlineStr">
        <is>
          <t>바디워시</t>
        </is>
      </c>
      <c r="F10782" s="5" t="inlineStr">
        <is>
          <t>카페24</t>
        </is>
      </c>
      <c r="G10782" s="94" t="inlineStr">
        <is>
          <t>바디워시 1개 -30% off</t>
        </is>
      </c>
      <c r="H10782" s="94" t="n">
        <v>200801</v>
      </c>
      <c r="I10782" s="94" t="n">
        <v>200801</v>
      </c>
      <c r="K10782" s="94" t="n">
        <v>2</v>
      </c>
      <c r="L10782" s="94" t="n">
        <v>200801</v>
      </c>
      <c r="M10782" s="94">
        <f>VLOOKUP($Q10782,매칭테이블!$F:$I,2,0)*K10782</f>
        <v/>
      </c>
      <c r="N10782" s="94">
        <f>M10782-M10782*VLOOKUP($Q10782,매칭테이블!$F:$I,3,0)</f>
        <v/>
      </c>
      <c r="O10782" s="94">
        <f>VLOOKUP($Q10782,매칭테이블!$F:$I,4,0)*K10782</f>
        <v/>
      </c>
      <c r="P10782" s="148">
        <f>M10782/1.1</f>
        <v/>
      </c>
      <c r="Q10782" s="94">
        <f>F10782&amp;E10782&amp;G10782&amp;L10782</f>
        <v/>
      </c>
    </row>
    <row r="10783" customFormat="1" s="94">
      <c r="B10783" s="128" t="n">
        <v>44143</v>
      </c>
      <c r="C10783" s="94">
        <f>TEXT(B10783,"aaa")</f>
        <v/>
      </c>
      <c r="E10783" s="94" t="inlineStr">
        <is>
          <t>바디워시</t>
        </is>
      </c>
      <c r="F10783" s="5" t="inlineStr">
        <is>
          <t>카페24</t>
        </is>
      </c>
      <c r="G10783" s="94" t="inlineStr">
        <is>
          <t>바디워시 2개 -35% off (무료배송)</t>
        </is>
      </c>
      <c r="H10783" s="94" t="n">
        <v>200801</v>
      </c>
      <c r="I10783" s="94" t="n">
        <v>200801</v>
      </c>
      <c r="K10783" s="94" t="n">
        <v>2</v>
      </c>
      <c r="L10783" s="94" t="n">
        <v>200801</v>
      </c>
      <c r="M10783" s="94">
        <f>VLOOKUP($Q10783,매칭테이블!$F:$I,2,0)*K10783</f>
        <v/>
      </c>
      <c r="N10783" s="94">
        <f>M10783-M10783*VLOOKUP($Q10783,매칭테이블!$F:$I,3,0)</f>
        <v/>
      </c>
      <c r="O10783" s="94">
        <f>VLOOKUP($Q10783,매칭테이블!$F:$I,4,0)*K10783</f>
        <v/>
      </c>
      <c r="P10783" s="148">
        <f>M10783/1.1</f>
        <v/>
      </c>
      <c r="Q10783" s="94">
        <f>F10783&amp;E10783&amp;G10783&amp;L10783</f>
        <v/>
      </c>
    </row>
    <row r="10784" customFormat="1" s="94">
      <c r="B10784" s="128" t="n">
        <v>44143</v>
      </c>
      <c r="C10784" s="94">
        <f>TEXT(B10784,"aaa")</f>
        <v/>
      </c>
      <c r="E10784" s="94" t="inlineStr">
        <is>
          <t>토너</t>
        </is>
      </c>
      <c r="F10784" s="5" t="inlineStr">
        <is>
          <t>화해</t>
        </is>
      </c>
      <c r="G10784" s="94" t="inlineStr">
        <is>
          <t>250ml</t>
        </is>
      </c>
      <c r="H10784" s="94" t="n">
        <v>200801</v>
      </c>
      <c r="I10784" s="94" t="n">
        <v>200801</v>
      </c>
      <c r="K10784" s="94" t="n">
        <v>4</v>
      </c>
      <c r="L10784" s="94" t="n">
        <v>200801</v>
      </c>
      <c r="M10784" s="94">
        <f>VLOOKUP($Q10784,매칭테이블!$F:$I,2,0)*K10784</f>
        <v/>
      </c>
      <c r="N10784" s="94">
        <f>M10784-M10784*VLOOKUP($Q10784,매칭테이블!$F:$I,3,0)</f>
        <v/>
      </c>
      <c r="O10784" s="94">
        <f>VLOOKUP($Q10784,매칭테이블!$F:$I,4,0)*K10784</f>
        <v/>
      </c>
      <c r="P10784" s="148">
        <f>M10784/1.1</f>
        <v/>
      </c>
      <c r="Q10784" s="94">
        <f>F10784&amp;E10784&amp;G10784&amp;L10784</f>
        <v/>
      </c>
    </row>
    <row r="10785" customFormat="1" s="94">
      <c r="B10785" s="128" t="n">
        <v>44143</v>
      </c>
      <c r="C10785" s="94">
        <f>TEXT(B10785,"aaa")</f>
        <v/>
      </c>
      <c r="E10785" s="94" t="inlineStr">
        <is>
          <t>토너</t>
        </is>
      </c>
      <c r="F10785" s="5" t="inlineStr">
        <is>
          <t>랄라블라</t>
        </is>
      </c>
      <c r="G10785" s="94" t="inlineStr">
        <is>
          <t>250ml</t>
        </is>
      </c>
      <c r="H10785" s="94" t="n">
        <v>200801</v>
      </c>
      <c r="I10785" s="94" t="n">
        <v>200801</v>
      </c>
      <c r="K10785" s="94" t="n">
        <v>659</v>
      </c>
      <c r="L10785" s="94" t="n">
        <v>200801</v>
      </c>
      <c r="M10785" s="94">
        <f>VLOOKUP($Q10785,매칭테이블!$F:$I,2,0)*K10785</f>
        <v/>
      </c>
      <c r="N10785" s="94">
        <f>M10785-M10785*VLOOKUP($Q10785,매칭테이블!$F:$I,3,0)</f>
        <v/>
      </c>
      <c r="O10785" s="94">
        <f>VLOOKUP($Q10785,매칭테이블!$F:$I,4,0)*K10785</f>
        <v/>
      </c>
      <c r="P10785" s="148">
        <f>M10785/1.1</f>
        <v/>
      </c>
      <c r="Q10785" s="94">
        <f>F10785&amp;E10785&amp;G10785&amp;L10785</f>
        <v/>
      </c>
    </row>
    <row r="10786" customFormat="1" s="94">
      <c r="B10786" s="128" t="n">
        <v>44143</v>
      </c>
      <c r="C10786" s="94">
        <f>TEXT(B10786,"aaa")</f>
        <v/>
      </c>
      <c r="E10786" s="94" t="inlineStr">
        <is>
          <t>토너</t>
        </is>
      </c>
      <c r="F10786" s="5" t="inlineStr">
        <is>
          <t>랄라블라</t>
        </is>
      </c>
      <c r="G10786" s="94" t="inlineStr">
        <is>
          <t>500ml</t>
        </is>
      </c>
      <c r="H10786" s="94" t="n">
        <v>200801</v>
      </c>
      <c r="I10786" s="94" t="n">
        <v>200801</v>
      </c>
      <c r="K10786" s="94" t="n">
        <v>14</v>
      </c>
      <c r="L10786" s="94" t="n">
        <v>200801</v>
      </c>
      <c r="M10786" s="94">
        <f>VLOOKUP($Q10786,매칭테이블!$F:$I,2,0)*K10786</f>
        <v/>
      </c>
      <c r="N10786" s="94">
        <f>M10786-M10786*VLOOKUP($Q10786,매칭테이블!$F:$I,3,0)</f>
        <v/>
      </c>
      <c r="O10786" s="94">
        <f>VLOOKUP($Q10786,매칭테이블!$F:$I,4,0)*K10786</f>
        <v/>
      </c>
      <c r="P10786" s="148">
        <f>M10786/1.1</f>
        <v/>
      </c>
      <c r="Q10786" s="94">
        <f>F10786&amp;E10786&amp;G10786&amp;L10786</f>
        <v/>
      </c>
    </row>
    <row r="10787" customFormat="1" s="94">
      <c r="B10787" s="128" t="n">
        <v>44143</v>
      </c>
      <c r="C10787" s="94">
        <f>TEXT(B10787,"aaa")</f>
        <v/>
      </c>
      <c r="E10787" s="94" t="inlineStr">
        <is>
          <t>마스크팩</t>
        </is>
      </c>
      <c r="F10787" s="5" t="inlineStr">
        <is>
          <t>랄라블라</t>
        </is>
      </c>
      <c r="G10787" s="94" t="inlineStr">
        <is>
          <t>마스크팩 1매</t>
        </is>
      </c>
      <c r="H10787" s="94" t="n">
        <v>200801</v>
      </c>
      <c r="I10787" s="94" t="n">
        <v>200801</v>
      </c>
      <c r="K10787" s="94" t="n">
        <v>359</v>
      </c>
      <c r="L10787" s="94" t="n">
        <v>200801</v>
      </c>
      <c r="M10787" s="94">
        <f>VLOOKUP($Q10787,매칭테이블!$F:$I,2,0)*K10787</f>
        <v/>
      </c>
      <c r="N10787" s="94">
        <f>M10787-M10787*VLOOKUP($Q10787,매칭테이블!$F:$I,3,0)</f>
        <v/>
      </c>
      <c r="O10787" s="94">
        <f>VLOOKUP($Q10787,매칭테이블!$F:$I,4,0)*K10787</f>
        <v/>
      </c>
      <c r="P10787" s="148">
        <f>M10787/1.1</f>
        <v/>
      </c>
      <c r="Q10787" s="94">
        <f>F10787&amp;E10787&amp;G10787&amp;L10787</f>
        <v/>
      </c>
    </row>
    <row r="10788" customFormat="1" s="94">
      <c r="B10788" s="128" t="n">
        <v>44143</v>
      </c>
      <c r="C10788" s="94">
        <f>TEXT(B10788,"aaa")</f>
        <v/>
      </c>
      <c r="E10788" s="94" t="inlineStr">
        <is>
          <t>수딩크림 증정기획</t>
        </is>
      </c>
      <c r="F10788" s="5" t="inlineStr">
        <is>
          <t>랄라블라</t>
        </is>
      </c>
      <c r="G10788" s="94" t="inlineStr">
        <is>
          <t>수딩크림 증정기획</t>
        </is>
      </c>
      <c r="H10788" s="94" t="n">
        <v>200801</v>
      </c>
      <c r="I10788" s="94" t="n">
        <v>200801</v>
      </c>
      <c r="K10788" s="94" t="n">
        <v>26</v>
      </c>
      <c r="L10788" s="94" t="n">
        <v>200801</v>
      </c>
      <c r="M10788" s="94">
        <f>VLOOKUP($Q10788,매칭테이블!$F:$I,2,0)*K10788</f>
        <v/>
      </c>
      <c r="N10788" s="94">
        <f>M10788-M10788*VLOOKUP($Q10788,매칭테이블!$F:$I,3,0)</f>
        <v/>
      </c>
      <c r="O10788" s="94">
        <f>VLOOKUP($Q10788,매칭테이블!$F:$I,4,0)*K10788</f>
        <v/>
      </c>
      <c r="P10788" s="148">
        <f>M10788/1.1</f>
        <v/>
      </c>
      <c r="Q10788" s="94">
        <f>F10788&amp;E10788&amp;G10788&amp;L10788</f>
        <v/>
      </c>
    </row>
    <row r="10789" customFormat="1" s="94">
      <c r="B10789" s="128" t="n">
        <v>44143</v>
      </c>
      <c r="C10789" s="94">
        <f>TEXT(B10789,"aaa")</f>
        <v/>
      </c>
      <c r="E10789" s="94" t="inlineStr">
        <is>
          <t>수딩크림</t>
        </is>
      </c>
      <c r="F10789" s="5" t="inlineStr">
        <is>
          <t>랄라블라</t>
        </is>
      </c>
      <c r="G10789" s="94" t="inlineStr">
        <is>
          <t>수딩크림 100ml</t>
        </is>
      </c>
      <c r="H10789" s="94" t="n">
        <v>200801</v>
      </c>
      <c r="I10789" s="94" t="n">
        <v>200801</v>
      </c>
      <c r="K10789" s="94" t="n">
        <v>43</v>
      </c>
      <c r="L10789" s="94" t="n">
        <v>200801</v>
      </c>
      <c r="M10789" s="94">
        <f>VLOOKUP($Q10789,매칭테이블!$F:$I,2,0)*K10789</f>
        <v/>
      </c>
      <c r="N10789" s="94">
        <f>M10789-M10789*VLOOKUP($Q10789,매칭테이블!$F:$I,3,0)</f>
        <v/>
      </c>
      <c r="O10789" s="94">
        <f>VLOOKUP($Q10789,매칭테이블!$F:$I,4,0)*K10789</f>
        <v/>
      </c>
      <c r="P10789" s="148">
        <f>M10789/1.1</f>
        <v/>
      </c>
      <c r="Q10789" s="94">
        <f>F10789&amp;E10789&amp;G10789&amp;L10789</f>
        <v/>
      </c>
    </row>
    <row r="10790" customFormat="1" s="94">
      <c r="B10790" s="128" t="n">
        <v>44143</v>
      </c>
      <c r="C10790" s="94">
        <f>TEXT(B10790,"aaa")</f>
        <v/>
      </c>
      <c r="E10790" s="94" t="inlineStr">
        <is>
          <t>앰플 기획세트</t>
        </is>
      </c>
      <c r="F10790" s="5" t="inlineStr">
        <is>
          <t>랄라블라</t>
        </is>
      </c>
      <c r="G10790" s="94" t="inlineStr">
        <is>
          <t>앰플 기획세트</t>
        </is>
      </c>
      <c r="H10790" s="94" t="n">
        <v>200801</v>
      </c>
      <c r="I10790" s="94" t="n">
        <v>200801</v>
      </c>
      <c r="K10790" s="94" t="n">
        <v>81</v>
      </c>
      <c r="L10790" s="94" t="n">
        <v>200801</v>
      </c>
      <c r="M10790" s="94">
        <f>VLOOKUP($Q10790,매칭테이블!$F:$I,2,0)*K10790</f>
        <v/>
      </c>
      <c r="N10790" s="94">
        <f>M10790-M10790*VLOOKUP($Q10790,매칭테이블!$F:$I,3,0)</f>
        <v/>
      </c>
      <c r="O10790" s="94">
        <f>VLOOKUP($Q10790,매칭테이블!$F:$I,4,0)*K10790</f>
        <v/>
      </c>
      <c r="P10790" s="148">
        <f>M10790/1.1</f>
        <v/>
      </c>
      <c r="Q10790" s="94">
        <f>F10790&amp;E10790&amp;G10790&amp;L10790</f>
        <v/>
      </c>
    </row>
    <row r="10791" customFormat="1" s="94">
      <c r="B10791" s="128" t="n">
        <v>44143</v>
      </c>
      <c r="C10791" s="94">
        <f>TEXT(B10791,"aaa")</f>
        <v/>
      </c>
      <c r="E10791" s="94" t="inlineStr">
        <is>
          <t>클렌징폼 기획세트</t>
        </is>
      </c>
      <c r="F10791" s="5" t="inlineStr">
        <is>
          <t>랄라블라</t>
        </is>
      </c>
      <c r="G10791" s="94" t="inlineStr">
        <is>
          <t>클렌징폼 기획세트</t>
        </is>
      </c>
      <c r="H10791" s="94" t="n">
        <v>200801</v>
      </c>
      <c r="I10791" s="94" t="n">
        <v>200801</v>
      </c>
      <c r="K10791" s="94" t="n">
        <v>4</v>
      </c>
      <c r="L10791" s="94" t="n">
        <v>200801</v>
      </c>
      <c r="M10791" s="94">
        <f>VLOOKUP($Q10791,매칭테이블!$F:$I,2,0)*K10791</f>
        <v/>
      </c>
      <c r="N10791" s="94">
        <f>M10791-M10791*VLOOKUP($Q10791,매칭테이블!$F:$I,3,0)</f>
        <v/>
      </c>
      <c r="O10791" s="94">
        <f>VLOOKUP($Q10791,매칭테이블!$F:$I,4,0)*K10791</f>
        <v/>
      </c>
      <c r="P10791" s="148">
        <f>M10791/1.1</f>
        <v/>
      </c>
      <c r="Q10791" s="94">
        <f>F10791&amp;E10791&amp;G10791&amp;L10791</f>
        <v/>
      </c>
    </row>
    <row r="10792" customFormat="1" s="94">
      <c r="B10792" s="128" t="n">
        <v>44143</v>
      </c>
      <c r="C10792" s="94">
        <f>TEXT(B10792,"aaa")</f>
        <v/>
      </c>
      <c r="E10792" s="94" t="inlineStr">
        <is>
          <t>크림마스크</t>
        </is>
      </c>
      <c r="F10792" s="5" t="inlineStr">
        <is>
          <t>랄라블라</t>
        </is>
      </c>
      <c r="G10792" s="94" t="inlineStr">
        <is>
          <t>아누아 어성초 크림 마스크</t>
        </is>
      </c>
      <c r="H10792" s="94" t="n">
        <v>200801</v>
      </c>
      <c r="I10792" s="94" t="n">
        <v>200801</v>
      </c>
      <c r="K10792" s="94" t="n">
        <v>312</v>
      </c>
      <c r="L10792" s="94" t="n">
        <v>200801</v>
      </c>
      <c r="M10792" s="94">
        <f>VLOOKUP($Q10792,매칭테이블!$F:$I,2,0)*K10792</f>
        <v/>
      </c>
      <c r="N10792" s="94">
        <f>M10792-M10792*VLOOKUP($Q10792,매칭테이블!$F:$I,3,0)</f>
        <v/>
      </c>
      <c r="O10792" s="94">
        <f>VLOOKUP($Q10792,매칭테이블!$F:$I,4,0)*K10792</f>
        <v/>
      </c>
      <c r="P10792" s="148">
        <f>M10792/1.1</f>
        <v/>
      </c>
      <c r="Q10792" s="94">
        <f>F10792&amp;E10792&amp;G10792&amp;L10792</f>
        <v/>
      </c>
    </row>
    <row r="10793" customFormat="1" s="94">
      <c r="B10793" s="128" t="n">
        <v>44143</v>
      </c>
      <c r="C10793" s="94">
        <f>TEXT(B10793,"aaa")</f>
        <v/>
      </c>
      <c r="E10793" s="94" t="inlineStr">
        <is>
          <t>클렌징폼</t>
        </is>
      </c>
      <c r="F10793" s="5" t="inlineStr">
        <is>
          <t>랄라블라</t>
        </is>
      </c>
      <c r="G10793" s="94" t="inlineStr">
        <is>
          <t>클렌징폼 120ml</t>
        </is>
      </c>
      <c r="H10793" s="94" t="n">
        <v>200801</v>
      </c>
      <c r="I10793" s="94" t="n">
        <v>200801</v>
      </c>
      <c r="K10793" s="94" t="n">
        <v>59</v>
      </c>
      <c r="L10793" s="94" t="n">
        <v>200801</v>
      </c>
      <c r="M10793" s="94">
        <f>VLOOKUP($Q10793,매칭테이블!$F:$I,2,0)*K10793</f>
        <v/>
      </c>
      <c r="N10793" s="94">
        <f>M10793-M10793*VLOOKUP($Q10793,매칭테이블!$F:$I,3,0)</f>
        <v/>
      </c>
      <c r="O10793" s="94">
        <f>VLOOKUP($Q10793,매칭테이블!$F:$I,4,0)*K10793</f>
        <v/>
      </c>
      <c r="P10793" s="148">
        <f>M10793/1.1</f>
        <v/>
      </c>
      <c r="Q10793" s="94">
        <f>F10793&amp;E10793&amp;G10793&amp;L10793</f>
        <v/>
      </c>
    </row>
    <row r="10794" customFormat="1" s="94">
      <c r="B10794" s="128" t="n">
        <v>44143</v>
      </c>
      <c r="C10794" s="94">
        <f>TEXT(B10794,"aaa")</f>
        <v/>
      </c>
      <c r="E10794" s="94" t="inlineStr">
        <is>
          <t>선크림</t>
        </is>
      </c>
      <c r="F10794" s="5" t="inlineStr">
        <is>
          <t>랄라블라</t>
        </is>
      </c>
      <c r="G10794" s="94" t="inlineStr">
        <is>
          <t>선크림 50ml</t>
        </is>
      </c>
      <c r="H10794" s="94" t="n">
        <v>200801</v>
      </c>
      <c r="I10794" s="94" t="n">
        <v>200801</v>
      </c>
      <c r="K10794" s="94" t="n">
        <v>22</v>
      </c>
      <c r="L10794" s="94" t="n">
        <v>200801</v>
      </c>
      <c r="M10794" s="94">
        <f>VLOOKUP($Q10794,매칭테이블!$F:$I,2,0)*K10794</f>
        <v/>
      </c>
      <c r="N10794" s="94">
        <f>M10794-M10794*VLOOKUP($Q10794,매칭테이블!$F:$I,3,0)</f>
        <v/>
      </c>
      <c r="O10794" s="94">
        <f>VLOOKUP($Q10794,매칭테이블!$F:$I,4,0)*K10794</f>
        <v/>
      </c>
      <c r="P10794" s="148">
        <f>M10794/1.1</f>
        <v/>
      </c>
      <c r="Q10794" s="94">
        <f>F10794&amp;E10794&amp;G10794&amp;L10794</f>
        <v/>
      </c>
    </row>
    <row r="10795" customFormat="1" s="94">
      <c r="B10795" s="128" t="n">
        <v>44143</v>
      </c>
      <c r="C10795" s="94">
        <f>TEXT(B10795,"aaa")</f>
        <v/>
      </c>
      <c r="E10795" s="94" t="inlineStr">
        <is>
          <t>마스크팩</t>
        </is>
      </c>
      <c r="F10795" s="5" t="inlineStr">
        <is>
          <t>랄라블라</t>
        </is>
      </c>
      <c r="G10795" s="94" t="inlineStr">
        <is>
          <t>마스크 5+1 기획세트</t>
        </is>
      </c>
      <c r="H10795" s="94" t="n">
        <v>200801</v>
      </c>
      <c r="I10795" s="94" t="n">
        <v>200801</v>
      </c>
      <c r="K10795" s="94" t="n">
        <v>449</v>
      </c>
      <c r="L10795" s="94" t="n">
        <v>200801</v>
      </c>
      <c r="M10795" s="94">
        <f>VLOOKUP($Q10795,매칭테이블!$F:$I,2,0)*K10795</f>
        <v/>
      </c>
      <c r="N10795" s="94">
        <f>M10795-M10795*VLOOKUP($Q10795,매칭테이블!$F:$I,3,0)</f>
        <v/>
      </c>
      <c r="O10795" s="94">
        <f>VLOOKUP($Q10795,매칭테이블!$F:$I,4,0)*K10795</f>
        <v/>
      </c>
      <c r="P10795" s="148">
        <f>M10795/1.1</f>
        <v/>
      </c>
      <c r="Q10795" s="94">
        <f>F10795&amp;E10795&amp;G10795&amp;L10795</f>
        <v/>
      </c>
    </row>
    <row r="10796" customFormat="1" s="94">
      <c r="B10796" s="128" t="n">
        <v>44143</v>
      </c>
      <c r="C10796" s="94">
        <f>TEXT(B10796,"aaa")</f>
        <v/>
      </c>
      <c r="E10796" s="94" t="inlineStr">
        <is>
          <t>바디워시</t>
        </is>
      </c>
      <c r="F10796" s="5" t="inlineStr">
        <is>
          <t>랄라블라</t>
        </is>
      </c>
      <c r="G10796" s="94" t="inlineStr">
        <is>
          <t>아누아 어성초 아크네 바디워시 500ml</t>
        </is>
      </c>
      <c r="H10796" s="94" t="n">
        <v>200801</v>
      </c>
      <c r="I10796" s="94" t="n">
        <v>200801</v>
      </c>
      <c r="K10796" s="94" t="n">
        <v>11</v>
      </c>
      <c r="L10796" s="94" t="n">
        <v>200801</v>
      </c>
      <c r="M10796" s="94">
        <f>VLOOKUP($Q10796,매칭테이블!$F:$I,2,0)*K10796</f>
        <v/>
      </c>
      <c r="N10796" s="94">
        <f>M10796-M10796*VLOOKUP($Q10796,매칭테이블!$F:$I,3,0)</f>
        <v/>
      </c>
      <c r="O10796" s="94">
        <f>VLOOKUP($Q10796,매칭테이블!$F:$I,4,0)*K10796</f>
        <v/>
      </c>
      <c r="P10796" s="148">
        <f>M10796/1.1</f>
        <v/>
      </c>
      <c r="Q10796" s="94">
        <f>F10796&amp;E10796&amp;G10796&amp;L10796</f>
        <v/>
      </c>
    </row>
    <row r="10797" customFormat="1" s="94">
      <c r="B10797" s="128" t="n">
        <v>44143</v>
      </c>
      <c r="C10797" s="94">
        <f>TEXT(B10797,"aaa")</f>
        <v/>
      </c>
      <c r="E10797" s="94" t="inlineStr">
        <is>
          <t>클리어 패드</t>
        </is>
      </c>
      <c r="F10797" s="5" t="inlineStr">
        <is>
          <t>랄라블라</t>
        </is>
      </c>
      <c r="G10797" s="94" t="inlineStr">
        <is>
          <t>아누아 어성초77 클리어 패드</t>
        </is>
      </c>
      <c r="H10797" s="94" t="n">
        <v>200801</v>
      </c>
      <c r="I10797" s="94" t="n">
        <v>200801</v>
      </c>
      <c r="K10797" s="94" t="n">
        <v>66</v>
      </c>
      <c r="L10797" s="94" t="n">
        <v>200801</v>
      </c>
      <c r="M10797" s="94">
        <f>VLOOKUP($Q10797,매칭테이블!$F:$I,2,0)*K10797</f>
        <v/>
      </c>
      <c r="N10797" s="94">
        <f>M10797-M10797*VLOOKUP($Q10797,매칭테이블!$F:$I,3,0)</f>
        <v/>
      </c>
      <c r="O10797" s="94">
        <f>VLOOKUP($Q10797,매칭테이블!$F:$I,4,0)*K10797</f>
        <v/>
      </c>
      <c r="P10797" s="148">
        <f>M10797/1.1</f>
        <v/>
      </c>
      <c r="Q10797" s="94">
        <f>F10797&amp;E10797&amp;G10797&amp;L10797</f>
        <v/>
      </c>
    </row>
    <row r="10798" customFormat="1" s="94">
      <c r="B10798" s="128" t="n">
        <v>44143</v>
      </c>
      <c r="C10798" s="94">
        <f>TEXT(B10798,"aaa")</f>
        <v/>
      </c>
      <c r="E10798" s="94" t="inlineStr">
        <is>
          <t>로션</t>
        </is>
      </c>
      <c r="F10798" s="5" t="inlineStr">
        <is>
          <t>랄라블라</t>
        </is>
      </c>
      <c r="G10798" s="94" t="inlineStr">
        <is>
          <t>아누아 어성초70 로션 200ml</t>
        </is>
      </c>
      <c r="H10798" s="94" t="n">
        <v>200801</v>
      </c>
      <c r="I10798" s="94" t="n">
        <v>200801</v>
      </c>
      <c r="K10798" s="94" t="n">
        <v>83</v>
      </c>
      <c r="L10798" s="94" t="n">
        <v>200801</v>
      </c>
      <c r="M10798" s="94">
        <f>VLOOKUP($Q10798,매칭테이블!$F:$I,2,0)*K10798</f>
        <v/>
      </c>
      <c r="N10798" s="94">
        <f>M10798-M10798*VLOOKUP($Q10798,매칭테이블!$F:$I,3,0)</f>
        <v/>
      </c>
      <c r="O10798" s="94">
        <f>VLOOKUP($Q10798,매칭테이블!$F:$I,4,0)*K10798</f>
        <v/>
      </c>
      <c r="P10798" s="148">
        <f>M10798/1.1</f>
        <v/>
      </c>
      <c r="Q10798" s="94">
        <f>F10798&amp;E10798&amp;G10798&amp;L10798</f>
        <v/>
      </c>
    </row>
    <row r="10799" customFormat="1" s="94">
      <c r="B10799" s="128" t="n">
        <v>44143</v>
      </c>
      <c r="C10799" s="94">
        <f>TEXT(B10799,"aaa")</f>
        <v/>
      </c>
      <c r="E10799" s="94" t="inlineStr">
        <is>
          <t>앰플</t>
        </is>
      </c>
      <c r="F10799" s="5" t="inlineStr">
        <is>
          <t>랄라블라</t>
        </is>
      </c>
      <c r="G10799" s="94" t="inlineStr">
        <is>
          <t>앰플 30ml</t>
        </is>
      </c>
      <c r="H10799" s="94" t="n">
        <v>200801</v>
      </c>
      <c r="I10799" s="94" t="n">
        <v>200801</v>
      </c>
      <c r="K10799" s="94" t="n">
        <v>32</v>
      </c>
      <c r="L10799" s="94" t="n">
        <v>200801</v>
      </c>
      <c r="M10799" s="94">
        <f>VLOOKUP($Q10799,매칭테이블!$F:$I,2,0)*K10799</f>
        <v/>
      </c>
      <c r="N10799" s="94">
        <f>M10799-M10799*VLOOKUP($Q10799,매칭테이블!$F:$I,3,0)</f>
        <v/>
      </c>
      <c r="O10799" s="94">
        <f>VLOOKUP($Q10799,매칭테이블!$F:$I,4,0)*K10799</f>
        <v/>
      </c>
      <c r="P10799" s="148">
        <f>M10799/1.1</f>
        <v/>
      </c>
      <c r="Q10799" s="94">
        <f>F10799&amp;E10799&amp;G10799&amp;L10799</f>
        <v/>
      </c>
    </row>
    <row r="10800" customFormat="1" s="94">
      <c r="B10800" s="128" t="n">
        <v>44144</v>
      </c>
      <c r="C10800" s="94">
        <f>TEXT(B10800,"aaa")</f>
        <v/>
      </c>
      <c r="E10800" s="94" t="inlineStr">
        <is>
          <t>토너</t>
        </is>
      </c>
      <c r="F10800" s="5" t="inlineStr">
        <is>
          <t>W컨셉</t>
        </is>
      </c>
      <c r="G10800" s="94" t="inlineStr">
        <is>
          <t>250ml</t>
        </is>
      </c>
      <c r="H10800" s="94" t="n">
        <v>200801</v>
      </c>
      <c r="I10800" s="94" t="n">
        <v>200801</v>
      </c>
      <c r="K10800" s="94" t="n">
        <v>4</v>
      </c>
      <c r="L10800" s="94" t="n">
        <v>200801</v>
      </c>
      <c r="M10800" s="94">
        <f>VLOOKUP($Q10800,매칭테이블!$F:$I,2,0)*K10800</f>
        <v/>
      </c>
      <c r="N10800" s="94">
        <f>M10800-M10800*VLOOKUP($Q10800,매칭테이블!$F:$I,3,0)</f>
        <v/>
      </c>
      <c r="O10800" s="94">
        <f>VLOOKUP($Q10800,매칭테이블!$F:$I,4,0)*K10800</f>
        <v/>
      </c>
      <c r="P10800" s="148">
        <f>M10800/1.1</f>
        <v/>
      </c>
      <c r="Q10800" s="94">
        <f>F10800&amp;E10800&amp;G10800&amp;L10800</f>
        <v/>
      </c>
    </row>
    <row r="10801" customFormat="1" s="94">
      <c r="B10801" s="128" t="n">
        <v>44144</v>
      </c>
      <c r="C10801" s="94">
        <f>TEXT(B10801,"aaa")</f>
        <v/>
      </c>
      <c r="E10801" s="94" t="inlineStr">
        <is>
          <t>토너</t>
        </is>
      </c>
      <c r="F10801" s="5" t="inlineStr">
        <is>
          <t>W컨셉</t>
        </is>
      </c>
      <c r="G10801" s="94" t="inlineStr">
        <is>
          <t>250ml 2set</t>
        </is>
      </c>
      <c r="H10801" s="94" t="n">
        <v>200801</v>
      </c>
      <c r="I10801" s="94" t="n">
        <v>200801</v>
      </c>
      <c r="K10801" s="94" t="n">
        <v>15</v>
      </c>
      <c r="L10801" s="94" t="n">
        <v>200801</v>
      </c>
      <c r="M10801" s="94">
        <f>VLOOKUP($Q10801,매칭테이블!$F:$I,2,0)*K10801</f>
        <v/>
      </c>
      <c r="N10801" s="94">
        <f>M10801-M10801*VLOOKUP($Q10801,매칭테이블!$F:$I,3,0)</f>
        <v/>
      </c>
      <c r="O10801" s="94">
        <f>VLOOKUP($Q10801,매칭테이블!$F:$I,4,0)*K10801</f>
        <v/>
      </c>
      <c r="P10801" s="148">
        <f>M10801/1.1</f>
        <v/>
      </c>
      <c r="Q10801" s="94">
        <f>F10801&amp;E10801&amp;G10801&amp;L10801</f>
        <v/>
      </c>
    </row>
    <row r="10802" customFormat="1" s="94">
      <c r="B10802" s="128" t="n">
        <v>44144</v>
      </c>
      <c r="C10802" s="94">
        <f>TEXT(B10802,"aaa")</f>
        <v/>
      </c>
      <c r="E10802" s="94" t="inlineStr">
        <is>
          <t>토너</t>
        </is>
      </c>
      <c r="F10802" s="5" t="inlineStr">
        <is>
          <t>스타일쉐어</t>
        </is>
      </c>
      <c r="G10802" s="94" t="inlineStr">
        <is>
          <t>250ml</t>
        </is>
      </c>
      <c r="H10802" s="94" t="n">
        <v>200801</v>
      </c>
      <c r="I10802" s="94" t="n">
        <v>200801</v>
      </c>
      <c r="K10802" s="94" t="n">
        <v>6</v>
      </c>
      <c r="L10802" s="94" t="n">
        <v>200801</v>
      </c>
      <c r="M10802" s="94">
        <f>VLOOKUP($Q10802,매칭테이블!$F:$I,2,0)*K10802</f>
        <v/>
      </c>
      <c r="N10802" s="94">
        <f>M10802-M10802*VLOOKUP($Q10802,매칭테이블!$F:$I,3,0)</f>
        <v/>
      </c>
      <c r="O10802" s="94">
        <f>VLOOKUP($Q10802,매칭테이블!$F:$I,4,0)*K10802</f>
        <v/>
      </c>
      <c r="P10802" s="148">
        <f>M10802/1.1</f>
        <v/>
      </c>
      <c r="Q10802" s="94">
        <f>F10802&amp;E10802&amp;G10802&amp;L10802</f>
        <v/>
      </c>
    </row>
    <row r="10803" customFormat="1" s="94">
      <c r="B10803" s="128" t="n">
        <v>44144</v>
      </c>
      <c r="C10803" s="94">
        <f>TEXT(B10803,"aaa")</f>
        <v/>
      </c>
      <c r="E10803" s="94" t="inlineStr">
        <is>
          <t>선크림</t>
        </is>
      </c>
      <c r="F10803" s="5" t="inlineStr">
        <is>
          <t>카페24</t>
        </is>
      </c>
      <c r="G10803" s="94" t="inlineStr">
        <is>
          <t>선크림 50ml</t>
        </is>
      </c>
      <c r="H10803" s="94" t="n">
        <v>200801</v>
      </c>
      <c r="I10803" s="94" t="n">
        <v>200801</v>
      </c>
      <c r="K10803" s="94" t="n">
        <v>3</v>
      </c>
      <c r="L10803" s="94" t="n">
        <v>200801</v>
      </c>
      <c r="M10803" s="94">
        <f>VLOOKUP($Q10803,매칭테이블!$F:$I,2,0)*K10803</f>
        <v/>
      </c>
      <c r="N10803" s="94">
        <f>M10803-M10803*VLOOKUP($Q10803,매칭테이블!$F:$I,3,0)</f>
        <v/>
      </c>
      <c r="O10803" s="94">
        <f>VLOOKUP($Q10803,매칭테이블!$F:$I,4,0)*K10803</f>
        <v/>
      </c>
      <c r="P10803" s="148">
        <f>M10803/1.1</f>
        <v/>
      </c>
      <c r="Q10803" s="94">
        <f>F10803&amp;E10803&amp;G10803&amp;L10803</f>
        <v/>
      </c>
    </row>
    <row r="10804" customFormat="1" s="94">
      <c r="B10804" s="128" t="n">
        <v>44144</v>
      </c>
      <c r="C10804" s="94">
        <f>TEXT(B10804,"aaa")</f>
        <v/>
      </c>
      <c r="E10804" s="94" t="inlineStr">
        <is>
          <t>선크림</t>
        </is>
      </c>
      <c r="F10804" s="5" t="inlineStr">
        <is>
          <t>카페24</t>
        </is>
      </c>
      <c r="G10804" s="94" t="inlineStr">
        <is>
          <t>선크림 50ml  2set</t>
        </is>
      </c>
      <c r="H10804" s="94" t="n">
        <v>200801</v>
      </c>
      <c r="I10804" s="94" t="n">
        <v>200801</v>
      </c>
      <c r="K10804" s="94" t="n">
        <v>1</v>
      </c>
      <c r="L10804" s="94" t="n">
        <v>200801</v>
      </c>
      <c r="M10804" s="94">
        <f>VLOOKUP($Q10804,매칭테이블!$F:$I,2,0)*K10804</f>
        <v/>
      </c>
      <c r="N10804" s="94">
        <f>M10804-M10804*VLOOKUP($Q10804,매칭테이블!$F:$I,3,0)</f>
        <v/>
      </c>
      <c r="O10804" s="94">
        <f>VLOOKUP($Q10804,매칭테이블!$F:$I,4,0)*K10804</f>
        <v/>
      </c>
      <c r="P10804" s="148">
        <f>M10804/1.1</f>
        <v/>
      </c>
      <c r="Q10804" s="94">
        <f>F10804&amp;E10804&amp;G10804&amp;L10804</f>
        <v/>
      </c>
    </row>
    <row r="10805" customFormat="1" s="94">
      <c r="B10805" s="128" t="n">
        <v>44144</v>
      </c>
      <c r="C10805" s="94">
        <f>TEXT(B10805,"aaa")</f>
        <v/>
      </c>
      <c r="E10805" s="94" t="inlineStr">
        <is>
          <t>어성초진정패키지</t>
        </is>
      </c>
      <c r="F10805" s="5" t="inlineStr">
        <is>
          <t>카페24</t>
        </is>
      </c>
      <c r="G10805" s="94" t="inlineStr">
        <is>
          <t>어성초 진정패키지세트</t>
        </is>
      </c>
      <c r="H10805" s="94" t="n">
        <v>200801</v>
      </c>
      <c r="I10805" s="94" t="n">
        <v>200801</v>
      </c>
      <c r="K10805" s="94" t="n">
        <v>1</v>
      </c>
      <c r="L10805" s="94" t="n">
        <v>200801</v>
      </c>
      <c r="M10805" s="94">
        <f>VLOOKUP($Q10805,매칭테이블!$F:$I,2,0)*K10805</f>
        <v/>
      </c>
      <c r="N10805" s="94">
        <f>M10805-M10805*VLOOKUP($Q10805,매칭테이블!$F:$I,3,0)</f>
        <v/>
      </c>
      <c r="O10805" s="94">
        <f>VLOOKUP($Q10805,매칭테이블!$F:$I,4,0)*K10805</f>
        <v/>
      </c>
      <c r="P10805" s="148">
        <f>M10805/1.1</f>
        <v/>
      </c>
      <c r="Q10805" s="94">
        <f>F10805&amp;E10805&amp;G10805&amp;L10805</f>
        <v/>
      </c>
    </row>
    <row r="10806" customFormat="1" s="94">
      <c r="B10806" s="128" t="n">
        <v>44144</v>
      </c>
      <c r="C10806" s="94">
        <f>TEXT(B10806,"aaa")</f>
        <v/>
      </c>
      <c r="E10806" s="94" t="inlineStr">
        <is>
          <t>클리어 패드</t>
        </is>
      </c>
      <c r="F10806" s="5" t="inlineStr">
        <is>
          <t>카페24</t>
        </is>
      </c>
      <c r="G10806" s="94" t="inlineStr">
        <is>
          <t>어성초 77 클리어 패드 1개-20% off</t>
        </is>
      </c>
      <c r="H10806" s="94" t="n">
        <v>200801</v>
      </c>
      <c r="I10806" s="94" t="n">
        <v>200801</v>
      </c>
      <c r="K10806" s="94" t="n">
        <v>17</v>
      </c>
      <c r="L10806" s="94" t="n">
        <v>200801</v>
      </c>
      <c r="M10806" s="94">
        <f>VLOOKUP($Q10806,매칭테이블!$F:$I,2,0)*K10806</f>
        <v/>
      </c>
      <c r="N10806" s="94">
        <f>M10806-M10806*VLOOKUP($Q10806,매칭테이블!$F:$I,3,0)</f>
        <v/>
      </c>
      <c r="O10806" s="94">
        <f>VLOOKUP($Q10806,매칭테이블!$F:$I,4,0)*K10806</f>
        <v/>
      </c>
      <c r="P10806" s="148">
        <f>M10806/1.1</f>
        <v/>
      </c>
      <c r="Q10806" s="94">
        <f>F10806&amp;E10806&amp;G10806&amp;L10806</f>
        <v/>
      </c>
    </row>
    <row r="10807" customFormat="1" s="94">
      <c r="B10807" s="128" t="n">
        <v>44144</v>
      </c>
      <c r="C10807" s="94">
        <f>TEXT(B10807,"aaa")</f>
        <v/>
      </c>
      <c r="E10807" s="94" t="inlineStr">
        <is>
          <t>클리어 패드</t>
        </is>
      </c>
      <c r="F10807" s="5" t="inlineStr">
        <is>
          <t>카페24</t>
        </is>
      </c>
      <c r="G10807" s="94" t="inlineStr">
        <is>
          <t>어성초 77 클리어 패드 2개-30% off</t>
        </is>
      </c>
      <c r="H10807" s="94" t="n">
        <v>200801</v>
      </c>
      <c r="I10807" s="94" t="n">
        <v>200801</v>
      </c>
      <c r="K10807" s="94" t="n">
        <v>48</v>
      </c>
      <c r="L10807" s="94" t="n">
        <v>200801</v>
      </c>
      <c r="M10807" s="94">
        <f>VLOOKUP($Q10807,매칭테이블!$F:$I,2,0)*K10807</f>
        <v/>
      </c>
      <c r="N10807" s="94">
        <f>M10807-M10807*VLOOKUP($Q10807,매칭테이블!$F:$I,3,0)</f>
        <v/>
      </c>
      <c r="O10807" s="94">
        <f>VLOOKUP($Q10807,매칭테이블!$F:$I,4,0)*K10807</f>
        <v/>
      </c>
      <c r="P10807" s="148">
        <f>M10807/1.1</f>
        <v/>
      </c>
      <c r="Q10807" s="94">
        <f>F10807&amp;E10807&amp;G10807&amp;L10807</f>
        <v/>
      </c>
    </row>
    <row r="10808" customFormat="1" s="94">
      <c r="B10808" s="128" t="n">
        <v>44144</v>
      </c>
      <c r="C10808" s="94">
        <f>TEXT(B10808,"aaa")</f>
        <v/>
      </c>
      <c r="E10808" s="94" t="inlineStr">
        <is>
          <t>토너+패드 세트</t>
        </is>
      </c>
      <c r="F10808" s="5" t="inlineStr">
        <is>
          <t>카페24</t>
        </is>
      </c>
      <c r="G10808" s="94" t="inlineStr">
        <is>
          <t>좁쌀 진정 세트 토너+클리어 패드-30% off</t>
        </is>
      </c>
      <c r="H10808" s="94" t="n">
        <v>200801</v>
      </c>
      <c r="I10808" s="94" t="n">
        <v>200801</v>
      </c>
      <c r="K10808" s="94" t="n">
        <v>27</v>
      </c>
      <c r="L10808" s="94" t="n">
        <v>200801</v>
      </c>
      <c r="M10808" s="94">
        <f>VLOOKUP($Q10808,매칭테이블!$F:$I,2,0)*K10808</f>
        <v/>
      </c>
      <c r="N10808" s="94">
        <f>M10808-M10808*VLOOKUP($Q10808,매칭테이블!$F:$I,3,0)</f>
        <v/>
      </c>
      <c r="O10808" s="94">
        <f>VLOOKUP($Q10808,매칭테이블!$F:$I,4,0)*K10808</f>
        <v/>
      </c>
      <c r="P10808" s="148">
        <f>M10808/1.1</f>
        <v/>
      </c>
      <c r="Q10808" s="94">
        <f>F10808&amp;E10808&amp;G10808&amp;L10808</f>
        <v/>
      </c>
    </row>
    <row r="10809" customFormat="1" s="94">
      <c r="B10809" s="128" t="n">
        <v>44144</v>
      </c>
      <c r="C10809" s="94">
        <f>TEXT(B10809,"aaa")</f>
        <v/>
      </c>
      <c r="E10809" s="94" t="inlineStr">
        <is>
          <t>수분 보충 세트</t>
        </is>
      </c>
      <c r="F10809" s="5" t="inlineStr">
        <is>
          <t>카페24</t>
        </is>
      </c>
      <c r="G10809" s="94" t="inlineStr">
        <is>
          <t>[20/09/28 부터] 어성초 77 토너 250ml + 어성초 70 로션 200ml -30%</t>
        </is>
      </c>
      <c r="H10809" s="94" t="n">
        <v>200801</v>
      </c>
      <c r="I10809" s="94" t="n">
        <v>200801</v>
      </c>
      <c r="K10809" s="94" t="n">
        <v>23</v>
      </c>
      <c r="L10809" s="94" t="n">
        <v>200801</v>
      </c>
      <c r="M10809" s="94">
        <f>VLOOKUP($Q10809,매칭테이블!$F:$I,2,0)*K10809</f>
        <v/>
      </c>
      <c r="N10809" s="94">
        <f>M10809-M10809*VLOOKUP($Q10809,매칭테이블!$F:$I,3,0)</f>
        <v/>
      </c>
      <c r="O10809" s="94">
        <f>VLOOKUP($Q10809,매칭테이블!$F:$I,4,0)*K10809</f>
        <v/>
      </c>
      <c r="P10809" s="148">
        <f>M10809/1.1</f>
        <v/>
      </c>
      <c r="Q10809" s="94">
        <f>F10809&amp;E10809&amp;G10809&amp;L10809</f>
        <v/>
      </c>
    </row>
    <row r="10810" customFormat="1" s="94">
      <c r="B10810" s="128" t="n">
        <v>44144</v>
      </c>
      <c r="C10810" s="94">
        <f>TEXT(B10810,"aaa")</f>
        <v/>
      </c>
      <c r="E10810" s="94" t="inlineStr">
        <is>
          <t>로션</t>
        </is>
      </c>
      <c r="F10810" s="5" t="inlineStr">
        <is>
          <t>카페24</t>
        </is>
      </c>
      <c r="G10810" s="94" t="inlineStr">
        <is>
          <t>어성초 70 데일리 릴리프 로션 1개 -20% off</t>
        </is>
      </c>
      <c r="H10810" s="94" t="n">
        <v>200801</v>
      </c>
      <c r="I10810" s="94" t="n">
        <v>200801</v>
      </c>
      <c r="K10810" s="94" t="n">
        <v>7</v>
      </c>
      <c r="L10810" s="94" t="n">
        <v>200801</v>
      </c>
      <c r="M10810" s="94">
        <f>VLOOKUP($Q10810,매칭테이블!$F:$I,2,0)*K10810</f>
        <v/>
      </c>
      <c r="N10810" s="94">
        <f>M10810-M10810*VLOOKUP($Q10810,매칭테이블!$F:$I,3,0)</f>
        <v/>
      </c>
      <c r="O10810" s="94">
        <f>VLOOKUP($Q10810,매칭테이블!$F:$I,4,0)*K10810</f>
        <v/>
      </c>
      <c r="P10810" s="148">
        <f>M10810/1.1</f>
        <v/>
      </c>
      <c r="Q10810" s="94">
        <f>F10810&amp;E10810&amp;G10810&amp;L10810</f>
        <v/>
      </c>
    </row>
    <row r="10811" customFormat="1" s="94">
      <c r="B10811" s="128" t="n">
        <v>44144</v>
      </c>
      <c r="C10811" s="94">
        <f>TEXT(B10811,"aaa")</f>
        <v/>
      </c>
      <c r="E10811" s="94" t="inlineStr">
        <is>
          <t>머드크림마스크</t>
        </is>
      </c>
      <c r="F10811" s="5" t="inlineStr">
        <is>
          <t>카페24</t>
        </is>
      </c>
      <c r="G10811" s="94" t="inlineStr">
        <is>
          <t>머드크림마스크 100ml</t>
        </is>
      </c>
      <c r="H10811" s="94" t="n">
        <v>200801</v>
      </c>
      <c r="I10811" s="94" t="n">
        <v>200801</v>
      </c>
      <c r="K10811" s="94" t="n">
        <v>1</v>
      </c>
      <c r="L10811" s="94" t="n">
        <v>200801</v>
      </c>
      <c r="M10811" s="94">
        <f>VLOOKUP($Q10811,매칭테이블!$F:$I,2,0)*K10811</f>
        <v/>
      </c>
      <c r="N10811" s="94">
        <f>M10811-M10811*VLOOKUP($Q10811,매칭테이블!$F:$I,3,0)</f>
        <v/>
      </c>
      <c r="O10811" s="94">
        <f>VLOOKUP($Q10811,매칭테이블!$F:$I,4,0)*K10811</f>
        <v/>
      </c>
      <c r="P10811" s="148">
        <f>M10811/1.1</f>
        <v/>
      </c>
      <c r="Q10811" s="94">
        <f>F10811&amp;E10811&amp;G10811&amp;L10811</f>
        <v/>
      </c>
    </row>
    <row r="10812" customFormat="1" s="94">
      <c r="B10812" s="128" t="n">
        <v>44144</v>
      </c>
      <c r="C10812" s="94">
        <f>TEXT(B10812,"aaa")</f>
        <v/>
      </c>
      <c r="E10812" s="94" t="inlineStr">
        <is>
          <t>머드크림마스크</t>
        </is>
      </c>
      <c r="F10812" s="5" t="inlineStr">
        <is>
          <t>카페24</t>
        </is>
      </c>
      <c r="G10812" s="94" t="inlineStr">
        <is>
          <t>머드크림마스크 100ml 2set</t>
        </is>
      </c>
      <c r="H10812" s="94" t="n">
        <v>200801</v>
      </c>
      <c r="I10812" s="94" t="n">
        <v>200801</v>
      </c>
      <c r="K10812" s="94" t="n">
        <v>1</v>
      </c>
      <c r="L10812" s="94" t="n">
        <v>200801</v>
      </c>
      <c r="M10812" s="94">
        <f>VLOOKUP($Q10812,매칭테이블!$F:$I,2,0)*K10812</f>
        <v/>
      </c>
      <c r="N10812" s="94">
        <f>M10812-M10812*VLOOKUP($Q10812,매칭테이블!$F:$I,3,0)</f>
        <v/>
      </c>
      <c r="O10812" s="94">
        <f>VLOOKUP($Q10812,매칭테이블!$F:$I,4,0)*K10812</f>
        <v/>
      </c>
      <c r="P10812" s="148">
        <f>M10812/1.1</f>
        <v/>
      </c>
      <c r="Q10812" s="94">
        <f>F10812&amp;E10812&amp;G10812&amp;L10812</f>
        <v/>
      </c>
    </row>
    <row r="10813" customFormat="1" s="94">
      <c r="B10813" s="128" t="n">
        <v>44144</v>
      </c>
      <c r="C10813" s="94">
        <f>TEXT(B10813,"aaa")</f>
        <v/>
      </c>
      <c r="E10813" s="94" t="inlineStr">
        <is>
          <t>토너</t>
        </is>
      </c>
      <c r="F10813" s="5" t="inlineStr">
        <is>
          <t>카페24</t>
        </is>
      </c>
      <c r="G10813" s="94" t="inlineStr">
        <is>
          <t>250ml</t>
        </is>
      </c>
      <c r="H10813" s="94" t="n">
        <v>200801</v>
      </c>
      <c r="I10813" s="94" t="n">
        <v>200801</v>
      </c>
      <c r="K10813" s="94" t="n">
        <v>35</v>
      </c>
      <c r="L10813" s="94" t="n">
        <v>200801</v>
      </c>
      <c r="M10813" s="94">
        <f>VLOOKUP($Q10813,매칭테이블!$F:$I,2,0)*K10813</f>
        <v/>
      </c>
      <c r="N10813" s="94">
        <f>M10813-M10813*VLOOKUP($Q10813,매칭테이블!$F:$I,3,0)</f>
        <v/>
      </c>
      <c r="O10813" s="94">
        <f>VLOOKUP($Q10813,매칭테이블!$F:$I,4,0)*K10813</f>
        <v/>
      </c>
      <c r="P10813" s="148">
        <f>M10813/1.1</f>
        <v/>
      </c>
      <c r="Q10813" s="94">
        <f>F10813&amp;E10813&amp;G10813&amp;L10813</f>
        <v/>
      </c>
    </row>
    <row r="10814" customFormat="1" s="94">
      <c r="B10814" s="128" t="n">
        <v>44144</v>
      </c>
      <c r="C10814" s="94">
        <f>TEXT(B10814,"aaa")</f>
        <v/>
      </c>
      <c r="E10814" s="94" t="inlineStr">
        <is>
          <t>토너</t>
        </is>
      </c>
      <c r="F10814" s="5" t="inlineStr">
        <is>
          <t>카페24</t>
        </is>
      </c>
      <c r="G10814" s="94" t="inlineStr">
        <is>
          <t>250ml 2set</t>
        </is>
      </c>
      <c r="H10814" s="94" t="n">
        <v>200801</v>
      </c>
      <c r="I10814" s="94" t="n">
        <v>200801</v>
      </c>
      <c r="K10814" s="94" t="n">
        <v>26</v>
      </c>
      <c r="L10814" s="94" t="n">
        <v>200801</v>
      </c>
      <c r="M10814" s="94">
        <f>VLOOKUP($Q10814,매칭테이블!$F:$I,2,0)*K10814</f>
        <v/>
      </c>
      <c r="N10814" s="94">
        <f>M10814-M10814*VLOOKUP($Q10814,매칭테이블!$F:$I,3,0)</f>
        <v/>
      </c>
      <c r="O10814" s="94">
        <f>VLOOKUP($Q10814,매칭테이블!$F:$I,4,0)*K10814</f>
        <v/>
      </c>
      <c r="P10814" s="148">
        <f>M10814/1.1</f>
        <v/>
      </c>
      <c r="Q10814" s="94">
        <f>F10814&amp;E10814&amp;G10814&amp;L10814</f>
        <v/>
      </c>
    </row>
    <row r="10815" customFormat="1" s="94">
      <c r="B10815" s="128" t="n">
        <v>44144</v>
      </c>
      <c r="C10815" s="94">
        <f>TEXT(B10815,"aaa")</f>
        <v/>
      </c>
      <c r="E10815" s="94" t="inlineStr">
        <is>
          <t>토너</t>
        </is>
      </c>
      <c r="F10815" s="5" t="inlineStr">
        <is>
          <t>카페24</t>
        </is>
      </c>
      <c r="G10815" s="94" t="inlineStr">
        <is>
          <t>500ml</t>
        </is>
      </c>
      <c r="H10815" s="94" t="n">
        <v>200801</v>
      </c>
      <c r="I10815" s="94" t="n">
        <v>200801</v>
      </c>
      <c r="K10815" s="94" t="n">
        <v>36</v>
      </c>
      <c r="L10815" s="94" t="n">
        <v>200801</v>
      </c>
      <c r="M10815" s="94">
        <f>VLOOKUP($Q10815,매칭테이블!$F:$I,2,0)*K10815</f>
        <v/>
      </c>
      <c r="N10815" s="94">
        <f>M10815-M10815*VLOOKUP($Q10815,매칭테이블!$F:$I,3,0)</f>
        <v/>
      </c>
      <c r="O10815" s="94">
        <f>VLOOKUP($Q10815,매칭테이블!$F:$I,4,0)*K10815</f>
        <v/>
      </c>
      <c r="P10815" s="148">
        <f>M10815/1.1</f>
        <v/>
      </c>
      <c r="Q10815" s="94">
        <f>F10815&amp;E10815&amp;G10815&amp;L10815</f>
        <v/>
      </c>
    </row>
    <row r="10816" customFormat="1" s="94">
      <c r="B10816" s="128" t="n">
        <v>44144</v>
      </c>
      <c r="C10816" s="94">
        <f>TEXT(B10816,"aaa")</f>
        <v/>
      </c>
      <c r="E10816" s="94" t="inlineStr">
        <is>
          <t>토너</t>
        </is>
      </c>
      <c r="F10816" s="5" t="inlineStr">
        <is>
          <t>카페24</t>
        </is>
      </c>
      <c r="G10816" s="94" t="inlineStr">
        <is>
          <t>스킨팩 화장솜 60P</t>
        </is>
      </c>
      <c r="H10816" s="94" t="n">
        <v>200801</v>
      </c>
      <c r="I10816" s="94" t="n">
        <v>200801</v>
      </c>
      <c r="K10816" s="94" t="n">
        <v>41</v>
      </c>
      <c r="L10816" s="94" t="n">
        <v>200801</v>
      </c>
      <c r="M10816" s="94">
        <f>VLOOKUP($Q10816,매칭테이블!$F:$I,2,0)*K10816</f>
        <v/>
      </c>
      <c r="N10816" s="94">
        <f>M10816-M10816*VLOOKUP($Q10816,매칭테이블!$F:$I,3,0)</f>
        <v/>
      </c>
      <c r="O10816" s="94">
        <f>VLOOKUP($Q10816,매칭테이블!$F:$I,4,0)*K10816</f>
        <v/>
      </c>
      <c r="P10816" s="148">
        <f>M10816/1.1</f>
        <v/>
      </c>
      <c r="Q10816" s="94">
        <f>F10816&amp;E10816&amp;G10816&amp;L10816</f>
        <v/>
      </c>
    </row>
    <row r="10817" customFormat="1" s="94">
      <c r="B10817" s="128" t="n">
        <v>44144</v>
      </c>
      <c r="C10817" s="94">
        <f>TEXT(B10817,"aaa")</f>
        <v/>
      </c>
      <c r="E10817" s="94" t="inlineStr">
        <is>
          <t>앰플</t>
        </is>
      </c>
      <c r="F10817" s="5" t="inlineStr">
        <is>
          <t>카페24</t>
        </is>
      </c>
      <c r="G10817" s="94" t="inlineStr">
        <is>
          <t>앰플 30ml</t>
        </is>
      </c>
      <c r="H10817" s="94" t="n">
        <v>200801</v>
      </c>
      <c r="I10817" s="94" t="n">
        <v>200801</v>
      </c>
      <c r="K10817" s="94" t="n">
        <v>10</v>
      </c>
      <c r="L10817" s="94" t="n">
        <v>200801</v>
      </c>
      <c r="M10817" s="94">
        <f>VLOOKUP($Q10817,매칭테이블!$F:$I,2,0)*K10817</f>
        <v/>
      </c>
      <c r="N10817" s="94">
        <f>M10817-M10817*VLOOKUP($Q10817,매칭테이블!$F:$I,3,0)</f>
        <v/>
      </c>
      <c r="O10817" s="94">
        <f>VLOOKUP($Q10817,매칭테이블!$F:$I,4,0)*K10817</f>
        <v/>
      </c>
      <c r="P10817" s="148">
        <f>M10817/1.1</f>
        <v/>
      </c>
      <c r="Q10817" s="94">
        <f>F10817&amp;E10817&amp;G10817&amp;L10817</f>
        <v/>
      </c>
    </row>
    <row r="10818" customFormat="1" s="94">
      <c r="B10818" s="128" t="n">
        <v>44144</v>
      </c>
      <c r="C10818" s="94">
        <f>TEXT(B10818,"aaa")</f>
        <v/>
      </c>
      <c r="E10818" s="94" t="inlineStr">
        <is>
          <t>앰플</t>
        </is>
      </c>
      <c r="F10818" s="5" t="inlineStr">
        <is>
          <t>카페24</t>
        </is>
      </c>
      <c r="G10818" s="94" t="inlineStr">
        <is>
          <t>앰플 30ml  2set</t>
        </is>
      </c>
      <c r="H10818" s="94" t="n">
        <v>200801</v>
      </c>
      <c r="I10818" s="94" t="n">
        <v>200801</v>
      </c>
      <c r="K10818" s="94" t="n">
        <v>6</v>
      </c>
      <c r="L10818" s="94" t="n">
        <v>200801</v>
      </c>
      <c r="M10818" s="94">
        <f>VLOOKUP($Q10818,매칭테이블!$F:$I,2,0)*K10818</f>
        <v/>
      </c>
      <c r="N10818" s="94">
        <f>M10818-M10818*VLOOKUP($Q10818,매칭테이블!$F:$I,3,0)</f>
        <v/>
      </c>
      <c r="O10818" s="94">
        <f>VLOOKUP($Q10818,매칭테이블!$F:$I,4,0)*K10818</f>
        <v/>
      </c>
      <c r="P10818" s="148">
        <f>M10818/1.1</f>
        <v/>
      </c>
      <c r="Q10818" s="94">
        <f>F10818&amp;E10818&amp;G10818&amp;L10818</f>
        <v/>
      </c>
    </row>
    <row r="10819" customFormat="1" s="94">
      <c r="B10819" s="128" t="n">
        <v>44144</v>
      </c>
      <c r="C10819" s="94">
        <f>TEXT(B10819,"aaa")</f>
        <v/>
      </c>
      <c r="E10819" s="94" t="inlineStr">
        <is>
          <t>수딩크림</t>
        </is>
      </c>
      <c r="F10819" s="5" t="inlineStr">
        <is>
          <t>카페24</t>
        </is>
      </c>
      <c r="G10819" s="94" t="inlineStr">
        <is>
          <t>수딩크림 100ml</t>
        </is>
      </c>
      <c r="H10819" s="94" t="n">
        <v>200801</v>
      </c>
      <c r="I10819" s="94" t="n">
        <v>200801</v>
      </c>
      <c r="K10819" s="94" t="n">
        <v>5</v>
      </c>
      <c r="L10819" s="94" t="n">
        <v>200801</v>
      </c>
      <c r="M10819" s="94">
        <f>VLOOKUP($Q10819,매칭테이블!$F:$I,2,0)*K10819</f>
        <v/>
      </c>
      <c r="N10819" s="94">
        <f>M10819-M10819*VLOOKUP($Q10819,매칭테이블!$F:$I,3,0)</f>
        <v/>
      </c>
      <c r="O10819" s="94">
        <f>VLOOKUP($Q10819,매칭테이블!$F:$I,4,0)*K10819</f>
        <v/>
      </c>
      <c r="P10819" s="148">
        <f>M10819/1.1</f>
        <v/>
      </c>
      <c r="Q10819" s="94">
        <f>F10819&amp;E10819&amp;G10819&amp;L10819</f>
        <v/>
      </c>
    </row>
    <row r="10820" customFormat="1" s="94">
      <c r="B10820" s="128" t="n">
        <v>44144</v>
      </c>
      <c r="C10820" s="94">
        <f>TEXT(B10820,"aaa")</f>
        <v/>
      </c>
      <c r="E10820" s="94" t="inlineStr">
        <is>
          <t>클렌징폼</t>
        </is>
      </c>
      <c r="F10820" s="5" t="inlineStr">
        <is>
          <t>카페24</t>
        </is>
      </c>
      <c r="G10820" s="94" t="inlineStr">
        <is>
          <t>클렌징폼 120ml</t>
        </is>
      </c>
      <c r="H10820" s="94" t="n">
        <v>200801</v>
      </c>
      <c r="I10820" s="94" t="n">
        <v>200801</v>
      </c>
      <c r="K10820" s="94" t="n">
        <v>5</v>
      </c>
      <c r="L10820" s="94" t="n">
        <v>200801</v>
      </c>
      <c r="M10820" s="94">
        <f>VLOOKUP($Q10820,매칭테이블!$F:$I,2,0)*K10820</f>
        <v/>
      </c>
      <c r="N10820" s="94">
        <f>M10820-M10820*VLOOKUP($Q10820,매칭테이블!$F:$I,3,0)</f>
        <v/>
      </c>
      <c r="O10820" s="94">
        <f>VLOOKUP($Q10820,매칭테이블!$F:$I,4,0)*K10820</f>
        <v/>
      </c>
      <c r="P10820" s="148">
        <f>M10820/1.1</f>
        <v/>
      </c>
      <c r="Q10820" s="94">
        <f>F10820&amp;E10820&amp;G10820&amp;L10820</f>
        <v/>
      </c>
    </row>
    <row r="10821" customFormat="1" s="94">
      <c r="B10821" s="128" t="n">
        <v>44144</v>
      </c>
      <c r="C10821" s="94">
        <f>TEXT(B10821,"aaa")</f>
        <v/>
      </c>
      <c r="E10821" s="94" t="inlineStr">
        <is>
          <t>클렌징폼</t>
        </is>
      </c>
      <c r="F10821" s="5" t="inlineStr">
        <is>
          <t>카페24</t>
        </is>
      </c>
      <c r="G10821" s="94" t="inlineStr">
        <is>
          <t>클렌징폼 120ml 2set</t>
        </is>
      </c>
      <c r="H10821" s="94" t="n">
        <v>200801</v>
      </c>
      <c r="I10821" s="94" t="n">
        <v>200801</v>
      </c>
      <c r="K10821" s="94" t="n">
        <v>3</v>
      </c>
      <c r="L10821" s="94" t="n">
        <v>200801</v>
      </c>
      <c r="M10821" s="94">
        <f>VLOOKUP($Q10821,매칭테이블!$F:$I,2,0)*K10821</f>
        <v/>
      </c>
      <c r="N10821" s="94">
        <f>M10821-M10821*VLOOKUP($Q10821,매칭테이블!$F:$I,3,0)</f>
        <v/>
      </c>
      <c r="O10821" s="94">
        <f>VLOOKUP($Q10821,매칭테이블!$F:$I,4,0)*K10821</f>
        <v/>
      </c>
      <c r="P10821" s="148">
        <f>M10821/1.1</f>
        <v/>
      </c>
      <c r="Q10821" s="94">
        <f>F10821&amp;E10821&amp;G10821&amp;L10821</f>
        <v/>
      </c>
    </row>
    <row r="10822" customFormat="1" s="94">
      <c r="B10822" s="128" t="n">
        <v>44144</v>
      </c>
      <c r="C10822" s="94">
        <f>TEXT(B10822,"aaa")</f>
        <v/>
      </c>
      <c r="E10822" s="94" t="inlineStr">
        <is>
          <t>클렌징폼</t>
        </is>
      </c>
      <c r="F10822" s="5" t="inlineStr">
        <is>
          <t>카페24</t>
        </is>
      </c>
      <c r="G10822" s="94" t="inlineStr">
        <is>
          <t>클렌징폼 120ml 3set</t>
        </is>
      </c>
      <c r="H10822" s="94" t="n">
        <v>200801</v>
      </c>
      <c r="I10822" s="94" t="n">
        <v>200801</v>
      </c>
      <c r="K10822" s="94" t="n">
        <v>1</v>
      </c>
      <c r="L10822" s="94" t="n">
        <v>200801</v>
      </c>
      <c r="M10822" s="94">
        <f>VLOOKUP($Q10822,매칭테이블!$F:$I,2,0)*K10822</f>
        <v/>
      </c>
      <c r="N10822" s="94">
        <f>M10822-M10822*VLOOKUP($Q10822,매칭테이블!$F:$I,3,0)</f>
        <v/>
      </c>
      <c r="O10822" s="94">
        <f>VLOOKUP($Q10822,매칭테이블!$F:$I,4,0)*K10822</f>
        <v/>
      </c>
      <c r="P10822" s="148">
        <f>M10822/1.1</f>
        <v/>
      </c>
      <c r="Q10822" s="94">
        <f>F10822&amp;E10822&amp;G10822&amp;L10822</f>
        <v/>
      </c>
    </row>
    <row r="10823" customFormat="1" s="94">
      <c r="B10823" s="128" t="n">
        <v>44144</v>
      </c>
      <c r="C10823" s="94">
        <f>TEXT(B10823,"aaa")</f>
        <v/>
      </c>
      <c r="E10823" s="94" t="inlineStr">
        <is>
          <t>바디워시</t>
        </is>
      </c>
      <c r="F10823" s="5" t="inlineStr">
        <is>
          <t>카페24</t>
        </is>
      </c>
      <c r="G10823" s="94" t="inlineStr">
        <is>
          <t>바디워시 1개 -30% off</t>
        </is>
      </c>
      <c r="H10823" s="94" t="n">
        <v>200801</v>
      </c>
      <c r="I10823" s="94" t="n">
        <v>200801</v>
      </c>
      <c r="K10823" s="94" t="n">
        <v>2</v>
      </c>
      <c r="L10823" s="94" t="n">
        <v>200801</v>
      </c>
      <c r="M10823" s="94">
        <f>VLOOKUP($Q10823,매칭테이블!$F:$I,2,0)*K10823</f>
        <v/>
      </c>
      <c r="N10823" s="94">
        <f>M10823-M10823*VLOOKUP($Q10823,매칭테이블!$F:$I,3,0)</f>
        <v/>
      </c>
      <c r="O10823" s="94">
        <f>VLOOKUP($Q10823,매칭테이블!$F:$I,4,0)*K10823</f>
        <v/>
      </c>
      <c r="P10823" s="148">
        <f>M10823/1.1</f>
        <v/>
      </c>
      <c r="Q10823" s="94">
        <f>F10823&amp;E10823&amp;G10823&amp;L10823</f>
        <v/>
      </c>
    </row>
    <row r="10824" customFormat="1" s="94">
      <c r="B10824" s="128" t="n">
        <v>44144</v>
      </c>
      <c r="C10824" s="94">
        <f>TEXT(B10824,"aaa")</f>
        <v/>
      </c>
      <c r="E10824" s="94" t="inlineStr">
        <is>
          <t>토너</t>
        </is>
      </c>
      <c r="F10824" s="5" t="inlineStr">
        <is>
          <t>화해</t>
        </is>
      </c>
      <c r="G10824" s="94" t="inlineStr">
        <is>
          <t>250ml</t>
        </is>
      </c>
      <c r="H10824" s="94" t="n">
        <v>200801</v>
      </c>
      <c r="I10824" s="94" t="n">
        <v>200801</v>
      </c>
      <c r="K10824" s="94" t="n">
        <v>1</v>
      </c>
      <c r="L10824" s="94" t="n">
        <v>200801</v>
      </c>
      <c r="M10824" s="94">
        <f>VLOOKUP($Q10824,매칭테이블!$F:$I,2,0)*K10824</f>
        <v/>
      </c>
      <c r="N10824" s="94">
        <f>M10824-M10824*VLOOKUP($Q10824,매칭테이블!$F:$I,3,0)</f>
        <v/>
      </c>
      <c r="O10824" s="94">
        <f>VLOOKUP($Q10824,매칭테이블!$F:$I,4,0)*K10824</f>
        <v/>
      </c>
      <c r="P10824" s="148">
        <f>M10824/1.1</f>
        <v/>
      </c>
      <c r="Q10824" s="94">
        <f>F10824&amp;E10824&amp;G10824&amp;L10824</f>
        <v/>
      </c>
    </row>
    <row r="10825" customFormat="1" s="94">
      <c r="B10825" s="128" t="n">
        <v>44145</v>
      </c>
      <c r="C10825" s="94">
        <f>TEXT(B10825,"aaa")</f>
        <v/>
      </c>
      <c r="E10825" s="94" t="inlineStr">
        <is>
          <t>토너</t>
        </is>
      </c>
      <c r="F10825" s="5" t="inlineStr">
        <is>
          <t>W컨셉</t>
        </is>
      </c>
      <c r="G10825" s="94" t="inlineStr">
        <is>
          <t>250ml</t>
        </is>
      </c>
      <c r="H10825" s="94" t="n">
        <v>200801</v>
      </c>
      <c r="I10825" s="94" t="n">
        <v>200801</v>
      </c>
      <c r="K10825" s="94" t="n">
        <v>1</v>
      </c>
      <c r="L10825" s="94" t="n">
        <v>200801</v>
      </c>
      <c r="M10825" s="94">
        <f>VLOOKUP($Q10825,매칭테이블!$F:$I,2,0)*K10825</f>
        <v/>
      </c>
      <c r="N10825" s="94">
        <f>M10825-M10825*VLOOKUP($Q10825,매칭테이블!$F:$I,3,0)</f>
        <v/>
      </c>
      <c r="O10825" s="94">
        <f>VLOOKUP($Q10825,매칭테이블!$F:$I,4,0)*K10825</f>
        <v/>
      </c>
      <c r="P10825" s="148">
        <f>M10825/1.1</f>
        <v/>
      </c>
      <c r="Q10825" s="94">
        <f>F10825&amp;E10825&amp;G10825&amp;L10825</f>
        <v/>
      </c>
    </row>
    <row r="10826" customFormat="1" s="94">
      <c r="B10826" s="128" t="n">
        <v>44145</v>
      </c>
      <c r="C10826" s="94">
        <f>TEXT(B10826,"aaa")</f>
        <v/>
      </c>
      <c r="E10826" s="94" t="inlineStr">
        <is>
          <t>토너</t>
        </is>
      </c>
      <c r="F10826" s="5" t="inlineStr">
        <is>
          <t>W컨셉</t>
        </is>
      </c>
      <c r="G10826" s="94" t="inlineStr">
        <is>
          <t>250ml 2set</t>
        </is>
      </c>
      <c r="H10826" s="94" t="n">
        <v>200801</v>
      </c>
      <c r="I10826" s="94" t="n">
        <v>200801</v>
      </c>
      <c r="K10826" s="94" t="n">
        <v>9</v>
      </c>
      <c r="L10826" s="94" t="n">
        <v>200801</v>
      </c>
      <c r="M10826" s="94">
        <f>VLOOKUP($Q10826,매칭테이블!$F:$I,2,0)*K10826</f>
        <v/>
      </c>
      <c r="N10826" s="94">
        <f>M10826-M10826*VLOOKUP($Q10826,매칭테이블!$F:$I,3,0)</f>
        <v/>
      </c>
      <c r="O10826" s="94">
        <f>VLOOKUP($Q10826,매칭테이블!$F:$I,4,0)*K10826</f>
        <v/>
      </c>
      <c r="P10826" s="148">
        <f>M10826/1.1</f>
        <v/>
      </c>
      <c r="Q10826" s="94">
        <f>F10826&amp;E10826&amp;G10826&amp;L10826</f>
        <v/>
      </c>
    </row>
    <row r="10827" customFormat="1" s="94">
      <c r="B10827" s="128" t="n">
        <v>44145</v>
      </c>
      <c r="C10827" s="94">
        <f>TEXT(B10827,"aaa")</f>
        <v/>
      </c>
      <c r="E10827" s="94" t="inlineStr">
        <is>
          <t>토너</t>
        </is>
      </c>
      <c r="F10827" s="5" t="inlineStr">
        <is>
          <t>글로우데이즈 시코르</t>
        </is>
      </c>
      <c r="G10827" s="94" t="inlineStr">
        <is>
          <t>토너=250ml</t>
        </is>
      </c>
      <c r="H10827" s="94" t="n">
        <v>200801</v>
      </c>
      <c r="I10827" s="94" t="n">
        <v>200801</v>
      </c>
      <c r="K10827" s="94" t="n">
        <v>5</v>
      </c>
      <c r="L10827" s="94" t="n">
        <v>200801</v>
      </c>
      <c r="M10827" s="94">
        <f>VLOOKUP($Q10827,매칭테이블!$F:$I,2,0)*K10827</f>
        <v/>
      </c>
      <c r="N10827" s="94">
        <f>M10827-M10827*VLOOKUP($Q10827,매칭테이블!$F:$I,3,0)</f>
        <v/>
      </c>
      <c r="O10827" s="94">
        <f>VLOOKUP($Q10827,매칭테이블!$F:$I,4,0)*K10827</f>
        <v/>
      </c>
      <c r="P10827" s="148">
        <f>M10827/1.1</f>
        <v/>
      </c>
      <c r="Q10827" s="94">
        <f>F10827&amp;E10827&amp;G10827&amp;L10827</f>
        <v/>
      </c>
    </row>
    <row r="10828" customFormat="1" s="94">
      <c r="B10828" s="128" t="n">
        <v>44145</v>
      </c>
      <c r="C10828" s="94">
        <f>TEXT(B10828,"aaa")</f>
        <v/>
      </c>
      <c r="E10828" s="94" t="inlineStr">
        <is>
          <t>앰플</t>
        </is>
      </c>
      <c r="F10828" s="5" t="inlineStr">
        <is>
          <t>글로우데이즈 시코르</t>
        </is>
      </c>
      <c r="G10828" s="94" t="inlineStr">
        <is>
          <t>앰플=앰플 30ml</t>
        </is>
      </c>
      <c r="H10828" s="94" t="n">
        <v>200801</v>
      </c>
      <c r="I10828" s="94" t="n">
        <v>200801</v>
      </c>
      <c r="K10828" s="94" t="n">
        <v>30</v>
      </c>
      <c r="L10828" s="94" t="n">
        <v>200801</v>
      </c>
      <c r="M10828" s="94">
        <f>VLOOKUP($Q10828,매칭테이블!$F:$I,2,0)*K10828</f>
        <v/>
      </c>
      <c r="N10828" s="94">
        <f>M10828-M10828*VLOOKUP($Q10828,매칭테이블!$F:$I,3,0)</f>
        <v/>
      </c>
      <c r="O10828" s="94">
        <f>VLOOKUP($Q10828,매칭테이블!$F:$I,4,0)*K10828</f>
        <v/>
      </c>
      <c r="P10828" s="148">
        <f>M10828/1.1</f>
        <v/>
      </c>
      <c r="Q10828" s="94">
        <f>F10828&amp;E10828&amp;G10828&amp;L10828</f>
        <v/>
      </c>
    </row>
    <row r="10829" customFormat="1" s="94">
      <c r="B10829" s="128" t="n">
        <v>44145</v>
      </c>
      <c r="C10829" s="94">
        <f>TEXT(B10829,"aaa")</f>
        <v/>
      </c>
      <c r="E10829" s="94" t="inlineStr">
        <is>
          <t>수딩크림</t>
        </is>
      </c>
      <c r="F10829" s="5" t="inlineStr">
        <is>
          <t>글로우데이즈 시코르</t>
        </is>
      </c>
      <c r="G10829" s="94" t="inlineStr">
        <is>
          <t>수딩크림=수딩크림 100ml</t>
        </is>
      </c>
      <c r="H10829" s="94" t="n">
        <v>200801</v>
      </c>
      <c r="I10829" s="94" t="n">
        <v>200801</v>
      </c>
      <c r="K10829" s="94" t="n">
        <v>10</v>
      </c>
      <c r="L10829" s="94" t="n">
        <v>200801</v>
      </c>
      <c r="M10829" s="94">
        <f>VLOOKUP($Q10829,매칭테이블!$F:$I,2,0)*K10829</f>
        <v/>
      </c>
      <c r="N10829" s="94">
        <f>M10829-M10829*VLOOKUP($Q10829,매칭테이블!$F:$I,3,0)</f>
        <v/>
      </c>
      <c r="O10829" s="94">
        <f>VLOOKUP($Q10829,매칭테이블!$F:$I,4,0)*K10829</f>
        <v/>
      </c>
      <c r="P10829" s="148">
        <f>M10829/1.1</f>
        <v/>
      </c>
      <c r="Q10829" s="94">
        <f>F10829&amp;E10829&amp;G10829&amp;L10829</f>
        <v/>
      </c>
    </row>
    <row r="10830" customFormat="1" s="94">
      <c r="B10830" s="128" t="n">
        <v>44145</v>
      </c>
      <c r="C10830" s="94">
        <f>TEXT(B10830,"aaa")</f>
        <v/>
      </c>
      <c r="E10830" s="94" t="inlineStr">
        <is>
          <t>클리어 패드</t>
        </is>
      </c>
      <c r="F10830" s="5" t="inlineStr">
        <is>
          <t>글로우데이즈 시코르</t>
        </is>
      </c>
      <c r="G10830" s="94" t="inlineStr">
        <is>
          <t>어성초 클리어패드 70P</t>
        </is>
      </c>
      <c r="H10830" s="94" t="n">
        <v>200801</v>
      </c>
      <c r="I10830" s="94" t="n">
        <v>200801</v>
      </c>
      <c r="K10830" s="94" t="n">
        <v>100</v>
      </c>
      <c r="L10830" s="94" t="n">
        <v>200801</v>
      </c>
      <c r="M10830" s="94">
        <f>VLOOKUP($Q10830,매칭테이블!$F:$I,2,0)*K10830</f>
        <v/>
      </c>
      <c r="N10830" s="94">
        <f>M10830-M10830*VLOOKUP($Q10830,매칭테이블!$F:$I,3,0)</f>
        <v/>
      </c>
      <c r="O10830" s="94">
        <f>VLOOKUP($Q10830,매칭테이블!$F:$I,4,0)*K10830</f>
        <v/>
      </c>
      <c r="P10830" s="148">
        <f>M10830/1.1</f>
        <v/>
      </c>
      <c r="Q10830" s="94">
        <f>F10830&amp;E10830&amp;G10830&amp;L10830</f>
        <v/>
      </c>
    </row>
    <row r="10831" customFormat="1" s="94">
      <c r="B10831" s="128" t="n">
        <v>44145</v>
      </c>
      <c r="C10831" s="94">
        <f>TEXT(B10831,"aaa")</f>
        <v/>
      </c>
      <c r="E10831" s="94" t="inlineStr">
        <is>
          <t>토너</t>
        </is>
      </c>
      <c r="F10831" s="5" t="inlineStr">
        <is>
          <t>글로우데이즈 시코르</t>
        </is>
      </c>
      <c r="G10831" s="94" t="inlineStr">
        <is>
          <t>40ml(증정)</t>
        </is>
      </c>
      <c r="H10831" s="94" t="n">
        <v>200801</v>
      </c>
      <c r="I10831" s="94" t="n">
        <v>200801</v>
      </c>
      <c r="K10831" s="94" t="n">
        <v>100</v>
      </c>
      <c r="L10831" s="94" t="n">
        <v>200801</v>
      </c>
      <c r="M10831" s="94">
        <f>VLOOKUP($Q10831,매칭테이블!$F:$I,2,0)*K10831</f>
        <v/>
      </c>
      <c r="N10831" s="94">
        <f>M10831-M10831*VLOOKUP($Q10831,매칭테이블!$F:$I,3,0)</f>
        <v/>
      </c>
      <c r="O10831" s="94">
        <f>VLOOKUP($Q10831,매칭테이블!$F:$I,4,0)*K10831</f>
        <v/>
      </c>
      <c r="P10831" s="148">
        <f>M10831/1.1</f>
        <v/>
      </c>
      <c r="Q10831" s="94">
        <f>F10831&amp;E10831&amp;G10831&amp;L10831</f>
        <v/>
      </c>
    </row>
    <row r="10832" customFormat="1" s="94">
      <c r="B10832" s="128" t="n">
        <v>44145</v>
      </c>
      <c r="C10832" s="94">
        <f>TEXT(B10832,"aaa")</f>
        <v/>
      </c>
      <c r="E10832" s="94" t="inlineStr">
        <is>
          <t>마스크팩</t>
        </is>
      </c>
      <c r="F10832" s="5" t="inlineStr">
        <is>
          <t>글로우데이즈 시코르</t>
        </is>
      </c>
      <c r="G10832" s="94" t="inlineStr">
        <is>
          <t>마스크팩=마스크팩 10매</t>
        </is>
      </c>
      <c r="H10832" s="94" t="n">
        <v>200801</v>
      </c>
      <c r="I10832" s="94" t="n">
        <v>200801</v>
      </c>
      <c r="K10832" s="94" t="n">
        <v>14</v>
      </c>
      <c r="L10832" s="94" t="n">
        <v>200801</v>
      </c>
      <c r="M10832" s="94">
        <f>VLOOKUP($Q10832,매칭테이블!$F:$I,2,0)*K10832</f>
        <v/>
      </c>
      <c r="N10832" s="94">
        <f>M10832-M10832*VLOOKUP($Q10832,매칭테이블!$F:$I,3,0)</f>
        <v/>
      </c>
      <c r="O10832" s="94">
        <f>VLOOKUP($Q10832,매칭테이블!$F:$I,4,0)*K10832</f>
        <v/>
      </c>
      <c r="P10832" s="148">
        <f>M10832/1.1</f>
        <v/>
      </c>
      <c r="Q10832" s="94">
        <f>F10832&amp;E10832&amp;G10832&amp;L10832</f>
        <v/>
      </c>
    </row>
    <row r="10833" customFormat="1" s="94">
      <c r="B10833" s="128" t="n">
        <v>44145</v>
      </c>
      <c r="C10833" s="94">
        <f>TEXT(B10833,"aaa")</f>
        <v/>
      </c>
      <c r="E10833" s="94" t="inlineStr">
        <is>
          <t>토너</t>
        </is>
      </c>
      <c r="F10833" s="5" t="inlineStr">
        <is>
          <t>스타일쉐어</t>
        </is>
      </c>
      <c r="G10833" s="94" t="inlineStr">
        <is>
          <t>250ml</t>
        </is>
      </c>
      <c r="H10833" s="94" t="n">
        <v>200801</v>
      </c>
      <c r="I10833" s="94" t="n">
        <v>200801</v>
      </c>
      <c r="K10833" s="94" t="n">
        <v>7</v>
      </c>
      <c r="L10833" s="94" t="n">
        <v>200801</v>
      </c>
      <c r="M10833" s="94">
        <f>VLOOKUP($Q10833,매칭테이블!$F:$I,2,0)*K10833</f>
        <v/>
      </c>
      <c r="N10833" s="94">
        <f>M10833-M10833*VLOOKUP($Q10833,매칭테이블!$F:$I,3,0)</f>
        <v/>
      </c>
      <c r="O10833" s="94">
        <f>VLOOKUP($Q10833,매칭테이블!$F:$I,4,0)*K10833</f>
        <v/>
      </c>
      <c r="P10833" s="148">
        <f>M10833/1.1</f>
        <v/>
      </c>
      <c r="Q10833" s="94">
        <f>F10833&amp;E10833&amp;G10833&amp;L10833</f>
        <v/>
      </c>
    </row>
    <row r="10834" customFormat="1" s="94">
      <c r="B10834" s="128" t="n">
        <v>44145</v>
      </c>
      <c r="C10834" s="94">
        <f>TEXT(B10834,"aaa")</f>
        <v/>
      </c>
      <c r="E10834" s="94" t="inlineStr">
        <is>
          <t>어성초진정패키지</t>
        </is>
      </c>
      <c r="F10834" s="5" t="inlineStr">
        <is>
          <t>카페24</t>
        </is>
      </c>
      <c r="G10834" s="94" t="inlineStr">
        <is>
          <t>어성초 진정패키지세트</t>
        </is>
      </c>
      <c r="H10834" s="94" t="n">
        <v>200801</v>
      </c>
      <c r="I10834" s="94" t="n">
        <v>200801</v>
      </c>
      <c r="K10834" s="94" t="n">
        <v>3</v>
      </c>
      <c r="L10834" s="94" t="n">
        <v>200801</v>
      </c>
      <c r="M10834" s="94">
        <f>VLOOKUP($Q10834,매칭테이블!$F:$I,2,0)*K10834</f>
        <v/>
      </c>
      <c r="N10834" s="94">
        <f>M10834-M10834*VLOOKUP($Q10834,매칭테이블!$F:$I,3,0)</f>
        <v/>
      </c>
      <c r="O10834" s="94">
        <f>VLOOKUP($Q10834,매칭테이블!$F:$I,4,0)*K10834</f>
        <v/>
      </c>
      <c r="P10834" s="148">
        <f>M10834/1.1</f>
        <v/>
      </c>
      <c r="Q10834" s="94">
        <f>F10834&amp;E10834&amp;G10834&amp;L10834</f>
        <v/>
      </c>
    </row>
    <row r="10835" customFormat="1" s="94">
      <c r="B10835" s="128" t="n">
        <v>44145</v>
      </c>
      <c r="C10835" s="94">
        <f>TEXT(B10835,"aaa")</f>
        <v/>
      </c>
      <c r="E10835" s="94" t="inlineStr">
        <is>
          <t>클리어 패드</t>
        </is>
      </c>
      <c r="F10835" s="5" t="inlineStr">
        <is>
          <t>카페24</t>
        </is>
      </c>
      <c r="G10835" s="94" t="inlineStr">
        <is>
          <t>어성초 77 클리어 패드 1개-20% off</t>
        </is>
      </c>
      <c r="H10835" s="94" t="n">
        <v>200801</v>
      </c>
      <c r="I10835" s="94" t="n">
        <v>200801</v>
      </c>
      <c r="K10835" s="94" t="n">
        <v>17</v>
      </c>
      <c r="L10835" s="94" t="n">
        <v>200801</v>
      </c>
      <c r="M10835" s="94">
        <f>VLOOKUP($Q10835,매칭테이블!$F:$I,2,0)*K10835</f>
        <v/>
      </c>
      <c r="N10835" s="94">
        <f>M10835-M10835*VLOOKUP($Q10835,매칭테이블!$F:$I,3,0)</f>
        <v/>
      </c>
      <c r="O10835" s="94">
        <f>VLOOKUP($Q10835,매칭테이블!$F:$I,4,0)*K10835</f>
        <v/>
      </c>
      <c r="P10835" s="148">
        <f>M10835/1.1</f>
        <v/>
      </c>
      <c r="Q10835" s="94">
        <f>F10835&amp;E10835&amp;G10835&amp;L10835</f>
        <v/>
      </c>
    </row>
    <row r="10836" customFormat="1" s="94">
      <c r="B10836" s="128" t="n">
        <v>44145</v>
      </c>
      <c r="C10836" s="94">
        <f>TEXT(B10836,"aaa")</f>
        <v/>
      </c>
      <c r="E10836" s="94" t="inlineStr">
        <is>
          <t>클리어 패드</t>
        </is>
      </c>
      <c r="F10836" s="5" t="inlineStr">
        <is>
          <t>카페24</t>
        </is>
      </c>
      <c r="G10836" s="94" t="inlineStr">
        <is>
          <t>어성초 77 클리어 패드 2개-30% off</t>
        </is>
      </c>
      <c r="H10836" s="94" t="n">
        <v>200801</v>
      </c>
      <c r="I10836" s="94" t="n">
        <v>200801</v>
      </c>
      <c r="K10836" s="94" t="n">
        <v>20</v>
      </c>
      <c r="L10836" s="94" t="n">
        <v>200801</v>
      </c>
      <c r="M10836" s="94">
        <f>VLOOKUP($Q10836,매칭테이블!$F:$I,2,0)*K10836</f>
        <v/>
      </c>
      <c r="N10836" s="94">
        <f>M10836-M10836*VLOOKUP($Q10836,매칭테이블!$F:$I,3,0)</f>
        <v/>
      </c>
      <c r="O10836" s="94">
        <f>VLOOKUP($Q10836,매칭테이블!$F:$I,4,0)*K10836</f>
        <v/>
      </c>
      <c r="P10836" s="148">
        <f>M10836/1.1</f>
        <v/>
      </c>
      <c r="Q10836" s="94">
        <f>F10836&amp;E10836&amp;G10836&amp;L10836</f>
        <v/>
      </c>
    </row>
    <row r="10837" customFormat="1" s="94">
      <c r="B10837" s="128" t="n">
        <v>44145</v>
      </c>
      <c r="C10837" s="94">
        <f>TEXT(B10837,"aaa")</f>
        <v/>
      </c>
      <c r="E10837" s="94" t="inlineStr">
        <is>
          <t>토너+패드 세트</t>
        </is>
      </c>
      <c r="F10837" s="5" t="inlineStr">
        <is>
          <t>카페24</t>
        </is>
      </c>
      <c r="G10837" s="94" t="inlineStr">
        <is>
          <t>좁쌀 진정 세트 토너+클리어 패드-30% off</t>
        </is>
      </c>
      <c r="H10837" s="94" t="n">
        <v>200801</v>
      </c>
      <c r="I10837" s="94" t="n">
        <v>200801</v>
      </c>
      <c r="K10837" s="94" t="n">
        <v>16</v>
      </c>
      <c r="L10837" s="94" t="n">
        <v>200801</v>
      </c>
      <c r="M10837" s="94">
        <f>VLOOKUP($Q10837,매칭테이블!$F:$I,2,0)*K10837</f>
        <v/>
      </c>
      <c r="N10837" s="94">
        <f>M10837-M10837*VLOOKUP($Q10837,매칭테이블!$F:$I,3,0)</f>
        <v/>
      </c>
      <c r="O10837" s="94">
        <f>VLOOKUP($Q10837,매칭테이블!$F:$I,4,0)*K10837</f>
        <v/>
      </c>
      <c r="P10837" s="148">
        <f>M10837/1.1</f>
        <v/>
      </c>
      <c r="Q10837" s="94">
        <f>F10837&amp;E10837&amp;G10837&amp;L10837</f>
        <v/>
      </c>
    </row>
    <row r="10838" customFormat="1" s="94">
      <c r="B10838" s="128" t="n">
        <v>44145</v>
      </c>
      <c r="C10838" s="94">
        <f>TEXT(B10838,"aaa")</f>
        <v/>
      </c>
      <c r="E10838" s="94" t="inlineStr">
        <is>
          <t>수분 보충 세트</t>
        </is>
      </c>
      <c r="F10838" s="5" t="inlineStr">
        <is>
          <t>카페24</t>
        </is>
      </c>
      <c r="G10838" s="94" t="inlineStr">
        <is>
          <t>[20/09/28 부터] 어성초 77 토너 250ml + 어성초 70 로션 200ml -30%</t>
        </is>
      </c>
      <c r="H10838" s="94" t="n">
        <v>200801</v>
      </c>
      <c r="I10838" s="94" t="n">
        <v>200801</v>
      </c>
      <c r="K10838" s="94" t="n">
        <v>26</v>
      </c>
      <c r="L10838" s="94" t="n">
        <v>200801</v>
      </c>
      <c r="M10838" s="94">
        <f>VLOOKUP($Q10838,매칭테이블!$F:$I,2,0)*K10838</f>
        <v/>
      </c>
      <c r="N10838" s="94">
        <f>M10838-M10838*VLOOKUP($Q10838,매칭테이블!$F:$I,3,0)</f>
        <v/>
      </c>
      <c r="O10838" s="94">
        <f>VLOOKUP($Q10838,매칭테이블!$F:$I,4,0)*K10838</f>
        <v/>
      </c>
      <c r="P10838" s="148">
        <f>M10838/1.1</f>
        <v/>
      </c>
      <c r="Q10838" s="94">
        <f>F10838&amp;E10838&amp;G10838&amp;L10838</f>
        <v/>
      </c>
    </row>
    <row r="10839" customFormat="1" s="94">
      <c r="B10839" s="128" t="n">
        <v>44145</v>
      </c>
      <c r="C10839" s="94">
        <f>TEXT(B10839,"aaa")</f>
        <v/>
      </c>
      <c r="E10839" s="94" t="inlineStr">
        <is>
          <t>로션</t>
        </is>
      </c>
      <c r="F10839" s="5" t="inlineStr">
        <is>
          <t>카페24</t>
        </is>
      </c>
      <c r="G10839" s="94" t="inlineStr">
        <is>
          <t>어성초 70 데일리 릴리프 로션 1개 -20% off</t>
        </is>
      </c>
      <c r="H10839" s="94" t="n">
        <v>200801</v>
      </c>
      <c r="I10839" s="94" t="n">
        <v>200801</v>
      </c>
      <c r="K10839" s="94" t="n">
        <v>4</v>
      </c>
      <c r="L10839" s="94" t="n">
        <v>200801</v>
      </c>
      <c r="M10839" s="94">
        <f>VLOOKUP($Q10839,매칭테이블!$F:$I,2,0)*K10839</f>
        <v/>
      </c>
      <c r="N10839" s="94">
        <f>M10839-M10839*VLOOKUP($Q10839,매칭테이블!$F:$I,3,0)</f>
        <v/>
      </c>
      <c r="O10839" s="94">
        <f>VLOOKUP($Q10839,매칭테이블!$F:$I,4,0)*K10839</f>
        <v/>
      </c>
      <c r="P10839" s="148">
        <f>M10839/1.1</f>
        <v/>
      </c>
      <c r="Q10839" s="94">
        <f>F10839&amp;E10839&amp;G10839&amp;L10839</f>
        <v/>
      </c>
    </row>
    <row r="10840" customFormat="1" s="94">
      <c r="B10840" s="128" t="n">
        <v>44145</v>
      </c>
      <c r="C10840" s="94">
        <f>TEXT(B10840,"aaa")</f>
        <v/>
      </c>
      <c r="E10840" s="94" t="inlineStr">
        <is>
          <t>로션</t>
        </is>
      </c>
      <c r="F10840" s="5" t="inlineStr">
        <is>
          <t>카페24</t>
        </is>
      </c>
      <c r="G10840" s="94" t="inlineStr">
        <is>
          <t>어성초 70 데일리 릴리프 로션 2개 -30% off</t>
        </is>
      </c>
      <c r="H10840" s="94" t="n">
        <v>200801</v>
      </c>
      <c r="I10840" s="94" t="n">
        <v>200801</v>
      </c>
      <c r="K10840" s="94" t="n">
        <v>2</v>
      </c>
      <c r="L10840" s="94" t="n">
        <v>200801</v>
      </c>
      <c r="M10840" s="94">
        <f>VLOOKUP($Q10840,매칭테이블!$F:$I,2,0)*K10840</f>
        <v/>
      </c>
      <c r="N10840" s="94">
        <f>M10840-M10840*VLOOKUP($Q10840,매칭테이블!$F:$I,3,0)</f>
        <v/>
      </c>
      <c r="O10840" s="94">
        <f>VLOOKUP($Q10840,매칭테이블!$F:$I,4,0)*K10840</f>
        <v/>
      </c>
      <c r="P10840" s="148">
        <f>M10840/1.1</f>
        <v/>
      </c>
      <c r="Q10840" s="94">
        <f>F10840&amp;E10840&amp;G10840&amp;L10840</f>
        <v/>
      </c>
    </row>
    <row r="10841" customFormat="1" s="94">
      <c r="B10841" s="128" t="n">
        <v>44145</v>
      </c>
      <c r="C10841" s="94">
        <f>TEXT(B10841,"aaa")</f>
        <v/>
      </c>
      <c r="E10841" s="94" t="inlineStr">
        <is>
          <t>머드크림마스크</t>
        </is>
      </c>
      <c r="F10841" s="5" t="inlineStr">
        <is>
          <t>카페24</t>
        </is>
      </c>
      <c r="G10841" s="94" t="inlineStr">
        <is>
          <t>머드크림마스크 100ml</t>
        </is>
      </c>
      <c r="H10841" s="94" t="n">
        <v>200801</v>
      </c>
      <c r="I10841" s="94" t="n">
        <v>200801</v>
      </c>
      <c r="K10841" s="94" t="n">
        <v>4</v>
      </c>
      <c r="L10841" s="94" t="n">
        <v>200801</v>
      </c>
      <c r="M10841" s="94">
        <f>VLOOKUP($Q10841,매칭테이블!$F:$I,2,0)*K10841</f>
        <v/>
      </c>
      <c r="N10841" s="94">
        <f>M10841-M10841*VLOOKUP($Q10841,매칭테이블!$F:$I,3,0)</f>
        <v/>
      </c>
      <c r="O10841" s="94">
        <f>VLOOKUP($Q10841,매칭테이블!$F:$I,4,0)*K10841</f>
        <v/>
      </c>
      <c r="P10841" s="148">
        <f>M10841/1.1</f>
        <v/>
      </c>
      <c r="Q10841" s="94">
        <f>F10841&amp;E10841&amp;G10841&amp;L10841</f>
        <v/>
      </c>
    </row>
    <row r="10842" customFormat="1" s="94">
      <c r="B10842" s="128" t="n">
        <v>44145</v>
      </c>
      <c r="C10842" s="94">
        <f>TEXT(B10842,"aaa")</f>
        <v/>
      </c>
      <c r="E10842" s="94" t="inlineStr">
        <is>
          <t>머드크림마스크</t>
        </is>
      </c>
      <c r="F10842" s="5" t="inlineStr">
        <is>
          <t>카페24</t>
        </is>
      </c>
      <c r="G10842" s="94" t="inlineStr">
        <is>
          <t>머드크림마스크 100ml 2set</t>
        </is>
      </c>
      <c r="H10842" s="94" t="n">
        <v>200801</v>
      </c>
      <c r="I10842" s="94" t="n">
        <v>200801</v>
      </c>
      <c r="K10842" s="94" t="n">
        <v>2</v>
      </c>
      <c r="L10842" s="94" t="n">
        <v>200801</v>
      </c>
      <c r="M10842" s="94">
        <f>VLOOKUP($Q10842,매칭테이블!$F:$I,2,0)*K10842</f>
        <v/>
      </c>
      <c r="N10842" s="94">
        <f>M10842-M10842*VLOOKUP($Q10842,매칭테이블!$F:$I,3,0)</f>
        <v/>
      </c>
      <c r="O10842" s="94">
        <f>VLOOKUP($Q10842,매칭테이블!$F:$I,4,0)*K10842</f>
        <v/>
      </c>
      <c r="P10842" s="148">
        <f>M10842/1.1</f>
        <v/>
      </c>
      <c r="Q10842" s="94">
        <f>F10842&amp;E10842&amp;G10842&amp;L10842</f>
        <v/>
      </c>
    </row>
    <row r="10843" customFormat="1" s="94">
      <c r="B10843" s="128" t="n">
        <v>44145</v>
      </c>
      <c r="C10843" s="94">
        <f>TEXT(B10843,"aaa")</f>
        <v/>
      </c>
      <c r="E10843" s="94" t="inlineStr">
        <is>
          <t>마스크팩</t>
        </is>
      </c>
      <c r="F10843" s="5" t="inlineStr">
        <is>
          <t>카페24</t>
        </is>
      </c>
      <c r="G10843" s="94" t="inlineStr">
        <is>
          <t>마스크팩 1매</t>
        </is>
      </c>
      <c r="H10843" s="94" t="n">
        <v>200801</v>
      </c>
      <c r="I10843" s="94" t="n">
        <v>200801</v>
      </c>
      <c r="K10843" s="94" t="n">
        <v>1</v>
      </c>
      <c r="L10843" s="94" t="n">
        <v>200801</v>
      </c>
      <c r="M10843" s="94">
        <f>VLOOKUP($Q10843,매칭테이블!$F:$I,2,0)*K10843</f>
        <v/>
      </c>
      <c r="N10843" s="94">
        <f>M10843-M10843*VLOOKUP($Q10843,매칭테이블!$F:$I,3,0)</f>
        <v/>
      </c>
      <c r="O10843" s="94">
        <f>VLOOKUP($Q10843,매칭테이블!$F:$I,4,0)*K10843</f>
        <v/>
      </c>
      <c r="P10843" s="148">
        <f>M10843/1.1</f>
        <v/>
      </c>
      <c r="Q10843" s="94">
        <f>F10843&amp;E10843&amp;G10843&amp;L10843</f>
        <v/>
      </c>
    </row>
    <row r="10844" customFormat="1" s="94">
      <c r="B10844" s="128" t="n">
        <v>44145</v>
      </c>
      <c r="C10844" s="94">
        <f>TEXT(B10844,"aaa")</f>
        <v/>
      </c>
      <c r="E10844" s="94" t="inlineStr">
        <is>
          <t>마스크팩</t>
        </is>
      </c>
      <c r="F10844" s="5" t="inlineStr">
        <is>
          <t>카페24</t>
        </is>
      </c>
      <c r="G10844" s="94" t="inlineStr">
        <is>
          <t>마스크팩 10매</t>
        </is>
      </c>
      <c r="H10844" s="94" t="n">
        <v>200801</v>
      </c>
      <c r="I10844" s="94" t="n">
        <v>200801</v>
      </c>
      <c r="K10844" s="94" t="n">
        <v>2</v>
      </c>
      <c r="L10844" s="94" t="n">
        <v>200801</v>
      </c>
      <c r="M10844" s="94">
        <f>VLOOKUP($Q10844,매칭테이블!$F:$I,2,0)*K10844</f>
        <v/>
      </c>
      <c r="N10844" s="94">
        <f>M10844-M10844*VLOOKUP($Q10844,매칭테이블!$F:$I,3,0)</f>
        <v/>
      </c>
      <c r="O10844" s="94">
        <f>VLOOKUP($Q10844,매칭테이블!$F:$I,4,0)*K10844</f>
        <v/>
      </c>
      <c r="P10844" s="148">
        <f>M10844/1.1</f>
        <v/>
      </c>
      <c r="Q10844" s="94">
        <f>F10844&amp;E10844&amp;G10844&amp;L10844</f>
        <v/>
      </c>
    </row>
    <row r="10845" customFormat="1" s="94">
      <c r="B10845" s="128" t="n">
        <v>44145</v>
      </c>
      <c r="C10845" s="94">
        <f>TEXT(B10845,"aaa")</f>
        <v/>
      </c>
      <c r="E10845" s="94" t="inlineStr">
        <is>
          <t>토너</t>
        </is>
      </c>
      <c r="F10845" s="5" t="inlineStr">
        <is>
          <t>카페24</t>
        </is>
      </c>
      <c r="G10845" s="94" t="inlineStr">
        <is>
          <t>250ml</t>
        </is>
      </c>
      <c r="H10845" s="94" t="n">
        <v>200801</v>
      </c>
      <c r="I10845" s="94" t="n">
        <v>200801</v>
      </c>
      <c r="K10845" s="94" t="n">
        <v>28</v>
      </c>
      <c r="L10845" s="94" t="n">
        <v>200801</v>
      </c>
      <c r="M10845" s="94">
        <f>VLOOKUP($Q10845,매칭테이블!$F:$I,2,0)*K10845</f>
        <v/>
      </c>
      <c r="N10845" s="94">
        <f>M10845-M10845*VLOOKUP($Q10845,매칭테이블!$F:$I,3,0)</f>
        <v/>
      </c>
      <c r="O10845" s="94">
        <f>VLOOKUP($Q10845,매칭테이블!$F:$I,4,0)*K10845</f>
        <v/>
      </c>
      <c r="P10845" s="148">
        <f>M10845/1.1</f>
        <v/>
      </c>
      <c r="Q10845" s="94">
        <f>F10845&amp;E10845&amp;G10845&amp;L10845</f>
        <v/>
      </c>
    </row>
    <row r="10846" customFormat="1" s="94">
      <c r="B10846" s="128" t="n">
        <v>44145</v>
      </c>
      <c r="C10846" s="94">
        <f>TEXT(B10846,"aaa")</f>
        <v/>
      </c>
      <c r="E10846" s="94" t="inlineStr">
        <is>
          <t>토너</t>
        </is>
      </c>
      <c r="F10846" s="5" t="inlineStr">
        <is>
          <t>카페24</t>
        </is>
      </c>
      <c r="G10846" s="94" t="inlineStr">
        <is>
          <t>250ml 2set</t>
        </is>
      </c>
      <c r="H10846" s="94" t="n">
        <v>200801</v>
      </c>
      <c r="I10846" s="94" t="n">
        <v>200801</v>
      </c>
      <c r="K10846" s="94" t="n">
        <v>19</v>
      </c>
      <c r="L10846" s="94" t="n">
        <v>200801</v>
      </c>
      <c r="M10846" s="94">
        <f>VLOOKUP($Q10846,매칭테이블!$F:$I,2,0)*K10846</f>
        <v/>
      </c>
      <c r="N10846" s="94">
        <f>M10846-M10846*VLOOKUP($Q10846,매칭테이블!$F:$I,3,0)</f>
        <v/>
      </c>
      <c r="O10846" s="94">
        <f>VLOOKUP($Q10846,매칭테이블!$F:$I,4,0)*K10846</f>
        <v/>
      </c>
      <c r="P10846" s="148">
        <f>M10846/1.1</f>
        <v/>
      </c>
      <c r="Q10846" s="94">
        <f>F10846&amp;E10846&amp;G10846&amp;L10846</f>
        <v/>
      </c>
    </row>
    <row r="10847" customFormat="1" s="94">
      <c r="B10847" s="128" t="n">
        <v>44145</v>
      </c>
      <c r="C10847" s="94">
        <f>TEXT(B10847,"aaa")</f>
        <v/>
      </c>
      <c r="E10847" s="94" t="inlineStr">
        <is>
          <t>토너</t>
        </is>
      </c>
      <c r="F10847" s="5" t="inlineStr">
        <is>
          <t>카페24</t>
        </is>
      </c>
      <c r="G10847" s="94" t="inlineStr">
        <is>
          <t>500ml</t>
        </is>
      </c>
      <c r="H10847" s="94" t="n">
        <v>200801</v>
      </c>
      <c r="I10847" s="94" t="n">
        <v>200801</v>
      </c>
      <c r="K10847" s="94" t="n">
        <v>31</v>
      </c>
      <c r="L10847" s="94" t="n">
        <v>200801</v>
      </c>
      <c r="M10847" s="94">
        <f>VLOOKUP($Q10847,매칭테이블!$F:$I,2,0)*K10847</f>
        <v/>
      </c>
      <c r="N10847" s="94">
        <f>M10847-M10847*VLOOKUP($Q10847,매칭테이블!$F:$I,3,0)</f>
        <v/>
      </c>
      <c r="O10847" s="94">
        <f>VLOOKUP($Q10847,매칭테이블!$F:$I,4,0)*K10847</f>
        <v/>
      </c>
      <c r="P10847" s="148">
        <f>M10847/1.1</f>
        <v/>
      </c>
      <c r="Q10847" s="94">
        <f>F10847&amp;E10847&amp;G10847&amp;L10847</f>
        <v/>
      </c>
    </row>
    <row r="10848" customFormat="1" s="94">
      <c r="B10848" s="128" t="n">
        <v>44145</v>
      </c>
      <c r="C10848" s="94">
        <f>TEXT(B10848,"aaa")</f>
        <v/>
      </c>
      <c r="E10848" s="94" t="inlineStr">
        <is>
          <t>토너</t>
        </is>
      </c>
      <c r="F10848" s="5" t="inlineStr">
        <is>
          <t>카페24</t>
        </is>
      </c>
      <c r="G10848" s="94" t="inlineStr">
        <is>
          <t>스킨팩 화장솜 60P</t>
        </is>
      </c>
      <c r="H10848" s="94" t="n">
        <v>200801</v>
      </c>
      <c r="I10848" s="94" t="n">
        <v>200801</v>
      </c>
      <c r="K10848" s="94" t="n">
        <v>25</v>
      </c>
      <c r="L10848" s="94" t="n">
        <v>200801</v>
      </c>
      <c r="M10848" s="94">
        <f>VLOOKUP($Q10848,매칭테이블!$F:$I,2,0)*K10848</f>
        <v/>
      </c>
      <c r="N10848" s="94">
        <f>M10848-M10848*VLOOKUP($Q10848,매칭테이블!$F:$I,3,0)</f>
        <v/>
      </c>
      <c r="O10848" s="94">
        <f>VLOOKUP($Q10848,매칭테이블!$F:$I,4,0)*K10848</f>
        <v/>
      </c>
      <c r="P10848" s="148">
        <f>M10848/1.1</f>
        <v/>
      </c>
      <c r="Q10848" s="94">
        <f>F10848&amp;E10848&amp;G10848&amp;L10848</f>
        <v/>
      </c>
    </row>
    <row r="10849" customFormat="1" s="94">
      <c r="B10849" s="128" t="n">
        <v>44145</v>
      </c>
      <c r="C10849" s="94">
        <f>TEXT(B10849,"aaa")</f>
        <v/>
      </c>
      <c r="E10849" s="94" t="inlineStr">
        <is>
          <t>앰플</t>
        </is>
      </c>
      <c r="F10849" s="5" t="inlineStr">
        <is>
          <t>카페24</t>
        </is>
      </c>
      <c r="G10849" s="94" t="inlineStr">
        <is>
          <t>앰플 30ml</t>
        </is>
      </c>
      <c r="H10849" s="94" t="n">
        <v>200801</v>
      </c>
      <c r="I10849" s="94" t="n">
        <v>200801</v>
      </c>
      <c r="K10849" s="94" t="n">
        <v>16</v>
      </c>
      <c r="L10849" s="94" t="n">
        <v>200801</v>
      </c>
      <c r="M10849" s="94">
        <f>VLOOKUP($Q10849,매칭테이블!$F:$I,2,0)*K10849</f>
        <v/>
      </c>
      <c r="N10849" s="94">
        <f>M10849-M10849*VLOOKUP($Q10849,매칭테이블!$F:$I,3,0)</f>
        <v/>
      </c>
      <c r="O10849" s="94">
        <f>VLOOKUP($Q10849,매칭테이블!$F:$I,4,0)*K10849</f>
        <v/>
      </c>
      <c r="P10849" s="148">
        <f>M10849/1.1</f>
        <v/>
      </c>
      <c r="Q10849" s="94">
        <f>F10849&amp;E10849&amp;G10849&amp;L10849</f>
        <v/>
      </c>
    </row>
    <row r="10850" customFormat="1" s="94">
      <c r="B10850" s="128" t="n">
        <v>44145</v>
      </c>
      <c r="C10850" s="94">
        <f>TEXT(B10850,"aaa")</f>
        <v/>
      </c>
      <c r="E10850" s="94" t="inlineStr">
        <is>
          <t>앰플</t>
        </is>
      </c>
      <c r="F10850" s="5" t="inlineStr">
        <is>
          <t>카페24</t>
        </is>
      </c>
      <c r="G10850" s="94" t="inlineStr">
        <is>
          <t>앰플 30ml  2set</t>
        </is>
      </c>
      <c r="H10850" s="94" t="n">
        <v>200801</v>
      </c>
      <c r="I10850" s="94" t="n">
        <v>200801</v>
      </c>
      <c r="K10850" s="94" t="n">
        <v>9</v>
      </c>
      <c r="L10850" s="94" t="n">
        <v>200801</v>
      </c>
      <c r="M10850" s="94">
        <f>VLOOKUP($Q10850,매칭테이블!$F:$I,2,0)*K10850</f>
        <v/>
      </c>
      <c r="N10850" s="94">
        <f>M10850-M10850*VLOOKUP($Q10850,매칭테이블!$F:$I,3,0)</f>
        <v/>
      </c>
      <c r="O10850" s="94">
        <f>VLOOKUP($Q10850,매칭테이블!$F:$I,4,0)*K10850</f>
        <v/>
      </c>
      <c r="P10850" s="148">
        <f>M10850/1.1</f>
        <v/>
      </c>
      <c r="Q10850" s="94">
        <f>F10850&amp;E10850&amp;G10850&amp;L10850</f>
        <v/>
      </c>
    </row>
    <row r="10851" customFormat="1" s="94">
      <c r="B10851" s="128" t="n">
        <v>44145</v>
      </c>
      <c r="C10851" s="94">
        <f>TEXT(B10851,"aaa")</f>
        <v/>
      </c>
      <c r="E10851" s="94" t="inlineStr">
        <is>
          <t>수딩크림</t>
        </is>
      </c>
      <c r="F10851" s="5" t="inlineStr">
        <is>
          <t>카페24</t>
        </is>
      </c>
      <c r="G10851" s="94" t="inlineStr">
        <is>
          <t>수딩크림 100ml</t>
        </is>
      </c>
      <c r="H10851" s="94" t="n">
        <v>200801</v>
      </c>
      <c r="I10851" s="94" t="n">
        <v>200801</v>
      </c>
      <c r="K10851" s="94" t="n">
        <v>9</v>
      </c>
      <c r="L10851" s="94" t="n">
        <v>200801</v>
      </c>
      <c r="M10851" s="94">
        <f>VLOOKUP($Q10851,매칭테이블!$F:$I,2,0)*K10851</f>
        <v/>
      </c>
      <c r="N10851" s="94">
        <f>M10851-M10851*VLOOKUP($Q10851,매칭테이블!$F:$I,3,0)</f>
        <v/>
      </c>
      <c r="O10851" s="94">
        <f>VLOOKUP($Q10851,매칭테이블!$F:$I,4,0)*K10851</f>
        <v/>
      </c>
      <c r="P10851" s="148">
        <f>M10851/1.1</f>
        <v/>
      </c>
      <c r="Q10851" s="94">
        <f>F10851&amp;E10851&amp;G10851&amp;L10851</f>
        <v/>
      </c>
    </row>
    <row r="10852" customFormat="1" s="94">
      <c r="B10852" s="128" t="n">
        <v>44145</v>
      </c>
      <c r="C10852" s="94">
        <f>TEXT(B10852,"aaa")</f>
        <v/>
      </c>
      <c r="E10852" s="94" t="inlineStr">
        <is>
          <t>클렌징폼</t>
        </is>
      </c>
      <c r="F10852" s="5" t="inlineStr">
        <is>
          <t>카페24</t>
        </is>
      </c>
      <c r="G10852" s="94" t="inlineStr">
        <is>
          <t>클렌징폼 120ml</t>
        </is>
      </c>
      <c r="H10852" s="94" t="n">
        <v>200801</v>
      </c>
      <c r="I10852" s="94" t="n">
        <v>200801</v>
      </c>
      <c r="K10852" s="94" t="n">
        <v>11</v>
      </c>
      <c r="L10852" s="94" t="n">
        <v>200801</v>
      </c>
      <c r="M10852" s="94">
        <f>VLOOKUP($Q10852,매칭테이블!$F:$I,2,0)*K10852</f>
        <v/>
      </c>
      <c r="N10852" s="94">
        <f>M10852-M10852*VLOOKUP($Q10852,매칭테이블!$F:$I,3,0)</f>
        <v/>
      </c>
      <c r="O10852" s="94">
        <f>VLOOKUP($Q10852,매칭테이블!$F:$I,4,0)*K10852</f>
        <v/>
      </c>
      <c r="P10852" s="148">
        <f>M10852/1.1</f>
        <v/>
      </c>
      <c r="Q10852" s="94">
        <f>F10852&amp;E10852&amp;G10852&amp;L10852</f>
        <v/>
      </c>
    </row>
    <row r="10853" customFormat="1" s="94">
      <c r="B10853" s="128" t="n">
        <v>44145</v>
      </c>
      <c r="C10853" s="94">
        <f>TEXT(B10853,"aaa")</f>
        <v/>
      </c>
      <c r="E10853" s="94" t="inlineStr">
        <is>
          <t>바디워시</t>
        </is>
      </c>
      <c r="F10853" s="5" t="inlineStr">
        <is>
          <t>카페24</t>
        </is>
      </c>
      <c r="G10853" s="94" t="inlineStr">
        <is>
          <t>바디워시 1개 -30% off</t>
        </is>
      </c>
      <c r="H10853" s="94" t="n">
        <v>200801</v>
      </c>
      <c r="I10853" s="94" t="n">
        <v>200801</v>
      </c>
      <c r="K10853" s="94" t="n">
        <v>2</v>
      </c>
      <c r="L10853" s="94" t="n">
        <v>200801</v>
      </c>
      <c r="M10853" s="94">
        <f>VLOOKUP($Q10853,매칭테이블!$F:$I,2,0)*K10853</f>
        <v/>
      </c>
      <c r="N10853" s="94">
        <f>M10853-M10853*VLOOKUP($Q10853,매칭테이블!$F:$I,3,0)</f>
        <v/>
      </c>
      <c r="O10853" s="94">
        <f>VLOOKUP($Q10853,매칭테이블!$F:$I,4,0)*K10853</f>
        <v/>
      </c>
      <c r="P10853" s="148">
        <f>M10853/1.1</f>
        <v/>
      </c>
      <c r="Q10853" s="94">
        <f>F10853&amp;E10853&amp;G10853&amp;L10853</f>
        <v/>
      </c>
    </row>
    <row r="10854" customFormat="1" s="94">
      <c r="B10854" s="128" t="n">
        <v>44145</v>
      </c>
      <c r="C10854" s="94">
        <f>TEXT(B10854,"aaa")</f>
        <v/>
      </c>
      <c r="E10854" s="94" t="inlineStr">
        <is>
          <t>토너</t>
        </is>
      </c>
      <c r="F10854" s="5" t="inlineStr">
        <is>
          <t>화해</t>
        </is>
      </c>
      <c r="G10854" s="94" t="inlineStr">
        <is>
          <t>250ml</t>
        </is>
      </c>
      <c r="H10854" s="94" t="n">
        <v>200801</v>
      </c>
      <c r="I10854" s="94" t="n">
        <v>200801</v>
      </c>
      <c r="K10854" s="94" t="n">
        <v>6</v>
      </c>
      <c r="L10854" s="94" t="n">
        <v>200801</v>
      </c>
      <c r="M10854" s="94">
        <f>VLOOKUP($Q10854,매칭테이블!$F:$I,2,0)*K10854</f>
        <v/>
      </c>
      <c r="N10854" s="94">
        <f>M10854-M10854*VLOOKUP($Q10854,매칭테이블!$F:$I,3,0)</f>
        <v/>
      </c>
      <c r="O10854" s="94">
        <f>VLOOKUP($Q10854,매칭테이블!$F:$I,4,0)*K10854</f>
        <v/>
      </c>
      <c r="P10854" s="148">
        <f>M10854/1.1</f>
        <v/>
      </c>
      <c r="Q10854" s="94">
        <f>F10854&amp;E10854&amp;G10854&amp;L10854</f>
        <v/>
      </c>
    </row>
    <row r="10855">
      <c r="B10855" s="128" t="n">
        <v>44146</v>
      </c>
      <c r="C10855" s="94">
        <f>TEXT(B10855,"aaa")</f>
        <v/>
      </c>
      <c r="D10855" s="94" t="n"/>
      <c r="E10855" s="94" t="inlineStr">
        <is>
          <t>토너</t>
        </is>
      </c>
      <c r="F10855" s="94" t="inlineStr">
        <is>
          <t>W컨셉</t>
        </is>
      </c>
      <c r="G10855" s="94" t="inlineStr">
        <is>
          <t>250ml 2set</t>
        </is>
      </c>
      <c r="H10855" s="94" t="n">
        <v>200801</v>
      </c>
      <c r="I10855" s="94" t="n">
        <v>200801</v>
      </c>
      <c r="J10855" s="94" t="n"/>
      <c r="K10855" s="6" t="n">
        <v>6</v>
      </c>
      <c r="L10855" s="94" t="n">
        <v>200801</v>
      </c>
      <c r="M10855" s="94">
        <f>VLOOKUP($Q10855,매칭테이블!$F:$I,2,0)*K10855</f>
        <v/>
      </c>
      <c r="N10855" s="94">
        <f>M10855-M10855*VLOOKUP($Q10855,매칭테이블!$F:$I,3,0)</f>
        <v/>
      </c>
      <c r="O10855" s="94">
        <f>VLOOKUP($Q10855,매칭테이블!$F:$I,4,0)*K10855</f>
        <v/>
      </c>
      <c r="P10855" s="148">
        <f>M10855/1.1</f>
        <v/>
      </c>
      <c r="Q10855" s="94">
        <f>F10855&amp;E10855&amp;G10855&amp;L10855</f>
        <v/>
      </c>
    </row>
    <row r="10856">
      <c r="B10856" s="128" t="n">
        <v>44146</v>
      </c>
      <c r="C10856" s="94">
        <f>TEXT(B10856,"aaa")</f>
        <v/>
      </c>
      <c r="D10856" s="94" t="n"/>
      <c r="E10856" s="94" t="inlineStr">
        <is>
          <t>로션</t>
        </is>
      </c>
      <c r="F10856" s="94" t="inlineStr">
        <is>
          <t>글로우데이즈 시코르</t>
        </is>
      </c>
      <c r="G10856" s="94" t="inlineStr">
        <is>
          <t>로션 200ml</t>
        </is>
      </c>
      <c r="H10856" s="94" t="n">
        <v>200801</v>
      </c>
      <c r="I10856" s="94" t="n">
        <v>200801</v>
      </c>
      <c r="J10856" s="94" t="n"/>
      <c r="K10856" s="6" t="n">
        <v>3</v>
      </c>
      <c r="L10856" s="94" t="n">
        <v>200801</v>
      </c>
      <c r="M10856" s="94">
        <f>VLOOKUP($Q10856,매칭테이블!$F:$I,2,0)*K10856</f>
        <v/>
      </c>
      <c r="N10856" s="94">
        <f>M10856-M10856*VLOOKUP($Q10856,매칭테이블!$F:$I,3,0)</f>
        <v/>
      </c>
      <c r="O10856" s="94">
        <f>VLOOKUP($Q10856,매칭테이블!$F:$I,4,0)*K10856</f>
        <v/>
      </c>
      <c r="P10856" s="148">
        <f>M10856/1.1</f>
        <v/>
      </c>
      <c r="Q10856" s="94">
        <f>F10856&amp;E10856&amp;G10856&amp;L10856</f>
        <v/>
      </c>
    </row>
    <row r="10857">
      <c r="B10857" s="128" t="n">
        <v>44146</v>
      </c>
      <c r="C10857" s="94">
        <f>TEXT(B10857,"aaa")</f>
        <v/>
      </c>
      <c r="D10857" s="94" t="n"/>
      <c r="E10857" s="94" t="inlineStr">
        <is>
          <t>클리어 패드</t>
        </is>
      </c>
      <c r="F10857" s="94" t="inlineStr">
        <is>
          <t>글로우데이즈 시코르</t>
        </is>
      </c>
      <c r="G10857" s="94" t="inlineStr">
        <is>
          <t>어성초 클리어패드 70P</t>
        </is>
      </c>
      <c r="H10857" s="94" t="n">
        <v>200801</v>
      </c>
      <c r="I10857" s="94" t="n">
        <v>200801</v>
      </c>
      <c r="J10857" s="94" t="n"/>
      <c r="K10857" s="6" t="n">
        <v>6</v>
      </c>
      <c r="L10857" s="94" t="n">
        <v>200801</v>
      </c>
      <c r="M10857" s="94">
        <f>VLOOKUP($Q10857,매칭테이블!$F:$I,2,0)*K10857</f>
        <v/>
      </c>
      <c r="N10857" s="94">
        <f>M10857-M10857*VLOOKUP($Q10857,매칭테이블!$F:$I,3,0)</f>
        <v/>
      </c>
      <c r="O10857" s="94">
        <f>VLOOKUP($Q10857,매칭테이블!$F:$I,4,0)*K10857</f>
        <v/>
      </c>
      <c r="P10857" s="148">
        <f>M10857/1.1</f>
        <v/>
      </c>
      <c r="Q10857" s="94">
        <f>F10857&amp;E10857&amp;G10857&amp;L10857</f>
        <v/>
      </c>
    </row>
    <row r="10858">
      <c r="B10858" s="128" t="n">
        <v>44146</v>
      </c>
      <c r="C10858" s="94">
        <f>TEXT(B10858,"aaa")</f>
        <v/>
      </c>
      <c r="D10858" s="94" t="n"/>
      <c r="E10858" s="94" t="inlineStr">
        <is>
          <t>토너</t>
        </is>
      </c>
      <c r="F10858" s="94" t="inlineStr">
        <is>
          <t>글로우데이즈 시코르</t>
        </is>
      </c>
      <c r="G10858" s="94" t="inlineStr">
        <is>
          <t>토너=250ml</t>
        </is>
      </c>
      <c r="H10858" s="94" t="n">
        <v>200801</v>
      </c>
      <c r="I10858" s="94" t="n">
        <v>200801</v>
      </c>
      <c r="J10858" s="94" t="n"/>
      <c r="K10858" s="6" t="n">
        <v>9</v>
      </c>
      <c r="L10858" s="94" t="n">
        <v>200801</v>
      </c>
      <c r="M10858" s="94">
        <f>VLOOKUP($Q10858,매칭테이블!$F:$I,2,0)*K10858</f>
        <v/>
      </c>
      <c r="N10858" s="94">
        <f>M10858-M10858*VLOOKUP($Q10858,매칭테이블!$F:$I,3,0)</f>
        <v/>
      </c>
      <c r="O10858" s="94">
        <f>VLOOKUP($Q10858,매칭테이블!$F:$I,4,0)*K10858</f>
        <v/>
      </c>
      <c r="P10858" s="148">
        <f>M10858/1.1</f>
        <v/>
      </c>
      <c r="Q10858" s="94">
        <f>F10858&amp;E10858&amp;G10858&amp;L10858</f>
        <v/>
      </c>
    </row>
    <row r="10859">
      <c r="B10859" s="128" t="n">
        <v>44146</v>
      </c>
      <c r="C10859" s="94">
        <f>TEXT(B10859,"aaa")</f>
        <v/>
      </c>
      <c r="D10859" s="94" t="n"/>
      <c r="E10859" s="94" t="inlineStr">
        <is>
          <t>앰플</t>
        </is>
      </c>
      <c r="F10859" s="94" t="inlineStr">
        <is>
          <t>글로우데이즈 시코르</t>
        </is>
      </c>
      <c r="G10859" s="94" t="inlineStr">
        <is>
          <t>앰플=앰플 30ml</t>
        </is>
      </c>
      <c r="H10859" s="94" t="n">
        <v>200801</v>
      </c>
      <c r="I10859" s="94" t="n">
        <v>200801</v>
      </c>
      <c r="J10859" s="94" t="n"/>
      <c r="K10859" s="6" t="n">
        <v>3</v>
      </c>
      <c r="L10859" s="94" t="n">
        <v>200801</v>
      </c>
      <c r="M10859" s="94">
        <f>VLOOKUP($Q10859,매칭테이블!$F:$I,2,0)*K10859</f>
        <v/>
      </c>
      <c r="N10859" s="94">
        <f>M10859-M10859*VLOOKUP($Q10859,매칭테이블!$F:$I,3,0)</f>
        <v/>
      </c>
      <c r="O10859" s="94">
        <f>VLOOKUP($Q10859,매칭테이블!$F:$I,4,0)*K10859</f>
        <v/>
      </c>
      <c r="P10859" s="148">
        <f>M10859/1.1</f>
        <v/>
      </c>
      <c r="Q10859" s="94">
        <f>F10859&amp;E10859&amp;G10859&amp;L10859</f>
        <v/>
      </c>
    </row>
    <row r="10860">
      <c r="B10860" s="128" t="n">
        <v>44146</v>
      </c>
      <c r="C10860" s="94">
        <f>TEXT(B10860,"aaa")</f>
        <v/>
      </c>
      <c r="D10860" s="94" t="n"/>
      <c r="E10860" s="94" t="inlineStr">
        <is>
          <t>수딩크림</t>
        </is>
      </c>
      <c r="F10860" s="94" t="inlineStr">
        <is>
          <t>글로우데이즈 시코르</t>
        </is>
      </c>
      <c r="G10860" s="94" t="inlineStr">
        <is>
          <t>수딩크림=수딩크림 100ml</t>
        </is>
      </c>
      <c r="H10860" s="94" t="n">
        <v>200801</v>
      </c>
      <c r="I10860" s="94" t="n">
        <v>200801</v>
      </c>
      <c r="J10860" s="94" t="n"/>
      <c r="K10860" s="6" t="n">
        <v>3</v>
      </c>
      <c r="L10860" s="94" t="n">
        <v>200801</v>
      </c>
      <c r="M10860" s="94">
        <f>VLOOKUP($Q10860,매칭테이블!$F:$I,2,0)*K10860</f>
        <v/>
      </c>
      <c r="N10860" s="94">
        <f>M10860-M10860*VLOOKUP($Q10860,매칭테이블!$F:$I,3,0)</f>
        <v/>
      </c>
      <c r="O10860" s="94">
        <f>VLOOKUP($Q10860,매칭테이블!$F:$I,4,0)*K10860</f>
        <v/>
      </c>
      <c r="P10860" s="148">
        <f>M10860/1.1</f>
        <v/>
      </c>
      <c r="Q10860" s="94">
        <f>F10860&amp;E10860&amp;G10860&amp;L10860</f>
        <v/>
      </c>
    </row>
    <row r="10861">
      <c r="B10861" s="128" t="n">
        <v>44146</v>
      </c>
      <c r="C10861" s="94">
        <f>TEXT(B10861,"aaa")</f>
        <v/>
      </c>
      <c r="D10861" s="94" t="n"/>
      <c r="E10861" s="94" t="inlineStr">
        <is>
          <t>머드크림마스크</t>
        </is>
      </c>
      <c r="F10861" s="94" t="inlineStr">
        <is>
          <t>글로우데이즈 시코르</t>
        </is>
      </c>
      <c r="G10861" s="94" t="inlineStr">
        <is>
          <t>머드크림마스크=머드크림마스크 100ml</t>
        </is>
      </c>
      <c r="H10861" s="94" t="n">
        <v>200801</v>
      </c>
      <c r="I10861" s="94" t="n">
        <v>200801</v>
      </c>
      <c r="J10861" s="94" t="n"/>
      <c r="K10861" s="6" t="n">
        <v>3</v>
      </c>
      <c r="L10861" s="94" t="n">
        <v>200801</v>
      </c>
      <c r="M10861" s="94">
        <f>VLOOKUP($Q10861,매칭테이블!$F:$I,2,0)*K10861</f>
        <v/>
      </c>
      <c r="N10861" s="94">
        <f>M10861-M10861*VLOOKUP($Q10861,매칭테이블!$F:$I,3,0)</f>
        <v/>
      </c>
      <c r="O10861" s="94">
        <f>VLOOKUP($Q10861,매칭테이블!$F:$I,4,0)*K10861</f>
        <v/>
      </c>
      <c r="P10861" s="148">
        <f>M10861/1.1</f>
        <v/>
      </c>
      <c r="Q10861" s="94">
        <f>F10861&amp;E10861&amp;G10861&amp;L10861</f>
        <v/>
      </c>
    </row>
    <row r="10862">
      <c r="B10862" s="128" t="n">
        <v>44146</v>
      </c>
      <c r="C10862" s="94">
        <f>TEXT(B10862,"aaa")</f>
        <v/>
      </c>
      <c r="D10862" s="94" t="n"/>
      <c r="E10862" s="94" t="inlineStr">
        <is>
          <t>클렌징폼</t>
        </is>
      </c>
      <c r="F10862" s="94" t="inlineStr">
        <is>
          <t>글로우데이즈 시코르</t>
        </is>
      </c>
      <c r="G10862" s="94" t="inlineStr">
        <is>
          <t>클렌징폼=클렌징폼 120ml</t>
        </is>
      </c>
      <c r="H10862" s="94" t="n">
        <v>200801</v>
      </c>
      <c r="I10862" s="94" t="n">
        <v>200801</v>
      </c>
      <c r="J10862" s="94" t="n"/>
      <c r="K10862" s="6" t="n">
        <v>3</v>
      </c>
      <c r="L10862" s="94" t="n">
        <v>200801</v>
      </c>
      <c r="M10862" s="94">
        <f>VLOOKUP($Q10862,매칭테이블!$F:$I,2,0)*K10862</f>
        <v/>
      </c>
      <c r="N10862" s="94">
        <f>M10862-M10862*VLOOKUP($Q10862,매칭테이블!$F:$I,3,0)</f>
        <v/>
      </c>
      <c r="O10862" s="94">
        <f>VLOOKUP($Q10862,매칭테이블!$F:$I,4,0)*K10862</f>
        <v/>
      </c>
      <c r="P10862" s="148">
        <f>M10862/1.1</f>
        <v/>
      </c>
      <c r="Q10862" s="94">
        <f>F10862&amp;E10862&amp;G10862&amp;L10862</f>
        <v/>
      </c>
    </row>
    <row r="10863">
      <c r="B10863" s="128" t="n">
        <v>44146</v>
      </c>
      <c r="C10863" s="94">
        <f>TEXT(B10863,"aaa")</f>
        <v/>
      </c>
      <c r="D10863" s="94" t="n"/>
      <c r="E10863" s="94" t="inlineStr">
        <is>
          <t>마스크팩</t>
        </is>
      </c>
      <c r="F10863" s="94" t="inlineStr">
        <is>
          <t>글로우데이즈 시코르</t>
        </is>
      </c>
      <c r="G10863" s="94" t="inlineStr">
        <is>
          <t>마스크팩=마스크팩 10매</t>
        </is>
      </c>
      <c r="H10863" s="94" t="n">
        <v>200801</v>
      </c>
      <c r="I10863" s="94" t="n">
        <v>200801</v>
      </c>
      <c r="J10863" s="94" t="n"/>
      <c r="K10863" s="6" t="n">
        <v>7</v>
      </c>
      <c r="L10863" s="94" t="n">
        <v>200801</v>
      </c>
      <c r="M10863" s="94">
        <f>VLOOKUP($Q10863,매칭테이블!$F:$I,2,0)*K10863</f>
        <v/>
      </c>
      <c r="N10863" s="94">
        <f>M10863-M10863*VLOOKUP($Q10863,매칭테이블!$F:$I,3,0)</f>
        <v/>
      </c>
      <c r="O10863" s="94">
        <f>VLOOKUP($Q10863,매칭테이블!$F:$I,4,0)*K10863</f>
        <v/>
      </c>
      <c r="P10863" s="148">
        <f>M10863/1.1</f>
        <v/>
      </c>
      <c r="Q10863" s="94">
        <f>F10863&amp;E10863&amp;G10863&amp;L10863</f>
        <v/>
      </c>
    </row>
    <row r="10864">
      <c r="B10864" s="128" t="n">
        <v>44146</v>
      </c>
      <c r="C10864" s="94">
        <f>TEXT(B10864,"aaa")</f>
        <v/>
      </c>
      <c r="D10864" s="94" t="n"/>
      <c r="E10864" s="94" t="inlineStr">
        <is>
          <t>선크림</t>
        </is>
      </c>
      <c r="F10864" s="94" t="inlineStr">
        <is>
          <t>글로우데이즈 시코르</t>
        </is>
      </c>
      <c r="G10864" s="94" t="inlineStr">
        <is>
          <t>선크림=선크림 50ml</t>
        </is>
      </c>
      <c r="H10864" s="94" t="n">
        <v>200801</v>
      </c>
      <c r="I10864" s="94" t="n">
        <v>200801</v>
      </c>
      <c r="J10864" s="94" t="n"/>
      <c r="K10864" s="6" t="n">
        <v>3</v>
      </c>
      <c r="L10864" s="94" t="n">
        <v>200801</v>
      </c>
      <c r="M10864" s="94">
        <f>VLOOKUP($Q10864,매칭테이블!$F:$I,2,0)*K10864</f>
        <v/>
      </c>
      <c r="N10864" s="94">
        <f>M10864-M10864*VLOOKUP($Q10864,매칭테이블!$F:$I,3,0)</f>
        <v/>
      </c>
      <c r="O10864" s="94">
        <f>VLOOKUP($Q10864,매칭테이블!$F:$I,4,0)*K10864</f>
        <v/>
      </c>
      <c r="P10864" s="148">
        <f>M10864/1.1</f>
        <v/>
      </c>
      <c r="Q10864" s="94">
        <f>F10864&amp;E10864&amp;G10864&amp;L10864</f>
        <v/>
      </c>
    </row>
    <row r="10865">
      <c r="B10865" s="128" t="n">
        <v>44146</v>
      </c>
      <c r="C10865" s="94">
        <f>TEXT(B10865,"aaa")</f>
        <v/>
      </c>
      <c r="D10865" s="94" t="n"/>
      <c r="E10865" s="94" t="inlineStr">
        <is>
          <t>토너</t>
        </is>
      </c>
      <c r="F10865" s="94" t="inlineStr">
        <is>
          <t>스타일쉐어</t>
        </is>
      </c>
      <c r="G10865" s="94" t="inlineStr">
        <is>
          <t>250ml</t>
        </is>
      </c>
      <c r="H10865" s="94" t="n">
        <v>200801</v>
      </c>
      <c r="I10865" s="94" t="n">
        <v>200801</v>
      </c>
      <c r="J10865" s="94" t="n"/>
      <c r="K10865" s="6" t="n">
        <v>4</v>
      </c>
      <c r="L10865" s="94" t="n">
        <v>200801</v>
      </c>
      <c r="M10865" s="94">
        <f>VLOOKUP($Q10865,매칭테이블!$F:$I,2,0)*K10865</f>
        <v/>
      </c>
      <c r="N10865" s="94">
        <f>M10865-M10865*VLOOKUP($Q10865,매칭테이블!$F:$I,3,0)</f>
        <v/>
      </c>
      <c r="O10865" s="94">
        <f>VLOOKUP($Q10865,매칭테이블!$F:$I,4,0)*K10865</f>
        <v/>
      </c>
      <c r="P10865" s="148">
        <f>M10865/1.1</f>
        <v/>
      </c>
      <c r="Q10865" s="94">
        <f>F10865&amp;E10865&amp;G10865&amp;L10865</f>
        <v/>
      </c>
    </row>
    <row r="10866">
      <c r="B10866" s="128" t="n">
        <v>44146</v>
      </c>
      <c r="C10866" s="94">
        <f>TEXT(B10866,"aaa")</f>
        <v/>
      </c>
      <c r="D10866" s="94" t="n"/>
      <c r="E10866" s="94" t="inlineStr">
        <is>
          <t>클리어 패드</t>
        </is>
      </c>
      <c r="F10866" s="94" t="inlineStr">
        <is>
          <t>아누아 CS</t>
        </is>
      </c>
      <c r="G10866" s="94" t="inlineStr">
        <is>
          <t>어성초 클리어패드 70P</t>
        </is>
      </c>
      <c r="H10866" s="94" t="n">
        <v>200801</v>
      </c>
      <c r="I10866" s="94" t="n">
        <v>200801</v>
      </c>
      <c r="J10866" s="94" t="n"/>
      <c r="K10866" s="6" t="n">
        <v>129</v>
      </c>
      <c r="L10866" s="94" t="n">
        <v>200801</v>
      </c>
      <c r="M10866" s="94">
        <f>VLOOKUP($Q10866,매칭테이블!$F:$I,2,0)*K10866</f>
        <v/>
      </c>
      <c r="N10866" s="94">
        <f>M10866-M10866*VLOOKUP($Q10866,매칭테이블!$F:$I,3,0)</f>
        <v/>
      </c>
      <c r="O10866" s="94">
        <f>VLOOKUP($Q10866,매칭테이블!$F:$I,4,0)*K10866</f>
        <v/>
      </c>
      <c r="P10866" s="148">
        <f>M10866/1.1</f>
        <v/>
      </c>
      <c r="Q10866" s="94">
        <f>F10866&amp;E10866&amp;G10866&amp;L10866</f>
        <v/>
      </c>
    </row>
    <row r="10867">
      <c r="B10867" s="128" t="n">
        <v>44146</v>
      </c>
      <c r="C10867" s="94">
        <f>TEXT(B10867,"aaa")</f>
        <v/>
      </c>
      <c r="D10867" s="94" t="n"/>
      <c r="E10867" s="94" t="inlineStr">
        <is>
          <t>선크림</t>
        </is>
      </c>
      <c r="F10867" s="94" t="inlineStr">
        <is>
          <t>카페24</t>
        </is>
      </c>
      <c r="G10867" s="94" t="inlineStr">
        <is>
          <t>선크림 50ml  2set</t>
        </is>
      </c>
      <c r="H10867" s="94" t="n">
        <v>200801</v>
      </c>
      <c r="I10867" s="94" t="n">
        <v>200801</v>
      </c>
      <c r="J10867" s="94" t="n"/>
      <c r="K10867" s="6" t="n">
        <v>3</v>
      </c>
      <c r="L10867" s="94" t="n">
        <v>200801</v>
      </c>
      <c r="M10867" s="94">
        <f>VLOOKUP($Q10867,매칭테이블!$F:$I,2,0)*K10867</f>
        <v/>
      </c>
      <c r="N10867" s="94">
        <f>M10867-M10867*VLOOKUP($Q10867,매칭테이블!$F:$I,3,0)</f>
        <v/>
      </c>
      <c r="O10867" s="94">
        <f>VLOOKUP($Q10867,매칭테이블!$F:$I,4,0)*K10867</f>
        <v/>
      </c>
      <c r="P10867" s="148">
        <f>M10867/1.1</f>
        <v/>
      </c>
      <c r="Q10867" s="94">
        <f>F10867&amp;E10867&amp;G10867&amp;L10867</f>
        <v/>
      </c>
    </row>
    <row r="10868">
      <c r="B10868" s="128" t="n">
        <v>44146</v>
      </c>
      <c r="C10868" s="94">
        <f>TEXT(B10868,"aaa")</f>
        <v/>
      </c>
      <c r="D10868" s="94" t="n"/>
      <c r="E10868" s="94" t="inlineStr">
        <is>
          <t>어성초진정패키지</t>
        </is>
      </c>
      <c r="F10868" s="94" t="inlineStr">
        <is>
          <t>카페24</t>
        </is>
      </c>
      <c r="G10868" s="94" t="inlineStr">
        <is>
          <t>어성초 진정패키지세트</t>
        </is>
      </c>
      <c r="H10868" s="94" t="n">
        <v>200801</v>
      </c>
      <c r="I10868" s="94" t="n">
        <v>200801</v>
      </c>
      <c r="J10868" s="94" t="n"/>
      <c r="K10868" s="6" t="n">
        <v>3</v>
      </c>
      <c r="L10868" s="94" t="n">
        <v>200801</v>
      </c>
      <c r="M10868" s="94">
        <f>VLOOKUP($Q10868,매칭테이블!$F:$I,2,0)*K10868</f>
        <v/>
      </c>
      <c r="N10868" s="94">
        <f>M10868-M10868*VLOOKUP($Q10868,매칭테이블!$F:$I,3,0)</f>
        <v/>
      </c>
      <c r="O10868" s="94">
        <f>VLOOKUP($Q10868,매칭테이블!$F:$I,4,0)*K10868</f>
        <v/>
      </c>
      <c r="P10868" s="148">
        <f>M10868/1.1</f>
        <v/>
      </c>
      <c r="Q10868" s="94">
        <f>F10868&amp;E10868&amp;G10868&amp;L10868</f>
        <v/>
      </c>
    </row>
    <row r="10869">
      <c r="B10869" s="128" t="n">
        <v>44146</v>
      </c>
      <c r="C10869" s="94">
        <f>TEXT(B10869,"aaa")</f>
        <v/>
      </c>
      <c r="D10869" s="94" t="n"/>
      <c r="E10869" s="94" t="inlineStr">
        <is>
          <t>클리어 패드</t>
        </is>
      </c>
      <c r="F10869" s="94" t="inlineStr">
        <is>
          <t>카페24</t>
        </is>
      </c>
      <c r="G10869" s="94" t="inlineStr">
        <is>
          <t>어성초 77 클리어 패드 1개-20% off</t>
        </is>
      </c>
      <c r="H10869" s="94" t="n">
        <v>200801</v>
      </c>
      <c r="I10869" s="94" t="n">
        <v>200801</v>
      </c>
      <c r="J10869" s="94" t="n"/>
      <c r="K10869" s="6" t="n">
        <v>16</v>
      </c>
      <c r="L10869" s="94" t="n">
        <v>200801</v>
      </c>
      <c r="M10869" s="94">
        <f>VLOOKUP($Q10869,매칭테이블!$F:$I,2,0)*K10869</f>
        <v/>
      </c>
      <c r="N10869" s="94">
        <f>M10869-M10869*VLOOKUP($Q10869,매칭테이블!$F:$I,3,0)</f>
        <v/>
      </c>
      <c r="O10869" s="94">
        <f>VLOOKUP($Q10869,매칭테이블!$F:$I,4,0)*K10869</f>
        <v/>
      </c>
      <c r="P10869" s="148">
        <f>M10869/1.1</f>
        <v/>
      </c>
      <c r="Q10869" s="94">
        <f>F10869&amp;E10869&amp;G10869&amp;L10869</f>
        <v/>
      </c>
    </row>
    <row r="10870">
      <c r="B10870" s="128" t="n">
        <v>44146</v>
      </c>
      <c r="C10870" s="94">
        <f>TEXT(B10870,"aaa")</f>
        <v/>
      </c>
      <c r="D10870" s="94" t="n"/>
      <c r="E10870" s="94" t="inlineStr">
        <is>
          <t>클리어 패드</t>
        </is>
      </c>
      <c r="F10870" s="94" t="inlineStr">
        <is>
          <t>카페24</t>
        </is>
      </c>
      <c r="G10870" s="94" t="inlineStr">
        <is>
          <t>어성초 77 클리어 패드 2개-30% off</t>
        </is>
      </c>
      <c r="H10870" s="94" t="n">
        <v>200801</v>
      </c>
      <c r="I10870" s="94" t="n">
        <v>200801</v>
      </c>
      <c r="J10870" s="94" t="n"/>
      <c r="K10870" s="6" t="n">
        <v>24</v>
      </c>
      <c r="L10870" s="94" t="n">
        <v>200801</v>
      </c>
      <c r="M10870" s="94">
        <f>VLOOKUP($Q10870,매칭테이블!$F:$I,2,0)*K10870</f>
        <v/>
      </c>
      <c r="N10870" s="94">
        <f>M10870-M10870*VLOOKUP($Q10870,매칭테이블!$F:$I,3,0)</f>
        <v/>
      </c>
      <c r="O10870" s="94">
        <f>VLOOKUP($Q10870,매칭테이블!$F:$I,4,0)*K10870</f>
        <v/>
      </c>
      <c r="P10870" s="148">
        <f>M10870/1.1</f>
        <v/>
      </c>
      <c r="Q10870" s="94">
        <f>F10870&amp;E10870&amp;G10870&amp;L10870</f>
        <v/>
      </c>
    </row>
    <row r="10871">
      <c r="B10871" s="128" t="n">
        <v>44146</v>
      </c>
      <c r="C10871" s="94">
        <f>TEXT(B10871,"aaa")</f>
        <v/>
      </c>
      <c r="D10871" s="94" t="n"/>
      <c r="E10871" s="94" t="inlineStr">
        <is>
          <t>토너+패드 세트</t>
        </is>
      </c>
      <c r="F10871" s="94" t="inlineStr">
        <is>
          <t>카페24</t>
        </is>
      </c>
      <c r="G10871" s="94" t="inlineStr">
        <is>
          <t>좁쌀 진정 세트 토너+클리어 패드-30% off</t>
        </is>
      </c>
      <c r="H10871" s="94" t="n">
        <v>200801</v>
      </c>
      <c r="I10871" s="94" t="n">
        <v>200801</v>
      </c>
      <c r="J10871" s="94" t="n"/>
      <c r="K10871" s="6" t="n">
        <v>14</v>
      </c>
      <c r="L10871" s="94" t="n">
        <v>200801</v>
      </c>
      <c r="M10871" s="94">
        <f>VLOOKUP($Q10871,매칭테이블!$F:$I,2,0)*K10871</f>
        <v/>
      </c>
      <c r="N10871" s="94">
        <f>M10871-M10871*VLOOKUP($Q10871,매칭테이블!$F:$I,3,0)</f>
        <v/>
      </c>
      <c r="O10871" s="94">
        <f>VLOOKUP($Q10871,매칭테이블!$F:$I,4,0)*K10871</f>
        <v/>
      </c>
      <c r="P10871" s="148">
        <f>M10871/1.1</f>
        <v/>
      </c>
      <c r="Q10871" s="94">
        <f>F10871&amp;E10871&amp;G10871&amp;L10871</f>
        <v/>
      </c>
    </row>
    <row r="10872">
      <c r="B10872" s="128" t="n">
        <v>44146</v>
      </c>
      <c r="C10872" s="94">
        <f>TEXT(B10872,"aaa")</f>
        <v/>
      </c>
      <c r="D10872" s="94" t="n"/>
      <c r="E10872" s="94" t="inlineStr">
        <is>
          <t>수분 보충 세트</t>
        </is>
      </c>
      <c r="F10872" s="94" t="inlineStr">
        <is>
          <t>카페24</t>
        </is>
      </c>
      <c r="G10872" s="94" t="inlineStr">
        <is>
          <t>[20/09/28 부터] 어성초 77 토너 250ml + 어성초 70 로션 200ml -30%</t>
        </is>
      </c>
      <c r="H10872" s="94" t="n">
        <v>200801</v>
      </c>
      <c r="I10872" s="94" t="n">
        <v>200801</v>
      </c>
      <c r="J10872" s="94" t="n"/>
      <c r="K10872" s="6" t="n">
        <v>22</v>
      </c>
      <c r="L10872" s="94" t="n">
        <v>200801</v>
      </c>
      <c r="M10872" s="94">
        <f>VLOOKUP($Q10872,매칭테이블!$F:$I,2,0)*K10872</f>
        <v/>
      </c>
      <c r="N10872" s="94">
        <f>M10872-M10872*VLOOKUP($Q10872,매칭테이블!$F:$I,3,0)</f>
        <v/>
      </c>
      <c r="O10872" s="94">
        <f>VLOOKUP($Q10872,매칭테이블!$F:$I,4,0)*K10872</f>
        <v/>
      </c>
      <c r="P10872" s="148">
        <f>M10872/1.1</f>
        <v/>
      </c>
      <c r="Q10872" s="94">
        <f>F10872&amp;E10872&amp;G10872&amp;L10872</f>
        <v/>
      </c>
    </row>
    <row r="10873">
      <c r="B10873" s="128" t="n">
        <v>44146</v>
      </c>
      <c r="C10873" s="94">
        <f>TEXT(B10873,"aaa")</f>
        <v/>
      </c>
      <c r="D10873" s="94" t="n"/>
      <c r="E10873" s="94" t="inlineStr">
        <is>
          <t>로션</t>
        </is>
      </c>
      <c r="F10873" s="94" t="inlineStr">
        <is>
          <t>카페24</t>
        </is>
      </c>
      <c r="G10873" s="94" t="inlineStr">
        <is>
          <t>어성초 70 데일리 릴리프 로션 1개 -20% off</t>
        </is>
      </c>
      <c r="H10873" s="94" t="n">
        <v>200801</v>
      </c>
      <c r="I10873" s="94" t="n">
        <v>200801</v>
      </c>
      <c r="J10873" s="94" t="n"/>
      <c r="K10873" s="6" t="n">
        <v>4</v>
      </c>
      <c r="L10873" s="94" t="n">
        <v>200801</v>
      </c>
      <c r="M10873" s="94">
        <f>VLOOKUP($Q10873,매칭테이블!$F:$I,2,0)*K10873</f>
        <v/>
      </c>
      <c r="N10873" s="94">
        <f>M10873-M10873*VLOOKUP($Q10873,매칭테이블!$F:$I,3,0)</f>
        <v/>
      </c>
      <c r="O10873" s="94">
        <f>VLOOKUP($Q10873,매칭테이블!$F:$I,4,0)*K10873</f>
        <v/>
      </c>
      <c r="P10873" s="148">
        <f>M10873/1.1</f>
        <v/>
      </c>
      <c r="Q10873" s="94">
        <f>F10873&amp;E10873&amp;G10873&amp;L10873</f>
        <v/>
      </c>
    </row>
    <row r="10874">
      <c r="B10874" s="128" t="n">
        <v>44146</v>
      </c>
      <c r="C10874" s="94">
        <f>TEXT(B10874,"aaa")</f>
        <v/>
      </c>
      <c r="D10874" s="94" t="n"/>
      <c r="E10874" s="94" t="inlineStr">
        <is>
          <t>머드크림마스크</t>
        </is>
      </c>
      <c r="F10874" s="94" t="inlineStr">
        <is>
          <t>카페24</t>
        </is>
      </c>
      <c r="G10874" s="94" t="inlineStr">
        <is>
          <t>머드크림마스크 100ml</t>
        </is>
      </c>
      <c r="H10874" s="94" t="n">
        <v>200801</v>
      </c>
      <c r="I10874" s="94" t="n">
        <v>200801</v>
      </c>
      <c r="J10874" s="94" t="n"/>
      <c r="K10874" s="6" t="n">
        <v>3</v>
      </c>
      <c r="L10874" s="94" t="n">
        <v>200801</v>
      </c>
      <c r="M10874" s="94">
        <f>VLOOKUP($Q10874,매칭테이블!$F:$I,2,0)*K10874</f>
        <v/>
      </c>
      <c r="N10874" s="94">
        <f>M10874-M10874*VLOOKUP($Q10874,매칭테이블!$F:$I,3,0)</f>
        <v/>
      </c>
      <c r="O10874" s="94">
        <f>VLOOKUP($Q10874,매칭테이블!$F:$I,4,0)*K10874</f>
        <v/>
      </c>
      <c r="P10874" s="148">
        <f>M10874/1.1</f>
        <v/>
      </c>
      <c r="Q10874" s="94">
        <f>F10874&amp;E10874&amp;G10874&amp;L10874</f>
        <v/>
      </c>
    </row>
    <row r="10875">
      <c r="B10875" s="128" t="n">
        <v>44146</v>
      </c>
      <c r="C10875" s="94">
        <f>TEXT(B10875,"aaa")</f>
        <v/>
      </c>
      <c r="D10875" s="94" t="n"/>
      <c r="E10875" s="94" t="inlineStr">
        <is>
          <t>마스크팩</t>
        </is>
      </c>
      <c r="F10875" s="94" t="inlineStr">
        <is>
          <t>카페24</t>
        </is>
      </c>
      <c r="G10875" s="94" t="inlineStr">
        <is>
          <t>마스크팩 10매</t>
        </is>
      </c>
      <c r="H10875" s="94" t="n">
        <v>200801</v>
      </c>
      <c r="I10875" s="94" t="n">
        <v>200801</v>
      </c>
      <c r="J10875" s="94" t="n"/>
      <c r="K10875" s="6" t="n">
        <v>1</v>
      </c>
      <c r="L10875" s="94" t="n">
        <v>200801</v>
      </c>
      <c r="M10875" s="94">
        <f>VLOOKUP($Q10875,매칭테이블!$F:$I,2,0)*K10875</f>
        <v/>
      </c>
      <c r="N10875" s="94">
        <f>M10875-M10875*VLOOKUP($Q10875,매칭테이블!$F:$I,3,0)</f>
        <v/>
      </c>
      <c r="O10875" s="94">
        <f>VLOOKUP($Q10875,매칭테이블!$F:$I,4,0)*K10875</f>
        <v/>
      </c>
      <c r="P10875" s="148">
        <f>M10875/1.1</f>
        <v/>
      </c>
      <c r="Q10875" s="94">
        <f>F10875&amp;E10875&amp;G10875&amp;L10875</f>
        <v/>
      </c>
    </row>
    <row r="10876">
      <c r="B10876" s="128" t="n">
        <v>44146</v>
      </c>
      <c r="C10876" s="94">
        <f>TEXT(B10876,"aaa")</f>
        <v/>
      </c>
      <c r="D10876" s="94" t="n"/>
      <c r="E10876" s="94" t="inlineStr">
        <is>
          <t>토너</t>
        </is>
      </c>
      <c r="F10876" s="94" t="inlineStr">
        <is>
          <t>카페24</t>
        </is>
      </c>
      <c r="G10876" s="94" t="inlineStr">
        <is>
          <t>250ml</t>
        </is>
      </c>
      <c r="H10876" s="94" t="n">
        <v>200801</v>
      </c>
      <c r="I10876" s="94" t="n">
        <v>200801</v>
      </c>
      <c r="J10876" s="94" t="n"/>
      <c r="K10876" s="6" t="n">
        <v>23</v>
      </c>
      <c r="L10876" s="94" t="n">
        <v>200801</v>
      </c>
      <c r="M10876" s="94">
        <f>VLOOKUP($Q10876,매칭테이블!$F:$I,2,0)*K10876</f>
        <v/>
      </c>
      <c r="N10876" s="94">
        <f>M10876-M10876*VLOOKUP($Q10876,매칭테이블!$F:$I,3,0)</f>
        <v/>
      </c>
      <c r="O10876" s="94">
        <f>VLOOKUP($Q10876,매칭테이블!$F:$I,4,0)*K10876</f>
        <v/>
      </c>
      <c r="P10876" s="148">
        <f>M10876/1.1</f>
        <v/>
      </c>
      <c r="Q10876" s="94">
        <f>F10876&amp;E10876&amp;G10876&amp;L10876</f>
        <v/>
      </c>
    </row>
    <row r="10877">
      <c r="B10877" s="128" t="n">
        <v>44146</v>
      </c>
      <c r="C10877" s="94">
        <f>TEXT(B10877,"aaa")</f>
        <v/>
      </c>
      <c r="D10877" s="94" t="n"/>
      <c r="E10877" s="94" t="inlineStr">
        <is>
          <t>토너</t>
        </is>
      </c>
      <c r="F10877" s="94" t="inlineStr">
        <is>
          <t>카페24</t>
        </is>
      </c>
      <c r="G10877" s="94" t="inlineStr">
        <is>
          <t>250ml 2set</t>
        </is>
      </c>
      <c r="H10877" s="94" t="n">
        <v>200801</v>
      </c>
      <c r="I10877" s="94" t="n">
        <v>200801</v>
      </c>
      <c r="J10877" s="94" t="n"/>
      <c r="K10877" s="6" t="n">
        <v>13</v>
      </c>
      <c r="L10877" s="94" t="n">
        <v>200801</v>
      </c>
      <c r="M10877" s="94">
        <f>VLOOKUP($Q10877,매칭테이블!$F:$I,2,0)*K10877</f>
        <v/>
      </c>
      <c r="N10877" s="94">
        <f>M10877-M10877*VLOOKUP($Q10877,매칭테이블!$F:$I,3,0)</f>
        <v/>
      </c>
      <c r="O10877" s="94">
        <f>VLOOKUP($Q10877,매칭테이블!$F:$I,4,0)*K10877</f>
        <v/>
      </c>
      <c r="P10877" s="148">
        <f>M10877/1.1</f>
        <v/>
      </c>
      <c r="Q10877" s="94">
        <f>F10877&amp;E10877&amp;G10877&amp;L10877</f>
        <v/>
      </c>
    </row>
    <row r="10878">
      <c r="B10878" s="128" t="n">
        <v>44146</v>
      </c>
      <c r="C10878" s="94">
        <f>TEXT(B10878,"aaa")</f>
        <v/>
      </c>
      <c r="D10878" s="94" t="n"/>
      <c r="E10878" s="94" t="inlineStr">
        <is>
          <t>토너</t>
        </is>
      </c>
      <c r="F10878" s="94" t="inlineStr">
        <is>
          <t>카페24</t>
        </is>
      </c>
      <c r="G10878" s="94" t="inlineStr">
        <is>
          <t>500ml</t>
        </is>
      </c>
      <c r="H10878" s="94" t="n">
        <v>200801</v>
      </c>
      <c r="I10878" s="94" t="n">
        <v>200801</v>
      </c>
      <c r="J10878" s="94" t="n"/>
      <c r="K10878" s="6" t="n">
        <v>41</v>
      </c>
      <c r="L10878" s="94" t="n">
        <v>200801</v>
      </c>
      <c r="M10878" s="94">
        <f>VLOOKUP($Q10878,매칭테이블!$F:$I,2,0)*K10878</f>
        <v/>
      </c>
      <c r="N10878" s="94">
        <f>M10878-M10878*VLOOKUP($Q10878,매칭테이블!$F:$I,3,0)</f>
        <v/>
      </c>
      <c r="O10878" s="94">
        <f>VLOOKUP($Q10878,매칭테이블!$F:$I,4,0)*K10878</f>
        <v/>
      </c>
      <c r="P10878" s="148">
        <f>M10878/1.1</f>
        <v/>
      </c>
      <c r="Q10878" s="94">
        <f>F10878&amp;E10878&amp;G10878&amp;L10878</f>
        <v/>
      </c>
    </row>
    <row r="10879">
      <c r="B10879" s="128" t="n">
        <v>44146</v>
      </c>
      <c r="C10879" s="94">
        <f>TEXT(B10879,"aaa")</f>
        <v/>
      </c>
      <c r="D10879" s="94" t="n"/>
      <c r="E10879" s="94" t="inlineStr">
        <is>
          <t>토너</t>
        </is>
      </c>
      <c r="F10879" s="94" t="inlineStr">
        <is>
          <t>카페24</t>
        </is>
      </c>
      <c r="G10879" s="94" t="inlineStr">
        <is>
          <t>스킨팩 화장솜 60P</t>
        </is>
      </c>
      <c r="H10879" s="94" t="n">
        <v>200801</v>
      </c>
      <c r="I10879" s="94" t="n">
        <v>200801</v>
      </c>
      <c r="J10879" s="94" t="n"/>
      <c r="K10879" s="6" t="n">
        <v>19</v>
      </c>
      <c r="L10879" s="94" t="n">
        <v>200801</v>
      </c>
      <c r="M10879" s="94">
        <f>VLOOKUP($Q10879,매칭테이블!$F:$I,2,0)*K10879</f>
        <v/>
      </c>
      <c r="N10879" s="94">
        <f>M10879-M10879*VLOOKUP($Q10879,매칭테이블!$F:$I,3,0)</f>
        <v/>
      </c>
      <c r="O10879" s="94">
        <f>VLOOKUP($Q10879,매칭테이블!$F:$I,4,0)*K10879</f>
        <v/>
      </c>
      <c r="P10879" s="148">
        <f>M10879/1.1</f>
        <v/>
      </c>
      <c r="Q10879" s="94">
        <f>F10879&amp;E10879&amp;G10879&amp;L10879</f>
        <v/>
      </c>
    </row>
    <row r="10880">
      <c r="B10880" s="128" t="n">
        <v>44146</v>
      </c>
      <c r="C10880" s="94">
        <f>TEXT(B10880,"aaa")</f>
        <v/>
      </c>
      <c r="D10880" s="94" t="n"/>
      <c r="E10880" s="94" t="inlineStr">
        <is>
          <t>앰플</t>
        </is>
      </c>
      <c r="F10880" s="94" t="inlineStr">
        <is>
          <t>카페24</t>
        </is>
      </c>
      <c r="G10880" s="94" t="inlineStr">
        <is>
          <t>앰플 30ml</t>
        </is>
      </c>
      <c r="H10880" s="94" t="n">
        <v>200801</v>
      </c>
      <c r="I10880" s="94" t="n">
        <v>200801</v>
      </c>
      <c r="J10880" s="94" t="n"/>
      <c r="K10880" s="6" t="n">
        <v>12</v>
      </c>
      <c r="L10880" s="94" t="n">
        <v>200801</v>
      </c>
      <c r="M10880" s="94">
        <f>VLOOKUP($Q10880,매칭테이블!$F:$I,2,0)*K10880</f>
        <v/>
      </c>
      <c r="N10880" s="94">
        <f>M10880-M10880*VLOOKUP($Q10880,매칭테이블!$F:$I,3,0)</f>
        <v/>
      </c>
      <c r="O10880" s="94">
        <f>VLOOKUP($Q10880,매칭테이블!$F:$I,4,0)*K10880</f>
        <v/>
      </c>
      <c r="P10880" s="148">
        <f>M10880/1.1</f>
        <v/>
      </c>
      <c r="Q10880" s="94">
        <f>F10880&amp;E10880&amp;G10880&amp;L10880</f>
        <v/>
      </c>
    </row>
    <row r="10881">
      <c r="B10881" s="128" t="n">
        <v>44146</v>
      </c>
      <c r="C10881" s="94">
        <f>TEXT(B10881,"aaa")</f>
        <v/>
      </c>
      <c r="D10881" s="94" t="n"/>
      <c r="E10881" s="94" t="inlineStr">
        <is>
          <t>앰플</t>
        </is>
      </c>
      <c r="F10881" s="94" t="inlineStr">
        <is>
          <t>카페24</t>
        </is>
      </c>
      <c r="G10881" s="94" t="inlineStr">
        <is>
          <t>앰플 30ml  2set</t>
        </is>
      </c>
      <c r="H10881" s="94" t="n">
        <v>200801</v>
      </c>
      <c r="I10881" s="94" t="n">
        <v>200801</v>
      </c>
      <c r="J10881" s="94" t="n"/>
      <c r="K10881" s="6" t="n">
        <v>6</v>
      </c>
      <c r="L10881" s="94" t="n">
        <v>200801</v>
      </c>
      <c r="M10881" s="94">
        <f>VLOOKUP($Q10881,매칭테이블!$F:$I,2,0)*K10881</f>
        <v/>
      </c>
      <c r="N10881" s="94">
        <f>M10881-M10881*VLOOKUP($Q10881,매칭테이블!$F:$I,3,0)</f>
        <v/>
      </c>
      <c r="O10881" s="94">
        <f>VLOOKUP($Q10881,매칭테이블!$F:$I,4,0)*K10881</f>
        <v/>
      </c>
      <c r="P10881" s="148">
        <f>M10881/1.1</f>
        <v/>
      </c>
      <c r="Q10881" s="94">
        <f>F10881&amp;E10881&amp;G10881&amp;L10881</f>
        <v/>
      </c>
    </row>
    <row r="10882">
      <c r="B10882" s="128" t="n">
        <v>44146</v>
      </c>
      <c r="C10882" s="94">
        <f>TEXT(B10882,"aaa")</f>
        <v/>
      </c>
      <c r="D10882" s="94" t="n"/>
      <c r="E10882" s="94" t="inlineStr">
        <is>
          <t>수딩크림</t>
        </is>
      </c>
      <c r="F10882" s="94" t="inlineStr">
        <is>
          <t>카페24</t>
        </is>
      </c>
      <c r="G10882" s="94" t="inlineStr">
        <is>
          <t>수딩크림 100ml</t>
        </is>
      </c>
      <c r="H10882" s="94" t="n">
        <v>200801</v>
      </c>
      <c r="I10882" s="94" t="n">
        <v>200801</v>
      </c>
      <c r="J10882" s="94" t="n"/>
      <c r="K10882" s="6" t="n">
        <v>2</v>
      </c>
      <c r="L10882" s="94" t="n">
        <v>200801</v>
      </c>
      <c r="M10882" s="94">
        <f>VLOOKUP($Q10882,매칭테이블!$F:$I,2,0)*K10882</f>
        <v/>
      </c>
      <c r="N10882" s="94">
        <f>M10882-M10882*VLOOKUP($Q10882,매칭테이블!$F:$I,3,0)</f>
        <v/>
      </c>
      <c r="O10882" s="94">
        <f>VLOOKUP($Q10882,매칭테이블!$F:$I,4,0)*K10882</f>
        <v/>
      </c>
      <c r="P10882" s="148">
        <f>M10882/1.1</f>
        <v/>
      </c>
      <c r="Q10882" s="94">
        <f>F10882&amp;E10882&amp;G10882&amp;L10882</f>
        <v/>
      </c>
    </row>
    <row r="10883">
      <c r="B10883" s="128" t="n">
        <v>44146</v>
      </c>
      <c r="C10883" s="94">
        <f>TEXT(B10883,"aaa")</f>
        <v/>
      </c>
      <c r="D10883" s="94" t="n"/>
      <c r="E10883" s="94" t="inlineStr">
        <is>
          <t>클렌징폼</t>
        </is>
      </c>
      <c r="F10883" s="94" t="inlineStr">
        <is>
          <t>카페24</t>
        </is>
      </c>
      <c r="G10883" s="94" t="inlineStr">
        <is>
          <t>클렌징폼 120ml</t>
        </is>
      </c>
      <c r="H10883" s="94" t="n">
        <v>200801</v>
      </c>
      <c r="I10883" s="94" t="n">
        <v>200801</v>
      </c>
      <c r="J10883" s="94" t="n"/>
      <c r="K10883" s="6" t="n">
        <v>7</v>
      </c>
      <c r="L10883" s="94" t="n">
        <v>200801</v>
      </c>
      <c r="M10883" s="94">
        <f>VLOOKUP($Q10883,매칭테이블!$F:$I,2,0)*K10883</f>
        <v/>
      </c>
      <c r="N10883" s="94">
        <f>M10883-M10883*VLOOKUP($Q10883,매칭테이블!$F:$I,3,0)</f>
        <v/>
      </c>
      <c r="O10883" s="94">
        <f>VLOOKUP($Q10883,매칭테이블!$F:$I,4,0)*K10883</f>
        <v/>
      </c>
      <c r="P10883" s="148">
        <f>M10883/1.1</f>
        <v/>
      </c>
      <c r="Q10883" s="94">
        <f>F10883&amp;E10883&amp;G10883&amp;L10883</f>
        <v/>
      </c>
    </row>
    <row r="10884">
      <c r="B10884" s="128" t="n">
        <v>44146</v>
      </c>
      <c r="C10884" s="94">
        <f>TEXT(B10884,"aaa")</f>
        <v/>
      </c>
      <c r="D10884" s="94" t="n"/>
      <c r="E10884" s="94" t="inlineStr">
        <is>
          <t>클렌징폼</t>
        </is>
      </c>
      <c r="F10884" s="94" t="inlineStr">
        <is>
          <t>카페24</t>
        </is>
      </c>
      <c r="G10884" s="94" t="inlineStr">
        <is>
          <t>클렌징폼 120ml 2set</t>
        </is>
      </c>
      <c r="H10884" s="94" t="n">
        <v>200801</v>
      </c>
      <c r="I10884" s="94" t="n">
        <v>200801</v>
      </c>
      <c r="J10884" s="94" t="n"/>
      <c r="K10884" s="6" t="n">
        <v>3</v>
      </c>
      <c r="L10884" s="94" t="n">
        <v>200801</v>
      </c>
      <c r="M10884" s="94">
        <f>VLOOKUP($Q10884,매칭테이블!$F:$I,2,0)*K10884</f>
        <v/>
      </c>
      <c r="N10884" s="94">
        <f>M10884-M10884*VLOOKUP($Q10884,매칭테이블!$F:$I,3,0)</f>
        <v/>
      </c>
      <c r="O10884" s="94">
        <f>VLOOKUP($Q10884,매칭테이블!$F:$I,4,0)*K10884</f>
        <v/>
      </c>
      <c r="P10884" s="148">
        <f>M10884/1.1</f>
        <v/>
      </c>
      <c r="Q10884" s="94">
        <f>F10884&amp;E10884&amp;G10884&amp;L10884</f>
        <v/>
      </c>
    </row>
    <row r="10885">
      <c r="B10885" s="128" t="n">
        <v>44146</v>
      </c>
      <c r="C10885" s="94">
        <f>TEXT(B10885,"aaa")</f>
        <v/>
      </c>
      <c r="D10885" s="94" t="n"/>
      <c r="E10885" s="94" t="inlineStr">
        <is>
          <t>클렌징폼</t>
        </is>
      </c>
      <c r="F10885" s="94" t="inlineStr">
        <is>
          <t>카페24</t>
        </is>
      </c>
      <c r="G10885" s="94" t="inlineStr">
        <is>
          <t>클렌징폼 120ml 3set</t>
        </is>
      </c>
      <c r="H10885" s="94" t="n">
        <v>200801</v>
      </c>
      <c r="I10885" s="94" t="n">
        <v>200801</v>
      </c>
      <c r="J10885" s="94" t="n"/>
      <c r="K10885" s="6" t="n">
        <v>1</v>
      </c>
      <c r="L10885" s="94" t="n">
        <v>200801</v>
      </c>
      <c r="M10885" s="94">
        <f>VLOOKUP($Q10885,매칭테이블!$F:$I,2,0)*K10885</f>
        <v/>
      </c>
      <c r="N10885" s="94">
        <f>M10885-M10885*VLOOKUP($Q10885,매칭테이블!$F:$I,3,0)</f>
        <v/>
      </c>
      <c r="O10885" s="94">
        <f>VLOOKUP($Q10885,매칭테이블!$F:$I,4,0)*K10885</f>
        <v/>
      </c>
      <c r="P10885" s="148">
        <f>M10885/1.1</f>
        <v/>
      </c>
      <c r="Q10885" s="94">
        <f>F10885&amp;E10885&amp;G10885&amp;L10885</f>
        <v/>
      </c>
    </row>
    <row r="10886">
      <c r="B10886" s="128" t="n">
        <v>44146</v>
      </c>
      <c r="C10886" s="94">
        <f>TEXT(B10886,"aaa")</f>
        <v/>
      </c>
      <c r="D10886" s="94" t="n"/>
      <c r="E10886" s="94" t="inlineStr">
        <is>
          <t>바디워시</t>
        </is>
      </c>
      <c r="F10886" s="94" t="inlineStr">
        <is>
          <t>카페24</t>
        </is>
      </c>
      <c r="G10886" s="94" t="inlineStr">
        <is>
          <t>바디워시 1개 -30% off</t>
        </is>
      </c>
      <c r="H10886" s="94" t="n">
        <v>200801</v>
      </c>
      <c r="I10886" s="94" t="n">
        <v>200801</v>
      </c>
      <c r="J10886" s="94" t="n"/>
      <c r="K10886" s="6" t="n">
        <v>2</v>
      </c>
      <c r="L10886" s="94" t="n">
        <v>200801</v>
      </c>
      <c r="M10886" s="94">
        <f>VLOOKUP($Q10886,매칭테이블!$F:$I,2,0)*K10886</f>
        <v/>
      </c>
      <c r="N10886" s="94">
        <f>M10886-M10886*VLOOKUP($Q10886,매칭테이블!$F:$I,3,0)</f>
        <v/>
      </c>
      <c r="O10886" s="94">
        <f>VLOOKUP($Q10886,매칭테이블!$F:$I,4,0)*K10886</f>
        <v/>
      </c>
      <c r="P10886" s="148">
        <f>M10886/1.1</f>
        <v/>
      </c>
      <c r="Q10886" s="94">
        <f>F10886&amp;E10886&amp;G10886&amp;L10886</f>
        <v/>
      </c>
    </row>
    <row r="10887">
      <c r="B10887" s="128" t="n">
        <v>44146</v>
      </c>
      <c r="C10887" s="94">
        <f>TEXT(B10887,"aaa")</f>
        <v/>
      </c>
      <c r="D10887" s="94" t="n"/>
      <c r="E10887" s="94" t="inlineStr">
        <is>
          <t>클리어 패드</t>
        </is>
      </c>
      <c r="F10887" s="94" t="inlineStr">
        <is>
          <t>화해</t>
        </is>
      </c>
      <c r="G10887" s="94" t="inlineStr">
        <is>
          <t>어성초 클리어패드 70P</t>
        </is>
      </c>
      <c r="H10887" s="94" t="n">
        <v>200801</v>
      </c>
      <c r="I10887" s="94" t="n">
        <v>200801</v>
      </c>
      <c r="J10887" s="94" t="n"/>
      <c r="K10887" s="6" t="n">
        <v>1</v>
      </c>
      <c r="L10887" s="94" t="n">
        <v>200801</v>
      </c>
      <c r="M10887" s="94">
        <f>VLOOKUP($Q10887,매칭테이블!$F:$I,2,0)*K10887</f>
        <v/>
      </c>
      <c r="N10887" s="94">
        <f>M10887-M10887*VLOOKUP($Q10887,매칭테이블!$F:$I,3,0)</f>
        <v/>
      </c>
      <c r="O10887" s="94">
        <f>VLOOKUP($Q10887,매칭테이블!$F:$I,4,0)*K10887</f>
        <v/>
      </c>
      <c r="P10887" s="148">
        <f>M10887/1.1</f>
        <v/>
      </c>
      <c r="Q10887" s="94">
        <f>F10887&amp;E10887&amp;G10887&amp;L10887</f>
        <v/>
      </c>
    </row>
    <row r="10888">
      <c r="B10888" s="128" t="n">
        <v>44146</v>
      </c>
      <c r="C10888" s="94">
        <f>TEXT(B10888,"aaa")</f>
        <v/>
      </c>
      <c r="D10888" s="94" t="n"/>
      <c r="E10888" s="94" t="inlineStr">
        <is>
          <t>토너</t>
        </is>
      </c>
      <c r="F10888" s="94" t="inlineStr">
        <is>
          <t>화해</t>
        </is>
      </c>
      <c r="G10888" s="94" t="inlineStr">
        <is>
          <t>250ml</t>
        </is>
      </c>
      <c r="H10888" s="94" t="n">
        <v>200801</v>
      </c>
      <c r="I10888" s="94" t="n">
        <v>200801</v>
      </c>
      <c r="J10888" s="94" t="n"/>
      <c r="K10888" s="6" t="n">
        <v>3</v>
      </c>
      <c r="L10888" s="94" t="n">
        <v>200801</v>
      </c>
      <c r="M10888" s="94">
        <f>VLOOKUP($Q10888,매칭테이블!$F:$I,2,0)*K10888</f>
        <v/>
      </c>
      <c r="N10888" s="94">
        <f>M10888-M10888*VLOOKUP($Q10888,매칭테이블!$F:$I,3,0)</f>
        <v/>
      </c>
      <c r="O10888" s="94">
        <f>VLOOKUP($Q10888,매칭테이블!$F:$I,4,0)*K10888</f>
        <v/>
      </c>
      <c r="P10888" s="148">
        <f>M10888/1.1</f>
        <v/>
      </c>
      <c r="Q10888" s="94">
        <f>F10888&amp;E10888&amp;G10888&amp;L10888</f>
        <v/>
      </c>
    </row>
    <row r="10889" customFormat="1" s="94">
      <c r="B10889" s="128" t="n">
        <v>44147</v>
      </c>
      <c r="C10889" s="94">
        <f>TEXT(B10889,"aaa")</f>
        <v/>
      </c>
      <c r="E10889" s="94" t="inlineStr">
        <is>
          <t>토너</t>
        </is>
      </c>
      <c r="F10889" s="94" t="inlineStr">
        <is>
          <t>W컨셉</t>
        </is>
      </c>
      <c r="G10889" s="94" t="inlineStr">
        <is>
          <t>250ml 2set</t>
        </is>
      </c>
      <c r="H10889" s="94" t="n">
        <v>200801</v>
      </c>
      <c r="I10889" s="94" t="n">
        <v>200801</v>
      </c>
      <c r="K10889" s="6" t="n">
        <v>3</v>
      </c>
      <c r="L10889" s="94" t="n">
        <v>200801</v>
      </c>
      <c r="M10889" s="94">
        <f>VLOOKUP($Q10889,매칭테이블!$F:$I,2,0)*K10889</f>
        <v/>
      </c>
      <c r="N10889" s="94">
        <f>M10889-M10889*VLOOKUP($Q10889,매칭테이블!$F:$I,3,0)</f>
        <v/>
      </c>
      <c r="O10889" s="94">
        <f>VLOOKUP($Q10889,매칭테이블!$F:$I,4,0)*K10889</f>
        <v/>
      </c>
      <c r="P10889" s="148">
        <f>M10889/1.1</f>
        <v/>
      </c>
      <c r="Q10889" s="94">
        <f>F10889&amp;E10889&amp;G10889&amp;L10889</f>
        <v/>
      </c>
    </row>
    <row r="10890" customFormat="1" s="94">
      <c r="B10890" s="128" t="n">
        <v>44147</v>
      </c>
      <c r="C10890" s="94">
        <f>TEXT(B10890,"aaa")</f>
        <v/>
      </c>
      <c r="E10890" s="94" t="inlineStr">
        <is>
          <t>토너</t>
        </is>
      </c>
      <c r="F10890" s="94" t="inlineStr">
        <is>
          <t>글로우데이즈 시코르</t>
        </is>
      </c>
      <c r="G10890" s="94" t="inlineStr">
        <is>
          <t>토너=250ml</t>
        </is>
      </c>
      <c r="H10890" s="94" t="n">
        <v>200801</v>
      </c>
      <c r="I10890" s="94" t="n">
        <v>200801</v>
      </c>
      <c r="K10890" s="6" t="n">
        <v>50</v>
      </c>
      <c r="L10890" s="94" t="n">
        <v>200801</v>
      </c>
      <c r="M10890" s="94">
        <f>VLOOKUP($Q10890,매칭테이블!$F:$I,2,0)*K10890</f>
        <v/>
      </c>
      <c r="N10890" s="94">
        <f>M10890-M10890*VLOOKUP($Q10890,매칭테이블!$F:$I,3,0)</f>
        <v/>
      </c>
      <c r="O10890" s="94">
        <f>VLOOKUP($Q10890,매칭테이블!$F:$I,4,0)*K10890</f>
        <v/>
      </c>
      <c r="P10890" s="148">
        <f>M10890/1.1</f>
        <v/>
      </c>
      <c r="Q10890" s="94">
        <f>F10890&amp;E10890&amp;G10890&amp;L10890</f>
        <v/>
      </c>
    </row>
    <row r="10891" customFormat="1" s="94">
      <c r="B10891" s="128" t="n">
        <v>44147</v>
      </c>
      <c r="C10891" s="94">
        <f>TEXT(B10891,"aaa")</f>
        <v/>
      </c>
      <c r="E10891" s="94" t="inlineStr">
        <is>
          <t>앰플</t>
        </is>
      </c>
      <c r="F10891" s="94" t="inlineStr">
        <is>
          <t>글로우데이즈 시코르</t>
        </is>
      </c>
      <c r="G10891" s="94" t="inlineStr">
        <is>
          <t>앰플=앰플 30ml</t>
        </is>
      </c>
      <c r="H10891" s="94" t="n">
        <v>200801</v>
      </c>
      <c r="I10891" s="94" t="n">
        <v>200801</v>
      </c>
      <c r="K10891" s="6" t="n">
        <v>32</v>
      </c>
      <c r="L10891" s="94" t="n">
        <v>200801</v>
      </c>
      <c r="M10891" s="94">
        <f>VLOOKUP($Q10891,매칭테이블!$F:$I,2,0)*K10891</f>
        <v/>
      </c>
      <c r="N10891" s="94">
        <f>M10891-M10891*VLOOKUP($Q10891,매칭테이블!$F:$I,3,0)</f>
        <v/>
      </c>
      <c r="O10891" s="94">
        <f>VLOOKUP($Q10891,매칭테이블!$F:$I,4,0)*K10891</f>
        <v/>
      </c>
      <c r="P10891" s="148">
        <f>M10891/1.1</f>
        <v/>
      </c>
      <c r="Q10891" s="94">
        <f>F10891&amp;E10891&amp;G10891&amp;L10891</f>
        <v/>
      </c>
    </row>
    <row r="10892" customFormat="1" s="94">
      <c r="B10892" s="128" t="n">
        <v>44147</v>
      </c>
      <c r="C10892" s="94">
        <f>TEXT(B10892,"aaa")</f>
        <v/>
      </c>
      <c r="E10892" s="94" t="inlineStr">
        <is>
          <t>수딩크림</t>
        </is>
      </c>
      <c r="F10892" s="94" t="inlineStr">
        <is>
          <t>글로우데이즈 시코르</t>
        </is>
      </c>
      <c r="G10892" s="94" t="inlineStr">
        <is>
          <t>수딩크림=수딩크림 100ml</t>
        </is>
      </c>
      <c r="H10892" s="94" t="n">
        <v>200801</v>
      </c>
      <c r="I10892" s="94" t="n">
        <v>200801</v>
      </c>
      <c r="K10892" s="6" t="n">
        <v>20</v>
      </c>
      <c r="L10892" s="94" t="n">
        <v>200801</v>
      </c>
      <c r="M10892" s="94">
        <f>VLOOKUP($Q10892,매칭테이블!$F:$I,2,0)*K10892</f>
        <v/>
      </c>
      <c r="N10892" s="94">
        <f>M10892-M10892*VLOOKUP($Q10892,매칭테이블!$F:$I,3,0)</f>
        <v/>
      </c>
      <c r="O10892" s="94">
        <f>VLOOKUP($Q10892,매칭테이블!$F:$I,4,0)*K10892</f>
        <v/>
      </c>
      <c r="P10892" s="148">
        <f>M10892/1.1</f>
        <v/>
      </c>
      <c r="Q10892" s="94">
        <f>F10892&amp;E10892&amp;G10892&amp;L10892</f>
        <v/>
      </c>
    </row>
    <row r="10893" customFormat="1" s="94">
      <c r="B10893" s="128" t="n">
        <v>44147</v>
      </c>
      <c r="C10893" s="94">
        <f>TEXT(B10893,"aaa")</f>
        <v/>
      </c>
      <c r="E10893" s="94" t="inlineStr">
        <is>
          <t>클리어 패드</t>
        </is>
      </c>
      <c r="F10893" s="94" t="inlineStr">
        <is>
          <t>글로우데이즈 시코르</t>
        </is>
      </c>
      <c r="G10893" s="94" t="inlineStr">
        <is>
          <t>어성초 클리어패드 70P</t>
        </is>
      </c>
      <c r="H10893" s="94" t="n">
        <v>200801</v>
      </c>
      <c r="I10893" s="94" t="n">
        <v>200801</v>
      </c>
      <c r="K10893" s="6" t="n">
        <v>30</v>
      </c>
      <c r="L10893" s="94" t="n">
        <v>200801</v>
      </c>
      <c r="M10893" s="94">
        <f>VLOOKUP($Q10893,매칭테이블!$F:$I,2,0)*K10893</f>
        <v/>
      </c>
      <c r="N10893" s="94">
        <f>M10893-M10893*VLOOKUP($Q10893,매칭테이블!$F:$I,3,0)</f>
        <v/>
      </c>
      <c r="O10893" s="94">
        <f>VLOOKUP($Q10893,매칭테이블!$F:$I,4,0)*K10893</f>
        <v/>
      </c>
      <c r="P10893" s="148">
        <f>M10893/1.1</f>
        <v/>
      </c>
      <c r="Q10893" s="94">
        <f>F10893&amp;E10893&amp;G10893&amp;L10893</f>
        <v/>
      </c>
    </row>
    <row r="10894" customFormat="1" s="94">
      <c r="B10894" s="128" t="n">
        <v>44147</v>
      </c>
      <c r="C10894" s="94">
        <f>TEXT(B10894,"aaa")</f>
        <v/>
      </c>
      <c r="E10894" s="94" t="inlineStr">
        <is>
          <t>머드크림마스크</t>
        </is>
      </c>
      <c r="F10894" s="94" t="inlineStr">
        <is>
          <t>글로우데이즈 시코르</t>
        </is>
      </c>
      <c r="G10894" s="94" t="inlineStr">
        <is>
          <t>머드크림마스크=머드크림마스크 100ml</t>
        </is>
      </c>
      <c r="H10894" s="94" t="n">
        <v>200801</v>
      </c>
      <c r="I10894" s="94" t="n">
        <v>200801</v>
      </c>
      <c r="K10894" s="6" t="n">
        <v>17</v>
      </c>
      <c r="L10894" s="94" t="n">
        <v>200801</v>
      </c>
      <c r="M10894" s="94">
        <f>VLOOKUP($Q10894,매칭테이블!$F:$I,2,0)*K10894</f>
        <v/>
      </c>
      <c r="N10894" s="94">
        <f>M10894-M10894*VLOOKUP($Q10894,매칭테이블!$F:$I,3,0)</f>
        <v/>
      </c>
      <c r="O10894" s="94">
        <f>VLOOKUP($Q10894,매칭테이블!$F:$I,4,0)*K10894</f>
        <v/>
      </c>
      <c r="P10894" s="148">
        <f>M10894/1.1</f>
        <v/>
      </c>
      <c r="Q10894" s="94">
        <f>F10894&amp;E10894&amp;G10894&amp;L10894</f>
        <v/>
      </c>
    </row>
    <row r="10895" customFormat="1" s="94">
      <c r="B10895" s="128" t="n">
        <v>44147</v>
      </c>
      <c r="C10895" s="94">
        <f>TEXT(B10895,"aaa")</f>
        <v/>
      </c>
      <c r="E10895" s="94" t="inlineStr">
        <is>
          <t>클렌징폼</t>
        </is>
      </c>
      <c r="F10895" s="94" t="inlineStr">
        <is>
          <t>글로우데이즈 시코르</t>
        </is>
      </c>
      <c r="G10895" s="94" t="inlineStr">
        <is>
          <t>클렌징폼=클렌징폼 120ml</t>
        </is>
      </c>
      <c r="H10895" s="94" t="n">
        <v>200801</v>
      </c>
      <c r="I10895" s="94" t="n">
        <v>200801</v>
      </c>
      <c r="K10895" s="6" t="n">
        <v>22</v>
      </c>
      <c r="L10895" s="94" t="n">
        <v>200801</v>
      </c>
      <c r="M10895" s="94">
        <f>VLOOKUP($Q10895,매칭테이블!$F:$I,2,0)*K10895</f>
        <v/>
      </c>
      <c r="N10895" s="94">
        <f>M10895-M10895*VLOOKUP($Q10895,매칭테이블!$F:$I,3,0)</f>
        <v/>
      </c>
      <c r="O10895" s="94">
        <f>VLOOKUP($Q10895,매칭테이블!$F:$I,4,0)*K10895</f>
        <v/>
      </c>
      <c r="P10895" s="148">
        <f>M10895/1.1</f>
        <v/>
      </c>
      <c r="Q10895" s="94">
        <f>F10895&amp;E10895&amp;G10895&amp;L10895</f>
        <v/>
      </c>
    </row>
    <row r="10896" customFormat="1" s="94">
      <c r="B10896" s="128" t="n">
        <v>44147</v>
      </c>
      <c r="C10896" s="94">
        <f>TEXT(B10896,"aaa")</f>
        <v/>
      </c>
      <c r="E10896" s="94" t="inlineStr">
        <is>
          <t>마스크팩</t>
        </is>
      </c>
      <c r="F10896" s="94" t="inlineStr">
        <is>
          <t>글로우데이즈 시코르</t>
        </is>
      </c>
      <c r="G10896" s="94" t="inlineStr">
        <is>
          <t>마스크팩=마스크팩 10매</t>
        </is>
      </c>
      <c r="H10896" s="94" t="n">
        <v>200801</v>
      </c>
      <c r="I10896" s="94" t="n">
        <v>200801</v>
      </c>
      <c r="K10896" s="6" t="n">
        <v>18</v>
      </c>
      <c r="L10896" s="94" t="n">
        <v>200801</v>
      </c>
      <c r="M10896" s="94">
        <f>VLOOKUP($Q10896,매칭테이블!$F:$I,2,0)*K10896</f>
        <v/>
      </c>
      <c r="N10896" s="94">
        <f>M10896-M10896*VLOOKUP($Q10896,매칭테이블!$F:$I,3,0)</f>
        <v/>
      </c>
      <c r="O10896" s="94">
        <f>VLOOKUP($Q10896,매칭테이블!$F:$I,4,0)*K10896</f>
        <v/>
      </c>
      <c r="P10896" s="148">
        <f>M10896/1.1</f>
        <v/>
      </c>
      <c r="Q10896" s="94">
        <f>F10896&amp;E10896&amp;G10896&amp;L10896</f>
        <v/>
      </c>
    </row>
    <row r="10897" customFormat="1" s="94">
      <c r="B10897" s="128" t="n">
        <v>44147</v>
      </c>
      <c r="C10897" s="94">
        <f>TEXT(B10897,"aaa")</f>
        <v/>
      </c>
      <c r="E10897" s="94" t="inlineStr">
        <is>
          <t>선크림</t>
        </is>
      </c>
      <c r="F10897" s="94" t="inlineStr">
        <is>
          <t>글로우데이즈 시코르</t>
        </is>
      </c>
      <c r="G10897" s="94" t="inlineStr">
        <is>
          <t>선크림=선크림 50ml</t>
        </is>
      </c>
      <c r="H10897" s="94" t="n">
        <v>200801</v>
      </c>
      <c r="I10897" s="94" t="n">
        <v>200801</v>
      </c>
      <c r="K10897" s="6" t="n">
        <v>2</v>
      </c>
      <c r="L10897" s="94" t="n">
        <v>200801</v>
      </c>
      <c r="M10897" s="94">
        <f>VLOOKUP($Q10897,매칭테이블!$F:$I,2,0)*K10897</f>
        <v/>
      </c>
      <c r="N10897" s="94">
        <f>M10897-M10897*VLOOKUP($Q10897,매칭테이블!$F:$I,3,0)</f>
        <v/>
      </c>
      <c r="O10897" s="94">
        <f>VLOOKUP($Q10897,매칭테이블!$F:$I,4,0)*K10897</f>
        <v/>
      </c>
      <c r="P10897" s="148">
        <f>M10897/1.1</f>
        <v/>
      </c>
      <c r="Q10897" s="94">
        <f>F10897&amp;E10897&amp;G10897&amp;L10897</f>
        <v/>
      </c>
    </row>
    <row r="10898" customFormat="1" s="94">
      <c r="B10898" s="128" t="n">
        <v>44147</v>
      </c>
      <c r="C10898" s="94">
        <f>TEXT(B10898,"aaa")</f>
        <v/>
      </c>
      <c r="E10898" s="94" t="inlineStr">
        <is>
          <t>로션</t>
        </is>
      </c>
      <c r="F10898" s="94" t="inlineStr">
        <is>
          <t>글로우데이즈 시코르</t>
        </is>
      </c>
      <c r="G10898" s="94" t="inlineStr">
        <is>
          <t>로션 200ml</t>
        </is>
      </c>
      <c r="H10898" s="94" t="n">
        <v>200801</v>
      </c>
      <c r="I10898" s="94" t="n">
        <v>200801</v>
      </c>
      <c r="K10898" s="6" t="n">
        <v>30</v>
      </c>
      <c r="L10898" s="94" t="n">
        <v>200801</v>
      </c>
      <c r="M10898" s="94">
        <f>VLOOKUP($Q10898,매칭테이블!$F:$I,2,0)*K10898</f>
        <v/>
      </c>
      <c r="N10898" s="94">
        <f>M10898-M10898*VLOOKUP($Q10898,매칭테이블!$F:$I,3,0)</f>
        <v/>
      </c>
      <c r="O10898" s="94">
        <f>VLOOKUP($Q10898,매칭테이블!$F:$I,4,0)*K10898</f>
        <v/>
      </c>
      <c r="P10898" s="148">
        <f>M10898/1.1</f>
        <v/>
      </c>
      <c r="Q10898" s="94">
        <f>F10898&amp;E10898&amp;G10898&amp;L10898</f>
        <v/>
      </c>
    </row>
    <row r="10899" customFormat="1" s="94">
      <c r="B10899" s="128" t="n">
        <v>44147</v>
      </c>
      <c r="C10899" s="94">
        <f>TEXT(B10899,"aaa")</f>
        <v/>
      </c>
      <c r="E10899" s="94" t="inlineStr">
        <is>
          <t>토너</t>
        </is>
      </c>
      <c r="F10899" s="94" t="inlineStr">
        <is>
          <t>스타일쉐어</t>
        </is>
      </c>
      <c r="G10899" s="94" t="inlineStr">
        <is>
          <t>250ml</t>
        </is>
      </c>
      <c r="H10899" s="94" t="n">
        <v>200801</v>
      </c>
      <c r="I10899" s="94" t="n">
        <v>200801</v>
      </c>
      <c r="K10899" s="6" t="n">
        <v>1</v>
      </c>
      <c r="L10899" s="94" t="n">
        <v>200801</v>
      </c>
      <c r="M10899" s="94">
        <f>VLOOKUP($Q10899,매칭테이블!$F:$I,2,0)*K10899</f>
        <v/>
      </c>
      <c r="N10899" s="94">
        <f>M10899-M10899*VLOOKUP($Q10899,매칭테이블!$F:$I,3,0)</f>
        <v/>
      </c>
      <c r="O10899" s="94">
        <f>VLOOKUP($Q10899,매칭테이블!$F:$I,4,0)*K10899</f>
        <v/>
      </c>
      <c r="P10899" s="148">
        <f>M10899/1.1</f>
        <v/>
      </c>
      <c r="Q10899" s="94">
        <f>F10899&amp;E10899&amp;G10899&amp;L10899</f>
        <v/>
      </c>
    </row>
    <row r="10900" customFormat="1" s="94">
      <c r="B10900" s="128" t="n">
        <v>44147</v>
      </c>
      <c r="C10900" s="94">
        <f>TEXT(B10900,"aaa")</f>
        <v/>
      </c>
      <c r="E10900" s="94" t="inlineStr">
        <is>
          <t>카밍크림</t>
        </is>
      </c>
      <c r="F10900" s="94" t="inlineStr">
        <is>
          <t>아누아 CS</t>
        </is>
      </c>
      <c r="G10900" s="94" t="inlineStr">
        <is>
          <t xml:space="preserve">	어성초 70 인텐스 카밍 크림 50ml</t>
        </is>
      </c>
      <c r="H10900" s="94" t="n">
        <v>200801</v>
      </c>
      <c r="I10900" s="94" t="n">
        <v>200801</v>
      </c>
      <c r="K10900" s="6" t="n">
        <v>1</v>
      </c>
      <c r="L10900" s="94" t="n">
        <v>200801</v>
      </c>
      <c r="M10900" s="94">
        <f>VLOOKUP($Q10900,매칭테이블!$F:$I,2,0)*K10900</f>
        <v/>
      </c>
      <c r="N10900" s="94">
        <f>M10900-M10900*VLOOKUP($Q10900,매칭테이블!$F:$I,3,0)</f>
        <v/>
      </c>
      <c r="O10900" s="94">
        <f>VLOOKUP($Q10900,매칭테이블!$F:$I,4,0)*K10900</f>
        <v/>
      </c>
      <c r="P10900" s="148">
        <f>M10900/1.1</f>
        <v/>
      </c>
      <c r="Q10900" s="94">
        <f>F10900&amp;E10900&amp;G10900&amp;L10900</f>
        <v/>
      </c>
    </row>
    <row r="10901" customFormat="1" s="94">
      <c r="B10901" s="128" t="n">
        <v>44147</v>
      </c>
      <c r="C10901" s="94">
        <f>TEXT(B10901,"aaa")</f>
        <v/>
      </c>
      <c r="E10901" s="94" t="inlineStr">
        <is>
          <t>크림마스크</t>
        </is>
      </c>
      <c r="F10901" s="94" t="inlineStr">
        <is>
          <t>아누아 CS</t>
        </is>
      </c>
      <c r="G10901" s="94" t="inlineStr">
        <is>
          <t>어성초 크림마스크 나이트 솔루션 10매</t>
        </is>
      </c>
      <c r="H10901" s="94" t="n">
        <v>200801</v>
      </c>
      <c r="I10901" s="94" t="n">
        <v>200801</v>
      </c>
      <c r="K10901" s="6" t="n">
        <v>1</v>
      </c>
      <c r="L10901" s="94" t="n">
        <v>200801</v>
      </c>
      <c r="M10901" s="94">
        <f>VLOOKUP($Q10901,매칭테이블!$F:$I,2,0)*K10901</f>
        <v/>
      </c>
      <c r="N10901" s="94">
        <f>M10901-M10901*VLOOKUP($Q10901,매칭테이블!$F:$I,3,0)</f>
        <v/>
      </c>
      <c r="O10901" s="94">
        <f>VLOOKUP($Q10901,매칭테이블!$F:$I,4,0)*K10901</f>
        <v/>
      </c>
      <c r="P10901" s="148">
        <f>M10901/1.1</f>
        <v/>
      </c>
      <c r="Q10901" s="94">
        <f>F10901&amp;E10901&amp;G10901&amp;L10901</f>
        <v/>
      </c>
    </row>
    <row r="10902" customFormat="1" s="94">
      <c r="B10902" s="128" t="n">
        <v>44147</v>
      </c>
      <c r="C10902" s="94">
        <f>TEXT(B10902,"aaa")</f>
        <v/>
      </c>
      <c r="E10902" s="94" t="inlineStr">
        <is>
          <t>바디워시</t>
        </is>
      </c>
      <c r="F10902" s="94" t="inlineStr">
        <is>
          <t>아누아 CS</t>
        </is>
      </c>
      <c r="G10902" s="94" t="inlineStr">
        <is>
          <t>바디워시 500ml</t>
        </is>
      </c>
      <c r="H10902" s="94" t="n">
        <v>200801</v>
      </c>
      <c r="I10902" s="94" t="n">
        <v>200801</v>
      </c>
      <c r="K10902" s="6" t="n">
        <v>15</v>
      </c>
      <c r="L10902" s="94" t="n">
        <v>200801</v>
      </c>
      <c r="M10902" s="94">
        <f>VLOOKUP($Q10902,매칭테이블!$F:$I,2,0)*K10902</f>
        <v/>
      </c>
      <c r="N10902" s="94">
        <f>M10902-M10902*VLOOKUP($Q10902,매칭테이블!$F:$I,3,0)</f>
        <v/>
      </c>
      <c r="O10902" s="94">
        <f>VLOOKUP($Q10902,매칭테이블!$F:$I,4,0)*K10902</f>
        <v/>
      </c>
      <c r="P10902" s="148">
        <f>M10902/1.1</f>
        <v/>
      </c>
      <c r="Q10902" s="94">
        <f>F10902&amp;E10902&amp;G10902&amp;L10902</f>
        <v/>
      </c>
    </row>
    <row r="10903" customFormat="1" s="94">
      <c r="B10903" s="128" t="n">
        <v>44147</v>
      </c>
      <c r="C10903" s="94">
        <f>TEXT(B10903,"aaa")</f>
        <v/>
      </c>
      <c r="E10903" s="94" t="inlineStr">
        <is>
          <t>선크림</t>
        </is>
      </c>
      <c r="F10903" s="94" t="inlineStr">
        <is>
          <t>카페24</t>
        </is>
      </c>
      <c r="G10903" s="94" t="inlineStr">
        <is>
          <t>선크림 50ml</t>
        </is>
      </c>
      <c r="H10903" s="94" t="n">
        <v>200801</v>
      </c>
      <c r="I10903" s="94" t="n">
        <v>200801</v>
      </c>
      <c r="K10903" s="6" t="n">
        <v>2</v>
      </c>
      <c r="L10903" s="94" t="n">
        <v>200801</v>
      </c>
      <c r="M10903" s="94">
        <f>VLOOKUP($Q10903,매칭테이블!$F:$I,2,0)*K10903</f>
        <v/>
      </c>
      <c r="N10903" s="94">
        <f>M10903-M10903*VLOOKUP($Q10903,매칭테이블!$F:$I,3,0)</f>
        <v/>
      </c>
      <c r="O10903" s="94">
        <f>VLOOKUP($Q10903,매칭테이블!$F:$I,4,0)*K10903</f>
        <v/>
      </c>
      <c r="P10903" s="148">
        <f>M10903/1.1</f>
        <v/>
      </c>
      <c r="Q10903" s="94">
        <f>F10903&amp;E10903&amp;G10903&amp;L10903</f>
        <v/>
      </c>
    </row>
    <row r="10904" customFormat="1" s="94">
      <c r="B10904" s="128" t="n">
        <v>44147</v>
      </c>
      <c r="C10904" s="94">
        <f>TEXT(B10904,"aaa")</f>
        <v/>
      </c>
      <c r="E10904" s="94" t="inlineStr">
        <is>
          <t>어성초진정패키지</t>
        </is>
      </c>
      <c r="F10904" s="94" t="inlineStr">
        <is>
          <t>카페24</t>
        </is>
      </c>
      <c r="G10904" s="94" t="inlineStr">
        <is>
          <t>어성초 진정패키지세트</t>
        </is>
      </c>
      <c r="H10904" s="94" t="n">
        <v>200801</v>
      </c>
      <c r="I10904" s="94" t="n">
        <v>200801</v>
      </c>
      <c r="K10904" s="6" t="n">
        <v>3</v>
      </c>
      <c r="L10904" s="94" t="n">
        <v>200801</v>
      </c>
      <c r="M10904" s="94">
        <f>VLOOKUP($Q10904,매칭테이블!$F:$I,2,0)*K10904</f>
        <v/>
      </c>
      <c r="N10904" s="94">
        <f>M10904-M10904*VLOOKUP($Q10904,매칭테이블!$F:$I,3,0)</f>
        <v/>
      </c>
      <c r="O10904" s="94">
        <f>VLOOKUP($Q10904,매칭테이블!$F:$I,4,0)*K10904</f>
        <v/>
      </c>
      <c r="P10904" s="148">
        <f>M10904/1.1</f>
        <v/>
      </c>
      <c r="Q10904" s="94">
        <f>F10904&amp;E10904&amp;G10904&amp;L10904</f>
        <v/>
      </c>
    </row>
    <row r="10905" customFormat="1" s="94">
      <c r="B10905" s="128" t="n">
        <v>44147</v>
      </c>
      <c r="C10905" s="94">
        <f>TEXT(B10905,"aaa")</f>
        <v/>
      </c>
      <c r="E10905" s="94" t="inlineStr">
        <is>
          <t>클리어 패드</t>
        </is>
      </c>
      <c r="F10905" s="94" t="inlineStr">
        <is>
          <t>카페24</t>
        </is>
      </c>
      <c r="G10905" s="94" t="inlineStr">
        <is>
          <t>어성초 77 클리어 패드 1개-20% off</t>
        </is>
      </c>
      <c r="H10905" s="94" t="n">
        <v>200801</v>
      </c>
      <c r="I10905" s="94" t="n">
        <v>200801</v>
      </c>
      <c r="K10905" s="6" t="n">
        <v>16</v>
      </c>
      <c r="L10905" s="94" t="n">
        <v>200801</v>
      </c>
      <c r="M10905" s="94">
        <f>VLOOKUP($Q10905,매칭테이블!$F:$I,2,0)*K10905</f>
        <v/>
      </c>
      <c r="N10905" s="94">
        <f>M10905-M10905*VLOOKUP($Q10905,매칭테이블!$F:$I,3,0)</f>
        <v/>
      </c>
      <c r="O10905" s="94">
        <f>VLOOKUP($Q10905,매칭테이블!$F:$I,4,0)*K10905</f>
        <v/>
      </c>
      <c r="P10905" s="148">
        <f>M10905/1.1</f>
        <v/>
      </c>
      <c r="Q10905" s="94">
        <f>F10905&amp;E10905&amp;G10905&amp;L10905</f>
        <v/>
      </c>
    </row>
    <row r="10906" customFormat="1" s="94">
      <c r="B10906" s="128" t="n">
        <v>44147</v>
      </c>
      <c r="C10906" s="94">
        <f>TEXT(B10906,"aaa")</f>
        <v/>
      </c>
      <c r="E10906" s="94" t="inlineStr">
        <is>
          <t>클리어 패드</t>
        </is>
      </c>
      <c r="F10906" s="94" t="inlineStr">
        <is>
          <t>카페24</t>
        </is>
      </c>
      <c r="G10906" s="94" t="inlineStr">
        <is>
          <t>어성초 77 클리어 패드 2개-30% off</t>
        </is>
      </c>
      <c r="H10906" s="94" t="n">
        <v>200801</v>
      </c>
      <c r="I10906" s="94" t="n">
        <v>200801</v>
      </c>
      <c r="K10906" s="6" t="n">
        <v>21</v>
      </c>
      <c r="L10906" s="94" t="n">
        <v>200801</v>
      </c>
      <c r="M10906" s="94">
        <f>VLOOKUP($Q10906,매칭테이블!$F:$I,2,0)*K10906</f>
        <v/>
      </c>
      <c r="N10906" s="94">
        <f>M10906-M10906*VLOOKUP($Q10906,매칭테이블!$F:$I,3,0)</f>
        <v/>
      </c>
      <c r="O10906" s="94">
        <f>VLOOKUP($Q10906,매칭테이블!$F:$I,4,0)*K10906</f>
        <v/>
      </c>
      <c r="P10906" s="148">
        <f>M10906/1.1</f>
        <v/>
      </c>
      <c r="Q10906" s="94">
        <f>F10906&amp;E10906&amp;G10906&amp;L10906</f>
        <v/>
      </c>
    </row>
    <row r="10907" customFormat="1" s="94">
      <c r="B10907" s="128" t="n">
        <v>44147</v>
      </c>
      <c r="C10907" s="94">
        <f>TEXT(B10907,"aaa")</f>
        <v/>
      </c>
      <c r="E10907" s="94" t="inlineStr">
        <is>
          <t>토너+패드 세트</t>
        </is>
      </c>
      <c r="F10907" s="94" t="inlineStr">
        <is>
          <t>카페24</t>
        </is>
      </c>
      <c r="G10907" s="94" t="inlineStr">
        <is>
          <t>좁쌀 진정 세트 토너+클리어 패드-30% off</t>
        </is>
      </c>
      <c r="H10907" s="94" t="n">
        <v>200801</v>
      </c>
      <c r="I10907" s="94" t="n">
        <v>200801</v>
      </c>
      <c r="K10907" s="6" t="n">
        <v>13</v>
      </c>
      <c r="L10907" s="94" t="n">
        <v>200801</v>
      </c>
      <c r="M10907" s="94">
        <f>VLOOKUP($Q10907,매칭테이블!$F:$I,2,0)*K10907</f>
        <v/>
      </c>
      <c r="N10907" s="94">
        <f>M10907-M10907*VLOOKUP($Q10907,매칭테이블!$F:$I,3,0)</f>
        <v/>
      </c>
      <c r="O10907" s="94">
        <f>VLOOKUP($Q10907,매칭테이블!$F:$I,4,0)*K10907</f>
        <v/>
      </c>
      <c r="P10907" s="148">
        <f>M10907/1.1</f>
        <v/>
      </c>
      <c r="Q10907" s="94">
        <f>F10907&amp;E10907&amp;G10907&amp;L10907</f>
        <v/>
      </c>
    </row>
    <row r="10908" customFormat="1" s="94">
      <c r="B10908" s="128" t="n">
        <v>44147</v>
      </c>
      <c r="C10908" s="94">
        <f>TEXT(B10908,"aaa")</f>
        <v/>
      </c>
      <c r="E10908" s="94" t="inlineStr">
        <is>
          <t>수분 보충 세트</t>
        </is>
      </c>
      <c r="F10908" s="94" t="inlineStr">
        <is>
          <t>카페24</t>
        </is>
      </c>
      <c r="G10908" s="94" t="inlineStr">
        <is>
          <t>[20/09/28 부터] 어성초 77 토너 250ml + 어성초 70 로션 200ml -30%</t>
        </is>
      </c>
      <c r="H10908" s="94" t="n">
        <v>200801</v>
      </c>
      <c r="I10908" s="94" t="n">
        <v>200801</v>
      </c>
      <c r="K10908" s="6" t="n">
        <v>10</v>
      </c>
      <c r="L10908" s="94" t="n">
        <v>200801</v>
      </c>
      <c r="M10908" s="94">
        <f>VLOOKUP($Q10908,매칭테이블!$F:$I,2,0)*K10908</f>
        <v/>
      </c>
      <c r="N10908" s="94">
        <f>M10908-M10908*VLOOKUP($Q10908,매칭테이블!$F:$I,3,0)</f>
        <v/>
      </c>
      <c r="O10908" s="94">
        <f>VLOOKUP($Q10908,매칭테이블!$F:$I,4,0)*K10908</f>
        <v/>
      </c>
      <c r="P10908" s="148">
        <f>M10908/1.1</f>
        <v/>
      </c>
      <c r="Q10908" s="94">
        <f>F10908&amp;E10908&amp;G10908&amp;L10908</f>
        <v/>
      </c>
    </row>
    <row r="10909" customFormat="1" s="94">
      <c r="B10909" s="128" t="n">
        <v>44147</v>
      </c>
      <c r="C10909" s="94">
        <f>TEXT(B10909,"aaa")</f>
        <v/>
      </c>
      <c r="E10909" s="94" t="inlineStr">
        <is>
          <t>로션</t>
        </is>
      </c>
      <c r="F10909" s="94" t="inlineStr">
        <is>
          <t>카페24</t>
        </is>
      </c>
      <c r="G10909" s="94" t="inlineStr">
        <is>
          <t>어성초 70 데일리 릴리프 로션 1개 -20% off</t>
        </is>
      </c>
      <c r="H10909" s="94" t="n">
        <v>200801</v>
      </c>
      <c r="I10909" s="94" t="n">
        <v>200801</v>
      </c>
      <c r="K10909" s="6" t="n">
        <v>2</v>
      </c>
      <c r="L10909" s="94" t="n">
        <v>200801</v>
      </c>
      <c r="M10909" s="94">
        <f>VLOOKUP($Q10909,매칭테이블!$F:$I,2,0)*K10909</f>
        <v/>
      </c>
      <c r="N10909" s="94">
        <f>M10909-M10909*VLOOKUP($Q10909,매칭테이블!$F:$I,3,0)</f>
        <v/>
      </c>
      <c r="O10909" s="94">
        <f>VLOOKUP($Q10909,매칭테이블!$F:$I,4,0)*K10909</f>
        <v/>
      </c>
      <c r="P10909" s="148">
        <f>M10909/1.1</f>
        <v/>
      </c>
      <c r="Q10909" s="94">
        <f>F10909&amp;E10909&amp;G10909&amp;L10909</f>
        <v/>
      </c>
    </row>
    <row r="10910" customFormat="1" s="94">
      <c r="B10910" s="128" t="n">
        <v>44147</v>
      </c>
      <c r="C10910" s="94">
        <f>TEXT(B10910,"aaa")</f>
        <v/>
      </c>
      <c r="E10910" s="94" t="inlineStr">
        <is>
          <t>머드크림마스크</t>
        </is>
      </c>
      <c r="F10910" s="94" t="inlineStr">
        <is>
          <t>카페24</t>
        </is>
      </c>
      <c r="G10910" s="94" t="inlineStr">
        <is>
          <t>머드크림마스크 100ml</t>
        </is>
      </c>
      <c r="H10910" s="94" t="n">
        <v>200801</v>
      </c>
      <c r="I10910" s="94" t="n">
        <v>200801</v>
      </c>
      <c r="K10910" s="6" t="n">
        <v>4</v>
      </c>
      <c r="L10910" s="94" t="n">
        <v>200801</v>
      </c>
      <c r="M10910" s="94">
        <f>VLOOKUP($Q10910,매칭테이블!$F:$I,2,0)*K10910</f>
        <v/>
      </c>
      <c r="N10910" s="94">
        <f>M10910-M10910*VLOOKUP($Q10910,매칭테이블!$F:$I,3,0)</f>
        <v/>
      </c>
      <c r="O10910" s="94">
        <f>VLOOKUP($Q10910,매칭테이블!$F:$I,4,0)*K10910</f>
        <v/>
      </c>
      <c r="P10910" s="148">
        <f>M10910/1.1</f>
        <v/>
      </c>
      <c r="Q10910" s="94">
        <f>F10910&amp;E10910&amp;G10910&amp;L10910</f>
        <v/>
      </c>
    </row>
    <row r="10911" customFormat="1" s="94">
      <c r="B10911" s="128" t="n">
        <v>44147</v>
      </c>
      <c r="C10911" s="94">
        <f>TEXT(B10911,"aaa")</f>
        <v/>
      </c>
      <c r="E10911" s="94" t="inlineStr">
        <is>
          <t>마스크팩</t>
        </is>
      </c>
      <c r="F10911" s="94" t="inlineStr">
        <is>
          <t>카페24</t>
        </is>
      </c>
      <c r="G10911" s="94" t="inlineStr">
        <is>
          <t>마스크팩 1매</t>
        </is>
      </c>
      <c r="H10911" s="94" t="n">
        <v>200801</v>
      </c>
      <c r="I10911" s="94" t="n">
        <v>200801</v>
      </c>
      <c r="K10911" s="6" t="n">
        <v>3</v>
      </c>
      <c r="L10911" s="94" t="n">
        <v>200801</v>
      </c>
      <c r="M10911" s="94">
        <f>VLOOKUP($Q10911,매칭테이블!$F:$I,2,0)*K10911</f>
        <v/>
      </c>
      <c r="N10911" s="94">
        <f>M10911-M10911*VLOOKUP($Q10911,매칭테이블!$F:$I,3,0)</f>
        <v/>
      </c>
      <c r="O10911" s="94">
        <f>VLOOKUP($Q10911,매칭테이블!$F:$I,4,0)*K10911</f>
        <v/>
      </c>
      <c r="P10911" s="148">
        <f>M10911/1.1</f>
        <v/>
      </c>
      <c r="Q10911" s="94">
        <f>F10911&amp;E10911&amp;G10911&amp;L10911</f>
        <v/>
      </c>
    </row>
    <row r="10912" customFormat="1" s="94">
      <c r="B10912" s="128" t="n">
        <v>44147</v>
      </c>
      <c r="C10912" s="94">
        <f>TEXT(B10912,"aaa")</f>
        <v/>
      </c>
      <c r="E10912" s="94" t="inlineStr">
        <is>
          <t>마스크팩</t>
        </is>
      </c>
      <c r="F10912" s="94" t="inlineStr">
        <is>
          <t>카페24</t>
        </is>
      </c>
      <c r="G10912" s="94" t="inlineStr">
        <is>
          <t>마스크팩 10매</t>
        </is>
      </c>
      <c r="H10912" s="94" t="n">
        <v>200801</v>
      </c>
      <c r="I10912" s="94" t="n">
        <v>200801</v>
      </c>
      <c r="K10912" s="6" t="n">
        <v>1</v>
      </c>
      <c r="L10912" s="94" t="n">
        <v>200801</v>
      </c>
      <c r="M10912" s="94">
        <f>VLOOKUP($Q10912,매칭테이블!$F:$I,2,0)*K10912</f>
        <v/>
      </c>
      <c r="N10912" s="94">
        <f>M10912-M10912*VLOOKUP($Q10912,매칭테이블!$F:$I,3,0)</f>
        <v/>
      </c>
      <c r="O10912" s="94">
        <f>VLOOKUP($Q10912,매칭테이블!$F:$I,4,0)*K10912</f>
        <v/>
      </c>
      <c r="P10912" s="148">
        <f>M10912/1.1</f>
        <v/>
      </c>
      <c r="Q10912" s="94">
        <f>F10912&amp;E10912&amp;G10912&amp;L10912</f>
        <v/>
      </c>
    </row>
    <row r="10913" customFormat="1" s="94">
      <c r="B10913" s="128" t="n">
        <v>44147</v>
      </c>
      <c r="C10913" s="94">
        <f>TEXT(B10913,"aaa")</f>
        <v/>
      </c>
      <c r="E10913" s="94" t="inlineStr">
        <is>
          <t>토너</t>
        </is>
      </c>
      <c r="F10913" s="94" t="inlineStr">
        <is>
          <t>카페24</t>
        </is>
      </c>
      <c r="G10913" s="94" t="inlineStr">
        <is>
          <t>250ml</t>
        </is>
      </c>
      <c r="H10913" s="94" t="n">
        <v>200801</v>
      </c>
      <c r="I10913" s="94" t="n">
        <v>200801</v>
      </c>
      <c r="K10913" s="6" t="n">
        <v>28</v>
      </c>
      <c r="L10913" s="94" t="n">
        <v>200801</v>
      </c>
      <c r="M10913" s="94">
        <f>VLOOKUP($Q10913,매칭테이블!$F:$I,2,0)*K10913</f>
        <v/>
      </c>
      <c r="N10913" s="94">
        <f>M10913-M10913*VLOOKUP($Q10913,매칭테이블!$F:$I,3,0)</f>
        <v/>
      </c>
      <c r="O10913" s="94">
        <f>VLOOKUP($Q10913,매칭테이블!$F:$I,4,0)*K10913</f>
        <v/>
      </c>
      <c r="P10913" s="148">
        <f>M10913/1.1</f>
        <v/>
      </c>
      <c r="Q10913" s="94">
        <f>F10913&amp;E10913&amp;G10913&amp;L10913</f>
        <v/>
      </c>
    </row>
    <row r="10914" customFormat="1" s="94">
      <c r="B10914" s="128" t="n">
        <v>44147</v>
      </c>
      <c r="C10914" s="94">
        <f>TEXT(B10914,"aaa")</f>
        <v/>
      </c>
      <c r="E10914" s="94" t="inlineStr">
        <is>
          <t>토너</t>
        </is>
      </c>
      <c r="F10914" s="94" t="inlineStr">
        <is>
          <t>카페24</t>
        </is>
      </c>
      <c r="G10914" s="94" t="inlineStr">
        <is>
          <t>250ml 2set</t>
        </is>
      </c>
      <c r="H10914" s="94" t="n">
        <v>200801</v>
      </c>
      <c r="I10914" s="94" t="n">
        <v>200801</v>
      </c>
      <c r="K10914" s="6" t="n">
        <v>10</v>
      </c>
      <c r="L10914" s="94" t="n">
        <v>200801</v>
      </c>
      <c r="M10914" s="94">
        <f>VLOOKUP($Q10914,매칭테이블!$F:$I,2,0)*K10914</f>
        <v/>
      </c>
      <c r="N10914" s="94">
        <f>M10914-M10914*VLOOKUP($Q10914,매칭테이블!$F:$I,3,0)</f>
        <v/>
      </c>
      <c r="O10914" s="94">
        <f>VLOOKUP($Q10914,매칭테이블!$F:$I,4,0)*K10914</f>
        <v/>
      </c>
      <c r="P10914" s="148">
        <f>M10914/1.1</f>
        <v/>
      </c>
      <c r="Q10914" s="94">
        <f>F10914&amp;E10914&amp;G10914&amp;L10914</f>
        <v/>
      </c>
    </row>
    <row r="10915" customFormat="1" s="94">
      <c r="B10915" s="128" t="n">
        <v>44147</v>
      </c>
      <c r="C10915" s="94">
        <f>TEXT(B10915,"aaa")</f>
        <v/>
      </c>
      <c r="E10915" s="94" t="inlineStr">
        <is>
          <t>토너</t>
        </is>
      </c>
      <c r="F10915" s="94" t="inlineStr">
        <is>
          <t>카페24</t>
        </is>
      </c>
      <c r="G10915" s="94" t="inlineStr">
        <is>
          <t>500ml</t>
        </is>
      </c>
      <c r="H10915" s="94" t="n">
        <v>200801</v>
      </c>
      <c r="I10915" s="94" t="n">
        <v>200801</v>
      </c>
      <c r="K10915" s="6" t="n">
        <v>32</v>
      </c>
      <c r="L10915" s="94" t="n">
        <v>200801</v>
      </c>
      <c r="M10915" s="94">
        <f>VLOOKUP($Q10915,매칭테이블!$F:$I,2,0)*K10915</f>
        <v/>
      </c>
      <c r="N10915" s="94">
        <f>M10915-M10915*VLOOKUP($Q10915,매칭테이블!$F:$I,3,0)</f>
        <v/>
      </c>
      <c r="O10915" s="94">
        <f>VLOOKUP($Q10915,매칭테이블!$F:$I,4,0)*K10915</f>
        <v/>
      </c>
      <c r="P10915" s="148">
        <f>M10915/1.1</f>
        <v/>
      </c>
      <c r="Q10915" s="94">
        <f>F10915&amp;E10915&amp;G10915&amp;L10915</f>
        <v/>
      </c>
    </row>
    <row r="10916" customFormat="1" s="94">
      <c r="B10916" s="128" t="n">
        <v>44147</v>
      </c>
      <c r="C10916" s="94">
        <f>TEXT(B10916,"aaa")</f>
        <v/>
      </c>
      <c r="E10916" s="94" t="inlineStr">
        <is>
          <t>토너</t>
        </is>
      </c>
      <c r="F10916" s="94" t="inlineStr">
        <is>
          <t>카페24</t>
        </is>
      </c>
      <c r="G10916" s="94" t="inlineStr">
        <is>
          <t>스킨팩 화장솜 60P</t>
        </is>
      </c>
      <c r="H10916" s="94" t="n">
        <v>200801</v>
      </c>
      <c r="I10916" s="94" t="n">
        <v>200801</v>
      </c>
      <c r="K10916" s="6" t="n">
        <v>25</v>
      </c>
      <c r="L10916" s="94" t="n">
        <v>200801</v>
      </c>
      <c r="M10916" s="94">
        <f>VLOOKUP($Q10916,매칭테이블!$F:$I,2,0)*K10916</f>
        <v/>
      </c>
      <c r="N10916" s="94">
        <f>M10916-M10916*VLOOKUP($Q10916,매칭테이블!$F:$I,3,0)</f>
        <v/>
      </c>
      <c r="O10916" s="94">
        <f>VLOOKUP($Q10916,매칭테이블!$F:$I,4,0)*K10916</f>
        <v/>
      </c>
      <c r="P10916" s="148">
        <f>M10916/1.1</f>
        <v/>
      </c>
      <c r="Q10916" s="94">
        <f>F10916&amp;E10916&amp;G10916&amp;L10916</f>
        <v/>
      </c>
    </row>
    <row r="10917" customFormat="1" s="94">
      <c r="B10917" s="128" t="n">
        <v>44147</v>
      </c>
      <c r="C10917" s="94">
        <f>TEXT(B10917,"aaa")</f>
        <v/>
      </c>
      <c r="E10917" s="94" t="inlineStr">
        <is>
          <t>앰플</t>
        </is>
      </c>
      <c r="F10917" s="94" t="inlineStr">
        <is>
          <t>카페24</t>
        </is>
      </c>
      <c r="G10917" s="94" t="inlineStr">
        <is>
          <t>앰플 30ml</t>
        </is>
      </c>
      <c r="H10917" s="94" t="n">
        <v>200801</v>
      </c>
      <c r="I10917" s="94" t="n">
        <v>200801</v>
      </c>
      <c r="K10917" s="6" t="n">
        <v>10</v>
      </c>
      <c r="L10917" s="94" t="n">
        <v>200801</v>
      </c>
      <c r="M10917" s="94">
        <f>VLOOKUP($Q10917,매칭테이블!$F:$I,2,0)*K10917</f>
        <v/>
      </c>
      <c r="N10917" s="94">
        <f>M10917-M10917*VLOOKUP($Q10917,매칭테이블!$F:$I,3,0)</f>
        <v/>
      </c>
      <c r="O10917" s="94">
        <f>VLOOKUP($Q10917,매칭테이블!$F:$I,4,0)*K10917</f>
        <v/>
      </c>
      <c r="P10917" s="148">
        <f>M10917/1.1</f>
        <v/>
      </c>
      <c r="Q10917" s="94">
        <f>F10917&amp;E10917&amp;G10917&amp;L10917</f>
        <v/>
      </c>
    </row>
    <row r="10918" customFormat="1" s="94">
      <c r="B10918" s="128" t="n">
        <v>44147</v>
      </c>
      <c r="C10918" s="94">
        <f>TEXT(B10918,"aaa")</f>
        <v/>
      </c>
      <c r="E10918" s="94" t="inlineStr">
        <is>
          <t>앰플</t>
        </is>
      </c>
      <c r="F10918" s="94" t="inlineStr">
        <is>
          <t>카페24</t>
        </is>
      </c>
      <c r="G10918" s="94" t="inlineStr">
        <is>
          <t>앰플 30ml  2set</t>
        </is>
      </c>
      <c r="H10918" s="94" t="n">
        <v>200801</v>
      </c>
      <c r="I10918" s="94" t="n">
        <v>200801</v>
      </c>
      <c r="K10918" s="6" t="n">
        <v>5</v>
      </c>
      <c r="L10918" s="94" t="n">
        <v>200801</v>
      </c>
      <c r="M10918" s="94">
        <f>VLOOKUP($Q10918,매칭테이블!$F:$I,2,0)*K10918</f>
        <v/>
      </c>
      <c r="N10918" s="94">
        <f>M10918-M10918*VLOOKUP($Q10918,매칭테이블!$F:$I,3,0)</f>
        <v/>
      </c>
      <c r="O10918" s="94">
        <f>VLOOKUP($Q10918,매칭테이블!$F:$I,4,0)*K10918</f>
        <v/>
      </c>
      <c r="P10918" s="148">
        <f>M10918/1.1</f>
        <v/>
      </c>
      <c r="Q10918" s="94">
        <f>F10918&amp;E10918&amp;G10918&amp;L10918</f>
        <v/>
      </c>
    </row>
    <row r="10919" customFormat="1" s="94">
      <c r="B10919" s="128" t="n">
        <v>44147</v>
      </c>
      <c r="C10919" s="94">
        <f>TEXT(B10919,"aaa")</f>
        <v/>
      </c>
      <c r="E10919" s="94" t="inlineStr">
        <is>
          <t>수딩크림</t>
        </is>
      </c>
      <c r="F10919" s="94" t="inlineStr">
        <is>
          <t>카페24</t>
        </is>
      </c>
      <c r="G10919" s="94" t="inlineStr">
        <is>
          <t>수딩크림 100ml</t>
        </is>
      </c>
      <c r="H10919" s="94" t="n">
        <v>200801</v>
      </c>
      <c r="I10919" s="94" t="n">
        <v>200801</v>
      </c>
      <c r="K10919" s="6" t="n">
        <v>2</v>
      </c>
      <c r="L10919" s="94" t="n">
        <v>200801</v>
      </c>
      <c r="M10919" s="94">
        <f>VLOOKUP($Q10919,매칭테이블!$F:$I,2,0)*K10919</f>
        <v/>
      </c>
      <c r="N10919" s="94">
        <f>M10919-M10919*VLOOKUP($Q10919,매칭테이블!$F:$I,3,0)</f>
        <v/>
      </c>
      <c r="O10919" s="94">
        <f>VLOOKUP($Q10919,매칭테이블!$F:$I,4,0)*K10919</f>
        <v/>
      </c>
      <c r="P10919" s="148">
        <f>M10919/1.1</f>
        <v/>
      </c>
      <c r="Q10919" s="94">
        <f>F10919&amp;E10919&amp;G10919&amp;L10919</f>
        <v/>
      </c>
    </row>
    <row r="10920" customFormat="1" s="94">
      <c r="B10920" s="128" t="n">
        <v>44147</v>
      </c>
      <c r="C10920" s="94">
        <f>TEXT(B10920,"aaa")</f>
        <v/>
      </c>
      <c r="E10920" s="94" t="inlineStr">
        <is>
          <t>클렌징폼</t>
        </is>
      </c>
      <c r="F10920" s="94" t="inlineStr">
        <is>
          <t>카페24</t>
        </is>
      </c>
      <c r="G10920" s="94" t="inlineStr">
        <is>
          <t>클렌징폼 120ml</t>
        </is>
      </c>
      <c r="H10920" s="94" t="n">
        <v>200801</v>
      </c>
      <c r="I10920" s="94" t="n">
        <v>200801</v>
      </c>
      <c r="K10920" s="6" t="n">
        <v>5</v>
      </c>
      <c r="L10920" s="94" t="n">
        <v>200801</v>
      </c>
      <c r="M10920" s="94">
        <f>VLOOKUP($Q10920,매칭테이블!$F:$I,2,0)*K10920</f>
        <v/>
      </c>
      <c r="N10920" s="94">
        <f>M10920-M10920*VLOOKUP($Q10920,매칭테이블!$F:$I,3,0)</f>
        <v/>
      </c>
      <c r="O10920" s="94">
        <f>VLOOKUP($Q10920,매칭테이블!$F:$I,4,0)*K10920</f>
        <v/>
      </c>
      <c r="P10920" s="148">
        <f>M10920/1.1</f>
        <v/>
      </c>
      <c r="Q10920" s="94">
        <f>F10920&amp;E10920&amp;G10920&amp;L10920</f>
        <v/>
      </c>
    </row>
    <row r="10921" customFormat="1" s="94">
      <c r="B10921" s="128" t="n">
        <v>44147</v>
      </c>
      <c r="C10921" s="94">
        <f>TEXT(B10921,"aaa")</f>
        <v/>
      </c>
      <c r="E10921" s="94" t="inlineStr">
        <is>
          <t>클렌징폼</t>
        </is>
      </c>
      <c r="F10921" s="94" t="inlineStr">
        <is>
          <t>카페24</t>
        </is>
      </c>
      <c r="G10921" s="94" t="inlineStr">
        <is>
          <t>클렌징폼 120ml 2set</t>
        </is>
      </c>
      <c r="H10921" s="94" t="n">
        <v>200801</v>
      </c>
      <c r="I10921" s="94" t="n">
        <v>200801</v>
      </c>
      <c r="K10921" s="6" t="n">
        <v>1</v>
      </c>
      <c r="L10921" s="94" t="n">
        <v>200801</v>
      </c>
      <c r="M10921" s="94">
        <f>VLOOKUP($Q10921,매칭테이블!$F:$I,2,0)*K10921</f>
        <v/>
      </c>
      <c r="N10921" s="94">
        <f>M10921-M10921*VLOOKUP($Q10921,매칭테이블!$F:$I,3,0)</f>
        <v/>
      </c>
      <c r="O10921" s="94">
        <f>VLOOKUP($Q10921,매칭테이블!$F:$I,4,0)*K10921</f>
        <v/>
      </c>
      <c r="P10921" s="148">
        <f>M10921/1.1</f>
        <v/>
      </c>
      <c r="Q10921" s="94">
        <f>F10921&amp;E10921&amp;G10921&amp;L10921</f>
        <v/>
      </c>
    </row>
    <row r="10922" customFormat="1" s="94">
      <c r="B10922" s="128" t="n">
        <v>44147</v>
      </c>
      <c r="C10922" s="94">
        <f>TEXT(B10922,"aaa")</f>
        <v/>
      </c>
      <c r="E10922" s="94" t="inlineStr">
        <is>
          <t>바디워시</t>
        </is>
      </c>
      <c r="F10922" s="94" t="inlineStr">
        <is>
          <t>카페24</t>
        </is>
      </c>
      <c r="G10922" s="94" t="inlineStr">
        <is>
          <t>바디워시 1개 -30% off</t>
        </is>
      </c>
      <c r="H10922" s="94" t="n">
        <v>200801</v>
      </c>
      <c r="I10922" s="94" t="n">
        <v>200801</v>
      </c>
      <c r="K10922" s="6" t="n">
        <v>1</v>
      </c>
      <c r="L10922" s="94" t="n">
        <v>200801</v>
      </c>
      <c r="M10922" s="94">
        <f>VLOOKUP($Q10922,매칭테이블!$F:$I,2,0)*K10922</f>
        <v/>
      </c>
      <c r="N10922" s="94">
        <f>M10922-M10922*VLOOKUP($Q10922,매칭테이블!$F:$I,3,0)</f>
        <v/>
      </c>
      <c r="O10922" s="94">
        <f>VLOOKUP($Q10922,매칭테이블!$F:$I,4,0)*K10922</f>
        <v/>
      </c>
      <c r="P10922" s="148">
        <f>M10922/1.1</f>
        <v/>
      </c>
      <c r="Q10922" s="94">
        <f>F10922&amp;E10922&amp;G10922&amp;L10922</f>
        <v/>
      </c>
    </row>
    <row r="10923" customFormat="1" s="94">
      <c r="B10923" s="128" t="n">
        <v>44147</v>
      </c>
      <c r="C10923" s="94">
        <f>TEXT(B10923,"aaa")</f>
        <v/>
      </c>
      <c r="E10923" s="94" t="inlineStr">
        <is>
          <t>토너</t>
        </is>
      </c>
      <c r="F10923" s="94" t="inlineStr">
        <is>
          <t>화해</t>
        </is>
      </c>
      <c r="G10923" s="94" t="inlineStr">
        <is>
          <t>250ml</t>
        </is>
      </c>
      <c r="H10923" s="94" t="n">
        <v>200801</v>
      </c>
      <c r="I10923" s="94" t="n">
        <v>200801</v>
      </c>
      <c r="K10923" s="6" t="n">
        <v>2</v>
      </c>
      <c r="L10923" s="94" t="n">
        <v>200801</v>
      </c>
      <c r="M10923" s="94">
        <f>VLOOKUP($Q10923,매칭테이블!$F:$I,2,0)*K10923</f>
        <v/>
      </c>
      <c r="N10923" s="94">
        <f>M10923-M10923*VLOOKUP($Q10923,매칭테이블!$F:$I,3,0)</f>
        <v/>
      </c>
      <c r="O10923" s="94">
        <f>VLOOKUP($Q10923,매칭테이블!$F:$I,4,0)*K10923</f>
        <v/>
      </c>
      <c r="P10923" s="148">
        <f>M10923/1.1</f>
        <v/>
      </c>
      <c r="Q10923" s="94">
        <f>F10923&amp;E10923&amp;G10923&amp;L10923</f>
        <v/>
      </c>
    </row>
    <row r="10924" customFormat="1" s="94">
      <c r="B10924" s="128" t="n">
        <v>44148</v>
      </c>
      <c r="C10924" s="94">
        <f>TEXT(B10924,"aaa")</f>
        <v/>
      </c>
      <c r="E10924" s="94" t="inlineStr">
        <is>
          <t>토너</t>
        </is>
      </c>
      <c r="F10924" s="94" t="inlineStr">
        <is>
          <t>W컨셉</t>
        </is>
      </c>
      <c r="G10924" s="94" t="inlineStr">
        <is>
          <t>250ml 2set</t>
        </is>
      </c>
      <c r="H10924" s="94" t="n">
        <v>200801</v>
      </c>
      <c r="I10924" s="94" t="n">
        <v>200801</v>
      </c>
      <c r="K10924" s="6" t="n">
        <v>3</v>
      </c>
      <c r="L10924" s="94" t="n">
        <v>200801</v>
      </c>
      <c r="M10924" s="94">
        <f>VLOOKUP($Q10924,매칭테이블!$F:$I,2,0)*K10924</f>
        <v/>
      </c>
      <c r="N10924" s="94">
        <f>M10924-M10924*VLOOKUP($Q10924,매칭테이블!$F:$I,3,0)</f>
        <v/>
      </c>
      <c r="O10924" s="94">
        <f>VLOOKUP($Q10924,매칭테이블!$F:$I,4,0)*K10924</f>
        <v/>
      </c>
      <c r="P10924" s="148">
        <f>M10924/1.1</f>
        <v/>
      </c>
      <c r="Q10924" s="94">
        <f>F10924&amp;E10924&amp;G10924&amp;L10924</f>
        <v/>
      </c>
    </row>
    <row r="10925" customFormat="1" s="94">
      <c r="B10925" s="128" t="n">
        <v>44148</v>
      </c>
      <c r="C10925" s="94">
        <f>TEXT(B10925,"aaa")</f>
        <v/>
      </c>
      <c r="E10925" s="94" t="inlineStr">
        <is>
          <t>화장솜</t>
        </is>
      </c>
      <c r="F10925" s="94" t="inlineStr">
        <is>
          <t>아누아 CS</t>
        </is>
      </c>
      <c r="G10925" s="94" t="inlineStr">
        <is>
          <t>스킨팩 화장솜 60P</t>
        </is>
      </c>
      <c r="H10925" s="94" t="n">
        <v>200801</v>
      </c>
      <c r="I10925" s="94" t="n">
        <v>200801</v>
      </c>
      <c r="K10925" s="6" t="n">
        <v>5</v>
      </c>
      <c r="L10925" s="94" t="n">
        <v>200801</v>
      </c>
      <c r="M10925" s="94">
        <f>VLOOKUP($Q10925,매칭테이블!$F:$I,2,0)*K10925</f>
        <v/>
      </c>
      <c r="N10925" s="94">
        <f>M10925-M10925*VLOOKUP($Q10925,매칭테이블!$F:$I,3,0)</f>
        <v/>
      </c>
      <c r="O10925" s="94">
        <f>VLOOKUP($Q10925,매칭테이블!$F:$I,4,0)*K10925</f>
        <v/>
      </c>
      <c r="P10925" s="148">
        <f>M10925/1.1</f>
        <v/>
      </c>
      <c r="Q10925" s="94">
        <f>F10925&amp;E10925&amp;G10925&amp;L10925</f>
        <v/>
      </c>
    </row>
    <row r="10926" customFormat="1" s="94">
      <c r="B10926" s="128" t="n">
        <v>44148</v>
      </c>
      <c r="C10926" s="94">
        <f>TEXT(B10926,"aaa")</f>
        <v/>
      </c>
      <c r="E10926" s="94" t="inlineStr">
        <is>
          <t>선크림</t>
        </is>
      </c>
      <c r="F10926" s="94" t="inlineStr">
        <is>
          <t>카페24</t>
        </is>
      </c>
      <c r="G10926" s="94" t="inlineStr">
        <is>
          <t>선크림 50ml</t>
        </is>
      </c>
      <c r="H10926" s="94" t="n">
        <v>200801</v>
      </c>
      <c r="I10926" s="94" t="n">
        <v>200801</v>
      </c>
      <c r="K10926" s="6" t="n">
        <v>4</v>
      </c>
      <c r="L10926" s="94" t="n">
        <v>200801</v>
      </c>
      <c r="M10926" s="94">
        <f>VLOOKUP($Q10926,매칭테이블!$F:$I,2,0)*K10926</f>
        <v/>
      </c>
      <c r="N10926" s="94">
        <f>M10926-M10926*VLOOKUP($Q10926,매칭테이블!$F:$I,3,0)</f>
        <v/>
      </c>
      <c r="O10926" s="94">
        <f>VLOOKUP($Q10926,매칭테이블!$F:$I,4,0)*K10926</f>
        <v/>
      </c>
      <c r="P10926" s="148">
        <f>M10926/1.1</f>
        <v/>
      </c>
      <c r="Q10926" s="94">
        <f>F10926&amp;E10926&amp;G10926&amp;L10926</f>
        <v/>
      </c>
    </row>
    <row r="10927" customFormat="1" s="94">
      <c r="B10927" s="128" t="n">
        <v>44148</v>
      </c>
      <c r="C10927" s="94">
        <f>TEXT(B10927,"aaa")</f>
        <v/>
      </c>
      <c r="E10927" s="94" t="inlineStr">
        <is>
          <t>어성초진정패키지</t>
        </is>
      </c>
      <c r="F10927" s="94" t="inlineStr">
        <is>
          <t>카페24</t>
        </is>
      </c>
      <c r="G10927" s="94" t="inlineStr">
        <is>
          <t>어성초 진정패키지세트</t>
        </is>
      </c>
      <c r="H10927" s="94" t="n">
        <v>200801</v>
      </c>
      <c r="I10927" s="94" t="n">
        <v>200801</v>
      </c>
      <c r="K10927" s="6" t="n">
        <v>2</v>
      </c>
      <c r="L10927" s="94" t="n">
        <v>200801</v>
      </c>
      <c r="M10927" s="94">
        <f>VLOOKUP($Q10927,매칭테이블!$F:$I,2,0)*K10927</f>
        <v/>
      </c>
      <c r="N10927" s="94">
        <f>M10927-M10927*VLOOKUP($Q10927,매칭테이블!$F:$I,3,0)</f>
        <v/>
      </c>
      <c r="O10927" s="94">
        <f>VLOOKUP($Q10927,매칭테이블!$F:$I,4,0)*K10927</f>
        <v/>
      </c>
      <c r="P10927" s="148">
        <f>M10927/1.1</f>
        <v/>
      </c>
      <c r="Q10927" s="94">
        <f>F10927&amp;E10927&amp;G10927&amp;L10927</f>
        <v/>
      </c>
    </row>
    <row r="10928" customFormat="1" s="94">
      <c r="B10928" s="128" t="n">
        <v>44148</v>
      </c>
      <c r="C10928" s="94">
        <f>TEXT(B10928,"aaa")</f>
        <v/>
      </c>
      <c r="E10928" s="94" t="inlineStr">
        <is>
          <t>클리어 패드</t>
        </is>
      </c>
      <c r="F10928" s="94" t="inlineStr">
        <is>
          <t>카페24</t>
        </is>
      </c>
      <c r="G10928" s="94" t="inlineStr">
        <is>
          <t>어성초 77 클리어 패드 1개-20% off</t>
        </is>
      </c>
      <c r="H10928" s="94" t="n">
        <v>200801</v>
      </c>
      <c r="I10928" s="94" t="n">
        <v>200801</v>
      </c>
      <c r="K10928" s="6" t="n">
        <v>12</v>
      </c>
      <c r="L10928" s="94" t="n">
        <v>200801</v>
      </c>
      <c r="M10928" s="94">
        <f>VLOOKUP($Q10928,매칭테이블!$F:$I,2,0)*K10928</f>
        <v/>
      </c>
      <c r="N10928" s="94">
        <f>M10928-M10928*VLOOKUP($Q10928,매칭테이블!$F:$I,3,0)</f>
        <v/>
      </c>
      <c r="O10928" s="94">
        <f>VLOOKUP($Q10928,매칭테이블!$F:$I,4,0)*K10928</f>
        <v/>
      </c>
      <c r="P10928" s="148">
        <f>M10928/1.1</f>
        <v/>
      </c>
      <c r="Q10928" s="94">
        <f>F10928&amp;E10928&amp;G10928&amp;L10928</f>
        <v/>
      </c>
    </row>
    <row r="10929" customFormat="1" s="94">
      <c r="B10929" s="128" t="n">
        <v>44148</v>
      </c>
      <c r="C10929" s="94">
        <f>TEXT(B10929,"aaa")</f>
        <v/>
      </c>
      <c r="E10929" s="94" t="inlineStr">
        <is>
          <t>클리어 패드</t>
        </is>
      </c>
      <c r="F10929" s="94" t="inlineStr">
        <is>
          <t>카페24</t>
        </is>
      </c>
      <c r="G10929" s="94" t="inlineStr">
        <is>
          <t>어성초 77 클리어 패드 2개-30% off</t>
        </is>
      </c>
      <c r="H10929" s="94" t="n">
        <v>200801</v>
      </c>
      <c r="I10929" s="94" t="n">
        <v>200801</v>
      </c>
      <c r="K10929" s="6" t="n">
        <v>16</v>
      </c>
      <c r="L10929" s="94" t="n">
        <v>200801</v>
      </c>
      <c r="M10929" s="94">
        <f>VLOOKUP($Q10929,매칭테이블!$F:$I,2,0)*K10929</f>
        <v/>
      </c>
      <c r="N10929" s="94">
        <f>M10929-M10929*VLOOKUP($Q10929,매칭테이블!$F:$I,3,0)</f>
        <v/>
      </c>
      <c r="O10929" s="94">
        <f>VLOOKUP($Q10929,매칭테이블!$F:$I,4,0)*K10929</f>
        <v/>
      </c>
      <c r="P10929" s="148">
        <f>M10929/1.1</f>
        <v/>
      </c>
      <c r="Q10929" s="94">
        <f>F10929&amp;E10929&amp;G10929&amp;L10929</f>
        <v/>
      </c>
    </row>
    <row r="10930" customFormat="1" s="94">
      <c r="B10930" s="128" t="n">
        <v>44148</v>
      </c>
      <c r="C10930" s="94">
        <f>TEXT(B10930,"aaa")</f>
        <v/>
      </c>
      <c r="E10930" s="94" t="inlineStr">
        <is>
          <t>토너+패드 세트</t>
        </is>
      </c>
      <c r="F10930" s="94" t="inlineStr">
        <is>
          <t>카페24</t>
        </is>
      </c>
      <c r="G10930" s="94" t="inlineStr">
        <is>
          <t>좁쌀 진정 세트 토너+클리어 패드-30% off</t>
        </is>
      </c>
      <c r="H10930" s="94" t="n">
        <v>200801</v>
      </c>
      <c r="I10930" s="94" t="n">
        <v>200801</v>
      </c>
      <c r="K10930" s="6" t="n">
        <v>18</v>
      </c>
      <c r="L10930" s="94" t="n">
        <v>200801</v>
      </c>
      <c r="M10930" s="94">
        <f>VLOOKUP($Q10930,매칭테이블!$F:$I,2,0)*K10930</f>
        <v/>
      </c>
      <c r="N10930" s="94">
        <f>M10930-M10930*VLOOKUP($Q10930,매칭테이블!$F:$I,3,0)</f>
        <v/>
      </c>
      <c r="O10930" s="94">
        <f>VLOOKUP($Q10930,매칭테이블!$F:$I,4,0)*K10930</f>
        <v/>
      </c>
      <c r="P10930" s="148">
        <f>M10930/1.1</f>
        <v/>
      </c>
      <c r="Q10930" s="94">
        <f>F10930&amp;E10930&amp;G10930&amp;L10930</f>
        <v/>
      </c>
    </row>
    <row r="10931" customFormat="1" s="94">
      <c r="B10931" s="128" t="n">
        <v>44148</v>
      </c>
      <c r="C10931" s="94">
        <f>TEXT(B10931,"aaa")</f>
        <v/>
      </c>
      <c r="E10931" s="94" t="inlineStr">
        <is>
          <t>수분 보충 세트</t>
        </is>
      </c>
      <c r="F10931" s="94" t="inlineStr">
        <is>
          <t>카페24</t>
        </is>
      </c>
      <c r="G10931" s="94" t="inlineStr">
        <is>
          <t>[20/09/28 부터] 어성초 77 토너 250ml + 어성초 70 로션 200ml -30%</t>
        </is>
      </c>
      <c r="H10931" s="94" t="n">
        <v>200801</v>
      </c>
      <c r="I10931" s="94" t="n">
        <v>200801</v>
      </c>
      <c r="K10931" s="6" t="n">
        <v>10</v>
      </c>
      <c r="L10931" s="94" t="n">
        <v>200801</v>
      </c>
      <c r="M10931" s="94">
        <f>VLOOKUP($Q10931,매칭테이블!$F:$I,2,0)*K10931</f>
        <v/>
      </c>
      <c r="N10931" s="94">
        <f>M10931-M10931*VLOOKUP($Q10931,매칭테이블!$F:$I,3,0)</f>
        <v/>
      </c>
      <c r="O10931" s="94">
        <f>VLOOKUP($Q10931,매칭테이블!$F:$I,4,0)*K10931</f>
        <v/>
      </c>
      <c r="P10931" s="148">
        <f>M10931/1.1</f>
        <v/>
      </c>
      <c r="Q10931" s="94">
        <f>F10931&amp;E10931&amp;G10931&amp;L10931</f>
        <v/>
      </c>
    </row>
    <row r="10932" customFormat="1" s="94">
      <c r="B10932" s="128" t="n">
        <v>44148</v>
      </c>
      <c r="C10932" s="94">
        <f>TEXT(B10932,"aaa")</f>
        <v/>
      </c>
      <c r="E10932" s="94" t="inlineStr">
        <is>
          <t>로션</t>
        </is>
      </c>
      <c r="F10932" s="94" t="inlineStr">
        <is>
          <t>카페24</t>
        </is>
      </c>
      <c r="G10932" s="94" t="inlineStr">
        <is>
          <t>어성초 70 데일리 릴리프 로션 1개 -20% off</t>
        </is>
      </c>
      <c r="H10932" s="94" t="n">
        <v>200801</v>
      </c>
      <c r="I10932" s="94" t="n">
        <v>200801</v>
      </c>
      <c r="K10932" s="6" t="n">
        <v>3</v>
      </c>
      <c r="L10932" s="94" t="n">
        <v>200801</v>
      </c>
      <c r="M10932" s="94">
        <f>VLOOKUP($Q10932,매칭테이블!$F:$I,2,0)*K10932</f>
        <v/>
      </c>
      <c r="N10932" s="94">
        <f>M10932-M10932*VLOOKUP($Q10932,매칭테이블!$F:$I,3,0)</f>
        <v/>
      </c>
      <c r="O10932" s="94">
        <f>VLOOKUP($Q10932,매칭테이블!$F:$I,4,0)*K10932</f>
        <v/>
      </c>
      <c r="P10932" s="148">
        <f>M10932/1.1</f>
        <v/>
      </c>
      <c r="Q10932" s="94">
        <f>F10932&amp;E10932&amp;G10932&amp;L10932</f>
        <v/>
      </c>
    </row>
    <row r="10933" customFormat="1" s="94">
      <c r="B10933" s="128" t="n">
        <v>44148</v>
      </c>
      <c r="C10933" s="94">
        <f>TEXT(B10933,"aaa")</f>
        <v/>
      </c>
      <c r="E10933" s="94" t="inlineStr">
        <is>
          <t>로션</t>
        </is>
      </c>
      <c r="F10933" s="94" t="inlineStr">
        <is>
          <t>카페24</t>
        </is>
      </c>
      <c r="G10933" s="94" t="inlineStr">
        <is>
          <t>어성초 70 데일리 릴리프 로션 2개 -30% off</t>
        </is>
      </c>
      <c r="H10933" s="94" t="n">
        <v>200801</v>
      </c>
      <c r="I10933" s="94" t="n">
        <v>200801</v>
      </c>
      <c r="K10933" s="6" t="n">
        <v>1</v>
      </c>
      <c r="L10933" s="94" t="n">
        <v>200801</v>
      </c>
      <c r="M10933" s="94">
        <f>VLOOKUP($Q10933,매칭테이블!$F:$I,2,0)*K10933</f>
        <v/>
      </c>
      <c r="N10933" s="94">
        <f>M10933-M10933*VLOOKUP($Q10933,매칭테이블!$F:$I,3,0)</f>
        <v/>
      </c>
      <c r="O10933" s="94">
        <f>VLOOKUP($Q10933,매칭테이블!$F:$I,4,0)*K10933</f>
        <v/>
      </c>
      <c r="P10933" s="148">
        <f>M10933/1.1</f>
        <v/>
      </c>
      <c r="Q10933" s="94">
        <f>F10933&amp;E10933&amp;G10933&amp;L10933</f>
        <v/>
      </c>
    </row>
    <row r="10934" customFormat="1" s="94">
      <c r="B10934" s="128" t="n">
        <v>44148</v>
      </c>
      <c r="C10934" s="94">
        <f>TEXT(B10934,"aaa")</f>
        <v/>
      </c>
      <c r="E10934" s="94" t="inlineStr">
        <is>
          <t>머드크림마스크</t>
        </is>
      </c>
      <c r="F10934" s="94" t="inlineStr">
        <is>
          <t>카페24</t>
        </is>
      </c>
      <c r="G10934" s="94" t="inlineStr">
        <is>
          <t>머드크림마스크 100ml</t>
        </is>
      </c>
      <c r="H10934" s="94" t="n">
        <v>200801</v>
      </c>
      <c r="I10934" s="94" t="n">
        <v>200801</v>
      </c>
      <c r="K10934" s="6" t="n">
        <v>2</v>
      </c>
      <c r="L10934" s="94" t="n">
        <v>200801</v>
      </c>
      <c r="M10934" s="94">
        <f>VLOOKUP($Q10934,매칭테이블!$F:$I,2,0)*K10934</f>
        <v/>
      </c>
      <c r="N10934" s="94">
        <f>M10934-M10934*VLOOKUP($Q10934,매칭테이블!$F:$I,3,0)</f>
        <v/>
      </c>
      <c r="O10934" s="94">
        <f>VLOOKUP($Q10934,매칭테이블!$F:$I,4,0)*K10934</f>
        <v/>
      </c>
      <c r="P10934" s="148">
        <f>M10934/1.1</f>
        <v/>
      </c>
      <c r="Q10934" s="94">
        <f>F10934&amp;E10934&amp;G10934&amp;L10934</f>
        <v/>
      </c>
    </row>
    <row r="10935" customFormat="1" s="94">
      <c r="B10935" s="128" t="n">
        <v>44148</v>
      </c>
      <c r="C10935" s="94">
        <f>TEXT(B10935,"aaa")</f>
        <v/>
      </c>
      <c r="E10935" s="94" t="inlineStr">
        <is>
          <t>머드크림마스크</t>
        </is>
      </c>
      <c r="F10935" s="94" t="inlineStr">
        <is>
          <t>카페24</t>
        </is>
      </c>
      <c r="G10935" s="94" t="inlineStr">
        <is>
          <t>머드크림마스크 100ml 2set</t>
        </is>
      </c>
      <c r="H10935" s="94" t="n">
        <v>200801</v>
      </c>
      <c r="I10935" s="94" t="n">
        <v>200801</v>
      </c>
      <c r="K10935" s="6" t="n">
        <v>1</v>
      </c>
      <c r="L10935" s="94" t="n">
        <v>200801</v>
      </c>
      <c r="M10935" s="94">
        <f>VLOOKUP($Q10935,매칭테이블!$F:$I,2,0)*K10935</f>
        <v/>
      </c>
      <c r="N10935" s="94">
        <f>M10935-M10935*VLOOKUP($Q10935,매칭테이블!$F:$I,3,0)</f>
        <v/>
      </c>
      <c r="O10935" s="94">
        <f>VLOOKUP($Q10935,매칭테이블!$F:$I,4,0)*K10935</f>
        <v/>
      </c>
      <c r="P10935" s="148">
        <f>M10935/1.1</f>
        <v/>
      </c>
      <c r="Q10935" s="94">
        <f>F10935&amp;E10935&amp;G10935&amp;L10935</f>
        <v/>
      </c>
    </row>
    <row r="10936" customFormat="1" s="94">
      <c r="B10936" s="128" t="n">
        <v>44148</v>
      </c>
      <c r="C10936" s="94">
        <f>TEXT(B10936,"aaa")</f>
        <v/>
      </c>
      <c r="E10936" s="94" t="inlineStr">
        <is>
          <t>마스크팩</t>
        </is>
      </c>
      <c r="F10936" s="94" t="inlineStr">
        <is>
          <t>카페24</t>
        </is>
      </c>
      <c r="G10936" s="94" t="inlineStr">
        <is>
          <t>마스크팩 10매</t>
        </is>
      </c>
      <c r="H10936" s="94" t="n">
        <v>200801</v>
      </c>
      <c r="I10936" s="94" t="n">
        <v>200801</v>
      </c>
      <c r="K10936" s="6" t="n">
        <v>2</v>
      </c>
      <c r="L10936" s="94" t="n">
        <v>200801</v>
      </c>
      <c r="M10936" s="94">
        <f>VLOOKUP($Q10936,매칭테이블!$F:$I,2,0)*K10936</f>
        <v/>
      </c>
      <c r="N10936" s="94">
        <f>M10936-M10936*VLOOKUP($Q10936,매칭테이블!$F:$I,3,0)</f>
        <v/>
      </c>
      <c r="O10936" s="94">
        <f>VLOOKUP($Q10936,매칭테이블!$F:$I,4,0)*K10936</f>
        <v/>
      </c>
      <c r="P10936" s="148">
        <f>M10936/1.1</f>
        <v/>
      </c>
      <c r="Q10936" s="94">
        <f>F10936&amp;E10936&amp;G10936&amp;L10936</f>
        <v/>
      </c>
    </row>
    <row r="10937" customFormat="1" s="94">
      <c r="B10937" s="128" t="n">
        <v>44148</v>
      </c>
      <c r="C10937" s="94">
        <f>TEXT(B10937,"aaa")</f>
        <v/>
      </c>
      <c r="E10937" s="94" t="inlineStr">
        <is>
          <t>토너</t>
        </is>
      </c>
      <c r="F10937" s="94" t="inlineStr">
        <is>
          <t>카페24</t>
        </is>
      </c>
      <c r="G10937" s="94" t="inlineStr">
        <is>
          <t>250ml</t>
        </is>
      </c>
      <c r="H10937" s="94" t="n">
        <v>200801</v>
      </c>
      <c r="I10937" s="94" t="n">
        <v>200801</v>
      </c>
      <c r="K10937" s="6" t="n">
        <v>14</v>
      </c>
      <c r="L10937" s="94" t="n">
        <v>200801</v>
      </c>
      <c r="M10937" s="94">
        <f>VLOOKUP($Q10937,매칭테이블!$F:$I,2,0)*K10937</f>
        <v/>
      </c>
      <c r="N10937" s="94">
        <f>M10937-M10937*VLOOKUP($Q10937,매칭테이블!$F:$I,3,0)</f>
        <v/>
      </c>
      <c r="O10937" s="94">
        <f>VLOOKUP($Q10937,매칭테이블!$F:$I,4,0)*K10937</f>
        <v/>
      </c>
      <c r="P10937" s="148">
        <f>M10937/1.1</f>
        <v/>
      </c>
      <c r="Q10937" s="94">
        <f>F10937&amp;E10937&amp;G10937&amp;L10937</f>
        <v/>
      </c>
    </row>
    <row r="10938" customFormat="1" s="94">
      <c r="B10938" s="128" t="n">
        <v>44148</v>
      </c>
      <c r="C10938" s="94">
        <f>TEXT(B10938,"aaa")</f>
        <v/>
      </c>
      <c r="E10938" s="94" t="inlineStr">
        <is>
          <t>토너</t>
        </is>
      </c>
      <c r="F10938" s="94" t="inlineStr">
        <is>
          <t>카페24</t>
        </is>
      </c>
      <c r="G10938" s="94" t="inlineStr">
        <is>
          <t>250ml 2set</t>
        </is>
      </c>
      <c r="H10938" s="94" t="n">
        <v>200801</v>
      </c>
      <c r="I10938" s="94" t="n">
        <v>200801</v>
      </c>
      <c r="K10938" s="6" t="n">
        <v>11</v>
      </c>
      <c r="L10938" s="94" t="n">
        <v>200801</v>
      </c>
      <c r="M10938" s="94">
        <f>VLOOKUP($Q10938,매칭테이블!$F:$I,2,0)*K10938</f>
        <v/>
      </c>
      <c r="N10938" s="94">
        <f>M10938-M10938*VLOOKUP($Q10938,매칭테이블!$F:$I,3,0)</f>
        <v/>
      </c>
      <c r="O10938" s="94">
        <f>VLOOKUP($Q10938,매칭테이블!$F:$I,4,0)*K10938</f>
        <v/>
      </c>
      <c r="P10938" s="148">
        <f>M10938/1.1</f>
        <v/>
      </c>
      <c r="Q10938" s="94">
        <f>F10938&amp;E10938&amp;G10938&amp;L10938</f>
        <v/>
      </c>
    </row>
    <row r="10939" customFormat="1" s="94">
      <c r="B10939" s="128" t="n">
        <v>44148</v>
      </c>
      <c r="C10939" s="94">
        <f>TEXT(B10939,"aaa")</f>
        <v/>
      </c>
      <c r="E10939" s="94" t="inlineStr">
        <is>
          <t>토너</t>
        </is>
      </c>
      <c r="F10939" s="94" t="inlineStr">
        <is>
          <t>카페24</t>
        </is>
      </c>
      <c r="G10939" s="94" t="inlineStr">
        <is>
          <t>500ml</t>
        </is>
      </c>
      <c r="H10939" s="94" t="n">
        <v>200801</v>
      </c>
      <c r="I10939" s="94" t="n">
        <v>200801</v>
      </c>
      <c r="K10939" s="6" t="n">
        <v>34</v>
      </c>
      <c r="L10939" s="94" t="n">
        <v>200801</v>
      </c>
      <c r="M10939" s="94">
        <f>VLOOKUP($Q10939,매칭테이블!$F:$I,2,0)*K10939</f>
        <v/>
      </c>
      <c r="N10939" s="94">
        <f>M10939-M10939*VLOOKUP($Q10939,매칭테이블!$F:$I,3,0)</f>
        <v/>
      </c>
      <c r="O10939" s="94">
        <f>VLOOKUP($Q10939,매칭테이블!$F:$I,4,0)*K10939</f>
        <v/>
      </c>
      <c r="P10939" s="148">
        <f>M10939/1.1</f>
        <v/>
      </c>
      <c r="Q10939" s="94">
        <f>F10939&amp;E10939&amp;G10939&amp;L10939</f>
        <v/>
      </c>
    </row>
    <row r="10940" customFormat="1" s="94">
      <c r="B10940" s="128" t="n">
        <v>44148</v>
      </c>
      <c r="C10940" s="94">
        <f>TEXT(B10940,"aaa")</f>
        <v/>
      </c>
      <c r="E10940" s="94" t="inlineStr">
        <is>
          <t>토너</t>
        </is>
      </c>
      <c r="F10940" s="94" t="inlineStr">
        <is>
          <t>카페24</t>
        </is>
      </c>
      <c r="G10940" s="94" t="inlineStr">
        <is>
          <t>스킨팩 화장솜 60P</t>
        </is>
      </c>
      <c r="H10940" s="94" t="n">
        <v>200801</v>
      </c>
      <c r="I10940" s="94" t="n">
        <v>200801</v>
      </c>
      <c r="K10940" s="6" t="n">
        <v>10</v>
      </c>
      <c r="L10940" s="94" t="n">
        <v>200801</v>
      </c>
      <c r="M10940" s="94">
        <f>VLOOKUP($Q10940,매칭테이블!$F:$I,2,0)*K10940</f>
        <v/>
      </c>
      <c r="N10940" s="94">
        <f>M10940-M10940*VLOOKUP($Q10940,매칭테이블!$F:$I,3,0)</f>
        <v/>
      </c>
      <c r="O10940" s="94">
        <f>VLOOKUP($Q10940,매칭테이블!$F:$I,4,0)*K10940</f>
        <v/>
      </c>
      <c r="P10940" s="148">
        <f>M10940/1.1</f>
        <v/>
      </c>
      <c r="Q10940" s="94">
        <f>F10940&amp;E10940&amp;G10940&amp;L10940</f>
        <v/>
      </c>
    </row>
    <row r="10941" customFormat="1" s="94">
      <c r="B10941" s="128" t="n">
        <v>44148</v>
      </c>
      <c r="C10941" s="94">
        <f>TEXT(B10941,"aaa")</f>
        <v/>
      </c>
      <c r="E10941" s="94" t="inlineStr">
        <is>
          <t>앰플</t>
        </is>
      </c>
      <c r="F10941" s="94" t="inlineStr">
        <is>
          <t>카페24</t>
        </is>
      </c>
      <c r="G10941" s="94" t="inlineStr">
        <is>
          <t>앰플 30ml</t>
        </is>
      </c>
      <c r="H10941" s="94" t="n">
        <v>200801</v>
      </c>
      <c r="I10941" s="94" t="n">
        <v>200801</v>
      </c>
      <c r="K10941" s="6" t="n">
        <v>11</v>
      </c>
      <c r="L10941" s="94" t="n">
        <v>200801</v>
      </c>
      <c r="M10941" s="94">
        <f>VLOOKUP($Q10941,매칭테이블!$F:$I,2,0)*K10941</f>
        <v/>
      </c>
      <c r="N10941" s="94">
        <f>M10941-M10941*VLOOKUP($Q10941,매칭테이블!$F:$I,3,0)</f>
        <v/>
      </c>
      <c r="O10941" s="94">
        <f>VLOOKUP($Q10941,매칭테이블!$F:$I,4,0)*K10941</f>
        <v/>
      </c>
      <c r="P10941" s="148">
        <f>M10941/1.1</f>
        <v/>
      </c>
      <c r="Q10941" s="94">
        <f>F10941&amp;E10941&amp;G10941&amp;L10941</f>
        <v/>
      </c>
    </row>
    <row r="10942" customFormat="1" s="94">
      <c r="B10942" s="128" t="n">
        <v>44148</v>
      </c>
      <c r="C10942" s="94">
        <f>TEXT(B10942,"aaa")</f>
        <v/>
      </c>
      <c r="E10942" s="94" t="inlineStr">
        <is>
          <t>앰플</t>
        </is>
      </c>
      <c r="F10942" s="94" t="inlineStr">
        <is>
          <t>카페24</t>
        </is>
      </c>
      <c r="G10942" s="94" t="inlineStr">
        <is>
          <t>앰플 30ml  2set</t>
        </is>
      </c>
      <c r="H10942" s="94" t="n">
        <v>200801</v>
      </c>
      <c r="I10942" s="94" t="n">
        <v>200801</v>
      </c>
      <c r="K10942" s="6" t="n">
        <v>4</v>
      </c>
      <c r="L10942" s="94" t="n">
        <v>200801</v>
      </c>
      <c r="M10942" s="94">
        <f>VLOOKUP($Q10942,매칭테이블!$F:$I,2,0)*K10942</f>
        <v/>
      </c>
      <c r="N10942" s="94">
        <f>M10942-M10942*VLOOKUP($Q10942,매칭테이블!$F:$I,3,0)</f>
        <v/>
      </c>
      <c r="O10942" s="94">
        <f>VLOOKUP($Q10942,매칭테이블!$F:$I,4,0)*K10942</f>
        <v/>
      </c>
      <c r="P10942" s="148">
        <f>M10942/1.1</f>
        <v/>
      </c>
      <c r="Q10942" s="94">
        <f>F10942&amp;E10942&amp;G10942&amp;L10942</f>
        <v/>
      </c>
    </row>
    <row r="10943" customFormat="1" s="94">
      <c r="B10943" s="128" t="n">
        <v>44148</v>
      </c>
      <c r="C10943" s="94">
        <f>TEXT(B10943,"aaa")</f>
        <v/>
      </c>
      <c r="E10943" s="94" t="inlineStr">
        <is>
          <t>수딩크림</t>
        </is>
      </c>
      <c r="F10943" s="94" t="inlineStr">
        <is>
          <t>카페24</t>
        </is>
      </c>
      <c r="G10943" s="94" t="inlineStr">
        <is>
          <t>수딩크림 100ml</t>
        </is>
      </c>
      <c r="H10943" s="94" t="n">
        <v>200801</v>
      </c>
      <c r="I10943" s="94" t="n">
        <v>200801</v>
      </c>
      <c r="K10943" s="6" t="n">
        <v>3</v>
      </c>
      <c r="L10943" s="94" t="n">
        <v>200801</v>
      </c>
      <c r="M10943" s="94">
        <f>VLOOKUP($Q10943,매칭테이블!$F:$I,2,0)*K10943</f>
        <v/>
      </c>
      <c r="N10943" s="94">
        <f>M10943-M10943*VLOOKUP($Q10943,매칭테이블!$F:$I,3,0)</f>
        <v/>
      </c>
      <c r="O10943" s="94">
        <f>VLOOKUP($Q10943,매칭테이블!$F:$I,4,0)*K10943</f>
        <v/>
      </c>
      <c r="P10943" s="148">
        <f>M10943/1.1</f>
        <v/>
      </c>
      <c r="Q10943" s="94">
        <f>F10943&amp;E10943&amp;G10943&amp;L10943</f>
        <v/>
      </c>
    </row>
    <row r="10944" customFormat="1" s="94">
      <c r="B10944" s="128" t="n">
        <v>44148</v>
      </c>
      <c r="C10944" s="94">
        <f>TEXT(B10944,"aaa")</f>
        <v/>
      </c>
      <c r="E10944" s="94" t="inlineStr">
        <is>
          <t>클렌징폼</t>
        </is>
      </c>
      <c r="F10944" s="94" t="inlineStr">
        <is>
          <t>카페24</t>
        </is>
      </c>
      <c r="G10944" s="94" t="inlineStr">
        <is>
          <t>클렌징폼 120ml</t>
        </is>
      </c>
      <c r="H10944" s="94" t="n">
        <v>200801</v>
      </c>
      <c r="I10944" s="94" t="n">
        <v>200801</v>
      </c>
      <c r="K10944" s="6" t="n">
        <v>9</v>
      </c>
      <c r="L10944" s="94" t="n">
        <v>200801</v>
      </c>
      <c r="M10944" s="94">
        <f>VLOOKUP($Q10944,매칭테이블!$F:$I,2,0)*K10944</f>
        <v/>
      </c>
      <c r="N10944" s="94">
        <f>M10944-M10944*VLOOKUP($Q10944,매칭테이블!$F:$I,3,0)</f>
        <v/>
      </c>
      <c r="O10944" s="94">
        <f>VLOOKUP($Q10944,매칭테이블!$F:$I,4,0)*K10944</f>
        <v/>
      </c>
      <c r="P10944" s="148">
        <f>M10944/1.1</f>
        <v/>
      </c>
      <c r="Q10944" s="94">
        <f>F10944&amp;E10944&amp;G10944&amp;L10944</f>
        <v/>
      </c>
    </row>
    <row r="10945" customFormat="1" s="94">
      <c r="B10945" s="128" t="n">
        <v>44148</v>
      </c>
      <c r="C10945" s="94">
        <f>TEXT(B10945,"aaa")</f>
        <v/>
      </c>
      <c r="E10945" s="94" t="inlineStr">
        <is>
          <t>클렌징폼</t>
        </is>
      </c>
      <c r="F10945" s="94" t="inlineStr">
        <is>
          <t>카페24</t>
        </is>
      </c>
      <c r="G10945" s="94" t="inlineStr">
        <is>
          <t>클렌징폼 120ml 2set</t>
        </is>
      </c>
      <c r="H10945" s="94" t="n">
        <v>200801</v>
      </c>
      <c r="I10945" s="94" t="n">
        <v>200801</v>
      </c>
      <c r="K10945" s="6" t="n">
        <v>1</v>
      </c>
      <c r="L10945" s="94" t="n">
        <v>200801</v>
      </c>
      <c r="M10945" s="94">
        <f>VLOOKUP($Q10945,매칭테이블!$F:$I,2,0)*K10945</f>
        <v/>
      </c>
      <c r="N10945" s="94">
        <f>M10945-M10945*VLOOKUP($Q10945,매칭테이블!$F:$I,3,0)</f>
        <v/>
      </c>
      <c r="O10945" s="94">
        <f>VLOOKUP($Q10945,매칭테이블!$F:$I,4,0)*K10945</f>
        <v/>
      </c>
      <c r="P10945" s="148">
        <f>M10945/1.1</f>
        <v/>
      </c>
      <c r="Q10945" s="94">
        <f>F10945&amp;E10945&amp;G10945&amp;L10945</f>
        <v/>
      </c>
    </row>
    <row r="10946" customFormat="1" s="94">
      <c r="B10946" s="128" t="n">
        <v>44148</v>
      </c>
      <c r="C10946" s="94">
        <f>TEXT(B10946,"aaa")</f>
        <v/>
      </c>
      <c r="E10946" s="94" t="inlineStr">
        <is>
          <t>토너</t>
        </is>
      </c>
      <c r="F10946" s="94" t="inlineStr">
        <is>
          <t>화해</t>
        </is>
      </c>
      <c r="G10946" s="94" t="inlineStr">
        <is>
          <t>250ml</t>
        </is>
      </c>
      <c r="H10946" s="94" t="n">
        <v>200801</v>
      </c>
      <c r="I10946" s="94" t="n">
        <v>200801</v>
      </c>
      <c r="K10946" s="6" t="n">
        <v>3</v>
      </c>
      <c r="L10946" s="94" t="n">
        <v>200801</v>
      </c>
      <c r="M10946" s="94">
        <f>VLOOKUP($Q10946,매칭테이블!$F:$I,2,0)*K10946</f>
        <v/>
      </c>
      <c r="N10946" s="94">
        <f>M10946-M10946*VLOOKUP($Q10946,매칭테이블!$F:$I,3,0)</f>
        <v/>
      </c>
      <c r="O10946" s="94">
        <f>VLOOKUP($Q10946,매칭테이블!$F:$I,4,0)*K10946</f>
        <v/>
      </c>
      <c r="P10946" s="148">
        <f>M10946/1.1</f>
        <v/>
      </c>
      <c r="Q10946" s="94">
        <f>F10946&amp;E10946&amp;G10946&amp;L10946</f>
        <v/>
      </c>
    </row>
    <row r="10947" customFormat="1" s="94">
      <c r="B10947" s="128" t="n">
        <v>44149</v>
      </c>
      <c r="C10947" s="94">
        <f>TEXT(B10947,"aaa")</f>
        <v/>
      </c>
      <c r="E10947" s="94" t="inlineStr">
        <is>
          <t>토너</t>
        </is>
      </c>
      <c r="F10947" s="94" t="inlineStr">
        <is>
          <t>스타일쉐어</t>
        </is>
      </c>
      <c r="G10947" s="94" t="inlineStr">
        <is>
          <t>250ml</t>
        </is>
      </c>
      <c r="H10947" s="94" t="n">
        <v>200801</v>
      </c>
      <c r="I10947" s="94" t="n">
        <v>200801</v>
      </c>
      <c r="K10947" s="6" t="n">
        <v>2</v>
      </c>
      <c r="L10947" s="94" t="n">
        <v>200801</v>
      </c>
      <c r="M10947" s="94">
        <f>VLOOKUP($Q10947,매칭테이블!$F:$I,2,0)*K10947</f>
        <v/>
      </c>
      <c r="N10947" s="94">
        <f>M10947-M10947*VLOOKUP($Q10947,매칭테이블!$F:$I,3,0)</f>
        <v/>
      </c>
      <c r="O10947" s="94">
        <f>VLOOKUP($Q10947,매칭테이블!$F:$I,4,0)*K10947</f>
        <v/>
      </c>
      <c r="P10947" s="148">
        <f>M10947/1.1</f>
        <v/>
      </c>
      <c r="Q10947" s="94">
        <f>F10947&amp;E10947&amp;G10947&amp;L10947</f>
        <v/>
      </c>
    </row>
    <row r="10948" customFormat="1" s="94">
      <c r="B10948" s="128" t="n">
        <v>44149</v>
      </c>
      <c r="C10948" s="94">
        <f>TEXT(B10948,"aaa")</f>
        <v/>
      </c>
      <c r="E10948" s="94" t="inlineStr">
        <is>
          <t>선크림</t>
        </is>
      </c>
      <c r="F10948" s="94" t="inlineStr">
        <is>
          <t>카페24</t>
        </is>
      </c>
      <c r="G10948" s="94" t="inlineStr">
        <is>
          <t>선크림 50ml</t>
        </is>
      </c>
      <c r="H10948" s="94" t="n">
        <v>200801</v>
      </c>
      <c r="I10948" s="94" t="n">
        <v>200801</v>
      </c>
      <c r="K10948" s="6" t="n">
        <v>2</v>
      </c>
      <c r="L10948" s="94" t="n">
        <v>200801</v>
      </c>
      <c r="M10948" s="94">
        <f>VLOOKUP($Q10948,매칭테이블!$F:$I,2,0)*K10948</f>
        <v/>
      </c>
      <c r="N10948" s="94">
        <f>M10948-M10948*VLOOKUP($Q10948,매칭테이블!$F:$I,3,0)</f>
        <v/>
      </c>
      <c r="O10948" s="94">
        <f>VLOOKUP($Q10948,매칭테이블!$F:$I,4,0)*K10948</f>
        <v/>
      </c>
      <c r="P10948" s="148">
        <f>M10948/1.1</f>
        <v/>
      </c>
      <c r="Q10948" s="94">
        <f>F10948&amp;E10948&amp;G10948&amp;L10948</f>
        <v/>
      </c>
    </row>
    <row r="10949" customFormat="1" s="94">
      <c r="B10949" s="128" t="n">
        <v>44149</v>
      </c>
      <c r="C10949" s="94">
        <f>TEXT(B10949,"aaa")</f>
        <v/>
      </c>
      <c r="E10949" s="94" t="inlineStr">
        <is>
          <t>어성초진정패키지</t>
        </is>
      </c>
      <c r="F10949" s="94" t="inlineStr">
        <is>
          <t>카페24</t>
        </is>
      </c>
      <c r="G10949" s="94" t="inlineStr">
        <is>
          <t>어성초 진정패키지세트</t>
        </is>
      </c>
      <c r="H10949" s="94" t="n">
        <v>200801</v>
      </c>
      <c r="I10949" s="94" t="n">
        <v>200801</v>
      </c>
      <c r="K10949" s="6" t="n">
        <v>1</v>
      </c>
      <c r="L10949" s="94" t="n">
        <v>200801</v>
      </c>
      <c r="M10949" s="94">
        <f>VLOOKUP($Q10949,매칭테이블!$F:$I,2,0)*K10949</f>
        <v/>
      </c>
      <c r="N10949" s="94">
        <f>M10949-M10949*VLOOKUP($Q10949,매칭테이블!$F:$I,3,0)</f>
        <v/>
      </c>
      <c r="O10949" s="94">
        <f>VLOOKUP($Q10949,매칭테이블!$F:$I,4,0)*K10949</f>
        <v/>
      </c>
      <c r="P10949" s="148">
        <f>M10949/1.1</f>
        <v/>
      </c>
      <c r="Q10949" s="94">
        <f>F10949&amp;E10949&amp;G10949&amp;L10949</f>
        <v/>
      </c>
    </row>
    <row r="10950" customFormat="1" s="94">
      <c r="B10950" s="128" t="n">
        <v>44149</v>
      </c>
      <c r="C10950" s="94">
        <f>TEXT(B10950,"aaa")</f>
        <v/>
      </c>
      <c r="E10950" s="94" t="inlineStr">
        <is>
          <t>클리어 패드</t>
        </is>
      </c>
      <c r="F10950" s="94" t="inlineStr">
        <is>
          <t>카페24</t>
        </is>
      </c>
      <c r="G10950" s="94" t="inlineStr">
        <is>
          <t>어성초 77 클리어 패드 1개-20% off</t>
        </is>
      </c>
      <c r="H10950" s="94" t="n">
        <v>200801</v>
      </c>
      <c r="I10950" s="94" t="n">
        <v>200801</v>
      </c>
      <c r="K10950" s="6" t="n">
        <v>15</v>
      </c>
      <c r="L10950" s="94" t="n">
        <v>200801</v>
      </c>
      <c r="M10950" s="94">
        <f>VLOOKUP($Q10950,매칭테이블!$F:$I,2,0)*K10950</f>
        <v/>
      </c>
      <c r="N10950" s="94">
        <f>M10950-M10950*VLOOKUP($Q10950,매칭테이블!$F:$I,3,0)</f>
        <v/>
      </c>
      <c r="O10950" s="94">
        <f>VLOOKUP($Q10950,매칭테이블!$F:$I,4,0)*K10950</f>
        <v/>
      </c>
      <c r="P10950" s="148">
        <f>M10950/1.1</f>
        <v/>
      </c>
      <c r="Q10950" s="94">
        <f>F10950&amp;E10950&amp;G10950&amp;L10950</f>
        <v/>
      </c>
    </row>
    <row r="10951" customFormat="1" s="94">
      <c r="B10951" s="128" t="n">
        <v>44149</v>
      </c>
      <c r="C10951" s="94">
        <f>TEXT(B10951,"aaa")</f>
        <v/>
      </c>
      <c r="E10951" s="94" t="inlineStr">
        <is>
          <t>클리어 패드</t>
        </is>
      </c>
      <c r="F10951" s="94" t="inlineStr">
        <is>
          <t>카페24</t>
        </is>
      </c>
      <c r="G10951" s="94" t="inlineStr">
        <is>
          <t>어성초 77 클리어 패드 2개-30% off</t>
        </is>
      </c>
      <c r="H10951" s="94" t="n">
        <v>200801</v>
      </c>
      <c r="I10951" s="94" t="n">
        <v>200801</v>
      </c>
      <c r="K10951" s="6" t="n">
        <v>21</v>
      </c>
      <c r="L10951" s="94" t="n">
        <v>200801</v>
      </c>
      <c r="M10951" s="94">
        <f>VLOOKUP($Q10951,매칭테이블!$F:$I,2,0)*K10951</f>
        <v/>
      </c>
      <c r="N10951" s="94">
        <f>M10951-M10951*VLOOKUP($Q10951,매칭테이블!$F:$I,3,0)</f>
        <v/>
      </c>
      <c r="O10951" s="94">
        <f>VLOOKUP($Q10951,매칭테이블!$F:$I,4,0)*K10951</f>
        <v/>
      </c>
      <c r="P10951" s="148">
        <f>M10951/1.1</f>
        <v/>
      </c>
      <c r="Q10951" s="94">
        <f>F10951&amp;E10951&amp;G10951&amp;L10951</f>
        <v/>
      </c>
    </row>
    <row r="10952" customFormat="1" s="94">
      <c r="B10952" s="128" t="n">
        <v>44149</v>
      </c>
      <c r="C10952" s="94">
        <f>TEXT(B10952,"aaa")</f>
        <v/>
      </c>
      <c r="E10952" s="94" t="inlineStr">
        <is>
          <t>토너+패드 세트</t>
        </is>
      </c>
      <c r="F10952" s="94" t="inlineStr">
        <is>
          <t>카페24</t>
        </is>
      </c>
      <c r="G10952" s="94" t="inlineStr">
        <is>
          <t>좁쌀 진정 세트 토너+클리어 패드-30% off</t>
        </is>
      </c>
      <c r="H10952" s="94" t="n">
        <v>200801</v>
      </c>
      <c r="I10952" s="94" t="n">
        <v>200801</v>
      </c>
      <c r="K10952" s="6" t="n">
        <v>15</v>
      </c>
      <c r="L10952" s="94" t="n">
        <v>200801</v>
      </c>
      <c r="M10952" s="94">
        <f>VLOOKUP($Q10952,매칭테이블!$F:$I,2,0)*K10952</f>
        <v/>
      </c>
      <c r="N10952" s="94">
        <f>M10952-M10952*VLOOKUP($Q10952,매칭테이블!$F:$I,3,0)</f>
        <v/>
      </c>
      <c r="O10952" s="94">
        <f>VLOOKUP($Q10952,매칭테이블!$F:$I,4,0)*K10952</f>
        <v/>
      </c>
      <c r="P10952" s="148">
        <f>M10952/1.1</f>
        <v/>
      </c>
      <c r="Q10952" s="94">
        <f>F10952&amp;E10952&amp;G10952&amp;L10952</f>
        <v/>
      </c>
    </row>
    <row r="10953" customFormat="1" s="94">
      <c r="B10953" s="128" t="n">
        <v>44149</v>
      </c>
      <c r="C10953" s="94">
        <f>TEXT(B10953,"aaa")</f>
        <v/>
      </c>
      <c r="E10953" s="94" t="inlineStr">
        <is>
          <t>수분 보충 세트</t>
        </is>
      </c>
      <c r="F10953" s="94" t="inlineStr">
        <is>
          <t>카페24</t>
        </is>
      </c>
      <c r="G10953" s="94" t="inlineStr">
        <is>
          <t>[20/09/28 부터] 어성초 77 토너 250ml + 어성초 70 로션 200ml -30%</t>
        </is>
      </c>
      <c r="H10953" s="94" t="n">
        <v>200801</v>
      </c>
      <c r="I10953" s="94" t="n">
        <v>200801</v>
      </c>
      <c r="K10953" s="6" t="n">
        <v>12</v>
      </c>
      <c r="L10953" s="94" t="n">
        <v>200801</v>
      </c>
      <c r="M10953" s="94">
        <f>VLOOKUP($Q10953,매칭테이블!$F:$I,2,0)*K10953</f>
        <v/>
      </c>
      <c r="N10953" s="94">
        <f>M10953-M10953*VLOOKUP($Q10953,매칭테이블!$F:$I,3,0)</f>
        <v/>
      </c>
      <c r="O10953" s="94">
        <f>VLOOKUP($Q10953,매칭테이블!$F:$I,4,0)*K10953</f>
        <v/>
      </c>
      <c r="P10953" s="148">
        <f>M10953/1.1</f>
        <v/>
      </c>
      <c r="Q10953" s="94">
        <f>F10953&amp;E10953&amp;G10953&amp;L10953</f>
        <v/>
      </c>
    </row>
    <row r="10954" customFormat="1" s="94">
      <c r="B10954" s="128" t="n">
        <v>44149</v>
      </c>
      <c r="C10954" s="94">
        <f>TEXT(B10954,"aaa")</f>
        <v/>
      </c>
      <c r="E10954" s="94" t="inlineStr">
        <is>
          <t>로션</t>
        </is>
      </c>
      <c r="F10954" s="94" t="inlineStr">
        <is>
          <t>카페24</t>
        </is>
      </c>
      <c r="G10954" s="94" t="inlineStr">
        <is>
          <t>어성초 70 데일리 릴리프 로션 1개 -20% off</t>
        </is>
      </c>
      <c r="H10954" s="94" t="n">
        <v>200801</v>
      </c>
      <c r="I10954" s="94" t="n">
        <v>200801</v>
      </c>
      <c r="K10954" s="6" t="n">
        <v>3</v>
      </c>
      <c r="L10954" s="94" t="n">
        <v>200801</v>
      </c>
      <c r="M10954" s="94">
        <f>VLOOKUP($Q10954,매칭테이블!$F:$I,2,0)*K10954</f>
        <v/>
      </c>
      <c r="N10954" s="94">
        <f>M10954-M10954*VLOOKUP($Q10954,매칭테이블!$F:$I,3,0)</f>
        <v/>
      </c>
      <c r="O10954" s="94">
        <f>VLOOKUP($Q10954,매칭테이블!$F:$I,4,0)*K10954</f>
        <v/>
      </c>
      <c r="P10954" s="148">
        <f>M10954/1.1</f>
        <v/>
      </c>
      <c r="Q10954" s="94">
        <f>F10954&amp;E10954&amp;G10954&amp;L10954</f>
        <v/>
      </c>
    </row>
    <row r="10955" customFormat="1" s="94">
      <c r="B10955" s="128" t="n">
        <v>44149</v>
      </c>
      <c r="C10955" s="94">
        <f>TEXT(B10955,"aaa")</f>
        <v/>
      </c>
      <c r="E10955" s="94" t="inlineStr">
        <is>
          <t>로션</t>
        </is>
      </c>
      <c r="F10955" s="94" t="inlineStr">
        <is>
          <t>카페24</t>
        </is>
      </c>
      <c r="G10955" s="94" t="inlineStr">
        <is>
          <t>어성초 70 데일리 릴리프 로션 2개 -30% off</t>
        </is>
      </c>
      <c r="H10955" s="94" t="n">
        <v>200801</v>
      </c>
      <c r="I10955" s="94" t="n">
        <v>200801</v>
      </c>
      <c r="K10955" s="6" t="n">
        <v>2</v>
      </c>
      <c r="L10955" s="94" t="n">
        <v>200801</v>
      </c>
      <c r="M10955" s="94">
        <f>VLOOKUP($Q10955,매칭테이블!$F:$I,2,0)*K10955</f>
        <v/>
      </c>
      <c r="N10955" s="94">
        <f>M10955-M10955*VLOOKUP($Q10955,매칭테이블!$F:$I,3,0)</f>
        <v/>
      </c>
      <c r="O10955" s="94">
        <f>VLOOKUP($Q10955,매칭테이블!$F:$I,4,0)*K10955</f>
        <v/>
      </c>
      <c r="P10955" s="148">
        <f>M10955/1.1</f>
        <v/>
      </c>
      <c r="Q10955" s="94">
        <f>F10955&amp;E10955&amp;G10955&amp;L10955</f>
        <v/>
      </c>
    </row>
    <row r="10956" customFormat="1" s="94">
      <c r="B10956" s="128" t="n">
        <v>44149</v>
      </c>
      <c r="C10956" s="94">
        <f>TEXT(B10956,"aaa")</f>
        <v/>
      </c>
      <c r="E10956" s="94" t="inlineStr">
        <is>
          <t>머드크림마스크</t>
        </is>
      </c>
      <c r="F10956" s="94" t="inlineStr">
        <is>
          <t>카페24</t>
        </is>
      </c>
      <c r="G10956" s="94" t="inlineStr">
        <is>
          <t>머드크림마스크 100ml</t>
        </is>
      </c>
      <c r="H10956" s="94" t="n">
        <v>200801</v>
      </c>
      <c r="I10956" s="94" t="n">
        <v>200801</v>
      </c>
      <c r="K10956" s="6" t="n">
        <v>1</v>
      </c>
      <c r="L10956" s="94" t="n">
        <v>200801</v>
      </c>
      <c r="M10956" s="94">
        <f>VLOOKUP($Q10956,매칭테이블!$F:$I,2,0)*K10956</f>
        <v/>
      </c>
      <c r="N10956" s="94">
        <f>M10956-M10956*VLOOKUP($Q10956,매칭테이블!$F:$I,3,0)</f>
        <v/>
      </c>
      <c r="O10956" s="94">
        <f>VLOOKUP($Q10956,매칭테이블!$F:$I,4,0)*K10956</f>
        <v/>
      </c>
      <c r="P10956" s="148">
        <f>M10956/1.1</f>
        <v/>
      </c>
      <c r="Q10956" s="94">
        <f>F10956&amp;E10956&amp;G10956&amp;L10956</f>
        <v/>
      </c>
    </row>
    <row r="10957" customFormat="1" s="94">
      <c r="B10957" s="128" t="n">
        <v>44149</v>
      </c>
      <c r="C10957" s="94">
        <f>TEXT(B10957,"aaa")</f>
        <v/>
      </c>
      <c r="E10957" s="94" t="inlineStr">
        <is>
          <t>마스크팩</t>
        </is>
      </c>
      <c r="F10957" s="94" t="inlineStr">
        <is>
          <t>카페24</t>
        </is>
      </c>
      <c r="G10957" s="94" t="inlineStr">
        <is>
          <t>마스크팩 1매</t>
        </is>
      </c>
      <c r="H10957" s="94" t="n">
        <v>200801</v>
      </c>
      <c r="I10957" s="94" t="n">
        <v>200801</v>
      </c>
      <c r="K10957" s="6" t="n">
        <v>3</v>
      </c>
      <c r="L10957" s="94" t="n">
        <v>200801</v>
      </c>
      <c r="M10957" s="94">
        <f>VLOOKUP($Q10957,매칭테이블!$F:$I,2,0)*K10957</f>
        <v/>
      </c>
      <c r="N10957" s="94">
        <f>M10957-M10957*VLOOKUP($Q10957,매칭테이블!$F:$I,3,0)</f>
        <v/>
      </c>
      <c r="O10957" s="94">
        <f>VLOOKUP($Q10957,매칭테이블!$F:$I,4,0)*K10957</f>
        <v/>
      </c>
      <c r="P10957" s="148">
        <f>M10957/1.1</f>
        <v/>
      </c>
      <c r="Q10957" s="94">
        <f>F10957&amp;E10957&amp;G10957&amp;L10957</f>
        <v/>
      </c>
    </row>
    <row r="10958" customFormat="1" s="94">
      <c r="B10958" s="128" t="n">
        <v>44149</v>
      </c>
      <c r="C10958" s="94">
        <f>TEXT(B10958,"aaa")</f>
        <v/>
      </c>
      <c r="E10958" s="94" t="inlineStr">
        <is>
          <t>마스크팩</t>
        </is>
      </c>
      <c r="F10958" s="94" t="inlineStr">
        <is>
          <t>카페24</t>
        </is>
      </c>
      <c r="G10958" s="94" t="inlineStr">
        <is>
          <t>마스크팩 10매</t>
        </is>
      </c>
      <c r="H10958" s="94" t="n">
        <v>200801</v>
      </c>
      <c r="I10958" s="94" t="n">
        <v>200801</v>
      </c>
      <c r="K10958" s="6" t="n">
        <v>2</v>
      </c>
      <c r="L10958" s="94" t="n">
        <v>200801</v>
      </c>
      <c r="M10958" s="94">
        <f>VLOOKUP($Q10958,매칭테이블!$F:$I,2,0)*K10958</f>
        <v/>
      </c>
      <c r="N10958" s="94">
        <f>M10958-M10958*VLOOKUP($Q10958,매칭테이블!$F:$I,3,0)</f>
        <v/>
      </c>
      <c r="O10958" s="94">
        <f>VLOOKUP($Q10958,매칭테이블!$F:$I,4,0)*K10958</f>
        <v/>
      </c>
      <c r="P10958" s="148">
        <f>M10958/1.1</f>
        <v/>
      </c>
      <c r="Q10958" s="94">
        <f>F10958&amp;E10958&amp;G10958&amp;L10958</f>
        <v/>
      </c>
    </row>
    <row r="10959" customFormat="1" s="94">
      <c r="B10959" s="128" t="n">
        <v>44149</v>
      </c>
      <c r="C10959" s="94">
        <f>TEXT(B10959,"aaa")</f>
        <v/>
      </c>
      <c r="E10959" s="94" t="inlineStr">
        <is>
          <t>토너</t>
        </is>
      </c>
      <c r="F10959" s="94" t="inlineStr">
        <is>
          <t>카페24</t>
        </is>
      </c>
      <c r="G10959" s="94" t="inlineStr">
        <is>
          <t>250ml</t>
        </is>
      </c>
      <c r="H10959" s="94" t="n">
        <v>200801</v>
      </c>
      <c r="I10959" s="94" t="n">
        <v>200801</v>
      </c>
      <c r="K10959" s="6" t="n">
        <v>17</v>
      </c>
      <c r="L10959" s="94" t="n">
        <v>200801</v>
      </c>
      <c r="M10959" s="94">
        <f>VLOOKUP($Q10959,매칭테이블!$F:$I,2,0)*K10959</f>
        <v/>
      </c>
      <c r="N10959" s="94">
        <f>M10959-M10959*VLOOKUP($Q10959,매칭테이블!$F:$I,3,0)</f>
        <v/>
      </c>
      <c r="O10959" s="94">
        <f>VLOOKUP($Q10959,매칭테이블!$F:$I,4,0)*K10959</f>
        <v/>
      </c>
      <c r="P10959" s="148">
        <f>M10959/1.1</f>
        <v/>
      </c>
      <c r="Q10959" s="94">
        <f>F10959&amp;E10959&amp;G10959&amp;L10959</f>
        <v/>
      </c>
    </row>
    <row r="10960" customFormat="1" s="94">
      <c r="B10960" s="128" t="n">
        <v>44149</v>
      </c>
      <c r="C10960" s="94">
        <f>TEXT(B10960,"aaa")</f>
        <v/>
      </c>
      <c r="E10960" s="94" t="inlineStr">
        <is>
          <t>토너</t>
        </is>
      </c>
      <c r="F10960" s="94" t="inlineStr">
        <is>
          <t>카페24</t>
        </is>
      </c>
      <c r="G10960" s="94" t="inlineStr">
        <is>
          <t>250ml 2set</t>
        </is>
      </c>
      <c r="H10960" s="94" t="n">
        <v>200801</v>
      </c>
      <c r="I10960" s="94" t="n">
        <v>200801</v>
      </c>
      <c r="K10960" s="6" t="n">
        <v>15</v>
      </c>
      <c r="L10960" s="94" t="n">
        <v>200801</v>
      </c>
      <c r="M10960" s="94">
        <f>VLOOKUP($Q10960,매칭테이블!$F:$I,2,0)*K10960</f>
        <v/>
      </c>
      <c r="N10960" s="94">
        <f>M10960-M10960*VLOOKUP($Q10960,매칭테이블!$F:$I,3,0)</f>
        <v/>
      </c>
      <c r="O10960" s="94">
        <f>VLOOKUP($Q10960,매칭테이블!$F:$I,4,0)*K10960</f>
        <v/>
      </c>
      <c r="P10960" s="148">
        <f>M10960/1.1</f>
        <v/>
      </c>
      <c r="Q10960" s="94">
        <f>F10960&amp;E10960&amp;G10960&amp;L10960</f>
        <v/>
      </c>
    </row>
    <row r="10961" customFormat="1" s="94">
      <c r="B10961" s="128" t="n">
        <v>44149</v>
      </c>
      <c r="C10961" s="94">
        <f>TEXT(B10961,"aaa")</f>
        <v/>
      </c>
      <c r="E10961" s="94" t="inlineStr">
        <is>
          <t>토너</t>
        </is>
      </c>
      <c r="F10961" s="94" t="inlineStr">
        <is>
          <t>카페24</t>
        </is>
      </c>
      <c r="G10961" s="94" t="inlineStr">
        <is>
          <t>500ml</t>
        </is>
      </c>
      <c r="H10961" s="94" t="n">
        <v>200801</v>
      </c>
      <c r="I10961" s="94" t="n">
        <v>200801</v>
      </c>
      <c r="K10961" s="6" t="n">
        <v>29</v>
      </c>
      <c r="L10961" s="94" t="n">
        <v>200801</v>
      </c>
      <c r="M10961" s="94">
        <f>VLOOKUP($Q10961,매칭테이블!$F:$I,2,0)*K10961</f>
        <v/>
      </c>
      <c r="N10961" s="94">
        <f>M10961-M10961*VLOOKUP($Q10961,매칭테이블!$F:$I,3,0)</f>
        <v/>
      </c>
      <c r="O10961" s="94">
        <f>VLOOKUP($Q10961,매칭테이블!$F:$I,4,0)*K10961</f>
        <v/>
      </c>
      <c r="P10961" s="148">
        <f>M10961/1.1</f>
        <v/>
      </c>
      <c r="Q10961" s="94">
        <f>F10961&amp;E10961&amp;G10961&amp;L10961</f>
        <v/>
      </c>
    </row>
    <row r="10962" customFormat="1" s="94">
      <c r="B10962" s="128" t="n">
        <v>44149</v>
      </c>
      <c r="C10962" s="94">
        <f>TEXT(B10962,"aaa")</f>
        <v/>
      </c>
      <c r="E10962" s="94" t="inlineStr">
        <is>
          <t>토너</t>
        </is>
      </c>
      <c r="F10962" s="94" t="inlineStr">
        <is>
          <t>카페24</t>
        </is>
      </c>
      <c r="G10962" s="94" t="inlineStr">
        <is>
          <t>스킨팩 화장솜 60P</t>
        </is>
      </c>
      <c r="H10962" s="94" t="n">
        <v>200801</v>
      </c>
      <c r="I10962" s="94" t="n">
        <v>200801</v>
      </c>
      <c r="K10962" s="6" t="n">
        <v>24</v>
      </c>
      <c r="L10962" s="94" t="n">
        <v>200801</v>
      </c>
      <c r="M10962" s="94">
        <f>VLOOKUP($Q10962,매칭테이블!$F:$I,2,0)*K10962</f>
        <v/>
      </c>
      <c r="N10962" s="94">
        <f>M10962-M10962*VLOOKUP($Q10962,매칭테이블!$F:$I,3,0)</f>
        <v/>
      </c>
      <c r="O10962" s="94">
        <f>VLOOKUP($Q10962,매칭테이블!$F:$I,4,0)*K10962</f>
        <v/>
      </c>
      <c r="P10962" s="148">
        <f>M10962/1.1</f>
        <v/>
      </c>
      <c r="Q10962" s="94">
        <f>F10962&amp;E10962&amp;G10962&amp;L10962</f>
        <v/>
      </c>
    </row>
    <row r="10963" customFormat="1" s="94">
      <c r="B10963" s="128" t="n">
        <v>44149</v>
      </c>
      <c r="C10963" s="94">
        <f>TEXT(B10963,"aaa")</f>
        <v/>
      </c>
      <c r="E10963" s="94" t="inlineStr">
        <is>
          <t>앰플</t>
        </is>
      </c>
      <c r="F10963" s="94" t="inlineStr">
        <is>
          <t>카페24</t>
        </is>
      </c>
      <c r="G10963" s="94" t="inlineStr">
        <is>
          <t>앰플 30ml</t>
        </is>
      </c>
      <c r="H10963" s="94" t="n">
        <v>200801</v>
      </c>
      <c r="I10963" s="94" t="n">
        <v>200801</v>
      </c>
      <c r="K10963" s="6" t="n">
        <v>8</v>
      </c>
      <c r="L10963" s="94" t="n">
        <v>200801</v>
      </c>
      <c r="M10963" s="94">
        <f>VLOOKUP($Q10963,매칭테이블!$F:$I,2,0)*K10963</f>
        <v/>
      </c>
      <c r="N10963" s="94">
        <f>M10963-M10963*VLOOKUP($Q10963,매칭테이블!$F:$I,3,0)</f>
        <v/>
      </c>
      <c r="O10963" s="94">
        <f>VLOOKUP($Q10963,매칭테이블!$F:$I,4,0)*K10963</f>
        <v/>
      </c>
      <c r="P10963" s="148">
        <f>M10963/1.1</f>
        <v/>
      </c>
      <c r="Q10963" s="94">
        <f>F10963&amp;E10963&amp;G10963&amp;L10963</f>
        <v/>
      </c>
    </row>
    <row r="10964" customFormat="1" s="94">
      <c r="B10964" s="128" t="n">
        <v>44149</v>
      </c>
      <c r="C10964" s="94">
        <f>TEXT(B10964,"aaa")</f>
        <v/>
      </c>
      <c r="E10964" s="94" t="inlineStr">
        <is>
          <t>앰플</t>
        </is>
      </c>
      <c r="F10964" s="94" t="inlineStr">
        <is>
          <t>카페24</t>
        </is>
      </c>
      <c r="G10964" s="94" t="inlineStr">
        <is>
          <t>앰플 30ml  2set</t>
        </is>
      </c>
      <c r="H10964" s="94" t="n">
        <v>200801</v>
      </c>
      <c r="I10964" s="94" t="n">
        <v>200801</v>
      </c>
      <c r="K10964" s="6" t="n">
        <v>3</v>
      </c>
      <c r="L10964" s="94" t="n">
        <v>200801</v>
      </c>
      <c r="M10964" s="94">
        <f>VLOOKUP($Q10964,매칭테이블!$F:$I,2,0)*K10964</f>
        <v/>
      </c>
      <c r="N10964" s="94">
        <f>M10964-M10964*VLOOKUP($Q10964,매칭테이블!$F:$I,3,0)</f>
        <v/>
      </c>
      <c r="O10964" s="94">
        <f>VLOOKUP($Q10964,매칭테이블!$F:$I,4,0)*K10964</f>
        <v/>
      </c>
      <c r="P10964" s="148">
        <f>M10964/1.1</f>
        <v/>
      </c>
      <c r="Q10964" s="94">
        <f>F10964&amp;E10964&amp;G10964&amp;L10964</f>
        <v/>
      </c>
    </row>
    <row r="10965" customFormat="1" s="94">
      <c r="B10965" s="128" t="n">
        <v>44149</v>
      </c>
      <c r="C10965" s="94">
        <f>TEXT(B10965,"aaa")</f>
        <v/>
      </c>
      <c r="E10965" s="94" t="inlineStr">
        <is>
          <t>수딩크림</t>
        </is>
      </c>
      <c r="F10965" s="94" t="inlineStr">
        <is>
          <t>카페24</t>
        </is>
      </c>
      <c r="G10965" s="94" t="inlineStr">
        <is>
          <t>수딩크림 100ml</t>
        </is>
      </c>
      <c r="H10965" s="94" t="n">
        <v>200801</v>
      </c>
      <c r="I10965" s="94" t="n">
        <v>200801</v>
      </c>
      <c r="K10965" s="6" t="n">
        <v>4</v>
      </c>
      <c r="L10965" s="94" t="n">
        <v>200801</v>
      </c>
      <c r="M10965" s="94">
        <f>VLOOKUP($Q10965,매칭테이블!$F:$I,2,0)*K10965</f>
        <v/>
      </c>
      <c r="N10965" s="94">
        <f>M10965-M10965*VLOOKUP($Q10965,매칭테이블!$F:$I,3,0)</f>
        <v/>
      </c>
      <c r="O10965" s="94">
        <f>VLOOKUP($Q10965,매칭테이블!$F:$I,4,0)*K10965</f>
        <v/>
      </c>
      <c r="P10965" s="148">
        <f>M10965/1.1</f>
        <v/>
      </c>
      <c r="Q10965" s="94">
        <f>F10965&amp;E10965&amp;G10965&amp;L10965</f>
        <v/>
      </c>
    </row>
    <row r="10966" customFormat="1" s="94">
      <c r="B10966" s="128" t="n">
        <v>44149</v>
      </c>
      <c r="C10966" s="94">
        <f>TEXT(B10966,"aaa")</f>
        <v/>
      </c>
      <c r="E10966" s="94" t="inlineStr">
        <is>
          <t>클렌징폼</t>
        </is>
      </c>
      <c r="F10966" s="94" t="inlineStr">
        <is>
          <t>카페24</t>
        </is>
      </c>
      <c r="G10966" s="94" t="inlineStr">
        <is>
          <t>클렌징폼 120ml</t>
        </is>
      </c>
      <c r="H10966" s="94" t="n">
        <v>200801</v>
      </c>
      <c r="I10966" s="94" t="n">
        <v>200801</v>
      </c>
      <c r="K10966" s="6" t="n">
        <v>6</v>
      </c>
      <c r="L10966" s="94" t="n">
        <v>200801</v>
      </c>
      <c r="M10966" s="94">
        <f>VLOOKUP($Q10966,매칭테이블!$F:$I,2,0)*K10966</f>
        <v/>
      </c>
      <c r="N10966" s="94">
        <f>M10966-M10966*VLOOKUP($Q10966,매칭테이블!$F:$I,3,0)</f>
        <v/>
      </c>
      <c r="O10966" s="94">
        <f>VLOOKUP($Q10966,매칭테이블!$F:$I,4,0)*K10966</f>
        <v/>
      </c>
      <c r="P10966" s="148">
        <f>M10966/1.1</f>
        <v/>
      </c>
      <c r="Q10966" s="94">
        <f>F10966&amp;E10966&amp;G10966&amp;L10966</f>
        <v/>
      </c>
    </row>
    <row r="10967" customFormat="1" s="94">
      <c r="B10967" s="128" t="n">
        <v>44149</v>
      </c>
      <c r="C10967" s="94">
        <f>TEXT(B10967,"aaa")</f>
        <v/>
      </c>
      <c r="E10967" s="94" t="inlineStr">
        <is>
          <t>클렌징폼</t>
        </is>
      </c>
      <c r="F10967" s="94" t="inlineStr">
        <is>
          <t>카페24</t>
        </is>
      </c>
      <c r="G10967" s="94" t="inlineStr">
        <is>
          <t>클렌징폼 120ml 2set</t>
        </is>
      </c>
      <c r="H10967" s="94" t="n">
        <v>200801</v>
      </c>
      <c r="I10967" s="94" t="n">
        <v>200801</v>
      </c>
      <c r="K10967" s="6" t="n">
        <v>1</v>
      </c>
      <c r="L10967" s="94" t="n">
        <v>200801</v>
      </c>
      <c r="M10967" s="94">
        <f>VLOOKUP($Q10967,매칭테이블!$F:$I,2,0)*K10967</f>
        <v/>
      </c>
      <c r="N10967" s="94">
        <f>M10967-M10967*VLOOKUP($Q10967,매칭테이블!$F:$I,3,0)</f>
        <v/>
      </c>
      <c r="O10967" s="94">
        <f>VLOOKUP($Q10967,매칭테이블!$F:$I,4,0)*K10967</f>
        <v/>
      </c>
      <c r="P10967" s="148">
        <f>M10967/1.1</f>
        <v/>
      </c>
      <c r="Q10967" s="94">
        <f>F10967&amp;E10967&amp;G10967&amp;L10967</f>
        <v/>
      </c>
    </row>
    <row r="10968" customFormat="1" s="94">
      <c r="B10968" s="128" t="n">
        <v>44149</v>
      </c>
      <c r="C10968" s="94">
        <f>TEXT(B10968,"aaa")</f>
        <v/>
      </c>
      <c r="E10968" s="94" t="inlineStr">
        <is>
          <t>바디워시</t>
        </is>
      </c>
      <c r="F10968" s="94" t="inlineStr">
        <is>
          <t>카페24</t>
        </is>
      </c>
      <c r="G10968" s="94" t="inlineStr">
        <is>
          <t>바디워시 1개 -30% off</t>
        </is>
      </c>
      <c r="H10968" s="94" t="n">
        <v>200801</v>
      </c>
      <c r="I10968" s="94" t="n">
        <v>200801</v>
      </c>
      <c r="K10968" s="6" t="n">
        <v>2</v>
      </c>
      <c r="L10968" s="94" t="n">
        <v>200801</v>
      </c>
      <c r="M10968" s="94">
        <f>VLOOKUP($Q10968,매칭테이블!$F:$I,2,0)*K10968</f>
        <v/>
      </c>
      <c r="N10968" s="94">
        <f>M10968-M10968*VLOOKUP($Q10968,매칭테이블!$F:$I,3,0)</f>
        <v/>
      </c>
      <c r="O10968" s="94">
        <f>VLOOKUP($Q10968,매칭테이블!$F:$I,4,0)*K10968</f>
        <v/>
      </c>
      <c r="P10968" s="148">
        <f>M10968/1.1</f>
        <v/>
      </c>
      <c r="Q10968" s="94">
        <f>F10968&amp;E10968&amp;G10968&amp;L10968</f>
        <v/>
      </c>
    </row>
    <row r="10969" customFormat="1" s="94">
      <c r="B10969" s="128" t="n">
        <v>44149</v>
      </c>
      <c r="C10969" s="94">
        <f>TEXT(B10969,"aaa")</f>
        <v/>
      </c>
      <c r="E10969" s="94" t="inlineStr">
        <is>
          <t>바디워시</t>
        </is>
      </c>
      <c r="F10969" s="94" t="inlineStr">
        <is>
          <t>카페24</t>
        </is>
      </c>
      <c r="G10969" s="94" t="inlineStr">
        <is>
          <t>바디워시 2개 -35% off (무료배송)</t>
        </is>
      </c>
      <c r="H10969" s="94" t="n">
        <v>200801</v>
      </c>
      <c r="I10969" s="94" t="n">
        <v>200801</v>
      </c>
      <c r="K10969" s="6" t="n">
        <v>1</v>
      </c>
      <c r="L10969" s="94" t="n">
        <v>200801</v>
      </c>
      <c r="M10969" s="94">
        <f>VLOOKUP($Q10969,매칭테이블!$F:$I,2,0)*K10969</f>
        <v/>
      </c>
      <c r="N10969" s="94">
        <f>M10969-M10969*VLOOKUP($Q10969,매칭테이블!$F:$I,3,0)</f>
        <v/>
      </c>
      <c r="O10969" s="94">
        <f>VLOOKUP($Q10969,매칭테이블!$F:$I,4,0)*K10969</f>
        <v/>
      </c>
      <c r="P10969" s="148">
        <f>M10969/1.1</f>
        <v/>
      </c>
      <c r="Q10969" s="94">
        <f>F10969&amp;E10969&amp;G10969&amp;L10969</f>
        <v/>
      </c>
    </row>
    <row r="10970" customFormat="1" s="94">
      <c r="B10970" s="128" t="n">
        <v>44149</v>
      </c>
      <c r="C10970" s="94">
        <f>TEXT(B10970,"aaa")</f>
        <v/>
      </c>
      <c r="E10970" s="94" t="inlineStr">
        <is>
          <t>토너</t>
        </is>
      </c>
      <c r="F10970" s="94" t="inlineStr">
        <is>
          <t>화해</t>
        </is>
      </c>
      <c r="G10970" s="94" t="inlineStr">
        <is>
          <t>250ml</t>
        </is>
      </c>
      <c r="H10970" s="94" t="n">
        <v>200801</v>
      </c>
      <c r="I10970" s="94" t="n">
        <v>200801</v>
      </c>
      <c r="K10970" s="6" t="n">
        <v>6</v>
      </c>
      <c r="L10970" s="94" t="n">
        <v>200801</v>
      </c>
      <c r="M10970" s="94">
        <f>VLOOKUP($Q10970,매칭테이블!$F:$I,2,0)*K10970</f>
        <v/>
      </c>
      <c r="N10970" s="94">
        <f>M10970-M10970*VLOOKUP($Q10970,매칭테이블!$F:$I,3,0)</f>
        <v/>
      </c>
      <c r="O10970" s="94">
        <f>VLOOKUP($Q10970,매칭테이블!$F:$I,4,0)*K10970</f>
        <v/>
      </c>
      <c r="P10970" s="148">
        <f>M10970/1.1</f>
        <v/>
      </c>
      <c r="Q10970" s="94">
        <f>F10970&amp;E10970&amp;G10970&amp;L10970</f>
        <v/>
      </c>
    </row>
    <row r="10971" customFormat="1" s="94">
      <c r="B10971" s="128" t="n">
        <v>44150</v>
      </c>
      <c r="C10971" s="94">
        <f>TEXT(B10971,"aaa")</f>
        <v/>
      </c>
      <c r="E10971" s="94" t="inlineStr">
        <is>
          <t>토너</t>
        </is>
      </c>
      <c r="F10971" s="94" t="inlineStr">
        <is>
          <t>스타일쉐어</t>
        </is>
      </c>
      <c r="G10971" s="94" t="inlineStr">
        <is>
          <t>250ml</t>
        </is>
      </c>
      <c r="H10971" s="94" t="n">
        <v>200801</v>
      </c>
      <c r="I10971" s="94" t="n">
        <v>200801</v>
      </c>
      <c r="K10971" s="6" t="n">
        <v>2</v>
      </c>
      <c r="L10971" s="94" t="n">
        <v>200801</v>
      </c>
      <c r="M10971" s="94">
        <f>VLOOKUP($Q10971,매칭테이블!$F:$I,2,0)*K10971</f>
        <v/>
      </c>
      <c r="N10971" s="94">
        <f>M10971-M10971*VLOOKUP($Q10971,매칭테이블!$F:$I,3,0)</f>
        <v/>
      </c>
      <c r="O10971" s="94">
        <f>VLOOKUP($Q10971,매칭테이블!$F:$I,4,0)*K10971</f>
        <v/>
      </c>
      <c r="P10971" s="148">
        <f>M10971/1.1</f>
        <v/>
      </c>
      <c r="Q10971" s="94">
        <f>F10971&amp;E10971&amp;G10971&amp;L10971</f>
        <v/>
      </c>
    </row>
    <row r="10972" customFormat="1" s="94">
      <c r="B10972" s="128" t="n">
        <v>44150</v>
      </c>
      <c r="C10972" s="94">
        <f>TEXT(B10972,"aaa")</f>
        <v/>
      </c>
      <c r="E10972" s="94" t="inlineStr">
        <is>
          <t>선크림</t>
        </is>
      </c>
      <c r="F10972" s="94" t="inlineStr">
        <is>
          <t>카페24</t>
        </is>
      </c>
      <c r="G10972" s="94" t="inlineStr">
        <is>
          <t>선크림 50ml</t>
        </is>
      </c>
      <c r="H10972" s="94" t="n">
        <v>200801</v>
      </c>
      <c r="I10972" s="94" t="n">
        <v>200801</v>
      </c>
      <c r="K10972" s="6" t="n">
        <v>1</v>
      </c>
      <c r="L10972" s="94" t="n">
        <v>200801</v>
      </c>
      <c r="M10972" s="94">
        <f>VLOOKUP($Q10972,매칭테이블!$F:$I,2,0)*K10972</f>
        <v/>
      </c>
      <c r="N10972" s="94">
        <f>M10972-M10972*VLOOKUP($Q10972,매칭테이블!$F:$I,3,0)</f>
        <v/>
      </c>
      <c r="O10972" s="94">
        <f>VLOOKUP($Q10972,매칭테이블!$F:$I,4,0)*K10972</f>
        <v/>
      </c>
      <c r="P10972" s="148">
        <f>M10972/1.1</f>
        <v/>
      </c>
      <c r="Q10972" s="94">
        <f>F10972&amp;E10972&amp;G10972&amp;L10972</f>
        <v/>
      </c>
    </row>
    <row r="10973" customFormat="1" s="94">
      <c r="B10973" s="128" t="n">
        <v>44150</v>
      </c>
      <c r="C10973" s="94">
        <f>TEXT(B10973,"aaa")</f>
        <v/>
      </c>
      <c r="E10973" s="94" t="inlineStr">
        <is>
          <t>클리어 패드</t>
        </is>
      </c>
      <c r="F10973" s="94" t="inlineStr">
        <is>
          <t>카페24</t>
        </is>
      </c>
      <c r="G10973" s="94" t="inlineStr">
        <is>
          <t>어성초 77 클리어 패드 1개-20% off</t>
        </is>
      </c>
      <c r="H10973" s="94" t="n">
        <v>200801</v>
      </c>
      <c r="I10973" s="94" t="n">
        <v>200801</v>
      </c>
      <c r="K10973" s="6" t="n">
        <v>20</v>
      </c>
      <c r="L10973" s="94" t="n">
        <v>200801</v>
      </c>
      <c r="M10973" s="94">
        <f>VLOOKUP($Q10973,매칭테이블!$F:$I,2,0)*K10973</f>
        <v/>
      </c>
      <c r="N10973" s="94">
        <f>M10973-M10973*VLOOKUP($Q10973,매칭테이블!$F:$I,3,0)</f>
        <v/>
      </c>
      <c r="O10973" s="94">
        <f>VLOOKUP($Q10973,매칭테이블!$F:$I,4,0)*K10973</f>
        <v/>
      </c>
      <c r="P10973" s="148">
        <f>M10973/1.1</f>
        <v/>
      </c>
      <c r="Q10973" s="94">
        <f>F10973&amp;E10973&amp;G10973&amp;L10973</f>
        <v/>
      </c>
    </row>
    <row r="10974" customFormat="1" s="94">
      <c r="B10974" s="128" t="n">
        <v>44150</v>
      </c>
      <c r="C10974" s="94">
        <f>TEXT(B10974,"aaa")</f>
        <v/>
      </c>
      <c r="E10974" s="94" t="inlineStr">
        <is>
          <t>클리어 패드</t>
        </is>
      </c>
      <c r="F10974" s="94" t="inlineStr">
        <is>
          <t>카페24</t>
        </is>
      </c>
      <c r="G10974" s="94" t="inlineStr">
        <is>
          <t>어성초 77 클리어 패드 2개-30% off</t>
        </is>
      </c>
      <c r="H10974" s="94" t="n">
        <v>200801</v>
      </c>
      <c r="I10974" s="94" t="n">
        <v>200801</v>
      </c>
      <c r="K10974" s="6" t="n">
        <v>19</v>
      </c>
      <c r="L10974" s="94" t="n">
        <v>200801</v>
      </c>
      <c r="M10974" s="94">
        <f>VLOOKUP($Q10974,매칭테이블!$F:$I,2,0)*K10974</f>
        <v/>
      </c>
      <c r="N10974" s="94">
        <f>M10974-M10974*VLOOKUP($Q10974,매칭테이블!$F:$I,3,0)</f>
        <v/>
      </c>
      <c r="O10974" s="94">
        <f>VLOOKUP($Q10974,매칭테이블!$F:$I,4,0)*K10974</f>
        <v/>
      </c>
      <c r="P10974" s="148">
        <f>M10974/1.1</f>
        <v/>
      </c>
      <c r="Q10974" s="94">
        <f>F10974&amp;E10974&amp;G10974&amp;L10974</f>
        <v/>
      </c>
    </row>
    <row r="10975" customFormat="1" s="94">
      <c r="B10975" s="128" t="n">
        <v>44150</v>
      </c>
      <c r="C10975" s="94">
        <f>TEXT(B10975,"aaa")</f>
        <v/>
      </c>
      <c r="E10975" s="94" t="inlineStr">
        <is>
          <t>토너+패드 세트</t>
        </is>
      </c>
      <c r="F10975" s="94" t="inlineStr">
        <is>
          <t>카페24</t>
        </is>
      </c>
      <c r="G10975" s="94" t="inlineStr">
        <is>
          <t>좁쌀 진정 세트 토너+클리어 패드-30% off</t>
        </is>
      </c>
      <c r="H10975" s="94" t="n">
        <v>200801</v>
      </c>
      <c r="I10975" s="94" t="n">
        <v>200801</v>
      </c>
      <c r="K10975" s="6" t="n">
        <v>19</v>
      </c>
      <c r="L10975" s="94" t="n">
        <v>200801</v>
      </c>
      <c r="M10975" s="94">
        <f>VLOOKUP($Q10975,매칭테이블!$F:$I,2,0)*K10975</f>
        <v/>
      </c>
      <c r="N10975" s="94">
        <f>M10975-M10975*VLOOKUP($Q10975,매칭테이블!$F:$I,3,0)</f>
        <v/>
      </c>
      <c r="O10975" s="94">
        <f>VLOOKUP($Q10975,매칭테이블!$F:$I,4,0)*K10975</f>
        <v/>
      </c>
      <c r="P10975" s="148">
        <f>M10975/1.1</f>
        <v/>
      </c>
      <c r="Q10975" s="94">
        <f>F10975&amp;E10975&amp;G10975&amp;L10975</f>
        <v/>
      </c>
    </row>
    <row r="10976" customFormat="1" s="94">
      <c r="B10976" s="128" t="n">
        <v>44150</v>
      </c>
      <c r="C10976" s="94">
        <f>TEXT(B10976,"aaa")</f>
        <v/>
      </c>
      <c r="E10976" s="94" t="inlineStr">
        <is>
          <t>수분 보충 세트</t>
        </is>
      </c>
      <c r="F10976" s="94" t="inlineStr">
        <is>
          <t>카페24</t>
        </is>
      </c>
      <c r="G10976" s="94" t="inlineStr">
        <is>
          <t>[20/09/28 부터] 어성초 77 토너 250ml + 어성초 70 로션 200ml -30%</t>
        </is>
      </c>
      <c r="H10976" s="94" t="n">
        <v>200801</v>
      </c>
      <c r="I10976" s="94" t="n">
        <v>200801</v>
      </c>
      <c r="K10976" s="6" t="n">
        <v>19</v>
      </c>
      <c r="L10976" s="94" t="n">
        <v>200801</v>
      </c>
      <c r="M10976" s="94">
        <f>VLOOKUP($Q10976,매칭테이블!$F:$I,2,0)*K10976</f>
        <v/>
      </c>
      <c r="N10976" s="94">
        <f>M10976-M10976*VLOOKUP($Q10976,매칭테이블!$F:$I,3,0)</f>
        <v/>
      </c>
      <c r="O10976" s="94">
        <f>VLOOKUP($Q10976,매칭테이블!$F:$I,4,0)*K10976</f>
        <v/>
      </c>
      <c r="P10976" s="148">
        <f>M10976/1.1</f>
        <v/>
      </c>
      <c r="Q10976" s="94">
        <f>F10976&amp;E10976&amp;G10976&amp;L10976</f>
        <v/>
      </c>
    </row>
    <row r="10977" customFormat="1" s="94">
      <c r="B10977" s="128" t="n">
        <v>44150</v>
      </c>
      <c r="C10977" s="94">
        <f>TEXT(B10977,"aaa")</f>
        <v/>
      </c>
      <c r="E10977" s="94" t="inlineStr">
        <is>
          <t>로션</t>
        </is>
      </c>
      <c r="F10977" s="94" t="inlineStr">
        <is>
          <t>카페24</t>
        </is>
      </c>
      <c r="G10977" s="94" t="inlineStr">
        <is>
          <t>어성초 70 데일리 릴리프 로션 1개 -20% off</t>
        </is>
      </c>
      <c r="H10977" s="94" t="n">
        <v>200801</v>
      </c>
      <c r="I10977" s="94" t="n">
        <v>200801</v>
      </c>
      <c r="K10977" s="6" t="n">
        <v>5</v>
      </c>
      <c r="L10977" s="94" t="n">
        <v>200801</v>
      </c>
      <c r="M10977" s="94">
        <f>VLOOKUP($Q10977,매칭테이블!$F:$I,2,0)*K10977</f>
        <v/>
      </c>
      <c r="N10977" s="94">
        <f>M10977-M10977*VLOOKUP($Q10977,매칭테이블!$F:$I,3,0)</f>
        <v/>
      </c>
      <c r="O10977" s="94">
        <f>VLOOKUP($Q10977,매칭테이블!$F:$I,4,0)*K10977</f>
        <v/>
      </c>
      <c r="P10977" s="148">
        <f>M10977/1.1</f>
        <v/>
      </c>
      <c r="Q10977" s="94">
        <f>F10977&amp;E10977&amp;G10977&amp;L10977</f>
        <v/>
      </c>
    </row>
    <row r="10978" customFormat="1" s="94">
      <c r="B10978" s="128" t="n">
        <v>44150</v>
      </c>
      <c r="C10978" s="94">
        <f>TEXT(B10978,"aaa")</f>
        <v/>
      </c>
      <c r="E10978" s="94" t="inlineStr">
        <is>
          <t>머드크림마스크</t>
        </is>
      </c>
      <c r="F10978" s="94" t="inlineStr">
        <is>
          <t>카페24</t>
        </is>
      </c>
      <c r="G10978" s="94" t="inlineStr">
        <is>
          <t>머드크림마스크 100ml</t>
        </is>
      </c>
      <c r="H10978" s="94" t="n">
        <v>200801</v>
      </c>
      <c r="I10978" s="94" t="n">
        <v>200801</v>
      </c>
      <c r="K10978" s="6" t="n">
        <v>3</v>
      </c>
      <c r="L10978" s="94" t="n">
        <v>200801</v>
      </c>
      <c r="M10978" s="94">
        <f>VLOOKUP($Q10978,매칭테이블!$F:$I,2,0)*K10978</f>
        <v/>
      </c>
      <c r="N10978" s="94">
        <f>M10978-M10978*VLOOKUP($Q10978,매칭테이블!$F:$I,3,0)</f>
        <v/>
      </c>
      <c r="O10978" s="94">
        <f>VLOOKUP($Q10978,매칭테이블!$F:$I,4,0)*K10978</f>
        <v/>
      </c>
      <c r="P10978" s="148">
        <f>M10978/1.1</f>
        <v/>
      </c>
      <c r="Q10978" s="94">
        <f>F10978&amp;E10978&amp;G10978&amp;L10978</f>
        <v/>
      </c>
    </row>
    <row r="10979" customFormat="1" s="94">
      <c r="B10979" s="128" t="n">
        <v>44150</v>
      </c>
      <c r="C10979" s="94">
        <f>TEXT(B10979,"aaa")</f>
        <v/>
      </c>
      <c r="E10979" s="94" t="inlineStr">
        <is>
          <t>마스크팩</t>
        </is>
      </c>
      <c r="F10979" s="94" t="inlineStr">
        <is>
          <t>카페24</t>
        </is>
      </c>
      <c r="G10979" s="94" t="inlineStr">
        <is>
          <t>마스크팩 1매</t>
        </is>
      </c>
      <c r="H10979" s="94" t="n">
        <v>200801</v>
      </c>
      <c r="I10979" s="94" t="n">
        <v>200801</v>
      </c>
      <c r="K10979" s="6" t="n">
        <v>3</v>
      </c>
      <c r="L10979" s="94" t="n">
        <v>200801</v>
      </c>
      <c r="M10979" s="94">
        <f>VLOOKUP($Q10979,매칭테이블!$F:$I,2,0)*K10979</f>
        <v/>
      </c>
      <c r="N10979" s="94">
        <f>M10979-M10979*VLOOKUP($Q10979,매칭테이블!$F:$I,3,0)</f>
        <v/>
      </c>
      <c r="O10979" s="94">
        <f>VLOOKUP($Q10979,매칭테이블!$F:$I,4,0)*K10979</f>
        <v/>
      </c>
      <c r="P10979" s="148">
        <f>M10979/1.1</f>
        <v/>
      </c>
      <c r="Q10979" s="94">
        <f>F10979&amp;E10979&amp;G10979&amp;L10979</f>
        <v/>
      </c>
    </row>
    <row r="10980" customFormat="1" s="94">
      <c r="B10980" s="128" t="n">
        <v>44150</v>
      </c>
      <c r="C10980" s="94">
        <f>TEXT(B10980,"aaa")</f>
        <v/>
      </c>
      <c r="E10980" s="94" t="inlineStr">
        <is>
          <t>마스크팩</t>
        </is>
      </c>
      <c r="F10980" s="94" t="inlineStr">
        <is>
          <t>카페24</t>
        </is>
      </c>
      <c r="G10980" s="94" t="inlineStr">
        <is>
          <t>마스크팩 10매</t>
        </is>
      </c>
      <c r="H10980" s="94" t="n">
        <v>200801</v>
      </c>
      <c r="I10980" s="94" t="n">
        <v>200801</v>
      </c>
      <c r="K10980" s="6" t="n">
        <v>9</v>
      </c>
      <c r="L10980" s="94" t="n">
        <v>200801</v>
      </c>
      <c r="M10980" s="94">
        <f>VLOOKUP($Q10980,매칭테이블!$F:$I,2,0)*K10980</f>
        <v/>
      </c>
      <c r="N10980" s="94">
        <f>M10980-M10980*VLOOKUP($Q10980,매칭테이블!$F:$I,3,0)</f>
        <v/>
      </c>
      <c r="O10980" s="94">
        <f>VLOOKUP($Q10980,매칭테이블!$F:$I,4,0)*K10980</f>
        <v/>
      </c>
      <c r="P10980" s="148">
        <f>M10980/1.1</f>
        <v/>
      </c>
      <c r="Q10980" s="94">
        <f>F10980&amp;E10980&amp;G10980&amp;L10980</f>
        <v/>
      </c>
    </row>
    <row r="10981" customFormat="1" s="94">
      <c r="B10981" s="128" t="n">
        <v>44150</v>
      </c>
      <c r="C10981" s="94">
        <f>TEXT(B10981,"aaa")</f>
        <v/>
      </c>
      <c r="E10981" s="94" t="inlineStr">
        <is>
          <t>토너</t>
        </is>
      </c>
      <c r="F10981" s="94" t="inlineStr">
        <is>
          <t>카페24</t>
        </is>
      </c>
      <c r="G10981" s="94" t="inlineStr">
        <is>
          <t>250ml</t>
        </is>
      </c>
      <c r="H10981" s="94" t="n">
        <v>200801</v>
      </c>
      <c r="I10981" s="94" t="n">
        <v>200801</v>
      </c>
      <c r="K10981" s="6" t="n">
        <v>20</v>
      </c>
      <c r="L10981" s="94" t="n">
        <v>200801</v>
      </c>
      <c r="M10981" s="94">
        <f>VLOOKUP($Q10981,매칭테이블!$F:$I,2,0)*K10981</f>
        <v/>
      </c>
      <c r="N10981" s="94">
        <f>M10981-M10981*VLOOKUP($Q10981,매칭테이블!$F:$I,3,0)</f>
        <v/>
      </c>
      <c r="O10981" s="94">
        <f>VLOOKUP($Q10981,매칭테이블!$F:$I,4,0)*K10981</f>
        <v/>
      </c>
      <c r="P10981" s="148">
        <f>M10981/1.1</f>
        <v/>
      </c>
      <c r="Q10981" s="94">
        <f>F10981&amp;E10981&amp;G10981&amp;L10981</f>
        <v/>
      </c>
    </row>
    <row r="10982" customFormat="1" s="94">
      <c r="B10982" s="128" t="n">
        <v>44150</v>
      </c>
      <c r="C10982" s="94">
        <f>TEXT(B10982,"aaa")</f>
        <v/>
      </c>
      <c r="E10982" s="94" t="inlineStr">
        <is>
          <t>토너</t>
        </is>
      </c>
      <c r="F10982" s="94" t="inlineStr">
        <is>
          <t>카페24</t>
        </is>
      </c>
      <c r="G10982" s="94" t="inlineStr">
        <is>
          <t>250ml 2set</t>
        </is>
      </c>
      <c r="H10982" s="94" t="n">
        <v>200801</v>
      </c>
      <c r="I10982" s="94" t="n">
        <v>200801</v>
      </c>
      <c r="K10982" s="6" t="n">
        <v>12</v>
      </c>
      <c r="L10982" s="94" t="n">
        <v>200801</v>
      </c>
      <c r="M10982" s="94">
        <f>VLOOKUP($Q10982,매칭테이블!$F:$I,2,0)*K10982</f>
        <v/>
      </c>
      <c r="N10982" s="94">
        <f>M10982-M10982*VLOOKUP($Q10982,매칭테이블!$F:$I,3,0)</f>
        <v/>
      </c>
      <c r="O10982" s="94">
        <f>VLOOKUP($Q10982,매칭테이블!$F:$I,4,0)*K10982</f>
        <v/>
      </c>
      <c r="P10982" s="148">
        <f>M10982/1.1</f>
        <v/>
      </c>
      <c r="Q10982" s="94">
        <f>F10982&amp;E10982&amp;G10982&amp;L10982</f>
        <v/>
      </c>
    </row>
    <row r="10983" customFormat="1" s="94">
      <c r="B10983" s="128" t="n">
        <v>44150</v>
      </c>
      <c r="C10983" s="94">
        <f>TEXT(B10983,"aaa")</f>
        <v/>
      </c>
      <c r="E10983" s="94" t="inlineStr">
        <is>
          <t>토너</t>
        </is>
      </c>
      <c r="F10983" s="94" t="inlineStr">
        <is>
          <t>카페24</t>
        </is>
      </c>
      <c r="G10983" s="94" t="inlineStr">
        <is>
          <t>500ml</t>
        </is>
      </c>
      <c r="H10983" s="94" t="n">
        <v>200801</v>
      </c>
      <c r="I10983" s="94" t="n">
        <v>200801</v>
      </c>
      <c r="K10983" s="6" t="n">
        <v>39</v>
      </c>
      <c r="L10983" s="94" t="n">
        <v>200801</v>
      </c>
      <c r="M10983" s="94">
        <f>VLOOKUP($Q10983,매칭테이블!$F:$I,2,0)*K10983</f>
        <v/>
      </c>
      <c r="N10983" s="94">
        <f>M10983-M10983*VLOOKUP($Q10983,매칭테이블!$F:$I,3,0)</f>
        <v/>
      </c>
      <c r="O10983" s="94">
        <f>VLOOKUP($Q10983,매칭테이블!$F:$I,4,0)*K10983</f>
        <v/>
      </c>
      <c r="P10983" s="148">
        <f>M10983/1.1</f>
        <v/>
      </c>
      <c r="Q10983" s="94">
        <f>F10983&amp;E10983&amp;G10983&amp;L10983</f>
        <v/>
      </c>
    </row>
    <row r="10984" customFormat="1" s="94">
      <c r="B10984" s="128" t="n">
        <v>44150</v>
      </c>
      <c r="C10984" s="94">
        <f>TEXT(B10984,"aaa")</f>
        <v/>
      </c>
      <c r="E10984" s="94" t="inlineStr">
        <is>
          <t>토너</t>
        </is>
      </c>
      <c r="F10984" s="94" t="inlineStr">
        <is>
          <t>카페24</t>
        </is>
      </c>
      <c r="G10984" s="94" t="inlineStr">
        <is>
          <t>스킨팩 화장솜 60P</t>
        </is>
      </c>
      <c r="H10984" s="94" t="n">
        <v>200801</v>
      </c>
      <c r="I10984" s="94" t="n">
        <v>200801</v>
      </c>
      <c r="K10984" s="6" t="n">
        <v>24</v>
      </c>
      <c r="L10984" s="94" t="n">
        <v>200801</v>
      </c>
      <c r="M10984" s="94">
        <f>VLOOKUP($Q10984,매칭테이블!$F:$I,2,0)*K10984</f>
        <v/>
      </c>
      <c r="N10984" s="94">
        <f>M10984-M10984*VLOOKUP($Q10984,매칭테이블!$F:$I,3,0)</f>
        <v/>
      </c>
      <c r="O10984" s="94">
        <f>VLOOKUP($Q10984,매칭테이블!$F:$I,4,0)*K10984</f>
        <v/>
      </c>
      <c r="P10984" s="148">
        <f>M10984/1.1</f>
        <v/>
      </c>
      <c r="Q10984" s="94">
        <f>F10984&amp;E10984&amp;G10984&amp;L10984</f>
        <v/>
      </c>
    </row>
    <row r="10985" customFormat="1" s="94">
      <c r="B10985" s="128" t="n">
        <v>44150</v>
      </c>
      <c r="C10985" s="94">
        <f>TEXT(B10985,"aaa")</f>
        <v/>
      </c>
      <c r="E10985" s="94" t="inlineStr">
        <is>
          <t>앰플</t>
        </is>
      </c>
      <c r="F10985" s="94" t="inlineStr">
        <is>
          <t>카페24</t>
        </is>
      </c>
      <c r="G10985" s="94" t="inlineStr">
        <is>
          <t>앰플 30ml</t>
        </is>
      </c>
      <c r="H10985" s="94" t="n">
        <v>200801</v>
      </c>
      <c r="I10985" s="94" t="n">
        <v>200801</v>
      </c>
      <c r="K10985" s="6" t="n">
        <v>13</v>
      </c>
      <c r="L10985" s="94" t="n">
        <v>200801</v>
      </c>
      <c r="M10985" s="94">
        <f>VLOOKUP($Q10985,매칭테이블!$F:$I,2,0)*K10985</f>
        <v/>
      </c>
      <c r="N10985" s="94">
        <f>M10985-M10985*VLOOKUP($Q10985,매칭테이블!$F:$I,3,0)</f>
        <v/>
      </c>
      <c r="O10985" s="94">
        <f>VLOOKUP($Q10985,매칭테이블!$F:$I,4,0)*K10985</f>
        <v/>
      </c>
      <c r="P10985" s="148">
        <f>M10985/1.1</f>
        <v/>
      </c>
      <c r="Q10985" s="94">
        <f>F10985&amp;E10985&amp;G10985&amp;L10985</f>
        <v/>
      </c>
    </row>
    <row r="10986" customFormat="1" s="94">
      <c r="B10986" s="128" t="n">
        <v>44150</v>
      </c>
      <c r="C10986" s="94">
        <f>TEXT(B10986,"aaa")</f>
        <v/>
      </c>
      <c r="E10986" s="94" t="inlineStr">
        <is>
          <t>앰플</t>
        </is>
      </c>
      <c r="F10986" s="94" t="inlineStr">
        <is>
          <t>카페24</t>
        </is>
      </c>
      <c r="G10986" s="94" t="inlineStr">
        <is>
          <t>앰플 30ml  2set</t>
        </is>
      </c>
      <c r="H10986" s="94" t="n">
        <v>200801</v>
      </c>
      <c r="I10986" s="94" t="n">
        <v>200801</v>
      </c>
      <c r="K10986" s="6" t="n">
        <v>3</v>
      </c>
      <c r="L10986" s="94" t="n">
        <v>200801</v>
      </c>
      <c r="M10986" s="94">
        <f>VLOOKUP($Q10986,매칭테이블!$F:$I,2,0)*K10986</f>
        <v/>
      </c>
      <c r="N10986" s="94">
        <f>M10986-M10986*VLOOKUP($Q10986,매칭테이블!$F:$I,3,0)</f>
        <v/>
      </c>
      <c r="O10986" s="94">
        <f>VLOOKUP($Q10986,매칭테이블!$F:$I,4,0)*K10986</f>
        <v/>
      </c>
      <c r="P10986" s="148">
        <f>M10986/1.1</f>
        <v/>
      </c>
      <c r="Q10986" s="94">
        <f>F10986&amp;E10986&amp;G10986&amp;L10986</f>
        <v/>
      </c>
    </row>
    <row r="10987" customFormat="1" s="94">
      <c r="B10987" s="128" t="n">
        <v>44150</v>
      </c>
      <c r="C10987" s="94">
        <f>TEXT(B10987,"aaa")</f>
        <v/>
      </c>
      <c r="E10987" s="94" t="inlineStr">
        <is>
          <t>수딩크림</t>
        </is>
      </c>
      <c r="F10987" s="94" t="inlineStr">
        <is>
          <t>카페24</t>
        </is>
      </c>
      <c r="G10987" s="94" t="inlineStr">
        <is>
          <t>수딩크림 100ml</t>
        </is>
      </c>
      <c r="H10987" s="94" t="n">
        <v>200801</v>
      </c>
      <c r="I10987" s="94" t="n">
        <v>200801</v>
      </c>
      <c r="K10987" s="6" t="n">
        <v>8</v>
      </c>
      <c r="L10987" s="94" t="n">
        <v>200801</v>
      </c>
      <c r="M10987" s="94">
        <f>VLOOKUP($Q10987,매칭테이블!$F:$I,2,0)*K10987</f>
        <v/>
      </c>
      <c r="N10987" s="94">
        <f>M10987-M10987*VLOOKUP($Q10987,매칭테이블!$F:$I,3,0)</f>
        <v/>
      </c>
      <c r="O10987" s="94">
        <f>VLOOKUP($Q10987,매칭테이블!$F:$I,4,0)*K10987</f>
        <v/>
      </c>
      <c r="P10987" s="148">
        <f>M10987/1.1</f>
        <v/>
      </c>
      <c r="Q10987" s="94">
        <f>F10987&amp;E10987&amp;G10987&amp;L10987</f>
        <v/>
      </c>
    </row>
    <row r="10988" customFormat="1" s="94">
      <c r="B10988" s="128" t="n">
        <v>44150</v>
      </c>
      <c r="C10988" s="94">
        <f>TEXT(B10988,"aaa")</f>
        <v/>
      </c>
      <c r="E10988" s="94" t="inlineStr">
        <is>
          <t>클렌징폼</t>
        </is>
      </c>
      <c r="F10988" s="94" t="inlineStr">
        <is>
          <t>카페24</t>
        </is>
      </c>
      <c r="G10988" s="94" t="inlineStr">
        <is>
          <t>클렌징폼 120ml</t>
        </is>
      </c>
      <c r="H10988" s="94" t="n">
        <v>200801</v>
      </c>
      <c r="I10988" s="94" t="n">
        <v>200801</v>
      </c>
      <c r="K10988" s="6" t="n">
        <v>5</v>
      </c>
      <c r="L10988" s="94" t="n">
        <v>200801</v>
      </c>
      <c r="M10988" s="94">
        <f>VLOOKUP($Q10988,매칭테이블!$F:$I,2,0)*K10988</f>
        <v/>
      </c>
      <c r="N10988" s="94">
        <f>M10988-M10988*VLOOKUP($Q10988,매칭테이블!$F:$I,3,0)</f>
        <v/>
      </c>
      <c r="O10988" s="94">
        <f>VLOOKUP($Q10988,매칭테이블!$F:$I,4,0)*K10988</f>
        <v/>
      </c>
      <c r="P10988" s="148">
        <f>M10988/1.1</f>
        <v/>
      </c>
      <c r="Q10988" s="94">
        <f>F10988&amp;E10988&amp;G10988&amp;L10988</f>
        <v/>
      </c>
    </row>
    <row r="10989" customFormat="1" s="94">
      <c r="B10989" s="128" t="n">
        <v>44150</v>
      </c>
      <c r="C10989" s="94">
        <f>TEXT(B10989,"aaa")</f>
        <v/>
      </c>
      <c r="E10989" s="94" t="inlineStr">
        <is>
          <t>클렌징폼</t>
        </is>
      </c>
      <c r="F10989" s="94" t="inlineStr">
        <is>
          <t>카페24</t>
        </is>
      </c>
      <c r="G10989" s="94" t="inlineStr">
        <is>
          <t>클렌징폼 120ml 2set</t>
        </is>
      </c>
      <c r="H10989" s="94" t="n">
        <v>200801</v>
      </c>
      <c r="I10989" s="94" t="n">
        <v>200801</v>
      </c>
      <c r="K10989" s="6" t="n">
        <v>2</v>
      </c>
      <c r="L10989" s="94" t="n">
        <v>200801</v>
      </c>
      <c r="M10989" s="94">
        <f>VLOOKUP($Q10989,매칭테이블!$F:$I,2,0)*K10989</f>
        <v/>
      </c>
      <c r="N10989" s="94">
        <f>M10989-M10989*VLOOKUP($Q10989,매칭테이블!$F:$I,3,0)</f>
        <v/>
      </c>
      <c r="O10989" s="94">
        <f>VLOOKUP($Q10989,매칭테이블!$F:$I,4,0)*K10989</f>
        <v/>
      </c>
      <c r="P10989" s="148">
        <f>M10989/1.1</f>
        <v/>
      </c>
      <c r="Q10989" s="94">
        <f>F10989&amp;E10989&amp;G10989&amp;L10989</f>
        <v/>
      </c>
    </row>
    <row r="10990" customFormat="1" s="94">
      <c r="B10990" s="128" t="n">
        <v>44150</v>
      </c>
      <c r="C10990" s="94">
        <f>TEXT(B10990,"aaa")</f>
        <v/>
      </c>
      <c r="E10990" s="94" t="inlineStr">
        <is>
          <t>클렌징폼</t>
        </is>
      </c>
      <c r="F10990" s="94" t="inlineStr">
        <is>
          <t>카페24</t>
        </is>
      </c>
      <c r="G10990" s="94" t="inlineStr">
        <is>
          <t>클렌징폼 120ml 3set</t>
        </is>
      </c>
      <c r="H10990" s="94" t="n">
        <v>200801</v>
      </c>
      <c r="I10990" s="94" t="n">
        <v>200801</v>
      </c>
      <c r="K10990" s="6" t="n">
        <v>6</v>
      </c>
      <c r="L10990" s="94" t="n">
        <v>200801</v>
      </c>
      <c r="M10990" s="94">
        <f>VLOOKUP($Q10990,매칭테이블!$F:$I,2,0)*K10990</f>
        <v/>
      </c>
      <c r="N10990" s="94">
        <f>M10990-M10990*VLOOKUP($Q10990,매칭테이블!$F:$I,3,0)</f>
        <v/>
      </c>
      <c r="O10990" s="94">
        <f>VLOOKUP($Q10990,매칭테이블!$F:$I,4,0)*K10990</f>
        <v/>
      </c>
      <c r="P10990" s="148">
        <f>M10990/1.1</f>
        <v/>
      </c>
      <c r="Q10990" s="94">
        <f>F10990&amp;E10990&amp;G10990&amp;L10990</f>
        <v/>
      </c>
    </row>
    <row r="10991" customFormat="1" s="94">
      <c r="B10991" s="128" t="n">
        <v>44150</v>
      </c>
      <c r="C10991" s="94">
        <f>TEXT(B10991,"aaa")</f>
        <v/>
      </c>
      <c r="E10991" s="94" t="inlineStr">
        <is>
          <t>바디워시</t>
        </is>
      </c>
      <c r="F10991" s="94" t="inlineStr">
        <is>
          <t>카페24</t>
        </is>
      </c>
      <c r="G10991" s="94" t="inlineStr">
        <is>
          <t>바디워시 2개 -35% off (무료배송)</t>
        </is>
      </c>
      <c r="H10991" s="94" t="n">
        <v>200801</v>
      </c>
      <c r="I10991" s="94" t="n">
        <v>200801</v>
      </c>
      <c r="K10991" s="6" t="n">
        <v>2</v>
      </c>
      <c r="L10991" s="94" t="n">
        <v>200801</v>
      </c>
      <c r="M10991" s="94">
        <f>VLOOKUP($Q10991,매칭테이블!$F:$I,2,0)*K10991</f>
        <v/>
      </c>
      <c r="N10991" s="94">
        <f>M10991-M10991*VLOOKUP($Q10991,매칭테이블!$F:$I,3,0)</f>
        <v/>
      </c>
      <c r="O10991" s="94">
        <f>VLOOKUP($Q10991,매칭테이블!$F:$I,4,0)*K10991</f>
        <v/>
      </c>
      <c r="P10991" s="148">
        <f>M10991/1.1</f>
        <v/>
      </c>
      <c r="Q10991" s="94">
        <f>F10991&amp;E10991&amp;G10991&amp;L10991</f>
        <v/>
      </c>
    </row>
    <row r="10992" customFormat="1" s="94">
      <c r="B10992" s="128" t="n">
        <v>44150</v>
      </c>
      <c r="C10992" s="94">
        <f>TEXT(B10992,"aaa")</f>
        <v/>
      </c>
      <c r="E10992" s="94" t="inlineStr">
        <is>
          <t>토너</t>
        </is>
      </c>
      <c r="F10992" s="94" t="inlineStr">
        <is>
          <t>화해</t>
        </is>
      </c>
      <c r="G10992" s="94" t="inlineStr">
        <is>
          <t>250ml</t>
        </is>
      </c>
      <c r="H10992" s="94" t="n">
        <v>200801</v>
      </c>
      <c r="I10992" s="94" t="n">
        <v>200801</v>
      </c>
      <c r="K10992" s="6" t="n">
        <v>4</v>
      </c>
      <c r="L10992" s="94" t="n">
        <v>200801</v>
      </c>
      <c r="M10992" s="94">
        <f>VLOOKUP($Q10992,매칭테이블!$F:$I,2,0)*K10992</f>
        <v/>
      </c>
      <c r="N10992" s="94">
        <f>M10992-M10992*VLOOKUP($Q10992,매칭테이블!$F:$I,3,0)</f>
        <v/>
      </c>
      <c r="O10992" s="94">
        <f>VLOOKUP($Q10992,매칭테이블!$F:$I,4,0)*K10992</f>
        <v/>
      </c>
      <c r="P10992" s="148">
        <f>M10992/1.1</f>
        <v/>
      </c>
      <c r="Q10992" s="94">
        <f>F10992&amp;E10992&amp;G10992&amp;L10992</f>
        <v/>
      </c>
    </row>
    <row r="10993" customFormat="1" s="94">
      <c r="B10993" s="128" t="n">
        <v>44150</v>
      </c>
      <c r="C10993" s="94">
        <f>TEXT(B10993,"aaa")</f>
        <v/>
      </c>
      <c r="E10993" s="94" t="inlineStr">
        <is>
          <t>토너</t>
        </is>
      </c>
      <c r="F10993" s="94" t="inlineStr">
        <is>
          <t>랄라블라</t>
        </is>
      </c>
      <c r="G10993" s="94" t="inlineStr">
        <is>
          <t>250ml</t>
        </is>
      </c>
      <c r="H10993" s="94" t="n">
        <v>200801</v>
      </c>
      <c r="I10993" s="94" t="n">
        <v>200801</v>
      </c>
      <c r="K10993" s="6" t="n">
        <v>623</v>
      </c>
      <c r="L10993" s="94" t="n">
        <v>200801</v>
      </c>
      <c r="M10993" s="94">
        <f>VLOOKUP($Q10993,매칭테이블!$F:$I,2,0)*K10993</f>
        <v/>
      </c>
      <c r="N10993" s="94">
        <f>M10993-M10993*VLOOKUP($Q10993,매칭테이블!$F:$I,3,0)</f>
        <v/>
      </c>
      <c r="O10993" s="94">
        <f>VLOOKUP($Q10993,매칭테이블!$F:$I,4,0)*K10993</f>
        <v/>
      </c>
      <c r="P10993" s="148">
        <f>M10993/1.1</f>
        <v/>
      </c>
      <c r="Q10993" s="94">
        <f>F10993&amp;E10993&amp;G10993&amp;L10993</f>
        <v/>
      </c>
    </row>
    <row r="10994" customFormat="1" s="94">
      <c r="B10994" s="128" t="n">
        <v>44150</v>
      </c>
      <c r="C10994" s="94">
        <f>TEXT(B10994,"aaa")</f>
        <v/>
      </c>
      <c r="E10994" s="94" t="inlineStr">
        <is>
          <t>토너</t>
        </is>
      </c>
      <c r="F10994" s="94" t="inlineStr">
        <is>
          <t>랄라블라</t>
        </is>
      </c>
      <c r="G10994" s="94" t="inlineStr">
        <is>
          <t>500ml</t>
        </is>
      </c>
      <c r="H10994" s="94" t="n">
        <v>200801</v>
      </c>
      <c r="I10994" s="94" t="n">
        <v>200801</v>
      </c>
      <c r="K10994" s="6" t="n">
        <v>11</v>
      </c>
      <c r="L10994" s="94" t="n">
        <v>200801</v>
      </c>
      <c r="M10994" s="94">
        <f>VLOOKUP($Q10994,매칭테이블!$F:$I,2,0)*K10994</f>
        <v/>
      </c>
      <c r="N10994" s="94">
        <f>M10994-M10994*VLOOKUP($Q10994,매칭테이블!$F:$I,3,0)</f>
        <v/>
      </c>
      <c r="O10994" s="94">
        <f>VLOOKUP($Q10994,매칭테이블!$F:$I,4,0)*K10994</f>
        <v/>
      </c>
      <c r="P10994" s="148">
        <f>M10994/1.1</f>
        <v/>
      </c>
      <c r="Q10994" s="94">
        <f>F10994&amp;E10994&amp;G10994&amp;L10994</f>
        <v/>
      </c>
    </row>
    <row r="10995" customFormat="1" s="94">
      <c r="B10995" s="128" t="n">
        <v>44150</v>
      </c>
      <c r="C10995" s="94">
        <f>TEXT(B10995,"aaa")</f>
        <v/>
      </c>
      <c r="E10995" s="94" t="inlineStr">
        <is>
          <t>마스크팩</t>
        </is>
      </c>
      <c r="F10995" s="94" t="inlineStr">
        <is>
          <t>랄라블라</t>
        </is>
      </c>
      <c r="G10995" s="94" t="inlineStr">
        <is>
          <t>마스크팩 1매</t>
        </is>
      </c>
      <c r="H10995" s="94" t="n">
        <v>200801</v>
      </c>
      <c r="I10995" s="94" t="n">
        <v>200801</v>
      </c>
      <c r="K10995" s="6" t="n">
        <v>353</v>
      </c>
      <c r="L10995" s="94" t="n">
        <v>200801</v>
      </c>
      <c r="M10995" s="94">
        <f>VLOOKUP($Q10995,매칭테이블!$F:$I,2,0)*K10995</f>
        <v/>
      </c>
      <c r="N10995" s="94">
        <f>M10995-M10995*VLOOKUP($Q10995,매칭테이블!$F:$I,3,0)</f>
        <v/>
      </c>
      <c r="O10995" s="94">
        <f>VLOOKUP($Q10995,매칭테이블!$F:$I,4,0)*K10995</f>
        <v/>
      </c>
      <c r="P10995" s="148">
        <f>M10995/1.1</f>
        <v/>
      </c>
      <c r="Q10995" s="94">
        <f>F10995&amp;E10995&amp;G10995&amp;L10995</f>
        <v/>
      </c>
    </row>
    <row r="10996" customFormat="1" s="94">
      <c r="B10996" s="128" t="n">
        <v>44150</v>
      </c>
      <c r="C10996" s="94">
        <f>TEXT(B10996,"aaa")</f>
        <v/>
      </c>
      <c r="E10996" s="94" t="inlineStr">
        <is>
          <t>수딩크림 증정기획</t>
        </is>
      </c>
      <c r="F10996" s="94" t="inlineStr">
        <is>
          <t>랄라블라</t>
        </is>
      </c>
      <c r="G10996" s="94" t="inlineStr">
        <is>
          <t>수딩크림 증정기획</t>
        </is>
      </c>
      <c r="H10996" s="94" t="n">
        <v>200801</v>
      </c>
      <c r="I10996" s="94" t="n">
        <v>200801</v>
      </c>
      <c r="K10996" s="6" t="n">
        <v>17</v>
      </c>
      <c r="L10996" s="94" t="n">
        <v>200801</v>
      </c>
      <c r="M10996" s="94">
        <f>VLOOKUP($Q10996,매칭테이블!$F:$I,2,0)*K10996</f>
        <v/>
      </c>
      <c r="N10996" s="94">
        <f>M10996-M10996*VLOOKUP($Q10996,매칭테이블!$F:$I,3,0)</f>
        <v/>
      </c>
      <c r="O10996" s="94">
        <f>VLOOKUP($Q10996,매칭테이블!$F:$I,4,0)*K10996</f>
        <v/>
      </c>
      <c r="P10996" s="148">
        <f>M10996/1.1</f>
        <v/>
      </c>
      <c r="Q10996" s="94">
        <f>F10996&amp;E10996&amp;G10996&amp;L10996</f>
        <v/>
      </c>
    </row>
    <row r="10997" customFormat="1" s="94">
      <c r="B10997" s="128" t="n">
        <v>44150</v>
      </c>
      <c r="C10997" s="94">
        <f>TEXT(B10997,"aaa")</f>
        <v/>
      </c>
      <c r="E10997" s="94" t="inlineStr">
        <is>
          <t>수딩크림</t>
        </is>
      </c>
      <c r="F10997" s="94" t="inlineStr">
        <is>
          <t>랄라블라</t>
        </is>
      </c>
      <c r="G10997" s="94" t="inlineStr">
        <is>
          <t>수딩크림 100ml</t>
        </is>
      </c>
      <c r="H10997" s="94" t="n">
        <v>200801</v>
      </c>
      <c r="I10997" s="94" t="n">
        <v>200801</v>
      </c>
      <c r="K10997" s="6" t="n">
        <v>39</v>
      </c>
      <c r="L10997" s="94" t="n">
        <v>200801</v>
      </c>
      <c r="M10997" s="94">
        <f>VLOOKUP($Q10997,매칭테이블!$F:$I,2,0)*K10997</f>
        <v/>
      </c>
      <c r="N10997" s="94">
        <f>M10997-M10997*VLOOKUP($Q10997,매칭테이블!$F:$I,3,0)</f>
        <v/>
      </c>
      <c r="O10997" s="94">
        <f>VLOOKUP($Q10997,매칭테이블!$F:$I,4,0)*K10997</f>
        <v/>
      </c>
      <c r="P10997" s="148">
        <f>M10997/1.1</f>
        <v/>
      </c>
      <c r="Q10997" s="94">
        <f>F10997&amp;E10997&amp;G10997&amp;L10997</f>
        <v/>
      </c>
    </row>
    <row r="10998" customFormat="1" s="94">
      <c r="B10998" s="128" t="n">
        <v>44150</v>
      </c>
      <c r="C10998" s="94">
        <f>TEXT(B10998,"aaa")</f>
        <v/>
      </c>
      <c r="E10998" s="94" t="inlineStr">
        <is>
          <t>앰플 기획세트</t>
        </is>
      </c>
      <c r="F10998" s="94" t="inlineStr">
        <is>
          <t>랄라블라</t>
        </is>
      </c>
      <c r="G10998" s="94" t="inlineStr">
        <is>
          <t>앰플 기획세트</t>
        </is>
      </c>
      <c r="H10998" s="94" t="n">
        <v>200801</v>
      </c>
      <c r="I10998" s="94" t="n">
        <v>200801</v>
      </c>
      <c r="K10998" s="6" t="n">
        <v>47</v>
      </c>
      <c r="L10998" s="94" t="n">
        <v>200801</v>
      </c>
      <c r="M10998" s="94">
        <f>VLOOKUP($Q10998,매칭테이블!$F:$I,2,0)*K10998</f>
        <v/>
      </c>
      <c r="N10998" s="94">
        <f>M10998-M10998*VLOOKUP($Q10998,매칭테이블!$F:$I,3,0)</f>
        <v/>
      </c>
      <c r="O10998" s="94">
        <f>VLOOKUP($Q10998,매칭테이블!$F:$I,4,0)*K10998</f>
        <v/>
      </c>
      <c r="P10998" s="148">
        <f>M10998/1.1</f>
        <v/>
      </c>
      <c r="Q10998" s="94">
        <f>F10998&amp;E10998&amp;G10998&amp;L10998</f>
        <v/>
      </c>
    </row>
    <row r="10999" customFormat="1" s="94">
      <c r="B10999" s="128" t="n">
        <v>44150</v>
      </c>
      <c r="C10999" s="94">
        <f>TEXT(B10999,"aaa")</f>
        <v/>
      </c>
      <c r="E10999" s="94" t="inlineStr">
        <is>
          <t>클렌징폼 기획세트</t>
        </is>
      </c>
      <c r="F10999" s="94" t="inlineStr">
        <is>
          <t>랄라블라</t>
        </is>
      </c>
      <c r="G10999" s="94" t="inlineStr">
        <is>
          <t>클렌징폼 기획세트</t>
        </is>
      </c>
      <c r="H10999" s="94" t="n">
        <v>200801</v>
      </c>
      <c r="I10999" s="94" t="n">
        <v>200801</v>
      </c>
      <c r="K10999" s="6" t="n">
        <v>2</v>
      </c>
      <c r="L10999" s="94" t="n">
        <v>200801</v>
      </c>
      <c r="M10999" s="94">
        <f>VLOOKUP($Q10999,매칭테이블!$F:$I,2,0)*K10999</f>
        <v/>
      </c>
      <c r="N10999" s="94">
        <f>M10999-M10999*VLOOKUP($Q10999,매칭테이블!$F:$I,3,0)</f>
        <v/>
      </c>
      <c r="O10999" s="94">
        <f>VLOOKUP($Q10999,매칭테이블!$F:$I,4,0)*K10999</f>
        <v/>
      </c>
      <c r="P10999" s="148">
        <f>M10999/1.1</f>
        <v/>
      </c>
      <c r="Q10999" s="94">
        <f>F10999&amp;E10999&amp;G10999&amp;L10999</f>
        <v/>
      </c>
    </row>
    <row r="11000" customFormat="1" s="94">
      <c r="B11000" s="128" t="n">
        <v>44150</v>
      </c>
      <c r="C11000" s="94">
        <f>TEXT(B11000,"aaa")</f>
        <v/>
      </c>
      <c r="E11000" s="94" t="inlineStr">
        <is>
          <t>클렌징폼</t>
        </is>
      </c>
      <c r="F11000" s="94" t="inlineStr">
        <is>
          <t>랄라블라</t>
        </is>
      </c>
      <c r="G11000" s="94" t="inlineStr">
        <is>
          <t>클렌징폼 120ml</t>
        </is>
      </c>
      <c r="H11000" s="94" t="n">
        <v>200801</v>
      </c>
      <c r="I11000" s="94" t="n">
        <v>200801</v>
      </c>
      <c r="K11000" s="6" t="n">
        <v>45</v>
      </c>
      <c r="L11000" s="94" t="n">
        <v>200801</v>
      </c>
      <c r="M11000" s="94">
        <f>VLOOKUP($Q11000,매칭테이블!$F:$I,2,0)*K11000</f>
        <v/>
      </c>
      <c r="N11000" s="94">
        <f>M11000-M11000*VLOOKUP($Q11000,매칭테이블!$F:$I,3,0)</f>
        <v/>
      </c>
      <c r="O11000" s="94">
        <f>VLOOKUP($Q11000,매칭테이블!$F:$I,4,0)*K11000</f>
        <v/>
      </c>
      <c r="P11000" s="148">
        <f>M11000/1.1</f>
        <v/>
      </c>
      <c r="Q11000" s="94">
        <f>F11000&amp;E11000&amp;G11000&amp;L11000</f>
        <v/>
      </c>
    </row>
    <row r="11001" customFormat="1" s="94">
      <c r="B11001" s="128" t="n">
        <v>44150</v>
      </c>
      <c r="C11001" s="94">
        <f>TEXT(B11001,"aaa")</f>
        <v/>
      </c>
      <c r="E11001" s="94" t="inlineStr">
        <is>
          <t>선크림</t>
        </is>
      </c>
      <c r="F11001" s="94" t="inlineStr">
        <is>
          <t>랄라블라</t>
        </is>
      </c>
      <c r="G11001" s="94" t="inlineStr">
        <is>
          <t>선크림 50ml</t>
        </is>
      </c>
      <c r="H11001" s="94" t="n">
        <v>200801</v>
      </c>
      <c r="I11001" s="94" t="n">
        <v>200801</v>
      </c>
      <c r="K11001" s="6" t="n">
        <v>18</v>
      </c>
      <c r="L11001" s="94" t="n">
        <v>200801</v>
      </c>
      <c r="M11001" s="94">
        <f>VLOOKUP($Q11001,매칭테이블!$F:$I,2,0)*K11001</f>
        <v/>
      </c>
      <c r="N11001" s="94">
        <f>M11001-M11001*VLOOKUP($Q11001,매칭테이블!$F:$I,3,0)</f>
        <v/>
      </c>
      <c r="O11001" s="94">
        <f>VLOOKUP($Q11001,매칭테이블!$F:$I,4,0)*K11001</f>
        <v/>
      </c>
      <c r="P11001" s="148">
        <f>M11001/1.1</f>
        <v/>
      </c>
      <c r="Q11001" s="94">
        <f>F11001&amp;E11001&amp;G11001&amp;L11001</f>
        <v/>
      </c>
    </row>
    <row r="11002" customFormat="1" s="94">
      <c r="B11002" s="128" t="n">
        <v>44150</v>
      </c>
      <c r="C11002" s="94">
        <f>TEXT(B11002,"aaa")</f>
        <v/>
      </c>
      <c r="E11002" s="94" t="inlineStr">
        <is>
          <t>마스크팩</t>
        </is>
      </c>
      <c r="F11002" s="94" t="inlineStr">
        <is>
          <t>랄라블라</t>
        </is>
      </c>
      <c r="G11002" s="94" t="inlineStr">
        <is>
          <t>마스크 5+1 기획세트</t>
        </is>
      </c>
      <c r="H11002" s="94" t="n">
        <v>200801</v>
      </c>
      <c r="I11002" s="94" t="n">
        <v>200801</v>
      </c>
      <c r="K11002" s="6" t="n">
        <v>453</v>
      </c>
      <c r="L11002" s="94" t="n">
        <v>200801</v>
      </c>
      <c r="M11002" s="94">
        <f>VLOOKUP($Q11002,매칭테이블!$F:$I,2,0)*K11002</f>
        <v/>
      </c>
      <c r="N11002" s="94">
        <f>M11002-M11002*VLOOKUP($Q11002,매칭테이블!$F:$I,3,0)</f>
        <v/>
      </c>
      <c r="O11002" s="94">
        <f>VLOOKUP($Q11002,매칭테이블!$F:$I,4,0)*K11002</f>
        <v/>
      </c>
      <c r="P11002" s="148">
        <f>M11002/1.1</f>
        <v/>
      </c>
      <c r="Q11002" s="94">
        <f>F11002&amp;E11002&amp;G11002&amp;L11002</f>
        <v/>
      </c>
    </row>
    <row r="11003" customFormat="1" s="94">
      <c r="B11003" s="128" t="n">
        <v>44150</v>
      </c>
      <c r="C11003" s="94">
        <f>TEXT(B11003,"aaa")</f>
        <v/>
      </c>
      <c r="E11003" s="94" t="inlineStr">
        <is>
          <t>바디워시</t>
        </is>
      </c>
      <c r="F11003" s="94" t="inlineStr">
        <is>
          <t>랄라블라</t>
        </is>
      </c>
      <c r="G11003" s="94" t="inlineStr">
        <is>
          <t>아누아 어성초 아크네 바디워시 500ml</t>
        </is>
      </c>
      <c r="H11003" s="94" t="n">
        <v>200801</v>
      </c>
      <c r="I11003" s="94" t="n">
        <v>200801</v>
      </c>
      <c r="K11003" s="6" t="n">
        <v>10</v>
      </c>
      <c r="L11003" s="94" t="n">
        <v>200801</v>
      </c>
      <c r="M11003" s="94">
        <f>VLOOKUP($Q11003,매칭테이블!$F:$I,2,0)*K11003</f>
        <v/>
      </c>
      <c r="N11003" s="94">
        <f>M11003-M11003*VLOOKUP($Q11003,매칭테이블!$F:$I,3,0)</f>
        <v/>
      </c>
      <c r="O11003" s="94">
        <f>VLOOKUP($Q11003,매칭테이블!$F:$I,4,0)*K11003</f>
        <v/>
      </c>
      <c r="P11003" s="148">
        <f>M11003/1.1</f>
        <v/>
      </c>
      <c r="Q11003" s="94">
        <f>F11003&amp;E11003&amp;G11003&amp;L11003</f>
        <v/>
      </c>
    </row>
    <row r="11004" customFormat="1" s="94">
      <c r="B11004" s="128" t="n">
        <v>44150</v>
      </c>
      <c r="C11004" s="94">
        <f>TEXT(B11004,"aaa")</f>
        <v/>
      </c>
      <c r="E11004" s="94" t="inlineStr">
        <is>
          <t>클리어 패드</t>
        </is>
      </c>
      <c r="F11004" s="94" t="inlineStr">
        <is>
          <t>랄라블라</t>
        </is>
      </c>
      <c r="G11004" s="94" t="inlineStr">
        <is>
          <t>아누아 어성초77 클리어 패드</t>
        </is>
      </c>
      <c r="H11004" s="94" t="n">
        <v>200801</v>
      </c>
      <c r="I11004" s="94" t="n">
        <v>200801</v>
      </c>
      <c r="K11004" s="6" t="n">
        <v>78</v>
      </c>
      <c r="L11004" s="94" t="n">
        <v>200801</v>
      </c>
      <c r="M11004" s="94">
        <f>VLOOKUP($Q11004,매칭테이블!$F:$I,2,0)*K11004</f>
        <v/>
      </c>
      <c r="N11004" s="94">
        <f>M11004-M11004*VLOOKUP($Q11004,매칭테이블!$F:$I,3,0)</f>
        <v/>
      </c>
      <c r="O11004" s="94">
        <f>VLOOKUP($Q11004,매칭테이블!$F:$I,4,0)*K11004</f>
        <v/>
      </c>
      <c r="P11004" s="148">
        <f>M11004/1.1</f>
        <v/>
      </c>
      <c r="Q11004" s="94">
        <f>F11004&amp;E11004&amp;G11004&amp;L11004</f>
        <v/>
      </c>
    </row>
    <row r="11005" customFormat="1" s="94">
      <c r="B11005" s="128" t="n">
        <v>44150</v>
      </c>
      <c r="C11005" s="94">
        <f>TEXT(B11005,"aaa")</f>
        <v/>
      </c>
      <c r="E11005" s="94" t="inlineStr">
        <is>
          <t>로션</t>
        </is>
      </c>
      <c r="F11005" s="94" t="inlineStr">
        <is>
          <t>랄라블라</t>
        </is>
      </c>
      <c r="G11005" s="94" t="inlineStr">
        <is>
          <t>아누아 어성초70 로션 200ml</t>
        </is>
      </c>
      <c r="H11005" s="94" t="n">
        <v>200801</v>
      </c>
      <c r="I11005" s="94" t="n">
        <v>200801</v>
      </c>
      <c r="K11005" s="6" t="n">
        <v>81</v>
      </c>
      <c r="L11005" s="94" t="n">
        <v>200801</v>
      </c>
      <c r="M11005" s="94">
        <f>VLOOKUP($Q11005,매칭테이블!$F:$I,2,0)*K11005</f>
        <v/>
      </c>
      <c r="N11005" s="94">
        <f>M11005-M11005*VLOOKUP($Q11005,매칭테이블!$F:$I,3,0)</f>
        <v/>
      </c>
      <c r="O11005" s="94">
        <f>VLOOKUP($Q11005,매칭테이블!$F:$I,4,0)*K11005</f>
        <v/>
      </c>
      <c r="P11005" s="148">
        <f>M11005/1.1</f>
        <v/>
      </c>
      <c r="Q11005" s="94">
        <f>F11005&amp;E11005&amp;G11005&amp;L11005</f>
        <v/>
      </c>
    </row>
    <row r="11006" customFormat="1" s="94">
      <c r="B11006" s="128" t="n">
        <v>44150</v>
      </c>
      <c r="C11006" s="94">
        <f>TEXT(B11006,"aaa")</f>
        <v/>
      </c>
      <c r="E11006" s="94" t="inlineStr">
        <is>
          <t>앰플</t>
        </is>
      </c>
      <c r="F11006" s="94" t="inlineStr">
        <is>
          <t>랄라블라</t>
        </is>
      </c>
      <c r="G11006" s="94" t="inlineStr">
        <is>
          <t>앰플 30ml</t>
        </is>
      </c>
      <c r="H11006" s="94" t="n">
        <v>200801</v>
      </c>
      <c r="I11006" s="94" t="n">
        <v>200801</v>
      </c>
      <c r="K11006" s="6" t="n">
        <v>43</v>
      </c>
      <c r="L11006" s="94" t="n">
        <v>200801</v>
      </c>
      <c r="M11006" s="94">
        <f>VLOOKUP($Q11006,매칭테이블!$F:$I,2,0)*K11006</f>
        <v/>
      </c>
      <c r="N11006" s="94">
        <f>M11006-M11006*VLOOKUP($Q11006,매칭테이블!$F:$I,3,0)</f>
        <v/>
      </c>
      <c r="O11006" s="94">
        <f>VLOOKUP($Q11006,매칭테이블!$F:$I,4,0)*K11006</f>
        <v/>
      </c>
      <c r="P11006" s="148">
        <f>M11006/1.1</f>
        <v/>
      </c>
      <c r="Q11006" s="94">
        <f>F11006&amp;E11006&amp;G11006&amp;L11006</f>
        <v/>
      </c>
    </row>
    <row r="11007" customFormat="1" s="94">
      <c r="B11007" s="128" t="n">
        <v>44150</v>
      </c>
      <c r="C11007" s="94">
        <f>TEXT(B11007,"aaa")</f>
        <v/>
      </c>
      <c r="E11007" s="94" t="inlineStr">
        <is>
          <t>크림마스크</t>
        </is>
      </c>
      <c r="F11007" s="94" t="inlineStr">
        <is>
          <t>랄라블라</t>
        </is>
      </c>
      <c r="G11007" s="94" t="inlineStr">
        <is>
          <t>아누아 어성초 크림 마스크</t>
        </is>
      </c>
      <c r="H11007" s="94" t="n">
        <v>200801</v>
      </c>
      <c r="I11007" s="94" t="n">
        <v>200801</v>
      </c>
      <c r="K11007" s="6" t="n">
        <v>265</v>
      </c>
      <c r="L11007" s="94" t="n">
        <v>200801</v>
      </c>
      <c r="M11007" s="94">
        <f>VLOOKUP($Q11007,매칭테이블!$F:$I,2,0)*K11007</f>
        <v/>
      </c>
      <c r="N11007" s="94">
        <f>M11007-M11007*VLOOKUP($Q11007,매칭테이블!$F:$I,3,0)</f>
        <v/>
      </c>
      <c r="O11007" s="94">
        <f>VLOOKUP($Q11007,매칭테이블!$F:$I,4,0)*K11007</f>
        <v/>
      </c>
      <c r="P11007" s="148">
        <f>M11007/1.1</f>
        <v/>
      </c>
      <c r="Q11007" s="94">
        <f>F11007&amp;E11007&amp;G11007&amp;L11007</f>
        <v/>
      </c>
    </row>
    <row r="11008" customFormat="1" s="94">
      <c r="B11008" s="128" t="n">
        <v>44151</v>
      </c>
      <c r="C11008" s="94">
        <f>TEXT(B11008,"aaa")</f>
        <v/>
      </c>
      <c r="E11008" s="94" t="inlineStr">
        <is>
          <t>토너</t>
        </is>
      </c>
      <c r="F11008" s="94" t="inlineStr">
        <is>
          <t>W컨셉</t>
        </is>
      </c>
      <c r="G11008" s="94" t="inlineStr">
        <is>
          <t>250ml</t>
        </is>
      </c>
      <c r="H11008" s="94" t="n">
        <v>200801</v>
      </c>
      <c r="I11008" s="94" t="n">
        <v>200801</v>
      </c>
      <c r="K11008" s="6" t="n">
        <v>1</v>
      </c>
      <c r="L11008" s="94" t="n">
        <v>200801</v>
      </c>
      <c r="M11008" s="94">
        <f>VLOOKUP($Q11008,매칭테이블!$F:$I,2,0)*K11008</f>
        <v/>
      </c>
      <c r="N11008" s="94">
        <f>M11008-M11008*VLOOKUP($Q11008,매칭테이블!$F:$I,3,0)</f>
        <v/>
      </c>
      <c r="O11008" s="94">
        <f>VLOOKUP($Q11008,매칭테이블!$F:$I,4,0)*K11008</f>
        <v/>
      </c>
      <c r="P11008" s="148">
        <f>M11008/1.1</f>
        <v/>
      </c>
      <c r="Q11008" s="94">
        <f>F11008&amp;E11008&amp;G11008&amp;L11008</f>
        <v/>
      </c>
    </row>
    <row r="11009" customFormat="1" s="94">
      <c r="B11009" s="128" t="n">
        <v>44151</v>
      </c>
      <c r="C11009" s="94">
        <f>TEXT(B11009,"aaa")</f>
        <v/>
      </c>
      <c r="E11009" s="94" t="inlineStr">
        <is>
          <t>토너</t>
        </is>
      </c>
      <c r="F11009" s="94" t="inlineStr">
        <is>
          <t>W컨셉</t>
        </is>
      </c>
      <c r="G11009" s="94" t="inlineStr">
        <is>
          <t>250ml 2set</t>
        </is>
      </c>
      <c r="H11009" s="94" t="n">
        <v>200801</v>
      </c>
      <c r="I11009" s="94" t="n">
        <v>200801</v>
      </c>
      <c r="K11009" s="6" t="n">
        <v>23</v>
      </c>
      <c r="L11009" s="94" t="n">
        <v>200801</v>
      </c>
      <c r="M11009" s="94">
        <f>VLOOKUP($Q11009,매칭테이블!$F:$I,2,0)*K11009</f>
        <v/>
      </c>
      <c r="N11009" s="94">
        <f>M11009-M11009*VLOOKUP($Q11009,매칭테이블!$F:$I,3,0)</f>
        <v/>
      </c>
      <c r="O11009" s="94">
        <f>VLOOKUP($Q11009,매칭테이블!$F:$I,4,0)*K11009</f>
        <v/>
      </c>
      <c r="P11009" s="148">
        <f>M11009/1.1</f>
        <v/>
      </c>
      <c r="Q11009" s="94">
        <f>F11009&amp;E11009&amp;G11009&amp;L11009</f>
        <v/>
      </c>
    </row>
    <row r="11010" customFormat="1" s="94">
      <c r="B11010" s="128" t="n">
        <v>44151</v>
      </c>
      <c r="C11010" s="94">
        <f>TEXT(B11010,"aaa")</f>
        <v/>
      </c>
      <c r="E11010" s="94" t="inlineStr">
        <is>
          <t>토너</t>
        </is>
      </c>
      <c r="F11010" s="94" t="inlineStr">
        <is>
          <t>스타일쉐어</t>
        </is>
      </c>
      <c r="G11010" s="94" t="inlineStr">
        <is>
          <t>250ml</t>
        </is>
      </c>
      <c r="H11010" s="94" t="n">
        <v>200801</v>
      </c>
      <c r="I11010" s="94" t="n">
        <v>200801</v>
      </c>
      <c r="K11010" s="6" t="n">
        <v>4</v>
      </c>
      <c r="L11010" s="94" t="n">
        <v>200801</v>
      </c>
      <c r="M11010" s="94">
        <f>VLOOKUP($Q11010,매칭테이블!$F:$I,2,0)*K11010</f>
        <v/>
      </c>
      <c r="N11010" s="94">
        <f>M11010-M11010*VLOOKUP($Q11010,매칭테이블!$F:$I,3,0)</f>
        <v/>
      </c>
      <c r="O11010" s="94">
        <f>VLOOKUP($Q11010,매칭테이블!$F:$I,4,0)*K11010</f>
        <v/>
      </c>
      <c r="P11010" s="148">
        <f>M11010/1.1</f>
        <v/>
      </c>
      <c r="Q11010" s="94">
        <f>F11010&amp;E11010&amp;G11010&amp;L11010</f>
        <v/>
      </c>
    </row>
    <row r="11011" customFormat="1" s="94">
      <c r="B11011" s="128" t="n">
        <v>44151</v>
      </c>
      <c r="C11011" s="94">
        <f>TEXT(B11011,"aaa")</f>
        <v/>
      </c>
      <c r="E11011" s="94" t="inlineStr">
        <is>
          <t>선크림</t>
        </is>
      </c>
      <c r="F11011" s="94" t="inlineStr">
        <is>
          <t>카페24</t>
        </is>
      </c>
      <c r="G11011" s="94" t="inlineStr">
        <is>
          <t>선크림 50ml</t>
        </is>
      </c>
      <c r="H11011" s="94" t="n">
        <v>200801</v>
      </c>
      <c r="I11011" s="94" t="n">
        <v>200801</v>
      </c>
      <c r="K11011" s="6" t="n">
        <v>2</v>
      </c>
      <c r="L11011" s="94" t="n">
        <v>200801</v>
      </c>
      <c r="M11011" s="94">
        <f>VLOOKUP($Q11011,매칭테이블!$F:$I,2,0)*K11011</f>
        <v/>
      </c>
      <c r="N11011" s="94">
        <f>M11011-M11011*VLOOKUP($Q11011,매칭테이블!$F:$I,3,0)</f>
        <v/>
      </c>
      <c r="O11011" s="94">
        <f>VLOOKUP($Q11011,매칭테이블!$F:$I,4,0)*K11011</f>
        <v/>
      </c>
      <c r="P11011" s="148">
        <f>M11011/1.1</f>
        <v/>
      </c>
      <c r="Q11011" s="94">
        <f>F11011&amp;E11011&amp;G11011&amp;L11011</f>
        <v/>
      </c>
    </row>
    <row r="11012" customFormat="1" s="94">
      <c r="B11012" s="128" t="n">
        <v>44151</v>
      </c>
      <c r="C11012" s="94">
        <f>TEXT(B11012,"aaa")</f>
        <v/>
      </c>
      <c r="E11012" s="94" t="inlineStr">
        <is>
          <t>선크림</t>
        </is>
      </c>
      <c r="F11012" s="94" t="inlineStr">
        <is>
          <t>카페24</t>
        </is>
      </c>
      <c r="G11012" s="94" t="inlineStr">
        <is>
          <t>선크림 50ml  2set</t>
        </is>
      </c>
      <c r="H11012" s="94" t="n">
        <v>200801</v>
      </c>
      <c r="I11012" s="94" t="n">
        <v>200801</v>
      </c>
      <c r="K11012" s="6" t="n">
        <v>1</v>
      </c>
      <c r="L11012" s="94" t="n">
        <v>200801</v>
      </c>
      <c r="M11012" s="94">
        <f>VLOOKUP($Q11012,매칭테이블!$F:$I,2,0)*K11012</f>
        <v/>
      </c>
      <c r="N11012" s="94">
        <f>M11012-M11012*VLOOKUP($Q11012,매칭테이블!$F:$I,3,0)</f>
        <v/>
      </c>
      <c r="O11012" s="94">
        <f>VLOOKUP($Q11012,매칭테이블!$F:$I,4,0)*K11012</f>
        <v/>
      </c>
      <c r="P11012" s="148">
        <f>M11012/1.1</f>
        <v/>
      </c>
      <c r="Q11012" s="94">
        <f>F11012&amp;E11012&amp;G11012&amp;L11012</f>
        <v/>
      </c>
    </row>
    <row r="11013" customFormat="1" s="94">
      <c r="B11013" s="128" t="n">
        <v>44151</v>
      </c>
      <c r="C11013" s="94">
        <f>TEXT(B11013,"aaa")</f>
        <v/>
      </c>
      <c r="E11013" s="94" t="inlineStr">
        <is>
          <t>카밍크림</t>
        </is>
      </c>
      <c r="F11013" s="94" t="inlineStr">
        <is>
          <t>카페24</t>
        </is>
      </c>
      <c r="G11013" s="94" t="inlineStr">
        <is>
          <t>[플친 단독 (11/16-11/20)] 크림(필수)=어성초 70 인텐스 카밍 크림 1개-20% off</t>
        </is>
      </c>
      <c r="H11013" s="94" t="n">
        <v>200801</v>
      </c>
      <c r="I11013" s="94" t="n">
        <v>200801</v>
      </c>
      <c r="K11013" s="6" t="n">
        <v>19</v>
      </c>
      <c r="L11013" s="94" t="n">
        <v>200801</v>
      </c>
      <c r="M11013" s="94">
        <f>VLOOKUP($Q11013,매칭테이블!$F:$I,2,0)*K11013</f>
        <v/>
      </c>
      <c r="N11013" s="94">
        <f>M11013-M11013*VLOOKUP($Q11013,매칭테이블!$F:$I,3,0)</f>
        <v/>
      </c>
      <c r="O11013" s="94">
        <f>VLOOKUP($Q11013,매칭테이블!$F:$I,4,0)*K11013</f>
        <v/>
      </c>
      <c r="P11013" s="148">
        <f>M11013/1.1</f>
        <v/>
      </c>
      <c r="Q11013" s="94">
        <f>F11013&amp;E11013&amp;G11013&amp;L11013</f>
        <v/>
      </c>
    </row>
    <row r="11014" customFormat="1" s="94">
      <c r="B11014" s="128" t="n">
        <v>44151</v>
      </c>
      <c r="C11014" s="94">
        <f>TEXT(B11014,"aaa")</f>
        <v/>
      </c>
      <c r="E11014" s="94" t="inlineStr">
        <is>
          <t>카밍크림</t>
        </is>
      </c>
      <c r="F11014" s="94" t="inlineStr">
        <is>
          <t>카페24</t>
        </is>
      </c>
      <c r="G11014" s="94" t="inlineStr">
        <is>
          <t>[플친 단독 (11/16-11/20)] 크림(필수)=어성초 70 인텐스 카밍 크림 2개-30% off (무료배송)</t>
        </is>
      </c>
      <c r="H11014" s="94" t="n">
        <v>200801</v>
      </c>
      <c r="I11014" s="94" t="n">
        <v>200801</v>
      </c>
      <c r="K11014" s="6" t="n">
        <v>2</v>
      </c>
      <c r="L11014" s="94" t="n">
        <v>200801</v>
      </c>
      <c r="M11014" s="94">
        <f>VLOOKUP($Q11014,매칭테이블!$F:$I,2,0)*K11014</f>
        <v/>
      </c>
      <c r="N11014" s="94">
        <f>M11014-M11014*VLOOKUP($Q11014,매칭테이블!$F:$I,3,0)</f>
        <v/>
      </c>
      <c r="O11014" s="94">
        <f>VLOOKUP($Q11014,매칭테이블!$F:$I,4,0)*K11014</f>
        <v/>
      </c>
      <c r="P11014" s="148">
        <f>M11014/1.1</f>
        <v/>
      </c>
      <c r="Q11014" s="94">
        <f>F11014&amp;E11014&amp;G11014&amp;L11014</f>
        <v/>
      </c>
    </row>
    <row r="11015" customFormat="1" s="94">
      <c r="B11015" s="128" t="n">
        <v>44151</v>
      </c>
      <c r="C11015" s="94">
        <f>TEXT(B11015,"aaa")</f>
        <v/>
      </c>
      <c r="E11015" s="94" t="inlineStr">
        <is>
          <t>크림마스크</t>
        </is>
      </c>
      <c r="F11015" s="94" t="inlineStr">
        <is>
          <t>카페24</t>
        </is>
      </c>
      <c r="G11015" s="94" t="inlineStr">
        <is>
          <t>[플친 단독 (11/16-11/20)] 크림마스크팩(선택)=크림마스크팩 1장-50% off</t>
        </is>
      </c>
      <c r="H11015" s="94" t="n">
        <v>200801</v>
      </c>
      <c r="I11015" s="94" t="n">
        <v>200801</v>
      </c>
      <c r="K11015" s="6" t="n">
        <v>13</v>
      </c>
      <c r="L11015" s="94" t="n">
        <v>200801</v>
      </c>
      <c r="M11015" s="94">
        <f>VLOOKUP($Q11015,매칭테이블!$F:$I,2,0)*K11015</f>
        <v/>
      </c>
      <c r="N11015" s="94">
        <f>M11015-M11015*VLOOKUP($Q11015,매칭테이블!$F:$I,3,0)</f>
        <v/>
      </c>
      <c r="O11015" s="94">
        <f>VLOOKUP($Q11015,매칭테이블!$F:$I,4,0)*K11015</f>
        <v/>
      </c>
      <c r="P11015" s="148">
        <f>M11015/1.1</f>
        <v/>
      </c>
      <c r="Q11015" s="94">
        <f>F11015&amp;E11015&amp;G11015&amp;L11015</f>
        <v/>
      </c>
    </row>
    <row r="11016" customFormat="1" s="94">
      <c r="B11016" s="128" t="n">
        <v>44151</v>
      </c>
      <c r="C11016" s="94">
        <f>TEXT(B11016,"aaa")</f>
        <v/>
      </c>
      <c r="E11016" s="94" t="inlineStr">
        <is>
          <t>어성초진정패키지</t>
        </is>
      </c>
      <c r="F11016" s="94" t="inlineStr">
        <is>
          <t>카페24</t>
        </is>
      </c>
      <c r="G11016" s="94" t="inlineStr">
        <is>
          <t>어성초 진정패키지세트</t>
        </is>
      </c>
      <c r="H11016" s="94" t="n">
        <v>200801</v>
      </c>
      <c r="I11016" s="94" t="n">
        <v>200801</v>
      </c>
      <c r="K11016" s="6" t="n">
        <v>2</v>
      </c>
      <c r="L11016" s="94" t="n">
        <v>200801</v>
      </c>
      <c r="M11016" s="94">
        <f>VLOOKUP($Q11016,매칭테이블!$F:$I,2,0)*K11016</f>
        <v/>
      </c>
      <c r="N11016" s="94">
        <f>M11016-M11016*VLOOKUP($Q11016,매칭테이블!$F:$I,3,0)</f>
        <v/>
      </c>
      <c r="O11016" s="94">
        <f>VLOOKUP($Q11016,매칭테이블!$F:$I,4,0)*K11016</f>
        <v/>
      </c>
      <c r="P11016" s="148">
        <f>M11016/1.1</f>
        <v/>
      </c>
      <c r="Q11016" s="94">
        <f>F11016&amp;E11016&amp;G11016&amp;L11016</f>
        <v/>
      </c>
    </row>
    <row r="11017" customFormat="1" s="94">
      <c r="B11017" s="128" t="n">
        <v>44151</v>
      </c>
      <c r="C11017" s="94">
        <f>TEXT(B11017,"aaa")</f>
        <v/>
      </c>
      <c r="E11017" s="94" t="inlineStr">
        <is>
          <t>클리어 패드</t>
        </is>
      </c>
      <c r="F11017" s="94" t="inlineStr">
        <is>
          <t>카페24</t>
        </is>
      </c>
      <c r="G11017" s="94" t="inlineStr">
        <is>
          <t>어성초 77 클리어 패드 1개-20% off</t>
        </is>
      </c>
      <c r="H11017" s="94" t="n">
        <v>200801</v>
      </c>
      <c r="I11017" s="94" t="n">
        <v>200801</v>
      </c>
      <c r="K11017" s="6" t="n">
        <v>41</v>
      </c>
      <c r="L11017" s="94" t="n">
        <v>200801</v>
      </c>
      <c r="M11017" s="94">
        <f>VLOOKUP($Q11017,매칭테이블!$F:$I,2,0)*K11017</f>
        <v/>
      </c>
      <c r="N11017" s="94">
        <f>M11017-M11017*VLOOKUP($Q11017,매칭테이블!$F:$I,3,0)</f>
        <v/>
      </c>
      <c r="O11017" s="94">
        <f>VLOOKUP($Q11017,매칭테이블!$F:$I,4,0)*K11017</f>
        <v/>
      </c>
      <c r="P11017" s="148">
        <f>M11017/1.1</f>
        <v/>
      </c>
      <c r="Q11017" s="94">
        <f>F11017&amp;E11017&amp;G11017&amp;L11017</f>
        <v/>
      </c>
    </row>
    <row r="11018" customFormat="1" s="94">
      <c r="B11018" s="128" t="n">
        <v>44151</v>
      </c>
      <c r="C11018" s="94">
        <f>TEXT(B11018,"aaa")</f>
        <v/>
      </c>
      <c r="E11018" s="94" t="inlineStr">
        <is>
          <t>클리어 패드</t>
        </is>
      </c>
      <c r="F11018" s="94" t="inlineStr">
        <is>
          <t>카페24</t>
        </is>
      </c>
      <c r="G11018" s="94" t="inlineStr">
        <is>
          <t>어성초 77 클리어 패드 2개-30% off</t>
        </is>
      </c>
      <c r="H11018" s="94" t="n">
        <v>200801</v>
      </c>
      <c r="I11018" s="94" t="n">
        <v>200801</v>
      </c>
      <c r="K11018" s="6" t="n">
        <v>37</v>
      </c>
      <c r="L11018" s="94" t="n">
        <v>200801</v>
      </c>
      <c r="M11018" s="94">
        <f>VLOOKUP($Q11018,매칭테이블!$F:$I,2,0)*K11018</f>
        <v/>
      </c>
      <c r="N11018" s="94">
        <f>M11018-M11018*VLOOKUP($Q11018,매칭테이블!$F:$I,3,0)</f>
        <v/>
      </c>
      <c r="O11018" s="94">
        <f>VLOOKUP($Q11018,매칭테이블!$F:$I,4,0)*K11018</f>
        <v/>
      </c>
      <c r="P11018" s="148">
        <f>M11018/1.1</f>
        <v/>
      </c>
      <c r="Q11018" s="94">
        <f>F11018&amp;E11018&amp;G11018&amp;L11018</f>
        <v/>
      </c>
    </row>
    <row r="11019" customFormat="1" s="94">
      <c r="B11019" s="128" t="n">
        <v>44151</v>
      </c>
      <c r="C11019" s="94">
        <f>TEXT(B11019,"aaa")</f>
        <v/>
      </c>
      <c r="E11019" s="94" t="inlineStr">
        <is>
          <t>토너+패드 세트</t>
        </is>
      </c>
      <c r="F11019" s="94" t="inlineStr">
        <is>
          <t>카페24</t>
        </is>
      </c>
      <c r="G11019" s="94" t="inlineStr">
        <is>
          <t>좁쌀 진정 세트 토너+클리어 패드-30% off</t>
        </is>
      </c>
      <c r="H11019" s="94" t="n">
        <v>200801</v>
      </c>
      <c r="I11019" s="94" t="n">
        <v>200801</v>
      </c>
      <c r="K11019" s="6" t="n">
        <v>18</v>
      </c>
      <c r="L11019" s="94" t="n">
        <v>200801</v>
      </c>
      <c r="M11019" s="94">
        <f>VLOOKUP($Q11019,매칭테이블!$F:$I,2,0)*K11019</f>
        <v/>
      </c>
      <c r="N11019" s="94">
        <f>M11019-M11019*VLOOKUP($Q11019,매칭테이블!$F:$I,3,0)</f>
        <v/>
      </c>
      <c r="O11019" s="94">
        <f>VLOOKUP($Q11019,매칭테이블!$F:$I,4,0)*K11019</f>
        <v/>
      </c>
      <c r="P11019" s="148">
        <f>M11019/1.1</f>
        <v/>
      </c>
      <c r="Q11019" s="94">
        <f>F11019&amp;E11019&amp;G11019&amp;L11019</f>
        <v/>
      </c>
    </row>
    <row r="11020" customFormat="1" s="94">
      <c r="B11020" s="128" t="n">
        <v>44151</v>
      </c>
      <c r="C11020" s="94">
        <f>TEXT(B11020,"aaa")</f>
        <v/>
      </c>
      <c r="E11020" s="94" t="inlineStr">
        <is>
          <t>수분 보충 세트</t>
        </is>
      </c>
      <c r="F11020" s="94" t="inlineStr">
        <is>
          <t>카페24</t>
        </is>
      </c>
      <c r="G11020" s="94" t="inlineStr">
        <is>
          <t>[20/09/28 부터] 어성초 77 토너 250ml + 어성초 70 로션 200ml -30%</t>
        </is>
      </c>
      <c r="H11020" s="94" t="n">
        <v>200801</v>
      </c>
      <c r="I11020" s="94" t="n">
        <v>200801</v>
      </c>
      <c r="K11020" s="6" t="n">
        <v>33</v>
      </c>
      <c r="L11020" s="94" t="n">
        <v>200801</v>
      </c>
      <c r="M11020" s="94">
        <f>VLOOKUP($Q11020,매칭테이블!$F:$I,2,0)*K11020</f>
        <v/>
      </c>
      <c r="N11020" s="94">
        <f>M11020-M11020*VLOOKUP($Q11020,매칭테이블!$F:$I,3,0)</f>
        <v/>
      </c>
      <c r="O11020" s="94">
        <f>VLOOKUP($Q11020,매칭테이블!$F:$I,4,0)*K11020</f>
        <v/>
      </c>
      <c r="P11020" s="148">
        <f>M11020/1.1</f>
        <v/>
      </c>
      <c r="Q11020" s="94">
        <f>F11020&amp;E11020&amp;G11020&amp;L11020</f>
        <v/>
      </c>
    </row>
    <row r="11021" customFormat="1" s="94">
      <c r="B11021" s="128" t="n">
        <v>44151</v>
      </c>
      <c r="C11021" s="94">
        <f>TEXT(B11021,"aaa")</f>
        <v/>
      </c>
      <c r="E11021" s="94" t="inlineStr">
        <is>
          <t>로션</t>
        </is>
      </c>
      <c r="F11021" s="94" t="inlineStr">
        <is>
          <t>카페24</t>
        </is>
      </c>
      <c r="G11021" s="94" t="inlineStr">
        <is>
          <t>어성초 70 데일리 릴리프 로션 1개 -20% off</t>
        </is>
      </c>
      <c r="H11021" s="94" t="n">
        <v>200801</v>
      </c>
      <c r="I11021" s="94" t="n">
        <v>200801</v>
      </c>
      <c r="K11021" s="6" t="n">
        <v>12</v>
      </c>
      <c r="L11021" s="94" t="n">
        <v>200801</v>
      </c>
      <c r="M11021" s="94">
        <f>VLOOKUP($Q11021,매칭테이블!$F:$I,2,0)*K11021</f>
        <v/>
      </c>
      <c r="N11021" s="94">
        <f>M11021-M11021*VLOOKUP($Q11021,매칭테이블!$F:$I,3,0)</f>
        <v/>
      </c>
      <c r="O11021" s="94">
        <f>VLOOKUP($Q11021,매칭테이블!$F:$I,4,0)*K11021</f>
        <v/>
      </c>
      <c r="P11021" s="148">
        <f>M11021/1.1</f>
        <v/>
      </c>
      <c r="Q11021" s="94">
        <f>F11021&amp;E11021&amp;G11021&amp;L11021</f>
        <v/>
      </c>
    </row>
    <row r="11022" customFormat="1" s="94">
      <c r="B11022" s="128" t="n">
        <v>44151</v>
      </c>
      <c r="C11022" s="94">
        <f>TEXT(B11022,"aaa")</f>
        <v/>
      </c>
      <c r="E11022" s="94" t="inlineStr">
        <is>
          <t>로션</t>
        </is>
      </c>
      <c r="F11022" s="94" t="inlineStr">
        <is>
          <t>카페24</t>
        </is>
      </c>
      <c r="G11022" s="94" t="inlineStr">
        <is>
          <t>어성초 70 데일리 릴리프 로션 2개 -30% off</t>
        </is>
      </c>
      <c r="H11022" s="94" t="n">
        <v>200801</v>
      </c>
      <c r="I11022" s="94" t="n">
        <v>200801</v>
      </c>
      <c r="K11022" s="6" t="n">
        <v>1</v>
      </c>
      <c r="L11022" s="94" t="n">
        <v>200801</v>
      </c>
      <c r="M11022" s="94">
        <f>VLOOKUP($Q11022,매칭테이블!$F:$I,2,0)*K11022</f>
        <v/>
      </c>
      <c r="N11022" s="94">
        <f>M11022-M11022*VLOOKUP($Q11022,매칭테이블!$F:$I,3,0)</f>
        <v/>
      </c>
      <c r="O11022" s="94">
        <f>VLOOKUP($Q11022,매칭테이블!$F:$I,4,0)*K11022</f>
        <v/>
      </c>
      <c r="P11022" s="148">
        <f>M11022/1.1</f>
        <v/>
      </c>
      <c r="Q11022" s="94">
        <f>F11022&amp;E11022&amp;G11022&amp;L11022</f>
        <v/>
      </c>
    </row>
    <row r="11023" customFormat="1" s="94">
      <c r="B11023" s="128" t="n">
        <v>44151</v>
      </c>
      <c r="C11023" s="94">
        <f>TEXT(B11023,"aaa")</f>
        <v/>
      </c>
      <c r="E11023" s="94" t="inlineStr">
        <is>
          <t>머드크림마스크</t>
        </is>
      </c>
      <c r="F11023" s="94" t="inlineStr">
        <is>
          <t>카페24</t>
        </is>
      </c>
      <c r="G11023" s="94" t="inlineStr">
        <is>
          <t>머드크림마스크 100ml</t>
        </is>
      </c>
      <c r="H11023" s="94" t="n">
        <v>200801</v>
      </c>
      <c r="I11023" s="94" t="n">
        <v>200801</v>
      </c>
      <c r="K11023" s="6" t="n">
        <v>1</v>
      </c>
      <c r="L11023" s="94" t="n">
        <v>200801</v>
      </c>
      <c r="M11023" s="94">
        <f>VLOOKUP($Q11023,매칭테이블!$F:$I,2,0)*K11023</f>
        <v/>
      </c>
      <c r="N11023" s="94">
        <f>M11023-M11023*VLOOKUP($Q11023,매칭테이블!$F:$I,3,0)</f>
        <v/>
      </c>
      <c r="O11023" s="94">
        <f>VLOOKUP($Q11023,매칭테이블!$F:$I,4,0)*K11023</f>
        <v/>
      </c>
      <c r="P11023" s="148">
        <f>M11023/1.1</f>
        <v/>
      </c>
      <c r="Q11023" s="94">
        <f>F11023&amp;E11023&amp;G11023&amp;L11023</f>
        <v/>
      </c>
    </row>
    <row r="11024" customFormat="1" s="94">
      <c r="B11024" s="128" t="n">
        <v>44151</v>
      </c>
      <c r="C11024" s="94">
        <f>TEXT(B11024,"aaa")</f>
        <v/>
      </c>
      <c r="E11024" s="94" t="inlineStr">
        <is>
          <t>마스크팩</t>
        </is>
      </c>
      <c r="F11024" s="94" t="inlineStr">
        <is>
          <t>카페24</t>
        </is>
      </c>
      <c r="G11024" s="94" t="inlineStr">
        <is>
          <t>마스크팩 1매</t>
        </is>
      </c>
      <c r="H11024" s="94" t="n">
        <v>200801</v>
      </c>
      <c r="I11024" s="94" t="n">
        <v>200801</v>
      </c>
      <c r="K11024" s="6" t="n">
        <v>6</v>
      </c>
      <c r="L11024" s="94" t="n">
        <v>200801</v>
      </c>
      <c r="M11024" s="94">
        <f>VLOOKUP($Q11024,매칭테이블!$F:$I,2,0)*K11024</f>
        <v/>
      </c>
      <c r="N11024" s="94">
        <f>M11024-M11024*VLOOKUP($Q11024,매칭테이블!$F:$I,3,0)</f>
        <v/>
      </c>
      <c r="O11024" s="94">
        <f>VLOOKUP($Q11024,매칭테이블!$F:$I,4,0)*K11024</f>
        <v/>
      </c>
      <c r="P11024" s="148">
        <f>M11024/1.1</f>
        <v/>
      </c>
      <c r="Q11024" s="94">
        <f>F11024&amp;E11024&amp;G11024&amp;L11024</f>
        <v/>
      </c>
    </row>
    <row r="11025" customFormat="1" s="94">
      <c r="B11025" s="128" t="n">
        <v>44151</v>
      </c>
      <c r="C11025" s="94">
        <f>TEXT(B11025,"aaa")</f>
        <v/>
      </c>
      <c r="E11025" s="94" t="inlineStr">
        <is>
          <t>마스크팩</t>
        </is>
      </c>
      <c r="F11025" s="94" t="inlineStr">
        <is>
          <t>카페24</t>
        </is>
      </c>
      <c r="G11025" s="94" t="inlineStr">
        <is>
          <t>마스크팩 10매</t>
        </is>
      </c>
      <c r="H11025" s="94" t="n">
        <v>200801</v>
      </c>
      <c r="I11025" s="94" t="n">
        <v>200801</v>
      </c>
      <c r="K11025" s="6" t="n">
        <v>9</v>
      </c>
      <c r="L11025" s="94" t="n">
        <v>200801</v>
      </c>
      <c r="M11025" s="94">
        <f>VLOOKUP($Q11025,매칭테이블!$F:$I,2,0)*K11025</f>
        <v/>
      </c>
      <c r="N11025" s="94">
        <f>M11025-M11025*VLOOKUP($Q11025,매칭테이블!$F:$I,3,0)</f>
        <v/>
      </c>
      <c r="O11025" s="94">
        <f>VLOOKUP($Q11025,매칭테이블!$F:$I,4,0)*K11025</f>
        <v/>
      </c>
      <c r="P11025" s="148">
        <f>M11025/1.1</f>
        <v/>
      </c>
      <c r="Q11025" s="94">
        <f>F11025&amp;E11025&amp;G11025&amp;L11025</f>
        <v/>
      </c>
    </row>
    <row r="11026" customFormat="1" s="94">
      <c r="B11026" s="128" t="n">
        <v>44151</v>
      </c>
      <c r="C11026" s="94">
        <f>TEXT(B11026,"aaa")</f>
        <v/>
      </c>
      <c r="E11026" s="94" t="inlineStr">
        <is>
          <t>토너</t>
        </is>
      </c>
      <c r="F11026" s="94" t="inlineStr">
        <is>
          <t>카페24</t>
        </is>
      </c>
      <c r="G11026" s="94" t="inlineStr">
        <is>
          <t>250ml</t>
        </is>
      </c>
      <c r="H11026" s="94" t="n">
        <v>200801</v>
      </c>
      <c r="I11026" s="94" t="n">
        <v>200801</v>
      </c>
      <c r="K11026" s="6" t="n">
        <v>37</v>
      </c>
      <c r="L11026" s="94" t="n">
        <v>200801</v>
      </c>
      <c r="M11026" s="94">
        <f>VLOOKUP($Q11026,매칭테이블!$F:$I,2,0)*K11026</f>
        <v/>
      </c>
      <c r="N11026" s="94">
        <f>M11026-M11026*VLOOKUP($Q11026,매칭테이블!$F:$I,3,0)</f>
        <v/>
      </c>
      <c r="O11026" s="94">
        <f>VLOOKUP($Q11026,매칭테이블!$F:$I,4,0)*K11026</f>
        <v/>
      </c>
      <c r="P11026" s="148">
        <f>M11026/1.1</f>
        <v/>
      </c>
      <c r="Q11026" s="94">
        <f>F11026&amp;E11026&amp;G11026&amp;L11026</f>
        <v/>
      </c>
    </row>
    <row r="11027" customFormat="1" s="94">
      <c r="B11027" s="128" t="n">
        <v>44151</v>
      </c>
      <c r="C11027" s="94">
        <f>TEXT(B11027,"aaa")</f>
        <v/>
      </c>
      <c r="E11027" s="94" t="inlineStr">
        <is>
          <t>토너</t>
        </is>
      </c>
      <c r="F11027" s="94" t="inlineStr">
        <is>
          <t>카페24</t>
        </is>
      </c>
      <c r="G11027" s="94" t="inlineStr">
        <is>
          <t>250ml 2set</t>
        </is>
      </c>
      <c r="H11027" s="94" t="n">
        <v>200801</v>
      </c>
      <c r="I11027" s="94" t="n">
        <v>200801</v>
      </c>
      <c r="K11027" s="6" t="n">
        <v>21</v>
      </c>
      <c r="L11027" s="94" t="n">
        <v>200801</v>
      </c>
      <c r="M11027" s="94">
        <f>VLOOKUP($Q11027,매칭테이블!$F:$I,2,0)*K11027</f>
        <v/>
      </c>
      <c r="N11027" s="94">
        <f>M11027-M11027*VLOOKUP($Q11027,매칭테이블!$F:$I,3,0)</f>
        <v/>
      </c>
      <c r="O11027" s="94">
        <f>VLOOKUP($Q11027,매칭테이블!$F:$I,4,0)*K11027</f>
        <v/>
      </c>
      <c r="P11027" s="148">
        <f>M11027/1.1</f>
        <v/>
      </c>
      <c r="Q11027" s="94">
        <f>F11027&amp;E11027&amp;G11027&amp;L11027</f>
        <v/>
      </c>
    </row>
    <row r="11028" customFormat="1" s="94">
      <c r="B11028" s="128" t="n">
        <v>44151</v>
      </c>
      <c r="C11028" s="94">
        <f>TEXT(B11028,"aaa")</f>
        <v/>
      </c>
      <c r="E11028" s="94" t="inlineStr">
        <is>
          <t>토너</t>
        </is>
      </c>
      <c r="F11028" s="94" t="inlineStr">
        <is>
          <t>카페24</t>
        </is>
      </c>
      <c r="G11028" s="94" t="inlineStr">
        <is>
          <t>500ml</t>
        </is>
      </c>
      <c r="H11028" s="94" t="n">
        <v>200801</v>
      </c>
      <c r="I11028" s="94" t="n">
        <v>200801</v>
      </c>
      <c r="K11028" s="6" t="n">
        <v>46</v>
      </c>
      <c r="L11028" s="94" t="n">
        <v>200801</v>
      </c>
      <c r="M11028" s="94">
        <f>VLOOKUP($Q11028,매칭테이블!$F:$I,2,0)*K11028</f>
        <v/>
      </c>
      <c r="N11028" s="94">
        <f>M11028-M11028*VLOOKUP($Q11028,매칭테이블!$F:$I,3,0)</f>
        <v/>
      </c>
      <c r="O11028" s="94">
        <f>VLOOKUP($Q11028,매칭테이블!$F:$I,4,0)*K11028</f>
        <v/>
      </c>
      <c r="P11028" s="148">
        <f>M11028/1.1</f>
        <v/>
      </c>
      <c r="Q11028" s="94">
        <f>F11028&amp;E11028&amp;G11028&amp;L11028</f>
        <v/>
      </c>
    </row>
    <row r="11029" customFormat="1" s="94">
      <c r="B11029" s="128" t="n">
        <v>44151</v>
      </c>
      <c r="C11029" s="94">
        <f>TEXT(B11029,"aaa")</f>
        <v/>
      </c>
      <c r="E11029" s="94" t="inlineStr">
        <is>
          <t>토너</t>
        </is>
      </c>
      <c r="F11029" s="94" t="inlineStr">
        <is>
          <t>카페24</t>
        </is>
      </c>
      <c r="G11029" s="94" t="inlineStr">
        <is>
          <t>스킨팩 화장솜 60P</t>
        </is>
      </c>
      <c r="H11029" s="94" t="n">
        <v>200801</v>
      </c>
      <c r="I11029" s="94" t="n">
        <v>200801</v>
      </c>
      <c r="K11029" s="6" t="n">
        <v>34</v>
      </c>
      <c r="L11029" s="94" t="n">
        <v>200801</v>
      </c>
      <c r="M11029" s="94">
        <f>VLOOKUP($Q11029,매칭테이블!$F:$I,2,0)*K11029</f>
        <v/>
      </c>
      <c r="N11029" s="94">
        <f>M11029-M11029*VLOOKUP($Q11029,매칭테이블!$F:$I,3,0)</f>
        <v/>
      </c>
      <c r="O11029" s="94">
        <f>VLOOKUP($Q11029,매칭테이블!$F:$I,4,0)*K11029</f>
        <v/>
      </c>
      <c r="P11029" s="148">
        <f>M11029/1.1</f>
        <v/>
      </c>
      <c r="Q11029" s="94">
        <f>F11029&amp;E11029&amp;G11029&amp;L11029</f>
        <v/>
      </c>
    </row>
    <row r="11030" customFormat="1" s="94">
      <c r="B11030" s="128" t="n">
        <v>44151</v>
      </c>
      <c r="C11030" s="94">
        <f>TEXT(B11030,"aaa")</f>
        <v/>
      </c>
      <c r="E11030" s="94" t="inlineStr">
        <is>
          <t>앰플</t>
        </is>
      </c>
      <c r="F11030" s="94" t="inlineStr">
        <is>
          <t>카페24</t>
        </is>
      </c>
      <c r="G11030" s="94" t="inlineStr">
        <is>
          <t>앰플 30ml</t>
        </is>
      </c>
      <c r="H11030" s="94" t="n">
        <v>200801</v>
      </c>
      <c r="I11030" s="94" t="n">
        <v>200801</v>
      </c>
      <c r="K11030" s="6" t="n">
        <v>22</v>
      </c>
      <c r="L11030" s="94" t="n">
        <v>200801</v>
      </c>
      <c r="M11030" s="94">
        <f>VLOOKUP($Q11030,매칭테이블!$F:$I,2,0)*K11030</f>
        <v/>
      </c>
      <c r="N11030" s="94">
        <f>M11030-M11030*VLOOKUP($Q11030,매칭테이블!$F:$I,3,0)</f>
        <v/>
      </c>
      <c r="O11030" s="94">
        <f>VLOOKUP($Q11030,매칭테이블!$F:$I,4,0)*K11030</f>
        <v/>
      </c>
      <c r="P11030" s="148">
        <f>M11030/1.1</f>
        <v/>
      </c>
      <c r="Q11030" s="94">
        <f>F11030&amp;E11030&amp;G11030&amp;L11030</f>
        <v/>
      </c>
    </row>
    <row r="11031" customFormat="1" s="94">
      <c r="B11031" s="128" t="n">
        <v>44151</v>
      </c>
      <c r="C11031" s="94">
        <f>TEXT(B11031,"aaa")</f>
        <v/>
      </c>
      <c r="E11031" s="94" t="inlineStr">
        <is>
          <t>앰플</t>
        </is>
      </c>
      <c r="F11031" s="94" t="inlineStr">
        <is>
          <t>카페24</t>
        </is>
      </c>
      <c r="G11031" s="94" t="inlineStr">
        <is>
          <t>앰플 30ml  2set</t>
        </is>
      </c>
      <c r="H11031" s="94" t="n">
        <v>200801</v>
      </c>
      <c r="I11031" s="94" t="n">
        <v>200801</v>
      </c>
      <c r="K11031" s="6" t="n">
        <v>8</v>
      </c>
      <c r="L11031" s="94" t="n">
        <v>200801</v>
      </c>
      <c r="M11031" s="94">
        <f>VLOOKUP($Q11031,매칭테이블!$F:$I,2,0)*K11031</f>
        <v/>
      </c>
      <c r="N11031" s="94">
        <f>M11031-M11031*VLOOKUP($Q11031,매칭테이블!$F:$I,3,0)</f>
        <v/>
      </c>
      <c r="O11031" s="94">
        <f>VLOOKUP($Q11031,매칭테이블!$F:$I,4,0)*K11031</f>
        <v/>
      </c>
      <c r="P11031" s="148">
        <f>M11031/1.1</f>
        <v/>
      </c>
      <c r="Q11031" s="94">
        <f>F11031&amp;E11031&amp;G11031&amp;L11031</f>
        <v/>
      </c>
    </row>
    <row r="11032" customFormat="1" s="94">
      <c r="B11032" s="128" t="n">
        <v>44151</v>
      </c>
      <c r="C11032" s="94">
        <f>TEXT(B11032,"aaa")</f>
        <v/>
      </c>
      <c r="E11032" s="94" t="inlineStr">
        <is>
          <t>수딩크림</t>
        </is>
      </c>
      <c r="F11032" s="94" t="inlineStr">
        <is>
          <t>카페24</t>
        </is>
      </c>
      <c r="G11032" s="94" t="inlineStr">
        <is>
          <t>수딩크림 100ml</t>
        </is>
      </c>
      <c r="H11032" s="94" t="n">
        <v>200801</v>
      </c>
      <c r="I11032" s="94" t="n">
        <v>200801</v>
      </c>
      <c r="K11032" s="6" t="n">
        <v>10</v>
      </c>
      <c r="L11032" s="94" t="n">
        <v>200801</v>
      </c>
      <c r="M11032" s="94">
        <f>VLOOKUP($Q11032,매칭테이블!$F:$I,2,0)*K11032</f>
        <v/>
      </c>
      <c r="N11032" s="94">
        <f>M11032-M11032*VLOOKUP($Q11032,매칭테이블!$F:$I,3,0)</f>
        <v/>
      </c>
      <c r="O11032" s="94">
        <f>VLOOKUP($Q11032,매칭테이블!$F:$I,4,0)*K11032</f>
        <v/>
      </c>
      <c r="P11032" s="148">
        <f>M11032/1.1</f>
        <v/>
      </c>
      <c r="Q11032" s="94">
        <f>F11032&amp;E11032&amp;G11032&amp;L11032</f>
        <v/>
      </c>
    </row>
    <row r="11033" customFormat="1" s="94">
      <c r="B11033" s="128" t="n">
        <v>44151</v>
      </c>
      <c r="C11033" s="94">
        <f>TEXT(B11033,"aaa")</f>
        <v/>
      </c>
      <c r="E11033" s="94" t="inlineStr">
        <is>
          <t>클렌징폼</t>
        </is>
      </c>
      <c r="F11033" s="94" t="inlineStr">
        <is>
          <t>카페24</t>
        </is>
      </c>
      <c r="G11033" s="94" t="inlineStr">
        <is>
          <t>클렌징폼 120ml</t>
        </is>
      </c>
      <c r="H11033" s="94" t="n">
        <v>200801</v>
      </c>
      <c r="I11033" s="94" t="n">
        <v>200801</v>
      </c>
      <c r="K11033" s="6" t="n">
        <v>9</v>
      </c>
      <c r="L11033" s="94" t="n">
        <v>200801</v>
      </c>
      <c r="M11033" s="94">
        <f>VLOOKUP($Q11033,매칭테이블!$F:$I,2,0)*K11033</f>
        <v/>
      </c>
      <c r="N11033" s="94">
        <f>M11033-M11033*VLOOKUP($Q11033,매칭테이블!$F:$I,3,0)</f>
        <v/>
      </c>
      <c r="O11033" s="94">
        <f>VLOOKUP($Q11033,매칭테이블!$F:$I,4,0)*K11033</f>
        <v/>
      </c>
      <c r="P11033" s="148">
        <f>M11033/1.1</f>
        <v/>
      </c>
      <c r="Q11033" s="94">
        <f>F11033&amp;E11033&amp;G11033&amp;L11033</f>
        <v/>
      </c>
    </row>
    <row r="11034" customFormat="1" s="94">
      <c r="B11034" s="128" t="n">
        <v>44151</v>
      </c>
      <c r="C11034" s="94">
        <f>TEXT(B11034,"aaa")</f>
        <v/>
      </c>
      <c r="E11034" s="94" t="inlineStr">
        <is>
          <t>클렌징폼</t>
        </is>
      </c>
      <c r="F11034" s="94" t="inlineStr">
        <is>
          <t>카페24</t>
        </is>
      </c>
      <c r="G11034" s="94" t="inlineStr">
        <is>
          <t>클렌징폼 120ml 2set</t>
        </is>
      </c>
      <c r="H11034" s="94" t="n">
        <v>200801</v>
      </c>
      <c r="I11034" s="94" t="n">
        <v>200801</v>
      </c>
      <c r="K11034" s="6" t="n">
        <v>5</v>
      </c>
      <c r="L11034" s="94" t="n">
        <v>200801</v>
      </c>
      <c r="M11034" s="94">
        <f>VLOOKUP($Q11034,매칭테이블!$F:$I,2,0)*K11034</f>
        <v/>
      </c>
      <c r="N11034" s="94">
        <f>M11034-M11034*VLOOKUP($Q11034,매칭테이블!$F:$I,3,0)</f>
        <v/>
      </c>
      <c r="O11034" s="94">
        <f>VLOOKUP($Q11034,매칭테이블!$F:$I,4,0)*K11034</f>
        <v/>
      </c>
      <c r="P11034" s="148">
        <f>M11034/1.1</f>
        <v/>
      </c>
      <c r="Q11034" s="94">
        <f>F11034&amp;E11034&amp;G11034&amp;L11034</f>
        <v/>
      </c>
    </row>
    <row r="11035" customFormat="1" s="94">
      <c r="B11035" s="128" t="n">
        <v>44151</v>
      </c>
      <c r="C11035" s="94">
        <f>TEXT(B11035,"aaa")</f>
        <v/>
      </c>
      <c r="E11035" s="94" t="inlineStr">
        <is>
          <t>클렌징폼</t>
        </is>
      </c>
      <c r="F11035" s="94" t="inlineStr">
        <is>
          <t>카페24</t>
        </is>
      </c>
      <c r="G11035" s="94" t="inlineStr">
        <is>
          <t>클렌징폼 120ml 3set</t>
        </is>
      </c>
      <c r="H11035" s="94" t="n">
        <v>200801</v>
      </c>
      <c r="I11035" s="94" t="n">
        <v>200801</v>
      </c>
      <c r="K11035" s="6" t="n">
        <v>2</v>
      </c>
      <c r="L11035" s="94" t="n">
        <v>200801</v>
      </c>
      <c r="M11035" s="94">
        <f>VLOOKUP($Q11035,매칭테이블!$F:$I,2,0)*K11035</f>
        <v/>
      </c>
      <c r="N11035" s="94">
        <f>M11035-M11035*VLOOKUP($Q11035,매칭테이블!$F:$I,3,0)</f>
        <v/>
      </c>
      <c r="O11035" s="94">
        <f>VLOOKUP($Q11035,매칭테이블!$F:$I,4,0)*K11035</f>
        <v/>
      </c>
      <c r="P11035" s="148">
        <f>M11035/1.1</f>
        <v/>
      </c>
      <c r="Q11035" s="94">
        <f>F11035&amp;E11035&amp;G11035&amp;L11035</f>
        <v/>
      </c>
    </row>
    <row r="11036" customFormat="1" s="94">
      <c r="B11036" s="128" t="n">
        <v>44151</v>
      </c>
      <c r="C11036" s="94">
        <f>TEXT(B11036,"aaa")</f>
        <v/>
      </c>
      <c r="E11036" s="94" t="inlineStr">
        <is>
          <t>바디워시</t>
        </is>
      </c>
      <c r="F11036" s="94" t="inlineStr">
        <is>
          <t>카페24</t>
        </is>
      </c>
      <c r="G11036" s="94" t="inlineStr">
        <is>
          <t>바디워시 1개 -30% off</t>
        </is>
      </c>
      <c r="H11036" s="94" t="n">
        <v>200801</v>
      </c>
      <c r="I11036" s="94" t="n">
        <v>200801</v>
      </c>
      <c r="K11036" s="6" t="n">
        <v>3</v>
      </c>
      <c r="L11036" s="94" t="n">
        <v>200801</v>
      </c>
      <c r="M11036" s="94">
        <f>VLOOKUP($Q11036,매칭테이블!$F:$I,2,0)*K11036</f>
        <v/>
      </c>
      <c r="N11036" s="94">
        <f>M11036-M11036*VLOOKUP($Q11036,매칭테이블!$F:$I,3,0)</f>
        <v/>
      </c>
      <c r="O11036" s="94">
        <f>VLOOKUP($Q11036,매칭테이블!$F:$I,4,0)*K11036</f>
        <v/>
      </c>
      <c r="P11036" s="148">
        <f>M11036/1.1</f>
        <v/>
      </c>
      <c r="Q11036" s="94">
        <f>F11036&amp;E11036&amp;G11036&amp;L11036</f>
        <v/>
      </c>
    </row>
    <row r="11037" customFormat="1" s="94">
      <c r="B11037" s="128" t="n">
        <v>44151</v>
      </c>
      <c r="C11037" s="94">
        <f>TEXT(B11037,"aaa")</f>
        <v/>
      </c>
      <c r="E11037" s="94" t="inlineStr">
        <is>
          <t>바디워시</t>
        </is>
      </c>
      <c r="F11037" s="94" t="inlineStr">
        <is>
          <t>카페24</t>
        </is>
      </c>
      <c r="G11037" s="94" t="inlineStr">
        <is>
          <t>바디워시 2개 -35% off (무료배송)</t>
        </is>
      </c>
      <c r="H11037" s="94" t="n">
        <v>200801</v>
      </c>
      <c r="I11037" s="94" t="n">
        <v>200801</v>
      </c>
      <c r="K11037" s="6" t="n">
        <v>1</v>
      </c>
      <c r="L11037" s="94" t="n">
        <v>200801</v>
      </c>
      <c r="M11037" s="94">
        <f>VLOOKUP($Q11037,매칭테이블!$F:$I,2,0)*K11037</f>
        <v/>
      </c>
      <c r="N11037" s="94">
        <f>M11037-M11037*VLOOKUP($Q11037,매칭테이블!$F:$I,3,0)</f>
        <v/>
      </c>
      <c r="O11037" s="94">
        <f>VLOOKUP($Q11037,매칭테이블!$F:$I,4,0)*K11037</f>
        <v/>
      </c>
      <c r="P11037" s="148">
        <f>M11037/1.1</f>
        <v/>
      </c>
      <c r="Q11037" s="94">
        <f>F11037&amp;E11037&amp;G11037&amp;L11037</f>
        <v/>
      </c>
    </row>
    <row r="11038" customFormat="1" s="94">
      <c r="B11038" s="128" t="n">
        <v>44151</v>
      </c>
      <c r="C11038" s="94">
        <f>TEXT(B11038,"aaa")</f>
        <v/>
      </c>
      <c r="E11038" s="94" t="inlineStr">
        <is>
          <t>토너</t>
        </is>
      </c>
      <c r="F11038" s="94" t="inlineStr">
        <is>
          <t>굿닥</t>
        </is>
      </c>
      <c r="G11038" s="94" t="inlineStr">
        <is>
          <t>250ml</t>
        </is>
      </c>
      <c r="H11038" s="94" t="n">
        <v>200801</v>
      </c>
      <c r="I11038" s="94" t="n">
        <v>200801</v>
      </c>
      <c r="K11038" s="6" t="n">
        <v>1</v>
      </c>
      <c r="L11038" s="94" t="n">
        <v>200801</v>
      </c>
      <c r="M11038" s="94">
        <f>VLOOKUP($Q11038,매칭테이블!$F:$I,2,0)*K11038</f>
        <v/>
      </c>
      <c r="N11038" s="94">
        <f>M11038-M11038*VLOOKUP($Q11038,매칭테이블!$F:$I,3,0)</f>
        <v/>
      </c>
      <c r="O11038" s="94">
        <f>VLOOKUP($Q11038,매칭테이블!$F:$I,4,0)*K11038</f>
        <v/>
      </c>
      <c r="P11038" s="148">
        <f>M11038/1.1</f>
        <v/>
      </c>
      <c r="Q11038" s="94">
        <f>F11038&amp;E11038&amp;G11038&amp;L11038</f>
        <v/>
      </c>
    </row>
    <row r="11039" customFormat="1" s="94">
      <c r="B11039" s="128" t="n">
        <v>44151</v>
      </c>
      <c r="C11039" s="94">
        <f>TEXT(B11039,"aaa")</f>
        <v/>
      </c>
      <c r="E11039" s="94" t="inlineStr">
        <is>
          <t>클렌징폼</t>
        </is>
      </c>
      <c r="F11039" s="94" t="inlineStr">
        <is>
          <t>굿닥</t>
        </is>
      </c>
      <c r="G11039" s="94" t="inlineStr">
        <is>
          <t>클렌징폼 120ml</t>
        </is>
      </c>
      <c r="H11039" s="94" t="n">
        <v>200801</v>
      </c>
      <c r="I11039" s="94" t="n">
        <v>200801</v>
      </c>
      <c r="K11039" s="6" t="n">
        <v>1</v>
      </c>
      <c r="L11039" s="94" t="n">
        <v>200801</v>
      </c>
      <c r="M11039" s="94">
        <f>VLOOKUP($Q11039,매칭테이블!$F:$I,2,0)*K11039</f>
        <v/>
      </c>
      <c r="N11039" s="94">
        <f>M11039-M11039*VLOOKUP($Q11039,매칭테이블!$F:$I,3,0)</f>
        <v/>
      </c>
      <c r="O11039" s="94">
        <f>VLOOKUP($Q11039,매칭테이블!$F:$I,4,0)*K11039</f>
        <v/>
      </c>
      <c r="P11039" s="148">
        <f>M11039/1.1</f>
        <v/>
      </c>
      <c r="Q11039" s="94">
        <f>F11039&amp;E11039&amp;G11039&amp;L11039</f>
        <v/>
      </c>
    </row>
    <row r="11040" customFormat="1" s="94">
      <c r="B11040" s="128" t="n">
        <v>44151</v>
      </c>
      <c r="C11040" s="94">
        <f>TEXT(B11040,"aaa")</f>
        <v/>
      </c>
      <c r="E11040" s="94" t="inlineStr">
        <is>
          <t>토너</t>
        </is>
      </c>
      <c r="F11040" s="94" t="inlineStr">
        <is>
          <t>화해</t>
        </is>
      </c>
      <c r="G11040" s="94" t="inlineStr">
        <is>
          <t>250ml</t>
        </is>
      </c>
      <c r="H11040" s="94" t="n">
        <v>200801</v>
      </c>
      <c r="I11040" s="94" t="n">
        <v>200801</v>
      </c>
      <c r="K11040" s="6" t="n">
        <v>1</v>
      </c>
      <c r="L11040" s="94" t="n">
        <v>200801</v>
      </c>
      <c r="M11040" s="94">
        <f>VLOOKUP($Q11040,매칭테이블!$F:$I,2,0)*K11040</f>
        <v/>
      </c>
      <c r="N11040" s="94">
        <f>M11040-M11040*VLOOKUP($Q11040,매칭테이블!$F:$I,3,0)</f>
        <v/>
      </c>
      <c r="O11040" s="94">
        <f>VLOOKUP($Q11040,매칭테이블!$F:$I,4,0)*K11040</f>
        <v/>
      </c>
      <c r="P11040" s="148">
        <f>M11040/1.1</f>
        <v/>
      </c>
      <c r="Q11040" s="94">
        <f>F11040&amp;E11040&amp;G11040&amp;L11040</f>
        <v/>
      </c>
    </row>
    <row r="11041" customFormat="1" s="94">
      <c r="B11041" s="128" t="n">
        <v>44151</v>
      </c>
      <c r="C11041" s="94">
        <f>TEXT(B11041,"aaa")</f>
        <v/>
      </c>
      <c r="E11041" s="94" t="inlineStr">
        <is>
          <t>클리어 패드</t>
        </is>
      </c>
      <c r="F11041" s="94" t="inlineStr">
        <is>
          <t>화해</t>
        </is>
      </c>
      <c r="G11041" s="94" t="inlineStr">
        <is>
          <t>어성초 클리어패드 70P</t>
        </is>
      </c>
      <c r="H11041" s="94" t="n">
        <v>200801</v>
      </c>
      <c r="I11041" s="94" t="n">
        <v>200801</v>
      </c>
      <c r="K11041" s="6" t="n">
        <v>1</v>
      </c>
      <c r="L11041" s="94" t="n">
        <v>200801</v>
      </c>
      <c r="M11041" s="94">
        <f>VLOOKUP($Q11041,매칭테이블!$F:$I,2,0)*K11041</f>
        <v/>
      </c>
      <c r="N11041" s="94">
        <f>M11041-M11041*VLOOKUP($Q11041,매칭테이블!$F:$I,3,0)</f>
        <v/>
      </c>
      <c r="O11041" s="94">
        <f>VLOOKUP($Q11041,매칭테이블!$F:$I,4,0)*K11041</f>
        <v/>
      </c>
      <c r="P11041" s="148">
        <f>M11041/1.1</f>
        <v/>
      </c>
      <c r="Q11041" s="94">
        <f>F11041&amp;E11041&amp;G11041&amp;L11041</f>
        <v/>
      </c>
    </row>
    <row r="11042">
      <c r="B11042" s="128" t="n">
        <v>44152</v>
      </c>
      <c r="C11042" s="94">
        <f>TEXT(B11042,"aaa")</f>
        <v/>
      </c>
      <c r="D11042" s="94" t="n"/>
      <c r="E11042" s="94" t="inlineStr">
        <is>
          <t>토너</t>
        </is>
      </c>
      <c r="F11042" s="94" t="inlineStr">
        <is>
          <t>W컨셉</t>
        </is>
      </c>
      <c r="G11042" s="94" t="inlineStr">
        <is>
          <t>250ml 2set</t>
        </is>
      </c>
      <c r="H11042" s="94" t="n">
        <v>200801</v>
      </c>
      <c r="I11042" s="94" t="n">
        <v>200801</v>
      </c>
      <c r="J11042" s="94" t="n"/>
      <c r="K11042" s="6" t="n">
        <v>4</v>
      </c>
      <c r="L11042" s="94" t="n">
        <v>200801</v>
      </c>
      <c r="M11042" s="94">
        <f>VLOOKUP($Q11042,매칭테이블!$F:$I,2,0)*K11042</f>
        <v/>
      </c>
      <c r="N11042" s="94">
        <f>M11042-M11042*VLOOKUP($Q11042,매칭테이블!$F:$I,3,0)</f>
        <v/>
      </c>
      <c r="O11042" s="94">
        <f>VLOOKUP($Q11042,매칭테이블!$F:$I,4,0)*K11042</f>
        <v/>
      </c>
      <c r="P11042" s="148">
        <f>M11042/1.1</f>
        <v/>
      </c>
      <c r="Q11042" s="94">
        <f>F11042&amp;E11042&amp;G11042&amp;L11042</f>
        <v/>
      </c>
    </row>
    <row r="11043">
      <c r="B11043" s="128" t="n">
        <v>44152</v>
      </c>
      <c r="C11043" s="94">
        <f>TEXT(B11043,"aaa")</f>
        <v/>
      </c>
      <c r="D11043" s="94" t="n"/>
      <c r="E11043" s="94" t="inlineStr">
        <is>
          <t>토너</t>
        </is>
      </c>
      <c r="F11043" s="94" t="inlineStr">
        <is>
          <t>글로우데이즈 시코르</t>
        </is>
      </c>
      <c r="G11043" s="94" t="inlineStr">
        <is>
          <t>토너=250ml</t>
        </is>
      </c>
      <c r="H11043" s="94" t="n">
        <v>200801</v>
      </c>
      <c r="I11043" s="94" t="n">
        <v>200801</v>
      </c>
      <c r="J11043" s="94" t="n"/>
      <c r="K11043" s="6" t="n">
        <v>1000</v>
      </c>
      <c r="L11043" s="94" t="n">
        <v>200801</v>
      </c>
      <c r="M11043" s="94">
        <f>VLOOKUP($Q11043,매칭테이블!$F:$I,2,0)*K11043</f>
        <v/>
      </c>
      <c r="N11043" s="94">
        <f>M11043-M11043*VLOOKUP($Q11043,매칭테이블!$F:$I,3,0)</f>
        <v/>
      </c>
      <c r="O11043" s="94">
        <f>VLOOKUP($Q11043,매칭테이블!$F:$I,4,0)*K11043</f>
        <v/>
      </c>
      <c r="P11043" s="148">
        <f>M11043/1.1</f>
        <v/>
      </c>
      <c r="Q11043" s="94">
        <f>F11043&amp;E11043&amp;G11043&amp;L11043</f>
        <v/>
      </c>
    </row>
    <row r="11044">
      <c r="B11044" s="128" t="n">
        <v>44152</v>
      </c>
      <c r="C11044" s="94">
        <f>TEXT(B11044,"aaa")</f>
        <v/>
      </c>
      <c r="D11044" s="94" t="n"/>
      <c r="E11044" s="94" t="inlineStr">
        <is>
          <t>토너</t>
        </is>
      </c>
      <c r="F11044" s="94" t="inlineStr">
        <is>
          <t>글로우데이즈 시코르</t>
        </is>
      </c>
      <c r="G11044" s="94" t="inlineStr">
        <is>
          <t>토너=250ml</t>
        </is>
      </c>
      <c r="H11044" s="94" t="n">
        <v>200801</v>
      </c>
      <c r="I11044" s="94" t="n">
        <v>200801</v>
      </c>
      <c r="J11044" s="94" t="n"/>
      <c r="K11044" s="6" t="n">
        <v>30</v>
      </c>
      <c r="L11044" s="94" t="n">
        <v>200801</v>
      </c>
      <c r="M11044" s="94">
        <f>VLOOKUP($Q11044,매칭테이블!$F:$I,2,0)*K11044</f>
        <v/>
      </c>
      <c r="N11044" s="94">
        <f>M11044-M11044*VLOOKUP($Q11044,매칭테이블!$F:$I,3,0)</f>
        <v/>
      </c>
      <c r="O11044" s="94">
        <f>VLOOKUP($Q11044,매칭테이블!$F:$I,4,0)*K11044</f>
        <v/>
      </c>
      <c r="P11044" s="148">
        <f>M11044/1.1</f>
        <v/>
      </c>
      <c r="Q11044" s="94">
        <f>F11044&amp;E11044&amp;G11044&amp;L11044</f>
        <v/>
      </c>
    </row>
    <row r="11045">
      <c r="B11045" s="128" t="n">
        <v>44152</v>
      </c>
      <c r="C11045" s="94">
        <f>TEXT(B11045,"aaa")</f>
        <v/>
      </c>
      <c r="D11045" s="94" t="n"/>
      <c r="E11045" s="94" t="inlineStr">
        <is>
          <t>카밍크림</t>
        </is>
      </c>
      <c r="F11045" s="94" t="inlineStr">
        <is>
          <t>글로우데이즈 시코르</t>
        </is>
      </c>
      <c r="G11045" s="94" t="inlineStr">
        <is>
          <t xml:space="preserve">	어성초 70 인텐스 카밍 크림 50ml</t>
        </is>
      </c>
      <c r="H11045" s="94" t="n">
        <v>200801</v>
      </c>
      <c r="I11045" s="94" t="n">
        <v>200801</v>
      </c>
      <c r="J11045" s="94" t="n"/>
      <c r="K11045" s="6" t="n">
        <v>30</v>
      </c>
      <c r="L11045" s="94" t="n">
        <v>200801</v>
      </c>
      <c r="M11045" s="94">
        <f>VLOOKUP($Q11045,매칭테이블!$F:$I,2,0)*K11045</f>
        <v/>
      </c>
      <c r="N11045" s="94">
        <f>M11045-M11045*VLOOKUP($Q11045,매칭테이블!$F:$I,3,0)</f>
        <v/>
      </c>
      <c r="O11045" s="94">
        <f>VLOOKUP($Q11045,매칭테이블!$F:$I,4,0)*K11045</f>
        <v/>
      </c>
      <c r="P11045" s="148">
        <f>M11045/1.1</f>
        <v/>
      </c>
      <c r="Q11045" s="94">
        <f>F11045&amp;E11045&amp;G11045&amp;L11045</f>
        <v/>
      </c>
    </row>
    <row r="11046">
      <c r="B11046" s="128" t="n">
        <v>44152</v>
      </c>
      <c r="C11046" s="94">
        <f>TEXT(B11046,"aaa")</f>
        <v/>
      </c>
      <c r="D11046" s="94" t="n"/>
      <c r="E11046" s="94" t="inlineStr">
        <is>
          <t>토너</t>
        </is>
      </c>
      <c r="F11046" s="94" t="inlineStr">
        <is>
          <t>스타일쉐어</t>
        </is>
      </c>
      <c r="G11046" s="94" t="inlineStr">
        <is>
          <t>250ml</t>
        </is>
      </c>
      <c r="H11046" s="94" t="n">
        <v>200801</v>
      </c>
      <c r="I11046" s="94" t="n">
        <v>200801</v>
      </c>
      <c r="J11046" s="94" t="n"/>
      <c r="K11046" s="6" t="n">
        <v>1</v>
      </c>
      <c r="L11046" s="94" t="n">
        <v>200801</v>
      </c>
      <c r="M11046" s="94">
        <f>VLOOKUP($Q11046,매칭테이블!$F:$I,2,0)*K11046</f>
        <v/>
      </c>
      <c r="N11046" s="94">
        <f>M11046-M11046*VLOOKUP($Q11046,매칭테이블!$F:$I,3,0)</f>
        <v/>
      </c>
      <c r="O11046" s="94">
        <f>VLOOKUP($Q11046,매칭테이블!$F:$I,4,0)*K11046</f>
        <v/>
      </c>
      <c r="P11046" s="148">
        <f>M11046/1.1</f>
        <v/>
      </c>
      <c r="Q11046" s="94">
        <f>F11046&amp;E11046&amp;G11046&amp;L11046</f>
        <v/>
      </c>
    </row>
    <row r="11047">
      <c r="B11047" s="128" t="n">
        <v>44152</v>
      </c>
      <c r="C11047" s="94">
        <f>TEXT(B11047,"aaa")</f>
        <v/>
      </c>
      <c r="D11047" s="94" t="n"/>
      <c r="E11047" s="94" t="inlineStr">
        <is>
          <t>로션</t>
        </is>
      </c>
      <c r="F11047" s="94" t="inlineStr">
        <is>
          <t>아누아 CS</t>
        </is>
      </c>
      <c r="G11047" s="94" t="inlineStr">
        <is>
          <t>로션 200ml</t>
        </is>
      </c>
      <c r="H11047" s="94" t="n">
        <v>200801</v>
      </c>
      <c r="I11047" s="94" t="n">
        <v>200801</v>
      </c>
      <c r="J11047" s="94" t="n"/>
      <c r="K11047" s="6" t="n">
        <v>1</v>
      </c>
      <c r="L11047" s="94" t="n">
        <v>200801</v>
      </c>
      <c r="M11047" s="94">
        <f>VLOOKUP($Q11047,매칭테이블!$F:$I,2,0)*K11047</f>
        <v/>
      </c>
      <c r="N11047" s="94">
        <f>M11047-M11047*VLOOKUP($Q11047,매칭테이블!$F:$I,3,0)</f>
        <v/>
      </c>
      <c r="O11047" s="94">
        <f>VLOOKUP($Q11047,매칭테이블!$F:$I,4,0)*K11047</f>
        <v/>
      </c>
      <c r="P11047" s="148">
        <f>M11047/1.1</f>
        <v/>
      </c>
      <c r="Q11047" s="94">
        <f>F11047&amp;E11047&amp;G11047&amp;L11047</f>
        <v/>
      </c>
    </row>
    <row r="11048">
      <c r="B11048" s="128" t="n">
        <v>44152</v>
      </c>
      <c r="C11048" s="94">
        <f>TEXT(B11048,"aaa")</f>
        <v/>
      </c>
      <c r="D11048" s="94" t="n"/>
      <c r="E11048" s="94" t="inlineStr">
        <is>
          <t>클리어 패드</t>
        </is>
      </c>
      <c r="F11048" s="94" t="inlineStr">
        <is>
          <t>아누아 CS</t>
        </is>
      </c>
      <c r="G11048" s="94" t="inlineStr">
        <is>
          <t>어성초 클리어패드 70P</t>
        </is>
      </c>
      <c r="H11048" s="94" t="n">
        <v>200801</v>
      </c>
      <c r="I11048" s="94" t="n">
        <v>200801</v>
      </c>
      <c r="J11048" s="94" t="n"/>
      <c r="K11048" s="6" t="n">
        <v>1</v>
      </c>
      <c r="L11048" s="94" t="n">
        <v>200801</v>
      </c>
      <c r="M11048" s="94">
        <f>VLOOKUP($Q11048,매칭테이블!$F:$I,2,0)*K11048</f>
        <v/>
      </c>
      <c r="N11048" s="94">
        <f>M11048-M11048*VLOOKUP($Q11048,매칭테이블!$F:$I,3,0)</f>
        <v/>
      </c>
      <c r="O11048" s="94">
        <f>VLOOKUP($Q11048,매칭테이블!$F:$I,4,0)*K11048</f>
        <v/>
      </c>
      <c r="P11048" s="148">
        <f>M11048/1.1</f>
        <v/>
      </c>
      <c r="Q11048" s="94">
        <f>F11048&amp;E11048&amp;G11048&amp;L11048</f>
        <v/>
      </c>
    </row>
    <row r="11049">
      <c r="B11049" s="128" t="n">
        <v>44152</v>
      </c>
      <c r="C11049" s="94">
        <f>TEXT(B11049,"aaa")</f>
        <v/>
      </c>
      <c r="D11049" s="94" t="n"/>
      <c r="E11049" s="94" t="inlineStr">
        <is>
          <t>카밍크림</t>
        </is>
      </c>
      <c r="F11049" s="94" t="inlineStr">
        <is>
          <t>아누아 CS</t>
        </is>
      </c>
      <c r="G11049" s="94" t="inlineStr">
        <is>
          <t xml:space="preserve">	어성초 70 인텐스 카밍 크림 50ml</t>
        </is>
      </c>
      <c r="H11049" s="94" t="n">
        <v>200801</v>
      </c>
      <c r="I11049" s="94" t="n">
        <v>200801</v>
      </c>
      <c r="J11049" s="94" t="n"/>
      <c r="K11049" s="6" t="n">
        <v>18</v>
      </c>
      <c r="L11049" s="94" t="n">
        <v>200801</v>
      </c>
      <c r="M11049" s="94">
        <f>VLOOKUP($Q11049,매칭테이블!$F:$I,2,0)*K11049</f>
        <v/>
      </c>
      <c r="N11049" s="94">
        <f>M11049-M11049*VLOOKUP($Q11049,매칭테이블!$F:$I,3,0)</f>
        <v/>
      </c>
      <c r="O11049" s="94">
        <f>VLOOKUP($Q11049,매칭테이블!$F:$I,4,0)*K11049</f>
        <v/>
      </c>
      <c r="P11049" s="148">
        <f>M11049/1.1</f>
        <v/>
      </c>
      <c r="Q11049" s="94">
        <f>F11049&amp;E11049&amp;G11049&amp;L11049</f>
        <v/>
      </c>
    </row>
    <row r="11050">
      <c r="B11050" s="128" t="n">
        <v>44152</v>
      </c>
      <c r="C11050" s="94">
        <f>TEXT(B11050,"aaa")</f>
        <v/>
      </c>
      <c r="D11050" s="94" t="n"/>
      <c r="E11050" s="94" t="inlineStr">
        <is>
          <t>바디워시</t>
        </is>
      </c>
      <c r="F11050" s="94" t="inlineStr">
        <is>
          <t>아누아 CS</t>
        </is>
      </c>
      <c r="G11050" s="94" t="inlineStr">
        <is>
          <t>바디워시 500ml</t>
        </is>
      </c>
      <c r="H11050" s="94" t="n">
        <v>200801</v>
      </c>
      <c r="I11050" s="94" t="n">
        <v>200801</v>
      </c>
      <c r="J11050" s="94" t="n"/>
      <c r="K11050" s="6" t="n">
        <v>1</v>
      </c>
      <c r="L11050" s="94" t="n">
        <v>200801</v>
      </c>
      <c r="M11050" s="94">
        <f>VLOOKUP($Q11050,매칭테이블!$F:$I,2,0)*K11050</f>
        <v/>
      </c>
      <c r="N11050" s="94">
        <f>M11050-M11050*VLOOKUP($Q11050,매칭테이블!$F:$I,3,0)</f>
        <v/>
      </c>
      <c r="O11050" s="94">
        <f>VLOOKUP($Q11050,매칭테이블!$F:$I,4,0)*K11050</f>
        <v/>
      </c>
      <c r="P11050" s="148">
        <f>M11050/1.1</f>
        <v/>
      </c>
      <c r="Q11050" s="94">
        <f>F11050&amp;E11050&amp;G11050&amp;L11050</f>
        <v/>
      </c>
    </row>
    <row r="11051">
      <c r="B11051" s="128" t="n">
        <v>44152</v>
      </c>
      <c r="C11051" s="94">
        <f>TEXT(B11051,"aaa")</f>
        <v/>
      </c>
      <c r="D11051" s="94" t="n"/>
      <c r="E11051" s="94" t="inlineStr">
        <is>
          <t>토너</t>
        </is>
      </c>
      <c r="F11051" s="94" t="inlineStr">
        <is>
          <t>아누아 CS</t>
        </is>
      </c>
      <c r="G11051" s="94" t="inlineStr">
        <is>
          <t>250ml</t>
        </is>
      </c>
      <c r="H11051" s="94" t="n">
        <v>200801</v>
      </c>
      <c r="I11051" s="94" t="n">
        <v>200801</v>
      </c>
      <c r="J11051" s="94" t="n"/>
      <c r="K11051" s="6" t="n">
        <v>18</v>
      </c>
      <c r="L11051" s="94" t="n">
        <v>200801</v>
      </c>
      <c r="M11051" s="94">
        <f>VLOOKUP($Q11051,매칭테이블!$F:$I,2,0)*K11051</f>
        <v/>
      </c>
      <c r="N11051" s="94">
        <f>M11051-M11051*VLOOKUP($Q11051,매칭테이블!$F:$I,3,0)</f>
        <v/>
      </c>
      <c r="O11051" s="94">
        <f>VLOOKUP($Q11051,매칭테이블!$F:$I,4,0)*K11051</f>
        <v/>
      </c>
      <c r="P11051" s="148">
        <f>M11051/1.1</f>
        <v/>
      </c>
      <c r="Q11051" s="94">
        <f>F11051&amp;E11051&amp;G11051&amp;L11051</f>
        <v/>
      </c>
    </row>
    <row r="11052">
      <c r="B11052" s="128" t="n">
        <v>44152</v>
      </c>
      <c r="C11052" s="94">
        <f>TEXT(B11052,"aaa")</f>
        <v/>
      </c>
      <c r="D11052" s="94" t="n"/>
      <c r="E11052" s="94" t="inlineStr">
        <is>
          <t>토너</t>
        </is>
      </c>
      <c r="F11052" s="94" t="inlineStr">
        <is>
          <t>아누아 CS</t>
        </is>
      </c>
      <c r="G11052" s="94" t="inlineStr">
        <is>
          <t>40ml</t>
        </is>
      </c>
      <c r="H11052" s="94" t="n">
        <v>200801</v>
      </c>
      <c r="I11052" s="94" t="n">
        <v>200801</v>
      </c>
      <c r="J11052" s="94" t="n"/>
      <c r="K11052" s="6" t="n">
        <v>25</v>
      </c>
      <c r="L11052" s="94" t="n">
        <v>200801</v>
      </c>
      <c r="M11052" s="94">
        <f>VLOOKUP($Q11052,매칭테이블!$F:$I,2,0)*K11052</f>
        <v/>
      </c>
      <c r="N11052" s="94">
        <f>M11052-M11052*VLOOKUP($Q11052,매칭테이블!$F:$I,3,0)</f>
        <v/>
      </c>
      <c r="O11052" s="94">
        <f>VLOOKUP($Q11052,매칭테이블!$F:$I,4,0)*K11052</f>
        <v/>
      </c>
      <c r="P11052" s="148">
        <f>M11052/1.1</f>
        <v/>
      </c>
      <c r="Q11052" s="94">
        <f>F11052&amp;E11052&amp;G11052&amp;L11052</f>
        <v/>
      </c>
    </row>
    <row r="11053">
      <c r="B11053" s="128" t="n">
        <v>44152</v>
      </c>
      <c r="C11053" s="94">
        <f>TEXT(B11053,"aaa")</f>
        <v/>
      </c>
      <c r="D11053" s="94" t="n"/>
      <c r="E11053" s="94" t="inlineStr">
        <is>
          <t>화장솜</t>
        </is>
      </c>
      <c r="F11053" s="94" t="inlineStr">
        <is>
          <t>아누아 CS</t>
        </is>
      </c>
      <c r="G11053" s="94" t="inlineStr">
        <is>
          <t>스킨팩 화장솜 60P</t>
        </is>
      </c>
      <c r="H11053" s="94" t="n">
        <v>200801</v>
      </c>
      <c r="I11053" s="94" t="n">
        <v>200801</v>
      </c>
      <c r="J11053" s="94" t="n"/>
      <c r="K11053" s="6" t="n">
        <v>18</v>
      </c>
      <c r="L11053" s="94" t="n">
        <v>200801</v>
      </c>
      <c r="M11053" s="94">
        <f>VLOOKUP($Q11053,매칭테이블!$F:$I,2,0)*K11053</f>
        <v/>
      </c>
      <c r="N11053" s="94">
        <f>M11053-M11053*VLOOKUP($Q11053,매칭테이블!$F:$I,3,0)</f>
        <v/>
      </c>
      <c r="O11053" s="94">
        <f>VLOOKUP($Q11053,매칭테이블!$F:$I,4,0)*K11053</f>
        <v/>
      </c>
      <c r="P11053" s="148">
        <f>M11053/1.1</f>
        <v/>
      </c>
      <c r="Q11053" s="94">
        <f>F11053&amp;E11053&amp;G11053&amp;L11053</f>
        <v/>
      </c>
    </row>
    <row r="11054">
      <c r="B11054" s="128" t="n">
        <v>44152</v>
      </c>
      <c r="C11054" s="94">
        <f>TEXT(B11054,"aaa")</f>
        <v/>
      </c>
      <c r="D11054" s="94" t="n"/>
      <c r="E11054" s="94" t="inlineStr">
        <is>
          <t>앰플</t>
        </is>
      </c>
      <c r="F11054" s="94" t="inlineStr">
        <is>
          <t>아누아 CS</t>
        </is>
      </c>
      <c r="G11054" s="94" t="inlineStr">
        <is>
          <t>앰플 30ml</t>
        </is>
      </c>
      <c r="H11054" s="94" t="n">
        <v>200801</v>
      </c>
      <c r="I11054" s="94" t="n">
        <v>200801</v>
      </c>
      <c r="J11054" s="94" t="n"/>
      <c r="K11054" s="6" t="n">
        <v>18</v>
      </c>
      <c r="L11054" s="94" t="n">
        <v>200801</v>
      </c>
      <c r="M11054" s="94">
        <f>VLOOKUP($Q11054,매칭테이블!$F:$I,2,0)*K11054</f>
        <v/>
      </c>
      <c r="N11054" s="94">
        <f>M11054-M11054*VLOOKUP($Q11054,매칭테이블!$F:$I,3,0)</f>
        <v/>
      </c>
      <c r="O11054" s="94">
        <f>VLOOKUP($Q11054,매칭테이블!$F:$I,4,0)*K11054</f>
        <v/>
      </c>
      <c r="P11054" s="148">
        <f>M11054/1.1</f>
        <v/>
      </c>
      <c r="Q11054" s="94">
        <f>F11054&amp;E11054&amp;G11054&amp;L11054</f>
        <v/>
      </c>
    </row>
    <row r="11055">
      <c r="B11055" s="128" t="n">
        <v>44152</v>
      </c>
      <c r="C11055" s="94">
        <f>TEXT(B11055,"aaa")</f>
        <v/>
      </c>
      <c r="D11055" s="94" t="n"/>
      <c r="E11055" s="94" t="inlineStr">
        <is>
          <t>마스크팩</t>
        </is>
      </c>
      <c r="F11055" s="94" t="inlineStr">
        <is>
          <t>아누아 CS</t>
        </is>
      </c>
      <c r="G11055" s="94" t="inlineStr">
        <is>
          <t>마스크팩 10매</t>
        </is>
      </c>
      <c r="H11055" s="94" t="n">
        <v>200801</v>
      </c>
      <c r="I11055" s="94" t="n">
        <v>200801</v>
      </c>
      <c r="J11055" s="94" t="n"/>
      <c r="K11055" s="6" t="n">
        <v>1</v>
      </c>
      <c r="L11055" s="94" t="n">
        <v>200801</v>
      </c>
      <c r="M11055" s="94">
        <f>VLOOKUP($Q11055,매칭테이블!$F:$I,2,0)*K11055</f>
        <v/>
      </c>
      <c r="N11055" s="94">
        <f>M11055-M11055*VLOOKUP($Q11055,매칭테이블!$F:$I,3,0)</f>
        <v/>
      </c>
      <c r="O11055" s="94">
        <f>VLOOKUP($Q11055,매칭테이블!$F:$I,4,0)*K11055</f>
        <v/>
      </c>
      <c r="P11055" s="148">
        <f>M11055/1.1</f>
        <v/>
      </c>
      <c r="Q11055" s="94">
        <f>F11055&amp;E11055&amp;G11055&amp;L11055</f>
        <v/>
      </c>
    </row>
    <row r="11056">
      <c r="B11056" s="128" t="n">
        <v>44152</v>
      </c>
      <c r="C11056" s="94">
        <f>TEXT(B11056,"aaa")</f>
        <v/>
      </c>
      <c r="D11056" s="94" t="n"/>
      <c r="E11056" s="94" t="inlineStr">
        <is>
          <t>선크림</t>
        </is>
      </c>
      <c r="F11056" s="94" t="inlineStr">
        <is>
          <t>아누아 CS</t>
        </is>
      </c>
      <c r="G11056" s="94" t="inlineStr">
        <is>
          <t>선크림 50ml</t>
        </is>
      </c>
      <c r="H11056" s="94" t="n">
        <v>200801</v>
      </c>
      <c r="I11056" s="94" t="n">
        <v>200801</v>
      </c>
      <c r="J11056" s="94" t="n"/>
      <c r="K11056" s="6" t="n">
        <v>1</v>
      </c>
      <c r="L11056" s="94" t="n">
        <v>200801</v>
      </c>
      <c r="M11056" s="94">
        <f>VLOOKUP($Q11056,매칭테이블!$F:$I,2,0)*K11056</f>
        <v/>
      </c>
      <c r="N11056" s="94">
        <f>M11056-M11056*VLOOKUP($Q11056,매칭테이블!$F:$I,3,0)</f>
        <v/>
      </c>
      <c r="O11056" s="94">
        <f>VLOOKUP($Q11056,매칭테이블!$F:$I,4,0)*K11056</f>
        <v/>
      </c>
      <c r="P11056" s="148">
        <f>M11056/1.1</f>
        <v/>
      </c>
      <c r="Q11056" s="94">
        <f>F11056&amp;E11056&amp;G11056&amp;L11056</f>
        <v/>
      </c>
    </row>
    <row r="11057">
      <c r="B11057" s="128" t="n">
        <v>44152</v>
      </c>
      <c r="C11057" s="94">
        <f>TEXT(B11057,"aaa")</f>
        <v/>
      </c>
      <c r="D11057" s="94" t="n"/>
      <c r="E11057" s="94" t="inlineStr">
        <is>
          <t>클렌징폼</t>
        </is>
      </c>
      <c r="F11057" s="94" t="inlineStr">
        <is>
          <t>아누아 CS</t>
        </is>
      </c>
      <c r="G11057" s="94" t="inlineStr">
        <is>
          <t>클렌징폼 120ml</t>
        </is>
      </c>
      <c r="H11057" s="94" t="n">
        <v>200801</v>
      </c>
      <c r="I11057" s="94" t="n">
        <v>200801</v>
      </c>
      <c r="J11057" s="94" t="n"/>
      <c r="K11057" s="6" t="n">
        <v>1</v>
      </c>
      <c r="L11057" s="94" t="n">
        <v>200801</v>
      </c>
      <c r="M11057" s="94">
        <f>VLOOKUP($Q11057,매칭테이블!$F:$I,2,0)*K11057</f>
        <v/>
      </c>
      <c r="N11057" s="94">
        <f>M11057-M11057*VLOOKUP($Q11057,매칭테이블!$F:$I,3,0)</f>
        <v/>
      </c>
      <c r="O11057" s="94">
        <f>VLOOKUP($Q11057,매칭테이블!$F:$I,4,0)*K11057</f>
        <v/>
      </c>
      <c r="P11057" s="148">
        <f>M11057/1.1</f>
        <v/>
      </c>
      <c r="Q11057" s="94">
        <f>F11057&amp;E11057&amp;G11057&amp;L11057</f>
        <v/>
      </c>
    </row>
    <row r="11058">
      <c r="B11058" s="128" t="n">
        <v>44152</v>
      </c>
      <c r="C11058" s="94">
        <f>TEXT(B11058,"aaa")</f>
        <v/>
      </c>
      <c r="D11058" s="94" t="n"/>
      <c r="E11058" s="94" t="inlineStr">
        <is>
          <t>머드크림마스크</t>
        </is>
      </c>
      <c r="F11058" s="94" t="inlineStr">
        <is>
          <t>아누아 CS</t>
        </is>
      </c>
      <c r="G11058" s="94" t="inlineStr">
        <is>
          <t>머드크림마스크 100ml</t>
        </is>
      </c>
      <c r="H11058" s="94" t="n">
        <v>200801</v>
      </c>
      <c r="I11058" s="94" t="n">
        <v>200801</v>
      </c>
      <c r="J11058" s="94" t="n"/>
      <c r="K11058" s="6" t="n">
        <v>1</v>
      </c>
      <c r="L11058" s="94" t="n">
        <v>200801</v>
      </c>
      <c r="M11058" s="94">
        <f>VLOOKUP($Q11058,매칭테이블!$F:$I,2,0)*K11058</f>
        <v/>
      </c>
      <c r="N11058" s="94">
        <f>M11058-M11058*VLOOKUP($Q11058,매칭테이블!$F:$I,3,0)</f>
        <v/>
      </c>
      <c r="O11058" s="94">
        <f>VLOOKUP($Q11058,매칭테이블!$F:$I,4,0)*K11058</f>
        <v/>
      </c>
      <c r="P11058" s="148">
        <f>M11058/1.1</f>
        <v/>
      </c>
      <c r="Q11058" s="94">
        <f>F11058&amp;E11058&amp;G11058&amp;L11058</f>
        <v/>
      </c>
    </row>
    <row r="11059">
      <c r="B11059" s="128" t="n">
        <v>44152</v>
      </c>
      <c r="C11059" s="94">
        <f>TEXT(B11059,"aaa")</f>
        <v/>
      </c>
      <c r="D11059" s="94" t="n"/>
      <c r="E11059" s="94" t="inlineStr">
        <is>
          <t>선크림</t>
        </is>
      </c>
      <c r="F11059" s="94" t="inlineStr">
        <is>
          <t>카페24</t>
        </is>
      </c>
      <c r="G11059" s="94" t="inlineStr">
        <is>
          <t>선크림 50ml</t>
        </is>
      </c>
      <c r="H11059" s="94" t="n">
        <v>200801</v>
      </c>
      <c r="I11059" s="94" t="n">
        <v>200801</v>
      </c>
      <c r="J11059" s="94" t="n"/>
      <c r="K11059" s="6" t="n">
        <v>1</v>
      </c>
      <c r="L11059" s="94" t="n">
        <v>200801</v>
      </c>
      <c r="M11059" s="94">
        <f>VLOOKUP($Q11059,매칭테이블!$F:$I,2,0)*K11059</f>
        <v/>
      </c>
      <c r="N11059" s="94">
        <f>M11059-M11059*VLOOKUP($Q11059,매칭테이블!$F:$I,3,0)</f>
        <v/>
      </c>
      <c r="O11059" s="94">
        <f>VLOOKUP($Q11059,매칭테이블!$F:$I,4,0)*K11059</f>
        <v/>
      </c>
      <c r="P11059" s="148">
        <f>M11059/1.1</f>
        <v/>
      </c>
      <c r="Q11059" s="94">
        <f>F11059&amp;E11059&amp;G11059&amp;L11059</f>
        <v/>
      </c>
    </row>
    <row r="11060">
      <c r="B11060" s="128" t="n">
        <v>44152</v>
      </c>
      <c r="C11060" s="94">
        <f>TEXT(B11060,"aaa")</f>
        <v/>
      </c>
      <c r="D11060" s="94" t="n"/>
      <c r="E11060" s="94" t="inlineStr">
        <is>
          <t>선크림</t>
        </is>
      </c>
      <c r="F11060" s="94" t="inlineStr">
        <is>
          <t>카페24</t>
        </is>
      </c>
      <c r="G11060" s="94" t="inlineStr">
        <is>
          <t>선크림 50ml  2set</t>
        </is>
      </c>
      <c r="H11060" s="94" t="n">
        <v>200801</v>
      </c>
      <c r="I11060" s="94" t="n">
        <v>200801</v>
      </c>
      <c r="J11060" s="94" t="n"/>
      <c r="K11060" s="6" t="n">
        <v>1</v>
      </c>
      <c r="L11060" s="94" t="n">
        <v>200801</v>
      </c>
      <c r="M11060" s="94">
        <f>VLOOKUP($Q11060,매칭테이블!$F:$I,2,0)*K11060</f>
        <v/>
      </c>
      <c r="N11060" s="94">
        <f>M11060-M11060*VLOOKUP($Q11060,매칭테이블!$F:$I,3,0)</f>
        <v/>
      </c>
      <c r="O11060" s="94">
        <f>VLOOKUP($Q11060,매칭테이블!$F:$I,4,0)*K11060</f>
        <v/>
      </c>
      <c r="P11060" s="148">
        <f>M11060/1.1</f>
        <v/>
      </c>
      <c r="Q11060" s="94">
        <f>F11060&amp;E11060&amp;G11060&amp;L11060</f>
        <v/>
      </c>
    </row>
    <row r="11061">
      <c r="B11061" s="128" t="n">
        <v>44152</v>
      </c>
      <c r="C11061" s="94">
        <f>TEXT(B11061,"aaa")</f>
        <v/>
      </c>
      <c r="D11061" s="94" t="n"/>
      <c r="E11061" s="94" t="inlineStr">
        <is>
          <t>카밍크림</t>
        </is>
      </c>
      <c r="F11061" s="94" t="inlineStr">
        <is>
          <t>카페24</t>
        </is>
      </c>
      <c r="G11061" s="94" t="inlineStr">
        <is>
          <t>[플친 단독 (11/16-11/20)] 크림(필수)=어성초 70 인텐스 카밍 크림 1개-20% off</t>
        </is>
      </c>
      <c r="H11061" s="94" t="n">
        <v>200801</v>
      </c>
      <c r="I11061" s="94" t="n">
        <v>200801</v>
      </c>
      <c r="J11061" s="94" t="n"/>
      <c r="K11061" s="6" t="n">
        <v>5</v>
      </c>
      <c r="L11061" s="94" t="n">
        <v>200801</v>
      </c>
      <c r="M11061" s="94">
        <f>VLOOKUP($Q11061,매칭테이블!$F:$I,2,0)*K11061</f>
        <v/>
      </c>
      <c r="N11061" s="94">
        <f>M11061-M11061*VLOOKUP($Q11061,매칭테이블!$F:$I,3,0)</f>
        <v/>
      </c>
      <c r="O11061" s="94">
        <f>VLOOKUP($Q11061,매칭테이블!$F:$I,4,0)*K11061</f>
        <v/>
      </c>
      <c r="P11061" s="148">
        <f>M11061/1.1</f>
        <v/>
      </c>
      <c r="Q11061" s="94">
        <f>F11061&amp;E11061&amp;G11061&amp;L11061</f>
        <v/>
      </c>
    </row>
    <row r="11062">
      <c r="B11062" s="128" t="n">
        <v>44152</v>
      </c>
      <c r="C11062" s="94">
        <f>TEXT(B11062,"aaa")</f>
        <v/>
      </c>
      <c r="D11062" s="94" t="n"/>
      <c r="E11062" s="94" t="inlineStr">
        <is>
          <t>카밍크림</t>
        </is>
      </c>
      <c r="F11062" s="94" t="inlineStr">
        <is>
          <t>카페24</t>
        </is>
      </c>
      <c r="G11062" s="94" t="inlineStr">
        <is>
          <t>[플친 단독 (11/16-11/20)] 크림(필수)=어성초 70 인텐스 카밍 크림 2개-30% off (무료배송)</t>
        </is>
      </c>
      <c r="H11062" s="94" t="n">
        <v>200801</v>
      </c>
      <c r="I11062" s="94" t="n">
        <v>200801</v>
      </c>
      <c r="J11062" s="94" t="n"/>
      <c r="K11062" s="6" t="n">
        <v>1</v>
      </c>
      <c r="L11062" s="94" t="n">
        <v>200801</v>
      </c>
      <c r="M11062" s="94">
        <f>VLOOKUP($Q11062,매칭테이블!$F:$I,2,0)*K11062</f>
        <v/>
      </c>
      <c r="N11062" s="94">
        <f>M11062-M11062*VLOOKUP($Q11062,매칭테이블!$F:$I,3,0)</f>
        <v/>
      </c>
      <c r="O11062" s="94">
        <f>VLOOKUP($Q11062,매칭테이블!$F:$I,4,0)*K11062</f>
        <v/>
      </c>
      <c r="P11062" s="148">
        <f>M11062/1.1</f>
        <v/>
      </c>
      <c r="Q11062" s="94">
        <f>F11062&amp;E11062&amp;G11062&amp;L11062</f>
        <v/>
      </c>
    </row>
    <row r="11063">
      <c r="B11063" s="128" t="n">
        <v>44152</v>
      </c>
      <c r="C11063" s="94">
        <f>TEXT(B11063,"aaa")</f>
        <v/>
      </c>
      <c r="D11063" s="94" t="n"/>
      <c r="E11063" s="94" t="inlineStr">
        <is>
          <t>크림마스크</t>
        </is>
      </c>
      <c r="F11063" s="94" t="inlineStr">
        <is>
          <t>카페24</t>
        </is>
      </c>
      <c r="G11063" s="94" t="inlineStr">
        <is>
          <t>[플친 단독 (11/16-11/20)] 크림마스크팩(선택)=크림마스크팩 1장-50% off</t>
        </is>
      </c>
      <c r="H11063" s="94" t="n">
        <v>200801</v>
      </c>
      <c r="I11063" s="94" t="n">
        <v>200801</v>
      </c>
      <c r="J11063" s="94" t="n"/>
      <c r="K11063" s="6" t="n">
        <v>4</v>
      </c>
      <c r="L11063" s="94" t="n">
        <v>200801</v>
      </c>
      <c r="M11063" s="94">
        <f>VLOOKUP($Q11063,매칭테이블!$F:$I,2,0)*K11063</f>
        <v/>
      </c>
      <c r="N11063" s="94">
        <f>M11063-M11063*VLOOKUP($Q11063,매칭테이블!$F:$I,3,0)</f>
        <v/>
      </c>
      <c r="O11063" s="94">
        <f>VLOOKUP($Q11063,매칭테이블!$F:$I,4,0)*K11063</f>
        <v/>
      </c>
      <c r="P11063" s="148">
        <f>M11063/1.1</f>
        <v/>
      </c>
      <c r="Q11063" s="94">
        <f>F11063&amp;E11063&amp;G11063&amp;L11063</f>
        <v/>
      </c>
    </row>
    <row r="11064">
      <c r="B11064" s="128" t="n">
        <v>44152</v>
      </c>
      <c r="C11064" s="94">
        <f>TEXT(B11064,"aaa")</f>
        <v/>
      </c>
      <c r="D11064" s="94" t="n"/>
      <c r="E11064" s="94" t="inlineStr">
        <is>
          <t>어성초진정패키지</t>
        </is>
      </c>
      <c r="F11064" s="94" t="inlineStr">
        <is>
          <t>카페24</t>
        </is>
      </c>
      <c r="G11064" s="94" t="inlineStr">
        <is>
          <t>어성초 진정패키지세트</t>
        </is>
      </c>
      <c r="H11064" s="94" t="n">
        <v>200801</v>
      </c>
      <c r="I11064" s="94" t="n">
        <v>200801</v>
      </c>
      <c r="J11064" s="94" t="n"/>
      <c r="K11064" s="6" t="n">
        <v>3</v>
      </c>
      <c r="L11064" s="94" t="n">
        <v>200801</v>
      </c>
      <c r="M11064" s="94">
        <f>VLOOKUP($Q11064,매칭테이블!$F:$I,2,0)*K11064</f>
        <v/>
      </c>
      <c r="N11064" s="94">
        <f>M11064-M11064*VLOOKUP($Q11064,매칭테이블!$F:$I,3,0)</f>
        <v/>
      </c>
      <c r="O11064" s="94">
        <f>VLOOKUP($Q11064,매칭테이블!$F:$I,4,0)*K11064</f>
        <v/>
      </c>
      <c r="P11064" s="148">
        <f>M11064/1.1</f>
        <v/>
      </c>
      <c r="Q11064" s="94">
        <f>F11064&amp;E11064&amp;G11064&amp;L11064</f>
        <v/>
      </c>
    </row>
    <row r="11065">
      <c r="B11065" s="128" t="n">
        <v>44152</v>
      </c>
      <c r="C11065" s="94">
        <f>TEXT(B11065,"aaa")</f>
        <v/>
      </c>
      <c r="D11065" s="94" t="n"/>
      <c r="E11065" s="94" t="inlineStr">
        <is>
          <t>클리어 패드</t>
        </is>
      </c>
      <c r="F11065" s="94" t="inlineStr">
        <is>
          <t>카페24</t>
        </is>
      </c>
      <c r="G11065" s="94" t="inlineStr">
        <is>
          <t>어성초 77 클리어 패드 1개-20% off</t>
        </is>
      </c>
      <c r="H11065" s="94" t="n">
        <v>200801</v>
      </c>
      <c r="I11065" s="94" t="n">
        <v>200801</v>
      </c>
      <c r="J11065" s="94" t="n"/>
      <c r="K11065" s="6" t="n">
        <v>41</v>
      </c>
      <c r="L11065" s="94" t="n">
        <v>200801</v>
      </c>
      <c r="M11065" s="94">
        <f>VLOOKUP($Q11065,매칭테이블!$F:$I,2,0)*K11065</f>
        <v/>
      </c>
      <c r="N11065" s="94">
        <f>M11065-M11065*VLOOKUP($Q11065,매칭테이블!$F:$I,3,0)</f>
        <v/>
      </c>
      <c r="O11065" s="94">
        <f>VLOOKUP($Q11065,매칭테이블!$F:$I,4,0)*K11065</f>
        <v/>
      </c>
      <c r="P11065" s="148">
        <f>M11065/1.1</f>
        <v/>
      </c>
      <c r="Q11065" s="94">
        <f>F11065&amp;E11065&amp;G11065&amp;L11065</f>
        <v/>
      </c>
    </row>
    <row r="11066">
      <c r="B11066" s="128" t="n">
        <v>44152</v>
      </c>
      <c r="C11066" s="94">
        <f>TEXT(B11066,"aaa")</f>
        <v/>
      </c>
      <c r="D11066" s="94" t="n"/>
      <c r="E11066" s="94" t="inlineStr">
        <is>
          <t>클리어 패드</t>
        </is>
      </c>
      <c r="F11066" s="94" t="inlineStr">
        <is>
          <t>카페24</t>
        </is>
      </c>
      <c r="G11066" s="94" t="inlineStr">
        <is>
          <t>어성초 77 클리어 패드 2개-30% off</t>
        </is>
      </c>
      <c r="H11066" s="94" t="n">
        <v>200801</v>
      </c>
      <c r="I11066" s="94" t="n">
        <v>200801</v>
      </c>
      <c r="J11066" s="94" t="n"/>
      <c r="K11066" s="6" t="n">
        <v>37</v>
      </c>
      <c r="L11066" s="94" t="n">
        <v>200801</v>
      </c>
      <c r="M11066" s="94">
        <f>VLOOKUP($Q11066,매칭테이블!$F:$I,2,0)*K11066</f>
        <v/>
      </c>
      <c r="N11066" s="94">
        <f>M11066-M11066*VLOOKUP($Q11066,매칭테이블!$F:$I,3,0)</f>
        <v/>
      </c>
      <c r="O11066" s="94">
        <f>VLOOKUP($Q11066,매칭테이블!$F:$I,4,0)*K11066</f>
        <v/>
      </c>
      <c r="P11066" s="148">
        <f>M11066/1.1</f>
        <v/>
      </c>
      <c r="Q11066" s="94">
        <f>F11066&amp;E11066&amp;G11066&amp;L11066</f>
        <v/>
      </c>
    </row>
    <row r="11067">
      <c r="B11067" s="128" t="n">
        <v>44152</v>
      </c>
      <c r="C11067" s="94">
        <f>TEXT(B11067,"aaa")</f>
        <v/>
      </c>
      <c r="D11067" s="94" t="n"/>
      <c r="E11067" s="94" t="inlineStr">
        <is>
          <t>토너+패드 세트</t>
        </is>
      </c>
      <c r="F11067" s="94" t="inlineStr">
        <is>
          <t>카페24</t>
        </is>
      </c>
      <c r="G11067" s="94" t="inlineStr">
        <is>
          <t>좁쌀 진정 세트 토너+클리어 패드-30% off</t>
        </is>
      </c>
      <c r="H11067" s="94" t="n">
        <v>200801</v>
      </c>
      <c r="I11067" s="94" t="n">
        <v>200801</v>
      </c>
      <c r="J11067" s="94" t="n"/>
      <c r="K11067" s="6" t="n">
        <v>30</v>
      </c>
      <c r="L11067" s="94" t="n">
        <v>200801</v>
      </c>
      <c r="M11067" s="94">
        <f>VLOOKUP($Q11067,매칭테이블!$F:$I,2,0)*K11067</f>
        <v/>
      </c>
      <c r="N11067" s="94">
        <f>M11067-M11067*VLOOKUP($Q11067,매칭테이블!$F:$I,3,0)</f>
        <v/>
      </c>
      <c r="O11067" s="94">
        <f>VLOOKUP($Q11067,매칭테이블!$F:$I,4,0)*K11067</f>
        <v/>
      </c>
      <c r="P11067" s="148">
        <f>M11067/1.1</f>
        <v/>
      </c>
      <c r="Q11067" s="94">
        <f>F11067&amp;E11067&amp;G11067&amp;L11067</f>
        <v/>
      </c>
    </row>
    <row r="11068">
      <c r="B11068" s="128" t="n">
        <v>44152</v>
      </c>
      <c r="C11068" s="94">
        <f>TEXT(B11068,"aaa")</f>
        <v/>
      </c>
      <c r="D11068" s="94" t="n"/>
      <c r="E11068" s="94" t="inlineStr">
        <is>
          <t>수분 보충 세트</t>
        </is>
      </c>
      <c r="F11068" s="94" t="inlineStr">
        <is>
          <t>카페24</t>
        </is>
      </c>
      <c r="G11068" s="94" t="inlineStr">
        <is>
          <t>[20/09/28 부터] 어성초 77 토너 250ml + 어성초 70 로션 200ml -30%</t>
        </is>
      </c>
      <c r="H11068" s="94" t="n">
        <v>200801</v>
      </c>
      <c r="I11068" s="94" t="n">
        <v>200801</v>
      </c>
      <c r="J11068" s="94" t="n"/>
      <c r="K11068" s="6" t="n">
        <v>28</v>
      </c>
      <c r="L11068" s="94" t="n">
        <v>200801</v>
      </c>
      <c r="M11068" s="94">
        <f>VLOOKUP($Q11068,매칭테이블!$F:$I,2,0)*K11068</f>
        <v/>
      </c>
      <c r="N11068" s="94">
        <f>M11068-M11068*VLOOKUP($Q11068,매칭테이블!$F:$I,3,0)</f>
        <v/>
      </c>
      <c r="O11068" s="94">
        <f>VLOOKUP($Q11068,매칭테이블!$F:$I,4,0)*K11068</f>
        <v/>
      </c>
      <c r="P11068" s="148">
        <f>M11068/1.1</f>
        <v/>
      </c>
      <c r="Q11068" s="94">
        <f>F11068&amp;E11068&amp;G11068&amp;L11068</f>
        <v/>
      </c>
    </row>
    <row r="11069">
      <c r="B11069" s="128" t="n">
        <v>44152</v>
      </c>
      <c r="C11069" s="94">
        <f>TEXT(B11069,"aaa")</f>
        <v/>
      </c>
      <c r="D11069" s="94" t="n"/>
      <c r="E11069" s="94" t="inlineStr">
        <is>
          <t>로션</t>
        </is>
      </c>
      <c r="F11069" s="94" t="inlineStr">
        <is>
          <t>카페24</t>
        </is>
      </c>
      <c r="G11069" s="94" t="inlineStr">
        <is>
          <t>어성초 70 데일리 릴리프 로션 1개 -20% off</t>
        </is>
      </c>
      <c r="H11069" s="94" t="n">
        <v>200801</v>
      </c>
      <c r="I11069" s="94" t="n">
        <v>200801</v>
      </c>
      <c r="J11069" s="94" t="n"/>
      <c r="K11069" s="6" t="n">
        <v>4</v>
      </c>
      <c r="L11069" s="94" t="n">
        <v>200801</v>
      </c>
      <c r="M11069" s="94">
        <f>VLOOKUP($Q11069,매칭테이블!$F:$I,2,0)*K11069</f>
        <v/>
      </c>
      <c r="N11069" s="94">
        <f>M11069-M11069*VLOOKUP($Q11069,매칭테이블!$F:$I,3,0)</f>
        <v/>
      </c>
      <c r="O11069" s="94">
        <f>VLOOKUP($Q11069,매칭테이블!$F:$I,4,0)*K11069</f>
        <v/>
      </c>
      <c r="P11069" s="148">
        <f>M11069/1.1</f>
        <v/>
      </c>
      <c r="Q11069" s="94">
        <f>F11069&amp;E11069&amp;G11069&amp;L11069</f>
        <v/>
      </c>
    </row>
    <row r="11070">
      <c r="B11070" s="128" t="n">
        <v>44152</v>
      </c>
      <c r="C11070" s="94">
        <f>TEXT(B11070,"aaa")</f>
        <v/>
      </c>
      <c r="D11070" s="94" t="n"/>
      <c r="E11070" s="94" t="inlineStr">
        <is>
          <t>로션</t>
        </is>
      </c>
      <c r="F11070" s="94" t="inlineStr">
        <is>
          <t>카페24</t>
        </is>
      </c>
      <c r="G11070" s="94" t="inlineStr">
        <is>
          <t>어성초 70 데일리 릴리프 로션 2개 -30% off</t>
        </is>
      </c>
      <c r="H11070" s="94" t="n">
        <v>200801</v>
      </c>
      <c r="I11070" s="94" t="n">
        <v>200801</v>
      </c>
      <c r="J11070" s="94" t="n"/>
      <c r="K11070" s="6" t="n">
        <v>1</v>
      </c>
      <c r="L11070" s="94" t="n">
        <v>200801</v>
      </c>
      <c r="M11070" s="94">
        <f>VLOOKUP($Q11070,매칭테이블!$F:$I,2,0)*K11070</f>
        <v/>
      </c>
      <c r="N11070" s="94">
        <f>M11070-M11070*VLOOKUP($Q11070,매칭테이블!$F:$I,3,0)</f>
        <v/>
      </c>
      <c r="O11070" s="94">
        <f>VLOOKUP($Q11070,매칭테이블!$F:$I,4,0)*K11070</f>
        <v/>
      </c>
      <c r="P11070" s="148">
        <f>M11070/1.1</f>
        <v/>
      </c>
      <c r="Q11070" s="94">
        <f>F11070&amp;E11070&amp;G11070&amp;L11070</f>
        <v/>
      </c>
    </row>
    <row r="11071">
      <c r="B11071" s="128" t="n">
        <v>44152</v>
      </c>
      <c r="C11071" s="94">
        <f>TEXT(B11071,"aaa")</f>
        <v/>
      </c>
      <c r="D11071" s="94" t="n"/>
      <c r="E11071" s="94" t="inlineStr">
        <is>
          <t>머드크림마스크</t>
        </is>
      </c>
      <c r="F11071" s="94" t="inlineStr">
        <is>
          <t>카페24</t>
        </is>
      </c>
      <c r="G11071" s="94" t="inlineStr">
        <is>
          <t>머드크림마스크 100ml</t>
        </is>
      </c>
      <c r="H11071" s="94" t="n">
        <v>200801</v>
      </c>
      <c r="I11071" s="94" t="n">
        <v>200801</v>
      </c>
      <c r="J11071" s="94" t="n"/>
      <c r="K11071" s="6" t="n">
        <v>1</v>
      </c>
      <c r="L11071" s="94" t="n">
        <v>200801</v>
      </c>
      <c r="M11071" s="94">
        <f>VLOOKUP($Q11071,매칭테이블!$F:$I,2,0)*K11071</f>
        <v/>
      </c>
      <c r="N11071" s="94">
        <f>M11071-M11071*VLOOKUP($Q11071,매칭테이블!$F:$I,3,0)</f>
        <v/>
      </c>
      <c r="O11071" s="94">
        <f>VLOOKUP($Q11071,매칭테이블!$F:$I,4,0)*K11071</f>
        <v/>
      </c>
      <c r="P11071" s="148">
        <f>M11071/1.1</f>
        <v/>
      </c>
      <c r="Q11071" s="94">
        <f>F11071&amp;E11071&amp;G11071&amp;L11071</f>
        <v/>
      </c>
    </row>
    <row r="11072">
      <c r="B11072" s="128" t="n">
        <v>44152</v>
      </c>
      <c r="C11072" s="94">
        <f>TEXT(B11072,"aaa")</f>
        <v/>
      </c>
      <c r="D11072" s="94" t="n"/>
      <c r="E11072" s="94" t="inlineStr">
        <is>
          <t>머드크림마스크</t>
        </is>
      </c>
      <c r="F11072" s="94" t="inlineStr">
        <is>
          <t>카페24</t>
        </is>
      </c>
      <c r="G11072" s="94" t="inlineStr">
        <is>
          <t>머드크림마스크 100ml 2set</t>
        </is>
      </c>
      <c r="H11072" s="94" t="n">
        <v>200801</v>
      </c>
      <c r="I11072" s="94" t="n">
        <v>200801</v>
      </c>
      <c r="J11072" s="94" t="n"/>
      <c r="K11072" s="6" t="n">
        <v>1</v>
      </c>
      <c r="L11072" s="94" t="n">
        <v>200801</v>
      </c>
      <c r="M11072" s="94">
        <f>VLOOKUP($Q11072,매칭테이블!$F:$I,2,0)*K11072</f>
        <v/>
      </c>
      <c r="N11072" s="94">
        <f>M11072-M11072*VLOOKUP($Q11072,매칭테이블!$F:$I,3,0)</f>
        <v/>
      </c>
      <c r="O11072" s="94">
        <f>VLOOKUP($Q11072,매칭테이블!$F:$I,4,0)*K11072</f>
        <v/>
      </c>
      <c r="P11072" s="148">
        <f>M11072/1.1</f>
        <v/>
      </c>
      <c r="Q11072" s="94">
        <f>F11072&amp;E11072&amp;G11072&amp;L11072</f>
        <v/>
      </c>
    </row>
    <row r="11073">
      <c r="B11073" s="128" t="n">
        <v>44152</v>
      </c>
      <c r="C11073" s="94">
        <f>TEXT(B11073,"aaa")</f>
        <v/>
      </c>
      <c r="D11073" s="94" t="n"/>
      <c r="E11073" s="94" t="inlineStr">
        <is>
          <t>마스크팩</t>
        </is>
      </c>
      <c r="F11073" s="94" t="inlineStr">
        <is>
          <t>카페24</t>
        </is>
      </c>
      <c r="G11073" s="94" t="inlineStr">
        <is>
          <t>마스크팩 1매</t>
        </is>
      </c>
      <c r="H11073" s="94" t="n">
        <v>200801</v>
      </c>
      <c r="I11073" s="94" t="n">
        <v>200801</v>
      </c>
      <c r="J11073" s="94" t="n"/>
      <c r="K11073" s="6" t="n">
        <v>1</v>
      </c>
      <c r="L11073" s="94" t="n">
        <v>200801</v>
      </c>
      <c r="M11073" s="94">
        <f>VLOOKUP($Q11073,매칭테이블!$F:$I,2,0)*K11073</f>
        <v/>
      </c>
      <c r="N11073" s="94">
        <f>M11073-M11073*VLOOKUP($Q11073,매칭테이블!$F:$I,3,0)</f>
        <v/>
      </c>
      <c r="O11073" s="94">
        <f>VLOOKUP($Q11073,매칭테이블!$F:$I,4,0)*K11073</f>
        <v/>
      </c>
      <c r="P11073" s="148">
        <f>M11073/1.1</f>
        <v/>
      </c>
      <c r="Q11073" s="94">
        <f>F11073&amp;E11073&amp;G11073&amp;L11073</f>
        <v/>
      </c>
    </row>
    <row r="11074">
      <c r="B11074" s="128" t="n">
        <v>44152</v>
      </c>
      <c r="C11074" s="94">
        <f>TEXT(B11074,"aaa")</f>
        <v/>
      </c>
      <c r="D11074" s="94" t="n"/>
      <c r="E11074" s="94" t="inlineStr">
        <is>
          <t>마스크팩</t>
        </is>
      </c>
      <c r="F11074" s="94" t="inlineStr">
        <is>
          <t>카페24</t>
        </is>
      </c>
      <c r="G11074" s="94" t="inlineStr">
        <is>
          <t>마스크팩 10매</t>
        </is>
      </c>
      <c r="H11074" s="94" t="n">
        <v>200801</v>
      </c>
      <c r="I11074" s="94" t="n">
        <v>200801</v>
      </c>
      <c r="J11074" s="94" t="n"/>
      <c r="K11074" s="6" t="n">
        <v>6</v>
      </c>
      <c r="L11074" s="94" t="n">
        <v>200801</v>
      </c>
      <c r="M11074" s="94">
        <f>VLOOKUP($Q11074,매칭테이블!$F:$I,2,0)*K11074</f>
        <v/>
      </c>
      <c r="N11074" s="94">
        <f>M11074-M11074*VLOOKUP($Q11074,매칭테이블!$F:$I,3,0)</f>
        <v/>
      </c>
      <c r="O11074" s="94">
        <f>VLOOKUP($Q11074,매칭테이블!$F:$I,4,0)*K11074</f>
        <v/>
      </c>
      <c r="P11074" s="148">
        <f>M11074/1.1</f>
        <v/>
      </c>
      <c r="Q11074" s="94">
        <f>F11074&amp;E11074&amp;G11074&amp;L11074</f>
        <v/>
      </c>
    </row>
    <row r="11075">
      <c r="B11075" s="128" t="n">
        <v>44152</v>
      </c>
      <c r="C11075" s="94">
        <f>TEXT(B11075,"aaa")</f>
        <v/>
      </c>
      <c r="D11075" s="94" t="n"/>
      <c r="E11075" s="94" t="inlineStr">
        <is>
          <t>토너</t>
        </is>
      </c>
      <c r="F11075" s="94" t="inlineStr">
        <is>
          <t>카페24</t>
        </is>
      </c>
      <c r="G11075" s="94" t="inlineStr">
        <is>
          <t>250ml</t>
        </is>
      </c>
      <c r="H11075" s="94" t="n">
        <v>200801</v>
      </c>
      <c r="I11075" s="94" t="n">
        <v>200801</v>
      </c>
      <c r="J11075" s="94" t="n"/>
      <c r="K11075" s="6" t="n">
        <v>44</v>
      </c>
      <c r="L11075" s="94" t="n">
        <v>200801</v>
      </c>
      <c r="M11075" s="94">
        <f>VLOOKUP($Q11075,매칭테이블!$F:$I,2,0)*K11075</f>
        <v/>
      </c>
      <c r="N11075" s="94">
        <f>M11075-M11075*VLOOKUP($Q11075,매칭테이블!$F:$I,3,0)</f>
        <v/>
      </c>
      <c r="O11075" s="94">
        <f>VLOOKUP($Q11075,매칭테이블!$F:$I,4,0)*K11075</f>
        <v/>
      </c>
      <c r="P11075" s="148">
        <f>M11075/1.1</f>
        <v/>
      </c>
      <c r="Q11075" s="94">
        <f>F11075&amp;E11075&amp;G11075&amp;L11075</f>
        <v/>
      </c>
    </row>
    <row r="11076">
      <c r="B11076" s="128" t="n">
        <v>44152</v>
      </c>
      <c r="C11076" s="94">
        <f>TEXT(B11076,"aaa")</f>
        <v/>
      </c>
      <c r="D11076" s="94" t="n"/>
      <c r="E11076" s="94" t="inlineStr">
        <is>
          <t>토너</t>
        </is>
      </c>
      <c r="F11076" s="94" t="inlineStr">
        <is>
          <t>카페24</t>
        </is>
      </c>
      <c r="G11076" s="94" t="inlineStr">
        <is>
          <t>250ml 2set</t>
        </is>
      </c>
      <c r="H11076" s="94" t="n">
        <v>200801</v>
      </c>
      <c r="I11076" s="94" t="n">
        <v>200801</v>
      </c>
      <c r="J11076" s="94" t="n"/>
      <c r="K11076" s="6" t="n">
        <v>27</v>
      </c>
      <c r="L11076" s="94" t="n">
        <v>200801</v>
      </c>
      <c r="M11076" s="94">
        <f>VLOOKUP($Q11076,매칭테이블!$F:$I,2,0)*K11076</f>
        <v/>
      </c>
      <c r="N11076" s="94">
        <f>M11076-M11076*VLOOKUP($Q11076,매칭테이블!$F:$I,3,0)</f>
        <v/>
      </c>
      <c r="O11076" s="94">
        <f>VLOOKUP($Q11076,매칭테이블!$F:$I,4,0)*K11076</f>
        <v/>
      </c>
      <c r="P11076" s="148">
        <f>M11076/1.1</f>
        <v/>
      </c>
      <c r="Q11076" s="94">
        <f>F11076&amp;E11076&amp;G11076&amp;L11076</f>
        <v/>
      </c>
    </row>
    <row r="11077">
      <c r="B11077" s="128" t="n">
        <v>44152</v>
      </c>
      <c r="C11077" s="94">
        <f>TEXT(B11077,"aaa")</f>
        <v/>
      </c>
      <c r="D11077" s="94" t="n"/>
      <c r="E11077" s="94" t="inlineStr">
        <is>
          <t>토너</t>
        </is>
      </c>
      <c r="F11077" s="94" t="inlineStr">
        <is>
          <t>카페24</t>
        </is>
      </c>
      <c r="G11077" s="94" t="inlineStr">
        <is>
          <t>500ml</t>
        </is>
      </c>
      <c r="H11077" s="94" t="n">
        <v>200801</v>
      </c>
      <c r="I11077" s="94" t="n">
        <v>200801</v>
      </c>
      <c r="J11077" s="94" t="n"/>
      <c r="K11077" s="6" t="n">
        <v>40</v>
      </c>
      <c r="L11077" s="94" t="n">
        <v>200801</v>
      </c>
      <c r="M11077" s="94">
        <f>VLOOKUP($Q11077,매칭테이블!$F:$I,2,0)*K11077</f>
        <v/>
      </c>
      <c r="N11077" s="94">
        <f>M11077-M11077*VLOOKUP($Q11077,매칭테이블!$F:$I,3,0)</f>
        <v/>
      </c>
      <c r="O11077" s="94">
        <f>VLOOKUP($Q11077,매칭테이블!$F:$I,4,0)*K11077</f>
        <v/>
      </c>
      <c r="P11077" s="148">
        <f>M11077/1.1</f>
        <v/>
      </c>
      <c r="Q11077" s="94">
        <f>F11077&amp;E11077&amp;G11077&amp;L11077</f>
        <v/>
      </c>
    </row>
    <row r="11078">
      <c r="B11078" s="128" t="n">
        <v>44152</v>
      </c>
      <c r="C11078" s="94">
        <f>TEXT(B11078,"aaa")</f>
        <v/>
      </c>
      <c r="D11078" s="94" t="n"/>
      <c r="E11078" s="94" t="inlineStr">
        <is>
          <t>토너</t>
        </is>
      </c>
      <c r="F11078" s="94" t="inlineStr">
        <is>
          <t>카페24</t>
        </is>
      </c>
      <c r="G11078" s="94" t="inlineStr">
        <is>
          <t>스킨팩 화장솜 60P</t>
        </is>
      </c>
      <c r="H11078" s="94" t="n">
        <v>200801</v>
      </c>
      <c r="I11078" s="94" t="n">
        <v>200801</v>
      </c>
      <c r="J11078" s="94" t="n"/>
      <c r="K11078" s="6" t="n">
        <v>38</v>
      </c>
      <c r="L11078" s="94" t="n">
        <v>200801</v>
      </c>
      <c r="M11078" s="94">
        <f>VLOOKUP($Q11078,매칭테이블!$F:$I,2,0)*K11078</f>
        <v/>
      </c>
      <c r="N11078" s="94">
        <f>M11078-M11078*VLOOKUP($Q11078,매칭테이블!$F:$I,3,0)</f>
        <v/>
      </c>
      <c r="O11078" s="94">
        <f>VLOOKUP($Q11078,매칭테이블!$F:$I,4,0)*K11078</f>
        <v/>
      </c>
      <c r="P11078" s="148">
        <f>M11078/1.1</f>
        <v/>
      </c>
      <c r="Q11078" s="94">
        <f>F11078&amp;E11078&amp;G11078&amp;L11078</f>
        <v/>
      </c>
    </row>
    <row r="11079">
      <c r="B11079" s="128" t="n">
        <v>44152</v>
      </c>
      <c r="C11079" s="94">
        <f>TEXT(B11079,"aaa")</f>
        <v/>
      </c>
      <c r="D11079" s="94" t="n"/>
      <c r="E11079" s="94" t="inlineStr">
        <is>
          <t>앰플</t>
        </is>
      </c>
      <c r="F11079" s="94" t="inlineStr">
        <is>
          <t>카페24</t>
        </is>
      </c>
      <c r="G11079" s="94" t="inlineStr">
        <is>
          <t>앰플 30ml</t>
        </is>
      </c>
      <c r="H11079" s="94" t="n">
        <v>200801</v>
      </c>
      <c r="I11079" s="94" t="n">
        <v>200801</v>
      </c>
      <c r="J11079" s="94" t="n"/>
      <c r="K11079" s="6" t="n">
        <v>16</v>
      </c>
      <c r="L11079" s="94" t="n">
        <v>200801</v>
      </c>
      <c r="M11079" s="94">
        <f>VLOOKUP($Q11079,매칭테이블!$F:$I,2,0)*K11079</f>
        <v/>
      </c>
      <c r="N11079" s="94">
        <f>M11079-M11079*VLOOKUP($Q11079,매칭테이블!$F:$I,3,0)</f>
        <v/>
      </c>
      <c r="O11079" s="94">
        <f>VLOOKUP($Q11079,매칭테이블!$F:$I,4,0)*K11079</f>
        <v/>
      </c>
      <c r="P11079" s="148">
        <f>M11079/1.1</f>
        <v/>
      </c>
      <c r="Q11079" s="94">
        <f>F11079&amp;E11079&amp;G11079&amp;L11079</f>
        <v/>
      </c>
    </row>
    <row r="11080">
      <c r="B11080" s="128" t="n">
        <v>44152</v>
      </c>
      <c r="C11080" s="94">
        <f>TEXT(B11080,"aaa")</f>
        <v/>
      </c>
      <c r="D11080" s="94" t="n"/>
      <c r="E11080" s="94" t="inlineStr">
        <is>
          <t>앰플</t>
        </is>
      </c>
      <c r="F11080" s="94" t="inlineStr">
        <is>
          <t>카페24</t>
        </is>
      </c>
      <c r="G11080" s="94" t="inlineStr">
        <is>
          <t>앰플 30ml  2set</t>
        </is>
      </c>
      <c r="H11080" s="94" t="n">
        <v>200801</v>
      </c>
      <c r="I11080" s="94" t="n">
        <v>200801</v>
      </c>
      <c r="J11080" s="94" t="n"/>
      <c r="K11080" s="6" t="n">
        <v>2</v>
      </c>
      <c r="L11080" s="94" t="n">
        <v>200801</v>
      </c>
      <c r="M11080" s="94">
        <f>VLOOKUP($Q11080,매칭테이블!$F:$I,2,0)*K11080</f>
        <v/>
      </c>
      <c r="N11080" s="94">
        <f>M11080-M11080*VLOOKUP($Q11080,매칭테이블!$F:$I,3,0)</f>
        <v/>
      </c>
      <c r="O11080" s="94">
        <f>VLOOKUP($Q11080,매칭테이블!$F:$I,4,0)*K11080</f>
        <v/>
      </c>
      <c r="P11080" s="148">
        <f>M11080/1.1</f>
        <v/>
      </c>
      <c r="Q11080" s="94">
        <f>F11080&amp;E11080&amp;G11080&amp;L11080</f>
        <v/>
      </c>
    </row>
    <row r="11081">
      <c r="B11081" s="128" t="n">
        <v>44152</v>
      </c>
      <c r="C11081" s="94">
        <f>TEXT(B11081,"aaa")</f>
        <v/>
      </c>
      <c r="D11081" s="94" t="n"/>
      <c r="E11081" s="94" t="inlineStr">
        <is>
          <t>수딩크림</t>
        </is>
      </c>
      <c r="F11081" s="94" t="inlineStr">
        <is>
          <t>카페24</t>
        </is>
      </c>
      <c r="G11081" s="94" t="inlineStr">
        <is>
          <t>수딩크림 100ml</t>
        </is>
      </c>
      <c r="H11081" s="94" t="n">
        <v>200801</v>
      </c>
      <c r="I11081" s="94" t="n">
        <v>200801</v>
      </c>
      <c r="J11081" s="94" t="n"/>
      <c r="K11081" s="6" t="n">
        <v>8</v>
      </c>
      <c r="L11081" s="94" t="n">
        <v>200801</v>
      </c>
      <c r="M11081" s="94">
        <f>VLOOKUP($Q11081,매칭테이블!$F:$I,2,0)*K11081</f>
        <v/>
      </c>
      <c r="N11081" s="94">
        <f>M11081-M11081*VLOOKUP($Q11081,매칭테이블!$F:$I,3,0)</f>
        <v/>
      </c>
      <c r="O11081" s="94">
        <f>VLOOKUP($Q11081,매칭테이블!$F:$I,4,0)*K11081</f>
        <v/>
      </c>
      <c r="P11081" s="148">
        <f>M11081/1.1</f>
        <v/>
      </c>
      <c r="Q11081" s="94">
        <f>F11081&amp;E11081&amp;G11081&amp;L11081</f>
        <v/>
      </c>
    </row>
    <row r="11082">
      <c r="B11082" s="128" t="n">
        <v>44152</v>
      </c>
      <c r="C11082" s="94">
        <f>TEXT(B11082,"aaa")</f>
        <v/>
      </c>
      <c r="D11082" s="94" t="n"/>
      <c r="E11082" s="94" t="inlineStr">
        <is>
          <t>클렌징폼</t>
        </is>
      </c>
      <c r="F11082" s="94" t="inlineStr">
        <is>
          <t>카페24</t>
        </is>
      </c>
      <c r="G11082" s="94" t="inlineStr">
        <is>
          <t>클렌징폼 120ml</t>
        </is>
      </c>
      <c r="H11082" s="94" t="n">
        <v>200801</v>
      </c>
      <c r="I11082" s="94" t="n">
        <v>200801</v>
      </c>
      <c r="J11082" s="94" t="n"/>
      <c r="K11082" s="6" t="n">
        <v>10</v>
      </c>
      <c r="L11082" s="94" t="n">
        <v>200801</v>
      </c>
      <c r="M11082" s="94">
        <f>VLOOKUP($Q11082,매칭테이블!$F:$I,2,0)*K11082</f>
        <v/>
      </c>
      <c r="N11082" s="94">
        <f>M11082-M11082*VLOOKUP($Q11082,매칭테이블!$F:$I,3,0)</f>
        <v/>
      </c>
      <c r="O11082" s="94">
        <f>VLOOKUP($Q11082,매칭테이블!$F:$I,4,0)*K11082</f>
        <v/>
      </c>
      <c r="P11082" s="148">
        <f>M11082/1.1</f>
        <v/>
      </c>
      <c r="Q11082" s="94">
        <f>F11082&amp;E11082&amp;G11082&amp;L11082</f>
        <v/>
      </c>
    </row>
    <row r="11083">
      <c r="B11083" s="128" t="n">
        <v>44152</v>
      </c>
      <c r="C11083" s="94">
        <f>TEXT(B11083,"aaa")</f>
        <v/>
      </c>
      <c r="D11083" s="94" t="n"/>
      <c r="E11083" s="94" t="inlineStr">
        <is>
          <t>클렌징폼</t>
        </is>
      </c>
      <c r="F11083" s="94" t="inlineStr">
        <is>
          <t>카페24</t>
        </is>
      </c>
      <c r="G11083" s="94" t="inlineStr">
        <is>
          <t>클렌징폼 120ml 2set</t>
        </is>
      </c>
      <c r="H11083" s="94" t="n">
        <v>200801</v>
      </c>
      <c r="I11083" s="94" t="n">
        <v>200801</v>
      </c>
      <c r="J11083" s="94" t="n"/>
      <c r="K11083" s="6" t="n">
        <v>2</v>
      </c>
      <c r="L11083" s="94" t="n">
        <v>200801</v>
      </c>
      <c r="M11083" s="94">
        <f>VLOOKUP($Q11083,매칭테이블!$F:$I,2,0)*K11083</f>
        <v/>
      </c>
      <c r="N11083" s="94">
        <f>M11083-M11083*VLOOKUP($Q11083,매칭테이블!$F:$I,3,0)</f>
        <v/>
      </c>
      <c r="O11083" s="94">
        <f>VLOOKUP($Q11083,매칭테이블!$F:$I,4,0)*K11083</f>
        <v/>
      </c>
      <c r="P11083" s="148">
        <f>M11083/1.1</f>
        <v/>
      </c>
      <c r="Q11083" s="94">
        <f>F11083&amp;E11083&amp;G11083&amp;L11083</f>
        <v/>
      </c>
    </row>
    <row r="11084">
      <c r="B11084" s="128" t="n">
        <v>44152</v>
      </c>
      <c r="C11084" s="94">
        <f>TEXT(B11084,"aaa")</f>
        <v/>
      </c>
      <c r="D11084" s="94" t="n"/>
      <c r="E11084" s="94" t="inlineStr">
        <is>
          <t>클렌징폼</t>
        </is>
      </c>
      <c r="F11084" s="94" t="inlineStr">
        <is>
          <t>카페24</t>
        </is>
      </c>
      <c r="G11084" s="94" t="inlineStr">
        <is>
          <t>클렌징폼 120ml 3set</t>
        </is>
      </c>
      <c r="H11084" s="94" t="n">
        <v>200801</v>
      </c>
      <c r="I11084" s="94" t="n">
        <v>200801</v>
      </c>
      <c r="J11084" s="94" t="n"/>
      <c r="K11084" s="6" t="n">
        <v>1</v>
      </c>
      <c r="L11084" s="94" t="n">
        <v>200801</v>
      </c>
      <c r="M11084" s="94">
        <f>VLOOKUP($Q11084,매칭테이블!$F:$I,2,0)*K11084</f>
        <v/>
      </c>
      <c r="N11084" s="94">
        <f>M11084-M11084*VLOOKUP($Q11084,매칭테이블!$F:$I,3,0)</f>
        <v/>
      </c>
      <c r="O11084" s="94">
        <f>VLOOKUP($Q11084,매칭테이블!$F:$I,4,0)*K11084</f>
        <v/>
      </c>
      <c r="P11084" s="148">
        <f>M11084/1.1</f>
        <v/>
      </c>
      <c r="Q11084" s="94">
        <f>F11084&amp;E11084&amp;G11084&amp;L11084</f>
        <v/>
      </c>
    </row>
    <row r="11085">
      <c r="B11085" s="128" t="n">
        <v>44152</v>
      </c>
      <c r="C11085" s="94">
        <f>TEXT(B11085,"aaa")</f>
        <v/>
      </c>
      <c r="D11085" s="94" t="n"/>
      <c r="E11085" s="94" t="inlineStr">
        <is>
          <t>바디워시</t>
        </is>
      </c>
      <c r="F11085" s="94" t="inlineStr">
        <is>
          <t>카페24</t>
        </is>
      </c>
      <c r="G11085" s="94" t="inlineStr">
        <is>
          <t>바디워시 1개 -30% off</t>
        </is>
      </c>
      <c r="H11085" s="94" t="n">
        <v>200801</v>
      </c>
      <c r="I11085" s="94" t="n">
        <v>200801</v>
      </c>
      <c r="J11085" s="94" t="n"/>
      <c r="K11085" s="6" t="n">
        <v>2</v>
      </c>
      <c r="L11085" s="94" t="n">
        <v>200801</v>
      </c>
      <c r="M11085" s="94">
        <f>VLOOKUP($Q11085,매칭테이블!$F:$I,2,0)*K11085</f>
        <v/>
      </c>
      <c r="N11085" s="94">
        <f>M11085-M11085*VLOOKUP($Q11085,매칭테이블!$F:$I,3,0)</f>
        <v/>
      </c>
      <c r="O11085" s="94">
        <f>VLOOKUP($Q11085,매칭테이블!$F:$I,4,0)*K11085</f>
        <v/>
      </c>
      <c r="P11085" s="148">
        <f>M11085/1.1</f>
        <v/>
      </c>
      <c r="Q11085" s="94">
        <f>F11085&amp;E11085&amp;G11085&amp;L11085</f>
        <v/>
      </c>
    </row>
    <row r="11086">
      <c r="B11086" s="128" t="n">
        <v>44152</v>
      </c>
      <c r="C11086" s="94">
        <f>TEXT(B11086,"aaa")</f>
        <v/>
      </c>
      <c r="D11086" s="94" t="n"/>
      <c r="E11086" s="94" t="inlineStr">
        <is>
          <t>토너</t>
        </is>
      </c>
      <c r="F11086" s="94" t="inlineStr">
        <is>
          <t>화해</t>
        </is>
      </c>
      <c r="G11086" s="94" t="inlineStr">
        <is>
          <t>250ml</t>
        </is>
      </c>
      <c r="H11086" s="94" t="n">
        <v>200801</v>
      </c>
      <c r="I11086" s="94" t="n">
        <v>200801</v>
      </c>
      <c r="J11086" s="94" t="n"/>
      <c r="K11086" s="6" t="n">
        <v>6</v>
      </c>
      <c r="L11086" s="94" t="n">
        <v>200801</v>
      </c>
      <c r="M11086" s="94">
        <f>VLOOKUP($Q11086,매칭테이블!$F:$I,2,0)*K11086</f>
        <v/>
      </c>
      <c r="N11086" s="94">
        <f>M11086-M11086*VLOOKUP($Q11086,매칭테이블!$F:$I,3,0)</f>
        <v/>
      </c>
      <c r="O11086" s="94">
        <f>VLOOKUP($Q11086,매칭테이블!$F:$I,4,0)*K11086</f>
        <v/>
      </c>
      <c r="P11086" s="148">
        <f>M11086/1.1</f>
        <v/>
      </c>
      <c r="Q11086" s="94">
        <f>F11086&amp;E11086&amp;G11086&amp;L11086</f>
        <v/>
      </c>
    </row>
    <row r="11087" customFormat="1" s="94">
      <c r="B11087" s="128" t="n">
        <v>44153</v>
      </c>
      <c r="C11087" s="94">
        <f>TEXT(B11087,"aaa")</f>
        <v/>
      </c>
      <c r="E11087" s="94" t="inlineStr">
        <is>
          <t>토너</t>
        </is>
      </c>
      <c r="F11087" s="94" t="inlineStr">
        <is>
          <t>W컨셉</t>
        </is>
      </c>
      <c r="G11087" s="94" t="inlineStr">
        <is>
          <t>250ml 2set</t>
        </is>
      </c>
      <c r="H11087" s="94" t="n">
        <v>200801</v>
      </c>
      <c r="I11087" s="94" t="n">
        <v>200801</v>
      </c>
      <c r="K11087" s="6" t="n">
        <v>3</v>
      </c>
      <c r="L11087" s="94" t="n">
        <v>200801</v>
      </c>
      <c r="M11087" s="94">
        <f>VLOOKUP($Q11087,매칭테이블!$F:$I,2,0)*K11087</f>
        <v/>
      </c>
      <c r="N11087" s="94">
        <f>M11087-M11087*VLOOKUP($Q11087,매칭테이블!$F:$I,3,0)</f>
        <v/>
      </c>
      <c r="O11087" s="94">
        <f>VLOOKUP($Q11087,매칭테이블!$F:$I,4,0)*K11087</f>
        <v/>
      </c>
      <c r="P11087" s="148">
        <f>M11087/1.1</f>
        <v/>
      </c>
      <c r="Q11087" s="94">
        <f>F11087&amp;E11087&amp;G11087&amp;L11087</f>
        <v/>
      </c>
    </row>
    <row r="11088" customFormat="1" s="94">
      <c r="B11088" s="128" t="n">
        <v>44153</v>
      </c>
      <c r="C11088" s="94">
        <f>TEXT(B11088,"aaa")</f>
        <v/>
      </c>
      <c r="E11088" s="94" t="inlineStr">
        <is>
          <t>카밍크림</t>
        </is>
      </c>
      <c r="F11088" s="94" t="inlineStr">
        <is>
          <t>글로우데이즈 시코르</t>
        </is>
      </c>
      <c r="G11088" s="94" t="inlineStr">
        <is>
          <t xml:space="preserve">	어성초 70 인텐스 카밍 크림 50ml</t>
        </is>
      </c>
      <c r="H11088" s="94" t="n">
        <v>200801</v>
      </c>
      <c r="I11088" s="94" t="n">
        <v>200801</v>
      </c>
      <c r="K11088" s="6" t="n">
        <v>3</v>
      </c>
      <c r="L11088" s="94" t="n">
        <v>200801</v>
      </c>
      <c r="M11088" s="94">
        <f>VLOOKUP($Q11088,매칭테이블!$F:$I,2,0)*K11088</f>
        <v/>
      </c>
      <c r="N11088" s="94">
        <f>M11088-M11088*VLOOKUP($Q11088,매칭테이블!$F:$I,3,0)</f>
        <v/>
      </c>
      <c r="O11088" s="94">
        <f>VLOOKUP($Q11088,매칭테이블!$F:$I,4,0)*K11088</f>
        <v/>
      </c>
      <c r="P11088" s="148">
        <f>M11088/1.1</f>
        <v/>
      </c>
      <c r="Q11088" s="94">
        <f>F11088&amp;E11088&amp;G11088&amp;L11088</f>
        <v/>
      </c>
    </row>
    <row r="11089" customFormat="1" s="94">
      <c r="B11089" s="128" t="n">
        <v>44153</v>
      </c>
      <c r="C11089" s="94">
        <f>TEXT(B11089,"aaa")</f>
        <v/>
      </c>
      <c r="E11089" s="94" t="inlineStr">
        <is>
          <t>마스크팩</t>
        </is>
      </c>
      <c r="F11089" s="94" t="inlineStr">
        <is>
          <t>글로우데이즈 시코르</t>
        </is>
      </c>
      <c r="G11089" s="94" t="inlineStr">
        <is>
          <t>마스크팩=마스크팩 10매</t>
        </is>
      </c>
      <c r="H11089" s="94" t="n">
        <v>200801</v>
      </c>
      <c r="I11089" s="94" t="n">
        <v>200801</v>
      </c>
      <c r="K11089" s="6" t="n">
        <v>3</v>
      </c>
      <c r="L11089" s="94" t="n">
        <v>200801</v>
      </c>
      <c r="M11089" s="94">
        <f>VLOOKUP($Q11089,매칭테이블!$F:$I,2,0)*K11089</f>
        <v/>
      </c>
      <c r="N11089" s="94">
        <f>M11089-M11089*VLOOKUP($Q11089,매칭테이블!$F:$I,3,0)</f>
        <v/>
      </c>
      <c r="O11089" s="94">
        <f>VLOOKUP($Q11089,매칭테이블!$F:$I,4,0)*K11089</f>
        <v/>
      </c>
      <c r="P11089" s="148">
        <f>M11089/1.1</f>
        <v/>
      </c>
      <c r="Q11089" s="94">
        <f>F11089&amp;E11089&amp;G11089&amp;L11089</f>
        <v/>
      </c>
    </row>
    <row r="11090" customFormat="1" s="94">
      <c r="B11090" s="128" t="n">
        <v>44153</v>
      </c>
      <c r="C11090" s="94">
        <f>TEXT(B11090,"aaa")</f>
        <v/>
      </c>
      <c r="E11090" s="94" t="inlineStr">
        <is>
          <t>토너</t>
        </is>
      </c>
      <c r="F11090" s="94" t="inlineStr">
        <is>
          <t>스타일쉐어</t>
        </is>
      </c>
      <c r="G11090" s="94" t="inlineStr">
        <is>
          <t>250ml</t>
        </is>
      </c>
      <c r="H11090" s="94" t="n">
        <v>200801</v>
      </c>
      <c r="I11090" s="94" t="n">
        <v>200801</v>
      </c>
      <c r="K11090" s="6" t="n">
        <v>1</v>
      </c>
      <c r="L11090" s="94" t="n">
        <v>200801</v>
      </c>
      <c r="M11090" s="94">
        <f>VLOOKUP($Q11090,매칭테이블!$F:$I,2,0)*K11090</f>
        <v/>
      </c>
      <c r="N11090" s="94">
        <f>M11090-M11090*VLOOKUP($Q11090,매칭테이블!$F:$I,3,0)</f>
        <v/>
      </c>
      <c r="O11090" s="94">
        <f>VLOOKUP($Q11090,매칭테이블!$F:$I,4,0)*K11090</f>
        <v/>
      </c>
      <c r="P11090" s="148">
        <f>M11090/1.1</f>
        <v/>
      </c>
      <c r="Q11090" s="94">
        <f>F11090&amp;E11090&amp;G11090&amp;L11090</f>
        <v/>
      </c>
    </row>
    <row r="11091" customFormat="1" s="94">
      <c r="B11091" s="128" t="n">
        <v>44153</v>
      </c>
      <c r="C11091" s="94">
        <f>TEXT(B11091,"aaa")</f>
        <v/>
      </c>
      <c r="E11091" s="94" t="inlineStr">
        <is>
          <t>토너</t>
        </is>
      </c>
      <c r="F11091" s="94" t="inlineStr">
        <is>
          <t>아누아 CS</t>
        </is>
      </c>
      <c r="G11091" s="94" t="inlineStr">
        <is>
          <t>250ml</t>
        </is>
      </c>
      <c r="H11091" s="94" t="n">
        <v>200801</v>
      </c>
      <c r="I11091" s="94" t="n">
        <v>200801</v>
      </c>
      <c r="K11091" s="6" t="n">
        <v>3</v>
      </c>
      <c r="L11091" s="94" t="n">
        <v>200801</v>
      </c>
      <c r="M11091" s="94">
        <f>VLOOKUP($Q11091,매칭테이블!$F:$I,2,0)*K11091</f>
        <v/>
      </c>
      <c r="N11091" s="94">
        <f>M11091-M11091*VLOOKUP($Q11091,매칭테이블!$F:$I,3,0)</f>
        <v/>
      </c>
      <c r="O11091" s="94">
        <f>VLOOKUP($Q11091,매칭테이블!$F:$I,4,0)*K11091</f>
        <v/>
      </c>
      <c r="P11091" s="148">
        <f>M11091/1.1</f>
        <v/>
      </c>
      <c r="Q11091" s="94">
        <f>F11091&amp;E11091&amp;G11091&amp;L11091</f>
        <v/>
      </c>
    </row>
    <row r="11092" customFormat="1" s="94">
      <c r="B11092" s="128" t="n">
        <v>44153</v>
      </c>
      <c r="C11092" s="94">
        <f>TEXT(B11092,"aaa")</f>
        <v/>
      </c>
      <c r="E11092" s="94" t="inlineStr">
        <is>
          <t>카밍크림</t>
        </is>
      </c>
      <c r="F11092" s="94" t="inlineStr">
        <is>
          <t>아누아 CS</t>
        </is>
      </c>
      <c r="G11092" s="94" t="inlineStr">
        <is>
          <t xml:space="preserve">	어성초 70 인텐스 카밍 크림 50ml</t>
        </is>
      </c>
      <c r="H11092" s="94" t="n">
        <v>200801</v>
      </c>
      <c r="I11092" s="94" t="n">
        <v>200801</v>
      </c>
      <c r="K11092" s="6" t="n">
        <v>3</v>
      </c>
      <c r="L11092" s="94" t="n">
        <v>200801</v>
      </c>
      <c r="M11092" s="94">
        <f>VLOOKUP($Q11092,매칭테이블!$F:$I,2,0)*K11092</f>
        <v/>
      </c>
      <c r="N11092" s="94">
        <f>M11092-M11092*VLOOKUP($Q11092,매칭테이블!$F:$I,3,0)</f>
        <v/>
      </c>
      <c r="O11092" s="94">
        <f>VLOOKUP($Q11092,매칭테이블!$F:$I,4,0)*K11092</f>
        <v/>
      </c>
      <c r="P11092" s="148">
        <f>M11092/1.1</f>
        <v/>
      </c>
      <c r="Q11092" s="94">
        <f>F11092&amp;E11092&amp;G11092&amp;L11092</f>
        <v/>
      </c>
    </row>
    <row r="11093" customFormat="1" s="94">
      <c r="B11093" s="128" t="n">
        <v>44153</v>
      </c>
      <c r="C11093" s="94">
        <f>TEXT(B11093,"aaa")</f>
        <v/>
      </c>
      <c r="E11093" s="94" t="inlineStr">
        <is>
          <t>화장솜</t>
        </is>
      </c>
      <c r="F11093" s="94" t="inlineStr">
        <is>
          <t>아누아 CS</t>
        </is>
      </c>
      <c r="G11093" s="94" t="inlineStr">
        <is>
          <t>스킨팩 화장솜 60P</t>
        </is>
      </c>
      <c r="H11093" s="94" t="n">
        <v>200801</v>
      </c>
      <c r="I11093" s="94" t="n">
        <v>200801</v>
      </c>
      <c r="K11093" s="6" t="n">
        <v>3</v>
      </c>
      <c r="L11093" s="94" t="n">
        <v>200801</v>
      </c>
      <c r="M11093" s="94">
        <f>VLOOKUP($Q11093,매칭테이블!$F:$I,2,0)*K11093</f>
        <v/>
      </c>
      <c r="N11093" s="94">
        <f>M11093-M11093*VLOOKUP($Q11093,매칭테이블!$F:$I,3,0)</f>
        <v/>
      </c>
      <c r="O11093" s="94">
        <f>VLOOKUP($Q11093,매칭테이블!$F:$I,4,0)*K11093</f>
        <v/>
      </c>
      <c r="P11093" s="148">
        <f>M11093/1.1</f>
        <v/>
      </c>
      <c r="Q11093" s="94">
        <f>F11093&amp;E11093&amp;G11093&amp;L11093</f>
        <v/>
      </c>
    </row>
    <row r="11094" customFormat="1" s="94">
      <c r="B11094" s="128" t="n">
        <v>44153</v>
      </c>
      <c r="C11094" s="94">
        <f>TEXT(B11094,"aaa")</f>
        <v/>
      </c>
      <c r="E11094" s="94" t="inlineStr">
        <is>
          <t>앰플</t>
        </is>
      </c>
      <c r="F11094" s="94" t="inlineStr">
        <is>
          <t>아누아 CS</t>
        </is>
      </c>
      <c r="G11094" s="94" t="inlineStr">
        <is>
          <t>앰플 30ml</t>
        </is>
      </c>
      <c r="H11094" s="94" t="n">
        <v>200801</v>
      </c>
      <c r="I11094" s="94" t="n">
        <v>200801</v>
      </c>
      <c r="K11094" s="6" t="n">
        <v>3</v>
      </c>
      <c r="L11094" s="94" t="n">
        <v>200801</v>
      </c>
      <c r="M11094" s="94">
        <f>VLOOKUP($Q11094,매칭테이블!$F:$I,2,0)*K11094</f>
        <v/>
      </c>
      <c r="N11094" s="94">
        <f>M11094-M11094*VLOOKUP($Q11094,매칭테이블!$F:$I,3,0)</f>
        <v/>
      </c>
      <c r="O11094" s="94">
        <f>VLOOKUP($Q11094,매칭테이블!$F:$I,4,0)*K11094</f>
        <v/>
      </c>
      <c r="P11094" s="148">
        <f>M11094/1.1</f>
        <v/>
      </c>
      <c r="Q11094" s="94">
        <f>F11094&amp;E11094&amp;G11094&amp;L11094</f>
        <v/>
      </c>
    </row>
    <row r="11095" customFormat="1" s="94">
      <c r="B11095" s="128" t="n">
        <v>44153</v>
      </c>
      <c r="C11095" s="94">
        <f>TEXT(B11095,"aaa")</f>
        <v/>
      </c>
      <c r="E11095" s="94" t="inlineStr">
        <is>
          <t>선크림</t>
        </is>
      </c>
      <c r="F11095" s="94" t="inlineStr">
        <is>
          <t>카페24</t>
        </is>
      </c>
      <c r="G11095" s="94" t="inlineStr">
        <is>
          <t>선크림 50ml</t>
        </is>
      </c>
      <c r="H11095" s="94" t="n">
        <v>200801</v>
      </c>
      <c r="I11095" s="94" t="n">
        <v>200801</v>
      </c>
      <c r="K11095" s="6" t="n">
        <v>4</v>
      </c>
      <c r="L11095" s="94" t="n">
        <v>200801</v>
      </c>
      <c r="M11095" s="94">
        <f>VLOOKUP($Q11095,매칭테이블!$F:$I,2,0)*K11095</f>
        <v/>
      </c>
      <c r="N11095" s="94">
        <f>M11095-M11095*VLOOKUP($Q11095,매칭테이블!$F:$I,3,0)</f>
        <v/>
      </c>
      <c r="O11095" s="94">
        <f>VLOOKUP($Q11095,매칭테이블!$F:$I,4,0)*K11095</f>
        <v/>
      </c>
      <c r="P11095" s="148">
        <f>M11095/1.1</f>
        <v/>
      </c>
      <c r="Q11095" s="94">
        <f>F11095&amp;E11095&amp;G11095&amp;L11095</f>
        <v/>
      </c>
    </row>
    <row r="11096" customFormat="1" s="94">
      <c r="B11096" s="128" t="n">
        <v>44153</v>
      </c>
      <c r="C11096" s="94">
        <f>TEXT(B11096,"aaa")</f>
        <v/>
      </c>
      <c r="E11096" s="94" t="inlineStr">
        <is>
          <t>카밍크림</t>
        </is>
      </c>
      <c r="F11096" s="94" t="inlineStr">
        <is>
          <t>카페24</t>
        </is>
      </c>
      <c r="G11096" s="94" t="inlineStr">
        <is>
          <t>[플친 단독 (11/16-11/20)] 크림(필수)=어성초 70 인텐스 카밍 크림 1개-20% off</t>
        </is>
      </c>
      <c r="H11096" s="94" t="n">
        <v>200801</v>
      </c>
      <c r="I11096" s="94" t="n">
        <v>200801</v>
      </c>
      <c r="K11096" s="6" t="n">
        <v>2</v>
      </c>
      <c r="L11096" s="94" t="n">
        <v>200801</v>
      </c>
      <c r="M11096" s="94">
        <f>VLOOKUP($Q11096,매칭테이블!$F:$I,2,0)*K11096</f>
        <v/>
      </c>
      <c r="N11096" s="94">
        <f>M11096-M11096*VLOOKUP($Q11096,매칭테이블!$F:$I,3,0)</f>
        <v/>
      </c>
      <c r="O11096" s="94">
        <f>VLOOKUP($Q11096,매칭테이블!$F:$I,4,0)*K11096</f>
        <v/>
      </c>
      <c r="P11096" s="148">
        <f>M11096/1.1</f>
        <v/>
      </c>
      <c r="Q11096" s="94">
        <f>F11096&amp;E11096&amp;G11096&amp;L11096</f>
        <v/>
      </c>
    </row>
    <row r="11097" customFormat="1" s="94">
      <c r="B11097" s="128" t="n">
        <v>44153</v>
      </c>
      <c r="C11097" s="94">
        <f>TEXT(B11097,"aaa")</f>
        <v/>
      </c>
      <c r="E11097" s="94" t="inlineStr">
        <is>
          <t>크림마스크</t>
        </is>
      </c>
      <c r="F11097" s="94" t="inlineStr">
        <is>
          <t>카페24</t>
        </is>
      </c>
      <c r="G11097" s="94" t="inlineStr">
        <is>
          <t>[플친 단독 (11/16-11/20)] 크림마스크팩(선택)=크림마스크팩 1장-50% off</t>
        </is>
      </c>
      <c r="H11097" s="94" t="n">
        <v>200801</v>
      </c>
      <c r="I11097" s="94" t="n">
        <v>200801</v>
      </c>
      <c r="K11097" s="6" t="n">
        <v>16</v>
      </c>
      <c r="L11097" s="94" t="n">
        <v>200801</v>
      </c>
      <c r="M11097" s="94">
        <f>VLOOKUP($Q11097,매칭테이블!$F:$I,2,0)*K11097</f>
        <v/>
      </c>
      <c r="N11097" s="94">
        <f>M11097-M11097*VLOOKUP($Q11097,매칭테이블!$F:$I,3,0)</f>
        <v/>
      </c>
      <c r="O11097" s="94">
        <f>VLOOKUP($Q11097,매칭테이블!$F:$I,4,0)*K11097</f>
        <v/>
      </c>
      <c r="P11097" s="148">
        <f>M11097/1.1</f>
        <v/>
      </c>
      <c r="Q11097" s="94">
        <f>F11097&amp;E11097&amp;G11097&amp;L11097</f>
        <v/>
      </c>
    </row>
    <row r="11098" customFormat="1" s="94">
      <c r="B11098" s="128" t="n">
        <v>44153</v>
      </c>
      <c r="C11098" s="94">
        <f>TEXT(B11098,"aaa")</f>
        <v/>
      </c>
      <c r="E11098" s="94" t="inlineStr">
        <is>
          <t>어성초진정패키지</t>
        </is>
      </c>
      <c r="F11098" s="94" t="inlineStr">
        <is>
          <t>카페24</t>
        </is>
      </c>
      <c r="G11098" s="94" t="inlineStr">
        <is>
          <t>어성초 진정패키지세트</t>
        </is>
      </c>
      <c r="H11098" s="94" t="n">
        <v>200801</v>
      </c>
      <c r="I11098" s="94" t="n">
        <v>200801</v>
      </c>
      <c r="K11098" s="6" t="n">
        <v>7</v>
      </c>
      <c r="L11098" s="94" t="n">
        <v>200801</v>
      </c>
      <c r="M11098" s="94">
        <f>VLOOKUP($Q11098,매칭테이블!$F:$I,2,0)*K11098</f>
        <v/>
      </c>
      <c r="N11098" s="94">
        <f>M11098-M11098*VLOOKUP($Q11098,매칭테이블!$F:$I,3,0)</f>
        <v/>
      </c>
      <c r="O11098" s="94">
        <f>VLOOKUP($Q11098,매칭테이블!$F:$I,4,0)*K11098</f>
        <v/>
      </c>
      <c r="P11098" s="148">
        <f>M11098/1.1</f>
        <v/>
      </c>
      <c r="Q11098" s="94">
        <f>F11098&amp;E11098&amp;G11098&amp;L11098</f>
        <v/>
      </c>
    </row>
    <row r="11099" customFormat="1" s="94">
      <c r="B11099" s="128" t="n">
        <v>44153</v>
      </c>
      <c r="C11099" s="94">
        <f>TEXT(B11099,"aaa")</f>
        <v/>
      </c>
      <c r="E11099" s="94" t="inlineStr">
        <is>
          <t>클리어 패드</t>
        </is>
      </c>
      <c r="F11099" s="94" t="inlineStr">
        <is>
          <t>카페24</t>
        </is>
      </c>
      <c r="G11099" s="94" t="inlineStr">
        <is>
          <t>어성초 77 클리어 패드 1개-20% off</t>
        </is>
      </c>
      <c r="H11099" s="94" t="n">
        <v>200801</v>
      </c>
      <c r="I11099" s="94" t="n">
        <v>200801</v>
      </c>
      <c r="K11099" s="6" t="n">
        <v>89</v>
      </c>
      <c r="L11099" s="94" t="n">
        <v>200801</v>
      </c>
      <c r="M11099" s="94">
        <f>VLOOKUP($Q11099,매칭테이블!$F:$I,2,0)*K11099</f>
        <v/>
      </c>
      <c r="N11099" s="94">
        <f>M11099-M11099*VLOOKUP($Q11099,매칭테이블!$F:$I,3,0)</f>
        <v/>
      </c>
      <c r="O11099" s="94">
        <f>VLOOKUP($Q11099,매칭테이블!$F:$I,4,0)*K11099</f>
        <v/>
      </c>
      <c r="P11099" s="148">
        <f>M11099/1.1</f>
        <v/>
      </c>
      <c r="Q11099" s="94">
        <f>F11099&amp;E11099&amp;G11099&amp;L11099</f>
        <v/>
      </c>
    </row>
    <row r="11100" customFormat="1" s="94">
      <c r="B11100" s="128" t="n">
        <v>44153</v>
      </c>
      <c r="C11100" s="94">
        <f>TEXT(B11100,"aaa")</f>
        <v/>
      </c>
      <c r="E11100" s="94" t="inlineStr">
        <is>
          <t>클리어 패드</t>
        </is>
      </c>
      <c r="F11100" s="94" t="inlineStr">
        <is>
          <t>카페24</t>
        </is>
      </c>
      <c r="G11100" s="94" t="inlineStr">
        <is>
          <t>어성초 77 클리어 패드 2개-30% off</t>
        </is>
      </c>
      <c r="H11100" s="94" t="n">
        <v>200801</v>
      </c>
      <c r="I11100" s="94" t="n">
        <v>200801</v>
      </c>
      <c r="K11100" s="6" t="n">
        <v>122</v>
      </c>
      <c r="L11100" s="94" t="n">
        <v>200801</v>
      </c>
      <c r="M11100" s="94">
        <f>VLOOKUP($Q11100,매칭테이블!$F:$I,2,0)*K11100</f>
        <v/>
      </c>
      <c r="N11100" s="94">
        <f>M11100-M11100*VLOOKUP($Q11100,매칭테이블!$F:$I,3,0)</f>
        <v/>
      </c>
      <c r="O11100" s="94">
        <f>VLOOKUP($Q11100,매칭테이블!$F:$I,4,0)*K11100</f>
        <v/>
      </c>
      <c r="P11100" s="148">
        <f>M11100/1.1</f>
        <v/>
      </c>
      <c r="Q11100" s="94">
        <f>F11100&amp;E11100&amp;G11100&amp;L11100</f>
        <v/>
      </c>
    </row>
    <row r="11101" customFormat="1" s="94">
      <c r="B11101" s="128" t="n">
        <v>44153</v>
      </c>
      <c r="C11101" s="94">
        <f>TEXT(B11101,"aaa")</f>
        <v/>
      </c>
      <c r="E11101" s="94" t="inlineStr">
        <is>
          <t>토너+패드 세트</t>
        </is>
      </c>
      <c r="F11101" s="94" t="inlineStr">
        <is>
          <t>카페24</t>
        </is>
      </c>
      <c r="G11101" s="94" t="inlineStr">
        <is>
          <t>좁쌀 진정 세트 토너+클리어 패드-30% off</t>
        </is>
      </c>
      <c r="H11101" s="94" t="n">
        <v>200801</v>
      </c>
      <c r="I11101" s="94" t="n">
        <v>200801</v>
      </c>
      <c r="K11101" s="6" t="n">
        <v>79</v>
      </c>
      <c r="L11101" s="94" t="n">
        <v>200801</v>
      </c>
      <c r="M11101" s="94">
        <f>VLOOKUP($Q11101,매칭테이블!$F:$I,2,0)*K11101</f>
        <v/>
      </c>
      <c r="N11101" s="94">
        <f>M11101-M11101*VLOOKUP($Q11101,매칭테이블!$F:$I,3,0)</f>
        <v/>
      </c>
      <c r="O11101" s="94">
        <f>VLOOKUP($Q11101,매칭테이블!$F:$I,4,0)*K11101</f>
        <v/>
      </c>
      <c r="P11101" s="148">
        <f>M11101/1.1</f>
        <v/>
      </c>
      <c r="Q11101" s="94">
        <f>F11101&amp;E11101&amp;G11101&amp;L11101</f>
        <v/>
      </c>
    </row>
    <row r="11102" customFormat="1" s="94">
      <c r="B11102" s="128" t="n">
        <v>44153</v>
      </c>
      <c r="C11102" s="94">
        <f>TEXT(B11102,"aaa")</f>
        <v/>
      </c>
      <c r="E11102" s="94" t="inlineStr">
        <is>
          <t>수분 보충 세트</t>
        </is>
      </c>
      <c r="F11102" s="94" t="inlineStr">
        <is>
          <t>카페24</t>
        </is>
      </c>
      <c r="G11102" s="94" t="inlineStr">
        <is>
          <t>[20/09/28 부터] 어성초 77 토너 250ml + 어성초 70 로션 200ml -30%</t>
        </is>
      </c>
      <c r="H11102" s="94" t="n">
        <v>200801</v>
      </c>
      <c r="I11102" s="94" t="n">
        <v>200801</v>
      </c>
      <c r="K11102" s="6" t="n">
        <v>26</v>
      </c>
      <c r="L11102" s="94" t="n">
        <v>200801</v>
      </c>
      <c r="M11102" s="94">
        <f>VLOOKUP($Q11102,매칭테이블!$F:$I,2,0)*K11102</f>
        <v/>
      </c>
      <c r="N11102" s="94">
        <f>M11102-M11102*VLOOKUP($Q11102,매칭테이블!$F:$I,3,0)</f>
        <v/>
      </c>
      <c r="O11102" s="94">
        <f>VLOOKUP($Q11102,매칭테이블!$F:$I,4,0)*K11102</f>
        <v/>
      </c>
      <c r="P11102" s="148">
        <f>M11102/1.1</f>
        <v/>
      </c>
      <c r="Q11102" s="94">
        <f>F11102&amp;E11102&amp;G11102&amp;L11102</f>
        <v/>
      </c>
    </row>
    <row r="11103" customFormat="1" s="94">
      <c r="B11103" s="128" t="n">
        <v>44153</v>
      </c>
      <c r="C11103" s="94">
        <f>TEXT(B11103,"aaa")</f>
        <v/>
      </c>
      <c r="E11103" s="94" t="inlineStr">
        <is>
          <t>로션</t>
        </is>
      </c>
      <c r="F11103" s="94" t="inlineStr">
        <is>
          <t>카페24</t>
        </is>
      </c>
      <c r="G11103" s="94" t="inlineStr">
        <is>
          <t>어성초 70 데일리 릴리프 로션 1개 -20% off</t>
        </is>
      </c>
      <c r="H11103" s="94" t="n">
        <v>200801</v>
      </c>
      <c r="I11103" s="94" t="n">
        <v>200801</v>
      </c>
      <c r="K11103" s="6" t="n">
        <v>12</v>
      </c>
      <c r="L11103" s="94" t="n">
        <v>200801</v>
      </c>
      <c r="M11103" s="94">
        <f>VLOOKUP($Q11103,매칭테이블!$F:$I,2,0)*K11103</f>
        <v/>
      </c>
      <c r="N11103" s="94">
        <f>M11103-M11103*VLOOKUP($Q11103,매칭테이블!$F:$I,3,0)</f>
        <v/>
      </c>
      <c r="O11103" s="94">
        <f>VLOOKUP($Q11103,매칭테이블!$F:$I,4,0)*K11103</f>
        <v/>
      </c>
      <c r="P11103" s="148">
        <f>M11103/1.1</f>
        <v/>
      </c>
      <c r="Q11103" s="94">
        <f>F11103&amp;E11103&amp;G11103&amp;L11103</f>
        <v/>
      </c>
    </row>
    <row r="11104" customFormat="1" s="94">
      <c r="B11104" s="128" t="n">
        <v>44153</v>
      </c>
      <c r="C11104" s="94">
        <f>TEXT(B11104,"aaa")</f>
        <v/>
      </c>
      <c r="E11104" s="94" t="inlineStr">
        <is>
          <t>로션</t>
        </is>
      </c>
      <c r="F11104" s="94" t="inlineStr">
        <is>
          <t>카페24</t>
        </is>
      </c>
      <c r="G11104" s="94" t="inlineStr">
        <is>
          <t>어성초 70 데일리 릴리프 로션 2개 -30% off</t>
        </is>
      </c>
      <c r="H11104" s="94" t="n">
        <v>200801</v>
      </c>
      <c r="I11104" s="94" t="n">
        <v>200801</v>
      </c>
      <c r="K11104" s="6" t="n">
        <v>1</v>
      </c>
      <c r="L11104" s="94" t="n">
        <v>200801</v>
      </c>
      <c r="M11104" s="94">
        <f>VLOOKUP($Q11104,매칭테이블!$F:$I,2,0)*K11104</f>
        <v/>
      </c>
      <c r="N11104" s="94">
        <f>M11104-M11104*VLOOKUP($Q11104,매칭테이블!$F:$I,3,0)</f>
        <v/>
      </c>
      <c r="O11104" s="94">
        <f>VLOOKUP($Q11104,매칭테이블!$F:$I,4,0)*K11104</f>
        <v/>
      </c>
      <c r="P11104" s="148">
        <f>M11104/1.1</f>
        <v/>
      </c>
      <c r="Q11104" s="94">
        <f>F11104&amp;E11104&amp;G11104&amp;L11104</f>
        <v/>
      </c>
    </row>
    <row r="11105" customFormat="1" s="94">
      <c r="B11105" s="128" t="n">
        <v>44153</v>
      </c>
      <c r="C11105" s="94">
        <f>TEXT(B11105,"aaa")</f>
        <v/>
      </c>
      <c r="E11105" s="94" t="inlineStr">
        <is>
          <t>머드크림마스크</t>
        </is>
      </c>
      <c r="F11105" s="94" t="inlineStr">
        <is>
          <t>카페24</t>
        </is>
      </c>
      <c r="G11105" s="94" t="inlineStr">
        <is>
          <t>머드크림마스크 100ml</t>
        </is>
      </c>
      <c r="H11105" s="94" t="n">
        <v>200801</v>
      </c>
      <c r="I11105" s="94" t="n">
        <v>200801</v>
      </c>
      <c r="K11105" s="6" t="n">
        <v>10</v>
      </c>
      <c r="L11105" s="94" t="n">
        <v>200801</v>
      </c>
      <c r="M11105" s="94">
        <f>VLOOKUP($Q11105,매칭테이블!$F:$I,2,0)*K11105</f>
        <v/>
      </c>
      <c r="N11105" s="94">
        <f>M11105-M11105*VLOOKUP($Q11105,매칭테이블!$F:$I,3,0)</f>
        <v/>
      </c>
      <c r="O11105" s="94">
        <f>VLOOKUP($Q11105,매칭테이블!$F:$I,4,0)*K11105</f>
        <v/>
      </c>
      <c r="P11105" s="148">
        <f>M11105/1.1</f>
        <v/>
      </c>
      <c r="Q11105" s="94">
        <f>F11105&amp;E11105&amp;G11105&amp;L11105</f>
        <v/>
      </c>
    </row>
    <row r="11106" customFormat="1" s="94">
      <c r="B11106" s="128" t="n">
        <v>44153</v>
      </c>
      <c r="C11106" s="94">
        <f>TEXT(B11106,"aaa")</f>
        <v/>
      </c>
      <c r="E11106" s="94" t="inlineStr">
        <is>
          <t>마스크팩</t>
        </is>
      </c>
      <c r="F11106" s="94" t="inlineStr">
        <is>
          <t>카페24</t>
        </is>
      </c>
      <c r="G11106" s="94" t="inlineStr">
        <is>
          <t>마스크팩 1매</t>
        </is>
      </c>
      <c r="H11106" s="94" t="n">
        <v>200801</v>
      </c>
      <c r="I11106" s="94" t="n">
        <v>200801</v>
      </c>
      <c r="K11106" s="6" t="n">
        <v>7</v>
      </c>
      <c r="L11106" s="94" t="n">
        <v>200801</v>
      </c>
      <c r="M11106" s="94">
        <f>VLOOKUP($Q11106,매칭테이블!$F:$I,2,0)*K11106</f>
        <v/>
      </c>
      <c r="N11106" s="94">
        <f>M11106-M11106*VLOOKUP($Q11106,매칭테이블!$F:$I,3,0)</f>
        <v/>
      </c>
      <c r="O11106" s="94">
        <f>VLOOKUP($Q11106,매칭테이블!$F:$I,4,0)*K11106</f>
        <v/>
      </c>
      <c r="P11106" s="148">
        <f>M11106/1.1</f>
        <v/>
      </c>
      <c r="Q11106" s="94">
        <f>F11106&amp;E11106&amp;G11106&amp;L11106</f>
        <v/>
      </c>
    </row>
    <row r="11107" customFormat="1" s="94">
      <c r="B11107" s="128" t="n">
        <v>44153</v>
      </c>
      <c r="C11107" s="94">
        <f>TEXT(B11107,"aaa")</f>
        <v/>
      </c>
      <c r="E11107" s="94" t="inlineStr">
        <is>
          <t>마스크팩</t>
        </is>
      </c>
      <c r="F11107" s="94" t="inlineStr">
        <is>
          <t>카페24</t>
        </is>
      </c>
      <c r="G11107" s="94" t="inlineStr">
        <is>
          <t>마스크팩 10매</t>
        </is>
      </c>
      <c r="H11107" s="94" t="n">
        <v>200801</v>
      </c>
      <c r="I11107" s="94" t="n">
        <v>200801</v>
      </c>
      <c r="K11107" s="6" t="n">
        <v>11</v>
      </c>
      <c r="L11107" s="94" t="n">
        <v>200801</v>
      </c>
      <c r="M11107" s="94">
        <f>VLOOKUP($Q11107,매칭테이블!$F:$I,2,0)*K11107</f>
        <v/>
      </c>
      <c r="N11107" s="94">
        <f>M11107-M11107*VLOOKUP($Q11107,매칭테이블!$F:$I,3,0)</f>
        <v/>
      </c>
      <c r="O11107" s="94">
        <f>VLOOKUP($Q11107,매칭테이블!$F:$I,4,0)*K11107</f>
        <v/>
      </c>
      <c r="P11107" s="148">
        <f>M11107/1.1</f>
        <v/>
      </c>
      <c r="Q11107" s="94">
        <f>F11107&amp;E11107&amp;G11107&amp;L11107</f>
        <v/>
      </c>
    </row>
    <row r="11108" customFormat="1" s="94">
      <c r="B11108" s="128" t="n">
        <v>44153</v>
      </c>
      <c r="C11108" s="94">
        <f>TEXT(B11108,"aaa")</f>
        <v/>
      </c>
      <c r="E11108" s="94" t="inlineStr">
        <is>
          <t>토너</t>
        </is>
      </c>
      <c r="F11108" s="94" t="inlineStr">
        <is>
          <t>카페24</t>
        </is>
      </c>
      <c r="G11108" s="94" t="inlineStr">
        <is>
          <t>250ml</t>
        </is>
      </c>
      <c r="H11108" s="94" t="n">
        <v>200801</v>
      </c>
      <c r="I11108" s="94" t="n">
        <v>200801</v>
      </c>
      <c r="K11108" s="6" t="n">
        <v>65</v>
      </c>
      <c r="L11108" s="94" t="n">
        <v>200801</v>
      </c>
      <c r="M11108" s="94">
        <f>VLOOKUP($Q11108,매칭테이블!$F:$I,2,0)*K11108</f>
        <v/>
      </c>
      <c r="N11108" s="94">
        <f>M11108-M11108*VLOOKUP($Q11108,매칭테이블!$F:$I,3,0)</f>
        <v/>
      </c>
      <c r="O11108" s="94">
        <f>VLOOKUP($Q11108,매칭테이블!$F:$I,4,0)*K11108</f>
        <v/>
      </c>
      <c r="P11108" s="148">
        <f>M11108/1.1</f>
        <v/>
      </c>
      <c r="Q11108" s="94">
        <f>F11108&amp;E11108&amp;G11108&amp;L11108</f>
        <v/>
      </c>
    </row>
    <row r="11109" customFormat="1" s="94">
      <c r="B11109" s="128" t="n">
        <v>44153</v>
      </c>
      <c r="C11109" s="94">
        <f>TEXT(B11109,"aaa")</f>
        <v/>
      </c>
      <c r="E11109" s="94" t="inlineStr">
        <is>
          <t>토너</t>
        </is>
      </c>
      <c r="F11109" s="94" t="inlineStr">
        <is>
          <t>카페24</t>
        </is>
      </c>
      <c r="G11109" s="94" t="inlineStr">
        <is>
          <t>250ml 2set</t>
        </is>
      </c>
      <c r="H11109" s="94" t="n">
        <v>200801</v>
      </c>
      <c r="I11109" s="94" t="n">
        <v>200801</v>
      </c>
      <c r="K11109" s="6" t="n">
        <v>37</v>
      </c>
      <c r="L11109" s="94" t="n">
        <v>200801</v>
      </c>
      <c r="M11109" s="94">
        <f>VLOOKUP($Q11109,매칭테이블!$F:$I,2,0)*K11109</f>
        <v/>
      </c>
      <c r="N11109" s="94">
        <f>M11109-M11109*VLOOKUP($Q11109,매칭테이블!$F:$I,3,0)</f>
        <v/>
      </c>
      <c r="O11109" s="94">
        <f>VLOOKUP($Q11109,매칭테이블!$F:$I,4,0)*K11109</f>
        <v/>
      </c>
      <c r="P11109" s="148">
        <f>M11109/1.1</f>
        <v/>
      </c>
      <c r="Q11109" s="94">
        <f>F11109&amp;E11109&amp;G11109&amp;L11109</f>
        <v/>
      </c>
    </row>
    <row r="11110" customFormat="1" s="94">
      <c r="B11110" s="128" t="n">
        <v>44153</v>
      </c>
      <c r="C11110" s="94">
        <f>TEXT(B11110,"aaa")</f>
        <v/>
      </c>
      <c r="E11110" s="94" t="inlineStr">
        <is>
          <t>토너</t>
        </is>
      </c>
      <c r="F11110" s="94" t="inlineStr">
        <is>
          <t>카페24</t>
        </is>
      </c>
      <c r="G11110" s="94" t="inlineStr">
        <is>
          <t>500ml</t>
        </is>
      </c>
      <c r="H11110" s="94" t="n">
        <v>200801</v>
      </c>
      <c r="I11110" s="94" t="n">
        <v>200801</v>
      </c>
      <c r="K11110" s="6" t="n">
        <v>56</v>
      </c>
      <c r="L11110" s="94" t="n">
        <v>200801</v>
      </c>
      <c r="M11110" s="94">
        <f>VLOOKUP($Q11110,매칭테이블!$F:$I,2,0)*K11110</f>
        <v/>
      </c>
      <c r="N11110" s="94">
        <f>M11110-M11110*VLOOKUP($Q11110,매칭테이블!$F:$I,3,0)</f>
        <v/>
      </c>
      <c r="O11110" s="94">
        <f>VLOOKUP($Q11110,매칭테이블!$F:$I,4,0)*K11110</f>
        <v/>
      </c>
      <c r="P11110" s="148">
        <f>M11110/1.1</f>
        <v/>
      </c>
      <c r="Q11110" s="94">
        <f>F11110&amp;E11110&amp;G11110&amp;L11110</f>
        <v/>
      </c>
    </row>
    <row r="11111" customFormat="1" s="94">
      <c r="B11111" s="128" t="n">
        <v>44153</v>
      </c>
      <c r="C11111" s="94">
        <f>TEXT(B11111,"aaa")</f>
        <v/>
      </c>
      <c r="E11111" s="94" t="inlineStr">
        <is>
          <t>토너</t>
        </is>
      </c>
      <c r="F11111" s="94" t="inlineStr">
        <is>
          <t>카페24</t>
        </is>
      </c>
      <c r="G11111" s="94" t="inlineStr">
        <is>
          <t>스킨팩 화장솜 60P</t>
        </is>
      </c>
      <c r="H11111" s="94" t="n">
        <v>200801</v>
      </c>
      <c r="I11111" s="94" t="n">
        <v>200801</v>
      </c>
      <c r="K11111" s="6" t="n">
        <v>73</v>
      </c>
      <c r="L11111" s="94" t="n">
        <v>200801</v>
      </c>
      <c r="M11111" s="94">
        <f>VLOOKUP($Q11111,매칭테이블!$F:$I,2,0)*K11111</f>
        <v/>
      </c>
      <c r="N11111" s="94">
        <f>M11111-M11111*VLOOKUP($Q11111,매칭테이블!$F:$I,3,0)</f>
        <v/>
      </c>
      <c r="O11111" s="94">
        <f>VLOOKUP($Q11111,매칭테이블!$F:$I,4,0)*K11111</f>
        <v/>
      </c>
      <c r="P11111" s="148">
        <f>M11111/1.1</f>
        <v/>
      </c>
      <c r="Q11111" s="94">
        <f>F11111&amp;E11111&amp;G11111&amp;L11111</f>
        <v/>
      </c>
    </row>
    <row r="11112" customFormat="1" s="94">
      <c r="B11112" s="128" t="n">
        <v>44153</v>
      </c>
      <c r="C11112" s="94">
        <f>TEXT(B11112,"aaa")</f>
        <v/>
      </c>
      <c r="E11112" s="94" t="inlineStr">
        <is>
          <t>앰플</t>
        </is>
      </c>
      <c r="F11112" s="94" t="inlineStr">
        <is>
          <t>카페24</t>
        </is>
      </c>
      <c r="G11112" s="94" t="inlineStr">
        <is>
          <t>앰플 30ml</t>
        </is>
      </c>
      <c r="H11112" s="94" t="n">
        <v>200801</v>
      </c>
      <c r="I11112" s="94" t="n">
        <v>200801</v>
      </c>
      <c r="K11112" s="6" t="n">
        <v>32</v>
      </c>
      <c r="L11112" s="94" t="n">
        <v>200801</v>
      </c>
      <c r="M11112" s="94">
        <f>VLOOKUP($Q11112,매칭테이블!$F:$I,2,0)*K11112</f>
        <v/>
      </c>
      <c r="N11112" s="94">
        <f>M11112-M11112*VLOOKUP($Q11112,매칭테이블!$F:$I,3,0)</f>
        <v/>
      </c>
      <c r="O11112" s="94">
        <f>VLOOKUP($Q11112,매칭테이블!$F:$I,4,0)*K11112</f>
        <v/>
      </c>
      <c r="P11112" s="148">
        <f>M11112/1.1</f>
        <v/>
      </c>
      <c r="Q11112" s="94">
        <f>F11112&amp;E11112&amp;G11112&amp;L11112</f>
        <v/>
      </c>
    </row>
    <row r="11113" customFormat="1" s="94">
      <c r="B11113" s="128" t="n">
        <v>44153</v>
      </c>
      <c r="C11113" s="94">
        <f>TEXT(B11113,"aaa")</f>
        <v/>
      </c>
      <c r="E11113" s="94" t="inlineStr">
        <is>
          <t>앰플</t>
        </is>
      </c>
      <c r="F11113" s="94" t="inlineStr">
        <is>
          <t>카페24</t>
        </is>
      </c>
      <c r="G11113" s="94" t="inlineStr">
        <is>
          <t>앰플 30ml  2set</t>
        </is>
      </c>
      <c r="H11113" s="94" t="n">
        <v>200801</v>
      </c>
      <c r="I11113" s="94" t="n">
        <v>200801</v>
      </c>
      <c r="K11113" s="6" t="n">
        <v>6</v>
      </c>
      <c r="L11113" s="94" t="n">
        <v>200801</v>
      </c>
      <c r="M11113" s="94">
        <f>VLOOKUP($Q11113,매칭테이블!$F:$I,2,0)*K11113</f>
        <v/>
      </c>
      <c r="N11113" s="94">
        <f>M11113-M11113*VLOOKUP($Q11113,매칭테이블!$F:$I,3,0)</f>
        <v/>
      </c>
      <c r="O11113" s="94">
        <f>VLOOKUP($Q11113,매칭테이블!$F:$I,4,0)*K11113</f>
        <v/>
      </c>
      <c r="P11113" s="148">
        <f>M11113/1.1</f>
        <v/>
      </c>
      <c r="Q11113" s="94">
        <f>F11113&amp;E11113&amp;G11113&amp;L11113</f>
        <v/>
      </c>
    </row>
    <row r="11114" customFormat="1" s="94">
      <c r="B11114" s="128" t="n">
        <v>44153</v>
      </c>
      <c r="C11114" s="94">
        <f>TEXT(B11114,"aaa")</f>
        <v/>
      </c>
      <c r="E11114" s="94" t="inlineStr">
        <is>
          <t>수딩크림</t>
        </is>
      </c>
      <c r="F11114" s="94" t="inlineStr">
        <is>
          <t>카페24</t>
        </is>
      </c>
      <c r="G11114" s="94" t="inlineStr">
        <is>
          <t>수딩크림 100ml</t>
        </is>
      </c>
      <c r="H11114" s="94" t="n">
        <v>200801</v>
      </c>
      <c r="I11114" s="94" t="n">
        <v>200801</v>
      </c>
      <c r="K11114" s="6" t="n">
        <v>5</v>
      </c>
      <c r="L11114" s="94" t="n">
        <v>200801</v>
      </c>
      <c r="M11114" s="94">
        <f>VLOOKUP($Q11114,매칭테이블!$F:$I,2,0)*K11114</f>
        <v/>
      </c>
      <c r="N11114" s="94">
        <f>M11114-M11114*VLOOKUP($Q11114,매칭테이블!$F:$I,3,0)</f>
        <v/>
      </c>
      <c r="O11114" s="94">
        <f>VLOOKUP($Q11114,매칭테이블!$F:$I,4,0)*K11114</f>
        <v/>
      </c>
      <c r="P11114" s="148">
        <f>M11114/1.1</f>
        <v/>
      </c>
      <c r="Q11114" s="94">
        <f>F11114&amp;E11114&amp;G11114&amp;L11114</f>
        <v/>
      </c>
    </row>
    <row r="11115" customFormat="1" s="94">
      <c r="B11115" s="128" t="n">
        <v>44153</v>
      </c>
      <c r="C11115" s="94">
        <f>TEXT(B11115,"aaa")</f>
        <v/>
      </c>
      <c r="E11115" s="94" t="inlineStr">
        <is>
          <t>클렌징폼</t>
        </is>
      </c>
      <c r="F11115" s="94" t="inlineStr">
        <is>
          <t>카페24</t>
        </is>
      </c>
      <c r="G11115" s="94" t="inlineStr">
        <is>
          <t>클렌징폼 120ml</t>
        </is>
      </c>
      <c r="H11115" s="94" t="n">
        <v>200801</v>
      </c>
      <c r="I11115" s="94" t="n">
        <v>200801</v>
      </c>
      <c r="K11115" s="6" t="n">
        <v>11</v>
      </c>
      <c r="L11115" s="94" t="n">
        <v>200801</v>
      </c>
      <c r="M11115" s="94">
        <f>VLOOKUP($Q11115,매칭테이블!$F:$I,2,0)*K11115</f>
        <v/>
      </c>
      <c r="N11115" s="94">
        <f>M11115-M11115*VLOOKUP($Q11115,매칭테이블!$F:$I,3,0)</f>
        <v/>
      </c>
      <c r="O11115" s="94">
        <f>VLOOKUP($Q11115,매칭테이블!$F:$I,4,0)*K11115</f>
        <v/>
      </c>
      <c r="P11115" s="148">
        <f>M11115/1.1</f>
        <v/>
      </c>
      <c r="Q11115" s="94">
        <f>F11115&amp;E11115&amp;G11115&amp;L11115</f>
        <v/>
      </c>
    </row>
    <row r="11116" customFormat="1" s="94">
      <c r="B11116" s="128" t="n">
        <v>44153</v>
      </c>
      <c r="C11116" s="94">
        <f>TEXT(B11116,"aaa")</f>
        <v/>
      </c>
      <c r="E11116" s="94" t="inlineStr">
        <is>
          <t>클렌징폼</t>
        </is>
      </c>
      <c r="F11116" s="94" t="inlineStr">
        <is>
          <t>카페24</t>
        </is>
      </c>
      <c r="G11116" s="94" t="inlineStr">
        <is>
          <t>클렌징폼 120ml 2set</t>
        </is>
      </c>
      <c r="H11116" s="94" t="n">
        <v>200801</v>
      </c>
      <c r="I11116" s="94" t="n">
        <v>200801</v>
      </c>
      <c r="K11116" s="6" t="n">
        <v>2</v>
      </c>
      <c r="L11116" s="94" t="n">
        <v>200801</v>
      </c>
      <c r="M11116" s="94">
        <f>VLOOKUP($Q11116,매칭테이블!$F:$I,2,0)*K11116</f>
        <v/>
      </c>
      <c r="N11116" s="94">
        <f>M11116-M11116*VLOOKUP($Q11116,매칭테이블!$F:$I,3,0)</f>
        <v/>
      </c>
      <c r="O11116" s="94">
        <f>VLOOKUP($Q11116,매칭테이블!$F:$I,4,0)*K11116</f>
        <v/>
      </c>
      <c r="P11116" s="148">
        <f>M11116/1.1</f>
        <v/>
      </c>
      <c r="Q11116" s="94">
        <f>F11116&amp;E11116&amp;G11116&amp;L11116</f>
        <v/>
      </c>
    </row>
    <row r="11117" customFormat="1" s="94">
      <c r="B11117" s="128" t="n">
        <v>44153</v>
      </c>
      <c r="C11117" s="94">
        <f>TEXT(B11117,"aaa")</f>
        <v/>
      </c>
      <c r="E11117" s="94" t="inlineStr">
        <is>
          <t>클렌징폼</t>
        </is>
      </c>
      <c r="F11117" s="94" t="inlineStr">
        <is>
          <t>카페24</t>
        </is>
      </c>
      <c r="G11117" s="94" t="inlineStr">
        <is>
          <t>클렌징폼 120ml 3set</t>
        </is>
      </c>
      <c r="H11117" s="94" t="n">
        <v>200801</v>
      </c>
      <c r="I11117" s="94" t="n">
        <v>200801</v>
      </c>
      <c r="K11117" s="6" t="n">
        <v>4</v>
      </c>
      <c r="L11117" s="94" t="n">
        <v>200801</v>
      </c>
      <c r="M11117" s="94">
        <f>VLOOKUP($Q11117,매칭테이블!$F:$I,2,0)*K11117</f>
        <v/>
      </c>
      <c r="N11117" s="94">
        <f>M11117-M11117*VLOOKUP($Q11117,매칭테이블!$F:$I,3,0)</f>
        <v/>
      </c>
      <c r="O11117" s="94">
        <f>VLOOKUP($Q11117,매칭테이블!$F:$I,4,0)*K11117</f>
        <v/>
      </c>
      <c r="P11117" s="148">
        <f>M11117/1.1</f>
        <v/>
      </c>
      <c r="Q11117" s="94">
        <f>F11117&amp;E11117&amp;G11117&amp;L11117</f>
        <v/>
      </c>
    </row>
    <row r="11118" customFormat="1" s="94">
      <c r="B11118" s="128" t="n">
        <v>44153</v>
      </c>
      <c r="C11118" s="94">
        <f>TEXT(B11118,"aaa")</f>
        <v/>
      </c>
      <c r="E11118" s="94" t="inlineStr">
        <is>
          <t>바디워시</t>
        </is>
      </c>
      <c r="F11118" s="94" t="inlineStr">
        <is>
          <t>카페24</t>
        </is>
      </c>
      <c r="G11118" s="94" t="inlineStr">
        <is>
          <t>바디워시 1개 -30% off</t>
        </is>
      </c>
      <c r="H11118" s="94" t="n">
        <v>200801</v>
      </c>
      <c r="I11118" s="94" t="n">
        <v>200801</v>
      </c>
      <c r="K11118" s="6" t="n">
        <v>1</v>
      </c>
      <c r="L11118" s="94" t="n">
        <v>200801</v>
      </c>
      <c r="M11118" s="94">
        <f>VLOOKUP($Q11118,매칭테이블!$F:$I,2,0)*K11118</f>
        <v/>
      </c>
      <c r="N11118" s="94">
        <f>M11118-M11118*VLOOKUP($Q11118,매칭테이블!$F:$I,3,0)</f>
        <v/>
      </c>
      <c r="O11118" s="94">
        <f>VLOOKUP($Q11118,매칭테이블!$F:$I,4,0)*K11118</f>
        <v/>
      </c>
      <c r="P11118" s="148">
        <f>M11118/1.1</f>
        <v/>
      </c>
      <c r="Q11118" s="94">
        <f>F11118&amp;E11118&amp;G11118&amp;L11118</f>
        <v/>
      </c>
    </row>
    <row r="11119" customFormat="1" s="94">
      <c r="B11119" s="128" t="n">
        <v>44153</v>
      </c>
      <c r="C11119" s="94">
        <f>TEXT(B11119,"aaa")</f>
        <v/>
      </c>
      <c r="E11119" s="94" t="inlineStr">
        <is>
          <t>토너</t>
        </is>
      </c>
      <c r="F11119" s="94" t="inlineStr">
        <is>
          <t>화해</t>
        </is>
      </c>
      <c r="G11119" s="94" t="inlineStr">
        <is>
          <t>250ml</t>
        </is>
      </c>
      <c r="H11119" s="94" t="n">
        <v>200801</v>
      </c>
      <c r="I11119" s="94" t="n">
        <v>200801</v>
      </c>
      <c r="K11119" s="6" t="n">
        <v>3</v>
      </c>
      <c r="L11119" s="94" t="n">
        <v>200801</v>
      </c>
      <c r="M11119" s="94">
        <f>VLOOKUP($Q11119,매칭테이블!$F:$I,2,0)*K11119</f>
        <v/>
      </c>
      <c r="N11119" s="94">
        <f>M11119-M11119*VLOOKUP($Q11119,매칭테이블!$F:$I,3,0)</f>
        <v/>
      </c>
      <c r="O11119" s="94">
        <f>VLOOKUP($Q11119,매칭테이블!$F:$I,4,0)*K11119</f>
        <v/>
      </c>
      <c r="P11119" s="148">
        <f>M11119/1.1</f>
        <v/>
      </c>
      <c r="Q11119" s="94">
        <f>F11119&amp;E11119&amp;G11119&amp;L11119</f>
        <v/>
      </c>
    </row>
    <row r="11120" customFormat="1" s="94">
      <c r="B11120" s="128" t="n">
        <v>44153</v>
      </c>
      <c r="C11120" s="94">
        <f>TEXT(B11120,"aaa")</f>
        <v/>
      </c>
      <c r="E11120" s="94" t="inlineStr">
        <is>
          <t>선크림</t>
        </is>
      </c>
      <c r="F11120" s="94" t="inlineStr">
        <is>
          <t>화해</t>
        </is>
      </c>
      <c r="G11120" s="94" t="inlineStr">
        <is>
          <t>선크림 50ml</t>
        </is>
      </c>
      <c r="H11120" s="94" t="n">
        <v>200801</v>
      </c>
      <c r="I11120" s="94" t="n">
        <v>200801</v>
      </c>
      <c r="K11120" s="6" t="n">
        <v>2</v>
      </c>
      <c r="L11120" s="94" t="n">
        <v>200801</v>
      </c>
      <c r="M11120" s="94">
        <f>VLOOKUP($Q11120,매칭테이블!$F:$I,2,0)*K11120</f>
        <v/>
      </c>
      <c r="N11120" s="94">
        <f>M11120-M11120*VLOOKUP($Q11120,매칭테이블!$F:$I,3,0)</f>
        <v/>
      </c>
      <c r="O11120" s="94">
        <f>VLOOKUP($Q11120,매칭테이블!$F:$I,4,0)*K11120</f>
        <v/>
      </c>
      <c r="P11120" s="148">
        <f>M11120/1.1</f>
        <v/>
      </c>
      <c r="Q11120" s="94">
        <f>F11120&amp;E11120&amp;G11120&amp;L11120</f>
        <v/>
      </c>
    </row>
    <row r="11121" customFormat="1" s="94">
      <c r="B11121" s="128" t="n">
        <v>44154</v>
      </c>
      <c r="C11121" s="94">
        <f>TEXT(B11121,"aaa")</f>
        <v/>
      </c>
      <c r="E11121" s="94" t="inlineStr">
        <is>
          <t>토너</t>
        </is>
      </c>
      <c r="F11121" s="94" t="inlineStr">
        <is>
          <t>W컨셉</t>
        </is>
      </c>
      <c r="G11121" s="94" t="inlineStr">
        <is>
          <t>250ml 2set</t>
        </is>
      </c>
      <c r="H11121" s="94" t="n">
        <v>200801</v>
      </c>
      <c r="I11121" s="94" t="n">
        <v>200801</v>
      </c>
      <c r="K11121" s="6" t="n">
        <v>5</v>
      </c>
      <c r="L11121" s="94" t="n">
        <v>200801</v>
      </c>
      <c r="M11121" s="94">
        <f>VLOOKUP($Q11121,매칭테이블!$F:$I,2,0)*K11121</f>
        <v/>
      </c>
      <c r="N11121" s="94">
        <f>M11121-M11121*VLOOKUP($Q11121,매칭테이블!$F:$I,3,0)</f>
        <v/>
      </c>
      <c r="O11121" s="94">
        <f>VLOOKUP($Q11121,매칭테이블!$F:$I,4,0)*K11121</f>
        <v/>
      </c>
      <c r="P11121" s="148">
        <f>M11121/1.1</f>
        <v/>
      </c>
      <c r="Q11121" s="94">
        <f>F11121&amp;E11121&amp;G11121&amp;L11121</f>
        <v/>
      </c>
    </row>
    <row r="11122" customFormat="1" s="94">
      <c r="B11122" s="128" t="n">
        <v>44154</v>
      </c>
      <c r="C11122" s="94">
        <f>TEXT(B11122,"aaa")</f>
        <v/>
      </c>
      <c r="E11122" s="94" t="inlineStr">
        <is>
          <t>토너</t>
        </is>
      </c>
      <c r="F11122" s="94" t="inlineStr">
        <is>
          <t>글로우데이즈 시코르</t>
        </is>
      </c>
      <c r="G11122" s="94" t="inlineStr">
        <is>
          <t>토너=250ml</t>
        </is>
      </c>
      <c r="H11122" s="94" t="n">
        <v>200801</v>
      </c>
      <c r="I11122" s="94" t="n">
        <v>200801</v>
      </c>
      <c r="K11122" s="6" t="n">
        <v>30</v>
      </c>
      <c r="L11122" s="94" t="n">
        <v>200801</v>
      </c>
      <c r="M11122" s="94">
        <f>VLOOKUP($Q11122,매칭테이블!$F:$I,2,0)*K11122</f>
        <v/>
      </c>
      <c r="N11122" s="94">
        <f>M11122-M11122*VLOOKUP($Q11122,매칭테이블!$F:$I,3,0)</f>
        <v/>
      </c>
      <c r="O11122" s="94">
        <f>VLOOKUP($Q11122,매칭테이블!$F:$I,4,0)*K11122</f>
        <v/>
      </c>
      <c r="P11122" s="148">
        <f>M11122/1.1</f>
        <v/>
      </c>
      <c r="Q11122" s="94">
        <f>F11122&amp;E11122&amp;G11122&amp;L11122</f>
        <v/>
      </c>
    </row>
    <row r="11123" customFormat="1" s="94">
      <c r="B11123" s="128" t="n">
        <v>44154</v>
      </c>
      <c r="C11123" s="94">
        <f>TEXT(B11123,"aaa")</f>
        <v/>
      </c>
      <c r="E11123" s="94" t="inlineStr">
        <is>
          <t>앰플</t>
        </is>
      </c>
      <c r="F11123" s="94" t="inlineStr">
        <is>
          <t>글로우데이즈 시코르</t>
        </is>
      </c>
      <c r="G11123" s="94" t="inlineStr">
        <is>
          <t>앰플=앰플 30ml</t>
        </is>
      </c>
      <c r="H11123" s="94" t="n">
        <v>200801</v>
      </c>
      <c r="I11123" s="94" t="n">
        <v>200801</v>
      </c>
      <c r="K11123" s="6" t="n">
        <v>20</v>
      </c>
      <c r="L11123" s="94" t="n">
        <v>200801</v>
      </c>
      <c r="M11123" s="94">
        <f>VLOOKUP($Q11123,매칭테이블!$F:$I,2,0)*K11123</f>
        <v/>
      </c>
      <c r="N11123" s="94">
        <f>M11123-M11123*VLOOKUP($Q11123,매칭테이블!$F:$I,3,0)</f>
        <v/>
      </c>
      <c r="O11123" s="94">
        <f>VLOOKUP($Q11123,매칭테이블!$F:$I,4,0)*K11123</f>
        <v/>
      </c>
      <c r="P11123" s="148">
        <f>M11123/1.1</f>
        <v/>
      </c>
      <c r="Q11123" s="94">
        <f>F11123&amp;E11123&amp;G11123&amp;L11123</f>
        <v/>
      </c>
    </row>
    <row r="11124" customFormat="1" s="94">
      <c r="B11124" s="128" t="n">
        <v>44154</v>
      </c>
      <c r="C11124" s="94">
        <f>TEXT(B11124,"aaa")</f>
        <v/>
      </c>
      <c r="E11124" s="94" t="inlineStr">
        <is>
          <t>마스크팩</t>
        </is>
      </c>
      <c r="F11124" s="94" t="inlineStr">
        <is>
          <t>글로우데이즈 시코르</t>
        </is>
      </c>
      <c r="G11124" s="94" t="inlineStr">
        <is>
          <t>마스크팩=마스크팩 10매</t>
        </is>
      </c>
      <c r="H11124" s="94" t="n">
        <v>200801</v>
      </c>
      <c r="I11124" s="94" t="n">
        <v>200801</v>
      </c>
      <c r="K11124" s="6" t="n">
        <v>3</v>
      </c>
      <c r="L11124" s="94" t="n">
        <v>200801</v>
      </c>
      <c r="M11124" s="94">
        <f>VLOOKUP($Q11124,매칭테이블!$F:$I,2,0)*K11124</f>
        <v/>
      </c>
      <c r="N11124" s="94">
        <f>M11124-M11124*VLOOKUP($Q11124,매칭테이블!$F:$I,3,0)</f>
        <v/>
      </c>
      <c r="O11124" s="94">
        <f>VLOOKUP($Q11124,매칭테이블!$F:$I,4,0)*K11124</f>
        <v/>
      </c>
      <c r="P11124" s="148">
        <f>M11124/1.1</f>
        <v/>
      </c>
      <c r="Q11124" s="94">
        <f>F11124&amp;E11124&amp;G11124&amp;L11124</f>
        <v/>
      </c>
    </row>
    <row r="11125" customFormat="1" s="94">
      <c r="B11125" s="128" t="n">
        <v>44154</v>
      </c>
      <c r="C11125" s="94">
        <f>TEXT(B11125,"aaa")</f>
        <v/>
      </c>
      <c r="E11125" s="94" t="inlineStr">
        <is>
          <t>토너</t>
        </is>
      </c>
      <c r="F11125" s="94" t="inlineStr">
        <is>
          <t>스타일쉐어</t>
        </is>
      </c>
      <c r="G11125" s="94" t="inlineStr">
        <is>
          <t>250ml</t>
        </is>
      </c>
      <c r="H11125" s="94" t="n">
        <v>200801</v>
      </c>
      <c r="I11125" s="94" t="n">
        <v>200801</v>
      </c>
      <c r="K11125" s="6" t="n">
        <v>3</v>
      </c>
      <c r="L11125" s="94" t="n">
        <v>200801</v>
      </c>
      <c r="M11125" s="94">
        <f>VLOOKUP($Q11125,매칭테이블!$F:$I,2,0)*K11125</f>
        <v/>
      </c>
      <c r="N11125" s="94">
        <f>M11125-M11125*VLOOKUP($Q11125,매칭테이블!$F:$I,3,0)</f>
        <v/>
      </c>
      <c r="O11125" s="94">
        <f>VLOOKUP($Q11125,매칭테이블!$F:$I,4,0)*K11125</f>
        <v/>
      </c>
      <c r="P11125" s="148">
        <f>M11125/1.1</f>
        <v/>
      </c>
      <c r="Q11125" s="94">
        <f>F11125&amp;E11125&amp;G11125&amp;L11125</f>
        <v/>
      </c>
    </row>
    <row r="11126" customFormat="1" s="94">
      <c r="B11126" s="128" t="n">
        <v>44154</v>
      </c>
      <c r="C11126" s="94">
        <f>TEXT(B11126,"aaa")</f>
        <v/>
      </c>
      <c r="E11126" s="94" t="inlineStr">
        <is>
          <t>토너</t>
        </is>
      </c>
      <c r="F11126" s="94" t="inlineStr">
        <is>
          <t>아누아 CS</t>
        </is>
      </c>
      <c r="G11126" s="94" t="inlineStr">
        <is>
          <t>250ml</t>
        </is>
      </c>
      <c r="H11126" s="94" t="n">
        <v>200801</v>
      </c>
      <c r="I11126" s="94" t="n">
        <v>200801</v>
      </c>
      <c r="K11126" s="6" t="n">
        <v>1</v>
      </c>
      <c r="L11126" s="94" t="n">
        <v>200801</v>
      </c>
      <c r="M11126" s="94">
        <f>VLOOKUP($Q11126,매칭테이블!$F:$I,2,0)*K11126</f>
        <v/>
      </c>
      <c r="N11126" s="94">
        <f>M11126-M11126*VLOOKUP($Q11126,매칭테이블!$F:$I,3,0)</f>
        <v/>
      </c>
      <c r="O11126" s="94">
        <f>VLOOKUP($Q11126,매칭테이블!$F:$I,4,0)*K11126</f>
        <v/>
      </c>
      <c r="P11126" s="148">
        <f>M11126/1.1</f>
        <v/>
      </c>
      <c r="Q11126" s="94">
        <f>F11126&amp;E11126&amp;G11126&amp;L11126</f>
        <v/>
      </c>
    </row>
    <row r="11127" customFormat="1" s="94">
      <c r="B11127" s="128" t="n">
        <v>44154</v>
      </c>
      <c r="C11127" s="94">
        <f>TEXT(B11127,"aaa")</f>
        <v/>
      </c>
      <c r="E11127" s="94" t="inlineStr">
        <is>
          <t>화장솜</t>
        </is>
      </c>
      <c r="F11127" s="94" t="inlineStr">
        <is>
          <t>아누아 CS</t>
        </is>
      </c>
      <c r="G11127" s="94" t="inlineStr">
        <is>
          <t>스킨팩 화장솜 60P</t>
        </is>
      </c>
      <c r="H11127" s="94" t="n">
        <v>200801</v>
      </c>
      <c r="I11127" s="94" t="n">
        <v>200801</v>
      </c>
      <c r="K11127" s="6" t="n">
        <v>1</v>
      </c>
      <c r="L11127" s="94" t="n">
        <v>200801</v>
      </c>
      <c r="M11127" s="94">
        <f>VLOOKUP($Q11127,매칭테이블!$F:$I,2,0)*K11127</f>
        <v/>
      </c>
      <c r="N11127" s="94">
        <f>M11127-M11127*VLOOKUP($Q11127,매칭테이블!$F:$I,3,0)</f>
        <v/>
      </c>
      <c r="O11127" s="94">
        <f>VLOOKUP($Q11127,매칭테이블!$F:$I,4,0)*K11127</f>
        <v/>
      </c>
      <c r="P11127" s="148">
        <f>M11127/1.1</f>
        <v/>
      </c>
      <c r="Q11127" s="94">
        <f>F11127&amp;E11127&amp;G11127&amp;L11127</f>
        <v/>
      </c>
    </row>
    <row r="11128" customFormat="1" s="94">
      <c r="B11128" s="128" t="n">
        <v>44154</v>
      </c>
      <c r="C11128" s="94">
        <f>TEXT(B11128,"aaa")</f>
        <v/>
      </c>
      <c r="E11128" s="94" t="inlineStr">
        <is>
          <t>앰플</t>
        </is>
      </c>
      <c r="F11128" s="94" t="inlineStr">
        <is>
          <t>아누아 CS</t>
        </is>
      </c>
      <c r="G11128" s="94" t="inlineStr">
        <is>
          <t>앰플 30ml</t>
        </is>
      </c>
      <c r="H11128" s="94" t="n">
        <v>200801</v>
      </c>
      <c r="I11128" s="94" t="n">
        <v>200801</v>
      </c>
      <c r="K11128" s="6" t="n">
        <v>1</v>
      </c>
      <c r="L11128" s="94" t="n">
        <v>200801</v>
      </c>
      <c r="M11128" s="94">
        <f>VLOOKUP($Q11128,매칭테이블!$F:$I,2,0)*K11128</f>
        <v/>
      </c>
      <c r="N11128" s="94">
        <f>M11128-M11128*VLOOKUP($Q11128,매칭테이블!$F:$I,3,0)</f>
        <v/>
      </c>
      <c r="O11128" s="94">
        <f>VLOOKUP($Q11128,매칭테이블!$F:$I,4,0)*K11128</f>
        <v/>
      </c>
      <c r="P11128" s="148">
        <f>M11128/1.1</f>
        <v/>
      </c>
      <c r="Q11128" s="94">
        <f>F11128&amp;E11128&amp;G11128&amp;L11128</f>
        <v/>
      </c>
    </row>
    <row r="11129" customFormat="1" s="94">
      <c r="B11129" s="128" t="n">
        <v>44154</v>
      </c>
      <c r="C11129" s="94">
        <f>TEXT(B11129,"aaa")</f>
        <v/>
      </c>
      <c r="E11129" s="94" t="inlineStr">
        <is>
          <t>카밍크림</t>
        </is>
      </c>
      <c r="F11129" s="94" t="inlineStr">
        <is>
          <t>아누아 CS</t>
        </is>
      </c>
      <c r="G11129" s="94" t="inlineStr">
        <is>
          <t xml:space="preserve">	어성초 70 인텐스 카밍 크림 50ml</t>
        </is>
      </c>
      <c r="H11129" s="94" t="n">
        <v>200801</v>
      </c>
      <c r="I11129" s="94" t="n">
        <v>200801</v>
      </c>
      <c r="K11129" s="6" t="n">
        <v>1</v>
      </c>
      <c r="L11129" s="94" t="n">
        <v>200801</v>
      </c>
      <c r="M11129" s="94">
        <f>VLOOKUP($Q11129,매칭테이블!$F:$I,2,0)*K11129</f>
        <v/>
      </c>
      <c r="N11129" s="94">
        <f>M11129-M11129*VLOOKUP($Q11129,매칭테이블!$F:$I,3,0)</f>
        <v/>
      </c>
      <c r="O11129" s="94">
        <f>VLOOKUP($Q11129,매칭테이블!$F:$I,4,0)*K11129</f>
        <v/>
      </c>
      <c r="P11129" s="148">
        <f>M11129/1.1</f>
        <v/>
      </c>
      <c r="Q11129" s="94">
        <f>F11129&amp;E11129&amp;G11129&amp;L11129</f>
        <v/>
      </c>
    </row>
    <row r="11130" customFormat="1" s="94">
      <c r="B11130" s="128" t="n">
        <v>44154</v>
      </c>
      <c r="C11130" s="94">
        <f>TEXT(B11130,"aaa")</f>
        <v/>
      </c>
      <c r="E11130" s="94" t="inlineStr">
        <is>
          <t>선크림</t>
        </is>
      </c>
      <c r="F11130" s="94" t="inlineStr">
        <is>
          <t>카페24</t>
        </is>
      </c>
      <c r="G11130" s="94" t="inlineStr">
        <is>
          <t>선크림 50ml</t>
        </is>
      </c>
      <c r="H11130" s="94" t="n">
        <v>200801</v>
      </c>
      <c r="I11130" s="94" t="n">
        <v>200801</v>
      </c>
      <c r="K11130" s="6" t="n">
        <v>2</v>
      </c>
      <c r="L11130" s="94" t="n">
        <v>200801</v>
      </c>
      <c r="M11130" s="94">
        <f>VLOOKUP($Q11130,매칭테이블!$F:$I,2,0)*K11130</f>
        <v/>
      </c>
      <c r="N11130" s="94">
        <f>M11130-M11130*VLOOKUP($Q11130,매칭테이블!$F:$I,3,0)</f>
        <v/>
      </c>
      <c r="O11130" s="94">
        <f>VLOOKUP($Q11130,매칭테이블!$F:$I,4,0)*K11130</f>
        <v/>
      </c>
      <c r="P11130" s="148">
        <f>M11130/1.1</f>
        <v/>
      </c>
      <c r="Q11130" s="94">
        <f>F11130&amp;E11130&amp;G11130&amp;L11130</f>
        <v/>
      </c>
    </row>
    <row r="11131" customFormat="1" s="94">
      <c r="B11131" s="128" t="n">
        <v>44154</v>
      </c>
      <c r="C11131" s="94">
        <f>TEXT(B11131,"aaa")</f>
        <v/>
      </c>
      <c r="E11131" s="94" t="inlineStr">
        <is>
          <t>카밍크림</t>
        </is>
      </c>
      <c r="F11131" s="94" t="inlineStr">
        <is>
          <t>카페24</t>
        </is>
      </c>
      <c r="G11131" s="94" t="inlineStr">
        <is>
          <t>[플친 단독 (11/16-11/20)] 크림(필수)=어성초 70 인텐스 카밍 크림 1개-20% off</t>
        </is>
      </c>
      <c r="H11131" s="94" t="n">
        <v>200801</v>
      </c>
      <c r="I11131" s="94" t="n">
        <v>200801</v>
      </c>
      <c r="K11131" s="6" t="n">
        <v>4</v>
      </c>
      <c r="L11131" s="94" t="n">
        <v>200801</v>
      </c>
      <c r="M11131" s="94">
        <f>VLOOKUP($Q11131,매칭테이블!$F:$I,2,0)*K11131</f>
        <v/>
      </c>
      <c r="N11131" s="94">
        <f>M11131-M11131*VLOOKUP($Q11131,매칭테이블!$F:$I,3,0)</f>
        <v/>
      </c>
      <c r="O11131" s="94">
        <f>VLOOKUP($Q11131,매칭테이블!$F:$I,4,0)*K11131</f>
        <v/>
      </c>
      <c r="P11131" s="148">
        <f>M11131/1.1</f>
        <v/>
      </c>
      <c r="Q11131" s="94">
        <f>F11131&amp;E11131&amp;G11131&amp;L11131</f>
        <v/>
      </c>
    </row>
    <row r="11132" customFormat="1" s="94">
      <c r="B11132" s="128" t="n">
        <v>44154</v>
      </c>
      <c r="C11132" s="94">
        <f>TEXT(B11132,"aaa")</f>
        <v/>
      </c>
      <c r="E11132" s="94" t="inlineStr">
        <is>
          <t>크림마스크</t>
        </is>
      </c>
      <c r="F11132" s="94" t="inlineStr">
        <is>
          <t>카페24</t>
        </is>
      </c>
      <c r="G11132" s="94" t="inlineStr">
        <is>
          <t>[플친 단독 (11/16-11/20)] 크림마스크팩(선택)=크림마스크팩 1장-50% off</t>
        </is>
      </c>
      <c r="H11132" s="94" t="n">
        <v>200801</v>
      </c>
      <c r="I11132" s="94" t="n">
        <v>200801</v>
      </c>
      <c r="K11132" s="6" t="n">
        <v>1</v>
      </c>
      <c r="L11132" s="94" t="n">
        <v>200801</v>
      </c>
      <c r="M11132" s="94">
        <f>VLOOKUP($Q11132,매칭테이블!$F:$I,2,0)*K11132</f>
        <v/>
      </c>
      <c r="N11132" s="94">
        <f>M11132-M11132*VLOOKUP($Q11132,매칭테이블!$F:$I,3,0)</f>
        <v/>
      </c>
      <c r="O11132" s="94">
        <f>VLOOKUP($Q11132,매칭테이블!$F:$I,4,0)*K11132</f>
        <v/>
      </c>
      <c r="P11132" s="148">
        <f>M11132/1.1</f>
        <v/>
      </c>
      <c r="Q11132" s="94">
        <f>F11132&amp;E11132&amp;G11132&amp;L11132</f>
        <v/>
      </c>
    </row>
    <row r="11133" customFormat="1" s="94">
      <c r="B11133" s="128" t="n">
        <v>44154</v>
      </c>
      <c r="C11133" s="94">
        <f>TEXT(B11133,"aaa")</f>
        <v/>
      </c>
      <c r="E11133" s="94" t="inlineStr">
        <is>
          <t>어성초진정패키지</t>
        </is>
      </c>
      <c r="F11133" s="94" t="inlineStr">
        <is>
          <t>카페24</t>
        </is>
      </c>
      <c r="G11133" s="94" t="inlineStr">
        <is>
          <t>어성초 진정패키지세트</t>
        </is>
      </c>
      <c r="H11133" s="94" t="n">
        <v>200801</v>
      </c>
      <c r="I11133" s="94" t="n">
        <v>200801</v>
      </c>
      <c r="K11133" s="6" t="n">
        <v>3</v>
      </c>
      <c r="L11133" s="94" t="n">
        <v>200801</v>
      </c>
      <c r="M11133" s="94">
        <f>VLOOKUP($Q11133,매칭테이블!$F:$I,2,0)*K11133</f>
        <v/>
      </c>
      <c r="N11133" s="94">
        <f>M11133-M11133*VLOOKUP($Q11133,매칭테이블!$F:$I,3,0)</f>
        <v/>
      </c>
      <c r="O11133" s="94">
        <f>VLOOKUP($Q11133,매칭테이블!$F:$I,4,0)*K11133</f>
        <v/>
      </c>
      <c r="P11133" s="148">
        <f>M11133/1.1</f>
        <v/>
      </c>
      <c r="Q11133" s="94">
        <f>F11133&amp;E11133&amp;G11133&amp;L11133</f>
        <v/>
      </c>
    </row>
    <row r="11134" customFormat="1" s="94">
      <c r="B11134" s="128" t="n">
        <v>44154</v>
      </c>
      <c r="C11134" s="94">
        <f>TEXT(B11134,"aaa")</f>
        <v/>
      </c>
      <c r="E11134" s="94" t="inlineStr">
        <is>
          <t>클리어 패드</t>
        </is>
      </c>
      <c r="F11134" s="94" t="inlineStr">
        <is>
          <t>카페24</t>
        </is>
      </c>
      <c r="G11134" s="94" t="inlineStr">
        <is>
          <t>어성초 77 클리어 패드 1개-20% off</t>
        </is>
      </c>
      <c r="H11134" s="94" t="n">
        <v>200801</v>
      </c>
      <c r="I11134" s="94" t="n">
        <v>200801</v>
      </c>
      <c r="K11134" s="6" t="n">
        <v>91</v>
      </c>
      <c r="L11134" s="94" t="n">
        <v>200801</v>
      </c>
      <c r="M11134" s="94">
        <f>VLOOKUP($Q11134,매칭테이블!$F:$I,2,0)*K11134</f>
        <v/>
      </c>
      <c r="N11134" s="94">
        <f>M11134-M11134*VLOOKUP($Q11134,매칭테이블!$F:$I,3,0)</f>
        <v/>
      </c>
      <c r="O11134" s="94">
        <f>VLOOKUP($Q11134,매칭테이블!$F:$I,4,0)*K11134</f>
        <v/>
      </c>
      <c r="P11134" s="148">
        <f>M11134/1.1</f>
        <v/>
      </c>
      <c r="Q11134" s="94">
        <f>F11134&amp;E11134&amp;G11134&amp;L11134</f>
        <v/>
      </c>
    </row>
    <row r="11135" customFormat="1" s="94">
      <c r="B11135" s="128" t="n">
        <v>44154</v>
      </c>
      <c r="C11135" s="94">
        <f>TEXT(B11135,"aaa")</f>
        <v/>
      </c>
      <c r="E11135" s="94" t="inlineStr">
        <is>
          <t>클리어 패드</t>
        </is>
      </c>
      <c r="F11135" s="94" t="inlineStr">
        <is>
          <t>카페24</t>
        </is>
      </c>
      <c r="G11135" s="94" t="inlineStr">
        <is>
          <t>어성초 77 클리어 패드 2개-30% off</t>
        </is>
      </c>
      <c r="H11135" s="94" t="n">
        <v>200801</v>
      </c>
      <c r="I11135" s="94" t="n">
        <v>200801</v>
      </c>
      <c r="K11135" s="6" t="n">
        <v>87</v>
      </c>
      <c r="L11135" s="94" t="n">
        <v>200801</v>
      </c>
      <c r="M11135" s="94">
        <f>VLOOKUP($Q11135,매칭테이블!$F:$I,2,0)*K11135</f>
        <v/>
      </c>
      <c r="N11135" s="94">
        <f>M11135-M11135*VLOOKUP($Q11135,매칭테이블!$F:$I,3,0)</f>
        <v/>
      </c>
      <c r="O11135" s="94">
        <f>VLOOKUP($Q11135,매칭테이블!$F:$I,4,0)*K11135</f>
        <v/>
      </c>
      <c r="P11135" s="148">
        <f>M11135/1.1</f>
        <v/>
      </c>
      <c r="Q11135" s="94">
        <f>F11135&amp;E11135&amp;G11135&amp;L11135</f>
        <v/>
      </c>
    </row>
    <row r="11136" customFormat="1" s="94">
      <c r="B11136" s="128" t="n">
        <v>44154</v>
      </c>
      <c r="C11136" s="94">
        <f>TEXT(B11136,"aaa")</f>
        <v/>
      </c>
      <c r="E11136" s="94" t="inlineStr">
        <is>
          <t>토너+패드 세트</t>
        </is>
      </c>
      <c r="F11136" s="94" t="inlineStr">
        <is>
          <t>카페24</t>
        </is>
      </c>
      <c r="G11136" s="94" t="inlineStr">
        <is>
          <t>좁쌀 진정 세트 토너+클리어 패드-30% off</t>
        </is>
      </c>
      <c r="H11136" s="94" t="n">
        <v>200801</v>
      </c>
      <c r="I11136" s="94" t="n">
        <v>200801</v>
      </c>
      <c r="K11136" s="6" t="n">
        <v>72</v>
      </c>
      <c r="L11136" s="94" t="n">
        <v>200801</v>
      </c>
      <c r="M11136" s="94">
        <f>VLOOKUP($Q11136,매칭테이블!$F:$I,2,0)*K11136</f>
        <v/>
      </c>
      <c r="N11136" s="94">
        <f>M11136-M11136*VLOOKUP($Q11136,매칭테이블!$F:$I,3,0)</f>
        <v/>
      </c>
      <c r="O11136" s="94">
        <f>VLOOKUP($Q11136,매칭테이블!$F:$I,4,0)*K11136</f>
        <v/>
      </c>
      <c r="P11136" s="148">
        <f>M11136/1.1</f>
        <v/>
      </c>
      <c r="Q11136" s="94">
        <f>F11136&amp;E11136&amp;G11136&amp;L11136</f>
        <v/>
      </c>
    </row>
    <row r="11137" customFormat="1" s="94">
      <c r="B11137" s="128" t="n">
        <v>44154</v>
      </c>
      <c r="C11137" s="94">
        <f>TEXT(B11137,"aaa")</f>
        <v/>
      </c>
      <c r="E11137" s="94" t="inlineStr">
        <is>
          <t>수분 보충 세트</t>
        </is>
      </c>
      <c r="F11137" s="94" t="inlineStr">
        <is>
          <t>카페24</t>
        </is>
      </c>
      <c r="G11137" s="94" t="inlineStr">
        <is>
          <t>[20/09/28 부터] 어성초 77 토너 250ml + 어성초 70 로션 200ml -30%</t>
        </is>
      </c>
      <c r="H11137" s="94" t="n">
        <v>200801</v>
      </c>
      <c r="I11137" s="94" t="n">
        <v>200801</v>
      </c>
      <c r="K11137" s="6" t="n">
        <v>37</v>
      </c>
      <c r="L11137" s="94" t="n">
        <v>200801</v>
      </c>
      <c r="M11137" s="94">
        <f>VLOOKUP($Q11137,매칭테이블!$F:$I,2,0)*K11137</f>
        <v/>
      </c>
      <c r="N11137" s="94">
        <f>M11137-M11137*VLOOKUP($Q11137,매칭테이블!$F:$I,3,0)</f>
        <v/>
      </c>
      <c r="O11137" s="94">
        <f>VLOOKUP($Q11137,매칭테이블!$F:$I,4,0)*K11137</f>
        <v/>
      </c>
      <c r="P11137" s="148">
        <f>M11137/1.1</f>
        <v/>
      </c>
      <c r="Q11137" s="94">
        <f>F11137&amp;E11137&amp;G11137&amp;L11137</f>
        <v/>
      </c>
    </row>
    <row r="11138" customFormat="1" s="94">
      <c r="B11138" s="128" t="n">
        <v>44154</v>
      </c>
      <c r="C11138" s="94">
        <f>TEXT(B11138,"aaa")</f>
        <v/>
      </c>
      <c r="E11138" s="94" t="inlineStr">
        <is>
          <t>로션</t>
        </is>
      </c>
      <c r="F11138" s="94" t="inlineStr">
        <is>
          <t>카페24</t>
        </is>
      </c>
      <c r="G11138" s="94" t="inlineStr">
        <is>
          <t>어성초 70 데일리 릴리프 로션 1개 -20% off</t>
        </is>
      </c>
      <c r="H11138" s="94" t="n">
        <v>200801</v>
      </c>
      <c r="I11138" s="94" t="n">
        <v>200801</v>
      </c>
      <c r="K11138" s="6" t="n">
        <v>8</v>
      </c>
      <c r="L11138" s="94" t="n">
        <v>200801</v>
      </c>
      <c r="M11138" s="94">
        <f>VLOOKUP($Q11138,매칭테이블!$F:$I,2,0)*K11138</f>
        <v/>
      </c>
      <c r="N11138" s="94">
        <f>M11138-M11138*VLOOKUP($Q11138,매칭테이블!$F:$I,3,0)</f>
        <v/>
      </c>
      <c r="O11138" s="94">
        <f>VLOOKUP($Q11138,매칭테이블!$F:$I,4,0)*K11138</f>
        <v/>
      </c>
      <c r="P11138" s="148">
        <f>M11138/1.1</f>
        <v/>
      </c>
      <c r="Q11138" s="94">
        <f>F11138&amp;E11138&amp;G11138&amp;L11138</f>
        <v/>
      </c>
    </row>
    <row r="11139" customFormat="1" s="94">
      <c r="B11139" s="128" t="n">
        <v>44154</v>
      </c>
      <c r="C11139" s="94">
        <f>TEXT(B11139,"aaa")</f>
        <v/>
      </c>
      <c r="E11139" s="94" t="inlineStr">
        <is>
          <t>머드크림마스크</t>
        </is>
      </c>
      <c r="F11139" s="94" t="inlineStr">
        <is>
          <t>카페24</t>
        </is>
      </c>
      <c r="G11139" s="94" t="inlineStr">
        <is>
          <t>머드크림마스크 100ml</t>
        </is>
      </c>
      <c r="H11139" s="94" t="n">
        <v>200801</v>
      </c>
      <c r="I11139" s="94" t="n">
        <v>200801</v>
      </c>
      <c r="K11139" s="6" t="n">
        <v>4</v>
      </c>
      <c r="L11139" s="94" t="n">
        <v>200801</v>
      </c>
      <c r="M11139" s="94">
        <f>VLOOKUP($Q11139,매칭테이블!$F:$I,2,0)*K11139</f>
        <v/>
      </c>
      <c r="N11139" s="94">
        <f>M11139-M11139*VLOOKUP($Q11139,매칭테이블!$F:$I,3,0)</f>
        <v/>
      </c>
      <c r="O11139" s="94">
        <f>VLOOKUP($Q11139,매칭테이블!$F:$I,4,0)*K11139</f>
        <v/>
      </c>
      <c r="P11139" s="148">
        <f>M11139/1.1</f>
        <v/>
      </c>
      <c r="Q11139" s="94">
        <f>F11139&amp;E11139&amp;G11139&amp;L11139</f>
        <v/>
      </c>
    </row>
    <row r="11140" customFormat="1" s="94">
      <c r="B11140" s="128" t="n">
        <v>44154</v>
      </c>
      <c r="C11140" s="94">
        <f>TEXT(B11140,"aaa")</f>
        <v/>
      </c>
      <c r="E11140" s="94" t="inlineStr">
        <is>
          <t>머드크림마스크</t>
        </is>
      </c>
      <c r="F11140" s="94" t="inlineStr">
        <is>
          <t>카페24</t>
        </is>
      </c>
      <c r="G11140" s="94" t="inlineStr">
        <is>
          <t>머드크림마스크 100ml 2set</t>
        </is>
      </c>
      <c r="H11140" s="94" t="n">
        <v>200801</v>
      </c>
      <c r="I11140" s="94" t="n">
        <v>200801</v>
      </c>
      <c r="K11140" s="6" t="n">
        <v>1</v>
      </c>
      <c r="L11140" s="94" t="n">
        <v>200801</v>
      </c>
      <c r="M11140" s="94">
        <f>VLOOKUP($Q11140,매칭테이블!$F:$I,2,0)*K11140</f>
        <v/>
      </c>
      <c r="N11140" s="94">
        <f>M11140-M11140*VLOOKUP($Q11140,매칭테이블!$F:$I,3,0)</f>
        <v/>
      </c>
      <c r="O11140" s="94">
        <f>VLOOKUP($Q11140,매칭테이블!$F:$I,4,0)*K11140</f>
        <v/>
      </c>
      <c r="P11140" s="148">
        <f>M11140/1.1</f>
        <v/>
      </c>
      <c r="Q11140" s="94">
        <f>F11140&amp;E11140&amp;G11140&amp;L11140</f>
        <v/>
      </c>
    </row>
    <row r="11141" customFormat="1" s="94">
      <c r="B11141" s="128" t="n">
        <v>44154</v>
      </c>
      <c r="C11141" s="94">
        <f>TEXT(B11141,"aaa")</f>
        <v/>
      </c>
      <c r="E11141" s="94" t="inlineStr">
        <is>
          <t>마스크팩</t>
        </is>
      </c>
      <c r="F11141" s="94" t="inlineStr">
        <is>
          <t>카페24</t>
        </is>
      </c>
      <c r="G11141" s="94" t="inlineStr">
        <is>
          <t>마스크팩 1매</t>
        </is>
      </c>
      <c r="H11141" s="94" t="n">
        <v>200801</v>
      </c>
      <c r="I11141" s="94" t="n">
        <v>200801</v>
      </c>
      <c r="K11141" s="6" t="n">
        <v>10</v>
      </c>
      <c r="L11141" s="94" t="n">
        <v>200801</v>
      </c>
      <c r="M11141" s="94">
        <f>VLOOKUP($Q11141,매칭테이블!$F:$I,2,0)*K11141</f>
        <v/>
      </c>
      <c r="N11141" s="94">
        <f>M11141-M11141*VLOOKUP($Q11141,매칭테이블!$F:$I,3,0)</f>
        <v/>
      </c>
      <c r="O11141" s="94">
        <f>VLOOKUP($Q11141,매칭테이블!$F:$I,4,0)*K11141</f>
        <v/>
      </c>
      <c r="P11141" s="148">
        <f>M11141/1.1</f>
        <v/>
      </c>
      <c r="Q11141" s="94">
        <f>F11141&amp;E11141&amp;G11141&amp;L11141</f>
        <v/>
      </c>
    </row>
    <row r="11142" customFormat="1" s="94">
      <c r="B11142" s="128" t="n">
        <v>44154</v>
      </c>
      <c r="C11142" s="94">
        <f>TEXT(B11142,"aaa")</f>
        <v/>
      </c>
      <c r="E11142" s="94" t="inlineStr">
        <is>
          <t>마스크팩</t>
        </is>
      </c>
      <c r="F11142" s="94" t="inlineStr">
        <is>
          <t>카페24</t>
        </is>
      </c>
      <c r="G11142" s="94" t="inlineStr">
        <is>
          <t>마스크팩 10매</t>
        </is>
      </c>
      <c r="H11142" s="94" t="n">
        <v>200801</v>
      </c>
      <c r="I11142" s="94" t="n">
        <v>200801</v>
      </c>
      <c r="K11142" s="6" t="n">
        <v>8</v>
      </c>
      <c r="L11142" s="94" t="n">
        <v>200801</v>
      </c>
      <c r="M11142" s="94">
        <f>VLOOKUP($Q11142,매칭테이블!$F:$I,2,0)*K11142</f>
        <v/>
      </c>
      <c r="N11142" s="94">
        <f>M11142-M11142*VLOOKUP($Q11142,매칭테이블!$F:$I,3,0)</f>
        <v/>
      </c>
      <c r="O11142" s="94">
        <f>VLOOKUP($Q11142,매칭테이블!$F:$I,4,0)*K11142</f>
        <v/>
      </c>
      <c r="P11142" s="148">
        <f>M11142/1.1</f>
        <v/>
      </c>
      <c r="Q11142" s="94">
        <f>F11142&amp;E11142&amp;G11142&amp;L11142</f>
        <v/>
      </c>
    </row>
    <row r="11143" customFormat="1" s="94">
      <c r="B11143" s="128" t="n">
        <v>44154</v>
      </c>
      <c r="C11143" s="94">
        <f>TEXT(B11143,"aaa")</f>
        <v/>
      </c>
      <c r="E11143" s="94" t="inlineStr">
        <is>
          <t>토너</t>
        </is>
      </c>
      <c r="F11143" s="94" t="inlineStr">
        <is>
          <t>카페24</t>
        </is>
      </c>
      <c r="G11143" s="94" t="inlineStr">
        <is>
          <t>250ml</t>
        </is>
      </c>
      <c r="H11143" s="94" t="n">
        <v>200801</v>
      </c>
      <c r="I11143" s="94" t="n">
        <v>200801</v>
      </c>
      <c r="K11143" s="6" t="n">
        <v>87</v>
      </c>
      <c r="L11143" s="94" t="n">
        <v>200801</v>
      </c>
      <c r="M11143" s="94">
        <f>VLOOKUP($Q11143,매칭테이블!$F:$I,2,0)*K11143</f>
        <v/>
      </c>
      <c r="N11143" s="94">
        <f>M11143-M11143*VLOOKUP($Q11143,매칭테이블!$F:$I,3,0)</f>
        <v/>
      </c>
      <c r="O11143" s="94">
        <f>VLOOKUP($Q11143,매칭테이블!$F:$I,4,0)*K11143</f>
        <v/>
      </c>
      <c r="P11143" s="148">
        <f>M11143/1.1</f>
        <v/>
      </c>
      <c r="Q11143" s="94">
        <f>F11143&amp;E11143&amp;G11143&amp;L11143</f>
        <v/>
      </c>
    </row>
    <row r="11144" customFormat="1" s="94">
      <c r="B11144" s="128" t="n">
        <v>44154</v>
      </c>
      <c r="C11144" s="94">
        <f>TEXT(B11144,"aaa")</f>
        <v/>
      </c>
      <c r="E11144" s="94" t="inlineStr">
        <is>
          <t>토너</t>
        </is>
      </c>
      <c r="F11144" s="94" t="inlineStr">
        <is>
          <t>카페24</t>
        </is>
      </c>
      <c r="G11144" s="94" t="inlineStr">
        <is>
          <t>250ml 2set</t>
        </is>
      </c>
      <c r="H11144" s="94" t="n">
        <v>200801</v>
      </c>
      <c r="I11144" s="94" t="n">
        <v>200801</v>
      </c>
      <c r="K11144" s="6" t="n">
        <v>37</v>
      </c>
      <c r="L11144" s="94" t="n">
        <v>200801</v>
      </c>
      <c r="M11144" s="94">
        <f>VLOOKUP($Q11144,매칭테이블!$F:$I,2,0)*K11144</f>
        <v/>
      </c>
      <c r="N11144" s="94">
        <f>M11144-M11144*VLOOKUP($Q11144,매칭테이블!$F:$I,3,0)</f>
        <v/>
      </c>
      <c r="O11144" s="94">
        <f>VLOOKUP($Q11144,매칭테이블!$F:$I,4,0)*K11144</f>
        <v/>
      </c>
      <c r="P11144" s="148">
        <f>M11144/1.1</f>
        <v/>
      </c>
      <c r="Q11144" s="94">
        <f>F11144&amp;E11144&amp;G11144&amp;L11144</f>
        <v/>
      </c>
    </row>
    <row r="11145" customFormat="1" s="94">
      <c r="B11145" s="128" t="n">
        <v>44154</v>
      </c>
      <c r="C11145" s="94">
        <f>TEXT(B11145,"aaa")</f>
        <v/>
      </c>
      <c r="E11145" s="94" t="inlineStr">
        <is>
          <t>토너</t>
        </is>
      </c>
      <c r="F11145" s="94" t="inlineStr">
        <is>
          <t>카페24</t>
        </is>
      </c>
      <c r="G11145" s="94" t="inlineStr">
        <is>
          <t>500ml</t>
        </is>
      </c>
      <c r="H11145" s="94" t="n">
        <v>200801</v>
      </c>
      <c r="I11145" s="94" t="n">
        <v>200801</v>
      </c>
      <c r="K11145" s="6" t="n">
        <v>47</v>
      </c>
      <c r="L11145" s="94" t="n">
        <v>200801</v>
      </c>
      <c r="M11145" s="94">
        <f>VLOOKUP($Q11145,매칭테이블!$F:$I,2,0)*K11145</f>
        <v/>
      </c>
      <c r="N11145" s="94">
        <f>M11145-M11145*VLOOKUP($Q11145,매칭테이블!$F:$I,3,0)</f>
        <v/>
      </c>
      <c r="O11145" s="94">
        <f>VLOOKUP($Q11145,매칭테이블!$F:$I,4,0)*K11145</f>
        <v/>
      </c>
      <c r="P11145" s="148">
        <f>M11145/1.1</f>
        <v/>
      </c>
      <c r="Q11145" s="94">
        <f>F11145&amp;E11145&amp;G11145&amp;L11145</f>
        <v/>
      </c>
    </row>
    <row r="11146" customFormat="1" s="94">
      <c r="B11146" s="128" t="n">
        <v>44154</v>
      </c>
      <c r="C11146" s="94">
        <f>TEXT(B11146,"aaa")</f>
        <v/>
      </c>
      <c r="E11146" s="94" t="inlineStr">
        <is>
          <t>토너</t>
        </is>
      </c>
      <c r="F11146" s="94" t="inlineStr">
        <is>
          <t>카페24</t>
        </is>
      </c>
      <c r="G11146" s="94" t="inlineStr">
        <is>
          <t>스킨팩 화장솜 60P</t>
        </is>
      </c>
      <c r="H11146" s="94" t="n">
        <v>200801</v>
      </c>
      <c r="I11146" s="94" t="n">
        <v>200801</v>
      </c>
      <c r="K11146" s="6" t="n">
        <v>80</v>
      </c>
      <c r="L11146" s="94" t="n">
        <v>200801</v>
      </c>
      <c r="M11146" s="94">
        <f>VLOOKUP($Q11146,매칭테이블!$F:$I,2,0)*K11146</f>
        <v/>
      </c>
      <c r="N11146" s="94">
        <f>M11146-M11146*VLOOKUP($Q11146,매칭테이블!$F:$I,3,0)</f>
        <v/>
      </c>
      <c r="O11146" s="94">
        <f>VLOOKUP($Q11146,매칭테이블!$F:$I,4,0)*K11146</f>
        <v/>
      </c>
      <c r="P11146" s="148">
        <f>M11146/1.1</f>
        <v/>
      </c>
      <c r="Q11146" s="94">
        <f>F11146&amp;E11146&amp;G11146&amp;L11146</f>
        <v/>
      </c>
    </row>
    <row r="11147" customFormat="1" s="94">
      <c r="B11147" s="128" t="n">
        <v>44154</v>
      </c>
      <c r="C11147" s="94">
        <f>TEXT(B11147,"aaa")</f>
        <v/>
      </c>
      <c r="E11147" s="94" t="inlineStr">
        <is>
          <t>앰플</t>
        </is>
      </c>
      <c r="F11147" s="94" t="inlineStr">
        <is>
          <t>카페24</t>
        </is>
      </c>
      <c r="G11147" s="94" t="inlineStr">
        <is>
          <t>앰플 30ml</t>
        </is>
      </c>
      <c r="H11147" s="94" t="n">
        <v>200801</v>
      </c>
      <c r="I11147" s="94" t="n">
        <v>200801</v>
      </c>
      <c r="K11147" s="6" t="n">
        <v>29</v>
      </c>
      <c r="L11147" s="94" t="n">
        <v>200801</v>
      </c>
      <c r="M11147" s="94">
        <f>VLOOKUP($Q11147,매칭테이블!$F:$I,2,0)*K11147</f>
        <v/>
      </c>
      <c r="N11147" s="94">
        <f>M11147-M11147*VLOOKUP($Q11147,매칭테이블!$F:$I,3,0)</f>
        <v/>
      </c>
      <c r="O11147" s="94">
        <f>VLOOKUP($Q11147,매칭테이블!$F:$I,4,0)*K11147</f>
        <v/>
      </c>
      <c r="P11147" s="148">
        <f>M11147/1.1</f>
        <v/>
      </c>
      <c r="Q11147" s="94">
        <f>F11147&amp;E11147&amp;G11147&amp;L11147</f>
        <v/>
      </c>
    </row>
    <row r="11148" customFormat="1" s="94">
      <c r="B11148" s="128" t="n">
        <v>44154</v>
      </c>
      <c r="C11148" s="94">
        <f>TEXT(B11148,"aaa")</f>
        <v/>
      </c>
      <c r="E11148" s="94" t="inlineStr">
        <is>
          <t>앰플</t>
        </is>
      </c>
      <c r="F11148" s="94" t="inlineStr">
        <is>
          <t>카페24</t>
        </is>
      </c>
      <c r="G11148" s="94" t="inlineStr">
        <is>
          <t>앰플 30ml  2set</t>
        </is>
      </c>
      <c r="H11148" s="94" t="n">
        <v>200801</v>
      </c>
      <c r="I11148" s="94" t="n">
        <v>200801</v>
      </c>
      <c r="K11148" s="6" t="n">
        <v>7</v>
      </c>
      <c r="L11148" s="94" t="n">
        <v>200801</v>
      </c>
      <c r="M11148" s="94">
        <f>VLOOKUP($Q11148,매칭테이블!$F:$I,2,0)*K11148</f>
        <v/>
      </c>
      <c r="N11148" s="94">
        <f>M11148-M11148*VLOOKUP($Q11148,매칭테이블!$F:$I,3,0)</f>
        <v/>
      </c>
      <c r="O11148" s="94">
        <f>VLOOKUP($Q11148,매칭테이블!$F:$I,4,0)*K11148</f>
        <v/>
      </c>
      <c r="P11148" s="148">
        <f>M11148/1.1</f>
        <v/>
      </c>
      <c r="Q11148" s="94">
        <f>F11148&amp;E11148&amp;G11148&amp;L11148</f>
        <v/>
      </c>
    </row>
    <row r="11149" customFormat="1" s="94">
      <c r="B11149" s="128" t="n">
        <v>44154</v>
      </c>
      <c r="C11149" s="94">
        <f>TEXT(B11149,"aaa")</f>
        <v/>
      </c>
      <c r="E11149" s="94" t="inlineStr">
        <is>
          <t>수딩크림</t>
        </is>
      </c>
      <c r="F11149" s="94" t="inlineStr">
        <is>
          <t>카페24</t>
        </is>
      </c>
      <c r="G11149" s="94" t="inlineStr">
        <is>
          <t>수딩크림 100ml</t>
        </is>
      </c>
      <c r="H11149" s="94" t="n">
        <v>200801</v>
      </c>
      <c r="I11149" s="94" t="n">
        <v>200801</v>
      </c>
      <c r="K11149" s="6" t="n">
        <v>15</v>
      </c>
      <c r="L11149" s="94" t="n">
        <v>200801</v>
      </c>
      <c r="M11149" s="94">
        <f>VLOOKUP($Q11149,매칭테이블!$F:$I,2,0)*K11149</f>
        <v/>
      </c>
      <c r="N11149" s="94">
        <f>M11149-M11149*VLOOKUP($Q11149,매칭테이블!$F:$I,3,0)</f>
        <v/>
      </c>
      <c r="O11149" s="94">
        <f>VLOOKUP($Q11149,매칭테이블!$F:$I,4,0)*K11149</f>
        <v/>
      </c>
      <c r="P11149" s="148">
        <f>M11149/1.1</f>
        <v/>
      </c>
      <c r="Q11149" s="94">
        <f>F11149&amp;E11149&amp;G11149&amp;L11149</f>
        <v/>
      </c>
    </row>
    <row r="11150" customFormat="1" s="94">
      <c r="B11150" s="128" t="n">
        <v>44154</v>
      </c>
      <c r="C11150" s="94">
        <f>TEXT(B11150,"aaa")</f>
        <v/>
      </c>
      <c r="E11150" s="94" t="inlineStr">
        <is>
          <t>클렌징폼</t>
        </is>
      </c>
      <c r="F11150" s="94" t="inlineStr">
        <is>
          <t>카페24</t>
        </is>
      </c>
      <c r="G11150" s="94" t="inlineStr">
        <is>
          <t>클렌징폼 120ml</t>
        </is>
      </c>
      <c r="H11150" s="94" t="n">
        <v>200801</v>
      </c>
      <c r="I11150" s="94" t="n">
        <v>200801</v>
      </c>
      <c r="K11150" s="6" t="n">
        <v>16</v>
      </c>
      <c r="L11150" s="94" t="n">
        <v>200801</v>
      </c>
      <c r="M11150" s="94">
        <f>VLOOKUP($Q11150,매칭테이블!$F:$I,2,0)*K11150</f>
        <v/>
      </c>
      <c r="N11150" s="94">
        <f>M11150-M11150*VLOOKUP($Q11150,매칭테이블!$F:$I,3,0)</f>
        <v/>
      </c>
      <c r="O11150" s="94">
        <f>VLOOKUP($Q11150,매칭테이블!$F:$I,4,0)*K11150</f>
        <v/>
      </c>
      <c r="P11150" s="148">
        <f>M11150/1.1</f>
        <v/>
      </c>
      <c r="Q11150" s="94">
        <f>F11150&amp;E11150&amp;G11150&amp;L11150</f>
        <v/>
      </c>
    </row>
    <row r="11151" customFormat="1" s="94">
      <c r="B11151" s="128" t="n">
        <v>44154</v>
      </c>
      <c r="C11151" s="94">
        <f>TEXT(B11151,"aaa")</f>
        <v/>
      </c>
      <c r="E11151" s="94" t="inlineStr">
        <is>
          <t>클렌징폼</t>
        </is>
      </c>
      <c r="F11151" s="94" t="inlineStr">
        <is>
          <t>카페24</t>
        </is>
      </c>
      <c r="G11151" s="94" t="inlineStr">
        <is>
          <t>클렌징폼 120ml 2set</t>
        </is>
      </c>
      <c r="H11151" s="94" t="n">
        <v>200801</v>
      </c>
      <c r="I11151" s="94" t="n">
        <v>200801</v>
      </c>
      <c r="K11151" s="6" t="n">
        <v>4</v>
      </c>
      <c r="L11151" s="94" t="n">
        <v>200801</v>
      </c>
      <c r="M11151" s="94">
        <f>VLOOKUP($Q11151,매칭테이블!$F:$I,2,0)*K11151</f>
        <v/>
      </c>
      <c r="N11151" s="94">
        <f>M11151-M11151*VLOOKUP($Q11151,매칭테이블!$F:$I,3,0)</f>
        <v/>
      </c>
      <c r="O11151" s="94">
        <f>VLOOKUP($Q11151,매칭테이블!$F:$I,4,0)*K11151</f>
        <v/>
      </c>
      <c r="P11151" s="148">
        <f>M11151/1.1</f>
        <v/>
      </c>
      <c r="Q11151" s="94">
        <f>F11151&amp;E11151&amp;G11151&amp;L11151</f>
        <v/>
      </c>
    </row>
    <row r="11152" customFormat="1" s="94">
      <c r="B11152" s="128" t="n">
        <v>44154</v>
      </c>
      <c r="C11152" s="94">
        <f>TEXT(B11152,"aaa")</f>
        <v/>
      </c>
      <c r="E11152" s="94" t="inlineStr">
        <is>
          <t>클렌징폼</t>
        </is>
      </c>
      <c r="F11152" s="94" t="inlineStr">
        <is>
          <t>카페24</t>
        </is>
      </c>
      <c r="G11152" s="94" t="inlineStr">
        <is>
          <t>클렌징폼 120ml 3set</t>
        </is>
      </c>
      <c r="H11152" s="94" t="n">
        <v>200801</v>
      </c>
      <c r="I11152" s="94" t="n">
        <v>200801</v>
      </c>
      <c r="K11152" s="6" t="n">
        <v>4</v>
      </c>
      <c r="L11152" s="94" t="n">
        <v>200801</v>
      </c>
      <c r="M11152" s="94">
        <f>VLOOKUP($Q11152,매칭테이블!$F:$I,2,0)*K11152</f>
        <v/>
      </c>
      <c r="N11152" s="94">
        <f>M11152-M11152*VLOOKUP($Q11152,매칭테이블!$F:$I,3,0)</f>
        <v/>
      </c>
      <c r="O11152" s="94">
        <f>VLOOKUP($Q11152,매칭테이블!$F:$I,4,0)*K11152</f>
        <v/>
      </c>
      <c r="P11152" s="148">
        <f>M11152/1.1</f>
        <v/>
      </c>
      <c r="Q11152" s="94">
        <f>F11152&amp;E11152&amp;G11152&amp;L11152</f>
        <v/>
      </c>
    </row>
    <row r="11153" customFormat="1" s="94">
      <c r="B11153" s="128" t="n">
        <v>44154</v>
      </c>
      <c r="C11153" s="94">
        <f>TEXT(B11153,"aaa")</f>
        <v/>
      </c>
      <c r="E11153" s="94" t="inlineStr">
        <is>
          <t>바디워시</t>
        </is>
      </c>
      <c r="F11153" s="94" t="inlineStr">
        <is>
          <t>카페24</t>
        </is>
      </c>
      <c r="G11153" s="94" t="inlineStr">
        <is>
          <t>바디워시 1개 -30% off</t>
        </is>
      </c>
      <c r="H11153" s="94" t="n">
        <v>200801</v>
      </c>
      <c r="I11153" s="94" t="n">
        <v>200801</v>
      </c>
      <c r="K11153" s="6" t="n">
        <v>1</v>
      </c>
      <c r="L11153" s="94" t="n">
        <v>200801</v>
      </c>
      <c r="M11153" s="94">
        <f>VLOOKUP($Q11153,매칭테이블!$F:$I,2,0)*K11153</f>
        <v/>
      </c>
      <c r="N11153" s="94">
        <f>M11153-M11153*VLOOKUP($Q11153,매칭테이블!$F:$I,3,0)</f>
        <v/>
      </c>
      <c r="O11153" s="94">
        <f>VLOOKUP($Q11153,매칭테이블!$F:$I,4,0)*K11153</f>
        <v/>
      </c>
      <c r="P11153" s="148">
        <f>M11153/1.1</f>
        <v/>
      </c>
      <c r="Q11153" s="94">
        <f>F11153&amp;E11153&amp;G11153&amp;L11153</f>
        <v/>
      </c>
    </row>
    <row r="11154" customFormat="1" s="94">
      <c r="B11154" s="128" t="n">
        <v>44154</v>
      </c>
      <c r="C11154" s="94">
        <f>TEXT(B11154,"aaa")</f>
        <v/>
      </c>
      <c r="E11154" s="94" t="inlineStr">
        <is>
          <t>토너</t>
        </is>
      </c>
      <c r="F11154" s="94" t="inlineStr">
        <is>
          <t>화해</t>
        </is>
      </c>
      <c r="G11154" s="94" t="inlineStr">
        <is>
          <t>250ml</t>
        </is>
      </c>
      <c r="H11154" s="94" t="n">
        <v>200801</v>
      </c>
      <c r="I11154" s="94" t="n">
        <v>200801</v>
      </c>
      <c r="K11154" s="6" t="n">
        <v>5</v>
      </c>
      <c r="L11154" s="94" t="n">
        <v>200801</v>
      </c>
      <c r="M11154" s="94">
        <f>VLOOKUP($Q11154,매칭테이블!$F:$I,2,0)*K11154</f>
        <v/>
      </c>
      <c r="N11154" s="94">
        <f>M11154-M11154*VLOOKUP($Q11154,매칭테이블!$F:$I,3,0)</f>
        <v/>
      </c>
      <c r="O11154" s="94">
        <f>VLOOKUP($Q11154,매칭테이블!$F:$I,4,0)*K11154</f>
        <v/>
      </c>
      <c r="P11154" s="148">
        <f>M11154/1.1</f>
        <v/>
      </c>
      <c r="Q11154" s="94">
        <f>F11154&amp;E11154&amp;G11154&amp;L11154</f>
        <v/>
      </c>
    </row>
    <row r="11155" customFormat="1" s="94">
      <c r="B11155" s="128" t="n">
        <v>44154</v>
      </c>
      <c r="C11155" s="94">
        <f>TEXT(B11155,"aaa")</f>
        <v/>
      </c>
      <c r="E11155" s="94" t="inlineStr">
        <is>
          <t>클렌징폼</t>
        </is>
      </c>
      <c r="F11155" s="94" t="inlineStr">
        <is>
          <t>화해</t>
        </is>
      </c>
      <c r="G11155" s="94" t="inlineStr">
        <is>
          <t>클렌징폼 120ml</t>
        </is>
      </c>
      <c r="H11155" s="94" t="n">
        <v>200801</v>
      </c>
      <c r="I11155" s="94" t="n">
        <v>200801</v>
      </c>
      <c r="K11155" s="6" t="n">
        <v>1</v>
      </c>
      <c r="L11155" s="94" t="n">
        <v>200801</v>
      </c>
      <c r="M11155" s="94">
        <f>VLOOKUP($Q11155,매칭테이블!$F:$I,2,0)*K11155</f>
        <v/>
      </c>
      <c r="N11155" s="94">
        <f>M11155-M11155*VLOOKUP($Q11155,매칭테이블!$F:$I,3,0)</f>
        <v/>
      </c>
      <c r="O11155" s="94">
        <f>VLOOKUP($Q11155,매칭테이블!$F:$I,4,0)*K11155</f>
        <v/>
      </c>
      <c r="P11155" s="148">
        <f>M11155/1.1</f>
        <v/>
      </c>
      <c r="Q11155" s="94">
        <f>F11155&amp;E11155&amp;G11155&amp;L11155</f>
        <v/>
      </c>
    </row>
    <row r="11156" customFormat="1" s="94">
      <c r="B11156" s="128" t="n">
        <v>44154</v>
      </c>
      <c r="C11156" s="94">
        <f>TEXT(B11156,"aaa")</f>
        <v/>
      </c>
      <c r="E11156" s="94" t="inlineStr">
        <is>
          <t>선크림</t>
        </is>
      </c>
      <c r="F11156" s="94" t="inlineStr">
        <is>
          <t>화해</t>
        </is>
      </c>
      <c r="G11156" s="94" t="inlineStr">
        <is>
          <t>선크림 50ml</t>
        </is>
      </c>
      <c r="H11156" s="94" t="n">
        <v>200801</v>
      </c>
      <c r="I11156" s="94" t="n">
        <v>200801</v>
      </c>
      <c r="K11156" s="6" t="n">
        <v>1</v>
      </c>
      <c r="L11156" s="94" t="n">
        <v>200801</v>
      </c>
      <c r="M11156" s="94">
        <f>VLOOKUP($Q11156,매칭테이블!$F:$I,2,0)*K11156</f>
        <v/>
      </c>
      <c r="N11156" s="94">
        <f>M11156-M11156*VLOOKUP($Q11156,매칭테이블!$F:$I,3,0)</f>
        <v/>
      </c>
      <c r="O11156" s="94">
        <f>VLOOKUP($Q11156,매칭테이블!$F:$I,4,0)*K11156</f>
        <v/>
      </c>
      <c r="P11156" s="148">
        <f>M11156/1.1</f>
        <v/>
      </c>
      <c r="Q11156" s="94">
        <f>F11156&amp;E11156&amp;G11156&amp;L11156</f>
        <v/>
      </c>
    </row>
    <row r="11157" customFormat="1" s="94">
      <c r="B11157" s="128" t="n">
        <v>44155</v>
      </c>
      <c r="C11157" s="94">
        <f>TEXT(B11157,"aaa")</f>
        <v/>
      </c>
      <c r="E11157" s="94" t="inlineStr">
        <is>
          <t>토너</t>
        </is>
      </c>
      <c r="F11157" s="94" t="inlineStr">
        <is>
          <t>W컨셉</t>
        </is>
      </c>
      <c r="G11157" s="94" t="inlineStr">
        <is>
          <t>250ml 2set</t>
        </is>
      </c>
      <c r="H11157" s="94" t="n">
        <v>200801</v>
      </c>
      <c r="I11157" s="94" t="n">
        <v>200801</v>
      </c>
      <c r="K11157" s="6" t="n">
        <v>2</v>
      </c>
      <c r="L11157" s="94" t="n">
        <v>200801</v>
      </c>
      <c r="M11157" s="94">
        <f>VLOOKUP($Q11157,매칭테이블!$F:$I,2,0)*K11157</f>
        <v/>
      </c>
      <c r="N11157" s="94">
        <f>M11157-M11157*VLOOKUP($Q11157,매칭테이블!$F:$I,3,0)</f>
        <v/>
      </c>
      <c r="O11157" s="94">
        <f>VLOOKUP($Q11157,매칭테이블!$F:$I,4,0)*K11157</f>
        <v/>
      </c>
      <c r="P11157" s="148">
        <f>M11157/1.1</f>
        <v/>
      </c>
      <c r="Q11157" s="94">
        <f>F11157&amp;E11157&amp;G11157&amp;L11157</f>
        <v/>
      </c>
    </row>
    <row r="11158" customFormat="1" s="94">
      <c r="B11158" s="128" t="n">
        <v>44155</v>
      </c>
      <c r="C11158" s="94">
        <f>TEXT(B11158,"aaa")</f>
        <v/>
      </c>
      <c r="E11158" s="94" t="inlineStr">
        <is>
          <t>로션</t>
        </is>
      </c>
      <c r="F11158" s="94" t="inlineStr">
        <is>
          <t>아누아 CS</t>
        </is>
      </c>
      <c r="G11158" s="94" t="inlineStr">
        <is>
          <t>로션 200ml</t>
        </is>
      </c>
      <c r="H11158" s="94" t="n">
        <v>200801</v>
      </c>
      <c r="I11158" s="94" t="n">
        <v>200801</v>
      </c>
      <c r="K11158" s="6" t="n">
        <v>20</v>
      </c>
      <c r="L11158" s="94" t="n">
        <v>200801</v>
      </c>
      <c r="M11158" s="94">
        <f>VLOOKUP($Q11158,매칭테이블!$F:$I,2,0)*K11158</f>
        <v/>
      </c>
      <c r="N11158" s="94">
        <f>M11158-M11158*VLOOKUP($Q11158,매칭테이블!$F:$I,3,0)</f>
        <v/>
      </c>
      <c r="O11158" s="94">
        <f>VLOOKUP($Q11158,매칭테이블!$F:$I,4,0)*K11158</f>
        <v/>
      </c>
      <c r="P11158" s="148">
        <f>M11158/1.1</f>
        <v/>
      </c>
      <c r="Q11158" s="94">
        <f>F11158&amp;E11158&amp;G11158&amp;L11158</f>
        <v/>
      </c>
    </row>
    <row r="11159" customFormat="1" s="94">
      <c r="B11159" s="128" t="n">
        <v>44155</v>
      </c>
      <c r="C11159" s="94">
        <f>TEXT(B11159,"aaa")</f>
        <v/>
      </c>
      <c r="E11159" s="94" t="inlineStr">
        <is>
          <t>토너</t>
        </is>
      </c>
      <c r="F11159" s="94" t="inlineStr">
        <is>
          <t>아누아 CS</t>
        </is>
      </c>
      <c r="G11159" s="94" t="inlineStr">
        <is>
          <t>250ml</t>
        </is>
      </c>
      <c r="H11159" s="94" t="n">
        <v>200801</v>
      </c>
      <c r="I11159" s="94" t="n">
        <v>200801</v>
      </c>
      <c r="K11159" s="6" t="n">
        <v>20</v>
      </c>
      <c r="L11159" s="94" t="n">
        <v>200801</v>
      </c>
      <c r="M11159" s="94">
        <f>VLOOKUP($Q11159,매칭테이블!$F:$I,2,0)*K11159</f>
        <v/>
      </c>
      <c r="N11159" s="94">
        <f>M11159-M11159*VLOOKUP($Q11159,매칭테이블!$F:$I,3,0)</f>
        <v/>
      </c>
      <c r="O11159" s="94">
        <f>VLOOKUP($Q11159,매칭테이블!$F:$I,4,0)*K11159</f>
        <v/>
      </c>
      <c r="P11159" s="148">
        <f>M11159/1.1</f>
        <v/>
      </c>
      <c r="Q11159" s="94">
        <f>F11159&amp;E11159&amp;G11159&amp;L11159</f>
        <v/>
      </c>
    </row>
    <row r="11160" customFormat="1" s="94">
      <c r="B11160" s="128" t="n">
        <v>44155</v>
      </c>
      <c r="C11160" s="94">
        <f>TEXT(B11160,"aaa")</f>
        <v/>
      </c>
      <c r="E11160" s="94" t="inlineStr">
        <is>
          <t>선크림</t>
        </is>
      </c>
      <c r="F11160" s="94" t="inlineStr">
        <is>
          <t>카페24</t>
        </is>
      </c>
      <c r="G11160" s="94" t="inlineStr">
        <is>
          <t>선크림 50ml</t>
        </is>
      </c>
      <c r="H11160" s="94" t="n">
        <v>200801</v>
      </c>
      <c r="I11160" s="94" t="n">
        <v>200801</v>
      </c>
      <c r="K11160" s="6" t="n">
        <v>5</v>
      </c>
      <c r="L11160" s="94" t="n">
        <v>200801</v>
      </c>
      <c r="M11160" s="94">
        <f>VLOOKUP($Q11160,매칭테이블!$F:$I,2,0)*K11160</f>
        <v/>
      </c>
      <c r="N11160" s="94">
        <f>M11160-M11160*VLOOKUP($Q11160,매칭테이블!$F:$I,3,0)</f>
        <v/>
      </c>
      <c r="O11160" s="94">
        <f>VLOOKUP($Q11160,매칭테이블!$F:$I,4,0)*K11160</f>
        <v/>
      </c>
      <c r="P11160" s="148">
        <f>M11160/1.1</f>
        <v/>
      </c>
      <c r="Q11160" s="94">
        <f>F11160&amp;E11160&amp;G11160&amp;L11160</f>
        <v/>
      </c>
    </row>
    <row r="11161" customFormat="1" s="94">
      <c r="B11161" s="128" t="n">
        <v>44155</v>
      </c>
      <c r="C11161" s="94">
        <f>TEXT(B11161,"aaa")</f>
        <v/>
      </c>
      <c r="E11161" s="94" t="inlineStr">
        <is>
          <t>선크림</t>
        </is>
      </c>
      <c r="F11161" s="94" t="inlineStr">
        <is>
          <t>카페24</t>
        </is>
      </c>
      <c r="G11161" s="94" t="inlineStr">
        <is>
          <t>선크림 50ml  2set</t>
        </is>
      </c>
      <c r="H11161" s="94" t="n">
        <v>200801</v>
      </c>
      <c r="I11161" s="94" t="n">
        <v>200801</v>
      </c>
      <c r="K11161" s="6" t="n">
        <v>1</v>
      </c>
      <c r="L11161" s="94" t="n">
        <v>200801</v>
      </c>
      <c r="M11161" s="94">
        <f>VLOOKUP($Q11161,매칭테이블!$F:$I,2,0)*K11161</f>
        <v/>
      </c>
      <c r="N11161" s="94">
        <f>M11161-M11161*VLOOKUP($Q11161,매칭테이블!$F:$I,3,0)</f>
        <v/>
      </c>
      <c r="O11161" s="94">
        <f>VLOOKUP($Q11161,매칭테이블!$F:$I,4,0)*K11161</f>
        <v/>
      </c>
      <c r="P11161" s="148">
        <f>M11161/1.1</f>
        <v/>
      </c>
      <c r="Q11161" s="94">
        <f>F11161&amp;E11161&amp;G11161&amp;L11161</f>
        <v/>
      </c>
    </row>
    <row r="11162" customFormat="1" s="94">
      <c r="B11162" s="128" t="n">
        <v>44155</v>
      </c>
      <c r="C11162" s="94">
        <f>TEXT(B11162,"aaa")</f>
        <v/>
      </c>
      <c r="E11162" s="94" t="inlineStr">
        <is>
          <t>카밍크림</t>
        </is>
      </c>
      <c r="F11162" s="94" t="inlineStr">
        <is>
          <t>카페24</t>
        </is>
      </c>
      <c r="G11162" s="94" t="inlineStr">
        <is>
          <t>[플친 단독 (11/16-11/20)] 크림(필수)=어성초 70 인텐스 카밍 크림 1개-20% off</t>
        </is>
      </c>
      <c r="H11162" s="94" t="n">
        <v>200801</v>
      </c>
      <c r="I11162" s="94" t="n">
        <v>200801</v>
      </c>
      <c r="K11162" s="6" t="n">
        <v>3</v>
      </c>
      <c r="L11162" s="94" t="n">
        <v>200801</v>
      </c>
      <c r="M11162" s="94">
        <f>VLOOKUP($Q11162,매칭테이블!$F:$I,2,0)*K11162</f>
        <v/>
      </c>
      <c r="N11162" s="94">
        <f>M11162-M11162*VLOOKUP($Q11162,매칭테이블!$F:$I,3,0)</f>
        <v/>
      </c>
      <c r="O11162" s="94">
        <f>VLOOKUP($Q11162,매칭테이블!$F:$I,4,0)*K11162</f>
        <v/>
      </c>
      <c r="P11162" s="148">
        <f>M11162/1.1</f>
        <v/>
      </c>
      <c r="Q11162" s="94">
        <f>F11162&amp;E11162&amp;G11162&amp;L11162</f>
        <v/>
      </c>
    </row>
    <row r="11163" customFormat="1" s="94">
      <c r="B11163" s="128" t="n">
        <v>44155</v>
      </c>
      <c r="C11163" s="94">
        <f>TEXT(B11163,"aaa")</f>
        <v/>
      </c>
      <c r="E11163" s="94" t="inlineStr">
        <is>
          <t>카밍크림</t>
        </is>
      </c>
      <c r="F11163" s="94" t="inlineStr">
        <is>
          <t>카페24</t>
        </is>
      </c>
      <c r="G11163" s="94" t="inlineStr">
        <is>
          <t>[플친 단독 (11/16-11/20)] 크림(필수)=어성초 70 인텐스 카밍 크림 2개-30% off (무료배송)</t>
        </is>
      </c>
      <c r="H11163" s="94" t="n">
        <v>200801</v>
      </c>
      <c r="I11163" s="94" t="n">
        <v>200801</v>
      </c>
      <c r="K11163" s="6" t="n">
        <v>4</v>
      </c>
      <c r="L11163" s="94" t="n">
        <v>200801</v>
      </c>
      <c r="M11163" s="94">
        <f>VLOOKUP($Q11163,매칭테이블!$F:$I,2,0)*K11163</f>
        <v/>
      </c>
      <c r="N11163" s="94">
        <f>M11163-M11163*VLOOKUP($Q11163,매칭테이블!$F:$I,3,0)</f>
        <v/>
      </c>
      <c r="O11163" s="94">
        <f>VLOOKUP($Q11163,매칭테이블!$F:$I,4,0)*K11163</f>
        <v/>
      </c>
      <c r="P11163" s="148">
        <f>M11163/1.1</f>
        <v/>
      </c>
      <c r="Q11163" s="94">
        <f>F11163&amp;E11163&amp;G11163&amp;L11163</f>
        <v/>
      </c>
    </row>
    <row r="11164" customFormat="1" s="94">
      <c r="B11164" s="128" t="n">
        <v>44155</v>
      </c>
      <c r="C11164" s="94">
        <f>TEXT(B11164,"aaa")</f>
        <v/>
      </c>
      <c r="E11164" s="94" t="inlineStr">
        <is>
          <t>크림마스크</t>
        </is>
      </c>
      <c r="F11164" s="94" t="inlineStr">
        <is>
          <t>카페24</t>
        </is>
      </c>
      <c r="G11164" s="94" t="inlineStr">
        <is>
          <t>[플친 단독 (11/16-11/20)] 크림마스크팩(선택)=크림마스크팩 1장-50% off</t>
        </is>
      </c>
      <c r="H11164" s="94" t="n">
        <v>200801</v>
      </c>
      <c r="I11164" s="94" t="n">
        <v>200801</v>
      </c>
      <c r="K11164" s="6" t="n">
        <v>13</v>
      </c>
      <c r="L11164" s="94" t="n">
        <v>200801</v>
      </c>
      <c r="M11164" s="94">
        <f>VLOOKUP($Q11164,매칭테이블!$F:$I,2,0)*K11164</f>
        <v/>
      </c>
      <c r="N11164" s="94">
        <f>M11164-M11164*VLOOKUP($Q11164,매칭테이블!$F:$I,3,0)</f>
        <v/>
      </c>
      <c r="O11164" s="94">
        <f>VLOOKUP($Q11164,매칭테이블!$F:$I,4,0)*K11164</f>
        <v/>
      </c>
      <c r="P11164" s="148">
        <f>M11164/1.1</f>
        <v/>
      </c>
      <c r="Q11164" s="94">
        <f>F11164&amp;E11164&amp;G11164&amp;L11164</f>
        <v/>
      </c>
    </row>
    <row r="11165" customFormat="1" s="94">
      <c r="B11165" s="128" t="n">
        <v>44155</v>
      </c>
      <c r="C11165" s="94">
        <f>TEXT(B11165,"aaa")</f>
        <v/>
      </c>
      <c r="E11165" s="94" t="inlineStr">
        <is>
          <t>어성초진정패키지</t>
        </is>
      </c>
      <c r="F11165" s="94" t="inlineStr">
        <is>
          <t>카페24</t>
        </is>
      </c>
      <c r="G11165" s="94" t="inlineStr">
        <is>
          <t>어성초 진정패키지세트</t>
        </is>
      </c>
      <c r="H11165" s="94" t="n">
        <v>200801</v>
      </c>
      <c r="I11165" s="94" t="n">
        <v>200801</v>
      </c>
      <c r="K11165" s="6" t="n">
        <v>4</v>
      </c>
      <c r="L11165" s="94" t="n">
        <v>200801</v>
      </c>
      <c r="M11165" s="94">
        <f>VLOOKUP($Q11165,매칭테이블!$F:$I,2,0)*K11165</f>
        <v/>
      </c>
      <c r="N11165" s="94">
        <f>M11165-M11165*VLOOKUP($Q11165,매칭테이블!$F:$I,3,0)</f>
        <v/>
      </c>
      <c r="O11165" s="94">
        <f>VLOOKUP($Q11165,매칭테이블!$F:$I,4,0)*K11165</f>
        <v/>
      </c>
      <c r="P11165" s="148">
        <f>M11165/1.1</f>
        <v/>
      </c>
      <c r="Q11165" s="94">
        <f>F11165&amp;E11165&amp;G11165&amp;L11165</f>
        <v/>
      </c>
    </row>
    <row r="11166" customFormat="1" s="94">
      <c r="B11166" s="128" t="n">
        <v>44155</v>
      </c>
      <c r="C11166" s="94">
        <f>TEXT(B11166,"aaa")</f>
        <v/>
      </c>
      <c r="E11166" s="94" t="inlineStr">
        <is>
          <t>클리어 패드</t>
        </is>
      </c>
      <c r="F11166" s="94" t="inlineStr">
        <is>
          <t>카페24</t>
        </is>
      </c>
      <c r="G11166" s="94" t="inlineStr">
        <is>
          <t>어성초 77 클리어 패드 1개-20% off</t>
        </is>
      </c>
      <c r="H11166" s="94" t="n">
        <v>200801</v>
      </c>
      <c r="I11166" s="94" t="n">
        <v>200801</v>
      </c>
      <c r="K11166" s="6" t="n">
        <v>65</v>
      </c>
      <c r="L11166" s="94" t="n">
        <v>200801</v>
      </c>
      <c r="M11166" s="94">
        <f>VLOOKUP($Q11166,매칭테이블!$F:$I,2,0)*K11166</f>
        <v/>
      </c>
      <c r="N11166" s="94">
        <f>M11166-M11166*VLOOKUP($Q11166,매칭테이블!$F:$I,3,0)</f>
        <v/>
      </c>
      <c r="O11166" s="94">
        <f>VLOOKUP($Q11166,매칭테이블!$F:$I,4,0)*K11166</f>
        <v/>
      </c>
      <c r="P11166" s="148">
        <f>M11166/1.1</f>
        <v/>
      </c>
      <c r="Q11166" s="94">
        <f>F11166&amp;E11166&amp;G11166&amp;L11166</f>
        <v/>
      </c>
    </row>
    <row r="11167" customFormat="1" s="94">
      <c r="B11167" s="128" t="n">
        <v>44155</v>
      </c>
      <c r="C11167" s="94">
        <f>TEXT(B11167,"aaa")</f>
        <v/>
      </c>
      <c r="E11167" s="94" t="inlineStr">
        <is>
          <t>클리어 패드</t>
        </is>
      </c>
      <c r="F11167" s="94" t="inlineStr">
        <is>
          <t>카페24</t>
        </is>
      </c>
      <c r="G11167" s="94" t="inlineStr">
        <is>
          <t>어성초 77 클리어 패드 2개-30% off</t>
        </is>
      </c>
      <c r="H11167" s="94" t="n">
        <v>200801</v>
      </c>
      <c r="I11167" s="94" t="n">
        <v>200801</v>
      </c>
      <c r="K11167" s="6" t="n">
        <v>73</v>
      </c>
      <c r="L11167" s="94" t="n">
        <v>200801</v>
      </c>
      <c r="M11167" s="94">
        <f>VLOOKUP($Q11167,매칭테이블!$F:$I,2,0)*K11167</f>
        <v/>
      </c>
      <c r="N11167" s="94">
        <f>M11167-M11167*VLOOKUP($Q11167,매칭테이블!$F:$I,3,0)</f>
        <v/>
      </c>
      <c r="O11167" s="94">
        <f>VLOOKUP($Q11167,매칭테이블!$F:$I,4,0)*K11167</f>
        <v/>
      </c>
      <c r="P11167" s="148">
        <f>M11167/1.1</f>
        <v/>
      </c>
      <c r="Q11167" s="94">
        <f>F11167&amp;E11167&amp;G11167&amp;L11167</f>
        <v/>
      </c>
    </row>
    <row r="11168" customFormat="1" s="94">
      <c r="B11168" s="128" t="n">
        <v>44155</v>
      </c>
      <c r="C11168" s="94">
        <f>TEXT(B11168,"aaa")</f>
        <v/>
      </c>
      <c r="E11168" s="94" t="inlineStr">
        <is>
          <t>토너+패드 세트</t>
        </is>
      </c>
      <c r="F11168" s="94" t="inlineStr">
        <is>
          <t>카페24</t>
        </is>
      </c>
      <c r="G11168" s="94" t="inlineStr">
        <is>
          <t>좁쌀 진정 세트 토너+클리어 패드-30% off</t>
        </is>
      </c>
      <c r="H11168" s="94" t="n">
        <v>200801</v>
      </c>
      <c r="I11168" s="94" t="n">
        <v>200801</v>
      </c>
      <c r="K11168" s="6" t="n">
        <v>66</v>
      </c>
      <c r="L11168" s="94" t="n">
        <v>200801</v>
      </c>
      <c r="M11168" s="94">
        <f>VLOOKUP($Q11168,매칭테이블!$F:$I,2,0)*K11168</f>
        <v/>
      </c>
      <c r="N11168" s="94">
        <f>M11168-M11168*VLOOKUP($Q11168,매칭테이블!$F:$I,3,0)</f>
        <v/>
      </c>
      <c r="O11168" s="94">
        <f>VLOOKUP($Q11168,매칭테이블!$F:$I,4,0)*K11168</f>
        <v/>
      </c>
      <c r="P11168" s="148">
        <f>M11168/1.1</f>
        <v/>
      </c>
      <c r="Q11168" s="94">
        <f>F11168&amp;E11168&amp;G11168&amp;L11168</f>
        <v/>
      </c>
    </row>
    <row r="11169" customFormat="1" s="94">
      <c r="B11169" s="128" t="n">
        <v>44155</v>
      </c>
      <c r="C11169" s="94">
        <f>TEXT(B11169,"aaa")</f>
        <v/>
      </c>
      <c r="E11169" s="94" t="inlineStr">
        <is>
          <t>수분 보충 세트</t>
        </is>
      </c>
      <c r="F11169" s="94" t="inlineStr">
        <is>
          <t>카페24</t>
        </is>
      </c>
      <c r="G11169" s="94" t="inlineStr">
        <is>
          <t>[20/09/28 부터] 어성초 77 토너 250ml + 어성초 70 로션 200ml -30%</t>
        </is>
      </c>
      <c r="H11169" s="94" t="n">
        <v>200801</v>
      </c>
      <c r="I11169" s="94" t="n">
        <v>200801</v>
      </c>
      <c r="K11169" s="6" t="n">
        <v>33</v>
      </c>
      <c r="L11169" s="94" t="n">
        <v>200801</v>
      </c>
      <c r="M11169" s="94">
        <f>VLOOKUP($Q11169,매칭테이블!$F:$I,2,0)*K11169</f>
        <v/>
      </c>
      <c r="N11169" s="94">
        <f>M11169-M11169*VLOOKUP($Q11169,매칭테이블!$F:$I,3,0)</f>
        <v/>
      </c>
      <c r="O11169" s="94">
        <f>VLOOKUP($Q11169,매칭테이블!$F:$I,4,0)*K11169</f>
        <v/>
      </c>
      <c r="P11169" s="148">
        <f>M11169/1.1</f>
        <v/>
      </c>
      <c r="Q11169" s="94">
        <f>F11169&amp;E11169&amp;G11169&amp;L11169</f>
        <v/>
      </c>
    </row>
    <row r="11170" customFormat="1" s="94">
      <c r="B11170" s="128" t="n">
        <v>44155</v>
      </c>
      <c r="C11170" s="94">
        <f>TEXT(B11170,"aaa")</f>
        <v/>
      </c>
      <c r="E11170" s="94" t="inlineStr">
        <is>
          <t>로션</t>
        </is>
      </c>
      <c r="F11170" s="94" t="inlineStr">
        <is>
          <t>카페24</t>
        </is>
      </c>
      <c r="G11170" s="94" t="inlineStr">
        <is>
          <t>어성초 70 데일리 릴리프 로션 1개 -20% off</t>
        </is>
      </c>
      <c r="H11170" s="94" t="n">
        <v>200801</v>
      </c>
      <c r="I11170" s="94" t="n">
        <v>200801</v>
      </c>
      <c r="K11170" s="6" t="n">
        <v>4</v>
      </c>
      <c r="L11170" s="94" t="n">
        <v>200801</v>
      </c>
      <c r="M11170" s="94">
        <f>VLOOKUP($Q11170,매칭테이블!$F:$I,2,0)*K11170</f>
        <v/>
      </c>
      <c r="N11170" s="94">
        <f>M11170-M11170*VLOOKUP($Q11170,매칭테이블!$F:$I,3,0)</f>
        <v/>
      </c>
      <c r="O11170" s="94">
        <f>VLOOKUP($Q11170,매칭테이블!$F:$I,4,0)*K11170</f>
        <v/>
      </c>
      <c r="P11170" s="148">
        <f>M11170/1.1</f>
        <v/>
      </c>
      <c r="Q11170" s="94">
        <f>F11170&amp;E11170&amp;G11170&amp;L11170</f>
        <v/>
      </c>
    </row>
    <row r="11171" customFormat="1" s="94">
      <c r="B11171" s="128" t="n">
        <v>44155</v>
      </c>
      <c r="C11171" s="94">
        <f>TEXT(B11171,"aaa")</f>
        <v/>
      </c>
      <c r="E11171" s="94" t="inlineStr">
        <is>
          <t>머드크림마스크</t>
        </is>
      </c>
      <c r="F11171" s="94" t="inlineStr">
        <is>
          <t>카페24</t>
        </is>
      </c>
      <c r="G11171" s="94" t="inlineStr">
        <is>
          <t>머드크림마스크 100ml</t>
        </is>
      </c>
      <c r="H11171" s="94" t="n">
        <v>200801</v>
      </c>
      <c r="I11171" s="94" t="n">
        <v>200801</v>
      </c>
      <c r="K11171" s="6" t="n">
        <v>6</v>
      </c>
      <c r="L11171" s="94" t="n">
        <v>200801</v>
      </c>
      <c r="M11171" s="94">
        <f>VLOOKUP($Q11171,매칭테이블!$F:$I,2,0)*K11171</f>
        <v/>
      </c>
      <c r="N11171" s="94">
        <f>M11171-M11171*VLOOKUP($Q11171,매칭테이블!$F:$I,3,0)</f>
        <v/>
      </c>
      <c r="O11171" s="94">
        <f>VLOOKUP($Q11171,매칭테이블!$F:$I,4,0)*K11171</f>
        <v/>
      </c>
      <c r="P11171" s="148">
        <f>M11171/1.1</f>
        <v/>
      </c>
      <c r="Q11171" s="94">
        <f>F11171&amp;E11171&amp;G11171&amp;L11171</f>
        <v/>
      </c>
    </row>
    <row r="11172" customFormat="1" s="94">
      <c r="B11172" s="128" t="n">
        <v>44155</v>
      </c>
      <c r="C11172" s="94">
        <f>TEXT(B11172,"aaa")</f>
        <v/>
      </c>
      <c r="E11172" s="94" t="inlineStr">
        <is>
          <t>머드크림마스크</t>
        </is>
      </c>
      <c r="F11172" s="94" t="inlineStr">
        <is>
          <t>카페24</t>
        </is>
      </c>
      <c r="G11172" s="94" t="inlineStr">
        <is>
          <t>머드크림마스크 100ml 2set</t>
        </is>
      </c>
      <c r="H11172" s="94" t="n">
        <v>200801</v>
      </c>
      <c r="I11172" s="94" t="n">
        <v>200801</v>
      </c>
      <c r="K11172" s="6" t="n">
        <v>1</v>
      </c>
      <c r="L11172" s="94" t="n">
        <v>200801</v>
      </c>
      <c r="M11172" s="94">
        <f>VLOOKUP($Q11172,매칭테이블!$F:$I,2,0)*K11172</f>
        <v/>
      </c>
      <c r="N11172" s="94">
        <f>M11172-M11172*VLOOKUP($Q11172,매칭테이블!$F:$I,3,0)</f>
        <v/>
      </c>
      <c r="O11172" s="94">
        <f>VLOOKUP($Q11172,매칭테이블!$F:$I,4,0)*K11172</f>
        <v/>
      </c>
      <c r="P11172" s="148">
        <f>M11172/1.1</f>
        <v/>
      </c>
      <c r="Q11172" s="94">
        <f>F11172&amp;E11172&amp;G11172&amp;L11172</f>
        <v/>
      </c>
    </row>
    <row r="11173" customFormat="1" s="94">
      <c r="B11173" s="128" t="n">
        <v>44155</v>
      </c>
      <c r="C11173" s="94">
        <f>TEXT(B11173,"aaa")</f>
        <v/>
      </c>
      <c r="E11173" s="94" t="inlineStr">
        <is>
          <t>마스크팩</t>
        </is>
      </c>
      <c r="F11173" s="94" t="inlineStr">
        <is>
          <t>카페24</t>
        </is>
      </c>
      <c r="G11173" s="94" t="inlineStr">
        <is>
          <t>마스크팩 1매</t>
        </is>
      </c>
      <c r="H11173" s="94" t="n">
        <v>200801</v>
      </c>
      <c r="I11173" s="94" t="n">
        <v>200801</v>
      </c>
      <c r="K11173" s="6" t="n">
        <v>6</v>
      </c>
      <c r="L11173" s="94" t="n">
        <v>200801</v>
      </c>
      <c r="M11173" s="94">
        <f>VLOOKUP($Q11173,매칭테이블!$F:$I,2,0)*K11173</f>
        <v/>
      </c>
      <c r="N11173" s="94">
        <f>M11173-M11173*VLOOKUP($Q11173,매칭테이블!$F:$I,3,0)</f>
        <v/>
      </c>
      <c r="O11173" s="94">
        <f>VLOOKUP($Q11173,매칭테이블!$F:$I,4,0)*K11173</f>
        <v/>
      </c>
      <c r="P11173" s="148">
        <f>M11173/1.1</f>
        <v/>
      </c>
      <c r="Q11173" s="94">
        <f>F11173&amp;E11173&amp;G11173&amp;L11173</f>
        <v/>
      </c>
    </row>
    <row r="11174" customFormat="1" s="94">
      <c r="B11174" s="128" t="n">
        <v>44155</v>
      </c>
      <c r="C11174" s="94">
        <f>TEXT(B11174,"aaa")</f>
        <v/>
      </c>
      <c r="E11174" s="94" t="inlineStr">
        <is>
          <t>마스크팩</t>
        </is>
      </c>
      <c r="F11174" s="94" t="inlineStr">
        <is>
          <t>카페24</t>
        </is>
      </c>
      <c r="G11174" s="94" t="inlineStr">
        <is>
          <t>마스크팩 10매</t>
        </is>
      </c>
      <c r="H11174" s="94" t="n">
        <v>200801</v>
      </c>
      <c r="I11174" s="94" t="n">
        <v>200801</v>
      </c>
      <c r="K11174" s="6" t="n">
        <v>7</v>
      </c>
      <c r="L11174" s="94" t="n">
        <v>200801</v>
      </c>
      <c r="M11174" s="94">
        <f>VLOOKUP($Q11174,매칭테이블!$F:$I,2,0)*K11174</f>
        <v/>
      </c>
      <c r="N11174" s="94">
        <f>M11174-M11174*VLOOKUP($Q11174,매칭테이블!$F:$I,3,0)</f>
        <v/>
      </c>
      <c r="O11174" s="94">
        <f>VLOOKUP($Q11174,매칭테이블!$F:$I,4,0)*K11174</f>
        <v/>
      </c>
      <c r="P11174" s="148">
        <f>M11174/1.1</f>
        <v/>
      </c>
      <c r="Q11174" s="94">
        <f>F11174&amp;E11174&amp;G11174&amp;L11174</f>
        <v/>
      </c>
    </row>
    <row r="11175" customFormat="1" s="94">
      <c r="B11175" s="128" t="n">
        <v>44155</v>
      </c>
      <c r="C11175" s="94">
        <f>TEXT(B11175,"aaa")</f>
        <v/>
      </c>
      <c r="E11175" s="94" t="inlineStr">
        <is>
          <t>토너</t>
        </is>
      </c>
      <c r="F11175" s="94" t="inlineStr">
        <is>
          <t>카페24</t>
        </is>
      </c>
      <c r="G11175" s="94" t="inlineStr">
        <is>
          <t>250ml</t>
        </is>
      </c>
      <c r="H11175" s="94" t="n">
        <v>200801</v>
      </c>
      <c r="I11175" s="94" t="n">
        <v>200801</v>
      </c>
      <c r="K11175" s="6" t="n">
        <v>50</v>
      </c>
      <c r="L11175" s="94" t="n">
        <v>200801</v>
      </c>
      <c r="M11175" s="94">
        <f>VLOOKUP($Q11175,매칭테이블!$F:$I,2,0)*K11175</f>
        <v/>
      </c>
      <c r="N11175" s="94">
        <f>M11175-M11175*VLOOKUP($Q11175,매칭테이블!$F:$I,3,0)</f>
        <v/>
      </c>
      <c r="O11175" s="94">
        <f>VLOOKUP($Q11175,매칭테이블!$F:$I,4,0)*K11175</f>
        <v/>
      </c>
      <c r="P11175" s="148">
        <f>M11175/1.1</f>
        <v/>
      </c>
      <c r="Q11175" s="94">
        <f>F11175&amp;E11175&amp;G11175&amp;L11175</f>
        <v/>
      </c>
    </row>
    <row r="11176" customFormat="1" s="94">
      <c r="B11176" s="128" t="n">
        <v>44155</v>
      </c>
      <c r="C11176" s="94">
        <f>TEXT(B11176,"aaa")</f>
        <v/>
      </c>
      <c r="E11176" s="94" t="inlineStr">
        <is>
          <t>토너</t>
        </is>
      </c>
      <c r="F11176" s="94" t="inlineStr">
        <is>
          <t>카페24</t>
        </is>
      </c>
      <c r="G11176" s="94" t="inlineStr">
        <is>
          <t>250ml 2set</t>
        </is>
      </c>
      <c r="H11176" s="94" t="n">
        <v>200801</v>
      </c>
      <c r="I11176" s="94" t="n">
        <v>200801</v>
      </c>
      <c r="K11176" s="6" t="n">
        <v>32</v>
      </c>
      <c r="L11176" s="94" t="n">
        <v>200801</v>
      </c>
      <c r="M11176" s="94">
        <f>VLOOKUP($Q11176,매칭테이블!$F:$I,2,0)*K11176</f>
        <v/>
      </c>
      <c r="N11176" s="94">
        <f>M11176-M11176*VLOOKUP($Q11176,매칭테이블!$F:$I,3,0)</f>
        <v/>
      </c>
      <c r="O11176" s="94">
        <f>VLOOKUP($Q11176,매칭테이블!$F:$I,4,0)*K11176</f>
        <v/>
      </c>
      <c r="P11176" s="148">
        <f>M11176/1.1</f>
        <v/>
      </c>
      <c r="Q11176" s="94">
        <f>F11176&amp;E11176&amp;G11176&amp;L11176</f>
        <v/>
      </c>
    </row>
    <row r="11177" customFormat="1" s="94">
      <c r="B11177" s="128" t="n">
        <v>44155</v>
      </c>
      <c r="C11177" s="94">
        <f>TEXT(B11177,"aaa")</f>
        <v/>
      </c>
      <c r="E11177" s="94" t="inlineStr">
        <is>
          <t>토너</t>
        </is>
      </c>
      <c r="F11177" s="94" t="inlineStr">
        <is>
          <t>카페24</t>
        </is>
      </c>
      <c r="G11177" s="94" t="inlineStr">
        <is>
          <t>500ml</t>
        </is>
      </c>
      <c r="H11177" s="94" t="n">
        <v>200801</v>
      </c>
      <c r="I11177" s="94" t="n">
        <v>200801</v>
      </c>
      <c r="K11177" s="6" t="n">
        <v>44</v>
      </c>
      <c r="L11177" s="94" t="n">
        <v>200801</v>
      </c>
      <c r="M11177" s="94">
        <f>VLOOKUP($Q11177,매칭테이블!$F:$I,2,0)*K11177</f>
        <v/>
      </c>
      <c r="N11177" s="94">
        <f>M11177-M11177*VLOOKUP($Q11177,매칭테이블!$F:$I,3,0)</f>
        <v/>
      </c>
      <c r="O11177" s="94">
        <f>VLOOKUP($Q11177,매칭테이블!$F:$I,4,0)*K11177</f>
        <v/>
      </c>
      <c r="P11177" s="148">
        <f>M11177/1.1</f>
        <v/>
      </c>
      <c r="Q11177" s="94">
        <f>F11177&amp;E11177&amp;G11177&amp;L11177</f>
        <v/>
      </c>
    </row>
    <row r="11178" customFormat="1" s="94">
      <c r="B11178" s="128" t="n">
        <v>44155</v>
      </c>
      <c r="C11178" s="94">
        <f>TEXT(B11178,"aaa")</f>
        <v/>
      </c>
      <c r="E11178" s="94" t="inlineStr">
        <is>
          <t>토너</t>
        </is>
      </c>
      <c r="F11178" s="94" t="inlineStr">
        <is>
          <t>카페24</t>
        </is>
      </c>
      <c r="G11178" s="94" t="inlineStr">
        <is>
          <t>스킨팩 화장솜 60P</t>
        </is>
      </c>
      <c r="H11178" s="94" t="n">
        <v>200801</v>
      </c>
      <c r="I11178" s="94" t="n">
        <v>200801</v>
      </c>
      <c r="K11178" s="6" t="n">
        <v>46</v>
      </c>
      <c r="L11178" s="94" t="n">
        <v>200801</v>
      </c>
      <c r="M11178" s="94">
        <f>VLOOKUP($Q11178,매칭테이블!$F:$I,2,0)*K11178</f>
        <v/>
      </c>
      <c r="N11178" s="94">
        <f>M11178-M11178*VLOOKUP($Q11178,매칭테이블!$F:$I,3,0)</f>
        <v/>
      </c>
      <c r="O11178" s="94">
        <f>VLOOKUP($Q11178,매칭테이블!$F:$I,4,0)*K11178</f>
        <v/>
      </c>
      <c r="P11178" s="148">
        <f>M11178/1.1</f>
        <v/>
      </c>
      <c r="Q11178" s="94">
        <f>F11178&amp;E11178&amp;G11178&amp;L11178</f>
        <v/>
      </c>
    </row>
    <row r="11179" customFormat="1" s="94">
      <c r="B11179" s="128" t="n">
        <v>44155</v>
      </c>
      <c r="C11179" s="94">
        <f>TEXT(B11179,"aaa")</f>
        <v/>
      </c>
      <c r="E11179" s="94" t="inlineStr">
        <is>
          <t>앰플</t>
        </is>
      </c>
      <c r="F11179" s="94" t="inlineStr">
        <is>
          <t>카페24</t>
        </is>
      </c>
      <c r="G11179" s="94" t="inlineStr">
        <is>
          <t>앰플 30ml</t>
        </is>
      </c>
      <c r="H11179" s="94" t="n">
        <v>200801</v>
      </c>
      <c r="I11179" s="94" t="n">
        <v>200801</v>
      </c>
      <c r="K11179" s="6" t="n">
        <v>21</v>
      </c>
      <c r="L11179" s="94" t="n">
        <v>200801</v>
      </c>
      <c r="M11179" s="94">
        <f>VLOOKUP($Q11179,매칭테이블!$F:$I,2,0)*K11179</f>
        <v/>
      </c>
      <c r="N11179" s="94">
        <f>M11179-M11179*VLOOKUP($Q11179,매칭테이블!$F:$I,3,0)</f>
        <v/>
      </c>
      <c r="O11179" s="94">
        <f>VLOOKUP($Q11179,매칭테이블!$F:$I,4,0)*K11179</f>
        <v/>
      </c>
      <c r="P11179" s="148">
        <f>M11179/1.1</f>
        <v/>
      </c>
      <c r="Q11179" s="94">
        <f>F11179&amp;E11179&amp;G11179&amp;L11179</f>
        <v/>
      </c>
    </row>
    <row r="11180" customFormat="1" s="94">
      <c r="B11180" s="128" t="n">
        <v>44155</v>
      </c>
      <c r="C11180" s="94">
        <f>TEXT(B11180,"aaa")</f>
        <v/>
      </c>
      <c r="E11180" s="94" t="inlineStr">
        <is>
          <t>앰플</t>
        </is>
      </c>
      <c r="F11180" s="94" t="inlineStr">
        <is>
          <t>카페24</t>
        </is>
      </c>
      <c r="G11180" s="94" t="inlineStr">
        <is>
          <t>앰플 30ml  2set</t>
        </is>
      </c>
      <c r="H11180" s="94" t="n">
        <v>200801</v>
      </c>
      <c r="I11180" s="94" t="n">
        <v>200801</v>
      </c>
      <c r="K11180" s="6" t="n">
        <v>9</v>
      </c>
      <c r="L11180" s="94" t="n">
        <v>200801</v>
      </c>
      <c r="M11180" s="94">
        <f>VLOOKUP($Q11180,매칭테이블!$F:$I,2,0)*K11180</f>
        <v/>
      </c>
      <c r="N11180" s="94">
        <f>M11180-M11180*VLOOKUP($Q11180,매칭테이블!$F:$I,3,0)</f>
        <v/>
      </c>
      <c r="O11180" s="94">
        <f>VLOOKUP($Q11180,매칭테이블!$F:$I,4,0)*K11180</f>
        <v/>
      </c>
      <c r="P11180" s="148">
        <f>M11180/1.1</f>
        <v/>
      </c>
      <c r="Q11180" s="94">
        <f>F11180&amp;E11180&amp;G11180&amp;L11180</f>
        <v/>
      </c>
    </row>
    <row r="11181" customFormat="1" s="94">
      <c r="B11181" s="128" t="n">
        <v>44155</v>
      </c>
      <c r="C11181" s="94">
        <f>TEXT(B11181,"aaa")</f>
        <v/>
      </c>
      <c r="E11181" s="94" t="inlineStr">
        <is>
          <t>수딩크림</t>
        </is>
      </c>
      <c r="F11181" s="94" t="inlineStr">
        <is>
          <t>카페24</t>
        </is>
      </c>
      <c r="G11181" s="94" t="inlineStr">
        <is>
          <t>수딩크림 100ml</t>
        </is>
      </c>
      <c r="H11181" s="94" t="n">
        <v>200801</v>
      </c>
      <c r="I11181" s="94" t="n">
        <v>200801</v>
      </c>
      <c r="K11181" s="6" t="n">
        <v>12</v>
      </c>
      <c r="L11181" s="94" t="n">
        <v>200801</v>
      </c>
      <c r="M11181" s="94">
        <f>VLOOKUP($Q11181,매칭테이블!$F:$I,2,0)*K11181</f>
        <v/>
      </c>
      <c r="N11181" s="94">
        <f>M11181-M11181*VLOOKUP($Q11181,매칭테이블!$F:$I,3,0)</f>
        <v/>
      </c>
      <c r="O11181" s="94">
        <f>VLOOKUP($Q11181,매칭테이블!$F:$I,4,0)*K11181</f>
        <v/>
      </c>
      <c r="P11181" s="148">
        <f>M11181/1.1</f>
        <v/>
      </c>
      <c r="Q11181" s="94">
        <f>F11181&amp;E11181&amp;G11181&amp;L11181</f>
        <v/>
      </c>
    </row>
    <row r="11182" customFormat="1" s="94">
      <c r="B11182" s="128" t="n">
        <v>44155</v>
      </c>
      <c r="C11182" s="94">
        <f>TEXT(B11182,"aaa")</f>
        <v/>
      </c>
      <c r="E11182" s="94" t="inlineStr">
        <is>
          <t>클렌징폼</t>
        </is>
      </c>
      <c r="F11182" s="94" t="inlineStr">
        <is>
          <t>카페24</t>
        </is>
      </c>
      <c r="G11182" s="94" t="inlineStr">
        <is>
          <t>클렌징폼 120ml</t>
        </is>
      </c>
      <c r="H11182" s="94" t="n">
        <v>200801</v>
      </c>
      <c r="I11182" s="94" t="n">
        <v>200801</v>
      </c>
      <c r="K11182" s="6" t="n">
        <v>13</v>
      </c>
      <c r="L11182" s="94" t="n">
        <v>200801</v>
      </c>
      <c r="M11182" s="94">
        <f>VLOOKUP($Q11182,매칭테이블!$F:$I,2,0)*K11182</f>
        <v/>
      </c>
      <c r="N11182" s="94">
        <f>M11182-M11182*VLOOKUP($Q11182,매칭테이블!$F:$I,3,0)</f>
        <v/>
      </c>
      <c r="O11182" s="94">
        <f>VLOOKUP($Q11182,매칭테이블!$F:$I,4,0)*K11182</f>
        <v/>
      </c>
      <c r="P11182" s="148">
        <f>M11182/1.1</f>
        <v/>
      </c>
      <c r="Q11182" s="94">
        <f>F11182&amp;E11182&amp;G11182&amp;L11182</f>
        <v/>
      </c>
    </row>
    <row r="11183" customFormat="1" s="94">
      <c r="B11183" s="128" t="n">
        <v>44155</v>
      </c>
      <c r="C11183" s="94">
        <f>TEXT(B11183,"aaa")</f>
        <v/>
      </c>
      <c r="E11183" s="94" t="inlineStr">
        <is>
          <t>클렌징폼</t>
        </is>
      </c>
      <c r="F11183" s="94" t="inlineStr">
        <is>
          <t>카페24</t>
        </is>
      </c>
      <c r="G11183" s="94" t="inlineStr">
        <is>
          <t>클렌징폼 120ml 2set</t>
        </is>
      </c>
      <c r="H11183" s="94" t="n">
        <v>200801</v>
      </c>
      <c r="I11183" s="94" t="n">
        <v>200801</v>
      </c>
      <c r="K11183" s="6" t="n">
        <v>2</v>
      </c>
      <c r="L11183" s="94" t="n">
        <v>200801</v>
      </c>
      <c r="M11183" s="94">
        <f>VLOOKUP($Q11183,매칭테이블!$F:$I,2,0)*K11183</f>
        <v/>
      </c>
      <c r="N11183" s="94">
        <f>M11183-M11183*VLOOKUP($Q11183,매칭테이블!$F:$I,3,0)</f>
        <v/>
      </c>
      <c r="O11183" s="94">
        <f>VLOOKUP($Q11183,매칭테이블!$F:$I,4,0)*K11183</f>
        <v/>
      </c>
      <c r="P11183" s="148">
        <f>M11183/1.1</f>
        <v/>
      </c>
      <c r="Q11183" s="94">
        <f>F11183&amp;E11183&amp;G11183&amp;L11183</f>
        <v/>
      </c>
    </row>
    <row r="11184" customFormat="1" s="94">
      <c r="B11184" s="128" t="n">
        <v>44155</v>
      </c>
      <c r="C11184" s="94">
        <f>TEXT(B11184,"aaa")</f>
        <v/>
      </c>
      <c r="E11184" s="94" t="inlineStr">
        <is>
          <t>클렌징폼</t>
        </is>
      </c>
      <c r="F11184" s="94" t="inlineStr">
        <is>
          <t>카페24</t>
        </is>
      </c>
      <c r="G11184" s="94" t="inlineStr">
        <is>
          <t>클렌징폼 120ml 3set</t>
        </is>
      </c>
      <c r="H11184" s="94" t="n">
        <v>200801</v>
      </c>
      <c r="I11184" s="94" t="n">
        <v>200801</v>
      </c>
      <c r="K11184" s="6" t="n">
        <v>2</v>
      </c>
      <c r="L11184" s="94" t="n">
        <v>200801</v>
      </c>
      <c r="M11184" s="94">
        <f>VLOOKUP($Q11184,매칭테이블!$F:$I,2,0)*K11184</f>
        <v/>
      </c>
      <c r="N11184" s="94">
        <f>M11184-M11184*VLOOKUP($Q11184,매칭테이블!$F:$I,3,0)</f>
        <v/>
      </c>
      <c r="O11184" s="94">
        <f>VLOOKUP($Q11184,매칭테이블!$F:$I,4,0)*K11184</f>
        <v/>
      </c>
      <c r="P11184" s="148">
        <f>M11184/1.1</f>
        <v/>
      </c>
      <c r="Q11184" s="94">
        <f>F11184&amp;E11184&amp;G11184&amp;L11184</f>
        <v/>
      </c>
    </row>
    <row r="11185" customFormat="1" s="94">
      <c r="B11185" s="128" t="n">
        <v>44155</v>
      </c>
      <c r="C11185" s="94">
        <f>TEXT(B11185,"aaa")</f>
        <v/>
      </c>
      <c r="E11185" s="94" t="inlineStr">
        <is>
          <t>바디워시</t>
        </is>
      </c>
      <c r="F11185" s="94" t="inlineStr">
        <is>
          <t>카페24</t>
        </is>
      </c>
      <c r="G11185" s="94" t="inlineStr">
        <is>
          <t>바디워시 1개 -30% off</t>
        </is>
      </c>
      <c r="H11185" s="94" t="n">
        <v>200801</v>
      </c>
      <c r="I11185" s="94" t="n">
        <v>200801</v>
      </c>
      <c r="K11185" s="6" t="n">
        <v>3</v>
      </c>
      <c r="L11185" s="94" t="n">
        <v>200801</v>
      </c>
      <c r="M11185" s="94">
        <f>VLOOKUP($Q11185,매칭테이블!$F:$I,2,0)*K11185</f>
        <v/>
      </c>
      <c r="N11185" s="94">
        <f>M11185-M11185*VLOOKUP($Q11185,매칭테이블!$F:$I,3,0)</f>
        <v/>
      </c>
      <c r="O11185" s="94">
        <f>VLOOKUP($Q11185,매칭테이블!$F:$I,4,0)*K11185</f>
        <v/>
      </c>
      <c r="P11185" s="148">
        <f>M11185/1.1</f>
        <v/>
      </c>
      <c r="Q11185" s="94">
        <f>F11185&amp;E11185&amp;G11185&amp;L11185</f>
        <v/>
      </c>
    </row>
    <row r="11186" customFormat="1" s="94">
      <c r="B11186" s="128" t="n">
        <v>44155</v>
      </c>
      <c r="C11186" s="94">
        <f>TEXT(B11186,"aaa")</f>
        <v/>
      </c>
      <c r="E11186" s="94" t="inlineStr">
        <is>
          <t>토너</t>
        </is>
      </c>
      <c r="F11186" s="94" t="inlineStr">
        <is>
          <t>화해</t>
        </is>
      </c>
      <c r="G11186" s="94" t="inlineStr">
        <is>
          <t>250ml</t>
        </is>
      </c>
      <c r="H11186" s="94" t="n">
        <v>200801</v>
      </c>
      <c r="I11186" s="94" t="n">
        <v>200801</v>
      </c>
      <c r="K11186" s="6" t="n">
        <v>4</v>
      </c>
      <c r="L11186" s="94" t="n">
        <v>200801</v>
      </c>
      <c r="M11186" s="94">
        <f>VLOOKUP($Q11186,매칭테이블!$F:$I,2,0)*K11186</f>
        <v/>
      </c>
      <c r="N11186" s="94">
        <f>M11186-M11186*VLOOKUP($Q11186,매칭테이블!$F:$I,3,0)</f>
        <v/>
      </c>
      <c r="O11186" s="94">
        <f>VLOOKUP($Q11186,매칭테이블!$F:$I,4,0)*K11186</f>
        <v/>
      </c>
      <c r="P11186" s="148">
        <f>M11186/1.1</f>
        <v/>
      </c>
      <c r="Q11186" s="94">
        <f>F11186&amp;E11186&amp;G11186&amp;L11186</f>
        <v/>
      </c>
    </row>
    <row r="11187" customFormat="1" s="94">
      <c r="B11187" s="128" t="n">
        <v>44155</v>
      </c>
      <c r="C11187" s="94">
        <f>TEXT(B11187,"aaa")</f>
        <v/>
      </c>
      <c r="E11187" s="94" t="inlineStr">
        <is>
          <t>로션</t>
        </is>
      </c>
      <c r="F11187" s="94" t="inlineStr">
        <is>
          <t>화해</t>
        </is>
      </c>
      <c r="G11187" s="94" t="inlineStr">
        <is>
          <t>아누아 어성초70 로션 200ml</t>
        </is>
      </c>
      <c r="H11187" s="94" t="n">
        <v>200801</v>
      </c>
      <c r="I11187" s="94" t="n">
        <v>200801</v>
      </c>
      <c r="K11187" s="6" t="n">
        <v>1</v>
      </c>
      <c r="L11187" s="94" t="n">
        <v>200801</v>
      </c>
      <c r="M11187" s="94">
        <f>VLOOKUP($Q11187,매칭테이블!$F:$I,2,0)*K11187</f>
        <v/>
      </c>
      <c r="N11187" s="94">
        <f>M11187-M11187*VLOOKUP($Q11187,매칭테이블!$F:$I,3,0)</f>
        <v/>
      </c>
      <c r="O11187" s="94">
        <f>VLOOKUP($Q11187,매칭테이블!$F:$I,4,0)*K11187</f>
        <v/>
      </c>
      <c r="P11187" s="148">
        <f>M11187/1.1</f>
        <v/>
      </c>
      <c r="Q11187" s="94">
        <f>F11187&amp;E11187&amp;G11187&amp;L11187</f>
        <v/>
      </c>
    </row>
    <row r="11188" customFormat="1" s="94">
      <c r="B11188" s="128" t="n">
        <v>44155</v>
      </c>
      <c r="C11188" s="94">
        <f>TEXT(B11188,"aaa")</f>
        <v/>
      </c>
      <c r="E11188" s="94" t="inlineStr">
        <is>
          <t>토너</t>
        </is>
      </c>
      <c r="F11188" s="94" t="inlineStr">
        <is>
          <t>굿닥</t>
        </is>
      </c>
      <c r="G11188" s="94" t="inlineStr">
        <is>
          <t>250ml</t>
        </is>
      </c>
      <c r="H11188" s="94" t="n">
        <v>200801</v>
      </c>
      <c r="I11188" s="94" t="n">
        <v>200801</v>
      </c>
      <c r="K11188" s="6" t="n">
        <v>1</v>
      </c>
      <c r="L11188" s="94" t="n">
        <v>200801</v>
      </c>
      <c r="M11188" s="94">
        <f>VLOOKUP($Q11188,매칭테이블!$F:$I,2,0)*K11188</f>
        <v/>
      </c>
      <c r="N11188" s="94">
        <f>M11188-M11188*VLOOKUP($Q11188,매칭테이블!$F:$I,3,0)</f>
        <v/>
      </c>
      <c r="O11188" s="94">
        <f>VLOOKUP($Q11188,매칭테이블!$F:$I,4,0)*K11188</f>
        <v/>
      </c>
      <c r="P11188" s="148">
        <f>M11188/1.1</f>
        <v/>
      </c>
      <c r="Q11188" s="94">
        <f>F11188&amp;E11188&amp;G11188&amp;L11188</f>
        <v/>
      </c>
    </row>
    <row r="11189" customFormat="1" s="94">
      <c r="B11189" s="128" t="n">
        <v>44156</v>
      </c>
      <c r="C11189" s="94">
        <f>TEXT(B11189,"aaa")</f>
        <v/>
      </c>
      <c r="E11189" s="94" t="inlineStr">
        <is>
          <t>토너</t>
        </is>
      </c>
      <c r="F11189" s="94" t="inlineStr">
        <is>
          <t>스타일쉐어</t>
        </is>
      </c>
      <c r="G11189" s="94" t="inlineStr">
        <is>
          <t>250ml</t>
        </is>
      </c>
      <c r="H11189" s="94" t="n">
        <v>200801</v>
      </c>
      <c r="I11189" s="94" t="n">
        <v>200801</v>
      </c>
      <c r="K11189" s="6" t="n">
        <v>4</v>
      </c>
      <c r="L11189" s="94" t="n">
        <v>200801</v>
      </c>
      <c r="M11189" s="94">
        <f>VLOOKUP($Q11189,매칭테이블!$F:$I,2,0)*K11189</f>
        <v/>
      </c>
      <c r="N11189" s="94">
        <f>M11189-M11189*VLOOKUP($Q11189,매칭테이블!$F:$I,3,0)</f>
        <v/>
      </c>
      <c r="O11189" s="94">
        <f>VLOOKUP($Q11189,매칭테이블!$F:$I,4,0)*K11189</f>
        <v/>
      </c>
      <c r="P11189" s="148">
        <f>M11189/1.1</f>
        <v/>
      </c>
      <c r="Q11189" s="94">
        <f>F11189&amp;E11189&amp;G11189&amp;L11189</f>
        <v/>
      </c>
    </row>
    <row r="11190" customFormat="1" s="94">
      <c r="B11190" s="128" t="n">
        <v>44156</v>
      </c>
      <c r="C11190" s="94">
        <f>TEXT(B11190,"aaa")</f>
        <v/>
      </c>
      <c r="E11190" s="94" t="inlineStr">
        <is>
          <t>선크림</t>
        </is>
      </c>
      <c r="F11190" s="94" t="inlineStr">
        <is>
          <t>카페24</t>
        </is>
      </c>
      <c r="G11190" s="94" t="inlineStr">
        <is>
          <t>선크림 50ml</t>
        </is>
      </c>
      <c r="H11190" s="94" t="n">
        <v>200801</v>
      </c>
      <c r="I11190" s="94" t="n">
        <v>200801</v>
      </c>
      <c r="K11190" s="6" t="n">
        <v>3</v>
      </c>
      <c r="L11190" s="94" t="n">
        <v>200801</v>
      </c>
      <c r="M11190" s="94">
        <f>VLOOKUP($Q11190,매칭테이블!$F:$I,2,0)*K11190</f>
        <v/>
      </c>
      <c r="N11190" s="94">
        <f>M11190-M11190*VLOOKUP($Q11190,매칭테이블!$F:$I,3,0)</f>
        <v/>
      </c>
      <c r="O11190" s="94">
        <f>VLOOKUP($Q11190,매칭테이블!$F:$I,4,0)*K11190</f>
        <v/>
      </c>
      <c r="P11190" s="148">
        <f>M11190/1.1</f>
        <v/>
      </c>
      <c r="Q11190" s="94">
        <f>F11190&amp;E11190&amp;G11190&amp;L11190</f>
        <v/>
      </c>
    </row>
    <row r="11191" customFormat="1" s="94">
      <c r="B11191" s="128" t="n">
        <v>44156</v>
      </c>
      <c r="C11191" s="94">
        <f>TEXT(B11191,"aaa")</f>
        <v/>
      </c>
      <c r="E11191" s="94" t="inlineStr">
        <is>
          <t>카밍크림</t>
        </is>
      </c>
      <c r="F11191" s="94" t="inlineStr">
        <is>
          <t>카페24</t>
        </is>
      </c>
      <c r="G11191" s="94" t="inlineStr">
        <is>
          <t>[플친 단독 (11/16-11/20)] 크림(필수)=어성초 70 인텐스 카밍 크림 1개-20% off</t>
        </is>
      </c>
      <c r="H11191" s="94" t="n">
        <v>200801</v>
      </c>
      <c r="I11191" s="94" t="n">
        <v>200801</v>
      </c>
      <c r="K11191" s="6" t="n">
        <v>4</v>
      </c>
      <c r="L11191" s="94" t="n">
        <v>200801</v>
      </c>
      <c r="M11191" s="94">
        <f>VLOOKUP($Q11191,매칭테이블!$F:$I,2,0)*K11191</f>
        <v/>
      </c>
      <c r="N11191" s="94">
        <f>M11191-M11191*VLOOKUP($Q11191,매칭테이블!$F:$I,3,0)</f>
        <v/>
      </c>
      <c r="O11191" s="94">
        <f>VLOOKUP($Q11191,매칭테이블!$F:$I,4,0)*K11191</f>
        <v/>
      </c>
      <c r="P11191" s="148">
        <f>M11191/1.1</f>
        <v/>
      </c>
      <c r="Q11191" s="94">
        <f>F11191&amp;E11191&amp;G11191&amp;L11191</f>
        <v/>
      </c>
    </row>
    <row r="11192" customFormat="1" s="94">
      <c r="B11192" s="128" t="n">
        <v>44156</v>
      </c>
      <c r="C11192" s="94">
        <f>TEXT(B11192,"aaa")</f>
        <v/>
      </c>
      <c r="E11192" s="94" t="inlineStr">
        <is>
          <t>크림마스크</t>
        </is>
      </c>
      <c r="F11192" s="94" t="inlineStr">
        <is>
          <t>카페24</t>
        </is>
      </c>
      <c r="G11192" s="94" t="inlineStr">
        <is>
          <t>[플친 단독 (11/16-11/20)] 크림마스크팩(선택)=크림마스크팩 1장-50% off</t>
        </is>
      </c>
      <c r="H11192" s="94" t="n">
        <v>200801</v>
      </c>
      <c r="I11192" s="94" t="n">
        <v>200801</v>
      </c>
      <c r="K11192" s="6" t="n">
        <v>6</v>
      </c>
      <c r="L11192" s="94" t="n">
        <v>200801</v>
      </c>
      <c r="M11192" s="94">
        <f>VLOOKUP($Q11192,매칭테이블!$F:$I,2,0)*K11192</f>
        <v/>
      </c>
      <c r="N11192" s="94">
        <f>M11192-M11192*VLOOKUP($Q11192,매칭테이블!$F:$I,3,0)</f>
        <v/>
      </c>
      <c r="O11192" s="94">
        <f>VLOOKUP($Q11192,매칭테이블!$F:$I,4,0)*K11192</f>
        <v/>
      </c>
      <c r="P11192" s="148">
        <f>M11192/1.1</f>
        <v/>
      </c>
      <c r="Q11192" s="94">
        <f>F11192&amp;E11192&amp;G11192&amp;L11192</f>
        <v/>
      </c>
    </row>
    <row r="11193" customFormat="1" s="94">
      <c r="B11193" s="128" t="n">
        <v>44156</v>
      </c>
      <c r="C11193" s="94">
        <f>TEXT(B11193,"aaa")</f>
        <v/>
      </c>
      <c r="E11193" s="94" t="inlineStr">
        <is>
          <t>어성초진정패키지</t>
        </is>
      </c>
      <c r="F11193" s="94" t="inlineStr">
        <is>
          <t>카페24</t>
        </is>
      </c>
      <c r="G11193" s="94" t="inlineStr">
        <is>
          <t>어성초 진정패키지세트</t>
        </is>
      </c>
      <c r="H11193" s="94" t="n">
        <v>200801</v>
      </c>
      <c r="I11193" s="94" t="n">
        <v>200801</v>
      </c>
      <c r="K11193" s="6" t="n">
        <v>2</v>
      </c>
      <c r="L11193" s="94" t="n">
        <v>200801</v>
      </c>
      <c r="M11193" s="94">
        <f>VLOOKUP($Q11193,매칭테이블!$F:$I,2,0)*K11193</f>
        <v/>
      </c>
      <c r="N11193" s="94">
        <f>M11193-M11193*VLOOKUP($Q11193,매칭테이블!$F:$I,3,0)</f>
        <v/>
      </c>
      <c r="O11193" s="94">
        <f>VLOOKUP($Q11193,매칭테이블!$F:$I,4,0)*K11193</f>
        <v/>
      </c>
      <c r="P11193" s="148">
        <f>M11193/1.1</f>
        <v/>
      </c>
      <c r="Q11193" s="94">
        <f>F11193&amp;E11193&amp;G11193&amp;L11193</f>
        <v/>
      </c>
    </row>
    <row r="11194" customFormat="1" s="94">
      <c r="B11194" s="128" t="n">
        <v>44156</v>
      </c>
      <c r="C11194" s="94">
        <f>TEXT(B11194,"aaa")</f>
        <v/>
      </c>
      <c r="E11194" s="94" t="inlineStr">
        <is>
          <t>클리어 패드</t>
        </is>
      </c>
      <c r="F11194" s="94" t="inlineStr">
        <is>
          <t>카페24</t>
        </is>
      </c>
      <c r="G11194" s="94" t="inlineStr">
        <is>
          <t>어성초 77 클리어 패드 1개-20% off</t>
        </is>
      </c>
      <c r="H11194" s="94" t="n">
        <v>200801</v>
      </c>
      <c r="I11194" s="94" t="n">
        <v>200801</v>
      </c>
      <c r="K11194" s="6" t="n">
        <v>38</v>
      </c>
      <c r="L11194" s="94" t="n">
        <v>200801</v>
      </c>
      <c r="M11194" s="94">
        <f>VLOOKUP($Q11194,매칭테이블!$F:$I,2,0)*K11194</f>
        <v/>
      </c>
      <c r="N11194" s="94">
        <f>M11194-M11194*VLOOKUP($Q11194,매칭테이블!$F:$I,3,0)</f>
        <v/>
      </c>
      <c r="O11194" s="94">
        <f>VLOOKUP($Q11194,매칭테이블!$F:$I,4,0)*K11194</f>
        <v/>
      </c>
      <c r="P11194" s="148">
        <f>M11194/1.1</f>
        <v/>
      </c>
      <c r="Q11194" s="94">
        <f>F11194&amp;E11194&amp;G11194&amp;L11194</f>
        <v/>
      </c>
    </row>
    <row r="11195" customFormat="1" s="94">
      <c r="B11195" s="128" t="n">
        <v>44156</v>
      </c>
      <c r="C11195" s="94">
        <f>TEXT(B11195,"aaa")</f>
        <v/>
      </c>
      <c r="E11195" s="94" t="inlineStr">
        <is>
          <t>클리어 패드</t>
        </is>
      </c>
      <c r="F11195" s="94" t="inlineStr">
        <is>
          <t>카페24</t>
        </is>
      </c>
      <c r="G11195" s="94" t="inlineStr">
        <is>
          <t>어성초 77 클리어 패드 2개-30% off</t>
        </is>
      </c>
      <c r="H11195" s="94" t="n">
        <v>200801</v>
      </c>
      <c r="I11195" s="94" t="n">
        <v>200801</v>
      </c>
      <c r="K11195" s="6" t="n">
        <v>49</v>
      </c>
      <c r="L11195" s="94" t="n">
        <v>200801</v>
      </c>
      <c r="M11195" s="94">
        <f>VLOOKUP($Q11195,매칭테이블!$F:$I,2,0)*K11195</f>
        <v/>
      </c>
      <c r="N11195" s="94">
        <f>M11195-M11195*VLOOKUP($Q11195,매칭테이블!$F:$I,3,0)</f>
        <v/>
      </c>
      <c r="O11195" s="94">
        <f>VLOOKUP($Q11195,매칭테이블!$F:$I,4,0)*K11195</f>
        <v/>
      </c>
      <c r="P11195" s="148">
        <f>M11195/1.1</f>
        <v/>
      </c>
      <c r="Q11195" s="94">
        <f>F11195&amp;E11195&amp;G11195&amp;L11195</f>
        <v/>
      </c>
    </row>
    <row r="11196" customFormat="1" s="94">
      <c r="B11196" s="128" t="n">
        <v>44156</v>
      </c>
      <c r="C11196" s="94">
        <f>TEXT(B11196,"aaa")</f>
        <v/>
      </c>
      <c r="E11196" s="94" t="inlineStr">
        <is>
          <t>토너+패드 세트</t>
        </is>
      </c>
      <c r="F11196" s="94" t="inlineStr">
        <is>
          <t>카페24</t>
        </is>
      </c>
      <c r="G11196" s="94" t="inlineStr">
        <is>
          <t>좁쌀 진정 세트 토너+클리어 패드-30% off</t>
        </is>
      </c>
      <c r="H11196" s="94" t="n">
        <v>200801</v>
      </c>
      <c r="I11196" s="94" t="n">
        <v>200801</v>
      </c>
      <c r="K11196" s="6" t="n">
        <v>34</v>
      </c>
      <c r="L11196" s="94" t="n">
        <v>200801</v>
      </c>
      <c r="M11196" s="94">
        <f>VLOOKUP($Q11196,매칭테이블!$F:$I,2,0)*K11196</f>
        <v/>
      </c>
      <c r="N11196" s="94">
        <f>M11196-M11196*VLOOKUP($Q11196,매칭테이블!$F:$I,3,0)</f>
        <v/>
      </c>
      <c r="O11196" s="94">
        <f>VLOOKUP($Q11196,매칭테이블!$F:$I,4,0)*K11196</f>
        <v/>
      </c>
      <c r="P11196" s="148">
        <f>M11196/1.1</f>
        <v/>
      </c>
      <c r="Q11196" s="94">
        <f>F11196&amp;E11196&amp;G11196&amp;L11196</f>
        <v/>
      </c>
    </row>
    <row r="11197" customFormat="1" s="94">
      <c r="B11197" s="128" t="n">
        <v>44156</v>
      </c>
      <c r="C11197" s="94">
        <f>TEXT(B11197,"aaa")</f>
        <v/>
      </c>
      <c r="E11197" s="94" t="inlineStr">
        <is>
          <t>수분 보충 세트</t>
        </is>
      </c>
      <c r="F11197" s="94" t="inlineStr">
        <is>
          <t>카페24</t>
        </is>
      </c>
      <c r="G11197" s="94" t="inlineStr">
        <is>
          <t>[20/09/28 부터] 어성초 77 토너 250ml + 어성초 70 로션 200ml -30%</t>
        </is>
      </c>
      <c r="H11197" s="94" t="n">
        <v>200801</v>
      </c>
      <c r="I11197" s="94" t="n">
        <v>200801</v>
      </c>
      <c r="K11197" s="6" t="n">
        <v>16</v>
      </c>
      <c r="L11197" s="94" t="n">
        <v>200801</v>
      </c>
      <c r="M11197" s="94">
        <f>VLOOKUP($Q11197,매칭테이블!$F:$I,2,0)*K11197</f>
        <v/>
      </c>
      <c r="N11197" s="94">
        <f>M11197-M11197*VLOOKUP($Q11197,매칭테이블!$F:$I,3,0)</f>
        <v/>
      </c>
      <c r="O11197" s="94">
        <f>VLOOKUP($Q11197,매칭테이블!$F:$I,4,0)*K11197</f>
        <v/>
      </c>
      <c r="P11197" s="148">
        <f>M11197/1.1</f>
        <v/>
      </c>
      <c r="Q11197" s="94">
        <f>F11197&amp;E11197&amp;G11197&amp;L11197</f>
        <v/>
      </c>
    </row>
    <row r="11198" customFormat="1" s="94">
      <c r="B11198" s="128" t="n">
        <v>44156</v>
      </c>
      <c r="C11198" s="94">
        <f>TEXT(B11198,"aaa")</f>
        <v/>
      </c>
      <c r="E11198" s="94" t="inlineStr">
        <is>
          <t>로션</t>
        </is>
      </c>
      <c r="F11198" s="94" t="inlineStr">
        <is>
          <t>카페24</t>
        </is>
      </c>
      <c r="G11198" s="94" t="inlineStr">
        <is>
          <t>어성초 70 데일리 릴리프 로션 1개 -20% off</t>
        </is>
      </c>
      <c r="H11198" s="94" t="n">
        <v>200801</v>
      </c>
      <c r="I11198" s="94" t="n">
        <v>200801</v>
      </c>
      <c r="K11198" s="6" t="n">
        <v>6</v>
      </c>
      <c r="L11198" s="94" t="n">
        <v>200801</v>
      </c>
      <c r="M11198" s="94">
        <f>VLOOKUP($Q11198,매칭테이블!$F:$I,2,0)*K11198</f>
        <v/>
      </c>
      <c r="N11198" s="94">
        <f>M11198-M11198*VLOOKUP($Q11198,매칭테이블!$F:$I,3,0)</f>
        <v/>
      </c>
      <c r="O11198" s="94">
        <f>VLOOKUP($Q11198,매칭테이블!$F:$I,4,0)*K11198</f>
        <v/>
      </c>
      <c r="P11198" s="148">
        <f>M11198/1.1</f>
        <v/>
      </c>
      <c r="Q11198" s="94">
        <f>F11198&amp;E11198&amp;G11198&amp;L11198</f>
        <v/>
      </c>
    </row>
    <row r="11199" customFormat="1" s="94">
      <c r="B11199" s="128" t="n">
        <v>44156</v>
      </c>
      <c r="C11199" s="94">
        <f>TEXT(B11199,"aaa")</f>
        <v/>
      </c>
      <c r="E11199" s="94" t="inlineStr">
        <is>
          <t>머드크림마스크</t>
        </is>
      </c>
      <c r="F11199" s="94" t="inlineStr">
        <is>
          <t>카페24</t>
        </is>
      </c>
      <c r="G11199" s="94" t="inlineStr">
        <is>
          <t>머드크림마스크 100ml</t>
        </is>
      </c>
      <c r="H11199" s="94" t="n">
        <v>200801</v>
      </c>
      <c r="I11199" s="94" t="n">
        <v>200801</v>
      </c>
      <c r="K11199" s="6" t="n">
        <v>3</v>
      </c>
      <c r="L11199" s="94" t="n">
        <v>200801</v>
      </c>
      <c r="M11199" s="94">
        <f>VLOOKUP($Q11199,매칭테이블!$F:$I,2,0)*K11199</f>
        <v/>
      </c>
      <c r="N11199" s="94">
        <f>M11199-M11199*VLOOKUP($Q11199,매칭테이블!$F:$I,3,0)</f>
        <v/>
      </c>
      <c r="O11199" s="94">
        <f>VLOOKUP($Q11199,매칭테이블!$F:$I,4,0)*K11199</f>
        <v/>
      </c>
      <c r="P11199" s="148">
        <f>M11199/1.1</f>
        <v/>
      </c>
      <c r="Q11199" s="94">
        <f>F11199&amp;E11199&amp;G11199&amp;L11199</f>
        <v/>
      </c>
    </row>
    <row r="11200" customFormat="1" s="94">
      <c r="B11200" s="128" t="n">
        <v>44156</v>
      </c>
      <c r="C11200" s="94">
        <f>TEXT(B11200,"aaa")</f>
        <v/>
      </c>
      <c r="E11200" s="94" t="inlineStr">
        <is>
          <t>머드크림마스크</t>
        </is>
      </c>
      <c r="F11200" s="94" t="inlineStr">
        <is>
          <t>카페24</t>
        </is>
      </c>
      <c r="G11200" s="94" t="inlineStr">
        <is>
          <t>머드크림마스크 100ml 2set</t>
        </is>
      </c>
      <c r="H11200" s="94" t="n">
        <v>200801</v>
      </c>
      <c r="I11200" s="94" t="n">
        <v>200801</v>
      </c>
      <c r="K11200" s="6" t="n">
        <v>1</v>
      </c>
      <c r="L11200" s="94" t="n">
        <v>200801</v>
      </c>
      <c r="M11200" s="94">
        <f>VLOOKUP($Q11200,매칭테이블!$F:$I,2,0)*K11200</f>
        <v/>
      </c>
      <c r="N11200" s="94">
        <f>M11200-M11200*VLOOKUP($Q11200,매칭테이블!$F:$I,3,0)</f>
        <v/>
      </c>
      <c r="O11200" s="94">
        <f>VLOOKUP($Q11200,매칭테이블!$F:$I,4,0)*K11200</f>
        <v/>
      </c>
      <c r="P11200" s="148">
        <f>M11200/1.1</f>
        <v/>
      </c>
      <c r="Q11200" s="94">
        <f>F11200&amp;E11200&amp;G11200&amp;L11200</f>
        <v/>
      </c>
    </row>
    <row r="11201" customFormat="1" s="94">
      <c r="B11201" s="128" t="n">
        <v>44156</v>
      </c>
      <c r="C11201" s="94">
        <f>TEXT(B11201,"aaa")</f>
        <v/>
      </c>
      <c r="E11201" s="94" t="inlineStr">
        <is>
          <t>마스크팩</t>
        </is>
      </c>
      <c r="F11201" s="94" t="inlineStr">
        <is>
          <t>카페24</t>
        </is>
      </c>
      <c r="G11201" s="94" t="inlineStr">
        <is>
          <t>마스크팩 1매</t>
        </is>
      </c>
      <c r="H11201" s="94" t="n">
        <v>200801</v>
      </c>
      <c r="I11201" s="94" t="n">
        <v>200801</v>
      </c>
      <c r="K11201" s="6" t="n">
        <v>6</v>
      </c>
      <c r="L11201" s="94" t="n">
        <v>200801</v>
      </c>
      <c r="M11201" s="94">
        <f>VLOOKUP($Q11201,매칭테이블!$F:$I,2,0)*K11201</f>
        <v/>
      </c>
      <c r="N11201" s="94">
        <f>M11201-M11201*VLOOKUP($Q11201,매칭테이블!$F:$I,3,0)</f>
        <v/>
      </c>
      <c r="O11201" s="94">
        <f>VLOOKUP($Q11201,매칭테이블!$F:$I,4,0)*K11201</f>
        <v/>
      </c>
      <c r="P11201" s="148">
        <f>M11201/1.1</f>
        <v/>
      </c>
      <c r="Q11201" s="94">
        <f>F11201&amp;E11201&amp;G11201&amp;L11201</f>
        <v/>
      </c>
    </row>
    <row r="11202" customFormat="1" s="94">
      <c r="B11202" s="128" t="n">
        <v>44156</v>
      </c>
      <c r="C11202" s="94">
        <f>TEXT(B11202,"aaa")</f>
        <v/>
      </c>
      <c r="E11202" s="94" t="inlineStr">
        <is>
          <t>마스크팩</t>
        </is>
      </c>
      <c r="F11202" s="94" t="inlineStr">
        <is>
          <t>카페24</t>
        </is>
      </c>
      <c r="G11202" s="94" t="inlineStr">
        <is>
          <t>마스크팩 10매</t>
        </is>
      </c>
      <c r="H11202" s="94" t="n">
        <v>200801</v>
      </c>
      <c r="I11202" s="94" t="n">
        <v>200801</v>
      </c>
      <c r="K11202" s="6" t="n">
        <v>5</v>
      </c>
      <c r="L11202" s="94" t="n">
        <v>200801</v>
      </c>
      <c r="M11202" s="94">
        <f>VLOOKUP($Q11202,매칭테이블!$F:$I,2,0)*K11202</f>
        <v/>
      </c>
      <c r="N11202" s="94">
        <f>M11202-M11202*VLOOKUP($Q11202,매칭테이블!$F:$I,3,0)</f>
        <v/>
      </c>
      <c r="O11202" s="94">
        <f>VLOOKUP($Q11202,매칭테이블!$F:$I,4,0)*K11202</f>
        <v/>
      </c>
      <c r="P11202" s="148">
        <f>M11202/1.1</f>
        <v/>
      </c>
      <c r="Q11202" s="94">
        <f>F11202&amp;E11202&amp;G11202&amp;L11202</f>
        <v/>
      </c>
    </row>
    <row r="11203" customFormat="1" s="94">
      <c r="B11203" s="128" t="n">
        <v>44156</v>
      </c>
      <c r="C11203" s="94">
        <f>TEXT(B11203,"aaa")</f>
        <v/>
      </c>
      <c r="E11203" s="94" t="inlineStr">
        <is>
          <t>토너</t>
        </is>
      </c>
      <c r="F11203" s="94" t="inlineStr">
        <is>
          <t>카페24</t>
        </is>
      </c>
      <c r="G11203" s="94" t="inlineStr">
        <is>
          <t>250ml</t>
        </is>
      </c>
      <c r="H11203" s="94" t="n">
        <v>200801</v>
      </c>
      <c r="I11203" s="94" t="n">
        <v>200801</v>
      </c>
      <c r="K11203" s="6" t="n">
        <v>23</v>
      </c>
      <c r="L11203" s="94" t="n">
        <v>200801</v>
      </c>
      <c r="M11203" s="94">
        <f>VLOOKUP($Q11203,매칭테이블!$F:$I,2,0)*K11203</f>
        <v/>
      </c>
      <c r="N11203" s="94">
        <f>M11203-M11203*VLOOKUP($Q11203,매칭테이블!$F:$I,3,0)</f>
        <v/>
      </c>
      <c r="O11203" s="94">
        <f>VLOOKUP($Q11203,매칭테이블!$F:$I,4,0)*K11203</f>
        <v/>
      </c>
      <c r="P11203" s="148">
        <f>M11203/1.1</f>
        <v/>
      </c>
      <c r="Q11203" s="94">
        <f>F11203&amp;E11203&amp;G11203&amp;L11203</f>
        <v/>
      </c>
    </row>
    <row r="11204" customFormat="1" s="94">
      <c r="B11204" s="128" t="n">
        <v>44156</v>
      </c>
      <c r="C11204" s="94">
        <f>TEXT(B11204,"aaa")</f>
        <v/>
      </c>
      <c r="E11204" s="94" t="inlineStr">
        <is>
          <t>토너</t>
        </is>
      </c>
      <c r="F11204" s="94" t="inlineStr">
        <is>
          <t>카페24</t>
        </is>
      </c>
      <c r="G11204" s="94" t="inlineStr">
        <is>
          <t>250ml 2set</t>
        </is>
      </c>
      <c r="H11204" s="94" t="n">
        <v>200801</v>
      </c>
      <c r="I11204" s="94" t="n">
        <v>200801</v>
      </c>
      <c r="K11204" s="6" t="n">
        <v>8</v>
      </c>
      <c r="L11204" s="94" t="n">
        <v>200801</v>
      </c>
      <c r="M11204" s="94">
        <f>VLOOKUP($Q11204,매칭테이블!$F:$I,2,0)*K11204</f>
        <v/>
      </c>
      <c r="N11204" s="94">
        <f>M11204-M11204*VLOOKUP($Q11204,매칭테이블!$F:$I,3,0)</f>
        <v/>
      </c>
      <c r="O11204" s="94">
        <f>VLOOKUP($Q11204,매칭테이블!$F:$I,4,0)*K11204</f>
        <v/>
      </c>
      <c r="P11204" s="148">
        <f>M11204/1.1</f>
        <v/>
      </c>
      <c r="Q11204" s="94">
        <f>F11204&amp;E11204&amp;G11204&amp;L11204</f>
        <v/>
      </c>
    </row>
    <row r="11205" customFormat="1" s="94">
      <c r="B11205" s="128" t="n">
        <v>44156</v>
      </c>
      <c r="C11205" s="94">
        <f>TEXT(B11205,"aaa")</f>
        <v/>
      </c>
      <c r="E11205" s="94" t="inlineStr">
        <is>
          <t>토너</t>
        </is>
      </c>
      <c r="F11205" s="94" t="inlineStr">
        <is>
          <t>카페24</t>
        </is>
      </c>
      <c r="G11205" s="94" t="inlineStr">
        <is>
          <t>500ml</t>
        </is>
      </c>
      <c r="H11205" s="94" t="n">
        <v>200801</v>
      </c>
      <c r="I11205" s="94" t="n">
        <v>200801</v>
      </c>
      <c r="K11205" s="6" t="n">
        <v>30</v>
      </c>
      <c r="L11205" s="94" t="n">
        <v>200801</v>
      </c>
      <c r="M11205" s="94">
        <f>VLOOKUP($Q11205,매칭테이블!$F:$I,2,0)*K11205</f>
        <v/>
      </c>
      <c r="N11205" s="94">
        <f>M11205-M11205*VLOOKUP($Q11205,매칭테이블!$F:$I,3,0)</f>
        <v/>
      </c>
      <c r="O11205" s="94">
        <f>VLOOKUP($Q11205,매칭테이블!$F:$I,4,0)*K11205</f>
        <v/>
      </c>
      <c r="P11205" s="148">
        <f>M11205/1.1</f>
        <v/>
      </c>
      <c r="Q11205" s="94">
        <f>F11205&amp;E11205&amp;G11205&amp;L11205</f>
        <v/>
      </c>
    </row>
    <row r="11206" customFormat="1" s="94">
      <c r="B11206" s="128" t="n">
        <v>44156</v>
      </c>
      <c r="C11206" s="94">
        <f>TEXT(B11206,"aaa")</f>
        <v/>
      </c>
      <c r="E11206" s="94" t="inlineStr">
        <is>
          <t>토너</t>
        </is>
      </c>
      <c r="F11206" s="94" t="inlineStr">
        <is>
          <t>카페24</t>
        </is>
      </c>
      <c r="G11206" s="94" t="inlineStr">
        <is>
          <t>스킨팩 화장솜 60P</t>
        </is>
      </c>
      <c r="H11206" s="94" t="n">
        <v>200801</v>
      </c>
      <c r="I11206" s="94" t="n">
        <v>200801</v>
      </c>
      <c r="K11206" s="6" t="n">
        <v>22</v>
      </c>
      <c r="L11206" s="94" t="n">
        <v>200801</v>
      </c>
      <c r="M11206" s="94">
        <f>VLOOKUP($Q11206,매칭테이블!$F:$I,2,0)*K11206</f>
        <v/>
      </c>
      <c r="N11206" s="94">
        <f>M11206-M11206*VLOOKUP($Q11206,매칭테이블!$F:$I,3,0)</f>
        <v/>
      </c>
      <c r="O11206" s="94">
        <f>VLOOKUP($Q11206,매칭테이블!$F:$I,4,0)*K11206</f>
        <v/>
      </c>
      <c r="P11206" s="148">
        <f>M11206/1.1</f>
        <v/>
      </c>
      <c r="Q11206" s="94">
        <f>F11206&amp;E11206&amp;G11206&amp;L11206</f>
        <v/>
      </c>
    </row>
    <row r="11207" customFormat="1" s="94">
      <c r="B11207" s="128" t="n">
        <v>44156</v>
      </c>
      <c r="C11207" s="94">
        <f>TEXT(B11207,"aaa")</f>
        <v/>
      </c>
      <c r="E11207" s="94" t="inlineStr">
        <is>
          <t>앰플</t>
        </is>
      </c>
      <c r="F11207" s="94" t="inlineStr">
        <is>
          <t>카페24</t>
        </is>
      </c>
      <c r="G11207" s="94" t="inlineStr">
        <is>
          <t>앰플 30ml</t>
        </is>
      </c>
      <c r="H11207" s="94" t="n">
        <v>200801</v>
      </c>
      <c r="I11207" s="94" t="n">
        <v>200801</v>
      </c>
      <c r="K11207" s="6" t="n">
        <v>11</v>
      </c>
      <c r="L11207" s="94" t="n">
        <v>200801</v>
      </c>
      <c r="M11207" s="94">
        <f>VLOOKUP($Q11207,매칭테이블!$F:$I,2,0)*K11207</f>
        <v/>
      </c>
      <c r="N11207" s="94">
        <f>M11207-M11207*VLOOKUP($Q11207,매칭테이블!$F:$I,3,0)</f>
        <v/>
      </c>
      <c r="O11207" s="94">
        <f>VLOOKUP($Q11207,매칭테이블!$F:$I,4,0)*K11207</f>
        <v/>
      </c>
      <c r="P11207" s="148">
        <f>M11207/1.1</f>
        <v/>
      </c>
      <c r="Q11207" s="94">
        <f>F11207&amp;E11207&amp;G11207&amp;L11207</f>
        <v/>
      </c>
    </row>
    <row r="11208" customFormat="1" s="94">
      <c r="B11208" s="128" t="n">
        <v>44156</v>
      </c>
      <c r="C11208" s="94">
        <f>TEXT(B11208,"aaa")</f>
        <v/>
      </c>
      <c r="E11208" s="94" t="inlineStr">
        <is>
          <t>앰플</t>
        </is>
      </c>
      <c r="F11208" s="94" t="inlineStr">
        <is>
          <t>카페24</t>
        </is>
      </c>
      <c r="G11208" s="94" t="inlineStr">
        <is>
          <t>앰플 30ml  2set</t>
        </is>
      </c>
      <c r="H11208" s="94" t="n">
        <v>200801</v>
      </c>
      <c r="I11208" s="94" t="n">
        <v>200801</v>
      </c>
      <c r="K11208" s="6" t="n">
        <v>4</v>
      </c>
      <c r="L11208" s="94" t="n">
        <v>200801</v>
      </c>
      <c r="M11208" s="94">
        <f>VLOOKUP($Q11208,매칭테이블!$F:$I,2,0)*K11208</f>
        <v/>
      </c>
      <c r="N11208" s="94">
        <f>M11208-M11208*VLOOKUP($Q11208,매칭테이블!$F:$I,3,0)</f>
        <v/>
      </c>
      <c r="O11208" s="94">
        <f>VLOOKUP($Q11208,매칭테이블!$F:$I,4,0)*K11208</f>
        <v/>
      </c>
      <c r="P11208" s="148">
        <f>M11208/1.1</f>
        <v/>
      </c>
      <c r="Q11208" s="94">
        <f>F11208&amp;E11208&amp;G11208&amp;L11208</f>
        <v/>
      </c>
    </row>
    <row r="11209" customFormat="1" s="94">
      <c r="B11209" s="128" t="n">
        <v>44156</v>
      </c>
      <c r="C11209" s="94">
        <f>TEXT(B11209,"aaa")</f>
        <v/>
      </c>
      <c r="E11209" s="94" t="inlineStr">
        <is>
          <t>수딩크림</t>
        </is>
      </c>
      <c r="F11209" s="94" t="inlineStr">
        <is>
          <t>카페24</t>
        </is>
      </c>
      <c r="G11209" s="94" t="inlineStr">
        <is>
          <t>수딩크림 100ml</t>
        </is>
      </c>
      <c r="H11209" s="94" t="n">
        <v>200801</v>
      </c>
      <c r="I11209" s="94" t="n">
        <v>200801</v>
      </c>
      <c r="K11209" s="6" t="n">
        <v>3</v>
      </c>
      <c r="L11209" s="94" t="n">
        <v>200801</v>
      </c>
      <c r="M11209" s="94">
        <f>VLOOKUP($Q11209,매칭테이블!$F:$I,2,0)*K11209</f>
        <v/>
      </c>
      <c r="N11209" s="94">
        <f>M11209-M11209*VLOOKUP($Q11209,매칭테이블!$F:$I,3,0)</f>
        <v/>
      </c>
      <c r="O11209" s="94">
        <f>VLOOKUP($Q11209,매칭테이블!$F:$I,4,0)*K11209</f>
        <v/>
      </c>
      <c r="P11209" s="148">
        <f>M11209/1.1</f>
        <v/>
      </c>
      <c r="Q11209" s="94">
        <f>F11209&amp;E11209&amp;G11209&amp;L11209</f>
        <v/>
      </c>
    </row>
    <row r="11210" customFormat="1" s="94">
      <c r="B11210" s="128" t="n">
        <v>44156</v>
      </c>
      <c r="C11210" s="94">
        <f>TEXT(B11210,"aaa")</f>
        <v/>
      </c>
      <c r="E11210" s="94" t="inlineStr">
        <is>
          <t>클렌징폼</t>
        </is>
      </c>
      <c r="F11210" s="94" t="inlineStr">
        <is>
          <t>카페24</t>
        </is>
      </c>
      <c r="G11210" s="94" t="inlineStr">
        <is>
          <t>클렌징폼 120ml</t>
        </is>
      </c>
      <c r="H11210" s="94" t="n">
        <v>200801</v>
      </c>
      <c r="I11210" s="94" t="n">
        <v>200801</v>
      </c>
      <c r="K11210" s="6" t="n">
        <v>8</v>
      </c>
      <c r="L11210" s="94" t="n">
        <v>200801</v>
      </c>
      <c r="M11210" s="94">
        <f>VLOOKUP($Q11210,매칭테이블!$F:$I,2,0)*K11210</f>
        <v/>
      </c>
      <c r="N11210" s="94">
        <f>M11210-M11210*VLOOKUP($Q11210,매칭테이블!$F:$I,3,0)</f>
        <v/>
      </c>
      <c r="O11210" s="94">
        <f>VLOOKUP($Q11210,매칭테이블!$F:$I,4,0)*K11210</f>
        <v/>
      </c>
      <c r="P11210" s="148">
        <f>M11210/1.1</f>
        <v/>
      </c>
      <c r="Q11210" s="94">
        <f>F11210&amp;E11210&amp;G11210&amp;L11210</f>
        <v/>
      </c>
    </row>
    <row r="11211" customFormat="1" s="94">
      <c r="B11211" s="128" t="n">
        <v>44156</v>
      </c>
      <c r="C11211" s="94">
        <f>TEXT(B11211,"aaa")</f>
        <v/>
      </c>
      <c r="E11211" s="94" t="inlineStr">
        <is>
          <t>클렌징폼</t>
        </is>
      </c>
      <c r="F11211" s="94" t="inlineStr">
        <is>
          <t>카페24</t>
        </is>
      </c>
      <c r="G11211" s="94" t="inlineStr">
        <is>
          <t>클렌징폼 120ml 2set</t>
        </is>
      </c>
      <c r="H11211" s="94" t="n">
        <v>200801</v>
      </c>
      <c r="I11211" s="94" t="n">
        <v>200801</v>
      </c>
      <c r="K11211" s="6" t="n">
        <v>2</v>
      </c>
      <c r="L11211" s="94" t="n">
        <v>200801</v>
      </c>
      <c r="M11211" s="94">
        <f>VLOOKUP($Q11211,매칭테이블!$F:$I,2,0)*K11211</f>
        <v/>
      </c>
      <c r="N11211" s="94">
        <f>M11211-M11211*VLOOKUP($Q11211,매칭테이블!$F:$I,3,0)</f>
        <v/>
      </c>
      <c r="O11211" s="94">
        <f>VLOOKUP($Q11211,매칭테이블!$F:$I,4,0)*K11211</f>
        <v/>
      </c>
      <c r="P11211" s="148">
        <f>M11211/1.1</f>
        <v/>
      </c>
      <c r="Q11211" s="94">
        <f>F11211&amp;E11211&amp;G11211&amp;L11211</f>
        <v/>
      </c>
    </row>
    <row r="11212" customFormat="1" s="94">
      <c r="B11212" s="128" t="n">
        <v>44156</v>
      </c>
      <c r="C11212" s="94">
        <f>TEXT(B11212,"aaa")</f>
        <v/>
      </c>
      <c r="E11212" s="94" t="inlineStr">
        <is>
          <t>클렌징폼</t>
        </is>
      </c>
      <c r="F11212" s="94" t="inlineStr">
        <is>
          <t>카페24</t>
        </is>
      </c>
      <c r="G11212" s="94" t="inlineStr">
        <is>
          <t>클렌징폼 120ml 3set</t>
        </is>
      </c>
      <c r="H11212" s="94" t="n">
        <v>200801</v>
      </c>
      <c r="I11212" s="94" t="n">
        <v>200801</v>
      </c>
      <c r="K11212" s="6" t="n">
        <v>1</v>
      </c>
      <c r="L11212" s="94" t="n">
        <v>200801</v>
      </c>
      <c r="M11212" s="94">
        <f>VLOOKUP($Q11212,매칭테이블!$F:$I,2,0)*K11212</f>
        <v/>
      </c>
      <c r="N11212" s="94">
        <f>M11212-M11212*VLOOKUP($Q11212,매칭테이블!$F:$I,3,0)</f>
        <v/>
      </c>
      <c r="O11212" s="94">
        <f>VLOOKUP($Q11212,매칭테이블!$F:$I,4,0)*K11212</f>
        <v/>
      </c>
      <c r="P11212" s="148">
        <f>M11212/1.1</f>
        <v/>
      </c>
      <c r="Q11212" s="94">
        <f>F11212&amp;E11212&amp;G11212&amp;L11212</f>
        <v/>
      </c>
    </row>
    <row r="11213" customFormat="1" s="94">
      <c r="B11213" s="128" t="n">
        <v>44156</v>
      </c>
      <c r="C11213" s="94">
        <f>TEXT(B11213,"aaa")</f>
        <v/>
      </c>
      <c r="E11213" s="94" t="inlineStr">
        <is>
          <t>바디워시</t>
        </is>
      </c>
      <c r="F11213" s="94" t="inlineStr">
        <is>
          <t>카페24</t>
        </is>
      </c>
      <c r="G11213" s="94" t="inlineStr">
        <is>
          <t>바디워시 1개 -30% off</t>
        </is>
      </c>
      <c r="H11213" s="94" t="n">
        <v>200801</v>
      </c>
      <c r="I11213" s="94" t="n">
        <v>200801</v>
      </c>
      <c r="K11213" s="6" t="n">
        <v>2</v>
      </c>
      <c r="L11213" s="94" t="n">
        <v>200801</v>
      </c>
      <c r="M11213" s="94">
        <f>VLOOKUP($Q11213,매칭테이블!$F:$I,2,0)*K11213</f>
        <v/>
      </c>
      <c r="N11213" s="94">
        <f>M11213-M11213*VLOOKUP($Q11213,매칭테이블!$F:$I,3,0)</f>
        <v/>
      </c>
      <c r="O11213" s="94">
        <f>VLOOKUP($Q11213,매칭테이블!$F:$I,4,0)*K11213</f>
        <v/>
      </c>
      <c r="P11213" s="148">
        <f>M11213/1.1</f>
        <v/>
      </c>
      <c r="Q11213" s="94">
        <f>F11213&amp;E11213&amp;G11213&amp;L11213</f>
        <v/>
      </c>
    </row>
    <row r="11214" customFormat="1" s="94">
      <c r="B11214" s="128" t="n">
        <v>44156</v>
      </c>
      <c r="C11214" s="94">
        <f>TEXT(B11214,"aaa")</f>
        <v/>
      </c>
      <c r="E11214" s="94" t="inlineStr">
        <is>
          <t>바디워시</t>
        </is>
      </c>
      <c r="F11214" s="94" t="inlineStr">
        <is>
          <t>카페24</t>
        </is>
      </c>
      <c r="G11214" s="94" t="inlineStr">
        <is>
          <t>바디워시 2개 -35% off (무료배송)</t>
        </is>
      </c>
      <c r="H11214" s="94" t="n">
        <v>200801</v>
      </c>
      <c r="I11214" s="94" t="n">
        <v>200801</v>
      </c>
      <c r="K11214" s="6" t="n">
        <v>1</v>
      </c>
      <c r="L11214" s="94" t="n">
        <v>200801</v>
      </c>
      <c r="M11214" s="94">
        <f>VLOOKUP($Q11214,매칭테이블!$F:$I,2,0)*K11214</f>
        <v/>
      </c>
      <c r="N11214" s="94">
        <f>M11214-M11214*VLOOKUP($Q11214,매칭테이블!$F:$I,3,0)</f>
        <v/>
      </c>
      <c r="O11214" s="94">
        <f>VLOOKUP($Q11214,매칭테이블!$F:$I,4,0)*K11214</f>
        <v/>
      </c>
      <c r="P11214" s="148">
        <f>M11214/1.1</f>
        <v/>
      </c>
      <c r="Q11214" s="94">
        <f>F11214&amp;E11214&amp;G11214&amp;L11214</f>
        <v/>
      </c>
    </row>
    <row r="11215" customFormat="1" s="94">
      <c r="B11215" s="128" t="n">
        <v>44156</v>
      </c>
      <c r="C11215" s="94">
        <f>TEXT(B11215,"aaa")</f>
        <v/>
      </c>
      <c r="E11215" s="94" t="inlineStr">
        <is>
          <t>토너</t>
        </is>
      </c>
      <c r="F11215" s="94" t="inlineStr">
        <is>
          <t>화해</t>
        </is>
      </c>
      <c r="G11215" s="94" t="inlineStr">
        <is>
          <t>250ml</t>
        </is>
      </c>
      <c r="H11215" s="94" t="n">
        <v>200801</v>
      </c>
      <c r="I11215" s="94" t="n">
        <v>200801</v>
      </c>
      <c r="K11215" s="6" t="n">
        <v>5</v>
      </c>
      <c r="L11215" s="94" t="n">
        <v>200801</v>
      </c>
      <c r="M11215" s="94">
        <f>VLOOKUP($Q11215,매칭테이블!$F:$I,2,0)*K11215</f>
        <v/>
      </c>
      <c r="N11215" s="94">
        <f>M11215-M11215*VLOOKUP($Q11215,매칭테이블!$F:$I,3,0)</f>
        <v/>
      </c>
      <c r="O11215" s="94">
        <f>VLOOKUP($Q11215,매칭테이블!$F:$I,4,0)*K11215</f>
        <v/>
      </c>
      <c r="P11215" s="148">
        <f>M11215/1.1</f>
        <v/>
      </c>
      <c r="Q11215" s="94">
        <f>F11215&amp;E11215&amp;G11215&amp;L11215</f>
        <v/>
      </c>
    </row>
    <row r="11216" customFormat="1" s="94">
      <c r="B11216" s="128" t="n">
        <v>44157</v>
      </c>
      <c r="C11216" s="94">
        <f>TEXT(B11216,"aaa")</f>
        <v/>
      </c>
      <c r="E11216" s="94" t="inlineStr">
        <is>
          <t>토너</t>
        </is>
      </c>
      <c r="F11216" s="94" t="inlineStr">
        <is>
          <t>스타일쉐어</t>
        </is>
      </c>
      <c r="G11216" s="94" t="inlineStr">
        <is>
          <t>250ml</t>
        </is>
      </c>
      <c r="H11216" s="94" t="n">
        <v>200801</v>
      </c>
      <c r="I11216" s="94" t="n">
        <v>200801</v>
      </c>
      <c r="K11216" s="6" t="n">
        <v>9</v>
      </c>
      <c r="L11216" s="94" t="n">
        <v>200801</v>
      </c>
      <c r="M11216" s="94">
        <f>VLOOKUP($Q11216,매칭테이블!$F:$I,2,0)*K11216</f>
        <v/>
      </c>
      <c r="N11216" s="94">
        <f>M11216-M11216*VLOOKUP($Q11216,매칭테이블!$F:$I,3,0)</f>
        <v/>
      </c>
      <c r="O11216" s="94">
        <f>VLOOKUP($Q11216,매칭테이블!$F:$I,4,0)*K11216</f>
        <v/>
      </c>
      <c r="P11216" s="148">
        <f>M11216/1.1</f>
        <v/>
      </c>
      <c r="Q11216" s="94">
        <f>F11216&amp;E11216&amp;G11216&amp;L11216</f>
        <v/>
      </c>
    </row>
    <row r="11217" customFormat="1" s="94">
      <c r="B11217" s="128" t="n">
        <v>44157</v>
      </c>
      <c r="C11217" s="94">
        <f>TEXT(B11217,"aaa")</f>
        <v/>
      </c>
      <c r="E11217" s="94" t="inlineStr">
        <is>
          <t>선크림</t>
        </is>
      </c>
      <c r="F11217" s="94" t="inlineStr">
        <is>
          <t>카페24</t>
        </is>
      </c>
      <c r="G11217" s="94" t="inlineStr">
        <is>
          <t>선크림 50ml</t>
        </is>
      </c>
      <c r="H11217" s="94" t="n">
        <v>200801</v>
      </c>
      <c r="I11217" s="94" t="n">
        <v>200801</v>
      </c>
      <c r="K11217" s="6" t="n">
        <v>7</v>
      </c>
      <c r="L11217" s="94" t="n">
        <v>200801</v>
      </c>
      <c r="M11217" s="94">
        <f>VLOOKUP($Q11217,매칭테이블!$F:$I,2,0)*K11217</f>
        <v/>
      </c>
      <c r="N11217" s="94">
        <f>M11217-M11217*VLOOKUP($Q11217,매칭테이블!$F:$I,3,0)</f>
        <v/>
      </c>
      <c r="O11217" s="94">
        <f>VLOOKUP($Q11217,매칭테이블!$F:$I,4,0)*K11217</f>
        <v/>
      </c>
      <c r="P11217" s="148">
        <f>M11217/1.1</f>
        <v/>
      </c>
      <c r="Q11217" s="94">
        <f>F11217&amp;E11217&amp;G11217&amp;L11217</f>
        <v/>
      </c>
    </row>
    <row r="11218" customFormat="1" s="94">
      <c r="B11218" s="128" t="n">
        <v>44157</v>
      </c>
      <c r="C11218" s="94">
        <f>TEXT(B11218,"aaa")</f>
        <v/>
      </c>
      <c r="E11218" s="94" t="inlineStr">
        <is>
          <t>선크림</t>
        </is>
      </c>
      <c r="F11218" s="94" t="inlineStr">
        <is>
          <t>카페24</t>
        </is>
      </c>
      <c r="G11218" s="94" t="inlineStr">
        <is>
          <t>선크림 50ml  2set</t>
        </is>
      </c>
      <c r="H11218" s="94" t="n">
        <v>200801</v>
      </c>
      <c r="I11218" s="94" t="n">
        <v>200801</v>
      </c>
      <c r="K11218" s="6" t="n">
        <v>1</v>
      </c>
      <c r="L11218" s="94" t="n">
        <v>200801</v>
      </c>
      <c r="M11218" s="94">
        <f>VLOOKUP($Q11218,매칭테이블!$F:$I,2,0)*K11218</f>
        <v/>
      </c>
      <c r="N11218" s="94">
        <f>M11218-M11218*VLOOKUP($Q11218,매칭테이블!$F:$I,3,0)</f>
        <v/>
      </c>
      <c r="O11218" s="94">
        <f>VLOOKUP($Q11218,매칭테이블!$F:$I,4,0)*K11218</f>
        <v/>
      </c>
      <c r="P11218" s="148">
        <f>M11218/1.1</f>
        <v/>
      </c>
      <c r="Q11218" s="94">
        <f>F11218&amp;E11218&amp;G11218&amp;L11218</f>
        <v/>
      </c>
    </row>
    <row r="11219" customFormat="1" s="94">
      <c r="B11219" s="128" t="n">
        <v>44157</v>
      </c>
      <c r="C11219" s="94">
        <f>TEXT(B11219,"aaa")</f>
        <v/>
      </c>
      <c r="E11219" s="94" t="inlineStr">
        <is>
          <t>카밍크림</t>
        </is>
      </c>
      <c r="F11219" s="94" t="inlineStr">
        <is>
          <t>카페24</t>
        </is>
      </c>
      <c r="G11219" s="94" t="inlineStr">
        <is>
          <t>[플친 단독 (11/16-11/20)] 크림(필수)=어성초 70 인텐스 카밍 크림 1개-20% off</t>
        </is>
      </c>
      <c r="H11219" s="94" t="n">
        <v>200801</v>
      </c>
      <c r="I11219" s="94" t="n">
        <v>200801</v>
      </c>
      <c r="K11219" s="6" t="n">
        <v>2</v>
      </c>
      <c r="L11219" s="94" t="n">
        <v>200801</v>
      </c>
      <c r="M11219" s="94">
        <f>VLOOKUP($Q11219,매칭테이블!$F:$I,2,0)*K11219</f>
        <v/>
      </c>
      <c r="N11219" s="94">
        <f>M11219-M11219*VLOOKUP($Q11219,매칭테이블!$F:$I,3,0)</f>
        <v/>
      </c>
      <c r="O11219" s="94">
        <f>VLOOKUP($Q11219,매칭테이블!$F:$I,4,0)*K11219</f>
        <v/>
      </c>
      <c r="P11219" s="148">
        <f>M11219/1.1</f>
        <v/>
      </c>
      <c r="Q11219" s="94">
        <f>F11219&amp;E11219&amp;G11219&amp;L11219</f>
        <v/>
      </c>
    </row>
    <row r="11220" customFormat="1" s="94">
      <c r="B11220" s="128" t="n">
        <v>44157</v>
      </c>
      <c r="C11220" s="94">
        <f>TEXT(B11220,"aaa")</f>
        <v/>
      </c>
      <c r="E11220" s="94" t="inlineStr">
        <is>
          <t>카밍크림</t>
        </is>
      </c>
      <c r="F11220" s="94" t="inlineStr">
        <is>
          <t>카페24</t>
        </is>
      </c>
      <c r="G11220" s="94" t="inlineStr">
        <is>
          <t>[플친 단독 (11/16-11/20)] 크림(필수)=어성초 70 인텐스 카밍 크림 2개-30% off (무료배송)</t>
        </is>
      </c>
      <c r="H11220" s="94" t="n">
        <v>200801</v>
      </c>
      <c r="I11220" s="94" t="n">
        <v>200801</v>
      </c>
      <c r="K11220" s="6" t="n">
        <v>1</v>
      </c>
      <c r="L11220" s="94" t="n">
        <v>200801</v>
      </c>
      <c r="M11220" s="94">
        <f>VLOOKUP($Q11220,매칭테이블!$F:$I,2,0)*K11220</f>
        <v/>
      </c>
      <c r="N11220" s="94">
        <f>M11220-M11220*VLOOKUP($Q11220,매칭테이블!$F:$I,3,0)</f>
        <v/>
      </c>
      <c r="O11220" s="94">
        <f>VLOOKUP($Q11220,매칭테이블!$F:$I,4,0)*K11220</f>
        <v/>
      </c>
      <c r="P11220" s="148">
        <f>M11220/1.1</f>
        <v/>
      </c>
      <c r="Q11220" s="94">
        <f>F11220&amp;E11220&amp;G11220&amp;L11220</f>
        <v/>
      </c>
    </row>
    <row r="11221" customFormat="1" s="94">
      <c r="B11221" s="128" t="n">
        <v>44157</v>
      </c>
      <c r="C11221" s="94">
        <f>TEXT(B11221,"aaa")</f>
        <v/>
      </c>
      <c r="E11221" s="94" t="inlineStr">
        <is>
          <t>어성초진정패키지</t>
        </is>
      </c>
      <c r="F11221" s="94" t="inlineStr">
        <is>
          <t>카페24</t>
        </is>
      </c>
      <c r="G11221" s="94" t="inlineStr">
        <is>
          <t>어성초 진정패키지세트</t>
        </is>
      </c>
      <c r="H11221" s="94" t="n">
        <v>200801</v>
      </c>
      <c r="I11221" s="94" t="n">
        <v>200801</v>
      </c>
      <c r="K11221" s="6" t="n">
        <v>7</v>
      </c>
      <c r="L11221" s="94" t="n">
        <v>200801</v>
      </c>
      <c r="M11221" s="94">
        <f>VLOOKUP($Q11221,매칭테이블!$F:$I,2,0)*K11221</f>
        <v/>
      </c>
      <c r="N11221" s="94">
        <f>M11221-M11221*VLOOKUP($Q11221,매칭테이블!$F:$I,3,0)</f>
        <v/>
      </c>
      <c r="O11221" s="94">
        <f>VLOOKUP($Q11221,매칭테이블!$F:$I,4,0)*K11221</f>
        <v/>
      </c>
      <c r="P11221" s="148">
        <f>M11221/1.1</f>
        <v/>
      </c>
      <c r="Q11221" s="94">
        <f>F11221&amp;E11221&amp;G11221&amp;L11221</f>
        <v/>
      </c>
    </row>
    <row r="11222" customFormat="1" s="94">
      <c r="B11222" s="128" t="n">
        <v>44157</v>
      </c>
      <c r="C11222" s="94">
        <f>TEXT(B11222,"aaa")</f>
        <v/>
      </c>
      <c r="E11222" s="94" t="inlineStr">
        <is>
          <t>클리어 패드</t>
        </is>
      </c>
      <c r="F11222" s="94" t="inlineStr">
        <is>
          <t>카페24</t>
        </is>
      </c>
      <c r="G11222" s="94" t="inlineStr">
        <is>
          <t>어성초 77 클리어 패드 1개-20% off</t>
        </is>
      </c>
      <c r="H11222" s="94" t="n">
        <v>200801</v>
      </c>
      <c r="I11222" s="94" t="n">
        <v>200801</v>
      </c>
      <c r="K11222" s="6" t="n">
        <v>82</v>
      </c>
      <c r="L11222" s="94" t="n">
        <v>200801</v>
      </c>
      <c r="M11222" s="94">
        <f>VLOOKUP($Q11222,매칭테이블!$F:$I,2,0)*K11222</f>
        <v/>
      </c>
      <c r="N11222" s="94">
        <f>M11222-M11222*VLOOKUP($Q11222,매칭테이블!$F:$I,3,0)</f>
        <v/>
      </c>
      <c r="O11222" s="94">
        <f>VLOOKUP($Q11222,매칭테이블!$F:$I,4,0)*K11222</f>
        <v/>
      </c>
      <c r="P11222" s="148">
        <f>M11222/1.1</f>
        <v/>
      </c>
      <c r="Q11222" s="94">
        <f>F11222&amp;E11222&amp;G11222&amp;L11222</f>
        <v/>
      </c>
    </row>
    <row r="11223" customFormat="1" s="94">
      <c r="B11223" s="128" t="n">
        <v>44157</v>
      </c>
      <c r="C11223" s="94">
        <f>TEXT(B11223,"aaa")</f>
        <v/>
      </c>
      <c r="E11223" s="94" t="inlineStr">
        <is>
          <t>클리어 패드</t>
        </is>
      </c>
      <c r="F11223" s="94" t="inlineStr">
        <is>
          <t>카페24</t>
        </is>
      </c>
      <c r="G11223" s="94" t="inlineStr">
        <is>
          <t>어성초 77 클리어 패드 2개-30% off</t>
        </is>
      </c>
      <c r="H11223" s="94" t="n">
        <v>200801</v>
      </c>
      <c r="I11223" s="94" t="n">
        <v>200801</v>
      </c>
      <c r="K11223" s="6" t="n">
        <v>79</v>
      </c>
      <c r="L11223" s="94" t="n">
        <v>200801</v>
      </c>
      <c r="M11223" s="94">
        <f>VLOOKUP($Q11223,매칭테이블!$F:$I,2,0)*K11223</f>
        <v/>
      </c>
      <c r="N11223" s="94">
        <f>M11223-M11223*VLOOKUP($Q11223,매칭테이블!$F:$I,3,0)</f>
        <v/>
      </c>
      <c r="O11223" s="94">
        <f>VLOOKUP($Q11223,매칭테이블!$F:$I,4,0)*K11223</f>
        <v/>
      </c>
      <c r="P11223" s="148">
        <f>M11223/1.1</f>
        <v/>
      </c>
      <c r="Q11223" s="94">
        <f>F11223&amp;E11223&amp;G11223&amp;L11223</f>
        <v/>
      </c>
    </row>
    <row r="11224" customFormat="1" s="94">
      <c r="B11224" s="128" t="n">
        <v>44157</v>
      </c>
      <c r="C11224" s="94">
        <f>TEXT(B11224,"aaa")</f>
        <v/>
      </c>
      <c r="E11224" s="94" t="inlineStr">
        <is>
          <t>토너+패드 세트</t>
        </is>
      </c>
      <c r="F11224" s="94" t="inlineStr">
        <is>
          <t>카페24</t>
        </is>
      </c>
      <c r="G11224" s="94" t="inlineStr">
        <is>
          <t>좁쌀 진정 세트 토너+클리어 패드-30% off</t>
        </is>
      </c>
      <c r="H11224" s="94" t="n">
        <v>200801</v>
      </c>
      <c r="I11224" s="94" t="n">
        <v>200801</v>
      </c>
      <c r="K11224" s="6" t="n">
        <v>58</v>
      </c>
      <c r="L11224" s="94" t="n">
        <v>200801</v>
      </c>
      <c r="M11224" s="94">
        <f>VLOOKUP($Q11224,매칭테이블!$F:$I,2,0)*K11224</f>
        <v/>
      </c>
      <c r="N11224" s="94">
        <f>M11224-M11224*VLOOKUP($Q11224,매칭테이블!$F:$I,3,0)</f>
        <v/>
      </c>
      <c r="O11224" s="94">
        <f>VLOOKUP($Q11224,매칭테이블!$F:$I,4,0)*K11224</f>
        <v/>
      </c>
      <c r="P11224" s="148">
        <f>M11224/1.1</f>
        <v/>
      </c>
      <c r="Q11224" s="94">
        <f>F11224&amp;E11224&amp;G11224&amp;L11224</f>
        <v/>
      </c>
    </row>
    <row r="11225" customFormat="1" s="94">
      <c r="B11225" s="128" t="n">
        <v>44157</v>
      </c>
      <c r="C11225" s="94">
        <f>TEXT(B11225,"aaa")</f>
        <v/>
      </c>
      <c r="E11225" s="94" t="inlineStr">
        <is>
          <t>수분 보충 세트</t>
        </is>
      </c>
      <c r="F11225" s="94" t="inlineStr">
        <is>
          <t>카페24</t>
        </is>
      </c>
      <c r="G11225" s="94" t="inlineStr">
        <is>
          <t>[20/09/28 부터] 어성초 77 토너 250ml + 어성초 70 로션 200ml -30%</t>
        </is>
      </c>
      <c r="H11225" s="94" t="n">
        <v>200801</v>
      </c>
      <c r="I11225" s="94" t="n">
        <v>200801</v>
      </c>
      <c r="K11225" s="6" t="n">
        <v>42</v>
      </c>
      <c r="L11225" s="94" t="n">
        <v>200801</v>
      </c>
      <c r="M11225" s="94">
        <f>VLOOKUP($Q11225,매칭테이블!$F:$I,2,0)*K11225</f>
        <v/>
      </c>
      <c r="N11225" s="94">
        <f>M11225-M11225*VLOOKUP($Q11225,매칭테이블!$F:$I,3,0)</f>
        <v/>
      </c>
      <c r="O11225" s="94">
        <f>VLOOKUP($Q11225,매칭테이블!$F:$I,4,0)*K11225</f>
        <v/>
      </c>
      <c r="P11225" s="148">
        <f>M11225/1.1</f>
        <v/>
      </c>
      <c r="Q11225" s="94">
        <f>F11225&amp;E11225&amp;G11225&amp;L11225</f>
        <v/>
      </c>
    </row>
    <row r="11226" customFormat="1" s="94">
      <c r="B11226" s="128" t="n">
        <v>44157</v>
      </c>
      <c r="C11226" s="94">
        <f>TEXT(B11226,"aaa")</f>
        <v/>
      </c>
      <c r="E11226" s="94" t="inlineStr">
        <is>
          <t>로션</t>
        </is>
      </c>
      <c r="F11226" s="94" t="inlineStr">
        <is>
          <t>카페24</t>
        </is>
      </c>
      <c r="G11226" s="94" t="inlineStr">
        <is>
          <t>어성초 70 데일리 릴리프 로션 1개 -20% off</t>
        </is>
      </c>
      <c r="H11226" s="94" t="n">
        <v>200801</v>
      </c>
      <c r="I11226" s="94" t="n">
        <v>200801</v>
      </c>
      <c r="K11226" s="6" t="n">
        <v>14</v>
      </c>
      <c r="L11226" s="94" t="n">
        <v>200801</v>
      </c>
      <c r="M11226" s="94">
        <f>VLOOKUP($Q11226,매칭테이블!$F:$I,2,0)*K11226</f>
        <v/>
      </c>
      <c r="N11226" s="94">
        <f>M11226-M11226*VLOOKUP($Q11226,매칭테이블!$F:$I,3,0)</f>
        <v/>
      </c>
      <c r="O11226" s="94">
        <f>VLOOKUP($Q11226,매칭테이블!$F:$I,4,0)*K11226</f>
        <v/>
      </c>
      <c r="P11226" s="148">
        <f>M11226/1.1</f>
        <v/>
      </c>
      <c r="Q11226" s="94">
        <f>F11226&amp;E11226&amp;G11226&amp;L11226</f>
        <v/>
      </c>
    </row>
    <row r="11227" customFormat="1" s="94">
      <c r="B11227" s="128" t="n">
        <v>44157</v>
      </c>
      <c r="C11227" s="94">
        <f>TEXT(B11227,"aaa")</f>
        <v/>
      </c>
      <c r="E11227" s="94" t="inlineStr">
        <is>
          <t>로션</t>
        </is>
      </c>
      <c r="F11227" s="94" t="inlineStr">
        <is>
          <t>카페24</t>
        </is>
      </c>
      <c r="G11227" s="94" t="inlineStr">
        <is>
          <t>어성초 70 데일리 릴리프 로션 2개 -30% off</t>
        </is>
      </c>
      <c r="H11227" s="94" t="n">
        <v>200801</v>
      </c>
      <c r="I11227" s="94" t="n">
        <v>200801</v>
      </c>
      <c r="K11227" s="6" t="n">
        <v>1</v>
      </c>
      <c r="L11227" s="94" t="n">
        <v>200801</v>
      </c>
      <c r="M11227" s="94">
        <f>VLOOKUP($Q11227,매칭테이블!$F:$I,2,0)*K11227</f>
        <v/>
      </c>
      <c r="N11227" s="94">
        <f>M11227-M11227*VLOOKUP($Q11227,매칭테이블!$F:$I,3,0)</f>
        <v/>
      </c>
      <c r="O11227" s="94">
        <f>VLOOKUP($Q11227,매칭테이블!$F:$I,4,0)*K11227</f>
        <v/>
      </c>
      <c r="P11227" s="148">
        <f>M11227/1.1</f>
        <v/>
      </c>
      <c r="Q11227" s="94">
        <f>F11227&amp;E11227&amp;G11227&amp;L11227</f>
        <v/>
      </c>
    </row>
    <row r="11228" customFormat="1" s="94">
      <c r="B11228" s="128" t="n">
        <v>44157</v>
      </c>
      <c r="C11228" s="94">
        <f>TEXT(B11228,"aaa")</f>
        <v/>
      </c>
      <c r="E11228" s="94" t="inlineStr">
        <is>
          <t>머드크림마스크</t>
        </is>
      </c>
      <c r="F11228" s="94" t="inlineStr">
        <is>
          <t>카페24</t>
        </is>
      </c>
      <c r="G11228" s="94" t="inlineStr">
        <is>
          <t>머드크림마스크 100ml</t>
        </is>
      </c>
      <c r="H11228" s="94" t="n">
        <v>200801</v>
      </c>
      <c r="I11228" s="94" t="n">
        <v>200801</v>
      </c>
      <c r="K11228" s="6" t="n">
        <v>5</v>
      </c>
      <c r="L11228" s="94" t="n">
        <v>200801</v>
      </c>
      <c r="M11228" s="94">
        <f>VLOOKUP($Q11228,매칭테이블!$F:$I,2,0)*K11228</f>
        <v/>
      </c>
      <c r="N11228" s="94">
        <f>M11228-M11228*VLOOKUP($Q11228,매칭테이블!$F:$I,3,0)</f>
        <v/>
      </c>
      <c r="O11228" s="94">
        <f>VLOOKUP($Q11228,매칭테이블!$F:$I,4,0)*K11228</f>
        <v/>
      </c>
      <c r="P11228" s="148">
        <f>M11228/1.1</f>
        <v/>
      </c>
      <c r="Q11228" s="94">
        <f>F11228&amp;E11228&amp;G11228&amp;L11228</f>
        <v/>
      </c>
    </row>
    <row r="11229" customFormat="1" s="94">
      <c r="B11229" s="128" t="n">
        <v>44157</v>
      </c>
      <c r="C11229" s="94">
        <f>TEXT(B11229,"aaa")</f>
        <v/>
      </c>
      <c r="E11229" s="94" t="inlineStr">
        <is>
          <t>마스크팩</t>
        </is>
      </c>
      <c r="F11229" s="94" t="inlineStr">
        <is>
          <t>카페24</t>
        </is>
      </c>
      <c r="G11229" s="94" t="inlineStr">
        <is>
          <t>마스크팩 1매</t>
        </is>
      </c>
      <c r="H11229" s="94" t="n">
        <v>200801</v>
      </c>
      <c r="I11229" s="94" t="n">
        <v>200801</v>
      </c>
      <c r="K11229" s="6" t="n">
        <v>14</v>
      </c>
      <c r="L11229" s="94" t="n">
        <v>200801</v>
      </c>
      <c r="M11229" s="94">
        <f>VLOOKUP($Q11229,매칭테이블!$F:$I,2,0)*K11229</f>
        <v/>
      </c>
      <c r="N11229" s="94">
        <f>M11229-M11229*VLOOKUP($Q11229,매칭테이블!$F:$I,3,0)</f>
        <v/>
      </c>
      <c r="O11229" s="94">
        <f>VLOOKUP($Q11229,매칭테이블!$F:$I,4,0)*K11229</f>
        <v/>
      </c>
      <c r="P11229" s="148">
        <f>M11229/1.1</f>
        <v/>
      </c>
      <c r="Q11229" s="94">
        <f>F11229&amp;E11229&amp;G11229&amp;L11229</f>
        <v/>
      </c>
    </row>
    <row r="11230" customFormat="1" s="94">
      <c r="B11230" s="128" t="n">
        <v>44157</v>
      </c>
      <c r="C11230" s="94">
        <f>TEXT(B11230,"aaa")</f>
        <v/>
      </c>
      <c r="E11230" s="94" t="inlineStr">
        <is>
          <t>마스크팩</t>
        </is>
      </c>
      <c r="F11230" s="94" t="inlineStr">
        <is>
          <t>카페24</t>
        </is>
      </c>
      <c r="G11230" s="94" t="inlineStr">
        <is>
          <t>마스크팩 10매</t>
        </is>
      </c>
      <c r="H11230" s="94" t="n">
        <v>200801</v>
      </c>
      <c r="I11230" s="94" t="n">
        <v>200801</v>
      </c>
      <c r="K11230" s="6" t="n">
        <v>5</v>
      </c>
      <c r="L11230" s="94" t="n">
        <v>200801</v>
      </c>
      <c r="M11230" s="94">
        <f>VLOOKUP($Q11230,매칭테이블!$F:$I,2,0)*K11230</f>
        <v/>
      </c>
      <c r="N11230" s="94">
        <f>M11230-M11230*VLOOKUP($Q11230,매칭테이블!$F:$I,3,0)</f>
        <v/>
      </c>
      <c r="O11230" s="94">
        <f>VLOOKUP($Q11230,매칭테이블!$F:$I,4,0)*K11230</f>
        <v/>
      </c>
      <c r="P11230" s="148">
        <f>M11230/1.1</f>
        <v/>
      </c>
      <c r="Q11230" s="94">
        <f>F11230&amp;E11230&amp;G11230&amp;L11230</f>
        <v/>
      </c>
    </row>
    <row r="11231" customFormat="1" s="94">
      <c r="B11231" s="128" t="n">
        <v>44157</v>
      </c>
      <c r="C11231" s="94">
        <f>TEXT(B11231,"aaa")</f>
        <v/>
      </c>
      <c r="E11231" s="94" t="inlineStr">
        <is>
          <t>토너</t>
        </is>
      </c>
      <c r="F11231" s="94" t="inlineStr">
        <is>
          <t>카페24</t>
        </is>
      </c>
      <c r="G11231" s="94" t="inlineStr">
        <is>
          <t>250ml</t>
        </is>
      </c>
      <c r="H11231" s="94" t="n">
        <v>200801</v>
      </c>
      <c r="I11231" s="94" t="n">
        <v>200801</v>
      </c>
      <c r="K11231" s="6" t="n">
        <v>78</v>
      </c>
      <c r="L11231" s="94" t="n">
        <v>200801</v>
      </c>
      <c r="M11231" s="94">
        <f>VLOOKUP($Q11231,매칭테이블!$F:$I,2,0)*K11231</f>
        <v/>
      </c>
      <c r="N11231" s="94">
        <f>M11231-M11231*VLOOKUP($Q11231,매칭테이블!$F:$I,3,0)</f>
        <v/>
      </c>
      <c r="O11231" s="94">
        <f>VLOOKUP($Q11231,매칭테이블!$F:$I,4,0)*K11231</f>
        <v/>
      </c>
      <c r="P11231" s="148">
        <f>M11231/1.1</f>
        <v/>
      </c>
      <c r="Q11231" s="94">
        <f>F11231&amp;E11231&amp;G11231&amp;L11231</f>
        <v/>
      </c>
    </row>
    <row r="11232" customFormat="1" s="94">
      <c r="B11232" s="128" t="n">
        <v>44157</v>
      </c>
      <c r="C11232" s="94">
        <f>TEXT(B11232,"aaa")</f>
        <v/>
      </c>
      <c r="E11232" s="94" t="inlineStr">
        <is>
          <t>토너</t>
        </is>
      </c>
      <c r="F11232" s="94" t="inlineStr">
        <is>
          <t>카페24</t>
        </is>
      </c>
      <c r="G11232" s="94" t="inlineStr">
        <is>
          <t>250ml 2set</t>
        </is>
      </c>
      <c r="H11232" s="94" t="n">
        <v>200801</v>
      </c>
      <c r="I11232" s="94" t="n">
        <v>200801</v>
      </c>
      <c r="K11232" s="6" t="n">
        <v>39</v>
      </c>
      <c r="L11232" s="94" t="n">
        <v>200801</v>
      </c>
      <c r="M11232" s="94">
        <f>VLOOKUP($Q11232,매칭테이블!$F:$I,2,0)*K11232</f>
        <v/>
      </c>
      <c r="N11232" s="94">
        <f>M11232-M11232*VLOOKUP($Q11232,매칭테이블!$F:$I,3,0)</f>
        <v/>
      </c>
      <c r="O11232" s="94">
        <f>VLOOKUP($Q11232,매칭테이블!$F:$I,4,0)*K11232</f>
        <v/>
      </c>
      <c r="P11232" s="148">
        <f>M11232/1.1</f>
        <v/>
      </c>
      <c r="Q11232" s="94">
        <f>F11232&amp;E11232&amp;G11232&amp;L11232</f>
        <v/>
      </c>
    </row>
    <row r="11233" customFormat="1" s="94">
      <c r="B11233" s="128" t="n">
        <v>44157</v>
      </c>
      <c r="C11233" s="94">
        <f>TEXT(B11233,"aaa")</f>
        <v/>
      </c>
      <c r="E11233" s="94" t="inlineStr">
        <is>
          <t>토너</t>
        </is>
      </c>
      <c r="F11233" s="94" t="inlineStr">
        <is>
          <t>카페24</t>
        </is>
      </c>
      <c r="G11233" s="94" t="inlineStr">
        <is>
          <t>500ml</t>
        </is>
      </c>
      <c r="H11233" s="94" t="n">
        <v>200801</v>
      </c>
      <c r="I11233" s="94" t="n">
        <v>200801</v>
      </c>
      <c r="K11233" s="6" t="n">
        <v>52</v>
      </c>
      <c r="L11233" s="94" t="n">
        <v>200801</v>
      </c>
      <c r="M11233" s="94">
        <f>VLOOKUP($Q11233,매칭테이블!$F:$I,2,0)*K11233</f>
        <v/>
      </c>
      <c r="N11233" s="94">
        <f>M11233-M11233*VLOOKUP($Q11233,매칭테이블!$F:$I,3,0)</f>
        <v/>
      </c>
      <c r="O11233" s="94">
        <f>VLOOKUP($Q11233,매칭테이블!$F:$I,4,0)*K11233</f>
        <v/>
      </c>
      <c r="P11233" s="148">
        <f>M11233/1.1</f>
        <v/>
      </c>
      <c r="Q11233" s="94">
        <f>F11233&amp;E11233&amp;G11233&amp;L11233</f>
        <v/>
      </c>
    </row>
    <row r="11234" customFormat="1" s="94">
      <c r="B11234" s="128" t="n">
        <v>44157</v>
      </c>
      <c r="C11234" s="94">
        <f>TEXT(B11234,"aaa")</f>
        <v/>
      </c>
      <c r="E11234" s="94" t="inlineStr">
        <is>
          <t>토너</t>
        </is>
      </c>
      <c r="F11234" s="94" t="inlineStr">
        <is>
          <t>카페24</t>
        </is>
      </c>
      <c r="G11234" s="94" t="inlineStr">
        <is>
          <t>스킨팩 화장솜 60P</t>
        </is>
      </c>
      <c r="H11234" s="94" t="n">
        <v>200801</v>
      </c>
      <c r="I11234" s="94" t="n">
        <v>200801</v>
      </c>
      <c r="K11234" s="6" t="n">
        <v>69</v>
      </c>
      <c r="L11234" s="94" t="n">
        <v>200801</v>
      </c>
      <c r="M11234" s="94">
        <f>VLOOKUP($Q11234,매칭테이블!$F:$I,2,0)*K11234</f>
        <v/>
      </c>
      <c r="N11234" s="94">
        <f>M11234-M11234*VLOOKUP($Q11234,매칭테이블!$F:$I,3,0)</f>
        <v/>
      </c>
      <c r="O11234" s="94">
        <f>VLOOKUP($Q11234,매칭테이블!$F:$I,4,0)*K11234</f>
        <v/>
      </c>
      <c r="P11234" s="148">
        <f>M11234/1.1</f>
        <v/>
      </c>
      <c r="Q11234" s="94">
        <f>F11234&amp;E11234&amp;G11234&amp;L11234</f>
        <v/>
      </c>
    </row>
    <row r="11235" customFormat="1" s="94">
      <c r="B11235" s="128" t="n">
        <v>44157</v>
      </c>
      <c r="C11235" s="94">
        <f>TEXT(B11235,"aaa")</f>
        <v/>
      </c>
      <c r="E11235" s="94" t="inlineStr">
        <is>
          <t>앰플</t>
        </is>
      </c>
      <c r="F11235" s="94" t="inlineStr">
        <is>
          <t>카페24</t>
        </is>
      </c>
      <c r="G11235" s="94" t="inlineStr">
        <is>
          <t>앰플 30ml</t>
        </is>
      </c>
      <c r="H11235" s="94" t="n">
        <v>200801</v>
      </c>
      <c r="I11235" s="94" t="n">
        <v>200801</v>
      </c>
      <c r="K11235" s="6" t="n">
        <v>33</v>
      </c>
      <c r="L11235" s="94" t="n">
        <v>200801</v>
      </c>
      <c r="M11235" s="94">
        <f>VLOOKUP($Q11235,매칭테이블!$F:$I,2,0)*K11235</f>
        <v/>
      </c>
      <c r="N11235" s="94">
        <f>M11235-M11235*VLOOKUP($Q11235,매칭테이블!$F:$I,3,0)</f>
        <v/>
      </c>
      <c r="O11235" s="94">
        <f>VLOOKUP($Q11235,매칭테이블!$F:$I,4,0)*K11235</f>
        <v/>
      </c>
      <c r="P11235" s="148">
        <f>M11235/1.1</f>
        <v/>
      </c>
      <c r="Q11235" s="94">
        <f>F11235&amp;E11235&amp;G11235&amp;L11235</f>
        <v/>
      </c>
    </row>
    <row r="11236" customFormat="1" s="94">
      <c r="B11236" s="128" t="n">
        <v>44157</v>
      </c>
      <c r="C11236" s="94">
        <f>TEXT(B11236,"aaa")</f>
        <v/>
      </c>
      <c r="E11236" s="94" t="inlineStr">
        <is>
          <t>앰플</t>
        </is>
      </c>
      <c r="F11236" s="94" t="inlineStr">
        <is>
          <t>카페24</t>
        </is>
      </c>
      <c r="G11236" s="94" t="inlineStr">
        <is>
          <t>앰플 30ml  2set</t>
        </is>
      </c>
      <c r="H11236" s="94" t="n">
        <v>200801</v>
      </c>
      <c r="I11236" s="94" t="n">
        <v>200801</v>
      </c>
      <c r="K11236" s="6" t="n">
        <v>6</v>
      </c>
      <c r="L11236" s="94" t="n">
        <v>200801</v>
      </c>
      <c r="M11236" s="94">
        <f>VLOOKUP($Q11236,매칭테이블!$F:$I,2,0)*K11236</f>
        <v/>
      </c>
      <c r="N11236" s="94">
        <f>M11236-M11236*VLOOKUP($Q11236,매칭테이블!$F:$I,3,0)</f>
        <v/>
      </c>
      <c r="O11236" s="94">
        <f>VLOOKUP($Q11236,매칭테이블!$F:$I,4,0)*K11236</f>
        <v/>
      </c>
      <c r="P11236" s="148">
        <f>M11236/1.1</f>
        <v/>
      </c>
      <c r="Q11236" s="94">
        <f>F11236&amp;E11236&amp;G11236&amp;L11236</f>
        <v/>
      </c>
    </row>
    <row r="11237" customFormat="1" s="94">
      <c r="B11237" s="128" t="n">
        <v>44157</v>
      </c>
      <c r="C11237" s="94">
        <f>TEXT(B11237,"aaa")</f>
        <v/>
      </c>
      <c r="E11237" s="94" t="inlineStr">
        <is>
          <t>수딩크림</t>
        </is>
      </c>
      <c r="F11237" s="94" t="inlineStr">
        <is>
          <t>카페24</t>
        </is>
      </c>
      <c r="G11237" s="94" t="inlineStr">
        <is>
          <t>수딩크림 100ml</t>
        </is>
      </c>
      <c r="H11237" s="94" t="n">
        <v>200801</v>
      </c>
      <c r="I11237" s="94" t="n">
        <v>200801</v>
      </c>
      <c r="K11237" s="6" t="n">
        <v>8</v>
      </c>
      <c r="L11237" s="94" t="n">
        <v>200801</v>
      </c>
      <c r="M11237" s="94">
        <f>VLOOKUP($Q11237,매칭테이블!$F:$I,2,0)*K11237</f>
        <v/>
      </c>
      <c r="N11237" s="94">
        <f>M11237-M11237*VLOOKUP($Q11237,매칭테이블!$F:$I,3,0)</f>
        <v/>
      </c>
      <c r="O11237" s="94">
        <f>VLOOKUP($Q11237,매칭테이블!$F:$I,4,0)*K11237</f>
        <v/>
      </c>
      <c r="P11237" s="148">
        <f>M11237/1.1</f>
        <v/>
      </c>
      <c r="Q11237" s="94">
        <f>F11237&amp;E11237&amp;G11237&amp;L11237</f>
        <v/>
      </c>
    </row>
    <row r="11238" customFormat="1" s="94">
      <c r="B11238" s="128" t="n">
        <v>44157</v>
      </c>
      <c r="C11238" s="94">
        <f>TEXT(B11238,"aaa")</f>
        <v/>
      </c>
      <c r="E11238" s="94" t="inlineStr">
        <is>
          <t>클렌징폼</t>
        </is>
      </c>
      <c r="F11238" s="94" t="inlineStr">
        <is>
          <t>카페24</t>
        </is>
      </c>
      <c r="G11238" s="94" t="inlineStr">
        <is>
          <t>클렌징폼 120ml</t>
        </is>
      </c>
      <c r="H11238" s="94" t="n">
        <v>200801</v>
      </c>
      <c r="I11238" s="94" t="n">
        <v>200801</v>
      </c>
      <c r="K11238" s="6" t="n">
        <v>19</v>
      </c>
      <c r="L11238" s="94" t="n">
        <v>200801</v>
      </c>
      <c r="M11238" s="94">
        <f>VLOOKUP($Q11238,매칭테이블!$F:$I,2,0)*K11238</f>
        <v/>
      </c>
      <c r="N11238" s="94">
        <f>M11238-M11238*VLOOKUP($Q11238,매칭테이블!$F:$I,3,0)</f>
        <v/>
      </c>
      <c r="O11238" s="94">
        <f>VLOOKUP($Q11238,매칭테이블!$F:$I,4,0)*K11238</f>
        <v/>
      </c>
      <c r="P11238" s="148">
        <f>M11238/1.1</f>
        <v/>
      </c>
      <c r="Q11238" s="94">
        <f>F11238&amp;E11238&amp;G11238&amp;L11238</f>
        <v/>
      </c>
    </row>
    <row r="11239" customFormat="1" s="94">
      <c r="B11239" s="128" t="n">
        <v>44157</v>
      </c>
      <c r="C11239" s="94">
        <f>TEXT(B11239,"aaa")</f>
        <v/>
      </c>
      <c r="E11239" s="94" t="inlineStr">
        <is>
          <t>클렌징폼</t>
        </is>
      </c>
      <c r="F11239" s="94" t="inlineStr">
        <is>
          <t>카페24</t>
        </is>
      </c>
      <c r="G11239" s="94" t="inlineStr">
        <is>
          <t>클렌징폼 120ml 2set</t>
        </is>
      </c>
      <c r="H11239" s="94" t="n">
        <v>200801</v>
      </c>
      <c r="I11239" s="94" t="n">
        <v>200801</v>
      </c>
      <c r="K11239" s="6" t="n">
        <v>5</v>
      </c>
      <c r="L11239" s="94" t="n">
        <v>200801</v>
      </c>
      <c r="M11239" s="94">
        <f>VLOOKUP($Q11239,매칭테이블!$F:$I,2,0)*K11239</f>
        <v/>
      </c>
      <c r="N11239" s="94">
        <f>M11239-M11239*VLOOKUP($Q11239,매칭테이블!$F:$I,3,0)</f>
        <v/>
      </c>
      <c r="O11239" s="94">
        <f>VLOOKUP($Q11239,매칭테이블!$F:$I,4,0)*K11239</f>
        <v/>
      </c>
      <c r="P11239" s="148">
        <f>M11239/1.1</f>
        <v/>
      </c>
      <c r="Q11239" s="94">
        <f>F11239&amp;E11239&amp;G11239&amp;L11239</f>
        <v/>
      </c>
    </row>
    <row r="11240" customFormat="1" s="94">
      <c r="B11240" s="128" t="n">
        <v>44157</v>
      </c>
      <c r="C11240" s="94">
        <f>TEXT(B11240,"aaa")</f>
        <v/>
      </c>
      <c r="E11240" s="94" t="inlineStr">
        <is>
          <t>바디워시</t>
        </is>
      </c>
      <c r="F11240" s="94" t="inlineStr">
        <is>
          <t>카페24</t>
        </is>
      </c>
      <c r="G11240" s="94" t="inlineStr">
        <is>
          <t>바디워시 1개 -30% off</t>
        </is>
      </c>
      <c r="H11240" s="94" t="n">
        <v>200801</v>
      </c>
      <c r="I11240" s="94" t="n">
        <v>200801</v>
      </c>
      <c r="K11240" s="6" t="n">
        <v>3</v>
      </c>
      <c r="L11240" s="94" t="n">
        <v>200801</v>
      </c>
      <c r="M11240" s="94">
        <f>VLOOKUP($Q11240,매칭테이블!$F:$I,2,0)*K11240</f>
        <v/>
      </c>
      <c r="N11240" s="94">
        <f>M11240-M11240*VLOOKUP($Q11240,매칭테이블!$F:$I,3,0)</f>
        <v/>
      </c>
      <c r="O11240" s="94">
        <f>VLOOKUP($Q11240,매칭테이블!$F:$I,4,0)*K11240</f>
        <v/>
      </c>
      <c r="P11240" s="148">
        <f>M11240/1.1</f>
        <v/>
      </c>
      <c r="Q11240" s="94">
        <f>F11240&amp;E11240&amp;G11240&amp;L11240</f>
        <v/>
      </c>
    </row>
    <row r="11241" customFormat="1" s="94">
      <c r="B11241" s="128" t="n">
        <v>44157</v>
      </c>
      <c r="C11241" s="94">
        <f>TEXT(B11241,"aaa")</f>
        <v/>
      </c>
      <c r="E11241" s="94" t="inlineStr">
        <is>
          <t>토너</t>
        </is>
      </c>
      <c r="F11241" s="94" t="inlineStr">
        <is>
          <t>화해</t>
        </is>
      </c>
      <c r="G11241" s="94" t="inlineStr">
        <is>
          <t>250ml</t>
        </is>
      </c>
      <c r="H11241" s="94" t="n">
        <v>200801</v>
      </c>
      <c r="I11241" s="94" t="n">
        <v>200801</v>
      </c>
      <c r="K11241" s="6" t="n">
        <v>1</v>
      </c>
      <c r="L11241" s="94" t="n">
        <v>200801</v>
      </c>
      <c r="M11241" s="94">
        <f>VLOOKUP($Q11241,매칭테이블!$F:$I,2,0)*K11241</f>
        <v/>
      </c>
      <c r="N11241" s="94">
        <f>M11241-M11241*VLOOKUP($Q11241,매칭테이블!$F:$I,3,0)</f>
        <v/>
      </c>
      <c r="O11241" s="94">
        <f>VLOOKUP($Q11241,매칭테이블!$F:$I,4,0)*K11241</f>
        <v/>
      </c>
      <c r="P11241" s="148">
        <f>M11241/1.1</f>
        <v/>
      </c>
      <c r="Q11241" s="94">
        <f>F11241&amp;E11241&amp;G11241&amp;L11241</f>
        <v/>
      </c>
    </row>
    <row r="11242" customFormat="1" s="94">
      <c r="B11242" s="128" t="n">
        <v>44157</v>
      </c>
      <c r="C11242" s="94">
        <f>TEXT(B11242,"aaa")</f>
        <v/>
      </c>
      <c r="E11242" s="94" t="inlineStr">
        <is>
          <t>로션</t>
        </is>
      </c>
      <c r="F11242" s="94" t="inlineStr">
        <is>
          <t>화해</t>
        </is>
      </c>
      <c r="G11242" s="94" t="inlineStr">
        <is>
          <t>아누아 어성초70 로션 200ml</t>
        </is>
      </c>
      <c r="H11242" s="94" t="n">
        <v>200801</v>
      </c>
      <c r="I11242" s="94" t="n">
        <v>200801</v>
      </c>
      <c r="K11242" s="6" t="n">
        <v>1</v>
      </c>
      <c r="L11242" s="94" t="n">
        <v>200801</v>
      </c>
      <c r="M11242" s="94">
        <f>VLOOKUP($Q11242,매칭테이블!$F:$I,2,0)*K11242</f>
        <v/>
      </c>
      <c r="N11242" s="94">
        <f>M11242-M11242*VLOOKUP($Q11242,매칭테이블!$F:$I,3,0)</f>
        <v/>
      </c>
      <c r="O11242" s="94">
        <f>VLOOKUP($Q11242,매칭테이블!$F:$I,4,0)*K11242</f>
        <v/>
      </c>
      <c r="P11242" s="148">
        <f>M11242/1.1</f>
        <v/>
      </c>
      <c r="Q11242" s="94">
        <f>F11242&amp;E11242&amp;G11242&amp;L11242</f>
        <v/>
      </c>
    </row>
    <row r="11243" customFormat="1" s="94">
      <c r="B11243" s="128" t="n">
        <v>44157</v>
      </c>
      <c r="C11243" s="94">
        <f>TEXT(B11243,"aaa")</f>
        <v/>
      </c>
      <c r="E11243" s="94" t="inlineStr">
        <is>
          <t>선크림</t>
        </is>
      </c>
      <c r="F11243" s="94" t="inlineStr">
        <is>
          <t>화해</t>
        </is>
      </c>
      <c r="G11243" s="94" t="inlineStr">
        <is>
          <t>선크림 50ml</t>
        </is>
      </c>
      <c r="H11243" s="94" t="n">
        <v>200801</v>
      </c>
      <c r="I11243" s="94" t="n">
        <v>200801</v>
      </c>
      <c r="K11243" s="6" t="n">
        <v>1</v>
      </c>
      <c r="L11243" s="94" t="n">
        <v>200801</v>
      </c>
      <c r="M11243" s="94">
        <f>VLOOKUP($Q11243,매칭테이블!$F:$I,2,0)*K11243</f>
        <v/>
      </c>
      <c r="N11243" s="94">
        <f>M11243-M11243*VLOOKUP($Q11243,매칭테이블!$F:$I,3,0)</f>
        <v/>
      </c>
      <c r="O11243" s="94">
        <f>VLOOKUP($Q11243,매칭테이블!$F:$I,4,0)*K11243</f>
        <v/>
      </c>
      <c r="P11243" s="148">
        <f>M11243/1.1</f>
        <v/>
      </c>
      <c r="Q11243" s="94">
        <f>F11243&amp;E11243&amp;G11243&amp;L11243</f>
        <v/>
      </c>
    </row>
    <row r="11244" customFormat="1" s="94">
      <c r="B11244" s="128" t="n">
        <v>44157</v>
      </c>
      <c r="C11244" s="94">
        <f>TEXT(B11244,"aaa")</f>
        <v/>
      </c>
      <c r="E11244" s="94" t="inlineStr">
        <is>
          <t>클리어 패드</t>
        </is>
      </c>
      <c r="F11244" s="94" t="inlineStr">
        <is>
          <t>화해</t>
        </is>
      </c>
      <c r="G11244" s="94" t="inlineStr">
        <is>
          <t>어성초 클리어패드 70P</t>
        </is>
      </c>
      <c r="H11244" s="94" t="n">
        <v>200801</v>
      </c>
      <c r="I11244" s="94" t="n">
        <v>200801</v>
      </c>
      <c r="K11244" s="6" t="n">
        <v>1</v>
      </c>
      <c r="L11244" s="94" t="n">
        <v>200801</v>
      </c>
      <c r="M11244" s="94">
        <f>VLOOKUP($Q11244,매칭테이블!$F:$I,2,0)*K11244</f>
        <v/>
      </c>
      <c r="N11244" s="94">
        <f>M11244-M11244*VLOOKUP($Q11244,매칭테이블!$F:$I,3,0)</f>
        <v/>
      </c>
      <c r="O11244" s="94">
        <f>VLOOKUP($Q11244,매칭테이블!$F:$I,4,0)*K11244</f>
        <v/>
      </c>
      <c r="P11244" s="148">
        <f>M11244/1.1</f>
        <v/>
      </c>
      <c r="Q11244" s="94">
        <f>F11244&amp;E11244&amp;G11244&amp;L11244</f>
        <v/>
      </c>
    </row>
    <row r="11245" customFormat="1" s="94">
      <c r="B11245" s="128" t="n">
        <v>44157</v>
      </c>
      <c r="C11245" s="94">
        <f>TEXT(B11245,"aaa")</f>
        <v/>
      </c>
      <c r="E11245" s="94" t="inlineStr">
        <is>
          <t>토너</t>
        </is>
      </c>
      <c r="F11245" s="94" t="inlineStr">
        <is>
          <t>랄라블라</t>
        </is>
      </c>
      <c r="G11245" s="94" t="inlineStr">
        <is>
          <t>250ml</t>
        </is>
      </c>
      <c r="H11245" s="94" t="n">
        <v>200801</v>
      </c>
      <c r="I11245" s="94" t="n">
        <v>200801</v>
      </c>
      <c r="K11245" s="6" t="n">
        <v>526</v>
      </c>
      <c r="L11245" s="94" t="n">
        <v>200801</v>
      </c>
      <c r="M11245" s="94">
        <f>VLOOKUP($Q11245,매칭테이블!$F:$I,2,0)*K11245</f>
        <v/>
      </c>
      <c r="N11245" s="94">
        <f>M11245-M11245*VLOOKUP($Q11245,매칭테이블!$F:$I,3,0)</f>
        <v/>
      </c>
      <c r="O11245" s="94">
        <f>VLOOKUP($Q11245,매칭테이블!$F:$I,4,0)*K11245</f>
        <v/>
      </c>
      <c r="P11245" s="148">
        <f>M11245/1.1</f>
        <v/>
      </c>
      <c r="Q11245" s="94">
        <f>F11245&amp;E11245&amp;G11245&amp;L11245</f>
        <v/>
      </c>
    </row>
    <row r="11246" customFormat="1" s="94">
      <c r="B11246" s="128" t="n">
        <v>44157</v>
      </c>
      <c r="C11246" s="94">
        <f>TEXT(B11246,"aaa")</f>
        <v/>
      </c>
      <c r="E11246" s="94" t="inlineStr">
        <is>
          <t>토너</t>
        </is>
      </c>
      <c r="F11246" s="94" t="inlineStr">
        <is>
          <t>랄라블라</t>
        </is>
      </c>
      <c r="G11246" s="94" t="inlineStr">
        <is>
          <t>500ml</t>
        </is>
      </c>
      <c r="H11246" s="94" t="n">
        <v>200801</v>
      </c>
      <c r="I11246" s="94" t="n">
        <v>200801</v>
      </c>
      <c r="K11246" s="6" t="n">
        <v>8</v>
      </c>
      <c r="L11246" s="94" t="n">
        <v>200801</v>
      </c>
      <c r="M11246" s="94">
        <f>VLOOKUP($Q11246,매칭테이블!$F:$I,2,0)*K11246</f>
        <v/>
      </c>
      <c r="N11246" s="94">
        <f>M11246-M11246*VLOOKUP($Q11246,매칭테이블!$F:$I,3,0)</f>
        <v/>
      </c>
      <c r="O11246" s="94">
        <f>VLOOKUP($Q11246,매칭테이블!$F:$I,4,0)*K11246</f>
        <v/>
      </c>
      <c r="P11246" s="148">
        <f>M11246/1.1</f>
        <v/>
      </c>
      <c r="Q11246" s="94">
        <f>F11246&amp;E11246&amp;G11246&amp;L11246</f>
        <v/>
      </c>
    </row>
    <row r="11247" customFormat="1" s="94">
      <c r="B11247" s="128" t="n">
        <v>44157</v>
      </c>
      <c r="C11247" s="94">
        <f>TEXT(B11247,"aaa")</f>
        <v/>
      </c>
      <c r="E11247" s="94" t="inlineStr">
        <is>
          <t>마스크팩</t>
        </is>
      </c>
      <c r="F11247" s="94" t="inlineStr">
        <is>
          <t>랄라블라</t>
        </is>
      </c>
      <c r="G11247" s="94" t="inlineStr">
        <is>
          <t>마스크팩 1매</t>
        </is>
      </c>
      <c r="H11247" s="94" t="n">
        <v>200801</v>
      </c>
      <c r="I11247" s="94" t="n">
        <v>200801</v>
      </c>
      <c r="K11247" s="6" t="n">
        <v>348</v>
      </c>
      <c r="L11247" s="94" t="n">
        <v>200801</v>
      </c>
      <c r="M11247" s="94">
        <f>VLOOKUP($Q11247,매칭테이블!$F:$I,2,0)*K11247</f>
        <v/>
      </c>
      <c r="N11247" s="94">
        <f>M11247-M11247*VLOOKUP($Q11247,매칭테이블!$F:$I,3,0)</f>
        <v/>
      </c>
      <c r="O11247" s="94">
        <f>VLOOKUP($Q11247,매칭테이블!$F:$I,4,0)*K11247</f>
        <v/>
      </c>
      <c r="P11247" s="148">
        <f>M11247/1.1</f>
        <v/>
      </c>
      <c r="Q11247" s="94">
        <f>F11247&amp;E11247&amp;G11247&amp;L11247</f>
        <v/>
      </c>
    </row>
    <row r="11248" customFormat="1" s="94">
      <c r="B11248" s="128" t="n">
        <v>44157</v>
      </c>
      <c r="C11248" s="94">
        <f>TEXT(B11248,"aaa")</f>
        <v/>
      </c>
      <c r="E11248" s="94" t="inlineStr">
        <is>
          <t>수딩크림 증정기획</t>
        </is>
      </c>
      <c r="F11248" s="94" t="inlineStr">
        <is>
          <t>랄라블라</t>
        </is>
      </c>
      <c r="G11248" s="94" t="inlineStr">
        <is>
          <t>수딩크림 증정기획</t>
        </is>
      </c>
      <c r="H11248" s="94" t="n">
        <v>200801</v>
      </c>
      <c r="I11248" s="94" t="n">
        <v>200801</v>
      </c>
      <c r="K11248" s="6" t="n">
        <v>19</v>
      </c>
      <c r="L11248" s="94" t="n">
        <v>200801</v>
      </c>
      <c r="M11248" s="94">
        <f>VLOOKUP($Q11248,매칭테이블!$F:$I,2,0)*K11248</f>
        <v/>
      </c>
      <c r="N11248" s="94">
        <f>M11248-M11248*VLOOKUP($Q11248,매칭테이블!$F:$I,3,0)</f>
        <v/>
      </c>
      <c r="O11248" s="94">
        <f>VLOOKUP($Q11248,매칭테이블!$F:$I,4,0)*K11248</f>
        <v/>
      </c>
      <c r="P11248" s="148">
        <f>M11248/1.1</f>
        <v/>
      </c>
      <c r="Q11248" s="94">
        <f>F11248&amp;E11248&amp;G11248&amp;L11248</f>
        <v/>
      </c>
    </row>
    <row r="11249" customFormat="1" s="94">
      <c r="B11249" s="128" t="n">
        <v>44157</v>
      </c>
      <c r="C11249" s="94">
        <f>TEXT(B11249,"aaa")</f>
        <v/>
      </c>
      <c r="E11249" s="94" t="inlineStr">
        <is>
          <t>수딩크림</t>
        </is>
      </c>
      <c r="F11249" s="94" t="inlineStr">
        <is>
          <t>랄라블라</t>
        </is>
      </c>
      <c r="G11249" s="94" t="inlineStr">
        <is>
          <t>수딩크림 100ml</t>
        </is>
      </c>
      <c r="H11249" s="94" t="n">
        <v>200801</v>
      </c>
      <c r="I11249" s="94" t="n">
        <v>200801</v>
      </c>
      <c r="K11249" s="6" t="n">
        <v>56</v>
      </c>
      <c r="L11249" s="94" t="n">
        <v>200801</v>
      </c>
      <c r="M11249" s="94">
        <f>VLOOKUP($Q11249,매칭테이블!$F:$I,2,0)*K11249</f>
        <v/>
      </c>
      <c r="N11249" s="94">
        <f>M11249-M11249*VLOOKUP($Q11249,매칭테이블!$F:$I,3,0)</f>
        <v/>
      </c>
      <c r="O11249" s="94">
        <f>VLOOKUP($Q11249,매칭테이블!$F:$I,4,0)*K11249</f>
        <v/>
      </c>
      <c r="P11249" s="148">
        <f>M11249/1.1</f>
        <v/>
      </c>
      <c r="Q11249" s="94">
        <f>F11249&amp;E11249&amp;G11249&amp;L11249</f>
        <v/>
      </c>
    </row>
    <row r="11250" customFormat="1" s="94">
      <c r="B11250" s="128" t="n">
        <v>44157</v>
      </c>
      <c r="C11250" s="94">
        <f>TEXT(B11250,"aaa")</f>
        <v/>
      </c>
      <c r="E11250" s="94" t="inlineStr">
        <is>
          <t>앰플 기획세트</t>
        </is>
      </c>
      <c r="F11250" s="94" t="inlineStr">
        <is>
          <t>랄라블라</t>
        </is>
      </c>
      <c r="G11250" s="94" t="inlineStr">
        <is>
          <t>앰플 기획세트</t>
        </is>
      </c>
      <c r="H11250" s="94" t="n">
        <v>200801</v>
      </c>
      <c r="I11250" s="94" t="n">
        <v>200801</v>
      </c>
      <c r="K11250" s="6" t="n">
        <v>46</v>
      </c>
      <c r="L11250" s="94" t="n">
        <v>200801</v>
      </c>
      <c r="M11250" s="94">
        <f>VLOOKUP($Q11250,매칭테이블!$F:$I,2,0)*K11250</f>
        <v/>
      </c>
      <c r="N11250" s="94">
        <f>M11250-M11250*VLOOKUP($Q11250,매칭테이블!$F:$I,3,0)</f>
        <v/>
      </c>
      <c r="O11250" s="94">
        <f>VLOOKUP($Q11250,매칭테이블!$F:$I,4,0)*K11250</f>
        <v/>
      </c>
      <c r="P11250" s="148">
        <f>M11250/1.1</f>
        <v/>
      </c>
      <c r="Q11250" s="94">
        <f>F11250&amp;E11250&amp;G11250&amp;L11250</f>
        <v/>
      </c>
    </row>
    <row r="11251" customFormat="1" s="94">
      <c r="B11251" s="128" t="n">
        <v>44157</v>
      </c>
      <c r="C11251" s="94">
        <f>TEXT(B11251,"aaa")</f>
        <v/>
      </c>
      <c r="E11251" s="94" t="inlineStr">
        <is>
          <t>클렌징폼 기획세트</t>
        </is>
      </c>
      <c r="F11251" s="94" t="inlineStr">
        <is>
          <t>랄라블라</t>
        </is>
      </c>
      <c r="G11251" s="94" t="inlineStr">
        <is>
          <t>클렌징폼 기획세트</t>
        </is>
      </c>
      <c r="H11251" s="94" t="n">
        <v>200801</v>
      </c>
      <c r="I11251" s="94" t="n">
        <v>200801</v>
      </c>
      <c r="K11251" s="6" t="n">
        <v>3</v>
      </c>
      <c r="L11251" s="94" t="n">
        <v>200801</v>
      </c>
      <c r="M11251" s="94">
        <f>VLOOKUP($Q11251,매칭테이블!$F:$I,2,0)*K11251</f>
        <v/>
      </c>
      <c r="N11251" s="94">
        <f>M11251-M11251*VLOOKUP($Q11251,매칭테이블!$F:$I,3,0)</f>
        <v/>
      </c>
      <c r="O11251" s="94">
        <f>VLOOKUP($Q11251,매칭테이블!$F:$I,4,0)*K11251</f>
        <v/>
      </c>
      <c r="P11251" s="148">
        <f>M11251/1.1</f>
        <v/>
      </c>
      <c r="Q11251" s="94">
        <f>F11251&amp;E11251&amp;G11251&amp;L11251</f>
        <v/>
      </c>
    </row>
    <row r="11252" customFormat="1" s="94">
      <c r="B11252" s="128" t="n">
        <v>44157</v>
      </c>
      <c r="C11252" s="94">
        <f>TEXT(B11252,"aaa")</f>
        <v/>
      </c>
      <c r="E11252" s="94" t="inlineStr">
        <is>
          <t>클렌징폼</t>
        </is>
      </c>
      <c r="F11252" s="94" t="inlineStr">
        <is>
          <t>랄라블라</t>
        </is>
      </c>
      <c r="G11252" s="94" t="inlineStr">
        <is>
          <t>클렌징폼 120ml</t>
        </is>
      </c>
      <c r="H11252" s="94" t="n">
        <v>200801</v>
      </c>
      <c r="I11252" s="94" t="n">
        <v>200801</v>
      </c>
      <c r="K11252" s="6" t="n">
        <v>41</v>
      </c>
      <c r="L11252" s="94" t="n">
        <v>200801</v>
      </c>
      <c r="M11252" s="94">
        <f>VLOOKUP($Q11252,매칭테이블!$F:$I,2,0)*K11252</f>
        <v/>
      </c>
      <c r="N11252" s="94">
        <f>M11252-M11252*VLOOKUP($Q11252,매칭테이블!$F:$I,3,0)</f>
        <v/>
      </c>
      <c r="O11252" s="94">
        <f>VLOOKUP($Q11252,매칭테이블!$F:$I,4,0)*K11252</f>
        <v/>
      </c>
      <c r="P11252" s="148">
        <f>M11252/1.1</f>
        <v/>
      </c>
      <c r="Q11252" s="94">
        <f>F11252&amp;E11252&amp;G11252&amp;L11252</f>
        <v/>
      </c>
    </row>
    <row r="11253" customFormat="1" s="94">
      <c r="B11253" s="128" t="n">
        <v>44157</v>
      </c>
      <c r="C11253" s="94">
        <f>TEXT(B11253,"aaa")</f>
        <v/>
      </c>
      <c r="E11253" s="94" t="inlineStr">
        <is>
          <t>선크림</t>
        </is>
      </c>
      <c r="F11253" s="94" t="inlineStr">
        <is>
          <t>랄라블라</t>
        </is>
      </c>
      <c r="G11253" s="94" t="inlineStr">
        <is>
          <t>선크림 50ml</t>
        </is>
      </c>
      <c r="H11253" s="94" t="n">
        <v>200801</v>
      </c>
      <c r="I11253" s="94" t="n">
        <v>200801</v>
      </c>
      <c r="K11253" s="6" t="n">
        <v>11</v>
      </c>
      <c r="L11253" s="94" t="n">
        <v>200801</v>
      </c>
      <c r="M11253" s="94">
        <f>VLOOKUP($Q11253,매칭테이블!$F:$I,2,0)*K11253</f>
        <v/>
      </c>
      <c r="N11253" s="94">
        <f>M11253-M11253*VLOOKUP($Q11253,매칭테이블!$F:$I,3,0)</f>
        <v/>
      </c>
      <c r="O11253" s="94">
        <f>VLOOKUP($Q11253,매칭테이블!$F:$I,4,0)*K11253</f>
        <v/>
      </c>
      <c r="P11253" s="148">
        <f>M11253/1.1</f>
        <v/>
      </c>
      <c r="Q11253" s="94">
        <f>F11253&amp;E11253&amp;G11253&amp;L11253</f>
        <v/>
      </c>
    </row>
    <row r="11254" customFormat="1" s="94">
      <c r="B11254" s="128" t="n">
        <v>44157</v>
      </c>
      <c r="C11254" s="94">
        <f>TEXT(B11254,"aaa")</f>
        <v/>
      </c>
      <c r="E11254" s="94" t="inlineStr">
        <is>
          <t>마스크팩</t>
        </is>
      </c>
      <c r="F11254" s="94" t="inlineStr">
        <is>
          <t>랄라블라</t>
        </is>
      </c>
      <c r="G11254" s="94" t="inlineStr">
        <is>
          <t>마스크 5+1 기획세트</t>
        </is>
      </c>
      <c r="H11254" s="94" t="n">
        <v>200801</v>
      </c>
      <c r="I11254" s="94" t="n">
        <v>200801</v>
      </c>
      <c r="K11254" s="6" t="n">
        <v>348</v>
      </c>
      <c r="L11254" s="94" t="n">
        <v>200801</v>
      </c>
      <c r="M11254" s="94">
        <f>VLOOKUP($Q11254,매칭테이블!$F:$I,2,0)*K11254</f>
        <v/>
      </c>
      <c r="N11254" s="94">
        <f>M11254-M11254*VLOOKUP($Q11254,매칭테이블!$F:$I,3,0)</f>
        <v/>
      </c>
      <c r="O11254" s="94">
        <f>VLOOKUP($Q11254,매칭테이블!$F:$I,4,0)*K11254</f>
        <v/>
      </c>
      <c r="P11254" s="148">
        <f>M11254/1.1</f>
        <v/>
      </c>
      <c r="Q11254" s="94">
        <f>F11254&amp;E11254&amp;G11254&amp;L11254</f>
        <v/>
      </c>
    </row>
    <row r="11255" customFormat="1" s="94">
      <c r="B11255" s="128" t="n">
        <v>44157</v>
      </c>
      <c r="C11255" s="94">
        <f>TEXT(B11255,"aaa")</f>
        <v/>
      </c>
      <c r="E11255" s="94" t="inlineStr">
        <is>
          <t>바디워시</t>
        </is>
      </c>
      <c r="F11255" s="94" t="inlineStr">
        <is>
          <t>랄라블라</t>
        </is>
      </c>
      <c r="G11255" s="94" t="inlineStr">
        <is>
          <t>아누아 어성초 아크네 바디워시 500ml</t>
        </is>
      </c>
      <c r="H11255" s="94" t="n">
        <v>200801</v>
      </c>
      <c r="I11255" s="94" t="n">
        <v>200801</v>
      </c>
      <c r="K11255" s="6" t="n">
        <v>12</v>
      </c>
      <c r="L11255" s="94" t="n">
        <v>200801</v>
      </c>
      <c r="M11255" s="94">
        <f>VLOOKUP($Q11255,매칭테이블!$F:$I,2,0)*K11255</f>
        <v/>
      </c>
      <c r="N11255" s="94">
        <f>M11255-M11255*VLOOKUP($Q11255,매칭테이블!$F:$I,3,0)</f>
        <v/>
      </c>
      <c r="O11255" s="94">
        <f>VLOOKUP($Q11255,매칭테이블!$F:$I,4,0)*K11255</f>
        <v/>
      </c>
      <c r="P11255" s="148">
        <f>M11255/1.1</f>
        <v/>
      </c>
      <c r="Q11255" s="94">
        <f>F11255&amp;E11255&amp;G11255&amp;L11255</f>
        <v/>
      </c>
    </row>
    <row r="11256" customFormat="1" s="94">
      <c r="B11256" s="128" t="n">
        <v>44157</v>
      </c>
      <c r="C11256" s="94">
        <f>TEXT(B11256,"aaa")</f>
        <v/>
      </c>
      <c r="E11256" s="94" t="inlineStr">
        <is>
          <t>클리어 패드</t>
        </is>
      </c>
      <c r="F11256" s="94" t="inlineStr">
        <is>
          <t>랄라블라</t>
        </is>
      </c>
      <c r="G11256" s="94" t="inlineStr">
        <is>
          <t>아누아 어성초77 클리어 패드</t>
        </is>
      </c>
      <c r="H11256" s="94" t="n">
        <v>200801</v>
      </c>
      <c r="I11256" s="94" t="n">
        <v>200801</v>
      </c>
      <c r="K11256" s="6" t="n">
        <v>91</v>
      </c>
      <c r="L11256" s="94" t="n">
        <v>200801</v>
      </c>
      <c r="M11256" s="94">
        <f>VLOOKUP($Q11256,매칭테이블!$F:$I,2,0)*K11256</f>
        <v/>
      </c>
      <c r="N11256" s="94">
        <f>M11256-M11256*VLOOKUP($Q11256,매칭테이블!$F:$I,3,0)</f>
        <v/>
      </c>
      <c r="O11256" s="94">
        <f>VLOOKUP($Q11256,매칭테이블!$F:$I,4,0)*K11256</f>
        <v/>
      </c>
      <c r="P11256" s="148">
        <f>M11256/1.1</f>
        <v/>
      </c>
      <c r="Q11256" s="94">
        <f>F11256&amp;E11256&amp;G11256&amp;L11256</f>
        <v/>
      </c>
    </row>
    <row r="11257" customFormat="1" s="94">
      <c r="B11257" s="128" t="n">
        <v>44157</v>
      </c>
      <c r="C11257" s="94">
        <f>TEXT(B11257,"aaa")</f>
        <v/>
      </c>
      <c r="E11257" s="94" t="inlineStr">
        <is>
          <t>로션</t>
        </is>
      </c>
      <c r="F11257" s="94" t="inlineStr">
        <is>
          <t>랄라블라</t>
        </is>
      </c>
      <c r="G11257" s="94" t="inlineStr">
        <is>
          <t>아누아 어성초70 로션 200ml</t>
        </is>
      </c>
      <c r="H11257" s="94" t="n">
        <v>200801</v>
      </c>
      <c r="I11257" s="94" t="n">
        <v>200801</v>
      </c>
      <c r="K11257" s="6" t="n">
        <v>67</v>
      </c>
      <c r="L11257" s="94" t="n">
        <v>200801</v>
      </c>
      <c r="M11257" s="94">
        <f>VLOOKUP($Q11257,매칭테이블!$F:$I,2,0)*K11257</f>
        <v/>
      </c>
      <c r="N11257" s="94">
        <f>M11257-M11257*VLOOKUP($Q11257,매칭테이블!$F:$I,3,0)</f>
        <v/>
      </c>
      <c r="O11257" s="94">
        <f>VLOOKUP($Q11257,매칭테이블!$F:$I,4,0)*K11257</f>
        <v/>
      </c>
      <c r="P11257" s="148">
        <f>M11257/1.1</f>
        <v/>
      </c>
      <c r="Q11257" s="94">
        <f>F11257&amp;E11257&amp;G11257&amp;L11257</f>
        <v/>
      </c>
    </row>
    <row r="11258" customFormat="1" s="94">
      <c r="B11258" s="128" t="n">
        <v>44157</v>
      </c>
      <c r="C11258" s="94">
        <f>TEXT(B11258,"aaa")</f>
        <v/>
      </c>
      <c r="E11258" s="94" t="inlineStr">
        <is>
          <t>앰플</t>
        </is>
      </c>
      <c r="F11258" s="94" t="inlineStr">
        <is>
          <t>랄라블라</t>
        </is>
      </c>
      <c r="G11258" s="94" t="inlineStr">
        <is>
          <t>앰플 30ml</t>
        </is>
      </c>
      <c r="H11258" s="94" t="n">
        <v>200801</v>
      </c>
      <c r="I11258" s="94" t="n">
        <v>200801</v>
      </c>
      <c r="K11258" s="6" t="n">
        <v>68</v>
      </c>
      <c r="L11258" s="94" t="n">
        <v>200801</v>
      </c>
      <c r="M11258" s="94">
        <f>VLOOKUP($Q11258,매칭테이블!$F:$I,2,0)*K11258</f>
        <v/>
      </c>
      <c r="N11258" s="94">
        <f>M11258-M11258*VLOOKUP($Q11258,매칭테이블!$F:$I,3,0)</f>
        <v/>
      </c>
      <c r="O11258" s="94">
        <f>VLOOKUP($Q11258,매칭테이블!$F:$I,4,0)*K11258</f>
        <v/>
      </c>
      <c r="P11258" s="148">
        <f>M11258/1.1</f>
        <v/>
      </c>
      <c r="Q11258" s="94">
        <f>F11258&amp;E11258&amp;G11258&amp;L11258</f>
        <v/>
      </c>
    </row>
    <row r="11259" customFormat="1" s="94">
      <c r="B11259" s="128" t="n">
        <v>44157</v>
      </c>
      <c r="C11259" s="94">
        <f>TEXT(B11259,"aaa")</f>
        <v/>
      </c>
      <c r="E11259" s="94" t="inlineStr">
        <is>
          <t>크림마스크</t>
        </is>
      </c>
      <c r="F11259" s="94" t="inlineStr">
        <is>
          <t>랄라블라</t>
        </is>
      </c>
      <c r="G11259" s="94" t="inlineStr">
        <is>
          <t>아누아 어성초 크림 마스크</t>
        </is>
      </c>
      <c r="H11259" s="94" t="n">
        <v>200801</v>
      </c>
      <c r="I11259" s="94" t="n">
        <v>200801</v>
      </c>
      <c r="K11259" s="6" t="n">
        <v>283</v>
      </c>
      <c r="L11259" s="94" t="n">
        <v>200801</v>
      </c>
      <c r="M11259" s="94">
        <f>VLOOKUP($Q11259,매칭테이블!$F:$I,2,0)*K11259</f>
        <v/>
      </c>
      <c r="N11259" s="94">
        <f>M11259-M11259*VLOOKUP($Q11259,매칭테이블!$F:$I,3,0)</f>
        <v/>
      </c>
      <c r="O11259" s="94">
        <f>VLOOKUP($Q11259,매칭테이블!$F:$I,4,0)*K11259</f>
        <v/>
      </c>
      <c r="P11259" s="148">
        <f>M11259/1.1</f>
        <v/>
      </c>
      <c r="Q11259" s="94">
        <f>F11259&amp;E11259&amp;G11259&amp;L11259</f>
        <v/>
      </c>
    </row>
    <row r="11260">
      <c r="B11260" s="128" t="n">
        <v>44158</v>
      </c>
      <c r="C11260" s="94">
        <f>TEXT(B11260,"aaa")</f>
        <v/>
      </c>
      <c r="D11260" s="94" t="n"/>
      <c r="E11260" s="94" t="inlineStr">
        <is>
          <t>토너</t>
        </is>
      </c>
      <c r="F11260" s="94" t="inlineStr">
        <is>
          <t>W컨셉</t>
        </is>
      </c>
      <c r="G11260" s="94" t="inlineStr">
        <is>
          <t>250ml 2set</t>
        </is>
      </c>
      <c r="H11260" s="94" t="n">
        <v>200801</v>
      </c>
      <c r="I11260" s="94" t="n">
        <v>200801</v>
      </c>
      <c r="J11260" s="94" t="n"/>
      <c r="K11260" s="6" t="n">
        <v>20</v>
      </c>
      <c r="L11260" s="94" t="n">
        <v>200801</v>
      </c>
      <c r="M11260" s="94">
        <f>VLOOKUP($Q11260,매칭테이블!$F:$I,2,0)*K11260</f>
        <v/>
      </c>
      <c r="N11260" s="94">
        <f>M11260-M11260*VLOOKUP($Q11260,매칭테이블!$F:$I,3,0)</f>
        <v/>
      </c>
      <c r="O11260" s="94">
        <f>VLOOKUP($Q11260,매칭테이블!$F:$I,4,0)*K11260</f>
        <v/>
      </c>
      <c r="P11260" s="148">
        <f>M11260/1.1</f>
        <v/>
      </c>
      <c r="Q11260" s="94">
        <f>F11260&amp;E11260&amp;G11260&amp;L11260</f>
        <v/>
      </c>
    </row>
    <row r="11261">
      <c r="B11261" s="128" t="n">
        <v>44158</v>
      </c>
      <c r="C11261" s="94">
        <f>TEXT(B11261,"aaa")</f>
        <v/>
      </c>
      <c r="D11261" s="94" t="n"/>
      <c r="E11261" s="94" t="inlineStr">
        <is>
          <t>토너</t>
        </is>
      </c>
      <c r="F11261" s="94" t="inlineStr">
        <is>
          <t>스타일쉐어</t>
        </is>
      </c>
      <c r="G11261" s="94" t="inlineStr">
        <is>
          <t>250ml</t>
        </is>
      </c>
      <c r="H11261" s="94" t="n">
        <v>200801</v>
      </c>
      <c r="I11261" s="94" t="n">
        <v>200801</v>
      </c>
      <c r="J11261" s="94" t="n"/>
      <c r="K11261" s="6" t="n">
        <v>1</v>
      </c>
      <c r="L11261" s="94" t="n">
        <v>200801</v>
      </c>
      <c r="M11261" s="94">
        <f>VLOOKUP($Q11261,매칭테이블!$F:$I,2,0)*K11261</f>
        <v/>
      </c>
      <c r="N11261" s="94">
        <f>M11261-M11261*VLOOKUP($Q11261,매칭테이블!$F:$I,3,0)</f>
        <v/>
      </c>
      <c r="O11261" s="94">
        <f>VLOOKUP($Q11261,매칭테이블!$F:$I,4,0)*K11261</f>
        <v/>
      </c>
      <c r="P11261" s="148">
        <f>M11261/1.1</f>
        <v/>
      </c>
      <c r="Q11261" s="94">
        <f>F11261&amp;E11261&amp;G11261&amp;L11261</f>
        <v/>
      </c>
    </row>
    <row r="11262">
      <c r="B11262" s="128" t="n">
        <v>44158</v>
      </c>
      <c r="C11262" s="94">
        <f>TEXT(B11262,"aaa")</f>
        <v/>
      </c>
      <c r="D11262" s="94" t="n"/>
      <c r="E11262" s="94" t="inlineStr">
        <is>
          <t>토너</t>
        </is>
      </c>
      <c r="F11262" s="94" t="inlineStr">
        <is>
          <t>아누아 CS</t>
        </is>
      </c>
      <c r="G11262" s="94" t="inlineStr">
        <is>
          <t>500ml</t>
        </is>
      </c>
      <c r="H11262" s="94" t="n">
        <v>200801</v>
      </c>
      <c r="I11262" s="94" t="n">
        <v>200801</v>
      </c>
      <c r="J11262" s="94" t="n"/>
      <c r="K11262" s="6" t="n">
        <v>1</v>
      </c>
      <c r="L11262" s="94" t="n">
        <v>200801</v>
      </c>
      <c r="M11262" s="94">
        <f>VLOOKUP($Q11262,매칭테이블!$F:$I,2,0)*K11262</f>
        <v/>
      </c>
      <c r="N11262" s="94">
        <f>M11262-M11262*VLOOKUP($Q11262,매칭테이블!$F:$I,3,0)</f>
        <v/>
      </c>
      <c r="O11262" s="94">
        <f>VLOOKUP($Q11262,매칭테이블!$F:$I,4,0)*K11262</f>
        <v/>
      </c>
      <c r="P11262" s="148">
        <f>M11262/1.1</f>
        <v/>
      </c>
      <c r="Q11262" s="94">
        <f>F11262&amp;E11262&amp;G11262&amp;L11262</f>
        <v/>
      </c>
    </row>
    <row r="11263">
      <c r="B11263" s="128" t="n">
        <v>44158</v>
      </c>
      <c r="C11263" s="94">
        <f>TEXT(B11263,"aaa")</f>
        <v/>
      </c>
      <c r="D11263" s="94" t="n"/>
      <c r="E11263" s="94" t="inlineStr">
        <is>
          <t>화장솜</t>
        </is>
      </c>
      <c r="F11263" s="94" t="inlineStr">
        <is>
          <t>아누아 CS</t>
        </is>
      </c>
      <c r="G11263" s="94" t="inlineStr">
        <is>
          <t>스킨팩 화장솜 60P</t>
        </is>
      </c>
      <c r="H11263" s="94" t="n">
        <v>200801</v>
      </c>
      <c r="I11263" s="94" t="n">
        <v>200801</v>
      </c>
      <c r="J11263" s="94" t="n"/>
      <c r="K11263" s="6" t="n">
        <v>5</v>
      </c>
      <c r="L11263" s="94" t="n">
        <v>200801</v>
      </c>
      <c r="M11263" s="94">
        <f>VLOOKUP($Q11263,매칭테이블!$F:$I,2,0)*K11263</f>
        <v/>
      </c>
      <c r="N11263" s="94">
        <f>M11263-M11263*VLOOKUP($Q11263,매칭테이블!$F:$I,3,0)</f>
        <v/>
      </c>
      <c r="O11263" s="94">
        <f>VLOOKUP($Q11263,매칭테이블!$F:$I,4,0)*K11263</f>
        <v/>
      </c>
      <c r="P11263" s="148">
        <f>M11263/1.1</f>
        <v/>
      </c>
      <c r="Q11263" s="94">
        <f>F11263&amp;E11263&amp;G11263&amp;L11263</f>
        <v/>
      </c>
    </row>
    <row r="11264">
      <c r="B11264" s="128" t="n">
        <v>44158</v>
      </c>
      <c r="C11264" s="94">
        <f>TEXT(B11264,"aaa")</f>
        <v/>
      </c>
      <c r="D11264" s="94" t="n"/>
      <c r="E11264" s="94" t="inlineStr">
        <is>
          <t>선크림</t>
        </is>
      </c>
      <c r="F11264" s="94" t="inlineStr">
        <is>
          <t>카페24</t>
        </is>
      </c>
      <c r="G11264" s="94" t="inlineStr">
        <is>
          <t>선크림 50ml</t>
        </is>
      </c>
      <c r="H11264" s="94" t="n">
        <v>200801</v>
      </c>
      <c r="I11264" s="94" t="n">
        <v>200801</v>
      </c>
      <c r="J11264" s="94" t="n"/>
      <c r="K11264" s="6" t="n">
        <v>3</v>
      </c>
      <c r="L11264" s="94" t="n">
        <v>200801</v>
      </c>
      <c r="M11264" s="94">
        <f>VLOOKUP($Q11264,매칭테이블!$F:$I,2,0)*K11264</f>
        <v/>
      </c>
      <c r="N11264" s="94">
        <f>M11264-M11264*VLOOKUP($Q11264,매칭테이블!$F:$I,3,0)</f>
        <v/>
      </c>
      <c r="O11264" s="94">
        <f>VLOOKUP($Q11264,매칭테이블!$F:$I,4,0)*K11264</f>
        <v/>
      </c>
      <c r="P11264" s="148">
        <f>M11264/1.1</f>
        <v/>
      </c>
      <c r="Q11264" s="94">
        <f>F11264&amp;E11264&amp;G11264&amp;L11264</f>
        <v/>
      </c>
    </row>
    <row r="11265">
      <c r="B11265" s="128" t="n">
        <v>44158</v>
      </c>
      <c r="C11265" s="94">
        <f>TEXT(B11265,"aaa")</f>
        <v/>
      </c>
      <c r="D11265" s="94" t="n"/>
      <c r="E11265" s="94" t="inlineStr">
        <is>
          <t>어성초진정패키지</t>
        </is>
      </c>
      <c r="F11265" s="94" t="inlineStr">
        <is>
          <t>카페24</t>
        </is>
      </c>
      <c r="G11265" s="94" t="inlineStr">
        <is>
          <t>어성초 진정패키지세트</t>
        </is>
      </c>
      <c r="H11265" s="94" t="n">
        <v>200801</v>
      </c>
      <c r="I11265" s="94" t="n">
        <v>200801</v>
      </c>
      <c r="J11265" s="94" t="n"/>
      <c r="K11265" s="6" t="n">
        <v>1</v>
      </c>
      <c r="L11265" s="94" t="n">
        <v>200801</v>
      </c>
      <c r="M11265" s="94">
        <f>VLOOKUP($Q11265,매칭테이블!$F:$I,2,0)*K11265</f>
        <v/>
      </c>
      <c r="N11265" s="94">
        <f>M11265-M11265*VLOOKUP($Q11265,매칭테이블!$F:$I,3,0)</f>
        <v/>
      </c>
      <c r="O11265" s="94">
        <f>VLOOKUP($Q11265,매칭테이블!$F:$I,4,0)*K11265</f>
        <v/>
      </c>
      <c r="P11265" s="148">
        <f>M11265/1.1</f>
        <v/>
      </c>
      <c r="Q11265" s="94">
        <f>F11265&amp;E11265&amp;G11265&amp;L11265</f>
        <v/>
      </c>
    </row>
    <row r="11266">
      <c r="B11266" s="128" t="n">
        <v>44158</v>
      </c>
      <c r="C11266" s="94">
        <f>TEXT(B11266,"aaa")</f>
        <v/>
      </c>
      <c r="D11266" s="94" t="n"/>
      <c r="E11266" s="94" t="inlineStr">
        <is>
          <t>클리어 패드</t>
        </is>
      </c>
      <c r="F11266" s="94" t="inlineStr">
        <is>
          <t>카페24</t>
        </is>
      </c>
      <c r="G11266" s="94" t="inlineStr">
        <is>
          <t>어성초 77 클리어 패드 1개-20% off</t>
        </is>
      </c>
      <c r="H11266" s="94" t="n">
        <v>200801</v>
      </c>
      <c r="I11266" s="94" t="n">
        <v>200801</v>
      </c>
      <c r="J11266" s="94" t="n"/>
      <c r="K11266" s="6" t="n">
        <v>89</v>
      </c>
      <c r="L11266" s="94" t="n">
        <v>200801</v>
      </c>
      <c r="M11266" s="94">
        <f>VLOOKUP($Q11266,매칭테이블!$F:$I,2,0)*K11266</f>
        <v/>
      </c>
      <c r="N11266" s="94">
        <f>M11266-M11266*VLOOKUP($Q11266,매칭테이블!$F:$I,3,0)</f>
        <v/>
      </c>
      <c r="O11266" s="94">
        <f>VLOOKUP($Q11266,매칭테이블!$F:$I,4,0)*K11266</f>
        <v/>
      </c>
      <c r="P11266" s="148">
        <f>M11266/1.1</f>
        <v/>
      </c>
      <c r="Q11266" s="94">
        <f>F11266&amp;E11266&amp;G11266&amp;L11266</f>
        <v/>
      </c>
    </row>
    <row r="11267">
      <c r="B11267" s="128" t="n">
        <v>44158</v>
      </c>
      <c r="C11267" s="94">
        <f>TEXT(B11267,"aaa")</f>
        <v/>
      </c>
      <c r="D11267" s="94" t="n"/>
      <c r="E11267" s="94" t="inlineStr">
        <is>
          <t>클리어 패드</t>
        </is>
      </c>
      <c r="F11267" s="94" t="inlineStr">
        <is>
          <t>카페24</t>
        </is>
      </c>
      <c r="G11267" s="94" t="inlineStr">
        <is>
          <t>어성초 77 클리어 패드 2개-30% off</t>
        </is>
      </c>
      <c r="H11267" s="94" t="n">
        <v>200801</v>
      </c>
      <c r="I11267" s="94" t="n">
        <v>200801</v>
      </c>
      <c r="J11267" s="94" t="n"/>
      <c r="K11267" s="6" t="n">
        <v>106</v>
      </c>
      <c r="L11267" s="94" t="n">
        <v>200801</v>
      </c>
      <c r="M11267" s="94">
        <f>VLOOKUP($Q11267,매칭테이블!$F:$I,2,0)*K11267</f>
        <v/>
      </c>
      <c r="N11267" s="94">
        <f>M11267-M11267*VLOOKUP($Q11267,매칭테이블!$F:$I,3,0)</f>
        <v/>
      </c>
      <c r="O11267" s="94">
        <f>VLOOKUP($Q11267,매칭테이블!$F:$I,4,0)*K11267</f>
        <v/>
      </c>
      <c r="P11267" s="148">
        <f>M11267/1.1</f>
        <v/>
      </c>
      <c r="Q11267" s="94">
        <f>F11267&amp;E11267&amp;G11267&amp;L11267</f>
        <v/>
      </c>
    </row>
    <row r="11268">
      <c r="B11268" s="128" t="n">
        <v>44158</v>
      </c>
      <c r="C11268" s="94">
        <f>TEXT(B11268,"aaa")</f>
        <v/>
      </c>
      <c r="D11268" s="94" t="n"/>
      <c r="E11268" s="94" t="inlineStr">
        <is>
          <t>토너+패드 세트</t>
        </is>
      </c>
      <c r="F11268" s="94" t="inlineStr">
        <is>
          <t>카페24</t>
        </is>
      </c>
      <c r="G11268" s="94" t="inlineStr">
        <is>
          <t>좁쌀 진정 세트 토너+클리어 패드-30% off</t>
        </is>
      </c>
      <c r="H11268" s="94" t="n">
        <v>200801</v>
      </c>
      <c r="I11268" s="94" t="n">
        <v>200801</v>
      </c>
      <c r="J11268" s="94" t="n"/>
      <c r="K11268" s="6" t="n">
        <v>75</v>
      </c>
      <c r="L11268" s="94" t="n">
        <v>200801</v>
      </c>
      <c r="M11268" s="94">
        <f>VLOOKUP($Q11268,매칭테이블!$F:$I,2,0)*K11268</f>
        <v/>
      </c>
      <c r="N11268" s="94">
        <f>M11268-M11268*VLOOKUP($Q11268,매칭테이블!$F:$I,3,0)</f>
        <v/>
      </c>
      <c r="O11268" s="94">
        <f>VLOOKUP($Q11268,매칭테이블!$F:$I,4,0)*K11268</f>
        <v/>
      </c>
      <c r="P11268" s="148">
        <f>M11268/1.1</f>
        <v/>
      </c>
      <c r="Q11268" s="94">
        <f>F11268&amp;E11268&amp;G11268&amp;L11268</f>
        <v/>
      </c>
    </row>
    <row r="11269">
      <c r="B11269" s="128" t="n">
        <v>44158</v>
      </c>
      <c r="C11269" s="94">
        <f>TEXT(B11269,"aaa")</f>
        <v/>
      </c>
      <c r="D11269" s="94" t="n"/>
      <c r="E11269" s="94" t="inlineStr">
        <is>
          <t>수분 보충 세트</t>
        </is>
      </c>
      <c r="F11269" s="94" t="inlineStr">
        <is>
          <t>카페24</t>
        </is>
      </c>
      <c r="G11269" s="94" t="inlineStr">
        <is>
          <t>[20/09/28 부터] 어성초 77 토너 250ml + 어성초 70 로션 200ml -30%</t>
        </is>
      </c>
      <c r="H11269" s="94" t="n">
        <v>200801</v>
      </c>
      <c r="I11269" s="94" t="n">
        <v>200801</v>
      </c>
      <c r="J11269" s="94" t="n"/>
      <c r="K11269" s="6" t="n">
        <v>34</v>
      </c>
      <c r="L11269" s="94" t="n">
        <v>200801</v>
      </c>
      <c r="M11269" s="94">
        <f>VLOOKUP($Q11269,매칭테이블!$F:$I,2,0)*K11269</f>
        <v/>
      </c>
      <c r="N11269" s="94">
        <f>M11269-M11269*VLOOKUP($Q11269,매칭테이블!$F:$I,3,0)</f>
        <v/>
      </c>
      <c r="O11269" s="94">
        <f>VLOOKUP($Q11269,매칭테이블!$F:$I,4,0)*K11269</f>
        <v/>
      </c>
      <c r="P11269" s="148">
        <f>M11269/1.1</f>
        <v/>
      </c>
      <c r="Q11269" s="94">
        <f>F11269&amp;E11269&amp;G11269&amp;L11269</f>
        <v/>
      </c>
    </row>
    <row r="11270">
      <c r="B11270" s="128" t="n">
        <v>44158</v>
      </c>
      <c r="C11270" s="94">
        <f>TEXT(B11270,"aaa")</f>
        <v/>
      </c>
      <c r="D11270" s="94" t="n"/>
      <c r="E11270" s="94" t="inlineStr">
        <is>
          <t>로션</t>
        </is>
      </c>
      <c r="F11270" s="94" t="inlineStr">
        <is>
          <t>카페24</t>
        </is>
      </c>
      <c r="G11270" s="94" t="inlineStr">
        <is>
          <t>어성초 70 데일리 릴리프 로션 1개 -20% off</t>
        </is>
      </c>
      <c r="H11270" s="94" t="n">
        <v>200801</v>
      </c>
      <c r="I11270" s="94" t="n">
        <v>200801</v>
      </c>
      <c r="J11270" s="94" t="n"/>
      <c r="K11270" s="6" t="n">
        <v>9</v>
      </c>
      <c r="L11270" s="94" t="n">
        <v>200801</v>
      </c>
      <c r="M11270" s="94">
        <f>VLOOKUP($Q11270,매칭테이블!$F:$I,2,0)*K11270</f>
        <v/>
      </c>
      <c r="N11270" s="94">
        <f>M11270-M11270*VLOOKUP($Q11270,매칭테이블!$F:$I,3,0)</f>
        <v/>
      </c>
      <c r="O11270" s="94">
        <f>VLOOKUP($Q11270,매칭테이블!$F:$I,4,0)*K11270</f>
        <v/>
      </c>
      <c r="P11270" s="148">
        <f>M11270/1.1</f>
        <v/>
      </c>
      <c r="Q11270" s="94">
        <f>F11270&amp;E11270&amp;G11270&amp;L11270</f>
        <v/>
      </c>
    </row>
    <row r="11271">
      <c r="B11271" s="128" t="n">
        <v>44158</v>
      </c>
      <c r="C11271" s="94">
        <f>TEXT(B11271,"aaa")</f>
        <v/>
      </c>
      <c r="D11271" s="94" t="n"/>
      <c r="E11271" s="94" t="inlineStr">
        <is>
          <t>로션</t>
        </is>
      </c>
      <c r="F11271" s="94" t="inlineStr">
        <is>
          <t>카페24</t>
        </is>
      </c>
      <c r="G11271" s="94" t="inlineStr">
        <is>
          <t>어성초 70 데일리 릴리프 로션 2개 -30% off</t>
        </is>
      </c>
      <c r="H11271" s="94" t="n">
        <v>200801</v>
      </c>
      <c r="I11271" s="94" t="n">
        <v>200801</v>
      </c>
      <c r="J11271" s="94" t="n"/>
      <c r="K11271" s="6" t="n">
        <v>1</v>
      </c>
      <c r="L11271" s="94" t="n">
        <v>200801</v>
      </c>
      <c r="M11271" s="94">
        <f>VLOOKUP($Q11271,매칭테이블!$F:$I,2,0)*K11271</f>
        <v/>
      </c>
      <c r="N11271" s="94">
        <f>M11271-M11271*VLOOKUP($Q11271,매칭테이블!$F:$I,3,0)</f>
        <v/>
      </c>
      <c r="O11271" s="94">
        <f>VLOOKUP($Q11271,매칭테이블!$F:$I,4,0)*K11271</f>
        <v/>
      </c>
      <c r="P11271" s="148">
        <f>M11271/1.1</f>
        <v/>
      </c>
      <c r="Q11271" s="94">
        <f>F11271&amp;E11271&amp;G11271&amp;L11271</f>
        <v/>
      </c>
    </row>
    <row r="11272">
      <c r="B11272" s="128" t="n">
        <v>44158</v>
      </c>
      <c r="C11272" s="94">
        <f>TEXT(B11272,"aaa")</f>
        <v/>
      </c>
      <c r="D11272" s="94" t="n"/>
      <c r="E11272" s="94" t="inlineStr">
        <is>
          <t>머드크림마스크</t>
        </is>
      </c>
      <c r="F11272" s="94" t="inlineStr">
        <is>
          <t>카페24</t>
        </is>
      </c>
      <c r="G11272" s="94" t="inlineStr">
        <is>
          <t>머드크림마스크 100ml</t>
        </is>
      </c>
      <c r="H11272" s="94" t="n">
        <v>200801</v>
      </c>
      <c r="I11272" s="94" t="n">
        <v>200801</v>
      </c>
      <c r="J11272" s="94" t="n"/>
      <c r="K11272" s="6" t="n">
        <v>3</v>
      </c>
      <c r="L11272" s="94" t="n">
        <v>200801</v>
      </c>
      <c r="M11272" s="94">
        <f>VLOOKUP($Q11272,매칭테이블!$F:$I,2,0)*K11272</f>
        <v/>
      </c>
      <c r="N11272" s="94">
        <f>M11272-M11272*VLOOKUP($Q11272,매칭테이블!$F:$I,3,0)</f>
        <v/>
      </c>
      <c r="O11272" s="94">
        <f>VLOOKUP($Q11272,매칭테이블!$F:$I,4,0)*K11272</f>
        <v/>
      </c>
      <c r="P11272" s="148">
        <f>M11272/1.1</f>
        <v/>
      </c>
      <c r="Q11272" s="94">
        <f>F11272&amp;E11272&amp;G11272&amp;L11272</f>
        <v/>
      </c>
    </row>
    <row r="11273">
      <c r="B11273" s="128" t="n">
        <v>44158</v>
      </c>
      <c r="C11273" s="94">
        <f>TEXT(B11273,"aaa")</f>
        <v/>
      </c>
      <c r="D11273" s="94" t="n"/>
      <c r="E11273" s="94" t="inlineStr">
        <is>
          <t>머드크림마스크</t>
        </is>
      </c>
      <c r="F11273" s="94" t="inlineStr">
        <is>
          <t>카페24</t>
        </is>
      </c>
      <c r="G11273" s="94" t="inlineStr">
        <is>
          <t>머드크림마스크 100ml 2set</t>
        </is>
      </c>
      <c r="H11273" s="94" t="n">
        <v>200801</v>
      </c>
      <c r="I11273" s="94" t="n">
        <v>200801</v>
      </c>
      <c r="J11273" s="94" t="n"/>
      <c r="K11273" s="6" t="n">
        <v>1</v>
      </c>
      <c r="L11273" s="94" t="n">
        <v>200801</v>
      </c>
      <c r="M11273" s="94">
        <f>VLOOKUP($Q11273,매칭테이블!$F:$I,2,0)*K11273</f>
        <v/>
      </c>
      <c r="N11273" s="94">
        <f>M11273-M11273*VLOOKUP($Q11273,매칭테이블!$F:$I,3,0)</f>
        <v/>
      </c>
      <c r="O11273" s="94">
        <f>VLOOKUP($Q11273,매칭테이블!$F:$I,4,0)*K11273</f>
        <v/>
      </c>
      <c r="P11273" s="148">
        <f>M11273/1.1</f>
        <v/>
      </c>
      <c r="Q11273" s="94">
        <f>F11273&amp;E11273&amp;G11273&amp;L11273</f>
        <v/>
      </c>
    </row>
    <row r="11274">
      <c r="B11274" s="128" t="n">
        <v>44158</v>
      </c>
      <c r="C11274" s="94">
        <f>TEXT(B11274,"aaa")</f>
        <v/>
      </c>
      <c r="D11274" s="94" t="n"/>
      <c r="E11274" s="94" t="inlineStr">
        <is>
          <t>마스크팩</t>
        </is>
      </c>
      <c r="F11274" s="94" t="inlineStr">
        <is>
          <t>카페24</t>
        </is>
      </c>
      <c r="G11274" s="94" t="inlineStr">
        <is>
          <t>마스크팩 1매</t>
        </is>
      </c>
      <c r="H11274" s="94" t="n">
        <v>200801</v>
      </c>
      <c r="I11274" s="94" t="n">
        <v>200801</v>
      </c>
      <c r="J11274" s="94" t="n"/>
      <c r="K11274" s="6" t="n">
        <v>9</v>
      </c>
      <c r="L11274" s="94" t="n">
        <v>200801</v>
      </c>
      <c r="M11274" s="94">
        <f>VLOOKUP($Q11274,매칭테이블!$F:$I,2,0)*K11274</f>
        <v/>
      </c>
      <c r="N11274" s="94">
        <f>M11274-M11274*VLOOKUP($Q11274,매칭테이블!$F:$I,3,0)</f>
        <v/>
      </c>
      <c r="O11274" s="94">
        <f>VLOOKUP($Q11274,매칭테이블!$F:$I,4,0)*K11274</f>
        <v/>
      </c>
      <c r="P11274" s="148">
        <f>M11274/1.1</f>
        <v/>
      </c>
      <c r="Q11274" s="94">
        <f>F11274&amp;E11274&amp;G11274&amp;L11274</f>
        <v/>
      </c>
    </row>
    <row r="11275">
      <c r="B11275" s="128" t="n">
        <v>44158</v>
      </c>
      <c r="C11275" s="94">
        <f>TEXT(B11275,"aaa")</f>
        <v/>
      </c>
      <c r="D11275" s="94" t="n"/>
      <c r="E11275" s="94" t="inlineStr">
        <is>
          <t>마스크팩</t>
        </is>
      </c>
      <c r="F11275" s="94" t="inlineStr">
        <is>
          <t>카페24</t>
        </is>
      </c>
      <c r="G11275" s="94" t="inlineStr">
        <is>
          <t>마스크팩 10매</t>
        </is>
      </c>
      <c r="H11275" s="94" t="n">
        <v>200801</v>
      </c>
      <c r="I11275" s="94" t="n">
        <v>200801</v>
      </c>
      <c r="J11275" s="94" t="n"/>
      <c r="K11275" s="6" t="n">
        <v>10</v>
      </c>
      <c r="L11275" s="94" t="n">
        <v>200801</v>
      </c>
      <c r="M11275" s="94">
        <f>VLOOKUP($Q11275,매칭테이블!$F:$I,2,0)*K11275</f>
        <v/>
      </c>
      <c r="N11275" s="94">
        <f>M11275-M11275*VLOOKUP($Q11275,매칭테이블!$F:$I,3,0)</f>
        <v/>
      </c>
      <c r="O11275" s="94">
        <f>VLOOKUP($Q11275,매칭테이블!$F:$I,4,0)*K11275</f>
        <v/>
      </c>
      <c r="P11275" s="148">
        <f>M11275/1.1</f>
        <v/>
      </c>
      <c r="Q11275" s="94">
        <f>F11275&amp;E11275&amp;G11275&amp;L11275</f>
        <v/>
      </c>
    </row>
    <row r="11276">
      <c r="B11276" s="128" t="n">
        <v>44158</v>
      </c>
      <c r="C11276" s="94">
        <f>TEXT(B11276,"aaa")</f>
        <v/>
      </c>
      <c r="D11276" s="94" t="n"/>
      <c r="E11276" s="94" t="inlineStr">
        <is>
          <t>토너</t>
        </is>
      </c>
      <c r="F11276" s="94" t="inlineStr">
        <is>
          <t>카페24</t>
        </is>
      </c>
      <c r="G11276" s="94" t="inlineStr">
        <is>
          <t>250ml</t>
        </is>
      </c>
      <c r="H11276" s="94" t="n">
        <v>200801</v>
      </c>
      <c r="I11276" s="94" t="n">
        <v>200801</v>
      </c>
      <c r="J11276" s="94" t="n"/>
      <c r="K11276" s="6" t="n">
        <v>78</v>
      </c>
      <c r="L11276" s="94" t="n">
        <v>200801</v>
      </c>
      <c r="M11276" s="94">
        <f>VLOOKUP($Q11276,매칭테이블!$F:$I,2,0)*K11276</f>
        <v/>
      </c>
      <c r="N11276" s="94">
        <f>M11276-M11276*VLOOKUP($Q11276,매칭테이블!$F:$I,3,0)</f>
        <v/>
      </c>
      <c r="O11276" s="94">
        <f>VLOOKUP($Q11276,매칭테이블!$F:$I,4,0)*K11276</f>
        <v/>
      </c>
      <c r="P11276" s="148">
        <f>M11276/1.1</f>
        <v/>
      </c>
      <c r="Q11276" s="94">
        <f>F11276&amp;E11276&amp;G11276&amp;L11276</f>
        <v/>
      </c>
    </row>
    <row r="11277">
      <c r="B11277" s="128" t="n">
        <v>44158</v>
      </c>
      <c r="C11277" s="94">
        <f>TEXT(B11277,"aaa")</f>
        <v/>
      </c>
      <c r="D11277" s="94" t="n"/>
      <c r="E11277" s="94" t="inlineStr">
        <is>
          <t>토너</t>
        </is>
      </c>
      <c r="F11277" s="94" t="inlineStr">
        <is>
          <t>카페24</t>
        </is>
      </c>
      <c r="G11277" s="94" t="inlineStr">
        <is>
          <t>250ml 2set</t>
        </is>
      </c>
      <c r="H11277" s="94" t="n">
        <v>200801</v>
      </c>
      <c r="I11277" s="94" t="n">
        <v>200801</v>
      </c>
      <c r="J11277" s="94" t="n"/>
      <c r="K11277" s="6" t="n">
        <v>36</v>
      </c>
      <c r="L11277" s="94" t="n">
        <v>200801</v>
      </c>
      <c r="M11277" s="94">
        <f>VLOOKUP($Q11277,매칭테이블!$F:$I,2,0)*K11277</f>
        <v/>
      </c>
      <c r="N11277" s="94">
        <f>M11277-M11277*VLOOKUP($Q11277,매칭테이블!$F:$I,3,0)</f>
        <v/>
      </c>
      <c r="O11277" s="94">
        <f>VLOOKUP($Q11277,매칭테이블!$F:$I,4,0)*K11277</f>
        <v/>
      </c>
      <c r="P11277" s="148">
        <f>M11277/1.1</f>
        <v/>
      </c>
      <c r="Q11277" s="94">
        <f>F11277&amp;E11277&amp;G11277&amp;L11277</f>
        <v/>
      </c>
    </row>
    <row r="11278">
      <c r="B11278" s="128" t="n">
        <v>44158</v>
      </c>
      <c r="C11278" s="94">
        <f>TEXT(B11278,"aaa")</f>
        <v/>
      </c>
      <c r="D11278" s="94" t="n"/>
      <c r="E11278" s="94" t="inlineStr">
        <is>
          <t>토너</t>
        </is>
      </c>
      <c r="F11278" s="94" t="inlineStr">
        <is>
          <t>카페24</t>
        </is>
      </c>
      <c r="G11278" s="94" t="inlineStr">
        <is>
          <t>500ml</t>
        </is>
      </c>
      <c r="H11278" s="94" t="n">
        <v>200801</v>
      </c>
      <c r="I11278" s="94" t="n">
        <v>200801</v>
      </c>
      <c r="J11278" s="94" t="n"/>
      <c r="K11278" s="6" t="n">
        <v>44</v>
      </c>
      <c r="L11278" s="94" t="n">
        <v>200801</v>
      </c>
      <c r="M11278" s="94">
        <f>VLOOKUP($Q11278,매칭테이블!$F:$I,2,0)*K11278</f>
        <v/>
      </c>
      <c r="N11278" s="94">
        <f>M11278-M11278*VLOOKUP($Q11278,매칭테이블!$F:$I,3,0)</f>
        <v/>
      </c>
      <c r="O11278" s="94">
        <f>VLOOKUP($Q11278,매칭테이블!$F:$I,4,0)*K11278</f>
        <v/>
      </c>
      <c r="P11278" s="148">
        <f>M11278/1.1</f>
        <v/>
      </c>
      <c r="Q11278" s="94">
        <f>F11278&amp;E11278&amp;G11278&amp;L11278</f>
        <v/>
      </c>
    </row>
    <row r="11279">
      <c r="B11279" s="128" t="n">
        <v>44158</v>
      </c>
      <c r="C11279" s="94">
        <f>TEXT(B11279,"aaa")</f>
        <v/>
      </c>
      <c r="D11279" s="94" t="n"/>
      <c r="E11279" s="94" t="inlineStr">
        <is>
          <t>토너</t>
        </is>
      </c>
      <c r="F11279" s="94" t="inlineStr">
        <is>
          <t>카페24</t>
        </is>
      </c>
      <c r="G11279" s="94" t="inlineStr">
        <is>
          <t>스킨팩 화장솜 60P</t>
        </is>
      </c>
      <c r="H11279" s="94" t="n">
        <v>200801</v>
      </c>
      <c r="I11279" s="94" t="n">
        <v>200801</v>
      </c>
      <c r="J11279" s="94" t="n"/>
      <c r="K11279" s="6" t="n">
        <v>58</v>
      </c>
      <c r="L11279" s="94" t="n">
        <v>200801</v>
      </c>
      <c r="M11279" s="94">
        <f>VLOOKUP($Q11279,매칭테이블!$F:$I,2,0)*K11279</f>
        <v/>
      </c>
      <c r="N11279" s="94">
        <f>M11279-M11279*VLOOKUP($Q11279,매칭테이블!$F:$I,3,0)</f>
        <v/>
      </c>
      <c r="O11279" s="94">
        <f>VLOOKUP($Q11279,매칭테이블!$F:$I,4,0)*K11279</f>
        <v/>
      </c>
      <c r="P11279" s="148">
        <f>M11279/1.1</f>
        <v/>
      </c>
      <c r="Q11279" s="94">
        <f>F11279&amp;E11279&amp;G11279&amp;L11279</f>
        <v/>
      </c>
    </row>
    <row r="11280">
      <c r="B11280" s="128" t="n">
        <v>44158</v>
      </c>
      <c r="C11280" s="94">
        <f>TEXT(B11280,"aaa")</f>
        <v/>
      </c>
      <c r="D11280" s="94" t="n"/>
      <c r="E11280" s="94" t="inlineStr">
        <is>
          <t>앰플</t>
        </is>
      </c>
      <c r="F11280" s="94" t="inlineStr">
        <is>
          <t>카페24</t>
        </is>
      </c>
      <c r="G11280" s="94" t="inlineStr">
        <is>
          <t>앰플 30ml</t>
        </is>
      </c>
      <c r="H11280" s="94" t="n">
        <v>200801</v>
      </c>
      <c r="I11280" s="94" t="n">
        <v>200801</v>
      </c>
      <c r="J11280" s="94" t="n"/>
      <c r="K11280" s="6" t="n">
        <v>21</v>
      </c>
      <c r="L11280" s="94" t="n">
        <v>200801</v>
      </c>
      <c r="M11280" s="94">
        <f>VLOOKUP($Q11280,매칭테이블!$F:$I,2,0)*K11280</f>
        <v/>
      </c>
      <c r="N11280" s="94">
        <f>M11280-M11280*VLOOKUP($Q11280,매칭테이블!$F:$I,3,0)</f>
        <v/>
      </c>
      <c r="O11280" s="94">
        <f>VLOOKUP($Q11280,매칭테이블!$F:$I,4,0)*K11280</f>
        <v/>
      </c>
      <c r="P11280" s="148">
        <f>M11280/1.1</f>
        <v/>
      </c>
      <c r="Q11280" s="94">
        <f>F11280&amp;E11280&amp;G11280&amp;L11280</f>
        <v/>
      </c>
    </row>
    <row r="11281">
      <c r="B11281" s="128" t="n">
        <v>44158</v>
      </c>
      <c r="C11281" s="94">
        <f>TEXT(B11281,"aaa")</f>
        <v/>
      </c>
      <c r="D11281" s="94" t="n"/>
      <c r="E11281" s="94" t="inlineStr">
        <is>
          <t>앰플</t>
        </is>
      </c>
      <c r="F11281" s="94" t="inlineStr">
        <is>
          <t>카페24</t>
        </is>
      </c>
      <c r="G11281" s="94" t="inlineStr">
        <is>
          <t>앰플 30ml  2set</t>
        </is>
      </c>
      <c r="H11281" s="94" t="n">
        <v>200801</v>
      </c>
      <c r="I11281" s="94" t="n">
        <v>200801</v>
      </c>
      <c r="J11281" s="94" t="n"/>
      <c r="K11281" s="6" t="n">
        <v>8</v>
      </c>
      <c r="L11281" s="94" t="n">
        <v>200801</v>
      </c>
      <c r="M11281" s="94">
        <f>VLOOKUP($Q11281,매칭테이블!$F:$I,2,0)*K11281</f>
        <v/>
      </c>
      <c r="N11281" s="94">
        <f>M11281-M11281*VLOOKUP($Q11281,매칭테이블!$F:$I,3,0)</f>
        <v/>
      </c>
      <c r="O11281" s="94">
        <f>VLOOKUP($Q11281,매칭테이블!$F:$I,4,0)*K11281</f>
        <v/>
      </c>
      <c r="P11281" s="148">
        <f>M11281/1.1</f>
        <v/>
      </c>
      <c r="Q11281" s="94">
        <f>F11281&amp;E11281&amp;G11281&amp;L11281</f>
        <v/>
      </c>
    </row>
    <row r="11282">
      <c r="B11282" s="128" t="n">
        <v>44158</v>
      </c>
      <c r="C11282" s="94">
        <f>TEXT(B11282,"aaa")</f>
        <v/>
      </c>
      <c r="D11282" s="94" t="n"/>
      <c r="E11282" s="94" t="inlineStr">
        <is>
          <t>수딩크림</t>
        </is>
      </c>
      <c r="F11282" s="94" t="inlineStr">
        <is>
          <t>카페24</t>
        </is>
      </c>
      <c r="G11282" s="94" t="inlineStr">
        <is>
          <t>수딩크림 100ml</t>
        </is>
      </c>
      <c r="H11282" s="94" t="n">
        <v>200801</v>
      </c>
      <c r="I11282" s="94" t="n">
        <v>200801</v>
      </c>
      <c r="J11282" s="94" t="n"/>
      <c r="K11282" s="6" t="n">
        <v>11</v>
      </c>
      <c r="L11282" s="94" t="n">
        <v>200801</v>
      </c>
      <c r="M11282" s="94">
        <f>VLOOKUP($Q11282,매칭테이블!$F:$I,2,0)*K11282</f>
        <v/>
      </c>
      <c r="N11282" s="94">
        <f>M11282-M11282*VLOOKUP($Q11282,매칭테이블!$F:$I,3,0)</f>
        <v/>
      </c>
      <c r="O11282" s="94">
        <f>VLOOKUP($Q11282,매칭테이블!$F:$I,4,0)*K11282</f>
        <v/>
      </c>
      <c r="P11282" s="148">
        <f>M11282/1.1</f>
        <v/>
      </c>
      <c r="Q11282" s="94">
        <f>F11282&amp;E11282&amp;G11282&amp;L11282</f>
        <v/>
      </c>
    </row>
    <row r="11283">
      <c r="B11283" s="128" t="n">
        <v>44158</v>
      </c>
      <c r="C11283" s="94">
        <f>TEXT(B11283,"aaa")</f>
        <v/>
      </c>
      <c r="D11283" s="94" t="n"/>
      <c r="E11283" s="94" t="inlineStr">
        <is>
          <t>클렌징폼</t>
        </is>
      </c>
      <c r="F11283" s="94" t="inlineStr">
        <is>
          <t>카페24</t>
        </is>
      </c>
      <c r="G11283" s="94" t="inlineStr">
        <is>
          <t>클렌징폼 120ml</t>
        </is>
      </c>
      <c r="H11283" s="94" t="n">
        <v>200801</v>
      </c>
      <c r="I11283" s="94" t="n">
        <v>200801</v>
      </c>
      <c r="J11283" s="94" t="n"/>
      <c r="K11283" s="6" t="n">
        <v>12</v>
      </c>
      <c r="L11283" s="94" t="n">
        <v>200801</v>
      </c>
      <c r="M11283" s="94">
        <f>VLOOKUP($Q11283,매칭테이블!$F:$I,2,0)*K11283</f>
        <v/>
      </c>
      <c r="N11283" s="94">
        <f>M11283-M11283*VLOOKUP($Q11283,매칭테이블!$F:$I,3,0)</f>
        <v/>
      </c>
      <c r="O11283" s="94">
        <f>VLOOKUP($Q11283,매칭테이블!$F:$I,4,0)*K11283</f>
        <v/>
      </c>
      <c r="P11283" s="148">
        <f>M11283/1.1</f>
        <v/>
      </c>
      <c r="Q11283" s="94">
        <f>F11283&amp;E11283&amp;G11283&amp;L11283</f>
        <v/>
      </c>
    </row>
    <row r="11284">
      <c r="B11284" s="128" t="n">
        <v>44158</v>
      </c>
      <c r="C11284" s="94">
        <f>TEXT(B11284,"aaa")</f>
        <v/>
      </c>
      <c r="D11284" s="94" t="n"/>
      <c r="E11284" s="94" t="inlineStr">
        <is>
          <t>클렌징폼</t>
        </is>
      </c>
      <c r="F11284" s="94" t="inlineStr">
        <is>
          <t>카페24</t>
        </is>
      </c>
      <c r="G11284" s="94" t="inlineStr">
        <is>
          <t>클렌징폼 120ml 2set</t>
        </is>
      </c>
      <c r="H11284" s="94" t="n">
        <v>200801</v>
      </c>
      <c r="I11284" s="94" t="n">
        <v>200801</v>
      </c>
      <c r="J11284" s="94" t="n"/>
      <c r="K11284" s="6" t="n">
        <v>2</v>
      </c>
      <c r="L11284" s="94" t="n">
        <v>200801</v>
      </c>
      <c r="M11284" s="94">
        <f>VLOOKUP($Q11284,매칭테이블!$F:$I,2,0)*K11284</f>
        <v/>
      </c>
      <c r="N11284" s="94">
        <f>M11284-M11284*VLOOKUP($Q11284,매칭테이블!$F:$I,3,0)</f>
        <v/>
      </c>
      <c r="O11284" s="94">
        <f>VLOOKUP($Q11284,매칭테이블!$F:$I,4,0)*K11284</f>
        <v/>
      </c>
      <c r="P11284" s="148">
        <f>M11284/1.1</f>
        <v/>
      </c>
      <c r="Q11284" s="94">
        <f>F11284&amp;E11284&amp;G11284&amp;L11284</f>
        <v/>
      </c>
    </row>
    <row r="11285">
      <c r="B11285" s="128" t="n">
        <v>44158</v>
      </c>
      <c r="C11285" s="94">
        <f>TEXT(B11285,"aaa")</f>
        <v/>
      </c>
      <c r="D11285" s="94" t="n"/>
      <c r="E11285" s="94" t="inlineStr">
        <is>
          <t>클렌징폼</t>
        </is>
      </c>
      <c r="F11285" s="94" t="inlineStr">
        <is>
          <t>카페24</t>
        </is>
      </c>
      <c r="G11285" s="94" t="inlineStr">
        <is>
          <t>클렌징폼 120ml 3set</t>
        </is>
      </c>
      <c r="H11285" s="94" t="n">
        <v>200801</v>
      </c>
      <c r="I11285" s="94" t="n">
        <v>200801</v>
      </c>
      <c r="J11285" s="94" t="n"/>
      <c r="K11285" s="6" t="n">
        <v>1</v>
      </c>
      <c r="L11285" s="94" t="n">
        <v>200801</v>
      </c>
      <c r="M11285" s="94">
        <f>VLOOKUP($Q11285,매칭테이블!$F:$I,2,0)*K11285</f>
        <v/>
      </c>
      <c r="N11285" s="94">
        <f>M11285-M11285*VLOOKUP($Q11285,매칭테이블!$F:$I,3,0)</f>
        <v/>
      </c>
      <c r="O11285" s="94">
        <f>VLOOKUP($Q11285,매칭테이블!$F:$I,4,0)*K11285</f>
        <v/>
      </c>
      <c r="P11285" s="148">
        <f>M11285/1.1</f>
        <v/>
      </c>
      <c r="Q11285" s="94">
        <f>F11285&amp;E11285&amp;G11285&amp;L11285</f>
        <v/>
      </c>
    </row>
    <row r="11286">
      <c r="B11286" s="128" t="n">
        <v>44158</v>
      </c>
      <c r="C11286" s="94">
        <f>TEXT(B11286,"aaa")</f>
        <v/>
      </c>
      <c r="D11286" s="94" t="n"/>
      <c r="E11286" s="94" t="inlineStr">
        <is>
          <t>바디워시</t>
        </is>
      </c>
      <c r="F11286" s="94" t="inlineStr">
        <is>
          <t>카페24</t>
        </is>
      </c>
      <c r="G11286" s="94" t="inlineStr">
        <is>
          <t>바디워시 1개 -30% off</t>
        </is>
      </c>
      <c r="H11286" s="94" t="n">
        <v>200801</v>
      </c>
      <c r="I11286" s="94" t="n">
        <v>200801</v>
      </c>
      <c r="J11286" s="94" t="n"/>
      <c r="K11286" s="6" t="n">
        <v>7</v>
      </c>
      <c r="L11286" s="94" t="n">
        <v>200801</v>
      </c>
      <c r="M11286" s="94">
        <f>VLOOKUP($Q11286,매칭테이블!$F:$I,2,0)*K11286</f>
        <v/>
      </c>
      <c r="N11286" s="94">
        <f>M11286-M11286*VLOOKUP($Q11286,매칭테이블!$F:$I,3,0)</f>
        <v/>
      </c>
      <c r="O11286" s="94">
        <f>VLOOKUP($Q11286,매칭테이블!$F:$I,4,0)*K11286</f>
        <v/>
      </c>
      <c r="P11286" s="148">
        <f>M11286/1.1</f>
        <v/>
      </c>
      <c r="Q11286" s="94">
        <f>F11286&amp;E11286&amp;G11286&amp;L11286</f>
        <v/>
      </c>
    </row>
    <row r="11287">
      <c r="B11287" s="128" t="n">
        <v>44158</v>
      </c>
      <c r="C11287" s="94">
        <f>TEXT(B11287,"aaa")</f>
        <v/>
      </c>
      <c r="D11287" s="94" t="n"/>
      <c r="E11287" s="94" t="inlineStr">
        <is>
          <t>바디워시</t>
        </is>
      </c>
      <c r="F11287" s="94" t="inlineStr">
        <is>
          <t>카페24</t>
        </is>
      </c>
      <c r="G11287" s="94" t="inlineStr">
        <is>
          <t>바디워시 2개 -35% off (무료배송)</t>
        </is>
      </c>
      <c r="H11287" s="94" t="n">
        <v>200801</v>
      </c>
      <c r="I11287" s="94" t="n">
        <v>200801</v>
      </c>
      <c r="J11287" s="94" t="n"/>
      <c r="K11287" s="6" t="n">
        <v>1</v>
      </c>
      <c r="L11287" s="94" t="n">
        <v>200801</v>
      </c>
      <c r="M11287" s="94">
        <f>VLOOKUP($Q11287,매칭테이블!$F:$I,2,0)*K11287</f>
        <v/>
      </c>
      <c r="N11287" s="94">
        <f>M11287-M11287*VLOOKUP($Q11287,매칭테이블!$F:$I,3,0)</f>
        <v/>
      </c>
      <c r="O11287" s="94">
        <f>VLOOKUP($Q11287,매칭테이블!$F:$I,4,0)*K11287</f>
        <v/>
      </c>
      <c r="P11287" s="148">
        <f>M11287/1.1</f>
        <v/>
      </c>
      <c r="Q11287" s="94">
        <f>F11287&amp;E11287&amp;G11287&amp;L11287</f>
        <v/>
      </c>
    </row>
    <row r="11288">
      <c r="B11288" s="128" t="n">
        <v>44158</v>
      </c>
      <c r="C11288" s="94">
        <f>TEXT(B11288,"aaa")</f>
        <v/>
      </c>
      <c r="D11288" s="94" t="n"/>
      <c r="E11288" s="94" t="inlineStr">
        <is>
          <t>토너</t>
        </is>
      </c>
      <c r="F11288" s="94" t="inlineStr">
        <is>
          <t>화해</t>
        </is>
      </c>
      <c r="G11288" s="94" t="inlineStr">
        <is>
          <t>250ml</t>
        </is>
      </c>
      <c r="H11288" s="94" t="n">
        <v>200801</v>
      </c>
      <c r="I11288" s="94" t="n">
        <v>200801</v>
      </c>
      <c r="J11288" s="94" t="n"/>
      <c r="K11288" s="6" t="n">
        <v>5</v>
      </c>
      <c r="L11288" s="94" t="n">
        <v>200801</v>
      </c>
      <c r="M11288" s="94">
        <f>VLOOKUP($Q11288,매칭테이블!$F:$I,2,0)*K11288</f>
        <v/>
      </c>
      <c r="N11288" s="94">
        <f>M11288-M11288*VLOOKUP($Q11288,매칭테이블!$F:$I,3,0)</f>
        <v/>
      </c>
      <c r="O11288" s="94">
        <f>VLOOKUP($Q11288,매칭테이블!$F:$I,4,0)*K11288</f>
        <v/>
      </c>
      <c r="P11288" s="148">
        <f>M11288/1.1</f>
        <v/>
      </c>
      <c r="Q11288" s="94">
        <f>F11288&amp;E11288&amp;G11288&amp;L11288</f>
        <v/>
      </c>
    </row>
    <row r="11289">
      <c r="B11289" s="128" t="n">
        <v>44158</v>
      </c>
      <c r="C11289" s="94">
        <f>TEXT(B11289,"aaa")</f>
        <v/>
      </c>
      <c r="D11289" s="94" t="n"/>
      <c r="E11289" s="94" t="inlineStr">
        <is>
          <t>선크림</t>
        </is>
      </c>
      <c r="F11289" s="94" t="inlineStr">
        <is>
          <t>화해</t>
        </is>
      </c>
      <c r="G11289" s="94" t="inlineStr">
        <is>
          <t>선크림 50ml</t>
        </is>
      </c>
      <c r="H11289" s="94" t="n">
        <v>200801</v>
      </c>
      <c r="I11289" s="94" t="n">
        <v>200801</v>
      </c>
      <c r="J11289" s="94" t="n"/>
      <c r="K11289" s="6" t="n">
        <v>1</v>
      </c>
      <c r="L11289" s="94" t="n">
        <v>200801</v>
      </c>
      <c r="M11289" s="94">
        <f>VLOOKUP($Q11289,매칭테이블!$F:$I,2,0)*K11289</f>
        <v/>
      </c>
      <c r="N11289" s="94">
        <f>M11289-M11289*VLOOKUP($Q11289,매칭테이블!$F:$I,3,0)</f>
        <v/>
      </c>
      <c r="O11289" s="94">
        <f>VLOOKUP($Q11289,매칭테이블!$F:$I,4,0)*K11289</f>
        <v/>
      </c>
      <c r="P11289" s="148">
        <f>M11289/1.1</f>
        <v/>
      </c>
      <c r="Q11289" s="94">
        <f>F11289&amp;E11289&amp;G11289&amp;L11289</f>
        <v/>
      </c>
    </row>
    <row r="11290" customFormat="1" s="94">
      <c r="B11290" s="128" t="n">
        <v>44159</v>
      </c>
      <c r="C11290" s="94">
        <f>TEXT(B11290,"aaa")</f>
        <v/>
      </c>
      <c r="E11290" s="94" t="inlineStr">
        <is>
          <t>토너</t>
        </is>
      </c>
      <c r="F11290" s="94" t="inlineStr">
        <is>
          <t>W컨셉</t>
        </is>
      </c>
      <c r="G11290" s="94" t="inlineStr">
        <is>
          <t>250ml</t>
        </is>
      </c>
      <c r="H11290" s="94" t="n">
        <v>200801</v>
      </c>
      <c r="I11290" s="94" t="n">
        <v>200801</v>
      </c>
      <c r="K11290" s="6" t="n">
        <v>1</v>
      </c>
      <c r="L11290" s="94" t="n">
        <v>200801</v>
      </c>
      <c r="M11290" s="94">
        <f>VLOOKUP($Q11290,매칭테이블!$F:$I,2,0)*K11290</f>
        <v/>
      </c>
      <c r="N11290" s="94">
        <f>M11290-M11290*VLOOKUP($Q11290,매칭테이블!$F:$I,3,0)</f>
        <v/>
      </c>
      <c r="O11290" s="94">
        <f>VLOOKUP($Q11290,매칭테이블!$F:$I,4,0)*K11290</f>
        <v/>
      </c>
      <c r="P11290" s="148">
        <f>M11290/1.1</f>
        <v/>
      </c>
      <c r="Q11290" s="94">
        <f>F11290&amp;E11290&amp;G11290&amp;L11290</f>
        <v/>
      </c>
    </row>
    <row r="11291" customFormat="1" s="94">
      <c r="B11291" s="128" t="n">
        <v>44159</v>
      </c>
      <c r="C11291" s="94">
        <f>TEXT(B11291,"aaa")</f>
        <v/>
      </c>
      <c r="E11291" s="94" t="inlineStr">
        <is>
          <t>토너</t>
        </is>
      </c>
      <c r="F11291" s="94" t="inlineStr">
        <is>
          <t>W컨셉</t>
        </is>
      </c>
      <c r="G11291" s="94" t="inlineStr">
        <is>
          <t>250ml 2set</t>
        </is>
      </c>
      <c r="H11291" s="94" t="n">
        <v>200801</v>
      </c>
      <c r="I11291" s="94" t="n">
        <v>200801</v>
      </c>
      <c r="K11291" s="6" t="n">
        <v>3</v>
      </c>
      <c r="L11291" s="94" t="n">
        <v>200801</v>
      </c>
      <c r="M11291" s="94">
        <f>VLOOKUP($Q11291,매칭테이블!$F:$I,2,0)*K11291</f>
        <v/>
      </c>
      <c r="N11291" s="94">
        <f>M11291-M11291*VLOOKUP($Q11291,매칭테이블!$F:$I,3,0)</f>
        <v/>
      </c>
      <c r="O11291" s="94">
        <f>VLOOKUP($Q11291,매칭테이블!$F:$I,4,0)*K11291</f>
        <v/>
      </c>
      <c r="P11291" s="148">
        <f>M11291/1.1</f>
        <v/>
      </c>
      <c r="Q11291" s="94">
        <f>F11291&amp;E11291&amp;G11291&amp;L11291</f>
        <v/>
      </c>
    </row>
    <row r="11292" customFormat="1" s="94">
      <c r="B11292" s="128" t="n">
        <v>44159</v>
      </c>
      <c r="C11292" s="94">
        <f>TEXT(B11292,"aaa")</f>
        <v/>
      </c>
      <c r="E11292" s="94" t="inlineStr">
        <is>
          <t>토너</t>
        </is>
      </c>
      <c r="F11292" s="94" t="inlineStr">
        <is>
          <t>스타일쉐어</t>
        </is>
      </c>
      <c r="G11292" s="94" t="inlineStr">
        <is>
          <t>250ml</t>
        </is>
      </c>
      <c r="H11292" s="94" t="n">
        <v>200801</v>
      </c>
      <c r="I11292" s="94" t="n">
        <v>200801</v>
      </c>
      <c r="K11292" s="6" t="n">
        <v>4</v>
      </c>
      <c r="L11292" s="94" t="n">
        <v>200801</v>
      </c>
      <c r="M11292" s="94">
        <f>VLOOKUP($Q11292,매칭테이블!$F:$I,2,0)*K11292</f>
        <v/>
      </c>
      <c r="N11292" s="94">
        <f>M11292-M11292*VLOOKUP($Q11292,매칭테이블!$F:$I,3,0)</f>
        <v/>
      </c>
      <c r="O11292" s="94">
        <f>VLOOKUP($Q11292,매칭테이블!$F:$I,4,0)*K11292</f>
        <v/>
      </c>
      <c r="P11292" s="148">
        <f>M11292/1.1</f>
        <v/>
      </c>
      <c r="Q11292" s="94">
        <f>F11292&amp;E11292&amp;G11292&amp;L11292</f>
        <v/>
      </c>
    </row>
    <row r="11293" customFormat="1" s="94">
      <c r="B11293" s="128" t="n">
        <v>44159</v>
      </c>
      <c r="C11293" s="94">
        <f>TEXT(B11293,"aaa")</f>
        <v/>
      </c>
      <c r="E11293" s="94" t="inlineStr">
        <is>
          <t>로션</t>
        </is>
      </c>
      <c r="F11293" s="94" t="inlineStr">
        <is>
          <t>아누아 CS</t>
        </is>
      </c>
      <c r="G11293" s="94" t="inlineStr">
        <is>
          <t>로션 200ml</t>
        </is>
      </c>
      <c r="H11293" s="94" t="n">
        <v>200801</v>
      </c>
      <c r="I11293" s="94" t="n">
        <v>200801</v>
      </c>
      <c r="K11293" s="6" t="n">
        <v>2</v>
      </c>
      <c r="L11293" s="94" t="n">
        <v>200801</v>
      </c>
      <c r="M11293" s="94">
        <f>VLOOKUP($Q11293,매칭테이블!$F:$I,2,0)*K11293</f>
        <v/>
      </c>
      <c r="N11293" s="94">
        <f>M11293-M11293*VLOOKUP($Q11293,매칭테이블!$F:$I,3,0)</f>
        <v/>
      </c>
      <c r="O11293" s="94">
        <f>VLOOKUP($Q11293,매칭테이블!$F:$I,4,0)*K11293</f>
        <v/>
      </c>
      <c r="P11293" s="148">
        <f>M11293/1.1</f>
        <v/>
      </c>
      <c r="Q11293" s="94">
        <f>F11293&amp;E11293&amp;G11293&amp;L11293</f>
        <v/>
      </c>
    </row>
    <row r="11294" customFormat="1" s="94">
      <c r="B11294" s="128" t="n">
        <v>44159</v>
      </c>
      <c r="C11294" s="94">
        <f>TEXT(B11294,"aaa")</f>
        <v/>
      </c>
      <c r="E11294" s="94" t="inlineStr">
        <is>
          <t>클리어 패드</t>
        </is>
      </c>
      <c r="F11294" s="94" t="inlineStr">
        <is>
          <t>아누아 CS</t>
        </is>
      </c>
      <c r="G11294" s="94" t="inlineStr">
        <is>
          <t>어성초 클리어패드 70P</t>
        </is>
      </c>
      <c r="H11294" s="94" t="n">
        <v>200801</v>
      </c>
      <c r="I11294" s="94" t="n">
        <v>200801</v>
      </c>
      <c r="K11294" s="6" t="n">
        <v>3</v>
      </c>
      <c r="L11294" s="94" t="n">
        <v>200801</v>
      </c>
      <c r="M11294" s="94">
        <f>VLOOKUP($Q11294,매칭테이블!$F:$I,2,0)*K11294</f>
        <v/>
      </c>
      <c r="N11294" s="94">
        <f>M11294-M11294*VLOOKUP($Q11294,매칭테이블!$F:$I,3,0)</f>
        <v/>
      </c>
      <c r="O11294" s="94">
        <f>VLOOKUP($Q11294,매칭테이블!$F:$I,4,0)*K11294</f>
        <v/>
      </c>
      <c r="P11294" s="148">
        <f>M11294/1.1</f>
        <v/>
      </c>
      <c r="Q11294" s="94">
        <f>F11294&amp;E11294&amp;G11294&amp;L11294</f>
        <v/>
      </c>
    </row>
    <row r="11295" customFormat="1" s="94">
      <c r="B11295" s="128" t="n">
        <v>44159</v>
      </c>
      <c r="C11295" s="94">
        <f>TEXT(B11295,"aaa")</f>
        <v/>
      </c>
      <c r="E11295" s="94" t="inlineStr">
        <is>
          <t>바디워시</t>
        </is>
      </c>
      <c r="F11295" s="94" t="inlineStr">
        <is>
          <t>아누아 CS</t>
        </is>
      </c>
      <c r="G11295" s="94" t="inlineStr">
        <is>
          <t>바디워시 500ml</t>
        </is>
      </c>
      <c r="H11295" s="94" t="n">
        <v>200801</v>
      </c>
      <c r="I11295" s="94" t="n">
        <v>200801</v>
      </c>
      <c r="K11295" s="6" t="n">
        <v>2</v>
      </c>
      <c r="L11295" s="94" t="n">
        <v>200801</v>
      </c>
      <c r="M11295" s="94">
        <f>VLOOKUP($Q11295,매칭테이블!$F:$I,2,0)*K11295</f>
        <v/>
      </c>
      <c r="N11295" s="94">
        <f>M11295-M11295*VLOOKUP($Q11295,매칭테이블!$F:$I,3,0)</f>
        <v/>
      </c>
      <c r="O11295" s="94">
        <f>VLOOKUP($Q11295,매칭테이블!$F:$I,4,0)*K11295</f>
        <v/>
      </c>
      <c r="P11295" s="148">
        <f>M11295/1.1</f>
        <v/>
      </c>
      <c r="Q11295" s="94">
        <f>F11295&amp;E11295&amp;G11295&amp;L11295</f>
        <v/>
      </c>
    </row>
    <row r="11296" customFormat="1" s="94">
      <c r="B11296" s="128" t="n">
        <v>44159</v>
      </c>
      <c r="C11296" s="94">
        <f>TEXT(B11296,"aaa")</f>
        <v/>
      </c>
      <c r="E11296" s="94" t="inlineStr">
        <is>
          <t>토너</t>
        </is>
      </c>
      <c r="F11296" s="94" t="inlineStr">
        <is>
          <t>아누아 CS</t>
        </is>
      </c>
      <c r="G11296" s="94" t="inlineStr">
        <is>
          <t>250ml</t>
        </is>
      </c>
      <c r="H11296" s="94" t="n">
        <v>200801</v>
      </c>
      <c r="I11296" s="94" t="n">
        <v>200801</v>
      </c>
      <c r="K11296" s="6" t="n">
        <v>3</v>
      </c>
      <c r="L11296" s="94" t="n">
        <v>200801</v>
      </c>
      <c r="M11296" s="94">
        <f>VLOOKUP($Q11296,매칭테이블!$F:$I,2,0)*K11296</f>
        <v/>
      </c>
      <c r="N11296" s="94">
        <f>M11296-M11296*VLOOKUP($Q11296,매칭테이블!$F:$I,3,0)</f>
        <v/>
      </c>
      <c r="O11296" s="94">
        <f>VLOOKUP($Q11296,매칭테이블!$F:$I,4,0)*K11296</f>
        <v/>
      </c>
      <c r="P11296" s="148">
        <f>M11296/1.1</f>
        <v/>
      </c>
      <c r="Q11296" s="94">
        <f>F11296&amp;E11296&amp;G11296&amp;L11296</f>
        <v/>
      </c>
    </row>
    <row r="11297" customFormat="1" s="94">
      <c r="B11297" s="128" t="n">
        <v>44159</v>
      </c>
      <c r="C11297" s="94">
        <f>TEXT(B11297,"aaa")</f>
        <v/>
      </c>
      <c r="E11297" s="94" t="inlineStr">
        <is>
          <t>앰플</t>
        </is>
      </c>
      <c r="F11297" s="94" t="inlineStr">
        <is>
          <t>아누아 CS</t>
        </is>
      </c>
      <c r="G11297" s="94" t="inlineStr">
        <is>
          <t>앰플 30ml</t>
        </is>
      </c>
      <c r="H11297" s="94" t="n">
        <v>200801</v>
      </c>
      <c r="I11297" s="94" t="n">
        <v>200801</v>
      </c>
      <c r="K11297" s="6" t="n">
        <v>2</v>
      </c>
      <c r="L11297" s="94" t="n">
        <v>200801</v>
      </c>
      <c r="M11297" s="94">
        <f>VLOOKUP($Q11297,매칭테이블!$F:$I,2,0)*K11297</f>
        <v/>
      </c>
      <c r="N11297" s="94">
        <f>M11297-M11297*VLOOKUP($Q11297,매칭테이블!$F:$I,3,0)</f>
        <v/>
      </c>
      <c r="O11297" s="94">
        <f>VLOOKUP($Q11297,매칭테이블!$F:$I,4,0)*K11297</f>
        <v/>
      </c>
      <c r="P11297" s="148">
        <f>M11297/1.1</f>
        <v/>
      </c>
      <c r="Q11297" s="94">
        <f>F11297&amp;E11297&amp;G11297&amp;L11297</f>
        <v/>
      </c>
    </row>
    <row r="11298" customFormat="1" s="94">
      <c r="B11298" s="128" t="n">
        <v>44159</v>
      </c>
      <c r="C11298" s="94">
        <f>TEXT(B11298,"aaa")</f>
        <v/>
      </c>
      <c r="E11298" s="94" t="inlineStr">
        <is>
          <t>마스크팩</t>
        </is>
      </c>
      <c r="F11298" s="94" t="inlineStr">
        <is>
          <t>아누아 CS</t>
        </is>
      </c>
      <c r="G11298" s="94" t="inlineStr">
        <is>
          <t>마스크팩 10매</t>
        </is>
      </c>
      <c r="H11298" s="94" t="n">
        <v>200801</v>
      </c>
      <c r="I11298" s="94" t="n">
        <v>200801</v>
      </c>
      <c r="K11298" s="6" t="n">
        <v>2</v>
      </c>
      <c r="L11298" s="94" t="n">
        <v>200801</v>
      </c>
      <c r="M11298" s="94">
        <f>VLOOKUP($Q11298,매칭테이블!$F:$I,2,0)*K11298</f>
        <v/>
      </c>
      <c r="N11298" s="94">
        <f>M11298-M11298*VLOOKUP($Q11298,매칭테이블!$F:$I,3,0)</f>
        <v/>
      </c>
      <c r="O11298" s="94">
        <f>VLOOKUP($Q11298,매칭테이블!$F:$I,4,0)*K11298</f>
        <v/>
      </c>
      <c r="P11298" s="148">
        <f>M11298/1.1</f>
        <v/>
      </c>
      <c r="Q11298" s="94">
        <f>F11298&amp;E11298&amp;G11298&amp;L11298</f>
        <v/>
      </c>
    </row>
    <row r="11299" customFormat="1" s="94">
      <c r="B11299" s="128" t="n">
        <v>44159</v>
      </c>
      <c r="C11299" s="94">
        <f>TEXT(B11299,"aaa")</f>
        <v/>
      </c>
      <c r="E11299" s="94" t="inlineStr">
        <is>
          <t>선크림</t>
        </is>
      </c>
      <c r="F11299" s="94" t="inlineStr">
        <is>
          <t>아누아 CS</t>
        </is>
      </c>
      <c r="G11299" s="94" t="inlineStr">
        <is>
          <t>선크림 50ml</t>
        </is>
      </c>
      <c r="H11299" s="94" t="n">
        <v>200801</v>
      </c>
      <c r="I11299" s="94" t="n">
        <v>200801</v>
      </c>
      <c r="K11299" s="6" t="n">
        <v>2</v>
      </c>
      <c r="L11299" s="94" t="n">
        <v>200801</v>
      </c>
      <c r="M11299" s="94">
        <f>VLOOKUP($Q11299,매칭테이블!$F:$I,2,0)*K11299</f>
        <v/>
      </c>
      <c r="N11299" s="94">
        <f>M11299-M11299*VLOOKUP($Q11299,매칭테이블!$F:$I,3,0)</f>
        <v/>
      </c>
      <c r="O11299" s="94">
        <f>VLOOKUP($Q11299,매칭테이블!$F:$I,4,0)*K11299</f>
        <v/>
      </c>
      <c r="P11299" s="148">
        <f>M11299/1.1</f>
        <v/>
      </c>
      <c r="Q11299" s="94">
        <f>F11299&amp;E11299&amp;G11299&amp;L11299</f>
        <v/>
      </c>
    </row>
    <row r="11300" customFormat="1" s="94">
      <c r="B11300" s="128" t="n">
        <v>44159</v>
      </c>
      <c r="C11300" s="94">
        <f>TEXT(B11300,"aaa")</f>
        <v/>
      </c>
      <c r="E11300" s="94" t="inlineStr">
        <is>
          <t>클렌징폼</t>
        </is>
      </c>
      <c r="F11300" s="94" t="inlineStr">
        <is>
          <t>아누아 CS</t>
        </is>
      </c>
      <c r="G11300" s="94" t="inlineStr">
        <is>
          <t>클렌징폼 120ml</t>
        </is>
      </c>
      <c r="H11300" s="94" t="n">
        <v>200801</v>
      </c>
      <c r="I11300" s="94" t="n">
        <v>200801</v>
      </c>
      <c r="K11300" s="6" t="n">
        <v>2</v>
      </c>
      <c r="L11300" s="94" t="n">
        <v>200801</v>
      </c>
      <c r="M11300" s="94">
        <f>VLOOKUP($Q11300,매칭테이블!$F:$I,2,0)*K11300</f>
        <v/>
      </c>
      <c r="N11300" s="94">
        <f>M11300-M11300*VLOOKUP($Q11300,매칭테이블!$F:$I,3,0)</f>
        <v/>
      </c>
      <c r="O11300" s="94">
        <f>VLOOKUP($Q11300,매칭테이블!$F:$I,4,0)*K11300</f>
        <v/>
      </c>
      <c r="P11300" s="148">
        <f>M11300/1.1</f>
        <v/>
      </c>
      <c r="Q11300" s="94">
        <f>F11300&amp;E11300&amp;G11300&amp;L11300</f>
        <v/>
      </c>
    </row>
    <row r="11301" customFormat="1" s="94">
      <c r="B11301" s="128" t="n">
        <v>44159</v>
      </c>
      <c r="C11301" s="94">
        <f>TEXT(B11301,"aaa")</f>
        <v/>
      </c>
      <c r="E11301" s="94" t="inlineStr">
        <is>
          <t>머드크림마스크</t>
        </is>
      </c>
      <c r="F11301" s="94" t="inlineStr">
        <is>
          <t>아누아 CS</t>
        </is>
      </c>
      <c r="G11301" s="94" t="inlineStr">
        <is>
          <t>머드크림마스크 100ml</t>
        </is>
      </c>
      <c r="H11301" s="94" t="n">
        <v>200801</v>
      </c>
      <c r="I11301" s="94" t="n">
        <v>200801</v>
      </c>
      <c r="K11301" s="6" t="n">
        <v>2</v>
      </c>
      <c r="L11301" s="94" t="n">
        <v>200801</v>
      </c>
      <c r="M11301" s="94">
        <f>VLOOKUP($Q11301,매칭테이블!$F:$I,2,0)*K11301</f>
        <v/>
      </c>
      <c r="N11301" s="94">
        <f>M11301-M11301*VLOOKUP($Q11301,매칭테이블!$F:$I,3,0)</f>
        <v/>
      </c>
      <c r="O11301" s="94">
        <f>VLOOKUP($Q11301,매칭테이블!$F:$I,4,0)*K11301</f>
        <v/>
      </c>
      <c r="P11301" s="148">
        <f>M11301/1.1</f>
        <v/>
      </c>
      <c r="Q11301" s="94">
        <f>F11301&amp;E11301&amp;G11301&amp;L11301</f>
        <v/>
      </c>
    </row>
    <row r="11302" customFormat="1" s="94">
      <c r="B11302" s="128" t="n">
        <v>44159</v>
      </c>
      <c r="C11302" s="94">
        <f>TEXT(B11302,"aaa")</f>
        <v/>
      </c>
      <c r="E11302" s="94" t="inlineStr">
        <is>
          <t>카밍크림</t>
        </is>
      </c>
      <c r="F11302" s="94" t="inlineStr">
        <is>
          <t>아누아 CS</t>
        </is>
      </c>
      <c r="G11302" s="94" t="inlineStr">
        <is>
          <t xml:space="preserve">	어성초 70 인텐스 카밍 크림 50ml</t>
        </is>
      </c>
      <c r="H11302" s="94" t="n">
        <v>200801</v>
      </c>
      <c r="I11302" s="94" t="n">
        <v>200801</v>
      </c>
      <c r="K11302" s="6" t="n">
        <v>3</v>
      </c>
      <c r="L11302" s="94" t="n">
        <v>200801</v>
      </c>
      <c r="M11302" s="94">
        <f>VLOOKUP($Q11302,매칭테이블!$F:$I,2,0)*K11302</f>
        <v/>
      </c>
      <c r="N11302" s="94">
        <f>M11302-M11302*VLOOKUP($Q11302,매칭테이블!$F:$I,3,0)</f>
        <v/>
      </c>
      <c r="O11302" s="94">
        <f>VLOOKUP($Q11302,매칭테이블!$F:$I,4,0)*K11302</f>
        <v/>
      </c>
      <c r="P11302" s="148">
        <f>M11302/1.1</f>
        <v/>
      </c>
      <c r="Q11302" s="94">
        <f>F11302&amp;E11302&amp;G11302&amp;L11302</f>
        <v/>
      </c>
    </row>
    <row r="11303" customFormat="1" s="94">
      <c r="B11303" s="128" t="n">
        <v>44159</v>
      </c>
      <c r="C11303" s="94">
        <f>TEXT(B11303,"aaa")</f>
        <v/>
      </c>
      <c r="E11303" s="94" t="inlineStr">
        <is>
          <t>선크림</t>
        </is>
      </c>
      <c r="F11303" s="94" t="inlineStr">
        <is>
          <t>카페24</t>
        </is>
      </c>
      <c r="G11303" s="94" t="inlineStr">
        <is>
          <t>선크림 50ml</t>
        </is>
      </c>
      <c r="H11303" s="94" t="n">
        <v>200801</v>
      </c>
      <c r="I11303" s="94" t="n">
        <v>200801</v>
      </c>
      <c r="K11303" s="6" t="n">
        <v>10</v>
      </c>
      <c r="L11303" s="94" t="n">
        <v>200801</v>
      </c>
      <c r="M11303" s="94">
        <f>VLOOKUP($Q11303,매칭테이블!$F:$I,2,0)*K11303</f>
        <v/>
      </c>
      <c r="N11303" s="94">
        <f>M11303-M11303*VLOOKUP($Q11303,매칭테이블!$F:$I,3,0)</f>
        <v/>
      </c>
      <c r="O11303" s="94">
        <f>VLOOKUP($Q11303,매칭테이블!$F:$I,4,0)*K11303</f>
        <v/>
      </c>
      <c r="P11303" s="148">
        <f>M11303/1.1</f>
        <v/>
      </c>
      <c r="Q11303" s="94">
        <f>F11303&amp;E11303&amp;G11303&amp;L11303</f>
        <v/>
      </c>
    </row>
    <row r="11304" customFormat="1" s="94">
      <c r="B11304" s="128" t="n">
        <v>44159</v>
      </c>
      <c r="C11304" s="94">
        <f>TEXT(B11304,"aaa")</f>
        <v/>
      </c>
      <c r="E11304" s="94" t="inlineStr">
        <is>
          <t>어성초진정패키지</t>
        </is>
      </c>
      <c r="F11304" s="94" t="inlineStr">
        <is>
          <t>카페24</t>
        </is>
      </c>
      <c r="G11304" s="94" t="inlineStr">
        <is>
          <t>어성초 진정패키지세트</t>
        </is>
      </c>
      <c r="H11304" s="94" t="n">
        <v>200801</v>
      </c>
      <c r="I11304" s="94" t="n">
        <v>200801</v>
      </c>
      <c r="K11304" s="6" t="n">
        <v>6</v>
      </c>
      <c r="L11304" s="94" t="n">
        <v>200801</v>
      </c>
      <c r="M11304" s="94">
        <f>VLOOKUP($Q11304,매칭테이블!$F:$I,2,0)*K11304</f>
        <v/>
      </c>
      <c r="N11304" s="94">
        <f>M11304-M11304*VLOOKUP($Q11304,매칭테이블!$F:$I,3,0)</f>
        <v/>
      </c>
      <c r="O11304" s="94">
        <f>VLOOKUP($Q11304,매칭테이블!$F:$I,4,0)*K11304</f>
        <v/>
      </c>
      <c r="P11304" s="148">
        <f>M11304/1.1</f>
        <v/>
      </c>
      <c r="Q11304" s="94">
        <f>F11304&amp;E11304&amp;G11304&amp;L11304</f>
        <v/>
      </c>
    </row>
    <row r="11305" customFormat="1" s="94">
      <c r="B11305" s="128" t="n">
        <v>44159</v>
      </c>
      <c r="C11305" s="94">
        <f>TEXT(B11305,"aaa")</f>
        <v/>
      </c>
      <c r="E11305" s="94" t="inlineStr">
        <is>
          <t>클리어 패드</t>
        </is>
      </c>
      <c r="F11305" s="94" t="inlineStr">
        <is>
          <t>카페24</t>
        </is>
      </c>
      <c r="G11305" s="94" t="inlineStr">
        <is>
          <t>어성초 77 클리어 패드 1개-20% off</t>
        </is>
      </c>
      <c r="H11305" s="94" t="n">
        <v>200801</v>
      </c>
      <c r="I11305" s="94" t="n">
        <v>200801</v>
      </c>
      <c r="K11305" s="6" t="n">
        <v>65</v>
      </c>
      <c r="L11305" s="94" t="n">
        <v>200801</v>
      </c>
      <c r="M11305" s="94">
        <f>VLOOKUP($Q11305,매칭테이블!$F:$I,2,0)*K11305</f>
        <v/>
      </c>
      <c r="N11305" s="94">
        <f>M11305-M11305*VLOOKUP($Q11305,매칭테이블!$F:$I,3,0)</f>
        <v/>
      </c>
      <c r="O11305" s="94">
        <f>VLOOKUP($Q11305,매칭테이블!$F:$I,4,0)*K11305</f>
        <v/>
      </c>
      <c r="P11305" s="148">
        <f>M11305/1.1</f>
        <v/>
      </c>
      <c r="Q11305" s="94">
        <f>F11305&amp;E11305&amp;G11305&amp;L11305</f>
        <v/>
      </c>
    </row>
    <row r="11306" customFormat="1" s="94">
      <c r="B11306" s="128" t="n">
        <v>44159</v>
      </c>
      <c r="C11306" s="94">
        <f>TEXT(B11306,"aaa")</f>
        <v/>
      </c>
      <c r="E11306" s="94" t="inlineStr">
        <is>
          <t>클리어 패드</t>
        </is>
      </c>
      <c r="F11306" s="94" t="inlineStr">
        <is>
          <t>카페24</t>
        </is>
      </c>
      <c r="G11306" s="94" t="inlineStr">
        <is>
          <t>어성초 77 클리어 패드 2개-30% off</t>
        </is>
      </c>
      <c r="H11306" s="94" t="n">
        <v>200801</v>
      </c>
      <c r="I11306" s="94" t="n">
        <v>200801</v>
      </c>
      <c r="K11306" s="6" t="n">
        <v>89</v>
      </c>
      <c r="L11306" s="94" t="n">
        <v>200801</v>
      </c>
      <c r="M11306" s="94">
        <f>VLOOKUP($Q11306,매칭테이블!$F:$I,2,0)*K11306</f>
        <v/>
      </c>
      <c r="N11306" s="94">
        <f>M11306-M11306*VLOOKUP($Q11306,매칭테이블!$F:$I,3,0)</f>
        <v/>
      </c>
      <c r="O11306" s="94">
        <f>VLOOKUP($Q11306,매칭테이블!$F:$I,4,0)*K11306</f>
        <v/>
      </c>
      <c r="P11306" s="148">
        <f>M11306/1.1</f>
        <v/>
      </c>
      <c r="Q11306" s="94">
        <f>F11306&amp;E11306&amp;G11306&amp;L11306</f>
        <v/>
      </c>
    </row>
    <row r="11307" customFormat="1" s="94">
      <c r="B11307" s="128" t="n">
        <v>44159</v>
      </c>
      <c r="C11307" s="94">
        <f>TEXT(B11307,"aaa")</f>
        <v/>
      </c>
      <c r="E11307" s="94" t="inlineStr">
        <is>
          <t>토너+패드 세트</t>
        </is>
      </c>
      <c r="F11307" s="94" t="inlineStr">
        <is>
          <t>카페24</t>
        </is>
      </c>
      <c r="G11307" s="94" t="inlineStr">
        <is>
          <t>좁쌀 진정 세트 토너+클리어 패드-30% off</t>
        </is>
      </c>
      <c r="H11307" s="94" t="n">
        <v>200801</v>
      </c>
      <c r="I11307" s="94" t="n">
        <v>200801</v>
      </c>
      <c r="K11307" s="6" t="n">
        <v>49</v>
      </c>
      <c r="L11307" s="94" t="n">
        <v>200801</v>
      </c>
      <c r="M11307" s="94">
        <f>VLOOKUP($Q11307,매칭테이블!$F:$I,2,0)*K11307</f>
        <v/>
      </c>
      <c r="N11307" s="94">
        <f>M11307-M11307*VLOOKUP($Q11307,매칭테이블!$F:$I,3,0)</f>
        <v/>
      </c>
      <c r="O11307" s="94">
        <f>VLOOKUP($Q11307,매칭테이블!$F:$I,4,0)*K11307</f>
        <v/>
      </c>
      <c r="P11307" s="148">
        <f>M11307/1.1</f>
        <v/>
      </c>
      <c r="Q11307" s="94">
        <f>F11307&amp;E11307&amp;G11307&amp;L11307</f>
        <v/>
      </c>
    </row>
    <row r="11308" customFormat="1" s="94">
      <c r="B11308" s="128" t="n">
        <v>44159</v>
      </c>
      <c r="C11308" s="94">
        <f>TEXT(B11308,"aaa")</f>
        <v/>
      </c>
      <c r="E11308" s="94" t="inlineStr">
        <is>
          <t>수분 보충 세트</t>
        </is>
      </c>
      <c r="F11308" s="94" t="inlineStr">
        <is>
          <t>카페24</t>
        </is>
      </c>
      <c r="G11308" s="94" t="inlineStr">
        <is>
          <t>[20/09/28 부터] 어성초 77 토너 250ml + 어성초 70 로션 200ml -30%</t>
        </is>
      </c>
      <c r="H11308" s="94" t="n">
        <v>200801</v>
      </c>
      <c r="I11308" s="94" t="n">
        <v>200801</v>
      </c>
      <c r="K11308" s="6" t="n">
        <v>32</v>
      </c>
      <c r="L11308" s="94" t="n">
        <v>200801</v>
      </c>
      <c r="M11308" s="94">
        <f>VLOOKUP($Q11308,매칭테이블!$F:$I,2,0)*K11308</f>
        <v/>
      </c>
      <c r="N11308" s="94">
        <f>M11308-M11308*VLOOKUP($Q11308,매칭테이블!$F:$I,3,0)</f>
        <v/>
      </c>
      <c r="O11308" s="94">
        <f>VLOOKUP($Q11308,매칭테이블!$F:$I,4,0)*K11308</f>
        <v/>
      </c>
      <c r="P11308" s="148">
        <f>M11308/1.1</f>
        <v/>
      </c>
      <c r="Q11308" s="94">
        <f>F11308&amp;E11308&amp;G11308&amp;L11308</f>
        <v/>
      </c>
    </row>
    <row r="11309" customFormat="1" s="94">
      <c r="B11309" s="128" t="n">
        <v>44159</v>
      </c>
      <c r="C11309" s="94">
        <f>TEXT(B11309,"aaa")</f>
        <v/>
      </c>
      <c r="E11309" s="94" t="inlineStr">
        <is>
          <t>로션</t>
        </is>
      </c>
      <c r="F11309" s="94" t="inlineStr">
        <is>
          <t>카페24</t>
        </is>
      </c>
      <c r="G11309" s="94" t="inlineStr">
        <is>
          <t>어성초 70 데일리 릴리프 로션 1개 -20% off</t>
        </is>
      </c>
      <c r="H11309" s="94" t="n">
        <v>200801</v>
      </c>
      <c r="I11309" s="94" t="n">
        <v>200801</v>
      </c>
      <c r="K11309" s="6" t="n">
        <v>7</v>
      </c>
      <c r="L11309" s="94" t="n">
        <v>200801</v>
      </c>
      <c r="M11309" s="94">
        <f>VLOOKUP($Q11309,매칭테이블!$F:$I,2,0)*K11309</f>
        <v/>
      </c>
      <c r="N11309" s="94">
        <f>M11309-M11309*VLOOKUP($Q11309,매칭테이블!$F:$I,3,0)</f>
        <v/>
      </c>
      <c r="O11309" s="94">
        <f>VLOOKUP($Q11309,매칭테이블!$F:$I,4,0)*K11309</f>
        <v/>
      </c>
      <c r="P11309" s="148">
        <f>M11309/1.1</f>
        <v/>
      </c>
      <c r="Q11309" s="94">
        <f>F11309&amp;E11309&amp;G11309&amp;L11309</f>
        <v/>
      </c>
    </row>
    <row r="11310" customFormat="1" s="94">
      <c r="B11310" s="128" t="n">
        <v>44159</v>
      </c>
      <c r="C11310" s="94">
        <f>TEXT(B11310,"aaa")</f>
        <v/>
      </c>
      <c r="E11310" s="94" t="inlineStr">
        <is>
          <t>머드크림마스크</t>
        </is>
      </c>
      <c r="F11310" s="94" t="inlineStr">
        <is>
          <t>카페24</t>
        </is>
      </c>
      <c r="G11310" s="94" t="inlineStr">
        <is>
          <t>머드크림마스크 100ml</t>
        </is>
      </c>
      <c r="H11310" s="94" t="n">
        <v>200801</v>
      </c>
      <c r="I11310" s="94" t="n">
        <v>200801</v>
      </c>
      <c r="K11310" s="6" t="n">
        <v>1</v>
      </c>
      <c r="L11310" s="94" t="n">
        <v>200801</v>
      </c>
      <c r="M11310" s="94">
        <f>VLOOKUP($Q11310,매칭테이블!$F:$I,2,0)*K11310</f>
        <v/>
      </c>
      <c r="N11310" s="94">
        <f>M11310-M11310*VLOOKUP($Q11310,매칭테이블!$F:$I,3,0)</f>
        <v/>
      </c>
      <c r="O11310" s="94">
        <f>VLOOKUP($Q11310,매칭테이블!$F:$I,4,0)*K11310</f>
        <v/>
      </c>
      <c r="P11310" s="148">
        <f>M11310/1.1</f>
        <v/>
      </c>
      <c r="Q11310" s="94">
        <f>F11310&amp;E11310&amp;G11310&amp;L11310</f>
        <v/>
      </c>
    </row>
    <row r="11311" customFormat="1" s="94">
      <c r="B11311" s="128" t="n">
        <v>44159</v>
      </c>
      <c r="C11311" s="94">
        <f>TEXT(B11311,"aaa")</f>
        <v/>
      </c>
      <c r="E11311" s="94" t="inlineStr">
        <is>
          <t>마스크팩</t>
        </is>
      </c>
      <c r="F11311" s="94" t="inlineStr">
        <is>
          <t>카페24</t>
        </is>
      </c>
      <c r="G11311" s="94" t="inlineStr">
        <is>
          <t>마스크팩 1매</t>
        </is>
      </c>
      <c r="H11311" s="94" t="n">
        <v>200801</v>
      </c>
      <c r="I11311" s="94" t="n">
        <v>200801</v>
      </c>
      <c r="K11311" s="6" t="n">
        <v>10</v>
      </c>
      <c r="L11311" s="94" t="n">
        <v>200801</v>
      </c>
      <c r="M11311" s="94">
        <f>VLOOKUP($Q11311,매칭테이블!$F:$I,2,0)*K11311</f>
        <v/>
      </c>
      <c r="N11311" s="94">
        <f>M11311-M11311*VLOOKUP($Q11311,매칭테이블!$F:$I,3,0)</f>
        <v/>
      </c>
      <c r="O11311" s="94">
        <f>VLOOKUP($Q11311,매칭테이블!$F:$I,4,0)*K11311</f>
        <v/>
      </c>
      <c r="P11311" s="148">
        <f>M11311/1.1</f>
        <v/>
      </c>
      <c r="Q11311" s="94">
        <f>F11311&amp;E11311&amp;G11311&amp;L11311</f>
        <v/>
      </c>
    </row>
    <row r="11312" customFormat="1" s="94">
      <c r="B11312" s="128" t="n">
        <v>44159</v>
      </c>
      <c r="C11312" s="94">
        <f>TEXT(B11312,"aaa")</f>
        <v/>
      </c>
      <c r="E11312" s="94" t="inlineStr">
        <is>
          <t>마스크팩</t>
        </is>
      </c>
      <c r="F11312" s="94" t="inlineStr">
        <is>
          <t>카페24</t>
        </is>
      </c>
      <c r="G11312" s="94" t="inlineStr">
        <is>
          <t>마스크팩 10매</t>
        </is>
      </c>
      <c r="H11312" s="94" t="n">
        <v>200801</v>
      </c>
      <c r="I11312" s="94" t="n">
        <v>200801</v>
      </c>
      <c r="K11312" s="6" t="n">
        <v>10</v>
      </c>
      <c r="L11312" s="94" t="n">
        <v>200801</v>
      </c>
      <c r="M11312" s="94">
        <f>VLOOKUP($Q11312,매칭테이블!$F:$I,2,0)*K11312</f>
        <v/>
      </c>
      <c r="N11312" s="94">
        <f>M11312-M11312*VLOOKUP($Q11312,매칭테이블!$F:$I,3,0)</f>
        <v/>
      </c>
      <c r="O11312" s="94">
        <f>VLOOKUP($Q11312,매칭테이블!$F:$I,4,0)*K11312</f>
        <v/>
      </c>
      <c r="P11312" s="148">
        <f>M11312/1.1</f>
        <v/>
      </c>
      <c r="Q11312" s="94">
        <f>F11312&amp;E11312&amp;G11312&amp;L11312</f>
        <v/>
      </c>
    </row>
    <row r="11313" customFormat="1" s="94">
      <c r="B11313" s="128" t="n">
        <v>44159</v>
      </c>
      <c r="C11313" s="94">
        <f>TEXT(B11313,"aaa")</f>
        <v/>
      </c>
      <c r="E11313" s="94" t="inlineStr">
        <is>
          <t>토너</t>
        </is>
      </c>
      <c r="F11313" s="94" t="inlineStr">
        <is>
          <t>카페24</t>
        </is>
      </c>
      <c r="G11313" s="94" t="inlineStr">
        <is>
          <t>250ml</t>
        </is>
      </c>
      <c r="H11313" s="94" t="n">
        <v>200801</v>
      </c>
      <c r="I11313" s="94" t="n">
        <v>200801</v>
      </c>
      <c r="K11313" s="6" t="n">
        <v>68</v>
      </c>
      <c r="L11313" s="94" t="n">
        <v>200801</v>
      </c>
      <c r="M11313" s="94">
        <f>VLOOKUP($Q11313,매칭테이블!$F:$I,2,0)*K11313</f>
        <v/>
      </c>
      <c r="N11313" s="94">
        <f>M11313-M11313*VLOOKUP($Q11313,매칭테이블!$F:$I,3,0)</f>
        <v/>
      </c>
      <c r="O11313" s="94">
        <f>VLOOKUP($Q11313,매칭테이블!$F:$I,4,0)*K11313</f>
        <v/>
      </c>
      <c r="P11313" s="148">
        <f>M11313/1.1</f>
        <v/>
      </c>
      <c r="Q11313" s="94">
        <f>F11313&amp;E11313&amp;G11313&amp;L11313</f>
        <v/>
      </c>
    </row>
    <row r="11314" customFormat="1" s="94">
      <c r="B11314" s="128" t="n">
        <v>44159</v>
      </c>
      <c r="C11314" s="94">
        <f>TEXT(B11314,"aaa")</f>
        <v/>
      </c>
      <c r="E11314" s="94" t="inlineStr">
        <is>
          <t>토너</t>
        </is>
      </c>
      <c r="F11314" s="94" t="inlineStr">
        <is>
          <t>카페24</t>
        </is>
      </c>
      <c r="G11314" s="94" t="inlineStr">
        <is>
          <t>250ml 2set</t>
        </is>
      </c>
      <c r="H11314" s="94" t="n">
        <v>200801</v>
      </c>
      <c r="I11314" s="94" t="n">
        <v>200801</v>
      </c>
      <c r="K11314" s="6" t="n">
        <v>39</v>
      </c>
      <c r="L11314" s="94" t="n">
        <v>200801</v>
      </c>
      <c r="M11314" s="94">
        <f>VLOOKUP($Q11314,매칭테이블!$F:$I,2,0)*K11314</f>
        <v/>
      </c>
      <c r="N11314" s="94">
        <f>M11314-M11314*VLOOKUP($Q11314,매칭테이블!$F:$I,3,0)</f>
        <v/>
      </c>
      <c r="O11314" s="94">
        <f>VLOOKUP($Q11314,매칭테이블!$F:$I,4,0)*K11314</f>
        <v/>
      </c>
      <c r="P11314" s="148">
        <f>M11314/1.1</f>
        <v/>
      </c>
      <c r="Q11314" s="94">
        <f>F11314&amp;E11314&amp;G11314&amp;L11314</f>
        <v/>
      </c>
    </row>
    <row r="11315" customFormat="1" s="94">
      <c r="B11315" s="128" t="n">
        <v>44159</v>
      </c>
      <c r="C11315" s="94">
        <f>TEXT(B11315,"aaa")</f>
        <v/>
      </c>
      <c r="E11315" s="94" t="inlineStr">
        <is>
          <t>토너</t>
        </is>
      </c>
      <c r="F11315" s="94" t="inlineStr">
        <is>
          <t>카페24</t>
        </is>
      </c>
      <c r="G11315" s="94" t="inlineStr">
        <is>
          <t>500ml</t>
        </is>
      </c>
      <c r="H11315" s="94" t="n">
        <v>200801</v>
      </c>
      <c r="I11315" s="94" t="n">
        <v>200801</v>
      </c>
      <c r="K11315" s="6" t="n">
        <v>27</v>
      </c>
      <c r="L11315" s="94" t="n">
        <v>200801</v>
      </c>
      <c r="M11315" s="94">
        <f>VLOOKUP($Q11315,매칭테이블!$F:$I,2,0)*K11315</f>
        <v/>
      </c>
      <c r="N11315" s="94">
        <f>M11315-M11315*VLOOKUP($Q11315,매칭테이블!$F:$I,3,0)</f>
        <v/>
      </c>
      <c r="O11315" s="94">
        <f>VLOOKUP($Q11315,매칭테이블!$F:$I,4,0)*K11315</f>
        <v/>
      </c>
      <c r="P11315" s="148">
        <f>M11315/1.1</f>
        <v/>
      </c>
      <c r="Q11315" s="94">
        <f>F11315&amp;E11315&amp;G11315&amp;L11315</f>
        <v/>
      </c>
    </row>
    <row r="11316" customFormat="1" s="94">
      <c r="B11316" s="128" t="n">
        <v>44159</v>
      </c>
      <c r="C11316" s="94">
        <f>TEXT(B11316,"aaa")</f>
        <v/>
      </c>
      <c r="E11316" s="94" t="inlineStr">
        <is>
          <t>토너</t>
        </is>
      </c>
      <c r="F11316" s="94" t="inlineStr">
        <is>
          <t>카페24</t>
        </is>
      </c>
      <c r="G11316" s="94" t="inlineStr">
        <is>
          <t>스킨팩 화장솜 60P</t>
        </is>
      </c>
      <c r="H11316" s="94" t="n">
        <v>200801</v>
      </c>
      <c r="I11316" s="94" t="n">
        <v>200801</v>
      </c>
      <c r="K11316" s="6" t="n">
        <v>61</v>
      </c>
      <c r="L11316" s="94" t="n">
        <v>200801</v>
      </c>
      <c r="M11316" s="94">
        <f>VLOOKUP($Q11316,매칭테이블!$F:$I,2,0)*K11316</f>
        <v/>
      </c>
      <c r="N11316" s="94">
        <f>M11316-M11316*VLOOKUP($Q11316,매칭테이블!$F:$I,3,0)</f>
        <v/>
      </c>
      <c r="O11316" s="94">
        <f>VLOOKUP($Q11316,매칭테이블!$F:$I,4,0)*K11316</f>
        <v/>
      </c>
      <c r="P11316" s="148">
        <f>M11316/1.1</f>
        <v/>
      </c>
      <c r="Q11316" s="94">
        <f>F11316&amp;E11316&amp;G11316&amp;L11316</f>
        <v/>
      </c>
    </row>
    <row r="11317" customFormat="1" s="94">
      <c r="B11317" s="128" t="n">
        <v>44159</v>
      </c>
      <c r="C11317" s="94">
        <f>TEXT(B11317,"aaa")</f>
        <v/>
      </c>
      <c r="E11317" s="94" t="inlineStr">
        <is>
          <t>앰플</t>
        </is>
      </c>
      <c r="F11317" s="94" t="inlineStr">
        <is>
          <t>카페24</t>
        </is>
      </c>
      <c r="G11317" s="94" t="inlineStr">
        <is>
          <t>앰플 30ml</t>
        </is>
      </c>
      <c r="H11317" s="94" t="n">
        <v>200801</v>
      </c>
      <c r="I11317" s="94" t="n">
        <v>200801</v>
      </c>
      <c r="K11317" s="6" t="n">
        <v>25</v>
      </c>
      <c r="L11317" s="94" t="n">
        <v>200801</v>
      </c>
      <c r="M11317" s="94">
        <f>VLOOKUP($Q11317,매칭테이블!$F:$I,2,0)*K11317</f>
        <v/>
      </c>
      <c r="N11317" s="94">
        <f>M11317-M11317*VLOOKUP($Q11317,매칭테이블!$F:$I,3,0)</f>
        <v/>
      </c>
      <c r="O11317" s="94">
        <f>VLOOKUP($Q11317,매칭테이블!$F:$I,4,0)*K11317</f>
        <v/>
      </c>
      <c r="P11317" s="148">
        <f>M11317/1.1</f>
        <v/>
      </c>
      <c r="Q11317" s="94">
        <f>F11317&amp;E11317&amp;G11317&amp;L11317</f>
        <v/>
      </c>
    </row>
    <row r="11318" customFormat="1" s="94">
      <c r="B11318" s="128" t="n">
        <v>44159</v>
      </c>
      <c r="C11318" s="94">
        <f>TEXT(B11318,"aaa")</f>
        <v/>
      </c>
      <c r="E11318" s="94" t="inlineStr">
        <is>
          <t>앰플</t>
        </is>
      </c>
      <c r="F11318" s="94" t="inlineStr">
        <is>
          <t>카페24</t>
        </is>
      </c>
      <c r="G11318" s="94" t="inlineStr">
        <is>
          <t>앰플 30ml  2set</t>
        </is>
      </c>
      <c r="H11318" s="94" t="n">
        <v>200801</v>
      </c>
      <c r="I11318" s="94" t="n">
        <v>200801</v>
      </c>
      <c r="K11318" s="6" t="n">
        <v>9</v>
      </c>
      <c r="L11318" s="94" t="n">
        <v>200801</v>
      </c>
      <c r="M11318" s="94">
        <f>VLOOKUP($Q11318,매칭테이블!$F:$I,2,0)*K11318</f>
        <v/>
      </c>
      <c r="N11318" s="94">
        <f>M11318-M11318*VLOOKUP($Q11318,매칭테이블!$F:$I,3,0)</f>
        <v/>
      </c>
      <c r="O11318" s="94">
        <f>VLOOKUP($Q11318,매칭테이블!$F:$I,4,0)*K11318</f>
        <v/>
      </c>
      <c r="P11318" s="148">
        <f>M11318/1.1</f>
        <v/>
      </c>
      <c r="Q11318" s="94">
        <f>F11318&amp;E11318&amp;G11318&amp;L11318</f>
        <v/>
      </c>
    </row>
    <row r="11319" customFormat="1" s="94">
      <c r="B11319" s="128" t="n">
        <v>44159</v>
      </c>
      <c r="C11319" s="94">
        <f>TEXT(B11319,"aaa")</f>
        <v/>
      </c>
      <c r="E11319" s="94" t="inlineStr">
        <is>
          <t>수딩크림</t>
        </is>
      </c>
      <c r="F11319" s="94" t="inlineStr">
        <is>
          <t>카페24</t>
        </is>
      </c>
      <c r="G11319" s="94" t="inlineStr">
        <is>
          <t>수딩크림 100ml</t>
        </is>
      </c>
      <c r="H11319" s="94" t="n">
        <v>200801</v>
      </c>
      <c r="I11319" s="94" t="n">
        <v>200801</v>
      </c>
      <c r="K11319" s="6" t="n">
        <v>8</v>
      </c>
      <c r="L11319" s="94" t="n">
        <v>200801</v>
      </c>
      <c r="M11319" s="94">
        <f>VLOOKUP($Q11319,매칭테이블!$F:$I,2,0)*K11319</f>
        <v/>
      </c>
      <c r="N11319" s="94">
        <f>M11319-M11319*VLOOKUP($Q11319,매칭테이블!$F:$I,3,0)</f>
        <v/>
      </c>
      <c r="O11319" s="94">
        <f>VLOOKUP($Q11319,매칭테이블!$F:$I,4,0)*K11319</f>
        <v/>
      </c>
      <c r="P11319" s="148">
        <f>M11319/1.1</f>
        <v/>
      </c>
      <c r="Q11319" s="94">
        <f>F11319&amp;E11319&amp;G11319&amp;L11319</f>
        <v/>
      </c>
    </row>
    <row r="11320" customFormat="1" s="94">
      <c r="B11320" s="128" t="n">
        <v>44159</v>
      </c>
      <c r="C11320" s="94">
        <f>TEXT(B11320,"aaa")</f>
        <v/>
      </c>
      <c r="E11320" s="94" t="inlineStr">
        <is>
          <t>클렌징폼</t>
        </is>
      </c>
      <c r="F11320" s="94" t="inlineStr">
        <is>
          <t>카페24</t>
        </is>
      </c>
      <c r="G11320" s="94" t="inlineStr">
        <is>
          <t>클렌징폼 120ml</t>
        </is>
      </c>
      <c r="H11320" s="94" t="n">
        <v>200801</v>
      </c>
      <c r="I11320" s="94" t="n">
        <v>200801</v>
      </c>
      <c r="K11320" s="6" t="n">
        <v>16</v>
      </c>
      <c r="L11320" s="94" t="n">
        <v>200801</v>
      </c>
      <c r="M11320" s="94">
        <f>VLOOKUP($Q11320,매칭테이블!$F:$I,2,0)*K11320</f>
        <v/>
      </c>
      <c r="N11320" s="94">
        <f>M11320-M11320*VLOOKUP($Q11320,매칭테이블!$F:$I,3,0)</f>
        <v/>
      </c>
      <c r="O11320" s="94">
        <f>VLOOKUP($Q11320,매칭테이블!$F:$I,4,0)*K11320</f>
        <v/>
      </c>
      <c r="P11320" s="148">
        <f>M11320/1.1</f>
        <v/>
      </c>
      <c r="Q11320" s="94">
        <f>F11320&amp;E11320&amp;G11320&amp;L11320</f>
        <v/>
      </c>
    </row>
    <row r="11321" customFormat="1" s="94">
      <c r="B11321" s="128" t="n">
        <v>44159</v>
      </c>
      <c r="C11321" s="94">
        <f>TEXT(B11321,"aaa")</f>
        <v/>
      </c>
      <c r="E11321" s="94" t="inlineStr">
        <is>
          <t>클렌징폼</t>
        </is>
      </c>
      <c r="F11321" s="94" t="inlineStr">
        <is>
          <t>카페24</t>
        </is>
      </c>
      <c r="G11321" s="94" t="inlineStr">
        <is>
          <t>클렌징폼 120ml 2set</t>
        </is>
      </c>
      <c r="H11321" s="94" t="n">
        <v>200801</v>
      </c>
      <c r="I11321" s="94" t="n">
        <v>200801</v>
      </c>
      <c r="K11321" s="6" t="n">
        <v>6</v>
      </c>
      <c r="L11321" s="94" t="n">
        <v>200801</v>
      </c>
      <c r="M11321" s="94">
        <f>VLOOKUP($Q11321,매칭테이블!$F:$I,2,0)*K11321</f>
        <v/>
      </c>
      <c r="N11321" s="94">
        <f>M11321-M11321*VLOOKUP($Q11321,매칭테이블!$F:$I,3,0)</f>
        <v/>
      </c>
      <c r="O11321" s="94">
        <f>VLOOKUP($Q11321,매칭테이블!$F:$I,4,0)*K11321</f>
        <v/>
      </c>
      <c r="P11321" s="148">
        <f>M11321/1.1</f>
        <v/>
      </c>
      <c r="Q11321" s="94">
        <f>F11321&amp;E11321&amp;G11321&amp;L11321</f>
        <v/>
      </c>
    </row>
    <row r="11322" customFormat="1" s="94">
      <c r="B11322" s="128" t="n">
        <v>44159</v>
      </c>
      <c r="C11322" s="94">
        <f>TEXT(B11322,"aaa")</f>
        <v/>
      </c>
      <c r="E11322" s="94" t="inlineStr">
        <is>
          <t>클렌징폼</t>
        </is>
      </c>
      <c r="F11322" s="94" t="inlineStr">
        <is>
          <t>카페24</t>
        </is>
      </c>
      <c r="G11322" s="94" t="inlineStr">
        <is>
          <t>클렌징폼 120ml 3set</t>
        </is>
      </c>
      <c r="H11322" s="94" t="n">
        <v>200801</v>
      </c>
      <c r="I11322" s="94" t="n">
        <v>200801</v>
      </c>
      <c r="K11322" s="6" t="n">
        <v>1</v>
      </c>
      <c r="L11322" s="94" t="n">
        <v>200801</v>
      </c>
      <c r="M11322" s="94">
        <f>VLOOKUP($Q11322,매칭테이블!$F:$I,2,0)*K11322</f>
        <v/>
      </c>
      <c r="N11322" s="94">
        <f>M11322-M11322*VLOOKUP($Q11322,매칭테이블!$F:$I,3,0)</f>
        <v/>
      </c>
      <c r="O11322" s="94">
        <f>VLOOKUP($Q11322,매칭테이블!$F:$I,4,0)*K11322</f>
        <v/>
      </c>
      <c r="P11322" s="148">
        <f>M11322/1.1</f>
        <v/>
      </c>
      <c r="Q11322" s="94">
        <f>F11322&amp;E11322&amp;G11322&amp;L11322</f>
        <v/>
      </c>
    </row>
    <row r="11323" customFormat="1" s="94">
      <c r="B11323" s="128" t="n">
        <v>44159</v>
      </c>
      <c r="C11323" s="94">
        <f>TEXT(B11323,"aaa")</f>
        <v/>
      </c>
      <c r="E11323" s="94" t="inlineStr">
        <is>
          <t>바디워시</t>
        </is>
      </c>
      <c r="F11323" s="94" t="inlineStr">
        <is>
          <t>카페24</t>
        </is>
      </c>
      <c r="G11323" s="94" t="inlineStr">
        <is>
          <t>바디워시 1개 -30% off</t>
        </is>
      </c>
      <c r="H11323" s="94" t="n">
        <v>200801</v>
      </c>
      <c r="I11323" s="94" t="n">
        <v>200801</v>
      </c>
      <c r="K11323" s="6" t="n">
        <v>3</v>
      </c>
      <c r="L11323" s="94" t="n">
        <v>200801</v>
      </c>
      <c r="M11323" s="94">
        <f>VLOOKUP($Q11323,매칭테이블!$F:$I,2,0)*K11323</f>
        <v/>
      </c>
      <c r="N11323" s="94">
        <f>M11323-M11323*VLOOKUP($Q11323,매칭테이블!$F:$I,3,0)</f>
        <v/>
      </c>
      <c r="O11323" s="94">
        <f>VLOOKUP($Q11323,매칭테이블!$F:$I,4,0)*K11323</f>
        <v/>
      </c>
      <c r="P11323" s="148">
        <f>M11323/1.1</f>
        <v/>
      </c>
      <c r="Q11323" s="94">
        <f>F11323&amp;E11323&amp;G11323&amp;L11323</f>
        <v/>
      </c>
    </row>
    <row r="11324" customFormat="1" s="94">
      <c r="B11324" s="128" t="n">
        <v>44159</v>
      </c>
      <c r="C11324" s="94">
        <f>TEXT(B11324,"aaa")</f>
        <v/>
      </c>
      <c r="E11324" s="94" t="inlineStr">
        <is>
          <t>토너</t>
        </is>
      </c>
      <c r="F11324" s="94" t="inlineStr">
        <is>
          <t>화해</t>
        </is>
      </c>
      <c r="G11324" s="94" t="inlineStr">
        <is>
          <t>250ml</t>
        </is>
      </c>
      <c r="H11324" s="94" t="n">
        <v>200801</v>
      </c>
      <c r="I11324" s="94" t="n">
        <v>200801</v>
      </c>
      <c r="K11324" s="6" t="n">
        <v>1</v>
      </c>
      <c r="L11324" s="94" t="n">
        <v>200801</v>
      </c>
      <c r="M11324" s="94">
        <f>VLOOKUP($Q11324,매칭테이블!$F:$I,2,0)*K11324</f>
        <v/>
      </c>
      <c r="N11324" s="94">
        <f>M11324-M11324*VLOOKUP($Q11324,매칭테이블!$F:$I,3,0)</f>
        <v/>
      </c>
      <c r="O11324" s="94">
        <f>VLOOKUP($Q11324,매칭테이블!$F:$I,4,0)*K11324</f>
        <v/>
      </c>
      <c r="P11324" s="148">
        <f>M11324/1.1</f>
        <v/>
      </c>
      <c r="Q11324" s="94">
        <f>F11324&amp;E11324&amp;G11324&amp;L11324</f>
        <v/>
      </c>
    </row>
    <row r="11325" customFormat="1" s="94">
      <c r="B11325" s="128" t="n">
        <v>44159</v>
      </c>
      <c r="C11325" s="94">
        <f>TEXT(B11325,"aaa")</f>
        <v/>
      </c>
      <c r="E11325" s="94" t="inlineStr">
        <is>
          <t>수딩크림</t>
        </is>
      </c>
      <c r="F11325" s="94" t="inlineStr">
        <is>
          <t>화해</t>
        </is>
      </c>
      <c r="G11325" s="94" t="inlineStr">
        <is>
          <t>수딩크림 100ml</t>
        </is>
      </c>
      <c r="H11325" s="94" t="n">
        <v>200801</v>
      </c>
      <c r="I11325" s="94" t="n">
        <v>200801</v>
      </c>
      <c r="K11325" s="6" t="n">
        <v>1</v>
      </c>
      <c r="L11325" s="94" t="n">
        <v>200801</v>
      </c>
      <c r="M11325" s="94">
        <f>VLOOKUP($Q11325,매칭테이블!$F:$I,2,0)*K11325</f>
        <v/>
      </c>
      <c r="N11325" s="94">
        <f>M11325-M11325*VLOOKUP($Q11325,매칭테이블!$F:$I,3,0)</f>
        <v/>
      </c>
      <c r="O11325" s="94">
        <f>VLOOKUP($Q11325,매칭테이블!$F:$I,4,0)*K11325</f>
        <v/>
      </c>
      <c r="P11325" s="148">
        <f>M11325/1.1</f>
        <v/>
      </c>
      <c r="Q11325" s="94">
        <f>F11325&amp;E11325&amp;G11325&amp;L11325</f>
        <v/>
      </c>
    </row>
    <row r="11326" customFormat="1" s="94">
      <c r="B11326" s="128" t="n">
        <v>44160</v>
      </c>
      <c r="C11326" s="94">
        <f>TEXT(B11326,"aaa")</f>
        <v/>
      </c>
      <c r="E11326" s="94" t="inlineStr">
        <is>
          <t>토너</t>
        </is>
      </c>
      <c r="F11326" s="94" t="inlineStr">
        <is>
          <t>W컨셉</t>
        </is>
      </c>
      <c r="G11326" s="94" t="inlineStr">
        <is>
          <t>250ml</t>
        </is>
      </c>
      <c r="H11326" s="94" t="n">
        <v>200801</v>
      </c>
      <c r="I11326" s="94" t="n">
        <v>200801</v>
      </c>
      <c r="K11326" s="6" t="n">
        <v>2</v>
      </c>
      <c r="L11326" s="94" t="n">
        <v>200801</v>
      </c>
      <c r="M11326" s="94">
        <f>VLOOKUP($Q11326,매칭테이블!$F:$I,2,0)*K11326</f>
        <v/>
      </c>
      <c r="N11326" s="94">
        <f>M11326-M11326*VLOOKUP($Q11326,매칭테이블!$F:$I,3,0)</f>
        <v/>
      </c>
      <c r="O11326" s="94">
        <f>VLOOKUP($Q11326,매칭테이블!$F:$I,4,0)*K11326</f>
        <v/>
      </c>
      <c r="P11326" s="148">
        <f>M11326/1.1</f>
        <v/>
      </c>
      <c r="Q11326" s="94">
        <f>F11326&amp;E11326&amp;G11326&amp;L11326</f>
        <v/>
      </c>
    </row>
    <row r="11327" customFormat="1" s="94">
      <c r="B11327" s="128" t="n">
        <v>44160</v>
      </c>
      <c r="C11327" s="94">
        <f>TEXT(B11327,"aaa")</f>
        <v/>
      </c>
      <c r="E11327" s="94" t="inlineStr">
        <is>
          <t>토너</t>
        </is>
      </c>
      <c r="F11327" s="94" t="inlineStr">
        <is>
          <t>W컨셉</t>
        </is>
      </c>
      <c r="G11327" s="94" t="inlineStr">
        <is>
          <t>250ml 2set</t>
        </is>
      </c>
      <c r="H11327" s="94" t="n">
        <v>200801</v>
      </c>
      <c r="I11327" s="94" t="n">
        <v>200801</v>
      </c>
      <c r="K11327" s="6" t="n">
        <v>10</v>
      </c>
      <c r="L11327" s="94" t="n">
        <v>200801</v>
      </c>
      <c r="M11327" s="94">
        <f>VLOOKUP($Q11327,매칭테이블!$F:$I,2,0)*K11327</f>
        <v/>
      </c>
      <c r="N11327" s="94">
        <f>M11327-M11327*VLOOKUP($Q11327,매칭테이블!$F:$I,3,0)</f>
        <v/>
      </c>
      <c r="O11327" s="94">
        <f>VLOOKUP($Q11327,매칭테이블!$F:$I,4,0)*K11327</f>
        <v/>
      </c>
      <c r="P11327" s="148">
        <f>M11327/1.1</f>
        <v/>
      </c>
      <c r="Q11327" s="94">
        <f>F11327&amp;E11327&amp;G11327&amp;L11327</f>
        <v/>
      </c>
    </row>
    <row r="11328" customFormat="1" s="94">
      <c r="B11328" s="128" t="n">
        <v>44160</v>
      </c>
      <c r="C11328" s="94">
        <f>TEXT(B11328,"aaa")</f>
        <v/>
      </c>
      <c r="E11328" s="94" t="inlineStr">
        <is>
          <t>토너</t>
        </is>
      </c>
      <c r="F11328" s="94" t="inlineStr">
        <is>
          <t>스타일쉐어</t>
        </is>
      </c>
      <c r="G11328" s="94" t="inlineStr">
        <is>
          <t>250ml</t>
        </is>
      </c>
      <c r="H11328" s="94" t="n">
        <v>200801</v>
      </c>
      <c r="I11328" s="94" t="n">
        <v>200801</v>
      </c>
      <c r="K11328" s="6" t="n">
        <v>3</v>
      </c>
      <c r="L11328" s="94" t="n">
        <v>200801</v>
      </c>
      <c r="M11328" s="94">
        <f>VLOOKUP($Q11328,매칭테이블!$F:$I,2,0)*K11328</f>
        <v/>
      </c>
      <c r="N11328" s="94">
        <f>M11328-M11328*VLOOKUP($Q11328,매칭테이블!$F:$I,3,0)</f>
        <v/>
      </c>
      <c r="O11328" s="94">
        <f>VLOOKUP($Q11328,매칭테이블!$F:$I,4,0)*K11328</f>
        <v/>
      </c>
      <c r="P11328" s="148">
        <f>M11328/1.1</f>
        <v/>
      </c>
      <c r="Q11328" s="94">
        <f>F11328&amp;E11328&amp;G11328&amp;L11328</f>
        <v/>
      </c>
    </row>
    <row r="11329" customFormat="1" s="94">
      <c r="B11329" s="128" t="n">
        <v>44160</v>
      </c>
      <c r="C11329" s="94">
        <f>TEXT(B11329,"aaa")</f>
        <v/>
      </c>
      <c r="E11329" s="94" t="inlineStr">
        <is>
          <t>선크림</t>
        </is>
      </c>
      <c r="F11329" s="94" t="inlineStr">
        <is>
          <t>카페24</t>
        </is>
      </c>
      <c r="G11329" s="94" t="inlineStr">
        <is>
          <t>선크림 50ml</t>
        </is>
      </c>
      <c r="H11329" s="94" t="n">
        <v>200801</v>
      </c>
      <c r="I11329" s="94" t="n">
        <v>200801</v>
      </c>
      <c r="K11329" s="6" t="n">
        <v>2</v>
      </c>
      <c r="L11329" s="94" t="n">
        <v>200801</v>
      </c>
      <c r="M11329" s="94">
        <f>VLOOKUP($Q11329,매칭테이블!$F:$I,2,0)*K11329</f>
        <v/>
      </c>
      <c r="N11329" s="94">
        <f>M11329-M11329*VLOOKUP($Q11329,매칭테이블!$F:$I,3,0)</f>
        <v/>
      </c>
      <c r="O11329" s="94">
        <f>VLOOKUP($Q11329,매칭테이블!$F:$I,4,0)*K11329</f>
        <v/>
      </c>
      <c r="P11329" s="148">
        <f>M11329/1.1</f>
        <v/>
      </c>
      <c r="Q11329" s="94">
        <f>F11329&amp;E11329&amp;G11329&amp;L11329</f>
        <v/>
      </c>
    </row>
    <row r="11330" customFormat="1" s="94">
      <c r="B11330" s="128" t="n">
        <v>44160</v>
      </c>
      <c r="C11330" s="94">
        <f>TEXT(B11330,"aaa")</f>
        <v/>
      </c>
      <c r="E11330" s="94" t="inlineStr">
        <is>
          <t>카밍크림</t>
        </is>
      </c>
      <c r="F11330" s="94" t="inlineStr">
        <is>
          <t>카페24</t>
        </is>
      </c>
      <c r="G11330" s="94" t="inlineStr">
        <is>
          <t>크림=어성초 토너 250ml + 카밍 크림 50ml (-30%)</t>
        </is>
      </c>
      <c r="H11330" s="94" t="n">
        <v>200801</v>
      </c>
      <c r="I11330" s="94" t="n">
        <v>200801</v>
      </c>
      <c r="K11330" s="6" t="n">
        <v>1</v>
      </c>
      <c r="L11330" s="94" t="n">
        <v>200801</v>
      </c>
      <c r="M11330" s="94">
        <f>VLOOKUP($Q11330,매칭테이블!$F:$I,2,0)*K11330</f>
        <v/>
      </c>
      <c r="N11330" s="94">
        <f>M11330-M11330*VLOOKUP($Q11330,매칭테이블!$F:$I,3,0)</f>
        <v/>
      </c>
      <c r="O11330" s="94">
        <f>VLOOKUP($Q11330,매칭테이블!$F:$I,4,0)*K11330</f>
        <v/>
      </c>
      <c r="P11330" s="148">
        <f>M11330/1.1</f>
        <v/>
      </c>
      <c r="Q11330" s="94">
        <f>F11330&amp;E11330&amp;G11330&amp;L11330</f>
        <v/>
      </c>
    </row>
    <row r="11331" customFormat="1" s="94">
      <c r="B11331" s="128" t="n">
        <v>44160</v>
      </c>
      <c r="C11331" s="94">
        <f>TEXT(B11331,"aaa")</f>
        <v/>
      </c>
      <c r="E11331" s="94" t="inlineStr">
        <is>
          <t>어성초진정패키지</t>
        </is>
      </c>
      <c r="F11331" s="94" t="inlineStr">
        <is>
          <t>카페24</t>
        </is>
      </c>
      <c r="G11331" s="94" t="inlineStr">
        <is>
          <t>어성초 진정패키지세트</t>
        </is>
      </c>
      <c r="H11331" s="94" t="n">
        <v>200801</v>
      </c>
      <c r="I11331" s="94" t="n">
        <v>200801</v>
      </c>
      <c r="K11331" s="6" t="n">
        <v>5</v>
      </c>
      <c r="L11331" s="94" t="n">
        <v>200801</v>
      </c>
      <c r="M11331" s="94">
        <f>VLOOKUP($Q11331,매칭테이블!$F:$I,2,0)*K11331</f>
        <v/>
      </c>
      <c r="N11331" s="94">
        <f>M11331-M11331*VLOOKUP($Q11331,매칭테이블!$F:$I,3,0)</f>
        <v/>
      </c>
      <c r="O11331" s="94">
        <f>VLOOKUP($Q11331,매칭테이블!$F:$I,4,0)*K11331</f>
        <v/>
      </c>
      <c r="P11331" s="148">
        <f>M11331/1.1</f>
        <v/>
      </c>
      <c r="Q11331" s="94">
        <f>F11331&amp;E11331&amp;G11331&amp;L11331</f>
        <v/>
      </c>
    </row>
    <row r="11332" customFormat="1" s="94">
      <c r="B11332" s="128" t="n">
        <v>44160</v>
      </c>
      <c r="C11332" s="94">
        <f>TEXT(B11332,"aaa")</f>
        <v/>
      </c>
      <c r="E11332" s="94" t="inlineStr">
        <is>
          <t>클리어 패드</t>
        </is>
      </c>
      <c r="F11332" s="94" t="inlineStr">
        <is>
          <t>카페24</t>
        </is>
      </c>
      <c r="G11332" s="94" t="inlineStr">
        <is>
          <t>어성초 77 클리어 패드 1개-20% off</t>
        </is>
      </c>
      <c r="H11332" s="94" t="n">
        <v>200801</v>
      </c>
      <c r="I11332" s="94" t="n">
        <v>200801</v>
      </c>
      <c r="K11332" s="6" t="n">
        <v>68</v>
      </c>
      <c r="L11332" s="94" t="n">
        <v>200801</v>
      </c>
      <c r="M11332" s="94">
        <f>VLOOKUP($Q11332,매칭테이블!$F:$I,2,0)*K11332</f>
        <v/>
      </c>
      <c r="N11332" s="94">
        <f>M11332-M11332*VLOOKUP($Q11332,매칭테이블!$F:$I,3,0)</f>
        <v/>
      </c>
      <c r="O11332" s="94">
        <f>VLOOKUP($Q11332,매칭테이블!$F:$I,4,0)*K11332</f>
        <v/>
      </c>
      <c r="P11332" s="148">
        <f>M11332/1.1</f>
        <v/>
      </c>
      <c r="Q11332" s="94">
        <f>F11332&amp;E11332&amp;G11332&amp;L11332</f>
        <v/>
      </c>
    </row>
    <row r="11333" customFormat="1" s="94">
      <c r="B11333" s="128" t="n">
        <v>44160</v>
      </c>
      <c r="C11333" s="94">
        <f>TEXT(B11333,"aaa")</f>
        <v/>
      </c>
      <c r="E11333" s="94" t="inlineStr">
        <is>
          <t>클리어 패드</t>
        </is>
      </c>
      <c r="F11333" s="94" t="inlineStr">
        <is>
          <t>카페24</t>
        </is>
      </c>
      <c r="G11333" s="94" t="inlineStr">
        <is>
          <t>어성초 77 클리어 패드 2개-30% off</t>
        </is>
      </c>
      <c r="H11333" s="94" t="n">
        <v>200801</v>
      </c>
      <c r="I11333" s="94" t="n">
        <v>200801</v>
      </c>
      <c r="K11333" s="6" t="n">
        <v>72</v>
      </c>
      <c r="L11333" s="94" t="n">
        <v>200801</v>
      </c>
      <c r="M11333" s="94">
        <f>VLOOKUP($Q11333,매칭테이블!$F:$I,2,0)*K11333</f>
        <v/>
      </c>
      <c r="N11333" s="94">
        <f>M11333-M11333*VLOOKUP($Q11333,매칭테이블!$F:$I,3,0)</f>
        <v/>
      </c>
      <c r="O11333" s="94">
        <f>VLOOKUP($Q11333,매칭테이블!$F:$I,4,0)*K11333</f>
        <v/>
      </c>
      <c r="P11333" s="148">
        <f>M11333/1.1</f>
        <v/>
      </c>
      <c r="Q11333" s="94">
        <f>F11333&amp;E11333&amp;G11333&amp;L11333</f>
        <v/>
      </c>
    </row>
    <row r="11334" customFormat="1" s="94">
      <c r="B11334" s="128" t="n">
        <v>44160</v>
      </c>
      <c r="C11334" s="94">
        <f>TEXT(B11334,"aaa")</f>
        <v/>
      </c>
      <c r="E11334" s="94" t="inlineStr">
        <is>
          <t>토너+패드 세트</t>
        </is>
      </c>
      <c r="F11334" s="94" t="inlineStr">
        <is>
          <t>카페24</t>
        </is>
      </c>
      <c r="G11334" s="94" t="inlineStr">
        <is>
          <t>좁쌀 진정 세트 토너+클리어 패드-30% off</t>
        </is>
      </c>
      <c r="H11334" s="94" t="n">
        <v>200801</v>
      </c>
      <c r="I11334" s="94" t="n">
        <v>200801</v>
      </c>
      <c r="K11334" s="6" t="n">
        <v>56</v>
      </c>
      <c r="L11334" s="94" t="n">
        <v>200801</v>
      </c>
      <c r="M11334" s="94">
        <f>VLOOKUP($Q11334,매칭테이블!$F:$I,2,0)*K11334</f>
        <v/>
      </c>
      <c r="N11334" s="94">
        <f>M11334-M11334*VLOOKUP($Q11334,매칭테이블!$F:$I,3,0)</f>
        <v/>
      </c>
      <c r="O11334" s="94">
        <f>VLOOKUP($Q11334,매칭테이블!$F:$I,4,0)*K11334</f>
        <v/>
      </c>
      <c r="P11334" s="148">
        <f>M11334/1.1</f>
        <v/>
      </c>
      <c r="Q11334" s="94">
        <f>F11334&amp;E11334&amp;G11334&amp;L11334</f>
        <v/>
      </c>
    </row>
    <row r="11335" customFormat="1" s="94">
      <c r="B11335" s="128" t="n">
        <v>44160</v>
      </c>
      <c r="C11335" s="94">
        <f>TEXT(B11335,"aaa")</f>
        <v/>
      </c>
      <c r="E11335" s="94" t="inlineStr">
        <is>
          <t>수분 보충 세트</t>
        </is>
      </c>
      <c r="F11335" s="94" t="inlineStr">
        <is>
          <t>카페24</t>
        </is>
      </c>
      <c r="G11335" s="94" t="inlineStr">
        <is>
          <t>[20/09/28 부터] 어성초 77 토너 250ml + 어성초 70 로션 200ml -30%</t>
        </is>
      </c>
      <c r="H11335" s="94" t="n">
        <v>200801</v>
      </c>
      <c r="I11335" s="94" t="n">
        <v>200801</v>
      </c>
      <c r="K11335" s="6" t="n">
        <v>34</v>
      </c>
      <c r="L11335" s="94" t="n">
        <v>200801</v>
      </c>
      <c r="M11335" s="94">
        <f>VLOOKUP($Q11335,매칭테이블!$F:$I,2,0)*K11335</f>
        <v/>
      </c>
      <c r="N11335" s="94">
        <f>M11335-M11335*VLOOKUP($Q11335,매칭테이블!$F:$I,3,0)</f>
        <v/>
      </c>
      <c r="O11335" s="94">
        <f>VLOOKUP($Q11335,매칭테이블!$F:$I,4,0)*K11335</f>
        <v/>
      </c>
      <c r="P11335" s="148">
        <f>M11335/1.1</f>
        <v/>
      </c>
      <c r="Q11335" s="94">
        <f>F11335&amp;E11335&amp;G11335&amp;L11335</f>
        <v/>
      </c>
    </row>
    <row r="11336" customFormat="1" s="94">
      <c r="B11336" s="128" t="n">
        <v>44160</v>
      </c>
      <c r="C11336" s="94">
        <f>TEXT(B11336,"aaa")</f>
        <v/>
      </c>
      <c r="E11336" s="94" t="inlineStr">
        <is>
          <t>로션</t>
        </is>
      </c>
      <c r="F11336" s="94" t="inlineStr">
        <is>
          <t>카페24</t>
        </is>
      </c>
      <c r="G11336" s="94" t="inlineStr">
        <is>
          <t>어성초 70 데일리 릴리프 로션 1개 -20% off</t>
        </is>
      </c>
      <c r="H11336" s="94" t="n">
        <v>200801</v>
      </c>
      <c r="I11336" s="94" t="n">
        <v>200801</v>
      </c>
      <c r="K11336" s="6" t="n">
        <v>9</v>
      </c>
      <c r="L11336" s="94" t="n">
        <v>200801</v>
      </c>
      <c r="M11336" s="94">
        <f>VLOOKUP($Q11336,매칭테이블!$F:$I,2,0)*K11336</f>
        <v/>
      </c>
      <c r="N11336" s="94">
        <f>M11336-M11336*VLOOKUP($Q11336,매칭테이블!$F:$I,3,0)</f>
        <v/>
      </c>
      <c r="O11336" s="94">
        <f>VLOOKUP($Q11336,매칭테이블!$F:$I,4,0)*K11336</f>
        <v/>
      </c>
      <c r="P11336" s="148">
        <f>M11336/1.1</f>
        <v/>
      </c>
      <c r="Q11336" s="94">
        <f>F11336&amp;E11336&amp;G11336&amp;L11336</f>
        <v/>
      </c>
    </row>
    <row r="11337" customFormat="1" s="94">
      <c r="B11337" s="128" t="n">
        <v>44160</v>
      </c>
      <c r="C11337" s="94">
        <f>TEXT(B11337,"aaa")</f>
        <v/>
      </c>
      <c r="E11337" s="94" t="inlineStr">
        <is>
          <t>로션</t>
        </is>
      </c>
      <c r="F11337" s="94" t="inlineStr">
        <is>
          <t>카페24</t>
        </is>
      </c>
      <c r="G11337" s="94" t="inlineStr">
        <is>
          <t>어성초 70 데일리 릴리프 로션 2개 -30% off</t>
        </is>
      </c>
      <c r="H11337" s="94" t="n">
        <v>200801</v>
      </c>
      <c r="I11337" s="94" t="n">
        <v>200801</v>
      </c>
      <c r="K11337" s="6" t="n">
        <v>4</v>
      </c>
      <c r="L11337" s="94" t="n">
        <v>200801</v>
      </c>
      <c r="M11337" s="94">
        <f>VLOOKUP($Q11337,매칭테이블!$F:$I,2,0)*K11337</f>
        <v/>
      </c>
      <c r="N11337" s="94">
        <f>M11337-M11337*VLOOKUP($Q11337,매칭테이블!$F:$I,3,0)</f>
        <v/>
      </c>
      <c r="O11337" s="94">
        <f>VLOOKUP($Q11337,매칭테이블!$F:$I,4,0)*K11337</f>
        <v/>
      </c>
      <c r="P11337" s="148">
        <f>M11337/1.1</f>
        <v/>
      </c>
      <c r="Q11337" s="94">
        <f>F11337&amp;E11337&amp;G11337&amp;L11337</f>
        <v/>
      </c>
    </row>
    <row r="11338" customFormat="1" s="94">
      <c r="B11338" s="128" t="n">
        <v>44160</v>
      </c>
      <c r="C11338" s="94">
        <f>TEXT(B11338,"aaa")</f>
        <v/>
      </c>
      <c r="E11338" s="94" t="inlineStr">
        <is>
          <t>머드크림마스크</t>
        </is>
      </c>
      <c r="F11338" s="94" t="inlineStr">
        <is>
          <t>카페24</t>
        </is>
      </c>
      <c r="G11338" s="94" t="inlineStr">
        <is>
          <t>머드크림마스크 100ml</t>
        </is>
      </c>
      <c r="H11338" s="94" t="n">
        <v>200801</v>
      </c>
      <c r="I11338" s="94" t="n">
        <v>200801</v>
      </c>
      <c r="K11338" s="6" t="n">
        <v>4</v>
      </c>
      <c r="L11338" s="94" t="n">
        <v>200801</v>
      </c>
      <c r="M11338" s="94">
        <f>VLOOKUP($Q11338,매칭테이블!$F:$I,2,0)*K11338</f>
        <v/>
      </c>
      <c r="N11338" s="94">
        <f>M11338-M11338*VLOOKUP($Q11338,매칭테이블!$F:$I,3,0)</f>
        <v/>
      </c>
      <c r="O11338" s="94">
        <f>VLOOKUP($Q11338,매칭테이블!$F:$I,4,0)*K11338</f>
        <v/>
      </c>
      <c r="P11338" s="148">
        <f>M11338/1.1</f>
        <v/>
      </c>
      <c r="Q11338" s="94">
        <f>F11338&amp;E11338&amp;G11338&amp;L11338</f>
        <v/>
      </c>
    </row>
    <row r="11339" customFormat="1" s="94">
      <c r="B11339" s="128" t="n">
        <v>44160</v>
      </c>
      <c r="C11339" s="94">
        <f>TEXT(B11339,"aaa")</f>
        <v/>
      </c>
      <c r="E11339" s="94" t="inlineStr">
        <is>
          <t>머드크림마스크</t>
        </is>
      </c>
      <c r="F11339" s="94" t="inlineStr">
        <is>
          <t>카페24</t>
        </is>
      </c>
      <c r="G11339" s="94" t="inlineStr">
        <is>
          <t>머드크림마스크 100ml 2set</t>
        </is>
      </c>
      <c r="H11339" s="94" t="n">
        <v>200801</v>
      </c>
      <c r="I11339" s="94" t="n">
        <v>200801</v>
      </c>
      <c r="K11339" s="6" t="n">
        <v>1</v>
      </c>
      <c r="L11339" s="94" t="n">
        <v>200801</v>
      </c>
      <c r="M11339" s="94">
        <f>VLOOKUP($Q11339,매칭테이블!$F:$I,2,0)*K11339</f>
        <v/>
      </c>
      <c r="N11339" s="94">
        <f>M11339-M11339*VLOOKUP($Q11339,매칭테이블!$F:$I,3,0)</f>
        <v/>
      </c>
      <c r="O11339" s="94">
        <f>VLOOKUP($Q11339,매칭테이블!$F:$I,4,0)*K11339</f>
        <v/>
      </c>
      <c r="P11339" s="148">
        <f>M11339/1.1</f>
        <v/>
      </c>
      <c r="Q11339" s="94">
        <f>F11339&amp;E11339&amp;G11339&amp;L11339</f>
        <v/>
      </c>
    </row>
    <row r="11340" customFormat="1" s="94">
      <c r="B11340" s="128" t="n">
        <v>44160</v>
      </c>
      <c r="C11340" s="94">
        <f>TEXT(B11340,"aaa")</f>
        <v/>
      </c>
      <c r="E11340" s="94" t="inlineStr">
        <is>
          <t>마스크팩</t>
        </is>
      </c>
      <c r="F11340" s="94" t="inlineStr">
        <is>
          <t>카페24</t>
        </is>
      </c>
      <c r="G11340" s="94" t="inlineStr">
        <is>
          <t>마스크팩 1매</t>
        </is>
      </c>
      <c r="H11340" s="94" t="n">
        <v>200801</v>
      </c>
      <c r="I11340" s="94" t="n">
        <v>200801</v>
      </c>
      <c r="K11340" s="6" t="n">
        <v>4</v>
      </c>
      <c r="L11340" s="94" t="n">
        <v>200801</v>
      </c>
      <c r="M11340" s="94">
        <f>VLOOKUP($Q11340,매칭테이블!$F:$I,2,0)*K11340</f>
        <v/>
      </c>
      <c r="N11340" s="94">
        <f>M11340-M11340*VLOOKUP($Q11340,매칭테이블!$F:$I,3,0)</f>
        <v/>
      </c>
      <c r="O11340" s="94">
        <f>VLOOKUP($Q11340,매칭테이블!$F:$I,4,0)*K11340</f>
        <v/>
      </c>
      <c r="P11340" s="148">
        <f>M11340/1.1</f>
        <v/>
      </c>
      <c r="Q11340" s="94">
        <f>F11340&amp;E11340&amp;G11340&amp;L11340</f>
        <v/>
      </c>
    </row>
    <row r="11341" customFormat="1" s="94">
      <c r="B11341" s="128" t="n">
        <v>44160</v>
      </c>
      <c r="C11341" s="94">
        <f>TEXT(B11341,"aaa")</f>
        <v/>
      </c>
      <c r="E11341" s="94" t="inlineStr">
        <is>
          <t>마스크팩</t>
        </is>
      </c>
      <c r="F11341" s="94" t="inlineStr">
        <is>
          <t>카페24</t>
        </is>
      </c>
      <c r="G11341" s="94" t="inlineStr">
        <is>
          <t>마스크팩 10매</t>
        </is>
      </c>
      <c r="H11341" s="94" t="n">
        <v>200801</v>
      </c>
      <c r="I11341" s="94" t="n">
        <v>200801</v>
      </c>
      <c r="K11341" s="6" t="n">
        <v>7</v>
      </c>
      <c r="L11341" s="94" t="n">
        <v>200801</v>
      </c>
      <c r="M11341" s="94">
        <f>VLOOKUP($Q11341,매칭테이블!$F:$I,2,0)*K11341</f>
        <v/>
      </c>
      <c r="N11341" s="94">
        <f>M11341-M11341*VLOOKUP($Q11341,매칭테이블!$F:$I,3,0)</f>
        <v/>
      </c>
      <c r="O11341" s="94">
        <f>VLOOKUP($Q11341,매칭테이블!$F:$I,4,0)*K11341</f>
        <v/>
      </c>
      <c r="P11341" s="148">
        <f>M11341/1.1</f>
        <v/>
      </c>
      <c r="Q11341" s="94">
        <f>F11341&amp;E11341&amp;G11341&amp;L11341</f>
        <v/>
      </c>
    </row>
    <row r="11342" customFormat="1" s="94">
      <c r="B11342" s="128" t="n">
        <v>44160</v>
      </c>
      <c r="C11342" s="94">
        <f>TEXT(B11342,"aaa")</f>
        <v/>
      </c>
      <c r="E11342" s="94" t="inlineStr">
        <is>
          <t>토너</t>
        </is>
      </c>
      <c r="F11342" s="94" t="inlineStr">
        <is>
          <t>카페24</t>
        </is>
      </c>
      <c r="G11342" s="94" t="inlineStr">
        <is>
          <t>250ml</t>
        </is>
      </c>
      <c r="H11342" s="94" t="n">
        <v>200801</v>
      </c>
      <c r="I11342" s="94" t="n">
        <v>200801</v>
      </c>
      <c r="K11342" s="6" t="n">
        <v>54</v>
      </c>
      <c r="L11342" s="94" t="n">
        <v>200801</v>
      </c>
      <c r="M11342" s="94">
        <f>VLOOKUP($Q11342,매칭테이블!$F:$I,2,0)*K11342</f>
        <v/>
      </c>
      <c r="N11342" s="94">
        <f>M11342-M11342*VLOOKUP($Q11342,매칭테이블!$F:$I,3,0)</f>
        <v/>
      </c>
      <c r="O11342" s="94">
        <f>VLOOKUP($Q11342,매칭테이블!$F:$I,4,0)*K11342</f>
        <v/>
      </c>
      <c r="P11342" s="148">
        <f>M11342/1.1</f>
        <v/>
      </c>
      <c r="Q11342" s="94">
        <f>F11342&amp;E11342&amp;G11342&amp;L11342</f>
        <v/>
      </c>
    </row>
    <row r="11343" customFormat="1" s="94">
      <c r="B11343" s="128" t="n">
        <v>44160</v>
      </c>
      <c r="C11343" s="94">
        <f>TEXT(B11343,"aaa")</f>
        <v/>
      </c>
      <c r="E11343" s="94" t="inlineStr">
        <is>
          <t>토너</t>
        </is>
      </c>
      <c r="F11343" s="94" t="inlineStr">
        <is>
          <t>카페24</t>
        </is>
      </c>
      <c r="G11343" s="94" t="inlineStr">
        <is>
          <t>250ml 2set</t>
        </is>
      </c>
      <c r="H11343" s="94" t="n">
        <v>200801</v>
      </c>
      <c r="I11343" s="94" t="n">
        <v>200801</v>
      </c>
      <c r="K11343" s="6" t="n">
        <v>33</v>
      </c>
      <c r="L11343" s="94" t="n">
        <v>200801</v>
      </c>
      <c r="M11343" s="94">
        <f>VLOOKUP($Q11343,매칭테이블!$F:$I,2,0)*K11343</f>
        <v/>
      </c>
      <c r="N11343" s="94">
        <f>M11343-M11343*VLOOKUP($Q11343,매칭테이블!$F:$I,3,0)</f>
        <v/>
      </c>
      <c r="O11343" s="94">
        <f>VLOOKUP($Q11343,매칭테이블!$F:$I,4,0)*K11343</f>
        <v/>
      </c>
      <c r="P11343" s="148">
        <f>M11343/1.1</f>
        <v/>
      </c>
      <c r="Q11343" s="94">
        <f>F11343&amp;E11343&amp;G11343&amp;L11343</f>
        <v/>
      </c>
    </row>
    <row r="11344" customFormat="1" s="94">
      <c r="B11344" s="128" t="n">
        <v>44160</v>
      </c>
      <c r="C11344" s="94">
        <f>TEXT(B11344,"aaa")</f>
        <v/>
      </c>
      <c r="E11344" s="94" t="inlineStr">
        <is>
          <t>토너</t>
        </is>
      </c>
      <c r="F11344" s="94" t="inlineStr">
        <is>
          <t>카페24</t>
        </is>
      </c>
      <c r="G11344" s="94" t="inlineStr">
        <is>
          <t>500ml</t>
        </is>
      </c>
      <c r="H11344" s="94" t="n">
        <v>200801</v>
      </c>
      <c r="I11344" s="94" t="n">
        <v>200801</v>
      </c>
      <c r="K11344" s="6" t="n">
        <v>37</v>
      </c>
      <c r="L11344" s="94" t="n">
        <v>200801</v>
      </c>
      <c r="M11344" s="94">
        <f>VLOOKUP($Q11344,매칭테이블!$F:$I,2,0)*K11344</f>
        <v/>
      </c>
      <c r="N11344" s="94">
        <f>M11344-M11344*VLOOKUP($Q11344,매칭테이블!$F:$I,3,0)</f>
        <v/>
      </c>
      <c r="O11344" s="94">
        <f>VLOOKUP($Q11344,매칭테이블!$F:$I,4,0)*K11344</f>
        <v/>
      </c>
      <c r="P11344" s="148">
        <f>M11344/1.1</f>
        <v/>
      </c>
      <c r="Q11344" s="94">
        <f>F11344&amp;E11344&amp;G11344&amp;L11344</f>
        <v/>
      </c>
    </row>
    <row r="11345" customFormat="1" s="94">
      <c r="B11345" s="128" t="n">
        <v>44160</v>
      </c>
      <c r="C11345" s="94">
        <f>TEXT(B11345,"aaa")</f>
        <v/>
      </c>
      <c r="E11345" s="94" t="inlineStr">
        <is>
          <t>토너</t>
        </is>
      </c>
      <c r="F11345" s="94" t="inlineStr">
        <is>
          <t>카페24</t>
        </is>
      </c>
      <c r="G11345" s="94" t="inlineStr">
        <is>
          <t>스킨팩 화장솜 60P</t>
        </is>
      </c>
      <c r="H11345" s="94" t="n">
        <v>200801</v>
      </c>
      <c r="I11345" s="94" t="n">
        <v>200801</v>
      </c>
      <c r="K11345" s="6" t="n">
        <v>51</v>
      </c>
      <c r="L11345" s="94" t="n">
        <v>200801</v>
      </c>
      <c r="M11345" s="94">
        <f>VLOOKUP($Q11345,매칭테이블!$F:$I,2,0)*K11345</f>
        <v/>
      </c>
      <c r="N11345" s="94">
        <f>M11345-M11345*VLOOKUP($Q11345,매칭테이블!$F:$I,3,0)</f>
        <v/>
      </c>
      <c r="O11345" s="94">
        <f>VLOOKUP($Q11345,매칭테이블!$F:$I,4,0)*K11345</f>
        <v/>
      </c>
      <c r="P11345" s="148">
        <f>M11345/1.1</f>
        <v/>
      </c>
      <c r="Q11345" s="94">
        <f>F11345&amp;E11345&amp;G11345&amp;L11345</f>
        <v/>
      </c>
    </row>
    <row r="11346" customFormat="1" s="94">
      <c r="B11346" s="128" t="n">
        <v>44160</v>
      </c>
      <c r="C11346" s="94">
        <f>TEXT(B11346,"aaa")</f>
        <v/>
      </c>
      <c r="E11346" s="94" t="inlineStr">
        <is>
          <t>앰플</t>
        </is>
      </c>
      <c r="F11346" s="94" t="inlineStr">
        <is>
          <t>카페24</t>
        </is>
      </c>
      <c r="G11346" s="94" t="inlineStr">
        <is>
          <t>앰플 30ml</t>
        </is>
      </c>
      <c r="H11346" s="94" t="n">
        <v>200801</v>
      </c>
      <c r="I11346" s="94" t="n">
        <v>200801</v>
      </c>
      <c r="K11346" s="6" t="n">
        <v>26</v>
      </c>
      <c r="L11346" s="94" t="n">
        <v>200801</v>
      </c>
      <c r="M11346" s="94">
        <f>VLOOKUP($Q11346,매칭테이블!$F:$I,2,0)*K11346</f>
        <v/>
      </c>
      <c r="N11346" s="94">
        <f>M11346-M11346*VLOOKUP($Q11346,매칭테이블!$F:$I,3,0)</f>
        <v/>
      </c>
      <c r="O11346" s="94">
        <f>VLOOKUP($Q11346,매칭테이블!$F:$I,4,0)*K11346</f>
        <v/>
      </c>
      <c r="P11346" s="148">
        <f>M11346/1.1</f>
        <v/>
      </c>
      <c r="Q11346" s="94">
        <f>F11346&amp;E11346&amp;G11346&amp;L11346</f>
        <v/>
      </c>
    </row>
    <row r="11347" customFormat="1" s="94">
      <c r="B11347" s="128" t="n">
        <v>44160</v>
      </c>
      <c r="C11347" s="94">
        <f>TEXT(B11347,"aaa")</f>
        <v/>
      </c>
      <c r="E11347" s="94" t="inlineStr">
        <is>
          <t>앰플</t>
        </is>
      </c>
      <c r="F11347" s="94" t="inlineStr">
        <is>
          <t>카페24</t>
        </is>
      </c>
      <c r="G11347" s="94" t="inlineStr">
        <is>
          <t>앰플 30ml  2set</t>
        </is>
      </c>
      <c r="H11347" s="94" t="n">
        <v>200801</v>
      </c>
      <c r="I11347" s="94" t="n">
        <v>200801</v>
      </c>
      <c r="K11347" s="6" t="n">
        <v>9</v>
      </c>
      <c r="L11347" s="94" t="n">
        <v>200801</v>
      </c>
      <c r="M11347" s="94">
        <f>VLOOKUP($Q11347,매칭테이블!$F:$I,2,0)*K11347</f>
        <v/>
      </c>
      <c r="N11347" s="94">
        <f>M11347-M11347*VLOOKUP($Q11347,매칭테이블!$F:$I,3,0)</f>
        <v/>
      </c>
      <c r="O11347" s="94">
        <f>VLOOKUP($Q11347,매칭테이블!$F:$I,4,0)*K11347</f>
        <v/>
      </c>
      <c r="P11347" s="148">
        <f>M11347/1.1</f>
        <v/>
      </c>
      <c r="Q11347" s="94">
        <f>F11347&amp;E11347&amp;G11347&amp;L11347</f>
        <v/>
      </c>
    </row>
    <row r="11348" customFormat="1" s="94">
      <c r="B11348" s="128" t="n">
        <v>44160</v>
      </c>
      <c r="C11348" s="94">
        <f>TEXT(B11348,"aaa")</f>
        <v/>
      </c>
      <c r="E11348" s="94" t="inlineStr">
        <is>
          <t>수딩크림</t>
        </is>
      </c>
      <c r="F11348" s="94" t="inlineStr">
        <is>
          <t>카페24</t>
        </is>
      </c>
      <c r="G11348" s="94" t="inlineStr">
        <is>
          <t>수딩크림 100ml</t>
        </is>
      </c>
      <c r="H11348" s="94" t="n">
        <v>200801</v>
      </c>
      <c r="I11348" s="94" t="n">
        <v>200801</v>
      </c>
      <c r="K11348" s="6" t="n">
        <v>17</v>
      </c>
      <c r="L11348" s="94" t="n">
        <v>200801</v>
      </c>
      <c r="M11348" s="94">
        <f>VLOOKUP($Q11348,매칭테이블!$F:$I,2,0)*K11348</f>
        <v/>
      </c>
      <c r="N11348" s="94">
        <f>M11348-M11348*VLOOKUP($Q11348,매칭테이블!$F:$I,3,0)</f>
        <v/>
      </c>
      <c r="O11348" s="94">
        <f>VLOOKUP($Q11348,매칭테이블!$F:$I,4,0)*K11348</f>
        <v/>
      </c>
      <c r="P11348" s="148">
        <f>M11348/1.1</f>
        <v/>
      </c>
      <c r="Q11348" s="94">
        <f>F11348&amp;E11348&amp;G11348&amp;L11348</f>
        <v/>
      </c>
    </row>
    <row r="11349" customFormat="1" s="94">
      <c r="B11349" s="128" t="n">
        <v>44160</v>
      </c>
      <c r="C11349" s="94">
        <f>TEXT(B11349,"aaa")</f>
        <v/>
      </c>
      <c r="E11349" s="94" t="inlineStr">
        <is>
          <t>클렌징폼</t>
        </is>
      </c>
      <c r="F11349" s="94" t="inlineStr">
        <is>
          <t>카페24</t>
        </is>
      </c>
      <c r="G11349" s="94" t="inlineStr">
        <is>
          <t>클렌징폼 120ml</t>
        </is>
      </c>
      <c r="H11349" s="94" t="n">
        <v>200801</v>
      </c>
      <c r="I11349" s="94" t="n">
        <v>200801</v>
      </c>
      <c r="K11349" s="6" t="n">
        <v>18</v>
      </c>
      <c r="L11349" s="94" t="n">
        <v>200801</v>
      </c>
      <c r="M11349" s="94">
        <f>VLOOKUP($Q11349,매칭테이블!$F:$I,2,0)*K11349</f>
        <v/>
      </c>
      <c r="N11349" s="94">
        <f>M11349-M11349*VLOOKUP($Q11349,매칭테이블!$F:$I,3,0)</f>
        <v/>
      </c>
      <c r="O11349" s="94">
        <f>VLOOKUP($Q11349,매칭테이블!$F:$I,4,0)*K11349</f>
        <v/>
      </c>
      <c r="P11349" s="148">
        <f>M11349/1.1</f>
        <v/>
      </c>
      <c r="Q11349" s="94">
        <f>F11349&amp;E11349&amp;G11349&amp;L11349</f>
        <v/>
      </c>
    </row>
    <row r="11350" customFormat="1" s="94">
      <c r="B11350" s="128" t="n">
        <v>44160</v>
      </c>
      <c r="C11350" s="94">
        <f>TEXT(B11350,"aaa")</f>
        <v/>
      </c>
      <c r="E11350" s="94" t="inlineStr">
        <is>
          <t>클렌징폼</t>
        </is>
      </c>
      <c r="F11350" s="94" t="inlineStr">
        <is>
          <t>카페24</t>
        </is>
      </c>
      <c r="G11350" s="94" t="inlineStr">
        <is>
          <t>클렌징폼 120ml 2set</t>
        </is>
      </c>
      <c r="H11350" s="94" t="n">
        <v>200801</v>
      </c>
      <c r="I11350" s="94" t="n">
        <v>200801</v>
      </c>
      <c r="K11350" s="6" t="n">
        <v>3</v>
      </c>
      <c r="L11350" s="94" t="n">
        <v>200801</v>
      </c>
      <c r="M11350" s="94">
        <f>VLOOKUP($Q11350,매칭테이블!$F:$I,2,0)*K11350</f>
        <v/>
      </c>
      <c r="N11350" s="94">
        <f>M11350-M11350*VLOOKUP($Q11350,매칭테이블!$F:$I,3,0)</f>
        <v/>
      </c>
      <c r="O11350" s="94">
        <f>VLOOKUP($Q11350,매칭테이블!$F:$I,4,0)*K11350</f>
        <v/>
      </c>
      <c r="P11350" s="148">
        <f>M11350/1.1</f>
        <v/>
      </c>
      <c r="Q11350" s="94">
        <f>F11350&amp;E11350&amp;G11350&amp;L11350</f>
        <v/>
      </c>
    </row>
    <row r="11351" customFormat="1" s="94">
      <c r="B11351" s="128" t="n">
        <v>44160</v>
      </c>
      <c r="C11351" s="94">
        <f>TEXT(B11351,"aaa")</f>
        <v/>
      </c>
      <c r="E11351" s="94" t="inlineStr">
        <is>
          <t>클렌징폼</t>
        </is>
      </c>
      <c r="F11351" s="94" t="inlineStr">
        <is>
          <t>카페24</t>
        </is>
      </c>
      <c r="G11351" s="94" t="inlineStr">
        <is>
          <t>클렌징폼 120ml 3set</t>
        </is>
      </c>
      <c r="H11351" s="94" t="n">
        <v>200801</v>
      </c>
      <c r="I11351" s="94" t="n">
        <v>200801</v>
      </c>
      <c r="K11351" s="6" t="n">
        <v>4</v>
      </c>
      <c r="L11351" s="94" t="n">
        <v>200801</v>
      </c>
      <c r="M11351" s="94">
        <f>VLOOKUP($Q11351,매칭테이블!$F:$I,2,0)*K11351</f>
        <v/>
      </c>
      <c r="N11351" s="94">
        <f>M11351-M11351*VLOOKUP($Q11351,매칭테이블!$F:$I,3,0)</f>
        <v/>
      </c>
      <c r="O11351" s="94">
        <f>VLOOKUP($Q11351,매칭테이블!$F:$I,4,0)*K11351</f>
        <v/>
      </c>
      <c r="P11351" s="148">
        <f>M11351/1.1</f>
        <v/>
      </c>
      <c r="Q11351" s="94">
        <f>F11351&amp;E11351&amp;G11351&amp;L11351</f>
        <v/>
      </c>
    </row>
    <row r="11352" customFormat="1" s="94">
      <c r="B11352" s="128" t="n">
        <v>44160</v>
      </c>
      <c r="C11352" s="94">
        <f>TEXT(B11352,"aaa")</f>
        <v/>
      </c>
      <c r="E11352" s="94" t="inlineStr">
        <is>
          <t>바디워시</t>
        </is>
      </c>
      <c r="F11352" s="94" t="inlineStr">
        <is>
          <t>카페24</t>
        </is>
      </c>
      <c r="G11352" s="94" t="inlineStr">
        <is>
          <t>바디워시 1개 -30% off</t>
        </is>
      </c>
      <c r="H11352" s="94" t="n">
        <v>200801</v>
      </c>
      <c r="I11352" s="94" t="n">
        <v>200801</v>
      </c>
      <c r="K11352" s="6" t="n">
        <v>3</v>
      </c>
      <c r="L11352" s="94" t="n">
        <v>200801</v>
      </c>
      <c r="M11352" s="94">
        <f>VLOOKUP($Q11352,매칭테이블!$F:$I,2,0)*K11352</f>
        <v/>
      </c>
      <c r="N11352" s="94">
        <f>M11352-M11352*VLOOKUP($Q11352,매칭테이블!$F:$I,3,0)</f>
        <v/>
      </c>
      <c r="O11352" s="94">
        <f>VLOOKUP($Q11352,매칭테이블!$F:$I,4,0)*K11352</f>
        <v/>
      </c>
      <c r="P11352" s="148">
        <f>M11352/1.1</f>
        <v/>
      </c>
      <c r="Q11352" s="94">
        <f>F11352&amp;E11352&amp;G11352&amp;L11352</f>
        <v/>
      </c>
    </row>
    <row r="11353" customFormat="1" s="94">
      <c r="B11353" s="128" t="n">
        <v>44160</v>
      </c>
      <c r="C11353" s="94">
        <f>TEXT(B11353,"aaa")</f>
        <v/>
      </c>
      <c r="E11353" s="94" t="inlineStr">
        <is>
          <t>앰플</t>
        </is>
      </c>
      <c r="F11353" s="94" t="inlineStr">
        <is>
          <t>화해</t>
        </is>
      </c>
      <c r="G11353" s="94" t="inlineStr">
        <is>
          <t>앰플 30ml</t>
        </is>
      </c>
      <c r="H11353" s="94" t="n">
        <v>200801</v>
      </c>
      <c r="I11353" s="94" t="n">
        <v>200801</v>
      </c>
      <c r="K11353" s="6" t="n">
        <v>1</v>
      </c>
      <c r="L11353" s="94" t="n">
        <v>200801</v>
      </c>
      <c r="M11353" s="94">
        <f>VLOOKUP($Q11353,매칭테이블!$F:$I,2,0)*K11353</f>
        <v/>
      </c>
      <c r="N11353" s="94">
        <f>M11353-M11353*VLOOKUP($Q11353,매칭테이블!$F:$I,3,0)</f>
        <v/>
      </c>
      <c r="O11353" s="94">
        <f>VLOOKUP($Q11353,매칭테이블!$F:$I,4,0)*K11353</f>
        <v/>
      </c>
      <c r="P11353" s="148">
        <f>M11353/1.1</f>
        <v/>
      </c>
      <c r="Q11353" s="94">
        <f>F11353&amp;E11353&amp;G11353&amp;L11353</f>
        <v/>
      </c>
    </row>
    <row r="11354" customFormat="1" s="94">
      <c r="B11354" s="128" t="n">
        <v>44160</v>
      </c>
      <c r="C11354" s="94">
        <f>TEXT(B11354,"aaa")</f>
        <v/>
      </c>
      <c r="E11354" s="94" t="inlineStr">
        <is>
          <t>토너</t>
        </is>
      </c>
      <c r="F11354" s="94" t="inlineStr">
        <is>
          <t>화해</t>
        </is>
      </c>
      <c r="G11354" s="94" t="inlineStr">
        <is>
          <t>250ml</t>
        </is>
      </c>
      <c r="H11354" s="94" t="n">
        <v>200801</v>
      </c>
      <c r="I11354" s="94" t="n">
        <v>200801</v>
      </c>
      <c r="K11354" s="6" t="n">
        <v>1</v>
      </c>
      <c r="L11354" s="94" t="n">
        <v>200801</v>
      </c>
      <c r="M11354" s="94">
        <f>VLOOKUP($Q11354,매칭테이블!$F:$I,2,0)*K11354</f>
        <v/>
      </c>
      <c r="N11354" s="94">
        <f>M11354-M11354*VLOOKUP($Q11354,매칭테이블!$F:$I,3,0)</f>
        <v/>
      </c>
      <c r="O11354" s="94">
        <f>VLOOKUP($Q11354,매칭테이블!$F:$I,4,0)*K11354</f>
        <v/>
      </c>
      <c r="P11354" s="148">
        <f>M11354/1.1</f>
        <v/>
      </c>
      <c r="Q11354" s="94">
        <f>F11354&amp;E11354&amp;G11354&amp;L11354</f>
        <v/>
      </c>
    </row>
    <row r="11355" customFormat="1" s="94">
      <c r="B11355" s="128" t="n">
        <v>44161</v>
      </c>
      <c r="C11355" s="94">
        <f>TEXT(B11355,"aaa")</f>
        <v/>
      </c>
      <c r="E11355" s="94" t="inlineStr">
        <is>
          <t>토너</t>
        </is>
      </c>
      <c r="F11355" s="94" t="inlineStr">
        <is>
          <t>W컨셉</t>
        </is>
      </c>
      <c r="G11355" s="94" t="inlineStr">
        <is>
          <t>250ml 2set</t>
        </is>
      </c>
      <c r="H11355" s="94" t="n">
        <v>200801</v>
      </c>
      <c r="I11355" s="94" t="n">
        <v>200801</v>
      </c>
      <c r="K11355" s="6" t="n">
        <v>1</v>
      </c>
      <c r="L11355" s="94" t="n">
        <v>200801</v>
      </c>
      <c r="M11355" s="94">
        <f>VLOOKUP($Q11355,매칭테이블!$F:$I,2,0)*K11355</f>
        <v/>
      </c>
      <c r="N11355" s="94">
        <f>M11355-M11355*VLOOKUP($Q11355,매칭테이블!$F:$I,3,0)</f>
        <v/>
      </c>
      <c r="O11355" s="94">
        <f>VLOOKUP($Q11355,매칭테이블!$F:$I,4,0)*K11355</f>
        <v/>
      </c>
      <c r="P11355" s="148">
        <f>M11355/1.1</f>
        <v/>
      </c>
      <c r="Q11355" s="94">
        <f>F11355&amp;E11355&amp;G11355&amp;L11355</f>
        <v/>
      </c>
    </row>
    <row r="11356" customFormat="1" s="94">
      <c r="B11356" s="128" t="n">
        <v>44161</v>
      </c>
      <c r="C11356" s="94">
        <f>TEXT(B11356,"aaa")</f>
        <v/>
      </c>
      <c r="E11356" s="94" t="inlineStr">
        <is>
          <t>토너</t>
        </is>
      </c>
      <c r="F11356" s="94" t="inlineStr">
        <is>
          <t>글로우데이즈 시코르</t>
        </is>
      </c>
      <c r="G11356" s="94" t="inlineStr">
        <is>
          <t>토너=250ml</t>
        </is>
      </c>
      <c r="H11356" s="94" t="n">
        <v>200801</v>
      </c>
      <c r="I11356" s="94" t="n">
        <v>200801</v>
      </c>
      <c r="K11356" s="6" t="n">
        <v>20</v>
      </c>
      <c r="L11356" s="94" t="n">
        <v>200801</v>
      </c>
      <c r="M11356" s="94">
        <f>VLOOKUP($Q11356,매칭테이블!$F:$I,2,0)*K11356</f>
        <v/>
      </c>
      <c r="N11356" s="94">
        <f>M11356-M11356*VLOOKUP($Q11356,매칭테이블!$F:$I,3,0)</f>
        <v/>
      </c>
      <c r="O11356" s="94">
        <f>VLOOKUP($Q11356,매칭테이블!$F:$I,4,0)*K11356</f>
        <v/>
      </c>
      <c r="P11356" s="148">
        <f>M11356/1.1</f>
        <v/>
      </c>
      <c r="Q11356" s="94">
        <f>F11356&amp;E11356&amp;G11356&amp;L11356</f>
        <v/>
      </c>
    </row>
    <row r="11357" customFormat="1" s="94">
      <c r="B11357" s="128" t="n">
        <v>44161</v>
      </c>
      <c r="C11357" s="94">
        <f>TEXT(B11357,"aaa")</f>
        <v/>
      </c>
      <c r="E11357" s="94" t="inlineStr">
        <is>
          <t>클렌징폼</t>
        </is>
      </c>
      <c r="F11357" s="94" t="inlineStr">
        <is>
          <t>글로우데이즈 시코르</t>
        </is>
      </c>
      <c r="G11357" s="94" t="inlineStr">
        <is>
          <t>클렌징폼=클렌징폼 120ml</t>
        </is>
      </c>
      <c r="H11357" s="94" t="n">
        <v>200801</v>
      </c>
      <c r="I11357" s="94" t="n">
        <v>200801</v>
      </c>
      <c r="K11357" s="6" t="n">
        <v>20</v>
      </c>
      <c r="L11357" s="94" t="n">
        <v>200801</v>
      </c>
      <c r="M11357" s="94">
        <f>VLOOKUP($Q11357,매칭테이블!$F:$I,2,0)*K11357</f>
        <v/>
      </c>
      <c r="N11357" s="94">
        <f>M11357-M11357*VLOOKUP($Q11357,매칭테이블!$F:$I,3,0)</f>
        <v/>
      </c>
      <c r="O11357" s="94">
        <f>VLOOKUP($Q11357,매칭테이블!$F:$I,4,0)*K11357</f>
        <v/>
      </c>
      <c r="P11357" s="148">
        <f>M11357/1.1</f>
        <v/>
      </c>
      <c r="Q11357" s="94">
        <f>F11357&amp;E11357&amp;G11357&amp;L11357</f>
        <v/>
      </c>
    </row>
    <row r="11358" customFormat="1" s="94">
      <c r="B11358" s="128" t="n">
        <v>44161</v>
      </c>
      <c r="C11358" s="94">
        <f>TEXT(B11358,"aaa")</f>
        <v/>
      </c>
      <c r="E11358" s="94" t="inlineStr">
        <is>
          <t>마스크팩</t>
        </is>
      </c>
      <c r="F11358" s="94" t="inlineStr">
        <is>
          <t>글로우데이즈 시코르</t>
        </is>
      </c>
      <c r="G11358" s="94" t="inlineStr">
        <is>
          <t>마스크팩=마스크팩 10매</t>
        </is>
      </c>
      <c r="H11358" s="94" t="n">
        <v>200801</v>
      </c>
      <c r="I11358" s="94" t="n">
        <v>200801</v>
      </c>
      <c r="K11358" s="6" t="n">
        <v>5</v>
      </c>
      <c r="L11358" s="94" t="n">
        <v>200801</v>
      </c>
      <c r="M11358" s="94">
        <f>VLOOKUP($Q11358,매칭테이블!$F:$I,2,0)*K11358</f>
        <v/>
      </c>
      <c r="N11358" s="94">
        <f>M11358-M11358*VLOOKUP($Q11358,매칭테이블!$F:$I,3,0)</f>
        <v/>
      </c>
      <c r="O11358" s="94">
        <f>VLOOKUP($Q11358,매칭테이블!$F:$I,4,0)*K11358</f>
        <v/>
      </c>
      <c r="P11358" s="148">
        <f>M11358/1.1</f>
        <v/>
      </c>
      <c r="Q11358" s="94">
        <f>F11358&amp;E11358&amp;G11358&amp;L11358</f>
        <v/>
      </c>
    </row>
    <row r="11359" customFormat="1" s="94">
      <c r="B11359" s="128" t="n">
        <v>44161</v>
      </c>
      <c r="C11359" s="94">
        <f>TEXT(B11359,"aaa")</f>
        <v/>
      </c>
      <c r="E11359" s="94" t="inlineStr">
        <is>
          <t>토너</t>
        </is>
      </c>
      <c r="F11359" s="94" t="inlineStr">
        <is>
          <t>스타일쉐어</t>
        </is>
      </c>
      <c r="G11359" s="94" t="inlineStr">
        <is>
          <t>250ml</t>
        </is>
      </c>
      <c r="H11359" s="94" t="n">
        <v>200801</v>
      </c>
      <c r="I11359" s="94" t="n">
        <v>200801</v>
      </c>
      <c r="K11359" s="6" t="n">
        <v>5</v>
      </c>
      <c r="L11359" s="94" t="n">
        <v>200801</v>
      </c>
      <c r="M11359" s="94">
        <f>VLOOKUP($Q11359,매칭테이블!$F:$I,2,0)*K11359</f>
        <v/>
      </c>
      <c r="N11359" s="94">
        <f>M11359-M11359*VLOOKUP($Q11359,매칭테이블!$F:$I,3,0)</f>
        <v/>
      </c>
      <c r="O11359" s="94">
        <f>VLOOKUP($Q11359,매칭테이블!$F:$I,4,0)*K11359</f>
        <v/>
      </c>
      <c r="P11359" s="148">
        <f>M11359/1.1</f>
        <v/>
      </c>
      <c r="Q11359" s="94">
        <f>F11359&amp;E11359&amp;G11359&amp;L11359</f>
        <v/>
      </c>
    </row>
    <row r="11360" customFormat="1" s="94">
      <c r="B11360" s="128" t="n">
        <v>44161</v>
      </c>
      <c r="C11360" s="94">
        <f>TEXT(B11360,"aaa")</f>
        <v/>
      </c>
      <c r="E11360" s="94" t="inlineStr">
        <is>
          <t>선크림</t>
        </is>
      </c>
      <c r="F11360" s="94" t="inlineStr">
        <is>
          <t>카페24</t>
        </is>
      </c>
      <c r="G11360" s="94" t="inlineStr">
        <is>
          <t>선크림 50ml</t>
        </is>
      </c>
      <c r="H11360" s="94" t="n">
        <v>200801</v>
      </c>
      <c r="I11360" s="94" t="n">
        <v>200801</v>
      </c>
      <c r="K11360" s="6" t="n">
        <v>5</v>
      </c>
      <c r="L11360" s="94" t="n">
        <v>200801</v>
      </c>
      <c r="M11360" s="94">
        <f>VLOOKUP($Q11360,매칭테이블!$F:$I,2,0)*K11360</f>
        <v/>
      </c>
      <c r="N11360" s="94">
        <f>M11360-M11360*VLOOKUP($Q11360,매칭테이블!$F:$I,3,0)</f>
        <v/>
      </c>
      <c r="O11360" s="94">
        <f>VLOOKUP($Q11360,매칭테이블!$F:$I,4,0)*K11360</f>
        <v/>
      </c>
      <c r="P11360" s="148">
        <f>M11360/1.1</f>
        <v/>
      </c>
      <c r="Q11360" s="94">
        <f>F11360&amp;E11360&amp;G11360&amp;L11360</f>
        <v/>
      </c>
    </row>
    <row r="11361" customFormat="1" s="94">
      <c r="B11361" s="128" t="n">
        <v>44161</v>
      </c>
      <c r="C11361" s="94">
        <f>TEXT(B11361,"aaa")</f>
        <v/>
      </c>
      <c r="E11361" s="94" t="inlineStr">
        <is>
          <t>카밍크림</t>
        </is>
      </c>
      <c r="F11361" s="94" t="inlineStr">
        <is>
          <t>카페24</t>
        </is>
      </c>
      <c r="G11361" s="94" t="inlineStr">
        <is>
          <t>크림=어성초 70 인텐스 카밍 크림 2개 (-30%)</t>
        </is>
      </c>
      <c r="H11361" s="94" t="n">
        <v>200801</v>
      </c>
      <c r="I11361" s="94" t="n">
        <v>200801</v>
      </c>
      <c r="K11361" s="6" t="n">
        <v>1</v>
      </c>
      <c r="L11361" s="94" t="n">
        <v>200801</v>
      </c>
      <c r="M11361" s="94">
        <f>VLOOKUP($Q11361,매칭테이블!$F:$I,2,0)*K11361</f>
        <v/>
      </c>
      <c r="N11361" s="94">
        <f>M11361-M11361*VLOOKUP($Q11361,매칭테이블!$F:$I,3,0)</f>
        <v/>
      </c>
      <c r="O11361" s="94">
        <f>VLOOKUP($Q11361,매칭테이블!$F:$I,4,0)*K11361</f>
        <v/>
      </c>
      <c r="P11361" s="148">
        <f>M11361/1.1</f>
        <v/>
      </c>
      <c r="Q11361" s="94">
        <f>F11361&amp;E11361&amp;G11361&amp;L11361</f>
        <v/>
      </c>
    </row>
    <row r="11362" customFormat="1" s="94">
      <c r="B11362" s="128" t="n">
        <v>44161</v>
      </c>
      <c r="C11362" s="94">
        <f>TEXT(B11362,"aaa")</f>
        <v/>
      </c>
      <c r="E11362" s="94" t="inlineStr">
        <is>
          <t>크림마스크</t>
        </is>
      </c>
      <c r="F11362" s="94" t="inlineStr">
        <is>
          <t>카페24</t>
        </is>
      </c>
      <c r="G11362" s="94" t="inlineStr">
        <is>
          <t>옵션=어성초 크림마스크 나이트 솔루션 1장</t>
        </is>
      </c>
      <c r="H11362" s="94" t="n">
        <v>200801</v>
      </c>
      <c r="I11362" s="94" t="n">
        <v>200801</v>
      </c>
      <c r="K11362" s="6" t="n">
        <v>1</v>
      </c>
      <c r="L11362" s="94" t="n">
        <v>200801</v>
      </c>
      <c r="M11362" s="94">
        <f>VLOOKUP($Q11362,매칭테이블!$F:$I,2,0)*K11362</f>
        <v/>
      </c>
      <c r="N11362" s="94">
        <f>M11362-M11362*VLOOKUP($Q11362,매칭테이블!$F:$I,3,0)</f>
        <v/>
      </c>
      <c r="O11362" s="94">
        <f>VLOOKUP($Q11362,매칭테이블!$F:$I,4,0)*K11362</f>
        <v/>
      </c>
      <c r="P11362" s="148">
        <f>M11362/1.1</f>
        <v/>
      </c>
      <c r="Q11362" s="94">
        <f>F11362&amp;E11362&amp;G11362&amp;L11362</f>
        <v/>
      </c>
    </row>
    <row r="11363" customFormat="1" s="94">
      <c r="B11363" s="128" t="n">
        <v>44161</v>
      </c>
      <c r="C11363" s="94">
        <f>TEXT(B11363,"aaa")</f>
        <v/>
      </c>
      <c r="E11363" s="94" t="inlineStr">
        <is>
          <t>어성초진정패키지</t>
        </is>
      </c>
      <c r="F11363" s="94" t="inlineStr">
        <is>
          <t>카페24</t>
        </is>
      </c>
      <c r="G11363" s="94" t="inlineStr">
        <is>
          <t>어성초 진정패키지세트</t>
        </is>
      </c>
      <c r="H11363" s="94" t="n">
        <v>200801</v>
      </c>
      <c r="I11363" s="94" t="n">
        <v>200801</v>
      </c>
      <c r="K11363" s="6" t="n">
        <v>3</v>
      </c>
      <c r="L11363" s="94" t="n">
        <v>200801</v>
      </c>
      <c r="M11363" s="94">
        <f>VLOOKUP($Q11363,매칭테이블!$F:$I,2,0)*K11363</f>
        <v/>
      </c>
      <c r="N11363" s="94">
        <f>M11363-M11363*VLOOKUP($Q11363,매칭테이블!$F:$I,3,0)</f>
        <v/>
      </c>
      <c r="O11363" s="94">
        <f>VLOOKUP($Q11363,매칭테이블!$F:$I,4,0)*K11363</f>
        <v/>
      </c>
      <c r="P11363" s="148">
        <f>M11363/1.1</f>
        <v/>
      </c>
      <c r="Q11363" s="94">
        <f>F11363&amp;E11363&amp;G11363&amp;L11363</f>
        <v/>
      </c>
    </row>
    <row r="11364" customFormat="1" s="94">
      <c r="B11364" s="128" t="n">
        <v>44161</v>
      </c>
      <c r="C11364" s="94">
        <f>TEXT(B11364,"aaa")</f>
        <v/>
      </c>
      <c r="E11364" s="94" t="inlineStr">
        <is>
          <t>클리어 패드</t>
        </is>
      </c>
      <c r="F11364" s="94" t="inlineStr">
        <is>
          <t>카페24</t>
        </is>
      </c>
      <c r="G11364" s="94" t="inlineStr">
        <is>
          <t>어성초 77 클리어 패드 1개-20% off</t>
        </is>
      </c>
      <c r="H11364" s="94" t="n">
        <v>200801</v>
      </c>
      <c r="I11364" s="94" t="n">
        <v>200801</v>
      </c>
      <c r="K11364" s="6" t="n">
        <v>47</v>
      </c>
      <c r="L11364" s="94" t="n">
        <v>200801</v>
      </c>
      <c r="M11364" s="94">
        <f>VLOOKUP($Q11364,매칭테이블!$F:$I,2,0)*K11364</f>
        <v/>
      </c>
      <c r="N11364" s="94">
        <f>M11364-M11364*VLOOKUP($Q11364,매칭테이블!$F:$I,3,0)</f>
        <v/>
      </c>
      <c r="O11364" s="94">
        <f>VLOOKUP($Q11364,매칭테이블!$F:$I,4,0)*K11364</f>
        <v/>
      </c>
      <c r="P11364" s="148">
        <f>M11364/1.1</f>
        <v/>
      </c>
      <c r="Q11364" s="94">
        <f>F11364&amp;E11364&amp;G11364&amp;L11364</f>
        <v/>
      </c>
    </row>
    <row r="11365" customFormat="1" s="94">
      <c r="B11365" s="128" t="n">
        <v>44161</v>
      </c>
      <c r="C11365" s="94">
        <f>TEXT(B11365,"aaa")</f>
        <v/>
      </c>
      <c r="E11365" s="94" t="inlineStr">
        <is>
          <t>클리어 패드</t>
        </is>
      </c>
      <c r="F11365" s="94" t="inlineStr">
        <is>
          <t>카페24</t>
        </is>
      </c>
      <c r="G11365" s="94" t="inlineStr">
        <is>
          <t>어성초 77 클리어 패드 2개-30% off</t>
        </is>
      </c>
      <c r="H11365" s="94" t="n">
        <v>200801</v>
      </c>
      <c r="I11365" s="94" t="n">
        <v>200801</v>
      </c>
      <c r="K11365" s="6" t="n">
        <v>41</v>
      </c>
      <c r="L11365" s="94" t="n">
        <v>200801</v>
      </c>
      <c r="M11365" s="94">
        <f>VLOOKUP($Q11365,매칭테이블!$F:$I,2,0)*K11365</f>
        <v/>
      </c>
      <c r="N11365" s="94">
        <f>M11365-M11365*VLOOKUP($Q11365,매칭테이블!$F:$I,3,0)</f>
        <v/>
      </c>
      <c r="O11365" s="94">
        <f>VLOOKUP($Q11365,매칭테이블!$F:$I,4,0)*K11365</f>
        <v/>
      </c>
      <c r="P11365" s="148">
        <f>M11365/1.1</f>
        <v/>
      </c>
      <c r="Q11365" s="94">
        <f>F11365&amp;E11365&amp;G11365&amp;L11365</f>
        <v/>
      </c>
    </row>
    <row r="11366" customFormat="1" s="94">
      <c r="B11366" s="128" t="n">
        <v>44161</v>
      </c>
      <c r="C11366" s="94">
        <f>TEXT(B11366,"aaa")</f>
        <v/>
      </c>
      <c r="E11366" s="94" t="inlineStr">
        <is>
          <t>토너+패드 세트</t>
        </is>
      </c>
      <c r="F11366" s="94" t="inlineStr">
        <is>
          <t>카페24</t>
        </is>
      </c>
      <c r="G11366" s="94" t="inlineStr">
        <is>
          <t>좁쌀 진정 세트 토너+클리어 패드-30% off</t>
        </is>
      </c>
      <c r="H11366" s="94" t="n">
        <v>200801</v>
      </c>
      <c r="I11366" s="94" t="n">
        <v>200801</v>
      </c>
      <c r="K11366" s="6" t="n">
        <v>37</v>
      </c>
      <c r="L11366" s="94" t="n">
        <v>200801</v>
      </c>
      <c r="M11366" s="94">
        <f>VLOOKUP($Q11366,매칭테이블!$F:$I,2,0)*K11366</f>
        <v/>
      </c>
      <c r="N11366" s="94">
        <f>M11366-M11366*VLOOKUP($Q11366,매칭테이블!$F:$I,3,0)</f>
        <v/>
      </c>
      <c r="O11366" s="94">
        <f>VLOOKUP($Q11366,매칭테이블!$F:$I,4,0)*K11366</f>
        <v/>
      </c>
      <c r="P11366" s="148">
        <f>M11366/1.1</f>
        <v/>
      </c>
      <c r="Q11366" s="94">
        <f>F11366&amp;E11366&amp;G11366&amp;L11366</f>
        <v/>
      </c>
    </row>
    <row r="11367" customFormat="1" s="94">
      <c r="B11367" s="128" t="n">
        <v>44161</v>
      </c>
      <c r="C11367" s="94">
        <f>TEXT(B11367,"aaa")</f>
        <v/>
      </c>
      <c r="E11367" s="94" t="inlineStr">
        <is>
          <t>수분 보충 세트</t>
        </is>
      </c>
      <c r="F11367" s="94" t="inlineStr">
        <is>
          <t>카페24</t>
        </is>
      </c>
      <c r="G11367" s="94" t="inlineStr">
        <is>
          <t>[20/09/28 부터] 어성초 77 토너 250ml + 어성초 70 로션 200ml -30%</t>
        </is>
      </c>
      <c r="H11367" s="94" t="n">
        <v>200801</v>
      </c>
      <c r="I11367" s="94" t="n">
        <v>200801</v>
      </c>
      <c r="K11367" s="6" t="n">
        <v>31</v>
      </c>
      <c r="L11367" s="94" t="n">
        <v>200801</v>
      </c>
      <c r="M11367" s="94">
        <f>VLOOKUP($Q11367,매칭테이블!$F:$I,2,0)*K11367</f>
        <v/>
      </c>
      <c r="N11367" s="94">
        <f>M11367-M11367*VLOOKUP($Q11367,매칭테이블!$F:$I,3,0)</f>
        <v/>
      </c>
      <c r="O11367" s="94">
        <f>VLOOKUP($Q11367,매칭테이블!$F:$I,4,0)*K11367</f>
        <v/>
      </c>
      <c r="P11367" s="148">
        <f>M11367/1.1</f>
        <v/>
      </c>
      <c r="Q11367" s="94">
        <f>F11367&amp;E11367&amp;G11367&amp;L11367</f>
        <v/>
      </c>
    </row>
    <row r="11368" customFormat="1" s="94">
      <c r="B11368" s="128" t="n">
        <v>44161</v>
      </c>
      <c r="C11368" s="94">
        <f>TEXT(B11368,"aaa")</f>
        <v/>
      </c>
      <c r="E11368" s="94" t="inlineStr">
        <is>
          <t>로션</t>
        </is>
      </c>
      <c r="F11368" s="94" t="inlineStr">
        <is>
          <t>카페24</t>
        </is>
      </c>
      <c r="G11368" s="94" t="inlineStr">
        <is>
          <t>어성초 70 데일리 릴리프 로션 1개 -20% off</t>
        </is>
      </c>
      <c r="H11368" s="94" t="n">
        <v>200801</v>
      </c>
      <c r="I11368" s="94" t="n">
        <v>200801</v>
      </c>
      <c r="K11368" s="6" t="n">
        <v>2</v>
      </c>
      <c r="L11368" s="94" t="n">
        <v>200801</v>
      </c>
      <c r="M11368" s="94">
        <f>VLOOKUP($Q11368,매칭테이블!$F:$I,2,0)*K11368</f>
        <v/>
      </c>
      <c r="N11368" s="94">
        <f>M11368-M11368*VLOOKUP($Q11368,매칭테이블!$F:$I,3,0)</f>
        <v/>
      </c>
      <c r="O11368" s="94">
        <f>VLOOKUP($Q11368,매칭테이블!$F:$I,4,0)*K11368</f>
        <v/>
      </c>
      <c r="P11368" s="148">
        <f>M11368/1.1</f>
        <v/>
      </c>
      <c r="Q11368" s="94">
        <f>F11368&amp;E11368&amp;G11368&amp;L11368</f>
        <v/>
      </c>
    </row>
    <row r="11369" customFormat="1" s="94">
      <c r="B11369" s="128" t="n">
        <v>44161</v>
      </c>
      <c r="C11369" s="94">
        <f>TEXT(B11369,"aaa")</f>
        <v/>
      </c>
      <c r="E11369" s="94" t="inlineStr">
        <is>
          <t>머드크림마스크</t>
        </is>
      </c>
      <c r="F11369" s="94" t="inlineStr">
        <is>
          <t>카페24</t>
        </is>
      </c>
      <c r="G11369" s="94" t="inlineStr">
        <is>
          <t>머드크림마스크 100ml</t>
        </is>
      </c>
      <c r="H11369" s="94" t="n">
        <v>200801</v>
      </c>
      <c r="I11369" s="94" t="n">
        <v>200801</v>
      </c>
      <c r="K11369" s="6" t="n">
        <v>3</v>
      </c>
      <c r="L11369" s="94" t="n">
        <v>200801</v>
      </c>
      <c r="M11369" s="94">
        <f>VLOOKUP($Q11369,매칭테이블!$F:$I,2,0)*K11369</f>
        <v/>
      </c>
      <c r="N11369" s="94">
        <f>M11369-M11369*VLOOKUP($Q11369,매칭테이블!$F:$I,3,0)</f>
        <v/>
      </c>
      <c r="O11369" s="94">
        <f>VLOOKUP($Q11369,매칭테이블!$F:$I,4,0)*K11369</f>
        <v/>
      </c>
      <c r="P11369" s="148">
        <f>M11369/1.1</f>
        <v/>
      </c>
      <c r="Q11369" s="94">
        <f>F11369&amp;E11369&amp;G11369&amp;L11369</f>
        <v/>
      </c>
    </row>
    <row r="11370" customFormat="1" s="94">
      <c r="B11370" s="128" t="n">
        <v>44161</v>
      </c>
      <c r="C11370" s="94">
        <f>TEXT(B11370,"aaa")</f>
        <v/>
      </c>
      <c r="E11370" s="94" t="inlineStr">
        <is>
          <t>마스크팩</t>
        </is>
      </c>
      <c r="F11370" s="94" t="inlineStr">
        <is>
          <t>카페24</t>
        </is>
      </c>
      <c r="G11370" s="94" t="inlineStr">
        <is>
          <t>마스크팩 1매</t>
        </is>
      </c>
      <c r="H11370" s="94" t="n">
        <v>200801</v>
      </c>
      <c r="I11370" s="94" t="n">
        <v>200801</v>
      </c>
      <c r="K11370" s="6" t="n">
        <v>11</v>
      </c>
      <c r="L11370" s="94" t="n">
        <v>200801</v>
      </c>
      <c r="M11370" s="94">
        <f>VLOOKUP($Q11370,매칭테이블!$F:$I,2,0)*K11370</f>
        <v/>
      </c>
      <c r="N11370" s="94">
        <f>M11370-M11370*VLOOKUP($Q11370,매칭테이블!$F:$I,3,0)</f>
        <v/>
      </c>
      <c r="O11370" s="94">
        <f>VLOOKUP($Q11370,매칭테이블!$F:$I,4,0)*K11370</f>
        <v/>
      </c>
      <c r="P11370" s="148">
        <f>M11370/1.1</f>
        <v/>
      </c>
      <c r="Q11370" s="94">
        <f>F11370&amp;E11370&amp;G11370&amp;L11370</f>
        <v/>
      </c>
    </row>
    <row r="11371" customFormat="1" s="94">
      <c r="B11371" s="128" t="n">
        <v>44161</v>
      </c>
      <c r="C11371" s="94">
        <f>TEXT(B11371,"aaa")</f>
        <v/>
      </c>
      <c r="E11371" s="94" t="inlineStr">
        <is>
          <t>마스크팩</t>
        </is>
      </c>
      <c r="F11371" s="94" t="inlineStr">
        <is>
          <t>카페24</t>
        </is>
      </c>
      <c r="G11371" s="94" t="inlineStr">
        <is>
          <t>마스크팩 10매</t>
        </is>
      </c>
      <c r="H11371" s="94" t="n">
        <v>200801</v>
      </c>
      <c r="I11371" s="94" t="n">
        <v>200801</v>
      </c>
      <c r="K11371" s="6" t="n">
        <v>2</v>
      </c>
      <c r="L11371" s="94" t="n">
        <v>200801</v>
      </c>
      <c r="M11371" s="94">
        <f>VLOOKUP($Q11371,매칭테이블!$F:$I,2,0)*K11371</f>
        <v/>
      </c>
      <c r="N11371" s="94">
        <f>M11371-M11371*VLOOKUP($Q11371,매칭테이블!$F:$I,3,0)</f>
        <v/>
      </c>
      <c r="O11371" s="94">
        <f>VLOOKUP($Q11371,매칭테이블!$F:$I,4,0)*K11371</f>
        <v/>
      </c>
      <c r="P11371" s="148">
        <f>M11371/1.1</f>
        <v/>
      </c>
      <c r="Q11371" s="94">
        <f>F11371&amp;E11371&amp;G11371&amp;L11371</f>
        <v/>
      </c>
    </row>
    <row r="11372" customFormat="1" s="94">
      <c r="B11372" s="128" t="n">
        <v>44161</v>
      </c>
      <c r="C11372" s="94">
        <f>TEXT(B11372,"aaa")</f>
        <v/>
      </c>
      <c r="E11372" s="94" t="inlineStr">
        <is>
          <t>토너</t>
        </is>
      </c>
      <c r="F11372" s="94" t="inlineStr">
        <is>
          <t>카페24</t>
        </is>
      </c>
      <c r="G11372" s="94" t="inlineStr">
        <is>
          <t>250ml</t>
        </is>
      </c>
      <c r="H11372" s="94" t="n">
        <v>200801</v>
      </c>
      <c r="I11372" s="94" t="n">
        <v>200801</v>
      </c>
      <c r="K11372" s="6" t="n">
        <v>61</v>
      </c>
      <c r="L11372" s="94" t="n">
        <v>200801</v>
      </c>
      <c r="M11372" s="94">
        <f>VLOOKUP($Q11372,매칭테이블!$F:$I,2,0)*K11372</f>
        <v/>
      </c>
      <c r="N11372" s="94">
        <f>M11372-M11372*VLOOKUP($Q11372,매칭테이블!$F:$I,3,0)</f>
        <v/>
      </c>
      <c r="O11372" s="94">
        <f>VLOOKUP($Q11372,매칭테이블!$F:$I,4,0)*K11372</f>
        <v/>
      </c>
      <c r="P11372" s="148">
        <f>M11372/1.1</f>
        <v/>
      </c>
      <c r="Q11372" s="94">
        <f>F11372&amp;E11372&amp;G11372&amp;L11372</f>
        <v/>
      </c>
    </row>
    <row r="11373" customFormat="1" s="94">
      <c r="B11373" s="128" t="n">
        <v>44161</v>
      </c>
      <c r="C11373" s="94">
        <f>TEXT(B11373,"aaa")</f>
        <v/>
      </c>
      <c r="E11373" s="94" t="inlineStr">
        <is>
          <t>토너</t>
        </is>
      </c>
      <c r="F11373" s="94" t="inlineStr">
        <is>
          <t>카페24</t>
        </is>
      </c>
      <c r="G11373" s="94" t="inlineStr">
        <is>
          <t>250ml 2set</t>
        </is>
      </c>
      <c r="H11373" s="94" t="n">
        <v>200801</v>
      </c>
      <c r="I11373" s="94" t="n">
        <v>200801</v>
      </c>
      <c r="K11373" s="6" t="n">
        <v>20</v>
      </c>
      <c r="L11373" s="94" t="n">
        <v>200801</v>
      </c>
      <c r="M11373" s="94">
        <f>VLOOKUP($Q11373,매칭테이블!$F:$I,2,0)*K11373</f>
        <v/>
      </c>
      <c r="N11373" s="94">
        <f>M11373-M11373*VLOOKUP($Q11373,매칭테이블!$F:$I,3,0)</f>
        <v/>
      </c>
      <c r="O11373" s="94">
        <f>VLOOKUP($Q11373,매칭테이블!$F:$I,4,0)*K11373</f>
        <v/>
      </c>
      <c r="P11373" s="148">
        <f>M11373/1.1</f>
        <v/>
      </c>
      <c r="Q11373" s="94">
        <f>F11373&amp;E11373&amp;G11373&amp;L11373</f>
        <v/>
      </c>
    </row>
    <row r="11374" customFormat="1" s="94">
      <c r="B11374" s="128" t="n">
        <v>44161</v>
      </c>
      <c r="C11374" s="94">
        <f>TEXT(B11374,"aaa")</f>
        <v/>
      </c>
      <c r="E11374" s="94" t="inlineStr">
        <is>
          <t>토너</t>
        </is>
      </c>
      <c r="F11374" s="94" t="inlineStr">
        <is>
          <t>카페24</t>
        </is>
      </c>
      <c r="G11374" s="94" t="inlineStr">
        <is>
          <t>500ml</t>
        </is>
      </c>
      <c r="H11374" s="94" t="n">
        <v>200801</v>
      </c>
      <c r="I11374" s="94" t="n">
        <v>200801</v>
      </c>
      <c r="K11374" s="6" t="n">
        <v>41</v>
      </c>
      <c r="L11374" s="94" t="n">
        <v>200801</v>
      </c>
      <c r="M11374" s="94">
        <f>VLOOKUP($Q11374,매칭테이블!$F:$I,2,0)*K11374</f>
        <v/>
      </c>
      <c r="N11374" s="94">
        <f>M11374-M11374*VLOOKUP($Q11374,매칭테이블!$F:$I,3,0)</f>
        <v/>
      </c>
      <c r="O11374" s="94">
        <f>VLOOKUP($Q11374,매칭테이블!$F:$I,4,0)*K11374</f>
        <v/>
      </c>
      <c r="P11374" s="148">
        <f>M11374/1.1</f>
        <v/>
      </c>
      <c r="Q11374" s="94">
        <f>F11374&amp;E11374&amp;G11374&amp;L11374</f>
        <v/>
      </c>
    </row>
    <row r="11375" customFormat="1" s="94">
      <c r="B11375" s="128" t="n">
        <v>44161</v>
      </c>
      <c r="C11375" s="94">
        <f>TEXT(B11375,"aaa")</f>
        <v/>
      </c>
      <c r="E11375" s="94" t="inlineStr">
        <is>
          <t>토너</t>
        </is>
      </c>
      <c r="F11375" s="94" t="inlineStr">
        <is>
          <t>카페24</t>
        </is>
      </c>
      <c r="G11375" s="94" t="inlineStr">
        <is>
          <t>스킨팩 화장솜 60P</t>
        </is>
      </c>
      <c r="H11375" s="94" t="n">
        <v>200801</v>
      </c>
      <c r="I11375" s="94" t="n">
        <v>200801</v>
      </c>
      <c r="K11375" s="6" t="n">
        <v>63</v>
      </c>
      <c r="L11375" s="94" t="n">
        <v>200801</v>
      </c>
      <c r="M11375" s="94">
        <f>VLOOKUP($Q11375,매칭테이블!$F:$I,2,0)*K11375</f>
        <v/>
      </c>
      <c r="N11375" s="94">
        <f>M11375-M11375*VLOOKUP($Q11375,매칭테이블!$F:$I,3,0)</f>
        <v/>
      </c>
      <c r="O11375" s="94">
        <f>VLOOKUP($Q11375,매칭테이블!$F:$I,4,0)*K11375</f>
        <v/>
      </c>
      <c r="P11375" s="148">
        <f>M11375/1.1</f>
        <v/>
      </c>
      <c r="Q11375" s="94">
        <f>F11375&amp;E11375&amp;G11375&amp;L11375</f>
        <v/>
      </c>
    </row>
    <row r="11376" customFormat="1" s="94">
      <c r="B11376" s="128" t="n">
        <v>44161</v>
      </c>
      <c r="C11376" s="94">
        <f>TEXT(B11376,"aaa")</f>
        <v/>
      </c>
      <c r="E11376" s="94" t="inlineStr">
        <is>
          <t>앰플</t>
        </is>
      </c>
      <c r="F11376" s="94" t="inlineStr">
        <is>
          <t>카페24</t>
        </is>
      </c>
      <c r="G11376" s="94" t="inlineStr">
        <is>
          <t>앰플 30ml</t>
        </is>
      </c>
      <c r="H11376" s="94" t="n">
        <v>200801</v>
      </c>
      <c r="I11376" s="94" t="n">
        <v>200801</v>
      </c>
      <c r="K11376" s="6" t="n">
        <v>27</v>
      </c>
      <c r="L11376" s="94" t="n">
        <v>200801</v>
      </c>
      <c r="M11376" s="94">
        <f>VLOOKUP($Q11376,매칭테이블!$F:$I,2,0)*K11376</f>
        <v/>
      </c>
      <c r="N11376" s="94">
        <f>M11376-M11376*VLOOKUP($Q11376,매칭테이블!$F:$I,3,0)</f>
        <v/>
      </c>
      <c r="O11376" s="94">
        <f>VLOOKUP($Q11376,매칭테이블!$F:$I,4,0)*K11376</f>
        <v/>
      </c>
      <c r="P11376" s="148">
        <f>M11376/1.1</f>
        <v/>
      </c>
      <c r="Q11376" s="94">
        <f>F11376&amp;E11376&amp;G11376&amp;L11376</f>
        <v/>
      </c>
    </row>
    <row r="11377" customFormat="1" s="94">
      <c r="B11377" s="128" t="n">
        <v>44161</v>
      </c>
      <c r="C11377" s="94">
        <f>TEXT(B11377,"aaa")</f>
        <v/>
      </c>
      <c r="E11377" s="94" t="inlineStr">
        <is>
          <t>앰플</t>
        </is>
      </c>
      <c r="F11377" s="94" t="inlineStr">
        <is>
          <t>카페24</t>
        </is>
      </c>
      <c r="G11377" s="94" t="inlineStr">
        <is>
          <t>앰플 30ml  2set</t>
        </is>
      </c>
      <c r="H11377" s="94" t="n">
        <v>200801</v>
      </c>
      <c r="I11377" s="94" t="n">
        <v>200801</v>
      </c>
      <c r="K11377" s="6" t="n">
        <v>7</v>
      </c>
      <c r="L11377" s="94" t="n">
        <v>200801</v>
      </c>
      <c r="M11377" s="94">
        <f>VLOOKUP($Q11377,매칭테이블!$F:$I,2,0)*K11377</f>
        <v/>
      </c>
      <c r="N11377" s="94">
        <f>M11377-M11377*VLOOKUP($Q11377,매칭테이블!$F:$I,3,0)</f>
        <v/>
      </c>
      <c r="O11377" s="94">
        <f>VLOOKUP($Q11377,매칭테이블!$F:$I,4,0)*K11377</f>
        <v/>
      </c>
      <c r="P11377" s="148">
        <f>M11377/1.1</f>
        <v/>
      </c>
      <c r="Q11377" s="94">
        <f>F11377&amp;E11377&amp;G11377&amp;L11377</f>
        <v/>
      </c>
    </row>
    <row r="11378" customFormat="1" s="94">
      <c r="B11378" s="128" t="n">
        <v>44161</v>
      </c>
      <c r="C11378" s="94">
        <f>TEXT(B11378,"aaa")</f>
        <v/>
      </c>
      <c r="E11378" s="94" t="inlineStr">
        <is>
          <t>수딩크림</t>
        </is>
      </c>
      <c r="F11378" s="94" t="inlineStr">
        <is>
          <t>카페24</t>
        </is>
      </c>
      <c r="G11378" s="94" t="inlineStr">
        <is>
          <t>수딩크림 100ml</t>
        </is>
      </c>
      <c r="H11378" s="94" t="n">
        <v>200801</v>
      </c>
      <c r="I11378" s="94" t="n">
        <v>200801</v>
      </c>
      <c r="K11378" s="6" t="n">
        <v>2</v>
      </c>
      <c r="L11378" s="94" t="n">
        <v>200801</v>
      </c>
      <c r="M11378" s="94">
        <f>VLOOKUP($Q11378,매칭테이블!$F:$I,2,0)*K11378</f>
        <v/>
      </c>
      <c r="N11378" s="94">
        <f>M11378-M11378*VLOOKUP($Q11378,매칭테이블!$F:$I,3,0)</f>
        <v/>
      </c>
      <c r="O11378" s="94">
        <f>VLOOKUP($Q11378,매칭테이블!$F:$I,4,0)*K11378</f>
        <v/>
      </c>
      <c r="P11378" s="148">
        <f>M11378/1.1</f>
        <v/>
      </c>
      <c r="Q11378" s="94">
        <f>F11378&amp;E11378&amp;G11378&amp;L11378</f>
        <v/>
      </c>
    </row>
    <row r="11379" customFormat="1" s="94">
      <c r="B11379" s="128" t="n">
        <v>44161</v>
      </c>
      <c r="C11379" s="94">
        <f>TEXT(B11379,"aaa")</f>
        <v/>
      </c>
      <c r="E11379" s="94" t="inlineStr">
        <is>
          <t>클렌징폼</t>
        </is>
      </c>
      <c r="F11379" s="94" t="inlineStr">
        <is>
          <t>카페24</t>
        </is>
      </c>
      <c r="G11379" s="94" t="inlineStr">
        <is>
          <t>클렌징폼 120ml</t>
        </is>
      </c>
      <c r="H11379" s="94" t="n">
        <v>200801</v>
      </c>
      <c r="I11379" s="94" t="n">
        <v>200801</v>
      </c>
      <c r="K11379" s="6" t="n">
        <v>10</v>
      </c>
      <c r="L11379" s="94" t="n">
        <v>200801</v>
      </c>
      <c r="M11379" s="94">
        <f>VLOOKUP($Q11379,매칭테이블!$F:$I,2,0)*K11379</f>
        <v/>
      </c>
      <c r="N11379" s="94">
        <f>M11379-M11379*VLOOKUP($Q11379,매칭테이블!$F:$I,3,0)</f>
        <v/>
      </c>
      <c r="O11379" s="94">
        <f>VLOOKUP($Q11379,매칭테이블!$F:$I,4,0)*K11379</f>
        <v/>
      </c>
      <c r="P11379" s="148">
        <f>M11379/1.1</f>
        <v/>
      </c>
      <c r="Q11379" s="94">
        <f>F11379&amp;E11379&amp;G11379&amp;L11379</f>
        <v/>
      </c>
    </row>
    <row r="11380" customFormat="1" s="94">
      <c r="B11380" s="128" t="n">
        <v>44161</v>
      </c>
      <c r="C11380" s="94">
        <f>TEXT(B11380,"aaa")</f>
        <v/>
      </c>
      <c r="E11380" s="94" t="inlineStr">
        <is>
          <t>클렌징폼</t>
        </is>
      </c>
      <c r="F11380" s="94" t="inlineStr">
        <is>
          <t>카페24</t>
        </is>
      </c>
      <c r="G11380" s="94" t="inlineStr">
        <is>
          <t>클렌징폼 120ml 2set</t>
        </is>
      </c>
      <c r="H11380" s="94" t="n">
        <v>200801</v>
      </c>
      <c r="I11380" s="94" t="n">
        <v>200801</v>
      </c>
      <c r="K11380" s="6" t="n">
        <v>3</v>
      </c>
      <c r="L11380" s="94" t="n">
        <v>200801</v>
      </c>
      <c r="M11380" s="94">
        <f>VLOOKUP($Q11380,매칭테이블!$F:$I,2,0)*K11380</f>
        <v/>
      </c>
      <c r="N11380" s="94">
        <f>M11380-M11380*VLOOKUP($Q11380,매칭테이블!$F:$I,3,0)</f>
        <v/>
      </c>
      <c r="O11380" s="94">
        <f>VLOOKUP($Q11380,매칭테이블!$F:$I,4,0)*K11380</f>
        <v/>
      </c>
      <c r="P11380" s="148">
        <f>M11380/1.1</f>
        <v/>
      </c>
      <c r="Q11380" s="94">
        <f>F11380&amp;E11380&amp;G11380&amp;L11380</f>
        <v/>
      </c>
    </row>
    <row r="11381" customFormat="1" s="94">
      <c r="B11381" s="128" t="n">
        <v>44161</v>
      </c>
      <c r="C11381" s="94">
        <f>TEXT(B11381,"aaa")</f>
        <v/>
      </c>
      <c r="E11381" s="94" t="inlineStr">
        <is>
          <t>바디워시</t>
        </is>
      </c>
      <c r="F11381" s="94" t="inlineStr">
        <is>
          <t>카페24</t>
        </is>
      </c>
      <c r="G11381" s="94" t="inlineStr">
        <is>
          <t>바디워시 1개 -30% off</t>
        </is>
      </c>
      <c r="H11381" s="94" t="n">
        <v>200801</v>
      </c>
      <c r="I11381" s="94" t="n">
        <v>200801</v>
      </c>
      <c r="K11381" s="6" t="n">
        <v>3</v>
      </c>
      <c r="L11381" s="94" t="n">
        <v>200801</v>
      </c>
      <c r="M11381" s="94">
        <f>VLOOKUP($Q11381,매칭테이블!$F:$I,2,0)*K11381</f>
        <v/>
      </c>
      <c r="N11381" s="94">
        <f>M11381-M11381*VLOOKUP($Q11381,매칭테이블!$F:$I,3,0)</f>
        <v/>
      </c>
      <c r="O11381" s="94">
        <f>VLOOKUP($Q11381,매칭테이블!$F:$I,4,0)*K11381</f>
        <v/>
      </c>
      <c r="P11381" s="148">
        <f>M11381/1.1</f>
        <v/>
      </c>
      <c r="Q11381" s="94">
        <f>F11381&amp;E11381&amp;G11381&amp;L11381</f>
        <v/>
      </c>
    </row>
    <row r="11382" customFormat="1" s="94">
      <c r="B11382" s="128" t="n">
        <v>44161</v>
      </c>
      <c r="C11382" s="94">
        <f>TEXT(B11382,"aaa")</f>
        <v/>
      </c>
      <c r="E11382" s="94" t="inlineStr">
        <is>
          <t>바디워시</t>
        </is>
      </c>
      <c r="F11382" s="94" t="inlineStr">
        <is>
          <t>카페24</t>
        </is>
      </c>
      <c r="G11382" s="94" t="inlineStr">
        <is>
          <t>바디워시 2개 -35% off (무료배송)</t>
        </is>
      </c>
      <c r="H11382" s="94" t="n">
        <v>200801</v>
      </c>
      <c r="I11382" s="94" t="n">
        <v>200801</v>
      </c>
      <c r="K11382" s="6" t="n">
        <v>1</v>
      </c>
      <c r="L11382" s="94" t="n">
        <v>200801</v>
      </c>
      <c r="M11382" s="94">
        <f>VLOOKUP($Q11382,매칭테이블!$F:$I,2,0)*K11382</f>
        <v/>
      </c>
      <c r="N11382" s="94">
        <f>M11382-M11382*VLOOKUP($Q11382,매칭테이블!$F:$I,3,0)</f>
        <v/>
      </c>
      <c r="O11382" s="94">
        <f>VLOOKUP($Q11382,매칭테이블!$F:$I,4,0)*K11382</f>
        <v/>
      </c>
      <c r="P11382" s="148">
        <f>M11382/1.1</f>
        <v/>
      </c>
      <c r="Q11382" s="94">
        <f>F11382&amp;E11382&amp;G11382&amp;L11382</f>
        <v/>
      </c>
    </row>
    <row r="11383" customFormat="1" s="94">
      <c r="B11383" s="128" t="n">
        <v>44161</v>
      </c>
      <c r="C11383" s="94">
        <f>TEXT(B11383,"aaa")</f>
        <v/>
      </c>
      <c r="E11383" s="94" t="inlineStr">
        <is>
          <t>토너</t>
        </is>
      </c>
      <c r="F11383" s="94" t="inlineStr">
        <is>
          <t>화해</t>
        </is>
      </c>
      <c r="G11383" s="94" t="inlineStr">
        <is>
          <t>250ml</t>
        </is>
      </c>
      <c r="H11383" s="94" t="n">
        <v>200801</v>
      </c>
      <c r="I11383" s="94" t="n">
        <v>200801</v>
      </c>
      <c r="K11383" s="6" t="n">
        <v>4</v>
      </c>
      <c r="L11383" s="94" t="n">
        <v>200801</v>
      </c>
      <c r="M11383" s="94">
        <f>VLOOKUP($Q11383,매칭테이블!$F:$I,2,0)*K11383</f>
        <v/>
      </c>
      <c r="N11383" s="94">
        <f>M11383-M11383*VLOOKUP($Q11383,매칭테이블!$F:$I,3,0)</f>
        <v/>
      </c>
      <c r="O11383" s="94">
        <f>VLOOKUP($Q11383,매칭테이블!$F:$I,4,0)*K11383</f>
        <v/>
      </c>
      <c r="P11383" s="148">
        <f>M11383/1.1</f>
        <v/>
      </c>
      <c r="Q11383" s="94">
        <f>F11383&amp;E11383&amp;G11383&amp;L11383</f>
        <v/>
      </c>
    </row>
    <row r="11384" customFormat="1" s="94">
      <c r="B11384" s="128" t="n">
        <v>44162</v>
      </c>
      <c r="C11384" s="94">
        <f>TEXT(B11384,"aaa")</f>
        <v/>
      </c>
      <c r="E11384" s="94" t="inlineStr">
        <is>
          <t>토너</t>
        </is>
      </c>
      <c r="F11384" s="94" t="inlineStr">
        <is>
          <t>W컨셉</t>
        </is>
      </c>
      <c r="G11384" s="94" t="inlineStr">
        <is>
          <t>250ml</t>
        </is>
      </c>
      <c r="H11384" s="94" t="n">
        <v>200801</v>
      </c>
      <c r="I11384" s="94" t="n">
        <v>200801</v>
      </c>
      <c r="K11384" s="6" t="n">
        <v>1</v>
      </c>
      <c r="L11384" s="94" t="n">
        <v>200801</v>
      </c>
      <c r="M11384" s="94">
        <f>VLOOKUP($Q11384,매칭테이블!$F:$I,2,0)*K11384</f>
        <v/>
      </c>
      <c r="N11384" s="94">
        <f>M11384-M11384*VLOOKUP($Q11384,매칭테이블!$F:$I,3,0)</f>
        <v/>
      </c>
      <c r="O11384" s="94">
        <f>VLOOKUP($Q11384,매칭테이블!$F:$I,4,0)*K11384</f>
        <v/>
      </c>
      <c r="P11384" s="148">
        <f>M11384/1.1</f>
        <v/>
      </c>
      <c r="Q11384" s="94">
        <f>F11384&amp;E11384&amp;G11384&amp;L11384</f>
        <v/>
      </c>
    </row>
    <row r="11385" customFormat="1" s="94">
      <c r="B11385" s="128" t="n">
        <v>44162</v>
      </c>
      <c r="C11385" s="94">
        <f>TEXT(B11385,"aaa")</f>
        <v/>
      </c>
      <c r="E11385" s="94" t="inlineStr">
        <is>
          <t>토너</t>
        </is>
      </c>
      <c r="F11385" s="94" t="inlineStr">
        <is>
          <t>W컨셉</t>
        </is>
      </c>
      <c r="G11385" s="94" t="inlineStr">
        <is>
          <t>250ml 2set</t>
        </is>
      </c>
      <c r="H11385" s="94" t="n">
        <v>200801</v>
      </c>
      <c r="I11385" s="94" t="n">
        <v>200801</v>
      </c>
      <c r="K11385" s="6" t="n">
        <v>5</v>
      </c>
      <c r="L11385" s="94" t="n">
        <v>200801</v>
      </c>
      <c r="M11385" s="94">
        <f>VLOOKUP($Q11385,매칭테이블!$F:$I,2,0)*K11385</f>
        <v/>
      </c>
      <c r="N11385" s="94">
        <f>M11385-M11385*VLOOKUP($Q11385,매칭테이블!$F:$I,3,0)</f>
        <v/>
      </c>
      <c r="O11385" s="94">
        <f>VLOOKUP($Q11385,매칭테이블!$F:$I,4,0)*K11385</f>
        <v/>
      </c>
      <c r="P11385" s="148">
        <f>M11385/1.1</f>
        <v/>
      </c>
      <c r="Q11385" s="94">
        <f>F11385&amp;E11385&amp;G11385&amp;L11385</f>
        <v/>
      </c>
    </row>
    <row r="11386" customFormat="1" s="94">
      <c r="B11386" s="128" t="n">
        <v>44162</v>
      </c>
      <c r="C11386" s="94">
        <f>TEXT(B11386,"aaa")</f>
        <v/>
      </c>
      <c r="E11386" s="94" t="inlineStr">
        <is>
          <t>토너</t>
        </is>
      </c>
      <c r="F11386" s="94" t="inlineStr">
        <is>
          <t>스타일쉐어</t>
        </is>
      </c>
      <c r="G11386" s="94" t="inlineStr">
        <is>
          <t>250ml</t>
        </is>
      </c>
      <c r="H11386" s="94" t="n">
        <v>200801</v>
      </c>
      <c r="I11386" s="94" t="n">
        <v>200801</v>
      </c>
      <c r="K11386" s="6" t="n">
        <v>1</v>
      </c>
      <c r="L11386" s="94" t="n">
        <v>200801</v>
      </c>
      <c r="M11386" s="94">
        <f>VLOOKUP($Q11386,매칭테이블!$F:$I,2,0)*K11386</f>
        <v/>
      </c>
      <c r="N11386" s="94">
        <f>M11386-M11386*VLOOKUP($Q11386,매칭테이블!$F:$I,3,0)</f>
        <v/>
      </c>
      <c r="O11386" s="94">
        <f>VLOOKUP($Q11386,매칭테이블!$F:$I,4,0)*K11386</f>
        <v/>
      </c>
      <c r="P11386" s="148">
        <f>M11386/1.1</f>
        <v/>
      </c>
      <c r="Q11386" s="94">
        <f>F11386&amp;E11386&amp;G11386&amp;L11386</f>
        <v/>
      </c>
    </row>
    <row r="11387" customFormat="1" s="94">
      <c r="B11387" s="128" t="n">
        <v>44162</v>
      </c>
      <c r="C11387" s="94">
        <f>TEXT(B11387,"aaa")</f>
        <v/>
      </c>
      <c r="E11387" s="94" t="inlineStr">
        <is>
          <t>선크림</t>
        </is>
      </c>
      <c r="F11387" s="94" t="inlineStr">
        <is>
          <t>카페24</t>
        </is>
      </c>
      <c r="G11387" s="94" t="inlineStr">
        <is>
          <t>선크림 50ml</t>
        </is>
      </c>
      <c r="H11387" s="94" t="n">
        <v>200801</v>
      </c>
      <c r="I11387" s="94" t="n">
        <v>200801</v>
      </c>
      <c r="K11387" s="6" t="n">
        <v>6</v>
      </c>
      <c r="L11387" s="94" t="n">
        <v>200801</v>
      </c>
      <c r="M11387" s="94">
        <f>VLOOKUP($Q11387,매칭테이블!$F:$I,2,0)*K11387</f>
        <v/>
      </c>
      <c r="N11387" s="94">
        <f>M11387-M11387*VLOOKUP($Q11387,매칭테이블!$F:$I,3,0)</f>
        <v/>
      </c>
      <c r="O11387" s="94">
        <f>VLOOKUP($Q11387,매칭테이블!$F:$I,4,0)*K11387</f>
        <v/>
      </c>
      <c r="P11387" s="148">
        <f>M11387/1.1</f>
        <v/>
      </c>
      <c r="Q11387" s="94">
        <f>F11387&amp;E11387&amp;G11387&amp;L11387</f>
        <v/>
      </c>
    </row>
    <row r="11388" customFormat="1" s="94">
      <c r="B11388" s="128" t="n">
        <v>44162</v>
      </c>
      <c r="C11388" s="94">
        <f>TEXT(B11388,"aaa")</f>
        <v/>
      </c>
      <c r="E11388" s="94" t="inlineStr">
        <is>
          <t>선크림</t>
        </is>
      </c>
      <c r="F11388" s="94" t="inlineStr">
        <is>
          <t>카페24</t>
        </is>
      </c>
      <c r="G11388" s="94" t="inlineStr">
        <is>
          <t>선크림 50ml  2set</t>
        </is>
      </c>
      <c r="H11388" s="94" t="n">
        <v>200801</v>
      </c>
      <c r="I11388" s="94" t="n">
        <v>200801</v>
      </c>
      <c r="K11388" s="6" t="n">
        <v>2</v>
      </c>
      <c r="L11388" s="94" t="n">
        <v>200801</v>
      </c>
      <c r="M11388" s="94">
        <f>VLOOKUP($Q11388,매칭테이블!$F:$I,2,0)*K11388</f>
        <v/>
      </c>
      <c r="N11388" s="94">
        <f>M11388-M11388*VLOOKUP($Q11388,매칭테이블!$F:$I,3,0)</f>
        <v/>
      </c>
      <c r="O11388" s="94">
        <f>VLOOKUP($Q11388,매칭테이블!$F:$I,4,0)*K11388</f>
        <v/>
      </c>
      <c r="P11388" s="148">
        <f>M11388/1.1</f>
        <v/>
      </c>
      <c r="Q11388" s="94">
        <f>F11388&amp;E11388&amp;G11388&amp;L11388</f>
        <v/>
      </c>
    </row>
    <row r="11389" customFormat="1" s="94">
      <c r="B11389" s="128" t="n">
        <v>44162</v>
      </c>
      <c r="C11389" s="94">
        <f>TEXT(B11389,"aaa")</f>
        <v/>
      </c>
      <c r="E11389" s="94" t="inlineStr">
        <is>
          <t>카밍크림</t>
        </is>
      </c>
      <c r="F11389" s="94" t="inlineStr">
        <is>
          <t>카페24</t>
        </is>
      </c>
      <c r="G11389" s="94" t="inlineStr">
        <is>
          <t>크림=어성초 70 인텐스 카밍 크림 1개 (-20%)</t>
        </is>
      </c>
      <c r="H11389" s="94" t="n">
        <v>200801</v>
      </c>
      <c r="I11389" s="94" t="n">
        <v>200801</v>
      </c>
      <c r="K11389" s="6" t="n">
        <v>1</v>
      </c>
      <c r="L11389" s="94" t="n">
        <v>200801</v>
      </c>
      <c r="M11389" s="94">
        <f>VLOOKUP($Q11389,매칭테이블!$F:$I,2,0)*K11389</f>
        <v/>
      </c>
      <c r="N11389" s="94">
        <f>M11389-M11389*VLOOKUP($Q11389,매칭테이블!$F:$I,3,0)</f>
        <v/>
      </c>
      <c r="O11389" s="94">
        <f>VLOOKUP($Q11389,매칭테이블!$F:$I,4,0)*K11389</f>
        <v/>
      </c>
      <c r="P11389" s="148">
        <f>M11389/1.1</f>
        <v/>
      </c>
      <c r="Q11389" s="94">
        <f>F11389&amp;E11389&amp;G11389&amp;L11389</f>
        <v/>
      </c>
    </row>
    <row r="11390" customFormat="1" s="94">
      <c r="B11390" s="128" t="n">
        <v>44162</v>
      </c>
      <c r="C11390" s="94">
        <f>TEXT(B11390,"aaa")</f>
        <v/>
      </c>
      <c r="E11390" s="94" t="inlineStr">
        <is>
          <t>카밍크림</t>
        </is>
      </c>
      <c r="F11390" s="94" t="inlineStr">
        <is>
          <t>카페24</t>
        </is>
      </c>
      <c r="G11390" s="94" t="inlineStr">
        <is>
          <t>크림=어성초 토너 250ml + 카밍 크림 50ml (-30%)</t>
        </is>
      </c>
      <c r="H11390" s="94" t="n">
        <v>200801</v>
      </c>
      <c r="I11390" s="94" t="n">
        <v>200801</v>
      </c>
      <c r="K11390" s="6" t="n">
        <v>1</v>
      </c>
      <c r="L11390" s="94" t="n">
        <v>200801</v>
      </c>
      <c r="M11390" s="94">
        <f>VLOOKUP($Q11390,매칭테이블!$F:$I,2,0)*K11390</f>
        <v/>
      </c>
      <c r="N11390" s="94">
        <f>M11390-M11390*VLOOKUP($Q11390,매칭테이블!$F:$I,3,0)</f>
        <v/>
      </c>
      <c r="O11390" s="94">
        <f>VLOOKUP($Q11390,매칭테이블!$F:$I,4,0)*K11390</f>
        <v/>
      </c>
      <c r="P11390" s="148">
        <f>M11390/1.1</f>
        <v/>
      </c>
      <c r="Q11390" s="94">
        <f>F11390&amp;E11390&amp;G11390&amp;L11390</f>
        <v/>
      </c>
    </row>
    <row r="11391" customFormat="1" s="94">
      <c r="B11391" s="128" t="n">
        <v>44162</v>
      </c>
      <c r="C11391" s="94">
        <f>TEXT(B11391,"aaa")</f>
        <v/>
      </c>
      <c r="E11391" s="94" t="inlineStr">
        <is>
          <t>크림마스크</t>
        </is>
      </c>
      <c r="F11391" s="94" t="inlineStr">
        <is>
          <t>카페24</t>
        </is>
      </c>
      <c r="G11391" s="94" t="inlineStr">
        <is>
          <t>옵션=어성초 크림마스크 나이트 솔루션 1장</t>
        </is>
      </c>
      <c r="H11391" s="94" t="n">
        <v>200801</v>
      </c>
      <c r="I11391" s="94" t="n">
        <v>200801</v>
      </c>
      <c r="K11391" s="6" t="n">
        <v>1</v>
      </c>
      <c r="L11391" s="94" t="n">
        <v>200801</v>
      </c>
      <c r="M11391" s="94">
        <f>VLOOKUP($Q11391,매칭테이블!$F:$I,2,0)*K11391</f>
        <v/>
      </c>
      <c r="N11391" s="94">
        <f>M11391-M11391*VLOOKUP($Q11391,매칭테이블!$F:$I,3,0)</f>
        <v/>
      </c>
      <c r="O11391" s="94">
        <f>VLOOKUP($Q11391,매칭테이블!$F:$I,4,0)*K11391</f>
        <v/>
      </c>
      <c r="P11391" s="148">
        <f>M11391/1.1</f>
        <v/>
      </c>
      <c r="Q11391" s="94">
        <f>F11391&amp;E11391&amp;G11391&amp;L11391</f>
        <v/>
      </c>
    </row>
    <row r="11392" customFormat="1" s="94">
      <c r="B11392" s="128" t="n">
        <v>44162</v>
      </c>
      <c r="C11392" s="94">
        <f>TEXT(B11392,"aaa")</f>
        <v/>
      </c>
      <c r="E11392" s="94" t="inlineStr">
        <is>
          <t>크림마스크</t>
        </is>
      </c>
      <c r="F11392" s="94" t="inlineStr">
        <is>
          <t>카페24</t>
        </is>
      </c>
      <c r="G11392" s="94" t="inlineStr">
        <is>
          <t>옵션=어성초 크림마스크 나이트 솔루션 10장</t>
        </is>
      </c>
      <c r="H11392" s="94" t="n">
        <v>200801</v>
      </c>
      <c r="I11392" s="94" t="n">
        <v>200801</v>
      </c>
      <c r="K11392" s="6" t="n">
        <v>2</v>
      </c>
      <c r="L11392" s="94" t="n">
        <v>200801</v>
      </c>
      <c r="M11392" s="94">
        <f>VLOOKUP($Q11392,매칭테이블!$F:$I,2,0)*K11392</f>
        <v/>
      </c>
      <c r="N11392" s="94">
        <f>M11392-M11392*VLOOKUP($Q11392,매칭테이블!$F:$I,3,0)</f>
        <v/>
      </c>
      <c r="O11392" s="94">
        <f>VLOOKUP($Q11392,매칭테이블!$F:$I,4,0)*K11392</f>
        <v/>
      </c>
      <c r="P11392" s="148">
        <f>M11392/1.1</f>
        <v/>
      </c>
      <c r="Q11392" s="94">
        <f>F11392&amp;E11392&amp;G11392&amp;L11392</f>
        <v/>
      </c>
    </row>
    <row r="11393" customFormat="1" s="94">
      <c r="B11393" s="128" t="n">
        <v>44162</v>
      </c>
      <c r="C11393" s="94">
        <f>TEXT(B11393,"aaa")</f>
        <v/>
      </c>
      <c r="E11393" s="94" t="inlineStr">
        <is>
          <t>어성초진정패키지</t>
        </is>
      </c>
      <c r="F11393" s="94" t="inlineStr">
        <is>
          <t>카페24</t>
        </is>
      </c>
      <c r="G11393" s="94" t="inlineStr">
        <is>
          <t>어성초 진정패키지세트</t>
        </is>
      </c>
      <c r="H11393" s="94" t="n">
        <v>200801</v>
      </c>
      <c r="I11393" s="94" t="n">
        <v>200801</v>
      </c>
      <c r="K11393" s="6" t="n">
        <v>4</v>
      </c>
      <c r="L11393" s="94" t="n">
        <v>200801</v>
      </c>
      <c r="M11393" s="94">
        <f>VLOOKUP($Q11393,매칭테이블!$F:$I,2,0)*K11393</f>
        <v/>
      </c>
      <c r="N11393" s="94">
        <f>M11393-M11393*VLOOKUP($Q11393,매칭테이블!$F:$I,3,0)</f>
        <v/>
      </c>
      <c r="O11393" s="94">
        <f>VLOOKUP($Q11393,매칭테이블!$F:$I,4,0)*K11393</f>
        <v/>
      </c>
      <c r="P11393" s="148">
        <f>M11393/1.1</f>
        <v/>
      </c>
      <c r="Q11393" s="94">
        <f>F11393&amp;E11393&amp;G11393&amp;L11393</f>
        <v/>
      </c>
    </row>
    <row r="11394" customFormat="1" s="94">
      <c r="B11394" s="128" t="n">
        <v>44162</v>
      </c>
      <c r="C11394" s="94">
        <f>TEXT(B11394,"aaa")</f>
        <v/>
      </c>
      <c r="E11394" s="94" t="inlineStr">
        <is>
          <t>클리어 패드</t>
        </is>
      </c>
      <c r="F11394" s="94" t="inlineStr">
        <is>
          <t>카페24</t>
        </is>
      </c>
      <c r="G11394" s="94" t="inlineStr">
        <is>
          <t>어성초 77 클리어 패드 1개-20% off</t>
        </is>
      </c>
      <c r="H11394" s="94" t="n">
        <v>200801</v>
      </c>
      <c r="I11394" s="94" t="n">
        <v>200801</v>
      </c>
      <c r="K11394" s="6" t="n">
        <v>37</v>
      </c>
      <c r="L11394" s="94" t="n">
        <v>200801</v>
      </c>
      <c r="M11394" s="94">
        <f>VLOOKUP($Q11394,매칭테이블!$F:$I,2,0)*K11394</f>
        <v/>
      </c>
      <c r="N11394" s="94">
        <f>M11394-M11394*VLOOKUP($Q11394,매칭테이블!$F:$I,3,0)</f>
        <v/>
      </c>
      <c r="O11394" s="94">
        <f>VLOOKUP($Q11394,매칭테이블!$F:$I,4,0)*K11394</f>
        <v/>
      </c>
      <c r="P11394" s="148">
        <f>M11394/1.1</f>
        <v/>
      </c>
      <c r="Q11394" s="94">
        <f>F11394&amp;E11394&amp;G11394&amp;L11394</f>
        <v/>
      </c>
    </row>
    <row r="11395" customFormat="1" s="94">
      <c r="B11395" s="128" t="n">
        <v>44162</v>
      </c>
      <c r="C11395" s="94">
        <f>TEXT(B11395,"aaa")</f>
        <v/>
      </c>
      <c r="E11395" s="94" t="inlineStr">
        <is>
          <t>클리어 패드</t>
        </is>
      </c>
      <c r="F11395" s="94" t="inlineStr">
        <is>
          <t>카페24</t>
        </is>
      </c>
      <c r="G11395" s="94" t="inlineStr">
        <is>
          <t>어성초 77 클리어 패드 2개-30% off</t>
        </is>
      </c>
      <c r="H11395" s="94" t="n">
        <v>200801</v>
      </c>
      <c r="I11395" s="94" t="n">
        <v>200801</v>
      </c>
      <c r="K11395" s="6" t="n">
        <v>50</v>
      </c>
      <c r="L11395" s="94" t="n">
        <v>200801</v>
      </c>
      <c r="M11395" s="94">
        <f>VLOOKUP($Q11395,매칭테이블!$F:$I,2,0)*K11395</f>
        <v/>
      </c>
      <c r="N11395" s="94">
        <f>M11395-M11395*VLOOKUP($Q11395,매칭테이블!$F:$I,3,0)</f>
        <v/>
      </c>
      <c r="O11395" s="94">
        <f>VLOOKUP($Q11395,매칭테이블!$F:$I,4,0)*K11395</f>
        <v/>
      </c>
      <c r="P11395" s="148">
        <f>M11395/1.1</f>
        <v/>
      </c>
      <c r="Q11395" s="94">
        <f>F11395&amp;E11395&amp;G11395&amp;L11395</f>
        <v/>
      </c>
    </row>
    <row r="11396" customFormat="1" s="94">
      <c r="B11396" s="128" t="n">
        <v>44162</v>
      </c>
      <c r="C11396" s="94">
        <f>TEXT(B11396,"aaa")</f>
        <v/>
      </c>
      <c r="E11396" s="94" t="inlineStr">
        <is>
          <t>토너+패드 세트</t>
        </is>
      </c>
      <c r="F11396" s="94" t="inlineStr">
        <is>
          <t>카페24</t>
        </is>
      </c>
      <c r="G11396" s="94" t="inlineStr">
        <is>
          <t>좁쌀 진정 세트 토너+클리어 패드-30% off</t>
        </is>
      </c>
      <c r="H11396" s="94" t="n">
        <v>200801</v>
      </c>
      <c r="I11396" s="94" t="n">
        <v>200801</v>
      </c>
      <c r="K11396" s="6" t="n">
        <v>26</v>
      </c>
      <c r="L11396" s="94" t="n">
        <v>200801</v>
      </c>
      <c r="M11396" s="94">
        <f>VLOOKUP($Q11396,매칭테이블!$F:$I,2,0)*K11396</f>
        <v/>
      </c>
      <c r="N11396" s="94">
        <f>M11396-M11396*VLOOKUP($Q11396,매칭테이블!$F:$I,3,0)</f>
        <v/>
      </c>
      <c r="O11396" s="94">
        <f>VLOOKUP($Q11396,매칭테이블!$F:$I,4,0)*K11396</f>
        <v/>
      </c>
      <c r="P11396" s="148">
        <f>M11396/1.1</f>
        <v/>
      </c>
      <c r="Q11396" s="94">
        <f>F11396&amp;E11396&amp;G11396&amp;L11396</f>
        <v/>
      </c>
    </row>
    <row r="11397" customFormat="1" s="94">
      <c r="B11397" s="128" t="n">
        <v>44162</v>
      </c>
      <c r="C11397" s="94">
        <f>TEXT(B11397,"aaa")</f>
        <v/>
      </c>
      <c r="E11397" s="94" t="inlineStr">
        <is>
          <t>수분 보충 세트</t>
        </is>
      </c>
      <c r="F11397" s="94" t="inlineStr">
        <is>
          <t>카페24</t>
        </is>
      </c>
      <c r="G11397" s="94" t="inlineStr">
        <is>
          <t>[20/09/28 부터] 어성초 77 토너 250ml + 어성초 70 로션 200ml -30%</t>
        </is>
      </c>
      <c r="H11397" s="94" t="n">
        <v>200801</v>
      </c>
      <c r="I11397" s="94" t="n">
        <v>200801</v>
      </c>
      <c r="K11397" s="6" t="n">
        <v>13</v>
      </c>
      <c r="L11397" s="94" t="n">
        <v>200801</v>
      </c>
      <c r="M11397" s="94">
        <f>VLOOKUP($Q11397,매칭테이블!$F:$I,2,0)*K11397</f>
        <v/>
      </c>
      <c r="N11397" s="94">
        <f>M11397-M11397*VLOOKUP($Q11397,매칭테이블!$F:$I,3,0)</f>
        <v/>
      </c>
      <c r="O11397" s="94">
        <f>VLOOKUP($Q11397,매칭테이블!$F:$I,4,0)*K11397</f>
        <v/>
      </c>
      <c r="P11397" s="148">
        <f>M11397/1.1</f>
        <v/>
      </c>
      <c r="Q11397" s="94">
        <f>F11397&amp;E11397&amp;G11397&amp;L11397</f>
        <v/>
      </c>
    </row>
    <row r="11398" customFormat="1" s="94">
      <c r="B11398" s="128" t="n">
        <v>44162</v>
      </c>
      <c r="C11398" s="94">
        <f>TEXT(B11398,"aaa")</f>
        <v/>
      </c>
      <c r="E11398" s="94" t="inlineStr">
        <is>
          <t>로션</t>
        </is>
      </c>
      <c r="F11398" s="94" t="inlineStr">
        <is>
          <t>카페24</t>
        </is>
      </c>
      <c r="G11398" s="94" t="inlineStr">
        <is>
          <t>어성초 70 데일리 릴리프 로션 1개 -20% off</t>
        </is>
      </c>
      <c r="H11398" s="94" t="n">
        <v>200801</v>
      </c>
      <c r="I11398" s="94" t="n">
        <v>200801</v>
      </c>
      <c r="K11398" s="6" t="n">
        <v>5</v>
      </c>
      <c r="L11398" s="94" t="n">
        <v>200801</v>
      </c>
      <c r="M11398" s="94">
        <f>VLOOKUP($Q11398,매칭테이블!$F:$I,2,0)*K11398</f>
        <v/>
      </c>
      <c r="N11398" s="94">
        <f>M11398-M11398*VLOOKUP($Q11398,매칭테이블!$F:$I,3,0)</f>
        <v/>
      </c>
      <c r="O11398" s="94">
        <f>VLOOKUP($Q11398,매칭테이블!$F:$I,4,0)*K11398</f>
        <v/>
      </c>
      <c r="P11398" s="148">
        <f>M11398/1.1</f>
        <v/>
      </c>
      <c r="Q11398" s="94">
        <f>F11398&amp;E11398&amp;G11398&amp;L11398</f>
        <v/>
      </c>
    </row>
    <row r="11399" customFormat="1" s="94">
      <c r="B11399" s="128" t="n">
        <v>44162</v>
      </c>
      <c r="C11399" s="94">
        <f>TEXT(B11399,"aaa")</f>
        <v/>
      </c>
      <c r="E11399" s="94" t="inlineStr">
        <is>
          <t>로션</t>
        </is>
      </c>
      <c r="F11399" s="94" t="inlineStr">
        <is>
          <t>카페24</t>
        </is>
      </c>
      <c r="G11399" s="94" t="inlineStr">
        <is>
          <t>어성초 70 데일리 릴리프 로션 2개 -30% off</t>
        </is>
      </c>
      <c r="H11399" s="94" t="n">
        <v>200801</v>
      </c>
      <c r="I11399" s="94" t="n">
        <v>200801</v>
      </c>
      <c r="K11399" s="6" t="n">
        <v>1</v>
      </c>
      <c r="L11399" s="94" t="n">
        <v>200801</v>
      </c>
      <c r="M11399" s="94">
        <f>VLOOKUP($Q11399,매칭테이블!$F:$I,2,0)*K11399</f>
        <v/>
      </c>
      <c r="N11399" s="94">
        <f>M11399-M11399*VLOOKUP($Q11399,매칭테이블!$F:$I,3,0)</f>
        <v/>
      </c>
      <c r="O11399" s="94">
        <f>VLOOKUP($Q11399,매칭테이블!$F:$I,4,0)*K11399</f>
        <v/>
      </c>
      <c r="P11399" s="148">
        <f>M11399/1.1</f>
        <v/>
      </c>
      <c r="Q11399" s="94">
        <f>F11399&amp;E11399&amp;G11399&amp;L11399</f>
        <v/>
      </c>
    </row>
    <row r="11400" customFormat="1" s="94">
      <c r="B11400" s="128" t="n">
        <v>44162</v>
      </c>
      <c r="C11400" s="94">
        <f>TEXT(B11400,"aaa")</f>
        <v/>
      </c>
      <c r="E11400" s="94" t="inlineStr">
        <is>
          <t>머드크림마스크</t>
        </is>
      </c>
      <c r="F11400" s="94" t="inlineStr">
        <is>
          <t>카페24</t>
        </is>
      </c>
      <c r="G11400" s="94" t="inlineStr">
        <is>
          <t>머드크림마스크 100ml</t>
        </is>
      </c>
      <c r="H11400" s="94" t="n">
        <v>200801</v>
      </c>
      <c r="I11400" s="94" t="n">
        <v>200801</v>
      </c>
      <c r="K11400" s="6" t="n">
        <v>1</v>
      </c>
      <c r="L11400" s="94" t="n">
        <v>200801</v>
      </c>
      <c r="M11400" s="94">
        <f>VLOOKUP($Q11400,매칭테이블!$F:$I,2,0)*K11400</f>
        <v/>
      </c>
      <c r="N11400" s="94">
        <f>M11400-M11400*VLOOKUP($Q11400,매칭테이블!$F:$I,3,0)</f>
        <v/>
      </c>
      <c r="O11400" s="94">
        <f>VLOOKUP($Q11400,매칭테이블!$F:$I,4,0)*K11400</f>
        <v/>
      </c>
      <c r="P11400" s="148">
        <f>M11400/1.1</f>
        <v/>
      </c>
      <c r="Q11400" s="94">
        <f>F11400&amp;E11400&amp;G11400&amp;L11400</f>
        <v/>
      </c>
    </row>
    <row r="11401" customFormat="1" s="94">
      <c r="B11401" s="128" t="n">
        <v>44162</v>
      </c>
      <c r="C11401" s="94">
        <f>TEXT(B11401,"aaa")</f>
        <v/>
      </c>
      <c r="E11401" s="94" t="inlineStr">
        <is>
          <t>마스크팩</t>
        </is>
      </c>
      <c r="F11401" s="94" t="inlineStr">
        <is>
          <t>카페24</t>
        </is>
      </c>
      <c r="G11401" s="94" t="inlineStr">
        <is>
          <t>마스크팩 1매</t>
        </is>
      </c>
      <c r="H11401" s="94" t="n">
        <v>200801</v>
      </c>
      <c r="I11401" s="94" t="n">
        <v>200801</v>
      </c>
      <c r="K11401" s="6" t="n">
        <v>2</v>
      </c>
      <c r="L11401" s="94" t="n">
        <v>200801</v>
      </c>
      <c r="M11401" s="94">
        <f>VLOOKUP($Q11401,매칭테이블!$F:$I,2,0)*K11401</f>
        <v/>
      </c>
      <c r="N11401" s="94">
        <f>M11401-M11401*VLOOKUP($Q11401,매칭테이블!$F:$I,3,0)</f>
        <v/>
      </c>
      <c r="O11401" s="94">
        <f>VLOOKUP($Q11401,매칭테이블!$F:$I,4,0)*K11401</f>
        <v/>
      </c>
      <c r="P11401" s="148">
        <f>M11401/1.1</f>
        <v/>
      </c>
      <c r="Q11401" s="94">
        <f>F11401&amp;E11401&amp;G11401&amp;L11401</f>
        <v/>
      </c>
    </row>
    <row r="11402" customFormat="1" s="94">
      <c r="B11402" s="128" t="n">
        <v>44162</v>
      </c>
      <c r="C11402" s="94">
        <f>TEXT(B11402,"aaa")</f>
        <v/>
      </c>
      <c r="E11402" s="94" t="inlineStr">
        <is>
          <t>마스크팩</t>
        </is>
      </c>
      <c r="F11402" s="94" t="inlineStr">
        <is>
          <t>카페24</t>
        </is>
      </c>
      <c r="G11402" s="94" t="inlineStr">
        <is>
          <t>마스크팩 10매</t>
        </is>
      </c>
      <c r="H11402" s="94" t="n">
        <v>200801</v>
      </c>
      <c r="I11402" s="94" t="n">
        <v>200801</v>
      </c>
      <c r="K11402" s="6" t="n">
        <v>7</v>
      </c>
      <c r="L11402" s="94" t="n">
        <v>200801</v>
      </c>
      <c r="M11402" s="94">
        <f>VLOOKUP($Q11402,매칭테이블!$F:$I,2,0)*K11402</f>
        <v/>
      </c>
      <c r="N11402" s="94">
        <f>M11402-M11402*VLOOKUP($Q11402,매칭테이블!$F:$I,3,0)</f>
        <v/>
      </c>
      <c r="O11402" s="94">
        <f>VLOOKUP($Q11402,매칭테이블!$F:$I,4,0)*K11402</f>
        <v/>
      </c>
      <c r="P11402" s="148">
        <f>M11402/1.1</f>
        <v/>
      </c>
      <c r="Q11402" s="94">
        <f>F11402&amp;E11402&amp;G11402&amp;L11402</f>
        <v/>
      </c>
    </row>
    <row r="11403" customFormat="1" s="94">
      <c r="B11403" s="128" t="n">
        <v>44162</v>
      </c>
      <c r="C11403" s="94">
        <f>TEXT(B11403,"aaa")</f>
        <v/>
      </c>
      <c r="E11403" s="94" t="inlineStr">
        <is>
          <t>토너</t>
        </is>
      </c>
      <c r="F11403" s="94" t="inlineStr">
        <is>
          <t>카페24</t>
        </is>
      </c>
      <c r="G11403" s="94" t="inlineStr">
        <is>
          <t>250ml</t>
        </is>
      </c>
      <c r="H11403" s="94" t="n">
        <v>200801</v>
      </c>
      <c r="I11403" s="94" t="n">
        <v>200801</v>
      </c>
      <c r="K11403" s="6" t="n">
        <v>37</v>
      </c>
      <c r="L11403" s="94" t="n">
        <v>200801</v>
      </c>
      <c r="M11403" s="94">
        <f>VLOOKUP($Q11403,매칭테이블!$F:$I,2,0)*K11403</f>
        <v/>
      </c>
      <c r="N11403" s="94">
        <f>M11403-M11403*VLOOKUP($Q11403,매칭테이블!$F:$I,3,0)</f>
        <v/>
      </c>
      <c r="O11403" s="94">
        <f>VLOOKUP($Q11403,매칭테이블!$F:$I,4,0)*K11403</f>
        <v/>
      </c>
      <c r="P11403" s="148">
        <f>M11403/1.1</f>
        <v/>
      </c>
      <c r="Q11403" s="94">
        <f>F11403&amp;E11403&amp;G11403&amp;L11403</f>
        <v/>
      </c>
    </row>
    <row r="11404" customFormat="1" s="94">
      <c r="B11404" s="128" t="n">
        <v>44162</v>
      </c>
      <c r="C11404" s="94">
        <f>TEXT(B11404,"aaa")</f>
        <v/>
      </c>
      <c r="E11404" s="94" t="inlineStr">
        <is>
          <t>토너</t>
        </is>
      </c>
      <c r="F11404" s="94" t="inlineStr">
        <is>
          <t>카페24</t>
        </is>
      </c>
      <c r="G11404" s="94" t="inlineStr">
        <is>
          <t>250ml 2set</t>
        </is>
      </c>
      <c r="H11404" s="94" t="n">
        <v>200801</v>
      </c>
      <c r="I11404" s="94" t="n">
        <v>200801</v>
      </c>
      <c r="K11404" s="6" t="n">
        <v>21</v>
      </c>
      <c r="L11404" s="94" t="n">
        <v>200801</v>
      </c>
      <c r="M11404" s="94">
        <f>VLOOKUP($Q11404,매칭테이블!$F:$I,2,0)*K11404</f>
        <v/>
      </c>
      <c r="N11404" s="94">
        <f>M11404-M11404*VLOOKUP($Q11404,매칭테이블!$F:$I,3,0)</f>
        <v/>
      </c>
      <c r="O11404" s="94">
        <f>VLOOKUP($Q11404,매칭테이블!$F:$I,4,0)*K11404</f>
        <v/>
      </c>
      <c r="P11404" s="148">
        <f>M11404/1.1</f>
        <v/>
      </c>
      <c r="Q11404" s="94">
        <f>F11404&amp;E11404&amp;G11404&amp;L11404</f>
        <v/>
      </c>
    </row>
    <row r="11405" customFormat="1" s="94">
      <c r="B11405" s="128" t="n">
        <v>44162</v>
      </c>
      <c r="C11405" s="94">
        <f>TEXT(B11405,"aaa")</f>
        <v/>
      </c>
      <c r="E11405" s="94" t="inlineStr">
        <is>
          <t>토너</t>
        </is>
      </c>
      <c r="F11405" s="94" t="inlineStr">
        <is>
          <t>카페24</t>
        </is>
      </c>
      <c r="G11405" s="94" t="inlineStr">
        <is>
          <t>500ml</t>
        </is>
      </c>
      <c r="H11405" s="94" t="n">
        <v>200801</v>
      </c>
      <c r="I11405" s="94" t="n">
        <v>200801</v>
      </c>
      <c r="K11405" s="6" t="n">
        <v>31</v>
      </c>
      <c r="L11405" s="94" t="n">
        <v>200801</v>
      </c>
      <c r="M11405" s="94">
        <f>VLOOKUP($Q11405,매칭테이블!$F:$I,2,0)*K11405</f>
        <v/>
      </c>
      <c r="N11405" s="94">
        <f>M11405-M11405*VLOOKUP($Q11405,매칭테이블!$F:$I,3,0)</f>
        <v/>
      </c>
      <c r="O11405" s="94">
        <f>VLOOKUP($Q11405,매칭테이블!$F:$I,4,0)*K11405</f>
        <v/>
      </c>
      <c r="P11405" s="148">
        <f>M11405/1.1</f>
        <v/>
      </c>
      <c r="Q11405" s="94">
        <f>F11405&amp;E11405&amp;G11405&amp;L11405</f>
        <v/>
      </c>
    </row>
    <row r="11406" customFormat="1" s="94">
      <c r="B11406" s="128" t="n">
        <v>44162</v>
      </c>
      <c r="C11406" s="94">
        <f>TEXT(B11406,"aaa")</f>
        <v/>
      </c>
      <c r="E11406" s="94" t="inlineStr">
        <is>
          <t>토너</t>
        </is>
      </c>
      <c r="F11406" s="94" t="inlineStr">
        <is>
          <t>카페24</t>
        </is>
      </c>
      <c r="G11406" s="94" t="inlineStr">
        <is>
          <t>스킨팩 화장솜 60P</t>
        </is>
      </c>
      <c r="H11406" s="94" t="n">
        <v>200801</v>
      </c>
      <c r="I11406" s="94" t="n">
        <v>200801</v>
      </c>
      <c r="K11406" s="6" t="n">
        <v>48</v>
      </c>
      <c r="L11406" s="94" t="n">
        <v>200801</v>
      </c>
      <c r="M11406" s="94">
        <f>VLOOKUP($Q11406,매칭테이블!$F:$I,2,0)*K11406</f>
        <v/>
      </c>
      <c r="N11406" s="94">
        <f>M11406-M11406*VLOOKUP($Q11406,매칭테이블!$F:$I,3,0)</f>
        <v/>
      </c>
      <c r="O11406" s="94">
        <f>VLOOKUP($Q11406,매칭테이블!$F:$I,4,0)*K11406</f>
        <v/>
      </c>
      <c r="P11406" s="148">
        <f>M11406/1.1</f>
        <v/>
      </c>
      <c r="Q11406" s="94">
        <f>F11406&amp;E11406&amp;G11406&amp;L11406</f>
        <v/>
      </c>
    </row>
    <row r="11407" customFormat="1" s="94">
      <c r="B11407" s="128" t="n">
        <v>44162</v>
      </c>
      <c r="C11407" s="94">
        <f>TEXT(B11407,"aaa")</f>
        <v/>
      </c>
      <c r="E11407" s="94" t="inlineStr">
        <is>
          <t>앰플</t>
        </is>
      </c>
      <c r="F11407" s="94" t="inlineStr">
        <is>
          <t>카페24</t>
        </is>
      </c>
      <c r="G11407" s="94" t="inlineStr">
        <is>
          <t>앰플 30ml</t>
        </is>
      </c>
      <c r="H11407" s="94" t="n">
        <v>200801</v>
      </c>
      <c r="I11407" s="94" t="n">
        <v>200801</v>
      </c>
      <c r="K11407" s="6" t="n">
        <v>17</v>
      </c>
      <c r="L11407" s="94" t="n">
        <v>200801</v>
      </c>
      <c r="M11407" s="94">
        <f>VLOOKUP($Q11407,매칭테이블!$F:$I,2,0)*K11407</f>
        <v/>
      </c>
      <c r="N11407" s="94">
        <f>M11407-M11407*VLOOKUP($Q11407,매칭테이블!$F:$I,3,0)</f>
        <v/>
      </c>
      <c r="O11407" s="94">
        <f>VLOOKUP($Q11407,매칭테이블!$F:$I,4,0)*K11407</f>
        <v/>
      </c>
      <c r="P11407" s="148">
        <f>M11407/1.1</f>
        <v/>
      </c>
      <c r="Q11407" s="94">
        <f>F11407&amp;E11407&amp;G11407&amp;L11407</f>
        <v/>
      </c>
    </row>
    <row r="11408" customFormat="1" s="94">
      <c r="B11408" s="128" t="n">
        <v>44162</v>
      </c>
      <c r="C11408" s="94">
        <f>TEXT(B11408,"aaa")</f>
        <v/>
      </c>
      <c r="E11408" s="94" t="inlineStr">
        <is>
          <t>앰플</t>
        </is>
      </c>
      <c r="F11408" s="94" t="inlineStr">
        <is>
          <t>카페24</t>
        </is>
      </c>
      <c r="G11408" s="94" t="inlineStr">
        <is>
          <t>앰플 30ml  2set</t>
        </is>
      </c>
      <c r="H11408" s="94" t="n">
        <v>200801</v>
      </c>
      <c r="I11408" s="94" t="n">
        <v>200801</v>
      </c>
      <c r="K11408" s="6" t="n">
        <v>7</v>
      </c>
      <c r="L11408" s="94" t="n">
        <v>200801</v>
      </c>
      <c r="M11408" s="94">
        <f>VLOOKUP($Q11408,매칭테이블!$F:$I,2,0)*K11408</f>
        <v/>
      </c>
      <c r="N11408" s="94">
        <f>M11408-M11408*VLOOKUP($Q11408,매칭테이블!$F:$I,3,0)</f>
        <v/>
      </c>
      <c r="O11408" s="94">
        <f>VLOOKUP($Q11408,매칭테이블!$F:$I,4,0)*K11408</f>
        <v/>
      </c>
      <c r="P11408" s="148">
        <f>M11408/1.1</f>
        <v/>
      </c>
      <c r="Q11408" s="94">
        <f>F11408&amp;E11408&amp;G11408&amp;L11408</f>
        <v/>
      </c>
    </row>
    <row r="11409" customFormat="1" s="94">
      <c r="B11409" s="128" t="n">
        <v>44162</v>
      </c>
      <c r="C11409" s="94">
        <f>TEXT(B11409,"aaa")</f>
        <v/>
      </c>
      <c r="E11409" s="94" t="inlineStr">
        <is>
          <t>수딩크림</t>
        </is>
      </c>
      <c r="F11409" s="94" t="inlineStr">
        <is>
          <t>카페24</t>
        </is>
      </c>
      <c r="G11409" s="94" t="inlineStr">
        <is>
          <t>수딩크림 100ml</t>
        </is>
      </c>
      <c r="H11409" s="94" t="n">
        <v>200801</v>
      </c>
      <c r="I11409" s="94" t="n">
        <v>200801</v>
      </c>
      <c r="K11409" s="6" t="n">
        <v>7</v>
      </c>
      <c r="L11409" s="94" t="n">
        <v>200801</v>
      </c>
      <c r="M11409" s="94">
        <f>VLOOKUP($Q11409,매칭테이블!$F:$I,2,0)*K11409</f>
        <v/>
      </c>
      <c r="N11409" s="94">
        <f>M11409-M11409*VLOOKUP($Q11409,매칭테이블!$F:$I,3,0)</f>
        <v/>
      </c>
      <c r="O11409" s="94">
        <f>VLOOKUP($Q11409,매칭테이블!$F:$I,4,0)*K11409</f>
        <v/>
      </c>
      <c r="P11409" s="148">
        <f>M11409/1.1</f>
        <v/>
      </c>
      <c r="Q11409" s="94">
        <f>F11409&amp;E11409&amp;G11409&amp;L11409</f>
        <v/>
      </c>
    </row>
    <row r="11410" customFormat="1" s="94">
      <c r="B11410" s="128" t="n">
        <v>44162</v>
      </c>
      <c r="C11410" s="94">
        <f>TEXT(B11410,"aaa")</f>
        <v/>
      </c>
      <c r="E11410" s="94" t="inlineStr">
        <is>
          <t>클렌징폼</t>
        </is>
      </c>
      <c r="F11410" s="94" t="inlineStr">
        <is>
          <t>카페24</t>
        </is>
      </c>
      <c r="G11410" s="94" t="inlineStr">
        <is>
          <t>클렌징폼 120ml</t>
        </is>
      </c>
      <c r="H11410" s="94" t="n">
        <v>200801</v>
      </c>
      <c r="I11410" s="94" t="n">
        <v>200801</v>
      </c>
      <c r="K11410" s="6" t="n">
        <v>7</v>
      </c>
      <c r="L11410" s="94" t="n">
        <v>200801</v>
      </c>
      <c r="M11410" s="94">
        <f>VLOOKUP($Q11410,매칭테이블!$F:$I,2,0)*K11410</f>
        <v/>
      </c>
      <c r="N11410" s="94">
        <f>M11410-M11410*VLOOKUP($Q11410,매칭테이블!$F:$I,3,0)</f>
        <v/>
      </c>
      <c r="O11410" s="94">
        <f>VLOOKUP($Q11410,매칭테이블!$F:$I,4,0)*K11410</f>
        <v/>
      </c>
      <c r="P11410" s="148">
        <f>M11410/1.1</f>
        <v/>
      </c>
      <c r="Q11410" s="94">
        <f>F11410&amp;E11410&amp;G11410&amp;L11410</f>
        <v/>
      </c>
    </row>
    <row r="11411" customFormat="1" s="94">
      <c r="B11411" s="128" t="n">
        <v>44162</v>
      </c>
      <c r="C11411" s="94">
        <f>TEXT(B11411,"aaa")</f>
        <v/>
      </c>
      <c r="E11411" s="94" t="inlineStr">
        <is>
          <t>클렌징폼</t>
        </is>
      </c>
      <c r="F11411" s="94" t="inlineStr">
        <is>
          <t>카페24</t>
        </is>
      </c>
      <c r="G11411" s="94" t="inlineStr">
        <is>
          <t>클렌징폼 120ml 2set</t>
        </is>
      </c>
      <c r="H11411" s="94" t="n">
        <v>200801</v>
      </c>
      <c r="I11411" s="94" t="n">
        <v>200801</v>
      </c>
      <c r="K11411" s="6" t="n">
        <v>2</v>
      </c>
      <c r="L11411" s="94" t="n">
        <v>200801</v>
      </c>
      <c r="M11411" s="94">
        <f>VLOOKUP($Q11411,매칭테이블!$F:$I,2,0)*K11411</f>
        <v/>
      </c>
      <c r="N11411" s="94">
        <f>M11411-M11411*VLOOKUP($Q11411,매칭테이블!$F:$I,3,0)</f>
        <v/>
      </c>
      <c r="O11411" s="94">
        <f>VLOOKUP($Q11411,매칭테이블!$F:$I,4,0)*K11411</f>
        <v/>
      </c>
      <c r="P11411" s="148">
        <f>M11411/1.1</f>
        <v/>
      </c>
      <c r="Q11411" s="94">
        <f>F11411&amp;E11411&amp;G11411&amp;L11411</f>
        <v/>
      </c>
    </row>
    <row r="11412" customFormat="1" s="94">
      <c r="B11412" s="128" t="n">
        <v>44162</v>
      </c>
      <c r="C11412" s="94">
        <f>TEXT(B11412,"aaa")</f>
        <v/>
      </c>
      <c r="E11412" s="94" t="inlineStr">
        <is>
          <t>클렌징폼</t>
        </is>
      </c>
      <c r="F11412" s="94" t="inlineStr">
        <is>
          <t>카페24</t>
        </is>
      </c>
      <c r="G11412" s="94" t="inlineStr">
        <is>
          <t>클렌징폼 120ml 3set</t>
        </is>
      </c>
      <c r="H11412" s="94" t="n">
        <v>200801</v>
      </c>
      <c r="I11412" s="94" t="n">
        <v>200801</v>
      </c>
      <c r="K11412" s="6" t="n">
        <v>1</v>
      </c>
      <c r="L11412" s="94" t="n">
        <v>200801</v>
      </c>
      <c r="M11412" s="94">
        <f>VLOOKUP($Q11412,매칭테이블!$F:$I,2,0)*K11412</f>
        <v/>
      </c>
      <c r="N11412" s="94">
        <f>M11412-M11412*VLOOKUP($Q11412,매칭테이블!$F:$I,3,0)</f>
        <v/>
      </c>
      <c r="O11412" s="94">
        <f>VLOOKUP($Q11412,매칭테이블!$F:$I,4,0)*K11412</f>
        <v/>
      </c>
      <c r="P11412" s="148">
        <f>M11412/1.1</f>
        <v/>
      </c>
      <c r="Q11412" s="94">
        <f>F11412&amp;E11412&amp;G11412&amp;L11412</f>
        <v/>
      </c>
    </row>
    <row r="11413" customFormat="1" s="94">
      <c r="B11413" s="128" t="n">
        <v>44162</v>
      </c>
      <c r="C11413" s="94">
        <f>TEXT(B11413,"aaa")</f>
        <v/>
      </c>
      <c r="E11413" s="94" t="inlineStr">
        <is>
          <t>토너</t>
        </is>
      </c>
      <c r="F11413" s="94" t="inlineStr">
        <is>
          <t>화해</t>
        </is>
      </c>
      <c r="G11413" s="94" t="inlineStr">
        <is>
          <t>250ml</t>
        </is>
      </c>
      <c r="H11413" s="94" t="n">
        <v>200801</v>
      </c>
      <c r="I11413" s="94" t="n">
        <v>200801</v>
      </c>
      <c r="K11413" s="6" t="n">
        <v>5</v>
      </c>
      <c r="L11413" s="94" t="n">
        <v>200801</v>
      </c>
      <c r="M11413" s="94">
        <f>VLOOKUP($Q11413,매칭테이블!$F:$I,2,0)*K11413</f>
        <v/>
      </c>
      <c r="N11413" s="94">
        <f>M11413-M11413*VLOOKUP($Q11413,매칭테이블!$F:$I,3,0)</f>
        <v/>
      </c>
      <c r="O11413" s="94">
        <f>VLOOKUP($Q11413,매칭테이블!$F:$I,4,0)*K11413</f>
        <v/>
      </c>
      <c r="P11413" s="148">
        <f>M11413/1.1</f>
        <v/>
      </c>
      <c r="Q11413" s="94">
        <f>F11413&amp;E11413&amp;G11413&amp;L11413</f>
        <v/>
      </c>
    </row>
    <row r="11414" customFormat="1" s="94">
      <c r="B11414" s="128" t="n">
        <v>44162</v>
      </c>
      <c r="C11414" s="94">
        <f>TEXT(B11414,"aaa")</f>
        <v/>
      </c>
      <c r="E11414" s="94" t="inlineStr">
        <is>
          <t>클렌징폼</t>
        </is>
      </c>
      <c r="F11414" s="94" t="inlineStr">
        <is>
          <t>화해</t>
        </is>
      </c>
      <c r="G11414" s="94" t="inlineStr">
        <is>
          <t>클렌징폼 120ml</t>
        </is>
      </c>
      <c r="H11414" s="94" t="n">
        <v>200801</v>
      </c>
      <c r="I11414" s="94" t="n">
        <v>200801</v>
      </c>
      <c r="K11414" s="6" t="n">
        <v>1</v>
      </c>
      <c r="L11414" s="94" t="n">
        <v>200801</v>
      </c>
      <c r="M11414" s="94">
        <f>VLOOKUP($Q11414,매칭테이블!$F:$I,2,0)*K11414</f>
        <v/>
      </c>
      <c r="N11414" s="94">
        <f>M11414-M11414*VLOOKUP($Q11414,매칭테이블!$F:$I,3,0)</f>
        <v/>
      </c>
      <c r="O11414" s="94">
        <f>VLOOKUP($Q11414,매칭테이블!$F:$I,4,0)*K11414</f>
        <v/>
      </c>
      <c r="P11414" s="148">
        <f>M11414/1.1</f>
        <v/>
      </c>
      <c r="Q11414" s="94">
        <f>F11414&amp;E11414&amp;G11414&amp;L11414</f>
        <v/>
      </c>
    </row>
    <row r="11415" customFormat="1" s="94">
      <c r="B11415" s="128" t="n">
        <v>44163</v>
      </c>
      <c r="C11415" s="94">
        <f>TEXT(B11415,"aaa")</f>
        <v/>
      </c>
      <c r="E11415" s="94" t="inlineStr">
        <is>
          <t>토너</t>
        </is>
      </c>
      <c r="F11415" s="94" t="inlineStr">
        <is>
          <t>스타일쉐어</t>
        </is>
      </c>
      <c r="G11415" s="94" t="inlineStr">
        <is>
          <t>250ml</t>
        </is>
      </c>
      <c r="H11415" s="94" t="n">
        <v>200801</v>
      </c>
      <c r="I11415" s="94" t="n">
        <v>200801</v>
      </c>
      <c r="K11415" s="6" t="n">
        <v>3</v>
      </c>
      <c r="L11415" s="94" t="n">
        <v>200801</v>
      </c>
      <c r="M11415" s="94">
        <f>VLOOKUP($Q11415,매칭테이블!$F:$I,2,0)*K11415</f>
        <v/>
      </c>
      <c r="N11415" s="94">
        <f>M11415-M11415*VLOOKUP($Q11415,매칭테이블!$F:$I,3,0)</f>
        <v/>
      </c>
      <c r="O11415" s="94">
        <f>VLOOKUP($Q11415,매칭테이블!$F:$I,4,0)*K11415</f>
        <v/>
      </c>
      <c r="P11415" s="148">
        <f>M11415/1.1</f>
        <v/>
      </c>
      <c r="Q11415" s="94">
        <f>F11415&amp;E11415&amp;G11415&amp;L11415</f>
        <v/>
      </c>
    </row>
    <row r="11416" customFormat="1" s="94">
      <c r="B11416" s="128" t="n">
        <v>44163</v>
      </c>
      <c r="C11416" s="94">
        <f>TEXT(B11416,"aaa")</f>
        <v/>
      </c>
      <c r="E11416" s="94" t="inlineStr">
        <is>
          <t>선크림</t>
        </is>
      </c>
      <c r="F11416" s="94" t="inlineStr">
        <is>
          <t>카페24</t>
        </is>
      </c>
      <c r="G11416" s="94" t="inlineStr">
        <is>
          <t>선크림 50ml</t>
        </is>
      </c>
      <c r="H11416" s="94" t="n">
        <v>200801</v>
      </c>
      <c r="I11416" s="94" t="n">
        <v>200801</v>
      </c>
      <c r="K11416" s="6" t="n">
        <v>3</v>
      </c>
      <c r="L11416" s="94" t="n">
        <v>200801</v>
      </c>
      <c r="M11416" s="94">
        <f>VLOOKUP($Q11416,매칭테이블!$F:$I,2,0)*K11416</f>
        <v/>
      </c>
      <c r="N11416" s="94">
        <f>M11416-M11416*VLOOKUP($Q11416,매칭테이블!$F:$I,3,0)</f>
        <v/>
      </c>
      <c r="O11416" s="94">
        <f>VLOOKUP($Q11416,매칭테이블!$F:$I,4,0)*K11416</f>
        <v/>
      </c>
      <c r="P11416" s="148">
        <f>M11416/1.1</f>
        <v/>
      </c>
      <c r="Q11416" s="94">
        <f>F11416&amp;E11416&amp;G11416&amp;L11416</f>
        <v/>
      </c>
    </row>
    <row r="11417" customFormat="1" s="94">
      <c r="B11417" s="128" t="n">
        <v>44163</v>
      </c>
      <c r="C11417" s="94">
        <f>TEXT(B11417,"aaa")</f>
        <v/>
      </c>
      <c r="E11417" s="94" t="inlineStr">
        <is>
          <t>카밍크림</t>
        </is>
      </c>
      <c r="F11417" s="94" t="inlineStr">
        <is>
          <t>카페24</t>
        </is>
      </c>
      <c r="G11417" s="94" t="inlineStr">
        <is>
          <t>크림=어성초 70 인텐스 카밍 크림 1개 (-20%)</t>
        </is>
      </c>
      <c r="H11417" s="94" t="n">
        <v>200801</v>
      </c>
      <c r="I11417" s="94" t="n">
        <v>200801</v>
      </c>
      <c r="K11417" s="6" t="n">
        <v>1</v>
      </c>
      <c r="L11417" s="94" t="n">
        <v>200801</v>
      </c>
      <c r="M11417" s="94">
        <f>VLOOKUP($Q11417,매칭테이블!$F:$I,2,0)*K11417</f>
        <v/>
      </c>
      <c r="N11417" s="94">
        <f>M11417-M11417*VLOOKUP($Q11417,매칭테이블!$F:$I,3,0)</f>
        <v/>
      </c>
      <c r="O11417" s="94">
        <f>VLOOKUP($Q11417,매칭테이블!$F:$I,4,0)*K11417</f>
        <v/>
      </c>
      <c r="P11417" s="148">
        <f>M11417/1.1</f>
        <v/>
      </c>
      <c r="Q11417" s="94">
        <f>F11417&amp;E11417&amp;G11417&amp;L11417</f>
        <v/>
      </c>
    </row>
    <row r="11418" customFormat="1" s="94">
      <c r="B11418" s="128" t="n">
        <v>44163</v>
      </c>
      <c r="C11418" s="94">
        <f>TEXT(B11418,"aaa")</f>
        <v/>
      </c>
      <c r="E11418" s="94" t="inlineStr">
        <is>
          <t>어성초진정패키지</t>
        </is>
      </c>
      <c r="F11418" s="94" t="inlineStr">
        <is>
          <t>카페24</t>
        </is>
      </c>
      <c r="G11418" s="94" t="inlineStr">
        <is>
          <t>어성초 진정패키지세트</t>
        </is>
      </c>
      <c r="H11418" s="94" t="n">
        <v>200801</v>
      </c>
      <c r="I11418" s="94" t="n">
        <v>200801</v>
      </c>
      <c r="K11418" s="6" t="n">
        <v>2</v>
      </c>
      <c r="L11418" s="94" t="n">
        <v>200801</v>
      </c>
      <c r="M11418" s="94">
        <f>VLOOKUP($Q11418,매칭테이블!$F:$I,2,0)*K11418</f>
        <v/>
      </c>
      <c r="N11418" s="94">
        <f>M11418-M11418*VLOOKUP($Q11418,매칭테이블!$F:$I,3,0)</f>
        <v/>
      </c>
      <c r="O11418" s="94">
        <f>VLOOKUP($Q11418,매칭테이블!$F:$I,4,0)*K11418</f>
        <v/>
      </c>
      <c r="P11418" s="148">
        <f>M11418/1.1</f>
        <v/>
      </c>
      <c r="Q11418" s="94">
        <f>F11418&amp;E11418&amp;G11418&amp;L11418</f>
        <v/>
      </c>
    </row>
    <row r="11419" customFormat="1" s="94">
      <c r="B11419" s="128" t="n">
        <v>44163</v>
      </c>
      <c r="C11419" s="94">
        <f>TEXT(B11419,"aaa")</f>
        <v/>
      </c>
      <c r="E11419" s="94" t="inlineStr">
        <is>
          <t>클리어 패드</t>
        </is>
      </c>
      <c r="F11419" s="94" t="inlineStr">
        <is>
          <t>카페24</t>
        </is>
      </c>
      <c r="G11419" s="94" t="inlineStr">
        <is>
          <t>어성초 77 클리어 패드 1개-20% off</t>
        </is>
      </c>
      <c r="H11419" s="94" t="n">
        <v>200801</v>
      </c>
      <c r="I11419" s="94" t="n">
        <v>200801</v>
      </c>
      <c r="K11419" s="6" t="n">
        <v>30</v>
      </c>
      <c r="L11419" s="94" t="n">
        <v>200801</v>
      </c>
      <c r="M11419" s="94">
        <f>VLOOKUP($Q11419,매칭테이블!$F:$I,2,0)*K11419</f>
        <v/>
      </c>
      <c r="N11419" s="94">
        <f>M11419-M11419*VLOOKUP($Q11419,매칭테이블!$F:$I,3,0)</f>
        <v/>
      </c>
      <c r="O11419" s="94">
        <f>VLOOKUP($Q11419,매칭테이블!$F:$I,4,0)*K11419</f>
        <v/>
      </c>
      <c r="P11419" s="148">
        <f>M11419/1.1</f>
        <v/>
      </c>
      <c r="Q11419" s="94">
        <f>F11419&amp;E11419&amp;G11419&amp;L11419</f>
        <v/>
      </c>
    </row>
    <row r="11420" customFormat="1" s="94">
      <c r="B11420" s="128" t="n">
        <v>44163</v>
      </c>
      <c r="C11420" s="94">
        <f>TEXT(B11420,"aaa")</f>
        <v/>
      </c>
      <c r="E11420" s="94" t="inlineStr">
        <is>
          <t>클리어 패드</t>
        </is>
      </c>
      <c r="F11420" s="94" t="inlineStr">
        <is>
          <t>카페24</t>
        </is>
      </c>
      <c r="G11420" s="94" t="inlineStr">
        <is>
          <t>어성초 77 클리어 패드 2개-30% off</t>
        </is>
      </c>
      <c r="H11420" s="94" t="n">
        <v>200801</v>
      </c>
      <c r="I11420" s="94" t="n">
        <v>200801</v>
      </c>
      <c r="K11420" s="6" t="n">
        <v>31</v>
      </c>
      <c r="L11420" s="94" t="n">
        <v>200801</v>
      </c>
      <c r="M11420" s="94">
        <f>VLOOKUP($Q11420,매칭테이블!$F:$I,2,0)*K11420</f>
        <v/>
      </c>
      <c r="N11420" s="94">
        <f>M11420-M11420*VLOOKUP($Q11420,매칭테이블!$F:$I,3,0)</f>
        <v/>
      </c>
      <c r="O11420" s="94">
        <f>VLOOKUP($Q11420,매칭테이블!$F:$I,4,0)*K11420</f>
        <v/>
      </c>
      <c r="P11420" s="148">
        <f>M11420/1.1</f>
        <v/>
      </c>
      <c r="Q11420" s="94">
        <f>F11420&amp;E11420&amp;G11420&amp;L11420</f>
        <v/>
      </c>
    </row>
    <row r="11421" customFormat="1" s="94">
      <c r="B11421" s="128" t="n">
        <v>44163</v>
      </c>
      <c r="C11421" s="94">
        <f>TEXT(B11421,"aaa")</f>
        <v/>
      </c>
      <c r="E11421" s="94" t="inlineStr">
        <is>
          <t>토너+패드 세트</t>
        </is>
      </c>
      <c r="F11421" s="94" t="inlineStr">
        <is>
          <t>카페24</t>
        </is>
      </c>
      <c r="G11421" s="94" t="inlineStr">
        <is>
          <t>좁쌀 진정 세트 토너+클리어 패드-30% off</t>
        </is>
      </c>
      <c r="H11421" s="94" t="n">
        <v>200801</v>
      </c>
      <c r="I11421" s="94" t="n">
        <v>200801</v>
      </c>
      <c r="K11421" s="6" t="n">
        <v>18</v>
      </c>
      <c r="L11421" s="94" t="n">
        <v>200801</v>
      </c>
      <c r="M11421" s="94">
        <f>VLOOKUP($Q11421,매칭테이블!$F:$I,2,0)*K11421</f>
        <v/>
      </c>
      <c r="N11421" s="94">
        <f>M11421-M11421*VLOOKUP($Q11421,매칭테이블!$F:$I,3,0)</f>
        <v/>
      </c>
      <c r="O11421" s="94">
        <f>VLOOKUP($Q11421,매칭테이블!$F:$I,4,0)*K11421</f>
        <v/>
      </c>
      <c r="P11421" s="148">
        <f>M11421/1.1</f>
        <v/>
      </c>
      <c r="Q11421" s="94">
        <f>F11421&amp;E11421&amp;G11421&amp;L11421</f>
        <v/>
      </c>
    </row>
    <row r="11422" customFormat="1" s="94">
      <c r="B11422" s="128" t="n">
        <v>44163</v>
      </c>
      <c r="C11422" s="94">
        <f>TEXT(B11422,"aaa")</f>
        <v/>
      </c>
      <c r="E11422" s="94" t="inlineStr">
        <is>
          <t>수분 보충 세트</t>
        </is>
      </c>
      <c r="F11422" s="94" t="inlineStr">
        <is>
          <t>카페24</t>
        </is>
      </c>
      <c r="G11422" s="94" t="inlineStr">
        <is>
          <t>[20/09/28 부터] 어성초 77 토너 250ml + 어성초 70 로션 200ml -30%</t>
        </is>
      </c>
      <c r="H11422" s="94" t="n">
        <v>200801</v>
      </c>
      <c r="I11422" s="94" t="n">
        <v>200801</v>
      </c>
      <c r="K11422" s="6" t="n">
        <v>19</v>
      </c>
      <c r="L11422" s="94" t="n">
        <v>200801</v>
      </c>
      <c r="M11422" s="94">
        <f>VLOOKUP($Q11422,매칭테이블!$F:$I,2,0)*K11422</f>
        <v/>
      </c>
      <c r="N11422" s="94">
        <f>M11422-M11422*VLOOKUP($Q11422,매칭테이블!$F:$I,3,0)</f>
        <v/>
      </c>
      <c r="O11422" s="94">
        <f>VLOOKUP($Q11422,매칭테이블!$F:$I,4,0)*K11422</f>
        <v/>
      </c>
      <c r="P11422" s="148">
        <f>M11422/1.1</f>
        <v/>
      </c>
      <c r="Q11422" s="94">
        <f>F11422&amp;E11422&amp;G11422&amp;L11422</f>
        <v/>
      </c>
    </row>
    <row r="11423" customFormat="1" s="94">
      <c r="B11423" s="128" t="n">
        <v>44163</v>
      </c>
      <c r="C11423" s="94">
        <f>TEXT(B11423,"aaa")</f>
        <v/>
      </c>
      <c r="E11423" s="94" t="inlineStr">
        <is>
          <t>로션</t>
        </is>
      </c>
      <c r="F11423" s="94" t="inlineStr">
        <is>
          <t>카페24</t>
        </is>
      </c>
      <c r="G11423" s="94" t="inlineStr">
        <is>
          <t>어성초 70 데일리 릴리프 로션 1개 -20% off</t>
        </is>
      </c>
      <c r="H11423" s="94" t="n">
        <v>200801</v>
      </c>
      <c r="I11423" s="94" t="n">
        <v>200801</v>
      </c>
      <c r="K11423" s="6" t="n">
        <v>4</v>
      </c>
      <c r="L11423" s="94" t="n">
        <v>200801</v>
      </c>
      <c r="M11423" s="94">
        <f>VLOOKUP($Q11423,매칭테이블!$F:$I,2,0)*K11423</f>
        <v/>
      </c>
      <c r="N11423" s="94">
        <f>M11423-M11423*VLOOKUP($Q11423,매칭테이블!$F:$I,3,0)</f>
        <v/>
      </c>
      <c r="O11423" s="94">
        <f>VLOOKUP($Q11423,매칭테이블!$F:$I,4,0)*K11423</f>
        <v/>
      </c>
      <c r="P11423" s="148">
        <f>M11423/1.1</f>
        <v/>
      </c>
      <c r="Q11423" s="94">
        <f>F11423&amp;E11423&amp;G11423&amp;L11423</f>
        <v/>
      </c>
    </row>
    <row r="11424" customFormat="1" s="94">
      <c r="B11424" s="128" t="n">
        <v>44163</v>
      </c>
      <c r="C11424" s="94">
        <f>TEXT(B11424,"aaa")</f>
        <v/>
      </c>
      <c r="E11424" s="94" t="inlineStr">
        <is>
          <t>머드크림마스크</t>
        </is>
      </c>
      <c r="F11424" s="94" t="inlineStr">
        <is>
          <t>카페24</t>
        </is>
      </c>
      <c r="G11424" s="94" t="inlineStr">
        <is>
          <t>머드크림마스크 100ml</t>
        </is>
      </c>
      <c r="H11424" s="94" t="n">
        <v>200801</v>
      </c>
      <c r="I11424" s="94" t="n">
        <v>200801</v>
      </c>
      <c r="K11424" s="6" t="n">
        <v>2</v>
      </c>
      <c r="L11424" s="94" t="n">
        <v>200801</v>
      </c>
      <c r="M11424" s="94">
        <f>VLOOKUP($Q11424,매칭테이블!$F:$I,2,0)*K11424</f>
        <v/>
      </c>
      <c r="N11424" s="94">
        <f>M11424-M11424*VLOOKUP($Q11424,매칭테이블!$F:$I,3,0)</f>
        <v/>
      </c>
      <c r="O11424" s="94">
        <f>VLOOKUP($Q11424,매칭테이블!$F:$I,4,0)*K11424</f>
        <v/>
      </c>
      <c r="P11424" s="148">
        <f>M11424/1.1</f>
        <v/>
      </c>
      <c r="Q11424" s="94">
        <f>F11424&amp;E11424&amp;G11424&amp;L11424</f>
        <v/>
      </c>
    </row>
    <row r="11425" customFormat="1" s="94">
      <c r="B11425" s="128" t="n">
        <v>44163</v>
      </c>
      <c r="C11425" s="94">
        <f>TEXT(B11425,"aaa")</f>
        <v/>
      </c>
      <c r="E11425" s="94" t="inlineStr">
        <is>
          <t>마스크팩</t>
        </is>
      </c>
      <c r="F11425" s="94" t="inlineStr">
        <is>
          <t>카페24</t>
        </is>
      </c>
      <c r="G11425" s="94" t="inlineStr">
        <is>
          <t>마스크팩 1매</t>
        </is>
      </c>
      <c r="H11425" s="94" t="n">
        <v>200801</v>
      </c>
      <c r="I11425" s="94" t="n">
        <v>200801</v>
      </c>
      <c r="K11425" s="6" t="n">
        <v>5</v>
      </c>
      <c r="L11425" s="94" t="n">
        <v>200801</v>
      </c>
      <c r="M11425" s="94">
        <f>VLOOKUP($Q11425,매칭테이블!$F:$I,2,0)*K11425</f>
        <v/>
      </c>
      <c r="N11425" s="94">
        <f>M11425-M11425*VLOOKUP($Q11425,매칭테이블!$F:$I,3,0)</f>
        <v/>
      </c>
      <c r="O11425" s="94">
        <f>VLOOKUP($Q11425,매칭테이블!$F:$I,4,0)*K11425</f>
        <v/>
      </c>
      <c r="P11425" s="148">
        <f>M11425/1.1</f>
        <v/>
      </c>
      <c r="Q11425" s="94">
        <f>F11425&amp;E11425&amp;G11425&amp;L11425</f>
        <v/>
      </c>
    </row>
    <row r="11426" customFormat="1" s="94">
      <c r="B11426" s="128" t="n">
        <v>44163</v>
      </c>
      <c r="C11426" s="94">
        <f>TEXT(B11426,"aaa")</f>
        <v/>
      </c>
      <c r="E11426" s="94" t="inlineStr">
        <is>
          <t>마스크팩</t>
        </is>
      </c>
      <c r="F11426" s="94" t="inlineStr">
        <is>
          <t>카페24</t>
        </is>
      </c>
      <c r="G11426" s="94" t="inlineStr">
        <is>
          <t>마스크팩 10매</t>
        </is>
      </c>
      <c r="H11426" s="94" t="n">
        <v>200801</v>
      </c>
      <c r="I11426" s="94" t="n">
        <v>200801</v>
      </c>
      <c r="K11426" s="6" t="n">
        <v>4</v>
      </c>
      <c r="L11426" s="94" t="n">
        <v>200801</v>
      </c>
      <c r="M11426" s="94">
        <f>VLOOKUP($Q11426,매칭테이블!$F:$I,2,0)*K11426</f>
        <v/>
      </c>
      <c r="N11426" s="94">
        <f>M11426-M11426*VLOOKUP($Q11426,매칭테이블!$F:$I,3,0)</f>
        <v/>
      </c>
      <c r="O11426" s="94">
        <f>VLOOKUP($Q11426,매칭테이블!$F:$I,4,0)*K11426</f>
        <v/>
      </c>
      <c r="P11426" s="148">
        <f>M11426/1.1</f>
        <v/>
      </c>
      <c r="Q11426" s="94">
        <f>F11426&amp;E11426&amp;G11426&amp;L11426</f>
        <v/>
      </c>
    </row>
    <row r="11427" customFormat="1" s="94">
      <c r="B11427" s="128" t="n">
        <v>44163</v>
      </c>
      <c r="C11427" s="94">
        <f>TEXT(B11427,"aaa")</f>
        <v/>
      </c>
      <c r="E11427" s="94" t="inlineStr">
        <is>
          <t>토너</t>
        </is>
      </c>
      <c r="F11427" s="94" t="inlineStr">
        <is>
          <t>카페24</t>
        </is>
      </c>
      <c r="G11427" s="94" t="inlineStr">
        <is>
          <t>250ml</t>
        </is>
      </c>
      <c r="H11427" s="94" t="n">
        <v>200801</v>
      </c>
      <c r="I11427" s="94" t="n">
        <v>200801</v>
      </c>
      <c r="K11427" s="6" t="n">
        <v>28</v>
      </c>
      <c r="L11427" s="94" t="n">
        <v>200801</v>
      </c>
      <c r="M11427" s="94">
        <f>VLOOKUP($Q11427,매칭테이블!$F:$I,2,0)*K11427</f>
        <v/>
      </c>
      <c r="N11427" s="94">
        <f>M11427-M11427*VLOOKUP($Q11427,매칭테이블!$F:$I,3,0)</f>
        <v/>
      </c>
      <c r="O11427" s="94">
        <f>VLOOKUP($Q11427,매칭테이블!$F:$I,4,0)*K11427</f>
        <v/>
      </c>
      <c r="P11427" s="148">
        <f>M11427/1.1</f>
        <v/>
      </c>
      <c r="Q11427" s="94">
        <f>F11427&amp;E11427&amp;G11427&amp;L11427</f>
        <v/>
      </c>
    </row>
    <row r="11428" customFormat="1" s="94">
      <c r="B11428" s="128" t="n">
        <v>44163</v>
      </c>
      <c r="C11428" s="94">
        <f>TEXT(B11428,"aaa")</f>
        <v/>
      </c>
      <c r="E11428" s="94" t="inlineStr">
        <is>
          <t>토너</t>
        </is>
      </c>
      <c r="F11428" s="94" t="inlineStr">
        <is>
          <t>카페24</t>
        </is>
      </c>
      <c r="G11428" s="94" t="inlineStr">
        <is>
          <t>250ml 2set</t>
        </is>
      </c>
      <c r="H11428" s="94" t="n">
        <v>200801</v>
      </c>
      <c r="I11428" s="94" t="n">
        <v>200801</v>
      </c>
      <c r="K11428" s="6" t="n">
        <v>11</v>
      </c>
      <c r="L11428" s="94" t="n">
        <v>200801</v>
      </c>
      <c r="M11428" s="94">
        <f>VLOOKUP($Q11428,매칭테이블!$F:$I,2,0)*K11428</f>
        <v/>
      </c>
      <c r="N11428" s="94">
        <f>M11428-M11428*VLOOKUP($Q11428,매칭테이블!$F:$I,3,0)</f>
        <v/>
      </c>
      <c r="O11428" s="94">
        <f>VLOOKUP($Q11428,매칭테이블!$F:$I,4,0)*K11428</f>
        <v/>
      </c>
      <c r="P11428" s="148">
        <f>M11428/1.1</f>
        <v/>
      </c>
      <c r="Q11428" s="94">
        <f>F11428&amp;E11428&amp;G11428&amp;L11428</f>
        <v/>
      </c>
    </row>
    <row r="11429" customFormat="1" s="94">
      <c r="B11429" s="128" t="n">
        <v>44163</v>
      </c>
      <c r="C11429" s="94">
        <f>TEXT(B11429,"aaa")</f>
        <v/>
      </c>
      <c r="E11429" s="94" t="inlineStr">
        <is>
          <t>토너</t>
        </is>
      </c>
      <c r="F11429" s="94" t="inlineStr">
        <is>
          <t>카페24</t>
        </is>
      </c>
      <c r="G11429" s="94" t="inlineStr">
        <is>
          <t>500ml</t>
        </is>
      </c>
      <c r="H11429" s="94" t="n">
        <v>200801</v>
      </c>
      <c r="I11429" s="94" t="n">
        <v>200801</v>
      </c>
      <c r="K11429" s="6" t="n">
        <v>20</v>
      </c>
      <c r="L11429" s="94" t="n">
        <v>200801</v>
      </c>
      <c r="M11429" s="94">
        <f>VLOOKUP($Q11429,매칭테이블!$F:$I,2,0)*K11429</f>
        <v/>
      </c>
      <c r="N11429" s="94">
        <f>M11429-M11429*VLOOKUP($Q11429,매칭테이블!$F:$I,3,0)</f>
        <v/>
      </c>
      <c r="O11429" s="94">
        <f>VLOOKUP($Q11429,매칭테이블!$F:$I,4,0)*K11429</f>
        <v/>
      </c>
      <c r="P11429" s="148">
        <f>M11429/1.1</f>
        <v/>
      </c>
      <c r="Q11429" s="94">
        <f>F11429&amp;E11429&amp;G11429&amp;L11429</f>
        <v/>
      </c>
    </row>
    <row r="11430" customFormat="1" s="94">
      <c r="B11430" s="128" t="n">
        <v>44163</v>
      </c>
      <c r="C11430" s="94">
        <f>TEXT(B11430,"aaa")</f>
        <v/>
      </c>
      <c r="E11430" s="94" t="inlineStr">
        <is>
          <t>토너</t>
        </is>
      </c>
      <c r="F11430" s="94" t="inlineStr">
        <is>
          <t>카페24</t>
        </is>
      </c>
      <c r="G11430" s="94" t="inlineStr">
        <is>
          <t>스킨팩 화장솜 60P</t>
        </is>
      </c>
      <c r="H11430" s="94" t="n">
        <v>200801</v>
      </c>
      <c r="I11430" s="94" t="n">
        <v>200801</v>
      </c>
      <c r="K11430" s="6" t="n">
        <v>29</v>
      </c>
      <c r="L11430" s="94" t="n">
        <v>200801</v>
      </c>
      <c r="M11430" s="94">
        <f>VLOOKUP($Q11430,매칭테이블!$F:$I,2,0)*K11430</f>
        <v/>
      </c>
      <c r="N11430" s="94">
        <f>M11430-M11430*VLOOKUP($Q11430,매칭테이블!$F:$I,3,0)</f>
        <v/>
      </c>
      <c r="O11430" s="94">
        <f>VLOOKUP($Q11430,매칭테이블!$F:$I,4,0)*K11430</f>
        <v/>
      </c>
      <c r="P11430" s="148">
        <f>M11430/1.1</f>
        <v/>
      </c>
      <c r="Q11430" s="94">
        <f>F11430&amp;E11430&amp;G11430&amp;L11430</f>
        <v/>
      </c>
    </row>
    <row r="11431" customFormat="1" s="94">
      <c r="B11431" s="128" t="n">
        <v>44163</v>
      </c>
      <c r="C11431" s="94">
        <f>TEXT(B11431,"aaa")</f>
        <v/>
      </c>
      <c r="E11431" s="94" t="inlineStr">
        <is>
          <t>앰플</t>
        </is>
      </c>
      <c r="F11431" s="94" t="inlineStr">
        <is>
          <t>카페24</t>
        </is>
      </c>
      <c r="G11431" s="94" t="inlineStr">
        <is>
          <t>앰플 30ml</t>
        </is>
      </c>
      <c r="H11431" s="94" t="n">
        <v>200801</v>
      </c>
      <c r="I11431" s="94" t="n">
        <v>200801</v>
      </c>
      <c r="K11431" s="6" t="n">
        <v>17</v>
      </c>
      <c r="L11431" s="94" t="n">
        <v>200801</v>
      </c>
      <c r="M11431" s="94">
        <f>VLOOKUP($Q11431,매칭테이블!$F:$I,2,0)*K11431</f>
        <v/>
      </c>
      <c r="N11431" s="94">
        <f>M11431-M11431*VLOOKUP($Q11431,매칭테이블!$F:$I,3,0)</f>
        <v/>
      </c>
      <c r="O11431" s="94">
        <f>VLOOKUP($Q11431,매칭테이블!$F:$I,4,0)*K11431</f>
        <v/>
      </c>
      <c r="P11431" s="148">
        <f>M11431/1.1</f>
        <v/>
      </c>
      <c r="Q11431" s="94">
        <f>F11431&amp;E11431&amp;G11431&amp;L11431</f>
        <v/>
      </c>
    </row>
    <row r="11432" customFormat="1" s="94">
      <c r="B11432" s="128" t="n">
        <v>44163</v>
      </c>
      <c r="C11432" s="94">
        <f>TEXT(B11432,"aaa")</f>
        <v/>
      </c>
      <c r="E11432" s="94" t="inlineStr">
        <is>
          <t>앰플</t>
        </is>
      </c>
      <c r="F11432" s="94" t="inlineStr">
        <is>
          <t>카페24</t>
        </is>
      </c>
      <c r="G11432" s="94" t="inlineStr">
        <is>
          <t>앰플 30ml  2set</t>
        </is>
      </c>
      <c r="H11432" s="94" t="n">
        <v>200801</v>
      </c>
      <c r="I11432" s="94" t="n">
        <v>200801</v>
      </c>
      <c r="K11432" s="6" t="n">
        <v>3</v>
      </c>
      <c r="L11432" s="94" t="n">
        <v>200801</v>
      </c>
      <c r="M11432" s="94">
        <f>VLOOKUP($Q11432,매칭테이블!$F:$I,2,0)*K11432</f>
        <v/>
      </c>
      <c r="N11432" s="94">
        <f>M11432-M11432*VLOOKUP($Q11432,매칭테이블!$F:$I,3,0)</f>
        <v/>
      </c>
      <c r="O11432" s="94">
        <f>VLOOKUP($Q11432,매칭테이블!$F:$I,4,0)*K11432</f>
        <v/>
      </c>
      <c r="P11432" s="148">
        <f>M11432/1.1</f>
        <v/>
      </c>
      <c r="Q11432" s="94">
        <f>F11432&amp;E11432&amp;G11432&amp;L11432</f>
        <v/>
      </c>
    </row>
    <row r="11433" customFormat="1" s="94">
      <c r="B11433" s="128" t="n">
        <v>44163</v>
      </c>
      <c r="C11433" s="94">
        <f>TEXT(B11433,"aaa")</f>
        <v/>
      </c>
      <c r="E11433" s="94" t="inlineStr">
        <is>
          <t>수딩크림</t>
        </is>
      </c>
      <c r="F11433" s="94" t="inlineStr">
        <is>
          <t>카페24</t>
        </is>
      </c>
      <c r="G11433" s="94" t="inlineStr">
        <is>
          <t>수딩크림 100ml</t>
        </is>
      </c>
      <c r="H11433" s="94" t="n">
        <v>200801</v>
      </c>
      <c r="I11433" s="94" t="n">
        <v>200801</v>
      </c>
      <c r="K11433" s="6" t="n">
        <v>1</v>
      </c>
      <c r="L11433" s="94" t="n">
        <v>200801</v>
      </c>
      <c r="M11433" s="94">
        <f>VLOOKUP($Q11433,매칭테이블!$F:$I,2,0)*K11433</f>
        <v/>
      </c>
      <c r="N11433" s="94">
        <f>M11433-M11433*VLOOKUP($Q11433,매칭테이블!$F:$I,3,0)</f>
        <v/>
      </c>
      <c r="O11433" s="94">
        <f>VLOOKUP($Q11433,매칭테이블!$F:$I,4,0)*K11433</f>
        <v/>
      </c>
      <c r="P11433" s="148">
        <f>M11433/1.1</f>
        <v/>
      </c>
      <c r="Q11433" s="94">
        <f>F11433&amp;E11433&amp;G11433&amp;L11433</f>
        <v/>
      </c>
    </row>
    <row r="11434" customFormat="1" s="94">
      <c r="B11434" s="128" t="n">
        <v>44163</v>
      </c>
      <c r="C11434" s="94">
        <f>TEXT(B11434,"aaa")</f>
        <v/>
      </c>
      <c r="E11434" s="94" t="inlineStr">
        <is>
          <t>클렌징폼</t>
        </is>
      </c>
      <c r="F11434" s="94" t="inlineStr">
        <is>
          <t>카페24</t>
        </is>
      </c>
      <c r="G11434" s="94" t="inlineStr">
        <is>
          <t>클렌징폼 120ml</t>
        </is>
      </c>
      <c r="H11434" s="94" t="n">
        <v>200801</v>
      </c>
      <c r="I11434" s="94" t="n">
        <v>200801</v>
      </c>
      <c r="K11434" s="6" t="n">
        <v>3</v>
      </c>
      <c r="L11434" s="94" t="n">
        <v>200801</v>
      </c>
      <c r="M11434" s="94">
        <f>VLOOKUP($Q11434,매칭테이블!$F:$I,2,0)*K11434</f>
        <v/>
      </c>
      <c r="N11434" s="94">
        <f>M11434-M11434*VLOOKUP($Q11434,매칭테이블!$F:$I,3,0)</f>
        <v/>
      </c>
      <c r="O11434" s="94">
        <f>VLOOKUP($Q11434,매칭테이블!$F:$I,4,0)*K11434</f>
        <v/>
      </c>
      <c r="P11434" s="148">
        <f>M11434/1.1</f>
        <v/>
      </c>
      <c r="Q11434" s="94">
        <f>F11434&amp;E11434&amp;G11434&amp;L11434</f>
        <v/>
      </c>
    </row>
    <row r="11435" customFormat="1" s="94">
      <c r="B11435" s="128" t="n">
        <v>44163</v>
      </c>
      <c r="C11435" s="94">
        <f>TEXT(B11435,"aaa")</f>
        <v/>
      </c>
      <c r="E11435" s="94" t="inlineStr">
        <is>
          <t>클렌징폼</t>
        </is>
      </c>
      <c r="F11435" s="94" t="inlineStr">
        <is>
          <t>카페24</t>
        </is>
      </c>
      <c r="G11435" s="94" t="inlineStr">
        <is>
          <t>클렌징폼 120ml 2set</t>
        </is>
      </c>
      <c r="H11435" s="94" t="n">
        <v>200801</v>
      </c>
      <c r="I11435" s="94" t="n">
        <v>200801</v>
      </c>
      <c r="K11435" s="6" t="n">
        <v>2</v>
      </c>
      <c r="L11435" s="94" t="n">
        <v>200801</v>
      </c>
      <c r="M11435" s="94">
        <f>VLOOKUP($Q11435,매칭테이블!$F:$I,2,0)*K11435</f>
        <v/>
      </c>
      <c r="N11435" s="94">
        <f>M11435-M11435*VLOOKUP($Q11435,매칭테이블!$F:$I,3,0)</f>
        <v/>
      </c>
      <c r="O11435" s="94">
        <f>VLOOKUP($Q11435,매칭테이블!$F:$I,4,0)*K11435</f>
        <v/>
      </c>
      <c r="P11435" s="148">
        <f>M11435/1.1</f>
        <v/>
      </c>
      <c r="Q11435" s="94">
        <f>F11435&amp;E11435&amp;G11435&amp;L11435</f>
        <v/>
      </c>
    </row>
    <row r="11436" customFormat="1" s="94">
      <c r="B11436" s="128" t="n">
        <v>44163</v>
      </c>
      <c r="C11436" s="94">
        <f>TEXT(B11436,"aaa")</f>
        <v/>
      </c>
      <c r="E11436" s="94" t="inlineStr">
        <is>
          <t>토너</t>
        </is>
      </c>
      <c r="F11436" s="94" t="inlineStr">
        <is>
          <t>화해</t>
        </is>
      </c>
      <c r="G11436" s="94" t="inlineStr">
        <is>
          <t>250ml</t>
        </is>
      </c>
      <c r="H11436" s="94" t="n">
        <v>200801</v>
      </c>
      <c r="I11436" s="94" t="n">
        <v>200801</v>
      </c>
      <c r="K11436" s="6" t="n">
        <v>4</v>
      </c>
      <c r="L11436" s="94" t="n">
        <v>200801</v>
      </c>
      <c r="M11436" s="94">
        <f>VLOOKUP($Q11436,매칭테이블!$F:$I,2,0)*K11436</f>
        <v/>
      </c>
      <c r="N11436" s="94">
        <f>M11436-M11436*VLOOKUP($Q11436,매칭테이블!$F:$I,3,0)</f>
        <v/>
      </c>
      <c r="O11436" s="94">
        <f>VLOOKUP($Q11436,매칭테이블!$F:$I,4,0)*K11436</f>
        <v/>
      </c>
      <c r="P11436" s="148">
        <f>M11436/1.1</f>
        <v/>
      </c>
      <c r="Q11436" s="94">
        <f>F11436&amp;E11436&amp;G11436&amp;L11436</f>
        <v/>
      </c>
    </row>
    <row r="11437" customFormat="1" s="94">
      <c r="B11437" s="128" t="n">
        <v>44164</v>
      </c>
      <c r="C11437" s="94">
        <f>TEXT(B11437,"aaa")</f>
        <v/>
      </c>
      <c r="E11437" s="94" t="inlineStr">
        <is>
          <t>토너</t>
        </is>
      </c>
      <c r="F11437" s="94" t="inlineStr">
        <is>
          <t>스타일쉐어</t>
        </is>
      </c>
      <c r="G11437" s="94" t="inlineStr">
        <is>
          <t>250ml</t>
        </is>
      </c>
      <c r="H11437" s="94" t="n">
        <v>200801</v>
      </c>
      <c r="I11437" s="94" t="n">
        <v>200801</v>
      </c>
      <c r="K11437" s="6" t="n">
        <v>2</v>
      </c>
      <c r="L11437" s="94" t="n">
        <v>200801</v>
      </c>
      <c r="M11437" s="94">
        <f>VLOOKUP($Q11437,매칭테이블!$F:$I,2,0)*K11437</f>
        <v/>
      </c>
      <c r="N11437" s="94">
        <f>M11437-M11437*VLOOKUP($Q11437,매칭테이블!$F:$I,3,0)</f>
        <v/>
      </c>
      <c r="O11437" s="94">
        <f>VLOOKUP($Q11437,매칭테이블!$F:$I,4,0)*K11437</f>
        <v/>
      </c>
      <c r="P11437" s="148">
        <f>M11437/1.1</f>
        <v/>
      </c>
      <c r="Q11437" s="94">
        <f>F11437&amp;E11437&amp;G11437&amp;L11437</f>
        <v/>
      </c>
    </row>
    <row r="11438" customFormat="1" s="94">
      <c r="B11438" s="128" t="n">
        <v>44164</v>
      </c>
      <c r="C11438" s="94">
        <f>TEXT(B11438,"aaa")</f>
        <v/>
      </c>
      <c r="E11438" s="94" t="inlineStr">
        <is>
          <t>선크림</t>
        </is>
      </c>
      <c r="F11438" s="94" t="inlineStr">
        <is>
          <t>카페24</t>
        </is>
      </c>
      <c r="G11438" s="94" t="inlineStr">
        <is>
          <t>선크림 50ml</t>
        </is>
      </c>
      <c r="H11438" s="94" t="n">
        <v>200801</v>
      </c>
      <c r="I11438" s="94" t="n">
        <v>200801</v>
      </c>
      <c r="K11438" s="6" t="n">
        <v>4</v>
      </c>
      <c r="L11438" s="94" t="n">
        <v>200801</v>
      </c>
      <c r="M11438" s="94">
        <f>VLOOKUP($Q11438,매칭테이블!$F:$I,2,0)*K11438</f>
        <v/>
      </c>
      <c r="N11438" s="94">
        <f>M11438-M11438*VLOOKUP($Q11438,매칭테이블!$F:$I,3,0)</f>
        <v/>
      </c>
      <c r="O11438" s="94">
        <f>VLOOKUP($Q11438,매칭테이블!$F:$I,4,0)*K11438</f>
        <v/>
      </c>
      <c r="P11438" s="148">
        <f>M11438/1.1</f>
        <v/>
      </c>
      <c r="Q11438" s="94">
        <f>F11438&amp;E11438&amp;G11438&amp;L11438</f>
        <v/>
      </c>
    </row>
    <row r="11439" customFormat="1" s="94">
      <c r="B11439" s="128" t="n">
        <v>44164</v>
      </c>
      <c r="C11439" s="94">
        <f>TEXT(B11439,"aaa")</f>
        <v/>
      </c>
      <c r="E11439" s="94" t="inlineStr">
        <is>
          <t>선크림</t>
        </is>
      </c>
      <c r="F11439" s="94" t="inlineStr">
        <is>
          <t>카페24</t>
        </is>
      </c>
      <c r="G11439" s="94" t="inlineStr">
        <is>
          <t>선크림 50ml  2set</t>
        </is>
      </c>
      <c r="H11439" s="94" t="n">
        <v>200801</v>
      </c>
      <c r="I11439" s="94" t="n">
        <v>200801</v>
      </c>
      <c r="K11439" s="6" t="n">
        <v>2</v>
      </c>
      <c r="L11439" s="94" t="n">
        <v>200801</v>
      </c>
      <c r="M11439" s="94">
        <f>VLOOKUP($Q11439,매칭테이블!$F:$I,2,0)*K11439</f>
        <v/>
      </c>
      <c r="N11439" s="94">
        <f>M11439-M11439*VLOOKUP($Q11439,매칭테이블!$F:$I,3,0)</f>
        <v/>
      </c>
      <c r="O11439" s="94">
        <f>VLOOKUP($Q11439,매칭테이블!$F:$I,4,0)*K11439</f>
        <v/>
      </c>
      <c r="P11439" s="148">
        <f>M11439/1.1</f>
        <v/>
      </c>
      <c r="Q11439" s="94">
        <f>F11439&amp;E11439&amp;G11439&amp;L11439</f>
        <v/>
      </c>
    </row>
    <row r="11440" customFormat="1" s="94">
      <c r="B11440" s="128" t="n">
        <v>44164</v>
      </c>
      <c r="C11440" s="94">
        <f>TEXT(B11440,"aaa")</f>
        <v/>
      </c>
      <c r="E11440" s="94" t="inlineStr">
        <is>
          <t>크림마스크</t>
        </is>
      </c>
      <c r="F11440" s="94" t="inlineStr">
        <is>
          <t>카페24</t>
        </is>
      </c>
      <c r="G11440" s="94" t="inlineStr">
        <is>
          <t>옵션=어성초 크림마스크 나이트 솔루션 1장</t>
        </is>
      </c>
      <c r="H11440" s="94" t="n">
        <v>200801</v>
      </c>
      <c r="I11440" s="94" t="n">
        <v>200801</v>
      </c>
      <c r="K11440" s="6" t="n">
        <v>1</v>
      </c>
      <c r="L11440" s="94" t="n">
        <v>200801</v>
      </c>
      <c r="M11440" s="94">
        <f>VLOOKUP($Q11440,매칭테이블!$F:$I,2,0)*K11440</f>
        <v/>
      </c>
      <c r="N11440" s="94">
        <f>M11440-M11440*VLOOKUP($Q11440,매칭테이블!$F:$I,3,0)</f>
        <v/>
      </c>
      <c r="O11440" s="94">
        <f>VLOOKUP($Q11440,매칭테이블!$F:$I,4,0)*K11440</f>
        <v/>
      </c>
      <c r="P11440" s="148">
        <f>M11440/1.1</f>
        <v/>
      </c>
      <c r="Q11440" s="94">
        <f>F11440&amp;E11440&amp;G11440&amp;L11440</f>
        <v/>
      </c>
    </row>
    <row r="11441" customFormat="1" s="94">
      <c r="B11441" s="128" t="n">
        <v>44164</v>
      </c>
      <c r="C11441" s="94">
        <f>TEXT(B11441,"aaa")</f>
        <v/>
      </c>
      <c r="E11441" s="94" t="inlineStr">
        <is>
          <t>크림마스크</t>
        </is>
      </c>
      <c r="F11441" s="94" t="inlineStr">
        <is>
          <t>카페24</t>
        </is>
      </c>
      <c r="G11441" s="94" t="inlineStr">
        <is>
          <t>옵션=어성초 크림마스크 나이트 솔루션 10장</t>
        </is>
      </c>
      <c r="H11441" s="94" t="n">
        <v>200801</v>
      </c>
      <c r="I11441" s="94" t="n">
        <v>200801</v>
      </c>
      <c r="K11441" s="6" t="n">
        <v>3</v>
      </c>
      <c r="L11441" s="94" t="n">
        <v>200801</v>
      </c>
      <c r="M11441" s="94">
        <f>VLOOKUP($Q11441,매칭테이블!$F:$I,2,0)*K11441</f>
        <v/>
      </c>
      <c r="N11441" s="94">
        <f>M11441-M11441*VLOOKUP($Q11441,매칭테이블!$F:$I,3,0)</f>
        <v/>
      </c>
      <c r="O11441" s="94">
        <f>VLOOKUP($Q11441,매칭테이블!$F:$I,4,0)*K11441</f>
        <v/>
      </c>
      <c r="P11441" s="148">
        <f>M11441/1.1</f>
        <v/>
      </c>
      <c r="Q11441" s="94">
        <f>F11441&amp;E11441&amp;G11441&amp;L11441</f>
        <v/>
      </c>
    </row>
    <row r="11442" customFormat="1" s="94">
      <c r="B11442" s="128" t="n">
        <v>44164</v>
      </c>
      <c r="C11442" s="94">
        <f>TEXT(B11442,"aaa")</f>
        <v/>
      </c>
      <c r="E11442" s="94" t="inlineStr">
        <is>
          <t>카밍크림</t>
        </is>
      </c>
      <c r="F11442" s="94" t="inlineStr">
        <is>
          <t>카페24</t>
        </is>
      </c>
      <c r="G11442" s="94" t="inlineStr">
        <is>
          <t>크림=어성초 70 인텐스 카밍 크림 1개 (-20%)</t>
        </is>
      </c>
      <c r="H11442" s="94" t="n">
        <v>200801</v>
      </c>
      <c r="I11442" s="94" t="n">
        <v>200801</v>
      </c>
      <c r="K11442" s="6" t="n">
        <v>3</v>
      </c>
      <c r="L11442" s="94" t="n">
        <v>200801</v>
      </c>
      <c r="M11442" s="94">
        <f>VLOOKUP($Q11442,매칭테이블!$F:$I,2,0)*K11442</f>
        <v/>
      </c>
      <c r="N11442" s="94">
        <f>M11442-M11442*VLOOKUP($Q11442,매칭테이블!$F:$I,3,0)</f>
        <v/>
      </c>
      <c r="O11442" s="94">
        <f>VLOOKUP($Q11442,매칭테이블!$F:$I,4,0)*K11442</f>
        <v/>
      </c>
      <c r="P11442" s="148">
        <f>M11442/1.1</f>
        <v/>
      </c>
      <c r="Q11442" s="94">
        <f>F11442&amp;E11442&amp;G11442&amp;L11442</f>
        <v/>
      </c>
    </row>
    <row r="11443" customFormat="1" s="94">
      <c r="B11443" s="128" t="n">
        <v>44164</v>
      </c>
      <c r="C11443" s="94">
        <f>TEXT(B11443,"aaa")</f>
        <v/>
      </c>
      <c r="E11443" s="94" t="inlineStr">
        <is>
          <t>클리어 패드</t>
        </is>
      </c>
      <c r="F11443" s="94" t="inlineStr">
        <is>
          <t>카페24</t>
        </is>
      </c>
      <c r="G11443" s="94" t="inlineStr">
        <is>
          <t>어성초 77 클리어 패드 1개-20% off</t>
        </is>
      </c>
      <c r="H11443" s="94" t="n">
        <v>200801</v>
      </c>
      <c r="I11443" s="94" t="n">
        <v>200801</v>
      </c>
      <c r="K11443" s="6" t="n">
        <v>39</v>
      </c>
      <c r="L11443" s="94" t="n">
        <v>200801</v>
      </c>
      <c r="M11443" s="94">
        <f>VLOOKUP($Q11443,매칭테이블!$F:$I,2,0)*K11443</f>
        <v/>
      </c>
      <c r="N11443" s="94">
        <f>M11443-M11443*VLOOKUP($Q11443,매칭테이블!$F:$I,3,0)</f>
        <v/>
      </c>
      <c r="O11443" s="94">
        <f>VLOOKUP($Q11443,매칭테이블!$F:$I,4,0)*K11443</f>
        <v/>
      </c>
      <c r="P11443" s="148">
        <f>M11443/1.1</f>
        <v/>
      </c>
      <c r="Q11443" s="94">
        <f>F11443&amp;E11443&amp;G11443&amp;L11443</f>
        <v/>
      </c>
    </row>
    <row r="11444" customFormat="1" s="94">
      <c r="B11444" s="128" t="n">
        <v>44164</v>
      </c>
      <c r="C11444" s="94">
        <f>TEXT(B11444,"aaa")</f>
        <v/>
      </c>
      <c r="E11444" s="94" t="inlineStr">
        <is>
          <t>클리어 패드</t>
        </is>
      </c>
      <c r="F11444" s="94" t="inlineStr">
        <is>
          <t>카페24</t>
        </is>
      </c>
      <c r="G11444" s="94" t="inlineStr">
        <is>
          <t>어성초 77 클리어 패드 2개-30% off</t>
        </is>
      </c>
      <c r="H11444" s="94" t="n">
        <v>200801</v>
      </c>
      <c r="I11444" s="94" t="n">
        <v>200801</v>
      </c>
      <c r="K11444" s="6" t="n">
        <v>39</v>
      </c>
      <c r="L11444" s="94" t="n">
        <v>200801</v>
      </c>
      <c r="M11444" s="94">
        <f>VLOOKUP($Q11444,매칭테이블!$F:$I,2,0)*K11444</f>
        <v/>
      </c>
      <c r="N11444" s="94">
        <f>M11444-M11444*VLOOKUP($Q11444,매칭테이블!$F:$I,3,0)</f>
        <v/>
      </c>
      <c r="O11444" s="94">
        <f>VLOOKUP($Q11444,매칭테이블!$F:$I,4,0)*K11444</f>
        <v/>
      </c>
      <c r="P11444" s="148">
        <f>M11444/1.1</f>
        <v/>
      </c>
      <c r="Q11444" s="94">
        <f>F11444&amp;E11444&amp;G11444&amp;L11444</f>
        <v/>
      </c>
    </row>
    <row r="11445" customFormat="1" s="94">
      <c r="B11445" s="128" t="n">
        <v>44164</v>
      </c>
      <c r="C11445" s="94">
        <f>TEXT(B11445,"aaa")</f>
        <v/>
      </c>
      <c r="E11445" s="94" t="inlineStr">
        <is>
          <t>토너+패드 세트</t>
        </is>
      </c>
      <c r="F11445" s="94" t="inlineStr">
        <is>
          <t>카페24</t>
        </is>
      </c>
      <c r="G11445" s="94" t="inlineStr">
        <is>
          <t>좁쌀 진정 세트 토너+클리어 패드-30% off</t>
        </is>
      </c>
      <c r="H11445" s="94" t="n">
        <v>200801</v>
      </c>
      <c r="I11445" s="94" t="n">
        <v>200801</v>
      </c>
      <c r="K11445" s="6" t="n">
        <v>44</v>
      </c>
      <c r="L11445" s="94" t="n">
        <v>200801</v>
      </c>
      <c r="M11445" s="94">
        <f>VLOOKUP($Q11445,매칭테이블!$F:$I,2,0)*K11445</f>
        <v/>
      </c>
      <c r="N11445" s="94">
        <f>M11445-M11445*VLOOKUP($Q11445,매칭테이블!$F:$I,3,0)</f>
        <v/>
      </c>
      <c r="O11445" s="94">
        <f>VLOOKUP($Q11445,매칭테이블!$F:$I,4,0)*K11445</f>
        <v/>
      </c>
      <c r="P11445" s="148">
        <f>M11445/1.1</f>
        <v/>
      </c>
      <c r="Q11445" s="94">
        <f>F11445&amp;E11445&amp;G11445&amp;L11445</f>
        <v/>
      </c>
    </row>
    <row r="11446" customFormat="1" s="94">
      <c r="B11446" s="128" t="n">
        <v>44164</v>
      </c>
      <c r="C11446" s="94">
        <f>TEXT(B11446,"aaa")</f>
        <v/>
      </c>
      <c r="E11446" s="94" t="inlineStr">
        <is>
          <t>수분 보충 세트</t>
        </is>
      </c>
      <c r="F11446" s="94" t="inlineStr">
        <is>
          <t>카페24</t>
        </is>
      </c>
      <c r="G11446" s="94" t="inlineStr">
        <is>
          <t>[20/09/28 부터] 어성초 77 토너 250ml + 어성초 70 로션 200ml -30%</t>
        </is>
      </c>
      <c r="H11446" s="94" t="n">
        <v>200801</v>
      </c>
      <c r="I11446" s="94" t="n">
        <v>200801</v>
      </c>
      <c r="K11446" s="6" t="n">
        <v>37</v>
      </c>
      <c r="L11446" s="94" t="n">
        <v>200801</v>
      </c>
      <c r="M11446" s="94">
        <f>VLOOKUP($Q11446,매칭테이블!$F:$I,2,0)*K11446</f>
        <v/>
      </c>
      <c r="N11446" s="94">
        <f>M11446-M11446*VLOOKUP($Q11446,매칭테이블!$F:$I,3,0)</f>
        <v/>
      </c>
      <c r="O11446" s="94">
        <f>VLOOKUP($Q11446,매칭테이블!$F:$I,4,0)*K11446</f>
        <v/>
      </c>
      <c r="P11446" s="148">
        <f>M11446/1.1</f>
        <v/>
      </c>
      <c r="Q11446" s="94">
        <f>F11446&amp;E11446&amp;G11446&amp;L11446</f>
        <v/>
      </c>
    </row>
    <row r="11447" customFormat="1" s="94">
      <c r="B11447" s="128" t="n">
        <v>44164</v>
      </c>
      <c r="C11447" s="94">
        <f>TEXT(B11447,"aaa")</f>
        <v/>
      </c>
      <c r="E11447" s="94" t="inlineStr">
        <is>
          <t>로션</t>
        </is>
      </c>
      <c r="F11447" s="94" t="inlineStr">
        <is>
          <t>카페24</t>
        </is>
      </c>
      <c r="G11447" s="94" t="inlineStr">
        <is>
          <t>어성초 70 데일리 릴리프 로션 1개 -20% off</t>
        </is>
      </c>
      <c r="H11447" s="94" t="n">
        <v>200801</v>
      </c>
      <c r="I11447" s="94" t="n">
        <v>200801</v>
      </c>
      <c r="K11447" s="6" t="n">
        <v>9</v>
      </c>
      <c r="L11447" s="94" t="n">
        <v>200801</v>
      </c>
      <c r="M11447" s="94">
        <f>VLOOKUP($Q11447,매칭테이블!$F:$I,2,0)*K11447</f>
        <v/>
      </c>
      <c r="N11447" s="94">
        <f>M11447-M11447*VLOOKUP($Q11447,매칭테이블!$F:$I,3,0)</f>
        <v/>
      </c>
      <c r="O11447" s="94">
        <f>VLOOKUP($Q11447,매칭테이블!$F:$I,4,0)*K11447</f>
        <v/>
      </c>
      <c r="P11447" s="148">
        <f>M11447/1.1</f>
        <v/>
      </c>
      <c r="Q11447" s="94">
        <f>F11447&amp;E11447&amp;G11447&amp;L11447</f>
        <v/>
      </c>
    </row>
    <row r="11448" customFormat="1" s="94">
      <c r="B11448" s="128" t="n">
        <v>44164</v>
      </c>
      <c r="C11448" s="94">
        <f>TEXT(B11448,"aaa")</f>
        <v/>
      </c>
      <c r="E11448" s="94" t="inlineStr">
        <is>
          <t>로션</t>
        </is>
      </c>
      <c r="F11448" s="94" t="inlineStr">
        <is>
          <t>카페24</t>
        </is>
      </c>
      <c r="G11448" s="94" t="inlineStr">
        <is>
          <t>어성초 70 데일리 릴리프 로션 2개 -30% off</t>
        </is>
      </c>
      <c r="H11448" s="94" t="n">
        <v>200801</v>
      </c>
      <c r="I11448" s="94" t="n">
        <v>200801</v>
      </c>
      <c r="K11448" s="6" t="n">
        <v>1</v>
      </c>
      <c r="L11448" s="94" t="n">
        <v>200801</v>
      </c>
      <c r="M11448" s="94">
        <f>VLOOKUP($Q11448,매칭테이블!$F:$I,2,0)*K11448</f>
        <v/>
      </c>
      <c r="N11448" s="94">
        <f>M11448-M11448*VLOOKUP($Q11448,매칭테이블!$F:$I,3,0)</f>
        <v/>
      </c>
      <c r="O11448" s="94">
        <f>VLOOKUP($Q11448,매칭테이블!$F:$I,4,0)*K11448</f>
        <v/>
      </c>
      <c r="P11448" s="148">
        <f>M11448/1.1</f>
        <v/>
      </c>
      <c r="Q11448" s="94">
        <f>F11448&amp;E11448&amp;G11448&amp;L11448</f>
        <v/>
      </c>
    </row>
    <row r="11449" customFormat="1" s="94">
      <c r="B11449" s="128" t="n">
        <v>44164</v>
      </c>
      <c r="C11449" s="94">
        <f>TEXT(B11449,"aaa")</f>
        <v/>
      </c>
      <c r="E11449" s="94" t="inlineStr">
        <is>
          <t>머드크림마스크</t>
        </is>
      </c>
      <c r="F11449" s="94" t="inlineStr">
        <is>
          <t>카페24</t>
        </is>
      </c>
      <c r="G11449" s="94" t="inlineStr">
        <is>
          <t>머드크림마스크 100ml</t>
        </is>
      </c>
      <c r="H11449" s="94" t="n">
        <v>200801</v>
      </c>
      <c r="I11449" s="94" t="n">
        <v>200801</v>
      </c>
      <c r="K11449" s="6" t="n">
        <v>2</v>
      </c>
      <c r="L11449" s="94" t="n">
        <v>200801</v>
      </c>
      <c r="M11449" s="94">
        <f>VLOOKUP($Q11449,매칭테이블!$F:$I,2,0)*K11449</f>
        <v/>
      </c>
      <c r="N11449" s="94">
        <f>M11449-M11449*VLOOKUP($Q11449,매칭테이블!$F:$I,3,0)</f>
        <v/>
      </c>
      <c r="O11449" s="94">
        <f>VLOOKUP($Q11449,매칭테이블!$F:$I,4,0)*K11449</f>
        <v/>
      </c>
      <c r="P11449" s="148">
        <f>M11449/1.1</f>
        <v/>
      </c>
      <c r="Q11449" s="94">
        <f>F11449&amp;E11449&amp;G11449&amp;L11449</f>
        <v/>
      </c>
    </row>
    <row r="11450" customFormat="1" s="94">
      <c r="B11450" s="128" t="n">
        <v>44164</v>
      </c>
      <c r="C11450" s="94">
        <f>TEXT(B11450,"aaa")</f>
        <v/>
      </c>
      <c r="E11450" s="94" t="inlineStr">
        <is>
          <t>마스크팩</t>
        </is>
      </c>
      <c r="F11450" s="94" t="inlineStr">
        <is>
          <t>카페24</t>
        </is>
      </c>
      <c r="G11450" s="94" t="inlineStr">
        <is>
          <t>마스크팩 1매</t>
        </is>
      </c>
      <c r="H11450" s="94" t="n">
        <v>200801</v>
      </c>
      <c r="I11450" s="94" t="n">
        <v>200801</v>
      </c>
      <c r="K11450" s="6" t="n">
        <v>6</v>
      </c>
      <c r="L11450" s="94" t="n">
        <v>200801</v>
      </c>
      <c r="M11450" s="94">
        <f>VLOOKUP($Q11450,매칭테이블!$F:$I,2,0)*K11450</f>
        <v/>
      </c>
      <c r="N11450" s="94">
        <f>M11450-M11450*VLOOKUP($Q11450,매칭테이블!$F:$I,3,0)</f>
        <v/>
      </c>
      <c r="O11450" s="94">
        <f>VLOOKUP($Q11450,매칭테이블!$F:$I,4,0)*K11450</f>
        <v/>
      </c>
      <c r="P11450" s="148">
        <f>M11450/1.1</f>
        <v/>
      </c>
      <c r="Q11450" s="94">
        <f>F11450&amp;E11450&amp;G11450&amp;L11450</f>
        <v/>
      </c>
    </row>
    <row r="11451" customFormat="1" s="94">
      <c r="B11451" s="128" t="n">
        <v>44164</v>
      </c>
      <c r="C11451" s="94">
        <f>TEXT(B11451,"aaa")</f>
        <v/>
      </c>
      <c r="E11451" s="94" t="inlineStr">
        <is>
          <t>마스크팩</t>
        </is>
      </c>
      <c r="F11451" s="94" t="inlineStr">
        <is>
          <t>카페24</t>
        </is>
      </c>
      <c r="G11451" s="94" t="inlineStr">
        <is>
          <t>마스크팩 10매</t>
        </is>
      </c>
      <c r="H11451" s="94" t="n">
        <v>200801</v>
      </c>
      <c r="I11451" s="94" t="n">
        <v>200801</v>
      </c>
      <c r="K11451" s="6" t="n">
        <v>4</v>
      </c>
      <c r="L11451" s="94" t="n">
        <v>200801</v>
      </c>
      <c r="M11451" s="94">
        <f>VLOOKUP($Q11451,매칭테이블!$F:$I,2,0)*K11451</f>
        <v/>
      </c>
      <c r="N11451" s="94">
        <f>M11451-M11451*VLOOKUP($Q11451,매칭테이블!$F:$I,3,0)</f>
        <v/>
      </c>
      <c r="O11451" s="94">
        <f>VLOOKUP($Q11451,매칭테이블!$F:$I,4,0)*K11451</f>
        <v/>
      </c>
      <c r="P11451" s="148">
        <f>M11451/1.1</f>
        <v/>
      </c>
      <c r="Q11451" s="94">
        <f>F11451&amp;E11451&amp;G11451&amp;L11451</f>
        <v/>
      </c>
    </row>
    <row r="11452" customFormat="1" s="94">
      <c r="B11452" s="128" t="n">
        <v>44164</v>
      </c>
      <c r="C11452" s="94">
        <f>TEXT(B11452,"aaa")</f>
        <v/>
      </c>
      <c r="E11452" s="94" t="inlineStr">
        <is>
          <t>토너</t>
        </is>
      </c>
      <c r="F11452" s="94" t="inlineStr">
        <is>
          <t>카페24</t>
        </is>
      </c>
      <c r="G11452" s="94" t="inlineStr">
        <is>
          <t>250ml</t>
        </is>
      </c>
      <c r="H11452" s="94" t="n">
        <v>200801</v>
      </c>
      <c r="I11452" s="94" t="n">
        <v>200801</v>
      </c>
      <c r="K11452" s="6" t="n">
        <v>65</v>
      </c>
      <c r="L11452" s="94" t="n">
        <v>200801</v>
      </c>
      <c r="M11452" s="94">
        <f>VLOOKUP($Q11452,매칭테이블!$F:$I,2,0)*K11452</f>
        <v/>
      </c>
      <c r="N11452" s="94">
        <f>M11452-M11452*VLOOKUP($Q11452,매칭테이블!$F:$I,3,0)</f>
        <v/>
      </c>
      <c r="O11452" s="94">
        <f>VLOOKUP($Q11452,매칭테이블!$F:$I,4,0)*K11452</f>
        <v/>
      </c>
      <c r="P11452" s="148">
        <f>M11452/1.1</f>
        <v/>
      </c>
      <c r="Q11452" s="94">
        <f>F11452&amp;E11452&amp;G11452&amp;L11452</f>
        <v/>
      </c>
    </row>
    <row r="11453" customFormat="1" s="94">
      <c r="B11453" s="128" t="n">
        <v>44164</v>
      </c>
      <c r="C11453" s="94">
        <f>TEXT(B11453,"aaa")</f>
        <v/>
      </c>
      <c r="E11453" s="94" t="inlineStr">
        <is>
          <t>토너</t>
        </is>
      </c>
      <c r="F11453" s="94" t="inlineStr">
        <is>
          <t>카페24</t>
        </is>
      </c>
      <c r="G11453" s="94" t="inlineStr">
        <is>
          <t>250ml 2set</t>
        </is>
      </c>
      <c r="H11453" s="94" t="n">
        <v>200801</v>
      </c>
      <c r="I11453" s="94" t="n">
        <v>200801</v>
      </c>
      <c r="K11453" s="6" t="n">
        <v>28</v>
      </c>
      <c r="L11453" s="94" t="n">
        <v>200801</v>
      </c>
      <c r="M11453" s="94">
        <f>VLOOKUP($Q11453,매칭테이블!$F:$I,2,0)*K11453</f>
        <v/>
      </c>
      <c r="N11453" s="94">
        <f>M11453-M11453*VLOOKUP($Q11453,매칭테이블!$F:$I,3,0)</f>
        <v/>
      </c>
      <c r="O11453" s="94">
        <f>VLOOKUP($Q11453,매칭테이블!$F:$I,4,0)*K11453</f>
        <v/>
      </c>
      <c r="P11453" s="148">
        <f>M11453/1.1</f>
        <v/>
      </c>
      <c r="Q11453" s="94">
        <f>F11453&amp;E11453&amp;G11453&amp;L11453</f>
        <v/>
      </c>
    </row>
    <row r="11454" customFormat="1" s="94">
      <c r="B11454" s="128" t="n">
        <v>44164</v>
      </c>
      <c r="C11454" s="94">
        <f>TEXT(B11454,"aaa")</f>
        <v/>
      </c>
      <c r="E11454" s="94" t="inlineStr">
        <is>
          <t>토너</t>
        </is>
      </c>
      <c r="F11454" s="94" t="inlineStr">
        <is>
          <t>카페24</t>
        </is>
      </c>
      <c r="G11454" s="94" t="inlineStr">
        <is>
          <t>500ml</t>
        </is>
      </c>
      <c r="H11454" s="94" t="n">
        <v>200801</v>
      </c>
      <c r="I11454" s="94" t="n">
        <v>200801</v>
      </c>
      <c r="K11454" s="6" t="n">
        <v>46</v>
      </c>
      <c r="L11454" s="94" t="n">
        <v>200801</v>
      </c>
      <c r="M11454" s="94">
        <f>VLOOKUP($Q11454,매칭테이블!$F:$I,2,0)*K11454</f>
        <v/>
      </c>
      <c r="N11454" s="94">
        <f>M11454-M11454*VLOOKUP($Q11454,매칭테이블!$F:$I,3,0)</f>
        <v/>
      </c>
      <c r="O11454" s="94">
        <f>VLOOKUP($Q11454,매칭테이블!$F:$I,4,0)*K11454</f>
        <v/>
      </c>
      <c r="P11454" s="148">
        <f>M11454/1.1</f>
        <v/>
      </c>
      <c r="Q11454" s="94">
        <f>F11454&amp;E11454&amp;G11454&amp;L11454</f>
        <v/>
      </c>
    </row>
    <row r="11455" customFormat="1" s="94">
      <c r="B11455" s="128" t="n">
        <v>44164</v>
      </c>
      <c r="C11455" s="94">
        <f>TEXT(B11455,"aaa")</f>
        <v/>
      </c>
      <c r="E11455" s="94" t="inlineStr">
        <is>
          <t>토너</t>
        </is>
      </c>
      <c r="F11455" s="94" t="inlineStr">
        <is>
          <t>카페24</t>
        </is>
      </c>
      <c r="G11455" s="94" t="inlineStr">
        <is>
          <t>스킨팩 화장솜 60P</t>
        </is>
      </c>
      <c r="H11455" s="94" t="n">
        <v>200801</v>
      </c>
      <c r="I11455" s="94" t="n">
        <v>200801</v>
      </c>
      <c r="K11455" s="6" t="n">
        <v>56</v>
      </c>
      <c r="L11455" s="94" t="n">
        <v>200801</v>
      </c>
      <c r="M11455" s="94">
        <f>VLOOKUP($Q11455,매칭테이블!$F:$I,2,0)*K11455</f>
        <v/>
      </c>
      <c r="N11455" s="94">
        <f>M11455-M11455*VLOOKUP($Q11455,매칭테이블!$F:$I,3,0)</f>
        <v/>
      </c>
      <c r="O11455" s="94">
        <f>VLOOKUP($Q11455,매칭테이블!$F:$I,4,0)*K11455</f>
        <v/>
      </c>
      <c r="P11455" s="148">
        <f>M11455/1.1</f>
        <v/>
      </c>
      <c r="Q11455" s="94">
        <f>F11455&amp;E11455&amp;G11455&amp;L11455</f>
        <v/>
      </c>
    </row>
    <row r="11456" customFormat="1" s="94">
      <c r="B11456" s="128" t="n">
        <v>44164</v>
      </c>
      <c r="C11456" s="94">
        <f>TEXT(B11456,"aaa")</f>
        <v/>
      </c>
      <c r="E11456" s="94" t="inlineStr">
        <is>
          <t>앰플</t>
        </is>
      </c>
      <c r="F11456" s="94" t="inlineStr">
        <is>
          <t>카페24</t>
        </is>
      </c>
      <c r="G11456" s="94" t="inlineStr">
        <is>
          <t>앰플 30ml</t>
        </is>
      </c>
      <c r="H11456" s="94" t="n">
        <v>200801</v>
      </c>
      <c r="I11456" s="94" t="n">
        <v>200801</v>
      </c>
      <c r="K11456" s="6" t="n">
        <v>33</v>
      </c>
      <c r="L11456" s="94" t="n">
        <v>200801</v>
      </c>
      <c r="M11456" s="94">
        <f>VLOOKUP($Q11456,매칭테이블!$F:$I,2,0)*K11456</f>
        <v/>
      </c>
      <c r="N11456" s="94">
        <f>M11456-M11456*VLOOKUP($Q11456,매칭테이블!$F:$I,3,0)</f>
        <v/>
      </c>
      <c r="O11456" s="94">
        <f>VLOOKUP($Q11456,매칭테이블!$F:$I,4,0)*K11456</f>
        <v/>
      </c>
      <c r="P11456" s="148">
        <f>M11456/1.1</f>
        <v/>
      </c>
      <c r="Q11456" s="94">
        <f>F11456&amp;E11456&amp;G11456&amp;L11456</f>
        <v/>
      </c>
    </row>
    <row r="11457" customFormat="1" s="94">
      <c r="B11457" s="128" t="n">
        <v>44164</v>
      </c>
      <c r="C11457" s="94">
        <f>TEXT(B11457,"aaa")</f>
        <v/>
      </c>
      <c r="E11457" s="94" t="inlineStr">
        <is>
          <t>앰플</t>
        </is>
      </c>
      <c r="F11457" s="94" t="inlineStr">
        <is>
          <t>카페24</t>
        </is>
      </c>
      <c r="G11457" s="94" t="inlineStr">
        <is>
          <t>앰플 30ml  2set</t>
        </is>
      </c>
      <c r="H11457" s="94" t="n">
        <v>200801</v>
      </c>
      <c r="I11457" s="94" t="n">
        <v>200801</v>
      </c>
      <c r="K11457" s="6" t="n">
        <v>5</v>
      </c>
      <c r="L11457" s="94" t="n">
        <v>200801</v>
      </c>
      <c r="M11457" s="94">
        <f>VLOOKUP($Q11457,매칭테이블!$F:$I,2,0)*K11457</f>
        <v/>
      </c>
      <c r="N11457" s="94">
        <f>M11457-M11457*VLOOKUP($Q11457,매칭테이블!$F:$I,3,0)</f>
        <v/>
      </c>
      <c r="O11457" s="94">
        <f>VLOOKUP($Q11457,매칭테이블!$F:$I,4,0)*K11457</f>
        <v/>
      </c>
      <c r="P11457" s="148">
        <f>M11457/1.1</f>
        <v/>
      </c>
      <c r="Q11457" s="94">
        <f>F11457&amp;E11457&amp;G11457&amp;L11457</f>
        <v/>
      </c>
    </row>
    <row r="11458" customFormat="1" s="94">
      <c r="B11458" s="128" t="n">
        <v>44164</v>
      </c>
      <c r="C11458" s="94">
        <f>TEXT(B11458,"aaa")</f>
        <v/>
      </c>
      <c r="E11458" s="94" t="inlineStr">
        <is>
          <t>수딩크림</t>
        </is>
      </c>
      <c r="F11458" s="94" t="inlineStr">
        <is>
          <t>카페24</t>
        </is>
      </c>
      <c r="G11458" s="94" t="inlineStr">
        <is>
          <t>수딩크림 100ml</t>
        </is>
      </c>
      <c r="H11458" s="94" t="n">
        <v>200801</v>
      </c>
      <c r="I11458" s="94" t="n">
        <v>200801</v>
      </c>
      <c r="K11458" s="6" t="n">
        <v>13</v>
      </c>
      <c r="L11458" s="94" t="n">
        <v>200801</v>
      </c>
      <c r="M11458" s="94">
        <f>VLOOKUP($Q11458,매칭테이블!$F:$I,2,0)*K11458</f>
        <v/>
      </c>
      <c r="N11458" s="94">
        <f>M11458-M11458*VLOOKUP($Q11458,매칭테이블!$F:$I,3,0)</f>
        <v/>
      </c>
      <c r="O11458" s="94">
        <f>VLOOKUP($Q11458,매칭테이블!$F:$I,4,0)*K11458</f>
        <v/>
      </c>
      <c r="P11458" s="148">
        <f>M11458/1.1</f>
        <v/>
      </c>
      <c r="Q11458" s="94">
        <f>F11458&amp;E11458&amp;G11458&amp;L11458</f>
        <v/>
      </c>
    </row>
    <row r="11459" customFormat="1" s="94">
      <c r="B11459" s="128" t="n">
        <v>44164</v>
      </c>
      <c r="C11459" s="94">
        <f>TEXT(B11459,"aaa")</f>
        <v/>
      </c>
      <c r="E11459" s="94" t="inlineStr">
        <is>
          <t>클렌징폼</t>
        </is>
      </c>
      <c r="F11459" s="94" t="inlineStr">
        <is>
          <t>카페24</t>
        </is>
      </c>
      <c r="G11459" s="94" t="inlineStr">
        <is>
          <t>클렌징폼 120ml</t>
        </is>
      </c>
      <c r="H11459" s="94" t="n">
        <v>200801</v>
      </c>
      <c r="I11459" s="94" t="n">
        <v>200801</v>
      </c>
      <c r="K11459" s="6" t="n">
        <v>17</v>
      </c>
      <c r="L11459" s="94" t="n">
        <v>200801</v>
      </c>
      <c r="M11459" s="94">
        <f>VLOOKUP($Q11459,매칭테이블!$F:$I,2,0)*K11459</f>
        <v/>
      </c>
      <c r="N11459" s="94">
        <f>M11459-M11459*VLOOKUP($Q11459,매칭테이블!$F:$I,3,0)</f>
        <v/>
      </c>
      <c r="O11459" s="94">
        <f>VLOOKUP($Q11459,매칭테이블!$F:$I,4,0)*K11459</f>
        <v/>
      </c>
      <c r="P11459" s="148">
        <f>M11459/1.1</f>
        <v/>
      </c>
      <c r="Q11459" s="94">
        <f>F11459&amp;E11459&amp;G11459&amp;L11459</f>
        <v/>
      </c>
    </row>
    <row r="11460" customFormat="1" s="94">
      <c r="B11460" s="128" t="n">
        <v>44164</v>
      </c>
      <c r="C11460" s="94">
        <f>TEXT(B11460,"aaa")</f>
        <v/>
      </c>
      <c r="E11460" s="94" t="inlineStr">
        <is>
          <t>클렌징폼</t>
        </is>
      </c>
      <c r="F11460" s="94" t="inlineStr">
        <is>
          <t>카페24</t>
        </is>
      </c>
      <c r="G11460" s="94" t="inlineStr">
        <is>
          <t>클렌징폼 120ml 2set</t>
        </is>
      </c>
      <c r="H11460" s="94" t="n">
        <v>200801</v>
      </c>
      <c r="I11460" s="94" t="n">
        <v>200801</v>
      </c>
      <c r="K11460" s="6" t="n">
        <v>2</v>
      </c>
      <c r="L11460" s="94" t="n">
        <v>200801</v>
      </c>
      <c r="M11460" s="94">
        <f>VLOOKUP($Q11460,매칭테이블!$F:$I,2,0)*K11460</f>
        <v/>
      </c>
      <c r="N11460" s="94">
        <f>M11460-M11460*VLOOKUP($Q11460,매칭테이블!$F:$I,3,0)</f>
        <v/>
      </c>
      <c r="O11460" s="94">
        <f>VLOOKUP($Q11460,매칭테이블!$F:$I,4,0)*K11460</f>
        <v/>
      </c>
      <c r="P11460" s="148">
        <f>M11460/1.1</f>
        <v/>
      </c>
      <c r="Q11460" s="94">
        <f>F11460&amp;E11460&amp;G11460&amp;L11460</f>
        <v/>
      </c>
    </row>
    <row r="11461" customFormat="1" s="94">
      <c r="B11461" s="128" t="n">
        <v>44164</v>
      </c>
      <c r="C11461" s="94">
        <f>TEXT(B11461,"aaa")</f>
        <v/>
      </c>
      <c r="E11461" s="94" t="inlineStr">
        <is>
          <t>클렌징폼</t>
        </is>
      </c>
      <c r="F11461" s="94" t="inlineStr">
        <is>
          <t>카페24</t>
        </is>
      </c>
      <c r="G11461" s="94" t="inlineStr">
        <is>
          <t>클렌징폼 120ml 3set</t>
        </is>
      </c>
      <c r="H11461" s="94" t="n">
        <v>200801</v>
      </c>
      <c r="I11461" s="94" t="n">
        <v>200801</v>
      </c>
      <c r="K11461" s="6" t="n">
        <v>1</v>
      </c>
      <c r="L11461" s="94" t="n">
        <v>200801</v>
      </c>
      <c r="M11461" s="94">
        <f>VLOOKUP($Q11461,매칭테이블!$F:$I,2,0)*K11461</f>
        <v/>
      </c>
      <c r="N11461" s="94">
        <f>M11461-M11461*VLOOKUP($Q11461,매칭테이블!$F:$I,3,0)</f>
        <v/>
      </c>
      <c r="O11461" s="94">
        <f>VLOOKUP($Q11461,매칭테이블!$F:$I,4,0)*K11461</f>
        <v/>
      </c>
      <c r="P11461" s="148">
        <f>M11461/1.1</f>
        <v/>
      </c>
      <c r="Q11461" s="94">
        <f>F11461&amp;E11461&amp;G11461&amp;L11461</f>
        <v/>
      </c>
    </row>
    <row r="11462" customFormat="1" s="94">
      <c r="B11462" s="128" t="n">
        <v>44164</v>
      </c>
      <c r="C11462" s="94">
        <f>TEXT(B11462,"aaa")</f>
        <v/>
      </c>
      <c r="E11462" s="94" t="inlineStr">
        <is>
          <t>바디워시</t>
        </is>
      </c>
      <c r="F11462" s="94" t="inlineStr">
        <is>
          <t>카페24</t>
        </is>
      </c>
      <c r="G11462" s="94" t="inlineStr">
        <is>
          <t>바디워시 1개 -30% off</t>
        </is>
      </c>
      <c r="H11462" s="94" t="n">
        <v>200801</v>
      </c>
      <c r="I11462" s="94" t="n">
        <v>200801</v>
      </c>
      <c r="K11462" s="6" t="n">
        <v>5</v>
      </c>
      <c r="L11462" s="94" t="n">
        <v>200801</v>
      </c>
      <c r="M11462" s="94">
        <f>VLOOKUP($Q11462,매칭테이블!$F:$I,2,0)*K11462</f>
        <v/>
      </c>
      <c r="N11462" s="94">
        <f>M11462-M11462*VLOOKUP($Q11462,매칭테이블!$F:$I,3,0)</f>
        <v/>
      </c>
      <c r="O11462" s="94">
        <f>VLOOKUP($Q11462,매칭테이블!$F:$I,4,0)*K11462</f>
        <v/>
      </c>
      <c r="P11462" s="148">
        <f>M11462/1.1</f>
        <v/>
      </c>
      <c r="Q11462" s="94">
        <f>F11462&amp;E11462&amp;G11462&amp;L11462</f>
        <v/>
      </c>
    </row>
    <row r="11463" customFormat="1" s="94">
      <c r="B11463" s="128" t="n">
        <v>44164</v>
      </c>
      <c r="C11463" s="94">
        <f>TEXT(B11463,"aaa")</f>
        <v/>
      </c>
      <c r="E11463" s="94" t="inlineStr">
        <is>
          <t>토너</t>
        </is>
      </c>
      <c r="F11463" s="94" t="inlineStr">
        <is>
          <t>화해</t>
        </is>
      </c>
      <c r="G11463" s="94" t="inlineStr">
        <is>
          <t>250ml</t>
        </is>
      </c>
      <c r="H11463" s="94" t="n">
        <v>200801</v>
      </c>
      <c r="I11463" s="94" t="n">
        <v>200801</v>
      </c>
      <c r="K11463" s="6" t="n">
        <v>4</v>
      </c>
      <c r="L11463" s="94" t="n">
        <v>200801</v>
      </c>
      <c r="M11463" s="94">
        <f>VLOOKUP($Q11463,매칭테이블!$F:$I,2,0)*K11463</f>
        <v/>
      </c>
      <c r="N11463" s="94">
        <f>M11463-M11463*VLOOKUP($Q11463,매칭테이블!$F:$I,3,0)</f>
        <v/>
      </c>
      <c r="O11463" s="94">
        <f>VLOOKUP($Q11463,매칭테이블!$F:$I,4,0)*K11463</f>
        <v/>
      </c>
      <c r="P11463" s="148">
        <f>M11463/1.1</f>
        <v/>
      </c>
      <c r="Q11463" s="94">
        <f>F11463&amp;E11463&amp;G11463&amp;L11463</f>
        <v/>
      </c>
    </row>
    <row r="11464" customFormat="1" s="94">
      <c r="B11464" s="128" t="n">
        <v>44164</v>
      </c>
      <c r="C11464" s="94">
        <f>TEXT(B11464,"aaa")</f>
        <v/>
      </c>
      <c r="E11464" s="94" t="inlineStr">
        <is>
          <t>머드크림마스크</t>
        </is>
      </c>
      <c r="F11464" s="94" t="inlineStr">
        <is>
          <t>화해</t>
        </is>
      </c>
      <c r="G11464" s="94" t="inlineStr">
        <is>
          <t>머드크림마스크 100ml</t>
        </is>
      </c>
      <c r="H11464" s="94" t="n">
        <v>200801</v>
      </c>
      <c r="I11464" s="94" t="n">
        <v>200801</v>
      </c>
      <c r="K11464" s="6" t="n">
        <v>1</v>
      </c>
      <c r="L11464" s="94" t="n">
        <v>200801</v>
      </c>
      <c r="M11464" s="94">
        <f>VLOOKUP($Q11464,매칭테이블!$F:$I,2,0)*K11464</f>
        <v/>
      </c>
      <c r="N11464" s="94">
        <f>M11464-M11464*VLOOKUP($Q11464,매칭테이블!$F:$I,3,0)</f>
        <v/>
      </c>
      <c r="O11464" s="94">
        <f>VLOOKUP($Q11464,매칭테이블!$F:$I,4,0)*K11464</f>
        <v/>
      </c>
      <c r="P11464" s="148">
        <f>M11464/1.1</f>
        <v/>
      </c>
      <c r="Q11464" s="94">
        <f>F11464&amp;E11464&amp;G11464&amp;L11464</f>
        <v/>
      </c>
    </row>
    <row r="11465" customFormat="1" s="94">
      <c r="B11465" s="128" t="n">
        <v>44164</v>
      </c>
      <c r="C11465" s="94">
        <f>TEXT(B11465,"aaa")</f>
        <v/>
      </c>
      <c r="E11465" s="94" t="inlineStr">
        <is>
          <t>클렌징폼</t>
        </is>
      </c>
      <c r="F11465" s="94" t="inlineStr">
        <is>
          <t>화해</t>
        </is>
      </c>
      <c r="G11465" s="94" t="inlineStr">
        <is>
          <t>클렌징폼 120ml</t>
        </is>
      </c>
      <c r="H11465" s="94" t="n">
        <v>200801</v>
      </c>
      <c r="I11465" s="94" t="n">
        <v>200801</v>
      </c>
      <c r="K11465" s="6" t="n">
        <v>1</v>
      </c>
      <c r="L11465" s="94" t="n">
        <v>200801</v>
      </c>
      <c r="M11465" s="94">
        <f>VLOOKUP($Q11465,매칭테이블!$F:$I,2,0)*K11465</f>
        <v/>
      </c>
      <c r="N11465" s="94">
        <f>M11465-M11465*VLOOKUP($Q11465,매칭테이블!$F:$I,3,0)</f>
        <v/>
      </c>
      <c r="O11465" s="94">
        <f>VLOOKUP($Q11465,매칭테이블!$F:$I,4,0)*K11465</f>
        <v/>
      </c>
      <c r="P11465" s="148">
        <f>M11465/1.1</f>
        <v/>
      </c>
      <c r="Q11465" s="94">
        <f>F11465&amp;E11465&amp;G11465&amp;L11465</f>
        <v/>
      </c>
    </row>
    <row r="11466" customFormat="1" s="94">
      <c r="B11466" s="128" t="n">
        <v>44164</v>
      </c>
      <c r="C11466" s="94">
        <f>TEXT(B11466,"aaa")</f>
        <v/>
      </c>
      <c r="E11466" s="94" t="inlineStr">
        <is>
          <t>클리어 패드</t>
        </is>
      </c>
      <c r="F11466" s="94" t="inlineStr">
        <is>
          <t>화해</t>
        </is>
      </c>
      <c r="G11466" s="94" t="inlineStr">
        <is>
          <t>어성초 클리어패드 70P</t>
        </is>
      </c>
      <c r="H11466" s="94" t="n">
        <v>200801</v>
      </c>
      <c r="I11466" s="94" t="n">
        <v>200801</v>
      </c>
      <c r="K11466" s="6" t="n">
        <v>3</v>
      </c>
      <c r="L11466" s="94" t="n">
        <v>200801</v>
      </c>
      <c r="M11466" s="94">
        <f>VLOOKUP($Q11466,매칭테이블!$F:$I,2,0)*K11466</f>
        <v/>
      </c>
      <c r="N11466" s="94">
        <f>M11466-M11466*VLOOKUP($Q11466,매칭테이블!$F:$I,3,0)</f>
        <v/>
      </c>
      <c r="O11466" s="94">
        <f>VLOOKUP($Q11466,매칭테이블!$F:$I,4,0)*K11466</f>
        <v/>
      </c>
      <c r="P11466" s="148">
        <f>M11466/1.1</f>
        <v/>
      </c>
      <c r="Q11466" s="94">
        <f>F11466&amp;E11466&amp;G11466&amp;L11466</f>
        <v/>
      </c>
    </row>
    <row r="11467" customFormat="1" s="94">
      <c r="B11467" s="128" t="n">
        <v>44165</v>
      </c>
      <c r="C11467" s="94">
        <f>TEXT(B11467,"aaa")</f>
        <v/>
      </c>
      <c r="E11467" s="94" t="inlineStr">
        <is>
          <t>토너</t>
        </is>
      </c>
      <c r="F11467" s="94" t="inlineStr">
        <is>
          <t>W컨셉</t>
        </is>
      </c>
      <c r="G11467" s="94" t="inlineStr">
        <is>
          <t>250ml</t>
        </is>
      </c>
      <c r="H11467" s="94" t="n">
        <v>200801</v>
      </c>
      <c r="I11467" s="94" t="n">
        <v>200801</v>
      </c>
      <c r="K11467" s="6" t="n">
        <v>1</v>
      </c>
      <c r="L11467" s="94" t="n">
        <v>200801</v>
      </c>
      <c r="M11467" s="94">
        <f>VLOOKUP($Q11467,매칭테이블!$F:$I,2,0)*K11467</f>
        <v/>
      </c>
      <c r="N11467" s="94">
        <f>M11467-M11467*VLOOKUP($Q11467,매칭테이블!$F:$I,3,0)</f>
        <v/>
      </c>
      <c r="O11467" s="94">
        <f>VLOOKUP($Q11467,매칭테이블!$F:$I,4,0)*K11467</f>
        <v/>
      </c>
      <c r="P11467" s="148">
        <f>M11467/1.1</f>
        <v/>
      </c>
      <c r="Q11467" s="94">
        <f>F11467&amp;E11467&amp;G11467&amp;L11467</f>
        <v/>
      </c>
    </row>
    <row r="11468" customFormat="1" s="94">
      <c r="B11468" s="128" t="n">
        <v>44165</v>
      </c>
      <c r="C11468" s="94">
        <f>TEXT(B11468,"aaa")</f>
        <v/>
      </c>
      <c r="E11468" s="94" t="inlineStr">
        <is>
          <t>토너</t>
        </is>
      </c>
      <c r="F11468" s="94" t="inlineStr">
        <is>
          <t>W컨셉</t>
        </is>
      </c>
      <c r="G11468" s="94" t="inlineStr">
        <is>
          <t>250ml 2set</t>
        </is>
      </c>
      <c r="H11468" s="94" t="n">
        <v>200801</v>
      </c>
      <c r="I11468" s="94" t="n">
        <v>200801</v>
      </c>
      <c r="K11468" s="6" t="n">
        <v>20</v>
      </c>
      <c r="L11468" s="94" t="n">
        <v>200801</v>
      </c>
      <c r="M11468" s="94">
        <f>VLOOKUP($Q11468,매칭테이블!$F:$I,2,0)*K11468</f>
        <v/>
      </c>
      <c r="N11468" s="94">
        <f>M11468-M11468*VLOOKUP($Q11468,매칭테이블!$F:$I,3,0)</f>
        <v/>
      </c>
      <c r="O11468" s="94">
        <f>VLOOKUP($Q11468,매칭테이블!$F:$I,4,0)*K11468</f>
        <v/>
      </c>
      <c r="P11468" s="148">
        <f>M11468/1.1</f>
        <v/>
      </c>
      <c r="Q11468" s="94">
        <f>F11468&amp;E11468&amp;G11468&amp;L11468</f>
        <v/>
      </c>
    </row>
    <row r="11469" customFormat="1" s="94">
      <c r="B11469" s="128" t="n">
        <v>44165</v>
      </c>
      <c r="C11469" s="94">
        <f>TEXT(B11469,"aaa")</f>
        <v/>
      </c>
      <c r="E11469" s="94" t="inlineStr">
        <is>
          <t>토너</t>
        </is>
      </c>
      <c r="F11469" s="94" t="inlineStr">
        <is>
          <t>스타일쉐어</t>
        </is>
      </c>
      <c r="G11469" s="94" t="inlineStr">
        <is>
          <t>250ml</t>
        </is>
      </c>
      <c r="H11469" s="94" t="n">
        <v>200801</v>
      </c>
      <c r="I11469" s="94" t="n">
        <v>200801</v>
      </c>
      <c r="K11469" s="6" t="n">
        <v>6</v>
      </c>
      <c r="L11469" s="94" t="n">
        <v>200801</v>
      </c>
      <c r="M11469" s="94">
        <f>VLOOKUP($Q11469,매칭테이블!$F:$I,2,0)*K11469</f>
        <v/>
      </c>
      <c r="N11469" s="94">
        <f>M11469-M11469*VLOOKUP($Q11469,매칭테이블!$F:$I,3,0)</f>
        <v/>
      </c>
      <c r="O11469" s="94">
        <f>VLOOKUP($Q11469,매칭테이블!$F:$I,4,0)*K11469</f>
        <v/>
      </c>
      <c r="P11469" s="148">
        <f>M11469/1.1</f>
        <v/>
      </c>
      <c r="Q11469" s="94">
        <f>F11469&amp;E11469&amp;G11469&amp;L11469</f>
        <v/>
      </c>
    </row>
    <row r="11470" customFormat="1" s="94">
      <c r="B11470" s="128" t="n">
        <v>44165</v>
      </c>
      <c r="C11470" s="94">
        <f>TEXT(B11470,"aaa")</f>
        <v/>
      </c>
      <c r="E11470" s="94" t="inlineStr">
        <is>
          <t>선크림</t>
        </is>
      </c>
      <c r="F11470" s="94" t="inlineStr">
        <is>
          <t>카페24</t>
        </is>
      </c>
      <c r="G11470" s="94" t="inlineStr">
        <is>
          <t>선크림 50ml</t>
        </is>
      </c>
      <c r="H11470" s="94" t="n">
        <v>200801</v>
      </c>
      <c r="I11470" s="94" t="n">
        <v>200801</v>
      </c>
      <c r="K11470" s="6" t="n">
        <v>4</v>
      </c>
      <c r="L11470" s="94" t="n">
        <v>200801</v>
      </c>
      <c r="M11470" s="94">
        <f>VLOOKUP($Q11470,매칭테이블!$F:$I,2,0)*K11470</f>
        <v/>
      </c>
      <c r="N11470" s="94">
        <f>M11470-M11470*VLOOKUP($Q11470,매칭테이블!$F:$I,3,0)</f>
        <v/>
      </c>
      <c r="O11470" s="94">
        <f>VLOOKUP($Q11470,매칭테이블!$F:$I,4,0)*K11470</f>
        <v/>
      </c>
      <c r="P11470" s="148">
        <f>M11470/1.1</f>
        <v/>
      </c>
      <c r="Q11470" s="94">
        <f>F11470&amp;E11470&amp;G11470&amp;L11470</f>
        <v/>
      </c>
    </row>
    <row r="11471" customFormat="1" s="94">
      <c r="B11471" s="128" t="n">
        <v>44165</v>
      </c>
      <c r="C11471" s="94">
        <f>TEXT(B11471,"aaa")</f>
        <v/>
      </c>
      <c r="E11471" s="94" t="inlineStr">
        <is>
          <t>선크림</t>
        </is>
      </c>
      <c r="F11471" s="94" t="inlineStr">
        <is>
          <t>카페24</t>
        </is>
      </c>
      <c r="G11471" s="94" t="inlineStr">
        <is>
          <t>선크림 50ml  2set</t>
        </is>
      </c>
      <c r="H11471" s="94" t="n">
        <v>200801</v>
      </c>
      <c r="I11471" s="94" t="n">
        <v>200801</v>
      </c>
      <c r="K11471" s="6" t="n">
        <v>2</v>
      </c>
      <c r="L11471" s="94" t="n">
        <v>200801</v>
      </c>
      <c r="M11471" s="94">
        <f>VLOOKUP($Q11471,매칭테이블!$F:$I,2,0)*K11471</f>
        <v/>
      </c>
      <c r="N11471" s="94">
        <f>M11471-M11471*VLOOKUP($Q11471,매칭테이블!$F:$I,3,0)</f>
        <v/>
      </c>
      <c r="O11471" s="94">
        <f>VLOOKUP($Q11471,매칭테이블!$F:$I,4,0)*K11471</f>
        <v/>
      </c>
      <c r="P11471" s="148">
        <f>M11471/1.1</f>
        <v/>
      </c>
      <c r="Q11471" s="94">
        <f>F11471&amp;E11471&amp;G11471&amp;L11471</f>
        <v/>
      </c>
    </row>
    <row r="11472" customFormat="1" s="94">
      <c r="B11472" s="128" t="n">
        <v>44165</v>
      </c>
      <c r="C11472" s="94">
        <f>TEXT(B11472,"aaa")</f>
        <v/>
      </c>
      <c r="E11472" s="94" t="inlineStr">
        <is>
          <t>크림마스크</t>
        </is>
      </c>
      <c r="F11472" s="94" t="inlineStr">
        <is>
          <t>카페24</t>
        </is>
      </c>
      <c r="G11472" s="94" t="inlineStr">
        <is>
          <t>옵션=어성초 크림마스크 나이트 솔루션 1장</t>
        </is>
      </c>
      <c r="H11472" s="94" t="n">
        <v>200801</v>
      </c>
      <c r="I11472" s="94" t="n">
        <v>200801</v>
      </c>
      <c r="K11472" s="6" t="n">
        <v>3</v>
      </c>
      <c r="L11472" s="94" t="n">
        <v>200801</v>
      </c>
      <c r="M11472" s="94">
        <f>VLOOKUP($Q11472,매칭테이블!$F:$I,2,0)*K11472</f>
        <v/>
      </c>
      <c r="N11472" s="94">
        <f>M11472-M11472*VLOOKUP($Q11472,매칭테이블!$F:$I,3,0)</f>
        <v/>
      </c>
      <c r="O11472" s="94">
        <f>VLOOKUP($Q11472,매칭테이블!$F:$I,4,0)*K11472</f>
        <v/>
      </c>
      <c r="P11472" s="148">
        <f>M11472/1.1</f>
        <v/>
      </c>
      <c r="Q11472" s="94">
        <f>F11472&amp;E11472&amp;G11472&amp;L11472</f>
        <v/>
      </c>
    </row>
    <row r="11473" customFormat="1" s="94">
      <c r="B11473" s="128" t="n">
        <v>44165</v>
      </c>
      <c r="C11473" s="94">
        <f>TEXT(B11473,"aaa")</f>
        <v/>
      </c>
      <c r="E11473" s="94" t="inlineStr">
        <is>
          <t>카밍크림</t>
        </is>
      </c>
      <c r="F11473" s="94" t="inlineStr">
        <is>
          <t>카페24</t>
        </is>
      </c>
      <c r="G11473" s="94" t="inlineStr">
        <is>
          <t>크림=어성초 70 인텐스 카밍 크림 1개 (-20%)</t>
        </is>
      </c>
      <c r="H11473" s="94" t="n">
        <v>200801</v>
      </c>
      <c r="I11473" s="94" t="n">
        <v>200801</v>
      </c>
      <c r="K11473" s="6" t="n">
        <v>5</v>
      </c>
      <c r="L11473" s="94" t="n">
        <v>200801</v>
      </c>
      <c r="M11473" s="94">
        <f>VLOOKUP($Q11473,매칭테이블!$F:$I,2,0)*K11473</f>
        <v/>
      </c>
      <c r="N11473" s="94">
        <f>M11473-M11473*VLOOKUP($Q11473,매칭테이블!$F:$I,3,0)</f>
        <v/>
      </c>
      <c r="O11473" s="94">
        <f>VLOOKUP($Q11473,매칭테이블!$F:$I,4,0)*K11473</f>
        <v/>
      </c>
      <c r="P11473" s="148">
        <f>M11473/1.1</f>
        <v/>
      </c>
      <c r="Q11473" s="94">
        <f>F11473&amp;E11473&amp;G11473&amp;L11473</f>
        <v/>
      </c>
    </row>
    <row r="11474" customFormat="1" s="94">
      <c r="B11474" s="128" t="n">
        <v>44165</v>
      </c>
      <c r="C11474" s="94">
        <f>TEXT(B11474,"aaa")</f>
        <v/>
      </c>
      <c r="E11474" s="94" t="inlineStr">
        <is>
          <t>카밍크림</t>
        </is>
      </c>
      <c r="F11474" s="94" t="inlineStr">
        <is>
          <t>카페24</t>
        </is>
      </c>
      <c r="G11474" s="94" t="inlineStr">
        <is>
          <t>크림=어성초 토너 250ml + 카밍 크림 50ml (-30%)</t>
        </is>
      </c>
      <c r="H11474" s="94" t="n">
        <v>200801</v>
      </c>
      <c r="I11474" s="94" t="n">
        <v>200801</v>
      </c>
      <c r="K11474" s="6" t="n">
        <v>2</v>
      </c>
      <c r="L11474" s="94" t="n">
        <v>200801</v>
      </c>
      <c r="M11474" s="94">
        <f>VLOOKUP($Q11474,매칭테이블!$F:$I,2,0)*K11474</f>
        <v/>
      </c>
      <c r="N11474" s="94">
        <f>M11474-M11474*VLOOKUP($Q11474,매칭테이블!$F:$I,3,0)</f>
        <v/>
      </c>
      <c r="O11474" s="94">
        <f>VLOOKUP($Q11474,매칭테이블!$F:$I,4,0)*K11474</f>
        <v/>
      </c>
      <c r="P11474" s="148">
        <f>M11474/1.1</f>
        <v/>
      </c>
      <c r="Q11474" s="94">
        <f>F11474&amp;E11474&amp;G11474&amp;L11474</f>
        <v/>
      </c>
    </row>
    <row r="11475" customFormat="1" s="94">
      <c r="B11475" s="128" t="n">
        <v>44165</v>
      </c>
      <c r="C11475" s="94">
        <f>TEXT(B11475,"aaa")</f>
        <v/>
      </c>
      <c r="E11475" s="94" t="inlineStr">
        <is>
          <t>어성초진정패키지</t>
        </is>
      </c>
      <c r="F11475" s="94" t="inlineStr">
        <is>
          <t>카페24</t>
        </is>
      </c>
      <c r="G11475" s="94" t="inlineStr">
        <is>
          <t>어성초 진정패키지세트</t>
        </is>
      </c>
      <c r="H11475" s="94" t="n">
        <v>200801</v>
      </c>
      <c r="I11475" s="94" t="n">
        <v>200801</v>
      </c>
      <c r="K11475" s="6" t="n">
        <v>4</v>
      </c>
      <c r="L11475" s="94" t="n">
        <v>200801</v>
      </c>
      <c r="M11475" s="94">
        <f>VLOOKUP($Q11475,매칭테이블!$F:$I,2,0)*K11475</f>
        <v/>
      </c>
      <c r="N11475" s="94">
        <f>M11475-M11475*VLOOKUP($Q11475,매칭테이블!$F:$I,3,0)</f>
        <v/>
      </c>
      <c r="O11475" s="94">
        <f>VLOOKUP($Q11475,매칭테이블!$F:$I,4,0)*K11475</f>
        <v/>
      </c>
      <c r="P11475" s="148">
        <f>M11475/1.1</f>
        <v/>
      </c>
      <c r="Q11475" s="94">
        <f>F11475&amp;E11475&amp;G11475&amp;L11475</f>
        <v/>
      </c>
    </row>
    <row r="11476" customFormat="1" s="94">
      <c r="B11476" s="128" t="n">
        <v>44165</v>
      </c>
      <c r="C11476" s="94">
        <f>TEXT(B11476,"aaa")</f>
        <v/>
      </c>
      <c r="E11476" s="94" t="inlineStr">
        <is>
          <t>클리어 패드</t>
        </is>
      </c>
      <c r="F11476" s="94" t="inlineStr">
        <is>
          <t>카페24</t>
        </is>
      </c>
      <c r="G11476" s="94" t="inlineStr">
        <is>
          <t>어성초 77 클리어 패드 1개-20% off</t>
        </is>
      </c>
      <c r="H11476" s="94" t="n">
        <v>200801</v>
      </c>
      <c r="I11476" s="94" t="n">
        <v>200801</v>
      </c>
      <c r="K11476" s="6" t="n">
        <v>62</v>
      </c>
      <c r="L11476" s="94" t="n">
        <v>200801</v>
      </c>
      <c r="M11476" s="94">
        <f>VLOOKUP($Q11476,매칭테이블!$F:$I,2,0)*K11476</f>
        <v/>
      </c>
      <c r="N11476" s="94">
        <f>M11476-M11476*VLOOKUP($Q11476,매칭테이블!$F:$I,3,0)</f>
        <v/>
      </c>
      <c r="O11476" s="94">
        <f>VLOOKUP($Q11476,매칭테이블!$F:$I,4,0)*K11476</f>
        <v/>
      </c>
      <c r="P11476" s="148">
        <f>M11476/1.1</f>
        <v/>
      </c>
      <c r="Q11476" s="94">
        <f>F11476&amp;E11476&amp;G11476&amp;L11476</f>
        <v/>
      </c>
    </row>
    <row r="11477" customFormat="1" s="94">
      <c r="B11477" s="128" t="n">
        <v>44165</v>
      </c>
      <c r="C11477" s="94">
        <f>TEXT(B11477,"aaa")</f>
        <v/>
      </c>
      <c r="E11477" s="94" t="inlineStr">
        <is>
          <t>클리어 패드</t>
        </is>
      </c>
      <c r="F11477" s="94" t="inlineStr">
        <is>
          <t>카페24</t>
        </is>
      </c>
      <c r="G11477" s="94" t="inlineStr">
        <is>
          <t>어성초 77 클리어 패드 2개-30% off</t>
        </is>
      </c>
      <c r="H11477" s="94" t="n">
        <v>200801</v>
      </c>
      <c r="I11477" s="94" t="n">
        <v>200801</v>
      </c>
      <c r="K11477" s="6" t="n">
        <v>81</v>
      </c>
      <c r="L11477" s="94" t="n">
        <v>200801</v>
      </c>
      <c r="M11477" s="94">
        <f>VLOOKUP($Q11477,매칭테이블!$F:$I,2,0)*K11477</f>
        <v/>
      </c>
      <c r="N11477" s="94">
        <f>M11477-M11477*VLOOKUP($Q11477,매칭테이블!$F:$I,3,0)</f>
        <v/>
      </c>
      <c r="O11477" s="94">
        <f>VLOOKUP($Q11477,매칭테이블!$F:$I,4,0)*K11477</f>
        <v/>
      </c>
      <c r="P11477" s="148">
        <f>M11477/1.1</f>
        <v/>
      </c>
      <c r="Q11477" s="94">
        <f>F11477&amp;E11477&amp;G11477&amp;L11477</f>
        <v/>
      </c>
    </row>
    <row r="11478" customFormat="1" s="94">
      <c r="B11478" s="128" t="n">
        <v>44165</v>
      </c>
      <c r="C11478" s="94">
        <f>TEXT(B11478,"aaa")</f>
        <v/>
      </c>
      <c r="E11478" s="94" t="inlineStr">
        <is>
          <t>토너+패드 세트</t>
        </is>
      </c>
      <c r="F11478" s="94" t="inlineStr">
        <is>
          <t>카페24</t>
        </is>
      </c>
      <c r="G11478" s="94" t="inlineStr">
        <is>
          <t>좁쌀 진정 세트 토너+클리어 패드-30% off</t>
        </is>
      </c>
      <c r="H11478" s="94" t="n">
        <v>200801</v>
      </c>
      <c r="I11478" s="94" t="n">
        <v>200801</v>
      </c>
      <c r="K11478" s="6" t="n">
        <v>62</v>
      </c>
      <c r="L11478" s="94" t="n">
        <v>200801</v>
      </c>
      <c r="M11478" s="94">
        <f>VLOOKUP($Q11478,매칭테이블!$F:$I,2,0)*K11478</f>
        <v/>
      </c>
      <c r="N11478" s="94">
        <f>M11478-M11478*VLOOKUP($Q11478,매칭테이블!$F:$I,3,0)</f>
        <v/>
      </c>
      <c r="O11478" s="94">
        <f>VLOOKUP($Q11478,매칭테이블!$F:$I,4,0)*K11478</f>
        <v/>
      </c>
      <c r="P11478" s="148">
        <f>M11478/1.1</f>
        <v/>
      </c>
      <c r="Q11478" s="94">
        <f>F11478&amp;E11478&amp;G11478&amp;L11478</f>
        <v/>
      </c>
    </row>
    <row r="11479" customFormat="1" s="94">
      <c r="B11479" s="128" t="n">
        <v>44165</v>
      </c>
      <c r="C11479" s="94">
        <f>TEXT(B11479,"aaa")</f>
        <v/>
      </c>
      <c r="E11479" s="94" t="inlineStr">
        <is>
          <t>수분 보충 세트</t>
        </is>
      </c>
      <c r="F11479" s="94" t="inlineStr">
        <is>
          <t>카페24</t>
        </is>
      </c>
      <c r="G11479" s="94" t="inlineStr">
        <is>
          <t>[20/09/28 부터] 어성초 77 토너 250ml + 어성초 70 로션 200ml -30%</t>
        </is>
      </c>
      <c r="H11479" s="94" t="n">
        <v>200801</v>
      </c>
      <c r="I11479" s="94" t="n">
        <v>200801</v>
      </c>
      <c r="K11479" s="6" t="n">
        <v>36</v>
      </c>
      <c r="L11479" s="94" t="n">
        <v>200801</v>
      </c>
      <c r="M11479" s="94">
        <f>VLOOKUP($Q11479,매칭테이블!$F:$I,2,0)*K11479</f>
        <v/>
      </c>
      <c r="N11479" s="94">
        <f>M11479-M11479*VLOOKUP($Q11479,매칭테이블!$F:$I,3,0)</f>
        <v/>
      </c>
      <c r="O11479" s="94">
        <f>VLOOKUP($Q11479,매칭테이블!$F:$I,4,0)*K11479</f>
        <v/>
      </c>
      <c r="P11479" s="148">
        <f>M11479/1.1</f>
        <v/>
      </c>
      <c r="Q11479" s="94">
        <f>F11479&amp;E11479&amp;G11479&amp;L11479</f>
        <v/>
      </c>
    </row>
    <row r="11480" customFormat="1" s="94">
      <c r="B11480" s="128" t="n">
        <v>44165</v>
      </c>
      <c r="C11480" s="94">
        <f>TEXT(B11480,"aaa")</f>
        <v/>
      </c>
      <c r="E11480" s="94" t="inlineStr">
        <is>
          <t>로션</t>
        </is>
      </c>
      <c r="F11480" s="94" t="inlineStr">
        <is>
          <t>카페24</t>
        </is>
      </c>
      <c r="G11480" s="94" t="inlineStr">
        <is>
          <t>어성초 70 데일리 릴리프 로션 1개 -20% off</t>
        </is>
      </c>
      <c r="H11480" s="94" t="n">
        <v>200801</v>
      </c>
      <c r="I11480" s="94" t="n">
        <v>200801</v>
      </c>
      <c r="K11480" s="6" t="n">
        <v>7</v>
      </c>
      <c r="L11480" s="94" t="n">
        <v>200801</v>
      </c>
      <c r="M11480" s="94">
        <f>VLOOKUP($Q11480,매칭테이블!$F:$I,2,0)*K11480</f>
        <v/>
      </c>
      <c r="N11480" s="94">
        <f>M11480-M11480*VLOOKUP($Q11480,매칭테이블!$F:$I,3,0)</f>
        <v/>
      </c>
      <c r="O11480" s="94">
        <f>VLOOKUP($Q11480,매칭테이블!$F:$I,4,0)*K11480</f>
        <v/>
      </c>
      <c r="P11480" s="148">
        <f>M11480/1.1</f>
        <v/>
      </c>
      <c r="Q11480" s="94">
        <f>F11480&amp;E11480&amp;G11480&amp;L11480</f>
        <v/>
      </c>
    </row>
    <row r="11481" customFormat="1" s="94">
      <c r="B11481" s="128" t="n">
        <v>44165</v>
      </c>
      <c r="C11481" s="94">
        <f>TEXT(B11481,"aaa")</f>
        <v/>
      </c>
      <c r="E11481" s="94" t="inlineStr">
        <is>
          <t>로션</t>
        </is>
      </c>
      <c r="F11481" s="94" t="inlineStr">
        <is>
          <t>카페24</t>
        </is>
      </c>
      <c r="G11481" s="94" t="inlineStr">
        <is>
          <t>어성초 70 데일리 릴리프 로션 2개 -30% off</t>
        </is>
      </c>
      <c r="H11481" s="94" t="n">
        <v>200801</v>
      </c>
      <c r="I11481" s="94" t="n">
        <v>200801</v>
      </c>
      <c r="K11481" s="6" t="n">
        <v>1</v>
      </c>
      <c r="L11481" s="94" t="n">
        <v>200801</v>
      </c>
      <c r="M11481" s="94">
        <f>VLOOKUP($Q11481,매칭테이블!$F:$I,2,0)*K11481</f>
        <v/>
      </c>
      <c r="N11481" s="94">
        <f>M11481-M11481*VLOOKUP($Q11481,매칭테이블!$F:$I,3,0)</f>
        <v/>
      </c>
      <c r="O11481" s="94">
        <f>VLOOKUP($Q11481,매칭테이블!$F:$I,4,0)*K11481</f>
        <v/>
      </c>
      <c r="P11481" s="148">
        <f>M11481/1.1</f>
        <v/>
      </c>
      <c r="Q11481" s="94">
        <f>F11481&amp;E11481&amp;G11481&amp;L11481</f>
        <v/>
      </c>
    </row>
    <row r="11482" customFormat="1" s="94">
      <c r="B11482" s="128" t="n">
        <v>44165</v>
      </c>
      <c r="C11482" s="94">
        <f>TEXT(B11482,"aaa")</f>
        <v/>
      </c>
      <c r="E11482" s="94" t="inlineStr">
        <is>
          <t>머드크림마스크</t>
        </is>
      </c>
      <c r="F11482" s="94" t="inlineStr">
        <is>
          <t>카페24</t>
        </is>
      </c>
      <c r="G11482" s="94" t="inlineStr">
        <is>
          <t>머드크림마스크 100ml</t>
        </is>
      </c>
      <c r="H11482" s="94" t="n">
        <v>200801</v>
      </c>
      <c r="I11482" s="94" t="n">
        <v>200801</v>
      </c>
      <c r="K11482" s="6" t="n">
        <v>5</v>
      </c>
      <c r="L11482" s="94" t="n">
        <v>200801</v>
      </c>
      <c r="M11482" s="94">
        <f>VLOOKUP($Q11482,매칭테이블!$F:$I,2,0)*K11482</f>
        <v/>
      </c>
      <c r="N11482" s="94">
        <f>M11482-M11482*VLOOKUP($Q11482,매칭테이블!$F:$I,3,0)</f>
        <v/>
      </c>
      <c r="O11482" s="94">
        <f>VLOOKUP($Q11482,매칭테이블!$F:$I,4,0)*K11482</f>
        <v/>
      </c>
      <c r="P11482" s="148">
        <f>M11482/1.1</f>
        <v/>
      </c>
      <c r="Q11482" s="94">
        <f>F11482&amp;E11482&amp;G11482&amp;L11482</f>
        <v/>
      </c>
    </row>
    <row r="11483" customFormat="1" s="94">
      <c r="B11483" s="128" t="n">
        <v>44165</v>
      </c>
      <c r="C11483" s="94">
        <f>TEXT(B11483,"aaa")</f>
        <v/>
      </c>
      <c r="E11483" s="94" t="inlineStr">
        <is>
          <t>머드크림마스크</t>
        </is>
      </c>
      <c r="F11483" s="94" t="inlineStr">
        <is>
          <t>카페24</t>
        </is>
      </c>
      <c r="G11483" s="94" t="inlineStr">
        <is>
          <t>머드크림마스크 100ml 2set</t>
        </is>
      </c>
      <c r="H11483" s="94" t="n">
        <v>200801</v>
      </c>
      <c r="I11483" s="94" t="n">
        <v>200801</v>
      </c>
      <c r="K11483" s="6" t="n">
        <v>1</v>
      </c>
      <c r="L11483" s="94" t="n">
        <v>200801</v>
      </c>
      <c r="M11483" s="94">
        <f>VLOOKUP($Q11483,매칭테이블!$F:$I,2,0)*K11483</f>
        <v/>
      </c>
      <c r="N11483" s="94">
        <f>M11483-M11483*VLOOKUP($Q11483,매칭테이블!$F:$I,3,0)</f>
        <v/>
      </c>
      <c r="O11483" s="94">
        <f>VLOOKUP($Q11483,매칭테이블!$F:$I,4,0)*K11483</f>
        <v/>
      </c>
      <c r="P11483" s="148">
        <f>M11483/1.1</f>
        <v/>
      </c>
      <c r="Q11483" s="94">
        <f>F11483&amp;E11483&amp;G11483&amp;L11483</f>
        <v/>
      </c>
    </row>
    <row r="11484" customFormat="1" s="94">
      <c r="B11484" s="128" t="n">
        <v>44165</v>
      </c>
      <c r="C11484" s="94">
        <f>TEXT(B11484,"aaa")</f>
        <v/>
      </c>
      <c r="E11484" s="94" t="inlineStr">
        <is>
          <t>마스크팩</t>
        </is>
      </c>
      <c r="F11484" s="94" t="inlineStr">
        <is>
          <t>카페24</t>
        </is>
      </c>
      <c r="G11484" s="94" t="inlineStr">
        <is>
          <t>마스크팩 1매</t>
        </is>
      </c>
      <c r="H11484" s="94" t="n">
        <v>200801</v>
      </c>
      <c r="I11484" s="94" t="n">
        <v>200801</v>
      </c>
      <c r="K11484" s="6" t="n">
        <v>17</v>
      </c>
      <c r="L11484" s="94" t="n">
        <v>200801</v>
      </c>
      <c r="M11484" s="94">
        <f>VLOOKUP($Q11484,매칭테이블!$F:$I,2,0)*K11484</f>
        <v/>
      </c>
      <c r="N11484" s="94">
        <f>M11484-M11484*VLOOKUP($Q11484,매칭테이블!$F:$I,3,0)</f>
        <v/>
      </c>
      <c r="O11484" s="94">
        <f>VLOOKUP($Q11484,매칭테이블!$F:$I,4,0)*K11484</f>
        <v/>
      </c>
      <c r="P11484" s="148">
        <f>M11484/1.1</f>
        <v/>
      </c>
      <c r="Q11484" s="94">
        <f>F11484&amp;E11484&amp;G11484&amp;L11484</f>
        <v/>
      </c>
    </row>
    <row r="11485" customFormat="1" s="94">
      <c r="B11485" s="128" t="n">
        <v>44165</v>
      </c>
      <c r="C11485" s="94">
        <f>TEXT(B11485,"aaa")</f>
        <v/>
      </c>
      <c r="E11485" s="94" t="inlineStr">
        <is>
          <t>마스크팩</t>
        </is>
      </c>
      <c r="F11485" s="94" t="inlineStr">
        <is>
          <t>카페24</t>
        </is>
      </c>
      <c r="G11485" s="94" t="inlineStr">
        <is>
          <t>마스크팩 10매</t>
        </is>
      </c>
      <c r="H11485" s="94" t="n">
        <v>200801</v>
      </c>
      <c r="I11485" s="94" t="n">
        <v>200801</v>
      </c>
      <c r="K11485" s="6" t="n">
        <v>26</v>
      </c>
      <c r="L11485" s="94" t="n">
        <v>200801</v>
      </c>
      <c r="M11485" s="94">
        <f>VLOOKUP($Q11485,매칭테이블!$F:$I,2,0)*K11485</f>
        <v/>
      </c>
      <c r="N11485" s="94">
        <f>M11485-M11485*VLOOKUP($Q11485,매칭테이블!$F:$I,3,0)</f>
        <v/>
      </c>
      <c r="O11485" s="94">
        <f>VLOOKUP($Q11485,매칭테이블!$F:$I,4,0)*K11485</f>
        <v/>
      </c>
      <c r="P11485" s="148">
        <f>M11485/1.1</f>
        <v/>
      </c>
      <c r="Q11485" s="94">
        <f>F11485&amp;E11485&amp;G11485&amp;L11485</f>
        <v/>
      </c>
    </row>
    <row r="11486" customFormat="1" s="94">
      <c r="B11486" s="128" t="n">
        <v>44165</v>
      </c>
      <c r="C11486" s="94">
        <f>TEXT(B11486,"aaa")</f>
        <v/>
      </c>
      <c r="E11486" s="94" t="inlineStr">
        <is>
          <t>토너</t>
        </is>
      </c>
      <c r="F11486" s="94" t="inlineStr">
        <is>
          <t>카페24</t>
        </is>
      </c>
      <c r="G11486" s="94" t="inlineStr">
        <is>
          <t>250ml</t>
        </is>
      </c>
      <c r="H11486" s="94" t="n">
        <v>200801</v>
      </c>
      <c r="I11486" s="94" t="n">
        <v>200801</v>
      </c>
      <c r="K11486" s="6" t="n">
        <v>95</v>
      </c>
      <c r="L11486" s="94" t="n">
        <v>200801</v>
      </c>
      <c r="M11486" s="94">
        <f>VLOOKUP($Q11486,매칭테이블!$F:$I,2,0)*K11486</f>
        <v/>
      </c>
      <c r="N11486" s="94">
        <f>M11486-M11486*VLOOKUP($Q11486,매칭테이블!$F:$I,3,0)</f>
        <v/>
      </c>
      <c r="O11486" s="94">
        <f>VLOOKUP($Q11486,매칭테이블!$F:$I,4,0)*K11486</f>
        <v/>
      </c>
      <c r="P11486" s="148">
        <f>M11486/1.1</f>
        <v/>
      </c>
      <c r="Q11486" s="94">
        <f>F11486&amp;E11486&amp;G11486&amp;L11486</f>
        <v/>
      </c>
    </row>
    <row r="11487" customFormat="1" s="94">
      <c r="B11487" s="128" t="n">
        <v>44165</v>
      </c>
      <c r="C11487" s="94">
        <f>TEXT(B11487,"aaa")</f>
        <v/>
      </c>
      <c r="E11487" s="94" t="inlineStr">
        <is>
          <t>토너</t>
        </is>
      </c>
      <c r="F11487" s="94" t="inlineStr">
        <is>
          <t>카페24</t>
        </is>
      </c>
      <c r="G11487" s="94" t="inlineStr">
        <is>
          <t>250ml 2set</t>
        </is>
      </c>
      <c r="H11487" s="94" t="n">
        <v>200801</v>
      </c>
      <c r="I11487" s="94" t="n">
        <v>200801</v>
      </c>
      <c r="K11487" s="6" t="n">
        <v>41</v>
      </c>
      <c r="L11487" s="94" t="n">
        <v>200801</v>
      </c>
      <c r="M11487" s="94">
        <f>VLOOKUP($Q11487,매칭테이블!$F:$I,2,0)*K11487</f>
        <v/>
      </c>
      <c r="N11487" s="94">
        <f>M11487-M11487*VLOOKUP($Q11487,매칭테이블!$F:$I,3,0)</f>
        <v/>
      </c>
      <c r="O11487" s="94">
        <f>VLOOKUP($Q11487,매칭테이블!$F:$I,4,0)*K11487</f>
        <v/>
      </c>
      <c r="P11487" s="148">
        <f>M11487/1.1</f>
        <v/>
      </c>
      <c r="Q11487" s="94">
        <f>F11487&amp;E11487&amp;G11487&amp;L11487</f>
        <v/>
      </c>
    </row>
    <row r="11488" customFormat="1" s="94">
      <c r="B11488" s="128" t="n">
        <v>44165</v>
      </c>
      <c r="C11488" s="94">
        <f>TEXT(B11488,"aaa")</f>
        <v/>
      </c>
      <c r="E11488" s="94" t="inlineStr">
        <is>
          <t>토너</t>
        </is>
      </c>
      <c r="F11488" s="94" t="inlineStr">
        <is>
          <t>카페24</t>
        </is>
      </c>
      <c r="G11488" s="94" t="inlineStr">
        <is>
          <t>500ml</t>
        </is>
      </c>
      <c r="H11488" s="94" t="n">
        <v>200801</v>
      </c>
      <c r="I11488" s="94" t="n">
        <v>200801</v>
      </c>
      <c r="K11488" s="6" t="n">
        <v>59</v>
      </c>
      <c r="L11488" s="94" t="n">
        <v>200801</v>
      </c>
      <c r="M11488" s="94">
        <f>VLOOKUP($Q11488,매칭테이블!$F:$I,2,0)*K11488</f>
        <v/>
      </c>
      <c r="N11488" s="94">
        <f>M11488-M11488*VLOOKUP($Q11488,매칭테이블!$F:$I,3,0)</f>
        <v/>
      </c>
      <c r="O11488" s="94">
        <f>VLOOKUP($Q11488,매칭테이블!$F:$I,4,0)*K11488</f>
        <v/>
      </c>
      <c r="P11488" s="148">
        <f>M11488/1.1</f>
        <v/>
      </c>
      <c r="Q11488" s="94">
        <f>F11488&amp;E11488&amp;G11488&amp;L11488</f>
        <v/>
      </c>
    </row>
    <row r="11489" customFormat="1" s="94">
      <c r="B11489" s="128" t="n">
        <v>44165</v>
      </c>
      <c r="C11489" s="94">
        <f>TEXT(B11489,"aaa")</f>
        <v/>
      </c>
      <c r="E11489" s="94" t="inlineStr">
        <is>
          <t>토너</t>
        </is>
      </c>
      <c r="F11489" s="94" t="inlineStr">
        <is>
          <t>카페24</t>
        </is>
      </c>
      <c r="G11489" s="94" t="inlineStr">
        <is>
          <t>스킨팩 화장솜 60P</t>
        </is>
      </c>
      <c r="H11489" s="94" t="n">
        <v>200801</v>
      </c>
      <c r="I11489" s="94" t="n">
        <v>200801</v>
      </c>
      <c r="K11489" s="6" t="n">
        <v>87</v>
      </c>
      <c r="L11489" s="94" t="n">
        <v>200801</v>
      </c>
      <c r="M11489" s="94">
        <f>VLOOKUP($Q11489,매칭테이블!$F:$I,2,0)*K11489</f>
        <v/>
      </c>
      <c r="N11489" s="94">
        <f>M11489-M11489*VLOOKUP($Q11489,매칭테이블!$F:$I,3,0)</f>
        <v/>
      </c>
      <c r="O11489" s="94">
        <f>VLOOKUP($Q11489,매칭테이블!$F:$I,4,0)*K11489</f>
        <v/>
      </c>
      <c r="P11489" s="148">
        <f>M11489/1.1</f>
        <v/>
      </c>
      <c r="Q11489" s="94">
        <f>F11489&amp;E11489&amp;G11489&amp;L11489</f>
        <v/>
      </c>
    </row>
    <row r="11490" customFormat="1" s="94">
      <c r="B11490" s="128" t="n">
        <v>44165</v>
      </c>
      <c r="C11490" s="94">
        <f>TEXT(B11490,"aaa")</f>
        <v/>
      </c>
      <c r="E11490" s="94" t="inlineStr">
        <is>
          <t>앰플</t>
        </is>
      </c>
      <c r="F11490" s="94" t="inlineStr">
        <is>
          <t>카페24</t>
        </is>
      </c>
      <c r="G11490" s="94" t="inlineStr">
        <is>
          <t>앰플 30ml</t>
        </is>
      </c>
      <c r="H11490" s="94" t="n">
        <v>200801</v>
      </c>
      <c r="I11490" s="94" t="n">
        <v>200801</v>
      </c>
      <c r="K11490" s="6" t="n">
        <v>44</v>
      </c>
      <c r="L11490" s="94" t="n">
        <v>200801</v>
      </c>
      <c r="M11490" s="94">
        <f>VLOOKUP($Q11490,매칭테이블!$F:$I,2,0)*K11490</f>
        <v/>
      </c>
      <c r="N11490" s="94">
        <f>M11490-M11490*VLOOKUP($Q11490,매칭테이블!$F:$I,3,0)</f>
        <v/>
      </c>
      <c r="O11490" s="94">
        <f>VLOOKUP($Q11490,매칭테이블!$F:$I,4,0)*K11490</f>
        <v/>
      </c>
      <c r="P11490" s="148">
        <f>M11490/1.1</f>
        <v/>
      </c>
      <c r="Q11490" s="94">
        <f>F11490&amp;E11490&amp;G11490&amp;L11490</f>
        <v/>
      </c>
    </row>
    <row r="11491" customFormat="1" s="94">
      <c r="B11491" s="128" t="n">
        <v>44165</v>
      </c>
      <c r="C11491" s="94">
        <f>TEXT(B11491,"aaa")</f>
        <v/>
      </c>
      <c r="E11491" s="94" t="inlineStr">
        <is>
          <t>앰플</t>
        </is>
      </c>
      <c r="F11491" s="94" t="inlineStr">
        <is>
          <t>카페24</t>
        </is>
      </c>
      <c r="G11491" s="94" t="inlineStr">
        <is>
          <t>앰플 30ml  2set</t>
        </is>
      </c>
      <c r="H11491" s="94" t="n">
        <v>200801</v>
      </c>
      <c r="I11491" s="94" t="n">
        <v>200801</v>
      </c>
      <c r="K11491" s="6" t="n">
        <v>5</v>
      </c>
      <c r="L11491" s="94" t="n">
        <v>200801</v>
      </c>
      <c r="M11491" s="94">
        <f>VLOOKUP($Q11491,매칭테이블!$F:$I,2,0)*K11491</f>
        <v/>
      </c>
      <c r="N11491" s="94">
        <f>M11491-M11491*VLOOKUP($Q11491,매칭테이블!$F:$I,3,0)</f>
        <v/>
      </c>
      <c r="O11491" s="94">
        <f>VLOOKUP($Q11491,매칭테이블!$F:$I,4,0)*K11491</f>
        <v/>
      </c>
      <c r="P11491" s="148">
        <f>M11491/1.1</f>
        <v/>
      </c>
      <c r="Q11491" s="94">
        <f>F11491&amp;E11491&amp;G11491&amp;L11491</f>
        <v/>
      </c>
    </row>
    <row r="11492" customFormat="1" s="94">
      <c r="B11492" s="128" t="n">
        <v>44165</v>
      </c>
      <c r="C11492" s="94">
        <f>TEXT(B11492,"aaa")</f>
        <v/>
      </c>
      <c r="E11492" s="94" t="inlineStr">
        <is>
          <t>수딩크림</t>
        </is>
      </c>
      <c r="F11492" s="94" t="inlineStr">
        <is>
          <t>카페24</t>
        </is>
      </c>
      <c r="G11492" s="94" t="inlineStr">
        <is>
          <t>수딩크림 100ml</t>
        </is>
      </c>
      <c r="H11492" s="94" t="n">
        <v>200801</v>
      </c>
      <c r="I11492" s="94" t="n">
        <v>200801</v>
      </c>
      <c r="K11492" s="6" t="n">
        <v>13</v>
      </c>
      <c r="L11492" s="94" t="n">
        <v>200801</v>
      </c>
      <c r="M11492" s="94">
        <f>VLOOKUP($Q11492,매칭테이블!$F:$I,2,0)*K11492</f>
        <v/>
      </c>
      <c r="N11492" s="94">
        <f>M11492-M11492*VLOOKUP($Q11492,매칭테이블!$F:$I,3,0)</f>
        <v/>
      </c>
      <c r="O11492" s="94">
        <f>VLOOKUP($Q11492,매칭테이블!$F:$I,4,0)*K11492</f>
        <v/>
      </c>
      <c r="P11492" s="148">
        <f>M11492/1.1</f>
        <v/>
      </c>
      <c r="Q11492" s="94">
        <f>F11492&amp;E11492&amp;G11492&amp;L11492</f>
        <v/>
      </c>
    </row>
    <row r="11493" customFormat="1" s="94">
      <c r="B11493" s="128" t="n">
        <v>44165</v>
      </c>
      <c r="C11493" s="94">
        <f>TEXT(B11493,"aaa")</f>
        <v/>
      </c>
      <c r="E11493" s="94" t="inlineStr">
        <is>
          <t>클렌징폼</t>
        </is>
      </c>
      <c r="F11493" s="94" t="inlineStr">
        <is>
          <t>카페24</t>
        </is>
      </c>
      <c r="G11493" s="94" t="inlineStr">
        <is>
          <t>클렌징폼 120ml</t>
        </is>
      </c>
      <c r="H11493" s="94" t="n">
        <v>200801</v>
      </c>
      <c r="I11493" s="94" t="n">
        <v>200801</v>
      </c>
      <c r="K11493" s="6" t="n">
        <v>22</v>
      </c>
      <c r="L11493" s="94" t="n">
        <v>200801</v>
      </c>
      <c r="M11493" s="94">
        <f>VLOOKUP($Q11493,매칭테이블!$F:$I,2,0)*K11493</f>
        <v/>
      </c>
      <c r="N11493" s="94">
        <f>M11493-M11493*VLOOKUP($Q11493,매칭테이블!$F:$I,3,0)</f>
        <v/>
      </c>
      <c r="O11493" s="94">
        <f>VLOOKUP($Q11493,매칭테이블!$F:$I,4,0)*K11493</f>
        <v/>
      </c>
      <c r="P11493" s="148">
        <f>M11493/1.1</f>
        <v/>
      </c>
      <c r="Q11493" s="94">
        <f>F11493&amp;E11493&amp;G11493&amp;L11493</f>
        <v/>
      </c>
    </row>
    <row r="11494" customFormat="1" s="94">
      <c r="B11494" s="128" t="n">
        <v>44165</v>
      </c>
      <c r="C11494" s="94">
        <f>TEXT(B11494,"aaa")</f>
        <v/>
      </c>
      <c r="E11494" s="94" t="inlineStr">
        <is>
          <t>클렌징폼</t>
        </is>
      </c>
      <c r="F11494" s="94" t="inlineStr">
        <is>
          <t>카페24</t>
        </is>
      </c>
      <c r="G11494" s="94" t="inlineStr">
        <is>
          <t>클렌징폼 120ml 2set</t>
        </is>
      </c>
      <c r="H11494" s="94" t="n">
        <v>200801</v>
      </c>
      <c r="I11494" s="94" t="n">
        <v>200801</v>
      </c>
      <c r="K11494" s="6" t="n">
        <v>3</v>
      </c>
      <c r="L11494" s="94" t="n">
        <v>200801</v>
      </c>
      <c r="M11494" s="94">
        <f>VLOOKUP($Q11494,매칭테이블!$F:$I,2,0)*K11494</f>
        <v/>
      </c>
      <c r="N11494" s="94">
        <f>M11494-M11494*VLOOKUP($Q11494,매칭테이블!$F:$I,3,0)</f>
        <v/>
      </c>
      <c r="O11494" s="94">
        <f>VLOOKUP($Q11494,매칭테이블!$F:$I,4,0)*K11494</f>
        <v/>
      </c>
      <c r="P11494" s="148">
        <f>M11494/1.1</f>
        <v/>
      </c>
      <c r="Q11494" s="94">
        <f>F11494&amp;E11494&amp;G11494&amp;L11494</f>
        <v/>
      </c>
    </row>
    <row r="11495" customFormat="1" s="94">
      <c r="B11495" s="128" t="n">
        <v>44165</v>
      </c>
      <c r="C11495" s="94">
        <f>TEXT(B11495,"aaa")</f>
        <v/>
      </c>
      <c r="E11495" s="94" t="inlineStr">
        <is>
          <t>클렌징폼</t>
        </is>
      </c>
      <c r="F11495" s="94" t="inlineStr">
        <is>
          <t>카페24</t>
        </is>
      </c>
      <c r="G11495" s="94" t="inlineStr">
        <is>
          <t>클렌징폼 120ml 3set</t>
        </is>
      </c>
      <c r="H11495" s="94" t="n">
        <v>200801</v>
      </c>
      <c r="I11495" s="94" t="n">
        <v>200801</v>
      </c>
      <c r="K11495" s="6" t="n">
        <v>3</v>
      </c>
      <c r="L11495" s="94" t="n">
        <v>200801</v>
      </c>
      <c r="M11495" s="94">
        <f>VLOOKUP($Q11495,매칭테이블!$F:$I,2,0)*K11495</f>
        <v/>
      </c>
      <c r="N11495" s="94">
        <f>M11495-M11495*VLOOKUP($Q11495,매칭테이블!$F:$I,3,0)</f>
        <v/>
      </c>
      <c r="O11495" s="94">
        <f>VLOOKUP($Q11495,매칭테이블!$F:$I,4,0)*K11495</f>
        <v/>
      </c>
      <c r="P11495" s="148">
        <f>M11495/1.1</f>
        <v/>
      </c>
      <c r="Q11495" s="94">
        <f>F11495&amp;E11495&amp;G11495&amp;L11495</f>
        <v/>
      </c>
    </row>
    <row r="11496" customFormat="1" s="94">
      <c r="B11496" s="128" t="n">
        <v>44165</v>
      </c>
      <c r="C11496" s="94">
        <f>TEXT(B11496,"aaa")</f>
        <v/>
      </c>
      <c r="E11496" s="94" t="inlineStr">
        <is>
          <t>바디워시</t>
        </is>
      </c>
      <c r="F11496" s="94" t="inlineStr">
        <is>
          <t>카페24</t>
        </is>
      </c>
      <c r="G11496" s="94" t="inlineStr">
        <is>
          <t>바디워시 1개 -30% off</t>
        </is>
      </c>
      <c r="H11496" s="94" t="n">
        <v>200801</v>
      </c>
      <c r="I11496" s="94" t="n">
        <v>200801</v>
      </c>
      <c r="K11496" s="6" t="n">
        <v>4</v>
      </c>
      <c r="L11496" s="94" t="n">
        <v>200801</v>
      </c>
      <c r="M11496" s="94">
        <f>VLOOKUP($Q11496,매칭테이블!$F:$I,2,0)*K11496</f>
        <v/>
      </c>
      <c r="N11496" s="94">
        <f>M11496-M11496*VLOOKUP($Q11496,매칭테이블!$F:$I,3,0)</f>
        <v/>
      </c>
      <c r="O11496" s="94">
        <f>VLOOKUP($Q11496,매칭테이블!$F:$I,4,0)*K11496</f>
        <v/>
      </c>
      <c r="P11496" s="148">
        <f>M11496/1.1</f>
        <v/>
      </c>
      <c r="Q11496" s="94">
        <f>F11496&amp;E11496&amp;G11496&amp;L11496</f>
        <v/>
      </c>
    </row>
    <row r="11497" customFormat="1" s="94">
      <c r="B11497" s="128" t="n">
        <v>44165</v>
      </c>
      <c r="C11497" s="94">
        <f>TEXT(B11497,"aaa")</f>
        <v/>
      </c>
      <c r="E11497" s="94" t="inlineStr">
        <is>
          <t>바디워시</t>
        </is>
      </c>
      <c r="F11497" s="94" t="inlineStr">
        <is>
          <t>카페24</t>
        </is>
      </c>
      <c r="G11497" s="94" t="inlineStr">
        <is>
          <t>바디워시 2개 -35% off (무료배송)</t>
        </is>
      </c>
      <c r="H11497" s="94" t="n">
        <v>200801</v>
      </c>
      <c r="I11497" s="94" t="n">
        <v>200801</v>
      </c>
      <c r="K11497" s="6" t="n">
        <v>1</v>
      </c>
      <c r="L11497" s="94" t="n">
        <v>200801</v>
      </c>
      <c r="M11497" s="94">
        <f>VLOOKUP($Q11497,매칭테이블!$F:$I,2,0)*K11497</f>
        <v/>
      </c>
      <c r="N11497" s="94">
        <f>M11497-M11497*VLOOKUP($Q11497,매칭테이블!$F:$I,3,0)</f>
        <v/>
      </c>
      <c r="O11497" s="94">
        <f>VLOOKUP($Q11497,매칭테이블!$F:$I,4,0)*K11497</f>
        <v/>
      </c>
      <c r="P11497" s="148">
        <f>M11497/1.1</f>
        <v/>
      </c>
      <c r="Q11497" s="94">
        <f>F11497&amp;E11497&amp;G11497&amp;L11497</f>
        <v/>
      </c>
    </row>
    <row r="11498" customFormat="1" s="94">
      <c r="B11498" s="128" t="n">
        <v>44165</v>
      </c>
      <c r="C11498" s="94">
        <f>TEXT(B11498,"aaa")</f>
        <v/>
      </c>
      <c r="E11498" s="94" t="inlineStr">
        <is>
          <t>토너</t>
        </is>
      </c>
      <c r="F11498" s="94" t="inlineStr">
        <is>
          <t>화해</t>
        </is>
      </c>
      <c r="G11498" s="94" t="inlineStr">
        <is>
          <t>250ml</t>
        </is>
      </c>
      <c r="H11498" s="94" t="n">
        <v>200801</v>
      </c>
      <c r="I11498" s="94" t="n">
        <v>200801</v>
      </c>
      <c r="K11498" s="6" t="n">
        <v>10</v>
      </c>
      <c r="L11498" s="94" t="n">
        <v>200801</v>
      </c>
      <c r="M11498" s="94">
        <f>VLOOKUP($Q11498,매칭테이블!$F:$I,2,0)*K11498</f>
        <v/>
      </c>
      <c r="N11498" s="94">
        <f>M11498-M11498*VLOOKUP($Q11498,매칭테이블!$F:$I,3,0)</f>
        <v/>
      </c>
      <c r="O11498" s="94">
        <f>VLOOKUP($Q11498,매칭테이블!$F:$I,4,0)*K11498</f>
        <v/>
      </c>
      <c r="P11498" s="148">
        <f>M11498/1.1</f>
        <v/>
      </c>
      <c r="Q11498" s="94">
        <f>F11498&amp;E11498&amp;G11498&amp;L11498</f>
        <v/>
      </c>
    </row>
    <row r="11499" customFormat="1" s="94">
      <c r="B11499" s="128" t="n">
        <v>44165</v>
      </c>
      <c r="C11499" s="94">
        <f>TEXT(B11499,"aaa")</f>
        <v/>
      </c>
      <c r="E11499" s="94" t="inlineStr">
        <is>
          <t>로션</t>
        </is>
      </c>
      <c r="F11499" s="94" t="inlineStr">
        <is>
          <t>화해</t>
        </is>
      </c>
      <c r="G11499" s="94" t="inlineStr">
        <is>
          <t>아누아 어성초70 로션 200ml</t>
        </is>
      </c>
      <c r="H11499" s="94" t="n">
        <v>200801</v>
      </c>
      <c r="I11499" s="94" t="n">
        <v>200801</v>
      </c>
      <c r="K11499" s="6" t="n">
        <v>1</v>
      </c>
      <c r="L11499" s="94" t="n">
        <v>200801</v>
      </c>
      <c r="M11499" s="94">
        <f>VLOOKUP($Q11499,매칭테이블!$F:$I,2,0)*K11499</f>
        <v/>
      </c>
      <c r="N11499" s="94">
        <f>M11499-M11499*VLOOKUP($Q11499,매칭테이블!$F:$I,3,0)</f>
        <v/>
      </c>
      <c r="O11499" s="94">
        <f>VLOOKUP($Q11499,매칭테이블!$F:$I,4,0)*K11499</f>
        <v/>
      </c>
      <c r="P11499" s="148">
        <f>M11499/1.1</f>
        <v/>
      </c>
      <c r="Q11499" s="94">
        <f>F11499&amp;E11499&amp;G11499&amp;L11499</f>
        <v/>
      </c>
    </row>
    <row r="11500" customFormat="1" s="94">
      <c r="B11500" s="128" t="n">
        <v>44164</v>
      </c>
      <c r="C11500" s="94">
        <f>TEXT(B11500,"aaa")</f>
        <v/>
      </c>
      <c r="E11500" s="94" t="inlineStr">
        <is>
          <t>토너</t>
        </is>
      </c>
      <c r="F11500" s="94" t="inlineStr">
        <is>
          <t>랄라블라</t>
        </is>
      </c>
      <c r="G11500" s="94" t="inlineStr">
        <is>
          <t>250ml</t>
        </is>
      </c>
      <c r="H11500" s="94" t="n">
        <v>200801</v>
      </c>
      <c r="I11500" s="94" t="n">
        <v>200801</v>
      </c>
      <c r="K11500" s="6" t="n">
        <v>472</v>
      </c>
      <c r="L11500" s="94" t="n">
        <v>200801</v>
      </c>
      <c r="M11500" s="94">
        <f>VLOOKUP($Q11500,매칭테이블!$F:$I,2,0)*K11500</f>
        <v/>
      </c>
      <c r="N11500" s="94">
        <f>M11500-M11500*VLOOKUP($Q11500,매칭테이블!$F:$I,3,0)</f>
        <v/>
      </c>
      <c r="O11500" s="94">
        <f>VLOOKUP($Q11500,매칭테이블!$F:$I,4,0)*K11500</f>
        <v/>
      </c>
      <c r="P11500" s="148">
        <f>M11500/1.1</f>
        <v/>
      </c>
      <c r="Q11500" s="94">
        <f>F11500&amp;E11500&amp;G11500&amp;L11500</f>
        <v/>
      </c>
    </row>
    <row r="11501" customFormat="1" s="94">
      <c r="B11501" s="128" t="n">
        <v>44164</v>
      </c>
      <c r="C11501" s="94">
        <f>TEXT(B11501,"aaa")</f>
        <v/>
      </c>
      <c r="E11501" s="94" t="inlineStr">
        <is>
          <t>토너</t>
        </is>
      </c>
      <c r="F11501" s="94" t="inlineStr">
        <is>
          <t>랄라블라</t>
        </is>
      </c>
      <c r="G11501" s="94" t="inlineStr">
        <is>
          <t>500ml</t>
        </is>
      </c>
      <c r="H11501" s="94" t="n">
        <v>200801</v>
      </c>
      <c r="I11501" s="94" t="n">
        <v>200801</v>
      </c>
      <c r="K11501" s="6" t="n">
        <v>22</v>
      </c>
      <c r="L11501" s="94" t="n">
        <v>200801</v>
      </c>
      <c r="M11501" s="94">
        <f>VLOOKUP($Q11501,매칭테이블!$F:$I,2,0)*K11501</f>
        <v/>
      </c>
      <c r="N11501" s="94">
        <f>M11501-M11501*VLOOKUP($Q11501,매칭테이블!$F:$I,3,0)</f>
        <v/>
      </c>
      <c r="O11501" s="94">
        <f>VLOOKUP($Q11501,매칭테이블!$F:$I,4,0)*K11501</f>
        <v/>
      </c>
      <c r="P11501" s="148">
        <f>M11501/1.1</f>
        <v/>
      </c>
      <c r="Q11501" s="94">
        <f>F11501&amp;E11501&amp;G11501&amp;L11501</f>
        <v/>
      </c>
    </row>
    <row r="11502" customFormat="1" s="94">
      <c r="B11502" s="128" t="n">
        <v>44164</v>
      </c>
      <c r="C11502" s="94">
        <f>TEXT(B11502,"aaa")</f>
        <v/>
      </c>
      <c r="E11502" s="94" t="inlineStr">
        <is>
          <t>마스크팩</t>
        </is>
      </c>
      <c r="F11502" s="94" t="inlineStr">
        <is>
          <t>랄라블라</t>
        </is>
      </c>
      <c r="G11502" s="94" t="inlineStr">
        <is>
          <t>마스크팩 1매</t>
        </is>
      </c>
      <c r="H11502" s="94" t="n">
        <v>200801</v>
      </c>
      <c r="I11502" s="94" t="n">
        <v>200801</v>
      </c>
      <c r="K11502" s="6" t="n">
        <v>485</v>
      </c>
      <c r="L11502" s="94" t="n">
        <v>200801</v>
      </c>
      <c r="M11502" s="94">
        <f>VLOOKUP($Q11502,매칭테이블!$F:$I,2,0)*K11502</f>
        <v/>
      </c>
      <c r="N11502" s="94">
        <f>M11502-M11502*VLOOKUP($Q11502,매칭테이블!$F:$I,3,0)</f>
        <v/>
      </c>
      <c r="O11502" s="94">
        <f>VLOOKUP($Q11502,매칭테이블!$F:$I,4,0)*K11502</f>
        <v/>
      </c>
      <c r="P11502" s="148">
        <f>M11502/1.1</f>
        <v/>
      </c>
      <c r="Q11502" s="94">
        <f>F11502&amp;E11502&amp;G11502&amp;L11502</f>
        <v/>
      </c>
    </row>
    <row r="11503" customFormat="1" s="94">
      <c r="B11503" s="128" t="n">
        <v>44164</v>
      </c>
      <c r="C11503" s="94">
        <f>TEXT(B11503,"aaa")</f>
        <v/>
      </c>
      <c r="E11503" s="94" t="inlineStr">
        <is>
          <t>수딩크림 증정기획</t>
        </is>
      </c>
      <c r="F11503" s="94" t="inlineStr">
        <is>
          <t>랄라블라</t>
        </is>
      </c>
      <c r="G11503" s="94" t="inlineStr">
        <is>
          <t>수딩크림 증정기획</t>
        </is>
      </c>
      <c r="H11503" s="94" t="n">
        <v>200801</v>
      </c>
      <c r="I11503" s="94" t="n">
        <v>200801</v>
      </c>
      <c r="K11503" s="6" t="n">
        <v>14</v>
      </c>
      <c r="L11503" s="94" t="n">
        <v>200801</v>
      </c>
      <c r="M11503" s="94">
        <f>VLOOKUP($Q11503,매칭테이블!$F:$I,2,0)*K11503</f>
        <v/>
      </c>
      <c r="N11503" s="94">
        <f>M11503-M11503*VLOOKUP($Q11503,매칭테이블!$F:$I,3,0)</f>
        <v/>
      </c>
      <c r="O11503" s="94">
        <f>VLOOKUP($Q11503,매칭테이블!$F:$I,4,0)*K11503</f>
        <v/>
      </c>
      <c r="P11503" s="148">
        <f>M11503/1.1</f>
        <v/>
      </c>
      <c r="Q11503" s="94">
        <f>F11503&amp;E11503&amp;G11503&amp;L11503</f>
        <v/>
      </c>
    </row>
    <row r="11504" customFormat="1" s="94">
      <c r="B11504" s="128" t="n">
        <v>44164</v>
      </c>
      <c r="C11504" s="94">
        <f>TEXT(B11504,"aaa")</f>
        <v/>
      </c>
      <c r="E11504" s="94" t="inlineStr">
        <is>
          <t>수딩크림</t>
        </is>
      </c>
      <c r="F11504" s="94" t="inlineStr">
        <is>
          <t>랄라블라</t>
        </is>
      </c>
      <c r="G11504" s="94" t="inlineStr">
        <is>
          <t>수딩크림 100ml</t>
        </is>
      </c>
      <c r="H11504" s="94" t="n">
        <v>200801</v>
      </c>
      <c r="I11504" s="94" t="n">
        <v>200801</v>
      </c>
      <c r="K11504" s="6" t="n">
        <v>60</v>
      </c>
      <c r="L11504" s="94" t="n">
        <v>200801</v>
      </c>
      <c r="M11504" s="94">
        <f>VLOOKUP($Q11504,매칭테이블!$F:$I,2,0)*K11504</f>
        <v/>
      </c>
      <c r="N11504" s="94">
        <f>M11504-M11504*VLOOKUP($Q11504,매칭테이블!$F:$I,3,0)</f>
        <v/>
      </c>
      <c r="O11504" s="94">
        <f>VLOOKUP($Q11504,매칭테이블!$F:$I,4,0)*K11504</f>
        <v/>
      </c>
      <c r="P11504" s="148">
        <f>M11504/1.1</f>
        <v/>
      </c>
      <c r="Q11504" s="94">
        <f>F11504&amp;E11504&amp;G11504&amp;L11504</f>
        <v/>
      </c>
    </row>
    <row r="11505" customFormat="1" s="94">
      <c r="B11505" s="128" t="n">
        <v>44164</v>
      </c>
      <c r="C11505" s="94">
        <f>TEXT(B11505,"aaa")</f>
        <v/>
      </c>
      <c r="E11505" s="94" t="inlineStr">
        <is>
          <t>앰플 기획세트</t>
        </is>
      </c>
      <c r="F11505" s="94" t="inlineStr">
        <is>
          <t>랄라블라</t>
        </is>
      </c>
      <c r="G11505" s="94" t="inlineStr">
        <is>
          <t>앰플 기획세트</t>
        </is>
      </c>
      <c r="H11505" s="94" t="n">
        <v>200801</v>
      </c>
      <c r="I11505" s="94" t="n">
        <v>200801</v>
      </c>
      <c r="K11505" s="6" t="n">
        <v>24</v>
      </c>
      <c r="L11505" s="94" t="n">
        <v>200801</v>
      </c>
      <c r="M11505" s="94">
        <f>VLOOKUP($Q11505,매칭테이블!$F:$I,2,0)*K11505</f>
        <v/>
      </c>
      <c r="N11505" s="94">
        <f>M11505-M11505*VLOOKUP($Q11505,매칭테이블!$F:$I,3,0)</f>
        <v/>
      </c>
      <c r="O11505" s="94">
        <f>VLOOKUP($Q11505,매칭테이블!$F:$I,4,0)*K11505</f>
        <v/>
      </c>
      <c r="P11505" s="148">
        <f>M11505/1.1</f>
        <v/>
      </c>
      <c r="Q11505" s="94">
        <f>F11505&amp;E11505&amp;G11505&amp;L11505</f>
        <v/>
      </c>
    </row>
    <row r="11506" customFormat="1" s="94">
      <c r="B11506" s="128" t="n">
        <v>44164</v>
      </c>
      <c r="C11506" s="94">
        <f>TEXT(B11506,"aaa")</f>
        <v/>
      </c>
      <c r="E11506" s="94" t="inlineStr">
        <is>
          <t>클렌징폼 기획세트</t>
        </is>
      </c>
      <c r="F11506" s="94" t="inlineStr">
        <is>
          <t>랄라블라</t>
        </is>
      </c>
      <c r="G11506" s="94" t="inlineStr">
        <is>
          <t>클렌징폼 기획세트</t>
        </is>
      </c>
      <c r="H11506" s="94" t="n">
        <v>200801</v>
      </c>
      <c r="I11506" s="94" t="n">
        <v>200801</v>
      </c>
      <c r="K11506" s="6" t="n">
        <v>8</v>
      </c>
      <c r="L11506" s="94" t="n">
        <v>200801</v>
      </c>
      <c r="M11506" s="94">
        <f>VLOOKUP($Q11506,매칭테이블!$F:$I,2,0)*K11506</f>
        <v/>
      </c>
      <c r="N11506" s="94">
        <f>M11506-M11506*VLOOKUP($Q11506,매칭테이블!$F:$I,3,0)</f>
        <v/>
      </c>
      <c r="O11506" s="94">
        <f>VLOOKUP($Q11506,매칭테이블!$F:$I,4,0)*K11506</f>
        <v/>
      </c>
      <c r="P11506" s="148">
        <f>M11506/1.1</f>
        <v/>
      </c>
      <c r="Q11506" s="94">
        <f>F11506&amp;E11506&amp;G11506&amp;L11506</f>
        <v/>
      </c>
    </row>
    <row r="11507" customFormat="1" s="94">
      <c r="B11507" s="128" t="n">
        <v>44164</v>
      </c>
      <c r="C11507" s="94">
        <f>TEXT(B11507,"aaa")</f>
        <v/>
      </c>
      <c r="E11507" s="94" t="inlineStr">
        <is>
          <t>토너 기획세트</t>
        </is>
      </c>
      <c r="F11507" s="94" t="inlineStr">
        <is>
          <t>랄라블라</t>
        </is>
      </c>
      <c r="G11507" s="94" t="inlineStr">
        <is>
          <t>토너 기획세트</t>
        </is>
      </c>
      <c r="H11507" s="94" t="n">
        <v>200801</v>
      </c>
      <c r="I11507" s="94" t="n">
        <v>200801</v>
      </c>
      <c r="K11507" s="6" t="n">
        <v>338</v>
      </c>
      <c r="L11507" s="94" t="n">
        <v>200801</v>
      </c>
      <c r="M11507" s="94">
        <f>VLOOKUP($Q11507,매칭테이블!$F:$I,2,0)*K11507</f>
        <v/>
      </c>
      <c r="N11507" s="94">
        <f>M11507-M11507*VLOOKUP($Q11507,매칭테이블!$F:$I,3,0)</f>
        <v/>
      </c>
      <c r="O11507" s="94">
        <f>VLOOKUP($Q11507,매칭테이블!$F:$I,4,0)*K11507</f>
        <v/>
      </c>
      <c r="P11507" s="148">
        <f>M11507/1.1</f>
        <v/>
      </c>
      <c r="Q11507" s="94">
        <f>F11507&amp;E11507&amp;G11507&amp;L11507</f>
        <v/>
      </c>
    </row>
    <row r="11508" customFormat="1" s="94">
      <c r="B11508" s="128" t="n">
        <v>44164</v>
      </c>
      <c r="C11508" s="94">
        <f>TEXT(B11508,"aaa")</f>
        <v/>
      </c>
      <c r="E11508" s="94" t="inlineStr">
        <is>
          <t>클렌징폼</t>
        </is>
      </c>
      <c r="F11508" s="94" t="inlineStr">
        <is>
          <t>랄라블라</t>
        </is>
      </c>
      <c r="G11508" s="94" t="inlineStr">
        <is>
          <t>클렌징폼 120ml</t>
        </is>
      </c>
      <c r="H11508" s="94" t="n">
        <v>200801</v>
      </c>
      <c r="I11508" s="94" t="n">
        <v>200801</v>
      </c>
      <c r="K11508" s="6" t="n">
        <v>72</v>
      </c>
      <c r="L11508" s="94" t="n">
        <v>200801</v>
      </c>
      <c r="M11508" s="94">
        <f>VLOOKUP($Q11508,매칭테이블!$F:$I,2,0)*K11508</f>
        <v/>
      </c>
      <c r="N11508" s="94">
        <f>M11508-M11508*VLOOKUP($Q11508,매칭테이블!$F:$I,3,0)</f>
        <v/>
      </c>
      <c r="O11508" s="94">
        <f>VLOOKUP($Q11508,매칭테이블!$F:$I,4,0)*K11508</f>
        <v/>
      </c>
      <c r="P11508" s="148">
        <f>M11508/1.1</f>
        <v/>
      </c>
      <c r="Q11508" s="94">
        <f>F11508&amp;E11508&amp;G11508&amp;L11508</f>
        <v/>
      </c>
    </row>
    <row r="11509" customFormat="1" s="94">
      <c r="B11509" s="128" t="n">
        <v>44164</v>
      </c>
      <c r="C11509" s="94">
        <f>TEXT(B11509,"aaa")</f>
        <v/>
      </c>
      <c r="E11509" s="94" t="inlineStr">
        <is>
          <t>선크림</t>
        </is>
      </c>
      <c r="F11509" s="94" t="inlineStr">
        <is>
          <t>랄라블라</t>
        </is>
      </c>
      <c r="G11509" s="94" t="inlineStr">
        <is>
          <t>선크림 50ml</t>
        </is>
      </c>
      <c r="H11509" s="94" t="n">
        <v>200801</v>
      </c>
      <c r="I11509" s="94" t="n">
        <v>200801</v>
      </c>
      <c r="K11509" s="6" t="n">
        <v>17</v>
      </c>
      <c r="L11509" s="94" t="n">
        <v>200801</v>
      </c>
      <c r="M11509" s="94">
        <f>VLOOKUP($Q11509,매칭테이블!$F:$I,2,0)*K11509</f>
        <v/>
      </c>
      <c r="N11509" s="94">
        <f>M11509-M11509*VLOOKUP($Q11509,매칭테이블!$F:$I,3,0)</f>
        <v/>
      </c>
      <c r="O11509" s="94">
        <f>VLOOKUP($Q11509,매칭테이블!$F:$I,4,0)*K11509</f>
        <v/>
      </c>
      <c r="P11509" s="148">
        <f>M11509/1.1</f>
        <v/>
      </c>
      <c r="Q11509" s="94">
        <f>F11509&amp;E11509&amp;G11509&amp;L11509</f>
        <v/>
      </c>
    </row>
    <row r="11510" customFormat="1" s="94">
      <c r="B11510" s="128" t="n">
        <v>44164</v>
      </c>
      <c r="C11510" s="94">
        <f>TEXT(B11510,"aaa")</f>
        <v/>
      </c>
      <c r="E11510" s="94" t="inlineStr">
        <is>
          <t>대용량 기획세트</t>
        </is>
      </c>
      <c r="F11510" s="94" t="inlineStr">
        <is>
          <t>랄라블라</t>
        </is>
      </c>
      <c r="G11510" s="94" t="inlineStr">
        <is>
          <t>대용량 기획세트</t>
        </is>
      </c>
      <c r="H11510" s="94" t="n">
        <v>200801</v>
      </c>
      <c r="I11510" s="94" t="n">
        <v>200801</v>
      </c>
      <c r="K11510" s="6" t="n">
        <v>2</v>
      </c>
      <c r="L11510" s="94" t="n">
        <v>200801</v>
      </c>
      <c r="M11510" s="94">
        <f>VLOOKUP($Q11510,매칭테이블!$F:$I,2,0)*K11510</f>
        <v/>
      </c>
      <c r="N11510" s="94">
        <f>M11510-M11510*VLOOKUP($Q11510,매칭테이블!$F:$I,3,0)</f>
        <v/>
      </c>
      <c r="O11510" s="94">
        <f>VLOOKUP($Q11510,매칭테이블!$F:$I,4,0)*K11510</f>
        <v/>
      </c>
      <c r="P11510" s="148">
        <f>M11510/1.1</f>
        <v/>
      </c>
      <c r="Q11510" s="94">
        <f>F11510&amp;E11510&amp;G11510&amp;L11510</f>
        <v/>
      </c>
    </row>
    <row r="11511" customFormat="1" s="94">
      <c r="B11511" s="128" t="n">
        <v>44164</v>
      </c>
      <c r="C11511" s="94">
        <f>TEXT(B11511,"aaa")</f>
        <v/>
      </c>
      <c r="E11511" s="94" t="inlineStr">
        <is>
          <t>마스크팩</t>
        </is>
      </c>
      <c r="F11511" s="94" t="inlineStr">
        <is>
          <t>랄라블라</t>
        </is>
      </c>
      <c r="G11511" s="94" t="inlineStr">
        <is>
          <t>마스크 5+1 기획세트</t>
        </is>
      </c>
      <c r="H11511" s="94" t="n">
        <v>200801</v>
      </c>
      <c r="I11511" s="94" t="n">
        <v>200801</v>
      </c>
      <c r="K11511" s="6" t="n">
        <v>292</v>
      </c>
      <c r="L11511" s="94" t="n">
        <v>200801</v>
      </c>
      <c r="M11511" s="94">
        <f>VLOOKUP($Q11511,매칭테이블!$F:$I,2,0)*K11511</f>
        <v/>
      </c>
      <c r="N11511" s="94">
        <f>M11511-M11511*VLOOKUP($Q11511,매칭테이블!$F:$I,3,0)</f>
        <v/>
      </c>
      <c r="O11511" s="94">
        <f>VLOOKUP($Q11511,매칭테이블!$F:$I,4,0)*K11511</f>
        <v/>
      </c>
      <c r="P11511" s="148">
        <f>M11511/1.1</f>
        <v/>
      </c>
      <c r="Q11511" s="94">
        <f>F11511&amp;E11511&amp;G11511&amp;L11511</f>
        <v/>
      </c>
    </row>
    <row r="11512" customFormat="1" s="94">
      <c r="B11512" s="128" t="n">
        <v>44164</v>
      </c>
      <c r="C11512" s="94">
        <f>TEXT(B11512,"aaa")</f>
        <v/>
      </c>
      <c r="E11512" s="94" t="inlineStr">
        <is>
          <t>바디워시</t>
        </is>
      </c>
      <c r="F11512" s="94" t="inlineStr">
        <is>
          <t>랄라블라</t>
        </is>
      </c>
      <c r="G11512" s="94" t="inlineStr">
        <is>
          <t>아누아 어성초 아크네 바디워시 500ml</t>
        </is>
      </c>
      <c r="H11512" s="94" t="n">
        <v>200801</v>
      </c>
      <c r="I11512" s="94" t="n">
        <v>200801</v>
      </c>
      <c r="K11512" s="6" t="n">
        <v>8</v>
      </c>
      <c r="L11512" s="94" t="n">
        <v>200801</v>
      </c>
      <c r="M11512" s="94">
        <f>VLOOKUP($Q11512,매칭테이블!$F:$I,2,0)*K11512</f>
        <v/>
      </c>
      <c r="N11512" s="94">
        <f>M11512-M11512*VLOOKUP($Q11512,매칭테이블!$F:$I,3,0)</f>
        <v/>
      </c>
      <c r="O11512" s="94">
        <f>VLOOKUP($Q11512,매칭테이블!$F:$I,4,0)*K11512</f>
        <v/>
      </c>
      <c r="P11512" s="148">
        <f>M11512/1.1</f>
        <v/>
      </c>
      <c r="Q11512" s="94">
        <f>F11512&amp;E11512&amp;G11512&amp;L11512</f>
        <v/>
      </c>
    </row>
    <row r="11513" customFormat="1" s="94">
      <c r="B11513" s="128" t="n">
        <v>44164</v>
      </c>
      <c r="C11513" s="94">
        <f>TEXT(B11513,"aaa")</f>
        <v/>
      </c>
      <c r="E11513" s="94" t="inlineStr">
        <is>
          <t>클리어 패드</t>
        </is>
      </c>
      <c r="F11513" s="94" t="inlineStr">
        <is>
          <t>랄라블라</t>
        </is>
      </c>
      <c r="G11513" s="94" t="inlineStr">
        <is>
          <t>아누아 어성초77 클리어 패드</t>
        </is>
      </c>
      <c r="H11513" s="94" t="n">
        <v>200801</v>
      </c>
      <c r="I11513" s="94" t="n">
        <v>200801</v>
      </c>
      <c r="K11513" s="6" t="n">
        <v>53</v>
      </c>
      <c r="L11513" s="94" t="n">
        <v>200801</v>
      </c>
      <c r="M11513" s="94">
        <f>VLOOKUP($Q11513,매칭테이블!$F:$I,2,0)*K11513</f>
        <v/>
      </c>
      <c r="N11513" s="94">
        <f>M11513-M11513*VLOOKUP($Q11513,매칭테이블!$F:$I,3,0)</f>
        <v/>
      </c>
      <c r="O11513" s="94">
        <f>VLOOKUP($Q11513,매칭테이블!$F:$I,4,0)*K11513</f>
        <v/>
      </c>
      <c r="P11513" s="148">
        <f>M11513/1.1</f>
        <v/>
      </c>
      <c r="Q11513" s="94">
        <f>F11513&amp;E11513&amp;G11513&amp;L11513</f>
        <v/>
      </c>
    </row>
    <row r="11514" customFormat="1" s="94">
      <c r="B11514" s="128" t="n">
        <v>44164</v>
      </c>
      <c r="C11514" s="94">
        <f>TEXT(B11514,"aaa")</f>
        <v/>
      </c>
      <c r="E11514" s="94" t="inlineStr">
        <is>
          <t>로션</t>
        </is>
      </c>
      <c r="F11514" s="94" t="inlineStr">
        <is>
          <t>랄라블라</t>
        </is>
      </c>
      <c r="G11514" s="94" t="inlineStr">
        <is>
          <t>아누아 어성초70 로션 200ml</t>
        </is>
      </c>
      <c r="H11514" s="94" t="n">
        <v>200801</v>
      </c>
      <c r="I11514" s="94" t="n">
        <v>200801</v>
      </c>
      <c r="K11514" s="6" t="n">
        <v>63</v>
      </c>
      <c r="L11514" s="94" t="n">
        <v>200801</v>
      </c>
      <c r="M11514" s="94">
        <f>VLOOKUP($Q11514,매칭테이블!$F:$I,2,0)*K11514</f>
        <v/>
      </c>
      <c r="N11514" s="94">
        <f>M11514-M11514*VLOOKUP($Q11514,매칭테이블!$F:$I,3,0)</f>
        <v/>
      </c>
      <c r="O11514" s="94">
        <f>VLOOKUP($Q11514,매칭테이블!$F:$I,4,0)*K11514</f>
        <v/>
      </c>
      <c r="P11514" s="148">
        <f>M11514/1.1</f>
        <v/>
      </c>
      <c r="Q11514" s="94">
        <f>F11514&amp;E11514&amp;G11514&amp;L11514</f>
        <v/>
      </c>
    </row>
    <row r="11515" customFormat="1" s="94">
      <c r="B11515" s="128" t="n">
        <v>44164</v>
      </c>
      <c r="C11515" s="94">
        <f>TEXT(B11515,"aaa")</f>
        <v/>
      </c>
      <c r="E11515" s="94" t="inlineStr">
        <is>
          <t>앰플</t>
        </is>
      </c>
      <c r="F11515" s="94" t="inlineStr">
        <is>
          <t>랄라블라</t>
        </is>
      </c>
      <c r="G11515" s="94" t="inlineStr">
        <is>
          <t>앰플 30ml</t>
        </is>
      </c>
      <c r="H11515" s="94" t="n">
        <v>200801</v>
      </c>
      <c r="I11515" s="94" t="n">
        <v>200801</v>
      </c>
      <c r="K11515" s="6" t="n">
        <v>51</v>
      </c>
      <c r="L11515" s="94" t="n">
        <v>200801</v>
      </c>
      <c r="M11515" s="94">
        <f>VLOOKUP($Q11515,매칭테이블!$F:$I,2,0)*K11515</f>
        <v/>
      </c>
      <c r="N11515" s="94">
        <f>M11515-M11515*VLOOKUP($Q11515,매칭테이블!$F:$I,3,0)</f>
        <v/>
      </c>
      <c r="O11515" s="94">
        <f>VLOOKUP($Q11515,매칭테이블!$F:$I,4,0)*K11515</f>
        <v/>
      </c>
      <c r="P11515" s="148">
        <f>M11515/1.1</f>
        <v/>
      </c>
      <c r="Q11515" s="94">
        <f>F11515&amp;E11515&amp;G11515&amp;L11515</f>
        <v/>
      </c>
    </row>
    <row r="11516" customFormat="1" s="94">
      <c r="B11516" s="128" t="n">
        <v>44164</v>
      </c>
      <c r="C11516" s="94">
        <f>TEXT(B11516,"aaa")</f>
        <v/>
      </c>
      <c r="E11516" s="94" t="inlineStr">
        <is>
          <t>크림마스크</t>
        </is>
      </c>
      <c r="F11516" s="94" t="inlineStr">
        <is>
          <t>랄라블라</t>
        </is>
      </c>
      <c r="G11516" s="94" t="inlineStr">
        <is>
          <t>아누아 어성초 크림 마스크</t>
        </is>
      </c>
      <c r="H11516" s="94" t="n">
        <v>200801</v>
      </c>
      <c r="I11516" s="94" t="n">
        <v>200801</v>
      </c>
      <c r="K11516" s="6" t="n">
        <v>303</v>
      </c>
      <c r="L11516" s="94" t="n">
        <v>200801</v>
      </c>
      <c r="M11516" s="94">
        <f>VLOOKUP($Q11516,매칭테이블!$F:$I,2,0)*K11516</f>
        <v/>
      </c>
      <c r="N11516" s="94">
        <f>M11516-M11516*VLOOKUP($Q11516,매칭테이블!$F:$I,3,0)</f>
        <v/>
      </c>
      <c r="O11516" s="94">
        <f>VLOOKUP($Q11516,매칭테이블!$F:$I,4,0)*K11516</f>
        <v/>
      </c>
      <c r="P11516" s="148">
        <f>M11516/1.1</f>
        <v/>
      </c>
      <c r="Q11516" s="94">
        <f>F11516&amp;E11516&amp;G11516&amp;L11516</f>
        <v/>
      </c>
    </row>
    <row r="11517" customFormat="1" s="94">
      <c r="B11517" s="128" t="n">
        <v>44164</v>
      </c>
      <c r="C11517" s="94">
        <f>TEXT(B11517,"aaa")</f>
        <v/>
      </c>
      <c r="E11517" s="94" t="inlineStr">
        <is>
          <t>카밍크림</t>
        </is>
      </c>
      <c r="F11517" s="94" t="inlineStr">
        <is>
          <t>랄라블라</t>
        </is>
      </c>
      <c r="G11517" s="94" t="inlineStr">
        <is>
          <t>아누아 어성초70 크림 50ml</t>
        </is>
      </c>
      <c r="H11517" s="94" t="n">
        <v>200801</v>
      </c>
      <c r="I11517" s="94" t="n">
        <v>200801</v>
      </c>
      <c r="K11517" s="6" t="n">
        <v>25</v>
      </c>
      <c r="L11517" s="94" t="n">
        <v>200801</v>
      </c>
      <c r="M11517" s="94">
        <f>VLOOKUP($Q11517,매칭테이블!$F:$I,2,0)*K11517</f>
        <v/>
      </c>
      <c r="N11517" s="94">
        <f>M11517-M11517*VLOOKUP($Q11517,매칭테이블!$F:$I,3,0)</f>
        <v/>
      </c>
      <c r="O11517" s="94">
        <f>VLOOKUP($Q11517,매칭테이블!$F:$I,4,0)*K11517</f>
        <v/>
      </c>
      <c r="P11517" s="148">
        <f>M11517/1.1</f>
        <v/>
      </c>
      <c r="Q11517" s="94">
        <f>F11517&amp;E11517&amp;G11517&amp;L11517</f>
        <v/>
      </c>
    </row>
    <row r="11518" customFormat="1" s="94">
      <c r="B11518" s="128" t="n">
        <v>44164</v>
      </c>
      <c r="C11518" s="94">
        <f>TEXT(B11518,"aaa")</f>
        <v/>
      </c>
      <c r="E11518" s="94" t="inlineStr">
        <is>
          <t>토너로션 기획세트</t>
        </is>
      </c>
      <c r="F11518" s="94" t="inlineStr">
        <is>
          <t>랄라블라</t>
        </is>
      </c>
      <c r="G11518" s="94" t="inlineStr">
        <is>
          <t>아누아 어성초77 수딩 토너&amp;로션 기획세트</t>
        </is>
      </c>
      <c r="H11518" s="94" t="n">
        <v>200801</v>
      </c>
      <c r="I11518" s="94" t="n">
        <v>200801</v>
      </c>
      <c r="K11518" s="6" t="n">
        <v>123</v>
      </c>
      <c r="L11518" s="94" t="n">
        <v>200801</v>
      </c>
      <c r="M11518" s="94">
        <f>VLOOKUP($Q11518,매칭테이블!$F:$I,2,0)*K11518</f>
        <v/>
      </c>
      <c r="N11518" s="94">
        <f>M11518-M11518*VLOOKUP($Q11518,매칭테이블!$F:$I,3,0)</f>
        <v/>
      </c>
      <c r="O11518" s="94">
        <f>VLOOKUP($Q11518,매칭테이블!$F:$I,4,0)*K11518</f>
        <v/>
      </c>
      <c r="P11518" s="148">
        <f>M11518/1.1</f>
        <v/>
      </c>
      <c r="Q11518" s="94">
        <f>F11518&amp;E11518&amp;G11518&amp;L11518</f>
        <v/>
      </c>
    </row>
    <row r="11519" customFormat="1" s="94">
      <c r="B11519" s="128" t="n">
        <v>44164</v>
      </c>
      <c r="C11519" s="94">
        <f>TEXT(B11519,"aaa")</f>
        <v/>
      </c>
      <c r="E11519" s="94" t="inlineStr">
        <is>
          <t>패드 기획세트</t>
        </is>
      </c>
      <c r="F11519" s="94" t="inlineStr">
        <is>
          <t>랄라블라</t>
        </is>
      </c>
      <c r="G11519" s="94" t="inlineStr">
        <is>
          <t>아누아 어성초77 클리어 패드 기획세트</t>
        </is>
      </c>
      <c r="H11519" s="94" t="n">
        <v>200801</v>
      </c>
      <c r="I11519" s="94" t="n">
        <v>200801</v>
      </c>
      <c r="K11519" s="6" t="n">
        <v>154</v>
      </c>
      <c r="L11519" s="94" t="n">
        <v>200801</v>
      </c>
      <c r="M11519" s="94">
        <f>VLOOKUP($Q11519,매칭테이블!$F:$I,2,0)*K11519</f>
        <v/>
      </c>
      <c r="N11519" s="94">
        <f>M11519-M11519*VLOOKUP($Q11519,매칭테이블!$F:$I,3,0)</f>
        <v/>
      </c>
      <c r="O11519" s="94">
        <f>VLOOKUP($Q11519,매칭테이블!$F:$I,4,0)*K11519</f>
        <v/>
      </c>
      <c r="P11519" s="148">
        <f>M11519/1.1</f>
        <v/>
      </c>
      <c r="Q11519" s="94">
        <f>F11519&amp;E11519&amp;G11519&amp;L11519</f>
        <v/>
      </c>
    </row>
    <row r="11520" customFormat="1" s="94">
      <c r="B11520" s="128" t="n">
        <v>44164</v>
      </c>
      <c r="C11520" s="94">
        <f>TEXT(B11520,"aaa")</f>
        <v/>
      </c>
      <c r="E11520" s="94" t="inlineStr">
        <is>
          <t>앰플 기획세트</t>
        </is>
      </c>
      <c r="F11520" s="94" t="inlineStr">
        <is>
          <t>랄라블라</t>
        </is>
      </c>
      <c r="G11520" s="94" t="inlineStr">
        <is>
          <t>아누아 어성초80 앰플 기획세트 (NEW)</t>
        </is>
      </c>
      <c r="H11520" s="94" t="n">
        <v>200801</v>
      </c>
      <c r="I11520" s="94" t="n">
        <v>200801</v>
      </c>
      <c r="K11520" s="6" t="n">
        <v>78</v>
      </c>
      <c r="L11520" s="94" t="n">
        <v>200801</v>
      </c>
      <c r="M11520" s="94">
        <f>VLOOKUP($Q11520,매칭테이블!$F:$I,2,0)*K11520</f>
        <v/>
      </c>
      <c r="N11520" s="94">
        <f>M11520-M11520*VLOOKUP($Q11520,매칭테이블!$F:$I,3,0)</f>
        <v/>
      </c>
      <c r="O11520" s="94">
        <f>VLOOKUP($Q11520,매칭테이블!$F:$I,4,0)*K11520</f>
        <v/>
      </c>
      <c r="P11520" s="148">
        <f>M11520/1.1</f>
        <v/>
      </c>
      <c r="Q11520" s="94">
        <f>F11520&amp;E11520&amp;G11520&amp;L11520</f>
        <v/>
      </c>
    </row>
    <row r="11521" customFormat="1" s="94">
      <c r="B11521" s="128" t="n">
        <v>44166</v>
      </c>
      <c r="C11521" s="94">
        <f>TEXT(B11521,"aaa")</f>
        <v/>
      </c>
      <c r="E11521" s="94" t="inlineStr">
        <is>
          <t>토너</t>
        </is>
      </c>
      <c r="F11521" s="94" t="inlineStr">
        <is>
          <t>W컨셉</t>
        </is>
      </c>
      <c r="G11521" s="94" t="inlineStr">
        <is>
          <t>250ml</t>
        </is>
      </c>
      <c r="H11521" s="94" t="n">
        <v>200801</v>
      </c>
      <c r="I11521" s="94" t="n">
        <v>200801</v>
      </c>
      <c r="K11521" s="6" t="n">
        <v>1</v>
      </c>
      <c r="L11521" s="94" t="n">
        <v>200801</v>
      </c>
      <c r="M11521" s="94">
        <f>VLOOKUP($Q11521,매칭테이블!$F:$I,2,0)*K11521</f>
        <v/>
      </c>
      <c r="N11521" s="94">
        <f>M11521-M11521*VLOOKUP($Q11521,매칭테이블!$F:$I,3,0)</f>
        <v/>
      </c>
      <c r="O11521" s="94">
        <f>VLOOKUP($Q11521,매칭테이블!$F:$I,4,0)*K11521</f>
        <v/>
      </c>
      <c r="P11521" s="148">
        <f>M11521/1.1</f>
        <v/>
      </c>
      <c r="Q11521" s="94">
        <f>F11521&amp;E11521&amp;G11521&amp;L11521</f>
        <v/>
      </c>
    </row>
    <row r="11522" customFormat="1" s="94">
      <c r="B11522" s="128" t="n">
        <v>44166</v>
      </c>
      <c r="C11522" s="94">
        <f>TEXT(B11522,"aaa")</f>
        <v/>
      </c>
      <c r="E11522" s="94" t="inlineStr">
        <is>
          <t>토너</t>
        </is>
      </c>
      <c r="F11522" s="94" t="inlineStr">
        <is>
          <t>W컨셉</t>
        </is>
      </c>
      <c r="G11522" s="94" t="inlineStr">
        <is>
          <t>250ml 2set</t>
        </is>
      </c>
      <c r="H11522" s="94" t="n">
        <v>200801</v>
      </c>
      <c r="I11522" s="94" t="n">
        <v>200801</v>
      </c>
      <c r="K11522" s="6" t="n">
        <v>3</v>
      </c>
      <c r="L11522" s="94" t="n">
        <v>200801</v>
      </c>
      <c r="M11522" s="94">
        <f>VLOOKUP($Q11522,매칭테이블!$F:$I,2,0)*K11522</f>
        <v/>
      </c>
      <c r="N11522" s="94">
        <f>M11522-M11522*VLOOKUP($Q11522,매칭테이블!$F:$I,3,0)</f>
        <v/>
      </c>
      <c r="O11522" s="94">
        <f>VLOOKUP($Q11522,매칭테이블!$F:$I,4,0)*K11522</f>
        <v/>
      </c>
      <c r="P11522" s="148">
        <f>M11522/1.1</f>
        <v/>
      </c>
      <c r="Q11522" s="94">
        <f>F11522&amp;E11522&amp;G11522&amp;L11522</f>
        <v/>
      </c>
    </row>
    <row r="11523" customFormat="1" s="94">
      <c r="B11523" s="128" t="n">
        <v>44166</v>
      </c>
      <c r="C11523" s="94">
        <f>TEXT(B11523,"aaa")</f>
        <v/>
      </c>
      <c r="E11523" s="94" t="inlineStr">
        <is>
          <t>토너</t>
        </is>
      </c>
      <c r="F11523" s="94" t="inlineStr">
        <is>
          <t>스타일쉐어</t>
        </is>
      </c>
      <c r="G11523" s="94" t="inlineStr">
        <is>
          <t>250ml</t>
        </is>
      </c>
      <c r="H11523" s="94" t="n">
        <v>200801</v>
      </c>
      <c r="I11523" s="94" t="n">
        <v>200801</v>
      </c>
      <c r="K11523" s="6" t="n">
        <v>2</v>
      </c>
      <c r="L11523" s="94" t="n">
        <v>200801</v>
      </c>
      <c r="M11523" s="94">
        <f>VLOOKUP($Q11523,매칭테이블!$F:$I,2,0)*K11523</f>
        <v/>
      </c>
      <c r="N11523" s="94">
        <f>M11523-M11523*VLOOKUP($Q11523,매칭테이블!$F:$I,3,0)</f>
        <v/>
      </c>
      <c r="O11523" s="94">
        <f>VLOOKUP($Q11523,매칭테이블!$F:$I,4,0)*K11523</f>
        <v/>
      </c>
      <c r="P11523" s="148">
        <f>M11523/1.1</f>
        <v/>
      </c>
      <c r="Q11523" s="94">
        <f>F11523&amp;E11523&amp;G11523&amp;L11523</f>
        <v/>
      </c>
    </row>
    <row r="11524" customFormat="1" s="94">
      <c r="B11524" s="128" t="n">
        <v>44166</v>
      </c>
      <c r="C11524" s="94">
        <f>TEXT(B11524,"aaa")</f>
        <v/>
      </c>
      <c r="E11524" s="94" t="inlineStr">
        <is>
          <t>클리어 패드</t>
        </is>
      </c>
      <c r="F11524" s="94" t="inlineStr">
        <is>
          <t>아누아 CS</t>
        </is>
      </c>
      <c r="G11524" s="94" t="inlineStr">
        <is>
          <t>어성초 클리어패드 70P</t>
        </is>
      </c>
      <c r="H11524" s="94" t="n">
        <v>200801</v>
      </c>
      <c r="I11524" s="94" t="n">
        <v>200801</v>
      </c>
      <c r="K11524" s="6" t="n">
        <v>1</v>
      </c>
      <c r="L11524" s="94" t="n">
        <v>200801</v>
      </c>
      <c r="M11524" s="94">
        <f>VLOOKUP($Q11524,매칭테이블!$F:$I,2,0)*K11524</f>
        <v/>
      </c>
      <c r="N11524" s="94">
        <f>M11524-M11524*VLOOKUP($Q11524,매칭테이블!$F:$I,3,0)</f>
        <v/>
      </c>
      <c r="O11524" s="94">
        <f>VLOOKUP($Q11524,매칭테이블!$F:$I,4,0)*K11524</f>
        <v/>
      </c>
      <c r="P11524" s="148">
        <f>M11524/1.1</f>
        <v/>
      </c>
      <c r="Q11524" s="94">
        <f>F11524&amp;E11524&amp;G11524&amp;L11524</f>
        <v/>
      </c>
    </row>
    <row r="11525" customFormat="1" s="94">
      <c r="B11525" s="128" t="n">
        <v>44166</v>
      </c>
      <c r="C11525" s="94">
        <f>TEXT(B11525,"aaa")</f>
        <v/>
      </c>
      <c r="E11525" s="94" t="inlineStr">
        <is>
          <t>토너</t>
        </is>
      </c>
      <c r="F11525" s="94" t="inlineStr">
        <is>
          <t>아누아 CS</t>
        </is>
      </c>
      <c r="G11525" s="94" t="inlineStr">
        <is>
          <t>250ml</t>
        </is>
      </c>
      <c r="H11525" s="94" t="n">
        <v>200801</v>
      </c>
      <c r="I11525" s="94" t="n">
        <v>200801</v>
      </c>
      <c r="K11525" s="6" t="n">
        <v>2</v>
      </c>
      <c r="L11525" s="94" t="n">
        <v>200801</v>
      </c>
      <c r="M11525" s="94">
        <f>VLOOKUP($Q11525,매칭테이블!$F:$I,2,0)*K11525</f>
        <v/>
      </c>
      <c r="N11525" s="94">
        <f>M11525-M11525*VLOOKUP($Q11525,매칭테이블!$F:$I,3,0)</f>
        <v/>
      </c>
      <c r="O11525" s="94">
        <f>VLOOKUP($Q11525,매칭테이블!$F:$I,4,0)*K11525</f>
        <v/>
      </c>
      <c r="P11525" s="148">
        <f>M11525/1.1</f>
        <v/>
      </c>
      <c r="Q11525" s="94">
        <f>F11525&amp;E11525&amp;G11525&amp;L11525</f>
        <v/>
      </c>
    </row>
    <row r="11526" customFormat="1" s="94">
      <c r="B11526" s="128" t="n">
        <v>44166</v>
      </c>
      <c r="C11526" s="94">
        <f>TEXT(B11526,"aaa")</f>
        <v/>
      </c>
      <c r="E11526" s="94" t="inlineStr">
        <is>
          <t>화장솜</t>
        </is>
      </c>
      <c r="F11526" s="94" t="inlineStr">
        <is>
          <t>아누아 CS</t>
        </is>
      </c>
      <c r="G11526" s="94" t="inlineStr">
        <is>
          <t>스킨팩 화장솜 60P</t>
        </is>
      </c>
      <c r="H11526" s="94" t="n">
        <v>200801</v>
      </c>
      <c r="I11526" s="94" t="n">
        <v>200801</v>
      </c>
      <c r="K11526" s="6" t="n">
        <v>4</v>
      </c>
      <c r="L11526" s="94" t="n">
        <v>200801</v>
      </c>
      <c r="M11526" s="94">
        <f>VLOOKUP($Q11526,매칭테이블!$F:$I,2,0)*K11526</f>
        <v/>
      </c>
      <c r="N11526" s="94">
        <f>M11526-M11526*VLOOKUP($Q11526,매칭테이블!$F:$I,3,0)</f>
        <v/>
      </c>
      <c r="O11526" s="94">
        <f>VLOOKUP($Q11526,매칭테이블!$F:$I,4,0)*K11526</f>
        <v/>
      </c>
      <c r="P11526" s="148">
        <f>M11526/1.1</f>
        <v/>
      </c>
      <c r="Q11526" s="94">
        <f>F11526&amp;E11526&amp;G11526&amp;L11526</f>
        <v/>
      </c>
    </row>
    <row r="11527" customFormat="1" s="94">
      <c r="B11527" s="128" t="n">
        <v>44166</v>
      </c>
      <c r="C11527" s="94">
        <f>TEXT(B11527,"aaa")</f>
        <v/>
      </c>
      <c r="E11527" s="94" t="inlineStr">
        <is>
          <t>앰플</t>
        </is>
      </c>
      <c r="F11527" s="94" t="inlineStr">
        <is>
          <t>아누아 CS</t>
        </is>
      </c>
      <c r="G11527" s="94" t="inlineStr">
        <is>
          <t>앰플 30ml</t>
        </is>
      </c>
      <c r="H11527" s="94" t="n">
        <v>200801</v>
      </c>
      <c r="I11527" s="94" t="n">
        <v>200801</v>
      </c>
      <c r="K11527" s="6" t="n">
        <v>2</v>
      </c>
      <c r="L11527" s="94" t="n">
        <v>200801</v>
      </c>
      <c r="M11527" s="94">
        <f>VLOOKUP($Q11527,매칭테이블!$F:$I,2,0)*K11527</f>
        <v/>
      </c>
      <c r="N11527" s="94">
        <f>M11527-M11527*VLOOKUP($Q11527,매칭테이블!$F:$I,3,0)</f>
        <v/>
      </c>
      <c r="O11527" s="94">
        <f>VLOOKUP($Q11527,매칭테이블!$F:$I,4,0)*K11527</f>
        <v/>
      </c>
      <c r="P11527" s="148">
        <f>M11527/1.1</f>
        <v/>
      </c>
      <c r="Q11527" s="94">
        <f>F11527&amp;E11527&amp;G11527&amp;L11527</f>
        <v/>
      </c>
    </row>
    <row r="11528" customFormat="1" s="94">
      <c r="B11528" s="128" t="n">
        <v>44166</v>
      </c>
      <c r="C11528" s="94">
        <f>TEXT(B11528,"aaa")</f>
        <v/>
      </c>
      <c r="E11528" s="94" t="inlineStr">
        <is>
          <t>마스크팩</t>
        </is>
      </c>
      <c r="F11528" s="94" t="inlineStr">
        <is>
          <t>아누아 CS</t>
        </is>
      </c>
      <c r="G11528" s="94" t="inlineStr">
        <is>
          <t>마스크팩 1매</t>
        </is>
      </c>
      <c r="H11528" s="94" t="n">
        <v>200801</v>
      </c>
      <c r="I11528" s="94" t="n">
        <v>200801</v>
      </c>
      <c r="K11528" s="6" t="n">
        <v>5</v>
      </c>
      <c r="L11528" s="94" t="n">
        <v>200801</v>
      </c>
      <c r="M11528" s="94">
        <f>VLOOKUP($Q11528,매칭테이블!$F:$I,2,0)*K11528</f>
        <v/>
      </c>
      <c r="N11528" s="94">
        <f>M11528-M11528*VLOOKUP($Q11528,매칭테이블!$F:$I,3,0)</f>
        <v/>
      </c>
      <c r="O11528" s="94">
        <f>VLOOKUP($Q11528,매칭테이블!$F:$I,4,0)*K11528</f>
        <v/>
      </c>
      <c r="P11528" s="148">
        <f>M11528/1.1</f>
        <v/>
      </c>
      <c r="Q11528" s="94">
        <f>F11528&amp;E11528&amp;G11528&amp;L11528</f>
        <v/>
      </c>
    </row>
    <row r="11529" customFormat="1" s="94">
      <c r="B11529" s="128" t="n">
        <v>44166</v>
      </c>
      <c r="C11529" s="94">
        <f>TEXT(B11529,"aaa")</f>
        <v/>
      </c>
      <c r="E11529" s="94" t="inlineStr">
        <is>
          <t>마스크팩</t>
        </is>
      </c>
      <c r="F11529" s="94" t="inlineStr">
        <is>
          <t>아누아 CS</t>
        </is>
      </c>
      <c r="G11529" s="94" t="inlineStr">
        <is>
          <t>마스크팩 10매</t>
        </is>
      </c>
      <c r="H11529" s="94" t="n">
        <v>200801</v>
      </c>
      <c r="I11529" s="94" t="n">
        <v>200801</v>
      </c>
      <c r="K11529" s="6" t="n">
        <v>1</v>
      </c>
      <c r="L11529" s="94" t="n">
        <v>200801</v>
      </c>
      <c r="M11529" s="94">
        <f>VLOOKUP($Q11529,매칭테이블!$F:$I,2,0)*K11529</f>
        <v/>
      </c>
      <c r="N11529" s="94">
        <f>M11529-M11529*VLOOKUP($Q11529,매칭테이블!$F:$I,3,0)</f>
        <v/>
      </c>
      <c r="O11529" s="94">
        <f>VLOOKUP($Q11529,매칭테이블!$F:$I,4,0)*K11529</f>
        <v/>
      </c>
      <c r="P11529" s="148">
        <f>M11529/1.1</f>
        <v/>
      </c>
      <c r="Q11529" s="94">
        <f>F11529&amp;E11529&amp;G11529&amp;L11529</f>
        <v/>
      </c>
    </row>
    <row r="11530" customFormat="1" s="94">
      <c r="B11530" s="128" t="n">
        <v>44166</v>
      </c>
      <c r="C11530" s="94">
        <f>TEXT(B11530,"aaa")</f>
        <v/>
      </c>
      <c r="E11530" s="94" t="inlineStr">
        <is>
          <t>카밍크림</t>
        </is>
      </c>
      <c r="F11530" s="94" t="inlineStr">
        <is>
          <t>아누아 CS</t>
        </is>
      </c>
      <c r="G11530" s="94" t="inlineStr">
        <is>
          <t xml:space="preserve">	어성초 70 인텐스 카밍 크림 50ml</t>
        </is>
      </c>
      <c r="H11530" s="94" t="n">
        <v>200801</v>
      </c>
      <c r="I11530" s="94" t="n">
        <v>200801</v>
      </c>
      <c r="K11530" s="6" t="n">
        <v>2</v>
      </c>
      <c r="L11530" s="94" t="n">
        <v>200801</v>
      </c>
      <c r="M11530" s="94">
        <f>VLOOKUP($Q11530,매칭테이블!$F:$I,2,0)*K11530</f>
        <v/>
      </c>
      <c r="N11530" s="94">
        <f>M11530-M11530*VLOOKUP($Q11530,매칭테이블!$F:$I,3,0)</f>
        <v/>
      </c>
      <c r="O11530" s="94">
        <f>VLOOKUP($Q11530,매칭테이블!$F:$I,4,0)*K11530</f>
        <v/>
      </c>
      <c r="P11530" s="148">
        <f>M11530/1.1</f>
        <v/>
      </c>
      <c r="Q11530" s="94">
        <f>F11530&amp;E11530&amp;G11530&amp;L11530</f>
        <v/>
      </c>
    </row>
    <row r="11531" customFormat="1" s="94">
      <c r="B11531" s="128" t="n">
        <v>44166</v>
      </c>
      <c r="C11531" s="94">
        <f>TEXT(B11531,"aaa")</f>
        <v/>
      </c>
      <c r="E11531" s="94" t="inlineStr">
        <is>
          <t>크림마스크</t>
        </is>
      </c>
      <c r="F11531" s="94" t="inlineStr">
        <is>
          <t>아누아 CS</t>
        </is>
      </c>
      <c r="G11531" s="94" t="inlineStr">
        <is>
          <t>어성초 크림마스크 나이트 솔루션 1매</t>
        </is>
      </c>
      <c r="H11531" s="94" t="n">
        <v>200801</v>
      </c>
      <c r="I11531" s="94" t="n">
        <v>200801</v>
      </c>
      <c r="K11531" s="6" t="n">
        <v>5</v>
      </c>
      <c r="L11531" s="94" t="n">
        <v>200801</v>
      </c>
      <c r="M11531" s="94">
        <f>VLOOKUP($Q11531,매칭테이블!$F:$I,2,0)*K11531</f>
        <v/>
      </c>
      <c r="N11531" s="94">
        <f>M11531-M11531*VLOOKUP($Q11531,매칭테이블!$F:$I,3,0)</f>
        <v/>
      </c>
      <c r="O11531" s="94">
        <f>VLOOKUP($Q11531,매칭테이블!$F:$I,4,0)*K11531</f>
        <v/>
      </c>
      <c r="P11531" s="148">
        <f>M11531/1.1</f>
        <v/>
      </c>
      <c r="Q11531" s="94">
        <f>F11531&amp;E11531&amp;G11531&amp;L11531</f>
        <v/>
      </c>
    </row>
    <row r="11532" customFormat="1" s="94">
      <c r="B11532" s="128" t="n">
        <v>44166</v>
      </c>
      <c r="C11532" s="94">
        <f>TEXT(B11532,"aaa")</f>
        <v/>
      </c>
      <c r="E11532" s="94" t="inlineStr">
        <is>
          <t>크림마스크</t>
        </is>
      </c>
      <c r="F11532" s="94" t="inlineStr">
        <is>
          <t>아누아 CS</t>
        </is>
      </c>
      <c r="G11532" s="94" t="inlineStr">
        <is>
          <t>어성초 크림마스크 나이트 솔루션 10매</t>
        </is>
      </c>
      <c r="H11532" s="94" t="n">
        <v>200801</v>
      </c>
      <c r="I11532" s="94" t="n">
        <v>200801</v>
      </c>
      <c r="K11532" s="6" t="n">
        <v>1</v>
      </c>
      <c r="L11532" s="94" t="n">
        <v>200801</v>
      </c>
      <c r="M11532" s="94">
        <f>VLOOKUP($Q11532,매칭테이블!$F:$I,2,0)*K11532</f>
        <v/>
      </c>
      <c r="N11532" s="94">
        <f>M11532-M11532*VLOOKUP($Q11532,매칭테이블!$F:$I,3,0)</f>
        <v/>
      </c>
      <c r="O11532" s="94">
        <f>VLOOKUP($Q11532,매칭테이블!$F:$I,4,0)*K11532</f>
        <v/>
      </c>
      <c r="P11532" s="148">
        <f>M11532/1.1</f>
        <v/>
      </c>
      <c r="Q11532" s="94">
        <f>F11532&amp;E11532&amp;G11532&amp;L11532</f>
        <v/>
      </c>
    </row>
    <row r="11533" customFormat="1" s="94">
      <c r="B11533" s="128" t="n">
        <v>44166</v>
      </c>
      <c r="C11533" s="94">
        <f>TEXT(B11533,"aaa")</f>
        <v/>
      </c>
      <c r="E11533" s="94" t="inlineStr">
        <is>
          <t>선크림</t>
        </is>
      </c>
      <c r="F11533" s="94" t="inlineStr">
        <is>
          <t>카페24</t>
        </is>
      </c>
      <c r="G11533" s="94" t="inlineStr">
        <is>
          <t>선크림 50ml</t>
        </is>
      </c>
      <c r="H11533" s="94" t="n">
        <v>200801</v>
      </c>
      <c r="I11533" s="94" t="n">
        <v>200801</v>
      </c>
      <c r="K11533" s="6" t="n">
        <v>4</v>
      </c>
      <c r="L11533" s="94" t="n">
        <v>200801</v>
      </c>
      <c r="M11533" s="94">
        <f>VLOOKUP($Q11533,매칭테이블!$F:$I,2,0)*K11533</f>
        <v/>
      </c>
      <c r="N11533" s="94">
        <f>M11533-M11533*VLOOKUP($Q11533,매칭테이블!$F:$I,3,0)</f>
        <v/>
      </c>
      <c r="O11533" s="94">
        <f>VLOOKUP($Q11533,매칭테이블!$F:$I,4,0)*K11533</f>
        <v/>
      </c>
      <c r="P11533" s="148">
        <f>M11533/1.1</f>
        <v/>
      </c>
      <c r="Q11533" s="94">
        <f>F11533&amp;E11533&amp;G11533&amp;L11533</f>
        <v/>
      </c>
    </row>
    <row r="11534" customFormat="1" s="94">
      <c r="B11534" s="128" t="n">
        <v>44166</v>
      </c>
      <c r="C11534" s="94">
        <f>TEXT(B11534,"aaa")</f>
        <v/>
      </c>
      <c r="E11534" s="94" t="inlineStr">
        <is>
          <t>선크림</t>
        </is>
      </c>
      <c r="F11534" s="94" t="inlineStr">
        <is>
          <t>카페24</t>
        </is>
      </c>
      <c r="G11534" s="94" t="inlineStr">
        <is>
          <t>선크림 50ml  2set</t>
        </is>
      </c>
      <c r="H11534" s="94" t="n">
        <v>200801</v>
      </c>
      <c r="I11534" s="94" t="n">
        <v>200801</v>
      </c>
      <c r="K11534" s="6" t="n">
        <v>1</v>
      </c>
      <c r="L11534" s="94" t="n">
        <v>200801</v>
      </c>
      <c r="M11534" s="94">
        <f>VLOOKUP($Q11534,매칭테이블!$F:$I,2,0)*K11534</f>
        <v/>
      </c>
      <c r="N11534" s="94">
        <f>M11534-M11534*VLOOKUP($Q11534,매칭테이블!$F:$I,3,0)</f>
        <v/>
      </c>
      <c r="O11534" s="94">
        <f>VLOOKUP($Q11534,매칭테이블!$F:$I,4,0)*K11534</f>
        <v/>
      </c>
      <c r="P11534" s="148">
        <f>M11534/1.1</f>
        <v/>
      </c>
      <c r="Q11534" s="94">
        <f>F11534&amp;E11534&amp;G11534&amp;L11534</f>
        <v/>
      </c>
    </row>
    <row r="11535" customFormat="1" s="94">
      <c r="B11535" s="128" t="n">
        <v>44166</v>
      </c>
      <c r="C11535" s="94">
        <f>TEXT(B11535,"aaa")</f>
        <v/>
      </c>
      <c r="E11535" s="94" t="inlineStr">
        <is>
          <t>크림마스크</t>
        </is>
      </c>
      <c r="F11535" s="94" t="inlineStr">
        <is>
          <t>카페24</t>
        </is>
      </c>
      <c r="G11535" s="94" t="inlineStr">
        <is>
          <t>옵션=어성초 크림마스크 나이트 솔루션 1장</t>
        </is>
      </c>
      <c r="H11535" s="94" t="n">
        <v>200801</v>
      </c>
      <c r="I11535" s="94" t="n">
        <v>200801</v>
      </c>
      <c r="K11535" s="6" t="n">
        <v>1</v>
      </c>
      <c r="L11535" s="94" t="n">
        <v>200801</v>
      </c>
      <c r="M11535" s="94">
        <f>VLOOKUP($Q11535,매칭테이블!$F:$I,2,0)*K11535</f>
        <v/>
      </c>
      <c r="N11535" s="94">
        <f>M11535-M11535*VLOOKUP($Q11535,매칭테이블!$F:$I,3,0)</f>
        <v/>
      </c>
      <c r="O11535" s="94">
        <f>VLOOKUP($Q11535,매칭테이블!$F:$I,4,0)*K11535</f>
        <v/>
      </c>
      <c r="P11535" s="148">
        <f>M11535/1.1</f>
        <v/>
      </c>
      <c r="Q11535" s="94">
        <f>F11535&amp;E11535&amp;G11535&amp;L11535</f>
        <v/>
      </c>
    </row>
    <row r="11536" customFormat="1" s="94">
      <c r="B11536" s="128" t="n">
        <v>44166</v>
      </c>
      <c r="C11536" s="94">
        <f>TEXT(B11536,"aaa")</f>
        <v/>
      </c>
      <c r="E11536" s="94" t="inlineStr">
        <is>
          <t>크림마스크</t>
        </is>
      </c>
      <c r="F11536" s="94" t="inlineStr">
        <is>
          <t>카페24</t>
        </is>
      </c>
      <c r="G11536" s="94" t="inlineStr">
        <is>
          <t>옵션=어성초 크림마스크 나이트 솔루션 10장</t>
        </is>
      </c>
      <c r="H11536" s="94" t="n">
        <v>200801</v>
      </c>
      <c r="I11536" s="94" t="n">
        <v>200801</v>
      </c>
      <c r="K11536" s="6" t="n">
        <v>3</v>
      </c>
      <c r="L11536" s="94" t="n">
        <v>200801</v>
      </c>
      <c r="M11536" s="94">
        <f>VLOOKUP($Q11536,매칭테이블!$F:$I,2,0)*K11536</f>
        <v/>
      </c>
      <c r="N11536" s="94">
        <f>M11536-M11536*VLOOKUP($Q11536,매칭테이블!$F:$I,3,0)</f>
        <v/>
      </c>
      <c r="O11536" s="94">
        <f>VLOOKUP($Q11536,매칭테이블!$F:$I,4,0)*K11536</f>
        <v/>
      </c>
      <c r="P11536" s="148">
        <f>M11536/1.1</f>
        <v/>
      </c>
      <c r="Q11536" s="94">
        <f>F11536&amp;E11536&amp;G11536&amp;L11536</f>
        <v/>
      </c>
    </row>
    <row r="11537" customFormat="1" s="94">
      <c r="B11537" s="128" t="n">
        <v>44166</v>
      </c>
      <c r="C11537" s="94">
        <f>TEXT(B11537,"aaa")</f>
        <v/>
      </c>
      <c r="E11537" s="94" t="inlineStr">
        <is>
          <t>카밍크림</t>
        </is>
      </c>
      <c r="F11537" s="94" t="inlineStr">
        <is>
          <t>카페24</t>
        </is>
      </c>
      <c r="G11537" s="94" t="inlineStr">
        <is>
          <t>크림=어성초 70 인텐스 카밍 크림 1개 (-20%)</t>
        </is>
      </c>
      <c r="H11537" s="94" t="n">
        <v>200801</v>
      </c>
      <c r="I11537" s="94" t="n">
        <v>200801</v>
      </c>
      <c r="K11537" s="6" t="n">
        <v>9</v>
      </c>
      <c r="L11537" s="94" t="n">
        <v>200801</v>
      </c>
      <c r="M11537" s="94">
        <f>VLOOKUP($Q11537,매칭테이블!$F:$I,2,0)*K11537</f>
        <v/>
      </c>
      <c r="N11537" s="94">
        <f>M11537-M11537*VLOOKUP($Q11537,매칭테이블!$F:$I,3,0)</f>
        <v/>
      </c>
      <c r="O11537" s="94">
        <f>VLOOKUP($Q11537,매칭테이블!$F:$I,4,0)*K11537</f>
        <v/>
      </c>
      <c r="P11537" s="148">
        <f>M11537/1.1</f>
        <v/>
      </c>
      <c r="Q11537" s="94">
        <f>F11537&amp;E11537&amp;G11537&amp;L11537</f>
        <v/>
      </c>
    </row>
    <row r="11538" customFormat="1" s="94">
      <c r="B11538" s="128" t="n">
        <v>44166</v>
      </c>
      <c r="C11538" s="94">
        <f>TEXT(B11538,"aaa")</f>
        <v/>
      </c>
      <c r="E11538" s="94" t="inlineStr">
        <is>
          <t>어성초진정패키지</t>
        </is>
      </c>
      <c r="F11538" s="94" t="inlineStr">
        <is>
          <t>카페24</t>
        </is>
      </c>
      <c r="G11538" s="94" t="inlineStr">
        <is>
          <t>어성초 진정패키지세트</t>
        </is>
      </c>
      <c r="H11538" s="94" t="n">
        <v>200801</v>
      </c>
      <c r="I11538" s="94" t="n">
        <v>200801</v>
      </c>
      <c r="K11538" s="6" t="n">
        <v>3</v>
      </c>
      <c r="L11538" s="94" t="n">
        <v>200801</v>
      </c>
      <c r="M11538" s="94">
        <f>VLOOKUP($Q11538,매칭테이블!$F:$I,2,0)*K11538</f>
        <v/>
      </c>
      <c r="N11538" s="94">
        <f>M11538-M11538*VLOOKUP($Q11538,매칭테이블!$F:$I,3,0)</f>
        <v/>
      </c>
      <c r="O11538" s="94">
        <f>VLOOKUP($Q11538,매칭테이블!$F:$I,4,0)*K11538</f>
        <v/>
      </c>
      <c r="P11538" s="148">
        <f>M11538/1.1</f>
        <v/>
      </c>
      <c r="Q11538" s="94">
        <f>F11538&amp;E11538&amp;G11538&amp;L11538</f>
        <v/>
      </c>
    </row>
    <row r="11539" customFormat="1" s="94">
      <c r="B11539" s="128" t="n">
        <v>44166</v>
      </c>
      <c r="C11539" s="94">
        <f>TEXT(B11539,"aaa")</f>
        <v/>
      </c>
      <c r="E11539" s="94" t="inlineStr">
        <is>
          <t>클리어 패드</t>
        </is>
      </c>
      <c r="F11539" s="94" t="inlineStr">
        <is>
          <t>카페24</t>
        </is>
      </c>
      <c r="G11539" s="94" t="inlineStr">
        <is>
          <t>어성초 77 클리어 패드 1개-20% off</t>
        </is>
      </c>
      <c r="H11539" s="94" t="n">
        <v>200801</v>
      </c>
      <c r="I11539" s="94" t="n">
        <v>200801</v>
      </c>
      <c r="K11539" s="6" t="n">
        <v>70</v>
      </c>
      <c r="L11539" s="94" t="n">
        <v>200801</v>
      </c>
      <c r="M11539" s="94">
        <f>VLOOKUP($Q11539,매칭테이블!$F:$I,2,0)*K11539</f>
        <v/>
      </c>
      <c r="N11539" s="94">
        <f>M11539-M11539*VLOOKUP($Q11539,매칭테이블!$F:$I,3,0)</f>
        <v/>
      </c>
      <c r="O11539" s="94">
        <f>VLOOKUP($Q11539,매칭테이블!$F:$I,4,0)*K11539</f>
        <v/>
      </c>
      <c r="P11539" s="148">
        <f>M11539/1.1</f>
        <v/>
      </c>
      <c r="Q11539" s="94">
        <f>F11539&amp;E11539&amp;G11539&amp;L11539</f>
        <v/>
      </c>
    </row>
    <row r="11540" customFormat="1" s="94">
      <c r="B11540" s="128" t="n">
        <v>44166</v>
      </c>
      <c r="C11540" s="94">
        <f>TEXT(B11540,"aaa")</f>
        <v/>
      </c>
      <c r="E11540" s="94" t="inlineStr">
        <is>
          <t>클리어 패드</t>
        </is>
      </c>
      <c r="F11540" s="94" t="inlineStr">
        <is>
          <t>카페24</t>
        </is>
      </c>
      <c r="G11540" s="94" t="inlineStr">
        <is>
          <t>어성초 77 클리어 패드 2개-30% off</t>
        </is>
      </c>
      <c r="H11540" s="94" t="n">
        <v>200801</v>
      </c>
      <c r="I11540" s="94" t="n">
        <v>200801</v>
      </c>
      <c r="K11540" s="6" t="n">
        <v>68</v>
      </c>
      <c r="L11540" s="94" t="n">
        <v>200801</v>
      </c>
      <c r="M11540" s="94">
        <f>VLOOKUP($Q11540,매칭테이블!$F:$I,2,0)*K11540</f>
        <v/>
      </c>
      <c r="N11540" s="94">
        <f>M11540-M11540*VLOOKUP($Q11540,매칭테이블!$F:$I,3,0)</f>
        <v/>
      </c>
      <c r="O11540" s="94">
        <f>VLOOKUP($Q11540,매칭테이블!$F:$I,4,0)*K11540</f>
        <v/>
      </c>
      <c r="P11540" s="148">
        <f>M11540/1.1</f>
        <v/>
      </c>
      <c r="Q11540" s="94">
        <f>F11540&amp;E11540&amp;G11540&amp;L11540</f>
        <v/>
      </c>
    </row>
    <row r="11541" customFormat="1" s="94">
      <c r="B11541" s="128" t="n">
        <v>44166</v>
      </c>
      <c r="C11541" s="94">
        <f>TEXT(B11541,"aaa")</f>
        <v/>
      </c>
      <c r="E11541" s="94" t="inlineStr">
        <is>
          <t>토너+패드 세트</t>
        </is>
      </c>
      <c r="F11541" s="94" t="inlineStr">
        <is>
          <t>카페24</t>
        </is>
      </c>
      <c r="G11541" s="94" t="inlineStr">
        <is>
          <t>좁쌀 진정 세트 토너+클리어 패드-30% off</t>
        </is>
      </c>
      <c r="H11541" s="94" t="n">
        <v>200801</v>
      </c>
      <c r="I11541" s="94" t="n">
        <v>200801</v>
      </c>
      <c r="K11541" s="6" t="n">
        <v>58</v>
      </c>
      <c r="L11541" s="94" t="n">
        <v>200801</v>
      </c>
      <c r="M11541" s="94">
        <f>VLOOKUP($Q11541,매칭테이블!$F:$I,2,0)*K11541</f>
        <v/>
      </c>
      <c r="N11541" s="94">
        <f>M11541-M11541*VLOOKUP($Q11541,매칭테이블!$F:$I,3,0)</f>
        <v/>
      </c>
      <c r="O11541" s="94">
        <f>VLOOKUP($Q11541,매칭테이블!$F:$I,4,0)*K11541</f>
        <v/>
      </c>
      <c r="P11541" s="148">
        <f>M11541/1.1</f>
        <v/>
      </c>
      <c r="Q11541" s="94">
        <f>F11541&amp;E11541&amp;G11541&amp;L11541</f>
        <v/>
      </c>
    </row>
    <row r="11542" customFormat="1" s="94">
      <c r="B11542" s="128" t="n">
        <v>44166</v>
      </c>
      <c r="C11542" s="94">
        <f>TEXT(B11542,"aaa")</f>
        <v/>
      </c>
      <c r="E11542" s="94" t="inlineStr">
        <is>
          <t>수분 보충 세트</t>
        </is>
      </c>
      <c r="F11542" s="94" t="inlineStr">
        <is>
          <t>카페24</t>
        </is>
      </c>
      <c r="G11542" s="94" t="inlineStr">
        <is>
          <t>[20/09/28 부터] 어성초 77 토너 250ml + 어성초 70 로션 200ml -30%</t>
        </is>
      </c>
      <c r="H11542" s="94" t="n">
        <v>200801</v>
      </c>
      <c r="I11542" s="94" t="n">
        <v>200801</v>
      </c>
      <c r="K11542" s="6" t="n">
        <v>48</v>
      </c>
      <c r="L11542" s="94" t="n">
        <v>200801</v>
      </c>
      <c r="M11542" s="94">
        <f>VLOOKUP($Q11542,매칭테이블!$F:$I,2,0)*K11542</f>
        <v/>
      </c>
      <c r="N11542" s="94">
        <f>M11542-M11542*VLOOKUP($Q11542,매칭테이블!$F:$I,3,0)</f>
        <v/>
      </c>
      <c r="O11542" s="94">
        <f>VLOOKUP($Q11542,매칭테이블!$F:$I,4,0)*K11542</f>
        <v/>
      </c>
      <c r="P11542" s="148">
        <f>M11542/1.1</f>
        <v/>
      </c>
      <c r="Q11542" s="94">
        <f>F11542&amp;E11542&amp;G11542&amp;L11542</f>
        <v/>
      </c>
    </row>
    <row r="11543" customFormat="1" s="94">
      <c r="B11543" s="128" t="n">
        <v>44166</v>
      </c>
      <c r="C11543" s="94">
        <f>TEXT(B11543,"aaa")</f>
        <v/>
      </c>
      <c r="E11543" s="94" t="inlineStr">
        <is>
          <t>로션</t>
        </is>
      </c>
      <c r="F11543" s="94" t="inlineStr">
        <is>
          <t>카페24</t>
        </is>
      </c>
      <c r="G11543" s="94" t="inlineStr">
        <is>
          <t>어성초 70 데일리 릴리프 로션 1개 -20% off</t>
        </is>
      </c>
      <c r="H11543" s="94" t="n">
        <v>200801</v>
      </c>
      <c r="I11543" s="94" t="n">
        <v>200801</v>
      </c>
      <c r="K11543" s="6" t="n">
        <v>10</v>
      </c>
      <c r="L11543" s="94" t="n">
        <v>200801</v>
      </c>
      <c r="M11543" s="94">
        <f>VLOOKUP($Q11543,매칭테이블!$F:$I,2,0)*K11543</f>
        <v/>
      </c>
      <c r="N11543" s="94">
        <f>M11543-M11543*VLOOKUP($Q11543,매칭테이블!$F:$I,3,0)</f>
        <v/>
      </c>
      <c r="O11543" s="94">
        <f>VLOOKUP($Q11543,매칭테이블!$F:$I,4,0)*K11543</f>
        <v/>
      </c>
      <c r="P11543" s="148">
        <f>M11543/1.1</f>
        <v/>
      </c>
      <c r="Q11543" s="94">
        <f>F11543&amp;E11543&amp;G11543&amp;L11543</f>
        <v/>
      </c>
    </row>
    <row r="11544" customFormat="1" s="94">
      <c r="B11544" s="128" t="n">
        <v>44166</v>
      </c>
      <c r="C11544" s="94">
        <f>TEXT(B11544,"aaa")</f>
        <v/>
      </c>
      <c r="E11544" s="94" t="inlineStr">
        <is>
          <t>로션</t>
        </is>
      </c>
      <c r="F11544" s="94" t="inlineStr">
        <is>
          <t>카페24</t>
        </is>
      </c>
      <c r="G11544" s="94" t="inlineStr">
        <is>
          <t>어성초 70 데일리 릴리프 로션 2개 -30% off</t>
        </is>
      </c>
      <c r="H11544" s="94" t="n">
        <v>200801</v>
      </c>
      <c r="I11544" s="94" t="n">
        <v>200801</v>
      </c>
      <c r="K11544" s="6" t="n">
        <v>4</v>
      </c>
      <c r="L11544" s="94" t="n">
        <v>200801</v>
      </c>
      <c r="M11544" s="94">
        <f>VLOOKUP($Q11544,매칭테이블!$F:$I,2,0)*K11544</f>
        <v/>
      </c>
      <c r="N11544" s="94">
        <f>M11544-M11544*VLOOKUP($Q11544,매칭테이블!$F:$I,3,0)</f>
        <v/>
      </c>
      <c r="O11544" s="94">
        <f>VLOOKUP($Q11544,매칭테이블!$F:$I,4,0)*K11544</f>
        <v/>
      </c>
      <c r="P11544" s="148">
        <f>M11544/1.1</f>
        <v/>
      </c>
      <c r="Q11544" s="94">
        <f>F11544&amp;E11544&amp;G11544&amp;L11544</f>
        <v/>
      </c>
    </row>
    <row r="11545" customFormat="1" s="94">
      <c r="B11545" s="128" t="n">
        <v>44166</v>
      </c>
      <c r="C11545" s="94">
        <f>TEXT(B11545,"aaa")</f>
        <v/>
      </c>
      <c r="E11545" s="94" t="inlineStr">
        <is>
          <t>머드크림마스크</t>
        </is>
      </c>
      <c r="F11545" s="94" t="inlineStr">
        <is>
          <t>카페24</t>
        </is>
      </c>
      <c r="G11545" s="94" t="inlineStr">
        <is>
          <t>머드크림마스크 100ml</t>
        </is>
      </c>
      <c r="H11545" s="94" t="n">
        <v>200801</v>
      </c>
      <c r="I11545" s="94" t="n">
        <v>200801</v>
      </c>
      <c r="K11545" s="6" t="n">
        <v>3</v>
      </c>
      <c r="L11545" s="94" t="n">
        <v>200801</v>
      </c>
      <c r="M11545" s="94">
        <f>VLOOKUP($Q11545,매칭테이블!$F:$I,2,0)*K11545</f>
        <v/>
      </c>
      <c r="N11545" s="94">
        <f>M11545-M11545*VLOOKUP($Q11545,매칭테이블!$F:$I,3,0)</f>
        <v/>
      </c>
      <c r="O11545" s="94">
        <f>VLOOKUP($Q11545,매칭테이블!$F:$I,4,0)*K11545</f>
        <v/>
      </c>
      <c r="P11545" s="148">
        <f>M11545/1.1</f>
        <v/>
      </c>
      <c r="Q11545" s="94">
        <f>F11545&amp;E11545&amp;G11545&amp;L11545</f>
        <v/>
      </c>
    </row>
    <row r="11546" customFormat="1" s="94">
      <c r="B11546" s="128" t="n">
        <v>44166</v>
      </c>
      <c r="C11546" s="94">
        <f>TEXT(B11546,"aaa")</f>
        <v/>
      </c>
      <c r="E11546" s="94" t="inlineStr">
        <is>
          <t>마스크팩</t>
        </is>
      </c>
      <c r="F11546" s="94" t="inlineStr">
        <is>
          <t>카페24</t>
        </is>
      </c>
      <c r="G11546" s="94" t="inlineStr">
        <is>
          <t>마스크팩 1매</t>
        </is>
      </c>
      <c r="H11546" s="94" t="n">
        <v>200801</v>
      </c>
      <c r="I11546" s="94" t="n">
        <v>200801</v>
      </c>
      <c r="K11546" s="6" t="n">
        <v>5</v>
      </c>
      <c r="L11546" s="94" t="n">
        <v>200801</v>
      </c>
      <c r="M11546" s="94">
        <f>VLOOKUP($Q11546,매칭테이블!$F:$I,2,0)*K11546</f>
        <v/>
      </c>
      <c r="N11546" s="94">
        <f>M11546-M11546*VLOOKUP($Q11546,매칭테이블!$F:$I,3,0)</f>
        <v/>
      </c>
      <c r="O11546" s="94">
        <f>VLOOKUP($Q11546,매칭테이블!$F:$I,4,0)*K11546</f>
        <v/>
      </c>
      <c r="P11546" s="148">
        <f>M11546/1.1</f>
        <v/>
      </c>
      <c r="Q11546" s="94">
        <f>F11546&amp;E11546&amp;G11546&amp;L11546</f>
        <v/>
      </c>
    </row>
    <row r="11547" customFormat="1" s="94">
      <c r="B11547" s="128" t="n">
        <v>44166</v>
      </c>
      <c r="C11547" s="94">
        <f>TEXT(B11547,"aaa")</f>
        <v/>
      </c>
      <c r="E11547" s="94" t="inlineStr">
        <is>
          <t>마스크팩</t>
        </is>
      </c>
      <c r="F11547" s="94" t="inlineStr">
        <is>
          <t>카페24</t>
        </is>
      </c>
      <c r="G11547" s="94" t="inlineStr">
        <is>
          <t>마스크팩 10매</t>
        </is>
      </c>
      <c r="H11547" s="94" t="n">
        <v>200801</v>
      </c>
      <c r="I11547" s="94" t="n">
        <v>200801</v>
      </c>
      <c r="K11547" s="6" t="n">
        <v>12</v>
      </c>
      <c r="L11547" s="94" t="n">
        <v>200801</v>
      </c>
      <c r="M11547" s="94">
        <f>VLOOKUP($Q11547,매칭테이블!$F:$I,2,0)*K11547</f>
        <v/>
      </c>
      <c r="N11547" s="94">
        <f>M11547-M11547*VLOOKUP($Q11547,매칭테이블!$F:$I,3,0)</f>
        <v/>
      </c>
      <c r="O11547" s="94">
        <f>VLOOKUP($Q11547,매칭테이블!$F:$I,4,0)*K11547</f>
        <v/>
      </c>
      <c r="P11547" s="148">
        <f>M11547/1.1</f>
        <v/>
      </c>
      <c r="Q11547" s="94">
        <f>F11547&amp;E11547&amp;G11547&amp;L11547</f>
        <v/>
      </c>
    </row>
    <row r="11548" customFormat="1" s="94">
      <c r="B11548" s="128" t="n">
        <v>44166</v>
      </c>
      <c r="C11548" s="94">
        <f>TEXT(B11548,"aaa")</f>
        <v/>
      </c>
      <c r="E11548" s="94" t="inlineStr">
        <is>
          <t>토너</t>
        </is>
      </c>
      <c r="F11548" s="94" t="inlineStr">
        <is>
          <t>카페24</t>
        </is>
      </c>
      <c r="G11548" s="94" t="inlineStr">
        <is>
          <t>250ml</t>
        </is>
      </c>
      <c r="H11548" s="94" t="n">
        <v>200801</v>
      </c>
      <c r="I11548" s="94" t="n">
        <v>200801</v>
      </c>
      <c r="K11548" s="6" t="n">
        <v>87</v>
      </c>
      <c r="L11548" s="94" t="n">
        <v>200801</v>
      </c>
      <c r="M11548" s="94">
        <f>VLOOKUP($Q11548,매칭테이블!$F:$I,2,0)*K11548</f>
        <v/>
      </c>
      <c r="N11548" s="94">
        <f>M11548-M11548*VLOOKUP($Q11548,매칭테이블!$F:$I,3,0)</f>
        <v/>
      </c>
      <c r="O11548" s="94">
        <f>VLOOKUP($Q11548,매칭테이블!$F:$I,4,0)*K11548</f>
        <v/>
      </c>
      <c r="P11548" s="148">
        <f>M11548/1.1</f>
        <v/>
      </c>
      <c r="Q11548" s="94">
        <f>F11548&amp;E11548&amp;G11548&amp;L11548</f>
        <v/>
      </c>
    </row>
    <row r="11549" customFormat="1" s="94">
      <c r="B11549" s="128" t="n">
        <v>44166</v>
      </c>
      <c r="C11549" s="94">
        <f>TEXT(B11549,"aaa")</f>
        <v/>
      </c>
      <c r="E11549" s="94" t="inlineStr">
        <is>
          <t>토너</t>
        </is>
      </c>
      <c r="F11549" s="94" t="inlineStr">
        <is>
          <t>카페24</t>
        </is>
      </c>
      <c r="G11549" s="94" t="inlineStr">
        <is>
          <t>250ml 2set</t>
        </is>
      </c>
      <c r="H11549" s="94" t="n">
        <v>200801</v>
      </c>
      <c r="I11549" s="94" t="n">
        <v>200801</v>
      </c>
      <c r="K11549" s="6" t="n">
        <v>33</v>
      </c>
      <c r="L11549" s="94" t="n">
        <v>200801</v>
      </c>
      <c r="M11549" s="94">
        <f>VLOOKUP($Q11549,매칭테이블!$F:$I,2,0)*K11549</f>
        <v/>
      </c>
      <c r="N11549" s="94">
        <f>M11549-M11549*VLOOKUP($Q11549,매칭테이블!$F:$I,3,0)</f>
        <v/>
      </c>
      <c r="O11549" s="94">
        <f>VLOOKUP($Q11549,매칭테이블!$F:$I,4,0)*K11549</f>
        <v/>
      </c>
      <c r="P11549" s="148">
        <f>M11549/1.1</f>
        <v/>
      </c>
      <c r="Q11549" s="94">
        <f>F11549&amp;E11549&amp;G11549&amp;L11549</f>
        <v/>
      </c>
    </row>
    <row r="11550" customFormat="1" s="94">
      <c r="B11550" s="128" t="n">
        <v>44166</v>
      </c>
      <c r="C11550" s="94">
        <f>TEXT(B11550,"aaa")</f>
        <v/>
      </c>
      <c r="E11550" s="94" t="inlineStr">
        <is>
          <t>토너</t>
        </is>
      </c>
      <c r="F11550" s="94" t="inlineStr">
        <is>
          <t>카페24</t>
        </is>
      </c>
      <c r="G11550" s="94" t="inlineStr">
        <is>
          <t>500ml</t>
        </is>
      </c>
      <c r="H11550" s="94" t="n">
        <v>200801</v>
      </c>
      <c r="I11550" s="94" t="n">
        <v>200801</v>
      </c>
      <c r="K11550" s="6" t="n">
        <v>50</v>
      </c>
      <c r="L11550" s="94" t="n">
        <v>200801</v>
      </c>
      <c r="M11550" s="94">
        <f>VLOOKUP($Q11550,매칭테이블!$F:$I,2,0)*K11550</f>
        <v/>
      </c>
      <c r="N11550" s="94">
        <f>M11550-M11550*VLOOKUP($Q11550,매칭테이블!$F:$I,3,0)</f>
        <v/>
      </c>
      <c r="O11550" s="94">
        <f>VLOOKUP($Q11550,매칭테이블!$F:$I,4,0)*K11550</f>
        <v/>
      </c>
      <c r="P11550" s="148">
        <f>M11550/1.1</f>
        <v/>
      </c>
      <c r="Q11550" s="94">
        <f>F11550&amp;E11550&amp;G11550&amp;L11550</f>
        <v/>
      </c>
    </row>
    <row r="11551" customFormat="1" s="94">
      <c r="B11551" s="128" t="n">
        <v>44166</v>
      </c>
      <c r="C11551" s="94">
        <f>TEXT(B11551,"aaa")</f>
        <v/>
      </c>
      <c r="E11551" s="94" t="inlineStr">
        <is>
          <t>토너</t>
        </is>
      </c>
      <c r="F11551" s="94" t="inlineStr">
        <is>
          <t>카페24</t>
        </is>
      </c>
      <c r="G11551" s="94" t="inlineStr">
        <is>
          <t>스킨팩 화장솜 60P</t>
        </is>
      </c>
      <c r="H11551" s="94" t="n">
        <v>200801</v>
      </c>
      <c r="I11551" s="94" t="n">
        <v>200801</v>
      </c>
      <c r="K11551" s="6" t="n">
        <v>90</v>
      </c>
      <c r="L11551" s="94" t="n">
        <v>200801</v>
      </c>
      <c r="M11551" s="94">
        <f>VLOOKUP($Q11551,매칭테이블!$F:$I,2,0)*K11551</f>
        <v/>
      </c>
      <c r="N11551" s="94">
        <f>M11551-M11551*VLOOKUP($Q11551,매칭테이블!$F:$I,3,0)</f>
        <v/>
      </c>
      <c r="O11551" s="94">
        <f>VLOOKUP($Q11551,매칭테이블!$F:$I,4,0)*K11551</f>
        <v/>
      </c>
      <c r="P11551" s="148">
        <f>M11551/1.1</f>
        <v/>
      </c>
      <c r="Q11551" s="94">
        <f>F11551&amp;E11551&amp;G11551&amp;L11551</f>
        <v/>
      </c>
    </row>
    <row r="11552" customFormat="1" s="94">
      <c r="B11552" s="128" t="n">
        <v>44166</v>
      </c>
      <c r="C11552" s="94">
        <f>TEXT(B11552,"aaa")</f>
        <v/>
      </c>
      <c r="E11552" s="94" t="inlineStr">
        <is>
          <t>앰플</t>
        </is>
      </c>
      <c r="F11552" s="94" t="inlineStr">
        <is>
          <t>카페24</t>
        </is>
      </c>
      <c r="G11552" s="94" t="inlineStr">
        <is>
          <t>앰플 30ml</t>
        </is>
      </c>
      <c r="H11552" s="94" t="n">
        <v>200801</v>
      </c>
      <c r="I11552" s="94" t="n">
        <v>200801</v>
      </c>
      <c r="K11552" s="6" t="n">
        <v>34</v>
      </c>
      <c r="L11552" s="94" t="n">
        <v>200801</v>
      </c>
      <c r="M11552" s="94">
        <f>VLOOKUP($Q11552,매칭테이블!$F:$I,2,0)*K11552</f>
        <v/>
      </c>
      <c r="N11552" s="94">
        <f>M11552-M11552*VLOOKUP($Q11552,매칭테이블!$F:$I,3,0)</f>
        <v/>
      </c>
      <c r="O11552" s="94">
        <f>VLOOKUP($Q11552,매칭테이블!$F:$I,4,0)*K11552</f>
        <v/>
      </c>
      <c r="P11552" s="148">
        <f>M11552/1.1</f>
        <v/>
      </c>
      <c r="Q11552" s="94">
        <f>F11552&amp;E11552&amp;G11552&amp;L11552</f>
        <v/>
      </c>
    </row>
    <row r="11553" customFormat="1" s="94">
      <c r="B11553" s="128" t="n">
        <v>44166</v>
      </c>
      <c r="C11553" s="94">
        <f>TEXT(B11553,"aaa")</f>
        <v/>
      </c>
      <c r="E11553" s="94" t="inlineStr">
        <is>
          <t>앰플</t>
        </is>
      </c>
      <c r="F11553" s="94" t="inlineStr">
        <is>
          <t>카페24</t>
        </is>
      </c>
      <c r="G11553" s="94" t="inlineStr">
        <is>
          <t>앰플 30ml  2set</t>
        </is>
      </c>
      <c r="H11553" s="94" t="n">
        <v>200801</v>
      </c>
      <c r="I11553" s="94" t="n">
        <v>200801</v>
      </c>
      <c r="K11553" s="6" t="n">
        <v>11</v>
      </c>
      <c r="L11553" s="94" t="n">
        <v>200801</v>
      </c>
      <c r="M11553" s="94">
        <f>VLOOKUP($Q11553,매칭테이블!$F:$I,2,0)*K11553</f>
        <v/>
      </c>
      <c r="N11553" s="94">
        <f>M11553-M11553*VLOOKUP($Q11553,매칭테이블!$F:$I,3,0)</f>
        <v/>
      </c>
      <c r="O11553" s="94">
        <f>VLOOKUP($Q11553,매칭테이블!$F:$I,4,0)*K11553</f>
        <v/>
      </c>
      <c r="P11553" s="148">
        <f>M11553/1.1</f>
        <v/>
      </c>
      <c r="Q11553" s="94">
        <f>F11553&amp;E11553&amp;G11553&amp;L11553</f>
        <v/>
      </c>
    </row>
    <row r="11554" customFormat="1" s="94">
      <c r="B11554" s="128" t="n">
        <v>44166</v>
      </c>
      <c r="C11554" s="94">
        <f>TEXT(B11554,"aaa")</f>
        <v/>
      </c>
      <c r="E11554" s="94" t="inlineStr">
        <is>
          <t>수딩크림</t>
        </is>
      </c>
      <c r="F11554" s="94" t="inlineStr">
        <is>
          <t>카페24</t>
        </is>
      </c>
      <c r="G11554" s="94" t="inlineStr">
        <is>
          <t>수딩크림 100ml</t>
        </is>
      </c>
      <c r="H11554" s="94" t="n">
        <v>200801</v>
      </c>
      <c r="I11554" s="94" t="n">
        <v>200801</v>
      </c>
      <c r="K11554" s="6" t="n">
        <v>15</v>
      </c>
      <c r="L11554" s="94" t="n">
        <v>200801</v>
      </c>
      <c r="M11554" s="94">
        <f>VLOOKUP($Q11554,매칭테이블!$F:$I,2,0)*K11554</f>
        <v/>
      </c>
      <c r="N11554" s="94">
        <f>M11554-M11554*VLOOKUP($Q11554,매칭테이블!$F:$I,3,0)</f>
        <v/>
      </c>
      <c r="O11554" s="94">
        <f>VLOOKUP($Q11554,매칭테이블!$F:$I,4,0)*K11554</f>
        <v/>
      </c>
      <c r="P11554" s="148">
        <f>M11554/1.1</f>
        <v/>
      </c>
      <c r="Q11554" s="94">
        <f>F11554&amp;E11554&amp;G11554&amp;L11554</f>
        <v/>
      </c>
    </row>
    <row r="11555" customFormat="1" s="94">
      <c r="B11555" s="128" t="n">
        <v>44166</v>
      </c>
      <c r="C11555" s="94">
        <f>TEXT(B11555,"aaa")</f>
        <v/>
      </c>
      <c r="E11555" s="94" t="inlineStr">
        <is>
          <t>클렌징폼</t>
        </is>
      </c>
      <c r="F11555" s="94" t="inlineStr">
        <is>
          <t>카페24</t>
        </is>
      </c>
      <c r="G11555" s="94" t="inlineStr">
        <is>
          <t>클렌징폼 120ml</t>
        </is>
      </c>
      <c r="H11555" s="94" t="n">
        <v>200801</v>
      </c>
      <c r="I11555" s="94" t="n">
        <v>200801</v>
      </c>
      <c r="K11555" s="6" t="n">
        <v>19</v>
      </c>
      <c r="L11555" s="94" t="n">
        <v>200801</v>
      </c>
      <c r="M11555" s="94">
        <f>VLOOKUP($Q11555,매칭테이블!$F:$I,2,0)*K11555</f>
        <v/>
      </c>
      <c r="N11555" s="94">
        <f>M11555-M11555*VLOOKUP($Q11555,매칭테이블!$F:$I,3,0)</f>
        <v/>
      </c>
      <c r="O11555" s="94">
        <f>VLOOKUP($Q11555,매칭테이블!$F:$I,4,0)*K11555</f>
        <v/>
      </c>
      <c r="P11555" s="148">
        <f>M11555/1.1</f>
        <v/>
      </c>
      <c r="Q11555" s="94">
        <f>F11555&amp;E11555&amp;G11555&amp;L11555</f>
        <v/>
      </c>
    </row>
    <row r="11556" customFormat="1" s="94">
      <c r="B11556" s="128" t="n">
        <v>44166</v>
      </c>
      <c r="C11556" s="94">
        <f>TEXT(B11556,"aaa")</f>
        <v/>
      </c>
      <c r="E11556" s="94" t="inlineStr">
        <is>
          <t>클렌징폼</t>
        </is>
      </c>
      <c r="F11556" s="94" t="inlineStr">
        <is>
          <t>카페24</t>
        </is>
      </c>
      <c r="G11556" s="94" t="inlineStr">
        <is>
          <t>클렌징폼 120ml 2set</t>
        </is>
      </c>
      <c r="H11556" s="94" t="n">
        <v>200801</v>
      </c>
      <c r="I11556" s="94" t="n">
        <v>200801</v>
      </c>
      <c r="K11556" s="6" t="n">
        <v>4</v>
      </c>
      <c r="L11556" s="94" t="n">
        <v>200801</v>
      </c>
      <c r="M11556" s="94">
        <f>VLOOKUP($Q11556,매칭테이블!$F:$I,2,0)*K11556</f>
        <v/>
      </c>
      <c r="N11556" s="94">
        <f>M11556-M11556*VLOOKUP($Q11556,매칭테이블!$F:$I,3,0)</f>
        <v/>
      </c>
      <c r="O11556" s="94">
        <f>VLOOKUP($Q11556,매칭테이블!$F:$I,4,0)*K11556</f>
        <v/>
      </c>
      <c r="P11556" s="148">
        <f>M11556/1.1</f>
        <v/>
      </c>
      <c r="Q11556" s="94">
        <f>F11556&amp;E11556&amp;G11556&amp;L11556</f>
        <v/>
      </c>
    </row>
    <row r="11557" customFormat="1" s="94">
      <c r="B11557" s="128" t="n">
        <v>44166</v>
      </c>
      <c r="C11557" s="94">
        <f>TEXT(B11557,"aaa")</f>
        <v/>
      </c>
      <c r="E11557" s="94" t="inlineStr">
        <is>
          <t>클렌징폼</t>
        </is>
      </c>
      <c r="F11557" s="94" t="inlineStr">
        <is>
          <t>카페24</t>
        </is>
      </c>
      <c r="G11557" s="94" t="inlineStr">
        <is>
          <t>클렌징폼 120ml 3set</t>
        </is>
      </c>
      <c r="H11557" s="94" t="n">
        <v>200801</v>
      </c>
      <c r="I11557" s="94" t="n">
        <v>200801</v>
      </c>
      <c r="K11557" s="6" t="n">
        <v>2</v>
      </c>
      <c r="L11557" s="94" t="n">
        <v>200801</v>
      </c>
      <c r="M11557" s="94">
        <f>VLOOKUP($Q11557,매칭테이블!$F:$I,2,0)*K11557</f>
        <v/>
      </c>
      <c r="N11557" s="94">
        <f>M11557-M11557*VLOOKUP($Q11557,매칭테이블!$F:$I,3,0)</f>
        <v/>
      </c>
      <c r="O11557" s="94">
        <f>VLOOKUP($Q11557,매칭테이블!$F:$I,4,0)*K11557</f>
        <v/>
      </c>
      <c r="P11557" s="148">
        <f>M11557/1.1</f>
        <v/>
      </c>
      <c r="Q11557" s="94">
        <f>F11557&amp;E11557&amp;G11557&amp;L11557</f>
        <v/>
      </c>
    </row>
    <row r="11558" customFormat="1" s="94">
      <c r="B11558" s="128" t="n">
        <v>44166</v>
      </c>
      <c r="C11558" s="94">
        <f>TEXT(B11558,"aaa")</f>
        <v/>
      </c>
      <c r="E11558" s="94" t="inlineStr">
        <is>
          <t>바디워시</t>
        </is>
      </c>
      <c r="F11558" s="94" t="inlineStr">
        <is>
          <t>카페24</t>
        </is>
      </c>
      <c r="G11558" s="94" t="inlineStr">
        <is>
          <t>바디워시 1개 -30% off</t>
        </is>
      </c>
      <c r="H11558" s="94" t="n">
        <v>200801</v>
      </c>
      <c r="I11558" s="94" t="n">
        <v>200801</v>
      </c>
      <c r="K11558" s="6" t="n">
        <v>5</v>
      </c>
      <c r="L11558" s="94" t="n">
        <v>200801</v>
      </c>
      <c r="M11558" s="94">
        <f>VLOOKUP($Q11558,매칭테이블!$F:$I,2,0)*K11558</f>
        <v/>
      </c>
      <c r="N11558" s="94">
        <f>M11558-M11558*VLOOKUP($Q11558,매칭테이블!$F:$I,3,0)</f>
        <v/>
      </c>
      <c r="O11558" s="94">
        <f>VLOOKUP($Q11558,매칭테이블!$F:$I,4,0)*K11558</f>
        <v/>
      </c>
      <c r="P11558" s="148">
        <f>M11558/1.1</f>
        <v/>
      </c>
      <c r="Q11558" s="94">
        <f>F11558&amp;E11558&amp;G11558&amp;L11558</f>
        <v/>
      </c>
    </row>
    <row r="11559" customFormat="1" s="94">
      <c r="B11559" s="128" t="n">
        <v>44166</v>
      </c>
      <c r="C11559" s="94">
        <f>TEXT(B11559,"aaa")</f>
        <v/>
      </c>
      <c r="E11559" s="94" t="inlineStr">
        <is>
          <t>앰플</t>
        </is>
      </c>
      <c r="F11559" s="94" t="inlineStr">
        <is>
          <t>화해</t>
        </is>
      </c>
      <c r="G11559" s="94" t="inlineStr">
        <is>
          <t>앰플 30ml</t>
        </is>
      </c>
      <c r="H11559" s="94" t="n">
        <v>200801</v>
      </c>
      <c r="I11559" s="94" t="n">
        <v>200801</v>
      </c>
      <c r="K11559" s="6" t="n">
        <v>1</v>
      </c>
      <c r="L11559" s="94" t="n">
        <v>200801</v>
      </c>
      <c r="M11559" s="94">
        <f>VLOOKUP($Q11559,매칭테이블!$F:$I,2,0)*K11559</f>
        <v/>
      </c>
      <c r="N11559" s="94">
        <f>M11559-M11559*VLOOKUP($Q11559,매칭테이블!$F:$I,3,0)</f>
        <v/>
      </c>
      <c r="O11559" s="94">
        <f>VLOOKUP($Q11559,매칭테이블!$F:$I,4,0)*K11559</f>
        <v/>
      </c>
      <c r="P11559" s="148">
        <f>M11559/1.1</f>
        <v/>
      </c>
      <c r="Q11559" s="94">
        <f>F11559&amp;E11559&amp;G11559&amp;L11559</f>
        <v/>
      </c>
    </row>
    <row r="11560" customFormat="1" s="94">
      <c r="B11560" s="128" t="n">
        <v>44166</v>
      </c>
      <c r="C11560" s="94">
        <f>TEXT(B11560,"aaa")</f>
        <v/>
      </c>
      <c r="E11560" s="94" t="inlineStr">
        <is>
          <t>토너</t>
        </is>
      </c>
      <c r="F11560" s="94" t="inlineStr">
        <is>
          <t>화해</t>
        </is>
      </c>
      <c r="G11560" s="94" t="inlineStr">
        <is>
          <t>250ml</t>
        </is>
      </c>
      <c r="H11560" s="94" t="n">
        <v>200801</v>
      </c>
      <c r="I11560" s="94" t="n">
        <v>200801</v>
      </c>
      <c r="K11560" s="6" t="n">
        <v>11</v>
      </c>
      <c r="L11560" s="94" t="n">
        <v>200801</v>
      </c>
      <c r="M11560" s="94">
        <f>VLOOKUP($Q11560,매칭테이블!$F:$I,2,0)*K11560</f>
        <v/>
      </c>
      <c r="N11560" s="94">
        <f>M11560-M11560*VLOOKUP($Q11560,매칭테이블!$F:$I,3,0)</f>
        <v/>
      </c>
      <c r="O11560" s="94">
        <f>VLOOKUP($Q11560,매칭테이블!$F:$I,4,0)*K11560</f>
        <v/>
      </c>
      <c r="P11560" s="148">
        <f>M11560/1.1</f>
        <v/>
      </c>
      <c r="Q11560" s="94">
        <f>F11560&amp;E11560&amp;G11560&amp;L11560</f>
        <v/>
      </c>
    </row>
    <row r="11561" customFormat="1" s="94">
      <c r="B11561" s="128" t="n">
        <v>44166</v>
      </c>
      <c r="C11561" s="94">
        <f>TEXT(B11561,"aaa")</f>
        <v/>
      </c>
      <c r="E11561" s="94" t="inlineStr">
        <is>
          <t>수딩크림</t>
        </is>
      </c>
      <c r="F11561" s="94" t="inlineStr">
        <is>
          <t>화해</t>
        </is>
      </c>
      <c r="G11561" s="94" t="inlineStr">
        <is>
          <t>수딩크림 100ml</t>
        </is>
      </c>
      <c r="H11561" s="94" t="n">
        <v>200801</v>
      </c>
      <c r="I11561" s="94" t="n">
        <v>200801</v>
      </c>
      <c r="K11561" s="6" t="n">
        <v>1</v>
      </c>
      <c r="L11561" s="94" t="n">
        <v>200801</v>
      </c>
      <c r="M11561" s="94">
        <f>VLOOKUP($Q11561,매칭테이블!$F:$I,2,0)*K11561</f>
        <v/>
      </c>
      <c r="N11561" s="94">
        <f>M11561-M11561*VLOOKUP($Q11561,매칭테이블!$F:$I,3,0)</f>
        <v/>
      </c>
      <c r="O11561" s="94">
        <f>VLOOKUP($Q11561,매칭테이블!$F:$I,4,0)*K11561</f>
        <v/>
      </c>
      <c r="P11561" s="148">
        <f>M11561/1.1</f>
        <v/>
      </c>
      <c r="Q11561" s="94">
        <f>F11561&amp;E11561&amp;G11561&amp;L11561</f>
        <v/>
      </c>
    </row>
    <row r="11562" customFormat="1" s="94">
      <c r="B11562" s="128" t="n">
        <v>44166</v>
      </c>
      <c r="C11562" s="94">
        <f>TEXT(B11562,"aaa")</f>
        <v/>
      </c>
      <c r="E11562" s="94" t="inlineStr">
        <is>
          <t>클렌징폼</t>
        </is>
      </c>
      <c r="F11562" s="94" t="inlineStr">
        <is>
          <t>화해</t>
        </is>
      </c>
      <c r="G11562" s="94" t="inlineStr">
        <is>
          <t>클렌징폼 120ml</t>
        </is>
      </c>
      <c r="H11562" s="94" t="n">
        <v>200801</v>
      </c>
      <c r="I11562" s="94" t="n">
        <v>200801</v>
      </c>
      <c r="K11562" s="6" t="n">
        <v>1</v>
      </c>
      <c r="L11562" s="94" t="n">
        <v>200801</v>
      </c>
      <c r="M11562" s="94">
        <f>VLOOKUP($Q11562,매칭테이블!$F:$I,2,0)*K11562</f>
        <v/>
      </c>
      <c r="N11562" s="94">
        <f>M11562-M11562*VLOOKUP($Q11562,매칭테이블!$F:$I,3,0)</f>
        <v/>
      </c>
      <c r="O11562" s="94">
        <f>VLOOKUP($Q11562,매칭테이블!$F:$I,4,0)*K11562</f>
        <v/>
      </c>
      <c r="P11562" s="148">
        <f>M11562/1.1</f>
        <v/>
      </c>
      <c r="Q11562" s="94">
        <f>F11562&amp;E11562&amp;G11562&amp;L11562</f>
        <v/>
      </c>
    </row>
    <row r="11563">
      <c r="B11563" s="128" t="n">
        <v>44167</v>
      </c>
      <c r="C11563" s="94">
        <f>TEXT(B11563,"aaa")</f>
        <v/>
      </c>
      <c r="E11563" s="94">
        <f>INDEX(매칭테이블!C:D,MATCH(RD!G11563,매칭테이블!D:D,0),1)</f>
        <v/>
      </c>
      <c r="F11563" s="94" t="inlineStr">
        <is>
          <t>W컨셉</t>
        </is>
      </c>
      <c r="G11563" s="94" t="inlineStr">
        <is>
          <t>어성초 77토너 (2 SET) HEARTLEAF 77% SOOTHING TONER 250ml250ml 2set</t>
        </is>
      </c>
      <c r="K11563" s="94" t="n">
        <v>9</v>
      </c>
      <c r="L11563" s="94" t="n">
        <v>201208</v>
      </c>
      <c r="M11563" s="94">
        <f>VLOOKUP($Q11563,매칭테이블!$F:$I,2,0)*K11563</f>
        <v/>
      </c>
      <c r="N11563" s="94">
        <f>M11563-M11563*VLOOKUP($Q11563,매칭테이블!$F:$I,3,0)</f>
        <v/>
      </c>
      <c r="O11563" s="94">
        <f>VLOOKUP($Q11563,매칭테이블!$F:$I,4,0)*K11563</f>
        <v/>
      </c>
      <c r="P11563" s="148">
        <f>M11563/1.1</f>
        <v/>
      </c>
      <c r="Q11563" s="94">
        <f>F11563&amp;E11563&amp;G11563&amp;L11563</f>
        <v/>
      </c>
    </row>
    <row r="11564">
      <c r="B11564" s="128" t="n">
        <v>44167</v>
      </c>
      <c r="C11564" s="94">
        <f>TEXT(B11564,"aaa")</f>
        <v/>
      </c>
      <c r="E11564" s="94">
        <f>INDEX(매칭테이블!C:D,MATCH(RD!G11564,매칭테이블!D:D,0),1)</f>
        <v/>
      </c>
      <c r="F11564" s="94" t="inlineStr">
        <is>
          <t>W컨셉</t>
        </is>
      </c>
      <c r="G11564" s="94" t="inlineStr">
        <is>
          <t>어성초 77토너 HEARTLEAF 77% SOOTHING TONER 250ml250ml</t>
        </is>
      </c>
      <c r="K11564" s="94" t="n">
        <v>1</v>
      </c>
      <c r="L11564" s="94" t="n">
        <v>201208</v>
      </c>
      <c r="M11564" s="94">
        <f>VLOOKUP($Q11564,매칭테이블!$F:$I,2,0)*K11564</f>
        <v/>
      </c>
      <c r="N11564" s="94">
        <f>M11564-M11564*VLOOKUP($Q11564,매칭테이블!$F:$I,3,0)</f>
        <v/>
      </c>
      <c r="O11564" s="94">
        <f>VLOOKUP($Q11564,매칭테이블!$F:$I,4,0)*K11564</f>
        <v/>
      </c>
      <c r="P11564" s="148">
        <f>M11564/1.1</f>
        <v/>
      </c>
      <c r="Q11564" s="94">
        <f>F11564&amp;E11564&amp;G11564&amp;L11564</f>
        <v/>
      </c>
    </row>
    <row r="11565">
      <c r="B11565" s="128" t="n">
        <v>44167</v>
      </c>
      <c r="C11565" s="94">
        <f>TEXT(B11565,"aaa")</f>
        <v/>
      </c>
      <c r="E11565" s="94">
        <f>INDEX(매칭테이블!C:D,MATCH(RD!G11565,매칭테이블!D:D,0),1)</f>
        <v/>
      </c>
      <c r="F11565" s="94" t="inlineStr">
        <is>
          <t>글로우데이즈 시코르</t>
        </is>
      </c>
      <c r="G11565" s="94" t="inlineStr">
        <is>
          <t>어성초 크림마스크 나이트 솔루션 10매</t>
        </is>
      </c>
      <c r="K11565" s="94" t="n">
        <v>6</v>
      </c>
      <c r="L11565" s="94" t="n">
        <v>201208</v>
      </c>
      <c r="M11565" s="94">
        <f>VLOOKUP($Q11565,매칭테이블!$F:$I,2,0)*K11565</f>
        <v/>
      </c>
      <c r="N11565" s="94">
        <f>M11565-M11565*VLOOKUP($Q11565,매칭테이블!$F:$I,3,0)</f>
        <v/>
      </c>
      <c r="O11565" s="94">
        <f>VLOOKUP($Q11565,매칭테이블!$F:$I,4,0)*K11565</f>
        <v/>
      </c>
      <c r="P11565" s="148">
        <f>M11565/1.1</f>
        <v/>
      </c>
      <c r="Q11565" s="94">
        <f>F11565&amp;E11565&amp;G11565&amp;L11565</f>
        <v/>
      </c>
    </row>
    <row r="11566">
      <c r="B11566" s="128" t="n">
        <v>44167</v>
      </c>
      <c r="C11566" s="94">
        <f>TEXT(B11566,"aaa")</f>
        <v/>
      </c>
      <c r="E11566" s="94">
        <f>INDEX(매칭테이블!C:D,MATCH(RD!G11566,매칭테이블!D:D,0),1)</f>
        <v/>
      </c>
      <c r="F11566" s="94" t="inlineStr">
        <is>
          <t>아누아 CS</t>
        </is>
      </c>
      <c r="G11566" s="94" t="inlineStr">
        <is>
          <t>어성초 77 수딩 토너화장솜(선택)=촉촉 스킨팩 화장솜</t>
        </is>
      </c>
      <c r="K11566" s="94" t="n">
        <v>1</v>
      </c>
      <c r="L11566" s="94" t="n">
        <v>201208</v>
      </c>
      <c r="M11566" s="94">
        <f>VLOOKUP($Q11566,매칭테이블!$F:$I,2,0)*K11566</f>
        <v/>
      </c>
      <c r="N11566" s="94">
        <f>M11566-M11566*VLOOKUP($Q11566,매칭테이블!$F:$I,3,0)</f>
        <v/>
      </c>
      <c r="O11566" s="94">
        <f>VLOOKUP($Q11566,매칭테이블!$F:$I,4,0)*K11566</f>
        <v/>
      </c>
      <c r="P11566" s="148">
        <f>M11566/1.1</f>
        <v/>
      </c>
      <c r="Q11566" s="94">
        <f>F11566&amp;E11566&amp;G11566&amp;L11566</f>
        <v/>
      </c>
    </row>
    <row r="11567">
      <c r="B11567" s="128" t="n">
        <v>44167</v>
      </c>
      <c r="C11567" s="94">
        <f>TEXT(B11567,"aaa")</f>
        <v/>
      </c>
      <c r="E11567" s="94">
        <f>INDEX(매칭테이블!C:D,MATCH(RD!G11567,매칭테이블!D:D,0),1)</f>
        <v/>
      </c>
      <c r="F11567" s="94" t="inlineStr">
        <is>
          <t>아누아 CS</t>
        </is>
      </c>
      <c r="G11567" s="94" t="inlineStr">
        <is>
          <t>어성초 클리어패드 70P</t>
        </is>
      </c>
      <c r="K11567" s="94" t="n">
        <v>5</v>
      </c>
      <c r="L11567" s="94" t="n">
        <v>201208</v>
      </c>
      <c r="M11567" s="94">
        <f>VLOOKUP($Q11567,매칭테이블!$F:$I,2,0)*K11567</f>
        <v/>
      </c>
      <c r="N11567" s="94">
        <f>M11567-M11567*VLOOKUP($Q11567,매칭테이블!$F:$I,3,0)</f>
        <v/>
      </c>
      <c r="O11567" s="94">
        <f>VLOOKUP($Q11567,매칭테이블!$F:$I,4,0)*K11567</f>
        <v/>
      </c>
      <c r="P11567" s="148">
        <f>M11567/1.1</f>
        <v/>
      </c>
      <c r="Q11567" s="94">
        <f>F11567&amp;E11567&amp;G11567&amp;L11567</f>
        <v/>
      </c>
    </row>
    <row r="11568">
      <c r="B11568" s="128" t="n">
        <v>44167</v>
      </c>
      <c r="C11568" s="94">
        <f>TEXT(B11568,"aaa")</f>
        <v/>
      </c>
      <c r="E11568" s="94">
        <f>INDEX(매칭테이블!C:D,MATCH(RD!G11568,매칭테이블!D:D,0),1)</f>
        <v/>
      </c>
      <c r="F11568" s="94" t="inlineStr">
        <is>
          <t>카페24</t>
        </is>
      </c>
      <c r="G11568" s="94" t="inlineStr">
        <is>
          <t>5 제로 무기자차 선크림옵션=5제로 무기자차 선크림 1개-20% off</t>
        </is>
      </c>
      <c r="K11568" s="94" t="n">
        <v>2</v>
      </c>
      <c r="L11568" s="94" t="n">
        <v>201208</v>
      </c>
      <c r="M11568" s="94">
        <f>VLOOKUP($Q11568,매칭테이블!$F:$I,2,0)*K11568</f>
        <v/>
      </c>
      <c r="N11568" s="94">
        <f>M11568-M11568*VLOOKUP($Q11568,매칭테이블!$F:$I,3,0)</f>
        <v/>
      </c>
      <c r="O11568" s="94">
        <f>VLOOKUP($Q11568,매칭테이블!$F:$I,4,0)*K11568</f>
        <v/>
      </c>
      <c r="P11568" s="148">
        <f>M11568/1.1</f>
        <v/>
      </c>
      <c r="Q11568" s="94">
        <f>F11568&amp;E11568&amp;G11568&amp;L11568</f>
        <v/>
      </c>
    </row>
    <row r="11569">
      <c r="B11569" s="128" t="n">
        <v>44167</v>
      </c>
      <c r="C11569" s="94">
        <f>TEXT(B11569,"aaa")</f>
        <v/>
      </c>
      <c r="E11569" s="94">
        <f>INDEX(매칭테이블!C:D,MATCH(RD!G11569,매칭테이블!D:D,0),1)</f>
        <v/>
      </c>
      <c r="F11569" s="94" t="inlineStr">
        <is>
          <t>카페24</t>
        </is>
      </c>
      <c r="G11569" s="94" t="inlineStr">
        <is>
          <t>5 제로 무기자차 선크림옵션=5제로 무기자차 선크림 2개-30% off (무료배송)</t>
        </is>
      </c>
      <c r="K11569" s="94" t="n">
        <v>1</v>
      </c>
      <c r="L11569" s="94" t="n">
        <v>201208</v>
      </c>
      <c r="M11569" s="94">
        <f>VLOOKUP($Q11569,매칭테이블!$F:$I,2,0)*K11569</f>
        <v/>
      </c>
      <c r="N11569" s="94">
        <f>M11569-M11569*VLOOKUP($Q11569,매칭테이블!$F:$I,3,0)</f>
        <v/>
      </c>
      <c r="O11569" s="94">
        <f>VLOOKUP($Q11569,매칭테이블!$F:$I,4,0)*K11569</f>
        <v/>
      </c>
      <c r="P11569" s="148">
        <f>M11569/1.1</f>
        <v/>
      </c>
      <c r="Q11569" s="94">
        <f>F11569&amp;E11569&amp;G11569&amp;L11569</f>
        <v/>
      </c>
    </row>
    <row r="11570">
      <c r="B11570" s="128" t="n">
        <v>44167</v>
      </c>
      <c r="C11570" s="94">
        <f>TEXT(B11570,"aaa")</f>
        <v/>
      </c>
      <c r="E11570" s="94">
        <f>INDEX(매칭테이블!C:D,MATCH(RD!G11570,매칭테이블!D:D,0),1)</f>
        <v/>
      </c>
      <c r="F11570" s="94" t="inlineStr">
        <is>
          <t>카페24</t>
        </is>
      </c>
      <c r="G11570" s="94" t="inlineStr">
        <is>
          <t>[수분 보충 세트] 어성초 77 토너 + 어성초 70 로션옵션=어성초 77 토너 250ml + 어성초 70 로션 200ml -30%</t>
        </is>
      </c>
      <c r="K11570" s="94" t="n">
        <v>38</v>
      </c>
      <c r="L11570" s="94" t="n">
        <v>201208</v>
      </c>
      <c r="M11570" s="94">
        <f>VLOOKUP($Q11570,매칭테이블!$F:$I,2,0)*K11570</f>
        <v/>
      </c>
      <c r="N11570" s="94">
        <f>M11570-M11570*VLOOKUP($Q11570,매칭테이블!$F:$I,3,0)</f>
        <v/>
      </c>
      <c r="O11570" s="94">
        <f>VLOOKUP($Q11570,매칭테이블!$F:$I,4,0)*K11570</f>
        <v/>
      </c>
      <c r="P11570" s="148">
        <f>M11570/1.1</f>
        <v/>
      </c>
      <c r="Q11570" s="94">
        <f>F11570&amp;E11570&amp;G11570&amp;L11570</f>
        <v/>
      </c>
    </row>
    <row r="11571">
      <c r="B11571" s="128" t="n">
        <v>44167</v>
      </c>
      <c r="C11571" s="94">
        <f>TEXT(B11571,"aaa")</f>
        <v/>
      </c>
      <c r="E11571" s="94">
        <f>INDEX(매칭테이블!C:D,MATCH(RD!G11571,매칭테이블!D:D,0),1)</f>
        <v/>
      </c>
      <c r="F11571" s="94" t="inlineStr">
        <is>
          <t>카페24</t>
        </is>
      </c>
      <c r="G11571" s="94" t="inlineStr">
        <is>
          <t>[어성초 진정 패키지 세트] 대용량 토너 + 앰플 + 수딩 크림 + 마스크팩 10장</t>
        </is>
      </c>
      <c r="K11571" s="94" t="n">
        <v>2</v>
      </c>
      <c r="L11571" s="94" t="n">
        <v>201208</v>
      </c>
      <c r="M11571" s="94">
        <f>VLOOKUP($Q11571,매칭테이블!$F:$I,2,0)*K11571</f>
        <v/>
      </c>
      <c r="N11571" s="94">
        <f>M11571-M11571*VLOOKUP($Q11571,매칭테이블!$F:$I,3,0)</f>
        <v/>
      </c>
      <c r="O11571" s="94">
        <f>VLOOKUP($Q11571,매칭테이블!$F:$I,4,0)*K11571</f>
        <v/>
      </c>
      <c r="P11571" s="148">
        <f>M11571/1.1</f>
        <v/>
      </c>
      <c r="Q11571" s="94">
        <f>F11571&amp;E11571&amp;G11571&amp;L11571</f>
        <v/>
      </c>
    </row>
    <row r="11572">
      <c r="B11572" s="128" t="n">
        <v>44167</v>
      </c>
      <c r="C11572" s="94">
        <f>TEXT(B11572,"aaa")</f>
        <v/>
      </c>
      <c r="E11572" s="94">
        <f>INDEX(매칭테이블!C:D,MATCH(RD!G11572,매칭테이블!D:D,0),1)</f>
        <v/>
      </c>
      <c r="F11572" s="94" t="inlineStr">
        <is>
          <t>카페24</t>
        </is>
      </c>
      <c r="G11572" s="94" t="inlineStr">
        <is>
          <t>대용량 어성초 77 수딩 토너 500ml</t>
        </is>
      </c>
      <c r="K11572" s="94" t="n">
        <v>45</v>
      </c>
      <c r="L11572" s="94" t="n">
        <v>201208</v>
      </c>
      <c r="M11572" s="94">
        <f>VLOOKUP($Q11572,매칭테이블!$F:$I,2,0)*K11572</f>
        <v/>
      </c>
      <c r="N11572" s="94">
        <f>M11572-M11572*VLOOKUP($Q11572,매칭테이블!$F:$I,3,0)</f>
        <v/>
      </c>
      <c r="O11572" s="94">
        <f>VLOOKUP($Q11572,매칭테이블!$F:$I,4,0)*K11572</f>
        <v/>
      </c>
      <c r="P11572" s="148">
        <f>M11572/1.1</f>
        <v/>
      </c>
      <c r="Q11572" s="94">
        <f>F11572&amp;E11572&amp;G11572&amp;L11572</f>
        <v/>
      </c>
    </row>
    <row r="11573">
      <c r="B11573" s="128" t="n">
        <v>44167</v>
      </c>
      <c r="C11573" s="94">
        <f>TEXT(B11573,"aaa")</f>
        <v/>
      </c>
      <c r="E11573" s="94">
        <f>INDEX(매칭테이블!C:D,MATCH(RD!G11573,매칭테이블!D:D,0),1)</f>
        <v/>
      </c>
      <c r="F11573" s="94" t="inlineStr">
        <is>
          <t>카페24</t>
        </is>
      </c>
      <c r="G11573" s="94" t="inlineStr">
        <is>
          <t>대용량 어성초 77 토너 500ml</t>
        </is>
      </c>
      <c r="K11573" s="94" t="n">
        <v>3</v>
      </c>
      <c r="L11573" s="94" t="n">
        <v>201208</v>
      </c>
      <c r="M11573" s="94">
        <f>VLOOKUP($Q11573,매칭테이블!$F:$I,2,0)*K11573</f>
        <v/>
      </c>
      <c r="N11573" s="94">
        <f>M11573-M11573*VLOOKUP($Q11573,매칭테이블!$F:$I,3,0)</f>
        <v/>
      </c>
      <c r="O11573" s="94">
        <f>VLOOKUP($Q11573,매칭테이블!$F:$I,4,0)*K11573</f>
        <v/>
      </c>
      <c r="P11573" s="148">
        <f>M11573/1.1</f>
        <v/>
      </c>
      <c r="Q11573" s="94">
        <f>F11573&amp;E11573&amp;G11573&amp;L11573</f>
        <v/>
      </c>
    </row>
    <row r="11574">
      <c r="B11574" s="128" t="n">
        <v>44167</v>
      </c>
      <c r="C11574" s="94">
        <f>TEXT(B11574,"aaa")</f>
        <v/>
      </c>
      <c r="E11574" s="94">
        <f>INDEX(매칭테이블!C:D,MATCH(RD!G11574,매칭테이블!D:D,0),1)</f>
        <v/>
      </c>
      <c r="F11574" s="94" t="inlineStr">
        <is>
          <t>카페24</t>
        </is>
      </c>
      <c r="G11574" s="94" t="inlineStr">
        <is>
          <t>어성초 70 데일리 릴리프 로션로션=어성초 70 데일리 릴리프 로션 1개 -20% off</t>
        </is>
      </c>
      <c r="K11574" s="94" t="n">
        <v>7</v>
      </c>
      <c r="L11574" s="94" t="n">
        <v>201208</v>
      </c>
      <c r="M11574" s="94">
        <f>VLOOKUP($Q11574,매칭테이블!$F:$I,2,0)*K11574</f>
        <v/>
      </c>
      <c r="N11574" s="94">
        <f>M11574-M11574*VLOOKUP($Q11574,매칭테이블!$F:$I,3,0)</f>
        <v/>
      </c>
      <c r="O11574" s="94">
        <f>VLOOKUP($Q11574,매칭테이블!$F:$I,4,0)*K11574</f>
        <v/>
      </c>
      <c r="P11574" s="148">
        <f>M11574/1.1</f>
        <v/>
      </c>
      <c r="Q11574" s="94">
        <f>F11574&amp;E11574&amp;G11574&amp;L11574</f>
        <v/>
      </c>
    </row>
    <row r="11575">
      <c r="B11575" s="128" t="n">
        <v>44167</v>
      </c>
      <c r="C11575" s="94">
        <f>TEXT(B11575,"aaa")</f>
        <v/>
      </c>
      <c r="E11575" s="94">
        <f>INDEX(매칭테이블!C:D,MATCH(RD!G11575,매칭테이블!D:D,0),1)</f>
        <v/>
      </c>
      <c r="F11575" s="94" t="inlineStr">
        <is>
          <t>카페24</t>
        </is>
      </c>
      <c r="G11575" s="94" t="inlineStr">
        <is>
          <t>어성초 70 데일리 릴리프 로션로션=어성초 70 데일리 릴리프 로션 2개 -30% off</t>
        </is>
      </c>
      <c r="K11575" s="94" t="n">
        <v>1</v>
      </c>
      <c r="L11575" s="94" t="n">
        <v>201208</v>
      </c>
      <c r="M11575" s="94">
        <f>VLOOKUP($Q11575,매칭테이블!$F:$I,2,0)*K11575</f>
        <v/>
      </c>
      <c r="N11575" s="94">
        <f>M11575-M11575*VLOOKUP($Q11575,매칭테이블!$F:$I,3,0)</f>
        <v/>
      </c>
      <c r="O11575" s="94">
        <f>VLOOKUP($Q11575,매칭테이블!$F:$I,4,0)*K11575</f>
        <v/>
      </c>
      <c r="P11575" s="148">
        <f>M11575/1.1</f>
        <v/>
      </c>
      <c r="Q11575" s="94">
        <f>F11575&amp;E11575&amp;G11575&amp;L11575</f>
        <v/>
      </c>
    </row>
    <row r="11576">
      <c r="B11576" s="128" t="n">
        <v>44167</v>
      </c>
      <c r="C11576" s="94">
        <f>TEXT(B11576,"aaa")</f>
        <v/>
      </c>
      <c r="E11576" s="94">
        <f>INDEX(매칭테이블!C:D,MATCH(RD!G11576,매칭테이블!D:D,0),1)</f>
        <v/>
      </c>
      <c r="F11576" s="94" t="inlineStr">
        <is>
          <t>카페24</t>
        </is>
      </c>
      <c r="G11576" s="94" t="inlineStr">
        <is>
          <t>어성초 70 데일리 릴리프 로션로션=어성초 77토너 + 어성초 70 로션 수분 보충 세트 -30% off</t>
        </is>
      </c>
      <c r="K11576" s="94" t="n">
        <v>1</v>
      </c>
      <c r="L11576" s="94" t="n">
        <v>201208</v>
      </c>
      <c r="M11576" s="94">
        <f>VLOOKUP($Q11576,매칭테이블!$F:$I,2,0)*K11576</f>
        <v/>
      </c>
      <c r="N11576" s="94">
        <f>M11576-M11576*VLOOKUP($Q11576,매칭테이블!$F:$I,3,0)</f>
        <v/>
      </c>
      <c r="O11576" s="94">
        <f>VLOOKUP($Q11576,매칭테이블!$F:$I,4,0)*K11576</f>
        <v/>
      </c>
      <c r="P11576" s="148">
        <f>M11576/1.1</f>
        <v/>
      </c>
      <c r="Q11576" s="94">
        <f>F11576&amp;E11576&amp;G11576&amp;L11576</f>
        <v/>
      </c>
    </row>
    <row r="11577">
      <c r="B11577" s="128" t="n">
        <v>44167</v>
      </c>
      <c r="C11577" s="94">
        <f>TEXT(B11577,"aaa")</f>
        <v/>
      </c>
      <c r="E11577" s="94">
        <f>INDEX(매칭테이블!C:D,MATCH(RD!G11577,매칭테이블!D:D,0),1)</f>
        <v/>
      </c>
      <c r="F11577" s="94" t="inlineStr">
        <is>
          <t>카페24</t>
        </is>
      </c>
      <c r="G11577" s="94" t="inlineStr">
        <is>
          <t>어성초 70 머드 크림 마스크옵션=어성초 70 머드 크림 마스크-20% off</t>
        </is>
      </c>
      <c r="K11577" s="94" t="n">
        <v>3</v>
      </c>
      <c r="L11577" s="94" t="n">
        <v>201208</v>
      </c>
      <c r="M11577" s="94">
        <f>VLOOKUP($Q11577,매칭테이블!$F:$I,2,0)*K11577</f>
        <v/>
      </c>
      <c r="N11577" s="94">
        <f>M11577-M11577*VLOOKUP($Q11577,매칭테이블!$F:$I,3,0)</f>
        <v/>
      </c>
      <c r="O11577" s="94">
        <f>VLOOKUP($Q11577,매칭테이블!$F:$I,4,0)*K11577</f>
        <v/>
      </c>
      <c r="P11577" s="148">
        <f>M11577/1.1</f>
        <v/>
      </c>
      <c r="Q11577" s="94">
        <f>F11577&amp;E11577&amp;G11577&amp;L11577</f>
        <v/>
      </c>
    </row>
    <row r="11578">
      <c r="B11578" s="128" t="n">
        <v>44167</v>
      </c>
      <c r="C11578" s="94">
        <f>TEXT(B11578,"aaa")</f>
        <v/>
      </c>
      <c r="E11578" s="94">
        <f>INDEX(매칭테이블!C:D,MATCH(RD!G11578,매칭테이블!D:D,0),1)</f>
        <v/>
      </c>
      <c r="F11578" s="94" t="inlineStr">
        <is>
          <t>카페24</t>
        </is>
      </c>
      <c r="G11578" s="94" t="inlineStr">
        <is>
          <t>어성초 70 인텐스 카밍 크림크림=어성초 70 인텐스 카밍 크림 1개 (-20%)</t>
        </is>
      </c>
      <c r="K11578" s="94" t="n">
        <v>5</v>
      </c>
      <c r="L11578" s="94" t="n">
        <v>201208</v>
      </c>
      <c r="M11578" s="94">
        <f>VLOOKUP($Q11578,매칭테이블!$F:$I,2,0)*K11578</f>
        <v/>
      </c>
      <c r="N11578" s="94">
        <f>M11578-M11578*VLOOKUP($Q11578,매칭테이블!$F:$I,3,0)</f>
        <v/>
      </c>
      <c r="O11578" s="94">
        <f>VLOOKUP($Q11578,매칭테이블!$F:$I,4,0)*K11578</f>
        <v/>
      </c>
      <c r="P11578" s="148">
        <f>M11578/1.1</f>
        <v/>
      </c>
      <c r="Q11578" s="94">
        <f>F11578&amp;E11578&amp;G11578&amp;L11578</f>
        <v/>
      </c>
    </row>
    <row r="11579">
      <c r="B11579" s="128" t="n">
        <v>44167</v>
      </c>
      <c r="C11579" s="94">
        <f>TEXT(B11579,"aaa")</f>
        <v/>
      </c>
      <c r="E11579" s="94">
        <f>INDEX(매칭테이블!C:D,MATCH(RD!G11579,매칭테이블!D:D,0),1)</f>
        <v/>
      </c>
      <c r="F11579" s="94" t="inlineStr">
        <is>
          <t>카페24</t>
        </is>
      </c>
      <c r="G11579" s="94" t="inlineStr">
        <is>
          <t>어성초 70 인텐스 카밍 크림크림=어성초 토너 250ml + 카밍 크림 50ml (-30%)</t>
        </is>
      </c>
      <c r="K11579" s="94" t="n">
        <v>2</v>
      </c>
      <c r="L11579" s="94" t="n">
        <v>201208</v>
      </c>
      <c r="M11579" s="94">
        <f>VLOOKUP($Q11579,매칭테이블!$F:$I,2,0)*K11579</f>
        <v/>
      </c>
      <c r="N11579" s="94">
        <f>M11579-M11579*VLOOKUP($Q11579,매칭테이블!$F:$I,3,0)</f>
        <v/>
      </c>
      <c r="O11579" s="94">
        <f>VLOOKUP($Q11579,매칭테이블!$F:$I,4,0)*K11579</f>
        <v/>
      </c>
      <c r="P11579" s="148">
        <f>M11579/1.1</f>
        <v/>
      </c>
      <c r="Q11579" s="94">
        <f>F11579&amp;E11579&amp;G11579&amp;L11579</f>
        <v/>
      </c>
    </row>
    <row r="11580">
      <c r="B11580" s="128" t="n">
        <v>44167</v>
      </c>
      <c r="C11580" s="94">
        <f>TEXT(B11580,"aaa")</f>
        <v/>
      </c>
      <c r="E11580" s="94">
        <f>INDEX(매칭테이블!C:D,MATCH(RD!G11580,매칭테이블!D:D,0),1)</f>
        <v/>
      </c>
      <c r="F11580" s="94" t="inlineStr">
        <is>
          <t>카페24</t>
        </is>
      </c>
      <c r="G11580" s="94" t="inlineStr">
        <is>
          <t>어성초 77 수딩 토너토너(필수)=어성초 77 토너 1개-20% off</t>
        </is>
      </c>
      <c r="K11580" s="94" t="n">
        <v>70</v>
      </c>
      <c r="L11580" s="94" t="n">
        <v>201208</v>
      </c>
      <c r="M11580" s="94">
        <f>VLOOKUP($Q11580,매칭테이블!$F:$I,2,0)*K11580</f>
        <v/>
      </c>
      <c r="N11580" s="94">
        <f>M11580-M11580*VLOOKUP($Q11580,매칭테이블!$F:$I,3,0)</f>
        <v/>
      </c>
      <c r="O11580" s="94">
        <f>VLOOKUP($Q11580,매칭테이블!$F:$I,4,0)*K11580</f>
        <v/>
      </c>
      <c r="P11580" s="148">
        <f>M11580/1.1</f>
        <v/>
      </c>
      <c r="Q11580" s="94">
        <f>F11580&amp;E11580&amp;G11580&amp;L11580</f>
        <v/>
      </c>
    </row>
    <row r="11581">
      <c r="B11581" s="128" t="n">
        <v>44167</v>
      </c>
      <c r="C11581" s="94">
        <f>TEXT(B11581,"aaa")</f>
        <v/>
      </c>
      <c r="E11581" s="94">
        <f>INDEX(매칭테이블!C:D,MATCH(RD!G11581,매칭테이블!D:D,0),1)</f>
        <v/>
      </c>
      <c r="F11581" s="94" t="inlineStr">
        <is>
          <t>카페24</t>
        </is>
      </c>
      <c r="G11581" s="94" t="inlineStr">
        <is>
          <t>어성초 77 수딩 토너토너(필수)=어성초 77 토너 2개-30% off (무료배송)</t>
        </is>
      </c>
      <c r="K11581" s="94" t="n">
        <v>26</v>
      </c>
      <c r="L11581" s="94" t="n">
        <v>201208</v>
      </c>
      <c r="M11581" s="94">
        <f>VLOOKUP($Q11581,매칭테이블!$F:$I,2,0)*K11581</f>
        <v/>
      </c>
      <c r="N11581" s="94">
        <f>M11581-M11581*VLOOKUP($Q11581,매칭테이블!$F:$I,3,0)</f>
        <v/>
      </c>
      <c r="O11581" s="94">
        <f>VLOOKUP($Q11581,매칭테이블!$F:$I,4,0)*K11581</f>
        <v/>
      </c>
      <c r="P11581" s="148">
        <f>M11581/1.1</f>
        <v/>
      </c>
      <c r="Q11581" s="94">
        <f>F11581&amp;E11581&amp;G11581&amp;L11581</f>
        <v/>
      </c>
    </row>
    <row r="11582">
      <c r="B11582" s="128" t="n">
        <v>44167</v>
      </c>
      <c r="C11582" s="94">
        <f>TEXT(B11582,"aaa")</f>
        <v/>
      </c>
      <c r="E11582" s="94">
        <f>INDEX(매칭테이블!C:D,MATCH(RD!G11582,매칭테이블!D:D,0),1)</f>
        <v/>
      </c>
      <c r="F11582" s="94" t="inlineStr">
        <is>
          <t>카페24</t>
        </is>
      </c>
      <c r="G11582" s="94" t="inlineStr">
        <is>
          <t>어성초 77 수딩 토너토너(필수)=어성초77토너1개 + 어성초77패드1개 -30% off (무료배송)</t>
        </is>
      </c>
      <c r="K11582" s="94" t="n">
        <v>13</v>
      </c>
      <c r="L11582" s="94" t="n">
        <v>201208</v>
      </c>
      <c r="M11582" s="94">
        <f>VLOOKUP($Q11582,매칭테이블!$F:$I,2,0)*K11582</f>
        <v/>
      </c>
      <c r="N11582" s="94">
        <f>M11582-M11582*VLOOKUP($Q11582,매칭테이블!$F:$I,3,0)</f>
        <v/>
      </c>
      <c r="O11582" s="94">
        <f>VLOOKUP($Q11582,매칭테이블!$F:$I,4,0)*K11582</f>
        <v/>
      </c>
      <c r="P11582" s="148">
        <f>M11582/1.1</f>
        <v/>
      </c>
      <c r="Q11582" s="94">
        <f>F11582&amp;E11582&amp;G11582&amp;L11582</f>
        <v/>
      </c>
    </row>
    <row r="11583">
      <c r="B11583" s="128" t="n">
        <v>44167</v>
      </c>
      <c r="C11583" s="94">
        <f>TEXT(B11583,"aaa")</f>
        <v/>
      </c>
      <c r="E11583" s="94">
        <f>INDEX(매칭테이블!C:D,MATCH(RD!G11583,매칭테이블!D:D,0),1)</f>
        <v/>
      </c>
      <c r="F11583" s="94" t="inlineStr">
        <is>
          <t>카페24</t>
        </is>
      </c>
      <c r="G11583" s="94" t="inlineStr">
        <is>
          <t>어성초 77 수딩 토너화장솜(선택)=촉촉 스킨팩 화장솜</t>
        </is>
      </c>
      <c r="K11583" s="94" t="n">
        <v>37</v>
      </c>
      <c r="L11583" s="94" t="n">
        <v>201208</v>
      </c>
      <c r="M11583" s="94">
        <f>VLOOKUP($Q11583,매칭테이블!$F:$I,2,0)*K11583</f>
        <v/>
      </c>
      <c r="N11583" s="94">
        <f>M11583-M11583*VLOOKUP($Q11583,매칭테이블!$F:$I,3,0)</f>
        <v/>
      </c>
      <c r="O11583" s="94">
        <f>VLOOKUP($Q11583,매칭테이블!$F:$I,4,0)*K11583</f>
        <v/>
      </c>
      <c r="P11583" s="148">
        <f>M11583/1.1</f>
        <v/>
      </c>
      <c r="Q11583" s="94">
        <f>F11583&amp;E11583&amp;G11583&amp;L11583</f>
        <v/>
      </c>
    </row>
    <row r="11584">
      <c r="B11584" s="128" t="n">
        <v>44167</v>
      </c>
      <c r="C11584" s="94">
        <f>TEXT(B11584,"aaa")</f>
        <v/>
      </c>
      <c r="E11584" s="94">
        <f>INDEX(매칭테이블!C:D,MATCH(RD!G11584,매칭테이블!D:D,0),1)</f>
        <v/>
      </c>
      <c r="F11584" s="94" t="inlineStr">
        <is>
          <t>카페24</t>
        </is>
      </c>
      <c r="G11584" s="94" t="inlineStr">
        <is>
          <t>어성초 77 수딩 토너토너(필수)=어성초 77 토너 1개-20% off</t>
        </is>
      </c>
      <c r="K11584" s="94" t="n">
        <v>1</v>
      </c>
      <c r="L11584" s="94" t="n">
        <v>201208</v>
      </c>
      <c r="M11584" s="94">
        <f>VLOOKUP($Q11584,매칭테이블!$F:$I,2,0)*K11584</f>
        <v/>
      </c>
      <c r="N11584" s="94">
        <f>M11584-M11584*VLOOKUP($Q11584,매칭테이블!$F:$I,3,0)</f>
        <v/>
      </c>
      <c r="O11584" s="94">
        <f>VLOOKUP($Q11584,매칭테이블!$F:$I,4,0)*K11584</f>
        <v/>
      </c>
      <c r="P11584" s="148">
        <f>M11584/1.1</f>
        <v/>
      </c>
      <c r="Q11584" s="94">
        <f>F11584&amp;E11584&amp;G11584&amp;L11584</f>
        <v/>
      </c>
    </row>
    <row r="11585">
      <c r="B11585" s="128" t="n">
        <v>44167</v>
      </c>
      <c r="C11585" s="94">
        <f>TEXT(B11585,"aaa")</f>
        <v/>
      </c>
      <c r="E11585" s="94">
        <f>INDEX(매칭테이블!C:D,MATCH(RD!G11585,매칭테이블!D:D,0),1)</f>
        <v/>
      </c>
      <c r="F11585" s="94" t="inlineStr">
        <is>
          <t>카페24</t>
        </is>
      </c>
      <c r="G11585" s="94" t="inlineStr">
        <is>
          <t>어성초 77 수딩 토너토너(필수)=(대용량) 어성초 77 토너 500ml (무료배송)</t>
        </is>
      </c>
      <c r="K11585" s="94" t="n">
        <v>3</v>
      </c>
      <c r="L11585" s="94" t="n">
        <v>201208</v>
      </c>
      <c r="M11585" s="94">
        <f>VLOOKUP($Q11585,매칭테이블!$F:$I,2,0)*K11585</f>
        <v/>
      </c>
      <c r="N11585" s="94">
        <f>M11585-M11585*VLOOKUP($Q11585,매칭테이블!$F:$I,3,0)</f>
        <v/>
      </c>
      <c r="O11585" s="94">
        <f>VLOOKUP($Q11585,매칭테이블!$F:$I,4,0)*K11585</f>
        <v/>
      </c>
      <c r="P11585" s="148">
        <f>M11585/1.1</f>
        <v/>
      </c>
      <c r="Q11585" s="94">
        <f>F11585&amp;E11585&amp;G11585&amp;L11585</f>
        <v/>
      </c>
    </row>
    <row r="11586">
      <c r="B11586" s="128" t="n">
        <v>44167</v>
      </c>
      <c r="C11586" s="94">
        <f>TEXT(B11586,"aaa")</f>
        <v/>
      </c>
      <c r="E11586" s="94">
        <f>INDEX(매칭테이블!C:D,MATCH(RD!G11586,매칭테이블!D:D,0),1)</f>
        <v/>
      </c>
      <c r="F11586" s="94" t="inlineStr">
        <is>
          <t>카페24</t>
        </is>
      </c>
      <c r="G11586" s="94" t="inlineStr">
        <is>
          <t>어성초 77 진정 마스크옵션=어성초 77 진정 마스크팩 1장</t>
        </is>
      </c>
      <c r="K11586" s="94" t="n">
        <v>4</v>
      </c>
      <c r="L11586" s="94" t="n">
        <v>201208</v>
      </c>
      <c r="M11586" s="94">
        <f>VLOOKUP($Q11586,매칭테이블!$F:$I,2,0)*K11586</f>
        <v/>
      </c>
      <c r="N11586" s="94">
        <f>M11586-M11586*VLOOKUP($Q11586,매칭테이블!$F:$I,3,0)</f>
        <v/>
      </c>
      <c r="O11586" s="94">
        <f>VLOOKUP($Q11586,매칭테이블!$F:$I,4,0)*K11586</f>
        <v/>
      </c>
      <c r="P11586" s="148">
        <f>M11586/1.1</f>
        <v/>
      </c>
      <c r="Q11586" s="94">
        <f>F11586&amp;E11586&amp;G11586&amp;L11586</f>
        <v/>
      </c>
    </row>
    <row r="11587">
      <c r="B11587" s="128" t="n">
        <v>44167</v>
      </c>
      <c r="C11587" s="94">
        <f>TEXT(B11587,"aaa")</f>
        <v/>
      </c>
      <c r="E11587" s="94">
        <f>INDEX(매칭테이블!C:D,MATCH(RD!G11587,매칭테이블!D:D,0),1)</f>
        <v/>
      </c>
      <c r="F11587" s="94" t="inlineStr">
        <is>
          <t>카페24</t>
        </is>
      </c>
      <c r="G11587" s="94" t="inlineStr">
        <is>
          <t>어성초 77 진정 마스크옵션=어성초 77 진정 마스크팩 10장-50% off</t>
        </is>
      </c>
      <c r="K11587" s="94" t="n">
        <v>12</v>
      </c>
      <c r="L11587" s="94" t="n">
        <v>201208</v>
      </c>
      <c r="M11587" s="94">
        <f>VLOOKUP($Q11587,매칭테이블!$F:$I,2,0)*K11587</f>
        <v/>
      </c>
      <c r="N11587" s="94">
        <f>M11587-M11587*VLOOKUP($Q11587,매칭테이블!$F:$I,3,0)</f>
        <v/>
      </c>
      <c r="O11587" s="94">
        <f>VLOOKUP($Q11587,매칭테이블!$F:$I,4,0)*K11587</f>
        <v/>
      </c>
      <c r="P11587" s="148">
        <f>M11587/1.1</f>
        <v/>
      </c>
      <c r="Q11587" s="94">
        <f>F11587&amp;E11587&amp;G11587&amp;L11587</f>
        <v/>
      </c>
    </row>
    <row r="11588">
      <c r="B11588" s="128" t="n">
        <v>44167</v>
      </c>
      <c r="C11588" s="94">
        <f>TEXT(B11588,"aaa")</f>
        <v/>
      </c>
      <c r="E11588" s="94">
        <f>INDEX(매칭테이블!C:D,MATCH(RD!G11588,매칭테이블!D:D,0),1)</f>
        <v/>
      </c>
      <c r="F11588" s="94" t="inlineStr">
        <is>
          <t>카페24</t>
        </is>
      </c>
      <c r="G11588" s="94" t="inlineStr">
        <is>
          <t>어성초 77 진정 마스크</t>
        </is>
      </c>
      <c r="K11588" s="94" t="n">
        <v>9</v>
      </c>
      <c r="L11588" s="94" t="n">
        <v>201208</v>
      </c>
      <c r="M11588" s="94">
        <f>VLOOKUP($Q11588,매칭테이블!$F:$I,2,0)*K11588</f>
        <v/>
      </c>
      <c r="N11588" s="94">
        <f>M11588-M11588*VLOOKUP($Q11588,매칭테이블!$F:$I,3,0)</f>
        <v/>
      </c>
      <c r="O11588" s="94">
        <f>VLOOKUP($Q11588,매칭테이블!$F:$I,4,0)*K11588</f>
        <v/>
      </c>
      <c r="P11588" s="148">
        <f>M11588/1.1</f>
        <v/>
      </c>
      <c r="Q11588" s="94">
        <f>F11588&amp;E11588&amp;G11588&amp;L11588</f>
        <v/>
      </c>
    </row>
    <row r="11589">
      <c r="B11589" s="128" t="n">
        <v>44167</v>
      </c>
      <c r="C11589" s="94">
        <f>TEXT(B11589,"aaa")</f>
        <v/>
      </c>
      <c r="E11589" s="94">
        <f>INDEX(매칭테이블!C:D,MATCH(RD!G11589,매칭테이블!D:D,0),1)</f>
        <v/>
      </c>
      <c r="F11589" s="94" t="inlineStr">
        <is>
          <t>카페24</t>
        </is>
      </c>
      <c r="G11589" s="94" t="inlineStr">
        <is>
          <t>어성초 77 클리어 패드옵션=어성초 77 클리어 패드 1개-20% off</t>
        </is>
      </c>
      <c r="K11589" s="94" t="n">
        <v>56</v>
      </c>
      <c r="L11589" s="94" t="n">
        <v>201208</v>
      </c>
      <c r="M11589" s="94">
        <f>VLOOKUP($Q11589,매칭테이블!$F:$I,2,0)*K11589</f>
        <v/>
      </c>
      <c r="N11589" s="94">
        <f>M11589-M11589*VLOOKUP($Q11589,매칭테이블!$F:$I,3,0)</f>
        <v/>
      </c>
      <c r="O11589" s="94">
        <f>VLOOKUP($Q11589,매칭테이블!$F:$I,4,0)*K11589</f>
        <v/>
      </c>
      <c r="P11589" s="148">
        <f>M11589/1.1</f>
        <v/>
      </c>
      <c r="Q11589" s="94">
        <f>F11589&amp;E11589&amp;G11589&amp;L11589</f>
        <v/>
      </c>
    </row>
    <row r="11590">
      <c r="B11590" s="128" t="n">
        <v>44167</v>
      </c>
      <c r="C11590" s="94">
        <f>TEXT(B11590,"aaa")</f>
        <v/>
      </c>
      <c r="E11590" s="94">
        <f>INDEX(매칭테이블!C:D,MATCH(RD!G11590,매칭테이블!D:D,0),1)</f>
        <v/>
      </c>
      <c r="F11590" s="94" t="inlineStr">
        <is>
          <t>카페24</t>
        </is>
      </c>
      <c r="G11590" s="94" t="inlineStr">
        <is>
          <t>어성초 77 클리어 패드옵션=어성초 77 클리어 패드 2개-30% off (무료배송)</t>
        </is>
      </c>
      <c r="K11590" s="94" t="n">
        <v>77</v>
      </c>
      <c r="L11590" s="94" t="n">
        <v>201208</v>
      </c>
      <c r="M11590" s="94">
        <f>VLOOKUP($Q11590,매칭테이블!$F:$I,2,0)*K11590</f>
        <v/>
      </c>
      <c r="N11590" s="94">
        <f>M11590-M11590*VLOOKUP($Q11590,매칭테이블!$F:$I,3,0)</f>
        <v/>
      </c>
      <c r="O11590" s="94">
        <f>VLOOKUP($Q11590,매칭테이블!$F:$I,4,0)*K11590</f>
        <v/>
      </c>
      <c r="P11590" s="148">
        <f>M11590/1.1</f>
        <v/>
      </c>
      <c r="Q11590" s="94">
        <f>F11590&amp;E11590&amp;G11590&amp;L11590</f>
        <v/>
      </c>
    </row>
    <row r="11591">
      <c r="B11591" s="128" t="n">
        <v>44167</v>
      </c>
      <c r="C11591" s="94">
        <f>TEXT(B11591,"aaa")</f>
        <v/>
      </c>
      <c r="E11591" s="94">
        <f>INDEX(매칭테이블!C:D,MATCH(RD!G11591,매칭테이블!D:D,0),1)</f>
        <v/>
      </c>
      <c r="F11591" s="94" t="inlineStr">
        <is>
          <t>카페24</t>
        </is>
      </c>
      <c r="G11591" s="94" t="inlineStr">
        <is>
          <t>어성초 77 클리어 패드옵션=어성초77토너1개+어성초77패드1개-30% off (무료배송)</t>
        </is>
      </c>
      <c r="K11591" s="94" t="n">
        <v>37</v>
      </c>
      <c r="L11591" s="94" t="n">
        <v>201208</v>
      </c>
      <c r="M11591" s="94">
        <f>VLOOKUP($Q11591,매칭테이블!$F:$I,2,0)*K11591</f>
        <v/>
      </c>
      <c r="N11591" s="94">
        <f>M11591-M11591*VLOOKUP($Q11591,매칭테이블!$F:$I,3,0)</f>
        <v/>
      </c>
      <c r="O11591" s="94">
        <f>VLOOKUP($Q11591,매칭테이블!$F:$I,4,0)*K11591</f>
        <v/>
      </c>
      <c r="P11591" s="148">
        <f>M11591/1.1</f>
        <v/>
      </c>
      <c r="Q11591" s="94">
        <f>F11591&amp;E11591&amp;G11591&amp;L11591</f>
        <v/>
      </c>
    </row>
    <row r="11592">
      <c r="B11592" s="128" t="n">
        <v>44167</v>
      </c>
      <c r="C11592" s="94">
        <f>TEXT(B11592,"aaa")</f>
        <v/>
      </c>
      <c r="E11592" s="94">
        <f>INDEX(매칭테이블!C:D,MATCH(RD!G11592,매칭테이블!D:D,0),1)</f>
        <v/>
      </c>
      <c r="F11592" s="94" t="inlineStr">
        <is>
          <t>카페24</t>
        </is>
      </c>
      <c r="G11592" s="94" t="inlineStr">
        <is>
          <t>어성초 77 클리어 패드옵션=어성초 77 클리어 패드 1개-20% off</t>
        </is>
      </c>
      <c r="K11592" s="94" t="n">
        <v>1</v>
      </c>
      <c r="L11592" s="94" t="n">
        <v>201208</v>
      </c>
      <c r="M11592" s="94">
        <f>VLOOKUP($Q11592,매칭테이블!$F:$I,2,0)*K11592</f>
        <v/>
      </c>
      <c r="N11592" s="94">
        <f>M11592-M11592*VLOOKUP($Q11592,매칭테이블!$F:$I,3,0)</f>
        <v/>
      </c>
      <c r="O11592" s="94">
        <f>VLOOKUP($Q11592,매칭테이블!$F:$I,4,0)*K11592</f>
        <v/>
      </c>
      <c r="P11592" s="148">
        <f>M11592/1.1</f>
        <v/>
      </c>
      <c r="Q11592" s="94">
        <f>F11592&amp;E11592&amp;G11592&amp;L11592</f>
        <v/>
      </c>
    </row>
    <row r="11593">
      <c r="B11593" s="128" t="n">
        <v>44167</v>
      </c>
      <c r="C11593" s="94">
        <f>TEXT(B11593,"aaa")</f>
        <v/>
      </c>
      <c r="E11593" s="94">
        <f>INDEX(매칭테이블!C:D,MATCH(RD!G11593,매칭테이블!D:D,0),1)</f>
        <v/>
      </c>
      <c r="F11593" s="94" t="inlineStr">
        <is>
          <t>카페24</t>
        </is>
      </c>
      <c r="G11593" s="94" t="inlineStr">
        <is>
          <t>어성초 77 클리어 패드옵션=어성초 77 클리어 패드 2개-30% off (무료배송)</t>
        </is>
      </c>
      <c r="K11593" s="94" t="n">
        <v>1</v>
      </c>
      <c r="L11593" s="94" t="n">
        <v>201208</v>
      </c>
      <c r="M11593" s="94">
        <f>VLOOKUP($Q11593,매칭테이블!$F:$I,2,0)*K11593</f>
        <v/>
      </c>
      <c r="N11593" s="94">
        <f>M11593-M11593*VLOOKUP($Q11593,매칭테이블!$F:$I,3,0)</f>
        <v/>
      </c>
      <c r="O11593" s="94">
        <f>VLOOKUP($Q11593,매칭테이블!$F:$I,4,0)*K11593</f>
        <v/>
      </c>
      <c r="P11593" s="148">
        <f>M11593/1.1</f>
        <v/>
      </c>
      <c r="Q11593" s="94">
        <f>F11593&amp;E11593&amp;G11593&amp;L11593</f>
        <v/>
      </c>
    </row>
    <row r="11594">
      <c r="B11594" s="128" t="n">
        <v>44167</v>
      </c>
      <c r="C11594" s="94">
        <f>TEXT(B11594,"aaa")</f>
        <v/>
      </c>
      <c r="E11594" s="94">
        <f>INDEX(매칭테이블!C:D,MATCH(RD!G11594,매칭테이블!D:D,0),1)</f>
        <v/>
      </c>
      <c r="F11594" s="94" t="inlineStr">
        <is>
          <t>카페24</t>
        </is>
      </c>
      <c r="G11594" s="94" t="inlineStr">
        <is>
          <t>어성초 77 토너</t>
        </is>
      </c>
      <c r="K11594" s="94" t="n">
        <v>4</v>
      </c>
      <c r="L11594" s="94" t="n">
        <v>201208</v>
      </c>
      <c r="M11594" s="94">
        <f>VLOOKUP($Q11594,매칭테이블!$F:$I,2,0)*K11594</f>
        <v/>
      </c>
      <c r="N11594" s="94">
        <f>M11594-M11594*VLOOKUP($Q11594,매칭테이블!$F:$I,3,0)</f>
        <v/>
      </c>
      <c r="O11594" s="94">
        <f>VLOOKUP($Q11594,매칭테이블!$F:$I,4,0)*K11594</f>
        <v/>
      </c>
      <c r="P11594" s="148">
        <f>M11594/1.1</f>
        <v/>
      </c>
      <c r="Q11594" s="94">
        <f>F11594&amp;E11594&amp;G11594&amp;L11594</f>
        <v/>
      </c>
    </row>
    <row r="11595">
      <c r="B11595" s="128" t="n">
        <v>44167</v>
      </c>
      <c r="C11595" s="94">
        <f>TEXT(B11595,"aaa")</f>
        <v/>
      </c>
      <c r="E11595" s="94">
        <f>INDEX(매칭테이블!C:D,MATCH(RD!G11595,매칭테이블!D:D,0),1)</f>
        <v/>
      </c>
      <c r="F11595" s="94" t="inlineStr">
        <is>
          <t>카페24</t>
        </is>
      </c>
      <c r="G11595" s="94" t="inlineStr">
        <is>
          <t>어성초 77 토너토너(필수)=어성초 77 토너 1개-20% off</t>
        </is>
      </c>
      <c r="K11595" s="94" t="n">
        <v>1</v>
      </c>
      <c r="L11595" s="94" t="n">
        <v>201208</v>
      </c>
      <c r="M11595" s="94">
        <f>VLOOKUP($Q11595,매칭테이블!$F:$I,2,0)*K11595</f>
        <v/>
      </c>
      <c r="N11595" s="94">
        <f>M11595-M11595*VLOOKUP($Q11595,매칭테이블!$F:$I,3,0)</f>
        <v/>
      </c>
      <c r="O11595" s="94">
        <f>VLOOKUP($Q11595,매칭테이블!$F:$I,4,0)*K11595</f>
        <v/>
      </c>
      <c r="P11595" s="148">
        <f>M11595/1.1</f>
        <v/>
      </c>
      <c r="Q11595" s="94">
        <f>F11595&amp;E11595&amp;G11595&amp;L11595</f>
        <v/>
      </c>
    </row>
    <row r="11596">
      <c r="B11596" s="128" t="n">
        <v>44167</v>
      </c>
      <c r="C11596" s="94">
        <f>TEXT(B11596,"aaa")</f>
        <v/>
      </c>
      <c r="E11596" s="94">
        <f>INDEX(매칭테이블!C:D,MATCH(RD!G11596,매칭테이블!D:D,0),1)</f>
        <v/>
      </c>
      <c r="F11596" s="94" t="inlineStr">
        <is>
          <t>카페24</t>
        </is>
      </c>
      <c r="G11596" s="94" t="inlineStr">
        <is>
          <t>어성초 78 수딩 크림</t>
        </is>
      </c>
      <c r="K11596" s="94" t="n">
        <v>7</v>
      </c>
      <c r="L11596" s="94" t="n">
        <v>201208</v>
      </c>
      <c r="M11596" s="94">
        <f>VLOOKUP($Q11596,매칭테이블!$F:$I,2,0)*K11596</f>
        <v/>
      </c>
      <c r="N11596" s="94">
        <f>M11596-M11596*VLOOKUP($Q11596,매칭테이블!$F:$I,3,0)</f>
        <v/>
      </c>
      <c r="O11596" s="94">
        <f>VLOOKUP($Q11596,매칭테이블!$F:$I,4,0)*K11596</f>
        <v/>
      </c>
      <c r="P11596" s="148">
        <f>M11596/1.1</f>
        <v/>
      </c>
      <c r="Q11596" s="94">
        <f>F11596&amp;E11596&amp;G11596&amp;L11596</f>
        <v/>
      </c>
    </row>
    <row r="11597">
      <c r="B11597" s="128" t="n">
        <v>44167</v>
      </c>
      <c r="C11597" s="94">
        <f>TEXT(B11597,"aaa")</f>
        <v/>
      </c>
      <c r="E11597" s="94">
        <f>INDEX(매칭테이블!C:D,MATCH(RD!G11597,매칭테이블!D:D,0),1)</f>
        <v/>
      </c>
      <c r="F11597" s="94" t="inlineStr">
        <is>
          <t>카페24</t>
        </is>
      </c>
      <c r="G11597" s="94" t="inlineStr">
        <is>
          <t>어성초 78 수딩 크림</t>
        </is>
      </c>
      <c r="K11597" s="94" t="n">
        <v>2</v>
      </c>
      <c r="L11597" s="94" t="n">
        <v>201208</v>
      </c>
      <c r="M11597" s="94">
        <f>VLOOKUP($Q11597,매칭테이블!$F:$I,2,0)*K11597</f>
        <v/>
      </c>
      <c r="N11597" s="94">
        <f>M11597-M11597*VLOOKUP($Q11597,매칭테이블!$F:$I,3,0)</f>
        <v/>
      </c>
      <c r="O11597" s="94">
        <f>VLOOKUP($Q11597,매칭테이블!$F:$I,4,0)*K11597</f>
        <v/>
      </c>
      <c r="P11597" s="148">
        <f>M11597/1.1</f>
        <v/>
      </c>
      <c r="Q11597" s="94">
        <f>F11597&amp;E11597&amp;G11597&amp;L11597</f>
        <v/>
      </c>
    </row>
    <row r="11598">
      <c r="B11598" s="128" t="n">
        <v>44167</v>
      </c>
      <c r="C11598" s="94">
        <f>TEXT(B11598,"aaa")</f>
        <v/>
      </c>
      <c r="E11598" s="94">
        <f>INDEX(매칭테이블!C:D,MATCH(RD!G11598,매칭테이블!D:D,0),1)</f>
        <v/>
      </c>
      <c r="F11598" s="94" t="inlineStr">
        <is>
          <t>카페24</t>
        </is>
      </c>
      <c r="G11598" s="94" t="inlineStr">
        <is>
          <t>어성초 80 수분 진정 앰플앰플=어성초 80 앰플 1개-15%off</t>
        </is>
      </c>
      <c r="K11598" s="94" t="n">
        <v>33</v>
      </c>
      <c r="L11598" s="94" t="n">
        <v>201208</v>
      </c>
      <c r="M11598" s="94">
        <f>VLOOKUP($Q11598,매칭테이블!$F:$I,2,0)*K11598</f>
        <v/>
      </c>
      <c r="N11598" s="94">
        <f>M11598-M11598*VLOOKUP($Q11598,매칭테이블!$F:$I,3,0)</f>
        <v/>
      </c>
      <c r="O11598" s="94">
        <f>VLOOKUP($Q11598,매칭테이블!$F:$I,4,0)*K11598</f>
        <v/>
      </c>
      <c r="P11598" s="148">
        <f>M11598/1.1</f>
        <v/>
      </c>
      <c r="Q11598" s="94">
        <f>F11598&amp;E11598&amp;G11598&amp;L11598</f>
        <v/>
      </c>
    </row>
    <row r="11599">
      <c r="B11599" s="128" t="n">
        <v>44167</v>
      </c>
      <c r="C11599" s="94">
        <f>TEXT(B11599,"aaa")</f>
        <v/>
      </c>
      <c r="E11599" s="94">
        <f>INDEX(매칭테이블!C:D,MATCH(RD!G11599,매칭테이블!D:D,0),1)</f>
        <v/>
      </c>
      <c r="F11599" s="94" t="inlineStr">
        <is>
          <t>카페24</t>
        </is>
      </c>
      <c r="G11599" s="94" t="inlineStr">
        <is>
          <t>어성초 80 수분 진정 앰플앰플=어성초 80 앰플 2개-27%off (무료배송)</t>
        </is>
      </c>
      <c r="K11599" s="94" t="n">
        <v>11</v>
      </c>
      <c r="L11599" s="94" t="n">
        <v>201208</v>
      </c>
      <c r="M11599" s="94">
        <f>VLOOKUP($Q11599,매칭테이블!$F:$I,2,0)*K11599</f>
        <v/>
      </c>
      <c r="N11599" s="94">
        <f>M11599-M11599*VLOOKUP($Q11599,매칭테이블!$F:$I,3,0)</f>
        <v/>
      </c>
      <c r="O11599" s="94">
        <f>VLOOKUP($Q11599,매칭테이블!$F:$I,4,0)*K11599</f>
        <v/>
      </c>
      <c r="P11599" s="148">
        <f>M11599/1.1</f>
        <v/>
      </c>
      <c r="Q11599" s="94">
        <f>F11599&amp;E11599&amp;G11599&amp;L11599</f>
        <v/>
      </c>
    </row>
    <row r="11600">
      <c r="B11600" s="128" t="n">
        <v>44167</v>
      </c>
      <c r="C11600" s="94">
        <f>TEXT(B11600,"aaa")</f>
        <v/>
      </c>
      <c r="E11600" s="94">
        <f>INDEX(매칭테이블!C:D,MATCH(RD!G11600,매칭테이블!D:D,0),1)</f>
        <v/>
      </c>
      <c r="F11600" s="94" t="inlineStr">
        <is>
          <t>카페24</t>
        </is>
      </c>
      <c r="G11600" s="94" t="inlineStr">
        <is>
          <t>어성초 80 수분 진정 앰플</t>
        </is>
      </c>
      <c r="K11600" s="94" t="n">
        <v>2</v>
      </c>
      <c r="L11600" s="94" t="n">
        <v>201208</v>
      </c>
      <c r="M11600" s="94">
        <f>VLOOKUP($Q11600,매칭테이블!$F:$I,2,0)*K11600</f>
        <v/>
      </c>
      <c r="N11600" s="94">
        <f>M11600-M11600*VLOOKUP($Q11600,매칭테이블!$F:$I,3,0)</f>
        <v/>
      </c>
      <c r="O11600" s="94">
        <f>VLOOKUP($Q11600,매칭테이블!$F:$I,4,0)*K11600</f>
        <v/>
      </c>
      <c r="P11600" s="148">
        <f>M11600/1.1</f>
        <v/>
      </c>
      <c r="Q11600" s="94">
        <f>F11600&amp;E11600&amp;G11600&amp;L11600</f>
        <v/>
      </c>
    </row>
    <row r="11601">
      <c r="B11601" s="128" t="n">
        <v>44167</v>
      </c>
      <c r="C11601" s="94">
        <f>TEXT(B11601,"aaa")</f>
        <v/>
      </c>
      <c r="E11601" s="94">
        <f>INDEX(매칭테이블!C:D,MATCH(RD!G11601,매칭테이블!D:D,0),1)</f>
        <v/>
      </c>
      <c r="F11601" s="94" t="inlineStr">
        <is>
          <t>카페24</t>
        </is>
      </c>
      <c r="G11601" s="94" t="inlineStr">
        <is>
          <t>어성초 80 수분 진정 앰플옵션=어성초 80 앰플 1개 - 15%off</t>
        </is>
      </c>
      <c r="K11601" s="94" t="n">
        <v>1</v>
      </c>
      <c r="L11601" s="94" t="n">
        <v>201208</v>
      </c>
      <c r="M11601" s="94">
        <f>VLOOKUP($Q11601,매칭테이블!$F:$I,2,0)*K11601</f>
        <v/>
      </c>
      <c r="N11601" s="94">
        <f>M11601-M11601*VLOOKUP($Q11601,매칭테이블!$F:$I,3,0)</f>
        <v/>
      </c>
      <c r="O11601" s="94">
        <f>VLOOKUP($Q11601,매칭테이블!$F:$I,4,0)*K11601</f>
        <v/>
      </c>
      <c r="P11601" s="148">
        <f>M11601/1.1</f>
        <v/>
      </c>
      <c r="Q11601" s="94">
        <f>F11601&amp;E11601&amp;G11601&amp;L11601</f>
        <v/>
      </c>
    </row>
    <row r="11602">
      <c r="B11602" s="128" t="n">
        <v>44167</v>
      </c>
      <c r="C11602" s="94">
        <f>TEXT(B11602,"aaa")</f>
        <v/>
      </c>
      <c r="E11602" s="94">
        <f>INDEX(매칭테이블!C:D,MATCH(RD!G11602,매칭테이블!D:D,0),1)</f>
        <v/>
      </c>
      <c r="F11602" s="94" t="inlineStr">
        <is>
          <t>카페24</t>
        </is>
      </c>
      <c r="G11602" s="94" t="inlineStr">
        <is>
          <t>어성초 아크네 바디워시옵션=어성초 아크네 바디워시 1개 -30% off</t>
        </is>
      </c>
      <c r="K11602" s="94" t="n">
        <v>1</v>
      </c>
      <c r="L11602" s="94" t="n">
        <v>201208</v>
      </c>
      <c r="M11602" s="94">
        <f>VLOOKUP($Q11602,매칭테이블!$F:$I,2,0)*K11602</f>
        <v/>
      </c>
      <c r="N11602" s="94">
        <f>M11602-M11602*VLOOKUP($Q11602,매칭테이블!$F:$I,3,0)</f>
        <v/>
      </c>
      <c r="O11602" s="94">
        <f>VLOOKUP($Q11602,매칭테이블!$F:$I,4,0)*K11602</f>
        <v/>
      </c>
      <c r="P11602" s="148">
        <f>M11602/1.1</f>
        <v/>
      </c>
      <c r="Q11602" s="94">
        <f>F11602&amp;E11602&amp;G11602&amp;L11602</f>
        <v/>
      </c>
    </row>
    <row r="11603">
      <c r="B11603" s="128" t="n">
        <v>44167</v>
      </c>
      <c r="C11603" s="94">
        <f>TEXT(B11603,"aaa")</f>
        <v/>
      </c>
      <c r="E11603" s="94">
        <f>INDEX(매칭테이블!C:D,MATCH(RD!G11603,매칭테이블!D:D,0),1)</f>
        <v/>
      </c>
      <c r="F11603" s="94" t="inlineStr">
        <is>
          <t>카페24</t>
        </is>
      </c>
      <c r="G11603" s="94" t="inlineStr">
        <is>
          <t>어성초 아크네 바디워시옵션=어성초 아크네 바디워시 2개 -35% off (무료배송)</t>
        </is>
      </c>
      <c r="K11603" s="94" t="n">
        <v>3</v>
      </c>
      <c r="L11603" s="94" t="n">
        <v>201208</v>
      </c>
      <c r="M11603" s="94">
        <f>VLOOKUP($Q11603,매칭테이블!$F:$I,2,0)*K11603</f>
        <v/>
      </c>
      <c r="N11603" s="94">
        <f>M11603-M11603*VLOOKUP($Q11603,매칭테이블!$F:$I,3,0)</f>
        <v/>
      </c>
      <c r="O11603" s="94">
        <f>VLOOKUP($Q11603,매칭테이블!$F:$I,4,0)*K11603</f>
        <v/>
      </c>
      <c r="P11603" s="148">
        <f>M11603/1.1</f>
        <v/>
      </c>
      <c r="Q11603" s="94">
        <f>F11603&amp;E11603&amp;G11603&amp;L11603</f>
        <v/>
      </c>
    </row>
    <row r="11604">
      <c r="B11604" s="128" t="n">
        <v>44167</v>
      </c>
      <c r="C11604" s="94">
        <f>TEXT(B11604,"aaa")</f>
        <v/>
      </c>
      <c r="E11604" s="94">
        <f>INDEX(매칭테이블!C:D,MATCH(RD!G11604,매칭테이블!D:D,0),1)</f>
        <v/>
      </c>
      <c r="F11604" s="94" t="inlineStr">
        <is>
          <t>카페24</t>
        </is>
      </c>
      <c r="G11604" s="94" t="inlineStr">
        <is>
          <t>어성초 약산성 클렌징폼클렌징폼=어성초 약산성 클렌징폼 1개 -19%off</t>
        </is>
      </c>
      <c r="K11604" s="94" t="n">
        <v>22</v>
      </c>
      <c r="L11604" s="94" t="n">
        <v>201208</v>
      </c>
      <c r="M11604" s="94">
        <f>VLOOKUP($Q11604,매칭테이블!$F:$I,2,0)*K11604</f>
        <v/>
      </c>
      <c r="N11604" s="94">
        <f>M11604-M11604*VLOOKUP($Q11604,매칭테이블!$F:$I,3,0)</f>
        <v/>
      </c>
      <c r="O11604" s="94">
        <f>VLOOKUP($Q11604,매칭테이블!$F:$I,4,0)*K11604</f>
        <v/>
      </c>
      <c r="P11604" s="148">
        <f>M11604/1.1</f>
        <v/>
      </c>
      <c r="Q11604" s="94">
        <f>F11604&amp;E11604&amp;G11604&amp;L11604</f>
        <v/>
      </c>
    </row>
    <row r="11605">
      <c r="B11605" s="128" t="n">
        <v>44167</v>
      </c>
      <c r="C11605" s="94">
        <f>TEXT(B11605,"aaa")</f>
        <v/>
      </c>
      <c r="E11605" s="94">
        <f>INDEX(매칭테이블!C:D,MATCH(RD!G11605,매칭테이블!D:D,0),1)</f>
        <v/>
      </c>
      <c r="F11605" s="94" t="inlineStr">
        <is>
          <t>카페24</t>
        </is>
      </c>
      <c r="G11605" s="94" t="inlineStr">
        <is>
          <t>어성초 약산성 클렌징폼클렌징폼=어성초 약산성 클렌징폼 2개 -25%off</t>
        </is>
      </c>
      <c r="K11605" s="94" t="n">
        <v>7</v>
      </c>
      <c r="L11605" s="94" t="n">
        <v>201208</v>
      </c>
      <c r="M11605" s="94">
        <f>VLOOKUP($Q11605,매칭테이블!$F:$I,2,0)*K11605</f>
        <v/>
      </c>
      <c r="N11605" s="94">
        <f>M11605-M11605*VLOOKUP($Q11605,매칭테이블!$F:$I,3,0)</f>
        <v/>
      </c>
      <c r="O11605" s="94">
        <f>VLOOKUP($Q11605,매칭테이블!$F:$I,4,0)*K11605</f>
        <v/>
      </c>
      <c r="P11605" s="148">
        <f>M11605/1.1</f>
        <v/>
      </c>
      <c r="Q11605" s="94">
        <f>F11605&amp;E11605&amp;G11605&amp;L11605</f>
        <v/>
      </c>
    </row>
    <row r="11606">
      <c r="B11606" s="128" t="n">
        <v>44167</v>
      </c>
      <c r="C11606" s="94">
        <f>TEXT(B11606,"aaa")</f>
        <v/>
      </c>
      <c r="E11606" s="94">
        <f>INDEX(매칭테이블!C:D,MATCH(RD!G11606,매칭테이블!D:D,0),1)</f>
        <v/>
      </c>
      <c r="F11606" s="94" t="inlineStr">
        <is>
          <t>카페24</t>
        </is>
      </c>
      <c r="G11606" s="94" t="inlineStr">
        <is>
          <t>어성초 약산성 클렌징폼클렌징폼=어성초 약산성 클렌징폼 3개 -31%off (무료배송)</t>
        </is>
      </c>
      <c r="K11606" s="94" t="n">
        <v>2</v>
      </c>
      <c r="L11606" s="94" t="n">
        <v>201208</v>
      </c>
      <c r="M11606" s="94">
        <f>VLOOKUP($Q11606,매칭테이블!$F:$I,2,0)*K11606</f>
        <v/>
      </c>
      <c r="N11606" s="94">
        <f>M11606-M11606*VLOOKUP($Q11606,매칭테이블!$F:$I,3,0)</f>
        <v/>
      </c>
      <c r="O11606" s="94">
        <f>VLOOKUP($Q11606,매칭테이블!$F:$I,4,0)*K11606</f>
        <v/>
      </c>
      <c r="P11606" s="148">
        <f>M11606/1.1</f>
        <v/>
      </c>
      <c r="Q11606" s="94">
        <f>F11606&amp;E11606&amp;G11606&amp;L11606</f>
        <v/>
      </c>
    </row>
    <row r="11607">
      <c r="B11607" s="128" t="n">
        <v>44167</v>
      </c>
      <c r="C11607" s="94">
        <f>TEXT(B11607,"aaa")</f>
        <v/>
      </c>
      <c r="E11607" s="94">
        <f>INDEX(매칭테이블!C:D,MATCH(RD!G11607,매칭테이블!D:D,0),1)</f>
        <v/>
      </c>
      <c r="F11607" s="94" t="inlineStr">
        <is>
          <t>카페24</t>
        </is>
      </c>
      <c r="G11607" s="94" t="inlineStr">
        <is>
          <t>어성초 크림마스크 나이트 솔루션옵션=어성초 크림마스크 나이트 솔루션 10장 (-50%)</t>
        </is>
      </c>
      <c r="K11607" s="94" t="n">
        <v>1</v>
      </c>
      <c r="L11607" s="94" t="n">
        <v>201208</v>
      </c>
      <c r="M11607" s="94">
        <f>VLOOKUP($Q11607,매칭테이블!$F:$I,2,0)*K11607</f>
        <v/>
      </c>
      <c r="N11607" s="94">
        <f>M11607-M11607*VLOOKUP($Q11607,매칭테이블!$F:$I,3,0)</f>
        <v/>
      </c>
      <c r="O11607" s="94">
        <f>VLOOKUP($Q11607,매칭테이블!$F:$I,4,0)*K11607</f>
        <v/>
      </c>
      <c r="P11607" s="148">
        <f>M11607/1.1</f>
        <v/>
      </c>
      <c r="Q11607" s="94">
        <f>F11607&amp;E11607&amp;G11607&amp;L11607</f>
        <v/>
      </c>
    </row>
    <row r="11608">
      <c r="B11608" s="128" t="n">
        <v>44167</v>
      </c>
      <c r="C11608" s="94">
        <f>TEXT(B11608,"aaa")</f>
        <v/>
      </c>
      <c r="E11608" s="94">
        <f>INDEX(매칭테이블!C:D,MATCH(RD!G11608,매칭테이블!D:D,0),1)</f>
        <v/>
      </c>
      <c r="F11608" s="94" t="inlineStr">
        <is>
          <t>카페24</t>
        </is>
      </c>
      <c r="G11608" s="94" t="inlineStr">
        <is>
          <t>촉촉 스킨팩 화장솜</t>
        </is>
      </c>
      <c r="K11608" s="94" t="n">
        <v>23</v>
      </c>
      <c r="L11608" s="94" t="n">
        <v>201208</v>
      </c>
      <c r="M11608" s="94">
        <f>VLOOKUP($Q11608,매칭테이블!$F:$I,2,0)*K11608</f>
        <v/>
      </c>
      <c r="N11608" s="94">
        <f>M11608-M11608*VLOOKUP($Q11608,매칭테이블!$F:$I,3,0)</f>
        <v/>
      </c>
      <c r="O11608" s="94">
        <f>VLOOKUP($Q11608,매칭테이블!$F:$I,4,0)*K11608</f>
        <v/>
      </c>
      <c r="P11608" s="148">
        <f>M11608/1.1</f>
        <v/>
      </c>
      <c r="Q11608" s="94">
        <f>F11608&amp;E11608&amp;G11608&amp;L11608</f>
        <v/>
      </c>
    </row>
    <row r="11609">
      <c r="B11609" s="128" t="n">
        <v>44167</v>
      </c>
      <c r="C11609" s="94">
        <f>TEXT(B11609,"aaa")</f>
        <v/>
      </c>
      <c r="E11609" s="94">
        <f>INDEX(매칭테이블!C:D,MATCH(RD!G11609,매칭테이블!D:D,0),1)</f>
        <v/>
      </c>
      <c r="F11609" s="94" t="inlineStr">
        <is>
          <t>카페24</t>
        </is>
      </c>
      <c r="G11609" s="94" t="inlineStr">
        <is>
          <t>촉촉 스킨팩 화장솜</t>
        </is>
      </c>
      <c r="K11609" s="94" t="n">
        <v>1</v>
      </c>
      <c r="L11609" s="94" t="n">
        <v>201208</v>
      </c>
      <c r="M11609" s="94">
        <f>VLOOKUP($Q11609,매칭테이블!$F:$I,2,0)*K11609</f>
        <v/>
      </c>
      <c r="N11609" s="94">
        <f>M11609-M11609*VLOOKUP($Q11609,매칭테이블!$F:$I,3,0)</f>
        <v/>
      </c>
      <c r="O11609" s="94">
        <f>VLOOKUP($Q11609,매칭테이블!$F:$I,4,0)*K11609</f>
        <v/>
      </c>
      <c r="P11609" s="148">
        <f>M11609/1.1</f>
        <v/>
      </c>
      <c r="Q11609" s="94">
        <f>F11609&amp;E11609&amp;G11609&amp;L11609</f>
        <v/>
      </c>
    </row>
    <row r="11610">
      <c r="B11610" s="128" t="n">
        <v>44167</v>
      </c>
      <c r="C11610" s="94">
        <f>TEXT(B11610,"aaa")</f>
        <v/>
      </c>
      <c r="E11610" s="94">
        <f>INDEX(매칭테이블!C:D,MATCH(RD!G11610,매칭테이블!D:D,0),1)</f>
        <v/>
      </c>
      <c r="F11610" s="94" t="inlineStr">
        <is>
          <t>화해</t>
        </is>
      </c>
      <c r="G11610" s="94" t="inlineStr">
        <is>
          <t>어성초 77 토너 250ml어성초 77 토너 250ml</t>
        </is>
      </c>
      <c r="K11610" s="94" t="n">
        <v>7</v>
      </c>
      <c r="L11610" s="94" t="n">
        <v>201208</v>
      </c>
      <c r="M11610" s="94">
        <f>VLOOKUP($Q11610,매칭테이블!$F:$I,2,0)*K11610</f>
        <v/>
      </c>
      <c r="N11610" s="94">
        <f>M11610-M11610*VLOOKUP($Q11610,매칭테이블!$F:$I,3,0)</f>
        <v/>
      </c>
      <c r="O11610" s="94">
        <f>VLOOKUP($Q11610,매칭테이블!$F:$I,4,0)*K11610</f>
        <v/>
      </c>
      <c r="P11610" s="148">
        <f>M11610/1.1</f>
        <v/>
      </c>
      <c r="Q11610" s="94">
        <f>F11610&amp;E11610&amp;G11610&amp;L11610</f>
        <v/>
      </c>
    </row>
    <row r="11611">
      <c r="B11611" s="128" t="n">
        <v>44168</v>
      </c>
      <c r="C11611" s="94">
        <f>TEXT(B11611,"aaa")</f>
        <v/>
      </c>
      <c r="E11611" s="94">
        <f>INDEX(매칭테이블!C:D,MATCH(RD!G11611,매칭테이블!D:D,0),1)</f>
        <v/>
      </c>
      <c r="F11611" s="94" t="inlineStr">
        <is>
          <t>W컨셉</t>
        </is>
      </c>
      <c r="G11611" s="94" t="inlineStr">
        <is>
          <t>어성초 77토너 (2 SET) HEARTLEAF 77% SOOTHING TONER 250ml250ml 2set</t>
        </is>
      </c>
      <c r="K11611" s="94" t="n">
        <v>6</v>
      </c>
      <c r="L11611" s="94" t="n">
        <v>201208</v>
      </c>
      <c r="M11611" s="94">
        <f>VLOOKUP($Q11611,매칭테이블!$F:$I,2,0)*K11611</f>
        <v/>
      </c>
      <c r="N11611" s="94">
        <f>M11611-M11611*VLOOKUP($Q11611,매칭테이블!$F:$I,3,0)</f>
        <v/>
      </c>
      <c r="O11611" s="94">
        <f>VLOOKUP($Q11611,매칭테이블!$F:$I,4,0)*K11611</f>
        <v/>
      </c>
      <c r="P11611" s="148">
        <f>M11611/1.1</f>
        <v/>
      </c>
      <c r="Q11611" s="94">
        <f>F11611&amp;E11611&amp;G11611&amp;L11611</f>
        <v/>
      </c>
    </row>
    <row r="11612">
      <c r="B11612" s="128" t="n">
        <v>44168</v>
      </c>
      <c r="C11612" s="94">
        <f>TEXT(B11612,"aaa")</f>
        <v/>
      </c>
      <c r="E11612" s="94">
        <f>INDEX(매칭테이블!C:D,MATCH(RD!G11612,매칭테이블!D:D,0),1)</f>
        <v/>
      </c>
      <c r="F11612" s="94" t="inlineStr">
        <is>
          <t>W컨셉</t>
        </is>
      </c>
      <c r="G11612" s="94" t="inlineStr">
        <is>
          <t>어성초 77토너 HEARTLEAF 77% SOOTHING TONER 250ml250ml</t>
        </is>
      </c>
      <c r="K11612" s="94" t="n">
        <v>2</v>
      </c>
      <c r="L11612" s="94" t="n">
        <v>201208</v>
      </c>
      <c r="M11612" s="94">
        <f>VLOOKUP($Q11612,매칭테이블!$F:$I,2,0)*K11612</f>
        <v/>
      </c>
      <c r="N11612" s="94">
        <f>M11612-M11612*VLOOKUP($Q11612,매칭테이블!$F:$I,3,0)</f>
        <v/>
      </c>
      <c r="O11612" s="94">
        <f>VLOOKUP($Q11612,매칭테이블!$F:$I,4,0)*K11612</f>
        <v/>
      </c>
      <c r="P11612" s="148">
        <f>M11612/1.1</f>
        <v/>
      </c>
      <c r="Q11612" s="94">
        <f>F11612&amp;E11612&amp;G11612&amp;L11612</f>
        <v/>
      </c>
    </row>
    <row r="11613">
      <c r="B11613" s="128" t="n">
        <v>44168</v>
      </c>
      <c r="C11613" s="94">
        <f>TEXT(B11613,"aaa")</f>
        <v/>
      </c>
      <c r="E11613" s="94">
        <f>INDEX(매칭테이블!C:D,MATCH(RD!G11613,매칭테이블!D:D,0),1)</f>
        <v/>
      </c>
      <c r="F11613" s="94" t="inlineStr">
        <is>
          <t>스타일쉐어</t>
        </is>
      </c>
      <c r="G11613" s="94" t="inlineStr">
        <is>
          <t>아누아 어성초 77 토너 250ml</t>
        </is>
      </c>
      <c r="K11613" s="94" t="n">
        <v>1</v>
      </c>
      <c r="L11613" s="94" t="n">
        <v>201208</v>
      </c>
      <c r="M11613" s="94">
        <f>VLOOKUP($Q11613,매칭테이블!$F:$I,2,0)*K11613</f>
        <v/>
      </c>
      <c r="N11613" s="94">
        <f>M11613-M11613*VLOOKUP($Q11613,매칭테이블!$F:$I,3,0)</f>
        <v/>
      </c>
      <c r="O11613" s="94">
        <f>VLOOKUP($Q11613,매칭테이블!$F:$I,4,0)*K11613</f>
        <v/>
      </c>
      <c r="P11613" s="148">
        <f>M11613/1.1</f>
        <v/>
      </c>
      <c r="Q11613" s="94">
        <f>F11613&amp;E11613&amp;G11613&amp;L11613</f>
        <v/>
      </c>
    </row>
    <row r="11614">
      <c r="B11614" s="128" t="n">
        <v>44168</v>
      </c>
      <c r="C11614" s="94">
        <f>TEXT(B11614,"aaa")</f>
        <v/>
      </c>
      <c r="E11614" s="94">
        <f>INDEX(매칭테이블!C:D,MATCH(RD!G11614,매칭테이블!D:D,0),1)</f>
        <v/>
      </c>
      <c r="F11614" s="94" t="inlineStr">
        <is>
          <t>아누아 CS</t>
        </is>
      </c>
      <c r="G11614" s="94" t="inlineStr">
        <is>
          <t>어성초 77 토너 250ml</t>
        </is>
      </c>
      <c r="K11614" s="94" t="n">
        <v>1</v>
      </c>
      <c r="L11614" s="94" t="n">
        <v>201208</v>
      </c>
      <c r="M11614" s="94">
        <f>VLOOKUP($Q11614,매칭테이블!$F:$I,2,0)*K11614</f>
        <v/>
      </c>
      <c r="N11614" s="94">
        <f>M11614-M11614*VLOOKUP($Q11614,매칭테이블!$F:$I,3,0)</f>
        <v/>
      </c>
      <c r="O11614" s="94">
        <f>VLOOKUP($Q11614,매칭테이블!$F:$I,4,0)*K11614</f>
        <v/>
      </c>
      <c r="P11614" s="148">
        <f>M11614/1.1</f>
        <v/>
      </c>
      <c r="Q11614" s="94">
        <f>F11614&amp;E11614&amp;G11614&amp;L11614</f>
        <v/>
      </c>
    </row>
    <row r="11615">
      <c r="B11615" s="128" t="n">
        <v>44168</v>
      </c>
      <c r="C11615" s="94">
        <f>TEXT(B11615,"aaa")</f>
        <v/>
      </c>
      <c r="E11615" s="94">
        <f>INDEX(매칭테이블!C:D,MATCH(RD!G11615,매칭테이블!D:D,0),1)</f>
        <v/>
      </c>
      <c r="F11615" s="94" t="inlineStr">
        <is>
          <t>카페24</t>
        </is>
      </c>
      <c r="G11615" s="94" t="inlineStr">
        <is>
          <t>5 제로 무기자차 선크림옵션=5제로 무기자차 선크림 1개-20% off</t>
        </is>
      </c>
      <c r="K11615" s="94" t="n">
        <v>2</v>
      </c>
      <c r="L11615" s="94" t="n">
        <v>201208</v>
      </c>
      <c r="M11615" s="94">
        <f>VLOOKUP($Q11615,매칭테이블!$F:$I,2,0)*K11615</f>
        <v/>
      </c>
      <c r="N11615" s="94">
        <f>M11615-M11615*VLOOKUP($Q11615,매칭테이블!$F:$I,3,0)</f>
        <v/>
      </c>
      <c r="O11615" s="94">
        <f>VLOOKUP($Q11615,매칭테이블!$F:$I,4,0)*K11615</f>
        <v/>
      </c>
      <c r="P11615" s="148">
        <f>M11615/1.1</f>
        <v/>
      </c>
      <c r="Q11615" s="94">
        <f>F11615&amp;E11615&amp;G11615&amp;L11615</f>
        <v/>
      </c>
    </row>
    <row r="11616">
      <c r="B11616" s="128" t="n">
        <v>44168</v>
      </c>
      <c r="C11616" s="94">
        <f>TEXT(B11616,"aaa")</f>
        <v/>
      </c>
      <c r="E11616" s="94">
        <f>INDEX(매칭테이블!C:D,MATCH(RD!G11616,매칭테이블!D:D,0),1)</f>
        <v/>
      </c>
      <c r="F11616" s="94" t="inlineStr">
        <is>
          <t>카페24</t>
        </is>
      </c>
      <c r="G11616" s="94" t="inlineStr">
        <is>
          <t>[수분 보충 세트] 어성초 77 토너 + 어성초 70 로션옵션=어성초 77 토너 250ml + 어성초 70 로션 200ml -30%</t>
        </is>
      </c>
      <c r="K11616" s="94" t="n">
        <v>26</v>
      </c>
      <c r="L11616" s="94" t="n">
        <v>201208</v>
      </c>
      <c r="M11616" s="94">
        <f>VLOOKUP($Q11616,매칭테이블!$F:$I,2,0)*K11616</f>
        <v/>
      </c>
      <c r="N11616" s="94">
        <f>M11616-M11616*VLOOKUP($Q11616,매칭테이블!$F:$I,3,0)</f>
        <v/>
      </c>
      <c r="O11616" s="94">
        <f>VLOOKUP($Q11616,매칭테이블!$F:$I,4,0)*K11616</f>
        <v/>
      </c>
      <c r="P11616" s="148">
        <f>M11616/1.1</f>
        <v/>
      </c>
      <c r="Q11616" s="94">
        <f>F11616&amp;E11616&amp;G11616&amp;L11616</f>
        <v/>
      </c>
    </row>
    <row r="11617">
      <c r="B11617" s="128" t="n">
        <v>44168</v>
      </c>
      <c r="C11617" s="94">
        <f>TEXT(B11617,"aaa")</f>
        <v/>
      </c>
      <c r="E11617" s="94">
        <f>INDEX(매칭테이블!C:D,MATCH(RD!G11617,매칭테이블!D:D,0),1)</f>
        <v/>
      </c>
      <c r="F11617" s="94" t="inlineStr">
        <is>
          <t>카페24</t>
        </is>
      </c>
      <c r="G11617" s="94" t="inlineStr">
        <is>
          <t>[어성초 진정 패키지 세트] 대용량 토너 + 앰플 + 수딩 크림 + 마스크팩 10장</t>
        </is>
      </c>
      <c r="K11617" s="94" t="n">
        <v>6</v>
      </c>
      <c r="L11617" s="94" t="n">
        <v>201208</v>
      </c>
      <c r="M11617" s="94">
        <f>VLOOKUP($Q11617,매칭테이블!$F:$I,2,0)*K11617</f>
        <v/>
      </c>
      <c r="N11617" s="94">
        <f>M11617-M11617*VLOOKUP($Q11617,매칭테이블!$F:$I,3,0)</f>
        <v/>
      </c>
      <c r="O11617" s="94">
        <f>VLOOKUP($Q11617,매칭테이블!$F:$I,4,0)*K11617</f>
        <v/>
      </c>
      <c r="P11617" s="148">
        <f>M11617/1.1</f>
        <v/>
      </c>
      <c r="Q11617" s="94">
        <f>F11617&amp;E11617&amp;G11617&amp;L11617</f>
        <v/>
      </c>
    </row>
    <row r="11618">
      <c r="B11618" s="128" t="n">
        <v>44168</v>
      </c>
      <c r="C11618" s="94">
        <f>TEXT(B11618,"aaa")</f>
        <v/>
      </c>
      <c r="E11618" s="94">
        <f>INDEX(매칭테이블!C:D,MATCH(RD!G11618,매칭테이블!D:D,0),1)</f>
        <v/>
      </c>
      <c r="F11618" s="94" t="inlineStr">
        <is>
          <t>카페24</t>
        </is>
      </c>
      <c r="G11618" s="94" t="inlineStr">
        <is>
          <t>대용량 어성초 77 수딩 토너 500ml</t>
        </is>
      </c>
      <c r="K11618" s="94" t="n">
        <v>29</v>
      </c>
      <c r="L11618" s="94" t="n">
        <v>201208</v>
      </c>
      <c r="M11618" s="94">
        <f>VLOOKUP($Q11618,매칭테이블!$F:$I,2,0)*K11618</f>
        <v/>
      </c>
      <c r="N11618" s="94">
        <f>M11618-M11618*VLOOKUP($Q11618,매칭테이블!$F:$I,3,0)</f>
        <v/>
      </c>
      <c r="O11618" s="94">
        <f>VLOOKUP($Q11618,매칭테이블!$F:$I,4,0)*K11618</f>
        <v/>
      </c>
      <c r="P11618" s="148">
        <f>M11618/1.1</f>
        <v/>
      </c>
      <c r="Q11618" s="94">
        <f>F11618&amp;E11618&amp;G11618&amp;L11618</f>
        <v/>
      </c>
    </row>
    <row r="11619">
      <c r="B11619" s="128" t="n">
        <v>44168</v>
      </c>
      <c r="C11619" s="94">
        <f>TEXT(B11619,"aaa")</f>
        <v/>
      </c>
      <c r="E11619" s="94">
        <f>INDEX(매칭테이블!C:D,MATCH(RD!G11619,매칭테이블!D:D,0),1)</f>
        <v/>
      </c>
      <c r="F11619" s="94" t="inlineStr">
        <is>
          <t>카페24</t>
        </is>
      </c>
      <c r="G11619" s="94" t="inlineStr">
        <is>
          <t>대용량 어성초 77 토너 500ml</t>
        </is>
      </c>
      <c r="K11619" s="94" t="n">
        <v>2</v>
      </c>
      <c r="L11619" s="94" t="n">
        <v>201208</v>
      </c>
      <c r="M11619" s="94">
        <f>VLOOKUP($Q11619,매칭테이블!$F:$I,2,0)*K11619</f>
        <v/>
      </c>
      <c r="N11619" s="94">
        <f>M11619-M11619*VLOOKUP($Q11619,매칭테이블!$F:$I,3,0)</f>
        <v/>
      </c>
      <c r="O11619" s="94">
        <f>VLOOKUP($Q11619,매칭테이블!$F:$I,4,0)*K11619</f>
        <v/>
      </c>
      <c r="P11619" s="148">
        <f>M11619/1.1</f>
        <v/>
      </c>
      <c r="Q11619" s="94">
        <f>F11619&amp;E11619&amp;G11619&amp;L11619</f>
        <v/>
      </c>
    </row>
    <row r="11620">
      <c r="B11620" s="128" t="n">
        <v>44168</v>
      </c>
      <c r="C11620" s="94">
        <f>TEXT(B11620,"aaa")</f>
        <v/>
      </c>
      <c r="E11620" s="94">
        <f>INDEX(매칭테이블!C:D,MATCH(RD!G11620,매칭테이블!D:D,0),1)</f>
        <v/>
      </c>
      <c r="F11620" s="94" t="inlineStr">
        <is>
          <t>카페24</t>
        </is>
      </c>
      <c r="G11620" s="94" t="inlineStr">
        <is>
          <t>어성초 70 데일리 릴리프 로션로션=어성초 70 데일리 릴리프 로션 1개 -20% off</t>
        </is>
      </c>
      <c r="K11620" s="94" t="n">
        <v>6</v>
      </c>
      <c r="L11620" s="94" t="n">
        <v>201208</v>
      </c>
      <c r="M11620" s="94">
        <f>VLOOKUP($Q11620,매칭테이블!$F:$I,2,0)*K11620</f>
        <v/>
      </c>
      <c r="N11620" s="94">
        <f>M11620-M11620*VLOOKUP($Q11620,매칭테이블!$F:$I,3,0)</f>
        <v/>
      </c>
      <c r="O11620" s="94">
        <f>VLOOKUP($Q11620,매칭테이블!$F:$I,4,0)*K11620</f>
        <v/>
      </c>
      <c r="P11620" s="148">
        <f>M11620/1.1</f>
        <v/>
      </c>
      <c r="Q11620" s="94">
        <f>F11620&amp;E11620&amp;G11620&amp;L11620</f>
        <v/>
      </c>
    </row>
    <row r="11621">
      <c r="B11621" s="128" t="n">
        <v>44168</v>
      </c>
      <c r="C11621" s="94">
        <f>TEXT(B11621,"aaa")</f>
        <v/>
      </c>
      <c r="E11621" s="94">
        <f>INDEX(매칭테이블!C:D,MATCH(RD!G11621,매칭테이블!D:D,0),1)</f>
        <v/>
      </c>
      <c r="F11621" s="94" t="inlineStr">
        <is>
          <t>카페24</t>
        </is>
      </c>
      <c r="G11621" s="94" t="inlineStr">
        <is>
          <t>어성초 70 데일리 릴리프 로션로션=어성초 77토너 + 어성초 70 로션 수분 보충 세트 -30% off</t>
        </is>
      </c>
      <c r="K11621" s="94" t="n">
        <v>2</v>
      </c>
      <c r="L11621" s="94" t="n">
        <v>201208</v>
      </c>
      <c r="M11621" s="94">
        <f>VLOOKUP($Q11621,매칭테이블!$F:$I,2,0)*K11621</f>
        <v/>
      </c>
      <c r="N11621" s="94">
        <f>M11621-M11621*VLOOKUP($Q11621,매칭테이블!$F:$I,3,0)</f>
        <v/>
      </c>
      <c r="O11621" s="94">
        <f>VLOOKUP($Q11621,매칭테이블!$F:$I,4,0)*K11621</f>
        <v/>
      </c>
      <c r="P11621" s="148">
        <f>M11621/1.1</f>
        <v/>
      </c>
      <c r="Q11621" s="94">
        <f>F11621&amp;E11621&amp;G11621&amp;L11621</f>
        <v/>
      </c>
    </row>
    <row r="11622">
      <c r="B11622" s="128" t="n">
        <v>44168</v>
      </c>
      <c r="C11622" s="94">
        <f>TEXT(B11622,"aaa")</f>
        <v/>
      </c>
      <c r="E11622" s="94">
        <f>INDEX(매칭테이블!C:D,MATCH(RD!G11622,매칭테이블!D:D,0),1)</f>
        <v/>
      </c>
      <c r="F11622" s="94" t="inlineStr">
        <is>
          <t>카페24</t>
        </is>
      </c>
      <c r="G11622" s="94" t="inlineStr">
        <is>
          <t>어성초 70 머드 크림 마스크옵션=어성초 70 머드 크림 마스크-20% off</t>
        </is>
      </c>
      <c r="K11622" s="94" t="n">
        <v>3</v>
      </c>
      <c r="L11622" s="94" t="n">
        <v>201208</v>
      </c>
      <c r="M11622" s="94">
        <f>VLOOKUP($Q11622,매칭테이블!$F:$I,2,0)*K11622</f>
        <v/>
      </c>
      <c r="N11622" s="94">
        <f>M11622-M11622*VLOOKUP($Q11622,매칭테이블!$F:$I,3,0)</f>
        <v/>
      </c>
      <c r="O11622" s="94">
        <f>VLOOKUP($Q11622,매칭테이블!$F:$I,4,0)*K11622</f>
        <v/>
      </c>
      <c r="P11622" s="148">
        <f>M11622/1.1</f>
        <v/>
      </c>
      <c r="Q11622" s="94">
        <f>F11622&amp;E11622&amp;G11622&amp;L11622</f>
        <v/>
      </c>
    </row>
    <row r="11623">
      <c r="B11623" s="128" t="n">
        <v>44168</v>
      </c>
      <c r="C11623" s="94">
        <f>TEXT(B11623,"aaa")</f>
        <v/>
      </c>
      <c r="E11623" s="94">
        <f>INDEX(매칭테이블!C:D,MATCH(RD!G11623,매칭테이블!D:D,0),1)</f>
        <v/>
      </c>
      <c r="F11623" s="94" t="inlineStr">
        <is>
          <t>카페24</t>
        </is>
      </c>
      <c r="G11623" s="94" t="inlineStr">
        <is>
          <t>어성초 70 머드 크림 마스크옵션=어성초 70 머드 크림 마스크 2개-30% off (무료배송)</t>
        </is>
      </c>
      <c r="K11623" s="94" t="n">
        <v>2</v>
      </c>
      <c r="L11623" s="94" t="n">
        <v>201208</v>
      </c>
      <c r="M11623" s="94">
        <f>VLOOKUP($Q11623,매칭테이블!$F:$I,2,0)*K11623</f>
        <v/>
      </c>
      <c r="N11623" s="94">
        <f>M11623-M11623*VLOOKUP($Q11623,매칭테이블!$F:$I,3,0)</f>
        <v/>
      </c>
      <c r="O11623" s="94">
        <f>VLOOKUP($Q11623,매칭테이블!$F:$I,4,0)*K11623</f>
        <v/>
      </c>
      <c r="P11623" s="148">
        <f>M11623/1.1</f>
        <v/>
      </c>
      <c r="Q11623" s="94">
        <f>F11623&amp;E11623&amp;G11623&amp;L11623</f>
        <v/>
      </c>
    </row>
    <row r="11624">
      <c r="B11624" s="128" t="n">
        <v>44168</v>
      </c>
      <c r="C11624" s="94">
        <f>TEXT(B11624,"aaa")</f>
        <v/>
      </c>
      <c r="E11624" s="94">
        <f>INDEX(매칭테이블!C:D,MATCH(RD!G11624,매칭테이블!D:D,0),1)</f>
        <v/>
      </c>
      <c r="F11624" s="94" t="inlineStr">
        <is>
          <t>카페24</t>
        </is>
      </c>
      <c r="G11624" s="94" t="inlineStr">
        <is>
          <t>어성초 70 인텐스 카밍 크림크림=어성초 70 인텐스 카밍 크림 1개 (-20%)</t>
        </is>
      </c>
      <c r="K11624" s="94" t="n">
        <v>5</v>
      </c>
      <c r="L11624" s="94" t="n">
        <v>201208</v>
      </c>
      <c r="M11624" s="94">
        <f>VLOOKUP($Q11624,매칭테이블!$F:$I,2,0)*K11624</f>
        <v/>
      </c>
      <c r="N11624" s="94">
        <f>M11624-M11624*VLOOKUP($Q11624,매칭테이블!$F:$I,3,0)</f>
        <v/>
      </c>
      <c r="O11624" s="94">
        <f>VLOOKUP($Q11624,매칭테이블!$F:$I,4,0)*K11624</f>
        <v/>
      </c>
      <c r="P11624" s="148">
        <f>M11624/1.1</f>
        <v/>
      </c>
      <c r="Q11624" s="94">
        <f>F11624&amp;E11624&amp;G11624&amp;L11624</f>
        <v/>
      </c>
    </row>
    <row r="11625">
      <c r="B11625" s="128" t="n">
        <v>44168</v>
      </c>
      <c r="C11625" s="94">
        <f>TEXT(B11625,"aaa")</f>
        <v/>
      </c>
      <c r="E11625" s="94">
        <f>INDEX(매칭테이블!C:D,MATCH(RD!G11625,매칭테이블!D:D,0),1)</f>
        <v/>
      </c>
      <c r="F11625" s="94" t="inlineStr">
        <is>
          <t>카페24</t>
        </is>
      </c>
      <c r="G11625" s="94" t="inlineStr">
        <is>
          <t>어성초 70 인텐스 카밍 크림크림=어성초 토너 250ml + 카밍 크림 50ml (-30%)</t>
        </is>
      </c>
      <c r="K11625" s="94" t="n">
        <v>1</v>
      </c>
      <c r="L11625" s="94" t="n">
        <v>201208</v>
      </c>
      <c r="M11625" s="94">
        <f>VLOOKUP($Q11625,매칭테이블!$F:$I,2,0)*K11625</f>
        <v/>
      </c>
      <c r="N11625" s="94">
        <f>M11625-M11625*VLOOKUP($Q11625,매칭테이블!$F:$I,3,0)</f>
        <v/>
      </c>
      <c r="O11625" s="94">
        <f>VLOOKUP($Q11625,매칭테이블!$F:$I,4,0)*K11625</f>
        <v/>
      </c>
      <c r="P11625" s="148">
        <f>M11625/1.1</f>
        <v/>
      </c>
      <c r="Q11625" s="94">
        <f>F11625&amp;E11625&amp;G11625&amp;L11625</f>
        <v/>
      </c>
    </row>
    <row r="11626">
      <c r="B11626" s="128" t="n">
        <v>44168</v>
      </c>
      <c r="C11626" s="94">
        <f>TEXT(B11626,"aaa")</f>
        <v/>
      </c>
      <c r="E11626" s="94">
        <f>INDEX(매칭테이블!C:D,MATCH(RD!G11626,매칭테이블!D:D,0),1)</f>
        <v/>
      </c>
      <c r="F11626" s="94" t="inlineStr">
        <is>
          <t>카페24</t>
        </is>
      </c>
      <c r="G11626" s="94" t="inlineStr">
        <is>
          <t>어성초 77 수딩 토너토너(필수)=어성초 77 토너 1개-20% off</t>
        </is>
      </c>
      <c r="K11626" s="94" t="n">
        <v>51</v>
      </c>
      <c r="L11626" s="94" t="n">
        <v>201208</v>
      </c>
      <c r="M11626" s="94">
        <f>VLOOKUP($Q11626,매칭테이블!$F:$I,2,0)*K11626</f>
        <v/>
      </c>
      <c r="N11626" s="94">
        <f>M11626-M11626*VLOOKUP($Q11626,매칭테이블!$F:$I,3,0)</f>
        <v/>
      </c>
      <c r="O11626" s="94">
        <f>VLOOKUP($Q11626,매칭테이블!$F:$I,4,0)*K11626</f>
        <v/>
      </c>
      <c r="P11626" s="148">
        <f>M11626/1.1</f>
        <v/>
      </c>
      <c r="Q11626" s="94">
        <f>F11626&amp;E11626&amp;G11626&amp;L11626</f>
        <v/>
      </c>
    </row>
    <row r="11627">
      <c r="B11627" s="128" t="n">
        <v>44168</v>
      </c>
      <c r="C11627" s="94">
        <f>TEXT(B11627,"aaa")</f>
        <v/>
      </c>
      <c r="E11627" s="94">
        <f>INDEX(매칭테이블!C:D,MATCH(RD!G11627,매칭테이블!D:D,0),1)</f>
        <v/>
      </c>
      <c r="F11627" s="94" t="inlineStr">
        <is>
          <t>카페24</t>
        </is>
      </c>
      <c r="G11627" s="94" t="inlineStr">
        <is>
          <t>어성초 77 수딩 토너토너(필수)=어성초 77 토너 2개-30% off (무료배송)</t>
        </is>
      </c>
      <c r="K11627" s="94" t="n">
        <v>24</v>
      </c>
      <c r="L11627" s="94" t="n">
        <v>201208</v>
      </c>
      <c r="M11627" s="94">
        <f>VLOOKUP($Q11627,매칭테이블!$F:$I,2,0)*K11627</f>
        <v/>
      </c>
      <c r="N11627" s="94">
        <f>M11627-M11627*VLOOKUP($Q11627,매칭테이블!$F:$I,3,0)</f>
        <v/>
      </c>
      <c r="O11627" s="94">
        <f>VLOOKUP($Q11627,매칭테이블!$F:$I,4,0)*K11627</f>
        <v/>
      </c>
      <c r="P11627" s="148">
        <f>M11627/1.1</f>
        <v/>
      </c>
      <c r="Q11627" s="94">
        <f>F11627&amp;E11627&amp;G11627&amp;L11627</f>
        <v/>
      </c>
    </row>
    <row r="11628">
      <c r="B11628" s="128" t="n">
        <v>44168</v>
      </c>
      <c r="C11628" s="94">
        <f>TEXT(B11628,"aaa")</f>
        <v/>
      </c>
      <c r="E11628" s="94">
        <f>INDEX(매칭테이블!C:D,MATCH(RD!G11628,매칭테이블!D:D,0),1)</f>
        <v/>
      </c>
      <c r="F11628" s="94" t="inlineStr">
        <is>
          <t>카페24</t>
        </is>
      </c>
      <c r="G11628" s="94" t="inlineStr">
        <is>
          <t>어성초 77 수딩 토너토너(필수)=어성초77토너1개 + 어성초77패드1개 -30% off (무료배송)</t>
        </is>
      </c>
      <c r="K11628" s="94" t="n">
        <v>7</v>
      </c>
      <c r="L11628" s="94" t="n">
        <v>201208</v>
      </c>
      <c r="M11628" s="94">
        <f>VLOOKUP($Q11628,매칭테이블!$F:$I,2,0)*K11628</f>
        <v/>
      </c>
      <c r="N11628" s="94">
        <f>M11628-M11628*VLOOKUP($Q11628,매칭테이블!$F:$I,3,0)</f>
        <v/>
      </c>
      <c r="O11628" s="94">
        <f>VLOOKUP($Q11628,매칭테이블!$F:$I,4,0)*K11628</f>
        <v/>
      </c>
      <c r="P11628" s="148">
        <f>M11628/1.1</f>
        <v/>
      </c>
      <c r="Q11628" s="94">
        <f>F11628&amp;E11628&amp;G11628&amp;L11628</f>
        <v/>
      </c>
    </row>
    <row r="11629">
      <c r="B11629" s="128" t="n">
        <v>44168</v>
      </c>
      <c r="C11629" s="94">
        <f>TEXT(B11629,"aaa")</f>
        <v/>
      </c>
      <c r="E11629" s="94">
        <f>INDEX(매칭테이블!C:D,MATCH(RD!G11629,매칭테이블!D:D,0),1)</f>
        <v/>
      </c>
      <c r="F11629" s="94" t="inlineStr">
        <is>
          <t>카페24</t>
        </is>
      </c>
      <c r="G11629" s="94" t="inlineStr">
        <is>
          <t>어성초 77 수딩 토너화장솜(선택)=촉촉 스킨팩 화장솜</t>
        </is>
      </c>
      <c r="K11629" s="94" t="n">
        <v>27</v>
      </c>
      <c r="L11629" s="94" t="n">
        <v>201208</v>
      </c>
      <c r="M11629" s="94">
        <f>VLOOKUP($Q11629,매칭테이블!$F:$I,2,0)*K11629</f>
        <v/>
      </c>
      <c r="N11629" s="94">
        <f>M11629-M11629*VLOOKUP($Q11629,매칭테이블!$F:$I,3,0)</f>
        <v/>
      </c>
      <c r="O11629" s="94">
        <f>VLOOKUP($Q11629,매칭테이블!$F:$I,4,0)*K11629</f>
        <v/>
      </c>
      <c r="P11629" s="148">
        <f>M11629/1.1</f>
        <v/>
      </c>
      <c r="Q11629" s="94">
        <f>F11629&amp;E11629&amp;G11629&amp;L11629</f>
        <v/>
      </c>
    </row>
    <row r="11630">
      <c r="B11630" s="128" t="n">
        <v>44168</v>
      </c>
      <c r="C11630" s="94">
        <f>TEXT(B11630,"aaa")</f>
        <v/>
      </c>
      <c r="E11630" s="94">
        <f>INDEX(매칭테이블!C:D,MATCH(RD!G11630,매칭테이블!D:D,0),1)</f>
        <v/>
      </c>
      <c r="F11630" s="94" t="inlineStr">
        <is>
          <t>카페24</t>
        </is>
      </c>
      <c r="G11630" s="94" t="inlineStr">
        <is>
          <t>어성초 77 수딩 토너토너(필수)=(대용량) 어성초 77 토너 500ml (무료배송)</t>
        </is>
      </c>
      <c r="K11630" s="94" t="n">
        <v>1</v>
      </c>
      <c r="L11630" s="94" t="n">
        <v>201208</v>
      </c>
      <c r="M11630" s="94">
        <f>VLOOKUP($Q11630,매칭테이블!$F:$I,2,0)*K11630</f>
        <v/>
      </c>
      <c r="N11630" s="94">
        <f>M11630-M11630*VLOOKUP($Q11630,매칭테이블!$F:$I,3,0)</f>
        <v/>
      </c>
      <c r="O11630" s="94">
        <f>VLOOKUP($Q11630,매칭테이블!$F:$I,4,0)*K11630</f>
        <v/>
      </c>
      <c r="P11630" s="148">
        <f>M11630/1.1</f>
        <v/>
      </c>
      <c r="Q11630" s="94">
        <f>F11630&amp;E11630&amp;G11630&amp;L11630</f>
        <v/>
      </c>
    </row>
    <row r="11631">
      <c r="B11631" s="128" t="n">
        <v>44168</v>
      </c>
      <c r="C11631" s="94">
        <f>TEXT(B11631,"aaa")</f>
        <v/>
      </c>
      <c r="E11631" s="94">
        <f>INDEX(매칭테이블!C:D,MATCH(RD!G11631,매칭테이블!D:D,0),1)</f>
        <v/>
      </c>
      <c r="F11631" s="94" t="inlineStr">
        <is>
          <t>카페24</t>
        </is>
      </c>
      <c r="G11631" s="94" t="inlineStr">
        <is>
          <t>어성초 77 진정 마스크옵션=어성초 77 진정 마스크팩 1장</t>
        </is>
      </c>
      <c r="K11631" s="94" t="n">
        <v>2</v>
      </c>
      <c r="L11631" s="94" t="n">
        <v>201208</v>
      </c>
      <c r="M11631" s="94">
        <f>VLOOKUP($Q11631,매칭테이블!$F:$I,2,0)*K11631</f>
        <v/>
      </c>
      <c r="N11631" s="94">
        <f>M11631-M11631*VLOOKUP($Q11631,매칭테이블!$F:$I,3,0)</f>
        <v/>
      </c>
      <c r="O11631" s="94">
        <f>VLOOKUP($Q11631,매칭테이블!$F:$I,4,0)*K11631</f>
        <v/>
      </c>
      <c r="P11631" s="148">
        <f>M11631/1.1</f>
        <v/>
      </c>
      <c r="Q11631" s="94">
        <f>F11631&amp;E11631&amp;G11631&amp;L11631</f>
        <v/>
      </c>
    </row>
    <row r="11632">
      <c r="B11632" s="128" t="n">
        <v>44168</v>
      </c>
      <c r="C11632" s="94">
        <f>TEXT(B11632,"aaa")</f>
        <v/>
      </c>
      <c r="E11632" s="94">
        <f>INDEX(매칭테이블!C:D,MATCH(RD!G11632,매칭테이블!D:D,0),1)</f>
        <v/>
      </c>
      <c r="F11632" s="94" t="inlineStr">
        <is>
          <t>카페24</t>
        </is>
      </c>
      <c r="G11632" s="94" t="inlineStr">
        <is>
          <t>어성초 77 진정 마스크옵션=어성초 77 진정 마스크팩 10장-50% off</t>
        </is>
      </c>
      <c r="K11632" s="94" t="n">
        <v>10</v>
      </c>
      <c r="L11632" s="94" t="n">
        <v>201208</v>
      </c>
      <c r="M11632" s="94">
        <f>VLOOKUP($Q11632,매칭테이블!$F:$I,2,0)*K11632</f>
        <v/>
      </c>
      <c r="N11632" s="94">
        <f>M11632-M11632*VLOOKUP($Q11632,매칭테이블!$F:$I,3,0)</f>
        <v/>
      </c>
      <c r="O11632" s="94">
        <f>VLOOKUP($Q11632,매칭테이블!$F:$I,4,0)*K11632</f>
        <v/>
      </c>
      <c r="P11632" s="148">
        <f>M11632/1.1</f>
        <v/>
      </c>
      <c r="Q11632" s="94">
        <f>F11632&amp;E11632&amp;G11632&amp;L11632</f>
        <v/>
      </c>
    </row>
    <row r="11633">
      <c r="B11633" s="128" t="n">
        <v>44168</v>
      </c>
      <c r="C11633" s="94">
        <f>TEXT(B11633,"aaa")</f>
        <v/>
      </c>
      <c r="E11633" s="94">
        <f>INDEX(매칭테이블!C:D,MATCH(RD!G11633,매칭테이블!D:D,0),1)</f>
        <v/>
      </c>
      <c r="F11633" s="94" t="inlineStr">
        <is>
          <t>카페24</t>
        </is>
      </c>
      <c r="G11633" s="94" t="inlineStr">
        <is>
          <t>어성초 77 진정 마스크</t>
        </is>
      </c>
      <c r="K11633" s="94" t="n">
        <v>4</v>
      </c>
      <c r="L11633" s="94" t="n">
        <v>201208</v>
      </c>
      <c r="M11633" s="94">
        <f>VLOOKUP($Q11633,매칭테이블!$F:$I,2,0)*K11633</f>
        <v/>
      </c>
      <c r="N11633" s="94">
        <f>M11633-M11633*VLOOKUP($Q11633,매칭테이블!$F:$I,3,0)</f>
        <v/>
      </c>
      <c r="O11633" s="94">
        <f>VLOOKUP($Q11633,매칭테이블!$F:$I,4,0)*K11633</f>
        <v/>
      </c>
      <c r="P11633" s="148">
        <f>M11633/1.1</f>
        <v/>
      </c>
      <c r="Q11633" s="94">
        <f>F11633&amp;E11633&amp;G11633&amp;L11633</f>
        <v/>
      </c>
    </row>
    <row r="11634">
      <c r="B11634" s="128" t="n">
        <v>44168</v>
      </c>
      <c r="C11634" s="94">
        <f>TEXT(B11634,"aaa")</f>
        <v/>
      </c>
      <c r="E11634" s="94">
        <f>INDEX(매칭테이블!C:D,MATCH(RD!G11634,매칭테이블!D:D,0),1)</f>
        <v/>
      </c>
      <c r="F11634" s="94" t="inlineStr">
        <is>
          <t>카페24</t>
        </is>
      </c>
      <c r="G11634" s="94" t="inlineStr">
        <is>
          <t>어성초 77 클리어 패드옵션=어성초 77 클리어 패드 1개-20% off</t>
        </is>
      </c>
      <c r="K11634" s="94" t="n">
        <v>44</v>
      </c>
      <c r="L11634" s="94" t="n">
        <v>201208</v>
      </c>
      <c r="M11634" s="94">
        <f>VLOOKUP($Q11634,매칭테이블!$F:$I,2,0)*K11634</f>
        <v/>
      </c>
      <c r="N11634" s="94">
        <f>M11634-M11634*VLOOKUP($Q11634,매칭테이블!$F:$I,3,0)</f>
        <v/>
      </c>
      <c r="O11634" s="94">
        <f>VLOOKUP($Q11634,매칭테이블!$F:$I,4,0)*K11634</f>
        <v/>
      </c>
      <c r="P11634" s="148">
        <f>M11634/1.1</f>
        <v/>
      </c>
      <c r="Q11634" s="94">
        <f>F11634&amp;E11634&amp;G11634&amp;L11634</f>
        <v/>
      </c>
    </row>
    <row r="11635">
      <c r="B11635" s="128" t="n">
        <v>44168</v>
      </c>
      <c r="C11635" s="94">
        <f>TEXT(B11635,"aaa")</f>
        <v/>
      </c>
      <c r="E11635" s="94">
        <f>INDEX(매칭테이블!C:D,MATCH(RD!G11635,매칭테이블!D:D,0),1)</f>
        <v/>
      </c>
      <c r="F11635" s="94" t="inlineStr">
        <is>
          <t>카페24</t>
        </is>
      </c>
      <c r="G11635" s="94" t="inlineStr">
        <is>
          <t>어성초 77 클리어 패드옵션=어성초 77 클리어 패드 2개-30% off (무료배송)</t>
        </is>
      </c>
      <c r="K11635" s="94" t="n">
        <v>77</v>
      </c>
      <c r="L11635" s="94" t="n">
        <v>201208</v>
      </c>
      <c r="M11635" s="94">
        <f>VLOOKUP($Q11635,매칭테이블!$F:$I,2,0)*K11635</f>
        <v/>
      </c>
      <c r="N11635" s="94">
        <f>M11635-M11635*VLOOKUP($Q11635,매칭테이블!$F:$I,3,0)</f>
        <v/>
      </c>
      <c r="O11635" s="94">
        <f>VLOOKUP($Q11635,매칭테이블!$F:$I,4,0)*K11635</f>
        <v/>
      </c>
      <c r="P11635" s="148">
        <f>M11635/1.1</f>
        <v/>
      </c>
      <c r="Q11635" s="94">
        <f>F11635&amp;E11635&amp;G11635&amp;L11635</f>
        <v/>
      </c>
    </row>
    <row r="11636">
      <c r="B11636" s="128" t="n">
        <v>44168</v>
      </c>
      <c r="C11636" s="94">
        <f>TEXT(B11636,"aaa")</f>
        <v/>
      </c>
      <c r="E11636" s="94">
        <f>INDEX(매칭테이블!C:D,MATCH(RD!G11636,매칭테이블!D:D,0),1)</f>
        <v/>
      </c>
      <c r="F11636" s="94" t="inlineStr">
        <is>
          <t>카페24</t>
        </is>
      </c>
      <c r="G11636" s="94" t="inlineStr">
        <is>
          <t>어성초 77 클리어 패드옵션=어성초77토너1개+어성초77패드1개-30% off (무료배송)</t>
        </is>
      </c>
      <c r="K11636" s="94" t="n">
        <v>36</v>
      </c>
      <c r="L11636" s="94" t="n">
        <v>201208</v>
      </c>
      <c r="M11636" s="94">
        <f>VLOOKUP($Q11636,매칭테이블!$F:$I,2,0)*K11636</f>
        <v/>
      </c>
      <c r="N11636" s="94">
        <f>M11636-M11636*VLOOKUP($Q11636,매칭테이블!$F:$I,3,0)</f>
        <v/>
      </c>
      <c r="O11636" s="94">
        <f>VLOOKUP($Q11636,매칭테이블!$F:$I,4,0)*K11636</f>
        <v/>
      </c>
      <c r="P11636" s="148">
        <f>M11636/1.1</f>
        <v/>
      </c>
      <c r="Q11636" s="94">
        <f>F11636&amp;E11636&amp;G11636&amp;L11636</f>
        <v/>
      </c>
    </row>
    <row r="11637">
      <c r="B11637" s="128" t="n">
        <v>44168</v>
      </c>
      <c r="C11637" s="94">
        <f>TEXT(B11637,"aaa")</f>
        <v/>
      </c>
      <c r="E11637" s="94">
        <f>INDEX(매칭테이블!C:D,MATCH(RD!G11637,매칭테이블!D:D,0),1)</f>
        <v/>
      </c>
      <c r="F11637" s="94" t="inlineStr">
        <is>
          <t>카페24</t>
        </is>
      </c>
      <c r="G11637" s="94" t="inlineStr">
        <is>
          <t>어성초 77 클리어 패드옵션=어성초 77 클리어 패드 2개-30% off (무료배송)</t>
        </is>
      </c>
      <c r="K11637" s="94" t="n">
        <v>2</v>
      </c>
      <c r="L11637" s="94" t="n">
        <v>201208</v>
      </c>
      <c r="M11637" s="94">
        <f>VLOOKUP($Q11637,매칭테이블!$F:$I,2,0)*K11637</f>
        <v/>
      </c>
      <c r="N11637" s="94">
        <f>M11637-M11637*VLOOKUP($Q11637,매칭테이블!$F:$I,3,0)</f>
        <v/>
      </c>
      <c r="O11637" s="94">
        <f>VLOOKUP($Q11637,매칭테이블!$F:$I,4,0)*K11637</f>
        <v/>
      </c>
      <c r="P11637" s="148">
        <f>M11637/1.1</f>
        <v/>
      </c>
      <c r="Q11637" s="94">
        <f>F11637&amp;E11637&amp;G11637&amp;L11637</f>
        <v/>
      </c>
    </row>
    <row r="11638">
      <c r="B11638" s="128" t="n">
        <v>44168</v>
      </c>
      <c r="C11638" s="94">
        <f>TEXT(B11638,"aaa")</f>
        <v/>
      </c>
      <c r="E11638" s="94">
        <f>INDEX(매칭테이블!C:D,MATCH(RD!G11638,매칭테이블!D:D,0),1)</f>
        <v/>
      </c>
      <c r="F11638" s="94" t="inlineStr">
        <is>
          <t>카페24</t>
        </is>
      </c>
      <c r="G11638" s="94" t="inlineStr">
        <is>
          <t>어성초 77 토너토너(필수)=어성초 77 토너 1개-20% off</t>
        </is>
      </c>
      <c r="K11638" s="94" t="n">
        <v>2</v>
      </c>
      <c r="L11638" s="94" t="n">
        <v>201208</v>
      </c>
      <c r="M11638" s="94">
        <f>VLOOKUP($Q11638,매칭테이블!$F:$I,2,0)*K11638</f>
        <v/>
      </c>
      <c r="N11638" s="94">
        <f>M11638-M11638*VLOOKUP($Q11638,매칭테이블!$F:$I,3,0)</f>
        <v/>
      </c>
      <c r="O11638" s="94">
        <f>VLOOKUP($Q11638,매칭테이블!$F:$I,4,0)*K11638</f>
        <v/>
      </c>
      <c r="P11638" s="148">
        <f>M11638/1.1</f>
        <v/>
      </c>
      <c r="Q11638" s="94">
        <f>F11638&amp;E11638&amp;G11638&amp;L11638</f>
        <v/>
      </c>
    </row>
    <row r="11639">
      <c r="B11639" s="128" t="n">
        <v>44168</v>
      </c>
      <c r="C11639" s="94">
        <f>TEXT(B11639,"aaa")</f>
        <v/>
      </c>
      <c r="E11639" s="94">
        <f>INDEX(매칭테이블!C:D,MATCH(RD!G11639,매칭테이블!D:D,0),1)</f>
        <v/>
      </c>
      <c r="F11639" s="94" t="inlineStr">
        <is>
          <t>카페24</t>
        </is>
      </c>
      <c r="G11639" s="94" t="inlineStr">
        <is>
          <t>어성초 77 토너화장솜(선택)=촉촉 스킨팩 화장솜</t>
        </is>
      </c>
      <c r="K11639" s="94" t="n">
        <v>1</v>
      </c>
      <c r="L11639" s="94" t="n">
        <v>201208</v>
      </c>
      <c r="M11639" s="94">
        <f>VLOOKUP($Q11639,매칭테이블!$F:$I,2,0)*K11639</f>
        <v/>
      </c>
      <c r="N11639" s="94">
        <f>M11639-M11639*VLOOKUP($Q11639,매칭테이블!$F:$I,3,0)</f>
        <v/>
      </c>
      <c r="O11639" s="94">
        <f>VLOOKUP($Q11639,매칭테이블!$F:$I,4,0)*K11639</f>
        <v/>
      </c>
      <c r="P11639" s="148">
        <f>M11639/1.1</f>
        <v/>
      </c>
      <c r="Q11639" s="94">
        <f>F11639&amp;E11639&amp;G11639&amp;L11639</f>
        <v/>
      </c>
    </row>
    <row r="11640">
      <c r="B11640" s="128" t="n">
        <v>44168</v>
      </c>
      <c r="C11640" s="94">
        <f>TEXT(B11640,"aaa")</f>
        <v/>
      </c>
      <c r="E11640" s="94">
        <f>INDEX(매칭테이블!C:D,MATCH(RD!G11640,매칭테이블!D:D,0),1)</f>
        <v/>
      </c>
      <c r="F11640" s="94" t="inlineStr">
        <is>
          <t>카페24</t>
        </is>
      </c>
      <c r="G11640" s="94" t="inlineStr">
        <is>
          <t>어성초 78 수딩 크림</t>
        </is>
      </c>
      <c r="K11640" s="94" t="n">
        <v>5</v>
      </c>
      <c r="L11640" s="94" t="n">
        <v>201208</v>
      </c>
      <c r="M11640" s="94">
        <f>VLOOKUP($Q11640,매칭테이블!$F:$I,2,0)*K11640</f>
        <v/>
      </c>
      <c r="N11640" s="94">
        <f>M11640-M11640*VLOOKUP($Q11640,매칭테이블!$F:$I,3,0)</f>
        <v/>
      </c>
      <c r="O11640" s="94">
        <f>VLOOKUP($Q11640,매칭테이블!$F:$I,4,0)*K11640</f>
        <v/>
      </c>
      <c r="P11640" s="148">
        <f>M11640/1.1</f>
        <v/>
      </c>
      <c r="Q11640" s="94">
        <f>F11640&amp;E11640&amp;G11640&amp;L11640</f>
        <v/>
      </c>
    </row>
    <row r="11641">
      <c r="B11641" s="128" t="n">
        <v>44168</v>
      </c>
      <c r="C11641" s="94">
        <f>TEXT(B11641,"aaa")</f>
        <v/>
      </c>
      <c r="E11641" s="94">
        <f>INDEX(매칭테이블!C:D,MATCH(RD!G11641,매칭테이블!D:D,0),1)</f>
        <v/>
      </c>
      <c r="F11641" s="94" t="inlineStr">
        <is>
          <t>카페24</t>
        </is>
      </c>
      <c r="G11641" s="94" t="inlineStr">
        <is>
          <t>어성초 78 수딩 크림</t>
        </is>
      </c>
      <c r="K11641" s="94" t="n">
        <v>1</v>
      </c>
      <c r="L11641" s="94" t="n">
        <v>201208</v>
      </c>
      <c r="M11641" s="94">
        <f>VLOOKUP($Q11641,매칭테이블!$F:$I,2,0)*K11641</f>
        <v/>
      </c>
      <c r="N11641" s="94">
        <f>M11641-M11641*VLOOKUP($Q11641,매칭테이블!$F:$I,3,0)</f>
        <v/>
      </c>
      <c r="O11641" s="94">
        <f>VLOOKUP($Q11641,매칭테이블!$F:$I,4,0)*K11641</f>
        <v/>
      </c>
      <c r="P11641" s="148">
        <f>M11641/1.1</f>
        <v/>
      </c>
      <c r="Q11641" s="94">
        <f>F11641&amp;E11641&amp;G11641&amp;L11641</f>
        <v/>
      </c>
    </row>
    <row r="11642">
      <c r="B11642" s="128" t="n">
        <v>44168</v>
      </c>
      <c r="C11642" s="94">
        <f>TEXT(B11642,"aaa")</f>
        <v/>
      </c>
      <c r="E11642" s="94">
        <f>INDEX(매칭테이블!C:D,MATCH(RD!G11642,매칭테이블!D:D,0),1)</f>
        <v/>
      </c>
      <c r="F11642" s="94" t="inlineStr">
        <is>
          <t>카페24</t>
        </is>
      </c>
      <c r="G11642" s="94" t="inlineStr">
        <is>
          <t>어성초 80 수분 진정 앰플앰플=어성초 80 앰플 1개-15%off</t>
        </is>
      </c>
      <c r="K11642" s="94" t="n">
        <v>18</v>
      </c>
      <c r="L11642" s="94" t="n">
        <v>201208</v>
      </c>
      <c r="M11642" s="94">
        <f>VLOOKUP($Q11642,매칭테이블!$F:$I,2,0)*K11642</f>
        <v/>
      </c>
      <c r="N11642" s="94">
        <f>M11642-M11642*VLOOKUP($Q11642,매칭테이블!$F:$I,3,0)</f>
        <v/>
      </c>
      <c r="O11642" s="94">
        <f>VLOOKUP($Q11642,매칭테이블!$F:$I,4,0)*K11642</f>
        <v/>
      </c>
      <c r="P11642" s="148">
        <f>M11642/1.1</f>
        <v/>
      </c>
      <c r="Q11642" s="94">
        <f>F11642&amp;E11642&amp;G11642&amp;L11642</f>
        <v/>
      </c>
    </row>
    <row r="11643">
      <c r="B11643" s="128" t="n">
        <v>44168</v>
      </c>
      <c r="C11643" s="94">
        <f>TEXT(B11643,"aaa")</f>
        <v/>
      </c>
      <c r="E11643" s="94">
        <f>INDEX(매칭테이블!C:D,MATCH(RD!G11643,매칭테이블!D:D,0),1)</f>
        <v/>
      </c>
      <c r="F11643" s="94" t="inlineStr">
        <is>
          <t>카페24</t>
        </is>
      </c>
      <c r="G11643" s="94" t="inlineStr">
        <is>
          <t>어성초 80 수분 진정 앰플앰플=어성초 80 앰플 2개-27%off (무료배송)</t>
        </is>
      </c>
      <c r="K11643" s="94" t="n">
        <v>8</v>
      </c>
      <c r="L11643" s="94" t="n">
        <v>201208</v>
      </c>
      <c r="M11643" s="94">
        <f>VLOOKUP($Q11643,매칭테이블!$F:$I,2,0)*K11643</f>
        <v/>
      </c>
      <c r="N11643" s="94">
        <f>M11643-M11643*VLOOKUP($Q11643,매칭테이블!$F:$I,3,0)</f>
        <v/>
      </c>
      <c r="O11643" s="94">
        <f>VLOOKUP($Q11643,매칭테이블!$F:$I,4,0)*K11643</f>
        <v/>
      </c>
      <c r="P11643" s="148">
        <f>M11643/1.1</f>
        <v/>
      </c>
      <c r="Q11643" s="94">
        <f>F11643&amp;E11643&amp;G11643&amp;L11643</f>
        <v/>
      </c>
    </row>
    <row r="11644">
      <c r="B11644" s="128" t="n">
        <v>44168</v>
      </c>
      <c r="C11644" s="94">
        <f>TEXT(B11644,"aaa")</f>
        <v/>
      </c>
      <c r="E11644" s="94">
        <f>INDEX(매칭테이블!C:D,MATCH(RD!G11644,매칭테이블!D:D,0),1)</f>
        <v/>
      </c>
      <c r="F11644" s="94" t="inlineStr">
        <is>
          <t>카페24</t>
        </is>
      </c>
      <c r="G11644" s="94" t="inlineStr">
        <is>
          <t>어성초 80 수분 진정 앰플</t>
        </is>
      </c>
      <c r="K11644" s="94" t="n">
        <v>3</v>
      </c>
      <c r="L11644" s="94" t="n">
        <v>201208</v>
      </c>
      <c r="M11644" s="94">
        <f>VLOOKUP($Q11644,매칭테이블!$F:$I,2,0)*K11644</f>
        <v/>
      </c>
      <c r="N11644" s="94">
        <f>M11644-M11644*VLOOKUP($Q11644,매칭테이블!$F:$I,3,0)</f>
        <v/>
      </c>
      <c r="O11644" s="94">
        <f>VLOOKUP($Q11644,매칭테이블!$F:$I,4,0)*K11644</f>
        <v/>
      </c>
      <c r="P11644" s="148">
        <f>M11644/1.1</f>
        <v/>
      </c>
      <c r="Q11644" s="94">
        <f>F11644&amp;E11644&amp;G11644&amp;L11644</f>
        <v/>
      </c>
    </row>
    <row r="11645">
      <c r="B11645" s="128" t="n">
        <v>44168</v>
      </c>
      <c r="C11645" s="94">
        <f>TEXT(B11645,"aaa")</f>
        <v/>
      </c>
      <c r="E11645" s="94">
        <f>INDEX(매칭테이블!C:D,MATCH(RD!G11645,매칭테이블!D:D,0),1)</f>
        <v/>
      </c>
      <c r="F11645" s="94" t="inlineStr">
        <is>
          <t>카페24</t>
        </is>
      </c>
      <c r="G11645" s="94" t="inlineStr">
        <is>
          <t>어성초 아크네 바디워시옵션=어성초 아크네 바디워시 1개 -30% off</t>
        </is>
      </c>
      <c r="K11645" s="94" t="n">
        <v>2</v>
      </c>
      <c r="L11645" s="94" t="n">
        <v>201208</v>
      </c>
      <c r="M11645" s="94">
        <f>VLOOKUP($Q11645,매칭테이블!$F:$I,2,0)*K11645</f>
        <v/>
      </c>
      <c r="N11645" s="94">
        <f>M11645-M11645*VLOOKUP($Q11645,매칭테이블!$F:$I,3,0)</f>
        <v/>
      </c>
      <c r="O11645" s="94">
        <f>VLOOKUP($Q11645,매칭테이블!$F:$I,4,0)*K11645</f>
        <v/>
      </c>
      <c r="P11645" s="148">
        <f>M11645/1.1</f>
        <v/>
      </c>
      <c r="Q11645" s="94">
        <f>F11645&amp;E11645&amp;G11645&amp;L11645</f>
        <v/>
      </c>
    </row>
    <row r="11646">
      <c r="B11646" s="128" t="n">
        <v>44168</v>
      </c>
      <c r="C11646" s="94">
        <f>TEXT(B11646,"aaa")</f>
        <v/>
      </c>
      <c r="E11646" s="94">
        <f>INDEX(매칭테이블!C:D,MATCH(RD!G11646,매칭테이블!D:D,0),1)</f>
        <v/>
      </c>
      <c r="F11646" s="94" t="inlineStr">
        <is>
          <t>카페24</t>
        </is>
      </c>
      <c r="G11646" s="94" t="inlineStr">
        <is>
          <t>어성초 아크네 바디워시옵션=어성초 아크네 바디워시 2개 -35% off (무료배송)</t>
        </is>
      </c>
      <c r="K11646" s="94" t="n">
        <v>2</v>
      </c>
      <c r="L11646" s="94" t="n">
        <v>201208</v>
      </c>
      <c r="M11646" s="94">
        <f>VLOOKUP($Q11646,매칭테이블!$F:$I,2,0)*K11646</f>
        <v/>
      </c>
      <c r="N11646" s="94">
        <f>M11646-M11646*VLOOKUP($Q11646,매칭테이블!$F:$I,3,0)</f>
        <v/>
      </c>
      <c r="O11646" s="94">
        <f>VLOOKUP($Q11646,매칭테이블!$F:$I,4,0)*K11646</f>
        <v/>
      </c>
      <c r="P11646" s="148">
        <f>M11646/1.1</f>
        <v/>
      </c>
      <c r="Q11646" s="94">
        <f>F11646&amp;E11646&amp;G11646&amp;L11646</f>
        <v/>
      </c>
    </row>
    <row r="11647">
      <c r="B11647" s="128" t="n">
        <v>44168</v>
      </c>
      <c r="C11647" s="94">
        <f>TEXT(B11647,"aaa")</f>
        <v/>
      </c>
      <c r="E11647" s="94">
        <f>INDEX(매칭테이블!C:D,MATCH(RD!G11647,매칭테이블!D:D,0),1)</f>
        <v/>
      </c>
      <c r="F11647" s="94" t="inlineStr">
        <is>
          <t>카페24</t>
        </is>
      </c>
      <c r="G11647" s="94" t="inlineStr">
        <is>
          <t>어성초 약산성 클렌징폼클렌징폼=어성초 약산성 클렌징폼 1개 -19%off</t>
        </is>
      </c>
      <c r="K11647" s="94" t="n">
        <v>11</v>
      </c>
      <c r="L11647" s="94" t="n">
        <v>201208</v>
      </c>
      <c r="M11647" s="94">
        <f>VLOOKUP($Q11647,매칭테이블!$F:$I,2,0)*K11647</f>
        <v/>
      </c>
      <c r="N11647" s="94">
        <f>M11647-M11647*VLOOKUP($Q11647,매칭테이블!$F:$I,3,0)</f>
        <v/>
      </c>
      <c r="O11647" s="94">
        <f>VLOOKUP($Q11647,매칭테이블!$F:$I,4,0)*K11647</f>
        <v/>
      </c>
      <c r="P11647" s="148">
        <f>M11647/1.1</f>
        <v/>
      </c>
      <c r="Q11647" s="94">
        <f>F11647&amp;E11647&amp;G11647&amp;L11647</f>
        <v/>
      </c>
    </row>
    <row r="11648">
      <c r="B11648" s="128" t="n">
        <v>44168</v>
      </c>
      <c r="C11648" s="94">
        <f>TEXT(B11648,"aaa")</f>
        <v/>
      </c>
      <c r="E11648" s="94">
        <f>INDEX(매칭테이블!C:D,MATCH(RD!G11648,매칭테이블!D:D,0),1)</f>
        <v/>
      </c>
      <c r="F11648" s="94" t="inlineStr">
        <is>
          <t>카페24</t>
        </is>
      </c>
      <c r="G11648" s="94" t="inlineStr">
        <is>
          <t>어성초 약산성 클렌징폼클렌징폼=어성초 약산성 클렌징폼 2개 -25%off</t>
        </is>
      </c>
      <c r="K11648" s="94" t="n">
        <v>1</v>
      </c>
      <c r="L11648" s="94" t="n">
        <v>201208</v>
      </c>
      <c r="M11648" s="94">
        <f>VLOOKUP($Q11648,매칭테이블!$F:$I,2,0)*K11648</f>
        <v/>
      </c>
      <c r="N11648" s="94">
        <f>M11648-M11648*VLOOKUP($Q11648,매칭테이블!$F:$I,3,0)</f>
        <v/>
      </c>
      <c r="O11648" s="94">
        <f>VLOOKUP($Q11648,매칭테이블!$F:$I,4,0)*K11648</f>
        <v/>
      </c>
      <c r="P11648" s="148">
        <f>M11648/1.1</f>
        <v/>
      </c>
      <c r="Q11648" s="94">
        <f>F11648&amp;E11648&amp;G11648&amp;L11648</f>
        <v/>
      </c>
    </row>
    <row r="11649">
      <c r="B11649" s="128" t="n">
        <v>44168</v>
      </c>
      <c r="C11649" s="94">
        <f>TEXT(B11649,"aaa")</f>
        <v/>
      </c>
      <c r="E11649" s="94">
        <f>INDEX(매칭테이블!C:D,MATCH(RD!G11649,매칭테이블!D:D,0),1)</f>
        <v/>
      </c>
      <c r="F11649" s="94" t="inlineStr">
        <is>
          <t>카페24</t>
        </is>
      </c>
      <c r="G11649" s="94" t="inlineStr">
        <is>
          <t>어성초 약산성 클렌징폼클렌징폼=어성초 약산성 클렌징폼 3개 -31%off (무료배송)</t>
        </is>
      </c>
      <c r="K11649" s="94" t="n">
        <v>1</v>
      </c>
      <c r="L11649" s="94" t="n">
        <v>201208</v>
      </c>
      <c r="M11649" s="94">
        <f>VLOOKUP($Q11649,매칭테이블!$F:$I,2,0)*K11649</f>
        <v/>
      </c>
      <c r="N11649" s="94">
        <f>M11649-M11649*VLOOKUP($Q11649,매칭테이블!$F:$I,3,0)</f>
        <v/>
      </c>
      <c r="O11649" s="94">
        <f>VLOOKUP($Q11649,매칭테이블!$F:$I,4,0)*K11649</f>
        <v/>
      </c>
      <c r="P11649" s="148">
        <f>M11649/1.1</f>
        <v/>
      </c>
      <c r="Q11649" s="94">
        <f>F11649&amp;E11649&amp;G11649&amp;L11649</f>
        <v/>
      </c>
    </row>
    <row r="11650">
      <c r="B11650" s="128" t="n">
        <v>44168</v>
      </c>
      <c r="C11650" s="94">
        <f>TEXT(B11650,"aaa")</f>
        <v/>
      </c>
      <c r="E11650" s="94">
        <f>INDEX(매칭테이블!C:D,MATCH(RD!G11650,매칭테이블!D:D,0),1)</f>
        <v/>
      </c>
      <c r="F11650" s="94" t="inlineStr">
        <is>
          <t>카페24</t>
        </is>
      </c>
      <c r="G11650" s="94" t="inlineStr">
        <is>
          <t>어성초 크림마스크 나이트 솔루션옵션=어성초 크림마스크 나이트 솔루션 10장 (-50%)</t>
        </is>
      </c>
      <c r="K11650" s="94" t="n">
        <v>5</v>
      </c>
      <c r="L11650" s="94" t="n">
        <v>201208</v>
      </c>
      <c r="M11650" s="94">
        <f>VLOOKUP($Q11650,매칭테이블!$F:$I,2,0)*K11650</f>
        <v/>
      </c>
      <c r="N11650" s="94">
        <f>M11650-M11650*VLOOKUP($Q11650,매칭테이블!$F:$I,3,0)</f>
        <v/>
      </c>
      <c r="O11650" s="94">
        <f>VLOOKUP($Q11650,매칭테이블!$F:$I,4,0)*K11650</f>
        <v/>
      </c>
      <c r="P11650" s="148">
        <f>M11650/1.1</f>
        <v/>
      </c>
      <c r="Q11650" s="94">
        <f>F11650&amp;E11650&amp;G11650&amp;L11650</f>
        <v/>
      </c>
    </row>
    <row r="11651">
      <c r="B11651" s="128" t="n">
        <v>44168</v>
      </c>
      <c r="C11651" s="94">
        <f>TEXT(B11651,"aaa")</f>
        <v/>
      </c>
      <c r="E11651" s="94">
        <f>INDEX(매칭테이블!C:D,MATCH(RD!G11651,매칭테이블!D:D,0),1)</f>
        <v/>
      </c>
      <c r="F11651" s="94" t="inlineStr">
        <is>
          <t>카페24</t>
        </is>
      </c>
      <c r="G11651" s="94" t="inlineStr">
        <is>
          <t>촉촉 스킨팩 화장솜</t>
        </is>
      </c>
      <c r="K11651" s="94" t="n">
        <v>16</v>
      </c>
      <c r="L11651" s="94" t="n">
        <v>201208</v>
      </c>
      <c r="M11651" s="94">
        <f>VLOOKUP($Q11651,매칭테이블!$F:$I,2,0)*K11651</f>
        <v/>
      </c>
      <c r="N11651" s="94">
        <f>M11651-M11651*VLOOKUP($Q11651,매칭테이블!$F:$I,3,0)</f>
        <v/>
      </c>
      <c r="O11651" s="94">
        <f>VLOOKUP($Q11651,매칭테이블!$F:$I,4,0)*K11651</f>
        <v/>
      </c>
      <c r="P11651" s="148">
        <f>M11651/1.1</f>
        <v/>
      </c>
      <c r="Q11651" s="94">
        <f>F11651&amp;E11651&amp;G11651&amp;L11651</f>
        <v/>
      </c>
    </row>
    <row r="11652">
      <c r="B11652" s="128" t="n">
        <v>44168</v>
      </c>
      <c r="C11652" s="94">
        <f>TEXT(B11652,"aaa")</f>
        <v/>
      </c>
      <c r="E11652" s="94">
        <f>INDEX(매칭테이블!C:D,MATCH(RD!G11652,매칭테이블!D:D,0),1)</f>
        <v/>
      </c>
      <c r="F11652" s="94" t="inlineStr">
        <is>
          <t>카페24</t>
        </is>
      </c>
      <c r="G11652" s="94" t="inlineStr">
        <is>
          <t>촉촉 스킨팩 화장솜</t>
        </is>
      </c>
      <c r="K11652" s="94" t="n">
        <v>5</v>
      </c>
      <c r="L11652" s="94" t="n">
        <v>201208</v>
      </c>
      <c r="M11652" s="94">
        <f>VLOOKUP($Q11652,매칭테이블!$F:$I,2,0)*K11652</f>
        <v/>
      </c>
      <c r="N11652" s="94">
        <f>M11652-M11652*VLOOKUP($Q11652,매칭테이블!$F:$I,3,0)</f>
        <v/>
      </c>
      <c r="O11652" s="94">
        <f>VLOOKUP($Q11652,매칭테이블!$F:$I,4,0)*K11652</f>
        <v/>
      </c>
      <c r="P11652" s="148">
        <f>M11652/1.1</f>
        <v/>
      </c>
      <c r="Q11652" s="94">
        <f>F11652&amp;E11652&amp;G11652&amp;L11652</f>
        <v/>
      </c>
    </row>
    <row r="11653">
      <c r="B11653" s="128" t="n">
        <v>44168</v>
      </c>
      <c r="C11653" s="94">
        <f>TEXT(B11653,"aaa")</f>
        <v/>
      </c>
      <c r="E11653" s="94">
        <f>INDEX(매칭테이블!C:D,MATCH(RD!G11653,매칭테이블!D:D,0),1)</f>
        <v/>
      </c>
      <c r="F11653" s="94" t="inlineStr">
        <is>
          <t>화해</t>
        </is>
      </c>
      <c r="G11653" s="94" t="inlineStr">
        <is>
          <t>어성초 77 클리어 패드 70매어성초 77 클리어 패드 70매</t>
        </is>
      </c>
      <c r="K11653" s="94" t="n">
        <v>1</v>
      </c>
      <c r="L11653" s="94" t="n">
        <v>201208</v>
      </c>
      <c r="M11653" s="94">
        <f>VLOOKUP($Q11653,매칭테이블!$F:$I,2,0)*K11653</f>
        <v/>
      </c>
      <c r="N11653" s="94">
        <f>M11653-M11653*VLOOKUP($Q11653,매칭테이블!$F:$I,3,0)</f>
        <v/>
      </c>
      <c r="O11653" s="94">
        <f>VLOOKUP($Q11653,매칭테이블!$F:$I,4,0)*K11653</f>
        <v/>
      </c>
      <c r="P11653" s="148">
        <f>M11653/1.1</f>
        <v/>
      </c>
      <c r="Q11653" s="94">
        <f>F11653&amp;E11653&amp;G11653&amp;L11653</f>
        <v/>
      </c>
    </row>
    <row r="11654">
      <c r="A11654" s="94" t="n"/>
      <c r="B11654" s="128" t="n">
        <v>44168</v>
      </c>
      <c r="C11654" s="94">
        <f>TEXT(B11654,"aaa")</f>
        <v/>
      </c>
      <c r="E11654" s="94">
        <f>INDEX(매칭테이블!C:D,MATCH(RD!G11654,매칭테이블!D:D,0),1)</f>
        <v/>
      </c>
      <c r="F11654" s="94" t="inlineStr">
        <is>
          <t>화해</t>
        </is>
      </c>
      <c r="G11654" s="94" t="inlineStr">
        <is>
          <t>어성초 77 토너 250ml어성초 77 토너 250ml</t>
        </is>
      </c>
      <c r="K11654" s="94" t="n">
        <v>7</v>
      </c>
      <c r="L11654" s="94" t="n">
        <v>201208</v>
      </c>
      <c r="M11654" s="94">
        <f>VLOOKUP($Q11654,매칭테이블!$F:$I,2,0)*K11654</f>
        <v/>
      </c>
      <c r="N11654" s="94">
        <f>M11654-M11654*VLOOKUP($Q11654,매칭테이블!$F:$I,3,0)</f>
        <v/>
      </c>
      <c r="O11654" s="94">
        <f>VLOOKUP($Q11654,매칭테이블!$F:$I,4,0)*K11654</f>
        <v/>
      </c>
      <c r="P11654" s="148">
        <f>M11654/1.1</f>
        <v/>
      </c>
      <c r="Q11654" s="94">
        <f>F11654&amp;E11654&amp;G11654&amp;L11654</f>
        <v/>
      </c>
    </row>
    <row r="11655">
      <c r="B11655" s="128" t="n">
        <v>44169</v>
      </c>
      <c r="C11655" s="94">
        <f>TEXT(B11655,"aaa")</f>
        <v/>
      </c>
      <c r="E11655" s="94">
        <f>INDEX(매칭테이블!C:D,MATCH(RD!G11655,매칭테이블!D:D,0),1)</f>
        <v/>
      </c>
      <c r="F11655" s="94" t="inlineStr">
        <is>
          <t>W컨셉</t>
        </is>
      </c>
      <c r="G11655" s="94" t="inlineStr">
        <is>
          <t>어성초 77토너 (2 SET) HEARTLEAF 77% SOOTHING TONER 250ml250ml 2set</t>
        </is>
      </c>
      <c r="K11655" s="94" t="n">
        <v>3</v>
      </c>
      <c r="L11655" s="94" t="n">
        <v>201208</v>
      </c>
      <c r="M11655" s="94">
        <f>VLOOKUP($Q11655,매칭테이블!$F:$I,2,0)*K11655</f>
        <v/>
      </c>
      <c r="N11655" s="94">
        <f>M11655-M11655*VLOOKUP($Q11655,매칭테이블!$F:$I,3,0)</f>
        <v/>
      </c>
      <c r="O11655" s="94">
        <f>VLOOKUP($Q11655,매칭테이블!$F:$I,4,0)*K11655</f>
        <v/>
      </c>
      <c r="P11655" s="148">
        <f>M11655/1.1</f>
        <v/>
      </c>
      <c r="Q11655" s="94">
        <f>F11655&amp;E11655&amp;G11655&amp;L11655</f>
        <v/>
      </c>
    </row>
    <row r="11656">
      <c r="B11656" s="128" t="n">
        <v>44169</v>
      </c>
      <c r="C11656" s="94">
        <f>TEXT(B11656,"aaa")</f>
        <v/>
      </c>
      <c r="E11656" s="94">
        <f>INDEX(매칭테이블!C:D,MATCH(RD!G11656,매칭테이블!D:D,0),1)</f>
        <v/>
      </c>
      <c r="F11656" s="94" t="inlineStr">
        <is>
          <t>스타일쉐어</t>
        </is>
      </c>
      <c r="G11656" s="94" t="inlineStr">
        <is>
          <t>아누아 어성초 77 토너 250ml</t>
        </is>
      </c>
      <c r="K11656" s="94" t="n">
        <v>1</v>
      </c>
      <c r="L11656" s="94" t="n">
        <v>201208</v>
      </c>
      <c r="M11656" s="94">
        <f>VLOOKUP($Q11656,매칭테이블!$F:$I,2,0)*K11656</f>
        <v/>
      </c>
      <c r="N11656" s="94">
        <f>M11656-M11656*VLOOKUP($Q11656,매칭테이블!$F:$I,3,0)</f>
        <v/>
      </c>
      <c r="O11656" s="94">
        <f>VLOOKUP($Q11656,매칭테이블!$F:$I,4,0)*K11656</f>
        <v/>
      </c>
      <c r="P11656" s="148">
        <f>M11656/1.1</f>
        <v/>
      </c>
      <c r="Q11656" s="94">
        <f>F11656&amp;E11656&amp;G11656&amp;L11656</f>
        <v/>
      </c>
    </row>
    <row r="11657">
      <c r="B11657" s="128" t="n">
        <v>44169</v>
      </c>
      <c r="C11657" s="94">
        <f>TEXT(B11657,"aaa")</f>
        <v/>
      </c>
      <c r="E11657" s="94">
        <f>INDEX(매칭테이블!C:D,MATCH(RD!G11657,매칭테이블!D:D,0),1)</f>
        <v/>
      </c>
      <c r="F11657" s="94" t="inlineStr">
        <is>
          <t>아누아 CS</t>
        </is>
      </c>
      <c r="G11657" s="94" t="inlineStr">
        <is>
          <t>어성초 77 토너 250ml</t>
        </is>
      </c>
      <c r="K11657" s="94" t="n">
        <v>3</v>
      </c>
      <c r="L11657" s="94" t="n">
        <v>201208</v>
      </c>
      <c r="M11657" s="94">
        <f>VLOOKUP($Q11657,매칭테이블!$F:$I,2,0)*K11657</f>
        <v/>
      </c>
      <c r="N11657" s="94">
        <f>M11657-M11657*VLOOKUP($Q11657,매칭테이블!$F:$I,3,0)</f>
        <v/>
      </c>
      <c r="O11657" s="94">
        <f>VLOOKUP($Q11657,매칭테이블!$F:$I,4,0)*K11657</f>
        <v/>
      </c>
      <c r="P11657" s="148">
        <f>M11657/1.1</f>
        <v/>
      </c>
      <c r="Q11657" s="94">
        <f>F11657&amp;E11657&amp;G11657&amp;L11657</f>
        <v/>
      </c>
    </row>
    <row r="11658">
      <c r="B11658" s="128" t="n">
        <v>44169</v>
      </c>
      <c r="C11658" s="94">
        <f>TEXT(B11658,"aaa")</f>
        <v/>
      </c>
      <c r="E11658" s="94">
        <f>INDEX(매칭테이블!C:D,MATCH(RD!G11658,매칭테이블!D:D,0),1)</f>
        <v/>
      </c>
      <c r="F11658" s="94" t="inlineStr">
        <is>
          <t>카페24</t>
        </is>
      </c>
      <c r="G11658" s="94" t="inlineStr">
        <is>
          <t>5 제로 무기자차 선크림옵션=5제로 무기자차 선크림 1개-20% off</t>
        </is>
      </c>
      <c r="K11658" s="94" t="n">
        <v>4</v>
      </c>
      <c r="L11658" s="94" t="n">
        <v>201208</v>
      </c>
      <c r="M11658" s="94">
        <f>VLOOKUP($Q11658,매칭테이블!$F:$I,2,0)*K11658</f>
        <v/>
      </c>
      <c r="N11658" s="94">
        <f>M11658-M11658*VLOOKUP($Q11658,매칭테이블!$F:$I,3,0)</f>
        <v/>
      </c>
      <c r="O11658" s="94">
        <f>VLOOKUP($Q11658,매칭테이블!$F:$I,4,0)*K11658</f>
        <v/>
      </c>
      <c r="P11658" s="148">
        <f>M11658/1.1</f>
        <v/>
      </c>
      <c r="Q11658" s="94">
        <f>F11658&amp;E11658&amp;G11658&amp;L11658</f>
        <v/>
      </c>
    </row>
    <row r="11659">
      <c r="B11659" s="128" t="n">
        <v>44169</v>
      </c>
      <c r="C11659" s="94">
        <f>TEXT(B11659,"aaa")</f>
        <v/>
      </c>
      <c r="E11659" s="94">
        <f>INDEX(매칭테이블!C:D,MATCH(RD!G11659,매칭테이블!D:D,0),1)</f>
        <v/>
      </c>
      <c r="F11659" s="94" t="inlineStr">
        <is>
          <t>카페24</t>
        </is>
      </c>
      <c r="G11659" s="94" t="inlineStr">
        <is>
          <t>5 제로 무기자차 선크림옵션=5제로 무기자차 선크림 2개-30% off (무료배송)</t>
        </is>
      </c>
      <c r="K11659" s="94" t="n">
        <v>1</v>
      </c>
      <c r="L11659" s="94" t="n">
        <v>201208</v>
      </c>
      <c r="M11659" s="94">
        <f>VLOOKUP($Q11659,매칭테이블!$F:$I,2,0)*K11659</f>
        <v/>
      </c>
      <c r="N11659" s="94">
        <f>M11659-M11659*VLOOKUP($Q11659,매칭테이블!$F:$I,3,0)</f>
        <v/>
      </c>
      <c r="O11659" s="94">
        <f>VLOOKUP($Q11659,매칭테이블!$F:$I,4,0)*K11659</f>
        <v/>
      </c>
      <c r="P11659" s="148">
        <f>M11659/1.1</f>
        <v/>
      </c>
      <c r="Q11659" s="94">
        <f>F11659&amp;E11659&amp;G11659&amp;L11659</f>
        <v/>
      </c>
    </row>
    <row r="11660">
      <c r="B11660" s="128" t="n">
        <v>44169</v>
      </c>
      <c r="C11660" s="94">
        <f>TEXT(B11660,"aaa")</f>
        <v/>
      </c>
      <c r="E11660" s="94">
        <f>INDEX(매칭테이블!C:D,MATCH(RD!G11660,매칭테이블!D:D,0),1)</f>
        <v/>
      </c>
      <c r="F11660" s="94" t="inlineStr">
        <is>
          <t>카페24</t>
        </is>
      </c>
      <c r="G11660" s="94" t="inlineStr">
        <is>
          <t>[수분 보충 세트] 어성초 77 토너 + 어성초 70 로션옵션=어성초 77 토너 250ml + 어성초 70 로션 200ml -30%</t>
        </is>
      </c>
      <c r="K11660" s="94" t="n">
        <v>19</v>
      </c>
      <c r="L11660" s="94" t="n">
        <v>201208</v>
      </c>
      <c r="M11660" s="94">
        <f>VLOOKUP($Q11660,매칭테이블!$F:$I,2,0)*K11660</f>
        <v/>
      </c>
      <c r="N11660" s="94">
        <f>M11660-M11660*VLOOKUP($Q11660,매칭테이블!$F:$I,3,0)</f>
        <v/>
      </c>
      <c r="O11660" s="94">
        <f>VLOOKUP($Q11660,매칭테이블!$F:$I,4,0)*K11660</f>
        <v/>
      </c>
      <c r="P11660" s="148">
        <f>M11660/1.1</f>
        <v/>
      </c>
      <c r="Q11660" s="94">
        <f>F11660&amp;E11660&amp;G11660&amp;L11660</f>
        <v/>
      </c>
    </row>
    <row r="11661">
      <c r="B11661" s="128" t="n">
        <v>44169</v>
      </c>
      <c r="C11661" s="94">
        <f>TEXT(B11661,"aaa")</f>
        <v/>
      </c>
      <c r="E11661" s="94">
        <f>INDEX(매칭테이블!C:D,MATCH(RD!G11661,매칭테이블!D:D,0),1)</f>
        <v/>
      </c>
      <c r="F11661" s="94" t="inlineStr">
        <is>
          <t>카페24</t>
        </is>
      </c>
      <c r="G11661" s="94" t="inlineStr">
        <is>
          <t>[어성초 진정 패키지 세트] 대용량 토너 + 앰플 + 수딩 크림 + 마스크팩 10장</t>
        </is>
      </c>
      <c r="K11661" s="94" t="n">
        <v>2</v>
      </c>
      <c r="L11661" s="94" t="n">
        <v>201208</v>
      </c>
      <c r="M11661" s="94">
        <f>VLOOKUP($Q11661,매칭테이블!$F:$I,2,0)*K11661</f>
        <v/>
      </c>
      <c r="N11661" s="94">
        <f>M11661-M11661*VLOOKUP($Q11661,매칭테이블!$F:$I,3,0)</f>
        <v/>
      </c>
      <c r="O11661" s="94">
        <f>VLOOKUP($Q11661,매칭테이블!$F:$I,4,0)*K11661</f>
        <v/>
      </c>
      <c r="P11661" s="148">
        <f>M11661/1.1</f>
        <v/>
      </c>
      <c r="Q11661" s="94">
        <f>F11661&amp;E11661&amp;G11661&amp;L11661</f>
        <v/>
      </c>
    </row>
    <row r="11662">
      <c r="B11662" s="128" t="n">
        <v>44169</v>
      </c>
      <c r="C11662" s="94">
        <f>TEXT(B11662,"aaa")</f>
        <v/>
      </c>
      <c r="E11662" s="94">
        <f>INDEX(매칭테이블!C:D,MATCH(RD!G11662,매칭테이블!D:D,0),1)</f>
        <v/>
      </c>
      <c r="F11662" s="94" t="inlineStr">
        <is>
          <t>카페24</t>
        </is>
      </c>
      <c r="G11662" s="94" t="inlineStr">
        <is>
          <t>대용량 어성초 77 수딩 토너 500ml</t>
        </is>
      </c>
      <c r="K11662" s="94" t="n">
        <v>22</v>
      </c>
      <c r="L11662" s="94" t="n">
        <v>201208</v>
      </c>
      <c r="M11662" s="94">
        <f>VLOOKUP($Q11662,매칭테이블!$F:$I,2,0)*K11662</f>
        <v/>
      </c>
      <c r="N11662" s="94">
        <f>M11662-M11662*VLOOKUP($Q11662,매칭테이블!$F:$I,3,0)</f>
        <v/>
      </c>
      <c r="O11662" s="94">
        <f>VLOOKUP($Q11662,매칭테이블!$F:$I,4,0)*K11662</f>
        <v/>
      </c>
      <c r="P11662" s="148">
        <f>M11662/1.1</f>
        <v/>
      </c>
      <c r="Q11662" s="94">
        <f>F11662&amp;E11662&amp;G11662&amp;L11662</f>
        <v/>
      </c>
    </row>
    <row r="11663">
      <c r="B11663" s="128" t="n">
        <v>44169</v>
      </c>
      <c r="C11663" s="94">
        <f>TEXT(B11663,"aaa")</f>
        <v/>
      </c>
      <c r="E11663" s="94">
        <f>INDEX(매칭테이블!C:D,MATCH(RD!G11663,매칭테이블!D:D,0),1)</f>
        <v/>
      </c>
      <c r="F11663" s="94" t="inlineStr">
        <is>
          <t>카페24</t>
        </is>
      </c>
      <c r="G11663" s="94" t="inlineStr">
        <is>
          <t>대용량 어성초 77 토너 500ml</t>
        </is>
      </c>
      <c r="K11663" s="94" t="n">
        <v>2</v>
      </c>
      <c r="L11663" s="94" t="n">
        <v>201208</v>
      </c>
      <c r="M11663" s="94">
        <f>VLOOKUP($Q11663,매칭테이블!$F:$I,2,0)*K11663</f>
        <v/>
      </c>
      <c r="N11663" s="94">
        <f>M11663-M11663*VLOOKUP($Q11663,매칭테이블!$F:$I,3,0)</f>
        <v/>
      </c>
      <c r="O11663" s="94">
        <f>VLOOKUP($Q11663,매칭테이블!$F:$I,4,0)*K11663</f>
        <v/>
      </c>
      <c r="P11663" s="148">
        <f>M11663/1.1</f>
        <v/>
      </c>
      <c r="Q11663" s="94">
        <f>F11663&amp;E11663&amp;G11663&amp;L11663</f>
        <v/>
      </c>
    </row>
    <row r="11664">
      <c r="B11664" s="128" t="n">
        <v>44169</v>
      </c>
      <c r="C11664" s="94">
        <f>TEXT(B11664,"aaa")</f>
        <v/>
      </c>
      <c r="E11664" s="94">
        <f>INDEX(매칭테이블!C:D,MATCH(RD!G11664,매칭테이블!D:D,0),1)</f>
        <v/>
      </c>
      <c r="F11664" s="94" t="inlineStr">
        <is>
          <t>카페24</t>
        </is>
      </c>
      <c r="G11664" s="94" t="inlineStr">
        <is>
          <t>아누아 어성초 77 수딩 토너토너(필수)=어성초 77 토너 1개-20% off</t>
        </is>
      </c>
      <c r="K11664" s="94" t="n">
        <v>1</v>
      </c>
      <c r="L11664" s="94" t="n">
        <v>201208</v>
      </c>
      <c r="M11664" s="94">
        <f>VLOOKUP($Q11664,매칭테이블!$F:$I,2,0)*K11664</f>
        <v/>
      </c>
      <c r="N11664" s="94">
        <f>M11664-M11664*VLOOKUP($Q11664,매칭테이블!$F:$I,3,0)</f>
        <v/>
      </c>
      <c r="O11664" s="94">
        <f>VLOOKUP($Q11664,매칭테이블!$F:$I,4,0)*K11664</f>
        <v/>
      </c>
      <c r="P11664" s="148">
        <f>M11664/1.1</f>
        <v/>
      </c>
      <c r="Q11664" s="94">
        <f>F11664&amp;E11664&amp;G11664&amp;L11664</f>
        <v/>
      </c>
    </row>
    <row r="11665">
      <c r="B11665" s="128" t="n">
        <v>44169</v>
      </c>
      <c r="C11665" s="94">
        <f>TEXT(B11665,"aaa")</f>
        <v/>
      </c>
      <c r="E11665" s="94">
        <f>INDEX(매칭테이블!C:D,MATCH(RD!G11665,매칭테이블!D:D,0),1)</f>
        <v/>
      </c>
      <c r="F11665" s="94" t="inlineStr">
        <is>
          <t>카페24</t>
        </is>
      </c>
      <c r="G11665" s="94" t="inlineStr">
        <is>
          <t>어성초 70 데일리 릴리프 로션로션=어성초 70 데일리 릴리프 로션 1개 -20% off</t>
        </is>
      </c>
      <c r="K11665" s="94" t="n">
        <v>5</v>
      </c>
      <c r="L11665" s="94" t="n">
        <v>201208</v>
      </c>
      <c r="M11665" s="94">
        <f>VLOOKUP($Q11665,매칭테이블!$F:$I,2,0)*K11665</f>
        <v/>
      </c>
      <c r="N11665" s="94">
        <f>M11665-M11665*VLOOKUP($Q11665,매칭테이블!$F:$I,3,0)</f>
        <v/>
      </c>
      <c r="O11665" s="94">
        <f>VLOOKUP($Q11665,매칭테이블!$F:$I,4,0)*K11665</f>
        <v/>
      </c>
      <c r="P11665" s="148">
        <f>M11665/1.1</f>
        <v/>
      </c>
      <c r="Q11665" s="94">
        <f>F11665&amp;E11665&amp;G11665&amp;L11665</f>
        <v/>
      </c>
    </row>
    <row r="11666">
      <c r="B11666" s="128" t="n">
        <v>44169</v>
      </c>
      <c r="C11666" s="94">
        <f>TEXT(B11666,"aaa")</f>
        <v/>
      </c>
      <c r="E11666" s="94">
        <f>INDEX(매칭테이블!C:D,MATCH(RD!G11666,매칭테이블!D:D,0),1)</f>
        <v/>
      </c>
      <c r="F11666" s="94" t="inlineStr">
        <is>
          <t>카페24</t>
        </is>
      </c>
      <c r="G11666" s="94" t="inlineStr">
        <is>
          <t>어성초 70 데일리 릴리프 로션로션=어성초 70 데일리 릴리프 로션 2개 -30% off</t>
        </is>
      </c>
      <c r="K11666" s="94" t="n">
        <v>1</v>
      </c>
      <c r="L11666" s="94" t="n">
        <v>201208</v>
      </c>
      <c r="M11666" s="94">
        <f>VLOOKUP($Q11666,매칭테이블!$F:$I,2,0)*K11666</f>
        <v/>
      </c>
      <c r="N11666" s="94">
        <f>M11666-M11666*VLOOKUP($Q11666,매칭테이블!$F:$I,3,0)</f>
        <v/>
      </c>
      <c r="O11666" s="94">
        <f>VLOOKUP($Q11666,매칭테이블!$F:$I,4,0)*K11666</f>
        <v/>
      </c>
      <c r="P11666" s="148">
        <f>M11666/1.1</f>
        <v/>
      </c>
      <c r="Q11666" s="94">
        <f>F11666&amp;E11666&amp;G11666&amp;L11666</f>
        <v/>
      </c>
    </row>
    <row r="11667">
      <c r="B11667" s="128" t="n">
        <v>44169</v>
      </c>
      <c r="C11667" s="94">
        <f>TEXT(B11667,"aaa")</f>
        <v/>
      </c>
      <c r="E11667" s="94">
        <f>INDEX(매칭테이블!C:D,MATCH(RD!G11667,매칭테이블!D:D,0),1)</f>
        <v/>
      </c>
      <c r="F11667" s="94" t="inlineStr">
        <is>
          <t>카페24</t>
        </is>
      </c>
      <c r="G11667" s="94" t="inlineStr">
        <is>
          <t>어성초 70 인텐스 카밍 크림크림=어성초 70 인텐스 카밍 크림 1개 (-20%)</t>
        </is>
      </c>
      <c r="K11667" s="94" t="n">
        <v>4</v>
      </c>
      <c r="L11667" s="94" t="n">
        <v>201208</v>
      </c>
      <c r="M11667" s="94">
        <f>VLOOKUP($Q11667,매칭테이블!$F:$I,2,0)*K11667</f>
        <v/>
      </c>
      <c r="N11667" s="94">
        <f>M11667-M11667*VLOOKUP($Q11667,매칭테이블!$F:$I,3,0)</f>
        <v/>
      </c>
      <c r="O11667" s="94">
        <f>VLOOKUP($Q11667,매칭테이블!$F:$I,4,0)*K11667</f>
        <v/>
      </c>
      <c r="P11667" s="148">
        <f>M11667/1.1</f>
        <v/>
      </c>
      <c r="Q11667" s="94">
        <f>F11667&amp;E11667&amp;G11667&amp;L11667</f>
        <v/>
      </c>
    </row>
    <row r="11668">
      <c r="B11668" s="128" t="n">
        <v>44169</v>
      </c>
      <c r="C11668" s="94">
        <f>TEXT(B11668,"aaa")</f>
        <v/>
      </c>
      <c r="E11668" s="94">
        <f>INDEX(매칭테이블!C:D,MATCH(RD!G11668,매칭테이블!D:D,0),1)</f>
        <v/>
      </c>
      <c r="F11668" s="94" t="inlineStr">
        <is>
          <t>카페24</t>
        </is>
      </c>
      <c r="G11668" s="94" t="inlineStr">
        <is>
          <t>어성초 77 수딩 토너토너(필수)=어성초 77 토너 1개-20% off</t>
        </is>
      </c>
      <c r="K11668" s="94" t="n">
        <v>35</v>
      </c>
      <c r="L11668" s="94" t="n">
        <v>201208</v>
      </c>
      <c r="M11668" s="94">
        <f>VLOOKUP($Q11668,매칭테이블!$F:$I,2,0)*K11668</f>
        <v/>
      </c>
      <c r="N11668" s="94">
        <f>M11668-M11668*VLOOKUP($Q11668,매칭테이블!$F:$I,3,0)</f>
        <v/>
      </c>
      <c r="O11668" s="94">
        <f>VLOOKUP($Q11668,매칭테이블!$F:$I,4,0)*K11668</f>
        <v/>
      </c>
      <c r="P11668" s="148">
        <f>M11668/1.1</f>
        <v/>
      </c>
      <c r="Q11668" s="94">
        <f>F11668&amp;E11668&amp;G11668&amp;L11668</f>
        <v/>
      </c>
    </row>
    <row r="11669">
      <c r="B11669" s="128" t="n">
        <v>44169</v>
      </c>
      <c r="C11669" s="94">
        <f>TEXT(B11669,"aaa")</f>
        <v/>
      </c>
      <c r="E11669" s="94">
        <f>INDEX(매칭테이블!C:D,MATCH(RD!G11669,매칭테이블!D:D,0),1)</f>
        <v/>
      </c>
      <c r="F11669" s="94" t="inlineStr">
        <is>
          <t>카페24</t>
        </is>
      </c>
      <c r="G11669" s="94" t="inlineStr">
        <is>
          <t>어성초 77 수딩 토너토너(필수)=어성초 77 토너 2개-30% off (무료배송)</t>
        </is>
      </c>
      <c r="K11669" s="94" t="n">
        <v>20</v>
      </c>
      <c r="L11669" s="94" t="n">
        <v>201208</v>
      </c>
      <c r="M11669" s="94">
        <f>VLOOKUP($Q11669,매칭테이블!$F:$I,2,0)*K11669</f>
        <v/>
      </c>
      <c r="N11669" s="94">
        <f>M11669-M11669*VLOOKUP($Q11669,매칭테이블!$F:$I,3,0)</f>
        <v/>
      </c>
      <c r="O11669" s="94">
        <f>VLOOKUP($Q11669,매칭테이블!$F:$I,4,0)*K11669</f>
        <v/>
      </c>
      <c r="P11669" s="148">
        <f>M11669/1.1</f>
        <v/>
      </c>
      <c r="Q11669" s="94">
        <f>F11669&amp;E11669&amp;G11669&amp;L11669</f>
        <v/>
      </c>
    </row>
    <row r="11670">
      <c r="B11670" s="128" t="n">
        <v>44169</v>
      </c>
      <c r="C11670" s="94">
        <f>TEXT(B11670,"aaa")</f>
        <v/>
      </c>
      <c r="E11670" s="94">
        <f>INDEX(매칭테이블!C:D,MATCH(RD!G11670,매칭테이블!D:D,0),1)</f>
        <v/>
      </c>
      <c r="F11670" s="94" t="inlineStr">
        <is>
          <t>카페24</t>
        </is>
      </c>
      <c r="G11670" s="94" t="inlineStr">
        <is>
          <t>어성초 77 수딩 토너토너(필수)=어성초77토너1개 + 어성초77패드1개 -30% off (무료배송)</t>
        </is>
      </c>
      <c r="K11670" s="94" t="n">
        <v>11</v>
      </c>
      <c r="L11670" s="94" t="n">
        <v>201208</v>
      </c>
      <c r="M11670" s="94">
        <f>VLOOKUP($Q11670,매칭테이블!$F:$I,2,0)*K11670</f>
        <v/>
      </c>
      <c r="N11670" s="94">
        <f>M11670-M11670*VLOOKUP($Q11670,매칭테이블!$F:$I,3,0)</f>
        <v/>
      </c>
      <c r="O11670" s="94">
        <f>VLOOKUP($Q11670,매칭테이블!$F:$I,4,0)*K11670</f>
        <v/>
      </c>
      <c r="P11670" s="148">
        <f>M11670/1.1</f>
        <v/>
      </c>
      <c r="Q11670" s="94">
        <f>F11670&amp;E11670&amp;G11670&amp;L11670</f>
        <v/>
      </c>
    </row>
    <row r="11671">
      <c r="B11671" s="128" t="n">
        <v>44169</v>
      </c>
      <c r="C11671" s="94">
        <f>TEXT(B11671,"aaa")</f>
        <v/>
      </c>
      <c r="E11671" s="94">
        <f>INDEX(매칭테이블!C:D,MATCH(RD!G11671,매칭테이블!D:D,0),1)</f>
        <v/>
      </c>
      <c r="F11671" s="94" t="inlineStr">
        <is>
          <t>카페24</t>
        </is>
      </c>
      <c r="G11671" s="94" t="inlineStr">
        <is>
          <t>어성초 77 수딩 토너화장솜(선택)=촉촉 스킨팩 화장솜</t>
        </is>
      </c>
      <c r="K11671" s="94" t="n">
        <v>14</v>
      </c>
      <c r="L11671" s="94" t="n">
        <v>201208</v>
      </c>
      <c r="M11671" s="94">
        <f>VLOOKUP($Q11671,매칭테이블!$F:$I,2,0)*K11671</f>
        <v/>
      </c>
      <c r="N11671" s="94">
        <f>M11671-M11671*VLOOKUP($Q11671,매칭테이블!$F:$I,3,0)</f>
        <v/>
      </c>
      <c r="O11671" s="94">
        <f>VLOOKUP($Q11671,매칭테이블!$F:$I,4,0)*K11671</f>
        <v/>
      </c>
      <c r="P11671" s="148">
        <f>M11671/1.1</f>
        <v/>
      </c>
      <c r="Q11671" s="94">
        <f>F11671&amp;E11671&amp;G11671&amp;L11671</f>
        <v/>
      </c>
    </row>
    <row r="11672">
      <c r="B11672" s="128" t="n">
        <v>44169</v>
      </c>
      <c r="C11672" s="94">
        <f>TEXT(B11672,"aaa")</f>
        <v/>
      </c>
      <c r="E11672" s="94">
        <f>INDEX(매칭테이블!C:D,MATCH(RD!G11672,매칭테이블!D:D,0),1)</f>
        <v/>
      </c>
      <c r="F11672" s="94" t="inlineStr">
        <is>
          <t>카페24</t>
        </is>
      </c>
      <c r="G11672" s="94" t="inlineStr">
        <is>
          <t>어성초 77 수딩 토너토너(필수)=어성초 77 토너 2개-30% off (무료배송)</t>
        </is>
      </c>
      <c r="K11672" s="94" t="n">
        <v>1</v>
      </c>
      <c r="L11672" s="94" t="n">
        <v>201208</v>
      </c>
      <c r="M11672" s="94">
        <f>VLOOKUP($Q11672,매칭테이블!$F:$I,2,0)*K11672</f>
        <v/>
      </c>
      <c r="N11672" s="94">
        <f>M11672-M11672*VLOOKUP($Q11672,매칭테이블!$F:$I,3,0)</f>
        <v/>
      </c>
      <c r="O11672" s="94">
        <f>VLOOKUP($Q11672,매칭테이블!$F:$I,4,0)*K11672</f>
        <v/>
      </c>
      <c r="P11672" s="148">
        <f>M11672/1.1</f>
        <v/>
      </c>
      <c r="Q11672" s="94">
        <f>F11672&amp;E11672&amp;G11672&amp;L11672</f>
        <v/>
      </c>
    </row>
    <row r="11673">
      <c r="B11673" s="128" t="n">
        <v>44169</v>
      </c>
      <c r="C11673" s="94">
        <f>TEXT(B11673,"aaa")</f>
        <v/>
      </c>
      <c r="E11673" s="94">
        <f>INDEX(매칭테이블!C:D,MATCH(RD!G11673,매칭테이블!D:D,0),1)</f>
        <v/>
      </c>
      <c r="F11673" s="94" t="inlineStr">
        <is>
          <t>카페24</t>
        </is>
      </c>
      <c r="G11673" s="94" t="inlineStr">
        <is>
          <t>어성초 77 수딩 토너토너(필수)=(대용량) 어성초 77 토너 500ml (무료배송)</t>
        </is>
      </c>
      <c r="K11673" s="94" t="n">
        <v>2</v>
      </c>
      <c r="L11673" s="94" t="n">
        <v>201208</v>
      </c>
      <c r="M11673" s="94">
        <f>VLOOKUP($Q11673,매칭테이블!$F:$I,2,0)*K11673</f>
        <v/>
      </c>
      <c r="N11673" s="94">
        <f>M11673-M11673*VLOOKUP($Q11673,매칭테이블!$F:$I,3,0)</f>
        <v/>
      </c>
      <c r="O11673" s="94">
        <f>VLOOKUP($Q11673,매칭테이블!$F:$I,4,0)*K11673</f>
        <v/>
      </c>
      <c r="P11673" s="148">
        <f>M11673/1.1</f>
        <v/>
      </c>
      <c r="Q11673" s="94">
        <f>F11673&amp;E11673&amp;G11673&amp;L11673</f>
        <v/>
      </c>
    </row>
    <row r="11674">
      <c r="B11674" s="128" t="n">
        <v>44169</v>
      </c>
      <c r="C11674" s="94">
        <f>TEXT(B11674,"aaa")</f>
        <v/>
      </c>
      <c r="E11674" s="94">
        <f>INDEX(매칭테이블!C:D,MATCH(RD!G11674,매칭테이블!D:D,0),1)</f>
        <v/>
      </c>
      <c r="F11674" s="94" t="inlineStr">
        <is>
          <t>카페24</t>
        </is>
      </c>
      <c r="G11674" s="94" t="inlineStr">
        <is>
          <t>어성초 77 진정 마스크옵션=어성초 77 진정 마스크팩 1장</t>
        </is>
      </c>
      <c r="K11674" s="94" t="n">
        <v>3</v>
      </c>
      <c r="L11674" s="94" t="n">
        <v>201208</v>
      </c>
      <c r="M11674" s="94">
        <f>VLOOKUP($Q11674,매칭테이블!$F:$I,2,0)*K11674</f>
        <v/>
      </c>
      <c r="N11674" s="94">
        <f>M11674-M11674*VLOOKUP($Q11674,매칭테이블!$F:$I,3,0)</f>
        <v/>
      </c>
      <c r="O11674" s="94">
        <f>VLOOKUP($Q11674,매칭테이블!$F:$I,4,0)*K11674</f>
        <v/>
      </c>
      <c r="P11674" s="148">
        <f>M11674/1.1</f>
        <v/>
      </c>
      <c r="Q11674" s="94">
        <f>F11674&amp;E11674&amp;G11674&amp;L11674</f>
        <v/>
      </c>
    </row>
    <row r="11675">
      <c r="B11675" s="128" t="n">
        <v>44169</v>
      </c>
      <c r="C11675" s="94">
        <f>TEXT(B11675,"aaa")</f>
        <v/>
      </c>
      <c r="E11675" s="94">
        <f>INDEX(매칭테이블!C:D,MATCH(RD!G11675,매칭테이블!D:D,0),1)</f>
        <v/>
      </c>
      <c r="F11675" s="94" t="inlineStr">
        <is>
          <t>카페24</t>
        </is>
      </c>
      <c r="G11675" s="94" t="inlineStr">
        <is>
          <t>어성초 77 진정 마스크옵션=어성초 77 진정 마스크팩 10장-50% off</t>
        </is>
      </c>
      <c r="K11675" s="94" t="n">
        <v>3</v>
      </c>
      <c r="L11675" s="94" t="n">
        <v>201208</v>
      </c>
      <c r="M11675" s="94">
        <f>VLOOKUP($Q11675,매칭테이블!$F:$I,2,0)*K11675</f>
        <v/>
      </c>
      <c r="N11675" s="94">
        <f>M11675-M11675*VLOOKUP($Q11675,매칭테이블!$F:$I,3,0)</f>
        <v/>
      </c>
      <c r="O11675" s="94">
        <f>VLOOKUP($Q11675,매칭테이블!$F:$I,4,0)*K11675</f>
        <v/>
      </c>
      <c r="P11675" s="148">
        <f>M11675/1.1</f>
        <v/>
      </c>
      <c r="Q11675" s="94">
        <f>F11675&amp;E11675&amp;G11675&amp;L11675</f>
        <v/>
      </c>
    </row>
    <row r="11676">
      <c r="B11676" s="128" t="n">
        <v>44169</v>
      </c>
      <c r="C11676" s="94">
        <f>TEXT(B11676,"aaa")</f>
        <v/>
      </c>
      <c r="E11676" s="94">
        <f>INDEX(매칭테이블!C:D,MATCH(RD!G11676,매칭테이블!D:D,0),1)</f>
        <v/>
      </c>
      <c r="F11676" s="94" t="inlineStr">
        <is>
          <t>카페24</t>
        </is>
      </c>
      <c r="G11676" s="94" t="inlineStr">
        <is>
          <t>어성초 77 진정 마스크</t>
        </is>
      </c>
      <c r="K11676" s="94" t="n">
        <v>3</v>
      </c>
      <c r="L11676" s="94" t="n">
        <v>201208</v>
      </c>
      <c r="M11676" s="94">
        <f>VLOOKUP($Q11676,매칭테이블!$F:$I,2,0)*K11676</f>
        <v/>
      </c>
      <c r="N11676" s="94">
        <f>M11676-M11676*VLOOKUP($Q11676,매칭테이블!$F:$I,3,0)</f>
        <v/>
      </c>
      <c r="O11676" s="94">
        <f>VLOOKUP($Q11676,매칭테이블!$F:$I,4,0)*K11676</f>
        <v/>
      </c>
      <c r="P11676" s="148">
        <f>M11676/1.1</f>
        <v/>
      </c>
      <c r="Q11676" s="94">
        <f>F11676&amp;E11676&amp;G11676&amp;L11676</f>
        <v/>
      </c>
    </row>
    <row r="11677">
      <c r="B11677" s="128" t="n">
        <v>44169</v>
      </c>
      <c r="C11677" s="94">
        <f>TEXT(B11677,"aaa")</f>
        <v/>
      </c>
      <c r="E11677" s="94">
        <f>INDEX(매칭테이블!C:D,MATCH(RD!G11677,매칭테이블!D:D,0),1)</f>
        <v/>
      </c>
      <c r="F11677" s="94" t="inlineStr">
        <is>
          <t>카페24</t>
        </is>
      </c>
      <c r="G11677" s="94" t="inlineStr">
        <is>
          <t>어성초 77 클리어 패드옵션=어성초 77 클리어 패드 1개-20% off</t>
        </is>
      </c>
      <c r="K11677" s="94" t="n">
        <v>44</v>
      </c>
      <c r="L11677" s="94" t="n">
        <v>201208</v>
      </c>
      <c r="M11677" s="94">
        <f>VLOOKUP($Q11677,매칭테이블!$F:$I,2,0)*K11677</f>
        <v/>
      </c>
      <c r="N11677" s="94">
        <f>M11677-M11677*VLOOKUP($Q11677,매칭테이블!$F:$I,3,0)</f>
        <v/>
      </c>
      <c r="O11677" s="94">
        <f>VLOOKUP($Q11677,매칭테이블!$F:$I,4,0)*K11677</f>
        <v/>
      </c>
      <c r="P11677" s="148">
        <f>M11677/1.1</f>
        <v/>
      </c>
      <c r="Q11677" s="94">
        <f>F11677&amp;E11677&amp;G11677&amp;L11677</f>
        <v/>
      </c>
    </row>
    <row r="11678">
      <c r="B11678" s="128" t="n">
        <v>44169</v>
      </c>
      <c r="C11678" s="94">
        <f>TEXT(B11678,"aaa")</f>
        <v/>
      </c>
      <c r="E11678" s="94">
        <f>INDEX(매칭테이블!C:D,MATCH(RD!G11678,매칭테이블!D:D,0),1)</f>
        <v/>
      </c>
      <c r="F11678" s="94" t="inlineStr">
        <is>
          <t>카페24</t>
        </is>
      </c>
      <c r="G11678" s="94" t="inlineStr">
        <is>
          <t>어성초 77 클리어 패드옵션=어성초 77 클리어 패드 2개-30% off (무료배송)</t>
        </is>
      </c>
      <c r="K11678" s="94" t="n">
        <v>60</v>
      </c>
      <c r="L11678" s="94" t="n">
        <v>201208</v>
      </c>
      <c r="M11678" s="94">
        <f>VLOOKUP($Q11678,매칭테이블!$F:$I,2,0)*K11678</f>
        <v/>
      </c>
      <c r="N11678" s="94">
        <f>M11678-M11678*VLOOKUP($Q11678,매칭테이블!$F:$I,3,0)</f>
        <v/>
      </c>
      <c r="O11678" s="94">
        <f>VLOOKUP($Q11678,매칭테이블!$F:$I,4,0)*K11678</f>
        <v/>
      </c>
      <c r="P11678" s="148">
        <f>M11678/1.1</f>
        <v/>
      </c>
      <c r="Q11678" s="94">
        <f>F11678&amp;E11678&amp;G11678&amp;L11678</f>
        <v/>
      </c>
    </row>
    <row r="11679">
      <c r="B11679" s="128" t="n">
        <v>44169</v>
      </c>
      <c r="C11679" s="94">
        <f>TEXT(B11679,"aaa")</f>
        <v/>
      </c>
      <c r="E11679" s="94">
        <f>INDEX(매칭테이블!C:D,MATCH(RD!G11679,매칭테이블!D:D,0),1)</f>
        <v/>
      </c>
      <c r="F11679" s="94" t="inlineStr">
        <is>
          <t>카페24</t>
        </is>
      </c>
      <c r="G11679" s="94" t="inlineStr">
        <is>
          <t>어성초 77 클리어 패드옵션=어성초77토너1개+어성초77패드1개-30% off (무료배송)</t>
        </is>
      </c>
      <c r="K11679" s="94" t="n">
        <v>21</v>
      </c>
      <c r="L11679" s="94" t="n">
        <v>201208</v>
      </c>
      <c r="M11679" s="94">
        <f>VLOOKUP($Q11679,매칭테이블!$F:$I,2,0)*K11679</f>
        <v/>
      </c>
      <c r="N11679" s="94">
        <f>M11679-M11679*VLOOKUP($Q11679,매칭테이블!$F:$I,3,0)</f>
        <v/>
      </c>
      <c r="O11679" s="94">
        <f>VLOOKUP($Q11679,매칭테이블!$F:$I,4,0)*K11679</f>
        <v/>
      </c>
      <c r="P11679" s="148">
        <f>M11679/1.1</f>
        <v/>
      </c>
      <c r="Q11679" s="94">
        <f>F11679&amp;E11679&amp;G11679&amp;L11679</f>
        <v/>
      </c>
    </row>
    <row r="11680">
      <c r="B11680" s="128" t="n">
        <v>44169</v>
      </c>
      <c r="C11680" s="94">
        <f>TEXT(B11680,"aaa")</f>
        <v/>
      </c>
      <c r="E11680" s="94">
        <f>INDEX(매칭테이블!C:D,MATCH(RD!G11680,매칭테이블!D:D,0),1)</f>
        <v/>
      </c>
      <c r="F11680" s="94" t="inlineStr">
        <is>
          <t>카페24</t>
        </is>
      </c>
      <c r="G11680" s="94" t="inlineStr">
        <is>
          <t>어성초 77 클리어 패드옵션=어성초 77 클리어 패드 2개-30% off (무료배송)</t>
        </is>
      </c>
      <c r="K11680" s="94" t="n">
        <v>1</v>
      </c>
      <c r="L11680" s="94" t="n">
        <v>201208</v>
      </c>
      <c r="M11680" s="94">
        <f>VLOOKUP($Q11680,매칭테이블!$F:$I,2,0)*K11680</f>
        <v/>
      </c>
      <c r="N11680" s="94">
        <f>M11680-M11680*VLOOKUP($Q11680,매칭테이블!$F:$I,3,0)</f>
        <v/>
      </c>
      <c r="O11680" s="94">
        <f>VLOOKUP($Q11680,매칭테이블!$F:$I,4,0)*K11680</f>
        <v/>
      </c>
      <c r="P11680" s="148">
        <f>M11680/1.1</f>
        <v/>
      </c>
      <c r="Q11680" s="94">
        <f>F11680&amp;E11680&amp;G11680&amp;L11680</f>
        <v/>
      </c>
    </row>
    <row r="11681">
      <c r="B11681" s="128" t="n">
        <v>44169</v>
      </c>
      <c r="C11681" s="94">
        <f>TEXT(B11681,"aaa")</f>
        <v/>
      </c>
      <c r="E11681" s="94">
        <f>INDEX(매칭테이블!C:D,MATCH(RD!G11681,매칭테이블!D:D,0),1)</f>
        <v/>
      </c>
      <c r="F11681" s="94" t="inlineStr">
        <is>
          <t>카페24</t>
        </is>
      </c>
      <c r="G11681" s="94" t="inlineStr">
        <is>
          <t>어성초 77 클리어 패드옵션=어성초77토너1개+어성초77패드1개-30% off (무료배송)</t>
        </is>
      </c>
      <c r="K11681" s="94" t="n">
        <v>1</v>
      </c>
      <c r="L11681" s="94" t="n">
        <v>201208</v>
      </c>
      <c r="M11681" s="94">
        <f>VLOOKUP($Q11681,매칭테이블!$F:$I,2,0)*K11681</f>
        <v/>
      </c>
      <c r="N11681" s="94">
        <f>M11681-M11681*VLOOKUP($Q11681,매칭테이블!$F:$I,3,0)</f>
        <v/>
      </c>
      <c r="O11681" s="94">
        <f>VLOOKUP($Q11681,매칭테이블!$F:$I,4,0)*K11681</f>
        <v/>
      </c>
      <c r="P11681" s="148">
        <f>M11681/1.1</f>
        <v/>
      </c>
      <c r="Q11681" s="94">
        <f>F11681&amp;E11681&amp;G11681&amp;L11681</f>
        <v/>
      </c>
    </row>
    <row r="11682">
      <c r="B11682" s="128" t="n">
        <v>44169</v>
      </c>
      <c r="C11682" s="94">
        <f>TEXT(B11682,"aaa")</f>
        <v/>
      </c>
      <c r="E11682" s="94">
        <f>INDEX(매칭테이블!C:D,MATCH(RD!G11682,매칭테이블!D:D,0),1)</f>
        <v/>
      </c>
      <c r="F11682" s="94" t="inlineStr">
        <is>
          <t>카페24</t>
        </is>
      </c>
      <c r="G11682" s="94" t="inlineStr">
        <is>
          <t>어성초 78 수딩 크림</t>
        </is>
      </c>
      <c r="K11682" s="94" t="n">
        <v>3</v>
      </c>
      <c r="L11682" s="94" t="n">
        <v>201208</v>
      </c>
      <c r="M11682" s="94">
        <f>VLOOKUP($Q11682,매칭테이블!$F:$I,2,0)*K11682</f>
        <v/>
      </c>
      <c r="N11682" s="94">
        <f>M11682-M11682*VLOOKUP($Q11682,매칭테이블!$F:$I,3,0)</f>
        <v/>
      </c>
      <c r="O11682" s="94">
        <f>VLOOKUP($Q11682,매칭테이블!$F:$I,4,0)*K11682</f>
        <v/>
      </c>
      <c r="P11682" s="148">
        <f>M11682/1.1</f>
        <v/>
      </c>
      <c r="Q11682" s="94">
        <f>F11682&amp;E11682&amp;G11682&amp;L11682</f>
        <v/>
      </c>
    </row>
    <row r="11683">
      <c r="B11683" s="128" t="n">
        <v>44169</v>
      </c>
      <c r="C11683" s="94">
        <f>TEXT(B11683,"aaa")</f>
        <v/>
      </c>
      <c r="E11683" s="94">
        <f>INDEX(매칭테이블!C:D,MATCH(RD!G11683,매칭테이블!D:D,0),1)</f>
        <v/>
      </c>
      <c r="F11683" s="94" t="inlineStr">
        <is>
          <t>카페24</t>
        </is>
      </c>
      <c r="G11683" s="94" t="inlineStr">
        <is>
          <t>어성초 78 수딩 크림</t>
        </is>
      </c>
      <c r="K11683" s="94" t="n">
        <v>2</v>
      </c>
      <c r="L11683" s="94" t="n">
        <v>201208</v>
      </c>
      <c r="M11683" s="94">
        <f>VLOOKUP($Q11683,매칭테이블!$F:$I,2,0)*K11683</f>
        <v/>
      </c>
      <c r="N11683" s="94">
        <f>M11683-M11683*VLOOKUP($Q11683,매칭테이블!$F:$I,3,0)</f>
        <v/>
      </c>
      <c r="O11683" s="94">
        <f>VLOOKUP($Q11683,매칭테이블!$F:$I,4,0)*K11683</f>
        <v/>
      </c>
      <c r="P11683" s="148">
        <f>M11683/1.1</f>
        <v/>
      </c>
      <c r="Q11683" s="94">
        <f>F11683&amp;E11683&amp;G11683&amp;L11683</f>
        <v/>
      </c>
    </row>
    <row r="11684">
      <c r="B11684" s="128" t="n">
        <v>44169</v>
      </c>
      <c r="C11684" s="94">
        <f>TEXT(B11684,"aaa")</f>
        <v/>
      </c>
      <c r="E11684" s="94">
        <f>INDEX(매칭테이블!C:D,MATCH(RD!G11684,매칭테이블!D:D,0),1)</f>
        <v/>
      </c>
      <c r="F11684" s="94" t="inlineStr">
        <is>
          <t>카페24</t>
        </is>
      </c>
      <c r="G11684" s="94" t="inlineStr">
        <is>
          <t>어성초 80 수분 진정 앰플앰플=어성초 80 앰플 1개-15%off</t>
        </is>
      </c>
      <c r="K11684" s="94" t="n">
        <v>17</v>
      </c>
      <c r="L11684" s="94" t="n">
        <v>201208</v>
      </c>
      <c r="M11684" s="94">
        <f>VLOOKUP($Q11684,매칭테이블!$F:$I,2,0)*K11684</f>
        <v/>
      </c>
      <c r="N11684" s="94">
        <f>M11684-M11684*VLOOKUP($Q11684,매칭테이블!$F:$I,3,0)</f>
        <v/>
      </c>
      <c r="O11684" s="94">
        <f>VLOOKUP($Q11684,매칭테이블!$F:$I,4,0)*K11684</f>
        <v/>
      </c>
      <c r="P11684" s="148">
        <f>M11684/1.1</f>
        <v/>
      </c>
      <c r="Q11684" s="94">
        <f>F11684&amp;E11684&amp;G11684&amp;L11684</f>
        <v/>
      </c>
    </row>
    <row r="11685">
      <c r="B11685" s="128" t="n">
        <v>44169</v>
      </c>
      <c r="C11685" s="94">
        <f>TEXT(B11685,"aaa")</f>
        <v/>
      </c>
      <c r="E11685" s="94">
        <f>INDEX(매칭테이블!C:D,MATCH(RD!G11685,매칭테이블!D:D,0),1)</f>
        <v/>
      </c>
      <c r="F11685" s="94" t="inlineStr">
        <is>
          <t>카페24</t>
        </is>
      </c>
      <c r="G11685" s="94" t="inlineStr">
        <is>
          <t>어성초 80 수분 진정 앰플앰플=어성초 80 앰플 2개-27%off (무료배송)</t>
        </is>
      </c>
      <c r="K11685" s="94" t="n">
        <v>10</v>
      </c>
      <c r="L11685" s="94" t="n">
        <v>201208</v>
      </c>
      <c r="M11685" s="94">
        <f>VLOOKUP($Q11685,매칭테이블!$F:$I,2,0)*K11685</f>
        <v/>
      </c>
      <c r="N11685" s="94">
        <f>M11685-M11685*VLOOKUP($Q11685,매칭테이블!$F:$I,3,0)</f>
        <v/>
      </c>
      <c r="O11685" s="94">
        <f>VLOOKUP($Q11685,매칭테이블!$F:$I,4,0)*K11685</f>
        <v/>
      </c>
      <c r="P11685" s="148">
        <f>M11685/1.1</f>
        <v/>
      </c>
      <c r="Q11685" s="94">
        <f>F11685&amp;E11685&amp;G11685&amp;L11685</f>
        <v/>
      </c>
    </row>
    <row r="11686">
      <c r="B11686" s="128" t="n">
        <v>44169</v>
      </c>
      <c r="C11686" s="94">
        <f>TEXT(B11686,"aaa")</f>
        <v/>
      </c>
      <c r="E11686" s="94">
        <f>INDEX(매칭테이블!C:D,MATCH(RD!G11686,매칭테이블!D:D,0),1)</f>
        <v/>
      </c>
      <c r="F11686" s="94" t="inlineStr">
        <is>
          <t>카페24</t>
        </is>
      </c>
      <c r="G11686" s="94" t="inlineStr">
        <is>
          <t>어성초 80 수분 진정 앰플</t>
        </is>
      </c>
      <c r="K11686" s="94" t="n">
        <v>1</v>
      </c>
      <c r="L11686" s="94" t="n">
        <v>201208</v>
      </c>
      <c r="M11686" s="94">
        <f>VLOOKUP($Q11686,매칭테이블!$F:$I,2,0)*K11686</f>
        <v/>
      </c>
      <c r="N11686" s="94">
        <f>M11686-M11686*VLOOKUP($Q11686,매칭테이블!$F:$I,3,0)</f>
        <v/>
      </c>
      <c r="O11686" s="94">
        <f>VLOOKUP($Q11686,매칭테이블!$F:$I,4,0)*K11686</f>
        <v/>
      </c>
      <c r="P11686" s="148">
        <f>M11686/1.1</f>
        <v/>
      </c>
      <c r="Q11686" s="94">
        <f>F11686&amp;E11686&amp;G11686&amp;L11686</f>
        <v/>
      </c>
    </row>
    <row r="11687">
      <c r="B11687" s="128" t="n">
        <v>44169</v>
      </c>
      <c r="C11687" s="94">
        <f>TEXT(B11687,"aaa")</f>
        <v/>
      </c>
      <c r="E11687" s="94">
        <f>INDEX(매칭테이블!C:D,MATCH(RD!G11687,매칭테이블!D:D,0),1)</f>
        <v/>
      </c>
      <c r="F11687" s="94" t="inlineStr">
        <is>
          <t>카페24</t>
        </is>
      </c>
      <c r="G11687" s="94" t="inlineStr">
        <is>
          <t>어성초 아크네 바디워시옵션=어성초 아크네 바디워시 1개 -30% off</t>
        </is>
      </c>
      <c r="K11687" s="94" t="n">
        <v>3</v>
      </c>
      <c r="L11687" s="94" t="n">
        <v>201208</v>
      </c>
      <c r="M11687" s="94">
        <f>VLOOKUP($Q11687,매칭테이블!$F:$I,2,0)*K11687</f>
        <v/>
      </c>
      <c r="N11687" s="94">
        <f>M11687-M11687*VLOOKUP($Q11687,매칭테이블!$F:$I,3,0)</f>
        <v/>
      </c>
      <c r="O11687" s="94">
        <f>VLOOKUP($Q11687,매칭테이블!$F:$I,4,0)*K11687</f>
        <v/>
      </c>
      <c r="P11687" s="148">
        <f>M11687/1.1</f>
        <v/>
      </c>
      <c r="Q11687" s="94">
        <f>F11687&amp;E11687&amp;G11687&amp;L11687</f>
        <v/>
      </c>
    </row>
    <row r="11688">
      <c r="B11688" s="128" t="n">
        <v>44169</v>
      </c>
      <c r="C11688" s="94">
        <f>TEXT(B11688,"aaa")</f>
        <v/>
      </c>
      <c r="E11688" s="94">
        <f>INDEX(매칭테이블!C:D,MATCH(RD!G11688,매칭테이블!D:D,0),1)</f>
        <v/>
      </c>
      <c r="F11688" s="94" t="inlineStr">
        <is>
          <t>카페24</t>
        </is>
      </c>
      <c r="G11688" s="94" t="inlineStr">
        <is>
          <t>어성초 약산성 클렌징폼클렌징폼=어성초 약산성 클렌징폼 1개 -19%off</t>
        </is>
      </c>
      <c r="K11688" s="94" t="n">
        <v>9</v>
      </c>
      <c r="L11688" s="94" t="n">
        <v>201208</v>
      </c>
      <c r="M11688" s="94">
        <f>VLOOKUP($Q11688,매칭테이블!$F:$I,2,0)*K11688</f>
        <v/>
      </c>
      <c r="N11688" s="94">
        <f>M11688-M11688*VLOOKUP($Q11688,매칭테이블!$F:$I,3,0)</f>
        <v/>
      </c>
      <c r="O11688" s="94">
        <f>VLOOKUP($Q11688,매칭테이블!$F:$I,4,0)*K11688</f>
        <v/>
      </c>
      <c r="P11688" s="148">
        <f>M11688/1.1</f>
        <v/>
      </c>
      <c r="Q11688" s="94">
        <f>F11688&amp;E11688&amp;G11688&amp;L11688</f>
        <v/>
      </c>
    </row>
    <row r="11689">
      <c r="B11689" s="128" t="n">
        <v>44169</v>
      </c>
      <c r="C11689" s="94">
        <f>TEXT(B11689,"aaa")</f>
        <v/>
      </c>
      <c r="E11689" s="94">
        <f>INDEX(매칭테이블!C:D,MATCH(RD!G11689,매칭테이블!D:D,0),1)</f>
        <v/>
      </c>
      <c r="F11689" s="94" t="inlineStr">
        <is>
          <t>카페24</t>
        </is>
      </c>
      <c r="G11689" s="94" t="inlineStr">
        <is>
          <t>어성초 약산성 클렌징폼클렌징폼=어성초 약산성 클렌징폼 2개 -25%off</t>
        </is>
      </c>
      <c r="K11689" s="94" t="n">
        <v>3</v>
      </c>
      <c r="L11689" s="94" t="n">
        <v>201208</v>
      </c>
      <c r="M11689" s="94">
        <f>VLOOKUP($Q11689,매칭테이블!$F:$I,2,0)*K11689</f>
        <v/>
      </c>
      <c r="N11689" s="94">
        <f>M11689-M11689*VLOOKUP($Q11689,매칭테이블!$F:$I,3,0)</f>
        <v/>
      </c>
      <c r="O11689" s="94">
        <f>VLOOKUP($Q11689,매칭테이블!$F:$I,4,0)*K11689</f>
        <v/>
      </c>
      <c r="P11689" s="148">
        <f>M11689/1.1</f>
        <v/>
      </c>
      <c r="Q11689" s="94">
        <f>F11689&amp;E11689&amp;G11689&amp;L11689</f>
        <v/>
      </c>
    </row>
    <row r="11690">
      <c r="B11690" s="128" t="n">
        <v>44169</v>
      </c>
      <c r="C11690" s="94">
        <f>TEXT(B11690,"aaa")</f>
        <v/>
      </c>
      <c r="E11690" s="94">
        <f>INDEX(매칭테이블!C:D,MATCH(RD!G11690,매칭테이블!D:D,0),1)</f>
        <v/>
      </c>
      <c r="F11690" s="94" t="inlineStr">
        <is>
          <t>카페24</t>
        </is>
      </c>
      <c r="G11690" s="94" t="inlineStr">
        <is>
          <t>어성초 약산성 클렌징폼클렌징폼=어성초 약산성 클렌징폼 3개 -31%off (무료배송)</t>
        </is>
      </c>
      <c r="K11690" s="94" t="n">
        <v>3</v>
      </c>
      <c r="L11690" s="94" t="n">
        <v>201208</v>
      </c>
      <c r="M11690" s="94">
        <f>VLOOKUP($Q11690,매칭테이블!$F:$I,2,0)*K11690</f>
        <v/>
      </c>
      <c r="N11690" s="94">
        <f>M11690-M11690*VLOOKUP($Q11690,매칭테이블!$F:$I,3,0)</f>
        <v/>
      </c>
      <c r="O11690" s="94">
        <f>VLOOKUP($Q11690,매칭테이블!$F:$I,4,0)*K11690</f>
        <v/>
      </c>
      <c r="P11690" s="148">
        <f>M11690/1.1</f>
        <v/>
      </c>
      <c r="Q11690" s="94">
        <f>F11690&amp;E11690&amp;G11690&amp;L11690</f>
        <v/>
      </c>
    </row>
    <row r="11691">
      <c r="B11691" s="128" t="n">
        <v>44169</v>
      </c>
      <c r="C11691" s="94">
        <f>TEXT(B11691,"aaa")</f>
        <v/>
      </c>
      <c r="E11691" s="94">
        <f>INDEX(매칭테이블!C:D,MATCH(RD!G11691,매칭테이블!D:D,0),1)</f>
        <v/>
      </c>
      <c r="F11691" s="94" t="inlineStr">
        <is>
          <t>카페24</t>
        </is>
      </c>
      <c r="G11691" s="94" t="inlineStr">
        <is>
          <t>어성초 크림마스크 나이트 솔루션옵션=어성초 크림마스크 나이트 솔루션 10장 (-50%)</t>
        </is>
      </c>
      <c r="K11691" s="94" t="n">
        <v>2</v>
      </c>
      <c r="L11691" s="94" t="n">
        <v>201208</v>
      </c>
      <c r="M11691" s="94">
        <f>VLOOKUP($Q11691,매칭테이블!$F:$I,2,0)*K11691</f>
        <v/>
      </c>
      <c r="N11691" s="94">
        <f>M11691-M11691*VLOOKUP($Q11691,매칭테이블!$F:$I,3,0)</f>
        <v/>
      </c>
      <c r="O11691" s="94">
        <f>VLOOKUP($Q11691,매칭테이블!$F:$I,4,0)*K11691</f>
        <v/>
      </c>
      <c r="P11691" s="148">
        <f>M11691/1.1</f>
        <v/>
      </c>
      <c r="Q11691" s="94">
        <f>F11691&amp;E11691&amp;G11691&amp;L11691</f>
        <v/>
      </c>
    </row>
    <row r="11692">
      <c r="B11692" s="128" t="n">
        <v>44169</v>
      </c>
      <c r="C11692" s="94">
        <f>TEXT(B11692,"aaa")</f>
        <v/>
      </c>
      <c r="E11692" s="94">
        <f>INDEX(매칭테이블!C:D,MATCH(RD!G11692,매칭테이블!D:D,0),1)</f>
        <v/>
      </c>
      <c r="F11692" s="94" t="inlineStr">
        <is>
          <t>카페24</t>
        </is>
      </c>
      <c r="G11692" s="94" t="inlineStr">
        <is>
          <t>촉촉 스킨팩 화장솜</t>
        </is>
      </c>
      <c r="K11692" s="94" t="n">
        <v>27</v>
      </c>
      <c r="L11692" s="94" t="n">
        <v>201208</v>
      </c>
      <c r="M11692" s="94">
        <f>VLOOKUP($Q11692,매칭테이블!$F:$I,2,0)*K11692</f>
        <v/>
      </c>
      <c r="N11692" s="94">
        <f>M11692-M11692*VLOOKUP($Q11692,매칭테이블!$F:$I,3,0)</f>
        <v/>
      </c>
      <c r="O11692" s="94">
        <f>VLOOKUP($Q11692,매칭테이블!$F:$I,4,0)*K11692</f>
        <v/>
      </c>
      <c r="P11692" s="148">
        <f>M11692/1.1</f>
        <v/>
      </c>
      <c r="Q11692" s="94">
        <f>F11692&amp;E11692&amp;G11692&amp;L11692</f>
        <v/>
      </c>
    </row>
    <row r="11693">
      <c r="B11693" s="128" t="n">
        <v>44169</v>
      </c>
      <c r="C11693" s="94">
        <f>TEXT(B11693,"aaa")</f>
        <v/>
      </c>
      <c r="E11693" s="94">
        <f>INDEX(매칭테이블!C:D,MATCH(RD!G11693,매칭테이블!D:D,0),1)</f>
        <v/>
      </c>
      <c r="F11693" s="94" t="inlineStr">
        <is>
          <t>카페24</t>
        </is>
      </c>
      <c r="G11693" s="94" t="inlineStr">
        <is>
          <t>촉촉 스킨팩 화장솜</t>
        </is>
      </c>
      <c r="K11693" s="94" t="n">
        <v>1</v>
      </c>
      <c r="L11693" s="94" t="n">
        <v>201208</v>
      </c>
      <c r="M11693" s="94">
        <f>VLOOKUP($Q11693,매칭테이블!$F:$I,2,0)*K11693</f>
        <v/>
      </c>
      <c r="N11693" s="94">
        <f>M11693-M11693*VLOOKUP($Q11693,매칭테이블!$F:$I,3,0)</f>
        <v/>
      </c>
      <c r="O11693" s="94">
        <f>VLOOKUP($Q11693,매칭테이블!$F:$I,4,0)*K11693</f>
        <v/>
      </c>
      <c r="P11693" s="148">
        <f>M11693/1.1</f>
        <v/>
      </c>
      <c r="Q11693" s="94">
        <f>F11693&amp;E11693&amp;G11693&amp;L11693</f>
        <v/>
      </c>
    </row>
    <row r="11694">
      <c r="B11694" s="128" t="n">
        <v>44169</v>
      </c>
      <c r="C11694" s="94">
        <f>TEXT(B11694,"aaa")</f>
        <v/>
      </c>
      <c r="E11694" s="94">
        <f>INDEX(매칭테이블!C:D,MATCH(RD!G11694,매칭테이블!D:D,0),1)</f>
        <v/>
      </c>
      <c r="F11694" s="94" t="inlineStr">
        <is>
          <t>화해</t>
        </is>
      </c>
      <c r="G11694" s="94" t="inlineStr">
        <is>
          <t>어성초 77 토너 250ml어성초 77 토너 250ml</t>
        </is>
      </c>
      <c r="K11694" s="94" t="n">
        <v>1</v>
      </c>
      <c r="L11694" s="94" t="n">
        <v>201208</v>
      </c>
      <c r="M11694" s="94">
        <f>VLOOKUP($Q11694,매칭테이블!$F:$I,2,0)*K11694</f>
        <v/>
      </c>
      <c r="N11694" s="94">
        <f>M11694-M11694*VLOOKUP($Q11694,매칭테이블!$F:$I,3,0)</f>
        <v/>
      </c>
      <c r="O11694" s="94">
        <f>VLOOKUP($Q11694,매칭테이블!$F:$I,4,0)*K11694</f>
        <v/>
      </c>
      <c r="P11694" s="148">
        <f>M11694/1.1</f>
        <v/>
      </c>
      <c r="Q11694" s="94">
        <f>F11694&amp;E11694&amp;G11694&amp;L11694</f>
        <v/>
      </c>
    </row>
    <row r="11695">
      <c r="B11695" s="128" t="n">
        <v>44170</v>
      </c>
      <c r="C11695" s="94">
        <f>TEXT(B11695,"aaa")</f>
        <v/>
      </c>
      <c r="E11695" s="94">
        <f>INDEX(매칭테이블!C:D,MATCH(RD!G11695,매칭테이블!D:D,0),1)</f>
        <v/>
      </c>
      <c r="F11695" s="94" t="inlineStr">
        <is>
          <t>스타일쉐어</t>
        </is>
      </c>
      <c r="G11695" s="94" t="inlineStr">
        <is>
          <t>아누아 어성초 77 토너 250ml</t>
        </is>
      </c>
      <c r="K11695" s="94" t="n">
        <v>2</v>
      </c>
      <c r="L11695" s="94" t="n">
        <v>201208</v>
      </c>
      <c r="M11695" s="94">
        <f>VLOOKUP($Q11695,매칭테이블!$F:$I,2,0)*K11695</f>
        <v/>
      </c>
      <c r="N11695" s="94">
        <f>M11695-M11695*VLOOKUP($Q11695,매칭테이블!$F:$I,3,0)</f>
        <v/>
      </c>
      <c r="O11695" s="94">
        <f>VLOOKUP($Q11695,매칭테이블!$F:$I,4,0)*K11695</f>
        <v/>
      </c>
      <c r="P11695" s="148">
        <f>M11695/1.1</f>
        <v/>
      </c>
      <c r="Q11695" s="94">
        <f>F11695&amp;E11695&amp;G11695&amp;L11695</f>
        <v/>
      </c>
    </row>
    <row r="11696">
      <c r="B11696" s="128" t="n">
        <v>44170</v>
      </c>
      <c r="C11696" s="94">
        <f>TEXT(B11696,"aaa")</f>
        <v/>
      </c>
      <c r="E11696" s="94">
        <f>INDEX(매칭테이블!C:D,MATCH(RD!G11696,매칭테이블!D:D,0),1)</f>
        <v/>
      </c>
      <c r="F11696" s="94" t="inlineStr">
        <is>
          <t>카페24</t>
        </is>
      </c>
      <c r="G11696" s="94" t="inlineStr">
        <is>
          <t>5 제로 무기자차 선크림옵션=5제로 무기자차 선크림 1개-20% off</t>
        </is>
      </c>
      <c r="K11696" s="94" t="n">
        <v>2</v>
      </c>
      <c r="L11696" s="94" t="n">
        <v>201208</v>
      </c>
      <c r="M11696" s="94">
        <f>VLOOKUP($Q11696,매칭테이블!$F:$I,2,0)*K11696</f>
        <v/>
      </c>
      <c r="N11696" s="94">
        <f>M11696-M11696*VLOOKUP($Q11696,매칭테이블!$F:$I,3,0)</f>
        <v/>
      </c>
      <c r="O11696" s="94">
        <f>VLOOKUP($Q11696,매칭테이블!$F:$I,4,0)*K11696</f>
        <v/>
      </c>
      <c r="P11696" s="148">
        <f>M11696/1.1</f>
        <v/>
      </c>
      <c r="Q11696" s="94">
        <f>F11696&amp;E11696&amp;G11696&amp;L11696</f>
        <v/>
      </c>
    </row>
    <row r="11697">
      <c r="B11697" s="128" t="n">
        <v>44170</v>
      </c>
      <c r="C11697" s="94">
        <f>TEXT(B11697,"aaa")</f>
        <v/>
      </c>
      <c r="E11697" s="94">
        <f>INDEX(매칭테이블!C:D,MATCH(RD!G11697,매칭테이블!D:D,0),1)</f>
        <v/>
      </c>
      <c r="F11697" s="94" t="inlineStr">
        <is>
          <t>카페24</t>
        </is>
      </c>
      <c r="G11697" s="94" t="inlineStr">
        <is>
          <t>5 제로 무기자차 선크림옵션=5제로 무기자차 선크림 2개-30% off (무료배송)</t>
        </is>
      </c>
      <c r="K11697" s="94" t="n">
        <v>1</v>
      </c>
      <c r="L11697" s="94" t="n">
        <v>201208</v>
      </c>
      <c r="M11697" s="94">
        <f>VLOOKUP($Q11697,매칭테이블!$F:$I,2,0)*K11697</f>
        <v/>
      </c>
      <c r="N11697" s="94">
        <f>M11697-M11697*VLOOKUP($Q11697,매칭테이블!$F:$I,3,0)</f>
        <v/>
      </c>
      <c r="O11697" s="94">
        <f>VLOOKUP($Q11697,매칭테이블!$F:$I,4,0)*K11697</f>
        <v/>
      </c>
      <c r="P11697" s="148">
        <f>M11697/1.1</f>
        <v/>
      </c>
      <c r="Q11697" s="94">
        <f>F11697&amp;E11697&amp;G11697&amp;L11697</f>
        <v/>
      </c>
    </row>
    <row r="11698">
      <c r="B11698" s="128" t="n">
        <v>44170</v>
      </c>
      <c r="C11698" s="94">
        <f>TEXT(B11698,"aaa")</f>
        <v/>
      </c>
      <c r="E11698" s="94">
        <f>INDEX(매칭테이블!C:D,MATCH(RD!G11698,매칭테이블!D:D,0),1)</f>
        <v/>
      </c>
      <c r="F11698" s="94" t="inlineStr">
        <is>
          <t>카페24</t>
        </is>
      </c>
      <c r="G11698" s="94" t="inlineStr">
        <is>
          <t>[수분 보충 세트] 어성초 77 토너 + 어성초 70 로션옵션=어성초 77 토너 250ml + 어성초 70 로션 200ml -30%</t>
        </is>
      </c>
      <c r="K11698" s="94" t="n">
        <v>16</v>
      </c>
      <c r="L11698" s="94" t="n">
        <v>201208</v>
      </c>
      <c r="M11698" s="94">
        <f>VLOOKUP($Q11698,매칭테이블!$F:$I,2,0)*K11698</f>
        <v/>
      </c>
      <c r="N11698" s="94">
        <f>M11698-M11698*VLOOKUP($Q11698,매칭테이블!$F:$I,3,0)</f>
        <v/>
      </c>
      <c r="O11698" s="94">
        <f>VLOOKUP($Q11698,매칭테이블!$F:$I,4,0)*K11698</f>
        <v/>
      </c>
      <c r="P11698" s="148">
        <f>M11698/1.1</f>
        <v/>
      </c>
      <c r="Q11698" s="94">
        <f>F11698&amp;E11698&amp;G11698&amp;L11698</f>
        <v/>
      </c>
    </row>
    <row r="11699">
      <c r="B11699" s="128" t="n">
        <v>44170</v>
      </c>
      <c r="C11699" s="94">
        <f>TEXT(B11699,"aaa")</f>
        <v/>
      </c>
      <c r="E11699" s="94">
        <f>INDEX(매칭테이블!C:D,MATCH(RD!G11699,매칭테이블!D:D,0),1)</f>
        <v/>
      </c>
      <c r="F11699" s="94" t="inlineStr">
        <is>
          <t>카페24</t>
        </is>
      </c>
      <c r="G11699" s="94" t="inlineStr">
        <is>
          <t>[어성초 진정 패키지 세트] 대용량 토너 + 앰플 + 수딩 크림 + 마스크팩 10장</t>
        </is>
      </c>
      <c r="K11699" s="94" t="n">
        <v>2</v>
      </c>
      <c r="L11699" s="94" t="n">
        <v>201208</v>
      </c>
      <c r="M11699" s="94">
        <f>VLOOKUP($Q11699,매칭테이블!$F:$I,2,0)*K11699</f>
        <v/>
      </c>
      <c r="N11699" s="94">
        <f>M11699-M11699*VLOOKUP($Q11699,매칭테이블!$F:$I,3,0)</f>
        <v/>
      </c>
      <c r="O11699" s="94">
        <f>VLOOKUP($Q11699,매칭테이블!$F:$I,4,0)*K11699</f>
        <v/>
      </c>
      <c r="P11699" s="148">
        <f>M11699/1.1</f>
        <v/>
      </c>
      <c r="Q11699" s="94">
        <f>F11699&amp;E11699&amp;G11699&amp;L11699</f>
        <v/>
      </c>
    </row>
    <row r="11700">
      <c r="B11700" s="128" t="n">
        <v>44170</v>
      </c>
      <c r="C11700" s="94">
        <f>TEXT(B11700,"aaa")</f>
        <v/>
      </c>
      <c r="E11700" s="94">
        <f>INDEX(매칭테이블!C:D,MATCH(RD!G11700,매칭테이블!D:D,0),1)</f>
        <v/>
      </c>
      <c r="F11700" s="94" t="inlineStr">
        <is>
          <t>카페24</t>
        </is>
      </c>
      <c r="G11700" s="94" t="inlineStr">
        <is>
          <t>대용량 어성초 77 수딩 토너 500ml</t>
        </is>
      </c>
      <c r="K11700" s="94" t="n">
        <v>13</v>
      </c>
      <c r="L11700" s="94" t="n">
        <v>201208</v>
      </c>
      <c r="M11700" s="94">
        <f>VLOOKUP($Q11700,매칭테이블!$F:$I,2,0)*K11700</f>
        <v/>
      </c>
      <c r="N11700" s="94">
        <f>M11700-M11700*VLOOKUP($Q11700,매칭테이블!$F:$I,3,0)</f>
        <v/>
      </c>
      <c r="O11700" s="94">
        <f>VLOOKUP($Q11700,매칭테이블!$F:$I,4,0)*K11700</f>
        <v/>
      </c>
      <c r="P11700" s="148">
        <f>M11700/1.1</f>
        <v/>
      </c>
      <c r="Q11700" s="94">
        <f>F11700&amp;E11700&amp;G11700&amp;L11700</f>
        <v/>
      </c>
    </row>
    <row r="11701">
      <c r="B11701" s="128" t="n">
        <v>44170</v>
      </c>
      <c r="C11701" s="94">
        <f>TEXT(B11701,"aaa")</f>
        <v/>
      </c>
      <c r="E11701" s="94">
        <f>INDEX(매칭테이블!C:D,MATCH(RD!G11701,매칭테이블!D:D,0),1)</f>
        <v/>
      </c>
      <c r="F11701" s="94" t="inlineStr">
        <is>
          <t>카페24</t>
        </is>
      </c>
      <c r="G11701" s="94" t="inlineStr">
        <is>
          <t>대용량 어성초 77 토너 500ml</t>
        </is>
      </c>
      <c r="K11701" s="94" t="n">
        <v>2</v>
      </c>
      <c r="L11701" s="94" t="n">
        <v>201208</v>
      </c>
      <c r="M11701" s="94">
        <f>VLOOKUP($Q11701,매칭테이블!$F:$I,2,0)*K11701</f>
        <v/>
      </c>
      <c r="N11701" s="94">
        <f>M11701-M11701*VLOOKUP($Q11701,매칭테이블!$F:$I,3,0)</f>
        <v/>
      </c>
      <c r="O11701" s="94">
        <f>VLOOKUP($Q11701,매칭테이블!$F:$I,4,0)*K11701</f>
        <v/>
      </c>
      <c r="P11701" s="148">
        <f>M11701/1.1</f>
        <v/>
      </c>
      <c r="Q11701" s="94">
        <f>F11701&amp;E11701&amp;G11701&amp;L11701</f>
        <v/>
      </c>
    </row>
    <row r="11702">
      <c r="B11702" s="128" t="n">
        <v>44170</v>
      </c>
      <c r="C11702" s="94">
        <f>TEXT(B11702,"aaa")</f>
        <v/>
      </c>
      <c r="E11702" s="94">
        <f>INDEX(매칭테이블!C:D,MATCH(RD!G11702,매칭테이블!D:D,0),1)</f>
        <v/>
      </c>
      <c r="F11702" s="94" t="inlineStr">
        <is>
          <t>카페24</t>
        </is>
      </c>
      <c r="G11702" s="94" t="inlineStr">
        <is>
          <t>어성초 70 데일리 릴리프 로션로션=어성초 70 데일리 릴리프 로션 1개 -20% off</t>
        </is>
      </c>
      <c r="K11702" s="94" t="n">
        <v>6</v>
      </c>
      <c r="L11702" s="94" t="n">
        <v>201208</v>
      </c>
      <c r="M11702" s="94">
        <f>VLOOKUP($Q11702,매칭테이블!$F:$I,2,0)*K11702</f>
        <v/>
      </c>
      <c r="N11702" s="94">
        <f>M11702-M11702*VLOOKUP($Q11702,매칭테이블!$F:$I,3,0)</f>
        <v/>
      </c>
      <c r="O11702" s="94">
        <f>VLOOKUP($Q11702,매칭테이블!$F:$I,4,0)*K11702</f>
        <v/>
      </c>
      <c r="P11702" s="148">
        <f>M11702/1.1</f>
        <v/>
      </c>
      <c r="Q11702" s="94">
        <f>F11702&amp;E11702&amp;G11702&amp;L11702</f>
        <v/>
      </c>
    </row>
    <row r="11703">
      <c r="B11703" s="128" t="n">
        <v>44170</v>
      </c>
      <c r="C11703" s="94">
        <f>TEXT(B11703,"aaa")</f>
        <v/>
      </c>
      <c r="E11703" s="94">
        <f>INDEX(매칭테이블!C:D,MATCH(RD!G11703,매칭테이블!D:D,0),1)</f>
        <v/>
      </c>
      <c r="F11703" s="94" t="inlineStr">
        <is>
          <t>카페24</t>
        </is>
      </c>
      <c r="G11703" s="94" t="inlineStr">
        <is>
          <t>어성초 70 데일리 릴리프 로션로션=어성초 70 데일리 릴리프 로션 2개 -30% off</t>
        </is>
      </c>
      <c r="K11703" s="94" t="n">
        <v>1</v>
      </c>
      <c r="L11703" s="94" t="n">
        <v>201208</v>
      </c>
      <c r="M11703" s="94">
        <f>VLOOKUP($Q11703,매칭테이블!$F:$I,2,0)*K11703</f>
        <v/>
      </c>
      <c r="N11703" s="94">
        <f>M11703-M11703*VLOOKUP($Q11703,매칭테이블!$F:$I,3,0)</f>
        <v/>
      </c>
      <c r="O11703" s="94">
        <f>VLOOKUP($Q11703,매칭테이블!$F:$I,4,0)*K11703</f>
        <v/>
      </c>
      <c r="P11703" s="148">
        <f>M11703/1.1</f>
        <v/>
      </c>
      <c r="Q11703" s="94">
        <f>F11703&amp;E11703&amp;G11703&amp;L11703</f>
        <v/>
      </c>
    </row>
    <row r="11704">
      <c r="B11704" s="128" t="n">
        <v>44170</v>
      </c>
      <c r="C11704" s="94">
        <f>TEXT(B11704,"aaa")</f>
        <v/>
      </c>
      <c r="E11704" s="94">
        <f>INDEX(매칭테이블!C:D,MATCH(RD!G11704,매칭테이블!D:D,0),1)</f>
        <v/>
      </c>
      <c r="F11704" s="94" t="inlineStr">
        <is>
          <t>카페24</t>
        </is>
      </c>
      <c r="G11704" s="94" t="inlineStr">
        <is>
          <t>어성초 70 머드 크림 마스크옵션=어성초 70 머드 크림 마스크-20% off</t>
        </is>
      </c>
      <c r="K11704" s="94" t="n">
        <v>3</v>
      </c>
      <c r="L11704" s="94" t="n">
        <v>201208</v>
      </c>
      <c r="M11704" s="94">
        <f>VLOOKUP($Q11704,매칭테이블!$F:$I,2,0)*K11704</f>
        <v/>
      </c>
      <c r="N11704" s="94">
        <f>M11704-M11704*VLOOKUP($Q11704,매칭테이블!$F:$I,3,0)</f>
        <v/>
      </c>
      <c r="O11704" s="94">
        <f>VLOOKUP($Q11704,매칭테이블!$F:$I,4,0)*K11704</f>
        <v/>
      </c>
      <c r="P11704" s="148">
        <f>M11704/1.1</f>
        <v/>
      </c>
      <c r="Q11704" s="94">
        <f>F11704&amp;E11704&amp;G11704&amp;L11704</f>
        <v/>
      </c>
    </row>
    <row r="11705">
      <c r="B11705" s="128" t="n">
        <v>44170</v>
      </c>
      <c r="C11705" s="94">
        <f>TEXT(B11705,"aaa")</f>
        <v/>
      </c>
      <c r="E11705" s="94">
        <f>INDEX(매칭테이블!C:D,MATCH(RD!G11705,매칭테이블!D:D,0),1)</f>
        <v/>
      </c>
      <c r="F11705" s="94" t="inlineStr">
        <is>
          <t>카페24</t>
        </is>
      </c>
      <c r="G11705" s="94" t="inlineStr">
        <is>
          <t>어성초 70 머드 크림 마스크옵션=어성초 70 머드 크림 마스크 2개-30% off (무료배송)</t>
        </is>
      </c>
      <c r="K11705" s="94" t="n">
        <v>2</v>
      </c>
      <c r="L11705" s="94" t="n">
        <v>201208</v>
      </c>
      <c r="M11705" s="94">
        <f>VLOOKUP($Q11705,매칭테이블!$F:$I,2,0)*K11705</f>
        <v/>
      </c>
      <c r="N11705" s="94">
        <f>M11705-M11705*VLOOKUP($Q11705,매칭테이블!$F:$I,3,0)</f>
        <v/>
      </c>
      <c r="O11705" s="94">
        <f>VLOOKUP($Q11705,매칭테이블!$F:$I,4,0)*K11705</f>
        <v/>
      </c>
      <c r="P11705" s="148">
        <f>M11705/1.1</f>
        <v/>
      </c>
      <c r="Q11705" s="94">
        <f>F11705&amp;E11705&amp;G11705&amp;L11705</f>
        <v/>
      </c>
    </row>
    <row r="11706">
      <c r="B11706" s="128" t="n">
        <v>44170</v>
      </c>
      <c r="C11706" s="94">
        <f>TEXT(B11706,"aaa")</f>
        <v/>
      </c>
      <c r="E11706" s="94">
        <f>INDEX(매칭테이블!C:D,MATCH(RD!G11706,매칭테이블!D:D,0),1)</f>
        <v/>
      </c>
      <c r="F11706" s="94" t="inlineStr">
        <is>
          <t>카페24</t>
        </is>
      </c>
      <c r="G11706" s="94" t="inlineStr">
        <is>
          <t>어성초 70 인텐스 카밍 크림크림=어성초 70 인텐스 카밍 크림 1개 (-20%)</t>
        </is>
      </c>
      <c r="K11706" s="94" t="n">
        <v>2</v>
      </c>
      <c r="L11706" s="94" t="n">
        <v>201208</v>
      </c>
      <c r="M11706" s="94">
        <f>VLOOKUP($Q11706,매칭테이블!$F:$I,2,0)*K11706</f>
        <v/>
      </c>
      <c r="N11706" s="94">
        <f>M11706-M11706*VLOOKUP($Q11706,매칭테이블!$F:$I,3,0)</f>
        <v/>
      </c>
      <c r="O11706" s="94">
        <f>VLOOKUP($Q11706,매칭테이블!$F:$I,4,0)*K11706</f>
        <v/>
      </c>
      <c r="P11706" s="148">
        <f>M11706/1.1</f>
        <v/>
      </c>
      <c r="Q11706" s="94">
        <f>F11706&amp;E11706&amp;G11706&amp;L11706</f>
        <v/>
      </c>
    </row>
    <row r="11707">
      <c r="B11707" s="128" t="n">
        <v>44170</v>
      </c>
      <c r="C11707" s="94">
        <f>TEXT(B11707,"aaa")</f>
        <v/>
      </c>
      <c r="E11707" s="94">
        <f>INDEX(매칭테이블!C:D,MATCH(RD!G11707,매칭테이블!D:D,0),1)</f>
        <v/>
      </c>
      <c r="F11707" s="94" t="inlineStr">
        <is>
          <t>카페24</t>
        </is>
      </c>
      <c r="G11707" s="94" t="inlineStr">
        <is>
          <t>어성초 70 인텐스 카밍 크림크림=어성초 토너 250ml + 카밍 크림 50ml (-30%)</t>
        </is>
      </c>
      <c r="K11707" s="94" t="n">
        <v>3</v>
      </c>
      <c r="L11707" s="94" t="n">
        <v>201208</v>
      </c>
      <c r="M11707" s="94">
        <f>VLOOKUP($Q11707,매칭테이블!$F:$I,2,0)*K11707</f>
        <v/>
      </c>
      <c r="N11707" s="94">
        <f>M11707-M11707*VLOOKUP($Q11707,매칭테이블!$F:$I,3,0)</f>
        <v/>
      </c>
      <c r="O11707" s="94">
        <f>VLOOKUP($Q11707,매칭테이블!$F:$I,4,0)*K11707</f>
        <v/>
      </c>
      <c r="P11707" s="148">
        <f>M11707/1.1</f>
        <v/>
      </c>
      <c r="Q11707" s="94">
        <f>F11707&amp;E11707&amp;G11707&amp;L11707</f>
        <v/>
      </c>
    </row>
    <row r="11708">
      <c r="B11708" s="128" t="n">
        <v>44170</v>
      </c>
      <c r="C11708" s="94">
        <f>TEXT(B11708,"aaa")</f>
        <v/>
      </c>
      <c r="E11708" s="94">
        <f>INDEX(매칭테이블!C:D,MATCH(RD!G11708,매칭테이블!D:D,0),1)</f>
        <v/>
      </c>
      <c r="F11708" s="94" t="inlineStr">
        <is>
          <t>카페24</t>
        </is>
      </c>
      <c r="G11708" s="94" t="inlineStr">
        <is>
          <t>어성초 77 수딩 토너토너(필수)=어성초 77 토너 1개-20% off</t>
        </is>
      </c>
      <c r="K11708" s="94" t="n">
        <v>35</v>
      </c>
      <c r="L11708" s="94" t="n">
        <v>201208</v>
      </c>
      <c r="M11708" s="94">
        <f>VLOOKUP($Q11708,매칭테이블!$F:$I,2,0)*K11708</f>
        <v/>
      </c>
      <c r="N11708" s="94">
        <f>M11708-M11708*VLOOKUP($Q11708,매칭테이블!$F:$I,3,0)</f>
        <v/>
      </c>
      <c r="O11708" s="94">
        <f>VLOOKUP($Q11708,매칭테이블!$F:$I,4,0)*K11708</f>
        <v/>
      </c>
      <c r="P11708" s="148">
        <f>M11708/1.1</f>
        <v/>
      </c>
      <c r="Q11708" s="94">
        <f>F11708&amp;E11708&amp;G11708&amp;L11708</f>
        <v/>
      </c>
    </row>
    <row r="11709">
      <c r="B11709" s="128" t="n">
        <v>44170</v>
      </c>
      <c r="C11709" s="94">
        <f>TEXT(B11709,"aaa")</f>
        <v/>
      </c>
      <c r="E11709" s="94">
        <f>INDEX(매칭테이블!C:D,MATCH(RD!G11709,매칭테이블!D:D,0),1)</f>
        <v/>
      </c>
      <c r="F11709" s="94" t="inlineStr">
        <is>
          <t>카페24</t>
        </is>
      </c>
      <c r="G11709" s="94" t="inlineStr">
        <is>
          <t>어성초 77 수딩 토너토너(필수)=어성초 77 토너 2개-30% off (무료배송)</t>
        </is>
      </c>
      <c r="K11709" s="94" t="n">
        <v>13</v>
      </c>
      <c r="L11709" s="94" t="n">
        <v>201208</v>
      </c>
      <c r="M11709" s="94">
        <f>VLOOKUP($Q11709,매칭테이블!$F:$I,2,0)*K11709</f>
        <v/>
      </c>
      <c r="N11709" s="94">
        <f>M11709-M11709*VLOOKUP($Q11709,매칭테이블!$F:$I,3,0)</f>
        <v/>
      </c>
      <c r="O11709" s="94">
        <f>VLOOKUP($Q11709,매칭테이블!$F:$I,4,0)*K11709</f>
        <v/>
      </c>
      <c r="P11709" s="148">
        <f>M11709/1.1</f>
        <v/>
      </c>
      <c r="Q11709" s="94">
        <f>F11709&amp;E11709&amp;G11709&amp;L11709</f>
        <v/>
      </c>
    </row>
    <row r="11710">
      <c r="B11710" s="128" t="n">
        <v>44170</v>
      </c>
      <c r="C11710" s="94">
        <f>TEXT(B11710,"aaa")</f>
        <v/>
      </c>
      <c r="E11710" s="94">
        <f>INDEX(매칭테이블!C:D,MATCH(RD!G11710,매칭테이블!D:D,0),1)</f>
        <v/>
      </c>
      <c r="F11710" s="94" t="inlineStr">
        <is>
          <t>카페24</t>
        </is>
      </c>
      <c r="G11710" s="94" t="inlineStr">
        <is>
          <t>어성초 77 수딩 토너토너(필수)=어성초77토너1개 + 어성초77패드1개 -30% off (무료배송)</t>
        </is>
      </c>
      <c r="K11710" s="94" t="n">
        <v>7</v>
      </c>
      <c r="L11710" s="94" t="n">
        <v>201208</v>
      </c>
      <c r="M11710" s="94">
        <f>VLOOKUP($Q11710,매칭테이블!$F:$I,2,0)*K11710</f>
        <v/>
      </c>
      <c r="N11710" s="94">
        <f>M11710-M11710*VLOOKUP($Q11710,매칭테이블!$F:$I,3,0)</f>
        <v/>
      </c>
      <c r="O11710" s="94">
        <f>VLOOKUP($Q11710,매칭테이블!$F:$I,4,0)*K11710</f>
        <v/>
      </c>
      <c r="P11710" s="148">
        <f>M11710/1.1</f>
        <v/>
      </c>
      <c r="Q11710" s="94">
        <f>F11710&amp;E11710&amp;G11710&amp;L11710</f>
        <v/>
      </c>
    </row>
    <row r="11711">
      <c r="B11711" s="128" t="n">
        <v>44170</v>
      </c>
      <c r="C11711" s="94">
        <f>TEXT(B11711,"aaa")</f>
        <v/>
      </c>
      <c r="E11711" s="94">
        <f>INDEX(매칭테이블!C:D,MATCH(RD!G11711,매칭테이블!D:D,0),1)</f>
        <v/>
      </c>
      <c r="F11711" s="94" t="inlineStr">
        <is>
          <t>카페24</t>
        </is>
      </c>
      <c r="G11711" s="94" t="inlineStr">
        <is>
          <t>어성초 77 수딩 토너화장솜(선택)=촉촉 스킨팩 화장솜</t>
        </is>
      </c>
      <c r="K11711" s="94" t="n">
        <v>16</v>
      </c>
      <c r="L11711" s="94" t="n">
        <v>201208</v>
      </c>
      <c r="M11711" s="94">
        <f>VLOOKUP($Q11711,매칭테이블!$F:$I,2,0)*K11711</f>
        <v/>
      </c>
      <c r="N11711" s="94">
        <f>M11711-M11711*VLOOKUP($Q11711,매칭테이블!$F:$I,3,0)</f>
        <v/>
      </c>
      <c r="O11711" s="94">
        <f>VLOOKUP($Q11711,매칭테이블!$F:$I,4,0)*K11711</f>
        <v/>
      </c>
      <c r="P11711" s="148">
        <f>M11711/1.1</f>
        <v/>
      </c>
      <c r="Q11711" s="94">
        <f>F11711&amp;E11711&amp;G11711&amp;L11711</f>
        <v/>
      </c>
    </row>
    <row r="11712">
      <c r="B11712" s="128" t="n">
        <v>44170</v>
      </c>
      <c r="C11712" s="94">
        <f>TEXT(B11712,"aaa")</f>
        <v/>
      </c>
      <c r="E11712" s="94">
        <f>INDEX(매칭테이블!C:D,MATCH(RD!G11712,매칭테이블!D:D,0),1)</f>
        <v/>
      </c>
      <c r="F11712" s="94" t="inlineStr">
        <is>
          <t>카페24</t>
        </is>
      </c>
      <c r="G11712" s="94" t="inlineStr">
        <is>
          <t>어성초 77 수딩 토너토너(필수)=어성초 77 토너 1개-20% off</t>
        </is>
      </c>
      <c r="K11712" s="94" t="n">
        <v>1</v>
      </c>
      <c r="L11712" s="94" t="n">
        <v>201208</v>
      </c>
      <c r="M11712" s="94">
        <f>VLOOKUP($Q11712,매칭테이블!$F:$I,2,0)*K11712</f>
        <v/>
      </c>
      <c r="N11712" s="94">
        <f>M11712-M11712*VLOOKUP($Q11712,매칭테이블!$F:$I,3,0)</f>
        <v/>
      </c>
      <c r="O11712" s="94">
        <f>VLOOKUP($Q11712,매칭테이블!$F:$I,4,0)*K11712</f>
        <v/>
      </c>
      <c r="P11712" s="148">
        <f>M11712/1.1</f>
        <v/>
      </c>
      <c r="Q11712" s="94">
        <f>F11712&amp;E11712&amp;G11712&amp;L11712</f>
        <v/>
      </c>
    </row>
    <row r="11713">
      <c r="B11713" s="128" t="n">
        <v>44170</v>
      </c>
      <c r="C11713" s="94">
        <f>TEXT(B11713,"aaa")</f>
        <v/>
      </c>
      <c r="E11713" s="94">
        <f>INDEX(매칭테이블!C:D,MATCH(RD!G11713,매칭테이블!D:D,0),1)</f>
        <v/>
      </c>
      <c r="F11713" s="94" t="inlineStr">
        <is>
          <t>카페24</t>
        </is>
      </c>
      <c r="G11713" s="94" t="inlineStr">
        <is>
          <t>어성초 77 수딩 토너토너(필수)=어성초77토너1개 + 어성초77패드1개 -30% off (무료배송)</t>
        </is>
      </c>
      <c r="K11713" s="94" t="n">
        <v>1</v>
      </c>
      <c r="L11713" s="94" t="n">
        <v>201208</v>
      </c>
      <c r="M11713" s="94">
        <f>VLOOKUP($Q11713,매칭테이블!$F:$I,2,0)*K11713</f>
        <v/>
      </c>
      <c r="N11713" s="94">
        <f>M11713-M11713*VLOOKUP($Q11713,매칭테이블!$F:$I,3,0)</f>
        <v/>
      </c>
      <c r="O11713" s="94">
        <f>VLOOKUP($Q11713,매칭테이블!$F:$I,4,0)*K11713</f>
        <v/>
      </c>
      <c r="P11713" s="148">
        <f>M11713/1.1</f>
        <v/>
      </c>
      <c r="Q11713" s="94">
        <f>F11713&amp;E11713&amp;G11713&amp;L11713</f>
        <v/>
      </c>
    </row>
    <row r="11714">
      <c r="B11714" s="128" t="n">
        <v>44170</v>
      </c>
      <c r="C11714" s="94">
        <f>TEXT(B11714,"aaa")</f>
        <v/>
      </c>
      <c r="E11714" s="94">
        <f>INDEX(매칭테이블!C:D,MATCH(RD!G11714,매칭테이블!D:D,0),1)</f>
        <v/>
      </c>
      <c r="F11714" s="94" t="inlineStr">
        <is>
          <t>카페24</t>
        </is>
      </c>
      <c r="G11714" s="94" t="inlineStr">
        <is>
          <t>어성초 77 진정 마스크옵션=어성초 77 진정 마스크팩 1장</t>
        </is>
      </c>
      <c r="K11714" s="94" t="n">
        <v>2</v>
      </c>
      <c r="L11714" s="94" t="n">
        <v>201208</v>
      </c>
      <c r="M11714" s="94">
        <f>VLOOKUP($Q11714,매칭테이블!$F:$I,2,0)*K11714</f>
        <v/>
      </c>
      <c r="N11714" s="94">
        <f>M11714-M11714*VLOOKUP($Q11714,매칭테이블!$F:$I,3,0)</f>
        <v/>
      </c>
      <c r="O11714" s="94">
        <f>VLOOKUP($Q11714,매칭테이블!$F:$I,4,0)*K11714</f>
        <v/>
      </c>
      <c r="P11714" s="148">
        <f>M11714/1.1</f>
        <v/>
      </c>
      <c r="Q11714" s="94">
        <f>F11714&amp;E11714&amp;G11714&amp;L11714</f>
        <v/>
      </c>
    </row>
    <row r="11715">
      <c r="B11715" s="128" t="n">
        <v>44170</v>
      </c>
      <c r="C11715" s="94">
        <f>TEXT(B11715,"aaa")</f>
        <v/>
      </c>
      <c r="E11715" s="94">
        <f>INDEX(매칭테이블!C:D,MATCH(RD!G11715,매칭테이블!D:D,0),1)</f>
        <v/>
      </c>
      <c r="F11715" s="94" t="inlineStr">
        <is>
          <t>카페24</t>
        </is>
      </c>
      <c r="G11715" s="94" t="inlineStr">
        <is>
          <t>어성초 77 진정 마스크옵션=어성초 77 진정 마스크팩 10장-50% off</t>
        </is>
      </c>
      <c r="K11715" s="94" t="n">
        <v>4</v>
      </c>
      <c r="L11715" s="94" t="n">
        <v>201208</v>
      </c>
      <c r="M11715" s="94">
        <f>VLOOKUP($Q11715,매칭테이블!$F:$I,2,0)*K11715</f>
        <v/>
      </c>
      <c r="N11715" s="94">
        <f>M11715-M11715*VLOOKUP($Q11715,매칭테이블!$F:$I,3,0)</f>
        <v/>
      </c>
      <c r="O11715" s="94">
        <f>VLOOKUP($Q11715,매칭테이블!$F:$I,4,0)*K11715</f>
        <v/>
      </c>
      <c r="P11715" s="148">
        <f>M11715/1.1</f>
        <v/>
      </c>
      <c r="Q11715" s="94">
        <f>F11715&amp;E11715&amp;G11715&amp;L11715</f>
        <v/>
      </c>
    </row>
    <row r="11716">
      <c r="B11716" s="128" t="n">
        <v>44170</v>
      </c>
      <c r="C11716" s="94">
        <f>TEXT(B11716,"aaa")</f>
        <v/>
      </c>
      <c r="E11716" s="94">
        <f>INDEX(매칭테이블!C:D,MATCH(RD!G11716,매칭테이블!D:D,0),1)</f>
        <v/>
      </c>
      <c r="F11716" s="94" t="inlineStr">
        <is>
          <t>카페24</t>
        </is>
      </c>
      <c r="G11716" s="94" t="inlineStr">
        <is>
          <t>어성초 77 클리어 패드옵션=어성초 77 클리어 패드 1개-20% off</t>
        </is>
      </c>
      <c r="K11716" s="94" t="n">
        <v>39</v>
      </c>
      <c r="L11716" s="94" t="n">
        <v>201208</v>
      </c>
      <c r="M11716" s="94">
        <f>VLOOKUP($Q11716,매칭테이블!$F:$I,2,0)*K11716</f>
        <v/>
      </c>
      <c r="N11716" s="94">
        <f>M11716-M11716*VLOOKUP($Q11716,매칭테이블!$F:$I,3,0)</f>
        <v/>
      </c>
      <c r="O11716" s="94">
        <f>VLOOKUP($Q11716,매칭테이블!$F:$I,4,0)*K11716</f>
        <v/>
      </c>
      <c r="P11716" s="148">
        <f>M11716/1.1</f>
        <v/>
      </c>
      <c r="Q11716" s="94">
        <f>F11716&amp;E11716&amp;G11716&amp;L11716</f>
        <v/>
      </c>
    </row>
    <row r="11717">
      <c r="B11717" s="128" t="n">
        <v>44170</v>
      </c>
      <c r="C11717" s="94">
        <f>TEXT(B11717,"aaa")</f>
        <v/>
      </c>
      <c r="E11717" s="94">
        <f>INDEX(매칭테이블!C:D,MATCH(RD!G11717,매칭테이블!D:D,0),1)</f>
        <v/>
      </c>
      <c r="F11717" s="94" t="inlineStr">
        <is>
          <t>카페24</t>
        </is>
      </c>
      <c r="G11717" s="94" t="inlineStr">
        <is>
          <t>어성초 77 클리어 패드옵션=어성초 77 클리어 패드 2개-30% off (무료배송)</t>
        </is>
      </c>
      <c r="K11717" s="94" t="n">
        <v>39</v>
      </c>
      <c r="L11717" s="94" t="n">
        <v>201208</v>
      </c>
      <c r="M11717" s="94">
        <f>VLOOKUP($Q11717,매칭테이블!$F:$I,2,0)*K11717</f>
        <v/>
      </c>
      <c r="N11717" s="94">
        <f>M11717-M11717*VLOOKUP($Q11717,매칭테이블!$F:$I,3,0)</f>
        <v/>
      </c>
      <c r="O11717" s="94">
        <f>VLOOKUP($Q11717,매칭테이블!$F:$I,4,0)*K11717</f>
        <v/>
      </c>
      <c r="P11717" s="148">
        <f>M11717/1.1</f>
        <v/>
      </c>
      <c r="Q11717" s="94">
        <f>F11717&amp;E11717&amp;G11717&amp;L11717</f>
        <v/>
      </c>
    </row>
    <row r="11718">
      <c r="B11718" s="128" t="n">
        <v>44170</v>
      </c>
      <c r="C11718" s="94">
        <f>TEXT(B11718,"aaa")</f>
        <v/>
      </c>
      <c r="E11718" s="94">
        <f>INDEX(매칭테이블!C:D,MATCH(RD!G11718,매칭테이블!D:D,0),1)</f>
        <v/>
      </c>
      <c r="F11718" s="94" t="inlineStr">
        <is>
          <t>카페24</t>
        </is>
      </c>
      <c r="G11718" s="94" t="inlineStr">
        <is>
          <t>어성초 77 클리어 패드옵션=어성초77토너1개+어성초77패드1개-30% off (무료배송)</t>
        </is>
      </c>
      <c r="K11718" s="94" t="n">
        <v>15</v>
      </c>
      <c r="L11718" s="94" t="n">
        <v>201208</v>
      </c>
      <c r="M11718" s="94">
        <f>VLOOKUP($Q11718,매칭테이블!$F:$I,2,0)*K11718</f>
        <v/>
      </c>
      <c r="N11718" s="94">
        <f>M11718-M11718*VLOOKUP($Q11718,매칭테이블!$F:$I,3,0)</f>
        <v/>
      </c>
      <c r="O11718" s="94">
        <f>VLOOKUP($Q11718,매칭테이블!$F:$I,4,0)*K11718</f>
        <v/>
      </c>
      <c r="P11718" s="148">
        <f>M11718/1.1</f>
        <v/>
      </c>
      <c r="Q11718" s="94">
        <f>F11718&amp;E11718&amp;G11718&amp;L11718</f>
        <v/>
      </c>
    </row>
    <row r="11719">
      <c r="B11719" s="128" t="n">
        <v>44170</v>
      </c>
      <c r="C11719" s="94">
        <f>TEXT(B11719,"aaa")</f>
        <v/>
      </c>
      <c r="E11719" s="94">
        <f>INDEX(매칭테이블!C:D,MATCH(RD!G11719,매칭테이블!D:D,0),1)</f>
        <v/>
      </c>
      <c r="F11719" s="94" t="inlineStr">
        <is>
          <t>카페24</t>
        </is>
      </c>
      <c r="G11719" s="94" t="inlineStr">
        <is>
          <t>어성초 77 클리어 패드옵션=어성초 77 클리어 패드 2개-30% off (무료배송)</t>
        </is>
      </c>
      <c r="K11719" s="94" t="n">
        <v>1</v>
      </c>
      <c r="L11719" s="94" t="n">
        <v>201208</v>
      </c>
      <c r="M11719" s="94">
        <f>VLOOKUP($Q11719,매칭테이블!$F:$I,2,0)*K11719</f>
        <v/>
      </c>
      <c r="N11719" s="94">
        <f>M11719-M11719*VLOOKUP($Q11719,매칭테이블!$F:$I,3,0)</f>
        <v/>
      </c>
      <c r="O11719" s="94">
        <f>VLOOKUP($Q11719,매칭테이블!$F:$I,4,0)*K11719</f>
        <v/>
      </c>
      <c r="P11719" s="148">
        <f>M11719/1.1</f>
        <v/>
      </c>
      <c r="Q11719" s="94">
        <f>F11719&amp;E11719&amp;G11719&amp;L11719</f>
        <v/>
      </c>
    </row>
    <row r="11720">
      <c r="B11720" s="128" t="n">
        <v>44170</v>
      </c>
      <c r="C11720" s="94">
        <f>TEXT(B11720,"aaa")</f>
        <v/>
      </c>
      <c r="E11720" s="94">
        <f>INDEX(매칭테이블!C:D,MATCH(RD!G11720,매칭테이블!D:D,0),1)</f>
        <v/>
      </c>
      <c r="F11720" s="94" t="inlineStr">
        <is>
          <t>카페24</t>
        </is>
      </c>
      <c r="G11720" s="94" t="inlineStr">
        <is>
          <t>어성초 77 토너토너(필수)=어성초 77 토너 1개-20% off</t>
        </is>
      </c>
      <c r="K11720" s="94" t="n">
        <v>1</v>
      </c>
      <c r="L11720" s="94" t="n">
        <v>201208</v>
      </c>
      <c r="M11720" s="94">
        <f>VLOOKUP($Q11720,매칭테이블!$F:$I,2,0)*K11720</f>
        <v/>
      </c>
      <c r="N11720" s="94">
        <f>M11720-M11720*VLOOKUP($Q11720,매칭테이블!$F:$I,3,0)</f>
        <v/>
      </c>
      <c r="O11720" s="94">
        <f>VLOOKUP($Q11720,매칭테이블!$F:$I,4,0)*K11720</f>
        <v/>
      </c>
      <c r="P11720" s="148">
        <f>M11720/1.1</f>
        <v/>
      </c>
      <c r="Q11720" s="94">
        <f>F11720&amp;E11720&amp;G11720&amp;L11720</f>
        <v/>
      </c>
    </row>
    <row r="11721">
      <c r="B11721" s="128" t="n">
        <v>44170</v>
      </c>
      <c r="C11721" s="94">
        <f>TEXT(B11721,"aaa")</f>
        <v/>
      </c>
      <c r="E11721" s="94">
        <f>INDEX(매칭테이블!C:D,MATCH(RD!G11721,매칭테이블!D:D,0),1)</f>
        <v/>
      </c>
      <c r="F11721" s="94" t="inlineStr">
        <is>
          <t>카페24</t>
        </is>
      </c>
      <c r="G11721" s="94" t="inlineStr">
        <is>
          <t>어성초 77 토너화장솜(선택)=촉촉 스킨팩 화장솜</t>
        </is>
      </c>
      <c r="K11721" s="94" t="n">
        <v>1</v>
      </c>
      <c r="L11721" s="94" t="n">
        <v>201208</v>
      </c>
      <c r="M11721" s="94">
        <f>VLOOKUP($Q11721,매칭테이블!$F:$I,2,0)*K11721</f>
        <v/>
      </c>
      <c r="N11721" s="94">
        <f>M11721-M11721*VLOOKUP($Q11721,매칭테이블!$F:$I,3,0)</f>
        <v/>
      </c>
      <c r="O11721" s="94">
        <f>VLOOKUP($Q11721,매칭테이블!$F:$I,4,0)*K11721</f>
        <v/>
      </c>
      <c r="P11721" s="148">
        <f>M11721/1.1</f>
        <v/>
      </c>
      <c r="Q11721" s="94">
        <f>F11721&amp;E11721&amp;G11721&amp;L11721</f>
        <v/>
      </c>
    </row>
    <row r="11722">
      <c r="B11722" s="128" t="n">
        <v>44170</v>
      </c>
      <c r="C11722" s="94">
        <f>TEXT(B11722,"aaa")</f>
        <v/>
      </c>
      <c r="E11722" s="94">
        <f>INDEX(매칭테이블!C:D,MATCH(RD!G11722,매칭테이블!D:D,0),1)</f>
        <v/>
      </c>
      <c r="F11722" s="94" t="inlineStr">
        <is>
          <t>카페24</t>
        </is>
      </c>
      <c r="G11722" s="94" t="inlineStr">
        <is>
          <t>어성초 77 토너토너(필수)=어성초77토너1개 + 어성초77패드1개 -30% off (무료배송)</t>
        </is>
      </c>
      <c r="K11722" s="94" t="n">
        <v>1</v>
      </c>
      <c r="L11722" s="94" t="n">
        <v>201208</v>
      </c>
      <c r="M11722" s="94">
        <f>VLOOKUP($Q11722,매칭테이블!$F:$I,2,0)*K11722</f>
        <v/>
      </c>
      <c r="N11722" s="94">
        <f>M11722-M11722*VLOOKUP($Q11722,매칭테이블!$F:$I,3,0)</f>
        <v/>
      </c>
      <c r="O11722" s="94">
        <f>VLOOKUP($Q11722,매칭테이블!$F:$I,4,0)*K11722</f>
        <v/>
      </c>
      <c r="P11722" s="148">
        <f>M11722/1.1</f>
        <v/>
      </c>
      <c r="Q11722" s="94">
        <f>F11722&amp;E11722&amp;G11722&amp;L11722</f>
        <v/>
      </c>
    </row>
    <row r="11723">
      <c r="B11723" s="128" t="n">
        <v>44170</v>
      </c>
      <c r="C11723" s="94">
        <f>TEXT(B11723,"aaa")</f>
        <v/>
      </c>
      <c r="E11723" s="94">
        <f>INDEX(매칭테이블!C:D,MATCH(RD!G11723,매칭테이블!D:D,0),1)</f>
        <v/>
      </c>
      <c r="F11723" s="94" t="inlineStr">
        <is>
          <t>카페24</t>
        </is>
      </c>
      <c r="G11723" s="94" t="inlineStr">
        <is>
          <t>어성초 78 수딩 크림</t>
        </is>
      </c>
      <c r="K11723" s="94" t="n">
        <v>4</v>
      </c>
      <c r="L11723" s="94" t="n">
        <v>201208</v>
      </c>
      <c r="M11723" s="94">
        <f>VLOOKUP($Q11723,매칭테이블!$F:$I,2,0)*K11723</f>
        <v/>
      </c>
      <c r="N11723" s="94">
        <f>M11723-M11723*VLOOKUP($Q11723,매칭테이블!$F:$I,3,0)</f>
        <v/>
      </c>
      <c r="O11723" s="94">
        <f>VLOOKUP($Q11723,매칭테이블!$F:$I,4,0)*K11723</f>
        <v/>
      </c>
      <c r="P11723" s="148">
        <f>M11723/1.1</f>
        <v/>
      </c>
      <c r="Q11723" s="94">
        <f>F11723&amp;E11723&amp;G11723&amp;L11723</f>
        <v/>
      </c>
    </row>
    <row r="11724">
      <c r="B11724" s="128" t="n">
        <v>44170</v>
      </c>
      <c r="C11724" s="94">
        <f>TEXT(B11724,"aaa")</f>
        <v/>
      </c>
      <c r="E11724" s="94">
        <f>INDEX(매칭테이블!C:D,MATCH(RD!G11724,매칭테이블!D:D,0),1)</f>
        <v/>
      </c>
      <c r="F11724" s="94" t="inlineStr">
        <is>
          <t>카페24</t>
        </is>
      </c>
      <c r="G11724" s="94" t="inlineStr">
        <is>
          <t>어성초 78 수딩 크림</t>
        </is>
      </c>
      <c r="K11724" s="94" t="n">
        <v>1</v>
      </c>
      <c r="L11724" s="94" t="n">
        <v>201208</v>
      </c>
      <c r="M11724" s="94">
        <f>VLOOKUP($Q11724,매칭테이블!$F:$I,2,0)*K11724</f>
        <v/>
      </c>
      <c r="N11724" s="94">
        <f>M11724-M11724*VLOOKUP($Q11724,매칭테이블!$F:$I,3,0)</f>
        <v/>
      </c>
      <c r="O11724" s="94">
        <f>VLOOKUP($Q11724,매칭테이블!$F:$I,4,0)*K11724</f>
        <v/>
      </c>
      <c r="P11724" s="148">
        <f>M11724/1.1</f>
        <v/>
      </c>
      <c r="Q11724" s="94">
        <f>F11724&amp;E11724&amp;G11724&amp;L11724</f>
        <v/>
      </c>
    </row>
    <row r="11725">
      <c r="B11725" s="128" t="n">
        <v>44170</v>
      </c>
      <c r="C11725" s="94">
        <f>TEXT(B11725,"aaa")</f>
        <v/>
      </c>
      <c r="E11725" s="94">
        <f>INDEX(매칭테이블!C:D,MATCH(RD!G11725,매칭테이블!D:D,0),1)</f>
        <v/>
      </c>
      <c r="F11725" s="94" t="inlineStr">
        <is>
          <t>카페24</t>
        </is>
      </c>
      <c r="G11725" s="94" t="inlineStr">
        <is>
          <t>어성초 80 수분 진정 앰플앰플=어성초 80 앰플 1개-15%off</t>
        </is>
      </c>
      <c r="K11725" s="94" t="n">
        <v>14</v>
      </c>
      <c r="L11725" s="94" t="n">
        <v>201208</v>
      </c>
      <c r="M11725" s="94">
        <f>VLOOKUP($Q11725,매칭테이블!$F:$I,2,0)*K11725</f>
        <v/>
      </c>
      <c r="N11725" s="94">
        <f>M11725-M11725*VLOOKUP($Q11725,매칭테이블!$F:$I,3,0)</f>
        <v/>
      </c>
      <c r="O11725" s="94">
        <f>VLOOKUP($Q11725,매칭테이블!$F:$I,4,0)*K11725</f>
        <v/>
      </c>
      <c r="P11725" s="148">
        <f>M11725/1.1</f>
        <v/>
      </c>
      <c r="Q11725" s="94">
        <f>F11725&amp;E11725&amp;G11725&amp;L11725</f>
        <v/>
      </c>
    </row>
    <row r="11726">
      <c r="B11726" s="128" t="n">
        <v>44170</v>
      </c>
      <c r="C11726" s="94">
        <f>TEXT(B11726,"aaa")</f>
        <v/>
      </c>
      <c r="E11726" s="94">
        <f>INDEX(매칭테이블!C:D,MATCH(RD!G11726,매칭테이블!D:D,0),1)</f>
        <v/>
      </c>
      <c r="F11726" s="94" t="inlineStr">
        <is>
          <t>카페24</t>
        </is>
      </c>
      <c r="G11726" s="94" t="inlineStr">
        <is>
          <t>어성초 80 수분 진정 앰플앰플=어성초 80 앰플 2개-27%off (무료배송)</t>
        </is>
      </c>
      <c r="K11726" s="94" t="n">
        <v>4</v>
      </c>
      <c r="L11726" s="94" t="n">
        <v>201208</v>
      </c>
      <c r="M11726" s="94">
        <f>VLOOKUP($Q11726,매칭테이블!$F:$I,2,0)*K11726</f>
        <v/>
      </c>
      <c r="N11726" s="94">
        <f>M11726-M11726*VLOOKUP($Q11726,매칭테이블!$F:$I,3,0)</f>
        <v/>
      </c>
      <c r="O11726" s="94">
        <f>VLOOKUP($Q11726,매칭테이블!$F:$I,4,0)*K11726</f>
        <v/>
      </c>
      <c r="P11726" s="148">
        <f>M11726/1.1</f>
        <v/>
      </c>
      <c r="Q11726" s="94">
        <f>F11726&amp;E11726&amp;G11726&amp;L11726</f>
        <v/>
      </c>
    </row>
    <row r="11727">
      <c r="B11727" s="128" t="n">
        <v>44170</v>
      </c>
      <c r="C11727" s="94">
        <f>TEXT(B11727,"aaa")</f>
        <v/>
      </c>
      <c r="E11727" s="94">
        <f>INDEX(매칭테이블!C:D,MATCH(RD!G11727,매칭테이블!D:D,0),1)</f>
        <v/>
      </c>
      <c r="F11727" s="94" t="inlineStr">
        <is>
          <t>카페24</t>
        </is>
      </c>
      <c r="G11727" s="94" t="inlineStr">
        <is>
          <t>어성초 80 수분 진정 앰플</t>
        </is>
      </c>
      <c r="K11727" s="94" t="n">
        <v>1</v>
      </c>
      <c r="L11727" s="94" t="n">
        <v>201208</v>
      </c>
      <c r="M11727" s="94">
        <f>VLOOKUP($Q11727,매칭테이블!$F:$I,2,0)*K11727</f>
        <v/>
      </c>
      <c r="N11727" s="94">
        <f>M11727-M11727*VLOOKUP($Q11727,매칭테이블!$F:$I,3,0)</f>
        <v/>
      </c>
      <c r="O11727" s="94">
        <f>VLOOKUP($Q11727,매칭테이블!$F:$I,4,0)*K11727</f>
        <v/>
      </c>
      <c r="P11727" s="148">
        <f>M11727/1.1</f>
        <v/>
      </c>
      <c r="Q11727" s="94">
        <f>F11727&amp;E11727&amp;G11727&amp;L11727</f>
        <v/>
      </c>
    </row>
    <row r="11728">
      <c r="B11728" s="128" t="n">
        <v>44170</v>
      </c>
      <c r="C11728" s="94">
        <f>TEXT(B11728,"aaa")</f>
        <v/>
      </c>
      <c r="E11728" s="94">
        <f>INDEX(매칭테이블!C:D,MATCH(RD!G11728,매칭테이블!D:D,0),1)</f>
        <v/>
      </c>
      <c r="F11728" s="94" t="inlineStr">
        <is>
          <t>카페24</t>
        </is>
      </c>
      <c r="G11728" s="94" t="inlineStr">
        <is>
          <t>어성초 약산성 클렌징폼클렌징폼=어성초 약산성 클렌징폼 1개 -19%off</t>
        </is>
      </c>
      <c r="K11728" s="94" t="n">
        <v>7</v>
      </c>
      <c r="L11728" s="94" t="n">
        <v>201208</v>
      </c>
      <c r="M11728" s="94">
        <f>VLOOKUP($Q11728,매칭테이블!$F:$I,2,0)*K11728</f>
        <v/>
      </c>
      <c r="N11728" s="94">
        <f>M11728-M11728*VLOOKUP($Q11728,매칭테이블!$F:$I,3,0)</f>
        <v/>
      </c>
      <c r="O11728" s="94">
        <f>VLOOKUP($Q11728,매칭테이블!$F:$I,4,0)*K11728</f>
        <v/>
      </c>
      <c r="P11728" s="148">
        <f>M11728/1.1</f>
        <v/>
      </c>
      <c r="Q11728" s="94">
        <f>F11728&amp;E11728&amp;G11728&amp;L11728</f>
        <v/>
      </c>
    </row>
    <row r="11729">
      <c r="B11729" s="128" t="n">
        <v>44170</v>
      </c>
      <c r="C11729" s="94">
        <f>TEXT(B11729,"aaa")</f>
        <v/>
      </c>
      <c r="E11729" s="94">
        <f>INDEX(매칭테이블!C:D,MATCH(RD!G11729,매칭테이블!D:D,0),1)</f>
        <v/>
      </c>
      <c r="F11729" s="94" t="inlineStr">
        <is>
          <t>카페24</t>
        </is>
      </c>
      <c r="G11729" s="94" t="inlineStr">
        <is>
          <t>어성초 약산성 클렌징폼클렌징폼=어성초 약산성 클렌징폼 2개 -25%off</t>
        </is>
      </c>
      <c r="K11729" s="94" t="n">
        <v>4</v>
      </c>
      <c r="L11729" s="94" t="n">
        <v>201208</v>
      </c>
      <c r="M11729" s="94">
        <f>VLOOKUP($Q11729,매칭테이블!$F:$I,2,0)*K11729</f>
        <v/>
      </c>
      <c r="N11729" s="94">
        <f>M11729-M11729*VLOOKUP($Q11729,매칭테이블!$F:$I,3,0)</f>
        <v/>
      </c>
      <c r="O11729" s="94">
        <f>VLOOKUP($Q11729,매칭테이블!$F:$I,4,0)*K11729</f>
        <v/>
      </c>
      <c r="P11729" s="148">
        <f>M11729/1.1</f>
        <v/>
      </c>
      <c r="Q11729" s="94">
        <f>F11729&amp;E11729&amp;G11729&amp;L11729</f>
        <v/>
      </c>
    </row>
    <row r="11730">
      <c r="B11730" s="128" t="n">
        <v>44170</v>
      </c>
      <c r="C11730" s="94">
        <f>TEXT(B11730,"aaa")</f>
        <v/>
      </c>
      <c r="E11730" s="94">
        <f>INDEX(매칭테이블!C:D,MATCH(RD!G11730,매칭테이블!D:D,0),1)</f>
        <v/>
      </c>
      <c r="F11730" s="94" t="inlineStr">
        <is>
          <t>카페24</t>
        </is>
      </c>
      <c r="G11730" s="94" t="inlineStr">
        <is>
          <t>어성초 크림마스크 나이트 솔루션옵션=어성초 크림마스크 나이트 솔루션 1장</t>
        </is>
      </c>
      <c r="K11730" s="94" t="n">
        <v>1</v>
      </c>
      <c r="L11730" s="94" t="n">
        <v>201208</v>
      </c>
      <c r="M11730" s="94">
        <f>VLOOKUP($Q11730,매칭테이블!$F:$I,2,0)*K11730</f>
        <v/>
      </c>
      <c r="N11730" s="94">
        <f>M11730-M11730*VLOOKUP($Q11730,매칭테이블!$F:$I,3,0)</f>
        <v/>
      </c>
      <c r="O11730" s="94">
        <f>VLOOKUP($Q11730,매칭테이블!$F:$I,4,0)*K11730</f>
        <v/>
      </c>
      <c r="P11730" s="148">
        <f>M11730/1.1</f>
        <v/>
      </c>
      <c r="Q11730" s="94">
        <f>F11730&amp;E11730&amp;G11730&amp;L11730</f>
        <v/>
      </c>
    </row>
    <row r="11731">
      <c r="B11731" s="128" t="n">
        <v>44170</v>
      </c>
      <c r="C11731" s="94">
        <f>TEXT(B11731,"aaa")</f>
        <v/>
      </c>
      <c r="E11731" s="94">
        <f>INDEX(매칭테이블!C:D,MATCH(RD!G11731,매칭테이블!D:D,0),1)</f>
        <v/>
      </c>
      <c r="F11731" s="94" t="inlineStr">
        <is>
          <t>카페24</t>
        </is>
      </c>
      <c r="G11731" s="94" t="inlineStr">
        <is>
          <t>어성초 크림마스크 나이트 솔루션옵션=어성초 크림마스크 나이트 솔루션 10장 (-50%)</t>
        </is>
      </c>
      <c r="K11731" s="94" t="n">
        <v>1</v>
      </c>
      <c r="L11731" s="94" t="n">
        <v>201208</v>
      </c>
      <c r="M11731" s="94">
        <f>VLOOKUP($Q11731,매칭테이블!$F:$I,2,0)*K11731</f>
        <v/>
      </c>
      <c r="N11731" s="94">
        <f>M11731-M11731*VLOOKUP($Q11731,매칭테이블!$F:$I,3,0)</f>
        <v/>
      </c>
      <c r="O11731" s="94">
        <f>VLOOKUP($Q11731,매칭테이블!$F:$I,4,0)*K11731</f>
        <v/>
      </c>
      <c r="P11731" s="148">
        <f>M11731/1.1</f>
        <v/>
      </c>
      <c r="Q11731" s="94">
        <f>F11731&amp;E11731&amp;G11731&amp;L11731</f>
        <v/>
      </c>
    </row>
    <row r="11732">
      <c r="B11732" s="128" t="n">
        <v>44170</v>
      </c>
      <c r="C11732" s="94">
        <f>TEXT(B11732,"aaa")</f>
        <v/>
      </c>
      <c r="E11732" s="94">
        <f>INDEX(매칭테이블!C:D,MATCH(RD!G11732,매칭테이블!D:D,0),1)</f>
        <v/>
      </c>
      <c r="F11732" s="94" t="inlineStr">
        <is>
          <t>카페24</t>
        </is>
      </c>
      <c r="G11732" s="94" t="inlineStr">
        <is>
          <t>촉촉 스킨팩 화장솜</t>
        </is>
      </c>
      <c r="K11732" s="94" t="n">
        <v>20</v>
      </c>
      <c r="L11732" s="94" t="n">
        <v>201208</v>
      </c>
      <c r="M11732" s="94">
        <f>VLOOKUP($Q11732,매칭테이블!$F:$I,2,0)*K11732</f>
        <v/>
      </c>
      <c r="N11732" s="94">
        <f>M11732-M11732*VLOOKUP($Q11732,매칭테이블!$F:$I,3,0)</f>
        <v/>
      </c>
      <c r="O11732" s="94">
        <f>VLOOKUP($Q11732,매칭테이블!$F:$I,4,0)*K11732</f>
        <v/>
      </c>
      <c r="P11732" s="148">
        <f>M11732/1.1</f>
        <v/>
      </c>
      <c r="Q11732" s="94">
        <f>F11732&amp;E11732&amp;G11732&amp;L11732</f>
        <v/>
      </c>
    </row>
    <row r="11733">
      <c r="B11733" s="128" t="n">
        <v>44170</v>
      </c>
      <c r="C11733" s="94">
        <f>TEXT(B11733,"aaa")</f>
        <v/>
      </c>
      <c r="E11733" s="94">
        <f>INDEX(매칭테이블!C:D,MATCH(RD!G11733,매칭테이블!D:D,0),1)</f>
        <v/>
      </c>
      <c r="F11733" s="94" t="inlineStr">
        <is>
          <t>화해</t>
        </is>
      </c>
      <c r="G11733" s="94" t="inlineStr">
        <is>
          <t>어성초 77 토너 250ml어성초 77 토너 250ml</t>
        </is>
      </c>
      <c r="K11733" s="94" t="n">
        <v>4</v>
      </c>
      <c r="L11733" s="94" t="n">
        <v>201208</v>
      </c>
      <c r="M11733" s="94">
        <f>VLOOKUP($Q11733,매칭테이블!$F:$I,2,0)*K11733</f>
        <v/>
      </c>
      <c r="N11733" s="94">
        <f>M11733-M11733*VLOOKUP($Q11733,매칭테이블!$F:$I,3,0)</f>
        <v/>
      </c>
      <c r="O11733" s="94">
        <f>VLOOKUP($Q11733,매칭테이블!$F:$I,4,0)*K11733</f>
        <v/>
      </c>
      <c r="P11733" s="148">
        <f>M11733/1.1</f>
        <v/>
      </c>
      <c r="Q11733" s="94">
        <f>F11733&amp;E11733&amp;G11733&amp;L11733</f>
        <v/>
      </c>
    </row>
    <row r="11734">
      <c r="B11734" s="128" t="n">
        <v>44171</v>
      </c>
      <c r="C11734" s="94">
        <f>TEXT(B11734,"aaa")</f>
        <v/>
      </c>
      <c r="E11734" s="94">
        <f>INDEX(매칭테이블!C:D,MATCH(RD!G11734,매칭테이블!D:D,0),1)</f>
        <v/>
      </c>
      <c r="F11734" s="94" t="inlineStr">
        <is>
          <t>스타일쉐어</t>
        </is>
      </c>
      <c r="G11734" s="94" t="inlineStr">
        <is>
          <t>아누아 어성초 77 토너 250ml</t>
        </is>
      </c>
      <c r="K11734" s="94" t="n">
        <v>5</v>
      </c>
      <c r="L11734" s="94" t="n">
        <v>201208</v>
      </c>
      <c r="M11734" s="94">
        <f>VLOOKUP($Q11734,매칭테이블!$F:$I,2,0)*K11734</f>
        <v/>
      </c>
      <c r="N11734" s="94">
        <f>M11734-M11734*VLOOKUP($Q11734,매칭테이블!$F:$I,3,0)</f>
        <v/>
      </c>
      <c r="O11734" s="94">
        <f>VLOOKUP($Q11734,매칭테이블!$F:$I,4,0)*K11734</f>
        <v/>
      </c>
      <c r="P11734" s="148">
        <f>M11734/1.1</f>
        <v/>
      </c>
      <c r="Q11734" s="94">
        <f>F11734&amp;E11734&amp;G11734&amp;L11734</f>
        <v/>
      </c>
    </row>
    <row r="11735">
      <c r="B11735" s="128" t="n">
        <v>44171</v>
      </c>
      <c r="C11735" s="94">
        <f>TEXT(B11735,"aaa")</f>
        <v/>
      </c>
      <c r="E11735" s="94">
        <f>INDEX(매칭테이블!C:D,MATCH(RD!G11735,매칭테이블!D:D,0),1)</f>
        <v/>
      </c>
      <c r="F11735" s="94" t="inlineStr">
        <is>
          <t>카페24</t>
        </is>
      </c>
      <c r="G11735" s="94" t="inlineStr">
        <is>
          <t>5 제로 무기자차 선크림옵션=5제로 무기자차 선크림 1개-20% off</t>
        </is>
      </c>
      <c r="K11735" s="94" t="n">
        <v>4</v>
      </c>
      <c r="L11735" s="94" t="n">
        <v>201208</v>
      </c>
      <c r="M11735" s="94">
        <f>VLOOKUP($Q11735,매칭테이블!$F:$I,2,0)*K11735</f>
        <v/>
      </c>
      <c r="N11735" s="94">
        <f>M11735-M11735*VLOOKUP($Q11735,매칭테이블!$F:$I,3,0)</f>
        <v/>
      </c>
      <c r="O11735" s="94">
        <f>VLOOKUP($Q11735,매칭테이블!$F:$I,4,0)*K11735</f>
        <v/>
      </c>
      <c r="P11735" s="148">
        <f>M11735/1.1</f>
        <v/>
      </c>
      <c r="Q11735" s="94">
        <f>F11735&amp;E11735&amp;G11735&amp;L11735</f>
        <v/>
      </c>
    </row>
    <row r="11736">
      <c r="B11736" s="128" t="n">
        <v>44171</v>
      </c>
      <c r="C11736" s="94">
        <f>TEXT(B11736,"aaa")</f>
        <v/>
      </c>
      <c r="E11736" s="94">
        <f>INDEX(매칭테이블!C:D,MATCH(RD!G11736,매칭테이블!D:D,0),1)</f>
        <v/>
      </c>
      <c r="F11736" s="94" t="inlineStr">
        <is>
          <t>카페24</t>
        </is>
      </c>
      <c r="G11736" s="94" t="inlineStr">
        <is>
          <t>5 제로 무기자차 선크림옵션=5제로 무기자차 선크림 2개-30% off (무료배송)</t>
        </is>
      </c>
      <c r="K11736" s="94" t="n">
        <v>1</v>
      </c>
      <c r="L11736" s="94" t="n">
        <v>201208</v>
      </c>
      <c r="M11736" s="94">
        <f>VLOOKUP($Q11736,매칭테이블!$F:$I,2,0)*K11736</f>
        <v/>
      </c>
      <c r="N11736" s="94">
        <f>M11736-M11736*VLOOKUP($Q11736,매칭테이블!$F:$I,3,0)</f>
        <v/>
      </c>
      <c r="O11736" s="94">
        <f>VLOOKUP($Q11736,매칭테이블!$F:$I,4,0)*K11736</f>
        <v/>
      </c>
      <c r="P11736" s="148">
        <f>M11736/1.1</f>
        <v/>
      </c>
      <c r="Q11736" s="94">
        <f>F11736&amp;E11736&amp;G11736&amp;L11736</f>
        <v/>
      </c>
    </row>
    <row r="11737">
      <c r="B11737" s="128" t="n">
        <v>44171</v>
      </c>
      <c r="C11737" s="94">
        <f>TEXT(B11737,"aaa")</f>
        <v/>
      </c>
      <c r="E11737" s="94">
        <f>INDEX(매칭테이블!C:D,MATCH(RD!G11737,매칭테이블!D:D,0),1)</f>
        <v/>
      </c>
      <c r="F11737" s="94" t="inlineStr">
        <is>
          <t>카페24</t>
        </is>
      </c>
      <c r="G11737" s="94" t="inlineStr">
        <is>
          <t>[수분 보충 세트] 어성초 77 토너 + 어성초 70 로션옵션=어성초 77 토너 250ml + 어성초 70 로션 200ml -30%</t>
        </is>
      </c>
      <c r="K11737" s="94" t="n">
        <v>25</v>
      </c>
      <c r="L11737" s="94" t="n">
        <v>201208</v>
      </c>
      <c r="M11737" s="94">
        <f>VLOOKUP($Q11737,매칭테이블!$F:$I,2,0)*K11737</f>
        <v/>
      </c>
      <c r="N11737" s="94">
        <f>M11737-M11737*VLOOKUP($Q11737,매칭테이블!$F:$I,3,0)</f>
        <v/>
      </c>
      <c r="O11737" s="94">
        <f>VLOOKUP($Q11737,매칭테이블!$F:$I,4,0)*K11737</f>
        <v/>
      </c>
      <c r="P11737" s="148">
        <f>M11737/1.1</f>
        <v/>
      </c>
      <c r="Q11737" s="94">
        <f>F11737&amp;E11737&amp;G11737&amp;L11737</f>
        <v/>
      </c>
    </row>
    <row r="11738">
      <c r="B11738" s="128" t="n">
        <v>44171</v>
      </c>
      <c r="C11738" s="94">
        <f>TEXT(B11738,"aaa")</f>
        <v/>
      </c>
      <c r="E11738" s="94">
        <f>INDEX(매칭테이블!C:D,MATCH(RD!G11738,매칭테이블!D:D,0),1)</f>
        <v/>
      </c>
      <c r="F11738" s="94" t="inlineStr">
        <is>
          <t>카페24</t>
        </is>
      </c>
      <c r="G11738" s="94" t="inlineStr">
        <is>
          <t>[어성초 진정 패키지 세트] 대용량 토너 + 앰플 + 수딩 크림 + 마스크팩 10장</t>
        </is>
      </c>
      <c r="K11738" s="94" t="n">
        <v>5</v>
      </c>
      <c r="L11738" s="94" t="n">
        <v>201208</v>
      </c>
      <c r="M11738" s="94">
        <f>VLOOKUP($Q11738,매칭테이블!$F:$I,2,0)*K11738</f>
        <v/>
      </c>
      <c r="N11738" s="94">
        <f>M11738-M11738*VLOOKUP($Q11738,매칭테이블!$F:$I,3,0)</f>
        <v/>
      </c>
      <c r="O11738" s="94">
        <f>VLOOKUP($Q11738,매칭테이블!$F:$I,4,0)*K11738</f>
        <v/>
      </c>
      <c r="P11738" s="148">
        <f>M11738/1.1</f>
        <v/>
      </c>
      <c r="Q11738" s="94">
        <f>F11738&amp;E11738&amp;G11738&amp;L11738</f>
        <v/>
      </c>
    </row>
    <row r="11739">
      <c r="B11739" s="128" t="n">
        <v>44171</v>
      </c>
      <c r="C11739" s="94">
        <f>TEXT(B11739,"aaa")</f>
        <v/>
      </c>
      <c r="E11739" s="94">
        <f>INDEX(매칭테이블!C:D,MATCH(RD!G11739,매칭테이블!D:D,0),1)</f>
        <v/>
      </c>
      <c r="F11739" s="94" t="inlineStr">
        <is>
          <t>카페24</t>
        </is>
      </c>
      <c r="G11739" s="94" t="inlineStr">
        <is>
          <t>대용량 어성초 77 수딩 토너 500ml</t>
        </is>
      </c>
      <c r="K11739" s="94" t="n">
        <v>36</v>
      </c>
      <c r="L11739" s="94" t="n">
        <v>201208</v>
      </c>
      <c r="M11739" s="94">
        <f>VLOOKUP($Q11739,매칭테이블!$F:$I,2,0)*K11739</f>
        <v/>
      </c>
      <c r="N11739" s="94">
        <f>M11739-M11739*VLOOKUP($Q11739,매칭테이블!$F:$I,3,0)</f>
        <v/>
      </c>
      <c r="O11739" s="94">
        <f>VLOOKUP($Q11739,매칭테이블!$F:$I,4,0)*K11739</f>
        <v/>
      </c>
      <c r="P11739" s="148">
        <f>M11739/1.1</f>
        <v/>
      </c>
      <c r="Q11739" s="94">
        <f>F11739&amp;E11739&amp;G11739&amp;L11739</f>
        <v/>
      </c>
    </row>
    <row r="11740">
      <c r="B11740" s="128" t="n">
        <v>44171</v>
      </c>
      <c r="C11740" s="94">
        <f>TEXT(B11740,"aaa")</f>
        <v/>
      </c>
      <c r="E11740" s="94">
        <f>INDEX(매칭테이블!C:D,MATCH(RD!G11740,매칭테이블!D:D,0),1)</f>
        <v/>
      </c>
      <c r="F11740" s="94" t="inlineStr">
        <is>
          <t>카페24</t>
        </is>
      </c>
      <c r="G11740" s="94" t="inlineStr">
        <is>
          <t>대용량 어성초 77 토너 500ml</t>
        </is>
      </c>
      <c r="K11740" s="94" t="n">
        <v>1</v>
      </c>
      <c r="L11740" s="94" t="n">
        <v>201208</v>
      </c>
      <c r="M11740" s="94">
        <f>VLOOKUP($Q11740,매칭테이블!$F:$I,2,0)*K11740</f>
        <v/>
      </c>
      <c r="N11740" s="94">
        <f>M11740-M11740*VLOOKUP($Q11740,매칭테이블!$F:$I,3,0)</f>
        <v/>
      </c>
      <c r="O11740" s="94">
        <f>VLOOKUP($Q11740,매칭테이블!$F:$I,4,0)*K11740</f>
        <v/>
      </c>
      <c r="P11740" s="148">
        <f>M11740/1.1</f>
        <v/>
      </c>
      <c r="Q11740" s="94">
        <f>F11740&amp;E11740&amp;G11740&amp;L11740</f>
        <v/>
      </c>
    </row>
    <row r="11741">
      <c r="B11741" s="128" t="n">
        <v>44171</v>
      </c>
      <c r="C11741" s="94">
        <f>TEXT(B11741,"aaa")</f>
        <v/>
      </c>
      <c r="E11741" s="94">
        <f>INDEX(매칭테이블!C:D,MATCH(RD!G11741,매칭테이블!D:D,0),1)</f>
        <v/>
      </c>
      <c r="F11741" s="94" t="inlineStr">
        <is>
          <t>카페24</t>
        </is>
      </c>
      <c r="G11741" s="94" t="inlineStr">
        <is>
          <t>어성초 70 데일리 릴리프 로션로션=어성초 70 데일리 릴리프 로션 1개 -20% off</t>
        </is>
      </c>
      <c r="K11741" s="94" t="n">
        <v>6</v>
      </c>
      <c r="L11741" s="94" t="n">
        <v>201208</v>
      </c>
      <c r="M11741" s="94">
        <f>VLOOKUP($Q11741,매칭테이블!$F:$I,2,0)*K11741</f>
        <v/>
      </c>
      <c r="N11741" s="94">
        <f>M11741-M11741*VLOOKUP($Q11741,매칭테이블!$F:$I,3,0)</f>
        <v/>
      </c>
      <c r="O11741" s="94">
        <f>VLOOKUP($Q11741,매칭테이블!$F:$I,4,0)*K11741</f>
        <v/>
      </c>
      <c r="P11741" s="148">
        <f>M11741/1.1</f>
        <v/>
      </c>
      <c r="Q11741" s="94">
        <f>F11741&amp;E11741&amp;G11741&amp;L11741</f>
        <v/>
      </c>
    </row>
    <row r="11742">
      <c r="B11742" s="128" t="n">
        <v>44171</v>
      </c>
      <c r="C11742" s="94">
        <f>TEXT(B11742,"aaa")</f>
        <v/>
      </c>
      <c r="E11742" s="94">
        <f>INDEX(매칭테이블!C:D,MATCH(RD!G11742,매칭테이블!D:D,0),1)</f>
        <v/>
      </c>
      <c r="F11742" s="94" t="inlineStr">
        <is>
          <t>카페24</t>
        </is>
      </c>
      <c r="G11742" s="94" t="inlineStr">
        <is>
          <t>어성초 70 데일리 릴리프 로션로션=어성초 77토너 + 어성초 70 로션 수분 보충 세트 -30% off</t>
        </is>
      </c>
      <c r="K11742" s="94" t="n">
        <v>2</v>
      </c>
      <c r="L11742" s="94" t="n">
        <v>201208</v>
      </c>
      <c r="M11742" s="94">
        <f>VLOOKUP($Q11742,매칭테이블!$F:$I,2,0)*K11742</f>
        <v/>
      </c>
      <c r="N11742" s="94">
        <f>M11742-M11742*VLOOKUP($Q11742,매칭테이블!$F:$I,3,0)</f>
        <v/>
      </c>
      <c r="O11742" s="94">
        <f>VLOOKUP($Q11742,매칭테이블!$F:$I,4,0)*K11742</f>
        <v/>
      </c>
      <c r="P11742" s="148">
        <f>M11742/1.1</f>
        <v/>
      </c>
      <c r="Q11742" s="94">
        <f>F11742&amp;E11742&amp;G11742&amp;L11742</f>
        <v/>
      </c>
    </row>
    <row r="11743">
      <c r="B11743" s="128" t="n">
        <v>44171</v>
      </c>
      <c r="C11743" s="94">
        <f>TEXT(B11743,"aaa")</f>
        <v/>
      </c>
      <c r="E11743" s="94">
        <f>INDEX(매칭테이블!C:D,MATCH(RD!G11743,매칭테이블!D:D,0),1)</f>
        <v/>
      </c>
      <c r="F11743" s="94" t="inlineStr">
        <is>
          <t>카페24</t>
        </is>
      </c>
      <c r="G11743" s="94" t="inlineStr">
        <is>
          <t>어성초 70 머드 크림 마스크옵션=어성초 70 머드 크림 마스크-20% off</t>
        </is>
      </c>
      <c r="K11743" s="94" t="n">
        <v>5</v>
      </c>
      <c r="L11743" s="94" t="n">
        <v>201208</v>
      </c>
      <c r="M11743" s="94">
        <f>VLOOKUP($Q11743,매칭테이블!$F:$I,2,0)*K11743</f>
        <v/>
      </c>
      <c r="N11743" s="94">
        <f>M11743-M11743*VLOOKUP($Q11743,매칭테이블!$F:$I,3,0)</f>
        <v/>
      </c>
      <c r="O11743" s="94">
        <f>VLOOKUP($Q11743,매칭테이블!$F:$I,4,0)*K11743</f>
        <v/>
      </c>
      <c r="P11743" s="148">
        <f>M11743/1.1</f>
        <v/>
      </c>
      <c r="Q11743" s="94">
        <f>F11743&amp;E11743&amp;G11743&amp;L11743</f>
        <v/>
      </c>
    </row>
    <row r="11744">
      <c r="B11744" s="128" t="n">
        <v>44171</v>
      </c>
      <c r="C11744" s="94">
        <f>TEXT(B11744,"aaa")</f>
        <v/>
      </c>
      <c r="E11744" s="94">
        <f>INDEX(매칭테이블!C:D,MATCH(RD!G11744,매칭테이블!D:D,0),1)</f>
        <v/>
      </c>
      <c r="F11744" s="94" t="inlineStr">
        <is>
          <t>카페24</t>
        </is>
      </c>
      <c r="G11744" s="94" t="inlineStr">
        <is>
          <t>어성초 70 머드 크림 마스크옵션=어성초 70 머드 크림 마스크 2개-30% off (무료배송)</t>
        </is>
      </c>
      <c r="K11744" s="94" t="n">
        <v>2</v>
      </c>
      <c r="L11744" s="94" t="n">
        <v>201208</v>
      </c>
      <c r="M11744" s="94">
        <f>VLOOKUP($Q11744,매칭테이블!$F:$I,2,0)*K11744</f>
        <v/>
      </c>
      <c r="N11744" s="94">
        <f>M11744-M11744*VLOOKUP($Q11744,매칭테이블!$F:$I,3,0)</f>
        <v/>
      </c>
      <c r="O11744" s="94">
        <f>VLOOKUP($Q11744,매칭테이블!$F:$I,4,0)*K11744</f>
        <v/>
      </c>
      <c r="P11744" s="148">
        <f>M11744/1.1</f>
        <v/>
      </c>
      <c r="Q11744" s="94">
        <f>F11744&amp;E11744&amp;G11744&amp;L11744</f>
        <v/>
      </c>
    </row>
    <row r="11745">
      <c r="B11745" s="128" t="n">
        <v>44171</v>
      </c>
      <c r="C11745" s="94">
        <f>TEXT(B11745,"aaa")</f>
        <v/>
      </c>
      <c r="E11745" s="94">
        <f>INDEX(매칭테이블!C:D,MATCH(RD!G11745,매칭테이블!D:D,0),1)</f>
        <v/>
      </c>
      <c r="F11745" s="94" t="inlineStr">
        <is>
          <t>카페24</t>
        </is>
      </c>
      <c r="G11745" s="94" t="inlineStr">
        <is>
          <t>어성초 70 인텐스 카밍 크림크림=어성초 70 인텐스 카밍 크림 1개 (-20%)</t>
        </is>
      </c>
      <c r="K11745" s="94" t="n">
        <v>5</v>
      </c>
      <c r="L11745" s="94" t="n">
        <v>201208</v>
      </c>
      <c r="M11745" s="94">
        <f>VLOOKUP($Q11745,매칭테이블!$F:$I,2,0)*K11745</f>
        <v/>
      </c>
      <c r="N11745" s="94">
        <f>M11745-M11745*VLOOKUP($Q11745,매칭테이블!$F:$I,3,0)</f>
        <v/>
      </c>
      <c r="O11745" s="94">
        <f>VLOOKUP($Q11745,매칭테이블!$F:$I,4,0)*K11745</f>
        <v/>
      </c>
      <c r="P11745" s="148">
        <f>M11745/1.1</f>
        <v/>
      </c>
      <c r="Q11745" s="94">
        <f>F11745&amp;E11745&amp;G11745&amp;L11745</f>
        <v/>
      </c>
    </row>
    <row r="11746">
      <c r="B11746" s="128" t="n">
        <v>44171</v>
      </c>
      <c r="C11746" s="94">
        <f>TEXT(B11746,"aaa")</f>
        <v/>
      </c>
      <c r="E11746" s="94">
        <f>INDEX(매칭테이블!C:D,MATCH(RD!G11746,매칭테이블!D:D,0),1)</f>
        <v/>
      </c>
      <c r="F11746" s="94" t="inlineStr">
        <is>
          <t>카페24</t>
        </is>
      </c>
      <c r="G11746" s="94" t="inlineStr">
        <is>
          <t>어성초 70 인텐스 카밍 크림크림=어성초 토너 250ml + 카밍 크림 50ml (-30%)</t>
        </is>
      </c>
      <c r="K11746" s="94" t="n">
        <v>1</v>
      </c>
      <c r="L11746" s="94" t="n">
        <v>201208</v>
      </c>
      <c r="M11746" s="94">
        <f>VLOOKUP($Q11746,매칭테이블!$F:$I,2,0)*K11746</f>
        <v/>
      </c>
      <c r="N11746" s="94">
        <f>M11746-M11746*VLOOKUP($Q11746,매칭테이블!$F:$I,3,0)</f>
        <v/>
      </c>
      <c r="O11746" s="94">
        <f>VLOOKUP($Q11746,매칭테이블!$F:$I,4,0)*K11746</f>
        <v/>
      </c>
      <c r="P11746" s="148">
        <f>M11746/1.1</f>
        <v/>
      </c>
      <c r="Q11746" s="94">
        <f>F11746&amp;E11746&amp;G11746&amp;L11746</f>
        <v/>
      </c>
    </row>
    <row r="11747">
      <c r="B11747" s="128" t="n">
        <v>44171</v>
      </c>
      <c r="C11747" s="94">
        <f>TEXT(B11747,"aaa")</f>
        <v/>
      </c>
      <c r="E11747" s="94">
        <f>INDEX(매칭테이블!C:D,MATCH(RD!G11747,매칭테이블!D:D,0),1)</f>
        <v/>
      </c>
      <c r="F11747" s="94" t="inlineStr">
        <is>
          <t>카페24</t>
        </is>
      </c>
      <c r="G11747" s="94" t="inlineStr">
        <is>
          <t>어성초 77 수딩 토너토너(필수)=어성초 77 토너 1개-20% off</t>
        </is>
      </c>
      <c r="K11747" s="94" t="n">
        <v>50</v>
      </c>
      <c r="L11747" s="94" t="n">
        <v>201208</v>
      </c>
      <c r="M11747" s="94">
        <f>VLOOKUP($Q11747,매칭테이블!$F:$I,2,0)*K11747</f>
        <v/>
      </c>
      <c r="N11747" s="94">
        <f>M11747-M11747*VLOOKUP($Q11747,매칭테이블!$F:$I,3,0)</f>
        <v/>
      </c>
      <c r="O11747" s="94">
        <f>VLOOKUP($Q11747,매칭테이블!$F:$I,4,0)*K11747</f>
        <v/>
      </c>
      <c r="P11747" s="148">
        <f>M11747/1.1</f>
        <v/>
      </c>
      <c r="Q11747" s="94">
        <f>F11747&amp;E11747&amp;G11747&amp;L11747</f>
        <v/>
      </c>
    </row>
    <row r="11748">
      <c r="B11748" s="128" t="n">
        <v>44171</v>
      </c>
      <c r="C11748" s="94">
        <f>TEXT(B11748,"aaa")</f>
        <v/>
      </c>
      <c r="E11748" s="94">
        <f>INDEX(매칭테이블!C:D,MATCH(RD!G11748,매칭테이블!D:D,0),1)</f>
        <v/>
      </c>
      <c r="F11748" s="94" t="inlineStr">
        <is>
          <t>카페24</t>
        </is>
      </c>
      <c r="G11748" s="94" t="inlineStr">
        <is>
          <t>어성초 77 수딩 토너토너(필수)=어성초 77 토너 2개-30% off (무료배송)</t>
        </is>
      </c>
      <c r="K11748" s="94" t="n">
        <v>21</v>
      </c>
      <c r="L11748" s="94" t="n">
        <v>201208</v>
      </c>
      <c r="M11748" s="94">
        <f>VLOOKUP($Q11748,매칭테이블!$F:$I,2,0)*K11748</f>
        <v/>
      </c>
      <c r="N11748" s="94">
        <f>M11748-M11748*VLOOKUP($Q11748,매칭테이블!$F:$I,3,0)</f>
        <v/>
      </c>
      <c r="O11748" s="94">
        <f>VLOOKUP($Q11748,매칭테이블!$F:$I,4,0)*K11748</f>
        <v/>
      </c>
      <c r="P11748" s="148">
        <f>M11748/1.1</f>
        <v/>
      </c>
      <c r="Q11748" s="94">
        <f>F11748&amp;E11748&amp;G11748&amp;L11748</f>
        <v/>
      </c>
    </row>
    <row r="11749">
      <c r="B11749" s="128" t="n">
        <v>44171</v>
      </c>
      <c r="C11749" s="94">
        <f>TEXT(B11749,"aaa")</f>
        <v/>
      </c>
      <c r="E11749" s="94">
        <f>INDEX(매칭테이블!C:D,MATCH(RD!G11749,매칭테이블!D:D,0),1)</f>
        <v/>
      </c>
      <c r="F11749" s="94" t="inlineStr">
        <is>
          <t>카페24</t>
        </is>
      </c>
      <c r="G11749" s="94" t="inlineStr">
        <is>
          <t>어성초 77 수딩 토너토너(필수)=어성초77토너1개 + 어성초77패드1개 -30% off (무료배송)</t>
        </is>
      </c>
      <c r="K11749" s="94" t="n">
        <v>11</v>
      </c>
      <c r="L11749" s="94" t="n">
        <v>201208</v>
      </c>
      <c r="M11749" s="94">
        <f>VLOOKUP($Q11749,매칭테이블!$F:$I,2,0)*K11749</f>
        <v/>
      </c>
      <c r="N11749" s="94">
        <f>M11749-M11749*VLOOKUP($Q11749,매칭테이블!$F:$I,3,0)</f>
        <v/>
      </c>
      <c r="O11749" s="94">
        <f>VLOOKUP($Q11749,매칭테이블!$F:$I,4,0)*K11749</f>
        <v/>
      </c>
      <c r="P11749" s="148">
        <f>M11749/1.1</f>
        <v/>
      </c>
      <c r="Q11749" s="94">
        <f>F11749&amp;E11749&amp;G11749&amp;L11749</f>
        <v/>
      </c>
    </row>
    <row r="11750">
      <c r="B11750" s="128" t="n">
        <v>44171</v>
      </c>
      <c r="C11750" s="94">
        <f>TEXT(B11750,"aaa")</f>
        <v/>
      </c>
      <c r="E11750" s="94">
        <f>INDEX(매칭테이블!C:D,MATCH(RD!G11750,매칭테이블!D:D,0),1)</f>
        <v/>
      </c>
      <c r="F11750" s="94" t="inlineStr">
        <is>
          <t>카페24</t>
        </is>
      </c>
      <c r="G11750" s="94" t="inlineStr">
        <is>
          <t>어성초 77 수딩 토너화장솜(선택)=촉촉 스킨팩 화장솜</t>
        </is>
      </c>
      <c r="K11750" s="94" t="n">
        <v>26</v>
      </c>
      <c r="L11750" s="94" t="n">
        <v>201208</v>
      </c>
      <c r="M11750" s="94">
        <f>VLOOKUP($Q11750,매칭테이블!$F:$I,2,0)*K11750</f>
        <v/>
      </c>
      <c r="N11750" s="94">
        <f>M11750-M11750*VLOOKUP($Q11750,매칭테이블!$F:$I,3,0)</f>
        <v/>
      </c>
      <c r="O11750" s="94">
        <f>VLOOKUP($Q11750,매칭테이블!$F:$I,4,0)*K11750</f>
        <v/>
      </c>
      <c r="P11750" s="148">
        <f>M11750/1.1</f>
        <v/>
      </c>
      <c r="Q11750" s="94">
        <f>F11750&amp;E11750&amp;G11750&amp;L11750</f>
        <v/>
      </c>
    </row>
    <row r="11751">
      <c r="B11751" s="128" t="n">
        <v>44171</v>
      </c>
      <c r="C11751" s="94">
        <f>TEXT(B11751,"aaa")</f>
        <v/>
      </c>
      <c r="E11751" s="94">
        <f>INDEX(매칭테이블!C:D,MATCH(RD!G11751,매칭테이블!D:D,0),1)</f>
        <v/>
      </c>
      <c r="F11751" s="94" t="inlineStr">
        <is>
          <t>카페24</t>
        </is>
      </c>
      <c r="G11751" s="94" t="inlineStr">
        <is>
          <t>어성초 77 수딩 토너토너(필수)=어성초 77 토너 1개-20% off</t>
        </is>
      </c>
      <c r="K11751" s="94" t="n">
        <v>1</v>
      </c>
      <c r="L11751" s="94" t="n">
        <v>201208</v>
      </c>
      <c r="M11751" s="94">
        <f>VLOOKUP($Q11751,매칭테이블!$F:$I,2,0)*K11751</f>
        <v/>
      </c>
      <c r="N11751" s="94">
        <f>M11751-M11751*VLOOKUP($Q11751,매칭테이블!$F:$I,3,0)</f>
        <v/>
      </c>
      <c r="O11751" s="94">
        <f>VLOOKUP($Q11751,매칭테이블!$F:$I,4,0)*K11751</f>
        <v/>
      </c>
      <c r="P11751" s="148">
        <f>M11751/1.1</f>
        <v/>
      </c>
      <c r="Q11751" s="94">
        <f>F11751&amp;E11751&amp;G11751&amp;L11751</f>
        <v/>
      </c>
    </row>
    <row r="11752">
      <c r="B11752" s="128" t="n">
        <v>44171</v>
      </c>
      <c r="C11752" s="94">
        <f>TEXT(B11752,"aaa")</f>
        <v/>
      </c>
      <c r="E11752" s="94">
        <f>INDEX(매칭테이블!C:D,MATCH(RD!G11752,매칭테이블!D:D,0),1)</f>
        <v/>
      </c>
      <c r="F11752" s="94" t="inlineStr">
        <is>
          <t>카페24</t>
        </is>
      </c>
      <c r="G11752" s="94" t="inlineStr">
        <is>
          <t>어성초 77 수딩 토너토너(필수)=(대용량) 어성초 77 토너 500ml (무료배송)</t>
        </is>
      </c>
      <c r="K11752" s="94" t="n">
        <v>1</v>
      </c>
      <c r="L11752" s="94" t="n">
        <v>201208</v>
      </c>
      <c r="M11752" s="94">
        <f>VLOOKUP($Q11752,매칭테이블!$F:$I,2,0)*K11752</f>
        <v/>
      </c>
      <c r="N11752" s="94">
        <f>M11752-M11752*VLOOKUP($Q11752,매칭테이블!$F:$I,3,0)</f>
        <v/>
      </c>
      <c r="O11752" s="94">
        <f>VLOOKUP($Q11752,매칭테이블!$F:$I,4,0)*K11752</f>
        <v/>
      </c>
      <c r="P11752" s="148">
        <f>M11752/1.1</f>
        <v/>
      </c>
      <c r="Q11752" s="94">
        <f>F11752&amp;E11752&amp;G11752&amp;L11752</f>
        <v/>
      </c>
    </row>
    <row r="11753">
      <c r="B11753" s="128" t="n">
        <v>44171</v>
      </c>
      <c r="C11753" s="94">
        <f>TEXT(B11753,"aaa")</f>
        <v/>
      </c>
      <c r="E11753" s="94">
        <f>INDEX(매칭테이블!C:D,MATCH(RD!G11753,매칭테이블!D:D,0),1)</f>
        <v/>
      </c>
      <c r="F11753" s="94" t="inlineStr">
        <is>
          <t>카페24</t>
        </is>
      </c>
      <c r="G11753" s="94" t="inlineStr">
        <is>
          <t>어성초 77 진정 마스크옵션=어성초 77 진정 마스크팩 1장</t>
        </is>
      </c>
      <c r="K11753" s="94" t="n">
        <v>2</v>
      </c>
      <c r="L11753" s="94" t="n">
        <v>201208</v>
      </c>
      <c r="M11753" s="94">
        <f>VLOOKUP($Q11753,매칭테이블!$F:$I,2,0)*K11753</f>
        <v/>
      </c>
      <c r="N11753" s="94">
        <f>M11753-M11753*VLOOKUP($Q11753,매칭테이블!$F:$I,3,0)</f>
        <v/>
      </c>
      <c r="O11753" s="94">
        <f>VLOOKUP($Q11753,매칭테이블!$F:$I,4,0)*K11753</f>
        <v/>
      </c>
      <c r="P11753" s="148">
        <f>M11753/1.1</f>
        <v/>
      </c>
      <c r="Q11753" s="94">
        <f>F11753&amp;E11753&amp;G11753&amp;L11753</f>
        <v/>
      </c>
    </row>
    <row r="11754">
      <c r="B11754" s="128" t="n">
        <v>44171</v>
      </c>
      <c r="C11754" s="94">
        <f>TEXT(B11754,"aaa")</f>
        <v/>
      </c>
      <c r="E11754" s="94">
        <f>INDEX(매칭테이블!C:D,MATCH(RD!G11754,매칭테이블!D:D,0),1)</f>
        <v/>
      </c>
      <c r="F11754" s="94" t="inlineStr">
        <is>
          <t>카페24</t>
        </is>
      </c>
      <c r="G11754" s="94" t="inlineStr">
        <is>
          <t>어성초 77 진정 마스크옵션=어성초 77 진정 마스크팩 10장-50% off</t>
        </is>
      </c>
      <c r="K11754" s="94" t="n">
        <v>6</v>
      </c>
      <c r="L11754" s="94" t="n">
        <v>201208</v>
      </c>
      <c r="M11754" s="94">
        <f>VLOOKUP($Q11754,매칭테이블!$F:$I,2,0)*K11754</f>
        <v/>
      </c>
      <c r="N11754" s="94">
        <f>M11754-M11754*VLOOKUP($Q11754,매칭테이블!$F:$I,3,0)</f>
        <v/>
      </c>
      <c r="O11754" s="94">
        <f>VLOOKUP($Q11754,매칭테이블!$F:$I,4,0)*K11754</f>
        <v/>
      </c>
      <c r="P11754" s="148">
        <f>M11754/1.1</f>
        <v/>
      </c>
      <c r="Q11754" s="94">
        <f>F11754&amp;E11754&amp;G11754&amp;L11754</f>
        <v/>
      </c>
    </row>
    <row r="11755">
      <c r="B11755" s="128" t="n">
        <v>44171</v>
      </c>
      <c r="C11755" s="94">
        <f>TEXT(B11755,"aaa")</f>
        <v/>
      </c>
      <c r="E11755" s="94">
        <f>INDEX(매칭테이블!C:D,MATCH(RD!G11755,매칭테이블!D:D,0),1)</f>
        <v/>
      </c>
      <c r="F11755" s="94" t="inlineStr">
        <is>
          <t>카페24</t>
        </is>
      </c>
      <c r="G11755" s="94" t="inlineStr">
        <is>
          <t>어성초 77 진정 마스크</t>
        </is>
      </c>
      <c r="K11755" s="94" t="n">
        <v>5</v>
      </c>
      <c r="L11755" s="94" t="n">
        <v>201208</v>
      </c>
      <c r="M11755" s="94">
        <f>VLOOKUP($Q11755,매칭테이블!$F:$I,2,0)*K11755</f>
        <v/>
      </c>
      <c r="N11755" s="94">
        <f>M11755-M11755*VLOOKUP($Q11755,매칭테이블!$F:$I,3,0)</f>
        <v/>
      </c>
      <c r="O11755" s="94">
        <f>VLOOKUP($Q11755,매칭테이블!$F:$I,4,0)*K11755</f>
        <v/>
      </c>
      <c r="P11755" s="148">
        <f>M11755/1.1</f>
        <v/>
      </c>
      <c r="Q11755" s="94">
        <f>F11755&amp;E11755&amp;G11755&amp;L11755</f>
        <v/>
      </c>
    </row>
    <row r="11756">
      <c r="B11756" s="128" t="n">
        <v>44171</v>
      </c>
      <c r="C11756" s="94">
        <f>TEXT(B11756,"aaa")</f>
        <v/>
      </c>
      <c r="E11756" s="94">
        <f>INDEX(매칭테이블!C:D,MATCH(RD!G11756,매칭테이블!D:D,0),1)</f>
        <v/>
      </c>
      <c r="F11756" s="94" t="inlineStr">
        <is>
          <t>카페24</t>
        </is>
      </c>
      <c r="G11756" s="94" t="inlineStr">
        <is>
          <t>어성초 77 클리어 패드옵션=어성초 77 클리어 패드 1개-20% off</t>
        </is>
      </c>
      <c r="K11756" s="94" t="n">
        <v>51</v>
      </c>
      <c r="L11756" s="94" t="n">
        <v>201208</v>
      </c>
      <c r="M11756" s="94">
        <f>VLOOKUP($Q11756,매칭테이블!$F:$I,2,0)*K11756</f>
        <v/>
      </c>
      <c r="N11756" s="94">
        <f>M11756-M11756*VLOOKUP($Q11756,매칭테이블!$F:$I,3,0)</f>
        <v/>
      </c>
      <c r="O11756" s="94">
        <f>VLOOKUP($Q11756,매칭테이블!$F:$I,4,0)*K11756</f>
        <v/>
      </c>
      <c r="P11756" s="148">
        <f>M11756/1.1</f>
        <v/>
      </c>
      <c r="Q11756" s="94">
        <f>F11756&amp;E11756&amp;G11756&amp;L11756</f>
        <v/>
      </c>
    </row>
    <row r="11757">
      <c r="B11757" s="128" t="n">
        <v>44171</v>
      </c>
      <c r="C11757" s="94">
        <f>TEXT(B11757,"aaa")</f>
        <v/>
      </c>
      <c r="E11757" s="94">
        <f>INDEX(매칭테이블!C:D,MATCH(RD!G11757,매칭테이블!D:D,0),1)</f>
        <v/>
      </c>
      <c r="F11757" s="94" t="inlineStr">
        <is>
          <t>카페24</t>
        </is>
      </c>
      <c r="G11757" s="94" t="inlineStr">
        <is>
          <t>어성초 77 클리어 패드옵션=어성초 77 클리어 패드 2개-30% off (무료배송)</t>
        </is>
      </c>
      <c r="K11757" s="94" t="n">
        <v>44</v>
      </c>
      <c r="L11757" s="94" t="n">
        <v>201208</v>
      </c>
      <c r="M11757" s="94">
        <f>VLOOKUP($Q11757,매칭테이블!$F:$I,2,0)*K11757</f>
        <v/>
      </c>
      <c r="N11757" s="94">
        <f>M11757-M11757*VLOOKUP($Q11757,매칭테이블!$F:$I,3,0)</f>
        <v/>
      </c>
      <c r="O11757" s="94">
        <f>VLOOKUP($Q11757,매칭테이블!$F:$I,4,0)*K11757</f>
        <v/>
      </c>
      <c r="P11757" s="148">
        <f>M11757/1.1</f>
        <v/>
      </c>
      <c r="Q11757" s="94">
        <f>F11757&amp;E11757&amp;G11757&amp;L11757</f>
        <v/>
      </c>
    </row>
    <row r="11758">
      <c r="B11758" s="128" t="n">
        <v>44171</v>
      </c>
      <c r="C11758" s="94">
        <f>TEXT(B11758,"aaa")</f>
        <v/>
      </c>
      <c r="E11758" s="94">
        <f>INDEX(매칭테이블!C:D,MATCH(RD!G11758,매칭테이블!D:D,0),1)</f>
        <v/>
      </c>
      <c r="F11758" s="94" t="inlineStr">
        <is>
          <t>카페24</t>
        </is>
      </c>
      <c r="G11758" s="94" t="inlineStr">
        <is>
          <t>어성초 77 클리어 패드옵션=어성초77토너1개+어성초77패드1개-30% off (무료배송)</t>
        </is>
      </c>
      <c r="K11758" s="94" t="n">
        <v>25</v>
      </c>
      <c r="L11758" s="94" t="n">
        <v>201208</v>
      </c>
      <c r="M11758" s="94">
        <f>VLOOKUP($Q11758,매칭테이블!$F:$I,2,0)*K11758</f>
        <v/>
      </c>
      <c r="N11758" s="94">
        <f>M11758-M11758*VLOOKUP($Q11758,매칭테이블!$F:$I,3,0)</f>
        <v/>
      </c>
      <c r="O11758" s="94">
        <f>VLOOKUP($Q11758,매칭테이블!$F:$I,4,0)*K11758</f>
        <v/>
      </c>
      <c r="P11758" s="148">
        <f>M11758/1.1</f>
        <v/>
      </c>
      <c r="Q11758" s="94">
        <f>F11758&amp;E11758&amp;G11758&amp;L11758</f>
        <v/>
      </c>
    </row>
    <row r="11759">
      <c r="B11759" s="128" t="n">
        <v>44171</v>
      </c>
      <c r="C11759" s="94">
        <f>TEXT(B11759,"aaa")</f>
        <v/>
      </c>
      <c r="E11759" s="94">
        <f>INDEX(매칭테이블!C:D,MATCH(RD!G11759,매칭테이블!D:D,0),1)</f>
        <v/>
      </c>
      <c r="F11759" s="94" t="inlineStr">
        <is>
          <t>카페24</t>
        </is>
      </c>
      <c r="G11759" s="94" t="inlineStr">
        <is>
          <t>어성초 77 클리어 패드옵션=어성초 77 클리어 패드 1개-20% off</t>
        </is>
      </c>
      <c r="K11759" s="94" t="n">
        <v>1</v>
      </c>
      <c r="L11759" s="94" t="n">
        <v>201208</v>
      </c>
      <c r="M11759" s="94">
        <f>VLOOKUP($Q11759,매칭테이블!$F:$I,2,0)*K11759</f>
        <v/>
      </c>
      <c r="N11759" s="94">
        <f>M11759-M11759*VLOOKUP($Q11759,매칭테이블!$F:$I,3,0)</f>
        <v/>
      </c>
      <c r="O11759" s="94">
        <f>VLOOKUP($Q11759,매칭테이블!$F:$I,4,0)*K11759</f>
        <v/>
      </c>
      <c r="P11759" s="148">
        <f>M11759/1.1</f>
        <v/>
      </c>
      <c r="Q11759" s="94">
        <f>F11759&amp;E11759&amp;G11759&amp;L11759</f>
        <v/>
      </c>
    </row>
    <row r="11760">
      <c r="B11760" s="128" t="n">
        <v>44171</v>
      </c>
      <c r="C11760" s="94">
        <f>TEXT(B11760,"aaa")</f>
        <v/>
      </c>
      <c r="E11760" s="94">
        <f>INDEX(매칭테이블!C:D,MATCH(RD!G11760,매칭테이블!D:D,0),1)</f>
        <v/>
      </c>
      <c r="F11760" s="94" t="inlineStr">
        <is>
          <t>카페24</t>
        </is>
      </c>
      <c r="G11760" s="94" t="inlineStr">
        <is>
          <t>어성초 77 클리어 패드옵션=어성초77토너1개+어성초77패드1개-30% off (무료배송)</t>
        </is>
      </c>
      <c r="K11760" s="94" t="n">
        <v>1</v>
      </c>
      <c r="L11760" s="94" t="n">
        <v>201208</v>
      </c>
      <c r="M11760" s="94">
        <f>VLOOKUP($Q11760,매칭테이블!$F:$I,2,0)*K11760</f>
        <v/>
      </c>
      <c r="N11760" s="94">
        <f>M11760-M11760*VLOOKUP($Q11760,매칭테이블!$F:$I,3,0)</f>
        <v/>
      </c>
      <c r="O11760" s="94">
        <f>VLOOKUP($Q11760,매칭테이블!$F:$I,4,0)*K11760</f>
        <v/>
      </c>
      <c r="P11760" s="148">
        <f>M11760/1.1</f>
        <v/>
      </c>
      <c r="Q11760" s="94">
        <f>F11760&amp;E11760&amp;G11760&amp;L11760</f>
        <v/>
      </c>
    </row>
    <row r="11761">
      <c r="B11761" s="128" t="n">
        <v>44171</v>
      </c>
      <c r="C11761" s="94">
        <f>TEXT(B11761,"aaa")</f>
        <v/>
      </c>
      <c r="E11761" s="94">
        <f>INDEX(매칭테이블!C:D,MATCH(RD!G11761,매칭테이블!D:D,0),1)</f>
        <v/>
      </c>
      <c r="F11761" s="94" t="inlineStr">
        <is>
          <t>카페24</t>
        </is>
      </c>
      <c r="G11761" s="94" t="inlineStr">
        <is>
          <t>어성초 77 토너</t>
        </is>
      </c>
      <c r="K11761" s="94" t="n">
        <v>3</v>
      </c>
      <c r="L11761" s="94" t="n">
        <v>201208</v>
      </c>
      <c r="M11761" s="94">
        <f>VLOOKUP($Q11761,매칭테이블!$F:$I,2,0)*K11761</f>
        <v/>
      </c>
      <c r="N11761" s="94">
        <f>M11761-M11761*VLOOKUP($Q11761,매칭테이블!$F:$I,3,0)</f>
        <v/>
      </c>
      <c r="O11761" s="94">
        <f>VLOOKUP($Q11761,매칭테이블!$F:$I,4,0)*K11761</f>
        <v/>
      </c>
      <c r="P11761" s="148">
        <f>M11761/1.1</f>
        <v/>
      </c>
      <c r="Q11761" s="94">
        <f>F11761&amp;E11761&amp;G11761&amp;L11761</f>
        <v/>
      </c>
    </row>
    <row r="11762">
      <c r="B11762" s="128" t="n">
        <v>44171</v>
      </c>
      <c r="C11762" s="94">
        <f>TEXT(B11762,"aaa")</f>
        <v/>
      </c>
      <c r="E11762" s="94">
        <f>INDEX(매칭테이블!C:D,MATCH(RD!G11762,매칭테이블!D:D,0),1)</f>
        <v/>
      </c>
      <c r="F11762" s="94" t="inlineStr">
        <is>
          <t>카페24</t>
        </is>
      </c>
      <c r="G11762" s="94" t="inlineStr">
        <is>
          <t>어성초 78 수딩 크림</t>
        </is>
      </c>
      <c r="K11762" s="94" t="n">
        <v>8</v>
      </c>
      <c r="L11762" s="94" t="n">
        <v>201208</v>
      </c>
      <c r="M11762" s="94">
        <f>VLOOKUP($Q11762,매칭테이블!$F:$I,2,0)*K11762</f>
        <v/>
      </c>
      <c r="N11762" s="94">
        <f>M11762-M11762*VLOOKUP($Q11762,매칭테이블!$F:$I,3,0)</f>
        <v/>
      </c>
      <c r="O11762" s="94">
        <f>VLOOKUP($Q11762,매칭테이블!$F:$I,4,0)*K11762</f>
        <v/>
      </c>
      <c r="P11762" s="148">
        <f>M11762/1.1</f>
        <v/>
      </c>
      <c r="Q11762" s="94">
        <f>F11762&amp;E11762&amp;G11762&amp;L11762</f>
        <v/>
      </c>
    </row>
    <row r="11763">
      <c r="B11763" s="128" t="n">
        <v>44171</v>
      </c>
      <c r="C11763" s="94">
        <f>TEXT(B11763,"aaa")</f>
        <v/>
      </c>
      <c r="E11763" s="94">
        <f>INDEX(매칭테이블!C:D,MATCH(RD!G11763,매칭테이블!D:D,0),1)</f>
        <v/>
      </c>
      <c r="F11763" s="94" t="inlineStr">
        <is>
          <t>카페24</t>
        </is>
      </c>
      <c r="G11763" s="94" t="inlineStr">
        <is>
          <t>어성초 78 수딩 크림</t>
        </is>
      </c>
      <c r="K11763" s="94" t="n">
        <v>4</v>
      </c>
      <c r="L11763" s="94" t="n">
        <v>201208</v>
      </c>
      <c r="M11763" s="94">
        <f>VLOOKUP($Q11763,매칭테이블!$F:$I,2,0)*K11763</f>
        <v/>
      </c>
      <c r="N11763" s="94">
        <f>M11763-M11763*VLOOKUP($Q11763,매칭테이블!$F:$I,3,0)</f>
        <v/>
      </c>
      <c r="O11763" s="94">
        <f>VLOOKUP($Q11763,매칭테이블!$F:$I,4,0)*K11763</f>
        <v/>
      </c>
      <c r="P11763" s="148">
        <f>M11763/1.1</f>
        <v/>
      </c>
      <c r="Q11763" s="94">
        <f>F11763&amp;E11763&amp;G11763&amp;L11763</f>
        <v/>
      </c>
    </row>
    <row r="11764">
      <c r="B11764" s="128" t="n">
        <v>44171</v>
      </c>
      <c r="C11764" s="94">
        <f>TEXT(B11764,"aaa")</f>
        <v/>
      </c>
      <c r="E11764" s="94">
        <f>INDEX(매칭테이블!C:D,MATCH(RD!G11764,매칭테이블!D:D,0),1)</f>
        <v/>
      </c>
      <c r="F11764" s="94" t="inlineStr">
        <is>
          <t>카페24</t>
        </is>
      </c>
      <c r="G11764" s="94" t="inlineStr">
        <is>
          <t>어성초 80 수분 진정 앰플앰플=어성초 80 앰플 1개-15%off</t>
        </is>
      </c>
      <c r="K11764" s="94" t="n">
        <v>20</v>
      </c>
      <c r="L11764" s="94" t="n">
        <v>201208</v>
      </c>
      <c r="M11764" s="94">
        <f>VLOOKUP($Q11764,매칭테이블!$F:$I,2,0)*K11764</f>
        <v/>
      </c>
      <c r="N11764" s="94">
        <f>M11764-M11764*VLOOKUP($Q11764,매칭테이블!$F:$I,3,0)</f>
        <v/>
      </c>
      <c r="O11764" s="94">
        <f>VLOOKUP($Q11764,매칭테이블!$F:$I,4,0)*K11764</f>
        <v/>
      </c>
      <c r="P11764" s="148">
        <f>M11764/1.1</f>
        <v/>
      </c>
      <c r="Q11764" s="94">
        <f>F11764&amp;E11764&amp;G11764&amp;L11764</f>
        <v/>
      </c>
    </row>
    <row r="11765">
      <c r="B11765" s="128" t="n">
        <v>44171</v>
      </c>
      <c r="C11765" s="94">
        <f>TEXT(B11765,"aaa")</f>
        <v/>
      </c>
      <c r="E11765" s="94">
        <f>INDEX(매칭테이블!C:D,MATCH(RD!G11765,매칭테이블!D:D,0),1)</f>
        <v/>
      </c>
      <c r="F11765" s="94" t="inlineStr">
        <is>
          <t>카페24</t>
        </is>
      </c>
      <c r="G11765" s="94" t="inlineStr">
        <is>
          <t>어성초 80 수분 진정 앰플앰플=어성초 80 앰플 2개-27%off (무료배송)</t>
        </is>
      </c>
      <c r="K11765" s="94" t="n">
        <v>3</v>
      </c>
      <c r="L11765" s="94" t="n">
        <v>201208</v>
      </c>
      <c r="M11765" s="94">
        <f>VLOOKUP($Q11765,매칭테이블!$F:$I,2,0)*K11765</f>
        <v/>
      </c>
      <c r="N11765" s="94">
        <f>M11765-M11765*VLOOKUP($Q11765,매칭테이블!$F:$I,3,0)</f>
        <v/>
      </c>
      <c r="O11765" s="94">
        <f>VLOOKUP($Q11765,매칭테이블!$F:$I,4,0)*K11765</f>
        <v/>
      </c>
      <c r="P11765" s="148">
        <f>M11765/1.1</f>
        <v/>
      </c>
      <c r="Q11765" s="94">
        <f>F11765&amp;E11765&amp;G11765&amp;L11765</f>
        <v/>
      </c>
    </row>
    <row r="11766">
      <c r="B11766" s="128" t="n">
        <v>44171</v>
      </c>
      <c r="C11766" s="94">
        <f>TEXT(B11766,"aaa")</f>
        <v/>
      </c>
      <c r="E11766" s="94">
        <f>INDEX(매칭테이블!C:D,MATCH(RD!G11766,매칭테이블!D:D,0),1)</f>
        <v/>
      </c>
      <c r="F11766" s="94" t="inlineStr">
        <is>
          <t>카페24</t>
        </is>
      </c>
      <c r="G11766" s="94" t="inlineStr">
        <is>
          <t>어성초 80 수분 진정 앰플</t>
        </is>
      </c>
      <c r="K11766" s="94" t="n">
        <v>4</v>
      </c>
      <c r="L11766" s="94" t="n">
        <v>201208</v>
      </c>
      <c r="M11766" s="94">
        <f>VLOOKUP($Q11766,매칭테이블!$F:$I,2,0)*K11766</f>
        <v/>
      </c>
      <c r="N11766" s="94">
        <f>M11766-M11766*VLOOKUP($Q11766,매칭테이블!$F:$I,3,0)</f>
        <v/>
      </c>
      <c r="O11766" s="94">
        <f>VLOOKUP($Q11766,매칭테이블!$F:$I,4,0)*K11766</f>
        <v/>
      </c>
      <c r="P11766" s="148">
        <f>M11766/1.1</f>
        <v/>
      </c>
      <c r="Q11766" s="94">
        <f>F11766&amp;E11766&amp;G11766&amp;L11766</f>
        <v/>
      </c>
    </row>
    <row r="11767">
      <c r="B11767" s="128" t="n">
        <v>44171</v>
      </c>
      <c r="C11767" s="94">
        <f>TEXT(B11767,"aaa")</f>
        <v/>
      </c>
      <c r="E11767" s="94">
        <f>INDEX(매칭테이블!C:D,MATCH(RD!G11767,매칭테이블!D:D,0),1)</f>
        <v/>
      </c>
      <c r="F11767" s="94" t="inlineStr">
        <is>
          <t>카페24</t>
        </is>
      </c>
      <c r="G11767" s="94" t="inlineStr">
        <is>
          <t>어성초 80 수분 진정 앰플옵션=어성초 80 앰플 1개 - 15%off</t>
        </is>
      </c>
      <c r="K11767" s="94" t="n">
        <v>1</v>
      </c>
      <c r="L11767" s="94" t="n">
        <v>201208</v>
      </c>
      <c r="M11767" s="94">
        <f>VLOOKUP($Q11767,매칭테이블!$F:$I,2,0)*K11767</f>
        <v/>
      </c>
      <c r="N11767" s="94">
        <f>M11767-M11767*VLOOKUP($Q11767,매칭테이블!$F:$I,3,0)</f>
        <v/>
      </c>
      <c r="O11767" s="94">
        <f>VLOOKUP($Q11767,매칭테이블!$F:$I,4,0)*K11767</f>
        <v/>
      </c>
      <c r="P11767" s="148">
        <f>M11767/1.1</f>
        <v/>
      </c>
      <c r="Q11767" s="94">
        <f>F11767&amp;E11767&amp;G11767&amp;L11767</f>
        <v/>
      </c>
    </row>
    <row r="11768">
      <c r="B11768" s="128" t="n">
        <v>44171</v>
      </c>
      <c r="C11768" s="94">
        <f>TEXT(B11768,"aaa")</f>
        <v/>
      </c>
      <c r="E11768" s="94">
        <f>INDEX(매칭테이블!C:D,MATCH(RD!G11768,매칭테이블!D:D,0),1)</f>
        <v/>
      </c>
      <c r="F11768" s="94" t="inlineStr">
        <is>
          <t>카페24</t>
        </is>
      </c>
      <c r="G11768" s="94" t="inlineStr">
        <is>
          <t>어성초 아크네 바디워시옵션=어성초 아크네 바디워시 1개 -30% off</t>
        </is>
      </c>
      <c r="K11768" s="94" t="n">
        <v>3</v>
      </c>
      <c r="L11768" s="94" t="n">
        <v>201208</v>
      </c>
      <c r="M11768" s="94">
        <f>VLOOKUP($Q11768,매칭테이블!$F:$I,2,0)*K11768</f>
        <v/>
      </c>
      <c r="N11768" s="94">
        <f>M11768-M11768*VLOOKUP($Q11768,매칭테이블!$F:$I,3,0)</f>
        <v/>
      </c>
      <c r="O11768" s="94">
        <f>VLOOKUP($Q11768,매칭테이블!$F:$I,4,0)*K11768</f>
        <v/>
      </c>
      <c r="P11768" s="148">
        <f>M11768/1.1</f>
        <v/>
      </c>
      <c r="Q11768" s="94">
        <f>F11768&amp;E11768&amp;G11768&amp;L11768</f>
        <v/>
      </c>
    </row>
    <row r="11769">
      <c r="B11769" s="128" t="n">
        <v>44171</v>
      </c>
      <c r="C11769" s="94">
        <f>TEXT(B11769,"aaa")</f>
        <v/>
      </c>
      <c r="E11769" s="94">
        <f>INDEX(매칭테이블!C:D,MATCH(RD!G11769,매칭테이블!D:D,0),1)</f>
        <v/>
      </c>
      <c r="F11769" s="94" t="inlineStr">
        <is>
          <t>카페24</t>
        </is>
      </c>
      <c r="G11769" s="94" t="inlineStr">
        <is>
          <t>어성초 아크네 바디워시옵션=어성초 아크네 바디워시 2개 -35% off (무료배송)</t>
        </is>
      </c>
      <c r="K11769" s="94" t="n">
        <v>2</v>
      </c>
      <c r="L11769" s="94" t="n">
        <v>201208</v>
      </c>
      <c r="M11769" s="94">
        <f>VLOOKUP($Q11769,매칭테이블!$F:$I,2,0)*K11769</f>
        <v/>
      </c>
      <c r="N11769" s="94">
        <f>M11769-M11769*VLOOKUP($Q11769,매칭테이블!$F:$I,3,0)</f>
        <v/>
      </c>
      <c r="O11769" s="94">
        <f>VLOOKUP($Q11769,매칭테이블!$F:$I,4,0)*K11769</f>
        <v/>
      </c>
      <c r="P11769" s="148">
        <f>M11769/1.1</f>
        <v/>
      </c>
      <c r="Q11769" s="94">
        <f>F11769&amp;E11769&amp;G11769&amp;L11769</f>
        <v/>
      </c>
    </row>
    <row r="11770">
      <c r="B11770" s="128" t="n">
        <v>44171</v>
      </c>
      <c r="C11770" s="94">
        <f>TEXT(B11770,"aaa")</f>
        <v/>
      </c>
      <c r="E11770" s="94">
        <f>INDEX(매칭테이블!C:D,MATCH(RD!G11770,매칭테이블!D:D,0),1)</f>
        <v/>
      </c>
      <c r="F11770" s="94" t="inlineStr">
        <is>
          <t>카페24</t>
        </is>
      </c>
      <c r="G11770" s="94" t="inlineStr">
        <is>
          <t>어성초 약산성 클렌징폼클렌징폼=어성초 약산성 클렌징폼 1개 -19%off</t>
        </is>
      </c>
      <c r="K11770" s="94" t="n">
        <v>14</v>
      </c>
      <c r="L11770" s="94" t="n">
        <v>201208</v>
      </c>
      <c r="M11770" s="94">
        <f>VLOOKUP($Q11770,매칭테이블!$F:$I,2,0)*K11770</f>
        <v/>
      </c>
      <c r="N11770" s="94">
        <f>M11770-M11770*VLOOKUP($Q11770,매칭테이블!$F:$I,3,0)</f>
        <v/>
      </c>
      <c r="O11770" s="94">
        <f>VLOOKUP($Q11770,매칭테이블!$F:$I,4,0)*K11770</f>
        <v/>
      </c>
      <c r="P11770" s="148">
        <f>M11770/1.1</f>
        <v/>
      </c>
      <c r="Q11770" s="94">
        <f>F11770&amp;E11770&amp;G11770&amp;L11770</f>
        <v/>
      </c>
    </row>
    <row r="11771">
      <c r="B11771" s="128" t="n">
        <v>44171</v>
      </c>
      <c r="C11771" s="94">
        <f>TEXT(B11771,"aaa")</f>
        <v/>
      </c>
      <c r="E11771" s="94">
        <f>INDEX(매칭테이블!C:D,MATCH(RD!G11771,매칭테이블!D:D,0),1)</f>
        <v/>
      </c>
      <c r="F11771" s="94" t="inlineStr">
        <is>
          <t>카페24</t>
        </is>
      </c>
      <c r="G11771" s="94" t="inlineStr">
        <is>
          <t>어성초 약산성 클렌징폼클렌징폼=어성초 약산성 클렌징폼 2개 -25%off</t>
        </is>
      </c>
      <c r="K11771" s="94" t="n">
        <v>1</v>
      </c>
      <c r="L11771" s="94" t="n">
        <v>201208</v>
      </c>
      <c r="M11771" s="94">
        <f>VLOOKUP($Q11771,매칭테이블!$F:$I,2,0)*K11771</f>
        <v/>
      </c>
      <c r="N11771" s="94">
        <f>M11771-M11771*VLOOKUP($Q11771,매칭테이블!$F:$I,3,0)</f>
        <v/>
      </c>
      <c r="O11771" s="94">
        <f>VLOOKUP($Q11771,매칭테이블!$F:$I,4,0)*K11771</f>
        <v/>
      </c>
      <c r="P11771" s="148">
        <f>M11771/1.1</f>
        <v/>
      </c>
      <c r="Q11771" s="94">
        <f>F11771&amp;E11771&amp;G11771&amp;L11771</f>
        <v/>
      </c>
    </row>
    <row r="11772">
      <c r="B11772" s="128" t="n">
        <v>44171</v>
      </c>
      <c r="C11772" s="94">
        <f>TEXT(B11772,"aaa")</f>
        <v/>
      </c>
      <c r="E11772" s="94">
        <f>INDEX(매칭테이블!C:D,MATCH(RD!G11772,매칭테이블!D:D,0),1)</f>
        <v/>
      </c>
      <c r="F11772" s="94" t="inlineStr">
        <is>
          <t>카페24</t>
        </is>
      </c>
      <c r="G11772" s="94" t="inlineStr">
        <is>
          <t>어성초 약산성 클렌징폼클렌징폼=어성초 약산성 클렌징폼 3개 -31%off (무료배송)</t>
        </is>
      </c>
      <c r="K11772" s="94" t="n">
        <v>1</v>
      </c>
      <c r="L11772" s="94" t="n">
        <v>201208</v>
      </c>
      <c r="M11772" s="94">
        <f>VLOOKUP($Q11772,매칭테이블!$F:$I,2,0)*K11772</f>
        <v/>
      </c>
      <c r="N11772" s="94">
        <f>M11772-M11772*VLOOKUP($Q11772,매칭테이블!$F:$I,3,0)</f>
        <v/>
      </c>
      <c r="O11772" s="94">
        <f>VLOOKUP($Q11772,매칭테이블!$F:$I,4,0)*K11772</f>
        <v/>
      </c>
      <c r="P11772" s="148">
        <f>M11772/1.1</f>
        <v/>
      </c>
      <c r="Q11772" s="94">
        <f>F11772&amp;E11772&amp;G11772&amp;L11772</f>
        <v/>
      </c>
    </row>
    <row r="11773">
      <c r="B11773" s="128" t="n">
        <v>44171</v>
      </c>
      <c r="C11773" s="94">
        <f>TEXT(B11773,"aaa")</f>
        <v/>
      </c>
      <c r="E11773" s="94">
        <f>INDEX(매칭테이블!C:D,MATCH(RD!G11773,매칭테이블!D:D,0),1)</f>
        <v/>
      </c>
      <c r="F11773" s="94" t="inlineStr">
        <is>
          <t>카페24</t>
        </is>
      </c>
      <c r="G11773" s="94" t="inlineStr">
        <is>
          <t>어성초 크림마스크 나이트 솔루션옵션=어성초 크림마스크 나이트 솔루션 1장</t>
        </is>
      </c>
      <c r="K11773" s="94" t="n">
        <v>1</v>
      </c>
      <c r="L11773" s="94" t="n">
        <v>201208</v>
      </c>
      <c r="M11773" s="94">
        <f>VLOOKUP($Q11773,매칭테이블!$F:$I,2,0)*K11773</f>
        <v/>
      </c>
      <c r="N11773" s="94">
        <f>M11773-M11773*VLOOKUP($Q11773,매칭테이블!$F:$I,3,0)</f>
        <v/>
      </c>
      <c r="O11773" s="94">
        <f>VLOOKUP($Q11773,매칭테이블!$F:$I,4,0)*K11773</f>
        <v/>
      </c>
      <c r="P11773" s="148">
        <f>M11773/1.1</f>
        <v/>
      </c>
      <c r="Q11773" s="94">
        <f>F11773&amp;E11773&amp;G11773&amp;L11773</f>
        <v/>
      </c>
    </row>
    <row r="11774">
      <c r="B11774" s="128" t="n">
        <v>44171</v>
      </c>
      <c r="C11774" s="94">
        <f>TEXT(B11774,"aaa")</f>
        <v/>
      </c>
      <c r="E11774" s="94">
        <f>INDEX(매칭테이블!C:D,MATCH(RD!G11774,매칭테이블!D:D,0),1)</f>
        <v/>
      </c>
      <c r="F11774" s="94" t="inlineStr">
        <is>
          <t>카페24</t>
        </is>
      </c>
      <c r="G11774" s="94" t="inlineStr">
        <is>
          <t>어성초 크림마스크 나이트 솔루션옵션=어성초 크림마스크 나이트 솔루션 10장 (-50%)</t>
        </is>
      </c>
      <c r="K11774" s="94" t="n">
        <v>2</v>
      </c>
      <c r="L11774" s="94" t="n">
        <v>201208</v>
      </c>
      <c r="M11774" s="94">
        <f>VLOOKUP($Q11774,매칭테이블!$F:$I,2,0)*K11774</f>
        <v/>
      </c>
      <c r="N11774" s="94">
        <f>M11774-M11774*VLOOKUP($Q11774,매칭테이블!$F:$I,3,0)</f>
        <v/>
      </c>
      <c r="O11774" s="94">
        <f>VLOOKUP($Q11774,매칭테이블!$F:$I,4,0)*K11774</f>
        <v/>
      </c>
      <c r="P11774" s="148">
        <f>M11774/1.1</f>
        <v/>
      </c>
      <c r="Q11774" s="94">
        <f>F11774&amp;E11774&amp;G11774&amp;L11774</f>
        <v/>
      </c>
    </row>
    <row r="11775">
      <c r="B11775" s="128" t="n">
        <v>44171</v>
      </c>
      <c r="C11775" s="94">
        <f>TEXT(B11775,"aaa")</f>
        <v/>
      </c>
      <c r="E11775" s="94">
        <f>INDEX(매칭테이블!C:D,MATCH(RD!G11775,매칭테이블!D:D,0),1)</f>
        <v/>
      </c>
      <c r="F11775" s="94" t="inlineStr">
        <is>
          <t>카페24</t>
        </is>
      </c>
      <c r="G11775" s="94" t="inlineStr">
        <is>
          <t>촉촉 스킨팩 화장솜</t>
        </is>
      </c>
      <c r="K11775" s="94" t="n">
        <v>36</v>
      </c>
      <c r="L11775" s="94" t="n">
        <v>201208</v>
      </c>
      <c r="M11775" s="94">
        <f>VLOOKUP($Q11775,매칭테이블!$F:$I,2,0)*K11775</f>
        <v/>
      </c>
      <c r="N11775" s="94">
        <f>M11775-M11775*VLOOKUP($Q11775,매칭테이블!$F:$I,3,0)</f>
        <v/>
      </c>
      <c r="O11775" s="94">
        <f>VLOOKUP($Q11775,매칭테이블!$F:$I,4,0)*K11775</f>
        <v/>
      </c>
      <c r="P11775" s="148">
        <f>M11775/1.1</f>
        <v/>
      </c>
      <c r="Q11775" s="94">
        <f>F11775&amp;E11775&amp;G11775&amp;L11775</f>
        <v/>
      </c>
    </row>
    <row r="11776">
      <c r="B11776" s="128" t="n">
        <v>44171</v>
      </c>
      <c r="C11776" s="94">
        <f>TEXT(B11776,"aaa")</f>
        <v/>
      </c>
      <c r="E11776" s="94">
        <f>INDEX(매칭테이블!C:D,MATCH(RD!G11776,매칭테이블!D:D,0),1)</f>
        <v/>
      </c>
      <c r="F11776" s="94" t="inlineStr">
        <is>
          <t>화해</t>
        </is>
      </c>
      <c r="G11776" s="94" t="inlineStr">
        <is>
          <t>어성초 70 데일리 릴리프 로션 200ml어성초 70 데일리 릴리프 로션 200ml</t>
        </is>
      </c>
      <c r="K11776" s="94" t="n">
        <v>1</v>
      </c>
      <c r="L11776" s="94" t="n">
        <v>201208</v>
      </c>
      <c r="M11776" s="94">
        <f>VLOOKUP($Q11776,매칭테이블!$F:$I,2,0)*K11776</f>
        <v/>
      </c>
      <c r="N11776" s="94">
        <f>M11776-M11776*VLOOKUP($Q11776,매칭테이블!$F:$I,3,0)</f>
        <v/>
      </c>
      <c r="O11776" s="94">
        <f>VLOOKUP($Q11776,매칭테이블!$F:$I,4,0)*K11776</f>
        <v/>
      </c>
      <c r="P11776" s="148">
        <f>M11776/1.1</f>
        <v/>
      </c>
      <c r="Q11776" s="94">
        <f>F11776&amp;E11776&amp;G11776&amp;L11776</f>
        <v/>
      </c>
    </row>
    <row r="11777">
      <c r="B11777" s="128" t="n">
        <v>44171</v>
      </c>
      <c r="C11777" s="94">
        <f>TEXT(B11777,"aaa")</f>
        <v/>
      </c>
      <c r="E11777" s="94">
        <f>INDEX(매칭테이블!C:D,MATCH(RD!G11777,매칭테이블!D:D,0),1)</f>
        <v/>
      </c>
      <c r="F11777" s="94" t="inlineStr">
        <is>
          <t>화해</t>
        </is>
      </c>
      <c r="G11777" s="94" t="inlineStr">
        <is>
          <t>어성초 77 토너 250ml어성초 77 토너 250ml</t>
        </is>
      </c>
      <c r="K11777" s="94" t="n">
        <v>5</v>
      </c>
      <c r="L11777" s="94" t="n">
        <v>201208</v>
      </c>
      <c r="M11777" s="94">
        <f>VLOOKUP($Q11777,매칭테이블!$F:$I,2,0)*K11777</f>
        <v/>
      </c>
      <c r="N11777" s="94">
        <f>M11777-M11777*VLOOKUP($Q11777,매칭테이블!$F:$I,3,0)</f>
        <v/>
      </c>
      <c r="O11777" s="94">
        <f>VLOOKUP($Q11777,매칭테이블!$F:$I,4,0)*K11777</f>
        <v/>
      </c>
      <c r="P11777" s="148">
        <f>M11777/1.1</f>
        <v/>
      </c>
      <c r="Q11777" s="94">
        <f>F11777&amp;E11777&amp;G11777&amp;L11777</f>
        <v/>
      </c>
    </row>
    <row r="11778" customFormat="1" s="94">
      <c r="B11778" s="128" t="n">
        <v>44172</v>
      </c>
      <c r="C11778" s="94">
        <f>TEXT(B11778,"aaa")</f>
        <v/>
      </c>
      <c r="E11778" s="94">
        <f>INDEX(매칭테이블!C:D,MATCH(RD!G11778,매칭테이블!D:D,0),1)</f>
        <v/>
      </c>
      <c r="F11778" s="94" t="inlineStr">
        <is>
          <t>W컨셉</t>
        </is>
      </c>
      <c r="G11778" s="94" t="inlineStr">
        <is>
          <t>어성초 77토너 (2 SET) HEARTLEAF 77% SOOTHING TONER 250ml250ml 2set</t>
        </is>
      </c>
      <c r="K11778" s="94" t="n">
        <v>8</v>
      </c>
      <c r="L11778" s="94" t="n">
        <v>201208</v>
      </c>
      <c r="M11778" s="94">
        <f>VLOOKUP($Q11778,매칭테이블!$F:$I,2,0)*K11778</f>
        <v/>
      </c>
      <c r="N11778" s="94">
        <f>M11778-M11778*VLOOKUP($Q11778,매칭테이블!$F:$I,3,0)</f>
        <v/>
      </c>
      <c r="O11778" s="94">
        <f>VLOOKUP($Q11778,매칭테이블!$F:$I,4,0)*K11778</f>
        <v/>
      </c>
      <c r="P11778" s="148">
        <f>M11778/1.1</f>
        <v/>
      </c>
      <c r="Q11778" s="94">
        <f>F11778&amp;E11778&amp;G11778&amp;L11778</f>
        <v/>
      </c>
    </row>
    <row r="11779" customFormat="1" s="94">
      <c r="B11779" s="128" t="n">
        <v>44172</v>
      </c>
      <c r="C11779" s="94">
        <f>TEXT(B11779,"aaa")</f>
        <v/>
      </c>
      <c r="E11779" s="94">
        <f>INDEX(매칭테이블!C:D,MATCH(RD!G11779,매칭테이블!D:D,0),1)</f>
        <v/>
      </c>
      <c r="F11779" s="94" t="inlineStr">
        <is>
          <t>W컨셉</t>
        </is>
      </c>
      <c r="G11779" s="94" t="inlineStr">
        <is>
          <t>어성초 77토너 HEARTLEAF 77% SOOTHING TONER 250ml250ml</t>
        </is>
      </c>
      <c r="K11779" s="94" t="n">
        <v>3</v>
      </c>
      <c r="L11779" s="94" t="n">
        <v>201208</v>
      </c>
      <c r="M11779" s="94">
        <f>VLOOKUP($Q11779,매칭테이블!$F:$I,2,0)*K11779</f>
        <v/>
      </c>
      <c r="N11779" s="94">
        <f>M11779-M11779*VLOOKUP($Q11779,매칭테이블!$F:$I,3,0)</f>
        <v/>
      </c>
      <c r="O11779" s="94">
        <f>VLOOKUP($Q11779,매칭테이블!$F:$I,4,0)*K11779</f>
        <v/>
      </c>
      <c r="P11779" s="148">
        <f>M11779/1.1</f>
        <v/>
      </c>
      <c r="Q11779" s="94">
        <f>F11779&amp;E11779&amp;G11779&amp;L11779</f>
        <v/>
      </c>
    </row>
    <row r="11780" customFormat="1" s="94">
      <c r="B11780" s="128" t="n">
        <v>44172</v>
      </c>
      <c r="C11780" s="94">
        <f>TEXT(B11780,"aaa")</f>
        <v/>
      </c>
      <c r="E11780" s="94">
        <f>INDEX(매칭테이블!C:D,MATCH(RD!G11780,매칭테이블!D:D,0),1)</f>
        <v/>
      </c>
      <c r="F11780" s="94" t="inlineStr">
        <is>
          <t>글로우데이즈 시코르</t>
        </is>
      </c>
      <c r="G11780" s="94" t="inlineStr">
        <is>
          <t>5제로 무기자차 선크림 50ml</t>
        </is>
      </c>
      <c r="K11780" s="94" t="n">
        <v>10</v>
      </c>
      <c r="L11780" s="94" t="n">
        <v>201208</v>
      </c>
      <c r="M11780" s="94">
        <f>VLOOKUP($Q11780,매칭테이블!$F:$I,2,0)*K11780</f>
        <v/>
      </c>
      <c r="N11780" s="94">
        <f>M11780-M11780*VLOOKUP($Q11780,매칭테이블!$F:$I,3,0)</f>
        <v/>
      </c>
      <c r="O11780" s="94">
        <f>VLOOKUP($Q11780,매칭테이블!$F:$I,4,0)*K11780</f>
        <v/>
      </c>
      <c r="P11780" s="148">
        <f>M11780/1.1</f>
        <v/>
      </c>
      <c r="Q11780" s="94">
        <f>F11780&amp;E11780&amp;G11780&amp;L11780</f>
        <v/>
      </c>
    </row>
    <row r="11781" customFormat="1" s="94">
      <c r="B11781" s="128" t="n">
        <v>44172</v>
      </c>
      <c r="C11781" s="94">
        <f>TEXT(B11781,"aaa")</f>
        <v/>
      </c>
      <c r="E11781" s="94">
        <f>INDEX(매칭테이블!C:D,MATCH(RD!G11781,매칭테이블!D:D,0),1)</f>
        <v/>
      </c>
      <c r="F11781" s="94" t="inlineStr">
        <is>
          <t>스타일쉐어</t>
        </is>
      </c>
      <c r="G11781" s="94" t="inlineStr">
        <is>
          <t>아누아 어성초 77 토너 250ml</t>
        </is>
      </c>
      <c r="K11781" s="94" t="n">
        <v>4</v>
      </c>
      <c r="L11781" s="94" t="n">
        <v>201208</v>
      </c>
      <c r="M11781" s="94">
        <f>VLOOKUP($Q11781,매칭테이블!$F:$I,2,0)*K11781</f>
        <v/>
      </c>
      <c r="N11781" s="94">
        <f>M11781-M11781*VLOOKUP($Q11781,매칭테이블!$F:$I,3,0)</f>
        <v/>
      </c>
      <c r="O11781" s="94">
        <f>VLOOKUP($Q11781,매칭테이블!$F:$I,4,0)*K11781</f>
        <v/>
      </c>
      <c r="P11781" s="148">
        <f>M11781/1.1</f>
        <v/>
      </c>
      <c r="Q11781" s="94">
        <f>F11781&amp;E11781&amp;G11781&amp;L11781</f>
        <v/>
      </c>
    </row>
    <row r="11782" customFormat="1" s="94">
      <c r="B11782" s="128" t="n">
        <v>44172</v>
      </c>
      <c r="C11782" s="94">
        <f>TEXT(B11782,"aaa")</f>
        <v/>
      </c>
      <c r="E11782" s="94">
        <f>INDEX(매칭테이블!C:D,MATCH(RD!G11782,매칭테이블!D:D,0),1)</f>
        <v/>
      </c>
      <c r="F11782" s="94" t="inlineStr">
        <is>
          <t>아누아 CS</t>
        </is>
      </c>
      <c r="G11782" s="94" t="inlineStr">
        <is>
          <t>어성초 70 인텐스 카밍 크림 50ml</t>
        </is>
      </c>
      <c r="K11782" s="94" t="n">
        <v>2</v>
      </c>
      <c r="L11782" s="94" t="n">
        <v>201208</v>
      </c>
      <c r="M11782" s="94">
        <f>VLOOKUP($Q11782,매칭테이블!$F:$I,2,0)*K11782</f>
        <v/>
      </c>
      <c r="N11782" s="94">
        <f>M11782-M11782*VLOOKUP($Q11782,매칭테이블!$F:$I,3,0)</f>
        <v/>
      </c>
      <c r="O11782" s="94">
        <f>VLOOKUP($Q11782,매칭테이블!$F:$I,4,0)*K11782</f>
        <v/>
      </c>
      <c r="P11782" s="148">
        <f>M11782/1.1</f>
        <v/>
      </c>
      <c r="Q11782" s="94">
        <f>F11782&amp;E11782&amp;G11782&amp;L11782</f>
        <v/>
      </c>
    </row>
    <row r="11783" customFormat="1" s="94">
      <c r="B11783" s="128" t="n">
        <v>44172</v>
      </c>
      <c r="C11783" s="94">
        <f>TEXT(B11783,"aaa")</f>
        <v/>
      </c>
      <c r="E11783" s="94">
        <f>INDEX(매칭테이블!C:D,MATCH(RD!G11783,매칭테이블!D:D,0),1)</f>
        <v/>
      </c>
      <c r="F11783" s="94" t="inlineStr">
        <is>
          <t>아누아 CS</t>
        </is>
      </c>
      <c r="G11783" s="94" t="inlineStr">
        <is>
          <t>어성초 77 토너 250ml</t>
        </is>
      </c>
      <c r="K11783" s="94" t="n">
        <v>10</v>
      </c>
      <c r="L11783" s="94" t="n">
        <v>201208</v>
      </c>
      <c r="M11783" s="94">
        <f>VLOOKUP($Q11783,매칭테이블!$F:$I,2,0)*K11783</f>
        <v/>
      </c>
      <c r="N11783" s="94">
        <f>M11783-M11783*VLOOKUP($Q11783,매칭테이블!$F:$I,3,0)</f>
        <v/>
      </c>
      <c r="O11783" s="94">
        <f>VLOOKUP($Q11783,매칭테이블!$F:$I,4,0)*K11783</f>
        <v/>
      </c>
      <c r="P11783" s="148">
        <f>M11783/1.1</f>
        <v/>
      </c>
      <c r="Q11783" s="94">
        <f>F11783&amp;E11783&amp;G11783&amp;L11783</f>
        <v/>
      </c>
    </row>
    <row r="11784" customFormat="1" s="94">
      <c r="B11784" s="128" t="n">
        <v>44172</v>
      </c>
      <c r="C11784" s="94">
        <f>TEXT(B11784,"aaa")</f>
        <v/>
      </c>
      <c r="E11784" s="94">
        <f>INDEX(매칭테이블!C:D,MATCH(RD!G11784,매칭테이블!D:D,0),1)</f>
        <v/>
      </c>
      <c r="F11784" s="94" t="inlineStr">
        <is>
          <t>카페24</t>
        </is>
      </c>
      <c r="G11784" s="94" t="inlineStr">
        <is>
          <t>5 제로 무기자차 선크림옵션=5제로 무기자차 선크림 1개-20% off</t>
        </is>
      </c>
      <c r="K11784" s="94" t="n">
        <v>6</v>
      </c>
      <c r="L11784" s="94" t="n">
        <v>201208</v>
      </c>
      <c r="M11784" s="94">
        <f>VLOOKUP($Q11784,매칭테이블!$F:$I,2,0)*K11784</f>
        <v/>
      </c>
      <c r="N11784" s="94">
        <f>M11784-M11784*VLOOKUP($Q11784,매칭테이블!$F:$I,3,0)</f>
        <v/>
      </c>
      <c r="O11784" s="94">
        <f>VLOOKUP($Q11784,매칭테이블!$F:$I,4,0)*K11784</f>
        <v/>
      </c>
      <c r="P11784" s="148">
        <f>M11784/1.1</f>
        <v/>
      </c>
      <c r="Q11784" s="94">
        <f>F11784&amp;E11784&amp;G11784&amp;L11784</f>
        <v/>
      </c>
    </row>
    <row r="11785" customFormat="1" s="94">
      <c r="B11785" s="128" t="n">
        <v>44172</v>
      </c>
      <c r="C11785" s="94">
        <f>TEXT(B11785,"aaa")</f>
        <v/>
      </c>
      <c r="E11785" s="94">
        <f>INDEX(매칭테이블!C:D,MATCH(RD!G11785,매칭테이블!D:D,0),1)</f>
        <v/>
      </c>
      <c r="F11785" s="94" t="inlineStr">
        <is>
          <t>카페24</t>
        </is>
      </c>
      <c r="G11785" s="94" t="inlineStr">
        <is>
          <t>[수분 보충 세트] 어성초 77 토너 + 어성초 70 로션옵션=어성초 77 토너 250ml + 어성초 70 로션 200ml -30%</t>
        </is>
      </c>
      <c r="K11785" s="94" t="n">
        <v>37</v>
      </c>
      <c r="L11785" s="94" t="n">
        <v>201208</v>
      </c>
      <c r="M11785" s="94">
        <f>VLOOKUP($Q11785,매칭테이블!$F:$I,2,0)*K11785</f>
        <v/>
      </c>
      <c r="N11785" s="94">
        <f>M11785-M11785*VLOOKUP($Q11785,매칭테이블!$F:$I,3,0)</f>
        <v/>
      </c>
      <c r="O11785" s="94">
        <f>VLOOKUP($Q11785,매칭테이블!$F:$I,4,0)*K11785</f>
        <v/>
      </c>
      <c r="P11785" s="148">
        <f>M11785/1.1</f>
        <v/>
      </c>
      <c r="Q11785" s="94">
        <f>F11785&amp;E11785&amp;G11785&amp;L11785</f>
        <v/>
      </c>
    </row>
    <row r="11786" customFormat="1" s="94">
      <c r="B11786" s="128" t="n">
        <v>44172</v>
      </c>
      <c r="C11786" s="94">
        <f>TEXT(B11786,"aaa")</f>
        <v/>
      </c>
      <c r="E11786" s="94">
        <f>INDEX(매칭테이블!C:D,MATCH(RD!G11786,매칭테이블!D:D,0),1)</f>
        <v/>
      </c>
      <c r="F11786" s="94" t="inlineStr">
        <is>
          <t>카페24</t>
        </is>
      </c>
      <c r="G11786" s="94" t="inlineStr">
        <is>
          <t>[어성초 진정 패키지 세트] 대용량 토너 + 앰플 + 수딩 크림 + 마스크팩 10장</t>
        </is>
      </c>
      <c r="K11786" s="94" t="n">
        <v>7</v>
      </c>
      <c r="L11786" s="94" t="n">
        <v>201208</v>
      </c>
      <c r="M11786" s="94">
        <f>VLOOKUP($Q11786,매칭테이블!$F:$I,2,0)*K11786</f>
        <v/>
      </c>
      <c r="N11786" s="94">
        <f>M11786-M11786*VLOOKUP($Q11786,매칭테이블!$F:$I,3,0)</f>
        <v/>
      </c>
      <c r="O11786" s="94">
        <f>VLOOKUP($Q11786,매칭테이블!$F:$I,4,0)*K11786</f>
        <v/>
      </c>
      <c r="P11786" s="148">
        <f>M11786/1.1</f>
        <v/>
      </c>
      <c r="Q11786" s="94">
        <f>F11786&amp;E11786&amp;G11786&amp;L11786</f>
        <v/>
      </c>
    </row>
    <row r="11787" customFormat="1" s="94">
      <c r="B11787" s="128" t="n">
        <v>44172</v>
      </c>
      <c r="C11787" s="94">
        <f>TEXT(B11787,"aaa")</f>
        <v/>
      </c>
      <c r="E11787" s="94">
        <f>INDEX(매칭테이블!C:D,MATCH(RD!G11787,매칭테이블!D:D,0),1)</f>
        <v/>
      </c>
      <c r="F11787" s="94" t="inlineStr">
        <is>
          <t>카페24</t>
        </is>
      </c>
      <c r="G11787" s="94" t="inlineStr">
        <is>
          <t>대용량 어성초 77 수딩 토너 500ml</t>
        </is>
      </c>
      <c r="K11787" s="94" t="n">
        <v>68</v>
      </c>
      <c r="L11787" s="94" t="n">
        <v>201208</v>
      </c>
      <c r="M11787" s="94">
        <f>VLOOKUP($Q11787,매칭테이블!$F:$I,2,0)*K11787</f>
        <v/>
      </c>
      <c r="N11787" s="94">
        <f>M11787-M11787*VLOOKUP($Q11787,매칭테이블!$F:$I,3,0)</f>
        <v/>
      </c>
      <c r="O11787" s="94">
        <f>VLOOKUP($Q11787,매칭테이블!$F:$I,4,0)*K11787</f>
        <v/>
      </c>
      <c r="P11787" s="148">
        <f>M11787/1.1</f>
        <v/>
      </c>
      <c r="Q11787" s="94">
        <f>F11787&amp;E11787&amp;G11787&amp;L11787</f>
        <v/>
      </c>
    </row>
    <row r="11788" customFormat="1" s="94">
      <c r="B11788" s="128" t="n">
        <v>44172</v>
      </c>
      <c r="C11788" s="94">
        <f>TEXT(B11788,"aaa")</f>
        <v/>
      </c>
      <c r="E11788" s="94">
        <f>INDEX(매칭테이블!C:D,MATCH(RD!G11788,매칭테이블!D:D,0),1)</f>
        <v/>
      </c>
      <c r="F11788" s="94" t="inlineStr">
        <is>
          <t>카페24</t>
        </is>
      </c>
      <c r="G11788" s="94" t="inlineStr">
        <is>
          <t>대용량 어성초 77 토너 500ml</t>
        </is>
      </c>
      <c r="K11788" s="94" t="n">
        <v>4</v>
      </c>
      <c r="L11788" s="94" t="n">
        <v>201208</v>
      </c>
      <c r="M11788" s="94">
        <f>VLOOKUP($Q11788,매칭테이블!$F:$I,2,0)*K11788</f>
        <v/>
      </c>
      <c r="N11788" s="94">
        <f>M11788-M11788*VLOOKUP($Q11788,매칭테이블!$F:$I,3,0)</f>
        <v/>
      </c>
      <c r="O11788" s="94">
        <f>VLOOKUP($Q11788,매칭테이블!$F:$I,4,0)*K11788</f>
        <v/>
      </c>
      <c r="P11788" s="148">
        <f>M11788/1.1</f>
        <v/>
      </c>
      <c r="Q11788" s="94">
        <f>F11788&amp;E11788&amp;G11788&amp;L11788</f>
        <v/>
      </c>
    </row>
    <row r="11789" customFormat="1" s="94">
      <c r="B11789" s="128" t="n">
        <v>44172</v>
      </c>
      <c r="C11789" s="94">
        <f>TEXT(B11789,"aaa")</f>
        <v/>
      </c>
      <c r="E11789" s="94">
        <f>INDEX(매칭테이블!C:D,MATCH(RD!G11789,매칭테이블!D:D,0),1)</f>
        <v/>
      </c>
      <c r="F11789" s="94" t="inlineStr">
        <is>
          <t>카페24</t>
        </is>
      </c>
      <c r="G11789" s="94" t="inlineStr">
        <is>
          <t>어성초 70 데일리 릴리프 로션로션=어성초 70 데일리 릴리프 로션 1개 -20% off</t>
        </is>
      </c>
      <c r="K11789" s="94" t="n">
        <v>11</v>
      </c>
      <c r="L11789" s="94" t="n">
        <v>201208</v>
      </c>
      <c r="M11789" s="94">
        <f>VLOOKUP($Q11789,매칭테이블!$F:$I,2,0)*K11789</f>
        <v/>
      </c>
      <c r="N11789" s="94">
        <f>M11789-M11789*VLOOKUP($Q11789,매칭테이블!$F:$I,3,0)</f>
        <v/>
      </c>
      <c r="O11789" s="94">
        <f>VLOOKUP($Q11789,매칭테이블!$F:$I,4,0)*K11789</f>
        <v/>
      </c>
      <c r="P11789" s="148">
        <f>M11789/1.1</f>
        <v/>
      </c>
      <c r="Q11789" s="94">
        <f>F11789&amp;E11789&amp;G11789&amp;L11789</f>
        <v/>
      </c>
    </row>
    <row r="11790" customFormat="1" s="94">
      <c r="B11790" s="128" t="n">
        <v>44172</v>
      </c>
      <c r="C11790" s="94">
        <f>TEXT(B11790,"aaa")</f>
        <v/>
      </c>
      <c r="E11790" s="94">
        <f>INDEX(매칭테이블!C:D,MATCH(RD!G11790,매칭테이블!D:D,0),1)</f>
        <v/>
      </c>
      <c r="F11790" s="94" t="inlineStr">
        <is>
          <t>카페24</t>
        </is>
      </c>
      <c r="G11790" s="94" t="inlineStr">
        <is>
          <t>어성초 70 데일리 릴리프 로션로션=어성초 77토너 + 어성초 70 로션 수분 보충 세트 -30% off</t>
        </is>
      </c>
      <c r="K11790" s="94" t="n">
        <v>1</v>
      </c>
      <c r="L11790" s="94" t="n">
        <v>201208</v>
      </c>
      <c r="M11790" s="94">
        <f>VLOOKUP($Q11790,매칭테이블!$F:$I,2,0)*K11790</f>
        <v/>
      </c>
      <c r="N11790" s="94">
        <f>M11790-M11790*VLOOKUP($Q11790,매칭테이블!$F:$I,3,0)</f>
        <v/>
      </c>
      <c r="O11790" s="94">
        <f>VLOOKUP($Q11790,매칭테이블!$F:$I,4,0)*K11790</f>
        <v/>
      </c>
      <c r="P11790" s="148">
        <f>M11790/1.1</f>
        <v/>
      </c>
      <c r="Q11790" s="94">
        <f>F11790&amp;E11790&amp;G11790&amp;L11790</f>
        <v/>
      </c>
    </row>
    <row r="11791" customFormat="1" s="94">
      <c r="B11791" s="128" t="n">
        <v>44172</v>
      </c>
      <c r="C11791" s="94">
        <f>TEXT(B11791,"aaa")</f>
        <v/>
      </c>
      <c r="E11791" s="94">
        <f>INDEX(매칭테이블!C:D,MATCH(RD!G11791,매칭테이블!D:D,0),1)</f>
        <v/>
      </c>
      <c r="F11791" s="94" t="inlineStr">
        <is>
          <t>카페24</t>
        </is>
      </c>
      <c r="G11791" s="94" t="inlineStr">
        <is>
          <t>어성초 70 머드 크림 마스크옵션=어성초 70 머드 크림 마스크-20% off</t>
        </is>
      </c>
      <c r="K11791" s="94" t="n">
        <v>4</v>
      </c>
      <c r="L11791" s="94" t="n">
        <v>201208</v>
      </c>
      <c r="M11791" s="94">
        <f>VLOOKUP($Q11791,매칭테이블!$F:$I,2,0)*K11791</f>
        <v/>
      </c>
      <c r="N11791" s="94">
        <f>M11791-M11791*VLOOKUP($Q11791,매칭테이블!$F:$I,3,0)</f>
        <v/>
      </c>
      <c r="O11791" s="94">
        <f>VLOOKUP($Q11791,매칭테이블!$F:$I,4,0)*K11791</f>
        <v/>
      </c>
      <c r="P11791" s="148">
        <f>M11791/1.1</f>
        <v/>
      </c>
      <c r="Q11791" s="94">
        <f>F11791&amp;E11791&amp;G11791&amp;L11791</f>
        <v/>
      </c>
    </row>
    <row r="11792" customFormat="1" s="94">
      <c r="B11792" s="128" t="n">
        <v>44172</v>
      </c>
      <c r="C11792" s="94">
        <f>TEXT(B11792,"aaa")</f>
        <v/>
      </c>
      <c r="E11792" s="94">
        <f>INDEX(매칭테이블!C:D,MATCH(RD!G11792,매칭테이블!D:D,0),1)</f>
        <v/>
      </c>
      <c r="F11792" s="94" t="inlineStr">
        <is>
          <t>카페24</t>
        </is>
      </c>
      <c r="G11792" s="94" t="inlineStr">
        <is>
          <t>어성초 70 인텐스 카밍 크림크림=어성초 70 인텐스 카밍 크림 1개 (-20%)</t>
        </is>
      </c>
      <c r="K11792" s="94" t="n">
        <v>4</v>
      </c>
      <c r="L11792" s="94" t="n">
        <v>201208</v>
      </c>
      <c r="M11792" s="94">
        <f>VLOOKUP($Q11792,매칭테이블!$F:$I,2,0)*K11792</f>
        <v/>
      </c>
      <c r="N11792" s="94">
        <f>M11792-M11792*VLOOKUP($Q11792,매칭테이블!$F:$I,3,0)</f>
        <v/>
      </c>
      <c r="O11792" s="94">
        <f>VLOOKUP($Q11792,매칭테이블!$F:$I,4,0)*K11792</f>
        <v/>
      </c>
      <c r="P11792" s="148">
        <f>M11792/1.1</f>
        <v/>
      </c>
      <c r="Q11792" s="94">
        <f>F11792&amp;E11792&amp;G11792&amp;L11792</f>
        <v/>
      </c>
    </row>
    <row r="11793" customFormat="1" s="94">
      <c r="B11793" s="128" t="n">
        <v>44172</v>
      </c>
      <c r="C11793" s="94">
        <f>TEXT(B11793,"aaa")</f>
        <v/>
      </c>
      <c r="E11793" s="94">
        <f>INDEX(매칭테이블!C:D,MATCH(RD!G11793,매칭테이블!D:D,0),1)</f>
        <v/>
      </c>
      <c r="F11793" s="94" t="inlineStr">
        <is>
          <t>카페24</t>
        </is>
      </c>
      <c r="G11793" s="94" t="inlineStr">
        <is>
          <t>어성초 77 수딩 토너토너(필수)=어성초 77 토너 1개-20% off</t>
        </is>
      </c>
      <c r="K11793" s="94" t="n">
        <v>98</v>
      </c>
      <c r="L11793" s="94" t="n">
        <v>201208</v>
      </c>
      <c r="M11793" s="94">
        <f>VLOOKUP($Q11793,매칭테이블!$F:$I,2,0)*K11793</f>
        <v/>
      </c>
      <c r="N11793" s="94">
        <f>M11793-M11793*VLOOKUP($Q11793,매칭테이블!$F:$I,3,0)</f>
        <v/>
      </c>
      <c r="O11793" s="94">
        <f>VLOOKUP($Q11793,매칭테이블!$F:$I,4,0)*K11793</f>
        <v/>
      </c>
      <c r="P11793" s="148">
        <f>M11793/1.1</f>
        <v/>
      </c>
      <c r="Q11793" s="94">
        <f>F11793&amp;E11793&amp;G11793&amp;L11793</f>
        <v/>
      </c>
    </row>
    <row r="11794" customFormat="1" s="94">
      <c r="B11794" s="128" t="n">
        <v>44172</v>
      </c>
      <c r="C11794" s="94">
        <f>TEXT(B11794,"aaa")</f>
        <v/>
      </c>
      <c r="E11794" s="94">
        <f>INDEX(매칭테이블!C:D,MATCH(RD!G11794,매칭테이블!D:D,0),1)</f>
        <v/>
      </c>
      <c r="F11794" s="94" t="inlineStr">
        <is>
          <t>카페24</t>
        </is>
      </c>
      <c r="G11794" s="94" t="inlineStr">
        <is>
          <t>어성초 77 수딩 토너토너(필수)=어성초 77 토너 2개-30% off (무료배송)</t>
        </is>
      </c>
      <c r="K11794" s="94" t="n">
        <v>51</v>
      </c>
      <c r="L11794" s="94" t="n">
        <v>201208</v>
      </c>
      <c r="M11794" s="94">
        <f>VLOOKUP($Q11794,매칭테이블!$F:$I,2,0)*K11794</f>
        <v/>
      </c>
      <c r="N11794" s="94">
        <f>M11794-M11794*VLOOKUP($Q11794,매칭테이블!$F:$I,3,0)</f>
        <v/>
      </c>
      <c r="O11794" s="94">
        <f>VLOOKUP($Q11794,매칭테이블!$F:$I,4,0)*K11794</f>
        <v/>
      </c>
      <c r="P11794" s="148">
        <f>M11794/1.1</f>
        <v/>
      </c>
      <c r="Q11794" s="94">
        <f>F11794&amp;E11794&amp;G11794&amp;L11794</f>
        <v/>
      </c>
    </row>
    <row r="11795" customFormat="1" s="94">
      <c r="B11795" s="128" t="n">
        <v>44172</v>
      </c>
      <c r="C11795" s="94">
        <f>TEXT(B11795,"aaa")</f>
        <v/>
      </c>
      <c r="E11795" s="94">
        <f>INDEX(매칭테이블!C:D,MATCH(RD!G11795,매칭테이블!D:D,0),1)</f>
        <v/>
      </c>
      <c r="F11795" s="94" t="inlineStr">
        <is>
          <t>카페24</t>
        </is>
      </c>
      <c r="G11795" s="94" t="inlineStr">
        <is>
          <t>어성초 77 수딩 토너토너(필수)=어성초77토너1개 + 어성초77패드1개 -30% off (무료배송)</t>
        </is>
      </c>
      <c r="K11795" s="94" t="n">
        <v>17</v>
      </c>
      <c r="L11795" s="94" t="n">
        <v>201208</v>
      </c>
      <c r="M11795" s="94">
        <f>VLOOKUP($Q11795,매칭테이블!$F:$I,2,0)*K11795</f>
        <v/>
      </c>
      <c r="N11795" s="94">
        <f>M11795-M11795*VLOOKUP($Q11795,매칭테이블!$F:$I,3,0)</f>
        <v/>
      </c>
      <c r="O11795" s="94">
        <f>VLOOKUP($Q11795,매칭테이블!$F:$I,4,0)*K11795</f>
        <v/>
      </c>
      <c r="P11795" s="148">
        <f>M11795/1.1</f>
        <v/>
      </c>
      <c r="Q11795" s="94">
        <f>F11795&amp;E11795&amp;G11795&amp;L11795</f>
        <v/>
      </c>
    </row>
    <row r="11796" customFormat="1" s="94">
      <c r="B11796" s="128" t="n">
        <v>44172</v>
      </c>
      <c r="C11796" s="94">
        <f>TEXT(B11796,"aaa")</f>
        <v/>
      </c>
      <c r="E11796" s="94">
        <f>INDEX(매칭테이블!C:D,MATCH(RD!G11796,매칭테이블!D:D,0),1)</f>
        <v/>
      </c>
      <c r="F11796" s="94" t="inlineStr">
        <is>
          <t>카페24</t>
        </is>
      </c>
      <c r="G11796" s="94" t="inlineStr">
        <is>
          <t>어성초 77 수딩 토너화장솜(선택)=촉촉 스킨팩 화장솜</t>
        </is>
      </c>
      <c r="K11796" s="94" t="n">
        <v>46</v>
      </c>
      <c r="L11796" s="94" t="n">
        <v>201208</v>
      </c>
      <c r="M11796" s="94">
        <f>VLOOKUP($Q11796,매칭테이블!$F:$I,2,0)*K11796</f>
        <v/>
      </c>
      <c r="N11796" s="94">
        <f>M11796-M11796*VLOOKUP($Q11796,매칭테이블!$F:$I,3,0)</f>
        <v/>
      </c>
      <c r="O11796" s="94">
        <f>VLOOKUP($Q11796,매칭테이블!$F:$I,4,0)*K11796</f>
        <v/>
      </c>
      <c r="P11796" s="148">
        <f>M11796/1.1</f>
        <v/>
      </c>
      <c r="Q11796" s="94">
        <f>F11796&amp;E11796&amp;G11796&amp;L11796</f>
        <v/>
      </c>
    </row>
    <row r="11797" customFormat="1" s="94">
      <c r="B11797" s="128" t="n">
        <v>44172</v>
      </c>
      <c r="C11797" s="94">
        <f>TEXT(B11797,"aaa")</f>
        <v/>
      </c>
      <c r="E11797" s="94">
        <f>INDEX(매칭테이블!C:D,MATCH(RD!G11797,매칭테이블!D:D,0),1)</f>
        <v/>
      </c>
      <c r="F11797" s="94" t="inlineStr">
        <is>
          <t>카페24</t>
        </is>
      </c>
      <c r="G11797" s="94" t="inlineStr">
        <is>
          <t>어성초 77 수딩 토너토너(필수)=어성초 77 토너 1개-20% off</t>
        </is>
      </c>
      <c r="K11797" s="94" t="n">
        <v>1</v>
      </c>
      <c r="L11797" s="94" t="n">
        <v>201208</v>
      </c>
      <c r="M11797" s="94">
        <f>VLOOKUP($Q11797,매칭테이블!$F:$I,2,0)*K11797</f>
        <v/>
      </c>
      <c r="N11797" s="94">
        <f>M11797-M11797*VLOOKUP($Q11797,매칭테이블!$F:$I,3,0)</f>
        <v/>
      </c>
      <c r="O11797" s="94">
        <f>VLOOKUP($Q11797,매칭테이블!$F:$I,4,0)*K11797</f>
        <v/>
      </c>
      <c r="P11797" s="148">
        <f>M11797/1.1</f>
        <v/>
      </c>
      <c r="Q11797" s="94">
        <f>F11797&amp;E11797&amp;G11797&amp;L11797</f>
        <v/>
      </c>
    </row>
    <row r="11798" customFormat="1" s="94">
      <c r="B11798" s="128" t="n">
        <v>44172</v>
      </c>
      <c r="C11798" s="94">
        <f>TEXT(B11798,"aaa")</f>
        <v/>
      </c>
      <c r="E11798" s="94">
        <f>INDEX(매칭테이블!C:D,MATCH(RD!G11798,매칭테이블!D:D,0),1)</f>
        <v/>
      </c>
      <c r="F11798" s="94" t="inlineStr">
        <is>
          <t>카페24</t>
        </is>
      </c>
      <c r="G11798" s="94" t="inlineStr">
        <is>
          <t>어성초 77 수딩 토너토너(필수)=어성초 77 토너 2개-30% off (무료배송)</t>
        </is>
      </c>
      <c r="K11798" s="94" t="n">
        <v>2</v>
      </c>
      <c r="L11798" s="94" t="n">
        <v>201208</v>
      </c>
      <c r="M11798" s="94">
        <f>VLOOKUP($Q11798,매칭테이블!$F:$I,2,0)*K11798</f>
        <v/>
      </c>
      <c r="N11798" s="94">
        <f>M11798-M11798*VLOOKUP($Q11798,매칭테이블!$F:$I,3,0)</f>
        <v/>
      </c>
      <c r="O11798" s="94">
        <f>VLOOKUP($Q11798,매칭테이블!$F:$I,4,0)*K11798</f>
        <v/>
      </c>
      <c r="P11798" s="148">
        <f>M11798/1.1</f>
        <v/>
      </c>
      <c r="Q11798" s="94">
        <f>F11798&amp;E11798&amp;G11798&amp;L11798</f>
        <v/>
      </c>
    </row>
    <row r="11799" customFormat="1" s="94">
      <c r="B11799" s="128" t="n">
        <v>44172</v>
      </c>
      <c r="C11799" s="94">
        <f>TEXT(B11799,"aaa")</f>
        <v/>
      </c>
      <c r="E11799" s="94">
        <f>INDEX(매칭테이블!C:D,MATCH(RD!G11799,매칭테이블!D:D,0),1)</f>
        <v/>
      </c>
      <c r="F11799" s="94" t="inlineStr">
        <is>
          <t>카페24</t>
        </is>
      </c>
      <c r="G11799" s="94" t="inlineStr">
        <is>
          <t>어성초 77 수딩 토너토너(필수)=(대용량) 어성초 77 토너 500ml (무료배송)</t>
        </is>
      </c>
      <c r="K11799" s="94" t="n">
        <v>2</v>
      </c>
      <c r="L11799" s="94" t="n">
        <v>201208</v>
      </c>
      <c r="M11799" s="94">
        <f>VLOOKUP($Q11799,매칭테이블!$F:$I,2,0)*K11799</f>
        <v/>
      </c>
      <c r="N11799" s="94">
        <f>M11799-M11799*VLOOKUP($Q11799,매칭테이블!$F:$I,3,0)</f>
        <v/>
      </c>
      <c r="O11799" s="94">
        <f>VLOOKUP($Q11799,매칭테이블!$F:$I,4,0)*K11799</f>
        <v/>
      </c>
      <c r="P11799" s="148">
        <f>M11799/1.1</f>
        <v/>
      </c>
      <c r="Q11799" s="94">
        <f>F11799&amp;E11799&amp;G11799&amp;L11799</f>
        <v/>
      </c>
    </row>
    <row r="11800" customFormat="1" s="94">
      <c r="B11800" s="128" t="n">
        <v>44172</v>
      </c>
      <c r="C11800" s="94">
        <f>TEXT(B11800,"aaa")</f>
        <v/>
      </c>
      <c r="E11800" s="94">
        <f>INDEX(매칭테이블!C:D,MATCH(RD!G11800,매칭테이블!D:D,0),1)</f>
        <v/>
      </c>
      <c r="F11800" s="94" t="inlineStr">
        <is>
          <t>카페24</t>
        </is>
      </c>
      <c r="G11800" s="94" t="inlineStr">
        <is>
          <t>어성초 77 진정 마스크옵션=어성초 77 진정 마스크팩 10장-50% off</t>
        </is>
      </c>
      <c r="K11800" s="94" t="n">
        <v>11</v>
      </c>
      <c r="L11800" s="94" t="n">
        <v>201208</v>
      </c>
      <c r="M11800" s="94">
        <f>VLOOKUP($Q11800,매칭테이블!$F:$I,2,0)*K11800</f>
        <v/>
      </c>
      <c r="N11800" s="94">
        <f>M11800-M11800*VLOOKUP($Q11800,매칭테이블!$F:$I,3,0)</f>
        <v/>
      </c>
      <c r="O11800" s="94">
        <f>VLOOKUP($Q11800,매칭테이블!$F:$I,4,0)*K11800</f>
        <v/>
      </c>
      <c r="P11800" s="148">
        <f>M11800/1.1</f>
        <v/>
      </c>
      <c r="Q11800" s="94">
        <f>F11800&amp;E11800&amp;G11800&amp;L11800</f>
        <v/>
      </c>
    </row>
    <row r="11801" customFormat="1" s="94">
      <c r="B11801" s="128" t="n">
        <v>44172</v>
      </c>
      <c r="C11801" s="94">
        <f>TEXT(B11801,"aaa")</f>
        <v/>
      </c>
      <c r="E11801" s="94">
        <f>INDEX(매칭테이블!C:D,MATCH(RD!G11801,매칭테이블!D:D,0),1)</f>
        <v/>
      </c>
      <c r="F11801" s="94" t="inlineStr">
        <is>
          <t>카페24</t>
        </is>
      </c>
      <c r="G11801" s="94" t="inlineStr">
        <is>
          <t>어성초 77 진정 마스크</t>
        </is>
      </c>
      <c r="K11801" s="94" t="n">
        <v>7</v>
      </c>
      <c r="L11801" s="94" t="n">
        <v>201208</v>
      </c>
      <c r="M11801" s="94">
        <f>VLOOKUP($Q11801,매칭테이블!$F:$I,2,0)*K11801</f>
        <v/>
      </c>
      <c r="N11801" s="94">
        <f>M11801-M11801*VLOOKUP($Q11801,매칭테이블!$F:$I,3,0)</f>
        <v/>
      </c>
      <c r="O11801" s="94">
        <f>VLOOKUP($Q11801,매칭테이블!$F:$I,4,0)*K11801</f>
        <v/>
      </c>
      <c r="P11801" s="148">
        <f>M11801/1.1</f>
        <v/>
      </c>
      <c r="Q11801" s="94">
        <f>F11801&amp;E11801&amp;G11801&amp;L11801</f>
        <v/>
      </c>
    </row>
    <row r="11802" customFormat="1" s="94">
      <c r="B11802" s="128" t="n">
        <v>44172</v>
      </c>
      <c r="C11802" s="94">
        <f>TEXT(B11802,"aaa")</f>
        <v/>
      </c>
      <c r="E11802" s="94">
        <f>INDEX(매칭테이블!C:D,MATCH(RD!G11802,매칭테이블!D:D,0),1)</f>
        <v/>
      </c>
      <c r="F11802" s="94" t="inlineStr">
        <is>
          <t>카페24</t>
        </is>
      </c>
      <c r="G11802" s="94" t="inlineStr">
        <is>
          <t>어성초 77 클리어 패드옵션=어성초 77 클리어 패드 1개-20% off</t>
        </is>
      </c>
      <c r="K11802" s="94" t="n">
        <v>101</v>
      </c>
      <c r="L11802" s="94" t="n">
        <v>201208</v>
      </c>
      <c r="M11802" s="94">
        <f>VLOOKUP($Q11802,매칭테이블!$F:$I,2,0)*K11802</f>
        <v/>
      </c>
      <c r="N11802" s="94">
        <f>M11802-M11802*VLOOKUP($Q11802,매칭테이블!$F:$I,3,0)</f>
        <v/>
      </c>
      <c r="O11802" s="94">
        <f>VLOOKUP($Q11802,매칭테이블!$F:$I,4,0)*K11802</f>
        <v/>
      </c>
      <c r="P11802" s="148">
        <f>M11802/1.1</f>
        <v/>
      </c>
      <c r="Q11802" s="94">
        <f>F11802&amp;E11802&amp;G11802&amp;L11802</f>
        <v/>
      </c>
    </row>
    <row r="11803" customFormat="1" s="94">
      <c r="B11803" s="128" t="n">
        <v>44172</v>
      </c>
      <c r="C11803" s="94">
        <f>TEXT(B11803,"aaa")</f>
        <v/>
      </c>
      <c r="E11803" s="94">
        <f>INDEX(매칭테이블!C:D,MATCH(RD!G11803,매칭테이블!D:D,0),1)</f>
        <v/>
      </c>
      <c r="F11803" s="94" t="inlineStr">
        <is>
          <t>카페24</t>
        </is>
      </c>
      <c r="G11803" s="94" t="inlineStr">
        <is>
          <t>어성초 77 클리어 패드옵션=어성초 77 클리어 패드 2개-30% off (무료배송)</t>
        </is>
      </c>
      <c r="K11803" s="94" t="n">
        <v>104</v>
      </c>
      <c r="L11803" s="94" t="n">
        <v>201208</v>
      </c>
      <c r="M11803" s="94">
        <f>VLOOKUP($Q11803,매칭테이블!$F:$I,2,0)*K11803</f>
        <v/>
      </c>
      <c r="N11803" s="94">
        <f>M11803-M11803*VLOOKUP($Q11803,매칭테이블!$F:$I,3,0)</f>
        <v/>
      </c>
      <c r="O11803" s="94">
        <f>VLOOKUP($Q11803,매칭테이블!$F:$I,4,0)*K11803</f>
        <v/>
      </c>
      <c r="P11803" s="148">
        <f>M11803/1.1</f>
        <v/>
      </c>
      <c r="Q11803" s="94">
        <f>F11803&amp;E11803&amp;G11803&amp;L11803</f>
        <v/>
      </c>
    </row>
    <row r="11804" customFormat="1" s="94">
      <c r="B11804" s="128" t="n">
        <v>44172</v>
      </c>
      <c r="C11804" s="94">
        <f>TEXT(B11804,"aaa")</f>
        <v/>
      </c>
      <c r="E11804" s="94">
        <f>INDEX(매칭테이블!C:D,MATCH(RD!G11804,매칭테이블!D:D,0),1)</f>
        <v/>
      </c>
      <c r="F11804" s="94" t="inlineStr">
        <is>
          <t>카페24</t>
        </is>
      </c>
      <c r="G11804" s="94" t="inlineStr">
        <is>
          <t>어성초 77 클리어 패드옵션=어성초77토너1개+어성초77패드1개-30% off (무료배송)</t>
        </is>
      </c>
      <c r="K11804" s="94" t="n">
        <v>58</v>
      </c>
      <c r="L11804" s="94" t="n">
        <v>201208</v>
      </c>
      <c r="M11804" s="94">
        <f>VLOOKUP($Q11804,매칭테이블!$F:$I,2,0)*K11804</f>
        <v/>
      </c>
      <c r="N11804" s="94">
        <f>M11804-M11804*VLOOKUP($Q11804,매칭테이블!$F:$I,3,0)</f>
        <v/>
      </c>
      <c r="O11804" s="94">
        <f>VLOOKUP($Q11804,매칭테이블!$F:$I,4,0)*K11804</f>
        <v/>
      </c>
      <c r="P11804" s="148">
        <f>M11804/1.1</f>
        <v/>
      </c>
      <c r="Q11804" s="94">
        <f>F11804&amp;E11804&amp;G11804&amp;L11804</f>
        <v/>
      </c>
    </row>
    <row r="11805" customFormat="1" s="94">
      <c r="B11805" s="128" t="n">
        <v>44172</v>
      </c>
      <c r="C11805" s="94">
        <f>TEXT(B11805,"aaa")</f>
        <v/>
      </c>
      <c r="E11805" s="94">
        <f>INDEX(매칭테이블!C:D,MATCH(RD!G11805,매칭테이블!D:D,0),1)</f>
        <v/>
      </c>
      <c r="F11805" s="94" t="inlineStr">
        <is>
          <t>카페24</t>
        </is>
      </c>
      <c r="G11805" s="94" t="inlineStr">
        <is>
          <t>어성초 77 클리어 패드옵션=어성초 77 클리어 패드 1개-20% off</t>
        </is>
      </c>
      <c r="K11805" s="94" t="n">
        <v>2</v>
      </c>
      <c r="L11805" s="94" t="n">
        <v>201208</v>
      </c>
      <c r="M11805" s="94">
        <f>VLOOKUP($Q11805,매칭테이블!$F:$I,2,0)*K11805</f>
        <v/>
      </c>
      <c r="N11805" s="94">
        <f>M11805-M11805*VLOOKUP($Q11805,매칭테이블!$F:$I,3,0)</f>
        <v/>
      </c>
      <c r="O11805" s="94">
        <f>VLOOKUP($Q11805,매칭테이블!$F:$I,4,0)*K11805</f>
        <v/>
      </c>
      <c r="P11805" s="148">
        <f>M11805/1.1</f>
        <v/>
      </c>
      <c r="Q11805" s="94">
        <f>F11805&amp;E11805&amp;G11805&amp;L11805</f>
        <v/>
      </c>
    </row>
    <row r="11806" customFormat="1" s="94">
      <c r="B11806" s="128" t="n">
        <v>44172</v>
      </c>
      <c r="C11806" s="94">
        <f>TEXT(B11806,"aaa")</f>
        <v/>
      </c>
      <c r="E11806" s="94">
        <f>INDEX(매칭테이블!C:D,MATCH(RD!G11806,매칭테이블!D:D,0),1)</f>
        <v/>
      </c>
      <c r="F11806" s="94" t="inlineStr">
        <is>
          <t>카페24</t>
        </is>
      </c>
      <c r="G11806" s="94" t="inlineStr">
        <is>
          <t>어성초 77 클리어 패드옵션=어성초 77 클리어 패드 2개-30% off (무료배송)</t>
        </is>
      </c>
      <c r="K11806" s="94" t="n">
        <v>4</v>
      </c>
      <c r="L11806" s="94" t="n">
        <v>201208</v>
      </c>
      <c r="M11806" s="94">
        <f>VLOOKUP($Q11806,매칭테이블!$F:$I,2,0)*K11806</f>
        <v/>
      </c>
      <c r="N11806" s="94">
        <f>M11806-M11806*VLOOKUP($Q11806,매칭테이블!$F:$I,3,0)</f>
        <v/>
      </c>
      <c r="O11806" s="94">
        <f>VLOOKUP($Q11806,매칭테이블!$F:$I,4,0)*K11806</f>
        <v/>
      </c>
      <c r="P11806" s="148">
        <f>M11806/1.1</f>
        <v/>
      </c>
      <c r="Q11806" s="94">
        <f>F11806&amp;E11806&amp;G11806&amp;L11806</f>
        <v/>
      </c>
    </row>
    <row r="11807" customFormat="1" s="94">
      <c r="B11807" s="128" t="n">
        <v>44172</v>
      </c>
      <c r="C11807" s="94">
        <f>TEXT(B11807,"aaa")</f>
        <v/>
      </c>
      <c r="E11807" s="94">
        <f>INDEX(매칭테이블!C:D,MATCH(RD!G11807,매칭테이블!D:D,0),1)</f>
        <v/>
      </c>
      <c r="F11807" s="94" t="inlineStr">
        <is>
          <t>카페24</t>
        </is>
      </c>
      <c r="G11807" s="94" t="inlineStr">
        <is>
          <t>어성초 77 토너토너(필수)=어성초 77 토너 1개-20% off</t>
        </is>
      </c>
      <c r="K11807" s="94" t="n">
        <v>4</v>
      </c>
      <c r="L11807" s="94" t="n">
        <v>201208</v>
      </c>
      <c r="M11807" s="94">
        <f>VLOOKUP($Q11807,매칭테이블!$F:$I,2,0)*K11807</f>
        <v/>
      </c>
      <c r="N11807" s="94">
        <f>M11807-M11807*VLOOKUP($Q11807,매칭테이블!$F:$I,3,0)</f>
        <v/>
      </c>
      <c r="O11807" s="94">
        <f>VLOOKUP($Q11807,매칭테이블!$F:$I,4,0)*K11807</f>
        <v/>
      </c>
      <c r="P11807" s="148">
        <f>M11807/1.1</f>
        <v/>
      </c>
      <c r="Q11807" s="94">
        <f>F11807&amp;E11807&amp;G11807&amp;L11807</f>
        <v/>
      </c>
    </row>
    <row r="11808" customFormat="1" s="94">
      <c r="B11808" s="128" t="n">
        <v>44172</v>
      </c>
      <c r="C11808" s="94">
        <f>TEXT(B11808,"aaa")</f>
        <v/>
      </c>
      <c r="E11808" s="94">
        <f>INDEX(매칭테이블!C:D,MATCH(RD!G11808,매칭테이블!D:D,0),1)</f>
        <v/>
      </c>
      <c r="F11808" s="94" t="inlineStr">
        <is>
          <t>카페24</t>
        </is>
      </c>
      <c r="G11808" s="94" t="inlineStr">
        <is>
          <t>어성초 77 토너토너(필수)=어성초 77 토너 2개-30% off (무료배송)</t>
        </is>
      </c>
      <c r="K11808" s="94" t="n">
        <v>1</v>
      </c>
      <c r="L11808" s="94" t="n">
        <v>201208</v>
      </c>
      <c r="M11808" s="94">
        <f>VLOOKUP($Q11808,매칭테이블!$F:$I,2,0)*K11808</f>
        <v/>
      </c>
      <c r="N11808" s="94">
        <f>M11808-M11808*VLOOKUP($Q11808,매칭테이블!$F:$I,3,0)</f>
        <v/>
      </c>
      <c r="O11808" s="94">
        <f>VLOOKUP($Q11808,매칭테이블!$F:$I,4,0)*K11808</f>
        <v/>
      </c>
      <c r="P11808" s="148">
        <f>M11808/1.1</f>
        <v/>
      </c>
      <c r="Q11808" s="94">
        <f>F11808&amp;E11808&amp;G11808&amp;L11808</f>
        <v/>
      </c>
    </row>
    <row r="11809" customFormat="1" s="94">
      <c r="B11809" s="128" t="n">
        <v>44172</v>
      </c>
      <c r="C11809" s="94">
        <f>TEXT(B11809,"aaa")</f>
        <v/>
      </c>
      <c r="E11809" s="94">
        <f>INDEX(매칭테이블!C:D,MATCH(RD!G11809,매칭테이블!D:D,0),1)</f>
        <v/>
      </c>
      <c r="F11809" s="94" t="inlineStr">
        <is>
          <t>카페24</t>
        </is>
      </c>
      <c r="G11809" s="94" t="inlineStr">
        <is>
          <t>어성초 77 토너화장솜(선택)=촉촉 스킨팩 화장솜</t>
        </is>
      </c>
      <c r="K11809" s="94" t="n">
        <v>3</v>
      </c>
      <c r="L11809" s="94" t="n">
        <v>201208</v>
      </c>
      <c r="M11809" s="94">
        <f>VLOOKUP($Q11809,매칭테이블!$F:$I,2,0)*K11809</f>
        <v/>
      </c>
      <c r="N11809" s="94">
        <f>M11809-M11809*VLOOKUP($Q11809,매칭테이블!$F:$I,3,0)</f>
        <v/>
      </c>
      <c r="O11809" s="94">
        <f>VLOOKUP($Q11809,매칭테이블!$F:$I,4,0)*K11809</f>
        <v/>
      </c>
      <c r="P11809" s="148">
        <f>M11809/1.1</f>
        <v/>
      </c>
      <c r="Q11809" s="94">
        <f>F11809&amp;E11809&amp;G11809&amp;L11809</f>
        <v/>
      </c>
    </row>
    <row r="11810" customFormat="1" s="94">
      <c r="B11810" s="128" t="n">
        <v>44172</v>
      </c>
      <c r="C11810" s="94">
        <f>TEXT(B11810,"aaa")</f>
        <v/>
      </c>
      <c r="E11810" s="94">
        <f>INDEX(매칭테이블!C:D,MATCH(RD!G11810,매칭테이블!D:D,0),1)</f>
        <v/>
      </c>
      <c r="F11810" s="94" t="inlineStr">
        <is>
          <t>카페24</t>
        </is>
      </c>
      <c r="G11810" s="94" t="inlineStr">
        <is>
          <t>어성초 77 패드옵션=어성초 77 클리어 패드 2개-30% off (무료배송)</t>
        </is>
      </c>
      <c r="K11810" s="94" t="n">
        <v>1</v>
      </c>
      <c r="L11810" s="94" t="n">
        <v>201208</v>
      </c>
      <c r="M11810" s="94">
        <f>VLOOKUP($Q11810,매칭테이블!$F:$I,2,0)*K11810</f>
        <v/>
      </c>
      <c r="N11810" s="94">
        <f>M11810-M11810*VLOOKUP($Q11810,매칭테이블!$F:$I,3,0)</f>
        <v/>
      </c>
      <c r="O11810" s="94">
        <f>VLOOKUP($Q11810,매칭테이블!$F:$I,4,0)*K11810</f>
        <v/>
      </c>
      <c r="P11810" s="148">
        <f>M11810/1.1</f>
        <v/>
      </c>
      <c r="Q11810" s="94">
        <f>F11810&amp;E11810&amp;G11810&amp;L11810</f>
        <v/>
      </c>
    </row>
    <row r="11811" customFormat="1" s="94">
      <c r="B11811" s="128" t="n">
        <v>44172</v>
      </c>
      <c r="C11811" s="94">
        <f>TEXT(B11811,"aaa")</f>
        <v/>
      </c>
      <c r="E11811" s="94">
        <f>INDEX(매칭테이블!C:D,MATCH(RD!G11811,매칭테이블!D:D,0),1)</f>
        <v/>
      </c>
      <c r="F11811" s="94" t="inlineStr">
        <is>
          <t>카페24</t>
        </is>
      </c>
      <c r="G11811" s="94" t="inlineStr">
        <is>
          <t>어성초 78 수딩 크림</t>
        </is>
      </c>
      <c r="K11811" s="94" t="n">
        <v>9</v>
      </c>
      <c r="L11811" s="94" t="n">
        <v>201208</v>
      </c>
      <c r="M11811" s="94">
        <f>VLOOKUP($Q11811,매칭테이블!$F:$I,2,0)*K11811</f>
        <v/>
      </c>
      <c r="N11811" s="94">
        <f>M11811-M11811*VLOOKUP($Q11811,매칭테이블!$F:$I,3,0)</f>
        <v/>
      </c>
      <c r="O11811" s="94">
        <f>VLOOKUP($Q11811,매칭테이블!$F:$I,4,0)*K11811</f>
        <v/>
      </c>
      <c r="P11811" s="148">
        <f>M11811/1.1</f>
        <v/>
      </c>
      <c r="Q11811" s="94">
        <f>F11811&amp;E11811&amp;G11811&amp;L11811</f>
        <v/>
      </c>
    </row>
    <row r="11812" customFormat="1" s="94">
      <c r="B11812" s="128" t="n">
        <v>44172</v>
      </c>
      <c r="C11812" s="94">
        <f>TEXT(B11812,"aaa")</f>
        <v/>
      </c>
      <c r="E11812" s="94">
        <f>INDEX(매칭테이블!C:D,MATCH(RD!G11812,매칭테이블!D:D,0),1)</f>
        <v/>
      </c>
      <c r="F11812" s="94" t="inlineStr">
        <is>
          <t>카페24</t>
        </is>
      </c>
      <c r="G11812" s="94" t="inlineStr">
        <is>
          <t>어성초 78 수딩 크림</t>
        </is>
      </c>
      <c r="K11812" s="94" t="n">
        <v>1</v>
      </c>
      <c r="L11812" s="94" t="n">
        <v>201208</v>
      </c>
      <c r="M11812" s="94">
        <f>VLOOKUP($Q11812,매칭테이블!$F:$I,2,0)*K11812</f>
        <v/>
      </c>
      <c r="N11812" s="94">
        <f>M11812-M11812*VLOOKUP($Q11812,매칭테이블!$F:$I,3,0)</f>
        <v/>
      </c>
      <c r="O11812" s="94">
        <f>VLOOKUP($Q11812,매칭테이블!$F:$I,4,0)*K11812</f>
        <v/>
      </c>
      <c r="P11812" s="148">
        <f>M11812/1.1</f>
        <v/>
      </c>
      <c r="Q11812" s="94">
        <f>F11812&amp;E11812&amp;G11812&amp;L11812</f>
        <v/>
      </c>
    </row>
    <row r="11813" customFormat="1" s="94">
      <c r="B11813" s="128" t="n">
        <v>44172</v>
      </c>
      <c r="C11813" s="94">
        <f>TEXT(B11813,"aaa")</f>
        <v/>
      </c>
      <c r="E11813" s="94">
        <f>INDEX(매칭테이블!C:D,MATCH(RD!G11813,매칭테이블!D:D,0),1)</f>
        <v/>
      </c>
      <c r="F11813" s="94" t="inlineStr">
        <is>
          <t>카페24</t>
        </is>
      </c>
      <c r="G11813" s="94" t="inlineStr">
        <is>
          <t>어성초 80 수분 진정 앰플앰플=어성초 80 앰플 1개-15%off</t>
        </is>
      </c>
      <c r="K11813" s="94" t="n">
        <v>42</v>
      </c>
      <c r="L11813" s="94" t="n">
        <v>201208</v>
      </c>
      <c r="M11813" s="94">
        <f>VLOOKUP($Q11813,매칭테이블!$F:$I,2,0)*K11813</f>
        <v/>
      </c>
      <c r="N11813" s="94">
        <f>M11813-M11813*VLOOKUP($Q11813,매칭테이블!$F:$I,3,0)</f>
        <v/>
      </c>
      <c r="O11813" s="94">
        <f>VLOOKUP($Q11813,매칭테이블!$F:$I,4,0)*K11813</f>
        <v/>
      </c>
      <c r="P11813" s="148">
        <f>M11813/1.1</f>
        <v/>
      </c>
      <c r="Q11813" s="94">
        <f>F11813&amp;E11813&amp;G11813&amp;L11813</f>
        <v/>
      </c>
    </row>
    <row r="11814" customFormat="1" s="94">
      <c r="B11814" s="128" t="n">
        <v>44172</v>
      </c>
      <c r="C11814" s="94">
        <f>TEXT(B11814,"aaa")</f>
        <v/>
      </c>
      <c r="E11814" s="94">
        <f>INDEX(매칭테이블!C:D,MATCH(RD!G11814,매칭테이블!D:D,0),1)</f>
        <v/>
      </c>
      <c r="F11814" s="94" t="inlineStr">
        <is>
          <t>카페24</t>
        </is>
      </c>
      <c r="G11814" s="94" t="inlineStr">
        <is>
          <t>어성초 80 수분 진정 앰플앰플=어성초 80 앰플 2개-27%off (무료배송)</t>
        </is>
      </c>
      <c r="K11814" s="94" t="n">
        <v>13</v>
      </c>
      <c r="L11814" s="94" t="n">
        <v>201208</v>
      </c>
      <c r="M11814" s="94">
        <f>VLOOKUP($Q11814,매칭테이블!$F:$I,2,0)*K11814</f>
        <v/>
      </c>
      <c r="N11814" s="94">
        <f>M11814-M11814*VLOOKUP($Q11814,매칭테이블!$F:$I,3,0)</f>
        <v/>
      </c>
      <c r="O11814" s="94">
        <f>VLOOKUP($Q11814,매칭테이블!$F:$I,4,0)*K11814</f>
        <v/>
      </c>
      <c r="P11814" s="148">
        <f>M11814/1.1</f>
        <v/>
      </c>
      <c r="Q11814" s="94">
        <f>F11814&amp;E11814&amp;G11814&amp;L11814</f>
        <v/>
      </c>
    </row>
    <row r="11815" customFormat="1" s="94">
      <c r="B11815" s="128" t="n">
        <v>44172</v>
      </c>
      <c r="C11815" s="94">
        <f>TEXT(B11815,"aaa")</f>
        <v/>
      </c>
      <c r="E11815" s="94">
        <f>INDEX(매칭테이블!C:D,MATCH(RD!G11815,매칭테이블!D:D,0),1)</f>
        <v/>
      </c>
      <c r="F11815" s="94" t="inlineStr">
        <is>
          <t>카페24</t>
        </is>
      </c>
      <c r="G11815" s="94" t="inlineStr">
        <is>
          <t>어성초 80 수분 진정 앰플</t>
        </is>
      </c>
      <c r="K11815" s="94" t="n">
        <v>6</v>
      </c>
      <c r="L11815" s="94" t="n">
        <v>201208</v>
      </c>
      <c r="M11815" s="94">
        <f>VLOOKUP($Q11815,매칭테이블!$F:$I,2,0)*K11815</f>
        <v/>
      </c>
      <c r="N11815" s="94">
        <f>M11815-M11815*VLOOKUP($Q11815,매칭테이블!$F:$I,3,0)</f>
        <v/>
      </c>
      <c r="O11815" s="94">
        <f>VLOOKUP($Q11815,매칭테이블!$F:$I,4,0)*K11815</f>
        <v/>
      </c>
      <c r="P11815" s="148">
        <f>M11815/1.1</f>
        <v/>
      </c>
      <c r="Q11815" s="94">
        <f>F11815&amp;E11815&amp;G11815&amp;L11815</f>
        <v/>
      </c>
    </row>
    <row r="11816" customFormat="1" s="94">
      <c r="B11816" s="128" t="n">
        <v>44172</v>
      </c>
      <c r="C11816" s="94">
        <f>TEXT(B11816,"aaa")</f>
        <v/>
      </c>
      <c r="E11816" s="94">
        <f>INDEX(매칭테이블!C:D,MATCH(RD!G11816,매칭테이블!D:D,0),1)</f>
        <v/>
      </c>
      <c r="F11816" s="94" t="inlineStr">
        <is>
          <t>카페24</t>
        </is>
      </c>
      <c r="G11816" s="94" t="inlineStr">
        <is>
          <t>어성초 아크네 바디워시옵션=어성초 아크네 바디워시 1개 -30% off</t>
        </is>
      </c>
      <c r="K11816" s="94" t="n">
        <v>5</v>
      </c>
      <c r="L11816" s="94" t="n">
        <v>201208</v>
      </c>
      <c r="M11816" s="94">
        <f>VLOOKUP($Q11816,매칭테이블!$F:$I,2,0)*K11816</f>
        <v/>
      </c>
      <c r="N11816" s="94">
        <f>M11816-M11816*VLOOKUP($Q11816,매칭테이블!$F:$I,3,0)</f>
        <v/>
      </c>
      <c r="O11816" s="94">
        <f>VLOOKUP($Q11816,매칭테이블!$F:$I,4,0)*K11816</f>
        <v/>
      </c>
      <c r="P11816" s="148">
        <f>M11816/1.1</f>
        <v/>
      </c>
      <c r="Q11816" s="94">
        <f>F11816&amp;E11816&amp;G11816&amp;L11816</f>
        <v/>
      </c>
    </row>
    <row r="11817" customFormat="1" s="94">
      <c r="B11817" s="128" t="n">
        <v>44172</v>
      </c>
      <c r="C11817" s="94">
        <f>TEXT(B11817,"aaa")</f>
        <v/>
      </c>
      <c r="E11817" s="94">
        <f>INDEX(매칭테이블!C:D,MATCH(RD!G11817,매칭테이블!D:D,0),1)</f>
        <v/>
      </c>
      <c r="F11817" s="94" t="inlineStr">
        <is>
          <t>카페24</t>
        </is>
      </c>
      <c r="G11817" s="94" t="inlineStr">
        <is>
          <t>어성초 아크네 바디워시옵션=어성초 아크네 바디워시 2개 -35% off (무료배송)</t>
        </is>
      </c>
      <c r="K11817" s="94" t="n">
        <v>2</v>
      </c>
      <c r="L11817" s="94" t="n">
        <v>201208</v>
      </c>
      <c r="M11817" s="94">
        <f>VLOOKUP($Q11817,매칭테이블!$F:$I,2,0)*K11817</f>
        <v/>
      </c>
      <c r="N11817" s="94">
        <f>M11817-M11817*VLOOKUP($Q11817,매칭테이블!$F:$I,3,0)</f>
        <v/>
      </c>
      <c r="O11817" s="94">
        <f>VLOOKUP($Q11817,매칭테이블!$F:$I,4,0)*K11817</f>
        <v/>
      </c>
      <c r="P11817" s="148">
        <f>M11817/1.1</f>
        <v/>
      </c>
      <c r="Q11817" s="94">
        <f>F11817&amp;E11817&amp;G11817&amp;L11817</f>
        <v/>
      </c>
    </row>
    <row r="11818" customFormat="1" s="94">
      <c r="B11818" s="128" t="n">
        <v>44172</v>
      </c>
      <c r="C11818" s="94">
        <f>TEXT(B11818,"aaa")</f>
        <v/>
      </c>
      <c r="E11818" s="94">
        <f>INDEX(매칭테이블!C:D,MATCH(RD!G11818,매칭테이블!D:D,0),1)</f>
        <v/>
      </c>
      <c r="F11818" s="94" t="inlineStr">
        <is>
          <t>카페24</t>
        </is>
      </c>
      <c r="G11818" s="94" t="inlineStr">
        <is>
          <t>어성초 약산성 클렌징폼클렌징폼=어성초 약산성 클렌징폼 1개 -19%off</t>
        </is>
      </c>
      <c r="K11818" s="94" t="n">
        <v>16</v>
      </c>
      <c r="L11818" s="94" t="n">
        <v>201208</v>
      </c>
      <c r="M11818" s="94">
        <f>VLOOKUP($Q11818,매칭테이블!$F:$I,2,0)*K11818</f>
        <v/>
      </c>
      <c r="N11818" s="94">
        <f>M11818-M11818*VLOOKUP($Q11818,매칭테이블!$F:$I,3,0)</f>
        <v/>
      </c>
      <c r="O11818" s="94">
        <f>VLOOKUP($Q11818,매칭테이블!$F:$I,4,0)*K11818</f>
        <v/>
      </c>
      <c r="P11818" s="148">
        <f>M11818/1.1</f>
        <v/>
      </c>
      <c r="Q11818" s="94">
        <f>F11818&amp;E11818&amp;G11818&amp;L11818</f>
        <v/>
      </c>
    </row>
    <row r="11819" customFormat="1" s="94">
      <c r="B11819" s="128" t="n">
        <v>44172</v>
      </c>
      <c r="C11819" s="94">
        <f>TEXT(B11819,"aaa")</f>
        <v/>
      </c>
      <c r="E11819" s="94">
        <f>INDEX(매칭테이블!C:D,MATCH(RD!G11819,매칭테이블!D:D,0),1)</f>
        <v/>
      </c>
      <c r="F11819" s="94" t="inlineStr">
        <is>
          <t>카페24</t>
        </is>
      </c>
      <c r="G11819" s="94" t="inlineStr">
        <is>
          <t>어성초 약산성 클렌징폼클렌징폼=어성초 약산성 클렌징폼 3개 -31%off (무료배송)</t>
        </is>
      </c>
      <c r="K11819" s="94" t="n">
        <v>4</v>
      </c>
      <c r="L11819" s="94" t="n">
        <v>201208</v>
      </c>
      <c r="M11819" s="94">
        <f>VLOOKUP($Q11819,매칭테이블!$F:$I,2,0)*K11819</f>
        <v/>
      </c>
      <c r="N11819" s="94">
        <f>M11819-M11819*VLOOKUP($Q11819,매칭테이블!$F:$I,3,0)</f>
        <v/>
      </c>
      <c r="O11819" s="94">
        <f>VLOOKUP($Q11819,매칭테이블!$F:$I,4,0)*K11819</f>
        <v/>
      </c>
      <c r="P11819" s="148">
        <f>M11819/1.1</f>
        <v/>
      </c>
      <c r="Q11819" s="94">
        <f>F11819&amp;E11819&amp;G11819&amp;L11819</f>
        <v/>
      </c>
    </row>
    <row r="11820" customFormat="1" s="94">
      <c r="B11820" s="128" t="n">
        <v>44172</v>
      </c>
      <c r="C11820" s="94">
        <f>TEXT(B11820,"aaa")</f>
        <v/>
      </c>
      <c r="E11820" s="94">
        <f>INDEX(매칭테이블!C:D,MATCH(RD!G11820,매칭테이블!D:D,0),1)</f>
        <v/>
      </c>
      <c r="F11820" s="94" t="inlineStr">
        <is>
          <t>카페24</t>
        </is>
      </c>
      <c r="G11820" s="94" t="inlineStr">
        <is>
          <t>어성초 크림마스크 나이트 솔루션옵션=어성초 크림마스크 나이트 솔루션 10장 (-50%)</t>
        </is>
      </c>
      <c r="K11820" s="94" t="n">
        <v>5</v>
      </c>
      <c r="L11820" s="94" t="n">
        <v>201208</v>
      </c>
      <c r="M11820" s="94">
        <f>VLOOKUP($Q11820,매칭테이블!$F:$I,2,0)*K11820</f>
        <v/>
      </c>
      <c r="N11820" s="94">
        <f>M11820-M11820*VLOOKUP($Q11820,매칭테이블!$F:$I,3,0)</f>
        <v/>
      </c>
      <c r="O11820" s="94">
        <f>VLOOKUP($Q11820,매칭테이블!$F:$I,4,0)*K11820</f>
        <v/>
      </c>
      <c r="P11820" s="148">
        <f>M11820/1.1</f>
        <v/>
      </c>
      <c r="Q11820" s="94">
        <f>F11820&amp;E11820&amp;G11820&amp;L11820</f>
        <v/>
      </c>
    </row>
    <row r="11821" customFormat="1" s="94">
      <c r="B11821" s="128" t="n">
        <v>44172</v>
      </c>
      <c r="C11821" s="94">
        <f>TEXT(B11821,"aaa")</f>
        <v/>
      </c>
      <c r="E11821" s="94">
        <f>INDEX(매칭테이블!C:D,MATCH(RD!G11821,매칭테이블!D:D,0),1)</f>
        <v/>
      </c>
      <c r="F11821" s="94" t="inlineStr">
        <is>
          <t>카페24</t>
        </is>
      </c>
      <c r="G11821" s="94" t="inlineStr">
        <is>
          <t>촉촉 스킨팩 화장솜</t>
        </is>
      </c>
      <c r="K11821" s="94" t="n">
        <v>35</v>
      </c>
      <c r="L11821" s="94" t="n">
        <v>201208</v>
      </c>
      <c r="M11821" s="94">
        <f>VLOOKUP($Q11821,매칭테이블!$F:$I,2,0)*K11821</f>
        <v/>
      </c>
      <c r="N11821" s="94">
        <f>M11821-M11821*VLOOKUP($Q11821,매칭테이블!$F:$I,3,0)</f>
        <v/>
      </c>
      <c r="O11821" s="94">
        <f>VLOOKUP($Q11821,매칭테이블!$F:$I,4,0)*K11821</f>
        <v/>
      </c>
      <c r="P11821" s="148">
        <f>M11821/1.1</f>
        <v/>
      </c>
      <c r="Q11821" s="94">
        <f>F11821&amp;E11821&amp;G11821&amp;L11821</f>
        <v/>
      </c>
    </row>
    <row r="11822" customFormat="1" s="94">
      <c r="B11822" s="128" t="n">
        <v>44172</v>
      </c>
      <c r="C11822" s="94">
        <f>TEXT(B11822,"aaa")</f>
        <v/>
      </c>
      <c r="E11822" s="94">
        <f>INDEX(매칭테이블!C:D,MATCH(RD!G11822,매칭테이블!D:D,0),1)</f>
        <v/>
      </c>
      <c r="F11822" s="94" t="inlineStr">
        <is>
          <t>화해</t>
        </is>
      </c>
      <c r="G11822" s="94" t="inlineStr">
        <is>
          <t>어성초 77 토너 250ml어성초 77 토너 250ml</t>
        </is>
      </c>
      <c r="K11822" s="94" t="n">
        <v>13</v>
      </c>
      <c r="L11822" s="94" t="n">
        <v>201208</v>
      </c>
      <c r="M11822" s="94">
        <f>VLOOKUP($Q11822,매칭테이블!$F:$I,2,0)*K11822</f>
        <v/>
      </c>
      <c r="N11822" s="94">
        <f>M11822-M11822*VLOOKUP($Q11822,매칭테이블!$F:$I,3,0)</f>
        <v/>
      </c>
      <c r="O11822" s="94">
        <f>VLOOKUP($Q11822,매칭테이블!$F:$I,4,0)*K11822</f>
        <v/>
      </c>
      <c r="P11822" s="148">
        <f>M11822/1.1</f>
        <v/>
      </c>
      <c r="Q11822" s="94">
        <f>F11822&amp;E11822&amp;G11822&amp;L11822</f>
        <v/>
      </c>
    </row>
    <row r="11823">
      <c r="B11823" s="128" t="n">
        <v>44173</v>
      </c>
      <c r="C11823" s="94">
        <f>TEXT(B11823,"aaa")</f>
        <v/>
      </c>
      <c r="E11823" s="94">
        <f>INDEX(매칭테이블!C:D,MATCH(RD!G11823,매칭테이블!D:D,0),1)</f>
        <v/>
      </c>
      <c r="F11823" s="94" t="inlineStr">
        <is>
          <t>W컨셉</t>
        </is>
      </c>
      <c r="G11823" s="94" t="inlineStr">
        <is>
          <t>어성초 77토너 (2 SET) HEARTLEAF 77% SOOTHING TONER 250ml250ml 2set</t>
        </is>
      </c>
      <c r="K11823" s="94" t="n">
        <v>1</v>
      </c>
      <c r="L11823" s="94" t="n">
        <v>201208</v>
      </c>
      <c r="M11823" s="94">
        <f>VLOOKUP($Q11823,매칭테이블!$F:$I,2,0)*K11823</f>
        <v/>
      </c>
      <c r="N11823" s="94">
        <f>M11823-M11823*VLOOKUP($Q11823,매칭테이블!$F:$I,3,0)</f>
        <v/>
      </c>
      <c r="O11823" s="94">
        <f>VLOOKUP($Q11823,매칭테이블!$F:$I,4,0)*K11823</f>
        <v/>
      </c>
      <c r="P11823" s="148">
        <f>M11823/1.1</f>
        <v/>
      </c>
      <c r="Q11823" s="94">
        <f>F11823&amp;E11823&amp;G11823&amp;L11823</f>
        <v/>
      </c>
    </row>
    <row r="11824">
      <c r="B11824" s="128" t="n">
        <v>44173</v>
      </c>
      <c r="C11824" s="94">
        <f>TEXT(B11824,"aaa")</f>
        <v/>
      </c>
      <c r="E11824" s="94">
        <f>INDEX(매칭테이블!C:D,MATCH(RD!G11824,매칭테이블!D:D,0),1)</f>
        <v/>
      </c>
      <c r="F11824" s="94" t="inlineStr">
        <is>
          <t>스타일쉐어</t>
        </is>
      </c>
      <c r="G11824" s="94" t="inlineStr">
        <is>
          <t>아누아 어성초 77 토너 250ml</t>
        </is>
      </c>
      <c r="K11824" s="94" t="n">
        <v>2</v>
      </c>
      <c r="L11824" s="94" t="n">
        <v>201208</v>
      </c>
      <c r="M11824" s="94">
        <f>VLOOKUP($Q11824,매칭테이블!$F:$I,2,0)*K11824</f>
        <v/>
      </c>
      <c r="N11824" s="94">
        <f>M11824-M11824*VLOOKUP($Q11824,매칭테이블!$F:$I,3,0)</f>
        <v/>
      </c>
      <c r="O11824" s="94">
        <f>VLOOKUP($Q11824,매칭테이블!$F:$I,4,0)*K11824</f>
        <v/>
      </c>
      <c r="P11824" s="148">
        <f>M11824/1.1</f>
        <v/>
      </c>
      <c r="Q11824" s="94">
        <f>F11824&amp;E11824&amp;G11824&amp;L11824</f>
        <v/>
      </c>
    </row>
    <row r="11825">
      <c r="B11825" s="128" t="n">
        <v>44173</v>
      </c>
      <c r="C11825" s="94">
        <f>TEXT(B11825,"aaa")</f>
        <v/>
      </c>
      <c r="E11825" s="94">
        <f>INDEX(매칭테이블!C:D,MATCH(RD!G11825,매칭테이블!D:D,0),1)</f>
        <v/>
      </c>
      <c r="F11825" s="94" t="inlineStr">
        <is>
          <t>카페24</t>
        </is>
      </c>
      <c r="G11825" s="94" t="inlineStr">
        <is>
          <t>5 제로 무기자차 선크림옵션=5제로 무기자차 선크림 1개-20% off</t>
        </is>
      </c>
      <c r="K11825" s="94" t="n">
        <v>2</v>
      </c>
      <c r="L11825" s="94" t="n">
        <v>201208</v>
      </c>
      <c r="M11825" s="94">
        <f>VLOOKUP($Q11825,매칭테이블!$F:$I,2,0)*K11825</f>
        <v/>
      </c>
      <c r="N11825" s="94">
        <f>M11825-M11825*VLOOKUP($Q11825,매칭테이블!$F:$I,3,0)</f>
        <v/>
      </c>
      <c r="O11825" s="94">
        <f>VLOOKUP($Q11825,매칭테이블!$F:$I,4,0)*K11825</f>
        <v/>
      </c>
      <c r="P11825" s="148">
        <f>M11825/1.1</f>
        <v/>
      </c>
      <c r="Q11825" s="94">
        <f>F11825&amp;E11825&amp;G11825&amp;L11825</f>
        <v/>
      </c>
    </row>
    <row r="11826">
      <c r="B11826" s="128" t="n">
        <v>44173</v>
      </c>
      <c r="C11826" s="94">
        <f>TEXT(B11826,"aaa")</f>
        <v/>
      </c>
      <c r="E11826" s="94">
        <f>INDEX(매칭테이블!C:D,MATCH(RD!G11826,매칭테이블!D:D,0),1)</f>
        <v/>
      </c>
      <c r="F11826" s="94" t="inlineStr">
        <is>
          <t>카페24</t>
        </is>
      </c>
      <c r="G11826" s="94" t="inlineStr">
        <is>
          <t>[수분 보충 세트] 어성초 77 토너 + 어성초 70 로션옵션=어성초 77 토너 250ml + 어성초 70 로션 200ml -30%</t>
        </is>
      </c>
      <c r="K11826" s="94" t="n">
        <v>21</v>
      </c>
      <c r="L11826" s="94" t="n">
        <v>201208</v>
      </c>
      <c r="M11826" s="94">
        <f>VLOOKUP($Q11826,매칭테이블!$F:$I,2,0)*K11826</f>
        <v/>
      </c>
      <c r="N11826" s="94">
        <f>M11826-M11826*VLOOKUP($Q11826,매칭테이블!$F:$I,3,0)</f>
        <v/>
      </c>
      <c r="O11826" s="94">
        <f>VLOOKUP($Q11826,매칭테이블!$F:$I,4,0)*K11826</f>
        <v/>
      </c>
      <c r="P11826" s="148">
        <f>M11826/1.1</f>
        <v/>
      </c>
      <c r="Q11826" s="94">
        <f>F11826&amp;E11826&amp;G11826&amp;L11826</f>
        <v/>
      </c>
    </row>
    <row r="11827">
      <c r="B11827" s="128" t="n">
        <v>44173</v>
      </c>
      <c r="C11827" s="94">
        <f>TEXT(B11827,"aaa")</f>
        <v/>
      </c>
      <c r="E11827" s="94">
        <f>INDEX(매칭테이블!C:D,MATCH(RD!G11827,매칭테이블!D:D,0),1)</f>
        <v/>
      </c>
      <c r="F11827" s="94" t="inlineStr">
        <is>
          <t>카페24</t>
        </is>
      </c>
      <c r="G11827" s="94" t="inlineStr">
        <is>
          <t>[어성초 진정 패키지 세트] 대용량 토너 + 앰플 + 수딩 크림 + 마스크팩 10장</t>
        </is>
      </c>
      <c r="K11827" s="94" t="n">
        <v>2</v>
      </c>
      <c r="L11827" s="94" t="n">
        <v>201208</v>
      </c>
      <c r="M11827" s="94">
        <f>VLOOKUP($Q11827,매칭테이블!$F:$I,2,0)*K11827</f>
        <v/>
      </c>
      <c r="N11827" s="94">
        <f>M11827-M11827*VLOOKUP($Q11827,매칭테이블!$F:$I,3,0)</f>
        <v/>
      </c>
      <c r="O11827" s="94">
        <f>VLOOKUP($Q11827,매칭테이블!$F:$I,4,0)*K11827</f>
        <v/>
      </c>
      <c r="P11827" s="148">
        <f>M11827/1.1</f>
        <v/>
      </c>
      <c r="Q11827" s="94">
        <f>F11827&amp;E11827&amp;G11827&amp;L11827</f>
        <v/>
      </c>
    </row>
    <row r="11828">
      <c r="B11828" s="128" t="n">
        <v>44173</v>
      </c>
      <c r="C11828" s="94">
        <f>TEXT(B11828,"aaa")</f>
        <v/>
      </c>
      <c r="E11828" s="94">
        <f>INDEX(매칭테이블!C:D,MATCH(RD!G11828,매칭테이블!D:D,0),1)</f>
        <v/>
      </c>
      <c r="F11828" s="94" t="inlineStr">
        <is>
          <t>카페24</t>
        </is>
      </c>
      <c r="G11828" s="94" t="inlineStr">
        <is>
          <t>대용량 어성초 77 수딩 토너 500ml</t>
        </is>
      </c>
      <c r="K11828" s="94" t="n">
        <v>31</v>
      </c>
      <c r="L11828" s="94" t="n">
        <v>201208</v>
      </c>
      <c r="M11828" s="94">
        <f>VLOOKUP($Q11828,매칭테이블!$F:$I,2,0)*K11828</f>
        <v/>
      </c>
      <c r="N11828" s="94">
        <f>M11828-M11828*VLOOKUP($Q11828,매칭테이블!$F:$I,3,0)</f>
        <v/>
      </c>
      <c r="O11828" s="94">
        <f>VLOOKUP($Q11828,매칭테이블!$F:$I,4,0)*K11828</f>
        <v/>
      </c>
      <c r="P11828" s="148">
        <f>M11828/1.1</f>
        <v/>
      </c>
      <c r="Q11828" s="94">
        <f>F11828&amp;E11828&amp;G11828&amp;L11828</f>
        <v/>
      </c>
    </row>
    <row r="11829">
      <c r="B11829" s="128" t="n">
        <v>44173</v>
      </c>
      <c r="C11829" s="94">
        <f>TEXT(B11829,"aaa")</f>
        <v/>
      </c>
      <c r="E11829" s="94">
        <f>INDEX(매칭테이블!C:D,MATCH(RD!G11829,매칭테이블!D:D,0),1)</f>
        <v/>
      </c>
      <c r="F11829" s="94" t="inlineStr">
        <is>
          <t>카페24</t>
        </is>
      </c>
      <c r="G11829" s="94" t="inlineStr">
        <is>
          <t>대용량 어성초 77 토너 500ml</t>
        </is>
      </c>
      <c r="K11829" s="94" t="n">
        <v>2</v>
      </c>
      <c r="L11829" s="94" t="n">
        <v>201208</v>
      </c>
      <c r="M11829" s="94">
        <f>VLOOKUP($Q11829,매칭테이블!$F:$I,2,0)*K11829</f>
        <v/>
      </c>
      <c r="N11829" s="94">
        <f>M11829-M11829*VLOOKUP($Q11829,매칭테이블!$F:$I,3,0)</f>
        <v/>
      </c>
      <c r="O11829" s="94">
        <f>VLOOKUP($Q11829,매칭테이블!$F:$I,4,0)*K11829</f>
        <v/>
      </c>
      <c r="P11829" s="148">
        <f>M11829/1.1</f>
        <v/>
      </c>
      <c r="Q11829" s="94">
        <f>F11829&amp;E11829&amp;G11829&amp;L11829</f>
        <v/>
      </c>
    </row>
    <row r="11830">
      <c r="B11830" s="128" t="n">
        <v>44173</v>
      </c>
      <c r="C11830" s="94">
        <f>TEXT(B11830,"aaa")</f>
        <v/>
      </c>
      <c r="E11830" s="94">
        <f>INDEX(매칭테이블!C:D,MATCH(RD!G11830,매칭테이블!D:D,0),1)</f>
        <v/>
      </c>
      <c r="F11830" s="94" t="inlineStr">
        <is>
          <t>카페24</t>
        </is>
      </c>
      <c r="G11830" s="94" t="inlineStr">
        <is>
          <t>어성초 70 데일리 릴리프 로션로션=어성초 70 데일리 릴리프 로션 1개 -20% off</t>
        </is>
      </c>
      <c r="K11830" s="94" t="n">
        <v>2</v>
      </c>
      <c r="L11830" s="94" t="n">
        <v>201208</v>
      </c>
      <c r="M11830" s="94">
        <f>VLOOKUP($Q11830,매칭테이블!$F:$I,2,0)*K11830</f>
        <v/>
      </c>
      <c r="N11830" s="94">
        <f>M11830-M11830*VLOOKUP($Q11830,매칭테이블!$F:$I,3,0)</f>
        <v/>
      </c>
      <c r="O11830" s="94">
        <f>VLOOKUP($Q11830,매칭테이블!$F:$I,4,0)*K11830</f>
        <v/>
      </c>
      <c r="P11830" s="148">
        <f>M11830/1.1</f>
        <v/>
      </c>
      <c r="Q11830" s="94">
        <f>F11830&amp;E11830&amp;G11830&amp;L11830</f>
        <v/>
      </c>
    </row>
    <row r="11831">
      <c r="B11831" s="128" t="n">
        <v>44173</v>
      </c>
      <c r="C11831" s="94">
        <f>TEXT(B11831,"aaa")</f>
        <v/>
      </c>
      <c r="E11831" s="94">
        <f>INDEX(매칭테이블!C:D,MATCH(RD!G11831,매칭테이블!D:D,0),1)</f>
        <v/>
      </c>
      <c r="F11831" s="94" t="inlineStr">
        <is>
          <t>카페24</t>
        </is>
      </c>
      <c r="G11831" s="94" t="inlineStr">
        <is>
          <t>어성초 70 데일리 릴리프 로션로션=어성초 70 데일리 릴리프 로션 2개 -30% off</t>
        </is>
      </c>
      <c r="K11831" s="94" t="n">
        <v>1</v>
      </c>
      <c r="L11831" s="94" t="n">
        <v>201208</v>
      </c>
      <c r="M11831" s="94">
        <f>VLOOKUP($Q11831,매칭테이블!$F:$I,2,0)*K11831</f>
        <v/>
      </c>
      <c r="N11831" s="94">
        <f>M11831-M11831*VLOOKUP($Q11831,매칭테이블!$F:$I,3,0)</f>
        <v/>
      </c>
      <c r="O11831" s="94">
        <f>VLOOKUP($Q11831,매칭테이블!$F:$I,4,0)*K11831</f>
        <v/>
      </c>
      <c r="P11831" s="148">
        <f>M11831/1.1</f>
        <v/>
      </c>
      <c r="Q11831" s="94">
        <f>F11831&amp;E11831&amp;G11831&amp;L11831</f>
        <v/>
      </c>
    </row>
    <row r="11832">
      <c r="B11832" s="128" t="n">
        <v>44173</v>
      </c>
      <c r="C11832" s="94">
        <f>TEXT(B11832,"aaa")</f>
        <v/>
      </c>
      <c r="E11832" s="94">
        <f>INDEX(매칭테이블!C:D,MATCH(RD!G11832,매칭테이블!D:D,0),1)</f>
        <v/>
      </c>
      <c r="F11832" s="94" t="inlineStr">
        <is>
          <t>카페24</t>
        </is>
      </c>
      <c r="G11832" s="94" t="inlineStr">
        <is>
          <t>어성초 70 머드 크림 마스크옵션=어성초 70 머드 크림 마스크-20% off</t>
        </is>
      </c>
      <c r="K11832" s="94" t="n">
        <v>1</v>
      </c>
      <c r="L11832" s="94" t="n">
        <v>201208</v>
      </c>
      <c r="M11832" s="94">
        <f>VLOOKUP($Q11832,매칭테이블!$F:$I,2,0)*K11832</f>
        <v/>
      </c>
      <c r="N11832" s="94">
        <f>M11832-M11832*VLOOKUP($Q11832,매칭테이블!$F:$I,3,0)</f>
        <v/>
      </c>
      <c r="O11832" s="94">
        <f>VLOOKUP($Q11832,매칭테이블!$F:$I,4,0)*K11832</f>
        <v/>
      </c>
      <c r="P11832" s="148">
        <f>M11832/1.1</f>
        <v/>
      </c>
      <c r="Q11832" s="94">
        <f>F11832&amp;E11832&amp;G11832&amp;L11832</f>
        <v/>
      </c>
    </row>
    <row r="11833">
      <c r="B11833" s="128" t="n">
        <v>44173</v>
      </c>
      <c r="C11833" s="94">
        <f>TEXT(B11833,"aaa")</f>
        <v/>
      </c>
      <c r="E11833" s="94">
        <f>INDEX(매칭테이블!C:D,MATCH(RD!G11833,매칭테이블!D:D,0),1)</f>
        <v/>
      </c>
      <c r="F11833" s="94" t="inlineStr">
        <is>
          <t>카페24</t>
        </is>
      </c>
      <c r="G11833" s="94" t="inlineStr">
        <is>
          <t>어성초 70 머드 크림 마스크옵션=어성초 70 머드 크림 마스크 2개-30% off (무료배송)</t>
        </is>
      </c>
      <c r="K11833" s="94" t="n">
        <v>1</v>
      </c>
      <c r="L11833" s="94" t="n">
        <v>201208</v>
      </c>
      <c r="M11833" s="94">
        <f>VLOOKUP($Q11833,매칭테이블!$F:$I,2,0)*K11833</f>
        <v/>
      </c>
      <c r="N11833" s="94">
        <f>M11833-M11833*VLOOKUP($Q11833,매칭테이블!$F:$I,3,0)</f>
        <v/>
      </c>
      <c r="O11833" s="94">
        <f>VLOOKUP($Q11833,매칭테이블!$F:$I,4,0)*K11833</f>
        <v/>
      </c>
      <c r="P11833" s="148">
        <f>M11833/1.1</f>
        <v/>
      </c>
      <c r="Q11833" s="94">
        <f>F11833&amp;E11833&amp;G11833&amp;L11833</f>
        <v/>
      </c>
    </row>
    <row r="11834">
      <c r="B11834" s="128" t="n">
        <v>44173</v>
      </c>
      <c r="C11834" s="94">
        <f>TEXT(B11834,"aaa")</f>
        <v/>
      </c>
      <c r="E11834" s="94">
        <f>INDEX(매칭테이블!C:D,MATCH(RD!G11834,매칭테이블!D:D,0),1)</f>
        <v/>
      </c>
      <c r="F11834" s="94" t="inlineStr">
        <is>
          <t>카페24</t>
        </is>
      </c>
      <c r="G11834" s="94" t="inlineStr">
        <is>
          <t>어성초 70 인텐스 카밍 크림크림=어성초 70 인텐스 카밍 크림 1개 (-20%)</t>
        </is>
      </c>
      <c r="K11834" s="94" t="n">
        <v>2</v>
      </c>
      <c r="L11834" s="94" t="n">
        <v>201208</v>
      </c>
      <c r="M11834" s="94">
        <f>VLOOKUP($Q11834,매칭테이블!$F:$I,2,0)*K11834</f>
        <v/>
      </c>
      <c r="N11834" s="94">
        <f>M11834-M11834*VLOOKUP($Q11834,매칭테이블!$F:$I,3,0)</f>
        <v/>
      </c>
      <c r="O11834" s="94">
        <f>VLOOKUP($Q11834,매칭테이블!$F:$I,4,0)*K11834</f>
        <v/>
      </c>
      <c r="P11834" s="148">
        <f>M11834/1.1</f>
        <v/>
      </c>
      <c r="Q11834" s="94">
        <f>F11834&amp;E11834&amp;G11834&amp;L11834</f>
        <v/>
      </c>
    </row>
    <row r="11835">
      <c r="B11835" s="128" t="n">
        <v>44173</v>
      </c>
      <c r="C11835" s="94">
        <f>TEXT(B11835,"aaa")</f>
        <v/>
      </c>
      <c r="E11835" s="94">
        <f>INDEX(매칭테이블!C:D,MATCH(RD!G11835,매칭테이블!D:D,0),1)</f>
        <v/>
      </c>
      <c r="F11835" s="94" t="inlineStr">
        <is>
          <t>카페24</t>
        </is>
      </c>
      <c r="G11835" s="94" t="inlineStr">
        <is>
          <t>어성초 70 인텐스 카밍 크림크림=어성초 70 인텐스 카밍 크림 2개 (-30%)</t>
        </is>
      </c>
      <c r="K11835" s="94" t="n">
        <v>1</v>
      </c>
      <c r="L11835" s="94" t="n">
        <v>201208</v>
      </c>
      <c r="M11835" s="94">
        <f>VLOOKUP($Q11835,매칭테이블!$F:$I,2,0)*K11835</f>
        <v/>
      </c>
      <c r="N11835" s="94">
        <f>M11835-M11835*VLOOKUP($Q11835,매칭테이블!$F:$I,3,0)</f>
        <v/>
      </c>
      <c r="O11835" s="94">
        <f>VLOOKUP($Q11835,매칭테이블!$F:$I,4,0)*K11835</f>
        <v/>
      </c>
      <c r="P11835" s="148">
        <f>M11835/1.1</f>
        <v/>
      </c>
      <c r="Q11835" s="94">
        <f>F11835&amp;E11835&amp;G11835&amp;L11835</f>
        <v/>
      </c>
    </row>
    <row r="11836">
      <c r="B11836" s="128" t="n">
        <v>44173</v>
      </c>
      <c r="C11836" s="94">
        <f>TEXT(B11836,"aaa")</f>
        <v/>
      </c>
      <c r="E11836" s="94">
        <f>INDEX(매칭테이블!C:D,MATCH(RD!G11836,매칭테이블!D:D,0),1)</f>
        <v/>
      </c>
      <c r="F11836" s="94" t="inlineStr">
        <is>
          <t>카페24</t>
        </is>
      </c>
      <c r="G11836" s="94" t="inlineStr">
        <is>
          <t>어성초 77 수딩 토너토너(필수)=어성초 77 토너 1개-20% off</t>
        </is>
      </c>
      <c r="K11836" s="94" t="n">
        <v>44</v>
      </c>
      <c r="L11836" s="94" t="n">
        <v>201208</v>
      </c>
      <c r="M11836" s="94">
        <f>VLOOKUP($Q11836,매칭테이블!$F:$I,2,0)*K11836</f>
        <v/>
      </c>
      <c r="N11836" s="94">
        <f>M11836-M11836*VLOOKUP($Q11836,매칭테이블!$F:$I,3,0)</f>
        <v/>
      </c>
      <c r="O11836" s="94">
        <f>VLOOKUP($Q11836,매칭테이블!$F:$I,4,0)*K11836</f>
        <v/>
      </c>
      <c r="P11836" s="148">
        <f>M11836/1.1</f>
        <v/>
      </c>
      <c r="Q11836" s="94">
        <f>F11836&amp;E11836&amp;G11836&amp;L11836</f>
        <v/>
      </c>
    </row>
    <row r="11837">
      <c r="B11837" s="128" t="n">
        <v>44173</v>
      </c>
      <c r="C11837" s="94">
        <f>TEXT(B11837,"aaa")</f>
        <v/>
      </c>
      <c r="E11837" s="94">
        <f>INDEX(매칭테이블!C:D,MATCH(RD!G11837,매칭테이블!D:D,0),1)</f>
        <v/>
      </c>
      <c r="F11837" s="94" t="inlineStr">
        <is>
          <t>카페24</t>
        </is>
      </c>
      <c r="G11837" s="94" t="inlineStr">
        <is>
          <t>어성초 77 수딩 토너토너(필수)=어성초 77 토너 2개-30% off (무료배송)</t>
        </is>
      </c>
      <c r="K11837" s="94" t="n">
        <v>27</v>
      </c>
      <c r="L11837" s="94" t="n">
        <v>201208</v>
      </c>
      <c r="M11837" s="94">
        <f>VLOOKUP($Q11837,매칭테이블!$F:$I,2,0)*K11837</f>
        <v/>
      </c>
      <c r="N11837" s="94">
        <f>M11837-M11837*VLOOKUP($Q11837,매칭테이블!$F:$I,3,0)</f>
        <v/>
      </c>
      <c r="O11837" s="94">
        <f>VLOOKUP($Q11837,매칭테이블!$F:$I,4,0)*K11837</f>
        <v/>
      </c>
      <c r="P11837" s="148">
        <f>M11837/1.1</f>
        <v/>
      </c>
      <c r="Q11837" s="94">
        <f>F11837&amp;E11837&amp;G11837&amp;L11837</f>
        <v/>
      </c>
    </row>
    <row r="11838">
      <c r="B11838" s="128" t="n">
        <v>44173</v>
      </c>
      <c r="C11838" s="94">
        <f>TEXT(B11838,"aaa")</f>
        <v/>
      </c>
      <c r="E11838" s="94">
        <f>INDEX(매칭테이블!C:D,MATCH(RD!G11838,매칭테이블!D:D,0),1)</f>
        <v/>
      </c>
      <c r="F11838" s="94" t="inlineStr">
        <is>
          <t>카페24</t>
        </is>
      </c>
      <c r="G11838" s="94" t="inlineStr">
        <is>
          <t>어성초 77 수딩 토너토너(필수)=어성초77토너1개 + 어성초77패드1개 -30% off (무료배송)</t>
        </is>
      </c>
      <c r="K11838" s="94" t="n">
        <v>7</v>
      </c>
      <c r="L11838" s="94" t="n">
        <v>201208</v>
      </c>
      <c r="M11838" s="94">
        <f>VLOOKUP($Q11838,매칭테이블!$F:$I,2,0)*K11838</f>
        <v/>
      </c>
      <c r="N11838" s="94">
        <f>M11838-M11838*VLOOKUP($Q11838,매칭테이블!$F:$I,3,0)</f>
        <v/>
      </c>
      <c r="O11838" s="94">
        <f>VLOOKUP($Q11838,매칭테이블!$F:$I,4,0)*K11838</f>
        <v/>
      </c>
      <c r="P11838" s="148">
        <f>M11838/1.1</f>
        <v/>
      </c>
      <c r="Q11838" s="94">
        <f>F11838&amp;E11838&amp;G11838&amp;L11838</f>
        <v/>
      </c>
    </row>
    <row r="11839">
      <c r="B11839" s="128" t="n">
        <v>44173</v>
      </c>
      <c r="C11839" s="94">
        <f>TEXT(B11839,"aaa")</f>
        <v/>
      </c>
      <c r="E11839" s="94">
        <f>INDEX(매칭테이블!C:D,MATCH(RD!G11839,매칭테이블!D:D,0),1)</f>
        <v/>
      </c>
      <c r="F11839" s="94" t="inlineStr">
        <is>
          <t>카페24</t>
        </is>
      </c>
      <c r="G11839" s="94" t="inlineStr">
        <is>
          <t>어성초 77 수딩 토너화장솜(선택)=촉촉 스킨팩 화장솜</t>
        </is>
      </c>
      <c r="K11839" s="94" t="n">
        <v>25</v>
      </c>
      <c r="L11839" s="94" t="n">
        <v>201208</v>
      </c>
      <c r="M11839" s="94">
        <f>VLOOKUP($Q11839,매칭테이블!$F:$I,2,0)*K11839</f>
        <v/>
      </c>
      <c r="N11839" s="94">
        <f>M11839-M11839*VLOOKUP($Q11839,매칭테이블!$F:$I,3,0)</f>
        <v/>
      </c>
      <c r="O11839" s="94">
        <f>VLOOKUP($Q11839,매칭테이블!$F:$I,4,0)*K11839</f>
        <v/>
      </c>
      <c r="P11839" s="148">
        <f>M11839/1.1</f>
        <v/>
      </c>
      <c r="Q11839" s="94">
        <f>F11839&amp;E11839&amp;G11839&amp;L11839</f>
        <v/>
      </c>
    </row>
    <row r="11840">
      <c r="B11840" s="128" t="n">
        <v>44173</v>
      </c>
      <c r="C11840" s="94">
        <f>TEXT(B11840,"aaa")</f>
        <v/>
      </c>
      <c r="E11840" s="94">
        <f>INDEX(매칭테이블!C:D,MATCH(RD!G11840,매칭테이블!D:D,0),1)</f>
        <v/>
      </c>
      <c r="F11840" s="94" t="inlineStr">
        <is>
          <t>카페24</t>
        </is>
      </c>
      <c r="G11840" s="94" t="inlineStr">
        <is>
          <t>어성초 77 수딩 토너토너(필수)=어성초 77 토너 2개-30% off (무료배송)</t>
        </is>
      </c>
      <c r="K11840" s="94" t="n">
        <v>1</v>
      </c>
      <c r="L11840" s="94" t="n">
        <v>201208</v>
      </c>
      <c r="M11840" s="94">
        <f>VLOOKUP($Q11840,매칭테이블!$F:$I,2,0)*K11840</f>
        <v/>
      </c>
      <c r="N11840" s="94">
        <f>M11840-M11840*VLOOKUP($Q11840,매칭테이블!$F:$I,3,0)</f>
        <v/>
      </c>
      <c r="O11840" s="94">
        <f>VLOOKUP($Q11840,매칭테이블!$F:$I,4,0)*K11840</f>
        <v/>
      </c>
      <c r="P11840" s="148">
        <f>M11840/1.1</f>
        <v/>
      </c>
      <c r="Q11840" s="94">
        <f>F11840&amp;E11840&amp;G11840&amp;L11840</f>
        <v/>
      </c>
    </row>
    <row r="11841">
      <c r="B11841" s="128" t="n">
        <v>44173</v>
      </c>
      <c r="C11841" s="94">
        <f>TEXT(B11841,"aaa")</f>
        <v/>
      </c>
      <c r="E11841" s="94">
        <f>INDEX(매칭테이블!C:D,MATCH(RD!G11841,매칭테이블!D:D,0),1)</f>
        <v/>
      </c>
      <c r="F11841" s="94" t="inlineStr">
        <is>
          <t>카페24</t>
        </is>
      </c>
      <c r="G11841" s="94" t="inlineStr">
        <is>
          <t>어성초 77 수딩 토너토너(필수)=(대용량) 어성초 77 토너 500ml (무료배송)</t>
        </is>
      </c>
      <c r="K11841" s="94" t="n">
        <v>1</v>
      </c>
      <c r="L11841" s="94" t="n">
        <v>201208</v>
      </c>
      <c r="M11841" s="94">
        <f>VLOOKUP($Q11841,매칭테이블!$F:$I,2,0)*K11841</f>
        <v/>
      </c>
      <c r="N11841" s="94">
        <f>M11841-M11841*VLOOKUP($Q11841,매칭테이블!$F:$I,3,0)</f>
        <v/>
      </c>
      <c r="O11841" s="94">
        <f>VLOOKUP($Q11841,매칭테이블!$F:$I,4,0)*K11841</f>
        <v/>
      </c>
      <c r="P11841" s="148">
        <f>M11841/1.1</f>
        <v/>
      </c>
      <c r="Q11841" s="94">
        <f>F11841&amp;E11841&amp;G11841&amp;L11841</f>
        <v/>
      </c>
    </row>
    <row r="11842">
      <c r="B11842" s="128" t="n">
        <v>44173</v>
      </c>
      <c r="C11842" s="94">
        <f>TEXT(B11842,"aaa")</f>
        <v/>
      </c>
      <c r="E11842" s="94">
        <f>INDEX(매칭테이블!C:D,MATCH(RD!G11842,매칭테이블!D:D,0),1)</f>
        <v/>
      </c>
      <c r="F11842" s="94" t="inlineStr">
        <is>
          <t>카페24</t>
        </is>
      </c>
      <c r="G11842" s="94" t="inlineStr">
        <is>
          <t>어성초 77 진정 마스크옵션=어성초 77 진정 마스크팩 1장</t>
        </is>
      </c>
      <c r="K11842" s="94" t="n">
        <v>3</v>
      </c>
      <c r="L11842" s="94" t="n">
        <v>201208</v>
      </c>
      <c r="M11842" s="94">
        <f>VLOOKUP($Q11842,매칭테이블!$F:$I,2,0)*K11842</f>
        <v/>
      </c>
      <c r="N11842" s="94">
        <f>M11842-M11842*VLOOKUP($Q11842,매칭테이블!$F:$I,3,0)</f>
        <v/>
      </c>
      <c r="O11842" s="94">
        <f>VLOOKUP($Q11842,매칭테이블!$F:$I,4,0)*K11842</f>
        <v/>
      </c>
      <c r="P11842" s="148">
        <f>M11842/1.1</f>
        <v/>
      </c>
      <c r="Q11842" s="94">
        <f>F11842&amp;E11842&amp;G11842&amp;L11842</f>
        <v/>
      </c>
    </row>
    <row r="11843">
      <c r="B11843" s="128" t="n">
        <v>44173</v>
      </c>
      <c r="C11843" s="94">
        <f>TEXT(B11843,"aaa")</f>
        <v/>
      </c>
      <c r="E11843" s="94">
        <f>INDEX(매칭테이블!C:D,MATCH(RD!G11843,매칭테이블!D:D,0),1)</f>
        <v/>
      </c>
      <c r="F11843" s="94" t="inlineStr">
        <is>
          <t>카페24</t>
        </is>
      </c>
      <c r="G11843" s="94" t="inlineStr">
        <is>
          <t>어성초 77 진정 마스크옵션=어성초 77 진정 마스크팩 10장-50% off</t>
        </is>
      </c>
      <c r="K11843" s="94" t="n">
        <v>6</v>
      </c>
      <c r="L11843" s="94" t="n">
        <v>201208</v>
      </c>
      <c r="M11843" s="94">
        <f>VLOOKUP($Q11843,매칭테이블!$F:$I,2,0)*K11843</f>
        <v/>
      </c>
      <c r="N11843" s="94">
        <f>M11843-M11843*VLOOKUP($Q11843,매칭테이블!$F:$I,3,0)</f>
        <v/>
      </c>
      <c r="O11843" s="94">
        <f>VLOOKUP($Q11843,매칭테이블!$F:$I,4,0)*K11843</f>
        <v/>
      </c>
      <c r="P11843" s="148">
        <f>M11843/1.1</f>
        <v/>
      </c>
      <c r="Q11843" s="94">
        <f>F11843&amp;E11843&amp;G11843&amp;L11843</f>
        <v/>
      </c>
    </row>
    <row r="11844">
      <c r="B11844" s="128" t="n">
        <v>44173</v>
      </c>
      <c r="C11844" s="94">
        <f>TEXT(B11844,"aaa")</f>
        <v/>
      </c>
      <c r="E11844" s="94">
        <f>INDEX(매칭테이블!C:D,MATCH(RD!G11844,매칭테이블!D:D,0),1)</f>
        <v/>
      </c>
      <c r="F11844" s="94" t="inlineStr">
        <is>
          <t>카페24</t>
        </is>
      </c>
      <c r="G11844" s="94" t="inlineStr">
        <is>
          <t>어성초 77 클리어 패드옵션=어성초 77 클리어 패드 1개-20% off</t>
        </is>
      </c>
      <c r="K11844" s="94" t="n">
        <v>47</v>
      </c>
      <c r="L11844" s="94" t="n">
        <v>201208</v>
      </c>
      <c r="M11844" s="94">
        <f>VLOOKUP($Q11844,매칭테이블!$F:$I,2,0)*K11844</f>
        <v/>
      </c>
      <c r="N11844" s="94">
        <f>M11844-M11844*VLOOKUP($Q11844,매칭테이블!$F:$I,3,0)</f>
        <v/>
      </c>
      <c r="O11844" s="94">
        <f>VLOOKUP($Q11844,매칭테이블!$F:$I,4,0)*K11844</f>
        <v/>
      </c>
      <c r="P11844" s="148">
        <f>M11844/1.1</f>
        <v/>
      </c>
      <c r="Q11844" s="94">
        <f>F11844&amp;E11844&amp;G11844&amp;L11844</f>
        <v/>
      </c>
    </row>
    <row r="11845">
      <c r="B11845" s="128" t="n">
        <v>44173</v>
      </c>
      <c r="C11845" s="94">
        <f>TEXT(B11845,"aaa")</f>
        <v/>
      </c>
      <c r="E11845" s="94">
        <f>INDEX(매칭테이블!C:D,MATCH(RD!G11845,매칭테이블!D:D,0),1)</f>
        <v/>
      </c>
      <c r="F11845" s="94" t="inlineStr">
        <is>
          <t>카페24</t>
        </is>
      </c>
      <c r="G11845" s="94" t="inlineStr">
        <is>
          <t>어성초 77 클리어 패드옵션=어성초 77 클리어 패드 2개-30% off (무료배송)</t>
        </is>
      </c>
      <c r="K11845" s="94" t="n">
        <v>48</v>
      </c>
      <c r="L11845" s="94" t="n">
        <v>201208</v>
      </c>
      <c r="M11845" s="94">
        <f>VLOOKUP($Q11845,매칭테이블!$F:$I,2,0)*K11845</f>
        <v/>
      </c>
      <c r="N11845" s="94">
        <f>M11845-M11845*VLOOKUP($Q11845,매칭테이블!$F:$I,3,0)</f>
        <v/>
      </c>
      <c r="O11845" s="94">
        <f>VLOOKUP($Q11845,매칭테이블!$F:$I,4,0)*K11845</f>
        <v/>
      </c>
      <c r="P11845" s="148">
        <f>M11845/1.1</f>
        <v/>
      </c>
      <c r="Q11845" s="94">
        <f>F11845&amp;E11845&amp;G11845&amp;L11845</f>
        <v/>
      </c>
    </row>
    <row r="11846">
      <c r="B11846" s="128" t="n">
        <v>44173</v>
      </c>
      <c r="C11846" s="94">
        <f>TEXT(B11846,"aaa")</f>
        <v/>
      </c>
      <c r="E11846" s="94">
        <f>INDEX(매칭테이블!C:D,MATCH(RD!G11846,매칭테이블!D:D,0),1)</f>
        <v/>
      </c>
      <c r="F11846" s="94" t="inlineStr">
        <is>
          <t>카페24</t>
        </is>
      </c>
      <c r="G11846" s="94" t="inlineStr">
        <is>
          <t>어성초 77 클리어 패드옵션=어성초77토너1개+어성초77패드1개-30% off (무료배송)</t>
        </is>
      </c>
      <c r="K11846" s="94" t="n">
        <v>30</v>
      </c>
      <c r="L11846" s="94" t="n">
        <v>201208</v>
      </c>
      <c r="M11846" s="94">
        <f>VLOOKUP($Q11846,매칭테이블!$F:$I,2,0)*K11846</f>
        <v/>
      </c>
      <c r="N11846" s="94">
        <f>M11846-M11846*VLOOKUP($Q11846,매칭테이블!$F:$I,3,0)</f>
        <v/>
      </c>
      <c r="O11846" s="94">
        <f>VLOOKUP($Q11846,매칭테이블!$F:$I,4,0)*K11846</f>
        <v/>
      </c>
      <c r="P11846" s="148">
        <f>M11846/1.1</f>
        <v/>
      </c>
      <c r="Q11846" s="94">
        <f>F11846&amp;E11846&amp;G11846&amp;L11846</f>
        <v/>
      </c>
    </row>
    <row r="11847">
      <c r="B11847" s="128" t="n">
        <v>44173</v>
      </c>
      <c r="C11847" s="94">
        <f>TEXT(B11847,"aaa")</f>
        <v/>
      </c>
      <c r="E11847" s="94">
        <f>INDEX(매칭테이블!C:D,MATCH(RD!G11847,매칭테이블!D:D,0),1)</f>
        <v/>
      </c>
      <c r="F11847" s="94" t="inlineStr">
        <is>
          <t>카페24</t>
        </is>
      </c>
      <c r="G11847" s="94" t="inlineStr">
        <is>
          <t>어성초 77 클리어 패드옵션=어성초 77 클리어 패드 1개-20% off</t>
        </is>
      </c>
      <c r="K11847" s="94" t="n">
        <v>1</v>
      </c>
      <c r="L11847" s="94" t="n">
        <v>201208</v>
      </c>
      <c r="M11847" s="94">
        <f>VLOOKUP($Q11847,매칭테이블!$F:$I,2,0)*K11847</f>
        <v/>
      </c>
      <c r="N11847" s="94">
        <f>M11847-M11847*VLOOKUP($Q11847,매칭테이블!$F:$I,3,0)</f>
        <v/>
      </c>
      <c r="O11847" s="94">
        <f>VLOOKUP($Q11847,매칭테이블!$F:$I,4,0)*K11847</f>
        <v/>
      </c>
      <c r="P11847" s="148">
        <f>M11847/1.1</f>
        <v/>
      </c>
      <c r="Q11847" s="94">
        <f>F11847&amp;E11847&amp;G11847&amp;L11847</f>
        <v/>
      </c>
    </row>
    <row r="11848">
      <c r="B11848" s="128" t="n">
        <v>44173</v>
      </c>
      <c r="C11848" s="94">
        <f>TEXT(B11848,"aaa")</f>
        <v/>
      </c>
      <c r="E11848" s="94">
        <f>INDEX(매칭테이블!C:D,MATCH(RD!G11848,매칭테이블!D:D,0),1)</f>
        <v/>
      </c>
      <c r="F11848" s="94" t="inlineStr">
        <is>
          <t>카페24</t>
        </is>
      </c>
      <c r="G11848" s="94" t="inlineStr">
        <is>
          <t>어성초 77 클리어 패드옵션=어성초 77 클리어 패드 2개-30% off (무료배송)</t>
        </is>
      </c>
      <c r="K11848" s="94" t="n">
        <v>3</v>
      </c>
      <c r="L11848" s="94" t="n">
        <v>201208</v>
      </c>
      <c r="M11848" s="94">
        <f>VLOOKUP($Q11848,매칭테이블!$F:$I,2,0)*K11848</f>
        <v/>
      </c>
      <c r="N11848" s="94">
        <f>M11848-M11848*VLOOKUP($Q11848,매칭테이블!$F:$I,3,0)</f>
        <v/>
      </c>
      <c r="O11848" s="94">
        <f>VLOOKUP($Q11848,매칭테이블!$F:$I,4,0)*K11848</f>
        <v/>
      </c>
      <c r="P11848" s="148">
        <f>M11848/1.1</f>
        <v/>
      </c>
      <c r="Q11848" s="94">
        <f>F11848&amp;E11848&amp;G11848&amp;L11848</f>
        <v/>
      </c>
    </row>
    <row r="11849">
      <c r="B11849" s="128" t="n">
        <v>44173</v>
      </c>
      <c r="C11849" s="94">
        <f>TEXT(B11849,"aaa")</f>
        <v/>
      </c>
      <c r="E11849" s="94">
        <f>INDEX(매칭테이블!C:D,MATCH(RD!G11849,매칭테이블!D:D,0),1)</f>
        <v/>
      </c>
      <c r="F11849" s="94" t="inlineStr">
        <is>
          <t>카페24</t>
        </is>
      </c>
      <c r="G11849" s="94" t="inlineStr">
        <is>
          <t>어성초 77 클리어 패드옵션=어성초77토너1개+어성초77패드1개-30% off (무료배송)</t>
        </is>
      </c>
      <c r="K11849" s="94" t="n">
        <v>2</v>
      </c>
      <c r="L11849" s="94" t="n">
        <v>201208</v>
      </c>
      <c r="M11849" s="94">
        <f>VLOOKUP($Q11849,매칭테이블!$F:$I,2,0)*K11849</f>
        <v/>
      </c>
      <c r="N11849" s="94">
        <f>M11849-M11849*VLOOKUP($Q11849,매칭테이블!$F:$I,3,0)</f>
        <v/>
      </c>
      <c r="O11849" s="94">
        <f>VLOOKUP($Q11849,매칭테이블!$F:$I,4,0)*K11849</f>
        <v/>
      </c>
      <c r="P11849" s="148">
        <f>M11849/1.1</f>
        <v/>
      </c>
      <c r="Q11849" s="94">
        <f>F11849&amp;E11849&amp;G11849&amp;L11849</f>
        <v/>
      </c>
    </row>
    <row r="11850">
      <c r="B11850" s="128" t="n">
        <v>44173</v>
      </c>
      <c r="C11850" s="94">
        <f>TEXT(B11850,"aaa")</f>
        <v/>
      </c>
      <c r="E11850" s="94">
        <f>INDEX(매칭테이블!C:D,MATCH(RD!G11850,매칭테이블!D:D,0),1)</f>
        <v/>
      </c>
      <c r="F11850" s="94" t="inlineStr">
        <is>
          <t>카페24</t>
        </is>
      </c>
      <c r="G11850" s="94" t="inlineStr">
        <is>
          <t>어성초 77 클리어 패드옵션=어성초 77 클리어 패드 2개-30% off (무료배송)</t>
        </is>
      </c>
      <c r="K11850" s="94" t="n">
        <v>2</v>
      </c>
      <c r="L11850" s="94" t="n">
        <v>201208</v>
      </c>
      <c r="M11850" s="94">
        <f>VLOOKUP($Q11850,매칭테이블!$F:$I,2,0)*K11850</f>
        <v/>
      </c>
      <c r="N11850" s="94">
        <f>M11850-M11850*VLOOKUP($Q11850,매칭테이블!$F:$I,3,0)</f>
        <v/>
      </c>
      <c r="O11850" s="94">
        <f>VLOOKUP($Q11850,매칭테이블!$F:$I,4,0)*K11850</f>
        <v/>
      </c>
      <c r="P11850" s="148">
        <f>M11850/1.1</f>
        <v/>
      </c>
      <c r="Q11850" s="94">
        <f>F11850&amp;E11850&amp;G11850&amp;L11850</f>
        <v/>
      </c>
    </row>
    <row r="11851">
      <c r="B11851" s="128" t="n">
        <v>44173</v>
      </c>
      <c r="C11851" s="94">
        <f>TEXT(B11851,"aaa")</f>
        <v/>
      </c>
      <c r="E11851" s="94">
        <f>INDEX(매칭테이블!C:D,MATCH(RD!G11851,매칭테이블!D:D,0),1)</f>
        <v/>
      </c>
      <c r="F11851" s="94" t="inlineStr">
        <is>
          <t>카페24</t>
        </is>
      </c>
      <c r="G11851" s="94" t="inlineStr">
        <is>
          <t>어성초 77 토너토너(필수)=어성초 77 토너 1개-20% off</t>
        </is>
      </c>
      <c r="K11851" s="94" t="n">
        <v>1</v>
      </c>
      <c r="L11851" s="94" t="n">
        <v>201208</v>
      </c>
      <c r="M11851" s="94">
        <f>VLOOKUP($Q11851,매칭테이블!$F:$I,2,0)*K11851</f>
        <v/>
      </c>
      <c r="N11851" s="94">
        <f>M11851-M11851*VLOOKUP($Q11851,매칭테이블!$F:$I,3,0)</f>
        <v/>
      </c>
      <c r="O11851" s="94">
        <f>VLOOKUP($Q11851,매칭테이블!$F:$I,4,0)*K11851</f>
        <v/>
      </c>
      <c r="P11851" s="148">
        <f>M11851/1.1</f>
        <v/>
      </c>
      <c r="Q11851" s="94">
        <f>F11851&amp;E11851&amp;G11851&amp;L11851</f>
        <v/>
      </c>
    </row>
    <row r="11852">
      <c r="B11852" s="128" t="n">
        <v>44173</v>
      </c>
      <c r="C11852" s="94">
        <f>TEXT(B11852,"aaa")</f>
        <v/>
      </c>
      <c r="E11852" s="94">
        <f>INDEX(매칭테이블!C:D,MATCH(RD!G11852,매칭테이블!D:D,0),1)</f>
        <v/>
      </c>
      <c r="F11852" s="94" t="inlineStr">
        <is>
          <t>카페24</t>
        </is>
      </c>
      <c r="G11852" s="94" t="inlineStr">
        <is>
          <t>어성초 77 토너화장솜(선택)=촉촉 스킨팩 화장솜</t>
        </is>
      </c>
      <c r="K11852" s="94" t="n">
        <v>1</v>
      </c>
      <c r="L11852" s="94" t="n">
        <v>201208</v>
      </c>
      <c r="M11852" s="94">
        <f>VLOOKUP($Q11852,매칭테이블!$F:$I,2,0)*K11852</f>
        <v/>
      </c>
      <c r="N11852" s="94">
        <f>M11852-M11852*VLOOKUP($Q11852,매칭테이블!$F:$I,3,0)</f>
        <v/>
      </c>
      <c r="O11852" s="94">
        <f>VLOOKUP($Q11852,매칭테이블!$F:$I,4,0)*K11852</f>
        <v/>
      </c>
      <c r="P11852" s="148">
        <f>M11852/1.1</f>
        <v/>
      </c>
      <c r="Q11852" s="94">
        <f>F11852&amp;E11852&amp;G11852&amp;L11852</f>
        <v/>
      </c>
    </row>
    <row r="11853">
      <c r="B11853" s="128" t="n">
        <v>44173</v>
      </c>
      <c r="C11853" s="94">
        <f>TEXT(B11853,"aaa")</f>
        <v/>
      </c>
      <c r="E11853" s="94">
        <f>INDEX(매칭테이블!C:D,MATCH(RD!G11853,매칭테이블!D:D,0),1)</f>
        <v/>
      </c>
      <c r="F11853" s="94" t="inlineStr">
        <is>
          <t>카페24</t>
        </is>
      </c>
      <c r="G11853" s="94" t="inlineStr">
        <is>
          <t>어성초 78 수딩 크림</t>
        </is>
      </c>
      <c r="K11853" s="94" t="n">
        <v>4</v>
      </c>
      <c r="L11853" s="94" t="n">
        <v>201208</v>
      </c>
      <c r="M11853" s="94">
        <f>VLOOKUP($Q11853,매칭테이블!$F:$I,2,0)*K11853</f>
        <v/>
      </c>
      <c r="N11853" s="94">
        <f>M11853-M11853*VLOOKUP($Q11853,매칭테이블!$F:$I,3,0)</f>
        <v/>
      </c>
      <c r="O11853" s="94">
        <f>VLOOKUP($Q11853,매칭테이블!$F:$I,4,0)*K11853</f>
        <v/>
      </c>
      <c r="P11853" s="148">
        <f>M11853/1.1</f>
        <v/>
      </c>
      <c r="Q11853" s="94">
        <f>F11853&amp;E11853&amp;G11853&amp;L11853</f>
        <v/>
      </c>
    </row>
    <row r="11854">
      <c r="B11854" s="128" t="n">
        <v>44173</v>
      </c>
      <c r="C11854" s="94">
        <f>TEXT(B11854,"aaa")</f>
        <v/>
      </c>
      <c r="E11854" s="94">
        <f>INDEX(매칭테이블!C:D,MATCH(RD!G11854,매칭테이블!D:D,0),1)</f>
        <v/>
      </c>
      <c r="F11854" s="94" t="inlineStr">
        <is>
          <t>카페24</t>
        </is>
      </c>
      <c r="G11854" s="94" t="inlineStr">
        <is>
          <t>어성초 80 수분 진정 앰플앰플=어성초 80 앰플 1개-15%off</t>
        </is>
      </c>
      <c r="K11854" s="94" t="n">
        <v>23</v>
      </c>
      <c r="L11854" s="94" t="n">
        <v>201208</v>
      </c>
      <c r="M11854" s="94">
        <f>VLOOKUP($Q11854,매칭테이블!$F:$I,2,0)*K11854</f>
        <v/>
      </c>
      <c r="N11854" s="94">
        <f>M11854-M11854*VLOOKUP($Q11854,매칭테이블!$F:$I,3,0)</f>
        <v/>
      </c>
      <c r="O11854" s="94">
        <f>VLOOKUP($Q11854,매칭테이블!$F:$I,4,0)*K11854</f>
        <v/>
      </c>
      <c r="P11854" s="148">
        <f>M11854/1.1</f>
        <v/>
      </c>
      <c r="Q11854" s="94">
        <f>F11854&amp;E11854&amp;G11854&amp;L11854</f>
        <v/>
      </c>
    </row>
    <row r="11855">
      <c r="B11855" s="128" t="n">
        <v>44173</v>
      </c>
      <c r="C11855" s="94">
        <f>TEXT(B11855,"aaa")</f>
        <v/>
      </c>
      <c r="E11855" s="94">
        <f>INDEX(매칭테이블!C:D,MATCH(RD!G11855,매칭테이블!D:D,0),1)</f>
        <v/>
      </c>
      <c r="F11855" s="94" t="inlineStr">
        <is>
          <t>카페24</t>
        </is>
      </c>
      <c r="G11855" s="94" t="inlineStr">
        <is>
          <t>어성초 80 수분 진정 앰플앰플=어성초 80 앰플 2개-27%off (무료배송)</t>
        </is>
      </c>
      <c r="K11855" s="94" t="n">
        <v>6</v>
      </c>
      <c r="L11855" s="94" t="n">
        <v>201208</v>
      </c>
      <c r="M11855" s="94">
        <f>VLOOKUP($Q11855,매칭테이블!$F:$I,2,0)*K11855</f>
        <v/>
      </c>
      <c r="N11855" s="94">
        <f>M11855-M11855*VLOOKUP($Q11855,매칭테이블!$F:$I,3,0)</f>
        <v/>
      </c>
      <c r="O11855" s="94">
        <f>VLOOKUP($Q11855,매칭테이블!$F:$I,4,0)*K11855</f>
        <v/>
      </c>
      <c r="P11855" s="148">
        <f>M11855/1.1</f>
        <v/>
      </c>
      <c r="Q11855" s="94">
        <f>F11855&amp;E11855&amp;G11855&amp;L11855</f>
        <v/>
      </c>
    </row>
    <row r="11856">
      <c r="B11856" s="128" t="n">
        <v>44173</v>
      </c>
      <c r="C11856" s="94">
        <f>TEXT(B11856,"aaa")</f>
        <v/>
      </c>
      <c r="E11856" s="94">
        <f>INDEX(매칭테이블!C:D,MATCH(RD!G11856,매칭테이블!D:D,0),1)</f>
        <v/>
      </c>
      <c r="F11856" s="94" t="inlineStr">
        <is>
          <t>카페24</t>
        </is>
      </c>
      <c r="G11856" s="94" t="inlineStr">
        <is>
          <t>어성초 80 수분 진정 앰플</t>
        </is>
      </c>
      <c r="K11856" s="94" t="n">
        <v>3</v>
      </c>
      <c r="L11856" s="94" t="n">
        <v>201208</v>
      </c>
      <c r="M11856" s="94">
        <f>VLOOKUP($Q11856,매칭테이블!$F:$I,2,0)*K11856</f>
        <v/>
      </c>
      <c r="N11856" s="94">
        <f>M11856-M11856*VLOOKUP($Q11856,매칭테이블!$F:$I,3,0)</f>
        <v/>
      </c>
      <c r="O11856" s="94">
        <f>VLOOKUP($Q11856,매칭테이블!$F:$I,4,0)*K11856</f>
        <v/>
      </c>
      <c r="P11856" s="148">
        <f>M11856/1.1</f>
        <v/>
      </c>
      <c r="Q11856" s="94">
        <f>F11856&amp;E11856&amp;G11856&amp;L11856</f>
        <v/>
      </c>
    </row>
    <row r="11857">
      <c r="B11857" s="128" t="n">
        <v>44173</v>
      </c>
      <c r="C11857" s="94">
        <f>TEXT(B11857,"aaa")</f>
        <v/>
      </c>
      <c r="E11857" s="94">
        <f>INDEX(매칭테이블!C:D,MATCH(RD!G11857,매칭테이블!D:D,0),1)</f>
        <v/>
      </c>
      <c r="F11857" s="94" t="inlineStr">
        <is>
          <t>카페24</t>
        </is>
      </c>
      <c r="G11857" s="94" t="inlineStr">
        <is>
          <t>어성초 아크네 바디워시옵션=어성초 아크네 바디워시 1개 -30% off</t>
        </is>
      </c>
      <c r="K11857" s="94" t="n">
        <v>4</v>
      </c>
      <c r="L11857" s="94" t="n">
        <v>201208</v>
      </c>
      <c r="M11857" s="94">
        <f>VLOOKUP($Q11857,매칭테이블!$F:$I,2,0)*K11857</f>
        <v/>
      </c>
      <c r="N11857" s="94">
        <f>M11857-M11857*VLOOKUP($Q11857,매칭테이블!$F:$I,3,0)</f>
        <v/>
      </c>
      <c r="O11857" s="94">
        <f>VLOOKUP($Q11857,매칭테이블!$F:$I,4,0)*K11857</f>
        <v/>
      </c>
      <c r="P11857" s="148">
        <f>M11857/1.1</f>
        <v/>
      </c>
      <c r="Q11857" s="94">
        <f>F11857&amp;E11857&amp;G11857&amp;L11857</f>
        <v/>
      </c>
    </row>
    <row r="11858">
      <c r="B11858" s="128" t="n">
        <v>44173</v>
      </c>
      <c r="C11858" s="94">
        <f>TEXT(B11858,"aaa")</f>
        <v/>
      </c>
      <c r="E11858" s="94">
        <f>INDEX(매칭테이블!C:D,MATCH(RD!G11858,매칭테이블!D:D,0),1)</f>
        <v/>
      </c>
      <c r="F11858" s="94" t="inlineStr">
        <is>
          <t>카페24</t>
        </is>
      </c>
      <c r="G11858" s="94" t="inlineStr">
        <is>
          <t>어성초 아크네 바디워시옵션=어성초 아크네 바디워시 2개 -35% off (무료배송)</t>
        </is>
      </c>
      <c r="K11858" s="94" t="n">
        <v>1</v>
      </c>
      <c r="L11858" s="94" t="n">
        <v>201208</v>
      </c>
      <c r="M11858" s="94">
        <f>VLOOKUP($Q11858,매칭테이블!$F:$I,2,0)*K11858</f>
        <v/>
      </c>
      <c r="N11858" s="94">
        <f>M11858-M11858*VLOOKUP($Q11858,매칭테이블!$F:$I,3,0)</f>
        <v/>
      </c>
      <c r="O11858" s="94">
        <f>VLOOKUP($Q11858,매칭테이블!$F:$I,4,0)*K11858</f>
        <v/>
      </c>
      <c r="P11858" s="148">
        <f>M11858/1.1</f>
        <v/>
      </c>
      <c r="Q11858" s="94">
        <f>F11858&amp;E11858&amp;G11858&amp;L11858</f>
        <v/>
      </c>
    </row>
    <row r="11859">
      <c r="B11859" s="128" t="n">
        <v>44173</v>
      </c>
      <c r="C11859" s="94">
        <f>TEXT(B11859,"aaa")</f>
        <v/>
      </c>
      <c r="E11859" s="94">
        <f>INDEX(매칭테이블!C:D,MATCH(RD!G11859,매칭테이블!D:D,0),1)</f>
        <v/>
      </c>
      <c r="F11859" s="94" t="inlineStr">
        <is>
          <t>카페24</t>
        </is>
      </c>
      <c r="G11859" s="94" t="inlineStr">
        <is>
          <t>어성초 약산성 클렌징폼클렌징폼=어성초 약산성 클렌징폼 1개 -19%off</t>
        </is>
      </c>
      <c r="K11859" s="94" t="n">
        <v>9</v>
      </c>
      <c r="L11859" s="94" t="n">
        <v>201208</v>
      </c>
      <c r="M11859" s="94">
        <f>VLOOKUP($Q11859,매칭테이블!$F:$I,2,0)*K11859</f>
        <v/>
      </c>
      <c r="N11859" s="94">
        <f>M11859-M11859*VLOOKUP($Q11859,매칭테이블!$F:$I,3,0)</f>
        <v/>
      </c>
      <c r="O11859" s="94">
        <f>VLOOKUP($Q11859,매칭테이블!$F:$I,4,0)*K11859</f>
        <v/>
      </c>
      <c r="P11859" s="148">
        <f>M11859/1.1</f>
        <v/>
      </c>
      <c r="Q11859" s="94">
        <f>F11859&amp;E11859&amp;G11859&amp;L11859</f>
        <v/>
      </c>
    </row>
    <row r="11860">
      <c r="B11860" s="128" t="n">
        <v>44173</v>
      </c>
      <c r="C11860" s="94">
        <f>TEXT(B11860,"aaa")</f>
        <v/>
      </c>
      <c r="E11860" s="94">
        <f>INDEX(매칭테이블!C:D,MATCH(RD!G11860,매칭테이블!D:D,0),1)</f>
        <v/>
      </c>
      <c r="F11860" s="94" t="inlineStr">
        <is>
          <t>카페24</t>
        </is>
      </c>
      <c r="G11860" s="94" t="inlineStr">
        <is>
          <t>어성초 약산성 클렌징폼클렌징폼=어성초 약산성 클렌징폼 2개 -25%off</t>
        </is>
      </c>
      <c r="K11860" s="94" t="n">
        <v>2</v>
      </c>
      <c r="L11860" s="94" t="n">
        <v>201208</v>
      </c>
      <c r="M11860" s="94">
        <f>VLOOKUP($Q11860,매칭테이블!$F:$I,2,0)*K11860</f>
        <v/>
      </c>
      <c r="N11860" s="94">
        <f>M11860-M11860*VLOOKUP($Q11860,매칭테이블!$F:$I,3,0)</f>
        <v/>
      </c>
      <c r="O11860" s="94">
        <f>VLOOKUP($Q11860,매칭테이블!$F:$I,4,0)*K11860</f>
        <v/>
      </c>
      <c r="P11860" s="148">
        <f>M11860/1.1</f>
        <v/>
      </c>
      <c r="Q11860" s="94">
        <f>F11860&amp;E11860&amp;G11860&amp;L11860</f>
        <v/>
      </c>
    </row>
    <row r="11861">
      <c r="B11861" s="128" t="n">
        <v>44173</v>
      </c>
      <c r="C11861" s="94">
        <f>TEXT(B11861,"aaa")</f>
        <v/>
      </c>
      <c r="E11861" s="94">
        <f>INDEX(매칭테이블!C:D,MATCH(RD!G11861,매칭테이블!D:D,0),1)</f>
        <v/>
      </c>
      <c r="F11861" s="94" t="inlineStr">
        <is>
          <t>카페24</t>
        </is>
      </c>
      <c r="G11861" s="94" t="inlineStr">
        <is>
          <t>어성초 약산성 클렌징폼클렌징폼=어성초 약산성 클렌징폼 3개 -31%off (무료배송)</t>
        </is>
      </c>
      <c r="K11861" s="94" t="n">
        <v>2</v>
      </c>
      <c r="L11861" s="94" t="n">
        <v>201208</v>
      </c>
      <c r="M11861" s="94">
        <f>VLOOKUP($Q11861,매칭테이블!$F:$I,2,0)*K11861</f>
        <v/>
      </c>
      <c r="N11861" s="94">
        <f>M11861-M11861*VLOOKUP($Q11861,매칭테이블!$F:$I,3,0)</f>
        <v/>
      </c>
      <c r="O11861" s="94">
        <f>VLOOKUP($Q11861,매칭테이블!$F:$I,4,0)*K11861</f>
        <v/>
      </c>
      <c r="P11861" s="148">
        <f>M11861/1.1</f>
        <v/>
      </c>
      <c r="Q11861" s="94">
        <f>F11861&amp;E11861&amp;G11861&amp;L11861</f>
        <v/>
      </c>
    </row>
    <row r="11862">
      <c r="B11862" s="128" t="n">
        <v>44173</v>
      </c>
      <c r="C11862" s="94">
        <f>TEXT(B11862,"aaa")</f>
        <v/>
      </c>
      <c r="E11862" s="94">
        <f>INDEX(매칭테이블!C:D,MATCH(RD!G11862,매칭테이블!D:D,0),1)</f>
        <v/>
      </c>
      <c r="F11862" s="94" t="inlineStr">
        <is>
          <t>카페24</t>
        </is>
      </c>
      <c r="G11862" s="94" t="inlineStr">
        <is>
          <t>어성초 크림마스크 나이트 솔루션옵션=어성초 크림마스크 나이트 솔루션 1장</t>
        </is>
      </c>
      <c r="K11862" s="94" t="n">
        <v>2</v>
      </c>
      <c r="L11862" s="94" t="n">
        <v>201208</v>
      </c>
      <c r="M11862" s="94">
        <f>VLOOKUP($Q11862,매칭테이블!$F:$I,2,0)*K11862</f>
        <v/>
      </c>
      <c r="N11862" s="94">
        <f>M11862-M11862*VLOOKUP($Q11862,매칭테이블!$F:$I,3,0)</f>
        <v/>
      </c>
      <c r="O11862" s="94">
        <f>VLOOKUP($Q11862,매칭테이블!$F:$I,4,0)*K11862</f>
        <v/>
      </c>
      <c r="P11862" s="148">
        <f>M11862/1.1</f>
        <v/>
      </c>
      <c r="Q11862" s="94">
        <f>F11862&amp;E11862&amp;G11862&amp;L11862</f>
        <v/>
      </c>
    </row>
    <row r="11863">
      <c r="B11863" s="128" t="n">
        <v>44173</v>
      </c>
      <c r="C11863" s="94">
        <f>TEXT(B11863,"aaa")</f>
        <v/>
      </c>
      <c r="E11863" s="94">
        <f>INDEX(매칭테이블!C:D,MATCH(RD!G11863,매칭테이블!D:D,0),1)</f>
        <v/>
      </c>
      <c r="F11863" s="94" t="inlineStr">
        <is>
          <t>카페24</t>
        </is>
      </c>
      <c r="G11863" s="94" t="inlineStr">
        <is>
          <t>어성초 크림마스크 나이트 솔루션옵션=어성초 크림마스크 나이트 솔루션 10장 (-50%)</t>
        </is>
      </c>
      <c r="K11863" s="94" t="n">
        <v>4</v>
      </c>
      <c r="L11863" s="94" t="n">
        <v>201208</v>
      </c>
      <c r="M11863" s="94">
        <f>VLOOKUP($Q11863,매칭테이블!$F:$I,2,0)*K11863</f>
        <v/>
      </c>
      <c r="N11863" s="94">
        <f>M11863-M11863*VLOOKUP($Q11863,매칭테이블!$F:$I,3,0)</f>
        <v/>
      </c>
      <c r="O11863" s="94">
        <f>VLOOKUP($Q11863,매칭테이블!$F:$I,4,0)*K11863</f>
        <v/>
      </c>
      <c r="P11863" s="148">
        <f>M11863/1.1</f>
        <v/>
      </c>
      <c r="Q11863" s="94">
        <f>F11863&amp;E11863&amp;G11863&amp;L11863</f>
        <v/>
      </c>
    </row>
    <row r="11864">
      <c r="B11864" s="128" t="n">
        <v>44173</v>
      </c>
      <c r="C11864" s="94">
        <f>TEXT(B11864,"aaa")</f>
        <v/>
      </c>
      <c r="E11864" s="94">
        <f>INDEX(매칭테이블!C:D,MATCH(RD!G11864,매칭테이블!D:D,0),1)</f>
        <v/>
      </c>
      <c r="F11864" s="94" t="inlineStr">
        <is>
          <t>카페24</t>
        </is>
      </c>
      <c r="G11864" s="94" t="inlineStr">
        <is>
          <t>촉촉 스킨팩 화장솜</t>
        </is>
      </c>
      <c r="K11864" s="94" t="n">
        <v>15</v>
      </c>
      <c r="L11864" s="94" t="n">
        <v>201208</v>
      </c>
      <c r="M11864" s="94">
        <f>VLOOKUP($Q11864,매칭테이블!$F:$I,2,0)*K11864</f>
        <v/>
      </c>
      <c r="N11864" s="94">
        <f>M11864-M11864*VLOOKUP($Q11864,매칭테이블!$F:$I,3,0)</f>
        <v/>
      </c>
      <c r="O11864" s="94">
        <f>VLOOKUP($Q11864,매칭테이블!$F:$I,4,0)*K11864</f>
        <v/>
      </c>
      <c r="P11864" s="148">
        <f>M11864/1.1</f>
        <v/>
      </c>
      <c r="Q11864" s="94">
        <f>F11864&amp;E11864&amp;G11864&amp;L11864</f>
        <v/>
      </c>
    </row>
    <row r="11865">
      <c r="B11865" s="128" t="n">
        <v>44173</v>
      </c>
      <c r="C11865" s="94">
        <f>TEXT(B11865,"aaa")</f>
        <v/>
      </c>
      <c r="E11865" s="94">
        <f>INDEX(매칭테이블!C:D,MATCH(RD!G11865,매칭테이블!D:D,0),1)</f>
        <v/>
      </c>
      <c r="F11865" s="94" t="inlineStr">
        <is>
          <t>화해</t>
        </is>
      </c>
      <c r="G11865" s="94" t="inlineStr">
        <is>
          <t>어성초 77 토너 250ml어성초 77 토너 250ml</t>
        </is>
      </c>
      <c r="K11865" s="94" t="n">
        <v>4</v>
      </c>
      <c r="L11865" s="94" t="n">
        <v>201208</v>
      </c>
      <c r="M11865" s="94">
        <f>VLOOKUP($Q11865,매칭테이블!$F:$I,2,0)*K11865</f>
        <v/>
      </c>
      <c r="N11865" s="94">
        <f>M11865-M11865*VLOOKUP($Q11865,매칭테이블!$F:$I,3,0)</f>
        <v/>
      </c>
      <c r="O11865" s="94">
        <f>VLOOKUP($Q11865,매칭테이블!$F:$I,4,0)*K11865</f>
        <v/>
      </c>
      <c r="P11865" s="148">
        <f>M11865/1.1</f>
        <v/>
      </c>
      <c r="Q11865" s="94">
        <f>F11865&amp;E11865&amp;G11865&amp;L11865</f>
        <v/>
      </c>
    </row>
    <row r="11866">
      <c r="B11866" s="128" t="n">
        <v>44173</v>
      </c>
      <c r="C11866" s="94">
        <f>TEXT(B11866,"aaa")</f>
        <v/>
      </c>
      <c r="E11866" s="94">
        <f>INDEX(매칭테이블!C:D,MATCH(RD!G11866,매칭테이블!D:D,0),1)</f>
        <v/>
      </c>
      <c r="F11866" s="94" t="inlineStr">
        <is>
          <t>화해</t>
        </is>
      </c>
      <c r="G11866" s="94" t="inlineStr">
        <is>
          <t>어성초 80 수분 진정 앰플 30ml어성초 80 수분 진정 앰플 30ml</t>
        </is>
      </c>
      <c r="K11866" s="94" t="n">
        <v>2</v>
      </c>
      <c r="L11866" s="94" t="n">
        <v>201208</v>
      </c>
      <c r="M11866" s="94">
        <f>VLOOKUP($Q11866,매칭테이블!$F:$I,2,0)*K11866</f>
        <v/>
      </c>
      <c r="N11866" s="94">
        <f>M11866-M11866*VLOOKUP($Q11866,매칭테이블!$F:$I,3,0)</f>
        <v/>
      </c>
      <c r="O11866" s="94">
        <f>VLOOKUP($Q11866,매칭테이블!$F:$I,4,0)*K11866</f>
        <v/>
      </c>
      <c r="P11866" s="148">
        <f>M11866/1.1</f>
        <v/>
      </c>
      <c r="Q11866" s="94">
        <f>F11866&amp;E11866&amp;G11866&amp;L11866</f>
        <v/>
      </c>
    </row>
    <row r="11867">
      <c r="B11867" s="128" t="n">
        <v>44174</v>
      </c>
      <c r="C11867" s="88">
        <f>TEXT(B11867,"aaa")</f>
        <v/>
      </c>
      <c r="E11867" s="88">
        <f>INDEX(매칭테이블!C:D,MATCH(RD!G11867,매칭테이블!D:D,0),1)</f>
        <v/>
      </c>
      <c r="F11867" s="94" t="inlineStr">
        <is>
          <t>W컨셉</t>
        </is>
      </c>
      <c r="G11867" s="94" t="inlineStr">
        <is>
          <t>어성초 77토너 (2 SET) HEARTLEAF 77% SOOTHING TONER 250ml250ml 2set</t>
        </is>
      </c>
      <c r="K11867" s="94" t="n">
        <v>3</v>
      </c>
      <c r="L11867" s="88" t="n">
        <v>201208</v>
      </c>
      <c r="M11867" s="88">
        <f>VLOOKUP($Q11867,매칭테이블!$F:$I,2,0)*K11867</f>
        <v/>
      </c>
      <c r="N11867" s="88">
        <f>M11867-M11867*VLOOKUP($Q11867,매칭테이블!$F:$I,3,0)</f>
        <v/>
      </c>
      <c r="O11867" s="88">
        <f>VLOOKUP($Q11867,매칭테이블!$F:$I,4,0)*K11867</f>
        <v/>
      </c>
      <c r="P11867" s="152">
        <f>M11867/1.1</f>
        <v/>
      </c>
      <c r="Q11867" s="88">
        <f>F11867&amp;E11867&amp;G11867&amp;L11867</f>
        <v/>
      </c>
    </row>
    <row r="11868" customFormat="1" s="94">
      <c r="B11868" s="128" t="n">
        <v>44174</v>
      </c>
      <c r="C11868" s="88">
        <f>TEXT(B11868,"aaa")</f>
        <v/>
      </c>
      <c r="E11868" s="88">
        <f>INDEX(매칭테이블!C:D,MATCH(RD!G11868,매칭테이블!D:D,0),1)</f>
        <v/>
      </c>
      <c r="F11868" s="94" t="inlineStr">
        <is>
          <t>스타일쉐어</t>
        </is>
      </c>
      <c r="G11868" s="94" t="inlineStr">
        <is>
          <t>아누아 어성초 77 토너 250ml</t>
        </is>
      </c>
      <c r="K11868" s="94" t="n">
        <v>1</v>
      </c>
      <c r="L11868" s="88" t="n">
        <v>201208</v>
      </c>
      <c r="M11868" s="88">
        <f>VLOOKUP($Q11868,매칭테이블!$F:$I,2,0)*K11868</f>
        <v/>
      </c>
      <c r="N11868" s="88">
        <f>M11868-M11868*VLOOKUP($Q11868,매칭테이블!$F:$I,3,0)</f>
        <v/>
      </c>
      <c r="O11868" s="88">
        <f>VLOOKUP($Q11868,매칭테이블!$F:$I,4,0)*K11868</f>
        <v/>
      </c>
      <c r="P11868" s="152">
        <f>M11868/1.1</f>
        <v/>
      </c>
      <c r="Q11868" s="88">
        <f>F11868&amp;E11868&amp;G11868&amp;L11868</f>
        <v/>
      </c>
    </row>
    <row r="11869" customFormat="1" s="94">
      <c r="B11869" s="128" t="n">
        <v>44174</v>
      </c>
      <c r="C11869" s="88">
        <f>TEXT(B11869,"aaa")</f>
        <v/>
      </c>
      <c r="E11869" s="88">
        <f>INDEX(매칭테이블!C:D,MATCH(RD!G11869,매칭테이블!D:D,0),1)</f>
        <v/>
      </c>
      <c r="F11869" s="94" t="inlineStr">
        <is>
          <t>아누아 CS</t>
        </is>
      </c>
      <c r="G11869" s="94" t="inlineStr">
        <is>
          <t>어성초 77 토너 250ml</t>
        </is>
      </c>
      <c r="K11869" s="94" t="n">
        <v>1</v>
      </c>
      <c r="L11869" s="88" t="n">
        <v>201208</v>
      </c>
      <c r="M11869" s="88">
        <f>VLOOKUP($Q11869,매칭테이블!$F:$I,2,0)*K11869</f>
        <v/>
      </c>
      <c r="N11869" s="88">
        <f>M11869-M11869*VLOOKUP($Q11869,매칭테이블!$F:$I,3,0)</f>
        <v/>
      </c>
      <c r="O11869" s="88">
        <f>VLOOKUP($Q11869,매칭테이블!$F:$I,4,0)*K11869</f>
        <v/>
      </c>
      <c r="P11869" s="152">
        <f>M11869/1.1</f>
        <v/>
      </c>
      <c r="Q11869" s="88">
        <f>F11869&amp;E11869&amp;G11869&amp;L11869</f>
        <v/>
      </c>
    </row>
    <row r="11870" customFormat="1" s="94">
      <c r="B11870" s="128" t="n">
        <v>44174</v>
      </c>
      <c r="C11870" s="88">
        <f>TEXT(B11870,"aaa")</f>
        <v/>
      </c>
      <c r="E11870" s="88">
        <f>INDEX(매칭테이블!C:D,MATCH(RD!G11870,매칭테이블!D:D,0),1)</f>
        <v/>
      </c>
      <c r="F11870" s="94" t="inlineStr">
        <is>
          <t>카페24</t>
        </is>
      </c>
      <c r="G11870" s="94" t="inlineStr">
        <is>
          <t>5 제로 무기자차 선크림옵션=5제로 무기자차 선크림 1개-20% off</t>
        </is>
      </c>
      <c r="K11870" s="94" t="n">
        <v>2</v>
      </c>
      <c r="L11870" s="88" t="n">
        <v>201208</v>
      </c>
      <c r="M11870" s="88">
        <f>VLOOKUP($Q11870,매칭테이블!$F:$I,2,0)*K11870</f>
        <v/>
      </c>
      <c r="N11870" s="88">
        <f>M11870-M11870*VLOOKUP($Q11870,매칭테이블!$F:$I,3,0)</f>
        <v/>
      </c>
      <c r="O11870" s="88">
        <f>VLOOKUP($Q11870,매칭테이블!$F:$I,4,0)*K11870</f>
        <v/>
      </c>
      <c r="P11870" s="152">
        <f>M11870/1.1</f>
        <v/>
      </c>
      <c r="Q11870" s="88">
        <f>F11870&amp;E11870&amp;G11870&amp;L11870</f>
        <v/>
      </c>
    </row>
    <row r="11871" customFormat="1" s="94">
      <c r="B11871" s="128" t="n">
        <v>44174</v>
      </c>
      <c r="C11871" s="88">
        <f>TEXT(B11871,"aaa")</f>
        <v/>
      </c>
      <c r="E11871" s="88">
        <f>INDEX(매칭테이블!C:D,MATCH(RD!G11871,매칭테이블!D:D,0),1)</f>
        <v/>
      </c>
      <c r="F11871" s="94" t="inlineStr">
        <is>
          <t>카페24</t>
        </is>
      </c>
      <c r="G11871" s="94" t="inlineStr">
        <is>
          <t>5 제로 무기자차 선크림옵션=5제로 무기자차 선크림 2개-30% off (무료배송)</t>
        </is>
      </c>
      <c r="K11871" s="94" t="n">
        <v>1</v>
      </c>
      <c r="L11871" s="88" t="n">
        <v>201208</v>
      </c>
      <c r="M11871" s="88">
        <f>VLOOKUP($Q11871,매칭테이블!$F:$I,2,0)*K11871</f>
        <v/>
      </c>
      <c r="N11871" s="88">
        <f>M11871-M11871*VLOOKUP($Q11871,매칭테이블!$F:$I,3,0)</f>
        <v/>
      </c>
      <c r="O11871" s="88">
        <f>VLOOKUP($Q11871,매칭테이블!$F:$I,4,0)*K11871</f>
        <v/>
      </c>
      <c r="P11871" s="152">
        <f>M11871/1.1</f>
        <v/>
      </c>
      <c r="Q11871" s="88">
        <f>F11871&amp;E11871&amp;G11871&amp;L11871</f>
        <v/>
      </c>
    </row>
    <row r="11872" customFormat="1" s="94">
      <c r="B11872" s="128" t="n">
        <v>44174</v>
      </c>
      <c r="C11872" s="88">
        <f>TEXT(B11872,"aaa")</f>
        <v/>
      </c>
      <c r="E11872" s="88">
        <f>INDEX(매칭테이블!C:D,MATCH(RD!G11872,매칭테이블!D:D,0),1)</f>
        <v/>
      </c>
      <c r="F11872" s="94" t="inlineStr">
        <is>
          <t>카페24</t>
        </is>
      </c>
      <c r="G11872" s="94" t="inlineStr">
        <is>
          <t>[수분 보충 세트] 어성초 77 토너 + 어성초 70 로션옵션=어성초 77 토너 250ml + 어성초 70 로션 200ml -30%</t>
        </is>
      </c>
      <c r="K11872" s="94" t="n">
        <v>24</v>
      </c>
      <c r="L11872" s="88" t="n">
        <v>201208</v>
      </c>
      <c r="M11872" s="88">
        <f>VLOOKUP($Q11872,매칭테이블!$F:$I,2,0)*K11872</f>
        <v/>
      </c>
      <c r="N11872" s="88">
        <f>M11872-M11872*VLOOKUP($Q11872,매칭테이블!$F:$I,3,0)</f>
        <v/>
      </c>
      <c r="O11872" s="88">
        <f>VLOOKUP($Q11872,매칭테이블!$F:$I,4,0)*K11872</f>
        <v/>
      </c>
      <c r="P11872" s="152">
        <f>M11872/1.1</f>
        <v/>
      </c>
      <c r="Q11872" s="88">
        <f>F11872&amp;E11872&amp;G11872&amp;L11872</f>
        <v/>
      </c>
    </row>
    <row r="11873" customFormat="1" s="94">
      <c r="B11873" s="128" t="n">
        <v>44174</v>
      </c>
      <c r="C11873" s="88">
        <f>TEXT(B11873,"aaa")</f>
        <v/>
      </c>
      <c r="E11873" s="88">
        <f>INDEX(매칭테이블!C:D,MATCH(RD!G11873,매칭테이블!D:D,0),1)</f>
        <v/>
      </c>
      <c r="F11873" s="94" t="inlineStr">
        <is>
          <t>카페24</t>
        </is>
      </c>
      <c r="G11873" s="94" t="inlineStr">
        <is>
          <t>[어성초 진정 패키지 세트] 대용량 토너 + 앰플 + 수딩 크림 + 마스크팩 10장</t>
        </is>
      </c>
      <c r="K11873" s="94" t="n">
        <v>1</v>
      </c>
      <c r="L11873" s="88" t="n">
        <v>201208</v>
      </c>
      <c r="M11873" s="88">
        <f>VLOOKUP($Q11873,매칭테이블!$F:$I,2,0)*K11873</f>
        <v/>
      </c>
      <c r="N11873" s="88">
        <f>M11873-M11873*VLOOKUP($Q11873,매칭테이블!$F:$I,3,0)</f>
        <v/>
      </c>
      <c r="O11873" s="88">
        <f>VLOOKUP($Q11873,매칭테이블!$F:$I,4,0)*K11873</f>
        <v/>
      </c>
      <c r="P11873" s="152">
        <f>M11873/1.1</f>
        <v/>
      </c>
      <c r="Q11873" s="88">
        <f>F11873&amp;E11873&amp;G11873&amp;L11873</f>
        <v/>
      </c>
    </row>
    <row r="11874" customFormat="1" s="94">
      <c r="B11874" s="128" t="n">
        <v>44174</v>
      </c>
      <c r="C11874" s="88">
        <f>TEXT(B11874,"aaa")</f>
        <v/>
      </c>
      <c r="E11874" s="88">
        <f>INDEX(매칭테이블!C:D,MATCH(RD!G11874,매칭테이블!D:D,0),1)</f>
        <v/>
      </c>
      <c r="F11874" s="94" t="inlineStr">
        <is>
          <t>카페24</t>
        </is>
      </c>
      <c r="G11874" s="94" t="inlineStr">
        <is>
          <t>대용량 어성초 77 수딩 토너 500ml</t>
        </is>
      </c>
      <c r="K11874" s="94" t="n">
        <v>22</v>
      </c>
      <c r="L11874" s="88" t="n">
        <v>201208</v>
      </c>
      <c r="M11874" s="88">
        <f>VLOOKUP($Q11874,매칭테이블!$F:$I,2,0)*K11874</f>
        <v/>
      </c>
      <c r="N11874" s="88">
        <f>M11874-M11874*VLOOKUP($Q11874,매칭테이블!$F:$I,3,0)</f>
        <v/>
      </c>
      <c r="O11874" s="88">
        <f>VLOOKUP($Q11874,매칭테이블!$F:$I,4,0)*K11874</f>
        <v/>
      </c>
      <c r="P11874" s="152">
        <f>M11874/1.1</f>
        <v/>
      </c>
      <c r="Q11874" s="88">
        <f>F11874&amp;E11874&amp;G11874&amp;L11874</f>
        <v/>
      </c>
    </row>
    <row r="11875" customFormat="1" s="94">
      <c r="B11875" s="128" t="n">
        <v>44174</v>
      </c>
      <c r="C11875" s="88">
        <f>TEXT(B11875,"aaa")</f>
        <v/>
      </c>
      <c r="E11875" s="88">
        <f>INDEX(매칭테이블!C:D,MATCH(RD!G11875,매칭테이블!D:D,0),1)</f>
        <v/>
      </c>
      <c r="F11875" s="94" t="inlineStr">
        <is>
          <t>카페24</t>
        </is>
      </c>
      <c r="G11875" s="94" t="inlineStr">
        <is>
          <t>대용량 어성초 77 토너 500ml</t>
        </is>
      </c>
      <c r="K11875" s="94" t="n">
        <v>2</v>
      </c>
      <c r="L11875" s="88" t="n">
        <v>201208</v>
      </c>
      <c r="M11875" s="88">
        <f>VLOOKUP($Q11875,매칭테이블!$F:$I,2,0)*K11875</f>
        <v/>
      </c>
      <c r="N11875" s="88">
        <f>M11875-M11875*VLOOKUP($Q11875,매칭테이블!$F:$I,3,0)</f>
        <v/>
      </c>
      <c r="O11875" s="88">
        <f>VLOOKUP($Q11875,매칭테이블!$F:$I,4,0)*K11875</f>
        <v/>
      </c>
      <c r="P11875" s="152">
        <f>M11875/1.1</f>
        <v/>
      </c>
      <c r="Q11875" s="88">
        <f>F11875&amp;E11875&amp;G11875&amp;L11875</f>
        <v/>
      </c>
    </row>
    <row r="11876" customFormat="1" s="94">
      <c r="B11876" s="128" t="n">
        <v>44174</v>
      </c>
      <c r="C11876" s="88">
        <f>TEXT(B11876,"aaa")</f>
        <v/>
      </c>
      <c r="E11876" s="88">
        <f>INDEX(매칭테이블!C:D,MATCH(RD!G11876,매칭테이블!D:D,0),1)</f>
        <v/>
      </c>
      <c r="F11876" s="94" t="inlineStr">
        <is>
          <t>카페24</t>
        </is>
      </c>
      <c r="G11876" s="94" t="inlineStr">
        <is>
          <t>아누아 어성초 77 수딩 토너토너(필수)=어성초 77 토너 1개-20% off</t>
        </is>
      </c>
      <c r="K11876" s="94" t="n">
        <v>1</v>
      </c>
      <c r="L11876" s="88" t="n">
        <v>201208</v>
      </c>
      <c r="M11876" s="88">
        <f>VLOOKUP($Q11876,매칭테이블!$F:$I,2,0)*K11876</f>
        <v/>
      </c>
      <c r="N11876" s="88">
        <f>M11876-M11876*VLOOKUP($Q11876,매칭테이블!$F:$I,3,0)</f>
        <v/>
      </c>
      <c r="O11876" s="88">
        <f>VLOOKUP($Q11876,매칭테이블!$F:$I,4,0)*K11876</f>
        <v/>
      </c>
      <c r="P11876" s="152">
        <f>M11876/1.1</f>
        <v/>
      </c>
      <c r="Q11876" s="88">
        <f>F11876&amp;E11876&amp;G11876&amp;L11876</f>
        <v/>
      </c>
    </row>
    <row r="11877" customFormat="1" s="94">
      <c r="B11877" s="128" t="n">
        <v>44174</v>
      </c>
      <c r="C11877" s="88">
        <f>TEXT(B11877,"aaa")</f>
        <v/>
      </c>
      <c r="E11877" s="88">
        <f>INDEX(매칭테이블!C:D,MATCH(RD!G11877,매칭테이블!D:D,0),1)</f>
        <v/>
      </c>
      <c r="F11877" s="94" t="inlineStr">
        <is>
          <t>카페24</t>
        </is>
      </c>
      <c r="G11877" s="94" t="inlineStr">
        <is>
          <t>어성초 70 데일리 릴리프 로션로션=어성초 70 데일리 릴리프 로션 1개 -20% off</t>
        </is>
      </c>
      <c r="K11877" s="94" t="n">
        <v>2</v>
      </c>
      <c r="L11877" s="88" t="n">
        <v>201208</v>
      </c>
      <c r="M11877" s="88">
        <f>VLOOKUP($Q11877,매칭테이블!$F:$I,2,0)*K11877</f>
        <v/>
      </c>
      <c r="N11877" s="88">
        <f>M11877-M11877*VLOOKUP($Q11877,매칭테이블!$F:$I,3,0)</f>
        <v/>
      </c>
      <c r="O11877" s="88">
        <f>VLOOKUP($Q11877,매칭테이블!$F:$I,4,0)*K11877</f>
        <v/>
      </c>
      <c r="P11877" s="152">
        <f>M11877/1.1</f>
        <v/>
      </c>
      <c r="Q11877" s="88">
        <f>F11877&amp;E11877&amp;G11877&amp;L11877</f>
        <v/>
      </c>
    </row>
    <row r="11878" customFormat="1" s="94">
      <c r="B11878" s="128" t="n">
        <v>44174</v>
      </c>
      <c r="C11878" s="88">
        <f>TEXT(B11878,"aaa")</f>
        <v/>
      </c>
      <c r="E11878" s="88">
        <f>INDEX(매칭테이블!C:D,MATCH(RD!G11878,매칭테이블!D:D,0),1)</f>
        <v/>
      </c>
      <c r="F11878" s="94" t="inlineStr">
        <is>
          <t>카페24</t>
        </is>
      </c>
      <c r="G11878" s="94" t="inlineStr">
        <is>
          <t>어성초 70 데일리 릴리프 로션로션=어성초 70 데일리 릴리프 로션 2개 -30% off</t>
        </is>
      </c>
      <c r="K11878" s="94" t="n">
        <v>3</v>
      </c>
      <c r="L11878" s="88" t="n">
        <v>201208</v>
      </c>
      <c r="M11878" s="88">
        <f>VLOOKUP($Q11878,매칭테이블!$F:$I,2,0)*K11878</f>
        <v/>
      </c>
      <c r="N11878" s="88">
        <f>M11878-M11878*VLOOKUP($Q11878,매칭테이블!$F:$I,3,0)</f>
        <v/>
      </c>
      <c r="O11878" s="88">
        <f>VLOOKUP($Q11878,매칭테이블!$F:$I,4,0)*K11878</f>
        <v/>
      </c>
      <c r="P11878" s="152">
        <f>M11878/1.1</f>
        <v/>
      </c>
      <c r="Q11878" s="88">
        <f>F11878&amp;E11878&amp;G11878&amp;L11878</f>
        <v/>
      </c>
    </row>
    <row r="11879" customFormat="1" s="94">
      <c r="B11879" s="128" t="n">
        <v>44174</v>
      </c>
      <c r="C11879" s="88">
        <f>TEXT(B11879,"aaa")</f>
        <v/>
      </c>
      <c r="E11879" s="88">
        <f>INDEX(매칭테이블!C:D,MATCH(RD!G11879,매칭테이블!D:D,0),1)</f>
        <v/>
      </c>
      <c r="F11879" s="94" t="inlineStr">
        <is>
          <t>카페24</t>
        </is>
      </c>
      <c r="G11879" s="94" t="inlineStr">
        <is>
          <t>어성초 70 데일리 릴리프 로션로션=어성초 77토너 + 어성초 70 로션 수분 보충 세트 -30% off</t>
        </is>
      </c>
      <c r="K11879" s="94" t="n">
        <v>1</v>
      </c>
      <c r="L11879" s="88" t="n">
        <v>201208</v>
      </c>
      <c r="M11879" s="88">
        <f>VLOOKUP($Q11879,매칭테이블!$F:$I,2,0)*K11879</f>
        <v/>
      </c>
      <c r="N11879" s="88">
        <f>M11879-M11879*VLOOKUP($Q11879,매칭테이블!$F:$I,3,0)</f>
        <v/>
      </c>
      <c r="O11879" s="88">
        <f>VLOOKUP($Q11879,매칭테이블!$F:$I,4,0)*K11879</f>
        <v/>
      </c>
      <c r="P11879" s="152">
        <f>M11879/1.1</f>
        <v/>
      </c>
      <c r="Q11879" s="88">
        <f>F11879&amp;E11879&amp;G11879&amp;L11879</f>
        <v/>
      </c>
    </row>
    <row r="11880" customFormat="1" s="94">
      <c r="B11880" s="128" t="n">
        <v>44174</v>
      </c>
      <c r="C11880" s="88">
        <f>TEXT(B11880,"aaa")</f>
        <v/>
      </c>
      <c r="E11880" s="88">
        <f>INDEX(매칭테이블!C:D,MATCH(RD!G11880,매칭테이블!D:D,0),1)</f>
        <v/>
      </c>
      <c r="F11880" s="94" t="inlineStr">
        <is>
          <t>카페24</t>
        </is>
      </c>
      <c r="G11880" s="94" t="inlineStr">
        <is>
          <t>어성초 70 머드 크림 마스크옵션=어성초 70 머드 크림 마스크-20% off</t>
        </is>
      </c>
      <c r="K11880" s="94" t="n">
        <v>1</v>
      </c>
      <c r="L11880" s="88" t="n">
        <v>201208</v>
      </c>
      <c r="M11880" s="88">
        <f>VLOOKUP($Q11880,매칭테이블!$F:$I,2,0)*K11880</f>
        <v/>
      </c>
      <c r="N11880" s="88">
        <f>M11880-M11880*VLOOKUP($Q11880,매칭테이블!$F:$I,3,0)</f>
        <v/>
      </c>
      <c r="O11880" s="88">
        <f>VLOOKUP($Q11880,매칭테이블!$F:$I,4,0)*K11880</f>
        <v/>
      </c>
      <c r="P11880" s="152">
        <f>M11880/1.1</f>
        <v/>
      </c>
      <c r="Q11880" s="88">
        <f>F11880&amp;E11880&amp;G11880&amp;L11880</f>
        <v/>
      </c>
    </row>
    <row r="11881" customFormat="1" s="94">
      <c r="B11881" s="128" t="n">
        <v>44174</v>
      </c>
      <c r="C11881" s="88">
        <f>TEXT(B11881,"aaa")</f>
        <v/>
      </c>
      <c r="E11881" s="88">
        <f>INDEX(매칭테이블!C:D,MATCH(RD!G11881,매칭테이블!D:D,0),1)</f>
        <v/>
      </c>
      <c r="F11881" s="94" t="inlineStr">
        <is>
          <t>카페24</t>
        </is>
      </c>
      <c r="G11881" s="94" t="inlineStr">
        <is>
          <t>어성초 70 머드 크림 마스크옵션=어성초 70 머드 크림 마스크 2개-30% off (무료배송)</t>
        </is>
      </c>
      <c r="K11881" s="94" t="n">
        <v>1</v>
      </c>
      <c r="L11881" s="88" t="n">
        <v>201208</v>
      </c>
      <c r="M11881" s="88">
        <f>VLOOKUP($Q11881,매칭테이블!$F:$I,2,0)*K11881</f>
        <v/>
      </c>
      <c r="N11881" s="88">
        <f>M11881-M11881*VLOOKUP($Q11881,매칭테이블!$F:$I,3,0)</f>
        <v/>
      </c>
      <c r="O11881" s="88">
        <f>VLOOKUP($Q11881,매칭테이블!$F:$I,4,0)*K11881</f>
        <v/>
      </c>
      <c r="P11881" s="152">
        <f>M11881/1.1</f>
        <v/>
      </c>
      <c r="Q11881" s="88">
        <f>F11881&amp;E11881&amp;G11881&amp;L11881</f>
        <v/>
      </c>
    </row>
    <row r="11882" customFormat="1" s="94">
      <c r="B11882" s="128" t="n">
        <v>44174</v>
      </c>
      <c r="C11882" s="88">
        <f>TEXT(B11882,"aaa")</f>
        <v/>
      </c>
      <c r="E11882" s="88">
        <f>INDEX(매칭테이블!C:D,MATCH(RD!G11882,매칭테이블!D:D,0),1)</f>
        <v/>
      </c>
      <c r="F11882" s="94" t="inlineStr">
        <is>
          <t>카페24</t>
        </is>
      </c>
      <c r="G11882" s="94" t="inlineStr">
        <is>
          <t>어성초 70 인텐스 카밍 크림크림=어성초 70 인텐스 카밍 크림 1개 (-20%)</t>
        </is>
      </c>
      <c r="K11882" s="94" t="n">
        <v>1</v>
      </c>
      <c r="L11882" s="88" t="n">
        <v>201208</v>
      </c>
      <c r="M11882" s="88">
        <f>VLOOKUP($Q11882,매칭테이블!$F:$I,2,0)*K11882</f>
        <v/>
      </c>
      <c r="N11882" s="88">
        <f>M11882-M11882*VLOOKUP($Q11882,매칭테이블!$F:$I,3,0)</f>
        <v/>
      </c>
      <c r="O11882" s="88">
        <f>VLOOKUP($Q11882,매칭테이블!$F:$I,4,0)*K11882</f>
        <v/>
      </c>
      <c r="P11882" s="152">
        <f>M11882/1.1</f>
        <v/>
      </c>
      <c r="Q11882" s="88">
        <f>F11882&amp;E11882&amp;G11882&amp;L11882</f>
        <v/>
      </c>
    </row>
    <row r="11883" customFormat="1" s="94">
      <c r="B11883" s="128" t="n">
        <v>44174</v>
      </c>
      <c r="C11883" s="88">
        <f>TEXT(B11883,"aaa")</f>
        <v/>
      </c>
      <c r="E11883" s="88">
        <f>INDEX(매칭테이블!C:D,MATCH(RD!G11883,매칭테이블!D:D,0),1)</f>
        <v/>
      </c>
      <c r="F11883" s="94" t="inlineStr">
        <is>
          <t>카페24</t>
        </is>
      </c>
      <c r="G11883" s="94" t="inlineStr">
        <is>
          <t>어성초 70 인텐스 카밍 크림크림=어성초 70 인텐스 카밍 크림 2개 (-30%)</t>
        </is>
      </c>
      <c r="K11883" s="94" t="n">
        <v>2</v>
      </c>
      <c r="L11883" s="88" t="n">
        <v>201208</v>
      </c>
      <c r="M11883" s="88">
        <f>VLOOKUP($Q11883,매칭테이블!$F:$I,2,0)*K11883</f>
        <v/>
      </c>
      <c r="N11883" s="88">
        <f>M11883-M11883*VLOOKUP($Q11883,매칭테이블!$F:$I,3,0)</f>
        <v/>
      </c>
      <c r="O11883" s="88">
        <f>VLOOKUP($Q11883,매칭테이블!$F:$I,4,0)*K11883</f>
        <v/>
      </c>
      <c r="P11883" s="152">
        <f>M11883/1.1</f>
        <v/>
      </c>
      <c r="Q11883" s="88">
        <f>F11883&amp;E11883&amp;G11883&amp;L11883</f>
        <v/>
      </c>
    </row>
    <row r="11884" customFormat="1" s="94">
      <c r="B11884" s="128" t="n">
        <v>44174</v>
      </c>
      <c r="C11884" s="88">
        <f>TEXT(B11884,"aaa")</f>
        <v/>
      </c>
      <c r="E11884" s="88">
        <f>INDEX(매칭테이블!C:D,MATCH(RD!G11884,매칭테이블!D:D,0),1)</f>
        <v/>
      </c>
      <c r="F11884" s="94" t="inlineStr">
        <is>
          <t>카페24</t>
        </is>
      </c>
      <c r="G11884" s="94" t="inlineStr">
        <is>
          <t>어성초 70 인텐스 카밍 크림크림=어성초 토너 250ml + 카밍 크림 50ml (-30%)</t>
        </is>
      </c>
      <c r="K11884" s="94" t="n">
        <v>1</v>
      </c>
      <c r="L11884" s="88" t="n">
        <v>201208</v>
      </c>
      <c r="M11884" s="88">
        <f>VLOOKUP($Q11884,매칭테이블!$F:$I,2,0)*K11884</f>
        <v/>
      </c>
      <c r="N11884" s="88">
        <f>M11884-M11884*VLOOKUP($Q11884,매칭테이블!$F:$I,3,0)</f>
        <v/>
      </c>
      <c r="O11884" s="88">
        <f>VLOOKUP($Q11884,매칭테이블!$F:$I,4,0)*K11884</f>
        <v/>
      </c>
      <c r="P11884" s="152">
        <f>M11884/1.1</f>
        <v/>
      </c>
      <c r="Q11884" s="88">
        <f>F11884&amp;E11884&amp;G11884&amp;L11884</f>
        <v/>
      </c>
    </row>
    <row r="11885" customFormat="1" s="94">
      <c r="B11885" s="128" t="n">
        <v>44174</v>
      </c>
      <c r="C11885" s="88">
        <f>TEXT(B11885,"aaa")</f>
        <v/>
      </c>
      <c r="E11885" s="88">
        <f>INDEX(매칭테이블!C:D,MATCH(RD!G11885,매칭테이블!D:D,0),1)</f>
        <v/>
      </c>
      <c r="F11885" s="94" t="inlineStr">
        <is>
          <t>카페24</t>
        </is>
      </c>
      <c r="G11885" s="94" t="inlineStr">
        <is>
          <t>어성초 77 수딩 토너토너(필수)=어성초 77 토너 1개-20% off</t>
        </is>
      </c>
      <c r="K11885" s="94" t="n">
        <v>39</v>
      </c>
      <c r="L11885" s="88" t="n">
        <v>201208</v>
      </c>
      <c r="M11885" s="88">
        <f>VLOOKUP($Q11885,매칭테이블!$F:$I,2,0)*K11885</f>
        <v/>
      </c>
      <c r="N11885" s="88">
        <f>M11885-M11885*VLOOKUP($Q11885,매칭테이블!$F:$I,3,0)</f>
        <v/>
      </c>
      <c r="O11885" s="88">
        <f>VLOOKUP($Q11885,매칭테이블!$F:$I,4,0)*K11885</f>
        <v/>
      </c>
      <c r="P11885" s="152">
        <f>M11885/1.1</f>
        <v/>
      </c>
      <c r="Q11885" s="88">
        <f>F11885&amp;E11885&amp;G11885&amp;L11885</f>
        <v/>
      </c>
    </row>
    <row r="11886" customFormat="1" s="94">
      <c r="B11886" s="128" t="n">
        <v>44174</v>
      </c>
      <c r="C11886" s="88">
        <f>TEXT(B11886,"aaa")</f>
        <v/>
      </c>
      <c r="E11886" s="88">
        <f>INDEX(매칭테이블!C:D,MATCH(RD!G11886,매칭테이블!D:D,0),1)</f>
        <v/>
      </c>
      <c r="F11886" s="94" t="inlineStr">
        <is>
          <t>카페24</t>
        </is>
      </c>
      <c r="G11886" s="94" t="inlineStr">
        <is>
          <t>어성초 77 수딩 토너토너(필수)=어성초 77 토너 2개-30% off (무료배송)</t>
        </is>
      </c>
      <c r="K11886" s="94" t="n">
        <v>22</v>
      </c>
      <c r="L11886" s="88" t="n">
        <v>201208</v>
      </c>
      <c r="M11886" s="88">
        <f>VLOOKUP($Q11886,매칭테이블!$F:$I,2,0)*K11886</f>
        <v/>
      </c>
      <c r="N11886" s="88">
        <f>M11886-M11886*VLOOKUP($Q11886,매칭테이블!$F:$I,3,0)</f>
        <v/>
      </c>
      <c r="O11886" s="88">
        <f>VLOOKUP($Q11886,매칭테이블!$F:$I,4,0)*K11886</f>
        <v/>
      </c>
      <c r="P11886" s="152">
        <f>M11886/1.1</f>
        <v/>
      </c>
      <c r="Q11886" s="88">
        <f>F11886&amp;E11886&amp;G11886&amp;L11886</f>
        <v/>
      </c>
    </row>
    <row r="11887" customFormat="1" s="94">
      <c r="B11887" s="128" t="n">
        <v>44174</v>
      </c>
      <c r="C11887" s="88">
        <f>TEXT(B11887,"aaa")</f>
        <v/>
      </c>
      <c r="E11887" s="88">
        <f>INDEX(매칭테이블!C:D,MATCH(RD!G11887,매칭테이블!D:D,0),1)</f>
        <v/>
      </c>
      <c r="F11887" s="94" t="inlineStr">
        <is>
          <t>카페24</t>
        </is>
      </c>
      <c r="G11887" s="94" t="inlineStr">
        <is>
          <t>어성초 77 수딩 토너토너(필수)=어성초77토너1개 + 어성초77패드1개 -30% off (무료배송)</t>
        </is>
      </c>
      <c r="K11887" s="94" t="n">
        <v>3</v>
      </c>
      <c r="L11887" s="88" t="n">
        <v>201208</v>
      </c>
      <c r="M11887" s="88">
        <f>VLOOKUP($Q11887,매칭테이블!$F:$I,2,0)*K11887</f>
        <v/>
      </c>
      <c r="N11887" s="88">
        <f>M11887-M11887*VLOOKUP($Q11887,매칭테이블!$F:$I,3,0)</f>
        <v/>
      </c>
      <c r="O11887" s="88">
        <f>VLOOKUP($Q11887,매칭테이블!$F:$I,4,0)*K11887</f>
        <v/>
      </c>
      <c r="P11887" s="152">
        <f>M11887/1.1</f>
        <v/>
      </c>
      <c r="Q11887" s="88">
        <f>F11887&amp;E11887&amp;G11887&amp;L11887</f>
        <v/>
      </c>
    </row>
    <row r="11888" customFormat="1" s="94">
      <c r="B11888" s="128" t="n">
        <v>44174</v>
      </c>
      <c r="C11888" s="88">
        <f>TEXT(B11888,"aaa")</f>
        <v/>
      </c>
      <c r="E11888" s="88">
        <f>INDEX(매칭테이블!C:D,MATCH(RD!G11888,매칭테이블!D:D,0),1)</f>
        <v/>
      </c>
      <c r="F11888" s="94" t="inlineStr">
        <is>
          <t>카페24</t>
        </is>
      </c>
      <c r="G11888" s="94" t="inlineStr">
        <is>
          <t>어성초 77 수딩 토너화장솜(선택)=촉촉 스킨팩 화장솜</t>
        </is>
      </c>
      <c r="K11888" s="94" t="n">
        <v>22</v>
      </c>
      <c r="L11888" s="88" t="n">
        <v>201208</v>
      </c>
      <c r="M11888" s="88">
        <f>VLOOKUP($Q11888,매칭테이블!$F:$I,2,0)*K11888</f>
        <v/>
      </c>
      <c r="N11888" s="88">
        <f>M11888-M11888*VLOOKUP($Q11888,매칭테이블!$F:$I,3,0)</f>
        <v/>
      </c>
      <c r="O11888" s="88">
        <f>VLOOKUP($Q11888,매칭테이블!$F:$I,4,0)*K11888</f>
        <v/>
      </c>
      <c r="P11888" s="152">
        <f>M11888/1.1</f>
        <v/>
      </c>
      <c r="Q11888" s="88">
        <f>F11888&amp;E11888&amp;G11888&amp;L11888</f>
        <v/>
      </c>
    </row>
    <row r="11889" customFormat="1" s="94">
      <c r="B11889" s="128" t="n">
        <v>44174</v>
      </c>
      <c r="C11889" s="88">
        <f>TEXT(B11889,"aaa")</f>
        <v/>
      </c>
      <c r="E11889" s="88">
        <f>INDEX(매칭테이블!C:D,MATCH(RD!G11889,매칭테이블!D:D,0),1)</f>
        <v/>
      </c>
      <c r="F11889" s="94" t="inlineStr">
        <is>
          <t>카페24</t>
        </is>
      </c>
      <c r="G11889" s="94" t="inlineStr">
        <is>
          <t>어성초 77 진정 마스크옵션=어성초 77 진정 마스크팩 1장</t>
        </is>
      </c>
      <c r="K11889" s="94" t="n">
        <v>2</v>
      </c>
      <c r="L11889" s="88" t="n">
        <v>201208</v>
      </c>
      <c r="M11889" s="88">
        <f>VLOOKUP($Q11889,매칭테이블!$F:$I,2,0)*K11889</f>
        <v/>
      </c>
      <c r="N11889" s="88">
        <f>M11889-M11889*VLOOKUP($Q11889,매칭테이블!$F:$I,3,0)</f>
        <v/>
      </c>
      <c r="O11889" s="88">
        <f>VLOOKUP($Q11889,매칭테이블!$F:$I,4,0)*K11889</f>
        <v/>
      </c>
      <c r="P11889" s="152">
        <f>M11889/1.1</f>
        <v/>
      </c>
      <c r="Q11889" s="88">
        <f>F11889&amp;E11889&amp;G11889&amp;L11889</f>
        <v/>
      </c>
    </row>
    <row r="11890" customFormat="1" s="94">
      <c r="B11890" s="128" t="n">
        <v>44174</v>
      </c>
      <c r="C11890" s="88">
        <f>TEXT(B11890,"aaa")</f>
        <v/>
      </c>
      <c r="E11890" s="88">
        <f>INDEX(매칭테이블!C:D,MATCH(RD!G11890,매칭테이블!D:D,0),1)</f>
        <v/>
      </c>
      <c r="F11890" s="94" t="inlineStr">
        <is>
          <t>카페24</t>
        </is>
      </c>
      <c r="G11890" s="94" t="inlineStr">
        <is>
          <t>어성초 77 진정 마스크옵션=어성초 77 진정 마스크팩 10장-50% off</t>
        </is>
      </c>
      <c r="K11890" s="94" t="n">
        <v>4</v>
      </c>
      <c r="L11890" s="88" t="n">
        <v>201208</v>
      </c>
      <c r="M11890" s="88">
        <f>VLOOKUP($Q11890,매칭테이블!$F:$I,2,0)*K11890</f>
        <v/>
      </c>
      <c r="N11890" s="88">
        <f>M11890-M11890*VLOOKUP($Q11890,매칭테이블!$F:$I,3,0)</f>
        <v/>
      </c>
      <c r="O11890" s="88">
        <f>VLOOKUP($Q11890,매칭테이블!$F:$I,4,0)*K11890</f>
        <v/>
      </c>
      <c r="P11890" s="152">
        <f>M11890/1.1</f>
        <v/>
      </c>
      <c r="Q11890" s="88">
        <f>F11890&amp;E11890&amp;G11890&amp;L11890</f>
        <v/>
      </c>
    </row>
    <row r="11891" customFormat="1" s="94">
      <c r="B11891" s="128" t="n">
        <v>44174</v>
      </c>
      <c r="C11891" s="88">
        <f>TEXT(B11891,"aaa")</f>
        <v/>
      </c>
      <c r="E11891" s="88">
        <f>INDEX(매칭테이블!C:D,MATCH(RD!G11891,매칭테이블!D:D,0),1)</f>
        <v/>
      </c>
      <c r="F11891" s="94" t="inlineStr">
        <is>
          <t>카페24</t>
        </is>
      </c>
      <c r="G11891" s="94" t="inlineStr">
        <is>
          <t>어성초 77 클리어 패드옵션=어성초 77 클리어 패드 1개-20% off</t>
        </is>
      </c>
      <c r="K11891" s="94" t="n">
        <v>23</v>
      </c>
      <c r="L11891" s="88" t="n">
        <v>201208</v>
      </c>
      <c r="M11891" s="88">
        <f>VLOOKUP($Q11891,매칭테이블!$F:$I,2,0)*K11891</f>
        <v/>
      </c>
      <c r="N11891" s="88">
        <f>M11891-M11891*VLOOKUP($Q11891,매칭테이블!$F:$I,3,0)</f>
        <v/>
      </c>
      <c r="O11891" s="88">
        <f>VLOOKUP($Q11891,매칭테이블!$F:$I,4,0)*K11891</f>
        <v/>
      </c>
      <c r="P11891" s="152">
        <f>M11891/1.1</f>
        <v/>
      </c>
      <c r="Q11891" s="88">
        <f>F11891&amp;E11891&amp;G11891&amp;L11891</f>
        <v/>
      </c>
    </row>
    <row r="11892" customFormat="1" s="94">
      <c r="B11892" s="128" t="n">
        <v>44174</v>
      </c>
      <c r="C11892" s="88">
        <f>TEXT(B11892,"aaa")</f>
        <v/>
      </c>
      <c r="E11892" s="88">
        <f>INDEX(매칭테이블!C:D,MATCH(RD!G11892,매칭테이블!D:D,0),1)</f>
        <v/>
      </c>
      <c r="F11892" s="94" t="inlineStr">
        <is>
          <t>카페24</t>
        </is>
      </c>
      <c r="G11892" s="94" t="inlineStr">
        <is>
          <t>어성초 77 클리어 패드옵션=어성초 77 클리어 패드 2개-30% off (무료배송)</t>
        </is>
      </c>
      <c r="K11892" s="94" t="n">
        <v>37</v>
      </c>
      <c r="L11892" s="88" t="n">
        <v>201208</v>
      </c>
      <c r="M11892" s="88">
        <f>VLOOKUP($Q11892,매칭테이블!$F:$I,2,0)*K11892</f>
        <v/>
      </c>
      <c r="N11892" s="88">
        <f>M11892-M11892*VLOOKUP($Q11892,매칭테이블!$F:$I,3,0)</f>
        <v/>
      </c>
      <c r="O11892" s="88">
        <f>VLOOKUP($Q11892,매칭테이블!$F:$I,4,0)*K11892</f>
        <v/>
      </c>
      <c r="P11892" s="152">
        <f>M11892/1.1</f>
        <v/>
      </c>
      <c r="Q11892" s="88">
        <f>F11892&amp;E11892&amp;G11892&amp;L11892</f>
        <v/>
      </c>
    </row>
    <row r="11893" customFormat="1" s="94">
      <c r="B11893" s="128" t="n">
        <v>44174</v>
      </c>
      <c r="C11893" s="88">
        <f>TEXT(B11893,"aaa")</f>
        <v/>
      </c>
      <c r="E11893" s="88">
        <f>INDEX(매칭테이블!C:D,MATCH(RD!G11893,매칭테이블!D:D,0),1)</f>
        <v/>
      </c>
      <c r="F11893" s="94" t="inlineStr">
        <is>
          <t>카페24</t>
        </is>
      </c>
      <c r="G11893" s="94" t="inlineStr">
        <is>
          <t>어성초 77 클리어 패드옵션=어성초77토너1개+어성초77패드1개-30% off (무료배송)</t>
        </is>
      </c>
      <c r="K11893" s="94" t="n">
        <v>28</v>
      </c>
      <c r="L11893" s="88" t="n">
        <v>201208</v>
      </c>
      <c r="M11893" s="88">
        <f>VLOOKUP($Q11893,매칭테이블!$F:$I,2,0)*K11893</f>
        <v/>
      </c>
      <c r="N11893" s="88">
        <f>M11893-M11893*VLOOKUP($Q11893,매칭테이블!$F:$I,3,0)</f>
        <v/>
      </c>
      <c r="O11893" s="88">
        <f>VLOOKUP($Q11893,매칭테이블!$F:$I,4,0)*K11893</f>
        <v/>
      </c>
      <c r="P11893" s="152">
        <f>M11893/1.1</f>
        <v/>
      </c>
      <c r="Q11893" s="88">
        <f>F11893&amp;E11893&amp;G11893&amp;L11893</f>
        <v/>
      </c>
    </row>
    <row r="11894" customFormat="1" s="94">
      <c r="B11894" s="128" t="n">
        <v>44174</v>
      </c>
      <c r="C11894" s="88">
        <f>TEXT(B11894,"aaa")</f>
        <v/>
      </c>
      <c r="E11894" s="88">
        <f>INDEX(매칭테이블!C:D,MATCH(RD!G11894,매칭테이블!D:D,0),1)</f>
        <v/>
      </c>
      <c r="F11894" s="94" t="inlineStr">
        <is>
          <t>카페24</t>
        </is>
      </c>
      <c r="G11894" s="94" t="inlineStr">
        <is>
          <t>어성초 77 클리어 패드옵션=어성초 77 클리어 패드 1개-20% off</t>
        </is>
      </c>
      <c r="K11894" s="94" t="n">
        <v>1</v>
      </c>
      <c r="L11894" s="88" t="n">
        <v>201208</v>
      </c>
      <c r="M11894" s="88">
        <f>VLOOKUP($Q11894,매칭테이블!$F:$I,2,0)*K11894</f>
        <v/>
      </c>
      <c r="N11894" s="88">
        <f>M11894-M11894*VLOOKUP($Q11894,매칭테이블!$F:$I,3,0)</f>
        <v/>
      </c>
      <c r="O11894" s="88">
        <f>VLOOKUP($Q11894,매칭테이블!$F:$I,4,0)*K11894</f>
        <v/>
      </c>
      <c r="P11894" s="152">
        <f>M11894/1.1</f>
        <v/>
      </c>
      <c r="Q11894" s="88">
        <f>F11894&amp;E11894&amp;G11894&amp;L11894</f>
        <v/>
      </c>
    </row>
    <row r="11895" customFormat="1" s="94">
      <c r="B11895" s="128" t="n">
        <v>44174</v>
      </c>
      <c r="C11895" s="88">
        <f>TEXT(B11895,"aaa")</f>
        <v/>
      </c>
      <c r="E11895" s="88">
        <f>INDEX(매칭테이블!C:D,MATCH(RD!G11895,매칭테이블!D:D,0),1)</f>
        <v/>
      </c>
      <c r="F11895" s="94" t="inlineStr">
        <is>
          <t>카페24</t>
        </is>
      </c>
      <c r="G11895" s="94" t="inlineStr">
        <is>
          <t>어성초 77 클리어 패드옵션=어성초 77 클리어 패드 2개-30% off (무료배송)</t>
        </is>
      </c>
      <c r="K11895" s="94" t="n">
        <v>4</v>
      </c>
      <c r="L11895" s="88" t="n">
        <v>201208</v>
      </c>
      <c r="M11895" s="88">
        <f>VLOOKUP($Q11895,매칭테이블!$F:$I,2,0)*K11895</f>
        <v/>
      </c>
      <c r="N11895" s="88">
        <f>M11895-M11895*VLOOKUP($Q11895,매칭테이블!$F:$I,3,0)</f>
        <v/>
      </c>
      <c r="O11895" s="88">
        <f>VLOOKUP($Q11895,매칭테이블!$F:$I,4,0)*K11895</f>
        <v/>
      </c>
      <c r="P11895" s="152">
        <f>M11895/1.1</f>
        <v/>
      </c>
      <c r="Q11895" s="88">
        <f>F11895&amp;E11895&amp;G11895&amp;L11895</f>
        <v/>
      </c>
    </row>
    <row r="11896" customFormat="1" s="94">
      <c r="B11896" s="128" t="n">
        <v>44174</v>
      </c>
      <c r="C11896" s="88">
        <f>TEXT(B11896,"aaa")</f>
        <v/>
      </c>
      <c r="E11896" s="88">
        <f>INDEX(매칭테이블!C:D,MATCH(RD!G11896,매칭테이블!D:D,0),1)</f>
        <v/>
      </c>
      <c r="F11896" s="94" t="inlineStr">
        <is>
          <t>카페24</t>
        </is>
      </c>
      <c r="G11896" s="94" t="inlineStr">
        <is>
          <t>어성초 77 클리어 패드옵션=어성초77토너1개+어성초77패드1개-30% off (무료배송)</t>
        </is>
      </c>
      <c r="K11896" s="94" t="n">
        <v>2</v>
      </c>
      <c r="L11896" s="88" t="n">
        <v>201208</v>
      </c>
      <c r="M11896" s="88">
        <f>VLOOKUP($Q11896,매칭테이블!$F:$I,2,0)*K11896</f>
        <v/>
      </c>
      <c r="N11896" s="88">
        <f>M11896-M11896*VLOOKUP($Q11896,매칭테이블!$F:$I,3,0)</f>
        <v/>
      </c>
      <c r="O11896" s="88">
        <f>VLOOKUP($Q11896,매칭테이블!$F:$I,4,0)*K11896</f>
        <v/>
      </c>
      <c r="P11896" s="152">
        <f>M11896/1.1</f>
        <v/>
      </c>
      <c r="Q11896" s="88">
        <f>F11896&amp;E11896&amp;G11896&amp;L11896</f>
        <v/>
      </c>
    </row>
    <row r="11897" customFormat="1" s="94">
      <c r="B11897" s="128" t="n">
        <v>44174</v>
      </c>
      <c r="C11897" s="88">
        <f>TEXT(B11897,"aaa")</f>
        <v/>
      </c>
      <c r="E11897" s="88">
        <f>INDEX(매칭테이블!C:D,MATCH(RD!G11897,매칭테이블!D:D,0),1)</f>
        <v/>
      </c>
      <c r="F11897" s="94" t="inlineStr">
        <is>
          <t>카페24</t>
        </is>
      </c>
      <c r="G11897" s="94" t="inlineStr">
        <is>
          <t>어성초 78 수딩 크림</t>
        </is>
      </c>
      <c r="K11897" s="94" t="n">
        <v>2</v>
      </c>
      <c r="L11897" s="88" t="n">
        <v>201208</v>
      </c>
      <c r="M11897" s="88">
        <f>VLOOKUP($Q11897,매칭테이블!$F:$I,2,0)*K11897</f>
        <v/>
      </c>
      <c r="N11897" s="88">
        <f>M11897-M11897*VLOOKUP($Q11897,매칭테이블!$F:$I,3,0)</f>
        <v/>
      </c>
      <c r="O11897" s="88">
        <f>VLOOKUP($Q11897,매칭테이블!$F:$I,4,0)*K11897</f>
        <v/>
      </c>
      <c r="P11897" s="152">
        <f>M11897/1.1</f>
        <v/>
      </c>
      <c r="Q11897" s="88">
        <f>F11897&amp;E11897&amp;G11897&amp;L11897</f>
        <v/>
      </c>
    </row>
    <row r="11898" customFormat="1" s="94">
      <c r="B11898" s="128" t="n">
        <v>44174</v>
      </c>
      <c r="C11898" s="88">
        <f>TEXT(B11898,"aaa")</f>
        <v/>
      </c>
      <c r="E11898" s="88">
        <f>INDEX(매칭테이블!C:D,MATCH(RD!G11898,매칭테이블!D:D,0),1)</f>
        <v/>
      </c>
      <c r="F11898" s="94" t="inlineStr">
        <is>
          <t>카페24</t>
        </is>
      </c>
      <c r="G11898" s="94" t="inlineStr">
        <is>
          <t>어성초 80 수분 진정 앰플앰플=어성초 80 앰플 1개-15%off</t>
        </is>
      </c>
      <c r="K11898" s="94" t="n">
        <v>17</v>
      </c>
      <c r="L11898" s="88" t="n">
        <v>201208</v>
      </c>
      <c r="M11898" s="88">
        <f>VLOOKUP($Q11898,매칭테이블!$F:$I,2,0)*K11898</f>
        <v/>
      </c>
      <c r="N11898" s="88">
        <f>M11898-M11898*VLOOKUP($Q11898,매칭테이블!$F:$I,3,0)</f>
        <v/>
      </c>
      <c r="O11898" s="88">
        <f>VLOOKUP($Q11898,매칭테이블!$F:$I,4,0)*K11898</f>
        <v/>
      </c>
      <c r="P11898" s="152">
        <f>M11898/1.1</f>
        <v/>
      </c>
      <c r="Q11898" s="88">
        <f>F11898&amp;E11898&amp;G11898&amp;L11898</f>
        <v/>
      </c>
    </row>
    <row r="11899" customFormat="1" s="94">
      <c r="B11899" s="128" t="n">
        <v>44174</v>
      </c>
      <c r="C11899" s="88">
        <f>TEXT(B11899,"aaa")</f>
        <v/>
      </c>
      <c r="E11899" s="88">
        <f>INDEX(매칭테이블!C:D,MATCH(RD!G11899,매칭테이블!D:D,0),1)</f>
        <v/>
      </c>
      <c r="F11899" s="94" t="inlineStr">
        <is>
          <t>카페24</t>
        </is>
      </c>
      <c r="G11899" s="94" t="inlineStr">
        <is>
          <t>어성초 80 수분 진정 앰플앰플=어성초 80 앰플 2개-27%off (무료배송)</t>
        </is>
      </c>
      <c r="K11899" s="94" t="n">
        <v>10</v>
      </c>
      <c r="L11899" s="88" t="n">
        <v>201208</v>
      </c>
      <c r="M11899" s="88">
        <f>VLOOKUP($Q11899,매칭테이블!$F:$I,2,0)*K11899</f>
        <v/>
      </c>
      <c r="N11899" s="88">
        <f>M11899-M11899*VLOOKUP($Q11899,매칭테이블!$F:$I,3,0)</f>
        <v/>
      </c>
      <c r="O11899" s="88">
        <f>VLOOKUP($Q11899,매칭테이블!$F:$I,4,0)*K11899</f>
        <v/>
      </c>
      <c r="P11899" s="152">
        <f>M11899/1.1</f>
        <v/>
      </c>
      <c r="Q11899" s="88">
        <f>F11899&amp;E11899&amp;G11899&amp;L11899</f>
        <v/>
      </c>
    </row>
    <row r="11900" customFormat="1" s="94">
      <c r="B11900" s="128" t="n">
        <v>44174</v>
      </c>
      <c r="C11900" s="88">
        <f>TEXT(B11900,"aaa")</f>
        <v/>
      </c>
      <c r="E11900" s="88">
        <f>INDEX(매칭테이블!C:D,MATCH(RD!G11900,매칭테이블!D:D,0),1)</f>
        <v/>
      </c>
      <c r="F11900" s="94" t="inlineStr">
        <is>
          <t>카페24</t>
        </is>
      </c>
      <c r="G11900" s="94" t="inlineStr">
        <is>
          <t>어성초 80 수분 진정 앰플</t>
        </is>
      </c>
      <c r="K11900" s="94" t="n">
        <v>2</v>
      </c>
      <c r="L11900" s="88" t="n">
        <v>201208</v>
      </c>
      <c r="M11900" s="88">
        <f>VLOOKUP($Q11900,매칭테이블!$F:$I,2,0)*K11900</f>
        <v/>
      </c>
      <c r="N11900" s="88">
        <f>M11900-M11900*VLOOKUP($Q11900,매칭테이블!$F:$I,3,0)</f>
        <v/>
      </c>
      <c r="O11900" s="88">
        <f>VLOOKUP($Q11900,매칭테이블!$F:$I,4,0)*K11900</f>
        <v/>
      </c>
      <c r="P11900" s="152">
        <f>M11900/1.1</f>
        <v/>
      </c>
      <c r="Q11900" s="88">
        <f>F11900&amp;E11900&amp;G11900&amp;L11900</f>
        <v/>
      </c>
    </row>
    <row r="11901" customFormat="1" s="94">
      <c r="B11901" s="128" t="n">
        <v>44174</v>
      </c>
      <c r="C11901" s="88">
        <f>TEXT(B11901,"aaa")</f>
        <v/>
      </c>
      <c r="E11901" s="88">
        <f>INDEX(매칭테이블!C:D,MATCH(RD!G11901,매칭테이블!D:D,0),1)</f>
        <v/>
      </c>
      <c r="F11901" s="94" t="inlineStr">
        <is>
          <t>카페24</t>
        </is>
      </c>
      <c r="G11901" s="94" t="inlineStr">
        <is>
          <t>어성초 아크네 바디워시옵션=어성초 아크네 바디워시 1개 -30% off</t>
        </is>
      </c>
      <c r="K11901" s="94" t="n">
        <v>5</v>
      </c>
      <c r="L11901" s="88" t="n">
        <v>201208</v>
      </c>
      <c r="M11901" s="88">
        <f>VLOOKUP($Q11901,매칭테이블!$F:$I,2,0)*K11901</f>
        <v/>
      </c>
      <c r="N11901" s="88">
        <f>M11901-M11901*VLOOKUP($Q11901,매칭테이블!$F:$I,3,0)</f>
        <v/>
      </c>
      <c r="O11901" s="88">
        <f>VLOOKUP($Q11901,매칭테이블!$F:$I,4,0)*K11901</f>
        <v/>
      </c>
      <c r="P11901" s="152">
        <f>M11901/1.1</f>
        <v/>
      </c>
      <c r="Q11901" s="88">
        <f>F11901&amp;E11901&amp;G11901&amp;L11901</f>
        <v/>
      </c>
    </row>
    <row r="11902" customFormat="1" s="94">
      <c r="B11902" s="128" t="n">
        <v>44174</v>
      </c>
      <c r="C11902" s="88">
        <f>TEXT(B11902,"aaa")</f>
        <v/>
      </c>
      <c r="E11902" s="88">
        <f>INDEX(매칭테이블!C:D,MATCH(RD!G11902,매칭테이블!D:D,0),1)</f>
        <v/>
      </c>
      <c r="F11902" s="94" t="inlineStr">
        <is>
          <t>카페24</t>
        </is>
      </c>
      <c r="G11902" s="94" t="inlineStr">
        <is>
          <t>어성초 약산성 클렌징폼클렌징폼=어성초 약산성 클렌징폼 1개 -19%off</t>
        </is>
      </c>
      <c r="K11902" s="94" t="n">
        <v>10</v>
      </c>
      <c r="L11902" s="88" t="n">
        <v>201208</v>
      </c>
      <c r="M11902" s="88">
        <f>VLOOKUP($Q11902,매칭테이블!$F:$I,2,0)*K11902</f>
        <v/>
      </c>
      <c r="N11902" s="88">
        <f>M11902-M11902*VLOOKUP($Q11902,매칭테이블!$F:$I,3,0)</f>
        <v/>
      </c>
      <c r="O11902" s="88">
        <f>VLOOKUP($Q11902,매칭테이블!$F:$I,4,0)*K11902</f>
        <v/>
      </c>
      <c r="P11902" s="152">
        <f>M11902/1.1</f>
        <v/>
      </c>
      <c r="Q11902" s="88">
        <f>F11902&amp;E11902&amp;G11902&amp;L11902</f>
        <v/>
      </c>
    </row>
    <row r="11903" customFormat="1" s="94">
      <c r="B11903" s="128" t="n">
        <v>44174</v>
      </c>
      <c r="C11903" s="88">
        <f>TEXT(B11903,"aaa")</f>
        <v/>
      </c>
      <c r="E11903" s="88">
        <f>INDEX(매칭테이블!C:D,MATCH(RD!G11903,매칭테이블!D:D,0),1)</f>
        <v/>
      </c>
      <c r="F11903" s="94" t="inlineStr">
        <is>
          <t>카페24</t>
        </is>
      </c>
      <c r="G11903" s="94" t="inlineStr">
        <is>
          <t>어성초 약산성 클렌징폼클렌징폼=어성초 약산성 클렌징폼 2개 -25%off</t>
        </is>
      </c>
      <c r="K11903" s="94" t="n">
        <v>1</v>
      </c>
      <c r="L11903" s="88" t="n">
        <v>201208</v>
      </c>
      <c r="M11903" s="88">
        <f>VLOOKUP($Q11903,매칭테이블!$F:$I,2,0)*K11903</f>
        <v/>
      </c>
      <c r="N11903" s="88">
        <f>M11903-M11903*VLOOKUP($Q11903,매칭테이블!$F:$I,3,0)</f>
        <v/>
      </c>
      <c r="O11903" s="88">
        <f>VLOOKUP($Q11903,매칭테이블!$F:$I,4,0)*K11903</f>
        <v/>
      </c>
      <c r="P11903" s="152">
        <f>M11903/1.1</f>
        <v/>
      </c>
      <c r="Q11903" s="88">
        <f>F11903&amp;E11903&amp;G11903&amp;L11903</f>
        <v/>
      </c>
    </row>
    <row r="11904" customFormat="1" s="94">
      <c r="B11904" s="128" t="n">
        <v>44174</v>
      </c>
      <c r="C11904" s="88">
        <f>TEXT(B11904,"aaa")</f>
        <v/>
      </c>
      <c r="E11904" s="88">
        <f>INDEX(매칭테이블!C:D,MATCH(RD!G11904,매칭테이블!D:D,0),1)</f>
        <v/>
      </c>
      <c r="F11904" s="94" t="inlineStr">
        <is>
          <t>카페24</t>
        </is>
      </c>
      <c r="G11904" s="94" t="inlineStr">
        <is>
          <t>어성초 크림마스크 나이트 솔루션옵션=어성초 크림마스크 나이트 솔루션 1장</t>
        </is>
      </c>
      <c r="K11904" s="94" t="n">
        <v>1</v>
      </c>
      <c r="L11904" s="88" t="n">
        <v>201208</v>
      </c>
      <c r="M11904" s="88">
        <f>VLOOKUP($Q11904,매칭테이블!$F:$I,2,0)*K11904</f>
        <v/>
      </c>
      <c r="N11904" s="88">
        <f>M11904-M11904*VLOOKUP($Q11904,매칭테이블!$F:$I,3,0)</f>
        <v/>
      </c>
      <c r="O11904" s="88">
        <f>VLOOKUP($Q11904,매칭테이블!$F:$I,4,0)*K11904</f>
        <v/>
      </c>
      <c r="P11904" s="152">
        <f>M11904/1.1</f>
        <v/>
      </c>
      <c r="Q11904" s="88">
        <f>F11904&amp;E11904&amp;G11904&amp;L11904</f>
        <v/>
      </c>
    </row>
    <row r="11905" customFormat="1" s="94">
      <c r="B11905" s="128" t="n">
        <v>44174</v>
      </c>
      <c r="C11905" s="88">
        <f>TEXT(B11905,"aaa")</f>
        <v/>
      </c>
      <c r="E11905" s="88">
        <f>INDEX(매칭테이블!C:D,MATCH(RD!G11905,매칭테이블!D:D,0),1)</f>
        <v/>
      </c>
      <c r="F11905" s="94" t="inlineStr">
        <is>
          <t>카페24</t>
        </is>
      </c>
      <c r="G11905" s="94" t="inlineStr">
        <is>
          <t>촉촉 스킨팩 화장솜</t>
        </is>
      </c>
      <c r="K11905" s="94" t="n">
        <v>20</v>
      </c>
      <c r="L11905" s="88" t="n">
        <v>201208</v>
      </c>
      <c r="M11905" s="88">
        <f>VLOOKUP($Q11905,매칭테이블!$F:$I,2,0)*K11905</f>
        <v/>
      </c>
      <c r="N11905" s="88">
        <f>M11905-M11905*VLOOKUP($Q11905,매칭테이블!$F:$I,3,0)</f>
        <v/>
      </c>
      <c r="O11905" s="88">
        <f>VLOOKUP($Q11905,매칭테이블!$F:$I,4,0)*K11905</f>
        <v/>
      </c>
      <c r="P11905" s="152">
        <f>M11905/1.1</f>
        <v/>
      </c>
      <c r="Q11905" s="88">
        <f>F11905&amp;E11905&amp;G11905&amp;L11905</f>
        <v/>
      </c>
    </row>
    <row r="11906" customFormat="1" s="94">
      <c r="B11906" s="128" t="n">
        <v>44174</v>
      </c>
      <c r="C11906" s="88">
        <f>TEXT(B11906,"aaa")</f>
        <v/>
      </c>
      <c r="E11906" s="88">
        <f>INDEX(매칭테이블!C:D,MATCH(RD!G11906,매칭테이블!D:D,0),1)</f>
        <v/>
      </c>
      <c r="F11906" s="94" t="inlineStr">
        <is>
          <t>화해</t>
        </is>
      </c>
      <c r="G11906" s="94" t="inlineStr">
        <is>
          <t>어성초 77 토너 250ml어성초 77 토너 250ml</t>
        </is>
      </c>
      <c r="K11906" s="94" t="n">
        <v>1</v>
      </c>
      <c r="L11906" s="88" t="n">
        <v>201208</v>
      </c>
      <c r="M11906" s="88">
        <f>VLOOKUP($Q11906,매칭테이블!$F:$I,2,0)*K11906</f>
        <v/>
      </c>
      <c r="N11906" s="88">
        <f>M11906-M11906*VLOOKUP($Q11906,매칭테이블!$F:$I,3,0)</f>
        <v/>
      </c>
      <c r="O11906" s="88">
        <f>VLOOKUP($Q11906,매칭테이블!$F:$I,4,0)*K11906</f>
        <v/>
      </c>
      <c r="P11906" s="152">
        <f>M11906/1.1</f>
        <v/>
      </c>
      <c r="Q11906" s="88">
        <f>F11906&amp;E11906&amp;G11906&amp;L11906</f>
        <v/>
      </c>
    </row>
    <row r="11907" customFormat="1" s="94">
      <c r="B11907" s="128" t="n">
        <v>44174</v>
      </c>
      <c r="C11907" s="88">
        <f>TEXT(B11907,"aaa")</f>
        <v/>
      </c>
      <c r="E11907" s="88">
        <f>INDEX(매칭테이블!C:D,MATCH(RD!G11907,매칭테이블!D:D,0),1)</f>
        <v/>
      </c>
      <c r="F11907" s="94" t="inlineStr">
        <is>
          <t>카페24</t>
        </is>
      </c>
      <c r="G11907" s="94" t="inlineStr">
        <is>
          <t>아누아 어성초 77 수딩 토너토너(필수)=어성초 77 토너 2개-30% off (무료배송)</t>
        </is>
      </c>
      <c r="K11907" s="94" t="n">
        <v>1</v>
      </c>
      <c r="L11907" s="88" t="n">
        <v>201208</v>
      </c>
      <c r="M11907" s="88">
        <f>VLOOKUP($Q11907,매칭테이블!$F:$I,2,0)*K11907</f>
        <v/>
      </c>
      <c r="N11907" s="88">
        <f>M11907-M11907*VLOOKUP($Q11907,매칭테이블!$F:$I,3,0)</f>
        <v/>
      </c>
      <c r="O11907" s="88">
        <f>VLOOKUP($Q11907,매칭테이블!$F:$I,4,0)*K11907</f>
        <v/>
      </c>
      <c r="P11907" s="152">
        <f>M11907/1.1</f>
        <v/>
      </c>
      <c r="Q11907" s="88">
        <f>F11907&amp;E11907&amp;G11907&amp;L11907</f>
        <v/>
      </c>
    </row>
    <row r="11908" customFormat="1" s="94">
      <c r="B11908" s="128" t="n">
        <v>44174</v>
      </c>
      <c r="C11908" s="88">
        <f>TEXT(B11908,"aaa")</f>
        <v/>
      </c>
      <c r="E11908" s="88">
        <f>INDEX(매칭테이블!C:D,MATCH(RD!G11908,매칭테이블!D:D,0),1)</f>
        <v/>
      </c>
      <c r="F11908" s="94" t="inlineStr">
        <is>
          <t>카페24</t>
        </is>
      </c>
      <c r="G11908" s="94" t="inlineStr">
        <is>
          <t>아누아 어성초 77 수딩 토너화장솜(선택)=촉촉 스킨팩 화장솜</t>
        </is>
      </c>
      <c r="K11908" s="94" t="n">
        <v>1</v>
      </c>
      <c r="L11908" s="88" t="n">
        <v>201208</v>
      </c>
      <c r="M11908" s="88">
        <f>VLOOKUP($Q11908,매칭테이블!$F:$I,2,0)*K11908</f>
        <v/>
      </c>
      <c r="N11908" s="88">
        <f>M11908-M11908*VLOOKUP($Q11908,매칭테이블!$F:$I,3,0)</f>
        <v/>
      </c>
      <c r="O11908" s="88">
        <f>VLOOKUP($Q11908,매칭테이블!$F:$I,4,0)*K11908</f>
        <v/>
      </c>
      <c r="P11908" s="152">
        <f>M11908/1.1</f>
        <v/>
      </c>
      <c r="Q11908" s="88">
        <f>F11908&amp;E11908&amp;G11908&amp;L11908</f>
        <v/>
      </c>
    </row>
    <row r="11909" customFormat="1" s="94">
      <c r="B11909" s="128" t="n">
        <v>44175</v>
      </c>
      <c r="C11909" s="88">
        <f>TEXT(B11909,"aaa")</f>
        <v/>
      </c>
      <c r="E11909" s="88">
        <f>INDEX(매칭테이블!C:D,MATCH(RD!G11909,매칭테이블!D:D,0),1)</f>
        <v/>
      </c>
      <c r="F11909" s="94" t="inlineStr">
        <is>
          <t>W컨셉</t>
        </is>
      </c>
      <c r="G11909" s="94" t="inlineStr">
        <is>
          <t>어성초 77토너 (2 SET) HEARTLEAF 77% SOOTHING TONER 250ml250ml 2set</t>
        </is>
      </c>
      <c r="K11909" s="94" t="n">
        <v>1</v>
      </c>
      <c r="L11909" s="88" t="n">
        <v>201208</v>
      </c>
      <c r="M11909" s="88">
        <f>VLOOKUP($Q11909,매칭테이블!$F:$I,2,0)*K11909</f>
        <v/>
      </c>
      <c r="N11909" s="88">
        <f>M11909-M11909*VLOOKUP($Q11909,매칭테이블!$F:$I,3,0)</f>
        <v/>
      </c>
      <c r="O11909" s="88">
        <f>VLOOKUP($Q11909,매칭테이블!$F:$I,4,0)*K11909</f>
        <v/>
      </c>
      <c r="P11909" s="152">
        <f>M11909/1.1</f>
        <v/>
      </c>
      <c r="Q11909" s="88">
        <f>F11909&amp;E11909&amp;G11909&amp;L11909</f>
        <v/>
      </c>
    </row>
    <row r="11910" customFormat="1" s="94">
      <c r="B11910" s="128" t="n">
        <v>44175</v>
      </c>
      <c r="C11910" s="88">
        <f>TEXT(B11910,"aaa")</f>
        <v/>
      </c>
      <c r="E11910" s="88">
        <f>INDEX(매칭테이블!C:D,MATCH(RD!G11910,매칭테이블!D:D,0),1)</f>
        <v/>
      </c>
      <c r="F11910" s="94" t="inlineStr">
        <is>
          <t>스타일쉐어</t>
        </is>
      </c>
      <c r="G11910" s="94" t="inlineStr">
        <is>
          <t>아누아 어성초 77 토너 250ml</t>
        </is>
      </c>
      <c r="K11910" s="94" t="n">
        <v>3</v>
      </c>
      <c r="L11910" s="88" t="n">
        <v>201208</v>
      </c>
      <c r="M11910" s="88">
        <f>VLOOKUP($Q11910,매칭테이블!$F:$I,2,0)*K11910</f>
        <v/>
      </c>
      <c r="N11910" s="88">
        <f>M11910-M11910*VLOOKUP($Q11910,매칭테이블!$F:$I,3,0)</f>
        <v/>
      </c>
      <c r="O11910" s="88">
        <f>VLOOKUP($Q11910,매칭테이블!$F:$I,4,0)*K11910</f>
        <v/>
      </c>
      <c r="P11910" s="152">
        <f>M11910/1.1</f>
        <v/>
      </c>
      <c r="Q11910" s="88">
        <f>F11910&amp;E11910&amp;G11910&amp;L11910</f>
        <v/>
      </c>
    </row>
    <row r="11911" customFormat="1" s="94">
      <c r="B11911" s="128" t="n">
        <v>44175</v>
      </c>
      <c r="C11911" s="88">
        <f>TEXT(B11911,"aaa")</f>
        <v/>
      </c>
      <c r="E11911" s="88">
        <f>INDEX(매칭테이블!C:D,MATCH(RD!G11911,매칭테이블!D:D,0),1)</f>
        <v/>
      </c>
      <c r="F11911" s="94" t="inlineStr">
        <is>
          <t>아누아 CS</t>
        </is>
      </c>
      <c r="G11911" s="94" t="inlineStr">
        <is>
          <t>어성초 77 토너 250ml</t>
        </is>
      </c>
      <c r="K11911" s="94" t="n">
        <v>3</v>
      </c>
      <c r="L11911" s="88" t="n">
        <v>201208</v>
      </c>
      <c r="M11911" s="88">
        <f>VLOOKUP($Q11911,매칭테이블!$F:$I,2,0)*K11911</f>
        <v/>
      </c>
      <c r="N11911" s="88">
        <f>M11911-M11911*VLOOKUP($Q11911,매칭테이블!$F:$I,3,0)</f>
        <v/>
      </c>
      <c r="O11911" s="88">
        <f>VLOOKUP($Q11911,매칭테이블!$F:$I,4,0)*K11911</f>
        <v/>
      </c>
      <c r="P11911" s="152">
        <f>M11911/1.1</f>
        <v/>
      </c>
      <c r="Q11911" s="88">
        <f>F11911&amp;E11911&amp;G11911&amp;L11911</f>
        <v/>
      </c>
    </row>
    <row r="11912" customFormat="1" s="94">
      <c r="B11912" s="128" t="n">
        <v>44175</v>
      </c>
      <c r="C11912" s="88">
        <f>TEXT(B11912,"aaa")</f>
        <v/>
      </c>
      <c r="E11912" s="88">
        <f>INDEX(매칭테이블!C:D,MATCH(RD!G11912,매칭테이블!D:D,0),1)</f>
        <v/>
      </c>
      <c r="F11912" s="94" t="inlineStr">
        <is>
          <t>아누아 CS</t>
        </is>
      </c>
      <c r="G11912" s="94" t="inlineStr">
        <is>
          <t>어성초 클리어패드 70P</t>
        </is>
      </c>
      <c r="K11912" s="94" t="n">
        <v>1</v>
      </c>
      <c r="L11912" s="88" t="n">
        <v>201208</v>
      </c>
      <c r="M11912" s="88">
        <f>VLOOKUP($Q11912,매칭테이블!$F:$I,2,0)*K11912</f>
        <v/>
      </c>
      <c r="N11912" s="88">
        <f>M11912-M11912*VLOOKUP($Q11912,매칭테이블!$F:$I,3,0)</f>
        <v/>
      </c>
      <c r="O11912" s="88">
        <f>VLOOKUP($Q11912,매칭테이블!$F:$I,4,0)*K11912</f>
        <v/>
      </c>
      <c r="P11912" s="152">
        <f>M11912/1.1</f>
        <v/>
      </c>
      <c r="Q11912" s="88">
        <f>F11912&amp;E11912&amp;G11912&amp;L11912</f>
        <v/>
      </c>
    </row>
    <row r="11913" customFormat="1" s="94">
      <c r="B11913" s="128" t="n">
        <v>44175</v>
      </c>
      <c r="C11913" s="88">
        <f>TEXT(B11913,"aaa")</f>
        <v/>
      </c>
      <c r="E11913" s="88">
        <f>INDEX(매칭테이블!C:D,MATCH(RD!G11913,매칭테이블!D:D,0),1)</f>
        <v/>
      </c>
      <c r="F11913" s="94" t="inlineStr">
        <is>
          <t>카페24</t>
        </is>
      </c>
      <c r="G11913" s="94" t="inlineStr">
        <is>
          <t>5 제로 무기자차 선크림옵션=5제로 무기자차 선크림 1개-20% off</t>
        </is>
      </c>
      <c r="K11913" s="94" t="n">
        <v>1</v>
      </c>
      <c r="L11913" s="88" t="n">
        <v>201208</v>
      </c>
      <c r="M11913" s="88">
        <f>VLOOKUP($Q11913,매칭테이블!$F:$I,2,0)*K11913</f>
        <v/>
      </c>
      <c r="N11913" s="88">
        <f>M11913-M11913*VLOOKUP($Q11913,매칭테이블!$F:$I,3,0)</f>
        <v/>
      </c>
      <c r="O11913" s="88">
        <f>VLOOKUP($Q11913,매칭테이블!$F:$I,4,0)*K11913</f>
        <v/>
      </c>
      <c r="P11913" s="152">
        <f>M11913/1.1</f>
        <v/>
      </c>
      <c r="Q11913" s="88">
        <f>F11913&amp;E11913&amp;G11913&amp;L11913</f>
        <v/>
      </c>
    </row>
    <row r="11914" customFormat="1" s="94">
      <c r="B11914" s="128" t="n">
        <v>44175</v>
      </c>
      <c r="C11914" s="88">
        <f>TEXT(B11914,"aaa")</f>
        <v/>
      </c>
      <c r="E11914" s="88">
        <f>INDEX(매칭테이블!C:D,MATCH(RD!G11914,매칭테이블!D:D,0),1)</f>
        <v/>
      </c>
      <c r="F11914" s="94" t="inlineStr">
        <is>
          <t>카페24</t>
        </is>
      </c>
      <c r="G11914" s="94" t="inlineStr">
        <is>
          <t>[수분 보충 세트] 어성초 77 토너 + 어성초 70 로션옵션=어성초 77 토너 250ml + 어성초 70 로션 200ml -30%</t>
        </is>
      </c>
      <c r="K11914" s="94" t="n">
        <v>21</v>
      </c>
      <c r="L11914" s="88" t="n">
        <v>201208</v>
      </c>
      <c r="M11914" s="88">
        <f>VLOOKUP($Q11914,매칭테이블!$F:$I,2,0)*K11914</f>
        <v/>
      </c>
      <c r="N11914" s="88">
        <f>M11914-M11914*VLOOKUP($Q11914,매칭테이블!$F:$I,3,0)</f>
        <v/>
      </c>
      <c r="O11914" s="88">
        <f>VLOOKUP($Q11914,매칭테이블!$F:$I,4,0)*K11914</f>
        <v/>
      </c>
      <c r="P11914" s="152">
        <f>M11914/1.1</f>
        <v/>
      </c>
      <c r="Q11914" s="88">
        <f>F11914&amp;E11914&amp;G11914&amp;L11914</f>
        <v/>
      </c>
    </row>
    <row r="11915" customFormat="1" s="94">
      <c r="B11915" s="128" t="n">
        <v>44175</v>
      </c>
      <c r="C11915" s="88">
        <f>TEXT(B11915,"aaa")</f>
        <v/>
      </c>
      <c r="E11915" s="88">
        <f>INDEX(매칭테이블!C:D,MATCH(RD!G11915,매칭테이블!D:D,0),1)</f>
        <v/>
      </c>
      <c r="F11915" s="94" t="inlineStr">
        <is>
          <t>카페24</t>
        </is>
      </c>
      <c r="G11915" s="94" t="inlineStr">
        <is>
          <t>[어성초 진정 패키지 세트] 대용량 토너 + 앰플 + 수딩 크림 + 마스크팩 10장</t>
        </is>
      </c>
      <c r="K11915" s="94" t="n">
        <v>2</v>
      </c>
      <c r="L11915" s="88" t="n">
        <v>201208</v>
      </c>
      <c r="M11915" s="88">
        <f>VLOOKUP($Q11915,매칭테이블!$F:$I,2,0)*K11915</f>
        <v/>
      </c>
      <c r="N11915" s="88">
        <f>M11915-M11915*VLOOKUP($Q11915,매칭테이블!$F:$I,3,0)</f>
        <v/>
      </c>
      <c r="O11915" s="88">
        <f>VLOOKUP($Q11915,매칭테이블!$F:$I,4,0)*K11915</f>
        <v/>
      </c>
      <c r="P11915" s="152">
        <f>M11915/1.1</f>
        <v/>
      </c>
      <c r="Q11915" s="88">
        <f>F11915&amp;E11915&amp;G11915&amp;L11915</f>
        <v/>
      </c>
    </row>
    <row r="11916" customFormat="1" s="94">
      <c r="B11916" s="128" t="n">
        <v>44175</v>
      </c>
      <c r="C11916" s="88">
        <f>TEXT(B11916,"aaa")</f>
        <v/>
      </c>
      <c r="E11916" s="88">
        <f>INDEX(매칭테이블!C:D,MATCH(RD!G11916,매칭테이블!D:D,0),1)</f>
        <v/>
      </c>
      <c r="F11916" s="94" t="inlineStr">
        <is>
          <t>카페24</t>
        </is>
      </c>
      <c r="G11916" s="94" t="inlineStr">
        <is>
          <t>대용량 어성초 77 수딩 토너 500ml</t>
        </is>
      </c>
      <c r="K11916" s="94" t="n">
        <v>39</v>
      </c>
      <c r="L11916" s="88" t="n">
        <v>201208</v>
      </c>
      <c r="M11916" s="88">
        <f>VLOOKUP($Q11916,매칭테이블!$F:$I,2,0)*K11916</f>
        <v/>
      </c>
      <c r="N11916" s="88">
        <f>M11916-M11916*VLOOKUP($Q11916,매칭테이블!$F:$I,3,0)</f>
        <v/>
      </c>
      <c r="O11916" s="88">
        <f>VLOOKUP($Q11916,매칭테이블!$F:$I,4,0)*K11916</f>
        <v/>
      </c>
      <c r="P11916" s="152">
        <f>M11916/1.1</f>
        <v/>
      </c>
      <c r="Q11916" s="88">
        <f>F11916&amp;E11916&amp;G11916&amp;L11916</f>
        <v/>
      </c>
    </row>
    <row r="11917" customFormat="1" s="94">
      <c r="B11917" s="128" t="n">
        <v>44175</v>
      </c>
      <c r="C11917" s="88">
        <f>TEXT(B11917,"aaa")</f>
        <v/>
      </c>
      <c r="E11917" s="88">
        <f>INDEX(매칭테이블!C:D,MATCH(RD!G11917,매칭테이블!D:D,0),1)</f>
        <v/>
      </c>
      <c r="F11917" s="94" t="inlineStr">
        <is>
          <t>카페24</t>
        </is>
      </c>
      <c r="G11917" s="94" t="inlineStr">
        <is>
          <t>아누아 어성초 77 수딩 토너토너(필수)=어성초 77 토너 1개-20% off</t>
        </is>
      </c>
      <c r="K11917" s="94" t="n">
        <v>2</v>
      </c>
      <c r="L11917" s="88" t="n">
        <v>201208</v>
      </c>
      <c r="M11917" s="88">
        <f>VLOOKUP($Q11917,매칭테이블!$F:$I,2,0)*K11917</f>
        <v/>
      </c>
      <c r="N11917" s="88">
        <f>M11917-M11917*VLOOKUP($Q11917,매칭테이블!$F:$I,3,0)</f>
        <v/>
      </c>
      <c r="O11917" s="88">
        <f>VLOOKUP($Q11917,매칭테이블!$F:$I,4,0)*K11917</f>
        <v/>
      </c>
      <c r="P11917" s="152">
        <f>M11917/1.1</f>
        <v/>
      </c>
      <c r="Q11917" s="88">
        <f>F11917&amp;E11917&amp;G11917&amp;L11917</f>
        <v/>
      </c>
    </row>
    <row r="11918" customFormat="1" s="94">
      <c r="B11918" s="128" t="n">
        <v>44175</v>
      </c>
      <c r="C11918" s="88">
        <f>TEXT(B11918,"aaa")</f>
        <v/>
      </c>
      <c r="E11918" s="88">
        <f>INDEX(매칭테이블!C:D,MATCH(RD!G11918,매칭테이블!D:D,0),1)</f>
        <v/>
      </c>
      <c r="F11918" s="94" t="inlineStr">
        <is>
          <t>카페24</t>
        </is>
      </c>
      <c r="G11918" s="94" t="inlineStr">
        <is>
          <t>아누아 어성초 77 수딩 토너토너(필수)=어성초 77 토너 2개-30% off (무료배송)</t>
        </is>
      </c>
      <c r="K11918" s="94" t="n">
        <v>1</v>
      </c>
      <c r="L11918" s="88" t="n">
        <v>201208</v>
      </c>
      <c r="M11918" s="88">
        <f>VLOOKUP($Q11918,매칭테이블!$F:$I,2,0)*K11918</f>
        <v/>
      </c>
      <c r="N11918" s="88">
        <f>M11918-M11918*VLOOKUP($Q11918,매칭테이블!$F:$I,3,0)</f>
        <v/>
      </c>
      <c r="O11918" s="88">
        <f>VLOOKUP($Q11918,매칭테이블!$F:$I,4,0)*K11918</f>
        <v/>
      </c>
      <c r="P11918" s="152">
        <f>M11918/1.1</f>
        <v/>
      </c>
      <c r="Q11918" s="88">
        <f>F11918&amp;E11918&amp;G11918&amp;L11918</f>
        <v/>
      </c>
    </row>
    <row r="11919" customFormat="1" s="94">
      <c r="B11919" s="128" t="n">
        <v>44175</v>
      </c>
      <c r="C11919" s="88">
        <f>TEXT(B11919,"aaa")</f>
        <v/>
      </c>
      <c r="E11919" s="88">
        <f>INDEX(매칭테이블!C:D,MATCH(RD!G11919,매칭테이블!D:D,0),1)</f>
        <v/>
      </c>
      <c r="F11919" s="94" t="inlineStr">
        <is>
          <t>카페24</t>
        </is>
      </c>
      <c r="G11919" s="94" t="inlineStr">
        <is>
          <t>아누아 어성초 77 수딩 토너화장솜(선택)=촉촉 스킨팩 화장솜</t>
        </is>
      </c>
      <c r="K11919" s="94" t="n">
        <v>3</v>
      </c>
      <c r="L11919" s="88" t="n">
        <v>201208</v>
      </c>
      <c r="M11919" s="88">
        <f>VLOOKUP($Q11919,매칭테이블!$F:$I,2,0)*K11919</f>
        <v/>
      </c>
      <c r="N11919" s="88">
        <f>M11919-M11919*VLOOKUP($Q11919,매칭테이블!$F:$I,3,0)</f>
        <v/>
      </c>
      <c r="O11919" s="88">
        <f>VLOOKUP($Q11919,매칭테이블!$F:$I,4,0)*K11919</f>
        <v/>
      </c>
      <c r="P11919" s="152">
        <f>M11919/1.1</f>
        <v/>
      </c>
      <c r="Q11919" s="88">
        <f>F11919&amp;E11919&amp;G11919&amp;L11919</f>
        <v/>
      </c>
    </row>
    <row r="11920" customFormat="1" s="94">
      <c r="B11920" s="128" t="n">
        <v>44175</v>
      </c>
      <c r="C11920" s="88">
        <f>TEXT(B11920,"aaa")</f>
        <v/>
      </c>
      <c r="E11920" s="88">
        <f>INDEX(매칭테이블!C:D,MATCH(RD!G11920,매칭테이블!D:D,0),1)</f>
        <v/>
      </c>
      <c r="F11920" s="94" t="inlineStr">
        <is>
          <t>카페24</t>
        </is>
      </c>
      <c r="G11920" s="94" t="inlineStr">
        <is>
          <t>어성초 70 데일리 릴리프 로션로션=어성초 70 데일리 릴리프 로션 1개 -20% off</t>
        </is>
      </c>
      <c r="K11920" s="94" t="n">
        <v>8</v>
      </c>
      <c r="L11920" s="88" t="n">
        <v>201208</v>
      </c>
      <c r="M11920" s="88">
        <f>VLOOKUP($Q11920,매칭테이블!$F:$I,2,0)*K11920</f>
        <v/>
      </c>
      <c r="N11920" s="88">
        <f>M11920-M11920*VLOOKUP($Q11920,매칭테이블!$F:$I,3,0)</f>
        <v/>
      </c>
      <c r="O11920" s="88">
        <f>VLOOKUP($Q11920,매칭테이블!$F:$I,4,0)*K11920</f>
        <v/>
      </c>
      <c r="P11920" s="152">
        <f>M11920/1.1</f>
        <v/>
      </c>
      <c r="Q11920" s="88">
        <f>F11920&amp;E11920&amp;G11920&amp;L11920</f>
        <v/>
      </c>
    </row>
    <row r="11921" customFormat="1" s="94">
      <c r="B11921" s="128" t="n">
        <v>44175</v>
      </c>
      <c r="C11921" s="88">
        <f>TEXT(B11921,"aaa")</f>
        <v/>
      </c>
      <c r="E11921" s="88">
        <f>INDEX(매칭테이블!C:D,MATCH(RD!G11921,매칭테이블!D:D,0),1)</f>
        <v/>
      </c>
      <c r="F11921" s="94" t="inlineStr">
        <is>
          <t>카페24</t>
        </is>
      </c>
      <c r="G11921" s="94" t="inlineStr">
        <is>
          <t>어성초 70 데일리 릴리프 로션로션=어성초 77토너 + 어성초 70 로션 수분 보충 세트 -30% off</t>
        </is>
      </c>
      <c r="K11921" s="94" t="n">
        <v>1</v>
      </c>
      <c r="L11921" s="88" t="n">
        <v>201208</v>
      </c>
      <c r="M11921" s="88">
        <f>VLOOKUP($Q11921,매칭테이블!$F:$I,2,0)*K11921</f>
        <v/>
      </c>
      <c r="N11921" s="88">
        <f>M11921-M11921*VLOOKUP($Q11921,매칭테이블!$F:$I,3,0)</f>
        <v/>
      </c>
      <c r="O11921" s="88">
        <f>VLOOKUP($Q11921,매칭테이블!$F:$I,4,0)*K11921</f>
        <v/>
      </c>
      <c r="P11921" s="152">
        <f>M11921/1.1</f>
        <v/>
      </c>
      <c r="Q11921" s="88">
        <f>F11921&amp;E11921&amp;G11921&amp;L11921</f>
        <v/>
      </c>
    </row>
    <row r="11922" customFormat="1" s="94">
      <c r="B11922" s="128" t="n">
        <v>44175</v>
      </c>
      <c r="C11922" s="88">
        <f>TEXT(B11922,"aaa")</f>
        <v/>
      </c>
      <c r="E11922" s="88">
        <f>INDEX(매칭테이블!C:D,MATCH(RD!G11922,매칭테이블!D:D,0),1)</f>
        <v/>
      </c>
      <c r="F11922" s="94" t="inlineStr">
        <is>
          <t>카페24</t>
        </is>
      </c>
      <c r="G11922" s="94" t="inlineStr">
        <is>
          <t>어성초 70 머드 크림 마스크옵션=어성초 70 머드 크림 마스크-20% off</t>
        </is>
      </c>
      <c r="K11922" s="94" t="n">
        <v>5</v>
      </c>
      <c r="L11922" s="88" t="n">
        <v>201208</v>
      </c>
      <c r="M11922" s="88">
        <f>VLOOKUP($Q11922,매칭테이블!$F:$I,2,0)*K11922</f>
        <v/>
      </c>
      <c r="N11922" s="88">
        <f>M11922-M11922*VLOOKUP($Q11922,매칭테이블!$F:$I,3,0)</f>
        <v/>
      </c>
      <c r="O11922" s="88">
        <f>VLOOKUP($Q11922,매칭테이블!$F:$I,4,0)*K11922</f>
        <v/>
      </c>
      <c r="P11922" s="152">
        <f>M11922/1.1</f>
        <v/>
      </c>
      <c r="Q11922" s="88">
        <f>F11922&amp;E11922&amp;G11922&amp;L11922</f>
        <v/>
      </c>
    </row>
    <row r="11923" customFormat="1" s="94">
      <c r="B11923" s="128" t="n">
        <v>44175</v>
      </c>
      <c r="C11923" s="88">
        <f>TEXT(B11923,"aaa")</f>
        <v/>
      </c>
      <c r="E11923" s="88">
        <f>INDEX(매칭테이블!C:D,MATCH(RD!G11923,매칭테이블!D:D,0),1)</f>
        <v/>
      </c>
      <c r="F11923" s="94" t="inlineStr">
        <is>
          <t>카페24</t>
        </is>
      </c>
      <c r="G11923" s="94" t="inlineStr">
        <is>
          <t>어성초 70 인텐스 카밍 크림크림=어성초 70 인텐스 카밍 크림 1개 (-20%)</t>
        </is>
      </c>
      <c r="K11923" s="94" t="n">
        <v>2</v>
      </c>
      <c r="L11923" s="88" t="n">
        <v>201208</v>
      </c>
      <c r="M11923" s="88">
        <f>VLOOKUP($Q11923,매칭테이블!$F:$I,2,0)*K11923</f>
        <v/>
      </c>
      <c r="N11923" s="88">
        <f>M11923-M11923*VLOOKUP($Q11923,매칭테이블!$F:$I,3,0)</f>
        <v/>
      </c>
      <c r="O11923" s="88">
        <f>VLOOKUP($Q11923,매칭테이블!$F:$I,4,0)*K11923</f>
        <v/>
      </c>
      <c r="P11923" s="152">
        <f>M11923/1.1</f>
        <v/>
      </c>
      <c r="Q11923" s="88">
        <f>F11923&amp;E11923&amp;G11923&amp;L11923</f>
        <v/>
      </c>
    </row>
    <row r="11924" customFormat="1" s="94">
      <c r="B11924" s="128" t="n">
        <v>44175</v>
      </c>
      <c r="C11924" s="88">
        <f>TEXT(B11924,"aaa")</f>
        <v/>
      </c>
      <c r="E11924" s="88">
        <f>INDEX(매칭테이블!C:D,MATCH(RD!G11924,매칭테이블!D:D,0),1)</f>
        <v/>
      </c>
      <c r="F11924" s="94" t="inlineStr">
        <is>
          <t>카페24</t>
        </is>
      </c>
      <c r="G11924" s="94" t="inlineStr">
        <is>
          <t>어성초 77 수딩 토너토너(필수)=어성초 77 토너 1개-20% off</t>
        </is>
      </c>
      <c r="K11924" s="94" t="n">
        <v>39</v>
      </c>
      <c r="L11924" s="88" t="n">
        <v>201208</v>
      </c>
      <c r="M11924" s="88">
        <f>VLOOKUP($Q11924,매칭테이블!$F:$I,2,0)*K11924</f>
        <v/>
      </c>
      <c r="N11924" s="88">
        <f>M11924-M11924*VLOOKUP($Q11924,매칭테이블!$F:$I,3,0)</f>
        <v/>
      </c>
      <c r="O11924" s="88">
        <f>VLOOKUP($Q11924,매칭테이블!$F:$I,4,0)*K11924</f>
        <v/>
      </c>
      <c r="P11924" s="152">
        <f>M11924/1.1</f>
        <v/>
      </c>
      <c r="Q11924" s="88">
        <f>F11924&amp;E11924&amp;G11924&amp;L11924</f>
        <v/>
      </c>
    </row>
    <row r="11925" customFormat="1" s="94">
      <c r="B11925" s="128" t="n">
        <v>44175</v>
      </c>
      <c r="C11925" s="88">
        <f>TEXT(B11925,"aaa")</f>
        <v/>
      </c>
      <c r="E11925" s="88">
        <f>INDEX(매칭테이블!C:D,MATCH(RD!G11925,매칭테이블!D:D,0),1)</f>
        <v/>
      </c>
      <c r="F11925" s="94" t="inlineStr">
        <is>
          <t>카페24</t>
        </is>
      </c>
      <c r="G11925" s="94" t="inlineStr">
        <is>
          <t>어성초 77 수딩 토너토너(필수)=어성초 77 토너 2개-30% off (무료배송)</t>
        </is>
      </c>
      <c r="K11925" s="94" t="n">
        <v>30</v>
      </c>
      <c r="L11925" s="88" t="n">
        <v>201208</v>
      </c>
      <c r="M11925" s="88">
        <f>VLOOKUP($Q11925,매칭테이블!$F:$I,2,0)*K11925</f>
        <v/>
      </c>
      <c r="N11925" s="88">
        <f>M11925-M11925*VLOOKUP($Q11925,매칭테이블!$F:$I,3,0)</f>
        <v/>
      </c>
      <c r="O11925" s="88">
        <f>VLOOKUP($Q11925,매칭테이블!$F:$I,4,0)*K11925</f>
        <v/>
      </c>
      <c r="P11925" s="152">
        <f>M11925/1.1</f>
        <v/>
      </c>
      <c r="Q11925" s="88">
        <f>F11925&amp;E11925&amp;G11925&amp;L11925</f>
        <v/>
      </c>
    </row>
    <row r="11926" customFormat="1" s="94">
      <c r="B11926" s="128" t="n">
        <v>44175</v>
      </c>
      <c r="C11926" s="88">
        <f>TEXT(B11926,"aaa")</f>
        <v/>
      </c>
      <c r="E11926" s="88">
        <f>INDEX(매칭테이블!C:D,MATCH(RD!G11926,매칭테이블!D:D,0),1)</f>
        <v/>
      </c>
      <c r="F11926" s="94" t="inlineStr">
        <is>
          <t>카페24</t>
        </is>
      </c>
      <c r="G11926" s="94" t="inlineStr">
        <is>
          <t>어성초 77 수딩 토너토너(필수)=어성초77토너1개 + 어성초77패드1개 -30% off (무료배송)</t>
        </is>
      </c>
      <c r="K11926" s="94" t="n">
        <v>9</v>
      </c>
      <c r="L11926" s="88" t="n">
        <v>201208</v>
      </c>
      <c r="M11926" s="88">
        <f>VLOOKUP($Q11926,매칭테이블!$F:$I,2,0)*K11926</f>
        <v/>
      </c>
      <c r="N11926" s="88">
        <f>M11926-M11926*VLOOKUP($Q11926,매칭테이블!$F:$I,3,0)</f>
        <v/>
      </c>
      <c r="O11926" s="88">
        <f>VLOOKUP($Q11926,매칭테이블!$F:$I,4,0)*K11926</f>
        <v/>
      </c>
      <c r="P11926" s="152">
        <f>M11926/1.1</f>
        <v/>
      </c>
      <c r="Q11926" s="88">
        <f>F11926&amp;E11926&amp;G11926&amp;L11926</f>
        <v/>
      </c>
    </row>
    <row r="11927" customFormat="1" s="94">
      <c r="B11927" s="128" t="n">
        <v>44175</v>
      </c>
      <c r="C11927" s="88">
        <f>TEXT(B11927,"aaa")</f>
        <v/>
      </c>
      <c r="E11927" s="88">
        <f>INDEX(매칭테이블!C:D,MATCH(RD!G11927,매칭테이블!D:D,0),1)</f>
        <v/>
      </c>
      <c r="F11927" s="94" t="inlineStr">
        <is>
          <t>카페24</t>
        </is>
      </c>
      <c r="G11927" s="94" t="inlineStr">
        <is>
          <t>어성초 77 수딩 토너화장솜(선택)=촉촉 스킨팩 화장솜</t>
        </is>
      </c>
      <c r="K11927" s="94" t="n">
        <v>25</v>
      </c>
      <c r="L11927" s="88" t="n">
        <v>201208</v>
      </c>
      <c r="M11927" s="88">
        <f>VLOOKUP($Q11927,매칭테이블!$F:$I,2,0)*K11927</f>
        <v/>
      </c>
      <c r="N11927" s="88">
        <f>M11927-M11927*VLOOKUP($Q11927,매칭테이블!$F:$I,3,0)</f>
        <v/>
      </c>
      <c r="O11927" s="88">
        <f>VLOOKUP($Q11927,매칭테이블!$F:$I,4,0)*K11927</f>
        <v/>
      </c>
      <c r="P11927" s="152">
        <f>M11927/1.1</f>
        <v/>
      </c>
      <c r="Q11927" s="88">
        <f>F11927&amp;E11927&amp;G11927&amp;L11927</f>
        <v/>
      </c>
    </row>
    <row r="11928" customFormat="1" s="94">
      <c r="B11928" s="128" t="n">
        <v>44175</v>
      </c>
      <c r="C11928" s="88">
        <f>TEXT(B11928,"aaa")</f>
        <v/>
      </c>
      <c r="E11928" s="88">
        <f>INDEX(매칭테이블!C:D,MATCH(RD!G11928,매칭테이블!D:D,0),1)</f>
        <v/>
      </c>
      <c r="F11928" s="94" t="inlineStr">
        <is>
          <t>카페24</t>
        </is>
      </c>
      <c r="G11928" s="94" t="inlineStr">
        <is>
          <t>어성초 77 수딩 토너토너(필수)=어성초 77 토너 2개-30% off (무료배송)</t>
        </is>
      </c>
      <c r="K11928" s="94" t="n">
        <v>1</v>
      </c>
      <c r="L11928" s="88" t="n">
        <v>201208</v>
      </c>
      <c r="M11928" s="88">
        <f>VLOOKUP($Q11928,매칭테이블!$F:$I,2,0)*K11928</f>
        <v/>
      </c>
      <c r="N11928" s="88">
        <f>M11928-M11928*VLOOKUP($Q11928,매칭테이블!$F:$I,3,0)</f>
        <v/>
      </c>
      <c r="O11928" s="88">
        <f>VLOOKUP($Q11928,매칭테이블!$F:$I,4,0)*K11928</f>
        <v/>
      </c>
      <c r="P11928" s="152">
        <f>M11928/1.1</f>
        <v/>
      </c>
      <c r="Q11928" s="88">
        <f>F11928&amp;E11928&amp;G11928&amp;L11928</f>
        <v/>
      </c>
    </row>
    <row r="11929" customFormat="1" s="94">
      <c r="B11929" s="128" t="n">
        <v>44175</v>
      </c>
      <c r="C11929" s="88">
        <f>TEXT(B11929,"aaa")</f>
        <v/>
      </c>
      <c r="E11929" s="88">
        <f>INDEX(매칭테이블!C:D,MATCH(RD!G11929,매칭테이블!D:D,0),1)</f>
        <v/>
      </c>
      <c r="F11929" s="94" t="inlineStr">
        <is>
          <t>카페24</t>
        </is>
      </c>
      <c r="G11929" s="94" t="inlineStr">
        <is>
          <t>어성초 77 수딩 토너토너(필수)=(대용량) 어성초 77 토너 500ml (무료배송)</t>
        </is>
      </c>
      <c r="K11929" s="94" t="n">
        <v>2</v>
      </c>
      <c r="L11929" s="88" t="n">
        <v>201208</v>
      </c>
      <c r="M11929" s="88">
        <f>VLOOKUP($Q11929,매칭테이블!$F:$I,2,0)*K11929</f>
        <v/>
      </c>
      <c r="N11929" s="88">
        <f>M11929-M11929*VLOOKUP($Q11929,매칭테이블!$F:$I,3,0)</f>
        <v/>
      </c>
      <c r="O11929" s="88">
        <f>VLOOKUP($Q11929,매칭테이블!$F:$I,4,0)*K11929</f>
        <v/>
      </c>
      <c r="P11929" s="152">
        <f>M11929/1.1</f>
        <v/>
      </c>
      <c r="Q11929" s="88">
        <f>F11929&amp;E11929&amp;G11929&amp;L11929</f>
        <v/>
      </c>
    </row>
    <row r="11930" customFormat="1" s="94">
      <c r="B11930" s="128" t="n">
        <v>44175</v>
      </c>
      <c r="C11930" s="88">
        <f>TEXT(B11930,"aaa")</f>
        <v/>
      </c>
      <c r="E11930" s="88">
        <f>INDEX(매칭테이블!C:D,MATCH(RD!G11930,매칭테이블!D:D,0),1)</f>
        <v/>
      </c>
      <c r="F11930" s="94" t="inlineStr">
        <is>
          <t>카페24</t>
        </is>
      </c>
      <c r="G11930" s="94" t="inlineStr">
        <is>
          <t>어성초 77 진정 마스크옵션=어성초 77 진정 마스크팩 1장</t>
        </is>
      </c>
      <c r="K11930" s="94" t="n">
        <v>2</v>
      </c>
      <c r="L11930" s="88" t="n">
        <v>201208</v>
      </c>
      <c r="M11930" s="88">
        <f>VLOOKUP($Q11930,매칭테이블!$F:$I,2,0)*K11930</f>
        <v/>
      </c>
      <c r="N11930" s="88">
        <f>M11930-M11930*VLOOKUP($Q11930,매칭테이블!$F:$I,3,0)</f>
        <v/>
      </c>
      <c r="O11930" s="88">
        <f>VLOOKUP($Q11930,매칭테이블!$F:$I,4,0)*K11930</f>
        <v/>
      </c>
      <c r="P11930" s="152">
        <f>M11930/1.1</f>
        <v/>
      </c>
      <c r="Q11930" s="88">
        <f>F11930&amp;E11930&amp;G11930&amp;L11930</f>
        <v/>
      </c>
    </row>
    <row r="11931" customFormat="1" s="94">
      <c r="B11931" s="128" t="n">
        <v>44175</v>
      </c>
      <c r="C11931" s="88">
        <f>TEXT(B11931,"aaa")</f>
        <v/>
      </c>
      <c r="E11931" s="88">
        <f>INDEX(매칭테이블!C:D,MATCH(RD!G11931,매칭테이블!D:D,0),1)</f>
        <v/>
      </c>
      <c r="F11931" s="94" t="inlineStr">
        <is>
          <t>카페24</t>
        </is>
      </c>
      <c r="G11931" s="94" t="inlineStr">
        <is>
          <t>어성초 77 진정 마스크옵션=어성초 77 진정 마스크팩 10장-50% off</t>
        </is>
      </c>
      <c r="K11931" s="94" t="n">
        <v>5</v>
      </c>
      <c r="L11931" s="88" t="n">
        <v>201208</v>
      </c>
      <c r="M11931" s="88">
        <f>VLOOKUP($Q11931,매칭테이블!$F:$I,2,0)*K11931</f>
        <v/>
      </c>
      <c r="N11931" s="88">
        <f>M11931-M11931*VLOOKUP($Q11931,매칭테이블!$F:$I,3,0)</f>
        <v/>
      </c>
      <c r="O11931" s="88">
        <f>VLOOKUP($Q11931,매칭테이블!$F:$I,4,0)*K11931</f>
        <v/>
      </c>
      <c r="P11931" s="152">
        <f>M11931/1.1</f>
        <v/>
      </c>
      <c r="Q11931" s="88">
        <f>F11931&amp;E11931&amp;G11931&amp;L11931</f>
        <v/>
      </c>
    </row>
    <row r="11932" customFormat="1" s="94">
      <c r="B11932" s="128" t="n">
        <v>44175</v>
      </c>
      <c r="C11932" s="88">
        <f>TEXT(B11932,"aaa")</f>
        <v/>
      </c>
      <c r="E11932" s="88">
        <f>INDEX(매칭테이블!C:D,MATCH(RD!G11932,매칭테이블!D:D,0),1)</f>
        <v/>
      </c>
      <c r="F11932" s="94" t="inlineStr">
        <is>
          <t>카페24</t>
        </is>
      </c>
      <c r="G11932" s="94" t="inlineStr">
        <is>
          <t>어성초 77 진정 마스크</t>
        </is>
      </c>
      <c r="K11932" s="94" t="n">
        <v>1</v>
      </c>
      <c r="L11932" s="88" t="n">
        <v>201208</v>
      </c>
      <c r="M11932" s="88">
        <f>VLOOKUP($Q11932,매칭테이블!$F:$I,2,0)*K11932</f>
        <v/>
      </c>
      <c r="N11932" s="88">
        <f>M11932-M11932*VLOOKUP($Q11932,매칭테이블!$F:$I,3,0)</f>
        <v/>
      </c>
      <c r="O11932" s="88">
        <f>VLOOKUP($Q11932,매칭테이블!$F:$I,4,0)*K11932</f>
        <v/>
      </c>
      <c r="P11932" s="152">
        <f>M11932/1.1</f>
        <v/>
      </c>
      <c r="Q11932" s="88">
        <f>F11932&amp;E11932&amp;G11932&amp;L11932</f>
        <v/>
      </c>
    </row>
    <row r="11933" customFormat="1" s="94">
      <c r="B11933" s="128" t="n">
        <v>44175</v>
      </c>
      <c r="C11933" s="88">
        <f>TEXT(B11933,"aaa")</f>
        <v/>
      </c>
      <c r="E11933" s="88">
        <f>INDEX(매칭테이블!C:D,MATCH(RD!G11933,매칭테이블!D:D,0),1)</f>
        <v/>
      </c>
      <c r="F11933" s="94" t="inlineStr">
        <is>
          <t>카페24</t>
        </is>
      </c>
      <c r="G11933" s="94" t="inlineStr">
        <is>
          <t>어성초 77 클리어 패드옵션=어성초 77 클리어 패드 1개-20% off</t>
        </is>
      </c>
      <c r="K11933" s="94" t="n">
        <v>43</v>
      </c>
      <c r="L11933" s="88" t="n">
        <v>201208</v>
      </c>
      <c r="M11933" s="88">
        <f>VLOOKUP($Q11933,매칭테이블!$F:$I,2,0)*K11933</f>
        <v/>
      </c>
      <c r="N11933" s="88">
        <f>M11933-M11933*VLOOKUP($Q11933,매칭테이블!$F:$I,3,0)</f>
        <v/>
      </c>
      <c r="O11933" s="88">
        <f>VLOOKUP($Q11933,매칭테이블!$F:$I,4,0)*K11933</f>
        <v/>
      </c>
      <c r="P11933" s="152">
        <f>M11933/1.1</f>
        <v/>
      </c>
      <c r="Q11933" s="88">
        <f>F11933&amp;E11933&amp;G11933&amp;L11933</f>
        <v/>
      </c>
    </row>
    <row r="11934" customFormat="1" s="94">
      <c r="B11934" s="128" t="n">
        <v>44175</v>
      </c>
      <c r="C11934" s="88">
        <f>TEXT(B11934,"aaa")</f>
        <v/>
      </c>
      <c r="E11934" s="88">
        <f>INDEX(매칭테이블!C:D,MATCH(RD!G11934,매칭테이블!D:D,0),1)</f>
        <v/>
      </c>
      <c r="F11934" s="94" t="inlineStr">
        <is>
          <t>카페24</t>
        </is>
      </c>
      <c r="G11934" s="94" t="inlineStr">
        <is>
          <t>어성초 77 클리어 패드옵션=어성초 77 클리어 패드 2개-30% off (무료배송)</t>
        </is>
      </c>
      <c r="K11934" s="94" t="n">
        <v>39</v>
      </c>
      <c r="L11934" s="88" t="n">
        <v>201208</v>
      </c>
      <c r="M11934" s="88">
        <f>VLOOKUP($Q11934,매칭테이블!$F:$I,2,0)*K11934</f>
        <v/>
      </c>
      <c r="N11934" s="88">
        <f>M11934-M11934*VLOOKUP($Q11934,매칭테이블!$F:$I,3,0)</f>
        <v/>
      </c>
      <c r="O11934" s="88">
        <f>VLOOKUP($Q11934,매칭테이블!$F:$I,4,0)*K11934</f>
        <v/>
      </c>
      <c r="P11934" s="152">
        <f>M11934/1.1</f>
        <v/>
      </c>
      <c r="Q11934" s="88">
        <f>F11934&amp;E11934&amp;G11934&amp;L11934</f>
        <v/>
      </c>
    </row>
    <row r="11935" customFormat="1" s="94">
      <c r="B11935" s="128" t="n">
        <v>44175</v>
      </c>
      <c r="C11935" s="88">
        <f>TEXT(B11935,"aaa")</f>
        <v/>
      </c>
      <c r="E11935" s="88">
        <f>INDEX(매칭테이블!C:D,MATCH(RD!G11935,매칭테이블!D:D,0),1)</f>
        <v/>
      </c>
      <c r="F11935" s="94" t="inlineStr">
        <is>
          <t>카페24</t>
        </is>
      </c>
      <c r="G11935" s="94" t="inlineStr">
        <is>
          <t>어성초 77 클리어 패드옵션=어성초77토너1개+어성초77패드1개-30% off (무료배송)</t>
        </is>
      </c>
      <c r="K11935" s="94" t="n">
        <v>25</v>
      </c>
      <c r="L11935" s="88" t="n">
        <v>201208</v>
      </c>
      <c r="M11935" s="88">
        <f>VLOOKUP($Q11935,매칭테이블!$F:$I,2,0)*K11935</f>
        <v/>
      </c>
      <c r="N11935" s="88">
        <f>M11935-M11935*VLOOKUP($Q11935,매칭테이블!$F:$I,3,0)</f>
        <v/>
      </c>
      <c r="O11935" s="88">
        <f>VLOOKUP($Q11935,매칭테이블!$F:$I,4,0)*K11935</f>
        <v/>
      </c>
      <c r="P11935" s="152">
        <f>M11935/1.1</f>
        <v/>
      </c>
      <c r="Q11935" s="88">
        <f>F11935&amp;E11935&amp;G11935&amp;L11935</f>
        <v/>
      </c>
    </row>
    <row r="11936" customFormat="1" s="94">
      <c r="B11936" s="128" t="n">
        <v>44175</v>
      </c>
      <c r="C11936" s="88">
        <f>TEXT(B11936,"aaa")</f>
        <v/>
      </c>
      <c r="E11936" s="88">
        <f>INDEX(매칭테이블!C:D,MATCH(RD!G11936,매칭테이블!D:D,0),1)</f>
        <v/>
      </c>
      <c r="F11936" s="94" t="inlineStr">
        <is>
          <t>카페24</t>
        </is>
      </c>
      <c r="G11936" s="94" t="inlineStr">
        <is>
          <t>어성초 77 클리어 패드옵션=어성초 77 클리어 패드 1개-20% off</t>
        </is>
      </c>
      <c r="K11936" s="94" t="n">
        <v>3</v>
      </c>
      <c r="L11936" s="88" t="n">
        <v>201208</v>
      </c>
      <c r="M11936" s="88">
        <f>VLOOKUP($Q11936,매칭테이블!$F:$I,2,0)*K11936</f>
        <v/>
      </c>
      <c r="N11936" s="88">
        <f>M11936-M11936*VLOOKUP($Q11936,매칭테이블!$F:$I,3,0)</f>
        <v/>
      </c>
      <c r="O11936" s="88">
        <f>VLOOKUP($Q11936,매칭테이블!$F:$I,4,0)*K11936</f>
        <v/>
      </c>
      <c r="P11936" s="152">
        <f>M11936/1.1</f>
        <v/>
      </c>
      <c r="Q11936" s="88">
        <f>F11936&amp;E11936&amp;G11936&amp;L11936</f>
        <v/>
      </c>
    </row>
    <row r="11937" customFormat="1" s="94">
      <c r="B11937" s="128" t="n">
        <v>44175</v>
      </c>
      <c r="C11937" s="88">
        <f>TEXT(B11937,"aaa")</f>
        <v/>
      </c>
      <c r="E11937" s="88">
        <f>INDEX(매칭테이블!C:D,MATCH(RD!G11937,매칭테이블!D:D,0),1)</f>
        <v/>
      </c>
      <c r="F11937" s="94" t="inlineStr">
        <is>
          <t>카페24</t>
        </is>
      </c>
      <c r="G11937" s="94" t="inlineStr">
        <is>
          <t>어성초 77 클리어 패드옵션=어성초 77 클리어 패드 2개-30% off (무료배송)</t>
        </is>
      </c>
      <c r="K11937" s="94" t="n">
        <v>1</v>
      </c>
      <c r="L11937" s="88" t="n">
        <v>201208</v>
      </c>
      <c r="M11937" s="88">
        <f>VLOOKUP($Q11937,매칭테이블!$F:$I,2,0)*K11937</f>
        <v/>
      </c>
      <c r="N11937" s="88">
        <f>M11937-M11937*VLOOKUP($Q11937,매칭테이블!$F:$I,3,0)</f>
        <v/>
      </c>
      <c r="O11937" s="88">
        <f>VLOOKUP($Q11937,매칭테이블!$F:$I,4,0)*K11937</f>
        <v/>
      </c>
      <c r="P11937" s="152">
        <f>M11937/1.1</f>
        <v/>
      </c>
      <c r="Q11937" s="88">
        <f>F11937&amp;E11937&amp;G11937&amp;L11937</f>
        <v/>
      </c>
    </row>
    <row r="11938" customFormat="1" s="94">
      <c r="B11938" s="128" t="n">
        <v>44175</v>
      </c>
      <c r="C11938" s="88">
        <f>TEXT(B11938,"aaa")</f>
        <v/>
      </c>
      <c r="E11938" s="88">
        <f>INDEX(매칭테이블!C:D,MATCH(RD!G11938,매칭테이블!D:D,0),1)</f>
        <v/>
      </c>
      <c r="F11938" s="94" t="inlineStr">
        <is>
          <t>카페24</t>
        </is>
      </c>
      <c r="G11938" s="94" t="inlineStr">
        <is>
          <t>어성초 77 토너토너(필수)=어성초 77 토너 1개-20% off</t>
        </is>
      </c>
      <c r="K11938" s="94" t="n">
        <v>2</v>
      </c>
      <c r="L11938" s="88" t="n">
        <v>201208</v>
      </c>
      <c r="M11938" s="88">
        <f>VLOOKUP($Q11938,매칭테이블!$F:$I,2,0)*K11938</f>
        <v/>
      </c>
      <c r="N11938" s="88">
        <f>M11938-M11938*VLOOKUP($Q11938,매칭테이블!$F:$I,3,0)</f>
        <v/>
      </c>
      <c r="O11938" s="88">
        <f>VLOOKUP($Q11938,매칭테이블!$F:$I,4,0)*K11938</f>
        <v/>
      </c>
      <c r="P11938" s="152">
        <f>M11938/1.1</f>
        <v/>
      </c>
      <c r="Q11938" s="88">
        <f>F11938&amp;E11938&amp;G11938&amp;L11938</f>
        <v/>
      </c>
    </row>
    <row r="11939" customFormat="1" s="94">
      <c r="B11939" s="128" t="n">
        <v>44175</v>
      </c>
      <c r="C11939" s="88">
        <f>TEXT(B11939,"aaa")</f>
        <v/>
      </c>
      <c r="E11939" s="88">
        <f>INDEX(매칭테이블!C:D,MATCH(RD!G11939,매칭테이블!D:D,0),1)</f>
        <v/>
      </c>
      <c r="F11939" s="94" t="inlineStr">
        <is>
          <t>카페24</t>
        </is>
      </c>
      <c r="G11939" s="94" t="inlineStr">
        <is>
          <t>어성초 77 토너토너(필수)=어성초 77 토너 2개-30% off (무료배송)</t>
        </is>
      </c>
      <c r="K11939" s="94" t="n">
        <v>1</v>
      </c>
      <c r="L11939" s="88" t="n">
        <v>201208</v>
      </c>
      <c r="M11939" s="88">
        <f>VLOOKUP($Q11939,매칭테이블!$F:$I,2,0)*K11939</f>
        <v/>
      </c>
      <c r="N11939" s="88">
        <f>M11939-M11939*VLOOKUP($Q11939,매칭테이블!$F:$I,3,0)</f>
        <v/>
      </c>
      <c r="O11939" s="88">
        <f>VLOOKUP($Q11939,매칭테이블!$F:$I,4,0)*K11939</f>
        <v/>
      </c>
      <c r="P11939" s="152">
        <f>M11939/1.1</f>
        <v/>
      </c>
      <c r="Q11939" s="88">
        <f>F11939&amp;E11939&amp;G11939&amp;L11939</f>
        <v/>
      </c>
    </row>
    <row r="11940" customFormat="1" s="94">
      <c r="B11940" s="128" t="n">
        <v>44175</v>
      </c>
      <c r="C11940" s="88">
        <f>TEXT(B11940,"aaa")</f>
        <v/>
      </c>
      <c r="E11940" s="88">
        <f>INDEX(매칭테이블!C:D,MATCH(RD!G11940,매칭테이블!D:D,0),1)</f>
        <v/>
      </c>
      <c r="F11940" s="94" t="inlineStr">
        <is>
          <t>카페24</t>
        </is>
      </c>
      <c r="G11940" s="94" t="inlineStr">
        <is>
          <t>어성초 78 수딩 크림</t>
        </is>
      </c>
      <c r="K11940" s="94" t="n">
        <v>5</v>
      </c>
      <c r="L11940" s="88" t="n">
        <v>201208</v>
      </c>
      <c r="M11940" s="88">
        <f>VLOOKUP($Q11940,매칭테이블!$F:$I,2,0)*K11940</f>
        <v/>
      </c>
      <c r="N11940" s="88">
        <f>M11940-M11940*VLOOKUP($Q11940,매칭테이블!$F:$I,3,0)</f>
        <v/>
      </c>
      <c r="O11940" s="88">
        <f>VLOOKUP($Q11940,매칭테이블!$F:$I,4,0)*K11940</f>
        <v/>
      </c>
      <c r="P11940" s="152">
        <f>M11940/1.1</f>
        <v/>
      </c>
      <c r="Q11940" s="88">
        <f>F11940&amp;E11940&amp;G11940&amp;L11940</f>
        <v/>
      </c>
    </row>
    <row r="11941" customFormat="1" s="94">
      <c r="B11941" s="128" t="n">
        <v>44175</v>
      </c>
      <c r="C11941" s="88">
        <f>TEXT(B11941,"aaa")</f>
        <v/>
      </c>
      <c r="E11941" s="88">
        <f>INDEX(매칭테이블!C:D,MATCH(RD!G11941,매칭테이블!D:D,0),1)</f>
        <v/>
      </c>
      <c r="F11941" s="94" t="inlineStr">
        <is>
          <t>카페24</t>
        </is>
      </c>
      <c r="G11941" s="94" t="inlineStr">
        <is>
          <t>어성초 78 수딩 크림</t>
        </is>
      </c>
      <c r="K11941" s="94" t="n">
        <v>1</v>
      </c>
      <c r="L11941" s="88" t="n">
        <v>201208</v>
      </c>
      <c r="M11941" s="88">
        <f>VLOOKUP($Q11941,매칭테이블!$F:$I,2,0)*K11941</f>
        <v/>
      </c>
      <c r="N11941" s="88">
        <f>M11941-M11941*VLOOKUP($Q11941,매칭테이블!$F:$I,3,0)</f>
        <v/>
      </c>
      <c r="O11941" s="88">
        <f>VLOOKUP($Q11941,매칭테이블!$F:$I,4,0)*K11941</f>
        <v/>
      </c>
      <c r="P11941" s="152">
        <f>M11941/1.1</f>
        <v/>
      </c>
      <c r="Q11941" s="88">
        <f>F11941&amp;E11941&amp;G11941&amp;L11941</f>
        <v/>
      </c>
    </row>
    <row r="11942" customFormat="1" s="94">
      <c r="B11942" s="128" t="n">
        <v>44175</v>
      </c>
      <c r="C11942" s="88">
        <f>TEXT(B11942,"aaa")</f>
        <v/>
      </c>
      <c r="E11942" s="88">
        <f>INDEX(매칭테이블!C:D,MATCH(RD!G11942,매칭테이블!D:D,0),1)</f>
        <v/>
      </c>
      <c r="F11942" s="94" t="inlineStr">
        <is>
          <t>카페24</t>
        </is>
      </c>
      <c r="G11942" s="94" t="inlineStr">
        <is>
          <t>어성초 80 수분 진정 앰플앰플=어성초 80 앰플 1개-15%off</t>
        </is>
      </c>
      <c r="K11942" s="94" t="n">
        <v>15</v>
      </c>
      <c r="L11942" s="88" t="n">
        <v>201208</v>
      </c>
      <c r="M11942" s="88">
        <f>VLOOKUP($Q11942,매칭테이블!$F:$I,2,0)*K11942</f>
        <v/>
      </c>
      <c r="N11942" s="88">
        <f>M11942-M11942*VLOOKUP($Q11942,매칭테이블!$F:$I,3,0)</f>
        <v/>
      </c>
      <c r="O11942" s="88">
        <f>VLOOKUP($Q11942,매칭테이블!$F:$I,4,0)*K11942</f>
        <v/>
      </c>
      <c r="P11942" s="152">
        <f>M11942/1.1</f>
        <v/>
      </c>
      <c r="Q11942" s="88">
        <f>F11942&amp;E11942&amp;G11942&amp;L11942</f>
        <v/>
      </c>
    </row>
    <row r="11943" customFormat="1" s="94">
      <c r="B11943" s="128" t="n">
        <v>44175</v>
      </c>
      <c r="C11943" s="88">
        <f>TEXT(B11943,"aaa")</f>
        <v/>
      </c>
      <c r="E11943" s="88">
        <f>INDEX(매칭테이블!C:D,MATCH(RD!G11943,매칭테이블!D:D,0),1)</f>
        <v/>
      </c>
      <c r="F11943" s="94" t="inlineStr">
        <is>
          <t>카페24</t>
        </is>
      </c>
      <c r="G11943" s="94" t="inlineStr">
        <is>
          <t>어성초 80 수분 진정 앰플앰플=어성초 80 앰플 2개-27%off (무료배송)</t>
        </is>
      </c>
      <c r="K11943" s="94" t="n">
        <v>2</v>
      </c>
      <c r="L11943" s="88" t="n">
        <v>201208</v>
      </c>
      <c r="M11943" s="88">
        <f>VLOOKUP($Q11943,매칭테이블!$F:$I,2,0)*K11943</f>
        <v/>
      </c>
      <c r="N11943" s="88">
        <f>M11943-M11943*VLOOKUP($Q11943,매칭테이블!$F:$I,3,0)</f>
        <v/>
      </c>
      <c r="O11943" s="88">
        <f>VLOOKUP($Q11943,매칭테이블!$F:$I,4,0)*K11943</f>
        <v/>
      </c>
      <c r="P11943" s="152">
        <f>M11943/1.1</f>
        <v/>
      </c>
      <c r="Q11943" s="88">
        <f>F11943&amp;E11943&amp;G11943&amp;L11943</f>
        <v/>
      </c>
    </row>
    <row r="11944" customFormat="1" s="94">
      <c r="B11944" s="128" t="n">
        <v>44175</v>
      </c>
      <c r="C11944" s="88">
        <f>TEXT(B11944,"aaa")</f>
        <v/>
      </c>
      <c r="E11944" s="88">
        <f>INDEX(매칭테이블!C:D,MATCH(RD!G11944,매칭테이블!D:D,0),1)</f>
        <v/>
      </c>
      <c r="F11944" s="94" t="inlineStr">
        <is>
          <t>카페24</t>
        </is>
      </c>
      <c r="G11944" s="94" t="inlineStr">
        <is>
          <t>어성초 80 수분 진정 앰플</t>
        </is>
      </c>
      <c r="K11944" s="94" t="n">
        <v>1</v>
      </c>
      <c r="L11944" s="88" t="n">
        <v>201208</v>
      </c>
      <c r="M11944" s="88">
        <f>VLOOKUP($Q11944,매칭테이블!$F:$I,2,0)*K11944</f>
        <v/>
      </c>
      <c r="N11944" s="88">
        <f>M11944-M11944*VLOOKUP($Q11944,매칭테이블!$F:$I,3,0)</f>
        <v/>
      </c>
      <c r="O11944" s="88">
        <f>VLOOKUP($Q11944,매칭테이블!$F:$I,4,0)*K11944</f>
        <v/>
      </c>
      <c r="P11944" s="152">
        <f>M11944/1.1</f>
        <v/>
      </c>
      <c r="Q11944" s="88">
        <f>F11944&amp;E11944&amp;G11944&amp;L11944</f>
        <v/>
      </c>
    </row>
    <row r="11945" customFormat="1" s="94">
      <c r="B11945" s="128" t="n">
        <v>44175</v>
      </c>
      <c r="C11945" s="88">
        <f>TEXT(B11945,"aaa")</f>
        <v/>
      </c>
      <c r="E11945" s="88">
        <f>INDEX(매칭테이블!C:D,MATCH(RD!G11945,매칭테이블!D:D,0),1)</f>
        <v/>
      </c>
      <c r="F11945" s="94" t="inlineStr">
        <is>
          <t>카페24</t>
        </is>
      </c>
      <c r="G11945" s="94" t="inlineStr">
        <is>
          <t>어성초 아크네 바디워시옵션=어성초 아크네 바디워시 1개 -30% off</t>
        </is>
      </c>
      <c r="K11945" s="94" t="n">
        <v>2</v>
      </c>
      <c r="L11945" s="88" t="n">
        <v>201208</v>
      </c>
      <c r="M11945" s="88">
        <f>VLOOKUP($Q11945,매칭테이블!$F:$I,2,0)*K11945</f>
        <v/>
      </c>
      <c r="N11945" s="88">
        <f>M11945-M11945*VLOOKUP($Q11945,매칭테이블!$F:$I,3,0)</f>
        <v/>
      </c>
      <c r="O11945" s="88">
        <f>VLOOKUP($Q11945,매칭테이블!$F:$I,4,0)*K11945</f>
        <v/>
      </c>
      <c r="P11945" s="152">
        <f>M11945/1.1</f>
        <v/>
      </c>
      <c r="Q11945" s="88">
        <f>F11945&amp;E11945&amp;G11945&amp;L11945</f>
        <v/>
      </c>
    </row>
    <row r="11946" customFormat="1" s="94">
      <c r="B11946" s="128" t="n">
        <v>44175</v>
      </c>
      <c r="C11946" s="88">
        <f>TEXT(B11946,"aaa")</f>
        <v/>
      </c>
      <c r="E11946" s="88">
        <f>INDEX(매칭테이블!C:D,MATCH(RD!G11946,매칭테이블!D:D,0),1)</f>
        <v/>
      </c>
      <c r="F11946" s="94" t="inlineStr">
        <is>
          <t>카페24</t>
        </is>
      </c>
      <c r="G11946" s="94" t="inlineStr">
        <is>
          <t>어성초 아크네 바디워시옵션=어성초 아크네 바디워시 2개 -35% off (무료배송)</t>
        </is>
      </c>
      <c r="K11946" s="94" t="n">
        <v>1</v>
      </c>
      <c r="L11946" s="88" t="n">
        <v>201208</v>
      </c>
      <c r="M11946" s="88">
        <f>VLOOKUP($Q11946,매칭테이블!$F:$I,2,0)*K11946</f>
        <v/>
      </c>
      <c r="N11946" s="88">
        <f>M11946-M11946*VLOOKUP($Q11946,매칭테이블!$F:$I,3,0)</f>
        <v/>
      </c>
      <c r="O11946" s="88">
        <f>VLOOKUP($Q11946,매칭테이블!$F:$I,4,0)*K11946</f>
        <v/>
      </c>
      <c r="P11946" s="152">
        <f>M11946/1.1</f>
        <v/>
      </c>
      <c r="Q11946" s="88">
        <f>F11946&amp;E11946&amp;G11946&amp;L11946</f>
        <v/>
      </c>
    </row>
    <row r="11947" customFormat="1" s="94">
      <c r="B11947" s="128" t="n">
        <v>44175</v>
      </c>
      <c r="C11947" s="88">
        <f>TEXT(B11947,"aaa")</f>
        <v/>
      </c>
      <c r="E11947" s="88">
        <f>INDEX(매칭테이블!C:D,MATCH(RD!G11947,매칭테이블!D:D,0),1)</f>
        <v/>
      </c>
      <c r="F11947" s="94" t="inlineStr">
        <is>
          <t>카페24</t>
        </is>
      </c>
      <c r="G11947" s="94" t="inlineStr">
        <is>
          <t>어성초 약산성 클렌징폼클렌징폼=어성초 약산성 클렌징폼 1개 -19%off</t>
        </is>
      </c>
      <c r="K11947" s="94" t="n">
        <v>14</v>
      </c>
      <c r="L11947" s="88" t="n">
        <v>201208</v>
      </c>
      <c r="M11947" s="88">
        <f>VLOOKUP($Q11947,매칭테이블!$F:$I,2,0)*K11947</f>
        <v/>
      </c>
      <c r="N11947" s="88">
        <f>M11947-M11947*VLOOKUP($Q11947,매칭테이블!$F:$I,3,0)</f>
        <v/>
      </c>
      <c r="O11947" s="88">
        <f>VLOOKUP($Q11947,매칭테이블!$F:$I,4,0)*K11947</f>
        <v/>
      </c>
      <c r="P11947" s="152">
        <f>M11947/1.1</f>
        <v/>
      </c>
      <c r="Q11947" s="88">
        <f>F11947&amp;E11947&amp;G11947&amp;L11947</f>
        <v/>
      </c>
    </row>
    <row r="11948" customFormat="1" s="94">
      <c r="B11948" s="128" t="n">
        <v>44175</v>
      </c>
      <c r="C11948" s="88">
        <f>TEXT(B11948,"aaa")</f>
        <v/>
      </c>
      <c r="E11948" s="88">
        <f>INDEX(매칭테이블!C:D,MATCH(RD!G11948,매칭테이블!D:D,0),1)</f>
        <v/>
      </c>
      <c r="F11948" s="94" t="inlineStr">
        <is>
          <t>카페24</t>
        </is>
      </c>
      <c r="G11948" s="94" t="inlineStr">
        <is>
          <t>어성초 약산성 클렌징폼클렌징폼=어성초 약산성 클렌징폼 2개 -25%off</t>
        </is>
      </c>
      <c r="K11948" s="94" t="n">
        <v>1</v>
      </c>
      <c r="L11948" s="88" t="n">
        <v>201208</v>
      </c>
      <c r="M11948" s="88">
        <f>VLOOKUP($Q11948,매칭테이블!$F:$I,2,0)*K11948</f>
        <v/>
      </c>
      <c r="N11948" s="88">
        <f>M11948-M11948*VLOOKUP($Q11948,매칭테이블!$F:$I,3,0)</f>
        <v/>
      </c>
      <c r="O11948" s="88">
        <f>VLOOKUP($Q11948,매칭테이블!$F:$I,4,0)*K11948</f>
        <v/>
      </c>
      <c r="P11948" s="152">
        <f>M11948/1.1</f>
        <v/>
      </c>
      <c r="Q11948" s="88">
        <f>F11948&amp;E11948&amp;G11948&amp;L11948</f>
        <v/>
      </c>
    </row>
    <row r="11949" customFormat="1" s="94">
      <c r="B11949" s="128" t="n">
        <v>44175</v>
      </c>
      <c r="C11949" s="88">
        <f>TEXT(B11949,"aaa")</f>
        <v/>
      </c>
      <c r="E11949" s="88">
        <f>INDEX(매칭테이블!C:D,MATCH(RD!G11949,매칭테이블!D:D,0),1)</f>
        <v/>
      </c>
      <c r="F11949" s="94" t="inlineStr">
        <is>
          <t>카페24</t>
        </is>
      </c>
      <c r="G11949" s="94" t="inlineStr">
        <is>
          <t>어성초 크림마스크 나이트 솔루션옵션=어성초 크림마스크 나이트 솔루션 10장 (-50%)</t>
        </is>
      </c>
      <c r="K11949" s="94" t="n">
        <v>5</v>
      </c>
      <c r="L11949" s="88" t="n">
        <v>201208</v>
      </c>
      <c r="M11949" s="88">
        <f>VLOOKUP($Q11949,매칭테이블!$F:$I,2,0)*K11949</f>
        <v/>
      </c>
      <c r="N11949" s="88">
        <f>M11949-M11949*VLOOKUP($Q11949,매칭테이블!$F:$I,3,0)</f>
        <v/>
      </c>
      <c r="O11949" s="88">
        <f>VLOOKUP($Q11949,매칭테이블!$F:$I,4,0)*K11949</f>
        <v/>
      </c>
      <c r="P11949" s="152">
        <f>M11949/1.1</f>
        <v/>
      </c>
      <c r="Q11949" s="88">
        <f>F11949&amp;E11949&amp;G11949&amp;L11949</f>
        <v/>
      </c>
    </row>
    <row r="11950" customFormat="1" s="94">
      <c r="B11950" s="128" t="n">
        <v>44175</v>
      </c>
      <c r="C11950" s="88">
        <f>TEXT(B11950,"aaa")</f>
        <v/>
      </c>
      <c r="E11950" s="88">
        <f>INDEX(매칭테이블!C:D,MATCH(RD!G11950,매칭테이블!D:D,0),1)</f>
        <v/>
      </c>
      <c r="F11950" s="94" t="inlineStr">
        <is>
          <t>카페24</t>
        </is>
      </c>
      <c r="G11950" s="94" t="inlineStr">
        <is>
          <t>촉촉 스킨팩 화장솜</t>
        </is>
      </c>
      <c r="K11950" s="94" t="n">
        <v>19</v>
      </c>
      <c r="L11950" s="88" t="n">
        <v>201208</v>
      </c>
      <c r="M11950" s="88">
        <f>VLOOKUP($Q11950,매칭테이블!$F:$I,2,0)*K11950</f>
        <v/>
      </c>
      <c r="N11950" s="88">
        <f>M11950-M11950*VLOOKUP($Q11950,매칭테이블!$F:$I,3,0)</f>
        <v/>
      </c>
      <c r="O11950" s="88">
        <f>VLOOKUP($Q11950,매칭테이블!$F:$I,4,0)*K11950</f>
        <v/>
      </c>
      <c r="P11950" s="152">
        <f>M11950/1.1</f>
        <v/>
      </c>
      <c r="Q11950" s="88">
        <f>F11950&amp;E11950&amp;G11950&amp;L11950</f>
        <v/>
      </c>
    </row>
    <row r="11951" customFormat="1" s="94">
      <c r="B11951" s="128" t="n">
        <v>44175</v>
      </c>
      <c r="C11951" s="88">
        <f>TEXT(B11951,"aaa")</f>
        <v/>
      </c>
      <c r="E11951" s="88">
        <f>INDEX(매칭테이블!C:D,MATCH(RD!G11951,매칭테이블!D:D,0),1)</f>
        <v/>
      </c>
      <c r="F11951" s="94" t="inlineStr">
        <is>
          <t>화해</t>
        </is>
      </c>
      <c r="G11951" s="94" t="inlineStr">
        <is>
          <t>어성초 70 데일리 릴리프 로션 200ml어성초 70 데일리 릴리프 로션 200ml</t>
        </is>
      </c>
      <c r="K11951" s="94" t="n">
        <v>1</v>
      </c>
      <c r="L11951" s="88" t="n">
        <v>201208</v>
      </c>
      <c r="M11951" s="88">
        <f>VLOOKUP($Q11951,매칭테이블!$F:$I,2,0)*K11951</f>
        <v/>
      </c>
      <c r="N11951" s="88">
        <f>M11951-M11951*VLOOKUP($Q11951,매칭테이블!$F:$I,3,0)</f>
        <v/>
      </c>
      <c r="O11951" s="88">
        <f>VLOOKUP($Q11951,매칭테이블!$F:$I,4,0)*K11951</f>
        <v/>
      </c>
      <c r="P11951" s="152">
        <f>M11951/1.1</f>
        <v/>
      </c>
      <c r="Q11951" s="88">
        <f>F11951&amp;E11951&amp;G11951&amp;L11951</f>
        <v/>
      </c>
    </row>
    <row r="11952" customFormat="1" s="94">
      <c r="B11952" s="128" t="n">
        <v>44175</v>
      </c>
      <c r="C11952" s="88">
        <f>TEXT(B11952,"aaa")</f>
        <v/>
      </c>
      <c r="E11952" s="88">
        <f>INDEX(매칭테이블!C:D,MATCH(RD!G11952,매칭테이블!D:D,0),1)</f>
        <v/>
      </c>
      <c r="F11952" s="94" t="inlineStr">
        <is>
          <t>화해</t>
        </is>
      </c>
      <c r="G11952" s="94" t="inlineStr">
        <is>
          <t>어성초 77 토너 250ml어성초 77 토너 250ml</t>
        </is>
      </c>
      <c r="K11952" s="94" t="n">
        <v>1</v>
      </c>
      <c r="L11952" s="88" t="n">
        <v>201208</v>
      </c>
      <c r="M11952" s="88">
        <f>VLOOKUP($Q11952,매칭테이블!$F:$I,2,0)*K11952</f>
        <v/>
      </c>
      <c r="N11952" s="88">
        <f>M11952-M11952*VLOOKUP($Q11952,매칭테이블!$F:$I,3,0)</f>
        <v/>
      </c>
      <c r="O11952" s="88">
        <f>VLOOKUP($Q11952,매칭테이블!$F:$I,4,0)*K11952</f>
        <v/>
      </c>
      <c r="P11952" s="152">
        <f>M11952/1.1</f>
        <v/>
      </c>
      <c r="Q11952" s="88">
        <f>F11952&amp;E11952&amp;G11952&amp;L11952</f>
        <v/>
      </c>
    </row>
    <row r="11953" customFormat="1" s="94">
      <c r="B11953" s="128" t="n">
        <v>44175</v>
      </c>
      <c r="C11953" s="88">
        <f>TEXT(B11953,"aaa")</f>
        <v/>
      </c>
      <c r="E11953" s="88">
        <f>INDEX(매칭테이블!C:D,MATCH(RD!G11953,매칭테이블!D:D,0),1)</f>
        <v/>
      </c>
      <c r="F11953" s="94" t="inlineStr">
        <is>
          <t>카페24</t>
        </is>
      </c>
      <c r="G11953" s="94" t="inlineStr">
        <is>
          <t>아누아 어성초 77 수딩 토너토너(필수)=어성초77토너1개 + 어성초77패드1개 -30% off (무료배송)</t>
        </is>
      </c>
      <c r="K11953" s="94" t="n">
        <v>1</v>
      </c>
      <c r="L11953" s="88" t="n">
        <v>201208</v>
      </c>
      <c r="M11953" s="88">
        <f>VLOOKUP($Q11953,매칭테이블!$F:$I,2,0)*K11953</f>
        <v/>
      </c>
      <c r="N11953" s="88">
        <f>M11953-M11953*VLOOKUP($Q11953,매칭테이블!$F:$I,3,0)</f>
        <v/>
      </c>
      <c r="O11953" s="88">
        <f>VLOOKUP($Q11953,매칭테이블!$F:$I,4,0)*K11953</f>
        <v/>
      </c>
      <c r="P11953" s="152">
        <f>M11953/1.1</f>
        <v/>
      </c>
      <c r="Q11953" s="88">
        <f>F11953&amp;E11953&amp;G11953&amp;L11953</f>
        <v/>
      </c>
    </row>
    <row r="11954" customFormat="1" s="94">
      <c r="B11954" s="128" t="n">
        <v>44175</v>
      </c>
      <c r="C11954" s="88">
        <f>TEXT(B11954,"aaa")</f>
        <v/>
      </c>
      <c r="E11954" s="88">
        <f>INDEX(매칭테이블!C:D,MATCH(RD!G11954,매칭테이블!D:D,0),1)</f>
        <v/>
      </c>
      <c r="F11954" s="94" t="inlineStr">
        <is>
          <t>카페24</t>
        </is>
      </c>
      <c r="G11954" s="94" t="inlineStr">
        <is>
          <t>어성초 약산성 클렌징폼</t>
        </is>
      </c>
      <c r="K11954" s="94" t="n">
        <v>1</v>
      </c>
      <c r="L11954" s="88" t="n">
        <v>201208</v>
      </c>
      <c r="M11954" s="88">
        <f>VLOOKUP($Q11954,매칭테이블!$F:$I,2,0)*K11954</f>
        <v/>
      </c>
      <c r="N11954" s="88">
        <f>M11954-M11954*VLOOKUP($Q11954,매칭테이블!$F:$I,3,0)</f>
        <v/>
      </c>
      <c r="O11954" s="88">
        <f>VLOOKUP($Q11954,매칭테이블!$F:$I,4,0)*K11954</f>
        <v/>
      </c>
      <c r="P11954" s="152">
        <f>M11954/1.1</f>
        <v/>
      </c>
      <c r="Q11954" s="88">
        <f>F11954&amp;E11954&amp;G11954&amp;L11954</f>
        <v/>
      </c>
    </row>
    <row r="11955" customFormat="1" s="94">
      <c r="B11955" s="128" t="n">
        <v>44176</v>
      </c>
      <c r="C11955" s="88">
        <f>TEXT(B11955,"aaa")</f>
        <v/>
      </c>
      <c r="E11955" s="88">
        <f>INDEX(매칭테이블!C:D,MATCH(RD!G11955,매칭테이블!D:D,0),1)</f>
        <v/>
      </c>
      <c r="F11955" s="94" t="inlineStr">
        <is>
          <t>W컨셉</t>
        </is>
      </c>
      <c r="G11955" s="94" t="inlineStr">
        <is>
          <t>어성초 77토너 (2 SET) HEARTLEAF 77% SOOTHING TONER 250ml250ml 2set</t>
        </is>
      </c>
      <c r="K11955" s="94" t="n">
        <v>6</v>
      </c>
      <c r="L11955" s="88" t="n">
        <v>201208</v>
      </c>
      <c r="M11955" s="88">
        <f>VLOOKUP($Q11955,매칭테이블!$F:$I,2,0)*K11955</f>
        <v/>
      </c>
      <c r="N11955" s="88">
        <f>M11955-M11955*VLOOKUP($Q11955,매칭테이블!$F:$I,3,0)</f>
        <v/>
      </c>
      <c r="O11955" s="88">
        <f>VLOOKUP($Q11955,매칭테이블!$F:$I,4,0)*K11955</f>
        <v/>
      </c>
      <c r="P11955" s="152">
        <f>M11955/1.1</f>
        <v/>
      </c>
      <c r="Q11955" s="88">
        <f>F11955&amp;E11955&amp;G11955&amp;L11955</f>
        <v/>
      </c>
    </row>
    <row r="11956" customFormat="1" s="94">
      <c r="B11956" s="128" t="n">
        <v>44176</v>
      </c>
      <c r="C11956" s="88">
        <f>TEXT(B11956,"aaa")</f>
        <v/>
      </c>
      <c r="E11956" s="88">
        <f>INDEX(매칭테이블!C:D,MATCH(RD!G11956,매칭테이블!D:D,0),1)</f>
        <v/>
      </c>
      <c r="F11956" s="94" t="inlineStr">
        <is>
          <t>스타일쉐어</t>
        </is>
      </c>
      <c r="G11956" s="94" t="inlineStr">
        <is>
          <t>아누아 어성초 77 토너 250ml</t>
        </is>
      </c>
      <c r="K11956" s="94" t="n">
        <v>1</v>
      </c>
      <c r="L11956" s="88" t="n">
        <v>201208</v>
      </c>
      <c r="M11956" s="88">
        <f>VLOOKUP($Q11956,매칭테이블!$F:$I,2,0)*K11956</f>
        <v/>
      </c>
      <c r="N11956" s="88">
        <f>M11956-M11956*VLOOKUP($Q11956,매칭테이블!$F:$I,3,0)</f>
        <v/>
      </c>
      <c r="O11956" s="88">
        <f>VLOOKUP($Q11956,매칭테이블!$F:$I,4,0)*K11956</f>
        <v/>
      </c>
      <c r="P11956" s="152">
        <f>M11956/1.1</f>
        <v/>
      </c>
      <c r="Q11956" s="88">
        <f>F11956&amp;E11956&amp;G11956&amp;L11956</f>
        <v/>
      </c>
    </row>
    <row r="11957" customFormat="1" s="94">
      <c r="B11957" s="128" t="n">
        <v>44176</v>
      </c>
      <c r="C11957" s="88">
        <f>TEXT(B11957,"aaa")</f>
        <v/>
      </c>
      <c r="E11957" s="88">
        <f>INDEX(매칭테이블!C:D,MATCH(RD!G11957,매칭테이블!D:D,0),1)</f>
        <v/>
      </c>
      <c r="F11957" s="94" t="inlineStr">
        <is>
          <t>아누아 CS</t>
        </is>
      </c>
      <c r="G11957" s="94" t="inlineStr">
        <is>
          <t>어성초 70 인텐스 카밍 크림 50ml</t>
        </is>
      </c>
      <c r="K11957" s="94" t="n">
        <v>11</v>
      </c>
      <c r="L11957" s="88" t="n">
        <v>201208</v>
      </c>
      <c r="M11957" s="88">
        <f>VLOOKUP($Q11957,매칭테이블!$F:$I,2,0)*K11957</f>
        <v/>
      </c>
      <c r="N11957" s="88">
        <f>M11957-M11957*VLOOKUP($Q11957,매칭테이블!$F:$I,3,0)</f>
        <v/>
      </c>
      <c r="O11957" s="88">
        <f>VLOOKUP($Q11957,매칭테이블!$F:$I,4,0)*K11957</f>
        <v/>
      </c>
      <c r="P11957" s="152">
        <f>M11957/1.1</f>
        <v/>
      </c>
      <c r="Q11957" s="88">
        <f>F11957&amp;E11957&amp;G11957&amp;L11957</f>
        <v/>
      </c>
    </row>
    <row r="11958" customFormat="1" s="94">
      <c r="B11958" s="128" t="n">
        <v>44176</v>
      </c>
      <c r="C11958" s="88">
        <f>TEXT(B11958,"aaa")</f>
        <v/>
      </c>
      <c r="E11958" s="88">
        <f>INDEX(매칭테이블!C:D,MATCH(RD!G11958,매칭테이블!D:D,0),1)</f>
        <v/>
      </c>
      <c r="F11958" s="94" t="inlineStr">
        <is>
          <t>아누아 CS</t>
        </is>
      </c>
      <c r="G11958" s="94" t="inlineStr">
        <is>
          <t>어성초 클리어패드 70P</t>
        </is>
      </c>
      <c r="K11958" s="94" t="n">
        <v>2</v>
      </c>
      <c r="L11958" s="88" t="n">
        <v>201208</v>
      </c>
      <c r="M11958" s="88">
        <f>VLOOKUP($Q11958,매칭테이블!$F:$I,2,0)*K11958</f>
        <v/>
      </c>
      <c r="N11958" s="88">
        <f>M11958-M11958*VLOOKUP($Q11958,매칭테이블!$F:$I,3,0)</f>
        <v/>
      </c>
      <c r="O11958" s="88">
        <f>VLOOKUP($Q11958,매칭테이블!$F:$I,4,0)*K11958</f>
        <v/>
      </c>
      <c r="P11958" s="152">
        <f>M11958/1.1</f>
        <v/>
      </c>
      <c r="Q11958" s="88">
        <f>F11958&amp;E11958&amp;G11958&amp;L11958</f>
        <v/>
      </c>
    </row>
    <row r="11959" customFormat="1" s="94">
      <c r="B11959" s="128" t="n">
        <v>44176</v>
      </c>
      <c r="C11959" s="88">
        <f>TEXT(B11959,"aaa")</f>
        <v/>
      </c>
      <c r="E11959" s="88">
        <f>INDEX(매칭테이블!C:D,MATCH(RD!G11959,매칭테이블!D:D,0),1)</f>
        <v/>
      </c>
      <c r="F11959" s="94" t="inlineStr">
        <is>
          <t>카페24</t>
        </is>
      </c>
      <c r="G11959" s="94" t="inlineStr">
        <is>
          <t>5 제로 무기자차 선크림옵션=5제로 무기자차 선크림 1개-20% off</t>
        </is>
      </c>
      <c r="K11959" s="94" t="n">
        <v>3</v>
      </c>
      <c r="L11959" s="88" t="n">
        <v>201208</v>
      </c>
      <c r="M11959" s="88">
        <f>VLOOKUP($Q11959,매칭테이블!$F:$I,2,0)*K11959</f>
        <v/>
      </c>
      <c r="N11959" s="88">
        <f>M11959-M11959*VLOOKUP($Q11959,매칭테이블!$F:$I,3,0)</f>
        <v/>
      </c>
      <c r="O11959" s="88">
        <f>VLOOKUP($Q11959,매칭테이블!$F:$I,4,0)*K11959</f>
        <v/>
      </c>
      <c r="P11959" s="152">
        <f>M11959/1.1</f>
        <v/>
      </c>
      <c r="Q11959" s="88">
        <f>F11959&amp;E11959&amp;G11959&amp;L11959</f>
        <v/>
      </c>
    </row>
    <row r="11960" customFormat="1" s="94">
      <c r="B11960" s="128" t="n">
        <v>44176</v>
      </c>
      <c r="C11960" s="88">
        <f>TEXT(B11960,"aaa")</f>
        <v/>
      </c>
      <c r="E11960" s="88">
        <f>INDEX(매칭테이블!C:D,MATCH(RD!G11960,매칭테이블!D:D,0),1)</f>
        <v/>
      </c>
      <c r="F11960" s="94" t="inlineStr">
        <is>
          <t>카페24</t>
        </is>
      </c>
      <c r="G11960" s="94" t="inlineStr">
        <is>
          <t>[수분 보충 세트] 어성초 77 토너 + 어성초 70 로션옵션=어성초 77 토너 250ml + 어성초 70 로션 200ml -30%</t>
        </is>
      </c>
      <c r="K11960" s="94" t="n">
        <v>22</v>
      </c>
      <c r="L11960" s="88" t="n">
        <v>201208</v>
      </c>
      <c r="M11960" s="88">
        <f>VLOOKUP($Q11960,매칭테이블!$F:$I,2,0)*K11960</f>
        <v/>
      </c>
      <c r="N11960" s="88">
        <f>M11960-M11960*VLOOKUP($Q11960,매칭테이블!$F:$I,3,0)</f>
        <v/>
      </c>
      <c r="O11960" s="88">
        <f>VLOOKUP($Q11960,매칭테이블!$F:$I,4,0)*K11960</f>
        <v/>
      </c>
      <c r="P11960" s="152">
        <f>M11960/1.1</f>
        <v/>
      </c>
      <c r="Q11960" s="88">
        <f>F11960&amp;E11960&amp;G11960&amp;L11960</f>
        <v/>
      </c>
    </row>
    <row r="11961" customFormat="1" s="94">
      <c r="B11961" s="128" t="n">
        <v>44176</v>
      </c>
      <c r="C11961" s="88">
        <f>TEXT(B11961,"aaa")</f>
        <v/>
      </c>
      <c r="E11961" s="88">
        <f>INDEX(매칭테이블!C:D,MATCH(RD!G11961,매칭테이블!D:D,0),1)</f>
        <v/>
      </c>
      <c r="F11961" s="94" t="inlineStr">
        <is>
          <t>카페24</t>
        </is>
      </c>
      <c r="G11961" s="94" t="inlineStr">
        <is>
          <t>[어성초 진정 패키지 세트] 대용량 토너 + 앰플 + 수딩 크림 + 마스크팩 10장</t>
        </is>
      </c>
      <c r="K11961" s="94" t="n">
        <v>1</v>
      </c>
      <c r="L11961" s="88" t="n">
        <v>201208</v>
      </c>
      <c r="M11961" s="88">
        <f>VLOOKUP($Q11961,매칭테이블!$F:$I,2,0)*K11961</f>
        <v/>
      </c>
      <c r="N11961" s="88">
        <f>M11961-M11961*VLOOKUP($Q11961,매칭테이블!$F:$I,3,0)</f>
        <v/>
      </c>
      <c r="O11961" s="88">
        <f>VLOOKUP($Q11961,매칭테이블!$F:$I,4,0)*K11961</f>
        <v/>
      </c>
      <c r="P11961" s="152">
        <f>M11961/1.1</f>
        <v/>
      </c>
      <c r="Q11961" s="88">
        <f>F11961&amp;E11961&amp;G11961&amp;L11961</f>
        <v/>
      </c>
    </row>
    <row r="11962" customFormat="1" s="94">
      <c r="B11962" s="128" t="n">
        <v>44176</v>
      </c>
      <c r="C11962" s="88">
        <f>TEXT(B11962,"aaa")</f>
        <v/>
      </c>
      <c r="E11962" s="88">
        <f>INDEX(매칭테이블!C:D,MATCH(RD!G11962,매칭테이블!D:D,0),1)</f>
        <v/>
      </c>
      <c r="F11962" s="94" t="inlineStr">
        <is>
          <t>카페24</t>
        </is>
      </c>
      <c r="G11962" s="94" t="inlineStr">
        <is>
          <t>대용량 어성초 77 수딩 토너 500ml</t>
        </is>
      </c>
      <c r="K11962" s="94" t="n">
        <v>32</v>
      </c>
      <c r="L11962" s="88" t="n">
        <v>201208</v>
      </c>
      <c r="M11962" s="88">
        <f>VLOOKUP($Q11962,매칭테이블!$F:$I,2,0)*K11962</f>
        <v/>
      </c>
      <c r="N11962" s="88">
        <f>M11962-M11962*VLOOKUP($Q11962,매칭테이블!$F:$I,3,0)</f>
        <v/>
      </c>
      <c r="O11962" s="88">
        <f>VLOOKUP($Q11962,매칭테이블!$F:$I,4,0)*K11962</f>
        <v/>
      </c>
      <c r="P11962" s="152">
        <f>M11962/1.1</f>
        <v/>
      </c>
      <c r="Q11962" s="88">
        <f>F11962&amp;E11962&amp;G11962&amp;L11962</f>
        <v/>
      </c>
    </row>
    <row r="11963" customFormat="1" s="94">
      <c r="B11963" s="128" t="n">
        <v>44176</v>
      </c>
      <c r="C11963" s="88">
        <f>TEXT(B11963,"aaa")</f>
        <v/>
      </c>
      <c r="E11963" s="88">
        <f>INDEX(매칭테이블!C:D,MATCH(RD!G11963,매칭테이블!D:D,0),1)</f>
        <v/>
      </c>
      <c r="F11963" s="94" t="inlineStr">
        <is>
          <t>카페24</t>
        </is>
      </c>
      <c r="G11963" s="94" t="inlineStr">
        <is>
          <t>대용량 어성초 77 토너 500ml</t>
        </is>
      </c>
      <c r="K11963" s="94" t="n">
        <v>1</v>
      </c>
      <c r="L11963" s="88" t="n">
        <v>201208</v>
      </c>
      <c r="M11963" s="88">
        <f>VLOOKUP($Q11963,매칭테이블!$F:$I,2,0)*K11963</f>
        <v/>
      </c>
      <c r="N11963" s="88">
        <f>M11963-M11963*VLOOKUP($Q11963,매칭테이블!$F:$I,3,0)</f>
        <v/>
      </c>
      <c r="O11963" s="88">
        <f>VLOOKUP($Q11963,매칭테이블!$F:$I,4,0)*K11963</f>
        <v/>
      </c>
      <c r="P11963" s="152">
        <f>M11963/1.1</f>
        <v/>
      </c>
      <c r="Q11963" s="88">
        <f>F11963&amp;E11963&amp;G11963&amp;L11963</f>
        <v/>
      </c>
    </row>
    <row r="11964" customFormat="1" s="94">
      <c r="B11964" s="128" t="n">
        <v>44176</v>
      </c>
      <c r="C11964" s="88">
        <f>TEXT(B11964,"aaa")</f>
        <v/>
      </c>
      <c r="E11964" s="88">
        <f>INDEX(매칭테이블!C:D,MATCH(RD!G11964,매칭테이블!D:D,0),1)</f>
        <v/>
      </c>
      <c r="F11964" s="94" t="inlineStr">
        <is>
          <t>카페24</t>
        </is>
      </c>
      <c r="G11964" s="94" t="inlineStr">
        <is>
          <t>대용량 어성초 77 토너 500ml</t>
        </is>
      </c>
      <c r="K11964" s="94" t="n">
        <v>1</v>
      </c>
      <c r="L11964" s="88" t="n">
        <v>201208</v>
      </c>
      <c r="M11964" s="88">
        <f>VLOOKUP($Q11964,매칭테이블!$F:$I,2,0)*K11964</f>
        <v/>
      </c>
      <c r="N11964" s="88">
        <f>M11964-M11964*VLOOKUP($Q11964,매칭테이블!$F:$I,3,0)</f>
        <v/>
      </c>
      <c r="O11964" s="88">
        <f>VLOOKUP($Q11964,매칭테이블!$F:$I,4,0)*K11964</f>
        <v/>
      </c>
      <c r="P11964" s="152">
        <f>M11964/1.1</f>
        <v/>
      </c>
      <c r="Q11964" s="88">
        <f>F11964&amp;E11964&amp;G11964&amp;L11964</f>
        <v/>
      </c>
    </row>
    <row r="11965" customFormat="1" s="94">
      <c r="B11965" s="128" t="n">
        <v>44176</v>
      </c>
      <c r="C11965" s="88">
        <f>TEXT(B11965,"aaa")</f>
        <v/>
      </c>
      <c r="E11965" s="88">
        <f>INDEX(매칭테이블!C:D,MATCH(RD!G11965,매칭테이블!D:D,0),1)</f>
        <v/>
      </c>
      <c r="F11965" s="94" t="inlineStr">
        <is>
          <t>카페24</t>
        </is>
      </c>
      <c r="G11965" s="94" t="inlineStr">
        <is>
          <t>아누아 어성초 77 수딩 토너토너(필수)=어성초 77 토너 1개-20% off</t>
        </is>
      </c>
      <c r="K11965" s="94" t="n">
        <v>2</v>
      </c>
      <c r="L11965" s="88" t="n">
        <v>201208</v>
      </c>
      <c r="M11965" s="88">
        <f>VLOOKUP($Q11965,매칭테이블!$F:$I,2,0)*K11965</f>
        <v/>
      </c>
      <c r="N11965" s="88">
        <f>M11965-M11965*VLOOKUP($Q11965,매칭테이블!$F:$I,3,0)</f>
        <v/>
      </c>
      <c r="O11965" s="88">
        <f>VLOOKUP($Q11965,매칭테이블!$F:$I,4,0)*K11965</f>
        <v/>
      </c>
      <c r="P11965" s="152">
        <f>M11965/1.1</f>
        <v/>
      </c>
      <c r="Q11965" s="88">
        <f>F11965&amp;E11965&amp;G11965&amp;L11965</f>
        <v/>
      </c>
    </row>
    <row r="11966" customFormat="1" s="94">
      <c r="B11966" s="128" t="n">
        <v>44176</v>
      </c>
      <c r="C11966" s="88">
        <f>TEXT(B11966,"aaa")</f>
        <v/>
      </c>
      <c r="E11966" s="88">
        <f>INDEX(매칭테이블!C:D,MATCH(RD!G11966,매칭테이블!D:D,0),1)</f>
        <v/>
      </c>
      <c r="F11966" s="94" t="inlineStr">
        <is>
          <t>카페24</t>
        </is>
      </c>
      <c r="G11966" s="94" t="inlineStr">
        <is>
          <t>아누아 어성초 77 수딩 토너토너(필수)=어성초 77 토너 2개-30% off (무료배송)</t>
        </is>
      </c>
      <c r="K11966" s="94" t="n">
        <v>3</v>
      </c>
      <c r="L11966" s="88" t="n">
        <v>201208</v>
      </c>
      <c r="M11966" s="88">
        <f>VLOOKUP($Q11966,매칭테이블!$F:$I,2,0)*K11966</f>
        <v/>
      </c>
      <c r="N11966" s="88">
        <f>M11966-M11966*VLOOKUP($Q11966,매칭테이블!$F:$I,3,0)</f>
        <v/>
      </c>
      <c r="O11966" s="88">
        <f>VLOOKUP($Q11966,매칭테이블!$F:$I,4,0)*K11966</f>
        <v/>
      </c>
      <c r="P11966" s="152">
        <f>M11966/1.1</f>
        <v/>
      </c>
      <c r="Q11966" s="88">
        <f>F11966&amp;E11966&amp;G11966&amp;L11966</f>
        <v/>
      </c>
    </row>
    <row r="11967" customFormat="1" s="94">
      <c r="B11967" s="128" t="n">
        <v>44176</v>
      </c>
      <c r="C11967" s="88">
        <f>TEXT(B11967,"aaa")</f>
        <v/>
      </c>
      <c r="E11967" s="88">
        <f>INDEX(매칭테이블!C:D,MATCH(RD!G11967,매칭테이블!D:D,0),1)</f>
        <v/>
      </c>
      <c r="F11967" s="94" t="inlineStr">
        <is>
          <t>카페24</t>
        </is>
      </c>
      <c r="G11967" s="94" t="inlineStr">
        <is>
          <t>아누아 어성초 77 수딩 토너토너(필수)=어성초77토너1개 + 어성초77패드1개 -30% off (무료배송)</t>
        </is>
      </c>
      <c r="K11967" s="94" t="n">
        <v>1</v>
      </c>
      <c r="L11967" s="88" t="n">
        <v>201208</v>
      </c>
      <c r="M11967" s="88">
        <f>VLOOKUP($Q11967,매칭테이블!$F:$I,2,0)*K11967</f>
        <v/>
      </c>
      <c r="N11967" s="88">
        <f>M11967-M11967*VLOOKUP($Q11967,매칭테이블!$F:$I,3,0)</f>
        <v/>
      </c>
      <c r="O11967" s="88">
        <f>VLOOKUP($Q11967,매칭테이블!$F:$I,4,0)*K11967</f>
        <v/>
      </c>
      <c r="P11967" s="152">
        <f>M11967/1.1</f>
        <v/>
      </c>
      <c r="Q11967" s="88">
        <f>F11967&amp;E11967&amp;G11967&amp;L11967</f>
        <v/>
      </c>
    </row>
    <row r="11968" customFormat="1" s="94">
      <c r="B11968" s="128" t="n">
        <v>44176</v>
      </c>
      <c r="C11968" s="88">
        <f>TEXT(B11968,"aaa")</f>
        <v/>
      </c>
      <c r="E11968" s="88">
        <f>INDEX(매칭테이블!C:D,MATCH(RD!G11968,매칭테이블!D:D,0),1)</f>
        <v/>
      </c>
      <c r="F11968" s="94" t="inlineStr">
        <is>
          <t>카페24</t>
        </is>
      </c>
      <c r="G11968" s="94" t="inlineStr">
        <is>
          <t>아누아 어성초 77 수딩 토너화장솜(선택)=촉촉 스킨팩 화장솜</t>
        </is>
      </c>
      <c r="K11968" s="94" t="n">
        <v>1</v>
      </c>
      <c r="L11968" s="88" t="n">
        <v>201208</v>
      </c>
      <c r="M11968" s="88">
        <f>VLOOKUP($Q11968,매칭테이블!$F:$I,2,0)*K11968</f>
        <v/>
      </c>
      <c r="N11968" s="88">
        <f>M11968-M11968*VLOOKUP($Q11968,매칭테이블!$F:$I,3,0)</f>
        <v/>
      </c>
      <c r="O11968" s="88">
        <f>VLOOKUP($Q11968,매칭테이블!$F:$I,4,0)*K11968</f>
        <v/>
      </c>
      <c r="P11968" s="152">
        <f>M11968/1.1</f>
        <v/>
      </c>
      <c r="Q11968" s="88">
        <f>F11968&amp;E11968&amp;G11968&amp;L11968</f>
        <v/>
      </c>
    </row>
    <row r="11969" customFormat="1" s="94">
      <c r="B11969" s="128" t="n">
        <v>44176</v>
      </c>
      <c r="C11969" s="88">
        <f>TEXT(B11969,"aaa")</f>
        <v/>
      </c>
      <c r="E11969" s="88">
        <f>INDEX(매칭테이블!C:D,MATCH(RD!G11969,매칭테이블!D:D,0),1)</f>
        <v/>
      </c>
      <c r="F11969" s="94" t="inlineStr">
        <is>
          <t>카페24</t>
        </is>
      </c>
      <c r="G11969" s="94" t="inlineStr">
        <is>
          <t>어성초 70 데일리 릴리프 로션로션=어성초 70 데일리 릴리프 로션 1개 -20% off</t>
        </is>
      </c>
      <c r="K11969" s="94" t="n">
        <v>2</v>
      </c>
      <c r="L11969" s="88" t="n">
        <v>201208</v>
      </c>
      <c r="M11969" s="88">
        <f>VLOOKUP($Q11969,매칭테이블!$F:$I,2,0)*K11969</f>
        <v/>
      </c>
      <c r="N11969" s="88">
        <f>M11969-M11969*VLOOKUP($Q11969,매칭테이블!$F:$I,3,0)</f>
        <v/>
      </c>
      <c r="O11969" s="88">
        <f>VLOOKUP($Q11969,매칭테이블!$F:$I,4,0)*K11969</f>
        <v/>
      </c>
      <c r="P11969" s="152">
        <f>M11969/1.1</f>
        <v/>
      </c>
      <c r="Q11969" s="88">
        <f>F11969&amp;E11969&amp;G11969&amp;L11969</f>
        <v/>
      </c>
    </row>
    <row r="11970" customFormat="1" s="94">
      <c r="B11970" s="128" t="n">
        <v>44176</v>
      </c>
      <c r="C11970" s="88">
        <f>TEXT(B11970,"aaa")</f>
        <v/>
      </c>
      <c r="E11970" s="88">
        <f>INDEX(매칭테이블!C:D,MATCH(RD!G11970,매칭테이블!D:D,0),1)</f>
        <v/>
      </c>
      <c r="F11970" s="94" t="inlineStr">
        <is>
          <t>카페24</t>
        </is>
      </c>
      <c r="G11970" s="94" t="inlineStr">
        <is>
          <t>어성초 70 데일리 릴리프 로션로션=어성초 77토너 + 어성초 70 로션 수분 보충 세트 -30% off</t>
        </is>
      </c>
      <c r="K11970" s="94" t="n">
        <v>1</v>
      </c>
      <c r="L11970" s="88" t="n">
        <v>201208</v>
      </c>
      <c r="M11970" s="88">
        <f>VLOOKUP($Q11970,매칭테이블!$F:$I,2,0)*K11970</f>
        <v/>
      </c>
      <c r="N11970" s="88">
        <f>M11970-M11970*VLOOKUP($Q11970,매칭테이블!$F:$I,3,0)</f>
        <v/>
      </c>
      <c r="O11970" s="88">
        <f>VLOOKUP($Q11970,매칭테이블!$F:$I,4,0)*K11970</f>
        <v/>
      </c>
      <c r="P11970" s="152">
        <f>M11970/1.1</f>
        <v/>
      </c>
      <c r="Q11970" s="88">
        <f>F11970&amp;E11970&amp;G11970&amp;L11970</f>
        <v/>
      </c>
    </row>
    <row r="11971" customFormat="1" s="94">
      <c r="B11971" s="128" t="n">
        <v>44176</v>
      </c>
      <c r="C11971" s="88">
        <f>TEXT(B11971,"aaa")</f>
        <v/>
      </c>
      <c r="E11971" s="88">
        <f>INDEX(매칭테이블!C:D,MATCH(RD!G11971,매칭테이블!D:D,0),1)</f>
        <v/>
      </c>
      <c r="F11971" s="94" t="inlineStr">
        <is>
          <t>카페24</t>
        </is>
      </c>
      <c r="G11971" s="94" t="inlineStr">
        <is>
          <t>어성초 70 머드 크림 마스크옵션=어성초 70 머드 크림 마스크-20% off</t>
        </is>
      </c>
      <c r="K11971" s="94" t="n">
        <v>3</v>
      </c>
      <c r="L11971" s="88" t="n">
        <v>201208</v>
      </c>
      <c r="M11971" s="88">
        <f>VLOOKUP($Q11971,매칭테이블!$F:$I,2,0)*K11971</f>
        <v/>
      </c>
      <c r="N11971" s="88">
        <f>M11971-M11971*VLOOKUP($Q11971,매칭테이블!$F:$I,3,0)</f>
        <v/>
      </c>
      <c r="O11971" s="88">
        <f>VLOOKUP($Q11971,매칭테이블!$F:$I,4,0)*K11971</f>
        <v/>
      </c>
      <c r="P11971" s="152">
        <f>M11971/1.1</f>
        <v/>
      </c>
      <c r="Q11971" s="88">
        <f>F11971&amp;E11971&amp;G11971&amp;L11971</f>
        <v/>
      </c>
    </row>
    <row r="11972" customFormat="1" s="94">
      <c r="B11972" s="128" t="n">
        <v>44176</v>
      </c>
      <c r="C11972" s="88">
        <f>TEXT(B11972,"aaa")</f>
        <v/>
      </c>
      <c r="E11972" s="88">
        <f>INDEX(매칭테이블!C:D,MATCH(RD!G11972,매칭테이블!D:D,0),1)</f>
        <v/>
      </c>
      <c r="F11972" s="94" t="inlineStr">
        <is>
          <t>카페24</t>
        </is>
      </c>
      <c r="G11972" s="94" t="inlineStr">
        <is>
          <t>어성초 70 머드 크림 마스크옵션=어성초 70 머드 크림 마스크 2개-30% off (무료배송)</t>
        </is>
      </c>
      <c r="K11972" s="94" t="n">
        <v>1</v>
      </c>
      <c r="L11972" s="88" t="n">
        <v>201208</v>
      </c>
      <c r="M11972" s="88">
        <f>VLOOKUP($Q11972,매칭테이블!$F:$I,2,0)*K11972</f>
        <v/>
      </c>
      <c r="N11972" s="88">
        <f>M11972-M11972*VLOOKUP($Q11972,매칭테이블!$F:$I,3,0)</f>
        <v/>
      </c>
      <c r="O11972" s="88">
        <f>VLOOKUP($Q11972,매칭테이블!$F:$I,4,0)*K11972</f>
        <v/>
      </c>
      <c r="P11972" s="152">
        <f>M11972/1.1</f>
        <v/>
      </c>
      <c r="Q11972" s="88">
        <f>F11972&amp;E11972&amp;G11972&amp;L11972</f>
        <v/>
      </c>
    </row>
    <row r="11973" customFormat="1" s="94">
      <c r="B11973" s="128" t="n">
        <v>44176</v>
      </c>
      <c r="C11973" s="88">
        <f>TEXT(B11973,"aaa")</f>
        <v/>
      </c>
      <c r="E11973" s="88">
        <f>INDEX(매칭테이블!C:D,MATCH(RD!G11973,매칭테이블!D:D,0),1)</f>
        <v/>
      </c>
      <c r="F11973" s="94" t="inlineStr">
        <is>
          <t>카페24</t>
        </is>
      </c>
      <c r="G11973" s="94" t="inlineStr">
        <is>
          <t>어성초 70 인텐스 카밍 크림크림=어성초 70 인텐스 카밍 크림 1개 (-20%)</t>
        </is>
      </c>
      <c r="K11973" s="94" t="n">
        <v>1</v>
      </c>
      <c r="L11973" s="88" t="n">
        <v>201208</v>
      </c>
      <c r="M11973" s="88">
        <f>VLOOKUP($Q11973,매칭테이블!$F:$I,2,0)*K11973</f>
        <v/>
      </c>
      <c r="N11973" s="88">
        <f>M11973-M11973*VLOOKUP($Q11973,매칭테이블!$F:$I,3,0)</f>
        <v/>
      </c>
      <c r="O11973" s="88">
        <f>VLOOKUP($Q11973,매칭테이블!$F:$I,4,0)*K11973</f>
        <v/>
      </c>
      <c r="P11973" s="152">
        <f>M11973/1.1</f>
        <v/>
      </c>
      <c r="Q11973" s="88">
        <f>F11973&amp;E11973&amp;G11973&amp;L11973</f>
        <v/>
      </c>
    </row>
    <row r="11974" customFormat="1" s="94">
      <c r="B11974" s="128" t="n">
        <v>44176</v>
      </c>
      <c r="C11974" s="88">
        <f>TEXT(B11974,"aaa")</f>
        <v/>
      </c>
      <c r="E11974" s="88">
        <f>INDEX(매칭테이블!C:D,MATCH(RD!G11974,매칭테이블!D:D,0),1)</f>
        <v/>
      </c>
      <c r="F11974" s="94" t="inlineStr">
        <is>
          <t>카페24</t>
        </is>
      </c>
      <c r="G11974" s="94" t="inlineStr">
        <is>
          <t>어성초 70 인텐스 카밍 크림크림=어성초 70 인텐스 카밍 크림 2개 (-30%)</t>
        </is>
      </c>
      <c r="K11974" s="94" t="n">
        <v>1</v>
      </c>
      <c r="L11974" s="88" t="n">
        <v>201208</v>
      </c>
      <c r="M11974" s="88">
        <f>VLOOKUP($Q11974,매칭테이블!$F:$I,2,0)*K11974</f>
        <v/>
      </c>
      <c r="N11974" s="88">
        <f>M11974-M11974*VLOOKUP($Q11974,매칭테이블!$F:$I,3,0)</f>
        <v/>
      </c>
      <c r="O11974" s="88">
        <f>VLOOKUP($Q11974,매칭테이블!$F:$I,4,0)*K11974</f>
        <v/>
      </c>
      <c r="P11974" s="152">
        <f>M11974/1.1</f>
        <v/>
      </c>
      <c r="Q11974" s="88">
        <f>F11974&amp;E11974&amp;G11974&amp;L11974</f>
        <v/>
      </c>
    </row>
    <row r="11975" customFormat="1" s="94">
      <c r="B11975" s="128" t="n">
        <v>44176</v>
      </c>
      <c r="C11975" s="88">
        <f>TEXT(B11975,"aaa")</f>
        <v/>
      </c>
      <c r="E11975" s="88">
        <f>INDEX(매칭테이블!C:D,MATCH(RD!G11975,매칭테이블!D:D,0),1)</f>
        <v/>
      </c>
      <c r="F11975" s="94" t="inlineStr">
        <is>
          <t>카페24</t>
        </is>
      </c>
      <c r="G11975" s="94" t="inlineStr">
        <is>
          <t>어성초 77 수딩 토너토너(필수)=어성초 77 토너 1개-20% off</t>
        </is>
      </c>
      <c r="K11975" s="94" t="n">
        <v>20</v>
      </c>
      <c r="L11975" s="88" t="n">
        <v>201208</v>
      </c>
      <c r="M11975" s="88">
        <f>VLOOKUP($Q11975,매칭테이블!$F:$I,2,0)*K11975</f>
        <v/>
      </c>
      <c r="N11975" s="88">
        <f>M11975-M11975*VLOOKUP($Q11975,매칭테이블!$F:$I,3,0)</f>
        <v/>
      </c>
      <c r="O11975" s="88">
        <f>VLOOKUP($Q11975,매칭테이블!$F:$I,4,0)*K11975</f>
        <v/>
      </c>
      <c r="P11975" s="152">
        <f>M11975/1.1</f>
        <v/>
      </c>
      <c r="Q11975" s="88">
        <f>F11975&amp;E11975&amp;G11975&amp;L11975</f>
        <v/>
      </c>
    </row>
    <row r="11976" customFormat="1" s="94">
      <c r="B11976" s="128" t="n">
        <v>44176</v>
      </c>
      <c r="C11976" s="88">
        <f>TEXT(B11976,"aaa")</f>
        <v/>
      </c>
      <c r="E11976" s="88">
        <f>INDEX(매칭테이블!C:D,MATCH(RD!G11976,매칭테이블!D:D,0),1)</f>
        <v/>
      </c>
      <c r="F11976" s="94" t="inlineStr">
        <is>
          <t>카페24</t>
        </is>
      </c>
      <c r="G11976" s="94" t="inlineStr">
        <is>
          <t>어성초 77 수딩 토너토너(필수)=어성초 77 토너 2개-30% off (무료배송)</t>
        </is>
      </c>
      <c r="K11976" s="94" t="n">
        <v>25</v>
      </c>
      <c r="L11976" s="88" t="n">
        <v>201208</v>
      </c>
      <c r="M11976" s="88">
        <f>VLOOKUP($Q11976,매칭테이블!$F:$I,2,0)*K11976</f>
        <v/>
      </c>
      <c r="N11976" s="88">
        <f>M11976-M11976*VLOOKUP($Q11976,매칭테이블!$F:$I,3,0)</f>
        <v/>
      </c>
      <c r="O11976" s="88">
        <f>VLOOKUP($Q11976,매칭테이블!$F:$I,4,0)*K11976</f>
        <v/>
      </c>
      <c r="P11976" s="152">
        <f>M11976/1.1</f>
        <v/>
      </c>
      <c r="Q11976" s="88">
        <f>F11976&amp;E11976&amp;G11976&amp;L11976</f>
        <v/>
      </c>
    </row>
    <row r="11977" customFormat="1" s="94">
      <c r="B11977" s="128" t="n">
        <v>44176</v>
      </c>
      <c r="C11977" s="88">
        <f>TEXT(B11977,"aaa")</f>
        <v/>
      </c>
      <c r="E11977" s="88">
        <f>INDEX(매칭테이블!C:D,MATCH(RD!G11977,매칭테이블!D:D,0),1)</f>
        <v/>
      </c>
      <c r="F11977" s="94" t="inlineStr">
        <is>
          <t>카페24</t>
        </is>
      </c>
      <c r="G11977" s="94" t="inlineStr">
        <is>
          <t>어성초 77 수딩 토너토너(필수)=어성초77토너1개 + 어성초77패드1개 -30% off (무료배송)</t>
        </is>
      </c>
      <c r="K11977" s="94" t="n">
        <v>13</v>
      </c>
      <c r="L11977" s="88" t="n">
        <v>201208</v>
      </c>
      <c r="M11977" s="88">
        <f>VLOOKUP($Q11977,매칭테이블!$F:$I,2,0)*K11977</f>
        <v/>
      </c>
      <c r="N11977" s="88">
        <f>M11977-M11977*VLOOKUP($Q11977,매칭테이블!$F:$I,3,0)</f>
        <v/>
      </c>
      <c r="O11977" s="88">
        <f>VLOOKUP($Q11977,매칭테이블!$F:$I,4,0)*K11977</f>
        <v/>
      </c>
      <c r="P11977" s="152">
        <f>M11977/1.1</f>
        <v/>
      </c>
      <c r="Q11977" s="88">
        <f>F11977&amp;E11977&amp;G11977&amp;L11977</f>
        <v/>
      </c>
    </row>
    <row r="11978" customFormat="1" s="94">
      <c r="B11978" s="128" t="n">
        <v>44176</v>
      </c>
      <c r="C11978" s="88">
        <f>TEXT(B11978,"aaa")</f>
        <v/>
      </c>
      <c r="E11978" s="88">
        <f>INDEX(매칭테이블!C:D,MATCH(RD!G11978,매칭테이블!D:D,0),1)</f>
        <v/>
      </c>
      <c r="F11978" s="94" t="inlineStr">
        <is>
          <t>카페24</t>
        </is>
      </c>
      <c r="G11978" s="94" t="inlineStr">
        <is>
          <t>어성초 77 수딩 토너화장솜(선택)=촉촉 스킨팩 화장솜</t>
        </is>
      </c>
      <c r="K11978" s="94" t="n">
        <v>20</v>
      </c>
      <c r="L11978" s="88" t="n">
        <v>201208</v>
      </c>
      <c r="M11978" s="88">
        <f>VLOOKUP($Q11978,매칭테이블!$F:$I,2,0)*K11978</f>
        <v/>
      </c>
      <c r="N11978" s="88">
        <f>M11978-M11978*VLOOKUP($Q11978,매칭테이블!$F:$I,3,0)</f>
        <v/>
      </c>
      <c r="O11978" s="88">
        <f>VLOOKUP($Q11978,매칭테이블!$F:$I,4,0)*K11978</f>
        <v/>
      </c>
      <c r="P11978" s="152">
        <f>M11978/1.1</f>
        <v/>
      </c>
      <c r="Q11978" s="88">
        <f>F11978&amp;E11978&amp;G11978&amp;L11978</f>
        <v/>
      </c>
    </row>
    <row r="11979" customFormat="1" s="94">
      <c r="B11979" s="128" t="n">
        <v>44176</v>
      </c>
      <c r="C11979" s="88">
        <f>TEXT(B11979,"aaa")</f>
        <v/>
      </c>
      <c r="E11979" s="88">
        <f>INDEX(매칭테이블!C:D,MATCH(RD!G11979,매칭테이블!D:D,0),1)</f>
        <v/>
      </c>
      <c r="F11979" s="94" t="inlineStr">
        <is>
          <t>카페24</t>
        </is>
      </c>
      <c r="G11979" s="94" t="inlineStr">
        <is>
          <t>어성초 77 진정 마스크옵션=어성초 77 진정 마스크팩 1장</t>
        </is>
      </c>
      <c r="K11979" s="94" t="n">
        <v>1</v>
      </c>
      <c r="L11979" s="88" t="n">
        <v>201208</v>
      </c>
      <c r="M11979" s="88">
        <f>VLOOKUP($Q11979,매칭테이블!$F:$I,2,0)*K11979</f>
        <v/>
      </c>
      <c r="N11979" s="88">
        <f>M11979-M11979*VLOOKUP($Q11979,매칭테이블!$F:$I,3,0)</f>
        <v/>
      </c>
      <c r="O11979" s="88">
        <f>VLOOKUP($Q11979,매칭테이블!$F:$I,4,0)*K11979</f>
        <v/>
      </c>
      <c r="P11979" s="152">
        <f>M11979/1.1</f>
        <v/>
      </c>
      <c r="Q11979" s="88">
        <f>F11979&amp;E11979&amp;G11979&amp;L11979</f>
        <v/>
      </c>
    </row>
    <row r="11980" customFormat="1" s="94">
      <c r="B11980" s="128" t="n">
        <v>44176</v>
      </c>
      <c r="C11980" s="88">
        <f>TEXT(B11980,"aaa")</f>
        <v/>
      </c>
      <c r="E11980" s="88">
        <f>INDEX(매칭테이블!C:D,MATCH(RD!G11980,매칭테이블!D:D,0),1)</f>
        <v/>
      </c>
      <c r="F11980" s="94" t="inlineStr">
        <is>
          <t>카페24</t>
        </is>
      </c>
      <c r="G11980" s="94" t="inlineStr">
        <is>
          <t>어성초 77 진정 마스크옵션=어성초 77 진정 마스크팩 10장-50% off</t>
        </is>
      </c>
      <c r="K11980" s="94" t="n">
        <v>1</v>
      </c>
      <c r="L11980" s="88" t="n">
        <v>201208</v>
      </c>
      <c r="M11980" s="88">
        <f>VLOOKUP($Q11980,매칭테이블!$F:$I,2,0)*K11980</f>
        <v/>
      </c>
      <c r="N11980" s="88">
        <f>M11980-M11980*VLOOKUP($Q11980,매칭테이블!$F:$I,3,0)</f>
        <v/>
      </c>
      <c r="O11980" s="88">
        <f>VLOOKUP($Q11980,매칭테이블!$F:$I,4,0)*K11980</f>
        <v/>
      </c>
      <c r="P11980" s="152">
        <f>M11980/1.1</f>
        <v/>
      </c>
      <c r="Q11980" s="88">
        <f>F11980&amp;E11980&amp;G11980&amp;L11980</f>
        <v/>
      </c>
    </row>
    <row r="11981" customFormat="1" s="94">
      <c r="B11981" s="128" t="n">
        <v>44176</v>
      </c>
      <c r="C11981" s="88">
        <f>TEXT(B11981,"aaa")</f>
        <v/>
      </c>
      <c r="E11981" s="88">
        <f>INDEX(매칭테이블!C:D,MATCH(RD!G11981,매칭테이블!D:D,0),1)</f>
        <v/>
      </c>
      <c r="F11981" s="94" t="inlineStr">
        <is>
          <t>카페24</t>
        </is>
      </c>
      <c r="G11981" s="94" t="inlineStr">
        <is>
          <t>어성초 77 진정 마스크</t>
        </is>
      </c>
      <c r="K11981" s="94" t="n">
        <v>2</v>
      </c>
      <c r="L11981" s="88" t="n">
        <v>201208</v>
      </c>
      <c r="M11981" s="88">
        <f>VLOOKUP($Q11981,매칭테이블!$F:$I,2,0)*K11981</f>
        <v/>
      </c>
      <c r="N11981" s="88">
        <f>M11981-M11981*VLOOKUP($Q11981,매칭테이블!$F:$I,3,0)</f>
        <v/>
      </c>
      <c r="O11981" s="88">
        <f>VLOOKUP($Q11981,매칭테이블!$F:$I,4,0)*K11981</f>
        <v/>
      </c>
      <c r="P11981" s="152">
        <f>M11981/1.1</f>
        <v/>
      </c>
      <c r="Q11981" s="88">
        <f>F11981&amp;E11981&amp;G11981&amp;L11981</f>
        <v/>
      </c>
    </row>
    <row r="11982" customFormat="1" s="94">
      <c r="B11982" s="128" t="n">
        <v>44176</v>
      </c>
      <c r="C11982" s="88">
        <f>TEXT(B11982,"aaa")</f>
        <v/>
      </c>
      <c r="E11982" s="88">
        <f>INDEX(매칭테이블!C:D,MATCH(RD!G11982,매칭테이블!D:D,0),1)</f>
        <v/>
      </c>
      <c r="F11982" s="94" t="inlineStr">
        <is>
          <t>카페24</t>
        </is>
      </c>
      <c r="G11982" s="94" t="inlineStr">
        <is>
          <t>어성초 77 클리어 패드옵션=어성초 77 클리어 패드 1개-20% off</t>
        </is>
      </c>
      <c r="K11982" s="94" t="n">
        <v>16</v>
      </c>
      <c r="L11982" s="88" t="n">
        <v>201208</v>
      </c>
      <c r="M11982" s="88">
        <f>VLOOKUP($Q11982,매칭테이블!$F:$I,2,0)*K11982</f>
        <v/>
      </c>
      <c r="N11982" s="88">
        <f>M11982-M11982*VLOOKUP($Q11982,매칭테이블!$F:$I,3,0)</f>
        <v/>
      </c>
      <c r="O11982" s="88">
        <f>VLOOKUP($Q11982,매칭테이블!$F:$I,4,0)*K11982</f>
        <v/>
      </c>
      <c r="P11982" s="152">
        <f>M11982/1.1</f>
        <v/>
      </c>
      <c r="Q11982" s="88">
        <f>F11982&amp;E11982&amp;G11982&amp;L11982</f>
        <v/>
      </c>
    </row>
    <row r="11983" customFormat="1" s="94">
      <c r="B11983" s="128" t="n">
        <v>44176</v>
      </c>
      <c r="C11983" s="88">
        <f>TEXT(B11983,"aaa")</f>
        <v/>
      </c>
      <c r="E11983" s="88">
        <f>INDEX(매칭테이블!C:D,MATCH(RD!G11983,매칭테이블!D:D,0),1)</f>
        <v/>
      </c>
      <c r="F11983" s="94" t="inlineStr">
        <is>
          <t>카페24</t>
        </is>
      </c>
      <c r="G11983" s="94" t="inlineStr">
        <is>
          <t>어성초 77 클리어 패드옵션=어성초 77 클리어 패드 2개-30% off (무료배송)</t>
        </is>
      </c>
      <c r="K11983" s="94" t="n">
        <v>27</v>
      </c>
      <c r="L11983" s="88" t="n">
        <v>201208</v>
      </c>
      <c r="M11983" s="88">
        <f>VLOOKUP($Q11983,매칭테이블!$F:$I,2,0)*K11983</f>
        <v/>
      </c>
      <c r="N11983" s="88">
        <f>M11983-M11983*VLOOKUP($Q11983,매칭테이블!$F:$I,3,0)</f>
        <v/>
      </c>
      <c r="O11983" s="88">
        <f>VLOOKUP($Q11983,매칭테이블!$F:$I,4,0)*K11983</f>
        <v/>
      </c>
      <c r="P11983" s="152">
        <f>M11983/1.1</f>
        <v/>
      </c>
      <c r="Q11983" s="88">
        <f>F11983&amp;E11983&amp;G11983&amp;L11983</f>
        <v/>
      </c>
    </row>
    <row r="11984" customFormat="1" s="94">
      <c r="B11984" s="128" t="n">
        <v>44176</v>
      </c>
      <c r="C11984" s="88">
        <f>TEXT(B11984,"aaa")</f>
        <v/>
      </c>
      <c r="E11984" s="88">
        <f>INDEX(매칭테이블!C:D,MATCH(RD!G11984,매칭테이블!D:D,0),1)</f>
        <v/>
      </c>
      <c r="F11984" s="94" t="inlineStr">
        <is>
          <t>카페24</t>
        </is>
      </c>
      <c r="G11984" s="94" t="inlineStr">
        <is>
          <t>어성초 77 클리어 패드옵션=어성초77토너1개+어성초77패드1개-30% off (무료배송)</t>
        </is>
      </c>
      <c r="K11984" s="94" t="n">
        <v>17</v>
      </c>
      <c r="L11984" s="88" t="n">
        <v>201208</v>
      </c>
      <c r="M11984" s="88">
        <f>VLOOKUP($Q11984,매칭테이블!$F:$I,2,0)*K11984</f>
        <v/>
      </c>
      <c r="N11984" s="88">
        <f>M11984-M11984*VLOOKUP($Q11984,매칭테이블!$F:$I,3,0)</f>
        <v/>
      </c>
      <c r="O11984" s="88">
        <f>VLOOKUP($Q11984,매칭테이블!$F:$I,4,0)*K11984</f>
        <v/>
      </c>
      <c r="P11984" s="152">
        <f>M11984/1.1</f>
        <v/>
      </c>
      <c r="Q11984" s="88">
        <f>F11984&amp;E11984&amp;G11984&amp;L11984</f>
        <v/>
      </c>
    </row>
    <row r="11985" customFormat="1" s="94">
      <c r="B11985" s="128" t="n">
        <v>44176</v>
      </c>
      <c r="C11985" s="88">
        <f>TEXT(B11985,"aaa")</f>
        <v/>
      </c>
      <c r="E11985" s="88">
        <f>INDEX(매칭테이블!C:D,MATCH(RD!G11985,매칭테이블!D:D,0),1)</f>
        <v/>
      </c>
      <c r="F11985" s="94" t="inlineStr">
        <is>
          <t>카페24</t>
        </is>
      </c>
      <c r="G11985" s="94" t="inlineStr">
        <is>
          <t>어성초 77 클리어 패드옵션=어성초 77 클리어 패드 2개-30% off (무료배송)</t>
        </is>
      </c>
      <c r="K11985" s="94" t="n">
        <v>9</v>
      </c>
      <c r="L11985" s="88" t="n">
        <v>201208</v>
      </c>
      <c r="M11985" s="88">
        <f>VLOOKUP($Q11985,매칭테이블!$F:$I,2,0)*K11985</f>
        <v/>
      </c>
      <c r="N11985" s="88">
        <f>M11985-M11985*VLOOKUP($Q11985,매칭테이블!$F:$I,3,0)</f>
        <v/>
      </c>
      <c r="O11985" s="88">
        <f>VLOOKUP($Q11985,매칭테이블!$F:$I,4,0)*K11985</f>
        <v/>
      </c>
      <c r="P11985" s="152">
        <f>M11985/1.1</f>
        <v/>
      </c>
      <c r="Q11985" s="88">
        <f>F11985&amp;E11985&amp;G11985&amp;L11985</f>
        <v/>
      </c>
    </row>
    <row r="11986" customFormat="1" s="94">
      <c r="B11986" s="128" t="n">
        <v>44176</v>
      </c>
      <c r="C11986" s="88">
        <f>TEXT(B11986,"aaa")</f>
        <v/>
      </c>
      <c r="E11986" s="88">
        <f>INDEX(매칭테이블!C:D,MATCH(RD!G11986,매칭테이블!D:D,0),1)</f>
        <v/>
      </c>
      <c r="F11986" s="94" t="inlineStr">
        <is>
          <t>카페24</t>
        </is>
      </c>
      <c r="G11986" s="94" t="inlineStr">
        <is>
          <t>어성초 77 클리어 패드옵션=어성초77토너1개+어성초77패드1개-30% off (무료배송)</t>
        </is>
      </c>
      <c r="K11986" s="94" t="n">
        <v>2</v>
      </c>
      <c r="L11986" s="88" t="n">
        <v>201208</v>
      </c>
      <c r="M11986" s="88">
        <f>VLOOKUP($Q11986,매칭테이블!$F:$I,2,0)*K11986</f>
        <v/>
      </c>
      <c r="N11986" s="88">
        <f>M11986-M11986*VLOOKUP($Q11986,매칭테이블!$F:$I,3,0)</f>
        <v/>
      </c>
      <c r="O11986" s="88">
        <f>VLOOKUP($Q11986,매칭테이블!$F:$I,4,0)*K11986</f>
        <v/>
      </c>
      <c r="P11986" s="152">
        <f>M11986/1.1</f>
        <v/>
      </c>
      <c r="Q11986" s="88">
        <f>F11986&amp;E11986&amp;G11986&amp;L11986</f>
        <v/>
      </c>
    </row>
    <row r="11987" customFormat="1" s="94">
      <c r="B11987" s="128" t="n">
        <v>44176</v>
      </c>
      <c r="C11987" s="88">
        <f>TEXT(B11987,"aaa")</f>
        <v/>
      </c>
      <c r="E11987" s="88">
        <f>INDEX(매칭테이블!C:D,MATCH(RD!G11987,매칭테이블!D:D,0),1)</f>
        <v/>
      </c>
      <c r="F11987" s="94" t="inlineStr">
        <is>
          <t>카페24</t>
        </is>
      </c>
      <c r="G11987" s="94" t="inlineStr">
        <is>
          <t>어성초 77 토너토너(필수)=어성초 77 토너 2개-30% off (무료배송)</t>
        </is>
      </c>
      <c r="K11987" s="94" t="n">
        <v>1</v>
      </c>
      <c r="L11987" s="88" t="n">
        <v>201208</v>
      </c>
      <c r="M11987" s="88">
        <f>VLOOKUP($Q11987,매칭테이블!$F:$I,2,0)*K11987</f>
        <v/>
      </c>
      <c r="N11987" s="88">
        <f>M11987-M11987*VLOOKUP($Q11987,매칭테이블!$F:$I,3,0)</f>
        <v/>
      </c>
      <c r="O11987" s="88">
        <f>VLOOKUP($Q11987,매칭테이블!$F:$I,4,0)*K11987</f>
        <v/>
      </c>
      <c r="P11987" s="152">
        <f>M11987/1.1</f>
        <v/>
      </c>
      <c r="Q11987" s="88">
        <f>F11987&amp;E11987&amp;G11987&amp;L11987</f>
        <v/>
      </c>
    </row>
    <row r="11988" customFormat="1" s="94">
      <c r="B11988" s="128" t="n">
        <v>44176</v>
      </c>
      <c r="C11988" s="88">
        <f>TEXT(B11988,"aaa")</f>
        <v/>
      </c>
      <c r="E11988" s="88">
        <f>INDEX(매칭테이블!C:D,MATCH(RD!G11988,매칭테이블!D:D,0),1)</f>
        <v/>
      </c>
      <c r="F11988" s="94" t="inlineStr">
        <is>
          <t>카페24</t>
        </is>
      </c>
      <c r="G11988" s="94" t="inlineStr">
        <is>
          <t>어성초 78 수딩 크림</t>
        </is>
      </c>
      <c r="K11988" s="94" t="n">
        <v>3</v>
      </c>
      <c r="L11988" s="88" t="n">
        <v>201208</v>
      </c>
      <c r="M11988" s="88">
        <f>VLOOKUP($Q11988,매칭테이블!$F:$I,2,0)*K11988</f>
        <v/>
      </c>
      <c r="N11988" s="88">
        <f>M11988-M11988*VLOOKUP($Q11988,매칭테이블!$F:$I,3,0)</f>
        <v/>
      </c>
      <c r="O11988" s="88">
        <f>VLOOKUP($Q11988,매칭테이블!$F:$I,4,0)*K11988</f>
        <v/>
      </c>
      <c r="P11988" s="152">
        <f>M11988/1.1</f>
        <v/>
      </c>
      <c r="Q11988" s="88">
        <f>F11988&amp;E11988&amp;G11988&amp;L11988</f>
        <v/>
      </c>
    </row>
    <row r="11989" customFormat="1" s="94">
      <c r="B11989" s="128" t="n">
        <v>44176</v>
      </c>
      <c r="C11989" s="88">
        <f>TEXT(B11989,"aaa")</f>
        <v/>
      </c>
      <c r="E11989" s="88">
        <f>INDEX(매칭테이블!C:D,MATCH(RD!G11989,매칭테이블!D:D,0),1)</f>
        <v/>
      </c>
      <c r="F11989" s="94" t="inlineStr">
        <is>
          <t>카페24</t>
        </is>
      </c>
      <c r="G11989" s="94" t="inlineStr">
        <is>
          <t>어성초 78 수딩 크림</t>
        </is>
      </c>
      <c r="K11989" s="94" t="n">
        <v>5</v>
      </c>
      <c r="L11989" s="88" t="n">
        <v>201208</v>
      </c>
      <c r="M11989" s="88">
        <f>VLOOKUP($Q11989,매칭테이블!$F:$I,2,0)*K11989</f>
        <v/>
      </c>
      <c r="N11989" s="88">
        <f>M11989-M11989*VLOOKUP($Q11989,매칭테이블!$F:$I,3,0)</f>
        <v/>
      </c>
      <c r="O11989" s="88">
        <f>VLOOKUP($Q11989,매칭테이블!$F:$I,4,0)*K11989</f>
        <v/>
      </c>
      <c r="P11989" s="152">
        <f>M11989/1.1</f>
        <v/>
      </c>
      <c r="Q11989" s="88">
        <f>F11989&amp;E11989&amp;G11989&amp;L11989</f>
        <v/>
      </c>
    </row>
    <row r="11990" customFormat="1" s="94">
      <c r="B11990" s="128" t="n">
        <v>44176</v>
      </c>
      <c r="C11990" s="88">
        <f>TEXT(B11990,"aaa")</f>
        <v/>
      </c>
      <c r="E11990" s="88">
        <f>INDEX(매칭테이블!C:D,MATCH(RD!G11990,매칭테이블!D:D,0),1)</f>
        <v/>
      </c>
      <c r="F11990" s="94" t="inlineStr">
        <is>
          <t>카페24</t>
        </is>
      </c>
      <c r="G11990" s="94" t="inlineStr">
        <is>
          <t>어성초 80 수분 진정 앰플앰플=어성초 80 앰플 1개-15%off</t>
        </is>
      </c>
      <c r="K11990" s="94" t="n">
        <v>8</v>
      </c>
      <c r="L11990" s="88" t="n">
        <v>201208</v>
      </c>
      <c r="M11990" s="88">
        <f>VLOOKUP($Q11990,매칭테이블!$F:$I,2,0)*K11990</f>
        <v/>
      </c>
      <c r="N11990" s="88">
        <f>M11990-M11990*VLOOKUP($Q11990,매칭테이블!$F:$I,3,0)</f>
        <v/>
      </c>
      <c r="O11990" s="88">
        <f>VLOOKUP($Q11990,매칭테이블!$F:$I,4,0)*K11990</f>
        <v/>
      </c>
      <c r="P11990" s="152">
        <f>M11990/1.1</f>
        <v/>
      </c>
      <c r="Q11990" s="88">
        <f>F11990&amp;E11990&amp;G11990&amp;L11990</f>
        <v/>
      </c>
    </row>
    <row r="11991" customFormat="1" s="94">
      <c r="B11991" s="128" t="n">
        <v>44176</v>
      </c>
      <c r="C11991" s="88">
        <f>TEXT(B11991,"aaa")</f>
        <v/>
      </c>
      <c r="E11991" s="88">
        <f>INDEX(매칭테이블!C:D,MATCH(RD!G11991,매칭테이블!D:D,0),1)</f>
        <v/>
      </c>
      <c r="F11991" s="94" t="inlineStr">
        <is>
          <t>카페24</t>
        </is>
      </c>
      <c r="G11991" s="94" t="inlineStr">
        <is>
          <t>어성초 80 수분 진정 앰플앰플=어성초 80 앰플 2개-27%off (무료배송)</t>
        </is>
      </c>
      <c r="K11991" s="94" t="n">
        <v>6</v>
      </c>
      <c r="L11991" s="88" t="n">
        <v>201208</v>
      </c>
      <c r="M11991" s="88">
        <f>VLOOKUP($Q11991,매칭테이블!$F:$I,2,0)*K11991</f>
        <v/>
      </c>
      <c r="N11991" s="88">
        <f>M11991-M11991*VLOOKUP($Q11991,매칭테이블!$F:$I,3,0)</f>
        <v/>
      </c>
      <c r="O11991" s="88">
        <f>VLOOKUP($Q11991,매칭테이블!$F:$I,4,0)*K11991</f>
        <v/>
      </c>
      <c r="P11991" s="152">
        <f>M11991/1.1</f>
        <v/>
      </c>
      <c r="Q11991" s="88">
        <f>F11991&amp;E11991&amp;G11991&amp;L11991</f>
        <v/>
      </c>
    </row>
    <row r="11992" customFormat="1" s="94">
      <c r="B11992" s="128" t="n">
        <v>44176</v>
      </c>
      <c r="C11992" s="88">
        <f>TEXT(B11992,"aaa")</f>
        <v/>
      </c>
      <c r="E11992" s="88">
        <f>INDEX(매칭테이블!C:D,MATCH(RD!G11992,매칭테이블!D:D,0),1)</f>
        <v/>
      </c>
      <c r="F11992" s="94" t="inlineStr">
        <is>
          <t>카페24</t>
        </is>
      </c>
      <c r="G11992" s="94" t="inlineStr">
        <is>
          <t>어성초 80 수분 진정 앰플</t>
        </is>
      </c>
      <c r="K11992" s="94" t="n">
        <v>2</v>
      </c>
      <c r="L11992" s="88" t="n">
        <v>201208</v>
      </c>
      <c r="M11992" s="88">
        <f>VLOOKUP($Q11992,매칭테이블!$F:$I,2,0)*K11992</f>
        <v/>
      </c>
      <c r="N11992" s="88">
        <f>M11992-M11992*VLOOKUP($Q11992,매칭테이블!$F:$I,3,0)</f>
        <v/>
      </c>
      <c r="O11992" s="88">
        <f>VLOOKUP($Q11992,매칭테이블!$F:$I,4,0)*K11992</f>
        <v/>
      </c>
      <c r="P11992" s="152">
        <f>M11992/1.1</f>
        <v/>
      </c>
      <c r="Q11992" s="88">
        <f>F11992&amp;E11992&amp;G11992&amp;L11992</f>
        <v/>
      </c>
    </row>
    <row r="11993" customFormat="1" s="94">
      <c r="B11993" s="128" t="n">
        <v>44176</v>
      </c>
      <c r="C11993" s="88">
        <f>TEXT(B11993,"aaa")</f>
        <v/>
      </c>
      <c r="E11993" s="88">
        <f>INDEX(매칭테이블!C:D,MATCH(RD!G11993,매칭테이블!D:D,0),1)</f>
        <v/>
      </c>
      <c r="F11993" s="94" t="inlineStr">
        <is>
          <t>카페24</t>
        </is>
      </c>
      <c r="G11993" s="94" t="inlineStr">
        <is>
          <t>어성초 아크네 바디워시옵션=어성초 아크네 바디워시 2개 -35% off (무료배송)</t>
        </is>
      </c>
      <c r="K11993" s="94" t="n">
        <v>1</v>
      </c>
      <c r="L11993" s="88" t="n">
        <v>201208</v>
      </c>
      <c r="M11993" s="88">
        <f>VLOOKUP($Q11993,매칭테이블!$F:$I,2,0)*K11993</f>
        <v/>
      </c>
      <c r="N11993" s="88">
        <f>M11993-M11993*VLOOKUP($Q11993,매칭테이블!$F:$I,3,0)</f>
        <v/>
      </c>
      <c r="O11993" s="88">
        <f>VLOOKUP($Q11993,매칭테이블!$F:$I,4,0)*K11993</f>
        <v/>
      </c>
      <c r="P11993" s="152">
        <f>M11993/1.1</f>
        <v/>
      </c>
      <c r="Q11993" s="88">
        <f>F11993&amp;E11993&amp;G11993&amp;L11993</f>
        <v/>
      </c>
    </row>
    <row r="11994" customFormat="1" s="94">
      <c r="B11994" s="128" t="n">
        <v>44176</v>
      </c>
      <c r="C11994" s="88">
        <f>TEXT(B11994,"aaa")</f>
        <v/>
      </c>
      <c r="E11994" s="88">
        <f>INDEX(매칭테이블!C:D,MATCH(RD!G11994,매칭테이블!D:D,0),1)</f>
        <v/>
      </c>
      <c r="F11994" s="94" t="inlineStr">
        <is>
          <t>카페24</t>
        </is>
      </c>
      <c r="G11994" s="94" t="inlineStr">
        <is>
          <t>어성초 약산성 클렌징폼클렌징폼=어성초 약산성 클렌징폼 1개 -19%off</t>
        </is>
      </c>
      <c r="K11994" s="94" t="n">
        <v>2</v>
      </c>
      <c r="L11994" s="88" t="n">
        <v>201208</v>
      </c>
      <c r="M11994" s="88">
        <f>VLOOKUP($Q11994,매칭테이블!$F:$I,2,0)*K11994</f>
        <v/>
      </c>
      <c r="N11994" s="88">
        <f>M11994-M11994*VLOOKUP($Q11994,매칭테이블!$F:$I,3,0)</f>
        <v/>
      </c>
      <c r="O11994" s="88">
        <f>VLOOKUP($Q11994,매칭테이블!$F:$I,4,0)*K11994</f>
        <v/>
      </c>
      <c r="P11994" s="152">
        <f>M11994/1.1</f>
        <v/>
      </c>
      <c r="Q11994" s="88">
        <f>F11994&amp;E11994&amp;G11994&amp;L11994</f>
        <v/>
      </c>
    </row>
    <row r="11995" customFormat="1" s="94">
      <c r="B11995" s="128" t="n">
        <v>44176</v>
      </c>
      <c r="C11995" s="88">
        <f>TEXT(B11995,"aaa")</f>
        <v/>
      </c>
      <c r="E11995" s="88">
        <f>INDEX(매칭테이블!C:D,MATCH(RD!G11995,매칭테이블!D:D,0),1)</f>
        <v/>
      </c>
      <c r="F11995" s="94" t="inlineStr">
        <is>
          <t>카페24</t>
        </is>
      </c>
      <c r="G11995" s="94" t="inlineStr">
        <is>
          <t>어성초 약산성 클렌징폼클렌징폼=어성초 약산성 클렌징폼 2개 -25%off</t>
        </is>
      </c>
      <c r="K11995" s="94" t="n">
        <v>5</v>
      </c>
      <c r="L11995" s="88" t="n">
        <v>201208</v>
      </c>
      <c r="M11995" s="88">
        <f>VLOOKUP($Q11995,매칭테이블!$F:$I,2,0)*K11995</f>
        <v/>
      </c>
      <c r="N11995" s="88">
        <f>M11995-M11995*VLOOKUP($Q11995,매칭테이블!$F:$I,3,0)</f>
        <v/>
      </c>
      <c r="O11995" s="88">
        <f>VLOOKUP($Q11995,매칭테이블!$F:$I,4,0)*K11995</f>
        <v/>
      </c>
      <c r="P11995" s="152">
        <f>M11995/1.1</f>
        <v/>
      </c>
      <c r="Q11995" s="88">
        <f>F11995&amp;E11995&amp;G11995&amp;L11995</f>
        <v/>
      </c>
    </row>
    <row r="11996" customFormat="1" s="94">
      <c r="B11996" s="128" t="n">
        <v>44176</v>
      </c>
      <c r="C11996" s="88">
        <f>TEXT(B11996,"aaa")</f>
        <v/>
      </c>
      <c r="E11996" s="88">
        <f>INDEX(매칭테이블!C:D,MATCH(RD!G11996,매칭테이블!D:D,0),1)</f>
        <v/>
      </c>
      <c r="F11996" s="94" t="inlineStr">
        <is>
          <t>카페24</t>
        </is>
      </c>
      <c r="G11996" s="94" t="inlineStr">
        <is>
          <t>어성초 크림마스크 나이트 솔루션옵션=어성초 크림마스크 나이트 솔루션 1장</t>
        </is>
      </c>
      <c r="K11996" s="94" t="n">
        <v>1</v>
      </c>
      <c r="L11996" s="88" t="n">
        <v>201208</v>
      </c>
      <c r="M11996" s="88">
        <f>VLOOKUP($Q11996,매칭테이블!$F:$I,2,0)*K11996</f>
        <v/>
      </c>
      <c r="N11996" s="88">
        <f>M11996-M11996*VLOOKUP($Q11996,매칭테이블!$F:$I,3,0)</f>
        <v/>
      </c>
      <c r="O11996" s="88">
        <f>VLOOKUP($Q11996,매칭테이블!$F:$I,4,0)*K11996</f>
        <v/>
      </c>
      <c r="P11996" s="152">
        <f>M11996/1.1</f>
        <v/>
      </c>
      <c r="Q11996" s="88">
        <f>F11996&amp;E11996&amp;G11996&amp;L11996</f>
        <v/>
      </c>
    </row>
    <row r="11997" customFormat="1" s="94">
      <c r="B11997" s="128" t="n">
        <v>44176</v>
      </c>
      <c r="C11997" s="88">
        <f>TEXT(B11997,"aaa")</f>
        <v/>
      </c>
      <c r="E11997" s="88">
        <f>INDEX(매칭테이블!C:D,MATCH(RD!G11997,매칭테이블!D:D,0),1)</f>
        <v/>
      </c>
      <c r="F11997" s="94" t="inlineStr">
        <is>
          <t>카페24</t>
        </is>
      </c>
      <c r="G11997" s="94" t="inlineStr">
        <is>
          <t>어성초 크림마스크 나이트 솔루션옵션=어성초 크림마스크 나이트 솔루션 10장 (-50%)</t>
        </is>
      </c>
      <c r="K11997" s="94" t="n">
        <v>2</v>
      </c>
      <c r="L11997" s="88" t="n">
        <v>201208</v>
      </c>
      <c r="M11997" s="88">
        <f>VLOOKUP($Q11997,매칭테이블!$F:$I,2,0)*K11997</f>
        <v/>
      </c>
      <c r="N11997" s="88">
        <f>M11997-M11997*VLOOKUP($Q11997,매칭테이블!$F:$I,3,0)</f>
        <v/>
      </c>
      <c r="O11997" s="88">
        <f>VLOOKUP($Q11997,매칭테이블!$F:$I,4,0)*K11997</f>
        <v/>
      </c>
      <c r="P11997" s="152">
        <f>M11997/1.1</f>
        <v/>
      </c>
      <c r="Q11997" s="88">
        <f>F11997&amp;E11997&amp;G11997&amp;L11997</f>
        <v/>
      </c>
    </row>
    <row r="11998" customFormat="1" s="94">
      <c r="B11998" s="128" t="n">
        <v>44176</v>
      </c>
      <c r="C11998" s="88">
        <f>TEXT(B11998,"aaa")</f>
        <v/>
      </c>
      <c r="E11998" s="88">
        <f>INDEX(매칭테이블!C:D,MATCH(RD!G11998,매칭테이블!D:D,0),1)</f>
        <v/>
      </c>
      <c r="F11998" s="94" t="inlineStr">
        <is>
          <t>카페24</t>
        </is>
      </c>
      <c r="G11998" s="94" t="inlineStr">
        <is>
          <t>촉촉 스킨팩 화장솜</t>
        </is>
      </c>
      <c r="K11998" s="94" t="n">
        <v>12</v>
      </c>
      <c r="L11998" s="88" t="n">
        <v>201208</v>
      </c>
      <c r="M11998" s="88">
        <f>VLOOKUP($Q11998,매칭테이블!$F:$I,2,0)*K11998</f>
        <v/>
      </c>
      <c r="N11998" s="88">
        <f>M11998-M11998*VLOOKUP($Q11998,매칭테이블!$F:$I,3,0)</f>
        <v/>
      </c>
      <c r="O11998" s="88">
        <f>VLOOKUP($Q11998,매칭테이블!$F:$I,4,0)*K11998</f>
        <v/>
      </c>
      <c r="P11998" s="152">
        <f>M11998/1.1</f>
        <v/>
      </c>
      <c r="Q11998" s="88">
        <f>F11998&amp;E11998&amp;G11998&amp;L11998</f>
        <v/>
      </c>
    </row>
    <row r="11999" customFormat="1" s="94">
      <c r="B11999" s="128" t="n">
        <v>44176</v>
      </c>
      <c r="C11999" s="88">
        <f>TEXT(B11999,"aaa")</f>
        <v/>
      </c>
      <c r="E11999" s="88">
        <f>INDEX(매칭테이블!C:D,MATCH(RD!G11999,매칭테이블!D:D,0),1)</f>
        <v/>
      </c>
      <c r="F11999" s="94" t="inlineStr">
        <is>
          <t>화해</t>
        </is>
      </c>
      <c r="G11999" s="94" t="inlineStr">
        <is>
          <t>어성초 77 토너 250ml어성초 77 토너 250ml</t>
        </is>
      </c>
      <c r="K11999" s="94" t="n">
        <v>2</v>
      </c>
      <c r="L11999" s="88" t="n">
        <v>201208</v>
      </c>
      <c r="M11999" s="88">
        <f>VLOOKUP($Q11999,매칭테이블!$F:$I,2,0)*K11999</f>
        <v/>
      </c>
      <c r="N11999" s="88">
        <f>M11999-M11999*VLOOKUP($Q11999,매칭테이블!$F:$I,3,0)</f>
        <v/>
      </c>
      <c r="O11999" s="88">
        <f>VLOOKUP($Q11999,매칭테이블!$F:$I,4,0)*K11999</f>
        <v/>
      </c>
      <c r="P11999" s="152">
        <f>M11999/1.1</f>
        <v/>
      </c>
      <c r="Q11999" s="88">
        <f>F11999&amp;E11999&amp;G11999&amp;L11999</f>
        <v/>
      </c>
    </row>
    <row r="12000" customFormat="1" s="94">
      <c r="B12000" s="128" t="n">
        <v>44178</v>
      </c>
      <c r="C12000" s="88">
        <f>TEXT(B12000,"aaa")</f>
        <v/>
      </c>
      <c r="E12000" s="88">
        <f>INDEX(매칭테이블!C:D,MATCH(RD!G12000,매칭테이블!D:D,0),1)</f>
        <v/>
      </c>
      <c r="F12000" s="94" t="inlineStr">
        <is>
          <t>스타일쉐어</t>
        </is>
      </c>
      <c r="G12000" s="94" t="inlineStr">
        <is>
          <t>아누아 어성초 77 토너 250ml</t>
        </is>
      </c>
      <c r="K12000" s="94" t="n">
        <v>3</v>
      </c>
      <c r="L12000" s="88" t="n">
        <v>201208</v>
      </c>
      <c r="M12000" s="88">
        <f>VLOOKUP($Q12000,매칭테이블!$F:$I,2,0)*K12000</f>
        <v/>
      </c>
      <c r="N12000" s="88">
        <f>M12000-M12000*VLOOKUP($Q12000,매칭테이블!$F:$I,3,0)</f>
        <v/>
      </c>
      <c r="O12000" s="88">
        <f>VLOOKUP($Q12000,매칭테이블!$F:$I,4,0)*K12000</f>
        <v/>
      </c>
      <c r="P12000" s="152">
        <f>M12000/1.1</f>
        <v/>
      </c>
      <c r="Q12000" s="88">
        <f>F12000&amp;E12000&amp;G12000&amp;L12000</f>
        <v/>
      </c>
    </row>
    <row r="12001" customFormat="1" s="94">
      <c r="B12001" s="128" t="n">
        <v>44178</v>
      </c>
      <c r="C12001" s="88">
        <f>TEXT(B12001,"aaa")</f>
        <v/>
      </c>
      <c r="E12001" s="88">
        <f>INDEX(매칭테이블!C:D,MATCH(RD!G12001,매칭테이블!D:D,0),1)</f>
        <v/>
      </c>
      <c r="F12001" s="94" t="inlineStr">
        <is>
          <t>카페24</t>
        </is>
      </c>
      <c r="G12001" s="94" t="inlineStr">
        <is>
          <t>5 제로 무기자차 선크림옵션=5제로 무기자차 선크림 1개-20% off</t>
        </is>
      </c>
      <c r="K12001" s="94" t="n">
        <v>1</v>
      </c>
      <c r="L12001" s="88" t="n">
        <v>201208</v>
      </c>
      <c r="M12001" s="88">
        <f>VLOOKUP($Q12001,매칭테이블!$F:$I,2,0)*K12001</f>
        <v/>
      </c>
      <c r="N12001" s="88">
        <f>M12001-M12001*VLOOKUP($Q12001,매칭테이블!$F:$I,3,0)</f>
        <v/>
      </c>
      <c r="O12001" s="88">
        <f>VLOOKUP($Q12001,매칭테이블!$F:$I,4,0)*K12001</f>
        <v/>
      </c>
      <c r="P12001" s="152">
        <f>M12001/1.1</f>
        <v/>
      </c>
      <c r="Q12001" s="88">
        <f>F12001&amp;E12001&amp;G12001&amp;L12001</f>
        <v/>
      </c>
    </row>
    <row r="12002" customFormat="1" s="94">
      <c r="B12002" s="128" t="n">
        <v>44178</v>
      </c>
      <c r="C12002" s="88">
        <f>TEXT(B12002,"aaa")</f>
        <v/>
      </c>
      <c r="E12002" s="88">
        <f>INDEX(매칭테이블!C:D,MATCH(RD!G12002,매칭테이블!D:D,0),1)</f>
        <v/>
      </c>
      <c r="F12002" s="94" t="inlineStr">
        <is>
          <t>카페24</t>
        </is>
      </c>
      <c r="G12002" s="94" t="inlineStr">
        <is>
          <t>5 제로 무기자차 선크림옵션=5제로 무기자차 선크림 2개-30% off (무료배송)</t>
        </is>
      </c>
      <c r="K12002" s="94" t="n">
        <v>1</v>
      </c>
      <c r="L12002" s="88" t="n">
        <v>201208</v>
      </c>
      <c r="M12002" s="88">
        <f>VLOOKUP($Q12002,매칭테이블!$F:$I,2,0)*K12002</f>
        <v/>
      </c>
      <c r="N12002" s="88">
        <f>M12002-M12002*VLOOKUP($Q12002,매칭테이블!$F:$I,3,0)</f>
        <v/>
      </c>
      <c r="O12002" s="88">
        <f>VLOOKUP($Q12002,매칭테이블!$F:$I,4,0)*K12002</f>
        <v/>
      </c>
      <c r="P12002" s="152">
        <f>M12002/1.1</f>
        <v/>
      </c>
      <c r="Q12002" s="88">
        <f>F12002&amp;E12002&amp;G12002&amp;L12002</f>
        <v/>
      </c>
    </row>
    <row r="12003" customFormat="1" s="94">
      <c r="B12003" s="128" t="n">
        <v>44178</v>
      </c>
      <c r="C12003" s="88">
        <f>TEXT(B12003,"aaa")</f>
        <v/>
      </c>
      <c r="E12003" s="88">
        <f>INDEX(매칭테이블!C:D,MATCH(RD!G12003,매칭테이블!D:D,0),1)</f>
        <v/>
      </c>
      <c r="F12003" s="94" t="inlineStr">
        <is>
          <t>카페24</t>
        </is>
      </c>
      <c r="G12003" s="94" t="inlineStr">
        <is>
          <t>[수분 보충 세트] 어성초 77 토너 + 어성초 70 로션옵션=어성초 77 토너 250ml + 어성초 70 로션 200ml -30%</t>
        </is>
      </c>
      <c r="K12003" s="94" t="n">
        <v>23</v>
      </c>
      <c r="L12003" s="88" t="n">
        <v>201208</v>
      </c>
      <c r="M12003" s="88">
        <f>VLOOKUP($Q12003,매칭테이블!$F:$I,2,0)*K12003</f>
        <v/>
      </c>
      <c r="N12003" s="88">
        <f>M12003-M12003*VLOOKUP($Q12003,매칭테이블!$F:$I,3,0)</f>
        <v/>
      </c>
      <c r="O12003" s="88">
        <f>VLOOKUP($Q12003,매칭테이블!$F:$I,4,0)*K12003</f>
        <v/>
      </c>
      <c r="P12003" s="152">
        <f>M12003/1.1</f>
        <v/>
      </c>
      <c r="Q12003" s="88">
        <f>F12003&amp;E12003&amp;G12003&amp;L12003</f>
        <v/>
      </c>
    </row>
    <row r="12004" customFormat="1" s="94">
      <c r="B12004" s="128" t="n">
        <v>44178</v>
      </c>
      <c r="C12004" s="88">
        <f>TEXT(B12004,"aaa")</f>
        <v/>
      </c>
      <c r="E12004" s="88">
        <f>INDEX(매칭테이블!C:D,MATCH(RD!G12004,매칭테이블!D:D,0),1)</f>
        <v/>
      </c>
      <c r="F12004" s="94" t="inlineStr">
        <is>
          <t>카페24</t>
        </is>
      </c>
      <c r="G12004" s="94" t="inlineStr">
        <is>
          <t>[어성초 진정 패키지 세트] 대용량 토너 + 앰플 + 수딩 크림 + 마스크팩 10장</t>
        </is>
      </c>
      <c r="K12004" s="94" t="n">
        <v>3</v>
      </c>
      <c r="L12004" s="88" t="n">
        <v>201208</v>
      </c>
      <c r="M12004" s="88">
        <f>VLOOKUP($Q12004,매칭테이블!$F:$I,2,0)*K12004</f>
        <v/>
      </c>
      <c r="N12004" s="88">
        <f>M12004-M12004*VLOOKUP($Q12004,매칭테이블!$F:$I,3,0)</f>
        <v/>
      </c>
      <c r="O12004" s="88">
        <f>VLOOKUP($Q12004,매칭테이블!$F:$I,4,0)*K12004</f>
        <v/>
      </c>
      <c r="P12004" s="152">
        <f>M12004/1.1</f>
        <v/>
      </c>
      <c r="Q12004" s="88">
        <f>F12004&amp;E12004&amp;G12004&amp;L12004</f>
        <v/>
      </c>
    </row>
    <row r="12005" customFormat="1" s="94">
      <c r="B12005" s="128" t="n">
        <v>44178</v>
      </c>
      <c r="C12005" s="88">
        <f>TEXT(B12005,"aaa")</f>
        <v/>
      </c>
      <c r="E12005" s="88">
        <f>INDEX(매칭테이블!C:D,MATCH(RD!G12005,매칭테이블!D:D,0),1)</f>
        <v/>
      </c>
      <c r="F12005" s="94" t="inlineStr">
        <is>
          <t>카페24</t>
        </is>
      </c>
      <c r="G12005" s="94" t="inlineStr">
        <is>
          <t>대용량 어성초 77 수딩 토너 500ml</t>
        </is>
      </c>
      <c r="K12005" s="94" t="n">
        <v>29</v>
      </c>
      <c r="L12005" s="88" t="n">
        <v>201208</v>
      </c>
      <c r="M12005" s="88">
        <f>VLOOKUP($Q12005,매칭테이블!$F:$I,2,0)*K12005</f>
        <v/>
      </c>
      <c r="N12005" s="88">
        <f>M12005-M12005*VLOOKUP($Q12005,매칭테이블!$F:$I,3,0)</f>
        <v/>
      </c>
      <c r="O12005" s="88">
        <f>VLOOKUP($Q12005,매칭테이블!$F:$I,4,0)*K12005</f>
        <v/>
      </c>
      <c r="P12005" s="152">
        <f>M12005/1.1</f>
        <v/>
      </c>
      <c r="Q12005" s="88">
        <f>F12005&amp;E12005&amp;G12005&amp;L12005</f>
        <v/>
      </c>
    </row>
    <row r="12006" customFormat="1" s="94">
      <c r="B12006" s="128" t="n">
        <v>44178</v>
      </c>
      <c r="C12006" s="88">
        <f>TEXT(B12006,"aaa")</f>
        <v/>
      </c>
      <c r="E12006" s="88">
        <f>INDEX(매칭테이블!C:D,MATCH(RD!G12006,매칭테이블!D:D,0),1)</f>
        <v/>
      </c>
      <c r="F12006" s="94" t="inlineStr">
        <is>
          <t>카페24</t>
        </is>
      </c>
      <c r="G12006" s="94" t="inlineStr">
        <is>
          <t>대용량 어성초 77 토너 500ml</t>
        </is>
      </c>
      <c r="K12006" s="94" t="n">
        <v>1</v>
      </c>
      <c r="L12006" s="88" t="n">
        <v>201208</v>
      </c>
      <c r="M12006" s="88">
        <f>VLOOKUP($Q12006,매칭테이블!$F:$I,2,0)*K12006</f>
        <v/>
      </c>
      <c r="N12006" s="88">
        <f>M12006-M12006*VLOOKUP($Q12006,매칭테이블!$F:$I,3,0)</f>
        <v/>
      </c>
      <c r="O12006" s="88">
        <f>VLOOKUP($Q12006,매칭테이블!$F:$I,4,0)*K12006</f>
        <v/>
      </c>
      <c r="P12006" s="152">
        <f>M12006/1.1</f>
        <v/>
      </c>
      <c r="Q12006" s="88">
        <f>F12006&amp;E12006&amp;G12006&amp;L12006</f>
        <v/>
      </c>
    </row>
    <row r="12007" customFormat="1" s="94">
      <c r="B12007" s="128" t="n">
        <v>44178</v>
      </c>
      <c r="C12007" s="88">
        <f>TEXT(B12007,"aaa")</f>
        <v/>
      </c>
      <c r="E12007" s="88">
        <f>INDEX(매칭테이블!C:D,MATCH(RD!G12007,매칭테이블!D:D,0),1)</f>
        <v/>
      </c>
      <c r="F12007" s="94" t="inlineStr">
        <is>
          <t>카페24</t>
        </is>
      </c>
      <c r="G12007" s="94" t="inlineStr">
        <is>
          <t>아누아 어성초 77 수딩 토너토너(필수)=어성초 77 토너 1개-20% off</t>
        </is>
      </c>
      <c r="K12007" s="94" t="n">
        <v>7</v>
      </c>
      <c r="L12007" s="88" t="n">
        <v>201208</v>
      </c>
      <c r="M12007" s="88">
        <f>VLOOKUP($Q12007,매칭테이블!$F:$I,2,0)*K12007</f>
        <v/>
      </c>
      <c r="N12007" s="88">
        <f>M12007-M12007*VLOOKUP($Q12007,매칭테이블!$F:$I,3,0)</f>
        <v/>
      </c>
      <c r="O12007" s="88">
        <f>VLOOKUP($Q12007,매칭테이블!$F:$I,4,0)*K12007</f>
        <v/>
      </c>
      <c r="P12007" s="152">
        <f>M12007/1.1</f>
        <v/>
      </c>
      <c r="Q12007" s="88">
        <f>F12007&amp;E12007&amp;G12007&amp;L12007</f>
        <v/>
      </c>
    </row>
    <row r="12008" customFormat="1" s="94">
      <c r="B12008" s="128" t="n">
        <v>44178</v>
      </c>
      <c r="C12008" s="88">
        <f>TEXT(B12008,"aaa")</f>
        <v/>
      </c>
      <c r="E12008" s="88">
        <f>INDEX(매칭테이블!C:D,MATCH(RD!G12008,매칭테이블!D:D,0),1)</f>
        <v/>
      </c>
      <c r="F12008" s="94" t="inlineStr">
        <is>
          <t>카페24</t>
        </is>
      </c>
      <c r="G12008" s="94" t="inlineStr">
        <is>
          <t>아누아 어성초 77 수딩 토너토너(필수)=어성초 77 토너 2개-30% off (무료배송)</t>
        </is>
      </c>
      <c r="K12008" s="94" t="n">
        <v>1</v>
      </c>
      <c r="L12008" s="88" t="n">
        <v>201208</v>
      </c>
      <c r="M12008" s="88">
        <f>VLOOKUP($Q12008,매칭테이블!$F:$I,2,0)*K12008</f>
        <v/>
      </c>
      <c r="N12008" s="88">
        <f>M12008-M12008*VLOOKUP($Q12008,매칭테이블!$F:$I,3,0)</f>
        <v/>
      </c>
      <c r="O12008" s="88">
        <f>VLOOKUP($Q12008,매칭테이블!$F:$I,4,0)*K12008</f>
        <v/>
      </c>
      <c r="P12008" s="152">
        <f>M12008/1.1</f>
        <v/>
      </c>
      <c r="Q12008" s="88">
        <f>F12008&amp;E12008&amp;G12008&amp;L12008</f>
        <v/>
      </c>
    </row>
    <row r="12009" customFormat="1" s="94">
      <c r="B12009" s="128" t="n">
        <v>44178</v>
      </c>
      <c r="C12009" s="88">
        <f>TEXT(B12009,"aaa")</f>
        <v/>
      </c>
      <c r="E12009" s="88">
        <f>INDEX(매칭테이블!C:D,MATCH(RD!G12009,매칭테이블!D:D,0),1)</f>
        <v/>
      </c>
      <c r="F12009" s="94" t="inlineStr">
        <is>
          <t>카페24</t>
        </is>
      </c>
      <c r="G12009" s="94" t="inlineStr">
        <is>
          <t>아누아 어성초 77 수딩 토너토너(필수)=어성초77토너1개 + 어성초77패드1개 -30% off (무료배송)</t>
        </is>
      </c>
      <c r="K12009" s="94" t="n">
        <v>1</v>
      </c>
      <c r="L12009" s="88" t="n">
        <v>201208</v>
      </c>
      <c r="M12009" s="88">
        <f>VLOOKUP($Q12009,매칭테이블!$F:$I,2,0)*K12009</f>
        <v/>
      </c>
      <c r="N12009" s="88">
        <f>M12009-M12009*VLOOKUP($Q12009,매칭테이블!$F:$I,3,0)</f>
        <v/>
      </c>
      <c r="O12009" s="88">
        <f>VLOOKUP($Q12009,매칭테이블!$F:$I,4,0)*K12009</f>
        <v/>
      </c>
      <c r="P12009" s="152">
        <f>M12009/1.1</f>
        <v/>
      </c>
      <c r="Q12009" s="88">
        <f>F12009&amp;E12009&amp;G12009&amp;L12009</f>
        <v/>
      </c>
    </row>
    <row r="12010" customFormat="1" s="94">
      <c r="B12010" s="128" t="n">
        <v>44178</v>
      </c>
      <c r="C12010" s="88">
        <f>TEXT(B12010,"aaa")</f>
        <v/>
      </c>
      <c r="E12010" s="88">
        <f>INDEX(매칭테이블!C:D,MATCH(RD!G12010,매칭테이블!D:D,0),1)</f>
        <v/>
      </c>
      <c r="F12010" s="94" t="inlineStr">
        <is>
          <t>카페24</t>
        </is>
      </c>
      <c r="G12010" s="94" t="inlineStr">
        <is>
          <t>아누아 어성초 77 수딩 토너화장솜(선택)=촉촉 스킨팩 화장솜</t>
        </is>
      </c>
      <c r="K12010" s="94" t="n">
        <v>4</v>
      </c>
      <c r="L12010" s="88" t="n">
        <v>201208</v>
      </c>
      <c r="M12010" s="88">
        <f>VLOOKUP($Q12010,매칭테이블!$F:$I,2,0)*K12010</f>
        <v/>
      </c>
      <c r="N12010" s="88">
        <f>M12010-M12010*VLOOKUP($Q12010,매칭테이블!$F:$I,3,0)</f>
        <v/>
      </c>
      <c r="O12010" s="88">
        <f>VLOOKUP($Q12010,매칭테이블!$F:$I,4,0)*K12010</f>
        <v/>
      </c>
      <c r="P12010" s="152">
        <f>M12010/1.1</f>
        <v/>
      </c>
      <c r="Q12010" s="88">
        <f>F12010&amp;E12010&amp;G12010&amp;L12010</f>
        <v/>
      </c>
    </row>
    <row r="12011" customFormat="1" s="94">
      <c r="B12011" s="128" t="n">
        <v>44178</v>
      </c>
      <c r="C12011" s="88">
        <f>TEXT(B12011,"aaa")</f>
        <v/>
      </c>
      <c r="E12011" s="88">
        <f>INDEX(매칭테이블!C:D,MATCH(RD!G12011,매칭테이블!D:D,0),1)</f>
        <v/>
      </c>
      <c r="F12011" s="94" t="inlineStr">
        <is>
          <t>카페24</t>
        </is>
      </c>
      <c r="G12011" s="94" t="inlineStr">
        <is>
          <t>어성초 70 데일리 릴리프 로션로션=어성초 70 데일리 릴리프 로션 1개 -20% off</t>
        </is>
      </c>
      <c r="K12011" s="94" t="n">
        <v>4</v>
      </c>
      <c r="L12011" s="88" t="n">
        <v>201208</v>
      </c>
      <c r="M12011" s="88">
        <f>VLOOKUP($Q12011,매칭테이블!$F:$I,2,0)*K12011</f>
        <v/>
      </c>
      <c r="N12011" s="88">
        <f>M12011-M12011*VLOOKUP($Q12011,매칭테이블!$F:$I,3,0)</f>
        <v/>
      </c>
      <c r="O12011" s="88">
        <f>VLOOKUP($Q12011,매칭테이블!$F:$I,4,0)*K12011</f>
        <v/>
      </c>
      <c r="P12011" s="152">
        <f>M12011/1.1</f>
        <v/>
      </c>
      <c r="Q12011" s="88">
        <f>F12011&amp;E12011&amp;G12011&amp;L12011</f>
        <v/>
      </c>
    </row>
    <row r="12012" customFormat="1" s="94">
      <c r="B12012" s="128" t="n">
        <v>44178</v>
      </c>
      <c r="C12012" s="88">
        <f>TEXT(B12012,"aaa")</f>
        <v/>
      </c>
      <c r="E12012" s="88">
        <f>INDEX(매칭테이블!C:D,MATCH(RD!G12012,매칭테이블!D:D,0),1)</f>
        <v/>
      </c>
      <c r="F12012" s="94" t="inlineStr">
        <is>
          <t>카페24</t>
        </is>
      </c>
      <c r="G12012" s="94" t="inlineStr">
        <is>
          <t>어성초 70 데일리 릴리프 로션로션=어성초 70 데일리 릴리프 로션 2개 -30% off</t>
        </is>
      </c>
      <c r="K12012" s="94" t="n">
        <v>2</v>
      </c>
      <c r="L12012" s="88" t="n">
        <v>201208</v>
      </c>
      <c r="M12012" s="88">
        <f>VLOOKUP($Q12012,매칭테이블!$F:$I,2,0)*K12012</f>
        <v/>
      </c>
      <c r="N12012" s="88">
        <f>M12012-M12012*VLOOKUP($Q12012,매칭테이블!$F:$I,3,0)</f>
        <v/>
      </c>
      <c r="O12012" s="88">
        <f>VLOOKUP($Q12012,매칭테이블!$F:$I,4,0)*K12012</f>
        <v/>
      </c>
      <c r="P12012" s="152">
        <f>M12012/1.1</f>
        <v/>
      </c>
      <c r="Q12012" s="88">
        <f>F12012&amp;E12012&amp;G12012&amp;L12012</f>
        <v/>
      </c>
    </row>
    <row r="12013" customFormat="1" s="94">
      <c r="B12013" s="128" t="n">
        <v>44178</v>
      </c>
      <c r="C12013" s="88">
        <f>TEXT(B12013,"aaa")</f>
        <v/>
      </c>
      <c r="E12013" s="88">
        <f>INDEX(매칭테이블!C:D,MATCH(RD!G12013,매칭테이블!D:D,0),1)</f>
        <v/>
      </c>
      <c r="F12013" s="94" t="inlineStr">
        <is>
          <t>카페24</t>
        </is>
      </c>
      <c r="G12013" s="94" t="inlineStr">
        <is>
          <t>어성초 70 데일리 릴리프 로션로션=어성초 77토너 + 어성초 70 로션 수분 보충 세트 -30% off</t>
        </is>
      </c>
      <c r="K12013" s="94" t="n">
        <v>2</v>
      </c>
      <c r="L12013" s="88" t="n">
        <v>201208</v>
      </c>
      <c r="M12013" s="88">
        <f>VLOOKUP($Q12013,매칭테이블!$F:$I,2,0)*K12013</f>
        <v/>
      </c>
      <c r="N12013" s="88">
        <f>M12013-M12013*VLOOKUP($Q12013,매칭테이블!$F:$I,3,0)</f>
        <v/>
      </c>
      <c r="O12013" s="88">
        <f>VLOOKUP($Q12013,매칭테이블!$F:$I,4,0)*K12013</f>
        <v/>
      </c>
      <c r="P12013" s="152">
        <f>M12013/1.1</f>
        <v/>
      </c>
      <c r="Q12013" s="88">
        <f>F12013&amp;E12013&amp;G12013&amp;L12013</f>
        <v/>
      </c>
    </row>
    <row r="12014" customFormat="1" s="94">
      <c r="B12014" s="128" t="n">
        <v>44178</v>
      </c>
      <c r="C12014" s="88">
        <f>TEXT(B12014,"aaa")</f>
        <v/>
      </c>
      <c r="E12014" s="88">
        <f>INDEX(매칭테이블!C:D,MATCH(RD!G12014,매칭테이블!D:D,0),1)</f>
        <v/>
      </c>
      <c r="F12014" s="94" t="inlineStr">
        <is>
          <t>카페24</t>
        </is>
      </c>
      <c r="G12014" s="94" t="inlineStr">
        <is>
          <t>어성초 70 머드 크림 마스크옵션=어성초 70 머드 크림 마스크-20% off</t>
        </is>
      </c>
      <c r="K12014" s="94" t="n">
        <v>2</v>
      </c>
      <c r="L12014" s="88" t="n">
        <v>201208</v>
      </c>
      <c r="M12014" s="88">
        <f>VLOOKUP($Q12014,매칭테이블!$F:$I,2,0)*K12014</f>
        <v/>
      </c>
      <c r="N12014" s="88">
        <f>M12014-M12014*VLOOKUP($Q12014,매칭테이블!$F:$I,3,0)</f>
        <v/>
      </c>
      <c r="O12014" s="88">
        <f>VLOOKUP($Q12014,매칭테이블!$F:$I,4,0)*K12014</f>
        <v/>
      </c>
      <c r="P12014" s="152">
        <f>M12014/1.1</f>
        <v/>
      </c>
      <c r="Q12014" s="88">
        <f>F12014&amp;E12014&amp;G12014&amp;L12014</f>
        <v/>
      </c>
    </row>
    <row r="12015" customFormat="1" s="94">
      <c r="B12015" s="128" t="n">
        <v>44178</v>
      </c>
      <c r="C12015" s="88">
        <f>TEXT(B12015,"aaa")</f>
        <v/>
      </c>
      <c r="E12015" s="88">
        <f>INDEX(매칭테이블!C:D,MATCH(RD!G12015,매칭테이블!D:D,0),1)</f>
        <v/>
      </c>
      <c r="F12015" s="94" t="inlineStr">
        <is>
          <t>카페24</t>
        </is>
      </c>
      <c r="G12015" s="94" t="inlineStr">
        <is>
          <t>어성초 70 인텐스 카밍 크림크림=어성초 70 인텐스 카밍 크림 1개 (-20%)</t>
        </is>
      </c>
      <c r="K12015" s="94" t="n">
        <v>4</v>
      </c>
      <c r="L12015" s="88" t="n">
        <v>201208</v>
      </c>
      <c r="M12015" s="88">
        <f>VLOOKUP($Q12015,매칭테이블!$F:$I,2,0)*K12015</f>
        <v/>
      </c>
      <c r="N12015" s="88">
        <f>M12015-M12015*VLOOKUP($Q12015,매칭테이블!$F:$I,3,0)</f>
        <v/>
      </c>
      <c r="O12015" s="88">
        <f>VLOOKUP($Q12015,매칭테이블!$F:$I,4,0)*K12015</f>
        <v/>
      </c>
      <c r="P12015" s="152">
        <f>M12015/1.1</f>
        <v/>
      </c>
      <c r="Q12015" s="88">
        <f>F12015&amp;E12015&amp;G12015&amp;L12015</f>
        <v/>
      </c>
    </row>
    <row r="12016" customFormat="1" s="94">
      <c r="B12016" s="128" t="n">
        <v>44178</v>
      </c>
      <c r="C12016" s="88">
        <f>TEXT(B12016,"aaa")</f>
        <v/>
      </c>
      <c r="E12016" s="88">
        <f>INDEX(매칭테이블!C:D,MATCH(RD!G12016,매칭테이블!D:D,0),1)</f>
        <v/>
      </c>
      <c r="F12016" s="94" t="inlineStr">
        <is>
          <t>카페24</t>
        </is>
      </c>
      <c r="G12016" s="94" t="inlineStr">
        <is>
          <t>어성초 70 인텐스 카밍 크림크림=어성초 토너 250ml + 카밍 크림 50ml (-30%)</t>
        </is>
      </c>
      <c r="K12016" s="94" t="n">
        <v>1</v>
      </c>
      <c r="L12016" s="88" t="n">
        <v>201208</v>
      </c>
      <c r="M12016" s="88">
        <f>VLOOKUP($Q12016,매칭테이블!$F:$I,2,0)*K12016</f>
        <v/>
      </c>
      <c r="N12016" s="88">
        <f>M12016-M12016*VLOOKUP($Q12016,매칭테이블!$F:$I,3,0)</f>
        <v/>
      </c>
      <c r="O12016" s="88">
        <f>VLOOKUP($Q12016,매칭테이블!$F:$I,4,0)*K12016</f>
        <v/>
      </c>
      <c r="P12016" s="152">
        <f>M12016/1.1</f>
        <v/>
      </c>
      <c r="Q12016" s="88">
        <f>F12016&amp;E12016&amp;G12016&amp;L12016</f>
        <v/>
      </c>
    </row>
    <row r="12017" customFormat="1" s="94">
      <c r="B12017" s="128" t="n">
        <v>44178</v>
      </c>
      <c r="C12017" s="88">
        <f>TEXT(B12017,"aaa")</f>
        <v/>
      </c>
      <c r="E12017" s="88">
        <f>INDEX(매칭테이블!C:D,MATCH(RD!G12017,매칭테이블!D:D,0),1)</f>
        <v/>
      </c>
      <c r="F12017" s="94" t="inlineStr">
        <is>
          <t>카페24</t>
        </is>
      </c>
      <c r="G12017" s="94" t="inlineStr">
        <is>
          <t>어성초 77 수딩 토너토너(필수)=어성초 77 토너 1개-20% off</t>
        </is>
      </c>
      <c r="K12017" s="94" t="n">
        <v>38</v>
      </c>
      <c r="L12017" s="88" t="n">
        <v>201208</v>
      </c>
      <c r="M12017" s="88">
        <f>VLOOKUP($Q12017,매칭테이블!$F:$I,2,0)*K12017</f>
        <v/>
      </c>
      <c r="N12017" s="88">
        <f>M12017-M12017*VLOOKUP($Q12017,매칭테이블!$F:$I,3,0)</f>
        <v/>
      </c>
      <c r="O12017" s="88">
        <f>VLOOKUP($Q12017,매칭테이블!$F:$I,4,0)*K12017</f>
        <v/>
      </c>
      <c r="P12017" s="152">
        <f>M12017/1.1</f>
        <v/>
      </c>
      <c r="Q12017" s="88">
        <f>F12017&amp;E12017&amp;G12017&amp;L12017</f>
        <v/>
      </c>
    </row>
    <row r="12018" customFormat="1" s="94">
      <c r="B12018" s="128" t="n">
        <v>44178</v>
      </c>
      <c r="C12018" s="88">
        <f>TEXT(B12018,"aaa")</f>
        <v/>
      </c>
      <c r="E12018" s="88">
        <f>INDEX(매칭테이블!C:D,MATCH(RD!G12018,매칭테이블!D:D,0),1)</f>
        <v/>
      </c>
      <c r="F12018" s="94" t="inlineStr">
        <is>
          <t>카페24</t>
        </is>
      </c>
      <c r="G12018" s="94" t="inlineStr">
        <is>
          <t>어성초 77 수딩 토너토너(필수)=어성초 77 토너 2개-30% off (무료배송)</t>
        </is>
      </c>
      <c r="K12018" s="94" t="n">
        <v>13</v>
      </c>
      <c r="L12018" s="88" t="n">
        <v>201208</v>
      </c>
      <c r="M12018" s="88">
        <f>VLOOKUP($Q12018,매칭테이블!$F:$I,2,0)*K12018</f>
        <v/>
      </c>
      <c r="N12018" s="88">
        <f>M12018-M12018*VLOOKUP($Q12018,매칭테이블!$F:$I,3,0)</f>
        <v/>
      </c>
      <c r="O12018" s="88">
        <f>VLOOKUP($Q12018,매칭테이블!$F:$I,4,0)*K12018</f>
        <v/>
      </c>
      <c r="P12018" s="152">
        <f>M12018/1.1</f>
        <v/>
      </c>
      <c r="Q12018" s="88">
        <f>F12018&amp;E12018&amp;G12018&amp;L12018</f>
        <v/>
      </c>
    </row>
    <row r="12019" customFormat="1" s="94">
      <c r="B12019" s="128" t="n">
        <v>44178</v>
      </c>
      <c r="C12019" s="88">
        <f>TEXT(B12019,"aaa")</f>
        <v/>
      </c>
      <c r="E12019" s="88">
        <f>INDEX(매칭테이블!C:D,MATCH(RD!G12019,매칭테이블!D:D,0),1)</f>
        <v/>
      </c>
      <c r="F12019" s="94" t="inlineStr">
        <is>
          <t>카페24</t>
        </is>
      </c>
      <c r="G12019" s="94" t="inlineStr">
        <is>
          <t>어성초 77 수딩 토너토너(필수)=어성초77토너1개 + 어성초77패드1개 -30% off (무료배송)</t>
        </is>
      </c>
      <c r="K12019" s="94" t="n">
        <v>6</v>
      </c>
      <c r="L12019" s="88" t="n">
        <v>201208</v>
      </c>
      <c r="M12019" s="88">
        <f>VLOOKUP($Q12019,매칭테이블!$F:$I,2,0)*K12019</f>
        <v/>
      </c>
      <c r="N12019" s="88">
        <f>M12019-M12019*VLOOKUP($Q12019,매칭테이블!$F:$I,3,0)</f>
        <v/>
      </c>
      <c r="O12019" s="88">
        <f>VLOOKUP($Q12019,매칭테이블!$F:$I,4,0)*K12019</f>
        <v/>
      </c>
      <c r="P12019" s="152">
        <f>M12019/1.1</f>
        <v/>
      </c>
      <c r="Q12019" s="88">
        <f>F12019&amp;E12019&amp;G12019&amp;L12019</f>
        <v/>
      </c>
    </row>
    <row r="12020" customFormat="1" s="94">
      <c r="B12020" s="128" t="n">
        <v>44178</v>
      </c>
      <c r="C12020" s="88">
        <f>TEXT(B12020,"aaa")</f>
        <v/>
      </c>
      <c r="E12020" s="88">
        <f>INDEX(매칭테이블!C:D,MATCH(RD!G12020,매칭테이블!D:D,0),1)</f>
        <v/>
      </c>
      <c r="F12020" s="94" t="inlineStr">
        <is>
          <t>카페24</t>
        </is>
      </c>
      <c r="G12020" s="94" t="inlineStr">
        <is>
          <t>어성초 77 수딩 토너화장솜(선택)=촉촉 스킨팩 화장솜</t>
        </is>
      </c>
      <c r="K12020" s="94" t="n">
        <v>19</v>
      </c>
      <c r="L12020" s="88" t="n">
        <v>201208</v>
      </c>
      <c r="M12020" s="88">
        <f>VLOOKUP($Q12020,매칭테이블!$F:$I,2,0)*K12020</f>
        <v/>
      </c>
      <c r="N12020" s="88">
        <f>M12020-M12020*VLOOKUP($Q12020,매칭테이블!$F:$I,3,0)</f>
        <v/>
      </c>
      <c r="O12020" s="88">
        <f>VLOOKUP($Q12020,매칭테이블!$F:$I,4,0)*K12020</f>
        <v/>
      </c>
      <c r="P12020" s="152">
        <f>M12020/1.1</f>
        <v/>
      </c>
      <c r="Q12020" s="88">
        <f>F12020&amp;E12020&amp;G12020&amp;L12020</f>
        <v/>
      </c>
    </row>
    <row r="12021" customFormat="1" s="94">
      <c r="B12021" s="128" t="n">
        <v>44178</v>
      </c>
      <c r="C12021" s="88">
        <f>TEXT(B12021,"aaa")</f>
        <v/>
      </c>
      <c r="E12021" s="88">
        <f>INDEX(매칭테이블!C:D,MATCH(RD!G12021,매칭테이블!D:D,0),1)</f>
        <v/>
      </c>
      <c r="F12021" s="94" t="inlineStr">
        <is>
          <t>카페24</t>
        </is>
      </c>
      <c r="G12021" s="94" t="inlineStr">
        <is>
          <t>어성초 77 수딩 토너토너(필수)=(대용량) 어성초 77 토너 500ml (무료배송)</t>
        </is>
      </c>
      <c r="K12021" s="94" t="n">
        <v>3</v>
      </c>
      <c r="L12021" s="88" t="n">
        <v>201208</v>
      </c>
      <c r="M12021" s="88">
        <f>VLOOKUP($Q12021,매칭테이블!$F:$I,2,0)*K12021</f>
        <v/>
      </c>
      <c r="N12021" s="88">
        <f>M12021-M12021*VLOOKUP($Q12021,매칭테이블!$F:$I,3,0)</f>
        <v/>
      </c>
      <c r="O12021" s="88">
        <f>VLOOKUP($Q12021,매칭테이블!$F:$I,4,0)*K12021</f>
        <v/>
      </c>
      <c r="P12021" s="152">
        <f>M12021/1.1</f>
        <v/>
      </c>
      <c r="Q12021" s="88">
        <f>F12021&amp;E12021&amp;G12021&amp;L12021</f>
        <v/>
      </c>
    </row>
    <row r="12022" customFormat="1" s="94">
      <c r="B12022" s="128" t="n">
        <v>44178</v>
      </c>
      <c r="C12022" s="88">
        <f>TEXT(B12022,"aaa")</f>
        <v/>
      </c>
      <c r="E12022" s="88">
        <f>INDEX(매칭테이블!C:D,MATCH(RD!G12022,매칭테이블!D:D,0),1)</f>
        <v/>
      </c>
      <c r="F12022" s="94" t="inlineStr">
        <is>
          <t>카페24</t>
        </is>
      </c>
      <c r="G12022" s="94" t="inlineStr">
        <is>
          <t>어성초 77 진정 마스크옵션=어성초 77 진정 마스크팩 1장</t>
        </is>
      </c>
      <c r="K12022" s="94" t="n">
        <v>4</v>
      </c>
      <c r="L12022" s="88" t="n">
        <v>201208</v>
      </c>
      <c r="M12022" s="88">
        <f>VLOOKUP($Q12022,매칭테이블!$F:$I,2,0)*K12022</f>
        <v/>
      </c>
      <c r="N12022" s="88">
        <f>M12022-M12022*VLOOKUP($Q12022,매칭테이블!$F:$I,3,0)</f>
        <v/>
      </c>
      <c r="O12022" s="88">
        <f>VLOOKUP($Q12022,매칭테이블!$F:$I,4,0)*K12022</f>
        <v/>
      </c>
      <c r="P12022" s="152">
        <f>M12022/1.1</f>
        <v/>
      </c>
      <c r="Q12022" s="88">
        <f>F12022&amp;E12022&amp;G12022&amp;L12022</f>
        <v/>
      </c>
    </row>
    <row r="12023" customFormat="1" s="94">
      <c r="B12023" s="128" t="n">
        <v>44178</v>
      </c>
      <c r="C12023" s="88">
        <f>TEXT(B12023,"aaa")</f>
        <v/>
      </c>
      <c r="E12023" s="88">
        <f>INDEX(매칭테이블!C:D,MATCH(RD!G12023,매칭테이블!D:D,0),1)</f>
        <v/>
      </c>
      <c r="F12023" s="94" t="inlineStr">
        <is>
          <t>카페24</t>
        </is>
      </c>
      <c r="G12023" s="94" t="inlineStr">
        <is>
          <t>어성초 77 진정 마스크옵션=어성초 77 진정 마스크팩 10장-50% off</t>
        </is>
      </c>
      <c r="K12023" s="94" t="n">
        <v>6</v>
      </c>
      <c r="L12023" s="88" t="n">
        <v>201208</v>
      </c>
      <c r="M12023" s="88">
        <f>VLOOKUP($Q12023,매칭테이블!$F:$I,2,0)*K12023</f>
        <v/>
      </c>
      <c r="N12023" s="88">
        <f>M12023-M12023*VLOOKUP($Q12023,매칭테이블!$F:$I,3,0)</f>
        <v/>
      </c>
      <c r="O12023" s="88">
        <f>VLOOKUP($Q12023,매칭테이블!$F:$I,4,0)*K12023</f>
        <v/>
      </c>
      <c r="P12023" s="152">
        <f>M12023/1.1</f>
        <v/>
      </c>
      <c r="Q12023" s="88">
        <f>F12023&amp;E12023&amp;G12023&amp;L12023</f>
        <v/>
      </c>
    </row>
    <row r="12024" customFormat="1" s="94">
      <c r="B12024" s="128" t="n">
        <v>44178</v>
      </c>
      <c r="C12024" s="88">
        <f>TEXT(B12024,"aaa")</f>
        <v/>
      </c>
      <c r="E12024" s="88">
        <f>INDEX(매칭테이블!C:D,MATCH(RD!G12024,매칭테이블!D:D,0),1)</f>
        <v/>
      </c>
      <c r="F12024" s="94" t="inlineStr">
        <is>
          <t>카페24</t>
        </is>
      </c>
      <c r="G12024" s="94" t="inlineStr">
        <is>
          <t>어성초 77 진정 마스크</t>
        </is>
      </c>
      <c r="K12024" s="94" t="n">
        <v>1</v>
      </c>
      <c r="L12024" s="88" t="n">
        <v>201208</v>
      </c>
      <c r="M12024" s="88">
        <f>VLOOKUP($Q12024,매칭테이블!$F:$I,2,0)*K12024</f>
        <v/>
      </c>
      <c r="N12024" s="88">
        <f>M12024-M12024*VLOOKUP($Q12024,매칭테이블!$F:$I,3,0)</f>
        <v/>
      </c>
      <c r="O12024" s="88">
        <f>VLOOKUP($Q12024,매칭테이블!$F:$I,4,0)*K12024</f>
        <v/>
      </c>
      <c r="P12024" s="152">
        <f>M12024/1.1</f>
        <v/>
      </c>
      <c r="Q12024" s="88">
        <f>F12024&amp;E12024&amp;G12024&amp;L12024</f>
        <v/>
      </c>
    </row>
    <row r="12025" customFormat="1" s="94">
      <c r="B12025" s="128" t="n">
        <v>44178</v>
      </c>
      <c r="C12025" s="88">
        <f>TEXT(B12025,"aaa")</f>
        <v/>
      </c>
      <c r="E12025" s="88">
        <f>INDEX(매칭테이블!C:D,MATCH(RD!G12025,매칭테이블!D:D,0),1)</f>
        <v/>
      </c>
      <c r="F12025" s="94" t="inlineStr">
        <is>
          <t>카페24</t>
        </is>
      </c>
      <c r="G12025" s="94" t="inlineStr">
        <is>
          <t>어성초 77 클리어 패드옵션=어성초 77 클리어 패드 1개-20% off</t>
        </is>
      </c>
      <c r="K12025" s="94" t="n">
        <v>25</v>
      </c>
      <c r="L12025" s="88" t="n">
        <v>201208</v>
      </c>
      <c r="M12025" s="88">
        <f>VLOOKUP($Q12025,매칭테이블!$F:$I,2,0)*K12025</f>
        <v/>
      </c>
      <c r="N12025" s="88">
        <f>M12025-M12025*VLOOKUP($Q12025,매칭테이블!$F:$I,3,0)</f>
        <v/>
      </c>
      <c r="O12025" s="88">
        <f>VLOOKUP($Q12025,매칭테이블!$F:$I,4,0)*K12025</f>
        <v/>
      </c>
      <c r="P12025" s="152">
        <f>M12025/1.1</f>
        <v/>
      </c>
      <c r="Q12025" s="88">
        <f>F12025&amp;E12025&amp;G12025&amp;L12025</f>
        <v/>
      </c>
    </row>
    <row r="12026" customFormat="1" s="94">
      <c r="B12026" s="128" t="n">
        <v>44178</v>
      </c>
      <c r="C12026" s="88">
        <f>TEXT(B12026,"aaa")</f>
        <v/>
      </c>
      <c r="E12026" s="88">
        <f>INDEX(매칭테이블!C:D,MATCH(RD!G12026,매칭테이블!D:D,0),1)</f>
        <v/>
      </c>
      <c r="F12026" s="94" t="inlineStr">
        <is>
          <t>카페24</t>
        </is>
      </c>
      <c r="G12026" s="94" t="inlineStr">
        <is>
          <t>어성초 77 클리어 패드옵션=어성초 77 클리어 패드 2개-30% off (무료배송)</t>
        </is>
      </c>
      <c r="K12026" s="94" t="n">
        <v>35</v>
      </c>
      <c r="L12026" s="88" t="n">
        <v>201208</v>
      </c>
      <c r="M12026" s="88">
        <f>VLOOKUP($Q12026,매칭테이블!$F:$I,2,0)*K12026</f>
        <v/>
      </c>
      <c r="N12026" s="88">
        <f>M12026-M12026*VLOOKUP($Q12026,매칭테이블!$F:$I,3,0)</f>
        <v/>
      </c>
      <c r="O12026" s="88">
        <f>VLOOKUP($Q12026,매칭테이블!$F:$I,4,0)*K12026</f>
        <v/>
      </c>
      <c r="P12026" s="152">
        <f>M12026/1.1</f>
        <v/>
      </c>
      <c r="Q12026" s="88">
        <f>F12026&amp;E12026&amp;G12026&amp;L12026</f>
        <v/>
      </c>
    </row>
    <row r="12027" customFormat="1" s="94">
      <c r="B12027" s="128" t="n">
        <v>44178</v>
      </c>
      <c r="C12027" s="88">
        <f>TEXT(B12027,"aaa")</f>
        <v/>
      </c>
      <c r="E12027" s="88">
        <f>INDEX(매칭테이블!C:D,MATCH(RD!G12027,매칭테이블!D:D,0),1)</f>
        <v/>
      </c>
      <c r="F12027" s="94" t="inlineStr">
        <is>
          <t>카페24</t>
        </is>
      </c>
      <c r="G12027" s="94" t="inlineStr">
        <is>
          <t>어성초 77 클리어 패드옵션=어성초77토너1개+어성초77패드1개-30% off (무료배송)</t>
        </is>
      </c>
      <c r="K12027" s="94" t="n">
        <v>9</v>
      </c>
      <c r="L12027" s="88" t="n">
        <v>201208</v>
      </c>
      <c r="M12027" s="88">
        <f>VLOOKUP($Q12027,매칭테이블!$F:$I,2,0)*K12027</f>
        <v/>
      </c>
      <c r="N12027" s="88">
        <f>M12027-M12027*VLOOKUP($Q12027,매칭테이블!$F:$I,3,0)</f>
        <v/>
      </c>
      <c r="O12027" s="88">
        <f>VLOOKUP($Q12027,매칭테이블!$F:$I,4,0)*K12027</f>
        <v/>
      </c>
      <c r="P12027" s="152">
        <f>M12027/1.1</f>
        <v/>
      </c>
      <c r="Q12027" s="88">
        <f>F12027&amp;E12027&amp;G12027&amp;L12027</f>
        <v/>
      </c>
    </row>
    <row r="12028" customFormat="1" s="94">
      <c r="B12028" s="128" t="n">
        <v>44178</v>
      </c>
      <c r="C12028" s="88">
        <f>TEXT(B12028,"aaa")</f>
        <v/>
      </c>
      <c r="E12028" s="88">
        <f>INDEX(매칭테이블!C:D,MATCH(RD!G12028,매칭테이블!D:D,0),1)</f>
        <v/>
      </c>
      <c r="F12028" s="94" t="inlineStr">
        <is>
          <t>카페24</t>
        </is>
      </c>
      <c r="G12028" s="94" t="inlineStr">
        <is>
          <t>어성초 77 클리어 패드옵션=어성초 77 클리어 패드 1개-20% off</t>
        </is>
      </c>
      <c r="K12028" s="94" t="n">
        <v>2</v>
      </c>
      <c r="L12028" s="88" t="n">
        <v>201208</v>
      </c>
      <c r="M12028" s="88">
        <f>VLOOKUP($Q12028,매칭테이블!$F:$I,2,0)*K12028</f>
        <v/>
      </c>
      <c r="N12028" s="88">
        <f>M12028-M12028*VLOOKUP($Q12028,매칭테이블!$F:$I,3,0)</f>
        <v/>
      </c>
      <c r="O12028" s="88">
        <f>VLOOKUP($Q12028,매칭테이블!$F:$I,4,0)*K12028</f>
        <v/>
      </c>
      <c r="P12028" s="152">
        <f>M12028/1.1</f>
        <v/>
      </c>
      <c r="Q12028" s="88">
        <f>F12028&amp;E12028&amp;G12028&amp;L12028</f>
        <v/>
      </c>
    </row>
    <row r="12029" customFormat="1" s="94">
      <c r="B12029" s="128" t="n">
        <v>44178</v>
      </c>
      <c r="C12029" s="88">
        <f>TEXT(B12029,"aaa")</f>
        <v/>
      </c>
      <c r="E12029" s="88">
        <f>INDEX(매칭테이블!C:D,MATCH(RD!G12029,매칭테이블!D:D,0),1)</f>
        <v/>
      </c>
      <c r="F12029" s="94" t="inlineStr">
        <is>
          <t>카페24</t>
        </is>
      </c>
      <c r="G12029" s="94" t="inlineStr">
        <is>
          <t>어성초 77 클리어 패드옵션=어성초 77 클리어 패드 2개-30% off (무료배송)</t>
        </is>
      </c>
      <c r="K12029" s="94" t="n">
        <v>3</v>
      </c>
      <c r="L12029" s="88" t="n">
        <v>201208</v>
      </c>
      <c r="M12029" s="88">
        <f>VLOOKUP($Q12029,매칭테이블!$F:$I,2,0)*K12029</f>
        <v/>
      </c>
      <c r="N12029" s="88">
        <f>M12029-M12029*VLOOKUP($Q12029,매칭테이블!$F:$I,3,0)</f>
        <v/>
      </c>
      <c r="O12029" s="88">
        <f>VLOOKUP($Q12029,매칭테이블!$F:$I,4,0)*K12029</f>
        <v/>
      </c>
      <c r="P12029" s="152">
        <f>M12029/1.1</f>
        <v/>
      </c>
      <c r="Q12029" s="88">
        <f>F12029&amp;E12029&amp;G12029&amp;L12029</f>
        <v/>
      </c>
    </row>
    <row r="12030" customFormat="1" s="94">
      <c r="B12030" s="128" t="n">
        <v>44178</v>
      </c>
      <c r="C12030" s="88">
        <f>TEXT(B12030,"aaa")</f>
        <v/>
      </c>
      <c r="E12030" s="88">
        <f>INDEX(매칭테이블!C:D,MATCH(RD!G12030,매칭테이블!D:D,0),1)</f>
        <v/>
      </c>
      <c r="F12030" s="94" t="inlineStr">
        <is>
          <t>카페24</t>
        </is>
      </c>
      <c r="G12030" s="94" t="inlineStr">
        <is>
          <t>어성초 77 클리어 패드옵션=어성초77토너1개+어성초77패드1개-30% off (무료배송)</t>
        </is>
      </c>
      <c r="K12030" s="94" t="n">
        <v>2</v>
      </c>
      <c r="L12030" s="88" t="n">
        <v>201208</v>
      </c>
      <c r="M12030" s="88">
        <f>VLOOKUP($Q12030,매칭테이블!$F:$I,2,0)*K12030</f>
        <v/>
      </c>
      <c r="N12030" s="88">
        <f>M12030-M12030*VLOOKUP($Q12030,매칭테이블!$F:$I,3,0)</f>
        <v/>
      </c>
      <c r="O12030" s="88">
        <f>VLOOKUP($Q12030,매칭테이블!$F:$I,4,0)*K12030</f>
        <v/>
      </c>
      <c r="P12030" s="152">
        <f>M12030/1.1</f>
        <v/>
      </c>
      <c r="Q12030" s="88">
        <f>F12030&amp;E12030&amp;G12030&amp;L12030</f>
        <v/>
      </c>
    </row>
    <row r="12031" customFormat="1" s="94">
      <c r="B12031" s="128" t="n">
        <v>44178</v>
      </c>
      <c r="C12031" s="88">
        <f>TEXT(B12031,"aaa")</f>
        <v/>
      </c>
      <c r="E12031" s="88">
        <f>INDEX(매칭테이블!C:D,MATCH(RD!G12031,매칭테이블!D:D,0),1)</f>
        <v/>
      </c>
      <c r="F12031" s="94" t="inlineStr">
        <is>
          <t>카페24</t>
        </is>
      </c>
      <c r="G12031" s="94" t="inlineStr">
        <is>
          <t>어성초 77 토너</t>
        </is>
      </c>
      <c r="K12031" s="94" t="n">
        <v>1</v>
      </c>
      <c r="L12031" s="88" t="n">
        <v>201208</v>
      </c>
      <c r="M12031" s="88">
        <f>VLOOKUP($Q12031,매칭테이블!$F:$I,2,0)*K12031</f>
        <v/>
      </c>
      <c r="N12031" s="88">
        <f>M12031-M12031*VLOOKUP($Q12031,매칭테이블!$F:$I,3,0)</f>
        <v/>
      </c>
      <c r="O12031" s="88">
        <f>VLOOKUP($Q12031,매칭테이블!$F:$I,4,0)*K12031</f>
        <v/>
      </c>
      <c r="P12031" s="152">
        <f>M12031/1.1</f>
        <v/>
      </c>
      <c r="Q12031" s="88">
        <f>F12031&amp;E12031&amp;G12031&amp;L12031</f>
        <v/>
      </c>
    </row>
    <row r="12032" customFormat="1" s="94">
      <c r="B12032" s="128" t="n">
        <v>44178</v>
      </c>
      <c r="C12032" s="88">
        <f>TEXT(B12032,"aaa")</f>
        <v/>
      </c>
      <c r="E12032" s="88">
        <f>INDEX(매칭테이블!C:D,MATCH(RD!G12032,매칭테이블!D:D,0),1)</f>
        <v/>
      </c>
      <c r="F12032" s="94" t="inlineStr">
        <is>
          <t>카페24</t>
        </is>
      </c>
      <c r="G12032" s="94" t="inlineStr">
        <is>
          <t>어성초 77 토너토너(필수)=어성초 77 토너 1개-20% off</t>
        </is>
      </c>
      <c r="K12032" s="94" t="n">
        <v>3</v>
      </c>
      <c r="L12032" s="88" t="n">
        <v>201208</v>
      </c>
      <c r="M12032" s="88">
        <f>VLOOKUP($Q12032,매칭테이블!$F:$I,2,0)*K12032</f>
        <v/>
      </c>
      <c r="N12032" s="88">
        <f>M12032-M12032*VLOOKUP($Q12032,매칭테이블!$F:$I,3,0)</f>
        <v/>
      </c>
      <c r="O12032" s="88">
        <f>VLOOKUP($Q12032,매칭테이블!$F:$I,4,0)*K12032</f>
        <v/>
      </c>
      <c r="P12032" s="152">
        <f>M12032/1.1</f>
        <v/>
      </c>
      <c r="Q12032" s="88">
        <f>F12032&amp;E12032&amp;G12032&amp;L12032</f>
        <v/>
      </c>
    </row>
    <row r="12033" customFormat="1" s="94">
      <c r="B12033" s="128" t="n">
        <v>44178</v>
      </c>
      <c r="C12033" s="88">
        <f>TEXT(B12033,"aaa")</f>
        <v/>
      </c>
      <c r="E12033" s="88">
        <f>INDEX(매칭테이블!C:D,MATCH(RD!G12033,매칭테이블!D:D,0),1)</f>
        <v/>
      </c>
      <c r="F12033" s="94" t="inlineStr">
        <is>
          <t>카페24</t>
        </is>
      </c>
      <c r="G12033" s="94" t="inlineStr">
        <is>
          <t>어성초 77 토너화장솜(선택)=촉촉 스킨팩 화장솜</t>
        </is>
      </c>
      <c r="K12033" s="94" t="n">
        <v>1</v>
      </c>
      <c r="L12033" s="88" t="n">
        <v>201208</v>
      </c>
      <c r="M12033" s="88">
        <f>VLOOKUP($Q12033,매칭테이블!$F:$I,2,0)*K12033</f>
        <v/>
      </c>
      <c r="N12033" s="88">
        <f>M12033-M12033*VLOOKUP($Q12033,매칭테이블!$F:$I,3,0)</f>
        <v/>
      </c>
      <c r="O12033" s="88">
        <f>VLOOKUP($Q12033,매칭테이블!$F:$I,4,0)*K12033</f>
        <v/>
      </c>
      <c r="P12033" s="152">
        <f>M12033/1.1</f>
        <v/>
      </c>
      <c r="Q12033" s="88">
        <f>F12033&amp;E12033&amp;G12033&amp;L12033</f>
        <v/>
      </c>
    </row>
    <row r="12034" customFormat="1" s="94">
      <c r="B12034" s="128" t="n">
        <v>44178</v>
      </c>
      <c r="C12034" s="88">
        <f>TEXT(B12034,"aaa")</f>
        <v/>
      </c>
      <c r="E12034" s="88">
        <f>INDEX(매칭테이블!C:D,MATCH(RD!G12034,매칭테이블!D:D,0),1)</f>
        <v/>
      </c>
      <c r="F12034" s="94" t="inlineStr">
        <is>
          <t>카페24</t>
        </is>
      </c>
      <c r="G12034" s="94" t="inlineStr">
        <is>
          <t>어성초 78 수딩 크림</t>
        </is>
      </c>
      <c r="K12034" s="94" t="n">
        <v>4</v>
      </c>
      <c r="L12034" s="88" t="n">
        <v>201208</v>
      </c>
      <c r="M12034" s="88">
        <f>VLOOKUP($Q12034,매칭테이블!$F:$I,2,0)*K12034</f>
        <v/>
      </c>
      <c r="N12034" s="88">
        <f>M12034-M12034*VLOOKUP($Q12034,매칭테이블!$F:$I,3,0)</f>
        <v/>
      </c>
      <c r="O12034" s="88">
        <f>VLOOKUP($Q12034,매칭테이블!$F:$I,4,0)*K12034</f>
        <v/>
      </c>
      <c r="P12034" s="152">
        <f>M12034/1.1</f>
        <v/>
      </c>
      <c r="Q12034" s="88">
        <f>F12034&amp;E12034&amp;G12034&amp;L12034</f>
        <v/>
      </c>
    </row>
    <row r="12035" customFormat="1" s="94">
      <c r="B12035" s="128" t="n">
        <v>44178</v>
      </c>
      <c r="C12035" s="88">
        <f>TEXT(B12035,"aaa")</f>
        <v/>
      </c>
      <c r="E12035" s="88">
        <f>INDEX(매칭테이블!C:D,MATCH(RD!G12035,매칭테이블!D:D,0),1)</f>
        <v/>
      </c>
      <c r="F12035" s="94" t="inlineStr">
        <is>
          <t>카페24</t>
        </is>
      </c>
      <c r="G12035" s="94" t="inlineStr">
        <is>
          <t>어성초 78 수딩 크림</t>
        </is>
      </c>
      <c r="K12035" s="94" t="n">
        <v>2</v>
      </c>
      <c r="L12035" s="88" t="n">
        <v>201208</v>
      </c>
      <c r="M12035" s="88">
        <f>VLOOKUP($Q12035,매칭테이블!$F:$I,2,0)*K12035</f>
        <v/>
      </c>
      <c r="N12035" s="88">
        <f>M12035-M12035*VLOOKUP($Q12035,매칭테이블!$F:$I,3,0)</f>
        <v/>
      </c>
      <c r="O12035" s="88">
        <f>VLOOKUP($Q12035,매칭테이블!$F:$I,4,0)*K12035</f>
        <v/>
      </c>
      <c r="P12035" s="152">
        <f>M12035/1.1</f>
        <v/>
      </c>
      <c r="Q12035" s="88">
        <f>F12035&amp;E12035&amp;G12035&amp;L12035</f>
        <v/>
      </c>
    </row>
    <row r="12036" customFormat="1" s="94">
      <c r="B12036" s="128" t="n">
        <v>44178</v>
      </c>
      <c r="C12036" s="88">
        <f>TEXT(B12036,"aaa")</f>
        <v/>
      </c>
      <c r="E12036" s="88">
        <f>INDEX(매칭테이블!C:D,MATCH(RD!G12036,매칭테이블!D:D,0),1)</f>
        <v/>
      </c>
      <c r="F12036" s="94" t="inlineStr">
        <is>
          <t>카페24</t>
        </is>
      </c>
      <c r="G12036" s="94" t="inlineStr">
        <is>
          <t>어성초 80 수분 진정 앰플앰플=어성초 80 앰플 1개-15%off</t>
        </is>
      </c>
      <c r="K12036" s="94" t="n">
        <v>9</v>
      </c>
      <c r="L12036" s="88" t="n">
        <v>201208</v>
      </c>
      <c r="M12036" s="88">
        <f>VLOOKUP($Q12036,매칭테이블!$F:$I,2,0)*K12036</f>
        <v/>
      </c>
      <c r="N12036" s="88">
        <f>M12036-M12036*VLOOKUP($Q12036,매칭테이블!$F:$I,3,0)</f>
        <v/>
      </c>
      <c r="O12036" s="88">
        <f>VLOOKUP($Q12036,매칭테이블!$F:$I,4,0)*K12036</f>
        <v/>
      </c>
      <c r="P12036" s="152">
        <f>M12036/1.1</f>
        <v/>
      </c>
      <c r="Q12036" s="88">
        <f>F12036&amp;E12036&amp;G12036&amp;L12036</f>
        <v/>
      </c>
    </row>
    <row r="12037" customFormat="1" s="94">
      <c r="B12037" s="128" t="n">
        <v>44178</v>
      </c>
      <c r="C12037" s="88">
        <f>TEXT(B12037,"aaa")</f>
        <v/>
      </c>
      <c r="E12037" s="88">
        <f>INDEX(매칭테이블!C:D,MATCH(RD!G12037,매칭테이블!D:D,0),1)</f>
        <v/>
      </c>
      <c r="F12037" s="94" t="inlineStr">
        <is>
          <t>카페24</t>
        </is>
      </c>
      <c r="G12037" s="94" t="inlineStr">
        <is>
          <t>어성초 80 수분 진정 앰플앰플=어성초 80 앰플 2개-27%off (무료배송)</t>
        </is>
      </c>
      <c r="K12037" s="94" t="n">
        <v>4</v>
      </c>
      <c r="L12037" s="88" t="n">
        <v>201208</v>
      </c>
      <c r="M12037" s="88">
        <f>VLOOKUP($Q12037,매칭테이블!$F:$I,2,0)*K12037</f>
        <v/>
      </c>
      <c r="N12037" s="88">
        <f>M12037-M12037*VLOOKUP($Q12037,매칭테이블!$F:$I,3,0)</f>
        <v/>
      </c>
      <c r="O12037" s="88">
        <f>VLOOKUP($Q12037,매칭테이블!$F:$I,4,0)*K12037</f>
        <v/>
      </c>
      <c r="P12037" s="152">
        <f>M12037/1.1</f>
        <v/>
      </c>
      <c r="Q12037" s="88">
        <f>F12037&amp;E12037&amp;G12037&amp;L12037</f>
        <v/>
      </c>
    </row>
    <row r="12038" customFormat="1" s="94">
      <c r="B12038" s="128" t="n">
        <v>44178</v>
      </c>
      <c r="C12038" s="88">
        <f>TEXT(B12038,"aaa")</f>
        <v/>
      </c>
      <c r="E12038" s="88">
        <f>INDEX(매칭테이블!C:D,MATCH(RD!G12038,매칭테이블!D:D,0),1)</f>
        <v/>
      </c>
      <c r="F12038" s="94" t="inlineStr">
        <is>
          <t>카페24</t>
        </is>
      </c>
      <c r="G12038" s="94" t="inlineStr">
        <is>
          <t>어성초 80 수분 진정 앰플</t>
        </is>
      </c>
      <c r="K12038" s="94" t="n">
        <v>5</v>
      </c>
      <c r="L12038" s="88" t="n">
        <v>201208</v>
      </c>
      <c r="M12038" s="88">
        <f>VLOOKUP($Q12038,매칭테이블!$F:$I,2,0)*K12038</f>
        <v/>
      </c>
      <c r="N12038" s="88">
        <f>M12038-M12038*VLOOKUP($Q12038,매칭테이블!$F:$I,3,0)</f>
        <v/>
      </c>
      <c r="O12038" s="88">
        <f>VLOOKUP($Q12038,매칭테이블!$F:$I,4,0)*K12038</f>
        <v/>
      </c>
      <c r="P12038" s="152">
        <f>M12038/1.1</f>
        <v/>
      </c>
      <c r="Q12038" s="88">
        <f>F12038&amp;E12038&amp;G12038&amp;L12038</f>
        <v/>
      </c>
    </row>
    <row r="12039" customFormat="1" s="94">
      <c r="B12039" s="128" t="n">
        <v>44178</v>
      </c>
      <c r="C12039" s="88">
        <f>TEXT(B12039,"aaa")</f>
        <v/>
      </c>
      <c r="E12039" s="88">
        <f>INDEX(매칭테이블!C:D,MATCH(RD!G12039,매칭테이블!D:D,0),1)</f>
        <v/>
      </c>
      <c r="F12039" s="94" t="inlineStr">
        <is>
          <t>카페24</t>
        </is>
      </c>
      <c r="G12039" s="94" t="inlineStr">
        <is>
          <t>어성초 아크네 바디워시옵션=어성초 아크네 바디워시 2개 -35% off (무료배송)</t>
        </is>
      </c>
      <c r="K12039" s="94" t="n">
        <v>1</v>
      </c>
      <c r="L12039" s="88" t="n">
        <v>201208</v>
      </c>
      <c r="M12039" s="88">
        <f>VLOOKUP($Q12039,매칭테이블!$F:$I,2,0)*K12039</f>
        <v/>
      </c>
      <c r="N12039" s="88">
        <f>M12039-M12039*VLOOKUP($Q12039,매칭테이블!$F:$I,3,0)</f>
        <v/>
      </c>
      <c r="O12039" s="88">
        <f>VLOOKUP($Q12039,매칭테이블!$F:$I,4,0)*K12039</f>
        <v/>
      </c>
      <c r="P12039" s="152">
        <f>M12039/1.1</f>
        <v/>
      </c>
      <c r="Q12039" s="88">
        <f>F12039&amp;E12039&amp;G12039&amp;L12039</f>
        <v/>
      </c>
    </row>
    <row r="12040" customFormat="1" s="94">
      <c r="B12040" s="128" t="n">
        <v>44178</v>
      </c>
      <c r="C12040" s="88">
        <f>TEXT(B12040,"aaa")</f>
        <v/>
      </c>
      <c r="E12040" s="88">
        <f>INDEX(매칭테이블!C:D,MATCH(RD!G12040,매칭테이블!D:D,0),1)</f>
        <v/>
      </c>
      <c r="F12040" s="94" t="inlineStr">
        <is>
          <t>카페24</t>
        </is>
      </c>
      <c r="G12040" s="94" t="inlineStr">
        <is>
          <t>어성초 약산성 클렌징폼클렌징폼=어성초 약산성 클렌징폼 1개 -19%off</t>
        </is>
      </c>
      <c r="K12040" s="94" t="n">
        <v>12</v>
      </c>
      <c r="L12040" s="88" t="n">
        <v>201208</v>
      </c>
      <c r="M12040" s="88">
        <f>VLOOKUP($Q12040,매칭테이블!$F:$I,2,0)*K12040</f>
        <v/>
      </c>
      <c r="N12040" s="88">
        <f>M12040-M12040*VLOOKUP($Q12040,매칭테이블!$F:$I,3,0)</f>
        <v/>
      </c>
      <c r="O12040" s="88">
        <f>VLOOKUP($Q12040,매칭테이블!$F:$I,4,0)*K12040</f>
        <v/>
      </c>
      <c r="P12040" s="152">
        <f>M12040/1.1</f>
        <v/>
      </c>
      <c r="Q12040" s="88">
        <f>F12040&amp;E12040&amp;G12040&amp;L12040</f>
        <v/>
      </c>
    </row>
    <row r="12041" customFormat="1" s="94">
      <c r="B12041" s="128" t="n">
        <v>44178</v>
      </c>
      <c r="C12041" s="88">
        <f>TEXT(B12041,"aaa")</f>
        <v/>
      </c>
      <c r="E12041" s="88">
        <f>INDEX(매칭테이블!C:D,MATCH(RD!G12041,매칭테이블!D:D,0),1)</f>
        <v/>
      </c>
      <c r="F12041" s="94" t="inlineStr">
        <is>
          <t>카페24</t>
        </is>
      </c>
      <c r="G12041" s="94" t="inlineStr">
        <is>
          <t>어성초 약산성 클렌징폼클렌징폼=어성초 약산성 클렌징폼 2개 -25%off</t>
        </is>
      </c>
      <c r="K12041" s="94" t="n">
        <v>4</v>
      </c>
      <c r="L12041" s="88" t="n">
        <v>201208</v>
      </c>
      <c r="M12041" s="88">
        <f>VLOOKUP($Q12041,매칭테이블!$F:$I,2,0)*K12041</f>
        <v/>
      </c>
      <c r="N12041" s="88">
        <f>M12041-M12041*VLOOKUP($Q12041,매칭테이블!$F:$I,3,0)</f>
        <v/>
      </c>
      <c r="O12041" s="88">
        <f>VLOOKUP($Q12041,매칭테이블!$F:$I,4,0)*K12041</f>
        <v/>
      </c>
      <c r="P12041" s="152">
        <f>M12041/1.1</f>
        <v/>
      </c>
      <c r="Q12041" s="88">
        <f>F12041&amp;E12041&amp;G12041&amp;L12041</f>
        <v/>
      </c>
    </row>
    <row r="12042" customFormat="1" s="94">
      <c r="B12042" s="128" t="n">
        <v>44178</v>
      </c>
      <c r="C12042" s="88">
        <f>TEXT(B12042,"aaa")</f>
        <v/>
      </c>
      <c r="E12042" s="88">
        <f>INDEX(매칭테이블!C:D,MATCH(RD!G12042,매칭테이블!D:D,0),1)</f>
        <v/>
      </c>
      <c r="F12042" s="94" t="inlineStr">
        <is>
          <t>카페24</t>
        </is>
      </c>
      <c r="G12042" s="94" t="inlineStr">
        <is>
          <t>어성초 약산성 클렌징폼클렌징폼=어성초 약산성 클렌징폼 3개 -31%off (무료배송)</t>
        </is>
      </c>
      <c r="K12042" s="94" t="n">
        <v>3</v>
      </c>
      <c r="L12042" s="88" t="n">
        <v>201208</v>
      </c>
      <c r="M12042" s="88">
        <f>VLOOKUP($Q12042,매칭테이블!$F:$I,2,0)*K12042</f>
        <v/>
      </c>
      <c r="N12042" s="88">
        <f>M12042-M12042*VLOOKUP($Q12042,매칭테이블!$F:$I,3,0)</f>
        <v/>
      </c>
      <c r="O12042" s="88">
        <f>VLOOKUP($Q12042,매칭테이블!$F:$I,4,0)*K12042</f>
        <v/>
      </c>
      <c r="P12042" s="152">
        <f>M12042/1.1</f>
        <v/>
      </c>
      <c r="Q12042" s="88">
        <f>F12042&amp;E12042&amp;G12042&amp;L12042</f>
        <v/>
      </c>
    </row>
    <row r="12043" customFormat="1" s="94">
      <c r="B12043" s="128" t="n">
        <v>44178</v>
      </c>
      <c r="C12043" s="88">
        <f>TEXT(B12043,"aaa")</f>
        <v/>
      </c>
      <c r="E12043" s="88">
        <f>INDEX(매칭테이블!C:D,MATCH(RD!G12043,매칭테이블!D:D,0),1)</f>
        <v/>
      </c>
      <c r="F12043" s="94" t="inlineStr">
        <is>
          <t>카페24</t>
        </is>
      </c>
      <c r="G12043" s="94" t="inlineStr">
        <is>
          <t>어성초 약산성 클렌징폼</t>
        </is>
      </c>
      <c r="K12043" s="94" t="n">
        <v>2</v>
      </c>
      <c r="L12043" s="88" t="n">
        <v>201208</v>
      </c>
      <c r="M12043" s="88">
        <f>VLOOKUP($Q12043,매칭테이블!$F:$I,2,0)*K12043</f>
        <v/>
      </c>
      <c r="N12043" s="88">
        <f>M12043-M12043*VLOOKUP($Q12043,매칭테이블!$F:$I,3,0)</f>
        <v/>
      </c>
      <c r="O12043" s="88">
        <f>VLOOKUP($Q12043,매칭테이블!$F:$I,4,0)*K12043</f>
        <v/>
      </c>
      <c r="P12043" s="152">
        <f>M12043/1.1</f>
        <v/>
      </c>
      <c r="Q12043" s="88">
        <f>F12043&amp;E12043&amp;G12043&amp;L12043</f>
        <v/>
      </c>
    </row>
    <row r="12044" customFormat="1" s="94">
      <c r="B12044" s="128" t="n">
        <v>44178</v>
      </c>
      <c r="C12044" s="88">
        <f>TEXT(B12044,"aaa")</f>
        <v/>
      </c>
      <c r="E12044" s="88">
        <f>INDEX(매칭테이블!C:D,MATCH(RD!G12044,매칭테이블!D:D,0),1)</f>
        <v/>
      </c>
      <c r="F12044" s="94" t="inlineStr">
        <is>
          <t>카페24</t>
        </is>
      </c>
      <c r="G12044" s="94" t="inlineStr">
        <is>
          <t>어성초 크림마스크 나이트 솔루션옵션=어성초 크림마스크 나이트 솔루션 1장</t>
        </is>
      </c>
      <c r="K12044" s="94" t="n">
        <v>2</v>
      </c>
      <c r="L12044" s="88" t="n">
        <v>201208</v>
      </c>
      <c r="M12044" s="88">
        <f>VLOOKUP($Q12044,매칭테이블!$F:$I,2,0)*K12044</f>
        <v/>
      </c>
      <c r="N12044" s="88">
        <f>M12044-M12044*VLOOKUP($Q12044,매칭테이블!$F:$I,3,0)</f>
        <v/>
      </c>
      <c r="O12044" s="88">
        <f>VLOOKUP($Q12044,매칭테이블!$F:$I,4,0)*K12044</f>
        <v/>
      </c>
      <c r="P12044" s="152">
        <f>M12044/1.1</f>
        <v/>
      </c>
      <c r="Q12044" s="88">
        <f>F12044&amp;E12044&amp;G12044&amp;L12044</f>
        <v/>
      </c>
    </row>
    <row r="12045" customFormat="1" s="94">
      <c r="B12045" s="128" t="n">
        <v>44178</v>
      </c>
      <c r="C12045" s="88">
        <f>TEXT(B12045,"aaa")</f>
        <v/>
      </c>
      <c r="E12045" s="88">
        <f>INDEX(매칭테이블!C:D,MATCH(RD!G12045,매칭테이블!D:D,0),1)</f>
        <v/>
      </c>
      <c r="F12045" s="94" t="inlineStr">
        <is>
          <t>카페24</t>
        </is>
      </c>
      <c r="G12045" s="94" t="inlineStr">
        <is>
          <t>촉촉 스킨팩 화장솜</t>
        </is>
      </c>
      <c r="K12045" s="94" t="n">
        <v>8</v>
      </c>
      <c r="L12045" s="88" t="n">
        <v>201208</v>
      </c>
      <c r="M12045" s="88">
        <f>VLOOKUP($Q12045,매칭테이블!$F:$I,2,0)*K12045</f>
        <v/>
      </c>
      <c r="N12045" s="88">
        <f>M12045-M12045*VLOOKUP($Q12045,매칭테이블!$F:$I,3,0)</f>
        <v/>
      </c>
      <c r="O12045" s="88">
        <f>VLOOKUP($Q12045,매칭테이블!$F:$I,4,0)*K12045</f>
        <v/>
      </c>
      <c r="P12045" s="152">
        <f>M12045/1.1</f>
        <v/>
      </c>
      <c r="Q12045" s="88">
        <f>F12045&amp;E12045&amp;G12045&amp;L12045</f>
        <v/>
      </c>
    </row>
    <row r="12046" customFormat="1" s="94">
      <c r="B12046" s="128" t="n">
        <v>44178</v>
      </c>
      <c r="C12046" s="88">
        <f>TEXT(B12046,"aaa")</f>
        <v/>
      </c>
      <c r="E12046" s="88">
        <f>INDEX(매칭테이블!C:D,MATCH(RD!G12046,매칭테이블!D:D,0),1)</f>
        <v/>
      </c>
      <c r="F12046" s="94" t="inlineStr">
        <is>
          <t>카페24</t>
        </is>
      </c>
      <c r="G12046" s="94" t="inlineStr">
        <is>
          <t>촉촉 스킨팩 화장솜</t>
        </is>
      </c>
      <c r="K12046" s="94" t="n">
        <v>1</v>
      </c>
      <c r="L12046" s="88" t="n">
        <v>201208</v>
      </c>
      <c r="M12046" s="88">
        <f>VLOOKUP($Q12046,매칭테이블!$F:$I,2,0)*K12046</f>
        <v/>
      </c>
      <c r="N12046" s="88">
        <f>M12046-M12046*VLOOKUP($Q12046,매칭테이블!$F:$I,3,0)</f>
        <v/>
      </c>
      <c r="O12046" s="88">
        <f>VLOOKUP($Q12046,매칭테이블!$F:$I,4,0)*K12046</f>
        <v/>
      </c>
      <c r="P12046" s="152">
        <f>M12046/1.1</f>
        <v/>
      </c>
      <c r="Q12046" s="88">
        <f>F12046&amp;E12046&amp;G12046&amp;L12046</f>
        <v/>
      </c>
    </row>
    <row r="12047" customFormat="1" s="94">
      <c r="B12047" s="128" t="n">
        <v>44177</v>
      </c>
      <c r="C12047" s="88">
        <f>TEXT(B12047,"aaa")</f>
        <v/>
      </c>
      <c r="E12047" s="88">
        <f>INDEX(매칭테이블!C:D,MATCH(RD!G12047,매칭테이블!D:D,0),1)</f>
        <v/>
      </c>
      <c r="F12047" s="94" t="inlineStr">
        <is>
          <t>스타일쉐어</t>
        </is>
      </c>
      <c r="G12047" s="94" t="inlineStr">
        <is>
          <t>아누아 어성초 77 토너 250ml</t>
        </is>
      </c>
      <c r="K12047" s="94" t="n">
        <v>2</v>
      </c>
      <c r="L12047" s="88" t="n">
        <v>201208</v>
      </c>
      <c r="M12047" s="88">
        <f>VLOOKUP($Q12047,매칭테이블!$F:$I,2,0)*K12047</f>
        <v/>
      </c>
      <c r="N12047" s="88">
        <f>M12047-M12047*VLOOKUP($Q12047,매칭테이블!$F:$I,3,0)</f>
        <v/>
      </c>
      <c r="O12047" s="88">
        <f>VLOOKUP($Q12047,매칭테이블!$F:$I,4,0)*K12047</f>
        <v/>
      </c>
      <c r="P12047" s="152">
        <f>M12047/1.1</f>
        <v/>
      </c>
      <c r="Q12047" s="88">
        <f>F12047&amp;E12047&amp;G12047&amp;L12047</f>
        <v/>
      </c>
    </row>
    <row r="12048" customFormat="1" s="94">
      <c r="B12048" s="128" t="n">
        <v>44177</v>
      </c>
      <c r="C12048" s="88">
        <f>TEXT(B12048,"aaa")</f>
        <v/>
      </c>
      <c r="E12048" s="88">
        <f>INDEX(매칭테이블!C:D,MATCH(RD!G12048,매칭테이블!D:D,0),1)</f>
        <v/>
      </c>
      <c r="F12048" s="94" t="inlineStr">
        <is>
          <t>카페24</t>
        </is>
      </c>
      <c r="G12048" s="94" t="inlineStr">
        <is>
          <t>5 제로 무기자차 선크림옵션=5제로 무기자차 선크림 1개-20% off</t>
        </is>
      </c>
      <c r="K12048" s="94" t="n">
        <v>2</v>
      </c>
      <c r="L12048" s="88" t="n">
        <v>201208</v>
      </c>
      <c r="M12048" s="88">
        <f>VLOOKUP($Q12048,매칭테이블!$F:$I,2,0)*K12048</f>
        <v/>
      </c>
      <c r="N12048" s="88">
        <f>M12048-M12048*VLOOKUP($Q12048,매칭테이블!$F:$I,3,0)</f>
        <v/>
      </c>
      <c r="O12048" s="88">
        <f>VLOOKUP($Q12048,매칭테이블!$F:$I,4,0)*K12048</f>
        <v/>
      </c>
      <c r="P12048" s="152">
        <f>M12048/1.1</f>
        <v/>
      </c>
      <c r="Q12048" s="88">
        <f>F12048&amp;E12048&amp;G12048&amp;L12048</f>
        <v/>
      </c>
    </row>
    <row r="12049" customFormat="1" s="94">
      <c r="B12049" s="128" t="n">
        <v>44177</v>
      </c>
      <c r="C12049" s="88">
        <f>TEXT(B12049,"aaa")</f>
        <v/>
      </c>
      <c r="E12049" s="88">
        <f>INDEX(매칭테이블!C:D,MATCH(RD!G12049,매칭테이블!D:D,0),1)</f>
        <v/>
      </c>
      <c r="F12049" s="94" t="inlineStr">
        <is>
          <t>카페24</t>
        </is>
      </c>
      <c r="G12049" s="94" t="inlineStr">
        <is>
          <t>[수분 보충 세트] 어성초 77 토너 + 어성초 70 로션옵션=어성초 77 토너 250ml + 어성초 70 로션 200ml -30%</t>
        </is>
      </c>
      <c r="K12049" s="94" t="n">
        <v>13</v>
      </c>
      <c r="L12049" s="88" t="n">
        <v>201208</v>
      </c>
      <c r="M12049" s="88">
        <f>VLOOKUP($Q12049,매칭테이블!$F:$I,2,0)*K12049</f>
        <v/>
      </c>
      <c r="N12049" s="88">
        <f>M12049-M12049*VLOOKUP($Q12049,매칭테이블!$F:$I,3,0)</f>
        <v/>
      </c>
      <c r="O12049" s="88">
        <f>VLOOKUP($Q12049,매칭테이블!$F:$I,4,0)*K12049</f>
        <v/>
      </c>
      <c r="P12049" s="152">
        <f>M12049/1.1</f>
        <v/>
      </c>
      <c r="Q12049" s="88">
        <f>F12049&amp;E12049&amp;G12049&amp;L12049</f>
        <v/>
      </c>
    </row>
    <row r="12050" customFormat="1" s="94">
      <c r="B12050" s="128" t="n">
        <v>44177</v>
      </c>
      <c r="C12050" s="88">
        <f>TEXT(B12050,"aaa")</f>
        <v/>
      </c>
      <c r="E12050" s="88">
        <f>INDEX(매칭테이블!C:D,MATCH(RD!G12050,매칭테이블!D:D,0),1)</f>
        <v/>
      </c>
      <c r="F12050" s="94" t="inlineStr">
        <is>
          <t>카페24</t>
        </is>
      </c>
      <c r="G12050" s="94" t="inlineStr">
        <is>
          <t>[어성초 진정 패키지 세트] 대용량 토너 + 앰플 + 수딩 크림 + 마스크팩 10장</t>
        </is>
      </c>
      <c r="K12050" s="94" t="n">
        <v>1</v>
      </c>
      <c r="L12050" s="88" t="n">
        <v>201208</v>
      </c>
      <c r="M12050" s="88">
        <f>VLOOKUP($Q12050,매칭테이블!$F:$I,2,0)*K12050</f>
        <v/>
      </c>
      <c r="N12050" s="88">
        <f>M12050-M12050*VLOOKUP($Q12050,매칭테이블!$F:$I,3,0)</f>
        <v/>
      </c>
      <c r="O12050" s="88">
        <f>VLOOKUP($Q12050,매칭테이블!$F:$I,4,0)*K12050</f>
        <v/>
      </c>
      <c r="P12050" s="152">
        <f>M12050/1.1</f>
        <v/>
      </c>
      <c r="Q12050" s="88">
        <f>F12050&amp;E12050&amp;G12050&amp;L12050</f>
        <v/>
      </c>
    </row>
    <row r="12051" customFormat="1" s="94">
      <c r="B12051" s="128" t="n">
        <v>44177</v>
      </c>
      <c r="C12051" s="88">
        <f>TEXT(B12051,"aaa")</f>
        <v/>
      </c>
      <c r="E12051" s="88">
        <f>INDEX(매칭테이블!C:D,MATCH(RD!G12051,매칭테이블!D:D,0),1)</f>
        <v/>
      </c>
      <c r="F12051" s="94" t="inlineStr">
        <is>
          <t>카페24</t>
        </is>
      </c>
      <c r="G12051" s="94" t="inlineStr">
        <is>
          <t>대용량 어성초 77 수딩 토너 500ml</t>
        </is>
      </c>
      <c r="K12051" s="94" t="n">
        <v>18</v>
      </c>
      <c r="L12051" s="88" t="n">
        <v>201208</v>
      </c>
      <c r="M12051" s="88">
        <f>VLOOKUP($Q12051,매칭테이블!$F:$I,2,0)*K12051</f>
        <v/>
      </c>
      <c r="N12051" s="88">
        <f>M12051-M12051*VLOOKUP($Q12051,매칭테이블!$F:$I,3,0)</f>
        <v/>
      </c>
      <c r="O12051" s="88">
        <f>VLOOKUP($Q12051,매칭테이블!$F:$I,4,0)*K12051</f>
        <v/>
      </c>
      <c r="P12051" s="152">
        <f>M12051/1.1</f>
        <v/>
      </c>
      <c r="Q12051" s="88">
        <f>F12051&amp;E12051&amp;G12051&amp;L12051</f>
        <v/>
      </c>
    </row>
    <row r="12052" customFormat="1" s="94">
      <c r="B12052" s="128" t="n">
        <v>44177</v>
      </c>
      <c r="C12052" s="88">
        <f>TEXT(B12052,"aaa")</f>
        <v/>
      </c>
      <c r="E12052" s="88">
        <f>INDEX(매칭테이블!C:D,MATCH(RD!G12052,매칭테이블!D:D,0),1)</f>
        <v/>
      </c>
      <c r="F12052" s="94" t="inlineStr">
        <is>
          <t>카페24</t>
        </is>
      </c>
      <c r="G12052" s="94" t="inlineStr">
        <is>
          <t>대용량 어성초 77 토너 500ml</t>
        </is>
      </c>
      <c r="K12052" s="94" t="n">
        <v>3</v>
      </c>
      <c r="L12052" s="88" t="n">
        <v>201208</v>
      </c>
      <c r="M12052" s="88">
        <f>VLOOKUP($Q12052,매칭테이블!$F:$I,2,0)*K12052</f>
        <v/>
      </c>
      <c r="N12052" s="88">
        <f>M12052-M12052*VLOOKUP($Q12052,매칭테이블!$F:$I,3,0)</f>
        <v/>
      </c>
      <c r="O12052" s="88">
        <f>VLOOKUP($Q12052,매칭테이블!$F:$I,4,0)*K12052</f>
        <v/>
      </c>
      <c r="P12052" s="152">
        <f>M12052/1.1</f>
        <v/>
      </c>
      <c r="Q12052" s="88">
        <f>F12052&amp;E12052&amp;G12052&amp;L12052</f>
        <v/>
      </c>
    </row>
    <row r="12053" customFormat="1" s="94">
      <c r="B12053" s="128" t="n">
        <v>44177</v>
      </c>
      <c r="C12053" s="88">
        <f>TEXT(B12053,"aaa")</f>
        <v/>
      </c>
      <c r="E12053" s="88">
        <f>INDEX(매칭테이블!C:D,MATCH(RD!G12053,매칭테이블!D:D,0),1)</f>
        <v/>
      </c>
      <c r="F12053" s="94" t="inlineStr">
        <is>
          <t>카페24</t>
        </is>
      </c>
      <c r="G12053" s="94" t="inlineStr">
        <is>
          <t>아누아 어성초 77 수딩 토너토너(필수)=어성초 77 토너 1개-20% off</t>
        </is>
      </c>
      <c r="K12053" s="94" t="n">
        <v>1</v>
      </c>
      <c r="L12053" s="88" t="n">
        <v>201208</v>
      </c>
      <c r="M12053" s="88">
        <f>VLOOKUP($Q12053,매칭테이블!$F:$I,2,0)*K12053</f>
        <v/>
      </c>
      <c r="N12053" s="88">
        <f>M12053-M12053*VLOOKUP($Q12053,매칭테이블!$F:$I,3,0)</f>
        <v/>
      </c>
      <c r="O12053" s="88">
        <f>VLOOKUP($Q12053,매칭테이블!$F:$I,4,0)*K12053</f>
        <v/>
      </c>
      <c r="P12053" s="152">
        <f>M12053/1.1</f>
        <v/>
      </c>
      <c r="Q12053" s="88">
        <f>F12053&amp;E12053&amp;G12053&amp;L12053</f>
        <v/>
      </c>
    </row>
    <row r="12054" customFormat="1" s="94">
      <c r="B12054" s="128" t="n">
        <v>44177</v>
      </c>
      <c r="C12054" s="88">
        <f>TEXT(B12054,"aaa")</f>
        <v/>
      </c>
      <c r="E12054" s="88">
        <f>INDEX(매칭테이블!C:D,MATCH(RD!G12054,매칭테이블!D:D,0),1)</f>
        <v/>
      </c>
      <c r="F12054" s="94" t="inlineStr">
        <is>
          <t>카페24</t>
        </is>
      </c>
      <c r="G12054" s="94" t="inlineStr">
        <is>
          <t>아누아 어성초 77 수딩 토너토너(필수)=어성초 77 토너 2개-30% off (무료배송)</t>
        </is>
      </c>
      <c r="K12054" s="94" t="n">
        <v>1</v>
      </c>
      <c r="L12054" s="88" t="n">
        <v>201208</v>
      </c>
      <c r="M12054" s="88">
        <f>VLOOKUP($Q12054,매칭테이블!$F:$I,2,0)*K12054</f>
        <v/>
      </c>
      <c r="N12054" s="88">
        <f>M12054-M12054*VLOOKUP($Q12054,매칭테이블!$F:$I,3,0)</f>
        <v/>
      </c>
      <c r="O12054" s="88">
        <f>VLOOKUP($Q12054,매칭테이블!$F:$I,4,0)*K12054</f>
        <v/>
      </c>
      <c r="P12054" s="152">
        <f>M12054/1.1</f>
        <v/>
      </c>
      <c r="Q12054" s="88">
        <f>F12054&amp;E12054&amp;G12054&amp;L12054</f>
        <v/>
      </c>
    </row>
    <row r="12055" customFormat="1" s="94">
      <c r="B12055" s="128" t="n">
        <v>44177</v>
      </c>
      <c r="C12055" s="88">
        <f>TEXT(B12055,"aaa")</f>
        <v/>
      </c>
      <c r="E12055" s="88">
        <f>INDEX(매칭테이블!C:D,MATCH(RD!G12055,매칭테이블!D:D,0),1)</f>
        <v/>
      </c>
      <c r="F12055" s="94" t="inlineStr">
        <is>
          <t>카페24</t>
        </is>
      </c>
      <c r="G12055" s="94" t="inlineStr">
        <is>
          <t>아누아 어성초 77 수딩 토너화장솜(선택)=촉촉 스킨팩 화장솜</t>
        </is>
      </c>
      <c r="K12055" s="94" t="n">
        <v>1</v>
      </c>
      <c r="L12055" s="88" t="n">
        <v>201208</v>
      </c>
      <c r="M12055" s="88">
        <f>VLOOKUP($Q12055,매칭테이블!$F:$I,2,0)*K12055</f>
        <v/>
      </c>
      <c r="N12055" s="88">
        <f>M12055-M12055*VLOOKUP($Q12055,매칭테이블!$F:$I,3,0)</f>
        <v/>
      </c>
      <c r="O12055" s="88">
        <f>VLOOKUP($Q12055,매칭테이블!$F:$I,4,0)*K12055</f>
        <v/>
      </c>
      <c r="P12055" s="152">
        <f>M12055/1.1</f>
        <v/>
      </c>
      <c r="Q12055" s="88">
        <f>F12055&amp;E12055&amp;G12055&amp;L12055</f>
        <v/>
      </c>
    </row>
    <row r="12056" customFormat="1" s="94">
      <c r="B12056" s="128" t="n">
        <v>44177</v>
      </c>
      <c r="C12056" s="88">
        <f>TEXT(B12056,"aaa")</f>
        <v/>
      </c>
      <c r="E12056" s="88">
        <f>INDEX(매칭테이블!C:D,MATCH(RD!G12056,매칭테이블!D:D,0),1)</f>
        <v/>
      </c>
      <c r="F12056" s="94" t="inlineStr">
        <is>
          <t>카페24</t>
        </is>
      </c>
      <c r="G12056" s="94" t="inlineStr">
        <is>
          <t>어성초 70 데일리 릴리프 로션로션=어성초 70 데일리 릴리프 로션 1개 -20% off</t>
        </is>
      </c>
      <c r="K12056" s="94" t="n">
        <v>4</v>
      </c>
      <c r="L12056" s="88" t="n">
        <v>201208</v>
      </c>
      <c r="M12056" s="88">
        <f>VLOOKUP($Q12056,매칭테이블!$F:$I,2,0)*K12056</f>
        <v/>
      </c>
      <c r="N12056" s="88">
        <f>M12056-M12056*VLOOKUP($Q12056,매칭테이블!$F:$I,3,0)</f>
        <v/>
      </c>
      <c r="O12056" s="88">
        <f>VLOOKUP($Q12056,매칭테이블!$F:$I,4,0)*K12056</f>
        <v/>
      </c>
      <c r="P12056" s="152">
        <f>M12056/1.1</f>
        <v/>
      </c>
      <c r="Q12056" s="88">
        <f>F12056&amp;E12056&amp;G12056&amp;L12056</f>
        <v/>
      </c>
    </row>
    <row r="12057" customFormat="1" s="94">
      <c r="B12057" s="128" t="n">
        <v>44177</v>
      </c>
      <c r="C12057" s="88">
        <f>TEXT(B12057,"aaa")</f>
        <v/>
      </c>
      <c r="E12057" s="88">
        <f>INDEX(매칭테이블!C:D,MATCH(RD!G12057,매칭테이블!D:D,0),1)</f>
        <v/>
      </c>
      <c r="F12057" s="94" t="inlineStr">
        <is>
          <t>카페24</t>
        </is>
      </c>
      <c r="G12057" s="94" t="inlineStr">
        <is>
          <t>어성초 70 머드 크림 마스크옵션=어성초 70 머드 크림 마스크-20% off</t>
        </is>
      </c>
      <c r="K12057" s="94" t="n">
        <v>2</v>
      </c>
      <c r="L12057" s="88" t="n">
        <v>201208</v>
      </c>
      <c r="M12057" s="88">
        <f>VLOOKUP($Q12057,매칭테이블!$F:$I,2,0)*K12057</f>
        <v/>
      </c>
      <c r="N12057" s="88">
        <f>M12057-M12057*VLOOKUP($Q12057,매칭테이블!$F:$I,3,0)</f>
        <v/>
      </c>
      <c r="O12057" s="88">
        <f>VLOOKUP($Q12057,매칭테이블!$F:$I,4,0)*K12057</f>
        <v/>
      </c>
      <c r="P12057" s="152">
        <f>M12057/1.1</f>
        <v/>
      </c>
      <c r="Q12057" s="88">
        <f>F12057&amp;E12057&amp;G12057&amp;L12057</f>
        <v/>
      </c>
    </row>
    <row r="12058" customFormat="1" s="94">
      <c r="B12058" s="128" t="n">
        <v>44177</v>
      </c>
      <c r="C12058" s="88">
        <f>TEXT(B12058,"aaa")</f>
        <v/>
      </c>
      <c r="E12058" s="88">
        <f>INDEX(매칭테이블!C:D,MATCH(RD!G12058,매칭테이블!D:D,0),1)</f>
        <v/>
      </c>
      <c r="F12058" s="94" t="inlineStr">
        <is>
          <t>카페24</t>
        </is>
      </c>
      <c r="G12058" s="94" t="inlineStr">
        <is>
          <t>어성초 70 인텐스 카밍 크림크림=어성초 70 인텐스 카밍 크림 1개 (-20%)</t>
        </is>
      </c>
      <c r="K12058" s="94" t="n">
        <v>5</v>
      </c>
      <c r="L12058" s="88" t="n">
        <v>201208</v>
      </c>
      <c r="M12058" s="88">
        <f>VLOOKUP($Q12058,매칭테이블!$F:$I,2,0)*K12058</f>
        <v/>
      </c>
      <c r="N12058" s="88">
        <f>M12058-M12058*VLOOKUP($Q12058,매칭테이블!$F:$I,3,0)</f>
        <v/>
      </c>
      <c r="O12058" s="88">
        <f>VLOOKUP($Q12058,매칭테이블!$F:$I,4,0)*K12058</f>
        <v/>
      </c>
      <c r="P12058" s="152">
        <f>M12058/1.1</f>
        <v/>
      </c>
      <c r="Q12058" s="88">
        <f>F12058&amp;E12058&amp;G12058&amp;L12058</f>
        <v/>
      </c>
    </row>
    <row r="12059" customFormat="1" s="94">
      <c r="B12059" s="128" t="n">
        <v>44177</v>
      </c>
      <c r="C12059" s="88">
        <f>TEXT(B12059,"aaa")</f>
        <v/>
      </c>
      <c r="E12059" s="88">
        <f>INDEX(매칭테이블!C:D,MATCH(RD!G12059,매칭테이블!D:D,0),1)</f>
        <v/>
      </c>
      <c r="F12059" s="94" t="inlineStr">
        <is>
          <t>카페24</t>
        </is>
      </c>
      <c r="G12059" s="94" t="inlineStr">
        <is>
          <t>어성초 70 인텐스 카밍 크림크림=어성초 토너 250ml + 카밍 크림 50ml (-30%)</t>
        </is>
      </c>
      <c r="K12059" s="94" t="n">
        <v>2</v>
      </c>
      <c r="L12059" s="88" t="n">
        <v>201208</v>
      </c>
      <c r="M12059" s="88">
        <f>VLOOKUP($Q12059,매칭테이블!$F:$I,2,0)*K12059</f>
        <v/>
      </c>
      <c r="N12059" s="88">
        <f>M12059-M12059*VLOOKUP($Q12059,매칭테이블!$F:$I,3,0)</f>
        <v/>
      </c>
      <c r="O12059" s="88">
        <f>VLOOKUP($Q12059,매칭테이블!$F:$I,4,0)*K12059</f>
        <v/>
      </c>
      <c r="P12059" s="152">
        <f>M12059/1.1</f>
        <v/>
      </c>
      <c r="Q12059" s="88">
        <f>F12059&amp;E12059&amp;G12059&amp;L12059</f>
        <v/>
      </c>
    </row>
    <row r="12060" customFormat="1" s="94">
      <c r="B12060" s="128" t="n">
        <v>44177</v>
      </c>
      <c r="C12060" s="88">
        <f>TEXT(B12060,"aaa")</f>
        <v/>
      </c>
      <c r="E12060" s="88">
        <f>INDEX(매칭테이블!C:D,MATCH(RD!G12060,매칭테이블!D:D,0),1)</f>
        <v/>
      </c>
      <c r="F12060" s="94" t="inlineStr">
        <is>
          <t>카페24</t>
        </is>
      </c>
      <c r="G12060" s="94" t="inlineStr">
        <is>
          <t>어성초 77 수딩 토너토너(필수)=어성초 77 토너 1개-20% off</t>
        </is>
      </c>
      <c r="K12060" s="94" t="n">
        <v>31</v>
      </c>
      <c r="L12060" s="88" t="n">
        <v>201208</v>
      </c>
      <c r="M12060" s="88">
        <f>VLOOKUP($Q12060,매칭테이블!$F:$I,2,0)*K12060</f>
        <v/>
      </c>
      <c r="N12060" s="88">
        <f>M12060-M12060*VLOOKUP($Q12060,매칭테이블!$F:$I,3,0)</f>
        <v/>
      </c>
      <c r="O12060" s="88">
        <f>VLOOKUP($Q12060,매칭테이블!$F:$I,4,0)*K12060</f>
        <v/>
      </c>
      <c r="P12060" s="152">
        <f>M12060/1.1</f>
        <v/>
      </c>
      <c r="Q12060" s="88">
        <f>F12060&amp;E12060&amp;G12060&amp;L12060</f>
        <v/>
      </c>
    </row>
    <row r="12061" customFormat="1" s="94">
      <c r="B12061" s="128" t="n">
        <v>44177</v>
      </c>
      <c r="C12061" s="88">
        <f>TEXT(B12061,"aaa")</f>
        <v/>
      </c>
      <c r="E12061" s="88">
        <f>INDEX(매칭테이블!C:D,MATCH(RD!G12061,매칭테이블!D:D,0),1)</f>
        <v/>
      </c>
      <c r="F12061" s="94" t="inlineStr">
        <is>
          <t>카페24</t>
        </is>
      </c>
      <c r="G12061" s="94" t="inlineStr">
        <is>
          <t>어성초 77 수딩 토너토너(필수)=어성초 77 토너 2개-30% off (무료배송)</t>
        </is>
      </c>
      <c r="K12061" s="94" t="n">
        <v>17</v>
      </c>
      <c r="L12061" s="88" t="n">
        <v>201208</v>
      </c>
      <c r="M12061" s="88">
        <f>VLOOKUP($Q12061,매칭테이블!$F:$I,2,0)*K12061</f>
        <v/>
      </c>
      <c r="N12061" s="88">
        <f>M12061-M12061*VLOOKUP($Q12061,매칭테이블!$F:$I,3,0)</f>
        <v/>
      </c>
      <c r="O12061" s="88">
        <f>VLOOKUP($Q12061,매칭테이블!$F:$I,4,0)*K12061</f>
        <v/>
      </c>
      <c r="P12061" s="152">
        <f>M12061/1.1</f>
        <v/>
      </c>
      <c r="Q12061" s="88">
        <f>F12061&amp;E12061&amp;G12061&amp;L12061</f>
        <v/>
      </c>
    </row>
    <row r="12062" customFormat="1" s="94">
      <c r="B12062" s="128" t="n">
        <v>44177</v>
      </c>
      <c r="C12062" s="88">
        <f>TEXT(B12062,"aaa")</f>
        <v/>
      </c>
      <c r="E12062" s="88">
        <f>INDEX(매칭테이블!C:D,MATCH(RD!G12062,매칭테이블!D:D,0),1)</f>
        <v/>
      </c>
      <c r="F12062" s="94" t="inlineStr">
        <is>
          <t>카페24</t>
        </is>
      </c>
      <c r="G12062" s="94" t="inlineStr">
        <is>
          <t>어성초 77 수딩 토너토너(필수)=어성초77토너1개 + 어성초77패드1개 -30% off (무료배송)</t>
        </is>
      </c>
      <c r="K12062" s="94" t="n">
        <v>10</v>
      </c>
      <c r="L12062" s="88" t="n">
        <v>201208</v>
      </c>
      <c r="M12062" s="88">
        <f>VLOOKUP($Q12062,매칭테이블!$F:$I,2,0)*K12062</f>
        <v/>
      </c>
      <c r="N12062" s="88">
        <f>M12062-M12062*VLOOKUP($Q12062,매칭테이블!$F:$I,3,0)</f>
        <v/>
      </c>
      <c r="O12062" s="88">
        <f>VLOOKUP($Q12062,매칭테이블!$F:$I,4,0)*K12062</f>
        <v/>
      </c>
      <c r="P12062" s="152">
        <f>M12062/1.1</f>
        <v/>
      </c>
      <c r="Q12062" s="88">
        <f>F12062&amp;E12062&amp;G12062&amp;L12062</f>
        <v/>
      </c>
    </row>
    <row r="12063" customFormat="1" s="94">
      <c r="B12063" s="128" t="n">
        <v>44177</v>
      </c>
      <c r="C12063" s="88">
        <f>TEXT(B12063,"aaa")</f>
        <v/>
      </c>
      <c r="E12063" s="88">
        <f>INDEX(매칭테이블!C:D,MATCH(RD!G12063,매칭테이블!D:D,0),1)</f>
        <v/>
      </c>
      <c r="F12063" s="94" t="inlineStr">
        <is>
          <t>카페24</t>
        </is>
      </c>
      <c r="G12063" s="94" t="inlineStr">
        <is>
          <t>어성초 77 수딩 토너화장솜(선택)=촉촉 스킨팩 화장솜</t>
        </is>
      </c>
      <c r="K12063" s="94" t="n">
        <v>16</v>
      </c>
      <c r="L12063" s="88" t="n">
        <v>201208</v>
      </c>
      <c r="M12063" s="88">
        <f>VLOOKUP($Q12063,매칭테이블!$F:$I,2,0)*K12063</f>
        <v/>
      </c>
      <c r="N12063" s="88">
        <f>M12063-M12063*VLOOKUP($Q12063,매칭테이블!$F:$I,3,0)</f>
        <v/>
      </c>
      <c r="O12063" s="88">
        <f>VLOOKUP($Q12063,매칭테이블!$F:$I,4,0)*K12063</f>
        <v/>
      </c>
      <c r="P12063" s="152">
        <f>M12063/1.1</f>
        <v/>
      </c>
      <c r="Q12063" s="88">
        <f>F12063&amp;E12063&amp;G12063&amp;L12063</f>
        <v/>
      </c>
    </row>
    <row r="12064" customFormat="1" s="94">
      <c r="B12064" s="128" t="n">
        <v>44177</v>
      </c>
      <c r="C12064" s="88">
        <f>TEXT(B12064,"aaa")</f>
        <v/>
      </c>
      <c r="E12064" s="88">
        <f>INDEX(매칭테이블!C:D,MATCH(RD!G12064,매칭테이블!D:D,0),1)</f>
        <v/>
      </c>
      <c r="F12064" s="94" t="inlineStr">
        <is>
          <t>카페24</t>
        </is>
      </c>
      <c r="G12064" s="94" t="inlineStr">
        <is>
          <t>어성초 77 수딩 토너토너(필수)=어성초 77 토너 1개-20% off</t>
        </is>
      </c>
      <c r="K12064" s="94" t="n">
        <v>1</v>
      </c>
      <c r="L12064" s="88" t="n">
        <v>201208</v>
      </c>
      <c r="M12064" s="88">
        <f>VLOOKUP($Q12064,매칭테이블!$F:$I,2,0)*K12064</f>
        <v/>
      </c>
      <c r="N12064" s="88">
        <f>M12064-M12064*VLOOKUP($Q12064,매칭테이블!$F:$I,3,0)</f>
        <v/>
      </c>
      <c r="O12064" s="88">
        <f>VLOOKUP($Q12064,매칭테이블!$F:$I,4,0)*K12064</f>
        <v/>
      </c>
      <c r="P12064" s="152">
        <f>M12064/1.1</f>
        <v/>
      </c>
      <c r="Q12064" s="88">
        <f>F12064&amp;E12064&amp;G12064&amp;L12064</f>
        <v/>
      </c>
    </row>
    <row r="12065" customFormat="1" s="94">
      <c r="B12065" s="128" t="n">
        <v>44177</v>
      </c>
      <c r="C12065" s="88">
        <f>TEXT(B12065,"aaa")</f>
        <v/>
      </c>
      <c r="E12065" s="88">
        <f>INDEX(매칭테이블!C:D,MATCH(RD!G12065,매칭테이블!D:D,0),1)</f>
        <v/>
      </c>
      <c r="F12065" s="94" t="inlineStr">
        <is>
          <t>카페24</t>
        </is>
      </c>
      <c r="G12065" s="94" t="inlineStr">
        <is>
          <t>어성초 77 진정 마스크옵션=어성초 77 진정 마스크팩 1장</t>
        </is>
      </c>
      <c r="K12065" s="94" t="n">
        <v>1</v>
      </c>
      <c r="L12065" s="88" t="n">
        <v>201208</v>
      </c>
      <c r="M12065" s="88">
        <f>VLOOKUP($Q12065,매칭테이블!$F:$I,2,0)*K12065</f>
        <v/>
      </c>
      <c r="N12065" s="88">
        <f>M12065-M12065*VLOOKUP($Q12065,매칭테이블!$F:$I,3,0)</f>
        <v/>
      </c>
      <c r="O12065" s="88">
        <f>VLOOKUP($Q12065,매칭테이블!$F:$I,4,0)*K12065</f>
        <v/>
      </c>
      <c r="P12065" s="152">
        <f>M12065/1.1</f>
        <v/>
      </c>
      <c r="Q12065" s="88">
        <f>F12065&amp;E12065&amp;G12065&amp;L12065</f>
        <v/>
      </c>
    </row>
    <row r="12066" customFormat="1" s="94">
      <c r="B12066" s="128" t="n">
        <v>44177</v>
      </c>
      <c r="C12066" s="88">
        <f>TEXT(B12066,"aaa")</f>
        <v/>
      </c>
      <c r="E12066" s="88">
        <f>INDEX(매칭테이블!C:D,MATCH(RD!G12066,매칭테이블!D:D,0),1)</f>
        <v/>
      </c>
      <c r="F12066" s="94" t="inlineStr">
        <is>
          <t>카페24</t>
        </is>
      </c>
      <c r="G12066" s="94" t="inlineStr">
        <is>
          <t>어성초 77 클리어 패드옵션=어성초 77 클리어 패드 1개-20% off</t>
        </is>
      </c>
      <c r="K12066" s="94" t="n">
        <v>17</v>
      </c>
      <c r="L12066" s="88" t="n">
        <v>201208</v>
      </c>
      <c r="M12066" s="88">
        <f>VLOOKUP($Q12066,매칭테이블!$F:$I,2,0)*K12066</f>
        <v/>
      </c>
      <c r="N12066" s="88">
        <f>M12066-M12066*VLOOKUP($Q12066,매칭테이블!$F:$I,3,0)</f>
        <v/>
      </c>
      <c r="O12066" s="88">
        <f>VLOOKUP($Q12066,매칭테이블!$F:$I,4,0)*K12066</f>
        <v/>
      </c>
      <c r="P12066" s="152">
        <f>M12066/1.1</f>
        <v/>
      </c>
      <c r="Q12066" s="88">
        <f>F12066&amp;E12066&amp;G12066&amp;L12066</f>
        <v/>
      </c>
    </row>
    <row r="12067" customFormat="1" s="94">
      <c r="B12067" s="128" t="n">
        <v>44177</v>
      </c>
      <c r="C12067" s="88">
        <f>TEXT(B12067,"aaa")</f>
        <v/>
      </c>
      <c r="E12067" s="88">
        <f>INDEX(매칭테이블!C:D,MATCH(RD!G12067,매칭테이블!D:D,0),1)</f>
        <v/>
      </c>
      <c r="F12067" s="94" t="inlineStr">
        <is>
          <t>카페24</t>
        </is>
      </c>
      <c r="G12067" s="94" t="inlineStr">
        <is>
          <t>어성초 77 클리어 패드옵션=어성초 77 클리어 패드 2개-30% off (무료배송)</t>
        </is>
      </c>
      <c r="K12067" s="94" t="n">
        <v>19</v>
      </c>
      <c r="L12067" s="88" t="n">
        <v>201208</v>
      </c>
      <c r="M12067" s="88">
        <f>VLOOKUP($Q12067,매칭테이블!$F:$I,2,0)*K12067</f>
        <v/>
      </c>
      <c r="N12067" s="88">
        <f>M12067-M12067*VLOOKUP($Q12067,매칭테이블!$F:$I,3,0)</f>
        <v/>
      </c>
      <c r="O12067" s="88">
        <f>VLOOKUP($Q12067,매칭테이블!$F:$I,4,0)*K12067</f>
        <v/>
      </c>
      <c r="P12067" s="152">
        <f>M12067/1.1</f>
        <v/>
      </c>
      <c r="Q12067" s="88">
        <f>F12067&amp;E12067&amp;G12067&amp;L12067</f>
        <v/>
      </c>
    </row>
    <row r="12068" customFormat="1" s="94">
      <c r="B12068" s="128" t="n">
        <v>44177</v>
      </c>
      <c r="C12068" s="88">
        <f>TEXT(B12068,"aaa")</f>
        <v/>
      </c>
      <c r="E12068" s="88">
        <f>INDEX(매칭테이블!C:D,MATCH(RD!G12068,매칭테이블!D:D,0),1)</f>
        <v/>
      </c>
      <c r="F12068" s="94" t="inlineStr">
        <is>
          <t>카페24</t>
        </is>
      </c>
      <c r="G12068" s="94" t="inlineStr">
        <is>
          <t>어성초 77 클리어 패드옵션=어성초77토너1개+어성초77패드1개-30% off (무료배송)</t>
        </is>
      </c>
      <c r="K12068" s="94" t="n">
        <v>16</v>
      </c>
      <c r="L12068" s="88" t="n">
        <v>201208</v>
      </c>
      <c r="M12068" s="88">
        <f>VLOOKUP($Q12068,매칭테이블!$F:$I,2,0)*K12068</f>
        <v/>
      </c>
      <c r="N12068" s="88">
        <f>M12068-M12068*VLOOKUP($Q12068,매칭테이블!$F:$I,3,0)</f>
        <v/>
      </c>
      <c r="O12068" s="88">
        <f>VLOOKUP($Q12068,매칭테이블!$F:$I,4,0)*K12068</f>
        <v/>
      </c>
      <c r="P12068" s="152">
        <f>M12068/1.1</f>
        <v/>
      </c>
      <c r="Q12068" s="88">
        <f>F12068&amp;E12068&amp;G12068&amp;L12068</f>
        <v/>
      </c>
    </row>
    <row r="12069" customFormat="1" s="94">
      <c r="B12069" s="128" t="n">
        <v>44177</v>
      </c>
      <c r="C12069" s="88">
        <f>TEXT(B12069,"aaa")</f>
        <v/>
      </c>
      <c r="E12069" s="88">
        <f>INDEX(매칭테이블!C:D,MATCH(RD!G12069,매칭테이블!D:D,0),1)</f>
        <v/>
      </c>
      <c r="F12069" s="94" t="inlineStr">
        <is>
          <t>카페24</t>
        </is>
      </c>
      <c r="G12069" s="94" t="inlineStr">
        <is>
          <t>어성초 77 클리어 패드옵션=어성초 77 클리어 패드 1개-20% off</t>
        </is>
      </c>
      <c r="K12069" s="94" t="n">
        <v>2</v>
      </c>
      <c r="L12069" s="88" t="n">
        <v>201208</v>
      </c>
      <c r="M12069" s="88">
        <f>VLOOKUP($Q12069,매칭테이블!$F:$I,2,0)*K12069</f>
        <v/>
      </c>
      <c r="N12069" s="88">
        <f>M12069-M12069*VLOOKUP($Q12069,매칭테이블!$F:$I,3,0)</f>
        <v/>
      </c>
      <c r="O12069" s="88">
        <f>VLOOKUP($Q12069,매칭테이블!$F:$I,4,0)*K12069</f>
        <v/>
      </c>
      <c r="P12069" s="152">
        <f>M12069/1.1</f>
        <v/>
      </c>
      <c r="Q12069" s="88">
        <f>F12069&amp;E12069&amp;G12069&amp;L12069</f>
        <v/>
      </c>
    </row>
    <row r="12070" customFormat="1" s="94">
      <c r="B12070" s="128" t="n">
        <v>44177</v>
      </c>
      <c r="C12070" s="88">
        <f>TEXT(B12070,"aaa")</f>
        <v/>
      </c>
      <c r="E12070" s="88">
        <f>INDEX(매칭테이블!C:D,MATCH(RD!G12070,매칭테이블!D:D,0),1)</f>
        <v/>
      </c>
      <c r="F12070" s="94" t="inlineStr">
        <is>
          <t>카페24</t>
        </is>
      </c>
      <c r="G12070" s="94" t="inlineStr">
        <is>
          <t>어성초 77 클리어 패드옵션=어성초 77 클리어 패드 2개-30% off (무료배송)</t>
        </is>
      </c>
      <c r="K12070" s="94" t="n">
        <v>5</v>
      </c>
      <c r="L12070" s="88" t="n">
        <v>201208</v>
      </c>
      <c r="M12070" s="88">
        <f>VLOOKUP($Q12070,매칭테이블!$F:$I,2,0)*K12070</f>
        <v/>
      </c>
      <c r="N12070" s="88">
        <f>M12070-M12070*VLOOKUP($Q12070,매칭테이블!$F:$I,3,0)</f>
        <v/>
      </c>
      <c r="O12070" s="88">
        <f>VLOOKUP($Q12070,매칭테이블!$F:$I,4,0)*K12070</f>
        <v/>
      </c>
      <c r="P12070" s="152">
        <f>M12070/1.1</f>
        <v/>
      </c>
      <c r="Q12070" s="88">
        <f>F12070&amp;E12070&amp;G12070&amp;L12070</f>
        <v/>
      </c>
    </row>
    <row r="12071" customFormat="1" s="94">
      <c r="B12071" s="128" t="n">
        <v>44177</v>
      </c>
      <c r="C12071" s="88">
        <f>TEXT(B12071,"aaa")</f>
        <v/>
      </c>
      <c r="E12071" s="88">
        <f>INDEX(매칭테이블!C:D,MATCH(RD!G12071,매칭테이블!D:D,0),1)</f>
        <v/>
      </c>
      <c r="F12071" s="94" t="inlineStr">
        <is>
          <t>카페24</t>
        </is>
      </c>
      <c r="G12071" s="94" t="inlineStr">
        <is>
          <t>어성초 77 클리어 패드옵션=어성초77토너1개+어성초77패드1개-30% off (무료배송)</t>
        </is>
      </c>
      <c r="K12071" s="94" t="n">
        <v>3</v>
      </c>
      <c r="L12071" s="88" t="n">
        <v>201208</v>
      </c>
      <c r="M12071" s="88">
        <f>VLOOKUP($Q12071,매칭테이블!$F:$I,2,0)*K12071</f>
        <v/>
      </c>
      <c r="N12071" s="88">
        <f>M12071-M12071*VLOOKUP($Q12071,매칭테이블!$F:$I,3,0)</f>
        <v/>
      </c>
      <c r="O12071" s="88">
        <f>VLOOKUP($Q12071,매칭테이블!$F:$I,4,0)*K12071</f>
        <v/>
      </c>
      <c r="P12071" s="152">
        <f>M12071/1.1</f>
        <v/>
      </c>
      <c r="Q12071" s="88">
        <f>F12071&amp;E12071&amp;G12071&amp;L12071</f>
        <v/>
      </c>
    </row>
    <row r="12072" customFormat="1" s="94">
      <c r="B12072" s="128" t="n">
        <v>44177</v>
      </c>
      <c r="C12072" s="88">
        <f>TEXT(B12072,"aaa")</f>
        <v/>
      </c>
      <c r="E12072" s="88">
        <f>INDEX(매칭테이블!C:D,MATCH(RD!G12072,매칭테이블!D:D,0),1)</f>
        <v/>
      </c>
      <c r="F12072" s="94" t="inlineStr">
        <is>
          <t>카페24</t>
        </is>
      </c>
      <c r="G12072" s="94" t="inlineStr">
        <is>
          <t>어성초 77 토너</t>
        </is>
      </c>
      <c r="K12072" s="94" t="n">
        <v>1</v>
      </c>
      <c r="L12072" s="88" t="n">
        <v>201208</v>
      </c>
      <c r="M12072" s="88">
        <f>VLOOKUP($Q12072,매칭테이블!$F:$I,2,0)*K12072</f>
        <v/>
      </c>
      <c r="N12072" s="88">
        <f>M12072-M12072*VLOOKUP($Q12072,매칭테이블!$F:$I,3,0)</f>
        <v/>
      </c>
      <c r="O12072" s="88">
        <f>VLOOKUP($Q12072,매칭테이블!$F:$I,4,0)*K12072</f>
        <v/>
      </c>
      <c r="P12072" s="152">
        <f>M12072/1.1</f>
        <v/>
      </c>
      <c r="Q12072" s="88">
        <f>F12072&amp;E12072&amp;G12072&amp;L12072</f>
        <v/>
      </c>
    </row>
    <row r="12073" customFormat="1" s="94">
      <c r="B12073" s="128" t="n">
        <v>44177</v>
      </c>
      <c r="C12073" s="88">
        <f>TEXT(B12073,"aaa")</f>
        <v/>
      </c>
      <c r="E12073" s="88">
        <f>INDEX(매칭테이블!C:D,MATCH(RD!G12073,매칭테이블!D:D,0),1)</f>
        <v/>
      </c>
      <c r="F12073" s="94" t="inlineStr">
        <is>
          <t>카페24</t>
        </is>
      </c>
      <c r="G12073" s="94" t="inlineStr">
        <is>
          <t>어성초 78 수딩 크림</t>
        </is>
      </c>
      <c r="K12073" s="94" t="n">
        <v>4</v>
      </c>
      <c r="L12073" s="88" t="n">
        <v>201208</v>
      </c>
      <c r="M12073" s="88">
        <f>VLOOKUP($Q12073,매칭테이블!$F:$I,2,0)*K12073</f>
        <v/>
      </c>
      <c r="N12073" s="88">
        <f>M12073-M12073*VLOOKUP($Q12073,매칭테이블!$F:$I,3,0)</f>
        <v/>
      </c>
      <c r="O12073" s="88">
        <f>VLOOKUP($Q12073,매칭테이블!$F:$I,4,0)*K12073</f>
        <v/>
      </c>
      <c r="P12073" s="152">
        <f>M12073/1.1</f>
        <v/>
      </c>
      <c r="Q12073" s="88">
        <f>F12073&amp;E12073&amp;G12073&amp;L12073</f>
        <v/>
      </c>
    </row>
    <row r="12074" customFormat="1" s="94">
      <c r="B12074" s="128" t="n">
        <v>44177</v>
      </c>
      <c r="C12074" s="88">
        <f>TEXT(B12074,"aaa")</f>
        <v/>
      </c>
      <c r="E12074" s="88">
        <f>INDEX(매칭테이블!C:D,MATCH(RD!G12074,매칭테이블!D:D,0),1)</f>
        <v/>
      </c>
      <c r="F12074" s="94" t="inlineStr">
        <is>
          <t>카페24</t>
        </is>
      </c>
      <c r="G12074" s="94" t="inlineStr">
        <is>
          <t>어성초 78 수딩 크림</t>
        </is>
      </c>
      <c r="K12074" s="94" t="n">
        <v>4</v>
      </c>
      <c r="L12074" s="88" t="n">
        <v>201208</v>
      </c>
      <c r="M12074" s="88">
        <f>VLOOKUP($Q12074,매칭테이블!$F:$I,2,0)*K12074</f>
        <v/>
      </c>
      <c r="N12074" s="88">
        <f>M12074-M12074*VLOOKUP($Q12074,매칭테이블!$F:$I,3,0)</f>
        <v/>
      </c>
      <c r="O12074" s="88">
        <f>VLOOKUP($Q12074,매칭테이블!$F:$I,4,0)*K12074</f>
        <v/>
      </c>
      <c r="P12074" s="152">
        <f>M12074/1.1</f>
        <v/>
      </c>
      <c r="Q12074" s="88">
        <f>F12074&amp;E12074&amp;G12074&amp;L12074</f>
        <v/>
      </c>
    </row>
    <row r="12075" customFormat="1" s="94">
      <c r="B12075" s="128" t="n">
        <v>44177</v>
      </c>
      <c r="C12075" s="88">
        <f>TEXT(B12075,"aaa")</f>
        <v/>
      </c>
      <c r="E12075" s="88">
        <f>INDEX(매칭테이블!C:D,MATCH(RD!G12075,매칭테이블!D:D,0),1)</f>
        <v/>
      </c>
      <c r="F12075" s="94" t="inlineStr">
        <is>
          <t>카페24</t>
        </is>
      </c>
      <c r="G12075" s="94" t="inlineStr">
        <is>
          <t>어성초 80 수분 진정 앰플앰플=어성초 80 앰플 1개-15%off</t>
        </is>
      </c>
      <c r="K12075" s="94" t="n">
        <v>10</v>
      </c>
      <c r="L12075" s="88" t="n">
        <v>201208</v>
      </c>
      <c r="M12075" s="88">
        <f>VLOOKUP($Q12075,매칭테이블!$F:$I,2,0)*K12075</f>
        <v/>
      </c>
      <c r="N12075" s="88">
        <f>M12075-M12075*VLOOKUP($Q12075,매칭테이블!$F:$I,3,0)</f>
        <v/>
      </c>
      <c r="O12075" s="88">
        <f>VLOOKUP($Q12075,매칭테이블!$F:$I,4,0)*K12075</f>
        <v/>
      </c>
      <c r="P12075" s="152">
        <f>M12075/1.1</f>
        <v/>
      </c>
      <c r="Q12075" s="88">
        <f>F12075&amp;E12075&amp;G12075&amp;L12075</f>
        <v/>
      </c>
    </row>
    <row r="12076" customFormat="1" s="94">
      <c r="B12076" s="128" t="n">
        <v>44177</v>
      </c>
      <c r="C12076" s="88">
        <f>TEXT(B12076,"aaa")</f>
        <v/>
      </c>
      <c r="E12076" s="88">
        <f>INDEX(매칭테이블!C:D,MATCH(RD!G12076,매칭테이블!D:D,0),1)</f>
        <v/>
      </c>
      <c r="F12076" s="94" t="inlineStr">
        <is>
          <t>카페24</t>
        </is>
      </c>
      <c r="G12076" s="94" t="inlineStr">
        <is>
          <t>어성초 80 수분 진정 앰플앰플=어성초 80 앰플 2개-27%off (무료배송)</t>
        </is>
      </c>
      <c r="K12076" s="94" t="n">
        <v>5</v>
      </c>
      <c r="L12076" s="88" t="n">
        <v>201208</v>
      </c>
      <c r="M12076" s="88">
        <f>VLOOKUP($Q12076,매칭테이블!$F:$I,2,0)*K12076</f>
        <v/>
      </c>
      <c r="N12076" s="88">
        <f>M12076-M12076*VLOOKUP($Q12076,매칭테이블!$F:$I,3,0)</f>
        <v/>
      </c>
      <c r="O12076" s="88">
        <f>VLOOKUP($Q12076,매칭테이블!$F:$I,4,0)*K12076</f>
        <v/>
      </c>
      <c r="P12076" s="152">
        <f>M12076/1.1</f>
        <v/>
      </c>
      <c r="Q12076" s="88">
        <f>F12076&amp;E12076&amp;G12076&amp;L12076</f>
        <v/>
      </c>
    </row>
    <row r="12077" customFormat="1" s="94">
      <c r="B12077" s="128" t="n">
        <v>44177</v>
      </c>
      <c r="C12077" s="88">
        <f>TEXT(B12077,"aaa")</f>
        <v/>
      </c>
      <c r="E12077" s="88">
        <f>INDEX(매칭테이블!C:D,MATCH(RD!G12077,매칭테이블!D:D,0),1)</f>
        <v/>
      </c>
      <c r="F12077" s="94" t="inlineStr">
        <is>
          <t>카페24</t>
        </is>
      </c>
      <c r="G12077" s="94" t="inlineStr">
        <is>
          <t>어성초 80 수분 진정 앰플</t>
        </is>
      </c>
      <c r="K12077" s="94" t="n">
        <v>3</v>
      </c>
      <c r="L12077" s="88" t="n">
        <v>201208</v>
      </c>
      <c r="M12077" s="88">
        <f>VLOOKUP($Q12077,매칭테이블!$F:$I,2,0)*K12077</f>
        <v/>
      </c>
      <c r="N12077" s="88">
        <f>M12077-M12077*VLOOKUP($Q12077,매칭테이블!$F:$I,3,0)</f>
        <v/>
      </c>
      <c r="O12077" s="88">
        <f>VLOOKUP($Q12077,매칭테이블!$F:$I,4,0)*K12077</f>
        <v/>
      </c>
      <c r="P12077" s="152">
        <f>M12077/1.1</f>
        <v/>
      </c>
      <c r="Q12077" s="88">
        <f>F12077&amp;E12077&amp;G12077&amp;L12077</f>
        <v/>
      </c>
    </row>
    <row r="12078" customFormat="1" s="94">
      <c r="B12078" s="128" t="n">
        <v>44177</v>
      </c>
      <c r="C12078" s="88">
        <f>TEXT(B12078,"aaa")</f>
        <v/>
      </c>
      <c r="E12078" s="88">
        <f>INDEX(매칭테이블!C:D,MATCH(RD!G12078,매칭테이블!D:D,0),1)</f>
        <v/>
      </c>
      <c r="F12078" s="94" t="inlineStr">
        <is>
          <t>카페24</t>
        </is>
      </c>
      <c r="G12078" s="94" t="inlineStr">
        <is>
          <t>어성초 아크네 바디워시옵션=어성초 아크네 바디워시 2개 -35% off (무료배송)</t>
        </is>
      </c>
      <c r="K12078" s="94" t="n">
        <v>1</v>
      </c>
      <c r="L12078" s="88" t="n">
        <v>201208</v>
      </c>
      <c r="M12078" s="88">
        <f>VLOOKUP($Q12078,매칭테이블!$F:$I,2,0)*K12078</f>
        <v/>
      </c>
      <c r="N12078" s="88">
        <f>M12078-M12078*VLOOKUP($Q12078,매칭테이블!$F:$I,3,0)</f>
        <v/>
      </c>
      <c r="O12078" s="88">
        <f>VLOOKUP($Q12078,매칭테이블!$F:$I,4,0)*K12078</f>
        <v/>
      </c>
      <c r="P12078" s="152">
        <f>M12078/1.1</f>
        <v/>
      </c>
      <c r="Q12078" s="88">
        <f>F12078&amp;E12078&amp;G12078&amp;L12078</f>
        <v/>
      </c>
    </row>
    <row r="12079" customFormat="1" s="94">
      <c r="B12079" s="128" t="n">
        <v>44177</v>
      </c>
      <c r="C12079" s="88">
        <f>TEXT(B12079,"aaa")</f>
        <v/>
      </c>
      <c r="E12079" s="88">
        <f>INDEX(매칭테이블!C:D,MATCH(RD!G12079,매칭테이블!D:D,0),1)</f>
        <v/>
      </c>
      <c r="F12079" s="94" t="inlineStr">
        <is>
          <t>카페24</t>
        </is>
      </c>
      <c r="G12079" s="94" t="inlineStr">
        <is>
          <t>어성초 약산성 클렌징폼클렌징폼=어성초 약산성 클렌징폼 1개 -19%off</t>
        </is>
      </c>
      <c r="K12079" s="94" t="n">
        <v>10</v>
      </c>
      <c r="L12079" s="88" t="n">
        <v>201208</v>
      </c>
      <c r="M12079" s="88">
        <f>VLOOKUP($Q12079,매칭테이블!$F:$I,2,0)*K12079</f>
        <v/>
      </c>
      <c r="N12079" s="88">
        <f>M12079-M12079*VLOOKUP($Q12079,매칭테이블!$F:$I,3,0)</f>
        <v/>
      </c>
      <c r="O12079" s="88">
        <f>VLOOKUP($Q12079,매칭테이블!$F:$I,4,0)*K12079</f>
        <v/>
      </c>
      <c r="P12079" s="152">
        <f>M12079/1.1</f>
        <v/>
      </c>
      <c r="Q12079" s="88">
        <f>F12079&amp;E12079&amp;G12079&amp;L12079</f>
        <v/>
      </c>
    </row>
    <row r="12080" customFormat="1" s="94">
      <c r="B12080" s="128" t="n">
        <v>44177</v>
      </c>
      <c r="C12080" s="88">
        <f>TEXT(B12080,"aaa")</f>
        <v/>
      </c>
      <c r="E12080" s="88">
        <f>INDEX(매칭테이블!C:D,MATCH(RD!G12080,매칭테이블!D:D,0),1)</f>
        <v/>
      </c>
      <c r="F12080" s="94" t="inlineStr">
        <is>
          <t>카페24</t>
        </is>
      </c>
      <c r="G12080" s="94" t="inlineStr">
        <is>
          <t>어성초 약산성 클렌징폼클렌징폼=어성초 약산성 클렌징폼 2개 -25%off</t>
        </is>
      </c>
      <c r="K12080" s="94" t="n">
        <v>3</v>
      </c>
      <c r="L12080" s="88" t="n">
        <v>201208</v>
      </c>
      <c r="M12080" s="88">
        <f>VLOOKUP($Q12080,매칭테이블!$F:$I,2,0)*K12080</f>
        <v/>
      </c>
      <c r="N12080" s="88">
        <f>M12080-M12080*VLOOKUP($Q12080,매칭테이블!$F:$I,3,0)</f>
        <v/>
      </c>
      <c r="O12080" s="88">
        <f>VLOOKUP($Q12080,매칭테이블!$F:$I,4,0)*K12080</f>
        <v/>
      </c>
      <c r="P12080" s="152">
        <f>M12080/1.1</f>
        <v/>
      </c>
      <c r="Q12080" s="88">
        <f>F12080&amp;E12080&amp;G12080&amp;L12080</f>
        <v/>
      </c>
    </row>
    <row r="12081" customFormat="1" s="94">
      <c r="B12081" s="128" t="n">
        <v>44177</v>
      </c>
      <c r="C12081" s="88">
        <f>TEXT(B12081,"aaa")</f>
        <v/>
      </c>
      <c r="E12081" s="88">
        <f>INDEX(매칭테이블!C:D,MATCH(RD!G12081,매칭테이블!D:D,0),1)</f>
        <v/>
      </c>
      <c r="F12081" s="94" t="inlineStr">
        <is>
          <t>카페24</t>
        </is>
      </c>
      <c r="G12081" s="94" t="inlineStr">
        <is>
          <t>어성초 크림마스크 나이트 솔루션옵션=어성초 크림마스크 나이트 솔루션 10장 (-50%)</t>
        </is>
      </c>
      <c r="K12081" s="94" t="n">
        <v>1</v>
      </c>
      <c r="L12081" s="88" t="n">
        <v>201208</v>
      </c>
      <c r="M12081" s="88">
        <f>VLOOKUP($Q12081,매칭테이블!$F:$I,2,0)*K12081</f>
        <v/>
      </c>
      <c r="N12081" s="88">
        <f>M12081-M12081*VLOOKUP($Q12081,매칭테이블!$F:$I,3,0)</f>
        <v/>
      </c>
      <c r="O12081" s="88">
        <f>VLOOKUP($Q12081,매칭테이블!$F:$I,4,0)*K12081</f>
        <v/>
      </c>
      <c r="P12081" s="152">
        <f>M12081/1.1</f>
        <v/>
      </c>
      <c r="Q12081" s="88">
        <f>F12081&amp;E12081&amp;G12081&amp;L12081</f>
        <v/>
      </c>
    </row>
    <row r="12082" customFormat="1" s="94">
      <c r="B12082" s="128" t="n">
        <v>44177</v>
      </c>
      <c r="C12082" s="88">
        <f>TEXT(B12082,"aaa")</f>
        <v/>
      </c>
      <c r="E12082" s="88">
        <f>INDEX(매칭테이블!C:D,MATCH(RD!G12082,매칭테이블!D:D,0),1)</f>
        <v/>
      </c>
      <c r="F12082" s="94" t="inlineStr">
        <is>
          <t>카페24</t>
        </is>
      </c>
      <c r="G12082" s="94" t="inlineStr">
        <is>
          <t>촉촉 스킨팩 화장솜</t>
        </is>
      </c>
      <c r="K12082" s="94" t="n">
        <v>8</v>
      </c>
      <c r="L12082" s="88" t="n">
        <v>201208</v>
      </c>
      <c r="M12082" s="88">
        <f>VLOOKUP($Q12082,매칭테이블!$F:$I,2,0)*K12082</f>
        <v/>
      </c>
      <c r="N12082" s="88">
        <f>M12082-M12082*VLOOKUP($Q12082,매칭테이블!$F:$I,3,0)</f>
        <v/>
      </c>
      <c r="O12082" s="88">
        <f>VLOOKUP($Q12082,매칭테이블!$F:$I,4,0)*K12082</f>
        <v/>
      </c>
      <c r="P12082" s="152">
        <f>M12082/1.1</f>
        <v/>
      </c>
      <c r="Q12082" s="88">
        <f>F12082&amp;E12082&amp;G12082&amp;L12082</f>
        <v/>
      </c>
    </row>
    <row r="12083" customFormat="1" s="94">
      <c r="B12083" s="128" t="n">
        <v>44177</v>
      </c>
      <c r="C12083" s="88">
        <f>TEXT(B12083,"aaa")</f>
        <v/>
      </c>
      <c r="E12083" s="88">
        <f>INDEX(매칭테이블!C:D,MATCH(RD!G12083,매칭테이블!D:D,0),1)</f>
        <v/>
      </c>
      <c r="F12083" s="94" t="inlineStr">
        <is>
          <t>카페24</t>
        </is>
      </c>
      <c r="G12083" s="94" t="inlineStr">
        <is>
          <t>촉촉 스킨팩 화장솜</t>
        </is>
      </c>
      <c r="K12083" s="94" t="n">
        <v>1</v>
      </c>
      <c r="L12083" s="88" t="n">
        <v>201208</v>
      </c>
      <c r="M12083" s="88">
        <f>VLOOKUP($Q12083,매칭테이블!$F:$I,2,0)*K12083</f>
        <v/>
      </c>
      <c r="N12083" s="88">
        <f>M12083-M12083*VLOOKUP($Q12083,매칭테이블!$F:$I,3,0)</f>
        <v/>
      </c>
      <c r="O12083" s="88">
        <f>VLOOKUP($Q12083,매칭테이블!$F:$I,4,0)*K12083</f>
        <v/>
      </c>
      <c r="P12083" s="152">
        <f>M12083/1.1</f>
        <v/>
      </c>
      <c r="Q12083" s="88">
        <f>F12083&amp;E12083&amp;G12083&amp;L12083</f>
        <v/>
      </c>
    </row>
    <row r="12084" customFormat="1" s="94">
      <c r="B12084" s="128" t="n">
        <v>44177</v>
      </c>
      <c r="C12084" s="88">
        <f>TEXT(B12084,"aaa")</f>
        <v/>
      </c>
      <c r="E12084" s="88">
        <f>INDEX(매칭테이블!C:D,MATCH(RD!G12084,매칭테이블!D:D,0),1)</f>
        <v/>
      </c>
      <c r="F12084" s="94" t="inlineStr">
        <is>
          <t>랄라블라</t>
        </is>
      </c>
      <c r="G12084" s="94" t="inlineStr">
        <is>
          <t>어성초 약산성 클렌징폼</t>
        </is>
      </c>
      <c r="K12084" s="94" t="n">
        <v>0</v>
      </c>
      <c r="L12084" s="88" t="n">
        <v>201208</v>
      </c>
      <c r="M12084" s="88">
        <f>VLOOKUP($Q12084,매칭테이블!$F:$I,2,0)*K12084</f>
        <v/>
      </c>
      <c r="N12084" s="88">
        <f>M12084-M12084*VLOOKUP($Q12084,매칭테이블!$F:$I,3,0)</f>
        <v/>
      </c>
      <c r="O12084" s="88">
        <f>VLOOKUP($Q12084,매칭테이블!$F:$I,4,0)*K12084</f>
        <v/>
      </c>
      <c r="P12084" s="152">
        <f>M12084/1.1</f>
        <v/>
      </c>
      <c r="Q12084" s="88">
        <f>F12084&amp;E12084&amp;G12084&amp;L12084</f>
        <v/>
      </c>
    </row>
    <row r="12085">
      <c r="B12085" s="128" t="n">
        <v>44179</v>
      </c>
      <c r="C12085" s="88">
        <f>TEXT(B12085,"aaa")</f>
        <v/>
      </c>
      <c r="D12085" s="94" t="n"/>
      <c r="E12085" s="88">
        <f>INDEX(매칭테이블!C:D,MATCH(RD!G12085,매칭테이블!D:D,0),1)</f>
        <v/>
      </c>
      <c r="F12085" s="94" t="inlineStr">
        <is>
          <t>W컨셉</t>
        </is>
      </c>
      <c r="G12085" s="94" t="inlineStr">
        <is>
          <t>어성초 77토너 (2 SET) HEARTLEAF 77% SOOTHING TONER 250ml250ml 2set</t>
        </is>
      </c>
      <c r="K12085" s="94" t="n">
        <v>8</v>
      </c>
      <c r="L12085" s="88" t="n">
        <v>201208</v>
      </c>
      <c r="M12085" s="88">
        <f>VLOOKUP($Q12085,매칭테이블!$F:$I,2,0)*K12085</f>
        <v/>
      </c>
      <c r="N12085" s="88">
        <f>M12085-M12085*VLOOKUP($Q12085,매칭테이블!$F:$I,3,0)</f>
        <v/>
      </c>
      <c r="O12085" s="88">
        <f>VLOOKUP($Q12085,매칭테이블!$F:$I,4,0)*K12085</f>
        <v/>
      </c>
      <c r="P12085" s="152">
        <f>M12085/1.1</f>
        <v/>
      </c>
      <c r="Q12085" s="88">
        <f>F12085&amp;E12085&amp;G12085&amp;L12085</f>
        <v/>
      </c>
    </row>
    <row r="12086">
      <c r="B12086" s="128" t="n">
        <v>44179</v>
      </c>
      <c r="C12086" s="88">
        <f>TEXT(B12086,"aaa")</f>
        <v/>
      </c>
      <c r="D12086" s="94" t="n"/>
      <c r="E12086" s="88">
        <f>INDEX(매칭테이블!C:D,MATCH(RD!G12086,매칭테이블!D:D,0),1)</f>
        <v/>
      </c>
      <c r="F12086" s="94" t="inlineStr">
        <is>
          <t>스타일쉐어</t>
        </is>
      </c>
      <c r="G12086" s="94" t="inlineStr">
        <is>
          <t>아누아 어성초 77 토너 250ml</t>
        </is>
      </c>
      <c r="K12086" s="94" t="n">
        <v>2</v>
      </c>
      <c r="L12086" s="88" t="n">
        <v>201208</v>
      </c>
      <c r="M12086" s="88">
        <f>VLOOKUP($Q12086,매칭테이블!$F:$I,2,0)*K12086</f>
        <v/>
      </c>
      <c r="N12086" s="88">
        <f>M12086-M12086*VLOOKUP($Q12086,매칭테이블!$F:$I,3,0)</f>
        <v/>
      </c>
      <c r="O12086" s="88">
        <f>VLOOKUP($Q12086,매칭테이블!$F:$I,4,0)*K12086</f>
        <v/>
      </c>
      <c r="P12086" s="152">
        <f>M12086/1.1</f>
        <v/>
      </c>
      <c r="Q12086" s="88">
        <f>F12086&amp;E12086&amp;G12086&amp;L12086</f>
        <v/>
      </c>
    </row>
    <row r="12087">
      <c r="B12087" s="128" t="n">
        <v>44179</v>
      </c>
      <c r="C12087" s="88">
        <f>TEXT(B12087,"aaa")</f>
        <v/>
      </c>
      <c r="D12087" s="94" t="n"/>
      <c r="E12087" s="88">
        <f>INDEX(매칭테이블!C:D,MATCH(RD!G12087,매칭테이블!D:D,0),1)</f>
        <v/>
      </c>
      <c r="F12087" s="94" t="inlineStr">
        <is>
          <t>아누아 CS</t>
        </is>
      </c>
      <c r="G12087" s="94" t="inlineStr">
        <is>
          <t>어성초 77 토너 250ml</t>
        </is>
      </c>
      <c r="K12087" s="94" t="n">
        <v>3</v>
      </c>
      <c r="L12087" s="88" t="n">
        <v>201208</v>
      </c>
      <c r="M12087" s="88">
        <f>VLOOKUP($Q12087,매칭테이블!$F:$I,2,0)*K12087</f>
        <v/>
      </c>
      <c r="N12087" s="88">
        <f>M12087-M12087*VLOOKUP($Q12087,매칭테이블!$F:$I,3,0)</f>
        <v/>
      </c>
      <c r="O12087" s="88">
        <f>VLOOKUP($Q12087,매칭테이블!$F:$I,4,0)*K12087</f>
        <v/>
      </c>
      <c r="P12087" s="152">
        <f>M12087/1.1</f>
        <v/>
      </c>
      <c r="Q12087" s="88">
        <f>F12087&amp;E12087&amp;G12087&amp;L12087</f>
        <v/>
      </c>
    </row>
    <row r="12088">
      <c r="B12088" s="128" t="n">
        <v>44179</v>
      </c>
      <c r="C12088" s="88">
        <f>TEXT(B12088,"aaa")</f>
        <v/>
      </c>
      <c r="D12088" s="94" t="n"/>
      <c r="E12088" s="88">
        <f>INDEX(매칭테이블!C:D,MATCH(RD!G12088,매칭테이블!D:D,0),1)</f>
        <v/>
      </c>
      <c r="F12088" s="94" t="inlineStr">
        <is>
          <t>아누아 CS</t>
        </is>
      </c>
      <c r="G12088" s="94" t="inlineStr">
        <is>
          <t>어성초 80 앰플 30ml</t>
        </is>
      </c>
      <c r="K12088" s="94" t="n">
        <v>5</v>
      </c>
      <c r="L12088" s="88" t="n">
        <v>201208</v>
      </c>
      <c r="M12088" s="88">
        <f>VLOOKUP($Q12088,매칭테이블!$F:$I,2,0)*K12088</f>
        <v/>
      </c>
      <c r="N12088" s="88">
        <f>M12088-M12088*VLOOKUP($Q12088,매칭테이블!$F:$I,3,0)</f>
        <v/>
      </c>
      <c r="O12088" s="88">
        <f>VLOOKUP($Q12088,매칭테이블!$F:$I,4,0)*K12088</f>
        <v/>
      </c>
      <c r="P12088" s="152">
        <f>M12088/1.1</f>
        <v/>
      </c>
      <c r="Q12088" s="88">
        <f>F12088&amp;E12088&amp;G12088&amp;L12088</f>
        <v/>
      </c>
    </row>
    <row r="12089">
      <c r="B12089" s="128" t="n">
        <v>44179</v>
      </c>
      <c r="C12089" s="88">
        <f>TEXT(B12089,"aaa")</f>
        <v/>
      </c>
      <c r="D12089" s="94" t="n"/>
      <c r="E12089" s="88">
        <f>INDEX(매칭테이블!C:D,MATCH(RD!G12089,매칭테이블!D:D,0),1)</f>
        <v/>
      </c>
      <c r="F12089" s="94" t="inlineStr">
        <is>
          <t>카페24</t>
        </is>
      </c>
      <c r="G12089" s="94" t="inlineStr">
        <is>
          <t>5 제로 무기자차 선크림옵션=5제로 무기자차 선크림 1개-20% off</t>
        </is>
      </c>
      <c r="K12089" s="94" t="n">
        <v>2</v>
      </c>
      <c r="L12089" s="88" t="n">
        <v>201208</v>
      </c>
      <c r="M12089" s="88">
        <f>VLOOKUP($Q12089,매칭테이블!$F:$I,2,0)*K12089</f>
        <v/>
      </c>
      <c r="N12089" s="88">
        <f>M12089-M12089*VLOOKUP($Q12089,매칭테이블!$F:$I,3,0)</f>
        <v/>
      </c>
      <c r="O12089" s="88">
        <f>VLOOKUP($Q12089,매칭테이블!$F:$I,4,0)*K12089</f>
        <v/>
      </c>
      <c r="P12089" s="152">
        <f>M12089/1.1</f>
        <v/>
      </c>
      <c r="Q12089" s="88">
        <f>F12089&amp;E12089&amp;G12089&amp;L12089</f>
        <v/>
      </c>
    </row>
    <row r="12090">
      <c r="B12090" s="128" t="n">
        <v>44179</v>
      </c>
      <c r="C12090" s="88">
        <f>TEXT(B12090,"aaa")</f>
        <v/>
      </c>
      <c r="D12090" s="94" t="n"/>
      <c r="E12090" s="88">
        <f>INDEX(매칭테이블!C:D,MATCH(RD!G12090,매칭테이블!D:D,0),1)</f>
        <v/>
      </c>
      <c r="F12090" s="94" t="inlineStr">
        <is>
          <t>카페24</t>
        </is>
      </c>
      <c r="G12090" s="94" t="inlineStr">
        <is>
          <t>[수분 보충 세트] 어성초 77 토너 + 어성초 70 로션옵션=어성초 77 토너 250ml + 어성초 70 로션 200ml -30%</t>
        </is>
      </c>
      <c r="K12090" s="94" t="n">
        <v>24</v>
      </c>
      <c r="L12090" s="88" t="n">
        <v>201208</v>
      </c>
      <c r="M12090" s="88">
        <f>VLOOKUP($Q12090,매칭테이블!$F:$I,2,0)*K12090</f>
        <v/>
      </c>
      <c r="N12090" s="88">
        <f>M12090-M12090*VLOOKUP($Q12090,매칭테이블!$F:$I,3,0)</f>
        <v/>
      </c>
      <c r="O12090" s="88">
        <f>VLOOKUP($Q12090,매칭테이블!$F:$I,4,0)*K12090</f>
        <v/>
      </c>
      <c r="P12090" s="152">
        <f>M12090/1.1</f>
        <v/>
      </c>
      <c r="Q12090" s="88">
        <f>F12090&amp;E12090&amp;G12090&amp;L12090</f>
        <v/>
      </c>
    </row>
    <row r="12091">
      <c r="B12091" s="128" t="n">
        <v>44179</v>
      </c>
      <c r="C12091" s="88">
        <f>TEXT(B12091,"aaa")</f>
        <v/>
      </c>
      <c r="D12091" s="94" t="n"/>
      <c r="E12091" s="88">
        <f>INDEX(매칭테이블!C:D,MATCH(RD!G12091,매칭테이블!D:D,0),1)</f>
        <v/>
      </c>
      <c r="F12091" s="94" t="inlineStr">
        <is>
          <t>카페24</t>
        </is>
      </c>
      <c r="G12091" s="94" t="inlineStr">
        <is>
          <t>[어성초 진정 패키지 세트] 대용량 토너 + 앰플 + 수딩 크림 + 마스크팩 10장</t>
        </is>
      </c>
      <c r="K12091" s="94" t="n">
        <v>1</v>
      </c>
      <c r="L12091" s="88" t="n">
        <v>201208</v>
      </c>
      <c r="M12091" s="88">
        <f>VLOOKUP($Q12091,매칭테이블!$F:$I,2,0)*K12091</f>
        <v/>
      </c>
      <c r="N12091" s="88">
        <f>M12091-M12091*VLOOKUP($Q12091,매칭테이블!$F:$I,3,0)</f>
        <v/>
      </c>
      <c r="O12091" s="88">
        <f>VLOOKUP($Q12091,매칭테이블!$F:$I,4,0)*K12091</f>
        <v/>
      </c>
      <c r="P12091" s="152">
        <f>M12091/1.1</f>
        <v/>
      </c>
      <c r="Q12091" s="88">
        <f>F12091&amp;E12091&amp;G12091&amp;L12091</f>
        <v/>
      </c>
    </row>
    <row r="12092">
      <c r="B12092" s="128" t="n">
        <v>44179</v>
      </c>
      <c r="C12092" s="88">
        <f>TEXT(B12092,"aaa")</f>
        <v/>
      </c>
      <c r="D12092" s="94" t="n"/>
      <c r="E12092" s="88">
        <f>INDEX(매칭테이블!C:D,MATCH(RD!G12092,매칭테이블!D:D,0),1)</f>
        <v/>
      </c>
      <c r="F12092" s="94" t="inlineStr">
        <is>
          <t>카페24</t>
        </is>
      </c>
      <c r="G12092" s="94" t="inlineStr">
        <is>
          <t>대용량 어성초 77 수딩 토너 500ml</t>
        </is>
      </c>
      <c r="K12092" s="94" t="n">
        <v>42</v>
      </c>
      <c r="L12092" s="88" t="n">
        <v>201208</v>
      </c>
      <c r="M12092" s="88">
        <f>VLOOKUP($Q12092,매칭테이블!$F:$I,2,0)*K12092</f>
        <v/>
      </c>
      <c r="N12092" s="88">
        <f>M12092-M12092*VLOOKUP($Q12092,매칭테이블!$F:$I,3,0)</f>
        <v/>
      </c>
      <c r="O12092" s="88">
        <f>VLOOKUP($Q12092,매칭테이블!$F:$I,4,0)*K12092</f>
        <v/>
      </c>
      <c r="P12092" s="152">
        <f>M12092/1.1</f>
        <v/>
      </c>
      <c r="Q12092" s="88">
        <f>F12092&amp;E12092&amp;G12092&amp;L12092</f>
        <v/>
      </c>
    </row>
    <row r="12093">
      <c r="B12093" s="128" t="n">
        <v>44179</v>
      </c>
      <c r="C12093" s="88">
        <f>TEXT(B12093,"aaa")</f>
        <v/>
      </c>
      <c r="D12093" s="94" t="n"/>
      <c r="E12093" s="88">
        <f>INDEX(매칭테이블!C:D,MATCH(RD!G12093,매칭테이블!D:D,0),1)</f>
        <v/>
      </c>
      <c r="F12093" s="94" t="inlineStr">
        <is>
          <t>카페24</t>
        </is>
      </c>
      <c r="G12093" s="94" t="inlineStr">
        <is>
          <t>대용량 어성초 77 토너 500ml</t>
        </is>
      </c>
      <c r="K12093" s="94" t="n">
        <v>4</v>
      </c>
      <c r="L12093" s="88" t="n">
        <v>201208</v>
      </c>
      <c r="M12093" s="88">
        <f>VLOOKUP($Q12093,매칭테이블!$F:$I,2,0)*K12093</f>
        <v/>
      </c>
      <c r="N12093" s="88">
        <f>M12093-M12093*VLOOKUP($Q12093,매칭테이블!$F:$I,3,0)</f>
        <v/>
      </c>
      <c r="O12093" s="88">
        <f>VLOOKUP($Q12093,매칭테이블!$F:$I,4,0)*K12093</f>
        <v/>
      </c>
      <c r="P12093" s="152">
        <f>M12093/1.1</f>
        <v/>
      </c>
      <c r="Q12093" s="88">
        <f>F12093&amp;E12093&amp;G12093&amp;L12093</f>
        <v/>
      </c>
    </row>
    <row r="12094">
      <c r="B12094" s="128" t="n">
        <v>44179</v>
      </c>
      <c r="C12094" s="88">
        <f>TEXT(B12094,"aaa")</f>
        <v/>
      </c>
      <c r="D12094" s="94" t="n"/>
      <c r="E12094" s="88">
        <f>INDEX(매칭테이블!C:D,MATCH(RD!G12094,매칭테이블!D:D,0),1)</f>
        <v/>
      </c>
      <c r="F12094" s="94" t="inlineStr">
        <is>
          <t>카페24</t>
        </is>
      </c>
      <c r="G12094" s="94" t="inlineStr">
        <is>
          <t>아누아 어성초 77 수딩 토너토너(필수)=어성초 77 토너 1개-20% off</t>
        </is>
      </c>
      <c r="K12094" s="94" t="n">
        <v>2</v>
      </c>
      <c r="L12094" s="88" t="n">
        <v>201208</v>
      </c>
      <c r="M12094" s="88">
        <f>VLOOKUP($Q12094,매칭테이블!$F:$I,2,0)*K12094</f>
        <v/>
      </c>
      <c r="N12094" s="88">
        <f>M12094-M12094*VLOOKUP($Q12094,매칭테이블!$F:$I,3,0)</f>
        <v/>
      </c>
      <c r="O12094" s="88">
        <f>VLOOKUP($Q12094,매칭테이블!$F:$I,4,0)*K12094</f>
        <v/>
      </c>
      <c r="P12094" s="152">
        <f>M12094/1.1</f>
        <v/>
      </c>
      <c r="Q12094" s="88">
        <f>F12094&amp;E12094&amp;G12094&amp;L12094</f>
        <v/>
      </c>
    </row>
    <row r="12095">
      <c r="B12095" s="128" t="n">
        <v>44179</v>
      </c>
      <c r="C12095" s="88">
        <f>TEXT(B12095,"aaa")</f>
        <v/>
      </c>
      <c r="D12095" s="94" t="n"/>
      <c r="E12095" s="88">
        <f>INDEX(매칭테이블!C:D,MATCH(RD!G12095,매칭테이블!D:D,0),1)</f>
        <v/>
      </c>
      <c r="F12095" s="94" t="inlineStr">
        <is>
          <t>카페24</t>
        </is>
      </c>
      <c r="G12095" s="94" t="inlineStr">
        <is>
          <t>아누아 어성초 77 수딩 토너토너(필수)=어성초 77 토너 2개-30% off (무료배송)</t>
        </is>
      </c>
      <c r="K12095" s="94" t="n">
        <v>1</v>
      </c>
      <c r="L12095" s="88" t="n">
        <v>201208</v>
      </c>
      <c r="M12095" s="88">
        <f>VLOOKUP($Q12095,매칭테이블!$F:$I,2,0)*K12095</f>
        <v/>
      </c>
      <c r="N12095" s="88">
        <f>M12095-M12095*VLOOKUP($Q12095,매칭테이블!$F:$I,3,0)</f>
        <v/>
      </c>
      <c r="O12095" s="88">
        <f>VLOOKUP($Q12095,매칭테이블!$F:$I,4,0)*K12095</f>
        <v/>
      </c>
      <c r="P12095" s="152">
        <f>M12095/1.1</f>
        <v/>
      </c>
      <c r="Q12095" s="88">
        <f>F12095&amp;E12095&amp;G12095&amp;L12095</f>
        <v/>
      </c>
    </row>
    <row r="12096">
      <c r="B12096" s="128" t="n">
        <v>44179</v>
      </c>
      <c r="C12096" s="88">
        <f>TEXT(B12096,"aaa")</f>
        <v/>
      </c>
      <c r="D12096" s="94" t="n"/>
      <c r="E12096" s="88">
        <f>INDEX(매칭테이블!C:D,MATCH(RD!G12096,매칭테이블!D:D,0),1)</f>
        <v/>
      </c>
      <c r="F12096" s="94" t="inlineStr">
        <is>
          <t>카페24</t>
        </is>
      </c>
      <c r="G12096" s="94" t="inlineStr">
        <is>
          <t>아누아 어성초 77 수딩 토너토너(필수)=어성초77토너1개 + 어성초77패드1개 -30% off (무료배송)</t>
        </is>
      </c>
      <c r="K12096" s="94" t="n">
        <v>1</v>
      </c>
      <c r="L12096" s="88" t="n">
        <v>201208</v>
      </c>
      <c r="M12096" s="88">
        <f>VLOOKUP($Q12096,매칭테이블!$F:$I,2,0)*K12096</f>
        <v/>
      </c>
      <c r="N12096" s="88">
        <f>M12096-M12096*VLOOKUP($Q12096,매칭테이블!$F:$I,3,0)</f>
        <v/>
      </c>
      <c r="O12096" s="88">
        <f>VLOOKUP($Q12096,매칭테이블!$F:$I,4,0)*K12096</f>
        <v/>
      </c>
      <c r="P12096" s="152">
        <f>M12096/1.1</f>
        <v/>
      </c>
      <c r="Q12096" s="88">
        <f>F12096&amp;E12096&amp;G12096&amp;L12096</f>
        <v/>
      </c>
    </row>
    <row r="12097">
      <c r="B12097" s="128" t="n">
        <v>44179</v>
      </c>
      <c r="C12097" s="88">
        <f>TEXT(B12097,"aaa")</f>
        <v/>
      </c>
      <c r="D12097" s="94" t="n"/>
      <c r="E12097" s="88">
        <f>INDEX(매칭테이블!C:D,MATCH(RD!G12097,매칭테이블!D:D,0),1)</f>
        <v/>
      </c>
      <c r="F12097" s="94" t="inlineStr">
        <is>
          <t>카페24</t>
        </is>
      </c>
      <c r="G12097" s="94" t="inlineStr">
        <is>
          <t>아누아 어성초 77 수딩 토너화장솜(선택)=촉촉 스킨팩 화장솜</t>
        </is>
      </c>
      <c r="K12097" s="94" t="n">
        <v>2</v>
      </c>
      <c r="L12097" s="88" t="n">
        <v>201208</v>
      </c>
      <c r="M12097" s="88">
        <f>VLOOKUP($Q12097,매칭테이블!$F:$I,2,0)*K12097</f>
        <v/>
      </c>
      <c r="N12097" s="88">
        <f>M12097-M12097*VLOOKUP($Q12097,매칭테이블!$F:$I,3,0)</f>
        <v/>
      </c>
      <c r="O12097" s="88">
        <f>VLOOKUP($Q12097,매칭테이블!$F:$I,4,0)*K12097</f>
        <v/>
      </c>
      <c r="P12097" s="152">
        <f>M12097/1.1</f>
        <v/>
      </c>
      <c r="Q12097" s="88">
        <f>F12097&amp;E12097&amp;G12097&amp;L12097</f>
        <v/>
      </c>
    </row>
    <row r="12098">
      <c r="B12098" s="128" t="n">
        <v>44179</v>
      </c>
      <c r="C12098" s="88">
        <f>TEXT(B12098,"aaa")</f>
        <v/>
      </c>
      <c r="D12098" s="94" t="n"/>
      <c r="E12098" s="88">
        <f>INDEX(매칭테이블!C:D,MATCH(RD!G12098,매칭테이블!D:D,0),1)</f>
        <v/>
      </c>
      <c r="F12098" s="94" t="inlineStr">
        <is>
          <t>카페24</t>
        </is>
      </c>
      <c r="G12098" s="94" t="inlineStr">
        <is>
          <t>어성초 70 데일리 릴리프 로션로션=어성초 70 데일리 릴리프 로션 1개 -20% off</t>
        </is>
      </c>
      <c r="K12098" s="94" t="n">
        <v>8</v>
      </c>
      <c r="L12098" s="88" t="n">
        <v>201208</v>
      </c>
      <c r="M12098" s="88">
        <f>VLOOKUP($Q12098,매칭테이블!$F:$I,2,0)*K12098</f>
        <v/>
      </c>
      <c r="N12098" s="88">
        <f>M12098-M12098*VLOOKUP($Q12098,매칭테이블!$F:$I,3,0)</f>
        <v/>
      </c>
      <c r="O12098" s="88">
        <f>VLOOKUP($Q12098,매칭테이블!$F:$I,4,0)*K12098</f>
        <v/>
      </c>
      <c r="P12098" s="152">
        <f>M12098/1.1</f>
        <v/>
      </c>
      <c r="Q12098" s="88">
        <f>F12098&amp;E12098&amp;G12098&amp;L12098</f>
        <v/>
      </c>
    </row>
    <row r="12099">
      <c r="B12099" s="128" t="n">
        <v>44179</v>
      </c>
      <c r="C12099" s="88">
        <f>TEXT(B12099,"aaa")</f>
        <v/>
      </c>
      <c r="D12099" s="94" t="n"/>
      <c r="E12099" s="88">
        <f>INDEX(매칭테이블!C:D,MATCH(RD!G12099,매칭테이블!D:D,0),1)</f>
        <v/>
      </c>
      <c r="F12099" s="94" t="inlineStr">
        <is>
          <t>카페24</t>
        </is>
      </c>
      <c r="G12099" s="94" t="inlineStr">
        <is>
          <t>어성초 70 데일리 릴리프 로션로션=어성초 70 데일리 릴리프 로션 2개 -30% off</t>
        </is>
      </c>
      <c r="K12099" s="94" t="n">
        <v>2</v>
      </c>
      <c r="L12099" s="88" t="n">
        <v>201208</v>
      </c>
      <c r="M12099" s="88">
        <f>VLOOKUP($Q12099,매칭테이블!$F:$I,2,0)*K12099</f>
        <v/>
      </c>
      <c r="N12099" s="88">
        <f>M12099-M12099*VLOOKUP($Q12099,매칭테이블!$F:$I,3,0)</f>
        <v/>
      </c>
      <c r="O12099" s="88">
        <f>VLOOKUP($Q12099,매칭테이블!$F:$I,4,0)*K12099</f>
        <v/>
      </c>
      <c r="P12099" s="152">
        <f>M12099/1.1</f>
        <v/>
      </c>
      <c r="Q12099" s="88">
        <f>F12099&amp;E12099&amp;G12099&amp;L12099</f>
        <v/>
      </c>
    </row>
    <row r="12100">
      <c r="B12100" s="128" t="n">
        <v>44179</v>
      </c>
      <c r="C12100" s="88">
        <f>TEXT(B12100,"aaa")</f>
        <v/>
      </c>
      <c r="D12100" s="94" t="n"/>
      <c r="E12100" s="88">
        <f>INDEX(매칭테이블!C:D,MATCH(RD!G12100,매칭테이블!D:D,0),1)</f>
        <v/>
      </c>
      <c r="F12100" s="94" t="inlineStr">
        <is>
          <t>카페24</t>
        </is>
      </c>
      <c r="G12100" s="94" t="inlineStr">
        <is>
          <t>어성초 70 데일리 릴리프 로션로션=어성초 77토너 + 어성초 70 로션 수분 보충 세트 -30% off</t>
        </is>
      </c>
      <c r="K12100" s="94" t="n">
        <v>2</v>
      </c>
      <c r="L12100" s="88" t="n">
        <v>201208</v>
      </c>
      <c r="M12100" s="88">
        <f>VLOOKUP($Q12100,매칭테이블!$F:$I,2,0)*K12100</f>
        <v/>
      </c>
      <c r="N12100" s="88">
        <f>M12100-M12100*VLOOKUP($Q12100,매칭테이블!$F:$I,3,0)</f>
        <v/>
      </c>
      <c r="O12100" s="88">
        <f>VLOOKUP($Q12100,매칭테이블!$F:$I,4,0)*K12100</f>
        <v/>
      </c>
      <c r="P12100" s="152">
        <f>M12100/1.1</f>
        <v/>
      </c>
      <c r="Q12100" s="88">
        <f>F12100&amp;E12100&amp;G12100&amp;L12100</f>
        <v/>
      </c>
    </row>
    <row r="12101">
      <c r="B12101" s="128" t="n">
        <v>44179</v>
      </c>
      <c r="C12101" s="88">
        <f>TEXT(B12101,"aaa")</f>
        <v/>
      </c>
      <c r="D12101" s="94" t="n"/>
      <c r="E12101" s="88">
        <f>INDEX(매칭테이블!C:D,MATCH(RD!G12101,매칭테이블!D:D,0),1)</f>
        <v/>
      </c>
      <c r="F12101" s="94" t="inlineStr">
        <is>
          <t>카페24</t>
        </is>
      </c>
      <c r="G12101" s="94" t="inlineStr">
        <is>
          <t>어성초 70 머드 크림 마스크옵션=어성초 70 머드 크림 마스크-20% off</t>
        </is>
      </c>
      <c r="K12101" s="94" t="n">
        <v>1</v>
      </c>
      <c r="L12101" s="88" t="n">
        <v>201208</v>
      </c>
      <c r="M12101" s="88">
        <f>VLOOKUP($Q12101,매칭테이블!$F:$I,2,0)*K12101</f>
        <v/>
      </c>
      <c r="N12101" s="88">
        <f>M12101-M12101*VLOOKUP($Q12101,매칭테이블!$F:$I,3,0)</f>
        <v/>
      </c>
      <c r="O12101" s="88">
        <f>VLOOKUP($Q12101,매칭테이블!$F:$I,4,0)*K12101</f>
        <v/>
      </c>
      <c r="P12101" s="152">
        <f>M12101/1.1</f>
        <v/>
      </c>
      <c r="Q12101" s="88">
        <f>F12101&amp;E12101&amp;G12101&amp;L12101</f>
        <v/>
      </c>
    </row>
    <row r="12102">
      <c r="B12102" s="128" t="n">
        <v>44179</v>
      </c>
      <c r="C12102" s="88">
        <f>TEXT(B12102,"aaa")</f>
        <v/>
      </c>
      <c r="D12102" s="94" t="n"/>
      <c r="E12102" s="88">
        <f>INDEX(매칭테이블!C:D,MATCH(RD!G12102,매칭테이블!D:D,0),1)</f>
        <v/>
      </c>
      <c r="F12102" s="94" t="inlineStr">
        <is>
          <t>카페24</t>
        </is>
      </c>
      <c r="G12102" s="94" t="inlineStr">
        <is>
          <t>어성초 70 머드 크림 마스크</t>
        </is>
      </c>
      <c r="K12102" s="94" t="n">
        <v>1</v>
      </c>
      <c r="L12102" s="88" t="n">
        <v>201208</v>
      </c>
      <c r="M12102" s="88">
        <f>VLOOKUP($Q12102,매칭테이블!$F:$I,2,0)*K12102</f>
        <v/>
      </c>
      <c r="N12102" s="88">
        <f>M12102-M12102*VLOOKUP($Q12102,매칭테이블!$F:$I,3,0)</f>
        <v/>
      </c>
      <c r="O12102" s="88">
        <f>VLOOKUP($Q12102,매칭테이블!$F:$I,4,0)*K12102</f>
        <v/>
      </c>
      <c r="P12102" s="152">
        <f>M12102/1.1</f>
        <v/>
      </c>
      <c r="Q12102" s="88">
        <f>F12102&amp;E12102&amp;G12102&amp;L12102</f>
        <v/>
      </c>
    </row>
    <row r="12103">
      <c r="B12103" s="128" t="n">
        <v>44179</v>
      </c>
      <c r="C12103" s="88">
        <f>TEXT(B12103,"aaa")</f>
        <v/>
      </c>
      <c r="D12103" s="94" t="n"/>
      <c r="E12103" s="88">
        <f>INDEX(매칭테이블!C:D,MATCH(RD!G12103,매칭테이블!D:D,0),1)</f>
        <v/>
      </c>
      <c r="F12103" s="94" t="inlineStr">
        <is>
          <t>카페24</t>
        </is>
      </c>
      <c r="G12103" s="94" t="inlineStr">
        <is>
          <t>어성초 70 인텐스 카밍 크림크림=어성초 70 인텐스 카밍 크림 1개 (-20%)</t>
        </is>
      </c>
      <c r="K12103" s="94" t="n">
        <v>4</v>
      </c>
      <c r="L12103" s="88" t="n">
        <v>201208</v>
      </c>
      <c r="M12103" s="88">
        <f>VLOOKUP($Q12103,매칭테이블!$F:$I,2,0)*K12103</f>
        <v/>
      </c>
      <c r="N12103" s="88">
        <f>M12103-M12103*VLOOKUP($Q12103,매칭테이블!$F:$I,3,0)</f>
        <v/>
      </c>
      <c r="O12103" s="88">
        <f>VLOOKUP($Q12103,매칭테이블!$F:$I,4,0)*K12103</f>
        <v/>
      </c>
      <c r="P12103" s="152">
        <f>M12103/1.1</f>
        <v/>
      </c>
      <c r="Q12103" s="88">
        <f>F12103&amp;E12103&amp;G12103&amp;L12103</f>
        <v/>
      </c>
    </row>
    <row r="12104">
      <c r="B12104" s="128" t="n">
        <v>44179</v>
      </c>
      <c r="C12104" s="88">
        <f>TEXT(B12104,"aaa")</f>
        <v/>
      </c>
      <c r="D12104" s="94" t="n"/>
      <c r="E12104" s="88">
        <f>INDEX(매칭테이블!C:D,MATCH(RD!G12104,매칭테이블!D:D,0),1)</f>
        <v/>
      </c>
      <c r="F12104" s="94" t="inlineStr">
        <is>
          <t>카페24</t>
        </is>
      </c>
      <c r="G12104" s="94" t="inlineStr">
        <is>
          <t>어성초 70 인텐스 카밍 크림크림=어성초 70 인텐스 카밍 크림 2개 (-30%)</t>
        </is>
      </c>
      <c r="K12104" s="94" t="n">
        <v>1</v>
      </c>
      <c r="L12104" s="88" t="n">
        <v>201208</v>
      </c>
      <c r="M12104" s="88">
        <f>VLOOKUP($Q12104,매칭테이블!$F:$I,2,0)*K12104</f>
        <v/>
      </c>
      <c r="N12104" s="88">
        <f>M12104-M12104*VLOOKUP($Q12104,매칭테이블!$F:$I,3,0)</f>
        <v/>
      </c>
      <c r="O12104" s="88">
        <f>VLOOKUP($Q12104,매칭테이블!$F:$I,4,0)*K12104</f>
        <v/>
      </c>
      <c r="P12104" s="152">
        <f>M12104/1.1</f>
        <v/>
      </c>
      <c r="Q12104" s="88">
        <f>F12104&amp;E12104&amp;G12104&amp;L12104</f>
        <v/>
      </c>
    </row>
    <row r="12105">
      <c r="B12105" s="128" t="n">
        <v>44179</v>
      </c>
      <c r="C12105" s="88">
        <f>TEXT(B12105,"aaa")</f>
        <v/>
      </c>
      <c r="D12105" s="94" t="n"/>
      <c r="E12105" s="88">
        <f>INDEX(매칭테이블!C:D,MATCH(RD!G12105,매칭테이블!D:D,0),1)</f>
        <v/>
      </c>
      <c r="F12105" s="94" t="inlineStr">
        <is>
          <t>카페24</t>
        </is>
      </c>
      <c r="G12105" s="94" t="inlineStr">
        <is>
          <t>어성초 70 인텐스 카밍 크림크림=어성초 토너 250ml + 카밍 크림 50ml (-30%)</t>
        </is>
      </c>
      <c r="K12105" s="94" t="n">
        <v>1</v>
      </c>
      <c r="L12105" s="88" t="n">
        <v>201208</v>
      </c>
      <c r="M12105" s="88">
        <f>VLOOKUP($Q12105,매칭테이블!$F:$I,2,0)*K12105</f>
        <v/>
      </c>
      <c r="N12105" s="88">
        <f>M12105-M12105*VLOOKUP($Q12105,매칭테이블!$F:$I,3,0)</f>
        <v/>
      </c>
      <c r="O12105" s="88">
        <f>VLOOKUP($Q12105,매칭테이블!$F:$I,4,0)*K12105</f>
        <v/>
      </c>
      <c r="P12105" s="152">
        <f>M12105/1.1</f>
        <v/>
      </c>
      <c r="Q12105" s="88">
        <f>F12105&amp;E12105&amp;G12105&amp;L12105</f>
        <v/>
      </c>
    </row>
    <row r="12106">
      <c r="B12106" s="128" t="n">
        <v>44179</v>
      </c>
      <c r="C12106" s="88">
        <f>TEXT(B12106,"aaa")</f>
        <v/>
      </c>
      <c r="D12106" s="94" t="n"/>
      <c r="E12106" s="88">
        <f>INDEX(매칭테이블!C:D,MATCH(RD!G12106,매칭테이블!D:D,0),1)</f>
        <v/>
      </c>
      <c r="F12106" s="94" t="inlineStr">
        <is>
          <t>카페24</t>
        </is>
      </c>
      <c r="G12106" s="94" t="inlineStr">
        <is>
          <t>어성초 77 수딩 토너토너(필수)=어성초 77 토너 1개-20% off</t>
        </is>
      </c>
      <c r="K12106" s="94" t="n">
        <v>36</v>
      </c>
      <c r="L12106" s="88" t="n">
        <v>201208</v>
      </c>
      <c r="M12106" s="88">
        <f>VLOOKUP($Q12106,매칭테이블!$F:$I,2,0)*K12106</f>
        <v/>
      </c>
      <c r="N12106" s="88">
        <f>M12106-M12106*VLOOKUP($Q12106,매칭테이블!$F:$I,3,0)</f>
        <v/>
      </c>
      <c r="O12106" s="88">
        <f>VLOOKUP($Q12106,매칭테이블!$F:$I,4,0)*K12106</f>
        <v/>
      </c>
      <c r="P12106" s="152">
        <f>M12106/1.1</f>
        <v/>
      </c>
      <c r="Q12106" s="88">
        <f>F12106&amp;E12106&amp;G12106&amp;L12106</f>
        <v/>
      </c>
    </row>
    <row r="12107">
      <c r="B12107" s="128" t="n">
        <v>44179</v>
      </c>
      <c r="C12107" s="88">
        <f>TEXT(B12107,"aaa")</f>
        <v/>
      </c>
      <c r="D12107" s="94" t="n"/>
      <c r="E12107" s="88">
        <f>INDEX(매칭테이블!C:D,MATCH(RD!G12107,매칭테이블!D:D,0),1)</f>
        <v/>
      </c>
      <c r="F12107" s="94" t="inlineStr">
        <is>
          <t>카페24</t>
        </is>
      </c>
      <c r="G12107" s="94" t="inlineStr">
        <is>
          <t>어성초 77 수딩 토너토너(필수)=어성초 77 토너 2개-30% off (무료배송)</t>
        </is>
      </c>
      <c r="K12107" s="94" t="n">
        <v>25</v>
      </c>
      <c r="L12107" s="88" t="n">
        <v>201208</v>
      </c>
      <c r="M12107" s="88">
        <f>VLOOKUP($Q12107,매칭테이블!$F:$I,2,0)*K12107</f>
        <v/>
      </c>
      <c r="N12107" s="88">
        <f>M12107-M12107*VLOOKUP($Q12107,매칭테이블!$F:$I,3,0)</f>
        <v/>
      </c>
      <c r="O12107" s="88">
        <f>VLOOKUP($Q12107,매칭테이블!$F:$I,4,0)*K12107</f>
        <v/>
      </c>
      <c r="P12107" s="152">
        <f>M12107/1.1</f>
        <v/>
      </c>
      <c r="Q12107" s="88">
        <f>F12107&amp;E12107&amp;G12107&amp;L12107</f>
        <v/>
      </c>
    </row>
    <row r="12108">
      <c r="B12108" s="128" t="n">
        <v>44179</v>
      </c>
      <c r="C12108" s="88">
        <f>TEXT(B12108,"aaa")</f>
        <v/>
      </c>
      <c r="D12108" s="94" t="n"/>
      <c r="E12108" s="88">
        <f>INDEX(매칭테이블!C:D,MATCH(RD!G12108,매칭테이블!D:D,0),1)</f>
        <v/>
      </c>
      <c r="F12108" s="94" t="inlineStr">
        <is>
          <t>카페24</t>
        </is>
      </c>
      <c r="G12108" s="94" t="inlineStr">
        <is>
          <t>어성초 77 수딩 토너토너(필수)=어성초77토너1개 + 어성초77패드1개 -30% off (무료배송)</t>
        </is>
      </c>
      <c r="K12108" s="94" t="n">
        <v>4</v>
      </c>
      <c r="L12108" s="88" t="n">
        <v>201208</v>
      </c>
      <c r="M12108" s="88">
        <f>VLOOKUP($Q12108,매칭테이블!$F:$I,2,0)*K12108</f>
        <v/>
      </c>
      <c r="N12108" s="88">
        <f>M12108-M12108*VLOOKUP($Q12108,매칭테이블!$F:$I,3,0)</f>
        <v/>
      </c>
      <c r="O12108" s="88">
        <f>VLOOKUP($Q12108,매칭테이블!$F:$I,4,0)*K12108</f>
        <v/>
      </c>
      <c r="P12108" s="152">
        <f>M12108/1.1</f>
        <v/>
      </c>
      <c r="Q12108" s="88">
        <f>F12108&amp;E12108&amp;G12108&amp;L12108</f>
        <v/>
      </c>
    </row>
    <row r="12109">
      <c r="B12109" s="128" t="n">
        <v>44179</v>
      </c>
      <c r="C12109" s="88">
        <f>TEXT(B12109,"aaa")</f>
        <v/>
      </c>
      <c r="D12109" s="94" t="n"/>
      <c r="E12109" s="88">
        <f>INDEX(매칭테이블!C:D,MATCH(RD!G12109,매칭테이블!D:D,0),1)</f>
        <v/>
      </c>
      <c r="F12109" s="94" t="inlineStr">
        <is>
          <t>카페24</t>
        </is>
      </c>
      <c r="G12109" s="94" t="inlineStr">
        <is>
          <t>어성초 77 수딩 토너화장솜(선택)=촉촉 스킨팩 화장솜</t>
        </is>
      </c>
      <c r="K12109" s="94" t="n">
        <v>24</v>
      </c>
      <c r="L12109" s="88" t="n">
        <v>201208</v>
      </c>
      <c r="M12109" s="88">
        <f>VLOOKUP($Q12109,매칭테이블!$F:$I,2,0)*K12109</f>
        <v/>
      </c>
      <c r="N12109" s="88">
        <f>M12109-M12109*VLOOKUP($Q12109,매칭테이블!$F:$I,3,0)</f>
        <v/>
      </c>
      <c r="O12109" s="88">
        <f>VLOOKUP($Q12109,매칭테이블!$F:$I,4,0)*K12109</f>
        <v/>
      </c>
      <c r="P12109" s="152">
        <f>M12109/1.1</f>
        <v/>
      </c>
      <c r="Q12109" s="88">
        <f>F12109&amp;E12109&amp;G12109&amp;L12109</f>
        <v/>
      </c>
    </row>
    <row r="12110">
      <c r="B12110" s="128" t="n">
        <v>44179</v>
      </c>
      <c r="C12110" s="88">
        <f>TEXT(B12110,"aaa")</f>
        <v/>
      </c>
      <c r="D12110" s="94" t="n"/>
      <c r="E12110" s="88">
        <f>INDEX(매칭테이블!C:D,MATCH(RD!G12110,매칭테이블!D:D,0),1)</f>
        <v/>
      </c>
      <c r="F12110" s="94" t="inlineStr">
        <is>
          <t>카페24</t>
        </is>
      </c>
      <c r="G12110" s="94" t="inlineStr">
        <is>
          <t>어성초 77 수딩 토너토너(필수)=어성초 77 토너 2개-30% off (무료배송)</t>
        </is>
      </c>
      <c r="K12110" s="94" t="n">
        <v>1</v>
      </c>
      <c r="L12110" s="88" t="n">
        <v>201208</v>
      </c>
      <c r="M12110" s="88">
        <f>VLOOKUP($Q12110,매칭테이블!$F:$I,2,0)*K12110</f>
        <v/>
      </c>
      <c r="N12110" s="88">
        <f>M12110-M12110*VLOOKUP($Q12110,매칭테이블!$F:$I,3,0)</f>
        <v/>
      </c>
      <c r="O12110" s="88">
        <f>VLOOKUP($Q12110,매칭테이블!$F:$I,4,0)*K12110</f>
        <v/>
      </c>
      <c r="P12110" s="152">
        <f>M12110/1.1</f>
        <v/>
      </c>
      <c r="Q12110" s="88">
        <f>F12110&amp;E12110&amp;G12110&amp;L12110</f>
        <v/>
      </c>
    </row>
    <row r="12111">
      <c r="B12111" s="128" t="n">
        <v>44179</v>
      </c>
      <c r="C12111" s="88">
        <f>TEXT(B12111,"aaa")</f>
        <v/>
      </c>
      <c r="D12111" s="94" t="n"/>
      <c r="E12111" s="88">
        <f>INDEX(매칭테이블!C:D,MATCH(RD!G12111,매칭테이블!D:D,0),1)</f>
        <v/>
      </c>
      <c r="F12111" s="94" t="inlineStr">
        <is>
          <t>카페24</t>
        </is>
      </c>
      <c r="G12111" s="94" t="inlineStr">
        <is>
          <t>어성초 77 수딩 토너토너(필수)=(대용량) 어성초 77 토너 500ml (무료배송)</t>
        </is>
      </c>
      <c r="K12111" s="94" t="n">
        <v>4</v>
      </c>
      <c r="L12111" s="88" t="n">
        <v>201208</v>
      </c>
      <c r="M12111" s="88">
        <f>VLOOKUP($Q12111,매칭테이블!$F:$I,2,0)*K12111</f>
        <v/>
      </c>
      <c r="N12111" s="88">
        <f>M12111-M12111*VLOOKUP($Q12111,매칭테이블!$F:$I,3,0)</f>
        <v/>
      </c>
      <c r="O12111" s="88">
        <f>VLOOKUP($Q12111,매칭테이블!$F:$I,4,0)*K12111</f>
        <v/>
      </c>
      <c r="P12111" s="152">
        <f>M12111/1.1</f>
        <v/>
      </c>
      <c r="Q12111" s="88">
        <f>F12111&amp;E12111&amp;G12111&amp;L12111</f>
        <v/>
      </c>
    </row>
    <row r="12112">
      <c r="B12112" s="128" t="n">
        <v>44179</v>
      </c>
      <c r="C12112" s="88">
        <f>TEXT(B12112,"aaa")</f>
        <v/>
      </c>
      <c r="D12112" s="94" t="n"/>
      <c r="E12112" s="88">
        <f>INDEX(매칭테이블!C:D,MATCH(RD!G12112,매칭테이블!D:D,0),1)</f>
        <v/>
      </c>
      <c r="F12112" s="94" t="inlineStr">
        <is>
          <t>카페24</t>
        </is>
      </c>
      <c r="G12112" s="94" t="inlineStr">
        <is>
          <t>어성초 77 진정 마스크옵션=어성초 77 진정 마스크팩 1장</t>
        </is>
      </c>
      <c r="K12112" s="94" t="n">
        <v>4</v>
      </c>
      <c r="L12112" s="88" t="n">
        <v>201208</v>
      </c>
      <c r="M12112" s="88">
        <f>VLOOKUP($Q12112,매칭테이블!$F:$I,2,0)*K12112</f>
        <v/>
      </c>
      <c r="N12112" s="88">
        <f>M12112-M12112*VLOOKUP($Q12112,매칭테이블!$F:$I,3,0)</f>
        <v/>
      </c>
      <c r="O12112" s="88">
        <f>VLOOKUP($Q12112,매칭테이블!$F:$I,4,0)*K12112</f>
        <v/>
      </c>
      <c r="P12112" s="152">
        <f>M12112/1.1</f>
        <v/>
      </c>
      <c r="Q12112" s="88">
        <f>F12112&amp;E12112&amp;G12112&amp;L12112</f>
        <v/>
      </c>
    </row>
    <row r="12113">
      <c r="B12113" s="128" t="n">
        <v>44179</v>
      </c>
      <c r="C12113" s="88">
        <f>TEXT(B12113,"aaa")</f>
        <v/>
      </c>
      <c r="D12113" s="94" t="n"/>
      <c r="E12113" s="88">
        <f>INDEX(매칭테이블!C:D,MATCH(RD!G12113,매칭테이블!D:D,0),1)</f>
        <v/>
      </c>
      <c r="F12113" s="94" t="inlineStr">
        <is>
          <t>카페24</t>
        </is>
      </c>
      <c r="G12113" s="94" t="inlineStr">
        <is>
          <t>어성초 77 진정 마스크옵션=어성초 77 진정 마스크팩 10장-50% off</t>
        </is>
      </c>
      <c r="K12113" s="94" t="n">
        <v>6</v>
      </c>
      <c r="L12113" s="88" t="n">
        <v>201208</v>
      </c>
      <c r="M12113" s="88">
        <f>VLOOKUP($Q12113,매칭테이블!$F:$I,2,0)*K12113</f>
        <v/>
      </c>
      <c r="N12113" s="88">
        <f>M12113-M12113*VLOOKUP($Q12113,매칭테이블!$F:$I,3,0)</f>
        <v/>
      </c>
      <c r="O12113" s="88">
        <f>VLOOKUP($Q12113,매칭테이블!$F:$I,4,0)*K12113</f>
        <v/>
      </c>
      <c r="P12113" s="152">
        <f>M12113/1.1</f>
        <v/>
      </c>
      <c r="Q12113" s="88">
        <f>F12113&amp;E12113&amp;G12113&amp;L12113</f>
        <v/>
      </c>
    </row>
    <row r="12114">
      <c r="B12114" s="128" t="n">
        <v>44179</v>
      </c>
      <c r="C12114" s="88">
        <f>TEXT(B12114,"aaa")</f>
        <v/>
      </c>
      <c r="D12114" s="94" t="n"/>
      <c r="E12114" s="88">
        <f>INDEX(매칭테이블!C:D,MATCH(RD!G12114,매칭테이블!D:D,0),1)</f>
        <v/>
      </c>
      <c r="F12114" s="94" t="inlineStr">
        <is>
          <t>카페24</t>
        </is>
      </c>
      <c r="G12114" s="94" t="inlineStr">
        <is>
          <t>어성초 77 진정 마스크</t>
        </is>
      </c>
      <c r="K12114" s="94" t="n">
        <v>7</v>
      </c>
      <c r="L12114" s="88" t="n">
        <v>201208</v>
      </c>
      <c r="M12114" s="88">
        <f>VLOOKUP($Q12114,매칭테이블!$F:$I,2,0)*K12114</f>
        <v/>
      </c>
      <c r="N12114" s="88">
        <f>M12114-M12114*VLOOKUP($Q12114,매칭테이블!$F:$I,3,0)</f>
        <v/>
      </c>
      <c r="O12114" s="88">
        <f>VLOOKUP($Q12114,매칭테이블!$F:$I,4,0)*K12114</f>
        <v/>
      </c>
      <c r="P12114" s="152">
        <f>M12114/1.1</f>
        <v/>
      </c>
      <c r="Q12114" s="88">
        <f>F12114&amp;E12114&amp;G12114&amp;L12114</f>
        <v/>
      </c>
    </row>
    <row r="12115">
      <c r="B12115" s="128" t="n">
        <v>44179</v>
      </c>
      <c r="C12115" s="88">
        <f>TEXT(B12115,"aaa")</f>
        <v/>
      </c>
      <c r="D12115" s="94" t="n"/>
      <c r="E12115" s="88">
        <f>INDEX(매칭테이블!C:D,MATCH(RD!G12115,매칭테이블!D:D,0),1)</f>
        <v/>
      </c>
      <c r="F12115" s="94" t="inlineStr">
        <is>
          <t>카페24</t>
        </is>
      </c>
      <c r="G12115" s="94" t="inlineStr">
        <is>
          <t>어성초 77 클리어 패드옵션=어성초 77 클리어 패드 1개-20% off</t>
        </is>
      </c>
      <c r="K12115" s="94" t="n">
        <v>30</v>
      </c>
      <c r="L12115" s="88" t="n">
        <v>201208</v>
      </c>
      <c r="M12115" s="88">
        <f>VLOOKUP($Q12115,매칭테이블!$F:$I,2,0)*K12115</f>
        <v/>
      </c>
      <c r="N12115" s="88">
        <f>M12115-M12115*VLOOKUP($Q12115,매칭테이블!$F:$I,3,0)</f>
        <v/>
      </c>
      <c r="O12115" s="88">
        <f>VLOOKUP($Q12115,매칭테이블!$F:$I,4,0)*K12115</f>
        <v/>
      </c>
      <c r="P12115" s="152">
        <f>M12115/1.1</f>
        <v/>
      </c>
      <c r="Q12115" s="88">
        <f>F12115&amp;E12115&amp;G12115&amp;L12115</f>
        <v/>
      </c>
    </row>
    <row r="12116">
      <c r="B12116" s="128" t="n">
        <v>44179</v>
      </c>
      <c r="C12116" s="88">
        <f>TEXT(B12116,"aaa")</f>
        <v/>
      </c>
      <c r="D12116" s="94" t="n"/>
      <c r="E12116" s="88">
        <f>INDEX(매칭테이블!C:D,MATCH(RD!G12116,매칭테이블!D:D,0),1)</f>
        <v/>
      </c>
      <c r="F12116" s="94" t="inlineStr">
        <is>
          <t>카페24</t>
        </is>
      </c>
      <c r="G12116" s="94" t="inlineStr">
        <is>
          <t>어성초 77 클리어 패드옵션=어성초 77 클리어 패드 2개-30% off (무료배송)</t>
        </is>
      </c>
      <c r="K12116" s="94" t="n">
        <v>22</v>
      </c>
      <c r="L12116" s="88" t="n">
        <v>201208</v>
      </c>
      <c r="M12116" s="88">
        <f>VLOOKUP($Q12116,매칭테이블!$F:$I,2,0)*K12116</f>
        <v/>
      </c>
      <c r="N12116" s="88">
        <f>M12116-M12116*VLOOKUP($Q12116,매칭테이블!$F:$I,3,0)</f>
        <v/>
      </c>
      <c r="O12116" s="88">
        <f>VLOOKUP($Q12116,매칭테이블!$F:$I,4,0)*K12116</f>
        <v/>
      </c>
      <c r="P12116" s="152">
        <f>M12116/1.1</f>
        <v/>
      </c>
      <c r="Q12116" s="88">
        <f>F12116&amp;E12116&amp;G12116&amp;L12116</f>
        <v/>
      </c>
    </row>
    <row r="12117">
      <c r="B12117" s="128" t="n">
        <v>44179</v>
      </c>
      <c r="C12117" s="88">
        <f>TEXT(B12117,"aaa")</f>
        <v/>
      </c>
      <c r="D12117" s="94" t="n"/>
      <c r="E12117" s="88">
        <f>INDEX(매칭테이블!C:D,MATCH(RD!G12117,매칭테이블!D:D,0),1)</f>
        <v/>
      </c>
      <c r="F12117" s="94" t="inlineStr">
        <is>
          <t>카페24</t>
        </is>
      </c>
      <c r="G12117" s="94" t="inlineStr">
        <is>
          <t>어성초 77 클리어 패드옵션=어성초77토너1개+어성초77패드1개-30% off (무료배송)</t>
        </is>
      </c>
      <c r="K12117" s="94" t="n">
        <v>16</v>
      </c>
      <c r="L12117" s="88" t="n">
        <v>201208</v>
      </c>
      <c r="M12117" s="88">
        <f>VLOOKUP($Q12117,매칭테이블!$F:$I,2,0)*K12117</f>
        <v/>
      </c>
      <c r="N12117" s="88">
        <f>M12117-M12117*VLOOKUP($Q12117,매칭테이블!$F:$I,3,0)</f>
        <v/>
      </c>
      <c r="O12117" s="88">
        <f>VLOOKUP($Q12117,매칭테이블!$F:$I,4,0)*K12117</f>
        <v/>
      </c>
      <c r="P12117" s="152">
        <f>M12117/1.1</f>
        <v/>
      </c>
      <c r="Q12117" s="88">
        <f>F12117&amp;E12117&amp;G12117&amp;L12117</f>
        <v/>
      </c>
    </row>
    <row r="12118">
      <c r="B12118" s="128" t="n">
        <v>44179</v>
      </c>
      <c r="C12118" s="88">
        <f>TEXT(B12118,"aaa")</f>
        <v/>
      </c>
      <c r="D12118" s="94" t="n"/>
      <c r="E12118" s="88">
        <f>INDEX(매칭테이블!C:D,MATCH(RD!G12118,매칭테이블!D:D,0),1)</f>
        <v/>
      </c>
      <c r="F12118" s="94" t="inlineStr">
        <is>
          <t>카페24</t>
        </is>
      </c>
      <c r="G12118" s="94" t="inlineStr">
        <is>
          <t>어성초 77 클리어 패드옵션=어성초 77 클리어 패드 1개-20% off</t>
        </is>
      </c>
      <c r="K12118" s="94" t="n">
        <v>1</v>
      </c>
      <c r="L12118" s="88" t="n">
        <v>201208</v>
      </c>
      <c r="M12118" s="88">
        <f>VLOOKUP($Q12118,매칭테이블!$F:$I,2,0)*K12118</f>
        <v/>
      </c>
      <c r="N12118" s="88">
        <f>M12118-M12118*VLOOKUP($Q12118,매칭테이블!$F:$I,3,0)</f>
        <v/>
      </c>
      <c r="O12118" s="88">
        <f>VLOOKUP($Q12118,매칭테이블!$F:$I,4,0)*K12118</f>
        <v/>
      </c>
      <c r="P12118" s="152">
        <f>M12118/1.1</f>
        <v/>
      </c>
      <c r="Q12118" s="88">
        <f>F12118&amp;E12118&amp;G12118&amp;L12118</f>
        <v/>
      </c>
    </row>
    <row r="12119">
      <c r="B12119" s="128" t="n">
        <v>44179</v>
      </c>
      <c r="C12119" s="88">
        <f>TEXT(B12119,"aaa")</f>
        <v/>
      </c>
      <c r="D12119" s="94" t="n"/>
      <c r="E12119" s="88">
        <f>INDEX(매칭테이블!C:D,MATCH(RD!G12119,매칭테이블!D:D,0),1)</f>
        <v/>
      </c>
      <c r="F12119" s="94" t="inlineStr">
        <is>
          <t>카페24</t>
        </is>
      </c>
      <c r="G12119" s="94" t="inlineStr">
        <is>
          <t>어성초 77 클리어 패드옵션=어성초 77 클리어 패드 2개-30% off (무료배송)</t>
        </is>
      </c>
      <c r="K12119" s="94" t="n">
        <v>4</v>
      </c>
      <c r="L12119" s="88" t="n">
        <v>201208</v>
      </c>
      <c r="M12119" s="88">
        <f>VLOOKUP($Q12119,매칭테이블!$F:$I,2,0)*K12119</f>
        <v/>
      </c>
      <c r="N12119" s="88">
        <f>M12119-M12119*VLOOKUP($Q12119,매칭테이블!$F:$I,3,0)</f>
        <v/>
      </c>
      <c r="O12119" s="88">
        <f>VLOOKUP($Q12119,매칭테이블!$F:$I,4,0)*K12119</f>
        <v/>
      </c>
      <c r="P12119" s="152">
        <f>M12119/1.1</f>
        <v/>
      </c>
      <c r="Q12119" s="88">
        <f>F12119&amp;E12119&amp;G12119&amp;L12119</f>
        <v/>
      </c>
    </row>
    <row r="12120">
      <c r="B12120" s="128" t="n">
        <v>44179</v>
      </c>
      <c r="C12120" s="88">
        <f>TEXT(B12120,"aaa")</f>
        <v/>
      </c>
      <c r="D12120" s="94" t="n"/>
      <c r="E12120" s="88">
        <f>INDEX(매칭테이블!C:D,MATCH(RD!G12120,매칭테이블!D:D,0),1)</f>
        <v/>
      </c>
      <c r="F12120" s="94" t="inlineStr">
        <is>
          <t>카페24</t>
        </is>
      </c>
      <c r="G12120" s="94" t="inlineStr">
        <is>
          <t>어성초 77 클리어 패드옵션=어성초77토너1개+어성초77패드1개-30% off (무료배송)</t>
        </is>
      </c>
      <c r="K12120" s="94" t="n">
        <v>2</v>
      </c>
      <c r="L12120" s="88" t="n">
        <v>201208</v>
      </c>
      <c r="M12120" s="88">
        <f>VLOOKUP($Q12120,매칭테이블!$F:$I,2,0)*K12120</f>
        <v/>
      </c>
      <c r="N12120" s="88">
        <f>M12120-M12120*VLOOKUP($Q12120,매칭테이블!$F:$I,3,0)</f>
        <v/>
      </c>
      <c r="O12120" s="88">
        <f>VLOOKUP($Q12120,매칭테이블!$F:$I,4,0)*K12120</f>
        <v/>
      </c>
      <c r="P12120" s="152">
        <f>M12120/1.1</f>
        <v/>
      </c>
      <c r="Q12120" s="88">
        <f>F12120&amp;E12120&amp;G12120&amp;L12120</f>
        <v/>
      </c>
    </row>
    <row r="12121">
      <c r="B12121" s="128" t="n">
        <v>44179</v>
      </c>
      <c r="C12121" s="88">
        <f>TEXT(B12121,"aaa")</f>
        <v/>
      </c>
      <c r="D12121" s="94" t="n"/>
      <c r="E12121" s="88">
        <f>INDEX(매칭테이블!C:D,MATCH(RD!G12121,매칭테이블!D:D,0),1)</f>
        <v/>
      </c>
      <c r="F12121" s="94" t="inlineStr">
        <is>
          <t>카페24</t>
        </is>
      </c>
      <c r="G12121" s="94" t="inlineStr">
        <is>
          <t>어성초 78 수딩 크림</t>
        </is>
      </c>
      <c r="K12121" s="94" t="n">
        <v>6</v>
      </c>
      <c r="L12121" s="88" t="n">
        <v>201208</v>
      </c>
      <c r="M12121" s="88">
        <f>VLOOKUP($Q12121,매칭테이블!$F:$I,2,0)*K12121</f>
        <v/>
      </c>
      <c r="N12121" s="88">
        <f>M12121-M12121*VLOOKUP($Q12121,매칭테이블!$F:$I,3,0)</f>
        <v/>
      </c>
      <c r="O12121" s="88">
        <f>VLOOKUP($Q12121,매칭테이블!$F:$I,4,0)*K12121</f>
        <v/>
      </c>
      <c r="P12121" s="152">
        <f>M12121/1.1</f>
        <v/>
      </c>
      <c r="Q12121" s="88">
        <f>F12121&amp;E12121&amp;G12121&amp;L12121</f>
        <v/>
      </c>
    </row>
    <row r="12122">
      <c r="B12122" s="128" t="n">
        <v>44179</v>
      </c>
      <c r="C12122" s="88">
        <f>TEXT(B12122,"aaa")</f>
        <v/>
      </c>
      <c r="D12122" s="94" t="n"/>
      <c r="E12122" s="88">
        <f>INDEX(매칭테이블!C:D,MATCH(RD!G12122,매칭테이블!D:D,0),1)</f>
        <v/>
      </c>
      <c r="F12122" s="94" t="inlineStr">
        <is>
          <t>카페24</t>
        </is>
      </c>
      <c r="G12122" s="94" t="inlineStr">
        <is>
          <t>어성초 78 수딩 크림</t>
        </is>
      </c>
      <c r="K12122" s="94" t="n">
        <v>2</v>
      </c>
      <c r="L12122" s="88" t="n">
        <v>201208</v>
      </c>
      <c r="M12122" s="88">
        <f>VLOOKUP($Q12122,매칭테이블!$F:$I,2,0)*K12122</f>
        <v/>
      </c>
      <c r="N12122" s="88">
        <f>M12122-M12122*VLOOKUP($Q12122,매칭테이블!$F:$I,3,0)</f>
        <v/>
      </c>
      <c r="O12122" s="88">
        <f>VLOOKUP($Q12122,매칭테이블!$F:$I,4,0)*K12122</f>
        <v/>
      </c>
      <c r="P12122" s="152">
        <f>M12122/1.1</f>
        <v/>
      </c>
      <c r="Q12122" s="88">
        <f>F12122&amp;E12122&amp;G12122&amp;L12122</f>
        <v/>
      </c>
    </row>
    <row r="12123">
      <c r="B12123" s="128" t="n">
        <v>44179</v>
      </c>
      <c r="C12123" s="88">
        <f>TEXT(B12123,"aaa")</f>
        <v/>
      </c>
      <c r="D12123" s="94" t="n"/>
      <c r="E12123" s="88">
        <f>INDEX(매칭테이블!C:D,MATCH(RD!G12123,매칭테이블!D:D,0),1)</f>
        <v/>
      </c>
      <c r="F12123" s="94" t="inlineStr">
        <is>
          <t>카페24</t>
        </is>
      </c>
      <c r="G12123" s="94" t="inlineStr">
        <is>
          <t>어성초 80 수분 진정 앰플앰플=어성초 80 앰플 1개-15%off</t>
        </is>
      </c>
      <c r="K12123" s="94" t="n">
        <v>23</v>
      </c>
      <c r="L12123" s="88" t="n">
        <v>201208</v>
      </c>
      <c r="M12123" s="88">
        <f>VLOOKUP($Q12123,매칭테이블!$F:$I,2,0)*K12123</f>
        <v/>
      </c>
      <c r="N12123" s="88">
        <f>M12123-M12123*VLOOKUP($Q12123,매칭테이블!$F:$I,3,0)</f>
        <v/>
      </c>
      <c r="O12123" s="88">
        <f>VLOOKUP($Q12123,매칭테이블!$F:$I,4,0)*K12123</f>
        <v/>
      </c>
      <c r="P12123" s="152">
        <f>M12123/1.1</f>
        <v/>
      </c>
      <c r="Q12123" s="88">
        <f>F12123&amp;E12123&amp;G12123&amp;L12123</f>
        <v/>
      </c>
    </row>
    <row r="12124">
      <c r="B12124" s="128" t="n">
        <v>44179</v>
      </c>
      <c r="C12124" s="88">
        <f>TEXT(B12124,"aaa")</f>
        <v/>
      </c>
      <c r="D12124" s="94" t="n"/>
      <c r="E12124" s="88">
        <f>INDEX(매칭테이블!C:D,MATCH(RD!G12124,매칭테이블!D:D,0),1)</f>
        <v/>
      </c>
      <c r="F12124" s="94" t="inlineStr">
        <is>
          <t>카페24</t>
        </is>
      </c>
      <c r="G12124" s="94" t="inlineStr">
        <is>
          <t>어성초 80 수분 진정 앰플앰플=어성초 80 앰플 2개-27%off (무료배송)</t>
        </is>
      </c>
      <c r="K12124" s="94" t="n">
        <v>4</v>
      </c>
      <c r="L12124" s="88" t="n">
        <v>201208</v>
      </c>
      <c r="M12124" s="88">
        <f>VLOOKUP($Q12124,매칭테이블!$F:$I,2,0)*K12124</f>
        <v/>
      </c>
      <c r="N12124" s="88">
        <f>M12124-M12124*VLOOKUP($Q12124,매칭테이블!$F:$I,3,0)</f>
        <v/>
      </c>
      <c r="O12124" s="88">
        <f>VLOOKUP($Q12124,매칭테이블!$F:$I,4,0)*K12124</f>
        <v/>
      </c>
      <c r="P12124" s="152">
        <f>M12124/1.1</f>
        <v/>
      </c>
      <c r="Q12124" s="88">
        <f>F12124&amp;E12124&amp;G12124&amp;L12124</f>
        <v/>
      </c>
    </row>
    <row r="12125">
      <c r="B12125" s="128" t="n">
        <v>44179</v>
      </c>
      <c r="C12125" s="88">
        <f>TEXT(B12125,"aaa")</f>
        <v/>
      </c>
      <c r="D12125" s="94" t="n"/>
      <c r="E12125" s="88">
        <f>INDEX(매칭테이블!C:D,MATCH(RD!G12125,매칭테이블!D:D,0),1)</f>
        <v/>
      </c>
      <c r="F12125" s="94" t="inlineStr">
        <is>
          <t>카페24</t>
        </is>
      </c>
      <c r="G12125" s="94" t="inlineStr">
        <is>
          <t>어성초 80 수분 진정 앰플</t>
        </is>
      </c>
      <c r="K12125" s="94" t="n">
        <v>1</v>
      </c>
      <c r="L12125" s="88" t="n">
        <v>201208</v>
      </c>
      <c r="M12125" s="88">
        <f>VLOOKUP($Q12125,매칭테이블!$F:$I,2,0)*K12125</f>
        <v/>
      </c>
      <c r="N12125" s="88">
        <f>M12125-M12125*VLOOKUP($Q12125,매칭테이블!$F:$I,3,0)</f>
        <v/>
      </c>
      <c r="O12125" s="88">
        <f>VLOOKUP($Q12125,매칭테이블!$F:$I,4,0)*K12125</f>
        <v/>
      </c>
      <c r="P12125" s="152">
        <f>M12125/1.1</f>
        <v/>
      </c>
      <c r="Q12125" s="88">
        <f>F12125&amp;E12125&amp;G12125&amp;L12125</f>
        <v/>
      </c>
    </row>
    <row r="12126">
      <c r="B12126" s="128" t="n">
        <v>44179</v>
      </c>
      <c r="C12126" s="88">
        <f>TEXT(B12126,"aaa")</f>
        <v/>
      </c>
      <c r="D12126" s="94" t="n"/>
      <c r="E12126" s="88">
        <f>INDEX(매칭테이블!C:D,MATCH(RD!G12126,매칭테이블!D:D,0),1)</f>
        <v/>
      </c>
      <c r="F12126" s="94" t="inlineStr">
        <is>
          <t>카페24</t>
        </is>
      </c>
      <c r="G12126" s="94" t="inlineStr">
        <is>
          <t>어성초 아크네 바디워시옵션=어성초 아크네 바디워시 1개 -30% off</t>
        </is>
      </c>
      <c r="K12126" s="94" t="n">
        <v>3</v>
      </c>
      <c r="L12126" s="88" t="n">
        <v>201208</v>
      </c>
      <c r="M12126" s="88">
        <f>VLOOKUP($Q12126,매칭테이블!$F:$I,2,0)*K12126</f>
        <v/>
      </c>
      <c r="N12126" s="88">
        <f>M12126-M12126*VLOOKUP($Q12126,매칭테이블!$F:$I,3,0)</f>
        <v/>
      </c>
      <c r="O12126" s="88">
        <f>VLOOKUP($Q12126,매칭테이블!$F:$I,4,0)*K12126</f>
        <v/>
      </c>
      <c r="P12126" s="152">
        <f>M12126/1.1</f>
        <v/>
      </c>
      <c r="Q12126" s="88">
        <f>F12126&amp;E12126&amp;G12126&amp;L12126</f>
        <v/>
      </c>
    </row>
    <row r="12127">
      <c r="B12127" s="128" t="n">
        <v>44179</v>
      </c>
      <c r="C12127" s="88">
        <f>TEXT(B12127,"aaa")</f>
        <v/>
      </c>
      <c r="D12127" s="94" t="n"/>
      <c r="E12127" s="88">
        <f>INDEX(매칭테이블!C:D,MATCH(RD!G12127,매칭테이블!D:D,0),1)</f>
        <v/>
      </c>
      <c r="F12127" s="94" t="inlineStr">
        <is>
          <t>카페24</t>
        </is>
      </c>
      <c r="G12127" s="94" t="inlineStr">
        <is>
          <t>어성초 아크네 바디워시옵션=어성초 아크네 바디워시 2개 -35% off (무료배송)</t>
        </is>
      </c>
      <c r="K12127" s="94" t="n">
        <v>1</v>
      </c>
      <c r="L12127" s="88" t="n">
        <v>201208</v>
      </c>
      <c r="M12127" s="88">
        <f>VLOOKUP($Q12127,매칭테이블!$F:$I,2,0)*K12127</f>
        <v/>
      </c>
      <c r="N12127" s="88">
        <f>M12127-M12127*VLOOKUP($Q12127,매칭테이블!$F:$I,3,0)</f>
        <v/>
      </c>
      <c r="O12127" s="88">
        <f>VLOOKUP($Q12127,매칭테이블!$F:$I,4,0)*K12127</f>
        <v/>
      </c>
      <c r="P12127" s="152">
        <f>M12127/1.1</f>
        <v/>
      </c>
      <c r="Q12127" s="88">
        <f>F12127&amp;E12127&amp;G12127&amp;L12127</f>
        <v/>
      </c>
    </row>
    <row r="12128">
      <c r="B12128" s="128" t="n">
        <v>44179</v>
      </c>
      <c r="C12128" s="88">
        <f>TEXT(B12128,"aaa")</f>
        <v/>
      </c>
      <c r="D12128" s="94" t="n"/>
      <c r="E12128" s="88">
        <f>INDEX(매칭테이블!C:D,MATCH(RD!G12128,매칭테이블!D:D,0),1)</f>
        <v/>
      </c>
      <c r="F12128" s="94" t="inlineStr">
        <is>
          <t>카페24</t>
        </is>
      </c>
      <c r="G12128" s="94" t="inlineStr">
        <is>
          <t>어성초 약산성 클렌징폼클렌징폼=어성초 약산성 클렌징폼 1개 -19%off</t>
        </is>
      </c>
      <c r="K12128" s="94" t="n">
        <v>11</v>
      </c>
      <c r="L12128" s="88" t="n">
        <v>201208</v>
      </c>
      <c r="M12128" s="88">
        <f>VLOOKUP($Q12128,매칭테이블!$F:$I,2,0)*K12128</f>
        <v/>
      </c>
      <c r="N12128" s="88">
        <f>M12128-M12128*VLOOKUP($Q12128,매칭테이블!$F:$I,3,0)</f>
        <v/>
      </c>
      <c r="O12128" s="88">
        <f>VLOOKUP($Q12128,매칭테이블!$F:$I,4,0)*K12128</f>
        <v/>
      </c>
      <c r="P12128" s="152">
        <f>M12128/1.1</f>
        <v/>
      </c>
      <c r="Q12128" s="88">
        <f>F12128&amp;E12128&amp;G12128&amp;L12128</f>
        <v/>
      </c>
    </row>
    <row r="12129">
      <c r="B12129" s="128" t="n">
        <v>44179</v>
      </c>
      <c r="C12129" s="88">
        <f>TEXT(B12129,"aaa")</f>
        <v/>
      </c>
      <c r="D12129" s="94" t="n"/>
      <c r="E12129" s="88">
        <f>INDEX(매칭테이블!C:D,MATCH(RD!G12129,매칭테이블!D:D,0),1)</f>
        <v/>
      </c>
      <c r="F12129" s="94" t="inlineStr">
        <is>
          <t>카페24</t>
        </is>
      </c>
      <c r="G12129" s="94" t="inlineStr">
        <is>
          <t>어성초 약산성 클렌징폼클렌징폼=어성초 약산성 클렌징폼 2개 -25%off</t>
        </is>
      </c>
      <c r="K12129" s="94" t="n">
        <v>7</v>
      </c>
      <c r="L12129" s="88" t="n">
        <v>201208</v>
      </c>
      <c r="M12129" s="88">
        <f>VLOOKUP($Q12129,매칭테이블!$F:$I,2,0)*K12129</f>
        <v/>
      </c>
      <c r="N12129" s="88">
        <f>M12129-M12129*VLOOKUP($Q12129,매칭테이블!$F:$I,3,0)</f>
        <v/>
      </c>
      <c r="O12129" s="88">
        <f>VLOOKUP($Q12129,매칭테이블!$F:$I,4,0)*K12129</f>
        <v/>
      </c>
      <c r="P12129" s="152">
        <f>M12129/1.1</f>
        <v/>
      </c>
      <c r="Q12129" s="88">
        <f>F12129&amp;E12129&amp;G12129&amp;L12129</f>
        <v/>
      </c>
    </row>
    <row r="12130">
      <c r="B12130" s="128" t="n">
        <v>44179</v>
      </c>
      <c r="C12130" s="88">
        <f>TEXT(B12130,"aaa")</f>
        <v/>
      </c>
      <c r="D12130" s="94" t="n"/>
      <c r="E12130" s="88">
        <f>INDEX(매칭테이블!C:D,MATCH(RD!G12130,매칭테이블!D:D,0),1)</f>
        <v/>
      </c>
      <c r="F12130" s="94" t="inlineStr">
        <is>
          <t>카페24</t>
        </is>
      </c>
      <c r="G12130" s="94" t="inlineStr">
        <is>
          <t>어성초 크림마스크 나이트 솔루션옵션=어성초 크림마스크 나이트 솔루션 1장</t>
        </is>
      </c>
      <c r="K12130" s="94" t="n">
        <v>3</v>
      </c>
      <c r="L12130" s="88" t="n">
        <v>201208</v>
      </c>
      <c r="M12130" s="88">
        <f>VLOOKUP($Q12130,매칭테이블!$F:$I,2,0)*K12130</f>
        <v/>
      </c>
      <c r="N12130" s="88">
        <f>M12130-M12130*VLOOKUP($Q12130,매칭테이블!$F:$I,3,0)</f>
        <v/>
      </c>
      <c r="O12130" s="88">
        <f>VLOOKUP($Q12130,매칭테이블!$F:$I,4,0)*K12130</f>
        <v/>
      </c>
      <c r="P12130" s="152">
        <f>M12130/1.1</f>
        <v/>
      </c>
      <c r="Q12130" s="88">
        <f>F12130&amp;E12130&amp;G12130&amp;L12130</f>
        <v/>
      </c>
    </row>
    <row r="12131">
      <c r="B12131" s="128" t="n">
        <v>44179</v>
      </c>
      <c r="C12131" s="88">
        <f>TEXT(B12131,"aaa")</f>
        <v/>
      </c>
      <c r="D12131" s="94" t="n"/>
      <c r="E12131" s="88">
        <f>INDEX(매칭테이블!C:D,MATCH(RD!G12131,매칭테이블!D:D,0),1)</f>
        <v/>
      </c>
      <c r="F12131" s="94" t="inlineStr">
        <is>
          <t>카페24</t>
        </is>
      </c>
      <c r="G12131" s="94" t="inlineStr">
        <is>
          <t>어성초 크림마스크 나이트 솔루션옵션=어성초 크림마스크 나이트 솔루션 10장 (-50%)</t>
        </is>
      </c>
      <c r="K12131" s="94" t="n">
        <v>3</v>
      </c>
      <c r="L12131" s="88" t="n">
        <v>201208</v>
      </c>
      <c r="M12131" s="88">
        <f>VLOOKUP($Q12131,매칭테이블!$F:$I,2,0)*K12131</f>
        <v/>
      </c>
      <c r="N12131" s="88">
        <f>M12131-M12131*VLOOKUP($Q12131,매칭테이블!$F:$I,3,0)</f>
        <v/>
      </c>
      <c r="O12131" s="88">
        <f>VLOOKUP($Q12131,매칭테이블!$F:$I,4,0)*K12131</f>
        <v/>
      </c>
      <c r="P12131" s="152">
        <f>M12131/1.1</f>
        <v/>
      </c>
      <c r="Q12131" s="88">
        <f>F12131&amp;E12131&amp;G12131&amp;L12131</f>
        <v/>
      </c>
    </row>
    <row r="12132">
      <c r="B12132" s="128" t="n">
        <v>44179</v>
      </c>
      <c r="C12132" s="88">
        <f>TEXT(B12132,"aaa")</f>
        <v/>
      </c>
      <c r="D12132" s="94" t="n"/>
      <c r="E12132" s="88">
        <f>INDEX(매칭테이블!C:D,MATCH(RD!G12132,매칭테이블!D:D,0),1)</f>
        <v/>
      </c>
      <c r="F12132" s="94" t="inlineStr">
        <is>
          <t>카페24</t>
        </is>
      </c>
      <c r="G12132" s="94" t="inlineStr">
        <is>
          <t>촉촉 스킨팩 화장솜</t>
        </is>
      </c>
      <c r="K12132" s="94" t="n">
        <v>34</v>
      </c>
      <c r="L12132" s="88" t="n">
        <v>201208</v>
      </c>
      <c r="M12132" s="88">
        <f>VLOOKUP($Q12132,매칭테이블!$F:$I,2,0)*K12132</f>
        <v/>
      </c>
      <c r="N12132" s="88">
        <f>M12132-M12132*VLOOKUP($Q12132,매칭테이블!$F:$I,3,0)</f>
        <v/>
      </c>
      <c r="O12132" s="88">
        <f>VLOOKUP($Q12132,매칭테이블!$F:$I,4,0)*K12132</f>
        <v/>
      </c>
      <c r="P12132" s="152">
        <f>M12132/1.1</f>
        <v/>
      </c>
      <c r="Q12132" s="88">
        <f>F12132&amp;E12132&amp;G12132&amp;L12132</f>
        <v/>
      </c>
    </row>
    <row r="12133">
      <c r="B12133" s="128" t="n">
        <v>44179</v>
      </c>
      <c r="C12133" s="88">
        <f>TEXT(B12133,"aaa")</f>
        <v/>
      </c>
      <c r="D12133" s="94" t="n"/>
      <c r="E12133" s="88">
        <f>INDEX(매칭테이블!C:D,MATCH(RD!G12133,매칭테이블!D:D,0),1)</f>
        <v/>
      </c>
      <c r="F12133" s="94" t="inlineStr">
        <is>
          <t>화해</t>
        </is>
      </c>
      <c r="G12133" s="94" t="inlineStr">
        <is>
          <t>어성초 77 토너 250ml어성초 77 토너 250ml</t>
        </is>
      </c>
      <c r="K12133" s="94" t="n">
        <v>2</v>
      </c>
      <c r="L12133" s="88" t="n">
        <v>201208</v>
      </c>
      <c r="M12133" s="88">
        <f>VLOOKUP($Q12133,매칭테이블!$F:$I,2,0)*K12133</f>
        <v/>
      </c>
      <c r="N12133" s="88">
        <f>M12133-M12133*VLOOKUP($Q12133,매칭테이블!$F:$I,3,0)</f>
        <v/>
      </c>
      <c r="O12133" s="88">
        <f>VLOOKUP($Q12133,매칭테이블!$F:$I,4,0)*K12133</f>
        <v/>
      </c>
      <c r="P12133" s="152">
        <f>M12133/1.1</f>
        <v/>
      </c>
      <c r="Q12133" s="88">
        <f>F12133&amp;E12133&amp;G12133&amp;L12133</f>
        <v/>
      </c>
    </row>
    <row r="12134">
      <c r="B12134" s="128" t="n">
        <v>44180</v>
      </c>
      <c r="C12134" s="88">
        <f>TEXT(B12134,"aaa")</f>
        <v/>
      </c>
      <c r="D12134" s="94" t="n"/>
      <c r="E12134" s="88">
        <f>INDEX(매칭테이블!C:D,MATCH(RD!G12134,매칭테이블!D:D,0),1)</f>
        <v/>
      </c>
      <c r="F12134" s="94" t="inlineStr">
        <is>
          <t>스타일쉐어</t>
        </is>
      </c>
      <c r="G12134" s="94" t="inlineStr">
        <is>
          <t>아누아 어성초 77 토너 250ml</t>
        </is>
      </c>
      <c r="K12134" s="94" t="n">
        <v>5</v>
      </c>
      <c r="L12134" s="88" t="n">
        <v>201208</v>
      </c>
      <c r="M12134" s="88">
        <f>VLOOKUP($Q12134,매칭테이블!$F:$I,2,0)*K12134</f>
        <v/>
      </c>
      <c r="N12134" s="88">
        <f>M12134-M12134*VLOOKUP($Q12134,매칭테이블!$F:$I,3,0)</f>
        <v/>
      </c>
      <c r="O12134" s="88">
        <f>VLOOKUP($Q12134,매칭테이블!$F:$I,4,0)*K12134</f>
        <v/>
      </c>
      <c r="P12134" s="152">
        <f>M12134/1.1</f>
        <v/>
      </c>
      <c r="Q12134" s="88">
        <f>F12134&amp;E12134&amp;G12134&amp;L12134</f>
        <v/>
      </c>
    </row>
    <row r="12135">
      <c r="B12135" s="128" t="n">
        <v>44180</v>
      </c>
      <c r="C12135" s="88">
        <f>TEXT(B12135,"aaa")</f>
        <v/>
      </c>
      <c r="D12135" s="94" t="n"/>
      <c r="E12135" s="88">
        <f>INDEX(매칭테이블!C:D,MATCH(RD!G12135,매칭테이블!D:D,0),1)</f>
        <v/>
      </c>
      <c r="F12135" s="94" t="inlineStr">
        <is>
          <t>아누아 CS</t>
        </is>
      </c>
      <c r="G12135" s="94" t="inlineStr">
        <is>
          <t>어성초 77 토너 250ml</t>
        </is>
      </c>
      <c r="K12135" s="94" t="n">
        <v>2</v>
      </c>
      <c r="L12135" s="88" t="n">
        <v>201208</v>
      </c>
      <c r="M12135" s="88">
        <f>VLOOKUP($Q12135,매칭테이블!$F:$I,2,0)*K12135</f>
        <v/>
      </c>
      <c r="N12135" s="88">
        <f>M12135-M12135*VLOOKUP($Q12135,매칭테이블!$F:$I,3,0)</f>
        <v/>
      </c>
      <c r="O12135" s="88">
        <f>VLOOKUP($Q12135,매칭테이블!$F:$I,4,0)*K12135</f>
        <v/>
      </c>
      <c r="P12135" s="152">
        <f>M12135/1.1</f>
        <v/>
      </c>
      <c r="Q12135" s="88">
        <f>F12135&amp;E12135&amp;G12135&amp;L12135</f>
        <v/>
      </c>
    </row>
    <row r="12136">
      <c r="B12136" s="128" t="n">
        <v>44180</v>
      </c>
      <c r="C12136" s="88">
        <f>TEXT(B12136,"aaa")</f>
        <v/>
      </c>
      <c r="D12136" s="94" t="n"/>
      <c r="E12136" s="88">
        <f>INDEX(매칭테이블!C:D,MATCH(RD!G12136,매칭테이블!D:D,0),1)</f>
        <v/>
      </c>
      <c r="F12136" s="94" t="inlineStr">
        <is>
          <t>카페24</t>
        </is>
      </c>
      <c r="G12136" s="94" t="inlineStr">
        <is>
          <t>5 제로 무기자차 선크림옵션=5제로 무기자차 선크림 1개-20% off</t>
        </is>
      </c>
      <c r="K12136" s="94" t="n">
        <v>2</v>
      </c>
      <c r="L12136" s="88" t="n">
        <v>201208</v>
      </c>
      <c r="M12136" s="88">
        <f>VLOOKUP($Q12136,매칭테이블!$F:$I,2,0)*K12136</f>
        <v/>
      </c>
      <c r="N12136" s="88">
        <f>M12136-M12136*VLOOKUP($Q12136,매칭테이블!$F:$I,3,0)</f>
        <v/>
      </c>
      <c r="O12136" s="88">
        <f>VLOOKUP($Q12136,매칭테이블!$F:$I,4,0)*K12136</f>
        <v/>
      </c>
      <c r="P12136" s="152">
        <f>M12136/1.1</f>
        <v/>
      </c>
      <c r="Q12136" s="88">
        <f>F12136&amp;E12136&amp;G12136&amp;L12136</f>
        <v/>
      </c>
    </row>
    <row r="12137">
      <c r="B12137" s="128" t="n">
        <v>44180</v>
      </c>
      <c r="C12137" s="88">
        <f>TEXT(B12137,"aaa")</f>
        <v/>
      </c>
      <c r="D12137" s="94" t="n"/>
      <c r="E12137" s="88">
        <f>INDEX(매칭테이블!C:D,MATCH(RD!G12137,매칭테이블!D:D,0),1)</f>
        <v/>
      </c>
      <c r="F12137" s="94" t="inlineStr">
        <is>
          <t>카페24</t>
        </is>
      </c>
      <c r="G12137" s="94" t="inlineStr">
        <is>
          <t>5 제로 무기자차 선크림옵션=5제로 무기자차 선크림 2개-30% off (무료배송)</t>
        </is>
      </c>
      <c r="K12137" s="94" t="n">
        <v>1</v>
      </c>
      <c r="L12137" s="88" t="n">
        <v>201208</v>
      </c>
      <c r="M12137" s="88">
        <f>VLOOKUP($Q12137,매칭테이블!$F:$I,2,0)*K12137</f>
        <v/>
      </c>
      <c r="N12137" s="88">
        <f>M12137-M12137*VLOOKUP($Q12137,매칭테이블!$F:$I,3,0)</f>
        <v/>
      </c>
      <c r="O12137" s="88">
        <f>VLOOKUP($Q12137,매칭테이블!$F:$I,4,0)*K12137</f>
        <v/>
      </c>
      <c r="P12137" s="152">
        <f>M12137/1.1</f>
        <v/>
      </c>
      <c r="Q12137" s="88">
        <f>F12137&amp;E12137&amp;G12137&amp;L12137</f>
        <v/>
      </c>
    </row>
    <row r="12138">
      <c r="B12138" s="128" t="n">
        <v>44180</v>
      </c>
      <c r="C12138" s="88">
        <f>TEXT(B12138,"aaa")</f>
        <v/>
      </c>
      <c r="D12138" s="94" t="n"/>
      <c r="E12138" s="88">
        <f>INDEX(매칭테이블!C:D,MATCH(RD!G12138,매칭테이블!D:D,0),1)</f>
        <v/>
      </c>
      <c r="F12138" s="94" t="inlineStr">
        <is>
          <t>카페24</t>
        </is>
      </c>
      <c r="G12138" s="94" t="inlineStr">
        <is>
          <t>[수분 보충 세트] 어성초 77 토너 + 어성초 70 로션옵션=어성초 77 토너 250ml + 어성초 70 로션 200ml -30%</t>
        </is>
      </c>
      <c r="K12138" s="94" t="n">
        <v>12</v>
      </c>
      <c r="L12138" s="88" t="n">
        <v>201208</v>
      </c>
      <c r="M12138" s="88">
        <f>VLOOKUP($Q12138,매칭테이블!$F:$I,2,0)*K12138</f>
        <v/>
      </c>
      <c r="N12138" s="88">
        <f>M12138-M12138*VLOOKUP($Q12138,매칭테이블!$F:$I,3,0)</f>
        <v/>
      </c>
      <c r="O12138" s="88">
        <f>VLOOKUP($Q12138,매칭테이블!$F:$I,4,0)*K12138</f>
        <v/>
      </c>
      <c r="P12138" s="152">
        <f>M12138/1.1</f>
        <v/>
      </c>
      <c r="Q12138" s="88">
        <f>F12138&amp;E12138&amp;G12138&amp;L12138</f>
        <v/>
      </c>
    </row>
    <row r="12139">
      <c r="B12139" s="128" t="n">
        <v>44180</v>
      </c>
      <c r="C12139" s="88">
        <f>TEXT(B12139,"aaa")</f>
        <v/>
      </c>
      <c r="D12139" s="94" t="n"/>
      <c r="E12139" s="88">
        <f>INDEX(매칭테이블!C:D,MATCH(RD!G12139,매칭테이블!D:D,0),1)</f>
        <v/>
      </c>
      <c r="F12139" s="94" t="inlineStr">
        <is>
          <t>카페24</t>
        </is>
      </c>
      <c r="G12139" s="94" t="inlineStr">
        <is>
          <t>[어성초 진정 패키지 세트] 대용량 토너 + 앰플 + 수딩 크림 + 마스크팩 10장</t>
        </is>
      </c>
      <c r="K12139" s="94" t="n">
        <v>5</v>
      </c>
      <c r="L12139" s="88" t="n">
        <v>201208</v>
      </c>
      <c r="M12139" s="88">
        <f>VLOOKUP($Q12139,매칭테이블!$F:$I,2,0)*K12139</f>
        <v/>
      </c>
      <c r="N12139" s="88">
        <f>M12139-M12139*VLOOKUP($Q12139,매칭테이블!$F:$I,3,0)</f>
        <v/>
      </c>
      <c r="O12139" s="88">
        <f>VLOOKUP($Q12139,매칭테이블!$F:$I,4,0)*K12139</f>
        <v/>
      </c>
      <c r="P12139" s="152">
        <f>M12139/1.1</f>
        <v/>
      </c>
      <c r="Q12139" s="88">
        <f>F12139&amp;E12139&amp;G12139&amp;L12139</f>
        <v/>
      </c>
    </row>
    <row r="12140">
      <c r="B12140" s="128" t="n">
        <v>44180</v>
      </c>
      <c r="C12140" s="88">
        <f>TEXT(B12140,"aaa")</f>
        <v/>
      </c>
      <c r="D12140" s="94" t="n"/>
      <c r="E12140" s="88">
        <f>INDEX(매칭테이블!C:D,MATCH(RD!G12140,매칭테이블!D:D,0),1)</f>
        <v/>
      </c>
      <c r="F12140" s="94" t="inlineStr">
        <is>
          <t>카페24</t>
        </is>
      </c>
      <c r="G12140" s="94" t="inlineStr">
        <is>
          <t>대용량 어성초 77 수딩 토너 500ml</t>
        </is>
      </c>
      <c r="K12140" s="94" t="n">
        <v>27</v>
      </c>
      <c r="L12140" s="88" t="n">
        <v>201208</v>
      </c>
      <c r="M12140" s="88">
        <f>VLOOKUP($Q12140,매칭테이블!$F:$I,2,0)*K12140</f>
        <v/>
      </c>
      <c r="N12140" s="88">
        <f>M12140-M12140*VLOOKUP($Q12140,매칭테이블!$F:$I,3,0)</f>
        <v/>
      </c>
      <c r="O12140" s="88">
        <f>VLOOKUP($Q12140,매칭테이블!$F:$I,4,0)*K12140</f>
        <v/>
      </c>
      <c r="P12140" s="152">
        <f>M12140/1.1</f>
        <v/>
      </c>
      <c r="Q12140" s="88">
        <f>F12140&amp;E12140&amp;G12140&amp;L12140</f>
        <v/>
      </c>
    </row>
    <row r="12141">
      <c r="B12141" s="128" t="n">
        <v>44180</v>
      </c>
      <c r="C12141" s="88">
        <f>TEXT(B12141,"aaa")</f>
        <v/>
      </c>
      <c r="D12141" s="94" t="n"/>
      <c r="E12141" s="88">
        <f>INDEX(매칭테이블!C:D,MATCH(RD!G12141,매칭테이블!D:D,0),1)</f>
        <v/>
      </c>
      <c r="F12141" s="94" t="inlineStr">
        <is>
          <t>카페24</t>
        </is>
      </c>
      <c r="G12141" s="94" t="inlineStr">
        <is>
          <t>대용량 어성초 77 토너 500ml</t>
        </is>
      </c>
      <c r="K12141" s="94" t="n">
        <v>2</v>
      </c>
      <c r="L12141" s="88" t="n">
        <v>201208</v>
      </c>
      <c r="M12141" s="88">
        <f>VLOOKUP($Q12141,매칭테이블!$F:$I,2,0)*K12141</f>
        <v/>
      </c>
      <c r="N12141" s="88">
        <f>M12141-M12141*VLOOKUP($Q12141,매칭테이블!$F:$I,3,0)</f>
        <v/>
      </c>
      <c r="O12141" s="88">
        <f>VLOOKUP($Q12141,매칭테이블!$F:$I,4,0)*K12141</f>
        <v/>
      </c>
      <c r="P12141" s="152">
        <f>M12141/1.1</f>
        <v/>
      </c>
      <c r="Q12141" s="88">
        <f>F12141&amp;E12141&amp;G12141&amp;L12141</f>
        <v/>
      </c>
    </row>
    <row r="12142">
      <c r="B12142" s="128" t="n">
        <v>44180</v>
      </c>
      <c r="C12142" s="88">
        <f>TEXT(B12142,"aaa")</f>
        <v/>
      </c>
      <c r="D12142" s="94" t="n"/>
      <c r="E12142" s="88">
        <f>INDEX(매칭테이블!C:D,MATCH(RD!G12142,매칭테이블!D:D,0),1)</f>
        <v/>
      </c>
      <c r="F12142" s="94" t="inlineStr">
        <is>
          <t>카페24</t>
        </is>
      </c>
      <c r="G12142" s="94" t="inlineStr">
        <is>
          <t>아누아 어성초 77 수딩 토너토너(필수)=어성초 77 토너 1개-20% off</t>
        </is>
      </c>
      <c r="K12142" s="94" t="n">
        <v>4</v>
      </c>
      <c r="L12142" s="88" t="n">
        <v>201208</v>
      </c>
      <c r="M12142" s="88">
        <f>VLOOKUP($Q12142,매칭테이블!$F:$I,2,0)*K12142</f>
        <v/>
      </c>
      <c r="N12142" s="88">
        <f>M12142-M12142*VLOOKUP($Q12142,매칭테이블!$F:$I,3,0)</f>
        <v/>
      </c>
      <c r="O12142" s="88">
        <f>VLOOKUP($Q12142,매칭테이블!$F:$I,4,0)*K12142</f>
        <v/>
      </c>
      <c r="P12142" s="152">
        <f>M12142/1.1</f>
        <v/>
      </c>
      <c r="Q12142" s="88">
        <f>F12142&amp;E12142&amp;G12142&amp;L12142</f>
        <v/>
      </c>
    </row>
    <row r="12143">
      <c r="B12143" s="128" t="n">
        <v>44180</v>
      </c>
      <c r="C12143" s="88">
        <f>TEXT(B12143,"aaa")</f>
        <v/>
      </c>
      <c r="D12143" s="94" t="n"/>
      <c r="E12143" s="88">
        <f>INDEX(매칭테이블!C:D,MATCH(RD!G12143,매칭테이블!D:D,0),1)</f>
        <v/>
      </c>
      <c r="F12143" s="94" t="inlineStr">
        <is>
          <t>카페24</t>
        </is>
      </c>
      <c r="G12143" s="94" t="inlineStr">
        <is>
          <t>아누아 어성초 77 수딩 토너토너(필수)=어성초 77 토너 2개-30% off (무료배송)</t>
        </is>
      </c>
      <c r="K12143" s="94" t="n">
        <v>2</v>
      </c>
      <c r="L12143" s="88" t="n">
        <v>201208</v>
      </c>
      <c r="M12143" s="88">
        <f>VLOOKUP($Q12143,매칭테이블!$F:$I,2,0)*K12143</f>
        <v/>
      </c>
      <c r="N12143" s="88">
        <f>M12143-M12143*VLOOKUP($Q12143,매칭테이블!$F:$I,3,0)</f>
        <v/>
      </c>
      <c r="O12143" s="88">
        <f>VLOOKUP($Q12143,매칭테이블!$F:$I,4,0)*K12143</f>
        <v/>
      </c>
      <c r="P12143" s="152">
        <f>M12143/1.1</f>
        <v/>
      </c>
      <c r="Q12143" s="88">
        <f>F12143&amp;E12143&amp;G12143&amp;L12143</f>
        <v/>
      </c>
    </row>
    <row r="12144">
      <c r="B12144" s="128" t="n">
        <v>44180</v>
      </c>
      <c r="C12144" s="88">
        <f>TEXT(B12144,"aaa")</f>
        <v/>
      </c>
      <c r="D12144" s="94" t="n"/>
      <c r="E12144" s="88">
        <f>INDEX(매칭테이블!C:D,MATCH(RD!G12144,매칭테이블!D:D,0),1)</f>
        <v/>
      </c>
      <c r="F12144" s="94" t="inlineStr">
        <is>
          <t>카페24</t>
        </is>
      </c>
      <c r="G12144" s="94" t="inlineStr">
        <is>
          <t>아누아 어성초 77 수딩 토너화장솜(선택)=촉촉 스킨팩 화장솜</t>
        </is>
      </c>
      <c r="K12144" s="94" t="n">
        <v>4</v>
      </c>
      <c r="L12144" s="88" t="n">
        <v>201208</v>
      </c>
      <c r="M12144" s="88">
        <f>VLOOKUP($Q12144,매칭테이블!$F:$I,2,0)*K12144</f>
        <v/>
      </c>
      <c r="N12144" s="88">
        <f>M12144-M12144*VLOOKUP($Q12144,매칭테이블!$F:$I,3,0)</f>
        <v/>
      </c>
      <c r="O12144" s="88">
        <f>VLOOKUP($Q12144,매칭테이블!$F:$I,4,0)*K12144</f>
        <v/>
      </c>
      <c r="P12144" s="152">
        <f>M12144/1.1</f>
        <v/>
      </c>
      <c r="Q12144" s="88">
        <f>F12144&amp;E12144&amp;G12144&amp;L12144</f>
        <v/>
      </c>
    </row>
    <row r="12145">
      <c r="B12145" s="128" t="n">
        <v>44180</v>
      </c>
      <c r="C12145" s="88">
        <f>TEXT(B12145,"aaa")</f>
        <v/>
      </c>
      <c r="D12145" s="94" t="n"/>
      <c r="E12145" s="88">
        <f>INDEX(매칭테이블!C:D,MATCH(RD!G12145,매칭테이블!D:D,0),1)</f>
        <v/>
      </c>
      <c r="F12145" s="94" t="inlineStr">
        <is>
          <t>카페24</t>
        </is>
      </c>
      <c r="G12145" s="94" t="inlineStr">
        <is>
          <t>어성초 70 데일리 릴리프 로션로션=어성초 70 데일리 릴리프 로션 1개 -20% off</t>
        </is>
      </c>
      <c r="K12145" s="94" t="n">
        <v>1</v>
      </c>
      <c r="L12145" s="88" t="n">
        <v>201208</v>
      </c>
      <c r="M12145" s="88">
        <f>VLOOKUP($Q12145,매칭테이블!$F:$I,2,0)*K12145</f>
        <v/>
      </c>
      <c r="N12145" s="88">
        <f>M12145-M12145*VLOOKUP($Q12145,매칭테이블!$F:$I,3,0)</f>
        <v/>
      </c>
      <c r="O12145" s="88">
        <f>VLOOKUP($Q12145,매칭테이블!$F:$I,4,0)*K12145</f>
        <v/>
      </c>
      <c r="P12145" s="152">
        <f>M12145/1.1</f>
        <v/>
      </c>
      <c r="Q12145" s="88">
        <f>F12145&amp;E12145&amp;G12145&amp;L12145</f>
        <v/>
      </c>
    </row>
    <row r="12146">
      <c r="B12146" s="128" t="n">
        <v>44180</v>
      </c>
      <c r="C12146" s="88">
        <f>TEXT(B12146,"aaa")</f>
        <v/>
      </c>
      <c r="D12146" s="94" t="n"/>
      <c r="E12146" s="88">
        <f>INDEX(매칭테이블!C:D,MATCH(RD!G12146,매칭테이블!D:D,0),1)</f>
        <v/>
      </c>
      <c r="F12146" s="94" t="inlineStr">
        <is>
          <t>카페24</t>
        </is>
      </c>
      <c r="G12146" s="94" t="inlineStr">
        <is>
          <t>어성초 70 데일리 릴리프 로션로션=어성초 70 데일리 릴리프 로션 2개 -30% off</t>
        </is>
      </c>
      <c r="K12146" s="94" t="n">
        <v>3</v>
      </c>
      <c r="L12146" s="88" t="n">
        <v>201208</v>
      </c>
      <c r="M12146" s="88">
        <f>VLOOKUP($Q12146,매칭테이블!$F:$I,2,0)*K12146</f>
        <v/>
      </c>
      <c r="N12146" s="88">
        <f>M12146-M12146*VLOOKUP($Q12146,매칭테이블!$F:$I,3,0)</f>
        <v/>
      </c>
      <c r="O12146" s="88">
        <f>VLOOKUP($Q12146,매칭테이블!$F:$I,4,0)*K12146</f>
        <v/>
      </c>
      <c r="P12146" s="152">
        <f>M12146/1.1</f>
        <v/>
      </c>
      <c r="Q12146" s="88">
        <f>F12146&amp;E12146&amp;G12146&amp;L12146</f>
        <v/>
      </c>
    </row>
    <row r="12147">
      <c r="B12147" s="128" t="n">
        <v>44180</v>
      </c>
      <c r="C12147" s="88">
        <f>TEXT(B12147,"aaa")</f>
        <v/>
      </c>
      <c r="D12147" s="94" t="n"/>
      <c r="E12147" s="88">
        <f>INDEX(매칭테이블!C:D,MATCH(RD!G12147,매칭테이블!D:D,0),1)</f>
        <v/>
      </c>
      <c r="F12147" s="94" t="inlineStr">
        <is>
          <t>카페24</t>
        </is>
      </c>
      <c r="G12147" s="94" t="inlineStr">
        <is>
          <t>어성초 70 데일리 릴리프 로션로션=어성초 77토너 + 어성초 70 로션 수분 보충 세트 -30% off</t>
        </is>
      </c>
      <c r="K12147" s="94" t="n">
        <v>3</v>
      </c>
      <c r="L12147" s="88" t="n">
        <v>201208</v>
      </c>
      <c r="M12147" s="88">
        <f>VLOOKUP($Q12147,매칭테이블!$F:$I,2,0)*K12147</f>
        <v/>
      </c>
      <c r="N12147" s="88">
        <f>M12147-M12147*VLOOKUP($Q12147,매칭테이블!$F:$I,3,0)</f>
        <v/>
      </c>
      <c r="O12147" s="88">
        <f>VLOOKUP($Q12147,매칭테이블!$F:$I,4,0)*K12147</f>
        <v/>
      </c>
      <c r="P12147" s="152">
        <f>M12147/1.1</f>
        <v/>
      </c>
      <c r="Q12147" s="88">
        <f>F12147&amp;E12147&amp;G12147&amp;L12147</f>
        <v/>
      </c>
    </row>
    <row r="12148">
      <c r="B12148" s="128" t="n">
        <v>44180</v>
      </c>
      <c r="C12148" s="88">
        <f>TEXT(B12148,"aaa")</f>
        <v/>
      </c>
      <c r="D12148" s="94" t="n"/>
      <c r="E12148" s="88">
        <f>INDEX(매칭테이블!C:D,MATCH(RD!G12148,매칭테이블!D:D,0),1)</f>
        <v/>
      </c>
      <c r="F12148" s="94" t="inlineStr">
        <is>
          <t>카페24</t>
        </is>
      </c>
      <c r="G12148" s="94" t="inlineStr">
        <is>
          <t>어성초 70 머드 크림 마스크옵션=어성초 70 머드 크림 마스크-20% off</t>
        </is>
      </c>
      <c r="K12148" s="94" t="n">
        <v>4</v>
      </c>
      <c r="L12148" s="88" t="n">
        <v>201208</v>
      </c>
      <c r="M12148" s="88">
        <f>VLOOKUP($Q12148,매칭테이블!$F:$I,2,0)*K12148</f>
        <v/>
      </c>
      <c r="N12148" s="88">
        <f>M12148-M12148*VLOOKUP($Q12148,매칭테이블!$F:$I,3,0)</f>
        <v/>
      </c>
      <c r="O12148" s="88">
        <f>VLOOKUP($Q12148,매칭테이블!$F:$I,4,0)*K12148</f>
        <v/>
      </c>
      <c r="P12148" s="152">
        <f>M12148/1.1</f>
        <v/>
      </c>
      <c r="Q12148" s="88">
        <f>F12148&amp;E12148&amp;G12148&amp;L12148</f>
        <v/>
      </c>
    </row>
    <row r="12149">
      <c r="B12149" s="128" t="n">
        <v>44180</v>
      </c>
      <c r="C12149" s="88">
        <f>TEXT(B12149,"aaa")</f>
        <v/>
      </c>
      <c r="D12149" s="94" t="n"/>
      <c r="E12149" s="88">
        <f>INDEX(매칭테이블!C:D,MATCH(RD!G12149,매칭테이블!D:D,0),1)</f>
        <v/>
      </c>
      <c r="F12149" s="94" t="inlineStr">
        <is>
          <t>카페24</t>
        </is>
      </c>
      <c r="G12149" s="94" t="inlineStr">
        <is>
          <t>어성초 70 머드 크림 마스크옵션=어성초 70 머드 크림 마스크 2개-30% off (무료배송)</t>
        </is>
      </c>
      <c r="K12149" s="94" t="n">
        <v>1</v>
      </c>
      <c r="L12149" s="88" t="n">
        <v>201208</v>
      </c>
      <c r="M12149" s="88">
        <f>VLOOKUP($Q12149,매칭테이블!$F:$I,2,0)*K12149</f>
        <v/>
      </c>
      <c r="N12149" s="88">
        <f>M12149-M12149*VLOOKUP($Q12149,매칭테이블!$F:$I,3,0)</f>
        <v/>
      </c>
      <c r="O12149" s="88">
        <f>VLOOKUP($Q12149,매칭테이블!$F:$I,4,0)*K12149</f>
        <v/>
      </c>
      <c r="P12149" s="152">
        <f>M12149/1.1</f>
        <v/>
      </c>
      <c r="Q12149" s="88">
        <f>F12149&amp;E12149&amp;G12149&amp;L12149</f>
        <v/>
      </c>
    </row>
    <row r="12150">
      <c r="B12150" s="128" t="n">
        <v>44180</v>
      </c>
      <c r="C12150" s="88">
        <f>TEXT(B12150,"aaa")</f>
        <v/>
      </c>
      <c r="D12150" s="94" t="n"/>
      <c r="E12150" s="88">
        <f>INDEX(매칭테이블!C:D,MATCH(RD!G12150,매칭테이블!D:D,0),1)</f>
        <v/>
      </c>
      <c r="F12150" s="94" t="inlineStr">
        <is>
          <t>카페24</t>
        </is>
      </c>
      <c r="G12150" s="94" t="inlineStr">
        <is>
          <t>어성초 70 인텐스 카밍 크림크림=어성초 70 인텐스 카밍 크림 1개 (-20%)</t>
        </is>
      </c>
      <c r="K12150" s="94" t="n">
        <v>4</v>
      </c>
      <c r="L12150" s="88" t="n">
        <v>201208</v>
      </c>
      <c r="M12150" s="88">
        <f>VLOOKUP($Q12150,매칭테이블!$F:$I,2,0)*K12150</f>
        <v/>
      </c>
      <c r="N12150" s="88">
        <f>M12150-M12150*VLOOKUP($Q12150,매칭테이블!$F:$I,3,0)</f>
        <v/>
      </c>
      <c r="O12150" s="88">
        <f>VLOOKUP($Q12150,매칭테이블!$F:$I,4,0)*K12150</f>
        <v/>
      </c>
      <c r="P12150" s="152">
        <f>M12150/1.1</f>
        <v/>
      </c>
      <c r="Q12150" s="88">
        <f>F12150&amp;E12150&amp;G12150&amp;L12150</f>
        <v/>
      </c>
    </row>
    <row r="12151">
      <c r="B12151" s="128" t="n">
        <v>44180</v>
      </c>
      <c r="C12151" s="88">
        <f>TEXT(B12151,"aaa")</f>
        <v/>
      </c>
      <c r="D12151" s="94" t="n"/>
      <c r="E12151" s="88">
        <f>INDEX(매칭테이블!C:D,MATCH(RD!G12151,매칭테이블!D:D,0),1)</f>
        <v/>
      </c>
      <c r="F12151" s="94" t="inlineStr">
        <is>
          <t>카페24</t>
        </is>
      </c>
      <c r="G12151" s="94" t="inlineStr">
        <is>
          <t>어성초 70 인텐스 카밍 크림크림=어성초 70 인텐스 카밍 크림 2개 (-30%)</t>
        </is>
      </c>
      <c r="K12151" s="94" t="n">
        <v>2</v>
      </c>
      <c r="L12151" s="88" t="n">
        <v>201208</v>
      </c>
      <c r="M12151" s="88">
        <f>VLOOKUP($Q12151,매칭테이블!$F:$I,2,0)*K12151</f>
        <v/>
      </c>
      <c r="N12151" s="88">
        <f>M12151-M12151*VLOOKUP($Q12151,매칭테이블!$F:$I,3,0)</f>
        <v/>
      </c>
      <c r="O12151" s="88">
        <f>VLOOKUP($Q12151,매칭테이블!$F:$I,4,0)*K12151</f>
        <v/>
      </c>
      <c r="P12151" s="152">
        <f>M12151/1.1</f>
        <v/>
      </c>
      <c r="Q12151" s="88">
        <f>F12151&amp;E12151&amp;G12151&amp;L12151</f>
        <v/>
      </c>
    </row>
    <row r="12152">
      <c r="B12152" s="128" t="n">
        <v>44180</v>
      </c>
      <c r="C12152" s="88">
        <f>TEXT(B12152,"aaa")</f>
        <v/>
      </c>
      <c r="D12152" s="94" t="n"/>
      <c r="E12152" s="88">
        <f>INDEX(매칭테이블!C:D,MATCH(RD!G12152,매칭테이블!D:D,0),1)</f>
        <v/>
      </c>
      <c r="F12152" s="94" t="inlineStr">
        <is>
          <t>카페24</t>
        </is>
      </c>
      <c r="G12152" s="94" t="inlineStr">
        <is>
          <t>어성초 77 수딩 토너토너(필수)=어성초 77 토너 1개-20% off</t>
        </is>
      </c>
      <c r="K12152" s="94" t="n">
        <v>29</v>
      </c>
      <c r="L12152" s="88" t="n">
        <v>201208</v>
      </c>
      <c r="M12152" s="88">
        <f>VLOOKUP($Q12152,매칭테이블!$F:$I,2,0)*K12152</f>
        <v/>
      </c>
      <c r="N12152" s="88">
        <f>M12152-M12152*VLOOKUP($Q12152,매칭테이블!$F:$I,3,0)</f>
        <v/>
      </c>
      <c r="O12152" s="88">
        <f>VLOOKUP($Q12152,매칭테이블!$F:$I,4,0)*K12152</f>
        <v/>
      </c>
      <c r="P12152" s="152">
        <f>M12152/1.1</f>
        <v/>
      </c>
      <c r="Q12152" s="88">
        <f>F12152&amp;E12152&amp;G12152&amp;L12152</f>
        <v/>
      </c>
    </row>
    <row r="12153">
      <c r="B12153" s="128" t="n">
        <v>44180</v>
      </c>
      <c r="C12153" s="88">
        <f>TEXT(B12153,"aaa")</f>
        <v/>
      </c>
      <c r="D12153" s="94" t="n"/>
      <c r="E12153" s="88">
        <f>INDEX(매칭테이블!C:D,MATCH(RD!G12153,매칭테이블!D:D,0),1)</f>
        <v/>
      </c>
      <c r="F12153" s="94" t="inlineStr">
        <is>
          <t>카페24</t>
        </is>
      </c>
      <c r="G12153" s="94" t="inlineStr">
        <is>
          <t>어성초 77 수딩 토너토너(필수)=어성초 77 토너 2개-30% off (무료배송)</t>
        </is>
      </c>
      <c r="K12153" s="94" t="n">
        <v>27</v>
      </c>
      <c r="L12153" s="88" t="n">
        <v>201208</v>
      </c>
      <c r="M12153" s="88">
        <f>VLOOKUP($Q12153,매칭테이블!$F:$I,2,0)*K12153</f>
        <v/>
      </c>
      <c r="N12153" s="88">
        <f>M12153-M12153*VLOOKUP($Q12153,매칭테이블!$F:$I,3,0)</f>
        <v/>
      </c>
      <c r="O12153" s="88">
        <f>VLOOKUP($Q12153,매칭테이블!$F:$I,4,0)*K12153</f>
        <v/>
      </c>
      <c r="P12153" s="152">
        <f>M12153/1.1</f>
        <v/>
      </c>
      <c r="Q12153" s="88">
        <f>F12153&amp;E12153&amp;G12153&amp;L12153</f>
        <v/>
      </c>
    </row>
    <row r="12154">
      <c r="B12154" s="128" t="n">
        <v>44180</v>
      </c>
      <c r="C12154" s="88">
        <f>TEXT(B12154,"aaa")</f>
        <v/>
      </c>
      <c r="D12154" s="94" t="n"/>
      <c r="E12154" s="88">
        <f>INDEX(매칭테이블!C:D,MATCH(RD!G12154,매칭테이블!D:D,0),1)</f>
        <v/>
      </c>
      <c r="F12154" s="94" t="inlineStr">
        <is>
          <t>카페24</t>
        </is>
      </c>
      <c r="G12154" s="94" t="inlineStr">
        <is>
          <t>어성초 77 수딩 토너토너(필수)=어성초77토너1개 + 어성초77패드1개 -30% off (무료배송)</t>
        </is>
      </c>
      <c r="K12154" s="94" t="n">
        <v>4</v>
      </c>
      <c r="L12154" s="88" t="n">
        <v>201208</v>
      </c>
      <c r="M12154" s="88">
        <f>VLOOKUP($Q12154,매칭테이블!$F:$I,2,0)*K12154</f>
        <v/>
      </c>
      <c r="N12154" s="88">
        <f>M12154-M12154*VLOOKUP($Q12154,매칭테이블!$F:$I,3,0)</f>
        <v/>
      </c>
      <c r="O12154" s="88">
        <f>VLOOKUP($Q12154,매칭테이블!$F:$I,4,0)*K12154</f>
        <v/>
      </c>
      <c r="P12154" s="152">
        <f>M12154/1.1</f>
        <v/>
      </c>
      <c r="Q12154" s="88">
        <f>F12154&amp;E12154&amp;G12154&amp;L12154</f>
        <v/>
      </c>
    </row>
    <row r="12155">
      <c r="B12155" s="128" t="n">
        <v>44180</v>
      </c>
      <c r="C12155" s="88">
        <f>TEXT(B12155,"aaa")</f>
        <v/>
      </c>
      <c r="D12155" s="94" t="n"/>
      <c r="E12155" s="88">
        <f>INDEX(매칭테이블!C:D,MATCH(RD!G12155,매칭테이블!D:D,0),1)</f>
        <v/>
      </c>
      <c r="F12155" s="94" t="inlineStr">
        <is>
          <t>카페24</t>
        </is>
      </c>
      <c r="G12155" s="94" t="inlineStr">
        <is>
          <t>어성초 77 수딩 토너화장솜(선택)=촉촉 스킨팩 화장솜</t>
        </is>
      </c>
      <c r="K12155" s="94" t="n">
        <v>15</v>
      </c>
      <c r="L12155" s="88" t="n">
        <v>201208</v>
      </c>
      <c r="M12155" s="88">
        <f>VLOOKUP($Q12155,매칭테이블!$F:$I,2,0)*K12155</f>
        <v/>
      </c>
      <c r="N12155" s="88">
        <f>M12155-M12155*VLOOKUP($Q12155,매칭테이블!$F:$I,3,0)</f>
        <v/>
      </c>
      <c r="O12155" s="88">
        <f>VLOOKUP($Q12155,매칭테이블!$F:$I,4,0)*K12155</f>
        <v/>
      </c>
      <c r="P12155" s="152">
        <f>M12155/1.1</f>
        <v/>
      </c>
      <c r="Q12155" s="88">
        <f>F12155&amp;E12155&amp;G12155&amp;L12155</f>
        <v/>
      </c>
    </row>
    <row r="12156">
      <c r="B12156" s="128" t="n">
        <v>44180</v>
      </c>
      <c r="C12156" s="88">
        <f>TEXT(B12156,"aaa")</f>
        <v/>
      </c>
      <c r="D12156" s="94" t="n"/>
      <c r="E12156" s="88">
        <f>INDEX(매칭테이블!C:D,MATCH(RD!G12156,매칭테이블!D:D,0),1)</f>
        <v/>
      </c>
      <c r="F12156" s="94" t="inlineStr">
        <is>
          <t>카페24</t>
        </is>
      </c>
      <c r="G12156" s="94" t="inlineStr">
        <is>
          <t>어성초 77 수딩 토너토너(필수)=어성초 77 토너 2개-30% off (무료배송)</t>
        </is>
      </c>
      <c r="K12156" s="94" t="n">
        <v>1</v>
      </c>
      <c r="L12156" s="88" t="n">
        <v>201208</v>
      </c>
      <c r="M12156" s="88">
        <f>VLOOKUP($Q12156,매칭테이블!$F:$I,2,0)*K12156</f>
        <v/>
      </c>
      <c r="N12156" s="88">
        <f>M12156-M12156*VLOOKUP($Q12156,매칭테이블!$F:$I,3,0)</f>
        <v/>
      </c>
      <c r="O12156" s="88">
        <f>VLOOKUP($Q12156,매칭테이블!$F:$I,4,0)*K12156</f>
        <v/>
      </c>
      <c r="P12156" s="152">
        <f>M12156/1.1</f>
        <v/>
      </c>
      <c r="Q12156" s="88">
        <f>F12156&amp;E12156&amp;G12156&amp;L12156</f>
        <v/>
      </c>
    </row>
    <row r="12157">
      <c r="B12157" s="128" t="n">
        <v>44180</v>
      </c>
      <c r="C12157" s="88">
        <f>TEXT(B12157,"aaa")</f>
        <v/>
      </c>
      <c r="D12157" s="94" t="n"/>
      <c r="E12157" s="88">
        <f>INDEX(매칭테이블!C:D,MATCH(RD!G12157,매칭테이블!D:D,0),1)</f>
        <v/>
      </c>
      <c r="F12157" s="94" t="inlineStr">
        <is>
          <t>카페24</t>
        </is>
      </c>
      <c r="G12157" s="94" t="inlineStr">
        <is>
          <t>어성초 77 수딩 토너토너(필수)=(대용량) 어성초 77 토너 500ml (무료배송)</t>
        </is>
      </c>
      <c r="K12157" s="94" t="n">
        <v>2</v>
      </c>
      <c r="L12157" s="88" t="n">
        <v>201208</v>
      </c>
      <c r="M12157" s="88">
        <f>VLOOKUP($Q12157,매칭테이블!$F:$I,2,0)*K12157</f>
        <v/>
      </c>
      <c r="N12157" s="88">
        <f>M12157-M12157*VLOOKUP($Q12157,매칭테이블!$F:$I,3,0)</f>
        <v/>
      </c>
      <c r="O12157" s="88">
        <f>VLOOKUP($Q12157,매칭테이블!$F:$I,4,0)*K12157</f>
        <v/>
      </c>
      <c r="P12157" s="152">
        <f>M12157/1.1</f>
        <v/>
      </c>
      <c r="Q12157" s="88">
        <f>F12157&amp;E12157&amp;G12157&amp;L12157</f>
        <v/>
      </c>
    </row>
    <row r="12158">
      <c r="B12158" s="128" t="n">
        <v>44180</v>
      </c>
      <c r="C12158" s="88">
        <f>TEXT(B12158,"aaa")</f>
        <v/>
      </c>
      <c r="D12158" s="94" t="n"/>
      <c r="E12158" s="88">
        <f>INDEX(매칭테이블!C:D,MATCH(RD!G12158,매칭테이블!D:D,0),1)</f>
        <v/>
      </c>
      <c r="F12158" s="94" t="inlineStr">
        <is>
          <t>카페24</t>
        </is>
      </c>
      <c r="G12158" s="94" t="inlineStr">
        <is>
          <t>어성초 77 진정 마스크옵션=어성초 77 진정 마스크팩 10장-50% off</t>
        </is>
      </c>
      <c r="K12158" s="94" t="n">
        <v>10</v>
      </c>
      <c r="L12158" s="88" t="n">
        <v>201208</v>
      </c>
      <c r="M12158" s="88">
        <f>VLOOKUP($Q12158,매칭테이블!$F:$I,2,0)*K12158</f>
        <v/>
      </c>
      <c r="N12158" s="88">
        <f>M12158-M12158*VLOOKUP($Q12158,매칭테이블!$F:$I,3,0)</f>
        <v/>
      </c>
      <c r="O12158" s="88">
        <f>VLOOKUP($Q12158,매칭테이블!$F:$I,4,0)*K12158</f>
        <v/>
      </c>
      <c r="P12158" s="152">
        <f>M12158/1.1</f>
        <v/>
      </c>
      <c r="Q12158" s="88">
        <f>F12158&amp;E12158&amp;G12158&amp;L12158</f>
        <v/>
      </c>
    </row>
    <row r="12159">
      <c r="B12159" s="128" t="n">
        <v>44180</v>
      </c>
      <c r="C12159" s="88">
        <f>TEXT(B12159,"aaa")</f>
        <v/>
      </c>
      <c r="D12159" s="94" t="n"/>
      <c r="E12159" s="88">
        <f>INDEX(매칭테이블!C:D,MATCH(RD!G12159,매칭테이블!D:D,0),1)</f>
        <v/>
      </c>
      <c r="F12159" s="94" t="inlineStr">
        <is>
          <t>카페24</t>
        </is>
      </c>
      <c r="G12159" s="94" t="inlineStr">
        <is>
          <t>어성초 77 진정 마스크</t>
        </is>
      </c>
      <c r="K12159" s="94" t="n">
        <v>3</v>
      </c>
      <c r="L12159" s="88" t="n">
        <v>201208</v>
      </c>
      <c r="M12159" s="88">
        <f>VLOOKUP($Q12159,매칭테이블!$F:$I,2,0)*K12159</f>
        <v/>
      </c>
      <c r="N12159" s="88">
        <f>M12159-M12159*VLOOKUP($Q12159,매칭테이블!$F:$I,3,0)</f>
        <v/>
      </c>
      <c r="O12159" s="88">
        <f>VLOOKUP($Q12159,매칭테이블!$F:$I,4,0)*K12159</f>
        <v/>
      </c>
      <c r="P12159" s="152">
        <f>M12159/1.1</f>
        <v/>
      </c>
      <c r="Q12159" s="88">
        <f>F12159&amp;E12159&amp;G12159&amp;L12159</f>
        <v/>
      </c>
    </row>
    <row r="12160">
      <c r="B12160" s="128" t="n">
        <v>44180</v>
      </c>
      <c r="C12160" s="88">
        <f>TEXT(B12160,"aaa")</f>
        <v/>
      </c>
      <c r="D12160" s="94" t="n"/>
      <c r="E12160" s="88">
        <f>INDEX(매칭테이블!C:D,MATCH(RD!G12160,매칭테이블!D:D,0),1)</f>
        <v/>
      </c>
      <c r="F12160" s="94" t="inlineStr">
        <is>
          <t>카페24</t>
        </is>
      </c>
      <c r="G12160" s="94" t="inlineStr">
        <is>
          <t>어성초 77 클리어 패드옵션=어성초 77 클리어 패드 1개-20% off</t>
        </is>
      </c>
      <c r="K12160" s="94" t="n">
        <v>23</v>
      </c>
      <c r="L12160" s="88" t="n">
        <v>201208</v>
      </c>
      <c r="M12160" s="88">
        <f>VLOOKUP($Q12160,매칭테이블!$F:$I,2,0)*K12160</f>
        <v/>
      </c>
      <c r="N12160" s="88">
        <f>M12160-M12160*VLOOKUP($Q12160,매칭테이블!$F:$I,3,0)</f>
        <v/>
      </c>
      <c r="O12160" s="88">
        <f>VLOOKUP($Q12160,매칭테이블!$F:$I,4,0)*K12160</f>
        <v/>
      </c>
      <c r="P12160" s="152">
        <f>M12160/1.1</f>
        <v/>
      </c>
      <c r="Q12160" s="88">
        <f>F12160&amp;E12160&amp;G12160&amp;L12160</f>
        <v/>
      </c>
    </row>
    <row r="12161">
      <c r="B12161" s="128" t="n">
        <v>44180</v>
      </c>
      <c r="C12161" s="88">
        <f>TEXT(B12161,"aaa")</f>
        <v/>
      </c>
      <c r="D12161" s="94" t="n"/>
      <c r="E12161" s="88">
        <f>INDEX(매칭테이블!C:D,MATCH(RD!G12161,매칭테이블!D:D,0),1)</f>
        <v/>
      </c>
      <c r="F12161" s="94" t="inlineStr">
        <is>
          <t>카페24</t>
        </is>
      </c>
      <c r="G12161" s="94" t="inlineStr">
        <is>
          <t>어성초 77 클리어 패드옵션=어성초 77 클리어 패드 2개-30% off (무료배송)</t>
        </is>
      </c>
      <c r="K12161" s="94" t="n">
        <v>34</v>
      </c>
      <c r="L12161" s="88" t="n">
        <v>201208</v>
      </c>
      <c r="M12161" s="88">
        <f>VLOOKUP($Q12161,매칭테이블!$F:$I,2,0)*K12161</f>
        <v/>
      </c>
      <c r="N12161" s="88">
        <f>M12161-M12161*VLOOKUP($Q12161,매칭테이블!$F:$I,3,0)</f>
        <v/>
      </c>
      <c r="O12161" s="88">
        <f>VLOOKUP($Q12161,매칭테이블!$F:$I,4,0)*K12161</f>
        <v/>
      </c>
      <c r="P12161" s="152">
        <f>M12161/1.1</f>
        <v/>
      </c>
      <c r="Q12161" s="88">
        <f>F12161&amp;E12161&amp;G12161&amp;L12161</f>
        <v/>
      </c>
    </row>
    <row r="12162">
      <c r="B12162" s="128" t="n">
        <v>44180</v>
      </c>
      <c r="C12162" s="88">
        <f>TEXT(B12162,"aaa")</f>
        <v/>
      </c>
      <c r="D12162" s="94" t="n"/>
      <c r="E12162" s="88">
        <f>INDEX(매칭테이블!C:D,MATCH(RD!G12162,매칭테이블!D:D,0),1)</f>
        <v/>
      </c>
      <c r="F12162" s="94" t="inlineStr">
        <is>
          <t>카페24</t>
        </is>
      </c>
      <c r="G12162" s="94" t="inlineStr">
        <is>
          <t>어성초 77 클리어 패드옵션=어성초77토너1개+어성초77패드1개-30% off (무료배송)</t>
        </is>
      </c>
      <c r="K12162" s="94" t="n">
        <v>27</v>
      </c>
      <c r="L12162" s="88" t="n">
        <v>201208</v>
      </c>
      <c r="M12162" s="88">
        <f>VLOOKUP($Q12162,매칭테이블!$F:$I,2,0)*K12162</f>
        <v/>
      </c>
      <c r="N12162" s="88">
        <f>M12162-M12162*VLOOKUP($Q12162,매칭테이블!$F:$I,3,0)</f>
        <v/>
      </c>
      <c r="O12162" s="88">
        <f>VLOOKUP($Q12162,매칭테이블!$F:$I,4,0)*K12162</f>
        <v/>
      </c>
      <c r="P12162" s="152">
        <f>M12162/1.1</f>
        <v/>
      </c>
      <c r="Q12162" s="88">
        <f>F12162&amp;E12162&amp;G12162&amp;L12162</f>
        <v/>
      </c>
    </row>
    <row r="12163">
      <c r="B12163" s="128" t="n">
        <v>44180</v>
      </c>
      <c r="C12163" s="88">
        <f>TEXT(B12163,"aaa")</f>
        <v/>
      </c>
      <c r="D12163" s="94" t="n"/>
      <c r="E12163" s="88">
        <f>INDEX(매칭테이블!C:D,MATCH(RD!G12163,매칭테이블!D:D,0),1)</f>
        <v/>
      </c>
      <c r="F12163" s="94" t="inlineStr">
        <is>
          <t>카페24</t>
        </is>
      </c>
      <c r="G12163" s="94" t="inlineStr">
        <is>
          <t>어성초 77 클리어 패드옵션=어성초 77 클리어 패드 1개-20% off</t>
        </is>
      </c>
      <c r="K12163" s="94" t="n">
        <v>1</v>
      </c>
      <c r="L12163" s="88" t="n">
        <v>201208</v>
      </c>
      <c r="M12163" s="88">
        <f>VLOOKUP($Q12163,매칭테이블!$F:$I,2,0)*K12163</f>
        <v/>
      </c>
      <c r="N12163" s="88">
        <f>M12163-M12163*VLOOKUP($Q12163,매칭테이블!$F:$I,3,0)</f>
        <v/>
      </c>
      <c r="O12163" s="88">
        <f>VLOOKUP($Q12163,매칭테이블!$F:$I,4,0)*K12163</f>
        <v/>
      </c>
      <c r="P12163" s="152">
        <f>M12163/1.1</f>
        <v/>
      </c>
      <c r="Q12163" s="88">
        <f>F12163&amp;E12163&amp;G12163&amp;L12163</f>
        <v/>
      </c>
    </row>
    <row r="12164">
      <c r="B12164" s="128" t="n">
        <v>44180</v>
      </c>
      <c r="C12164" s="88">
        <f>TEXT(B12164,"aaa")</f>
        <v/>
      </c>
      <c r="D12164" s="94" t="n"/>
      <c r="E12164" s="88">
        <f>INDEX(매칭테이블!C:D,MATCH(RD!G12164,매칭테이블!D:D,0),1)</f>
        <v/>
      </c>
      <c r="F12164" s="94" t="inlineStr">
        <is>
          <t>카페24</t>
        </is>
      </c>
      <c r="G12164" s="94" t="inlineStr">
        <is>
          <t>어성초 77 클리어 패드옵션=어성초 77 클리어 패드 2개-30% off (무료배송)</t>
        </is>
      </c>
      <c r="K12164" s="94" t="n">
        <v>5</v>
      </c>
      <c r="L12164" s="88" t="n">
        <v>201208</v>
      </c>
      <c r="M12164" s="88">
        <f>VLOOKUP($Q12164,매칭테이블!$F:$I,2,0)*K12164</f>
        <v/>
      </c>
      <c r="N12164" s="88">
        <f>M12164-M12164*VLOOKUP($Q12164,매칭테이블!$F:$I,3,0)</f>
        <v/>
      </c>
      <c r="O12164" s="88">
        <f>VLOOKUP($Q12164,매칭테이블!$F:$I,4,0)*K12164</f>
        <v/>
      </c>
      <c r="P12164" s="152">
        <f>M12164/1.1</f>
        <v/>
      </c>
      <c r="Q12164" s="88">
        <f>F12164&amp;E12164&amp;G12164&amp;L12164</f>
        <v/>
      </c>
    </row>
    <row r="12165">
      <c r="B12165" s="128" t="n">
        <v>44180</v>
      </c>
      <c r="C12165" s="88">
        <f>TEXT(B12165,"aaa")</f>
        <v/>
      </c>
      <c r="D12165" s="94" t="n"/>
      <c r="E12165" s="88">
        <f>INDEX(매칭테이블!C:D,MATCH(RD!G12165,매칭테이블!D:D,0),1)</f>
        <v/>
      </c>
      <c r="F12165" s="94" t="inlineStr">
        <is>
          <t>카페24</t>
        </is>
      </c>
      <c r="G12165" s="94" t="inlineStr">
        <is>
          <t>어성초 77 클리어 패드옵션=어성초77토너1개+어성초77패드1개-30% off (무료배송)</t>
        </is>
      </c>
      <c r="K12165" s="94" t="n">
        <v>1</v>
      </c>
      <c r="L12165" s="88" t="n">
        <v>201208</v>
      </c>
      <c r="M12165" s="88">
        <f>VLOOKUP($Q12165,매칭테이블!$F:$I,2,0)*K12165</f>
        <v/>
      </c>
      <c r="N12165" s="88">
        <f>M12165-M12165*VLOOKUP($Q12165,매칭테이블!$F:$I,3,0)</f>
        <v/>
      </c>
      <c r="O12165" s="88">
        <f>VLOOKUP($Q12165,매칭테이블!$F:$I,4,0)*K12165</f>
        <v/>
      </c>
      <c r="P12165" s="152">
        <f>M12165/1.1</f>
        <v/>
      </c>
      <c r="Q12165" s="88">
        <f>F12165&amp;E12165&amp;G12165&amp;L12165</f>
        <v/>
      </c>
    </row>
    <row r="12166">
      <c r="B12166" s="128" t="n">
        <v>44180</v>
      </c>
      <c r="C12166" s="88">
        <f>TEXT(B12166,"aaa")</f>
        <v/>
      </c>
      <c r="D12166" s="94" t="n"/>
      <c r="E12166" s="88">
        <f>INDEX(매칭테이블!C:D,MATCH(RD!G12166,매칭테이블!D:D,0),1)</f>
        <v/>
      </c>
      <c r="F12166" s="94" t="inlineStr">
        <is>
          <t>카페24</t>
        </is>
      </c>
      <c r="G12166" s="94" t="inlineStr">
        <is>
          <t>어성초 77 토너</t>
        </is>
      </c>
      <c r="K12166" s="94" t="n">
        <v>1</v>
      </c>
      <c r="L12166" s="88" t="n">
        <v>201208</v>
      </c>
      <c r="M12166" s="88">
        <f>VLOOKUP($Q12166,매칭테이블!$F:$I,2,0)*K12166</f>
        <v/>
      </c>
      <c r="N12166" s="88">
        <f>M12166-M12166*VLOOKUP($Q12166,매칭테이블!$F:$I,3,0)</f>
        <v/>
      </c>
      <c r="O12166" s="88">
        <f>VLOOKUP($Q12166,매칭테이블!$F:$I,4,0)*K12166</f>
        <v/>
      </c>
      <c r="P12166" s="152">
        <f>M12166/1.1</f>
        <v/>
      </c>
      <c r="Q12166" s="88">
        <f>F12166&amp;E12166&amp;G12166&amp;L12166</f>
        <v/>
      </c>
    </row>
    <row r="12167">
      <c r="B12167" s="128" t="n">
        <v>44180</v>
      </c>
      <c r="C12167" s="88">
        <f>TEXT(B12167,"aaa")</f>
        <v/>
      </c>
      <c r="D12167" s="94" t="n"/>
      <c r="E12167" s="88">
        <f>INDEX(매칭테이블!C:D,MATCH(RD!G12167,매칭테이블!D:D,0),1)</f>
        <v/>
      </c>
      <c r="F12167" s="94" t="inlineStr">
        <is>
          <t>카페24</t>
        </is>
      </c>
      <c r="G12167" s="94" t="inlineStr">
        <is>
          <t>어성초 77 토너토너(필수)=어성초 77 토너 1개-20% off</t>
        </is>
      </c>
      <c r="K12167" s="94" t="n">
        <v>2</v>
      </c>
      <c r="L12167" s="88" t="n">
        <v>201208</v>
      </c>
      <c r="M12167" s="88">
        <f>VLOOKUP($Q12167,매칭테이블!$F:$I,2,0)*K12167</f>
        <v/>
      </c>
      <c r="N12167" s="88">
        <f>M12167-M12167*VLOOKUP($Q12167,매칭테이블!$F:$I,3,0)</f>
        <v/>
      </c>
      <c r="O12167" s="88">
        <f>VLOOKUP($Q12167,매칭테이블!$F:$I,4,0)*K12167</f>
        <v/>
      </c>
      <c r="P12167" s="152">
        <f>M12167/1.1</f>
        <v/>
      </c>
      <c r="Q12167" s="88">
        <f>F12167&amp;E12167&amp;G12167&amp;L12167</f>
        <v/>
      </c>
    </row>
    <row r="12168">
      <c r="B12168" s="128" t="n">
        <v>44180</v>
      </c>
      <c r="C12168" s="88">
        <f>TEXT(B12168,"aaa")</f>
        <v/>
      </c>
      <c r="D12168" s="94" t="n"/>
      <c r="E12168" s="88">
        <f>INDEX(매칭테이블!C:D,MATCH(RD!G12168,매칭테이블!D:D,0),1)</f>
        <v/>
      </c>
      <c r="F12168" s="94" t="inlineStr">
        <is>
          <t>카페24</t>
        </is>
      </c>
      <c r="G12168" s="94" t="inlineStr">
        <is>
          <t>어성초 78 수딩 크림</t>
        </is>
      </c>
      <c r="K12168" s="94" t="n">
        <v>5</v>
      </c>
      <c r="L12168" s="88" t="n">
        <v>201208</v>
      </c>
      <c r="M12168" s="88">
        <f>VLOOKUP($Q12168,매칭테이블!$F:$I,2,0)*K12168</f>
        <v/>
      </c>
      <c r="N12168" s="88">
        <f>M12168-M12168*VLOOKUP($Q12168,매칭테이블!$F:$I,3,0)</f>
        <v/>
      </c>
      <c r="O12168" s="88">
        <f>VLOOKUP($Q12168,매칭테이블!$F:$I,4,0)*K12168</f>
        <v/>
      </c>
      <c r="P12168" s="152">
        <f>M12168/1.1</f>
        <v/>
      </c>
      <c r="Q12168" s="88">
        <f>F12168&amp;E12168&amp;G12168&amp;L12168</f>
        <v/>
      </c>
    </row>
    <row r="12169">
      <c r="B12169" s="128" t="n">
        <v>44180</v>
      </c>
      <c r="C12169" s="88">
        <f>TEXT(B12169,"aaa")</f>
        <v/>
      </c>
      <c r="D12169" s="94" t="n"/>
      <c r="E12169" s="88">
        <f>INDEX(매칭테이블!C:D,MATCH(RD!G12169,매칭테이블!D:D,0),1)</f>
        <v/>
      </c>
      <c r="F12169" s="94" t="inlineStr">
        <is>
          <t>카페24</t>
        </is>
      </c>
      <c r="G12169" s="94" t="inlineStr">
        <is>
          <t>어성초 78 수딩 크림</t>
        </is>
      </c>
      <c r="K12169" s="94" t="n">
        <v>1</v>
      </c>
      <c r="L12169" s="88" t="n">
        <v>201208</v>
      </c>
      <c r="M12169" s="88">
        <f>VLOOKUP($Q12169,매칭테이블!$F:$I,2,0)*K12169</f>
        <v/>
      </c>
      <c r="N12169" s="88">
        <f>M12169-M12169*VLOOKUP($Q12169,매칭테이블!$F:$I,3,0)</f>
        <v/>
      </c>
      <c r="O12169" s="88">
        <f>VLOOKUP($Q12169,매칭테이블!$F:$I,4,0)*K12169</f>
        <v/>
      </c>
      <c r="P12169" s="152">
        <f>M12169/1.1</f>
        <v/>
      </c>
      <c r="Q12169" s="88">
        <f>F12169&amp;E12169&amp;G12169&amp;L12169</f>
        <v/>
      </c>
    </row>
    <row r="12170">
      <c r="B12170" s="128" t="n">
        <v>44180</v>
      </c>
      <c r="C12170" s="88">
        <f>TEXT(B12170,"aaa")</f>
        <v/>
      </c>
      <c r="D12170" s="94" t="n"/>
      <c r="E12170" s="88">
        <f>INDEX(매칭테이블!C:D,MATCH(RD!G12170,매칭테이블!D:D,0),1)</f>
        <v/>
      </c>
      <c r="F12170" s="94" t="inlineStr">
        <is>
          <t>카페24</t>
        </is>
      </c>
      <c r="G12170" s="94" t="inlineStr">
        <is>
          <t>어성초 80 수분 진정 앰플앰플=어성초 80 앰플 1개-15%off</t>
        </is>
      </c>
      <c r="K12170" s="94" t="n">
        <v>21</v>
      </c>
      <c r="L12170" s="88" t="n">
        <v>201208</v>
      </c>
      <c r="M12170" s="88">
        <f>VLOOKUP($Q12170,매칭테이블!$F:$I,2,0)*K12170</f>
        <v/>
      </c>
      <c r="N12170" s="88">
        <f>M12170-M12170*VLOOKUP($Q12170,매칭테이블!$F:$I,3,0)</f>
        <v/>
      </c>
      <c r="O12170" s="88">
        <f>VLOOKUP($Q12170,매칭테이블!$F:$I,4,0)*K12170</f>
        <v/>
      </c>
      <c r="P12170" s="152">
        <f>M12170/1.1</f>
        <v/>
      </c>
      <c r="Q12170" s="88">
        <f>F12170&amp;E12170&amp;G12170&amp;L12170</f>
        <v/>
      </c>
    </row>
    <row r="12171">
      <c r="B12171" s="128" t="n">
        <v>44180</v>
      </c>
      <c r="C12171" s="88">
        <f>TEXT(B12171,"aaa")</f>
        <v/>
      </c>
      <c r="D12171" s="94" t="n"/>
      <c r="E12171" s="88">
        <f>INDEX(매칭테이블!C:D,MATCH(RD!G12171,매칭테이블!D:D,0),1)</f>
        <v/>
      </c>
      <c r="F12171" s="94" t="inlineStr">
        <is>
          <t>카페24</t>
        </is>
      </c>
      <c r="G12171" s="94" t="inlineStr">
        <is>
          <t>어성초 80 수분 진정 앰플앰플=어성초 80 앰플 2개-27%off (무료배송)</t>
        </is>
      </c>
      <c r="K12171" s="94" t="n">
        <v>5</v>
      </c>
      <c r="L12171" s="88" t="n">
        <v>201208</v>
      </c>
      <c r="M12171" s="88">
        <f>VLOOKUP($Q12171,매칭테이블!$F:$I,2,0)*K12171</f>
        <v/>
      </c>
      <c r="N12171" s="88">
        <f>M12171-M12171*VLOOKUP($Q12171,매칭테이블!$F:$I,3,0)</f>
        <v/>
      </c>
      <c r="O12171" s="88">
        <f>VLOOKUP($Q12171,매칭테이블!$F:$I,4,0)*K12171</f>
        <v/>
      </c>
      <c r="P12171" s="152">
        <f>M12171/1.1</f>
        <v/>
      </c>
      <c r="Q12171" s="88">
        <f>F12171&amp;E12171&amp;G12171&amp;L12171</f>
        <v/>
      </c>
    </row>
    <row r="12172">
      <c r="B12172" s="128" t="n">
        <v>44180</v>
      </c>
      <c r="C12172" s="88">
        <f>TEXT(B12172,"aaa")</f>
        <v/>
      </c>
      <c r="D12172" s="94" t="n"/>
      <c r="E12172" s="88">
        <f>INDEX(매칭테이블!C:D,MATCH(RD!G12172,매칭테이블!D:D,0),1)</f>
        <v/>
      </c>
      <c r="F12172" s="94" t="inlineStr">
        <is>
          <t>카페24</t>
        </is>
      </c>
      <c r="G12172" s="94" t="inlineStr">
        <is>
          <t>어성초 80 수분 진정 앰플</t>
        </is>
      </c>
      <c r="K12172" s="94" t="n">
        <v>1</v>
      </c>
      <c r="L12172" s="88" t="n">
        <v>201208</v>
      </c>
      <c r="M12172" s="88">
        <f>VLOOKUP($Q12172,매칭테이블!$F:$I,2,0)*K12172</f>
        <v/>
      </c>
      <c r="N12172" s="88">
        <f>M12172-M12172*VLOOKUP($Q12172,매칭테이블!$F:$I,3,0)</f>
        <v/>
      </c>
      <c r="O12172" s="88">
        <f>VLOOKUP($Q12172,매칭테이블!$F:$I,4,0)*K12172</f>
        <v/>
      </c>
      <c r="P12172" s="152">
        <f>M12172/1.1</f>
        <v/>
      </c>
      <c r="Q12172" s="88">
        <f>F12172&amp;E12172&amp;G12172&amp;L12172</f>
        <v/>
      </c>
    </row>
    <row r="12173">
      <c r="B12173" s="128" t="n">
        <v>44180</v>
      </c>
      <c r="C12173" s="88">
        <f>TEXT(B12173,"aaa")</f>
        <v/>
      </c>
      <c r="D12173" s="94" t="n"/>
      <c r="E12173" s="88">
        <f>INDEX(매칭테이블!C:D,MATCH(RD!G12173,매칭테이블!D:D,0),1)</f>
        <v/>
      </c>
      <c r="F12173" s="94" t="inlineStr">
        <is>
          <t>카페24</t>
        </is>
      </c>
      <c r="G12173" s="94" t="inlineStr">
        <is>
          <t>어성초 아크네 바디워시옵션=어성초 아크네 바디워시 1개 -30% off</t>
        </is>
      </c>
      <c r="K12173" s="94" t="n">
        <v>1</v>
      </c>
      <c r="L12173" s="88" t="n">
        <v>201208</v>
      </c>
      <c r="M12173" s="88">
        <f>VLOOKUP($Q12173,매칭테이블!$F:$I,2,0)*K12173</f>
        <v/>
      </c>
      <c r="N12173" s="88">
        <f>M12173-M12173*VLOOKUP($Q12173,매칭테이블!$F:$I,3,0)</f>
        <v/>
      </c>
      <c r="O12173" s="88">
        <f>VLOOKUP($Q12173,매칭테이블!$F:$I,4,0)*K12173</f>
        <v/>
      </c>
      <c r="P12173" s="152">
        <f>M12173/1.1</f>
        <v/>
      </c>
      <c r="Q12173" s="88">
        <f>F12173&amp;E12173&amp;G12173&amp;L12173</f>
        <v/>
      </c>
    </row>
    <row r="12174">
      <c r="B12174" s="128" t="n">
        <v>44180</v>
      </c>
      <c r="C12174" s="88">
        <f>TEXT(B12174,"aaa")</f>
        <v/>
      </c>
      <c r="D12174" s="94" t="n"/>
      <c r="E12174" s="88">
        <f>INDEX(매칭테이블!C:D,MATCH(RD!G12174,매칭테이블!D:D,0),1)</f>
        <v/>
      </c>
      <c r="F12174" s="94" t="inlineStr">
        <is>
          <t>카페24</t>
        </is>
      </c>
      <c r="G12174" s="94" t="inlineStr">
        <is>
          <t>어성초 아크네 바디워시옵션=어성초 아크네 바디워시 2개 -35% off (무료배송)</t>
        </is>
      </c>
      <c r="K12174" s="94" t="n">
        <v>1</v>
      </c>
      <c r="L12174" s="88" t="n">
        <v>201208</v>
      </c>
      <c r="M12174" s="88">
        <f>VLOOKUP($Q12174,매칭테이블!$F:$I,2,0)*K12174</f>
        <v/>
      </c>
      <c r="N12174" s="88">
        <f>M12174-M12174*VLOOKUP($Q12174,매칭테이블!$F:$I,3,0)</f>
        <v/>
      </c>
      <c r="O12174" s="88">
        <f>VLOOKUP($Q12174,매칭테이블!$F:$I,4,0)*K12174</f>
        <v/>
      </c>
      <c r="P12174" s="152">
        <f>M12174/1.1</f>
        <v/>
      </c>
      <c r="Q12174" s="88">
        <f>F12174&amp;E12174&amp;G12174&amp;L12174</f>
        <v/>
      </c>
    </row>
    <row r="12175">
      <c r="B12175" s="128" t="n">
        <v>44180</v>
      </c>
      <c r="C12175" s="88">
        <f>TEXT(B12175,"aaa")</f>
        <v/>
      </c>
      <c r="D12175" s="94" t="n"/>
      <c r="E12175" s="88">
        <f>INDEX(매칭테이블!C:D,MATCH(RD!G12175,매칭테이블!D:D,0),1)</f>
        <v/>
      </c>
      <c r="F12175" s="94" t="inlineStr">
        <is>
          <t>카페24</t>
        </is>
      </c>
      <c r="G12175" s="94" t="inlineStr">
        <is>
          <t>어성초 약산성 클렌징폼클렌징폼=어성초 약산성 클렌징폼 1개 -19%off</t>
        </is>
      </c>
      <c r="K12175" s="94" t="n">
        <v>11</v>
      </c>
      <c r="L12175" s="88" t="n">
        <v>201208</v>
      </c>
      <c r="M12175" s="88">
        <f>VLOOKUP($Q12175,매칭테이블!$F:$I,2,0)*K12175</f>
        <v/>
      </c>
      <c r="N12175" s="88">
        <f>M12175-M12175*VLOOKUP($Q12175,매칭테이블!$F:$I,3,0)</f>
        <v/>
      </c>
      <c r="O12175" s="88">
        <f>VLOOKUP($Q12175,매칭테이블!$F:$I,4,0)*K12175</f>
        <v/>
      </c>
      <c r="P12175" s="152">
        <f>M12175/1.1</f>
        <v/>
      </c>
      <c r="Q12175" s="88">
        <f>F12175&amp;E12175&amp;G12175&amp;L12175</f>
        <v/>
      </c>
    </row>
    <row r="12176">
      <c r="B12176" s="128" t="n">
        <v>44180</v>
      </c>
      <c r="C12176" s="88">
        <f>TEXT(B12176,"aaa")</f>
        <v/>
      </c>
      <c r="D12176" s="94" t="n"/>
      <c r="E12176" s="88">
        <f>INDEX(매칭테이블!C:D,MATCH(RD!G12176,매칭테이블!D:D,0),1)</f>
        <v/>
      </c>
      <c r="F12176" s="94" t="inlineStr">
        <is>
          <t>카페24</t>
        </is>
      </c>
      <c r="G12176" s="94" t="inlineStr">
        <is>
          <t>어성초 약산성 클렌징폼클렌징폼=어성초 약산성 클렌징폼 2개 -25%off</t>
        </is>
      </c>
      <c r="K12176" s="94" t="n">
        <v>4</v>
      </c>
      <c r="L12176" s="88" t="n">
        <v>201208</v>
      </c>
      <c r="M12176" s="88">
        <f>VLOOKUP($Q12176,매칭테이블!$F:$I,2,0)*K12176</f>
        <v/>
      </c>
      <c r="N12176" s="88">
        <f>M12176-M12176*VLOOKUP($Q12176,매칭테이블!$F:$I,3,0)</f>
        <v/>
      </c>
      <c r="O12176" s="88">
        <f>VLOOKUP($Q12176,매칭테이블!$F:$I,4,0)*K12176</f>
        <v/>
      </c>
      <c r="P12176" s="152">
        <f>M12176/1.1</f>
        <v/>
      </c>
      <c r="Q12176" s="88">
        <f>F12176&amp;E12176&amp;G12176&amp;L12176</f>
        <v/>
      </c>
    </row>
    <row r="12177">
      <c r="B12177" s="128" t="n">
        <v>44180</v>
      </c>
      <c r="C12177" s="88">
        <f>TEXT(B12177,"aaa")</f>
        <v/>
      </c>
      <c r="D12177" s="94" t="n"/>
      <c r="E12177" s="88">
        <f>INDEX(매칭테이블!C:D,MATCH(RD!G12177,매칭테이블!D:D,0),1)</f>
        <v/>
      </c>
      <c r="F12177" s="94" t="inlineStr">
        <is>
          <t>카페24</t>
        </is>
      </c>
      <c r="G12177" s="94" t="inlineStr">
        <is>
          <t>어성초 크림마스크 나이트 솔루션옵션=어성초 크림마스크 나이트 솔루션 1장</t>
        </is>
      </c>
      <c r="K12177" s="94" t="n">
        <v>1</v>
      </c>
      <c r="L12177" s="88" t="n">
        <v>201208</v>
      </c>
      <c r="M12177" s="88">
        <f>VLOOKUP($Q12177,매칭테이블!$F:$I,2,0)*K12177</f>
        <v/>
      </c>
      <c r="N12177" s="88">
        <f>M12177-M12177*VLOOKUP($Q12177,매칭테이블!$F:$I,3,0)</f>
        <v/>
      </c>
      <c r="O12177" s="88">
        <f>VLOOKUP($Q12177,매칭테이블!$F:$I,4,0)*K12177</f>
        <v/>
      </c>
      <c r="P12177" s="152">
        <f>M12177/1.1</f>
        <v/>
      </c>
      <c r="Q12177" s="88">
        <f>F12177&amp;E12177&amp;G12177&amp;L12177</f>
        <v/>
      </c>
    </row>
    <row r="12178">
      <c r="B12178" s="128" t="n">
        <v>44180</v>
      </c>
      <c r="C12178" s="88">
        <f>TEXT(B12178,"aaa")</f>
        <v/>
      </c>
      <c r="D12178" s="94" t="n"/>
      <c r="E12178" s="88">
        <f>INDEX(매칭테이블!C:D,MATCH(RD!G12178,매칭테이블!D:D,0),1)</f>
        <v/>
      </c>
      <c r="F12178" s="94" t="inlineStr">
        <is>
          <t>카페24</t>
        </is>
      </c>
      <c r="G12178" s="94" t="inlineStr">
        <is>
          <t>어성초 크림마스크 나이트 솔루션옵션=어성초 크림마스크 나이트 솔루션 10장 (-50%)</t>
        </is>
      </c>
      <c r="K12178" s="94" t="n">
        <v>4</v>
      </c>
      <c r="L12178" s="88" t="n">
        <v>201208</v>
      </c>
      <c r="M12178" s="88">
        <f>VLOOKUP($Q12178,매칭테이블!$F:$I,2,0)*K12178</f>
        <v/>
      </c>
      <c r="N12178" s="88">
        <f>M12178-M12178*VLOOKUP($Q12178,매칭테이블!$F:$I,3,0)</f>
        <v/>
      </c>
      <c r="O12178" s="88">
        <f>VLOOKUP($Q12178,매칭테이블!$F:$I,4,0)*K12178</f>
        <v/>
      </c>
      <c r="P12178" s="152">
        <f>M12178/1.1</f>
        <v/>
      </c>
      <c r="Q12178" s="88">
        <f>F12178&amp;E12178&amp;G12178&amp;L12178</f>
        <v/>
      </c>
    </row>
    <row r="12179">
      <c r="B12179" s="128" t="n">
        <v>44180</v>
      </c>
      <c r="C12179" s="88">
        <f>TEXT(B12179,"aaa")</f>
        <v/>
      </c>
      <c r="D12179" s="94" t="n"/>
      <c r="E12179" s="88">
        <f>INDEX(매칭테이블!C:D,MATCH(RD!G12179,매칭테이블!D:D,0),1)</f>
        <v/>
      </c>
      <c r="F12179" s="94" t="inlineStr">
        <is>
          <t>카페24</t>
        </is>
      </c>
      <c r="G12179" s="94" t="inlineStr">
        <is>
          <t>촉촉 스킨팩 화장솜</t>
        </is>
      </c>
      <c r="K12179" s="94" t="n">
        <v>18</v>
      </c>
      <c r="L12179" s="88" t="n">
        <v>201208</v>
      </c>
      <c r="M12179" s="88">
        <f>VLOOKUP($Q12179,매칭테이블!$F:$I,2,0)*K12179</f>
        <v/>
      </c>
      <c r="N12179" s="88">
        <f>M12179-M12179*VLOOKUP($Q12179,매칭테이블!$F:$I,3,0)</f>
        <v/>
      </c>
      <c r="O12179" s="88">
        <f>VLOOKUP($Q12179,매칭테이블!$F:$I,4,0)*K12179</f>
        <v/>
      </c>
      <c r="P12179" s="152">
        <f>M12179/1.1</f>
        <v/>
      </c>
      <c r="Q12179" s="88">
        <f>F12179&amp;E12179&amp;G12179&amp;L12179</f>
        <v/>
      </c>
    </row>
    <row r="12180">
      <c r="B12180" s="128" t="n">
        <v>44180</v>
      </c>
      <c r="C12180" s="88">
        <f>TEXT(B12180,"aaa")</f>
        <v/>
      </c>
      <c r="D12180" s="94" t="n"/>
      <c r="E12180" s="88">
        <f>INDEX(매칭테이블!C:D,MATCH(RD!G12180,매칭테이블!D:D,0),1)</f>
        <v/>
      </c>
      <c r="F12180" s="94" t="inlineStr">
        <is>
          <t>카페24</t>
        </is>
      </c>
      <c r="G12180" s="94" t="inlineStr">
        <is>
          <t>촉촉 스킨팩 화장솜</t>
        </is>
      </c>
      <c r="K12180" s="94" t="n">
        <v>1</v>
      </c>
      <c r="L12180" s="88" t="n">
        <v>201208</v>
      </c>
      <c r="M12180" s="88">
        <f>VLOOKUP($Q12180,매칭테이블!$F:$I,2,0)*K12180</f>
        <v/>
      </c>
      <c r="N12180" s="88">
        <f>M12180-M12180*VLOOKUP($Q12180,매칭테이블!$F:$I,3,0)</f>
        <v/>
      </c>
      <c r="O12180" s="88">
        <f>VLOOKUP($Q12180,매칭테이블!$F:$I,4,0)*K12180</f>
        <v/>
      </c>
      <c r="P12180" s="152">
        <f>M12180/1.1</f>
        <v/>
      </c>
      <c r="Q12180" s="88">
        <f>F12180&amp;E12180&amp;G12180&amp;L12180</f>
        <v/>
      </c>
    </row>
    <row r="12181">
      <c r="B12181" s="128" t="n">
        <v>44180</v>
      </c>
      <c r="C12181" s="88">
        <f>TEXT(B12181,"aaa")</f>
        <v/>
      </c>
      <c r="D12181" s="94" t="n"/>
      <c r="E12181" s="88">
        <f>INDEX(매칭테이블!C:D,MATCH(RD!G12181,매칭테이블!D:D,0),1)</f>
        <v/>
      </c>
      <c r="F12181" s="94" t="inlineStr">
        <is>
          <t>화해</t>
        </is>
      </c>
      <c r="G12181" s="94" t="inlineStr">
        <is>
          <t>어성초 77 토너 250ml어성초 77 토너 250ml</t>
        </is>
      </c>
      <c r="K12181" s="94" t="n">
        <v>1</v>
      </c>
      <c r="L12181" s="88" t="n">
        <v>201208</v>
      </c>
      <c r="M12181" s="88">
        <f>VLOOKUP($Q12181,매칭테이블!$F:$I,2,0)*K12181</f>
        <v/>
      </c>
      <c r="N12181" s="88">
        <f>M12181-M12181*VLOOKUP($Q12181,매칭테이블!$F:$I,3,0)</f>
        <v/>
      </c>
      <c r="O12181" s="88">
        <f>VLOOKUP($Q12181,매칭테이블!$F:$I,4,0)*K12181</f>
        <v/>
      </c>
      <c r="P12181" s="152">
        <f>M12181/1.1</f>
        <v/>
      </c>
      <c r="Q12181" s="88">
        <f>F12181&amp;E12181&amp;G12181&amp;L12181</f>
        <v/>
      </c>
    </row>
    <row r="12182">
      <c r="B12182" s="128" t="n">
        <v>44181</v>
      </c>
      <c r="C12182" s="88">
        <f>TEXT(B12182,"aaa")</f>
        <v/>
      </c>
      <c r="D12182" s="94" t="n"/>
      <c r="E12182" s="88">
        <f>INDEX(매칭테이블!C:D,MATCH(RD!G12182,매칭테이블!D:D,0),1)</f>
        <v/>
      </c>
      <c r="F12182" s="94" t="inlineStr">
        <is>
          <t>W컨셉</t>
        </is>
      </c>
      <c r="G12182" s="94" t="inlineStr">
        <is>
          <t>어성초 77토너 (2 SET) HEARTLEAF 77% SOOTHING TONER 250ml250ml 2set</t>
        </is>
      </c>
      <c r="K12182" s="94" t="n">
        <v>4</v>
      </c>
      <c r="L12182" s="88" t="n">
        <v>201208</v>
      </c>
      <c r="M12182" s="88">
        <f>VLOOKUP($Q12182,매칭테이블!$F:$I,2,0)*K12182</f>
        <v/>
      </c>
      <c r="N12182" s="88">
        <f>M12182-M12182*VLOOKUP($Q12182,매칭테이블!$F:$I,3,0)</f>
        <v/>
      </c>
      <c r="O12182" s="88">
        <f>VLOOKUP($Q12182,매칭테이블!$F:$I,4,0)*K12182</f>
        <v/>
      </c>
      <c r="P12182" s="152">
        <f>M12182/1.1</f>
        <v/>
      </c>
      <c r="Q12182" s="88">
        <f>F12182&amp;E12182&amp;G12182&amp;L12182</f>
        <v/>
      </c>
    </row>
    <row r="12183">
      <c r="B12183" s="128" t="n">
        <v>44181</v>
      </c>
      <c r="C12183" s="88">
        <f>TEXT(B12183,"aaa")</f>
        <v/>
      </c>
      <c r="D12183" s="94" t="n"/>
      <c r="E12183" s="88">
        <f>INDEX(매칭테이블!C:D,MATCH(RD!G12183,매칭테이블!D:D,0),1)</f>
        <v/>
      </c>
      <c r="F12183" s="94" t="inlineStr">
        <is>
          <t>W컨셉</t>
        </is>
      </c>
      <c r="G12183" s="94" t="inlineStr">
        <is>
          <t>어성초 77토너 HEARTLEAF 77% SOOTHING TONER 250ml250ml</t>
        </is>
      </c>
      <c r="K12183" s="94" t="n">
        <v>1</v>
      </c>
      <c r="L12183" s="88" t="n">
        <v>201208</v>
      </c>
      <c r="M12183" s="88">
        <f>VLOOKUP($Q12183,매칭테이블!$F:$I,2,0)*K12183</f>
        <v/>
      </c>
      <c r="N12183" s="88">
        <f>M12183-M12183*VLOOKUP($Q12183,매칭테이블!$F:$I,3,0)</f>
        <v/>
      </c>
      <c r="O12183" s="88">
        <f>VLOOKUP($Q12183,매칭테이블!$F:$I,4,0)*K12183</f>
        <v/>
      </c>
      <c r="P12183" s="152">
        <f>M12183/1.1</f>
        <v/>
      </c>
      <c r="Q12183" s="88">
        <f>F12183&amp;E12183&amp;G12183&amp;L12183</f>
        <v/>
      </c>
    </row>
    <row r="12184">
      <c r="B12184" s="128" t="n">
        <v>44181</v>
      </c>
      <c r="C12184" s="88">
        <f>TEXT(B12184,"aaa")</f>
        <v/>
      </c>
      <c r="D12184" s="94" t="n"/>
      <c r="E12184" s="88">
        <f>INDEX(매칭테이블!C:D,MATCH(RD!G12184,매칭테이블!D:D,0),1)</f>
        <v/>
      </c>
      <c r="F12184" s="94" t="inlineStr">
        <is>
          <t>글로우데이즈 시코르</t>
        </is>
      </c>
      <c r="G12184" s="94" t="inlineStr">
        <is>
          <t>5제로 무기자차 선크림 50ml</t>
        </is>
      </c>
      <c r="K12184" s="94" t="n">
        <v>10</v>
      </c>
      <c r="L12184" s="88" t="n">
        <v>201208</v>
      </c>
      <c r="M12184" s="88">
        <f>VLOOKUP($Q12184,매칭테이블!$F:$I,2,0)*K12184</f>
        <v/>
      </c>
      <c r="N12184" s="88">
        <f>M12184-M12184*VLOOKUP($Q12184,매칭테이블!$F:$I,3,0)</f>
        <v/>
      </c>
      <c r="O12184" s="88">
        <f>VLOOKUP($Q12184,매칭테이블!$F:$I,4,0)*K12184</f>
        <v/>
      </c>
      <c r="P12184" s="152">
        <f>M12184/1.1</f>
        <v/>
      </c>
      <c r="Q12184" s="88">
        <f>F12184&amp;E12184&amp;G12184&amp;L12184</f>
        <v/>
      </c>
    </row>
    <row r="12185">
      <c r="B12185" s="128" t="n">
        <v>44181</v>
      </c>
      <c r="C12185" s="88">
        <f>TEXT(B12185,"aaa")</f>
        <v/>
      </c>
      <c r="D12185" s="94" t="n"/>
      <c r="E12185" s="88">
        <f>INDEX(매칭테이블!C:D,MATCH(RD!G12185,매칭테이블!D:D,0),1)</f>
        <v/>
      </c>
      <c r="F12185" s="94" t="inlineStr">
        <is>
          <t>스타일쉐어</t>
        </is>
      </c>
      <c r="G12185" s="94" t="inlineStr">
        <is>
          <t>아누아 어성초 77 토너 250ml</t>
        </is>
      </c>
      <c r="K12185" s="94" t="n">
        <v>2</v>
      </c>
      <c r="L12185" s="88" t="n">
        <v>201208</v>
      </c>
      <c r="M12185" s="88">
        <f>VLOOKUP($Q12185,매칭테이블!$F:$I,2,0)*K12185</f>
        <v/>
      </c>
      <c r="N12185" s="88">
        <f>M12185-M12185*VLOOKUP($Q12185,매칭테이블!$F:$I,3,0)</f>
        <v/>
      </c>
      <c r="O12185" s="88">
        <f>VLOOKUP($Q12185,매칭테이블!$F:$I,4,0)*K12185</f>
        <v/>
      </c>
      <c r="P12185" s="152">
        <f>M12185/1.1</f>
        <v/>
      </c>
      <c r="Q12185" s="88">
        <f>F12185&amp;E12185&amp;G12185&amp;L12185</f>
        <v/>
      </c>
    </row>
    <row r="12186">
      <c r="B12186" s="128" t="n">
        <v>44181</v>
      </c>
      <c r="C12186" s="88">
        <f>TEXT(B12186,"aaa")</f>
        <v/>
      </c>
      <c r="D12186" s="94" t="n"/>
      <c r="E12186" s="88">
        <f>INDEX(매칭테이블!C:D,MATCH(RD!G12186,매칭테이블!D:D,0),1)</f>
        <v/>
      </c>
      <c r="F12186" s="94" t="inlineStr">
        <is>
          <t>아누아 CS</t>
        </is>
      </c>
      <c r="G12186" s="94" t="inlineStr">
        <is>
          <t>어성초 77 토너 250ml</t>
        </is>
      </c>
      <c r="K12186" s="94" t="n">
        <v>1</v>
      </c>
      <c r="L12186" s="88" t="n">
        <v>201208</v>
      </c>
      <c r="M12186" s="88">
        <f>VLOOKUP($Q12186,매칭테이블!$F:$I,2,0)*K12186</f>
        <v/>
      </c>
      <c r="N12186" s="88">
        <f>M12186-M12186*VLOOKUP($Q12186,매칭테이블!$F:$I,3,0)</f>
        <v/>
      </c>
      <c r="O12186" s="88">
        <f>VLOOKUP($Q12186,매칭테이블!$F:$I,4,0)*K12186</f>
        <v/>
      </c>
      <c r="P12186" s="152">
        <f>M12186/1.1</f>
        <v/>
      </c>
      <c r="Q12186" s="88">
        <f>F12186&amp;E12186&amp;G12186&amp;L12186</f>
        <v/>
      </c>
    </row>
    <row r="12187">
      <c r="B12187" s="128" t="n">
        <v>44181</v>
      </c>
      <c r="C12187" s="88">
        <f>TEXT(B12187,"aaa")</f>
        <v/>
      </c>
      <c r="D12187" s="94" t="n"/>
      <c r="E12187" s="88">
        <f>INDEX(매칭테이블!C:D,MATCH(RD!G12187,매칭테이블!D:D,0),1)</f>
        <v/>
      </c>
      <c r="F12187" s="94" t="inlineStr">
        <is>
          <t>아누아 CS</t>
        </is>
      </c>
      <c r="G12187" s="94" t="inlineStr">
        <is>
          <t>어성초 클리어패드 70P</t>
        </is>
      </c>
      <c r="K12187" s="94" t="n">
        <v>2</v>
      </c>
      <c r="L12187" s="88" t="n">
        <v>201208</v>
      </c>
      <c r="M12187" s="88">
        <f>VLOOKUP($Q12187,매칭테이블!$F:$I,2,0)*K12187</f>
        <v/>
      </c>
      <c r="N12187" s="88">
        <f>M12187-M12187*VLOOKUP($Q12187,매칭테이블!$F:$I,3,0)</f>
        <v/>
      </c>
      <c r="O12187" s="88">
        <f>VLOOKUP($Q12187,매칭테이블!$F:$I,4,0)*K12187</f>
        <v/>
      </c>
      <c r="P12187" s="152">
        <f>M12187/1.1</f>
        <v/>
      </c>
      <c r="Q12187" s="88">
        <f>F12187&amp;E12187&amp;G12187&amp;L12187</f>
        <v/>
      </c>
    </row>
    <row r="12188">
      <c r="B12188" s="128" t="n">
        <v>44181</v>
      </c>
      <c r="C12188" s="88">
        <f>TEXT(B12188,"aaa")</f>
        <v/>
      </c>
      <c r="D12188" s="94" t="n"/>
      <c r="E12188" s="88">
        <f>INDEX(매칭테이블!C:D,MATCH(RD!G12188,매칭테이블!D:D,0),1)</f>
        <v/>
      </c>
      <c r="F12188" s="94" t="inlineStr">
        <is>
          <t>카페24</t>
        </is>
      </c>
      <c r="G12188" s="94" t="inlineStr">
        <is>
          <t>5 제로 무기자차 선크림옵션=5제로 무기자차 선크림 1개-20% off</t>
        </is>
      </c>
      <c r="K12188" s="94" t="n">
        <v>3</v>
      </c>
      <c r="L12188" s="88" t="n">
        <v>201208</v>
      </c>
      <c r="M12188" s="88">
        <f>VLOOKUP($Q12188,매칭테이블!$F:$I,2,0)*K12188</f>
        <v/>
      </c>
      <c r="N12188" s="88">
        <f>M12188-M12188*VLOOKUP($Q12188,매칭테이블!$F:$I,3,0)</f>
        <v/>
      </c>
      <c r="O12188" s="88">
        <f>VLOOKUP($Q12188,매칭테이블!$F:$I,4,0)*K12188</f>
        <v/>
      </c>
      <c r="P12188" s="152">
        <f>M12188/1.1</f>
        <v/>
      </c>
      <c r="Q12188" s="88">
        <f>F12188&amp;E12188&amp;G12188&amp;L12188</f>
        <v/>
      </c>
    </row>
    <row r="12189">
      <c r="B12189" s="128" t="n">
        <v>44181</v>
      </c>
      <c r="C12189" s="88">
        <f>TEXT(B12189,"aaa")</f>
        <v/>
      </c>
      <c r="D12189" s="94" t="n"/>
      <c r="E12189" s="88">
        <f>INDEX(매칭테이블!C:D,MATCH(RD!G12189,매칭테이블!D:D,0),1)</f>
        <v/>
      </c>
      <c r="F12189" s="94" t="inlineStr">
        <is>
          <t>카페24</t>
        </is>
      </c>
      <c r="G12189" s="94" t="inlineStr">
        <is>
          <t>[수분 보충 세트] 어성초 77 토너 + 어성초 70 로션옵션=어성초 77 토너 250ml + 어성초 70 로션 200ml -30%</t>
        </is>
      </c>
      <c r="K12189" s="94" t="n">
        <v>17</v>
      </c>
      <c r="L12189" s="88" t="n">
        <v>201208</v>
      </c>
      <c r="M12189" s="88">
        <f>VLOOKUP($Q12189,매칭테이블!$F:$I,2,0)*K12189</f>
        <v/>
      </c>
      <c r="N12189" s="88">
        <f>M12189-M12189*VLOOKUP($Q12189,매칭테이블!$F:$I,3,0)</f>
        <v/>
      </c>
      <c r="O12189" s="88">
        <f>VLOOKUP($Q12189,매칭테이블!$F:$I,4,0)*K12189</f>
        <v/>
      </c>
      <c r="P12189" s="152">
        <f>M12189/1.1</f>
        <v/>
      </c>
      <c r="Q12189" s="88">
        <f>F12189&amp;E12189&amp;G12189&amp;L12189</f>
        <v/>
      </c>
    </row>
    <row r="12190">
      <c r="B12190" s="128" t="n">
        <v>44181</v>
      </c>
      <c r="C12190" s="88">
        <f>TEXT(B12190,"aaa")</f>
        <v/>
      </c>
      <c r="D12190" s="94" t="n"/>
      <c r="E12190" s="88">
        <f>INDEX(매칭테이블!C:D,MATCH(RD!G12190,매칭테이블!D:D,0),1)</f>
        <v/>
      </c>
      <c r="F12190" s="94" t="inlineStr">
        <is>
          <t>카페24</t>
        </is>
      </c>
      <c r="G12190" s="94" t="inlineStr">
        <is>
          <t>[어성초 진정 패키지 세트] 대용량 토너 + 앰플 + 수딩 크림 + 마스크팩 10장</t>
        </is>
      </c>
      <c r="K12190" s="94" t="n">
        <v>1</v>
      </c>
      <c r="L12190" s="88" t="n">
        <v>201208</v>
      </c>
      <c r="M12190" s="88">
        <f>VLOOKUP($Q12190,매칭테이블!$F:$I,2,0)*K12190</f>
        <v/>
      </c>
      <c r="N12190" s="88">
        <f>M12190-M12190*VLOOKUP($Q12190,매칭테이블!$F:$I,3,0)</f>
        <v/>
      </c>
      <c r="O12190" s="88">
        <f>VLOOKUP($Q12190,매칭테이블!$F:$I,4,0)*K12190</f>
        <v/>
      </c>
      <c r="P12190" s="152">
        <f>M12190/1.1</f>
        <v/>
      </c>
      <c r="Q12190" s="88">
        <f>F12190&amp;E12190&amp;G12190&amp;L12190</f>
        <v/>
      </c>
    </row>
    <row r="12191">
      <c r="B12191" s="128" t="n">
        <v>44181</v>
      </c>
      <c r="C12191" s="88">
        <f>TEXT(B12191,"aaa")</f>
        <v/>
      </c>
      <c r="D12191" s="94" t="n"/>
      <c r="E12191" s="88">
        <f>INDEX(매칭테이블!C:D,MATCH(RD!G12191,매칭테이블!D:D,0),1)</f>
        <v/>
      </c>
      <c r="F12191" s="94" t="inlineStr">
        <is>
          <t>카페24</t>
        </is>
      </c>
      <c r="G12191" s="94" t="inlineStr">
        <is>
          <t>대용량 어성초 77 수딩 토너 500ml</t>
        </is>
      </c>
      <c r="K12191" s="94" t="n">
        <v>27</v>
      </c>
      <c r="L12191" s="88" t="n">
        <v>201208</v>
      </c>
      <c r="M12191" s="88">
        <f>VLOOKUP($Q12191,매칭테이블!$F:$I,2,0)*K12191</f>
        <v/>
      </c>
      <c r="N12191" s="88">
        <f>M12191-M12191*VLOOKUP($Q12191,매칭테이블!$F:$I,3,0)</f>
        <v/>
      </c>
      <c r="O12191" s="88">
        <f>VLOOKUP($Q12191,매칭테이블!$F:$I,4,0)*K12191</f>
        <v/>
      </c>
      <c r="P12191" s="152">
        <f>M12191/1.1</f>
        <v/>
      </c>
      <c r="Q12191" s="88">
        <f>F12191&amp;E12191&amp;G12191&amp;L12191</f>
        <v/>
      </c>
    </row>
    <row r="12192">
      <c r="B12192" s="128" t="n">
        <v>44181</v>
      </c>
      <c r="C12192" s="88">
        <f>TEXT(B12192,"aaa")</f>
        <v/>
      </c>
      <c r="D12192" s="94" t="n"/>
      <c r="E12192" s="88">
        <f>INDEX(매칭테이블!C:D,MATCH(RD!G12192,매칭테이블!D:D,0),1)</f>
        <v/>
      </c>
      <c r="F12192" s="94" t="inlineStr">
        <is>
          <t>카페24</t>
        </is>
      </c>
      <c r="G12192" s="94" t="inlineStr">
        <is>
          <t>아누아 어성초 77 수딩 토너토너(필수)=어성초 77 토너 1개-20% off</t>
        </is>
      </c>
      <c r="K12192" s="94" t="n">
        <v>1</v>
      </c>
      <c r="L12192" s="88" t="n">
        <v>201208</v>
      </c>
      <c r="M12192" s="88">
        <f>VLOOKUP($Q12192,매칭테이블!$F:$I,2,0)*K12192</f>
        <v/>
      </c>
      <c r="N12192" s="88">
        <f>M12192-M12192*VLOOKUP($Q12192,매칭테이블!$F:$I,3,0)</f>
        <v/>
      </c>
      <c r="O12192" s="88">
        <f>VLOOKUP($Q12192,매칭테이블!$F:$I,4,0)*K12192</f>
        <v/>
      </c>
      <c r="P12192" s="152">
        <f>M12192/1.1</f>
        <v/>
      </c>
      <c r="Q12192" s="88">
        <f>F12192&amp;E12192&amp;G12192&amp;L12192</f>
        <v/>
      </c>
    </row>
    <row r="12193">
      <c r="B12193" s="128" t="n">
        <v>44181</v>
      </c>
      <c r="C12193" s="88">
        <f>TEXT(B12193,"aaa")</f>
        <v/>
      </c>
      <c r="D12193" s="94" t="n"/>
      <c r="E12193" s="88">
        <f>INDEX(매칭테이블!C:D,MATCH(RD!G12193,매칭테이블!D:D,0),1)</f>
        <v/>
      </c>
      <c r="F12193" s="94" t="inlineStr">
        <is>
          <t>카페24</t>
        </is>
      </c>
      <c r="G12193" s="94" t="inlineStr">
        <is>
          <t>아누아 어성초 77 수딩 토너토너(필수)=어성초 77 토너 2개-30% off (무료배송)</t>
        </is>
      </c>
      <c r="K12193" s="94" t="n">
        <v>1</v>
      </c>
      <c r="L12193" s="88" t="n">
        <v>201208</v>
      </c>
      <c r="M12193" s="88">
        <f>VLOOKUP($Q12193,매칭테이블!$F:$I,2,0)*K12193</f>
        <v/>
      </c>
      <c r="N12193" s="88">
        <f>M12193-M12193*VLOOKUP($Q12193,매칭테이블!$F:$I,3,0)</f>
        <v/>
      </c>
      <c r="O12193" s="88">
        <f>VLOOKUP($Q12193,매칭테이블!$F:$I,4,0)*K12193</f>
        <v/>
      </c>
      <c r="P12193" s="152">
        <f>M12193/1.1</f>
        <v/>
      </c>
      <c r="Q12193" s="88">
        <f>F12193&amp;E12193&amp;G12193&amp;L12193</f>
        <v/>
      </c>
    </row>
    <row r="12194">
      <c r="B12194" s="128" t="n">
        <v>44181</v>
      </c>
      <c r="C12194" s="88">
        <f>TEXT(B12194,"aaa")</f>
        <v/>
      </c>
      <c r="D12194" s="94" t="n"/>
      <c r="E12194" s="88">
        <f>INDEX(매칭테이블!C:D,MATCH(RD!G12194,매칭테이블!D:D,0),1)</f>
        <v/>
      </c>
      <c r="F12194" s="94" t="inlineStr">
        <is>
          <t>카페24</t>
        </is>
      </c>
      <c r="G12194" s="94" t="inlineStr">
        <is>
          <t>아누아 어성초 77 수딩 토너화장솜(선택)=촉촉 스킨팩 화장솜</t>
        </is>
      </c>
      <c r="K12194" s="94" t="n">
        <v>1</v>
      </c>
      <c r="L12194" s="88" t="n">
        <v>201208</v>
      </c>
      <c r="M12194" s="88">
        <f>VLOOKUP($Q12194,매칭테이블!$F:$I,2,0)*K12194</f>
        <v/>
      </c>
      <c r="N12194" s="88">
        <f>M12194-M12194*VLOOKUP($Q12194,매칭테이블!$F:$I,3,0)</f>
        <v/>
      </c>
      <c r="O12194" s="88">
        <f>VLOOKUP($Q12194,매칭테이블!$F:$I,4,0)*K12194</f>
        <v/>
      </c>
      <c r="P12194" s="152">
        <f>M12194/1.1</f>
        <v/>
      </c>
      <c r="Q12194" s="88">
        <f>F12194&amp;E12194&amp;G12194&amp;L12194</f>
        <v/>
      </c>
    </row>
    <row r="12195">
      <c r="B12195" s="128" t="n">
        <v>44181</v>
      </c>
      <c r="C12195" s="88">
        <f>TEXT(B12195,"aaa")</f>
        <v/>
      </c>
      <c r="D12195" s="94" t="n"/>
      <c r="E12195" s="88">
        <f>INDEX(매칭테이블!C:D,MATCH(RD!G12195,매칭테이블!D:D,0),1)</f>
        <v/>
      </c>
      <c r="F12195" s="94" t="inlineStr">
        <is>
          <t>카페24</t>
        </is>
      </c>
      <c r="G12195" s="94" t="inlineStr">
        <is>
          <t>어성초 70 데일리 릴리프 로션로션=어성초 70 데일리 릴리프 로션 1개 -20% off</t>
        </is>
      </c>
      <c r="K12195" s="94" t="n">
        <v>2</v>
      </c>
      <c r="L12195" s="88" t="n">
        <v>201208</v>
      </c>
      <c r="M12195" s="88">
        <f>VLOOKUP($Q12195,매칭테이블!$F:$I,2,0)*K12195</f>
        <v/>
      </c>
      <c r="N12195" s="88">
        <f>M12195-M12195*VLOOKUP($Q12195,매칭테이블!$F:$I,3,0)</f>
        <v/>
      </c>
      <c r="O12195" s="88">
        <f>VLOOKUP($Q12195,매칭테이블!$F:$I,4,0)*K12195</f>
        <v/>
      </c>
      <c r="P12195" s="152">
        <f>M12195/1.1</f>
        <v/>
      </c>
      <c r="Q12195" s="88">
        <f>F12195&amp;E12195&amp;G12195&amp;L12195</f>
        <v/>
      </c>
    </row>
    <row r="12196">
      <c r="B12196" s="128" t="n">
        <v>44181</v>
      </c>
      <c r="C12196" s="88">
        <f>TEXT(B12196,"aaa")</f>
        <v/>
      </c>
      <c r="D12196" s="94" t="n"/>
      <c r="E12196" s="88">
        <f>INDEX(매칭테이블!C:D,MATCH(RD!G12196,매칭테이블!D:D,0),1)</f>
        <v/>
      </c>
      <c r="F12196" s="94" t="inlineStr">
        <is>
          <t>카페24</t>
        </is>
      </c>
      <c r="G12196" s="94" t="inlineStr">
        <is>
          <t>어성초 70 데일리 릴리프 로션로션=어성초 70 데일리 릴리프 로션 2개 -30% off</t>
        </is>
      </c>
      <c r="K12196" s="94" t="n">
        <v>2</v>
      </c>
      <c r="L12196" s="88" t="n">
        <v>201208</v>
      </c>
      <c r="M12196" s="88">
        <f>VLOOKUP($Q12196,매칭테이블!$F:$I,2,0)*K12196</f>
        <v/>
      </c>
      <c r="N12196" s="88">
        <f>M12196-M12196*VLOOKUP($Q12196,매칭테이블!$F:$I,3,0)</f>
        <v/>
      </c>
      <c r="O12196" s="88">
        <f>VLOOKUP($Q12196,매칭테이블!$F:$I,4,0)*K12196</f>
        <v/>
      </c>
      <c r="P12196" s="152">
        <f>M12196/1.1</f>
        <v/>
      </c>
      <c r="Q12196" s="88">
        <f>F12196&amp;E12196&amp;G12196&amp;L12196</f>
        <v/>
      </c>
    </row>
    <row r="12197">
      <c r="B12197" s="128" t="n">
        <v>44181</v>
      </c>
      <c r="C12197" s="88">
        <f>TEXT(B12197,"aaa")</f>
        <v/>
      </c>
      <c r="D12197" s="94" t="n"/>
      <c r="E12197" s="88">
        <f>INDEX(매칭테이블!C:D,MATCH(RD!G12197,매칭테이블!D:D,0),1)</f>
        <v/>
      </c>
      <c r="F12197" s="94" t="inlineStr">
        <is>
          <t>카페24</t>
        </is>
      </c>
      <c r="G12197" s="94" t="inlineStr">
        <is>
          <t>어성초 70 머드 크림 마스크옵션=어성초 70 머드 크림 마스크-20% off</t>
        </is>
      </c>
      <c r="K12197" s="94" t="n">
        <v>4</v>
      </c>
      <c r="L12197" s="88" t="n">
        <v>201208</v>
      </c>
      <c r="M12197" s="88">
        <f>VLOOKUP($Q12197,매칭테이블!$F:$I,2,0)*K12197</f>
        <v/>
      </c>
      <c r="N12197" s="88">
        <f>M12197-M12197*VLOOKUP($Q12197,매칭테이블!$F:$I,3,0)</f>
        <v/>
      </c>
      <c r="O12197" s="88">
        <f>VLOOKUP($Q12197,매칭테이블!$F:$I,4,0)*K12197</f>
        <v/>
      </c>
      <c r="P12197" s="152">
        <f>M12197/1.1</f>
        <v/>
      </c>
      <c r="Q12197" s="88">
        <f>F12197&amp;E12197&amp;G12197&amp;L12197</f>
        <v/>
      </c>
    </row>
    <row r="12198">
      <c r="B12198" s="128" t="n">
        <v>44181</v>
      </c>
      <c r="C12198" s="88">
        <f>TEXT(B12198,"aaa")</f>
        <v/>
      </c>
      <c r="D12198" s="94" t="n"/>
      <c r="E12198" s="88">
        <f>INDEX(매칭테이블!C:D,MATCH(RD!G12198,매칭테이블!D:D,0),1)</f>
        <v/>
      </c>
      <c r="F12198" s="94" t="inlineStr">
        <is>
          <t>카페24</t>
        </is>
      </c>
      <c r="G12198" s="94" t="inlineStr">
        <is>
          <t>어성초 70 머드 크림 마스크옵션=어성초 70 머드 크림 마스크 2개-30% off (무료배송)</t>
        </is>
      </c>
      <c r="K12198" s="94" t="n">
        <v>1</v>
      </c>
      <c r="L12198" s="88" t="n">
        <v>201208</v>
      </c>
      <c r="M12198" s="88">
        <f>VLOOKUP($Q12198,매칭테이블!$F:$I,2,0)*K12198</f>
        <v/>
      </c>
      <c r="N12198" s="88">
        <f>M12198-M12198*VLOOKUP($Q12198,매칭테이블!$F:$I,3,0)</f>
        <v/>
      </c>
      <c r="O12198" s="88">
        <f>VLOOKUP($Q12198,매칭테이블!$F:$I,4,0)*K12198</f>
        <v/>
      </c>
      <c r="P12198" s="152">
        <f>M12198/1.1</f>
        <v/>
      </c>
      <c r="Q12198" s="88">
        <f>F12198&amp;E12198&amp;G12198&amp;L12198</f>
        <v/>
      </c>
    </row>
    <row r="12199">
      <c r="B12199" s="128" t="n">
        <v>44181</v>
      </c>
      <c r="C12199" s="88">
        <f>TEXT(B12199,"aaa")</f>
        <v/>
      </c>
      <c r="D12199" s="94" t="n"/>
      <c r="E12199" s="88">
        <f>INDEX(매칭테이블!C:D,MATCH(RD!G12199,매칭테이블!D:D,0),1)</f>
        <v/>
      </c>
      <c r="F12199" s="94" t="inlineStr">
        <is>
          <t>카페24</t>
        </is>
      </c>
      <c r="G12199" s="94" t="inlineStr">
        <is>
          <t>어성초 70 머드 크림 마스크</t>
        </is>
      </c>
      <c r="K12199" s="94" t="n">
        <v>1</v>
      </c>
      <c r="L12199" s="88" t="n">
        <v>201208</v>
      </c>
      <c r="M12199" s="88">
        <f>VLOOKUP($Q12199,매칭테이블!$F:$I,2,0)*K12199</f>
        <v/>
      </c>
      <c r="N12199" s="88">
        <f>M12199-M12199*VLOOKUP($Q12199,매칭테이블!$F:$I,3,0)</f>
        <v/>
      </c>
      <c r="O12199" s="88">
        <f>VLOOKUP($Q12199,매칭테이블!$F:$I,4,0)*K12199</f>
        <v/>
      </c>
      <c r="P12199" s="152">
        <f>M12199/1.1</f>
        <v/>
      </c>
      <c r="Q12199" s="88">
        <f>F12199&amp;E12199&amp;G12199&amp;L12199</f>
        <v/>
      </c>
    </row>
    <row r="12200">
      <c r="B12200" s="128" t="n">
        <v>44181</v>
      </c>
      <c r="C12200" s="88">
        <f>TEXT(B12200,"aaa")</f>
        <v/>
      </c>
      <c r="D12200" s="94" t="n"/>
      <c r="E12200" s="88">
        <f>INDEX(매칭테이블!C:D,MATCH(RD!G12200,매칭테이블!D:D,0),1)</f>
        <v/>
      </c>
      <c r="F12200" s="94" t="inlineStr">
        <is>
          <t>카페24</t>
        </is>
      </c>
      <c r="G12200" s="94" t="inlineStr">
        <is>
          <t>어성초 70 인텐스 카밍 크림크림=어성초 70 인텐스 카밍 크림 1개 (-20%)</t>
        </is>
      </c>
      <c r="K12200" s="94" t="n">
        <v>3</v>
      </c>
      <c r="L12200" s="88" t="n">
        <v>201208</v>
      </c>
      <c r="M12200" s="88">
        <f>VLOOKUP($Q12200,매칭테이블!$F:$I,2,0)*K12200</f>
        <v/>
      </c>
      <c r="N12200" s="88">
        <f>M12200-M12200*VLOOKUP($Q12200,매칭테이블!$F:$I,3,0)</f>
        <v/>
      </c>
      <c r="O12200" s="88">
        <f>VLOOKUP($Q12200,매칭테이블!$F:$I,4,0)*K12200</f>
        <v/>
      </c>
      <c r="P12200" s="152">
        <f>M12200/1.1</f>
        <v/>
      </c>
      <c r="Q12200" s="88">
        <f>F12200&amp;E12200&amp;G12200&amp;L12200</f>
        <v/>
      </c>
    </row>
    <row r="12201">
      <c r="B12201" s="128" t="n">
        <v>44181</v>
      </c>
      <c r="C12201" s="88">
        <f>TEXT(B12201,"aaa")</f>
        <v/>
      </c>
      <c r="D12201" s="94" t="n"/>
      <c r="E12201" s="88">
        <f>INDEX(매칭테이블!C:D,MATCH(RD!G12201,매칭테이블!D:D,0),1)</f>
        <v/>
      </c>
      <c r="F12201" s="94" t="inlineStr">
        <is>
          <t>카페24</t>
        </is>
      </c>
      <c r="G12201" s="94" t="inlineStr">
        <is>
          <t>어성초 70 인텐스 카밍 크림크림=어성초 토너 250ml + 카밍 크림 50ml (-30%)</t>
        </is>
      </c>
      <c r="K12201" s="94" t="n">
        <v>2</v>
      </c>
      <c r="L12201" s="88" t="n">
        <v>201208</v>
      </c>
      <c r="M12201" s="88">
        <f>VLOOKUP($Q12201,매칭테이블!$F:$I,2,0)*K12201</f>
        <v/>
      </c>
      <c r="N12201" s="88">
        <f>M12201-M12201*VLOOKUP($Q12201,매칭테이블!$F:$I,3,0)</f>
        <v/>
      </c>
      <c r="O12201" s="88">
        <f>VLOOKUP($Q12201,매칭테이블!$F:$I,4,0)*K12201</f>
        <v/>
      </c>
      <c r="P12201" s="152">
        <f>M12201/1.1</f>
        <v/>
      </c>
      <c r="Q12201" s="88">
        <f>F12201&amp;E12201&amp;G12201&amp;L12201</f>
        <v/>
      </c>
    </row>
    <row r="12202">
      <c r="B12202" s="128" t="n">
        <v>44181</v>
      </c>
      <c r="C12202" s="88">
        <f>TEXT(B12202,"aaa")</f>
        <v/>
      </c>
      <c r="D12202" s="94" t="n"/>
      <c r="E12202" s="88">
        <f>INDEX(매칭테이블!C:D,MATCH(RD!G12202,매칭테이블!D:D,0),1)</f>
        <v/>
      </c>
      <c r="F12202" s="94" t="inlineStr">
        <is>
          <t>카페24</t>
        </is>
      </c>
      <c r="G12202" s="94" t="inlineStr">
        <is>
          <t>어성초 77 수딩 토너토너(필수)=어성초 77 토너 1개-20% off</t>
        </is>
      </c>
      <c r="K12202" s="94" t="n">
        <v>27</v>
      </c>
      <c r="L12202" s="88" t="n">
        <v>201208</v>
      </c>
      <c r="M12202" s="88">
        <f>VLOOKUP($Q12202,매칭테이블!$F:$I,2,0)*K12202</f>
        <v/>
      </c>
      <c r="N12202" s="88">
        <f>M12202-M12202*VLOOKUP($Q12202,매칭테이블!$F:$I,3,0)</f>
        <v/>
      </c>
      <c r="O12202" s="88">
        <f>VLOOKUP($Q12202,매칭테이블!$F:$I,4,0)*K12202</f>
        <v/>
      </c>
      <c r="P12202" s="152">
        <f>M12202/1.1</f>
        <v/>
      </c>
      <c r="Q12202" s="88">
        <f>F12202&amp;E12202&amp;G12202&amp;L12202</f>
        <v/>
      </c>
    </row>
    <row r="12203">
      <c r="B12203" s="128" t="n">
        <v>44181</v>
      </c>
      <c r="C12203" s="88">
        <f>TEXT(B12203,"aaa")</f>
        <v/>
      </c>
      <c r="D12203" s="94" t="n"/>
      <c r="E12203" s="88">
        <f>INDEX(매칭테이블!C:D,MATCH(RD!G12203,매칭테이블!D:D,0),1)</f>
        <v/>
      </c>
      <c r="F12203" s="94" t="inlineStr">
        <is>
          <t>카페24</t>
        </is>
      </c>
      <c r="G12203" s="94" t="inlineStr">
        <is>
          <t>어성초 77 수딩 토너토너(필수)=어성초 77 토너 2개-30% off (무료배송)</t>
        </is>
      </c>
      <c r="K12203" s="94" t="n">
        <v>28</v>
      </c>
      <c r="L12203" s="88" t="n">
        <v>201208</v>
      </c>
      <c r="M12203" s="88">
        <f>VLOOKUP($Q12203,매칭테이블!$F:$I,2,0)*K12203</f>
        <v/>
      </c>
      <c r="N12203" s="88">
        <f>M12203-M12203*VLOOKUP($Q12203,매칭테이블!$F:$I,3,0)</f>
        <v/>
      </c>
      <c r="O12203" s="88">
        <f>VLOOKUP($Q12203,매칭테이블!$F:$I,4,0)*K12203</f>
        <v/>
      </c>
      <c r="P12203" s="152">
        <f>M12203/1.1</f>
        <v/>
      </c>
      <c r="Q12203" s="88">
        <f>F12203&amp;E12203&amp;G12203&amp;L12203</f>
        <v/>
      </c>
    </row>
    <row r="12204">
      <c r="B12204" s="128" t="n">
        <v>44181</v>
      </c>
      <c r="C12204" s="88">
        <f>TEXT(B12204,"aaa")</f>
        <v/>
      </c>
      <c r="D12204" s="94" t="n"/>
      <c r="E12204" s="88">
        <f>INDEX(매칭테이블!C:D,MATCH(RD!G12204,매칭테이블!D:D,0),1)</f>
        <v/>
      </c>
      <c r="F12204" s="94" t="inlineStr">
        <is>
          <t>카페24</t>
        </is>
      </c>
      <c r="G12204" s="94" t="inlineStr">
        <is>
          <t>어성초 77 수딩 토너토너(필수)=어성초77토너1개 + 어성초77패드1개 -30% off (무료배송)</t>
        </is>
      </c>
      <c r="K12204" s="94" t="n">
        <v>8</v>
      </c>
      <c r="L12204" s="88" t="n">
        <v>201208</v>
      </c>
      <c r="M12204" s="88">
        <f>VLOOKUP($Q12204,매칭테이블!$F:$I,2,0)*K12204</f>
        <v/>
      </c>
      <c r="N12204" s="88">
        <f>M12204-M12204*VLOOKUP($Q12204,매칭테이블!$F:$I,3,0)</f>
        <v/>
      </c>
      <c r="O12204" s="88">
        <f>VLOOKUP($Q12204,매칭테이블!$F:$I,4,0)*K12204</f>
        <v/>
      </c>
      <c r="P12204" s="152">
        <f>M12204/1.1</f>
        <v/>
      </c>
      <c r="Q12204" s="88">
        <f>F12204&amp;E12204&amp;G12204&amp;L12204</f>
        <v/>
      </c>
    </row>
    <row r="12205">
      <c r="B12205" s="128" t="n">
        <v>44181</v>
      </c>
      <c r="C12205" s="88">
        <f>TEXT(B12205,"aaa")</f>
        <v/>
      </c>
      <c r="D12205" s="94" t="n"/>
      <c r="E12205" s="88">
        <f>INDEX(매칭테이블!C:D,MATCH(RD!G12205,매칭테이블!D:D,0),1)</f>
        <v/>
      </c>
      <c r="F12205" s="94" t="inlineStr">
        <is>
          <t>카페24</t>
        </is>
      </c>
      <c r="G12205" s="94" t="inlineStr">
        <is>
          <t>어성초 77 수딩 토너화장솜(선택)=촉촉 스킨팩 화장솜</t>
        </is>
      </c>
      <c r="K12205" s="94" t="n">
        <v>20</v>
      </c>
      <c r="L12205" s="88" t="n">
        <v>201208</v>
      </c>
      <c r="M12205" s="88">
        <f>VLOOKUP($Q12205,매칭테이블!$F:$I,2,0)*K12205</f>
        <v/>
      </c>
      <c r="N12205" s="88">
        <f>M12205-M12205*VLOOKUP($Q12205,매칭테이블!$F:$I,3,0)</f>
        <v/>
      </c>
      <c r="O12205" s="88">
        <f>VLOOKUP($Q12205,매칭테이블!$F:$I,4,0)*K12205</f>
        <v/>
      </c>
      <c r="P12205" s="152">
        <f>M12205/1.1</f>
        <v/>
      </c>
      <c r="Q12205" s="88">
        <f>F12205&amp;E12205&amp;G12205&amp;L12205</f>
        <v/>
      </c>
    </row>
    <row r="12206">
      <c r="B12206" s="128" t="n">
        <v>44181</v>
      </c>
      <c r="C12206" s="88">
        <f>TEXT(B12206,"aaa")</f>
        <v/>
      </c>
      <c r="D12206" s="94" t="n"/>
      <c r="E12206" s="88">
        <f>INDEX(매칭테이블!C:D,MATCH(RD!G12206,매칭테이블!D:D,0),1)</f>
        <v/>
      </c>
      <c r="F12206" s="94" t="inlineStr">
        <is>
          <t>카페24</t>
        </is>
      </c>
      <c r="G12206" s="94" t="inlineStr">
        <is>
          <t>어성초 77 수딩 토너토너(필수)=어성초 77 토너 1개-20% off</t>
        </is>
      </c>
      <c r="K12206" s="94" t="n">
        <v>1</v>
      </c>
      <c r="L12206" s="88" t="n">
        <v>201208</v>
      </c>
      <c r="M12206" s="88">
        <f>VLOOKUP($Q12206,매칭테이블!$F:$I,2,0)*K12206</f>
        <v/>
      </c>
      <c r="N12206" s="88">
        <f>M12206-M12206*VLOOKUP($Q12206,매칭테이블!$F:$I,3,0)</f>
        <v/>
      </c>
      <c r="O12206" s="88">
        <f>VLOOKUP($Q12206,매칭테이블!$F:$I,4,0)*K12206</f>
        <v/>
      </c>
      <c r="P12206" s="152">
        <f>M12206/1.1</f>
        <v/>
      </c>
      <c r="Q12206" s="88">
        <f>F12206&amp;E12206&amp;G12206&amp;L12206</f>
        <v/>
      </c>
    </row>
    <row r="12207">
      <c r="B12207" s="128" t="n">
        <v>44181</v>
      </c>
      <c r="C12207" s="88">
        <f>TEXT(B12207,"aaa")</f>
        <v/>
      </c>
      <c r="D12207" s="94" t="n"/>
      <c r="E12207" s="88">
        <f>INDEX(매칭테이블!C:D,MATCH(RD!G12207,매칭테이블!D:D,0),1)</f>
        <v/>
      </c>
      <c r="F12207" s="94" t="inlineStr">
        <is>
          <t>카페24</t>
        </is>
      </c>
      <c r="G12207" s="94" t="inlineStr">
        <is>
          <t>어성초 77 진정 마스크옵션=어성초 77 진정 마스크팩 10장-50% off</t>
        </is>
      </c>
      <c r="K12207" s="94" t="n">
        <v>6</v>
      </c>
      <c r="L12207" s="88" t="n">
        <v>201208</v>
      </c>
      <c r="M12207" s="88">
        <f>VLOOKUP($Q12207,매칭테이블!$F:$I,2,0)*K12207</f>
        <v/>
      </c>
      <c r="N12207" s="88">
        <f>M12207-M12207*VLOOKUP($Q12207,매칭테이블!$F:$I,3,0)</f>
        <v/>
      </c>
      <c r="O12207" s="88">
        <f>VLOOKUP($Q12207,매칭테이블!$F:$I,4,0)*K12207</f>
        <v/>
      </c>
      <c r="P12207" s="152">
        <f>M12207/1.1</f>
        <v/>
      </c>
      <c r="Q12207" s="88">
        <f>F12207&amp;E12207&amp;G12207&amp;L12207</f>
        <v/>
      </c>
    </row>
    <row r="12208">
      <c r="B12208" s="128" t="n">
        <v>44181</v>
      </c>
      <c r="C12208" s="88">
        <f>TEXT(B12208,"aaa")</f>
        <v/>
      </c>
      <c r="D12208" s="94" t="n"/>
      <c r="E12208" s="88">
        <f>INDEX(매칭테이블!C:D,MATCH(RD!G12208,매칭테이블!D:D,0),1)</f>
        <v/>
      </c>
      <c r="F12208" s="94" t="inlineStr">
        <is>
          <t>카페24</t>
        </is>
      </c>
      <c r="G12208" s="94" t="inlineStr">
        <is>
          <t>어성초 77 진정 마스크</t>
        </is>
      </c>
      <c r="K12208" s="94" t="n">
        <v>3</v>
      </c>
      <c r="L12208" s="88" t="n">
        <v>201208</v>
      </c>
      <c r="M12208" s="88">
        <f>VLOOKUP($Q12208,매칭테이블!$F:$I,2,0)*K12208</f>
        <v/>
      </c>
      <c r="N12208" s="88">
        <f>M12208-M12208*VLOOKUP($Q12208,매칭테이블!$F:$I,3,0)</f>
        <v/>
      </c>
      <c r="O12208" s="88">
        <f>VLOOKUP($Q12208,매칭테이블!$F:$I,4,0)*K12208</f>
        <v/>
      </c>
      <c r="P12208" s="152">
        <f>M12208/1.1</f>
        <v/>
      </c>
      <c r="Q12208" s="88">
        <f>F12208&amp;E12208&amp;G12208&amp;L12208</f>
        <v/>
      </c>
    </row>
    <row r="12209">
      <c r="B12209" s="128" t="n">
        <v>44181</v>
      </c>
      <c r="C12209" s="88">
        <f>TEXT(B12209,"aaa")</f>
        <v/>
      </c>
      <c r="D12209" s="94" t="n"/>
      <c r="E12209" s="88">
        <f>INDEX(매칭테이블!C:D,MATCH(RD!G12209,매칭테이블!D:D,0),1)</f>
        <v/>
      </c>
      <c r="F12209" s="94" t="inlineStr">
        <is>
          <t>카페24</t>
        </is>
      </c>
      <c r="G12209" s="94" t="inlineStr">
        <is>
          <t>어성초 77 클리어 패드옵션=어성초 77 클리어 패드 1개-20% off</t>
        </is>
      </c>
      <c r="K12209" s="94" t="n">
        <v>24</v>
      </c>
      <c r="L12209" s="88" t="n">
        <v>201208</v>
      </c>
      <c r="M12209" s="88">
        <f>VLOOKUP($Q12209,매칭테이블!$F:$I,2,0)*K12209</f>
        <v/>
      </c>
      <c r="N12209" s="88">
        <f>M12209-M12209*VLOOKUP($Q12209,매칭테이블!$F:$I,3,0)</f>
        <v/>
      </c>
      <c r="O12209" s="88">
        <f>VLOOKUP($Q12209,매칭테이블!$F:$I,4,0)*K12209</f>
        <v/>
      </c>
      <c r="P12209" s="152">
        <f>M12209/1.1</f>
        <v/>
      </c>
      <c r="Q12209" s="88">
        <f>F12209&amp;E12209&amp;G12209&amp;L12209</f>
        <v/>
      </c>
    </row>
    <row r="12210">
      <c r="B12210" s="128" t="n">
        <v>44181</v>
      </c>
      <c r="C12210" s="88">
        <f>TEXT(B12210,"aaa")</f>
        <v/>
      </c>
      <c r="D12210" s="94" t="n"/>
      <c r="E12210" s="88">
        <f>INDEX(매칭테이블!C:D,MATCH(RD!G12210,매칭테이블!D:D,0),1)</f>
        <v/>
      </c>
      <c r="F12210" s="94" t="inlineStr">
        <is>
          <t>카페24</t>
        </is>
      </c>
      <c r="G12210" s="94" t="inlineStr">
        <is>
          <t>어성초 77 클리어 패드옵션=어성초 77 클리어 패드 2개-30% off (무료배송)</t>
        </is>
      </c>
      <c r="K12210" s="94" t="n">
        <v>32</v>
      </c>
      <c r="L12210" s="88" t="n">
        <v>201208</v>
      </c>
      <c r="M12210" s="88">
        <f>VLOOKUP($Q12210,매칭테이블!$F:$I,2,0)*K12210</f>
        <v/>
      </c>
      <c r="N12210" s="88">
        <f>M12210-M12210*VLOOKUP($Q12210,매칭테이블!$F:$I,3,0)</f>
        <v/>
      </c>
      <c r="O12210" s="88">
        <f>VLOOKUP($Q12210,매칭테이블!$F:$I,4,0)*K12210</f>
        <v/>
      </c>
      <c r="P12210" s="152">
        <f>M12210/1.1</f>
        <v/>
      </c>
      <c r="Q12210" s="88">
        <f>F12210&amp;E12210&amp;G12210&amp;L12210</f>
        <v/>
      </c>
    </row>
    <row r="12211">
      <c r="B12211" s="128" t="n">
        <v>44181</v>
      </c>
      <c r="C12211" s="88">
        <f>TEXT(B12211,"aaa")</f>
        <v/>
      </c>
      <c r="D12211" s="94" t="n"/>
      <c r="E12211" s="88">
        <f>INDEX(매칭테이블!C:D,MATCH(RD!G12211,매칭테이블!D:D,0),1)</f>
        <v/>
      </c>
      <c r="F12211" s="94" t="inlineStr">
        <is>
          <t>카페24</t>
        </is>
      </c>
      <c r="G12211" s="94" t="inlineStr">
        <is>
          <t>어성초 77 클리어 패드옵션=어성초77토너1개+어성초77패드1개-30% off (무료배송)</t>
        </is>
      </c>
      <c r="K12211" s="94" t="n">
        <v>16</v>
      </c>
      <c r="L12211" s="88" t="n">
        <v>201208</v>
      </c>
      <c r="M12211" s="88">
        <f>VLOOKUP($Q12211,매칭테이블!$F:$I,2,0)*K12211</f>
        <v/>
      </c>
      <c r="N12211" s="88">
        <f>M12211-M12211*VLOOKUP($Q12211,매칭테이블!$F:$I,3,0)</f>
        <v/>
      </c>
      <c r="O12211" s="88">
        <f>VLOOKUP($Q12211,매칭테이블!$F:$I,4,0)*K12211</f>
        <v/>
      </c>
      <c r="P12211" s="152">
        <f>M12211/1.1</f>
        <v/>
      </c>
      <c r="Q12211" s="88">
        <f>F12211&amp;E12211&amp;G12211&amp;L12211</f>
        <v/>
      </c>
    </row>
    <row r="12212">
      <c r="B12212" s="128" t="n">
        <v>44181</v>
      </c>
      <c r="C12212" s="88">
        <f>TEXT(B12212,"aaa")</f>
        <v/>
      </c>
      <c r="D12212" s="94" t="n"/>
      <c r="E12212" s="88">
        <f>INDEX(매칭테이블!C:D,MATCH(RD!G12212,매칭테이블!D:D,0),1)</f>
        <v/>
      </c>
      <c r="F12212" s="94" t="inlineStr">
        <is>
          <t>카페24</t>
        </is>
      </c>
      <c r="G12212" s="94" t="inlineStr">
        <is>
          <t>어성초 77 클리어 패드옵션=어성초 77 클리어 패드 2개-30% off (무료배송)</t>
        </is>
      </c>
      <c r="K12212" s="94" t="n">
        <v>3</v>
      </c>
      <c r="L12212" s="88" t="n">
        <v>201208</v>
      </c>
      <c r="M12212" s="88">
        <f>VLOOKUP($Q12212,매칭테이블!$F:$I,2,0)*K12212</f>
        <v/>
      </c>
      <c r="N12212" s="88">
        <f>M12212-M12212*VLOOKUP($Q12212,매칭테이블!$F:$I,3,0)</f>
        <v/>
      </c>
      <c r="O12212" s="88">
        <f>VLOOKUP($Q12212,매칭테이블!$F:$I,4,0)*K12212</f>
        <v/>
      </c>
      <c r="P12212" s="152">
        <f>M12212/1.1</f>
        <v/>
      </c>
      <c r="Q12212" s="88">
        <f>F12212&amp;E12212&amp;G12212&amp;L12212</f>
        <v/>
      </c>
    </row>
    <row r="12213">
      <c r="B12213" s="128" t="n">
        <v>44181</v>
      </c>
      <c r="C12213" s="88">
        <f>TEXT(B12213,"aaa")</f>
        <v/>
      </c>
      <c r="D12213" s="94" t="n"/>
      <c r="E12213" s="88">
        <f>INDEX(매칭테이블!C:D,MATCH(RD!G12213,매칭테이블!D:D,0),1)</f>
        <v/>
      </c>
      <c r="F12213" s="94" t="inlineStr">
        <is>
          <t>카페24</t>
        </is>
      </c>
      <c r="G12213" s="94" t="inlineStr">
        <is>
          <t>어성초 77 클리어 패드옵션=어성초77토너1개+어성초77패드1개-30% off (무료배송)</t>
        </is>
      </c>
      <c r="K12213" s="94" t="n">
        <v>2</v>
      </c>
      <c r="L12213" s="88" t="n">
        <v>201208</v>
      </c>
      <c r="M12213" s="88">
        <f>VLOOKUP($Q12213,매칭테이블!$F:$I,2,0)*K12213</f>
        <v/>
      </c>
      <c r="N12213" s="88">
        <f>M12213-M12213*VLOOKUP($Q12213,매칭테이블!$F:$I,3,0)</f>
        <v/>
      </c>
      <c r="O12213" s="88">
        <f>VLOOKUP($Q12213,매칭테이블!$F:$I,4,0)*K12213</f>
        <v/>
      </c>
      <c r="P12213" s="152">
        <f>M12213/1.1</f>
        <v/>
      </c>
      <c r="Q12213" s="88">
        <f>F12213&amp;E12213&amp;G12213&amp;L12213</f>
        <v/>
      </c>
    </row>
    <row r="12214">
      <c r="B12214" s="128" t="n">
        <v>44181</v>
      </c>
      <c r="C12214" s="88">
        <f>TEXT(B12214,"aaa")</f>
        <v/>
      </c>
      <c r="D12214" s="94" t="n"/>
      <c r="E12214" s="88">
        <f>INDEX(매칭테이블!C:D,MATCH(RD!G12214,매칭테이블!D:D,0),1)</f>
        <v/>
      </c>
      <c r="F12214" s="94" t="inlineStr">
        <is>
          <t>카페24</t>
        </is>
      </c>
      <c r="G12214" s="94" t="inlineStr">
        <is>
          <t>어성초 77 토너토너(필수)=어성초 77 토너 1개-20% off</t>
        </is>
      </c>
      <c r="K12214" s="94" t="n">
        <v>1</v>
      </c>
      <c r="L12214" s="88" t="n">
        <v>201208</v>
      </c>
      <c r="M12214" s="88">
        <f>VLOOKUP($Q12214,매칭테이블!$F:$I,2,0)*K12214</f>
        <v/>
      </c>
      <c r="N12214" s="88">
        <f>M12214-M12214*VLOOKUP($Q12214,매칭테이블!$F:$I,3,0)</f>
        <v/>
      </c>
      <c r="O12214" s="88">
        <f>VLOOKUP($Q12214,매칭테이블!$F:$I,4,0)*K12214</f>
        <v/>
      </c>
      <c r="P12214" s="152">
        <f>M12214/1.1</f>
        <v/>
      </c>
      <c r="Q12214" s="88">
        <f>F12214&amp;E12214&amp;G12214&amp;L12214</f>
        <v/>
      </c>
    </row>
    <row r="12215">
      <c r="B12215" s="128" t="n">
        <v>44181</v>
      </c>
      <c r="C12215" s="88">
        <f>TEXT(B12215,"aaa")</f>
        <v/>
      </c>
      <c r="D12215" s="94" t="n"/>
      <c r="E12215" s="88">
        <f>INDEX(매칭테이블!C:D,MATCH(RD!G12215,매칭테이블!D:D,0),1)</f>
        <v/>
      </c>
      <c r="F12215" s="94" t="inlineStr">
        <is>
          <t>카페24</t>
        </is>
      </c>
      <c r="G12215" s="94" t="inlineStr">
        <is>
          <t>어성초 77 포어 클리어 패드옵션=어성초 77 클리어 패드 2개-30% off (무료배송)</t>
        </is>
      </c>
      <c r="K12215" s="94" t="n">
        <v>1</v>
      </c>
      <c r="L12215" s="88" t="n">
        <v>201208</v>
      </c>
      <c r="M12215" s="88">
        <f>VLOOKUP($Q12215,매칭테이블!$F:$I,2,0)*K12215</f>
        <v/>
      </c>
      <c r="N12215" s="88">
        <f>M12215-M12215*VLOOKUP($Q12215,매칭테이블!$F:$I,3,0)</f>
        <v/>
      </c>
      <c r="O12215" s="88">
        <f>VLOOKUP($Q12215,매칭테이블!$F:$I,4,0)*K12215</f>
        <v/>
      </c>
      <c r="P12215" s="152">
        <f>M12215/1.1</f>
        <v/>
      </c>
      <c r="Q12215" s="88">
        <f>F12215&amp;E12215&amp;G12215&amp;L12215</f>
        <v/>
      </c>
    </row>
    <row r="12216">
      <c r="B12216" s="128" t="n">
        <v>44181</v>
      </c>
      <c r="C12216" s="88">
        <f>TEXT(B12216,"aaa")</f>
        <v/>
      </c>
      <c r="D12216" s="94" t="n"/>
      <c r="E12216" s="88">
        <f>INDEX(매칭테이블!C:D,MATCH(RD!G12216,매칭테이블!D:D,0),1)</f>
        <v/>
      </c>
      <c r="F12216" s="94" t="inlineStr">
        <is>
          <t>카페24</t>
        </is>
      </c>
      <c r="G12216" s="94" t="inlineStr">
        <is>
          <t>어성초 77 포어 클리어 패드옵션=어성초77토너1개+어성초77패드1개-30% off (무료배송)</t>
        </is>
      </c>
      <c r="K12216" s="94" t="n">
        <v>1</v>
      </c>
      <c r="L12216" s="88" t="n">
        <v>201208</v>
      </c>
      <c r="M12216" s="88">
        <f>VLOOKUP($Q12216,매칭테이블!$F:$I,2,0)*K12216</f>
        <v/>
      </c>
      <c r="N12216" s="88">
        <f>M12216-M12216*VLOOKUP($Q12216,매칭테이블!$F:$I,3,0)</f>
        <v/>
      </c>
      <c r="O12216" s="88">
        <f>VLOOKUP($Q12216,매칭테이블!$F:$I,4,0)*K12216</f>
        <v/>
      </c>
      <c r="P12216" s="152">
        <f>M12216/1.1</f>
        <v/>
      </c>
      <c r="Q12216" s="88">
        <f>F12216&amp;E12216&amp;G12216&amp;L12216</f>
        <v/>
      </c>
    </row>
    <row r="12217">
      <c r="B12217" s="128" t="n">
        <v>44181</v>
      </c>
      <c r="C12217" s="88">
        <f>TEXT(B12217,"aaa")</f>
        <v/>
      </c>
      <c r="D12217" s="94" t="n"/>
      <c r="E12217" s="88">
        <f>INDEX(매칭테이블!C:D,MATCH(RD!G12217,매칭테이블!D:D,0),1)</f>
        <v/>
      </c>
      <c r="F12217" s="94" t="inlineStr">
        <is>
          <t>카페24</t>
        </is>
      </c>
      <c r="G12217" s="94" t="inlineStr">
        <is>
          <t>어성초 77% 패드옵션=어성초 77 클리어 패드 1개-20% off</t>
        </is>
      </c>
      <c r="K12217" s="94" t="n">
        <v>9</v>
      </c>
      <c r="L12217" s="88" t="n">
        <v>201208</v>
      </c>
      <c r="M12217" s="88">
        <f>VLOOKUP($Q12217,매칭테이블!$F:$I,2,0)*K12217</f>
        <v/>
      </c>
      <c r="N12217" s="88">
        <f>M12217-M12217*VLOOKUP($Q12217,매칭테이블!$F:$I,3,0)</f>
        <v/>
      </c>
      <c r="O12217" s="88">
        <f>VLOOKUP($Q12217,매칭테이블!$F:$I,4,0)*K12217</f>
        <v/>
      </c>
      <c r="P12217" s="152">
        <f>M12217/1.1</f>
        <v/>
      </c>
      <c r="Q12217" s="88">
        <f>F12217&amp;E12217&amp;G12217&amp;L12217</f>
        <v/>
      </c>
    </row>
    <row r="12218">
      <c r="B12218" s="128" t="n">
        <v>44181</v>
      </c>
      <c r="C12218" s="88">
        <f>TEXT(B12218,"aaa")</f>
        <v/>
      </c>
      <c r="D12218" s="94" t="n"/>
      <c r="E12218" s="88">
        <f>INDEX(매칭테이블!C:D,MATCH(RD!G12218,매칭테이블!D:D,0),1)</f>
        <v/>
      </c>
      <c r="F12218" s="94" t="inlineStr">
        <is>
          <t>카페24</t>
        </is>
      </c>
      <c r="G12218" s="94" t="inlineStr">
        <is>
          <t>어성초 77% 패드옵션=어성초 77 클리어 패드 2개-30% off (무료배송)</t>
        </is>
      </c>
      <c r="K12218" s="94" t="n">
        <v>10</v>
      </c>
      <c r="L12218" s="88" t="n">
        <v>201208</v>
      </c>
      <c r="M12218" s="88">
        <f>VLOOKUP($Q12218,매칭테이블!$F:$I,2,0)*K12218</f>
        <v/>
      </c>
      <c r="N12218" s="88">
        <f>M12218-M12218*VLOOKUP($Q12218,매칭테이블!$F:$I,3,0)</f>
        <v/>
      </c>
      <c r="O12218" s="88">
        <f>VLOOKUP($Q12218,매칭테이블!$F:$I,4,0)*K12218</f>
        <v/>
      </c>
      <c r="P12218" s="152">
        <f>M12218/1.1</f>
        <v/>
      </c>
      <c r="Q12218" s="88">
        <f>F12218&amp;E12218&amp;G12218&amp;L12218</f>
        <v/>
      </c>
    </row>
    <row r="12219">
      <c r="B12219" s="128" t="n">
        <v>44181</v>
      </c>
      <c r="C12219" s="88">
        <f>TEXT(B12219,"aaa")</f>
        <v/>
      </c>
      <c r="D12219" s="94" t="n"/>
      <c r="E12219" s="88">
        <f>INDEX(매칭테이블!C:D,MATCH(RD!G12219,매칭테이블!D:D,0),1)</f>
        <v/>
      </c>
      <c r="F12219" s="94" t="inlineStr">
        <is>
          <t>카페24</t>
        </is>
      </c>
      <c r="G12219" s="94" t="inlineStr">
        <is>
          <t>어성초 77% 패드옵션=어성초77토너1개+어성초77패드1개-30% off (무료배송)</t>
        </is>
      </c>
      <c r="K12219" s="94" t="n">
        <v>3</v>
      </c>
      <c r="L12219" s="88" t="n">
        <v>201208</v>
      </c>
      <c r="M12219" s="88">
        <f>VLOOKUP($Q12219,매칭테이블!$F:$I,2,0)*K12219</f>
        <v/>
      </c>
      <c r="N12219" s="88">
        <f>M12219-M12219*VLOOKUP($Q12219,매칭테이블!$F:$I,3,0)</f>
        <v/>
      </c>
      <c r="O12219" s="88">
        <f>VLOOKUP($Q12219,매칭테이블!$F:$I,4,0)*K12219</f>
        <v/>
      </c>
      <c r="P12219" s="152">
        <f>M12219/1.1</f>
        <v/>
      </c>
      <c r="Q12219" s="88">
        <f>F12219&amp;E12219&amp;G12219&amp;L12219</f>
        <v/>
      </c>
    </row>
    <row r="12220">
      <c r="B12220" s="128" t="n">
        <v>44181</v>
      </c>
      <c r="C12220" s="88">
        <f>TEXT(B12220,"aaa")</f>
        <v/>
      </c>
      <c r="D12220" s="94" t="n"/>
      <c r="E12220" s="88">
        <f>INDEX(매칭테이블!C:D,MATCH(RD!G12220,매칭테이블!D:D,0),1)</f>
        <v/>
      </c>
      <c r="F12220" s="94" t="inlineStr">
        <is>
          <t>카페24</t>
        </is>
      </c>
      <c r="G12220" s="94" t="inlineStr">
        <is>
          <t>어성초 78 수딩 크림</t>
        </is>
      </c>
      <c r="K12220" s="94" t="n">
        <v>4</v>
      </c>
      <c r="L12220" s="88" t="n">
        <v>201208</v>
      </c>
      <c r="M12220" s="88">
        <f>VLOOKUP($Q12220,매칭테이블!$F:$I,2,0)*K12220</f>
        <v/>
      </c>
      <c r="N12220" s="88">
        <f>M12220-M12220*VLOOKUP($Q12220,매칭테이블!$F:$I,3,0)</f>
        <v/>
      </c>
      <c r="O12220" s="88">
        <f>VLOOKUP($Q12220,매칭테이블!$F:$I,4,0)*K12220</f>
        <v/>
      </c>
      <c r="P12220" s="152">
        <f>M12220/1.1</f>
        <v/>
      </c>
      <c r="Q12220" s="88">
        <f>F12220&amp;E12220&amp;G12220&amp;L12220</f>
        <v/>
      </c>
    </row>
    <row r="12221">
      <c r="B12221" s="128" t="n">
        <v>44181</v>
      </c>
      <c r="C12221" s="88">
        <f>TEXT(B12221,"aaa")</f>
        <v/>
      </c>
      <c r="D12221" s="94" t="n"/>
      <c r="E12221" s="88">
        <f>INDEX(매칭테이블!C:D,MATCH(RD!G12221,매칭테이블!D:D,0),1)</f>
        <v/>
      </c>
      <c r="F12221" s="94" t="inlineStr">
        <is>
          <t>카페24</t>
        </is>
      </c>
      <c r="G12221" s="94" t="inlineStr">
        <is>
          <t>어성초 80 수분 진정 앰플앰플=어성초 80 앰플 1개-15%off</t>
        </is>
      </c>
      <c r="K12221" s="94" t="n">
        <v>14</v>
      </c>
      <c r="L12221" s="88" t="n">
        <v>201208</v>
      </c>
      <c r="M12221" s="88">
        <f>VLOOKUP($Q12221,매칭테이블!$F:$I,2,0)*K12221</f>
        <v/>
      </c>
      <c r="N12221" s="88">
        <f>M12221-M12221*VLOOKUP($Q12221,매칭테이블!$F:$I,3,0)</f>
        <v/>
      </c>
      <c r="O12221" s="88">
        <f>VLOOKUP($Q12221,매칭테이블!$F:$I,4,0)*K12221</f>
        <v/>
      </c>
      <c r="P12221" s="152">
        <f>M12221/1.1</f>
        <v/>
      </c>
      <c r="Q12221" s="88">
        <f>F12221&amp;E12221&amp;G12221&amp;L12221</f>
        <v/>
      </c>
    </row>
    <row r="12222">
      <c r="B12222" s="128" t="n">
        <v>44181</v>
      </c>
      <c r="C12222" s="88">
        <f>TEXT(B12222,"aaa")</f>
        <v/>
      </c>
      <c r="D12222" s="94" t="n"/>
      <c r="E12222" s="88">
        <f>INDEX(매칭테이블!C:D,MATCH(RD!G12222,매칭테이블!D:D,0),1)</f>
        <v/>
      </c>
      <c r="F12222" s="94" t="inlineStr">
        <is>
          <t>카페24</t>
        </is>
      </c>
      <c r="G12222" s="94" t="inlineStr">
        <is>
          <t>어성초 80 수분 진정 앰플앰플=어성초 80 앰플 2개-27%off (무료배송)</t>
        </is>
      </c>
      <c r="K12222" s="94" t="n">
        <v>3</v>
      </c>
      <c r="L12222" s="88" t="n">
        <v>201208</v>
      </c>
      <c r="M12222" s="88">
        <f>VLOOKUP($Q12222,매칭테이블!$F:$I,2,0)*K12222</f>
        <v/>
      </c>
      <c r="N12222" s="88">
        <f>M12222-M12222*VLOOKUP($Q12222,매칭테이블!$F:$I,3,0)</f>
        <v/>
      </c>
      <c r="O12222" s="88">
        <f>VLOOKUP($Q12222,매칭테이블!$F:$I,4,0)*K12222</f>
        <v/>
      </c>
      <c r="P12222" s="152">
        <f>M12222/1.1</f>
        <v/>
      </c>
      <c r="Q12222" s="88">
        <f>F12222&amp;E12222&amp;G12222&amp;L12222</f>
        <v/>
      </c>
    </row>
    <row r="12223">
      <c r="B12223" s="128" t="n">
        <v>44181</v>
      </c>
      <c r="C12223" s="88">
        <f>TEXT(B12223,"aaa")</f>
        <v/>
      </c>
      <c r="D12223" s="94" t="n"/>
      <c r="E12223" s="88">
        <f>INDEX(매칭테이블!C:D,MATCH(RD!G12223,매칭테이블!D:D,0),1)</f>
        <v/>
      </c>
      <c r="F12223" s="94" t="inlineStr">
        <is>
          <t>카페24</t>
        </is>
      </c>
      <c r="G12223" s="94" t="inlineStr">
        <is>
          <t>어성초 80 수분 진정 앰플</t>
        </is>
      </c>
      <c r="K12223" s="94" t="n">
        <v>1</v>
      </c>
      <c r="L12223" s="88" t="n">
        <v>201208</v>
      </c>
      <c r="M12223" s="88">
        <f>VLOOKUP($Q12223,매칭테이블!$F:$I,2,0)*K12223</f>
        <v/>
      </c>
      <c r="N12223" s="88">
        <f>M12223-M12223*VLOOKUP($Q12223,매칭테이블!$F:$I,3,0)</f>
        <v/>
      </c>
      <c r="O12223" s="88">
        <f>VLOOKUP($Q12223,매칭테이블!$F:$I,4,0)*K12223</f>
        <v/>
      </c>
      <c r="P12223" s="152">
        <f>M12223/1.1</f>
        <v/>
      </c>
      <c r="Q12223" s="88">
        <f>F12223&amp;E12223&amp;G12223&amp;L12223</f>
        <v/>
      </c>
    </row>
    <row r="12224">
      <c r="B12224" s="128" t="n">
        <v>44181</v>
      </c>
      <c r="C12224" s="88">
        <f>TEXT(B12224,"aaa")</f>
        <v/>
      </c>
      <c r="D12224" s="94" t="n"/>
      <c r="E12224" s="88">
        <f>INDEX(매칭테이블!C:D,MATCH(RD!G12224,매칭테이블!D:D,0),1)</f>
        <v/>
      </c>
      <c r="F12224" s="94" t="inlineStr">
        <is>
          <t>카페24</t>
        </is>
      </c>
      <c r="G12224" s="94" t="inlineStr">
        <is>
          <t>어성초 아크네 바디워시옵션=어성초 아크네 바디워시 1개 -30% off</t>
        </is>
      </c>
      <c r="K12224" s="94" t="n">
        <v>1</v>
      </c>
      <c r="L12224" s="88" t="n">
        <v>201208</v>
      </c>
      <c r="M12224" s="88">
        <f>VLOOKUP($Q12224,매칭테이블!$F:$I,2,0)*K12224</f>
        <v/>
      </c>
      <c r="N12224" s="88">
        <f>M12224-M12224*VLOOKUP($Q12224,매칭테이블!$F:$I,3,0)</f>
        <v/>
      </c>
      <c r="O12224" s="88">
        <f>VLOOKUP($Q12224,매칭테이블!$F:$I,4,0)*K12224</f>
        <v/>
      </c>
      <c r="P12224" s="152">
        <f>M12224/1.1</f>
        <v/>
      </c>
      <c r="Q12224" s="88">
        <f>F12224&amp;E12224&amp;G12224&amp;L12224</f>
        <v/>
      </c>
    </row>
    <row r="12225">
      <c r="B12225" s="128" t="n">
        <v>44181</v>
      </c>
      <c r="C12225" s="88">
        <f>TEXT(B12225,"aaa")</f>
        <v/>
      </c>
      <c r="D12225" s="94" t="n"/>
      <c r="E12225" s="88">
        <f>INDEX(매칭테이블!C:D,MATCH(RD!G12225,매칭테이블!D:D,0),1)</f>
        <v/>
      </c>
      <c r="F12225" s="94" t="inlineStr">
        <is>
          <t>카페24</t>
        </is>
      </c>
      <c r="G12225" s="94" t="inlineStr">
        <is>
          <t>어성초 아크네 바디워시옵션=어성초 아크네 바디워시 2개 -35% off (무료배송)</t>
        </is>
      </c>
      <c r="K12225" s="94" t="n">
        <v>1</v>
      </c>
      <c r="L12225" s="88" t="n">
        <v>201208</v>
      </c>
      <c r="M12225" s="88">
        <f>VLOOKUP($Q12225,매칭테이블!$F:$I,2,0)*K12225</f>
        <v/>
      </c>
      <c r="N12225" s="88">
        <f>M12225-M12225*VLOOKUP($Q12225,매칭테이블!$F:$I,3,0)</f>
        <v/>
      </c>
      <c r="O12225" s="88">
        <f>VLOOKUP($Q12225,매칭테이블!$F:$I,4,0)*K12225</f>
        <v/>
      </c>
      <c r="P12225" s="152">
        <f>M12225/1.1</f>
        <v/>
      </c>
      <c r="Q12225" s="88">
        <f>F12225&amp;E12225&amp;G12225&amp;L12225</f>
        <v/>
      </c>
    </row>
    <row r="12226">
      <c r="B12226" s="128" t="n">
        <v>44181</v>
      </c>
      <c r="C12226" s="88">
        <f>TEXT(B12226,"aaa")</f>
        <v/>
      </c>
      <c r="D12226" s="94" t="n"/>
      <c r="E12226" s="88">
        <f>INDEX(매칭테이블!C:D,MATCH(RD!G12226,매칭테이블!D:D,0),1)</f>
        <v/>
      </c>
      <c r="F12226" s="94" t="inlineStr">
        <is>
          <t>카페24</t>
        </is>
      </c>
      <c r="G12226" s="94" t="inlineStr">
        <is>
          <t>어성초 약산성 클렌징폼클렌징폼=어성초 약산성 클렌징폼 1개 -19%off</t>
        </is>
      </c>
      <c r="K12226" s="94" t="n">
        <v>7</v>
      </c>
      <c r="L12226" s="88" t="n">
        <v>201208</v>
      </c>
      <c r="M12226" s="88">
        <f>VLOOKUP($Q12226,매칭테이블!$F:$I,2,0)*K12226</f>
        <v/>
      </c>
      <c r="N12226" s="88">
        <f>M12226-M12226*VLOOKUP($Q12226,매칭테이블!$F:$I,3,0)</f>
        <v/>
      </c>
      <c r="O12226" s="88">
        <f>VLOOKUP($Q12226,매칭테이블!$F:$I,4,0)*K12226</f>
        <v/>
      </c>
      <c r="P12226" s="152">
        <f>M12226/1.1</f>
        <v/>
      </c>
      <c r="Q12226" s="88">
        <f>F12226&amp;E12226&amp;G12226&amp;L12226</f>
        <v/>
      </c>
    </row>
    <row r="12227">
      <c r="B12227" s="128" t="n">
        <v>44181</v>
      </c>
      <c r="C12227" s="88">
        <f>TEXT(B12227,"aaa")</f>
        <v/>
      </c>
      <c r="D12227" s="94" t="n"/>
      <c r="E12227" s="88">
        <f>INDEX(매칭테이블!C:D,MATCH(RD!G12227,매칭테이블!D:D,0),1)</f>
        <v/>
      </c>
      <c r="F12227" s="94" t="inlineStr">
        <is>
          <t>카페24</t>
        </is>
      </c>
      <c r="G12227" s="94" t="inlineStr">
        <is>
          <t>어성초 약산성 클렌징폼클렌징폼=어성초 약산성 클렌징폼 2개 -25%off</t>
        </is>
      </c>
      <c r="K12227" s="94" t="n">
        <v>3</v>
      </c>
      <c r="L12227" s="88" t="n">
        <v>201208</v>
      </c>
      <c r="M12227" s="88">
        <f>VLOOKUP($Q12227,매칭테이블!$F:$I,2,0)*K12227</f>
        <v/>
      </c>
      <c r="N12227" s="88">
        <f>M12227-M12227*VLOOKUP($Q12227,매칭테이블!$F:$I,3,0)</f>
        <v/>
      </c>
      <c r="O12227" s="88">
        <f>VLOOKUP($Q12227,매칭테이블!$F:$I,4,0)*K12227</f>
        <v/>
      </c>
      <c r="P12227" s="152">
        <f>M12227/1.1</f>
        <v/>
      </c>
      <c r="Q12227" s="88">
        <f>F12227&amp;E12227&amp;G12227&amp;L12227</f>
        <v/>
      </c>
    </row>
    <row r="12228">
      <c r="B12228" s="128" t="n">
        <v>44181</v>
      </c>
      <c r="C12228" s="88">
        <f>TEXT(B12228,"aaa")</f>
        <v/>
      </c>
      <c r="D12228" s="94" t="n"/>
      <c r="E12228" s="88">
        <f>INDEX(매칭테이블!C:D,MATCH(RD!G12228,매칭테이블!D:D,0),1)</f>
        <v/>
      </c>
      <c r="F12228" s="94" t="inlineStr">
        <is>
          <t>카페24</t>
        </is>
      </c>
      <c r="G12228" s="94" t="inlineStr">
        <is>
          <t>어성초 약산성 클렌징폼클렌징폼=어성초 약산성 클렌징폼 3개 -31%off (무료배송)</t>
        </is>
      </c>
      <c r="K12228" s="94" t="n">
        <v>1</v>
      </c>
      <c r="L12228" s="88" t="n">
        <v>201208</v>
      </c>
      <c r="M12228" s="88">
        <f>VLOOKUP($Q12228,매칭테이블!$F:$I,2,0)*K12228</f>
        <v/>
      </c>
      <c r="N12228" s="88">
        <f>M12228-M12228*VLOOKUP($Q12228,매칭테이블!$F:$I,3,0)</f>
        <v/>
      </c>
      <c r="O12228" s="88">
        <f>VLOOKUP($Q12228,매칭테이블!$F:$I,4,0)*K12228</f>
        <v/>
      </c>
      <c r="P12228" s="152">
        <f>M12228/1.1</f>
        <v/>
      </c>
      <c r="Q12228" s="88">
        <f>F12228&amp;E12228&amp;G12228&amp;L12228</f>
        <v/>
      </c>
    </row>
    <row r="12229">
      <c r="B12229" s="128" t="n">
        <v>44181</v>
      </c>
      <c r="C12229" s="88">
        <f>TEXT(B12229,"aaa")</f>
        <v/>
      </c>
      <c r="D12229" s="94" t="n"/>
      <c r="E12229" s="88">
        <f>INDEX(매칭테이블!C:D,MATCH(RD!G12229,매칭테이블!D:D,0),1)</f>
        <v/>
      </c>
      <c r="F12229" s="94" t="inlineStr">
        <is>
          <t>카페24</t>
        </is>
      </c>
      <c r="G12229" s="94" t="inlineStr">
        <is>
          <t>어성초 약산성 클렌징폼</t>
        </is>
      </c>
      <c r="K12229" s="94" t="n">
        <v>1</v>
      </c>
      <c r="L12229" s="88" t="n">
        <v>201208</v>
      </c>
      <c r="M12229" s="88">
        <f>VLOOKUP($Q12229,매칭테이블!$F:$I,2,0)*K12229</f>
        <v/>
      </c>
      <c r="N12229" s="88">
        <f>M12229-M12229*VLOOKUP($Q12229,매칭테이블!$F:$I,3,0)</f>
        <v/>
      </c>
      <c r="O12229" s="88">
        <f>VLOOKUP($Q12229,매칭테이블!$F:$I,4,0)*K12229</f>
        <v/>
      </c>
      <c r="P12229" s="152">
        <f>M12229/1.1</f>
        <v/>
      </c>
      <c r="Q12229" s="88">
        <f>F12229&amp;E12229&amp;G12229&amp;L12229</f>
        <v/>
      </c>
    </row>
    <row r="12230">
      <c r="B12230" s="128" t="n">
        <v>44181</v>
      </c>
      <c r="C12230" s="88">
        <f>TEXT(B12230,"aaa")</f>
        <v/>
      </c>
      <c r="D12230" s="94" t="n"/>
      <c r="E12230" s="88">
        <f>INDEX(매칭테이블!C:D,MATCH(RD!G12230,매칭테이블!D:D,0),1)</f>
        <v/>
      </c>
      <c r="F12230" s="94" t="inlineStr">
        <is>
          <t>카페24</t>
        </is>
      </c>
      <c r="G12230" s="94" t="inlineStr">
        <is>
          <t>어성초 크림마스크 나이트 솔루션옵션=어성초 크림마스크 나이트 솔루션 10장 (-50%)</t>
        </is>
      </c>
      <c r="K12230" s="94" t="n">
        <v>6</v>
      </c>
      <c r="L12230" s="88" t="n">
        <v>201208</v>
      </c>
      <c r="M12230" s="88">
        <f>VLOOKUP($Q12230,매칭테이블!$F:$I,2,0)*K12230</f>
        <v/>
      </c>
      <c r="N12230" s="88">
        <f>M12230-M12230*VLOOKUP($Q12230,매칭테이블!$F:$I,3,0)</f>
        <v/>
      </c>
      <c r="O12230" s="88">
        <f>VLOOKUP($Q12230,매칭테이블!$F:$I,4,0)*K12230</f>
        <v/>
      </c>
      <c r="P12230" s="152">
        <f>M12230/1.1</f>
        <v/>
      </c>
      <c r="Q12230" s="88">
        <f>F12230&amp;E12230&amp;G12230&amp;L12230</f>
        <v/>
      </c>
    </row>
    <row r="12231">
      <c r="B12231" s="128" t="n">
        <v>44181</v>
      </c>
      <c r="C12231" s="88">
        <f>TEXT(B12231,"aaa")</f>
        <v/>
      </c>
      <c r="D12231" s="94" t="n"/>
      <c r="E12231" s="88">
        <f>INDEX(매칭테이블!C:D,MATCH(RD!G12231,매칭테이블!D:D,0),1)</f>
        <v/>
      </c>
      <c r="F12231" s="94" t="inlineStr">
        <is>
          <t>카페24</t>
        </is>
      </c>
      <c r="G12231" s="94" t="inlineStr">
        <is>
          <t>촉촉 스킨팩 화장솜</t>
        </is>
      </c>
      <c r="K12231" s="94" t="n">
        <v>18</v>
      </c>
      <c r="L12231" s="88" t="n">
        <v>201208</v>
      </c>
      <c r="M12231" s="88">
        <f>VLOOKUP($Q12231,매칭테이블!$F:$I,2,0)*K12231</f>
        <v/>
      </c>
      <c r="N12231" s="88">
        <f>M12231-M12231*VLOOKUP($Q12231,매칭테이블!$F:$I,3,0)</f>
        <v/>
      </c>
      <c r="O12231" s="88">
        <f>VLOOKUP($Q12231,매칭테이블!$F:$I,4,0)*K12231</f>
        <v/>
      </c>
      <c r="P12231" s="152">
        <f>M12231/1.1</f>
        <v/>
      </c>
      <c r="Q12231" s="88">
        <f>F12231&amp;E12231&amp;G12231&amp;L12231</f>
        <v/>
      </c>
    </row>
    <row r="12232">
      <c r="B12232" s="128" t="n">
        <v>44181</v>
      </c>
      <c r="C12232" s="88">
        <f>TEXT(B12232,"aaa")</f>
        <v/>
      </c>
      <c r="D12232" s="94" t="n"/>
      <c r="E12232" s="88">
        <f>INDEX(매칭테이블!C:D,MATCH(RD!G12232,매칭테이블!D:D,0),1)</f>
        <v/>
      </c>
      <c r="F12232" s="94" t="inlineStr">
        <is>
          <t>카페24</t>
        </is>
      </c>
      <c r="G12232" s="94" t="inlineStr">
        <is>
          <t>촉촉 스킨팩 화장솜</t>
        </is>
      </c>
      <c r="K12232" s="94" t="n">
        <v>1</v>
      </c>
      <c r="L12232" s="88" t="n">
        <v>201208</v>
      </c>
      <c r="M12232" s="88">
        <f>VLOOKUP($Q12232,매칭테이블!$F:$I,2,0)*K12232</f>
        <v/>
      </c>
      <c r="N12232" s="88">
        <f>M12232-M12232*VLOOKUP($Q12232,매칭테이블!$F:$I,3,0)</f>
        <v/>
      </c>
      <c r="O12232" s="88">
        <f>VLOOKUP($Q12232,매칭테이블!$F:$I,4,0)*K12232</f>
        <v/>
      </c>
      <c r="P12232" s="152">
        <f>M12232/1.1</f>
        <v/>
      </c>
      <c r="Q12232" s="88">
        <f>F12232&amp;E12232&amp;G12232&amp;L12232</f>
        <v/>
      </c>
    </row>
    <row r="12233">
      <c r="B12233" s="128" t="n">
        <v>44182</v>
      </c>
      <c r="C12233" s="88">
        <f>TEXT(B12233,"aaa")</f>
        <v/>
      </c>
      <c r="D12233" s="94" t="n"/>
      <c r="E12233" s="88">
        <f>INDEX(매칭테이블!C:D,MATCH(RD!G12233,매칭테이블!D:D,0),1)</f>
        <v/>
      </c>
      <c r="F12233" s="94" t="inlineStr">
        <is>
          <t>W컨셉</t>
        </is>
      </c>
      <c r="G12233" s="94" t="inlineStr">
        <is>
          <t>어성초 77토너 (2 SET) HEARTLEAF 77% SOOTHING TONER 250ml250ml 2set</t>
        </is>
      </c>
      <c r="K12233" s="94" t="n">
        <v>1</v>
      </c>
      <c r="L12233" s="88" t="n">
        <v>201208</v>
      </c>
      <c r="M12233" s="88">
        <f>VLOOKUP($Q12233,매칭테이블!$F:$I,2,0)*K12233</f>
        <v/>
      </c>
      <c r="N12233" s="88">
        <f>M12233-M12233*VLOOKUP($Q12233,매칭테이블!$F:$I,3,0)</f>
        <v/>
      </c>
      <c r="O12233" s="88">
        <f>VLOOKUP($Q12233,매칭테이블!$F:$I,4,0)*K12233</f>
        <v/>
      </c>
      <c r="P12233" s="152">
        <f>M12233/1.1</f>
        <v/>
      </c>
      <c r="Q12233" s="88">
        <f>F12233&amp;E12233&amp;G12233&amp;L12233</f>
        <v/>
      </c>
    </row>
    <row r="12234">
      <c r="B12234" s="128" t="n">
        <v>44182</v>
      </c>
      <c r="C12234" s="88">
        <f>TEXT(B12234,"aaa")</f>
        <v/>
      </c>
      <c r="D12234" s="94" t="n"/>
      <c r="E12234" s="88">
        <f>INDEX(매칭테이블!C:D,MATCH(RD!G12234,매칭테이블!D:D,0),1)</f>
        <v/>
      </c>
      <c r="F12234" s="94" t="inlineStr">
        <is>
          <t>W컨셉</t>
        </is>
      </c>
      <c r="G12234" s="94" t="inlineStr">
        <is>
          <t>어성초 77토너 HEARTLEAF 77% SOOTHING TONER 250ml250ml</t>
        </is>
      </c>
      <c r="K12234" s="94" t="n">
        <v>1</v>
      </c>
      <c r="L12234" s="88" t="n">
        <v>201208</v>
      </c>
      <c r="M12234" s="88">
        <f>VLOOKUP($Q12234,매칭테이블!$F:$I,2,0)*K12234</f>
        <v/>
      </c>
      <c r="N12234" s="88">
        <f>M12234-M12234*VLOOKUP($Q12234,매칭테이블!$F:$I,3,0)</f>
        <v/>
      </c>
      <c r="O12234" s="88">
        <f>VLOOKUP($Q12234,매칭테이블!$F:$I,4,0)*K12234</f>
        <v/>
      </c>
      <c r="P12234" s="152">
        <f>M12234/1.1</f>
        <v/>
      </c>
      <c r="Q12234" s="88">
        <f>F12234&amp;E12234&amp;G12234&amp;L12234</f>
        <v/>
      </c>
    </row>
    <row r="12235">
      <c r="B12235" s="128" t="n">
        <v>44182</v>
      </c>
      <c r="C12235" s="88">
        <f>TEXT(B12235,"aaa")</f>
        <v/>
      </c>
      <c r="D12235" s="94" t="n"/>
      <c r="E12235" s="88">
        <f>INDEX(매칭테이블!C:D,MATCH(RD!G12235,매칭테이블!D:D,0),1)</f>
        <v/>
      </c>
      <c r="F12235" s="94" t="inlineStr">
        <is>
          <t>스타일쉐어</t>
        </is>
      </c>
      <c r="G12235" s="94" t="inlineStr">
        <is>
          <t>아누아 어성초 77 토너 250ml</t>
        </is>
      </c>
      <c r="K12235" s="94" t="n">
        <v>3</v>
      </c>
      <c r="L12235" s="88" t="n">
        <v>201208</v>
      </c>
      <c r="M12235" s="88">
        <f>VLOOKUP($Q12235,매칭테이블!$F:$I,2,0)*K12235</f>
        <v/>
      </c>
      <c r="N12235" s="88">
        <f>M12235-M12235*VLOOKUP($Q12235,매칭테이블!$F:$I,3,0)</f>
        <v/>
      </c>
      <c r="O12235" s="88">
        <f>VLOOKUP($Q12235,매칭테이블!$F:$I,4,0)*K12235</f>
        <v/>
      </c>
      <c r="P12235" s="152">
        <f>M12235/1.1</f>
        <v/>
      </c>
      <c r="Q12235" s="88">
        <f>F12235&amp;E12235&amp;G12235&amp;L12235</f>
        <v/>
      </c>
    </row>
    <row r="12236">
      <c r="B12236" s="128" t="n">
        <v>44182</v>
      </c>
      <c r="C12236" s="88">
        <f>TEXT(B12236,"aaa")</f>
        <v/>
      </c>
      <c r="D12236" s="94" t="n"/>
      <c r="E12236" s="88">
        <f>INDEX(매칭테이블!C:D,MATCH(RD!G12236,매칭테이블!D:D,0),1)</f>
        <v/>
      </c>
      <c r="F12236" s="94" t="inlineStr">
        <is>
          <t>아누아 CS</t>
        </is>
      </c>
      <c r="G12236" s="94" t="inlineStr">
        <is>
          <t>어성초 77 토너 250ml</t>
        </is>
      </c>
      <c r="K12236" s="94" t="n">
        <v>31</v>
      </c>
      <c r="L12236" s="88" t="n">
        <v>201208</v>
      </c>
      <c r="M12236" s="88">
        <f>VLOOKUP($Q12236,매칭테이블!$F:$I,2,0)*K12236</f>
        <v/>
      </c>
      <c r="N12236" s="88">
        <f>M12236-M12236*VLOOKUP($Q12236,매칭테이블!$F:$I,3,0)</f>
        <v/>
      </c>
      <c r="O12236" s="88">
        <f>VLOOKUP($Q12236,매칭테이블!$F:$I,4,0)*K12236</f>
        <v/>
      </c>
      <c r="P12236" s="152">
        <f>M12236/1.1</f>
        <v/>
      </c>
      <c r="Q12236" s="88">
        <f>F12236&amp;E12236&amp;G12236&amp;L12236</f>
        <v/>
      </c>
    </row>
    <row r="12237">
      <c r="B12237" s="128" t="n">
        <v>44182</v>
      </c>
      <c r="C12237" s="88">
        <f>TEXT(B12237,"aaa")</f>
        <v/>
      </c>
      <c r="D12237" s="94" t="n"/>
      <c r="E12237" s="88">
        <f>INDEX(매칭테이블!C:D,MATCH(RD!G12237,매칭테이블!D:D,0),1)</f>
        <v/>
      </c>
      <c r="F12237" s="94" t="inlineStr">
        <is>
          <t>아누아 CS</t>
        </is>
      </c>
      <c r="G12237" s="94" t="inlineStr">
        <is>
          <t>어성초 클리어패드 70P</t>
        </is>
      </c>
      <c r="K12237" s="94" t="n">
        <v>6</v>
      </c>
      <c r="L12237" s="88" t="n">
        <v>201208</v>
      </c>
      <c r="M12237" s="88">
        <f>VLOOKUP($Q12237,매칭테이블!$F:$I,2,0)*K12237</f>
        <v/>
      </c>
      <c r="N12237" s="88">
        <f>M12237-M12237*VLOOKUP($Q12237,매칭테이블!$F:$I,3,0)</f>
        <v/>
      </c>
      <c r="O12237" s="88">
        <f>VLOOKUP($Q12237,매칭테이블!$F:$I,4,0)*K12237</f>
        <v/>
      </c>
      <c r="P12237" s="152">
        <f>M12237/1.1</f>
        <v/>
      </c>
      <c r="Q12237" s="88">
        <f>F12237&amp;E12237&amp;G12237&amp;L12237</f>
        <v/>
      </c>
    </row>
    <row r="12238">
      <c r="B12238" s="128" t="n">
        <v>44182</v>
      </c>
      <c r="C12238" s="88">
        <f>TEXT(B12238,"aaa")</f>
        <v/>
      </c>
      <c r="D12238" s="94" t="n"/>
      <c r="E12238" s="88">
        <f>INDEX(매칭테이블!C:D,MATCH(RD!G12238,매칭테이블!D:D,0),1)</f>
        <v/>
      </c>
      <c r="F12238" s="94" t="inlineStr">
        <is>
          <t>카페24</t>
        </is>
      </c>
      <c r="G12238" s="94" t="inlineStr">
        <is>
          <t>5 제로 무기자차 선크림옵션=5제로 무기자차 선크림 1개-20% off</t>
        </is>
      </c>
      <c r="K12238" s="94" t="n">
        <v>1</v>
      </c>
      <c r="L12238" s="88" t="n">
        <v>201208</v>
      </c>
      <c r="M12238" s="88">
        <f>VLOOKUP($Q12238,매칭테이블!$F:$I,2,0)*K12238</f>
        <v/>
      </c>
      <c r="N12238" s="88">
        <f>M12238-M12238*VLOOKUP($Q12238,매칭테이블!$F:$I,3,0)</f>
        <v/>
      </c>
      <c r="O12238" s="88">
        <f>VLOOKUP($Q12238,매칭테이블!$F:$I,4,0)*K12238</f>
        <v/>
      </c>
      <c r="P12238" s="152">
        <f>M12238/1.1</f>
        <v/>
      </c>
      <c r="Q12238" s="88">
        <f>F12238&amp;E12238&amp;G12238&amp;L12238</f>
        <v/>
      </c>
    </row>
    <row r="12239">
      <c r="B12239" s="128" t="n">
        <v>44182</v>
      </c>
      <c r="C12239" s="88">
        <f>TEXT(B12239,"aaa")</f>
        <v/>
      </c>
      <c r="D12239" s="94" t="n"/>
      <c r="E12239" s="88">
        <f>INDEX(매칭테이블!C:D,MATCH(RD!G12239,매칭테이블!D:D,0),1)</f>
        <v/>
      </c>
      <c r="F12239" s="94" t="inlineStr">
        <is>
          <t>카페24</t>
        </is>
      </c>
      <c r="G12239" s="94" t="inlineStr">
        <is>
          <t>5 제로 무기자차 선크림옵션=5제로 무기자차 선크림 2개-30% off (무료배송)</t>
        </is>
      </c>
      <c r="K12239" s="94" t="n">
        <v>1</v>
      </c>
      <c r="L12239" s="88" t="n">
        <v>201208</v>
      </c>
      <c r="M12239" s="88">
        <f>VLOOKUP($Q12239,매칭테이블!$F:$I,2,0)*K12239</f>
        <v/>
      </c>
      <c r="N12239" s="88">
        <f>M12239-M12239*VLOOKUP($Q12239,매칭테이블!$F:$I,3,0)</f>
        <v/>
      </c>
      <c r="O12239" s="88">
        <f>VLOOKUP($Q12239,매칭테이블!$F:$I,4,0)*K12239</f>
        <v/>
      </c>
      <c r="P12239" s="152">
        <f>M12239/1.1</f>
        <v/>
      </c>
      <c r="Q12239" s="88">
        <f>F12239&amp;E12239&amp;G12239&amp;L12239</f>
        <v/>
      </c>
    </row>
    <row r="12240">
      <c r="B12240" s="128" t="n">
        <v>44182</v>
      </c>
      <c r="C12240" s="88">
        <f>TEXT(B12240,"aaa")</f>
        <v/>
      </c>
      <c r="D12240" s="94" t="n"/>
      <c r="E12240" s="88">
        <f>INDEX(매칭테이블!C:D,MATCH(RD!G12240,매칭테이블!D:D,0),1)</f>
        <v/>
      </c>
      <c r="F12240" s="94" t="inlineStr">
        <is>
          <t>카페24</t>
        </is>
      </c>
      <c r="G12240" s="94" t="inlineStr">
        <is>
          <t>[수분 보충 세트] 어성초 77 토너 + 어성초 70 로션옵션=어성초 77 토너 250ml + 어성초 70 로션 200ml -30%</t>
        </is>
      </c>
      <c r="K12240" s="94" t="n">
        <v>19</v>
      </c>
      <c r="L12240" s="88" t="n">
        <v>201208</v>
      </c>
      <c r="M12240" s="88">
        <f>VLOOKUP($Q12240,매칭테이블!$F:$I,2,0)*K12240</f>
        <v/>
      </c>
      <c r="N12240" s="88">
        <f>M12240-M12240*VLOOKUP($Q12240,매칭테이블!$F:$I,3,0)</f>
        <v/>
      </c>
      <c r="O12240" s="88">
        <f>VLOOKUP($Q12240,매칭테이블!$F:$I,4,0)*K12240</f>
        <v/>
      </c>
      <c r="P12240" s="152">
        <f>M12240/1.1</f>
        <v/>
      </c>
      <c r="Q12240" s="88">
        <f>F12240&amp;E12240&amp;G12240&amp;L12240</f>
        <v/>
      </c>
    </row>
    <row r="12241">
      <c r="B12241" s="128" t="n">
        <v>44182</v>
      </c>
      <c r="C12241" s="88">
        <f>TEXT(B12241,"aaa")</f>
        <v/>
      </c>
      <c r="D12241" s="94" t="n"/>
      <c r="E12241" s="88">
        <f>INDEX(매칭테이블!C:D,MATCH(RD!G12241,매칭테이블!D:D,0),1)</f>
        <v/>
      </c>
      <c r="F12241" s="94" t="inlineStr">
        <is>
          <t>카페24</t>
        </is>
      </c>
      <c r="G12241" s="94" t="inlineStr">
        <is>
          <t>[어성초 진정 패키지 세트] 대용량 토너 + 앰플 + 수딩 크림 + 마스크팩 10장</t>
        </is>
      </c>
      <c r="K12241" s="94" t="n">
        <v>1</v>
      </c>
      <c r="L12241" s="88" t="n">
        <v>201208</v>
      </c>
      <c r="M12241" s="88">
        <f>VLOOKUP($Q12241,매칭테이블!$F:$I,2,0)*K12241</f>
        <v/>
      </c>
      <c r="N12241" s="88">
        <f>M12241-M12241*VLOOKUP($Q12241,매칭테이블!$F:$I,3,0)</f>
        <v/>
      </c>
      <c r="O12241" s="88">
        <f>VLOOKUP($Q12241,매칭테이블!$F:$I,4,0)*K12241</f>
        <v/>
      </c>
      <c r="P12241" s="152">
        <f>M12241/1.1</f>
        <v/>
      </c>
      <c r="Q12241" s="88">
        <f>F12241&amp;E12241&amp;G12241&amp;L12241</f>
        <v/>
      </c>
    </row>
    <row r="12242">
      <c r="B12242" s="128" t="n">
        <v>44182</v>
      </c>
      <c r="C12242" s="88">
        <f>TEXT(B12242,"aaa")</f>
        <v/>
      </c>
      <c r="D12242" s="94" t="n"/>
      <c r="E12242" s="88">
        <f>INDEX(매칭테이블!C:D,MATCH(RD!G12242,매칭테이블!D:D,0),1)</f>
        <v/>
      </c>
      <c r="F12242" s="94" t="inlineStr">
        <is>
          <t>카페24</t>
        </is>
      </c>
      <c r="G12242" s="94" t="inlineStr">
        <is>
          <t>대용량 어성초 77 수딩 토너 500ml</t>
        </is>
      </c>
      <c r="K12242" s="94" t="n">
        <v>25</v>
      </c>
      <c r="L12242" s="88" t="n">
        <v>201208</v>
      </c>
      <c r="M12242" s="88">
        <f>VLOOKUP($Q12242,매칭테이블!$F:$I,2,0)*K12242</f>
        <v/>
      </c>
      <c r="N12242" s="88">
        <f>M12242-M12242*VLOOKUP($Q12242,매칭테이블!$F:$I,3,0)</f>
        <v/>
      </c>
      <c r="O12242" s="88">
        <f>VLOOKUP($Q12242,매칭테이블!$F:$I,4,0)*K12242</f>
        <v/>
      </c>
      <c r="P12242" s="152">
        <f>M12242/1.1</f>
        <v/>
      </c>
      <c r="Q12242" s="88">
        <f>F12242&amp;E12242&amp;G12242&amp;L12242</f>
        <v/>
      </c>
    </row>
    <row r="12243">
      <c r="B12243" s="128" t="n">
        <v>44182</v>
      </c>
      <c r="C12243" s="88">
        <f>TEXT(B12243,"aaa")</f>
        <v/>
      </c>
      <c r="D12243" s="94" t="n"/>
      <c r="E12243" s="88">
        <f>INDEX(매칭테이블!C:D,MATCH(RD!G12243,매칭테이블!D:D,0),1)</f>
        <v/>
      </c>
      <c r="F12243" s="94" t="inlineStr">
        <is>
          <t>카페24</t>
        </is>
      </c>
      <c r="G12243" s="94" t="inlineStr">
        <is>
          <t>대용량 어성초 77 토너 500ml</t>
        </is>
      </c>
      <c r="K12243" s="94" t="n">
        <v>2</v>
      </c>
      <c r="L12243" s="88" t="n">
        <v>201208</v>
      </c>
      <c r="M12243" s="88">
        <f>VLOOKUP($Q12243,매칭테이블!$F:$I,2,0)*K12243</f>
        <v/>
      </c>
      <c r="N12243" s="88">
        <f>M12243-M12243*VLOOKUP($Q12243,매칭테이블!$F:$I,3,0)</f>
        <v/>
      </c>
      <c r="O12243" s="88">
        <f>VLOOKUP($Q12243,매칭테이블!$F:$I,4,0)*K12243</f>
        <v/>
      </c>
      <c r="P12243" s="152">
        <f>M12243/1.1</f>
        <v/>
      </c>
      <c r="Q12243" s="88">
        <f>F12243&amp;E12243&amp;G12243&amp;L12243</f>
        <v/>
      </c>
    </row>
    <row r="12244">
      <c r="B12244" s="128" t="n">
        <v>44182</v>
      </c>
      <c r="C12244" s="88">
        <f>TEXT(B12244,"aaa")</f>
        <v/>
      </c>
      <c r="D12244" s="94" t="n"/>
      <c r="E12244" s="88">
        <f>INDEX(매칭테이블!C:D,MATCH(RD!G12244,매칭테이블!D:D,0),1)</f>
        <v/>
      </c>
      <c r="F12244" s="94" t="inlineStr">
        <is>
          <t>카페24</t>
        </is>
      </c>
      <c r="G12244" s="94" t="inlineStr">
        <is>
          <t>어성초 70 데일리 릴리프 로션로션=어성초 70 데일리 릴리프 로션 1개 -20% off</t>
        </is>
      </c>
      <c r="K12244" s="94" t="n">
        <v>7</v>
      </c>
      <c r="L12244" s="88" t="n">
        <v>201208</v>
      </c>
      <c r="M12244" s="88">
        <f>VLOOKUP($Q12244,매칭테이블!$F:$I,2,0)*K12244</f>
        <v/>
      </c>
      <c r="N12244" s="88">
        <f>M12244-M12244*VLOOKUP($Q12244,매칭테이블!$F:$I,3,0)</f>
        <v/>
      </c>
      <c r="O12244" s="88">
        <f>VLOOKUP($Q12244,매칭테이블!$F:$I,4,0)*K12244</f>
        <v/>
      </c>
      <c r="P12244" s="152">
        <f>M12244/1.1</f>
        <v/>
      </c>
      <c r="Q12244" s="88">
        <f>F12244&amp;E12244&amp;G12244&amp;L12244</f>
        <v/>
      </c>
    </row>
    <row r="12245">
      <c r="B12245" s="128" t="n">
        <v>44182</v>
      </c>
      <c r="C12245" s="88">
        <f>TEXT(B12245,"aaa")</f>
        <v/>
      </c>
      <c r="D12245" s="94" t="n"/>
      <c r="E12245" s="88">
        <f>INDEX(매칭테이블!C:D,MATCH(RD!G12245,매칭테이블!D:D,0),1)</f>
        <v/>
      </c>
      <c r="F12245" s="94" t="inlineStr">
        <is>
          <t>카페24</t>
        </is>
      </c>
      <c r="G12245" s="94" t="inlineStr">
        <is>
          <t>어성초 70 머드 크림 마스크옵션=어성초 70 머드 크림 마스크-20% off</t>
        </is>
      </c>
      <c r="K12245" s="94" t="n">
        <v>2</v>
      </c>
      <c r="L12245" s="88" t="n">
        <v>201208</v>
      </c>
      <c r="M12245" s="88">
        <f>VLOOKUP($Q12245,매칭테이블!$F:$I,2,0)*K12245</f>
        <v/>
      </c>
      <c r="N12245" s="88">
        <f>M12245-M12245*VLOOKUP($Q12245,매칭테이블!$F:$I,3,0)</f>
        <v/>
      </c>
      <c r="O12245" s="88">
        <f>VLOOKUP($Q12245,매칭테이블!$F:$I,4,0)*K12245</f>
        <v/>
      </c>
      <c r="P12245" s="152">
        <f>M12245/1.1</f>
        <v/>
      </c>
      <c r="Q12245" s="88">
        <f>F12245&amp;E12245&amp;G12245&amp;L12245</f>
        <v/>
      </c>
    </row>
    <row r="12246">
      <c r="B12246" s="128" t="n">
        <v>44182</v>
      </c>
      <c r="C12246" s="88">
        <f>TEXT(B12246,"aaa")</f>
        <v/>
      </c>
      <c r="D12246" s="94" t="n"/>
      <c r="E12246" s="88">
        <f>INDEX(매칭테이블!C:D,MATCH(RD!G12246,매칭테이블!D:D,0),1)</f>
        <v/>
      </c>
      <c r="F12246" s="94" t="inlineStr">
        <is>
          <t>카페24</t>
        </is>
      </c>
      <c r="G12246" s="94" t="inlineStr">
        <is>
          <t>어성초 70 인텐스 카밍 크림크림=어성초 70 인텐스 카밍 크림 1개 (-20%)</t>
        </is>
      </c>
      <c r="K12246" s="94" t="n">
        <v>2</v>
      </c>
      <c r="L12246" s="88" t="n">
        <v>201208</v>
      </c>
      <c r="M12246" s="88">
        <f>VLOOKUP($Q12246,매칭테이블!$F:$I,2,0)*K12246</f>
        <v/>
      </c>
      <c r="N12246" s="88">
        <f>M12246-M12246*VLOOKUP($Q12246,매칭테이블!$F:$I,3,0)</f>
        <v/>
      </c>
      <c r="O12246" s="88">
        <f>VLOOKUP($Q12246,매칭테이블!$F:$I,4,0)*K12246</f>
        <v/>
      </c>
      <c r="P12246" s="152">
        <f>M12246/1.1</f>
        <v/>
      </c>
      <c r="Q12246" s="88">
        <f>F12246&amp;E12246&amp;G12246&amp;L12246</f>
        <v/>
      </c>
    </row>
    <row r="12247">
      <c r="B12247" s="128" t="n">
        <v>44182</v>
      </c>
      <c r="C12247" s="88">
        <f>TEXT(B12247,"aaa")</f>
        <v/>
      </c>
      <c r="D12247" s="94" t="n"/>
      <c r="E12247" s="88">
        <f>INDEX(매칭테이블!C:D,MATCH(RD!G12247,매칭테이블!D:D,0),1)</f>
        <v/>
      </c>
      <c r="F12247" s="94" t="inlineStr">
        <is>
          <t>카페24</t>
        </is>
      </c>
      <c r="G12247" s="94" t="inlineStr">
        <is>
          <t>어성초 70 인텐스 카밍 크림크림=어성초 토너 250ml + 카밍 크림 50ml (-30%)</t>
        </is>
      </c>
      <c r="K12247" s="94" t="n">
        <v>1</v>
      </c>
      <c r="L12247" s="88" t="n">
        <v>201208</v>
      </c>
      <c r="M12247" s="88">
        <f>VLOOKUP($Q12247,매칭테이블!$F:$I,2,0)*K12247</f>
        <v/>
      </c>
      <c r="N12247" s="88">
        <f>M12247-M12247*VLOOKUP($Q12247,매칭테이블!$F:$I,3,0)</f>
        <v/>
      </c>
      <c r="O12247" s="88">
        <f>VLOOKUP($Q12247,매칭테이블!$F:$I,4,0)*K12247</f>
        <v/>
      </c>
      <c r="P12247" s="152">
        <f>M12247/1.1</f>
        <v/>
      </c>
      <c r="Q12247" s="88">
        <f>F12247&amp;E12247&amp;G12247&amp;L12247</f>
        <v/>
      </c>
    </row>
    <row r="12248">
      <c r="B12248" s="128" t="n">
        <v>44182</v>
      </c>
      <c r="C12248" s="88">
        <f>TEXT(B12248,"aaa")</f>
        <v/>
      </c>
      <c r="D12248" s="94" t="n"/>
      <c r="E12248" s="88">
        <f>INDEX(매칭테이블!C:D,MATCH(RD!G12248,매칭테이블!D:D,0),1)</f>
        <v/>
      </c>
      <c r="F12248" s="94" t="inlineStr">
        <is>
          <t>카페24</t>
        </is>
      </c>
      <c r="G12248" s="94" t="inlineStr">
        <is>
          <t>어성초 77 수딩 토너토너(필수)=어성초 77 토너 1개-20% off</t>
        </is>
      </c>
      <c r="K12248" s="94" t="n">
        <v>24</v>
      </c>
      <c r="L12248" s="88" t="n">
        <v>201208</v>
      </c>
      <c r="M12248" s="88">
        <f>VLOOKUP($Q12248,매칭테이블!$F:$I,2,0)*K12248</f>
        <v/>
      </c>
      <c r="N12248" s="88">
        <f>M12248-M12248*VLOOKUP($Q12248,매칭테이블!$F:$I,3,0)</f>
        <v/>
      </c>
      <c r="O12248" s="88">
        <f>VLOOKUP($Q12248,매칭테이블!$F:$I,4,0)*K12248</f>
        <v/>
      </c>
      <c r="P12248" s="152">
        <f>M12248/1.1</f>
        <v/>
      </c>
      <c r="Q12248" s="88">
        <f>F12248&amp;E12248&amp;G12248&amp;L12248</f>
        <v/>
      </c>
    </row>
    <row r="12249">
      <c r="B12249" s="128" t="n">
        <v>44182</v>
      </c>
      <c r="C12249" s="88">
        <f>TEXT(B12249,"aaa")</f>
        <v/>
      </c>
      <c r="D12249" s="94" t="n"/>
      <c r="E12249" s="88">
        <f>INDEX(매칭테이블!C:D,MATCH(RD!G12249,매칭테이블!D:D,0),1)</f>
        <v/>
      </c>
      <c r="F12249" s="94" t="inlineStr">
        <is>
          <t>카페24</t>
        </is>
      </c>
      <c r="G12249" s="94" t="inlineStr">
        <is>
          <t>어성초 77 수딩 토너토너(필수)=어성초 77 토너 2개-30% off (무료배송)</t>
        </is>
      </c>
      <c r="K12249" s="94" t="n">
        <v>28</v>
      </c>
      <c r="L12249" s="88" t="n">
        <v>201208</v>
      </c>
      <c r="M12249" s="88">
        <f>VLOOKUP($Q12249,매칭테이블!$F:$I,2,0)*K12249</f>
        <v/>
      </c>
      <c r="N12249" s="88">
        <f>M12249-M12249*VLOOKUP($Q12249,매칭테이블!$F:$I,3,0)</f>
        <v/>
      </c>
      <c r="O12249" s="88">
        <f>VLOOKUP($Q12249,매칭테이블!$F:$I,4,0)*K12249</f>
        <v/>
      </c>
      <c r="P12249" s="152">
        <f>M12249/1.1</f>
        <v/>
      </c>
      <c r="Q12249" s="88">
        <f>F12249&amp;E12249&amp;G12249&amp;L12249</f>
        <v/>
      </c>
    </row>
    <row r="12250">
      <c r="B12250" s="128" t="n">
        <v>44182</v>
      </c>
      <c r="C12250" s="88">
        <f>TEXT(B12250,"aaa")</f>
        <v/>
      </c>
      <c r="D12250" s="94" t="n"/>
      <c r="E12250" s="88">
        <f>INDEX(매칭테이블!C:D,MATCH(RD!G12250,매칭테이블!D:D,0),1)</f>
        <v/>
      </c>
      <c r="F12250" s="94" t="inlineStr">
        <is>
          <t>카페24</t>
        </is>
      </c>
      <c r="G12250" s="94" t="inlineStr">
        <is>
          <t>어성초 77 수딩 토너토너(필수)=어성초77토너1개 + 어성초77패드1개 -30% off (무료배송)</t>
        </is>
      </c>
      <c r="K12250" s="94" t="n">
        <v>6</v>
      </c>
      <c r="L12250" s="88" t="n">
        <v>201208</v>
      </c>
      <c r="M12250" s="88">
        <f>VLOOKUP($Q12250,매칭테이블!$F:$I,2,0)*K12250</f>
        <v/>
      </c>
      <c r="N12250" s="88">
        <f>M12250-M12250*VLOOKUP($Q12250,매칭테이블!$F:$I,3,0)</f>
        <v/>
      </c>
      <c r="O12250" s="88">
        <f>VLOOKUP($Q12250,매칭테이블!$F:$I,4,0)*K12250</f>
        <v/>
      </c>
      <c r="P12250" s="152">
        <f>M12250/1.1</f>
        <v/>
      </c>
      <c r="Q12250" s="88">
        <f>F12250&amp;E12250&amp;G12250&amp;L12250</f>
        <v/>
      </c>
    </row>
    <row r="12251">
      <c r="B12251" s="128" t="n">
        <v>44182</v>
      </c>
      <c r="C12251" s="88">
        <f>TEXT(B12251,"aaa")</f>
        <v/>
      </c>
      <c r="D12251" s="94" t="n"/>
      <c r="E12251" s="88">
        <f>INDEX(매칭테이블!C:D,MATCH(RD!G12251,매칭테이블!D:D,0),1)</f>
        <v/>
      </c>
      <c r="F12251" s="94" t="inlineStr">
        <is>
          <t>카페24</t>
        </is>
      </c>
      <c r="G12251" s="94" t="inlineStr">
        <is>
          <t>어성초 77 수딩 토너화장솜(선택)=촉촉 스킨팩 화장솜</t>
        </is>
      </c>
      <c r="K12251" s="94" t="n">
        <v>20</v>
      </c>
      <c r="L12251" s="88" t="n">
        <v>201208</v>
      </c>
      <c r="M12251" s="88">
        <f>VLOOKUP($Q12251,매칭테이블!$F:$I,2,0)*K12251</f>
        <v/>
      </c>
      <c r="N12251" s="88">
        <f>M12251-M12251*VLOOKUP($Q12251,매칭테이블!$F:$I,3,0)</f>
        <v/>
      </c>
      <c r="O12251" s="88">
        <f>VLOOKUP($Q12251,매칭테이블!$F:$I,4,0)*K12251</f>
        <v/>
      </c>
      <c r="P12251" s="152">
        <f>M12251/1.1</f>
        <v/>
      </c>
      <c r="Q12251" s="88">
        <f>F12251&amp;E12251&amp;G12251&amp;L12251</f>
        <v/>
      </c>
    </row>
    <row r="12252">
      <c r="B12252" s="128" t="n">
        <v>44182</v>
      </c>
      <c r="C12252" s="88">
        <f>TEXT(B12252,"aaa")</f>
        <v/>
      </c>
      <c r="D12252" s="94" t="n"/>
      <c r="E12252" s="88">
        <f>INDEX(매칭테이블!C:D,MATCH(RD!G12252,매칭테이블!D:D,0),1)</f>
        <v/>
      </c>
      <c r="F12252" s="94" t="inlineStr">
        <is>
          <t>카페24</t>
        </is>
      </c>
      <c r="G12252" s="94" t="inlineStr">
        <is>
          <t>어성초 77 수딩 토너토너(필수)=어성초 77 토너 1개-20% off</t>
        </is>
      </c>
      <c r="K12252" s="94" t="n">
        <v>1</v>
      </c>
      <c r="L12252" s="88" t="n">
        <v>201208</v>
      </c>
      <c r="M12252" s="88">
        <f>VLOOKUP($Q12252,매칭테이블!$F:$I,2,0)*K12252</f>
        <v/>
      </c>
      <c r="N12252" s="88">
        <f>M12252-M12252*VLOOKUP($Q12252,매칭테이블!$F:$I,3,0)</f>
        <v/>
      </c>
      <c r="O12252" s="88">
        <f>VLOOKUP($Q12252,매칭테이블!$F:$I,4,0)*K12252</f>
        <v/>
      </c>
      <c r="P12252" s="152">
        <f>M12252/1.1</f>
        <v/>
      </c>
      <c r="Q12252" s="88">
        <f>F12252&amp;E12252&amp;G12252&amp;L12252</f>
        <v/>
      </c>
    </row>
    <row r="12253">
      <c r="B12253" s="128" t="n">
        <v>44182</v>
      </c>
      <c r="C12253" s="88">
        <f>TEXT(B12253,"aaa")</f>
        <v/>
      </c>
      <c r="D12253" s="94" t="n"/>
      <c r="E12253" s="88">
        <f>INDEX(매칭테이블!C:D,MATCH(RD!G12253,매칭테이블!D:D,0),1)</f>
        <v/>
      </c>
      <c r="F12253" s="94" t="inlineStr">
        <is>
          <t>카페24</t>
        </is>
      </c>
      <c r="G12253" s="94" t="inlineStr">
        <is>
          <t>어성초 77 수딩 토너토너(필수)=(대용량) 어성초 77 토너 500ml (무료배송)</t>
        </is>
      </c>
      <c r="K12253" s="94" t="n">
        <v>2</v>
      </c>
      <c r="L12253" s="88" t="n">
        <v>201208</v>
      </c>
      <c r="M12253" s="88">
        <f>VLOOKUP($Q12253,매칭테이블!$F:$I,2,0)*K12253</f>
        <v/>
      </c>
      <c r="N12253" s="88">
        <f>M12253-M12253*VLOOKUP($Q12253,매칭테이블!$F:$I,3,0)</f>
        <v/>
      </c>
      <c r="O12253" s="88">
        <f>VLOOKUP($Q12253,매칭테이블!$F:$I,4,0)*K12253</f>
        <v/>
      </c>
      <c r="P12253" s="152">
        <f>M12253/1.1</f>
        <v/>
      </c>
      <c r="Q12253" s="88">
        <f>F12253&amp;E12253&amp;G12253&amp;L12253</f>
        <v/>
      </c>
    </row>
    <row r="12254">
      <c r="B12254" s="128" t="n">
        <v>44182</v>
      </c>
      <c r="C12254" s="88">
        <f>TEXT(B12254,"aaa")</f>
        <v/>
      </c>
      <c r="D12254" s="94" t="n"/>
      <c r="E12254" s="88">
        <f>INDEX(매칭테이블!C:D,MATCH(RD!G12254,매칭테이블!D:D,0),1)</f>
        <v/>
      </c>
      <c r="F12254" s="94" t="inlineStr">
        <is>
          <t>카페24</t>
        </is>
      </c>
      <c r="G12254" s="94" t="inlineStr">
        <is>
          <t>어성초 77 진정 마스크옵션=어성초 77 진정 마스크팩 10장-50% off</t>
        </is>
      </c>
      <c r="K12254" s="94" t="n">
        <v>5</v>
      </c>
      <c r="L12254" s="88" t="n">
        <v>201208</v>
      </c>
      <c r="M12254" s="88">
        <f>VLOOKUP($Q12254,매칭테이블!$F:$I,2,0)*K12254</f>
        <v/>
      </c>
      <c r="N12254" s="88">
        <f>M12254-M12254*VLOOKUP($Q12254,매칭테이블!$F:$I,3,0)</f>
        <v/>
      </c>
      <c r="O12254" s="88">
        <f>VLOOKUP($Q12254,매칭테이블!$F:$I,4,0)*K12254</f>
        <v/>
      </c>
      <c r="P12254" s="152">
        <f>M12254/1.1</f>
        <v/>
      </c>
      <c r="Q12254" s="88">
        <f>F12254&amp;E12254&amp;G12254&amp;L12254</f>
        <v/>
      </c>
    </row>
    <row r="12255">
      <c r="B12255" s="128" t="n">
        <v>44182</v>
      </c>
      <c r="C12255" s="88">
        <f>TEXT(B12255,"aaa")</f>
        <v/>
      </c>
      <c r="D12255" s="94" t="n"/>
      <c r="E12255" s="88">
        <f>INDEX(매칭테이블!C:D,MATCH(RD!G12255,매칭테이블!D:D,0),1)</f>
        <v/>
      </c>
      <c r="F12255" s="94" t="inlineStr">
        <is>
          <t>카페24</t>
        </is>
      </c>
      <c r="G12255" s="94" t="inlineStr">
        <is>
          <t>어성초 77 진정 마스크</t>
        </is>
      </c>
      <c r="K12255" s="94" t="n">
        <v>7</v>
      </c>
      <c r="L12255" s="88" t="n">
        <v>201208</v>
      </c>
      <c r="M12255" s="88">
        <f>VLOOKUP($Q12255,매칭테이블!$F:$I,2,0)*K12255</f>
        <v/>
      </c>
      <c r="N12255" s="88">
        <f>M12255-M12255*VLOOKUP($Q12255,매칭테이블!$F:$I,3,0)</f>
        <v/>
      </c>
      <c r="O12255" s="88">
        <f>VLOOKUP($Q12255,매칭테이블!$F:$I,4,0)*K12255</f>
        <v/>
      </c>
      <c r="P12255" s="152">
        <f>M12255/1.1</f>
        <v/>
      </c>
      <c r="Q12255" s="88">
        <f>F12255&amp;E12255&amp;G12255&amp;L12255</f>
        <v/>
      </c>
    </row>
    <row r="12256">
      <c r="B12256" s="128" t="n">
        <v>44182</v>
      </c>
      <c r="C12256" s="88">
        <f>TEXT(B12256,"aaa")</f>
        <v/>
      </c>
      <c r="D12256" s="94" t="n"/>
      <c r="E12256" s="88">
        <f>INDEX(매칭테이블!C:D,MATCH(RD!G12256,매칭테이블!D:D,0),1)</f>
        <v/>
      </c>
      <c r="F12256" s="94" t="inlineStr">
        <is>
          <t>카페24</t>
        </is>
      </c>
      <c r="G12256" s="94" t="inlineStr">
        <is>
          <t>어성초 77 클리어 패드옵션=어성초 77 클리어 패드 1개-20% off</t>
        </is>
      </c>
      <c r="K12256" s="94" t="n">
        <v>28</v>
      </c>
      <c r="L12256" s="88" t="n">
        <v>201208</v>
      </c>
      <c r="M12256" s="88">
        <f>VLOOKUP($Q12256,매칭테이블!$F:$I,2,0)*K12256</f>
        <v/>
      </c>
      <c r="N12256" s="88">
        <f>M12256-M12256*VLOOKUP($Q12256,매칭테이블!$F:$I,3,0)</f>
        <v/>
      </c>
      <c r="O12256" s="88">
        <f>VLOOKUP($Q12256,매칭테이블!$F:$I,4,0)*K12256</f>
        <v/>
      </c>
      <c r="P12256" s="152">
        <f>M12256/1.1</f>
        <v/>
      </c>
      <c r="Q12256" s="88">
        <f>F12256&amp;E12256&amp;G12256&amp;L12256</f>
        <v/>
      </c>
    </row>
    <row r="12257">
      <c r="B12257" s="128" t="n">
        <v>44182</v>
      </c>
      <c r="C12257" s="88">
        <f>TEXT(B12257,"aaa")</f>
        <v/>
      </c>
      <c r="D12257" s="94" t="n"/>
      <c r="E12257" s="88">
        <f>INDEX(매칭테이블!C:D,MATCH(RD!G12257,매칭테이블!D:D,0),1)</f>
        <v/>
      </c>
      <c r="F12257" s="94" t="inlineStr">
        <is>
          <t>카페24</t>
        </is>
      </c>
      <c r="G12257" s="94" t="inlineStr">
        <is>
          <t>어성초 77 클리어 패드옵션=어성초 77 클리어 패드 2개-30% off (무료배송)</t>
        </is>
      </c>
      <c r="K12257" s="94" t="n">
        <v>35</v>
      </c>
      <c r="L12257" s="88" t="n">
        <v>201208</v>
      </c>
      <c r="M12257" s="88">
        <f>VLOOKUP($Q12257,매칭테이블!$F:$I,2,0)*K12257</f>
        <v/>
      </c>
      <c r="N12257" s="88">
        <f>M12257-M12257*VLOOKUP($Q12257,매칭테이블!$F:$I,3,0)</f>
        <v/>
      </c>
      <c r="O12257" s="88">
        <f>VLOOKUP($Q12257,매칭테이블!$F:$I,4,0)*K12257</f>
        <v/>
      </c>
      <c r="P12257" s="152">
        <f>M12257/1.1</f>
        <v/>
      </c>
      <c r="Q12257" s="88">
        <f>F12257&amp;E12257&amp;G12257&amp;L12257</f>
        <v/>
      </c>
    </row>
    <row r="12258">
      <c r="B12258" s="128" t="n">
        <v>44182</v>
      </c>
      <c r="C12258" s="88">
        <f>TEXT(B12258,"aaa")</f>
        <v/>
      </c>
      <c r="D12258" s="94" t="n"/>
      <c r="E12258" s="88">
        <f>INDEX(매칭테이블!C:D,MATCH(RD!G12258,매칭테이블!D:D,0),1)</f>
        <v/>
      </c>
      <c r="F12258" s="94" t="inlineStr">
        <is>
          <t>카페24</t>
        </is>
      </c>
      <c r="G12258" s="94" t="inlineStr">
        <is>
          <t>어성초 77 클리어 패드옵션=어성초77토너1개+어성초77패드1개-30% off (무료배송)</t>
        </is>
      </c>
      <c r="K12258" s="94" t="n">
        <v>18</v>
      </c>
      <c r="L12258" s="88" t="n">
        <v>201208</v>
      </c>
      <c r="M12258" s="88">
        <f>VLOOKUP($Q12258,매칭테이블!$F:$I,2,0)*K12258</f>
        <v/>
      </c>
      <c r="N12258" s="88">
        <f>M12258-M12258*VLOOKUP($Q12258,매칭테이블!$F:$I,3,0)</f>
        <v/>
      </c>
      <c r="O12258" s="88">
        <f>VLOOKUP($Q12258,매칭테이블!$F:$I,4,0)*K12258</f>
        <v/>
      </c>
      <c r="P12258" s="152">
        <f>M12258/1.1</f>
        <v/>
      </c>
      <c r="Q12258" s="88">
        <f>F12258&amp;E12258&amp;G12258&amp;L12258</f>
        <v/>
      </c>
    </row>
    <row r="12259">
      <c r="B12259" s="128" t="n">
        <v>44182</v>
      </c>
      <c r="C12259" s="88">
        <f>TEXT(B12259,"aaa")</f>
        <v/>
      </c>
      <c r="D12259" s="94" t="n"/>
      <c r="E12259" s="88">
        <f>INDEX(매칭테이블!C:D,MATCH(RD!G12259,매칭테이블!D:D,0),1)</f>
        <v/>
      </c>
      <c r="F12259" s="94" t="inlineStr">
        <is>
          <t>카페24</t>
        </is>
      </c>
      <c r="G12259" s="94" t="inlineStr">
        <is>
          <t>어성초 77 토너토너(필수)=어성초 77 토너 1개-20% off</t>
        </is>
      </c>
      <c r="K12259" s="94" t="n">
        <v>1</v>
      </c>
      <c r="L12259" s="88" t="n">
        <v>201208</v>
      </c>
      <c r="M12259" s="88">
        <f>VLOOKUP($Q12259,매칭테이블!$F:$I,2,0)*K12259</f>
        <v/>
      </c>
      <c r="N12259" s="88">
        <f>M12259-M12259*VLOOKUP($Q12259,매칭테이블!$F:$I,3,0)</f>
        <v/>
      </c>
      <c r="O12259" s="88">
        <f>VLOOKUP($Q12259,매칭테이블!$F:$I,4,0)*K12259</f>
        <v/>
      </c>
      <c r="P12259" s="152">
        <f>M12259/1.1</f>
        <v/>
      </c>
      <c r="Q12259" s="88">
        <f>F12259&amp;E12259&amp;G12259&amp;L12259</f>
        <v/>
      </c>
    </row>
    <row r="12260">
      <c r="B12260" s="128" t="n">
        <v>44182</v>
      </c>
      <c r="C12260" s="88">
        <f>TEXT(B12260,"aaa")</f>
        <v/>
      </c>
      <c r="D12260" s="94" t="n"/>
      <c r="E12260" s="88">
        <f>INDEX(매칭테이블!C:D,MATCH(RD!G12260,매칭테이블!D:D,0),1)</f>
        <v/>
      </c>
      <c r="F12260" s="94" t="inlineStr">
        <is>
          <t>카페24</t>
        </is>
      </c>
      <c r="G12260" s="94" t="inlineStr">
        <is>
          <t>어성초 77 포어 클리어 패드옵션=어성초 77 클리어 패드 1개-20% off</t>
        </is>
      </c>
      <c r="K12260" s="94" t="n">
        <v>4</v>
      </c>
      <c r="L12260" s="88" t="n">
        <v>201208</v>
      </c>
      <c r="M12260" s="88">
        <f>VLOOKUP($Q12260,매칭테이블!$F:$I,2,0)*K12260</f>
        <v/>
      </c>
      <c r="N12260" s="88">
        <f>M12260-M12260*VLOOKUP($Q12260,매칭테이블!$F:$I,3,0)</f>
        <v/>
      </c>
      <c r="O12260" s="88">
        <f>VLOOKUP($Q12260,매칭테이블!$F:$I,4,0)*K12260</f>
        <v/>
      </c>
      <c r="P12260" s="152">
        <f>M12260/1.1</f>
        <v/>
      </c>
      <c r="Q12260" s="88">
        <f>F12260&amp;E12260&amp;G12260&amp;L12260</f>
        <v/>
      </c>
    </row>
    <row r="12261">
      <c r="B12261" s="128" t="n">
        <v>44182</v>
      </c>
      <c r="C12261" s="88">
        <f>TEXT(B12261,"aaa")</f>
        <v/>
      </c>
      <c r="D12261" s="94" t="n"/>
      <c r="E12261" s="88">
        <f>INDEX(매칭테이블!C:D,MATCH(RD!G12261,매칭테이블!D:D,0),1)</f>
        <v/>
      </c>
      <c r="F12261" s="94" t="inlineStr">
        <is>
          <t>카페24</t>
        </is>
      </c>
      <c r="G12261" s="94" t="inlineStr">
        <is>
          <t>어성초 77 포어 클리어 패드옵션=어성초 77 클리어 패드 2개-30% off (무료배송)</t>
        </is>
      </c>
      <c r="K12261" s="94" t="n">
        <v>8</v>
      </c>
      <c r="L12261" s="88" t="n">
        <v>201208</v>
      </c>
      <c r="M12261" s="88">
        <f>VLOOKUP($Q12261,매칭테이블!$F:$I,2,0)*K12261</f>
        <v/>
      </c>
      <c r="N12261" s="88">
        <f>M12261-M12261*VLOOKUP($Q12261,매칭테이블!$F:$I,3,0)</f>
        <v/>
      </c>
      <c r="O12261" s="88">
        <f>VLOOKUP($Q12261,매칭테이블!$F:$I,4,0)*K12261</f>
        <v/>
      </c>
      <c r="P12261" s="152">
        <f>M12261/1.1</f>
        <v/>
      </c>
      <c r="Q12261" s="88">
        <f>F12261&amp;E12261&amp;G12261&amp;L12261</f>
        <v/>
      </c>
    </row>
    <row r="12262">
      <c r="B12262" s="128" t="n">
        <v>44182</v>
      </c>
      <c r="C12262" s="88">
        <f>TEXT(B12262,"aaa")</f>
        <v/>
      </c>
      <c r="D12262" s="94" t="n"/>
      <c r="E12262" s="88">
        <f>INDEX(매칭테이블!C:D,MATCH(RD!G12262,매칭테이블!D:D,0),1)</f>
        <v/>
      </c>
      <c r="F12262" s="94" t="inlineStr">
        <is>
          <t>카페24</t>
        </is>
      </c>
      <c r="G12262" s="94" t="inlineStr">
        <is>
          <t>어성초 77 포어 클리어 패드옵션=어성초77토너1개+어성초77패드1개-30% off (무료배송)</t>
        </is>
      </c>
      <c r="K12262" s="94" t="n">
        <v>3</v>
      </c>
      <c r="L12262" s="88" t="n">
        <v>201208</v>
      </c>
      <c r="M12262" s="88">
        <f>VLOOKUP($Q12262,매칭테이블!$F:$I,2,0)*K12262</f>
        <v/>
      </c>
      <c r="N12262" s="88">
        <f>M12262-M12262*VLOOKUP($Q12262,매칭테이블!$F:$I,3,0)</f>
        <v/>
      </c>
      <c r="O12262" s="88">
        <f>VLOOKUP($Q12262,매칭테이블!$F:$I,4,0)*K12262</f>
        <v/>
      </c>
      <c r="P12262" s="152">
        <f>M12262/1.1</f>
        <v/>
      </c>
      <c r="Q12262" s="88">
        <f>F12262&amp;E12262&amp;G12262&amp;L12262</f>
        <v/>
      </c>
    </row>
    <row r="12263">
      <c r="B12263" s="128" t="n">
        <v>44182</v>
      </c>
      <c r="C12263" s="88">
        <f>TEXT(B12263,"aaa")</f>
        <v/>
      </c>
      <c r="D12263" s="94" t="n"/>
      <c r="E12263" s="88">
        <f>INDEX(매칭테이블!C:D,MATCH(RD!G12263,매칭테이블!D:D,0),1)</f>
        <v/>
      </c>
      <c r="F12263" s="94" t="inlineStr">
        <is>
          <t>카페24</t>
        </is>
      </c>
      <c r="G12263" s="94" t="inlineStr">
        <is>
          <t>어성초 77% 패드옵션=어성초 77 클리어 패드 1개-20% off</t>
        </is>
      </c>
      <c r="K12263" s="94" t="n">
        <v>15</v>
      </c>
      <c r="L12263" s="88" t="n">
        <v>201208</v>
      </c>
      <c r="M12263" s="88">
        <f>VLOOKUP($Q12263,매칭테이블!$F:$I,2,0)*K12263</f>
        <v/>
      </c>
      <c r="N12263" s="88">
        <f>M12263-M12263*VLOOKUP($Q12263,매칭테이블!$F:$I,3,0)</f>
        <v/>
      </c>
      <c r="O12263" s="88">
        <f>VLOOKUP($Q12263,매칭테이블!$F:$I,4,0)*K12263</f>
        <v/>
      </c>
      <c r="P12263" s="152">
        <f>M12263/1.1</f>
        <v/>
      </c>
      <c r="Q12263" s="88">
        <f>F12263&amp;E12263&amp;G12263&amp;L12263</f>
        <v/>
      </c>
    </row>
    <row r="12264">
      <c r="B12264" s="128" t="n">
        <v>44182</v>
      </c>
      <c r="C12264" s="88">
        <f>TEXT(B12264,"aaa")</f>
        <v/>
      </c>
      <c r="D12264" s="94" t="n"/>
      <c r="E12264" s="88">
        <f>INDEX(매칭테이블!C:D,MATCH(RD!G12264,매칭테이블!D:D,0),1)</f>
        <v/>
      </c>
      <c r="F12264" s="94" t="inlineStr">
        <is>
          <t>카페24</t>
        </is>
      </c>
      <c r="G12264" s="94" t="inlineStr">
        <is>
          <t>어성초 77% 패드옵션=어성초 77 클리어 패드 2개-30% off (무료배송)</t>
        </is>
      </c>
      <c r="K12264" s="94" t="n">
        <v>13</v>
      </c>
      <c r="L12264" s="88" t="n">
        <v>201208</v>
      </c>
      <c r="M12264" s="88">
        <f>VLOOKUP($Q12264,매칭테이블!$F:$I,2,0)*K12264</f>
        <v/>
      </c>
      <c r="N12264" s="88">
        <f>M12264-M12264*VLOOKUP($Q12264,매칭테이블!$F:$I,3,0)</f>
        <v/>
      </c>
      <c r="O12264" s="88">
        <f>VLOOKUP($Q12264,매칭테이블!$F:$I,4,0)*K12264</f>
        <v/>
      </c>
      <c r="P12264" s="152">
        <f>M12264/1.1</f>
        <v/>
      </c>
      <c r="Q12264" s="88">
        <f>F12264&amp;E12264&amp;G12264&amp;L12264</f>
        <v/>
      </c>
    </row>
    <row r="12265">
      <c r="B12265" s="128" t="n">
        <v>44182</v>
      </c>
      <c r="C12265" s="88">
        <f>TEXT(B12265,"aaa")</f>
        <v/>
      </c>
      <c r="D12265" s="94" t="n"/>
      <c r="E12265" s="88">
        <f>INDEX(매칭테이블!C:D,MATCH(RD!G12265,매칭테이블!D:D,0),1)</f>
        <v/>
      </c>
      <c r="F12265" s="94" t="inlineStr">
        <is>
          <t>카페24</t>
        </is>
      </c>
      <c r="G12265" s="94" t="inlineStr">
        <is>
          <t>어성초 77% 패드옵션=어성초77토너1개+어성초77패드1개-30% off (무료배송)</t>
        </is>
      </c>
      <c r="K12265" s="94" t="n">
        <v>12</v>
      </c>
      <c r="L12265" s="88" t="n">
        <v>201208</v>
      </c>
      <c r="M12265" s="88">
        <f>VLOOKUP($Q12265,매칭테이블!$F:$I,2,0)*K12265</f>
        <v/>
      </c>
      <c r="N12265" s="88">
        <f>M12265-M12265*VLOOKUP($Q12265,매칭테이블!$F:$I,3,0)</f>
        <v/>
      </c>
      <c r="O12265" s="88">
        <f>VLOOKUP($Q12265,매칭테이블!$F:$I,4,0)*K12265</f>
        <v/>
      </c>
      <c r="P12265" s="152">
        <f>M12265/1.1</f>
        <v/>
      </c>
      <c r="Q12265" s="88">
        <f>F12265&amp;E12265&amp;G12265&amp;L12265</f>
        <v/>
      </c>
    </row>
    <row r="12266">
      <c r="B12266" s="128" t="n">
        <v>44182</v>
      </c>
      <c r="C12266" s="88">
        <f>TEXT(B12266,"aaa")</f>
        <v/>
      </c>
      <c r="D12266" s="94" t="n"/>
      <c r="E12266" s="88">
        <f>INDEX(매칭테이블!C:D,MATCH(RD!G12266,매칭테이블!D:D,0),1)</f>
        <v/>
      </c>
      <c r="F12266" s="94" t="inlineStr">
        <is>
          <t>카페24</t>
        </is>
      </c>
      <c r="G12266" s="94" t="inlineStr">
        <is>
          <t>어성초 78 수딩 크림</t>
        </is>
      </c>
      <c r="K12266" s="94" t="n">
        <v>3</v>
      </c>
      <c r="L12266" s="88" t="n">
        <v>201208</v>
      </c>
      <c r="M12266" s="88">
        <f>VLOOKUP($Q12266,매칭테이블!$F:$I,2,0)*K12266</f>
        <v/>
      </c>
      <c r="N12266" s="88">
        <f>M12266-M12266*VLOOKUP($Q12266,매칭테이블!$F:$I,3,0)</f>
        <v/>
      </c>
      <c r="O12266" s="88">
        <f>VLOOKUP($Q12266,매칭테이블!$F:$I,4,0)*K12266</f>
        <v/>
      </c>
      <c r="P12266" s="152">
        <f>M12266/1.1</f>
        <v/>
      </c>
      <c r="Q12266" s="88">
        <f>F12266&amp;E12266&amp;G12266&amp;L12266</f>
        <v/>
      </c>
    </row>
    <row r="12267">
      <c r="B12267" s="128" t="n">
        <v>44182</v>
      </c>
      <c r="C12267" s="88">
        <f>TEXT(B12267,"aaa")</f>
        <v/>
      </c>
      <c r="D12267" s="94" t="n"/>
      <c r="E12267" s="88">
        <f>INDEX(매칭테이블!C:D,MATCH(RD!G12267,매칭테이블!D:D,0),1)</f>
        <v/>
      </c>
      <c r="F12267" s="94" t="inlineStr">
        <is>
          <t>카페24</t>
        </is>
      </c>
      <c r="G12267" s="94" t="inlineStr">
        <is>
          <t>어성초 78 수딩 크림</t>
        </is>
      </c>
      <c r="K12267" s="94" t="n">
        <v>4</v>
      </c>
      <c r="L12267" s="88" t="n">
        <v>201208</v>
      </c>
      <c r="M12267" s="88">
        <f>VLOOKUP($Q12267,매칭테이블!$F:$I,2,0)*K12267</f>
        <v/>
      </c>
      <c r="N12267" s="88">
        <f>M12267-M12267*VLOOKUP($Q12267,매칭테이블!$F:$I,3,0)</f>
        <v/>
      </c>
      <c r="O12267" s="88">
        <f>VLOOKUP($Q12267,매칭테이블!$F:$I,4,0)*K12267</f>
        <v/>
      </c>
      <c r="P12267" s="152">
        <f>M12267/1.1</f>
        <v/>
      </c>
      <c r="Q12267" s="88">
        <f>F12267&amp;E12267&amp;G12267&amp;L12267</f>
        <v/>
      </c>
    </row>
    <row r="12268">
      <c r="B12268" s="128" t="n">
        <v>44182</v>
      </c>
      <c r="C12268" s="88">
        <f>TEXT(B12268,"aaa")</f>
        <v/>
      </c>
      <c r="D12268" s="94" t="n"/>
      <c r="E12268" s="88">
        <f>INDEX(매칭테이블!C:D,MATCH(RD!G12268,매칭테이블!D:D,0),1)</f>
        <v/>
      </c>
      <c r="F12268" s="94" t="inlineStr">
        <is>
          <t>카페24</t>
        </is>
      </c>
      <c r="G12268" s="94" t="inlineStr">
        <is>
          <t>어성초 80 수분 진정 앰플앰플=어성초 80 앰플 1개-15%off</t>
        </is>
      </c>
      <c r="K12268" s="94" t="n">
        <v>13</v>
      </c>
      <c r="L12268" s="88" t="n">
        <v>201208</v>
      </c>
      <c r="M12268" s="88">
        <f>VLOOKUP($Q12268,매칭테이블!$F:$I,2,0)*K12268</f>
        <v/>
      </c>
      <c r="N12268" s="88">
        <f>M12268-M12268*VLOOKUP($Q12268,매칭테이블!$F:$I,3,0)</f>
        <v/>
      </c>
      <c r="O12268" s="88">
        <f>VLOOKUP($Q12268,매칭테이블!$F:$I,4,0)*K12268</f>
        <v/>
      </c>
      <c r="P12268" s="152">
        <f>M12268/1.1</f>
        <v/>
      </c>
      <c r="Q12268" s="88">
        <f>F12268&amp;E12268&amp;G12268&amp;L12268</f>
        <v/>
      </c>
    </row>
    <row r="12269">
      <c r="B12269" s="128" t="n">
        <v>44182</v>
      </c>
      <c r="C12269" s="88">
        <f>TEXT(B12269,"aaa")</f>
        <v/>
      </c>
      <c r="D12269" s="94" t="n"/>
      <c r="E12269" s="88">
        <f>INDEX(매칭테이블!C:D,MATCH(RD!G12269,매칭테이블!D:D,0),1)</f>
        <v/>
      </c>
      <c r="F12269" s="94" t="inlineStr">
        <is>
          <t>카페24</t>
        </is>
      </c>
      <c r="G12269" s="94" t="inlineStr">
        <is>
          <t>어성초 80 수분 진정 앰플앰플=어성초 80 앰플 2개-27%off (무료배송)</t>
        </is>
      </c>
      <c r="K12269" s="94" t="n">
        <v>4</v>
      </c>
      <c r="L12269" s="88" t="n">
        <v>201208</v>
      </c>
      <c r="M12269" s="88">
        <f>VLOOKUP($Q12269,매칭테이블!$F:$I,2,0)*K12269</f>
        <v/>
      </c>
      <c r="N12269" s="88">
        <f>M12269-M12269*VLOOKUP($Q12269,매칭테이블!$F:$I,3,0)</f>
        <v/>
      </c>
      <c r="O12269" s="88">
        <f>VLOOKUP($Q12269,매칭테이블!$F:$I,4,0)*K12269</f>
        <v/>
      </c>
      <c r="P12269" s="152">
        <f>M12269/1.1</f>
        <v/>
      </c>
      <c r="Q12269" s="88">
        <f>F12269&amp;E12269&amp;G12269&amp;L12269</f>
        <v/>
      </c>
    </row>
    <row r="12270">
      <c r="B12270" s="128" t="n">
        <v>44182</v>
      </c>
      <c r="C12270" s="88">
        <f>TEXT(B12270,"aaa")</f>
        <v/>
      </c>
      <c r="D12270" s="94" t="n"/>
      <c r="E12270" s="88">
        <f>INDEX(매칭테이블!C:D,MATCH(RD!G12270,매칭테이블!D:D,0),1)</f>
        <v/>
      </c>
      <c r="F12270" s="94" t="inlineStr">
        <is>
          <t>카페24</t>
        </is>
      </c>
      <c r="G12270" s="94" t="inlineStr">
        <is>
          <t>어성초 80 수분 진정 앰플</t>
        </is>
      </c>
      <c r="K12270" s="94" t="n">
        <v>2</v>
      </c>
      <c r="L12270" s="88" t="n">
        <v>201208</v>
      </c>
      <c r="M12270" s="88">
        <f>VLOOKUP($Q12270,매칭테이블!$F:$I,2,0)*K12270</f>
        <v/>
      </c>
      <c r="N12270" s="88">
        <f>M12270-M12270*VLOOKUP($Q12270,매칭테이블!$F:$I,3,0)</f>
        <v/>
      </c>
      <c r="O12270" s="88">
        <f>VLOOKUP($Q12270,매칭테이블!$F:$I,4,0)*K12270</f>
        <v/>
      </c>
      <c r="P12270" s="152">
        <f>M12270/1.1</f>
        <v/>
      </c>
      <c r="Q12270" s="88">
        <f>F12270&amp;E12270&amp;G12270&amp;L12270</f>
        <v/>
      </c>
    </row>
    <row r="12271">
      <c r="B12271" s="128" t="n">
        <v>44182</v>
      </c>
      <c r="C12271" s="88">
        <f>TEXT(B12271,"aaa")</f>
        <v/>
      </c>
      <c r="D12271" s="94" t="n"/>
      <c r="E12271" s="88">
        <f>INDEX(매칭테이블!C:D,MATCH(RD!G12271,매칭테이블!D:D,0),1)</f>
        <v/>
      </c>
      <c r="F12271" s="94" t="inlineStr">
        <is>
          <t>카페24</t>
        </is>
      </c>
      <c r="G12271" s="94" t="inlineStr">
        <is>
          <t>어성초 아크네 바디워시옵션=어성초 아크네 바디워시 1개 -30% off</t>
        </is>
      </c>
      <c r="K12271" s="94" t="n">
        <v>3</v>
      </c>
      <c r="L12271" s="88" t="n">
        <v>201208</v>
      </c>
      <c r="M12271" s="88">
        <f>VLOOKUP($Q12271,매칭테이블!$F:$I,2,0)*K12271</f>
        <v/>
      </c>
      <c r="N12271" s="88">
        <f>M12271-M12271*VLOOKUP($Q12271,매칭테이블!$F:$I,3,0)</f>
        <v/>
      </c>
      <c r="O12271" s="88">
        <f>VLOOKUP($Q12271,매칭테이블!$F:$I,4,0)*K12271</f>
        <v/>
      </c>
      <c r="P12271" s="152">
        <f>M12271/1.1</f>
        <v/>
      </c>
      <c r="Q12271" s="88">
        <f>F12271&amp;E12271&amp;G12271&amp;L12271</f>
        <v/>
      </c>
    </row>
    <row r="12272">
      <c r="B12272" s="128" t="n">
        <v>44182</v>
      </c>
      <c r="C12272" s="88">
        <f>TEXT(B12272,"aaa")</f>
        <v/>
      </c>
      <c r="D12272" s="94" t="n"/>
      <c r="E12272" s="88">
        <f>INDEX(매칭테이블!C:D,MATCH(RD!G12272,매칭테이블!D:D,0),1)</f>
        <v/>
      </c>
      <c r="F12272" s="94" t="inlineStr">
        <is>
          <t>카페24</t>
        </is>
      </c>
      <c r="G12272" s="94" t="inlineStr">
        <is>
          <t>어성초 약산성 클렌징폼클렌징폼=어성초 약산성 클렌징폼 1개 -19%off</t>
        </is>
      </c>
      <c r="K12272" s="94" t="n">
        <v>16</v>
      </c>
      <c r="L12272" s="88" t="n">
        <v>201208</v>
      </c>
      <c r="M12272" s="88">
        <f>VLOOKUP($Q12272,매칭테이블!$F:$I,2,0)*K12272</f>
        <v/>
      </c>
      <c r="N12272" s="88">
        <f>M12272-M12272*VLOOKUP($Q12272,매칭테이블!$F:$I,3,0)</f>
        <v/>
      </c>
      <c r="O12272" s="88">
        <f>VLOOKUP($Q12272,매칭테이블!$F:$I,4,0)*K12272</f>
        <v/>
      </c>
      <c r="P12272" s="152">
        <f>M12272/1.1</f>
        <v/>
      </c>
      <c r="Q12272" s="88">
        <f>F12272&amp;E12272&amp;G12272&amp;L12272</f>
        <v/>
      </c>
    </row>
    <row r="12273">
      <c r="B12273" s="128" t="n">
        <v>44182</v>
      </c>
      <c r="C12273" s="88">
        <f>TEXT(B12273,"aaa")</f>
        <v/>
      </c>
      <c r="D12273" s="94" t="n"/>
      <c r="E12273" s="88">
        <f>INDEX(매칭테이블!C:D,MATCH(RD!G12273,매칭테이블!D:D,0),1)</f>
        <v/>
      </c>
      <c r="F12273" s="94" t="inlineStr">
        <is>
          <t>카페24</t>
        </is>
      </c>
      <c r="G12273" s="94" t="inlineStr">
        <is>
          <t>어성초 약산성 클렌징폼클렌징폼=어성초 약산성 클렌징폼 2개 -25%off</t>
        </is>
      </c>
      <c r="K12273" s="94" t="n">
        <v>2</v>
      </c>
      <c r="L12273" s="88" t="n">
        <v>201208</v>
      </c>
      <c r="M12273" s="88">
        <f>VLOOKUP($Q12273,매칭테이블!$F:$I,2,0)*K12273</f>
        <v/>
      </c>
      <c r="N12273" s="88">
        <f>M12273-M12273*VLOOKUP($Q12273,매칭테이블!$F:$I,3,0)</f>
        <v/>
      </c>
      <c r="O12273" s="88">
        <f>VLOOKUP($Q12273,매칭테이블!$F:$I,4,0)*K12273</f>
        <v/>
      </c>
      <c r="P12273" s="152">
        <f>M12273/1.1</f>
        <v/>
      </c>
      <c r="Q12273" s="88">
        <f>F12273&amp;E12273&amp;G12273&amp;L12273</f>
        <v/>
      </c>
    </row>
    <row r="12274">
      <c r="B12274" s="128" t="n">
        <v>44182</v>
      </c>
      <c r="C12274" s="88">
        <f>TEXT(B12274,"aaa")</f>
        <v/>
      </c>
      <c r="D12274" s="94" t="n"/>
      <c r="E12274" s="88">
        <f>INDEX(매칭테이블!C:D,MATCH(RD!G12274,매칭테이블!D:D,0),1)</f>
        <v/>
      </c>
      <c r="F12274" s="94" t="inlineStr">
        <is>
          <t>카페24</t>
        </is>
      </c>
      <c r="G12274" s="94" t="inlineStr">
        <is>
          <t>어성초 약산성 클렌징폼클렌징폼=어성초 약산성 클렌징폼 3개 -31%off (무료배송)</t>
        </is>
      </c>
      <c r="K12274" s="94" t="n">
        <v>1</v>
      </c>
      <c r="L12274" s="88" t="n">
        <v>201208</v>
      </c>
      <c r="M12274" s="88">
        <f>VLOOKUP($Q12274,매칭테이블!$F:$I,2,0)*K12274</f>
        <v/>
      </c>
      <c r="N12274" s="88">
        <f>M12274-M12274*VLOOKUP($Q12274,매칭테이블!$F:$I,3,0)</f>
        <v/>
      </c>
      <c r="O12274" s="88">
        <f>VLOOKUP($Q12274,매칭테이블!$F:$I,4,0)*K12274</f>
        <v/>
      </c>
      <c r="P12274" s="152">
        <f>M12274/1.1</f>
        <v/>
      </c>
      <c r="Q12274" s="88">
        <f>F12274&amp;E12274&amp;G12274&amp;L12274</f>
        <v/>
      </c>
    </row>
    <row r="12275">
      <c r="B12275" s="128" t="n">
        <v>44182</v>
      </c>
      <c r="C12275" s="88">
        <f>TEXT(B12275,"aaa")</f>
        <v/>
      </c>
      <c r="D12275" s="94" t="n"/>
      <c r="E12275" s="88">
        <f>INDEX(매칭테이블!C:D,MATCH(RD!G12275,매칭테이블!D:D,0),1)</f>
        <v/>
      </c>
      <c r="F12275" s="94" t="inlineStr">
        <is>
          <t>카페24</t>
        </is>
      </c>
      <c r="G12275" s="94" t="inlineStr">
        <is>
          <t>어성초 크림마스크 나이트 솔루션옵션=어성초 크림마스크 나이트 솔루션 10장 (-50%)</t>
        </is>
      </c>
      <c r="K12275" s="94" t="n">
        <v>4</v>
      </c>
      <c r="L12275" s="88" t="n">
        <v>201208</v>
      </c>
      <c r="M12275" s="88">
        <f>VLOOKUP($Q12275,매칭테이블!$F:$I,2,0)*K12275</f>
        <v/>
      </c>
      <c r="N12275" s="88">
        <f>M12275-M12275*VLOOKUP($Q12275,매칭테이블!$F:$I,3,0)</f>
        <v/>
      </c>
      <c r="O12275" s="88">
        <f>VLOOKUP($Q12275,매칭테이블!$F:$I,4,0)*K12275</f>
        <v/>
      </c>
      <c r="P12275" s="152">
        <f>M12275/1.1</f>
        <v/>
      </c>
      <c r="Q12275" s="88">
        <f>F12275&amp;E12275&amp;G12275&amp;L12275</f>
        <v/>
      </c>
    </row>
    <row r="12276">
      <c r="B12276" s="128" t="n">
        <v>44182</v>
      </c>
      <c r="C12276" s="88">
        <f>TEXT(B12276,"aaa")</f>
        <v/>
      </c>
      <c r="D12276" s="94" t="n"/>
      <c r="E12276" s="88">
        <f>INDEX(매칭테이블!C:D,MATCH(RD!G12276,매칭테이블!D:D,0),1)</f>
        <v/>
      </c>
      <c r="F12276" s="94" t="inlineStr">
        <is>
          <t>카페24</t>
        </is>
      </c>
      <c r="G12276" s="94" t="inlineStr">
        <is>
          <t>촉촉 스킨팩 화장솜</t>
        </is>
      </c>
      <c r="K12276" s="94" t="n">
        <v>16</v>
      </c>
      <c r="L12276" s="88" t="n">
        <v>201208</v>
      </c>
      <c r="M12276" s="88">
        <f>VLOOKUP($Q12276,매칭테이블!$F:$I,2,0)*K12276</f>
        <v/>
      </c>
      <c r="N12276" s="88">
        <f>M12276-M12276*VLOOKUP($Q12276,매칭테이블!$F:$I,3,0)</f>
        <v/>
      </c>
      <c r="O12276" s="88">
        <f>VLOOKUP($Q12276,매칭테이블!$F:$I,4,0)*K12276</f>
        <v/>
      </c>
      <c r="P12276" s="152">
        <f>M12276/1.1</f>
        <v/>
      </c>
      <c r="Q12276" s="88">
        <f>F12276&amp;E12276&amp;G12276&amp;L12276</f>
        <v/>
      </c>
    </row>
    <row r="12277">
      <c r="B12277" s="128" t="n">
        <v>44182</v>
      </c>
      <c r="C12277" s="88">
        <f>TEXT(B12277,"aaa")</f>
        <v/>
      </c>
      <c r="D12277" s="94" t="n"/>
      <c r="E12277" s="88">
        <f>INDEX(매칭테이블!C:D,MATCH(RD!G12277,매칭테이블!D:D,0),1)</f>
        <v/>
      </c>
      <c r="F12277" s="94" t="inlineStr">
        <is>
          <t>화해</t>
        </is>
      </c>
      <c r="G12277" s="94" t="inlineStr">
        <is>
          <t>어성초 77 토너 250ml어성초 77 토너 250ml</t>
        </is>
      </c>
      <c r="K12277" s="94" t="n">
        <v>4</v>
      </c>
      <c r="L12277" s="88" t="n">
        <v>201208</v>
      </c>
      <c r="M12277" s="88">
        <f>VLOOKUP($Q12277,매칭테이블!$F:$I,2,0)*K12277</f>
        <v/>
      </c>
      <c r="N12277" s="88">
        <f>M12277-M12277*VLOOKUP($Q12277,매칭테이블!$F:$I,3,0)</f>
        <v/>
      </c>
      <c r="O12277" s="88">
        <f>VLOOKUP($Q12277,매칭테이블!$F:$I,4,0)*K12277</f>
        <v/>
      </c>
      <c r="P12277" s="152">
        <f>M12277/1.1</f>
        <v/>
      </c>
      <c r="Q12277" s="88">
        <f>F12277&amp;E12277&amp;G12277&amp;L12277</f>
        <v/>
      </c>
    </row>
    <row r="12278" customFormat="1" s="94">
      <c r="B12278" s="128" t="n">
        <v>44183</v>
      </c>
      <c r="C12278" s="88">
        <f>TEXT(B12278,"aaa")</f>
        <v/>
      </c>
      <c r="E12278" s="88">
        <f>INDEX(매칭테이블!C:D,MATCH(RD!G12278,매칭테이블!D:D,0),1)</f>
        <v/>
      </c>
      <c r="F12278" s="94" t="inlineStr">
        <is>
          <t>W컨셉</t>
        </is>
      </c>
      <c r="G12278" s="94" t="inlineStr">
        <is>
          <t>어성초 77토너 (2 SET) HEARTLEAF 77% SOOTHING TONER 250ml250ml 2set</t>
        </is>
      </c>
      <c r="K12278" s="94" t="n">
        <v>3</v>
      </c>
      <c r="L12278" s="88" t="n">
        <v>201208</v>
      </c>
      <c r="M12278" s="88">
        <f>VLOOKUP($Q12278,매칭테이블!$F:$I,2,0)*K12278</f>
        <v/>
      </c>
      <c r="N12278" s="88">
        <f>M12278-M12278*VLOOKUP($Q12278,매칭테이블!$F:$I,3,0)</f>
        <v/>
      </c>
      <c r="O12278" s="88">
        <f>VLOOKUP($Q12278,매칭테이블!$F:$I,4,0)*K12278</f>
        <v/>
      </c>
      <c r="P12278" s="152">
        <f>M12278/1.1</f>
        <v/>
      </c>
      <c r="Q12278" s="88">
        <f>F12278&amp;E12278&amp;G12278&amp;L12278</f>
        <v/>
      </c>
    </row>
    <row r="12279" customFormat="1" s="94">
      <c r="B12279" s="128" t="n">
        <v>44183</v>
      </c>
      <c r="C12279" s="88">
        <f>TEXT(B12279,"aaa")</f>
        <v/>
      </c>
      <c r="E12279" s="88">
        <f>INDEX(매칭테이블!C:D,MATCH(RD!G12279,매칭테이블!D:D,0),1)</f>
        <v/>
      </c>
      <c r="F12279" s="94" t="inlineStr">
        <is>
          <t>스타일쉐어</t>
        </is>
      </c>
      <c r="G12279" s="94" t="inlineStr">
        <is>
          <t>아누아 어성초 77 토너 250ml</t>
        </is>
      </c>
      <c r="K12279" s="94" t="n">
        <v>3</v>
      </c>
      <c r="L12279" s="88" t="n">
        <v>201208</v>
      </c>
      <c r="M12279" s="88">
        <f>VLOOKUP($Q12279,매칭테이블!$F:$I,2,0)*K12279</f>
        <v/>
      </c>
      <c r="N12279" s="88">
        <f>M12279-M12279*VLOOKUP($Q12279,매칭테이블!$F:$I,3,0)</f>
        <v/>
      </c>
      <c r="O12279" s="88">
        <f>VLOOKUP($Q12279,매칭테이블!$F:$I,4,0)*K12279</f>
        <v/>
      </c>
      <c r="P12279" s="152">
        <f>M12279/1.1</f>
        <v/>
      </c>
      <c r="Q12279" s="88">
        <f>F12279&amp;E12279&amp;G12279&amp;L12279</f>
        <v/>
      </c>
    </row>
    <row r="12280" customFormat="1" s="94">
      <c r="B12280" s="128" t="n">
        <v>44183</v>
      </c>
      <c r="C12280" s="88">
        <f>TEXT(B12280,"aaa")</f>
        <v/>
      </c>
      <c r="E12280" s="88">
        <f>INDEX(매칭테이블!C:D,MATCH(RD!G12280,매칭테이블!D:D,0),1)</f>
        <v/>
      </c>
      <c r="F12280" s="94" t="inlineStr">
        <is>
          <t>아누아 CS</t>
        </is>
      </c>
      <c r="G12280" s="94" t="inlineStr">
        <is>
          <t>어성초 77 토너 250ml</t>
        </is>
      </c>
      <c r="K12280" s="94" t="n">
        <v>1</v>
      </c>
      <c r="L12280" s="88" t="n">
        <v>201208</v>
      </c>
      <c r="M12280" s="88">
        <f>VLOOKUP($Q12280,매칭테이블!$F:$I,2,0)*K12280</f>
        <v/>
      </c>
      <c r="N12280" s="88">
        <f>M12280-M12280*VLOOKUP($Q12280,매칭테이블!$F:$I,3,0)</f>
        <v/>
      </c>
      <c r="O12280" s="88">
        <f>VLOOKUP($Q12280,매칭테이블!$F:$I,4,0)*K12280</f>
        <v/>
      </c>
      <c r="P12280" s="152">
        <f>M12280/1.1</f>
        <v/>
      </c>
      <c r="Q12280" s="88">
        <f>F12280&amp;E12280&amp;G12280&amp;L12280</f>
        <v/>
      </c>
    </row>
    <row r="12281" customFormat="1" s="94">
      <c r="B12281" s="128" t="n">
        <v>44183</v>
      </c>
      <c r="C12281" s="88">
        <f>TEXT(B12281,"aaa")</f>
        <v/>
      </c>
      <c r="E12281" s="88">
        <f>INDEX(매칭테이블!C:D,MATCH(RD!G12281,매칭테이블!D:D,0),1)</f>
        <v/>
      </c>
      <c r="F12281" s="94" t="inlineStr">
        <is>
          <t>카페24</t>
        </is>
      </c>
      <c r="G12281" s="94" t="inlineStr">
        <is>
          <t>[수분 보충 세트] 어성초 77 토너 + 어성초 70 로션옵션=어성초 77 토너 250ml + 어성초 70 로션 200ml -30%</t>
        </is>
      </c>
      <c r="K12281" s="94" t="n">
        <v>19</v>
      </c>
      <c r="L12281" s="88" t="n">
        <v>201208</v>
      </c>
      <c r="M12281" s="88">
        <f>VLOOKUP($Q12281,매칭테이블!$F:$I,2,0)*K12281</f>
        <v/>
      </c>
      <c r="N12281" s="88">
        <f>M12281-M12281*VLOOKUP($Q12281,매칭테이블!$F:$I,3,0)</f>
        <v/>
      </c>
      <c r="O12281" s="88">
        <f>VLOOKUP($Q12281,매칭테이블!$F:$I,4,0)*K12281</f>
        <v/>
      </c>
      <c r="P12281" s="152">
        <f>M12281/1.1</f>
        <v/>
      </c>
      <c r="Q12281" s="88">
        <f>F12281&amp;E12281&amp;G12281&amp;L12281</f>
        <v/>
      </c>
    </row>
    <row r="12282" customFormat="1" s="94">
      <c r="B12282" s="128" t="n">
        <v>44183</v>
      </c>
      <c r="C12282" s="88">
        <f>TEXT(B12282,"aaa")</f>
        <v/>
      </c>
      <c r="E12282" s="88">
        <f>INDEX(매칭테이블!C:D,MATCH(RD!G12282,매칭테이블!D:D,0),1)</f>
        <v/>
      </c>
      <c r="F12282" s="94" t="inlineStr">
        <is>
          <t>카페24</t>
        </is>
      </c>
      <c r="G12282" s="94" t="inlineStr">
        <is>
          <t>[어성초 진정 패키지 세트] 대용량 토너 + 앰플 + 수딩 크림 + 마스크팩 10장</t>
        </is>
      </c>
      <c r="K12282" s="94" t="n">
        <v>1</v>
      </c>
      <c r="L12282" s="88" t="n">
        <v>201208</v>
      </c>
      <c r="M12282" s="88">
        <f>VLOOKUP($Q12282,매칭테이블!$F:$I,2,0)*K12282</f>
        <v/>
      </c>
      <c r="N12282" s="88">
        <f>M12282-M12282*VLOOKUP($Q12282,매칭테이블!$F:$I,3,0)</f>
        <v/>
      </c>
      <c r="O12282" s="88">
        <f>VLOOKUP($Q12282,매칭테이블!$F:$I,4,0)*K12282</f>
        <v/>
      </c>
      <c r="P12282" s="152">
        <f>M12282/1.1</f>
        <v/>
      </c>
      <c r="Q12282" s="88">
        <f>F12282&amp;E12282&amp;G12282&amp;L12282</f>
        <v/>
      </c>
    </row>
    <row r="12283" customFormat="1" s="94">
      <c r="B12283" s="128" t="n">
        <v>44183</v>
      </c>
      <c r="C12283" s="88">
        <f>TEXT(B12283,"aaa")</f>
        <v/>
      </c>
      <c r="E12283" s="88">
        <f>INDEX(매칭테이블!C:D,MATCH(RD!G12283,매칭테이블!D:D,0),1)</f>
        <v/>
      </c>
      <c r="F12283" s="94" t="inlineStr">
        <is>
          <t>카페24</t>
        </is>
      </c>
      <c r="G12283" s="94" t="inlineStr">
        <is>
          <t>대용량 어성초 77 수딩 토너 500ml</t>
        </is>
      </c>
      <c r="K12283" s="94" t="n">
        <v>21</v>
      </c>
      <c r="L12283" s="88" t="n">
        <v>201208</v>
      </c>
      <c r="M12283" s="88">
        <f>VLOOKUP($Q12283,매칭테이블!$F:$I,2,0)*K12283</f>
        <v/>
      </c>
      <c r="N12283" s="88">
        <f>M12283-M12283*VLOOKUP($Q12283,매칭테이블!$F:$I,3,0)</f>
        <v/>
      </c>
      <c r="O12283" s="88">
        <f>VLOOKUP($Q12283,매칭테이블!$F:$I,4,0)*K12283</f>
        <v/>
      </c>
      <c r="P12283" s="152">
        <f>M12283/1.1</f>
        <v/>
      </c>
      <c r="Q12283" s="88">
        <f>F12283&amp;E12283&amp;G12283&amp;L12283</f>
        <v/>
      </c>
    </row>
    <row r="12284" customFormat="1" s="94">
      <c r="B12284" s="128" t="n">
        <v>44183</v>
      </c>
      <c r="C12284" s="88">
        <f>TEXT(B12284,"aaa")</f>
        <v/>
      </c>
      <c r="E12284" s="88">
        <f>INDEX(매칭테이블!C:D,MATCH(RD!G12284,매칭테이블!D:D,0),1)</f>
        <v/>
      </c>
      <c r="F12284" s="94" t="inlineStr">
        <is>
          <t>카페24</t>
        </is>
      </c>
      <c r="G12284" s="94" t="inlineStr">
        <is>
          <t>대용량 어성초 77 토너 500ml</t>
        </is>
      </c>
      <c r="K12284" s="94" t="n">
        <v>2</v>
      </c>
      <c r="L12284" s="88" t="n">
        <v>201208</v>
      </c>
      <c r="M12284" s="88">
        <f>VLOOKUP($Q12284,매칭테이블!$F:$I,2,0)*K12284</f>
        <v/>
      </c>
      <c r="N12284" s="88">
        <f>M12284-M12284*VLOOKUP($Q12284,매칭테이블!$F:$I,3,0)</f>
        <v/>
      </c>
      <c r="O12284" s="88">
        <f>VLOOKUP($Q12284,매칭테이블!$F:$I,4,0)*K12284</f>
        <v/>
      </c>
      <c r="P12284" s="152">
        <f>M12284/1.1</f>
        <v/>
      </c>
      <c r="Q12284" s="88">
        <f>F12284&amp;E12284&amp;G12284&amp;L12284</f>
        <v/>
      </c>
    </row>
    <row r="12285" customFormat="1" s="94">
      <c r="B12285" s="128" t="n">
        <v>44183</v>
      </c>
      <c r="C12285" s="88">
        <f>TEXT(B12285,"aaa")</f>
        <v/>
      </c>
      <c r="E12285" s="88">
        <f>INDEX(매칭테이블!C:D,MATCH(RD!G12285,매칭테이블!D:D,0),1)</f>
        <v/>
      </c>
      <c r="F12285" s="94" t="inlineStr">
        <is>
          <t>카페24</t>
        </is>
      </c>
      <c r="G12285" s="94" t="inlineStr">
        <is>
          <t>아누아 어성초 77 수딩 토너토너(필수)=어성초 77 토너 1개-20% off</t>
        </is>
      </c>
      <c r="K12285" s="94" t="n">
        <v>1</v>
      </c>
      <c r="L12285" s="88" t="n">
        <v>201208</v>
      </c>
      <c r="M12285" s="88">
        <f>VLOOKUP($Q12285,매칭테이블!$F:$I,2,0)*K12285</f>
        <v/>
      </c>
      <c r="N12285" s="88">
        <f>M12285-M12285*VLOOKUP($Q12285,매칭테이블!$F:$I,3,0)</f>
        <v/>
      </c>
      <c r="O12285" s="88">
        <f>VLOOKUP($Q12285,매칭테이블!$F:$I,4,0)*K12285</f>
        <v/>
      </c>
      <c r="P12285" s="152">
        <f>M12285/1.1</f>
        <v/>
      </c>
      <c r="Q12285" s="88">
        <f>F12285&amp;E12285&amp;G12285&amp;L12285</f>
        <v/>
      </c>
    </row>
    <row r="12286" customFormat="1" s="94">
      <c r="B12286" s="128" t="n">
        <v>44183</v>
      </c>
      <c r="C12286" s="88">
        <f>TEXT(B12286,"aaa")</f>
        <v/>
      </c>
      <c r="E12286" s="88">
        <f>INDEX(매칭테이블!C:D,MATCH(RD!G12286,매칭테이블!D:D,0),1)</f>
        <v/>
      </c>
      <c r="F12286" s="94" t="inlineStr">
        <is>
          <t>카페24</t>
        </is>
      </c>
      <c r="G12286" s="94" t="inlineStr">
        <is>
          <t>어성초 70 데일리 릴리프 로션로션=어성초 70 데일리 릴리프 로션 1개 -20% off</t>
        </is>
      </c>
      <c r="K12286" s="94" t="n">
        <v>4</v>
      </c>
      <c r="L12286" s="88" t="n">
        <v>201208</v>
      </c>
      <c r="M12286" s="88">
        <f>VLOOKUP($Q12286,매칭테이블!$F:$I,2,0)*K12286</f>
        <v/>
      </c>
      <c r="N12286" s="88">
        <f>M12286-M12286*VLOOKUP($Q12286,매칭테이블!$F:$I,3,0)</f>
        <v/>
      </c>
      <c r="O12286" s="88">
        <f>VLOOKUP($Q12286,매칭테이블!$F:$I,4,0)*K12286</f>
        <v/>
      </c>
      <c r="P12286" s="152">
        <f>M12286/1.1</f>
        <v/>
      </c>
      <c r="Q12286" s="88">
        <f>F12286&amp;E12286&amp;G12286&amp;L12286</f>
        <v/>
      </c>
    </row>
    <row r="12287" customFormat="1" s="94">
      <c r="B12287" s="128" t="n">
        <v>44183</v>
      </c>
      <c r="C12287" s="88">
        <f>TEXT(B12287,"aaa")</f>
        <v/>
      </c>
      <c r="E12287" s="88">
        <f>INDEX(매칭테이블!C:D,MATCH(RD!G12287,매칭테이블!D:D,0),1)</f>
        <v/>
      </c>
      <c r="F12287" s="94" t="inlineStr">
        <is>
          <t>카페24</t>
        </is>
      </c>
      <c r="G12287" s="94" t="inlineStr">
        <is>
          <t>어성초 70 데일리 릴리프 로션로션=어성초 70 데일리 릴리프 로션 2개 -30% off</t>
        </is>
      </c>
      <c r="K12287" s="94" t="n">
        <v>1</v>
      </c>
      <c r="L12287" s="88" t="n">
        <v>201208</v>
      </c>
      <c r="M12287" s="88">
        <f>VLOOKUP($Q12287,매칭테이블!$F:$I,2,0)*K12287</f>
        <v/>
      </c>
      <c r="N12287" s="88">
        <f>M12287-M12287*VLOOKUP($Q12287,매칭테이블!$F:$I,3,0)</f>
        <v/>
      </c>
      <c r="O12287" s="88">
        <f>VLOOKUP($Q12287,매칭테이블!$F:$I,4,0)*K12287</f>
        <v/>
      </c>
      <c r="P12287" s="152">
        <f>M12287/1.1</f>
        <v/>
      </c>
      <c r="Q12287" s="88">
        <f>F12287&amp;E12287&amp;G12287&amp;L12287</f>
        <v/>
      </c>
    </row>
    <row r="12288" customFormat="1" s="94">
      <c r="B12288" s="128" t="n">
        <v>44183</v>
      </c>
      <c r="C12288" s="88">
        <f>TEXT(B12288,"aaa")</f>
        <v/>
      </c>
      <c r="E12288" s="88">
        <f>INDEX(매칭테이블!C:D,MATCH(RD!G12288,매칭테이블!D:D,0),1)</f>
        <v/>
      </c>
      <c r="F12288" s="94" t="inlineStr">
        <is>
          <t>카페24</t>
        </is>
      </c>
      <c r="G12288" s="94" t="inlineStr">
        <is>
          <t>어성초 70 데일리 릴리프 로션로션=어성초 77토너 + 어성초 70 로션 수분 보충 세트 -30% off</t>
        </is>
      </c>
      <c r="K12288" s="94" t="n">
        <v>1</v>
      </c>
      <c r="L12288" s="88" t="n">
        <v>201208</v>
      </c>
      <c r="M12288" s="88">
        <f>VLOOKUP($Q12288,매칭테이블!$F:$I,2,0)*K12288</f>
        <v/>
      </c>
      <c r="N12288" s="88">
        <f>M12288-M12288*VLOOKUP($Q12288,매칭테이블!$F:$I,3,0)</f>
        <v/>
      </c>
      <c r="O12288" s="88">
        <f>VLOOKUP($Q12288,매칭테이블!$F:$I,4,0)*K12288</f>
        <v/>
      </c>
      <c r="P12288" s="152">
        <f>M12288/1.1</f>
        <v/>
      </c>
      <c r="Q12288" s="88">
        <f>F12288&amp;E12288&amp;G12288&amp;L12288</f>
        <v/>
      </c>
    </row>
    <row r="12289" customFormat="1" s="94">
      <c r="B12289" s="128" t="n">
        <v>44183</v>
      </c>
      <c r="C12289" s="88">
        <f>TEXT(B12289,"aaa")</f>
        <v/>
      </c>
      <c r="E12289" s="88">
        <f>INDEX(매칭테이블!C:D,MATCH(RD!G12289,매칭테이블!D:D,0),1)</f>
        <v/>
      </c>
      <c r="F12289" s="94" t="inlineStr">
        <is>
          <t>카페24</t>
        </is>
      </c>
      <c r="G12289" s="94" t="inlineStr">
        <is>
          <t>어성초 70 머드 크림 마스크옵션=어성초 70 머드 크림 마스크-20% off</t>
        </is>
      </c>
      <c r="K12289" s="94" t="n">
        <v>6</v>
      </c>
      <c r="L12289" s="88" t="n">
        <v>201208</v>
      </c>
      <c r="M12289" s="88">
        <f>VLOOKUP($Q12289,매칭테이블!$F:$I,2,0)*K12289</f>
        <v/>
      </c>
      <c r="N12289" s="88">
        <f>M12289-M12289*VLOOKUP($Q12289,매칭테이블!$F:$I,3,0)</f>
        <v/>
      </c>
      <c r="O12289" s="88">
        <f>VLOOKUP($Q12289,매칭테이블!$F:$I,4,0)*K12289</f>
        <v/>
      </c>
      <c r="P12289" s="152">
        <f>M12289/1.1</f>
        <v/>
      </c>
      <c r="Q12289" s="88">
        <f>F12289&amp;E12289&amp;G12289&amp;L12289</f>
        <v/>
      </c>
    </row>
    <row r="12290" customFormat="1" s="94">
      <c r="B12290" s="128" t="n">
        <v>44183</v>
      </c>
      <c r="C12290" s="88">
        <f>TEXT(B12290,"aaa")</f>
        <v/>
      </c>
      <c r="E12290" s="88">
        <f>INDEX(매칭테이블!C:D,MATCH(RD!G12290,매칭테이블!D:D,0),1)</f>
        <v/>
      </c>
      <c r="F12290" s="94" t="inlineStr">
        <is>
          <t>카페24</t>
        </is>
      </c>
      <c r="G12290" s="94" t="inlineStr">
        <is>
          <t>어성초 70 머드 크림 마스크옵션=어성초 70 머드 크림 마스크 2개-30% off (무료배송)</t>
        </is>
      </c>
      <c r="K12290" s="94" t="n">
        <v>1</v>
      </c>
      <c r="L12290" s="88" t="n">
        <v>201208</v>
      </c>
      <c r="M12290" s="88">
        <f>VLOOKUP($Q12290,매칭테이블!$F:$I,2,0)*K12290</f>
        <v/>
      </c>
      <c r="N12290" s="88">
        <f>M12290-M12290*VLOOKUP($Q12290,매칭테이블!$F:$I,3,0)</f>
        <v/>
      </c>
      <c r="O12290" s="88">
        <f>VLOOKUP($Q12290,매칭테이블!$F:$I,4,0)*K12290</f>
        <v/>
      </c>
      <c r="P12290" s="152">
        <f>M12290/1.1</f>
        <v/>
      </c>
      <c r="Q12290" s="88">
        <f>F12290&amp;E12290&amp;G12290&amp;L12290</f>
        <v/>
      </c>
    </row>
    <row r="12291" customFormat="1" s="94">
      <c r="B12291" s="128" t="n">
        <v>44183</v>
      </c>
      <c r="C12291" s="88">
        <f>TEXT(B12291,"aaa")</f>
        <v/>
      </c>
      <c r="E12291" s="88">
        <f>INDEX(매칭테이블!C:D,MATCH(RD!G12291,매칭테이블!D:D,0),1)</f>
        <v/>
      </c>
      <c r="F12291" s="94" t="inlineStr">
        <is>
          <t>카페24</t>
        </is>
      </c>
      <c r="G12291" s="94" t="inlineStr">
        <is>
          <t>어성초 70 인텐스 카밍 크림크림=어성초 70 인텐스 카밍 크림 1개 (-20%)</t>
        </is>
      </c>
      <c r="K12291" s="94" t="n">
        <v>3</v>
      </c>
      <c r="L12291" s="88" t="n">
        <v>201208</v>
      </c>
      <c r="M12291" s="88">
        <f>VLOOKUP($Q12291,매칭테이블!$F:$I,2,0)*K12291</f>
        <v/>
      </c>
      <c r="N12291" s="88">
        <f>M12291-M12291*VLOOKUP($Q12291,매칭테이블!$F:$I,3,0)</f>
        <v/>
      </c>
      <c r="O12291" s="88">
        <f>VLOOKUP($Q12291,매칭테이블!$F:$I,4,0)*K12291</f>
        <v/>
      </c>
      <c r="P12291" s="152">
        <f>M12291/1.1</f>
        <v/>
      </c>
      <c r="Q12291" s="88">
        <f>F12291&amp;E12291&amp;G12291&amp;L12291</f>
        <v/>
      </c>
    </row>
    <row r="12292" customFormat="1" s="94">
      <c r="B12292" s="128" t="n">
        <v>44183</v>
      </c>
      <c r="C12292" s="88">
        <f>TEXT(B12292,"aaa")</f>
        <v/>
      </c>
      <c r="E12292" s="88">
        <f>INDEX(매칭테이블!C:D,MATCH(RD!G12292,매칭테이블!D:D,0),1)</f>
        <v/>
      </c>
      <c r="F12292" s="94" t="inlineStr">
        <is>
          <t>카페24</t>
        </is>
      </c>
      <c r="G12292" s="94" t="inlineStr">
        <is>
          <t>어성초 77 수딩 토너토너(필수)=어성초 77 토너 1개-20% off</t>
        </is>
      </c>
      <c r="K12292" s="94" t="n">
        <v>31</v>
      </c>
      <c r="L12292" s="88" t="n">
        <v>201208</v>
      </c>
      <c r="M12292" s="88">
        <f>VLOOKUP($Q12292,매칭테이블!$F:$I,2,0)*K12292</f>
        <v/>
      </c>
      <c r="N12292" s="88">
        <f>M12292-M12292*VLOOKUP($Q12292,매칭테이블!$F:$I,3,0)</f>
        <v/>
      </c>
      <c r="O12292" s="88">
        <f>VLOOKUP($Q12292,매칭테이블!$F:$I,4,0)*K12292</f>
        <v/>
      </c>
      <c r="P12292" s="152">
        <f>M12292/1.1</f>
        <v/>
      </c>
      <c r="Q12292" s="88">
        <f>F12292&amp;E12292&amp;G12292&amp;L12292</f>
        <v/>
      </c>
    </row>
    <row r="12293" customFormat="1" s="94">
      <c r="B12293" s="128" t="n">
        <v>44183</v>
      </c>
      <c r="C12293" s="88">
        <f>TEXT(B12293,"aaa")</f>
        <v/>
      </c>
      <c r="E12293" s="88">
        <f>INDEX(매칭테이블!C:D,MATCH(RD!G12293,매칭테이블!D:D,0),1)</f>
        <v/>
      </c>
      <c r="F12293" s="94" t="inlineStr">
        <is>
          <t>카페24</t>
        </is>
      </c>
      <c r="G12293" s="94" t="inlineStr">
        <is>
          <t>어성초 77 수딩 토너토너(필수)=어성초 77 토너 2개-30% off (무료배송)</t>
        </is>
      </c>
      <c r="K12293" s="94" t="n">
        <v>24</v>
      </c>
      <c r="L12293" s="88" t="n">
        <v>201208</v>
      </c>
      <c r="M12293" s="88">
        <f>VLOOKUP($Q12293,매칭테이블!$F:$I,2,0)*K12293</f>
        <v/>
      </c>
      <c r="N12293" s="88">
        <f>M12293-M12293*VLOOKUP($Q12293,매칭테이블!$F:$I,3,0)</f>
        <v/>
      </c>
      <c r="O12293" s="88">
        <f>VLOOKUP($Q12293,매칭테이블!$F:$I,4,0)*K12293</f>
        <v/>
      </c>
      <c r="P12293" s="152">
        <f>M12293/1.1</f>
        <v/>
      </c>
      <c r="Q12293" s="88">
        <f>F12293&amp;E12293&amp;G12293&amp;L12293</f>
        <v/>
      </c>
    </row>
    <row r="12294" customFormat="1" s="94">
      <c r="B12294" s="128" t="n">
        <v>44183</v>
      </c>
      <c r="C12294" s="88">
        <f>TEXT(B12294,"aaa")</f>
        <v/>
      </c>
      <c r="E12294" s="88">
        <f>INDEX(매칭테이블!C:D,MATCH(RD!G12294,매칭테이블!D:D,0),1)</f>
        <v/>
      </c>
      <c r="F12294" s="94" t="inlineStr">
        <is>
          <t>카페24</t>
        </is>
      </c>
      <c r="G12294" s="94" t="inlineStr">
        <is>
          <t>어성초 77 수딩 토너토너(필수)=어성초77토너1개 + 어성초77패드1개 -30% off (무료배송)</t>
        </is>
      </c>
      <c r="K12294" s="94" t="n">
        <v>8</v>
      </c>
      <c r="L12294" s="88" t="n">
        <v>201208</v>
      </c>
      <c r="M12294" s="88">
        <f>VLOOKUP($Q12294,매칭테이블!$F:$I,2,0)*K12294</f>
        <v/>
      </c>
      <c r="N12294" s="88">
        <f>M12294-M12294*VLOOKUP($Q12294,매칭테이블!$F:$I,3,0)</f>
        <v/>
      </c>
      <c r="O12294" s="88">
        <f>VLOOKUP($Q12294,매칭테이블!$F:$I,4,0)*K12294</f>
        <v/>
      </c>
      <c r="P12294" s="152">
        <f>M12294/1.1</f>
        <v/>
      </c>
      <c r="Q12294" s="88">
        <f>F12294&amp;E12294&amp;G12294&amp;L12294</f>
        <v/>
      </c>
    </row>
    <row r="12295" customFormat="1" s="94">
      <c r="B12295" s="128" t="n">
        <v>44183</v>
      </c>
      <c r="C12295" s="88">
        <f>TEXT(B12295,"aaa")</f>
        <v/>
      </c>
      <c r="E12295" s="88">
        <f>INDEX(매칭테이블!C:D,MATCH(RD!G12295,매칭테이블!D:D,0),1)</f>
        <v/>
      </c>
      <c r="F12295" s="94" t="inlineStr">
        <is>
          <t>카페24</t>
        </is>
      </c>
      <c r="G12295" s="94" t="inlineStr">
        <is>
          <t>어성초 77 수딩 토너화장솜(선택)=촉촉 스킨팩 화장솜</t>
        </is>
      </c>
      <c r="K12295" s="94" t="n">
        <v>13</v>
      </c>
      <c r="L12295" s="88" t="n">
        <v>201208</v>
      </c>
      <c r="M12295" s="88">
        <f>VLOOKUP($Q12295,매칭테이블!$F:$I,2,0)*K12295</f>
        <v/>
      </c>
      <c r="N12295" s="88">
        <f>M12295-M12295*VLOOKUP($Q12295,매칭테이블!$F:$I,3,0)</f>
        <v/>
      </c>
      <c r="O12295" s="88">
        <f>VLOOKUP($Q12295,매칭테이블!$F:$I,4,0)*K12295</f>
        <v/>
      </c>
      <c r="P12295" s="152">
        <f>M12295/1.1</f>
        <v/>
      </c>
      <c r="Q12295" s="88">
        <f>F12295&amp;E12295&amp;G12295&amp;L12295</f>
        <v/>
      </c>
    </row>
    <row r="12296" customFormat="1" s="94">
      <c r="B12296" s="128" t="n">
        <v>44183</v>
      </c>
      <c r="C12296" s="88">
        <f>TEXT(B12296,"aaa")</f>
        <v/>
      </c>
      <c r="E12296" s="88">
        <f>INDEX(매칭테이블!C:D,MATCH(RD!G12296,매칭테이블!D:D,0),1)</f>
        <v/>
      </c>
      <c r="F12296" s="94" t="inlineStr">
        <is>
          <t>카페24</t>
        </is>
      </c>
      <c r="G12296" s="94" t="inlineStr">
        <is>
          <t>어성초 77 수딩 토너토너(필수)=어성초 77 토너 1개-20% off</t>
        </is>
      </c>
      <c r="K12296" s="94" t="n">
        <v>1</v>
      </c>
      <c r="L12296" s="88" t="n">
        <v>201208</v>
      </c>
      <c r="M12296" s="88">
        <f>VLOOKUP($Q12296,매칭테이블!$F:$I,2,0)*K12296</f>
        <v/>
      </c>
      <c r="N12296" s="88">
        <f>M12296-M12296*VLOOKUP($Q12296,매칭테이블!$F:$I,3,0)</f>
        <v/>
      </c>
      <c r="O12296" s="88">
        <f>VLOOKUP($Q12296,매칭테이블!$F:$I,4,0)*K12296</f>
        <v/>
      </c>
      <c r="P12296" s="152">
        <f>M12296/1.1</f>
        <v/>
      </c>
      <c r="Q12296" s="88">
        <f>F12296&amp;E12296&amp;G12296&amp;L12296</f>
        <v/>
      </c>
    </row>
    <row r="12297" customFormat="1" s="94">
      <c r="B12297" s="128" t="n">
        <v>44183</v>
      </c>
      <c r="C12297" s="88">
        <f>TEXT(B12297,"aaa")</f>
        <v/>
      </c>
      <c r="E12297" s="88">
        <f>INDEX(매칭테이블!C:D,MATCH(RD!G12297,매칭테이블!D:D,0),1)</f>
        <v/>
      </c>
      <c r="F12297" s="94" t="inlineStr">
        <is>
          <t>카페24</t>
        </is>
      </c>
      <c r="G12297" s="94" t="inlineStr">
        <is>
          <t>어성초 77 수딩 토너토너(필수)=(대용량) 어성초 77 토너 500ml (무료배송)</t>
        </is>
      </c>
      <c r="K12297" s="94" t="n">
        <v>2</v>
      </c>
      <c r="L12297" s="88" t="n">
        <v>201208</v>
      </c>
      <c r="M12297" s="88">
        <f>VLOOKUP($Q12297,매칭테이블!$F:$I,2,0)*K12297</f>
        <v/>
      </c>
      <c r="N12297" s="88">
        <f>M12297-M12297*VLOOKUP($Q12297,매칭테이블!$F:$I,3,0)</f>
        <v/>
      </c>
      <c r="O12297" s="88">
        <f>VLOOKUP($Q12297,매칭테이블!$F:$I,4,0)*K12297</f>
        <v/>
      </c>
      <c r="P12297" s="152">
        <f>M12297/1.1</f>
        <v/>
      </c>
      <c r="Q12297" s="88">
        <f>F12297&amp;E12297&amp;G12297&amp;L12297</f>
        <v/>
      </c>
    </row>
    <row r="12298" customFormat="1" s="94">
      <c r="B12298" s="128" t="n">
        <v>44183</v>
      </c>
      <c r="C12298" s="88">
        <f>TEXT(B12298,"aaa")</f>
        <v/>
      </c>
      <c r="E12298" s="88">
        <f>INDEX(매칭테이블!C:D,MATCH(RD!G12298,매칭테이블!D:D,0),1)</f>
        <v/>
      </c>
      <c r="F12298" s="94" t="inlineStr">
        <is>
          <t>카페24</t>
        </is>
      </c>
      <c r="G12298" s="94" t="inlineStr">
        <is>
          <t>어성초 77 진정 마스크옵션=어성초 77 진정 마스크팩 1장</t>
        </is>
      </c>
      <c r="K12298" s="94" t="n">
        <v>1</v>
      </c>
      <c r="L12298" s="88" t="n">
        <v>201208</v>
      </c>
      <c r="M12298" s="88">
        <f>VLOOKUP($Q12298,매칭테이블!$F:$I,2,0)*K12298</f>
        <v/>
      </c>
      <c r="N12298" s="88">
        <f>M12298-M12298*VLOOKUP($Q12298,매칭테이블!$F:$I,3,0)</f>
        <v/>
      </c>
      <c r="O12298" s="88">
        <f>VLOOKUP($Q12298,매칭테이블!$F:$I,4,0)*K12298</f>
        <v/>
      </c>
      <c r="P12298" s="152">
        <f>M12298/1.1</f>
        <v/>
      </c>
      <c r="Q12298" s="88">
        <f>F12298&amp;E12298&amp;G12298&amp;L12298</f>
        <v/>
      </c>
    </row>
    <row r="12299" customFormat="1" s="94">
      <c r="B12299" s="128" t="n">
        <v>44183</v>
      </c>
      <c r="C12299" s="88">
        <f>TEXT(B12299,"aaa")</f>
        <v/>
      </c>
      <c r="E12299" s="88">
        <f>INDEX(매칭테이블!C:D,MATCH(RD!G12299,매칭테이블!D:D,0),1)</f>
        <v/>
      </c>
      <c r="F12299" s="94" t="inlineStr">
        <is>
          <t>카페24</t>
        </is>
      </c>
      <c r="G12299" s="94" t="inlineStr">
        <is>
          <t>어성초 77 진정 마스크옵션=어성초 77 진정 마스크팩 10장-50% off</t>
        </is>
      </c>
      <c r="K12299" s="94" t="n">
        <v>8</v>
      </c>
      <c r="L12299" s="88" t="n">
        <v>201208</v>
      </c>
      <c r="M12299" s="88">
        <f>VLOOKUP($Q12299,매칭테이블!$F:$I,2,0)*K12299</f>
        <v/>
      </c>
      <c r="N12299" s="88">
        <f>M12299-M12299*VLOOKUP($Q12299,매칭테이블!$F:$I,3,0)</f>
        <v/>
      </c>
      <c r="O12299" s="88">
        <f>VLOOKUP($Q12299,매칭테이블!$F:$I,4,0)*K12299</f>
        <v/>
      </c>
      <c r="P12299" s="152">
        <f>M12299/1.1</f>
        <v/>
      </c>
      <c r="Q12299" s="88">
        <f>F12299&amp;E12299&amp;G12299&amp;L12299</f>
        <v/>
      </c>
    </row>
    <row r="12300" customFormat="1" s="94">
      <c r="B12300" s="128" t="n">
        <v>44183</v>
      </c>
      <c r="C12300" s="88">
        <f>TEXT(B12300,"aaa")</f>
        <v/>
      </c>
      <c r="E12300" s="88">
        <f>INDEX(매칭테이블!C:D,MATCH(RD!G12300,매칭테이블!D:D,0),1)</f>
        <v/>
      </c>
      <c r="F12300" s="94" t="inlineStr">
        <is>
          <t>카페24</t>
        </is>
      </c>
      <c r="G12300" s="94" t="inlineStr">
        <is>
          <t>어성초 77 진정 마스크</t>
        </is>
      </c>
      <c r="K12300" s="94" t="n">
        <v>1</v>
      </c>
      <c r="L12300" s="88" t="n">
        <v>201208</v>
      </c>
      <c r="M12300" s="88">
        <f>VLOOKUP($Q12300,매칭테이블!$F:$I,2,0)*K12300</f>
        <v/>
      </c>
      <c r="N12300" s="88">
        <f>M12300-M12300*VLOOKUP($Q12300,매칭테이블!$F:$I,3,0)</f>
        <v/>
      </c>
      <c r="O12300" s="88">
        <f>VLOOKUP($Q12300,매칭테이블!$F:$I,4,0)*K12300</f>
        <v/>
      </c>
      <c r="P12300" s="152">
        <f>M12300/1.1</f>
        <v/>
      </c>
      <c r="Q12300" s="88">
        <f>F12300&amp;E12300&amp;G12300&amp;L12300</f>
        <v/>
      </c>
    </row>
    <row r="12301" customFormat="1" s="94">
      <c r="B12301" s="128" t="n">
        <v>44183</v>
      </c>
      <c r="C12301" s="88">
        <f>TEXT(B12301,"aaa")</f>
        <v/>
      </c>
      <c r="E12301" s="88">
        <f>INDEX(매칭테이블!C:D,MATCH(RD!G12301,매칭테이블!D:D,0),1)</f>
        <v/>
      </c>
      <c r="F12301" s="94" t="inlineStr">
        <is>
          <t>카페24</t>
        </is>
      </c>
      <c r="G12301" s="94" t="inlineStr">
        <is>
          <t>어성초 77 클리어 패드옵션=어성초 77 클리어 패드 1개-20% off</t>
        </is>
      </c>
      <c r="K12301" s="94" t="n">
        <v>23</v>
      </c>
      <c r="L12301" s="88" t="n">
        <v>201208</v>
      </c>
      <c r="M12301" s="88">
        <f>VLOOKUP($Q12301,매칭테이블!$F:$I,2,0)*K12301</f>
        <v/>
      </c>
      <c r="N12301" s="88">
        <f>M12301-M12301*VLOOKUP($Q12301,매칭테이블!$F:$I,3,0)</f>
        <v/>
      </c>
      <c r="O12301" s="88">
        <f>VLOOKUP($Q12301,매칭테이블!$F:$I,4,0)*K12301</f>
        <v/>
      </c>
      <c r="P12301" s="152">
        <f>M12301/1.1</f>
        <v/>
      </c>
      <c r="Q12301" s="88">
        <f>F12301&amp;E12301&amp;G12301&amp;L12301</f>
        <v/>
      </c>
    </row>
    <row r="12302" customFormat="1" s="94">
      <c r="B12302" s="128" t="n">
        <v>44183</v>
      </c>
      <c r="C12302" s="88">
        <f>TEXT(B12302,"aaa")</f>
        <v/>
      </c>
      <c r="E12302" s="88">
        <f>INDEX(매칭테이블!C:D,MATCH(RD!G12302,매칭테이블!D:D,0),1)</f>
        <v/>
      </c>
      <c r="F12302" s="94" t="inlineStr">
        <is>
          <t>카페24</t>
        </is>
      </c>
      <c r="G12302" s="94" t="inlineStr">
        <is>
          <t>어성초 77 클리어 패드옵션=어성초 77 클리어 패드 2개-30% off (무료배송)</t>
        </is>
      </c>
      <c r="K12302" s="94" t="n">
        <v>25</v>
      </c>
      <c r="L12302" s="88" t="n">
        <v>201208</v>
      </c>
      <c r="M12302" s="88">
        <f>VLOOKUP($Q12302,매칭테이블!$F:$I,2,0)*K12302</f>
        <v/>
      </c>
      <c r="N12302" s="88">
        <f>M12302-M12302*VLOOKUP($Q12302,매칭테이블!$F:$I,3,0)</f>
        <v/>
      </c>
      <c r="O12302" s="88">
        <f>VLOOKUP($Q12302,매칭테이블!$F:$I,4,0)*K12302</f>
        <v/>
      </c>
      <c r="P12302" s="152">
        <f>M12302/1.1</f>
        <v/>
      </c>
      <c r="Q12302" s="88">
        <f>F12302&amp;E12302&amp;G12302&amp;L12302</f>
        <v/>
      </c>
    </row>
    <row r="12303" customFormat="1" s="94">
      <c r="B12303" s="128" t="n">
        <v>44183</v>
      </c>
      <c r="C12303" s="88">
        <f>TEXT(B12303,"aaa")</f>
        <v/>
      </c>
      <c r="E12303" s="88">
        <f>INDEX(매칭테이블!C:D,MATCH(RD!G12303,매칭테이블!D:D,0),1)</f>
        <v/>
      </c>
      <c r="F12303" s="94" t="inlineStr">
        <is>
          <t>카페24</t>
        </is>
      </c>
      <c r="G12303" s="94" t="inlineStr">
        <is>
          <t>어성초 77 클리어 패드옵션=어성초77토너1개+어성초77패드1개-30% off (무료배송)</t>
        </is>
      </c>
      <c r="K12303" s="94" t="n">
        <v>33</v>
      </c>
      <c r="L12303" s="88" t="n">
        <v>201208</v>
      </c>
      <c r="M12303" s="88">
        <f>VLOOKUP($Q12303,매칭테이블!$F:$I,2,0)*K12303</f>
        <v/>
      </c>
      <c r="N12303" s="88">
        <f>M12303-M12303*VLOOKUP($Q12303,매칭테이블!$F:$I,3,0)</f>
        <v/>
      </c>
      <c r="O12303" s="88">
        <f>VLOOKUP($Q12303,매칭테이블!$F:$I,4,0)*K12303</f>
        <v/>
      </c>
      <c r="P12303" s="152">
        <f>M12303/1.1</f>
        <v/>
      </c>
      <c r="Q12303" s="88">
        <f>F12303&amp;E12303&amp;G12303&amp;L12303</f>
        <v/>
      </c>
    </row>
    <row r="12304" customFormat="1" s="94">
      <c r="B12304" s="128" t="n">
        <v>44183</v>
      </c>
      <c r="C12304" s="88">
        <f>TEXT(B12304,"aaa")</f>
        <v/>
      </c>
      <c r="E12304" s="88">
        <f>INDEX(매칭테이블!C:D,MATCH(RD!G12304,매칭테이블!D:D,0),1)</f>
        <v/>
      </c>
      <c r="F12304" s="94" t="inlineStr">
        <is>
          <t>카페24</t>
        </is>
      </c>
      <c r="G12304" s="94" t="inlineStr">
        <is>
          <t>어성초 77 포어 클리어 패드옵션=어성초 77 클리어 패드 1개-20% off</t>
        </is>
      </c>
      <c r="K12304" s="94" t="n">
        <v>3</v>
      </c>
      <c r="L12304" s="88" t="n">
        <v>201208</v>
      </c>
      <c r="M12304" s="88">
        <f>VLOOKUP($Q12304,매칭테이블!$F:$I,2,0)*K12304</f>
        <v/>
      </c>
      <c r="N12304" s="88">
        <f>M12304-M12304*VLOOKUP($Q12304,매칭테이블!$F:$I,3,0)</f>
        <v/>
      </c>
      <c r="O12304" s="88">
        <f>VLOOKUP($Q12304,매칭테이블!$F:$I,4,0)*K12304</f>
        <v/>
      </c>
      <c r="P12304" s="152">
        <f>M12304/1.1</f>
        <v/>
      </c>
      <c r="Q12304" s="88">
        <f>F12304&amp;E12304&amp;G12304&amp;L12304</f>
        <v/>
      </c>
    </row>
    <row r="12305" customFormat="1" s="94">
      <c r="B12305" s="128" t="n">
        <v>44183</v>
      </c>
      <c r="C12305" s="88">
        <f>TEXT(B12305,"aaa")</f>
        <v/>
      </c>
      <c r="E12305" s="88">
        <f>INDEX(매칭테이블!C:D,MATCH(RD!G12305,매칭테이블!D:D,0),1)</f>
        <v/>
      </c>
      <c r="F12305" s="94" t="inlineStr">
        <is>
          <t>카페24</t>
        </is>
      </c>
      <c r="G12305" s="94" t="inlineStr">
        <is>
          <t>어성초 77 포어 클리어 패드옵션=어성초 77 클리어 패드 2개-30% off (무료배송)</t>
        </is>
      </c>
      <c r="K12305" s="94" t="n">
        <v>7</v>
      </c>
      <c r="L12305" s="88" t="n">
        <v>201208</v>
      </c>
      <c r="M12305" s="88">
        <f>VLOOKUP($Q12305,매칭테이블!$F:$I,2,0)*K12305</f>
        <v/>
      </c>
      <c r="N12305" s="88">
        <f>M12305-M12305*VLOOKUP($Q12305,매칭테이블!$F:$I,3,0)</f>
        <v/>
      </c>
      <c r="O12305" s="88">
        <f>VLOOKUP($Q12305,매칭테이블!$F:$I,4,0)*K12305</f>
        <v/>
      </c>
      <c r="P12305" s="152">
        <f>M12305/1.1</f>
        <v/>
      </c>
      <c r="Q12305" s="88">
        <f>F12305&amp;E12305&amp;G12305&amp;L12305</f>
        <v/>
      </c>
    </row>
    <row r="12306" customFormat="1" s="94">
      <c r="B12306" s="128" t="n">
        <v>44183</v>
      </c>
      <c r="C12306" s="88">
        <f>TEXT(B12306,"aaa")</f>
        <v/>
      </c>
      <c r="E12306" s="88">
        <f>INDEX(매칭테이블!C:D,MATCH(RD!G12306,매칭테이블!D:D,0),1)</f>
        <v/>
      </c>
      <c r="F12306" s="94" t="inlineStr">
        <is>
          <t>카페24</t>
        </is>
      </c>
      <c r="G12306" s="94" t="inlineStr">
        <is>
          <t>어성초 77 포어 클리어 패드옵션=어성초77토너1개+어성초77패드1개-30% off (무료배송)</t>
        </is>
      </c>
      <c r="K12306" s="94" t="n">
        <v>2</v>
      </c>
      <c r="L12306" s="88" t="n">
        <v>201208</v>
      </c>
      <c r="M12306" s="88">
        <f>VLOOKUP($Q12306,매칭테이블!$F:$I,2,0)*K12306</f>
        <v/>
      </c>
      <c r="N12306" s="88">
        <f>M12306-M12306*VLOOKUP($Q12306,매칭테이블!$F:$I,3,0)</f>
        <v/>
      </c>
      <c r="O12306" s="88">
        <f>VLOOKUP($Q12306,매칭테이블!$F:$I,4,0)*K12306</f>
        <v/>
      </c>
      <c r="P12306" s="152">
        <f>M12306/1.1</f>
        <v/>
      </c>
      <c r="Q12306" s="88">
        <f>F12306&amp;E12306&amp;G12306&amp;L12306</f>
        <v/>
      </c>
    </row>
    <row r="12307" customFormat="1" s="94">
      <c r="B12307" s="128" t="n">
        <v>44183</v>
      </c>
      <c r="C12307" s="88">
        <f>TEXT(B12307,"aaa")</f>
        <v/>
      </c>
      <c r="E12307" s="88">
        <f>INDEX(매칭테이블!C:D,MATCH(RD!G12307,매칭테이블!D:D,0),1)</f>
        <v/>
      </c>
      <c r="F12307" s="94" t="inlineStr">
        <is>
          <t>카페24</t>
        </is>
      </c>
      <c r="G12307" s="94" t="inlineStr">
        <is>
          <t>어성초 77% 패드옵션=어성초 77 클리어 패드 1개-20% off</t>
        </is>
      </c>
      <c r="K12307" s="94" t="n">
        <v>42</v>
      </c>
      <c r="L12307" s="88" t="n">
        <v>201208</v>
      </c>
      <c r="M12307" s="88">
        <f>VLOOKUP($Q12307,매칭테이블!$F:$I,2,0)*K12307</f>
        <v/>
      </c>
      <c r="N12307" s="88">
        <f>M12307-M12307*VLOOKUP($Q12307,매칭테이블!$F:$I,3,0)</f>
        <v/>
      </c>
      <c r="O12307" s="88">
        <f>VLOOKUP($Q12307,매칭테이블!$F:$I,4,0)*K12307</f>
        <v/>
      </c>
      <c r="P12307" s="152">
        <f>M12307/1.1</f>
        <v/>
      </c>
      <c r="Q12307" s="88">
        <f>F12307&amp;E12307&amp;G12307&amp;L12307</f>
        <v/>
      </c>
    </row>
    <row r="12308" customFormat="1" s="94">
      <c r="B12308" s="128" t="n">
        <v>44183</v>
      </c>
      <c r="C12308" s="88">
        <f>TEXT(B12308,"aaa")</f>
        <v/>
      </c>
      <c r="E12308" s="88">
        <f>INDEX(매칭테이블!C:D,MATCH(RD!G12308,매칭테이블!D:D,0),1)</f>
        <v/>
      </c>
      <c r="F12308" s="94" t="inlineStr">
        <is>
          <t>카페24</t>
        </is>
      </c>
      <c r="G12308" s="94" t="inlineStr">
        <is>
          <t>어성초 77% 패드옵션=어성초 77 클리어 패드 2개-30% off (무료배송)</t>
        </is>
      </c>
      <c r="K12308" s="94" t="n">
        <v>48</v>
      </c>
      <c r="L12308" s="88" t="n">
        <v>201208</v>
      </c>
      <c r="M12308" s="88">
        <f>VLOOKUP($Q12308,매칭테이블!$F:$I,2,0)*K12308</f>
        <v/>
      </c>
      <c r="N12308" s="88">
        <f>M12308-M12308*VLOOKUP($Q12308,매칭테이블!$F:$I,3,0)</f>
        <v/>
      </c>
      <c r="O12308" s="88">
        <f>VLOOKUP($Q12308,매칭테이블!$F:$I,4,0)*K12308</f>
        <v/>
      </c>
      <c r="P12308" s="152">
        <f>M12308/1.1</f>
        <v/>
      </c>
      <c r="Q12308" s="88">
        <f>F12308&amp;E12308&amp;G12308&amp;L12308</f>
        <v/>
      </c>
    </row>
    <row r="12309" customFormat="1" s="94">
      <c r="B12309" s="128" t="n">
        <v>44183</v>
      </c>
      <c r="C12309" s="88">
        <f>TEXT(B12309,"aaa")</f>
        <v/>
      </c>
      <c r="E12309" s="88">
        <f>INDEX(매칭테이블!C:D,MATCH(RD!G12309,매칭테이블!D:D,0),1)</f>
        <v/>
      </c>
      <c r="F12309" s="94" t="inlineStr">
        <is>
          <t>카페24</t>
        </is>
      </c>
      <c r="G12309" s="94" t="inlineStr">
        <is>
          <t>어성초 77% 패드옵션=어성초77토너1개+어성초77패드1개-30% off (무료배송)</t>
        </is>
      </c>
      <c r="K12309" s="94" t="n">
        <v>21</v>
      </c>
      <c r="L12309" s="88" t="n">
        <v>201208</v>
      </c>
      <c r="M12309" s="88">
        <f>VLOOKUP($Q12309,매칭테이블!$F:$I,2,0)*K12309</f>
        <v/>
      </c>
      <c r="N12309" s="88">
        <f>M12309-M12309*VLOOKUP($Q12309,매칭테이블!$F:$I,3,0)</f>
        <v/>
      </c>
      <c r="O12309" s="88">
        <f>VLOOKUP($Q12309,매칭테이블!$F:$I,4,0)*K12309</f>
        <v/>
      </c>
      <c r="P12309" s="152">
        <f>M12309/1.1</f>
        <v/>
      </c>
      <c r="Q12309" s="88">
        <f>F12309&amp;E12309&amp;G12309&amp;L12309</f>
        <v/>
      </c>
    </row>
    <row r="12310" customFormat="1" s="94">
      <c r="B12310" s="128" t="n">
        <v>44183</v>
      </c>
      <c r="C12310" s="88">
        <f>TEXT(B12310,"aaa")</f>
        <v/>
      </c>
      <c r="E12310" s="88">
        <f>INDEX(매칭테이블!C:D,MATCH(RD!G12310,매칭테이블!D:D,0),1)</f>
        <v/>
      </c>
      <c r="F12310" s="94" t="inlineStr">
        <is>
          <t>카페24</t>
        </is>
      </c>
      <c r="G12310" s="94" t="inlineStr">
        <is>
          <t>어성초 78 수딩 크림</t>
        </is>
      </c>
      <c r="K12310" s="94" t="n">
        <v>5</v>
      </c>
      <c r="L12310" s="88" t="n">
        <v>201208</v>
      </c>
      <c r="M12310" s="88">
        <f>VLOOKUP($Q12310,매칭테이블!$F:$I,2,0)*K12310</f>
        <v/>
      </c>
      <c r="N12310" s="88">
        <f>M12310-M12310*VLOOKUP($Q12310,매칭테이블!$F:$I,3,0)</f>
        <v/>
      </c>
      <c r="O12310" s="88">
        <f>VLOOKUP($Q12310,매칭테이블!$F:$I,4,0)*K12310</f>
        <v/>
      </c>
      <c r="P12310" s="152">
        <f>M12310/1.1</f>
        <v/>
      </c>
      <c r="Q12310" s="88">
        <f>F12310&amp;E12310&amp;G12310&amp;L12310</f>
        <v/>
      </c>
    </row>
    <row r="12311" customFormat="1" s="94">
      <c r="B12311" s="128" t="n">
        <v>44183</v>
      </c>
      <c r="C12311" s="88">
        <f>TEXT(B12311,"aaa")</f>
        <v/>
      </c>
      <c r="E12311" s="88">
        <f>INDEX(매칭테이블!C:D,MATCH(RD!G12311,매칭테이블!D:D,0),1)</f>
        <v/>
      </c>
      <c r="F12311" s="94" t="inlineStr">
        <is>
          <t>카페24</t>
        </is>
      </c>
      <c r="G12311" s="94" t="inlineStr">
        <is>
          <t>어성초 78 수딩 크림</t>
        </is>
      </c>
      <c r="K12311" s="94" t="n">
        <v>1</v>
      </c>
      <c r="L12311" s="88" t="n">
        <v>201208</v>
      </c>
      <c r="M12311" s="88">
        <f>VLOOKUP($Q12311,매칭테이블!$F:$I,2,0)*K12311</f>
        <v/>
      </c>
      <c r="N12311" s="88">
        <f>M12311-M12311*VLOOKUP($Q12311,매칭테이블!$F:$I,3,0)</f>
        <v/>
      </c>
      <c r="O12311" s="88">
        <f>VLOOKUP($Q12311,매칭테이블!$F:$I,4,0)*K12311</f>
        <v/>
      </c>
      <c r="P12311" s="152">
        <f>M12311/1.1</f>
        <v/>
      </c>
      <c r="Q12311" s="88">
        <f>F12311&amp;E12311&amp;G12311&amp;L12311</f>
        <v/>
      </c>
    </row>
    <row r="12312" customFormat="1" s="94">
      <c r="B12312" s="128" t="n">
        <v>44183</v>
      </c>
      <c r="C12312" s="88">
        <f>TEXT(B12312,"aaa")</f>
        <v/>
      </c>
      <c r="E12312" s="88">
        <f>INDEX(매칭테이블!C:D,MATCH(RD!G12312,매칭테이블!D:D,0),1)</f>
        <v/>
      </c>
      <c r="F12312" s="94" t="inlineStr">
        <is>
          <t>카페24</t>
        </is>
      </c>
      <c r="G12312" s="94" t="inlineStr">
        <is>
          <t>어성초 80 수분 진정 앰플앰플=어성초 80 앰플 1개-15%off</t>
        </is>
      </c>
      <c r="K12312" s="94" t="n">
        <v>19</v>
      </c>
      <c r="L12312" s="88" t="n">
        <v>201208</v>
      </c>
      <c r="M12312" s="88">
        <f>VLOOKUP($Q12312,매칭테이블!$F:$I,2,0)*K12312</f>
        <v/>
      </c>
      <c r="N12312" s="88">
        <f>M12312-M12312*VLOOKUP($Q12312,매칭테이블!$F:$I,3,0)</f>
        <v/>
      </c>
      <c r="O12312" s="88">
        <f>VLOOKUP($Q12312,매칭테이블!$F:$I,4,0)*K12312</f>
        <v/>
      </c>
      <c r="P12312" s="152">
        <f>M12312/1.1</f>
        <v/>
      </c>
      <c r="Q12312" s="88">
        <f>F12312&amp;E12312&amp;G12312&amp;L12312</f>
        <v/>
      </c>
    </row>
    <row r="12313" customFormat="1" s="94">
      <c r="B12313" s="128" t="n">
        <v>44183</v>
      </c>
      <c r="C12313" s="88">
        <f>TEXT(B12313,"aaa")</f>
        <v/>
      </c>
      <c r="E12313" s="88">
        <f>INDEX(매칭테이블!C:D,MATCH(RD!G12313,매칭테이블!D:D,0),1)</f>
        <v/>
      </c>
      <c r="F12313" s="94" t="inlineStr">
        <is>
          <t>카페24</t>
        </is>
      </c>
      <c r="G12313" s="94" t="inlineStr">
        <is>
          <t>어성초 80 수분 진정 앰플앰플=어성초 80 앰플 2개-27%off (무료배송)</t>
        </is>
      </c>
      <c r="K12313" s="94" t="n">
        <v>6</v>
      </c>
      <c r="L12313" s="88" t="n">
        <v>201208</v>
      </c>
      <c r="M12313" s="88">
        <f>VLOOKUP($Q12313,매칭테이블!$F:$I,2,0)*K12313</f>
        <v/>
      </c>
      <c r="N12313" s="88">
        <f>M12313-M12313*VLOOKUP($Q12313,매칭테이블!$F:$I,3,0)</f>
        <v/>
      </c>
      <c r="O12313" s="88">
        <f>VLOOKUP($Q12313,매칭테이블!$F:$I,4,0)*K12313</f>
        <v/>
      </c>
      <c r="P12313" s="152">
        <f>M12313/1.1</f>
        <v/>
      </c>
      <c r="Q12313" s="88">
        <f>F12313&amp;E12313&amp;G12313&amp;L12313</f>
        <v/>
      </c>
    </row>
    <row r="12314" customFormat="1" s="94">
      <c r="B12314" s="128" t="n">
        <v>44183</v>
      </c>
      <c r="C12314" s="88">
        <f>TEXT(B12314,"aaa")</f>
        <v/>
      </c>
      <c r="E12314" s="88">
        <f>INDEX(매칭테이블!C:D,MATCH(RD!G12314,매칭테이블!D:D,0),1)</f>
        <v/>
      </c>
      <c r="F12314" s="94" t="inlineStr">
        <is>
          <t>카페24</t>
        </is>
      </c>
      <c r="G12314" s="94" t="inlineStr">
        <is>
          <t>어성초 80 수분 진정 앰플</t>
        </is>
      </c>
      <c r="K12314" s="94" t="n">
        <v>1</v>
      </c>
      <c r="L12314" s="88" t="n">
        <v>201208</v>
      </c>
      <c r="M12314" s="88">
        <f>VLOOKUP($Q12314,매칭테이블!$F:$I,2,0)*K12314</f>
        <v/>
      </c>
      <c r="N12314" s="88">
        <f>M12314-M12314*VLOOKUP($Q12314,매칭테이블!$F:$I,3,0)</f>
        <v/>
      </c>
      <c r="O12314" s="88">
        <f>VLOOKUP($Q12314,매칭테이블!$F:$I,4,0)*K12314</f>
        <v/>
      </c>
      <c r="P12314" s="152">
        <f>M12314/1.1</f>
        <v/>
      </c>
      <c r="Q12314" s="88">
        <f>F12314&amp;E12314&amp;G12314&amp;L12314</f>
        <v/>
      </c>
    </row>
    <row r="12315" customFormat="1" s="94">
      <c r="B12315" s="128" t="n">
        <v>44183</v>
      </c>
      <c r="C12315" s="88">
        <f>TEXT(B12315,"aaa")</f>
        <v/>
      </c>
      <c r="E12315" s="88">
        <f>INDEX(매칭테이블!C:D,MATCH(RD!G12315,매칭테이블!D:D,0),1)</f>
        <v/>
      </c>
      <c r="F12315" s="94" t="inlineStr">
        <is>
          <t>카페24</t>
        </is>
      </c>
      <c r="G12315" s="94" t="inlineStr">
        <is>
          <t>어성초 아크네 바디워시옵션=어성초 아크네 바디워시 1개 -30% off</t>
        </is>
      </c>
      <c r="K12315" s="94" t="n">
        <v>3</v>
      </c>
      <c r="L12315" s="88" t="n">
        <v>201208</v>
      </c>
      <c r="M12315" s="88">
        <f>VLOOKUP($Q12315,매칭테이블!$F:$I,2,0)*K12315</f>
        <v/>
      </c>
      <c r="N12315" s="88">
        <f>M12315-M12315*VLOOKUP($Q12315,매칭테이블!$F:$I,3,0)</f>
        <v/>
      </c>
      <c r="O12315" s="88">
        <f>VLOOKUP($Q12315,매칭테이블!$F:$I,4,0)*K12315</f>
        <v/>
      </c>
      <c r="P12315" s="152">
        <f>M12315/1.1</f>
        <v/>
      </c>
      <c r="Q12315" s="88">
        <f>F12315&amp;E12315&amp;G12315&amp;L12315</f>
        <v/>
      </c>
    </row>
    <row r="12316" customFormat="1" s="94">
      <c r="B12316" s="128" t="n">
        <v>44183</v>
      </c>
      <c r="C12316" s="88">
        <f>TEXT(B12316,"aaa")</f>
        <v/>
      </c>
      <c r="E12316" s="88">
        <f>INDEX(매칭테이블!C:D,MATCH(RD!G12316,매칭테이블!D:D,0),1)</f>
        <v/>
      </c>
      <c r="F12316" s="94" t="inlineStr">
        <is>
          <t>카페24</t>
        </is>
      </c>
      <c r="G12316" s="94" t="inlineStr">
        <is>
          <t>어성초 약산성 클렌징폼클렌징폼=어성초 약산성 클렌징폼 1개 -19%off</t>
        </is>
      </c>
      <c r="K12316" s="94" t="n">
        <v>6</v>
      </c>
      <c r="L12316" s="88" t="n">
        <v>201208</v>
      </c>
      <c r="M12316" s="88">
        <f>VLOOKUP($Q12316,매칭테이블!$F:$I,2,0)*K12316</f>
        <v/>
      </c>
      <c r="N12316" s="88">
        <f>M12316-M12316*VLOOKUP($Q12316,매칭테이블!$F:$I,3,0)</f>
        <v/>
      </c>
      <c r="O12316" s="88">
        <f>VLOOKUP($Q12316,매칭테이블!$F:$I,4,0)*K12316</f>
        <v/>
      </c>
      <c r="P12316" s="152">
        <f>M12316/1.1</f>
        <v/>
      </c>
      <c r="Q12316" s="88">
        <f>F12316&amp;E12316&amp;G12316&amp;L12316</f>
        <v/>
      </c>
    </row>
    <row r="12317" customFormat="1" s="94">
      <c r="B12317" s="128" t="n">
        <v>44183</v>
      </c>
      <c r="C12317" s="88">
        <f>TEXT(B12317,"aaa")</f>
        <v/>
      </c>
      <c r="E12317" s="88">
        <f>INDEX(매칭테이블!C:D,MATCH(RD!G12317,매칭테이블!D:D,0),1)</f>
        <v/>
      </c>
      <c r="F12317" s="94" t="inlineStr">
        <is>
          <t>카페24</t>
        </is>
      </c>
      <c r="G12317" s="94" t="inlineStr">
        <is>
          <t>어성초 약산성 클렌징폼클렌징폼=어성초 약산성 클렌징폼 2개 -25%off</t>
        </is>
      </c>
      <c r="K12317" s="94" t="n">
        <v>2</v>
      </c>
      <c r="L12317" s="88" t="n">
        <v>201208</v>
      </c>
      <c r="M12317" s="88">
        <f>VLOOKUP($Q12317,매칭테이블!$F:$I,2,0)*K12317</f>
        <v/>
      </c>
      <c r="N12317" s="88">
        <f>M12317-M12317*VLOOKUP($Q12317,매칭테이블!$F:$I,3,0)</f>
        <v/>
      </c>
      <c r="O12317" s="88">
        <f>VLOOKUP($Q12317,매칭테이블!$F:$I,4,0)*K12317</f>
        <v/>
      </c>
      <c r="P12317" s="152">
        <f>M12317/1.1</f>
        <v/>
      </c>
      <c r="Q12317" s="88">
        <f>F12317&amp;E12317&amp;G12317&amp;L12317</f>
        <v/>
      </c>
    </row>
    <row r="12318" customFormat="1" s="94">
      <c r="B12318" s="128" t="n">
        <v>44183</v>
      </c>
      <c r="C12318" s="88">
        <f>TEXT(B12318,"aaa")</f>
        <v/>
      </c>
      <c r="E12318" s="88">
        <f>INDEX(매칭테이블!C:D,MATCH(RD!G12318,매칭테이블!D:D,0),1)</f>
        <v/>
      </c>
      <c r="F12318" s="94" t="inlineStr">
        <is>
          <t>카페24</t>
        </is>
      </c>
      <c r="G12318" s="94" t="inlineStr">
        <is>
          <t>어성초 약산성 클렌징폼클렌징폼=어성초 약산성 클렌징폼 3개 -31%off (무료배송)</t>
        </is>
      </c>
      <c r="K12318" s="94" t="n">
        <v>2</v>
      </c>
      <c r="L12318" s="88" t="n">
        <v>201208</v>
      </c>
      <c r="M12318" s="88">
        <f>VLOOKUP($Q12318,매칭테이블!$F:$I,2,0)*K12318</f>
        <v/>
      </c>
      <c r="N12318" s="88">
        <f>M12318-M12318*VLOOKUP($Q12318,매칭테이블!$F:$I,3,0)</f>
        <v/>
      </c>
      <c r="O12318" s="88">
        <f>VLOOKUP($Q12318,매칭테이블!$F:$I,4,0)*K12318</f>
        <v/>
      </c>
      <c r="P12318" s="152">
        <f>M12318/1.1</f>
        <v/>
      </c>
      <c r="Q12318" s="88">
        <f>F12318&amp;E12318&amp;G12318&amp;L12318</f>
        <v/>
      </c>
    </row>
    <row r="12319" customFormat="1" s="94">
      <c r="B12319" s="128" t="n">
        <v>44183</v>
      </c>
      <c r="C12319" s="88">
        <f>TEXT(B12319,"aaa")</f>
        <v/>
      </c>
      <c r="E12319" s="88">
        <f>INDEX(매칭테이블!C:D,MATCH(RD!G12319,매칭테이블!D:D,0),1)</f>
        <v/>
      </c>
      <c r="F12319" s="94" t="inlineStr">
        <is>
          <t>카페24</t>
        </is>
      </c>
      <c r="G12319" s="94" t="inlineStr">
        <is>
          <t>어성초 크림마스크 나이트 솔루션옵션=어성초 크림마스크 나이트 솔루션 10장 (-50%)</t>
        </is>
      </c>
      <c r="K12319" s="94" t="n">
        <v>1</v>
      </c>
      <c r="L12319" s="88" t="n">
        <v>201208</v>
      </c>
      <c r="M12319" s="88">
        <f>VLOOKUP($Q12319,매칭테이블!$F:$I,2,0)*K12319</f>
        <v/>
      </c>
      <c r="N12319" s="88">
        <f>M12319-M12319*VLOOKUP($Q12319,매칭테이블!$F:$I,3,0)</f>
        <v/>
      </c>
      <c r="O12319" s="88">
        <f>VLOOKUP($Q12319,매칭테이블!$F:$I,4,0)*K12319</f>
        <v/>
      </c>
      <c r="P12319" s="152">
        <f>M12319/1.1</f>
        <v/>
      </c>
      <c r="Q12319" s="88">
        <f>F12319&amp;E12319&amp;G12319&amp;L12319</f>
        <v/>
      </c>
    </row>
    <row r="12320" customFormat="1" s="94">
      <c r="B12320" s="128" t="n">
        <v>44183</v>
      </c>
      <c r="C12320" s="88">
        <f>TEXT(B12320,"aaa")</f>
        <v/>
      </c>
      <c r="E12320" s="88">
        <f>INDEX(매칭테이블!C:D,MATCH(RD!G12320,매칭테이블!D:D,0),1)</f>
        <v/>
      </c>
      <c r="F12320" s="94" t="inlineStr">
        <is>
          <t>카페24</t>
        </is>
      </c>
      <c r="G12320" s="94" t="inlineStr">
        <is>
          <t>촉촉 스킨팩 화장솜</t>
        </is>
      </c>
      <c r="K12320" s="94" t="n">
        <v>13</v>
      </c>
      <c r="L12320" s="88" t="n">
        <v>201208</v>
      </c>
      <c r="M12320" s="88">
        <f>VLOOKUP($Q12320,매칭테이블!$F:$I,2,0)*K12320</f>
        <v/>
      </c>
      <c r="N12320" s="88">
        <f>M12320-M12320*VLOOKUP($Q12320,매칭테이블!$F:$I,3,0)</f>
        <v/>
      </c>
      <c r="O12320" s="88">
        <f>VLOOKUP($Q12320,매칭테이블!$F:$I,4,0)*K12320</f>
        <v/>
      </c>
      <c r="P12320" s="152">
        <f>M12320/1.1</f>
        <v/>
      </c>
      <c r="Q12320" s="88">
        <f>F12320&amp;E12320&amp;G12320&amp;L12320</f>
        <v/>
      </c>
    </row>
    <row r="12321" customFormat="1" s="94">
      <c r="B12321" s="128" t="n">
        <v>44183</v>
      </c>
      <c r="C12321" s="88">
        <f>TEXT(B12321,"aaa")</f>
        <v/>
      </c>
      <c r="E12321" s="88">
        <f>INDEX(매칭테이블!C:D,MATCH(RD!G12321,매칭테이블!D:D,0),1)</f>
        <v/>
      </c>
      <c r="F12321" s="94" t="inlineStr">
        <is>
          <t>화해</t>
        </is>
      </c>
      <c r="G12321" s="94" t="inlineStr">
        <is>
          <t>어성초 77 토너 250ml어성초 77 토너 250ml</t>
        </is>
      </c>
      <c r="K12321" s="94" t="n">
        <v>1</v>
      </c>
      <c r="L12321" s="88" t="n">
        <v>201208</v>
      </c>
      <c r="M12321" s="88">
        <f>VLOOKUP($Q12321,매칭테이블!$F:$I,2,0)*K12321</f>
        <v/>
      </c>
      <c r="N12321" s="88">
        <f>M12321-M12321*VLOOKUP($Q12321,매칭테이블!$F:$I,3,0)</f>
        <v/>
      </c>
      <c r="O12321" s="88">
        <f>VLOOKUP($Q12321,매칭테이블!$F:$I,4,0)*K12321</f>
        <v/>
      </c>
      <c r="P12321" s="152">
        <f>M12321/1.1</f>
        <v/>
      </c>
      <c r="Q12321" s="88">
        <f>F12321&amp;E12321&amp;G12321&amp;L12321</f>
        <v/>
      </c>
    </row>
    <row r="12322" customFormat="1" s="94">
      <c r="B12322" s="128" t="n">
        <v>44184</v>
      </c>
      <c r="C12322" s="88">
        <f>TEXT(B12322,"aaa")</f>
        <v/>
      </c>
      <c r="E12322" s="88">
        <f>INDEX(매칭테이블!C:D,MATCH(RD!G12322,매칭테이블!D:D,0),1)</f>
        <v/>
      </c>
      <c r="F12322" s="94" t="inlineStr">
        <is>
          <t>스타일쉐어</t>
        </is>
      </c>
      <c r="G12322" s="94" t="inlineStr">
        <is>
          <t>아누아 어성초 77 토너 250ml</t>
        </is>
      </c>
      <c r="K12322" s="94" t="n">
        <v>2</v>
      </c>
      <c r="L12322" s="88" t="n">
        <v>201208</v>
      </c>
      <c r="M12322" s="88">
        <f>VLOOKUP($Q12322,매칭테이블!$F:$I,2,0)*K12322</f>
        <v/>
      </c>
      <c r="N12322" s="88">
        <f>M12322-M12322*VLOOKUP($Q12322,매칭테이블!$F:$I,3,0)</f>
        <v/>
      </c>
      <c r="O12322" s="88">
        <f>VLOOKUP($Q12322,매칭테이블!$F:$I,4,0)*K12322</f>
        <v/>
      </c>
      <c r="P12322" s="152">
        <f>M12322/1.1</f>
        <v/>
      </c>
      <c r="Q12322" s="88">
        <f>F12322&amp;E12322&amp;G12322&amp;L12322</f>
        <v/>
      </c>
    </row>
    <row r="12323" customFormat="1" s="94">
      <c r="B12323" s="128" t="n">
        <v>44184</v>
      </c>
      <c r="C12323" s="88">
        <f>TEXT(B12323,"aaa")</f>
        <v/>
      </c>
      <c r="E12323" s="88">
        <f>INDEX(매칭테이블!C:D,MATCH(RD!G12323,매칭테이블!D:D,0),1)</f>
        <v/>
      </c>
      <c r="F12323" s="94" t="inlineStr">
        <is>
          <t>카페24</t>
        </is>
      </c>
      <c r="G12323" s="94" t="inlineStr">
        <is>
          <t>5 제로 무기자차 선크림옵션=5제로 무기자차 선크림 1개-20% off</t>
        </is>
      </c>
      <c r="K12323" s="94" t="n">
        <v>1</v>
      </c>
      <c r="L12323" s="88" t="n">
        <v>201208</v>
      </c>
      <c r="M12323" s="88">
        <f>VLOOKUP($Q12323,매칭테이블!$F:$I,2,0)*K12323</f>
        <v/>
      </c>
      <c r="N12323" s="88">
        <f>M12323-M12323*VLOOKUP($Q12323,매칭테이블!$F:$I,3,0)</f>
        <v/>
      </c>
      <c r="O12323" s="88">
        <f>VLOOKUP($Q12323,매칭테이블!$F:$I,4,0)*K12323</f>
        <v/>
      </c>
      <c r="P12323" s="152">
        <f>M12323/1.1</f>
        <v/>
      </c>
      <c r="Q12323" s="88">
        <f>F12323&amp;E12323&amp;G12323&amp;L12323</f>
        <v/>
      </c>
    </row>
    <row r="12324" customFormat="1" s="94">
      <c r="B12324" s="128" t="n">
        <v>44184</v>
      </c>
      <c r="C12324" s="88">
        <f>TEXT(B12324,"aaa")</f>
        <v/>
      </c>
      <c r="E12324" s="88">
        <f>INDEX(매칭테이블!C:D,MATCH(RD!G12324,매칭테이블!D:D,0),1)</f>
        <v/>
      </c>
      <c r="F12324" s="94" t="inlineStr">
        <is>
          <t>카페24</t>
        </is>
      </c>
      <c r="G12324" s="94" t="inlineStr">
        <is>
          <t>5 제로 무기자차 선크림옵션=5제로 무기자차 선크림 2개-30% off (무료배송)</t>
        </is>
      </c>
      <c r="K12324" s="94" t="n">
        <v>2</v>
      </c>
      <c r="L12324" s="88" t="n">
        <v>201208</v>
      </c>
      <c r="M12324" s="88">
        <f>VLOOKUP($Q12324,매칭테이블!$F:$I,2,0)*K12324</f>
        <v/>
      </c>
      <c r="N12324" s="88">
        <f>M12324-M12324*VLOOKUP($Q12324,매칭테이블!$F:$I,3,0)</f>
        <v/>
      </c>
      <c r="O12324" s="88">
        <f>VLOOKUP($Q12324,매칭테이블!$F:$I,4,0)*K12324</f>
        <v/>
      </c>
      <c r="P12324" s="152">
        <f>M12324/1.1</f>
        <v/>
      </c>
      <c r="Q12324" s="88">
        <f>F12324&amp;E12324&amp;G12324&amp;L12324</f>
        <v/>
      </c>
    </row>
    <row r="12325" customFormat="1" s="94">
      <c r="B12325" s="128" t="n">
        <v>44184</v>
      </c>
      <c r="C12325" s="88">
        <f>TEXT(B12325,"aaa")</f>
        <v/>
      </c>
      <c r="E12325" s="88">
        <f>INDEX(매칭테이블!C:D,MATCH(RD!G12325,매칭테이블!D:D,0),1)</f>
        <v/>
      </c>
      <c r="F12325" s="94" t="inlineStr">
        <is>
          <t>카페24</t>
        </is>
      </c>
      <c r="G12325" s="94" t="inlineStr">
        <is>
          <t>[수분 보충 세트] 어성초 77 토너 + 어성초 70 로션옵션=어성초 77 토너 250ml + 어성초 70 로션 200ml -30%</t>
        </is>
      </c>
      <c r="K12325" s="94" t="n">
        <v>15</v>
      </c>
      <c r="L12325" s="88" t="n">
        <v>201208</v>
      </c>
      <c r="M12325" s="88">
        <f>VLOOKUP($Q12325,매칭테이블!$F:$I,2,0)*K12325</f>
        <v/>
      </c>
      <c r="N12325" s="88">
        <f>M12325-M12325*VLOOKUP($Q12325,매칭테이블!$F:$I,3,0)</f>
        <v/>
      </c>
      <c r="O12325" s="88">
        <f>VLOOKUP($Q12325,매칭테이블!$F:$I,4,0)*K12325</f>
        <v/>
      </c>
      <c r="P12325" s="152">
        <f>M12325/1.1</f>
        <v/>
      </c>
      <c r="Q12325" s="88">
        <f>F12325&amp;E12325&amp;G12325&amp;L12325</f>
        <v/>
      </c>
    </row>
    <row r="12326" customFormat="1" s="94">
      <c r="B12326" s="128" t="n">
        <v>44184</v>
      </c>
      <c r="C12326" s="88">
        <f>TEXT(B12326,"aaa")</f>
        <v/>
      </c>
      <c r="E12326" s="88">
        <f>INDEX(매칭테이블!C:D,MATCH(RD!G12326,매칭테이블!D:D,0),1)</f>
        <v/>
      </c>
      <c r="F12326" s="94" t="inlineStr">
        <is>
          <t>카페24</t>
        </is>
      </c>
      <c r="G12326" s="94" t="inlineStr">
        <is>
          <t>대용량 어성초 77 수딩 토너 500ml</t>
        </is>
      </c>
      <c r="K12326" s="94" t="n">
        <v>17</v>
      </c>
      <c r="L12326" s="88" t="n">
        <v>201208</v>
      </c>
      <c r="M12326" s="88">
        <f>VLOOKUP($Q12326,매칭테이블!$F:$I,2,0)*K12326</f>
        <v/>
      </c>
      <c r="N12326" s="88">
        <f>M12326-M12326*VLOOKUP($Q12326,매칭테이블!$F:$I,3,0)</f>
        <v/>
      </c>
      <c r="O12326" s="88">
        <f>VLOOKUP($Q12326,매칭테이블!$F:$I,4,0)*K12326</f>
        <v/>
      </c>
      <c r="P12326" s="152">
        <f>M12326/1.1</f>
        <v/>
      </c>
      <c r="Q12326" s="88">
        <f>F12326&amp;E12326&amp;G12326&amp;L12326</f>
        <v/>
      </c>
    </row>
    <row r="12327" customFormat="1" s="94">
      <c r="B12327" s="128" t="n">
        <v>44184</v>
      </c>
      <c r="C12327" s="88">
        <f>TEXT(B12327,"aaa")</f>
        <v/>
      </c>
      <c r="E12327" s="88">
        <f>INDEX(매칭테이블!C:D,MATCH(RD!G12327,매칭테이블!D:D,0),1)</f>
        <v/>
      </c>
      <c r="F12327" s="94" t="inlineStr">
        <is>
          <t>카페24</t>
        </is>
      </c>
      <c r="G12327" s="94" t="inlineStr">
        <is>
          <t>대용량 어성초 77 토너 500ml</t>
        </is>
      </c>
      <c r="K12327" s="94" t="n">
        <v>3</v>
      </c>
      <c r="L12327" s="88" t="n">
        <v>201208</v>
      </c>
      <c r="M12327" s="88">
        <f>VLOOKUP($Q12327,매칭테이블!$F:$I,2,0)*K12327</f>
        <v/>
      </c>
      <c r="N12327" s="88">
        <f>M12327-M12327*VLOOKUP($Q12327,매칭테이블!$F:$I,3,0)</f>
        <v/>
      </c>
      <c r="O12327" s="88">
        <f>VLOOKUP($Q12327,매칭테이블!$F:$I,4,0)*K12327</f>
        <v/>
      </c>
      <c r="P12327" s="152">
        <f>M12327/1.1</f>
        <v/>
      </c>
      <c r="Q12327" s="88">
        <f>F12327&amp;E12327&amp;G12327&amp;L12327</f>
        <v/>
      </c>
    </row>
    <row r="12328" customFormat="1" s="94">
      <c r="B12328" s="128" t="n">
        <v>44184</v>
      </c>
      <c r="C12328" s="88">
        <f>TEXT(B12328,"aaa")</f>
        <v/>
      </c>
      <c r="E12328" s="88">
        <f>INDEX(매칭테이블!C:D,MATCH(RD!G12328,매칭테이블!D:D,0),1)</f>
        <v/>
      </c>
      <c r="F12328" s="94" t="inlineStr">
        <is>
          <t>카페24</t>
        </is>
      </c>
      <c r="G12328" s="94" t="inlineStr">
        <is>
          <t>어성초 70 데일리 릴리프 로션로션=어성초 70 데일리 릴리프 로션 1개 -20% off</t>
        </is>
      </c>
      <c r="K12328" s="94" t="n">
        <v>2</v>
      </c>
      <c r="L12328" s="88" t="n">
        <v>201208</v>
      </c>
      <c r="M12328" s="88">
        <f>VLOOKUP($Q12328,매칭테이블!$F:$I,2,0)*K12328</f>
        <v/>
      </c>
      <c r="N12328" s="88">
        <f>M12328-M12328*VLOOKUP($Q12328,매칭테이블!$F:$I,3,0)</f>
        <v/>
      </c>
      <c r="O12328" s="88">
        <f>VLOOKUP($Q12328,매칭테이블!$F:$I,4,0)*K12328</f>
        <v/>
      </c>
      <c r="P12328" s="152">
        <f>M12328/1.1</f>
        <v/>
      </c>
      <c r="Q12328" s="88">
        <f>F12328&amp;E12328&amp;G12328&amp;L12328</f>
        <v/>
      </c>
    </row>
    <row r="12329" customFormat="1" s="94">
      <c r="B12329" s="128" t="n">
        <v>44184</v>
      </c>
      <c r="C12329" s="88">
        <f>TEXT(B12329,"aaa")</f>
        <v/>
      </c>
      <c r="E12329" s="88">
        <f>INDEX(매칭테이블!C:D,MATCH(RD!G12329,매칭테이블!D:D,0),1)</f>
        <v/>
      </c>
      <c r="F12329" s="94" t="inlineStr">
        <is>
          <t>카페24</t>
        </is>
      </c>
      <c r="G12329" s="94" t="inlineStr">
        <is>
          <t>어성초 70 데일리 릴리프 로션로션=어성초 70 데일리 릴리프 로션 2개 -30% off</t>
        </is>
      </c>
      <c r="K12329" s="94" t="n">
        <v>2</v>
      </c>
      <c r="L12329" s="88" t="n">
        <v>201208</v>
      </c>
      <c r="M12329" s="88">
        <f>VLOOKUP($Q12329,매칭테이블!$F:$I,2,0)*K12329</f>
        <v/>
      </c>
      <c r="N12329" s="88">
        <f>M12329-M12329*VLOOKUP($Q12329,매칭테이블!$F:$I,3,0)</f>
        <v/>
      </c>
      <c r="O12329" s="88">
        <f>VLOOKUP($Q12329,매칭테이블!$F:$I,4,0)*K12329</f>
        <v/>
      </c>
      <c r="P12329" s="152">
        <f>M12329/1.1</f>
        <v/>
      </c>
      <c r="Q12329" s="88">
        <f>F12329&amp;E12329&amp;G12329&amp;L12329</f>
        <v/>
      </c>
    </row>
    <row r="12330" customFormat="1" s="94">
      <c r="B12330" s="128" t="n">
        <v>44184</v>
      </c>
      <c r="C12330" s="88">
        <f>TEXT(B12330,"aaa")</f>
        <v/>
      </c>
      <c r="E12330" s="88">
        <f>INDEX(매칭테이블!C:D,MATCH(RD!G12330,매칭테이블!D:D,0),1)</f>
        <v/>
      </c>
      <c r="F12330" s="94" t="inlineStr">
        <is>
          <t>카페24</t>
        </is>
      </c>
      <c r="G12330" s="94" t="inlineStr">
        <is>
          <t>어성초 70 머드 크림 마스크옵션=어성초 70 머드 크림 마스크 2개-30% off (무료배송)</t>
        </is>
      </c>
      <c r="K12330" s="94" t="n">
        <v>2</v>
      </c>
      <c r="L12330" s="88" t="n">
        <v>201208</v>
      </c>
      <c r="M12330" s="88">
        <f>VLOOKUP($Q12330,매칭테이블!$F:$I,2,0)*K12330</f>
        <v/>
      </c>
      <c r="N12330" s="88">
        <f>M12330-M12330*VLOOKUP($Q12330,매칭테이블!$F:$I,3,0)</f>
        <v/>
      </c>
      <c r="O12330" s="88">
        <f>VLOOKUP($Q12330,매칭테이블!$F:$I,4,0)*K12330</f>
        <v/>
      </c>
      <c r="P12330" s="152">
        <f>M12330/1.1</f>
        <v/>
      </c>
      <c r="Q12330" s="88">
        <f>F12330&amp;E12330&amp;G12330&amp;L12330</f>
        <v/>
      </c>
    </row>
    <row r="12331" customFormat="1" s="94">
      <c r="B12331" s="128" t="n">
        <v>44184</v>
      </c>
      <c r="C12331" s="88">
        <f>TEXT(B12331,"aaa")</f>
        <v/>
      </c>
      <c r="E12331" s="88">
        <f>INDEX(매칭테이블!C:D,MATCH(RD!G12331,매칭테이블!D:D,0),1)</f>
        <v/>
      </c>
      <c r="F12331" s="94" t="inlineStr">
        <is>
          <t>카페24</t>
        </is>
      </c>
      <c r="G12331" s="94" t="inlineStr">
        <is>
          <t>어성초 70 인텐스 카밍 크림크림=어성초 70 인텐스 카밍 크림 1개 (-20%)</t>
        </is>
      </c>
      <c r="K12331" s="94" t="n">
        <v>3</v>
      </c>
      <c r="L12331" s="88" t="n">
        <v>201208</v>
      </c>
      <c r="M12331" s="88">
        <f>VLOOKUP($Q12331,매칭테이블!$F:$I,2,0)*K12331</f>
        <v/>
      </c>
      <c r="N12331" s="88">
        <f>M12331-M12331*VLOOKUP($Q12331,매칭테이블!$F:$I,3,0)</f>
        <v/>
      </c>
      <c r="O12331" s="88">
        <f>VLOOKUP($Q12331,매칭테이블!$F:$I,4,0)*K12331</f>
        <v/>
      </c>
      <c r="P12331" s="152">
        <f>M12331/1.1</f>
        <v/>
      </c>
      <c r="Q12331" s="88">
        <f>F12331&amp;E12331&amp;G12331&amp;L12331</f>
        <v/>
      </c>
    </row>
    <row r="12332" customFormat="1" s="94">
      <c r="B12332" s="128" t="n">
        <v>44184</v>
      </c>
      <c r="C12332" s="88">
        <f>TEXT(B12332,"aaa")</f>
        <v/>
      </c>
      <c r="E12332" s="88">
        <f>INDEX(매칭테이블!C:D,MATCH(RD!G12332,매칭테이블!D:D,0),1)</f>
        <v/>
      </c>
      <c r="F12332" s="94" t="inlineStr">
        <is>
          <t>카페24</t>
        </is>
      </c>
      <c r="G12332" s="94" t="inlineStr">
        <is>
          <t>어성초 70 인텐스 카밍 크림크림=어성초 70 인텐스 카밍 크림 2개 (-30%)</t>
        </is>
      </c>
      <c r="K12332" s="94" t="n">
        <v>1</v>
      </c>
      <c r="L12332" s="88" t="n">
        <v>201208</v>
      </c>
      <c r="M12332" s="88">
        <f>VLOOKUP($Q12332,매칭테이블!$F:$I,2,0)*K12332</f>
        <v/>
      </c>
      <c r="N12332" s="88">
        <f>M12332-M12332*VLOOKUP($Q12332,매칭테이블!$F:$I,3,0)</f>
        <v/>
      </c>
      <c r="O12332" s="88">
        <f>VLOOKUP($Q12332,매칭테이블!$F:$I,4,0)*K12332</f>
        <v/>
      </c>
      <c r="P12332" s="152">
        <f>M12332/1.1</f>
        <v/>
      </c>
      <c r="Q12332" s="88">
        <f>F12332&amp;E12332&amp;G12332&amp;L12332</f>
        <v/>
      </c>
    </row>
    <row r="12333" customFormat="1" s="94">
      <c r="B12333" s="128" t="n">
        <v>44184</v>
      </c>
      <c r="C12333" s="88">
        <f>TEXT(B12333,"aaa")</f>
        <v/>
      </c>
      <c r="E12333" s="88">
        <f>INDEX(매칭테이블!C:D,MATCH(RD!G12333,매칭테이블!D:D,0),1)</f>
        <v/>
      </c>
      <c r="F12333" s="94" t="inlineStr">
        <is>
          <t>카페24</t>
        </is>
      </c>
      <c r="G12333" s="94" t="inlineStr">
        <is>
          <t>어성초 77 수딩 토너토너(필수)=어성초 77 토너 1개-20% off</t>
        </is>
      </c>
      <c r="K12333" s="94" t="n">
        <v>26</v>
      </c>
      <c r="L12333" s="88" t="n">
        <v>201208</v>
      </c>
      <c r="M12333" s="88">
        <f>VLOOKUP($Q12333,매칭테이블!$F:$I,2,0)*K12333</f>
        <v/>
      </c>
      <c r="N12333" s="88">
        <f>M12333-M12333*VLOOKUP($Q12333,매칭테이블!$F:$I,3,0)</f>
        <v/>
      </c>
      <c r="O12333" s="88">
        <f>VLOOKUP($Q12333,매칭테이블!$F:$I,4,0)*K12333</f>
        <v/>
      </c>
      <c r="P12333" s="152">
        <f>M12333/1.1</f>
        <v/>
      </c>
      <c r="Q12333" s="88">
        <f>F12333&amp;E12333&amp;G12333&amp;L12333</f>
        <v/>
      </c>
    </row>
    <row r="12334" customFormat="1" s="94">
      <c r="B12334" s="128" t="n">
        <v>44184</v>
      </c>
      <c r="C12334" s="88">
        <f>TEXT(B12334,"aaa")</f>
        <v/>
      </c>
      <c r="E12334" s="88">
        <f>INDEX(매칭테이블!C:D,MATCH(RD!G12334,매칭테이블!D:D,0),1)</f>
        <v/>
      </c>
      <c r="F12334" s="94" t="inlineStr">
        <is>
          <t>카페24</t>
        </is>
      </c>
      <c r="G12334" s="94" t="inlineStr">
        <is>
          <t>어성초 77 수딩 토너토너(필수)=어성초 77 토너 2개-30% off (무료배송)</t>
        </is>
      </c>
      <c r="K12334" s="94" t="n">
        <v>21</v>
      </c>
      <c r="L12334" s="88" t="n">
        <v>201208</v>
      </c>
      <c r="M12334" s="88">
        <f>VLOOKUP($Q12334,매칭테이블!$F:$I,2,0)*K12334</f>
        <v/>
      </c>
      <c r="N12334" s="88">
        <f>M12334-M12334*VLOOKUP($Q12334,매칭테이블!$F:$I,3,0)</f>
        <v/>
      </c>
      <c r="O12334" s="88">
        <f>VLOOKUP($Q12334,매칭테이블!$F:$I,4,0)*K12334</f>
        <v/>
      </c>
      <c r="P12334" s="152">
        <f>M12334/1.1</f>
        <v/>
      </c>
      <c r="Q12334" s="88">
        <f>F12334&amp;E12334&amp;G12334&amp;L12334</f>
        <v/>
      </c>
    </row>
    <row r="12335" customFormat="1" s="94">
      <c r="B12335" s="128" t="n">
        <v>44184</v>
      </c>
      <c r="C12335" s="88">
        <f>TEXT(B12335,"aaa")</f>
        <v/>
      </c>
      <c r="E12335" s="88">
        <f>INDEX(매칭테이블!C:D,MATCH(RD!G12335,매칭테이블!D:D,0),1)</f>
        <v/>
      </c>
      <c r="F12335" s="94" t="inlineStr">
        <is>
          <t>카페24</t>
        </is>
      </c>
      <c r="G12335" s="94" t="inlineStr">
        <is>
          <t>어성초 77 수딩 토너토너(필수)=어성초77토너1개 + 어성초77패드1개 -30% off (무료배송)</t>
        </is>
      </c>
      <c r="K12335" s="94" t="n">
        <v>6</v>
      </c>
      <c r="L12335" s="88" t="n">
        <v>201208</v>
      </c>
      <c r="M12335" s="88">
        <f>VLOOKUP($Q12335,매칭테이블!$F:$I,2,0)*K12335</f>
        <v/>
      </c>
      <c r="N12335" s="88">
        <f>M12335-M12335*VLOOKUP($Q12335,매칭테이블!$F:$I,3,0)</f>
        <v/>
      </c>
      <c r="O12335" s="88">
        <f>VLOOKUP($Q12335,매칭테이블!$F:$I,4,0)*K12335</f>
        <v/>
      </c>
      <c r="P12335" s="152">
        <f>M12335/1.1</f>
        <v/>
      </c>
      <c r="Q12335" s="88">
        <f>F12335&amp;E12335&amp;G12335&amp;L12335</f>
        <v/>
      </c>
    </row>
    <row r="12336" customFormat="1" s="94">
      <c r="B12336" s="128" t="n">
        <v>44184</v>
      </c>
      <c r="C12336" s="88">
        <f>TEXT(B12336,"aaa")</f>
        <v/>
      </c>
      <c r="E12336" s="88">
        <f>INDEX(매칭테이블!C:D,MATCH(RD!G12336,매칭테이블!D:D,0),1)</f>
        <v/>
      </c>
      <c r="F12336" s="94" t="inlineStr">
        <is>
          <t>카페24</t>
        </is>
      </c>
      <c r="G12336" s="94" t="inlineStr">
        <is>
          <t>어성초 77 수딩 토너화장솜(선택)=촉촉 스킨팩 화장솜</t>
        </is>
      </c>
      <c r="K12336" s="94" t="n">
        <v>15</v>
      </c>
      <c r="L12336" s="88" t="n">
        <v>201208</v>
      </c>
      <c r="M12336" s="88">
        <f>VLOOKUP($Q12336,매칭테이블!$F:$I,2,0)*K12336</f>
        <v/>
      </c>
      <c r="N12336" s="88">
        <f>M12336-M12336*VLOOKUP($Q12336,매칭테이블!$F:$I,3,0)</f>
        <v/>
      </c>
      <c r="O12336" s="88">
        <f>VLOOKUP($Q12336,매칭테이블!$F:$I,4,0)*K12336</f>
        <v/>
      </c>
      <c r="P12336" s="152">
        <f>M12336/1.1</f>
        <v/>
      </c>
      <c r="Q12336" s="88">
        <f>F12336&amp;E12336&amp;G12336&amp;L12336</f>
        <v/>
      </c>
    </row>
    <row r="12337" customFormat="1" s="94">
      <c r="B12337" s="128" t="n">
        <v>44184</v>
      </c>
      <c r="C12337" s="88">
        <f>TEXT(B12337,"aaa")</f>
        <v/>
      </c>
      <c r="E12337" s="88">
        <f>INDEX(매칭테이블!C:D,MATCH(RD!G12337,매칭테이블!D:D,0),1)</f>
        <v/>
      </c>
      <c r="F12337" s="94" t="inlineStr">
        <is>
          <t>카페24</t>
        </is>
      </c>
      <c r="G12337" s="94" t="inlineStr">
        <is>
          <t>어성초 77 수딩 토너토너(필수)=어성초 77 토너 2개-30% off (무료배송)</t>
        </is>
      </c>
      <c r="K12337" s="94" t="n">
        <v>1</v>
      </c>
      <c r="L12337" s="88" t="n">
        <v>201208</v>
      </c>
      <c r="M12337" s="88">
        <f>VLOOKUP($Q12337,매칭테이블!$F:$I,2,0)*K12337</f>
        <v/>
      </c>
      <c r="N12337" s="88">
        <f>M12337-M12337*VLOOKUP($Q12337,매칭테이블!$F:$I,3,0)</f>
        <v/>
      </c>
      <c r="O12337" s="88">
        <f>VLOOKUP($Q12337,매칭테이블!$F:$I,4,0)*K12337</f>
        <v/>
      </c>
      <c r="P12337" s="152">
        <f>M12337/1.1</f>
        <v/>
      </c>
      <c r="Q12337" s="88">
        <f>F12337&amp;E12337&amp;G12337&amp;L12337</f>
        <v/>
      </c>
    </row>
    <row r="12338" customFormat="1" s="94">
      <c r="B12338" s="128" t="n">
        <v>44184</v>
      </c>
      <c r="C12338" s="88">
        <f>TEXT(B12338,"aaa")</f>
        <v/>
      </c>
      <c r="E12338" s="88">
        <f>INDEX(매칭테이블!C:D,MATCH(RD!G12338,매칭테이블!D:D,0),1)</f>
        <v/>
      </c>
      <c r="F12338" s="94" t="inlineStr">
        <is>
          <t>카페24</t>
        </is>
      </c>
      <c r="G12338" s="94" t="inlineStr">
        <is>
          <t>어성초 77 수딩 토너토너(필수)=(대용량) 어성초 77 토너 500ml (무료배송)</t>
        </is>
      </c>
      <c r="K12338" s="94" t="n">
        <v>1</v>
      </c>
      <c r="L12338" s="88" t="n">
        <v>201208</v>
      </c>
      <c r="M12338" s="88">
        <f>VLOOKUP($Q12338,매칭테이블!$F:$I,2,0)*K12338</f>
        <v/>
      </c>
      <c r="N12338" s="88">
        <f>M12338-M12338*VLOOKUP($Q12338,매칭테이블!$F:$I,3,0)</f>
        <v/>
      </c>
      <c r="O12338" s="88">
        <f>VLOOKUP($Q12338,매칭테이블!$F:$I,4,0)*K12338</f>
        <v/>
      </c>
      <c r="P12338" s="152">
        <f>M12338/1.1</f>
        <v/>
      </c>
      <c r="Q12338" s="88">
        <f>F12338&amp;E12338&amp;G12338&amp;L12338</f>
        <v/>
      </c>
    </row>
    <row r="12339" customFormat="1" s="94">
      <c r="B12339" s="128" t="n">
        <v>44184</v>
      </c>
      <c r="C12339" s="88">
        <f>TEXT(B12339,"aaa")</f>
        <v/>
      </c>
      <c r="E12339" s="88">
        <f>INDEX(매칭테이블!C:D,MATCH(RD!G12339,매칭테이블!D:D,0),1)</f>
        <v/>
      </c>
      <c r="F12339" s="94" t="inlineStr">
        <is>
          <t>카페24</t>
        </is>
      </c>
      <c r="G12339" s="94" t="inlineStr">
        <is>
          <t>어성초 77 진정 마스크옵션=어성초 77 진정 마스크팩 10장-50% off</t>
        </is>
      </c>
      <c r="K12339" s="94" t="n">
        <v>4</v>
      </c>
      <c r="L12339" s="88" t="n">
        <v>201208</v>
      </c>
      <c r="M12339" s="88">
        <f>VLOOKUP($Q12339,매칭테이블!$F:$I,2,0)*K12339</f>
        <v/>
      </c>
      <c r="N12339" s="88">
        <f>M12339-M12339*VLOOKUP($Q12339,매칭테이블!$F:$I,3,0)</f>
        <v/>
      </c>
      <c r="O12339" s="88">
        <f>VLOOKUP($Q12339,매칭테이블!$F:$I,4,0)*K12339</f>
        <v/>
      </c>
      <c r="P12339" s="152">
        <f>M12339/1.1</f>
        <v/>
      </c>
      <c r="Q12339" s="88">
        <f>F12339&amp;E12339&amp;G12339&amp;L12339</f>
        <v/>
      </c>
    </row>
    <row r="12340" customFormat="1" s="94">
      <c r="B12340" s="128" t="n">
        <v>44184</v>
      </c>
      <c r="C12340" s="88">
        <f>TEXT(B12340,"aaa")</f>
        <v/>
      </c>
      <c r="E12340" s="88">
        <f>INDEX(매칭테이블!C:D,MATCH(RD!G12340,매칭테이블!D:D,0),1)</f>
        <v/>
      </c>
      <c r="F12340" s="94" t="inlineStr">
        <is>
          <t>카페24</t>
        </is>
      </c>
      <c r="G12340" s="94" t="inlineStr">
        <is>
          <t>어성초 77 진정 마스크</t>
        </is>
      </c>
      <c r="K12340" s="94" t="n">
        <v>1</v>
      </c>
      <c r="L12340" s="88" t="n">
        <v>201208</v>
      </c>
      <c r="M12340" s="88">
        <f>VLOOKUP($Q12340,매칭테이블!$F:$I,2,0)*K12340</f>
        <v/>
      </c>
      <c r="N12340" s="88">
        <f>M12340-M12340*VLOOKUP($Q12340,매칭테이블!$F:$I,3,0)</f>
        <v/>
      </c>
      <c r="O12340" s="88">
        <f>VLOOKUP($Q12340,매칭테이블!$F:$I,4,0)*K12340</f>
        <v/>
      </c>
      <c r="P12340" s="152">
        <f>M12340/1.1</f>
        <v/>
      </c>
      <c r="Q12340" s="88">
        <f>F12340&amp;E12340&amp;G12340&amp;L12340</f>
        <v/>
      </c>
    </row>
    <row r="12341" customFormat="1" s="94">
      <c r="B12341" s="128" t="n">
        <v>44184</v>
      </c>
      <c r="C12341" s="88">
        <f>TEXT(B12341,"aaa")</f>
        <v/>
      </c>
      <c r="E12341" s="88">
        <f>INDEX(매칭테이블!C:D,MATCH(RD!G12341,매칭테이블!D:D,0),1)</f>
        <v/>
      </c>
      <c r="F12341" s="94" t="inlineStr">
        <is>
          <t>카페24</t>
        </is>
      </c>
      <c r="G12341" s="94" t="inlineStr">
        <is>
          <t>어성초 77 클리어 패드옵션=어성초 77 클리어 패드 1개-20% off</t>
        </is>
      </c>
      <c r="K12341" s="94" t="n">
        <v>10</v>
      </c>
      <c r="L12341" s="88" t="n">
        <v>201208</v>
      </c>
      <c r="M12341" s="88">
        <f>VLOOKUP($Q12341,매칭테이블!$F:$I,2,0)*K12341</f>
        <v/>
      </c>
      <c r="N12341" s="88">
        <f>M12341-M12341*VLOOKUP($Q12341,매칭테이블!$F:$I,3,0)</f>
        <v/>
      </c>
      <c r="O12341" s="88">
        <f>VLOOKUP($Q12341,매칭테이블!$F:$I,4,0)*K12341</f>
        <v/>
      </c>
      <c r="P12341" s="152">
        <f>M12341/1.1</f>
        <v/>
      </c>
      <c r="Q12341" s="88">
        <f>F12341&amp;E12341&amp;G12341&amp;L12341</f>
        <v/>
      </c>
    </row>
    <row r="12342" customFormat="1" s="94">
      <c r="B12342" s="128" t="n">
        <v>44184</v>
      </c>
      <c r="C12342" s="88">
        <f>TEXT(B12342,"aaa")</f>
        <v/>
      </c>
      <c r="E12342" s="88">
        <f>INDEX(매칭테이블!C:D,MATCH(RD!G12342,매칭테이블!D:D,0),1)</f>
        <v/>
      </c>
      <c r="F12342" s="94" t="inlineStr">
        <is>
          <t>카페24</t>
        </is>
      </c>
      <c r="G12342" s="94" t="inlineStr">
        <is>
          <t>어성초 77 클리어 패드옵션=어성초 77 클리어 패드 2개-30% off (무료배송)</t>
        </is>
      </c>
      <c r="K12342" s="94" t="n">
        <v>12</v>
      </c>
      <c r="L12342" s="88" t="n">
        <v>201208</v>
      </c>
      <c r="M12342" s="88">
        <f>VLOOKUP($Q12342,매칭테이블!$F:$I,2,0)*K12342</f>
        <v/>
      </c>
      <c r="N12342" s="88">
        <f>M12342-M12342*VLOOKUP($Q12342,매칭테이블!$F:$I,3,0)</f>
        <v/>
      </c>
      <c r="O12342" s="88">
        <f>VLOOKUP($Q12342,매칭테이블!$F:$I,4,0)*K12342</f>
        <v/>
      </c>
      <c r="P12342" s="152">
        <f>M12342/1.1</f>
        <v/>
      </c>
      <c r="Q12342" s="88">
        <f>F12342&amp;E12342&amp;G12342&amp;L12342</f>
        <v/>
      </c>
    </row>
    <row r="12343" customFormat="1" s="94">
      <c r="B12343" s="128" t="n">
        <v>44184</v>
      </c>
      <c r="C12343" s="88">
        <f>TEXT(B12343,"aaa")</f>
        <v/>
      </c>
      <c r="E12343" s="88">
        <f>INDEX(매칭테이블!C:D,MATCH(RD!G12343,매칭테이블!D:D,0),1)</f>
        <v/>
      </c>
      <c r="F12343" s="94" t="inlineStr">
        <is>
          <t>카페24</t>
        </is>
      </c>
      <c r="G12343" s="94" t="inlineStr">
        <is>
          <t>어성초 77 클리어 패드옵션=어성초77토너1개+어성초77패드1개-30% off (무료배송)</t>
        </is>
      </c>
      <c r="K12343" s="94" t="n">
        <v>9</v>
      </c>
      <c r="L12343" s="88" t="n">
        <v>201208</v>
      </c>
      <c r="M12343" s="88">
        <f>VLOOKUP($Q12343,매칭테이블!$F:$I,2,0)*K12343</f>
        <v/>
      </c>
      <c r="N12343" s="88">
        <f>M12343-M12343*VLOOKUP($Q12343,매칭테이블!$F:$I,3,0)</f>
        <v/>
      </c>
      <c r="O12343" s="88">
        <f>VLOOKUP($Q12343,매칭테이블!$F:$I,4,0)*K12343</f>
        <v/>
      </c>
      <c r="P12343" s="152">
        <f>M12343/1.1</f>
        <v/>
      </c>
      <c r="Q12343" s="88">
        <f>F12343&amp;E12343&amp;G12343&amp;L12343</f>
        <v/>
      </c>
    </row>
    <row r="12344" customFormat="1" s="94">
      <c r="B12344" s="128" t="n">
        <v>44184</v>
      </c>
      <c r="C12344" s="88">
        <f>TEXT(B12344,"aaa")</f>
        <v/>
      </c>
      <c r="E12344" s="88">
        <f>INDEX(매칭테이블!C:D,MATCH(RD!G12344,매칭테이블!D:D,0),1)</f>
        <v/>
      </c>
      <c r="F12344" s="94" t="inlineStr">
        <is>
          <t>카페24</t>
        </is>
      </c>
      <c r="G12344" s="94" t="inlineStr">
        <is>
          <t>어성초 77 토너토너(필수)=어성초 77 토너 1개-20% off</t>
        </is>
      </c>
      <c r="K12344" s="94" t="n">
        <v>2</v>
      </c>
      <c r="L12344" s="88" t="n">
        <v>201208</v>
      </c>
      <c r="M12344" s="88">
        <f>VLOOKUP($Q12344,매칭테이블!$F:$I,2,0)*K12344</f>
        <v/>
      </c>
      <c r="N12344" s="88">
        <f>M12344-M12344*VLOOKUP($Q12344,매칭테이블!$F:$I,3,0)</f>
        <v/>
      </c>
      <c r="O12344" s="88">
        <f>VLOOKUP($Q12344,매칭테이블!$F:$I,4,0)*K12344</f>
        <v/>
      </c>
      <c r="P12344" s="152">
        <f>M12344/1.1</f>
        <v/>
      </c>
      <c r="Q12344" s="88">
        <f>F12344&amp;E12344&amp;G12344&amp;L12344</f>
        <v/>
      </c>
    </row>
    <row r="12345" customFormat="1" s="94">
      <c r="B12345" s="128" t="n">
        <v>44184</v>
      </c>
      <c r="C12345" s="88">
        <f>TEXT(B12345,"aaa")</f>
        <v/>
      </c>
      <c r="E12345" s="88">
        <f>INDEX(매칭테이블!C:D,MATCH(RD!G12345,매칭테이블!D:D,0),1)</f>
        <v/>
      </c>
      <c r="F12345" s="94" t="inlineStr">
        <is>
          <t>카페24</t>
        </is>
      </c>
      <c r="G12345" s="94" t="inlineStr">
        <is>
          <t>어성초 77 토너화장솜(선택)=촉촉 스킨팩 화장솜</t>
        </is>
      </c>
      <c r="K12345" s="94" t="n">
        <v>1</v>
      </c>
      <c r="L12345" s="88" t="n">
        <v>201208</v>
      </c>
      <c r="M12345" s="88">
        <f>VLOOKUP($Q12345,매칭테이블!$F:$I,2,0)*K12345</f>
        <v/>
      </c>
      <c r="N12345" s="88">
        <f>M12345-M12345*VLOOKUP($Q12345,매칭테이블!$F:$I,3,0)</f>
        <v/>
      </c>
      <c r="O12345" s="88">
        <f>VLOOKUP($Q12345,매칭테이블!$F:$I,4,0)*K12345</f>
        <v/>
      </c>
      <c r="P12345" s="152">
        <f>M12345/1.1</f>
        <v/>
      </c>
      <c r="Q12345" s="88">
        <f>F12345&amp;E12345&amp;G12345&amp;L12345</f>
        <v/>
      </c>
    </row>
    <row r="12346" customFormat="1" s="94">
      <c r="B12346" s="128" t="n">
        <v>44184</v>
      </c>
      <c r="C12346" s="88">
        <f>TEXT(B12346,"aaa")</f>
        <v/>
      </c>
      <c r="E12346" s="88">
        <f>INDEX(매칭테이블!C:D,MATCH(RD!G12346,매칭테이블!D:D,0),1)</f>
        <v/>
      </c>
      <c r="F12346" s="94" t="inlineStr">
        <is>
          <t>카페24</t>
        </is>
      </c>
      <c r="G12346" s="94" t="inlineStr">
        <is>
          <t>어성초 77 포어 클리어 패드옵션=어성초 77 클리어 패드 1개-20% off</t>
        </is>
      </c>
      <c r="K12346" s="94" t="n">
        <v>3</v>
      </c>
      <c r="L12346" s="88" t="n">
        <v>201208</v>
      </c>
      <c r="M12346" s="88">
        <f>VLOOKUP($Q12346,매칭테이블!$F:$I,2,0)*K12346</f>
        <v/>
      </c>
      <c r="N12346" s="88">
        <f>M12346-M12346*VLOOKUP($Q12346,매칭테이블!$F:$I,3,0)</f>
        <v/>
      </c>
      <c r="O12346" s="88">
        <f>VLOOKUP($Q12346,매칭테이블!$F:$I,4,0)*K12346</f>
        <v/>
      </c>
      <c r="P12346" s="152">
        <f>M12346/1.1</f>
        <v/>
      </c>
      <c r="Q12346" s="88">
        <f>F12346&amp;E12346&amp;G12346&amp;L12346</f>
        <v/>
      </c>
    </row>
    <row r="12347" customFormat="1" s="94">
      <c r="B12347" s="128" t="n">
        <v>44184</v>
      </c>
      <c r="C12347" s="88">
        <f>TEXT(B12347,"aaa")</f>
        <v/>
      </c>
      <c r="E12347" s="88">
        <f>INDEX(매칭테이블!C:D,MATCH(RD!G12347,매칭테이블!D:D,0),1)</f>
        <v/>
      </c>
      <c r="F12347" s="94" t="inlineStr">
        <is>
          <t>카페24</t>
        </is>
      </c>
      <c r="G12347" s="94" t="inlineStr">
        <is>
          <t>어성초 77 포어 클리어 패드옵션=어성초 77 클리어 패드 2개-30% off (무료배송)</t>
        </is>
      </c>
      <c r="K12347" s="94" t="n">
        <v>2</v>
      </c>
      <c r="L12347" s="88" t="n">
        <v>201208</v>
      </c>
      <c r="M12347" s="88">
        <f>VLOOKUP($Q12347,매칭테이블!$F:$I,2,0)*K12347</f>
        <v/>
      </c>
      <c r="N12347" s="88">
        <f>M12347-M12347*VLOOKUP($Q12347,매칭테이블!$F:$I,3,0)</f>
        <v/>
      </c>
      <c r="O12347" s="88">
        <f>VLOOKUP($Q12347,매칭테이블!$F:$I,4,0)*K12347</f>
        <v/>
      </c>
      <c r="P12347" s="152">
        <f>M12347/1.1</f>
        <v/>
      </c>
      <c r="Q12347" s="88">
        <f>F12347&amp;E12347&amp;G12347&amp;L12347</f>
        <v/>
      </c>
    </row>
    <row r="12348" customFormat="1" s="94">
      <c r="B12348" s="128" t="n">
        <v>44184</v>
      </c>
      <c r="C12348" s="88">
        <f>TEXT(B12348,"aaa")</f>
        <v/>
      </c>
      <c r="E12348" s="88">
        <f>INDEX(매칭테이블!C:D,MATCH(RD!G12348,매칭테이블!D:D,0),1)</f>
        <v/>
      </c>
      <c r="F12348" s="94" t="inlineStr">
        <is>
          <t>카페24</t>
        </is>
      </c>
      <c r="G12348" s="94" t="inlineStr">
        <is>
          <t>어성초 77 포어 클리어 패드옵션=어성초77토너1개+어성초77패드1개-30% off (무료배송)</t>
        </is>
      </c>
      <c r="K12348" s="94" t="n">
        <v>1</v>
      </c>
      <c r="L12348" s="88" t="n">
        <v>201208</v>
      </c>
      <c r="M12348" s="88">
        <f>VLOOKUP($Q12348,매칭테이블!$F:$I,2,0)*K12348</f>
        <v/>
      </c>
      <c r="N12348" s="88">
        <f>M12348-M12348*VLOOKUP($Q12348,매칭테이블!$F:$I,3,0)</f>
        <v/>
      </c>
      <c r="O12348" s="88">
        <f>VLOOKUP($Q12348,매칭테이블!$F:$I,4,0)*K12348</f>
        <v/>
      </c>
      <c r="P12348" s="152">
        <f>M12348/1.1</f>
        <v/>
      </c>
      <c r="Q12348" s="88">
        <f>F12348&amp;E12348&amp;G12348&amp;L12348</f>
        <v/>
      </c>
    </row>
    <row r="12349" customFormat="1" s="94">
      <c r="B12349" s="128" t="n">
        <v>44184</v>
      </c>
      <c r="C12349" s="88">
        <f>TEXT(B12349,"aaa")</f>
        <v/>
      </c>
      <c r="E12349" s="88">
        <f>INDEX(매칭테이블!C:D,MATCH(RD!G12349,매칭테이블!D:D,0),1)</f>
        <v/>
      </c>
      <c r="F12349" s="94" t="inlineStr">
        <is>
          <t>카페24</t>
        </is>
      </c>
      <c r="G12349" s="94" t="inlineStr">
        <is>
          <t>어성초 77% 패드옵션=어성초 77 클리어 패드 1개-20% off</t>
        </is>
      </c>
      <c r="K12349" s="94" t="n">
        <v>7</v>
      </c>
      <c r="L12349" s="88" t="n">
        <v>201208</v>
      </c>
      <c r="M12349" s="88">
        <f>VLOOKUP($Q12349,매칭테이블!$F:$I,2,0)*K12349</f>
        <v/>
      </c>
      <c r="N12349" s="88">
        <f>M12349-M12349*VLOOKUP($Q12349,매칭테이블!$F:$I,3,0)</f>
        <v/>
      </c>
      <c r="O12349" s="88">
        <f>VLOOKUP($Q12349,매칭테이블!$F:$I,4,0)*K12349</f>
        <v/>
      </c>
      <c r="P12349" s="152">
        <f>M12349/1.1</f>
        <v/>
      </c>
      <c r="Q12349" s="88">
        <f>F12349&amp;E12349&amp;G12349&amp;L12349</f>
        <v/>
      </c>
    </row>
    <row r="12350" customFormat="1" s="94">
      <c r="B12350" s="128" t="n">
        <v>44184</v>
      </c>
      <c r="C12350" s="88">
        <f>TEXT(B12350,"aaa")</f>
        <v/>
      </c>
      <c r="E12350" s="88">
        <f>INDEX(매칭테이블!C:D,MATCH(RD!G12350,매칭테이블!D:D,0),1)</f>
        <v/>
      </c>
      <c r="F12350" s="94" t="inlineStr">
        <is>
          <t>카페24</t>
        </is>
      </c>
      <c r="G12350" s="94" t="inlineStr">
        <is>
          <t>어성초 77% 패드옵션=어성초 77 클리어 패드 2개-30% off (무료배송)</t>
        </is>
      </c>
      <c r="K12350" s="94" t="n">
        <v>5</v>
      </c>
      <c r="L12350" s="88" t="n">
        <v>201208</v>
      </c>
      <c r="M12350" s="88">
        <f>VLOOKUP($Q12350,매칭테이블!$F:$I,2,0)*K12350</f>
        <v/>
      </c>
      <c r="N12350" s="88">
        <f>M12350-M12350*VLOOKUP($Q12350,매칭테이블!$F:$I,3,0)</f>
        <v/>
      </c>
      <c r="O12350" s="88">
        <f>VLOOKUP($Q12350,매칭테이블!$F:$I,4,0)*K12350</f>
        <v/>
      </c>
      <c r="P12350" s="152">
        <f>M12350/1.1</f>
        <v/>
      </c>
      <c r="Q12350" s="88">
        <f>F12350&amp;E12350&amp;G12350&amp;L12350</f>
        <v/>
      </c>
    </row>
    <row r="12351" customFormat="1" s="94">
      <c r="B12351" s="128" t="n">
        <v>44184</v>
      </c>
      <c r="C12351" s="88">
        <f>TEXT(B12351,"aaa")</f>
        <v/>
      </c>
      <c r="E12351" s="88">
        <f>INDEX(매칭테이블!C:D,MATCH(RD!G12351,매칭테이블!D:D,0),1)</f>
        <v/>
      </c>
      <c r="F12351" s="94" t="inlineStr">
        <is>
          <t>카페24</t>
        </is>
      </c>
      <c r="G12351" s="94" t="inlineStr">
        <is>
          <t>어성초 77% 패드옵션=어성초77토너1개+어성초77패드1개-30% off (무료배송)</t>
        </is>
      </c>
      <c r="K12351" s="94" t="n">
        <v>4</v>
      </c>
      <c r="L12351" s="88" t="n">
        <v>201208</v>
      </c>
      <c r="M12351" s="88">
        <f>VLOOKUP($Q12351,매칭테이블!$F:$I,2,0)*K12351</f>
        <v/>
      </c>
      <c r="N12351" s="88">
        <f>M12351-M12351*VLOOKUP($Q12351,매칭테이블!$F:$I,3,0)</f>
        <v/>
      </c>
      <c r="O12351" s="88">
        <f>VLOOKUP($Q12351,매칭테이블!$F:$I,4,0)*K12351</f>
        <v/>
      </c>
      <c r="P12351" s="152">
        <f>M12351/1.1</f>
        <v/>
      </c>
      <c r="Q12351" s="88">
        <f>F12351&amp;E12351&amp;G12351&amp;L12351</f>
        <v/>
      </c>
    </row>
    <row r="12352" customFormat="1" s="94">
      <c r="B12352" s="128" t="n">
        <v>44184</v>
      </c>
      <c r="C12352" s="88">
        <f>TEXT(B12352,"aaa")</f>
        <v/>
      </c>
      <c r="E12352" s="88">
        <f>INDEX(매칭테이블!C:D,MATCH(RD!G12352,매칭테이블!D:D,0),1)</f>
        <v/>
      </c>
      <c r="F12352" s="94" t="inlineStr">
        <is>
          <t>카페24</t>
        </is>
      </c>
      <c r="G12352" s="94" t="inlineStr">
        <is>
          <t>어성초 78 수딩 크림</t>
        </is>
      </c>
      <c r="K12352" s="94" t="n">
        <v>1</v>
      </c>
      <c r="L12352" s="88" t="n">
        <v>201208</v>
      </c>
      <c r="M12352" s="88">
        <f>VLOOKUP($Q12352,매칭테이블!$F:$I,2,0)*K12352</f>
        <v/>
      </c>
      <c r="N12352" s="88">
        <f>M12352-M12352*VLOOKUP($Q12352,매칭테이블!$F:$I,3,0)</f>
        <v/>
      </c>
      <c r="O12352" s="88">
        <f>VLOOKUP($Q12352,매칭테이블!$F:$I,4,0)*K12352</f>
        <v/>
      </c>
      <c r="P12352" s="152">
        <f>M12352/1.1</f>
        <v/>
      </c>
      <c r="Q12352" s="88">
        <f>F12352&amp;E12352&amp;G12352&amp;L12352</f>
        <v/>
      </c>
    </row>
    <row r="12353" customFormat="1" s="94">
      <c r="B12353" s="128" t="n">
        <v>44184</v>
      </c>
      <c r="C12353" s="88">
        <f>TEXT(B12353,"aaa")</f>
        <v/>
      </c>
      <c r="E12353" s="88">
        <f>INDEX(매칭테이블!C:D,MATCH(RD!G12353,매칭테이블!D:D,0),1)</f>
        <v/>
      </c>
      <c r="F12353" s="94" t="inlineStr">
        <is>
          <t>카페24</t>
        </is>
      </c>
      <c r="G12353" s="94" t="inlineStr">
        <is>
          <t>어성초 80 수분 진정 앰플앰플=어성초 80 앰플 1개-15%off</t>
        </is>
      </c>
      <c r="K12353" s="94" t="n">
        <v>10</v>
      </c>
      <c r="L12353" s="88" t="n">
        <v>201208</v>
      </c>
      <c r="M12353" s="88">
        <f>VLOOKUP($Q12353,매칭테이블!$F:$I,2,0)*K12353</f>
        <v/>
      </c>
      <c r="N12353" s="88">
        <f>M12353-M12353*VLOOKUP($Q12353,매칭테이블!$F:$I,3,0)</f>
        <v/>
      </c>
      <c r="O12353" s="88">
        <f>VLOOKUP($Q12353,매칭테이블!$F:$I,4,0)*K12353</f>
        <v/>
      </c>
      <c r="P12353" s="152">
        <f>M12353/1.1</f>
        <v/>
      </c>
      <c r="Q12353" s="88">
        <f>F12353&amp;E12353&amp;G12353&amp;L12353</f>
        <v/>
      </c>
    </row>
    <row r="12354" customFormat="1" s="94">
      <c r="B12354" s="128" t="n">
        <v>44184</v>
      </c>
      <c r="C12354" s="88">
        <f>TEXT(B12354,"aaa")</f>
        <v/>
      </c>
      <c r="E12354" s="88">
        <f>INDEX(매칭테이블!C:D,MATCH(RD!G12354,매칭테이블!D:D,0),1)</f>
        <v/>
      </c>
      <c r="F12354" s="94" t="inlineStr">
        <is>
          <t>카페24</t>
        </is>
      </c>
      <c r="G12354" s="94" t="inlineStr">
        <is>
          <t>어성초 80 수분 진정 앰플앰플=어성초 80 앰플 2개-27%off (무료배송)</t>
        </is>
      </c>
      <c r="K12354" s="94" t="n">
        <v>1</v>
      </c>
      <c r="L12354" s="88" t="n">
        <v>201208</v>
      </c>
      <c r="M12354" s="88">
        <f>VLOOKUP($Q12354,매칭테이블!$F:$I,2,0)*K12354</f>
        <v/>
      </c>
      <c r="N12354" s="88">
        <f>M12354-M12354*VLOOKUP($Q12354,매칭테이블!$F:$I,3,0)</f>
        <v/>
      </c>
      <c r="O12354" s="88">
        <f>VLOOKUP($Q12354,매칭테이블!$F:$I,4,0)*K12354</f>
        <v/>
      </c>
      <c r="P12354" s="152">
        <f>M12354/1.1</f>
        <v/>
      </c>
      <c r="Q12354" s="88">
        <f>F12354&amp;E12354&amp;G12354&amp;L12354</f>
        <v/>
      </c>
    </row>
    <row r="12355" customFormat="1" s="94">
      <c r="B12355" s="128" t="n">
        <v>44184</v>
      </c>
      <c r="C12355" s="88">
        <f>TEXT(B12355,"aaa")</f>
        <v/>
      </c>
      <c r="E12355" s="88">
        <f>INDEX(매칭테이블!C:D,MATCH(RD!G12355,매칭테이블!D:D,0),1)</f>
        <v/>
      </c>
      <c r="F12355" s="94" t="inlineStr">
        <is>
          <t>카페24</t>
        </is>
      </c>
      <c r="G12355" s="94" t="inlineStr">
        <is>
          <t>어성초 80 수분 진정 앰플</t>
        </is>
      </c>
      <c r="K12355" s="94" t="n">
        <v>1</v>
      </c>
      <c r="L12355" s="88" t="n">
        <v>201208</v>
      </c>
      <c r="M12355" s="88">
        <f>VLOOKUP($Q12355,매칭테이블!$F:$I,2,0)*K12355</f>
        <v/>
      </c>
      <c r="N12355" s="88">
        <f>M12355-M12355*VLOOKUP($Q12355,매칭테이블!$F:$I,3,0)</f>
        <v/>
      </c>
      <c r="O12355" s="88">
        <f>VLOOKUP($Q12355,매칭테이블!$F:$I,4,0)*K12355</f>
        <v/>
      </c>
      <c r="P12355" s="152">
        <f>M12355/1.1</f>
        <v/>
      </c>
      <c r="Q12355" s="88">
        <f>F12355&amp;E12355&amp;G12355&amp;L12355</f>
        <v/>
      </c>
    </row>
    <row r="12356" customFormat="1" s="94">
      <c r="B12356" s="128" t="n">
        <v>44184</v>
      </c>
      <c r="C12356" s="88">
        <f>TEXT(B12356,"aaa")</f>
        <v/>
      </c>
      <c r="E12356" s="88">
        <f>INDEX(매칭테이블!C:D,MATCH(RD!G12356,매칭테이블!D:D,0),1)</f>
        <v/>
      </c>
      <c r="F12356" s="94" t="inlineStr">
        <is>
          <t>카페24</t>
        </is>
      </c>
      <c r="G12356" s="94" t="inlineStr">
        <is>
          <t>어성초 약산성 클렌징폼클렌징폼=어성초 약산성 클렌징폼 1개 -19%off</t>
        </is>
      </c>
      <c r="K12356" s="94" t="n">
        <v>2</v>
      </c>
      <c r="L12356" s="88" t="n">
        <v>201208</v>
      </c>
      <c r="M12356" s="88">
        <f>VLOOKUP($Q12356,매칭테이블!$F:$I,2,0)*K12356</f>
        <v/>
      </c>
      <c r="N12356" s="88">
        <f>M12356-M12356*VLOOKUP($Q12356,매칭테이블!$F:$I,3,0)</f>
        <v/>
      </c>
      <c r="O12356" s="88">
        <f>VLOOKUP($Q12356,매칭테이블!$F:$I,4,0)*K12356</f>
        <v/>
      </c>
      <c r="P12356" s="152">
        <f>M12356/1.1</f>
        <v/>
      </c>
      <c r="Q12356" s="88">
        <f>F12356&amp;E12356&amp;G12356&amp;L12356</f>
        <v/>
      </c>
    </row>
    <row r="12357" customFormat="1" s="94">
      <c r="B12357" s="128" t="n">
        <v>44184</v>
      </c>
      <c r="C12357" s="88">
        <f>TEXT(B12357,"aaa")</f>
        <v/>
      </c>
      <c r="E12357" s="88">
        <f>INDEX(매칭테이블!C:D,MATCH(RD!G12357,매칭테이블!D:D,0),1)</f>
        <v/>
      </c>
      <c r="F12357" s="94" t="inlineStr">
        <is>
          <t>카페24</t>
        </is>
      </c>
      <c r="G12357" s="94" t="inlineStr">
        <is>
          <t>어성초 약산성 클렌징폼클렌징폼=어성초 약산성 클렌징폼 2개 -25%off</t>
        </is>
      </c>
      <c r="K12357" s="94" t="n">
        <v>2</v>
      </c>
      <c r="L12357" s="88" t="n">
        <v>201208</v>
      </c>
      <c r="M12357" s="88">
        <f>VLOOKUP($Q12357,매칭테이블!$F:$I,2,0)*K12357</f>
        <v/>
      </c>
      <c r="N12357" s="88">
        <f>M12357-M12357*VLOOKUP($Q12357,매칭테이블!$F:$I,3,0)</f>
        <v/>
      </c>
      <c r="O12357" s="88">
        <f>VLOOKUP($Q12357,매칭테이블!$F:$I,4,0)*K12357</f>
        <v/>
      </c>
      <c r="P12357" s="152">
        <f>M12357/1.1</f>
        <v/>
      </c>
      <c r="Q12357" s="88">
        <f>F12357&amp;E12357&amp;G12357&amp;L12357</f>
        <v/>
      </c>
    </row>
    <row r="12358" customFormat="1" s="94">
      <c r="B12358" s="128" t="n">
        <v>44184</v>
      </c>
      <c r="C12358" s="88">
        <f>TEXT(B12358,"aaa")</f>
        <v/>
      </c>
      <c r="E12358" s="88">
        <f>INDEX(매칭테이블!C:D,MATCH(RD!G12358,매칭테이블!D:D,0),1)</f>
        <v/>
      </c>
      <c r="F12358" s="94" t="inlineStr">
        <is>
          <t>카페24</t>
        </is>
      </c>
      <c r="G12358" s="94" t="inlineStr">
        <is>
          <t>어성초 약산성 클렌징폼클렌징폼=어성초 약산성 클렌징폼 3개 -31%off (무료배송)</t>
        </is>
      </c>
      <c r="K12358" s="94" t="n">
        <v>2</v>
      </c>
      <c r="L12358" s="88" t="n">
        <v>201208</v>
      </c>
      <c r="M12358" s="88">
        <f>VLOOKUP($Q12358,매칭테이블!$F:$I,2,0)*K12358</f>
        <v/>
      </c>
      <c r="N12358" s="88">
        <f>M12358-M12358*VLOOKUP($Q12358,매칭테이블!$F:$I,3,0)</f>
        <v/>
      </c>
      <c r="O12358" s="88">
        <f>VLOOKUP($Q12358,매칭테이블!$F:$I,4,0)*K12358</f>
        <v/>
      </c>
      <c r="P12358" s="152">
        <f>M12358/1.1</f>
        <v/>
      </c>
      <c r="Q12358" s="88">
        <f>F12358&amp;E12358&amp;G12358&amp;L12358</f>
        <v/>
      </c>
    </row>
    <row r="12359" customFormat="1" s="94">
      <c r="B12359" s="128" t="n">
        <v>44184</v>
      </c>
      <c r="C12359" s="88">
        <f>TEXT(B12359,"aaa")</f>
        <v/>
      </c>
      <c r="E12359" s="88">
        <f>INDEX(매칭테이블!C:D,MATCH(RD!G12359,매칭테이블!D:D,0),1)</f>
        <v/>
      </c>
      <c r="F12359" s="94" t="inlineStr">
        <is>
          <t>카페24</t>
        </is>
      </c>
      <c r="G12359" s="94" t="inlineStr">
        <is>
          <t>어성초 크림마스크 나이트 솔루션옵션=어성초 크림마스크 나이트 솔루션 10장 (-50%)</t>
        </is>
      </c>
      <c r="K12359" s="94" t="n">
        <v>3</v>
      </c>
      <c r="L12359" s="88" t="n">
        <v>201208</v>
      </c>
      <c r="M12359" s="88">
        <f>VLOOKUP($Q12359,매칭테이블!$F:$I,2,0)*K12359</f>
        <v/>
      </c>
      <c r="N12359" s="88">
        <f>M12359-M12359*VLOOKUP($Q12359,매칭테이블!$F:$I,3,0)</f>
        <v/>
      </c>
      <c r="O12359" s="88">
        <f>VLOOKUP($Q12359,매칭테이블!$F:$I,4,0)*K12359</f>
        <v/>
      </c>
      <c r="P12359" s="152">
        <f>M12359/1.1</f>
        <v/>
      </c>
      <c r="Q12359" s="88">
        <f>F12359&amp;E12359&amp;G12359&amp;L12359</f>
        <v/>
      </c>
    </row>
    <row r="12360" customFormat="1" s="94">
      <c r="B12360" s="128" t="n">
        <v>44184</v>
      </c>
      <c r="C12360" s="88">
        <f>TEXT(B12360,"aaa")</f>
        <v/>
      </c>
      <c r="E12360" s="88">
        <f>INDEX(매칭테이블!C:D,MATCH(RD!G12360,매칭테이블!D:D,0),1)</f>
        <v/>
      </c>
      <c r="F12360" s="94" t="inlineStr">
        <is>
          <t>카페24</t>
        </is>
      </c>
      <c r="G12360" s="94" t="inlineStr">
        <is>
          <t>촉촉 스킨팩 화장솜</t>
        </is>
      </c>
      <c r="K12360" s="94" t="n">
        <v>19</v>
      </c>
      <c r="L12360" s="88" t="n">
        <v>201208</v>
      </c>
      <c r="M12360" s="88">
        <f>VLOOKUP($Q12360,매칭테이블!$F:$I,2,0)*K12360</f>
        <v/>
      </c>
      <c r="N12360" s="88">
        <f>M12360-M12360*VLOOKUP($Q12360,매칭테이블!$F:$I,3,0)</f>
        <v/>
      </c>
      <c r="O12360" s="88">
        <f>VLOOKUP($Q12360,매칭테이블!$F:$I,4,0)*K12360</f>
        <v/>
      </c>
      <c r="P12360" s="152">
        <f>M12360/1.1</f>
        <v/>
      </c>
      <c r="Q12360" s="88">
        <f>F12360&amp;E12360&amp;G12360&amp;L12360</f>
        <v/>
      </c>
    </row>
    <row r="12361" customFormat="1" s="94">
      <c r="B12361" s="128" t="n">
        <v>44185</v>
      </c>
      <c r="C12361" s="88">
        <f>TEXT(B12361,"aaa")</f>
        <v/>
      </c>
      <c r="E12361" s="88">
        <f>INDEX(매칭테이블!C:D,MATCH(RD!G12361,매칭테이블!D:D,0),1)</f>
        <v/>
      </c>
      <c r="F12361" s="94" t="inlineStr">
        <is>
          <t>스타일쉐어</t>
        </is>
      </c>
      <c r="G12361" s="94" t="inlineStr">
        <is>
          <t>아누아 어성초 77 토너 250ml</t>
        </is>
      </c>
      <c r="K12361" s="94" t="n">
        <v>4</v>
      </c>
      <c r="L12361" s="88" t="n">
        <v>201208</v>
      </c>
      <c r="M12361" s="88">
        <f>VLOOKUP($Q12361,매칭테이블!$F:$I,2,0)*K12361</f>
        <v/>
      </c>
      <c r="N12361" s="88">
        <f>M12361-M12361*VLOOKUP($Q12361,매칭테이블!$F:$I,3,0)</f>
        <v/>
      </c>
      <c r="O12361" s="88">
        <f>VLOOKUP($Q12361,매칭테이블!$F:$I,4,0)*K12361</f>
        <v/>
      </c>
      <c r="P12361" s="152">
        <f>M12361/1.1</f>
        <v/>
      </c>
      <c r="Q12361" s="88">
        <f>F12361&amp;E12361&amp;G12361&amp;L12361</f>
        <v/>
      </c>
    </row>
    <row r="12362" customFormat="1" s="94">
      <c r="B12362" s="128" t="n">
        <v>44185</v>
      </c>
      <c r="C12362" s="88">
        <f>TEXT(B12362,"aaa")</f>
        <v/>
      </c>
      <c r="E12362" s="88">
        <f>INDEX(매칭테이블!C:D,MATCH(RD!G12362,매칭테이블!D:D,0),1)</f>
        <v/>
      </c>
      <c r="F12362" s="94" t="inlineStr">
        <is>
          <t>카페24</t>
        </is>
      </c>
      <c r="G12362" s="94" t="inlineStr">
        <is>
          <t>5 제로 무기자차 선크림옵션=5제로 무기자차 선크림 2개-30% off (무료배송)</t>
        </is>
      </c>
      <c r="K12362" s="94" t="n">
        <v>1</v>
      </c>
      <c r="L12362" s="88" t="n">
        <v>201208</v>
      </c>
      <c r="M12362" s="88">
        <f>VLOOKUP($Q12362,매칭테이블!$F:$I,2,0)*K12362</f>
        <v/>
      </c>
      <c r="N12362" s="88">
        <f>M12362-M12362*VLOOKUP($Q12362,매칭테이블!$F:$I,3,0)</f>
        <v/>
      </c>
      <c r="O12362" s="88">
        <f>VLOOKUP($Q12362,매칭테이블!$F:$I,4,0)*K12362</f>
        <v/>
      </c>
      <c r="P12362" s="152">
        <f>M12362/1.1</f>
        <v/>
      </c>
      <c r="Q12362" s="88">
        <f>F12362&amp;E12362&amp;G12362&amp;L12362</f>
        <v/>
      </c>
    </row>
    <row r="12363" customFormat="1" s="94">
      <c r="B12363" s="128" t="n">
        <v>44185</v>
      </c>
      <c r="C12363" s="88">
        <f>TEXT(B12363,"aaa")</f>
        <v/>
      </c>
      <c r="E12363" s="88">
        <f>INDEX(매칭테이블!C:D,MATCH(RD!G12363,매칭테이블!D:D,0),1)</f>
        <v/>
      </c>
      <c r="F12363" s="94" t="inlineStr">
        <is>
          <t>카페24</t>
        </is>
      </c>
      <c r="G12363" s="94" t="inlineStr">
        <is>
          <t>[수분 보충 세트] 어성초 77 토너 + 어성초 70 로션옵션=어성초 77 토너 250ml + 어성초 70 로션 200ml -30%</t>
        </is>
      </c>
      <c r="K12363" s="94" t="n">
        <v>26</v>
      </c>
      <c r="L12363" s="88" t="n">
        <v>201208</v>
      </c>
      <c r="M12363" s="88">
        <f>VLOOKUP($Q12363,매칭테이블!$F:$I,2,0)*K12363</f>
        <v/>
      </c>
      <c r="N12363" s="88">
        <f>M12363-M12363*VLOOKUP($Q12363,매칭테이블!$F:$I,3,0)</f>
        <v/>
      </c>
      <c r="O12363" s="88">
        <f>VLOOKUP($Q12363,매칭테이블!$F:$I,4,0)*K12363</f>
        <v/>
      </c>
      <c r="P12363" s="152">
        <f>M12363/1.1</f>
        <v/>
      </c>
      <c r="Q12363" s="88">
        <f>F12363&amp;E12363&amp;G12363&amp;L12363</f>
        <v/>
      </c>
    </row>
    <row r="12364" customFormat="1" s="94">
      <c r="B12364" s="128" t="n">
        <v>44185</v>
      </c>
      <c r="C12364" s="88">
        <f>TEXT(B12364,"aaa")</f>
        <v/>
      </c>
      <c r="E12364" s="88">
        <f>INDEX(매칭테이블!C:D,MATCH(RD!G12364,매칭테이블!D:D,0),1)</f>
        <v/>
      </c>
      <c r="F12364" s="94" t="inlineStr">
        <is>
          <t>카페24</t>
        </is>
      </c>
      <c r="G12364" s="94" t="inlineStr">
        <is>
          <t>[어성초 진정 패키지 세트] 대용량 토너 + 앰플 + 수딩 크림 + 마스크팩 10장</t>
        </is>
      </c>
      <c r="K12364" s="94" t="n">
        <v>1</v>
      </c>
      <c r="L12364" s="88" t="n">
        <v>201208</v>
      </c>
      <c r="M12364" s="88">
        <f>VLOOKUP($Q12364,매칭테이블!$F:$I,2,0)*K12364</f>
        <v/>
      </c>
      <c r="N12364" s="88">
        <f>M12364-M12364*VLOOKUP($Q12364,매칭테이블!$F:$I,3,0)</f>
        <v/>
      </c>
      <c r="O12364" s="88">
        <f>VLOOKUP($Q12364,매칭테이블!$F:$I,4,0)*K12364</f>
        <v/>
      </c>
      <c r="P12364" s="152">
        <f>M12364/1.1</f>
        <v/>
      </c>
      <c r="Q12364" s="88">
        <f>F12364&amp;E12364&amp;G12364&amp;L12364</f>
        <v/>
      </c>
    </row>
    <row r="12365" customFormat="1" s="94">
      <c r="B12365" s="128" t="n">
        <v>44185</v>
      </c>
      <c r="C12365" s="88">
        <f>TEXT(B12365,"aaa")</f>
        <v/>
      </c>
      <c r="E12365" s="88">
        <f>INDEX(매칭테이블!C:D,MATCH(RD!G12365,매칭테이블!D:D,0),1)</f>
        <v/>
      </c>
      <c r="F12365" s="94" t="inlineStr">
        <is>
          <t>카페24</t>
        </is>
      </c>
      <c r="G12365" s="94" t="inlineStr">
        <is>
          <t>대용량 어성초 77 수딩 토너 500ml</t>
        </is>
      </c>
      <c r="K12365" s="94" t="n">
        <v>29</v>
      </c>
      <c r="L12365" s="88" t="n">
        <v>201208</v>
      </c>
      <c r="M12365" s="88">
        <f>VLOOKUP($Q12365,매칭테이블!$F:$I,2,0)*K12365</f>
        <v/>
      </c>
      <c r="N12365" s="88">
        <f>M12365-M12365*VLOOKUP($Q12365,매칭테이블!$F:$I,3,0)</f>
        <v/>
      </c>
      <c r="O12365" s="88">
        <f>VLOOKUP($Q12365,매칭테이블!$F:$I,4,0)*K12365</f>
        <v/>
      </c>
      <c r="P12365" s="152">
        <f>M12365/1.1</f>
        <v/>
      </c>
      <c r="Q12365" s="88">
        <f>F12365&amp;E12365&amp;G12365&amp;L12365</f>
        <v/>
      </c>
    </row>
    <row r="12366" customFormat="1" s="94">
      <c r="B12366" s="128" t="n">
        <v>44185</v>
      </c>
      <c r="C12366" s="88">
        <f>TEXT(B12366,"aaa")</f>
        <v/>
      </c>
      <c r="E12366" s="88">
        <f>INDEX(매칭테이블!C:D,MATCH(RD!G12366,매칭테이블!D:D,0),1)</f>
        <v/>
      </c>
      <c r="F12366" s="94" t="inlineStr">
        <is>
          <t>카페24</t>
        </is>
      </c>
      <c r="G12366" s="94" t="inlineStr">
        <is>
          <t>대용량 어성초 77 토너 500ml</t>
        </is>
      </c>
      <c r="K12366" s="94" t="n">
        <v>2</v>
      </c>
      <c r="L12366" s="88" t="n">
        <v>201208</v>
      </c>
      <c r="M12366" s="88">
        <f>VLOOKUP($Q12366,매칭테이블!$F:$I,2,0)*K12366</f>
        <v/>
      </c>
      <c r="N12366" s="88">
        <f>M12366-M12366*VLOOKUP($Q12366,매칭테이블!$F:$I,3,0)</f>
        <v/>
      </c>
      <c r="O12366" s="88">
        <f>VLOOKUP($Q12366,매칭테이블!$F:$I,4,0)*K12366</f>
        <v/>
      </c>
      <c r="P12366" s="152">
        <f>M12366/1.1</f>
        <v/>
      </c>
      <c r="Q12366" s="88">
        <f>F12366&amp;E12366&amp;G12366&amp;L12366</f>
        <v/>
      </c>
    </row>
    <row r="12367" customFormat="1" s="94">
      <c r="B12367" s="128" t="n">
        <v>44185</v>
      </c>
      <c r="C12367" s="88">
        <f>TEXT(B12367,"aaa")</f>
        <v/>
      </c>
      <c r="E12367" s="88">
        <f>INDEX(매칭테이블!C:D,MATCH(RD!G12367,매칭테이블!D:D,0),1)</f>
        <v/>
      </c>
      <c r="F12367" s="94" t="inlineStr">
        <is>
          <t>카페24</t>
        </is>
      </c>
      <c r="G12367" s="94" t="inlineStr">
        <is>
          <t>어성초 70 데일리 릴리프 로션로션=어성초 70 데일리 릴리프 로션 1개 -20% off</t>
        </is>
      </c>
      <c r="K12367" s="94" t="n">
        <v>4</v>
      </c>
      <c r="L12367" s="88" t="n">
        <v>201208</v>
      </c>
      <c r="M12367" s="88">
        <f>VLOOKUP($Q12367,매칭테이블!$F:$I,2,0)*K12367</f>
        <v/>
      </c>
      <c r="N12367" s="88">
        <f>M12367-M12367*VLOOKUP($Q12367,매칭테이블!$F:$I,3,0)</f>
        <v/>
      </c>
      <c r="O12367" s="88">
        <f>VLOOKUP($Q12367,매칭테이블!$F:$I,4,0)*K12367</f>
        <v/>
      </c>
      <c r="P12367" s="152">
        <f>M12367/1.1</f>
        <v/>
      </c>
      <c r="Q12367" s="88">
        <f>F12367&amp;E12367&amp;G12367&amp;L12367</f>
        <v/>
      </c>
    </row>
    <row r="12368" customFormat="1" s="94">
      <c r="B12368" s="128" t="n">
        <v>44185</v>
      </c>
      <c r="C12368" s="88">
        <f>TEXT(B12368,"aaa")</f>
        <v/>
      </c>
      <c r="E12368" s="88">
        <f>INDEX(매칭테이블!C:D,MATCH(RD!G12368,매칭테이블!D:D,0),1)</f>
        <v/>
      </c>
      <c r="F12368" s="94" t="inlineStr">
        <is>
          <t>카페24</t>
        </is>
      </c>
      <c r="G12368" s="94" t="inlineStr">
        <is>
          <t>어성초 70 데일리 릴리프 로션로션=어성초 70 데일리 릴리프 로션 2개 -30% off</t>
        </is>
      </c>
      <c r="K12368" s="94" t="n">
        <v>2</v>
      </c>
      <c r="L12368" s="88" t="n">
        <v>201208</v>
      </c>
      <c r="M12368" s="88">
        <f>VLOOKUP($Q12368,매칭테이블!$F:$I,2,0)*K12368</f>
        <v/>
      </c>
      <c r="N12368" s="88">
        <f>M12368-M12368*VLOOKUP($Q12368,매칭테이블!$F:$I,3,0)</f>
        <v/>
      </c>
      <c r="O12368" s="88">
        <f>VLOOKUP($Q12368,매칭테이블!$F:$I,4,0)*K12368</f>
        <v/>
      </c>
      <c r="P12368" s="152">
        <f>M12368/1.1</f>
        <v/>
      </c>
      <c r="Q12368" s="88">
        <f>F12368&amp;E12368&amp;G12368&amp;L12368</f>
        <v/>
      </c>
    </row>
    <row r="12369" customFormat="1" s="94">
      <c r="B12369" s="128" t="n">
        <v>44185</v>
      </c>
      <c r="C12369" s="88">
        <f>TEXT(B12369,"aaa")</f>
        <v/>
      </c>
      <c r="E12369" s="88">
        <f>INDEX(매칭테이블!C:D,MATCH(RD!G12369,매칭테이블!D:D,0),1)</f>
        <v/>
      </c>
      <c r="F12369" s="94" t="inlineStr">
        <is>
          <t>카페24</t>
        </is>
      </c>
      <c r="G12369" s="94" t="inlineStr">
        <is>
          <t>어성초 70 머드 크림 마스크옵션=어성초 70 머드 크림 마스크-20% off</t>
        </is>
      </c>
      <c r="K12369" s="94" t="n">
        <v>1</v>
      </c>
      <c r="L12369" s="88" t="n">
        <v>201208</v>
      </c>
      <c r="M12369" s="88">
        <f>VLOOKUP($Q12369,매칭테이블!$F:$I,2,0)*K12369</f>
        <v/>
      </c>
      <c r="N12369" s="88">
        <f>M12369-M12369*VLOOKUP($Q12369,매칭테이블!$F:$I,3,0)</f>
        <v/>
      </c>
      <c r="O12369" s="88">
        <f>VLOOKUP($Q12369,매칭테이블!$F:$I,4,0)*K12369</f>
        <v/>
      </c>
      <c r="P12369" s="152">
        <f>M12369/1.1</f>
        <v/>
      </c>
      <c r="Q12369" s="88">
        <f>F12369&amp;E12369&amp;G12369&amp;L12369</f>
        <v/>
      </c>
    </row>
    <row r="12370" customFormat="1" s="94">
      <c r="B12370" s="128" t="n">
        <v>44185</v>
      </c>
      <c r="C12370" s="88">
        <f>TEXT(B12370,"aaa")</f>
        <v/>
      </c>
      <c r="E12370" s="88">
        <f>INDEX(매칭테이블!C:D,MATCH(RD!G12370,매칭테이블!D:D,0),1)</f>
        <v/>
      </c>
      <c r="F12370" s="94" t="inlineStr">
        <is>
          <t>카페24</t>
        </is>
      </c>
      <c r="G12370" s="94" t="inlineStr">
        <is>
          <t>어성초 70 머드 크림 마스크옵션=어성초 70 머드 크림 마스크 2개-30% off (무료배송)</t>
        </is>
      </c>
      <c r="K12370" s="94" t="n">
        <v>1</v>
      </c>
      <c r="L12370" s="88" t="n">
        <v>201208</v>
      </c>
      <c r="M12370" s="88">
        <f>VLOOKUP($Q12370,매칭테이블!$F:$I,2,0)*K12370</f>
        <v/>
      </c>
      <c r="N12370" s="88">
        <f>M12370-M12370*VLOOKUP($Q12370,매칭테이블!$F:$I,3,0)</f>
        <v/>
      </c>
      <c r="O12370" s="88">
        <f>VLOOKUP($Q12370,매칭테이블!$F:$I,4,0)*K12370</f>
        <v/>
      </c>
      <c r="P12370" s="152">
        <f>M12370/1.1</f>
        <v/>
      </c>
      <c r="Q12370" s="88">
        <f>F12370&amp;E12370&amp;G12370&amp;L12370</f>
        <v/>
      </c>
    </row>
    <row r="12371" customFormat="1" s="94">
      <c r="B12371" s="128" t="n">
        <v>44185</v>
      </c>
      <c r="C12371" s="88">
        <f>TEXT(B12371,"aaa")</f>
        <v/>
      </c>
      <c r="E12371" s="88">
        <f>INDEX(매칭테이블!C:D,MATCH(RD!G12371,매칭테이블!D:D,0),1)</f>
        <v/>
      </c>
      <c r="F12371" s="94" t="inlineStr">
        <is>
          <t>카페24</t>
        </is>
      </c>
      <c r="G12371" s="94" t="inlineStr">
        <is>
          <t>어성초 70 인텐스 카밍 크림크림=어성초 70 인텐스 카밍 크림 1개 (-20%)</t>
        </is>
      </c>
      <c r="K12371" s="94" t="n">
        <v>4</v>
      </c>
      <c r="L12371" s="88" t="n">
        <v>201208</v>
      </c>
      <c r="M12371" s="88">
        <f>VLOOKUP($Q12371,매칭테이블!$F:$I,2,0)*K12371</f>
        <v/>
      </c>
      <c r="N12371" s="88">
        <f>M12371-M12371*VLOOKUP($Q12371,매칭테이블!$F:$I,3,0)</f>
        <v/>
      </c>
      <c r="O12371" s="88">
        <f>VLOOKUP($Q12371,매칭테이블!$F:$I,4,0)*K12371</f>
        <v/>
      </c>
      <c r="P12371" s="152">
        <f>M12371/1.1</f>
        <v/>
      </c>
      <c r="Q12371" s="88">
        <f>F12371&amp;E12371&amp;G12371&amp;L12371</f>
        <v/>
      </c>
    </row>
    <row r="12372" customFormat="1" s="94">
      <c r="B12372" s="128" t="n">
        <v>44185</v>
      </c>
      <c r="C12372" s="88">
        <f>TEXT(B12372,"aaa")</f>
        <v/>
      </c>
      <c r="E12372" s="88">
        <f>INDEX(매칭테이블!C:D,MATCH(RD!G12372,매칭테이블!D:D,0),1)</f>
        <v/>
      </c>
      <c r="F12372" s="94" t="inlineStr">
        <is>
          <t>카페24</t>
        </is>
      </c>
      <c r="G12372" s="94" t="inlineStr">
        <is>
          <t>어성초 70 인텐스 카밍 크림크림=어성초 70 인텐스 카밍 크림 2개 (-30%)</t>
        </is>
      </c>
      <c r="K12372" s="94" t="n">
        <v>2</v>
      </c>
      <c r="L12372" s="88" t="n">
        <v>201208</v>
      </c>
      <c r="M12372" s="88">
        <f>VLOOKUP($Q12372,매칭테이블!$F:$I,2,0)*K12372</f>
        <v/>
      </c>
      <c r="N12372" s="88">
        <f>M12372-M12372*VLOOKUP($Q12372,매칭테이블!$F:$I,3,0)</f>
        <v/>
      </c>
      <c r="O12372" s="88">
        <f>VLOOKUP($Q12372,매칭테이블!$F:$I,4,0)*K12372</f>
        <v/>
      </c>
      <c r="P12372" s="152">
        <f>M12372/1.1</f>
        <v/>
      </c>
      <c r="Q12372" s="88">
        <f>F12372&amp;E12372&amp;G12372&amp;L12372</f>
        <v/>
      </c>
    </row>
    <row r="12373" customFormat="1" s="94">
      <c r="B12373" s="128" t="n">
        <v>44185</v>
      </c>
      <c r="C12373" s="88">
        <f>TEXT(B12373,"aaa")</f>
        <v/>
      </c>
      <c r="E12373" s="88">
        <f>INDEX(매칭테이블!C:D,MATCH(RD!G12373,매칭테이블!D:D,0),1)</f>
        <v/>
      </c>
      <c r="F12373" s="94" t="inlineStr">
        <is>
          <t>카페24</t>
        </is>
      </c>
      <c r="G12373" s="94" t="inlineStr">
        <is>
          <t>어성초 77 수딩 토너토너(필수)=어성초 77 토너 1개-20% off</t>
        </is>
      </c>
      <c r="K12373" s="94" t="n">
        <v>39</v>
      </c>
      <c r="L12373" s="88" t="n">
        <v>201208</v>
      </c>
      <c r="M12373" s="88">
        <f>VLOOKUP($Q12373,매칭테이블!$F:$I,2,0)*K12373</f>
        <v/>
      </c>
      <c r="N12373" s="88">
        <f>M12373-M12373*VLOOKUP($Q12373,매칭테이블!$F:$I,3,0)</f>
        <v/>
      </c>
      <c r="O12373" s="88">
        <f>VLOOKUP($Q12373,매칭테이블!$F:$I,4,0)*K12373</f>
        <v/>
      </c>
      <c r="P12373" s="152">
        <f>M12373/1.1</f>
        <v/>
      </c>
      <c r="Q12373" s="88">
        <f>F12373&amp;E12373&amp;G12373&amp;L12373</f>
        <v/>
      </c>
    </row>
    <row r="12374" customFormat="1" s="94">
      <c r="B12374" s="128" t="n">
        <v>44185</v>
      </c>
      <c r="C12374" s="88">
        <f>TEXT(B12374,"aaa")</f>
        <v/>
      </c>
      <c r="E12374" s="88">
        <f>INDEX(매칭테이블!C:D,MATCH(RD!G12374,매칭테이블!D:D,0),1)</f>
        <v/>
      </c>
      <c r="F12374" s="94" t="inlineStr">
        <is>
          <t>카페24</t>
        </is>
      </c>
      <c r="G12374" s="94" t="inlineStr">
        <is>
          <t>어성초 77 수딩 토너토너(필수)=어성초 77 토너 2개-30% off (무료배송)</t>
        </is>
      </c>
      <c r="K12374" s="94" t="n">
        <v>22</v>
      </c>
      <c r="L12374" s="88" t="n">
        <v>201208</v>
      </c>
      <c r="M12374" s="88">
        <f>VLOOKUP($Q12374,매칭테이블!$F:$I,2,0)*K12374</f>
        <v/>
      </c>
      <c r="N12374" s="88">
        <f>M12374-M12374*VLOOKUP($Q12374,매칭테이블!$F:$I,3,0)</f>
        <v/>
      </c>
      <c r="O12374" s="88">
        <f>VLOOKUP($Q12374,매칭테이블!$F:$I,4,0)*K12374</f>
        <v/>
      </c>
      <c r="P12374" s="152">
        <f>M12374/1.1</f>
        <v/>
      </c>
      <c r="Q12374" s="88">
        <f>F12374&amp;E12374&amp;G12374&amp;L12374</f>
        <v/>
      </c>
    </row>
    <row r="12375" customFormat="1" s="94">
      <c r="B12375" s="128" t="n">
        <v>44185</v>
      </c>
      <c r="C12375" s="88">
        <f>TEXT(B12375,"aaa")</f>
        <v/>
      </c>
      <c r="E12375" s="88">
        <f>INDEX(매칭테이블!C:D,MATCH(RD!G12375,매칭테이블!D:D,0),1)</f>
        <v/>
      </c>
      <c r="F12375" s="94" t="inlineStr">
        <is>
          <t>카페24</t>
        </is>
      </c>
      <c r="G12375" s="94" t="inlineStr">
        <is>
          <t>어성초 77 수딩 토너토너(필수)=어성초77토너1개 + 어성초77패드1개 -30% off (무료배송)</t>
        </is>
      </c>
      <c r="K12375" s="94" t="n">
        <v>9</v>
      </c>
      <c r="L12375" s="88" t="n">
        <v>201208</v>
      </c>
      <c r="M12375" s="88">
        <f>VLOOKUP($Q12375,매칭테이블!$F:$I,2,0)*K12375</f>
        <v/>
      </c>
      <c r="N12375" s="88">
        <f>M12375-M12375*VLOOKUP($Q12375,매칭테이블!$F:$I,3,0)</f>
        <v/>
      </c>
      <c r="O12375" s="88">
        <f>VLOOKUP($Q12375,매칭테이블!$F:$I,4,0)*K12375</f>
        <v/>
      </c>
      <c r="P12375" s="152">
        <f>M12375/1.1</f>
        <v/>
      </c>
      <c r="Q12375" s="88">
        <f>F12375&amp;E12375&amp;G12375&amp;L12375</f>
        <v/>
      </c>
    </row>
    <row r="12376" customFormat="1" s="94">
      <c r="B12376" s="128" t="n">
        <v>44185</v>
      </c>
      <c r="C12376" s="88">
        <f>TEXT(B12376,"aaa")</f>
        <v/>
      </c>
      <c r="E12376" s="88">
        <f>INDEX(매칭테이블!C:D,MATCH(RD!G12376,매칭테이블!D:D,0),1)</f>
        <v/>
      </c>
      <c r="F12376" s="94" t="inlineStr">
        <is>
          <t>카페24</t>
        </is>
      </c>
      <c r="G12376" s="94" t="inlineStr">
        <is>
          <t>어성초 77 수딩 토너화장솜(선택)=촉촉 스킨팩 화장솜</t>
        </is>
      </c>
      <c r="K12376" s="94" t="n">
        <v>21</v>
      </c>
      <c r="L12376" s="88" t="n">
        <v>201208</v>
      </c>
      <c r="M12376" s="88">
        <f>VLOOKUP($Q12376,매칭테이블!$F:$I,2,0)*K12376</f>
        <v/>
      </c>
      <c r="N12376" s="88">
        <f>M12376-M12376*VLOOKUP($Q12376,매칭테이블!$F:$I,3,0)</f>
        <v/>
      </c>
      <c r="O12376" s="88">
        <f>VLOOKUP($Q12376,매칭테이블!$F:$I,4,0)*K12376</f>
        <v/>
      </c>
      <c r="P12376" s="152">
        <f>M12376/1.1</f>
        <v/>
      </c>
      <c r="Q12376" s="88">
        <f>F12376&amp;E12376&amp;G12376&amp;L12376</f>
        <v/>
      </c>
    </row>
    <row r="12377" customFormat="1" s="94">
      <c r="B12377" s="128" t="n">
        <v>44185</v>
      </c>
      <c r="C12377" s="88">
        <f>TEXT(B12377,"aaa")</f>
        <v/>
      </c>
      <c r="E12377" s="88">
        <f>INDEX(매칭테이블!C:D,MATCH(RD!G12377,매칭테이블!D:D,0),1)</f>
        <v/>
      </c>
      <c r="F12377" s="94" t="inlineStr">
        <is>
          <t>카페24</t>
        </is>
      </c>
      <c r="G12377" s="94" t="inlineStr">
        <is>
          <t>어성초 77 수딩 토너토너(필수)=어성초 77 토너 1개-20% off</t>
        </is>
      </c>
      <c r="K12377" s="94" t="n">
        <v>1</v>
      </c>
      <c r="L12377" s="88" t="n">
        <v>201208</v>
      </c>
      <c r="M12377" s="88">
        <f>VLOOKUP($Q12377,매칭테이블!$F:$I,2,0)*K12377</f>
        <v/>
      </c>
      <c r="N12377" s="88">
        <f>M12377-M12377*VLOOKUP($Q12377,매칭테이블!$F:$I,3,0)</f>
        <v/>
      </c>
      <c r="O12377" s="88">
        <f>VLOOKUP($Q12377,매칭테이블!$F:$I,4,0)*K12377</f>
        <v/>
      </c>
      <c r="P12377" s="152">
        <f>M12377/1.1</f>
        <v/>
      </c>
      <c r="Q12377" s="88">
        <f>F12377&amp;E12377&amp;G12377&amp;L12377</f>
        <v/>
      </c>
    </row>
    <row r="12378" customFormat="1" s="94">
      <c r="B12378" s="128" t="n">
        <v>44185</v>
      </c>
      <c r="C12378" s="88">
        <f>TEXT(B12378,"aaa")</f>
        <v/>
      </c>
      <c r="E12378" s="88">
        <f>INDEX(매칭테이블!C:D,MATCH(RD!G12378,매칭테이블!D:D,0),1)</f>
        <v/>
      </c>
      <c r="F12378" s="94" t="inlineStr">
        <is>
          <t>카페24</t>
        </is>
      </c>
      <c r="G12378" s="94" t="inlineStr">
        <is>
          <t>어성초 77 수딩 토너토너(필수)=(대용량) 어성초 77 토너 500ml (무료배송)</t>
        </is>
      </c>
      <c r="K12378" s="94" t="n">
        <v>2</v>
      </c>
      <c r="L12378" s="88" t="n">
        <v>201208</v>
      </c>
      <c r="M12378" s="88">
        <f>VLOOKUP($Q12378,매칭테이블!$F:$I,2,0)*K12378</f>
        <v/>
      </c>
      <c r="N12378" s="88">
        <f>M12378-M12378*VLOOKUP($Q12378,매칭테이블!$F:$I,3,0)</f>
        <v/>
      </c>
      <c r="O12378" s="88">
        <f>VLOOKUP($Q12378,매칭테이블!$F:$I,4,0)*K12378</f>
        <v/>
      </c>
      <c r="P12378" s="152">
        <f>M12378/1.1</f>
        <v/>
      </c>
      <c r="Q12378" s="88">
        <f>F12378&amp;E12378&amp;G12378&amp;L12378</f>
        <v/>
      </c>
    </row>
    <row r="12379" customFormat="1" s="94">
      <c r="B12379" s="128" t="n">
        <v>44185</v>
      </c>
      <c r="C12379" s="88">
        <f>TEXT(B12379,"aaa")</f>
        <v/>
      </c>
      <c r="E12379" s="88">
        <f>INDEX(매칭테이블!C:D,MATCH(RD!G12379,매칭테이블!D:D,0),1)</f>
        <v/>
      </c>
      <c r="F12379" s="94" t="inlineStr">
        <is>
          <t>카페24</t>
        </is>
      </c>
      <c r="G12379" s="94" t="inlineStr">
        <is>
          <t>어성초 77 진정 마스크옵션=어성초 77 진정 마스크팩 10장-50% off</t>
        </is>
      </c>
      <c r="K12379" s="94" t="n">
        <v>6</v>
      </c>
      <c r="L12379" s="88" t="n">
        <v>201208</v>
      </c>
      <c r="M12379" s="88">
        <f>VLOOKUP($Q12379,매칭테이블!$F:$I,2,0)*K12379</f>
        <v/>
      </c>
      <c r="N12379" s="88">
        <f>M12379-M12379*VLOOKUP($Q12379,매칭테이블!$F:$I,3,0)</f>
        <v/>
      </c>
      <c r="O12379" s="88">
        <f>VLOOKUP($Q12379,매칭테이블!$F:$I,4,0)*K12379</f>
        <v/>
      </c>
      <c r="P12379" s="152">
        <f>M12379/1.1</f>
        <v/>
      </c>
      <c r="Q12379" s="88">
        <f>F12379&amp;E12379&amp;G12379&amp;L12379</f>
        <v/>
      </c>
    </row>
    <row r="12380" customFormat="1" s="94">
      <c r="B12380" s="128" t="n">
        <v>44185</v>
      </c>
      <c r="C12380" s="88">
        <f>TEXT(B12380,"aaa")</f>
        <v/>
      </c>
      <c r="E12380" s="88">
        <f>INDEX(매칭테이블!C:D,MATCH(RD!G12380,매칭테이블!D:D,0),1)</f>
        <v/>
      </c>
      <c r="F12380" s="94" t="inlineStr">
        <is>
          <t>카페24</t>
        </is>
      </c>
      <c r="G12380" s="94" t="inlineStr">
        <is>
          <t>어성초 77 진정 마스크</t>
        </is>
      </c>
      <c r="K12380" s="94" t="n">
        <v>3</v>
      </c>
      <c r="L12380" s="88" t="n">
        <v>201208</v>
      </c>
      <c r="M12380" s="88">
        <f>VLOOKUP($Q12380,매칭테이블!$F:$I,2,0)*K12380</f>
        <v/>
      </c>
      <c r="N12380" s="88">
        <f>M12380-M12380*VLOOKUP($Q12380,매칭테이블!$F:$I,3,0)</f>
        <v/>
      </c>
      <c r="O12380" s="88">
        <f>VLOOKUP($Q12380,매칭테이블!$F:$I,4,0)*K12380</f>
        <v/>
      </c>
      <c r="P12380" s="152">
        <f>M12380/1.1</f>
        <v/>
      </c>
      <c r="Q12380" s="88">
        <f>F12380&amp;E12380&amp;G12380&amp;L12380</f>
        <v/>
      </c>
    </row>
    <row r="12381" customFormat="1" s="94">
      <c r="B12381" s="128" t="n">
        <v>44185</v>
      </c>
      <c r="C12381" s="88">
        <f>TEXT(B12381,"aaa")</f>
        <v/>
      </c>
      <c r="E12381" s="88">
        <f>INDEX(매칭테이블!C:D,MATCH(RD!G12381,매칭테이블!D:D,0),1)</f>
        <v/>
      </c>
      <c r="F12381" s="94" t="inlineStr">
        <is>
          <t>카페24</t>
        </is>
      </c>
      <c r="G12381" s="94" t="inlineStr">
        <is>
          <t>어성초 77 클리어 패드옵션=어성초 77 클리어 패드 1개-20% off</t>
        </is>
      </c>
      <c r="K12381" s="94" t="n">
        <v>12</v>
      </c>
      <c r="L12381" s="88" t="n">
        <v>201208</v>
      </c>
      <c r="M12381" s="88">
        <f>VLOOKUP($Q12381,매칭테이블!$F:$I,2,0)*K12381</f>
        <v/>
      </c>
      <c r="N12381" s="88">
        <f>M12381-M12381*VLOOKUP($Q12381,매칭테이블!$F:$I,3,0)</f>
        <v/>
      </c>
      <c r="O12381" s="88">
        <f>VLOOKUP($Q12381,매칭테이블!$F:$I,4,0)*K12381</f>
        <v/>
      </c>
      <c r="P12381" s="152">
        <f>M12381/1.1</f>
        <v/>
      </c>
      <c r="Q12381" s="88">
        <f>F12381&amp;E12381&amp;G12381&amp;L12381</f>
        <v/>
      </c>
    </row>
    <row r="12382" customFormat="1" s="94">
      <c r="B12382" s="128" t="n">
        <v>44185</v>
      </c>
      <c r="C12382" s="88">
        <f>TEXT(B12382,"aaa")</f>
        <v/>
      </c>
      <c r="E12382" s="88">
        <f>INDEX(매칭테이블!C:D,MATCH(RD!G12382,매칭테이블!D:D,0),1)</f>
        <v/>
      </c>
      <c r="F12382" s="94" t="inlineStr">
        <is>
          <t>카페24</t>
        </is>
      </c>
      <c r="G12382" s="94" t="inlineStr">
        <is>
          <t>어성초 77 클리어 패드옵션=어성초 77 클리어 패드 2개-30% off (무료배송)</t>
        </is>
      </c>
      <c r="K12382" s="94" t="n">
        <v>23</v>
      </c>
      <c r="L12382" s="88" t="n">
        <v>201208</v>
      </c>
      <c r="M12382" s="88">
        <f>VLOOKUP($Q12382,매칭테이블!$F:$I,2,0)*K12382</f>
        <v/>
      </c>
      <c r="N12382" s="88">
        <f>M12382-M12382*VLOOKUP($Q12382,매칭테이블!$F:$I,3,0)</f>
        <v/>
      </c>
      <c r="O12382" s="88">
        <f>VLOOKUP($Q12382,매칭테이블!$F:$I,4,0)*K12382</f>
        <v/>
      </c>
      <c r="P12382" s="152">
        <f>M12382/1.1</f>
        <v/>
      </c>
      <c r="Q12382" s="88">
        <f>F12382&amp;E12382&amp;G12382&amp;L12382</f>
        <v/>
      </c>
    </row>
    <row r="12383" customFormat="1" s="94">
      <c r="B12383" s="128" t="n">
        <v>44185</v>
      </c>
      <c r="C12383" s="88">
        <f>TEXT(B12383,"aaa")</f>
        <v/>
      </c>
      <c r="E12383" s="88">
        <f>INDEX(매칭테이블!C:D,MATCH(RD!G12383,매칭테이블!D:D,0),1)</f>
        <v/>
      </c>
      <c r="F12383" s="94" t="inlineStr">
        <is>
          <t>카페24</t>
        </is>
      </c>
      <c r="G12383" s="94" t="inlineStr">
        <is>
          <t>어성초 77 클리어 패드옵션=어성초77토너1개+어성초77패드1개-30% off (무료배송)</t>
        </is>
      </c>
      <c r="K12383" s="94" t="n">
        <v>16</v>
      </c>
      <c r="L12383" s="88" t="n">
        <v>201208</v>
      </c>
      <c r="M12383" s="88">
        <f>VLOOKUP($Q12383,매칭테이블!$F:$I,2,0)*K12383</f>
        <v/>
      </c>
      <c r="N12383" s="88">
        <f>M12383-M12383*VLOOKUP($Q12383,매칭테이블!$F:$I,3,0)</f>
        <v/>
      </c>
      <c r="O12383" s="88">
        <f>VLOOKUP($Q12383,매칭테이블!$F:$I,4,0)*K12383</f>
        <v/>
      </c>
      <c r="P12383" s="152">
        <f>M12383/1.1</f>
        <v/>
      </c>
      <c r="Q12383" s="88">
        <f>F12383&amp;E12383&amp;G12383&amp;L12383</f>
        <v/>
      </c>
    </row>
    <row r="12384" customFormat="1" s="94">
      <c r="B12384" s="128" t="n">
        <v>44185</v>
      </c>
      <c r="C12384" s="88">
        <f>TEXT(B12384,"aaa")</f>
        <v/>
      </c>
      <c r="E12384" s="88">
        <f>INDEX(매칭테이블!C:D,MATCH(RD!G12384,매칭테이블!D:D,0),1)</f>
        <v/>
      </c>
      <c r="F12384" s="94" t="inlineStr">
        <is>
          <t>카페24</t>
        </is>
      </c>
      <c r="G12384" s="94" t="inlineStr">
        <is>
          <t>어성초 77 토너</t>
        </is>
      </c>
      <c r="K12384" s="94" t="n">
        <v>1</v>
      </c>
      <c r="L12384" s="88" t="n">
        <v>201208</v>
      </c>
      <c r="M12384" s="88">
        <f>VLOOKUP($Q12384,매칭테이블!$F:$I,2,0)*K12384</f>
        <v/>
      </c>
      <c r="N12384" s="88">
        <f>M12384-M12384*VLOOKUP($Q12384,매칭테이블!$F:$I,3,0)</f>
        <v/>
      </c>
      <c r="O12384" s="88">
        <f>VLOOKUP($Q12384,매칭테이블!$F:$I,4,0)*K12384</f>
        <v/>
      </c>
      <c r="P12384" s="152">
        <f>M12384/1.1</f>
        <v/>
      </c>
      <c r="Q12384" s="88">
        <f>F12384&amp;E12384&amp;G12384&amp;L12384</f>
        <v/>
      </c>
    </row>
    <row r="12385" customFormat="1" s="94">
      <c r="B12385" s="128" t="n">
        <v>44185</v>
      </c>
      <c r="C12385" s="88">
        <f>TEXT(B12385,"aaa")</f>
        <v/>
      </c>
      <c r="E12385" s="88">
        <f>INDEX(매칭테이블!C:D,MATCH(RD!G12385,매칭테이블!D:D,0),1)</f>
        <v/>
      </c>
      <c r="F12385" s="94" t="inlineStr">
        <is>
          <t>카페24</t>
        </is>
      </c>
      <c r="G12385" s="94" t="inlineStr">
        <is>
          <t>어성초 77 토너토너(필수)=어성초 77 토너 1개-20% off</t>
        </is>
      </c>
      <c r="K12385" s="94" t="n">
        <v>1</v>
      </c>
      <c r="L12385" s="88" t="n">
        <v>201208</v>
      </c>
      <c r="M12385" s="88">
        <f>VLOOKUP($Q12385,매칭테이블!$F:$I,2,0)*K12385</f>
        <v/>
      </c>
      <c r="N12385" s="88">
        <f>M12385-M12385*VLOOKUP($Q12385,매칭테이블!$F:$I,3,0)</f>
        <v/>
      </c>
      <c r="O12385" s="88">
        <f>VLOOKUP($Q12385,매칭테이블!$F:$I,4,0)*K12385</f>
        <v/>
      </c>
      <c r="P12385" s="152">
        <f>M12385/1.1</f>
        <v/>
      </c>
      <c r="Q12385" s="88">
        <f>F12385&amp;E12385&amp;G12385&amp;L12385</f>
        <v/>
      </c>
    </row>
    <row r="12386" customFormat="1" s="94">
      <c r="B12386" s="128" t="n">
        <v>44185</v>
      </c>
      <c r="C12386" s="88">
        <f>TEXT(B12386,"aaa")</f>
        <v/>
      </c>
      <c r="E12386" s="88">
        <f>INDEX(매칭테이블!C:D,MATCH(RD!G12386,매칭테이블!D:D,0),1)</f>
        <v/>
      </c>
      <c r="F12386" s="94" t="inlineStr">
        <is>
          <t>카페24</t>
        </is>
      </c>
      <c r="G12386" s="94" t="inlineStr">
        <is>
          <t>어성초 77 토너토너(필수)=어성초 77 토너 2개-30% off (무료배송)</t>
        </is>
      </c>
      <c r="K12386" s="94" t="n">
        <v>1</v>
      </c>
      <c r="L12386" s="88" t="n">
        <v>201208</v>
      </c>
      <c r="M12386" s="88">
        <f>VLOOKUP($Q12386,매칭테이블!$F:$I,2,0)*K12386</f>
        <v/>
      </c>
      <c r="N12386" s="88">
        <f>M12386-M12386*VLOOKUP($Q12386,매칭테이블!$F:$I,3,0)</f>
        <v/>
      </c>
      <c r="O12386" s="88">
        <f>VLOOKUP($Q12386,매칭테이블!$F:$I,4,0)*K12386</f>
        <v/>
      </c>
      <c r="P12386" s="152">
        <f>M12386/1.1</f>
        <v/>
      </c>
      <c r="Q12386" s="88">
        <f>F12386&amp;E12386&amp;G12386&amp;L12386</f>
        <v/>
      </c>
    </row>
    <row r="12387" customFormat="1" s="94">
      <c r="B12387" s="128" t="n">
        <v>44185</v>
      </c>
      <c r="C12387" s="88">
        <f>TEXT(B12387,"aaa")</f>
        <v/>
      </c>
      <c r="E12387" s="88">
        <f>INDEX(매칭테이블!C:D,MATCH(RD!G12387,매칭테이블!D:D,0),1)</f>
        <v/>
      </c>
      <c r="F12387" s="94" t="inlineStr">
        <is>
          <t>카페24</t>
        </is>
      </c>
      <c r="G12387" s="94" t="inlineStr">
        <is>
          <t>어성초 77 토너화장솜(선택)=촉촉 스킨팩 화장솜</t>
        </is>
      </c>
      <c r="K12387" s="94" t="n">
        <v>1</v>
      </c>
      <c r="L12387" s="88" t="n">
        <v>201208</v>
      </c>
      <c r="M12387" s="88">
        <f>VLOOKUP($Q12387,매칭테이블!$F:$I,2,0)*K12387</f>
        <v/>
      </c>
      <c r="N12387" s="88">
        <f>M12387-M12387*VLOOKUP($Q12387,매칭테이블!$F:$I,3,0)</f>
        <v/>
      </c>
      <c r="O12387" s="88">
        <f>VLOOKUP($Q12387,매칭테이블!$F:$I,4,0)*K12387</f>
        <v/>
      </c>
      <c r="P12387" s="152">
        <f>M12387/1.1</f>
        <v/>
      </c>
      <c r="Q12387" s="88">
        <f>F12387&amp;E12387&amp;G12387&amp;L12387</f>
        <v/>
      </c>
    </row>
    <row r="12388" customFormat="1" s="94">
      <c r="B12388" s="128" t="n">
        <v>44185</v>
      </c>
      <c r="C12388" s="88">
        <f>TEXT(B12388,"aaa")</f>
        <v/>
      </c>
      <c r="E12388" s="88">
        <f>INDEX(매칭테이블!C:D,MATCH(RD!G12388,매칭테이블!D:D,0),1)</f>
        <v/>
      </c>
      <c r="F12388" s="94" t="inlineStr">
        <is>
          <t>카페24</t>
        </is>
      </c>
      <c r="G12388" s="94" t="inlineStr">
        <is>
          <t>어성초 77 포어 클리어 패드옵션=어성초 77 클리어 패드 1개-20% off</t>
        </is>
      </c>
      <c r="K12388" s="94" t="n">
        <v>3</v>
      </c>
      <c r="L12388" s="88" t="n">
        <v>201208</v>
      </c>
      <c r="M12388" s="88">
        <f>VLOOKUP($Q12388,매칭테이블!$F:$I,2,0)*K12388</f>
        <v/>
      </c>
      <c r="N12388" s="88">
        <f>M12388-M12388*VLOOKUP($Q12388,매칭테이블!$F:$I,3,0)</f>
        <v/>
      </c>
      <c r="O12388" s="88">
        <f>VLOOKUP($Q12388,매칭테이블!$F:$I,4,0)*K12388</f>
        <v/>
      </c>
      <c r="P12388" s="152">
        <f>M12388/1.1</f>
        <v/>
      </c>
      <c r="Q12388" s="88">
        <f>F12388&amp;E12388&amp;G12388&amp;L12388</f>
        <v/>
      </c>
    </row>
    <row r="12389" customFormat="1" s="94">
      <c r="B12389" s="128" t="n">
        <v>44185</v>
      </c>
      <c r="C12389" s="88">
        <f>TEXT(B12389,"aaa")</f>
        <v/>
      </c>
      <c r="E12389" s="88">
        <f>INDEX(매칭테이블!C:D,MATCH(RD!G12389,매칭테이블!D:D,0),1)</f>
        <v/>
      </c>
      <c r="F12389" s="94" t="inlineStr">
        <is>
          <t>카페24</t>
        </is>
      </c>
      <c r="G12389" s="94" t="inlineStr">
        <is>
          <t>어성초 77 포어 클리어 패드옵션=어성초 77 클리어 패드 2개-30% off (무료배송)</t>
        </is>
      </c>
      <c r="K12389" s="94" t="n">
        <v>11</v>
      </c>
      <c r="L12389" s="88" t="n">
        <v>201208</v>
      </c>
      <c r="M12389" s="88">
        <f>VLOOKUP($Q12389,매칭테이블!$F:$I,2,0)*K12389</f>
        <v/>
      </c>
      <c r="N12389" s="88">
        <f>M12389-M12389*VLOOKUP($Q12389,매칭테이블!$F:$I,3,0)</f>
        <v/>
      </c>
      <c r="O12389" s="88">
        <f>VLOOKUP($Q12389,매칭테이블!$F:$I,4,0)*K12389</f>
        <v/>
      </c>
      <c r="P12389" s="152">
        <f>M12389/1.1</f>
        <v/>
      </c>
      <c r="Q12389" s="88">
        <f>F12389&amp;E12389&amp;G12389&amp;L12389</f>
        <v/>
      </c>
    </row>
    <row r="12390" customFormat="1" s="94">
      <c r="B12390" s="128" t="n">
        <v>44185</v>
      </c>
      <c r="C12390" s="88">
        <f>TEXT(B12390,"aaa")</f>
        <v/>
      </c>
      <c r="E12390" s="88">
        <f>INDEX(매칭테이블!C:D,MATCH(RD!G12390,매칭테이블!D:D,0),1)</f>
        <v/>
      </c>
      <c r="F12390" s="94" t="inlineStr">
        <is>
          <t>카페24</t>
        </is>
      </c>
      <c r="G12390" s="94" t="inlineStr">
        <is>
          <t>어성초 77 포어 클리어 패드옵션=어성초77토너1개+어성초77패드1개-30% off (무료배송)</t>
        </is>
      </c>
      <c r="K12390" s="94" t="n">
        <v>3</v>
      </c>
      <c r="L12390" s="88" t="n">
        <v>201208</v>
      </c>
      <c r="M12390" s="88">
        <f>VLOOKUP($Q12390,매칭테이블!$F:$I,2,0)*K12390</f>
        <v/>
      </c>
      <c r="N12390" s="88">
        <f>M12390-M12390*VLOOKUP($Q12390,매칭테이블!$F:$I,3,0)</f>
        <v/>
      </c>
      <c r="O12390" s="88">
        <f>VLOOKUP($Q12390,매칭테이블!$F:$I,4,0)*K12390</f>
        <v/>
      </c>
      <c r="P12390" s="152">
        <f>M12390/1.1</f>
        <v/>
      </c>
      <c r="Q12390" s="88">
        <f>F12390&amp;E12390&amp;G12390&amp;L12390</f>
        <v/>
      </c>
    </row>
    <row r="12391" customFormat="1" s="94">
      <c r="B12391" s="128" t="n">
        <v>44185</v>
      </c>
      <c r="C12391" s="88">
        <f>TEXT(B12391,"aaa")</f>
        <v/>
      </c>
      <c r="E12391" s="88">
        <f>INDEX(매칭테이블!C:D,MATCH(RD!G12391,매칭테이블!D:D,0),1)</f>
        <v/>
      </c>
      <c r="F12391" s="94" t="inlineStr">
        <is>
          <t>카페24</t>
        </is>
      </c>
      <c r="G12391" s="94" t="inlineStr">
        <is>
          <t>어성초 77% 패드옵션=어성초 77 클리어 패드 1개-20% off</t>
        </is>
      </c>
      <c r="K12391" s="94" t="n">
        <v>6</v>
      </c>
      <c r="L12391" s="88" t="n">
        <v>201208</v>
      </c>
      <c r="M12391" s="88">
        <f>VLOOKUP($Q12391,매칭테이블!$F:$I,2,0)*K12391</f>
        <v/>
      </c>
      <c r="N12391" s="88">
        <f>M12391-M12391*VLOOKUP($Q12391,매칭테이블!$F:$I,3,0)</f>
        <v/>
      </c>
      <c r="O12391" s="88">
        <f>VLOOKUP($Q12391,매칭테이블!$F:$I,4,0)*K12391</f>
        <v/>
      </c>
      <c r="P12391" s="152">
        <f>M12391/1.1</f>
        <v/>
      </c>
      <c r="Q12391" s="88">
        <f>F12391&amp;E12391&amp;G12391&amp;L12391</f>
        <v/>
      </c>
    </row>
    <row r="12392" customFormat="1" s="94">
      <c r="B12392" s="128" t="n">
        <v>44185</v>
      </c>
      <c r="C12392" s="88">
        <f>TEXT(B12392,"aaa")</f>
        <v/>
      </c>
      <c r="E12392" s="88">
        <f>INDEX(매칭테이블!C:D,MATCH(RD!G12392,매칭테이블!D:D,0),1)</f>
        <v/>
      </c>
      <c r="F12392" s="94" t="inlineStr">
        <is>
          <t>카페24</t>
        </is>
      </c>
      <c r="G12392" s="94" t="inlineStr">
        <is>
          <t>어성초 77% 패드옵션=어성초 77 클리어 패드 2개-30% off (무료배송)</t>
        </is>
      </c>
      <c r="K12392" s="94" t="n">
        <v>4</v>
      </c>
      <c r="L12392" s="88" t="n">
        <v>201208</v>
      </c>
      <c r="M12392" s="88">
        <f>VLOOKUP($Q12392,매칭테이블!$F:$I,2,0)*K12392</f>
        <v/>
      </c>
      <c r="N12392" s="88">
        <f>M12392-M12392*VLOOKUP($Q12392,매칭테이블!$F:$I,3,0)</f>
        <v/>
      </c>
      <c r="O12392" s="88">
        <f>VLOOKUP($Q12392,매칭테이블!$F:$I,4,0)*K12392</f>
        <v/>
      </c>
      <c r="P12392" s="152">
        <f>M12392/1.1</f>
        <v/>
      </c>
      <c r="Q12392" s="88">
        <f>F12392&amp;E12392&amp;G12392&amp;L12392</f>
        <v/>
      </c>
    </row>
    <row r="12393" customFormat="1" s="94">
      <c r="B12393" s="128" t="n">
        <v>44185</v>
      </c>
      <c r="C12393" s="88">
        <f>TEXT(B12393,"aaa")</f>
        <v/>
      </c>
      <c r="E12393" s="88">
        <f>INDEX(매칭테이블!C:D,MATCH(RD!G12393,매칭테이블!D:D,0),1)</f>
        <v/>
      </c>
      <c r="F12393" s="94" t="inlineStr">
        <is>
          <t>카페24</t>
        </is>
      </c>
      <c r="G12393" s="94" t="inlineStr">
        <is>
          <t>어성초 77% 패드옵션=어성초77토너1개+어성초77패드1개-30% off (무료배송)</t>
        </is>
      </c>
      <c r="K12393" s="94" t="n">
        <v>10</v>
      </c>
      <c r="L12393" s="88" t="n">
        <v>201208</v>
      </c>
      <c r="M12393" s="88">
        <f>VLOOKUP($Q12393,매칭테이블!$F:$I,2,0)*K12393</f>
        <v/>
      </c>
      <c r="N12393" s="88">
        <f>M12393-M12393*VLOOKUP($Q12393,매칭테이블!$F:$I,3,0)</f>
        <v/>
      </c>
      <c r="O12393" s="88">
        <f>VLOOKUP($Q12393,매칭테이블!$F:$I,4,0)*K12393</f>
        <v/>
      </c>
      <c r="P12393" s="152">
        <f>M12393/1.1</f>
        <v/>
      </c>
      <c r="Q12393" s="88">
        <f>F12393&amp;E12393&amp;G12393&amp;L12393</f>
        <v/>
      </c>
    </row>
    <row r="12394" customFormat="1" s="94">
      <c r="B12394" s="128" t="n">
        <v>44185</v>
      </c>
      <c r="C12394" s="88">
        <f>TEXT(B12394,"aaa")</f>
        <v/>
      </c>
      <c r="E12394" s="88">
        <f>INDEX(매칭테이블!C:D,MATCH(RD!G12394,매칭테이블!D:D,0),1)</f>
        <v/>
      </c>
      <c r="F12394" s="94" t="inlineStr">
        <is>
          <t>카페24</t>
        </is>
      </c>
      <c r="G12394" s="94" t="inlineStr">
        <is>
          <t>어성초 78 수딩 크림</t>
        </is>
      </c>
      <c r="K12394" s="94" t="n">
        <v>10</v>
      </c>
      <c r="L12394" s="88" t="n">
        <v>201208</v>
      </c>
      <c r="M12394" s="88">
        <f>VLOOKUP($Q12394,매칭테이블!$F:$I,2,0)*K12394</f>
        <v/>
      </c>
      <c r="N12394" s="88">
        <f>M12394-M12394*VLOOKUP($Q12394,매칭테이블!$F:$I,3,0)</f>
        <v/>
      </c>
      <c r="O12394" s="88">
        <f>VLOOKUP($Q12394,매칭테이블!$F:$I,4,0)*K12394</f>
        <v/>
      </c>
      <c r="P12394" s="152">
        <f>M12394/1.1</f>
        <v/>
      </c>
      <c r="Q12394" s="88">
        <f>F12394&amp;E12394&amp;G12394&amp;L12394</f>
        <v/>
      </c>
    </row>
    <row r="12395" customFormat="1" s="94">
      <c r="B12395" s="128" t="n">
        <v>44185</v>
      </c>
      <c r="C12395" s="88">
        <f>TEXT(B12395,"aaa")</f>
        <v/>
      </c>
      <c r="E12395" s="88">
        <f>INDEX(매칭테이블!C:D,MATCH(RD!G12395,매칭테이블!D:D,0),1)</f>
        <v/>
      </c>
      <c r="F12395" s="94" t="inlineStr">
        <is>
          <t>카페24</t>
        </is>
      </c>
      <c r="G12395" s="94" t="inlineStr">
        <is>
          <t>어성초 78 수딩 크림</t>
        </is>
      </c>
      <c r="K12395" s="94" t="n">
        <v>1</v>
      </c>
      <c r="L12395" s="88" t="n">
        <v>201208</v>
      </c>
      <c r="M12395" s="88">
        <f>VLOOKUP($Q12395,매칭테이블!$F:$I,2,0)*K12395</f>
        <v/>
      </c>
      <c r="N12395" s="88">
        <f>M12395-M12395*VLOOKUP($Q12395,매칭테이블!$F:$I,3,0)</f>
        <v/>
      </c>
      <c r="O12395" s="88">
        <f>VLOOKUP($Q12395,매칭테이블!$F:$I,4,0)*K12395</f>
        <v/>
      </c>
      <c r="P12395" s="152">
        <f>M12395/1.1</f>
        <v/>
      </c>
      <c r="Q12395" s="88">
        <f>F12395&amp;E12395&amp;G12395&amp;L12395</f>
        <v/>
      </c>
    </row>
    <row r="12396" customFormat="1" s="94">
      <c r="B12396" s="128" t="n">
        <v>44185</v>
      </c>
      <c r="C12396" s="88">
        <f>TEXT(B12396,"aaa")</f>
        <v/>
      </c>
      <c r="E12396" s="88">
        <f>INDEX(매칭테이블!C:D,MATCH(RD!G12396,매칭테이블!D:D,0),1)</f>
        <v/>
      </c>
      <c r="F12396" s="94" t="inlineStr">
        <is>
          <t>카페24</t>
        </is>
      </c>
      <c r="G12396" s="94" t="inlineStr">
        <is>
          <t>어성초 80 수분 진정 앰플앰플=어성초 80 앰플 1개-15%off</t>
        </is>
      </c>
      <c r="K12396" s="94" t="n">
        <v>17</v>
      </c>
      <c r="L12396" s="88" t="n">
        <v>201208</v>
      </c>
      <c r="M12396" s="88">
        <f>VLOOKUP($Q12396,매칭테이블!$F:$I,2,0)*K12396</f>
        <v/>
      </c>
      <c r="N12396" s="88">
        <f>M12396-M12396*VLOOKUP($Q12396,매칭테이블!$F:$I,3,0)</f>
        <v/>
      </c>
      <c r="O12396" s="88">
        <f>VLOOKUP($Q12396,매칭테이블!$F:$I,4,0)*K12396</f>
        <v/>
      </c>
      <c r="P12396" s="152">
        <f>M12396/1.1</f>
        <v/>
      </c>
      <c r="Q12396" s="88">
        <f>F12396&amp;E12396&amp;G12396&amp;L12396</f>
        <v/>
      </c>
    </row>
    <row r="12397" customFormat="1" s="94">
      <c r="B12397" s="128" t="n">
        <v>44185</v>
      </c>
      <c r="C12397" s="88">
        <f>TEXT(B12397,"aaa")</f>
        <v/>
      </c>
      <c r="E12397" s="88">
        <f>INDEX(매칭테이블!C:D,MATCH(RD!G12397,매칭테이블!D:D,0),1)</f>
        <v/>
      </c>
      <c r="F12397" s="94" t="inlineStr">
        <is>
          <t>카페24</t>
        </is>
      </c>
      <c r="G12397" s="94" t="inlineStr">
        <is>
          <t>어성초 80 수분 진정 앰플앰플=어성초 80 앰플 2개-27%off (무료배송)</t>
        </is>
      </c>
      <c r="K12397" s="94" t="n">
        <v>3</v>
      </c>
      <c r="L12397" s="88" t="n">
        <v>201208</v>
      </c>
      <c r="M12397" s="88">
        <f>VLOOKUP($Q12397,매칭테이블!$F:$I,2,0)*K12397</f>
        <v/>
      </c>
      <c r="N12397" s="88">
        <f>M12397-M12397*VLOOKUP($Q12397,매칭테이블!$F:$I,3,0)</f>
        <v/>
      </c>
      <c r="O12397" s="88">
        <f>VLOOKUP($Q12397,매칭테이블!$F:$I,4,0)*K12397</f>
        <v/>
      </c>
      <c r="P12397" s="152">
        <f>M12397/1.1</f>
        <v/>
      </c>
      <c r="Q12397" s="88">
        <f>F12397&amp;E12397&amp;G12397&amp;L12397</f>
        <v/>
      </c>
    </row>
    <row r="12398" customFormat="1" s="94">
      <c r="B12398" s="128" t="n">
        <v>44185</v>
      </c>
      <c r="C12398" s="88">
        <f>TEXT(B12398,"aaa")</f>
        <v/>
      </c>
      <c r="E12398" s="88">
        <f>INDEX(매칭테이블!C:D,MATCH(RD!G12398,매칭테이블!D:D,0),1)</f>
        <v/>
      </c>
      <c r="F12398" s="94" t="inlineStr">
        <is>
          <t>카페24</t>
        </is>
      </c>
      <c r="G12398" s="94" t="inlineStr">
        <is>
          <t>어성초 80 수분 진정 앰플</t>
        </is>
      </c>
      <c r="K12398" s="94" t="n">
        <v>3</v>
      </c>
      <c r="L12398" s="88" t="n">
        <v>201208</v>
      </c>
      <c r="M12398" s="88">
        <f>VLOOKUP($Q12398,매칭테이블!$F:$I,2,0)*K12398</f>
        <v/>
      </c>
      <c r="N12398" s="88">
        <f>M12398-M12398*VLOOKUP($Q12398,매칭테이블!$F:$I,3,0)</f>
        <v/>
      </c>
      <c r="O12398" s="88">
        <f>VLOOKUP($Q12398,매칭테이블!$F:$I,4,0)*K12398</f>
        <v/>
      </c>
      <c r="P12398" s="152">
        <f>M12398/1.1</f>
        <v/>
      </c>
      <c r="Q12398" s="88">
        <f>F12398&amp;E12398&amp;G12398&amp;L12398</f>
        <v/>
      </c>
    </row>
    <row r="12399" customFormat="1" s="94">
      <c r="B12399" s="128" t="n">
        <v>44185</v>
      </c>
      <c r="C12399" s="88">
        <f>TEXT(B12399,"aaa")</f>
        <v/>
      </c>
      <c r="E12399" s="88">
        <f>INDEX(매칭테이블!C:D,MATCH(RD!G12399,매칭테이블!D:D,0),1)</f>
        <v/>
      </c>
      <c r="F12399" s="94" t="inlineStr">
        <is>
          <t>카페24</t>
        </is>
      </c>
      <c r="G12399" s="94" t="inlineStr">
        <is>
          <t>어성초 아크네 바디워시옵션=어성초 아크네 바디워시 1개 -30% off</t>
        </is>
      </c>
      <c r="K12399" s="94" t="n">
        <v>2</v>
      </c>
      <c r="L12399" s="88" t="n">
        <v>201208</v>
      </c>
      <c r="M12399" s="88">
        <f>VLOOKUP($Q12399,매칭테이블!$F:$I,2,0)*K12399</f>
        <v/>
      </c>
      <c r="N12399" s="88">
        <f>M12399-M12399*VLOOKUP($Q12399,매칭테이블!$F:$I,3,0)</f>
        <v/>
      </c>
      <c r="O12399" s="88">
        <f>VLOOKUP($Q12399,매칭테이블!$F:$I,4,0)*K12399</f>
        <v/>
      </c>
      <c r="P12399" s="152">
        <f>M12399/1.1</f>
        <v/>
      </c>
      <c r="Q12399" s="88">
        <f>F12399&amp;E12399&amp;G12399&amp;L12399</f>
        <v/>
      </c>
    </row>
    <row r="12400" customFormat="1" s="94">
      <c r="B12400" s="128" t="n">
        <v>44185</v>
      </c>
      <c r="C12400" s="88">
        <f>TEXT(B12400,"aaa")</f>
        <v/>
      </c>
      <c r="E12400" s="88">
        <f>INDEX(매칭테이블!C:D,MATCH(RD!G12400,매칭테이블!D:D,0),1)</f>
        <v/>
      </c>
      <c r="F12400" s="94" t="inlineStr">
        <is>
          <t>카페24</t>
        </is>
      </c>
      <c r="G12400" s="94" t="inlineStr">
        <is>
          <t>어성초 약산성 클렌징폼클렌징폼=어성초 약산성 클렌징폼 1개 -19%off</t>
        </is>
      </c>
      <c r="K12400" s="94" t="n">
        <v>6</v>
      </c>
      <c r="L12400" s="88" t="n">
        <v>201208</v>
      </c>
      <c r="M12400" s="88">
        <f>VLOOKUP($Q12400,매칭테이블!$F:$I,2,0)*K12400</f>
        <v/>
      </c>
      <c r="N12400" s="88">
        <f>M12400-M12400*VLOOKUP($Q12400,매칭테이블!$F:$I,3,0)</f>
        <v/>
      </c>
      <c r="O12400" s="88">
        <f>VLOOKUP($Q12400,매칭테이블!$F:$I,4,0)*K12400</f>
        <v/>
      </c>
      <c r="P12400" s="152">
        <f>M12400/1.1</f>
        <v/>
      </c>
      <c r="Q12400" s="88">
        <f>F12400&amp;E12400&amp;G12400&amp;L12400</f>
        <v/>
      </c>
    </row>
    <row r="12401" customFormat="1" s="94">
      <c r="B12401" s="128" t="n">
        <v>44185</v>
      </c>
      <c r="C12401" s="88">
        <f>TEXT(B12401,"aaa")</f>
        <v/>
      </c>
      <c r="E12401" s="88">
        <f>INDEX(매칭테이블!C:D,MATCH(RD!G12401,매칭테이블!D:D,0),1)</f>
        <v/>
      </c>
      <c r="F12401" s="94" t="inlineStr">
        <is>
          <t>카페24</t>
        </is>
      </c>
      <c r="G12401" s="94" t="inlineStr">
        <is>
          <t>어성초 약산성 클렌징폼클렌징폼=어성초 약산성 클렌징폼 2개 -25%off</t>
        </is>
      </c>
      <c r="K12401" s="94" t="n">
        <v>4</v>
      </c>
      <c r="L12401" s="88" t="n">
        <v>201208</v>
      </c>
      <c r="M12401" s="88">
        <f>VLOOKUP($Q12401,매칭테이블!$F:$I,2,0)*K12401</f>
        <v/>
      </c>
      <c r="N12401" s="88">
        <f>M12401-M12401*VLOOKUP($Q12401,매칭테이블!$F:$I,3,0)</f>
        <v/>
      </c>
      <c r="O12401" s="88">
        <f>VLOOKUP($Q12401,매칭테이블!$F:$I,4,0)*K12401</f>
        <v/>
      </c>
      <c r="P12401" s="152">
        <f>M12401/1.1</f>
        <v/>
      </c>
      <c r="Q12401" s="88">
        <f>F12401&amp;E12401&amp;G12401&amp;L12401</f>
        <v/>
      </c>
    </row>
    <row r="12402" customFormat="1" s="94">
      <c r="B12402" s="128" t="n">
        <v>44185</v>
      </c>
      <c r="C12402" s="88">
        <f>TEXT(B12402,"aaa")</f>
        <v/>
      </c>
      <c r="E12402" s="88">
        <f>INDEX(매칭테이블!C:D,MATCH(RD!G12402,매칭테이블!D:D,0),1)</f>
        <v/>
      </c>
      <c r="F12402" s="94" t="inlineStr">
        <is>
          <t>카페24</t>
        </is>
      </c>
      <c r="G12402" s="94" t="inlineStr">
        <is>
          <t>어성초 크림마스크 나이트 솔루션옵션=어성초 크림마스크 나이트 솔루션 1장</t>
        </is>
      </c>
      <c r="K12402" s="94" t="n">
        <v>2</v>
      </c>
      <c r="L12402" s="88" t="n">
        <v>201208</v>
      </c>
      <c r="M12402" s="88">
        <f>VLOOKUP($Q12402,매칭테이블!$F:$I,2,0)*K12402</f>
        <v/>
      </c>
      <c r="N12402" s="88">
        <f>M12402-M12402*VLOOKUP($Q12402,매칭테이블!$F:$I,3,0)</f>
        <v/>
      </c>
      <c r="O12402" s="88">
        <f>VLOOKUP($Q12402,매칭테이블!$F:$I,4,0)*K12402</f>
        <v/>
      </c>
      <c r="P12402" s="152">
        <f>M12402/1.1</f>
        <v/>
      </c>
      <c r="Q12402" s="88">
        <f>F12402&amp;E12402&amp;G12402&amp;L12402</f>
        <v/>
      </c>
    </row>
    <row r="12403" customFormat="1" s="94">
      <c r="B12403" s="128" t="n">
        <v>44185</v>
      </c>
      <c r="C12403" s="88">
        <f>TEXT(B12403,"aaa")</f>
        <v/>
      </c>
      <c r="E12403" s="88">
        <f>INDEX(매칭테이블!C:D,MATCH(RD!G12403,매칭테이블!D:D,0),1)</f>
        <v/>
      </c>
      <c r="F12403" s="94" t="inlineStr">
        <is>
          <t>카페24</t>
        </is>
      </c>
      <c r="G12403" s="94" t="inlineStr">
        <is>
          <t>어성초 크림마스크 나이트 솔루션옵션=어성초 크림마스크 나이트 솔루션 10장 (-50%)</t>
        </is>
      </c>
      <c r="K12403" s="94" t="n">
        <v>1</v>
      </c>
      <c r="L12403" s="88" t="n">
        <v>201208</v>
      </c>
      <c r="M12403" s="88">
        <f>VLOOKUP($Q12403,매칭테이블!$F:$I,2,0)*K12403</f>
        <v/>
      </c>
      <c r="N12403" s="88">
        <f>M12403-M12403*VLOOKUP($Q12403,매칭테이블!$F:$I,3,0)</f>
        <v/>
      </c>
      <c r="O12403" s="88">
        <f>VLOOKUP($Q12403,매칭테이블!$F:$I,4,0)*K12403</f>
        <v/>
      </c>
      <c r="P12403" s="152">
        <f>M12403/1.1</f>
        <v/>
      </c>
      <c r="Q12403" s="88">
        <f>F12403&amp;E12403&amp;G12403&amp;L12403</f>
        <v/>
      </c>
    </row>
    <row r="12404" customFormat="1" s="94">
      <c r="B12404" s="128" t="n">
        <v>44185</v>
      </c>
      <c r="C12404" s="88">
        <f>TEXT(B12404,"aaa")</f>
        <v/>
      </c>
      <c r="E12404" s="88">
        <f>INDEX(매칭테이블!C:D,MATCH(RD!G12404,매칭테이블!D:D,0),1)</f>
        <v/>
      </c>
      <c r="F12404" s="94" t="inlineStr">
        <is>
          <t>카페24</t>
        </is>
      </c>
      <c r="G12404" s="94" t="inlineStr">
        <is>
          <t>촉촉 스킨팩 화장솜</t>
        </is>
      </c>
      <c r="K12404" s="94" t="n">
        <v>8</v>
      </c>
      <c r="L12404" s="88" t="n">
        <v>201208</v>
      </c>
      <c r="M12404" s="88">
        <f>VLOOKUP($Q12404,매칭테이블!$F:$I,2,0)*K12404</f>
        <v/>
      </c>
      <c r="N12404" s="88">
        <f>M12404-M12404*VLOOKUP($Q12404,매칭테이블!$F:$I,3,0)</f>
        <v/>
      </c>
      <c r="O12404" s="88">
        <f>VLOOKUP($Q12404,매칭테이블!$F:$I,4,0)*K12404</f>
        <v/>
      </c>
      <c r="P12404" s="152">
        <f>M12404/1.1</f>
        <v/>
      </c>
      <c r="Q12404" s="88">
        <f>F12404&amp;E12404&amp;G12404&amp;L12404</f>
        <v/>
      </c>
    </row>
    <row r="12405">
      <c r="B12405" s="128" t="n">
        <v>44186</v>
      </c>
      <c r="C12405" s="88">
        <f>TEXT(B12405,"aaa")</f>
        <v/>
      </c>
      <c r="E12405" s="88">
        <f>INDEX(매칭테이블!C:D,MATCH(RD!G12405,매칭테이블!D:D,0),1)</f>
        <v/>
      </c>
      <c r="F12405" s="94" t="inlineStr">
        <is>
          <t>W컨셉</t>
        </is>
      </c>
      <c r="G12405" s="94" t="inlineStr">
        <is>
          <t>어성초 77토너 (2 SET) HEARTLEAF 77% SOOTHING TONER 250ml250ml 2set</t>
        </is>
      </c>
      <c r="K12405" s="94" t="n">
        <v>6</v>
      </c>
      <c r="L12405" s="88" t="n">
        <v>201208</v>
      </c>
      <c r="M12405" s="88">
        <f>VLOOKUP($Q12405,매칭테이블!$F:$I,2,0)*K12405</f>
        <v/>
      </c>
      <c r="N12405" s="88">
        <f>M12405-M12405*VLOOKUP($Q12405,매칭테이블!$F:$I,3,0)</f>
        <v/>
      </c>
      <c r="O12405" s="88">
        <f>VLOOKUP($Q12405,매칭테이블!$F:$I,4,0)*K12405</f>
        <v/>
      </c>
      <c r="P12405" s="152">
        <f>M12405/1.1</f>
        <v/>
      </c>
      <c r="Q12405" s="88">
        <f>F12405&amp;E12405&amp;G12405&amp;L12405</f>
        <v/>
      </c>
    </row>
    <row r="12406">
      <c r="B12406" s="128" t="n">
        <v>44186</v>
      </c>
      <c r="C12406" s="88">
        <f>TEXT(B12406,"aaa")</f>
        <v/>
      </c>
      <c r="D12406" s="94" t="n"/>
      <c r="E12406" s="88">
        <f>INDEX(매칭테이블!C:D,MATCH(RD!G12406,매칭테이블!D:D,0),1)</f>
        <v/>
      </c>
      <c r="F12406" s="94" t="inlineStr">
        <is>
          <t>W컨셉</t>
        </is>
      </c>
      <c r="G12406" s="94" t="inlineStr">
        <is>
          <t>어성초 77토너 HEARTLEAF 77% SOOTHING TONER 250ml250ml</t>
        </is>
      </c>
      <c r="K12406" s="94" t="n">
        <v>3</v>
      </c>
      <c r="L12406" s="88" t="n">
        <v>201208</v>
      </c>
      <c r="M12406" s="88">
        <f>VLOOKUP($Q12406,매칭테이블!$F:$I,2,0)*K12406</f>
        <v/>
      </c>
      <c r="N12406" s="88">
        <f>M12406-M12406*VLOOKUP($Q12406,매칭테이블!$F:$I,3,0)</f>
        <v/>
      </c>
      <c r="O12406" s="88">
        <f>VLOOKUP($Q12406,매칭테이블!$F:$I,4,0)*K12406</f>
        <v/>
      </c>
      <c r="P12406" s="152">
        <f>M12406/1.1</f>
        <v/>
      </c>
      <c r="Q12406" s="88">
        <f>F12406&amp;E12406&amp;G12406&amp;L12406</f>
        <v/>
      </c>
    </row>
    <row r="12407">
      <c r="B12407" s="128" t="n">
        <v>44186</v>
      </c>
      <c r="C12407" s="88">
        <f>TEXT(B12407,"aaa")</f>
        <v/>
      </c>
      <c r="D12407" s="94" t="n"/>
      <c r="E12407" s="88">
        <f>INDEX(매칭테이블!C:D,MATCH(RD!G12407,매칭테이블!D:D,0),1)</f>
        <v/>
      </c>
      <c r="F12407" s="94" t="inlineStr">
        <is>
          <t>아누아 CS</t>
        </is>
      </c>
      <c r="G12407" s="94" t="inlineStr">
        <is>
          <t>어성초 77 토너 250ml</t>
        </is>
      </c>
      <c r="K12407" s="94" t="n">
        <v>3</v>
      </c>
      <c r="L12407" s="88" t="n">
        <v>201208</v>
      </c>
      <c r="M12407" s="88">
        <f>VLOOKUP($Q12407,매칭테이블!$F:$I,2,0)*K12407</f>
        <v/>
      </c>
      <c r="N12407" s="88">
        <f>M12407-M12407*VLOOKUP($Q12407,매칭테이블!$F:$I,3,0)</f>
        <v/>
      </c>
      <c r="O12407" s="88">
        <f>VLOOKUP($Q12407,매칭테이블!$F:$I,4,0)*K12407</f>
        <v/>
      </c>
      <c r="P12407" s="152">
        <f>M12407/1.1</f>
        <v/>
      </c>
      <c r="Q12407" s="88">
        <f>F12407&amp;E12407&amp;G12407&amp;L12407</f>
        <v/>
      </c>
    </row>
    <row r="12408">
      <c r="B12408" s="128" t="n">
        <v>44186</v>
      </c>
      <c r="C12408" s="88">
        <f>TEXT(B12408,"aaa")</f>
        <v/>
      </c>
      <c r="D12408" s="94" t="n"/>
      <c r="E12408" s="88">
        <f>INDEX(매칭테이블!C:D,MATCH(RD!G12408,매칭테이블!D:D,0),1)</f>
        <v/>
      </c>
      <c r="F12408" s="94" t="inlineStr">
        <is>
          <t>아누아 CS</t>
        </is>
      </c>
      <c r="G12408" s="94" t="inlineStr">
        <is>
          <t>어성초 77 토너 500ml</t>
        </is>
      </c>
      <c r="K12408" s="94" t="n">
        <v>1</v>
      </c>
      <c r="L12408" s="88" t="n">
        <v>201208</v>
      </c>
      <c r="M12408" s="88">
        <f>VLOOKUP($Q12408,매칭테이블!$F:$I,2,0)*K12408</f>
        <v/>
      </c>
      <c r="N12408" s="88">
        <f>M12408-M12408*VLOOKUP($Q12408,매칭테이블!$F:$I,3,0)</f>
        <v/>
      </c>
      <c r="O12408" s="88">
        <f>VLOOKUP($Q12408,매칭테이블!$F:$I,4,0)*K12408</f>
        <v/>
      </c>
      <c r="P12408" s="152">
        <f>M12408/1.1</f>
        <v/>
      </c>
      <c r="Q12408" s="88">
        <f>F12408&amp;E12408&amp;G12408&amp;L12408</f>
        <v/>
      </c>
    </row>
    <row r="12409">
      <c r="B12409" s="128" t="n">
        <v>44186</v>
      </c>
      <c r="C12409" s="88">
        <f>TEXT(B12409,"aaa")</f>
        <v/>
      </c>
      <c r="D12409" s="94" t="n"/>
      <c r="E12409" s="88">
        <f>INDEX(매칭테이블!C:D,MATCH(RD!G12409,매칭테이블!D:D,0),1)</f>
        <v/>
      </c>
      <c r="F12409" s="94" t="inlineStr">
        <is>
          <t>글로우데이즈 시코르</t>
        </is>
      </c>
      <c r="G12409" s="94" t="inlineStr">
        <is>
          <t>어성초 77 토너 250ml</t>
        </is>
      </c>
      <c r="K12409" s="94" t="n">
        <v>10</v>
      </c>
      <c r="L12409" s="88" t="n">
        <v>201208</v>
      </c>
      <c r="M12409" s="88">
        <f>VLOOKUP($Q12409,매칭테이블!$F:$I,2,0)*K12409</f>
        <v/>
      </c>
      <c r="N12409" s="88">
        <f>M12409-M12409*VLOOKUP($Q12409,매칭테이블!$F:$I,3,0)</f>
        <v/>
      </c>
      <c r="O12409" s="88">
        <f>VLOOKUP($Q12409,매칭테이블!$F:$I,4,0)*K12409</f>
        <v/>
      </c>
      <c r="P12409" s="152">
        <f>M12409/1.1</f>
        <v/>
      </c>
      <c r="Q12409" s="88">
        <f>F12409&amp;E12409&amp;G12409&amp;L12409</f>
        <v/>
      </c>
    </row>
    <row r="12410">
      <c r="B12410" s="128" t="n">
        <v>44186</v>
      </c>
      <c r="C12410" s="88">
        <f>TEXT(B12410,"aaa")</f>
        <v/>
      </c>
      <c r="D12410" s="94" t="n"/>
      <c r="E12410" s="88">
        <f>INDEX(매칭테이블!C:D,MATCH(RD!G12410,매칭테이블!D:D,0),1)</f>
        <v/>
      </c>
      <c r="F12410" s="94" t="inlineStr">
        <is>
          <t>스타일쉐어</t>
        </is>
      </c>
      <c r="G12410" s="94" t="inlineStr">
        <is>
          <t>아누아 어성초 77 토너 250ml</t>
        </is>
      </c>
      <c r="K12410" s="94" t="n">
        <v>8</v>
      </c>
      <c r="L12410" s="88" t="n">
        <v>201208</v>
      </c>
      <c r="M12410" s="88">
        <f>VLOOKUP($Q12410,매칭테이블!$F:$I,2,0)*K12410</f>
        <v/>
      </c>
      <c r="N12410" s="88">
        <f>M12410-M12410*VLOOKUP($Q12410,매칭테이블!$F:$I,3,0)</f>
        <v/>
      </c>
      <c r="O12410" s="88">
        <f>VLOOKUP($Q12410,매칭테이블!$F:$I,4,0)*K12410</f>
        <v/>
      </c>
      <c r="P12410" s="152">
        <f>M12410/1.1</f>
        <v/>
      </c>
      <c r="Q12410" s="88">
        <f>F12410&amp;E12410&amp;G12410&amp;L12410</f>
        <v/>
      </c>
    </row>
    <row r="12411">
      <c r="B12411" s="128" t="n">
        <v>44186</v>
      </c>
      <c r="C12411" s="88">
        <f>TEXT(B12411,"aaa")</f>
        <v/>
      </c>
      <c r="D12411" s="94" t="n"/>
      <c r="E12411" s="88">
        <f>INDEX(매칭테이블!C:D,MATCH(RD!G12411,매칭테이블!D:D,0),1)</f>
        <v/>
      </c>
      <c r="F12411" s="94" t="inlineStr">
        <is>
          <t>카페24</t>
        </is>
      </c>
      <c r="G12411" s="94" t="inlineStr">
        <is>
          <t>5 제로 무기자차 선크림옵션=5제로 무기자차 선크림 1개-20% off</t>
        </is>
      </c>
      <c r="K12411" s="94" t="n">
        <v>3</v>
      </c>
      <c r="L12411" s="88" t="n">
        <v>201208</v>
      </c>
      <c r="M12411" s="88">
        <f>VLOOKUP($Q12411,매칭테이블!$F:$I,2,0)*K12411</f>
        <v/>
      </c>
      <c r="N12411" s="88">
        <f>M12411-M12411*VLOOKUP($Q12411,매칭테이블!$F:$I,3,0)</f>
        <v/>
      </c>
      <c r="O12411" s="88">
        <f>VLOOKUP($Q12411,매칭테이블!$F:$I,4,0)*K12411</f>
        <v/>
      </c>
      <c r="P12411" s="152">
        <f>M12411/1.1</f>
        <v/>
      </c>
      <c r="Q12411" s="88">
        <f>F12411&amp;E12411&amp;G12411&amp;L12411</f>
        <v/>
      </c>
    </row>
    <row r="12412">
      <c r="B12412" s="128" t="n">
        <v>44186</v>
      </c>
      <c r="C12412" s="88">
        <f>TEXT(B12412,"aaa")</f>
        <v/>
      </c>
      <c r="D12412" s="94" t="n"/>
      <c r="E12412" s="88">
        <f>INDEX(매칭테이블!C:D,MATCH(RD!G12412,매칭테이블!D:D,0),1)</f>
        <v/>
      </c>
      <c r="F12412" s="94" t="inlineStr">
        <is>
          <t>카페24</t>
        </is>
      </c>
      <c r="G12412" s="94" t="inlineStr">
        <is>
          <t>5 제로 무기자차 선크림옵션=5제로 무기자차 선크림 2개-30% off (무료배송)</t>
        </is>
      </c>
      <c r="K12412" s="94" t="n">
        <v>2</v>
      </c>
      <c r="L12412" s="88" t="n">
        <v>201208</v>
      </c>
      <c r="M12412" s="88">
        <f>VLOOKUP($Q12412,매칭테이블!$F:$I,2,0)*K12412</f>
        <v/>
      </c>
      <c r="N12412" s="88">
        <f>M12412-M12412*VLOOKUP($Q12412,매칭테이블!$F:$I,3,0)</f>
        <v/>
      </c>
      <c r="O12412" s="88">
        <f>VLOOKUP($Q12412,매칭테이블!$F:$I,4,0)*K12412</f>
        <v/>
      </c>
      <c r="P12412" s="152">
        <f>M12412/1.1</f>
        <v/>
      </c>
      <c r="Q12412" s="88">
        <f>F12412&amp;E12412&amp;G12412&amp;L12412</f>
        <v/>
      </c>
    </row>
    <row r="12413">
      <c r="B12413" s="128" t="n">
        <v>44186</v>
      </c>
      <c r="C12413" s="88">
        <f>TEXT(B12413,"aaa")</f>
        <v/>
      </c>
      <c r="D12413" s="94" t="n"/>
      <c r="E12413" s="88">
        <f>INDEX(매칭테이블!C:D,MATCH(RD!G12413,매칭테이블!D:D,0),1)</f>
        <v/>
      </c>
      <c r="F12413" s="94" t="inlineStr">
        <is>
          <t>카페24</t>
        </is>
      </c>
      <c r="G12413" s="94" t="inlineStr">
        <is>
          <t>[수분 보충 세트] 어성초 77 토너 + 어성초 70 로션옵션=어성초 77 토너 250ml + 어성초 70 로션 200ml -30%</t>
        </is>
      </c>
      <c r="K12413" s="94" t="n">
        <v>30</v>
      </c>
      <c r="L12413" s="88" t="n">
        <v>201208</v>
      </c>
      <c r="M12413" s="88">
        <f>VLOOKUP($Q12413,매칭테이블!$F:$I,2,0)*K12413</f>
        <v/>
      </c>
      <c r="N12413" s="88">
        <f>M12413-M12413*VLOOKUP($Q12413,매칭테이블!$F:$I,3,0)</f>
        <v/>
      </c>
      <c r="O12413" s="88">
        <f>VLOOKUP($Q12413,매칭테이블!$F:$I,4,0)*K12413</f>
        <v/>
      </c>
      <c r="P12413" s="152">
        <f>M12413/1.1</f>
        <v/>
      </c>
      <c r="Q12413" s="88">
        <f>F12413&amp;E12413&amp;G12413&amp;L12413</f>
        <v/>
      </c>
    </row>
    <row r="12414">
      <c r="B12414" s="128" t="n">
        <v>44186</v>
      </c>
      <c r="C12414" s="88">
        <f>TEXT(B12414,"aaa")</f>
        <v/>
      </c>
      <c r="D12414" s="94" t="n"/>
      <c r="E12414" s="88">
        <f>INDEX(매칭테이블!C:D,MATCH(RD!G12414,매칭테이블!D:D,0),1)</f>
        <v/>
      </c>
      <c r="F12414" s="94" t="inlineStr">
        <is>
          <t>카페24</t>
        </is>
      </c>
      <c r="G12414" s="94" t="inlineStr">
        <is>
          <t>대용량 어성초 77 수딩 토너 500ml</t>
        </is>
      </c>
      <c r="K12414" s="94" t="n">
        <v>39</v>
      </c>
      <c r="L12414" s="88" t="n">
        <v>201208</v>
      </c>
      <c r="M12414" s="88">
        <f>VLOOKUP($Q12414,매칭테이블!$F:$I,2,0)*K12414</f>
        <v/>
      </c>
      <c r="N12414" s="88">
        <f>M12414-M12414*VLOOKUP($Q12414,매칭테이블!$F:$I,3,0)</f>
        <v/>
      </c>
      <c r="O12414" s="88">
        <f>VLOOKUP($Q12414,매칭테이블!$F:$I,4,0)*K12414</f>
        <v/>
      </c>
      <c r="P12414" s="152">
        <f>M12414/1.1</f>
        <v/>
      </c>
      <c r="Q12414" s="88">
        <f>F12414&amp;E12414&amp;G12414&amp;L12414</f>
        <v/>
      </c>
    </row>
    <row r="12415">
      <c r="B12415" s="128" t="n">
        <v>44186</v>
      </c>
      <c r="C12415" s="88">
        <f>TEXT(B12415,"aaa")</f>
        <v/>
      </c>
      <c r="D12415" s="94" t="n"/>
      <c r="E12415" s="88">
        <f>INDEX(매칭테이블!C:D,MATCH(RD!G12415,매칭테이블!D:D,0),1)</f>
        <v/>
      </c>
      <c r="F12415" s="94" t="inlineStr">
        <is>
          <t>카페24</t>
        </is>
      </c>
      <c r="G12415" s="94" t="inlineStr">
        <is>
          <t>대용량 어성초 77 토너 500ml</t>
        </is>
      </c>
      <c r="K12415" s="94" t="n">
        <v>1</v>
      </c>
      <c r="L12415" s="88" t="n">
        <v>201208</v>
      </c>
      <c r="M12415" s="88">
        <f>VLOOKUP($Q12415,매칭테이블!$F:$I,2,0)*K12415</f>
        <v/>
      </c>
      <c r="N12415" s="88">
        <f>M12415-M12415*VLOOKUP($Q12415,매칭테이블!$F:$I,3,0)</f>
        <v/>
      </c>
      <c r="O12415" s="88">
        <f>VLOOKUP($Q12415,매칭테이블!$F:$I,4,0)*K12415</f>
        <v/>
      </c>
      <c r="P12415" s="152">
        <f>M12415/1.1</f>
        <v/>
      </c>
      <c r="Q12415" s="88">
        <f>F12415&amp;E12415&amp;G12415&amp;L12415</f>
        <v/>
      </c>
    </row>
    <row r="12416">
      <c r="B12416" s="128" t="n">
        <v>44186</v>
      </c>
      <c r="C12416" s="88">
        <f>TEXT(B12416,"aaa")</f>
        <v/>
      </c>
      <c r="D12416" s="94" t="n"/>
      <c r="E12416" s="88">
        <f>INDEX(매칭테이블!C:D,MATCH(RD!G12416,매칭테이블!D:D,0),1)</f>
        <v/>
      </c>
      <c r="F12416" s="94" t="inlineStr">
        <is>
          <t>카페24</t>
        </is>
      </c>
      <c r="G12416" s="94" t="inlineStr">
        <is>
          <t>어성초 70 데일리 릴리프 로션로션=어성초 70 데일리 릴리프 로션 1개 -20% off</t>
        </is>
      </c>
      <c r="K12416" s="94" t="n">
        <v>7</v>
      </c>
      <c r="L12416" s="88" t="n">
        <v>201208</v>
      </c>
      <c r="M12416" s="88">
        <f>VLOOKUP($Q12416,매칭테이블!$F:$I,2,0)*K12416</f>
        <v/>
      </c>
      <c r="N12416" s="88">
        <f>M12416-M12416*VLOOKUP($Q12416,매칭테이블!$F:$I,3,0)</f>
        <v/>
      </c>
      <c r="O12416" s="88">
        <f>VLOOKUP($Q12416,매칭테이블!$F:$I,4,0)*K12416</f>
        <v/>
      </c>
      <c r="P12416" s="152">
        <f>M12416/1.1</f>
        <v/>
      </c>
      <c r="Q12416" s="88">
        <f>F12416&amp;E12416&amp;G12416&amp;L12416</f>
        <v/>
      </c>
    </row>
    <row r="12417">
      <c r="B12417" s="128" t="n">
        <v>44186</v>
      </c>
      <c r="C12417" s="88">
        <f>TEXT(B12417,"aaa")</f>
        <v/>
      </c>
      <c r="D12417" s="94" t="n"/>
      <c r="E12417" s="88">
        <f>INDEX(매칭테이블!C:D,MATCH(RD!G12417,매칭테이블!D:D,0),1)</f>
        <v/>
      </c>
      <c r="F12417" s="94" t="inlineStr">
        <is>
          <t>카페24</t>
        </is>
      </c>
      <c r="G12417" s="94" t="inlineStr">
        <is>
          <t>어성초 70 데일리 릴리프 로션로션=어성초 77토너 + 어성초 70 로션 수분 보충 세트 -30% off</t>
        </is>
      </c>
      <c r="K12417" s="94" t="n">
        <v>2</v>
      </c>
      <c r="L12417" s="88" t="n">
        <v>201208</v>
      </c>
      <c r="M12417" s="88">
        <f>VLOOKUP($Q12417,매칭테이블!$F:$I,2,0)*K12417</f>
        <v/>
      </c>
      <c r="N12417" s="88">
        <f>M12417-M12417*VLOOKUP($Q12417,매칭테이블!$F:$I,3,0)</f>
        <v/>
      </c>
      <c r="O12417" s="88">
        <f>VLOOKUP($Q12417,매칭테이블!$F:$I,4,0)*K12417</f>
        <v/>
      </c>
      <c r="P12417" s="152">
        <f>M12417/1.1</f>
        <v/>
      </c>
      <c r="Q12417" s="88">
        <f>F12417&amp;E12417&amp;G12417&amp;L12417</f>
        <v/>
      </c>
    </row>
    <row r="12418">
      <c r="B12418" s="128" t="n">
        <v>44186</v>
      </c>
      <c r="C12418" s="88">
        <f>TEXT(B12418,"aaa")</f>
        <v/>
      </c>
      <c r="D12418" s="94" t="n"/>
      <c r="E12418" s="88">
        <f>INDEX(매칭테이블!C:D,MATCH(RD!G12418,매칭테이블!D:D,0),1)</f>
        <v/>
      </c>
      <c r="F12418" s="94" t="inlineStr">
        <is>
          <t>카페24</t>
        </is>
      </c>
      <c r="G12418" s="94" t="inlineStr">
        <is>
          <t>어성초 70 머드 크림 마스크옵션=어성초 70 머드 크림 마스크-20% off</t>
        </is>
      </c>
      <c r="K12418" s="94" t="n">
        <v>3</v>
      </c>
      <c r="L12418" s="88" t="n">
        <v>201208</v>
      </c>
      <c r="M12418" s="88">
        <f>VLOOKUP($Q12418,매칭테이블!$F:$I,2,0)*K12418</f>
        <v/>
      </c>
      <c r="N12418" s="88">
        <f>M12418-M12418*VLOOKUP($Q12418,매칭테이블!$F:$I,3,0)</f>
        <v/>
      </c>
      <c r="O12418" s="88">
        <f>VLOOKUP($Q12418,매칭테이블!$F:$I,4,0)*K12418</f>
        <v/>
      </c>
      <c r="P12418" s="152">
        <f>M12418/1.1</f>
        <v/>
      </c>
      <c r="Q12418" s="88">
        <f>F12418&amp;E12418&amp;G12418&amp;L12418</f>
        <v/>
      </c>
    </row>
    <row r="12419">
      <c r="B12419" s="128" t="n">
        <v>44186</v>
      </c>
      <c r="C12419" s="88">
        <f>TEXT(B12419,"aaa")</f>
        <v/>
      </c>
      <c r="D12419" s="94" t="n"/>
      <c r="E12419" s="88">
        <f>INDEX(매칭테이블!C:D,MATCH(RD!G12419,매칭테이블!D:D,0),1)</f>
        <v/>
      </c>
      <c r="F12419" s="94" t="inlineStr">
        <is>
          <t>카페24</t>
        </is>
      </c>
      <c r="G12419" s="94" t="inlineStr">
        <is>
          <t>어성초 70 머드 크림 마스크옵션=어성초 70 머드 크림 마스크 2개-30% off (무료배송)</t>
        </is>
      </c>
      <c r="K12419" s="94" t="n">
        <v>1</v>
      </c>
      <c r="L12419" s="88" t="n">
        <v>201208</v>
      </c>
      <c r="M12419" s="88">
        <f>VLOOKUP($Q12419,매칭테이블!$F:$I,2,0)*K12419</f>
        <v/>
      </c>
      <c r="N12419" s="88">
        <f>M12419-M12419*VLOOKUP($Q12419,매칭테이블!$F:$I,3,0)</f>
        <v/>
      </c>
      <c r="O12419" s="88">
        <f>VLOOKUP($Q12419,매칭테이블!$F:$I,4,0)*K12419</f>
        <v/>
      </c>
      <c r="P12419" s="152">
        <f>M12419/1.1</f>
        <v/>
      </c>
      <c r="Q12419" s="88">
        <f>F12419&amp;E12419&amp;G12419&amp;L12419</f>
        <v/>
      </c>
    </row>
    <row r="12420">
      <c r="B12420" s="128" t="n">
        <v>44186</v>
      </c>
      <c r="C12420" s="88">
        <f>TEXT(B12420,"aaa")</f>
        <v/>
      </c>
      <c r="D12420" s="94" t="n"/>
      <c r="E12420" s="88">
        <f>INDEX(매칭테이블!C:D,MATCH(RD!G12420,매칭테이블!D:D,0),1)</f>
        <v/>
      </c>
      <c r="F12420" s="94" t="inlineStr">
        <is>
          <t>카페24</t>
        </is>
      </c>
      <c r="G12420" s="94" t="inlineStr">
        <is>
          <t>어성초 70 인텐스 카밍 크림크림=어성초 70 인텐스 카밍 크림 1개 (-20%)</t>
        </is>
      </c>
      <c r="K12420" s="94" t="n">
        <v>4</v>
      </c>
      <c r="L12420" s="88" t="n">
        <v>201208</v>
      </c>
      <c r="M12420" s="88">
        <f>VLOOKUP($Q12420,매칭테이블!$F:$I,2,0)*K12420</f>
        <v/>
      </c>
      <c r="N12420" s="88">
        <f>M12420-M12420*VLOOKUP($Q12420,매칭테이블!$F:$I,3,0)</f>
        <v/>
      </c>
      <c r="O12420" s="88">
        <f>VLOOKUP($Q12420,매칭테이블!$F:$I,4,0)*K12420</f>
        <v/>
      </c>
      <c r="P12420" s="152">
        <f>M12420/1.1</f>
        <v/>
      </c>
      <c r="Q12420" s="88">
        <f>F12420&amp;E12420&amp;G12420&amp;L12420</f>
        <v/>
      </c>
    </row>
    <row r="12421">
      <c r="B12421" s="128" t="n">
        <v>44186</v>
      </c>
      <c r="C12421" s="88">
        <f>TEXT(B12421,"aaa")</f>
        <v/>
      </c>
      <c r="D12421" s="94" t="n"/>
      <c r="E12421" s="88">
        <f>INDEX(매칭테이블!C:D,MATCH(RD!G12421,매칭테이블!D:D,0),1)</f>
        <v/>
      </c>
      <c r="F12421" s="94" t="inlineStr">
        <is>
          <t>카페24</t>
        </is>
      </c>
      <c r="G12421" s="94" t="inlineStr">
        <is>
          <t>어성초 70 인텐스 카밍 크림크림=어성초 토너 250ml + 카밍 크림 50ml (-30%)</t>
        </is>
      </c>
      <c r="K12421" s="94" t="n">
        <v>1</v>
      </c>
      <c r="L12421" s="88" t="n">
        <v>201208</v>
      </c>
      <c r="M12421" s="88">
        <f>VLOOKUP($Q12421,매칭테이블!$F:$I,2,0)*K12421</f>
        <v/>
      </c>
      <c r="N12421" s="88">
        <f>M12421-M12421*VLOOKUP($Q12421,매칭테이블!$F:$I,3,0)</f>
        <v/>
      </c>
      <c r="O12421" s="88">
        <f>VLOOKUP($Q12421,매칭테이블!$F:$I,4,0)*K12421</f>
        <v/>
      </c>
      <c r="P12421" s="152">
        <f>M12421/1.1</f>
        <v/>
      </c>
      <c r="Q12421" s="88">
        <f>F12421&amp;E12421&amp;G12421&amp;L12421</f>
        <v/>
      </c>
    </row>
    <row r="12422">
      <c r="B12422" s="128" t="n">
        <v>44186</v>
      </c>
      <c r="C12422" s="88">
        <f>TEXT(B12422,"aaa")</f>
        <v/>
      </c>
      <c r="D12422" s="94" t="n"/>
      <c r="E12422" s="88">
        <f>INDEX(매칭테이블!C:D,MATCH(RD!G12422,매칭테이블!D:D,0),1)</f>
        <v/>
      </c>
      <c r="F12422" s="94" t="inlineStr">
        <is>
          <t>카페24</t>
        </is>
      </c>
      <c r="G12422" s="94" t="inlineStr">
        <is>
          <t>어성초 77 수딩 토너토너(필수)=어성초 77 토너 1개-20% off</t>
        </is>
      </c>
      <c r="K12422" s="94" t="n">
        <v>51</v>
      </c>
      <c r="L12422" s="88" t="n">
        <v>201208</v>
      </c>
      <c r="M12422" s="88">
        <f>VLOOKUP($Q12422,매칭테이블!$F:$I,2,0)*K12422</f>
        <v/>
      </c>
      <c r="N12422" s="88">
        <f>M12422-M12422*VLOOKUP($Q12422,매칭테이블!$F:$I,3,0)</f>
        <v/>
      </c>
      <c r="O12422" s="88">
        <f>VLOOKUP($Q12422,매칭테이블!$F:$I,4,0)*K12422</f>
        <v/>
      </c>
      <c r="P12422" s="152">
        <f>M12422/1.1</f>
        <v/>
      </c>
      <c r="Q12422" s="88">
        <f>F12422&amp;E12422&amp;G12422&amp;L12422</f>
        <v/>
      </c>
    </row>
    <row r="12423">
      <c r="B12423" s="128" t="n">
        <v>44186</v>
      </c>
      <c r="C12423" s="88">
        <f>TEXT(B12423,"aaa")</f>
        <v/>
      </c>
      <c r="D12423" s="94" t="n"/>
      <c r="E12423" s="88">
        <f>INDEX(매칭테이블!C:D,MATCH(RD!G12423,매칭테이블!D:D,0),1)</f>
        <v/>
      </c>
      <c r="F12423" s="94" t="inlineStr">
        <is>
          <t>카페24</t>
        </is>
      </c>
      <c r="G12423" s="94" t="inlineStr">
        <is>
          <t>어성초 77 수딩 토너토너(필수)=어성초 77 토너 2개-30% off (무료배송)</t>
        </is>
      </c>
      <c r="K12423" s="94" t="n">
        <v>29</v>
      </c>
      <c r="L12423" s="88" t="n">
        <v>201208</v>
      </c>
      <c r="M12423" s="88">
        <f>VLOOKUP($Q12423,매칭테이블!$F:$I,2,0)*K12423</f>
        <v/>
      </c>
      <c r="N12423" s="88">
        <f>M12423-M12423*VLOOKUP($Q12423,매칭테이블!$F:$I,3,0)</f>
        <v/>
      </c>
      <c r="O12423" s="88">
        <f>VLOOKUP($Q12423,매칭테이블!$F:$I,4,0)*K12423</f>
        <v/>
      </c>
      <c r="P12423" s="152">
        <f>M12423/1.1</f>
        <v/>
      </c>
      <c r="Q12423" s="88">
        <f>F12423&amp;E12423&amp;G12423&amp;L12423</f>
        <v/>
      </c>
    </row>
    <row r="12424">
      <c r="B12424" s="128" t="n">
        <v>44186</v>
      </c>
      <c r="C12424" s="88">
        <f>TEXT(B12424,"aaa")</f>
        <v/>
      </c>
      <c r="D12424" s="94" t="n"/>
      <c r="E12424" s="88">
        <f>INDEX(매칭테이블!C:D,MATCH(RD!G12424,매칭테이블!D:D,0),1)</f>
        <v/>
      </c>
      <c r="F12424" s="94" t="inlineStr">
        <is>
          <t>카페24</t>
        </is>
      </c>
      <c r="G12424" s="94" t="inlineStr">
        <is>
          <t>어성초 77 수딩 토너토너(필수)=어성초77토너1개 + 어성초77패드1개 -30% off (무료배송)</t>
        </is>
      </c>
      <c r="K12424" s="94" t="n">
        <v>13</v>
      </c>
      <c r="L12424" s="88" t="n">
        <v>201208</v>
      </c>
      <c r="M12424" s="88">
        <f>VLOOKUP($Q12424,매칭테이블!$F:$I,2,0)*K12424</f>
        <v/>
      </c>
      <c r="N12424" s="88">
        <f>M12424-M12424*VLOOKUP($Q12424,매칭테이블!$F:$I,3,0)</f>
        <v/>
      </c>
      <c r="O12424" s="88">
        <f>VLOOKUP($Q12424,매칭테이블!$F:$I,4,0)*K12424</f>
        <v/>
      </c>
      <c r="P12424" s="152">
        <f>M12424/1.1</f>
        <v/>
      </c>
      <c r="Q12424" s="88">
        <f>F12424&amp;E12424&amp;G12424&amp;L12424</f>
        <v/>
      </c>
    </row>
    <row r="12425">
      <c r="B12425" s="128" t="n">
        <v>44186</v>
      </c>
      <c r="C12425" s="88">
        <f>TEXT(B12425,"aaa")</f>
        <v/>
      </c>
      <c r="D12425" s="94" t="n"/>
      <c r="E12425" s="88">
        <f>INDEX(매칭테이블!C:D,MATCH(RD!G12425,매칭테이블!D:D,0),1)</f>
        <v/>
      </c>
      <c r="F12425" s="94" t="inlineStr">
        <is>
          <t>카페24</t>
        </is>
      </c>
      <c r="G12425" s="94" t="inlineStr">
        <is>
          <t>어성초 77 수딩 토너화장솜(선택)=촉촉 스킨팩 화장솜</t>
        </is>
      </c>
      <c r="K12425" s="94" t="n">
        <v>25</v>
      </c>
      <c r="L12425" s="88" t="n">
        <v>201208</v>
      </c>
      <c r="M12425" s="88">
        <f>VLOOKUP($Q12425,매칭테이블!$F:$I,2,0)*K12425</f>
        <v/>
      </c>
      <c r="N12425" s="88">
        <f>M12425-M12425*VLOOKUP($Q12425,매칭테이블!$F:$I,3,0)</f>
        <v/>
      </c>
      <c r="O12425" s="88">
        <f>VLOOKUP($Q12425,매칭테이블!$F:$I,4,0)*K12425</f>
        <v/>
      </c>
      <c r="P12425" s="152">
        <f>M12425/1.1</f>
        <v/>
      </c>
      <c r="Q12425" s="88">
        <f>F12425&amp;E12425&amp;G12425&amp;L12425</f>
        <v/>
      </c>
    </row>
    <row r="12426">
      <c r="B12426" s="128" t="n">
        <v>44186</v>
      </c>
      <c r="C12426" s="88">
        <f>TEXT(B12426,"aaa")</f>
        <v/>
      </c>
      <c r="D12426" s="94" t="n"/>
      <c r="E12426" s="88">
        <f>INDEX(매칭테이블!C:D,MATCH(RD!G12426,매칭테이블!D:D,0),1)</f>
        <v/>
      </c>
      <c r="F12426" s="94" t="inlineStr">
        <is>
          <t>카페24</t>
        </is>
      </c>
      <c r="G12426" s="94" t="inlineStr">
        <is>
          <t>어성초 77 진정 마스크옵션=어성초 77 진정 마스크팩 10장-50% off</t>
        </is>
      </c>
      <c r="K12426" s="94" t="n">
        <v>11</v>
      </c>
      <c r="L12426" s="88" t="n">
        <v>201208</v>
      </c>
      <c r="M12426" s="88">
        <f>VLOOKUP($Q12426,매칭테이블!$F:$I,2,0)*K12426</f>
        <v/>
      </c>
      <c r="N12426" s="88">
        <f>M12426-M12426*VLOOKUP($Q12426,매칭테이블!$F:$I,3,0)</f>
        <v/>
      </c>
      <c r="O12426" s="88">
        <f>VLOOKUP($Q12426,매칭테이블!$F:$I,4,0)*K12426</f>
        <v/>
      </c>
      <c r="P12426" s="152">
        <f>M12426/1.1</f>
        <v/>
      </c>
      <c r="Q12426" s="88">
        <f>F12426&amp;E12426&amp;G12426&amp;L12426</f>
        <v/>
      </c>
    </row>
    <row r="12427">
      <c r="B12427" s="128" t="n">
        <v>44186</v>
      </c>
      <c r="C12427" s="88">
        <f>TEXT(B12427,"aaa")</f>
        <v/>
      </c>
      <c r="D12427" s="94" t="n"/>
      <c r="E12427" s="88">
        <f>INDEX(매칭테이블!C:D,MATCH(RD!G12427,매칭테이블!D:D,0),1)</f>
        <v/>
      </c>
      <c r="F12427" s="94" t="inlineStr">
        <is>
          <t>카페24</t>
        </is>
      </c>
      <c r="G12427" s="94" t="inlineStr">
        <is>
          <t>어성초 77 클리어 패드옵션=어성초 77 클리어 패드 1개-20% off</t>
        </is>
      </c>
      <c r="K12427" s="94" t="n">
        <v>24</v>
      </c>
      <c r="L12427" s="88" t="n">
        <v>201208</v>
      </c>
      <c r="M12427" s="88">
        <f>VLOOKUP($Q12427,매칭테이블!$F:$I,2,0)*K12427</f>
        <v/>
      </c>
      <c r="N12427" s="88">
        <f>M12427-M12427*VLOOKUP($Q12427,매칭테이블!$F:$I,3,0)</f>
        <v/>
      </c>
      <c r="O12427" s="88">
        <f>VLOOKUP($Q12427,매칭테이블!$F:$I,4,0)*K12427</f>
        <v/>
      </c>
      <c r="P12427" s="152">
        <f>M12427/1.1</f>
        <v/>
      </c>
      <c r="Q12427" s="88">
        <f>F12427&amp;E12427&amp;G12427&amp;L12427</f>
        <v/>
      </c>
    </row>
    <row r="12428">
      <c r="B12428" s="128" t="n">
        <v>44186</v>
      </c>
      <c r="C12428" s="88">
        <f>TEXT(B12428,"aaa")</f>
        <v/>
      </c>
      <c r="D12428" s="94" t="n"/>
      <c r="E12428" s="88">
        <f>INDEX(매칭테이블!C:D,MATCH(RD!G12428,매칭테이블!D:D,0),1)</f>
        <v/>
      </c>
      <c r="F12428" s="94" t="inlineStr">
        <is>
          <t>카페24</t>
        </is>
      </c>
      <c r="G12428" s="94" t="inlineStr">
        <is>
          <t>어성초 77 클리어 패드옵션=어성초 77 클리어 패드 2개-30% off (무료배송)</t>
        </is>
      </c>
      <c r="K12428" s="94" t="n">
        <v>35</v>
      </c>
      <c r="L12428" s="88" t="n">
        <v>201208</v>
      </c>
      <c r="M12428" s="88">
        <f>VLOOKUP($Q12428,매칭테이블!$F:$I,2,0)*K12428</f>
        <v/>
      </c>
      <c r="N12428" s="88">
        <f>M12428-M12428*VLOOKUP($Q12428,매칭테이블!$F:$I,3,0)</f>
        <v/>
      </c>
      <c r="O12428" s="88">
        <f>VLOOKUP($Q12428,매칭테이블!$F:$I,4,0)*K12428</f>
        <v/>
      </c>
      <c r="P12428" s="152">
        <f>M12428/1.1</f>
        <v/>
      </c>
      <c r="Q12428" s="88">
        <f>F12428&amp;E12428&amp;G12428&amp;L12428</f>
        <v/>
      </c>
    </row>
    <row r="12429">
      <c r="B12429" s="128" t="n">
        <v>44186</v>
      </c>
      <c r="C12429" s="88">
        <f>TEXT(B12429,"aaa")</f>
        <v/>
      </c>
      <c r="D12429" s="94" t="n"/>
      <c r="E12429" s="88">
        <f>INDEX(매칭테이블!C:D,MATCH(RD!G12429,매칭테이블!D:D,0),1)</f>
        <v/>
      </c>
      <c r="F12429" s="94" t="inlineStr">
        <is>
          <t>카페24</t>
        </is>
      </c>
      <c r="G12429" s="94" t="inlineStr">
        <is>
          <t>어성초 77 클리어 패드옵션=어성초77토너1개+어성초77패드1개-30% off (무료배송)</t>
        </is>
      </c>
      <c r="K12429" s="94" t="n">
        <v>19</v>
      </c>
      <c r="L12429" s="88" t="n">
        <v>201208</v>
      </c>
      <c r="M12429" s="88">
        <f>VLOOKUP($Q12429,매칭테이블!$F:$I,2,0)*K12429</f>
        <v/>
      </c>
      <c r="N12429" s="88">
        <f>M12429-M12429*VLOOKUP($Q12429,매칭테이블!$F:$I,3,0)</f>
        <v/>
      </c>
      <c r="O12429" s="88">
        <f>VLOOKUP($Q12429,매칭테이블!$F:$I,4,0)*K12429</f>
        <v/>
      </c>
      <c r="P12429" s="152">
        <f>M12429/1.1</f>
        <v/>
      </c>
      <c r="Q12429" s="88">
        <f>F12429&amp;E12429&amp;G12429&amp;L12429</f>
        <v/>
      </c>
    </row>
    <row r="12430">
      <c r="B12430" s="128" t="n">
        <v>44186</v>
      </c>
      <c r="C12430" s="88">
        <f>TEXT(B12430,"aaa")</f>
        <v/>
      </c>
      <c r="D12430" s="94" t="n"/>
      <c r="E12430" s="88">
        <f>INDEX(매칭테이블!C:D,MATCH(RD!G12430,매칭테이블!D:D,0),1)</f>
        <v/>
      </c>
      <c r="F12430" s="94" t="inlineStr">
        <is>
          <t>카페24</t>
        </is>
      </c>
      <c r="G12430" s="94" t="inlineStr">
        <is>
          <t>어성초 77 토너토너(필수)=어성초 77 토너 1개-20% off</t>
        </is>
      </c>
      <c r="K12430" s="94" t="n">
        <v>1</v>
      </c>
      <c r="L12430" s="88" t="n">
        <v>201208</v>
      </c>
      <c r="M12430" s="88">
        <f>VLOOKUP($Q12430,매칭테이블!$F:$I,2,0)*K12430</f>
        <v/>
      </c>
      <c r="N12430" s="88">
        <f>M12430-M12430*VLOOKUP($Q12430,매칭테이블!$F:$I,3,0)</f>
        <v/>
      </c>
      <c r="O12430" s="88">
        <f>VLOOKUP($Q12430,매칭테이블!$F:$I,4,0)*K12430</f>
        <v/>
      </c>
      <c r="P12430" s="152">
        <f>M12430/1.1</f>
        <v/>
      </c>
      <c r="Q12430" s="88">
        <f>F12430&amp;E12430&amp;G12430&amp;L12430</f>
        <v/>
      </c>
    </row>
    <row r="12431">
      <c r="B12431" s="128" t="n">
        <v>44186</v>
      </c>
      <c r="C12431" s="88">
        <f>TEXT(B12431,"aaa")</f>
        <v/>
      </c>
      <c r="D12431" s="94" t="n"/>
      <c r="E12431" s="88">
        <f>INDEX(매칭테이블!C:D,MATCH(RD!G12431,매칭테이블!D:D,0),1)</f>
        <v/>
      </c>
      <c r="F12431" s="94" t="inlineStr">
        <is>
          <t>카페24</t>
        </is>
      </c>
      <c r="G12431" s="94" t="inlineStr">
        <is>
          <t>어성초 77 포어 클리어 패드옵션=어성초 77 클리어 패드 1개-20% off</t>
        </is>
      </c>
      <c r="K12431" s="94" t="n">
        <v>8</v>
      </c>
      <c r="L12431" s="88" t="n">
        <v>201208</v>
      </c>
      <c r="M12431" s="88">
        <f>VLOOKUP($Q12431,매칭테이블!$F:$I,2,0)*K12431</f>
        <v/>
      </c>
      <c r="N12431" s="88">
        <f>M12431-M12431*VLOOKUP($Q12431,매칭테이블!$F:$I,3,0)</f>
        <v/>
      </c>
      <c r="O12431" s="88">
        <f>VLOOKUP($Q12431,매칭테이블!$F:$I,4,0)*K12431</f>
        <v/>
      </c>
      <c r="P12431" s="152">
        <f>M12431/1.1</f>
        <v/>
      </c>
      <c r="Q12431" s="88">
        <f>F12431&amp;E12431&amp;G12431&amp;L12431</f>
        <v/>
      </c>
    </row>
    <row r="12432">
      <c r="B12432" s="128" t="n">
        <v>44186</v>
      </c>
      <c r="C12432" s="88">
        <f>TEXT(B12432,"aaa")</f>
        <v/>
      </c>
      <c r="D12432" s="94" t="n"/>
      <c r="E12432" s="88">
        <f>INDEX(매칭테이블!C:D,MATCH(RD!G12432,매칭테이블!D:D,0),1)</f>
        <v/>
      </c>
      <c r="F12432" s="94" t="inlineStr">
        <is>
          <t>카페24</t>
        </is>
      </c>
      <c r="G12432" s="94" t="inlineStr">
        <is>
          <t>어성초 77 포어 클리어 패드옵션=어성초 77 클리어 패드 2개-30% off (무료배송)</t>
        </is>
      </c>
      <c r="K12432" s="94" t="n">
        <v>16</v>
      </c>
      <c r="L12432" s="88" t="n">
        <v>201208</v>
      </c>
      <c r="M12432" s="88">
        <f>VLOOKUP($Q12432,매칭테이블!$F:$I,2,0)*K12432</f>
        <v/>
      </c>
      <c r="N12432" s="88">
        <f>M12432-M12432*VLOOKUP($Q12432,매칭테이블!$F:$I,3,0)</f>
        <v/>
      </c>
      <c r="O12432" s="88">
        <f>VLOOKUP($Q12432,매칭테이블!$F:$I,4,0)*K12432</f>
        <v/>
      </c>
      <c r="P12432" s="152">
        <f>M12432/1.1</f>
        <v/>
      </c>
      <c r="Q12432" s="88">
        <f>F12432&amp;E12432&amp;G12432&amp;L12432</f>
        <v/>
      </c>
    </row>
    <row r="12433">
      <c r="B12433" s="128" t="n">
        <v>44186</v>
      </c>
      <c r="C12433" s="88">
        <f>TEXT(B12433,"aaa")</f>
        <v/>
      </c>
      <c r="D12433" s="94" t="n"/>
      <c r="E12433" s="88">
        <f>INDEX(매칭테이블!C:D,MATCH(RD!G12433,매칭테이블!D:D,0),1)</f>
        <v/>
      </c>
      <c r="F12433" s="94" t="inlineStr">
        <is>
          <t>카페24</t>
        </is>
      </c>
      <c r="G12433" s="94" t="inlineStr">
        <is>
          <t>어성초 77 포어 클리어 패드옵션=어성초77토너1개+어성초77패드1개-30% off (무료배송)</t>
        </is>
      </c>
      <c r="K12433" s="94" t="n">
        <v>6</v>
      </c>
      <c r="L12433" s="88" t="n">
        <v>201208</v>
      </c>
      <c r="M12433" s="88">
        <f>VLOOKUP($Q12433,매칭테이블!$F:$I,2,0)*K12433</f>
        <v/>
      </c>
      <c r="N12433" s="88">
        <f>M12433-M12433*VLOOKUP($Q12433,매칭테이블!$F:$I,3,0)</f>
        <v/>
      </c>
      <c r="O12433" s="88">
        <f>VLOOKUP($Q12433,매칭테이블!$F:$I,4,0)*K12433</f>
        <v/>
      </c>
      <c r="P12433" s="152">
        <f>M12433/1.1</f>
        <v/>
      </c>
      <c r="Q12433" s="88">
        <f>F12433&amp;E12433&amp;G12433&amp;L12433</f>
        <v/>
      </c>
    </row>
    <row r="12434">
      <c r="B12434" s="128" t="n">
        <v>44186</v>
      </c>
      <c r="C12434" s="88">
        <f>TEXT(B12434,"aaa")</f>
        <v/>
      </c>
      <c r="D12434" s="94" t="n"/>
      <c r="E12434" s="88">
        <f>INDEX(매칭테이블!C:D,MATCH(RD!G12434,매칭테이블!D:D,0),1)</f>
        <v/>
      </c>
      <c r="F12434" s="94" t="inlineStr">
        <is>
          <t>카페24</t>
        </is>
      </c>
      <c r="G12434" s="94" t="inlineStr">
        <is>
          <t>어성초 77% 패드옵션=어성초 77 클리어 패드 1개-20% off</t>
        </is>
      </c>
      <c r="K12434" s="94" t="n">
        <v>18</v>
      </c>
      <c r="L12434" s="88" t="n">
        <v>201208</v>
      </c>
      <c r="M12434" s="88">
        <f>VLOOKUP($Q12434,매칭테이블!$F:$I,2,0)*K12434</f>
        <v/>
      </c>
      <c r="N12434" s="88">
        <f>M12434-M12434*VLOOKUP($Q12434,매칭테이블!$F:$I,3,0)</f>
        <v/>
      </c>
      <c r="O12434" s="88">
        <f>VLOOKUP($Q12434,매칭테이블!$F:$I,4,0)*K12434</f>
        <v/>
      </c>
      <c r="P12434" s="152">
        <f>M12434/1.1</f>
        <v/>
      </c>
      <c r="Q12434" s="88">
        <f>F12434&amp;E12434&amp;G12434&amp;L12434</f>
        <v/>
      </c>
    </row>
    <row r="12435">
      <c r="B12435" s="128" t="n">
        <v>44186</v>
      </c>
      <c r="C12435" s="88">
        <f>TEXT(B12435,"aaa")</f>
        <v/>
      </c>
      <c r="D12435" s="94" t="n"/>
      <c r="E12435" s="88">
        <f>INDEX(매칭테이블!C:D,MATCH(RD!G12435,매칭테이블!D:D,0),1)</f>
        <v/>
      </c>
      <c r="F12435" s="94" t="inlineStr">
        <is>
          <t>카페24</t>
        </is>
      </c>
      <c r="G12435" s="94" t="inlineStr">
        <is>
          <t>어성초 77% 패드옵션=어성초 77 클리어 패드 2개-30% off (무료배송)</t>
        </is>
      </c>
      <c r="K12435" s="94" t="n">
        <v>21</v>
      </c>
      <c r="L12435" s="88" t="n">
        <v>201208</v>
      </c>
      <c r="M12435" s="88">
        <f>VLOOKUP($Q12435,매칭테이블!$F:$I,2,0)*K12435</f>
        <v/>
      </c>
      <c r="N12435" s="88">
        <f>M12435-M12435*VLOOKUP($Q12435,매칭테이블!$F:$I,3,0)</f>
        <v/>
      </c>
      <c r="O12435" s="88">
        <f>VLOOKUP($Q12435,매칭테이블!$F:$I,4,0)*K12435</f>
        <v/>
      </c>
      <c r="P12435" s="152">
        <f>M12435/1.1</f>
        <v/>
      </c>
      <c r="Q12435" s="88">
        <f>F12435&amp;E12435&amp;G12435&amp;L12435</f>
        <v/>
      </c>
    </row>
    <row r="12436">
      <c r="B12436" s="128" t="n">
        <v>44186</v>
      </c>
      <c r="C12436" s="88">
        <f>TEXT(B12436,"aaa")</f>
        <v/>
      </c>
      <c r="D12436" s="94" t="n"/>
      <c r="E12436" s="88">
        <f>INDEX(매칭테이블!C:D,MATCH(RD!G12436,매칭테이블!D:D,0),1)</f>
        <v/>
      </c>
      <c r="F12436" s="94" t="inlineStr">
        <is>
          <t>카페24</t>
        </is>
      </c>
      <c r="G12436" s="94" t="inlineStr">
        <is>
          <t>어성초 77% 패드옵션=어성초77토너1개+어성초77패드1개-30% off (무료배송)</t>
        </is>
      </c>
      <c r="K12436" s="94" t="n">
        <v>11</v>
      </c>
      <c r="L12436" s="88" t="n">
        <v>201208</v>
      </c>
      <c r="M12436" s="88">
        <f>VLOOKUP($Q12436,매칭테이블!$F:$I,2,0)*K12436</f>
        <v/>
      </c>
      <c r="N12436" s="88">
        <f>M12436-M12436*VLOOKUP($Q12436,매칭테이블!$F:$I,3,0)</f>
        <v/>
      </c>
      <c r="O12436" s="88">
        <f>VLOOKUP($Q12436,매칭테이블!$F:$I,4,0)*K12436</f>
        <v/>
      </c>
      <c r="P12436" s="152">
        <f>M12436/1.1</f>
        <v/>
      </c>
      <c r="Q12436" s="88">
        <f>F12436&amp;E12436&amp;G12436&amp;L12436</f>
        <v/>
      </c>
    </row>
    <row r="12437">
      <c r="B12437" s="128" t="n">
        <v>44186</v>
      </c>
      <c r="C12437" s="88">
        <f>TEXT(B12437,"aaa")</f>
        <v/>
      </c>
      <c r="D12437" s="94" t="n"/>
      <c r="E12437" s="88">
        <f>INDEX(매칭테이블!C:D,MATCH(RD!G12437,매칭테이블!D:D,0),1)</f>
        <v/>
      </c>
      <c r="F12437" s="94" t="inlineStr">
        <is>
          <t>카페24</t>
        </is>
      </c>
      <c r="G12437" s="94" t="inlineStr">
        <is>
          <t>어성초 78 수딩 크림</t>
        </is>
      </c>
      <c r="K12437" s="94" t="n">
        <v>7</v>
      </c>
      <c r="L12437" s="88" t="n">
        <v>201208</v>
      </c>
      <c r="M12437" s="88">
        <f>VLOOKUP($Q12437,매칭테이블!$F:$I,2,0)*K12437</f>
        <v/>
      </c>
      <c r="N12437" s="88">
        <f>M12437-M12437*VLOOKUP($Q12437,매칭테이블!$F:$I,3,0)</f>
        <v/>
      </c>
      <c r="O12437" s="88">
        <f>VLOOKUP($Q12437,매칭테이블!$F:$I,4,0)*K12437</f>
        <v/>
      </c>
      <c r="P12437" s="152">
        <f>M12437/1.1</f>
        <v/>
      </c>
      <c r="Q12437" s="88">
        <f>F12437&amp;E12437&amp;G12437&amp;L12437</f>
        <v/>
      </c>
    </row>
    <row r="12438">
      <c r="B12438" s="128" t="n">
        <v>44186</v>
      </c>
      <c r="C12438" s="88">
        <f>TEXT(B12438,"aaa")</f>
        <v/>
      </c>
      <c r="D12438" s="94" t="n"/>
      <c r="E12438" s="88">
        <f>INDEX(매칭테이블!C:D,MATCH(RD!G12438,매칭테이블!D:D,0),1)</f>
        <v/>
      </c>
      <c r="F12438" s="94" t="inlineStr">
        <is>
          <t>카페24</t>
        </is>
      </c>
      <c r="G12438" s="94" t="inlineStr">
        <is>
          <t>어성초 78 수딩 크림</t>
        </is>
      </c>
      <c r="K12438" s="94" t="n">
        <v>3</v>
      </c>
      <c r="L12438" s="88" t="n">
        <v>201208</v>
      </c>
      <c r="M12438" s="88">
        <f>VLOOKUP($Q12438,매칭테이블!$F:$I,2,0)*K12438</f>
        <v/>
      </c>
      <c r="N12438" s="88">
        <f>M12438-M12438*VLOOKUP($Q12438,매칭테이블!$F:$I,3,0)</f>
        <v/>
      </c>
      <c r="O12438" s="88">
        <f>VLOOKUP($Q12438,매칭테이블!$F:$I,4,0)*K12438</f>
        <v/>
      </c>
      <c r="P12438" s="152">
        <f>M12438/1.1</f>
        <v/>
      </c>
      <c r="Q12438" s="88">
        <f>F12438&amp;E12438&amp;G12438&amp;L12438</f>
        <v/>
      </c>
    </row>
    <row r="12439">
      <c r="B12439" s="128" t="n">
        <v>44186</v>
      </c>
      <c r="C12439" s="88">
        <f>TEXT(B12439,"aaa")</f>
        <v/>
      </c>
      <c r="D12439" s="94" t="n"/>
      <c r="E12439" s="88">
        <f>INDEX(매칭테이블!C:D,MATCH(RD!G12439,매칭테이블!D:D,0),1)</f>
        <v/>
      </c>
      <c r="F12439" s="94" t="inlineStr">
        <is>
          <t>카페24</t>
        </is>
      </c>
      <c r="G12439" s="94" t="inlineStr">
        <is>
          <t>어성초 80 수분 진정 앰플앰플=어성초 80 앰플 1개-15%off</t>
        </is>
      </c>
      <c r="K12439" s="94" t="n">
        <v>24</v>
      </c>
      <c r="L12439" s="88" t="n">
        <v>201208</v>
      </c>
      <c r="M12439" s="88">
        <f>VLOOKUP($Q12439,매칭테이블!$F:$I,2,0)*K12439</f>
        <v/>
      </c>
      <c r="N12439" s="88">
        <f>M12439-M12439*VLOOKUP($Q12439,매칭테이블!$F:$I,3,0)</f>
        <v/>
      </c>
      <c r="O12439" s="88">
        <f>VLOOKUP($Q12439,매칭테이블!$F:$I,4,0)*K12439</f>
        <v/>
      </c>
      <c r="P12439" s="152">
        <f>M12439/1.1</f>
        <v/>
      </c>
      <c r="Q12439" s="88">
        <f>F12439&amp;E12439&amp;G12439&amp;L12439</f>
        <v/>
      </c>
    </row>
    <row r="12440">
      <c r="B12440" s="128" t="n">
        <v>44186</v>
      </c>
      <c r="C12440" s="88">
        <f>TEXT(B12440,"aaa")</f>
        <v/>
      </c>
      <c r="D12440" s="94" t="n"/>
      <c r="E12440" s="88">
        <f>INDEX(매칭테이블!C:D,MATCH(RD!G12440,매칭테이블!D:D,0),1)</f>
        <v/>
      </c>
      <c r="F12440" s="94" t="inlineStr">
        <is>
          <t>카페24</t>
        </is>
      </c>
      <c r="G12440" s="94" t="inlineStr">
        <is>
          <t>어성초 80 수분 진정 앰플앰플=어성초 80 앰플 2개-27%off (무료배송)</t>
        </is>
      </c>
      <c r="K12440" s="94" t="n">
        <v>7</v>
      </c>
      <c r="L12440" s="88" t="n">
        <v>201208</v>
      </c>
      <c r="M12440" s="88">
        <f>VLOOKUP($Q12440,매칭테이블!$F:$I,2,0)*K12440</f>
        <v/>
      </c>
      <c r="N12440" s="88">
        <f>M12440-M12440*VLOOKUP($Q12440,매칭테이블!$F:$I,3,0)</f>
        <v/>
      </c>
      <c r="O12440" s="88">
        <f>VLOOKUP($Q12440,매칭테이블!$F:$I,4,0)*K12440</f>
        <v/>
      </c>
      <c r="P12440" s="152">
        <f>M12440/1.1</f>
        <v/>
      </c>
      <c r="Q12440" s="88">
        <f>F12440&amp;E12440&amp;G12440&amp;L12440</f>
        <v/>
      </c>
    </row>
    <row r="12441">
      <c r="B12441" s="128" t="n">
        <v>44186</v>
      </c>
      <c r="C12441" s="88">
        <f>TEXT(B12441,"aaa")</f>
        <v/>
      </c>
      <c r="D12441" s="94" t="n"/>
      <c r="E12441" s="88">
        <f>INDEX(매칭테이블!C:D,MATCH(RD!G12441,매칭테이블!D:D,0),1)</f>
        <v/>
      </c>
      <c r="F12441" s="94" t="inlineStr">
        <is>
          <t>카페24</t>
        </is>
      </c>
      <c r="G12441" s="94" t="inlineStr">
        <is>
          <t>어성초 80 수분 진정 앰플</t>
        </is>
      </c>
      <c r="K12441" s="94" t="n">
        <v>3</v>
      </c>
      <c r="L12441" s="88" t="n">
        <v>201208</v>
      </c>
      <c r="M12441" s="88">
        <f>VLOOKUP($Q12441,매칭테이블!$F:$I,2,0)*K12441</f>
        <v/>
      </c>
      <c r="N12441" s="88">
        <f>M12441-M12441*VLOOKUP($Q12441,매칭테이블!$F:$I,3,0)</f>
        <v/>
      </c>
      <c r="O12441" s="88">
        <f>VLOOKUP($Q12441,매칭테이블!$F:$I,4,0)*K12441</f>
        <v/>
      </c>
      <c r="P12441" s="152">
        <f>M12441/1.1</f>
        <v/>
      </c>
      <c r="Q12441" s="88">
        <f>F12441&amp;E12441&amp;G12441&amp;L12441</f>
        <v/>
      </c>
    </row>
    <row r="12442">
      <c r="B12442" s="128" t="n">
        <v>44186</v>
      </c>
      <c r="C12442" s="88">
        <f>TEXT(B12442,"aaa")</f>
        <v/>
      </c>
      <c r="D12442" s="94" t="n"/>
      <c r="E12442" s="88">
        <f>INDEX(매칭테이블!C:D,MATCH(RD!G12442,매칭테이블!D:D,0),1)</f>
        <v/>
      </c>
      <c r="F12442" s="94" t="inlineStr">
        <is>
          <t>카페24</t>
        </is>
      </c>
      <c r="G12442" s="94" t="inlineStr">
        <is>
          <t>어성초 80 수분 진정 앰플옵션=어성초 80 앰플 1개 - 15%off</t>
        </is>
      </c>
      <c r="K12442" s="94" t="n">
        <v>1</v>
      </c>
      <c r="L12442" s="88" t="n">
        <v>201208</v>
      </c>
      <c r="M12442" s="88">
        <f>VLOOKUP($Q12442,매칭테이블!$F:$I,2,0)*K12442</f>
        <v/>
      </c>
      <c r="N12442" s="88">
        <f>M12442-M12442*VLOOKUP($Q12442,매칭테이블!$F:$I,3,0)</f>
        <v/>
      </c>
      <c r="O12442" s="88">
        <f>VLOOKUP($Q12442,매칭테이블!$F:$I,4,0)*K12442</f>
        <v/>
      </c>
      <c r="P12442" s="152">
        <f>M12442/1.1</f>
        <v/>
      </c>
      <c r="Q12442" s="88">
        <f>F12442&amp;E12442&amp;G12442&amp;L12442</f>
        <v/>
      </c>
    </row>
    <row r="12443">
      <c r="B12443" s="128" t="n">
        <v>44186</v>
      </c>
      <c r="C12443" s="88">
        <f>TEXT(B12443,"aaa")</f>
        <v/>
      </c>
      <c r="D12443" s="94" t="n"/>
      <c r="E12443" s="88">
        <f>INDEX(매칭테이블!C:D,MATCH(RD!G12443,매칭테이블!D:D,0),1)</f>
        <v/>
      </c>
      <c r="F12443" s="94" t="inlineStr">
        <is>
          <t>카페24</t>
        </is>
      </c>
      <c r="G12443" s="94" t="inlineStr">
        <is>
          <t>어성초 아크네 바디워시옵션=어성초 아크네 바디워시 1개 -30% off</t>
        </is>
      </c>
      <c r="K12443" s="94" t="n">
        <v>6</v>
      </c>
      <c r="L12443" s="88" t="n">
        <v>201208</v>
      </c>
      <c r="M12443" s="88">
        <f>VLOOKUP($Q12443,매칭테이블!$F:$I,2,0)*K12443</f>
        <v/>
      </c>
      <c r="N12443" s="88">
        <f>M12443-M12443*VLOOKUP($Q12443,매칭테이블!$F:$I,3,0)</f>
        <v/>
      </c>
      <c r="O12443" s="88">
        <f>VLOOKUP($Q12443,매칭테이블!$F:$I,4,0)*K12443</f>
        <v/>
      </c>
      <c r="P12443" s="152">
        <f>M12443/1.1</f>
        <v/>
      </c>
      <c r="Q12443" s="88">
        <f>F12443&amp;E12443&amp;G12443&amp;L12443</f>
        <v/>
      </c>
    </row>
    <row r="12444">
      <c r="B12444" s="128" t="n">
        <v>44186</v>
      </c>
      <c r="C12444" s="88">
        <f>TEXT(B12444,"aaa")</f>
        <v/>
      </c>
      <c r="D12444" s="94" t="n"/>
      <c r="E12444" s="88">
        <f>INDEX(매칭테이블!C:D,MATCH(RD!G12444,매칭테이블!D:D,0),1)</f>
        <v/>
      </c>
      <c r="F12444" s="94" t="inlineStr">
        <is>
          <t>카페24</t>
        </is>
      </c>
      <c r="G12444" s="94" t="inlineStr">
        <is>
          <t>어성초 아크네 바디워시옵션=어성초 아크네 바디워시 2개 -35% off (무료배송)</t>
        </is>
      </c>
      <c r="K12444" s="94" t="n">
        <v>2</v>
      </c>
      <c r="L12444" s="88" t="n">
        <v>201208</v>
      </c>
      <c r="M12444" s="88">
        <f>VLOOKUP($Q12444,매칭테이블!$F:$I,2,0)*K12444</f>
        <v/>
      </c>
      <c r="N12444" s="88">
        <f>M12444-M12444*VLOOKUP($Q12444,매칭테이블!$F:$I,3,0)</f>
        <v/>
      </c>
      <c r="O12444" s="88">
        <f>VLOOKUP($Q12444,매칭테이블!$F:$I,4,0)*K12444</f>
        <v/>
      </c>
      <c r="P12444" s="152">
        <f>M12444/1.1</f>
        <v/>
      </c>
      <c r="Q12444" s="88">
        <f>F12444&amp;E12444&amp;G12444&amp;L12444</f>
        <v/>
      </c>
    </row>
    <row r="12445">
      <c r="B12445" s="128" t="n">
        <v>44186</v>
      </c>
      <c r="C12445" s="88">
        <f>TEXT(B12445,"aaa")</f>
        <v/>
      </c>
      <c r="D12445" s="94" t="n"/>
      <c r="E12445" s="88">
        <f>INDEX(매칭테이블!C:D,MATCH(RD!G12445,매칭테이블!D:D,0),1)</f>
        <v/>
      </c>
      <c r="F12445" s="94" t="inlineStr">
        <is>
          <t>카페24</t>
        </is>
      </c>
      <c r="G12445" s="94" t="inlineStr">
        <is>
          <t>어성초 약산성 클렌징폼클렌징폼=어성초 약산성 클렌징폼 1개 -19%off</t>
        </is>
      </c>
      <c r="K12445" s="94" t="n">
        <v>15</v>
      </c>
      <c r="L12445" s="88" t="n">
        <v>201208</v>
      </c>
      <c r="M12445" s="88">
        <f>VLOOKUP($Q12445,매칭테이블!$F:$I,2,0)*K12445</f>
        <v/>
      </c>
      <c r="N12445" s="88">
        <f>M12445-M12445*VLOOKUP($Q12445,매칭테이블!$F:$I,3,0)</f>
        <v/>
      </c>
      <c r="O12445" s="88">
        <f>VLOOKUP($Q12445,매칭테이블!$F:$I,4,0)*K12445</f>
        <v/>
      </c>
      <c r="P12445" s="152">
        <f>M12445/1.1</f>
        <v/>
      </c>
      <c r="Q12445" s="88">
        <f>F12445&amp;E12445&amp;G12445&amp;L12445</f>
        <v/>
      </c>
    </row>
    <row r="12446">
      <c r="B12446" s="128" t="n">
        <v>44186</v>
      </c>
      <c r="C12446" s="88">
        <f>TEXT(B12446,"aaa")</f>
        <v/>
      </c>
      <c r="D12446" s="94" t="n"/>
      <c r="E12446" s="88">
        <f>INDEX(매칭테이블!C:D,MATCH(RD!G12446,매칭테이블!D:D,0),1)</f>
        <v/>
      </c>
      <c r="F12446" s="94" t="inlineStr">
        <is>
          <t>카페24</t>
        </is>
      </c>
      <c r="G12446" s="94" t="inlineStr">
        <is>
          <t>어성초 약산성 클렌징폼클렌징폼=어성초 약산성 클렌징폼 2개 -25%off</t>
        </is>
      </c>
      <c r="K12446" s="94" t="n">
        <v>2</v>
      </c>
      <c r="L12446" s="88" t="n">
        <v>201208</v>
      </c>
      <c r="M12446" s="88">
        <f>VLOOKUP($Q12446,매칭테이블!$F:$I,2,0)*K12446</f>
        <v/>
      </c>
      <c r="N12446" s="88">
        <f>M12446-M12446*VLOOKUP($Q12446,매칭테이블!$F:$I,3,0)</f>
        <v/>
      </c>
      <c r="O12446" s="88">
        <f>VLOOKUP($Q12446,매칭테이블!$F:$I,4,0)*K12446</f>
        <v/>
      </c>
      <c r="P12446" s="152">
        <f>M12446/1.1</f>
        <v/>
      </c>
      <c r="Q12446" s="88">
        <f>F12446&amp;E12446&amp;G12446&amp;L12446</f>
        <v/>
      </c>
    </row>
    <row r="12447">
      <c r="B12447" s="128" t="n">
        <v>44186</v>
      </c>
      <c r="C12447" s="88">
        <f>TEXT(B12447,"aaa")</f>
        <v/>
      </c>
      <c r="D12447" s="94" t="n"/>
      <c r="E12447" s="88">
        <f>INDEX(매칭테이블!C:D,MATCH(RD!G12447,매칭테이블!D:D,0),1)</f>
        <v/>
      </c>
      <c r="F12447" s="94" t="inlineStr">
        <is>
          <t>카페24</t>
        </is>
      </c>
      <c r="G12447" s="94" t="inlineStr">
        <is>
          <t>어성초 약산성 클렌징폼클렌징폼=어성초 약산성 클렌징폼 3개 -31%off (무료배송)</t>
        </is>
      </c>
      <c r="K12447" s="94" t="n">
        <v>1</v>
      </c>
      <c r="L12447" s="88" t="n">
        <v>201208</v>
      </c>
      <c r="M12447" s="88">
        <f>VLOOKUP($Q12447,매칭테이블!$F:$I,2,0)*K12447</f>
        <v/>
      </c>
      <c r="N12447" s="88">
        <f>M12447-M12447*VLOOKUP($Q12447,매칭테이블!$F:$I,3,0)</f>
        <v/>
      </c>
      <c r="O12447" s="88">
        <f>VLOOKUP($Q12447,매칭테이블!$F:$I,4,0)*K12447</f>
        <v/>
      </c>
      <c r="P12447" s="152">
        <f>M12447/1.1</f>
        <v/>
      </c>
      <c r="Q12447" s="88">
        <f>F12447&amp;E12447&amp;G12447&amp;L12447</f>
        <v/>
      </c>
    </row>
    <row r="12448">
      <c r="B12448" s="128" t="n">
        <v>44186</v>
      </c>
      <c r="C12448" s="88">
        <f>TEXT(B12448,"aaa")</f>
        <v/>
      </c>
      <c r="D12448" s="94" t="n"/>
      <c r="E12448" s="88">
        <f>INDEX(매칭테이블!C:D,MATCH(RD!G12448,매칭테이블!D:D,0),1)</f>
        <v/>
      </c>
      <c r="F12448" s="94" t="inlineStr">
        <is>
          <t>카페24</t>
        </is>
      </c>
      <c r="G12448" s="94" t="inlineStr">
        <is>
          <t>어성초 약산성 클렌징폼</t>
        </is>
      </c>
      <c r="K12448" s="94" t="n">
        <v>2</v>
      </c>
      <c r="L12448" s="88" t="n">
        <v>201208</v>
      </c>
      <c r="M12448" s="88">
        <f>VLOOKUP($Q12448,매칭테이블!$F:$I,2,0)*K12448</f>
        <v/>
      </c>
      <c r="N12448" s="88">
        <f>M12448-M12448*VLOOKUP($Q12448,매칭테이블!$F:$I,3,0)</f>
        <v/>
      </c>
      <c r="O12448" s="88">
        <f>VLOOKUP($Q12448,매칭테이블!$F:$I,4,0)*K12448</f>
        <v/>
      </c>
      <c r="P12448" s="152">
        <f>M12448/1.1</f>
        <v/>
      </c>
      <c r="Q12448" s="88">
        <f>F12448&amp;E12448&amp;G12448&amp;L12448</f>
        <v/>
      </c>
    </row>
    <row r="12449">
      <c r="B12449" s="128" t="n">
        <v>44186</v>
      </c>
      <c r="C12449" s="88">
        <f>TEXT(B12449,"aaa")</f>
        <v/>
      </c>
      <c r="D12449" s="94" t="n"/>
      <c r="E12449" s="88">
        <f>INDEX(매칭테이블!C:D,MATCH(RD!G12449,매칭테이블!D:D,0),1)</f>
        <v/>
      </c>
      <c r="F12449" s="94" t="inlineStr">
        <is>
          <t>카페24</t>
        </is>
      </c>
      <c r="G12449" s="94" t="inlineStr">
        <is>
          <t>어성초 크림마스크 나이트 솔루션옵션=어성초 크림마스크 나이트 솔루션 1장</t>
        </is>
      </c>
      <c r="K12449" s="94" t="n">
        <v>2</v>
      </c>
      <c r="L12449" s="88" t="n">
        <v>201208</v>
      </c>
      <c r="M12449" s="88">
        <f>VLOOKUP($Q12449,매칭테이블!$F:$I,2,0)*K12449</f>
        <v/>
      </c>
      <c r="N12449" s="88">
        <f>M12449-M12449*VLOOKUP($Q12449,매칭테이블!$F:$I,3,0)</f>
        <v/>
      </c>
      <c r="O12449" s="88">
        <f>VLOOKUP($Q12449,매칭테이블!$F:$I,4,0)*K12449</f>
        <v/>
      </c>
      <c r="P12449" s="152">
        <f>M12449/1.1</f>
        <v/>
      </c>
      <c r="Q12449" s="88">
        <f>F12449&amp;E12449&amp;G12449&amp;L12449</f>
        <v/>
      </c>
    </row>
    <row r="12450">
      <c r="B12450" s="128" t="n">
        <v>44186</v>
      </c>
      <c r="C12450" s="88">
        <f>TEXT(B12450,"aaa")</f>
        <v/>
      </c>
      <c r="D12450" s="94" t="n"/>
      <c r="E12450" s="88">
        <f>INDEX(매칭테이블!C:D,MATCH(RD!G12450,매칭테이블!D:D,0),1)</f>
        <v/>
      </c>
      <c r="F12450" s="94" t="inlineStr">
        <is>
          <t>카페24</t>
        </is>
      </c>
      <c r="G12450" s="94" t="inlineStr">
        <is>
          <t>어성초 크림마스크 나이트 솔루션옵션=어성초 크림마스크 나이트 솔루션 10장 (-50%)</t>
        </is>
      </c>
      <c r="K12450" s="94" t="n">
        <v>6</v>
      </c>
      <c r="L12450" s="88" t="n">
        <v>201208</v>
      </c>
      <c r="M12450" s="88">
        <f>VLOOKUP($Q12450,매칭테이블!$F:$I,2,0)*K12450</f>
        <v/>
      </c>
      <c r="N12450" s="88">
        <f>M12450-M12450*VLOOKUP($Q12450,매칭테이블!$F:$I,3,0)</f>
        <v/>
      </c>
      <c r="O12450" s="88">
        <f>VLOOKUP($Q12450,매칭테이블!$F:$I,4,0)*K12450</f>
        <v/>
      </c>
      <c r="P12450" s="152">
        <f>M12450/1.1</f>
        <v/>
      </c>
      <c r="Q12450" s="88">
        <f>F12450&amp;E12450&amp;G12450&amp;L12450</f>
        <v/>
      </c>
    </row>
    <row r="12451">
      <c r="B12451" s="128" t="n">
        <v>44186</v>
      </c>
      <c r="C12451" s="88">
        <f>TEXT(B12451,"aaa")</f>
        <v/>
      </c>
      <c r="D12451" s="94" t="n"/>
      <c r="E12451" s="88">
        <f>INDEX(매칭테이블!C:D,MATCH(RD!G12451,매칭테이블!D:D,0),1)</f>
        <v/>
      </c>
      <c r="F12451" s="94" t="inlineStr">
        <is>
          <t>카페24</t>
        </is>
      </c>
      <c r="G12451" s="94" t="inlineStr">
        <is>
          <t>촉촉 스킨팩 화장솜</t>
        </is>
      </c>
      <c r="K12451" s="94" t="n">
        <v>22</v>
      </c>
      <c r="L12451" s="88" t="n">
        <v>201208</v>
      </c>
      <c r="M12451" s="88">
        <f>VLOOKUP($Q12451,매칭테이블!$F:$I,2,0)*K12451</f>
        <v/>
      </c>
      <c r="N12451" s="88">
        <f>M12451-M12451*VLOOKUP($Q12451,매칭테이블!$F:$I,3,0)</f>
        <v/>
      </c>
      <c r="O12451" s="88">
        <f>VLOOKUP($Q12451,매칭테이블!$F:$I,4,0)*K12451</f>
        <v/>
      </c>
      <c r="P12451" s="152">
        <f>M12451/1.1</f>
        <v/>
      </c>
      <c r="Q12451" s="88">
        <f>F12451&amp;E12451&amp;G12451&amp;L12451</f>
        <v/>
      </c>
    </row>
    <row r="12452">
      <c r="B12452" s="128" t="n">
        <v>44186</v>
      </c>
      <c r="C12452" s="88">
        <f>TEXT(B12452,"aaa")</f>
        <v/>
      </c>
      <c r="D12452" s="94" t="n"/>
      <c r="E12452" s="88">
        <f>INDEX(매칭테이블!C:D,MATCH(RD!G12452,매칭테이블!D:D,0),1)</f>
        <v/>
      </c>
      <c r="F12452" s="94" t="inlineStr">
        <is>
          <t>카페24</t>
        </is>
      </c>
      <c r="G12452" s="94" t="inlineStr">
        <is>
          <t>촉촉 스킨팩 화장솜</t>
        </is>
      </c>
      <c r="K12452" s="94" t="n">
        <v>2</v>
      </c>
      <c r="L12452" s="88" t="n">
        <v>201208</v>
      </c>
      <c r="M12452" s="88">
        <f>VLOOKUP($Q12452,매칭테이블!$F:$I,2,0)*K12452</f>
        <v/>
      </c>
      <c r="N12452" s="88">
        <f>M12452-M12452*VLOOKUP($Q12452,매칭테이블!$F:$I,3,0)</f>
        <v/>
      </c>
      <c r="O12452" s="88">
        <f>VLOOKUP($Q12452,매칭테이블!$F:$I,4,0)*K12452</f>
        <v/>
      </c>
      <c r="P12452" s="152">
        <f>M12452/1.1</f>
        <v/>
      </c>
      <c r="Q12452" s="88">
        <f>F12452&amp;E12452&amp;G12452&amp;L12452</f>
        <v/>
      </c>
    </row>
    <row r="12453">
      <c r="B12453" s="128" t="n">
        <v>44187</v>
      </c>
      <c r="C12453" s="88">
        <f>TEXT(B12453,"aaa")</f>
        <v/>
      </c>
      <c r="E12453" s="88">
        <f>INDEX(매칭테이블!C:D,MATCH(RD!G12453,매칭테이블!D:D,0),1)</f>
        <v/>
      </c>
      <c r="F12453" s="94" t="inlineStr">
        <is>
          <t>W컨셉</t>
        </is>
      </c>
      <c r="G12453" s="94" t="inlineStr">
        <is>
          <t>어성초 77토너 (2 SET) HEARTLEAF 77% SOOTHING TONER 250ml250ml 2set</t>
        </is>
      </c>
      <c r="K12453" s="94" t="n">
        <v>2</v>
      </c>
      <c r="L12453" s="88" t="n">
        <v>201208</v>
      </c>
      <c r="M12453" s="88">
        <f>VLOOKUP($Q12453,매칭테이블!$F:$I,2,0)*K12453</f>
        <v/>
      </c>
      <c r="N12453" s="88">
        <f>M12453-M12453*VLOOKUP($Q12453,매칭테이블!$F:$I,3,0)</f>
        <v/>
      </c>
      <c r="O12453" s="88">
        <f>VLOOKUP($Q12453,매칭테이블!$F:$I,4,0)*K12453</f>
        <v/>
      </c>
      <c r="P12453" s="152">
        <f>M12453/1.1</f>
        <v/>
      </c>
      <c r="Q12453" s="88">
        <f>F12453&amp;E12453&amp;G12453&amp;L12453</f>
        <v/>
      </c>
    </row>
    <row r="12454">
      <c r="B12454" s="128" t="n">
        <v>44187</v>
      </c>
      <c r="C12454" s="88">
        <f>TEXT(B12454,"aaa")</f>
        <v/>
      </c>
      <c r="D12454" s="94" t="n"/>
      <c r="E12454" s="88">
        <f>INDEX(매칭테이블!C:D,MATCH(RD!G12454,매칭테이블!D:D,0),1)</f>
        <v/>
      </c>
      <c r="F12454" s="94" t="inlineStr">
        <is>
          <t>W컨셉</t>
        </is>
      </c>
      <c r="G12454" s="94" t="inlineStr">
        <is>
          <t>어성초 77토너 HEARTLEAF 77% SOOTHING TONER 250ml250ml</t>
        </is>
      </c>
      <c r="K12454" s="94" t="n">
        <v>1</v>
      </c>
      <c r="L12454" s="88" t="n">
        <v>201208</v>
      </c>
      <c r="M12454" s="88">
        <f>VLOOKUP($Q12454,매칭테이블!$F:$I,2,0)*K12454</f>
        <v/>
      </c>
      <c r="N12454" s="88">
        <f>M12454-M12454*VLOOKUP($Q12454,매칭테이블!$F:$I,3,0)</f>
        <v/>
      </c>
      <c r="O12454" s="88">
        <f>VLOOKUP($Q12454,매칭테이블!$F:$I,4,0)*K12454</f>
        <v/>
      </c>
      <c r="P12454" s="152">
        <f>M12454/1.1</f>
        <v/>
      </c>
      <c r="Q12454" s="88">
        <f>F12454&amp;E12454&amp;G12454&amp;L12454</f>
        <v/>
      </c>
    </row>
    <row r="12455">
      <c r="B12455" s="128" t="n">
        <v>44187</v>
      </c>
      <c r="C12455" s="88">
        <f>TEXT(B12455,"aaa")</f>
        <v/>
      </c>
      <c r="D12455" s="94" t="n"/>
      <c r="E12455" s="88">
        <f>INDEX(매칭테이블!C:D,MATCH(RD!G12455,매칭테이블!D:D,0),1)</f>
        <v/>
      </c>
      <c r="F12455" s="94" t="inlineStr">
        <is>
          <t>글로우데이즈 시코르</t>
        </is>
      </c>
      <c r="G12455" s="94" t="inlineStr">
        <is>
          <t>어성초 77 마스크팩 10매</t>
        </is>
      </c>
      <c r="K12455" s="94" t="n">
        <v>5</v>
      </c>
      <c r="L12455" s="88" t="n">
        <v>201208</v>
      </c>
      <c r="M12455" s="88">
        <f>VLOOKUP($Q12455,매칭테이블!$F:$I,2,0)*K12455</f>
        <v/>
      </c>
      <c r="N12455" s="88">
        <f>M12455-M12455*VLOOKUP($Q12455,매칭테이블!$F:$I,3,0)</f>
        <v/>
      </c>
      <c r="O12455" s="88">
        <f>VLOOKUP($Q12455,매칭테이블!$F:$I,4,0)*K12455</f>
        <v/>
      </c>
      <c r="P12455" s="152">
        <f>M12455/1.1</f>
        <v/>
      </c>
      <c r="Q12455" s="88">
        <f>F12455&amp;E12455&amp;G12455&amp;L12455</f>
        <v/>
      </c>
    </row>
    <row r="12456">
      <c r="B12456" s="128" t="n">
        <v>44187</v>
      </c>
      <c r="C12456" s="88">
        <f>TEXT(B12456,"aaa")</f>
        <v/>
      </c>
      <c r="D12456" s="94" t="n"/>
      <c r="E12456" s="88">
        <f>INDEX(매칭테이블!C:D,MATCH(RD!G12456,매칭테이블!D:D,0),1)</f>
        <v/>
      </c>
      <c r="F12456" s="94" t="inlineStr">
        <is>
          <t>스타일쉐어</t>
        </is>
      </c>
      <c r="G12456" s="94" t="inlineStr">
        <is>
          <t>아누아 어성초 77 토너 250ml</t>
        </is>
      </c>
      <c r="K12456" s="94" t="n">
        <v>4</v>
      </c>
      <c r="L12456" s="88" t="n">
        <v>201208</v>
      </c>
      <c r="M12456" s="88">
        <f>VLOOKUP($Q12456,매칭테이블!$F:$I,2,0)*K12456</f>
        <v/>
      </c>
      <c r="N12456" s="88">
        <f>M12456-M12456*VLOOKUP($Q12456,매칭테이블!$F:$I,3,0)</f>
        <v/>
      </c>
      <c r="O12456" s="88">
        <f>VLOOKUP($Q12456,매칭테이블!$F:$I,4,0)*K12456</f>
        <v/>
      </c>
      <c r="P12456" s="152">
        <f>M12456/1.1</f>
        <v/>
      </c>
      <c r="Q12456" s="88">
        <f>F12456&amp;E12456&amp;G12456&amp;L12456</f>
        <v/>
      </c>
    </row>
    <row r="12457">
      <c r="B12457" s="128" t="n">
        <v>44187</v>
      </c>
      <c r="C12457" s="88">
        <f>TEXT(B12457,"aaa")</f>
        <v/>
      </c>
      <c r="D12457" s="94" t="n"/>
      <c r="E12457" s="88">
        <f>INDEX(매칭테이블!C:D,MATCH(RD!G12457,매칭테이블!D:D,0),1)</f>
        <v/>
      </c>
      <c r="F12457" s="94" t="inlineStr">
        <is>
          <t>아누아 CS</t>
        </is>
      </c>
      <c r="G12457" s="94" t="inlineStr">
        <is>
          <t>어성초 77 토너 250ml</t>
        </is>
      </c>
      <c r="K12457" s="94" t="n">
        <v>9</v>
      </c>
      <c r="L12457" s="88" t="n">
        <v>201208</v>
      </c>
      <c r="M12457" s="88">
        <f>VLOOKUP($Q12457,매칭테이블!$F:$I,2,0)*K12457</f>
        <v/>
      </c>
      <c r="N12457" s="88">
        <f>M12457-M12457*VLOOKUP($Q12457,매칭테이블!$F:$I,3,0)</f>
        <v/>
      </c>
      <c r="O12457" s="88">
        <f>VLOOKUP($Q12457,매칭테이블!$F:$I,4,0)*K12457</f>
        <v/>
      </c>
      <c r="P12457" s="152">
        <f>M12457/1.1</f>
        <v/>
      </c>
      <c r="Q12457" s="88">
        <f>F12457&amp;E12457&amp;G12457&amp;L12457</f>
        <v/>
      </c>
    </row>
    <row r="12458">
      <c r="B12458" s="128" t="n">
        <v>44187</v>
      </c>
      <c r="C12458" s="88">
        <f>TEXT(B12458,"aaa")</f>
        <v/>
      </c>
      <c r="D12458" s="94" t="n"/>
      <c r="E12458" s="88">
        <f>INDEX(매칭테이블!C:D,MATCH(RD!G12458,매칭테이블!D:D,0),1)</f>
        <v/>
      </c>
      <c r="F12458" s="94" t="inlineStr">
        <is>
          <t>아누아 CS</t>
        </is>
      </c>
      <c r="G12458" s="94" t="inlineStr">
        <is>
          <t>어성초 클리어패드 70P</t>
        </is>
      </c>
      <c r="K12458" s="94" t="n">
        <v>7</v>
      </c>
      <c r="L12458" s="88" t="n">
        <v>201208</v>
      </c>
      <c r="M12458" s="88">
        <f>VLOOKUP($Q12458,매칭테이블!$F:$I,2,0)*K12458</f>
        <v/>
      </c>
      <c r="N12458" s="88">
        <f>M12458-M12458*VLOOKUP($Q12458,매칭테이블!$F:$I,3,0)</f>
        <v/>
      </c>
      <c r="O12458" s="88">
        <f>VLOOKUP($Q12458,매칭테이블!$F:$I,4,0)*K12458</f>
        <v/>
      </c>
      <c r="P12458" s="152">
        <f>M12458/1.1</f>
        <v/>
      </c>
      <c r="Q12458" s="88">
        <f>F12458&amp;E12458&amp;G12458&amp;L12458</f>
        <v/>
      </c>
    </row>
    <row r="12459">
      <c r="B12459" s="128" t="n">
        <v>44187</v>
      </c>
      <c r="C12459" s="88">
        <f>TEXT(B12459,"aaa")</f>
        <v/>
      </c>
      <c r="D12459" s="94" t="n"/>
      <c r="E12459" s="88">
        <f>INDEX(매칭테이블!C:D,MATCH(RD!G12459,매칭테이블!D:D,0),1)</f>
        <v/>
      </c>
      <c r="F12459" s="94" t="inlineStr">
        <is>
          <t>카페24</t>
        </is>
      </c>
      <c r="G12459" s="94" t="inlineStr">
        <is>
          <t>5 제로 무기자차 선크림옵션=5제로 무기자차 선크림 1개-20% off</t>
        </is>
      </c>
      <c r="K12459" s="94" t="n">
        <v>2</v>
      </c>
      <c r="L12459" s="88" t="n">
        <v>201208</v>
      </c>
      <c r="M12459" s="88">
        <f>VLOOKUP($Q12459,매칭테이블!$F:$I,2,0)*K12459</f>
        <v/>
      </c>
      <c r="N12459" s="88">
        <f>M12459-M12459*VLOOKUP($Q12459,매칭테이블!$F:$I,3,0)</f>
        <v/>
      </c>
      <c r="O12459" s="88">
        <f>VLOOKUP($Q12459,매칭테이블!$F:$I,4,0)*K12459</f>
        <v/>
      </c>
      <c r="P12459" s="152">
        <f>M12459/1.1</f>
        <v/>
      </c>
      <c r="Q12459" s="88">
        <f>F12459&amp;E12459&amp;G12459&amp;L12459</f>
        <v/>
      </c>
    </row>
    <row r="12460">
      <c r="B12460" s="128" t="n">
        <v>44187</v>
      </c>
      <c r="C12460" s="88">
        <f>TEXT(B12460,"aaa")</f>
        <v/>
      </c>
      <c r="D12460" s="94" t="n"/>
      <c r="E12460" s="88">
        <f>INDEX(매칭테이블!C:D,MATCH(RD!G12460,매칭테이블!D:D,0),1)</f>
        <v/>
      </c>
      <c r="F12460" s="94" t="inlineStr">
        <is>
          <t>카페24</t>
        </is>
      </c>
      <c r="G12460" s="94" t="inlineStr">
        <is>
          <t>[수분 보충 세트] 어성초 77 토너 + 어성초 70 로션옵션=어성초 77 토너 250ml + 어성초 70 로션 200ml -30%</t>
        </is>
      </c>
      <c r="K12460" s="94" t="n">
        <v>31</v>
      </c>
      <c r="L12460" s="88" t="n">
        <v>201208</v>
      </c>
      <c r="M12460" s="88">
        <f>VLOOKUP($Q12460,매칭테이블!$F:$I,2,0)*K12460</f>
        <v/>
      </c>
      <c r="N12460" s="88">
        <f>M12460-M12460*VLOOKUP($Q12460,매칭테이블!$F:$I,3,0)</f>
        <v/>
      </c>
      <c r="O12460" s="88">
        <f>VLOOKUP($Q12460,매칭테이블!$F:$I,4,0)*K12460</f>
        <v/>
      </c>
      <c r="P12460" s="152">
        <f>M12460/1.1</f>
        <v/>
      </c>
      <c r="Q12460" s="88">
        <f>F12460&amp;E12460&amp;G12460&amp;L12460</f>
        <v/>
      </c>
    </row>
    <row r="12461">
      <c r="B12461" s="128" t="n">
        <v>44187</v>
      </c>
      <c r="C12461" s="88">
        <f>TEXT(B12461,"aaa")</f>
        <v/>
      </c>
      <c r="D12461" s="94" t="n"/>
      <c r="E12461" s="88">
        <f>INDEX(매칭테이블!C:D,MATCH(RD!G12461,매칭테이블!D:D,0),1)</f>
        <v/>
      </c>
      <c r="F12461" s="94" t="inlineStr">
        <is>
          <t>카페24</t>
        </is>
      </c>
      <c r="G12461" s="94" t="inlineStr">
        <is>
          <t>[어성초 진정 패키지 세트] 대용량 토너 + 앰플 + 수딩 크림 + 마스크팩 10장</t>
        </is>
      </c>
      <c r="K12461" s="94" t="n">
        <v>1</v>
      </c>
      <c r="L12461" s="88" t="n">
        <v>201208</v>
      </c>
      <c r="M12461" s="88">
        <f>VLOOKUP($Q12461,매칭테이블!$F:$I,2,0)*K12461</f>
        <v/>
      </c>
      <c r="N12461" s="88">
        <f>M12461-M12461*VLOOKUP($Q12461,매칭테이블!$F:$I,3,0)</f>
        <v/>
      </c>
      <c r="O12461" s="88">
        <f>VLOOKUP($Q12461,매칭테이블!$F:$I,4,0)*K12461</f>
        <v/>
      </c>
      <c r="P12461" s="152">
        <f>M12461/1.1</f>
        <v/>
      </c>
      <c r="Q12461" s="88">
        <f>F12461&amp;E12461&amp;G12461&amp;L12461</f>
        <v/>
      </c>
    </row>
    <row r="12462">
      <c r="B12462" s="128" t="n">
        <v>44187</v>
      </c>
      <c r="C12462" s="88">
        <f>TEXT(B12462,"aaa")</f>
        <v/>
      </c>
      <c r="D12462" s="94" t="n"/>
      <c r="E12462" s="88">
        <f>INDEX(매칭테이블!C:D,MATCH(RD!G12462,매칭테이블!D:D,0),1)</f>
        <v/>
      </c>
      <c r="F12462" s="94" t="inlineStr">
        <is>
          <t>카페24</t>
        </is>
      </c>
      <c r="G12462" s="94" t="inlineStr">
        <is>
          <t>대용량 어성초 77 수딩 토너 500ml</t>
        </is>
      </c>
      <c r="K12462" s="94" t="n">
        <v>47</v>
      </c>
      <c r="L12462" s="88" t="n">
        <v>201208</v>
      </c>
      <c r="M12462" s="88">
        <f>VLOOKUP($Q12462,매칭테이블!$F:$I,2,0)*K12462</f>
        <v/>
      </c>
      <c r="N12462" s="88">
        <f>M12462-M12462*VLOOKUP($Q12462,매칭테이블!$F:$I,3,0)</f>
        <v/>
      </c>
      <c r="O12462" s="88">
        <f>VLOOKUP($Q12462,매칭테이블!$F:$I,4,0)*K12462</f>
        <v/>
      </c>
      <c r="P12462" s="152">
        <f>M12462/1.1</f>
        <v/>
      </c>
      <c r="Q12462" s="88">
        <f>F12462&amp;E12462&amp;G12462&amp;L12462</f>
        <v/>
      </c>
    </row>
    <row r="12463">
      <c r="B12463" s="128" t="n">
        <v>44187</v>
      </c>
      <c r="C12463" s="88">
        <f>TEXT(B12463,"aaa")</f>
        <v/>
      </c>
      <c r="D12463" s="94" t="n"/>
      <c r="E12463" s="88">
        <f>INDEX(매칭테이블!C:D,MATCH(RD!G12463,매칭테이블!D:D,0),1)</f>
        <v/>
      </c>
      <c r="F12463" s="94" t="inlineStr">
        <is>
          <t>카페24</t>
        </is>
      </c>
      <c r="G12463" s="94" t="inlineStr">
        <is>
          <t>대용량 어성초 77 토너 500ml</t>
        </is>
      </c>
      <c r="K12463" s="94" t="n">
        <v>7</v>
      </c>
      <c r="L12463" s="88" t="n">
        <v>201208</v>
      </c>
      <c r="M12463" s="88">
        <f>VLOOKUP($Q12463,매칭테이블!$F:$I,2,0)*K12463</f>
        <v/>
      </c>
      <c r="N12463" s="88">
        <f>M12463-M12463*VLOOKUP($Q12463,매칭테이블!$F:$I,3,0)</f>
        <v/>
      </c>
      <c r="O12463" s="88">
        <f>VLOOKUP($Q12463,매칭테이블!$F:$I,4,0)*K12463</f>
        <v/>
      </c>
      <c r="P12463" s="152">
        <f>M12463/1.1</f>
        <v/>
      </c>
      <c r="Q12463" s="88">
        <f>F12463&amp;E12463&amp;G12463&amp;L12463</f>
        <v/>
      </c>
    </row>
    <row r="12464">
      <c r="B12464" s="128" t="n">
        <v>44187</v>
      </c>
      <c r="C12464" s="88">
        <f>TEXT(B12464,"aaa")</f>
        <v/>
      </c>
      <c r="D12464" s="94" t="n"/>
      <c r="E12464" s="88">
        <f>INDEX(매칭테이블!C:D,MATCH(RD!G12464,매칭테이블!D:D,0),1)</f>
        <v/>
      </c>
      <c r="F12464" s="94" t="inlineStr">
        <is>
          <t>카페24</t>
        </is>
      </c>
      <c r="G12464" s="94" t="inlineStr">
        <is>
          <t>어성초 70 데일리 릴리프 로션로션=어성초 70 데일리 릴리프 로션 1개 -20% off</t>
        </is>
      </c>
      <c r="K12464" s="94" t="n">
        <v>16</v>
      </c>
      <c r="L12464" s="88" t="n">
        <v>201208</v>
      </c>
      <c r="M12464" s="88">
        <f>VLOOKUP($Q12464,매칭테이블!$F:$I,2,0)*K12464</f>
        <v/>
      </c>
      <c r="N12464" s="88">
        <f>M12464-M12464*VLOOKUP($Q12464,매칭테이블!$F:$I,3,0)</f>
        <v/>
      </c>
      <c r="O12464" s="88">
        <f>VLOOKUP($Q12464,매칭테이블!$F:$I,4,0)*K12464</f>
        <v/>
      </c>
      <c r="P12464" s="152">
        <f>M12464/1.1</f>
        <v/>
      </c>
      <c r="Q12464" s="88">
        <f>F12464&amp;E12464&amp;G12464&amp;L12464</f>
        <v/>
      </c>
    </row>
    <row r="12465">
      <c r="B12465" s="128" t="n">
        <v>44187</v>
      </c>
      <c r="C12465" s="88">
        <f>TEXT(B12465,"aaa")</f>
        <v/>
      </c>
      <c r="D12465" s="94" t="n"/>
      <c r="E12465" s="88">
        <f>INDEX(매칭테이블!C:D,MATCH(RD!G12465,매칭테이블!D:D,0),1)</f>
        <v/>
      </c>
      <c r="F12465" s="94" t="inlineStr">
        <is>
          <t>카페24</t>
        </is>
      </c>
      <c r="G12465" s="94" t="inlineStr">
        <is>
          <t>어성초 70 데일리 릴리프 로션로션=어성초 70 데일리 릴리프 로션 2개 -30% off</t>
        </is>
      </c>
      <c r="K12465" s="94" t="n">
        <v>2</v>
      </c>
      <c r="L12465" s="88" t="n">
        <v>201208</v>
      </c>
      <c r="M12465" s="88">
        <f>VLOOKUP($Q12465,매칭테이블!$F:$I,2,0)*K12465</f>
        <v/>
      </c>
      <c r="N12465" s="88">
        <f>M12465-M12465*VLOOKUP($Q12465,매칭테이블!$F:$I,3,0)</f>
        <v/>
      </c>
      <c r="O12465" s="88">
        <f>VLOOKUP($Q12465,매칭테이블!$F:$I,4,0)*K12465</f>
        <v/>
      </c>
      <c r="P12465" s="152">
        <f>M12465/1.1</f>
        <v/>
      </c>
      <c r="Q12465" s="88">
        <f>F12465&amp;E12465&amp;G12465&amp;L12465</f>
        <v/>
      </c>
    </row>
    <row r="12466">
      <c r="B12466" s="128" t="n">
        <v>44187</v>
      </c>
      <c r="C12466" s="88">
        <f>TEXT(B12466,"aaa")</f>
        <v/>
      </c>
      <c r="D12466" s="94" t="n"/>
      <c r="E12466" s="88">
        <f>INDEX(매칭테이블!C:D,MATCH(RD!G12466,매칭테이블!D:D,0),1)</f>
        <v/>
      </c>
      <c r="F12466" s="94" t="inlineStr">
        <is>
          <t>카페24</t>
        </is>
      </c>
      <c r="G12466" s="94" t="inlineStr">
        <is>
          <t>어성초 70 데일리 릴리프 로션로션=어성초 77토너 + 어성초 70 로션 수분 보충 세트 -30% off</t>
        </is>
      </c>
      <c r="K12466" s="94" t="n">
        <v>2</v>
      </c>
      <c r="L12466" s="88" t="n">
        <v>201208</v>
      </c>
      <c r="M12466" s="88">
        <f>VLOOKUP($Q12466,매칭테이블!$F:$I,2,0)*K12466</f>
        <v/>
      </c>
      <c r="N12466" s="88">
        <f>M12466-M12466*VLOOKUP($Q12466,매칭테이블!$F:$I,3,0)</f>
        <v/>
      </c>
      <c r="O12466" s="88">
        <f>VLOOKUP($Q12466,매칭테이블!$F:$I,4,0)*K12466</f>
        <v/>
      </c>
      <c r="P12466" s="152">
        <f>M12466/1.1</f>
        <v/>
      </c>
      <c r="Q12466" s="88">
        <f>F12466&amp;E12466&amp;G12466&amp;L12466</f>
        <v/>
      </c>
    </row>
    <row r="12467">
      <c r="B12467" s="128" t="n">
        <v>44187</v>
      </c>
      <c r="C12467" s="88">
        <f>TEXT(B12467,"aaa")</f>
        <v/>
      </c>
      <c r="D12467" s="94" t="n"/>
      <c r="E12467" s="88">
        <f>INDEX(매칭테이블!C:D,MATCH(RD!G12467,매칭테이블!D:D,0),1)</f>
        <v/>
      </c>
      <c r="F12467" s="94" t="inlineStr">
        <is>
          <t>카페24</t>
        </is>
      </c>
      <c r="G12467" s="94" t="inlineStr">
        <is>
          <t>어성초 70 머드 크림 마스크옵션=어성초 70 머드 크림 마스크-20% off</t>
        </is>
      </c>
      <c r="K12467" s="94" t="n">
        <v>3</v>
      </c>
      <c r="L12467" s="88" t="n">
        <v>201208</v>
      </c>
      <c r="M12467" s="88">
        <f>VLOOKUP($Q12467,매칭테이블!$F:$I,2,0)*K12467</f>
        <v/>
      </c>
      <c r="N12467" s="88">
        <f>M12467-M12467*VLOOKUP($Q12467,매칭테이블!$F:$I,3,0)</f>
        <v/>
      </c>
      <c r="O12467" s="88">
        <f>VLOOKUP($Q12467,매칭테이블!$F:$I,4,0)*K12467</f>
        <v/>
      </c>
      <c r="P12467" s="152">
        <f>M12467/1.1</f>
        <v/>
      </c>
      <c r="Q12467" s="88">
        <f>F12467&amp;E12467&amp;G12467&amp;L12467</f>
        <v/>
      </c>
    </row>
    <row r="12468">
      <c r="B12468" s="128" t="n">
        <v>44187</v>
      </c>
      <c r="C12468" s="88">
        <f>TEXT(B12468,"aaa")</f>
        <v/>
      </c>
      <c r="D12468" s="94" t="n"/>
      <c r="E12468" s="88">
        <f>INDEX(매칭테이블!C:D,MATCH(RD!G12468,매칭테이블!D:D,0),1)</f>
        <v/>
      </c>
      <c r="F12468" s="94" t="inlineStr">
        <is>
          <t>카페24</t>
        </is>
      </c>
      <c r="G12468" s="94" t="inlineStr">
        <is>
          <t>어성초 70 인텐스 카밍 크림크림=어성초 70 인텐스 카밍 크림 1개 (-20%)</t>
        </is>
      </c>
      <c r="K12468" s="94" t="n">
        <v>3</v>
      </c>
      <c r="L12468" s="88" t="n">
        <v>201208</v>
      </c>
      <c r="M12468" s="88">
        <f>VLOOKUP($Q12468,매칭테이블!$F:$I,2,0)*K12468</f>
        <v/>
      </c>
      <c r="N12468" s="88">
        <f>M12468-M12468*VLOOKUP($Q12468,매칭테이블!$F:$I,3,0)</f>
        <v/>
      </c>
      <c r="O12468" s="88">
        <f>VLOOKUP($Q12468,매칭테이블!$F:$I,4,0)*K12468</f>
        <v/>
      </c>
      <c r="P12468" s="152">
        <f>M12468/1.1</f>
        <v/>
      </c>
      <c r="Q12468" s="88">
        <f>F12468&amp;E12468&amp;G12468&amp;L12468</f>
        <v/>
      </c>
    </row>
    <row r="12469">
      <c r="B12469" s="128" t="n">
        <v>44187</v>
      </c>
      <c r="C12469" s="88">
        <f>TEXT(B12469,"aaa")</f>
        <v/>
      </c>
      <c r="D12469" s="94" t="n"/>
      <c r="E12469" s="88">
        <f>INDEX(매칭테이블!C:D,MATCH(RD!G12469,매칭테이블!D:D,0),1)</f>
        <v/>
      </c>
      <c r="F12469" s="94" t="inlineStr">
        <is>
          <t>카페24</t>
        </is>
      </c>
      <c r="G12469" s="94" t="inlineStr">
        <is>
          <t>어성초 70 인텐스 카밍 크림크림=어성초 70 인텐스 카밍 크림 2개 (-30%)</t>
        </is>
      </c>
      <c r="K12469" s="94" t="n">
        <v>1</v>
      </c>
      <c r="L12469" s="88" t="n">
        <v>201208</v>
      </c>
      <c r="M12469" s="88">
        <f>VLOOKUP($Q12469,매칭테이블!$F:$I,2,0)*K12469</f>
        <v/>
      </c>
      <c r="N12469" s="88">
        <f>M12469-M12469*VLOOKUP($Q12469,매칭테이블!$F:$I,3,0)</f>
        <v/>
      </c>
      <c r="O12469" s="88">
        <f>VLOOKUP($Q12469,매칭테이블!$F:$I,4,0)*K12469</f>
        <v/>
      </c>
      <c r="P12469" s="152">
        <f>M12469/1.1</f>
        <v/>
      </c>
      <c r="Q12469" s="88">
        <f>F12469&amp;E12469&amp;G12469&amp;L12469</f>
        <v/>
      </c>
    </row>
    <row r="12470">
      <c r="B12470" s="128" t="n">
        <v>44187</v>
      </c>
      <c r="C12470" s="88">
        <f>TEXT(B12470,"aaa")</f>
        <v/>
      </c>
      <c r="D12470" s="94" t="n"/>
      <c r="E12470" s="88">
        <f>INDEX(매칭테이블!C:D,MATCH(RD!G12470,매칭테이블!D:D,0),1)</f>
        <v/>
      </c>
      <c r="F12470" s="94" t="inlineStr">
        <is>
          <t>카페24</t>
        </is>
      </c>
      <c r="G12470" s="94" t="inlineStr">
        <is>
          <t>어성초 77 수딩 토너토너(필수)=어성초 77 토너 1개-20% off</t>
        </is>
      </c>
      <c r="K12470" s="94" t="n">
        <v>46</v>
      </c>
      <c r="L12470" s="88" t="n">
        <v>201208</v>
      </c>
      <c r="M12470" s="88">
        <f>VLOOKUP($Q12470,매칭테이블!$F:$I,2,0)*K12470</f>
        <v/>
      </c>
      <c r="N12470" s="88">
        <f>M12470-M12470*VLOOKUP($Q12470,매칭테이블!$F:$I,3,0)</f>
        <v/>
      </c>
      <c r="O12470" s="88">
        <f>VLOOKUP($Q12470,매칭테이블!$F:$I,4,0)*K12470</f>
        <v/>
      </c>
      <c r="P12470" s="152">
        <f>M12470/1.1</f>
        <v/>
      </c>
      <c r="Q12470" s="88">
        <f>F12470&amp;E12470&amp;G12470&amp;L12470</f>
        <v/>
      </c>
    </row>
    <row r="12471">
      <c r="B12471" s="128" t="n">
        <v>44187</v>
      </c>
      <c r="C12471" s="88">
        <f>TEXT(B12471,"aaa")</f>
        <v/>
      </c>
      <c r="D12471" s="94" t="n"/>
      <c r="E12471" s="88">
        <f>INDEX(매칭테이블!C:D,MATCH(RD!G12471,매칭테이블!D:D,0),1)</f>
        <v/>
      </c>
      <c r="F12471" s="94" t="inlineStr">
        <is>
          <t>카페24</t>
        </is>
      </c>
      <c r="G12471" s="94" t="inlineStr">
        <is>
          <t>어성초 77 수딩 토너토너(필수)=어성초 77 토너 2개-30% off (무료배송)</t>
        </is>
      </c>
      <c r="K12471" s="94" t="n">
        <v>26</v>
      </c>
      <c r="L12471" s="88" t="n">
        <v>201208</v>
      </c>
      <c r="M12471" s="88">
        <f>VLOOKUP($Q12471,매칭테이블!$F:$I,2,0)*K12471</f>
        <v/>
      </c>
      <c r="N12471" s="88">
        <f>M12471-M12471*VLOOKUP($Q12471,매칭테이블!$F:$I,3,0)</f>
        <v/>
      </c>
      <c r="O12471" s="88">
        <f>VLOOKUP($Q12471,매칭테이블!$F:$I,4,0)*K12471</f>
        <v/>
      </c>
      <c r="P12471" s="152">
        <f>M12471/1.1</f>
        <v/>
      </c>
      <c r="Q12471" s="88">
        <f>F12471&amp;E12471&amp;G12471&amp;L12471</f>
        <v/>
      </c>
    </row>
    <row r="12472">
      <c r="B12472" s="128" t="n">
        <v>44187</v>
      </c>
      <c r="C12472" s="88">
        <f>TEXT(B12472,"aaa")</f>
        <v/>
      </c>
      <c r="D12472" s="94" t="n"/>
      <c r="E12472" s="88">
        <f>INDEX(매칭테이블!C:D,MATCH(RD!G12472,매칭테이블!D:D,0),1)</f>
        <v/>
      </c>
      <c r="F12472" s="94" t="inlineStr">
        <is>
          <t>카페24</t>
        </is>
      </c>
      <c r="G12472" s="94" t="inlineStr">
        <is>
          <t>어성초 77 수딩 토너토너(필수)=어성초77토너1개 + 어성초77패드1개 -30% off (무료배송)</t>
        </is>
      </c>
      <c r="K12472" s="94" t="n">
        <v>9</v>
      </c>
      <c r="L12472" s="88" t="n">
        <v>201208</v>
      </c>
      <c r="M12472" s="88">
        <f>VLOOKUP($Q12472,매칭테이블!$F:$I,2,0)*K12472</f>
        <v/>
      </c>
      <c r="N12472" s="88">
        <f>M12472-M12472*VLOOKUP($Q12472,매칭테이블!$F:$I,3,0)</f>
        <v/>
      </c>
      <c r="O12472" s="88">
        <f>VLOOKUP($Q12472,매칭테이블!$F:$I,4,0)*K12472</f>
        <v/>
      </c>
      <c r="P12472" s="152">
        <f>M12472/1.1</f>
        <v/>
      </c>
      <c r="Q12472" s="88">
        <f>F12472&amp;E12472&amp;G12472&amp;L12472</f>
        <v/>
      </c>
    </row>
    <row r="12473">
      <c r="B12473" s="128" t="n">
        <v>44187</v>
      </c>
      <c r="C12473" s="88">
        <f>TEXT(B12473,"aaa")</f>
        <v/>
      </c>
      <c r="D12473" s="94" t="n"/>
      <c r="E12473" s="88">
        <f>INDEX(매칭테이블!C:D,MATCH(RD!G12473,매칭테이블!D:D,0),1)</f>
        <v/>
      </c>
      <c r="F12473" s="94" t="inlineStr">
        <is>
          <t>카페24</t>
        </is>
      </c>
      <c r="G12473" s="94" t="inlineStr">
        <is>
          <t>어성초 77 수딩 토너화장솜(선택)=촉촉 스킨팩 화장솜</t>
        </is>
      </c>
      <c r="K12473" s="94" t="n">
        <v>23</v>
      </c>
      <c r="L12473" s="88" t="n">
        <v>201208</v>
      </c>
      <c r="M12473" s="88">
        <f>VLOOKUP($Q12473,매칭테이블!$F:$I,2,0)*K12473</f>
        <v/>
      </c>
      <c r="N12473" s="88">
        <f>M12473-M12473*VLOOKUP($Q12473,매칭테이블!$F:$I,3,0)</f>
        <v/>
      </c>
      <c r="O12473" s="88">
        <f>VLOOKUP($Q12473,매칭테이블!$F:$I,4,0)*K12473</f>
        <v/>
      </c>
      <c r="P12473" s="152">
        <f>M12473/1.1</f>
        <v/>
      </c>
      <c r="Q12473" s="88">
        <f>F12473&amp;E12473&amp;G12473&amp;L12473</f>
        <v/>
      </c>
    </row>
    <row r="12474">
      <c r="B12474" s="128" t="n">
        <v>44187</v>
      </c>
      <c r="C12474" s="88">
        <f>TEXT(B12474,"aaa")</f>
        <v/>
      </c>
      <c r="D12474" s="94" t="n"/>
      <c r="E12474" s="88">
        <f>INDEX(매칭테이블!C:D,MATCH(RD!G12474,매칭테이블!D:D,0),1)</f>
        <v/>
      </c>
      <c r="F12474" s="94" t="inlineStr">
        <is>
          <t>카페24</t>
        </is>
      </c>
      <c r="G12474" s="94" t="inlineStr">
        <is>
          <t>어성초 77 수딩 토너토너(필수)=어성초 77 토너 1개-20% off</t>
        </is>
      </c>
      <c r="K12474" s="94" t="n">
        <v>1</v>
      </c>
      <c r="L12474" s="88" t="n">
        <v>201208</v>
      </c>
      <c r="M12474" s="88">
        <f>VLOOKUP($Q12474,매칭테이블!$F:$I,2,0)*K12474</f>
        <v/>
      </c>
      <c r="N12474" s="88">
        <f>M12474-M12474*VLOOKUP($Q12474,매칭테이블!$F:$I,3,0)</f>
        <v/>
      </c>
      <c r="O12474" s="88">
        <f>VLOOKUP($Q12474,매칭테이블!$F:$I,4,0)*K12474</f>
        <v/>
      </c>
      <c r="P12474" s="152">
        <f>M12474/1.1</f>
        <v/>
      </c>
      <c r="Q12474" s="88">
        <f>F12474&amp;E12474&amp;G12474&amp;L12474</f>
        <v/>
      </c>
    </row>
    <row r="12475">
      <c r="B12475" s="128" t="n">
        <v>44187</v>
      </c>
      <c r="C12475" s="88">
        <f>TEXT(B12475,"aaa")</f>
        <v/>
      </c>
      <c r="D12475" s="94" t="n"/>
      <c r="E12475" s="88">
        <f>INDEX(매칭테이블!C:D,MATCH(RD!G12475,매칭테이블!D:D,0),1)</f>
        <v/>
      </c>
      <c r="F12475" s="94" t="inlineStr">
        <is>
          <t>카페24</t>
        </is>
      </c>
      <c r="G12475" s="94" t="inlineStr">
        <is>
          <t>어성초 77 진정 마스크옵션=어성초 77 진정 마스크팩 1장</t>
        </is>
      </c>
      <c r="K12475" s="94" t="n">
        <v>1</v>
      </c>
      <c r="L12475" s="88" t="n">
        <v>201208</v>
      </c>
      <c r="M12475" s="88">
        <f>VLOOKUP($Q12475,매칭테이블!$F:$I,2,0)*K12475</f>
        <v/>
      </c>
      <c r="N12475" s="88">
        <f>M12475-M12475*VLOOKUP($Q12475,매칭테이블!$F:$I,3,0)</f>
        <v/>
      </c>
      <c r="O12475" s="88">
        <f>VLOOKUP($Q12475,매칭테이블!$F:$I,4,0)*K12475</f>
        <v/>
      </c>
      <c r="P12475" s="152">
        <f>M12475/1.1</f>
        <v/>
      </c>
      <c r="Q12475" s="88">
        <f>F12475&amp;E12475&amp;G12475&amp;L12475</f>
        <v/>
      </c>
    </row>
    <row r="12476">
      <c r="B12476" s="128" t="n">
        <v>44187</v>
      </c>
      <c r="C12476" s="88">
        <f>TEXT(B12476,"aaa")</f>
        <v/>
      </c>
      <c r="D12476" s="94" t="n"/>
      <c r="E12476" s="88">
        <f>INDEX(매칭테이블!C:D,MATCH(RD!G12476,매칭테이블!D:D,0),1)</f>
        <v/>
      </c>
      <c r="F12476" s="94" t="inlineStr">
        <is>
          <t>카페24</t>
        </is>
      </c>
      <c r="G12476" s="94" t="inlineStr">
        <is>
          <t>어성초 77 진정 마스크옵션=어성초 77 진정 마스크팩 10장-50% off</t>
        </is>
      </c>
      <c r="K12476" s="94" t="n">
        <v>2</v>
      </c>
      <c r="L12476" s="88" t="n">
        <v>201208</v>
      </c>
      <c r="M12476" s="88">
        <f>VLOOKUP($Q12476,매칭테이블!$F:$I,2,0)*K12476</f>
        <v/>
      </c>
      <c r="N12476" s="88">
        <f>M12476-M12476*VLOOKUP($Q12476,매칭테이블!$F:$I,3,0)</f>
        <v/>
      </c>
      <c r="O12476" s="88">
        <f>VLOOKUP($Q12476,매칭테이블!$F:$I,4,0)*K12476</f>
        <v/>
      </c>
      <c r="P12476" s="152">
        <f>M12476/1.1</f>
        <v/>
      </c>
      <c r="Q12476" s="88">
        <f>F12476&amp;E12476&amp;G12476&amp;L12476</f>
        <v/>
      </c>
    </row>
    <row r="12477">
      <c r="B12477" s="128" t="n">
        <v>44187</v>
      </c>
      <c r="C12477" s="88">
        <f>TEXT(B12477,"aaa")</f>
        <v/>
      </c>
      <c r="D12477" s="94" t="n"/>
      <c r="E12477" s="88">
        <f>INDEX(매칭테이블!C:D,MATCH(RD!G12477,매칭테이블!D:D,0),1)</f>
        <v/>
      </c>
      <c r="F12477" s="94" t="inlineStr">
        <is>
          <t>카페24</t>
        </is>
      </c>
      <c r="G12477" s="94" t="inlineStr">
        <is>
          <t>어성초 77 진정 마스크</t>
        </is>
      </c>
      <c r="K12477" s="94" t="n">
        <v>7</v>
      </c>
      <c r="L12477" s="88" t="n">
        <v>201208</v>
      </c>
      <c r="M12477" s="88">
        <f>VLOOKUP($Q12477,매칭테이블!$F:$I,2,0)*K12477</f>
        <v/>
      </c>
      <c r="N12477" s="88">
        <f>M12477-M12477*VLOOKUP($Q12477,매칭테이블!$F:$I,3,0)</f>
        <v/>
      </c>
      <c r="O12477" s="88">
        <f>VLOOKUP($Q12477,매칭테이블!$F:$I,4,0)*K12477</f>
        <v/>
      </c>
      <c r="P12477" s="152">
        <f>M12477/1.1</f>
        <v/>
      </c>
      <c r="Q12477" s="88">
        <f>F12477&amp;E12477&amp;G12477&amp;L12477</f>
        <v/>
      </c>
    </row>
    <row r="12478">
      <c r="B12478" s="128" t="n">
        <v>44187</v>
      </c>
      <c r="C12478" s="88">
        <f>TEXT(B12478,"aaa")</f>
        <v/>
      </c>
      <c r="D12478" s="94" t="n"/>
      <c r="E12478" s="88">
        <f>INDEX(매칭테이블!C:D,MATCH(RD!G12478,매칭테이블!D:D,0),1)</f>
        <v/>
      </c>
      <c r="F12478" s="94" t="inlineStr">
        <is>
          <t>카페24</t>
        </is>
      </c>
      <c r="G12478" s="94" t="inlineStr">
        <is>
          <t>어성초 77 클리어 패드옵션=어성초 77 클리어 패드 1개-20% off</t>
        </is>
      </c>
      <c r="K12478" s="94" t="n">
        <v>47</v>
      </c>
      <c r="L12478" s="88" t="n">
        <v>201208</v>
      </c>
      <c r="M12478" s="88">
        <f>VLOOKUP($Q12478,매칭테이블!$F:$I,2,0)*K12478</f>
        <v/>
      </c>
      <c r="N12478" s="88">
        <f>M12478-M12478*VLOOKUP($Q12478,매칭테이블!$F:$I,3,0)</f>
        <v/>
      </c>
      <c r="O12478" s="88">
        <f>VLOOKUP($Q12478,매칭테이블!$F:$I,4,0)*K12478</f>
        <v/>
      </c>
      <c r="P12478" s="152">
        <f>M12478/1.1</f>
        <v/>
      </c>
      <c r="Q12478" s="88">
        <f>F12478&amp;E12478&amp;G12478&amp;L12478</f>
        <v/>
      </c>
    </row>
    <row r="12479">
      <c r="B12479" s="128" t="n">
        <v>44187</v>
      </c>
      <c r="C12479" s="88">
        <f>TEXT(B12479,"aaa")</f>
        <v/>
      </c>
      <c r="D12479" s="94" t="n"/>
      <c r="E12479" s="88">
        <f>INDEX(매칭테이블!C:D,MATCH(RD!G12479,매칭테이블!D:D,0),1)</f>
        <v/>
      </c>
      <c r="F12479" s="94" t="inlineStr">
        <is>
          <t>카페24</t>
        </is>
      </c>
      <c r="G12479" s="94" t="inlineStr">
        <is>
          <t>어성초 77 클리어 패드옵션=어성초 77 클리어 패드 2개-30% off (무료배송)</t>
        </is>
      </c>
      <c r="K12479" s="94" t="n">
        <v>61</v>
      </c>
      <c r="L12479" s="88" t="n">
        <v>201208</v>
      </c>
      <c r="M12479" s="88">
        <f>VLOOKUP($Q12479,매칭테이블!$F:$I,2,0)*K12479</f>
        <v/>
      </c>
      <c r="N12479" s="88">
        <f>M12479-M12479*VLOOKUP($Q12479,매칭테이블!$F:$I,3,0)</f>
        <v/>
      </c>
      <c r="O12479" s="88">
        <f>VLOOKUP($Q12479,매칭테이블!$F:$I,4,0)*K12479</f>
        <v/>
      </c>
      <c r="P12479" s="152">
        <f>M12479/1.1</f>
        <v/>
      </c>
      <c r="Q12479" s="88">
        <f>F12479&amp;E12479&amp;G12479&amp;L12479</f>
        <v/>
      </c>
    </row>
    <row r="12480">
      <c r="B12480" s="128" t="n">
        <v>44187</v>
      </c>
      <c r="C12480" s="88">
        <f>TEXT(B12480,"aaa")</f>
        <v/>
      </c>
      <c r="D12480" s="94" t="n"/>
      <c r="E12480" s="88">
        <f>INDEX(매칭테이블!C:D,MATCH(RD!G12480,매칭테이블!D:D,0),1)</f>
        <v/>
      </c>
      <c r="F12480" s="94" t="inlineStr">
        <is>
          <t>카페24</t>
        </is>
      </c>
      <c r="G12480" s="94" t="inlineStr">
        <is>
          <t>어성초 77 클리어 패드옵션=어성초77토너1개+어성초77패드1개-30% off (무료배송)</t>
        </is>
      </c>
      <c r="K12480" s="94" t="n">
        <v>32</v>
      </c>
      <c r="L12480" s="88" t="n">
        <v>201208</v>
      </c>
      <c r="M12480" s="88">
        <f>VLOOKUP($Q12480,매칭테이블!$F:$I,2,0)*K12480</f>
        <v/>
      </c>
      <c r="N12480" s="88">
        <f>M12480-M12480*VLOOKUP($Q12480,매칭테이블!$F:$I,3,0)</f>
        <v/>
      </c>
      <c r="O12480" s="88">
        <f>VLOOKUP($Q12480,매칭테이블!$F:$I,4,0)*K12480</f>
        <v/>
      </c>
      <c r="P12480" s="152">
        <f>M12480/1.1</f>
        <v/>
      </c>
      <c r="Q12480" s="88">
        <f>F12480&amp;E12480&amp;G12480&amp;L12480</f>
        <v/>
      </c>
    </row>
    <row r="12481">
      <c r="B12481" s="128" t="n">
        <v>44187</v>
      </c>
      <c r="C12481" s="88">
        <f>TEXT(B12481,"aaa")</f>
        <v/>
      </c>
      <c r="D12481" s="94" t="n"/>
      <c r="E12481" s="88">
        <f>INDEX(매칭테이블!C:D,MATCH(RD!G12481,매칭테이블!D:D,0),1)</f>
        <v/>
      </c>
      <c r="F12481" s="94" t="inlineStr">
        <is>
          <t>카페24</t>
        </is>
      </c>
      <c r="G12481" s="94" t="inlineStr">
        <is>
          <t>어성초 77 토너</t>
        </is>
      </c>
      <c r="K12481" s="94" t="n">
        <v>1</v>
      </c>
      <c r="L12481" s="88" t="n">
        <v>201208</v>
      </c>
      <c r="M12481" s="88">
        <f>VLOOKUP($Q12481,매칭테이블!$F:$I,2,0)*K12481</f>
        <v/>
      </c>
      <c r="N12481" s="88">
        <f>M12481-M12481*VLOOKUP($Q12481,매칭테이블!$F:$I,3,0)</f>
        <v/>
      </c>
      <c r="O12481" s="88">
        <f>VLOOKUP($Q12481,매칭테이블!$F:$I,4,0)*K12481</f>
        <v/>
      </c>
      <c r="P12481" s="152">
        <f>M12481/1.1</f>
        <v/>
      </c>
      <c r="Q12481" s="88">
        <f>F12481&amp;E12481&amp;G12481&amp;L12481</f>
        <v/>
      </c>
    </row>
    <row r="12482">
      <c r="B12482" s="128" t="n">
        <v>44187</v>
      </c>
      <c r="C12482" s="88">
        <f>TEXT(B12482,"aaa")</f>
        <v/>
      </c>
      <c r="D12482" s="94" t="n"/>
      <c r="E12482" s="88">
        <f>INDEX(매칭테이블!C:D,MATCH(RD!G12482,매칭테이블!D:D,0),1)</f>
        <v/>
      </c>
      <c r="F12482" s="94" t="inlineStr">
        <is>
          <t>카페24</t>
        </is>
      </c>
      <c r="G12482" s="94" t="inlineStr">
        <is>
          <t>어성초 77 토너토너(필수)=어성초 77 토너 2개-30% off (무료배송)</t>
        </is>
      </c>
      <c r="K12482" s="94" t="n">
        <v>1</v>
      </c>
      <c r="L12482" s="88" t="n">
        <v>201208</v>
      </c>
      <c r="M12482" s="88">
        <f>VLOOKUP($Q12482,매칭테이블!$F:$I,2,0)*K12482</f>
        <v/>
      </c>
      <c r="N12482" s="88">
        <f>M12482-M12482*VLOOKUP($Q12482,매칭테이블!$F:$I,3,0)</f>
        <v/>
      </c>
      <c r="O12482" s="88">
        <f>VLOOKUP($Q12482,매칭테이블!$F:$I,4,0)*K12482</f>
        <v/>
      </c>
      <c r="P12482" s="152">
        <f>M12482/1.1</f>
        <v/>
      </c>
      <c r="Q12482" s="88">
        <f>F12482&amp;E12482&amp;G12482&amp;L12482</f>
        <v/>
      </c>
    </row>
    <row r="12483">
      <c r="B12483" s="128" t="n">
        <v>44187</v>
      </c>
      <c r="C12483" s="88">
        <f>TEXT(B12483,"aaa")</f>
        <v/>
      </c>
      <c r="D12483" s="94" t="n"/>
      <c r="E12483" s="88">
        <f>INDEX(매칭테이블!C:D,MATCH(RD!G12483,매칭테이블!D:D,0),1)</f>
        <v/>
      </c>
      <c r="F12483" s="94" t="inlineStr">
        <is>
          <t>카페24</t>
        </is>
      </c>
      <c r="G12483" s="94" t="inlineStr">
        <is>
          <t>어성초 77 포어 클리어 패드옵션=어성초 77 클리어 패드 1개-20% off</t>
        </is>
      </c>
      <c r="K12483" s="94" t="n">
        <v>12</v>
      </c>
      <c r="L12483" s="88" t="n">
        <v>201208</v>
      </c>
      <c r="M12483" s="88">
        <f>VLOOKUP($Q12483,매칭테이블!$F:$I,2,0)*K12483</f>
        <v/>
      </c>
      <c r="N12483" s="88">
        <f>M12483-M12483*VLOOKUP($Q12483,매칭테이블!$F:$I,3,0)</f>
        <v/>
      </c>
      <c r="O12483" s="88">
        <f>VLOOKUP($Q12483,매칭테이블!$F:$I,4,0)*K12483</f>
        <v/>
      </c>
      <c r="P12483" s="152">
        <f>M12483/1.1</f>
        <v/>
      </c>
      <c r="Q12483" s="88">
        <f>F12483&amp;E12483&amp;G12483&amp;L12483</f>
        <v/>
      </c>
    </row>
    <row r="12484">
      <c r="B12484" s="128" t="n">
        <v>44187</v>
      </c>
      <c r="C12484" s="88">
        <f>TEXT(B12484,"aaa")</f>
        <v/>
      </c>
      <c r="D12484" s="94" t="n"/>
      <c r="E12484" s="88">
        <f>INDEX(매칭테이블!C:D,MATCH(RD!G12484,매칭테이블!D:D,0),1)</f>
        <v/>
      </c>
      <c r="F12484" s="94" t="inlineStr">
        <is>
          <t>카페24</t>
        </is>
      </c>
      <c r="G12484" s="94" t="inlineStr">
        <is>
          <t>어성초 77 포어 클리어 패드옵션=어성초 77 클리어 패드 2개-30% off (무료배송)</t>
        </is>
      </c>
      <c r="K12484" s="94" t="n">
        <v>21</v>
      </c>
      <c r="L12484" s="88" t="n">
        <v>201208</v>
      </c>
      <c r="M12484" s="88">
        <f>VLOOKUP($Q12484,매칭테이블!$F:$I,2,0)*K12484</f>
        <v/>
      </c>
      <c r="N12484" s="88">
        <f>M12484-M12484*VLOOKUP($Q12484,매칭테이블!$F:$I,3,0)</f>
        <v/>
      </c>
      <c r="O12484" s="88">
        <f>VLOOKUP($Q12484,매칭테이블!$F:$I,4,0)*K12484</f>
        <v/>
      </c>
      <c r="P12484" s="152">
        <f>M12484/1.1</f>
        <v/>
      </c>
      <c r="Q12484" s="88">
        <f>F12484&amp;E12484&amp;G12484&amp;L12484</f>
        <v/>
      </c>
    </row>
    <row r="12485">
      <c r="B12485" s="128" t="n">
        <v>44187</v>
      </c>
      <c r="C12485" s="88">
        <f>TEXT(B12485,"aaa")</f>
        <v/>
      </c>
      <c r="D12485" s="94" t="n"/>
      <c r="E12485" s="88">
        <f>INDEX(매칭테이블!C:D,MATCH(RD!G12485,매칭테이블!D:D,0),1)</f>
        <v/>
      </c>
      <c r="F12485" s="94" t="inlineStr">
        <is>
          <t>카페24</t>
        </is>
      </c>
      <c r="G12485" s="94" t="inlineStr">
        <is>
          <t>어성초 77 포어 클리어 패드옵션=어성초77토너1개+어성초77패드1개-30% off (무료배송)</t>
        </is>
      </c>
      <c r="K12485" s="94" t="n">
        <v>6</v>
      </c>
      <c r="L12485" s="88" t="n">
        <v>201208</v>
      </c>
      <c r="M12485" s="88">
        <f>VLOOKUP($Q12485,매칭테이블!$F:$I,2,0)*K12485</f>
        <v/>
      </c>
      <c r="N12485" s="88">
        <f>M12485-M12485*VLOOKUP($Q12485,매칭테이블!$F:$I,3,0)</f>
        <v/>
      </c>
      <c r="O12485" s="88">
        <f>VLOOKUP($Q12485,매칭테이블!$F:$I,4,0)*K12485</f>
        <v/>
      </c>
      <c r="P12485" s="152">
        <f>M12485/1.1</f>
        <v/>
      </c>
      <c r="Q12485" s="88">
        <f>F12485&amp;E12485&amp;G12485&amp;L12485</f>
        <v/>
      </c>
    </row>
    <row r="12486">
      <c r="B12486" s="128" t="n">
        <v>44187</v>
      </c>
      <c r="C12486" s="88">
        <f>TEXT(B12486,"aaa")</f>
        <v/>
      </c>
      <c r="D12486" s="94" t="n"/>
      <c r="E12486" s="88">
        <f>INDEX(매칭테이블!C:D,MATCH(RD!G12486,매칭테이블!D:D,0),1)</f>
        <v/>
      </c>
      <c r="F12486" s="94" t="inlineStr">
        <is>
          <t>카페24</t>
        </is>
      </c>
      <c r="G12486" s="94" t="inlineStr">
        <is>
          <t>어성초 77% 패드옵션=어성초 77 클리어 패드 1개-20% off</t>
        </is>
      </c>
      <c r="K12486" s="94" t="n">
        <v>76</v>
      </c>
      <c r="L12486" s="88" t="n">
        <v>201208</v>
      </c>
      <c r="M12486" s="88">
        <f>VLOOKUP($Q12486,매칭테이블!$F:$I,2,0)*K12486</f>
        <v/>
      </c>
      <c r="N12486" s="88">
        <f>M12486-M12486*VLOOKUP($Q12486,매칭테이블!$F:$I,3,0)</f>
        <v/>
      </c>
      <c r="O12486" s="88">
        <f>VLOOKUP($Q12486,매칭테이블!$F:$I,4,0)*K12486</f>
        <v/>
      </c>
      <c r="P12486" s="152">
        <f>M12486/1.1</f>
        <v/>
      </c>
      <c r="Q12486" s="88">
        <f>F12486&amp;E12486&amp;G12486&amp;L12486</f>
        <v/>
      </c>
    </row>
    <row r="12487">
      <c r="B12487" s="128" t="n">
        <v>44187</v>
      </c>
      <c r="C12487" s="88">
        <f>TEXT(B12487,"aaa")</f>
        <v/>
      </c>
      <c r="D12487" s="94" t="n"/>
      <c r="E12487" s="88">
        <f>INDEX(매칭테이블!C:D,MATCH(RD!G12487,매칭테이블!D:D,0),1)</f>
        <v/>
      </c>
      <c r="F12487" s="94" t="inlineStr">
        <is>
          <t>카페24</t>
        </is>
      </c>
      <c r="G12487" s="94" t="inlineStr">
        <is>
          <t>어성초 77% 패드옵션=어성초 77 클리어 패드 2개-30% off (무료배송)</t>
        </is>
      </c>
      <c r="K12487" s="94" t="n">
        <v>59</v>
      </c>
      <c r="L12487" s="88" t="n">
        <v>201208</v>
      </c>
      <c r="M12487" s="88">
        <f>VLOOKUP($Q12487,매칭테이블!$F:$I,2,0)*K12487</f>
        <v/>
      </c>
      <c r="N12487" s="88">
        <f>M12487-M12487*VLOOKUP($Q12487,매칭테이블!$F:$I,3,0)</f>
        <v/>
      </c>
      <c r="O12487" s="88">
        <f>VLOOKUP($Q12487,매칭테이블!$F:$I,4,0)*K12487</f>
        <v/>
      </c>
      <c r="P12487" s="152">
        <f>M12487/1.1</f>
        <v/>
      </c>
      <c r="Q12487" s="88">
        <f>F12487&amp;E12487&amp;G12487&amp;L12487</f>
        <v/>
      </c>
    </row>
    <row r="12488">
      <c r="B12488" s="128" t="n">
        <v>44187</v>
      </c>
      <c r="C12488" s="88">
        <f>TEXT(B12488,"aaa")</f>
        <v/>
      </c>
      <c r="D12488" s="94" t="n"/>
      <c r="E12488" s="88">
        <f>INDEX(매칭테이블!C:D,MATCH(RD!G12488,매칭테이블!D:D,0),1)</f>
        <v/>
      </c>
      <c r="F12488" s="94" t="inlineStr">
        <is>
          <t>카페24</t>
        </is>
      </c>
      <c r="G12488" s="94" t="inlineStr">
        <is>
          <t>어성초 77% 패드옵션=어성초77토너1개+어성초77패드1개-30% off (무료배송)</t>
        </is>
      </c>
      <c r="K12488" s="94" t="n">
        <v>58</v>
      </c>
      <c r="L12488" s="88" t="n">
        <v>201208</v>
      </c>
      <c r="M12488" s="88">
        <f>VLOOKUP($Q12488,매칭테이블!$F:$I,2,0)*K12488</f>
        <v/>
      </c>
      <c r="N12488" s="88">
        <f>M12488-M12488*VLOOKUP($Q12488,매칭테이블!$F:$I,3,0)</f>
        <v/>
      </c>
      <c r="O12488" s="88">
        <f>VLOOKUP($Q12488,매칭테이블!$F:$I,4,0)*K12488</f>
        <v/>
      </c>
      <c r="P12488" s="152">
        <f>M12488/1.1</f>
        <v/>
      </c>
      <c r="Q12488" s="88">
        <f>F12488&amp;E12488&amp;G12488&amp;L12488</f>
        <v/>
      </c>
    </row>
    <row r="12489">
      <c r="B12489" s="128" t="n">
        <v>44187</v>
      </c>
      <c r="C12489" s="88">
        <f>TEXT(B12489,"aaa")</f>
        <v/>
      </c>
      <c r="D12489" s="94" t="n"/>
      <c r="E12489" s="88">
        <f>INDEX(매칭테이블!C:D,MATCH(RD!G12489,매칭테이블!D:D,0),1)</f>
        <v/>
      </c>
      <c r="F12489" s="94" t="inlineStr">
        <is>
          <t>카페24</t>
        </is>
      </c>
      <c r="G12489" s="94" t="inlineStr">
        <is>
          <t>어성초 78 수딩 크림</t>
        </is>
      </c>
      <c r="K12489" s="94" t="n">
        <v>8</v>
      </c>
      <c r="L12489" s="88" t="n">
        <v>201208</v>
      </c>
      <c r="M12489" s="88">
        <f>VLOOKUP($Q12489,매칭테이블!$F:$I,2,0)*K12489</f>
        <v/>
      </c>
      <c r="N12489" s="88">
        <f>M12489-M12489*VLOOKUP($Q12489,매칭테이블!$F:$I,3,0)</f>
        <v/>
      </c>
      <c r="O12489" s="88">
        <f>VLOOKUP($Q12489,매칭테이블!$F:$I,4,0)*K12489</f>
        <v/>
      </c>
      <c r="P12489" s="152">
        <f>M12489/1.1</f>
        <v/>
      </c>
      <c r="Q12489" s="88">
        <f>F12489&amp;E12489&amp;G12489&amp;L12489</f>
        <v/>
      </c>
    </row>
    <row r="12490">
      <c r="B12490" s="128" t="n">
        <v>44187</v>
      </c>
      <c r="C12490" s="88">
        <f>TEXT(B12490,"aaa")</f>
        <v/>
      </c>
      <c r="D12490" s="94" t="n"/>
      <c r="E12490" s="88">
        <f>INDEX(매칭테이블!C:D,MATCH(RD!G12490,매칭테이블!D:D,0),1)</f>
        <v/>
      </c>
      <c r="F12490" s="94" t="inlineStr">
        <is>
          <t>카페24</t>
        </is>
      </c>
      <c r="G12490" s="94" t="inlineStr">
        <is>
          <t>어성초 80 수분 진정 앰플앰플=어성초 80 앰플 1개-15%off</t>
        </is>
      </c>
      <c r="K12490" s="94" t="n">
        <v>21</v>
      </c>
      <c r="L12490" s="88" t="n">
        <v>201208</v>
      </c>
      <c r="M12490" s="88">
        <f>VLOOKUP($Q12490,매칭테이블!$F:$I,2,0)*K12490</f>
        <v/>
      </c>
      <c r="N12490" s="88">
        <f>M12490-M12490*VLOOKUP($Q12490,매칭테이블!$F:$I,3,0)</f>
        <v/>
      </c>
      <c r="O12490" s="88">
        <f>VLOOKUP($Q12490,매칭테이블!$F:$I,4,0)*K12490</f>
        <v/>
      </c>
      <c r="P12490" s="152">
        <f>M12490/1.1</f>
        <v/>
      </c>
      <c r="Q12490" s="88">
        <f>F12490&amp;E12490&amp;G12490&amp;L12490</f>
        <v/>
      </c>
    </row>
    <row r="12491">
      <c r="B12491" s="128" t="n">
        <v>44187</v>
      </c>
      <c r="C12491" s="88">
        <f>TEXT(B12491,"aaa")</f>
        <v/>
      </c>
      <c r="D12491" s="94" t="n"/>
      <c r="E12491" s="88">
        <f>INDEX(매칭테이블!C:D,MATCH(RD!G12491,매칭테이블!D:D,0),1)</f>
        <v/>
      </c>
      <c r="F12491" s="94" t="inlineStr">
        <is>
          <t>카페24</t>
        </is>
      </c>
      <c r="G12491" s="94" t="inlineStr">
        <is>
          <t>어성초 80 수분 진정 앰플앰플=어성초 80 앰플 2개-27%off (무료배송)</t>
        </is>
      </c>
      <c r="K12491" s="94" t="n">
        <v>5</v>
      </c>
      <c r="L12491" s="88" t="n">
        <v>201208</v>
      </c>
      <c r="M12491" s="88">
        <f>VLOOKUP($Q12491,매칭테이블!$F:$I,2,0)*K12491</f>
        <v/>
      </c>
      <c r="N12491" s="88">
        <f>M12491-M12491*VLOOKUP($Q12491,매칭테이블!$F:$I,3,0)</f>
        <v/>
      </c>
      <c r="O12491" s="88">
        <f>VLOOKUP($Q12491,매칭테이블!$F:$I,4,0)*K12491</f>
        <v/>
      </c>
      <c r="P12491" s="152">
        <f>M12491/1.1</f>
        <v/>
      </c>
      <c r="Q12491" s="88">
        <f>F12491&amp;E12491&amp;G12491&amp;L12491</f>
        <v/>
      </c>
    </row>
    <row r="12492">
      <c r="B12492" s="128" t="n">
        <v>44187</v>
      </c>
      <c r="C12492" s="88">
        <f>TEXT(B12492,"aaa")</f>
        <v/>
      </c>
      <c r="D12492" s="94" t="n"/>
      <c r="E12492" s="88">
        <f>INDEX(매칭테이블!C:D,MATCH(RD!G12492,매칭테이블!D:D,0),1)</f>
        <v/>
      </c>
      <c r="F12492" s="94" t="inlineStr">
        <is>
          <t>카페24</t>
        </is>
      </c>
      <c r="G12492" s="94" t="inlineStr">
        <is>
          <t>어성초 80 수분 진정 앰플</t>
        </is>
      </c>
      <c r="K12492" s="94" t="n">
        <v>7</v>
      </c>
      <c r="L12492" s="88" t="n">
        <v>201208</v>
      </c>
      <c r="M12492" s="88">
        <f>VLOOKUP($Q12492,매칭테이블!$F:$I,2,0)*K12492</f>
        <v/>
      </c>
      <c r="N12492" s="88">
        <f>M12492-M12492*VLOOKUP($Q12492,매칭테이블!$F:$I,3,0)</f>
        <v/>
      </c>
      <c r="O12492" s="88">
        <f>VLOOKUP($Q12492,매칭테이블!$F:$I,4,0)*K12492</f>
        <v/>
      </c>
      <c r="P12492" s="152">
        <f>M12492/1.1</f>
        <v/>
      </c>
      <c r="Q12492" s="88">
        <f>F12492&amp;E12492&amp;G12492&amp;L12492</f>
        <v/>
      </c>
    </row>
    <row r="12493">
      <c r="B12493" s="128" t="n">
        <v>44187</v>
      </c>
      <c r="C12493" s="88">
        <f>TEXT(B12493,"aaa")</f>
        <v/>
      </c>
      <c r="D12493" s="94" t="n"/>
      <c r="E12493" s="88">
        <f>INDEX(매칭테이블!C:D,MATCH(RD!G12493,매칭테이블!D:D,0),1)</f>
        <v/>
      </c>
      <c r="F12493" s="94" t="inlineStr">
        <is>
          <t>카페24</t>
        </is>
      </c>
      <c r="G12493" s="94" t="inlineStr">
        <is>
          <t>어성초 아크네 바디워시옵션=어성초 아크네 바디워시 1개 -30% off</t>
        </is>
      </c>
      <c r="K12493" s="94" t="n">
        <v>4</v>
      </c>
      <c r="L12493" s="88" t="n">
        <v>201208</v>
      </c>
      <c r="M12493" s="88">
        <f>VLOOKUP($Q12493,매칭테이블!$F:$I,2,0)*K12493</f>
        <v/>
      </c>
      <c r="N12493" s="88">
        <f>M12493-M12493*VLOOKUP($Q12493,매칭테이블!$F:$I,3,0)</f>
        <v/>
      </c>
      <c r="O12493" s="88">
        <f>VLOOKUP($Q12493,매칭테이블!$F:$I,4,0)*K12493</f>
        <v/>
      </c>
      <c r="P12493" s="152">
        <f>M12493/1.1</f>
        <v/>
      </c>
      <c r="Q12493" s="88">
        <f>F12493&amp;E12493&amp;G12493&amp;L12493</f>
        <v/>
      </c>
    </row>
    <row r="12494">
      <c r="B12494" s="128" t="n">
        <v>44187</v>
      </c>
      <c r="C12494" s="88">
        <f>TEXT(B12494,"aaa")</f>
        <v/>
      </c>
      <c r="D12494" s="94" t="n"/>
      <c r="E12494" s="88">
        <f>INDEX(매칭테이블!C:D,MATCH(RD!G12494,매칭테이블!D:D,0),1)</f>
        <v/>
      </c>
      <c r="F12494" s="94" t="inlineStr">
        <is>
          <t>카페24</t>
        </is>
      </c>
      <c r="G12494" s="94" t="inlineStr">
        <is>
          <t>어성초 약산성 클렌징폼클렌징폼=어성초 약산성 클렌징폼 1개 -19%off</t>
        </is>
      </c>
      <c r="K12494" s="94" t="n">
        <v>22</v>
      </c>
      <c r="L12494" s="88" t="n">
        <v>201208</v>
      </c>
      <c r="M12494" s="88">
        <f>VLOOKUP($Q12494,매칭테이블!$F:$I,2,0)*K12494</f>
        <v/>
      </c>
      <c r="N12494" s="88">
        <f>M12494-M12494*VLOOKUP($Q12494,매칭테이블!$F:$I,3,0)</f>
        <v/>
      </c>
      <c r="O12494" s="88">
        <f>VLOOKUP($Q12494,매칭테이블!$F:$I,4,0)*K12494</f>
        <v/>
      </c>
      <c r="P12494" s="152">
        <f>M12494/1.1</f>
        <v/>
      </c>
      <c r="Q12494" s="88">
        <f>F12494&amp;E12494&amp;G12494&amp;L12494</f>
        <v/>
      </c>
    </row>
    <row r="12495">
      <c r="B12495" s="128" t="n">
        <v>44187</v>
      </c>
      <c r="C12495" s="88">
        <f>TEXT(B12495,"aaa")</f>
        <v/>
      </c>
      <c r="D12495" s="94" t="n"/>
      <c r="E12495" s="88">
        <f>INDEX(매칭테이블!C:D,MATCH(RD!G12495,매칭테이블!D:D,0),1)</f>
        <v/>
      </c>
      <c r="F12495" s="94" t="inlineStr">
        <is>
          <t>카페24</t>
        </is>
      </c>
      <c r="G12495" s="94" t="inlineStr">
        <is>
          <t>어성초 약산성 클렌징폼클렌징폼=어성초 약산성 클렌징폼 2개 -25%off</t>
        </is>
      </c>
      <c r="K12495" s="94" t="n">
        <v>9</v>
      </c>
      <c r="L12495" s="88" t="n">
        <v>201208</v>
      </c>
      <c r="M12495" s="88">
        <f>VLOOKUP($Q12495,매칭테이블!$F:$I,2,0)*K12495</f>
        <v/>
      </c>
      <c r="N12495" s="88">
        <f>M12495-M12495*VLOOKUP($Q12495,매칭테이블!$F:$I,3,0)</f>
        <v/>
      </c>
      <c r="O12495" s="88">
        <f>VLOOKUP($Q12495,매칭테이블!$F:$I,4,0)*K12495</f>
        <v/>
      </c>
      <c r="P12495" s="152">
        <f>M12495/1.1</f>
        <v/>
      </c>
      <c r="Q12495" s="88">
        <f>F12495&amp;E12495&amp;G12495&amp;L12495</f>
        <v/>
      </c>
    </row>
    <row r="12496">
      <c r="B12496" s="128" t="n">
        <v>44187</v>
      </c>
      <c r="C12496" s="88">
        <f>TEXT(B12496,"aaa")</f>
        <v/>
      </c>
      <c r="D12496" s="94" t="n"/>
      <c r="E12496" s="88">
        <f>INDEX(매칭테이블!C:D,MATCH(RD!G12496,매칭테이블!D:D,0),1)</f>
        <v/>
      </c>
      <c r="F12496" s="94" t="inlineStr">
        <is>
          <t>카페24</t>
        </is>
      </c>
      <c r="G12496" s="94" t="inlineStr">
        <is>
          <t>어성초 약산성 클렌징폼클렌징폼=어성초 약산성 클렌징폼 3개 -31%off (무료배송)</t>
        </is>
      </c>
      <c r="K12496" s="94" t="n">
        <v>2</v>
      </c>
      <c r="L12496" s="88" t="n">
        <v>201208</v>
      </c>
      <c r="M12496" s="88">
        <f>VLOOKUP($Q12496,매칭테이블!$F:$I,2,0)*K12496</f>
        <v/>
      </c>
      <c r="N12496" s="88">
        <f>M12496-M12496*VLOOKUP($Q12496,매칭테이블!$F:$I,3,0)</f>
        <v/>
      </c>
      <c r="O12496" s="88">
        <f>VLOOKUP($Q12496,매칭테이블!$F:$I,4,0)*K12496</f>
        <v/>
      </c>
      <c r="P12496" s="152">
        <f>M12496/1.1</f>
        <v/>
      </c>
      <c r="Q12496" s="88">
        <f>F12496&amp;E12496&amp;G12496&amp;L12496</f>
        <v/>
      </c>
    </row>
    <row r="12497">
      <c r="B12497" s="128" t="n">
        <v>44187</v>
      </c>
      <c r="C12497" s="88">
        <f>TEXT(B12497,"aaa")</f>
        <v/>
      </c>
      <c r="D12497" s="94" t="n"/>
      <c r="E12497" s="88">
        <f>INDEX(매칭테이블!C:D,MATCH(RD!G12497,매칭테이블!D:D,0),1)</f>
        <v/>
      </c>
      <c r="F12497" s="94" t="inlineStr">
        <is>
          <t>카페24</t>
        </is>
      </c>
      <c r="G12497" s="94" t="inlineStr">
        <is>
          <t>어성초 크림마스크 나이트 솔루션옵션=어성초 크림마스크 나이트 솔루션 10장 (-50%)</t>
        </is>
      </c>
      <c r="K12497" s="94" t="n">
        <v>3</v>
      </c>
      <c r="L12497" s="88" t="n">
        <v>201208</v>
      </c>
      <c r="M12497" s="88">
        <f>VLOOKUP($Q12497,매칭테이블!$F:$I,2,0)*K12497</f>
        <v/>
      </c>
      <c r="N12497" s="88">
        <f>M12497-M12497*VLOOKUP($Q12497,매칭테이블!$F:$I,3,0)</f>
        <v/>
      </c>
      <c r="O12497" s="88">
        <f>VLOOKUP($Q12497,매칭테이블!$F:$I,4,0)*K12497</f>
        <v/>
      </c>
      <c r="P12497" s="152">
        <f>M12497/1.1</f>
        <v/>
      </c>
      <c r="Q12497" s="88">
        <f>F12497&amp;E12497&amp;G12497&amp;L12497</f>
        <v/>
      </c>
    </row>
    <row r="12498">
      <c r="B12498" s="128" t="n">
        <v>44187</v>
      </c>
      <c r="C12498" s="88">
        <f>TEXT(B12498,"aaa")</f>
        <v/>
      </c>
      <c r="D12498" s="94" t="n"/>
      <c r="E12498" s="88">
        <f>INDEX(매칭테이블!C:D,MATCH(RD!G12498,매칭테이블!D:D,0),1)</f>
        <v/>
      </c>
      <c r="F12498" s="94" t="inlineStr">
        <is>
          <t>카페24</t>
        </is>
      </c>
      <c r="G12498" s="94" t="inlineStr">
        <is>
          <t>촉촉 스킨팩 화장솜</t>
        </is>
      </c>
      <c r="K12498" s="94" t="n">
        <v>33</v>
      </c>
      <c r="L12498" s="88" t="n">
        <v>201208</v>
      </c>
      <c r="M12498" s="88">
        <f>VLOOKUP($Q12498,매칭테이블!$F:$I,2,0)*K12498</f>
        <v/>
      </c>
      <c r="N12498" s="88">
        <f>M12498-M12498*VLOOKUP($Q12498,매칭테이블!$F:$I,3,0)</f>
        <v/>
      </c>
      <c r="O12498" s="88">
        <f>VLOOKUP($Q12498,매칭테이블!$F:$I,4,0)*K12498</f>
        <v/>
      </c>
      <c r="P12498" s="152">
        <f>M12498/1.1</f>
        <v/>
      </c>
      <c r="Q12498" s="88">
        <f>F12498&amp;E12498&amp;G12498&amp;L12498</f>
        <v/>
      </c>
    </row>
    <row r="12499">
      <c r="B12499" s="128" t="n">
        <v>44187</v>
      </c>
      <c r="C12499" s="88">
        <f>TEXT(B12499,"aaa")</f>
        <v/>
      </c>
      <c r="D12499" s="94" t="n"/>
      <c r="E12499" s="88">
        <f>INDEX(매칭테이블!C:D,MATCH(RD!G12499,매칭테이블!D:D,0),1)</f>
        <v/>
      </c>
      <c r="F12499" s="94" t="inlineStr">
        <is>
          <t>카페24</t>
        </is>
      </c>
      <c r="G12499" s="94" t="inlineStr">
        <is>
          <t>촉촉 스킨팩 화장솜</t>
        </is>
      </c>
      <c r="K12499" s="94" t="n">
        <v>1</v>
      </c>
      <c r="L12499" s="88" t="n">
        <v>201208</v>
      </c>
      <c r="M12499" s="88">
        <f>VLOOKUP($Q12499,매칭테이블!$F:$I,2,0)*K12499</f>
        <v/>
      </c>
      <c r="N12499" s="88">
        <f>M12499-M12499*VLOOKUP($Q12499,매칭테이블!$F:$I,3,0)</f>
        <v/>
      </c>
      <c r="O12499" s="88">
        <f>VLOOKUP($Q12499,매칭테이블!$F:$I,4,0)*K12499</f>
        <v/>
      </c>
      <c r="P12499" s="152">
        <f>M12499/1.1</f>
        <v/>
      </c>
      <c r="Q12499" s="88">
        <f>F12499&amp;E12499&amp;G12499&amp;L12499</f>
        <v/>
      </c>
    </row>
    <row r="12500">
      <c r="B12500" s="128" t="n">
        <v>44188</v>
      </c>
      <c r="C12500" s="88">
        <f>TEXT(B12500,"aaa")</f>
        <v/>
      </c>
      <c r="E12500" s="88">
        <f>INDEX(매칭테이블!C:D,MATCH(RD!G12500,매칭테이블!D:D,0),1)</f>
        <v/>
      </c>
      <c r="F12500" s="94" t="inlineStr">
        <is>
          <t>W컨셉</t>
        </is>
      </c>
      <c r="G12500" s="94" t="inlineStr">
        <is>
          <t>어성초 77토너 (2 SET) HEARTLEAF 77% SOOTHING TONER 250ml250ml 2set</t>
        </is>
      </c>
      <c r="K12500" s="94" t="n">
        <v>3</v>
      </c>
      <c r="L12500" s="88" t="n">
        <v>201208</v>
      </c>
      <c r="M12500" s="88">
        <f>VLOOKUP($Q12500,매칭테이블!$F:$I,2,0)*K12500</f>
        <v/>
      </c>
      <c r="N12500" s="88">
        <f>M12500-M12500*VLOOKUP($Q12500,매칭테이블!$F:$I,3,0)</f>
        <v/>
      </c>
      <c r="O12500" s="88">
        <f>VLOOKUP($Q12500,매칭테이블!$F:$I,4,0)*K12500</f>
        <v/>
      </c>
      <c r="P12500" s="152">
        <f>M12500/1.1</f>
        <v/>
      </c>
      <c r="Q12500" s="88">
        <f>F12500&amp;E12500&amp;G12500&amp;L12500</f>
        <v/>
      </c>
    </row>
    <row r="12501">
      <c r="B12501" s="128" t="n">
        <v>44188</v>
      </c>
      <c r="C12501" s="88">
        <f>TEXT(B12501,"aaa")</f>
        <v/>
      </c>
      <c r="D12501" s="94" t="n"/>
      <c r="E12501" s="88">
        <f>INDEX(매칭테이블!C:D,MATCH(RD!G12501,매칭테이블!D:D,0),1)</f>
        <v/>
      </c>
      <c r="F12501" s="94" t="inlineStr">
        <is>
          <t>스타일쉐어</t>
        </is>
      </c>
      <c r="G12501" s="94" t="inlineStr">
        <is>
          <t>아누아 어성초 77 토너 250ml</t>
        </is>
      </c>
      <c r="K12501" s="94" t="n">
        <v>3</v>
      </c>
      <c r="L12501" s="88" t="n">
        <v>201208</v>
      </c>
      <c r="M12501" s="88">
        <f>VLOOKUP($Q12501,매칭테이블!$F:$I,2,0)*K12501</f>
        <v/>
      </c>
      <c r="N12501" s="88">
        <f>M12501-M12501*VLOOKUP($Q12501,매칭테이블!$F:$I,3,0)</f>
        <v/>
      </c>
      <c r="O12501" s="88">
        <f>VLOOKUP($Q12501,매칭테이블!$F:$I,4,0)*K12501</f>
        <v/>
      </c>
      <c r="P12501" s="152">
        <f>M12501/1.1</f>
        <v/>
      </c>
      <c r="Q12501" s="88">
        <f>F12501&amp;E12501&amp;G12501&amp;L12501</f>
        <v/>
      </c>
    </row>
    <row r="12502">
      <c r="B12502" s="128" t="n">
        <v>44188</v>
      </c>
      <c r="C12502" s="88">
        <f>TEXT(B12502,"aaa")</f>
        <v/>
      </c>
      <c r="D12502" s="94" t="n"/>
      <c r="E12502" s="88">
        <f>INDEX(매칭테이블!C:D,MATCH(RD!G12502,매칭테이블!D:D,0),1)</f>
        <v/>
      </c>
      <c r="F12502" s="94" t="inlineStr">
        <is>
          <t>아누아 CS</t>
        </is>
      </c>
      <c r="G12502" s="94" t="inlineStr">
        <is>
          <t>어성초 77 토너 250ml</t>
        </is>
      </c>
      <c r="K12502" s="94" t="n">
        <v>5</v>
      </c>
      <c r="L12502" s="88" t="n">
        <v>201208</v>
      </c>
      <c r="M12502" s="88">
        <f>VLOOKUP($Q12502,매칭테이블!$F:$I,2,0)*K12502</f>
        <v/>
      </c>
      <c r="N12502" s="88">
        <f>M12502-M12502*VLOOKUP($Q12502,매칭테이블!$F:$I,3,0)</f>
        <v/>
      </c>
      <c r="O12502" s="88">
        <f>VLOOKUP($Q12502,매칭테이블!$F:$I,4,0)*K12502</f>
        <v/>
      </c>
      <c r="P12502" s="152">
        <f>M12502/1.1</f>
        <v/>
      </c>
      <c r="Q12502" s="88">
        <f>F12502&amp;E12502&amp;G12502&amp;L12502</f>
        <v/>
      </c>
    </row>
    <row r="12503">
      <c r="B12503" s="128" t="n">
        <v>44188</v>
      </c>
      <c r="C12503" s="88">
        <f>TEXT(B12503,"aaa")</f>
        <v/>
      </c>
      <c r="D12503" s="94" t="n"/>
      <c r="E12503" s="88">
        <f>INDEX(매칭테이블!C:D,MATCH(RD!G12503,매칭테이블!D:D,0),1)</f>
        <v/>
      </c>
      <c r="F12503" s="94" t="inlineStr">
        <is>
          <t>카페24</t>
        </is>
      </c>
      <c r="G12503" s="94" t="inlineStr">
        <is>
          <t>5 제로 무기자차 선크림옵션=5제로 무기자차 선크림 1개-20% off</t>
        </is>
      </c>
      <c r="K12503" s="94" t="n">
        <v>3</v>
      </c>
      <c r="L12503" s="88" t="n">
        <v>201208</v>
      </c>
      <c r="M12503" s="88">
        <f>VLOOKUP($Q12503,매칭테이블!$F:$I,2,0)*K12503</f>
        <v/>
      </c>
      <c r="N12503" s="88">
        <f>M12503-M12503*VLOOKUP($Q12503,매칭테이블!$F:$I,3,0)</f>
        <v/>
      </c>
      <c r="O12503" s="88">
        <f>VLOOKUP($Q12503,매칭테이블!$F:$I,4,0)*K12503</f>
        <v/>
      </c>
      <c r="P12503" s="152">
        <f>M12503/1.1</f>
        <v/>
      </c>
      <c r="Q12503" s="88">
        <f>F12503&amp;E12503&amp;G12503&amp;L12503</f>
        <v/>
      </c>
    </row>
    <row r="12504">
      <c r="B12504" s="128" t="n">
        <v>44188</v>
      </c>
      <c r="C12504" s="88">
        <f>TEXT(B12504,"aaa")</f>
        <v/>
      </c>
      <c r="D12504" s="94" t="n"/>
      <c r="E12504" s="88">
        <f>INDEX(매칭테이블!C:D,MATCH(RD!G12504,매칭테이블!D:D,0),1)</f>
        <v/>
      </c>
      <c r="F12504" s="94" t="inlineStr">
        <is>
          <t>카페24</t>
        </is>
      </c>
      <c r="G12504" s="94" t="inlineStr">
        <is>
          <t>5 제로 무기자차 선크림옵션=5제로 무기자차 선크림 2개-30% off (무료배송)</t>
        </is>
      </c>
      <c r="K12504" s="94" t="n">
        <v>1</v>
      </c>
      <c r="L12504" s="88" t="n">
        <v>201208</v>
      </c>
      <c r="M12504" s="88">
        <f>VLOOKUP($Q12504,매칭테이블!$F:$I,2,0)*K12504</f>
        <v/>
      </c>
      <c r="N12504" s="88">
        <f>M12504-M12504*VLOOKUP($Q12504,매칭테이블!$F:$I,3,0)</f>
        <v/>
      </c>
      <c r="O12504" s="88">
        <f>VLOOKUP($Q12504,매칭테이블!$F:$I,4,0)*K12504</f>
        <v/>
      </c>
      <c r="P12504" s="152">
        <f>M12504/1.1</f>
        <v/>
      </c>
      <c r="Q12504" s="88">
        <f>F12504&amp;E12504&amp;G12504&amp;L12504</f>
        <v/>
      </c>
    </row>
    <row r="12505">
      <c r="B12505" s="128" t="n">
        <v>44188</v>
      </c>
      <c r="C12505" s="88">
        <f>TEXT(B12505,"aaa")</f>
        <v/>
      </c>
      <c r="D12505" s="94" t="n"/>
      <c r="E12505" s="88">
        <f>INDEX(매칭테이블!C:D,MATCH(RD!G12505,매칭테이블!D:D,0),1)</f>
        <v/>
      </c>
      <c r="F12505" s="94" t="inlineStr">
        <is>
          <t>카페24</t>
        </is>
      </c>
      <c r="G12505" s="94" t="inlineStr">
        <is>
          <t>[수분 보충 세트] 어성초 77 토너 + 어성초 70 로션옵션=어성초 77 토너 250ml + 어성초 70 로션 200ml -30%</t>
        </is>
      </c>
      <c r="K12505" s="94" t="n">
        <v>30</v>
      </c>
      <c r="L12505" s="88" t="n">
        <v>201208</v>
      </c>
      <c r="M12505" s="88">
        <f>VLOOKUP($Q12505,매칭테이블!$F:$I,2,0)*K12505</f>
        <v/>
      </c>
      <c r="N12505" s="88">
        <f>M12505-M12505*VLOOKUP($Q12505,매칭테이블!$F:$I,3,0)</f>
        <v/>
      </c>
      <c r="O12505" s="88">
        <f>VLOOKUP($Q12505,매칭테이블!$F:$I,4,0)*K12505</f>
        <v/>
      </c>
      <c r="P12505" s="152">
        <f>M12505/1.1</f>
        <v/>
      </c>
      <c r="Q12505" s="88">
        <f>F12505&amp;E12505&amp;G12505&amp;L12505</f>
        <v/>
      </c>
    </row>
    <row r="12506">
      <c r="B12506" s="128" t="n">
        <v>44188</v>
      </c>
      <c r="C12506" s="88">
        <f>TEXT(B12506,"aaa")</f>
        <v/>
      </c>
      <c r="D12506" s="94" t="n"/>
      <c r="E12506" s="88">
        <f>INDEX(매칭테이블!C:D,MATCH(RD!G12506,매칭테이블!D:D,0),1)</f>
        <v/>
      </c>
      <c r="F12506" s="94" t="inlineStr">
        <is>
          <t>카페24</t>
        </is>
      </c>
      <c r="G12506" s="94" t="inlineStr">
        <is>
          <t>[어성초 진정 패키지 세트] 대용량 토너 + 앰플 + 수딩 크림 + 마스크팩 10장</t>
        </is>
      </c>
      <c r="K12506" s="94" t="n">
        <v>3</v>
      </c>
      <c r="L12506" s="88" t="n">
        <v>201208</v>
      </c>
      <c r="M12506" s="88">
        <f>VLOOKUP($Q12506,매칭테이블!$F:$I,2,0)*K12506</f>
        <v/>
      </c>
      <c r="N12506" s="88">
        <f>M12506-M12506*VLOOKUP($Q12506,매칭테이블!$F:$I,3,0)</f>
        <v/>
      </c>
      <c r="O12506" s="88">
        <f>VLOOKUP($Q12506,매칭테이블!$F:$I,4,0)*K12506</f>
        <v/>
      </c>
      <c r="P12506" s="152">
        <f>M12506/1.1</f>
        <v/>
      </c>
      <c r="Q12506" s="88">
        <f>F12506&amp;E12506&amp;G12506&amp;L12506</f>
        <v/>
      </c>
    </row>
    <row r="12507">
      <c r="B12507" s="128" t="n">
        <v>44188</v>
      </c>
      <c r="C12507" s="88">
        <f>TEXT(B12507,"aaa")</f>
        <v/>
      </c>
      <c r="D12507" s="94" t="n"/>
      <c r="E12507" s="88">
        <f>INDEX(매칭테이블!C:D,MATCH(RD!G12507,매칭테이블!D:D,0),1)</f>
        <v/>
      </c>
      <c r="F12507" s="94" t="inlineStr">
        <is>
          <t>카페24</t>
        </is>
      </c>
      <c r="G12507" s="94" t="inlineStr">
        <is>
          <t>대용량 어성초 77 수딩 토너 500ml</t>
        </is>
      </c>
      <c r="K12507" s="94" t="n">
        <v>33</v>
      </c>
      <c r="L12507" s="88" t="n">
        <v>201208</v>
      </c>
      <c r="M12507" s="88">
        <f>VLOOKUP($Q12507,매칭테이블!$F:$I,2,0)*K12507</f>
        <v/>
      </c>
      <c r="N12507" s="88">
        <f>M12507-M12507*VLOOKUP($Q12507,매칭테이블!$F:$I,3,0)</f>
        <v/>
      </c>
      <c r="O12507" s="88">
        <f>VLOOKUP($Q12507,매칭테이블!$F:$I,4,0)*K12507</f>
        <v/>
      </c>
      <c r="P12507" s="152">
        <f>M12507/1.1</f>
        <v/>
      </c>
      <c r="Q12507" s="88">
        <f>F12507&amp;E12507&amp;G12507&amp;L12507</f>
        <v/>
      </c>
    </row>
    <row r="12508">
      <c r="B12508" s="128" t="n">
        <v>44188</v>
      </c>
      <c r="C12508" s="88">
        <f>TEXT(B12508,"aaa")</f>
        <v/>
      </c>
      <c r="D12508" s="94" t="n"/>
      <c r="E12508" s="88">
        <f>INDEX(매칭테이블!C:D,MATCH(RD!G12508,매칭테이블!D:D,0),1)</f>
        <v/>
      </c>
      <c r="F12508" s="94" t="inlineStr">
        <is>
          <t>카페24</t>
        </is>
      </c>
      <c r="G12508" s="94" t="inlineStr">
        <is>
          <t>대용량 어성초 77 토너 500ml</t>
        </is>
      </c>
      <c r="K12508" s="94" t="n">
        <v>4</v>
      </c>
      <c r="L12508" s="88" t="n">
        <v>201208</v>
      </c>
      <c r="M12508" s="88">
        <f>VLOOKUP($Q12508,매칭테이블!$F:$I,2,0)*K12508</f>
        <v/>
      </c>
      <c r="N12508" s="88">
        <f>M12508-M12508*VLOOKUP($Q12508,매칭테이블!$F:$I,3,0)</f>
        <v/>
      </c>
      <c r="O12508" s="88">
        <f>VLOOKUP($Q12508,매칭테이블!$F:$I,4,0)*K12508</f>
        <v/>
      </c>
      <c r="P12508" s="152">
        <f>M12508/1.1</f>
        <v/>
      </c>
      <c r="Q12508" s="88">
        <f>F12508&amp;E12508&amp;G12508&amp;L12508</f>
        <v/>
      </c>
    </row>
    <row r="12509">
      <c r="B12509" s="128" t="n">
        <v>44188</v>
      </c>
      <c r="C12509" s="88">
        <f>TEXT(B12509,"aaa")</f>
        <v/>
      </c>
      <c r="D12509" s="94" t="n"/>
      <c r="E12509" s="88">
        <f>INDEX(매칭테이블!C:D,MATCH(RD!G12509,매칭테이블!D:D,0),1)</f>
        <v/>
      </c>
      <c r="F12509" s="94" t="inlineStr">
        <is>
          <t>카페24</t>
        </is>
      </c>
      <c r="G12509" s="94" t="inlineStr">
        <is>
          <t>아누아 어성초 77 수딩 토너토너(필수)=어성초 77 토너 1개-20% off</t>
        </is>
      </c>
      <c r="K12509" s="94" t="n">
        <v>1</v>
      </c>
      <c r="L12509" s="88" t="n">
        <v>201208</v>
      </c>
      <c r="M12509" s="88">
        <f>VLOOKUP($Q12509,매칭테이블!$F:$I,2,0)*K12509</f>
        <v/>
      </c>
      <c r="N12509" s="88">
        <f>M12509-M12509*VLOOKUP($Q12509,매칭테이블!$F:$I,3,0)</f>
        <v/>
      </c>
      <c r="O12509" s="88">
        <f>VLOOKUP($Q12509,매칭테이블!$F:$I,4,0)*K12509</f>
        <v/>
      </c>
      <c r="P12509" s="152">
        <f>M12509/1.1</f>
        <v/>
      </c>
      <c r="Q12509" s="88">
        <f>F12509&amp;E12509&amp;G12509&amp;L12509</f>
        <v/>
      </c>
    </row>
    <row r="12510">
      <c r="B12510" s="128" t="n">
        <v>44188</v>
      </c>
      <c r="C12510" s="88">
        <f>TEXT(B12510,"aaa")</f>
        <v/>
      </c>
      <c r="D12510" s="94" t="n"/>
      <c r="E12510" s="88">
        <f>INDEX(매칭테이블!C:D,MATCH(RD!G12510,매칭테이블!D:D,0),1)</f>
        <v/>
      </c>
      <c r="F12510" s="94" t="inlineStr">
        <is>
          <t>카페24</t>
        </is>
      </c>
      <c r="G12510" s="94" t="inlineStr">
        <is>
          <t>아누아 어성초 77 수딩 토너토너(필수)=어성초77토너1개 + 어성초77패드1개 -30% off (무료배송)</t>
        </is>
      </c>
      <c r="K12510" s="94" t="n">
        <v>1</v>
      </c>
      <c r="L12510" s="88" t="n">
        <v>201208</v>
      </c>
      <c r="M12510" s="88">
        <f>VLOOKUP($Q12510,매칭테이블!$F:$I,2,0)*K12510</f>
        <v/>
      </c>
      <c r="N12510" s="88">
        <f>M12510-M12510*VLOOKUP($Q12510,매칭테이블!$F:$I,3,0)</f>
        <v/>
      </c>
      <c r="O12510" s="88">
        <f>VLOOKUP($Q12510,매칭테이블!$F:$I,4,0)*K12510</f>
        <v/>
      </c>
      <c r="P12510" s="152">
        <f>M12510/1.1</f>
        <v/>
      </c>
      <c r="Q12510" s="88">
        <f>F12510&amp;E12510&amp;G12510&amp;L12510</f>
        <v/>
      </c>
    </row>
    <row r="12511">
      <c r="B12511" s="128" t="n">
        <v>44188</v>
      </c>
      <c r="C12511" s="88">
        <f>TEXT(B12511,"aaa")</f>
        <v/>
      </c>
      <c r="D12511" s="94" t="n"/>
      <c r="E12511" s="88">
        <f>INDEX(매칭테이블!C:D,MATCH(RD!G12511,매칭테이블!D:D,0),1)</f>
        <v/>
      </c>
      <c r="F12511" s="94" t="inlineStr">
        <is>
          <t>카페24</t>
        </is>
      </c>
      <c r="G12511" s="94" t="inlineStr">
        <is>
          <t>아누아 어성초 77 수딩 토너화장솜(선택)=촉촉 스킨팩 화장솜</t>
        </is>
      </c>
      <c r="K12511" s="94" t="n">
        <v>2</v>
      </c>
      <c r="L12511" s="88" t="n">
        <v>201208</v>
      </c>
      <c r="M12511" s="88">
        <f>VLOOKUP($Q12511,매칭테이블!$F:$I,2,0)*K12511</f>
        <v/>
      </c>
      <c r="N12511" s="88">
        <f>M12511-M12511*VLOOKUP($Q12511,매칭테이블!$F:$I,3,0)</f>
        <v/>
      </c>
      <c r="O12511" s="88">
        <f>VLOOKUP($Q12511,매칭테이블!$F:$I,4,0)*K12511</f>
        <v/>
      </c>
      <c r="P12511" s="152">
        <f>M12511/1.1</f>
        <v/>
      </c>
      <c r="Q12511" s="88">
        <f>F12511&amp;E12511&amp;G12511&amp;L12511</f>
        <v/>
      </c>
    </row>
    <row r="12512">
      <c r="B12512" s="128" t="n">
        <v>44188</v>
      </c>
      <c r="C12512" s="88">
        <f>TEXT(B12512,"aaa")</f>
        <v/>
      </c>
      <c r="D12512" s="94" t="n"/>
      <c r="E12512" s="88">
        <f>INDEX(매칭테이블!C:D,MATCH(RD!G12512,매칭테이블!D:D,0),1)</f>
        <v/>
      </c>
      <c r="F12512" s="94" t="inlineStr">
        <is>
          <t>카페24</t>
        </is>
      </c>
      <c r="G12512" s="94" t="inlineStr">
        <is>
          <t>아누아 어성초 77 수딩 토너토너(필수)=어성초 77 토너 2개-30% off (무료배송)</t>
        </is>
      </c>
      <c r="K12512" s="94" t="n">
        <v>1</v>
      </c>
      <c r="L12512" s="88" t="n">
        <v>201208</v>
      </c>
      <c r="M12512" s="88">
        <f>VLOOKUP($Q12512,매칭테이블!$F:$I,2,0)*K12512</f>
        <v/>
      </c>
      <c r="N12512" s="88">
        <f>M12512-M12512*VLOOKUP($Q12512,매칭테이블!$F:$I,3,0)</f>
        <v/>
      </c>
      <c r="O12512" s="88">
        <f>VLOOKUP($Q12512,매칭테이블!$F:$I,4,0)*K12512</f>
        <v/>
      </c>
      <c r="P12512" s="152">
        <f>M12512/1.1</f>
        <v/>
      </c>
      <c r="Q12512" s="88">
        <f>F12512&amp;E12512&amp;G12512&amp;L12512</f>
        <v/>
      </c>
    </row>
    <row r="12513">
      <c r="B12513" s="128" t="n">
        <v>44188</v>
      </c>
      <c r="C12513" s="88">
        <f>TEXT(B12513,"aaa")</f>
        <v/>
      </c>
      <c r="D12513" s="94" t="n"/>
      <c r="E12513" s="88">
        <f>INDEX(매칭테이블!C:D,MATCH(RD!G12513,매칭테이블!D:D,0),1)</f>
        <v/>
      </c>
      <c r="F12513" s="94" t="inlineStr">
        <is>
          <t>카페24</t>
        </is>
      </c>
      <c r="G12513" s="94" t="inlineStr">
        <is>
          <t>어성초 70 데일리 릴리프 로션로션=어성초 70 데일리 릴리프 로션 1개 -20% off</t>
        </is>
      </c>
      <c r="K12513" s="94" t="n">
        <v>10</v>
      </c>
      <c r="L12513" s="88" t="n">
        <v>201208</v>
      </c>
      <c r="M12513" s="88">
        <f>VLOOKUP($Q12513,매칭테이블!$F:$I,2,0)*K12513</f>
        <v/>
      </c>
      <c r="N12513" s="88">
        <f>M12513-M12513*VLOOKUP($Q12513,매칭테이블!$F:$I,3,0)</f>
        <v/>
      </c>
      <c r="O12513" s="88">
        <f>VLOOKUP($Q12513,매칭테이블!$F:$I,4,0)*K12513</f>
        <v/>
      </c>
      <c r="P12513" s="152">
        <f>M12513/1.1</f>
        <v/>
      </c>
      <c r="Q12513" s="88">
        <f>F12513&amp;E12513&amp;G12513&amp;L12513</f>
        <v/>
      </c>
    </row>
    <row r="12514">
      <c r="B12514" s="128" t="n">
        <v>44188</v>
      </c>
      <c r="C12514" s="88">
        <f>TEXT(B12514,"aaa")</f>
        <v/>
      </c>
      <c r="D12514" s="94" t="n"/>
      <c r="E12514" s="88">
        <f>INDEX(매칭테이블!C:D,MATCH(RD!G12514,매칭테이블!D:D,0),1)</f>
        <v/>
      </c>
      <c r="F12514" s="94" t="inlineStr">
        <is>
          <t>카페24</t>
        </is>
      </c>
      <c r="G12514" s="94" t="inlineStr">
        <is>
          <t>어성초 70 데일리 릴리프 로션로션=어성초 70 데일리 릴리프 로션 2개 -30% off</t>
        </is>
      </c>
      <c r="K12514" s="94" t="n">
        <v>4</v>
      </c>
      <c r="L12514" s="88" t="n">
        <v>201208</v>
      </c>
      <c r="M12514" s="88">
        <f>VLOOKUP($Q12514,매칭테이블!$F:$I,2,0)*K12514</f>
        <v/>
      </c>
      <c r="N12514" s="88">
        <f>M12514-M12514*VLOOKUP($Q12514,매칭테이블!$F:$I,3,0)</f>
        <v/>
      </c>
      <c r="O12514" s="88">
        <f>VLOOKUP($Q12514,매칭테이블!$F:$I,4,0)*K12514</f>
        <v/>
      </c>
      <c r="P12514" s="152">
        <f>M12514/1.1</f>
        <v/>
      </c>
      <c r="Q12514" s="88">
        <f>F12514&amp;E12514&amp;G12514&amp;L12514</f>
        <v/>
      </c>
    </row>
    <row r="12515">
      <c r="B12515" s="128" t="n">
        <v>44188</v>
      </c>
      <c r="C12515" s="88">
        <f>TEXT(B12515,"aaa")</f>
        <v/>
      </c>
      <c r="D12515" s="94" t="n"/>
      <c r="E12515" s="88">
        <f>INDEX(매칭테이블!C:D,MATCH(RD!G12515,매칭테이블!D:D,0),1)</f>
        <v/>
      </c>
      <c r="F12515" s="94" t="inlineStr">
        <is>
          <t>카페24</t>
        </is>
      </c>
      <c r="G12515" s="94" t="inlineStr">
        <is>
          <t>어성초 70 데일리 릴리프 로션로션=어성초 77토너 + 어성초 70 로션 수분 보충 세트 -30% off</t>
        </is>
      </c>
      <c r="K12515" s="94" t="n">
        <v>2</v>
      </c>
      <c r="L12515" s="88" t="n">
        <v>201208</v>
      </c>
      <c r="M12515" s="88">
        <f>VLOOKUP($Q12515,매칭테이블!$F:$I,2,0)*K12515</f>
        <v/>
      </c>
      <c r="N12515" s="88">
        <f>M12515-M12515*VLOOKUP($Q12515,매칭테이블!$F:$I,3,0)</f>
        <v/>
      </c>
      <c r="O12515" s="88">
        <f>VLOOKUP($Q12515,매칭테이블!$F:$I,4,0)*K12515</f>
        <v/>
      </c>
      <c r="P12515" s="152">
        <f>M12515/1.1</f>
        <v/>
      </c>
      <c r="Q12515" s="88">
        <f>F12515&amp;E12515&amp;G12515&amp;L12515</f>
        <v/>
      </c>
    </row>
    <row r="12516">
      <c r="B12516" s="128" t="n">
        <v>44188</v>
      </c>
      <c r="C12516" s="88">
        <f>TEXT(B12516,"aaa")</f>
        <v/>
      </c>
      <c r="D12516" s="94" t="n"/>
      <c r="E12516" s="88">
        <f>INDEX(매칭테이블!C:D,MATCH(RD!G12516,매칭테이블!D:D,0),1)</f>
        <v/>
      </c>
      <c r="F12516" s="94" t="inlineStr">
        <is>
          <t>카페24</t>
        </is>
      </c>
      <c r="G12516" s="94" t="inlineStr">
        <is>
          <t>어성초 70 머드 크림 마스크옵션=어성초 70 머드 크림 마스크-20% off</t>
        </is>
      </c>
      <c r="K12516" s="94" t="n">
        <v>2</v>
      </c>
      <c r="L12516" s="88" t="n">
        <v>201208</v>
      </c>
      <c r="M12516" s="88">
        <f>VLOOKUP($Q12516,매칭테이블!$F:$I,2,0)*K12516</f>
        <v/>
      </c>
      <c r="N12516" s="88">
        <f>M12516-M12516*VLOOKUP($Q12516,매칭테이블!$F:$I,3,0)</f>
        <v/>
      </c>
      <c r="O12516" s="88">
        <f>VLOOKUP($Q12516,매칭테이블!$F:$I,4,0)*K12516</f>
        <v/>
      </c>
      <c r="P12516" s="152">
        <f>M12516/1.1</f>
        <v/>
      </c>
      <c r="Q12516" s="88">
        <f>F12516&amp;E12516&amp;G12516&amp;L12516</f>
        <v/>
      </c>
    </row>
    <row r="12517">
      <c r="B12517" s="128" t="n">
        <v>44188</v>
      </c>
      <c r="C12517" s="88">
        <f>TEXT(B12517,"aaa")</f>
        <v/>
      </c>
      <c r="D12517" s="94" t="n"/>
      <c r="E12517" s="88">
        <f>INDEX(매칭테이블!C:D,MATCH(RD!G12517,매칭테이블!D:D,0),1)</f>
        <v/>
      </c>
      <c r="F12517" s="94" t="inlineStr">
        <is>
          <t>카페24</t>
        </is>
      </c>
      <c r="G12517" s="94" t="inlineStr">
        <is>
          <t>어성초 70 인텐스 카밍 크림크림=어성초 70 인텐스 카밍 크림 1개 (-20%)</t>
        </is>
      </c>
      <c r="K12517" s="94" t="n">
        <v>3</v>
      </c>
      <c r="L12517" s="88" t="n">
        <v>201208</v>
      </c>
      <c r="M12517" s="88">
        <f>VLOOKUP($Q12517,매칭테이블!$F:$I,2,0)*K12517</f>
        <v/>
      </c>
      <c r="N12517" s="88">
        <f>M12517-M12517*VLOOKUP($Q12517,매칭테이블!$F:$I,3,0)</f>
        <v/>
      </c>
      <c r="O12517" s="88">
        <f>VLOOKUP($Q12517,매칭테이블!$F:$I,4,0)*K12517</f>
        <v/>
      </c>
      <c r="P12517" s="152">
        <f>M12517/1.1</f>
        <v/>
      </c>
      <c r="Q12517" s="88">
        <f>F12517&amp;E12517&amp;G12517&amp;L12517</f>
        <v/>
      </c>
    </row>
    <row r="12518">
      <c r="B12518" s="128" t="n">
        <v>44188</v>
      </c>
      <c r="C12518" s="88">
        <f>TEXT(B12518,"aaa")</f>
        <v/>
      </c>
      <c r="D12518" s="94" t="n"/>
      <c r="E12518" s="88">
        <f>INDEX(매칭테이블!C:D,MATCH(RD!G12518,매칭테이블!D:D,0),1)</f>
        <v/>
      </c>
      <c r="F12518" s="94" t="inlineStr">
        <is>
          <t>카페24</t>
        </is>
      </c>
      <c r="G12518" s="94" t="inlineStr">
        <is>
          <t>어성초 70 인텐스 카밍 크림크림=어성초 70 인텐스 카밍 크림 2개 (-30%)</t>
        </is>
      </c>
      <c r="K12518" s="94" t="n">
        <v>1</v>
      </c>
      <c r="L12518" s="88" t="n">
        <v>201208</v>
      </c>
      <c r="M12518" s="88">
        <f>VLOOKUP($Q12518,매칭테이블!$F:$I,2,0)*K12518</f>
        <v/>
      </c>
      <c r="N12518" s="88">
        <f>M12518-M12518*VLOOKUP($Q12518,매칭테이블!$F:$I,3,0)</f>
        <v/>
      </c>
      <c r="O12518" s="88">
        <f>VLOOKUP($Q12518,매칭테이블!$F:$I,4,0)*K12518</f>
        <v/>
      </c>
      <c r="P12518" s="152">
        <f>M12518/1.1</f>
        <v/>
      </c>
      <c r="Q12518" s="88">
        <f>F12518&amp;E12518&amp;G12518&amp;L12518</f>
        <v/>
      </c>
    </row>
    <row r="12519">
      <c r="B12519" s="128" t="n">
        <v>44188</v>
      </c>
      <c r="C12519" s="88">
        <f>TEXT(B12519,"aaa")</f>
        <v/>
      </c>
      <c r="D12519" s="94" t="n"/>
      <c r="E12519" s="88">
        <f>INDEX(매칭테이블!C:D,MATCH(RD!G12519,매칭테이블!D:D,0),1)</f>
        <v/>
      </c>
      <c r="F12519" s="94" t="inlineStr">
        <is>
          <t>카페24</t>
        </is>
      </c>
      <c r="G12519" s="94" t="inlineStr">
        <is>
          <t>어성초 77 수딩 토너토너(필수)=어성초 77 토너 1개-20% off</t>
        </is>
      </c>
      <c r="K12519" s="94" t="n">
        <v>45</v>
      </c>
      <c r="L12519" s="88" t="n">
        <v>201208</v>
      </c>
      <c r="M12519" s="88">
        <f>VLOOKUP($Q12519,매칭테이블!$F:$I,2,0)*K12519</f>
        <v/>
      </c>
      <c r="N12519" s="88">
        <f>M12519-M12519*VLOOKUP($Q12519,매칭테이블!$F:$I,3,0)</f>
        <v/>
      </c>
      <c r="O12519" s="88">
        <f>VLOOKUP($Q12519,매칭테이블!$F:$I,4,0)*K12519</f>
        <v/>
      </c>
      <c r="P12519" s="152">
        <f>M12519/1.1</f>
        <v/>
      </c>
      <c r="Q12519" s="88">
        <f>F12519&amp;E12519&amp;G12519&amp;L12519</f>
        <v/>
      </c>
    </row>
    <row r="12520">
      <c r="B12520" s="128" t="n">
        <v>44188</v>
      </c>
      <c r="C12520" s="88">
        <f>TEXT(B12520,"aaa")</f>
        <v/>
      </c>
      <c r="D12520" s="94" t="n"/>
      <c r="E12520" s="88">
        <f>INDEX(매칭테이블!C:D,MATCH(RD!G12520,매칭테이블!D:D,0),1)</f>
        <v/>
      </c>
      <c r="F12520" s="94" t="inlineStr">
        <is>
          <t>카페24</t>
        </is>
      </c>
      <c r="G12520" s="94" t="inlineStr">
        <is>
          <t>어성초 77 수딩 토너토너(필수)=어성초 77 토너 2개-30% off (무료배송)</t>
        </is>
      </c>
      <c r="K12520" s="94" t="n">
        <v>22</v>
      </c>
      <c r="L12520" s="88" t="n">
        <v>201208</v>
      </c>
      <c r="M12520" s="88">
        <f>VLOOKUP($Q12520,매칭테이블!$F:$I,2,0)*K12520</f>
        <v/>
      </c>
      <c r="N12520" s="88">
        <f>M12520-M12520*VLOOKUP($Q12520,매칭테이블!$F:$I,3,0)</f>
        <v/>
      </c>
      <c r="O12520" s="88">
        <f>VLOOKUP($Q12520,매칭테이블!$F:$I,4,0)*K12520</f>
        <v/>
      </c>
      <c r="P12520" s="152">
        <f>M12520/1.1</f>
        <v/>
      </c>
      <c r="Q12520" s="88">
        <f>F12520&amp;E12520&amp;G12520&amp;L12520</f>
        <v/>
      </c>
    </row>
    <row r="12521">
      <c r="B12521" s="128" t="n">
        <v>44188</v>
      </c>
      <c r="C12521" s="88">
        <f>TEXT(B12521,"aaa")</f>
        <v/>
      </c>
      <c r="D12521" s="94" t="n"/>
      <c r="E12521" s="88">
        <f>INDEX(매칭테이블!C:D,MATCH(RD!G12521,매칭테이블!D:D,0),1)</f>
        <v/>
      </c>
      <c r="F12521" s="94" t="inlineStr">
        <is>
          <t>카페24</t>
        </is>
      </c>
      <c r="G12521" s="94" t="inlineStr">
        <is>
          <t>어성초 77 수딩 토너토너(필수)=어성초77토너1개 + 어성초77패드1개 -30% off (무료배송)</t>
        </is>
      </c>
      <c r="K12521" s="94" t="n">
        <v>18</v>
      </c>
      <c r="L12521" s="88" t="n">
        <v>201208</v>
      </c>
      <c r="M12521" s="88">
        <f>VLOOKUP($Q12521,매칭테이블!$F:$I,2,0)*K12521</f>
        <v/>
      </c>
      <c r="N12521" s="88">
        <f>M12521-M12521*VLOOKUP($Q12521,매칭테이블!$F:$I,3,0)</f>
        <v/>
      </c>
      <c r="O12521" s="88">
        <f>VLOOKUP($Q12521,매칭테이블!$F:$I,4,0)*K12521</f>
        <v/>
      </c>
      <c r="P12521" s="152">
        <f>M12521/1.1</f>
        <v/>
      </c>
      <c r="Q12521" s="88">
        <f>F12521&amp;E12521&amp;G12521&amp;L12521</f>
        <v/>
      </c>
    </row>
    <row r="12522">
      <c r="B12522" s="128" t="n">
        <v>44188</v>
      </c>
      <c r="C12522" s="88">
        <f>TEXT(B12522,"aaa")</f>
        <v/>
      </c>
      <c r="D12522" s="94" t="n"/>
      <c r="E12522" s="88">
        <f>INDEX(매칭테이블!C:D,MATCH(RD!G12522,매칭테이블!D:D,0),1)</f>
        <v/>
      </c>
      <c r="F12522" s="94" t="inlineStr">
        <is>
          <t>카페24</t>
        </is>
      </c>
      <c r="G12522" s="94" t="inlineStr">
        <is>
          <t>어성초 77 수딩 토너화장솜(선택)=촉촉 스킨팩 화장솜</t>
        </is>
      </c>
      <c r="K12522" s="94" t="n">
        <v>29</v>
      </c>
      <c r="L12522" s="88" t="n">
        <v>201208</v>
      </c>
      <c r="M12522" s="88">
        <f>VLOOKUP($Q12522,매칭테이블!$F:$I,2,0)*K12522</f>
        <v/>
      </c>
      <c r="N12522" s="88">
        <f>M12522-M12522*VLOOKUP($Q12522,매칭테이블!$F:$I,3,0)</f>
        <v/>
      </c>
      <c r="O12522" s="88">
        <f>VLOOKUP($Q12522,매칭테이블!$F:$I,4,0)*K12522</f>
        <v/>
      </c>
      <c r="P12522" s="152">
        <f>M12522/1.1</f>
        <v/>
      </c>
      <c r="Q12522" s="88">
        <f>F12522&amp;E12522&amp;G12522&amp;L12522</f>
        <v/>
      </c>
    </row>
    <row r="12523">
      <c r="B12523" s="128" t="n">
        <v>44188</v>
      </c>
      <c r="C12523" s="88">
        <f>TEXT(B12523,"aaa")</f>
        <v/>
      </c>
      <c r="D12523" s="94" t="n"/>
      <c r="E12523" s="88">
        <f>INDEX(매칭테이블!C:D,MATCH(RD!G12523,매칭테이블!D:D,0),1)</f>
        <v/>
      </c>
      <c r="F12523" s="94" t="inlineStr">
        <is>
          <t>카페24</t>
        </is>
      </c>
      <c r="G12523" s="94" t="inlineStr">
        <is>
          <t>어성초 77 수딩 토너토너(필수)=(대용량) 어성초 77 토너 500ml (무료배송)</t>
        </is>
      </c>
      <c r="K12523" s="94" t="n">
        <v>3</v>
      </c>
      <c r="L12523" s="88" t="n">
        <v>201208</v>
      </c>
      <c r="M12523" s="88">
        <f>VLOOKUP($Q12523,매칭테이블!$F:$I,2,0)*K12523</f>
        <v/>
      </c>
      <c r="N12523" s="88">
        <f>M12523-M12523*VLOOKUP($Q12523,매칭테이블!$F:$I,3,0)</f>
        <v/>
      </c>
      <c r="O12523" s="88">
        <f>VLOOKUP($Q12523,매칭테이블!$F:$I,4,0)*K12523</f>
        <v/>
      </c>
      <c r="P12523" s="152">
        <f>M12523/1.1</f>
        <v/>
      </c>
      <c r="Q12523" s="88">
        <f>F12523&amp;E12523&amp;G12523&amp;L12523</f>
        <v/>
      </c>
    </row>
    <row r="12524">
      <c r="B12524" s="128" t="n">
        <v>44188</v>
      </c>
      <c r="C12524" s="88">
        <f>TEXT(B12524,"aaa")</f>
        <v/>
      </c>
      <c r="D12524" s="94" t="n"/>
      <c r="E12524" s="88">
        <f>INDEX(매칭테이블!C:D,MATCH(RD!G12524,매칭테이블!D:D,0),1)</f>
        <v/>
      </c>
      <c r="F12524" s="94" t="inlineStr">
        <is>
          <t>카페24</t>
        </is>
      </c>
      <c r="G12524" s="94" t="inlineStr">
        <is>
          <t>어성초 77 진정 마스크옵션=어성초 77 진정 마스크팩 10장-50% off</t>
        </is>
      </c>
      <c r="K12524" s="94" t="n">
        <v>6</v>
      </c>
      <c r="L12524" s="88" t="n">
        <v>201208</v>
      </c>
      <c r="M12524" s="88">
        <f>VLOOKUP($Q12524,매칭테이블!$F:$I,2,0)*K12524</f>
        <v/>
      </c>
      <c r="N12524" s="88">
        <f>M12524-M12524*VLOOKUP($Q12524,매칭테이블!$F:$I,3,0)</f>
        <v/>
      </c>
      <c r="O12524" s="88">
        <f>VLOOKUP($Q12524,매칭테이블!$F:$I,4,0)*K12524</f>
        <v/>
      </c>
      <c r="P12524" s="152">
        <f>M12524/1.1</f>
        <v/>
      </c>
      <c r="Q12524" s="88">
        <f>F12524&amp;E12524&amp;G12524&amp;L12524</f>
        <v/>
      </c>
    </row>
    <row r="12525">
      <c r="B12525" s="128" t="n">
        <v>44188</v>
      </c>
      <c r="C12525" s="88">
        <f>TEXT(B12525,"aaa")</f>
        <v/>
      </c>
      <c r="D12525" s="94" t="n"/>
      <c r="E12525" s="88">
        <f>INDEX(매칭테이블!C:D,MATCH(RD!G12525,매칭테이블!D:D,0),1)</f>
        <v/>
      </c>
      <c r="F12525" s="94" t="inlineStr">
        <is>
          <t>카페24</t>
        </is>
      </c>
      <c r="G12525" s="94" t="inlineStr">
        <is>
          <t>어성초 77 진정 마스크</t>
        </is>
      </c>
      <c r="K12525" s="94" t="n">
        <v>5</v>
      </c>
      <c r="L12525" s="88" t="n">
        <v>201208</v>
      </c>
      <c r="M12525" s="88">
        <f>VLOOKUP($Q12525,매칭테이블!$F:$I,2,0)*K12525</f>
        <v/>
      </c>
      <c r="N12525" s="88">
        <f>M12525-M12525*VLOOKUP($Q12525,매칭테이블!$F:$I,3,0)</f>
        <v/>
      </c>
      <c r="O12525" s="88">
        <f>VLOOKUP($Q12525,매칭테이블!$F:$I,4,0)*K12525</f>
        <v/>
      </c>
      <c r="P12525" s="152">
        <f>M12525/1.1</f>
        <v/>
      </c>
      <c r="Q12525" s="88">
        <f>F12525&amp;E12525&amp;G12525&amp;L12525</f>
        <v/>
      </c>
    </row>
    <row r="12526">
      <c r="B12526" s="128" t="n">
        <v>44188</v>
      </c>
      <c r="C12526" s="88">
        <f>TEXT(B12526,"aaa")</f>
        <v/>
      </c>
      <c r="D12526" s="94" t="n"/>
      <c r="E12526" s="88">
        <f>INDEX(매칭테이블!C:D,MATCH(RD!G12526,매칭테이블!D:D,0),1)</f>
        <v/>
      </c>
      <c r="F12526" s="94" t="inlineStr">
        <is>
          <t>카페24</t>
        </is>
      </c>
      <c r="G12526" s="94" t="inlineStr">
        <is>
          <t>어성초 77 클리어 패드옵션=어성초 77 클리어 패드 1개-20% off</t>
        </is>
      </c>
      <c r="K12526" s="94" t="n">
        <v>63</v>
      </c>
      <c r="L12526" s="88" t="n">
        <v>201208</v>
      </c>
      <c r="M12526" s="88">
        <f>VLOOKUP($Q12526,매칭테이블!$F:$I,2,0)*K12526</f>
        <v/>
      </c>
      <c r="N12526" s="88">
        <f>M12526-M12526*VLOOKUP($Q12526,매칭테이블!$F:$I,3,0)</f>
        <v/>
      </c>
      <c r="O12526" s="88">
        <f>VLOOKUP($Q12526,매칭테이블!$F:$I,4,0)*K12526</f>
        <v/>
      </c>
      <c r="P12526" s="152">
        <f>M12526/1.1</f>
        <v/>
      </c>
      <c r="Q12526" s="88">
        <f>F12526&amp;E12526&amp;G12526&amp;L12526</f>
        <v/>
      </c>
    </row>
    <row r="12527">
      <c r="B12527" s="128" t="n">
        <v>44188</v>
      </c>
      <c r="C12527" s="88">
        <f>TEXT(B12527,"aaa")</f>
        <v/>
      </c>
      <c r="D12527" s="94" t="n"/>
      <c r="E12527" s="88">
        <f>INDEX(매칭테이블!C:D,MATCH(RD!G12527,매칭테이블!D:D,0),1)</f>
        <v/>
      </c>
      <c r="F12527" s="94" t="inlineStr">
        <is>
          <t>카페24</t>
        </is>
      </c>
      <c r="G12527" s="94" t="inlineStr">
        <is>
          <t>어성초 77 클리어 패드옵션=어성초 77 클리어 패드 2개-30% off (무료배송)</t>
        </is>
      </c>
      <c r="K12527" s="94" t="n">
        <v>113</v>
      </c>
      <c r="L12527" s="88" t="n">
        <v>201208</v>
      </c>
      <c r="M12527" s="88">
        <f>VLOOKUP($Q12527,매칭테이블!$F:$I,2,0)*K12527</f>
        <v/>
      </c>
      <c r="N12527" s="88">
        <f>M12527-M12527*VLOOKUP($Q12527,매칭테이블!$F:$I,3,0)</f>
        <v/>
      </c>
      <c r="O12527" s="88">
        <f>VLOOKUP($Q12527,매칭테이블!$F:$I,4,0)*K12527</f>
        <v/>
      </c>
      <c r="P12527" s="152">
        <f>M12527/1.1</f>
        <v/>
      </c>
      <c r="Q12527" s="88">
        <f>F12527&amp;E12527&amp;G12527&amp;L12527</f>
        <v/>
      </c>
    </row>
    <row r="12528">
      <c r="B12528" s="128" t="n">
        <v>44188</v>
      </c>
      <c r="C12528" s="88">
        <f>TEXT(B12528,"aaa")</f>
        <v/>
      </c>
      <c r="D12528" s="94" t="n"/>
      <c r="E12528" s="88">
        <f>INDEX(매칭테이블!C:D,MATCH(RD!G12528,매칭테이블!D:D,0),1)</f>
        <v/>
      </c>
      <c r="F12528" s="94" t="inlineStr">
        <is>
          <t>카페24</t>
        </is>
      </c>
      <c r="G12528" s="94" t="inlineStr">
        <is>
          <t>어성초 77 클리어 패드옵션=어성초77토너1개+어성초77패드1개-30% off (무료배송)</t>
        </is>
      </c>
      <c r="K12528" s="94" t="n">
        <v>46</v>
      </c>
      <c r="L12528" s="88" t="n">
        <v>201208</v>
      </c>
      <c r="M12528" s="88">
        <f>VLOOKUP($Q12528,매칭테이블!$F:$I,2,0)*K12528</f>
        <v/>
      </c>
      <c r="N12528" s="88">
        <f>M12528-M12528*VLOOKUP($Q12528,매칭테이블!$F:$I,3,0)</f>
        <v/>
      </c>
      <c r="O12528" s="88">
        <f>VLOOKUP($Q12528,매칭테이블!$F:$I,4,0)*K12528</f>
        <v/>
      </c>
      <c r="P12528" s="152">
        <f>M12528/1.1</f>
        <v/>
      </c>
      <c r="Q12528" s="88">
        <f>F12528&amp;E12528&amp;G12528&amp;L12528</f>
        <v/>
      </c>
    </row>
    <row r="12529">
      <c r="B12529" s="128" t="n">
        <v>44188</v>
      </c>
      <c r="C12529" s="88">
        <f>TEXT(B12529,"aaa")</f>
        <v/>
      </c>
      <c r="D12529" s="94" t="n"/>
      <c r="E12529" s="88">
        <f>INDEX(매칭테이블!C:D,MATCH(RD!G12529,매칭테이블!D:D,0),1)</f>
        <v/>
      </c>
      <c r="F12529" s="94" t="inlineStr">
        <is>
          <t>카페24</t>
        </is>
      </c>
      <c r="G12529" s="94" t="inlineStr">
        <is>
          <t>어성초 77 토너</t>
        </is>
      </c>
      <c r="K12529" s="94" t="n">
        <v>2</v>
      </c>
      <c r="L12529" s="88" t="n">
        <v>201208</v>
      </c>
      <c r="M12529" s="88">
        <f>VLOOKUP($Q12529,매칭테이블!$F:$I,2,0)*K12529</f>
        <v/>
      </c>
      <c r="N12529" s="88">
        <f>M12529-M12529*VLOOKUP($Q12529,매칭테이블!$F:$I,3,0)</f>
        <v/>
      </c>
      <c r="O12529" s="88">
        <f>VLOOKUP($Q12529,매칭테이블!$F:$I,4,0)*K12529</f>
        <v/>
      </c>
      <c r="P12529" s="152">
        <f>M12529/1.1</f>
        <v/>
      </c>
      <c r="Q12529" s="88">
        <f>F12529&amp;E12529&amp;G12529&amp;L12529</f>
        <v/>
      </c>
    </row>
    <row r="12530">
      <c r="B12530" s="128" t="n">
        <v>44188</v>
      </c>
      <c r="C12530" s="88">
        <f>TEXT(B12530,"aaa")</f>
        <v/>
      </c>
      <c r="D12530" s="94" t="n"/>
      <c r="E12530" s="88">
        <f>INDEX(매칭테이블!C:D,MATCH(RD!G12530,매칭테이블!D:D,0),1)</f>
        <v/>
      </c>
      <c r="F12530" s="94" t="inlineStr">
        <is>
          <t>카페24</t>
        </is>
      </c>
      <c r="G12530" s="94" t="inlineStr">
        <is>
          <t>어성초 77 포어 클리어 패드옵션=어성초 77 클리어 패드 1개-20% off</t>
        </is>
      </c>
      <c r="K12530" s="94" t="n">
        <v>9</v>
      </c>
      <c r="L12530" s="88" t="n">
        <v>201208</v>
      </c>
      <c r="M12530" s="88">
        <f>VLOOKUP($Q12530,매칭테이블!$F:$I,2,0)*K12530</f>
        <v/>
      </c>
      <c r="N12530" s="88">
        <f>M12530-M12530*VLOOKUP($Q12530,매칭테이블!$F:$I,3,0)</f>
        <v/>
      </c>
      <c r="O12530" s="88">
        <f>VLOOKUP($Q12530,매칭테이블!$F:$I,4,0)*K12530</f>
        <v/>
      </c>
      <c r="P12530" s="152">
        <f>M12530/1.1</f>
        <v/>
      </c>
      <c r="Q12530" s="88">
        <f>F12530&amp;E12530&amp;G12530&amp;L12530</f>
        <v/>
      </c>
    </row>
    <row r="12531">
      <c r="B12531" s="128" t="n">
        <v>44188</v>
      </c>
      <c r="C12531" s="88">
        <f>TEXT(B12531,"aaa")</f>
        <v/>
      </c>
      <c r="D12531" s="94" t="n"/>
      <c r="E12531" s="88">
        <f>INDEX(매칭테이블!C:D,MATCH(RD!G12531,매칭테이블!D:D,0),1)</f>
        <v/>
      </c>
      <c r="F12531" s="94" t="inlineStr">
        <is>
          <t>카페24</t>
        </is>
      </c>
      <c r="G12531" s="94" t="inlineStr">
        <is>
          <t>어성초 77 포어 클리어 패드옵션=어성초 77 클리어 패드 2개-30% off (무료배송)</t>
        </is>
      </c>
      <c r="K12531" s="94" t="n">
        <v>11</v>
      </c>
      <c r="L12531" s="88" t="n">
        <v>201208</v>
      </c>
      <c r="M12531" s="88">
        <f>VLOOKUP($Q12531,매칭테이블!$F:$I,2,0)*K12531</f>
        <v/>
      </c>
      <c r="N12531" s="88">
        <f>M12531-M12531*VLOOKUP($Q12531,매칭테이블!$F:$I,3,0)</f>
        <v/>
      </c>
      <c r="O12531" s="88">
        <f>VLOOKUP($Q12531,매칭테이블!$F:$I,4,0)*K12531</f>
        <v/>
      </c>
      <c r="P12531" s="152">
        <f>M12531/1.1</f>
        <v/>
      </c>
      <c r="Q12531" s="88">
        <f>F12531&amp;E12531&amp;G12531&amp;L12531</f>
        <v/>
      </c>
    </row>
    <row r="12532">
      <c r="B12532" s="128" t="n">
        <v>44188</v>
      </c>
      <c r="C12532" s="88">
        <f>TEXT(B12532,"aaa")</f>
        <v/>
      </c>
      <c r="D12532" s="94" t="n"/>
      <c r="E12532" s="88">
        <f>INDEX(매칭테이블!C:D,MATCH(RD!G12532,매칭테이블!D:D,0),1)</f>
        <v/>
      </c>
      <c r="F12532" s="94" t="inlineStr">
        <is>
          <t>카페24</t>
        </is>
      </c>
      <c r="G12532" s="94" t="inlineStr">
        <is>
          <t>어성초 77 포어 클리어 패드옵션=어성초77토너1개+어성초77패드1개-30% off (무료배송)</t>
        </is>
      </c>
      <c r="K12532" s="94" t="n">
        <v>3</v>
      </c>
      <c r="L12532" s="88" t="n">
        <v>201208</v>
      </c>
      <c r="M12532" s="88">
        <f>VLOOKUP($Q12532,매칭테이블!$F:$I,2,0)*K12532</f>
        <v/>
      </c>
      <c r="N12532" s="88">
        <f>M12532-M12532*VLOOKUP($Q12532,매칭테이블!$F:$I,3,0)</f>
        <v/>
      </c>
      <c r="O12532" s="88">
        <f>VLOOKUP($Q12532,매칭테이블!$F:$I,4,0)*K12532</f>
        <v/>
      </c>
      <c r="P12532" s="152">
        <f>M12532/1.1</f>
        <v/>
      </c>
      <c r="Q12532" s="88">
        <f>F12532&amp;E12532&amp;G12532&amp;L12532</f>
        <v/>
      </c>
    </row>
    <row r="12533">
      <c r="B12533" s="128" t="n">
        <v>44188</v>
      </c>
      <c r="C12533" s="88">
        <f>TEXT(B12533,"aaa")</f>
        <v/>
      </c>
      <c r="D12533" s="94" t="n"/>
      <c r="E12533" s="88">
        <f>INDEX(매칭테이블!C:D,MATCH(RD!G12533,매칭테이블!D:D,0),1)</f>
        <v/>
      </c>
      <c r="F12533" s="94" t="inlineStr">
        <is>
          <t>카페24</t>
        </is>
      </c>
      <c r="G12533" s="94" t="inlineStr">
        <is>
          <t>어성초 77% 패드옵션=어성초 77 클리어 패드 1개-20% off</t>
        </is>
      </c>
      <c r="K12533" s="94" t="n">
        <v>208</v>
      </c>
      <c r="L12533" s="88" t="n">
        <v>201208</v>
      </c>
      <c r="M12533" s="88">
        <f>VLOOKUP($Q12533,매칭테이블!$F:$I,2,0)*K12533</f>
        <v/>
      </c>
      <c r="N12533" s="88">
        <f>M12533-M12533*VLOOKUP($Q12533,매칭테이블!$F:$I,3,0)</f>
        <v/>
      </c>
      <c r="O12533" s="88">
        <f>VLOOKUP($Q12533,매칭테이블!$F:$I,4,0)*K12533</f>
        <v/>
      </c>
      <c r="P12533" s="152">
        <f>M12533/1.1</f>
        <v/>
      </c>
      <c r="Q12533" s="88">
        <f>F12533&amp;E12533&amp;G12533&amp;L12533</f>
        <v/>
      </c>
    </row>
    <row r="12534">
      <c r="B12534" s="128" t="n">
        <v>44188</v>
      </c>
      <c r="C12534" s="88">
        <f>TEXT(B12534,"aaa")</f>
        <v/>
      </c>
      <c r="D12534" s="94" t="n"/>
      <c r="E12534" s="88">
        <f>INDEX(매칭테이블!C:D,MATCH(RD!G12534,매칭테이블!D:D,0),1)</f>
        <v/>
      </c>
      <c r="F12534" s="94" t="inlineStr">
        <is>
          <t>카페24</t>
        </is>
      </c>
      <c r="G12534" s="94" t="inlineStr">
        <is>
          <t>어성초 77% 패드옵션=어성초 77 클리어 패드 2개-30% off (무료배송)</t>
        </is>
      </c>
      <c r="K12534" s="94" t="n">
        <v>224</v>
      </c>
      <c r="L12534" s="88" t="n">
        <v>201208</v>
      </c>
      <c r="M12534" s="88">
        <f>VLOOKUP($Q12534,매칭테이블!$F:$I,2,0)*K12534</f>
        <v/>
      </c>
      <c r="N12534" s="88">
        <f>M12534-M12534*VLOOKUP($Q12534,매칭테이블!$F:$I,3,0)</f>
        <v/>
      </c>
      <c r="O12534" s="88">
        <f>VLOOKUP($Q12534,매칭테이블!$F:$I,4,0)*K12534</f>
        <v/>
      </c>
      <c r="P12534" s="152">
        <f>M12534/1.1</f>
        <v/>
      </c>
      <c r="Q12534" s="88">
        <f>F12534&amp;E12534&amp;G12534&amp;L12534</f>
        <v/>
      </c>
    </row>
    <row r="12535">
      <c r="B12535" s="128" t="n">
        <v>44188</v>
      </c>
      <c r="C12535" s="88">
        <f>TEXT(B12535,"aaa")</f>
        <v/>
      </c>
      <c r="D12535" s="94" t="n"/>
      <c r="E12535" s="88">
        <f>INDEX(매칭테이블!C:D,MATCH(RD!G12535,매칭테이블!D:D,0),1)</f>
        <v/>
      </c>
      <c r="F12535" s="94" t="inlineStr">
        <is>
          <t>카페24</t>
        </is>
      </c>
      <c r="G12535" s="94" t="inlineStr">
        <is>
          <t>어성초 77% 패드옵션=어성초77토너1개+어성초77패드1개-30% off (무료배송)</t>
        </is>
      </c>
      <c r="K12535" s="94" t="n">
        <v>125</v>
      </c>
      <c r="L12535" s="88" t="n">
        <v>201208</v>
      </c>
      <c r="M12535" s="88">
        <f>VLOOKUP($Q12535,매칭테이블!$F:$I,2,0)*K12535</f>
        <v/>
      </c>
      <c r="N12535" s="88">
        <f>M12535-M12535*VLOOKUP($Q12535,매칭테이블!$F:$I,3,0)</f>
        <v/>
      </c>
      <c r="O12535" s="88">
        <f>VLOOKUP($Q12535,매칭테이블!$F:$I,4,0)*K12535</f>
        <v/>
      </c>
      <c r="P12535" s="152">
        <f>M12535/1.1</f>
        <v/>
      </c>
      <c r="Q12535" s="88">
        <f>F12535&amp;E12535&amp;G12535&amp;L12535</f>
        <v/>
      </c>
    </row>
    <row r="12536">
      <c r="B12536" s="128" t="n">
        <v>44188</v>
      </c>
      <c r="C12536" s="88">
        <f>TEXT(B12536,"aaa")</f>
        <v/>
      </c>
      <c r="D12536" s="94" t="n"/>
      <c r="E12536" s="88">
        <f>INDEX(매칭테이블!C:D,MATCH(RD!G12536,매칭테이블!D:D,0),1)</f>
        <v/>
      </c>
      <c r="F12536" s="94" t="inlineStr">
        <is>
          <t>카페24</t>
        </is>
      </c>
      <c r="G12536" s="94" t="inlineStr">
        <is>
          <t>어성초 78 수딩 크림</t>
        </is>
      </c>
      <c r="K12536" s="94" t="n">
        <v>12</v>
      </c>
      <c r="L12536" s="88" t="n">
        <v>201208</v>
      </c>
      <c r="M12536" s="88">
        <f>VLOOKUP($Q12536,매칭테이블!$F:$I,2,0)*K12536</f>
        <v/>
      </c>
      <c r="N12536" s="88">
        <f>M12536-M12536*VLOOKUP($Q12536,매칭테이블!$F:$I,3,0)</f>
        <v/>
      </c>
      <c r="O12536" s="88">
        <f>VLOOKUP($Q12536,매칭테이블!$F:$I,4,0)*K12536</f>
        <v/>
      </c>
      <c r="P12536" s="152">
        <f>M12536/1.1</f>
        <v/>
      </c>
      <c r="Q12536" s="88">
        <f>F12536&amp;E12536&amp;G12536&amp;L12536</f>
        <v/>
      </c>
    </row>
    <row r="12537">
      <c r="B12537" s="128" t="n">
        <v>44188</v>
      </c>
      <c r="C12537" s="88">
        <f>TEXT(B12537,"aaa")</f>
        <v/>
      </c>
      <c r="D12537" s="94" t="n"/>
      <c r="E12537" s="88">
        <f>INDEX(매칭테이블!C:D,MATCH(RD!G12537,매칭테이블!D:D,0),1)</f>
        <v/>
      </c>
      <c r="F12537" s="94" t="inlineStr">
        <is>
          <t>카페24</t>
        </is>
      </c>
      <c r="G12537" s="94" t="inlineStr">
        <is>
          <t>어성초 78 수딩 크림</t>
        </is>
      </c>
      <c r="K12537" s="94" t="n">
        <v>2</v>
      </c>
      <c r="L12537" s="88" t="n">
        <v>201208</v>
      </c>
      <c r="M12537" s="88">
        <f>VLOOKUP($Q12537,매칭테이블!$F:$I,2,0)*K12537</f>
        <v/>
      </c>
      <c r="N12537" s="88">
        <f>M12537-M12537*VLOOKUP($Q12537,매칭테이블!$F:$I,3,0)</f>
        <v/>
      </c>
      <c r="O12537" s="88">
        <f>VLOOKUP($Q12537,매칭테이블!$F:$I,4,0)*K12537</f>
        <v/>
      </c>
      <c r="P12537" s="152">
        <f>M12537/1.1</f>
        <v/>
      </c>
      <c r="Q12537" s="88">
        <f>F12537&amp;E12537&amp;G12537&amp;L12537</f>
        <v/>
      </c>
    </row>
    <row r="12538">
      <c r="B12538" s="128" t="n">
        <v>44188</v>
      </c>
      <c r="C12538" s="88">
        <f>TEXT(B12538,"aaa")</f>
        <v/>
      </c>
      <c r="D12538" s="94" t="n"/>
      <c r="E12538" s="88">
        <f>INDEX(매칭테이블!C:D,MATCH(RD!G12538,매칭테이블!D:D,0),1)</f>
        <v/>
      </c>
      <c r="F12538" s="94" t="inlineStr">
        <is>
          <t>카페24</t>
        </is>
      </c>
      <c r="G12538" s="94" t="inlineStr">
        <is>
          <t>어성초 80 수분 진정 앰플앰플=어성초 80 앰플 1개-15%off</t>
        </is>
      </c>
      <c r="K12538" s="94" t="n">
        <v>19</v>
      </c>
      <c r="L12538" s="88" t="n">
        <v>201208</v>
      </c>
      <c r="M12538" s="88">
        <f>VLOOKUP($Q12538,매칭테이블!$F:$I,2,0)*K12538</f>
        <v/>
      </c>
      <c r="N12538" s="88">
        <f>M12538-M12538*VLOOKUP($Q12538,매칭테이블!$F:$I,3,0)</f>
        <v/>
      </c>
      <c r="O12538" s="88">
        <f>VLOOKUP($Q12538,매칭테이블!$F:$I,4,0)*K12538</f>
        <v/>
      </c>
      <c r="P12538" s="152">
        <f>M12538/1.1</f>
        <v/>
      </c>
      <c r="Q12538" s="88">
        <f>F12538&amp;E12538&amp;G12538&amp;L12538</f>
        <v/>
      </c>
    </row>
    <row r="12539">
      <c r="B12539" s="128" t="n">
        <v>44188</v>
      </c>
      <c r="C12539" s="88">
        <f>TEXT(B12539,"aaa")</f>
        <v/>
      </c>
      <c r="D12539" s="94" t="n"/>
      <c r="E12539" s="88">
        <f>INDEX(매칭테이블!C:D,MATCH(RD!G12539,매칭테이블!D:D,0),1)</f>
        <v/>
      </c>
      <c r="F12539" s="94" t="inlineStr">
        <is>
          <t>카페24</t>
        </is>
      </c>
      <c r="G12539" s="94" t="inlineStr">
        <is>
          <t>어성초 80 수분 진정 앰플앰플=어성초 80 앰플 2개-27%off (무료배송)</t>
        </is>
      </c>
      <c r="K12539" s="94" t="n">
        <v>6</v>
      </c>
      <c r="L12539" s="88" t="n">
        <v>201208</v>
      </c>
      <c r="M12539" s="88">
        <f>VLOOKUP($Q12539,매칭테이블!$F:$I,2,0)*K12539</f>
        <v/>
      </c>
      <c r="N12539" s="88">
        <f>M12539-M12539*VLOOKUP($Q12539,매칭테이블!$F:$I,3,0)</f>
        <v/>
      </c>
      <c r="O12539" s="88">
        <f>VLOOKUP($Q12539,매칭테이블!$F:$I,4,0)*K12539</f>
        <v/>
      </c>
      <c r="P12539" s="152">
        <f>M12539/1.1</f>
        <v/>
      </c>
      <c r="Q12539" s="88">
        <f>F12539&amp;E12539&amp;G12539&amp;L12539</f>
        <v/>
      </c>
    </row>
    <row r="12540">
      <c r="B12540" s="128" t="n">
        <v>44188</v>
      </c>
      <c r="C12540" s="88">
        <f>TEXT(B12540,"aaa")</f>
        <v/>
      </c>
      <c r="D12540" s="94" t="n"/>
      <c r="E12540" s="88">
        <f>INDEX(매칭테이블!C:D,MATCH(RD!G12540,매칭테이블!D:D,0),1)</f>
        <v/>
      </c>
      <c r="F12540" s="94" t="inlineStr">
        <is>
          <t>카페24</t>
        </is>
      </c>
      <c r="G12540" s="94" t="inlineStr">
        <is>
          <t>어성초 80 수분 진정 앰플</t>
        </is>
      </c>
      <c r="K12540" s="94" t="n">
        <v>4</v>
      </c>
      <c r="L12540" s="88" t="n">
        <v>201208</v>
      </c>
      <c r="M12540" s="88">
        <f>VLOOKUP($Q12540,매칭테이블!$F:$I,2,0)*K12540</f>
        <v/>
      </c>
      <c r="N12540" s="88">
        <f>M12540-M12540*VLOOKUP($Q12540,매칭테이블!$F:$I,3,0)</f>
        <v/>
      </c>
      <c r="O12540" s="88">
        <f>VLOOKUP($Q12540,매칭테이블!$F:$I,4,0)*K12540</f>
        <v/>
      </c>
      <c r="P12540" s="152">
        <f>M12540/1.1</f>
        <v/>
      </c>
      <c r="Q12540" s="88">
        <f>F12540&amp;E12540&amp;G12540&amp;L12540</f>
        <v/>
      </c>
    </row>
    <row r="12541">
      <c r="B12541" s="128" t="n">
        <v>44188</v>
      </c>
      <c r="C12541" s="88">
        <f>TEXT(B12541,"aaa")</f>
        <v/>
      </c>
      <c r="D12541" s="94" t="n"/>
      <c r="E12541" s="88">
        <f>INDEX(매칭테이블!C:D,MATCH(RD!G12541,매칭테이블!D:D,0),1)</f>
        <v/>
      </c>
      <c r="F12541" s="94" t="inlineStr">
        <is>
          <t>카페24</t>
        </is>
      </c>
      <c r="G12541" s="94" t="inlineStr">
        <is>
          <t>어성초 아크네 바디워시옵션=어성초 아크네 바디워시 1개 -30% off</t>
        </is>
      </c>
      <c r="K12541" s="94" t="n">
        <v>7</v>
      </c>
      <c r="L12541" s="88" t="n">
        <v>201208</v>
      </c>
      <c r="M12541" s="88">
        <f>VLOOKUP($Q12541,매칭테이블!$F:$I,2,0)*K12541</f>
        <v/>
      </c>
      <c r="N12541" s="88">
        <f>M12541-M12541*VLOOKUP($Q12541,매칭테이블!$F:$I,3,0)</f>
        <v/>
      </c>
      <c r="O12541" s="88">
        <f>VLOOKUP($Q12541,매칭테이블!$F:$I,4,0)*K12541</f>
        <v/>
      </c>
      <c r="P12541" s="152">
        <f>M12541/1.1</f>
        <v/>
      </c>
      <c r="Q12541" s="88">
        <f>F12541&amp;E12541&amp;G12541&amp;L12541</f>
        <v/>
      </c>
    </row>
    <row r="12542">
      <c r="B12542" s="128" t="n">
        <v>44188</v>
      </c>
      <c r="C12542" s="88">
        <f>TEXT(B12542,"aaa")</f>
        <v/>
      </c>
      <c r="D12542" s="94" t="n"/>
      <c r="E12542" s="88">
        <f>INDEX(매칭테이블!C:D,MATCH(RD!G12542,매칭테이블!D:D,0),1)</f>
        <v/>
      </c>
      <c r="F12542" s="94" t="inlineStr">
        <is>
          <t>카페24</t>
        </is>
      </c>
      <c r="G12542" s="94" t="inlineStr">
        <is>
          <t>어성초 약산성 클렌징폼클렌징폼=어성초 약산성 클렌징폼 1개 -19%off</t>
        </is>
      </c>
      <c r="K12542" s="94" t="n">
        <v>28</v>
      </c>
      <c r="L12542" s="88" t="n">
        <v>201208</v>
      </c>
      <c r="M12542" s="88">
        <f>VLOOKUP($Q12542,매칭테이블!$F:$I,2,0)*K12542</f>
        <v/>
      </c>
      <c r="N12542" s="88">
        <f>M12542-M12542*VLOOKUP($Q12542,매칭테이블!$F:$I,3,0)</f>
        <v/>
      </c>
      <c r="O12542" s="88">
        <f>VLOOKUP($Q12542,매칭테이블!$F:$I,4,0)*K12542</f>
        <v/>
      </c>
      <c r="P12542" s="152">
        <f>M12542/1.1</f>
        <v/>
      </c>
      <c r="Q12542" s="88">
        <f>F12542&amp;E12542&amp;G12542&amp;L12542</f>
        <v/>
      </c>
    </row>
    <row r="12543">
      <c r="B12543" s="128" t="n">
        <v>44188</v>
      </c>
      <c r="C12543" s="88">
        <f>TEXT(B12543,"aaa")</f>
        <v/>
      </c>
      <c r="D12543" s="94" t="n"/>
      <c r="E12543" s="88">
        <f>INDEX(매칭테이블!C:D,MATCH(RD!G12543,매칭테이블!D:D,0),1)</f>
        <v/>
      </c>
      <c r="F12543" s="94" t="inlineStr">
        <is>
          <t>카페24</t>
        </is>
      </c>
      <c r="G12543" s="94" t="inlineStr">
        <is>
          <t>어성초 약산성 클렌징폼클렌징폼=어성초 약산성 클렌징폼 2개 -25%off</t>
        </is>
      </c>
      <c r="K12543" s="94" t="n">
        <v>6</v>
      </c>
      <c r="L12543" s="88" t="n">
        <v>201208</v>
      </c>
      <c r="M12543" s="88">
        <f>VLOOKUP($Q12543,매칭테이블!$F:$I,2,0)*K12543</f>
        <v/>
      </c>
      <c r="N12543" s="88">
        <f>M12543-M12543*VLOOKUP($Q12543,매칭테이블!$F:$I,3,0)</f>
        <v/>
      </c>
      <c r="O12543" s="88">
        <f>VLOOKUP($Q12543,매칭테이블!$F:$I,4,0)*K12543</f>
        <v/>
      </c>
      <c r="P12543" s="152">
        <f>M12543/1.1</f>
        <v/>
      </c>
      <c r="Q12543" s="88">
        <f>F12543&amp;E12543&amp;G12543&amp;L12543</f>
        <v/>
      </c>
    </row>
    <row r="12544">
      <c r="B12544" s="128" t="n">
        <v>44188</v>
      </c>
      <c r="C12544" s="88">
        <f>TEXT(B12544,"aaa")</f>
        <v/>
      </c>
      <c r="D12544" s="94" t="n"/>
      <c r="E12544" s="88">
        <f>INDEX(매칭테이블!C:D,MATCH(RD!G12544,매칭테이블!D:D,0),1)</f>
        <v/>
      </c>
      <c r="F12544" s="94" t="inlineStr">
        <is>
          <t>카페24</t>
        </is>
      </c>
      <c r="G12544" s="94" t="inlineStr">
        <is>
          <t>어성초 약산성 클렌징폼클렌징폼=어성초 약산성 클렌징폼 3개 -31%off (무료배송)</t>
        </is>
      </c>
      <c r="K12544" s="94" t="n">
        <v>1</v>
      </c>
      <c r="L12544" s="88" t="n">
        <v>201208</v>
      </c>
      <c r="M12544" s="88">
        <f>VLOOKUP($Q12544,매칭테이블!$F:$I,2,0)*K12544</f>
        <v/>
      </c>
      <c r="N12544" s="88">
        <f>M12544-M12544*VLOOKUP($Q12544,매칭테이블!$F:$I,3,0)</f>
        <v/>
      </c>
      <c r="O12544" s="88">
        <f>VLOOKUP($Q12544,매칭테이블!$F:$I,4,0)*K12544</f>
        <v/>
      </c>
      <c r="P12544" s="152">
        <f>M12544/1.1</f>
        <v/>
      </c>
      <c r="Q12544" s="88">
        <f>F12544&amp;E12544&amp;G12544&amp;L12544</f>
        <v/>
      </c>
    </row>
    <row r="12545">
      <c r="B12545" s="128" t="n">
        <v>44188</v>
      </c>
      <c r="C12545" s="88">
        <f>TEXT(B12545,"aaa")</f>
        <v/>
      </c>
      <c r="D12545" s="94" t="n"/>
      <c r="E12545" s="88">
        <f>INDEX(매칭테이블!C:D,MATCH(RD!G12545,매칭테이블!D:D,0),1)</f>
        <v/>
      </c>
      <c r="F12545" s="94" t="inlineStr">
        <is>
          <t>카페24</t>
        </is>
      </c>
      <c r="G12545" s="94" t="inlineStr">
        <is>
          <t>어성초 크림마스크 나이트 솔루션옵션=어성초 크림마스크 나이트 솔루션 10장 (-50%)</t>
        </is>
      </c>
      <c r="K12545" s="94" t="n">
        <v>5</v>
      </c>
      <c r="L12545" s="88" t="n">
        <v>201208</v>
      </c>
      <c r="M12545" s="88">
        <f>VLOOKUP($Q12545,매칭테이블!$F:$I,2,0)*K12545</f>
        <v/>
      </c>
      <c r="N12545" s="88">
        <f>M12545-M12545*VLOOKUP($Q12545,매칭테이블!$F:$I,3,0)</f>
        <v/>
      </c>
      <c r="O12545" s="88">
        <f>VLOOKUP($Q12545,매칭테이블!$F:$I,4,0)*K12545</f>
        <v/>
      </c>
      <c r="P12545" s="152">
        <f>M12545/1.1</f>
        <v/>
      </c>
      <c r="Q12545" s="88">
        <f>F12545&amp;E12545&amp;G12545&amp;L12545</f>
        <v/>
      </c>
    </row>
    <row r="12546">
      <c r="B12546" s="128" t="n">
        <v>44188</v>
      </c>
      <c r="C12546" s="88">
        <f>TEXT(B12546,"aaa")</f>
        <v/>
      </c>
      <c r="D12546" s="94" t="n"/>
      <c r="E12546" s="88">
        <f>INDEX(매칭테이블!C:D,MATCH(RD!G12546,매칭테이블!D:D,0),1)</f>
        <v/>
      </c>
      <c r="F12546" s="94" t="inlineStr">
        <is>
          <t>카페24</t>
        </is>
      </c>
      <c r="G12546" s="94" t="inlineStr">
        <is>
          <t>촉촉 스킨팩 화장솜</t>
        </is>
      </c>
      <c r="K12546" s="94" t="n">
        <v>23</v>
      </c>
      <c r="L12546" s="88" t="n">
        <v>201208</v>
      </c>
      <c r="M12546" s="88">
        <f>VLOOKUP($Q12546,매칭테이블!$F:$I,2,0)*K12546</f>
        <v/>
      </c>
      <c r="N12546" s="88">
        <f>M12546-M12546*VLOOKUP($Q12546,매칭테이블!$F:$I,3,0)</f>
        <v/>
      </c>
      <c r="O12546" s="88">
        <f>VLOOKUP($Q12546,매칭테이블!$F:$I,4,0)*K12546</f>
        <v/>
      </c>
      <c r="P12546" s="152">
        <f>M12546/1.1</f>
        <v/>
      </c>
      <c r="Q12546" s="88">
        <f>F12546&amp;E12546&amp;G12546&amp;L12546</f>
        <v/>
      </c>
    </row>
    <row r="12547">
      <c r="B12547" s="128" t="n">
        <v>44188</v>
      </c>
      <c r="C12547" s="88">
        <f>TEXT(B12547,"aaa")</f>
        <v/>
      </c>
      <c r="D12547" s="94" t="n"/>
      <c r="E12547" s="88">
        <f>INDEX(매칭테이블!C:D,MATCH(RD!G12547,매칭테이블!D:D,0),1)</f>
        <v/>
      </c>
      <c r="F12547" s="94" t="inlineStr">
        <is>
          <t>카페24</t>
        </is>
      </c>
      <c r="G12547" s="94" t="inlineStr">
        <is>
          <t>촉촉 스킨팩 화장솜</t>
        </is>
      </c>
      <c r="K12547" s="94" t="n">
        <v>9</v>
      </c>
      <c r="L12547" s="88" t="n">
        <v>201208</v>
      </c>
      <c r="M12547" s="88">
        <f>VLOOKUP($Q12547,매칭테이블!$F:$I,2,0)*K12547</f>
        <v/>
      </c>
      <c r="N12547" s="88">
        <f>M12547-M12547*VLOOKUP($Q12547,매칭테이블!$F:$I,3,0)</f>
        <v/>
      </c>
      <c r="O12547" s="88">
        <f>VLOOKUP($Q12547,매칭테이블!$F:$I,4,0)*K12547</f>
        <v/>
      </c>
      <c r="P12547" s="152">
        <f>M12547/1.1</f>
        <v/>
      </c>
      <c r="Q12547" s="88">
        <f>F12547&amp;E12547&amp;G12547&amp;L12547</f>
        <v/>
      </c>
    </row>
    <row r="12548">
      <c r="B12548" s="128" t="n">
        <v>44189</v>
      </c>
      <c r="C12548" s="88">
        <f>TEXT(B12548,"aaa")</f>
        <v/>
      </c>
      <c r="E12548" s="88">
        <f>INDEX(매칭테이블!C:D,MATCH(RD!G12548,매칭테이블!D:D,0),1)</f>
        <v/>
      </c>
      <c r="F12548" s="94" t="inlineStr">
        <is>
          <t>W컨셉</t>
        </is>
      </c>
      <c r="G12548" s="94" t="inlineStr">
        <is>
          <t>어성초 77토너 (2 SET) HEARTLEAF 77% SOOTHING TONER 250ml250ml 2set</t>
        </is>
      </c>
      <c r="K12548" s="94" t="n">
        <v>1</v>
      </c>
      <c r="L12548" s="88" t="n">
        <v>201208</v>
      </c>
      <c r="M12548" s="88">
        <f>VLOOKUP($Q12548,매칭테이블!$F:$I,2,0)*K12548</f>
        <v/>
      </c>
      <c r="N12548" s="88">
        <f>M12548-M12548*VLOOKUP($Q12548,매칭테이블!$F:$I,3,0)</f>
        <v/>
      </c>
      <c r="O12548" s="88">
        <f>VLOOKUP($Q12548,매칭테이블!$F:$I,4,0)*K12548</f>
        <v/>
      </c>
      <c r="P12548" s="152">
        <f>M12548/1.1</f>
        <v/>
      </c>
      <c r="Q12548" s="88">
        <f>F12548&amp;E12548&amp;G12548&amp;L12548</f>
        <v/>
      </c>
    </row>
    <row r="12549">
      <c r="B12549" s="128" t="n">
        <v>44189</v>
      </c>
      <c r="C12549" s="88">
        <f>TEXT(B12549,"aaa")</f>
        <v/>
      </c>
      <c r="E12549" s="88">
        <f>INDEX(매칭테이블!C:D,MATCH(RD!G12549,매칭테이블!D:D,0),1)</f>
        <v/>
      </c>
      <c r="F12549" s="94" t="inlineStr">
        <is>
          <t>스타일쉐어</t>
        </is>
      </c>
      <c r="G12549" s="94" t="inlineStr">
        <is>
          <t>아누아 어성초 77 토너 250ml</t>
        </is>
      </c>
      <c r="K12549" s="94" t="n">
        <v>1</v>
      </c>
      <c r="L12549" s="88" t="n">
        <v>201208</v>
      </c>
      <c r="M12549" s="88">
        <f>VLOOKUP($Q12549,매칭테이블!$F:$I,2,0)*K12549</f>
        <v/>
      </c>
      <c r="N12549" s="88">
        <f>M12549-M12549*VLOOKUP($Q12549,매칭테이블!$F:$I,3,0)</f>
        <v/>
      </c>
      <c r="O12549" s="88">
        <f>VLOOKUP($Q12549,매칭테이블!$F:$I,4,0)*K12549</f>
        <v/>
      </c>
      <c r="P12549" s="152">
        <f>M12549/1.1</f>
        <v/>
      </c>
      <c r="Q12549" s="88">
        <f>F12549&amp;E12549&amp;G12549&amp;L12549</f>
        <v/>
      </c>
    </row>
    <row r="12550">
      <c r="B12550" s="128" t="n">
        <v>44189</v>
      </c>
      <c r="C12550" s="88">
        <f>TEXT(B12550,"aaa")</f>
        <v/>
      </c>
      <c r="E12550" s="88">
        <f>INDEX(매칭테이블!C:D,MATCH(RD!G12550,매칭테이블!D:D,0),1)</f>
        <v/>
      </c>
      <c r="F12550" s="94" t="inlineStr">
        <is>
          <t>카페24</t>
        </is>
      </c>
      <c r="G12550" s="94" t="inlineStr">
        <is>
          <t>5 제로 무기자차 선크림옵션=5제로 무기자차 선크림 1개-20% off</t>
        </is>
      </c>
      <c r="K12550" s="94" t="n">
        <v>5</v>
      </c>
      <c r="L12550" s="88" t="n">
        <v>201208</v>
      </c>
      <c r="M12550" s="88">
        <f>VLOOKUP($Q12550,매칭테이블!$F:$I,2,0)*K12550</f>
        <v/>
      </c>
      <c r="N12550" s="88">
        <f>M12550-M12550*VLOOKUP($Q12550,매칭테이블!$F:$I,3,0)</f>
        <v/>
      </c>
      <c r="O12550" s="88">
        <f>VLOOKUP($Q12550,매칭테이블!$F:$I,4,0)*K12550</f>
        <v/>
      </c>
      <c r="P12550" s="152">
        <f>M12550/1.1</f>
        <v/>
      </c>
      <c r="Q12550" s="88">
        <f>F12550&amp;E12550&amp;G12550&amp;L12550</f>
        <v/>
      </c>
    </row>
    <row r="12551">
      <c r="B12551" s="128" t="n">
        <v>44189</v>
      </c>
      <c r="C12551" s="88">
        <f>TEXT(B12551,"aaa")</f>
        <v/>
      </c>
      <c r="E12551" s="88">
        <f>INDEX(매칭테이블!C:D,MATCH(RD!G12551,매칭테이블!D:D,0),1)</f>
        <v/>
      </c>
      <c r="F12551" s="94" t="inlineStr">
        <is>
          <t>카페24</t>
        </is>
      </c>
      <c r="G12551" s="94" t="inlineStr">
        <is>
          <t>5 제로 무기자차 선크림옵션=5제로 무기자차 선크림 2개-30% off (무료배송)</t>
        </is>
      </c>
      <c r="K12551" s="94" t="n">
        <v>1</v>
      </c>
      <c r="L12551" s="88" t="n">
        <v>201208</v>
      </c>
      <c r="M12551" s="88">
        <f>VLOOKUP($Q12551,매칭테이블!$F:$I,2,0)*K12551</f>
        <v/>
      </c>
      <c r="N12551" s="88">
        <f>M12551-M12551*VLOOKUP($Q12551,매칭테이블!$F:$I,3,0)</f>
        <v/>
      </c>
      <c r="O12551" s="88">
        <f>VLOOKUP($Q12551,매칭테이블!$F:$I,4,0)*K12551</f>
        <v/>
      </c>
      <c r="P12551" s="152">
        <f>M12551/1.1</f>
        <v/>
      </c>
      <c r="Q12551" s="88">
        <f>F12551&amp;E12551&amp;G12551&amp;L12551</f>
        <v/>
      </c>
    </row>
    <row r="12552">
      <c r="B12552" s="128" t="n">
        <v>44189</v>
      </c>
      <c r="C12552" s="88">
        <f>TEXT(B12552,"aaa")</f>
        <v/>
      </c>
      <c r="E12552" s="88">
        <f>INDEX(매칭테이블!C:D,MATCH(RD!G12552,매칭테이블!D:D,0),1)</f>
        <v/>
      </c>
      <c r="F12552" s="94" t="inlineStr">
        <is>
          <t>카페24</t>
        </is>
      </c>
      <c r="G12552" s="94" t="inlineStr">
        <is>
          <t>[수분 보충 세트] 어성초 77 토너 + 어성초 70 로션옵션=어성초 77 토너 250ml + 어성초 70 로션 200ml -30%</t>
        </is>
      </c>
      <c r="K12552" s="94" t="n">
        <v>48</v>
      </c>
      <c r="L12552" s="88" t="n">
        <v>201208</v>
      </c>
      <c r="M12552" s="88">
        <f>VLOOKUP($Q12552,매칭테이블!$F:$I,2,0)*K12552</f>
        <v/>
      </c>
      <c r="N12552" s="88">
        <f>M12552-M12552*VLOOKUP($Q12552,매칭테이블!$F:$I,3,0)</f>
        <v/>
      </c>
      <c r="O12552" s="88">
        <f>VLOOKUP($Q12552,매칭테이블!$F:$I,4,0)*K12552</f>
        <v/>
      </c>
      <c r="P12552" s="152">
        <f>M12552/1.1</f>
        <v/>
      </c>
      <c r="Q12552" s="88">
        <f>F12552&amp;E12552&amp;G12552&amp;L12552</f>
        <v/>
      </c>
    </row>
    <row r="12553">
      <c r="B12553" s="128" t="n">
        <v>44189</v>
      </c>
      <c r="C12553" s="88">
        <f>TEXT(B12553,"aaa")</f>
        <v/>
      </c>
      <c r="E12553" s="88">
        <f>INDEX(매칭테이블!C:D,MATCH(RD!G12553,매칭테이블!D:D,0),1)</f>
        <v/>
      </c>
      <c r="F12553" s="94" t="inlineStr">
        <is>
          <t>카페24</t>
        </is>
      </c>
      <c r="G12553" s="94" t="inlineStr">
        <is>
          <t>[어성초 진정 패키지 세트] 대용량 토너 + 앰플 + 수딩 크림 + 마스크팩 10장</t>
        </is>
      </c>
      <c r="K12553" s="94" t="n">
        <v>3</v>
      </c>
      <c r="L12553" s="88" t="n">
        <v>201208</v>
      </c>
      <c r="M12553" s="88">
        <f>VLOOKUP($Q12553,매칭테이블!$F:$I,2,0)*K12553</f>
        <v/>
      </c>
      <c r="N12553" s="88">
        <f>M12553-M12553*VLOOKUP($Q12553,매칭테이블!$F:$I,3,0)</f>
        <v/>
      </c>
      <c r="O12553" s="88">
        <f>VLOOKUP($Q12553,매칭테이블!$F:$I,4,0)*K12553</f>
        <v/>
      </c>
      <c r="P12553" s="152">
        <f>M12553/1.1</f>
        <v/>
      </c>
      <c r="Q12553" s="88">
        <f>F12553&amp;E12553&amp;G12553&amp;L12553</f>
        <v/>
      </c>
    </row>
    <row r="12554">
      <c r="B12554" s="128" t="n">
        <v>44189</v>
      </c>
      <c r="C12554" s="88">
        <f>TEXT(B12554,"aaa")</f>
        <v/>
      </c>
      <c r="E12554" s="88">
        <f>INDEX(매칭테이블!C:D,MATCH(RD!G12554,매칭테이블!D:D,0),1)</f>
        <v/>
      </c>
      <c r="F12554" s="94" t="inlineStr">
        <is>
          <t>카페24</t>
        </is>
      </c>
      <c r="G12554" s="94" t="inlineStr">
        <is>
          <t>대용량 어성초 77 수딩 토너 500ml</t>
        </is>
      </c>
      <c r="K12554" s="94" t="n">
        <v>26</v>
      </c>
      <c r="L12554" s="88" t="n">
        <v>201208</v>
      </c>
      <c r="M12554" s="88">
        <f>VLOOKUP($Q12554,매칭테이블!$F:$I,2,0)*K12554</f>
        <v/>
      </c>
      <c r="N12554" s="88">
        <f>M12554-M12554*VLOOKUP($Q12554,매칭테이블!$F:$I,3,0)</f>
        <v/>
      </c>
      <c r="O12554" s="88">
        <f>VLOOKUP($Q12554,매칭테이블!$F:$I,4,0)*K12554</f>
        <v/>
      </c>
      <c r="P12554" s="152">
        <f>M12554/1.1</f>
        <v/>
      </c>
      <c r="Q12554" s="88">
        <f>F12554&amp;E12554&amp;G12554&amp;L12554</f>
        <v/>
      </c>
    </row>
    <row r="12555">
      <c r="B12555" s="128" t="n">
        <v>44189</v>
      </c>
      <c r="C12555" s="88">
        <f>TEXT(B12555,"aaa")</f>
        <v/>
      </c>
      <c r="E12555" s="88">
        <f>INDEX(매칭테이블!C:D,MATCH(RD!G12555,매칭테이블!D:D,0),1)</f>
        <v/>
      </c>
      <c r="F12555" s="94" t="inlineStr">
        <is>
          <t>카페24</t>
        </is>
      </c>
      <c r="G12555" s="94" t="inlineStr">
        <is>
          <t>대용량 어성초 77 토너 500ml</t>
        </is>
      </c>
      <c r="K12555" s="94" t="n">
        <v>3</v>
      </c>
      <c r="L12555" s="88" t="n">
        <v>201208</v>
      </c>
      <c r="M12555" s="88">
        <f>VLOOKUP($Q12555,매칭테이블!$F:$I,2,0)*K12555</f>
        <v/>
      </c>
      <c r="N12555" s="88">
        <f>M12555-M12555*VLOOKUP($Q12555,매칭테이블!$F:$I,3,0)</f>
        <v/>
      </c>
      <c r="O12555" s="88">
        <f>VLOOKUP($Q12555,매칭테이블!$F:$I,4,0)*K12555</f>
        <v/>
      </c>
      <c r="P12555" s="152">
        <f>M12555/1.1</f>
        <v/>
      </c>
      <c r="Q12555" s="88">
        <f>F12555&amp;E12555&amp;G12555&amp;L12555</f>
        <v/>
      </c>
    </row>
    <row r="12556">
      <c r="B12556" s="128" t="n">
        <v>44189</v>
      </c>
      <c r="C12556" s="88">
        <f>TEXT(B12556,"aaa")</f>
        <v/>
      </c>
      <c r="E12556" s="88">
        <f>INDEX(매칭테이블!C:D,MATCH(RD!G12556,매칭테이블!D:D,0),1)</f>
        <v/>
      </c>
      <c r="F12556" s="94" t="inlineStr">
        <is>
          <t>카페24</t>
        </is>
      </c>
      <c r="G12556" s="94" t="inlineStr">
        <is>
          <t>아누아 어성초 77 수딩 토너토너(필수)=어성초 77 토너 1개-20% off</t>
        </is>
      </c>
      <c r="K12556" s="94" t="n">
        <v>2</v>
      </c>
      <c r="L12556" s="88" t="n">
        <v>201208</v>
      </c>
      <c r="M12556" s="88">
        <f>VLOOKUP($Q12556,매칭테이블!$F:$I,2,0)*K12556</f>
        <v/>
      </c>
      <c r="N12556" s="88">
        <f>M12556-M12556*VLOOKUP($Q12556,매칭테이블!$F:$I,3,0)</f>
        <v/>
      </c>
      <c r="O12556" s="88">
        <f>VLOOKUP($Q12556,매칭테이블!$F:$I,4,0)*K12556</f>
        <v/>
      </c>
      <c r="P12556" s="152">
        <f>M12556/1.1</f>
        <v/>
      </c>
      <c r="Q12556" s="88">
        <f>F12556&amp;E12556&amp;G12556&amp;L12556</f>
        <v/>
      </c>
    </row>
    <row r="12557">
      <c r="B12557" s="128" t="n">
        <v>44189</v>
      </c>
      <c r="C12557" s="88">
        <f>TEXT(B12557,"aaa")</f>
        <v/>
      </c>
      <c r="E12557" s="88">
        <f>INDEX(매칭테이블!C:D,MATCH(RD!G12557,매칭테이블!D:D,0),1)</f>
        <v/>
      </c>
      <c r="F12557" s="94" t="inlineStr">
        <is>
          <t>카페24</t>
        </is>
      </c>
      <c r="G12557" s="94" t="inlineStr">
        <is>
          <t>아누아 어성초 77 수딩 토너토너(필수)=어성초 77 토너 2개-30% off (무료배송)</t>
        </is>
      </c>
      <c r="K12557" s="94" t="n">
        <v>1</v>
      </c>
      <c r="L12557" s="88" t="n">
        <v>201208</v>
      </c>
      <c r="M12557" s="88">
        <f>VLOOKUP($Q12557,매칭테이블!$F:$I,2,0)*K12557</f>
        <v/>
      </c>
      <c r="N12557" s="88">
        <f>M12557-M12557*VLOOKUP($Q12557,매칭테이블!$F:$I,3,0)</f>
        <v/>
      </c>
      <c r="O12557" s="88">
        <f>VLOOKUP($Q12557,매칭테이블!$F:$I,4,0)*K12557</f>
        <v/>
      </c>
      <c r="P12557" s="152">
        <f>M12557/1.1</f>
        <v/>
      </c>
      <c r="Q12557" s="88">
        <f>F12557&amp;E12557&amp;G12557&amp;L12557</f>
        <v/>
      </c>
    </row>
    <row r="12558">
      <c r="B12558" s="128" t="n">
        <v>44189</v>
      </c>
      <c r="C12558" s="88">
        <f>TEXT(B12558,"aaa")</f>
        <v/>
      </c>
      <c r="E12558" s="88">
        <f>INDEX(매칭테이블!C:D,MATCH(RD!G12558,매칭테이블!D:D,0),1)</f>
        <v/>
      </c>
      <c r="F12558" s="94" t="inlineStr">
        <is>
          <t>카페24</t>
        </is>
      </c>
      <c r="G12558" s="94" t="inlineStr">
        <is>
          <t>아누아 어성초 77 클리어 패드옵션=어성초 77 클리어 패드 2개-30% off (무료배송)</t>
        </is>
      </c>
      <c r="K12558" s="94" t="n">
        <v>1</v>
      </c>
      <c r="L12558" s="88" t="n">
        <v>201208</v>
      </c>
      <c r="M12558" s="88">
        <f>VLOOKUP($Q12558,매칭테이블!$F:$I,2,0)*K12558</f>
        <v/>
      </c>
      <c r="N12558" s="88">
        <f>M12558-M12558*VLOOKUP($Q12558,매칭테이블!$F:$I,3,0)</f>
        <v/>
      </c>
      <c r="O12558" s="88">
        <f>VLOOKUP($Q12558,매칭테이블!$F:$I,4,0)*K12558</f>
        <v/>
      </c>
      <c r="P12558" s="152">
        <f>M12558/1.1</f>
        <v/>
      </c>
      <c r="Q12558" s="88">
        <f>F12558&amp;E12558&amp;G12558&amp;L12558</f>
        <v/>
      </c>
    </row>
    <row r="12559">
      <c r="B12559" s="128" t="n">
        <v>44189</v>
      </c>
      <c r="C12559" s="88">
        <f>TEXT(B12559,"aaa")</f>
        <v/>
      </c>
      <c r="E12559" s="88">
        <f>INDEX(매칭테이블!C:D,MATCH(RD!G12559,매칭테이블!D:D,0),1)</f>
        <v/>
      </c>
      <c r="F12559" s="94" t="inlineStr">
        <is>
          <t>카페24</t>
        </is>
      </c>
      <c r="G12559" s="94" t="inlineStr">
        <is>
          <t>어성초 70 데일리 릴리프 로션로션=어성초 70 데일리 릴리프 로션 1개 -20% off</t>
        </is>
      </c>
      <c r="K12559" s="94" t="n">
        <v>6</v>
      </c>
      <c r="L12559" s="88" t="n">
        <v>201208</v>
      </c>
      <c r="M12559" s="88">
        <f>VLOOKUP($Q12559,매칭테이블!$F:$I,2,0)*K12559</f>
        <v/>
      </c>
      <c r="N12559" s="88">
        <f>M12559-M12559*VLOOKUP($Q12559,매칭테이블!$F:$I,3,0)</f>
        <v/>
      </c>
      <c r="O12559" s="88">
        <f>VLOOKUP($Q12559,매칭테이블!$F:$I,4,0)*K12559</f>
        <v/>
      </c>
      <c r="P12559" s="152">
        <f>M12559/1.1</f>
        <v/>
      </c>
      <c r="Q12559" s="88">
        <f>F12559&amp;E12559&amp;G12559&amp;L12559</f>
        <v/>
      </c>
    </row>
    <row r="12560">
      <c r="B12560" s="128" t="n">
        <v>44189</v>
      </c>
      <c r="C12560" s="88">
        <f>TEXT(B12560,"aaa")</f>
        <v/>
      </c>
      <c r="E12560" s="88">
        <f>INDEX(매칭테이블!C:D,MATCH(RD!G12560,매칭테이블!D:D,0),1)</f>
        <v/>
      </c>
      <c r="F12560" s="94" t="inlineStr">
        <is>
          <t>카페24</t>
        </is>
      </c>
      <c r="G12560" s="94" t="inlineStr">
        <is>
          <t>어성초 70 데일리 릴리프 로션로션=어성초 70 데일리 릴리프 로션 2개 -30% off</t>
        </is>
      </c>
      <c r="K12560" s="94" t="n">
        <v>2</v>
      </c>
      <c r="L12560" s="88" t="n">
        <v>201208</v>
      </c>
      <c r="M12560" s="88">
        <f>VLOOKUP($Q12560,매칭테이블!$F:$I,2,0)*K12560</f>
        <v/>
      </c>
      <c r="N12560" s="88">
        <f>M12560-M12560*VLOOKUP($Q12560,매칭테이블!$F:$I,3,0)</f>
        <v/>
      </c>
      <c r="O12560" s="88">
        <f>VLOOKUP($Q12560,매칭테이블!$F:$I,4,0)*K12560</f>
        <v/>
      </c>
      <c r="P12560" s="152">
        <f>M12560/1.1</f>
        <v/>
      </c>
      <c r="Q12560" s="88">
        <f>F12560&amp;E12560&amp;G12560&amp;L12560</f>
        <v/>
      </c>
    </row>
    <row r="12561">
      <c r="B12561" s="128" t="n">
        <v>44189</v>
      </c>
      <c r="C12561" s="88">
        <f>TEXT(B12561,"aaa")</f>
        <v/>
      </c>
      <c r="E12561" s="88">
        <f>INDEX(매칭테이블!C:D,MATCH(RD!G12561,매칭테이블!D:D,0),1)</f>
        <v/>
      </c>
      <c r="F12561" s="94" t="inlineStr">
        <is>
          <t>카페24</t>
        </is>
      </c>
      <c r="G12561" s="94" t="inlineStr">
        <is>
          <t>어성초 70 데일리 릴리프 로션로션=어성초 77토너 + 어성초 70 로션 수분 보충 세트 -30% off</t>
        </is>
      </c>
      <c r="K12561" s="94" t="n">
        <v>3</v>
      </c>
      <c r="L12561" s="88" t="n">
        <v>201208</v>
      </c>
      <c r="M12561" s="88">
        <f>VLOOKUP($Q12561,매칭테이블!$F:$I,2,0)*K12561</f>
        <v/>
      </c>
      <c r="N12561" s="88">
        <f>M12561-M12561*VLOOKUP($Q12561,매칭테이블!$F:$I,3,0)</f>
        <v/>
      </c>
      <c r="O12561" s="88">
        <f>VLOOKUP($Q12561,매칭테이블!$F:$I,4,0)*K12561</f>
        <v/>
      </c>
      <c r="P12561" s="152">
        <f>M12561/1.1</f>
        <v/>
      </c>
      <c r="Q12561" s="88">
        <f>F12561&amp;E12561&amp;G12561&amp;L12561</f>
        <v/>
      </c>
    </row>
    <row r="12562">
      <c r="B12562" s="128" t="n">
        <v>44189</v>
      </c>
      <c r="C12562" s="88">
        <f>TEXT(B12562,"aaa")</f>
        <v/>
      </c>
      <c r="E12562" s="88">
        <f>INDEX(매칭테이블!C:D,MATCH(RD!G12562,매칭테이블!D:D,0),1)</f>
        <v/>
      </c>
      <c r="F12562" s="94" t="inlineStr">
        <is>
          <t>카페24</t>
        </is>
      </c>
      <c r="G12562" s="94" t="inlineStr">
        <is>
          <t>어성초 70 머드 크림 마스크옵션=어성초 70 머드 크림 마스크-20% off</t>
        </is>
      </c>
      <c r="K12562" s="94" t="n">
        <v>2</v>
      </c>
      <c r="L12562" s="88" t="n">
        <v>201208</v>
      </c>
      <c r="M12562" s="88">
        <f>VLOOKUP($Q12562,매칭테이블!$F:$I,2,0)*K12562</f>
        <v/>
      </c>
      <c r="N12562" s="88">
        <f>M12562-M12562*VLOOKUP($Q12562,매칭테이블!$F:$I,3,0)</f>
        <v/>
      </c>
      <c r="O12562" s="88">
        <f>VLOOKUP($Q12562,매칭테이블!$F:$I,4,0)*K12562</f>
        <v/>
      </c>
      <c r="P12562" s="152">
        <f>M12562/1.1</f>
        <v/>
      </c>
      <c r="Q12562" s="88">
        <f>F12562&amp;E12562&amp;G12562&amp;L12562</f>
        <v/>
      </c>
    </row>
    <row r="12563">
      <c r="B12563" s="128" t="n">
        <v>44189</v>
      </c>
      <c r="C12563" s="88">
        <f>TEXT(B12563,"aaa")</f>
        <v/>
      </c>
      <c r="E12563" s="88">
        <f>INDEX(매칭테이블!C:D,MATCH(RD!G12563,매칭테이블!D:D,0),1)</f>
        <v/>
      </c>
      <c r="F12563" s="94" t="inlineStr">
        <is>
          <t>카페24</t>
        </is>
      </c>
      <c r="G12563" s="94" t="inlineStr">
        <is>
          <t>어성초 70 머드 크림 마스크옵션=어성초 70 머드 크림 마스크 2개-30% off (무료배송)</t>
        </is>
      </c>
      <c r="K12563" s="94" t="n">
        <v>1</v>
      </c>
      <c r="L12563" s="88" t="n">
        <v>201208</v>
      </c>
      <c r="M12563" s="88">
        <f>VLOOKUP($Q12563,매칭테이블!$F:$I,2,0)*K12563</f>
        <v/>
      </c>
      <c r="N12563" s="88">
        <f>M12563-M12563*VLOOKUP($Q12563,매칭테이블!$F:$I,3,0)</f>
        <v/>
      </c>
      <c r="O12563" s="88">
        <f>VLOOKUP($Q12563,매칭테이블!$F:$I,4,0)*K12563</f>
        <v/>
      </c>
      <c r="P12563" s="152">
        <f>M12563/1.1</f>
        <v/>
      </c>
      <c r="Q12563" s="88">
        <f>F12563&amp;E12563&amp;G12563&amp;L12563</f>
        <v/>
      </c>
    </row>
    <row r="12564">
      <c r="B12564" s="128" t="n">
        <v>44189</v>
      </c>
      <c r="C12564" s="88">
        <f>TEXT(B12564,"aaa")</f>
        <v/>
      </c>
      <c r="E12564" s="88">
        <f>INDEX(매칭테이블!C:D,MATCH(RD!G12564,매칭테이블!D:D,0),1)</f>
        <v/>
      </c>
      <c r="F12564" s="94" t="inlineStr">
        <is>
          <t>카페24</t>
        </is>
      </c>
      <c r="G12564" s="94" t="inlineStr">
        <is>
          <t>어성초 70 인텐스 카밍 크림크림=어성초 70 인텐스 카밍 크림 1개 (-20%)</t>
        </is>
      </c>
      <c r="K12564" s="94" t="n">
        <v>5</v>
      </c>
      <c r="L12564" s="88" t="n">
        <v>201208</v>
      </c>
      <c r="M12564" s="88">
        <f>VLOOKUP($Q12564,매칭테이블!$F:$I,2,0)*K12564</f>
        <v/>
      </c>
      <c r="N12564" s="88">
        <f>M12564-M12564*VLOOKUP($Q12564,매칭테이블!$F:$I,3,0)</f>
        <v/>
      </c>
      <c r="O12564" s="88">
        <f>VLOOKUP($Q12564,매칭테이블!$F:$I,4,0)*K12564</f>
        <v/>
      </c>
      <c r="P12564" s="152">
        <f>M12564/1.1</f>
        <v/>
      </c>
      <c r="Q12564" s="88">
        <f>F12564&amp;E12564&amp;G12564&amp;L12564</f>
        <v/>
      </c>
    </row>
    <row r="12565">
      <c r="B12565" s="128" t="n">
        <v>44189</v>
      </c>
      <c r="C12565" s="88">
        <f>TEXT(B12565,"aaa")</f>
        <v/>
      </c>
      <c r="E12565" s="88">
        <f>INDEX(매칭테이블!C:D,MATCH(RD!G12565,매칭테이블!D:D,0),1)</f>
        <v/>
      </c>
      <c r="F12565" s="94" t="inlineStr">
        <is>
          <t>카페24</t>
        </is>
      </c>
      <c r="G12565" s="94" t="inlineStr">
        <is>
          <t>어성초 70 인텐스 카밍 크림크림=어성초 토너 250ml + 카밍 크림 50ml (-30%)</t>
        </is>
      </c>
      <c r="K12565" s="94" t="n">
        <v>1</v>
      </c>
      <c r="L12565" s="88" t="n">
        <v>201208</v>
      </c>
      <c r="M12565" s="88">
        <f>VLOOKUP($Q12565,매칭테이블!$F:$I,2,0)*K12565</f>
        <v/>
      </c>
      <c r="N12565" s="88">
        <f>M12565-M12565*VLOOKUP($Q12565,매칭테이블!$F:$I,3,0)</f>
        <v/>
      </c>
      <c r="O12565" s="88">
        <f>VLOOKUP($Q12565,매칭테이블!$F:$I,4,0)*K12565</f>
        <v/>
      </c>
      <c r="P12565" s="152">
        <f>M12565/1.1</f>
        <v/>
      </c>
      <c r="Q12565" s="88">
        <f>F12565&amp;E12565&amp;G12565&amp;L12565</f>
        <v/>
      </c>
    </row>
    <row r="12566">
      <c r="B12566" s="128" t="n">
        <v>44189</v>
      </c>
      <c r="C12566" s="88">
        <f>TEXT(B12566,"aaa")</f>
        <v/>
      </c>
      <c r="E12566" s="88">
        <f>INDEX(매칭테이블!C:D,MATCH(RD!G12566,매칭테이블!D:D,0),1)</f>
        <v/>
      </c>
      <c r="F12566" s="94" t="inlineStr">
        <is>
          <t>카페24</t>
        </is>
      </c>
      <c r="G12566" s="94" t="inlineStr">
        <is>
          <t>어성초 77 수딩 토너토너(필수)=어성초 77 토너 1개-20% off</t>
        </is>
      </c>
      <c r="K12566" s="94" t="n">
        <v>53</v>
      </c>
      <c r="L12566" s="88" t="n">
        <v>201208</v>
      </c>
      <c r="M12566" s="88">
        <f>VLOOKUP($Q12566,매칭테이블!$F:$I,2,0)*K12566</f>
        <v/>
      </c>
      <c r="N12566" s="88">
        <f>M12566-M12566*VLOOKUP($Q12566,매칭테이블!$F:$I,3,0)</f>
        <v/>
      </c>
      <c r="O12566" s="88">
        <f>VLOOKUP($Q12566,매칭테이블!$F:$I,4,0)*K12566</f>
        <v/>
      </c>
      <c r="P12566" s="152">
        <f>M12566/1.1</f>
        <v/>
      </c>
      <c r="Q12566" s="88">
        <f>F12566&amp;E12566&amp;G12566&amp;L12566</f>
        <v/>
      </c>
    </row>
    <row r="12567">
      <c r="B12567" s="128" t="n">
        <v>44189</v>
      </c>
      <c r="C12567" s="88">
        <f>TEXT(B12567,"aaa")</f>
        <v/>
      </c>
      <c r="E12567" s="88">
        <f>INDEX(매칭테이블!C:D,MATCH(RD!G12567,매칭테이블!D:D,0),1)</f>
        <v/>
      </c>
      <c r="F12567" s="94" t="inlineStr">
        <is>
          <t>카페24</t>
        </is>
      </c>
      <c r="G12567" s="94" t="inlineStr">
        <is>
          <t>어성초 77 수딩 토너토너(필수)=어성초 77 토너 2개-30% off (무료배송)</t>
        </is>
      </c>
      <c r="K12567" s="94" t="n">
        <v>39</v>
      </c>
      <c r="L12567" s="88" t="n">
        <v>201208</v>
      </c>
      <c r="M12567" s="88">
        <f>VLOOKUP($Q12567,매칭테이블!$F:$I,2,0)*K12567</f>
        <v/>
      </c>
      <c r="N12567" s="88">
        <f>M12567-M12567*VLOOKUP($Q12567,매칭테이블!$F:$I,3,0)</f>
        <v/>
      </c>
      <c r="O12567" s="88">
        <f>VLOOKUP($Q12567,매칭테이블!$F:$I,4,0)*K12567</f>
        <v/>
      </c>
      <c r="P12567" s="152">
        <f>M12567/1.1</f>
        <v/>
      </c>
      <c r="Q12567" s="88">
        <f>F12567&amp;E12567&amp;G12567&amp;L12567</f>
        <v/>
      </c>
    </row>
    <row r="12568">
      <c r="B12568" s="128" t="n">
        <v>44189</v>
      </c>
      <c r="C12568" s="88">
        <f>TEXT(B12568,"aaa")</f>
        <v/>
      </c>
      <c r="E12568" s="88">
        <f>INDEX(매칭테이블!C:D,MATCH(RD!G12568,매칭테이블!D:D,0),1)</f>
        <v/>
      </c>
      <c r="F12568" s="94" t="inlineStr">
        <is>
          <t>카페24</t>
        </is>
      </c>
      <c r="G12568" s="94" t="inlineStr">
        <is>
          <t>어성초 77 수딩 토너토너(필수)=어성초77토너1개 + 어성초77패드1개 -30% off (무료배송)</t>
        </is>
      </c>
      <c r="K12568" s="94" t="n">
        <v>38</v>
      </c>
      <c r="L12568" s="88" t="n">
        <v>201208</v>
      </c>
      <c r="M12568" s="88">
        <f>VLOOKUP($Q12568,매칭테이블!$F:$I,2,0)*K12568</f>
        <v/>
      </c>
      <c r="N12568" s="88">
        <f>M12568-M12568*VLOOKUP($Q12568,매칭테이블!$F:$I,3,0)</f>
        <v/>
      </c>
      <c r="O12568" s="88">
        <f>VLOOKUP($Q12568,매칭테이블!$F:$I,4,0)*K12568</f>
        <v/>
      </c>
      <c r="P12568" s="152">
        <f>M12568/1.1</f>
        <v/>
      </c>
      <c r="Q12568" s="88">
        <f>F12568&amp;E12568&amp;G12568&amp;L12568</f>
        <v/>
      </c>
    </row>
    <row r="12569">
      <c r="B12569" s="128" t="n">
        <v>44189</v>
      </c>
      <c r="C12569" s="88">
        <f>TEXT(B12569,"aaa")</f>
        <v/>
      </c>
      <c r="E12569" s="88">
        <f>INDEX(매칭테이블!C:D,MATCH(RD!G12569,매칭테이블!D:D,0),1)</f>
        <v/>
      </c>
      <c r="F12569" s="94" t="inlineStr">
        <is>
          <t>카페24</t>
        </is>
      </c>
      <c r="G12569" s="94" t="inlineStr">
        <is>
          <t>어성초 77 수딩 토너화장솜(선택)=촉촉 스킨팩 화장솜</t>
        </is>
      </c>
      <c r="K12569" s="94" t="n">
        <v>43</v>
      </c>
      <c r="L12569" s="88" t="n">
        <v>201208</v>
      </c>
      <c r="M12569" s="88">
        <f>VLOOKUP($Q12569,매칭테이블!$F:$I,2,0)*K12569</f>
        <v/>
      </c>
      <c r="N12569" s="88">
        <f>M12569-M12569*VLOOKUP($Q12569,매칭테이블!$F:$I,3,0)</f>
        <v/>
      </c>
      <c r="O12569" s="88">
        <f>VLOOKUP($Q12569,매칭테이블!$F:$I,4,0)*K12569</f>
        <v/>
      </c>
      <c r="P12569" s="152">
        <f>M12569/1.1</f>
        <v/>
      </c>
      <c r="Q12569" s="88">
        <f>F12569&amp;E12569&amp;G12569&amp;L12569</f>
        <v/>
      </c>
    </row>
    <row r="12570">
      <c r="B12570" s="128" t="n">
        <v>44189</v>
      </c>
      <c r="C12570" s="88">
        <f>TEXT(B12570,"aaa")</f>
        <v/>
      </c>
      <c r="E12570" s="88">
        <f>INDEX(매칭테이블!C:D,MATCH(RD!G12570,매칭테이블!D:D,0),1)</f>
        <v/>
      </c>
      <c r="F12570" s="94" t="inlineStr">
        <is>
          <t>카페24</t>
        </is>
      </c>
      <c r="G12570" s="94" t="inlineStr">
        <is>
          <t>어성초 77 수딩 토너토너(필수)=어성초 77 토너 1개-20% off</t>
        </is>
      </c>
      <c r="K12570" s="94" t="n">
        <v>1</v>
      </c>
      <c r="L12570" s="88" t="n">
        <v>201208</v>
      </c>
      <c r="M12570" s="88">
        <f>VLOOKUP($Q12570,매칭테이블!$F:$I,2,0)*K12570</f>
        <v/>
      </c>
      <c r="N12570" s="88">
        <f>M12570-M12570*VLOOKUP($Q12570,매칭테이블!$F:$I,3,0)</f>
        <v/>
      </c>
      <c r="O12570" s="88">
        <f>VLOOKUP($Q12570,매칭테이블!$F:$I,4,0)*K12570</f>
        <v/>
      </c>
      <c r="P12570" s="152">
        <f>M12570/1.1</f>
        <v/>
      </c>
      <c r="Q12570" s="88">
        <f>F12570&amp;E12570&amp;G12570&amp;L12570</f>
        <v/>
      </c>
    </row>
    <row r="12571">
      <c r="B12571" s="128" t="n">
        <v>44189</v>
      </c>
      <c r="C12571" s="88">
        <f>TEXT(B12571,"aaa")</f>
        <v/>
      </c>
      <c r="E12571" s="88">
        <f>INDEX(매칭테이블!C:D,MATCH(RD!G12571,매칭테이블!D:D,0),1)</f>
        <v/>
      </c>
      <c r="F12571" s="94" t="inlineStr">
        <is>
          <t>카페24</t>
        </is>
      </c>
      <c r="G12571" s="94" t="inlineStr">
        <is>
          <t>어성초 77 진정 마스크옵션=어성초 77 진정 마스크팩 1장</t>
        </is>
      </c>
      <c r="K12571" s="94" t="n">
        <v>3</v>
      </c>
      <c r="L12571" s="88" t="n">
        <v>201208</v>
      </c>
      <c r="M12571" s="88">
        <f>VLOOKUP($Q12571,매칭테이블!$F:$I,2,0)*K12571</f>
        <v/>
      </c>
      <c r="N12571" s="88">
        <f>M12571-M12571*VLOOKUP($Q12571,매칭테이블!$F:$I,3,0)</f>
        <v/>
      </c>
      <c r="O12571" s="88">
        <f>VLOOKUP($Q12571,매칭테이블!$F:$I,4,0)*K12571</f>
        <v/>
      </c>
      <c r="P12571" s="152">
        <f>M12571/1.1</f>
        <v/>
      </c>
      <c r="Q12571" s="88">
        <f>F12571&amp;E12571&amp;G12571&amp;L12571</f>
        <v/>
      </c>
    </row>
    <row r="12572">
      <c r="B12572" s="128" t="n">
        <v>44189</v>
      </c>
      <c r="C12572" s="88">
        <f>TEXT(B12572,"aaa")</f>
        <v/>
      </c>
      <c r="E12572" s="88">
        <f>INDEX(매칭테이블!C:D,MATCH(RD!G12572,매칭테이블!D:D,0),1)</f>
        <v/>
      </c>
      <c r="F12572" s="94" t="inlineStr">
        <is>
          <t>카페24</t>
        </is>
      </c>
      <c r="G12572" s="94" t="inlineStr">
        <is>
          <t>어성초 77 진정 마스크옵션=어성초 77 진정 마스크팩 10장-50% off</t>
        </is>
      </c>
      <c r="K12572" s="94" t="n">
        <v>8</v>
      </c>
      <c r="L12572" s="88" t="n">
        <v>201208</v>
      </c>
      <c r="M12572" s="88">
        <f>VLOOKUP($Q12572,매칭테이블!$F:$I,2,0)*K12572</f>
        <v/>
      </c>
      <c r="N12572" s="88">
        <f>M12572-M12572*VLOOKUP($Q12572,매칭테이블!$F:$I,3,0)</f>
        <v/>
      </c>
      <c r="O12572" s="88">
        <f>VLOOKUP($Q12572,매칭테이블!$F:$I,4,0)*K12572</f>
        <v/>
      </c>
      <c r="P12572" s="152">
        <f>M12572/1.1</f>
        <v/>
      </c>
      <c r="Q12572" s="88">
        <f>F12572&amp;E12572&amp;G12572&amp;L12572</f>
        <v/>
      </c>
    </row>
    <row r="12573">
      <c r="B12573" s="128" t="n">
        <v>44189</v>
      </c>
      <c r="C12573" s="88">
        <f>TEXT(B12573,"aaa")</f>
        <v/>
      </c>
      <c r="E12573" s="88">
        <f>INDEX(매칭테이블!C:D,MATCH(RD!G12573,매칭테이블!D:D,0),1)</f>
        <v/>
      </c>
      <c r="F12573" s="94" t="inlineStr">
        <is>
          <t>카페24</t>
        </is>
      </c>
      <c r="G12573" s="94" t="inlineStr">
        <is>
          <t>어성초 77 진정 마스크</t>
        </is>
      </c>
      <c r="K12573" s="94" t="n">
        <v>5</v>
      </c>
      <c r="L12573" s="88" t="n">
        <v>201208</v>
      </c>
      <c r="M12573" s="88">
        <f>VLOOKUP($Q12573,매칭테이블!$F:$I,2,0)*K12573</f>
        <v/>
      </c>
      <c r="N12573" s="88">
        <f>M12573-M12573*VLOOKUP($Q12573,매칭테이블!$F:$I,3,0)</f>
        <v/>
      </c>
      <c r="O12573" s="88">
        <f>VLOOKUP($Q12573,매칭테이블!$F:$I,4,0)*K12573</f>
        <v/>
      </c>
      <c r="P12573" s="152">
        <f>M12573/1.1</f>
        <v/>
      </c>
      <c r="Q12573" s="88">
        <f>F12573&amp;E12573&amp;G12573&amp;L12573</f>
        <v/>
      </c>
    </row>
    <row r="12574">
      <c r="B12574" s="128" t="n">
        <v>44189</v>
      </c>
      <c r="C12574" s="88">
        <f>TEXT(B12574,"aaa")</f>
        <v/>
      </c>
      <c r="E12574" s="88">
        <f>INDEX(매칭테이블!C:D,MATCH(RD!G12574,매칭테이블!D:D,0),1)</f>
        <v/>
      </c>
      <c r="F12574" s="94" t="inlineStr">
        <is>
          <t>카페24</t>
        </is>
      </c>
      <c r="G12574" s="94" t="inlineStr">
        <is>
          <t>어성초 77 클리어 패드옵션=어성초 77 클리어 패드 1개-20% off</t>
        </is>
      </c>
      <c r="K12574" s="94" t="n">
        <v>81</v>
      </c>
      <c r="L12574" s="88" t="n">
        <v>201208</v>
      </c>
      <c r="M12574" s="88">
        <f>VLOOKUP($Q12574,매칭테이블!$F:$I,2,0)*K12574</f>
        <v/>
      </c>
      <c r="N12574" s="88">
        <f>M12574-M12574*VLOOKUP($Q12574,매칭테이블!$F:$I,3,0)</f>
        <v/>
      </c>
      <c r="O12574" s="88">
        <f>VLOOKUP($Q12574,매칭테이블!$F:$I,4,0)*K12574</f>
        <v/>
      </c>
      <c r="P12574" s="152">
        <f>M12574/1.1</f>
        <v/>
      </c>
      <c r="Q12574" s="88">
        <f>F12574&amp;E12574&amp;G12574&amp;L12574</f>
        <v/>
      </c>
    </row>
    <row r="12575">
      <c r="B12575" s="128" t="n">
        <v>44189</v>
      </c>
      <c r="C12575" s="88">
        <f>TEXT(B12575,"aaa")</f>
        <v/>
      </c>
      <c r="E12575" s="88">
        <f>INDEX(매칭테이블!C:D,MATCH(RD!G12575,매칭테이블!D:D,0),1)</f>
        <v/>
      </c>
      <c r="F12575" s="94" t="inlineStr">
        <is>
          <t>카페24</t>
        </is>
      </c>
      <c r="G12575" s="94" t="inlineStr">
        <is>
          <t>어성초 77 클리어 패드옵션=어성초 77 클리어 패드 2개-30% off (무료배송)</t>
        </is>
      </c>
      <c r="K12575" s="94" t="n">
        <v>86</v>
      </c>
      <c r="L12575" s="88" t="n">
        <v>201208</v>
      </c>
      <c r="M12575" s="88">
        <f>VLOOKUP($Q12575,매칭테이블!$F:$I,2,0)*K12575</f>
        <v/>
      </c>
      <c r="N12575" s="88">
        <f>M12575-M12575*VLOOKUP($Q12575,매칭테이블!$F:$I,3,0)</f>
        <v/>
      </c>
      <c r="O12575" s="88">
        <f>VLOOKUP($Q12575,매칭테이블!$F:$I,4,0)*K12575</f>
        <v/>
      </c>
      <c r="P12575" s="152">
        <f>M12575/1.1</f>
        <v/>
      </c>
      <c r="Q12575" s="88">
        <f>F12575&amp;E12575&amp;G12575&amp;L12575</f>
        <v/>
      </c>
    </row>
    <row r="12576">
      <c r="B12576" s="128" t="n">
        <v>44189</v>
      </c>
      <c r="C12576" s="88">
        <f>TEXT(B12576,"aaa")</f>
        <v/>
      </c>
      <c r="E12576" s="88">
        <f>INDEX(매칭테이블!C:D,MATCH(RD!G12576,매칭테이블!D:D,0),1)</f>
        <v/>
      </c>
      <c r="F12576" s="94" t="inlineStr">
        <is>
          <t>카페24</t>
        </is>
      </c>
      <c r="G12576" s="94" t="inlineStr">
        <is>
          <t>어성초 77 클리어 패드옵션=어성초77토너1개+어성초77패드1개-30% off (무료배송)</t>
        </is>
      </c>
      <c r="K12576" s="94" t="n">
        <v>68</v>
      </c>
      <c r="L12576" s="88" t="n">
        <v>201208</v>
      </c>
      <c r="M12576" s="88">
        <f>VLOOKUP($Q12576,매칭테이블!$F:$I,2,0)*K12576</f>
        <v/>
      </c>
      <c r="N12576" s="88">
        <f>M12576-M12576*VLOOKUP($Q12576,매칭테이블!$F:$I,3,0)</f>
        <v/>
      </c>
      <c r="O12576" s="88">
        <f>VLOOKUP($Q12576,매칭테이블!$F:$I,4,0)*K12576</f>
        <v/>
      </c>
      <c r="P12576" s="152">
        <f>M12576/1.1</f>
        <v/>
      </c>
      <c r="Q12576" s="88">
        <f>F12576&amp;E12576&amp;G12576&amp;L12576</f>
        <v/>
      </c>
    </row>
    <row r="12577">
      <c r="B12577" s="128" t="n">
        <v>44189</v>
      </c>
      <c r="C12577" s="88">
        <f>TEXT(B12577,"aaa")</f>
        <v/>
      </c>
      <c r="E12577" s="88">
        <f>INDEX(매칭테이블!C:D,MATCH(RD!G12577,매칭테이블!D:D,0),1)</f>
        <v/>
      </c>
      <c r="F12577" s="94" t="inlineStr">
        <is>
          <t>카페24</t>
        </is>
      </c>
      <c r="G12577" s="94" t="inlineStr">
        <is>
          <t>어성초 77 토너토너(필수)=어성초 77 토너 1개-20% off</t>
        </is>
      </c>
      <c r="K12577" s="94" t="n">
        <v>3</v>
      </c>
      <c r="L12577" s="88" t="n">
        <v>201208</v>
      </c>
      <c r="M12577" s="88">
        <f>VLOOKUP($Q12577,매칭테이블!$F:$I,2,0)*K12577</f>
        <v/>
      </c>
      <c r="N12577" s="88">
        <f>M12577-M12577*VLOOKUP($Q12577,매칭테이블!$F:$I,3,0)</f>
        <v/>
      </c>
      <c r="O12577" s="88">
        <f>VLOOKUP($Q12577,매칭테이블!$F:$I,4,0)*K12577</f>
        <v/>
      </c>
      <c r="P12577" s="152">
        <f>M12577/1.1</f>
        <v/>
      </c>
      <c r="Q12577" s="88">
        <f>F12577&amp;E12577&amp;G12577&amp;L12577</f>
        <v/>
      </c>
    </row>
    <row r="12578">
      <c r="B12578" s="128" t="n">
        <v>44189</v>
      </c>
      <c r="C12578" s="88">
        <f>TEXT(B12578,"aaa")</f>
        <v/>
      </c>
      <c r="E12578" s="88">
        <f>INDEX(매칭테이블!C:D,MATCH(RD!G12578,매칭테이블!D:D,0),1)</f>
        <v/>
      </c>
      <c r="F12578" s="94" t="inlineStr">
        <is>
          <t>카페24</t>
        </is>
      </c>
      <c r="G12578" s="94" t="inlineStr">
        <is>
          <t>어성초 77 토너토너(필수)=어성초 77 토너 2개-30% off (무료배송)</t>
        </is>
      </c>
      <c r="K12578" s="94" t="n">
        <v>1</v>
      </c>
      <c r="L12578" s="88" t="n">
        <v>201208</v>
      </c>
      <c r="M12578" s="88">
        <f>VLOOKUP($Q12578,매칭테이블!$F:$I,2,0)*K12578</f>
        <v/>
      </c>
      <c r="N12578" s="88">
        <f>M12578-M12578*VLOOKUP($Q12578,매칭테이블!$F:$I,3,0)</f>
        <v/>
      </c>
      <c r="O12578" s="88">
        <f>VLOOKUP($Q12578,매칭테이블!$F:$I,4,0)*K12578</f>
        <v/>
      </c>
      <c r="P12578" s="152">
        <f>M12578/1.1</f>
        <v/>
      </c>
      <c r="Q12578" s="88">
        <f>F12578&amp;E12578&amp;G12578&amp;L12578</f>
        <v/>
      </c>
    </row>
    <row r="12579">
      <c r="B12579" s="128" t="n">
        <v>44189</v>
      </c>
      <c r="C12579" s="88">
        <f>TEXT(B12579,"aaa")</f>
        <v/>
      </c>
      <c r="E12579" s="88">
        <f>INDEX(매칭테이블!C:D,MATCH(RD!G12579,매칭테이블!D:D,0),1)</f>
        <v/>
      </c>
      <c r="F12579" s="94" t="inlineStr">
        <is>
          <t>카페24</t>
        </is>
      </c>
      <c r="G12579" s="94" t="inlineStr">
        <is>
          <t>어성초 77 토너화장솜(선택)=촉촉 스킨팩 화장솜</t>
        </is>
      </c>
      <c r="K12579" s="94" t="n">
        <v>1</v>
      </c>
      <c r="L12579" s="88" t="n">
        <v>201208</v>
      </c>
      <c r="M12579" s="88">
        <f>VLOOKUP($Q12579,매칭테이블!$F:$I,2,0)*K12579</f>
        <v/>
      </c>
      <c r="N12579" s="88">
        <f>M12579-M12579*VLOOKUP($Q12579,매칭테이블!$F:$I,3,0)</f>
        <v/>
      </c>
      <c r="O12579" s="88">
        <f>VLOOKUP($Q12579,매칭테이블!$F:$I,4,0)*K12579</f>
        <v/>
      </c>
      <c r="P12579" s="152">
        <f>M12579/1.1</f>
        <v/>
      </c>
      <c r="Q12579" s="88">
        <f>F12579&amp;E12579&amp;G12579&amp;L12579</f>
        <v/>
      </c>
    </row>
    <row r="12580">
      <c r="B12580" s="128" t="n">
        <v>44189</v>
      </c>
      <c r="C12580" s="88">
        <f>TEXT(B12580,"aaa")</f>
        <v/>
      </c>
      <c r="E12580" s="88">
        <f>INDEX(매칭테이블!C:D,MATCH(RD!G12580,매칭테이블!D:D,0),1)</f>
        <v/>
      </c>
      <c r="F12580" s="94" t="inlineStr">
        <is>
          <t>카페24</t>
        </is>
      </c>
      <c r="G12580" s="94" t="inlineStr">
        <is>
          <t>어성초 77 포어 클리어 패드옵션=어성초 77 클리어 패드 1개-20% off</t>
        </is>
      </c>
      <c r="K12580" s="94" t="n">
        <v>42</v>
      </c>
      <c r="L12580" s="88" t="n">
        <v>201208</v>
      </c>
      <c r="M12580" s="88">
        <f>VLOOKUP($Q12580,매칭테이블!$F:$I,2,0)*K12580</f>
        <v/>
      </c>
      <c r="N12580" s="88">
        <f>M12580-M12580*VLOOKUP($Q12580,매칭테이블!$F:$I,3,0)</f>
        <v/>
      </c>
      <c r="O12580" s="88">
        <f>VLOOKUP($Q12580,매칭테이블!$F:$I,4,0)*K12580</f>
        <v/>
      </c>
      <c r="P12580" s="152">
        <f>M12580/1.1</f>
        <v/>
      </c>
      <c r="Q12580" s="88">
        <f>F12580&amp;E12580&amp;G12580&amp;L12580</f>
        <v/>
      </c>
    </row>
    <row r="12581">
      <c r="B12581" s="128" t="n">
        <v>44189</v>
      </c>
      <c r="C12581" s="88">
        <f>TEXT(B12581,"aaa")</f>
        <v/>
      </c>
      <c r="E12581" s="88">
        <f>INDEX(매칭테이블!C:D,MATCH(RD!G12581,매칭테이블!D:D,0),1)</f>
        <v/>
      </c>
      <c r="F12581" s="94" t="inlineStr">
        <is>
          <t>카페24</t>
        </is>
      </c>
      <c r="G12581" s="94" t="inlineStr">
        <is>
          <t>어성초 77 포어 클리어 패드옵션=어성초 77 클리어 패드 2개-30% off (무료배송)</t>
        </is>
      </c>
      <c r="K12581" s="94" t="n">
        <v>50</v>
      </c>
      <c r="L12581" s="88" t="n">
        <v>201208</v>
      </c>
      <c r="M12581" s="88">
        <f>VLOOKUP($Q12581,매칭테이블!$F:$I,2,0)*K12581</f>
        <v/>
      </c>
      <c r="N12581" s="88">
        <f>M12581-M12581*VLOOKUP($Q12581,매칭테이블!$F:$I,3,0)</f>
        <v/>
      </c>
      <c r="O12581" s="88">
        <f>VLOOKUP($Q12581,매칭테이블!$F:$I,4,0)*K12581</f>
        <v/>
      </c>
      <c r="P12581" s="152">
        <f>M12581/1.1</f>
        <v/>
      </c>
      <c r="Q12581" s="88">
        <f>F12581&amp;E12581&amp;G12581&amp;L12581</f>
        <v/>
      </c>
    </row>
    <row r="12582">
      <c r="B12582" s="128" t="n">
        <v>44189</v>
      </c>
      <c r="C12582" s="88">
        <f>TEXT(B12582,"aaa")</f>
        <v/>
      </c>
      <c r="E12582" s="88">
        <f>INDEX(매칭테이블!C:D,MATCH(RD!G12582,매칭테이블!D:D,0),1)</f>
        <v/>
      </c>
      <c r="F12582" s="94" t="inlineStr">
        <is>
          <t>카페24</t>
        </is>
      </c>
      <c r="G12582" s="94" t="inlineStr">
        <is>
          <t>어성초 77 포어 클리어 패드옵션=어성초77토너1개+어성초77패드1개-30% off (무료배송)</t>
        </is>
      </c>
      <c r="K12582" s="94" t="n">
        <v>24</v>
      </c>
      <c r="L12582" s="88" t="n">
        <v>201208</v>
      </c>
      <c r="M12582" s="88">
        <f>VLOOKUP($Q12582,매칭테이블!$F:$I,2,0)*K12582</f>
        <v/>
      </c>
      <c r="N12582" s="88">
        <f>M12582-M12582*VLOOKUP($Q12582,매칭테이블!$F:$I,3,0)</f>
        <v/>
      </c>
      <c r="O12582" s="88">
        <f>VLOOKUP($Q12582,매칭테이블!$F:$I,4,0)*K12582</f>
        <v/>
      </c>
      <c r="P12582" s="152">
        <f>M12582/1.1</f>
        <v/>
      </c>
      <c r="Q12582" s="88">
        <f>F12582&amp;E12582&amp;G12582&amp;L12582</f>
        <v/>
      </c>
    </row>
    <row r="12583">
      <c r="B12583" s="128" t="n">
        <v>44189</v>
      </c>
      <c r="C12583" s="88">
        <f>TEXT(B12583,"aaa")</f>
        <v/>
      </c>
      <c r="E12583" s="88">
        <f>INDEX(매칭테이블!C:D,MATCH(RD!G12583,매칭테이블!D:D,0),1)</f>
        <v/>
      </c>
      <c r="F12583" s="94" t="inlineStr">
        <is>
          <t>카페24</t>
        </is>
      </c>
      <c r="G12583" s="94" t="inlineStr">
        <is>
          <t>어성초 77% 패드옵션=어성초 77 클리어 패드 1개-20% off</t>
        </is>
      </c>
      <c r="K12583" s="94" t="n">
        <v>142</v>
      </c>
      <c r="L12583" s="88" t="n">
        <v>201208</v>
      </c>
      <c r="M12583" s="88">
        <f>VLOOKUP($Q12583,매칭테이블!$F:$I,2,0)*K12583</f>
        <v/>
      </c>
      <c r="N12583" s="88">
        <f>M12583-M12583*VLOOKUP($Q12583,매칭테이블!$F:$I,3,0)</f>
        <v/>
      </c>
      <c r="O12583" s="88">
        <f>VLOOKUP($Q12583,매칭테이블!$F:$I,4,0)*K12583</f>
        <v/>
      </c>
      <c r="P12583" s="152">
        <f>M12583/1.1</f>
        <v/>
      </c>
      <c r="Q12583" s="88">
        <f>F12583&amp;E12583&amp;G12583&amp;L12583</f>
        <v/>
      </c>
    </row>
    <row r="12584">
      <c r="B12584" s="128" t="n">
        <v>44189</v>
      </c>
      <c r="C12584" s="88">
        <f>TEXT(B12584,"aaa")</f>
        <v/>
      </c>
      <c r="E12584" s="88">
        <f>INDEX(매칭테이블!C:D,MATCH(RD!G12584,매칭테이블!D:D,0),1)</f>
        <v/>
      </c>
      <c r="F12584" s="94" t="inlineStr">
        <is>
          <t>카페24</t>
        </is>
      </c>
      <c r="G12584" s="94" t="inlineStr">
        <is>
          <t>어성초 77% 패드옵션=어성초 77 클리어 패드 2개-30% off (무료배송)</t>
        </is>
      </c>
      <c r="K12584" s="94" t="n">
        <v>149</v>
      </c>
      <c r="L12584" s="88" t="n">
        <v>201208</v>
      </c>
      <c r="M12584" s="88">
        <f>VLOOKUP($Q12584,매칭테이블!$F:$I,2,0)*K12584</f>
        <v/>
      </c>
      <c r="N12584" s="88">
        <f>M12584-M12584*VLOOKUP($Q12584,매칭테이블!$F:$I,3,0)</f>
        <v/>
      </c>
      <c r="O12584" s="88">
        <f>VLOOKUP($Q12584,매칭테이블!$F:$I,4,0)*K12584</f>
        <v/>
      </c>
      <c r="P12584" s="152">
        <f>M12584/1.1</f>
        <v/>
      </c>
      <c r="Q12584" s="88">
        <f>F12584&amp;E12584&amp;G12584&amp;L12584</f>
        <v/>
      </c>
    </row>
    <row r="12585">
      <c r="B12585" s="128" t="n">
        <v>44189</v>
      </c>
      <c r="C12585" s="88">
        <f>TEXT(B12585,"aaa")</f>
        <v/>
      </c>
      <c r="E12585" s="88">
        <f>INDEX(매칭테이블!C:D,MATCH(RD!G12585,매칭테이블!D:D,0),1)</f>
        <v/>
      </c>
      <c r="F12585" s="94" t="inlineStr">
        <is>
          <t>카페24</t>
        </is>
      </c>
      <c r="G12585" s="94" t="inlineStr">
        <is>
          <t>어성초 77% 패드옵션=어성초77토너1개+어성초77패드1개-30% off (무료배송)</t>
        </is>
      </c>
      <c r="K12585" s="94" t="n">
        <v>78</v>
      </c>
      <c r="L12585" s="88" t="n">
        <v>201208</v>
      </c>
      <c r="M12585" s="88">
        <f>VLOOKUP($Q12585,매칭테이블!$F:$I,2,0)*K12585</f>
        <v/>
      </c>
      <c r="N12585" s="88">
        <f>M12585-M12585*VLOOKUP($Q12585,매칭테이블!$F:$I,3,0)</f>
        <v/>
      </c>
      <c r="O12585" s="88">
        <f>VLOOKUP($Q12585,매칭테이블!$F:$I,4,0)*K12585</f>
        <v/>
      </c>
      <c r="P12585" s="152">
        <f>M12585/1.1</f>
        <v/>
      </c>
      <c r="Q12585" s="88">
        <f>F12585&amp;E12585&amp;G12585&amp;L12585</f>
        <v/>
      </c>
    </row>
    <row r="12586">
      <c r="B12586" s="128" t="n">
        <v>44189</v>
      </c>
      <c r="C12586" s="88">
        <f>TEXT(B12586,"aaa")</f>
        <v/>
      </c>
      <c r="E12586" s="88">
        <f>INDEX(매칭테이블!C:D,MATCH(RD!G12586,매칭테이블!D:D,0),1)</f>
        <v/>
      </c>
      <c r="F12586" s="94" t="inlineStr">
        <is>
          <t>카페24</t>
        </is>
      </c>
      <c r="G12586" s="94" t="inlineStr">
        <is>
          <t>어성초 78 수딩 크림</t>
        </is>
      </c>
      <c r="K12586" s="94" t="n">
        <v>11</v>
      </c>
      <c r="L12586" s="88" t="n">
        <v>201208</v>
      </c>
      <c r="M12586" s="88">
        <f>VLOOKUP($Q12586,매칭테이블!$F:$I,2,0)*K12586</f>
        <v/>
      </c>
      <c r="N12586" s="88">
        <f>M12586-M12586*VLOOKUP($Q12586,매칭테이블!$F:$I,3,0)</f>
        <v/>
      </c>
      <c r="O12586" s="88">
        <f>VLOOKUP($Q12586,매칭테이블!$F:$I,4,0)*K12586</f>
        <v/>
      </c>
      <c r="P12586" s="152">
        <f>M12586/1.1</f>
        <v/>
      </c>
      <c r="Q12586" s="88">
        <f>F12586&amp;E12586&amp;G12586&amp;L12586</f>
        <v/>
      </c>
    </row>
    <row r="12587">
      <c r="B12587" s="128" t="n">
        <v>44189</v>
      </c>
      <c r="C12587" s="88">
        <f>TEXT(B12587,"aaa")</f>
        <v/>
      </c>
      <c r="E12587" s="88">
        <f>INDEX(매칭테이블!C:D,MATCH(RD!G12587,매칭테이블!D:D,0),1)</f>
        <v/>
      </c>
      <c r="F12587" s="94" t="inlineStr">
        <is>
          <t>카페24</t>
        </is>
      </c>
      <c r="G12587" s="94" t="inlineStr">
        <is>
          <t>어성초 78 수딩 크림</t>
        </is>
      </c>
      <c r="K12587" s="94" t="n">
        <v>5</v>
      </c>
      <c r="L12587" s="88" t="n">
        <v>201208</v>
      </c>
      <c r="M12587" s="88">
        <f>VLOOKUP($Q12587,매칭테이블!$F:$I,2,0)*K12587</f>
        <v/>
      </c>
      <c r="N12587" s="88">
        <f>M12587-M12587*VLOOKUP($Q12587,매칭테이블!$F:$I,3,0)</f>
        <v/>
      </c>
      <c r="O12587" s="88">
        <f>VLOOKUP($Q12587,매칭테이블!$F:$I,4,0)*K12587</f>
        <v/>
      </c>
      <c r="P12587" s="152">
        <f>M12587/1.1</f>
        <v/>
      </c>
      <c r="Q12587" s="88">
        <f>F12587&amp;E12587&amp;G12587&amp;L12587</f>
        <v/>
      </c>
    </row>
    <row r="12588">
      <c r="B12588" s="128" t="n">
        <v>44189</v>
      </c>
      <c r="C12588" s="88">
        <f>TEXT(B12588,"aaa")</f>
        <v/>
      </c>
      <c r="E12588" s="88">
        <f>INDEX(매칭테이블!C:D,MATCH(RD!G12588,매칭테이블!D:D,0),1)</f>
        <v/>
      </c>
      <c r="F12588" s="94" t="inlineStr">
        <is>
          <t>카페24</t>
        </is>
      </c>
      <c r="G12588" s="94" t="inlineStr">
        <is>
          <t>어성초 80 수분 진정 앰플앰플=어성초 80 앰플 1개-15%off</t>
        </is>
      </c>
      <c r="K12588" s="94" t="n">
        <v>20</v>
      </c>
      <c r="L12588" s="88" t="n">
        <v>201208</v>
      </c>
      <c r="M12588" s="88">
        <f>VLOOKUP($Q12588,매칭테이블!$F:$I,2,0)*K12588</f>
        <v/>
      </c>
      <c r="N12588" s="88">
        <f>M12588-M12588*VLOOKUP($Q12588,매칭테이블!$F:$I,3,0)</f>
        <v/>
      </c>
      <c r="O12588" s="88">
        <f>VLOOKUP($Q12588,매칭테이블!$F:$I,4,0)*K12588</f>
        <v/>
      </c>
      <c r="P12588" s="152">
        <f>M12588/1.1</f>
        <v/>
      </c>
      <c r="Q12588" s="88">
        <f>F12588&amp;E12588&amp;G12588&amp;L12588</f>
        <v/>
      </c>
    </row>
    <row r="12589">
      <c r="B12589" s="128" t="n">
        <v>44189</v>
      </c>
      <c r="C12589" s="88">
        <f>TEXT(B12589,"aaa")</f>
        <v/>
      </c>
      <c r="E12589" s="88">
        <f>INDEX(매칭테이블!C:D,MATCH(RD!G12589,매칭테이블!D:D,0),1)</f>
        <v/>
      </c>
      <c r="F12589" s="94" t="inlineStr">
        <is>
          <t>카페24</t>
        </is>
      </c>
      <c r="G12589" s="94" t="inlineStr">
        <is>
          <t>어성초 80 수분 진정 앰플앰플=어성초 80 앰플 2개-27%off (무료배송)</t>
        </is>
      </c>
      <c r="K12589" s="94" t="n">
        <v>4</v>
      </c>
      <c r="L12589" s="88" t="n">
        <v>201208</v>
      </c>
      <c r="M12589" s="88">
        <f>VLOOKUP($Q12589,매칭테이블!$F:$I,2,0)*K12589</f>
        <v/>
      </c>
      <c r="N12589" s="88">
        <f>M12589-M12589*VLOOKUP($Q12589,매칭테이블!$F:$I,3,0)</f>
        <v/>
      </c>
      <c r="O12589" s="88">
        <f>VLOOKUP($Q12589,매칭테이블!$F:$I,4,0)*K12589</f>
        <v/>
      </c>
      <c r="P12589" s="152">
        <f>M12589/1.1</f>
        <v/>
      </c>
      <c r="Q12589" s="88">
        <f>F12589&amp;E12589&amp;G12589&amp;L12589</f>
        <v/>
      </c>
    </row>
    <row r="12590">
      <c r="B12590" s="128" t="n">
        <v>44189</v>
      </c>
      <c r="C12590" s="88">
        <f>TEXT(B12590,"aaa")</f>
        <v/>
      </c>
      <c r="E12590" s="88">
        <f>INDEX(매칭테이블!C:D,MATCH(RD!G12590,매칭테이블!D:D,0),1)</f>
        <v/>
      </c>
      <c r="F12590" s="94" t="inlineStr">
        <is>
          <t>카페24</t>
        </is>
      </c>
      <c r="G12590" s="94" t="inlineStr">
        <is>
          <t>어성초 80 수분 진정 앰플</t>
        </is>
      </c>
      <c r="K12590" s="94" t="n">
        <v>2</v>
      </c>
      <c r="L12590" s="88" t="n">
        <v>201208</v>
      </c>
      <c r="M12590" s="88">
        <f>VLOOKUP($Q12590,매칭테이블!$F:$I,2,0)*K12590</f>
        <v/>
      </c>
      <c r="N12590" s="88">
        <f>M12590-M12590*VLOOKUP($Q12590,매칭테이블!$F:$I,3,0)</f>
        <v/>
      </c>
      <c r="O12590" s="88">
        <f>VLOOKUP($Q12590,매칭테이블!$F:$I,4,0)*K12590</f>
        <v/>
      </c>
      <c r="P12590" s="152">
        <f>M12590/1.1</f>
        <v/>
      </c>
      <c r="Q12590" s="88">
        <f>F12590&amp;E12590&amp;G12590&amp;L12590</f>
        <v/>
      </c>
    </row>
    <row r="12591">
      <c r="B12591" s="128" t="n">
        <v>44189</v>
      </c>
      <c r="C12591" s="88">
        <f>TEXT(B12591,"aaa")</f>
        <v/>
      </c>
      <c r="E12591" s="88">
        <f>INDEX(매칭테이블!C:D,MATCH(RD!G12591,매칭테이블!D:D,0),1)</f>
        <v/>
      </c>
      <c r="F12591" s="94" t="inlineStr">
        <is>
          <t>카페24</t>
        </is>
      </c>
      <c r="G12591" s="94" t="inlineStr">
        <is>
          <t>어성초 아크네 바디워시옵션=어성초 아크네 바디워시 1개 -30% off</t>
        </is>
      </c>
      <c r="K12591" s="94" t="n">
        <v>5</v>
      </c>
      <c r="L12591" s="88" t="n">
        <v>201208</v>
      </c>
      <c r="M12591" s="88">
        <f>VLOOKUP($Q12591,매칭테이블!$F:$I,2,0)*K12591</f>
        <v/>
      </c>
      <c r="N12591" s="88">
        <f>M12591-M12591*VLOOKUP($Q12591,매칭테이블!$F:$I,3,0)</f>
        <v/>
      </c>
      <c r="O12591" s="88">
        <f>VLOOKUP($Q12591,매칭테이블!$F:$I,4,0)*K12591</f>
        <v/>
      </c>
      <c r="P12591" s="152">
        <f>M12591/1.1</f>
        <v/>
      </c>
      <c r="Q12591" s="88">
        <f>F12591&amp;E12591&amp;G12591&amp;L12591</f>
        <v/>
      </c>
    </row>
    <row r="12592">
      <c r="B12592" s="128" t="n">
        <v>44189</v>
      </c>
      <c r="C12592" s="88">
        <f>TEXT(B12592,"aaa")</f>
        <v/>
      </c>
      <c r="E12592" s="88">
        <f>INDEX(매칭테이블!C:D,MATCH(RD!G12592,매칭테이블!D:D,0),1)</f>
        <v/>
      </c>
      <c r="F12592" s="94" t="inlineStr">
        <is>
          <t>카페24</t>
        </is>
      </c>
      <c r="G12592" s="94" t="inlineStr">
        <is>
          <t>어성초 아크네 바디워시옵션=어성초 아크네 바디워시 2개 -35% off (무료배송)</t>
        </is>
      </c>
      <c r="K12592" s="94" t="n">
        <v>2</v>
      </c>
      <c r="L12592" s="88" t="n">
        <v>201208</v>
      </c>
      <c r="M12592" s="88">
        <f>VLOOKUP($Q12592,매칭테이블!$F:$I,2,0)*K12592</f>
        <v/>
      </c>
      <c r="N12592" s="88">
        <f>M12592-M12592*VLOOKUP($Q12592,매칭테이블!$F:$I,3,0)</f>
        <v/>
      </c>
      <c r="O12592" s="88">
        <f>VLOOKUP($Q12592,매칭테이블!$F:$I,4,0)*K12592</f>
        <v/>
      </c>
      <c r="P12592" s="152">
        <f>M12592/1.1</f>
        <v/>
      </c>
      <c r="Q12592" s="88">
        <f>F12592&amp;E12592&amp;G12592&amp;L12592</f>
        <v/>
      </c>
    </row>
    <row r="12593">
      <c r="B12593" s="128" t="n">
        <v>44189</v>
      </c>
      <c r="C12593" s="88">
        <f>TEXT(B12593,"aaa")</f>
        <v/>
      </c>
      <c r="E12593" s="88">
        <f>INDEX(매칭테이블!C:D,MATCH(RD!G12593,매칭테이블!D:D,0),1)</f>
        <v/>
      </c>
      <c r="F12593" s="94" t="inlineStr">
        <is>
          <t>카페24</t>
        </is>
      </c>
      <c r="G12593" s="94" t="inlineStr">
        <is>
          <t>어성초 약산성 클렌징폼클렌징폼=어성초 약산성 클렌징폼 1개 -19%off</t>
        </is>
      </c>
      <c r="K12593" s="94" t="n">
        <v>18</v>
      </c>
      <c r="L12593" s="88" t="n">
        <v>201208</v>
      </c>
      <c r="M12593" s="88">
        <f>VLOOKUP($Q12593,매칭테이블!$F:$I,2,0)*K12593</f>
        <v/>
      </c>
      <c r="N12593" s="88">
        <f>M12593-M12593*VLOOKUP($Q12593,매칭테이블!$F:$I,3,0)</f>
        <v/>
      </c>
      <c r="O12593" s="88">
        <f>VLOOKUP($Q12593,매칭테이블!$F:$I,4,0)*K12593</f>
        <v/>
      </c>
      <c r="P12593" s="152">
        <f>M12593/1.1</f>
        <v/>
      </c>
      <c r="Q12593" s="88">
        <f>F12593&amp;E12593&amp;G12593&amp;L12593</f>
        <v/>
      </c>
    </row>
    <row r="12594">
      <c r="B12594" s="128" t="n">
        <v>44189</v>
      </c>
      <c r="C12594" s="88">
        <f>TEXT(B12594,"aaa")</f>
        <v/>
      </c>
      <c r="E12594" s="88">
        <f>INDEX(매칭테이블!C:D,MATCH(RD!G12594,매칭테이블!D:D,0),1)</f>
        <v/>
      </c>
      <c r="F12594" s="94" t="inlineStr">
        <is>
          <t>카페24</t>
        </is>
      </c>
      <c r="G12594" s="94" t="inlineStr">
        <is>
          <t>어성초 약산성 클렌징폼클렌징폼=어성초 약산성 클렌징폼 2개 -25%off</t>
        </is>
      </c>
      <c r="K12594" s="94" t="n">
        <v>5</v>
      </c>
      <c r="L12594" s="88" t="n">
        <v>201208</v>
      </c>
      <c r="M12594" s="88">
        <f>VLOOKUP($Q12594,매칭테이블!$F:$I,2,0)*K12594</f>
        <v/>
      </c>
      <c r="N12594" s="88">
        <f>M12594-M12594*VLOOKUP($Q12594,매칭테이블!$F:$I,3,0)</f>
        <v/>
      </c>
      <c r="O12594" s="88">
        <f>VLOOKUP($Q12594,매칭테이블!$F:$I,4,0)*K12594</f>
        <v/>
      </c>
      <c r="P12594" s="152">
        <f>M12594/1.1</f>
        <v/>
      </c>
      <c r="Q12594" s="88">
        <f>F12594&amp;E12594&amp;G12594&amp;L12594</f>
        <v/>
      </c>
    </row>
    <row r="12595">
      <c r="B12595" s="128" t="n">
        <v>44189</v>
      </c>
      <c r="C12595" s="88">
        <f>TEXT(B12595,"aaa")</f>
        <v/>
      </c>
      <c r="E12595" s="88">
        <f>INDEX(매칭테이블!C:D,MATCH(RD!G12595,매칭테이블!D:D,0),1)</f>
        <v/>
      </c>
      <c r="F12595" s="94" t="inlineStr">
        <is>
          <t>카페24</t>
        </is>
      </c>
      <c r="G12595" s="94" t="inlineStr">
        <is>
          <t>어성초 약산성 클렌징폼클렌징폼=어성초 약산성 클렌징폼 3개 -31%off (무료배송)</t>
        </is>
      </c>
      <c r="K12595" s="94" t="n">
        <v>2</v>
      </c>
      <c r="L12595" s="88" t="n">
        <v>201208</v>
      </c>
      <c r="M12595" s="88">
        <f>VLOOKUP($Q12595,매칭테이블!$F:$I,2,0)*K12595</f>
        <v/>
      </c>
      <c r="N12595" s="88">
        <f>M12595-M12595*VLOOKUP($Q12595,매칭테이블!$F:$I,3,0)</f>
        <v/>
      </c>
      <c r="O12595" s="88">
        <f>VLOOKUP($Q12595,매칭테이블!$F:$I,4,0)*K12595</f>
        <v/>
      </c>
      <c r="P12595" s="152">
        <f>M12595/1.1</f>
        <v/>
      </c>
      <c r="Q12595" s="88">
        <f>F12595&amp;E12595&amp;G12595&amp;L12595</f>
        <v/>
      </c>
    </row>
    <row r="12596">
      <c r="B12596" s="128" t="n">
        <v>44189</v>
      </c>
      <c r="C12596" s="88">
        <f>TEXT(B12596,"aaa")</f>
        <v/>
      </c>
      <c r="E12596" s="88">
        <f>INDEX(매칭테이블!C:D,MATCH(RD!G12596,매칭테이블!D:D,0),1)</f>
        <v/>
      </c>
      <c r="F12596" s="94" t="inlineStr">
        <is>
          <t>카페24</t>
        </is>
      </c>
      <c r="G12596" s="94" t="inlineStr">
        <is>
          <t>어성초 약산성 클렌징폼</t>
        </is>
      </c>
      <c r="K12596" s="94" t="n">
        <v>1</v>
      </c>
      <c r="L12596" s="88" t="n">
        <v>201208</v>
      </c>
      <c r="M12596" s="88">
        <f>VLOOKUP($Q12596,매칭테이블!$F:$I,2,0)*K12596</f>
        <v/>
      </c>
      <c r="N12596" s="88">
        <f>M12596-M12596*VLOOKUP($Q12596,매칭테이블!$F:$I,3,0)</f>
        <v/>
      </c>
      <c r="O12596" s="88">
        <f>VLOOKUP($Q12596,매칭테이블!$F:$I,4,0)*K12596</f>
        <v/>
      </c>
      <c r="P12596" s="152">
        <f>M12596/1.1</f>
        <v/>
      </c>
      <c r="Q12596" s="88">
        <f>F12596&amp;E12596&amp;G12596&amp;L12596</f>
        <v/>
      </c>
    </row>
    <row r="12597">
      <c r="B12597" s="128" t="n">
        <v>44189</v>
      </c>
      <c r="C12597" s="88">
        <f>TEXT(B12597,"aaa")</f>
        <v/>
      </c>
      <c r="E12597" s="88">
        <f>INDEX(매칭테이블!C:D,MATCH(RD!G12597,매칭테이블!D:D,0),1)</f>
        <v/>
      </c>
      <c r="F12597" s="94" t="inlineStr">
        <is>
          <t>카페24</t>
        </is>
      </c>
      <c r="G12597" s="94" t="inlineStr">
        <is>
          <t>어성초 크림마스크 나이트 솔루션옵션=어성초 크림마스크 나이트 솔루션 1장</t>
        </is>
      </c>
      <c r="K12597" s="94" t="n">
        <v>2</v>
      </c>
      <c r="L12597" s="88" t="n">
        <v>201208</v>
      </c>
      <c r="M12597" s="88">
        <f>VLOOKUP($Q12597,매칭테이블!$F:$I,2,0)*K12597</f>
        <v/>
      </c>
      <c r="N12597" s="88">
        <f>M12597-M12597*VLOOKUP($Q12597,매칭테이블!$F:$I,3,0)</f>
        <v/>
      </c>
      <c r="O12597" s="88">
        <f>VLOOKUP($Q12597,매칭테이블!$F:$I,4,0)*K12597</f>
        <v/>
      </c>
      <c r="P12597" s="152">
        <f>M12597/1.1</f>
        <v/>
      </c>
      <c r="Q12597" s="88">
        <f>F12597&amp;E12597&amp;G12597&amp;L12597</f>
        <v/>
      </c>
    </row>
    <row r="12598">
      <c r="B12598" s="128" t="n">
        <v>44189</v>
      </c>
      <c r="C12598" s="88">
        <f>TEXT(B12598,"aaa")</f>
        <v/>
      </c>
      <c r="E12598" s="88">
        <f>INDEX(매칭테이블!C:D,MATCH(RD!G12598,매칭테이블!D:D,0),1)</f>
        <v/>
      </c>
      <c r="F12598" s="94" t="inlineStr">
        <is>
          <t>카페24</t>
        </is>
      </c>
      <c r="G12598" s="94" t="inlineStr">
        <is>
          <t>어성초 크림마스크 나이트 솔루션옵션=어성초 크림마스크 나이트 솔루션 10장 (-50%)</t>
        </is>
      </c>
      <c r="K12598" s="94" t="n">
        <v>4</v>
      </c>
      <c r="L12598" s="88" t="n">
        <v>201208</v>
      </c>
      <c r="M12598" s="88">
        <f>VLOOKUP($Q12598,매칭테이블!$F:$I,2,0)*K12598</f>
        <v/>
      </c>
      <c r="N12598" s="88">
        <f>M12598-M12598*VLOOKUP($Q12598,매칭테이블!$F:$I,3,0)</f>
        <v/>
      </c>
      <c r="O12598" s="88">
        <f>VLOOKUP($Q12598,매칭테이블!$F:$I,4,0)*K12598</f>
        <v/>
      </c>
      <c r="P12598" s="152">
        <f>M12598/1.1</f>
        <v/>
      </c>
      <c r="Q12598" s="88">
        <f>F12598&amp;E12598&amp;G12598&amp;L12598</f>
        <v/>
      </c>
    </row>
    <row r="12599">
      <c r="B12599" s="128" t="n">
        <v>44189</v>
      </c>
      <c r="C12599" s="88">
        <f>TEXT(B12599,"aaa")</f>
        <v/>
      </c>
      <c r="E12599" s="88">
        <f>INDEX(매칭테이블!C:D,MATCH(RD!G12599,매칭테이블!D:D,0),1)</f>
        <v/>
      </c>
      <c r="F12599" s="94" t="inlineStr">
        <is>
          <t>카페24</t>
        </is>
      </c>
      <c r="G12599" s="94" t="inlineStr">
        <is>
          <t>촉촉 스킨팩 화장솜</t>
        </is>
      </c>
      <c r="K12599" s="94" t="n">
        <v>25</v>
      </c>
      <c r="L12599" s="88" t="n">
        <v>201208</v>
      </c>
      <c r="M12599" s="88">
        <f>VLOOKUP($Q12599,매칭테이블!$F:$I,2,0)*K12599</f>
        <v/>
      </c>
      <c r="N12599" s="88">
        <f>M12599-M12599*VLOOKUP($Q12599,매칭테이블!$F:$I,3,0)</f>
        <v/>
      </c>
      <c r="O12599" s="88">
        <f>VLOOKUP($Q12599,매칭테이블!$F:$I,4,0)*K12599</f>
        <v/>
      </c>
      <c r="P12599" s="152">
        <f>M12599/1.1</f>
        <v/>
      </c>
      <c r="Q12599" s="88">
        <f>F12599&amp;E12599&amp;G12599&amp;L12599</f>
        <v/>
      </c>
    </row>
    <row r="12600">
      <c r="B12600" s="128" t="n">
        <v>44189</v>
      </c>
      <c r="C12600" s="88">
        <f>TEXT(B12600,"aaa")</f>
        <v/>
      </c>
      <c r="E12600" s="88">
        <f>INDEX(매칭테이블!C:D,MATCH(RD!G12600,매칭테이블!D:D,0),1)</f>
        <v/>
      </c>
      <c r="F12600" s="94" t="inlineStr">
        <is>
          <t>카페24</t>
        </is>
      </c>
      <c r="G12600" s="94" t="inlineStr">
        <is>
          <t>촉촉 스킨팩 화장솜</t>
        </is>
      </c>
      <c r="K12600" s="94" t="n">
        <v>2</v>
      </c>
      <c r="L12600" s="88" t="n">
        <v>201208</v>
      </c>
      <c r="M12600" s="88">
        <f>VLOOKUP($Q12600,매칭테이블!$F:$I,2,0)*K12600</f>
        <v/>
      </c>
      <c r="N12600" s="88">
        <f>M12600-M12600*VLOOKUP($Q12600,매칭테이블!$F:$I,3,0)</f>
        <v/>
      </c>
      <c r="O12600" s="88">
        <f>VLOOKUP($Q12600,매칭테이블!$F:$I,4,0)*K12600</f>
        <v/>
      </c>
      <c r="P12600" s="152">
        <f>M12600/1.1</f>
        <v/>
      </c>
      <c r="Q12600" s="88">
        <f>F12600&amp;E12600&amp;G12600&amp;L12600</f>
        <v/>
      </c>
    </row>
    <row r="12601">
      <c r="B12601" s="128" t="n">
        <v>44190</v>
      </c>
      <c r="C12601" s="88">
        <f>TEXT(B12601,"aaa")</f>
        <v/>
      </c>
      <c r="E12601" s="88">
        <f>INDEX(매칭테이블!C:D,MATCH(RD!G12601,매칭테이블!D:D,0),1)</f>
        <v/>
      </c>
      <c r="F12601" s="94" t="inlineStr">
        <is>
          <t>스타일쉐어</t>
        </is>
      </c>
      <c r="G12601" s="94" t="inlineStr">
        <is>
          <t>아누아 어성초 77 토너 250ml</t>
        </is>
      </c>
      <c r="K12601" s="94" t="n">
        <v>1</v>
      </c>
      <c r="L12601" s="88" t="n">
        <v>201208</v>
      </c>
      <c r="M12601" s="88">
        <f>VLOOKUP($Q12601,매칭테이블!$F:$I,2,0)*K12601</f>
        <v/>
      </c>
      <c r="N12601" s="88">
        <f>M12601-M12601*VLOOKUP($Q12601,매칭테이블!$F:$I,3,0)</f>
        <v/>
      </c>
      <c r="O12601" s="88">
        <f>VLOOKUP($Q12601,매칭테이블!$F:$I,4,0)*K12601</f>
        <v/>
      </c>
      <c r="P12601" s="152">
        <f>M12601/1.1</f>
        <v/>
      </c>
      <c r="Q12601" s="88">
        <f>F12601&amp;E12601&amp;G12601&amp;L12601</f>
        <v/>
      </c>
    </row>
    <row r="12602">
      <c r="B12602" s="128" t="n">
        <v>44190</v>
      </c>
      <c r="C12602" s="88">
        <f>TEXT(B12602,"aaa")</f>
        <v/>
      </c>
      <c r="E12602" s="88">
        <f>INDEX(매칭테이블!C:D,MATCH(RD!G12602,매칭테이블!D:D,0),1)</f>
        <v/>
      </c>
      <c r="F12602" s="94" t="inlineStr">
        <is>
          <t>카페24</t>
        </is>
      </c>
      <c r="G12602" s="94" t="inlineStr">
        <is>
          <t>5 제로 무기자차 선크림옵션=5제로 무기자차 선크림 1개-20% off</t>
        </is>
      </c>
      <c r="K12602" s="94" t="n">
        <v>5</v>
      </c>
      <c r="L12602" s="88" t="n">
        <v>201208</v>
      </c>
      <c r="M12602" s="88">
        <f>VLOOKUP($Q12602,매칭테이블!$F:$I,2,0)*K12602</f>
        <v/>
      </c>
      <c r="N12602" s="88">
        <f>M12602-M12602*VLOOKUP($Q12602,매칭테이블!$F:$I,3,0)</f>
        <v/>
      </c>
      <c r="O12602" s="88">
        <f>VLOOKUP($Q12602,매칭테이블!$F:$I,4,0)*K12602</f>
        <v/>
      </c>
      <c r="P12602" s="152">
        <f>M12602/1.1</f>
        <v/>
      </c>
      <c r="Q12602" s="88">
        <f>F12602&amp;E12602&amp;G12602&amp;L12602</f>
        <v/>
      </c>
    </row>
    <row r="12603">
      <c r="B12603" s="128" t="n">
        <v>44190</v>
      </c>
      <c r="C12603" s="88">
        <f>TEXT(B12603,"aaa")</f>
        <v/>
      </c>
      <c r="E12603" s="88">
        <f>INDEX(매칭테이블!C:D,MATCH(RD!G12603,매칭테이블!D:D,0),1)</f>
        <v/>
      </c>
      <c r="F12603" s="94" t="inlineStr">
        <is>
          <t>카페24</t>
        </is>
      </c>
      <c r="G12603" s="94" t="inlineStr">
        <is>
          <t>[수분 보충 세트] 어성초 77 토너 + 어성초 70 로션옵션=어성초 77 토너 250ml + 어성초 70 로션 200ml -30%</t>
        </is>
      </c>
      <c r="K12603" s="94" t="n">
        <v>61</v>
      </c>
      <c r="L12603" s="88" t="n">
        <v>201208</v>
      </c>
      <c r="M12603" s="88">
        <f>VLOOKUP($Q12603,매칭테이블!$F:$I,2,0)*K12603</f>
        <v/>
      </c>
      <c r="N12603" s="88">
        <f>M12603-M12603*VLOOKUP($Q12603,매칭테이블!$F:$I,3,0)</f>
        <v/>
      </c>
      <c r="O12603" s="88">
        <f>VLOOKUP($Q12603,매칭테이블!$F:$I,4,0)*K12603</f>
        <v/>
      </c>
      <c r="P12603" s="152">
        <f>M12603/1.1</f>
        <v/>
      </c>
      <c r="Q12603" s="88">
        <f>F12603&amp;E12603&amp;G12603&amp;L12603</f>
        <v/>
      </c>
    </row>
    <row r="12604">
      <c r="B12604" s="128" t="n">
        <v>44190</v>
      </c>
      <c r="C12604" s="88">
        <f>TEXT(B12604,"aaa")</f>
        <v/>
      </c>
      <c r="E12604" s="88">
        <f>INDEX(매칭테이블!C:D,MATCH(RD!G12604,매칭테이블!D:D,0),1)</f>
        <v/>
      </c>
      <c r="F12604" s="94" t="inlineStr">
        <is>
          <t>카페24</t>
        </is>
      </c>
      <c r="G12604" s="94" t="inlineStr">
        <is>
          <t>[어성초 진정 패키지 세트] 대용량 토너 + 앰플 + 수딩 크림 + 마스크팩 10장</t>
        </is>
      </c>
      <c r="K12604" s="94" t="n">
        <v>4</v>
      </c>
      <c r="L12604" s="88" t="n">
        <v>201208</v>
      </c>
      <c r="M12604" s="88">
        <f>VLOOKUP($Q12604,매칭테이블!$F:$I,2,0)*K12604</f>
        <v/>
      </c>
      <c r="N12604" s="88">
        <f>M12604-M12604*VLOOKUP($Q12604,매칭테이블!$F:$I,3,0)</f>
        <v/>
      </c>
      <c r="O12604" s="88">
        <f>VLOOKUP($Q12604,매칭테이블!$F:$I,4,0)*K12604</f>
        <v/>
      </c>
      <c r="P12604" s="152">
        <f>M12604/1.1</f>
        <v/>
      </c>
      <c r="Q12604" s="88">
        <f>F12604&amp;E12604&amp;G12604&amp;L12604</f>
        <v/>
      </c>
    </row>
    <row r="12605">
      <c r="B12605" s="128" t="n">
        <v>44190</v>
      </c>
      <c r="C12605" s="88">
        <f>TEXT(B12605,"aaa")</f>
        <v/>
      </c>
      <c r="E12605" s="88">
        <f>INDEX(매칭테이블!C:D,MATCH(RD!G12605,매칭테이블!D:D,0),1)</f>
        <v/>
      </c>
      <c r="F12605" s="94" t="inlineStr">
        <is>
          <t>카페24</t>
        </is>
      </c>
      <c r="G12605" s="94" t="inlineStr">
        <is>
          <t>대용량 어성초 77 수딩 토너 500ml</t>
        </is>
      </c>
      <c r="K12605" s="94" t="n">
        <v>29</v>
      </c>
      <c r="L12605" s="88" t="n">
        <v>201208</v>
      </c>
      <c r="M12605" s="88">
        <f>VLOOKUP($Q12605,매칭테이블!$F:$I,2,0)*K12605</f>
        <v/>
      </c>
      <c r="N12605" s="88">
        <f>M12605-M12605*VLOOKUP($Q12605,매칭테이블!$F:$I,3,0)</f>
        <v/>
      </c>
      <c r="O12605" s="88">
        <f>VLOOKUP($Q12605,매칭테이블!$F:$I,4,0)*K12605</f>
        <v/>
      </c>
      <c r="P12605" s="152">
        <f>M12605/1.1</f>
        <v/>
      </c>
      <c r="Q12605" s="88">
        <f>F12605&amp;E12605&amp;G12605&amp;L12605</f>
        <v/>
      </c>
    </row>
    <row r="12606">
      <c r="B12606" s="128" t="n">
        <v>44190</v>
      </c>
      <c r="C12606" s="88">
        <f>TEXT(B12606,"aaa")</f>
        <v/>
      </c>
      <c r="E12606" s="88">
        <f>INDEX(매칭테이블!C:D,MATCH(RD!G12606,매칭테이블!D:D,0),1)</f>
        <v/>
      </c>
      <c r="F12606" s="94" t="inlineStr">
        <is>
          <t>카페24</t>
        </is>
      </c>
      <c r="G12606" s="94" t="inlineStr">
        <is>
          <t>아누아 어성초 77 수딩 토너토너(필수)=어성초 77 토너 1개-20% off</t>
        </is>
      </c>
      <c r="K12606" s="94" t="n">
        <v>2</v>
      </c>
      <c r="L12606" s="88" t="n">
        <v>201208</v>
      </c>
      <c r="M12606" s="88">
        <f>VLOOKUP($Q12606,매칭테이블!$F:$I,2,0)*K12606</f>
        <v/>
      </c>
      <c r="N12606" s="88">
        <f>M12606-M12606*VLOOKUP($Q12606,매칭테이블!$F:$I,3,0)</f>
        <v/>
      </c>
      <c r="O12606" s="88">
        <f>VLOOKUP($Q12606,매칭테이블!$F:$I,4,0)*K12606</f>
        <v/>
      </c>
      <c r="P12606" s="152">
        <f>M12606/1.1</f>
        <v/>
      </c>
      <c r="Q12606" s="88">
        <f>F12606&amp;E12606&amp;G12606&amp;L12606</f>
        <v/>
      </c>
    </row>
    <row r="12607">
      <c r="B12607" s="128" t="n">
        <v>44190</v>
      </c>
      <c r="C12607" s="88">
        <f>TEXT(B12607,"aaa")</f>
        <v/>
      </c>
      <c r="E12607" s="88">
        <f>INDEX(매칭테이블!C:D,MATCH(RD!G12607,매칭테이블!D:D,0),1)</f>
        <v/>
      </c>
      <c r="F12607" s="94" t="inlineStr">
        <is>
          <t>카페24</t>
        </is>
      </c>
      <c r="G12607" s="94" t="inlineStr">
        <is>
          <t>아누아 어성초 77 수딩 토너토너(필수)=어성초 77 토너 2개-30% off (무료배송)</t>
        </is>
      </c>
      <c r="K12607" s="94" t="n">
        <v>1</v>
      </c>
      <c r="L12607" s="88" t="n">
        <v>201208</v>
      </c>
      <c r="M12607" s="88">
        <f>VLOOKUP($Q12607,매칭테이블!$F:$I,2,0)*K12607</f>
        <v/>
      </c>
      <c r="N12607" s="88">
        <f>M12607-M12607*VLOOKUP($Q12607,매칭테이블!$F:$I,3,0)</f>
        <v/>
      </c>
      <c r="O12607" s="88">
        <f>VLOOKUP($Q12607,매칭테이블!$F:$I,4,0)*K12607</f>
        <v/>
      </c>
      <c r="P12607" s="152">
        <f>M12607/1.1</f>
        <v/>
      </c>
      <c r="Q12607" s="88">
        <f>F12607&amp;E12607&amp;G12607&amp;L12607</f>
        <v/>
      </c>
    </row>
    <row r="12608">
      <c r="B12608" s="128" t="n">
        <v>44190</v>
      </c>
      <c r="C12608" s="88">
        <f>TEXT(B12608,"aaa")</f>
        <v/>
      </c>
      <c r="E12608" s="88">
        <f>INDEX(매칭테이블!C:D,MATCH(RD!G12608,매칭테이블!D:D,0),1)</f>
        <v/>
      </c>
      <c r="F12608" s="94" t="inlineStr">
        <is>
          <t>카페24</t>
        </is>
      </c>
      <c r="G12608" s="94" t="inlineStr">
        <is>
          <t>아누아 어성초 77 수딩 토너화장솜(선택)=촉촉 스킨팩 화장솜</t>
        </is>
      </c>
      <c r="K12608" s="94" t="n">
        <v>2</v>
      </c>
      <c r="L12608" s="88" t="n">
        <v>201208</v>
      </c>
      <c r="M12608" s="88">
        <f>VLOOKUP($Q12608,매칭테이블!$F:$I,2,0)*K12608</f>
        <v/>
      </c>
      <c r="N12608" s="88">
        <f>M12608-M12608*VLOOKUP($Q12608,매칭테이블!$F:$I,3,0)</f>
        <v/>
      </c>
      <c r="O12608" s="88">
        <f>VLOOKUP($Q12608,매칭테이블!$F:$I,4,0)*K12608</f>
        <v/>
      </c>
      <c r="P12608" s="152">
        <f>M12608/1.1</f>
        <v/>
      </c>
      <c r="Q12608" s="88">
        <f>F12608&amp;E12608&amp;G12608&amp;L12608</f>
        <v/>
      </c>
    </row>
    <row r="12609">
      <c r="B12609" s="128" t="n">
        <v>44190</v>
      </c>
      <c r="C12609" s="88">
        <f>TEXT(B12609,"aaa")</f>
        <v/>
      </c>
      <c r="E12609" s="88">
        <f>INDEX(매칭테이블!C:D,MATCH(RD!G12609,매칭테이블!D:D,0),1)</f>
        <v/>
      </c>
      <c r="F12609" s="94" t="inlineStr">
        <is>
          <t>카페24</t>
        </is>
      </c>
      <c r="G12609" s="94" t="inlineStr">
        <is>
          <t>어성초 70 데일리 릴리프 로션로션=어성초 70 데일리 릴리프 로션 1개 -20% off</t>
        </is>
      </c>
      <c r="K12609" s="94" t="n">
        <v>14</v>
      </c>
      <c r="L12609" s="88" t="n">
        <v>201208</v>
      </c>
      <c r="M12609" s="88">
        <f>VLOOKUP($Q12609,매칭테이블!$F:$I,2,0)*K12609</f>
        <v/>
      </c>
      <c r="N12609" s="88">
        <f>M12609-M12609*VLOOKUP($Q12609,매칭테이블!$F:$I,3,0)</f>
        <v/>
      </c>
      <c r="O12609" s="88">
        <f>VLOOKUP($Q12609,매칭테이블!$F:$I,4,0)*K12609</f>
        <v/>
      </c>
      <c r="P12609" s="152">
        <f>M12609/1.1</f>
        <v/>
      </c>
      <c r="Q12609" s="88">
        <f>F12609&amp;E12609&amp;G12609&amp;L12609</f>
        <v/>
      </c>
    </row>
    <row r="12610">
      <c r="B12610" s="128" t="n">
        <v>44190</v>
      </c>
      <c r="C12610" s="88">
        <f>TEXT(B12610,"aaa")</f>
        <v/>
      </c>
      <c r="E12610" s="88">
        <f>INDEX(매칭테이블!C:D,MATCH(RD!G12610,매칭테이블!D:D,0),1)</f>
        <v/>
      </c>
      <c r="F12610" s="94" t="inlineStr">
        <is>
          <t>카페24</t>
        </is>
      </c>
      <c r="G12610" s="94" t="inlineStr">
        <is>
          <t>어성초 70 데일리 릴리프 로션로션=어성초 70 데일리 릴리프 로션 2개 -30% off</t>
        </is>
      </c>
      <c r="K12610" s="94" t="n">
        <v>3</v>
      </c>
      <c r="L12610" s="88" t="n">
        <v>201208</v>
      </c>
      <c r="M12610" s="88">
        <f>VLOOKUP($Q12610,매칭테이블!$F:$I,2,0)*K12610</f>
        <v/>
      </c>
      <c r="N12610" s="88">
        <f>M12610-M12610*VLOOKUP($Q12610,매칭테이블!$F:$I,3,0)</f>
        <v/>
      </c>
      <c r="O12610" s="88">
        <f>VLOOKUP($Q12610,매칭테이블!$F:$I,4,0)*K12610</f>
        <v/>
      </c>
      <c r="P12610" s="152">
        <f>M12610/1.1</f>
        <v/>
      </c>
      <c r="Q12610" s="88">
        <f>F12610&amp;E12610&amp;G12610&amp;L12610</f>
        <v/>
      </c>
    </row>
    <row r="12611">
      <c r="B12611" s="128" t="n">
        <v>44190</v>
      </c>
      <c r="C12611" s="88">
        <f>TEXT(B12611,"aaa")</f>
        <v/>
      </c>
      <c r="E12611" s="88">
        <f>INDEX(매칭테이블!C:D,MATCH(RD!G12611,매칭테이블!D:D,0),1)</f>
        <v/>
      </c>
      <c r="F12611" s="94" t="inlineStr">
        <is>
          <t>카페24</t>
        </is>
      </c>
      <c r="G12611" s="94" t="inlineStr">
        <is>
          <t>어성초 70 데일리 릴리프 로션로션=어성초 77토너 + 어성초 70 로션 수분 보충 세트 -30% off</t>
        </is>
      </c>
      <c r="K12611" s="94" t="n">
        <v>3</v>
      </c>
      <c r="L12611" s="88" t="n">
        <v>201208</v>
      </c>
      <c r="M12611" s="88">
        <f>VLOOKUP($Q12611,매칭테이블!$F:$I,2,0)*K12611</f>
        <v/>
      </c>
      <c r="N12611" s="88">
        <f>M12611-M12611*VLOOKUP($Q12611,매칭테이블!$F:$I,3,0)</f>
        <v/>
      </c>
      <c r="O12611" s="88">
        <f>VLOOKUP($Q12611,매칭테이블!$F:$I,4,0)*K12611</f>
        <v/>
      </c>
      <c r="P12611" s="152">
        <f>M12611/1.1</f>
        <v/>
      </c>
      <c r="Q12611" s="88">
        <f>F12611&amp;E12611&amp;G12611&amp;L12611</f>
        <v/>
      </c>
    </row>
    <row r="12612">
      <c r="B12612" s="128" t="n">
        <v>44190</v>
      </c>
      <c r="C12612" s="88">
        <f>TEXT(B12612,"aaa")</f>
        <v/>
      </c>
      <c r="E12612" s="88">
        <f>INDEX(매칭테이블!C:D,MATCH(RD!G12612,매칭테이블!D:D,0),1)</f>
        <v/>
      </c>
      <c r="F12612" s="94" t="inlineStr">
        <is>
          <t>카페24</t>
        </is>
      </c>
      <c r="G12612" s="94" t="inlineStr">
        <is>
          <t>어성초 70 머드 크림 마스크옵션=어성초 70 머드 크림 마스크-20% off</t>
        </is>
      </c>
      <c r="K12612" s="94" t="n">
        <v>4</v>
      </c>
      <c r="L12612" s="88" t="n">
        <v>201208</v>
      </c>
      <c r="M12612" s="88">
        <f>VLOOKUP($Q12612,매칭테이블!$F:$I,2,0)*K12612</f>
        <v/>
      </c>
      <c r="N12612" s="88">
        <f>M12612-M12612*VLOOKUP($Q12612,매칭테이블!$F:$I,3,0)</f>
        <v/>
      </c>
      <c r="O12612" s="88">
        <f>VLOOKUP($Q12612,매칭테이블!$F:$I,4,0)*K12612</f>
        <v/>
      </c>
      <c r="P12612" s="152">
        <f>M12612/1.1</f>
        <v/>
      </c>
      <c r="Q12612" s="88">
        <f>F12612&amp;E12612&amp;G12612&amp;L12612</f>
        <v/>
      </c>
    </row>
    <row r="12613">
      <c r="B12613" s="128" t="n">
        <v>44190</v>
      </c>
      <c r="C12613" s="88">
        <f>TEXT(B12613,"aaa")</f>
        <v/>
      </c>
      <c r="E12613" s="88">
        <f>INDEX(매칭테이블!C:D,MATCH(RD!G12613,매칭테이블!D:D,0),1)</f>
        <v/>
      </c>
      <c r="F12613" s="94" t="inlineStr">
        <is>
          <t>카페24</t>
        </is>
      </c>
      <c r="G12613" s="94" t="inlineStr">
        <is>
          <t>어성초 70 머드 크림 마스크옵션=어성초 70 머드 크림 마스크 2개-30% off (무료배송)</t>
        </is>
      </c>
      <c r="K12613" s="94" t="n">
        <v>2</v>
      </c>
      <c r="L12613" s="88" t="n">
        <v>201208</v>
      </c>
      <c r="M12613" s="88">
        <f>VLOOKUP($Q12613,매칭테이블!$F:$I,2,0)*K12613</f>
        <v/>
      </c>
      <c r="N12613" s="88">
        <f>M12613-M12613*VLOOKUP($Q12613,매칭테이블!$F:$I,3,0)</f>
        <v/>
      </c>
      <c r="O12613" s="88">
        <f>VLOOKUP($Q12613,매칭테이블!$F:$I,4,0)*K12613</f>
        <v/>
      </c>
      <c r="P12613" s="152">
        <f>M12613/1.1</f>
        <v/>
      </c>
      <c r="Q12613" s="88">
        <f>F12613&amp;E12613&amp;G12613&amp;L12613</f>
        <v/>
      </c>
    </row>
    <row r="12614">
      <c r="B12614" s="128" t="n">
        <v>44190</v>
      </c>
      <c r="C12614" s="88">
        <f>TEXT(B12614,"aaa")</f>
        <v/>
      </c>
      <c r="E12614" s="88">
        <f>INDEX(매칭테이블!C:D,MATCH(RD!G12614,매칭테이블!D:D,0),1)</f>
        <v/>
      </c>
      <c r="F12614" s="94" t="inlineStr">
        <is>
          <t>카페24</t>
        </is>
      </c>
      <c r="G12614" s="94" t="inlineStr">
        <is>
          <t>어성초 70 인텐스 카밍 크림크림=어성초 70 인텐스 카밍 크림 1개 (-20%)</t>
        </is>
      </c>
      <c r="K12614" s="94" t="n">
        <v>3</v>
      </c>
      <c r="L12614" s="88" t="n">
        <v>201208</v>
      </c>
      <c r="M12614" s="88">
        <f>VLOOKUP($Q12614,매칭테이블!$F:$I,2,0)*K12614</f>
        <v/>
      </c>
      <c r="N12614" s="88">
        <f>M12614-M12614*VLOOKUP($Q12614,매칭테이블!$F:$I,3,0)</f>
        <v/>
      </c>
      <c r="O12614" s="88">
        <f>VLOOKUP($Q12614,매칭테이블!$F:$I,4,0)*K12614</f>
        <v/>
      </c>
      <c r="P12614" s="152">
        <f>M12614/1.1</f>
        <v/>
      </c>
      <c r="Q12614" s="88">
        <f>F12614&amp;E12614&amp;G12614&amp;L12614</f>
        <v/>
      </c>
    </row>
    <row r="12615">
      <c r="B12615" s="128" t="n">
        <v>44190</v>
      </c>
      <c r="C12615" s="88">
        <f>TEXT(B12615,"aaa")</f>
        <v/>
      </c>
      <c r="E12615" s="88">
        <f>INDEX(매칭테이블!C:D,MATCH(RD!G12615,매칭테이블!D:D,0),1)</f>
        <v/>
      </c>
      <c r="F12615" s="94" t="inlineStr">
        <is>
          <t>카페24</t>
        </is>
      </c>
      <c r="G12615" s="94" t="inlineStr">
        <is>
          <t>어성초 77 수딩 토너토너(필수)=어성초 77 토너 1개-20% off</t>
        </is>
      </c>
      <c r="K12615" s="94" t="n">
        <v>104</v>
      </c>
      <c r="L12615" s="88" t="n">
        <v>201208</v>
      </c>
      <c r="M12615" s="88">
        <f>VLOOKUP($Q12615,매칭테이블!$F:$I,2,0)*K12615</f>
        <v/>
      </c>
      <c r="N12615" s="88">
        <f>M12615-M12615*VLOOKUP($Q12615,매칭테이블!$F:$I,3,0)</f>
        <v/>
      </c>
      <c r="O12615" s="88">
        <f>VLOOKUP($Q12615,매칭테이블!$F:$I,4,0)*K12615</f>
        <v/>
      </c>
      <c r="P12615" s="152">
        <f>M12615/1.1</f>
        <v/>
      </c>
      <c r="Q12615" s="88">
        <f>F12615&amp;E12615&amp;G12615&amp;L12615</f>
        <v/>
      </c>
    </row>
    <row r="12616">
      <c r="B12616" s="128" t="n">
        <v>44190</v>
      </c>
      <c r="C12616" s="88">
        <f>TEXT(B12616,"aaa")</f>
        <v/>
      </c>
      <c r="E12616" s="88">
        <f>INDEX(매칭테이블!C:D,MATCH(RD!G12616,매칭테이블!D:D,0),1)</f>
        <v/>
      </c>
      <c r="F12616" s="94" t="inlineStr">
        <is>
          <t>카페24</t>
        </is>
      </c>
      <c r="G12616" s="94" t="inlineStr">
        <is>
          <t>어성초 77 수딩 토너토너(필수)=어성초 77 토너 2개-30% off (무료배송)</t>
        </is>
      </c>
      <c r="K12616" s="94" t="n">
        <v>67</v>
      </c>
      <c r="L12616" s="88" t="n">
        <v>201208</v>
      </c>
      <c r="M12616" s="88">
        <f>VLOOKUP($Q12616,매칭테이블!$F:$I,2,0)*K12616</f>
        <v/>
      </c>
      <c r="N12616" s="88">
        <f>M12616-M12616*VLOOKUP($Q12616,매칭테이블!$F:$I,3,0)</f>
        <v/>
      </c>
      <c r="O12616" s="88">
        <f>VLOOKUP($Q12616,매칭테이블!$F:$I,4,0)*K12616</f>
        <v/>
      </c>
      <c r="P12616" s="152">
        <f>M12616/1.1</f>
        <v/>
      </c>
      <c r="Q12616" s="88">
        <f>F12616&amp;E12616&amp;G12616&amp;L12616</f>
        <v/>
      </c>
    </row>
    <row r="12617">
      <c r="B12617" s="128" t="n">
        <v>44190</v>
      </c>
      <c r="C12617" s="88">
        <f>TEXT(B12617,"aaa")</f>
        <v/>
      </c>
      <c r="E12617" s="88">
        <f>INDEX(매칭테이블!C:D,MATCH(RD!G12617,매칭테이블!D:D,0),1)</f>
        <v/>
      </c>
      <c r="F12617" s="94" t="inlineStr">
        <is>
          <t>카페24</t>
        </is>
      </c>
      <c r="G12617" s="94" t="inlineStr">
        <is>
          <t>어성초 77 수딩 토너토너(필수)=어성초77토너1개 + 어성초77패드1개 -30% off (무료배송)</t>
        </is>
      </c>
      <c r="K12617" s="94" t="n">
        <v>76</v>
      </c>
      <c r="L12617" s="88" t="n">
        <v>201208</v>
      </c>
      <c r="M12617" s="88">
        <f>VLOOKUP($Q12617,매칭테이블!$F:$I,2,0)*K12617</f>
        <v/>
      </c>
      <c r="N12617" s="88">
        <f>M12617-M12617*VLOOKUP($Q12617,매칭테이블!$F:$I,3,0)</f>
        <v/>
      </c>
      <c r="O12617" s="88">
        <f>VLOOKUP($Q12617,매칭테이블!$F:$I,4,0)*K12617</f>
        <v/>
      </c>
      <c r="P12617" s="152">
        <f>M12617/1.1</f>
        <v/>
      </c>
      <c r="Q12617" s="88">
        <f>F12617&amp;E12617&amp;G12617&amp;L12617</f>
        <v/>
      </c>
    </row>
    <row r="12618">
      <c r="B12618" s="128" t="n">
        <v>44190</v>
      </c>
      <c r="C12618" s="88">
        <f>TEXT(B12618,"aaa")</f>
        <v/>
      </c>
      <c r="E12618" s="88">
        <f>INDEX(매칭테이블!C:D,MATCH(RD!G12618,매칭테이블!D:D,0),1)</f>
        <v/>
      </c>
      <c r="F12618" s="94" t="inlineStr">
        <is>
          <t>카페24</t>
        </is>
      </c>
      <c r="G12618" s="94" t="inlineStr">
        <is>
          <t>어성초 77 수딩 토너화장솜(선택)=촉촉 스킨팩 화장솜</t>
        </is>
      </c>
      <c r="K12618" s="94" t="n">
        <v>92</v>
      </c>
      <c r="L12618" s="88" t="n">
        <v>201208</v>
      </c>
      <c r="M12618" s="88">
        <f>VLOOKUP($Q12618,매칭테이블!$F:$I,2,0)*K12618</f>
        <v/>
      </c>
      <c r="N12618" s="88">
        <f>M12618-M12618*VLOOKUP($Q12618,매칭테이블!$F:$I,3,0)</f>
        <v/>
      </c>
      <c r="O12618" s="88">
        <f>VLOOKUP($Q12618,매칭테이블!$F:$I,4,0)*K12618</f>
        <v/>
      </c>
      <c r="P12618" s="152">
        <f>M12618/1.1</f>
        <v/>
      </c>
      <c r="Q12618" s="88">
        <f>F12618&amp;E12618&amp;G12618&amp;L12618</f>
        <v/>
      </c>
    </row>
    <row r="12619">
      <c r="B12619" s="128" t="n">
        <v>44190</v>
      </c>
      <c r="C12619" s="88">
        <f>TEXT(B12619,"aaa")</f>
        <v/>
      </c>
      <c r="E12619" s="88">
        <f>INDEX(매칭테이블!C:D,MATCH(RD!G12619,매칭테이블!D:D,0),1)</f>
        <v/>
      </c>
      <c r="F12619" s="94" t="inlineStr">
        <is>
          <t>카페24</t>
        </is>
      </c>
      <c r="G12619" s="94" t="inlineStr">
        <is>
          <t>어성초 77 수딩 토너토너(필수)=(대용량) 어성초 77 토너 500ml (무료배송)</t>
        </is>
      </c>
      <c r="K12619" s="94" t="n">
        <v>1</v>
      </c>
      <c r="L12619" s="88" t="n">
        <v>201208</v>
      </c>
      <c r="M12619" s="88">
        <f>VLOOKUP($Q12619,매칭테이블!$F:$I,2,0)*K12619</f>
        <v/>
      </c>
      <c r="N12619" s="88">
        <f>M12619-M12619*VLOOKUP($Q12619,매칭테이블!$F:$I,3,0)</f>
        <v/>
      </c>
      <c r="O12619" s="88">
        <f>VLOOKUP($Q12619,매칭테이블!$F:$I,4,0)*K12619</f>
        <v/>
      </c>
      <c r="P12619" s="152">
        <f>M12619/1.1</f>
        <v/>
      </c>
      <c r="Q12619" s="88">
        <f>F12619&amp;E12619&amp;G12619&amp;L12619</f>
        <v/>
      </c>
    </row>
    <row r="12620">
      <c r="B12620" s="128" t="n">
        <v>44190</v>
      </c>
      <c r="C12620" s="88">
        <f>TEXT(B12620,"aaa")</f>
        <v/>
      </c>
      <c r="E12620" s="88">
        <f>INDEX(매칭테이블!C:D,MATCH(RD!G12620,매칭테이블!D:D,0),1)</f>
        <v/>
      </c>
      <c r="F12620" s="94" t="inlineStr">
        <is>
          <t>카페24</t>
        </is>
      </c>
      <c r="G12620" s="94" t="inlineStr">
        <is>
          <t>어성초 77 진정 마스크옵션=어성초 77 진정 마스크팩 1장</t>
        </is>
      </c>
      <c r="K12620" s="94" t="n">
        <v>2</v>
      </c>
      <c r="L12620" s="88" t="n">
        <v>201208</v>
      </c>
      <c r="M12620" s="88">
        <f>VLOOKUP($Q12620,매칭테이블!$F:$I,2,0)*K12620</f>
        <v/>
      </c>
      <c r="N12620" s="88">
        <f>M12620-M12620*VLOOKUP($Q12620,매칭테이블!$F:$I,3,0)</f>
        <v/>
      </c>
      <c r="O12620" s="88">
        <f>VLOOKUP($Q12620,매칭테이블!$F:$I,4,0)*K12620</f>
        <v/>
      </c>
      <c r="P12620" s="152">
        <f>M12620/1.1</f>
        <v/>
      </c>
      <c r="Q12620" s="88">
        <f>F12620&amp;E12620&amp;G12620&amp;L12620</f>
        <v/>
      </c>
    </row>
    <row r="12621">
      <c r="B12621" s="128" t="n">
        <v>44190</v>
      </c>
      <c r="C12621" s="88">
        <f>TEXT(B12621,"aaa")</f>
        <v/>
      </c>
      <c r="E12621" s="88">
        <f>INDEX(매칭테이블!C:D,MATCH(RD!G12621,매칭테이블!D:D,0),1)</f>
        <v/>
      </c>
      <c r="F12621" s="94" t="inlineStr">
        <is>
          <t>카페24</t>
        </is>
      </c>
      <c r="G12621" s="94" t="inlineStr">
        <is>
          <t>어성초 77 진정 마스크옵션=어성초 77 진정 마스크팩 10장-50% off</t>
        </is>
      </c>
      <c r="K12621" s="94" t="n">
        <v>12</v>
      </c>
      <c r="L12621" s="88" t="n">
        <v>201208</v>
      </c>
      <c r="M12621" s="88">
        <f>VLOOKUP($Q12621,매칭테이블!$F:$I,2,0)*K12621</f>
        <v/>
      </c>
      <c r="N12621" s="88">
        <f>M12621-M12621*VLOOKUP($Q12621,매칭테이블!$F:$I,3,0)</f>
        <v/>
      </c>
      <c r="O12621" s="88">
        <f>VLOOKUP($Q12621,매칭테이블!$F:$I,4,0)*K12621</f>
        <v/>
      </c>
      <c r="P12621" s="152">
        <f>M12621/1.1</f>
        <v/>
      </c>
      <c r="Q12621" s="88">
        <f>F12621&amp;E12621&amp;G12621&amp;L12621</f>
        <v/>
      </c>
    </row>
    <row r="12622">
      <c r="B12622" s="128" t="n">
        <v>44190</v>
      </c>
      <c r="C12622" s="88">
        <f>TEXT(B12622,"aaa")</f>
        <v/>
      </c>
      <c r="E12622" s="88">
        <f>INDEX(매칭테이블!C:D,MATCH(RD!G12622,매칭테이블!D:D,0),1)</f>
        <v/>
      </c>
      <c r="F12622" s="94" t="inlineStr">
        <is>
          <t>카페24</t>
        </is>
      </c>
      <c r="G12622" s="94" t="inlineStr">
        <is>
          <t>어성초 77 진정 마스크</t>
        </is>
      </c>
      <c r="K12622" s="94" t="n">
        <v>1</v>
      </c>
      <c r="L12622" s="88" t="n">
        <v>201208</v>
      </c>
      <c r="M12622" s="88">
        <f>VLOOKUP($Q12622,매칭테이블!$F:$I,2,0)*K12622</f>
        <v/>
      </c>
      <c r="N12622" s="88">
        <f>M12622-M12622*VLOOKUP($Q12622,매칭테이블!$F:$I,3,0)</f>
        <v/>
      </c>
      <c r="O12622" s="88">
        <f>VLOOKUP($Q12622,매칭테이블!$F:$I,4,0)*K12622</f>
        <v/>
      </c>
      <c r="P12622" s="152">
        <f>M12622/1.1</f>
        <v/>
      </c>
      <c r="Q12622" s="88">
        <f>F12622&amp;E12622&amp;G12622&amp;L12622</f>
        <v/>
      </c>
    </row>
    <row r="12623">
      <c r="B12623" s="128" t="n">
        <v>44190</v>
      </c>
      <c r="C12623" s="88">
        <f>TEXT(B12623,"aaa")</f>
        <v/>
      </c>
      <c r="E12623" s="88">
        <f>INDEX(매칭테이블!C:D,MATCH(RD!G12623,매칭테이블!D:D,0),1)</f>
        <v/>
      </c>
      <c r="F12623" s="94" t="inlineStr">
        <is>
          <t>카페24</t>
        </is>
      </c>
      <c r="G12623" s="94" t="inlineStr">
        <is>
          <t>어성초 77 클리어 패드옵션=어성초 77 클리어 패드 1개-20% off</t>
        </is>
      </c>
      <c r="K12623" s="94" t="n">
        <v>56</v>
      </c>
      <c r="L12623" s="88" t="n">
        <v>201208</v>
      </c>
      <c r="M12623" s="88">
        <f>VLOOKUP($Q12623,매칭테이블!$F:$I,2,0)*K12623</f>
        <v/>
      </c>
      <c r="N12623" s="88">
        <f>M12623-M12623*VLOOKUP($Q12623,매칭테이블!$F:$I,3,0)</f>
        <v/>
      </c>
      <c r="O12623" s="88">
        <f>VLOOKUP($Q12623,매칭테이블!$F:$I,4,0)*K12623</f>
        <v/>
      </c>
      <c r="P12623" s="152">
        <f>M12623/1.1</f>
        <v/>
      </c>
      <c r="Q12623" s="88">
        <f>F12623&amp;E12623&amp;G12623&amp;L12623</f>
        <v/>
      </c>
    </row>
    <row r="12624">
      <c r="B12624" s="128" t="n">
        <v>44190</v>
      </c>
      <c r="C12624" s="88">
        <f>TEXT(B12624,"aaa")</f>
        <v/>
      </c>
      <c r="E12624" s="88">
        <f>INDEX(매칭테이블!C:D,MATCH(RD!G12624,매칭테이블!D:D,0),1)</f>
        <v/>
      </c>
      <c r="F12624" s="94" t="inlineStr">
        <is>
          <t>카페24</t>
        </is>
      </c>
      <c r="G12624" s="94" t="inlineStr">
        <is>
          <t>어성초 77 클리어 패드옵션=어성초 77 클리어 패드 2개-30% off (무료배송)</t>
        </is>
      </c>
      <c r="K12624" s="94" t="n">
        <v>98</v>
      </c>
      <c r="L12624" s="88" t="n">
        <v>201208</v>
      </c>
      <c r="M12624" s="88">
        <f>VLOOKUP($Q12624,매칭테이블!$F:$I,2,0)*K12624</f>
        <v/>
      </c>
      <c r="N12624" s="88">
        <f>M12624-M12624*VLOOKUP($Q12624,매칭테이블!$F:$I,3,0)</f>
        <v/>
      </c>
      <c r="O12624" s="88">
        <f>VLOOKUP($Q12624,매칭테이블!$F:$I,4,0)*K12624</f>
        <v/>
      </c>
      <c r="P12624" s="152">
        <f>M12624/1.1</f>
        <v/>
      </c>
      <c r="Q12624" s="88">
        <f>F12624&amp;E12624&amp;G12624&amp;L12624</f>
        <v/>
      </c>
    </row>
    <row r="12625">
      <c r="B12625" s="128" t="n">
        <v>44190</v>
      </c>
      <c r="C12625" s="88">
        <f>TEXT(B12625,"aaa")</f>
        <v/>
      </c>
      <c r="E12625" s="88">
        <f>INDEX(매칭테이블!C:D,MATCH(RD!G12625,매칭테이블!D:D,0),1)</f>
        <v/>
      </c>
      <c r="F12625" s="94" t="inlineStr">
        <is>
          <t>카페24</t>
        </is>
      </c>
      <c r="G12625" s="94" t="inlineStr">
        <is>
          <t>어성초 77 클리어 패드옵션=어성초77토너1개+어성초77패드1개-30% off (무료배송)</t>
        </is>
      </c>
      <c r="K12625" s="94" t="n">
        <v>66</v>
      </c>
      <c r="L12625" s="88" t="n">
        <v>201208</v>
      </c>
      <c r="M12625" s="88">
        <f>VLOOKUP($Q12625,매칭테이블!$F:$I,2,0)*K12625</f>
        <v/>
      </c>
      <c r="N12625" s="88">
        <f>M12625-M12625*VLOOKUP($Q12625,매칭테이블!$F:$I,3,0)</f>
        <v/>
      </c>
      <c r="O12625" s="88">
        <f>VLOOKUP($Q12625,매칭테이블!$F:$I,4,0)*K12625</f>
        <v/>
      </c>
      <c r="P12625" s="152">
        <f>M12625/1.1</f>
        <v/>
      </c>
      <c r="Q12625" s="88">
        <f>F12625&amp;E12625&amp;G12625&amp;L12625</f>
        <v/>
      </c>
    </row>
    <row r="12626">
      <c r="B12626" s="128" t="n">
        <v>44190</v>
      </c>
      <c r="C12626" s="88">
        <f>TEXT(B12626,"aaa")</f>
        <v/>
      </c>
      <c r="E12626" s="88">
        <f>INDEX(매칭테이블!C:D,MATCH(RD!G12626,매칭테이블!D:D,0),1)</f>
        <v/>
      </c>
      <c r="F12626" s="94" t="inlineStr">
        <is>
          <t>카페24</t>
        </is>
      </c>
      <c r="G12626" s="94" t="inlineStr">
        <is>
          <t>어성초 77 토너</t>
        </is>
      </c>
      <c r="K12626" s="94" t="n">
        <v>2</v>
      </c>
      <c r="L12626" s="88" t="n">
        <v>201208</v>
      </c>
      <c r="M12626" s="88">
        <f>VLOOKUP($Q12626,매칭테이블!$F:$I,2,0)*K12626</f>
        <v/>
      </c>
      <c r="N12626" s="88">
        <f>M12626-M12626*VLOOKUP($Q12626,매칭테이블!$F:$I,3,0)</f>
        <v/>
      </c>
      <c r="O12626" s="88">
        <f>VLOOKUP($Q12626,매칭테이블!$F:$I,4,0)*K12626</f>
        <v/>
      </c>
      <c r="P12626" s="152">
        <f>M12626/1.1</f>
        <v/>
      </c>
      <c r="Q12626" s="88">
        <f>F12626&amp;E12626&amp;G12626&amp;L12626</f>
        <v/>
      </c>
    </row>
    <row r="12627">
      <c r="B12627" s="128" t="n">
        <v>44190</v>
      </c>
      <c r="C12627" s="88">
        <f>TEXT(B12627,"aaa")</f>
        <v/>
      </c>
      <c r="E12627" s="88">
        <f>INDEX(매칭테이블!C:D,MATCH(RD!G12627,매칭테이블!D:D,0),1)</f>
        <v/>
      </c>
      <c r="F12627" s="94" t="inlineStr">
        <is>
          <t>카페24</t>
        </is>
      </c>
      <c r="G12627" s="94" t="inlineStr">
        <is>
          <t>어성초 77 토너토너(필수)=어성초77토너1개 + 어성초77패드1개 -30% off (무료배송)</t>
        </is>
      </c>
      <c r="K12627" s="94" t="n">
        <v>1</v>
      </c>
      <c r="L12627" s="88" t="n">
        <v>201208</v>
      </c>
      <c r="M12627" s="88">
        <f>VLOOKUP($Q12627,매칭테이블!$F:$I,2,0)*K12627</f>
        <v/>
      </c>
      <c r="N12627" s="88">
        <f>M12627-M12627*VLOOKUP($Q12627,매칭테이블!$F:$I,3,0)</f>
        <v/>
      </c>
      <c r="O12627" s="88">
        <f>VLOOKUP($Q12627,매칭테이블!$F:$I,4,0)*K12627</f>
        <v/>
      </c>
      <c r="P12627" s="152">
        <f>M12627/1.1</f>
        <v/>
      </c>
      <c r="Q12627" s="88">
        <f>F12627&amp;E12627&amp;G12627&amp;L12627</f>
        <v/>
      </c>
    </row>
    <row r="12628">
      <c r="B12628" s="128" t="n">
        <v>44190</v>
      </c>
      <c r="C12628" s="88">
        <f>TEXT(B12628,"aaa")</f>
        <v/>
      </c>
      <c r="E12628" s="88">
        <f>INDEX(매칭테이블!C:D,MATCH(RD!G12628,매칭테이블!D:D,0),1)</f>
        <v/>
      </c>
      <c r="F12628" s="94" t="inlineStr">
        <is>
          <t>카페24</t>
        </is>
      </c>
      <c r="G12628" s="94" t="inlineStr">
        <is>
          <t>어성초 77 포어 클리어 패드옵션=어성초 77 클리어 패드 1개-20% off</t>
        </is>
      </c>
      <c r="K12628" s="94" t="n">
        <v>17</v>
      </c>
      <c r="L12628" s="88" t="n">
        <v>201208</v>
      </c>
      <c r="M12628" s="88">
        <f>VLOOKUP($Q12628,매칭테이블!$F:$I,2,0)*K12628</f>
        <v/>
      </c>
      <c r="N12628" s="88">
        <f>M12628-M12628*VLOOKUP($Q12628,매칭테이블!$F:$I,3,0)</f>
        <v/>
      </c>
      <c r="O12628" s="88">
        <f>VLOOKUP($Q12628,매칭테이블!$F:$I,4,0)*K12628</f>
        <v/>
      </c>
      <c r="P12628" s="152">
        <f>M12628/1.1</f>
        <v/>
      </c>
      <c r="Q12628" s="88">
        <f>F12628&amp;E12628&amp;G12628&amp;L12628</f>
        <v/>
      </c>
    </row>
    <row r="12629">
      <c r="B12629" s="128" t="n">
        <v>44190</v>
      </c>
      <c r="C12629" s="88">
        <f>TEXT(B12629,"aaa")</f>
        <v/>
      </c>
      <c r="E12629" s="88">
        <f>INDEX(매칭테이블!C:D,MATCH(RD!G12629,매칭테이블!D:D,0),1)</f>
        <v/>
      </c>
      <c r="F12629" s="94" t="inlineStr">
        <is>
          <t>카페24</t>
        </is>
      </c>
      <c r="G12629" s="94" t="inlineStr">
        <is>
          <t>어성초 77 포어 클리어 패드옵션=어성초 77 클리어 패드 2개-30% off (무료배송)</t>
        </is>
      </c>
      <c r="K12629" s="94" t="n">
        <v>29</v>
      </c>
      <c r="L12629" s="88" t="n">
        <v>201208</v>
      </c>
      <c r="M12629" s="88">
        <f>VLOOKUP($Q12629,매칭테이블!$F:$I,2,0)*K12629</f>
        <v/>
      </c>
      <c r="N12629" s="88">
        <f>M12629-M12629*VLOOKUP($Q12629,매칭테이블!$F:$I,3,0)</f>
        <v/>
      </c>
      <c r="O12629" s="88">
        <f>VLOOKUP($Q12629,매칭테이블!$F:$I,4,0)*K12629</f>
        <v/>
      </c>
      <c r="P12629" s="152">
        <f>M12629/1.1</f>
        <v/>
      </c>
      <c r="Q12629" s="88">
        <f>F12629&amp;E12629&amp;G12629&amp;L12629</f>
        <v/>
      </c>
    </row>
    <row r="12630">
      <c r="B12630" s="128" t="n">
        <v>44190</v>
      </c>
      <c r="C12630" s="88">
        <f>TEXT(B12630,"aaa")</f>
        <v/>
      </c>
      <c r="E12630" s="88">
        <f>INDEX(매칭테이블!C:D,MATCH(RD!G12630,매칭테이블!D:D,0),1)</f>
        <v/>
      </c>
      <c r="F12630" s="94" t="inlineStr">
        <is>
          <t>카페24</t>
        </is>
      </c>
      <c r="G12630" s="94" t="inlineStr">
        <is>
          <t>어성초 77 포어 클리어 패드옵션=어성초77토너1개+어성초77패드1개-30% off (무료배송)</t>
        </is>
      </c>
      <c r="K12630" s="94" t="n">
        <v>19</v>
      </c>
      <c r="L12630" s="88" t="n">
        <v>201208</v>
      </c>
      <c r="M12630" s="88">
        <f>VLOOKUP($Q12630,매칭테이블!$F:$I,2,0)*K12630</f>
        <v/>
      </c>
      <c r="N12630" s="88">
        <f>M12630-M12630*VLOOKUP($Q12630,매칭테이블!$F:$I,3,0)</f>
        <v/>
      </c>
      <c r="O12630" s="88">
        <f>VLOOKUP($Q12630,매칭테이블!$F:$I,4,0)*K12630</f>
        <v/>
      </c>
      <c r="P12630" s="152">
        <f>M12630/1.1</f>
        <v/>
      </c>
      <c r="Q12630" s="88">
        <f>F12630&amp;E12630&amp;G12630&amp;L12630</f>
        <v/>
      </c>
    </row>
    <row r="12631">
      <c r="B12631" s="128" t="n">
        <v>44190</v>
      </c>
      <c r="C12631" s="88">
        <f>TEXT(B12631,"aaa")</f>
        <v/>
      </c>
      <c r="E12631" s="88">
        <f>INDEX(매칭테이블!C:D,MATCH(RD!G12631,매칭테이블!D:D,0),1)</f>
        <v/>
      </c>
      <c r="F12631" s="94" t="inlineStr">
        <is>
          <t>카페24</t>
        </is>
      </c>
      <c r="G12631" s="94" t="inlineStr">
        <is>
          <t>어성초 77% 패드옵션=어성초 77 클리어 패드 1개-20% off</t>
        </is>
      </c>
      <c r="K12631" s="94" t="n">
        <v>146</v>
      </c>
      <c r="L12631" s="88" t="n">
        <v>201208</v>
      </c>
      <c r="M12631" s="88">
        <f>VLOOKUP($Q12631,매칭테이블!$F:$I,2,0)*K12631</f>
        <v/>
      </c>
      <c r="N12631" s="88">
        <f>M12631-M12631*VLOOKUP($Q12631,매칭테이블!$F:$I,3,0)</f>
        <v/>
      </c>
      <c r="O12631" s="88">
        <f>VLOOKUP($Q12631,매칭테이블!$F:$I,4,0)*K12631</f>
        <v/>
      </c>
      <c r="P12631" s="152">
        <f>M12631/1.1</f>
        <v/>
      </c>
      <c r="Q12631" s="88">
        <f>F12631&amp;E12631&amp;G12631&amp;L12631</f>
        <v/>
      </c>
    </row>
    <row r="12632">
      <c r="B12632" s="128" t="n">
        <v>44190</v>
      </c>
      <c r="C12632" s="88">
        <f>TEXT(B12632,"aaa")</f>
        <v/>
      </c>
      <c r="E12632" s="88">
        <f>INDEX(매칭테이블!C:D,MATCH(RD!G12632,매칭테이블!D:D,0),1)</f>
        <v/>
      </c>
      <c r="F12632" s="94" t="inlineStr">
        <is>
          <t>카페24</t>
        </is>
      </c>
      <c r="G12632" s="94" t="inlineStr">
        <is>
          <t>어성초 77% 패드옵션=어성초 77 클리어 패드 2개-30% off (무료배송)</t>
        </is>
      </c>
      <c r="K12632" s="94" t="n">
        <v>146</v>
      </c>
      <c r="L12632" s="88" t="n">
        <v>201208</v>
      </c>
      <c r="M12632" s="88">
        <f>VLOOKUP($Q12632,매칭테이블!$F:$I,2,0)*K12632</f>
        <v/>
      </c>
      <c r="N12632" s="88">
        <f>M12632-M12632*VLOOKUP($Q12632,매칭테이블!$F:$I,3,0)</f>
        <v/>
      </c>
      <c r="O12632" s="88">
        <f>VLOOKUP($Q12632,매칭테이블!$F:$I,4,0)*K12632</f>
        <v/>
      </c>
      <c r="P12632" s="152">
        <f>M12632/1.1</f>
        <v/>
      </c>
      <c r="Q12632" s="88">
        <f>F12632&amp;E12632&amp;G12632&amp;L12632</f>
        <v/>
      </c>
    </row>
    <row r="12633">
      <c r="B12633" s="128" t="n">
        <v>44190</v>
      </c>
      <c r="C12633" s="88">
        <f>TEXT(B12633,"aaa")</f>
        <v/>
      </c>
      <c r="E12633" s="88">
        <f>INDEX(매칭테이블!C:D,MATCH(RD!G12633,매칭테이블!D:D,0),1)</f>
        <v/>
      </c>
      <c r="F12633" s="94" t="inlineStr">
        <is>
          <t>카페24</t>
        </is>
      </c>
      <c r="G12633" s="94" t="inlineStr">
        <is>
          <t>어성초 77% 패드옵션=어성초77토너1개+어성초77패드1개-30% off (무료배송)</t>
        </is>
      </c>
      <c r="K12633" s="94" t="n">
        <v>99</v>
      </c>
      <c r="L12633" s="88" t="n">
        <v>201208</v>
      </c>
      <c r="M12633" s="88">
        <f>VLOOKUP($Q12633,매칭테이블!$F:$I,2,0)*K12633</f>
        <v/>
      </c>
      <c r="N12633" s="88">
        <f>M12633-M12633*VLOOKUP($Q12633,매칭테이블!$F:$I,3,0)</f>
        <v/>
      </c>
      <c r="O12633" s="88">
        <f>VLOOKUP($Q12633,매칭테이블!$F:$I,4,0)*K12633</f>
        <v/>
      </c>
      <c r="P12633" s="152">
        <f>M12633/1.1</f>
        <v/>
      </c>
      <c r="Q12633" s="88">
        <f>F12633&amp;E12633&amp;G12633&amp;L12633</f>
        <v/>
      </c>
    </row>
    <row r="12634">
      <c r="B12634" s="128" t="n">
        <v>44190</v>
      </c>
      <c r="C12634" s="88">
        <f>TEXT(B12634,"aaa")</f>
        <v/>
      </c>
      <c r="E12634" s="88">
        <f>INDEX(매칭테이블!C:D,MATCH(RD!G12634,매칭테이블!D:D,0),1)</f>
        <v/>
      </c>
      <c r="F12634" s="94" t="inlineStr">
        <is>
          <t>카페24</t>
        </is>
      </c>
      <c r="G12634" s="94" t="inlineStr">
        <is>
          <t>어성초 78 수딩 크림</t>
        </is>
      </c>
      <c r="K12634" s="94" t="n">
        <v>10</v>
      </c>
      <c r="L12634" s="88" t="n">
        <v>201208</v>
      </c>
      <c r="M12634" s="88">
        <f>VLOOKUP($Q12634,매칭테이블!$F:$I,2,0)*K12634</f>
        <v/>
      </c>
      <c r="N12634" s="88">
        <f>M12634-M12634*VLOOKUP($Q12634,매칭테이블!$F:$I,3,0)</f>
        <v/>
      </c>
      <c r="O12634" s="88">
        <f>VLOOKUP($Q12634,매칭테이블!$F:$I,4,0)*K12634</f>
        <v/>
      </c>
      <c r="P12634" s="152">
        <f>M12634/1.1</f>
        <v/>
      </c>
      <c r="Q12634" s="88">
        <f>F12634&amp;E12634&amp;G12634&amp;L12634</f>
        <v/>
      </c>
    </row>
    <row r="12635">
      <c r="B12635" s="128" t="n">
        <v>44190</v>
      </c>
      <c r="C12635" s="88">
        <f>TEXT(B12635,"aaa")</f>
        <v/>
      </c>
      <c r="E12635" s="88">
        <f>INDEX(매칭테이블!C:D,MATCH(RD!G12635,매칭테이블!D:D,0),1)</f>
        <v/>
      </c>
      <c r="F12635" s="94" t="inlineStr">
        <is>
          <t>카페24</t>
        </is>
      </c>
      <c r="G12635" s="94" t="inlineStr">
        <is>
          <t>어성초 78 수딩 크림</t>
        </is>
      </c>
      <c r="K12635" s="94" t="n">
        <v>6</v>
      </c>
      <c r="L12635" s="88" t="n">
        <v>201208</v>
      </c>
      <c r="M12635" s="88">
        <f>VLOOKUP($Q12635,매칭테이블!$F:$I,2,0)*K12635</f>
        <v/>
      </c>
      <c r="N12635" s="88">
        <f>M12635-M12635*VLOOKUP($Q12635,매칭테이블!$F:$I,3,0)</f>
        <v/>
      </c>
      <c r="O12635" s="88">
        <f>VLOOKUP($Q12635,매칭테이블!$F:$I,4,0)*K12635</f>
        <v/>
      </c>
      <c r="P12635" s="152">
        <f>M12635/1.1</f>
        <v/>
      </c>
      <c r="Q12635" s="88">
        <f>F12635&amp;E12635&amp;G12635&amp;L12635</f>
        <v/>
      </c>
    </row>
    <row r="12636">
      <c r="B12636" s="128" t="n">
        <v>44190</v>
      </c>
      <c r="C12636" s="88">
        <f>TEXT(B12636,"aaa")</f>
        <v/>
      </c>
      <c r="E12636" s="88">
        <f>INDEX(매칭테이블!C:D,MATCH(RD!G12636,매칭테이블!D:D,0),1)</f>
        <v/>
      </c>
      <c r="F12636" s="94" t="inlineStr">
        <is>
          <t>카페24</t>
        </is>
      </c>
      <c r="G12636" s="94" t="inlineStr">
        <is>
          <t>어성초 80 수분 진정 앰플앰플=어성초 80 앰플 1개-15%off</t>
        </is>
      </c>
      <c r="K12636" s="94" t="n">
        <v>16</v>
      </c>
      <c r="L12636" s="88" t="n">
        <v>201208</v>
      </c>
      <c r="M12636" s="88">
        <f>VLOOKUP($Q12636,매칭테이블!$F:$I,2,0)*K12636</f>
        <v/>
      </c>
      <c r="N12636" s="88">
        <f>M12636-M12636*VLOOKUP($Q12636,매칭테이블!$F:$I,3,0)</f>
        <v/>
      </c>
      <c r="O12636" s="88">
        <f>VLOOKUP($Q12636,매칭테이블!$F:$I,4,0)*K12636</f>
        <v/>
      </c>
      <c r="P12636" s="152">
        <f>M12636/1.1</f>
        <v/>
      </c>
      <c r="Q12636" s="88">
        <f>F12636&amp;E12636&amp;G12636&amp;L12636</f>
        <v/>
      </c>
    </row>
    <row r="12637">
      <c r="B12637" s="128" t="n">
        <v>44190</v>
      </c>
      <c r="C12637" s="88">
        <f>TEXT(B12637,"aaa")</f>
        <v/>
      </c>
      <c r="E12637" s="88">
        <f>INDEX(매칭테이블!C:D,MATCH(RD!G12637,매칭테이블!D:D,0),1)</f>
        <v/>
      </c>
      <c r="F12637" s="94" t="inlineStr">
        <is>
          <t>카페24</t>
        </is>
      </c>
      <c r="G12637" s="94" t="inlineStr">
        <is>
          <t>어성초 80 수분 진정 앰플앰플=어성초 80 앰플 2개-27%off (무료배송)</t>
        </is>
      </c>
      <c r="K12637" s="94" t="n">
        <v>7</v>
      </c>
      <c r="L12637" s="88" t="n">
        <v>201208</v>
      </c>
      <c r="M12637" s="88">
        <f>VLOOKUP($Q12637,매칭테이블!$F:$I,2,0)*K12637</f>
        <v/>
      </c>
      <c r="N12637" s="88">
        <f>M12637-M12637*VLOOKUP($Q12637,매칭테이블!$F:$I,3,0)</f>
        <v/>
      </c>
      <c r="O12637" s="88">
        <f>VLOOKUP($Q12637,매칭테이블!$F:$I,4,0)*K12637</f>
        <v/>
      </c>
      <c r="P12637" s="152">
        <f>M12637/1.1</f>
        <v/>
      </c>
      <c r="Q12637" s="88">
        <f>F12637&amp;E12637&amp;G12637&amp;L12637</f>
        <v/>
      </c>
    </row>
    <row r="12638">
      <c r="B12638" s="128" t="n">
        <v>44190</v>
      </c>
      <c r="C12638" s="88">
        <f>TEXT(B12638,"aaa")</f>
        <v/>
      </c>
      <c r="E12638" s="88">
        <f>INDEX(매칭테이블!C:D,MATCH(RD!G12638,매칭테이블!D:D,0),1)</f>
        <v/>
      </c>
      <c r="F12638" s="94" t="inlineStr">
        <is>
          <t>카페24</t>
        </is>
      </c>
      <c r="G12638" s="94" t="inlineStr">
        <is>
          <t>어성초 80 수분 진정 앰플</t>
        </is>
      </c>
      <c r="K12638" s="94" t="n">
        <v>9</v>
      </c>
      <c r="L12638" s="88" t="n">
        <v>201208</v>
      </c>
      <c r="M12638" s="88">
        <f>VLOOKUP($Q12638,매칭테이블!$F:$I,2,0)*K12638</f>
        <v/>
      </c>
      <c r="N12638" s="88">
        <f>M12638-M12638*VLOOKUP($Q12638,매칭테이블!$F:$I,3,0)</f>
        <v/>
      </c>
      <c r="O12638" s="88">
        <f>VLOOKUP($Q12638,매칭테이블!$F:$I,4,0)*K12638</f>
        <v/>
      </c>
      <c r="P12638" s="152">
        <f>M12638/1.1</f>
        <v/>
      </c>
      <c r="Q12638" s="88">
        <f>F12638&amp;E12638&amp;G12638&amp;L12638</f>
        <v/>
      </c>
    </row>
    <row r="12639">
      <c r="B12639" s="128" t="n">
        <v>44190</v>
      </c>
      <c r="C12639" s="88">
        <f>TEXT(B12639,"aaa")</f>
        <v/>
      </c>
      <c r="E12639" s="88">
        <f>INDEX(매칭테이블!C:D,MATCH(RD!G12639,매칭테이블!D:D,0),1)</f>
        <v/>
      </c>
      <c r="F12639" s="94" t="inlineStr">
        <is>
          <t>카페24</t>
        </is>
      </c>
      <c r="G12639" s="94" t="inlineStr">
        <is>
          <t>어성초 아크네 바디워시옵션=어성초 아크네 바디워시 1개 -30% off</t>
        </is>
      </c>
      <c r="K12639" s="94" t="n">
        <v>7</v>
      </c>
      <c r="L12639" s="88" t="n">
        <v>201208</v>
      </c>
      <c r="M12639" s="88">
        <f>VLOOKUP($Q12639,매칭테이블!$F:$I,2,0)*K12639</f>
        <v/>
      </c>
      <c r="N12639" s="88">
        <f>M12639-M12639*VLOOKUP($Q12639,매칭테이블!$F:$I,3,0)</f>
        <v/>
      </c>
      <c r="O12639" s="88">
        <f>VLOOKUP($Q12639,매칭테이블!$F:$I,4,0)*K12639</f>
        <v/>
      </c>
      <c r="P12639" s="152">
        <f>M12639/1.1</f>
        <v/>
      </c>
      <c r="Q12639" s="88">
        <f>F12639&amp;E12639&amp;G12639&amp;L12639</f>
        <v/>
      </c>
    </row>
    <row r="12640">
      <c r="B12640" s="128" t="n">
        <v>44190</v>
      </c>
      <c r="C12640" s="88">
        <f>TEXT(B12640,"aaa")</f>
        <v/>
      </c>
      <c r="E12640" s="88">
        <f>INDEX(매칭테이블!C:D,MATCH(RD!G12640,매칭테이블!D:D,0),1)</f>
        <v/>
      </c>
      <c r="F12640" s="94" t="inlineStr">
        <is>
          <t>카페24</t>
        </is>
      </c>
      <c r="G12640" s="94" t="inlineStr">
        <is>
          <t>어성초 아크네 바디워시옵션=어성초 아크네 바디워시 2개 -35% off (무료배송)</t>
        </is>
      </c>
      <c r="K12640" s="94" t="n">
        <v>2</v>
      </c>
      <c r="L12640" s="88" t="n">
        <v>201208</v>
      </c>
      <c r="M12640" s="88">
        <f>VLOOKUP($Q12640,매칭테이블!$F:$I,2,0)*K12640</f>
        <v/>
      </c>
      <c r="N12640" s="88">
        <f>M12640-M12640*VLOOKUP($Q12640,매칭테이블!$F:$I,3,0)</f>
        <v/>
      </c>
      <c r="O12640" s="88">
        <f>VLOOKUP($Q12640,매칭테이블!$F:$I,4,0)*K12640</f>
        <v/>
      </c>
      <c r="P12640" s="152">
        <f>M12640/1.1</f>
        <v/>
      </c>
      <c r="Q12640" s="88">
        <f>F12640&amp;E12640&amp;G12640&amp;L12640</f>
        <v/>
      </c>
    </row>
    <row r="12641">
      <c r="B12641" s="128" t="n">
        <v>44190</v>
      </c>
      <c r="C12641" s="88">
        <f>TEXT(B12641,"aaa")</f>
        <v/>
      </c>
      <c r="E12641" s="88">
        <f>INDEX(매칭테이블!C:D,MATCH(RD!G12641,매칭테이블!D:D,0),1)</f>
        <v/>
      </c>
      <c r="F12641" s="94" t="inlineStr">
        <is>
          <t>카페24</t>
        </is>
      </c>
      <c r="G12641" s="94" t="inlineStr">
        <is>
          <t>어성초 약산성 클렌징폼클렌징폼=어성초 약산성 클렌징폼 1개 -19%off</t>
        </is>
      </c>
      <c r="K12641" s="94" t="n">
        <v>26</v>
      </c>
      <c r="L12641" s="88" t="n">
        <v>201208</v>
      </c>
      <c r="M12641" s="88">
        <f>VLOOKUP($Q12641,매칭테이블!$F:$I,2,0)*K12641</f>
        <v/>
      </c>
      <c r="N12641" s="88">
        <f>M12641-M12641*VLOOKUP($Q12641,매칭테이블!$F:$I,3,0)</f>
        <v/>
      </c>
      <c r="O12641" s="88">
        <f>VLOOKUP($Q12641,매칭테이블!$F:$I,4,0)*K12641</f>
        <v/>
      </c>
      <c r="P12641" s="152">
        <f>M12641/1.1</f>
        <v/>
      </c>
      <c r="Q12641" s="88">
        <f>F12641&amp;E12641&amp;G12641&amp;L12641</f>
        <v/>
      </c>
    </row>
    <row r="12642">
      <c r="B12642" s="128" t="n">
        <v>44190</v>
      </c>
      <c r="C12642" s="88">
        <f>TEXT(B12642,"aaa")</f>
        <v/>
      </c>
      <c r="E12642" s="88">
        <f>INDEX(매칭테이블!C:D,MATCH(RD!G12642,매칭테이블!D:D,0),1)</f>
        <v/>
      </c>
      <c r="F12642" s="94" t="inlineStr">
        <is>
          <t>카페24</t>
        </is>
      </c>
      <c r="G12642" s="94" t="inlineStr">
        <is>
          <t>어성초 약산성 클렌징폼클렌징폼=어성초 약산성 클렌징폼 2개 -25%off</t>
        </is>
      </c>
      <c r="K12642" s="94" t="n">
        <v>6</v>
      </c>
      <c r="L12642" s="88" t="n">
        <v>201208</v>
      </c>
      <c r="M12642" s="88">
        <f>VLOOKUP($Q12642,매칭테이블!$F:$I,2,0)*K12642</f>
        <v/>
      </c>
      <c r="N12642" s="88">
        <f>M12642-M12642*VLOOKUP($Q12642,매칭테이블!$F:$I,3,0)</f>
        <v/>
      </c>
      <c r="O12642" s="88">
        <f>VLOOKUP($Q12642,매칭테이블!$F:$I,4,0)*K12642</f>
        <v/>
      </c>
      <c r="P12642" s="152">
        <f>M12642/1.1</f>
        <v/>
      </c>
      <c r="Q12642" s="88">
        <f>F12642&amp;E12642&amp;G12642&amp;L12642</f>
        <v/>
      </c>
    </row>
    <row r="12643">
      <c r="B12643" s="128" t="n">
        <v>44190</v>
      </c>
      <c r="C12643" s="88">
        <f>TEXT(B12643,"aaa")</f>
        <v/>
      </c>
      <c r="E12643" s="88">
        <f>INDEX(매칭테이블!C:D,MATCH(RD!G12643,매칭테이블!D:D,0),1)</f>
        <v/>
      </c>
      <c r="F12643" s="94" t="inlineStr">
        <is>
          <t>카페24</t>
        </is>
      </c>
      <c r="G12643" s="94" t="inlineStr">
        <is>
          <t>어성초 약산성 클렌징폼클렌징폼=어성초 약산성 클렌징폼 3개 -31%off (무료배송)</t>
        </is>
      </c>
      <c r="K12643" s="94" t="n">
        <v>5</v>
      </c>
      <c r="L12643" s="88" t="n">
        <v>201208</v>
      </c>
      <c r="M12643" s="88">
        <f>VLOOKUP($Q12643,매칭테이블!$F:$I,2,0)*K12643</f>
        <v/>
      </c>
      <c r="N12643" s="88">
        <f>M12643-M12643*VLOOKUP($Q12643,매칭테이블!$F:$I,3,0)</f>
        <v/>
      </c>
      <c r="O12643" s="88">
        <f>VLOOKUP($Q12643,매칭테이블!$F:$I,4,0)*K12643</f>
        <v/>
      </c>
      <c r="P12643" s="152">
        <f>M12643/1.1</f>
        <v/>
      </c>
      <c r="Q12643" s="88">
        <f>F12643&amp;E12643&amp;G12643&amp;L12643</f>
        <v/>
      </c>
    </row>
    <row r="12644">
      <c r="B12644" s="128" t="n">
        <v>44190</v>
      </c>
      <c r="C12644" s="88">
        <f>TEXT(B12644,"aaa")</f>
        <v/>
      </c>
      <c r="E12644" s="88">
        <f>INDEX(매칭테이블!C:D,MATCH(RD!G12644,매칭테이블!D:D,0),1)</f>
        <v/>
      </c>
      <c r="F12644" s="94" t="inlineStr">
        <is>
          <t>카페24</t>
        </is>
      </c>
      <c r="G12644" s="94" t="inlineStr">
        <is>
          <t>어성초 크림마스크 나이트 솔루션옵션=어성초 크림마스크 나이트 솔루션 10장 (-50%)</t>
        </is>
      </c>
      <c r="K12644" s="94" t="n">
        <v>8</v>
      </c>
      <c r="L12644" s="88" t="n">
        <v>201208</v>
      </c>
      <c r="M12644" s="88">
        <f>VLOOKUP($Q12644,매칭테이블!$F:$I,2,0)*K12644</f>
        <v/>
      </c>
      <c r="N12644" s="88">
        <f>M12644-M12644*VLOOKUP($Q12644,매칭테이블!$F:$I,3,0)</f>
        <v/>
      </c>
      <c r="O12644" s="88">
        <f>VLOOKUP($Q12644,매칭테이블!$F:$I,4,0)*K12644</f>
        <v/>
      </c>
      <c r="P12644" s="152">
        <f>M12644/1.1</f>
        <v/>
      </c>
      <c r="Q12644" s="88">
        <f>F12644&amp;E12644&amp;G12644&amp;L12644</f>
        <v/>
      </c>
    </row>
    <row r="12645">
      <c r="B12645" s="128" t="n">
        <v>44190</v>
      </c>
      <c r="C12645" s="88">
        <f>TEXT(B12645,"aaa")</f>
        <v/>
      </c>
      <c r="E12645" s="88">
        <f>INDEX(매칭테이블!C:D,MATCH(RD!G12645,매칭테이블!D:D,0),1)</f>
        <v/>
      </c>
      <c r="F12645" s="94" t="inlineStr">
        <is>
          <t>카페24</t>
        </is>
      </c>
      <c r="G12645" s="94" t="inlineStr">
        <is>
          <t>촉촉 스킨팩 화장솜</t>
        </is>
      </c>
      <c r="K12645" s="94" t="n">
        <v>36</v>
      </c>
      <c r="L12645" s="88" t="n">
        <v>201208</v>
      </c>
      <c r="M12645" s="88">
        <f>VLOOKUP($Q12645,매칭테이블!$F:$I,2,0)*K12645</f>
        <v/>
      </c>
      <c r="N12645" s="88">
        <f>M12645-M12645*VLOOKUP($Q12645,매칭테이블!$F:$I,3,0)</f>
        <v/>
      </c>
      <c r="O12645" s="88">
        <f>VLOOKUP($Q12645,매칭테이블!$F:$I,4,0)*K12645</f>
        <v/>
      </c>
      <c r="P12645" s="152">
        <f>M12645/1.1</f>
        <v/>
      </c>
      <c r="Q12645" s="88">
        <f>F12645&amp;E12645&amp;G12645&amp;L12645</f>
        <v/>
      </c>
    </row>
    <row r="12646">
      <c r="B12646" s="128" t="n">
        <v>44190</v>
      </c>
      <c r="C12646" s="88">
        <f>TEXT(B12646,"aaa")</f>
        <v/>
      </c>
      <c r="E12646" s="88">
        <f>INDEX(매칭테이블!C:D,MATCH(RD!G12646,매칭테이블!D:D,0),1)</f>
        <v/>
      </c>
      <c r="F12646" s="94" t="inlineStr">
        <is>
          <t>카페24</t>
        </is>
      </c>
      <c r="G12646" s="94" t="inlineStr">
        <is>
          <t>촉촉 스킨팩 화장솜</t>
        </is>
      </c>
      <c r="K12646" s="94" t="n">
        <v>1</v>
      </c>
      <c r="L12646" s="88" t="n">
        <v>201208</v>
      </c>
      <c r="M12646" s="88">
        <f>VLOOKUP($Q12646,매칭테이블!$F:$I,2,0)*K12646</f>
        <v/>
      </c>
      <c r="N12646" s="88">
        <f>M12646-M12646*VLOOKUP($Q12646,매칭테이블!$F:$I,3,0)</f>
        <v/>
      </c>
      <c r="O12646" s="88">
        <f>VLOOKUP($Q12646,매칭테이블!$F:$I,4,0)*K12646</f>
        <v/>
      </c>
      <c r="P12646" s="152">
        <f>M12646/1.1</f>
        <v/>
      </c>
      <c r="Q12646" s="88">
        <f>F12646&amp;E12646&amp;G12646&amp;L12646</f>
        <v/>
      </c>
    </row>
    <row r="12647">
      <c r="B12647" s="128" t="n">
        <v>44191</v>
      </c>
      <c r="C12647" s="88">
        <f>TEXT(B12647,"aaa")</f>
        <v/>
      </c>
      <c r="E12647" s="88">
        <f>INDEX(매칭테이블!C:D,MATCH(RD!G12647,매칭테이블!D:D,0),1)</f>
        <v/>
      </c>
      <c r="F12647" s="94" t="inlineStr">
        <is>
          <t>스타일쉐어</t>
        </is>
      </c>
      <c r="G12647" s="94" t="inlineStr">
        <is>
          <t>아누아 어성초 77 토너 250ml</t>
        </is>
      </c>
      <c r="K12647" s="94" t="n">
        <v>5</v>
      </c>
      <c r="L12647" s="88" t="n">
        <v>201208</v>
      </c>
      <c r="M12647" s="88">
        <f>VLOOKUP($Q12647,매칭테이블!$F:$I,2,0)*K12647</f>
        <v/>
      </c>
      <c r="N12647" s="88">
        <f>M12647-M12647*VLOOKUP($Q12647,매칭테이블!$F:$I,3,0)</f>
        <v/>
      </c>
      <c r="O12647" s="88">
        <f>VLOOKUP($Q12647,매칭테이블!$F:$I,4,0)*K12647</f>
        <v/>
      </c>
      <c r="P12647" s="152">
        <f>M12647/1.1</f>
        <v/>
      </c>
      <c r="Q12647" s="88">
        <f>F12647&amp;E12647&amp;G12647&amp;L12647</f>
        <v/>
      </c>
    </row>
    <row r="12648">
      <c r="B12648" s="128" t="n">
        <v>44191</v>
      </c>
      <c r="C12648" s="88">
        <f>TEXT(B12648,"aaa")</f>
        <v/>
      </c>
      <c r="D12648" s="94" t="n"/>
      <c r="E12648" s="88">
        <f>INDEX(매칭테이블!C:D,MATCH(RD!G12648,매칭테이블!D:D,0),1)</f>
        <v/>
      </c>
      <c r="F12648" s="94" t="inlineStr">
        <is>
          <t>카페24</t>
        </is>
      </c>
      <c r="G12648" s="94" t="inlineStr">
        <is>
          <t>5 제로 무기자차 선크림옵션=5제로 무기자차 선크림 1개-20% off</t>
        </is>
      </c>
      <c r="K12648" s="94" t="n">
        <v>4</v>
      </c>
      <c r="L12648" s="88" t="n">
        <v>201208</v>
      </c>
      <c r="M12648" s="88">
        <f>VLOOKUP($Q12648,매칭테이블!$F:$I,2,0)*K12648</f>
        <v/>
      </c>
      <c r="N12648" s="88">
        <f>M12648-M12648*VLOOKUP($Q12648,매칭테이블!$F:$I,3,0)</f>
        <v/>
      </c>
      <c r="O12648" s="88">
        <f>VLOOKUP($Q12648,매칭테이블!$F:$I,4,0)*K12648</f>
        <v/>
      </c>
      <c r="P12648" s="152">
        <f>M12648/1.1</f>
        <v/>
      </c>
      <c r="Q12648" s="88">
        <f>F12648&amp;E12648&amp;G12648&amp;L12648</f>
        <v/>
      </c>
    </row>
    <row r="12649">
      <c r="B12649" s="128" t="n">
        <v>44191</v>
      </c>
      <c r="C12649" s="88">
        <f>TEXT(B12649,"aaa")</f>
        <v/>
      </c>
      <c r="D12649" s="94" t="n"/>
      <c r="E12649" s="88">
        <f>INDEX(매칭테이블!C:D,MATCH(RD!G12649,매칭테이블!D:D,0),1)</f>
        <v/>
      </c>
      <c r="F12649" s="94" t="inlineStr">
        <is>
          <t>카페24</t>
        </is>
      </c>
      <c r="G12649" s="94" t="inlineStr">
        <is>
          <t>5 제로 무기자차 선크림옵션=5제로 무기자차 선크림 2개-30% off (무료배송)</t>
        </is>
      </c>
      <c r="K12649" s="94" t="n">
        <v>2</v>
      </c>
      <c r="L12649" s="88" t="n">
        <v>201208</v>
      </c>
      <c r="M12649" s="88">
        <f>VLOOKUP($Q12649,매칭테이블!$F:$I,2,0)*K12649</f>
        <v/>
      </c>
      <c r="N12649" s="88">
        <f>M12649-M12649*VLOOKUP($Q12649,매칭테이블!$F:$I,3,0)</f>
        <v/>
      </c>
      <c r="O12649" s="88">
        <f>VLOOKUP($Q12649,매칭테이블!$F:$I,4,0)*K12649</f>
        <v/>
      </c>
      <c r="P12649" s="152">
        <f>M12649/1.1</f>
        <v/>
      </c>
      <c r="Q12649" s="88">
        <f>F12649&amp;E12649&amp;G12649&amp;L12649</f>
        <v/>
      </c>
    </row>
    <row r="12650">
      <c r="B12650" s="128" t="n">
        <v>44191</v>
      </c>
      <c r="C12650" s="88">
        <f>TEXT(B12650,"aaa")</f>
        <v/>
      </c>
      <c r="D12650" s="94" t="n"/>
      <c r="E12650" s="88">
        <f>INDEX(매칭테이블!C:D,MATCH(RD!G12650,매칭테이블!D:D,0),1)</f>
        <v/>
      </c>
      <c r="F12650" s="94" t="inlineStr">
        <is>
          <t>카페24</t>
        </is>
      </c>
      <c r="G12650" s="94" t="inlineStr">
        <is>
          <t>[수분 보충 세트] 어성초 77 토너 + 어성초 70 로션옵션=어성초 77 토너 250ml + 어성초 70 로션 200ml -30%</t>
        </is>
      </c>
      <c r="K12650" s="94" t="n">
        <v>31</v>
      </c>
      <c r="L12650" s="88" t="n">
        <v>201208</v>
      </c>
      <c r="M12650" s="88">
        <f>VLOOKUP($Q12650,매칭테이블!$F:$I,2,0)*K12650</f>
        <v/>
      </c>
      <c r="N12650" s="88">
        <f>M12650-M12650*VLOOKUP($Q12650,매칭테이블!$F:$I,3,0)</f>
        <v/>
      </c>
      <c r="O12650" s="88">
        <f>VLOOKUP($Q12650,매칭테이블!$F:$I,4,0)*K12650</f>
        <v/>
      </c>
      <c r="P12650" s="152">
        <f>M12650/1.1</f>
        <v/>
      </c>
      <c r="Q12650" s="88">
        <f>F12650&amp;E12650&amp;G12650&amp;L12650</f>
        <v/>
      </c>
    </row>
    <row r="12651">
      <c r="B12651" s="128" t="n">
        <v>44191</v>
      </c>
      <c r="C12651" s="88">
        <f>TEXT(B12651,"aaa")</f>
        <v/>
      </c>
      <c r="D12651" s="94" t="n"/>
      <c r="E12651" s="88">
        <f>INDEX(매칭테이블!C:D,MATCH(RD!G12651,매칭테이블!D:D,0),1)</f>
        <v/>
      </c>
      <c r="F12651" s="94" t="inlineStr">
        <is>
          <t>카페24</t>
        </is>
      </c>
      <c r="G12651" s="94" t="inlineStr">
        <is>
          <t>[어성초 진정 패키지 세트] 대용량 토너 + 앰플 + 수딩 크림 + 마스크팩 10장</t>
        </is>
      </c>
      <c r="K12651" s="94" t="n">
        <v>4</v>
      </c>
      <c r="L12651" s="88" t="n">
        <v>201208</v>
      </c>
      <c r="M12651" s="88">
        <f>VLOOKUP($Q12651,매칭테이블!$F:$I,2,0)*K12651</f>
        <v/>
      </c>
      <c r="N12651" s="88">
        <f>M12651-M12651*VLOOKUP($Q12651,매칭테이블!$F:$I,3,0)</f>
        <v/>
      </c>
      <c r="O12651" s="88">
        <f>VLOOKUP($Q12651,매칭테이블!$F:$I,4,0)*K12651</f>
        <v/>
      </c>
      <c r="P12651" s="152">
        <f>M12651/1.1</f>
        <v/>
      </c>
      <c r="Q12651" s="88">
        <f>F12651&amp;E12651&amp;G12651&amp;L12651</f>
        <v/>
      </c>
    </row>
    <row r="12652">
      <c r="B12652" s="128" t="n">
        <v>44191</v>
      </c>
      <c r="C12652" s="88">
        <f>TEXT(B12652,"aaa")</f>
        <v/>
      </c>
      <c r="D12652" s="94" t="n"/>
      <c r="E12652" s="88">
        <f>INDEX(매칭테이블!C:D,MATCH(RD!G12652,매칭테이블!D:D,0),1)</f>
        <v/>
      </c>
      <c r="F12652" s="94" t="inlineStr">
        <is>
          <t>카페24</t>
        </is>
      </c>
      <c r="G12652" s="94" t="inlineStr">
        <is>
          <t>대용량 어성초 77 수딩 토너 500ml</t>
        </is>
      </c>
      <c r="K12652" s="94" t="n">
        <v>25</v>
      </c>
      <c r="L12652" s="88" t="n">
        <v>201208</v>
      </c>
      <c r="M12652" s="88">
        <f>VLOOKUP($Q12652,매칭테이블!$F:$I,2,0)*K12652</f>
        <v/>
      </c>
      <c r="N12652" s="88">
        <f>M12652-M12652*VLOOKUP($Q12652,매칭테이블!$F:$I,3,0)</f>
        <v/>
      </c>
      <c r="O12652" s="88">
        <f>VLOOKUP($Q12652,매칭테이블!$F:$I,4,0)*K12652</f>
        <v/>
      </c>
      <c r="P12652" s="152">
        <f>M12652/1.1</f>
        <v/>
      </c>
      <c r="Q12652" s="88">
        <f>F12652&amp;E12652&amp;G12652&amp;L12652</f>
        <v/>
      </c>
    </row>
    <row r="12653">
      <c r="B12653" s="128" t="n">
        <v>44191</v>
      </c>
      <c r="C12653" s="88">
        <f>TEXT(B12653,"aaa")</f>
        <v/>
      </c>
      <c r="D12653" s="94" t="n"/>
      <c r="E12653" s="88">
        <f>INDEX(매칭테이블!C:D,MATCH(RD!G12653,매칭테이블!D:D,0),1)</f>
        <v/>
      </c>
      <c r="F12653" s="94" t="inlineStr">
        <is>
          <t>카페24</t>
        </is>
      </c>
      <c r="G12653" s="94" t="inlineStr">
        <is>
          <t>대용량 어성초 77 토너 500ml</t>
        </is>
      </c>
      <c r="K12653" s="94" t="n">
        <v>2</v>
      </c>
      <c r="L12653" s="88" t="n">
        <v>201208</v>
      </c>
      <c r="M12653" s="88">
        <f>VLOOKUP($Q12653,매칭테이블!$F:$I,2,0)*K12653</f>
        <v/>
      </c>
      <c r="N12653" s="88">
        <f>M12653-M12653*VLOOKUP($Q12653,매칭테이블!$F:$I,3,0)</f>
        <v/>
      </c>
      <c r="O12653" s="88">
        <f>VLOOKUP($Q12653,매칭테이블!$F:$I,4,0)*K12653</f>
        <v/>
      </c>
      <c r="P12653" s="152">
        <f>M12653/1.1</f>
        <v/>
      </c>
      <c r="Q12653" s="88">
        <f>F12653&amp;E12653&amp;G12653&amp;L12653</f>
        <v/>
      </c>
    </row>
    <row r="12654">
      <c r="B12654" s="128" t="n">
        <v>44191</v>
      </c>
      <c r="C12654" s="88">
        <f>TEXT(B12654,"aaa")</f>
        <v/>
      </c>
      <c r="D12654" s="94" t="n"/>
      <c r="E12654" s="88">
        <f>INDEX(매칭테이블!C:D,MATCH(RD!G12654,매칭테이블!D:D,0),1)</f>
        <v/>
      </c>
      <c r="F12654" s="94" t="inlineStr">
        <is>
          <t>카페24</t>
        </is>
      </c>
      <c r="G12654" s="94" t="inlineStr">
        <is>
          <t>아누아 어성초 77 수딩 토너토너(필수)=어성초 77 토너 1개-20% off</t>
        </is>
      </c>
      <c r="K12654" s="94" t="n">
        <v>1</v>
      </c>
      <c r="L12654" s="88" t="n">
        <v>201208</v>
      </c>
      <c r="M12654" s="88">
        <f>VLOOKUP($Q12654,매칭테이블!$F:$I,2,0)*K12654</f>
        <v/>
      </c>
      <c r="N12654" s="88">
        <f>M12654-M12654*VLOOKUP($Q12654,매칭테이블!$F:$I,3,0)</f>
        <v/>
      </c>
      <c r="O12654" s="88">
        <f>VLOOKUP($Q12654,매칭테이블!$F:$I,4,0)*K12654</f>
        <v/>
      </c>
      <c r="P12654" s="152">
        <f>M12654/1.1</f>
        <v/>
      </c>
      <c r="Q12654" s="88">
        <f>F12654&amp;E12654&amp;G12654&amp;L12654</f>
        <v/>
      </c>
    </row>
    <row r="12655">
      <c r="B12655" s="128" t="n">
        <v>44191</v>
      </c>
      <c r="C12655" s="88">
        <f>TEXT(B12655,"aaa")</f>
        <v/>
      </c>
      <c r="D12655" s="94" t="n"/>
      <c r="E12655" s="88">
        <f>INDEX(매칭테이블!C:D,MATCH(RD!G12655,매칭테이블!D:D,0),1)</f>
        <v/>
      </c>
      <c r="F12655" s="94" t="inlineStr">
        <is>
          <t>카페24</t>
        </is>
      </c>
      <c r="G12655" s="94" t="inlineStr">
        <is>
          <t>아누아 어성초 77 수딩 토너토너(필수)=어성초77토너1개 + 어성초77패드1개 -30% off (무료배송)</t>
        </is>
      </c>
      <c r="K12655" s="94" t="n">
        <v>1</v>
      </c>
      <c r="L12655" s="88" t="n">
        <v>201208</v>
      </c>
      <c r="M12655" s="88">
        <f>VLOOKUP($Q12655,매칭테이블!$F:$I,2,0)*K12655</f>
        <v/>
      </c>
      <c r="N12655" s="88">
        <f>M12655-M12655*VLOOKUP($Q12655,매칭테이블!$F:$I,3,0)</f>
        <v/>
      </c>
      <c r="O12655" s="88">
        <f>VLOOKUP($Q12655,매칭테이블!$F:$I,4,0)*K12655</f>
        <v/>
      </c>
      <c r="P12655" s="152">
        <f>M12655/1.1</f>
        <v/>
      </c>
      <c r="Q12655" s="88">
        <f>F12655&amp;E12655&amp;G12655&amp;L12655</f>
        <v/>
      </c>
    </row>
    <row r="12656">
      <c r="B12656" s="128" t="n">
        <v>44191</v>
      </c>
      <c r="C12656" s="88">
        <f>TEXT(B12656,"aaa")</f>
        <v/>
      </c>
      <c r="D12656" s="94" t="n"/>
      <c r="E12656" s="88">
        <f>INDEX(매칭테이블!C:D,MATCH(RD!G12656,매칭테이블!D:D,0),1)</f>
        <v/>
      </c>
      <c r="F12656" s="94" t="inlineStr">
        <is>
          <t>카페24</t>
        </is>
      </c>
      <c r="G12656" s="94" t="inlineStr">
        <is>
          <t>아누아 어성초 77 수딩 토너화장솜(선택)=촉촉 스킨팩 화장솜</t>
        </is>
      </c>
      <c r="K12656" s="94" t="n">
        <v>1</v>
      </c>
      <c r="L12656" s="88" t="n">
        <v>201208</v>
      </c>
      <c r="M12656" s="88">
        <f>VLOOKUP($Q12656,매칭테이블!$F:$I,2,0)*K12656</f>
        <v/>
      </c>
      <c r="N12656" s="88">
        <f>M12656-M12656*VLOOKUP($Q12656,매칭테이블!$F:$I,3,0)</f>
        <v/>
      </c>
      <c r="O12656" s="88">
        <f>VLOOKUP($Q12656,매칭테이블!$F:$I,4,0)*K12656</f>
        <v/>
      </c>
      <c r="P12656" s="152">
        <f>M12656/1.1</f>
        <v/>
      </c>
      <c r="Q12656" s="88">
        <f>F12656&amp;E12656&amp;G12656&amp;L12656</f>
        <v/>
      </c>
    </row>
    <row r="12657">
      <c r="B12657" s="128" t="n">
        <v>44191</v>
      </c>
      <c r="C12657" s="88">
        <f>TEXT(B12657,"aaa")</f>
        <v/>
      </c>
      <c r="D12657" s="94" t="n"/>
      <c r="E12657" s="88">
        <f>INDEX(매칭테이블!C:D,MATCH(RD!G12657,매칭테이블!D:D,0),1)</f>
        <v/>
      </c>
      <c r="F12657" s="94" t="inlineStr">
        <is>
          <t>카페24</t>
        </is>
      </c>
      <c r="G12657" s="94" t="inlineStr">
        <is>
          <t>어성초 70 데일리 릴리프 로션로션=어성초 70 데일리 릴리프 로션 1개 -20% off</t>
        </is>
      </c>
      <c r="K12657" s="94" t="n">
        <v>8</v>
      </c>
      <c r="L12657" s="88" t="n">
        <v>201208</v>
      </c>
      <c r="M12657" s="88">
        <f>VLOOKUP($Q12657,매칭테이블!$F:$I,2,0)*K12657</f>
        <v/>
      </c>
      <c r="N12657" s="88">
        <f>M12657-M12657*VLOOKUP($Q12657,매칭테이블!$F:$I,3,0)</f>
        <v/>
      </c>
      <c r="O12657" s="88">
        <f>VLOOKUP($Q12657,매칭테이블!$F:$I,4,0)*K12657</f>
        <v/>
      </c>
      <c r="P12657" s="152">
        <f>M12657/1.1</f>
        <v/>
      </c>
      <c r="Q12657" s="88">
        <f>F12657&amp;E12657&amp;G12657&amp;L12657</f>
        <v/>
      </c>
    </row>
    <row r="12658">
      <c r="B12658" s="128" t="n">
        <v>44191</v>
      </c>
      <c r="C12658" s="88">
        <f>TEXT(B12658,"aaa")</f>
        <v/>
      </c>
      <c r="D12658" s="94" t="n"/>
      <c r="E12658" s="88">
        <f>INDEX(매칭테이블!C:D,MATCH(RD!G12658,매칭테이블!D:D,0),1)</f>
        <v/>
      </c>
      <c r="F12658" s="94" t="inlineStr">
        <is>
          <t>카페24</t>
        </is>
      </c>
      <c r="G12658" s="94" t="inlineStr">
        <is>
          <t>어성초 70 데일리 릴리프 로션로션=어성초 70 데일리 릴리프 로션 2개 -30% off</t>
        </is>
      </c>
      <c r="K12658" s="94" t="n">
        <v>1</v>
      </c>
      <c r="L12658" s="88" t="n">
        <v>201208</v>
      </c>
      <c r="M12658" s="88">
        <f>VLOOKUP($Q12658,매칭테이블!$F:$I,2,0)*K12658</f>
        <v/>
      </c>
      <c r="N12658" s="88">
        <f>M12658-M12658*VLOOKUP($Q12658,매칭테이블!$F:$I,3,0)</f>
        <v/>
      </c>
      <c r="O12658" s="88">
        <f>VLOOKUP($Q12658,매칭테이블!$F:$I,4,0)*K12658</f>
        <v/>
      </c>
      <c r="P12658" s="152">
        <f>M12658/1.1</f>
        <v/>
      </c>
      <c r="Q12658" s="88">
        <f>F12658&amp;E12658&amp;G12658&amp;L12658</f>
        <v/>
      </c>
    </row>
    <row r="12659">
      <c r="B12659" s="128" t="n">
        <v>44191</v>
      </c>
      <c r="C12659" s="88">
        <f>TEXT(B12659,"aaa")</f>
        <v/>
      </c>
      <c r="D12659" s="94" t="n"/>
      <c r="E12659" s="88">
        <f>INDEX(매칭테이블!C:D,MATCH(RD!G12659,매칭테이블!D:D,0),1)</f>
        <v/>
      </c>
      <c r="F12659" s="94" t="inlineStr">
        <is>
          <t>카페24</t>
        </is>
      </c>
      <c r="G12659" s="94" t="inlineStr">
        <is>
          <t>어성초 70 데일리 릴리프 로션로션=어성초 77토너 + 어성초 70 로션 수분 보충 세트 -30% off</t>
        </is>
      </c>
      <c r="K12659" s="94" t="n">
        <v>4</v>
      </c>
      <c r="L12659" s="88" t="n">
        <v>201208</v>
      </c>
      <c r="M12659" s="88">
        <f>VLOOKUP($Q12659,매칭테이블!$F:$I,2,0)*K12659</f>
        <v/>
      </c>
      <c r="N12659" s="88">
        <f>M12659-M12659*VLOOKUP($Q12659,매칭테이블!$F:$I,3,0)</f>
        <v/>
      </c>
      <c r="O12659" s="88">
        <f>VLOOKUP($Q12659,매칭테이블!$F:$I,4,0)*K12659</f>
        <v/>
      </c>
      <c r="P12659" s="152">
        <f>M12659/1.1</f>
        <v/>
      </c>
      <c r="Q12659" s="88">
        <f>F12659&amp;E12659&amp;G12659&amp;L12659</f>
        <v/>
      </c>
    </row>
    <row r="12660">
      <c r="B12660" s="128" t="n">
        <v>44191</v>
      </c>
      <c r="C12660" s="88">
        <f>TEXT(B12660,"aaa")</f>
        <v/>
      </c>
      <c r="D12660" s="94" t="n"/>
      <c r="E12660" s="88">
        <f>INDEX(매칭테이블!C:D,MATCH(RD!G12660,매칭테이블!D:D,0),1)</f>
        <v/>
      </c>
      <c r="F12660" s="94" t="inlineStr">
        <is>
          <t>카페24</t>
        </is>
      </c>
      <c r="G12660" s="94" t="inlineStr">
        <is>
          <t>어성초 70 머드 크림 마스크옵션=어성초 70 머드 크림 마스크-20% off</t>
        </is>
      </c>
      <c r="K12660" s="94" t="n">
        <v>3</v>
      </c>
      <c r="L12660" s="88" t="n">
        <v>201208</v>
      </c>
      <c r="M12660" s="88">
        <f>VLOOKUP($Q12660,매칭테이블!$F:$I,2,0)*K12660</f>
        <v/>
      </c>
      <c r="N12660" s="88">
        <f>M12660-M12660*VLOOKUP($Q12660,매칭테이블!$F:$I,3,0)</f>
        <v/>
      </c>
      <c r="O12660" s="88">
        <f>VLOOKUP($Q12660,매칭테이블!$F:$I,4,0)*K12660</f>
        <v/>
      </c>
      <c r="P12660" s="152">
        <f>M12660/1.1</f>
        <v/>
      </c>
      <c r="Q12660" s="88">
        <f>F12660&amp;E12660&amp;G12660&amp;L12660</f>
        <v/>
      </c>
    </row>
    <row r="12661">
      <c r="B12661" s="128" t="n">
        <v>44191</v>
      </c>
      <c r="C12661" s="88">
        <f>TEXT(B12661,"aaa")</f>
        <v/>
      </c>
      <c r="D12661" s="94" t="n"/>
      <c r="E12661" s="88">
        <f>INDEX(매칭테이블!C:D,MATCH(RD!G12661,매칭테이블!D:D,0),1)</f>
        <v/>
      </c>
      <c r="F12661" s="94" t="inlineStr">
        <is>
          <t>카페24</t>
        </is>
      </c>
      <c r="G12661" s="94" t="inlineStr">
        <is>
          <t>어성초 70 머드 크림 마스크옵션=어성초 70 머드 크림 마스크 2개-30% off (무료배송)</t>
        </is>
      </c>
      <c r="K12661" s="94" t="n">
        <v>1</v>
      </c>
      <c r="L12661" s="88" t="n">
        <v>201208</v>
      </c>
      <c r="M12661" s="88">
        <f>VLOOKUP($Q12661,매칭테이블!$F:$I,2,0)*K12661</f>
        <v/>
      </c>
      <c r="N12661" s="88">
        <f>M12661-M12661*VLOOKUP($Q12661,매칭테이블!$F:$I,3,0)</f>
        <v/>
      </c>
      <c r="O12661" s="88">
        <f>VLOOKUP($Q12661,매칭테이블!$F:$I,4,0)*K12661</f>
        <v/>
      </c>
      <c r="P12661" s="152">
        <f>M12661/1.1</f>
        <v/>
      </c>
      <c r="Q12661" s="88">
        <f>F12661&amp;E12661&amp;G12661&amp;L12661</f>
        <v/>
      </c>
    </row>
    <row r="12662">
      <c r="B12662" s="128" t="n">
        <v>44191</v>
      </c>
      <c r="C12662" s="88">
        <f>TEXT(B12662,"aaa")</f>
        <v/>
      </c>
      <c r="D12662" s="94" t="n"/>
      <c r="E12662" s="88">
        <f>INDEX(매칭테이블!C:D,MATCH(RD!G12662,매칭테이블!D:D,0),1)</f>
        <v/>
      </c>
      <c r="F12662" s="94" t="inlineStr">
        <is>
          <t>카페24</t>
        </is>
      </c>
      <c r="G12662" s="94" t="inlineStr">
        <is>
          <t>어성초 70 인텐스 카밍 크림크림=어성초 70 인텐스 카밍 크림 1개 (-20%)</t>
        </is>
      </c>
      <c r="K12662" s="94" t="n">
        <v>2</v>
      </c>
      <c r="L12662" s="88" t="n">
        <v>201208</v>
      </c>
      <c r="M12662" s="88">
        <f>VLOOKUP($Q12662,매칭테이블!$F:$I,2,0)*K12662</f>
        <v/>
      </c>
      <c r="N12662" s="88">
        <f>M12662-M12662*VLOOKUP($Q12662,매칭테이블!$F:$I,3,0)</f>
        <v/>
      </c>
      <c r="O12662" s="88">
        <f>VLOOKUP($Q12662,매칭테이블!$F:$I,4,0)*K12662</f>
        <v/>
      </c>
      <c r="P12662" s="152">
        <f>M12662/1.1</f>
        <v/>
      </c>
      <c r="Q12662" s="88">
        <f>F12662&amp;E12662&amp;G12662&amp;L12662</f>
        <v/>
      </c>
    </row>
    <row r="12663">
      <c r="B12663" s="128" t="n">
        <v>44191</v>
      </c>
      <c r="C12663" s="88">
        <f>TEXT(B12663,"aaa")</f>
        <v/>
      </c>
      <c r="D12663" s="94" t="n"/>
      <c r="E12663" s="88">
        <f>INDEX(매칭테이블!C:D,MATCH(RD!G12663,매칭테이블!D:D,0),1)</f>
        <v/>
      </c>
      <c r="F12663" s="94" t="inlineStr">
        <is>
          <t>카페24</t>
        </is>
      </c>
      <c r="G12663" s="94" t="inlineStr">
        <is>
          <t>어성초 77 수딩 토너토너(필수)=어성초 77 토너 1개-20% off</t>
        </is>
      </c>
      <c r="K12663" s="94" t="n">
        <v>64</v>
      </c>
      <c r="L12663" s="88" t="n">
        <v>201208</v>
      </c>
      <c r="M12663" s="88">
        <f>VLOOKUP($Q12663,매칭테이블!$F:$I,2,0)*K12663</f>
        <v/>
      </c>
      <c r="N12663" s="88">
        <f>M12663-M12663*VLOOKUP($Q12663,매칭테이블!$F:$I,3,0)</f>
        <v/>
      </c>
      <c r="O12663" s="88">
        <f>VLOOKUP($Q12663,매칭테이블!$F:$I,4,0)*K12663</f>
        <v/>
      </c>
      <c r="P12663" s="152">
        <f>M12663/1.1</f>
        <v/>
      </c>
      <c r="Q12663" s="88">
        <f>F12663&amp;E12663&amp;G12663&amp;L12663</f>
        <v/>
      </c>
    </row>
    <row r="12664">
      <c r="B12664" s="128" t="n">
        <v>44191</v>
      </c>
      <c r="C12664" s="88">
        <f>TEXT(B12664,"aaa")</f>
        <v/>
      </c>
      <c r="D12664" s="94" t="n"/>
      <c r="E12664" s="88">
        <f>INDEX(매칭테이블!C:D,MATCH(RD!G12664,매칭테이블!D:D,0),1)</f>
        <v/>
      </c>
      <c r="F12664" s="94" t="inlineStr">
        <is>
          <t>카페24</t>
        </is>
      </c>
      <c r="G12664" s="94" t="inlineStr">
        <is>
          <t>어성초 77 수딩 토너토너(필수)=어성초 77 토너 2개-30% off (무료배송)</t>
        </is>
      </c>
      <c r="K12664" s="94" t="n">
        <v>36</v>
      </c>
      <c r="L12664" s="88" t="n">
        <v>201208</v>
      </c>
      <c r="M12664" s="88">
        <f>VLOOKUP($Q12664,매칭테이블!$F:$I,2,0)*K12664</f>
        <v/>
      </c>
      <c r="N12664" s="88">
        <f>M12664-M12664*VLOOKUP($Q12664,매칭테이블!$F:$I,3,0)</f>
        <v/>
      </c>
      <c r="O12664" s="88">
        <f>VLOOKUP($Q12664,매칭테이블!$F:$I,4,0)*K12664</f>
        <v/>
      </c>
      <c r="P12664" s="152">
        <f>M12664/1.1</f>
        <v/>
      </c>
      <c r="Q12664" s="88">
        <f>F12664&amp;E12664&amp;G12664&amp;L12664</f>
        <v/>
      </c>
    </row>
    <row r="12665">
      <c r="B12665" s="128" t="n">
        <v>44191</v>
      </c>
      <c r="C12665" s="88">
        <f>TEXT(B12665,"aaa")</f>
        <v/>
      </c>
      <c r="D12665" s="94" t="n"/>
      <c r="E12665" s="88">
        <f>INDEX(매칭테이블!C:D,MATCH(RD!G12665,매칭테이블!D:D,0),1)</f>
        <v/>
      </c>
      <c r="F12665" s="94" t="inlineStr">
        <is>
          <t>카페24</t>
        </is>
      </c>
      <c r="G12665" s="94" t="inlineStr">
        <is>
          <t>어성초 77 수딩 토너토너(필수)=어성초77토너1개 + 어성초77패드1개 -30% off (무료배송)</t>
        </is>
      </c>
      <c r="K12665" s="94" t="n">
        <v>35</v>
      </c>
      <c r="L12665" s="88" t="n">
        <v>201208</v>
      </c>
      <c r="M12665" s="88">
        <f>VLOOKUP($Q12665,매칭테이블!$F:$I,2,0)*K12665</f>
        <v/>
      </c>
      <c r="N12665" s="88">
        <f>M12665-M12665*VLOOKUP($Q12665,매칭테이블!$F:$I,3,0)</f>
        <v/>
      </c>
      <c r="O12665" s="88">
        <f>VLOOKUP($Q12665,매칭테이블!$F:$I,4,0)*K12665</f>
        <v/>
      </c>
      <c r="P12665" s="152">
        <f>M12665/1.1</f>
        <v/>
      </c>
      <c r="Q12665" s="88">
        <f>F12665&amp;E12665&amp;G12665&amp;L12665</f>
        <v/>
      </c>
    </row>
    <row r="12666">
      <c r="B12666" s="128" t="n">
        <v>44191</v>
      </c>
      <c r="C12666" s="88">
        <f>TEXT(B12666,"aaa")</f>
        <v/>
      </c>
      <c r="D12666" s="94" t="n"/>
      <c r="E12666" s="88">
        <f>INDEX(매칭테이블!C:D,MATCH(RD!G12666,매칭테이블!D:D,0),1)</f>
        <v/>
      </c>
      <c r="F12666" s="94" t="inlineStr">
        <is>
          <t>카페24</t>
        </is>
      </c>
      <c r="G12666" s="94" t="inlineStr">
        <is>
          <t>어성초 77 수딩 토너화장솜(선택)=촉촉 스킨팩 화장솜</t>
        </is>
      </c>
      <c r="K12666" s="94" t="n">
        <v>59</v>
      </c>
      <c r="L12666" s="88" t="n">
        <v>201208</v>
      </c>
      <c r="M12666" s="88">
        <f>VLOOKUP($Q12666,매칭테이블!$F:$I,2,0)*K12666</f>
        <v/>
      </c>
      <c r="N12666" s="88">
        <f>M12666-M12666*VLOOKUP($Q12666,매칭테이블!$F:$I,3,0)</f>
        <v/>
      </c>
      <c r="O12666" s="88">
        <f>VLOOKUP($Q12666,매칭테이블!$F:$I,4,0)*K12666</f>
        <v/>
      </c>
      <c r="P12666" s="152">
        <f>M12666/1.1</f>
        <v/>
      </c>
      <c r="Q12666" s="88">
        <f>F12666&amp;E12666&amp;G12666&amp;L12666</f>
        <v/>
      </c>
    </row>
    <row r="12667">
      <c r="B12667" s="128" t="n">
        <v>44191</v>
      </c>
      <c r="C12667" s="88">
        <f>TEXT(B12667,"aaa")</f>
        <v/>
      </c>
      <c r="D12667" s="94" t="n"/>
      <c r="E12667" s="88">
        <f>INDEX(매칭테이블!C:D,MATCH(RD!G12667,매칭테이블!D:D,0),1)</f>
        <v/>
      </c>
      <c r="F12667" s="94" t="inlineStr">
        <is>
          <t>카페24</t>
        </is>
      </c>
      <c r="G12667" s="94" t="inlineStr">
        <is>
          <t>어성초 77 수딩 토너토너(필수)=어성초 77 토너 1개-20% off</t>
        </is>
      </c>
      <c r="K12667" s="94" t="n">
        <v>1</v>
      </c>
      <c r="L12667" s="88" t="n">
        <v>201208</v>
      </c>
      <c r="M12667" s="88">
        <f>VLOOKUP($Q12667,매칭테이블!$F:$I,2,0)*K12667</f>
        <v/>
      </c>
      <c r="N12667" s="88">
        <f>M12667-M12667*VLOOKUP($Q12667,매칭테이블!$F:$I,3,0)</f>
        <v/>
      </c>
      <c r="O12667" s="88">
        <f>VLOOKUP($Q12667,매칭테이블!$F:$I,4,0)*K12667</f>
        <v/>
      </c>
      <c r="P12667" s="152">
        <f>M12667/1.1</f>
        <v/>
      </c>
      <c r="Q12667" s="88">
        <f>F12667&amp;E12667&amp;G12667&amp;L12667</f>
        <v/>
      </c>
    </row>
    <row r="12668">
      <c r="B12668" s="128" t="n">
        <v>44191</v>
      </c>
      <c r="C12668" s="88">
        <f>TEXT(B12668,"aaa")</f>
        <v/>
      </c>
      <c r="D12668" s="94" t="n"/>
      <c r="E12668" s="88">
        <f>INDEX(매칭테이블!C:D,MATCH(RD!G12668,매칭테이블!D:D,0),1)</f>
        <v/>
      </c>
      <c r="F12668" s="94" t="inlineStr">
        <is>
          <t>카페24</t>
        </is>
      </c>
      <c r="G12668" s="94" t="inlineStr">
        <is>
          <t>어성초 77 수딩 토너토너(필수)=(대용량) 어성초 77 토너 500ml (무료배송)</t>
        </is>
      </c>
      <c r="K12668" s="94" t="n">
        <v>1</v>
      </c>
      <c r="L12668" s="88" t="n">
        <v>201208</v>
      </c>
      <c r="M12668" s="88">
        <f>VLOOKUP($Q12668,매칭테이블!$F:$I,2,0)*K12668</f>
        <v/>
      </c>
      <c r="N12668" s="88">
        <f>M12668-M12668*VLOOKUP($Q12668,매칭테이블!$F:$I,3,0)</f>
        <v/>
      </c>
      <c r="O12668" s="88">
        <f>VLOOKUP($Q12668,매칭테이블!$F:$I,4,0)*K12668</f>
        <v/>
      </c>
      <c r="P12668" s="152">
        <f>M12668/1.1</f>
        <v/>
      </c>
      <c r="Q12668" s="88">
        <f>F12668&amp;E12668&amp;G12668&amp;L12668</f>
        <v/>
      </c>
    </row>
    <row r="12669">
      <c r="B12669" s="128" t="n">
        <v>44191</v>
      </c>
      <c r="C12669" s="88">
        <f>TEXT(B12669,"aaa")</f>
        <v/>
      </c>
      <c r="D12669" s="94" t="n"/>
      <c r="E12669" s="88">
        <f>INDEX(매칭테이블!C:D,MATCH(RD!G12669,매칭테이블!D:D,0),1)</f>
        <v/>
      </c>
      <c r="F12669" s="94" t="inlineStr">
        <is>
          <t>카페24</t>
        </is>
      </c>
      <c r="G12669" s="94" t="inlineStr">
        <is>
          <t>어성초 77 진정 마스크옵션=어성초 77 진정 마스크팩 10장-50% off</t>
        </is>
      </c>
      <c r="K12669" s="94" t="n">
        <v>6</v>
      </c>
      <c r="L12669" s="88" t="n">
        <v>201208</v>
      </c>
      <c r="M12669" s="88">
        <f>VLOOKUP($Q12669,매칭테이블!$F:$I,2,0)*K12669</f>
        <v/>
      </c>
      <c r="N12669" s="88">
        <f>M12669-M12669*VLOOKUP($Q12669,매칭테이블!$F:$I,3,0)</f>
        <v/>
      </c>
      <c r="O12669" s="88">
        <f>VLOOKUP($Q12669,매칭테이블!$F:$I,4,0)*K12669</f>
        <v/>
      </c>
      <c r="P12669" s="152">
        <f>M12669/1.1</f>
        <v/>
      </c>
      <c r="Q12669" s="88">
        <f>F12669&amp;E12669&amp;G12669&amp;L12669</f>
        <v/>
      </c>
    </row>
    <row r="12670">
      <c r="B12670" s="128" t="n">
        <v>44191</v>
      </c>
      <c r="C12670" s="88">
        <f>TEXT(B12670,"aaa")</f>
        <v/>
      </c>
      <c r="D12670" s="94" t="n"/>
      <c r="E12670" s="88">
        <f>INDEX(매칭테이블!C:D,MATCH(RD!G12670,매칭테이블!D:D,0),1)</f>
        <v/>
      </c>
      <c r="F12670" s="94" t="inlineStr">
        <is>
          <t>카페24</t>
        </is>
      </c>
      <c r="G12670" s="94" t="inlineStr">
        <is>
          <t>어성초 77 진정 마스크</t>
        </is>
      </c>
      <c r="K12670" s="94" t="n">
        <v>1</v>
      </c>
      <c r="L12670" s="88" t="n">
        <v>201208</v>
      </c>
      <c r="M12670" s="88">
        <f>VLOOKUP($Q12670,매칭테이블!$F:$I,2,0)*K12670</f>
        <v/>
      </c>
      <c r="N12670" s="88">
        <f>M12670-M12670*VLOOKUP($Q12670,매칭테이블!$F:$I,3,0)</f>
        <v/>
      </c>
      <c r="O12670" s="88">
        <f>VLOOKUP($Q12670,매칭테이블!$F:$I,4,0)*K12670</f>
        <v/>
      </c>
      <c r="P12670" s="152">
        <f>M12670/1.1</f>
        <v/>
      </c>
      <c r="Q12670" s="88">
        <f>F12670&amp;E12670&amp;G12670&amp;L12670</f>
        <v/>
      </c>
    </row>
    <row r="12671">
      <c r="B12671" s="128" t="n">
        <v>44191</v>
      </c>
      <c r="C12671" s="88">
        <f>TEXT(B12671,"aaa")</f>
        <v/>
      </c>
      <c r="D12671" s="94" t="n"/>
      <c r="E12671" s="88">
        <f>INDEX(매칭테이블!C:D,MATCH(RD!G12671,매칭테이블!D:D,0),1)</f>
        <v/>
      </c>
      <c r="F12671" s="94" t="inlineStr">
        <is>
          <t>카페24</t>
        </is>
      </c>
      <c r="G12671" s="94" t="inlineStr">
        <is>
          <t>어성초 77 클리어 패드옵션=어성초 77 클리어 패드 1개-20% off</t>
        </is>
      </c>
      <c r="K12671" s="94" t="n">
        <v>59</v>
      </c>
      <c r="L12671" s="88" t="n">
        <v>201208</v>
      </c>
      <c r="M12671" s="88">
        <f>VLOOKUP($Q12671,매칭테이블!$F:$I,2,0)*K12671</f>
        <v/>
      </c>
      <c r="N12671" s="88">
        <f>M12671-M12671*VLOOKUP($Q12671,매칭테이블!$F:$I,3,0)</f>
        <v/>
      </c>
      <c r="O12671" s="88">
        <f>VLOOKUP($Q12671,매칭테이블!$F:$I,4,0)*K12671</f>
        <v/>
      </c>
      <c r="P12671" s="152">
        <f>M12671/1.1</f>
        <v/>
      </c>
      <c r="Q12671" s="88">
        <f>F12671&amp;E12671&amp;G12671&amp;L12671</f>
        <v/>
      </c>
    </row>
    <row r="12672">
      <c r="B12672" s="128" t="n">
        <v>44191</v>
      </c>
      <c r="C12672" s="88">
        <f>TEXT(B12672,"aaa")</f>
        <v/>
      </c>
      <c r="D12672" s="94" t="n"/>
      <c r="E12672" s="88">
        <f>INDEX(매칭테이블!C:D,MATCH(RD!G12672,매칭테이블!D:D,0),1)</f>
        <v/>
      </c>
      <c r="F12672" s="94" t="inlineStr">
        <is>
          <t>카페24</t>
        </is>
      </c>
      <c r="G12672" s="94" t="inlineStr">
        <is>
          <t>어성초 77 클리어 패드옵션=어성초 77 클리어 패드 2개-30% off (무료배송)</t>
        </is>
      </c>
      <c r="K12672" s="94" t="n">
        <v>74</v>
      </c>
      <c r="L12672" s="88" t="n">
        <v>201208</v>
      </c>
      <c r="M12672" s="88">
        <f>VLOOKUP($Q12672,매칭테이블!$F:$I,2,0)*K12672</f>
        <v/>
      </c>
      <c r="N12672" s="88">
        <f>M12672-M12672*VLOOKUP($Q12672,매칭테이블!$F:$I,3,0)</f>
        <v/>
      </c>
      <c r="O12672" s="88">
        <f>VLOOKUP($Q12672,매칭테이블!$F:$I,4,0)*K12672</f>
        <v/>
      </c>
      <c r="P12672" s="152">
        <f>M12672/1.1</f>
        <v/>
      </c>
      <c r="Q12672" s="88">
        <f>F12672&amp;E12672&amp;G12672&amp;L12672</f>
        <v/>
      </c>
    </row>
    <row r="12673">
      <c r="B12673" s="128" t="n">
        <v>44191</v>
      </c>
      <c r="C12673" s="88">
        <f>TEXT(B12673,"aaa")</f>
        <v/>
      </c>
      <c r="D12673" s="94" t="n"/>
      <c r="E12673" s="88">
        <f>INDEX(매칭테이블!C:D,MATCH(RD!G12673,매칭테이블!D:D,0),1)</f>
        <v/>
      </c>
      <c r="F12673" s="94" t="inlineStr">
        <is>
          <t>카페24</t>
        </is>
      </c>
      <c r="G12673" s="94" t="inlineStr">
        <is>
          <t>어성초 77 클리어 패드옵션=어성초77토너1개+어성초77패드1개-30% off (무료배송)</t>
        </is>
      </c>
      <c r="K12673" s="94" t="n">
        <v>62</v>
      </c>
      <c r="L12673" s="88" t="n">
        <v>201208</v>
      </c>
      <c r="M12673" s="88">
        <f>VLOOKUP($Q12673,매칭테이블!$F:$I,2,0)*K12673</f>
        <v/>
      </c>
      <c r="N12673" s="88">
        <f>M12673-M12673*VLOOKUP($Q12673,매칭테이블!$F:$I,3,0)</f>
        <v/>
      </c>
      <c r="O12673" s="88">
        <f>VLOOKUP($Q12673,매칭테이블!$F:$I,4,0)*K12673</f>
        <v/>
      </c>
      <c r="P12673" s="152">
        <f>M12673/1.1</f>
        <v/>
      </c>
      <c r="Q12673" s="88">
        <f>F12673&amp;E12673&amp;G12673&amp;L12673</f>
        <v/>
      </c>
    </row>
    <row r="12674">
      <c r="B12674" s="128" t="n">
        <v>44191</v>
      </c>
      <c r="C12674" s="88">
        <f>TEXT(B12674,"aaa")</f>
        <v/>
      </c>
      <c r="D12674" s="94" t="n"/>
      <c r="E12674" s="88">
        <f>INDEX(매칭테이블!C:D,MATCH(RD!G12674,매칭테이블!D:D,0),1)</f>
        <v/>
      </c>
      <c r="F12674" s="94" t="inlineStr">
        <is>
          <t>카페24</t>
        </is>
      </c>
      <c r="G12674" s="94" t="inlineStr">
        <is>
          <t>어성초 77 토너토너(필수)=어성초 77 토너 1개-20% off</t>
        </is>
      </c>
      <c r="K12674" s="94" t="n">
        <v>1</v>
      </c>
      <c r="L12674" s="88" t="n">
        <v>201208</v>
      </c>
      <c r="M12674" s="88">
        <f>VLOOKUP($Q12674,매칭테이블!$F:$I,2,0)*K12674</f>
        <v/>
      </c>
      <c r="N12674" s="88">
        <f>M12674-M12674*VLOOKUP($Q12674,매칭테이블!$F:$I,3,0)</f>
        <v/>
      </c>
      <c r="O12674" s="88">
        <f>VLOOKUP($Q12674,매칭테이블!$F:$I,4,0)*K12674</f>
        <v/>
      </c>
      <c r="P12674" s="152">
        <f>M12674/1.1</f>
        <v/>
      </c>
      <c r="Q12674" s="88">
        <f>F12674&amp;E12674&amp;G12674&amp;L12674</f>
        <v/>
      </c>
    </row>
    <row r="12675">
      <c r="B12675" s="128" t="n">
        <v>44191</v>
      </c>
      <c r="C12675" s="88">
        <f>TEXT(B12675,"aaa")</f>
        <v/>
      </c>
      <c r="D12675" s="94" t="n"/>
      <c r="E12675" s="88">
        <f>INDEX(매칭테이블!C:D,MATCH(RD!G12675,매칭테이블!D:D,0),1)</f>
        <v/>
      </c>
      <c r="F12675" s="94" t="inlineStr">
        <is>
          <t>카페24</t>
        </is>
      </c>
      <c r="G12675" s="94" t="inlineStr">
        <is>
          <t>어성초 77 포어 클리어 패드옵션=어성초 77 클리어 패드 1개-20% off</t>
        </is>
      </c>
      <c r="K12675" s="94" t="n">
        <v>18</v>
      </c>
      <c r="L12675" s="88" t="n">
        <v>201208</v>
      </c>
      <c r="M12675" s="88">
        <f>VLOOKUP($Q12675,매칭테이블!$F:$I,2,0)*K12675</f>
        <v/>
      </c>
      <c r="N12675" s="88">
        <f>M12675-M12675*VLOOKUP($Q12675,매칭테이블!$F:$I,3,0)</f>
        <v/>
      </c>
      <c r="O12675" s="88">
        <f>VLOOKUP($Q12675,매칭테이블!$F:$I,4,0)*K12675</f>
        <v/>
      </c>
      <c r="P12675" s="152">
        <f>M12675/1.1</f>
        <v/>
      </c>
      <c r="Q12675" s="88">
        <f>F12675&amp;E12675&amp;G12675&amp;L12675</f>
        <v/>
      </c>
    </row>
    <row r="12676">
      <c r="B12676" s="128" t="n">
        <v>44191</v>
      </c>
      <c r="C12676" s="88">
        <f>TEXT(B12676,"aaa")</f>
        <v/>
      </c>
      <c r="D12676" s="94" t="n"/>
      <c r="E12676" s="88">
        <f>INDEX(매칭테이블!C:D,MATCH(RD!G12676,매칭테이블!D:D,0),1)</f>
        <v/>
      </c>
      <c r="F12676" s="94" t="inlineStr">
        <is>
          <t>카페24</t>
        </is>
      </c>
      <c r="G12676" s="94" t="inlineStr">
        <is>
          <t>어성초 77 포어 클리어 패드옵션=어성초 77 클리어 패드 2개-30% off (무료배송)</t>
        </is>
      </c>
      <c r="K12676" s="94" t="n">
        <v>24</v>
      </c>
      <c r="L12676" s="88" t="n">
        <v>201208</v>
      </c>
      <c r="M12676" s="88">
        <f>VLOOKUP($Q12676,매칭테이블!$F:$I,2,0)*K12676</f>
        <v/>
      </c>
      <c r="N12676" s="88">
        <f>M12676-M12676*VLOOKUP($Q12676,매칭테이블!$F:$I,3,0)</f>
        <v/>
      </c>
      <c r="O12676" s="88">
        <f>VLOOKUP($Q12676,매칭테이블!$F:$I,4,0)*K12676</f>
        <v/>
      </c>
      <c r="P12676" s="152">
        <f>M12676/1.1</f>
        <v/>
      </c>
      <c r="Q12676" s="88">
        <f>F12676&amp;E12676&amp;G12676&amp;L12676</f>
        <v/>
      </c>
    </row>
    <row r="12677">
      <c r="B12677" s="128" t="n">
        <v>44191</v>
      </c>
      <c r="C12677" s="88">
        <f>TEXT(B12677,"aaa")</f>
        <v/>
      </c>
      <c r="D12677" s="94" t="n"/>
      <c r="E12677" s="88">
        <f>INDEX(매칭테이블!C:D,MATCH(RD!G12677,매칭테이블!D:D,0),1)</f>
        <v/>
      </c>
      <c r="F12677" s="94" t="inlineStr">
        <is>
          <t>카페24</t>
        </is>
      </c>
      <c r="G12677" s="94" t="inlineStr">
        <is>
          <t>어성초 77 포어 클리어 패드옵션=어성초77토너1개+어성초77패드1개-30% off (무료배송)</t>
        </is>
      </c>
      <c r="K12677" s="94" t="n">
        <v>12</v>
      </c>
      <c r="L12677" s="88" t="n">
        <v>201208</v>
      </c>
      <c r="M12677" s="88">
        <f>VLOOKUP($Q12677,매칭테이블!$F:$I,2,0)*K12677</f>
        <v/>
      </c>
      <c r="N12677" s="88">
        <f>M12677-M12677*VLOOKUP($Q12677,매칭테이블!$F:$I,3,0)</f>
        <v/>
      </c>
      <c r="O12677" s="88">
        <f>VLOOKUP($Q12677,매칭테이블!$F:$I,4,0)*K12677</f>
        <v/>
      </c>
      <c r="P12677" s="152">
        <f>M12677/1.1</f>
        <v/>
      </c>
      <c r="Q12677" s="88">
        <f>F12677&amp;E12677&amp;G12677&amp;L12677</f>
        <v/>
      </c>
    </row>
    <row r="12678">
      <c r="B12678" s="128" t="n">
        <v>44191</v>
      </c>
      <c r="C12678" s="88">
        <f>TEXT(B12678,"aaa")</f>
        <v/>
      </c>
      <c r="D12678" s="94" t="n"/>
      <c r="E12678" s="88">
        <f>INDEX(매칭테이블!C:D,MATCH(RD!G12678,매칭테이블!D:D,0),1)</f>
        <v/>
      </c>
      <c r="F12678" s="94" t="inlineStr">
        <is>
          <t>카페24</t>
        </is>
      </c>
      <c r="G12678" s="94" t="inlineStr">
        <is>
          <t>어성초 77% 패드옵션=어성초 77 클리어 패드 1개-20% off</t>
        </is>
      </c>
      <c r="K12678" s="94" t="n">
        <v>104</v>
      </c>
      <c r="L12678" s="88" t="n">
        <v>201208</v>
      </c>
      <c r="M12678" s="88">
        <f>VLOOKUP($Q12678,매칭테이블!$F:$I,2,0)*K12678</f>
        <v/>
      </c>
      <c r="N12678" s="88">
        <f>M12678-M12678*VLOOKUP($Q12678,매칭테이블!$F:$I,3,0)</f>
        <v/>
      </c>
      <c r="O12678" s="88">
        <f>VLOOKUP($Q12678,매칭테이블!$F:$I,4,0)*K12678</f>
        <v/>
      </c>
      <c r="P12678" s="152">
        <f>M12678/1.1</f>
        <v/>
      </c>
      <c r="Q12678" s="88">
        <f>F12678&amp;E12678&amp;G12678&amp;L12678</f>
        <v/>
      </c>
    </row>
    <row r="12679">
      <c r="B12679" s="128" t="n">
        <v>44191</v>
      </c>
      <c r="C12679" s="88">
        <f>TEXT(B12679,"aaa")</f>
        <v/>
      </c>
      <c r="D12679" s="94" t="n"/>
      <c r="E12679" s="88">
        <f>INDEX(매칭테이블!C:D,MATCH(RD!G12679,매칭테이블!D:D,0),1)</f>
        <v/>
      </c>
      <c r="F12679" s="94" t="inlineStr">
        <is>
          <t>카페24</t>
        </is>
      </c>
      <c r="G12679" s="94" t="inlineStr">
        <is>
          <t>어성초 77% 패드옵션=어성초 77 클리어 패드 2개-30% off (무료배송)</t>
        </is>
      </c>
      <c r="K12679" s="94" t="n">
        <v>105</v>
      </c>
      <c r="L12679" s="88" t="n">
        <v>201208</v>
      </c>
      <c r="M12679" s="88">
        <f>VLOOKUP($Q12679,매칭테이블!$F:$I,2,0)*K12679</f>
        <v/>
      </c>
      <c r="N12679" s="88">
        <f>M12679-M12679*VLOOKUP($Q12679,매칭테이블!$F:$I,3,0)</f>
        <v/>
      </c>
      <c r="O12679" s="88">
        <f>VLOOKUP($Q12679,매칭테이블!$F:$I,4,0)*K12679</f>
        <v/>
      </c>
      <c r="P12679" s="152">
        <f>M12679/1.1</f>
        <v/>
      </c>
      <c r="Q12679" s="88">
        <f>F12679&amp;E12679&amp;G12679&amp;L12679</f>
        <v/>
      </c>
    </row>
    <row r="12680">
      <c r="B12680" s="128" t="n">
        <v>44191</v>
      </c>
      <c r="C12680" s="88">
        <f>TEXT(B12680,"aaa")</f>
        <v/>
      </c>
      <c r="D12680" s="94" t="n"/>
      <c r="E12680" s="88">
        <f>INDEX(매칭테이블!C:D,MATCH(RD!G12680,매칭테이블!D:D,0),1)</f>
        <v/>
      </c>
      <c r="F12680" s="94" t="inlineStr">
        <is>
          <t>카페24</t>
        </is>
      </c>
      <c r="G12680" s="94" t="inlineStr">
        <is>
          <t>어성초 77% 패드옵션=어성초77토너1개+어성초77패드1개-30% off (무료배송)</t>
        </is>
      </c>
      <c r="K12680" s="94" t="n">
        <v>57</v>
      </c>
      <c r="L12680" s="88" t="n">
        <v>201208</v>
      </c>
      <c r="M12680" s="88">
        <f>VLOOKUP($Q12680,매칭테이블!$F:$I,2,0)*K12680</f>
        <v/>
      </c>
      <c r="N12680" s="88">
        <f>M12680-M12680*VLOOKUP($Q12680,매칭테이블!$F:$I,3,0)</f>
        <v/>
      </c>
      <c r="O12680" s="88">
        <f>VLOOKUP($Q12680,매칭테이블!$F:$I,4,0)*K12680</f>
        <v/>
      </c>
      <c r="P12680" s="152">
        <f>M12680/1.1</f>
        <v/>
      </c>
      <c r="Q12680" s="88">
        <f>F12680&amp;E12680&amp;G12680&amp;L12680</f>
        <v/>
      </c>
    </row>
    <row r="12681">
      <c r="B12681" s="128" t="n">
        <v>44191</v>
      </c>
      <c r="C12681" s="88">
        <f>TEXT(B12681,"aaa")</f>
        <v/>
      </c>
      <c r="D12681" s="94" t="n"/>
      <c r="E12681" s="88">
        <f>INDEX(매칭테이블!C:D,MATCH(RD!G12681,매칭테이블!D:D,0),1)</f>
        <v/>
      </c>
      <c r="F12681" s="94" t="inlineStr">
        <is>
          <t>카페24</t>
        </is>
      </c>
      <c r="G12681" s="94" t="inlineStr">
        <is>
          <t>어성초 78 수딩 크림</t>
        </is>
      </c>
      <c r="K12681" s="94" t="n">
        <v>8</v>
      </c>
      <c r="L12681" s="88" t="n">
        <v>201208</v>
      </c>
      <c r="M12681" s="88">
        <f>VLOOKUP($Q12681,매칭테이블!$F:$I,2,0)*K12681</f>
        <v/>
      </c>
      <c r="N12681" s="88">
        <f>M12681-M12681*VLOOKUP($Q12681,매칭테이블!$F:$I,3,0)</f>
        <v/>
      </c>
      <c r="O12681" s="88">
        <f>VLOOKUP($Q12681,매칭테이블!$F:$I,4,0)*K12681</f>
        <v/>
      </c>
      <c r="P12681" s="152">
        <f>M12681/1.1</f>
        <v/>
      </c>
      <c r="Q12681" s="88">
        <f>F12681&amp;E12681&amp;G12681&amp;L12681</f>
        <v/>
      </c>
    </row>
    <row r="12682">
      <c r="B12682" s="128" t="n">
        <v>44191</v>
      </c>
      <c r="C12682" s="88">
        <f>TEXT(B12682,"aaa")</f>
        <v/>
      </c>
      <c r="D12682" s="94" t="n"/>
      <c r="E12682" s="88">
        <f>INDEX(매칭테이블!C:D,MATCH(RD!G12682,매칭테이블!D:D,0),1)</f>
        <v/>
      </c>
      <c r="F12682" s="94" t="inlineStr">
        <is>
          <t>카페24</t>
        </is>
      </c>
      <c r="G12682" s="94" t="inlineStr">
        <is>
          <t>어성초 78 수딩 크림</t>
        </is>
      </c>
      <c r="K12682" s="94" t="n">
        <v>6</v>
      </c>
      <c r="L12682" s="88" t="n">
        <v>201208</v>
      </c>
      <c r="M12682" s="88">
        <f>VLOOKUP($Q12682,매칭테이블!$F:$I,2,0)*K12682</f>
        <v/>
      </c>
      <c r="N12682" s="88">
        <f>M12682-M12682*VLOOKUP($Q12682,매칭테이블!$F:$I,3,0)</f>
        <v/>
      </c>
      <c r="O12682" s="88">
        <f>VLOOKUP($Q12682,매칭테이블!$F:$I,4,0)*K12682</f>
        <v/>
      </c>
      <c r="P12682" s="152">
        <f>M12682/1.1</f>
        <v/>
      </c>
      <c r="Q12682" s="88">
        <f>F12682&amp;E12682&amp;G12682&amp;L12682</f>
        <v/>
      </c>
    </row>
    <row r="12683">
      <c r="B12683" s="128" t="n">
        <v>44191</v>
      </c>
      <c r="C12683" s="88">
        <f>TEXT(B12683,"aaa")</f>
        <v/>
      </c>
      <c r="D12683" s="94" t="n"/>
      <c r="E12683" s="88">
        <f>INDEX(매칭테이블!C:D,MATCH(RD!G12683,매칭테이블!D:D,0),1)</f>
        <v/>
      </c>
      <c r="F12683" s="94" t="inlineStr">
        <is>
          <t>카페24</t>
        </is>
      </c>
      <c r="G12683" s="94" t="inlineStr">
        <is>
          <t>어성초 80 수분 진정 앰플앰플=어성초 80 앰플 1개-15%off</t>
        </is>
      </c>
      <c r="K12683" s="94" t="n">
        <v>19</v>
      </c>
      <c r="L12683" s="88" t="n">
        <v>201208</v>
      </c>
      <c r="M12683" s="88">
        <f>VLOOKUP($Q12683,매칭테이블!$F:$I,2,0)*K12683</f>
        <v/>
      </c>
      <c r="N12683" s="88">
        <f>M12683-M12683*VLOOKUP($Q12683,매칭테이블!$F:$I,3,0)</f>
        <v/>
      </c>
      <c r="O12683" s="88">
        <f>VLOOKUP($Q12683,매칭테이블!$F:$I,4,0)*K12683</f>
        <v/>
      </c>
      <c r="P12683" s="152">
        <f>M12683/1.1</f>
        <v/>
      </c>
      <c r="Q12683" s="88">
        <f>F12683&amp;E12683&amp;G12683&amp;L12683</f>
        <v/>
      </c>
    </row>
    <row r="12684">
      <c r="B12684" s="128" t="n">
        <v>44191</v>
      </c>
      <c r="C12684" s="88">
        <f>TEXT(B12684,"aaa")</f>
        <v/>
      </c>
      <c r="D12684" s="94" t="n"/>
      <c r="E12684" s="88">
        <f>INDEX(매칭테이블!C:D,MATCH(RD!G12684,매칭테이블!D:D,0),1)</f>
        <v/>
      </c>
      <c r="F12684" s="94" t="inlineStr">
        <is>
          <t>카페24</t>
        </is>
      </c>
      <c r="G12684" s="94" t="inlineStr">
        <is>
          <t>어성초 80 수분 진정 앰플앰플=어성초 80 앰플 2개-27%off (무료배송)</t>
        </is>
      </c>
      <c r="K12684" s="94" t="n">
        <v>6</v>
      </c>
      <c r="L12684" s="88" t="n">
        <v>201208</v>
      </c>
      <c r="M12684" s="88">
        <f>VLOOKUP($Q12684,매칭테이블!$F:$I,2,0)*K12684</f>
        <v/>
      </c>
      <c r="N12684" s="88">
        <f>M12684-M12684*VLOOKUP($Q12684,매칭테이블!$F:$I,3,0)</f>
        <v/>
      </c>
      <c r="O12684" s="88">
        <f>VLOOKUP($Q12684,매칭테이블!$F:$I,4,0)*K12684</f>
        <v/>
      </c>
      <c r="P12684" s="152">
        <f>M12684/1.1</f>
        <v/>
      </c>
      <c r="Q12684" s="88">
        <f>F12684&amp;E12684&amp;G12684&amp;L12684</f>
        <v/>
      </c>
    </row>
    <row r="12685">
      <c r="B12685" s="128" t="n">
        <v>44191</v>
      </c>
      <c r="C12685" s="88">
        <f>TEXT(B12685,"aaa")</f>
        <v/>
      </c>
      <c r="D12685" s="94" t="n"/>
      <c r="E12685" s="88">
        <f>INDEX(매칭테이블!C:D,MATCH(RD!G12685,매칭테이블!D:D,0),1)</f>
        <v/>
      </c>
      <c r="F12685" s="94" t="inlineStr">
        <is>
          <t>카페24</t>
        </is>
      </c>
      <c r="G12685" s="94" t="inlineStr">
        <is>
          <t>어성초 80 수분 진정 앰플</t>
        </is>
      </c>
      <c r="K12685" s="94" t="n">
        <v>6</v>
      </c>
      <c r="L12685" s="88" t="n">
        <v>201208</v>
      </c>
      <c r="M12685" s="88">
        <f>VLOOKUP($Q12685,매칭테이블!$F:$I,2,0)*K12685</f>
        <v/>
      </c>
      <c r="N12685" s="88">
        <f>M12685-M12685*VLOOKUP($Q12685,매칭테이블!$F:$I,3,0)</f>
        <v/>
      </c>
      <c r="O12685" s="88">
        <f>VLOOKUP($Q12685,매칭테이블!$F:$I,4,0)*K12685</f>
        <v/>
      </c>
      <c r="P12685" s="152">
        <f>M12685/1.1</f>
        <v/>
      </c>
      <c r="Q12685" s="88">
        <f>F12685&amp;E12685&amp;G12685&amp;L12685</f>
        <v/>
      </c>
    </row>
    <row r="12686">
      <c r="B12686" s="128" t="n">
        <v>44191</v>
      </c>
      <c r="C12686" s="88">
        <f>TEXT(B12686,"aaa")</f>
        <v/>
      </c>
      <c r="D12686" s="94" t="n"/>
      <c r="E12686" s="88">
        <f>INDEX(매칭테이블!C:D,MATCH(RD!G12686,매칭테이블!D:D,0),1)</f>
        <v/>
      </c>
      <c r="F12686" s="94" t="inlineStr">
        <is>
          <t>카페24</t>
        </is>
      </c>
      <c r="G12686" s="94" t="inlineStr">
        <is>
          <t>어성초 아크네 바디워시옵션=어성초 아크네 바디워시 1개 -30% off</t>
        </is>
      </c>
      <c r="K12686" s="94" t="n">
        <v>1</v>
      </c>
      <c r="L12686" s="88" t="n">
        <v>201208</v>
      </c>
      <c r="M12686" s="88">
        <f>VLOOKUP($Q12686,매칭테이블!$F:$I,2,0)*K12686</f>
        <v/>
      </c>
      <c r="N12686" s="88">
        <f>M12686-M12686*VLOOKUP($Q12686,매칭테이블!$F:$I,3,0)</f>
        <v/>
      </c>
      <c r="O12686" s="88">
        <f>VLOOKUP($Q12686,매칭테이블!$F:$I,4,0)*K12686</f>
        <v/>
      </c>
      <c r="P12686" s="152">
        <f>M12686/1.1</f>
        <v/>
      </c>
      <c r="Q12686" s="88">
        <f>F12686&amp;E12686&amp;G12686&amp;L12686</f>
        <v/>
      </c>
    </row>
    <row r="12687">
      <c r="B12687" s="128" t="n">
        <v>44191</v>
      </c>
      <c r="C12687" s="88">
        <f>TEXT(B12687,"aaa")</f>
        <v/>
      </c>
      <c r="D12687" s="94" t="n"/>
      <c r="E12687" s="88">
        <f>INDEX(매칭테이블!C:D,MATCH(RD!G12687,매칭테이블!D:D,0),1)</f>
        <v/>
      </c>
      <c r="F12687" s="94" t="inlineStr">
        <is>
          <t>카페24</t>
        </is>
      </c>
      <c r="G12687" s="94" t="inlineStr">
        <is>
          <t>어성초 아크네 바디워시옵션=어성초 아크네 바디워시 2개 -35% off (무료배송)</t>
        </is>
      </c>
      <c r="K12687" s="94" t="n">
        <v>1</v>
      </c>
      <c r="L12687" s="88" t="n">
        <v>201208</v>
      </c>
      <c r="M12687" s="88">
        <f>VLOOKUP($Q12687,매칭테이블!$F:$I,2,0)*K12687</f>
        <v/>
      </c>
      <c r="N12687" s="88">
        <f>M12687-M12687*VLOOKUP($Q12687,매칭테이블!$F:$I,3,0)</f>
        <v/>
      </c>
      <c r="O12687" s="88">
        <f>VLOOKUP($Q12687,매칭테이블!$F:$I,4,0)*K12687</f>
        <v/>
      </c>
      <c r="P12687" s="152">
        <f>M12687/1.1</f>
        <v/>
      </c>
      <c r="Q12687" s="88">
        <f>F12687&amp;E12687&amp;G12687&amp;L12687</f>
        <v/>
      </c>
    </row>
    <row r="12688">
      <c r="B12688" s="128" t="n">
        <v>44191</v>
      </c>
      <c r="C12688" s="88">
        <f>TEXT(B12688,"aaa")</f>
        <v/>
      </c>
      <c r="D12688" s="94" t="n"/>
      <c r="E12688" s="88">
        <f>INDEX(매칭테이블!C:D,MATCH(RD!G12688,매칭테이블!D:D,0),1)</f>
        <v/>
      </c>
      <c r="F12688" s="94" t="inlineStr">
        <is>
          <t>카페24</t>
        </is>
      </c>
      <c r="G12688" s="94" t="inlineStr">
        <is>
          <t>어성초 약산성 클렌징폼클렌징폼=어성초 약산성 클렌징폼 1개 -19%off</t>
        </is>
      </c>
      <c r="K12688" s="94" t="n">
        <v>23</v>
      </c>
      <c r="L12688" s="88" t="n">
        <v>201208</v>
      </c>
      <c r="M12688" s="88">
        <f>VLOOKUP($Q12688,매칭테이블!$F:$I,2,0)*K12688</f>
        <v/>
      </c>
      <c r="N12688" s="88">
        <f>M12688-M12688*VLOOKUP($Q12688,매칭테이블!$F:$I,3,0)</f>
        <v/>
      </c>
      <c r="O12688" s="88">
        <f>VLOOKUP($Q12688,매칭테이블!$F:$I,4,0)*K12688</f>
        <v/>
      </c>
      <c r="P12688" s="152">
        <f>M12688/1.1</f>
        <v/>
      </c>
      <c r="Q12688" s="88">
        <f>F12688&amp;E12688&amp;G12688&amp;L12688</f>
        <v/>
      </c>
    </row>
    <row r="12689">
      <c r="B12689" s="128" t="n">
        <v>44191</v>
      </c>
      <c r="C12689" s="88">
        <f>TEXT(B12689,"aaa")</f>
        <v/>
      </c>
      <c r="D12689" s="94" t="n"/>
      <c r="E12689" s="88">
        <f>INDEX(매칭테이블!C:D,MATCH(RD!G12689,매칭테이블!D:D,0),1)</f>
        <v/>
      </c>
      <c r="F12689" s="94" t="inlineStr">
        <is>
          <t>카페24</t>
        </is>
      </c>
      <c r="G12689" s="94" t="inlineStr">
        <is>
          <t>어성초 약산성 클렌징폼클렌징폼=어성초 약산성 클렌징폼 2개 -25%off</t>
        </is>
      </c>
      <c r="K12689" s="94" t="n">
        <v>2</v>
      </c>
      <c r="L12689" s="88" t="n">
        <v>201208</v>
      </c>
      <c r="M12689" s="88">
        <f>VLOOKUP($Q12689,매칭테이블!$F:$I,2,0)*K12689</f>
        <v/>
      </c>
      <c r="N12689" s="88">
        <f>M12689-M12689*VLOOKUP($Q12689,매칭테이블!$F:$I,3,0)</f>
        <v/>
      </c>
      <c r="O12689" s="88">
        <f>VLOOKUP($Q12689,매칭테이블!$F:$I,4,0)*K12689</f>
        <v/>
      </c>
      <c r="P12689" s="152">
        <f>M12689/1.1</f>
        <v/>
      </c>
      <c r="Q12689" s="88">
        <f>F12689&amp;E12689&amp;G12689&amp;L12689</f>
        <v/>
      </c>
    </row>
    <row r="12690">
      <c r="B12690" s="128" t="n">
        <v>44191</v>
      </c>
      <c r="C12690" s="88">
        <f>TEXT(B12690,"aaa")</f>
        <v/>
      </c>
      <c r="D12690" s="94" t="n"/>
      <c r="E12690" s="88">
        <f>INDEX(매칭테이블!C:D,MATCH(RD!G12690,매칭테이블!D:D,0),1)</f>
        <v/>
      </c>
      <c r="F12690" s="94" t="inlineStr">
        <is>
          <t>카페24</t>
        </is>
      </c>
      <c r="G12690" s="94" t="inlineStr">
        <is>
          <t>어성초 약산성 클렌징폼클렌징폼=어성초 약산성 클렌징폼 3개 -31%off (무료배송)</t>
        </is>
      </c>
      <c r="K12690" s="94" t="n">
        <v>3</v>
      </c>
      <c r="L12690" s="88" t="n">
        <v>201208</v>
      </c>
      <c r="M12690" s="88">
        <f>VLOOKUP($Q12690,매칭테이블!$F:$I,2,0)*K12690</f>
        <v/>
      </c>
      <c r="N12690" s="88">
        <f>M12690-M12690*VLOOKUP($Q12690,매칭테이블!$F:$I,3,0)</f>
        <v/>
      </c>
      <c r="O12690" s="88">
        <f>VLOOKUP($Q12690,매칭테이블!$F:$I,4,0)*K12690</f>
        <v/>
      </c>
      <c r="P12690" s="152">
        <f>M12690/1.1</f>
        <v/>
      </c>
      <c r="Q12690" s="88">
        <f>F12690&amp;E12690&amp;G12690&amp;L12690</f>
        <v/>
      </c>
    </row>
    <row r="12691">
      <c r="B12691" s="128" t="n">
        <v>44191</v>
      </c>
      <c r="C12691" s="88">
        <f>TEXT(B12691,"aaa")</f>
        <v/>
      </c>
      <c r="D12691" s="94" t="n"/>
      <c r="E12691" s="88">
        <f>INDEX(매칭테이블!C:D,MATCH(RD!G12691,매칭테이블!D:D,0),1)</f>
        <v/>
      </c>
      <c r="F12691" s="94" t="inlineStr">
        <is>
          <t>카페24</t>
        </is>
      </c>
      <c r="G12691" s="94" t="inlineStr">
        <is>
          <t>어성초 약산성 클렌징폼</t>
        </is>
      </c>
      <c r="K12691" s="94" t="n">
        <v>1</v>
      </c>
      <c r="L12691" s="88" t="n">
        <v>201208</v>
      </c>
      <c r="M12691" s="88">
        <f>VLOOKUP($Q12691,매칭테이블!$F:$I,2,0)*K12691</f>
        <v/>
      </c>
      <c r="N12691" s="88">
        <f>M12691-M12691*VLOOKUP($Q12691,매칭테이블!$F:$I,3,0)</f>
        <v/>
      </c>
      <c r="O12691" s="88">
        <f>VLOOKUP($Q12691,매칭테이블!$F:$I,4,0)*K12691</f>
        <v/>
      </c>
      <c r="P12691" s="152">
        <f>M12691/1.1</f>
        <v/>
      </c>
      <c r="Q12691" s="88">
        <f>F12691&amp;E12691&amp;G12691&amp;L12691</f>
        <v/>
      </c>
    </row>
    <row r="12692">
      <c r="B12692" s="128" t="n">
        <v>44191</v>
      </c>
      <c r="C12692" s="88">
        <f>TEXT(B12692,"aaa")</f>
        <v/>
      </c>
      <c r="D12692" s="94" t="n"/>
      <c r="E12692" s="88">
        <f>INDEX(매칭테이블!C:D,MATCH(RD!G12692,매칭테이블!D:D,0),1)</f>
        <v/>
      </c>
      <c r="F12692" s="94" t="inlineStr">
        <is>
          <t>카페24</t>
        </is>
      </c>
      <c r="G12692" s="94" t="inlineStr">
        <is>
          <t>어성초 크림마스크 나이트 솔루션옵션=어성초 크림마스크 나이트 솔루션 10장 (-50%)</t>
        </is>
      </c>
      <c r="K12692" s="94" t="n">
        <v>1</v>
      </c>
      <c r="L12692" s="88" t="n">
        <v>201208</v>
      </c>
      <c r="M12692" s="88">
        <f>VLOOKUP($Q12692,매칭테이블!$F:$I,2,0)*K12692</f>
        <v/>
      </c>
      <c r="N12692" s="88">
        <f>M12692-M12692*VLOOKUP($Q12692,매칭테이블!$F:$I,3,0)</f>
        <v/>
      </c>
      <c r="O12692" s="88">
        <f>VLOOKUP($Q12692,매칭테이블!$F:$I,4,0)*K12692</f>
        <v/>
      </c>
      <c r="P12692" s="152">
        <f>M12692/1.1</f>
        <v/>
      </c>
      <c r="Q12692" s="88">
        <f>F12692&amp;E12692&amp;G12692&amp;L12692</f>
        <v/>
      </c>
    </row>
    <row r="12693">
      <c r="B12693" s="128" t="n">
        <v>44191</v>
      </c>
      <c r="C12693" s="88">
        <f>TEXT(B12693,"aaa")</f>
        <v/>
      </c>
      <c r="D12693" s="94" t="n"/>
      <c r="E12693" s="88">
        <f>INDEX(매칭테이블!C:D,MATCH(RD!G12693,매칭테이블!D:D,0),1)</f>
        <v/>
      </c>
      <c r="F12693" s="94" t="inlineStr">
        <is>
          <t>카페24</t>
        </is>
      </c>
      <c r="G12693" s="94" t="inlineStr">
        <is>
          <t>촉촉 스킨팩 화장솜</t>
        </is>
      </c>
      <c r="K12693" s="94" t="n">
        <v>13</v>
      </c>
      <c r="L12693" s="88" t="n">
        <v>201208</v>
      </c>
      <c r="M12693" s="88">
        <f>VLOOKUP($Q12693,매칭테이블!$F:$I,2,0)*K12693</f>
        <v/>
      </c>
      <c r="N12693" s="88">
        <f>M12693-M12693*VLOOKUP($Q12693,매칭테이블!$F:$I,3,0)</f>
        <v/>
      </c>
      <c r="O12693" s="88">
        <f>VLOOKUP($Q12693,매칭테이블!$F:$I,4,0)*K12693</f>
        <v/>
      </c>
      <c r="P12693" s="152">
        <f>M12693/1.1</f>
        <v/>
      </c>
      <c r="Q12693" s="88">
        <f>F12693&amp;E12693&amp;G12693&amp;L12693</f>
        <v/>
      </c>
    </row>
    <row r="12694">
      <c r="B12694" s="128" t="n">
        <v>44192</v>
      </c>
      <c r="C12694" s="88">
        <f>TEXT(B12694,"aaa")</f>
        <v/>
      </c>
      <c r="E12694" s="88">
        <f>INDEX(매칭테이블!C:D,MATCH(RD!G12694,매칭테이블!D:D,0),1)</f>
        <v/>
      </c>
      <c r="F12694" s="94" t="inlineStr">
        <is>
          <t>스타일쉐어</t>
        </is>
      </c>
      <c r="G12694" s="94" t="inlineStr">
        <is>
          <t>아누아 어성초 77 토너 250ml</t>
        </is>
      </c>
      <c r="K12694" s="94" t="n">
        <v>2</v>
      </c>
      <c r="L12694" s="88" t="n">
        <v>201208</v>
      </c>
      <c r="M12694" s="88">
        <f>VLOOKUP($Q12694,매칭테이블!$F:$I,2,0)*K12694</f>
        <v/>
      </c>
      <c r="N12694" s="88">
        <f>M12694-M12694*VLOOKUP($Q12694,매칭테이블!$F:$I,3,0)</f>
        <v/>
      </c>
      <c r="O12694" s="88">
        <f>VLOOKUP($Q12694,매칭테이블!$F:$I,4,0)*K12694</f>
        <v/>
      </c>
      <c r="P12694" s="152">
        <f>M12694/1.1</f>
        <v/>
      </c>
      <c r="Q12694" s="88">
        <f>F12694&amp;E12694&amp;G12694&amp;L12694</f>
        <v/>
      </c>
    </row>
    <row r="12695">
      <c r="B12695" s="128" t="n">
        <v>44192</v>
      </c>
      <c r="C12695" s="88">
        <f>TEXT(B12695,"aaa")</f>
        <v/>
      </c>
      <c r="E12695" s="88">
        <f>INDEX(매칭테이블!C:D,MATCH(RD!G12695,매칭테이블!D:D,0),1)</f>
        <v/>
      </c>
      <c r="F12695" s="94" t="inlineStr">
        <is>
          <t>카페24</t>
        </is>
      </c>
      <c r="G12695" s="94" t="inlineStr">
        <is>
          <t>5 제로 무기자차 선크림옵션=5제로 무기자차 선크림 1개-20% off</t>
        </is>
      </c>
      <c r="K12695" s="94" t="n">
        <v>1</v>
      </c>
      <c r="L12695" s="88" t="n">
        <v>201208</v>
      </c>
      <c r="M12695" s="88">
        <f>VLOOKUP($Q12695,매칭테이블!$F:$I,2,0)*K12695</f>
        <v/>
      </c>
      <c r="N12695" s="88">
        <f>M12695-M12695*VLOOKUP($Q12695,매칭테이블!$F:$I,3,0)</f>
        <v/>
      </c>
      <c r="O12695" s="88">
        <f>VLOOKUP($Q12695,매칭테이블!$F:$I,4,0)*K12695</f>
        <v/>
      </c>
      <c r="P12695" s="152">
        <f>M12695/1.1</f>
        <v/>
      </c>
      <c r="Q12695" s="88">
        <f>F12695&amp;E12695&amp;G12695&amp;L12695</f>
        <v/>
      </c>
    </row>
    <row r="12696">
      <c r="B12696" s="128" t="n">
        <v>44192</v>
      </c>
      <c r="C12696" s="88">
        <f>TEXT(B12696,"aaa")</f>
        <v/>
      </c>
      <c r="E12696" s="88">
        <f>INDEX(매칭테이블!C:D,MATCH(RD!G12696,매칭테이블!D:D,0),1)</f>
        <v/>
      </c>
      <c r="F12696" s="94" t="inlineStr">
        <is>
          <t>카페24</t>
        </is>
      </c>
      <c r="G12696" s="94" t="inlineStr">
        <is>
          <t>5 제로 무기자차 선크림옵션=5제로 무기자차 선크림 2개-30% off (무료배송)</t>
        </is>
      </c>
      <c r="K12696" s="94" t="n">
        <v>1</v>
      </c>
      <c r="L12696" s="88" t="n">
        <v>201208</v>
      </c>
      <c r="M12696" s="88">
        <f>VLOOKUP($Q12696,매칭테이블!$F:$I,2,0)*K12696</f>
        <v/>
      </c>
      <c r="N12696" s="88">
        <f>M12696-M12696*VLOOKUP($Q12696,매칭테이블!$F:$I,3,0)</f>
        <v/>
      </c>
      <c r="O12696" s="88">
        <f>VLOOKUP($Q12696,매칭테이블!$F:$I,4,0)*K12696</f>
        <v/>
      </c>
      <c r="P12696" s="152">
        <f>M12696/1.1</f>
        <v/>
      </c>
      <c r="Q12696" s="88">
        <f>F12696&amp;E12696&amp;G12696&amp;L12696</f>
        <v/>
      </c>
    </row>
    <row r="12697">
      <c r="B12697" s="128" t="n">
        <v>44192</v>
      </c>
      <c r="C12697" s="88">
        <f>TEXT(B12697,"aaa")</f>
        <v/>
      </c>
      <c r="E12697" s="88">
        <f>INDEX(매칭테이블!C:D,MATCH(RD!G12697,매칭테이블!D:D,0),1)</f>
        <v/>
      </c>
      <c r="F12697" s="94" t="inlineStr">
        <is>
          <t>카페24</t>
        </is>
      </c>
      <c r="G12697" s="94" t="inlineStr">
        <is>
          <t>[수분 보충 세트] 어성초 77 토너 + 어성초 70 로션옵션=어성초 77 토너 250ml + 어성초 70 로션 200ml -30%</t>
        </is>
      </c>
      <c r="K12697" s="94" t="n">
        <v>39</v>
      </c>
      <c r="L12697" s="88" t="n">
        <v>201208</v>
      </c>
      <c r="M12697" s="88">
        <f>VLOOKUP($Q12697,매칭테이블!$F:$I,2,0)*K12697</f>
        <v/>
      </c>
      <c r="N12697" s="88">
        <f>M12697-M12697*VLOOKUP($Q12697,매칭테이블!$F:$I,3,0)</f>
        <v/>
      </c>
      <c r="O12697" s="88">
        <f>VLOOKUP($Q12697,매칭테이블!$F:$I,4,0)*K12697</f>
        <v/>
      </c>
      <c r="P12697" s="152">
        <f>M12697/1.1</f>
        <v/>
      </c>
      <c r="Q12697" s="88">
        <f>F12697&amp;E12697&amp;G12697&amp;L12697</f>
        <v/>
      </c>
    </row>
    <row r="12698">
      <c r="B12698" s="128" t="n">
        <v>44192</v>
      </c>
      <c r="C12698" s="88">
        <f>TEXT(B12698,"aaa")</f>
        <v/>
      </c>
      <c r="E12698" s="88">
        <f>INDEX(매칭테이블!C:D,MATCH(RD!G12698,매칭테이블!D:D,0),1)</f>
        <v/>
      </c>
      <c r="F12698" s="94" t="inlineStr">
        <is>
          <t>카페24</t>
        </is>
      </c>
      <c r="G12698" s="94" t="inlineStr">
        <is>
          <t>[어성초 진정 패키지 세트] 대용량 토너 + 앰플 + 수딩 크림 + 마스크팩 10장</t>
        </is>
      </c>
      <c r="K12698" s="94" t="n">
        <v>5</v>
      </c>
      <c r="L12698" s="88" t="n">
        <v>201208</v>
      </c>
      <c r="M12698" s="88">
        <f>VLOOKUP($Q12698,매칭테이블!$F:$I,2,0)*K12698</f>
        <v/>
      </c>
      <c r="N12698" s="88">
        <f>M12698-M12698*VLOOKUP($Q12698,매칭테이블!$F:$I,3,0)</f>
        <v/>
      </c>
      <c r="O12698" s="88">
        <f>VLOOKUP($Q12698,매칭테이블!$F:$I,4,0)*K12698</f>
        <v/>
      </c>
      <c r="P12698" s="152">
        <f>M12698/1.1</f>
        <v/>
      </c>
      <c r="Q12698" s="88">
        <f>F12698&amp;E12698&amp;G12698&amp;L12698</f>
        <v/>
      </c>
    </row>
    <row r="12699">
      <c r="B12699" s="128" t="n">
        <v>44192</v>
      </c>
      <c r="C12699" s="88">
        <f>TEXT(B12699,"aaa")</f>
        <v/>
      </c>
      <c r="E12699" s="88">
        <f>INDEX(매칭테이블!C:D,MATCH(RD!G12699,매칭테이블!D:D,0),1)</f>
        <v/>
      </c>
      <c r="F12699" s="94" t="inlineStr">
        <is>
          <t>카페24</t>
        </is>
      </c>
      <c r="G12699" s="94" t="inlineStr">
        <is>
          <t>대용량 어성초 77 수딩 토너 500ml</t>
        </is>
      </c>
      <c r="K12699" s="94" t="n">
        <v>32</v>
      </c>
      <c r="L12699" s="88" t="n">
        <v>201208</v>
      </c>
      <c r="M12699" s="88">
        <f>VLOOKUP($Q12699,매칭테이블!$F:$I,2,0)*K12699</f>
        <v/>
      </c>
      <c r="N12699" s="88">
        <f>M12699-M12699*VLOOKUP($Q12699,매칭테이블!$F:$I,3,0)</f>
        <v/>
      </c>
      <c r="O12699" s="88">
        <f>VLOOKUP($Q12699,매칭테이블!$F:$I,4,0)*K12699</f>
        <v/>
      </c>
      <c r="P12699" s="152">
        <f>M12699/1.1</f>
        <v/>
      </c>
      <c r="Q12699" s="88">
        <f>F12699&amp;E12699&amp;G12699&amp;L12699</f>
        <v/>
      </c>
    </row>
    <row r="12700">
      <c r="B12700" s="128" t="n">
        <v>44192</v>
      </c>
      <c r="C12700" s="88">
        <f>TEXT(B12700,"aaa")</f>
        <v/>
      </c>
      <c r="E12700" s="88">
        <f>INDEX(매칭테이블!C:D,MATCH(RD!G12700,매칭테이블!D:D,0),1)</f>
        <v/>
      </c>
      <c r="F12700" s="94" t="inlineStr">
        <is>
          <t>카페24</t>
        </is>
      </c>
      <c r="G12700" s="94" t="inlineStr">
        <is>
          <t>대용량 어성초 77 토너 500ml</t>
        </is>
      </c>
      <c r="K12700" s="94" t="n">
        <v>1</v>
      </c>
      <c r="L12700" s="88" t="n">
        <v>201208</v>
      </c>
      <c r="M12700" s="88">
        <f>VLOOKUP($Q12700,매칭테이블!$F:$I,2,0)*K12700</f>
        <v/>
      </c>
      <c r="N12700" s="88">
        <f>M12700-M12700*VLOOKUP($Q12700,매칭테이블!$F:$I,3,0)</f>
        <v/>
      </c>
      <c r="O12700" s="88">
        <f>VLOOKUP($Q12700,매칭테이블!$F:$I,4,0)*K12700</f>
        <v/>
      </c>
      <c r="P12700" s="152">
        <f>M12700/1.1</f>
        <v/>
      </c>
      <c r="Q12700" s="88">
        <f>F12700&amp;E12700&amp;G12700&amp;L12700</f>
        <v/>
      </c>
    </row>
    <row r="12701">
      <c r="B12701" s="128" t="n">
        <v>44192</v>
      </c>
      <c r="C12701" s="88">
        <f>TEXT(B12701,"aaa")</f>
        <v/>
      </c>
      <c r="E12701" s="88">
        <f>INDEX(매칭테이블!C:D,MATCH(RD!G12701,매칭테이블!D:D,0),1)</f>
        <v/>
      </c>
      <c r="F12701" s="94" t="inlineStr">
        <is>
          <t>카페24</t>
        </is>
      </c>
      <c r="G12701" s="94" t="inlineStr">
        <is>
          <t>아누아 어성초 77 수딩 토너토너(필수)=어성초 77 토너 1개-20% off</t>
        </is>
      </c>
      <c r="K12701" s="94" t="n">
        <v>1</v>
      </c>
      <c r="L12701" s="88" t="n">
        <v>201208</v>
      </c>
      <c r="M12701" s="88">
        <f>VLOOKUP($Q12701,매칭테이블!$F:$I,2,0)*K12701</f>
        <v/>
      </c>
      <c r="N12701" s="88">
        <f>M12701-M12701*VLOOKUP($Q12701,매칭테이블!$F:$I,3,0)</f>
        <v/>
      </c>
      <c r="O12701" s="88">
        <f>VLOOKUP($Q12701,매칭테이블!$F:$I,4,0)*K12701</f>
        <v/>
      </c>
      <c r="P12701" s="152">
        <f>M12701/1.1</f>
        <v/>
      </c>
      <c r="Q12701" s="88">
        <f>F12701&amp;E12701&amp;G12701&amp;L12701</f>
        <v/>
      </c>
    </row>
    <row r="12702">
      <c r="B12702" s="128" t="n">
        <v>44192</v>
      </c>
      <c r="C12702" s="88">
        <f>TEXT(B12702,"aaa")</f>
        <v/>
      </c>
      <c r="E12702" s="88">
        <f>INDEX(매칭테이블!C:D,MATCH(RD!G12702,매칭테이블!D:D,0),1)</f>
        <v/>
      </c>
      <c r="F12702" s="94" t="inlineStr">
        <is>
          <t>카페24</t>
        </is>
      </c>
      <c r="G12702" s="94" t="inlineStr">
        <is>
          <t>어성초 70 데일리 릴리프 로션로션=어성초 70 데일리 릴리프 로션 1개 -20% off</t>
        </is>
      </c>
      <c r="K12702" s="94" t="n">
        <v>16</v>
      </c>
      <c r="L12702" s="88" t="n">
        <v>201208</v>
      </c>
      <c r="M12702" s="88">
        <f>VLOOKUP($Q12702,매칭테이블!$F:$I,2,0)*K12702</f>
        <v/>
      </c>
      <c r="N12702" s="88">
        <f>M12702-M12702*VLOOKUP($Q12702,매칭테이블!$F:$I,3,0)</f>
        <v/>
      </c>
      <c r="O12702" s="88">
        <f>VLOOKUP($Q12702,매칭테이블!$F:$I,4,0)*K12702</f>
        <v/>
      </c>
      <c r="P12702" s="152">
        <f>M12702/1.1</f>
        <v/>
      </c>
      <c r="Q12702" s="88">
        <f>F12702&amp;E12702&amp;G12702&amp;L12702</f>
        <v/>
      </c>
    </row>
    <row r="12703">
      <c r="B12703" s="128" t="n">
        <v>44192</v>
      </c>
      <c r="C12703" s="88">
        <f>TEXT(B12703,"aaa")</f>
        <v/>
      </c>
      <c r="E12703" s="88">
        <f>INDEX(매칭테이블!C:D,MATCH(RD!G12703,매칭테이블!D:D,0),1)</f>
        <v/>
      </c>
      <c r="F12703" s="94" t="inlineStr">
        <is>
          <t>카페24</t>
        </is>
      </c>
      <c r="G12703" s="94" t="inlineStr">
        <is>
          <t>어성초 70 데일리 릴리프 로션로션=어성초 70 데일리 릴리프 로션 2개 -30% off</t>
        </is>
      </c>
      <c r="K12703" s="94" t="n">
        <v>3</v>
      </c>
      <c r="L12703" s="88" t="n">
        <v>201208</v>
      </c>
      <c r="M12703" s="88">
        <f>VLOOKUP($Q12703,매칭테이블!$F:$I,2,0)*K12703</f>
        <v/>
      </c>
      <c r="N12703" s="88">
        <f>M12703-M12703*VLOOKUP($Q12703,매칭테이블!$F:$I,3,0)</f>
        <v/>
      </c>
      <c r="O12703" s="88">
        <f>VLOOKUP($Q12703,매칭테이블!$F:$I,4,0)*K12703</f>
        <v/>
      </c>
      <c r="P12703" s="152">
        <f>M12703/1.1</f>
        <v/>
      </c>
      <c r="Q12703" s="88">
        <f>F12703&amp;E12703&amp;G12703&amp;L12703</f>
        <v/>
      </c>
    </row>
    <row r="12704">
      <c r="B12704" s="128" t="n">
        <v>44192</v>
      </c>
      <c r="C12704" s="88">
        <f>TEXT(B12704,"aaa")</f>
        <v/>
      </c>
      <c r="E12704" s="88">
        <f>INDEX(매칭테이블!C:D,MATCH(RD!G12704,매칭테이블!D:D,0),1)</f>
        <v/>
      </c>
      <c r="F12704" s="94" t="inlineStr">
        <is>
          <t>카페24</t>
        </is>
      </c>
      <c r="G12704" s="94" t="inlineStr">
        <is>
          <t>어성초 70 데일리 릴리프 로션로션=어성초 77토너 + 어성초 70 로션 수분 보충 세트 -30% off</t>
        </is>
      </c>
      <c r="K12704" s="94" t="n">
        <v>2</v>
      </c>
      <c r="L12704" s="88" t="n">
        <v>201208</v>
      </c>
      <c r="M12704" s="88">
        <f>VLOOKUP($Q12704,매칭테이블!$F:$I,2,0)*K12704</f>
        <v/>
      </c>
      <c r="N12704" s="88">
        <f>M12704-M12704*VLOOKUP($Q12704,매칭테이블!$F:$I,3,0)</f>
        <v/>
      </c>
      <c r="O12704" s="88">
        <f>VLOOKUP($Q12704,매칭테이블!$F:$I,4,0)*K12704</f>
        <v/>
      </c>
      <c r="P12704" s="152">
        <f>M12704/1.1</f>
        <v/>
      </c>
      <c r="Q12704" s="88">
        <f>F12704&amp;E12704&amp;G12704&amp;L12704</f>
        <v/>
      </c>
    </row>
    <row r="12705">
      <c r="B12705" s="128" t="n">
        <v>44192</v>
      </c>
      <c r="C12705" s="88">
        <f>TEXT(B12705,"aaa")</f>
        <v/>
      </c>
      <c r="E12705" s="88">
        <f>INDEX(매칭테이블!C:D,MATCH(RD!G12705,매칭테이블!D:D,0),1)</f>
        <v/>
      </c>
      <c r="F12705" s="94" t="inlineStr">
        <is>
          <t>카페24</t>
        </is>
      </c>
      <c r="G12705" s="94" t="inlineStr">
        <is>
          <t>어성초 70 머드 크림 마스크옵션=어성초 70 머드 크림 마스크-20% off</t>
        </is>
      </c>
      <c r="K12705" s="94" t="n">
        <v>2</v>
      </c>
      <c r="L12705" s="88" t="n">
        <v>201208</v>
      </c>
      <c r="M12705" s="88">
        <f>VLOOKUP($Q12705,매칭테이블!$F:$I,2,0)*K12705</f>
        <v/>
      </c>
      <c r="N12705" s="88">
        <f>M12705-M12705*VLOOKUP($Q12705,매칭테이블!$F:$I,3,0)</f>
        <v/>
      </c>
      <c r="O12705" s="88">
        <f>VLOOKUP($Q12705,매칭테이블!$F:$I,4,0)*K12705</f>
        <v/>
      </c>
      <c r="P12705" s="152">
        <f>M12705/1.1</f>
        <v/>
      </c>
      <c r="Q12705" s="88">
        <f>F12705&amp;E12705&amp;G12705&amp;L12705</f>
        <v/>
      </c>
    </row>
    <row r="12706">
      <c r="B12706" s="128" t="n">
        <v>44192</v>
      </c>
      <c r="C12706" s="88">
        <f>TEXT(B12706,"aaa")</f>
        <v/>
      </c>
      <c r="E12706" s="88">
        <f>INDEX(매칭테이블!C:D,MATCH(RD!G12706,매칭테이블!D:D,0),1)</f>
        <v/>
      </c>
      <c r="F12706" s="94" t="inlineStr">
        <is>
          <t>카페24</t>
        </is>
      </c>
      <c r="G12706" s="94" t="inlineStr">
        <is>
          <t>어성초 70 머드 크림 마스크옵션=어성초 70 머드 크림 마스크 2개-30% off (무료배송)</t>
        </is>
      </c>
      <c r="K12706" s="94" t="n">
        <v>1</v>
      </c>
      <c r="L12706" s="88" t="n">
        <v>201208</v>
      </c>
      <c r="M12706" s="88">
        <f>VLOOKUP($Q12706,매칭테이블!$F:$I,2,0)*K12706</f>
        <v/>
      </c>
      <c r="N12706" s="88">
        <f>M12706-M12706*VLOOKUP($Q12706,매칭테이블!$F:$I,3,0)</f>
        <v/>
      </c>
      <c r="O12706" s="88">
        <f>VLOOKUP($Q12706,매칭테이블!$F:$I,4,0)*K12706</f>
        <v/>
      </c>
      <c r="P12706" s="152">
        <f>M12706/1.1</f>
        <v/>
      </c>
      <c r="Q12706" s="88">
        <f>F12706&amp;E12706&amp;G12706&amp;L12706</f>
        <v/>
      </c>
    </row>
    <row r="12707">
      <c r="B12707" s="128" t="n">
        <v>44192</v>
      </c>
      <c r="C12707" s="88">
        <f>TEXT(B12707,"aaa")</f>
        <v/>
      </c>
      <c r="E12707" s="88">
        <f>INDEX(매칭테이블!C:D,MATCH(RD!G12707,매칭테이블!D:D,0),1)</f>
        <v/>
      </c>
      <c r="F12707" s="94" t="inlineStr">
        <is>
          <t>카페24</t>
        </is>
      </c>
      <c r="G12707" s="94" t="inlineStr">
        <is>
          <t>어성초 70 인텐스 카밍 크림크림=어성초 70 인텐스 카밍 크림 1개 (-20%)</t>
        </is>
      </c>
      <c r="K12707" s="94" t="n">
        <v>4</v>
      </c>
      <c r="L12707" s="88" t="n">
        <v>201208</v>
      </c>
      <c r="M12707" s="88">
        <f>VLOOKUP($Q12707,매칭테이블!$F:$I,2,0)*K12707</f>
        <v/>
      </c>
      <c r="N12707" s="88">
        <f>M12707-M12707*VLOOKUP($Q12707,매칭테이블!$F:$I,3,0)</f>
        <v/>
      </c>
      <c r="O12707" s="88">
        <f>VLOOKUP($Q12707,매칭테이블!$F:$I,4,0)*K12707</f>
        <v/>
      </c>
      <c r="P12707" s="152">
        <f>M12707/1.1</f>
        <v/>
      </c>
      <c r="Q12707" s="88">
        <f>F12707&amp;E12707&amp;G12707&amp;L12707</f>
        <v/>
      </c>
    </row>
    <row r="12708">
      <c r="B12708" s="128" t="n">
        <v>44192</v>
      </c>
      <c r="C12708" s="88">
        <f>TEXT(B12708,"aaa")</f>
        <v/>
      </c>
      <c r="E12708" s="88">
        <f>INDEX(매칭테이블!C:D,MATCH(RD!G12708,매칭테이블!D:D,0),1)</f>
        <v/>
      </c>
      <c r="F12708" s="94" t="inlineStr">
        <is>
          <t>카페24</t>
        </is>
      </c>
      <c r="G12708" s="94" t="inlineStr">
        <is>
          <t>어성초 70 인텐스 카밍 크림크림=어성초 70 인텐스 카밍 크림 2개 (-30%)</t>
        </is>
      </c>
      <c r="K12708" s="94" t="n">
        <v>1</v>
      </c>
      <c r="L12708" s="88" t="n">
        <v>201208</v>
      </c>
      <c r="M12708" s="88">
        <f>VLOOKUP($Q12708,매칭테이블!$F:$I,2,0)*K12708</f>
        <v/>
      </c>
      <c r="N12708" s="88">
        <f>M12708-M12708*VLOOKUP($Q12708,매칭테이블!$F:$I,3,0)</f>
        <v/>
      </c>
      <c r="O12708" s="88">
        <f>VLOOKUP($Q12708,매칭테이블!$F:$I,4,0)*K12708</f>
        <v/>
      </c>
      <c r="P12708" s="152">
        <f>M12708/1.1</f>
        <v/>
      </c>
      <c r="Q12708" s="88">
        <f>F12708&amp;E12708&amp;G12708&amp;L12708</f>
        <v/>
      </c>
    </row>
    <row r="12709">
      <c r="B12709" s="128" t="n">
        <v>44192</v>
      </c>
      <c r="C12709" s="88">
        <f>TEXT(B12709,"aaa")</f>
        <v/>
      </c>
      <c r="E12709" s="88">
        <f>INDEX(매칭테이블!C:D,MATCH(RD!G12709,매칭테이블!D:D,0),1)</f>
        <v/>
      </c>
      <c r="F12709" s="94" t="inlineStr">
        <is>
          <t>카페24</t>
        </is>
      </c>
      <c r="G12709" s="94" t="inlineStr">
        <is>
          <t>어성초 70 인텐스 카밍 크림크림=어성초 토너 250ml + 카밍 크림 50ml (-30%)</t>
        </is>
      </c>
      <c r="K12709" s="94" t="n">
        <v>1</v>
      </c>
      <c r="L12709" s="88" t="n">
        <v>201208</v>
      </c>
      <c r="M12709" s="88">
        <f>VLOOKUP($Q12709,매칭테이블!$F:$I,2,0)*K12709</f>
        <v/>
      </c>
      <c r="N12709" s="88">
        <f>M12709-M12709*VLOOKUP($Q12709,매칭테이블!$F:$I,3,0)</f>
        <v/>
      </c>
      <c r="O12709" s="88">
        <f>VLOOKUP($Q12709,매칭테이블!$F:$I,4,0)*K12709</f>
        <v/>
      </c>
      <c r="P12709" s="152">
        <f>M12709/1.1</f>
        <v/>
      </c>
      <c r="Q12709" s="88">
        <f>F12709&amp;E12709&amp;G12709&amp;L12709</f>
        <v/>
      </c>
    </row>
    <row r="12710">
      <c r="B12710" s="128" t="n">
        <v>44192</v>
      </c>
      <c r="C12710" s="88">
        <f>TEXT(B12710,"aaa")</f>
        <v/>
      </c>
      <c r="E12710" s="88">
        <f>INDEX(매칭테이블!C:D,MATCH(RD!G12710,매칭테이블!D:D,0),1)</f>
        <v/>
      </c>
      <c r="F12710" s="94" t="inlineStr">
        <is>
          <t>카페24</t>
        </is>
      </c>
      <c r="G12710" s="94" t="inlineStr">
        <is>
          <t>어성초 77 수딩 토너토너(필수)=어성초 77 토너 1개-20% off</t>
        </is>
      </c>
      <c r="K12710" s="94" t="n">
        <v>70</v>
      </c>
      <c r="L12710" s="88" t="n">
        <v>201208</v>
      </c>
      <c r="M12710" s="88">
        <f>VLOOKUP($Q12710,매칭테이블!$F:$I,2,0)*K12710</f>
        <v/>
      </c>
      <c r="N12710" s="88">
        <f>M12710-M12710*VLOOKUP($Q12710,매칭테이블!$F:$I,3,0)</f>
        <v/>
      </c>
      <c r="O12710" s="88">
        <f>VLOOKUP($Q12710,매칭테이블!$F:$I,4,0)*K12710</f>
        <v/>
      </c>
      <c r="P12710" s="152">
        <f>M12710/1.1</f>
        <v/>
      </c>
      <c r="Q12710" s="88">
        <f>F12710&amp;E12710&amp;G12710&amp;L12710</f>
        <v/>
      </c>
    </row>
    <row r="12711">
      <c r="B12711" s="128" t="n">
        <v>44192</v>
      </c>
      <c r="C12711" s="88">
        <f>TEXT(B12711,"aaa")</f>
        <v/>
      </c>
      <c r="E12711" s="88">
        <f>INDEX(매칭테이블!C:D,MATCH(RD!G12711,매칭테이블!D:D,0),1)</f>
        <v/>
      </c>
      <c r="F12711" s="94" t="inlineStr">
        <is>
          <t>카페24</t>
        </is>
      </c>
      <c r="G12711" s="94" t="inlineStr">
        <is>
          <t>어성초 77 수딩 토너토너(필수)=어성초 77 토너 2개-30% off (무료배송)</t>
        </is>
      </c>
      <c r="K12711" s="94" t="n">
        <v>38</v>
      </c>
      <c r="L12711" s="88" t="n">
        <v>201208</v>
      </c>
      <c r="M12711" s="88">
        <f>VLOOKUP($Q12711,매칭테이블!$F:$I,2,0)*K12711</f>
        <v/>
      </c>
      <c r="N12711" s="88">
        <f>M12711-M12711*VLOOKUP($Q12711,매칭테이블!$F:$I,3,0)</f>
        <v/>
      </c>
      <c r="O12711" s="88">
        <f>VLOOKUP($Q12711,매칭테이블!$F:$I,4,0)*K12711</f>
        <v/>
      </c>
      <c r="P12711" s="152">
        <f>M12711/1.1</f>
        <v/>
      </c>
      <c r="Q12711" s="88">
        <f>F12711&amp;E12711&amp;G12711&amp;L12711</f>
        <v/>
      </c>
    </row>
    <row r="12712">
      <c r="B12712" s="128" t="n">
        <v>44192</v>
      </c>
      <c r="C12712" s="88">
        <f>TEXT(B12712,"aaa")</f>
        <v/>
      </c>
      <c r="E12712" s="88">
        <f>INDEX(매칭테이블!C:D,MATCH(RD!G12712,매칭테이블!D:D,0),1)</f>
        <v/>
      </c>
      <c r="F12712" s="94" t="inlineStr">
        <is>
          <t>카페24</t>
        </is>
      </c>
      <c r="G12712" s="94" t="inlineStr">
        <is>
          <t>어성초 77 수딩 토너토너(필수)=어성초77토너1개 + 어성초77패드1개 -30% off (무료배송)</t>
        </is>
      </c>
      <c r="K12712" s="94" t="n">
        <v>31</v>
      </c>
      <c r="L12712" s="88" t="n">
        <v>201208</v>
      </c>
      <c r="M12712" s="88">
        <f>VLOOKUP($Q12712,매칭테이블!$F:$I,2,0)*K12712</f>
        <v/>
      </c>
      <c r="N12712" s="88">
        <f>M12712-M12712*VLOOKUP($Q12712,매칭테이블!$F:$I,3,0)</f>
        <v/>
      </c>
      <c r="O12712" s="88">
        <f>VLOOKUP($Q12712,매칭테이블!$F:$I,4,0)*K12712</f>
        <v/>
      </c>
      <c r="P12712" s="152">
        <f>M12712/1.1</f>
        <v/>
      </c>
      <c r="Q12712" s="88">
        <f>F12712&amp;E12712&amp;G12712&amp;L12712</f>
        <v/>
      </c>
    </row>
    <row r="12713">
      <c r="B12713" s="128" t="n">
        <v>44192</v>
      </c>
      <c r="C12713" s="88">
        <f>TEXT(B12713,"aaa")</f>
        <v/>
      </c>
      <c r="E12713" s="88">
        <f>INDEX(매칭테이블!C:D,MATCH(RD!G12713,매칭테이블!D:D,0),1)</f>
        <v/>
      </c>
      <c r="F12713" s="94" t="inlineStr">
        <is>
          <t>카페24</t>
        </is>
      </c>
      <c r="G12713" s="94" t="inlineStr">
        <is>
          <t>어성초 77 수딩 토너화장솜(선택)=촉촉 스킨팩 화장솜</t>
        </is>
      </c>
      <c r="K12713" s="94" t="n">
        <v>41</v>
      </c>
      <c r="L12713" s="88" t="n">
        <v>201208</v>
      </c>
      <c r="M12713" s="88">
        <f>VLOOKUP($Q12713,매칭테이블!$F:$I,2,0)*K12713</f>
        <v/>
      </c>
      <c r="N12713" s="88">
        <f>M12713-M12713*VLOOKUP($Q12713,매칭테이블!$F:$I,3,0)</f>
        <v/>
      </c>
      <c r="O12713" s="88">
        <f>VLOOKUP($Q12713,매칭테이블!$F:$I,4,0)*K12713</f>
        <v/>
      </c>
      <c r="P12713" s="152">
        <f>M12713/1.1</f>
        <v/>
      </c>
      <c r="Q12713" s="88">
        <f>F12713&amp;E12713&amp;G12713&amp;L12713</f>
        <v/>
      </c>
    </row>
    <row r="12714">
      <c r="B12714" s="128" t="n">
        <v>44192</v>
      </c>
      <c r="C12714" s="88">
        <f>TEXT(B12714,"aaa")</f>
        <v/>
      </c>
      <c r="E12714" s="88">
        <f>INDEX(매칭테이블!C:D,MATCH(RD!G12714,매칭테이블!D:D,0),1)</f>
        <v/>
      </c>
      <c r="F12714" s="94" t="inlineStr">
        <is>
          <t>카페24</t>
        </is>
      </c>
      <c r="G12714" s="94" t="inlineStr">
        <is>
          <t>어성초 77 수딩 토너토너(필수)=어성초 77 토너 2개-30% off (무료배송)</t>
        </is>
      </c>
      <c r="K12714" s="94" t="n">
        <v>1</v>
      </c>
      <c r="L12714" s="88" t="n">
        <v>201208</v>
      </c>
      <c r="M12714" s="88">
        <f>VLOOKUP($Q12714,매칭테이블!$F:$I,2,0)*K12714</f>
        <v/>
      </c>
      <c r="N12714" s="88">
        <f>M12714-M12714*VLOOKUP($Q12714,매칭테이블!$F:$I,3,0)</f>
        <v/>
      </c>
      <c r="O12714" s="88">
        <f>VLOOKUP($Q12714,매칭테이블!$F:$I,4,0)*K12714</f>
        <v/>
      </c>
      <c r="P12714" s="152">
        <f>M12714/1.1</f>
        <v/>
      </c>
      <c r="Q12714" s="88">
        <f>F12714&amp;E12714&amp;G12714&amp;L12714</f>
        <v/>
      </c>
    </row>
    <row r="12715">
      <c r="B12715" s="128" t="n">
        <v>44192</v>
      </c>
      <c r="C12715" s="88">
        <f>TEXT(B12715,"aaa")</f>
        <v/>
      </c>
      <c r="E12715" s="88">
        <f>INDEX(매칭테이블!C:D,MATCH(RD!G12715,매칭테이블!D:D,0),1)</f>
        <v/>
      </c>
      <c r="F12715" s="94" t="inlineStr">
        <is>
          <t>카페24</t>
        </is>
      </c>
      <c r="G12715" s="94" t="inlineStr">
        <is>
          <t>어성초 77 진정 마스크옵션=어성초 77 진정 마스크팩 1장</t>
        </is>
      </c>
      <c r="K12715" s="94" t="n">
        <v>1</v>
      </c>
      <c r="L12715" s="88" t="n">
        <v>201208</v>
      </c>
      <c r="M12715" s="88">
        <f>VLOOKUP($Q12715,매칭테이블!$F:$I,2,0)*K12715</f>
        <v/>
      </c>
      <c r="N12715" s="88">
        <f>M12715-M12715*VLOOKUP($Q12715,매칭테이블!$F:$I,3,0)</f>
        <v/>
      </c>
      <c r="O12715" s="88">
        <f>VLOOKUP($Q12715,매칭테이블!$F:$I,4,0)*K12715</f>
        <v/>
      </c>
      <c r="P12715" s="152">
        <f>M12715/1.1</f>
        <v/>
      </c>
      <c r="Q12715" s="88">
        <f>F12715&amp;E12715&amp;G12715&amp;L12715</f>
        <v/>
      </c>
    </row>
    <row r="12716">
      <c r="B12716" s="128" t="n">
        <v>44192</v>
      </c>
      <c r="C12716" s="88">
        <f>TEXT(B12716,"aaa")</f>
        <v/>
      </c>
      <c r="E12716" s="88">
        <f>INDEX(매칭테이블!C:D,MATCH(RD!G12716,매칭테이블!D:D,0),1)</f>
        <v/>
      </c>
      <c r="F12716" s="94" t="inlineStr">
        <is>
          <t>카페24</t>
        </is>
      </c>
      <c r="G12716" s="94" t="inlineStr">
        <is>
          <t>어성초 77 진정 마스크옵션=어성초 77 진정 마스크팩 10장-50% off</t>
        </is>
      </c>
      <c r="K12716" s="94" t="n">
        <v>4</v>
      </c>
      <c r="L12716" s="88" t="n">
        <v>201208</v>
      </c>
      <c r="M12716" s="88">
        <f>VLOOKUP($Q12716,매칭테이블!$F:$I,2,0)*K12716</f>
        <v/>
      </c>
      <c r="N12716" s="88">
        <f>M12716-M12716*VLOOKUP($Q12716,매칭테이블!$F:$I,3,0)</f>
        <v/>
      </c>
      <c r="O12716" s="88">
        <f>VLOOKUP($Q12716,매칭테이블!$F:$I,4,0)*K12716</f>
        <v/>
      </c>
      <c r="P12716" s="152">
        <f>M12716/1.1</f>
        <v/>
      </c>
      <c r="Q12716" s="88">
        <f>F12716&amp;E12716&amp;G12716&amp;L12716</f>
        <v/>
      </c>
    </row>
    <row r="12717">
      <c r="B12717" s="128" t="n">
        <v>44192</v>
      </c>
      <c r="C12717" s="88">
        <f>TEXT(B12717,"aaa")</f>
        <v/>
      </c>
      <c r="E12717" s="88">
        <f>INDEX(매칭테이블!C:D,MATCH(RD!G12717,매칭테이블!D:D,0),1)</f>
        <v/>
      </c>
      <c r="F12717" s="94" t="inlineStr">
        <is>
          <t>카페24</t>
        </is>
      </c>
      <c r="G12717" s="94" t="inlineStr">
        <is>
          <t>어성초 77 진정 마스크</t>
        </is>
      </c>
      <c r="K12717" s="94" t="n">
        <v>5</v>
      </c>
      <c r="L12717" s="88" t="n">
        <v>201208</v>
      </c>
      <c r="M12717" s="88">
        <f>VLOOKUP($Q12717,매칭테이블!$F:$I,2,0)*K12717</f>
        <v/>
      </c>
      <c r="N12717" s="88">
        <f>M12717-M12717*VLOOKUP($Q12717,매칭테이블!$F:$I,3,0)</f>
        <v/>
      </c>
      <c r="O12717" s="88">
        <f>VLOOKUP($Q12717,매칭테이블!$F:$I,4,0)*K12717</f>
        <v/>
      </c>
      <c r="P12717" s="152">
        <f>M12717/1.1</f>
        <v/>
      </c>
      <c r="Q12717" s="88">
        <f>F12717&amp;E12717&amp;G12717&amp;L12717</f>
        <v/>
      </c>
    </row>
    <row r="12718">
      <c r="B12718" s="128" t="n">
        <v>44192</v>
      </c>
      <c r="C12718" s="88">
        <f>TEXT(B12718,"aaa")</f>
        <v/>
      </c>
      <c r="E12718" s="88">
        <f>INDEX(매칭테이블!C:D,MATCH(RD!G12718,매칭테이블!D:D,0),1)</f>
        <v/>
      </c>
      <c r="F12718" s="94" t="inlineStr">
        <is>
          <t>카페24</t>
        </is>
      </c>
      <c r="G12718" s="94" t="inlineStr">
        <is>
          <t>어성초 77 클리어 패드옵션=어성초 77 클리어 패드 1개-20% off</t>
        </is>
      </c>
      <c r="K12718" s="94" t="n">
        <v>62</v>
      </c>
      <c r="L12718" s="88" t="n">
        <v>201208</v>
      </c>
      <c r="M12718" s="88">
        <f>VLOOKUP($Q12718,매칭테이블!$F:$I,2,0)*K12718</f>
        <v/>
      </c>
      <c r="N12718" s="88">
        <f>M12718-M12718*VLOOKUP($Q12718,매칭테이블!$F:$I,3,0)</f>
        <v/>
      </c>
      <c r="O12718" s="88">
        <f>VLOOKUP($Q12718,매칭테이블!$F:$I,4,0)*K12718</f>
        <v/>
      </c>
      <c r="P12718" s="152">
        <f>M12718/1.1</f>
        <v/>
      </c>
      <c r="Q12718" s="88">
        <f>F12718&amp;E12718&amp;G12718&amp;L12718</f>
        <v/>
      </c>
    </row>
    <row r="12719">
      <c r="B12719" s="128" t="n">
        <v>44192</v>
      </c>
      <c r="C12719" s="88">
        <f>TEXT(B12719,"aaa")</f>
        <v/>
      </c>
      <c r="E12719" s="88">
        <f>INDEX(매칭테이블!C:D,MATCH(RD!G12719,매칭테이블!D:D,0),1)</f>
        <v/>
      </c>
      <c r="F12719" s="94" t="inlineStr">
        <is>
          <t>카페24</t>
        </is>
      </c>
      <c r="G12719" s="94" t="inlineStr">
        <is>
          <t>어성초 77 클리어 패드옵션=어성초 77 클리어 패드 2개-30% off (무료배송)</t>
        </is>
      </c>
      <c r="K12719" s="94" t="n">
        <v>88</v>
      </c>
      <c r="L12719" s="88" t="n">
        <v>201208</v>
      </c>
      <c r="M12719" s="88">
        <f>VLOOKUP($Q12719,매칭테이블!$F:$I,2,0)*K12719</f>
        <v/>
      </c>
      <c r="N12719" s="88">
        <f>M12719-M12719*VLOOKUP($Q12719,매칭테이블!$F:$I,3,0)</f>
        <v/>
      </c>
      <c r="O12719" s="88">
        <f>VLOOKUP($Q12719,매칭테이블!$F:$I,4,0)*K12719</f>
        <v/>
      </c>
      <c r="P12719" s="152">
        <f>M12719/1.1</f>
        <v/>
      </c>
      <c r="Q12719" s="88">
        <f>F12719&amp;E12719&amp;G12719&amp;L12719</f>
        <v/>
      </c>
    </row>
    <row r="12720">
      <c r="B12720" s="128" t="n">
        <v>44192</v>
      </c>
      <c r="C12720" s="88">
        <f>TEXT(B12720,"aaa")</f>
        <v/>
      </c>
      <c r="E12720" s="88">
        <f>INDEX(매칭테이블!C:D,MATCH(RD!G12720,매칭테이블!D:D,0),1)</f>
        <v/>
      </c>
      <c r="F12720" s="94" t="inlineStr">
        <is>
          <t>카페24</t>
        </is>
      </c>
      <c r="G12720" s="94" t="inlineStr">
        <is>
          <t>어성초 77 클리어 패드옵션=어성초77토너1개+어성초77패드1개-30% off (무료배송)</t>
        </is>
      </c>
      <c r="K12720" s="94" t="n">
        <v>57</v>
      </c>
      <c r="L12720" s="88" t="n">
        <v>201208</v>
      </c>
      <c r="M12720" s="88">
        <f>VLOOKUP($Q12720,매칭테이블!$F:$I,2,0)*K12720</f>
        <v/>
      </c>
      <c r="N12720" s="88">
        <f>M12720-M12720*VLOOKUP($Q12720,매칭테이블!$F:$I,3,0)</f>
        <v/>
      </c>
      <c r="O12720" s="88">
        <f>VLOOKUP($Q12720,매칭테이블!$F:$I,4,0)*K12720</f>
        <v/>
      </c>
      <c r="P12720" s="152">
        <f>M12720/1.1</f>
        <v/>
      </c>
      <c r="Q12720" s="88">
        <f>F12720&amp;E12720&amp;G12720&amp;L12720</f>
        <v/>
      </c>
    </row>
    <row r="12721">
      <c r="B12721" s="128" t="n">
        <v>44192</v>
      </c>
      <c r="C12721" s="88">
        <f>TEXT(B12721,"aaa")</f>
        <v/>
      </c>
      <c r="E12721" s="88">
        <f>INDEX(매칭테이블!C:D,MATCH(RD!G12721,매칭테이블!D:D,0),1)</f>
        <v/>
      </c>
      <c r="F12721" s="94" t="inlineStr">
        <is>
          <t>카페24</t>
        </is>
      </c>
      <c r="G12721" s="94" t="inlineStr">
        <is>
          <t>어성초 77 토너</t>
        </is>
      </c>
      <c r="K12721" s="94" t="n">
        <v>1</v>
      </c>
      <c r="L12721" s="88" t="n">
        <v>201208</v>
      </c>
      <c r="M12721" s="88">
        <f>VLOOKUP($Q12721,매칭테이블!$F:$I,2,0)*K12721</f>
        <v/>
      </c>
      <c r="N12721" s="88">
        <f>M12721-M12721*VLOOKUP($Q12721,매칭테이블!$F:$I,3,0)</f>
        <v/>
      </c>
      <c r="O12721" s="88">
        <f>VLOOKUP($Q12721,매칭테이블!$F:$I,4,0)*K12721</f>
        <v/>
      </c>
      <c r="P12721" s="152">
        <f>M12721/1.1</f>
        <v/>
      </c>
      <c r="Q12721" s="88">
        <f>F12721&amp;E12721&amp;G12721&amp;L12721</f>
        <v/>
      </c>
    </row>
    <row r="12722">
      <c r="B12722" s="128" t="n">
        <v>44192</v>
      </c>
      <c r="C12722" s="88">
        <f>TEXT(B12722,"aaa")</f>
        <v/>
      </c>
      <c r="E12722" s="88">
        <f>INDEX(매칭테이블!C:D,MATCH(RD!G12722,매칭테이블!D:D,0),1)</f>
        <v/>
      </c>
      <c r="F12722" s="94" t="inlineStr">
        <is>
          <t>카페24</t>
        </is>
      </c>
      <c r="G12722" s="94" t="inlineStr">
        <is>
          <t>어성초 77 포어 클리어 패드옵션=어성초 77 클리어 패드 1개-20% off</t>
        </is>
      </c>
      <c r="K12722" s="94" t="n">
        <v>19</v>
      </c>
      <c r="L12722" s="88" t="n">
        <v>201208</v>
      </c>
      <c r="M12722" s="88">
        <f>VLOOKUP($Q12722,매칭테이블!$F:$I,2,0)*K12722</f>
        <v/>
      </c>
      <c r="N12722" s="88">
        <f>M12722-M12722*VLOOKUP($Q12722,매칭테이블!$F:$I,3,0)</f>
        <v/>
      </c>
      <c r="O12722" s="88">
        <f>VLOOKUP($Q12722,매칭테이블!$F:$I,4,0)*K12722</f>
        <v/>
      </c>
      <c r="P12722" s="152">
        <f>M12722/1.1</f>
        <v/>
      </c>
      <c r="Q12722" s="88">
        <f>F12722&amp;E12722&amp;G12722&amp;L12722</f>
        <v/>
      </c>
    </row>
    <row r="12723">
      <c r="B12723" s="128" t="n">
        <v>44192</v>
      </c>
      <c r="C12723" s="88">
        <f>TEXT(B12723,"aaa")</f>
        <v/>
      </c>
      <c r="E12723" s="88">
        <f>INDEX(매칭테이블!C:D,MATCH(RD!G12723,매칭테이블!D:D,0),1)</f>
        <v/>
      </c>
      <c r="F12723" s="94" t="inlineStr">
        <is>
          <t>카페24</t>
        </is>
      </c>
      <c r="G12723" s="94" t="inlineStr">
        <is>
          <t>어성초 77 포어 클리어 패드옵션=어성초 77 클리어 패드 2개-30% off (무료배송)</t>
        </is>
      </c>
      <c r="K12723" s="94" t="n">
        <v>32</v>
      </c>
      <c r="L12723" s="88" t="n">
        <v>201208</v>
      </c>
      <c r="M12723" s="88">
        <f>VLOOKUP($Q12723,매칭테이블!$F:$I,2,0)*K12723</f>
        <v/>
      </c>
      <c r="N12723" s="88">
        <f>M12723-M12723*VLOOKUP($Q12723,매칭테이블!$F:$I,3,0)</f>
        <v/>
      </c>
      <c r="O12723" s="88">
        <f>VLOOKUP($Q12723,매칭테이블!$F:$I,4,0)*K12723</f>
        <v/>
      </c>
      <c r="P12723" s="152">
        <f>M12723/1.1</f>
        <v/>
      </c>
      <c r="Q12723" s="88">
        <f>F12723&amp;E12723&amp;G12723&amp;L12723</f>
        <v/>
      </c>
    </row>
    <row r="12724">
      <c r="B12724" s="128" t="n">
        <v>44192</v>
      </c>
      <c r="C12724" s="88">
        <f>TEXT(B12724,"aaa")</f>
        <v/>
      </c>
      <c r="E12724" s="88">
        <f>INDEX(매칭테이블!C:D,MATCH(RD!G12724,매칭테이블!D:D,0),1)</f>
        <v/>
      </c>
      <c r="F12724" s="94" t="inlineStr">
        <is>
          <t>카페24</t>
        </is>
      </c>
      <c r="G12724" s="94" t="inlineStr">
        <is>
          <t>어성초 77 포어 클리어 패드옵션=어성초77토너1개+어성초77패드1개-30% off (무료배송)</t>
        </is>
      </c>
      <c r="K12724" s="94" t="n">
        <v>19</v>
      </c>
      <c r="L12724" s="88" t="n">
        <v>201208</v>
      </c>
      <c r="M12724" s="88">
        <f>VLOOKUP($Q12724,매칭테이블!$F:$I,2,0)*K12724</f>
        <v/>
      </c>
      <c r="N12724" s="88">
        <f>M12724-M12724*VLOOKUP($Q12724,매칭테이블!$F:$I,3,0)</f>
        <v/>
      </c>
      <c r="O12724" s="88">
        <f>VLOOKUP($Q12724,매칭테이블!$F:$I,4,0)*K12724</f>
        <v/>
      </c>
      <c r="P12724" s="152">
        <f>M12724/1.1</f>
        <v/>
      </c>
      <c r="Q12724" s="88">
        <f>F12724&amp;E12724&amp;G12724&amp;L12724</f>
        <v/>
      </c>
    </row>
    <row r="12725">
      <c r="B12725" s="128" t="n">
        <v>44192</v>
      </c>
      <c r="C12725" s="88">
        <f>TEXT(B12725,"aaa")</f>
        <v/>
      </c>
      <c r="E12725" s="88">
        <f>INDEX(매칭테이블!C:D,MATCH(RD!G12725,매칭테이블!D:D,0),1)</f>
        <v/>
      </c>
      <c r="F12725" s="94" t="inlineStr">
        <is>
          <t>카페24</t>
        </is>
      </c>
      <c r="G12725" s="94" t="inlineStr">
        <is>
          <t>어성초 77% 패드옵션=어성초 77 클리어 패드 1개-20% off</t>
        </is>
      </c>
      <c r="K12725" s="94" t="n">
        <v>103</v>
      </c>
      <c r="L12725" s="88" t="n">
        <v>201208</v>
      </c>
      <c r="M12725" s="88">
        <f>VLOOKUP($Q12725,매칭테이블!$F:$I,2,0)*K12725</f>
        <v/>
      </c>
      <c r="N12725" s="88">
        <f>M12725-M12725*VLOOKUP($Q12725,매칭테이블!$F:$I,3,0)</f>
        <v/>
      </c>
      <c r="O12725" s="88">
        <f>VLOOKUP($Q12725,매칭테이블!$F:$I,4,0)*K12725</f>
        <v/>
      </c>
      <c r="P12725" s="152">
        <f>M12725/1.1</f>
        <v/>
      </c>
      <c r="Q12725" s="88">
        <f>F12725&amp;E12725&amp;G12725&amp;L12725</f>
        <v/>
      </c>
    </row>
    <row r="12726">
      <c r="B12726" s="128" t="n">
        <v>44192</v>
      </c>
      <c r="C12726" s="88">
        <f>TEXT(B12726,"aaa")</f>
        <v/>
      </c>
      <c r="E12726" s="88">
        <f>INDEX(매칭테이블!C:D,MATCH(RD!G12726,매칭테이블!D:D,0),1)</f>
        <v/>
      </c>
      <c r="F12726" s="94" t="inlineStr">
        <is>
          <t>카페24</t>
        </is>
      </c>
      <c r="G12726" s="94" t="inlineStr">
        <is>
          <t>어성초 77% 패드옵션=어성초 77 클리어 패드 2개-30% off (무료배송)</t>
        </is>
      </c>
      <c r="K12726" s="94" t="n">
        <v>101</v>
      </c>
      <c r="L12726" s="88" t="n">
        <v>201208</v>
      </c>
      <c r="M12726" s="88">
        <f>VLOOKUP($Q12726,매칭테이블!$F:$I,2,0)*K12726</f>
        <v/>
      </c>
      <c r="N12726" s="88">
        <f>M12726-M12726*VLOOKUP($Q12726,매칭테이블!$F:$I,3,0)</f>
        <v/>
      </c>
      <c r="O12726" s="88">
        <f>VLOOKUP($Q12726,매칭테이블!$F:$I,4,0)*K12726</f>
        <v/>
      </c>
      <c r="P12726" s="152">
        <f>M12726/1.1</f>
        <v/>
      </c>
      <c r="Q12726" s="88">
        <f>F12726&amp;E12726&amp;G12726&amp;L12726</f>
        <v/>
      </c>
    </row>
    <row r="12727">
      <c r="B12727" s="128" t="n">
        <v>44192</v>
      </c>
      <c r="C12727" s="88">
        <f>TEXT(B12727,"aaa")</f>
        <v/>
      </c>
      <c r="E12727" s="88">
        <f>INDEX(매칭테이블!C:D,MATCH(RD!G12727,매칭테이블!D:D,0),1)</f>
        <v/>
      </c>
      <c r="F12727" s="94" t="inlineStr">
        <is>
          <t>카페24</t>
        </is>
      </c>
      <c r="G12727" s="94" t="inlineStr">
        <is>
          <t>어성초 77% 패드옵션=어성초77토너1개+어성초77패드1개-30% off (무료배송)</t>
        </is>
      </c>
      <c r="K12727" s="94" t="n">
        <v>61</v>
      </c>
      <c r="L12727" s="88" t="n">
        <v>201208</v>
      </c>
      <c r="M12727" s="88">
        <f>VLOOKUP($Q12727,매칭테이블!$F:$I,2,0)*K12727</f>
        <v/>
      </c>
      <c r="N12727" s="88">
        <f>M12727-M12727*VLOOKUP($Q12727,매칭테이블!$F:$I,3,0)</f>
        <v/>
      </c>
      <c r="O12727" s="88">
        <f>VLOOKUP($Q12727,매칭테이블!$F:$I,4,0)*K12727</f>
        <v/>
      </c>
      <c r="P12727" s="152">
        <f>M12727/1.1</f>
        <v/>
      </c>
      <c r="Q12727" s="88">
        <f>F12727&amp;E12727&amp;G12727&amp;L12727</f>
        <v/>
      </c>
    </row>
    <row r="12728">
      <c r="B12728" s="128" t="n">
        <v>44192</v>
      </c>
      <c r="C12728" s="88">
        <f>TEXT(B12728,"aaa")</f>
        <v/>
      </c>
      <c r="E12728" s="88">
        <f>INDEX(매칭테이블!C:D,MATCH(RD!G12728,매칭테이블!D:D,0),1)</f>
        <v/>
      </c>
      <c r="F12728" s="94" t="inlineStr">
        <is>
          <t>카페24</t>
        </is>
      </c>
      <c r="G12728" s="94" t="inlineStr">
        <is>
          <t>어성초 78 수딩 크림</t>
        </is>
      </c>
      <c r="K12728" s="94" t="n">
        <v>5</v>
      </c>
      <c r="L12728" s="88" t="n">
        <v>201208</v>
      </c>
      <c r="M12728" s="88">
        <f>VLOOKUP($Q12728,매칭테이블!$F:$I,2,0)*K12728</f>
        <v/>
      </c>
      <c r="N12728" s="88">
        <f>M12728-M12728*VLOOKUP($Q12728,매칭테이블!$F:$I,3,0)</f>
        <v/>
      </c>
      <c r="O12728" s="88">
        <f>VLOOKUP($Q12728,매칭테이블!$F:$I,4,0)*K12728</f>
        <v/>
      </c>
      <c r="P12728" s="152">
        <f>M12728/1.1</f>
        <v/>
      </c>
      <c r="Q12728" s="88">
        <f>F12728&amp;E12728&amp;G12728&amp;L12728</f>
        <v/>
      </c>
    </row>
    <row r="12729">
      <c r="B12729" s="128" t="n">
        <v>44192</v>
      </c>
      <c r="C12729" s="88">
        <f>TEXT(B12729,"aaa")</f>
        <v/>
      </c>
      <c r="E12729" s="88">
        <f>INDEX(매칭테이블!C:D,MATCH(RD!G12729,매칭테이블!D:D,0),1)</f>
        <v/>
      </c>
      <c r="F12729" s="94" t="inlineStr">
        <is>
          <t>카페24</t>
        </is>
      </c>
      <c r="G12729" s="94" t="inlineStr">
        <is>
          <t>어성초 78 수딩 크림</t>
        </is>
      </c>
      <c r="K12729" s="94" t="n">
        <v>8</v>
      </c>
      <c r="L12729" s="88" t="n">
        <v>201208</v>
      </c>
      <c r="M12729" s="88">
        <f>VLOOKUP($Q12729,매칭테이블!$F:$I,2,0)*K12729</f>
        <v/>
      </c>
      <c r="N12729" s="88">
        <f>M12729-M12729*VLOOKUP($Q12729,매칭테이블!$F:$I,3,0)</f>
        <v/>
      </c>
      <c r="O12729" s="88">
        <f>VLOOKUP($Q12729,매칭테이블!$F:$I,4,0)*K12729</f>
        <v/>
      </c>
      <c r="P12729" s="152">
        <f>M12729/1.1</f>
        <v/>
      </c>
      <c r="Q12729" s="88">
        <f>F12729&amp;E12729&amp;G12729&amp;L12729</f>
        <v/>
      </c>
    </row>
    <row r="12730">
      <c r="B12730" s="128" t="n">
        <v>44192</v>
      </c>
      <c r="C12730" s="88">
        <f>TEXT(B12730,"aaa")</f>
        <v/>
      </c>
      <c r="E12730" s="88">
        <f>INDEX(매칭테이블!C:D,MATCH(RD!G12730,매칭테이블!D:D,0),1)</f>
        <v/>
      </c>
      <c r="F12730" s="94" t="inlineStr">
        <is>
          <t>카페24</t>
        </is>
      </c>
      <c r="G12730" s="94" t="inlineStr">
        <is>
          <t>어성초 80 수분 진정 앰플앰플=어성초 80 앰플 1개-15%off</t>
        </is>
      </c>
      <c r="K12730" s="94" t="n">
        <v>19</v>
      </c>
      <c r="L12730" s="88" t="n">
        <v>201208</v>
      </c>
      <c r="M12730" s="88">
        <f>VLOOKUP($Q12730,매칭테이블!$F:$I,2,0)*K12730</f>
        <v/>
      </c>
      <c r="N12730" s="88">
        <f>M12730-M12730*VLOOKUP($Q12730,매칭테이블!$F:$I,3,0)</f>
        <v/>
      </c>
      <c r="O12730" s="88">
        <f>VLOOKUP($Q12730,매칭테이블!$F:$I,4,0)*K12730</f>
        <v/>
      </c>
      <c r="P12730" s="152">
        <f>M12730/1.1</f>
        <v/>
      </c>
      <c r="Q12730" s="88">
        <f>F12730&amp;E12730&amp;G12730&amp;L12730</f>
        <v/>
      </c>
    </row>
    <row r="12731">
      <c r="B12731" s="128" t="n">
        <v>44192</v>
      </c>
      <c r="C12731" s="88">
        <f>TEXT(B12731,"aaa")</f>
        <v/>
      </c>
      <c r="E12731" s="88">
        <f>INDEX(매칭테이블!C:D,MATCH(RD!G12731,매칭테이블!D:D,0),1)</f>
        <v/>
      </c>
      <c r="F12731" s="94" t="inlineStr">
        <is>
          <t>카페24</t>
        </is>
      </c>
      <c r="G12731" s="94" t="inlineStr">
        <is>
          <t>어성초 80 수분 진정 앰플앰플=어성초 80 앰플 2개-27%off (무료배송)</t>
        </is>
      </c>
      <c r="K12731" s="94" t="n">
        <v>8</v>
      </c>
      <c r="L12731" s="88" t="n">
        <v>201208</v>
      </c>
      <c r="M12731" s="88">
        <f>VLOOKUP($Q12731,매칭테이블!$F:$I,2,0)*K12731</f>
        <v/>
      </c>
      <c r="N12731" s="88">
        <f>M12731-M12731*VLOOKUP($Q12731,매칭테이블!$F:$I,3,0)</f>
        <v/>
      </c>
      <c r="O12731" s="88">
        <f>VLOOKUP($Q12731,매칭테이블!$F:$I,4,0)*K12731</f>
        <v/>
      </c>
      <c r="P12731" s="152">
        <f>M12731/1.1</f>
        <v/>
      </c>
      <c r="Q12731" s="88">
        <f>F12731&amp;E12731&amp;G12731&amp;L12731</f>
        <v/>
      </c>
    </row>
    <row r="12732">
      <c r="B12732" s="128" t="n">
        <v>44192</v>
      </c>
      <c r="C12732" s="88">
        <f>TEXT(B12732,"aaa")</f>
        <v/>
      </c>
      <c r="E12732" s="88">
        <f>INDEX(매칭테이블!C:D,MATCH(RD!G12732,매칭테이블!D:D,0),1)</f>
        <v/>
      </c>
      <c r="F12732" s="94" t="inlineStr">
        <is>
          <t>카페24</t>
        </is>
      </c>
      <c r="G12732" s="94" t="inlineStr">
        <is>
          <t>어성초 80 수분 진정 앰플</t>
        </is>
      </c>
      <c r="K12732" s="94" t="n">
        <v>11</v>
      </c>
      <c r="L12732" s="88" t="n">
        <v>201208</v>
      </c>
      <c r="M12732" s="88">
        <f>VLOOKUP($Q12732,매칭테이블!$F:$I,2,0)*K12732</f>
        <v/>
      </c>
      <c r="N12732" s="88">
        <f>M12732-M12732*VLOOKUP($Q12732,매칭테이블!$F:$I,3,0)</f>
        <v/>
      </c>
      <c r="O12732" s="88">
        <f>VLOOKUP($Q12732,매칭테이블!$F:$I,4,0)*K12732</f>
        <v/>
      </c>
      <c r="P12732" s="152">
        <f>M12732/1.1</f>
        <v/>
      </c>
      <c r="Q12732" s="88">
        <f>F12732&amp;E12732&amp;G12732&amp;L12732</f>
        <v/>
      </c>
    </row>
    <row r="12733">
      <c r="B12733" s="128" t="n">
        <v>44192</v>
      </c>
      <c r="C12733" s="88">
        <f>TEXT(B12733,"aaa")</f>
        <v/>
      </c>
      <c r="E12733" s="88">
        <f>INDEX(매칭테이블!C:D,MATCH(RD!G12733,매칭테이블!D:D,0),1)</f>
        <v/>
      </c>
      <c r="F12733" s="94" t="inlineStr">
        <is>
          <t>카페24</t>
        </is>
      </c>
      <c r="G12733" s="94" t="inlineStr">
        <is>
          <t>어성초 아크네 바디워시옵션=어성초 아크네 바디워시 1개 -30% off</t>
        </is>
      </c>
      <c r="K12733" s="94" t="n">
        <v>9</v>
      </c>
      <c r="L12733" s="88" t="n">
        <v>201208</v>
      </c>
      <c r="M12733" s="88">
        <f>VLOOKUP($Q12733,매칭테이블!$F:$I,2,0)*K12733</f>
        <v/>
      </c>
      <c r="N12733" s="88">
        <f>M12733-M12733*VLOOKUP($Q12733,매칭테이블!$F:$I,3,0)</f>
        <v/>
      </c>
      <c r="O12733" s="88">
        <f>VLOOKUP($Q12733,매칭테이블!$F:$I,4,0)*K12733</f>
        <v/>
      </c>
      <c r="P12733" s="152">
        <f>M12733/1.1</f>
        <v/>
      </c>
      <c r="Q12733" s="88">
        <f>F12733&amp;E12733&amp;G12733&amp;L12733</f>
        <v/>
      </c>
    </row>
    <row r="12734">
      <c r="B12734" s="128" t="n">
        <v>44192</v>
      </c>
      <c r="C12734" s="88">
        <f>TEXT(B12734,"aaa")</f>
        <v/>
      </c>
      <c r="E12734" s="88">
        <f>INDEX(매칭테이블!C:D,MATCH(RD!G12734,매칭테이블!D:D,0),1)</f>
        <v/>
      </c>
      <c r="F12734" s="94" t="inlineStr">
        <is>
          <t>카페24</t>
        </is>
      </c>
      <c r="G12734" s="94" t="inlineStr">
        <is>
          <t>어성초 아크네 바디워시옵션=어성초 아크네 바디워시 2개 -35% off (무료배송)</t>
        </is>
      </c>
      <c r="K12734" s="94" t="n">
        <v>1</v>
      </c>
      <c r="L12734" s="88" t="n">
        <v>201208</v>
      </c>
      <c r="M12734" s="88">
        <f>VLOOKUP($Q12734,매칭테이블!$F:$I,2,0)*K12734</f>
        <v/>
      </c>
      <c r="N12734" s="88">
        <f>M12734-M12734*VLOOKUP($Q12734,매칭테이블!$F:$I,3,0)</f>
        <v/>
      </c>
      <c r="O12734" s="88">
        <f>VLOOKUP($Q12734,매칭테이블!$F:$I,4,0)*K12734</f>
        <v/>
      </c>
      <c r="P12734" s="152">
        <f>M12734/1.1</f>
        <v/>
      </c>
      <c r="Q12734" s="88">
        <f>F12734&amp;E12734&amp;G12734&amp;L12734</f>
        <v/>
      </c>
    </row>
    <row r="12735">
      <c r="B12735" s="128" t="n">
        <v>44192</v>
      </c>
      <c r="C12735" s="88">
        <f>TEXT(B12735,"aaa")</f>
        <v/>
      </c>
      <c r="E12735" s="88">
        <f>INDEX(매칭테이블!C:D,MATCH(RD!G12735,매칭테이블!D:D,0),1)</f>
        <v/>
      </c>
      <c r="F12735" s="94" t="inlineStr">
        <is>
          <t>카페24</t>
        </is>
      </c>
      <c r="G12735" s="94" t="inlineStr">
        <is>
          <t>어성초 약산성 클렌징폼클렌징폼=어성초 약산성 클렌징폼 1개 -19%off</t>
        </is>
      </c>
      <c r="K12735" s="94" t="n">
        <v>23</v>
      </c>
      <c r="L12735" s="88" t="n">
        <v>201208</v>
      </c>
      <c r="M12735" s="88">
        <f>VLOOKUP($Q12735,매칭테이블!$F:$I,2,0)*K12735</f>
        <v/>
      </c>
      <c r="N12735" s="88">
        <f>M12735-M12735*VLOOKUP($Q12735,매칭테이블!$F:$I,3,0)</f>
        <v/>
      </c>
      <c r="O12735" s="88">
        <f>VLOOKUP($Q12735,매칭테이블!$F:$I,4,0)*K12735</f>
        <v/>
      </c>
      <c r="P12735" s="152">
        <f>M12735/1.1</f>
        <v/>
      </c>
      <c r="Q12735" s="88">
        <f>F12735&amp;E12735&amp;G12735&amp;L12735</f>
        <v/>
      </c>
    </row>
    <row r="12736">
      <c r="B12736" s="128" t="n">
        <v>44192</v>
      </c>
      <c r="C12736" s="88">
        <f>TEXT(B12736,"aaa")</f>
        <v/>
      </c>
      <c r="E12736" s="88">
        <f>INDEX(매칭테이블!C:D,MATCH(RD!G12736,매칭테이블!D:D,0),1)</f>
        <v/>
      </c>
      <c r="F12736" s="94" t="inlineStr">
        <is>
          <t>카페24</t>
        </is>
      </c>
      <c r="G12736" s="94" t="inlineStr">
        <is>
          <t>어성초 약산성 클렌징폼클렌징폼=어성초 약산성 클렌징폼 2개 -25%off</t>
        </is>
      </c>
      <c r="K12736" s="94" t="n">
        <v>3</v>
      </c>
      <c r="L12736" s="88" t="n">
        <v>201208</v>
      </c>
      <c r="M12736" s="88">
        <f>VLOOKUP($Q12736,매칭테이블!$F:$I,2,0)*K12736</f>
        <v/>
      </c>
      <c r="N12736" s="88">
        <f>M12736-M12736*VLOOKUP($Q12736,매칭테이블!$F:$I,3,0)</f>
        <v/>
      </c>
      <c r="O12736" s="88">
        <f>VLOOKUP($Q12736,매칭테이블!$F:$I,4,0)*K12736</f>
        <v/>
      </c>
      <c r="P12736" s="152">
        <f>M12736/1.1</f>
        <v/>
      </c>
      <c r="Q12736" s="88">
        <f>F12736&amp;E12736&amp;G12736&amp;L12736</f>
        <v/>
      </c>
    </row>
    <row r="12737">
      <c r="B12737" s="128" t="n">
        <v>44192</v>
      </c>
      <c r="C12737" s="88">
        <f>TEXT(B12737,"aaa")</f>
        <v/>
      </c>
      <c r="E12737" s="88">
        <f>INDEX(매칭테이블!C:D,MATCH(RD!G12737,매칭테이블!D:D,0),1)</f>
        <v/>
      </c>
      <c r="F12737" s="94" t="inlineStr">
        <is>
          <t>카페24</t>
        </is>
      </c>
      <c r="G12737" s="94" t="inlineStr">
        <is>
          <t>어성초 약산성 클렌징폼클렌징폼=어성초 약산성 클렌징폼 3개 -31%off (무료배송)</t>
        </is>
      </c>
      <c r="K12737" s="94" t="n">
        <v>2</v>
      </c>
      <c r="L12737" s="88" t="n">
        <v>201208</v>
      </c>
      <c r="M12737" s="88">
        <f>VLOOKUP($Q12737,매칭테이블!$F:$I,2,0)*K12737</f>
        <v/>
      </c>
      <c r="N12737" s="88">
        <f>M12737-M12737*VLOOKUP($Q12737,매칭테이블!$F:$I,3,0)</f>
        <v/>
      </c>
      <c r="O12737" s="88">
        <f>VLOOKUP($Q12737,매칭테이블!$F:$I,4,0)*K12737</f>
        <v/>
      </c>
      <c r="P12737" s="152">
        <f>M12737/1.1</f>
        <v/>
      </c>
      <c r="Q12737" s="88">
        <f>F12737&amp;E12737&amp;G12737&amp;L12737</f>
        <v/>
      </c>
    </row>
    <row r="12738">
      <c r="B12738" s="128" t="n">
        <v>44192</v>
      </c>
      <c r="C12738" s="88">
        <f>TEXT(B12738,"aaa")</f>
        <v/>
      </c>
      <c r="E12738" s="88">
        <f>INDEX(매칭테이블!C:D,MATCH(RD!G12738,매칭테이블!D:D,0),1)</f>
        <v/>
      </c>
      <c r="F12738" s="94" t="inlineStr">
        <is>
          <t>카페24</t>
        </is>
      </c>
      <c r="G12738" s="94" t="inlineStr">
        <is>
          <t>어성초 약산성 클렌징폼</t>
        </is>
      </c>
      <c r="K12738" s="94" t="n">
        <v>1</v>
      </c>
      <c r="L12738" s="88" t="n">
        <v>201208</v>
      </c>
      <c r="M12738" s="88">
        <f>VLOOKUP($Q12738,매칭테이블!$F:$I,2,0)*K12738</f>
        <v/>
      </c>
      <c r="N12738" s="88">
        <f>M12738-M12738*VLOOKUP($Q12738,매칭테이블!$F:$I,3,0)</f>
        <v/>
      </c>
      <c r="O12738" s="88">
        <f>VLOOKUP($Q12738,매칭테이블!$F:$I,4,0)*K12738</f>
        <v/>
      </c>
      <c r="P12738" s="152">
        <f>M12738/1.1</f>
        <v/>
      </c>
      <c r="Q12738" s="88">
        <f>F12738&amp;E12738&amp;G12738&amp;L12738</f>
        <v/>
      </c>
    </row>
    <row r="12739">
      <c r="B12739" s="128" t="n">
        <v>44192</v>
      </c>
      <c r="C12739" s="88">
        <f>TEXT(B12739,"aaa")</f>
        <v/>
      </c>
      <c r="E12739" s="88">
        <f>INDEX(매칭테이블!C:D,MATCH(RD!G12739,매칭테이블!D:D,0),1)</f>
        <v/>
      </c>
      <c r="F12739" s="94" t="inlineStr">
        <is>
          <t>카페24</t>
        </is>
      </c>
      <c r="G12739" s="94" t="inlineStr">
        <is>
          <t>어성초 크림마스크 나이트 솔루션옵션=어성초 크림마스크 나이트 솔루션 1장</t>
        </is>
      </c>
      <c r="K12739" s="94" t="n">
        <v>1</v>
      </c>
      <c r="L12739" s="88" t="n">
        <v>201208</v>
      </c>
      <c r="M12739" s="88">
        <f>VLOOKUP($Q12739,매칭테이블!$F:$I,2,0)*K12739</f>
        <v/>
      </c>
      <c r="N12739" s="88">
        <f>M12739-M12739*VLOOKUP($Q12739,매칭테이블!$F:$I,3,0)</f>
        <v/>
      </c>
      <c r="O12739" s="88">
        <f>VLOOKUP($Q12739,매칭테이블!$F:$I,4,0)*K12739</f>
        <v/>
      </c>
      <c r="P12739" s="152">
        <f>M12739/1.1</f>
        <v/>
      </c>
      <c r="Q12739" s="88">
        <f>F12739&amp;E12739&amp;G12739&amp;L12739</f>
        <v/>
      </c>
    </row>
    <row r="12740">
      <c r="B12740" s="128" t="n">
        <v>44192</v>
      </c>
      <c r="C12740" s="88">
        <f>TEXT(B12740,"aaa")</f>
        <v/>
      </c>
      <c r="E12740" s="88">
        <f>INDEX(매칭테이블!C:D,MATCH(RD!G12740,매칭테이블!D:D,0),1)</f>
        <v/>
      </c>
      <c r="F12740" s="94" t="inlineStr">
        <is>
          <t>카페24</t>
        </is>
      </c>
      <c r="G12740" s="94" t="inlineStr">
        <is>
          <t>어성초 크림마스크 나이트 솔루션옵션=어성초 크림마스크 나이트 솔루션 10장 (-50%)</t>
        </is>
      </c>
      <c r="K12740" s="94" t="n">
        <v>3</v>
      </c>
      <c r="L12740" s="88" t="n">
        <v>201208</v>
      </c>
      <c r="M12740" s="88">
        <f>VLOOKUP($Q12740,매칭테이블!$F:$I,2,0)*K12740</f>
        <v/>
      </c>
      <c r="N12740" s="88">
        <f>M12740-M12740*VLOOKUP($Q12740,매칭테이블!$F:$I,3,0)</f>
        <v/>
      </c>
      <c r="O12740" s="88">
        <f>VLOOKUP($Q12740,매칭테이블!$F:$I,4,0)*K12740</f>
        <v/>
      </c>
      <c r="P12740" s="152">
        <f>M12740/1.1</f>
        <v/>
      </c>
      <c r="Q12740" s="88">
        <f>F12740&amp;E12740&amp;G12740&amp;L12740</f>
        <v/>
      </c>
    </row>
    <row r="12741">
      <c r="B12741" s="128" t="n">
        <v>44192</v>
      </c>
      <c r="C12741" s="88">
        <f>TEXT(B12741,"aaa")</f>
        <v/>
      </c>
      <c r="E12741" s="88">
        <f>INDEX(매칭테이블!C:D,MATCH(RD!G12741,매칭테이블!D:D,0),1)</f>
        <v/>
      </c>
      <c r="F12741" s="94" t="inlineStr">
        <is>
          <t>카페24</t>
        </is>
      </c>
      <c r="G12741" s="94" t="inlineStr">
        <is>
          <t>촉촉 스킨팩 화장솜</t>
        </is>
      </c>
      <c r="K12741" s="94" t="n">
        <v>28</v>
      </c>
      <c r="L12741" s="88" t="n">
        <v>201208</v>
      </c>
      <c r="M12741" s="88">
        <f>VLOOKUP($Q12741,매칭테이블!$F:$I,2,0)*K12741</f>
        <v/>
      </c>
      <c r="N12741" s="88">
        <f>M12741-M12741*VLOOKUP($Q12741,매칭테이블!$F:$I,3,0)</f>
        <v/>
      </c>
      <c r="O12741" s="88">
        <f>VLOOKUP($Q12741,매칭테이블!$F:$I,4,0)*K12741</f>
        <v/>
      </c>
      <c r="P12741" s="152">
        <f>M12741/1.1</f>
        <v/>
      </c>
      <c r="Q12741" s="88">
        <f>F12741&amp;E12741&amp;G12741&amp;L12741</f>
        <v/>
      </c>
    </row>
    <row r="12742">
      <c r="B12742" s="128" t="n">
        <v>44192</v>
      </c>
      <c r="C12742" s="88">
        <f>TEXT(B12742,"aaa")</f>
        <v/>
      </c>
      <c r="E12742" s="88">
        <f>INDEX(매칭테이블!C:D,MATCH(RD!G12742,매칭테이블!D:D,0),1)</f>
        <v/>
      </c>
      <c r="F12742" s="94" t="inlineStr">
        <is>
          <t>카페24</t>
        </is>
      </c>
      <c r="G12742" s="94" t="inlineStr">
        <is>
          <t>촉촉 스킨팩 화장솜</t>
        </is>
      </c>
      <c r="K12742" s="94" t="n">
        <v>2</v>
      </c>
      <c r="L12742" s="88" t="n">
        <v>201208</v>
      </c>
      <c r="M12742" s="88">
        <f>VLOOKUP($Q12742,매칭테이블!$F:$I,2,0)*K12742</f>
        <v/>
      </c>
      <c r="N12742" s="88">
        <f>M12742-M12742*VLOOKUP($Q12742,매칭테이블!$F:$I,3,0)</f>
        <v/>
      </c>
      <c r="O12742" s="88">
        <f>VLOOKUP($Q12742,매칭테이블!$F:$I,4,0)*K12742</f>
        <v/>
      </c>
      <c r="P12742" s="152">
        <f>M12742/1.1</f>
        <v/>
      </c>
      <c r="Q12742" s="88">
        <f>F12742&amp;E12742&amp;G12742&amp;L12742</f>
        <v/>
      </c>
    </row>
    <row r="12743">
      <c r="B12743" s="128" t="n">
        <v>44193</v>
      </c>
      <c r="C12743" s="88">
        <f>TEXT(B12743,"aaa")</f>
        <v/>
      </c>
      <c r="E12743" s="88">
        <f>INDEX(매칭테이블!C:D,MATCH(RD!G12743,매칭테이블!D:D,0),1)</f>
        <v/>
      </c>
      <c r="F12743" s="94" t="inlineStr">
        <is>
          <t>W컨셉</t>
        </is>
      </c>
      <c r="G12743" s="94" t="inlineStr">
        <is>
          <t>어성초 77토너 (2 SET) HEARTLEAF 77% SOOTHING TONER 250ml250ml 2set</t>
        </is>
      </c>
      <c r="K12743" s="94" t="n">
        <v>7</v>
      </c>
      <c r="L12743" s="88" t="n">
        <v>201208</v>
      </c>
      <c r="M12743" s="88">
        <f>VLOOKUP($Q12743,매칭테이블!$F:$I,2,0)*K12743</f>
        <v/>
      </c>
      <c r="N12743" s="88">
        <f>M12743-M12743*VLOOKUP($Q12743,매칭테이블!$F:$I,3,0)</f>
        <v/>
      </c>
      <c r="O12743" s="88">
        <f>VLOOKUP($Q12743,매칭테이블!$F:$I,4,0)*K12743</f>
        <v/>
      </c>
      <c r="P12743" s="152">
        <f>M12743/1.1</f>
        <v/>
      </c>
      <c r="Q12743" s="88">
        <f>F12743&amp;E12743&amp;G12743&amp;L12743</f>
        <v/>
      </c>
    </row>
    <row r="12744">
      <c r="B12744" s="128" t="n">
        <v>44193</v>
      </c>
      <c r="C12744" s="88">
        <f>TEXT(B12744,"aaa")</f>
        <v/>
      </c>
      <c r="E12744" s="88">
        <f>INDEX(매칭테이블!C:D,MATCH(RD!G12744,매칭테이블!D:D,0),1)</f>
        <v/>
      </c>
      <c r="F12744" s="94" t="inlineStr">
        <is>
          <t>W컨셉</t>
        </is>
      </c>
      <c r="G12744" s="94" t="inlineStr">
        <is>
          <t>어성초 77토너 HEARTLEAF 77% SOOTHING TONER 250ml250ml</t>
        </is>
      </c>
      <c r="K12744" s="94" t="n">
        <v>1</v>
      </c>
      <c r="L12744" s="88" t="n">
        <v>201208</v>
      </c>
      <c r="M12744" s="88">
        <f>VLOOKUP($Q12744,매칭테이블!$F:$I,2,0)*K12744</f>
        <v/>
      </c>
      <c r="N12744" s="88">
        <f>M12744-M12744*VLOOKUP($Q12744,매칭테이블!$F:$I,3,0)</f>
        <v/>
      </c>
      <c r="O12744" s="88">
        <f>VLOOKUP($Q12744,매칭테이블!$F:$I,4,0)*K12744</f>
        <v/>
      </c>
      <c r="P12744" s="152">
        <f>M12744/1.1</f>
        <v/>
      </c>
      <c r="Q12744" s="88">
        <f>F12744&amp;E12744&amp;G12744&amp;L12744</f>
        <v/>
      </c>
    </row>
    <row r="12745">
      <c r="B12745" s="128" t="n">
        <v>44193</v>
      </c>
      <c r="C12745" s="88">
        <f>TEXT(B12745,"aaa")</f>
        <v/>
      </c>
      <c r="E12745" s="88">
        <f>INDEX(매칭테이블!C:D,MATCH(RD!G12745,매칭테이블!D:D,0),1)</f>
        <v/>
      </c>
      <c r="F12745" s="94" t="inlineStr">
        <is>
          <t>글로우데이즈 시코르</t>
        </is>
      </c>
      <c r="G12745" s="94" t="inlineStr">
        <is>
          <t>어성초 77 마스크팩 10매</t>
        </is>
      </c>
      <c r="K12745" s="94" t="n">
        <v>3</v>
      </c>
      <c r="L12745" s="88" t="n">
        <v>201208</v>
      </c>
      <c r="M12745" s="88">
        <f>VLOOKUP($Q12745,매칭테이블!$F:$I,2,0)*K12745</f>
        <v/>
      </c>
      <c r="N12745" s="88">
        <f>M12745-M12745*VLOOKUP($Q12745,매칭테이블!$F:$I,3,0)</f>
        <v/>
      </c>
      <c r="O12745" s="88">
        <f>VLOOKUP($Q12745,매칭테이블!$F:$I,4,0)*K12745</f>
        <v/>
      </c>
      <c r="P12745" s="152">
        <f>M12745/1.1</f>
        <v/>
      </c>
      <c r="Q12745" s="88">
        <f>F12745&amp;E12745&amp;G12745&amp;L12745</f>
        <v/>
      </c>
    </row>
    <row r="12746">
      <c r="B12746" s="128" t="n">
        <v>44193</v>
      </c>
      <c r="C12746" s="88">
        <f>TEXT(B12746,"aaa")</f>
        <v/>
      </c>
      <c r="E12746" s="88">
        <f>INDEX(매칭테이블!C:D,MATCH(RD!G12746,매칭테이블!D:D,0),1)</f>
        <v/>
      </c>
      <c r="F12746" s="94" t="inlineStr">
        <is>
          <t>스타일쉐어</t>
        </is>
      </c>
      <c r="G12746" s="94" t="inlineStr">
        <is>
          <t>아누아 어성초 77 토너 250ml</t>
        </is>
      </c>
      <c r="K12746" s="94" t="n">
        <v>6</v>
      </c>
      <c r="L12746" s="88" t="n">
        <v>201208</v>
      </c>
      <c r="M12746" s="88">
        <f>VLOOKUP($Q12746,매칭테이블!$F:$I,2,0)*K12746</f>
        <v/>
      </c>
      <c r="N12746" s="88">
        <f>M12746-M12746*VLOOKUP($Q12746,매칭테이블!$F:$I,3,0)</f>
        <v/>
      </c>
      <c r="O12746" s="88">
        <f>VLOOKUP($Q12746,매칭테이블!$F:$I,4,0)*K12746</f>
        <v/>
      </c>
      <c r="P12746" s="152">
        <f>M12746/1.1</f>
        <v/>
      </c>
      <c r="Q12746" s="88">
        <f>F12746&amp;E12746&amp;G12746&amp;L12746</f>
        <v/>
      </c>
    </row>
    <row r="12747">
      <c r="B12747" s="128" t="n">
        <v>44193</v>
      </c>
      <c r="C12747" s="88">
        <f>TEXT(B12747,"aaa")</f>
        <v/>
      </c>
      <c r="E12747" s="88">
        <f>INDEX(매칭테이블!C:D,MATCH(RD!G12747,매칭테이블!D:D,0),1)</f>
        <v/>
      </c>
      <c r="F12747" s="94" t="inlineStr">
        <is>
          <t>아누아 CS</t>
        </is>
      </c>
      <c r="G12747" s="94" t="inlineStr">
        <is>
          <t>어성초 77 토너 250ml</t>
        </is>
      </c>
      <c r="K12747" s="94" t="n">
        <v>6</v>
      </c>
      <c r="L12747" s="88" t="n">
        <v>201208</v>
      </c>
      <c r="M12747" s="88">
        <f>VLOOKUP($Q12747,매칭테이블!$F:$I,2,0)*K12747</f>
        <v/>
      </c>
      <c r="N12747" s="88">
        <f>M12747-M12747*VLOOKUP($Q12747,매칭테이블!$F:$I,3,0)</f>
        <v/>
      </c>
      <c r="O12747" s="88">
        <f>VLOOKUP($Q12747,매칭테이블!$F:$I,4,0)*K12747</f>
        <v/>
      </c>
      <c r="P12747" s="152">
        <f>M12747/1.1</f>
        <v/>
      </c>
      <c r="Q12747" s="88">
        <f>F12747&amp;E12747&amp;G12747&amp;L12747</f>
        <v/>
      </c>
    </row>
    <row r="12748">
      <c r="B12748" s="128" t="n">
        <v>44193</v>
      </c>
      <c r="C12748" s="88">
        <f>TEXT(B12748,"aaa")</f>
        <v/>
      </c>
      <c r="E12748" s="88">
        <f>INDEX(매칭테이블!C:D,MATCH(RD!G12748,매칭테이블!D:D,0),1)</f>
        <v/>
      </c>
      <c r="F12748" s="94" t="inlineStr">
        <is>
          <t>카페24</t>
        </is>
      </c>
      <c r="G12748" s="94" t="inlineStr">
        <is>
          <t>5 제로 무기자차 선크림옵션=5제로 무기자차 선크림 1개-20% off</t>
        </is>
      </c>
      <c r="K12748" s="94" t="n">
        <v>3</v>
      </c>
      <c r="L12748" s="88" t="n">
        <v>201208</v>
      </c>
      <c r="M12748" s="88">
        <f>VLOOKUP($Q12748,매칭테이블!$F:$I,2,0)*K12748</f>
        <v/>
      </c>
      <c r="N12748" s="88">
        <f>M12748-M12748*VLOOKUP($Q12748,매칭테이블!$F:$I,3,0)</f>
        <v/>
      </c>
      <c r="O12748" s="88">
        <f>VLOOKUP($Q12748,매칭테이블!$F:$I,4,0)*K12748</f>
        <v/>
      </c>
      <c r="P12748" s="152">
        <f>M12748/1.1</f>
        <v/>
      </c>
      <c r="Q12748" s="88">
        <f>F12748&amp;E12748&amp;G12748&amp;L12748</f>
        <v/>
      </c>
    </row>
    <row r="12749">
      <c r="B12749" s="128" t="n">
        <v>44193</v>
      </c>
      <c r="C12749" s="88">
        <f>TEXT(B12749,"aaa")</f>
        <v/>
      </c>
      <c r="E12749" s="88">
        <f>INDEX(매칭테이블!C:D,MATCH(RD!G12749,매칭테이블!D:D,0),1)</f>
        <v/>
      </c>
      <c r="F12749" s="94" t="inlineStr">
        <is>
          <t>카페24</t>
        </is>
      </c>
      <c r="G12749" s="94" t="inlineStr">
        <is>
          <t>5 제로 무기자차 선크림옵션=5제로 무기자차 선크림 2개-30% off (무료배송)</t>
        </is>
      </c>
      <c r="K12749" s="94" t="n">
        <v>2</v>
      </c>
      <c r="L12749" s="88" t="n">
        <v>201208</v>
      </c>
      <c r="M12749" s="88">
        <f>VLOOKUP($Q12749,매칭테이블!$F:$I,2,0)*K12749</f>
        <v/>
      </c>
      <c r="N12749" s="88">
        <f>M12749-M12749*VLOOKUP($Q12749,매칭테이블!$F:$I,3,0)</f>
        <v/>
      </c>
      <c r="O12749" s="88">
        <f>VLOOKUP($Q12749,매칭테이블!$F:$I,4,0)*K12749</f>
        <v/>
      </c>
      <c r="P12749" s="152">
        <f>M12749/1.1</f>
        <v/>
      </c>
      <c r="Q12749" s="88">
        <f>F12749&amp;E12749&amp;G12749&amp;L12749</f>
        <v/>
      </c>
    </row>
    <row r="12750">
      <c r="B12750" s="128" t="n">
        <v>44193</v>
      </c>
      <c r="C12750" s="88">
        <f>TEXT(B12750,"aaa")</f>
        <v/>
      </c>
      <c r="E12750" s="88">
        <f>INDEX(매칭테이블!C:D,MATCH(RD!G12750,매칭테이블!D:D,0),1)</f>
        <v/>
      </c>
      <c r="F12750" s="94" t="inlineStr">
        <is>
          <t>카페24</t>
        </is>
      </c>
      <c r="G12750" s="94" t="inlineStr">
        <is>
          <t>[수분 보충 세트] 어성초 77 토너 + 어성초 70 로션옵션=어성초 77 토너 250ml + 어성초 70 로션 200ml -30%</t>
        </is>
      </c>
      <c r="K12750" s="94" t="n">
        <v>52</v>
      </c>
      <c r="L12750" s="88" t="n">
        <v>201208</v>
      </c>
      <c r="M12750" s="88">
        <f>VLOOKUP($Q12750,매칭테이블!$F:$I,2,0)*K12750</f>
        <v/>
      </c>
      <c r="N12750" s="88">
        <f>M12750-M12750*VLOOKUP($Q12750,매칭테이블!$F:$I,3,0)</f>
        <v/>
      </c>
      <c r="O12750" s="88">
        <f>VLOOKUP($Q12750,매칭테이블!$F:$I,4,0)*K12750</f>
        <v/>
      </c>
      <c r="P12750" s="152">
        <f>M12750/1.1</f>
        <v/>
      </c>
      <c r="Q12750" s="88">
        <f>F12750&amp;E12750&amp;G12750&amp;L12750</f>
        <v/>
      </c>
    </row>
    <row r="12751">
      <c r="B12751" s="128" t="n">
        <v>44193</v>
      </c>
      <c r="C12751" s="88">
        <f>TEXT(B12751,"aaa")</f>
        <v/>
      </c>
      <c r="E12751" s="88">
        <f>INDEX(매칭테이블!C:D,MATCH(RD!G12751,매칭테이블!D:D,0),1)</f>
        <v/>
      </c>
      <c r="F12751" s="94" t="inlineStr">
        <is>
          <t>카페24</t>
        </is>
      </c>
      <c r="G12751" s="94" t="inlineStr">
        <is>
          <t>[어성초 진정 패키지 세트] 대용량 토너 + 앰플 + 수딩 크림 + 마스크팩 10장</t>
        </is>
      </c>
      <c r="K12751" s="94" t="n">
        <v>1</v>
      </c>
      <c r="L12751" s="88" t="n">
        <v>201208</v>
      </c>
      <c r="M12751" s="88">
        <f>VLOOKUP($Q12751,매칭테이블!$F:$I,2,0)*K12751</f>
        <v/>
      </c>
      <c r="N12751" s="88">
        <f>M12751-M12751*VLOOKUP($Q12751,매칭테이블!$F:$I,3,0)</f>
        <v/>
      </c>
      <c r="O12751" s="88">
        <f>VLOOKUP($Q12751,매칭테이블!$F:$I,4,0)*K12751</f>
        <v/>
      </c>
      <c r="P12751" s="152">
        <f>M12751/1.1</f>
        <v/>
      </c>
      <c r="Q12751" s="88">
        <f>F12751&amp;E12751&amp;G12751&amp;L12751</f>
        <v/>
      </c>
    </row>
    <row r="12752">
      <c r="B12752" s="128" t="n">
        <v>44193</v>
      </c>
      <c r="C12752" s="88">
        <f>TEXT(B12752,"aaa")</f>
        <v/>
      </c>
      <c r="E12752" s="88">
        <f>INDEX(매칭테이블!C:D,MATCH(RD!G12752,매칭테이블!D:D,0),1)</f>
        <v/>
      </c>
      <c r="F12752" s="94" t="inlineStr">
        <is>
          <t>카페24</t>
        </is>
      </c>
      <c r="G12752" s="94" t="inlineStr">
        <is>
          <t>대용량 어성초 77 수딩 토너 500ml</t>
        </is>
      </c>
      <c r="K12752" s="94" t="n">
        <v>59</v>
      </c>
      <c r="L12752" s="88" t="n">
        <v>201208</v>
      </c>
      <c r="M12752" s="88">
        <f>VLOOKUP($Q12752,매칭테이블!$F:$I,2,0)*K12752</f>
        <v/>
      </c>
      <c r="N12752" s="88">
        <f>M12752-M12752*VLOOKUP($Q12752,매칭테이블!$F:$I,3,0)</f>
        <v/>
      </c>
      <c r="O12752" s="88">
        <f>VLOOKUP($Q12752,매칭테이블!$F:$I,4,0)*K12752</f>
        <v/>
      </c>
      <c r="P12752" s="152">
        <f>M12752/1.1</f>
        <v/>
      </c>
      <c r="Q12752" s="88">
        <f>F12752&amp;E12752&amp;G12752&amp;L12752</f>
        <v/>
      </c>
    </row>
    <row r="12753">
      <c r="B12753" s="128" t="n">
        <v>44193</v>
      </c>
      <c r="C12753" s="88">
        <f>TEXT(B12753,"aaa")</f>
        <v/>
      </c>
      <c r="E12753" s="88">
        <f>INDEX(매칭테이블!C:D,MATCH(RD!G12753,매칭테이블!D:D,0),1)</f>
        <v/>
      </c>
      <c r="F12753" s="94" t="inlineStr">
        <is>
          <t>카페24</t>
        </is>
      </c>
      <c r="G12753" s="94" t="inlineStr">
        <is>
          <t>대용량 어성초 77 토너 500ml</t>
        </is>
      </c>
      <c r="K12753" s="94" t="n">
        <v>3</v>
      </c>
      <c r="L12753" s="88" t="n">
        <v>201208</v>
      </c>
      <c r="M12753" s="88">
        <f>VLOOKUP($Q12753,매칭테이블!$F:$I,2,0)*K12753</f>
        <v/>
      </c>
      <c r="N12753" s="88">
        <f>M12753-M12753*VLOOKUP($Q12753,매칭테이블!$F:$I,3,0)</f>
        <v/>
      </c>
      <c r="O12753" s="88">
        <f>VLOOKUP($Q12753,매칭테이블!$F:$I,4,0)*K12753</f>
        <v/>
      </c>
      <c r="P12753" s="152">
        <f>M12753/1.1</f>
        <v/>
      </c>
      <c r="Q12753" s="88">
        <f>F12753&amp;E12753&amp;G12753&amp;L12753</f>
        <v/>
      </c>
    </row>
    <row r="12754">
      <c r="B12754" s="128" t="n">
        <v>44193</v>
      </c>
      <c r="C12754" s="88">
        <f>TEXT(B12754,"aaa")</f>
        <v/>
      </c>
      <c r="E12754" s="88">
        <f>INDEX(매칭테이블!C:D,MATCH(RD!G12754,매칭테이블!D:D,0),1)</f>
        <v/>
      </c>
      <c r="F12754" s="94" t="inlineStr">
        <is>
          <t>카페24</t>
        </is>
      </c>
      <c r="G12754" s="94" t="inlineStr">
        <is>
          <t>아누아 어성초 77 수딩 토너토너(필수)=어성초 77 토너 1개-20% off</t>
        </is>
      </c>
      <c r="K12754" s="94" t="n">
        <v>1</v>
      </c>
      <c r="L12754" s="88" t="n">
        <v>201208</v>
      </c>
      <c r="M12754" s="88">
        <f>VLOOKUP($Q12754,매칭테이블!$F:$I,2,0)*K12754</f>
        <v/>
      </c>
      <c r="N12754" s="88">
        <f>M12754-M12754*VLOOKUP($Q12754,매칭테이블!$F:$I,3,0)</f>
        <v/>
      </c>
      <c r="O12754" s="88">
        <f>VLOOKUP($Q12754,매칭테이블!$F:$I,4,0)*K12754</f>
        <v/>
      </c>
      <c r="P12754" s="152">
        <f>M12754/1.1</f>
        <v/>
      </c>
      <c r="Q12754" s="88">
        <f>F12754&amp;E12754&amp;G12754&amp;L12754</f>
        <v/>
      </c>
    </row>
    <row r="12755">
      <c r="B12755" s="128" t="n">
        <v>44193</v>
      </c>
      <c r="C12755" s="88">
        <f>TEXT(B12755,"aaa")</f>
        <v/>
      </c>
      <c r="E12755" s="88">
        <f>INDEX(매칭테이블!C:D,MATCH(RD!G12755,매칭테이블!D:D,0),1)</f>
        <v/>
      </c>
      <c r="F12755" s="94" t="inlineStr">
        <is>
          <t>카페24</t>
        </is>
      </c>
      <c r="G12755" s="94" t="inlineStr">
        <is>
          <t>아누아 어성초 77 수딩 토너토너(필수)=어성초 77 토너 2개-30% off (무료배송)</t>
        </is>
      </c>
      <c r="K12755" s="94" t="n">
        <v>2</v>
      </c>
      <c r="L12755" s="88" t="n">
        <v>201208</v>
      </c>
      <c r="M12755" s="88">
        <f>VLOOKUP($Q12755,매칭테이블!$F:$I,2,0)*K12755</f>
        <v/>
      </c>
      <c r="N12755" s="88">
        <f>M12755-M12755*VLOOKUP($Q12755,매칭테이블!$F:$I,3,0)</f>
        <v/>
      </c>
      <c r="O12755" s="88">
        <f>VLOOKUP($Q12755,매칭테이블!$F:$I,4,0)*K12755</f>
        <v/>
      </c>
      <c r="P12755" s="152">
        <f>M12755/1.1</f>
        <v/>
      </c>
      <c r="Q12755" s="88">
        <f>F12755&amp;E12755&amp;G12755&amp;L12755</f>
        <v/>
      </c>
    </row>
    <row r="12756">
      <c r="B12756" s="128" t="n">
        <v>44193</v>
      </c>
      <c r="C12756" s="88">
        <f>TEXT(B12756,"aaa")</f>
        <v/>
      </c>
      <c r="E12756" s="88">
        <f>INDEX(매칭테이블!C:D,MATCH(RD!G12756,매칭테이블!D:D,0),1)</f>
        <v/>
      </c>
      <c r="F12756" s="94" t="inlineStr">
        <is>
          <t>카페24</t>
        </is>
      </c>
      <c r="G12756" s="94" t="inlineStr">
        <is>
          <t>아누아 어성초 77 수딩 토너토너(필수)=어성초77토너1개 + 어성초77패드1개 -30% off (무료배송)</t>
        </is>
      </c>
      <c r="K12756" s="94" t="n">
        <v>1</v>
      </c>
      <c r="L12756" s="88" t="n">
        <v>201208</v>
      </c>
      <c r="M12756" s="88">
        <f>VLOOKUP($Q12756,매칭테이블!$F:$I,2,0)*K12756</f>
        <v/>
      </c>
      <c r="N12756" s="88">
        <f>M12756-M12756*VLOOKUP($Q12756,매칭테이블!$F:$I,3,0)</f>
        <v/>
      </c>
      <c r="O12756" s="88">
        <f>VLOOKUP($Q12756,매칭테이블!$F:$I,4,0)*K12756</f>
        <v/>
      </c>
      <c r="P12756" s="152">
        <f>M12756/1.1</f>
        <v/>
      </c>
      <c r="Q12756" s="88">
        <f>F12756&amp;E12756&amp;G12756&amp;L12756</f>
        <v/>
      </c>
    </row>
    <row r="12757">
      <c r="B12757" s="128" t="n">
        <v>44193</v>
      </c>
      <c r="C12757" s="88">
        <f>TEXT(B12757,"aaa")</f>
        <v/>
      </c>
      <c r="E12757" s="88">
        <f>INDEX(매칭테이블!C:D,MATCH(RD!G12757,매칭테이블!D:D,0),1)</f>
        <v/>
      </c>
      <c r="F12757" s="94" t="inlineStr">
        <is>
          <t>카페24</t>
        </is>
      </c>
      <c r="G12757" s="94" t="inlineStr">
        <is>
          <t>아누아 어성초 77 수딩 토너화장솜(선택)=촉촉 스킨팩 화장솜</t>
        </is>
      </c>
      <c r="K12757" s="94" t="n">
        <v>2</v>
      </c>
      <c r="L12757" s="88" t="n">
        <v>201208</v>
      </c>
      <c r="M12757" s="88">
        <f>VLOOKUP($Q12757,매칭테이블!$F:$I,2,0)*K12757</f>
        <v/>
      </c>
      <c r="N12757" s="88">
        <f>M12757-M12757*VLOOKUP($Q12757,매칭테이블!$F:$I,3,0)</f>
        <v/>
      </c>
      <c r="O12757" s="88">
        <f>VLOOKUP($Q12757,매칭테이블!$F:$I,4,0)*K12757</f>
        <v/>
      </c>
      <c r="P12757" s="152">
        <f>M12757/1.1</f>
        <v/>
      </c>
      <c r="Q12757" s="88">
        <f>F12757&amp;E12757&amp;G12757&amp;L12757</f>
        <v/>
      </c>
    </row>
    <row r="12758">
      <c r="B12758" s="128" t="n">
        <v>44193</v>
      </c>
      <c r="C12758" s="88">
        <f>TEXT(B12758,"aaa")</f>
        <v/>
      </c>
      <c r="E12758" s="88">
        <f>INDEX(매칭테이블!C:D,MATCH(RD!G12758,매칭테이블!D:D,0),1)</f>
        <v/>
      </c>
      <c r="F12758" s="94" t="inlineStr">
        <is>
          <t>카페24</t>
        </is>
      </c>
      <c r="G12758" s="94" t="inlineStr">
        <is>
          <t>어성초 70 데일리 릴리프 로션로션=어성초 70 데일리 릴리프 로션 1개 -20% off</t>
        </is>
      </c>
      <c r="K12758" s="94" t="n">
        <v>19</v>
      </c>
      <c r="L12758" s="88" t="n">
        <v>201208</v>
      </c>
      <c r="M12758" s="88">
        <f>VLOOKUP($Q12758,매칭테이블!$F:$I,2,0)*K12758</f>
        <v/>
      </c>
      <c r="N12758" s="88">
        <f>M12758-M12758*VLOOKUP($Q12758,매칭테이블!$F:$I,3,0)</f>
        <v/>
      </c>
      <c r="O12758" s="88">
        <f>VLOOKUP($Q12758,매칭테이블!$F:$I,4,0)*K12758</f>
        <v/>
      </c>
      <c r="P12758" s="152">
        <f>M12758/1.1</f>
        <v/>
      </c>
      <c r="Q12758" s="88">
        <f>F12758&amp;E12758&amp;G12758&amp;L12758</f>
        <v/>
      </c>
    </row>
    <row r="12759">
      <c r="B12759" s="128" t="n">
        <v>44193</v>
      </c>
      <c r="C12759" s="88">
        <f>TEXT(B12759,"aaa")</f>
        <v/>
      </c>
      <c r="E12759" s="88">
        <f>INDEX(매칭테이블!C:D,MATCH(RD!G12759,매칭테이블!D:D,0),1)</f>
        <v/>
      </c>
      <c r="F12759" s="94" t="inlineStr">
        <is>
          <t>카페24</t>
        </is>
      </c>
      <c r="G12759" s="94" t="inlineStr">
        <is>
          <t>어성초 70 데일리 릴리프 로션로션=어성초 70 데일리 릴리프 로션 2개 -30% off</t>
        </is>
      </c>
      <c r="K12759" s="94" t="n">
        <v>2</v>
      </c>
      <c r="L12759" s="88" t="n">
        <v>201208</v>
      </c>
      <c r="M12759" s="88">
        <f>VLOOKUP($Q12759,매칭테이블!$F:$I,2,0)*K12759</f>
        <v/>
      </c>
      <c r="N12759" s="88">
        <f>M12759-M12759*VLOOKUP($Q12759,매칭테이블!$F:$I,3,0)</f>
        <v/>
      </c>
      <c r="O12759" s="88">
        <f>VLOOKUP($Q12759,매칭테이블!$F:$I,4,0)*K12759</f>
        <v/>
      </c>
      <c r="P12759" s="152">
        <f>M12759/1.1</f>
        <v/>
      </c>
      <c r="Q12759" s="88">
        <f>F12759&amp;E12759&amp;G12759&amp;L12759</f>
        <v/>
      </c>
    </row>
    <row r="12760">
      <c r="B12760" s="128" t="n">
        <v>44193</v>
      </c>
      <c r="C12760" s="88">
        <f>TEXT(B12760,"aaa")</f>
        <v/>
      </c>
      <c r="E12760" s="88">
        <f>INDEX(매칭테이블!C:D,MATCH(RD!G12760,매칭테이블!D:D,0),1)</f>
        <v/>
      </c>
      <c r="F12760" s="94" t="inlineStr">
        <is>
          <t>카페24</t>
        </is>
      </c>
      <c r="G12760" s="94" t="inlineStr">
        <is>
          <t>어성초 70 데일리 릴리프 로션로션=어성초 77토너 + 어성초 70 로션 수분 보충 세트 -30% off</t>
        </is>
      </c>
      <c r="K12760" s="94" t="n">
        <v>3</v>
      </c>
      <c r="L12760" s="88" t="n">
        <v>201208</v>
      </c>
      <c r="M12760" s="88">
        <f>VLOOKUP($Q12760,매칭테이블!$F:$I,2,0)*K12760</f>
        <v/>
      </c>
      <c r="N12760" s="88">
        <f>M12760-M12760*VLOOKUP($Q12760,매칭테이블!$F:$I,3,0)</f>
        <v/>
      </c>
      <c r="O12760" s="88">
        <f>VLOOKUP($Q12760,매칭테이블!$F:$I,4,0)*K12760</f>
        <v/>
      </c>
      <c r="P12760" s="152">
        <f>M12760/1.1</f>
        <v/>
      </c>
      <c r="Q12760" s="88">
        <f>F12760&amp;E12760&amp;G12760&amp;L12760</f>
        <v/>
      </c>
    </row>
    <row r="12761">
      <c r="B12761" s="128" t="n">
        <v>44193</v>
      </c>
      <c r="C12761" s="88">
        <f>TEXT(B12761,"aaa")</f>
        <v/>
      </c>
      <c r="E12761" s="88">
        <f>INDEX(매칭테이블!C:D,MATCH(RD!G12761,매칭테이블!D:D,0),1)</f>
        <v/>
      </c>
      <c r="F12761" s="94" t="inlineStr">
        <is>
          <t>카페24</t>
        </is>
      </c>
      <c r="G12761" s="94" t="inlineStr">
        <is>
          <t>어성초 70 머드 크림 마스크옵션=어성초 70 머드 크림 마스크-20% off</t>
        </is>
      </c>
      <c r="K12761" s="94" t="n">
        <v>3</v>
      </c>
      <c r="L12761" s="88" t="n">
        <v>201208</v>
      </c>
      <c r="M12761" s="88">
        <f>VLOOKUP($Q12761,매칭테이블!$F:$I,2,0)*K12761</f>
        <v/>
      </c>
      <c r="N12761" s="88">
        <f>M12761-M12761*VLOOKUP($Q12761,매칭테이블!$F:$I,3,0)</f>
        <v/>
      </c>
      <c r="O12761" s="88">
        <f>VLOOKUP($Q12761,매칭테이블!$F:$I,4,0)*K12761</f>
        <v/>
      </c>
      <c r="P12761" s="152">
        <f>M12761/1.1</f>
        <v/>
      </c>
      <c r="Q12761" s="88">
        <f>F12761&amp;E12761&amp;G12761&amp;L12761</f>
        <v/>
      </c>
    </row>
    <row r="12762">
      <c r="B12762" s="128" t="n">
        <v>44193</v>
      </c>
      <c r="C12762" s="88">
        <f>TEXT(B12762,"aaa")</f>
        <v/>
      </c>
      <c r="E12762" s="88">
        <f>INDEX(매칭테이블!C:D,MATCH(RD!G12762,매칭테이블!D:D,0),1)</f>
        <v/>
      </c>
      <c r="F12762" s="94" t="inlineStr">
        <is>
          <t>카페24</t>
        </is>
      </c>
      <c r="G12762" s="94" t="inlineStr">
        <is>
          <t>어성초 70 머드 크림 마스크옵션=어성초 70 머드 크림 마스크 2개-30% off (무료배송)</t>
        </is>
      </c>
      <c r="K12762" s="94" t="n">
        <v>2</v>
      </c>
      <c r="L12762" s="88" t="n">
        <v>201208</v>
      </c>
      <c r="M12762" s="88">
        <f>VLOOKUP($Q12762,매칭테이블!$F:$I,2,0)*K12762</f>
        <v/>
      </c>
      <c r="N12762" s="88">
        <f>M12762-M12762*VLOOKUP($Q12762,매칭테이블!$F:$I,3,0)</f>
        <v/>
      </c>
      <c r="O12762" s="88">
        <f>VLOOKUP($Q12762,매칭테이블!$F:$I,4,0)*K12762</f>
        <v/>
      </c>
      <c r="P12762" s="152">
        <f>M12762/1.1</f>
        <v/>
      </c>
      <c r="Q12762" s="88">
        <f>F12762&amp;E12762&amp;G12762&amp;L12762</f>
        <v/>
      </c>
    </row>
    <row r="12763">
      <c r="B12763" s="128" t="n">
        <v>44193</v>
      </c>
      <c r="C12763" s="88">
        <f>TEXT(B12763,"aaa")</f>
        <v/>
      </c>
      <c r="E12763" s="88">
        <f>INDEX(매칭테이블!C:D,MATCH(RD!G12763,매칭테이블!D:D,0),1)</f>
        <v/>
      </c>
      <c r="F12763" s="94" t="inlineStr">
        <is>
          <t>카페24</t>
        </is>
      </c>
      <c r="G12763" s="94" t="inlineStr">
        <is>
          <t>어성초 70 인텐스 카밍 크림크림=어성초 70 인텐스 카밍 크림 1개 (-20%)</t>
        </is>
      </c>
      <c r="K12763" s="94" t="n">
        <v>5</v>
      </c>
      <c r="L12763" s="88" t="n">
        <v>201208</v>
      </c>
      <c r="M12763" s="88">
        <f>VLOOKUP($Q12763,매칭테이블!$F:$I,2,0)*K12763</f>
        <v/>
      </c>
      <c r="N12763" s="88">
        <f>M12763-M12763*VLOOKUP($Q12763,매칭테이블!$F:$I,3,0)</f>
        <v/>
      </c>
      <c r="O12763" s="88">
        <f>VLOOKUP($Q12763,매칭테이블!$F:$I,4,0)*K12763</f>
        <v/>
      </c>
      <c r="P12763" s="152">
        <f>M12763/1.1</f>
        <v/>
      </c>
      <c r="Q12763" s="88">
        <f>F12763&amp;E12763&amp;G12763&amp;L12763</f>
        <v/>
      </c>
    </row>
    <row r="12764">
      <c r="B12764" s="128" t="n">
        <v>44193</v>
      </c>
      <c r="C12764" s="88">
        <f>TEXT(B12764,"aaa")</f>
        <v/>
      </c>
      <c r="E12764" s="88">
        <f>INDEX(매칭테이블!C:D,MATCH(RD!G12764,매칭테이블!D:D,0),1)</f>
        <v/>
      </c>
      <c r="F12764" s="94" t="inlineStr">
        <is>
          <t>카페24</t>
        </is>
      </c>
      <c r="G12764" s="94" t="inlineStr">
        <is>
          <t>어성초 70 인텐스 카밍 크림크림=어성초 70 인텐스 카밍 크림 2개 (-30%)</t>
        </is>
      </c>
      <c r="K12764" s="94" t="n">
        <v>1</v>
      </c>
      <c r="L12764" s="88" t="n">
        <v>201208</v>
      </c>
      <c r="M12764" s="88">
        <f>VLOOKUP($Q12764,매칭테이블!$F:$I,2,0)*K12764</f>
        <v/>
      </c>
      <c r="N12764" s="88">
        <f>M12764-M12764*VLOOKUP($Q12764,매칭테이블!$F:$I,3,0)</f>
        <v/>
      </c>
      <c r="O12764" s="88">
        <f>VLOOKUP($Q12764,매칭테이블!$F:$I,4,0)*K12764</f>
        <v/>
      </c>
      <c r="P12764" s="152">
        <f>M12764/1.1</f>
        <v/>
      </c>
      <c r="Q12764" s="88">
        <f>F12764&amp;E12764&amp;G12764&amp;L12764</f>
        <v/>
      </c>
    </row>
    <row r="12765">
      <c r="B12765" s="128" t="n">
        <v>44193</v>
      </c>
      <c r="C12765" s="88">
        <f>TEXT(B12765,"aaa")</f>
        <v/>
      </c>
      <c r="E12765" s="88">
        <f>INDEX(매칭테이블!C:D,MATCH(RD!G12765,매칭테이블!D:D,0),1)</f>
        <v/>
      </c>
      <c r="F12765" s="94" t="inlineStr">
        <is>
          <t>카페24</t>
        </is>
      </c>
      <c r="G12765" s="94" t="inlineStr">
        <is>
          <t>어성초 77 수딩 토너토너(필수)=어성초 77 토너 1개-20% off</t>
        </is>
      </c>
      <c r="K12765" s="94" t="n">
        <v>82</v>
      </c>
      <c r="L12765" s="88" t="n">
        <v>201208</v>
      </c>
      <c r="M12765" s="88">
        <f>VLOOKUP($Q12765,매칭테이블!$F:$I,2,0)*K12765</f>
        <v/>
      </c>
      <c r="N12765" s="88">
        <f>M12765-M12765*VLOOKUP($Q12765,매칭테이블!$F:$I,3,0)</f>
        <v/>
      </c>
      <c r="O12765" s="88">
        <f>VLOOKUP($Q12765,매칭테이블!$F:$I,4,0)*K12765</f>
        <v/>
      </c>
      <c r="P12765" s="152">
        <f>M12765/1.1</f>
        <v/>
      </c>
      <c r="Q12765" s="88">
        <f>F12765&amp;E12765&amp;G12765&amp;L12765</f>
        <v/>
      </c>
    </row>
    <row r="12766">
      <c r="B12766" s="128" t="n">
        <v>44193</v>
      </c>
      <c r="C12766" s="88">
        <f>TEXT(B12766,"aaa")</f>
        <v/>
      </c>
      <c r="E12766" s="88">
        <f>INDEX(매칭테이블!C:D,MATCH(RD!G12766,매칭테이블!D:D,0),1)</f>
        <v/>
      </c>
      <c r="F12766" s="94" t="inlineStr">
        <is>
          <t>카페24</t>
        </is>
      </c>
      <c r="G12766" s="94" t="inlineStr">
        <is>
          <t>어성초 77 수딩 토너토너(필수)=어성초 77 토너 2개-30% off (무료배송)</t>
        </is>
      </c>
      <c r="K12766" s="94" t="n">
        <v>34</v>
      </c>
      <c r="L12766" s="88" t="n">
        <v>201208</v>
      </c>
      <c r="M12766" s="88">
        <f>VLOOKUP($Q12766,매칭테이블!$F:$I,2,0)*K12766</f>
        <v/>
      </c>
      <c r="N12766" s="88">
        <f>M12766-M12766*VLOOKUP($Q12766,매칭테이블!$F:$I,3,0)</f>
        <v/>
      </c>
      <c r="O12766" s="88">
        <f>VLOOKUP($Q12766,매칭테이블!$F:$I,4,0)*K12766</f>
        <v/>
      </c>
      <c r="P12766" s="152">
        <f>M12766/1.1</f>
        <v/>
      </c>
      <c r="Q12766" s="88">
        <f>F12766&amp;E12766&amp;G12766&amp;L12766</f>
        <v/>
      </c>
    </row>
    <row r="12767">
      <c r="B12767" s="128" t="n">
        <v>44193</v>
      </c>
      <c r="C12767" s="88">
        <f>TEXT(B12767,"aaa")</f>
        <v/>
      </c>
      <c r="E12767" s="88">
        <f>INDEX(매칭테이블!C:D,MATCH(RD!G12767,매칭테이블!D:D,0),1)</f>
        <v/>
      </c>
      <c r="F12767" s="94" t="inlineStr">
        <is>
          <t>카페24</t>
        </is>
      </c>
      <c r="G12767" s="94" t="inlineStr">
        <is>
          <t>어성초 77 수딩 토너토너(필수)=어성초77토너1개 + 어성초77패드1개 -30% off (무료배송)</t>
        </is>
      </c>
      <c r="K12767" s="94" t="n">
        <v>31</v>
      </c>
      <c r="L12767" s="88" t="n">
        <v>201208</v>
      </c>
      <c r="M12767" s="88">
        <f>VLOOKUP($Q12767,매칭테이블!$F:$I,2,0)*K12767</f>
        <v/>
      </c>
      <c r="N12767" s="88">
        <f>M12767-M12767*VLOOKUP($Q12767,매칭테이블!$F:$I,3,0)</f>
        <v/>
      </c>
      <c r="O12767" s="88">
        <f>VLOOKUP($Q12767,매칭테이블!$F:$I,4,0)*K12767</f>
        <v/>
      </c>
      <c r="P12767" s="152">
        <f>M12767/1.1</f>
        <v/>
      </c>
      <c r="Q12767" s="88">
        <f>F12767&amp;E12767&amp;G12767&amp;L12767</f>
        <v/>
      </c>
    </row>
    <row r="12768">
      <c r="B12768" s="128" t="n">
        <v>44193</v>
      </c>
      <c r="C12768" s="88">
        <f>TEXT(B12768,"aaa")</f>
        <v/>
      </c>
      <c r="E12768" s="88">
        <f>INDEX(매칭테이블!C:D,MATCH(RD!G12768,매칭테이블!D:D,0),1)</f>
        <v/>
      </c>
      <c r="F12768" s="94" t="inlineStr">
        <is>
          <t>카페24</t>
        </is>
      </c>
      <c r="G12768" s="94" t="inlineStr">
        <is>
          <t>어성초 77 수딩 토너화장솜(선택)=촉촉 스킨팩 화장솜</t>
        </is>
      </c>
      <c r="K12768" s="94" t="n">
        <v>47</v>
      </c>
      <c r="L12768" s="88" t="n">
        <v>201208</v>
      </c>
      <c r="M12768" s="88">
        <f>VLOOKUP($Q12768,매칭테이블!$F:$I,2,0)*K12768</f>
        <v/>
      </c>
      <c r="N12768" s="88">
        <f>M12768-M12768*VLOOKUP($Q12768,매칭테이블!$F:$I,3,0)</f>
        <v/>
      </c>
      <c r="O12768" s="88">
        <f>VLOOKUP($Q12768,매칭테이블!$F:$I,4,0)*K12768</f>
        <v/>
      </c>
      <c r="P12768" s="152">
        <f>M12768/1.1</f>
        <v/>
      </c>
      <c r="Q12768" s="88">
        <f>F12768&amp;E12768&amp;G12768&amp;L12768</f>
        <v/>
      </c>
    </row>
    <row r="12769">
      <c r="B12769" s="128" t="n">
        <v>44193</v>
      </c>
      <c r="C12769" s="88">
        <f>TEXT(B12769,"aaa")</f>
        <v/>
      </c>
      <c r="E12769" s="88">
        <f>INDEX(매칭테이블!C:D,MATCH(RD!G12769,매칭테이블!D:D,0),1)</f>
        <v/>
      </c>
      <c r="F12769" s="94" t="inlineStr">
        <is>
          <t>카페24</t>
        </is>
      </c>
      <c r="G12769" s="94" t="inlineStr">
        <is>
          <t>어성초 77 수딩 토너토너(필수)=(대용량) 어성초 77 토너 500ml (무료배송)</t>
        </is>
      </c>
      <c r="K12769" s="94" t="n">
        <v>1</v>
      </c>
      <c r="L12769" s="88" t="n">
        <v>201208</v>
      </c>
      <c r="M12769" s="88">
        <f>VLOOKUP($Q12769,매칭테이블!$F:$I,2,0)*K12769</f>
        <v/>
      </c>
      <c r="N12769" s="88">
        <f>M12769-M12769*VLOOKUP($Q12769,매칭테이블!$F:$I,3,0)</f>
        <v/>
      </c>
      <c r="O12769" s="88">
        <f>VLOOKUP($Q12769,매칭테이블!$F:$I,4,0)*K12769</f>
        <v/>
      </c>
      <c r="P12769" s="152">
        <f>M12769/1.1</f>
        <v/>
      </c>
      <c r="Q12769" s="88">
        <f>F12769&amp;E12769&amp;G12769&amp;L12769</f>
        <v/>
      </c>
    </row>
    <row r="12770">
      <c r="B12770" s="128" t="n">
        <v>44193</v>
      </c>
      <c r="C12770" s="88">
        <f>TEXT(B12770,"aaa")</f>
        <v/>
      </c>
      <c r="E12770" s="88">
        <f>INDEX(매칭테이블!C:D,MATCH(RD!G12770,매칭테이블!D:D,0),1)</f>
        <v/>
      </c>
      <c r="F12770" s="94" t="inlineStr">
        <is>
          <t>카페24</t>
        </is>
      </c>
      <c r="G12770" s="94" t="inlineStr">
        <is>
          <t>어성초 77 진정 마스크옵션=어성초 77 진정 마스크팩 1장</t>
        </is>
      </c>
      <c r="K12770" s="94" t="n">
        <v>12</v>
      </c>
      <c r="L12770" s="88" t="n">
        <v>201208</v>
      </c>
      <c r="M12770" s="88">
        <f>VLOOKUP($Q12770,매칭테이블!$F:$I,2,0)*K12770</f>
        <v/>
      </c>
      <c r="N12770" s="88">
        <f>M12770-M12770*VLOOKUP($Q12770,매칭테이블!$F:$I,3,0)</f>
        <v/>
      </c>
      <c r="O12770" s="88">
        <f>VLOOKUP($Q12770,매칭테이블!$F:$I,4,0)*K12770</f>
        <v/>
      </c>
      <c r="P12770" s="152">
        <f>M12770/1.1</f>
        <v/>
      </c>
      <c r="Q12770" s="88">
        <f>F12770&amp;E12770&amp;G12770&amp;L12770</f>
        <v/>
      </c>
    </row>
    <row r="12771">
      <c r="B12771" s="128" t="n">
        <v>44193</v>
      </c>
      <c r="C12771" s="88">
        <f>TEXT(B12771,"aaa")</f>
        <v/>
      </c>
      <c r="E12771" s="88">
        <f>INDEX(매칭테이블!C:D,MATCH(RD!G12771,매칭테이블!D:D,0),1)</f>
        <v/>
      </c>
      <c r="F12771" s="94" t="inlineStr">
        <is>
          <t>카페24</t>
        </is>
      </c>
      <c r="G12771" s="94" t="inlineStr">
        <is>
          <t>어성초 77 진정 마스크옵션=어성초 77 진정 마스크팩 10장-50% off</t>
        </is>
      </c>
      <c r="K12771" s="94" t="n">
        <v>8</v>
      </c>
      <c r="L12771" s="88" t="n">
        <v>201208</v>
      </c>
      <c r="M12771" s="88">
        <f>VLOOKUP($Q12771,매칭테이블!$F:$I,2,0)*K12771</f>
        <v/>
      </c>
      <c r="N12771" s="88">
        <f>M12771-M12771*VLOOKUP($Q12771,매칭테이블!$F:$I,3,0)</f>
        <v/>
      </c>
      <c r="O12771" s="88">
        <f>VLOOKUP($Q12771,매칭테이블!$F:$I,4,0)*K12771</f>
        <v/>
      </c>
      <c r="P12771" s="152">
        <f>M12771/1.1</f>
        <v/>
      </c>
      <c r="Q12771" s="88">
        <f>F12771&amp;E12771&amp;G12771&amp;L12771</f>
        <v/>
      </c>
    </row>
    <row r="12772">
      <c r="B12772" s="128" t="n">
        <v>44193</v>
      </c>
      <c r="C12772" s="88">
        <f>TEXT(B12772,"aaa")</f>
        <v/>
      </c>
      <c r="E12772" s="88">
        <f>INDEX(매칭테이블!C:D,MATCH(RD!G12772,매칭테이블!D:D,0),1)</f>
        <v/>
      </c>
      <c r="F12772" s="94" t="inlineStr">
        <is>
          <t>카페24</t>
        </is>
      </c>
      <c r="G12772" s="94" t="inlineStr">
        <is>
          <t>어성초 77 클리어 패드옵션=어성초 77 클리어 패드 1개-20% off</t>
        </is>
      </c>
      <c r="K12772" s="94" t="n">
        <v>75</v>
      </c>
      <c r="L12772" s="88" t="n">
        <v>201208</v>
      </c>
      <c r="M12772" s="88">
        <f>VLOOKUP($Q12772,매칭테이블!$F:$I,2,0)*K12772</f>
        <v/>
      </c>
      <c r="N12772" s="88">
        <f>M12772-M12772*VLOOKUP($Q12772,매칭테이블!$F:$I,3,0)</f>
        <v/>
      </c>
      <c r="O12772" s="88">
        <f>VLOOKUP($Q12772,매칭테이블!$F:$I,4,0)*K12772</f>
        <v/>
      </c>
      <c r="P12772" s="152">
        <f>M12772/1.1</f>
        <v/>
      </c>
      <c r="Q12772" s="88">
        <f>F12772&amp;E12772&amp;G12772&amp;L12772</f>
        <v/>
      </c>
    </row>
    <row r="12773">
      <c r="B12773" s="128" t="n">
        <v>44193</v>
      </c>
      <c r="C12773" s="88">
        <f>TEXT(B12773,"aaa")</f>
        <v/>
      </c>
      <c r="E12773" s="88">
        <f>INDEX(매칭테이블!C:D,MATCH(RD!G12773,매칭테이블!D:D,0),1)</f>
        <v/>
      </c>
      <c r="F12773" s="94" t="inlineStr">
        <is>
          <t>카페24</t>
        </is>
      </c>
      <c r="G12773" s="94" t="inlineStr">
        <is>
          <t>어성초 77 클리어 패드옵션=어성초 77 클리어 패드 2개-30% off (무료배송)</t>
        </is>
      </c>
      <c r="K12773" s="94" t="n">
        <v>86</v>
      </c>
      <c r="L12773" s="88" t="n">
        <v>201208</v>
      </c>
      <c r="M12773" s="88">
        <f>VLOOKUP($Q12773,매칭테이블!$F:$I,2,0)*K12773</f>
        <v/>
      </c>
      <c r="N12773" s="88">
        <f>M12773-M12773*VLOOKUP($Q12773,매칭테이블!$F:$I,3,0)</f>
        <v/>
      </c>
      <c r="O12773" s="88">
        <f>VLOOKUP($Q12773,매칭테이블!$F:$I,4,0)*K12773</f>
        <v/>
      </c>
      <c r="P12773" s="152">
        <f>M12773/1.1</f>
        <v/>
      </c>
      <c r="Q12773" s="88">
        <f>F12773&amp;E12773&amp;G12773&amp;L12773</f>
        <v/>
      </c>
    </row>
    <row r="12774">
      <c r="B12774" s="128" t="n">
        <v>44193</v>
      </c>
      <c r="C12774" s="88">
        <f>TEXT(B12774,"aaa")</f>
        <v/>
      </c>
      <c r="E12774" s="88">
        <f>INDEX(매칭테이블!C:D,MATCH(RD!G12774,매칭테이블!D:D,0),1)</f>
        <v/>
      </c>
      <c r="F12774" s="94" t="inlineStr">
        <is>
          <t>카페24</t>
        </is>
      </c>
      <c r="G12774" s="94" t="inlineStr">
        <is>
          <t>어성초 77 클리어 패드옵션=어성초77토너1개+어성초77패드1개-30% off (무료배송)</t>
        </is>
      </c>
      <c r="K12774" s="94" t="n">
        <v>64</v>
      </c>
      <c r="L12774" s="88" t="n">
        <v>201208</v>
      </c>
      <c r="M12774" s="88">
        <f>VLOOKUP($Q12774,매칭테이블!$F:$I,2,0)*K12774</f>
        <v/>
      </c>
      <c r="N12774" s="88">
        <f>M12774-M12774*VLOOKUP($Q12774,매칭테이블!$F:$I,3,0)</f>
        <v/>
      </c>
      <c r="O12774" s="88">
        <f>VLOOKUP($Q12774,매칭테이블!$F:$I,4,0)*K12774</f>
        <v/>
      </c>
      <c r="P12774" s="152">
        <f>M12774/1.1</f>
        <v/>
      </c>
      <c r="Q12774" s="88">
        <f>F12774&amp;E12774&amp;G12774&amp;L12774</f>
        <v/>
      </c>
    </row>
    <row r="12775">
      <c r="B12775" s="128" t="n">
        <v>44193</v>
      </c>
      <c r="C12775" s="88">
        <f>TEXT(B12775,"aaa")</f>
        <v/>
      </c>
      <c r="E12775" s="88">
        <f>INDEX(매칭테이블!C:D,MATCH(RD!G12775,매칭테이블!D:D,0),1)</f>
        <v/>
      </c>
      <c r="F12775" s="94" t="inlineStr">
        <is>
          <t>카페24</t>
        </is>
      </c>
      <c r="G12775" s="94" t="inlineStr">
        <is>
          <t>어성초 77 토너</t>
        </is>
      </c>
      <c r="K12775" s="94" t="n">
        <v>1</v>
      </c>
      <c r="L12775" s="88" t="n">
        <v>201208</v>
      </c>
      <c r="M12775" s="88">
        <f>VLOOKUP($Q12775,매칭테이블!$F:$I,2,0)*K12775</f>
        <v/>
      </c>
      <c r="N12775" s="88">
        <f>M12775-M12775*VLOOKUP($Q12775,매칭테이블!$F:$I,3,0)</f>
        <v/>
      </c>
      <c r="O12775" s="88">
        <f>VLOOKUP($Q12775,매칭테이블!$F:$I,4,0)*K12775</f>
        <v/>
      </c>
      <c r="P12775" s="152">
        <f>M12775/1.1</f>
        <v/>
      </c>
      <c r="Q12775" s="88">
        <f>F12775&amp;E12775&amp;G12775&amp;L12775</f>
        <v/>
      </c>
    </row>
    <row r="12776">
      <c r="B12776" s="128" t="n">
        <v>44193</v>
      </c>
      <c r="C12776" s="88">
        <f>TEXT(B12776,"aaa")</f>
        <v/>
      </c>
      <c r="E12776" s="88">
        <f>INDEX(매칭테이블!C:D,MATCH(RD!G12776,매칭테이블!D:D,0),1)</f>
        <v/>
      </c>
      <c r="F12776" s="94" t="inlineStr">
        <is>
          <t>카페24</t>
        </is>
      </c>
      <c r="G12776" s="94" t="inlineStr">
        <is>
          <t>어성초 77 토너토너(필수)=어성초 77 토너 1개-20% off</t>
        </is>
      </c>
      <c r="K12776" s="94" t="n">
        <v>2</v>
      </c>
      <c r="L12776" s="88" t="n">
        <v>201208</v>
      </c>
      <c r="M12776" s="88">
        <f>VLOOKUP($Q12776,매칭테이블!$F:$I,2,0)*K12776</f>
        <v/>
      </c>
      <c r="N12776" s="88">
        <f>M12776-M12776*VLOOKUP($Q12776,매칭테이블!$F:$I,3,0)</f>
        <v/>
      </c>
      <c r="O12776" s="88">
        <f>VLOOKUP($Q12776,매칭테이블!$F:$I,4,0)*K12776</f>
        <v/>
      </c>
      <c r="P12776" s="152">
        <f>M12776/1.1</f>
        <v/>
      </c>
      <c r="Q12776" s="88">
        <f>F12776&amp;E12776&amp;G12776&amp;L12776</f>
        <v/>
      </c>
    </row>
    <row r="12777">
      <c r="B12777" s="128" t="n">
        <v>44193</v>
      </c>
      <c r="C12777" s="88">
        <f>TEXT(B12777,"aaa")</f>
        <v/>
      </c>
      <c r="E12777" s="88">
        <f>INDEX(매칭테이블!C:D,MATCH(RD!G12777,매칭테이블!D:D,0),1)</f>
        <v/>
      </c>
      <c r="F12777" s="94" t="inlineStr">
        <is>
          <t>카페24</t>
        </is>
      </c>
      <c r="G12777" s="94" t="inlineStr">
        <is>
          <t>어성초 77 포어 클리어 패드옵션=어성초 77 클리어 패드 1개-20% off</t>
        </is>
      </c>
      <c r="K12777" s="94" t="n">
        <v>16</v>
      </c>
      <c r="L12777" s="88" t="n">
        <v>201208</v>
      </c>
      <c r="M12777" s="88">
        <f>VLOOKUP($Q12777,매칭테이블!$F:$I,2,0)*K12777</f>
        <v/>
      </c>
      <c r="N12777" s="88">
        <f>M12777-M12777*VLOOKUP($Q12777,매칭테이블!$F:$I,3,0)</f>
        <v/>
      </c>
      <c r="O12777" s="88">
        <f>VLOOKUP($Q12777,매칭테이블!$F:$I,4,0)*K12777</f>
        <v/>
      </c>
      <c r="P12777" s="152">
        <f>M12777/1.1</f>
        <v/>
      </c>
      <c r="Q12777" s="88">
        <f>F12777&amp;E12777&amp;G12777&amp;L12777</f>
        <v/>
      </c>
    </row>
    <row r="12778">
      <c r="B12778" s="128" t="n">
        <v>44193</v>
      </c>
      <c r="C12778" s="88">
        <f>TEXT(B12778,"aaa")</f>
        <v/>
      </c>
      <c r="E12778" s="88">
        <f>INDEX(매칭테이블!C:D,MATCH(RD!G12778,매칭테이블!D:D,0),1)</f>
        <v/>
      </c>
      <c r="F12778" s="94" t="inlineStr">
        <is>
          <t>카페24</t>
        </is>
      </c>
      <c r="G12778" s="94" t="inlineStr">
        <is>
          <t>어성초 77 포어 클리어 패드옵션=어성초 77 클리어 패드 2개-30% off (무료배송)</t>
        </is>
      </c>
      <c r="K12778" s="94" t="n">
        <v>22</v>
      </c>
      <c r="L12778" s="88" t="n">
        <v>201208</v>
      </c>
      <c r="M12778" s="88">
        <f>VLOOKUP($Q12778,매칭테이블!$F:$I,2,0)*K12778</f>
        <v/>
      </c>
      <c r="N12778" s="88">
        <f>M12778-M12778*VLOOKUP($Q12778,매칭테이블!$F:$I,3,0)</f>
        <v/>
      </c>
      <c r="O12778" s="88">
        <f>VLOOKUP($Q12778,매칭테이블!$F:$I,4,0)*K12778</f>
        <v/>
      </c>
      <c r="P12778" s="152">
        <f>M12778/1.1</f>
        <v/>
      </c>
      <c r="Q12778" s="88">
        <f>F12778&amp;E12778&amp;G12778&amp;L12778</f>
        <v/>
      </c>
    </row>
    <row r="12779">
      <c r="B12779" s="128" t="n">
        <v>44193</v>
      </c>
      <c r="C12779" s="88">
        <f>TEXT(B12779,"aaa")</f>
        <v/>
      </c>
      <c r="E12779" s="88">
        <f>INDEX(매칭테이블!C:D,MATCH(RD!G12779,매칭테이블!D:D,0),1)</f>
        <v/>
      </c>
      <c r="F12779" s="94" t="inlineStr">
        <is>
          <t>카페24</t>
        </is>
      </c>
      <c r="G12779" s="94" t="inlineStr">
        <is>
          <t>어성초 77 포어 클리어 패드옵션=어성초77토너1개+어성초77패드1개-30% off (무료배송)</t>
        </is>
      </c>
      <c r="K12779" s="94" t="n">
        <v>3</v>
      </c>
      <c r="L12779" s="88" t="n">
        <v>201208</v>
      </c>
      <c r="M12779" s="88">
        <f>VLOOKUP($Q12779,매칭테이블!$F:$I,2,0)*K12779</f>
        <v/>
      </c>
      <c r="N12779" s="88">
        <f>M12779-M12779*VLOOKUP($Q12779,매칭테이블!$F:$I,3,0)</f>
        <v/>
      </c>
      <c r="O12779" s="88">
        <f>VLOOKUP($Q12779,매칭테이블!$F:$I,4,0)*K12779</f>
        <v/>
      </c>
      <c r="P12779" s="152">
        <f>M12779/1.1</f>
        <v/>
      </c>
      <c r="Q12779" s="88">
        <f>F12779&amp;E12779&amp;G12779&amp;L12779</f>
        <v/>
      </c>
    </row>
    <row r="12780">
      <c r="B12780" s="128" t="n">
        <v>44193</v>
      </c>
      <c r="C12780" s="88">
        <f>TEXT(B12780,"aaa")</f>
        <v/>
      </c>
      <c r="E12780" s="88">
        <f>INDEX(매칭테이블!C:D,MATCH(RD!G12780,매칭테이블!D:D,0),1)</f>
        <v/>
      </c>
      <c r="F12780" s="94" t="inlineStr">
        <is>
          <t>카페24</t>
        </is>
      </c>
      <c r="G12780" s="94" t="inlineStr">
        <is>
          <t>어성초 77% 패드옵션=어성초 77 클리어 패드 1개-20% off</t>
        </is>
      </c>
      <c r="K12780" s="94" t="n">
        <v>116</v>
      </c>
      <c r="L12780" s="88" t="n">
        <v>201208</v>
      </c>
      <c r="M12780" s="88">
        <f>VLOOKUP($Q12780,매칭테이블!$F:$I,2,0)*K12780</f>
        <v/>
      </c>
      <c r="N12780" s="88">
        <f>M12780-M12780*VLOOKUP($Q12780,매칭테이블!$F:$I,3,0)</f>
        <v/>
      </c>
      <c r="O12780" s="88">
        <f>VLOOKUP($Q12780,매칭테이블!$F:$I,4,0)*K12780</f>
        <v/>
      </c>
      <c r="P12780" s="152">
        <f>M12780/1.1</f>
        <v/>
      </c>
      <c r="Q12780" s="88">
        <f>F12780&amp;E12780&amp;G12780&amp;L12780</f>
        <v/>
      </c>
    </row>
    <row r="12781">
      <c r="B12781" s="128" t="n">
        <v>44193</v>
      </c>
      <c r="C12781" s="88">
        <f>TEXT(B12781,"aaa")</f>
        <v/>
      </c>
      <c r="E12781" s="88">
        <f>INDEX(매칭테이블!C:D,MATCH(RD!G12781,매칭테이블!D:D,0),1)</f>
        <v/>
      </c>
      <c r="F12781" s="94" t="inlineStr">
        <is>
          <t>카페24</t>
        </is>
      </c>
      <c r="G12781" s="94" t="inlineStr">
        <is>
          <t>어성초 77% 패드옵션=어성초 77 클리어 패드 2개-30% off (무료배송)</t>
        </is>
      </c>
      <c r="K12781" s="94" t="n">
        <v>134</v>
      </c>
      <c r="L12781" s="88" t="n">
        <v>201208</v>
      </c>
      <c r="M12781" s="88">
        <f>VLOOKUP($Q12781,매칭테이블!$F:$I,2,0)*K12781</f>
        <v/>
      </c>
      <c r="N12781" s="88">
        <f>M12781-M12781*VLOOKUP($Q12781,매칭테이블!$F:$I,3,0)</f>
        <v/>
      </c>
      <c r="O12781" s="88">
        <f>VLOOKUP($Q12781,매칭테이블!$F:$I,4,0)*K12781</f>
        <v/>
      </c>
      <c r="P12781" s="152">
        <f>M12781/1.1</f>
        <v/>
      </c>
      <c r="Q12781" s="88">
        <f>F12781&amp;E12781&amp;G12781&amp;L12781</f>
        <v/>
      </c>
    </row>
    <row r="12782">
      <c r="B12782" s="128" t="n">
        <v>44193</v>
      </c>
      <c r="C12782" s="88">
        <f>TEXT(B12782,"aaa")</f>
        <v/>
      </c>
      <c r="E12782" s="88">
        <f>INDEX(매칭테이블!C:D,MATCH(RD!G12782,매칭테이블!D:D,0),1)</f>
        <v/>
      </c>
      <c r="F12782" s="94" t="inlineStr">
        <is>
          <t>카페24</t>
        </is>
      </c>
      <c r="G12782" s="94" t="inlineStr">
        <is>
          <t>어성초 77% 패드옵션=어성초77토너1개+어성초77패드1개-30% off (무료배송)</t>
        </is>
      </c>
      <c r="K12782" s="94" t="n">
        <v>71</v>
      </c>
      <c r="L12782" s="88" t="n">
        <v>201208</v>
      </c>
      <c r="M12782" s="88">
        <f>VLOOKUP($Q12782,매칭테이블!$F:$I,2,0)*K12782</f>
        <v/>
      </c>
      <c r="N12782" s="88">
        <f>M12782-M12782*VLOOKUP($Q12782,매칭테이블!$F:$I,3,0)</f>
        <v/>
      </c>
      <c r="O12782" s="88">
        <f>VLOOKUP($Q12782,매칭테이블!$F:$I,4,0)*K12782</f>
        <v/>
      </c>
      <c r="P12782" s="152">
        <f>M12782/1.1</f>
        <v/>
      </c>
      <c r="Q12782" s="88">
        <f>F12782&amp;E12782&amp;G12782&amp;L12782</f>
        <v/>
      </c>
    </row>
    <row r="12783">
      <c r="B12783" s="128" t="n">
        <v>44193</v>
      </c>
      <c r="C12783" s="88">
        <f>TEXT(B12783,"aaa")</f>
        <v/>
      </c>
      <c r="E12783" s="88">
        <f>INDEX(매칭테이블!C:D,MATCH(RD!G12783,매칭테이블!D:D,0),1)</f>
        <v/>
      </c>
      <c r="F12783" s="94" t="inlineStr">
        <is>
          <t>카페24</t>
        </is>
      </c>
      <c r="G12783" s="94" t="inlineStr">
        <is>
          <t>어성초 78 수딩 크림</t>
        </is>
      </c>
      <c r="K12783" s="94" t="n">
        <v>8</v>
      </c>
      <c r="L12783" s="88" t="n">
        <v>201208</v>
      </c>
      <c r="M12783" s="88">
        <f>VLOOKUP($Q12783,매칭테이블!$F:$I,2,0)*K12783</f>
        <v/>
      </c>
      <c r="N12783" s="88">
        <f>M12783-M12783*VLOOKUP($Q12783,매칭테이블!$F:$I,3,0)</f>
        <v/>
      </c>
      <c r="O12783" s="88">
        <f>VLOOKUP($Q12783,매칭테이블!$F:$I,4,0)*K12783</f>
        <v/>
      </c>
      <c r="P12783" s="152">
        <f>M12783/1.1</f>
        <v/>
      </c>
      <c r="Q12783" s="88">
        <f>F12783&amp;E12783&amp;G12783&amp;L12783</f>
        <v/>
      </c>
    </row>
    <row r="12784">
      <c r="B12784" s="128" t="n">
        <v>44193</v>
      </c>
      <c r="C12784" s="88">
        <f>TEXT(B12784,"aaa")</f>
        <v/>
      </c>
      <c r="E12784" s="88">
        <f>INDEX(매칭테이블!C:D,MATCH(RD!G12784,매칭테이블!D:D,0),1)</f>
        <v/>
      </c>
      <c r="F12784" s="94" t="inlineStr">
        <is>
          <t>카페24</t>
        </is>
      </c>
      <c r="G12784" s="94" t="inlineStr">
        <is>
          <t>어성초 78 수딩 크림</t>
        </is>
      </c>
      <c r="K12784" s="94" t="n">
        <v>7</v>
      </c>
      <c r="L12784" s="88" t="n">
        <v>201208</v>
      </c>
      <c r="M12784" s="88">
        <f>VLOOKUP($Q12784,매칭테이블!$F:$I,2,0)*K12784</f>
        <v/>
      </c>
      <c r="N12784" s="88">
        <f>M12784-M12784*VLOOKUP($Q12784,매칭테이블!$F:$I,3,0)</f>
        <v/>
      </c>
      <c r="O12784" s="88">
        <f>VLOOKUP($Q12784,매칭테이블!$F:$I,4,0)*K12784</f>
        <v/>
      </c>
      <c r="P12784" s="152">
        <f>M12784/1.1</f>
        <v/>
      </c>
      <c r="Q12784" s="88">
        <f>F12784&amp;E12784&amp;G12784&amp;L12784</f>
        <v/>
      </c>
    </row>
    <row r="12785">
      <c r="B12785" s="128" t="n">
        <v>44193</v>
      </c>
      <c r="C12785" s="88">
        <f>TEXT(B12785,"aaa")</f>
        <v/>
      </c>
      <c r="E12785" s="88">
        <f>INDEX(매칭테이블!C:D,MATCH(RD!G12785,매칭테이블!D:D,0),1)</f>
        <v/>
      </c>
      <c r="F12785" s="94" t="inlineStr">
        <is>
          <t>카페24</t>
        </is>
      </c>
      <c r="G12785" s="94" t="inlineStr">
        <is>
          <t>어성초 80 수분 진정 앰플앰플=어성초 80 앰플 1개-15%off</t>
        </is>
      </c>
      <c r="K12785" s="94" t="n">
        <v>35</v>
      </c>
      <c r="L12785" s="88" t="n">
        <v>201208</v>
      </c>
      <c r="M12785" s="88">
        <f>VLOOKUP($Q12785,매칭테이블!$F:$I,2,0)*K12785</f>
        <v/>
      </c>
      <c r="N12785" s="88">
        <f>M12785-M12785*VLOOKUP($Q12785,매칭테이블!$F:$I,3,0)</f>
        <v/>
      </c>
      <c r="O12785" s="88">
        <f>VLOOKUP($Q12785,매칭테이블!$F:$I,4,0)*K12785</f>
        <v/>
      </c>
      <c r="P12785" s="152">
        <f>M12785/1.1</f>
        <v/>
      </c>
      <c r="Q12785" s="88">
        <f>F12785&amp;E12785&amp;G12785&amp;L12785</f>
        <v/>
      </c>
    </row>
    <row r="12786">
      <c r="B12786" s="128" t="n">
        <v>44193</v>
      </c>
      <c r="C12786" s="88">
        <f>TEXT(B12786,"aaa")</f>
        <v/>
      </c>
      <c r="E12786" s="88">
        <f>INDEX(매칭테이블!C:D,MATCH(RD!G12786,매칭테이블!D:D,0),1)</f>
        <v/>
      </c>
      <c r="F12786" s="94" t="inlineStr">
        <is>
          <t>카페24</t>
        </is>
      </c>
      <c r="G12786" s="94" t="inlineStr">
        <is>
          <t>어성초 80 수분 진정 앰플앰플=어성초 80 앰플 2개-27%off (무료배송)</t>
        </is>
      </c>
      <c r="K12786" s="94" t="n">
        <v>6</v>
      </c>
      <c r="L12786" s="88" t="n">
        <v>201208</v>
      </c>
      <c r="M12786" s="88">
        <f>VLOOKUP($Q12786,매칭테이블!$F:$I,2,0)*K12786</f>
        <v/>
      </c>
      <c r="N12786" s="88">
        <f>M12786-M12786*VLOOKUP($Q12786,매칭테이블!$F:$I,3,0)</f>
        <v/>
      </c>
      <c r="O12786" s="88">
        <f>VLOOKUP($Q12786,매칭테이블!$F:$I,4,0)*K12786</f>
        <v/>
      </c>
      <c r="P12786" s="152">
        <f>M12786/1.1</f>
        <v/>
      </c>
      <c r="Q12786" s="88">
        <f>F12786&amp;E12786&amp;G12786&amp;L12786</f>
        <v/>
      </c>
    </row>
    <row r="12787">
      <c r="B12787" s="128" t="n">
        <v>44193</v>
      </c>
      <c r="C12787" s="88">
        <f>TEXT(B12787,"aaa")</f>
        <v/>
      </c>
      <c r="E12787" s="88">
        <f>INDEX(매칭테이블!C:D,MATCH(RD!G12787,매칭테이블!D:D,0),1)</f>
        <v/>
      </c>
      <c r="F12787" s="94" t="inlineStr">
        <is>
          <t>카페24</t>
        </is>
      </c>
      <c r="G12787" s="94" t="inlineStr">
        <is>
          <t>어성초 80 수분 진정 앰플</t>
        </is>
      </c>
      <c r="K12787" s="94" t="n">
        <v>6</v>
      </c>
      <c r="L12787" s="88" t="n">
        <v>201208</v>
      </c>
      <c r="M12787" s="88">
        <f>VLOOKUP($Q12787,매칭테이블!$F:$I,2,0)*K12787</f>
        <v/>
      </c>
      <c r="N12787" s="88">
        <f>M12787-M12787*VLOOKUP($Q12787,매칭테이블!$F:$I,3,0)</f>
        <v/>
      </c>
      <c r="O12787" s="88">
        <f>VLOOKUP($Q12787,매칭테이블!$F:$I,4,0)*K12787</f>
        <v/>
      </c>
      <c r="P12787" s="152">
        <f>M12787/1.1</f>
        <v/>
      </c>
      <c r="Q12787" s="88">
        <f>F12787&amp;E12787&amp;G12787&amp;L12787</f>
        <v/>
      </c>
    </row>
    <row r="12788">
      <c r="B12788" s="128" t="n">
        <v>44193</v>
      </c>
      <c r="C12788" s="88">
        <f>TEXT(B12788,"aaa")</f>
        <v/>
      </c>
      <c r="E12788" s="88">
        <f>INDEX(매칭테이블!C:D,MATCH(RD!G12788,매칭테이블!D:D,0),1)</f>
        <v/>
      </c>
      <c r="F12788" s="94" t="inlineStr">
        <is>
          <t>카페24</t>
        </is>
      </c>
      <c r="G12788" s="94" t="inlineStr">
        <is>
          <t>어성초 아크네 바디워시옵션=어성초 아크네 바디워시 1개 -30% off</t>
        </is>
      </c>
      <c r="K12788" s="94" t="n">
        <v>4</v>
      </c>
      <c r="L12788" s="88" t="n">
        <v>201208</v>
      </c>
      <c r="M12788" s="88">
        <f>VLOOKUP($Q12788,매칭테이블!$F:$I,2,0)*K12788</f>
        <v/>
      </c>
      <c r="N12788" s="88">
        <f>M12788-M12788*VLOOKUP($Q12788,매칭테이블!$F:$I,3,0)</f>
        <v/>
      </c>
      <c r="O12788" s="88">
        <f>VLOOKUP($Q12788,매칭테이블!$F:$I,4,0)*K12788</f>
        <v/>
      </c>
      <c r="P12788" s="152">
        <f>M12788/1.1</f>
        <v/>
      </c>
      <c r="Q12788" s="88">
        <f>F12788&amp;E12788&amp;G12788&amp;L12788</f>
        <v/>
      </c>
    </row>
    <row r="12789">
      <c r="B12789" s="128" t="n">
        <v>44193</v>
      </c>
      <c r="C12789" s="88">
        <f>TEXT(B12789,"aaa")</f>
        <v/>
      </c>
      <c r="E12789" s="88">
        <f>INDEX(매칭테이블!C:D,MATCH(RD!G12789,매칭테이블!D:D,0),1)</f>
        <v/>
      </c>
      <c r="F12789" s="94" t="inlineStr">
        <is>
          <t>카페24</t>
        </is>
      </c>
      <c r="G12789" s="94" t="inlineStr">
        <is>
          <t>어성초 아크네 바디워시옵션=어성초 아크네 바디워시 2개 -35% off (무료배송)</t>
        </is>
      </c>
      <c r="K12789" s="94" t="n">
        <v>1</v>
      </c>
      <c r="L12789" s="88" t="n">
        <v>201208</v>
      </c>
      <c r="M12789" s="88">
        <f>VLOOKUP($Q12789,매칭테이블!$F:$I,2,0)*K12789</f>
        <v/>
      </c>
      <c r="N12789" s="88">
        <f>M12789-M12789*VLOOKUP($Q12789,매칭테이블!$F:$I,3,0)</f>
        <v/>
      </c>
      <c r="O12789" s="88">
        <f>VLOOKUP($Q12789,매칭테이블!$F:$I,4,0)*K12789</f>
        <v/>
      </c>
      <c r="P12789" s="152">
        <f>M12789/1.1</f>
        <v/>
      </c>
      <c r="Q12789" s="88">
        <f>F12789&amp;E12789&amp;G12789&amp;L12789</f>
        <v/>
      </c>
    </row>
    <row r="12790">
      <c r="B12790" s="128" t="n">
        <v>44193</v>
      </c>
      <c r="C12790" s="88">
        <f>TEXT(B12790,"aaa")</f>
        <v/>
      </c>
      <c r="E12790" s="88">
        <f>INDEX(매칭테이블!C:D,MATCH(RD!G12790,매칭테이블!D:D,0),1)</f>
        <v/>
      </c>
      <c r="F12790" s="94" t="inlineStr">
        <is>
          <t>카페24</t>
        </is>
      </c>
      <c r="G12790" s="94" t="inlineStr">
        <is>
          <t>어성초 약산성 클렌징폼클렌징폼=어성초 약산성 클렌징폼 1개 -19%off</t>
        </is>
      </c>
      <c r="K12790" s="94" t="n">
        <v>32</v>
      </c>
      <c r="L12790" s="88" t="n">
        <v>201208</v>
      </c>
      <c r="M12790" s="88">
        <f>VLOOKUP($Q12790,매칭테이블!$F:$I,2,0)*K12790</f>
        <v/>
      </c>
      <c r="N12790" s="88">
        <f>M12790-M12790*VLOOKUP($Q12790,매칭테이블!$F:$I,3,0)</f>
        <v/>
      </c>
      <c r="O12790" s="88">
        <f>VLOOKUP($Q12790,매칭테이블!$F:$I,4,0)*K12790</f>
        <v/>
      </c>
      <c r="P12790" s="152">
        <f>M12790/1.1</f>
        <v/>
      </c>
      <c r="Q12790" s="88">
        <f>F12790&amp;E12790&amp;G12790&amp;L12790</f>
        <v/>
      </c>
    </row>
    <row r="12791">
      <c r="B12791" s="128" t="n">
        <v>44193</v>
      </c>
      <c r="C12791" s="88">
        <f>TEXT(B12791,"aaa")</f>
        <v/>
      </c>
      <c r="E12791" s="88">
        <f>INDEX(매칭테이블!C:D,MATCH(RD!G12791,매칭테이블!D:D,0),1)</f>
        <v/>
      </c>
      <c r="F12791" s="94" t="inlineStr">
        <is>
          <t>카페24</t>
        </is>
      </c>
      <c r="G12791" s="94" t="inlineStr">
        <is>
          <t>어성초 약산성 클렌징폼클렌징폼=어성초 약산성 클렌징폼 2개 -25%off</t>
        </is>
      </c>
      <c r="K12791" s="94" t="n">
        <v>1</v>
      </c>
      <c r="L12791" s="88" t="n">
        <v>201208</v>
      </c>
      <c r="M12791" s="88">
        <f>VLOOKUP($Q12791,매칭테이블!$F:$I,2,0)*K12791</f>
        <v/>
      </c>
      <c r="N12791" s="88">
        <f>M12791-M12791*VLOOKUP($Q12791,매칭테이블!$F:$I,3,0)</f>
        <v/>
      </c>
      <c r="O12791" s="88">
        <f>VLOOKUP($Q12791,매칭테이블!$F:$I,4,0)*K12791</f>
        <v/>
      </c>
      <c r="P12791" s="152">
        <f>M12791/1.1</f>
        <v/>
      </c>
      <c r="Q12791" s="88">
        <f>F12791&amp;E12791&amp;G12791&amp;L12791</f>
        <v/>
      </c>
    </row>
    <row r="12792">
      <c r="B12792" s="128" t="n">
        <v>44193</v>
      </c>
      <c r="C12792" s="88">
        <f>TEXT(B12792,"aaa")</f>
        <v/>
      </c>
      <c r="E12792" s="88">
        <f>INDEX(매칭테이블!C:D,MATCH(RD!G12792,매칭테이블!D:D,0),1)</f>
        <v/>
      </c>
      <c r="F12792" s="94" t="inlineStr">
        <is>
          <t>카페24</t>
        </is>
      </c>
      <c r="G12792" s="94" t="inlineStr">
        <is>
          <t>어성초 약산성 클렌징폼클렌징폼=어성초 약산성 클렌징폼 3개 -31%off (무료배송)</t>
        </is>
      </c>
      <c r="K12792" s="94" t="n">
        <v>1</v>
      </c>
      <c r="L12792" s="88" t="n">
        <v>201208</v>
      </c>
      <c r="M12792" s="88">
        <f>VLOOKUP($Q12792,매칭테이블!$F:$I,2,0)*K12792</f>
        <v/>
      </c>
      <c r="N12792" s="88">
        <f>M12792-M12792*VLOOKUP($Q12792,매칭테이블!$F:$I,3,0)</f>
        <v/>
      </c>
      <c r="O12792" s="88">
        <f>VLOOKUP($Q12792,매칭테이블!$F:$I,4,0)*K12792</f>
        <v/>
      </c>
      <c r="P12792" s="152">
        <f>M12792/1.1</f>
        <v/>
      </c>
      <c r="Q12792" s="88">
        <f>F12792&amp;E12792&amp;G12792&amp;L12792</f>
        <v/>
      </c>
    </row>
    <row r="12793">
      <c r="B12793" s="128" t="n">
        <v>44193</v>
      </c>
      <c r="C12793" s="88">
        <f>TEXT(B12793,"aaa")</f>
        <v/>
      </c>
      <c r="E12793" s="88">
        <f>INDEX(매칭테이블!C:D,MATCH(RD!G12793,매칭테이블!D:D,0),1)</f>
        <v/>
      </c>
      <c r="F12793" s="94" t="inlineStr">
        <is>
          <t>카페24</t>
        </is>
      </c>
      <c r="G12793" s="94" t="inlineStr">
        <is>
          <t>어성초 크림마스크 나이트 솔루션옵션=어성초 크림마스크 나이트 솔루션 1장</t>
        </is>
      </c>
      <c r="K12793" s="94" t="n">
        <v>5</v>
      </c>
      <c r="L12793" s="88" t="n">
        <v>201208</v>
      </c>
      <c r="M12793" s="88">
        <f>VLOOKUP($Q12793,매칭테이블!$F:$I,2,0)*K12793</f>
        <v/>
      </c>
      <c r="N12793" s="88">
        <f>M12793-M12793*VLOOKUP($Q12793,매칭테이블!$F:$I,3,0)</f>
        <v/>
      </c>
      <c r="O12793" s="88">
        <f>VLOOKUP($Q12793,매칭테이블!$F:$I,4,0)*K12793</f>
        <v/>
      </c>
      <c r="P12793" s="152">
        <f>M12793/1.1</f>
        <v/>
      </c>
      <c r="Q12793" s="88">
        <f>F12793&amp;E12793&amp;G12793&amp;L12793</f>
        <v/>
      </c>
    </row>
    <row r="12794">
      <c r="B12794" s="128" t="n">
        <v>44193</v>
      </c>
      <c r="C12794" s="88">
        <f>TEXT(B12794,"aaa")</f>
        <v/>
      </c>
      <c r="E12794" s="88">
        <f>INDEX(매칭테이블!C:D,MATCH(RD!G12794,매칭테이블!D:D,0),1)</f>
        <v/>
      </c>
      <c r="F12794" s="94" t="inlineStr">
        <is>
          <t>카페24</t>
        </is>
      </c>
      <c r="G12794" s="94" t="inlineStr">
        <is>
          <t>어성초 크림마스크 나이트 솔루션옵션=어성초 크림마스크 나이트 솔루션 10장 (-50%)</t>
        </is>
      </c>
      <c r="K12794" s="94" t="n">
        <v>3</v>
      </c>
      <c r="L12794" s="88" t="n">
        <v>201208</v>
      </c>
      <c r="M12794" s="88">
        <f>VLOOKUP($Q12794,매칭테이블!$F:$I,2,0)*K12794</f>
        <v/>
      </c>
      <c r="N12794" s="88">
        <f>M12794-M12794*VLOOKUP($Q12794,매칭테이블!$F:$I,3,0)</f>
        <v/>
      </c>
      <c r="O12794" s="88">
        <f>VLOOKUP($Q12794,매칭테이블!$F:$I,4,0)*K12794</f>
        <v/>
      </c>
      <c r="P12794" s="152">
        <f>M12794/1.1</f>
        <v/>
      </c>
      <c r="Q12794" s="88">
        <f>F12794&amp;E12794&amp;G12794&amp;L12794</f>
        <v/>
      </c>
    </row>
    <row r="12795">
      <c r="B12795" s="128" t="n">
        <v>44193</v>
      </c>
      <c r="C12795" s="88">
        <f>TEXT(B12795,"aaa")</f>
        <v/>
      </c>
      <c r="E12795" s="88">
        <f>INDEX(매칭테이블!C:D,MATCH(RD!G12795,매칭테이블!D:D,0),1)</f>
        <v/>
      </c>
      <c r="F12795" s="94" t="inlineStr">
        <is>
          <t>카페24</t>
        </is>
      </c>
      <c r="G12795" s="94" t="inlineStr">
        <is>
          <t>촉촉 스킨팩 화장솜</t>
        </is>
      </c>
      <c r="K12795" s="94" t="n">
        <v>31</v>
      </c>
      <c r="L12795" s="88" t="n">
        <v>201208</v>
      </c>
      <c r="M12795" s="88">
        <f>VLOOKUP($Q12795,매칭테이블!$F:$I,2,0)*K12795</f>
        <v/>
      </c>
      <c r="N12795" s="88">
        <f>M12795-M12795*VLOOKUP($Q12795,매칭테이블!$F:$I,3,0)</f>
        <v/>
      </c>
      <c r="O12795" s="88">
        <f>VLOOKUP($Q12795,매칭테이블!$F:$I,4,0)*K12795</f>
        <v/>
      </c>
      <c r="P12795" s="152">
        <f>M12795/1.1</f>
        <v/>
      </c>
      <c r="Q12795" s="88">
        <f>F12795&amp;E12795&amp;G12795&amp;L12795</f>
        <v/>
      </c>
    </row>
    <row r="12796">
      <c r="B12796" s="128" t="n">
        <v>44193</v>
      </c>
      <c r="C12796" s="88">
        <f>TEXT(B12796,"aaa")</f>
        <v/>
      </c>
      <c r="E12796" s="88">
        <f>INDEX(매칭테이블!C:D,MATCH(RD!G12796,매칭테이블!D:D,0),1)</f>
        <v/>
      </c>
      <c r="F12796" s="94" t="inlineStr">
        <is>
          <t>카페24</t>
        </is>
      </c>
      <c r="G12796" s="94" t="inlineStr">
        <is>
          <t>촉촉 스킨팩 화장솜</t>
        </is>
      </c>
      <c r="K12796" s="94" t="n">
        <v>4</v>
      </c>
      <c r="L12796" s="88" t="n">
        <v>201208</v>
      </c>
      <c r="M12796" s="88">
        <f>VLOOKUP($Q12796,매칭테이블!$F:$I,2,0)*K12796</f>
        <v/>
      </c>
      <c r="N12796" s="88">
        <f>M12796-M12796*VLOOKUP($Q12796,매칭테이블!$F:$I,3,0)</f>
        <v/>
      </c>
      <c r="O12796" s="88">
        <f>VLOOKUP($Q12796,매칭테이블!$F:$I,4,0)*K12796</f>
        <v/>
      </c>
      <c r="P12796" s="152">
        <f>M12796/1.1</f>
        <v/>
      </c>
      <c r="Q12796" s="88">
        <f>F12796&amp;E12796&amp;G12796&amp;L12796</f>
        <v/>
      </c>
    </row>
    <row r="12797">
      <c r="B12797" s="128" t="n">
        <v>44194</v>
      </c>
      <c r="C12797" s="88">
        <f>TEXT(B12797,"aaa")</f>
        <v/>
      </c>
      <c r="E12797" s="88">
        <f>INDEX(매칭테이블!C:D,MATCH(RD!G12797,매칭테이블!D:D,0),1)</f>
        <v/>
      </c>
      <c r="F12797" s="94" t="inlineStr">
        <is>
          <t>W컨셉</t>
        </is>
      </c>
      <c r="G12797" s="94" t="inlineStr">
        <is>
          <t>어성초 77토너 (2 SET) HEARTLEAF 77% SOOTHING TONER 250ml250ml 2set</t>
        </is>
      </c>
      <c r="K12797" s="94" t="n">
        <v>1</v>
      </c>
      <c r="L12797" s="88" t="n">
        <v>201208</v>
      </c>
      <c r="M12797" s="88">
        <f>VLOOKUP($Q12797,매칭테이블!$F:$I,2,0)*K12797</f>
        <v/>
      </c>
      <c r="N12797" s="88">
        <f>M12797-M12797*VLOOKUP($Q12797,매칭테이블!$F:$I,3,0)</f>
        <v/>
      </c>
      <c r="O12797" s="88">
        <f>VLOOKUP($Q12797,매칭테이블!$F:$I,4,0)*K12797</f>
        <v/>
      </c>
      <c r="P12797" s="152">
        <f>M12797/1.1</f>
        <v/>
      </c>
      <c r="Q12797" s="88">
        <f>F12797&amp;E12797&amp;G12797&amp;L12797</f>
        <v/>
      </c>
    </row>
    <row r="12798">
      <c r="B12798" s="128" t="n">
        <v>44194</v>
      </c>
      <c r="C12798" s="88">
        <f>TEXT(B12798,"aaa")</f>
        <v/>
      </c>
      <c r="D12798" s="94" t="n"/>
      <c r="E12798" s="88">
        <f>INDEX(매칭테이블!C:D,MATCH(RD!G12798,매칭테이블!D:D,0),1)</f>
        <v/>
      </c>
      <c r="F12798" s="94" t="inlineStr">
        <is>
          <t>글로우데이즈 시코르</t>
        </is>
      </c>
      <c r="G12798" s="94" t="inlineStr">
        <is>
          <t>어성초 77 마스크팩 10매</t>
        </is>
      </c>
      <c r="K12798" s="94" t="n">
        <v>3</v>
      </c>
      <c r="L12798" s="88" t="n">
        <v>201208</v>
      </c>
      <c r="M12798" s="88">
        <f>VLOOKUP($Q12798,매칭테이블!$F:$I,2,0)*K12798</f>
        <v/>
      </c>
      <c r="N12798" s="88">
        <f>M12798-M12798*VLOOKUP($Q12798,매칭테이블!$F:$I,3,0)</f>
        <v/>
      </c>
      <c r="O12798" s="88">
        <f>VLOOKUP($Q12798,매칭테이블!$F:$I,4,0)*K12798</f>
        <v/>
      </c>
      <c r="P12798" s="152">
        <f>M12798/1.1</f>
        <v/>
      </c>
      <c r="Q12798" s="88">
        <f>F12798&amp;E12798&amp;G12798&amp;L12798</f>
        <v/>
      </c>
    </row>
    <row r="12799">
      <c r="B12799" s="128" t="n">
        <v>44194</v>
      </c>
      <c r="C12799" s="88">
        <f>TEXT(B12799,"aaa")</f>
        <v/>
      </c>
      <c r="D12799" s="94" t="n"/>
      <c r="E12799" s="88">
        <f>INDEX(매칭테이블!C:D,MATCH(RD!G12799,매칭테이블!D:D,0),1)</f>
        <v/>
      </c>
      <c r="F12799" s="94" t="inlineStr">
        <is>
          <t>스타일쉐어</t>
        </is>
      </c>
      <c r="G12799" s="94" t="inlineStr">
        <is>
          <t>아누아 어성초 77 토너 250ml</t>
        </is>
      </c>
      <c r="K12799" s="94" t="n">
        <v>2</v>
      </c>
      <c r="L12799" s="88" t="n">
        <v>201208</v>
      </c>
      <c r="M12799" s="88">
        <f>VLOOKUP($Q12799,매칭테이블!$F:$I,2,0)*K12799</f>
        <v/>
      </c>
      <c r="N12799" s="88">
        <f>M12799-M12799*VLOOKUP($Q12799,매칭테이블!$F:$I,3,0)</f>
        <v/>
      </c>
      <c r="O12799" s="88">
        <f>VLOOKUP($Q12799,매칭테이블!$F:$I,4,0)*K12799</f>
        <v/>
      </c>
      <c r="P12799" s="152">
        <f>M12799/1.1</f>
        <v/>
      </c>
      <c r="Q12799" s="88">
        <f>F12799&amp;E12799&amp;G12799&amp;L12799</f>
        <v/>
      </c>
    </row>
    <row r="12800">
      <c r="B12800" s="128" t="n">
        <v>44194</v>
      </c>
      <c r="C12800" s="88">
        <f>TEXT(B12800,"aaa")</f>
        <v/>
      </c>
      <c r="D12800" s="94" t="n"/>
      <c r="E12800" s="88">
        <f>INDEX(매칭테이블!C:D,MATCH(RD!G12800,매칭테이블!D:D,0),1)</f>
        <v/>
      </c>
      <c r="F12800" s="94" t="inlineStr">
        <is>
          <t>아누아 CS</t>
        </is>
      </c>
      <c r="G12800" s="94" t="inlineStr">
        <is>
          <t>5제로 무기자차 선크림 50ml</t>
        </is>
      </c>
      <c r="K12800" s="94" t="n">
        <v>3</v>
      </c>
      <c r="L12800" s="88" t="n">
        <v>201208</v>
      </c>
      <c r="M12800" s="88">
        <f>VLOOKUP($Q12800,매칭테이블!$F:$I,2,0)*K12800</f>
        <v/>
      </c>
      <c r="N12800" s="88">
        <f>M12800-M12800*VLOOKUP($Q12800,매칭테이블!$F:$I,3,0)</f>
        <v/>
      </c>
      <c r="O12800" s="88">
        <f>VLOOKUP($Q12800,매칭테이블!$F:$I,4,0)*K12800</f>
        <v/>
      </c>
      <c r="P12800" s="152">
        <f>M12800/1.1</f>
        <v/>
      </c>
      <c r="Q12800" s="88">
        <f>F12800&amp;E12800&amp;G12800&amp;L12800</f>
        <v/>
      </c>
    </row>
    <row r="12801">
      <c r="B12801" s="128" t="n">
        <v>44194</v>
      </c>
      <c r="C12801" s="88">
        <f>TEXT(B12801,"aaa")</f>
        <v/>
      </c>
      <c r="D12801" s="94" t="n"/>
      <c r="E12801" s="88">
        <f>INDEX(매칭테이블!C:D,MATCH(RD!G12801,매칭테이블!D:D,0),1)</f>
        <v/>
      </c>
      <c r="F12801" s="94" t="inlineStr">
        <is>
          <t>아누아 CS</t>
        </is>
      </c>
      <c r="G12801" s="94" t="inlineStr">
        <is>
          <t>어성초 77 토너 250ml</t>
        </is>
      </c>
      <c r="K12801" s="94" t="n">
        <v>4</v>
      </c>
      <c r="L12801" s="88" t="n">
        <v>201208</v>
      </c>
      <c r="M12801" s="88">
        <f>VLOOKUP($Q12801,매칭테이블!$F:$I,2,0)*K12801</f>
        <v/>
      </c>
      <c r="N12801" s="88">
        <f>M12801-M12801*VLOOKUP($Q12801,매칭테이블!$F:$I,3,0)</f>
        <v/>
      </c>
      <c r="O12801" s="88">
        <f>VLOOKUP($Q12801,매칭테이블!$F:$I,4,0)*K12801</f>
        <v/>
      </c>
      <c r="P12801" s="152">
        <f>M12801/1.1</f>
        <v/>
      </c>
      <c r="Q12801" s="88">
        <f>F12801&amp;E12801&amp;G12801&amp;L12801</f>
        <v/>
      </c>
    </row>
    <row r="12802">
      <c r="B12802" s="128" t="n">
        <v>44194</v>
      </c>
      <c r="C12802" s="88">
        <f>TEXT(B12802,"aaa")</f>
        <v/>
      </c>
      <c r="D12802" s="94" t="n"/>
      <c r="E12802" s="88">
        <f>INDEX(매칭테이블!C:D,MATCH(RD!G12802,매칭테이블!D:D,0),1)</f>
        <v/>
      </c>
      <c r="F12802" s="94" t="inlineStr">
        <is>
          <t>카페24</t>
        </is>
      </c>
      <c r="G12802" s="94" t="inlineStr">
        <is>
          <t>5 제로 무기자차 선크림옵션=5제로 무기자차 선크림 1개-20% off</t>
        </is>
      </c>
      <c r="K12802" s="94" t="n">
        <v>2</v>
      </c>
      <c r="L12802" s="88" t="n">
        <v>201208</v>
      </c>
      <c r="M12802" s="88">
        <f>VLOOKUP($Q12802,매칭테이블!$F:$I,2,0)*K12802</f>
        <v/>
      </c>
      <c r="N12802" s="88">
        <f>M12802-M12802*VLOOKUP($Q12802,매칭테이블!$F:$I,3,0)</f>
        <v/>
      </c>
      <c r="O12802" s="88">
        <f>VLOOKUP($Q12802,매칭테이블!$F:$I,4,0)*K12802</f>
        <v/>
      </c>
      <c r="P12802" s="152">
        <f>M12802/1.1</f>
        <v/>
      </c>
      <c r="Q12802" s="88">
        <f>F12802&amp;E12802&amp;G12802&amp;L12802</f>
        <v/>
      </c>
    </row>
    <row r="12803">
      <c r="B12803" s="128" t="n">
        <v>44194</v>
      </c>
      <c r="C12803" s="88">
        <f>TEXT(B12803,"aaa")</f>
        <v/>
      </c>
      <c r="D12803" s="94" t="n"/>
      <c r="E12803" s="88">
        <f>INDEX(매칭테이블!C:D,MATCH(RD!G12803,매칭테이블!D:D,0),1)</f>
        <v/>
      </c>
      <c r="F12803" s="94" t="inlineStr">
        <is>
          <t>카페24</t>
        </is>
      </c>
      <c r="G12803" s="94" t="inlineStr">
        <is>
          <t>[수분 보충 세트] 어성초 77 토너 + 어성초 70 로션옵션=어성초 77 토너 250ml + 어성초 70 로션 200ml -30%</t>
        </is>
      </c>
      <c r="K12803" s="94" t="n">
        <v>45</v>
      </c>
      <c r="L12803" s="88" t="n">
        <v>201208</v>
      </c>
      <c r="M12803" s="88">
        <f>VLOOKUP($Q12803,매칭테이블!$F:$I,2,0)*K12803</f>
        <v/>
      </c>
      <c r="N12803" s="88">
        <f>M12803-M12803*VLOOKUP($Q12803,매칭테이블!$F:$I,3,0)</f>
        <v/>
      </c>
      <c r="O12803" s="88">
        <f>VLOOKUP($Q12803,매칭테이블!$F:$I,4,0)*K12803</f>
        <v/>
      </c>
      <c r="P12803" s="152">
        <f>M12803/1.1</f>
        <v/>
      </c>
      <c r="Q12803" s="88">
        <f>F12803&amp;E12803&amp;G12803&amp;L12803</f>
        <v/>
      </c>
    </row>
    <row r="12804">
      <c r="B12804" s="128" t="n">
        <v>44194</v>
      </c>
      <c r="C12804" s="88">
        <f>TEXT(B12804,"aaa")</f>
        <v/>
      </c>
      <c r="D12804" s="94" t="n"/>
      <c r="E12804" s="88">
        <f>INDEX(매칭테이블!C:D,MATCH(RD!G12804,매칭테이블!D:D,0),1)</f>
        <v/>
      </c>
      <c r="F12804" s="94" t="inlineStr">
        <is>
          <t>카페24</t>
        </is>
      </c>
      <c r="G12804" s="94" t="inlineStr">
        <is>
          <t>[어성초 진정 패키지 세트] 대용량 토너 + 앰플 + 수딩 크림 + 마스크팩 10장</t>
        </is>
      </c>
      <c r="K12804" s="94" t="n">
        <v>3</v>
      </c>
      <c r="L12804" s="88" t="n">
        <v>201208</v>
      </c>
      <c r="M12804" s="88">
        <f>VLOOKUP($Q12804,매칭테이블!$F:$I,2,0)*K12804</f>
        <v/>
      </c>
      <c r="N12804" s="88">
        <f>M12804-M12804*VLOOKUP($Q12804,매칭테이블!$F:$I,3,0)</f>
        <v/>
      </c>
      <c r="O12804" s="88">
        <f>VLOOKUP($Q12804,매칭테이블!$F:$I,4,0)*K12804</f>
        <v/>
      </c>
      <c r="P12804" s="152">
        <f>M12804/1.1</f>
        <v/>
      </c>
      <c r="Q12804" s="88">
        <f>F12804&amp;E12804&amp;G12804&amp;L12804</f>
        <v/>
      </c>
    </row>
    <row r="12805">
      <c r="B12805" s="128" t="n">
        <v>44194</v>
      </c>
      <c r="C12805" s="88">
        <f>TEXT(B12805,"aaa")</f>
        <v/>
      </c>
      <c r="D12805" s="94" t="n"/>
      <c r="E12805" s="88">
        <f>INDEX(매칭테이블!C:D,MATCH(RD!G12805,매칭테이블!D:D,0),1)</f>
        <v/>
      </c>
      <c r="F12805" s="94" t="inlineStr">
        <is>
          <t>카페24</t>
        </is>
      </c>
      <c r="G12805" s="94" t="inlineStr">
        <is>
          <t>대용량 어성초 77 수딩 토너 500ml</t>
        </is>
      </c>
      <c r="K12805" s="94" t="n">
        <v>39</v>
      </c>
      <c r="L12805" s="88" t="n">
        <v>201208</v>
      </c>
      <c r="M12805" s="88">
        <f>VLOOKUP($Q12805,매칭테이블!$F:$I,2,0)*K12805</f>
        <v/>
      </c>
      <c r="N12805" s="88">
        <f>M12805-M12805*VLOOKUP($Q12805,매칭테이블!$F:$I,3,0)</f>
        <v/>
      </c>
      <c r="O12805" s="88">
        <f>VLOOKUP($Q12805,매칭테이블!$F:$I,4,0)*K12805</f>
        <v/>
      </c>
      <c r="P12805" s="152">
        <f>M12805/1.1</f>
        <v/>
      </c>
      <c r="Q12805" s="88">
        <f>F12805&amp;E12805&amp;G12805&amp;L12805</f>
        <v/>
      </c>
    </row>
    <row r="12806">
      <c r="B12806" s="128" t="n">
        <v>44194</v>
      </c>
      <c r="C12806" s="88">
        <f>TEXT(B12806,"aaa")</f>
        <v/>
      </c>
      <c r="D12806" s="94" t="n"/>
      <c r="E12806" s="88">
        <f>INDEX(매칭테이블!C:D,MATCH(RD!G12806,매칭테이블!D:D,0),1)</f>
        <v/>
      </c>
      <c r="F12806" s="94" t="inlineStr">
        <is>
          <t>카페24</t>
        </is>
      </c>
      <c r="G12806" s="94" t="inlineStr">
        <is>
          <t>대용량 어성초 77 토너 500ml</t>
        </is>
      </c>
      <c r="K12806" s="94" t="n">
        <v>2</v>
      </c>
      <c r="L12806" s="88" t="n">
        <v>201208</v>
      </c>
      <c r="M12806" s="88">
        <f>VLOOKUP($Q12806,매칭테이블!$F:$I,2,0)*K12806</f>
        <v/>
      </c>
      <c r="N12806" s="88">
        <f>M12806-M12806*VLOOKUP($Q12806,매칭테이블!$F:$I,3,0)</f>
        <v/>
      </c>
      <c r="O12806" s="88">
        <f>VLOOKUP($Q12806,매칭테이블!$F:$I,4,0)*K12806</f>
        <v/>
      </c>
      <c r="P12806" s="152">
        <f>M12806/1.1</f>
        <v/>
      </c>
      <c r="Q12806" s="88">
        <f>F12806&amp;E12806&amp;G12806&amp;L12806</f>
        <v/>
      </c>
    </row>
    <row r="12807">
      <c r="B12807" s="128" t="n">
        <v>44194</v>
      </c>
      <c r="C12807" s="88">
        <f>TEXT(B12807,"aaa")</f>
        <v/>
      </c>
      <c r="D12807" s="94" t="n"/>
      <c r="E12807" s="88">
        <f>INDEX(매칭테이블!C:D,MATCH(RD!G12807,매칭테이블!D:D,0),1)</f>
        <v/>
      </c>
      <c r="F12807" s="94" t="inlineStr">
        <is>
          <t>카페24</t>
        </is>
      </c>
      <c r="G12807" s="94" t="inlineStr">
        <is>
          <t>아누아 어성초 77 수딩 토너토너(필수)=어성초 77 토너 1개-20% off</t>
        </is>
      </c>
      <c r="K12807" s="94" t="n">
        <v>2</v>
      </c>
      <c r="L12807" s="88" t="n">
        <v>201208</v>
      </c>
      <c r="M12807" s="88">
        <f>VLOOKUP($Q12807,매칭테이블!$F:$I,2,0)*K12807</f>
        <v/>
      </c>
      <c r="N12807" s="88">
        <f>M12807-M12807*VLOOKUP($Q12807,매칭테이블!$F:$I,3,0)</f>
        <v/>
      </c>
      <c r="O12807" s="88">
        <f>VLOOKUP($Q12807,매칭테이블!$F:$I,4,0)*K12807</f>
        <v/>
      </c>
      <c r="P12807" s="152">
        <f>M12807/1.1</f>
        <v/>
      </c>
      <c r="Q12807" s="88">
        <f>F12807&amp;E12807&amp;G12807&amp;L12807</f>
        <v/>
      </c>
    </row>
    <row r="12808">
      <c r="B12808" s="128" t="n">
        <v>44194</v>
      </c>
      <c r="C12808" s="88">
        <f>TEXT(B12808,"aaa")</f>
        <v/>
      </c>
      <c r="D12808" s="94" t="n"/>
      <c r="E12808" s="88">
        <f>INDEX(매칭테이블!C:D,MATCH(RD!G12808,매칭테이블!D:D,0),1)</f>
        <v/>
      </c>
      <c r="F12808" s="94" t="inlineStr">
        <is>
          <t>카페24</t>
        </is>
      </c>
      <c r="G12808" s="94" t="inlineStr">
        <is>
          <t>아누아 어성초 77 수딩 토너토너(필수)=어성초 77 토너 2개-30% off (무료배송)</t>
        </is>
      </c>
      <c r="K12808" s="94" t="n">
        <v>5</v>
      </c>
      <c r="L12808" s="88" t="n">
        <v>201208</v>
      </c>
      <c r="M12808" s="88">
        <f>VLOOKUP($Q12808,매칭테이블!$F:$I,2,0)*K12808</f>
        <v/>
      </c>
      <c r="N12808" s="88">
        <f>M12808-M12808*VLOOKUP($Q12808,매칭테이블!$F:$I,3,0)</f>
        <v/>
      </c>
      <c r="O12808" s="88">
        <f>VLOOKUP($Q12808,매칭테이블!$F:$I,4,0)*K12808</f>
        <v/>
      </c>
      <c r="P12808" s="152">
        <f>M12808/1.1</f>
        <v/>
      </c>
      <c r="Q12808" s="88">
        <f>F12808&amp;E12808&amp;G12808&amp;L12808</f>
        <v/>
      </c>
    </row>
    <row r="12809">
      <c r="B12809" s="128" t="n">
        <v>44194</v>
      </c>
      <c r="C12809" s="88">
        <f>TEXT(B12809,"aaa")</f>
        <v/>
      </c>
      <c r="D12809" s="94" t="n"/>
      <c r="E12809" s="88">
        <f>INDEX(매칭테이블!C:D,MATCH(RD!G12809,매칭테이블!D:D,0),1)</f>
        <v/>
      </c>
      <c r="F12809" s="94" t="inlineStr">
        <is>
          <t>카페24</t>
        </is>
      </c>
      <c r="G12809" s="94" t="inlineStr">
        <is>
          <t>아누아 어성초 77 수딩 토너토너(필수)=어성초77토너1개 + 어성초77패드1개 -30% off (무료배송)</t>
        </is>
      </c>
      <c r="K12809" s="94" t="n">
        <v>1</v>
      </c>
      <c r="L12809" s="88" t="n">
        <v>201208</v>
      </c>
      <c r="M12809" s="88">
        <f>VLOOKUP($Q12809,매칭테이블!$F:$I,2,0)*K12809</f>
        <v/>
      </c>
      <c r="N12809" s="88">
        <f>M12809-M12809*VLOOKUP($Q12809,매칭테이블!$F:$I,3,0)</f>
        <v/>
      </c>
      <c r="O12809" s="88">
        <f>VLOOKUP($Q12809,매칭테이블!$F:$I,4,0)*K12809</f>
        <v/>
      </c>
      <c r="P12809" s="152">
        <f>M12809/1.1</f>
        <v/>
      </c>
      <c r="Q12809" s="88">
        <f>F12809&amp;E12809&amp;G12809&amp;L12809</f>
        <v/>
      </c>
    </row>
    <row r="12810">
      <c r="B12810" s="128" t="n">
        <v>44194</v>
      </c>
      <c r="C12810" s="88">
        <f>TEXT(B12810,"aaa")</f>
        <v/>
      </c>
      <c r="D12810" s="94" t="n"/>
      <c r="E12810" s="88">
        <f>INDEX(매칭테이블!C:D,MATCH(RD!G12810,매칭테이블!D:D,0),1)</f>
        <v/>
      </c>
      <c r="F12810" s="94" t="inlineStr">
        <is>
          <t>카페24</t>
        </is>
      </c>
      <c r="G12810" s="94" t="inlineStr">
        <is>
          <t>아누아 어성초 77 수딩 토너화장솜(선택)=촉촉 스킨팩 화장솜</t>
        </is>
      </c>
      <c r="K12810" s="94" t="n">
        <v>8</v>
      </c>
      <c r="L12810" s="88" t="n">
        <v>201208</v>
      </c>
      <c r="M12810" s="88">
        <f>VLOOKUP($Q12810,매칭테이블!$F:$I,2,0)*K12810</f>
        <v/>
      </c>
      <c r="N12810" s="88">
        <f>M12810-M12810*VLOOKUP($Q12810,매칭테이블!$F:$I,3,0)</f>
        <v/>
      </c>
      <c r="O12810" s="88">
        <f>VLOOKUP($Q12810,매칭테이블!$F:$I,4,0)*K12810</f>
        <v/>
      </c>
      <c r="P12810" s="152">
        <f>M12810/1.1</f>
        <v/>
      </c>
      <c r="Q12810" s="88">
        <f>F12810&amp;E12810&amp;G12810&amp;L12810</f>
        <v/>
      </c>
    </row>
    <row r="12811">
      <c r="B12811" s="128" t="n">
        <v>44194</v>
      </c>
      <c r="C12811" s="88">
        <f>TEXT(B12811,"aaa")</f>
        <v/>
      </c>
      <c r="D12811" s="94" t="n"/>
      <c r="E12811" s="88">
        <f>INDEX(매칭테이블!C:D,MATCH(RD!G12811,매칭테이블!D:D,0),1)</f>
        <v/>
      </c>
      <c r="F12811" s="94" t="inlineStr">
        <is>
          <t>카페24</t>
        </is>
      </c>
      <c r="G12811" s="94" t="inlineStr">
        <is>
          <t>어성초 70 데일리 릴리프 로션로션=어성초 70 데일리 릴리프 로션 1개 -20% off</t>
        </is>
      </c>
      <c r="K12811" s="94" t="n">
        <v>15</v>
      </c>
      <c r="L12811" s="88" t="n">
        <v>201208</v>
      </c>
      <c r="M12811" s="88">
        <f>VLOOKUP($Q12811,매칭테이블!$F:$I,2,0)*K12811</f>
        <v/>
      </c>
      <c r="N12811" s="88">
        <f>M12811-M12811*VLOOKUP($Q12811,매칭테이블!$F:$I,3,0)</f>
        <v/>
      </c>
      <c r="O12811" s="88">
        <f>VLOOKUP($Q12811,매칭테이블!$F:$I,4,0)*K12811</f>
        <v/>
      </c>
      <c r="P12811" s="152">
        <f>M12811/1.1</f>
        <v/>
      </c>
      <c r="Q12811" s="88">
        <f>F12811&amp;E12811&amp;G12811&amp;L12811</f>
        <v/>
      </c>
    </row>
    <row r="12812">
      <c r="B12812" s="128" t="n">
        <v>44194</v>
      </c>
      <c r="C12812" s="88">
        <f>TEXT(B12812,"aaa")</f>
        <v/>
      </c>
      <c r="D12812" s="94" t="n"/>
      <c r="E12812" s="88">
        <f>INDEX(매칭테이블!C:D,MATCH(RD!G12812,매칭테이블!D:D,0),1)</f>
        <v/>
      </c>
      <c r="F12812" s="94" t="inlineStr">
        <is>
          <t>카페24</t>
        </is>
      </c>
      <c r="G12812" s="94" t="inlineStr">
        <is>
          <t>어성초 70 데일리 릴리프 로션로션=어성초 70 데일리 릴리프 로션 2개 -30% off</t>
        </is>
      </c>
      <c r="K12812" s="94" t="n">
        <v>1</v>
      </c>
      <c r="L12812" s="88" t="n">
        <v>201208</v>
      </c>
      <c r="M12812" s="88">
        <f>VLOOKUP($Q12812,매칭테이블!$F:$I,2,0)*K12812</f>
        <v/>
      </c>
      <c r="N12812" s="88">
        <f>M12812-M12812*VLOOKUP($Q12812,매칭테이블!$F:$I,3,0)</f>
        <v/>
      </c>
      <c r="O12812" s="88">
        <f>VLOOKUP($Q12812,매칭테이블!$F:$I,4,0)*K12812</f>
        <v/>
      </c>
      <c r="P12812" s="152">
        <f>M12812/1.1</f>
        <v/>
      </c>
      <c r="Q12812" s="88">
        <f>F12812&amp;E12812&amp;G12812&amp;L12812</f>
        <v/>
      </c>
    </row>
    <row r="12813">
      <c r="B12813" s="128" t="n">
        <v>44194</v>
      </c>
      <c r="C12813" s="88">
        <f>TEXT(B12813,"aaa")</f>
        <v/>
      </c>
      <c r="D12813" s="94" t="n"/>
      <c r="E12813" s="88">
        <f>INDEX(매칭테이블!C:D,MATCH(RD!G12813,매칭테이블!D:D,0),1)</f>
        <v/>
      </c>
      <c r="F12813" s="94" t="inlineStr">
        <is>
          <t>카페24</t>
        </is>
      </c>
      <c r="G12813" s="94" t="inlineStr">
        <is>
          <t>어성초 70 데일리 릴리프 로션로션=어성초 77토너 + 어성초 70 로션 수분 보충 세트 -30% off</t>
        </is>
      </c>
      <c r="K12813" s="94" t="n">
        <v>1</v>
      </c>
      <c r="L12813" s="88" t="n">
        <v>201208</v>
      </c>
      <c r="M12813" s="88">
        <f>VLOOKUP($Q12813,매칭테이블!$F:$I,2,0)*K12813</f>
        <v/>
      </c>
      <c r="N12813" s="88">
        <f>M12813-M12813*VLOOKUP($Q12813,매칭테이블!$F:$I,3,0)</f>
        <v/>
      </c>
      <c r="O12813" s="88">
        <f>VLOOKUP($Q12813,매칭테이블!$F:$I,4,0)*K12813</f>
        <v/>
      </c>
      <c r="P12813" s="152">
        <f>M12813/1.1</f>
        <v/>
      </c>
      <c r="Q12813" s="88">
        <f>F12813&amp;E12813&amp;G12813&amp;L12813</f>
        <v/>
      </c>
    </row>
    <row r="12814">
      <c r="B12814" s="128" t="n">
        <v>44194</v>
      </c>
      <c r="C12814" s="88">
        <f>TEXT(B12814,"aaa")</f>
        <v/>
      </c>
      <c r="D12814" s="94" t="n"/>
      <c r="E12814" s="88">
        <f>INDEX(매칭테이블!C:D,MATCH(RD!G12814,매칭테이블!D:D,0),1)</f>
        <v/>
      </c>
      <c r="F12814" s="94" t="inlineStr">
        <is>
          <t>카페24</t>
        </is>
      </c>
      <c r="G12814" s="94" t="inlineStr">
        <is>
          <t>어성초 70 머드 크림 마스크옵션=어성초 70 머드 크림 마스크-20% off</t>
        </is>
      </c>
      <c r="K12814" s="94" t="n">
        <v>4</v>
      </c>
      <c r="L12814" s="88" t="n">
        <v>201208</v>
      </c>
      <c r="M12814" s="88">
        <f>VLOOKUP($Q12814,매칭테이블!$F:$I,2,0)*K12814</f>
        <v/>
      </c>
      <c r="N12814" s="88">
        <f>M12814-M12814*VLOOKUP($Q12814,매칭테이블!$F:$I,3,0)</f>
        <v/>
      </c>
      <c r="O12814" s="88">
        <f>VLOOKUP($Q12814,매칭테이블!$F:$I,4,0)*K12814</f>
        <v/>
      </c>
      <c r="P12814" s="152">
        <f>M12814/1.1</f>
        <v/>
      </c>
      <c r="Q12814" s="88">
        <f>F12814&amp;E12814&amp;G12814&amp;L12814</f>
        <v/>
      </c>
    </row>
    <row r="12815">
      <c r="B12815" s="128" t="n">
        <v>44194</v>
      </c>
      <c r="C12815" s="88">
        <f>TEXT(B12815,"aaa")</f>
        <v/>
      </c>
      <c r="D12815" s="94" t="n"/>
      <c r="E12815" s="88">
        <f>INDEX(매칭테이블!C:D,MATCH(RD!G12815,매칭테이블!D:D,0),1)</f>
        <v/>
      </c>
      <c r="F12815" s="94" t="inlineStr">
        <is>
          <t>카페24</t>
        </is>
      </c>
      <c r="G12815" s="94" t="inlineStr">
        <is>
          <t>어성초 70 인텐스 카밍 크림크림=어성초 70 인텐스 카밍 크림 1개 (-20%)</t>
        </is>
      </c>
      <c r="K12815" s="94" t="n">
        <v>5</v>
      </c>
      <c r="L12815" s="88" t="n">
        <v>201208</v>
      </c>
      <c r="M12815" s="88">
        <f>VLOOKUP($Q12815,매칭테이블!$F:$I,2,0)*K12815</f>
        <v/>
      </c>
      <c r="N12815" s="88">
        <f>M12815-M12815*VLOOKUP($Q12815,매칭테이블!$F:$I,3,0)</f>
        <v/>
      </c>
      <c r="O12815" s="88">
        <f>VLOOKUP($Q12815,매칭테이블!$F:$I,4,0)*K12815</f>
        <v/>
      </c>
      <c r="P12815" s="152">
        <f>M12815/1.1</f>
        <v/>
      </c>
      <c r="Q12815" s="88">
        <f>F12815&amp;E12815&amp;G12815&amp;L12815</f>
        <v/>
      </c>
    </row>
    <row r="12816">
      <c r="B12816" s="128" t="n">
        <v>44194</v>
      </c>
      <c r="C12816" s="88">
        <f>TEXT(B12816,"aaa")</f>
        <v/>
      </c>
      <c r="D12816" s="94" t="n"/>
      <c r="E12816" s="88">
        <f>INDEX(매칭테이블!C:D,MATCH(RD!G12816,매칭테이블!D:D,0),1)</f>
        <v/>
      </c>
      <c r="F12816" s="94" t="inlineStr">
        <is>
          <t>카페24</t>
        </is>
      </c>
      <c r="G12816" s="94" t="inlineStr">
        <is>
          <t>어성초 70 인텐스 카밍 크림크림=어성초 70 인텐스 카밍 크림 2개 (-30%)</t>
        </is>
      </c>
      <c r="K12816" s="94" t="n">
        <v>1</v>
      </c>
      <c r="L12816" s="88" t="n">
        <v>201208</v>
      </c>
      <c r="M12816" s="88">
        <f>VLOOKUP($Q12816,매칭테이블!$F:$I,2,0)*K12816</f>
        <v/>
      </c>
      <c r="N12816" s="88">
        <f>M12816-M12816*VLOOKUP($Q12816,매칭테이블!$F:$I,3,0)</f>
        <v/>
      </c>
      <c r="O12816" s="88">
        <f>VLOOKUP($Q12816,매칭테이블!$F:$I,4,0)*K12816</f>
        <v/>
      </c>
      <c r="P12816" s="152">
        <f>M12816/1.1</f>
        <v/>
      </c>
      <c r="Q12816" s="88">
        <f>F12816&amp;E12816&amp;G12816&amp;L12816</f>
        <v/>
      </c>
    </row>
    <row r="12817">
      <c r="B12817" s="128" t="n">
        <v>44194</v>
      </c>
      <c r="C12817" s="88">
        <f>TEXT(B12817,"aaa")</f>
        <v/>
      </c>
      <c r="D12817" s="94" t="n"/>
      <c r="E12817" s="88">
        <f>INDEX(매칭테이블!C:D,MATCH(RD!G12817,매칭테이블!D:D,0),1)</f>
        <v/>
      </c>
      <c r="F12817" s="94" t="inlineStr">
        <is>
          <t>카페24</t>
        </is>
      </c>
      <c r="G12817" s="94" t="inlineStr">
        <is>
          <t>어성초 70 인텐스 카밍 크림크림=어성초 토너 250ml + 카밍 크림 50ml (-30%)</t>
        </is>
      </c>
      <c r="K12817" s="94" t="n">
        <v>2</v>
      </c>
      <c r="L12817" s="88" t="n">
        <v>201208</v>
      </c>
      <c r="M12817" s="88">
        <f>VLOOKUP($Q12817,매칭테이블!$F:$I,2,0)*K12817</f>
        <v/>
      </c>
      <c r="N12817" s="88">
        <f>M12817-M12817*VLOOKUP($Q12817,매칭테이블!$F:$I,3,0)</f>
        <v/>
      </c>
      <c r="O12817" s="88">
        <f>VLOOKUP($Q12817,매칭테이블!$F:$I,4,0)*K12817</f>
        <v/>
      </c>
      <c r="P12817" s="152">
        <f>M12817/1.1</f>
        <v/>
      </c>
      <c r="Q12817" s="88">
        <f>F12817&amp;E12817&amp;G12817&amp;L12817</f>
        <v/>
      </c>
    </row>
    <row r="12818">
      <c r="B12818" s="128" t="n">
        <v>44194</v>
      </c>
      <c r="C12818" s="88">
        <f>TEXT(B12818,"aaa")</f>
        <v/>
      </c>
      <c r="D12818" s="94" t="n"/>
      <c r="E12818" s="88">
        <f>INDEX(매칭테이블!C:D,MATCH(RD!G12818,매칭테이블!D:D,0),1)</f>
        <v/>
      </c>
      <c r="F12818" s="94" t="inlineStr">
        <is>
          <t>카페24</t>
        </is>
      </c>
      <c r="G12818" s="94" t="inlineStr">
        <is>
          <t>어성초 77 수딩 토너토너(필수)=어성초 77 토너 1개-20% off</t>
        </is>
      </c>
      <c r="K12818" s="94" t="n">
        <v>67</v>
      </c>
      <c r="L12818" s="88" t="n">
        <v>201208</v>
      </c>
      <c r="M12818" s="88">
        <f>VLOOKUP($Q12818,매칭테이블!$F:$I,2,0)*K12818</f>
        <v/>
      </c>
      <c r="N12818" s="88">
        <f>M12818-M12818*VLOOKUP($Q12818,매칭테이블!$F:$I,3,0)</f>
        <v/>
      </c>
      <c r="O12818" s="88">
        <f>VLOOKUP($Q12818,매칭테이블!$F:$I,4,0)*K12818</f>
        <v/>
      </c>
      <c r="P12818" s="152">
        <f>M12818/1.1</f>
        <v/>
      </c>
      <c r="Q12818" s="88">
        <f>F12818&amp;E12818&amp;G12818&amp;L12818</f>
        <v/>
      </c>
    </row>
    <row r="12819">
      <c r="B12819" s="128" t="n">
        <v>44194</v>
      </c>
      <c r="C12819" s="88">
        <f>TEXT(B12819,"aaa")</f>
        <v/>
      </c>
      <c r="D12819" s="94" t="n"/>
      <c r="E12819" s="88">
        <f>INDEX(매칭테이블!C:D,MATCH(RD!G12819,매칭테이블!D:D,0),1)</f>
        <v/>
      </c>
      <c r="F12819" s="94" t="inlineStr">
        <is>
          <t>카페24</t>
        </is>
      </c>
      <c r="G12819" s="94" t="inlineStr">
        <is>
          <t>어성초 77 수딩 토너토너(필수)=어성초 77 토너 2개-30% off (무료배송)</t>
        </is>
      </c>
      <c r="K12819" s="94" t="n">
        <v>23</v>
      </c>
      <c r="L12819" s="88" t="n">
        <v>201208</v>
      </c>
      <c r="M12819" s="88">
        <f>VLOOKUP($Q12819,매칭테이블!$F:$I,2,0)*K12819</f>
        <v/>
      </c>
      <c r="N12819" s="88">
        <f>M12819-M12819*VLOOKUP($Q12819,매칭테이블!$F:$I,3,0)</f>
        <v/>
      </c>
      <c r="O12819" s="88">
        <f>VLOOKUP($Q12819,매칭테이블!$F:$I,4,0)*K12819</f>
        <v/>
      </c>
      <c r="P12819" s="152">
        <f>M12819/1.1</f>
        <v/>
      </c>
      <c r="Q12819" s="88">
        <f>F12819&amp;E12819&amp;G12819&amp;L12819</f>
        <v/>
      </c>
    </row>
    <row r="12820">
      <c r="B12820" s="128" t="n">
        <v>44194</v>
      </c>
      <c r="C12820" s="88">
        <f>TEXT(B12820,"aaa")</f>
        <v/>
      </c>
      <c r="D12820" s="94" t="n"/>
      <c r="E12820" s="88">
        <f>INDEX(매칭테이블!C:D,MATCH(RD!G12820,매칭테이블!D:D,0),1)</f>
        <v/>
      </c>
      <c r="F12820" s="94" t="inlineStr">
        <is>
          <t>카페24</t>
        </is>
      </c>
      <c r="G12820" s="94" t="inlineStr">
        <is>
          <t>어성초 77 수딩 토너토너(필수)=어성초77토너1개 + 어성초77패드1개 -30% off (무료배송)</t>
        </is>
      </c>
      <c r="K12820" s="94" t="n">
        <v>29</v>
      </c>
      <c r="L12820" s="88" t="n">
        <v>201208</v>
      </c>
      <c r="M12820" s="88">
        <f>VLOOKUP($Q12820,매칭테이블!$F:$I,2,0)*K12820</f>
        <v/>
      </c>
      <c r="N12820" s="88">
        <f>M12820-M12820*VLOOKUP($Q12820,매칭테이블!$F:$I,3,0)</f>
        <v/>
      </c>
      <c r="O12820" s="88">
        <f>VLOOKUP($Q12820,매칭테이블!$F:$I,4,0)*K12820</f>
        <v/>
      </c>
      <c r="P12820" s="152">
        <f>M12820/1.1</f>
        <v/>
      </c>
      <c r="Q12820" s="88">
        <f>F12820&amp;E12820&amp;G12820&amp;L12820</f>
        <v/>
      </c>
    </row>
    <row r="12821">
      <c r="B12821" s="128" t="n">
        <v>44194</v>
      </c>
      <c r="C12821" s="88">
        <f>TEXT(B12821,"aaa")</f>
        <v/>
      </c>
      <c r="D12821" s="94" t="n"/>
      <c r="E12821" s="88">
        <f>INDEX(매칭테이블!C:D,MATCH(RD!G12821,매칭테이블!D:D,0),1)</f>
        <v/>
      </c>
      <c r="F12821" s="94" t="inlineStr">
        <is>
          <t>카페24</t>
        </is>
      </c>
      <c r="G12821" s="94" t="inlineStr">
        <is>
          <t>어성초 77 수딩 토너화장솜(선택)=촉촉 스킨팩 화장솜</t>
        </is>
      </c>
      <c r="K12821" s="94" t="n">
        <v>40</v>
      </c>
      <c r="L12821" s="88" t="n">
        <v>201208</v>
      </c>
      <c r="M12821" s="88">
        <f>VLOOKUP($Q12821,매칭테이블!$F:$I,2,0)*K12821</f>
        <v/>
      </c>
      <c r="N12821" s="88">
        <f>M12821-M12821*VLOOKUP($Q12821,매칭테이블!$F:$I,3,0)</f>
        <v/>
      </c>
      <c r="O12821" s="88">
        <f>VLOOKUP($Q12821,매칭테이블!$F:$I,4,0)*K12821</f>
        <v/>
      </c>
      <c r="P12821" s="152">
        <f>M12821/1.1</f>
        <v/>
      </c>
      <c r="Q12821" s="88">
        <f>F12821&amp;E12821&amp;G12821&amp;L12821</f>
        <v/>
      </c>
    </row>
    <row r="12822">
      <c r="B12822" s="128" t="n">
        <v>44194</v>
      </c>
      <c r="C12822" s="88">
        <f>TEXT(B12822,"aaa")</f>
        <v/>
      </c>
      <c r="D12822" s="94" t="n"/>
      <c r="E12822" s="88">
        <f>INDEX(매칭테이블!C:D,MATCH(RD!G12822,매칭테이블!D:D,0),1)</f>
        <v/>
      </c>
      <c r="F12822" s="94" t="inlineStr">
        <is>
          <t>카페24</t>
        </is>
      </c>
      <c r="G12822" s="94" t="inlineStr">
        <is>
          <t>어성초 77 수딩 토너토너(필수)=어성초 77 토너 1개-20% off</t>
        </is>
      </c>
      <c r="K12822" s="94" t="n">
        <v>1</v>
      </c>
      <c r="L12822" s="88" t="n">
        <v>201208</v>
      </c>
      <c r="M12822" s="88">
        <f>VLOOKUP($Q12822,매칭테이블!$F:$I,2,0)*K12822</f>
        <v/>
      </c>
      <c r="N12822" s="88">
        <f>M12822-M12822*VLOOKUP($Q12822,매칭테이블!$F:$I,3,0)</f>
        <v/>
      </c>
      <c r="O12822" s="88">
        <f>VLOOKUP($Q12822,매칭테이블!$F:$I,4,0)*K12822</f>
        <v/>
      </c>
      <c r="P12822" s="152">
        <f>M12822/1.1</f>
        <v/>
      </c>
      <c r="Q12822" s="88">
        <f>F12822&amp;E12822&amp;G12822&amp;L12822</f>
        <v/>
      </c>
    </row>
    <row r="12823">
      <c r="B12823" s="128" t="n">
        <v>44194</v>
      </c>
      <c r="C12823" s="88">
        <f>TEXT(B12823,"aaa")</f>
        <v/>
      </c>
      <c r="D12823" s="94" t="n"/>
      <c r="E12823" s="88">
        <f>INDEX(매칭테이블!C:D,MATCH(RD!G12823,매칭테이블!D:D,0),1)</f>
        <v/>
      </c>
      <c r="F12823" s="94" t="inlineStr">
        <is>
          <t>카페24</t>
        </is>
      </c>
      <c r="G12823" s="94" t="inlineStr">
        <is>
          <t>어성초 77 수딩 토너토너(필수)=(대용량) 어성초 77 토너 500ml (무료배송)</t>
        </is>
      </c>
      <c r="K12823" s="94" t="n">
        <v>1</v>
      </c>
      <c r="L12823" s="88" t="n">
        <v>201208</v>
      </c>
      <c r="M12823" s="88">
        <f>VLOOKUP($Q12823,매칭테이블!$F:$I,2,0)*K12823</f>
        <v/>
      </c>
      <c r="N12823" s="88">
        <f>M12823-M12823*VLOOKUP($Q12823,매칭테이블!$F:$I,3,0)</f>
        <v/>
      </c>
      <c r="O12823" s="88">
        <f>VLOOKUP($Q12823,매칭테이블!$F:$I,4,0)*K12823</f>
        <v/>
      </c>
      <c r="P12823" s="152">
        <f>M12823/1.1</f>
        <v/>
      </c>
      <c r="Q12823" s="88">
        <f>F12823&amp;E12823&amp;G12823&amp;L12823</f>
        <v/>
      </c>
    </row>
    <row r="12824">
      <c r="B12824" s="128" t="n">
        <v>44194</v>
      </c>
      <c r="C12824" s="88">
        <f>TEXT(B12824,"aaa")</f>
        <v/>
      </c>
      <c r="D12824" s="94" t="n"/>
      <c r="E12824" s="88">
        <f>INDEX(매칭테이블!C:D,MATCH(RD!G12824,매칭테이블!D:D,0),1)</f>
        <v/>
      </c>
      <c r="F12824" s="94" t="inlineStr">
        <is>
          <t>카페24</t>
        </is>
      </c>
      <c r="G12824" s="94" t="inlineStr">
        <is>
          <t>어성초 77 진정 마스크옵션=어성초 77 진정 마스크팩 10장-50% off</t>
        </is>
      </c>
      <c r="K12824" s="94" t="n">
        <v>12</v>
      </c>
      <c r="L12824" s="88" t="n">
        <v>201208</v>
      </c>
      <c r="M12824" s="88">
        <f>VLOOKUP($Q12824,매칭테이블!$F:$I,2,0)*K12824</f>
        <v/>
      </c>
      <c r="N12824" s="88">
        <f>M12824-M12824*VLOOKUP($Q12824,매칭테이블!$F:$I,3,0)</f>
        <v/>
      </c>
      <c r="O12824" s="88">
        <f>VLOOKUP($Q12824,매칭테이블!$F:$I,4,0)*K12824</f>
        <v/>
      </c>
      <c r="P12824" s="152">
        <f>M12824/1.1</f>
        <v/>
      </c>
      <c r="Q12824" s="88">
        <f>F12824&amp;E12824&amp;G12824&amp;L12824</f>
        <v/>
      </c>
    </row>
    <row r="12825">
      <c r="B12825" s="128" t="n">
        <v>44194</v>
      </c>
      <c r="C12825" s="88">
        <f>TEXT(B12825,"aaa")</f>
        <v/>
      </c>
      <c r="D12825" s="94" t="n"/>
      <c r="E12825" s="88">
        <f>INDEX(매칭테이블!C:D,MATCH(RD!G12825,매칭테이블!D:D,0),1)</f>
        <v/>
      </c>
      <c r="F12825" s="94" t="inlineStr">
        <is>
          <t>카페24</t>
        </is>
      </c>
      <c r="G12825" s="94" t="inlineStr">
        <is>
          <t>어성초 77 진정 마스크</t>
        </is>
      </c>
      <c r="K12825" s="94" t="n">
        <v>1</v>
      </c>
      <c r="L12825" s="88" t="n">
        <v>201208</v>
      </c>
      <c r="M12825" s="88">
        <f>VLOOKUP($Q12825,매칭테이블!$F:$I,2,0)*K12825</f>
        <v/>
      </c>
      <c r="N12825" s="88">
        <f>M12825-M12825*VLOOKUP($Q12825,매칭테이블!$F:$I,3,0)</f>
        <v/>
      </c>
      <c r="O12825" s="88">
        <f>VLOOKUP($Q12825,매칭테이블!$F:$I,4,0)*K12825</f>
        <v/>
      </c>
      <c r="P12825" s="152">
        <f>M12825/1.1</f>
        <v/>
      </c>
      <c r="Q12825" s="88">
        <f>F12825&amp;E12825&amp;G12825&amp;L12825</f>
        <v/>
      </c>
    </row>
    <row r="12826">
      <c r="B12826" s="128" t="n">
        <v>44194</v>
      </c>
      <c r="C12826" s="88">
        <f>TEXT(B12826,"aaa")</f>
        <v/>
      </c>
      <c r="D12826" s="94" t="n"/>
      <c r="E12826" s="88">
        <f>INDEX(매칭테이블!C:D,MATCH(RD!G12826,매칭테이블!D:D,0),1)</f>
        <v/>
      </c>
      <c r="F12826" s="94" t="inlineStr">
        <is>
          <t>카페24</t>
        </is>
      </c>
      <c r="G12826" s="94" t="inlineStr">
        <is>
          <t>어성초 77 클리어 패드옵션=어성초 77 클리어 패드 1개-20% off</t>
        </is>
      </c>
      <c r="K12826" s="94" t="n">
        <v>76</v>
      </c>
      <c r="L12826" s="88" t="n">
        <v>201208</v>
      </c>
      <c r="M12826" s="88">
        <f>VLOOKUP($Q12826,매칭테이블!$F:$I,2,0)*K12826</f>
        <v/>
      </c>
      <c r="N12826" s="88">
        <f>M12826-M12826*VLOOKUP($Q12826,매칭테이블!$F:$I,3,0)</f>
        <v/>
      </c>
      <c r="O12826" s="88">
        <f>VLOOKUP($Q12826,매칭테이블!$F:$I,4,0)*K12826</f>
        <v/>
      </c>
      <c r="P12826" s="152">
        <f>M12826/1.1</f>
        <v/>
      </c>
      <c r="Q12826" s="88">
        <f>F12826&amp;E12826&amp;G12826&amp;L12826</f>
        <v/>
      </c>
    </row>
    <row r="12827">
      <c r="B12827" s="128" t="n">
        <v>44194</v>
      </c>
      <c r="C12827" s="88">
        <f>TEXT(B12827,"aaa")</f>
        <v/>
      </c>
      <c r="D12827" s="94" t="n"/>
      <c r="E12827" s="88">
        <f>INDEX(매칭테이블!C:D,MATCH(RD!G12827,매칭테이블!D:D,0),1)</f>
        <v/>
      </c>
      <c r="F12827" s="94" t="inlineStr">
        <is>
          <t>카페24</t>
        </is>
      </c>
      <c r="G12827" s="94" t="inlineStr">
        <is>
          <t>어성초 77 클리어 패드옵션=어성초 77 클리어 패드 2개-30% off (무료배송)</t>
        </is>
      </c>
      <c r="K12827" s="94" t="n">
        <v>107</v>
      </c>
      <c r="L12827" s="88" t="n">
        <v>201208</v>
      </c>
      <c r="M12827" s="88">
        <f>VLOOKUP($Q12827,매칭테이블!$F:$I,2,0)*K12827</f>
        <v/>
      </c>
      <c r="N12827" s="88">
        <f>M12827-M12827*VLOOKUP($Q12827,매칭테이블!$F:$I,3,0)</f>
        <v/>
      </c>
      <c r="O12827" s="88">
        <f>VLOOKUP($Q12827,매칭테이블!$F:$I,4,0)*K12827</f>
        <v/>
      </c>
      <c r="P12827" s="152">
        <f>M12827/1.1</f>
        <v/>
      </c>
      <c r="Q12827" s="88">
        <f>F12827&amp;E12827&amp;G12827&amp;L12827</f>
        <v/>
      </c>
    </row>
    <row r="12828">
      <c r="B12828" s="128" t="n">
        <v>44194</v>
      </c>
      <c r="C12828" s="88">
        <f>TEXT(B12828,"aaa")</f>
        <v/>
      </c>
      <c r="D12828" s="94" t="n"/>
      <c r="E12828" s="88">
        <f>INDEX(매칭테이블!C:D,MATCH(RD!G12828,매칭테이블!D:D,0),1)</f>
        <v/>
      </c>
      <c r="F12828" s="94" t="inlineStr">
        <is>
          <t>카페24</t>
        </is>
      </c>
      <c r="G12828" s="94" t="inlineStr">
        <is>
          <t>어성초 77 클리어 패드옵션=어성초77토너1개+어성초77패드1개-30% off (무료배송)</t>
        </is>
      </c>
      <c r="K12828" s="94" t="n">
        <v>72</v>
      </c>
      <c r="L12828" s="88" t="n">
        <v>201208</v>
      </c>
      <c r="M12828" s="88">
        <f>VLOOKUP($Q12828,매칭테이블!$F:$I,2,0)*K12828</f>
        <v/>
      </c>
      <c r="N12828" s="88">
        <f>M12828-M12828*VLOOKUP($Q12828,매칭테이블!$F:$I,3,0)</f>
        <v/>
      </c>
      <c r="O12828" s="88">
        <f>VLOOKUP($Q12828,매칭테이블!$F:$I,4,0)*K12828</f>
        <v/>
      </c>
      <c r="P12828" s="152">
        <f>M12828/1.1</f>
        <v/>
      </c>
      <c r="Q12828" s="88">
        <f>F12828&amp;E12828&amp;G12828&amp;L12828</f>
        <v/>
      </c>
    </row>
    <row r="12829">
      <c r="B12829" s="128" t="n">
        <v>44194</v>
      </c>
      <c r="C12829" s="88">
        <f>TEXT(B12829,"aaa")</f>
        <v/>
      </c>
      <c r="D12829" s="94" t="n"/>
      <c r="E12829" s="88">
        <f>INDEX(매칭테이블!C:D,MATCH(RD!G12829,매칭테이블!D:D,0),1)</f>
        <v/>
      </c>
      <c r="F12829" s="94" t="inlineStr">
        <is>
          <t>카페24</t>
        </is>
      </c>
      <c r="G12829" s="94" t="inlineStr">
        <is>
          <t>어성초 77 포어 클리어 패드옵션=어성초 77 클리어 패드 1개-20% off</t>
        </is>
      </c>
      <c r="K12829" s="94" t="n">
        <v>9</v>
      </c>
      <c r="L12829" s="88" t="n">
        <v>201208</v>
      </c>
      <c r="M12829" s="88">
        <f>VLOOKUP($Q12829,매칭테이블!$F:$I,2,0)*K12829</f>
        <v/>
      </c>
      <c r="N12829" s="88">
        <f>M12829-M12829*VLOOKUP($Q12829,매칭테이블!$F:$I,3,0)</f>
        <v/>
      </c>
      <c r="O12829" s="88">
        <f>VLOOKUP($Q12829,매칭테이블!$F:$I,4,0)*K12829</f>
        <v/>
      </c>
      <c r="P12829" s="152">
        <f>M12829/1.1</f>
        <v/>
      </c>
      <c r="Q12829" s="88">
        <f>F12829&amp;E12829&amp;G12829&amp;L12829</f>
        <v/>
      </c>
    </row>
    <row r="12830">
      <c r="B12830" s="128" t="n">
        <v>44194</v>
      </c>
      <c r="C12830" s="88">
        <f>TEXT(B12830,"aaa")</f>
        <v/>
      </c>
      <c r="D12830" s="94" t="n"/>
      <c r="E12830" s="88">
        <f>INDEX(매칭테이블!C:D,MATCH(RD!G12830,매칭테이블!D:D,0),1)</f>
        <v/>
      </c>
      <c r="F12830" s="94" t="inlineStr">
        <is>
          <t>카페24</t>
        </is>
      </c>
      <c r="G12830" s="94" t="inlineStr">
        <is>
          <t>어성초 77 포어 클리어 패드옵션=어성초 77 클리어 패드 2개-30% off (무료배송)</t>
        </is>
      </c>
      <c r="K12830" s="94" t="n">
        <v>21</v>
      </c>
      <c r="L12830" s="88" t="n">
        <v>201208</v>
      </c>
      <c r="M12830" s="88">
        <f>VLOOKUP($Q12830,매칭테이블!$F:$I,2,0)*K12830</f>
        <v/>
      </c>
      <c r="N12830" s="88">
        <f>M12830-M12830*VLOOKUP($Q12830,매칭테이블!$F:$I,3,0)</f>
        <v/>
      </c>
      <c r="O12830" s="88">
        <f>VLOOKUP($Q12830,매칭테이블!$F:$I,4,0)*K12830</f>
        <v/>
      </c>
      <c r="P12830" s="152">
        <f>M12830/1.1</f>
        <v/>
      </c>
      <c r="Q12830" s="88">
        <f>F12830&amp;E12830&amp;G12830&amp;L12830</f>
        <v/>
      </c>
    </row>
    <row r="12831">
      <c r="B12831" s="128" t="n">
        <v>44194</v>
      </c>
      <c r="C12831" s="88">
        <f>TEXT(B12831,"aaa")</f>
        <v/>
      </c>
      <c r="D12831" s="94" t="n"/>
      <c r="E12831" s="88">
        <f>INDEX(매칭테이블!C:D,MATCH(RD!G12831,매칭테이블!D:D,0),1)</f>
        <v/>
      </c>
      <c r="F12831" s="94" t="inlineStr">
        <is>
          <t>카페24</t>
        </is>
      </c>
      <c r="G12831" s="94" t="inlineStr">
        <is>
          <t>어성초 77 포어 클리어 패드옵션=어성초77토너1개+어성초77패드1개-30% off (무료배송)</t>
        </is>
      </c>
      <c r="K12831" s="94" t="n">
        <v>12</v>
      </c>
      <c r="L12831" s="88" t="n">
        <v>201208</v>
      </c>
      <c r="M12831" s="88">
        <f>VLOOKUP($Q12831,매칭테이블!$F:$I,2,0)*K12831</f>
        <v/>
      </c>
      <c r="N12831" s="88">
        <f>M12831-M12831*VLOOKUP($Q12831,매칭테이블!$F:$I,3,0)</f>
        <v/>
      </c>
      <c r="O12831" s="88">
        <f>VLOOKUP($Q12831,매칭테이블!$F:$I,4,0)*K12831</f>
        <v/>
      </c>
      <c r="P12831" s="152">
        <f>M12831/1.1</f>
        <v/>
      </c>
      <c r="Q12831" s="88">
        <f>F12831&amp;E12831&amp;G12831&amp;L12831</f>
        <v/>
      </c>
    </row>
    <row r="12832">
      <c r="B12832" s="128" t="n">
        <v>44194</v>
      </c>
      <c r="C12832" s="88">
        <f>TEXT(B12832,"aaa")</f>
        <v/>
      </c>
      <c r="D12832" s="94" t="n"/>
      <c r="E12832" s="88">
        <f>INDEX(매칭테이블!C:D,MATCH(RD!G12832,매칭테이블!D:D,0),1)</f>
        <v/>
      </c>
      <c r="F12832" s="94" t="inlineStr">
        <is>
          <t>카페24</t>
        </is>
      </c>
      <c r="G12832" s="94" t="inlineStr">
        <is>
          <t>어성초 77% 패드옵션=어성초 77 클리어 패드 1개-20% off</t>
        </is>
      </c>
      <c r="K12832" s="94" t="n">
        <v>120</v>
      </c>
      <c r="L12832" s="88" t="n">
        <v>201208</v>
      </c>
      <c r="M12832" s="88">
        <f>VLOOKUP($Q12832,매칭테이블!$F:$I,2,0)*K12832</f>
        <v/>
      </c>
      <c r="N12832" s="88">
        <f>M12832-M12832*VLOOKUP($Q12832,매칭테이블!$F:$I,3,0)</f>
        <v/>
      </c>
      <c r="O12832" s="88">
        <f>VLOOKUP($Q12832,매칭테이블!$F:$I,4,0)*K12832</f>
        <v/>
      </c>
      <c r="P12832" s="152">
        <f>M12832/1.1</f>
        <v/>
      </c>
      <c r="Q12832" s="88">
        <f>F12832&amp;E12832&amp;G12832&amp;L12832</f>
        <v/>
      </c>
    </row>
    <row r="12833">
      <c r="B12833" s="128" t="n">
        <v>44194</v>
      </c>
      <c r="C12833" s="88">
        <f>TEXT(B12833,"aaa")</f>
        <v/>
      </c>
      <c r="D12833" s="94" t="n"/>
      <c r="E12833" s="88">
        <f>INDEX(매칭테이블!C:D,MATCH(RD!G12833,매칭테이블!D:D,0),1)</f>
        <v/>
      </c>
      <c r="F12833" s="94" t="inlineStr">
        <is>
          <t>카페24</t>
        </is>
      </c>
      <c r="G12833" s="94" t="inlineStr">
        <is>
          <t>어성초 77% 패드옵션=어성초 77 클리어 패드 2개-30% off (무료배송)</t>
        </is>
      </c>
      <c r="K12833" s="94" t="n">
        <v>132</v>
      </c>
      <c r="L12833" s="88" t="n">
        <v>201208</v>
      </c>
      <c r="M12833" s="88">
        <f>VLOOKUP($Q12833,매칭테이블!$F:$I,2,0)*K12833</f>
        <v/>
      </c>
      <c r="N12833" s="88">
        <f>M12833-M12833*VLOOKUP($Q12833,매칭테이블!$F:$I,3,0)</f>
        <v/>
      </c>
      <c r="O12833" s="88">
        <f>VLOOKUP($Q12833,매칭테이블!$F:$I,4,0)*K12833</f>
        <v/>
      </c>
      <c r="P12833" s="152">
        <f>M12833/1.1</f>
        <v/>
      </c>
      <c r="Q12833" s="88">
        <f>F12833&amp;E12833&amp;G12833&amp;L12833</f>
        <v/>
      </c>
    </row>
    <row r="12834">
      <c r="B12834" s="128" t="n">
        <v>44194</v>
      </c>
      <c r="C12834" s="88">
        <f>TEXT(B12834,"aaa")</f>
        <v/>
      </c>
      <c r="D12834" s="94" t="n"/>
      <c r="E12834" s="88">
        <f>INDEX(매칭테이블!C:D,MATCH(RD!G12834,매칭테이블!D:D,0),1)</f>
        <v/>
      </c>
      <c r="F12834" s="94" t="inlineStr">
        <is>
          <t>카페24</t>
        </is>
      </c>
      <c r="G12834" s="94" t="inlineStr">
        <is>
          <t>어성초 77% 패드옵션=어성초77토너1개+어성초77패드1개-30% off (무료배송)</t>
        </is>
      </c>
      <c r="K12834" s="94" t="n">
        <v>71</v>
      </c>
      <c r="L12834" s="88" t="n">
        <v>201208</v>
      </c>
      <c r="M12834" s="88">
        <f>VLOOKUP($Q12834,매칭테이블!$F:$I,2,0)*K12834</f>
        <v/>
      </c>
      <c r="N12834" s="88">
        <f>M12834-M12834*VLOOKUP($Q12834,매칭테이블!$F:$I,3,0)</f>
        <v/>
      </c>
      <c r="O12834" s="88">
        <f>VLOOKUP($Q12834,매칭테이블!$F:$I,4,0)*K12834</f>
        <v/>
      </c>
      <c r="P12834" s="152">
        <f>M12834/1.1</f>
        <v/>
      </c>
      <c r="Q12834" s="88">
        <f>F12834&amp;E12834&amp;G12834&amp;L12834</f>
        <v/>
      </c>
    </row>
    <row r="12835">
      <c r="B12835" s="128" t="n">
        <v>44194</v>
      </c>
      <c r="C12835" s="88">
        <f>TEXT(B12835,"aaa")</f>
        <v/>
      </c>
      <c r="D12835" s="94" t="n"/>
      <c r="E12835" s="88">
        <f>INDEX(매칭테이블!C:D,MATCH(RD!G12835,매칭테이블!D:D,0),1)</f>
        <v/>
      </c>
      <c r="F12835" s="94" t="inlineStr">
        <is>
          <t>카페24</t>
        </is>
      </c>
      <c r="G12835" s="94" t="inlineStr">
        <is>
          <t>어성초 78 수딩 크림</t>
        </is>
      </c>
      <c r="K12835" s="94" t="n">
        <v>12</v>
      </c>
      <c r="L12835" s="88" t="n">
        <v>201208</v>
      </c>
      <c r="M12835" s="88">
        <f>VLOOKUP($Q12835,매칭테이블!$F:$I,2,0)*K12835</f>
        <v/>
      </c>
      <c r="N12835" s="88">
        <f>M12835-M12835*VLOOKUP($Q12835,매칭테이블!$F:$I,3,0)</f>
        <v/>
      </c>
      <c r="O12835" s="88">
        <f>VLOOKUP($Q12835,매칭테이블!$F:$I,4,0)*K12835</f>
        <v/>
      </c>
      <c r="P12835" s="152">
        <f>M12835/1.1</f>
        <v/>
      </c>
      <c r="Q12835" s="88">
        <f>F12835&amp;E12835&amp;G12835&amp;L12835</f>
        <v/>
      </c>
    </row>
    <row r="12836">
      <c r="B12836" s="128" t="n">
        <v>44194</v>
      </c>
      <c r="C12836" s="88">
        <f>TEXT(B12836,"aaa")</f>
        <v/>
      </c>
      <c r="D12836" s="94" t="n"/>
      <c r="E12836" s="88">
        <f>INDEX(매칭테이블!C:D,MATCH(RD!G12836,매칭테이블!D:D,0),1)</f>
        <v/>
      </c>
      <c r="F12836" s="94" t="inlineStr">
        <is>
          <t>카페24</t>
        </is>
      </c>
      <c r="G12836" s="94" t="inlineStr">
        <is>
          <t>어성초 78 수딩 크림</t>
        </is>
      </c>
      <c r="K12836" s="94" t="n">
        <v>4</v>
      </c>
      <c r="L12836" s="88" t="n">
        <v>201208</v>
      </c>
      <c r="M12836" s="88">
        <f>VLOOKUP($Q12836,매칭테이블!$F:$I,2,0)*K12836</f>
        <v/>
      </c>
      <c r="N12836" s="88">
        <f>M12836-M12836*VLOOKUP($Q12836,매칭테이블!$F:$I,3,0)</f>
        <v/>
      </c>
      <c r="O12836" s="88">
        <f>VLOOKUP($Q12836,매칭테이블!$F:$I,4,0)*K12836</f>
        <v/>
      </c>
      <c r="P12836" s="152">
        <f>M12836/1.1</f>
        <v/>
      </c>
      <c r="Q12836" s="88">
        <f>F12836&amp;E12836&amp;G12836&amp;L12836</f>
        <v/>
      </c>
    </row>
    <row r="12837">
      <c r="B12837" s="128" t="n">
        <v>44194</v>
      </c>
      <c r="C12837" s="88">
        <f>TEXT(B12837,"aaa")</f>
        <v/>
      </c>
      <c r="D12837" s="94" t="n"/>
      <c r="E12837" s="88">
        <f>INDEX(매칭테이블!C:D,MATCH(RD!G12837,매칭테이블!D:D,0),1)</f>
        <v/>
      </c>
      <c r="F12837" s="94" t="inlineStr">
        <is>
          <t>카페24</t>
        </is>
      </c>
      <c r="G12837" s="94" t="inlineStr">
        <is>
          <t>어성초 80 수분 진정 앰플앰플=어성초 80 앰플 1개-15%off</t>
        </is>
      </c>
      <c r="K12837" s="94" t="n">
        <v>33</v>
      </c>
      <c r="L12837" s="88" t="n">
        <v>201208</v>
      </c>
      <c r="M12837" s="88">
        <f>VLOOKUP($Q12837,매칭테이블!$F:$I,2,0)*K12837</f>
        <v/>
      </c>
      <c r="N12837" s="88">
        <f>M12837-M12837*VLOOKUP($Q12837,매칭테이블!$F:$I,3,0)</f>
        <v/>
      </c>
      <c r="O12837" s="88">
        <f>VLOOKUP($Q12837,매칭테이블!$F:$I,4,0)*K12837</f>
        <v/>
      </c>
      <c r="P12837" s="152">
        <f>M12837/1.1</f>
        <v/>
      </c>
      <c r="Q12837" s="88">
        <f>F12837&amp;E12837&amp;G12837&amp;L12837</f>
        <v/>
      </c>
    </row>
    <row r="12838">
      <c r="B12838" s="128" t="n">
        <v>44194</v>
      </c>
      <c r="C12838" s="88">
        <f>TEXT(B12838,"aaa")</f>
        <v/>
      </c>
      <c r="D12838" s="94" t="n"/>
      <c r="E12838" s="88">
        <f>INDEX(매칭테이블!C:D,MATCH(RD!G12838,매칭테이블!D:D,0),1)</f>
        <v/>
      </c>
      <c r="F12838" s="94" t="inlineStr">
        <is>
          <t>카페24</t>
        </is>
      </c>
      <c r="G12838" s="94" t="inlineStr">
        <is>
          <t>어성초 80 수분 진정 앰플앰플=어성초 80 앰플 2개-27%off (무료배송)</t>
        </is>
      </c>
      <c r="K12838" s="94" t="n">
        <v>10</v>
      </c>
      <c r="L12838" s="88" t="n">
        <v>201208</v>
      </c>
      <c r="M12838" s="88">
        <f>VLOOKUP($Q12838,매칭테이블!$F:$I,2,0)*K12838</f>
        <v/>
      </c>
      <c r="N12838" s="88">
        <f>M12838-M12838*VLOOKUP($Q12838,매칭테이블!$F:$I,3,0)</f>
        <v/>
      </c>
      <c r="O12838" s="88">
        <f>VLOOKUP($Q12838,매칭테이블!$F:$I,4,0)*K12838</f>
        <v/>
      </c>
      <c r="P12838" s="152">
        <f>M12838/1.1</f>
        <v/>
      </c>
      <c r="Q12838" s="88">
        <f>F12838&amp;E12838&amp;G12838&amp;L12838</f>
        <v/>
      </c>
    </row>
    <row r="12839">
      <c r="B12839" s="128" t="n">
        <v>44194</v>
      </c>
      <c r="C12839" s="88">
        <f>TEXT(B12839,"aaa")</f>
        <v/>
      </c>
      <c r="D12839" s="94" t="n"/>
      <c r="E12839" s="88">
        <f>INDEX(매칭테이블!C:D,MATCH(RD!G12839,매칭테이블!D:D,0),1)</f>
        <v/>
      </c>
      <c r="F12839" s="94" t="inlineStr">
        <is>
          <t>카페24</t>
        </is>
      </c>
      <c r="G12839" s="94" t="inlineStr">
        <is>
          <t>어성초 80 수분 진정 앰플</t>
        </is>
      </c>
      <c r="K12839" s="94" t="n">
        <v>4</v>
      </c>
      <c r="L12839" s="88" t="n">
        <v>201208</v>
      </c>
      <c r="M12839" s="88">
        <f>VLOOKUP($Q12839,매칭테이블!$F:$I,2,0)*K12839</f>
        <v/>
      </c>
      <c r="N12839" s="88">
        <f>M12839-M12839*VLOOKUP($Q12839,매칭테이블!$F:$I,3,0)</f>
        <v/>
      </c>
      <c r="O12839" s="88">
        <f>VLOOKUP($Q12839,매칭테이블!$F:$I,4,0)*K12839</f>
        <v/>
      </c>
      <c r="P12839" s="152">
        <f>M12839/1.1</f>
        <v/>
      </c>
      <c r="Q12839" s="88">
        <f>F12839&amp;E12839&amp;G12839&amp;L12839</f>
        <v/>
      </c>
    </row>
    <row r="12840">
      <c r="B12840" s="128" t="n">
        <v>44194</v>
      </c>
      <c r="C12840" s="88">
        <f>TEXT(B12840,"aaa")</f>
        <v/>
      </c>
      <c r="D12840" s="94" t="n"/>
      <c r="E12840" s="88">
        <f>INDEX(매칭테이블!C:D,MATCH(RD!G12840,매칭테이블!D:D,0),1)</f>
        <v/>
      </c>
      <c r="F12840" s="94" t="inlineStr">
        <is>
          <t>카페24</t>
        </is>
      </c>
      <c r="G12840" s="94" t="inlineStr">
        <is>
          <t>어성초 80 앰플 30ml</t>
        </is>
      </c>
      <c r="K12840" s="94" t="n">
        <v>2</v>
      </c>
      <c r="L12840" s="88" t="n">
        <v>201208</v>
      </c>
      <c r="M12840" s="88">
        <f>VLOOKUP($Q12840,매칭테이블!$F:$I,2,0)*K12840</f>
        <v/>
      </c>
      <c r="N12840" s="88">
        <f>M12840-M12840*VLOOKUP($Q12840,매칭테이블!$F:$I,3,0)</f>
        <v/>
      </c>
      <c r="O12840" s="88">
        <f>VLOOKUP($Q12840,매칭테이블!$F:$I,4,0)*K12840</f>
        <v/>
      </c>
      <c r="P12840" s="152">
        <f>M12840/1.1</f>
        <v/>
      </c>
      <c r="Q12840" s="88">
        <f>F12840&amp;E12840&amp;G12840&amp;L12840</f>
        <v/>
      </c>
    </row>
    <row r="12841">
      <c r="B12841" s="128" t="n">
        <v>44194</v>
      </c>
      <c r="C12841" s="88">
        <f>TEXT(B12841,"aaa")</f>
        <v/>
      </c>
      <c r="D12841" s="94" t="n"/>
      <c r="E12841" s="88">
        <f>INDEX(매칭테이블!C:D,MATCH(RD!G12841,매칭테이블!D:D,0),1)</f>
        <v/>
      </c>
      <c r="F12841" s="94" t="inlineStr">
        <is>
          <t>카페24</t>
        </is>
      </c>
      <c r="G12841" s="94" t="inlineStr">
        <is>
          <t>어성초 아크네 바디워시옵션=어성초 아크네 바디워시 1개 -30% off</t>
        </is>
      </c>
      <c r="K12841" s="94" t="n">
        <v>5</v>
      </c>
      <c r="L12841" s="88" t="n">
        <v>201208</v>
      </c>
      <c r="M12841" s="88">
        <f>VLOOKUP($Q12841,매칭테이블!$F:$I,2,0)*K12841</f>
        <v/>
      </c>
      <c r="N12841" s="88">
        <f>M12841-M12841*VLOOKUP($Q12841,매칭테이블!$F:$I,3,0)</f>
        <v/>
      </c>
      <c r="O12841" s="88">
        <f>VLOOKUP($Q12841,매칭테이블!$F:$I,4,0)*K12841</f>
        <v/>
      </c>
      <c r="P12841" s="152">
        <f>M12841/1.1</f>
        <v/>
      </c>
      <c r="Q12841" s="88">
        <f>F12841&amp;E12841&amp;G12841&amp;L12841</f>
        <v/>
      </c>
    </row>
    <row r="12842">
      <c r="B12842" s="128" t="n">
        <v>44194</v>
      </c>
      <c r="C12842" s="88">
        <f>TEXT(B12842,"aaa")</f>
        <v/>
      </c>
      <c r="D12842" s="94" t="n"/>
      <c r="E12842" s="88">
        <f>INDEX(매칭테이블!C:D,MATCH(RD!G12842,매칭테이블!D:D,0),1)</f>
        <v/>
      </c>
      <c r="F12842" s="94" t="inlineStr">
        <is>
          <t>카페24</t>
        </is>
      </c>
      <c r="G12842" s="94" t="inlineStr">
        <is>
          <t>어성초 아크네 바디워시옵션=어성초 아크네 바디워시 2개 -35% off (무료배송)</t>
        </is>
      </c>
      <c r="K12842" s="94" t="n">
        <v>2</v>
      </c>
      <c r="L12842" s="88" t="n">
        <v>201208</v>
      </c>
      <c r="M12842" s="88">
        <f>VLOOKUP($Q12842,매칭테이블!$F:$I,2,0)*K12842</f>
        <v/>
      </c>
      <c r="N12842" s="88">
        <f>M12842-M12842*VLOOKUP($Q12842,매칭테이블!$F:$I,3,0)</f>
        <v/>
      </c>
      <c r="O12842" s="88">
        <f>VLOOKUP($Q12842,매칭테이블!$F:$I,4,0)*K12842</f>
        <v/>
      </c>
      <c r="P12842" s="152">
        <f>M12842/1.1</f>
        <v/>
      </c>
      <c r="Q12842" s="88">
        <f>F12842&amp;E12842&amp;G12842&amp;L12842</f>
        <v/>
      </c>
    </row>
    <row r="12843">
      <c r="B12843" s="128" t="n">
        <v>44194</v>
      </c>
      <c r="C12843" s="88">
        <f>TEXT(B12843,"aaa")</f>
        <v/>
      </c>
      <c r="D12843" s="94" t="n"/>
      <c r="E12843" s="88">
        <f>INDEX(매칭테이블!C:D,MATCH(RD!G12843,매칭테이블!D:D,0),1)</f>
        <v/>
      </c>
      <c r="F12843" s="94" t="inlineStr">
        <is>
          <t>카페24</t>
        </is>
      </c>
      <c r="G12843" s="94" t="inlineStr">
        <is>
          <t>어성초 약산성 클렌징폼클렌징폼=어성초 약산성 클렌징폼 1개 -19%off</t>
        </is>
      </c>
      <c r="K12843" s="94" t="n">
        <v>18</v>
      </c>
      <c r="L12843" s="88" t="n">
        <v>201208</v>
      </c>
      <c r="M12843" s="88">
        <f>VLOOKUP($Q12843,매칭테이블!$F:$I,2,0)*K12843</f>
        <v/>
      </c>
      <c r="N12843" s="88">
        <f>M12843-M12843*VLOOKUP($Q12843,매칭테이블!$F:$I,3,0)</f>
        <v/>
      </c>
      <c r="O12843" s="88">
        <f>VLOOKUP($Q12843,매칭테이블!$F:$I,4,0)*K12843</f>
        <v/>
      </c>
      <c r="P12843" s="152">
        <f>M12843/1.1</f>
        <v/>
      </c>
      <c r="Q12843" s="88">
        <f>F12843&amp;E12843&amp;G12843&amp;L12843</f>
        <v/>
      </c>
    </row>
    <row r="12844">
      <c r="B12844" s="128" t="n">
        <v>44194</v>
      </c>
      <c r="C12844" s="88">
        <f>TEXT(B12844,"aaa")</f>
        <v/>
      </c>
      <c r="D12844" s="94" t="n"/>
      <c r="E12844" s="88">
        <f>INDEX(매칭테이블!C:D,MATCH(RD!G12844,매칭테이블!D:D,0),1)</f>
        <v/>
      </c>
      <c r="F12844" s="94" t="inlineStr">
        <is>
          <t>카페24</t>
        </is>
      </c>
      <c r="G12844" s="94" t="inlineStr">
        <is>
          <t>어성초 약산성 클렌징폼클렌징폼=어성초 약산성 클렌징폼 2개 -25%off</t>
        </is>
      </c>
      <c r="K12844" s="94" t="n">
        <v>6</v>
      </c>
      <c r="L12844" s="88" t="n">
        <v>201208</v>
      </c>
      <c r="M12844" s="88">
        <f>VLOOKUP($Q12844,매칭테이블!$F:$I,2,0)*K12844</f>
        <v/>
      </c>
      <c r="N12844" s="88">
        <f>M12844-M12844*VLOOKUP($Q12844,매칭테이블!$F:$I,3,0)</f>
        <v/>
      </c>
      <c r="O12844" s="88">
        <f>VLOOKUP($Q12844,매칭테이블!$F:$I,4,0)*K12844</f>
        <v/>
      </c>
      <c r="P12844" s="152">
        <f>M12844/1.1</f>
        <v/>
      </c>
      <c r="Q12844" s="88">
        <f>F12844&amp;E12844&amp;G12844&amp;L12844</f>
        <v/>
      </c>
    </row>
    <row r="12845">
      <c r="B12845" s="128" t="n">
        <v>44194</v>
      </c>
      <c r="C12845" s="88">
        <f>TEXT(B12845,"aaa")</f>
        <v/>
      </c>
      <c r="D12845" s="94" t="n"/>
      <c r="E12845" s="88">
        <f>INDEX(매칭테이블!C:D,MATCH(RD!G12845,매칭테이블!D:D,0),1)</f>
        <v/>
      </c>
      <c r="F12845" s="94" t="inlineStr">
        <is>
          <t>카페24</t>
        </is>
      </c>
      <c r="G12845" s="94" t="inlineStr">
        <is>
          <t>어성초 약산성 클렌징폼클렌징폼=어성초 약산성 클렌징폼 3개 -31%off (무료배송)</t>
        </is>
      </c>
      <c r="K12845" s="94" t="n">
        <v>3</v>
      </c>
      <c r="L12845" s="88" t="n">
        <v>201208</v>
      </c>
      <c r="M12845" s="88">
        <f>VLOOKUP($Q12845,매칭테이블!$F:$I,2,0)*K12845</f>
        <v/>
      </c>
      <c r="N12845" s="88">
        <f>M12845-M12845*VLOOKUP($Q12845,매칭테이블!$F:$I,3,0)</f>
        <v/>
      </c>
      <c r="O12845" s="88">
        <f>VLOOKUP($Q12845,매칭테이블!$F:$I,4,0)*K12845</f>
        <v/>
      </c>
      <c r="P12845" s="152">
        <f>M12845/1.1</f>
        <v/>
      </c>
      <c r="Q12845" s="88">
        <f>F12845&amp;E12845&amp;G12845&amp;L12845</f>
        <v/>
      </c>
    </row>
    <row r="12846">
      <c r="B12846" s="128" t="n">
        <v>44194</v>
      </c>
      <c r="C12846" s="88">
        <f>TEXT(B12846,"aaa")</f>
        <v/>
      </c>
      <c r="D12846" s="94" t="n"/>
      <c r="E12846" s="88">
        <f>INDEX(매칭테이블!C:D,MATCH(RD!G12846,매칭테이블!D:D,0),1)</f>
        <v/>
      </c>
      <c r="F12846" s="94" t="inlineStr">
        <is>
          <t>카페24</t>
        </is>
      </c>
      <c r="G12846" s="94" t="inlineStr">
        <is>
          <t>어성초 크림마스크 나이트 솔루션옵션=어성초 크림마스크 나이트 솔루션 10장 (-50%)</t>
        </is>
      </c>
      <c r="K12846" s="94" t="n">
        <v>4</v>
      </c>
      <c r="L12846" s="88" t="n">
        <v>201208</v>
      </c>
      <c r="M12846" s="88">
        <f>VLOOKUP($Q12846,매칭테이블!$F:$I,2,0)*K12846</f>
        <v/>
      </c>
      <c r="N12846" s="88">
        <f>M12846-M12846*VLOOKUP($Q12846,매칭테이블!$F:$I,3,0)</f>
        <v/>
      </c>
      <c r="O12846" s="88">
        <f>VLOOKUP($Q12846,매칭테이블!$F:$I,4,0)*K12846</f>
        <v/>
      </c>
      <c r="P12846" s="152">
        <f>M12846/1.1</f>
        <v/>
      </c>
      <c r="Q12846" s="88">
        <f>F12846&amp;E12846&amp;G12846&amp;L12846</f>
        <v/>
      </c>
    </row>
    <row r="12847">
      <c r="B12847" s="128" t="n">
        <v>44194</v>
      </c>
      <c r="C12847" s="88">
        <f>TEXT(B12847,"aaa")</f>
        <v/>
      </c>
      <c r="D12847" s="94" t="n"/>
      <c r="E12847" s="88">
        <f>INDEX(매칭테이블!C:D,MATCH(RD!G12847,매칭테이블!D:D,0),1)</f>
        <v/>
      </c>
      <c r="F12847" s="94" t="inlineStr">
        <is>
          <t>카페24</t>
        </is>
      </c>
      <c r="G12847" s="94" t="inlineStr">
        <is>
          <t>촉촉 스킨팩 화장솜</t>
        </is>
      </c>
      <c r="K12847" s="94" t="n">
        <v>36</v>
      </c>
      <c r="L12847" s="88" t="n">
        <v>201208</v>
      </c>
      <c r="M12847" s="88">
        <f>VLOOKUP($Q12847,매칭테이블!$F:$I,2,0)*K12847</f>
        <v/>
      </c>
      <c r="N12847" s="88">
        <f>M12847-M12847*VLOOKUP($Q12847,매칭테이블!$F:$I,3,0)</f>
        <v/>
      </c>
      <c r="O12847" s="88">
        <f>VLOOKUP($Q12847,매칭테이블!$F:$I,4,0)*K12847</f>
        <v/>
      </c>
      <c r="P12847" s="152">
        <f>M12847/1.1</f>
        <v/>
      </c>
      <c r="Q12847" s="88">
        <f>F12847&amp;E12847&amp;G12847&amp;L12847</f>
        <v/>
      </c>
    </row>
    <row r="12848">
      <c r="B12848" s="128" t="n">
        <v>44194</v>
      </c>
      <c r="C12848" s="88">
        <f>TEXT(B12848,"aaa")</f>
        <v/>
      </c>
      <c r="D12848" s="94" t="n"/>
      <c r="E12848" s="88">
        <f>INDEX(매칭테이블!C:D,MATCH(RD!G12848,매칭테이블!D:D,0),1)</f>
        <v/>
      </c>
      <c r="F12848" s="94" t="inlineStr">
        <is>
          <t>카페24</t>
        </is>
      </c>
      <c r="G12848" s="94" t="inlineStr">
        <is>
          <t>촉촉 스킨팩 화장솜</t>
        </is>
      </c>
      <c r="K12848" s="94" t="n">
        <v>2</v>
      </c>
      <c r="L12848" s="88" t="n">
        <v>201208</v>
      </c>
      <c r="M12848" s="88">
        <f>VLOOKUP($Q12848,매칭테이블!$F:$I,2,0)*K12848</f>
        <v/>
      </c>
      <c r="N12848" s="88">
        <f>M12848-M12848*VLOOKUP($Q12848,매칭테이블!$F:$I,3,0)</f>
        <v/>
      </c>
      <c r="O12848" s="88">
        <f>VLOOKUP($Q12848,매칭테이블!$F:$I,4,0)*K12848</f>
        <v/>
      </c>
      <c r="P12848" s="152">
        <f>M12848/1.1</f>
        <v/>
      </c>
      <c r="Q12848" s="88">
        <f>F12848&amp;E12848&amp;G12848&amp;L12848</f>
        <v/>
      </c>
    </row>
    <row r="12849">
      <c r="B12849" s="128" t="n">
        <v>44195</v>
      </c>
      <c r="C12849" s="88">
        <f>TEXT(B12849,"aaa")</f>
        <v/>
      </c>
      <c r="E12849" s="88">
        <f>INDEX(매칭테이블!C:D,MATCH(RD!G12849,매칭테이블!D:D,0),1)</f>
        <v/>
      </c>
      <c r="F12849" s="94" t="inlineStr">
        <is>
          <t>스타일쉐어</t>
        </is>
      </c>
      <c r="G12849" s="94" t="inlineStr">
        <is>
          <t>아누아 어성초 77 토너 250ml</t>
        </is>
      </c>
      <c r="K12849" s="94" t="n">
        <v>3</v>
      </c>
      <c r="L12849" s="88" t="n">
        <v>201208</v>
      </c>
      <c r="M12849" s="88">
        <f>VLOOKUP($Q12849,매칭테이블!$F:$I,2,0)*K12849</f>
        <v/>
      </c>
      <c r="N12849" s="88">
        <f>M12849-M12849*VLOOKUP($Q12849,매칭테이블!$F:$I,3,0)</f>
        <v/>
      </c>
      <c r="O12849" s="88">
        <f>VLOOKUP($Q12849,매칭테이블!$F:$I,4,0)*K12849</f>
        <v/>
      </c>
      <c r="P12849" s="152">
        <f>M12849/1.1</f>
        <v/>
      </c>
      <c r="Q12849" s="88">
        <f>F12849&amp;E12849&amp;G12849&amp;L12849</f>
        <v/>
      </c>
    </row>
    <row r="12850">
      <c r="B12850" s="128" t="n">
        <v>44195</v>
      </c>
      <c r="C12850" s="88">
        <f>TEXT(B12850,"aaa")</f>
        <v/>
      </c>
      <c r="D12850" s="94" t="n"/>
      <c r="E12850" s="88">
        <f>INDEX(매칭테이블!C:D,MATCH(RD!G12850,매칭테이블!D:D,0),1)</f>
        <v/>
      </c>
      <c r="F12850" s="94" t="inlineStr">
        <is>
          <t>아누아 CS</t>
        </is>
      </c>
      <c r="G12850" s="94" t="inlineStr">
        <is>
          <t>5제로 무기자차 선크림 50ml</t>
        </is>
      </c>
      <c r="K12850" s="94" t="n">
        <v>2</v>
      </c>
      <c r="L12850" s="88" t="n">
        <v>201208</v>
      </c>
      <c r="M12850" s="88">
        <f>VLOOKUP($Q12850,매칭테이블!$F:$I,2,0)*K12850</f>
        <v/>
      </c>
      <c r="N12850" s="88">
        <f>M12850-M12850*VLOOKUP($Q12850,매칭테이블!$F:$I,3,0)</f>
        <v/>
      </c>
      <c r="O12850" s="88">
        <f>VLOOKUP($Q12850,매칭테이블!$F:$I,4,0)*K12850</f>
        <v/>
      </c>
      <c r="P12850" s="152">
        <f>M12850/1.1</f>
        <v/>
      </c>
      <c r="Q12850" s="88">
        <f>F12850&amp;E12850&amp;G12850&amp;L12850</f>
        <v/>
      </c>
    </row>
    <row r="12851">
      <c r="B12851" s="128" t="n">
        <v>44195</v>
      </c>
      <c r="C12851" s="88">
        <f>TEXT(B12851,"aaa")</f>
        <v/>
      </c>
      <c r="D12851" s="94" t="n"/>
      <c r="E12851" s="88">
        <f>INDEX(매칭테이블!C:D,MATCH(RD!G12851,매칭테이블!D:D,0),1)</f>
        <v/>
      </c>
      <c r="F12851" s="94" t="inlineStr">
        <is>
          <t>아누아 CS</t>
        </is>
      </c>
      <c r="G12851" s="94" t="inlineStr">
        <is>
          <t>어성초 77 토너 250ml</t>
        </is>
      </c>
      <c r="K12851" s="94" t="n">
        <v>6</v>
      </c>
      <c r="L12851" s="88" t="n">
        <v>201208</v>
      </c>
      <c r="M12851" s="88">
        <f>VLOOKUP($Q12851,매칭테이블!$F:$I,2,0)*K12851</f>
        <v/>
      </c>
      <c r="N12851" s="88">
        <f>M12851-M12851*VLOOKUP($Q12851,매칭테이블!$F:$I,3,0)</f>
        <v/>
      </c>
      <c r="O12851" s="88">
        <f>VLOOKUP($Q12851,매칭테이블!$F:$I,4,0)*K12851</f>
        <v/>
      </c>
      <c r="P12851" s="152">
        <f>M12851/1.1</f>
        <v/>
      </c>
      <c r="Q12851" s="88">
        <f>F12851&amp;E12851&amp;G12851&amp;L12851</f>
        <v/>
      </c>
    </row>
    <row r="12852">
      <c r="B12852" s="128" t="n">
        <v>44195</v>
      </c>
      <c r="C12852" s="88">
        <f>TEXT(B12852,"aaa")</f>
        <v/>
      </c>
      <c r="D12852" s="94" t="n"/>
      <c r="E12852" s="88">
        <f>INDEX(매칭테이블!C:D,MATCH(RD!G12852,매칭테이블!D:D,0),1)</f>
        <v/>
      </c>
      <c r="F12852" s="94" t="inlineStr">
        <is>
          <t>아누아 CS</t>
        </is>
      </c>
      <c r="G12852" s="94" t="inlineStr">
        <is>
          <t>어성초 클리어패드 70P</t>
        </is>
      </c>
      <c r="K12852" s="94" t="n">
        <v>2</v>
      </c>
      <c r="L12852" s="88" t="n">
        <v>201208</v>
      </c>
      <c r="M12852" s="88">
        <f>VLOOKUP($Q12852,매칭테이블!$F:$I,2,0)*K12852</f>
        <v/>
      </c>
      <c r="N12852" s="88">
        <f>M12852-M12852*VLOOKUP($Q12852,매칭테이블!$F:$I,3,0)</f>
        <v/>
      </c>
      <c r="O12852" s="88">
        <f>VLOOKUP($Q12852,매칭테이블!$F:$I,4,0)*K12852</f>
        <v/>
      </c>
      <c r="P12852" s="152">
        <f>M12852/1.1</f>
        <v/>
      </c>
      <c r="Q12852" s="88">
        <f>F12852&amp;E12852&amp;G12852&amp;L12852</f>
        <v/>
      </c>
    </row>
    <row r="12853">
      <c r="B12853" s="128" t="n">
        <v>44195</v>
      </c>
      <c r="C12853" s="88">
        <f>TEXT(B12853,"aaa")</f>
        <v/>
      </c>
      <c r="D12853" s="94" t="n"/>
      <c r="E12853" s="88">
        <f>INDEX(매칭테이블!C:D,MATCH(RD!G12853,매칭테이블!D:D,0),1)</f>
        <v/>
      </c>
      <c r="F12853" s="94" t="inlineStr">
        <is>
          <t>카페24</t>
        </is>
      </c>
      <c r="G12853" s="94" t="inlineStr">
        <is>
          <t>5 제로 무기자차 선크림옵션=5제로 무기자차 선크림 1개-20% off</t>
        </is>
      </c>
      <c r="K12853" s="94" t="n">
        <v>3</v>
      </c>
      <c r="L12853" s="88" t="n">
        <v>201208</v>
      </c>
      <c r="M12853" s="88">
        <f>VLOOKUP($Q12853,매칭테이블!$F:$I,2,0)*K12853</f>
        <v/>
      </c>
      <c r="N12853" s="88">
        <f>M12853-M12853*VLOOKUP($Q12853,매칭테이블!$F:$I,3,0)</f>
        <v/>
      </c>
      <c r="O12853" s="88">
        <f>VLOOKUP($Q12853,매칭테이블!$F:$I,4,0)*K12853</f>
        <v/>
      </c>
      <c r="P12853" s="152">
        <f>M12853/1.1</f>
        <v/>
      </c>
      <c r="Q12853" s="88">
        <f>F12853&amp;E12853&amp;G12853&amp;L12853</f>
        <v/>
      </c>
    </row>
    <row r="12854">
      <c r="B12854" s="128" t="n">
        <v>44195</v>
      </c>
      <c r="C12854" s="88">
        <f>TEXT(B12854,"aaa")</f>
        <v/>
      </c>
      <c r="D12854" s="94" t="n"/>
      <c r="E12854" s="88">
        <f>INDEX(매칭테이블!C:D,MATCH(RD!G12854,매칭테이블!D:D,0),1)</f>
        <v/>
      </c>
      <c r="F12854" s="94" t="inlineStr">
        <is>
          <t>카페24</t>
        </is>
      </c>
      <c r="G12854" s="94" t="inlineStr">
        <is>
          <t>[수분 보충 세트] 어성초 77 토너 + 어성초 70 로션옵션=어성초 77 토너 250ml + 어성초 70 로션 200ml -30%</t>
        </is>
      </c>
      <c r="K12854" s="94" t="n">
        <v>47</v>
      </c>
      <c r="L12854" s="88" t="n">
        <v>201208</v>
      </c>
      <c r="M12854" s="88">
        <f>VLOOKUP($Q12854,매칭테이블!$F:$I,2,0)*K12854</f>
        <v/>
      </c>
      <c r="N12854" s="88">
        <f>M12854-M12854*VLOOKUP($Q12854,매칭테이블!$F:$I,3,0)</f>
        <v/>
      </c>
      <c r="O12854" s="88">
        <f>VLOOKUP($Q12854,매칭테이블!$F:$I,4,0)*K12854</f>
        <v/>
      </c>
      <c r="P12854" s="152">
        <f>M12854/1.1</f>
        <v/>
      </c>
      <c r="Q12854" s="88">
        <f>F12854&amp;E12854&amp;G12854&amp;L12854</f>
        <v/>
      </c>
    </row>
    <row r="12855">
      <c r="B12855" s="128" t="n">
        <v>44195</v>
      </c>
      <c r="C12855" s="88">
        <f>TEXT(B12855,"aaa")</f>
        <v/>
      </c>
      <c r="D12855" s="94" t="n"/>
      <c r="E12855" s="88">
        <f>INDEX(매칭테이블!C:D,MATCH(RD!G12855,매칭테이블!D:D,0),1)</f>
        <v/>
      </c>
      <c r="F12855" s="94" t="inlineStr">
        <is>
          <t>카페24</t>
        </is>
      </c>
      <c r="G12855" s="94" t="inlineStr">
        <is>
          <t>[어성초 진정 패키지 세트] 대용량 토너 + 앰플 + 수딩 크림 + 마스크팩 10장</t>
        </is>
      </c>
      <c r="K12855" s="94" t="n">
        <v>4</v>
      </c>
      <c r="L12855" s="88" t="n">
        <v>201208</v>
      </c>
      <c r="M12855" s="88">
        <f>VLOOKUP($Q12855,매칭테이블!$F:$I,2,0)*K12855</f>
        <v/>
      </c>
      <c r="N12855" s="88">
        <f>M12855-M12855*VLOOKUP($Q12855,매칭테이블!$F:$I,3,0)</f>
        <v/>
      </c>
      <c r="O12855" s="88">
        <f>VLOOKUP($Q12855,매칭테이블!$F:$I,4,0)*K12855</f>
        <v/>
      </c>
      <c r="P12855" s="152">
        <f>M12855/1.1</f>
        <v/>
      </c>
      <c r="Q12855" s="88">
        <f>F12855&amp;E12855&amp;G12855&amp;L12855</f>
        <v/>
      </c>
    </row>
    <row r="12856">
      <c r="B12856" s="128" t="n">
        <v>44195</v>
      </c>
      <c r="C12856" s="88">
        <f>TEXT(B12856,"aaa")</f>
        <v/>
      </c>
      <c r="D12856" s="94" t="n"/>
      <c r="E12856" s="88">
        <f>INDEX(매칭테이블!C:D,MATCH(RD!G12856,매칭테이블!D:D,0),1)</f>
        <v/>
      </c>
      <c r="F12856" s="94" t="inlineStr">
        <is>
          <t>카페24</t>
        </is>
      </c>
      <c r="G12856" s="94" t="inlineStr">
        <is>
          <t>대용량 어성초 77 수딩 토너 500ml</t>
        </is>
      </c>
      <c r="K12856" s="94" t="n">
        <v>25</v>
      </c>
      <c r="L12856" s="88" t="n">
        <v>201208</v>
      </c>
      <c r="M12856" s="88">
        <f>VLOOKUP($Q12856,매칭테이블!$F:$I,2,0)*K12856</f>
        <v/>
      </c>
      <c r="N12856" s="88">
        <f>M12856-M12856*VLOOKUP($Q12856,매칭테이블!$F:$I,3,0)</f>
        <v/>
      </c>
      <c r="O12856" s="88">
        <f>VLOOKUP($Q12856,매칭테이블!$F:$I,4,0)*K12856</f>
        <v/>
      </c>
      <c r="P12856" s="152">
        <f>M12856/1.1</f>
        <v/>
      </c>
      <c r="Q12856" s="88">
        <f>F12856&amp;E12856&amp;G12856&amp;L12856</f>
        <v/>
      </c>
    </row>
    <row r="12857">
      <c r="B12857" s="128" t="n">
        <v>44195</v>
      </c>
      <c r="C12857" s="88">
        <f>TEXT(B12857,"aaa")</f>
        <v/>
      </c>
      <c r="D12857" s="94" t="n"/>
      <c r="E12857" s="88">
        <f>INDEX(매칭테이블!C:D,MATCH(RD!G12857,매칭테이블!D:D,0),1)</f>
        <v/>
      </c>
      <c r="F12857" s="94" t="inlineStr">
        <is>
          <t>카페24</t>
        </is>
      </c>
      <c r="G12857" s="94" t="inlineStr">
        <is>
          <t>대용량 어성초 77 토너 500ml</t>
        </is>
      </c>
      <c r="K12857" s="94" t="n">
        <v>3</v>
      </c>
      <c r="L12857" s="88" t="n">
        <v>201208</v>
      </c>
      <c r="M12857" s="88">
        <f>VLOOKUP($Q12857,매칭테이블!$F:$I,2,0)*K12857</f>
        <v/>
      </c>
      <c r="N12857" s="88">
        <f>M12857-M12857*VLOOKUP($Q12857,매칭테이블!$F:$I,3,0)</f>
        <v/>
      </c>
      <c r="O12857" s="88">
        <f>VLOOKUP($Q12857,매칭테이블!$F:$I,4,0)*K12857</f>
        <v/>
      </c>
      <c r="P12857" s="152">
        <f>M12857/1.1</f>
        <v/>
      </c>
      <c r="Q12857" s="88">
        <f>F12857&amp;E12857&amp;G12857&amp;L12857</f>
        <v/>
      </c>
    </row>
    <row r="12858">
      <c r="B12858" s="128" t="n">
        <v>44195</v>
      </c>
      <c r="C12858" s="88">
        <f>TEXT(B12858,"aaa")</f>
        <v/>
      </c>
      <c r="D12858" s="94" t="n"/>
      <c r="E12858" s="88">
        <f>INDEX(매칭테이블!C:D,MATCH(RD!G12858,매칭테이블!D:D,0),1)</f>
        <v/>
      </c>
      <c r="F12858" s="94" t="inlineStr">
        <is>
          <t>카페24</t>
        </is>
      </c>
      <c r="G12858" s="94" t="inlineStr">
        <is>
          <t>아누아 어성초 77 수딩 토너토너(필수)=어성초 77 토너 1개-20% off</t>
        </is>
      </c>
      <c r="K12858" s="94" t="n">
        <v>4</v>
      </c>
      <c r="L12858" s="88" t="n">
        <v>201208</v>
      </c>
      <c r="M12858" s="88">
        <f>VLOOKUP($Q12858,매칭테이블!$F:$I,2,0)*K12858</f>
        <v/>
      </c>
      <c r="N12858" s="88">
        <f>M12858-M12858*VLOOKUP($Q12858,매칭테이블!$F:$I,3,0)</f>
        <v/>
      </c>
      <c r="O12858" s="88">
        <f>VLOOKUP($Q12858,매칭테이블!$F:$I,4,0)*K12858</f>
        <v/>
      </c>
      <c r="P12858" s="152">
        <f>M12858/1.1</f>
        <v/>
      </c>
      <c r="Q12858" s="88">
        <f>F12858&amp;E12858&amp;G12858&amp;L12858</f>
        <v/>
      </c>
    </row>
    <row r="12859">
      <c r="B12859" s="128" t="n">
        <v>44195</v>
      </c>
      <c r="C12859" s="88">
        <f>TEXT(B12859,"aaa")</f>
        <v/>
      </c>
      <c r="D12859" s="94" t="n"/>
      <c r="E12859" s="88">
        <f>INDEX(매칭테이블!C:D,MATCH(RD!G12859,매칭테이블!D:D,0),1)</f>
        <v/>
      </c>
      <c r="F12859" s="94" t="inlineStr">
        <is>
          <t>카페24</t>
        </is>
      </c>
      <c r="G12859" s="94" t="inlineStr">
        <is>
          <t>아누아 어성초 77 수딩 토너토너(필수)=어성초 77 토너 2개-30% off (무료배송)</t>
        </is>
      </c>
      <c r="K12859" s="94" t="n">
        <v>1</v>
      </c>
      <c r="L12859" s="88" t="n">
        <v>201208</v>
      </c>
      <c r="M12859" s="88">
        <f>VLOOKUP($Q12859,매칭테이블!$F:$I,2,0)*K12859</f>
        <v/>
      </c>
      <c r="N12859" s="88">
        <f>M12859-M12859*VLOOKUP($Q12859,매칭테이블!$F:$I,3,0)</f>
        <v/>
      </c>
      <c r="O12859" s="88">
        <f>VLOOKUP($Q12859,매칭테이블!$F:$I,4,0)*K12859</f>
        <v/>
      </c>
      <c r="P12859" s="152">
        <f>M12859/1.1</f>
        <v/>
      </c>
      <c r="Q12859" s="88">
        <f>F12859&amp;E12859&amp;G12859&amp;L12859</f>
        <v/>
      </c>
    </row>
    <row r="12860">
      <c r="B12860" s="128" t="n">
        <v>44195</v>
      </c>
      <c r="C12860" s="88">
        <f>TEXT(B12860,"aaa")</f>
        <v/>
      </c>
      <c r="D12860" s="94" t="n"/>
      <c r="E12860" s="88">
        <f>INDEX(매칭테이블!C:D,MATCH(RD!G12860,매칭테이블!D:D,0),1)</f>
        <v/>
      </c>
      <c r="F12860" s="94" t="inlineStr">
        <is>
          <t>카페24</t>
        </is>
      </c>
      <c r="G12860" s="94" t="inlineStr">
        <is>
          <t>아누아 어성초 77 수딩 토너화장솜(선택)=촉촉 스킨팩 화장솜</t>
        </is>
      </c>
      <c r="K12860" s="94" t="n">
        <v>1</v>
      </c>
      <c r="L12860" s="88" t="n">
        <v>201208</v>
      </c>
      <c r="M12860" s="88">
        <f>VLOOKUP($Q12860,매칭테이블!$F:$I,2,0)*K12860</f>
        <v/>
      </c>
      <c r="N12860" s="88">
        <f>M12860-M12860*VLOOKUP($Q12860,매칭테이블!$F:$I,3,0)</f>
        <v/>
      </c>
      <c r="O12860" s="88">
        <f>VLOOKUP($Q12860,매칭테이블!$F:$I,4,0)*K12860</f>
        <v/>
      </c>
      <c r="P12860" s="152">
        <f>M12860/1.1</f>
        <v/>
      </c>
      <c r="Q12860" s="88">
        <f>F12860&amp;E12860&amp;G12860&amp;L12860</f>
        <v/>
      </c>
    </row>
    <row r="12861">
      <c r="B12861" s="128" t="n">
        <v>44195</v>
      </c>
      <c r="C12861" s="88">
        <f>TEXT(B12861,"aaa")</f>
        <v/>
      </c>
      <c r="D12861" s="94" t="n"/>
      <c r="E12861" s="88">
        <f>INDEX(매칭테이블!C:D,MATCH(RD!G12861,매칭테이블!D:D,0),1)</f>
        <v/>
      </c>
      <c r="F12861" s="94" t="inlineStr">
        <is>
          <t>카페24</t>
        </is>
      </c>
      <c r="G12861" s="94" t="inlineStr">
        <is>
          <t>어성초 70 데일리 릴리프 로션로션=어성초 70 데일리 릴리프 로션 1개 -20% off</t>
        </is>
      </c>
      <c r="K12861" s="94" t="n">
        <v>10</v>
      </c>
      <c r="L12861" s="88" t="n">
        <v>201208</v>
      </c>
      <c r="M12861" s="88">
        <f>VLOOKUP($Q12861,매칭테이블!$F:$I,2,0)*K12861</f>
        <v/>
      </c>
      <c r="N12861" s="88">
        <f>M12861-M12861*VLOOKUP($Q12861,매칭테이블!$F:$I,3,0)</f>
        <v/>
      </c>
      <c r="O12861" s="88">
        <f>VLOOKUP($Q12861,매칭테이블!$F:$I,4,0)*K12861</f>
        <v/>
      </c>
      <c r="P12861" s="152">
        <f>M12861/1.1</f>
        <v/>
      </c>
      <c r="Q12861" s="88">
        <f>F12861&amp;E12861&amp;G12861&amp;L12861</f>
        <v/>
      </c>
    </row>
    <row r="12862">
      <c r="B12862" s="128" t="n">
        <v>44195</v>
      </c>
      <c r="C12862" s="88">
        <f>TEXT(B12862,"aaa")</f>
        <v/>
      </c>
      <c r="D12862" s="94" t="n"/>
      <c r="E12862" s="88">
        <f>INDEX(매칭테이블!C:D,MATCH(RD!G12862,매칭테이블!D:D,0),1)</f>
        <v/>
      </c>
      <c r="F12862" s="94" t="inlineStr">
        <is>
          <t>카페24</t>
        </is>
      </c>
      <c r="G12862" s="94" t="inlineStr">
        <is>
          <t>어성초 70 데일리 릴리프 로션로션=어성초 70 데일리 릴리프 로션 2개 -30% off</t>
        </is>
      </c>
      <c r="K12862" s="94" t="n">
        <v>2</v>
      </c>
      <c r="L12862" s="88" t="n">
        <v>201208</v>
      </c>
      <c r="M12862" s="88">
        <f>VLOOKUP($Q12862,매칭테이블!$F:$I,2,0)*K12862</f>
        <v/>
      </c>
      <c r="N12862" s="88">
        <f>M12862-M12862*VLOOKUP($Q12862,매칭테이블!$F:$I,3,0)</f>
        <v/>
      </c>
      <c r="O12862" s="88">
        <f>VLOOKUP($Q12862,매칭테이블!$F:$I,4,0)*K12862</f>
        <v/>
      </c>
      <c r="P12862" s="152">
        <f>M12862/1.1</f>
        <v/>
      </c>
      <c r="Q12862" s="88">
        <f>F12862&amp;E12862&amp;G12862&amp;L12862</f>
        <v/>
      </c>
    </row>
    <row r="12863">
      <c r="B12863" s="128" t="n">
        <v>44195</v>
      </c>
      <c r="C12863" s="88">
        <f>TEXT(B12863,"aaa")</f>
        <v/>
      </c>
      <c r="D12863" s="94" t="n"/>
      <c r="E12863" s="88">
        <f>INDEX(매칭테이블!C:D,MATCH(RD!G12863,매칭테이블!D:D,0),1)</f>
        <v/>
      </c>
      <c r="F12863" s="94" t="inlineStr">
        <is>
          <t>카페24</t>
        </is>
      </c>
      <c r="G12863" s="94" t="inlineStr">
        <is>
          <t>어성초 70 데일리 릴리프 로션로션=어성초 77토너 + 어성초 70 로션 수분 보충 세트 -30% off</t>
        </is>
      </c>
      <c r="K12863" s="94" t="n">
        <v>3</v>
      </c>
      <c r="L12863" s="88" t="n">
        <v>201208</v>
      </c>
      <c r="M12863" s="88">
        <f>VLOOKUP($Q12863,매칭테이블!$F:$I,2,0)*K12863</f>
        <v/>
      </c>
      <c r="N12863" s="88">
        <f>M12863-M12863*VLOOKUP($Q12863,매칭테이블!$F:$I,3,0)</f>
        <v/>
      </c>
      <c r="O12863" s="88">
        <f>VLOOKUP($Q12863,매칭테이블!$F:$I,4,0)*K12863</f>
        <v/>
      </c>
      <c r="P12863" s="152">
        <f>M12863/1.1</f>
        <v/>
      </c>
      <c r="Q12863" s="88">
        <f>F12863&amp;E12863&amp;G12863&amp;L12863</f>
        <v/>
      </c>
    </row>
    <row r="12864">
      <c r="B12864" s="128" t="n">
        <v>44195</v>
      </c>
      <c r="C12864" s="88">
        <f>TEXT(B12864,"aaa")</f>
        <v/>
      </c>
      <c r="D12864" s="94" t="n"/>
      <c r="E12864" s="88">
        <f>INDEX(매칭테이블!C:D,MATCH(RD!G12864,매칭테이블!D:D,0),1)</f>
        <v/>
      </c>
      <c r="F12864" s="94" t="inlineStr">
        <is>
          <t>카페24</t>
        </is>
      </c>
      <c r="G12864" s="94" t="inlineStr">
        <is>
          <t>어성초 70 머드 크림 마스크옵션=어성초 70 머드 크림 마스크-20% off</t>
        </is>
      </c>
      <c r="K12864" s="94" t="n">
        <v>4</v>
      </c>
      <c r="L12864" s="88" t="n">
        <v>201208</v>
      </c>
      <c r="M12864" s="88">
        <f>VLOOKUP($Q12864,매칭테이블!$F:$I,2,0)*K12864</f>
        <v/>
      </c>
      <c r="N12864" s="88">
        <f>M12864-M12864*VLOOKUP($Q12864,매칭테이블!$F:$I,3,0)</f>
        <v/>
      </c>
      <c r="O12864" s="88">
        <f>VLOOKUP($Q12864,매칭테이블!$F:$I,4,0)*K12864</f>
        <v/>
      </c>
      <c r="P12864" s="152">
        <f>M12864/1.1</f>
        <v/>
      </c>
      <c r="Q12864" s="88">
        <f>F12864&amp;E12864&amp;G12864&amp;L12864</f>
        <v/>
      </c>
    </row>
    <row r="12865">
      <c r="B12865" s="128" t="n">
        <v>44195</v>
      </c>
      <c r="C12865" s="88">
        <f>TEXT(B12865,"aaa")</f>
        <v/>
      </c>
      <c r="D12865" s="94" t="n"/>
      <c r="E12865" s="88">
        <f>INDEX(매칭테이블!C:D,MATCH(RD!G12865,매칭테이블!D:D,0),1)</f>
        <v/>
      </c>
      <c r="F12865" s="94" t="inlineStr">
        <is>
          <t>카페24</t>
        </is>
      </c>
      <c r="G12865" s="94" t="inlineStr">
        <is>
          <t>어성초 70 머드 크림 마스크옵션=어성초 70 머드 크림 마스크 2개-30% off (무료배송)</t>
        </is>
      </c>
      <c r="K12865" s="94" t="n">
        <v>2</v>
      </c>
      <c r="L12865" s="88" t="n">
        <v>201208</v>
      </c>
      <c r="M12865" s="88">
        <f>VLOOKUP($Q12865,매칭테이블!$F:$I,2,0)*K12865</f>
        <v/>
      </c>
      <c r="N12865" s="88">
        <f>M12865-M12865*VLOOKUP($Q12865,매칭테이블!$F:$I,3,0)</f>
        <v/>
      </c>
      <c r="O12865" s="88">
        <f>VLOOKUP($Q12865,매칭테이블!$F:$I,4,0)*K12865</f>
        <v/>
      </c>
      <c r="P12865" s="152">
        <f>M12865/1.1</f>
        <v/>
      </c>
      <c r="Q12865" s="88">
        <f>F12865&amp;E12865&amp;G12865&amp;L12865</f>
        <v/>
      </c>
    </row>
    <row r="12866">
      <c r="B12866" s="128" t="n">
        <v>44195</v>
      </c>
      <c r="C12866" s="88">
        <f>TEXT(B12866,"aaa")</f>
        <v/>
      </c>
      <c r="D12866" s="94" t="n"/>
      <c r="E12866" s="88">
        <f>INDEX(매칭테이블!C:D,MATCH(RD!G12866,매칭테이블!D:D,0),1)</f>
        <v/>
      </c>
      <c r="F12866" s="94" t="inlineStr">
        <is>
          <t>카페24</t>
        </is>
      </c>
      <c r="G12866" s="94" t="inlineStr">
        <is>
          <t>어성초 70 인텐스 카밍 크림크림=어성초 70 인텐스 카밍 크림 1개 (-20%)</t>
        </is>
      </c>
      <c r="K12866" s="94" t="n">
        <v>1</v>
      </c>
      <c r="L12866" s="88" t="n">
        <v>201208</v>
      </c>
      <c r="M12866" s="88">
        <f>VLOOKUP($Q12866,매칭테이블!$F:$I,2,0)*K12866</f>
        <v/>
      </c>
      <c r="N12866" s="88">
        <f>M12866-M12866*VLOOKUP($Q12866,매칭테이블!$F:$I,3,0)</f>
        <v/>
      </c>
      <c r="O12866" s="88">
        <f>VLOOKUP($Q12866,매칭테이블!$F:$I,4,0)*K12866</f>
        <v/>
      </c>
      <c r="P12866" s="152">
        <f>M12866/1.1</f>
        <v/>
      </c>
      <c r="Q12866" s="88">
        <f>F12866&amp;E12866&amp;G12866&amp;L12866</f>
        <v/>
      </c>
    </row>
    <row r="12867">
      <c r="B12867" s="128" t="n">
        <v>44195</v>
      </c>
      <c r="C12867" s="88">
        <f>TEXT(B12867,"aaa")</f>
        <v/>
      </c>
      <c r="D12867" s="94" t="n"/>
      <c r="E12867" s="88">
        <f>INDEX(매칭테이블!C:D,MATCH(RD!G12867,매칭테이블!D:D,0),1)</f>
        <v/>
      </c>
      <c r="F12867" s="94" t="inlineStr">
        <is>
          <t>카페24</t>
        </is>
      </c>
      <c r="G12867" s="94" t="inlineStr">
        <is>
          <t>어성초 70 인텐스 카밍 크림크림=어성초 토너 250ml + 카밍 크림 50ml (-30%)</t>
        </is>
      </c>
      <c r="K12867" s="94" t="n">
        <v>1</v>
      </c>
      <c r="L12867" s="88" t="n">
        <v>201208</v>
      </c>
      <c r="M12867" s="88">
        <f>VLOOKUP($Q12867,매칭테이블!$F:$I,2,0)*K12867</f>
        <v/>
      </c>
      <c r="N12867" s="88">
        <f>M12867-M12867*VLOOKUP($Q12867,매칭테이블!$F:$I,3,0)</f>
        <v/>
      </c>
      <c r="O12867" s="88">
        <f>VLOOKUP($Q12867,매칭테이블!$F:$I,4,0)*K12867</f>
        <v/>
      </c>
      <c r="P12867" s="152">
        <f>M12867/1.1</f>
        <v/>
      </c>
      <c r="Q12867" s="88">
        <f>F12867&amp;E12867&amp;G12867&amp;L12867</f>
        <v/>
      </c>
    </row>
    <row r="12868">
      <c r="B12868" s="128" t="n">
        <v>44195</v>
      </c>
      <c r="C12868" s="88">
        <f>TEXT(B12868,"aaa")</f>
        <v/>
      </c>
      <c r="D12868" s="94" t="n"/>
      <c r="E12868" s="88">
        <f>INDEX(매칭테이블!C:D,MATCH(RD!G12868,매칭테이블!D:D,0),1)</f>
        <v/>
      </c>
      <c r="F12868" s="94" t="inlineStr">
        <is>
          <t>카페24</t>
        </is>
      </c>
      <c r="G12868" s="94" t="inlineStr">
        <is>
          <t>어성초 77 수딩 토너토너(필수)=어성초 77 토너 1개-20% off</t>
        </is>
      </c>
      <c r="K12868" s="94" t="n">
        <v>51</v>
      </c>
      <c r="L12868" s="88" t="n">
        <v>201208</v>
      </c>
      <c r="M12868" s="88">
        <f>VLOOKUP($Q12868,매칭테이블!$F:$I,2,0)*K12868</f>
        <v/>
      </c>
      <c r="N12868" s="88">
        <f>M12868-M12868*VLOOKUP($Q12868,매칭테이블!$F:$I,3,0)</f>
        <v/>
      </c>
      <c r="O12868" s="88">
        <f>VLOOKUP($Q12868,매칭테이블!$F:$I,4,0)*K12868</f>
        <v/>
      </c>
      <c r="P12868" s="152">
        <f>M12868/1.1</f>
        <v/>
      </c>
      <c r="Q12868" s="88">
        <f>F12868&amp;E12868&amp;G12868&amp;L12868</f>
        <v/>
      </c>
    </row>
    <row r="12869">
      <c r="B12869" s="128" t="n">
        <v>44195</v>
      </c>
      <c r="C12869" s="88">
        <f>TEXT(B12869,"aaa")</f>
        <v/>
      </c>
      <c r="D12869" s="94" t="n"/>
      <c r="E12869" s="88">
        <f>INDEX(매칭테이블!C:D,MATCH(RD!G12869,매칭테이블!D:D,0),1)</f>
        <v/>
      </c>
      <c r="F12869" s="94" t="inlineStr">
        <is>
          <t>카페24</t>
        </is>
      </c>
      <c r="G12869" s="94" t="inlineStr">
        <is>
          <t>어성초 77 수딩 토너토너(필수)=어성초 77 토너 2개-30% off (무료배송)</t>
        </is>
      </c>
      <c r="K12869" s="94" t="n">
        <v>19</v>
      </c>
      <c r="L12869" s="88" t="n">
        <v>201208</v>
      </c>
      <c r="M12869" s="88">
        <f>VLOOKUP($Q12869,매칭테이블!$F:$I,2,0)*K12869</f>
        <v/>
      </c>
      <c r="N12869" s="88">
        <f>M12869-M12869*VLOOKUP($Q12869,매칭테이블!$F:$I,3,0)</f>
        <v/>
      </c>
      <c r="O12869" s="88">
        <f>VLOOKUP($Q12869,매칭테이블!$F:$I,4,0)*K12869</f>
        <v/>
      </c>
      <c r="P12869" s="152">
        <f>M12869/1.1</f>
        <v/>
      </c>
      <c r="Q12869" s="88">
        <f>F12869&amp;E12869&amp;G12869&amp;L12869</f>
        <v/>
      </c>
    </row>
    <row r="12870">
      <c r="B12870" s="128" t="n">
        <v>44195</v>
      </c>
      <c r="C12870" s="88">
        <f>TEXT(B12870,"aaa")</f>
        <v/>
      </c>
      <c r="D12870" s="94" t="n"/>
      <c r="E12870" s="88">
        <f>INDEX(매칭테이블!C:D,MATCH(RD!G12870,매칭테이블!D:D,0),1)</f>
        <v/>
      </c>
      <c r="F12870" s="94" t="inlineStr">
        <is>
          <t>카페24</t>
        </is>
      </c>
      <c r="G12870" s="94" t="inlineStr">
        <is>
          <t>어성초 77 수딩 토너토너(필수)=어성초77토너1개 + 어성초77패드1개 -30% off (무료배송)</t>
        </is>
      </c>
      <c r="K12870" s="94" t="n">
        <v>22</v>
      </c>
      <c r="L12870" s="88" t="n">
        <v>201208</v>
      </c>
      <c r="M12870" s="88">
        <f>VLOOKUP($Q12870,매칭테이블!$F:$I,2,0)*K12870</f>
        <v/>
      </c>
      <c r="N12870" s="88">
        <f>M12870-M12870*VLOOKUP($Q12870,매칭테이블!$F:$I,3,0)</f>
        <v/>
      </c>
      <c r="O12870" s="88">
        <f>VLOOKUP($Q12870,매칭테이블!$F:$I,4,0)*K12870</f>
        <v/>
      </c>
      <c r="P12870" s="152">
        <f>M12870/1.1</f>
        <v/>
      </c>
      <c r="Q12870" s="88">
        <f>F12870&amp;E12870&amp;G12870&amp;L12870</f>
        <v/>
      </c>
    </row>
    <row r="12871">
      <c r="B12871" s="128" t="n">
        <v>44195</v>
      </c>
      <c r="C12871" s="88">
        <f>TEXT(B12871,"aaa")</f>
        <v/>
      </c>
      <c r="D12871" s="94" t="n"/>
      <c r="E12871" s="88">
        <f>INDEX(매칭테이블!C:D,MATCH(RD!G12871,매칭테이블!D:D,0),1)</f>
        <v/>
      </c>
      <c r="F12871" s="94" t="inlineStr">
        <is>
          <t>카페24</t>
        </is>
      </c>
      <c r="G12871" s="94" t="inlineStr">
        <is>
          <t>어성초 77 수딩 토너화장솜(선택)=촉촉 스킨팩 화장솜</t>
        </is>
      </c>
      <c r="K12871" s="94" t="n">
        <v>23</v>
      </c>
      <c r="L12871" s="88" t="n">
        <v>201208</v>
      </c>
      <c r="M12871" s="88">
        <f>VLOOKUP($Q12871,매칭테이블!$F:$I,2,0)*K12871</f>
        <v/>
      </c>
      <c r="N12871" s="88">
        <f>M12871-M12871*VLOOKUP($Q12871,매칭테이블!$F:$I,3,0)</f>
        <v/>
      </c>
      <c r="O12871" s="88">
        <f>VLOOKUP($Q12871,매칭테이블!$F:$I,4,0)*K12871</f>
        <v/>
      </c>
      <c r="P12871" s="152">
        <f>M12871/1.1</f>
        <v/>
      </c>
      <c r="Q12871" s="88">
        <f>F12871&amp;E12871&amp;G12871&amp;L12871</f>
        <v/>
      </c>
    </row>
    <row r="12872">
      <c r="B12872" s="128" t="n">
        <v>44195</v>
      </c>
      <c r="C12872" s="88">
        <f>TEXT(B12872,"aaa")</f>
        <v/>
      </c>
      <c r="D12872" s="94" t="n"/>
      <c r="E12872" s="88">
        <f>INDEX(매칭테이블!C:D,MATCH(RD!G12872,매칭테이블!D:D,0),1)</f>
        <v/>
      </c>
      <c r="F12872" s="94" t="inlineStr">
        <is>
          <t>카페24</t>
        </is>
      </c>
      <c r="G12872" s="94" t="inlineStr">
        <is>
          <t>어성초 77 수딩 토너토너(필수)=(대용량) 어성초 77 토너 500ml (무료배송)</t>
        </is>
      </c>
      <c r="K12872" s="94" t="n">
        <v>1</v>
      </c>
      <c r="L12872" s="88" t="n">
        <v>201208</v>
      </c>
      <c r="M12872" s="88">
        <f>VLOOKUP($Q12872,매칭테이블!$F:$I,2,0)*K12872</f>
        <v/>
      </c>
      <c r="N12872" s="88">
        <f>M12872-M12872*VLOOKUP($Q12872,매칭테이블!$F:$I,3,0)</f>
        <v/>
      </c>
      <c r="O12872" s="88">
        <f>VLOOKUP($Q12872,매칭테이블!$F:$I,4,0)*K12872</f>
        <v/>
      </c>
      <c r="P12872" s="152">
        <f>M12872/1.1</f>
        <v/>
      </c>
      <c r="Q12872" s="88">
        <f>F12872&amp;E12872&amp;G12872&amp;L12872</f>
        <v/>
      </c>
    </row>
    <row r="12873">
      <c r="B12873" s="128" t="n">
        <v>44195</v>
      </c>
      <c r="C12873" s="88">
        <f>TEXT(B12873,"aaa")</f>
        <v/>
      </c>
      <c r="D12873" s="94" t="n"/>
      <c r="E12873" s="88">
        <f>INDEX(매칭테이블!C:D,MATCH(RD!G12873,매칭테이블!D:D,0),1)</f>
        <v/>
      </c>
      <c r="F12873" s="94" t="inlineStr">
        <is>
          <t>카페24</t>
        </is>
      </c>
      <c r="G12873" s="94" t="inlineStr">
        <is>
          <t>어성초 77 진정 마스크옵션=어성초 77 진정 마스크팩 1장</t>
        </is>
      </c>
      <c r="K12873" s="94" t="n">
        <v>1</v>
      </c>
      <c r="L12873" s="88" t="n">
        <v>201208</v>
      </c>
      <c r="M12873" s="88">
        <f>VLOOKUP($Q12873,매칭테이블!$F:$I,2,0)*K12873</f>
        <v/>
      </c>
      <c r="N12873" s="88">
        <f>M12873-M12873*VLOOKUP($Q12873,매칭테이블!$F:$I,3,0)</f>
        <v/>
      </c>
      <c r="O12873" s="88">
        <f>VLOOKUP($Q12873,매칭테이블!$F:$I,4,0)*K12873</f>
        <v/>
      </c>
      <c r="P12873" s="152">
        <f>M12873/1.1</f>
        <v/>
      </c>
      <c r="Q12873" s="88">
        <f>F12873&amp;E12873&amp;G12873&amp;L12873</f>
        <v/>
      </c>
    </row>
    <row r="12874">
      <c r="B12874" s="128" t="n">
        <v>44195</v>
      </c>
      <c r="C12874" s="88">
        <f>TEXT(B12874,"aaa")</f>
        <v/>
      </c>
      <c r="D12874" s="94" t="n"/>
      <c r="E12874" s="88">
        <f>INDEX(매칭테이블!C:D,MATCH(RD!G12874,매칭테이블!D:D,0),1)</f>
        <v/>
      </c>
      <c r="F12874" s="94" t="inlineStr">
        <is>
          <t>카페24</t>
        </is>
      </c>
      <c r="G12874" s="94" t="inlineStr">
        <is>
          <t>어성초 77 진정 마스크옵션=어성초 77 진정 마스크팩 10장-50% off</t>
        </is>
      </c>
      <c r="K12874" s="94" t="n">
        <v>7</v>
      </c>
      <c r="L12874" s="88" t="n">
        <v>201208</v>
      </c>
      <c r="M12874" s="88">
        <f>VLOOKUP($Q12874,매칭테이블!$F:$I,2,0)*K12874</f>
        <v/>
      </c>
      <c r="N12874" s="88">
        <f>M12874-M12874*VLOOKUP($Q12874,매칭테이블!$F:$I,3,0)</f>
        <v/>
      </c>
      <c r="O12874" s="88">
        <f>VLOOKUP($Q12874,매칭테이블!$F:$I,4,0)*K12874</f>
        <v/>
      </c>
      <c r="P12874" s="152">
        <f>M12874/1.1</f>
        <v/>
      </c>
      <c r="Q12874" s="88">
        <f>F12874&amp;E12874&amp;G12874&amp;L12874</f>
        <v/>
      </c>
    </row>
    <row r="12875">
      <c r="B12875" s="128" t="n">
        <v>44195</v>
      </c>
      <c r="C12875" s="88">
        <f>TEXT(B12875,"aaa")</f>
        <v/>
      </c>
      <c r="D12875" s="94" t="n"/>
      <c r="E12875" s="88">
        <f>INDEX(매칭테이블!C:D,MATCH(RD!G12875,매칭테이블!D:D,0),1)</f>
        <v/>
      </c>
      <c r="F12875" s="94" t="inlineStr">
        <is>
          <t>카페24</t>
        </is>
      </c>
      <c r="G12875" s="94" t="inlineStr">
        <is>
          <t>어성초 77 클리어 패드옵션=어성초 77 클리어 패드 1개-20% off</t>
        </is>
      </c>
      <c r="K12875" s="94" t="n">
        <v>73</v>
      </c>
      <c r="L12875" s="88" t="n">
        <v>201208</v>
      </c>
      <c r="M12875" s="88">
        <f>VLOOKUP($Q12875,매칭테이블!$F:$I,2,0)*K12875</f>
        <v/>
      </c>
      <c r="N12875" s="88">
        <f>M12875-M12875*VLOOKUP($Q12875,매칭테이블!$F:$I,3,0)</f>
        <v/>
      </c>
      <c r="O12875" s="88">
        <f>VLOOKUP($Q12875,매칭테이블!$F:$I,4,0)*K12875</f>
        <v/>
      </c>
      <c r="P12875" s="152">
        <f>M12875/1.1</f>
        <v/>
      </c>
      <c r="Q12875" s="88">
        <f>F12875&amp;E12875&amp;G12875&amp;L12875</f>
        <v/>
      </c>
    </row>
    <row r="12876">
      <c r="B12876" s="128" t="n">
        <v>44195</v>
      </c>
      <c r="C12876" s="88">
        <f>TEXT(B12876,"aaa")</f>
        <v/>
      </c>
      <c r="D12876" s="94" t="n"/>
      <c r="E12876" s="88">
        <f>INDEX(매칭테이블!C:D,MATCH(RD!G12876,매칭테이블!D:D,0),1)</f>
        <v/>
      </c>
      <c r="F12876" s="94" t="inlineStr">
        <is>
          <t>카페24</t>
        </is>
      </c>
      <c r="G12876" s="94" t="inlineStr">
        <is>
          <t>어성초 77 클리어 패드옵션=어성초 77 클리어 패드 2개-30% off (무료배송)</t>
        </is>
      </c>
      <c r="K12876" s="94" t="n">
        <v>98</v>
      </c>
      <c r="L12876" s="88" t="n">
        <v>201208</v>
      </c>
      <c r="M12876" s="88">
        <f>VLOOKUP($Q12876,매칭테이블!$F:$I,2,0)*K12876</f>
        <v/>
      </c>
      <c r="N12876" s="88">
        <f>M12876-M12876*VLOOKUP($Q12876,매칭테이블!$F:$I,3,0)</f>
        <v/>
      </c>
      <c r="O12876" s="88">
        <f>VLOOKUP($Q12876,매칭테이블!$F:$I,4,0)*K12876</f>
        <v/>
      </c>
      <c r="P12876" s="152">
        <f>M12876/1.1</f>
        <v/>
      </c>
      <c r="Q12876" s="88">
        <f>F12876&amp;E12876&amp;G12876&amp;L12876</f>
        <v/>
      </c>
    </row>
    <row r="12877">
      <c r="B12877" s="128" t="n">
        <v>44195</v>
      </c>
      <c r="C12877" s="88">
        <f>TEXT(B12877,"aaa")</f>
        <v/>
      </c>
      <c r="D12877" s="94" t="n"/>
      <c r="E12877" s="88">
        <f>INDEX(매칭테이블!C:D,MATCH(RD!G12877,매칭테이블!D:D,0),1)</f>
        <v/>
      </c>
      <c r="F12877" s="94" t="inlineStr">
        <is>
          <t>카페24</t>
        </is>
      </c>
      <c r="G12877" s="94" t="inlineStr">
        <is>
          <t>어성초 77 클리어 패드옵션=어성초77토너1개+어성초77패드1개-30% off (무료배송)</t>
        </is>
      </c>
      <c r="K12877" s="94" t="n">
        <v>53</v>
      </c>
      <c r="L12877" s="88" t="n">
        <v>201208</v>
      </c>
      <c r="M12877" s="88">
        <f>VLOOKUP($Q12877,매칭테이블!$F:$I,2,0)*K12877</f>
        <v/>
      </c>
      <c r="N12877" s="88">
        <f>M12877-M12877*VLOOKUP($Q12877,매칭테이블!$F:$I,3,0)</f>
        <v/>
      </c>
      <c r="O12877" s="88">
        <f>VLOOKUP($Q12877,매칭테이블!$F:$I,4,0)*K12877</f>
        <v/>
      </c>
      <c r="P12877" s="152">
        <f>M12877/1.1</f>
        <v/>
      </c>
      <c r="Q12877" s="88">
        <f>F12877&amp;E12877&amp;G12877&amp;L12877</f>
        <v/>
      </c>
    </row>
    <row r="12878">
      <c r="B12878" s="128" t="n">
        <v>44195</v>
      </c>
      <c r="C12878" s="88">
        <f>TEXT(B12878,"aaa")</f>
        <v/>
      </c>
      <c r="D12878" s="94" t="n"/>
      <c r="E12878" s="88">
        <f>INDEX(매칭테이블!C:D,MATCH(RD!G12878,매칭테이블!D:D,0),1)</f>
        <v/>
      </c>
      <c r="F12878" s="94" t="inlineStr">
        <is>
          <t>카페24</t>
        </is>
      </c>
      <c r="G12878" s="94" t="inlineStr">
        <is>
          <t>어성초 77 토너토너(필수)=어성초 77 토너 1개-20% off</t>
        </is>
      </c>
      <c r="K12878" s="94" t="n">
        <v>1</v>
      </c>
      <c r="L12878" s="88" t="n">
        <v>201208</v>
      </c>
      <c r="M12878" s="88">
        <f>VLOOKUP($Q12878,매칭테이블!$F:$I,2,0)*K12878</f>
        <v/>
      </c>
      <c r="N12878" s="88">
        <f>M12878-M12878*VLOOKUP($Q12878,매칭테이블!$F:$I,3,0)</f>
        <v/>
      </c>
      <c r="O12878" s="88">
        <f>VLOOKUP($Q12878,매칭테이블!$F:$I,4,0)*K12878</f>
        <v/>
      </c>
      <c r="P12878" s="152">
        <f>M12878/1.1</f>
        <v/>
      </c>
      <c r="Q12878" s="88">
        <f>F12878&amp;E12878&amp;G12878&amp;L12878</f>
        <v/>
      </c>
    </row>
    <row r="12879">
      <c r="B12879" s="128" t="n">
        <v>44195</v>
      </c>
      <c r="C12879" s="88">
        <f>TEXT(B12879,"aaa")</f>
        <v/>
      </c>
      <c r="D12879" s="94" t="n"/>
      <c r="E12879" s="88">
        <f>INDEX(매칭테이블!C:D,MATCH(RD!G12879,매칭테이블!D:D,0),1)</f>
        <v/>
      </c>
      <c r="F12879" s="94" t="inlineStr">
        <is>
          <t>카페24</t>
        </is>
      </c>
      <c r="G12879" s="94" t="inlineStr">
        <is>
          <t>어성초 77 토너화장솜(선택)=촉촉 스킨팩 화장솜</t>
        </is>
      </c>
      <c r="K12879" s="94" t="n">
        <v>1</v>
      </c>
      <c r="L12879" s="88" t="n">
        <v>201208</v>
      </c>
      <c r="M12879" s="88">
        <f>VLOOKUP($Q12879,매칭테이블!$F:$I,2,0)*K12879</f>
        <v/>
      </c>
      <c r="N12879" s="88">
        <f>M12879-M12879*VLOOKUP($Q12879,매칭테이블!$F:$I,3,0)</f>
        <v/>
      </c>
      <c r="O12879" s="88">
        <f>VLOOKUP($Q12879,매칭테이블!$F:$I,4,0)*K12879</f>
        <v/>
      </c>
      <c r="P12879" s="152">
        <f>M12879/1.1</f>
        <v/>
      </c>
      <c r="Q12879" s="88">
        <f>F12879&amp;E12879&amp;G12879&amp;L12879</f>
        <v/>
      </c>
    </row>
    <row r="12880">
      <c r="B12880" s="128" t="n">
        <v>44195</v>
      </c>
      <c r="C12880" s="88">
        <f>TEXT(B12880,"aaa")</f>
        <v/>
      </c>
      <c r="D12880" s="94" t="n"/>
      <c r="E12880" s="88">
        <f>INDEX(매칭테이블!C:D,MATCH(RD!G12880,매칭테이블!D:D,0),1)</f>
        <v/>
      </c>
      <c r="F12880" s="94" t="inlineStr">
        <is>
          <t>카페24</t>
        </is>
      </c>
      <c r="G12880" s="94" t="inlineStr">
        <is>
          <t>어성초 77 포어 클리어 패드옵션=어성초 77 클리어 패드 1개-20% off</t>
        </is>
      </c>
      <c r="K12880" s="94" t="n">
        <v>6</v>
      </c>
      <c r="L12880" s="88" t="n">
        <v>201208</v>
      </c>
      <c r="M12880" s="88">
        <f>VLOOKUP($Q12880,매칭테이블!$F:$I,2,0)*K12880</f>
        <v/>
      </c>
      <c r="N12880" s="88">
        <f>M12880-M12880*VLOOKUP($Q12880,매칭테이블!$F:$I,3,0)</f>
        <v/>
      </c>
      <c r="O12880" s="88">
        <f>VLOOKUP($Q12880,매칭테이블!$F:$I,4,0)*K12880</f>
        <v/>
      </c>
      <c r="P12880" s="152">
        <f>M12880/1.1</f>
        <v/>
      </c>
      <c r="Q12880" s="88">
        <f>F12880&amp;E12880&amp;G12880&amp;L12880</f>
        <v/>
      </c>
    </row>
    <row r="12881">
      <c r="B12881" s="128" t="n">
        <v>44195</v>
      </c>
      <c r="C12881" s="88">
        <f>TEXT(B12881,"aaa")</f>
        <v/>
      </c>
      <c r="D12881" s="94" t="n"/>
      <c r="E12881" s="88">
        <f>INDEX(매칭테이블!C:D,MATCH(RD!G12881,매칭테이블!D:D,0),1)</f>
        <v/>
      </c>
      <c r="F12881" s="94" t="inlineStr">
        <is>
          <t>카페24</t>
        </is>
      </c>
      <c r="G12881" s="94" t="inlineStr">
        <is>
          <t>어성초 77 포어 클리어 패드옵션=어성초 77 클리어 패드 2개-30% off (무료배송)</t>
        </is>
      </c>
      <c r="K12881" s="94" t="n">
        <v>12</v>
      </c>
      <c r="L12881" s="88" t="n">
        <v>201208</v>
      </c>
      <c r="M12881" s="88">
        <f>VLOOKUP($Q12881,매칭테이블!$F:$I,2,0)*K12881</f>
        <v/>
      </c>
      <c r="N12881" s="88">
        <f>M12881-M12881*VLOOKUP($Q12881,매칭테이블!$F:$I,3,0)</f>
        <v/>
      </c>
      <c r="O12881" s="88">
        <f>VLOOKUP($Q12881,매칭테이블!$F:$I,4,0)*K12881</f>
        <v/>
      </c>
      <c r="P12881" s="152">
        <f>M12881/1.1</f>
        <v/>
      </c>
      <c r="Q12881" s="88">
        <f>F12881&amp;E12881&amp;G12881&amp;L12881</f>
        <v/>
      </c>
    </row>
    <row r="12882">
      <c r="B12882" s="128" t="n">
        <v>44195</v>
      </c>
      <c r="C12882" s="88">
        <f>TEXT(B12882,"aaa")</f>
        <v/>
      </c>
      <c r="D12882" s="94" t="n"/>
      <c r="E12882" s="88">
        <f>INDEX(매칭테이블!C:D,MATCH(RD!G12882,매칭테이블!D:D,0),1)</f>
        <v/>
      </c>
      <c r="F12882" s="94" t="inlineStr">
        <is>
          <t>카페24</t>
        </is>
      </c>
      <c r="G12882" s="94" t="inlineStr">
        <is>
          <t>어성초 77 포어 클리어 패드옵션=어성초77토너1개+어성초77패드1개-30% off (무료배송)</t>
        </is>
      </c>
      <c r="K12882" s="94" t="n">
        <v>4</v>
      </c>
      <c r="L12882" s="88" t="n">
        <v>201208</v>
      </c>
      <c r="M12882" s="88">
        <f>VLOOKUP($Q12882,매칭테이블!$F:$I,2,0)*K12882</f>
        <v/>
      </c>
      <c r="N12882" s="88">
        <f>M12882-M12882*VLOOKUP($Q12882,매칭테이블!$F:$I,3,0)</f>
        <v/>
      </c>
      <c r="O12882" s="88">
        <f>VLOOKUP($Q12882,매칭테이블!$F:$I,4,0)*K12882</f>
        <v/>
      </c>
      <c r="P12882" s="152">
        <f>M12882/1.1</f>
        <v/>
      </c>
      <c r="Q12882" s="88">
        <f>F12882&amp;E12882&amp;G12882&amp;L12882</f>
        <v/>
      </c>
    </row>
    <row r="12883">
      <c r="B12883" s="128" t="n">
        <v>44195</v>
      </c>
      <c r="C12883" s="88">
        <f>TEXT(B12883,"aaa")</f>
        <v/>
      </c>
      <c r="D12883" s="94" t="n"/>
      <c r="E12883" s="88">
        <f>INDEX(매칭테이블!C:D,MATCH(RD!G12883,매칭테이블!D:D,0),1)</f>
        <v/>
      </c>
      <c r="F12883" s="94" t="inlineStr">
        <is>
          <t>카페24</t>
        </is>
      </c>
      <c r="G12883" s="94" t="inlineStr">
        <is>
          <t>어성초 77% 패드옵션=어성초 77 클리어 패드 1개-20% off</t>
        </is>
      </c>
      <c r="K12883" s="94" t="n">
        <v>95</v>
      </c>
      <c r="L12883" s="88" t="n">
        <v>201208</v>
      </c>
      <c r="M12883" s="88">
        <f>VLOOKUP($Q12883,매칭테이블!$F:$I,2,0)*K12883</f>
        <v/>
      </c>
      <c r="N12883" s="88">
        <f>M12883-M12883*VLOOKUP($Q12883,매칭테이블!$F:$I,3,0)</f>
        <v/>
      </c>
      <c r="O12883" s="88">
        <f>VLOOKUP($Q12883,매칭테이블!$F:$I,4,0)*K12883</f>
        <v/>
      </c>
      <c r="P12883" s="152">
        <f>M12883/1.1</f>
        <v/>
      </c>
      <c r="Q12883" s="88">
        <f>F12883&amp;E12883&amp;G12883&amp;L12883</f>
        <v/>
      </c>
    </row>
    <row r="12884">
      <c r="B12884" s="128" t="n">
        <v>44195</v>
      </c>
      <c r="C12884" s="88">
        <f>TEXT(B12884,"aaa")</f>
        <v/>
      </c>
      <c r="D12884" s="94" t="n"/>
      <c r="E12884" s="88">
        <f>INDEX(매칭테이블!C:D,MATCH(RD!G12884,매칭테이블!D:D,0),1)</f>
        <v/>
      </c>
      <c r="F12884" s="94" t="inlineStr">
        <is>
          <t>카페24</t>
        </is>
      </c>
      <c r="G12884" s="94" t="inlineStr">
        <is>
          <t>어성초 77% 패드옵션=어성초 77 클리어 패드 2개-30% off (무료배송)</t>
        </is>
      </c>
      <c r="K12884" s="94" t="n">
        <v>97</v>
      </c>
      <c r="L12884" s="88" t="n">
        <v>201208</v>
      </c>
      <c r="M12884" s="88">
        <f>VLOOKUP($Q12884,매칭테이블!$F:$I,2,0)*K12884</f>
        <v/>
      </c>
      <c r="N12884" s="88">
        <f>M12884-M12884*VLOOKUP($Q12884,매칭테이블!$F:$I,3,0)</f>
        <v/>
      </c>
      <c r="O12884" s="88">
        <f>VLOOKUP($Q12884,매칭테이블!$F:$I,4,0)*K12884</f>
        <v/>
      </c>
      <c r="P12884" s="152">
        <f>M12884/1.1</f>
        <v/>
      </c>
      <c r="Q12884" s="88">
        <f>F12884&amp;E12884&amp;G12884&amp;L12884</f>
        <v/>
      </c>
    </row>
    <row r="12885">
      <c r="B12885" s="128" t="n">
        <v>44195</v>
      </c>
      <c r="C12885" s="88">
        <f>TEXT(B12885,"aaa")</f>
        <v/>
      </c>
      <c r="D12885" s="94" t="n"/>
      <c r="E12885" s="88">
        <f>INDEX(매칭테이블!C:D,MATCH(RD!G12885,매칭테이블!D:D,0),1)</f>
        <v/>
      </c>
      <c r="F12885" s="94" t="inlineStr">
        <is>
          <t>카페24</t>
        </is>
      </c>
      <c r="G12885" s="94" t="inlineStr">
        <is>
          <t>어성초 77% 패드옵션=어성초77토너1개+어성초77패드1개-30% off (무료배송)</t>
        </is>
      </c>
      <c r="K12885" s="94" t="n">
        <v>48</v>
      </c>
      <c r="L12885" s="88" t="n">
        <v>201208</v>
      </c>
      <c r="M12885" s="88">
        <f>VLOOKUP($Q12885,매칭테이블!$F:$I,2,0)*K12885</f>
        <v/>
      </c>
      <c r="N12885" s="88">
        <f>M12885-M12885*VLOOKUP($Q12885,매칭테이블!$F:$I,3,0)</f>
        <v/>
      </c>
      <c r="O12885" s="88">
        <f>VLOOKUP($Q12885,매칭테이블!$F:$I,4,0)*K12885</f>
        <v/>
      </c>
      <c r="P12885" s="152">
        <f>M12885/1.1</f>
        <v/>
      </c>
      <c r="Q12885" s="88">
        <f>F12885&amp;E12885&amp;G12885&amp;L12885</f>
        <v/>
      </c>
    </row>
    <row r="12886">
      <c r="B12886" s="128" t="n">
        <v>44195</v>
      </c>
      <c r="C12886" s="88">
        <f>TEXT(B12886,"aaa")</f>
        <v/>
      </c>
      <c r="D12886" s="94" t="n"/>
      <c r="E12886" s="88">
        <f>INDEX(매칭테이블!C:D,MATCH(RD!G12886,매칭테이블!D:D,0),1)</f>
        <v/>
      </c>
      <c r="F12886" s="94" t="inlineStr">
        <is>
          <t>카페24</t>
        </is>
      </c>
      <c r="G12886" s="94" t="inlineStr">
        <is>
          <t>어성초 78 수딩 크림</t>
        </is>
      </c>
      <c r="K12886" s="94" t="n">
        <v>8</v>
      </c>
      <c r="L12886" s="88" t="n">
        <v>201208</v>
      </c>
      <c r="M12886" s="88">
        <f>VLOOKUP($Q12886,매칭테이블!$F:$I,2,0)*K12886</f>
        <v/>
      </c>
      <c r="N12886" s="88">
        <f>M12886-M12886*VLOOKUP($Q12886,매칭테이블!$F:$I,3,0)</f>
        <v/>
      </c>
      <c r="O12886" s="88">
        <f>VLOOKUP($Q12886,매칭테이블!$F:$I,4,0)*K12886</f>
        <v/>
      </c>
      <c r="P12886" s="152">
        <f>M12886/1.1</f>
        <v/>
      </c>
      <c r="Q12886" s="88">
        <f>F12886&amp;E12886&amp;G12886&amp;L12886</f>
        <v/>
      </c>
    </row>
    <row r="12887">
      <c r="B12887" s="128" t="n">
        <v>44195</v>
      </c>
      <c r="C12887" s="88">
        <f>TEXT(B12887,"aaa")</f>
        <v/>
      </c>
      <c r="D12887" s="94" t="n"/>
      <c r="E12887" s="88">
        <f>INDEX(매칭테이블!C:D,MATCH(RD!G12887,매칭테이블!D:D,0),1)</f>
        <v/>
      </c>
      <c r="F12887" s="94" t="inlineStr">
        <is>
          <t>카페24</t>
        </is>
      </c>
      <c r="G12887" s="94" t="inlineStr">
        <is>
          <t>어성초 78 수딩 크림</t>
        </is>
      </c>
      <c r="K12887" s="94" t="n">
        <v>5</v>
      </c>
      <c r="L12887" s="88" t="n">
        <v>201208</v>
      </c>
      <c r="M12887" s="88">
        <f>VLOOKUP($Q12887,매칭테이블!$F:$I,2,0)*K12887</f>
        <v/>
      </c>
      <c r="N12887" s="88">
        <f>M12887-M12887*VLOOKUP($Q12887,매칭테이블!$F:$I,3,0)</f>
        <v/>
      </c>
      <c r="O12887" s="88">
        <f>VLOOKUP($Q12887,매칭테이블!$F:$I,4,0)*K12887</f>
        <v/>
      </c>
      <c r="P12887" s="152">
        <f>M12887/1.1</f>
        <v/>
      </c>
      <c r="Q12887" s="88">
        <f>F12887&amp;E12887&amp;G12887&amp;L12887</f>
        <v/>
      </c>
    </row>
    <row r="12888">
      <c r="B12888" s="128" t="n">
        <v>44195</v>
      </c>
      <c r="C12888" s="88">
        <f>TEXT(B12888,"aaa")</f>
        <v/>
      </c>
      <c r="D12888" s="94" t="n"/>
      <c r="E12888" s="88">
        <f>INDEX(매칭테이블!C:D,MATCH(RD!G12888,매칭테이블!D:D,0),1)</f>
        <v/>
      </c>
      <c r="F12888" s="94" t="inlineStr">
        <is>
          <t>카페24</t>
        </is>
      </c>
      <c r="G12888" s="94" t="inlineStr">
        <is>
          <t>어성초 80 수분 진정 앰플앰플=어성초 80 앰플 1개-15%off</t>
        </is>
      </c>
      <c r="K12888" s="94" t="n">
        <v>23</v>
      </c>
      <c r="L12888" s="88" t="n">
        <v>201208</v>
      </c>
      <c r="M12888" s="88">
        <f>VLOOKUP($Q12888,매칭테이블!$F:$I,2,0)*K12888</f>
        <v/>
      </c>
      <c r="N12888" s="88">
        <f>M12888-M12888*VLOOKUP($Q12888,매칭테이블!$F:$I,3,0)</f>
        <v/>
      </c>
      <c r="O12888" s="88">
        <f>VLOOKUP($Q12888,매칭테이블!$F:$I,4,0)*K12888</f>
        <v/>
      </c>
      <c r="P12888" s="152">
        <f>M12888/1.1</f>
        <v/>
      </c>
      <c r="Q12888" s="88">
        <f>F12888&amp;E12888&amp;G12888&amp;L12888</f>
        <v/>
      </c>
    </row>
    <row r="12889">
      <c r="B12889" s="128" t="n">
        <v>44195</v>
      </c>
      <c r="C12889" s="88">
        <f>TEXT(B12889,"aaa")</f>
        <v/>
      </c>
      <c r="D12889" s="94" t="n"/>
      <c r="E12889" s="88">
        <f>INDEX(매칭테이블!C:D,MATCH(RD!G12889,매칭테이블!D:D,0),1)</f>
        <v/>
      </c>
      <c r="F12889" s="94" t="inlineStr">
        <is>
          <t>카페24</t>
        </is>
      </c>
      <c r="G12889" s="94" t="inlineStr">
        <is>
          <t>어성초 80 수분 진정 앰플앰플=어성초 80 앰플 2개-27%off (무료배송)</t>
        </is>
      </c>
      <c r="K12889" s="94" t="n">
        <v>4</v>
      </c>
      <c r="L12889" s="88" t="n">
        <v>201208</v>
      </c>
      <c r="M12889" s="88">
        <f>VLOOKUP($Q12889,매칭테이블!$F:$I,2,0)*K12889</f>
        <v/>
      </c>
      <c r="N12889" s="88">
        <f>M12889-M12889*VLOOKUP($Q12889,매칭테이블!$F:$I,3,0)</f>
        <v/>
      </c>
      <c r="O12889" s="88">
        <f>VLOOKUP($Q12889,매칭테이블!$F:$I,4,0)*K12889</f>
        <v/>
      </c>
      <c r="P12889" s="152">
        <f>M12889/1.1</f>
        <v/>
      </c>
      <c r="Q12889" s="88">
        <f>F12889&amp;E12889&amp;G12889&amp;L12889</f>
        <v/>
      </c>
    </row>
    <row r="12890">
      <c r="B12890" s="128" t="n">
        <v>44195</v>
      </c>
      <c r="C12890" s="88">
        <f>TEXT(B12890,"aaa")</f>
        <v/>
      </c>
      <c r="D12890" s="94" t="n"/>
      <c r="E12890" s="88">
        <f>INDEX(매칭테이블!C:D,MATCH(RD!G12890,매칭테이블!D:D,0),1)</f>
        <v/>
      </c>
      <c r="F12890" s="94" t="inlineStr">
        <is>
          <t>카페24</t>
        </is>
      </c>
      <c r="G12890" s="94" t="inlineStr">
        <is>
          <t>어성초 80 수분 진정 앰플</t>
        </is>
      </c>
      <c r="K12890" s="94" t="n">
        <v>9</v>
      </c>
      <c r="L12890" s="88" t="n">
        <v>201208</v>
      </c>
      <c r="M12890" s="88">
        <f>VLOOKUP($Q12890,매칭테이블!$F:$I,2,0)*K12890</f>
        <v/>
      </c>
      <c r="N12890" s="88">
        <f>M12890-M12890*VLOOKUP($Q12890,매칭테이블!$F:$I,3,0)</f>
        <v/>
      </c>
      <c r="O12890" s="88">
        <f>VLOOKUP($Q12890,매칭테이블!$F:$I,4,0)*K12890</f>
        <v/>
      </c>
      <c r="P12890" s="152">
        <f>M12890/1.1</f>
        <v/>
      </c>
      <c r="Q12890" s="88">
        <f>F12890&amp;E12890&amp;G12890&amp;L12890</f>
        <v/>
      </c>
    </row>
    <row r="12891">
      <c r="B12891" s="128" t="n">
        <v>44195</v>
      </c>
      <c r="C12891" s="88">
        <f>TEXT(B12891,"aaa")</f>
        <v/>
      </c>
      <c r="D12891" s="94" t="n"/>
      <c r="E12891" s="88">
        <f>INDEX(매칭테이블!C:D,MATCH(RD!G12891,매칭테이블!D:D,0),1)</f>
        <v/>
      </c>
      <c r="F12891" s="94" t="inlineStr">
        <is>
          <t>카페24</t>
        </is>
      </c>
      <c r="G12891" s="94" t="inlineStr">
        <is>
          <t>어성초 아크네 바디워시옵션=어성초 아크네 바디워시 1개 -30% off</t>
        </is>
      </c>
      <c r="K12891" s="94" t="n">
        <v>5</v>
      </c>
      <c r="L12891" s="88" t="n">
        <v>201208</v>
      </c>
      <c r="M12891" s="88">
        <f>VLOOKUP($Q12891,매칭테이블!$F:$I,2,0)*K12891</f>
        <v/>
      </c>
      <c r="N12891" s="88">
        <f>M12891-M12891*VLOOKUP($Q12891,매칭테이블!$F:$I,3,0)</f>
        <v/>
      </c>
      <c r="O12891" s="88">
        <f>VLOOKUP($Q12891,매칭테이블!$F:$I,4,0)*K12891</f>
        <v/>
      </c>
      <c r="P12891" s="152">
        <f>M12891/1.1</f>
        <v/>
      </c>
      <c r="Q12891" s="88">
        <f>F12891&amp;E12891&amp;G12891&amp;L12891</f>
        <v/>
      </c>
    </row>
    <row r="12892">
      <c r="B12892" s="128" t="n">
        <v>44195</v>
      </c>
      <c r="C12892" s="88">
        <f>TEXT(B12892,"aaa")</f>
        <v/>
      </c>
      <c r="D12892" s="94" t="n"/>
      <c r="E12892" s="88">
        <f>INDEX(매칭테이블!C:D,MATCH(RD!G12892,매칭테이블!D:D,0),1)</f>
        <v/>
      </c>
      <c r="F12892" s="94" t="inlineStr">
        <is>
          <t>카페24</t>
        </is>
      </c>
      <c r="G12892" s="94" t="inlineStr">
        <is>
          <t>어성초 아크네 바디워시옵션=어성초 아크네 바디워시 2개 -35% off (무료배송)</t>
        </is>
      </c>
      <c r="K12892" s="94" t="n">
        <v>2</v>
      </c>
      <c r="L12892" s="88" t="n">
        <v>201208</v>
      </c>
      <c r="M12892" s="88">
        <f>VLOOKUP($Q12892,매칭테이블!$F:$I,2,0)*K12892</f>
        <v/>
      </c>
      <c r="N12892" s="88">
        <f>M12892-M12892*VLOOKUP($Q12892,매칭테이블!$F:$I,3,0)</f>
        <v/>
      </c>
      <c r="O12892" s="88">
        <f>VLOOKUP($Q12892,매칭테이블!$F:$I,4,0)*K12892</f>
        <v/>
      </c>
      <c r="P12892" s="152">
        <f>M12892/1.1</f>
        <v/>
      </c>
      <c r="Q12892" s="88">
        <f>F12892&amp;E12892&amp;G12892&amp;L12892</f>
        <v/>
      </c>
    </row>
    <row r="12893">
      <c r="B12893" s="128" t="n">
        <v>44195</v>
      </c>
      <c r="C12893" s="88">
        <f>TEXT(B12893,"aaa")</f>
        <v/>
      </c>
      <c r="D12893" s="94" t="n"/>
      <c r="E12893" s="88">
        <f>INDEX(매칭테이블!C:D,MATCH(RD!G12893,매칭테이블!D:D,0),1)</f>
        <v/>
      </c>
      <c r="F12893" s="94" t="inlineStr">
        <is>
          <t>카페24</t>
        </is>
      </c>
      <c r="G12893" s="94" t="inlineStr">
        <is>
          <t>어성초 약산성 클렌징폼클렌징폼=어성초 약산성 클렌징폼 1개 -19%off</t>
        </is>
      </c>
      <c r="K12893" s="94" t="n">
        <v>22</v>
      </c>
      <c r="L12893" s="88" t="n">
        <v>201208</v>
      </c>
      <c r="M12893" s="88">
        <f>VLOOKUP($Q12893,매칭테이블!$F:$I,2,0)*K12893</f>
        <v/>
      </c>
      <c r="N12893" s="88">
        <f>M12893-M12893*VLOOKUP($Q12893,매칭테이블!$F:$I,3,0)</f>
        <v/>
      </c>
      <c r="O12893" s="88">
        <f>VLOOKUP($Q12893,매칭테이블!$F:$I,4,0)*K12893</f>
        <v/>
      </c>
      <c r="P12893" s="152">
        <f>M12893/1.1</f>
        <v/>
      </c>
      <c r="Q12893" s="88">
        <f>F12893&amp;E12893&amp;G12893&amp;L12893</f>
        <v/>
      </c>
    </row>
    <row r="12894">
      <c r="B12894" s="128" t="n">
        <v>44195</v>
      </c>
      <c r="C12894" s="88">
        <f>TEXT(B12894,"aaa")</f>
        <v/>
      </c>
      <c r="D12894" s="94" t="n"/>
      <c r="E12894" s="88">
        <f>INDEX(매칭테이블!C:D,MATCH(RD!G12894,매칭테이블!D:D,0),1)</f>
        <v/>
      </c>
      <c r="F12894" s="94" t="inlineStr">
        <is>
          <t>카페24</t>
        </is>
      </c>
      <c r="G12894" s="94" t="inlineStr">
        <is>
          <t>어성초 약산성 클렌징폼클렌징폼=어성초 약산성 클렌징폼 2개 -25%off</t>
        </is>
      </c>
      <c r="K12894" s="94" t="n">
        <v>7</v>
      </c>
      <c r="L12894" s="88" t="n">
        <v>201208</v>
      </c>
      <c r="M12894" s="88">
        <f>VLOOKUP($Q12894,매칭테이블!$F:$I,2,0)*K12894</f>
        <v/>
      </c>
      <c r="N12894" s="88">
        <f>M12894-M12894*VLOOKUP($Q12894,매칭테이블!$F:$I,3,0)</f>
        <v/>
      </c>
      <c r="O12894" s="88">
        <f>VLOOKUP($Q12894,매칭테이블!$F:$I,4,0)*K12894</f>
        <v/>
      </c>
      <c r="P12894" s="152">
        <f>M12894/1.1</f>
        <v/>
      </c>
      <c r="Q12894" s="88">
        <f>F12894&amp;E12894&amp;G12894&amp;L12894</f>
        <v/>
      </c>
    </row>
    <row r="12895">
      <c r="B12895" s="128" t="n">
        <v>44195</v>
      </c>
      <c r="C12895" s="88">
        <f>TEXT(B12895,"aaa")</f>
        <v/>
      </c>
      <c r="D12895" s="94" t="n"/>
      <c r="E12895" s="88">
        <f>INDEX(매칭테이블!C:D,MATCH(RD!G12895,매칭테이블!D:D,0),1)</f>
        <v/>
      </c>
      <c r="F12895" s="94" t="inlineStr">
        <is>
          <t>카페24</t>
        </is>
      </c>
      <c r="G12895" s="94" t="inlineStr">
        <is>
          <t>어성초 크림마스크 나이트 솔루션옵션=어성초 크림마스크 나이트 솔루션 1장</t>
        </is>
      </c>
      <c r="K12895" s="94" t="n">
        <v>1</v>
      </c>
      <c r="L12895" s="88" t="n">
        <v>201208</v>
      </c>
      <c r="M12895" s="88">
        <f>VLOOKUP($Q12895,매칭테이블!$F:$I,2,0)*K12895</f>
        <v/>
      </c>
      <c r="N12895" s="88">
        <f>M12895-M12895*VLOOKUP($Q12895,매칭테이블!$F:$I,3,0)</f>
        <v/>
      </c>
      <c r="O12895" s="88">
        <f>VLOOKUP($Q12895,매칭테이블!$F:$I,4,0)*K12895</f>
        <v/>
      </c>
      <c r="P12895" s="152">
        <f>M12895/1.1</f>
        <v/>
      </c>
      <c r="Q12895" s="88">
        <f>F12895&amp;E12895&amp;G12895&amp;L12895</f>
        <v/>
      </c>
    </row>
    <row r="12896">
      <c r="B12896" s="128" t="n">
        <v>44195</v>
      </c>
      <c r="C12896" s="88">
        <f>TEXT(B12896,"aaa")</f>
        <v/>
      </c>
      <c r="D12896" s="94" t="n"/>
      <c r="E12896" s="88">
        <f>INDEX(매칭테이블!C:D,MATCH(RD!G12896,매칭테이블!D:D,0),1)</f>
        <v/>
      </c>
      <c r="F12896" s="94" t="inlineStr">
        <is>
          <t>카페24</t>
        </is>
      </c>
      <c r="G12896" s="94" t="inlineStr">
        <is>
          <t>어성초 크림마스크 나이트 솔루션옵션=어성초 크림마스크 나이트 솔루션 10장 (-50%)</t>
        </is>
      </c>
      <c r="K12896" s="94" t="n">
        <v>4</v>
      </c>
      <c r="L12896" s="88" t="n">
        <v>201208</v>
      </c>
      <c r="M12896" s="88">
        <f>VLOOKUP($Q12896,매칭테이블!$F:$I,2,0)*K12896</f>
        <v/>
      </c>
      <c r="N12896" s="88">
        <f>M12896-M12896*VLOOKUP($Q12896,매칭테이블!$F:$I,3,0)</f>
        <v/>
      </c>
      <c r="O12896" s="88">
        <f>VLOOKUP($Q12896,매칭테이블!$F:$I,4,0)*K12896</f>
        <v/>
      </c>
      <c r="P12896" s="152">
        <f>M12896/1.1</f>
        <v/>
      </c>
      <c r="Q12896" s="88">
        <f>F12896&amp;E12896&amp;G12896&amp;L12896</f>
        <v/>
      </c>
    </row>
    <row r="12897">
      <c r="B12897" s="128" t="n">
        <v>44195</v>
      </c>
      <c r="C12897" s="88">
        <f>TEXT(B12897,"aaa")</f>
        <v/>
      </c>
      <c r="D12897" s="94" t="n"/>
      <c r="E12897" s="88">
        <f>INDEX(매칭테이블!C:D,MATCH(RD!G12897,매칭테이블!D:D,0),1)</f>
        <v/>
      </c>
      <c r="F12897" s="94" t="inlineStr">
        <is>
          <t>카페24</t>
        </is>
      </c>
      <c r="G12897" s="94" t="inlineStr">
        <is>
          <t>촉촉 스킨팩 화장솜</t>
        </is>
      </c>
      <c r="K12897" s="94" t="n">
        <v>49</v>
      </c>
      <c r="L12897" s="88" t="n">
        <v>201208</v>
      </c>
      <c r="M12897" s="88">
        <f>VLOOKUP($Q12897,매칭테이블!$F:$I,2,0)*K12897</f>
        <v/>
      </c>
      <c r="N12897" s="88">
        <f>M12897-M12897*VLOOKUP($Q12897,매칭테이블!$F:$I,3,0)</f>
        <v/>
      </c>
      <c r="O12897" s="88">
        <f>VLOOKUP($Q12897,매칭테이블!$F:$I,4,0)*K12897</f>
        <v/>
      </c>
      <c r="P12897" s="152">
        <f>M12897/1.1</f>
        <v/>
      </c>
      <c r="Q12897" s="88">
        <f>F12897&amp;E12897&amp;G12897&amp;L12897</f>
        <v/>
      </c>
    </row>
    <row r="12898">
      <c r="B12898" s="128" t="n">
        <v>44196</v>
      </c>
      <c r="C12898" s="88">
        <f>TEXT(B12898,"aaa")</f>
        <v/>
      </c>
      <c r="E12898" s="88">
        <f>INDEX(매칭테이블!C:D,MATCH(RD!G12898,매칭테이블!D:D,0),1)</f>
        <v/>
      </c>
      <c r="F12898" s="94" t="inlineStr">
        <is>
          <t>W컨셉</t>
        </is>
      </c>
      <c r="G12898" s="94" t="inlineStr">
        <is>
          <t>어성초 77토너 (2 SET) HEARTLEAF 77% SOOTHING TONER 250ml250ml 2set</t>
        </is>
      </c>
      <c r="K12898" s="94" t="n">
        <v>2</v>
      </c>
      <c r="L12898" s="88" t="n">
        <v>201208</v>
      </c>
      <c r="M12898" s="88">
        <f>VLOOKUP($Q12898,매칭테이블!$F:$I,2,0)*K12898</f>
        <v/>
      </c>
      <c r="N12898" s="88">
        <f>M12898-M12898*VLOOKUP($Q12898,매칭테이블!$F:$I,3,0)</f>
        <v/>
      </c>
      <c r="O12898" s="88">
        <f>VLOOKUP($Q12898,매칭테이블!$F:$I,4,0)*K12898</f>
        <v/>
      </c>
      <c r="P12898" s="152">
        <f>M12898/1.1</f>
        <v/>
      </c>
      <c r="Q12898" s="88">
        <f>F12898&amp;E12898&amp;G12898&amp;L12898</f>
        <v/>
      </c>
    </row>
    <row r="12899">
      <c r="B12899" s="128" t="n">
        <v>44196</v>
      </c>
      <c r="C12899" s="88">
        <f>TEXT(B12899,"aaa")</f>
        <v/>
      </c>
      <c r="E12899" s="88">
        <f>INDEX(매칭테이블!C:D,MATCH(RD!G12899,매칭테이블!D:D,0),1)</f>
        <v/>
      </c>
      <c r="F12899" s="94" t="inlineStr">
        <is>
          <t>아누아 CS</t>
        </is>
      </c>
      <c r="G12899" s="94" t="inlineStr">
        <is>
          <t>5제로 무기자차 선크림 50ml</t>
        </is>
      </c>
      <c r="K12899" s="94" t="n">
        <v>3</v>
      </c>
      <c r="L12899" s="88" t="n">
        <v>201208</v>
      </c>
      <c r="M12899" s="88">
        <f>VLOOKUP($Q12899,매칭테이블!$F:$I,2,0)*K12899</f>
        <v/>
      </c>
      <c r="N12899" s="88">
        <f>M12899-M12899*VLOOKUP($Q12899,매칭테이블!$F:$I,3,0)</f>
        <v/>
      </c>
      <c r="O12899" s="88">
        <f>VLOOKUP($Q12899,매칭테이블!$F:$I,4,0)*K12899</f>
        <v/>
      </c>
      <c r="P12899" s="152">
        <f>M12899/1.1</f>
        <v/>
      </c>
      <c r="Q12899" s="88">
        <f>F12899&amp;E12899&amp;G12899&amp;L12899</f>
        <v/>
      </c>
    </row>
    <row r="12900">
      <c r="B12900" s="128" t="n">
        <v>44196</v>
      </c>
      <c r="C12900" s="88">
        <f>TEXT(B12900,"aaa")</f>
        <v/>
      </c>
      <c r="E12900" s="88">
        <f>INDEX(매칭테이블!C:D,MATCH(RD!G12900,매칭테이블!D:D,0),1)</f>
        <v/>
      </c>
      <c r="F12900" s="94" t="inlineStr">
        <is>
          <t>아누아 CS</t>
        </is>
      </c>
      <c r="G12900" s="94" t="inlineStr">
        <is>
          <t>어성초 77 토너 250ml</t>
        </is>
      </c>
      <c r="K12900" s="94" t="n">
        <v>1</v>
      </c>
      <c r="L12900" s="88" t="n">
        <v>201208</v>
      </c>
      <c r="M12900" s="88">
        <f>VLOOKUP($Q12900,매칭테이블!$F:$I,2,0)*K12900</f>
        <v/>
      </c>
      <c r="N12900" s="88">
        <f>M12900-M12900*VLOOKUP($Q12900,매칭테이블!$F:$I,3,0)</f>
        <v/>
      </c>
      <c r="O12900" s="88">
        <f>VLOOKUP($Q12900,매칭테이블!$F:$I,4,0)*K12900</f>
        <v/>
      </c>
      <c r="P12900" s="152">
        <f>M12900/1.1</f>
        <v/>
      </c>
      <c r="Q12900" s="88">
        <f>F12900&amp;E12900&amp;G12900&amp;L12900</f>
        <v/>
      </c>
    </row>
    <row r="12901">
      <c r="B12901" s="128" t="n">
        <v>44196</v>
      </c>
      <c r="C12901" s="88">
        <f>TEXT(B12901,"aaa")</f>
        <v/>
      </c>
      <c r="E12901" s="88">
        <f>INDEX(매칭테이블!C:D,MATCH(RD!G12901,매칭테이블!D:D,0),1)</f>
        <v/>
      </c>
      <c r="F12901" s="94" t="inlineStr">
        <is>
          <t>아누아 CS</t>
        </is>
      </c>
      <c r="G12901" s="94" t="inlineStr">
        <is>
          <t>어성초 클리어패드 70P</t>
        </is>
      </c>
      <c r="K12901" s="94" t="n">
        <v>2</v>
      </c>
      <c r="L12901" s="88" t="n">
        <v>201208</v>
      </c>
      <c r="M12901" s="88">
        <f>VLOOKUP($Q12901,매칭테이블!$F:$I,2,0)*K12901</f>
        <v/>
      </c>
      <c r="N12901" s="88">
        <f>M12901-M12901*VLOOKUP($Q12901,매칭테이블!$F:$I,3,0)</f>
        <v/>
      </c>
      <c r="O12901" s="88">
        <f>VLOOKUP($Q12901,매칭테이블!$F:$I,4,0)*K12901</f>
        <v/>
      </c>
      <c r="P12901" s="152">
        <f>M12901/1.1</f>
        <v/>
      </c>
      <c r="Q12901" s="88">
        <f>F12901&amp;E12901&amp;G12901&amp;L12901</f>
        <v/>
      </c>
    </row>
    <row r="12902">
      <c r="B12902" s="128" t="n">
        <v>44196</v>
      </c>
      <c r="C12902" s="88">
        <f>TEXT(B12902,"aaa")</f>
        <v/>
      </c>
      <c r="E12902" s="88">
        <f>INDEX(매칭테이블!C:D,MATCH(RD!G12902,매칭테이블!D:D,0),1)</f>
        <v/>
      </c>
      <c r="F12902" s="94" t="inlineStr">
        <is>
          <t>카페24</t>
        </is>
      </c>
      <c r="G12902" s="94" t="inlineStr">
        <is>
          <t>5 제로 무기자차 선크림옵션=5제로 무기자차 선크림 1개-20% off</t>
        </is>
      </c>
      <c r="K12902" s="94" t="n">
        <v>1</v>
      </c>
      <c r="L12902" s="88" t="n">
        <v>201208</v>
      </c>
      <c r="M12902" s="88">
        <f>VLOOKUP($Q12902,매칭테이블!$F:$I,2,0)*K12902</f>
        <v/>
      </c>
      <c r="N12902" s="88">
        <f>M12902-M12902*VLOOKUP($Q12902,매칭테이블!$F:$I,3,0)</f>
        <v/>
      </c>
      <c r="O12902" s="88">
        <f>VLOOKUP($Q12902,매칭테이블!$F:$I,4,0)*K12902</f>
        <v/>
      </c>
      <c r="P12902" s="152">
        <f>M12902/1.1</f>
        <v/>
      </c>
      <c r="Q12902" s="88">
        <f>F12902&amp;E12902&amp;G12902&amp;L12902</f>
        <v/>
      </c>
    </row>
    <row r="12903">
      <c r="B12903" s="128" t="n">
        <v>44196</v>
      </c>
      <c r="C12903" s="88">
        <f>TEXT(B12903,"aaa")</f>
        <v/>
      </c>
      <c r="E12903" s="88">
        <f>INDEX(매칭테이블!C:D,MATCH(RD!G12903,매칭테이블!D:D,0),1)</f>
        <v/>
      </c>
      <c r="F12903" s="94" t="inlineStr">
        <is>
          <t>카페24</t>
        </is>
      </c>
      <c r="G12903" s="94" t="inlineStr">
        <is>
          <t>5 제로 무기자차 선크림옵션=5제로 무기자차 선크림 2개-30% off (무료배송)</t>
        </is>
      </c>
      <c r="K12903" s="94" t="n">
        <v>1</v>
      </c>
      <c r="L12903" s="88" t="n">
        <v>201208</v>
      </c>
      <c r="M12903" s="88">
        <f>VLOOKUP($Q12903,매칭테이블!$F:$I,2,0)*K12903</f>
        <v/>
      </c>
      <c r="N12903" s="88">
        <f>M12903-M12903*VLOOKUP($Q12903,매칭테이블!$F:$I,3,0)</f>
        <v/>
      </c>
      <c r="O12903" s="88">
        <f>VLOOKUP($Q12903,매칭테이블!$F:$I,4,0)*K12903</f>
        <v/>
      </c>
      <c r="P12903" s="152">
        <f>M12903/1.1</f>
        <v/>
      </c>
      <c r="Q12903" s="88">
        <f>F12903&amp;E12903&amp;G12903&amp;L12903</f>
        <v/>
      </c>
    </row>
    <row r="12904">
      <c r="B12904" s="128" t="n">
        <v>44196</v>
      </c>
      <c r="C12904" s="88">
        <f>TEXT(B12904,"aaa")</f>
        <v/>
      </c>
      <c r="E12904" s="88">
        <f>INDEX(매칭테이블!C:D,MATCH(RD!G12904,매칭테이블!D:D,0),1)</f>
        <v/>
      </c>
      <c r="F12904" s="94" t="inlineStr">
        <is>
          <t>카페24</t>
        </is>
      </c>
      <c r="G12904" s="94" t="inlineStr">
        <is>
          <t>[수분 보충 세트] 어성초 77 토너 + 어성초 70 로션옵션=어성초 77 토너 250ml + 어성초 70 로션 200ml -30%</t>
        </is>
      </c>
      <c r="K12904" s="94" t="n">
        <v>22</v>
      </c>
      <c r="L12904" s="88" t="n">
        <v>201208</v>
      </c>
      <c r="M12904" s="88">
        <f>VLOOKUP($Q12904,매칭테이블!$F:$I,2,0)*K12904</f>
        <v/>
      </c>
      <c r="N12904" s="88">
        <f>M12904-M12904*VLOOKUP($Q12904,매칭테이블!$F:$I,3,0)</f>
        <v/>
      </c>
      <c r="O12904" s="88">
        <f>VLOOKUP($Q12904,매칭테이블!$F:$I,4,0)*K12904</f>
        <v/>
      </c>
      <c r="P12904" s="152">
        <f>M12904/1.1</f>
        <v/>
      </c>
      <c r="Q12904" s="88">
        <f>F12904&amp;E12904&amp;G12904&amp;L12904</f>
        <v/>
      </c>
    </row>
    <row r="12905">
      <c r="B12905" s="128" t="n">
        <v>44196</v>
      </c>
      <c r="C12905" s="88">
        <f>TEXT(B12905,"aaa")</f>
        <v/>
      </c>
      <c r="E12905" s="88">
        <f>INDEX(매칭테이블!C:D,MATCH(RD!G12905,매칭테이블!D:D,0),1)</f>
        <v/>
      </c>
      <c r="F12905" s="94" t="inlineStr">
        <is>
          <t>카페24</t>
        </is>
      </c>
      <c r="G12905" s="94" t="inlineStr">
        <is>
          <t>[어성초 진정 패키지 세트] 대용량 토너 + 앰플 + 수딩 크림 + 마스크팩 10장</t>
        </is>
      </c>
      <c r="K12905" s="94" t="n">
        <v>2</v>
      </c>
      <c r="L12905" s="88" t="n">
        <v>201208</v>
      </c>
      <c r="M12905" s="88">
        <f>VLOOKUP($Q12905,매칭테이블!$F:$I,2,0)*K12905</f>
        <v/>
      </c>
      <c r="N12905" s="88">
        <f>M12905-M12905*VLOOKUP($Q12905,매칭테이블!$F:$I,3,0)</f>
        <v/>
      </c>
      <c r="O12905" s="88">
        <f>VLOOKUP($Q12905,매칭테이블!$F:$I,4,0)*K12905</f>
        <v/>
      </c>
      <c r="P12905" s="152">
        <f>M12905/1.1</f>
        <v/>
      </c>
      <c r="Q12905" s="88">
        <f>F12905&amp;E12905&amp;G12905&amp;L12905</f>
        <v/>
      </c>
    </row>
    <row r="12906">
      <c r="B12906" s="128" t="n">
        <v>44196</v>
      </c>
      <c r="C12906" s="88">
        <f>TEXT(B12906,"aaa")</f>
        <v/>
      </c>
      <c r="E12906" s="88">
        <f>INDEX(매칭테이블!C:D,MATCH(RD!G12906,매칭테이블!D:D,0),1)</f>
        <v/>
      </c>
      <c r="F12906" s="94" t="inlineStr">
        <is>
          <t>카페24</t>
        </is>
      </c>
      <c r="G12906" s="94" t="inlineStr">
        <is>
          <t>대용량 어성초 77 수딩 토너 500ml</t>
        </is>
      </c>
      <c r="K12906" s="94" t="n">
        <v>13</v>
      </c>
      <c r="L12906" s="88" t="n">
        <v>201208</v>
      </c>
      <c r="M12906" s="88">
        <f>VLOOKUP($Q12906,매칭테이블!$F:$I,2,0)*K12906</f>
        <v/>
      </c>
      <c r="N12906" s="88">
        <f>M12906-M12906*VLOOKUP($Q12906,매칭테이블!$F:$I,3,0)</f>
        <v/>
      </c>
      <c r="O12906" s="88">
        <f>VLOOKUP($Q12906,매칭테이블!$F:$I,4,0)*K12906</f>
        <v/>
      </c>
      <c r="P12906" s="152">
        <f>M12906/1.1</f>
        <v/>
      </c>
      <c r="Q12906" s="88">
        <f>F12906&amp;E12906&amp;G12906&amp;L12906</f>
        <v/>
      </c>
    </row>
    <row r="12907">
      <c r="B12907" s="128" t="n">
        <v>44196</v>
      </c>
      <c r="C12907" s="88">
        <f>TEXT(B12907,"aaa")</f>
        <v/>
      </c>
      <c r="E12907" s="88">
        <f>INDEX(매칭테이블!C:D,MATCH(RD!G12907,매칭테이블!D:D,0),1)</f>
        <v/>
      </c>
      <c r="F12907" s="94" t="inlineStr">
        <is>
          <t>카페24</t>
        </is>
      </c>
      <c r="G12907" s="94" t="inlineStr">
        <is>
          <t>대용량 어성초 77 토너 500ml</t>
        </is>
      </c>
      <c r="K12907" s="94" t="n">
        <v>3</v>
      </c>
      <c r="L12907" s="88" t="n">
        <v>201208</v>
      </c>
      <c r="M12907" s="88">
        <f>VLOOKUP($Q12907,매칭테이블!$F:$I,2,0)*K12907</f>
        <v/>
      </c>
      <c r="N12907" s="88">
        <f>M12907-M12907*VLOOKUP($Q12907,매칭테이블!$F:$I,3,0)</f>
        <v/>
      </c>
      <c r="O12907" s="88">
        <f>VLOOKUP($Q12907,매칭테이블!$F:$I,4,0)*K12907</f>
        <v/>
      </c>
      <c r="P12907" s="152">
        <f>M12907/1.1</f>
        <v/>
      </c>
      <c r="Q12907" s="88">
        <f>F12907&amp;E12907&amp;G12907&amp;L12907</f>
        <v/>
      </c>
    </row>
    <row r="12908">
      <c r="B12908" s="128" t="n">
        <v>44196</v>
      </c>
      <c r="C12908" s="88">
        <f>TEXT(B12908,"aaa")</f>
        <v/>
      </c>
      <c r="E12908" s="88">
        <f>INDEX(매칭테이블!C:D,MATCH(RD!G12908,매칭테이블!D:D,0),1)</f>
        <v/>
      </c>
      <c r="F12908" s="94" t="inlineStr">
        <is>
          <t>카페24</t>
        </is>
      </c>
      <c r="G12908" s="94" t="inlineStr">
        <is>
          <t>아누아 어성초 77 수딩 토너토너(필수)=어성초 77 토너 1개-20% off</t>
        </is>
      </c>
      <c r="K12908" s="94" t="n">
        <v>1</v>
      </c>
      <c r="L12908" s="88" t="n">
        <v>201208</v>
      </c>
      <c r="M12908" s="88">
        <f>VLOOKUP($Q12908,매칭테이블!$F:$I,2,0)*K12908</f>
        <v/>
      </c>
      <c r="N12908" s="88">
        <f>M12908-M12908*VLOOKUP($Q12908,매칭테이블!$F:$I,3,0)</f>
        <v/>
      </c>
      <c r="O12908" s="88">
        <f>VLOOKUP($Q12908,매칭테이블!$F:$I,4,0)*K12908</f>
        <v/>
      </c>
      <c r="P12908" s="152">
        <f>M12908/1.1</f>
        <v/>
      </c>
      <c r="Q12908" s="88">
        <f>F12908&amp;E12908&amp;G12908&amp;L12908</f>
        <v/>
      </c>
    </row>
    <row r="12909">
      <c r="B12909" s="128" t="n">
        <v>44196</v>
      </c>
      <c r="C12909" s="88">
        <f>TEXT(B12909,"aaa")</f>
        <v/>
      </c>
      <c r="E12909" s="88">
        <f>INDEX(매칭테이블!C:D,MATCH(RD!G12909,매칭테이블!D:D,0),1)</f>
        <v/>
      </c>
      <c r="F12909" s="94" t="inlineStr">
        <is>
          <t>카페24</t>
        </is>
      </c>
      <c r="G12909" s="94" t="inlineStr">
        <is>
          <t>아누아 어성초 77 수딩 토너토너(필수)=어성초77토너1개 + 어성초77패드1개 -30% off (무료배송)</t>
        </is>
      </c>
      <c r="K12909" s="94" t="n">
        <v>1</v>
      </c>
      <c r="L12909" s="88" t="n">
        <v>201208</v>
      </c>
      <c r="M12909" s="88">
        <f>VLOOKUP($Q12909,매칭테이블!$F:$I,2,0)*K12909</f>
        <v/>
      </c>
      <c r="N12909" s="88">
        <f>M12909-M12909*VLOOKUP($Q12909,매칭테이블!$F:$I,3,0)</f>
        <v/>
      </c>
      <c r="O12909" s="88">
        <f>VLOOKUP($Q12909,매칭테이블!$F:$I,4,0)*K12909</f>
        <v/>
      </c>
      <c r="P12909" s="152">
        <f>M12909/1.1</f>
        <v/>
      </c>
      <c r="Q12909" s="88">
        <f>F12909&amp;E12909&amp;G12909&amp;L12909</f>
        <v/>
      </c>
    </row>
    <row r="12910">
      <c r="B12910" s="128" t="n">
        <v>44196</v>
      </c>
      <c r="C12910" s="88">
        <f>TEXT(B12910,"aaa")</f>
        <v/>
      </c>
      <c r="E12910" s="88">
        <f>INDEX(매칭테이블!C:D,MATCH(RD!G12910,매칭테이블!D:D,0),1)</f>
        <v/>
      </c>
      <c r="F12910" s="94" t="inlineStr">
        <is>
          <t>카페24</t>
        </is>
      </c>
      <c r="G12910" s="94" t="inlineStr">
        <is>
          <t>아누아 어성초 77 수딩 토너화장솜(선택)=촉촉 스킨팩 화장솜</t>
        </is>
      </c>
      <c r="K12910" s="94" t="n">
        <v>1</v>
      </c>
      <c r="L12910" s="88" t="n">
        <v>201208</v>
      </c>
      <c r="M12910" s="88">
        <f>VLOOKUP($Q12910,매칭테이블!$F:$I,2,0)*K12910</f>
        <v/>
      </c>
      <c r="N12910" s="88">
        <f>M12910-M12910*VLOOKUP($Q12910,매칭테이블!$F:$I,3,0)</f>
        <v/>
      </c>
      <c r="O12910" s="88">
        <f>VLOOKUP($Q12910,매칭테이블!$F:$I,4,0)*K12910</f>
        <v/>
      </c>
      <c r="P12910" s="152">
        <f>M12910/1.1</f>
        <v/>
      </c>
      <c r="Q12910" s="88">
        <f>F12910&amp;E12910&amp;G12910&amp;L12910</f>
        <v/>
      </c>
    </row>
    <row r="12911">
      <c r="B12911" s="128" t="n">
        <v>44196</v>
      </c>
      <c r="C12911" s="88">
        <f>TEXT(B12911,"aaa")</f>
        <v/>
      </c>
      <c r="E12911" s="88">
        <f>INDEX(매칭테이블!C:D,MATCH(RD!G12911,매칭테이블!D:D,0),1)</f>
        <v/>
      </c>
      <c r="F12911" s="94" t="inlineStr">
        <is>
          <t>카페24</t>
        </is>
      </c>
      <c r="G12911" s="94" t="inlineStr">
        <is>
          <t>어성초 70 데일리 릴리프 로션로션=어성초 70 데일리 릴리프 로션 1개 -20% off</t>
        </is>
      </c>
      <c r="K12911" s="94" t="n">
        <v>7</v>
      </c>
      <c r="L12911" s="88" t="n">
        <v>201208</v>
      </c>
      <c r="M12911" s="88">
        <f>VLOOKUP($Q12911,매칭테이블!$F:$I,2,0)*K12911</f>
        <v/>
      </c>
      <c r="N12911" s="88">
        <f>M12911-M12911*VLOOKUP($Q12911,매칭테이블!$F:$I,3,0)</f>
        <v/>
      </c>
      <c r="O12911" s="88">
        <f>VLOOKUP($Q12911,매칭테이블!$F:$I,4,0)*K12911</f>
        <v/>
      </c>
      <c r="P12911" s="152">
        <f>M12911/1.1</f>
        <v/>
      </c>
      <c r="Q12911" s="88">
        <f>F12911&amp;E12911&amp;G12911&amp;L12911</f>
        <v/>
      </c>
    </row>
    <row r="12912">
      <c r="B12912" s="128" t="n">
        <v>44196</v>
      </c>
      <c r="C12912" s="88">
        <f>TEXT(B12912,"aaa")</f>
        <v/>
      </c>
      <c r="E12912" s="88">
        <f>INDEX(매칭테이블!C:D,MATCH(RD!G12912,매칭테이블!D:D,0),1)</f>
        <v/>
      </c>
      <c r="F12912" s="94" t="inlineStr">
        <is>
          <t>카페24</t>
        </is>
      </c>
      <c r="G12912" s="94" t="inlineStr">
        <is>
          <t>어성초 70 데일리 릴리프 로션로션=어성초 70 데일리 릴리프 로션 2개 -30% off</t>
        </is>
      </c>
      <c r="K12912" s="94" t="n">
        <v>1</v>
      </c>
      <c r="L12912" s="88" t="n">
        <v>201208</v>
      </c>
      <c r="M12912" s="88">
        <f>VLOOKUP($Q12912,매칭테이블!$F:$I,2,0)*K12912</f>
        <v/>
      </c>
      <c r="N12912" s="88">
        <f>M12912-M12912*VLOOKUP($Q12912,매칭테이블!$F:$I,3,0)</f>
        <v/>
      </c>
      <c r="O12912" s="88">
        <f>VLOOKUP($Q12912,매칭테이블!$F:$I,4,0)*K12912</f>
        <v/>
      </c>
      <c r="P12912" s="152">
        <f>M12912/1.1</f>
        <v/>
      </c>
      <c r="Q12912" s="88">
        <f>F12912&amp;E12912&amp;G12912&amp;L12912</f>
        <v/>
      </c>
    </row>
    <row r="12913">
      <c r="B12913" s="128" t="n">
        <v>44196</v>
      </c>
      <c r="C12913" s="88">
        <f>TEXT(B12913,"aaa")</f>
        <v/>
      </c>
      <c r="E12913" s="88">
        <f>INDEX(매칭테이블!C:D,MATCH(RD!G12913,매칭테이블!D:D,0),1)</f>
        <v/>
      </c>
      <c r="F12913" s="94" t="inlineStr">
        <is>
          <t>카페24</t>
        </is>
      </c>
      <c r="G12913" s="94" t="inlineStr">
        <is>
          <t>어성초 70 데일리 릴리프 로션로션=어성초 77토너 + 어성초 70 로션 수분 보충 세트 -30% off</t>
        </is>
      </c>
      <c r="K12913" s="94" t="n">
        <v>1</v>
      </c>
      <c r="L12913" s="88" t="n">
        <v>201208</v>
      </c>
      <c r="M12913" s="88">
        <f>VLOOKUP($Q12913,매칭테이블!$F:$I,2,0)*K12913</f>
        <v/>
      </c>
      <c r="N12913" s="88">
        <f>M12913-M12913*VLOOKUP($Q12913,매칭테이블!$F:$I,3,0)</f>
        <v/>
      </c>
      <c r="O12913" s="88">
        <f>VLOOKUP($Q12913,매칭테이블!$F:$I,4,0)*K12913</f>
        <v/>
      </c>
      <c r="P12913" s="152">
        <f>M12913/1.1</f>
        <v/>
      </c>
      <c r="Q12913" s="88">
        <f>F12913&amp;E12913&amp;G12913&amp;L12913</f>
        <v/>
      </c>
    </row>
    <row r="12914">
      <c r="B12914" s="128" t="n">
        <v>44196</v>
      </c>
      <c r="C12914" s="88">
        <f>TEXT(B12914,"aaa")</f>
        <v/>
      </c>
      <c r="E12914" s="88">
        <f>INDEX(매칭테이블!C:D,MATCH(RD!G12914,매칭테이블!D:D,0),1)</f>
        <v/>
      </c>
      <c r="F12914" s="94" t="inlineStr">
        <is>
          <t>카페24</t>
        </is>
      </c>
      <c r="G12914" s="94" t="inlineStr">
        <is>
          <t>어성초 70 머드 크림 마스크옵션=어성초 70 머드 크림 마스크-20% off</t>
        </is>
      </c>
      <c r="K12914" s="94" t="n">
        <v>3</v>
      </c>
      <c r="L12914" s="88" t="n">
        <v>201208</v>
      </c>
      <c r="M12914" s="88">
        <f>VLOOKUP($Q12914,매칭테이블!$F:$I,2,0)*K12914</f>
        <v/>
      </c>
      <c r="N12914" s="88">
        <f>M12914-M12914*VLOOKUP($Q12914,매칭테이블!$F:$I,3,0)</f>
        <v/>
      </c>
      <c r="O12914" s="88">
        <f>VLOOKUP($Q12914,매칭테이블!$F:$I,4,0)*K12914</f>
        <v/>
      </c>
      <c r="P12914" s="152">
        <f>M12914/1.1</f>
        <v/>
      </c>
      <c r="Q12914" s="88">
        <f>F12914&amp;E12914&amp;G12914&amp;L12914</f>
        <v/>
      </c>
    </row>
    <row r="12915">
      <c r="B12915" s="128" t="n">
        <v>44196</v>
      </c>
      <c r="C12915" s="88">
        <f>TEXT(B12915,"aaa")</f>
        <v/>
      </c>
      <c r="E12915" s="88">
        <f>INDEX(매칭테이블!C:D,MATCH(RD!G12915,매칭테이블!D:D,0),1)</f>
        <v/>
      </c>
      <c r="F12915" s="94" t="inlineStr">
        <is>
          <t>카페24</t>
        </is>
      </c>
      <c r="G12915" s="94" t="inlineStr">
        <is>
          <t>어성초 70 인텐스 카밍 크림크림=어성초 70 인텐스 카밍 크림 1개 (-20%)</t>
        </is>
      </c>
      <c r="K12915" s="94" t="n">
        <v>1</v>
      </c>
      <c r="L12915" s="88" t="n">
        <v>201208</v>
      </c>
      <c r="M12915" s="88">
        <f>VLOOKUP($Q12915,매칭테이블!$F:$I,2,0)*K12915</f>
        <v/>
      </c>
      <c r="N12915" s="88">
        <f>M12915-M12915*VLOOKUP($Q12915,매칭테이블!$F:$I,3,0)</f>
        <v/>
      </c>
      <c r="O12915" s="88">
        <f>VLOOKUP($Q12915,매칭테이블!$F:$I,4,0)*K12915</f>
        <v/>
      </c>
      <c r="P12915" s="152">
        <f>M12915/1.1</f>
        <v/>
      </c>
      <c r="Q12915" s="88">
        <f>F12915&amp;E12915&amp;G12915&amp;L12915</f>
        <v/>
      </c>
    </row>
    <row r="12916">
      <c r="B12916" s="128" t="n">
        <v>44196</v>
      </c>
      <c r="C12916" s="88">
        <f>TEXT(B12916,"aaa")</f>
        <v/>
      </c>
      <c r="E12916" s="88">
        <f>INDEX(매칭테이블!C:D,MATCH(RD!G12916,매칭테이블!D:D,0),1)</f>
        <v/>
      </c>
      <c r="F12916" s="94" t="inlineStr">
        <is>
          <t>카페24</t>
        </is>
      </c>
      <c r="G12916" s="94" t="inlineStr">
        <is>
          <t>어성초 77 수딩 토너토너(필수)=어성초 77 토너 1개-20% off</t>
        </is>
      </c>
      <c r="K12916" s="94" t="n">
        <v>30</v>
      </c>
      <c r="L12916" s="88" t="n">
        <v>201208</v>
      </c>
      <c r="M12916" s="88">
        <f>VLOOKUP($Q12916,매칭테이블!$F:$I,2,0)*K12916</f>
        <v/>
      </c>
      <c r="N12916" s="88">
        <f>M12916-M12916*VLOOKUP($Q12916,매칭테이블!$F:$I,3,0)</f>
        <v/>
      </c>
      <c r="O12916" s="88">
        <f>VLOOKUP($Q12916,매칭테이블!$F:$I,4,0)*K12916</f>
        <v/>
      </c>
      <c r="P12916" s="152">
        <f>M12916/1.1</f>
        <v/>
      </c>
      <c r="Q12916" s="88">
        <f>F12916&amp;E12916&amp;G12916&amp;L12916</f>
        <v/>
      </c>
    </row>
    <row r="12917">
      <c r="B12917" s="128" t="n">
        <v>44196</v>
      </c>
      <c r="C12917" s="88">
        <f>TEXT(B12917,"aaa")</f>
        <v/>
      </c>
      <c r="E12917" s="88">
        <f>INDEX(매칭테이블!C:D,MATCH(RD!G12917,매칭테이블!D:D,0),1)</f>
        <v/>
      </c>
      <c r="F12917" s="94" t="inlineStr">
        <is>
          <t>카페24</t>
        </is>
      </c>
      <c r="G12917" s="94" t="inlineStr">
        <is>
          <t>어성초 77 수딩 토너토너(필수)=어성초 77 토너 2개-30% off (무료배송)</t>
        </is>
      </c>
      <c r="K12917" s="94" t="n">
        <v>10</v>
      </c>
      <c r="L12917" s="88" t="n">
        <v>201208</v>
      </c>
      <c r="M12917" s="88">
        <f>VLOOKUP($Q12917,매칭테이블!$F:$I,2,0)*K12917</f>
        <v/>
      </c>
      <c r="N12917" s="88">
        <f>M12917-M12917*VLOOKUP($Q12917,매칭테이블!$F:$I,3,0)</f>
        <v/>
      </c>
      <c r="O12917" s="88">
        <f>VLOOKUP($Q12917,매칭테이블!$F:$I,4,0)*K12917</f>
        <v/>
      </c>
      <c r="P12917" s="152">
        <f>M12917/1.1</f>
        <v/>
      </c>
      <c r="Q12917" s="88">
        <f>F12917&amp;E12917&amp;G12917&amp;L12917</f>
        <v/>
      </c>
    </row>
    <row r="12918">
      <c r="B12918" s="128" t="n">
        <v>44196</v>
      </c>
      <c r="C12918" s="88">
        <f>TEXT(B12918,"aaa")</f>
        <v/>
      </c>
      <c r="E12918" s="88">
        <f>INDEX(매칭테이블!C:D,MATCH(RD!G12918,매칭테이블!D:D,0),1)</f>
        <v/>
      </c>
      <c r="F12918" s="94" t="inlineStr">
        <is>
          <t>카페24</t>
        </is>
      </c>
      <c r="G12918" s="94" t="inlineStr">
        <is>
          <t>어성초 77 수딩 토너토너(필수)=어성초77토너1개 + 어성초77패드1개 -30% off (무료배송)</t>
        </is>
      </c>
      <c r="K12918" s="94" t="n">
        <v>9</v>
      </c>
      <c r="L12918" s="88" t="n">
        <v>201208</v>
      </c>
      <c r="M12918" s="88">
        <f>VLOOKUP($Q12918,매칭테이블!$F:$I,2,0)*K12918</f>
        <v/>
      </c>
      <c r="N12918" s="88">
        <f>M12918-M12918*VLOOKUP($Q12918,매칭테이블!$F:$I,3,0)</f>
        <v/>
      </c>
      <c r="O12918" s="88">
        <f>VLOOKUP($Q12918,매칭테이블!$F:$I,4,0)*K12918</f>
        <v/>
      </c>
      <c r="P12918" s="152">
        <f>M12918/1.1</f>
        <v/>
      </c>
      <c r="Q12918" s="88">
        <f>F12918&amp;E12918&amp;G12918&amp;L12918</f>
        <v/>
      </c>
    </row>
    <row r="12919">
      <c r="B12919" s="128" t="n">
        <v>44196</v>
      </c>
      <c r="C12919" s="88">
        <f>TEXT(B12919,"aaa")</f>
        <v/>
      </c>
      <c r="E12919" s="88">
        <f>INDEX(매칭테이블!C:D,MATCH(RD!G12919,매칭테이블!D:D,0),1)</f>
        <v/>
      </c>
      <c r="F12919" s="94" t="inlineStr">
        <is>
          <t>카페24</t>
        </is>
      </c>
      <c r="G12919" s="94" t="inlineStr">
        <is>
          <t>어성초 77 수딩 토너화장솜(선택)=촉촉 스킨팩 화장솜</t>
        </is>
      </c>
      <c r="K12919" s="94" t="n">
        <v>17</v>
      </c>
      <c r="L12919" s="88" t="n">
        <v>201208</v>
      </c>
      <c r="M12919" s="88">
        <f>VLOOKUP($Q12919,매칭테이블!$F:$I,2,0)*K12919</f>
        <v/>
      </c>
      <c r="N12919" s="88">
        <f>M12919-M12919*VLOOKUP($Q12919,매칭테이블!$F:$I,3,0)</f>
        <v/>
      </c>
      <c r="O12919" s="88">
        <f>VLOOKUP($Q12919,매칭테이블!$F:$I,4,0)*K12919</f>
        <v/>
      </c>
      <c r="P12919" s="152">
        <f>M12919/1.1</f>
        <v/>
      </c>
      <c r="Q12919" s="88">
        <f>F12919&amp;E12919&amp;G12919&amp;L12919</f>
        <v/>
      </c>
    </row>
    <row r="12920">
      <c r="B12920" s="128" t="n">
        <v>44196</v>
      </c>
      <c r="C12920" s="88">
        <f>TEXT(B12920,"aaa")</f>
        <v/>
      </c>
      <c r="E12920" s="88">
        <f>INDEX(매칭테이블!C:D,MATCH(RD!G12920,매칭테이블!D:D,0),1)</f>
        <v/>
      </c>
      <c r="F12920" s="94" t="inlineStr">
        <is>
          <t>카페24</t>
        </is>
      </c>
      <c r="G12920" s="94" t="inlineStr">
        <is>
          <t>어성초 77 수딩 토너토너(필수)=(대용량) 어성초 77 토너 500ml (무료배송)</t>
        </is>
      </c>
      <c r="K12920" s="94" t="n">
        <v>1</v>
      </c>
      <c r="L12920" s="88" t="n">
        <v>201208</v>
      </c>
      <c r="M12920" s="88">
        <f>VLOOKUP($Q12920,매칭테이블!$F:$I,2,0)*K12920</f>
        <v/>
      </c>
      <c r="N12920" s="88">
        <f>M12920-M12920*VLOOKUP($Q12920,매칭테이블!$F:$I,3,0)</f>
        <v/>
      </c>
      <c r="O12920" s="88">
        <f>VLOOKUP($Q12920,매칭테이블!$F:$I,4,0)*K12920</f>
        <v/>
      </c>
      <c r="P12920" s="152">
        <f>M12920/1.1</f>
        <v/>
      </c>
      <c r="Q12920" s="88">
        <f>F12920&amp;E12920&amp;G12920&amp;L12920</f>
        <v/>
      </c>
    </row>
    <row r="12921">
      <c r="B12921" s="128" t="n">
        <v>44196</v>
      </c>
      <c r="C12921" s="88">
        <f>TEXT(B12921,"aaa")</f>
        <v/>
      </c>
      <c r="E12921" s="88">
        <f>INDEX(매칭테이블!C:D,MATCH(RD!G12921,매칭테이블!D:D,0),1)</f>
        <v/>
      </c>
      <c r="F12921" s="94" t="inlineStr">
        <is>
          <t>카페24</t>
        </is>
      </c>
      <c r="G12921" s="94" t="inlineStr">
        <is>
          <t>어성초 77 진정 마스크옵션=어성초 77 진정 마스크팩 10장-50% off</t>
        </is>
      </c>
      <c r="K12921" s="94" t="n">
        <v>1</v>
      </c>
      <c r="L12921" s="88" t="n">
        <v>201208</v>
      </c>
      <c r="M12921" s="88">
        <f>VLOOKUP($Q12921,매칭테이블!$F:$I,2,0)*K12921</f>
        <v/>
      </c>
      <c r="N12921" s="88">
        <f>M12921-M12921*VLOOKUP($Q12921,매칭테이블!$F:$I,3,0)</f>
        <v/>
      </c>
      <c r="O12921" s="88">
        <f>VLOOKUP($Q12921,매칭테이블!$F:$I,4,0)*K12921</f>
        <v/>
      </c>
      <c r="P12921" s="152">
        <f>M12921/1.1</f>
        <v/>
      </c>
      <c r="Q12921" s="88">
        <f>F12921&amp;E12921&amp;G12921&amp;L12921</f>
        <v/>
      </c>
    </row>
    <row r="12922">
      <c r="B12922" s="128" t="n">
        <v>44196</v>
      </c>
      <c r="C12922" s="88">
        <f>TEXT(B12922,"aaa")</f>
        <v/>
      </c>
      <c r="E12922" s="88">
        <f>INDEX(매칭테이블!C:D,MATCH(RD!G12922,매칭테이블!D:D,0),1)</f>
        <v/>
      </c>
      <c r="F12922" s="94" t="inlineStr">
        <is>
          <t>카페24</t>
        </is>
      </c>
      <c r="G12922" s="94" t="inlineStr">
        <is>
          <t>어성초 77 클리어 패드옵션=어성초 77 클리어 패드 1개-20% off</t>
        </is>
      </c>
      <c r="K12922" s="94" t="n">
        <v>34</v>
      </c>
      <c r="L12922" s="88" t="n">
        <v>201208</v>
      </c>
      <c r="M12922" s="88">
        <f>VLOOKUP($Q12922,매칭테이블!$F:$I,2,0)*K12922</f>
        <v/>
      </c>
      <c r="N12922" s="88">
        <f>M12922-M12922*VLOOKUP($Q12922,매칭테이블!$F:$I,3,0)</f>
        <v/>
      </c>
      <c r="O12922" s="88">
        <f>VLOOKUP($Q12922,매칭테이블!$F:$I,4,0)*K12922</f>
        <v/>
      </c>
      <c r="P12922" s="152">
        <f>M12922/1.1</f>
        <v/>
      </c>
      <c r="Q12922" s="88">
        <f>F12922&amp;E12922&amp;G12922&amp;L12922</f>
        <v/>
      </c>
    </row>
    <row r="12923">
      <c r="B12923" s="128" t="n">
        <v>44196</v>
      </c>
      <c r="C12923" s="88">
        <f>TEXT(B12923,"aaa")</f>
        <v/>
      </c>
      <c r="E12923" s="88">
        <f>INDEX(매칭테이블!C:D,MATCH(RD!G12923,매칭테이블!D:D,0),1)</f>
        <v/>
      </c>
      <c r="F12923" s="94" t="inlineStr">
        <is>
          <t>카페24</t>
        </is>
      </c>
      <c r="G12923" s="94" t="inlineStr">
        <is>
          <t>어성초 77 클리어 패드옵션=어성초 77 클리어 패드 2개-30% off (무료배송)</t>
        </is>
      </c>
      <c r="K12923" s="94" t="n">
        <v>33</v>
      </c>
      <c r="L12923" s="88" t="n">
        <v>201208</v>
      </c>
      <c r="M12923" s="88">
        <f>VLOOKUP($Q12923,매칭테이블!$F:$I,2,0)*K12923</f>
        <v/>
      </c>
      <c r="N12923" s="88">
        <f>M12923-M12923*VLOOKUP($Q12923,매칭테이블!$F:$I,3,0)</f>
        <v/>
      </c>
      <c r="O12923" s="88">
        <f>VLOOKUP($Q12923,매칭테이블!$F:$I,4,0)*K12923</f>
        <v/>
      </c>
      <c r="P12923" s="152">
        <f>M12923/1.1</f>
        <v/>
      </c>
      <c r="Q12923" s="88">
        <f>F12923&amp;E12923&amp;G12923&amp;L12923</f>
        <v/>
      </c>
    </row>
    <row r="12924">
      <c r="B12924" s="128" t="n">
        <v>44196</v>
      </c>
      <c r="C12924" s="88">
        <f>TEXT(B12924,"aaa")</f>
        <v/>
      </c>
      <c r="E12924" s="88">
        <f>INDEX(매칭테이블!C:D,MATCH(RD!G12924,매칭테이블!D:D,0),1)</f>
        <v/>
      </c>
      <c r="F12924" s="94" t="inlineStr">
        <is>
          <t>카페24</t>
        </is>
      </c>
      <c r="G12924" s="94" t="inlineStr">
        <is>
          <t>어성초 77 클리어 패드옵션=어성초77토너1개+어성초77패드1개-30% off (무료배송)</t>
        </is>
      </c>
      <c r="K12924" s="94" t="n">
        <v>29</v>
      </c>
      <c r="L12924" s="88" t="n">
        <v>201208</v>
      </c>
      <c r="M12924" s="88">
        <f>VLOOKUP($Q12924,매칭테이블!$F:$I,2,0)*K12924</f>
        <v/>
      </c>
      <c r="N12924" s="88">
        <f>M12924-M12924*VLOOKUP($Q12924,매칭테이블!$F:$I,3,0)</f>
        <v/>
      </c>
      <c r="O12924" s="88">
        <f>VLOOKUP($Q12924,매칭테이블!$F:$I,4,0)*K12924</f>
        <v/>
      </c>
      <c r="P12924" s="152">
        <f>M12924/1.1</f>
        <v/>
      </c>
      <c r="Q12924" s="88">
        <f>F12924&amp;E12924&amp;G12924&amp;L12924</f>
        <v/>
      </c>
    </row>
    <row r="12925">
      <c r="B12925" s="128" t="n">
        <v>44196</v>
      </c>
      <c r="C12925" s="88">
        <f>TEXT(B12925,"aaa")</f>
        <v/>
      </c>
      <c r="E12925" s="88">
        <f>INDEX(매칭테이블!C:D,MATCH(RD!G12925,매칭테이블!D:D,0),1)</f>
        <v/>
      </c>
      <c r="F12925" s="94" t="inlineStr">
        <is>
          <t>카페24</t>
        </is>
      </c>
      <c r="G12925" s="94" t="inlineStr">
        <is>
          <t>어성초 77 토너</t>
        </is>
      </c>
      <c r="K12925" s="94" t="n">
        <v>2</v>
      </c>
      <c r="L12925" s="88" t="n">
        <v>201208</v>
      </c>
      <c r="M12925" s="88">
        <f>VLOOKUP($Q12925,매칭테이블!$F:$I,2,0)*K12925</f>
        <v/>
      </c>
      <c r="N12925" s="88">
        <f>M12925-M12925*VLOOKUP($Q12925,매칭테이블!$F:$I,3,0)</f>
        <v/>
      </c>
      <c r="O12925" s="88">
        <f>VLOOKUP($Q12925,매칭테이블!$F:$I,4,0)*K12925</f>
        <v/>
      </c>
      <c r="P12925" s="152">
        <f>M12925/1.1</f>
        <v/>
      </c>
      <c r="Q12925" s="88">
        <f>F12925&amp;E12925&amp;G12925&amp;L12925</f>
        <v/>
      </c>
    </row>
    <row r="12926">
      <c r="B12926" s="128" t="n">
        <v>44196</v>
      </c>
      <c r="C12926" s="88">
        <f>TEXT(B12926,"aaa")</f>
        <v/>
      </c>
      <c r="E12926" s="88">
        <f>INDEX(매칭테이블!C:D,MATCH(RD!G12926,매칭테이블!D:D,0),1)</f>
        <v/>
      </c>
      <c r="F12926" s="94" t="inlineStr">
        <is>
          <t>카페24</t>
        </is>
      </c>
      <c r="G12926" s="94" t="inlineStr">
        <is>
          <t>어성초 77 포어 클리어 패드옵션=어성초 77 클리어 패드 1개-20% off</t>
        </is>
      </c>
      <c r="K12926" s="94" t="n">
        <v>14</v>
      </c>
      <c r="L12926" s="88" t="n">
        <v>201208</v>
      </c>
      <c r="M12926" s="88">
        <f>VLOOKUP($Q12926,매칭테이블!$F:$I,2,0)*K12926</f>
        <v/>
      </c>
      <c r="N12926" s="88">
        <f>M12926-M12926*VLOOKUP($Q12926,매칭테이블!$F:$I,3,0)</f>
        <v/>
      </c>
      <c r="O12926" s="88">
        <f>VLOOKUP($Q12926,매칭테이블!$F:$I,4,0)*K12926</f>
        <v/>
      </c>
      <c r="P12926" s="152">
        <f>M12926/1.1</f>
        <v/>
      </c>
      <c r="Q12926" s="88">
        <f>F12926&amp;E12926&amp;G12926&amp;L12926</f>
        <v/>
      </c>
    </row>
    <row r="12927">
      <c r="B12927" s="128" t="n">
        <v>44196</v>
      </c>
      <c r="C12927" s="88">
        <f>TEXT(B12927,"aaa")</f>
        <v/>
      </c>
      <c r="E12927" s="88">
        <f>INDEX(매칭테이블!C:D,MATCH(RD!G12927,매칭테이블!D:D,0),1)</f>
        <v/>
      </c>
      <c r="F12927" s="94" t="inlineStr">
        <is>
          <t>카페24</t>
        </is>
      </c>
      <c r="G12927" s="94" t="inlineStr">
        <is>
          <t>어성초 77 포어 클리어 패드옵션=어성초 77 클리어 패드 2개-30% off (무료배송)</t>
        </is>
      </c>
      <c r="K12927" s="94" t="n">
        <v>29</v>
      </c>
      <c r="L12927" s="88" t="n">
        <v>201208</v>
      </c>
      <c r="M12927" s="88">
        <f>VLOOKUP($Q12927,매칭테이블!$F:$I,2,0)*K12927</f>
        <v/>
      </c>
      <c r="N12927" s="88">
        <f>M12927-M12927*VLOOKUP($Q12927,매칭테이블!$F:$I,3,0)</f>
        <v/>
      </c>
      <c r="O12927" s="88">
        <f>VLOOKUP($Q12927,매칭테이블!$F:$I,4,0)*K12927</f>
        <v/>
      </c>
      <c r="P12927" s="152">
        <f>M12927/1.1</f>
        <v/>
      </c>
      <c r="Q12927" s="88">
        <f>F12927&amp;E12927&amp;G12927&amp;L12927</f>
        <v/>
      </c>
    </row>
    <row r="12928">
      <c r="B12928" s="128" t="n">
        <v>44196</v>
      </c>
      <c r="C12928" s="88">
        <f>TEXT(B12928,"aaa")</f>
        <v/>
      </c>
      <c r="E12928" s="88">
        <f>INDEX(매칭테이블!C:D,MATCH(RD!G12928,매칭테이블!D:D,0),1)</f>
        <v/>
      </c>
      <c r="F12928" s="94" t="inlineStr">
        <is>
          <t>카페24</t>
        </is>
      </c>
      <c r="G12928" s="94" t="inlineStr">
        <is>
          <t>어성초 77 포어 클리어 패드옵션=어성초77토너1개+어성초77패드1개-30% off (무료배송)</t>
        </is>
      </c>
      <c r="K12928" s="94" t="n">
        <v>17</v>
      </c>
      <c r="L12928" s="88" t="n">
        <v>201208</v>
      </c>
      <c r="M12928" s="88">
        <f>VLOOKUP($Q12928,매칭테이블!$F:$I,2,0)*K12928</f>
        <v/>
      </c>
      <c r="N12928" s="88">
        <f>M12928-M12928*VLOOKUP($Q12928,매칭테이블!$F:$I,3,0)</f>
        <v/>
      </c>
      <c r="O12928" s="88">
        <f>VLOOKUP($Q12928,매칭테이블!$F:$I,4,0)*K12928</f>
        <v/>
      </c>
      <c r="P12928" s="152">
        <f>M12928/1.1</f>
        <v/>
      </c>
      <c r="Q12928" s="88">
        <f>F12928&amp;E12928&amp;G12928&amp;L12928</f>
        <v/>
      </c>
    </row>
    <row r="12929">
      <c r="B12929" s="128" t="n">
        <v>44196</v>
      </c>
      <c r="C12929" s="88">
        <f>TEXT(B12929,"aaa")</f>
        <v/>
      </c>
      <c r="E12929" s="88">
        <f>INDEX(매칭테이블!C:D,MATCH(RD!G12929,매칭테이블!D:D,0),1)</f>
        <v/>
      </c>
      <c r="F12929" s="94" t="inlineStr">
        <is>
          <t>카페24</t>
        </is>
      </c>
      <c r="G12929" s="94" t="inlineStr">
        <is>
          <t>어성초 77% 패드옵션=어성초 77 클리어 패드 1개-20% off</t>
        </is>
      </c>
      <c r="K12929" s="94" t="n">
        <v>70</v>
      </c>
      <c r="L12929" s="88" t="n">
        <v>201208</v>
      </c>
      <c r="M12929" s="88">
        <f>VLOOKUP($Q12929,매칭테이블!$F:$I,2,0)*K12929</f>
        <v/>
      </c>
      <c r="N12929" s="88">
        <f>M12929-M12929*VLOOKUP($Q12929,매칭테이블!$F:$I,3,0)</f>
        <v/>
      </c>
      <c r="O12929" s="88">
        <f>VLOOKUP($Q12929,매칭테이블!$F:$I,4,0)*K12929</f>
        <v/>
      </c>
      <c r="P12929" s="152">
        <f>M12929/1.1</f>
        <v/>
      </c>
      <c r="Q12929" s="88">
        <f>F12929&amp;E12929&amp;G12929&amp;L12929</f>
        <v/>
      </c>
    </row>
    <row r="12930">
      <c r="B12930" s="128" t="n">
        <v>44196</v>
      </c>
      <c r="C12930" s="88">
        <f>TEXT(B12930,"aaa")</f>
        <v/>
      </c>
      <c r="E12930" s="88">
        <f>INDEX(매칭테이블!C:D,MATCH(RD!G12930,매칭테이블!D:D,0),1)</f>
        <v/>
      </c>
      <c r="F12930" s="94" t="inlineStr">
        <is>
          <t>카페24</t>
        </is>
      </c>
      <c r="G12930" s="94" t="inlineStr">
        <is>
          <t>어성초 77% 패드옵션=어성초 77 클리어 패드 2개-30% off (무료배송)</t>
        </is>
      </c>
      <c r="K12930" s="94" t="n">
        <v>66</v>
      </c>
      <c r="L12930" s="88" t="n">
        <v>201208</v>
      </c>
      <c r="M12930" s="88">
        <f>VLOOKUP($Q12930,매칭테이블!$F:$I,2,0)*K12930</f>
        <v/>
      </c>
      <c r="N12930" s="88">
        <f>M12930-M12930*VLOOKUP($Q12930,매칭테이블!$F:$I,3,0)</f>
        <v/>
      </c>
      <c r="O12930" s="88">
        <f>VLOOKUP($Q12930,매칭테이블!$F:$I,4,0)*K12930</f>
        <v/>
      </c>
      <c r="P12930" s="152">
        <f>M12930/1.1</f>
        <v/>
      </c>
      <c r="Q12930" s="88">
        <f>F12930&amp;E12930&amp;G12930&amp;L12930</f>
        <v/>
      </c>
    </row>
    <row r="12931">
      <c r="B12931" s="128" t="n">
        <v>44196</v>
      </c>
      <c r="C12931" s="88">
        <f>TEXT(B12931,"aaa")</f>
        <v/>
      </c>
      <c r="E12931" s="88">
        <f>INDEX(매칭테이블!C:D,MATCH(RD!G12931,매칭테이블!D:D,0),1)</f>
        <v/>
      </c>
      <c r="F12931" s="94" t="inlineStr">
        <is>
          <t>카페24</t>
        </is>
      </c>
      <c r="G12931" s="94" t="inlineStr">
        <is>
          <t>어성초 77% 패드옵션=어성초77토너1개+어성초77패드1개-30% off (무료배송)</t>
        </is>
      </c>
      <c r="K12931" s="94" t="n">
        <v>23</v>
      </c>
      <c r="L12931" s="88" t="n">
        <v>201208</v>
      </c>
      <c r="M12931" s="88">
        <f>VLOOKUP($Q12931,매칭테이블!$F:$I,2,0)*K12931</f>
        <v/>
      </c>
      <c r="N12931" s="88">
        <f>M12931-M12931*VLOOKUP($Q12931,매칭테이블!$F:$I,3,0)</f>
        <v/>
      </c>
      <c r="O12931" s="88">
        <f>VLOOKUP($Q12931,매칭테이블!$F:$I,4,0)*K12931</f>
        <v/>
      </c>
      <c r="P12931" s="152">
        <f>M12931/1.1</f>
        <v/>
      </c>
      <c r="Q12931" s="88">
        <f>F12931&amp;E12931&amp;G12931&amp;L12931</f>
        <v/>
      </c>
    </row>
    <row r="12932">
      <c r="B12932" s="128" t="n">
        <v>44196</v>
      </c>
      <c r="C12932" s="88">
        <f>TEXT(B12932,"aaa")</f>
        <v/>
      </c>
      <c r="E12932" s="88">
        <f>INDEX(매칭테이블!C:D,MATCH(RD!G12932,매칭테이블!D:D,0),1)</f>
        <v/>
      </c>
      <c r="F12932" s="94" t="inlineStr">
        <is>
          <t>카페24</t>
        </is>
      </c>
      <c r="G12932" s="94" t="inlineStr">
        <is>
          <t>어성초 78 수딩 크림</t>
        </is>
      </c>
      <c r="K12932" s="94" t="n">
        <v>3</v>
      </c>
      <c r="L12932" s="88" t="n">
        <v>201208</v>
      </c>
      <c r="M12932" s="88">
        <f>VLOOKUP($Q12932,매칭테이블!$F:$I,2,0)*K12932</f>
        <v/>
      </c>
      <c r="N12932" s="88">
        <f>M12932-M12932*VLOOKUP($Q12932,매칭테이블!$F:$I,3,0)</f>
        <v/>
      </c>
      <c r="O12932" s="88">
        <f>VLOOKUP($Q12932,매칭테이블!$F:$I,4,0)*K12932</f>
        <v/>
      </c>
      <c r="P12932" s="152">
        <f>M12932/1.1</f>
        <v/>
      </c>
      <c r="Q12932" s="88">
        <f>F12932&amp;E12932&amp;G12932&amp;L12932</f>
        <v/>
      </c>
    </row>
    <row r="12933">
      <c r="B12933" s="128" t="n">
        <v>44196</v>
      </c>
      <c r="C12933" s="88">
        <f>TEXT(B12933,"aaa")</f>
        <v/>
      </c>
      <c r="E12933" s="88">
        <f>INDEX(매칭테이블!C:D,MATCH(RD!G12933,매칭테이블!D:D,0),1)</f>
        <v/>
      </c>
      <c r="F12933" s="94" t="inlineStr">
        <is>
          <t>카페24</t>
        </is>
      </c>
      <c r="G12933" s="94" t="inlineStr">
        <is>
          <t>어성초 78 수딩 크림</t>
        </is>
      </c>
      <c r="K12933" s="94" t="n">
        <v>1</v>
      </c>
      <c r="L12933" s="88" t="n">
        <v>201208</v>
      </c>
      <c r="M12933" s="88">
        <f>VLOOKUP($Q12933,매칭테이블!$F:$I,2,0)*K12933</f>
        <v/>
      </c>
      <c r="N12933" s="88">
        <f>M12933-M12933*VLOOKUP($Q12933,매칭테이블!$F:$I,3,0)</f>
        <v/>
      </c>
      <c r="O12933" s="88">
        <f>VLOOKUP($Q12933,매칭테이블!$F:$I,4,0)*K12933</f>
        <v/>
      </c>
      <c r="P12933" s="152">
        <f>M12933/1.1</f>
        <v/>
      </c>
      <c r="Q12933" s="88">
        <f>F12933&amp;E12933&amp;G12933&amp;L12933</f>
        <v/>
      </c>
    </row>
    <row r="12934">
      <c r="B12934" s="128" t="n">
        <v>44196</v>
      </c>
      <c r="C12934" s="88">
        <f>TEXT(B12934,"aaa")</f>
        <v/>
      </c>
      <c r="E12934" s="88">
        <f>INDEX(매칭테이블!C:D,MATCH(RD!G12934,매칭테이블!D:D,0),1)</f>
        <v/>
      </c>
      <c r="F12934" s="94" t="inlineStr">
        <is>
          <t>카페24</t>
        </is>
      </c>
      <c r="G12934" s="94" t="inlineStr">
        <is>
          <t>어성초 80 수분 진정 앰플앰플=어성초 80 앰플 1개-15%off</t>
        </is>
      </c>
      <c r="K12934" s="94" t="n">
        <v>11</v>
      </c>
      <c r="L12934" s="88" t="n">
        <v>201208</v>
      </c>
      <c r="M12934" s="88">
        <f>VLOOKUP($Q12934,매칭테이블!$F:$I,2,0)*K12934</f>
        <v/>
      </c>
      <c r="N12934" s="88">
        <f>M12934-M12934*VLOOKUP($Q12934,매칭테이블!$F:$I,3,0)</f>
        <v/>
      </c>
      <c r="O12934" s="88">
        <f>VLOOKUP($Q12934,매칭테이블!$F:$I,4,0)*K12934</f>
        <v/>
      </c>
      <c r="P12934" s="152">
        <f>M12934/1.1</f>
        <v/>
      </c>
      <c r="Q12934" s="88">
        <f>F12934&amp;E12934&amp;G12934&amp;L12934</f>
        <v/>
      </c>
    </row>
    <row r="12935">
      <c r="B12935" s="128" t="n">
        <v>44196</v>
      </c>
      <c r="C12935" s="88">
        <f>TEXT(B12935,"aaa")</f>
        <v/>
      </c>
      <c r="E12935" s="88">
        <f>INDEX(매칭테이블!C:D,MATCH(RD!G12935,매칭테이블!D:D,0),1)</f>
        <v/>
      </c>
      <c r="F12935" s="94" t="inlineStr">
        <is>
          <t>카페24</t>
        </is>
      </c>
      <c r="G12935" s="94" t="inlineStr">
        <is>
          <t>어성초 80 수분 진정 앰플앰플=어성초 80 앰플 2개-27%off (무료배송)</t>
        </is>
      </c>
      <c r="K12935" s="94" t="n">
        <v>5</v>
      </c>
      <c r="L12935" s="88" t="n">
        <v>201208</v>
      </c>
      <c r="M12935" s="88">
        <f>VLOOKUP($Q12935,매칭테이블!$F:$I,2,0)*K12935</f>
        <v/>
      </c>
      <c r="N12935" s="88">
        <f>M12935-M12935*VLOOKUP($Q12935,매칭테이블!$F:$I,3,0)</f>
        <v/>
      </c>
      <c r="O12935" s="88">
        <f>VLOOKUP($Q12935,매칭테이블!$F:$I,4,0)*K12935</f>
        <v/>
      </c>
      <c r="P12935" s="152">
        <f>M12935/1.1</f>
        <v/>
      </c>
      <c r="Q12935" s="88">
        <f>F12935&amp;E12935&amp;G12935&amp;L12935</f>
        <v/>
      </c>
    </row>
    <row r="12936">
      <c r="B12936" s="128" t="n">
        <v>44196</v>
      </c>
      <c r="C12936" s="88">
        <f>TEXT(B12936,"aaa")</f>
        <v/>
      </c>
      <c r="E12936" s="88">
        <f>INDEX(매칭테이블!C:D,MATCH(RD!G12936,매칭테이블!D:D,0),1)</f>
        <v/>
      </c>
      <c r="F12936" s="94" t="inlineStr">
        <is>
          <t>카페24</t>
        </is>
      </c>
      <c r="G12936" s="94" t="inlineStr">
        <is>
          <t>어성초 80 수분 진정 앰플</t>
        </is>
      </c>
      <c r="K12936" s="94" t="n">
        <v>4</v>
      </c>
      <c r="L12936" s="88" t="n">
        <v>201208</v>
      </c>
      <c r="M12936" s="88">
        <f>VLOOKUP($Q12936,매칭테이블!$F:$I,2,0)*K12936</f>
        <v/>
      </c>
      <c r="N12936" s="88">
        <f>M12936-M12936*VLOOKUP($Q12936,매칭테이블!$F:$I,3,0)</f>
        <v/>
      </c>
      <c r="O12936" s="88">
        <f>VLOOKUP($Q12936,매칭테이블!$F:$I,4,0)*K12936</f>
        <v/>
      </c>
      <c r="P12936" s="152">
        <f>M12936/1.1</f>
        <v/>
      </c>
      <c r="Q12936" s="88">
        <f>F12936&amp;E12936&amp;G12936&amp;L12936</f>
        <v/>
      </c>
    </row>
    <row r="12937">
      <c r="B12937" s="128" t="n">
        <v>44196</v>
      </c>
      <c r="C12937" s="88">
        <f>TEXT(B12937,"aaa")</f>
        <v/>
      </c>
      <c r="E12937" s="88">
        <f>INDEX(매칭테이블!C:D,MATCH(RD!G12937,매칭테이블!D:D,0),1)</f>
        <v/>
      </c>
      <c r="F12937" s="94" t="inlineStr">
        <is>
          <t>카페24</t>
        </is>
      </c>
      <c r="G12937" s="94" t="inlineStr">
        <is>
          <t>어성초 아크네 바디워시옵션=어성초 아크네 바디워시 1개 -30% off</t>
        </is>
      </c>
      <c r="K12937" s="94" t="n">
        <v>1</v>
      </c>
      <c r="L12937" s="88" t="n">
        <v>201208</v>
      </c>
      <c r="M12937" s="88">
        <f>VLOOKUP($Q12937,매칭테이블!$F:$I,2,0)*K12937</f>
        <v/>
      </c>
      <c r="N12937" s="88">
        <f>M12937-M12937*VLOOKUP($Q12937,매칭테이블!$F:$I,3,0)</f>
        <v/>
      </c>
      <c r="O12937" s="88">
        <f>VLOOKUP($Q12937,매칭테이블!$F:$I,4,0)*K12937</f>
        <v/>
      </c>
      <c r="P12937" s="152">
        <f>M12937/1.1</f>
        <v/>
      </c>
      <c r="Q12937" s="88">
        <f>F12937&amp;E12937&amp;G12937&amp;L12937</f>
        <v/>
      </c>
    </row>
    <row r="12938">
      <c r="B12938" s="128" t="n">
        <v>44196</v>
      </c>
      <c r="C12938" s="88">
        <f>TEXT(B12938,"aaa")</f>
        <v/>
      </c>
      <c r="E12938" s="88">
        <f>INDEX(매칭테이블!C:D,MATCH(RD!G12938,매칭테이블!D:D,0),1)</f>
        <v/>
      </c>
      <c r="F12938" s="94" t="inlineStr">
        <is>
          <t>카페24</t>
        </is>
      </c>
      <c r="G12938" s="94" t="inlineStr">
        <is>
          <t>어성초 아크네 바디워시옵션=어성초 아크네 바디워시 2개 -35% off (무료배송)</t>
        </is>
      </c>
      <c r="K12938" s="94" t="n">
        <v>2</v>
      </c>
      <c r="L12938" s="88" t="n">
        <v>201208</v>
      </c>
      <c r="M12938" s="88">
        <f>VLOOKUP($Q12938,매칭테이블!$F:$I,2,0)*K12938</f>
        <v/>
      </c>
      <c r="N12938" s="88">
        <f>M12938-M12938*VLOOKUP($Q12938,매칭테이블!$F:$I,3,0)</f>
        <v/>
      </c>
      <c r="O12938" s="88">
        <f>VLOOKUP($Q12938,매칭테이블!$F:$I,4,0)*K12938</f>
        <v/>
      </c>
      <c r="P12938" s="152">
        <f>M12938/1.1</f>
        <v/>
      </c>
      <c r="Q12938" s="88">
        <f>F12938&amp;E12938&amp;G12938&amp;L12938</f>
        <v/>
      </c>
    </row>
    <row r="12939">
      <c r="B12939" s="128" t="n">
        <v>44196</v>
      </c>
      <c r="C12939" s="88">
        <f>TEXT(B12939,"aaa")</f>
        <v/>
      </c>
      <c r="E12939" s="88">
        <f>INDEX(매칭테이블!C:D,MATCH(RD!G12939,매칭테이블!D:D,0),1)</f>
        <v/>
      </c>
      <c r="F12939" s="94" t="inlineStr">
        <is>
          <t>카페24</t>
        </is>
      </c>
      <c r="G12939" s="94" t="inlineStr">
        <is>
          <t>어성초 약산성 클렌징폼클렌징폼=어성초 약산성 클렌징폼 1개 -19%off</t>
        </is>
      </c>
      <c r="K12939" s="94" t="n">
        <v>12</v>
      </c>
      <c r="L12939" s="88" t="n">
        <v>201208</v>
      </c>
      <c r="M12939" s="88">
        <f>VLOOKUP($Q12939,매칭테이블!$F:$I,2,0)*K12939</f>
        <v/>
      </c>
      <c r="N12939" s="88">
        <f>M12939-M12939*VLOOKUP($Q12939,매칭테이블!$F:$I,3,0)</f>
        <v/>
      </c>
      <c r="O12939" s="88">
        <f>VLOOKUP($Q12939,매칭테이블!$F:$I,4,0)*K12939</f>
        <v/>
      </c>
      <c r="P12939" s="152">
        <f>M12939/1.1</f>
        <v/>
      </c>
      <c r="Q12939" s="88">
        <f>F12939&amp;E12939&amp;G12939&amp;L12939</f>
        <v/>
      </c>
    </row>
    <row r="12940">
      <c r="B12940" s="128" t="n">
        <v>44196</v>
      </c>
      <c r="C12940" s="88">
        <f>TEXT(B12940,"aaa")</f>
        <v/>
      </c>
      <c r="E12940" s="88">
        <f>INDEX(매칭테이블!C:D,MATCH(RD!G12940,매칭테이블!D:D,0),1)</f>
        <v/>
      </c>
      <c r="F12940" s="94" t="inlineStr">
        <is>
          <t>카페24</t>
        </is>
      </c>
      <c r="G12940" s="94" t="inlineStr">
        <is>
          <t>어성초 약산성 클렌징폼클렌징폼=어성초 약산성 클렌징폼 2개 -25%off</t>
        </is>
      </c>
      <c r="K12940" s="94" t="n">
        <v>3</v>
      </c>
      <c r="L12940" s="88" t="n">
        <v>201208</v>
      </c>
      <c r="M12940" s="88">
        <f>VLOOKUP($Q12940,매칭테이블!$F:$I,2,0)*K12940</f>
        <v/>
      </c>
      <c r="N12940" s="88">
        <f>M12940-M12940*VLOOKUP($Q12940,매칭테이블!$F:$I,3,0)</f>
        <v/>
      </c>
      <c r="O12940" s="88">
        <f>VLOOKUP($Q12940,매칭테이블!$F:$I,4,0)*K12940</f>
        <v/>
      </c>
      <c r="P12940" s="152">
        <f>M12940/1.1</f>
        <v/>
      </c>
      <c r="Q12940" s="88">
        <f>F12940&amp;E12940&amp;G12940&amp;L12940</f>
        <v/>
      </c>
    </row>
    <row r="12941">
      <c r="B12941" s="128" t="n">
        <v>44196</v>
      </c>
      <c r="C12941" s="88">
        <f>TEXT(B12941,"aaa")</f>
        <v/>
      </c>
      <c r="E12941" s="88">
        <f>INDEX(매칭테이블!C:D,MATCH(RD!G12941,매칭테이블!D:D,0),1)</f>
        <v/>
      </c>
      <c r="F12941" s="94" t="inlineStr">
        <is>
          <t>카페24</t>
        </is>
      </c>
      <c r="G12941" s="94" t="inlineStr">
        <is>
          <t>어성초 약산성 클렌징폼클렌징폼=어성초 약산성 클렌징폼 3개 -31%off (무료배송)</t>
        </is>
      </c>
      <c r="K12941" s="94" t="n">
        <v>1</v>
      </c>
      <c r="L12941" s="88" t="n">
        <v>201208</v>
      </c>
      <c r="M12941" s="88">
        <f>VLOOKUP($Q12941,매칭테이블!$F:$I,2,0)*K12941</f>
        <v/>
      </c>
      <c r="N12941" s="88">
        <f>M12941-M12941*VLOOKUP($Q12941,매칭테이블!$F:$I,3,0)</f>
        <v/>
      </c>
      <c r="O12941" s="88">
        <f>VLOOKUP($Q12941,매칭테이블!$F:$I,4,0)*K12941</f>
        <v/>
      </c>
      <c r="P12941" s="152">
        <f>M12941/1.1</f>
        <v/>
      </c>
      <c r="Q12941" s="88">
        <f>F12941&amp;E12941&amp;G12941&amp;L12941</f>
        <v/>
      </c>
    </row>
    <row r="12942">
      <c r="B12942" s="128" t="n">
        <v>44196</v>
      </c>
      <c r="C12942" s="88">
        <f>TEXT(B12942,"aaa")</f>
        <v/>
      </c>
      <c r="E12942" s="88">
        <f>INDEX(매칭테이블!C:D,MATCH(RD!G12942,매칭테이블!D:D,0),1)</f>
        <v/>
      </c>
      <c r="F12942" s="94" t="inlineStr">
        <is>
          <t>카페24</t>
        </is>
      </c>
      <c r="G12942" s="94" t="inlineStr">
        <is>
          <t>어성초 크림마스크 나이트 솔루션옵션=어성초 크림마스크 나이트 솔루션 10장 (-50%)</t>
        </is>
      </c>
      <c r="K12942" s="94" t="n">
        <v>1</v>
      </c>
      <c r="L12942" s="88" t="n">
        <v>201208</v>
      </c>
      <c r="M12942" s="88">
        <f>VLOOKUP($Q12942,매칭테이블!$F:$I,2,0)*K12942</f>
        <v/>
      </c>
      <c r="N12942" s="88">
        <f>M12942-M12942*VLOOKUP($Q12942,매칭테이블!$F:$I,3,0)</f>
        <v/>
      </c>
      <c r="O12942" s="88">
        <f>VLOOKUP($Q12942,매칭테이블!$F:$I,4,0)*K12942</f>
        <v/>
      </c>
      <c r="P12942" s="152">
        <f>M12942/1.1</f>
        <v/>
      </c>
      <c r="Q12942" s="88">
        <f>F12942&amp;E12942&amp;G12942&amp;L12942</f>
        <v/>
      </c>
    </row>
    <row r="12943">
      <c r="B12943" s="128" t="n">
        <v>44196</v>
      </c>
      <c r="C12943" s="88">
        <f>TEXT(B12943,"aaa")</f>
        <v/>
      </c>
      <c r="E12943" s="88">
        <f>INDEX(매칭테이블!C:D,MATCH(RD!G12943,매칭테이블!D:D,0),1)</f>
        <v/>
      </c>
      <c r="F12943" s="94" t="inlineStr">
        <is>
          <t>카페24</t>
        </is>
      </c>
      <c r="G12943" s="94" t="inlineStr">
        <is>
          <t>촉촉 스킨팩 화장솜</t>
        </is>
      </c>
      <c r="K12943" s="94" t="n">
        <v>18</v>
      </c>
      <c r="L12943" s="88" t="n">
        <v>201208</v>
      </c>
      <c r="M12943" s="88">
        <f>VLOOKUP($Q12943,매칭테이블!$F:$I,2,0)*K12943</f>
        <v/>
      </c>
      <c r="N12943" s="88">
        <f>M12943-M12943*VLOOKUP($Q12943,매칭테이블!$F:$I,3,0)</f>
        <v/>
      </c>
      <c r="O12943" s="88">
        <f>VLOOKUP($Q12943,매칭테이블!$F:$I,4,0)*K12943</f>
        <v/>
      </c>
      <c r="P12943" s="152">
        <f>M12943/1.1</f>
        <v/>
      </c>
      <c r="Q12943" s="88">
        <f>F12943&amp;E12943&amp;G12943&amp;L12943</f>
        <v/>
      </c>
    </row>
    <row r="12944">
      <c r="B12944" s="128" t="n">
        <v>44197</v>
      </c>
      <c r="C12944" s="88">
        <f>TEXT(B12944,"aaa")</f>
        <v/>
      </c>
      <c r="E12944" s="88">
        <f>INDEX(매칭테이블!C:D,MATCH(RD!G12944,매칭테이블!D:D,0),1)</f>
        <v/>
      </c>
      <c r="F12944" s="94" t="inlineStr">
        <is>
          <t>스타일쉐어</t>
        </is>
      </c>
      <c r="G12944" s="94" t="inlineStr">
        <is>
          <t>[연휴특가]아누아 어성초 77 토너 250ml</t>
        </is>
      </c>
      <c r="K12944" s="94" t="n">
        <v>1</v>
      </c>
      <c r="L12944" s="88" t="n">
        <v>201208</v>
      </c>
      <c r="M12944" s="88">
        <f>VLOOKUP($Q12944,매칭테이블!$F:$I,2,0)*K12944</f>
        <v/>
      </c>
      <c r="N12944" s="88">
        <f>M12944-M12944*VLOOKUP($Q12944,매칭테이블!$F:$I,3,0)</f>
        <v/>
      </c>
      <c r="O12944" s="88">
        <f>VLOOKUP($Q12944,매칭테이블!$F:$I,4,0)*K12944</f>
        <v/>
      </c>
      <c r="P12944" s="152">
        <f>M12944/1.1</f>
        <v/>
      </c>
      <c r="Q12944" s="88">
        <f>F12944&amp;E12944&amp;G12944&amp;L12944</f>
        <v/>
      </c>
    </row>
    <row r="12945">
      <c r="B12945" s="128" t="n">
        <v>44197</v>
      </c>
      <c r="C12945" s="88">
        <f>TEXT(B12945,"aaa")</f>
        <v/>
      </c>
      <c r="D12945" s="94" t="n"/>
      <c r="E12945" s="88">
        <f>INDEX(매칭테이블!C:D,MATCH(RD!G12945,매칭테이블!D:D,0),1)</f>
        <v/>
      </c>
      <c r="F12945" s="94" t="inlineStr">
        <is>
          <t>카페24</t>
        </is>
      </c>
      <c r="G12945" s="94" t="inlineStr">
        <is>
          <t>[수분 보충 세트] 어성초 77 토너 + 어성초 70 로션옵션=어성초 77 토너 250ml + 어성초 70 로션 200ml -30%</t>
        </is>
      </c>
      <c r="K12945" s="94" t="n">
        <v>33</v>
      </c>
      <c r="L12945" s="88" t="n">
        <v>201208</v>
      </c>
      <c r="M12945" s="88">
        <f>VLOOKUP($Q12945,매칭테이블!$F:$I,2,0)*K12945</f>
        <v/>
      </c>
      <c r="N12945" s="88">
        <f>M12945-M12945*VLOOKUP($Q12945,매칭테이블!$F:$I,3,0)</f>
        <v/>
      </c>
      <c r="O12945" s="88">
        <f>VLOOKUP($Q12945,매칭테이블!$F:$I,4,0)*K12945</f>
        <v/>
      </c>
      <c r="P12945" s="152">
        <f>M12945/1.1</f>
        <v/>
      </c>
      <c r="Q12945" s="88">
        <f>F12945&amp;E12945&amp;G12945&amp;L12945</f>
        <v/>
      </c>
    </row>
    <row r="12946">
      <c r="B12946" s="128" t="n">
        <v>44197</v>
      </c>
      <c r="C12946" s="88">
        <f>TEXT(B12946,"aaa")</f>
        <v/>
      </c>
      <c r="D12946" s="94" t="n"/>
      <c r="E12946" s="88">
        <f>INDEX(매칭테이블!C:D,MATCH(RD!G12946,매칭테이블!D:D,0),1)</f>
        <v/>
      </c>
      <c r="F12946" s="94" t="inlineStr">
        <is>
          <t>카페24</t>
        </is>
      </c>
      <c r="G12946" s="94" t="inlineStr">
        <is>
          <t>[어성초 진정 패키지 세트] 대용량 토너 + 앰플 + 수딩 크림 + 마스크팩 10장</t>
        </is>
      </c>
      <c r="K12946" s="94" t="n">
        <v>1</v>
      </c>
      <c r="L12946" s="88" t="n">
        <v>201208</v>
      </c>
      <c r="M12946" s="88">
        <f>VLOOKUP($Q12946,매칭테이블!$F:$I,2,0)*K12946</f>
        <v/>
      </c>
      <c r="N12946" s="88">
        <f>M12946-M12946*VLOOKUP($Q12946,매칭테이블!$F:$I,3,0)</f>
        <v/>
      </c>
      <c r="O12946" s="88">
        <f>VLOOKUP($Q12946,매칭테이블!$F:$I,4,0)*K12946</f>
        <v/>
      </c>
      <c r="P12946" s="152">
        <f>M12946/1.1</f>
        <v/>
      </c>
      <c r="Q12946" s="88">
        <f>F12946&amp;E12946&amp;G12946&amp;L12946</f>
        <v/>
      </c>
    </row>
    <row r="12947">
      <c r="B12947" s="128" t="n">
        <v>44197</v>
      </c>
      <c r="C12947" s="88">
        <f>TEXT(B12947,"aaa")</f>
        <v/>
      </c>
      <c r="D12947" s="94" t="n"/>
      <c r="E12947" s="88">
        <f>INDEX(매칭테이블!C:D,MATCH(RD!G12947,매칭테이블!D:D,0),1)</f>
        <v/>
      </c>
      <c r="F12947" s="94" t="inlineStr">
        <is>
          <t>카페24</t>
        </is>
      </c>
      <c r="G12947" s="94" t="inlineStr">
        <is>
          <t>대용량 어성초 77 수딩 토너 500ml</t>
        </is>
      </c>
      <c r="K12947" s="94" t="n">
        <v>20</v>
      </c>
      <c r="L12947" s="88" t="n">
        <v>201208</v>
      </c>
      <c r="M12947" s="88">
        <f>VLOOKUP($Q12947,매칭테이블!$F:$I,2,0)*K12947</f>
        <v/>
      </c>
      <c r="N12947" s="88">
        <f>M12947-M12947*VLOOKUP($Q12947,매칭테이블!$F:$I,3,0)</f>
        <v/>
      </c>
      <c r="O12947" s="88">
        <f>VLOOKUP($Q12947,매칭테이블!$F:$I,4,0)*K12947</f>
        <v/>
      </c>
      <c r="P12947" s="152">
        <f>M12947/1.1</f>
        <v/>
      </c>
      <c r="Q12947" s="88">
        <f>F12947&amp;E12947&amp;G12947&amp;L12947</f>
        <v/>
      </c>
    </row>
    <row r="12948">
      <c r="B12948" s="128" t="n">
        <v>44197</v>
      </c>
      <c r="C12948" s="88">
        <f>TEXT(B12948,"aaa")</f>
        <v/>
      </c>
      <c r="D12948" s="94" t="n"/>
      <c r="E12948" s="88">
        <f>INDEX(매칭테이블!C:D,MATCH(RD!G12948,매칭테이블!D:D,0),1)</f>
        <v/>
      </c>
      <c r="F12948" s="94" t="inlineStr">
        <is>
          <t>카페24</t>
        </is>
      </c>
      <c r="G12948" s="94" t="inlineStr">
        <is>
          <t>대용량 어성초 77 토너 500ml</t>
        </is>
      </c>
      <c r="K12948" s="94" t="n">
        <v>3</v>
      </c>
      <c r="L12948" s="88" t="n">
        <v>201208</v>
      </c>
      <c r="M12948" s="88">
        <f>VLOOKUP($Q12948,매칭테이블!$F:$I,2,0)*K12948</f>
        <v/>
      </c>
      <c r="N12948" s="88">
        <f>M12948-M12948*VLOOKUP($Q12948,매칭테이블!$F:$I,3,0)</f>
        <v/>
      </c>
      <c r="O12948" s="88">
        <f>VLOOKUP($Q12948,매칭테이블!$F:$I,4,0)*K12948</f>
        <v/>
      </c>
      <c r="P12948" s="152">
        <f>M12948/1.1</f>
        <v/>
      </c>
      <c r="Q12948" s="88">
        <f>F12948&amp;E12948&amp;G12948&amp;L12948</f>
        <v/>
      </c>
    </row>
    <row r="12949">
      <c r="B12949" s="128" t="n">
        <v>44197</v>
      </c>
      <c r="C12949" s="88">
        <f>TEXT(B12949,"aaa")</f>
        <v/>
      </c>
      <c r="D12949" s="94" t="n"/>
      <c r="E12949" s="88">
        <f>INDEX(매칭테이블!C:D,MATCH(RD!G12949,매칭테이블!D:D,0),1)</f>
        <v/>
      </c>
      <c r="F12949" s="94" t="inlineStr">
        <is>
          <t>카페24</t>
        </is>
      </c>
      <c r="G12949" s="94" t="inlineStr">
        <is>
          <t>아누아 어성초 77 수딩 토너토너(필수)=어성초 77 토너 2개-30% off (무료배송)</t>
        </is>
      </c>
      <c r="K12949" s="94" t="n">
        <v>1</v>
      </c>
      <c r="L12949" s="88" t="n">
        <v>201208</v>
      </c>
      <c r="M12949" s="88">
        <f>VLOOKUP($Q12949,매칭테이블!$F:$I,2,0)*K12949</f>
        <v/>
      </c>
      <c r="N12949" s="88">
        <f>M12949-M12949*VLOOKUP($Q12949,매칭테이블!$F:$I,3,0)</f>
        <v/>
      </c>
      <c r="O12949" s="88">
        <f>VLOOKUP($Q12949,매칭테이블!$F:$I,4,0)*K12949</f>
        <v/>
      </c>
      <c r="P12949" s="152">
        <f>M12949/1.1</f>
        <v/>
      </c>
      <c r="Q12949" s="88">
        <f>F12949&amp;E12949&amp;G12949&amp;L12949</f>
        <v/>
      </c>
    </row>
    <row r="12950">
      <c r="B12950" s="128" t="n">
        <v>44197</v>
      </c>
      <c r="C12950" s="88">
        <f>TEXT(B12950,"aaa")</f>
        <v/>
      </c>
      <c r="D12950" s="94" t="n"/>
      <c r="E12950" s="88">
        <f>INDEX(매칭테이블!C:D,MATCH(RD!G12950,매칭테이블!D:D,0),1)</f>
        <v/>
      </c>
      <c r="F12950" s="94" t="inlineStr">
        <is>
          <t>카페24</t>
        </is>
      </c>
      <c r="G12950" s="94" t="inlineStr">
        <is>
          <t>어성초 70 데일리 릴리프 로션로션=어성초 70 데일리 릴리프 로션 1개 -20% off</t>
        </is>
      </c>
      <c r="K12950" s="94" t="n">
        <v>15</v>
      </c>
      <c r="L12950" s="88" t="n">
        <v>201208</v>
      </c>
      <c r="M12950" s="88">
        <f>VLOOKUP($Q12950,매칭테이블!$F:$I,2,0)*K12950</f>
        <v/>
      </c>
      <c r="N12950" s="88">
        <f>M12950-M12950*VLOOKUP($Q12950,매칭테이블!$F:$I,3,0)</f>
        <v/>
      </c>
      <c r="O12950" s="88">
        <f>VLOOKUP($Q12950,매칭테이블!$F:$I,4,0)*K12950</f>
        <v/>
      </c>
      <c r="P12950" s="152">
        <f>M12950/1.1</f>
        <v/>
      </c>
      <c r="Q12950" s="88">
        <f>F12950&amp;E12950&amp;G12950&amp;L12950</f>
        <v/>
      </c>
    </row>
    <row r="12951">
      <c r="B12951" s="128" t="n">
        <v>44197</v>
      </c>
      <c r="C12951" s="88">
        <f>TEXT(B12951,"aaa")</f>
        <v/>
      </c>
      <c r="D12951" s="94" t="n"/>
      <c r="E12951" s="88">
        <f>INDEX(매칭테이블!C:D,MATCH(RD!G12951,매칭테이블!D:D,0),1)</f>
        <v/>
      </c>
      <c r="F12951" s="94" t="inlineStr">
        <is>
          <t>카페24</t>
        </is>
      </c>
      <c r="G12951" s="94" t="inlineStr">
        <is>
          <t>어성초 70 데일리 릴리프 로션로션=어성초 70 데일리 릴리프 로션 2개 -30% off</t>
        </is>
      </c>
      <c r="K12951" s="94" t="n">
        <v>2</v>
      </c>
      <c r="L12951" s="88" t="n">
        <v>201208</v>
      </c>
      <c r="M12951" s="88">
        <f>VLOOKUP($Q12951,매칭테이블!$F:$I,2,0)*K12951</f>
        <v/>
      </c>
      <c r="N12951" s="88">
        <f>M12951-M12951*VLOOKUP($Q12951,매칭테이블!$F:$I,3,0)</f>
        <v/>
      </c>
      <c r="O12951" s="88">
        <f>VLOOKUP($Q12951,매칭테이블!$F:$I,4,0)*K12951</f>
        <v/>
      </c>
      <c r="P12951" s="152">
        <f>M12951/1.1</f>
        <v/>
      </c>
      <c r="Q12951" s="88">
        <f>F12951&amp;E12951&amp;G12951&amp;L12951</f>
        <v/>
      </c>
    </row>
    <row r="12952">
      <c r="B12952" s="128" t="n">
        <v>44197</v>
      </c>
      <c r="C12952" s="88">
        <f>TEXT(B12952,"aaa")</f>
        <v/>
      </c>
      <c r="D12952" s="94" t="n"/>
      <c r="E12952" s="88">
        <f>INDEX(매칭테이블!C:D,MATCH(RD!G12952,매칭테이블!D:D,0),1)</f>
        <v/>
      </c>
      <c r="F12952" s="94" t="inlineStr">
        <is>
          <t>카페24</t>
        </is>
      </c>
      <c r="G12952" s="94" t="inlineStr">
        <is>
          <t>어성초 70 데일리 릴리프 로션로션=어성초 77토너 + 어성초 70 로션 수분 보충 세트 -30% off</t>
        </is>
      </c>
      <c r="K12952" s="94" t="n">
        <v>4</v>
      </c>
      <c r="L12952" s="88" t="n">
        <v>201208</v>
      </c>
      <c r="M12952" s="88">
        <f>VLOOKUP($Q12952,매칭테이블!$F:$I,2,0)*K12952</f>
        <v/>
      </c>
      <c r="N12952" s="88">
        <f>M12952-M12952*VLOOKUP($Q12952,매칭테이블!$F:$I,3,0)</f>
        <v/>
      </c>
      <c r="O12952" s="88">
        <f>VLOOKUP($Q12952,매칭테이블!$F:$I,4,0)*K12952</f>
        <v/>
      </c>
      <c r="P12952" s="152">
        <f>M12952/1.1</f>
        <v/>
      </c>
      <c r="Q12952" s="88">
        <f>F12952&amp;E12952&amp;G12952&amp;L12952</f>
        <v/>
      </c>
    </row>
    <row r="12953">
      <c r="B12953" s="128" t="n">
        <v>44197</v>
      </c>
      <c r="C12953" s="88">
        <f>TEXT(B12953,"aaa")</f>
        <v/>
      </c>
      <c r="D12953" s="94" t="n"/>
      <c r="E12953" s="88">
        <f>INDEX(매칭테이블!C:D,MATCH(RD!G12953,매칭테이블!D:D,0),1)</f>
        <v/>
      </c>
      <c r="F12953" s="94" t="inlineStr">
        <is>
          <t>카페24</t>
        </is>
      </c>
      <c r="G12953" s="94" t="inlineStr">
        <is>
          <t>어성초 70 머드 크림 마스크옵션=어성초 70 머드 크림 마스크-20% off</t>
        </is>
      </c>
      <c r="K12953" s="94" t="n">
        <v>2</v>
      </c>
      <c r="L12953" s="88" t="n">
        <v>201208</v>
      </c>
      <c r="M12953" s="88">
        <f>VLOOKUP($Q12953,매칭테이블!$F:$I,2,0)*K12953</f>
        <v/>
      </c>
      <c r="N12953" s="88">
        <f>M12953-M12953*VLOOKUP($Q12953,매칭테이블!$F:$I,3,0)</f>
        <v/>
      </c>
      <c r="O12953" s="88">
        <f>VLOOKUP($Q12953,매칭테이블!$F:$I,4,0)*K12953</f>
        <v/>
      </c>
      <c r="P12953" s="152">
        <f>M12953/1.1</f>
        <v/>
      </c>
      <c r="Q12953" s="88">
        <f>F12953&amp;E12953&amp;G12953&amp;L12953</f>
        <v/>
      </c>
    </row>
    <row r="12954">
      <c r="B12954" s="128" t="n">
        <v>44197</v>
      </c>
      <c r="C12954" s="88">
        <f>TEXT(B12954,"aaa")</f>
        <v/>
      </c>
      <c r="D12954" s="94" t="n"/>
      <c r="E12954" s="88">
        <f>INDEX(매칭테이블!C:D,MATCH(RD!G12954,매칭테이블!D:D,0),1)</f>
        <v/>
      </c>
      <c r="F12954" s="94" t="inlineStr">
        <is>
          <t>카페24</t>
        </is>
      </c>
      <c r="G12954" s="94" t="inlineStr">
        <is>
          <t>어성초 70 머드 크림 마스크옵션=어성초 70 머드 크림 마스크 2개-30% off (무료배송)</t>
        </is>
      </c>
      <c r="K12954" s="94" t="n">
        <v>2</v>
      </c>
      <c r="L12954" s="88" t="n">
        <v>201208</v>
      </c>
      <c r="M12954" s="88">
        <f>VLOOKUP($Q12954,매칭테이블!$F:$I,2,0)*K12954</f>
        <v/>
      </c>
      <c r="N12954" s="88">
        <f>M12954-M12954*VLOOKUP($Q12954,매칭테이블!$F:$I,3,0)</f>
        <v/>
      </c>
      <c r="O12954" s="88">
        <f>VLOOKUP($Q12954,매칭테이블!$F:$I,4,0)*K12954</f>
        <v/>
      </c>
      <c r="P12954" s="152">
        <f>M12954/1.1</f>
        <v/>
      </c>
      <c r="Q12954" s="88">
        <f>F12954&amp;E12954&amp;G12954&amp;L12954</f>
        <v/>
      </c>
    </row>
    <row r="12955">
      <c r="B12955" s="128" t="n">
        <v>44197</v>
      </c>
      <c r="C12955" s="88">
        <f>TEXT(B12955,"aaa")</f>
        <v/>
      </c>
      <c r="D12955" s="94" t="n"/>
      <c r="E12955" s="88">
        <f>INDEX(매칭테이블!C:D,MATCH(RD!G12955,매칭테이블!D:D,0),1)</f>
        <v/>
      </c>
      <c r="F12955" s="94" t="inlineStr">
        <is>
          <t>카페24</t>
        </is>
      </c>
      <c r="G12955" s="94" t="inlineStr">
        <is>
          <t>어성초 70 인텐스 카밍 크림크림=어성초 70 인텐스 카밍 크림 1개 (-20%)</t>
        </is>
      </c>
      <c r="K12955" s="94" t="n">
        <v>5</v>
      </c>
      <c r="L12955" s="88" t="n">
        <v>201208</v>
      </c>
      <c r="M12955" s="88">
        <f>VLOOKUP($Q12955,매칭테이블!$F:$I,2,0)*K12955</f>
        <v/>
      </c>
      <c r="N12955" s="88">
        <f>M12955-M12955*VLOOKUP($Q12955,매칭테이블!$F:$I,3,0)</f>
        <v/>
      </c>
      <c r="O12955" s="88">
        <f>VLOOKUP($Q12955,매칭테이블!$F:$I,4,0)*K12955</f>
        <v/>
      </c>
      <c r="P12955" s="152">
        <f>M12955/1.1</f>
        <v/>
      </c>
      <c r="Q12955" s="88">
        <f>F12955&amp;E12955&amp;G12955&amp;L12955</f>
        <v/>
      </c>
    </row>
    <row r="12956">
      <c r="B12956" s="128" t="n">
        <v>44197</v>
      </c>
      <c r="C12956" s="88">
        <f>TEXT(B12956,"aaa")</f>
        <v/>
      </c>
      <c r="D12956" s="94" t="n"/>
      <c r="E12956" s="88">
        <f>INDEX(매칭테이블!C:D,MATCH(RD!G12956,매칭테이블!D:D,0),1)</f>
        <v/>
      </c>
      <c r="F12956" s="94" t="inlineStr">
        <is>
          <t>카페24</t>
        </is>
      </c>
      <c r="G12956" s="94" t="inlineStr">
        <is>
          <t>어성초 77 수딩 토너토너(필수)=어성초 77 토너 1개-20% off</t>
        </is>
      </c>
      <c r="K12956" s="94" t="n">
        <v>49</v>
      </c>
      <c r="L12956" s="88" t="n">
        <v>201208</v>
      </c>
      <c r="M12956" s="88">
        <f>VLOOKUP($Q12956,매칭테이블!$F:$I,2,0)*K12956</f>
        <v/>
      </c>
      <c r="N12956" s="88">
        <f>M12956-M12956*VLOOKUP($Q12956,매칭테이블!$F:$I,3,0)</f>
        <v/>
      </c>
      <c r="O12956" s="88">
        <f>VLOOKUP($Q12956,매칭테이블!$F:$I,4,0)*K12956</f>
        <v/>
      </c>
      <c r="P12956" s="152">
        <f>M12956/1.1</f>
        <v/>
      </c>
      <c r="Q12956" s="88">
        <f>F12956&amp;E12956&amp;G12956&amp;L12956</f>
        <v/>
      </c>
    </row>
    <row r="12957">
      <c r="B12957" s="128" t="n">
        <v>44197</v>
      </c>
      <c r="C12957" s="88">
        <f>TEXT(B12957,"aaa")</f>
        <v/>
      </c>
      <c r="D12957" s="94" t="n"/>
      <c r="E12957" s="88">
        <f>INDEX(매칭테이블!C:D,MATCH(RD!G12957,매칭테이블!D:D,0),1)</f>
        <v/>
      </c>
      <c r="F12957" s="94" t="inlineStr">
        <is>
          <t>카페24</t>
        </is>
      </c>
      <c r="G12957" s="94" t="inlineStr">
        <is>
          <t>어성초 77 수딩 토너토너(필수)=어성초 77 토너 2개-30% off (무료배송)</t>
        </is>
      </c>
      <c r="K12957" s="94" t="n">
        <v>17</v>
      </c>
      <c r="L12957" s="88" t="n">
        <v>201208</v>
      </c>
      <c r="M12957" s="88">
        <f>VLOOKUP($Q12957,매칭테이블!$F:$I,2,0)*K12957</f>
        <v/>
      </c>
      <c r="N12957" s="88">
        <f>M12957-M12957*VLOOKUP($Q12957,매칭테이블!$F:$I,3,0)</f>
        <v/>
      </c>
      <c r="O12957" s="88">
        <f>VLOOKUP($Q12957,매칭테이블!$F:$I,4,0)*K12957</f>
        <v/>
      </c>
      <c r="P12957" s="152">
        <f>M12957/1.1</f>
        <v/>
      </c>
      <c r="Q12957" s="88">
        <f>F12957&amp;E12957&amp;G12957&amp;L12957</f>
        <v/>
      </c>
    </row>
    <row r="12958">
      <c r="B12958" s="128" t="n">
        <v>44197</v>
      </c>
      <c r="C12958" s="88">
        <f>TEXT(B12958,"aaa")</f>
        <v/>
      </c>
      <c r="D12958" s="94" t="n"/>
      <c r="E12958" s="88">
        <f>INDEX(매칭테이블!C:D,MATCH(RD!G12958,매칭테이블!D:D,0),1)</f>
        <v/>
      </c>
      <c r="F12958" s="94" t="inlineStr">
        <is>
          <t>카페24</t>
        </is>
      </c>
      <c r="G12958" s="94" t="inlineStr">
        <is>
          <t>어성초 77 수딩 토너토너(필수)=어성초77토너1개 + 어성초77패드1개 -30% off (무료배송)</t>
        </is>
      </c>
      <c r="K12958" s="94" t="n">
        <v>15</v>
      </c>
      <c r="L12958" s="88" t="n">
        <v>201208</v>
      </c>
      <c r="M12958" s="88">
        <f>VLOOKUP($Q12958,매칭테이블!$F:$I,2,0)*K12958</f>
        <v/>
      </c>
      <c r="N12958" s="88">
        <f>M12958-M12958*VLOOKUP($Q12958,매칭테이블!$F:$I,3,0)</f>
        <v/>
      </c>
      <c r="O12958" s="88">
        <f>VLOOKUP($Q12958,매칭테이블!$F:$I,4,0)*K12958</f>
        <v/>
      </c>
      <c r="P12958" s="152">
        <f>M12958/1.1</f>
        <v/>
      </c>
      <c r="Q12958" s="88">
        <f>F12958&amp;E12958&amp;G12958&amp;L12958</f>
        <v/>
      </c>
    </row>
    <row r="12959">
      <c r="B12959" s="128" t="n">
        <v>44197</v>
      </c>
      <c r="C12959" s="88">
        <f>TEXT(B12959,"aaa")</f>
        <v/>
      </c>
      <c r="D12959" s="94" t="n"/>
      <c r="E12959" s="88">
        <f>INDEX(매칭테이블!C:D,MATCH(RD!G12959,매칭테이블!D:D,0),1)</f>
        <v/>
      </c>
      <c r="F12959" s="94" t="inlineStr">
        <is>
          <t>카페24</t>
        </is>
      </c>
      <c r="G12959" s="94" t="inlineStr">
        <is>
          <t>어성초 77 수딩 토너화장솜(선택)=촉촉 스킨팩 화장솜</t>
        </is>
      </c>
      <c r="K12959" s="94" t="n">
        <v>24</v>
      </c>
      <c r="L12959" s="88" t="n">
        <v>201208</v>
      </c>
      <c r="M12959" s="88">
        <f>VLOOKUP($Q12959,매칭테이블!$F:$I,2,0)*K12959</f>
        <v/>
      </c>
      <c r="N12959" s="88">
        <f>M12959-M12959*VLOOKUP($Q12959,매칭테이블!$F:$I,3,0)</f>
        <v/>
      </c>
      <c r="O12959" s="88">
        <f>VLOOKUP($Q12959,매칭테이블!$F:$I,4,0)*K12959</f>
        <v/>
      </c>
      <c r="P12959" s="152">
        <f>M12959/1.1</f>
        <v/>
      </c>
      <c r="Q12959" s="88">
        <f>F12959&amp;E12959&amp;G12959&amp;L12959</f>
        <v/>
      </c>
    </row>
    <row r="12960">
      <c r="B12960" s="128" t="n">
        <v>44197</v>
      </c>
      <c r="C12960" s="88">
        <f>TEXT(B12960,"aaa")</f>
        <v/>
      </c>
      <c r="D12960" s="94" t="n"/>
      <c r="E12960" s="88">
        <f>INDEX(매칭테이블!C:D,MATCH(RD!G12960,매칭테이블!D:D,0),1)</f>
        <v/>
      </c>
      <c r="F12960" s="94" t="inlineStr">
        <is>
          <t>카페24</t>
        </is>
      </c>
      <c r="G12960" s="94" t="inlineStr">
        <is>
          <t>어성초 77 수딩 토너토너(필수)=(대용량) 어성초 77 토너 500ml (무료배송)</t>
        </is>
      </c>
      <c r="K12960" s="94" t="n">
        <v>1</v>
      </c>
      <c r="L12960" s="88" t="n">
        <v>201208</v>
      </c>
      <c r="M12960" s="88">
        <f>VLOOKUP($Q12960,매칭테이블!$F:$I,2,0)*K12960</f>
        <v/>
      </c>
      <c r="N12960" s="88">
        <f>M12960-M12960*VLOOKUP($Q12960,매칭테이블!$F:$I,3,0)</f>
        <v/>
      </c>
      <c r="O12960" s="88">
        <f>VLOOKUP($Q12960,매칭테이블!$F:$I,4,0)*K12960</f>
        <v/>
      </c>
      <c r="P12960" s="152">
        <f>M12960/1.1</f>
        <v/>
      </c>
      <c r="Q12960" s="88">
        <f>F12960&amp;E12960&amp;G12960&amp;L12960</f>
        <v/>
      </c>
    </row>
    <row r="12961">
      <c r="B12961" s="128" t="n">
        <v>44197</v>
      </c>
      <c r="C12961" s="88">
        <f>TEXT(B12961,"aaa")</f>
        <v/>
      </c>
      <c r="D12961" s="94" t="n"/>
      <c r="E12961" s="88">
        <f>INDEX(매칭테이블!C:D,MATCH(RD!G12961,매칭테이블!D:D,0),1)</f>
        <v/>
      </c>
      <c r="F12961" s="94" t="inlineStr">
        <is>
          <t>카페24</t>
        </is>
      </c>
      <c r="G12961" s="94" t="inlineStr">
        <is>
          <t>어성초 77 진정 마스크옵션=어성초 77 진정 마스크팩 1장</t>
        </is>
      </c>
      <c r="K12961" s="94" t="n">
        <v>2</v>
      </c>
      <c r="L12961" s="88" t="n">
        <v>201208</v>
      </c>
      <c r="M12961" s="88">
        <f>VLOOKUP($Q12961,매칭테이블!$F:$I,2,0)*K12961</f>
        <v/>
      </c>
      <c r="N12961" s="88">
        <f>M12961-M12961*VLOOKUP($Q12961,매칭테이블!$F:$I,3,0)</f>
        <v/>
      </c>
      <c r="O12961" s="88">
        <f>VLOOKUP($Q12961,매칭테이블!$F:$I,4,0)*K12961</f>
        <v/>
      </c>
      <c r="P12961" s="152">
        <f>M12961/1.1</f>
        <v/>
      </c>
      <c r="Q12961" s="88">
        <f>F12961&amp;E12961&amp;G12961&amp;L12961</f>
        <v/>
      </c>
    </row>
    <row r="12962">
      <c r="B12962" s="128" t="n">
        <v>44197</v>
      </c>
      <c r="C12962" s="88">
        <f>TEXT(B12962,"aaa")</f>
        <v/>
      </c>
      <c r="D12962" s="94" t="n"/>
      <c r="E12962" s="88">
        <f>INDEX(매칭테이블!C:D,MATCH(RD!G12962,매칭테이블!D:D,0),1)</f>
        <v/>
      </c>
      <c r="F12962" s="94" t="inlineStr">
        <is>
          <t>카페24</t>
        </is>
      </c>
      <c r="G12962" s="94" t="inlineStr">
        <is>
          <t>어성초 77 진정 마스크옵션=어성초 77 진정 마스크팩 10장-50% off</t>
        </is>
      </c>
      <c r="K12962" s="94" t="n">
        <v>7</v>
      </c>
      <c r="L12962" s="88" t="n">
        <v>201208</v>
      </c>
      <c r="M12962" s="88">
        <f>VLOOKUP($Q12962,매칭테이블!$F:$I,2,0)*K12962</f>
        <v/>
      </c>
      <c r="N12962" s="88">
        <f>M12962-M12962*VLOOKUP($Q12962,매칭테이블!$F:$I,3,0)</f>
        <v/>
      </c>
      <c r="O12962" s="88">
        <f>VLOOKUP($Q12962,매칭테이블!$F:$I,4,0)*K12962</f>
        <v/>
      </c>
      <c r="P12962" s="152">
        <f>M12962/1.1</f>
        <v/>
      </c>
      <c r="Q12962" s="88">
        <f>F12962&amp;E12962&amp;G12962&amp;L12962</f>
        <v/>
      </c>
    </row>
    <row r="12963">
      <c r="B12963" s="128" t="n">
        <v>44197</v>
      </c>
      <c r="C12963" s="88">
        <f>TEXT(B12963,"aaa")</f>
        <v/>
      </c>
      <c r="D12963" s="94" t="n"/>
      <c r="E12963" s="88">
        <f>INDEX(매칭테이블!C:D,MATCH(RD!G12963,매칭테이블!D:D,0),1)</f>
        <v/>
      </c>
      <c r="F12963" s="94" t="inlineStr">
        <is>
          <t>카페24</t>
        </is>
      </c>
      <c r="G12963" s="94" t="inlineStr">
        <is>
          <t>어성초 77 클리어 패드옵션=어성초 77 클리어 패드 1개-20% off</t>
        </is>
      </c>
      <c r="K12963" s="94" t="n">
        <v>53</v>
      </c>
      <c r="L12963" s="88" t="n">
        <v>201208</v>
      </c>
      <c r="M12963" s="88">
        <f>VLOOKUP($Q12963,매칭테이블!$F:$I,2,0)*K12963</f>
        <v/>
      </c>
      <c r="N12963" s="88">
        <f>M12963-M12963*VLOOKUP($Q12963,매칭테이블!$F:$I,3,0)</f>
        <v/>
      </c>
      <c r="O12963" s="88">
        <f>VLOOKUP($Q12963,매칭테이블!$F:$I,4,0)*K12963</f>
        <v/>
      </c>
      <c r="P12963" s="152">
        <f>M12963/1.1</f>
        <v/>
      </c>
      <c r="Q12963" s="88">
        <f>F12963&amp;E12963&amp;G12963&amp;L12963</f>
        <v/>
      </c>
    </row>
    <row r="12964">
      <c r="B12964" s="128" t="n">
        <v>44197</v>
      </c>
      <c r="C12964" s="88">
        <f>TEXT(B12964,"aaa")</f>
        <v/>
      </c>
      <c r="D12964" s="94" t="n"/>
      <c r="E12964" s="88">
        <f>INDEX(매칭테이블!C:D,MATCH(RD!G12964,매칭테이블!D:D,0),1)</f>
        <v/>
      </c>
      <c r="F12964" s="94" t="inlineStr">
        <is>
          <t>카페24</t>
        </is>
      </c>
      <c r="G12964" s="94" t="inlineStr">
        <is>
          <t>어성초 77 클리어 패드옵션=어성초 77 클리어 패드 2개-30% off (무료배송)</t>
        </is>
      </c>
      <c r="K12964" s="94" t="n">
        <v>70</v>
      </c>
      <c r="L12964" s="88" t="n">
        <v>201208</v>
      </c>
      <c r="M12964" s="88">
        <f>VLOOKUP($Q12964,매칭테이블!$F:$I,2,0)*K12964</f>
        <v/>
      </c>
      <c r="N12964" s="88">
        <f>M12964-M12964*VLOOKUP($Q12964,매칭테이블!$F:$I,3,0)</f>
        <v/>
      </c>
      <c r="O12964" s="88">
        <f>VLOOKUP($Q12964,매칭테이블!$F:$I,4,0)*K12964</f>
        <v/>
      </c>
      <c r="P12964" s="152">
        <f>M12964/1.1</f>
        <v/>
      </c>
      <c r="Q12964" s="88">
        <f>F12964&amp;E12964&amp;G12964&amp;L12964</f>
        <v/>
      </c>
    </row>
    <row r="12965">
      <c r="B12965" s="128" t="n">
        <v>44197</v>
      </c>
      <c r="C12965" s="88">
        <f>TEXT(B12965,"aaa")</f>
        <v/>
      </c>
      <c r="D12965" s="94" t="n"/>
      <c r="E12965" s="88">
        <f>INDEX(매칭테이블!C:D,MATCH(RD!G12965,매칭테이블!D:D,0),1)</f>
        <v/>
      </c>
      <c r="F12965" s="94" t="inlineStr">
        <is>
          <t>카페24</t>
        </is>
      </c>
      <c r="G12965" s="94" t="inlineStr">
        <is>
          <t>어성초 77 클리어 패드옵션=어성초77토너1개+어성초77패드1개-30% off (무료배송)</t>
        </is>
      </c>
      <c r="K12965" s="94" t="n">
        <v>47</v>
      </c>
      <c r="L12965" s="88" t="n">
        <v>201208</v>
      </c>
      <c r="M12965" s="88">
        <f>VLOOKUP($Q12965,매칭테이블!$F:$I,2,0)*K12965</f>
        <v/>
      </c>
      <c r="N12965" s="88">
        <f>M12965-M12965*VLOOKUP($Q12965,매칭테이블!$F:$I,3,0)</f>
        <v/>
      </c>
      <c r="O12965" s="88">
        <f>VLOOKUP($Q12965,매칭테이블!$F:$I,4,0)*K12965</f>
        <v/>
      </c>
      <c r="P12965" s="152">
        <f>M12965/1.1</f>
        <v/>
      </c>
      <c r="Q12965" s="88">
        <f>F12965&amp;E12965&amp;G12965&amp;L12965</f>
        <v/>
      </c>
    </row>
    <row r="12966">
      <c r="B12966" s="128" t="n">
        <v>44197</v>
      </c>
      <c r="C12966" s="88">
        <f>TEXT(B12966,"aaa")</f>
        <v/>
      </c>
      <c r="D12966" s="94" t="n"/>
      <c r="E12966" s="88">
        <f>INDEX(매칭테이블!C:D,MATCH(RD!G12966,매칭테이블!D:D,0),1)</f>
        <v/>
      </c>
      <c r="F12966" s="94" t="inlineStr">
        <is>
          <t>카페24</t>
        </is>
      </c>
      <c r="G12966" s="94" t="inlineStr">
        <is>
          <t>어성초 77 토너토너(필수)=어성초 77 토너 1개-20% off</t>
        </is>
      </c>
      <c r="K12966" s="94" t="n">
        <v>1</v>
      </c>
      <c r="L12966" s="88" t="n">
        <v>201208</v>
      </c>
      <c r="M12966" s="88">
        <f>VLOOKUP($Q12966,매칭테이블!$F:$I,2,0)*K12966</f>
        <v/>
      </c>
      <c r="N12966" s="88">
        <f>M12966-M12966*VLOOKUP($Q12966,매칭테이블!$F:$I,3,0)</f>
        <v/>
      </c>
      <c r="O12966" s="88">
        <f>VLOOKUP($Q12966,매칭테이블!$F:$I,4,0)*K12966</f>
        <v/>
      </c>
      <c r="P12966" s="152">
        <f>M12966/1.1</f>
        <v/>
      </c>
      <c r="Q12966" s="88">
        <f>F12966&amp;E12966&amp;G12966&amp;L12966</f>
        <v/>
      </c>
    </row>
    <row r="12967">
      <c r="B12967" s="128" t="n">
        <v>44197</v>
      </c>
      <c r="C12967" s="88">
        <f>TEXT(B12967,"aaa")</f>
        <v/>
      </c>
      <c r="D12967" s="94" t="n"/>
      <c r="E12967" s="88">
        <f>INDEX(매칭테이블!C:D,MATCH(RD!G12967,매칭테이블!D:D,0),1)</f>
        <v/>
      </c>
      <c r="F12967" s="94" t="inlineStr">
        <is>
          <t>카페24</t>
        </is>
      </c>
      <c r="G12967" s="94" t="inlineStr">
        <is>
          <t>어성초 77 포어 클리어 패드옵션=어성초 77 클리어 패드 1개-20% off</t>
        </is>
      </c>
      <c r="K12967" s="94" t="n">
        <v>9</v>
      </c>
      <c r="L12967" s="88" t="n">
        <v>201208</v>
      </c>
      <c r="M12967" s="88">
        <f>VLOOKUP($Q12967,매칭테이블!$F:$I,2,0)*K12967</f>
        <v/>
      </c>
      <c r="N12967" s="88">
        <f>M12967-M12967*VLOOKUP($Q12967,매칭테이블!$F:$I,3,0)</f>
        <v/>
      </c>
      <c r="O12967" s="88">
        <f>VLOOKUP($Q12967,매칭테이블!$F:$I,4,0)*K12967</f>
        <v/>
      </c>
      <c r="P12967" s="152">
        <f>M12967/1.1</f>
        <v/>
      </c>
      <c r="Q12967" s="88">
        <f>F12967&amp;E12967&amp;G12967&amp;L12967</f>
        <v/>
      </c>
    </row>
    <row r="12968">
      <c r="B12968" s="128" t="n">
        <v>44197</v>
      </c>
      <c r="C12968" s="88">
        <f>TEXT(B12968,"aaa")</f>
        <v/>
      </c>
      <c r="D12968" s="94" t="n"/>
      <c r="E12968" s="88">
        <f>INDEX(매칭테이블!C:D,MATCH(RD!G12968,매칭테이블!D:D,0),1)</f>
        <v/>
      </c>
      <c r="F12968" s="94" t="inlineStr">
        <is>
          <t>카페24</t>
        </is>
      </c>
      <c r="G12968" s="94" t="inlineStr">
        <is>
          <t>어성초 77 포어 클리어 패드옵션=어성초 77 클리어 패드 2개-30% off (무료배송)</t>
        </is>
      </c>
      <c r="K12968" s="94" t="n">
        <v>11</v>
      </c>
      <c r="L12968" s="88" t="n">
        <v>201208</v>
      </c>
      <c r="M12968" s="88">
        <f>VLOOKUP($Q12968,매칭테이블!$F:$I,2,0)*K12968</f>
        <v/>
      </c>
      <c r="N12968" s="88">
        <f>M12968-M12968*VLOOKUP($Q12968,매칭테이블!$F:$I,3,0)</f>
        <v/>
      </c>
      <c r="O12968" s="88">
        <f>VLOOKUP($Q12968,매칭테이블!$F:$I,4,0)*K12968</f>
        <v/>
      </c>
      <c r="P12968" s="152">
        <f>M12968/1.1</f>
        <v/>
      </c>
      <c r="Q12968" s="88">
        <f>F12968&amp;E12968&amp;G12968&amp;L12968</f>
        <v/>
      </c>
    </row>
    <row r="12969">
      <c r="B12969" s="128" t="n">
        <v>44197</v>
      </c>
      <c r="C12969" s="88">
        <f>TEXT(B12969,"aaa")</f>
        <v/>
      </c>
      <c r="D12969" s="94" t="n"/>
      <c r="E12969" s="88">
        <f>INDEX(매칭테이블!C:D,MATCH(RD!G12969,매칭테이블!D:D,0),1)</f>
        <v/>
      </c>
      <c r="F12969" s="94" t="inlineStr">
        <is>
          <t>카페24</t>
        </is>
      </c>
      <c r="G12969" s="94" t="inlineStr">
        <is>
          <t>어성초 77 포어 클리어 패드옵션=어성초77토너1개+어성초77패드1개-30% off (무료배송)</t>
        </is>
      </c>
      <c r="K12969" s="94" t="n">
        <v>4</v>
      </c>
      <c r="L12969" s="88" t="n">
        <v>201208</v>
      </c>
      <c r="M12969" s="88">
        <f>VLOOKUP($Q12969,매칭테이블!$F:$I,2,0)*K12969</f>
        <v/>
      </c>
      <c r="N12969" s="88">
        <f>M12969-M12969*VLOOKUP($Q12969,매칭테이블!$F:$I,3,0)</f>
        <v/>
      </c>
      <c r="O12969" s="88">
        <f>VLOOKUP($Q12969,매칭테이블!$F:$I,4,0)*K12969</f>
        <v/>
      </c>
      <c r="P12969" s="152">
        <f>M12969/1.1</f>
        <v/>
      </c>
      <c r="Q12969" s="88">
        <f>F12969&amp;E12969&amp;G12969&amp;L12969</f>
        <v/>
      </c>
    </row>
    <row r="12970">
      <c r="B12970" s="128" t="n">
        <v>44197</v>
      </c>
      <c r="C12970" s="88">
        <f>TEXT(B12970,"aaa")</f>
        <v/>
      </c>
      <c r="D12970" s="94" t="n"/>
      <c r="E12970" s="88">
        <f>INDEX(매칭테이블!C:D,MATCH(RD!G12970,매칭테이블!D:D,0),1)</f>
        <v/>
      </c>
      <c r="F12970" s="94" t="inlineStr">
        <is>
          <t>카페24</t>
        </is>
      </c>
      <c r="G12970" s="94" t="inlineStr">
        <is>
          <t>어성초 77% 패드옵션=어성초 77 클리어 패드 1개-20% off</t>
        </is>
      </c>
      <c r="K12970" s="94" t="n">
        <v>162</v>
      </c>
      <c r="L12970" s="88" t="n">
        <v>201208</v>
      </c>
      <c r="M12970" s="88">
        <f>VLOOKUP($Q12970,매칭테이블!$F:$I,2,0)*K12970</f>
        <v/>
      </c>
      <c r="N12970" s="88">
        <f>M12970-M12970*VLOOKUP($Q12970,매칭테이블!$F:$I,3,0)</f>
        <v/>
      </c>
      <c r="O12970" s="88">
        <f>VLOOKUP($Q12970,매칭테이블!$F:$I,4,0)*K12970</f>
        <v/>
      </c>
      <c r="P12970" s="152">
        <f>M12970/1.1</f>
        <v/>
      </c>
      <c r="Q12970" s="88">
        <f>F12970&amp;E12970&amp;G12970&amp;L12970</f>
        <v/>
      </c>
    </row>
    <row r="12971">
      <c r="B12971" s="128" t="n">
        <v>44197</v>
      </c>
      <c r="C12971" s="88">
        <f>TEXT(B12971,"aaa")</f>
        <v/>
      </c>
      <c r="D12971" s="94" t="n"/>
      <c r="E12971" s="88">
        <f>INDEX(매칭테이블!C:D,MATCH(RD!G12971,매칭테이블!D:D,0),1)</f>
        <v/>
      </c>
      <c r="F12971" s="94" t="inlineStr">
        <is>
          <t>카페24</t>
        </is>
      </c>
      <c r="G12971" s="94" t="inlineStr">
        <is>
          <t>어성초 77% 패드옵션=어성초 77 클리어 패드 2개-30% off (무료배송)</t>
        </is>
      </c>
      <c r="K12971" s="94" t="n">
        <v>142</v>
      </c>
      <c r="L12971" s="88" t="n">
        <v>201208</v>
      </c>
      <c r="M12971" s="88">
        <f>VLOOKUP($Q12971,매칭테이블!$F:$I,2,0)*K12971</f>
        <v/>
      </c>
      <c r="N12971" s="88">
        <f>M12971-M12971*VLOOKUP($Q12971,매칭테이블!$F:$I,3,0)</f>
        <v/>
      </c>
      <c r="O12971" s="88">
        <f>VLOOKUP($Q12971,매칭테이블!$F:$I,4,0)*K12971</f>
        <v/>
      </c>
      <c r="P12971" s="152">
        <f>M12971/1.1</f>
        <v/>
      </c>
      <c r="Q12971" s="88">
        <f>F12971&amp;E12971&amp;G12971&amp;L12971</f>
        <v/>
      </c>
    </row>
    <row r="12972">
      <c r="B12972" s="128" t="n">
        <v>44197</v>
      </c>
      <c r="C12972" s="88">
        <f>TEXT(B12972,"aaa")</f>
        <v/>
      </c>
      <c r="D12972" s="94" t="n"/>
      <c r="E12972" s="88">
        <f>INDEX(매칭테이블!C:D,MATCH(RD!G12972,매칭테이블!D:D,0),1)</f>
        <v/>
      </c>
      <c r="F12972" s="94" t="inlineStr">
        <is>
          <t>카페24</t>
        </is>
      </c>
      <c r="G12972" s="94" t="inlineStr">
        <is>
          <t>어성초 77% 패드옵션=어성초77토너1개+어성초77패드1개-30% off (무료배송)</t>
        </is>
      </c>
      <c r="K12972" s="94" t="n">
        <v>77</v>
      </c>
      <c r="L12972" s="88" t="n">
        <v>201208</v>
      </c>
      <c r="M12972" s="88">
        <f>VLOOKUP($Q12972,매칭테이블!$F:$I,2,0)*K12972</f>
        <v/>
      </c>
      <c r="N12972" s="88">
        <f>M12972-M12972*VLOOKUP($Q12972,매칭테이블!$F:$I,3,0)</f>
        <v/>
      </c>
      <c r="O12972" s="88">
        <f>VLOOKUP($Q12972,매칭테이블!$F:$I,4,0)*K12972</f>
        <v/>
      </c>
      <c r="P12972" s="152">
        <f>M12972/1.1</f>
        <v/>
      </c>
      <c r="Q12972" s="88">
        <f>F12972&amp;E12972&amp;G12972&amp;L12972</f>
        <v/>
      </c>
    </row>
    <row r="12973">
      <c r="B12973" s="128" t="n">
        <v>44197</v>
      </c>
      <c r="C12973" s="88">
        <f>TEXT(B12973,"aaa")</f>
        <v/>
      </c>
      <c r="D12973" s="94" t="n"/>
      <c r="E12973" s="88">
        <f>INDEX(매칭테이블!C:D,MATCH(RD!G12973,매칭테이블!D:D,0),1)</f>
        <v/>
      </c>
      <c r="F12973" s="94" t="inlineStr">
        <is>
          <t>카페24</t>
        </is>
      </c>
      <c r="G12973" s="94" t="inlineStr">
        <is>
          <t>어성초 78 수딩 크림</t>
        </is>
      </c>
      <c r="K12973" s="94" t="n">
        <v>5</v>
      </c>
      <c r="L12973" s="88" t="n">
        <v>201208</v>
      </c>
      <c r="M12973" s="88">
        <f>VLOOKUP($Q12973,매칭테이블!$F:$I,2,0)*K12973</f>
        <v/>
      </c>
      <c r="N12973" s="88">
        <f>M12973-M12973*VLOOKUP($Q12973,매칭테이블!$F:$I,3,0)</f>
        <v/>
      </c>
      <c r="O12973" s="88">
        <f>VLOOKUP($Q12973,매칭테이블!$F:$I,4,0)*K12973</f>
        <v/>
      </c>
      <c r="P12973" s="152">
        <f>M12973/1.1</f>
        <v/>
      </c>
      <c r="Q12973" s="88">
        <f>F12973&amp;E12973&amp;G12973&amp;L12973</f>
        <v/>
      </c>
    </row>
    <row r="12974">
      <c r="B12974" s="128" t="n">
        <v>44197</v>
      </c>
      <c r="C12974" s="88">
        <f>TEXT(B12974,"aaa")</f>
        <v/>
      </c>
      <c r="D12974" s="94" t="n"/>
      <c r="E12974" s="88">
        <f>INDEX(매칭테이블!C:D,MATCH(RD!G12974,매칭테이블!D:D,0),1)</f>
        <v/>
      </c>
      <c r="F12974" s="94" t="inlineStr">
        <is>
          <t>카페24</t>
        </is>
      </c>
      <c r="G12974" s="94" t="inlineStr">
        <is>
          <t>어성초 78 수딩 크림</t>
        </is>
      </c>
      <c r="K12974" s="94" t="n">
        <v>2</v>
      </c>
      <c r="L12974" s="88" t="n">
        <v>201208</v>
      </c>
      <c r="M12974" s="88">
        <f>VLOOKUP($Q12974,매칭테이블!$F:$I,2,0)*K12974</f>
        <v/>
      </c>
      <c r="N12974" s="88">
        <f>M12974-M12974*VLOOKUP($Q12974,매칭테이블!$F:$I,3,0)</f>
        <v/>
      </c>
      <c r="O12974" s="88">
        <f>VLOOKUP($Q12974,매칭테이블!$F:$I,4,0)*K12974</f>
        <v/>
      </c>
      <c r="P12974" s="152">
        <f>M12974/1.1</f>
        <v/>
      </c>
      <c r="Q12974" s="88">
        <f>F12974&amp;E12974&amp;G12974&amp;L12974</f>
        <v/>
      </c>
    </row>
    <row r="12975">
      <c r="B12975" s="128" t="n">
        <v>44197</v>
      </c>
      <c r="C12975" s="88">
        <f>TEXT(B12975,"aaa")</f>
        <v/>
      </c>
      <c r="D12975" s="94" t="n"/>
      <c r="E12975" s="88">
        <f>INDEX(매칭테이블!C:D,MATCH(RD!G12975,매칭테이블!D:D,0),1)</f>
        <v/>
      </c>
      <c r="F12975" s="94" t="inlineStr">
        <is>
          <t>카페24</t>
        </is>
      </c>
      <c r="G12975" s="94" t="inlineStr">
        <is>
          <t>어성초 80 수분 진정 앰플앰플=어성초 80 앰플 1개-15%off</t>
        </is>
      </c>
      <c r="K12975" s="94" t="n">
        <v>20</v>
      </c>
      <c r="L12975" s="88" t="n">
        <v>201208</v>
      </c>
      <c r="M12975" s="88">
        <f>VLOOKUP($Q12975,매칭테이블!$F:$I,2,0)*K12975</f>
        <v/>
      </c>
      <c r="N12975" s="88">
        <f>M12975-M12975*VLOOKUP($Q12975,매칭테이블!$F:$I,3,0)</f>
        <v/>
      </c>
      <c r="O12975" s="88">
        <f>VLOOKUP($Q12975,매칭테이블!$F:$I,4,0)*K12975</f>
        <v/>
      </c>
      <c r="P12975" s="152">
        <f>M12975/1.1</f>
        <v/>
      </c>
      <c r="Q12975" s="88">
        <f>F12975&amp;E12975&amp;G12975&amp;L12975</f>
        <v/>
      </c>
    </row>
    <row r="12976">
      <c r="B12976" s="128" t="n">
        <v>44197</v>
      </c>
      <c r="C12976" s="88">
        <f>TEXT(B12976,"aaa")</f>
        <v/>
      </c>
      <c r="D12976" s="94" t="n"/>
      <c r="E12976" s="88">
        <f>INDEX(매칭테이블!C:D,MATCH(RD!G12976,매칭테이블!D:D,0),1)</f>
        <v/>
      </c>
      <c r="F12976" s="94" t="inlineStr">
        <is>
          <t>카페24</t>
        </is>
      </c>
      <c r="G12976" s="94" t="inlineStr">
        <is>
          <t>어성초 80 수분 진정 앰플앰플=어성초 80 앰플 2개-27%off (무료배송)</t>
        </is>
      </c>
      <c r="K12976" s="94" t="n">
        <v>10</v>
      </c>
      <c r="L12976" s="88" t="n">
        <v>201208</v>
      </c>
      <c r="M12976" s="88">
        <f>VLOOKUP($Q12976,매칭테이블!$F:$I,2,0)*K12976</f>
        <v/>
      </c>
      <c r="N12976" s="88">
        <f>M12976-M12976*VLOOKUP($Q12976,매칭테이블!$F:$I,3,0)</f>
        <v/>
      </c>
      <c r="O12976" s="88">
        <f>VLOOKUP($Q12976,매칭테이블!$F:$I,4,0)*K12976</f>
        <v/>
      </c>
      <c r="P12976" s="152">
        <f>M12976/1.1</f>
        <v/>
      </c>
      <c r="Q12976" s="88">
        <f>F12976&amp;E12976&amp;G12976&amp;L12976</f>
        <v/>
      </c>
    </row>
    <row r="12977">
      <c r="B12977" s="128" t="n">
        <v>44197</v>
      </c>
      <c r="C12977" s="88">
        <f>TEXT(B12977,"aaa")</f>
        <v/>
      </c>
      <c r="D12977" s="94" t="n"/>
      <c r="E12977" s="88">
        <f>INDEX(매칭테이블!C:D,MATCH(RD!G12977,매칭테이블!D:D,0),1)</f>
        <v/>
      </c>
      <c r="F12977" s="94" t="inlineStr">
        <is>
          <t>카페24</t>
        </is>
      </c>
      <c r="G12977" s="94" t="inlineStr">
        <is>
          <t>어성초 80 수분 진정 앰플</t>
        </is>
      </c>
      <c r="K12977" s="94" t="n">
        <v>4</v>
      </c>
      <c r="L12977" s="88" t="n">
        <v>201208</v>
      </c>
      <c r="M12977" s="88">
        <f>VLOOKUP($Q12977,매칭테이블!$F:$I,2,0)*K12977</f>
        <v/>
      </c>
      <c r="N12977" s="88">
        <f>M12977-M12977*VLOOKUP($Q12977,매칭테이블!$F:$I,3,0)</f>
        <v/>
      </c>
      <c r="O12977" s="88">
        <f>VLOOKUP($Q12977,매칭테이블!$F:$I,4,0)*K12977</f>
        <v/>
      </c>
      <c r="P12977" s="152">
        <f>M12977/1.1</f>
        <v/>
      </c>
      <c r="Q12977" s="88">
        <f>F12977&amp;E12977&amp;G12977&amp;L12977</f>
        <v/>
      </c>
    </row>
    <row r="12978">
      <c r="B12978" s="128" t="n">
        <v>44197</v>
      </c>
      <c r="C12978" s="88">
        <f>TEXT(B12978,"aaa")</f>
        <v/>
      </c>
      <c r="D12978" s="94" t="n"/>
      <c r="E12978" s="88">
        <f>INDEX(매칭테이블!C:D,MATCH(RD!G12978,매칭테이블!D:D,0),1)</f>
        <v/>
      </c>
      <c r="F12978" s="94" t="inlineStr">
        <is>
          <t>카페24</t>
        </is>
      </c>
      <c r="G12978" s="94" t="inlineStr">
        <is>
          <t>어성초 아크네 바디워시옵션=어성초 아크네 바디워시 1개 -30% off</t>
        </is>
      </c>
      <c r="K12978" s="94" t="n">
        <v>4</v>
      </c>
      <c r="L12978" s="88" t="n">
        <v>201208</v>
      </c>
      <c r="M12978" s="88">
        <f>VLOOKUP($Q12978,매칭테이블!$F:$I,2,0)*K12978</f>
        <v/>
      </c>
      <c r="N12978" s="88">
        <f>M12978-M12978*VLOOKUP($Q12978,매칭테이블!$F:$I,3,0)</f>
        <v/>
      </c>
      <c r="O12978" s="88">
        <f>VLOOKUP($Q12978,매칭테이블!$F:$I,4,0)*K12978</f>
        <v/>
      </c>
      <c r="P12978" s="152">
        <f>M12978/1.1</f>
        <v/>
      </c>
      <c r="Q12978" s="88">
        <f>F12978&amp;E12978&amp;G12978&amp;L12978</f>
        <v/>
      </c>
    </row>
    <row r="12979">
      <c r="B12979" s="128" t="n">
        <v>44197</v>
      </c>
      <c r="C12979" s="88">
        <f>TEXT(B12979,"aaa")</f>
        <v/>
      </c>
      <c r="D12979" s="94" t="n"/>
      <c r="E12979" s="88">
        <f>INDEX(매칭테이블!C:D,MATCH(RD!G12979,매칭테이블!D:D,0),1)</f>
        <v/>
      </c>
      <c r="F12979" s="94" t="inlineStr">
        <is>
          <t>카페24</t>
        </is>
      </c>
      <c r="G12979" s="94" t="inlineStr">
        <is>
          <t>어성초 아크네 바디워시옵션=어성초 아크네 바디워시 2개 -35% off (무료배송)</t>
        </is>
      </c>
      <c r="K12979" s="94" t="n">
        <v>3</v>
      </c>
      <c r="L12979" s="88" t="n">
        <v>201208</v>
      </c>
      <c r="M12979" s="88">
        <f>VLOOKUP($Q12979,매칭테이블!$F:$I,2,0)*K12979</f>
        <v/>
      </c>
      <c r="N12979" s="88">
        <f>M12979-M12979*VLOOKUP($Q12979,매칭테이블!$F:$I,3,0)</f>
        <v/>
      </c>
      <c r="O12979" s="88">
        <f>VLOOKUP($Q12979,매칭테이블!$F:$I,4,0)*K12979</f>
        <v/>
      </c>
      <c r="P12979" s="152">
        <f>M12979/1.1</f>
        <v/>
      </c>
      <c r="Q12979" s="88">
        <f>F12979&amp;E12979&amp;G12979&amp;L12979</f>
        <v/>
      </c>
    </row>
    <row r="12980">
      <c r="B12980" s="128" t="n">
        <v>44197</v>
      </c>
      <c r="C12980" s="88">
        <f>TEXT(B12980,"aaa")</f>
        <v/>
      </c>
      <c r="D12980" s="94" t="n"/>
      <c r="E12980" s="88">
        <f>INDEX(매칭테이블!C:D,MATCH(RD!G12980,매칭테이블!D:D,0),1)</f>
        <v/>
      </c>
      <c r="F12980" s="94" t="inlineStr">
        <is>
          <t>카페24</t>
        </is>
      </c>
      <c r="G12980" s="94" t="inlineStr">
        <is>
          <t>어성초 약산성 클렌징폼클렌징폼=어성초 약산성 클렌징폼 1개 -19%off</t>
        </is>
      </c>
      <c r="K12980" s="94" t="n">
        <v>15</v>
      </c>
      <c r="L12980" s="88" t="n">
        <v>201208</v>
      </c>
      <c r="M12980" s="88">
        <f>VLOOKUP($Q12980,매칭테이블!$F:$I,2,0)*K12980</f>
        <v/>
      </c>
      <c r="N12980" s="88">
        <f>M12980-M12980*VLOOKUP($Q12980,매칭테이블!$F:$I,3,0)</f>
        <v/>
      </c>
      <c r="O12980" s="88">
        <f>VLOOKUP($Q12980,매칭테이블!$F:$I,4,0)*K12980</f>
        <v/>
      </c>
      <c r="P12980" s="152">
        <f>M12980/1.1</f>
        <v/>
      </c>
      <c r="Q12980" s="88">
        <f>F12980&amp;E12980&amp;G12980&amp;L12980</f>
        <v/>
      </c>
    </row>
    <row r="12981">
      <c r="B12981" s="128" t="n">
        <v>44197</v>
      </c>
      <c r="C12981" s="88">
        <f>TEXT(B12981,"aaa")</f>
        <v/>
      </c>
      <c r="D12981" s="94" t="n"/>
      <c r="E12981" s="88">
        <f>INDEX(매칭테이블!C:D,MATCH(RD!G12981,매칭테이블!D:D,0),1)</f>
        <v/>
      </c>
      <c r="F12981" s="94" t="inlineStr">
        <is>
          <t>카페24</t>
        </is>
      </c>
      <c r="G12981" s="94" t="inlineStr">
        <is>
          <t>어성초 약산성 클렌징폼클렌징폼=어성초 약산성 클렌징폼 2개 -25%off</t>
        </is>
      </c>
      <c r="K12981" s="94" t="n">
        <v>5</v>
      </c>
      <c r="L12981" s="88" t="n">
        <v>201208</v>
      </c>
      <c r="M12981" s="88">
        <f>VLOOKUP($Q12981,매칭테이블!$F:$I,2,0)*K12981</f>
        <v/>
      </c>
      <c r="N12981" s="88">
        <f>M12981-M12981*VLOOKUP($Q12981,매칭테이블!$F:$I,3,0)</f>
        <v/>
      </c>
      <c r="O12981" s="88">
        <f>VLOOKUP($Q12981,매칭테이블!$F:$I,4,0)*K12981</f>
        <v/>
      </c>
      <c r="P12981" s="152">
        <f>M12981/1.1</f>
        <v/>
      </c>
      <c r="Q12981" s="88">
        <f>F12981&amp;E12981&amp;G12981&amp;L12981</f>
        <v/>
      </c>
    </row>
    <row r="12982">
      <c r="B12982" s="128" t="n">
        <v>44197</v>
      </c>
      <c r="C12982" s="88">
        <f>TEXT(B12982,"aaa")</f>
        <v/>
      </c>
      <c r="D12982" s="94" t="n"/>
      <c r="E12982" s="88">
        <f>INDEX(매칭테이블!C:D,MATCH(RD!G12982,매칭테이블!D:D,0),1)</f>
        <v/>
      </c>
      <c r="F12982" s="94" t="inlineStr">
        <is>
          <t>카페24</t>
        </is>
      </c>
      <c r="G12982" s="94" t="inlineStr">
        <is>
          <t>어성초 약산성 클렌징폼클렌징폼=어성초 약산성 클렌징폼 3개 -31%off (무료배송)</t>
        </is>
      </c>
      <c r="K12982" s="94" t="n">
        <v>3</v>
      </c>
      <c r="L12982" s="88" t="n">
        <v>201208</v>
      </c>
      <c r="M12982" s="88">
        <f>VLOOKUP($Q12982,매칭테이블!$F:$I,2,0)*K12982</f>
        <v/>
      </c>
      <c r="N12982" s="88">
        <f>M12982-M12982*VLOOKUP($Q12982,매칭테이블!$F:$I,3,0)</f>
        <v/>
      </c>
      <c r="O12982" s="88">
        <f>VLOOKUP($Q12982,매칭테이블!$F:$I,4,0)*K12982</f>
        <v/>
      </c>
      <c r="P12982" s="152">
        <f>M12982/1.1</f>
        <v/>
      </c>
      <c r="Q12982" s="88">
        <f>F12982&amp;E12982&amp;G12982&amp;L12982</f>
        <v/>
      </c>
    </row>
    <row r="12983">
      <c r="B12983" s="128" t="n">
        <v>44197</v>
      </c>
      <c r="C12983" s="88">
        <f>TEXT(B12983,"aaa")</f>
        <v/>
      </c>
      <c r="D12983" s="94" t="n"/>
      <c r="E12983" s="88">
        <f>INDEX(매칭테이블!C:D,MATCH(RD!G12983,매칭테이블!D:D,0),1)</f>
        <v/>
      </c>
      <c r="F12983" s="94" t="inlineStr">
        <is>
          <t>카페24</t>
        </is>
      </c>
      <c r="G12983" s="94" t="inlineStr">
        <is>
          <t>어성초 크림마스크 나이트 솔루션옵션=어성초 크림마스크 나이트 솔루션 1장</t>
        </is>
      </c>
      <c r="K12983" s="94" t="n">
        <v>3</v>
      </c>
      <c r="L12983" s="88" t="n">
        <v>201208</v>
      </c>
      <c r="M12983" s="88">
        <f>VLOOKUP($Q12983,매칭테이블!$F:$I,2,0)*K12983</f>
        <v/>
      </c>
      <c r="N12983" s="88">
        <f>M12983-M12983*VLOOKUP($Q12983,매칭테이블!$F:$I,3,0)</f>
        <v/>
      </c>
      <c r="O12983" s="88">
        <f>VLOOKUP($Q12983,매칭테이블!$F:$I,4,0)*K12983</f>
        <v/>
      </c>
      <c r="P12983" s="152">
        <f>M12983/1.1</f>
        <v/>
      </c>
      <c r="Q12983" s="88">
        <f>F12983&amp;E12983&amp;G12983&amp;L12983</f>
        <v/>
      </c>
    </row>
    <row r="12984">
      <c r="B12984" s="128" t="n">
        <v>44197</v>
      </c>
      <c r="C12984" s="88">
        <f>TEXT(B12984,"aaa")</f>
        <v/>
      </c>
      <c r="D12984" s="94" t="n"/>
      <c r="E12984" s="88">
        <f>INDEX(매칭테이블!C:D,MATCH(RD!G12984,매칭테이블!D:D,0),1)</f>
        <v/>
      </c>
      <c r="F12984" s="94" t="inlineStr">
        <is>
          <t>카페24</t>
        </is>
      </c>
      <c r="G12984" s="94" t="inlineStr">
        <is>
          <t>어성초 크림마스크 나이트 솔루션옵션=어성초 크림마스크 나이트 솔루션 10장 (-50%)</t>
        </is>
      </c>
      <c r="K12984" s="94" t="n">
        <v>4</v>
      </c>
      <c r="L12984" s="88" t="n">
        <v>201208</v>
      </c>
      <c r="M12984" s="88">
        <f>VLOOKUP($Q12984,매칭테이블!$F:$I,2,0)*K12984</f>
        <v/>
      </c>
      <c r="N12984" s="88">
        <f>M12984-M12984*VLOOKUP($Q12984,매칭테이블!$F:$I,3,0)</f>
        <v/>
      </c>
      <c r="O12984" s="88">
        <f>VLOOKUP($Q12984,매칭테이블!$F:$I,4,0)*K12984</f>
        <v/>
      </c>
      <c r="P12984" s="152">
        <f>M12984/1.1</f>
        <v/>
      </c>
      <c r="Q12984" s="88">
        <f>F12984&amp;E12984&amp;G12984&amp;L12984</f>
        <v/>
      </c>
    </row>
    <row r="12985">
      <c r="B12985" s="128" t="n">
        <v>44197</v>
      </c>
      <c r="C12985" s="88">
        <f>TEXT(B12985,"aaa")</f>
        <v/>
      </c>
      <c r="D12985" s="94" t="n"/>
      <c r="E12985" s="88">
        <f>INDEX(매칭테이블!C:D,MATCH(RD!G12985,매칭테이블!D:D,0),1)</f>
        <v/>
      </c>
      <c r="F12985" s="94" t="inlineStr">
        <is>
          <t>카페24</t>
        </is>
      </c>
      <c r="G12985" s="94" t="inlineStr">
        <is>
          <t>촉촉 스킨팩 화장솜</t>
        </is>
      </c>
      <c r="K12985" s="94" t="n">
        <v>20</v>
      </c>
      <c r="L12985" s="88" t="n">
        <v>201208</v>
      </c>
      <c r="M12985" s="88">
        <f>VLOOKUP($Q12985,매칭테이블!$F:$I,2,0)*K12985</f>
        <v/>
      </c>
      <c r="N12985" s="88">
        <f>M12985-M12985*VLOOKUP($Q12985,매칭테이블!$F:$I,3,0)</f>
        <v/>
      </c>
      <c r="O12985" s="88">
        <f>VLOOKUP($Q12985,매칭테이블!$F:$I,4,0)*K12985</f>
        <v/>
      </c>
      <c r="P12985" s="152">
        <f>M12985/1.1</f>
        <v/>
      </c>
      <c r="Q12985" s="88">
        <f>F12985&amp;E12985&amp;G12985&amp;L12985</f>
        <v/>
      </c>
    </row>
    <row r="12986">
      <c r="B12986" s="128" t="n">
        <v>44198</v>
      </c>
      <c r="C12986" s="88">
        <f>TEXT(B12986,"aaa")</f>
        <v/>
      </c>
      <c r="E12986" s="88">
        <f>INDEX(매칭테이블!C:D,MATCH(RD!G12986,매칭테이블!D:D,0),1)</f>
        <v/>
      </c>
      <c r="F12986" s="94" t="inlineStr">
        <is>
          <t>스타일쉐어</t>
        </is>
      </c>
      <c r="G12986" s="94" t="inlineStr">
        <is>
          <t>[연휴특가]아누아 어성초 77 토너 250ml</t>
        </is>
      </c>
      <c r="K12986" s="94" t="n">
        <v>3</v>
      </c>
      <c r="L12986" s="88" t="n">
        <v>201208</v>
      </c>
      <c r="M12986" s="88">
        <f>VLOOKUP($Q12986,매칭테이블!$F:$I,2,0)*K12986</f>
        <v/>
      </c>
      <c r="N12986" s="88">
        <f>M12986-M12986*VLOOKUP($Q12986,매칭테이블!$F:$I,3,0)</f>
        <v/>
      </c>
      <c r="O12986" s="88">
        <f>VLOOKUP($Q12986,매칭테이블!$F:$I,4,0)*K12986</f>
        <v/>
      </c>
      <c r="P12986" s="152">
        <f>M12986/1.1</f>
        <v/>
      </c>
      <c r="Q12986" s="88">
        <f>F12986&amp;E12986&amp;G12986&amp;L12986</f>
        <v/>
      </c>
    </row>
    <row r="12987">
      <c r="B12987" s="128" t="n">
        <v>44198</v>
      </c>
      <c r="C12987" s="88">
        <f>TEXT(B12987,"aaa")</f>
        <v/>
      </c>
      <c r="D12987" s="94" t="n"/>
      <c r="E12987" s="88">
        <f>INDEX(매칭테이블!C:D,MATCH(RD!G12987,매칭테이블!D:D,0),1)</f>
        <v/>
      </c>
      <c r="F12987" s="94" t="inlineStr">
        <is>
          <t>카페24</t>
        </is>
      </c>
      <c r="G12987" s="94" t="inlineStr">
        <is>
          <t>5 제로 무기자차 선크림옵션=5제로 무기자차 선크림 1개-20% off</t>
        </is>
      </c>
      <c r="K12987" s="94" t="n">
        <v>7</v>
      </c>
      <c r="L12987" s="88" t="n">
        <v>201208</v>
      </c>
      <c r="M12987" s="88">
        <f>VLOOKUP($Q12987,매칭테이블!$F:$I,2,0)*K12987</f>
        <v/>
      </c>
      <c r="N12987" s="88">
        <f>M12987-M12987*VLOOKUP($Q12987,매칭테이블!$F:$I,3,0)</f>
        <v/>
      </c>
      <c r="O12987" s="88">
        <f>VLOOKUP($Q12987,매칭테이블!$F:$I,4,0)*K12987</f>
        <v/>
      </c>
      <c r="P12987" s="152">
        <f>M12987/1.1</f>
        <v/>
      </c>
      <c r="Q12987" s="88">
        <f>F12987&amp;E12987&amp;G12987&amp;L12987</f>
        <v/>
      </c>
    </row>
    <row r="12988">
      <c r="B12988" s="128" t="n">
        <v>44198</v>
      </c>
      <c r="C12988" s="88">
        <f>TEXT(B12988,"aaa")</f>
        <v/>
      </c>
      <c r="D12988" s="94" t="n"/>
      <c r="E12988" s="88">
        <f>INDEX(매칭테이블!C:D,MATCH(RD!G12988,매칭테이블!D:D,0),1)</f>
        <v/>
      </c>
      <c r="F12988" s="94" t="inlineStr">
        <is>
          <t>카페24</t>
        </is>
      </c>
      <c r="G12988" s="94" t="inlineStr">
        <is>
          <t>[수분 보충 세트] 어성초 77 토너 + 어성초 70 로션옵션=어성초 77 토너 250ml + 어성초 70 로션 200ml -30%</t>
        </is>
      </c>
      <c r="K12988" s="94" t="n">
        <v>28</v>
      </c>
      <c r="L12988" s="88" t="n">
        <v>201208</v>
      </c>
      <c r="M12988" s="88">
        <f>VLOOKUP($Q12988,매칭테이블!$F:$I,2,0)*K12988</f>
        <v/>
      </c>
      <c r="N12988" s="88">
        <f>M12988-M12988*VLOOKUP($Q12988,매칭테이블!$F:$I,3,0)</f>
        <v/>
      </c>
      <c r="O12988" s="88">
        <f>VLOOKUP($Q12988,매칭테이블!$F:$I,4,0)*K12988</f>
        <v/>
      </c>
      <c r="P12988" s="152">
        <f>M12988/1.1</f>
        <v/>
      </c>
      <c r="Q12988" s="88">
        <f>F12988&amp;E12988&amp;G12988&amp;L12988</f>
        <v/>
      </c>
    </row>
    <row r="12989">
      <c r="B12989" s="128" t="n">
        <v>44198</v>
      </c>
      <c r="C12989" s="88">
        <f>TEXT(B12989,"aaa")</f>
        <v/>
      </c>
      <c r="D12989" s="94" t="n"/>
      <c r="E12989" s="88">
        <f>INDEX(매칭테이블!C:D,MATCH(RD!G12989,매칭테이블!D:D,0),1)</f>
        <v/>
      </c>
      <c r="F12989" s="94" t="inlineStr">
        <is>
          <t>카페24</t>
        </is>
      </c>
      <c r="G12989" s="94" t="inlineStr">
        <is>
          <t>[어성초 진정 패키지 세트] 대용량 토너 + 앰플 + 수딩 크림 + 마스크팩 10장</t>
        </is>
      </c>
      <c r="K12989" s="94" t="n">
        <v>2</v>
      </c>
      <c r="L12989" s="88" t="n">
        <v>201208</v>
      </c>
      <c r="M12989" s="88">
        <f>VLOOKUP($Q12989,매칭테이블!$F:$I,2,0)*K12989</f>
        <v/>
      </c>
      <c r="N12989" s="88">
        <f>M12989-M12989*VLOOKUP($Q12989,매칭테이블!$F:$I,3,0)</f>
        <v/>
      </c>
      <c r="O12989" s="88">
        <f>VLOOKUP($Q12989,매칭테이블!$F:$I,4,0)*K12989</f>
        <v/>
      </c>
      <c r="P12989" s="152">
        <f>M12989/1.1</f>
        <v/>
      </c>
      <c r="Q12989" s="88">
        <f>F12989&amp;E12989&amp;G12989&amp;L12989</f>
        <v/>
      </c>
    </row>
    <row r="12990">
      <c r="B12990" s="128" t="n">
        <v>44198</v>
      </c>
      <c r="C12990" s="88">
        <f>TEXT(B12990,"aaa")</f>
        <v/>
      </c>
      <c r="D12990" s="94" t="n"/>
      <c r="E12990" s="88">
        <f>INDEX(매칭테이블!C:D,MATCH(RD!G12990,매칭테이블!D:D,0),1)</f>
        <v/>
      </c>
      <c r="F12990" s="94" t="inlineStr">
        <is>
          <t>카페24</t>
        </is>
      </c>
      <c r="G12990" s="94" t="inlineStr">
        <is>
          <t>대용량 어성초 77 수딩 토너 500ml</t>
        </is>
      </c>
      <c r="K12990" s="94" t="n">
        <v>27</v>
      </c>
      <c r="L12990" s="88" t="n">
        <v>201208</v>
      </c>
      <c r="M12990" s="88">
        <f>VLOOKUP($Q12990,매칭테이블!$F:$I,2,0)*K12990</f>
        <v/>
      </c>
      <c r="N12990" s="88">
        <f>M12990-M12990*VLOOKUP($Q12990,매칭테이블!$F:$I,3,0)</f>
        <v/>
      </c>
      <c r="O12990" s="88">
        <f>VLOOKUP($Q12990,매칭테이블!$F:$I,4,0)*K12990</f>
        <v/>
      </c>
      <c r="P12990" s="152">
        <f>M12990/1.1</f>
        <v/>
      </c>
      <c r="Q12990" s="88">
        <f>F12990&amp;E12990&amp;G12990&amp;L12990</f>
        <v/>
      </c>
    </row>
    <row r="12991">
      <c r="B12991" s="128" t="n">
        <v>44198</v>
      </c>
      <c r="C12991" s="88">
        <f>TEXT(B12991,"aaa")</f>
        <v/>
      </c>
      <c r="D12991" s="94" t="n"/>
      <c r="E12991" s="88">
        <f>INDEX(매칭테이블!C:D,MATCH(RD!G12991,매칭테이블!D:D,0),1)</f>
        <v/>
      </c>
      <c r="F12991" s="94" t="inlineStr">
        <is>
          <t>카페24</t>
        </is>
      </c>
      <c r="G12991" s="94" t="inlineStr">
        <is>
          <t>대용량 어성초 77 토너 500ml</t>
        </is>
      </c>
      <c r="K12991" s="94" t="n">
        <v>3</v>
      </c>
      <c r="L12991" s="88" t="n">
        <v>201208</v>
      </c>
      <c r="M12991" s="88">
        <f>VLOOKUP($Q12991,매칭테이블!$F:$I,2,0)*K12991</f>
        <v/>
      </c>
      <c r="N12991" s="88">
        <f>M12991-M12991*VLOOKUP($Q12991,매칭테이블!$F:$I,3,0)</f>
        <v/>
      </c>
      <c r="O12991" s="88">
        <f>VLOOKUP($Q12991,매칭테이블!$F:$I,4,0)*K12991</f>
        <v/>
      </c>
      <c r="P12991" s="152">
        <f>M12991/1.1</f>
        <v/>
      </c>
      <c r="Q12991" s="88">
        <f>F12991&amp;E12991&amp;G12991&amp;L12991</f>
        <v/>
      </c>
    </row>
    <row r="12992">
      <c r="B12992" s="128" t="n">
        <v>44198</v>
      </c>
      <c r="C12992" s="88">
        <f>TEXT(B12992,"aaa")</f>
        <v/>
      </c>
      <c r="D12992" s="94" t="n"/>
      <c r="E12992" s="88">
        <f>INDEX(매칭테이블!C:D,MATCH(RD!G12992,매칭테이블!D:D,0),1)</f>
        <v/>
      </c>
      <c r="F12992" s="94" t="inlineStr">
        <is>
          <t>카페24</t>
        </is>
      </c>
      <c r="G12992" s="94" t="inlineStr">
        <is>
          <t>아누아 어성초 77 수딩 토너토너(필수)=어성초 77 토너 2개-30% off (무료배송)</t>
        </is>
      </c>
      <c r="K12992" s="94" t="n">
        <v>1</v>
      </c>
      <c r="L12992" s="88" t="n">
        <v>201208</v>
      </c>
      <c r="M12992" s="88">
        <f>VLOOKUP($Q12992,매칭테이블!$F:$I,2,0)*K12992</f>
        <v/>
      </c>
      <c r="N12992" s="88">
        <f>M12992-M12992*VLOOKUP($Q12992,매칭테이블!$F:$I,3,0)</f>
        <v/>
      </c>
      <c r="O12992" s="88">
        <f>VLOOKUP($Q12992,매칭테이블!$F:$I,4,0)*K12992</f>
        <v/>
      </c>
      <c r="P12992" s="152">
        <f>M12992/1.1</f>
        <v/>
      </c>
      <c r="Q12992" s="88">
        <f>F12992&amp;E12992&amp;G12992&amp;L12992</f>
        <v/>
      </c>
    </row>
    <row r="12993">
      <c r="B12993" s="128" t="n">
        <v>44198</v>
      </c>
      <c r="C12993" s="88">
        <f>TEXT(B12993,"aaa")</f>
        <v/>
      </c>
      <c r="D12993" s="94" t="n"/>
      <c r="E12993" s="88">
        <f>INDEX(매칭테이블!C:D,MATCH(RD!G12993,매칭테이블!D:D,0),1)</f>
        <v/>
      </c>
      <c r="F12993" s="94" t="inlineStr">
        <is>
          <t>카페24</t>
        </is>
      </c>
      <c r="G12993" s="94" t="inlineStr">
        <is>
          <t>아누아 어성초 77 수딩 토너화장솜(선택)=촉촉 스킨팩 화장솜</t>
        </is>
      </c>
      <c r="K12993" s="94" t="n">
        <v>1</v>
      </c>
      <c r="L12993" s="88" t="n">
        <v>201208</v>
      </c>
      <c r="M12993" s="88">
        <f>VLOOKUP($Q12993,매칭테이블!$F:$I,2,0)*K12993</f>
        <v/>
      </c>
      <c r="N12993" s="88">
        <f>M12993-M12993*VLOOKUP($Q12993,매칭테이블!$F:$I,3,0)</f>
        <v/>
      </c>
      <c r="O12993" s="88">
        <f>VLOOKUP($Q12993,매칭테이블!$F:$I,4,0)*K12993</f>
        <v/>
      </c>
      <c r="P12993" s="152">
        <f>M12993/1.1</f>
        <v/>
      </c>
      <c r="Q12993" s="88">
        <f>F12993&amp;E12993&amp;G12993&amp;L12993</f>
        <v/>
      </c>
    </row>
    <row r="12994">
      <c r="B12994" s="128" t="n">
        <v>44198</v>
      </c>
      <c r="C12994" s="88">
        <f>TEXT(B12994,"aaa")</f>
        <v/>
      </c>
      <c r="D12994" s="94" t="n"/>
      <c r="E12994" s="88">
        <f>INDEX(매칭테이블!C:D,MATCH(RD!G12994,매칭테이블!D:D,0),1)</f>
        <v/>
      </c>
      <c r="F12994" s="94" t="inlineStr">
        <is>
          <t>카페24</t>
        </is>
      </c>
      <c r="G12994" s="94" t="inlineStr">
        <is>
          <t>어성초 70 데일리 릴리프 로션로션=어성초 70 데일리 릴리프 로션 1개 -20% off</t>
        </is>
      </c>
      <c r="K12994" s="94" t="n">
        <v>14</v>
      </c>
      <c r="L12994" s="88" t="n">
        <v>201208</v>
      </c>
      <c r="M12994" s="88">
        <f>VLOOKUP($Q12994,매칭테이블!$F:$I,2,0)*K12994</f>
        <v/>
      </c>
      <c r="N12994" s="88">
        <f>M12994-M12994*VLOOKUP($Q12994,매칭테이블!$F:$I,3,0)</f>
        <v/>
      </c>
      <c r="O12994" s="88">
        <f>VLOOKUP($Q12994,매칭테이블!$F:$I,4,0)*K12994</f>
        <v/>
      </c>
      <c r="P12994" s="152">
        <f>M12994/1.1</f>
        <v/>
      </c>
      <c r="Q12994" s="88">
        <f>F12994&amp;E12994&amp;G12994&amp;L12994</f>
        <v/>
      </c>
    </row>
    <row r="12995">
      <c r="B12995" s="128" t="n">
        <v>44198</v>
      </c>
      <c r="C12995" s="88">
        <f>TEXT(B12995,"aaa")</f>
        <v/>
      </c>
      <c r="D12995" s="94" t="n"/>
      <c r="E12995" s="88">
        <f>INDEX(매칭테이블!C:D,MATCH(RD!G12995,매칭테이블!D:D,0),1)</f>
        <v/>
      </c>
      <c r="F12995" s="94" t="inlineStr">
        <is>
          <t>카페24</t>
        </is>
      </c>
      <c r="G12995" s="94" t="inlineStr">
        <is>
          <t>어성초 70 데일리 릴리프 로션로션=어성초 70 데일리 릴리프 로션 2개 -30% off</t>
        </is>
      </c>
      <c r="K12995" s="94" t="n">
        <v>3</v>
      </c>
      <c r="L12995" s="88" t="n">
        <v>201208</v>
      </c>
      <c r="M12995" s="88">
        <f>VLOOKUP($Q12995,매칭테이블!$F:$I,2,0)*K12995</f>
        <v/>
      </c>
      <c r="N12995" s="88">
        <f>M12995-M12995*VLOOKUP($Q12995,매칭테이블!$F:$I,3,0)</f>
        <v/>
      </c>
      <c r="O12995" s="88">
        <f>VLOOKUP($Q12995,매칭테이블!$F:$I,4,0)*K12995</f>
        <v/>
      </c>
      <c r="P12995" s="152">
        <f>M12995/1.1</f>
        <v/>
      </c>
      <c r="Q12995" s="88">
        <f>F12995&amp;E12995&amp;G12995&amp;L12995</f>
        <v/>
      </c>
    </row>
    <row r="12996">
      <c r="B12996" s="128" t="n">
        <v>44198</v>
      </c>
      <c r="C12996" s="88">
        <f>TEXT(B12996,"aaa")</f>
        <v/>
      </c>
      <c r="D12996" s="94" t="n"/>
      <c r="E12996" s="88">
        <f>INDEX(매칭테이블!C:D,MATCH(RD!G12996,매칭테이블!D:D,0),1)</f>
        <v/>
      </c>
      <c r="F12996" s="94" t="inlineStr">
        <is>
          <t>카페24</t>
        </is>
      </c>
      <c r="G12996" s="94" t="inlineStr">
        <is>
          <t>어성초 70 데일리 릴리프 로션로션=어성초 77토너 + 어성초 70 로션 수분 보충 세트 -30% off</t>
        </is>
      </c>
      <c r="K12996" s="94" t="n">
        <v>2</v>
      </c>
      <c r="L12996" s="88" t="n">
        <v>201208</v>
      </c>
      <c r="M12996" s="88">
        <f>VLOOKUP($Q12996,매칭테이블!$F:$I,2,0)*K12996</f>
        <v/>
      </c>
      <c r="N12996" s="88">
        <f>M12996-M12996*VLOOKUP($Q12996,매칭테이블!$F:$I,3,0)</f>
        <v/>
      </c>
      <c r="O12996" s="88">
        <f>VLOOKUP($Q12996,매칭테이블!$F:$I,4,0)*K12996</f>
        <v/>
      </c>
      <c r="P12996" s="152">
        <f>M12996/1.1</f>
        <v/>
      </c>
      <c r="Q12996" s="88">
        <f>F12996&amp;E12996&amp;G12996&amp;L12996</f>
        <v/>
      </c>
    </row>
    <row r="12997">
      <c r="B12997" s="128" t="n">
        <v>44198</v>
      </c>
      <c r="C12997" s="88">
        <f>TEXT(B12997,"aaa")</f>
        <v/>
      </c>
      <c r="D12997" s="94" t="n"/>
      <c r="E12997" s="88">
        <f>INDEX(매칭테이블!C:D,MATCH(RD!G12997,매칭테이블!D:D,0),1)</f>
        <v/>
      </c>
      <c r="F12997" s="94" t="inlineStr">
        <is>
          <t>카페24</t>
        </is>
      </c>
      <c r="G12997" s="94" t="inlineStr">
        <is>
          <t>어성초 70 머드 크림 마스크옵션=어성초 70 머드 크림 마스크-20% off</t>
        </is>
      </c>
      <c r="K12997" s="94" t="n">
        <v>3</v>
      </c>
      <c r="L12997" s="88" t="n">
        <v>201208</v>
      </c>
      <c r="M12997" s="88">
        <f>VLOOKUP($Q12997,매칭테이블!$F:$I,2,0)*K12997</f>
        <v/>
      </c>
      <c r="N12997" s="88">
        <f>M12997-M12997*VLOOKUP($Q12997,매칭테이블!$F:$I,3,0)</f>
        <v/>
      </c>
      <c r="O12997" s="88">
        <f>VLOOKUP($Q12997,매칭테이블!$F:$I,4,0)*K12997</f>
        <v/>
      </c>
      <c r="P12997" s="152">
        <f>M12997/1.1</f>
        <v/>
      </c>
      <c r="Q12997" s="88">
        <f>F12997&amp;E12997&amp;G12997&amp;L12997</f>
        <v/>
      </c>
    </row>
    <row r="12998">
      <c r="B12998" s="128" t="n">
        <v>44198</v>
      </c>
      <c r="C12998" s="88">
        <f>TEXT(B12998,"aaa")</f>
        <v/>
      </c>
      <c r="D12998" s="94" t="n"/>
      <c r="E12998" s="88">
        <f>INDEX(매칭테이블!C:D,MATCH(RD!G12998,매칭테이블!D:D,0),1)</f>
        <v/>
      </c>
      <c r="F12998" s="94" t="inlineStr">
        <is>
          <t>카페24</t>
        </is>
      </c>
      <c r="G12998" s="94" t="inlineStr">
        <is>
          <t>어성초 70 인텐스 카밍 크림크림=어성초 70 인텐스 카밍 크림 1개 (-20%)</t>
        </is>
      </c>
      <c r="K12998" s="94" t="n">
        <v>3</v>
      </c>
      <c r="L12998" s="88" t="n">
        <v>201208</v>
      </c>
      <c r="M12998" s="88">
        <f>VLOOKUP($Q12998,매칭테이블!$F:$I,2,0)*K12998</f>
        <v/>
      </c>
      <c r="N12998" s="88">
        <f>M12998-M12998*VLOOKUP($Q12998,매칭테이블!$F:$I,3,0)</f>
        <v/>
      </c>
      <c r="O12998" s="88">
        <f>VLOOKUP($Q12998,매칭테이블!$F:$I,4,0)*K12998</f>
        <v/>
      </c>
      <c r="P12998" s="152">
        <f>M12998/1.1</f>
        <v/>
      </c>
      <c r="Q12998" s="88">
        <f>F12998&amp;E12998&amp;G12998&amp;L12998</f>
        <v/>
      </c>
    </row>
    <row r="12999">
      <c r="B12999" s="128" t="n">
        <v>44198</v>
      </c>
      <c r="C12999" s="88">
        <f>TEXT(B12999,"aaa")</f>
        <v/>
      </c>
      <c r="D12999" s="94" t="n"/>
      <c r="E12999" s="88">
        <f>INDEX(매칭테이블!C:D,MATCH(RD!G12999,매칭테이블!D:D,0),1)</f>
        <v/>
      </c>
      <c r="F12999" s="94" t="inlineStr">
        <is>
          <t>카페24</t>
        </is>
      </c>
      <c r="G12999" s="94" t="inlineStr">
        <is>
          <t>어성초 70 인텐스 카밍 크림크림=어성초 토너 250ml + 카밍 크림 50ml (-30%)</t>
        </is>
      </c>
      <c r="K12999" s="94" t="n">
        <v>3</v>
      </c>
      <c r="L12999" s="88" t="n">
        <v>201208</v>
      </c>
      <c r="M12999" s="88">
        <f>VLOOKUP($Q12999,매칭테이블!$F:$I,2,0)*K12999</f>
        <v/>
      </c>
      <c r="N12999" s="88">
        <f>M12999-M12999*VLOOKUP($Q12999,매칭테이블!$F:$I,3,0)</f>
        <v/>
      </c>
      <c r="O12999" s="88">
        <f>VLOOKUP($Q12999,매칭테이블!$F:$I,4,0)*K12999</f>
        <v/>
      </c>
      <c r="P12999" s="152">
        <f>M12999/1.1</f>
        <v/>
      </c>
      <c r="Q12999" s="88">
        <f>F12999&amp;E12999&amp;G12999&amp;L12999</f>
        <v/>
      </c>
    </row>
    <row r="13000">
      <c r="B13000" s="128" t="n">
        <v>44198</v>
      </c>
      <c r="C13000" s="88">
        <f>TEXT(B13000,"aaa")</f>
        <v/>
      </c>
      <c r="D13000" s="94" t="n"/>
      <c r="E13000" s="88">
        <f>INDEX(매칭테이블!C:D,MATCH(RD!G13000,매칭테이블!D:D,0),1)</f>
        <v/>
      </c>
      <c r="F13000" s="94" t="inlineStr">
        <is>
          <t>카페24</t>
        </is>
      </c>
      <c r="G13000" s="94" t="inlineStr">
        <is>
          <t>어성초 77 수딩 토너토너(필수)=어성초 77 토너 1개-20% off</t>
        </is>
      </c>
      <c r="K13000" s="94" t="n">
        <v>41</v>
      </c>
      <c r="L13000" s="88" t="n">
        <v>201208</v>
      </c>
      <c r="M13000" s="88">
        <f>VLOOKUP($Q13000,매칭테이블!$F:$I,2,0)*K13000</f>
        <v/>
      </c>
      <c r="N13000" s="88">
        <f>M13000-M13000*VLOOKUP($Q13000,매칭테이블!$F:$I,3,0)</f>
        <v/>
      </c>
      <c r="O13000" s="88">
        <f>VLOOKUP($Q13000,매칭테이블!$F:$I,4,0)*K13000</f>
        <v/>
      </c>
      <c r="P13000" s="152">
        <f>M13000/1.1</f>
        <v/>
      </c>
      <c r="Q13000" s="88">
        <f>F13000&amp;E13000&amp;G13000&amp;L13000</f>
        <v/>
      </c>
    </row>
    <row r="13001">
      <c r="B13001" s="128" t="n">
        <v>44198</v>
      </c>
      <c r="C13001" s="88">
        <f>TEXT(B13001,"aaa")</f>
        <v/>
      </c>
      <c r="D13001" s="94" t="n"/>
      <c r="E13001" s="88">
        <f>INDEX(매칭테이블!C:D,MATCH(RD!G13001,매칭테이블!D:D,0),1)</f>
        <v/>
      </c>
      <c r="F13001" s="94" t="inlineStr">
        <is>
          <t>카페24</t>
        </is>
      </c>
      <c r="G13001" s="94" t="inlineStr">
        <is>
          <t>어성초 77 수딩 토너토너(필수)=어성초 77 토너 2개-30% off (무료배송)</t>
        </is>
      </c>
      <c r="K13001" s="94" t="n">
        <v>20</v>
      </c>
      <c r="L13001" s="88" t="n">
        <v>201208</v>
      </c>
      <c r="M13001" s="88">
        <f>VLOOKUP($Q13001,매칭테이블!$F:$I,2,0)*K13001</f>
        <v/>
      </c>
      <c r="N13001" s="88">
        <f>M13001-M13001*VLOOKUP($Q13001,매칭테이블!$F:$I,3,0)</f>
        <v/>
      </c>
      <c r="O13001" s="88">
        <f>VLOOKUP($Q13001,매칭테이블!$F:$I,4,0)*K13001</f>
        <v/>
      </c>
      <c r="P13001" s="152">
        <f>M13001/1.1</f>
        <v/>
      </c>
      <c r="Q13001" s="88">
        <f>F13001&amp;E13001&amp;G13001&amp;L13001</f>
        <v/>
      </c>
    </row>
    <row r="13002">
      <c r="B13002" s="128" t="n">
        <v>44198</v>
      </c>
      <c r="C13002" s="88">
        <f>TEXT(B13002,"aaa")</f>
        <v/>
      </c>
      <c r="D13002" s="94" t="n"/>
      <c r="E13002" s="88">
        <f>INDEX(매칭테이블!C:D,MATCH(RD!G13002,매칭테이블!D:D,0),1)</f>
        <v/>
      </c>
      <c r="F13002" s="94" t="inlineStr">
        <is>
          <t>카페24</t>
        </is>
      </c>
      <c r="G13002" s="94" t="inlineStr">
        <is>
          <t>어성초 77 수딩 토너토너(필수)=어성초77토너1개 + 어성초77패드1개 -30% off (무료배송)</t>
        </is>
      </c>
      <c r="K13002" s="94" t="n">
        <v>18</v>
      </c>
      <c r="L13002" s="88" t="n">
        <v>201208</v>
      </c>
      <c r="M13002" s="88">
        <f>VLOOKUP($Q13002,매칭테이블!$F:$I,2,0)*K13002</f>
        <v/>
      </c>
      <c r="N13002" s="88">
        <f>M13002-M13002*VLOOKUP($Q13002,매칭테이블!$F:$I,3,0)</f>
        <v/>
      </c>
      <c r="O13002" s="88">
        <f>VLOOKUP($Q13002,매칭테이블!$F:$I,4,0)*K13002</f>
        <v/>
      </c>
      <c r="P13002" s="152">
        <f>M13002/1.1</f>
        <v/>
      </c>
      <c r="Q13002" s="88">
        <f>F13002&amp;E13002&amp;G13002&amp;L13002</f>
        <v/>
      </c>
    </row>
    <row r="13003">
      <c r="B13003" s="128" t="n">
        <v>44198</v>
      </c>
      <c r="C13003" s="88">
        <f>TEXT(B13003,"aaa")</f>
        <v/>
      </c>
      <c r="D13003" s="94" t="n"/>
      <c r="E13003" s="88">
        <f>INDEX(매칭테이블!C:D,MATCH(RD!G13003,매칭테이블!D:D,0),1)</f>
        <v/>
      </c>
      <c r="F13003" s="94" t="inlineStr">
        <is>
          <t>카페24</t>
        </is>
      </c>
      <c r="G13003" s="94" t="inlineStr">
        <is>
          <t>어성초 77 수딩 토너화장솜(선택)=촉촉 스킨팩 화장솜</t>
        </is>
      </c>
      <c r="K13003" s="94" t="n">
        <v>27</v>
      </c>
      <c r="L13003" s="88" t="n">
        <v>201208</v>
      </c>
      <c r="M13003" s="88">
        <f>VLOOKUP($Q13003,매칭테이블!$F:$I,2,0)*K13003</f>
        <v/>
      </c>
      <c r="N13003" s="88">
        <f>M13003-M13003*VLOOKUP($Q13003,매칭테이블!$F:$I,3,0)</f>
        <v/>
      </c>
      <c r="O13003" s="88">
        <f>VLOOKUP($Q13003,매칭테이블!$F:$I,4,0)*K13003</f>
        <v/>
      </c>
      <c r="P13003" s="152">
        <f>M13003/1.1</f>
        <v/>
      </c>
      <c r="Q13003" s="88">
        <f>F13003&amp;E13003&amp;G13003&amp;L13003</f>
        <v/>
      </c>
    </row>
    <row r="13004">
      <c r="B13004" s="128" t="n">
        <v>44198</v>
      </c>
      <c r="C13004" s="88">
        <f>TEXT(B13004,"aaa")</f>
        <v/>
      </c>
      <c r="D13004" s="94" t="n"/>
      <c r="E13004" s="88">
        <f>INDEX(매칭테이블!C:D,MATCH(RD!G13004,매칭테이블!D:D,0),1)</f>
        <v/>
      </c>
      <c r="F13004" s="94" t="inlineStr">
        <is>
          <t>카페24</t>
        </is>
      </c>
      <c r="G13004" s="94" t="inlineStr">
        <is>
          <t>어성초 77 수딩 토너토너(필수)=(대용량) 어성초 77 토너 500ml (무료배송)</t>
        </is>
      </c>
      <c r="K13004" s="94" t="n">
        <v>2</v>
      </c>
      <c r="L13004" s="88" t="n">
        <v>201208</v>
      </c>
      <c r="M13004" s="88">
        <f>VLOOKUP($Q13004,매칭테이블!$F:$I,2,0)*K13004</f>
        <v/>
      </c>
      <c r="N13004" s="88">
        <f>M13004-M13004*VLOOKUP($Q13004,매칭테이블!$F:$I,3,0)</f>
        <v/>
      </c>
      <c r="O13004" s="88">
        <f>VLOOKUP($Q13004,매칭테이블!$F:$I,4,0)*K13004</f>
        <v/>
      </c>
      <c r="P13004" s="152">
        <f>M13004/1.1</f>
        <v/>
      </c>
      <c r="Q13004" s="88">
        <f>F13004&amp;E13004&amp;G13004&amp;L13004</f>
        <v/>
      </c>
    </row>
    <row r="13005">
      <c r="B13005" s="128" t="n">
        <v>44198</v>
      </c>
      <c r="C13005" s="88">
        <f>TEXT(B13005,"aaa")</f>
        <v/>
      </c>
      <c r="D13005" s="94" t="n"/>
      <c r="E13005" s="88">
        <f>INDEX(매칭테이블!C:D,MATCH(RD!G13005,매칭테이블!D:D,0),1)</f>
        <v/>
      </c>
      <c r="F13005" s="94" t="inlineStr">
        <is>
          <t>카페24</t>
        </is>
      </c>
      <c r="G13005" s="94" t="inlineStr">
        <is>
          <t>어성초 77 진정 마스크옵션=어성초 77 진정 마스크팩 10장-50% off</t>
        </is>
      </c>
      <c r="K13005" s="94" t="n">
        <v>5</v>
      </c>
      <c r="L13005" s="88" t="n">
        <v>201208</v>
      </c>
      <c r="M13005" s="88">
        <f>VLOOKUP($Q13005,매칭테이블!$F:$I,2,0)*K13005</f>
        <v/>
      </c>
      <c r="N13005" s="88">
        <f>M13005-M13005*VLOOKUP($Q13005,매칭테이블!$F:$I,3,0)</f>
        <v/>
      </c>
      <c r="O13005" s="88">
        <f>VLOOKUP($Q13005,매칭테이블!$F:$I,4,0)*K13005</f>
        <v/>
      </c>
      <c r="P13005" s="152">
        <f>M13005/1.1</f>
        <v/>
      </c>
      <c r="Q13005" s="88">
        <f>F13005&amp;E13005&amp;G13005&amp;L13005</f>
        <v/>
      </c>
    </row>
    <row r="13006">
      <c r="B13006" s="128" t="n">
        <v>44198</v>
      </c>
      <c r="C13006" s="88">
        <f>TEXT(B13006,"aaa")</f>
        <v/>
      </c>
      <c r="D13006" s="94" t="n"/>
      <c r="E13006" s="88">
        <f>INDEX(매칭테이블!C:D,MATCH(RD!G13006,매칭테이블!D:D,0),1)</f>
        <v/>
      </c>
      <c r="F13006" s="94" t="inlineStr">
        <is>
          <t>카페24</t>
        </is>
      </c>
      <c r="G13006" s="94" t="inlineStr">
        <is>
          <t>어성초 77 진정 마스크</t>
        </is>
      </c>
      <c r="K13006" s="94" t="n">
        <v>2</v>
      </c>
      <c r="L13006" s="88" t="n">
        <v>201208</v>
      </c>
      <c r="M13006" s="88">
        <f>VLOOKUP($Q13006,매칭테이블!$F:$I,2,0)*K13006</f>
        <v/>
      </c>
      <c r="N13006" s="88">
        <f>M13006-M13006*VLOOKUP($Q13006,매칭테이블!$F:$I,3,0)</f>
        <v/>
      </c>
      <c r="O13006" s="88">
        <f>VLOOKUP($Q13006,매칭테이블!$F:$I,4,0)*K13006</f>
        <v/>
      </c>
      <c r="P13006" s="152">
        <f>M13006/1.1</f>
        <v/>
      </c>
      <c r="Q13006" s="88">
        <f>F13006&amp;E13006&amp;G13006&amp;L13006</f>
        <v/>
      </c>
    </row>
    <row r="13007">
      <c r="B13007" s="128" t="n">
        <v>44198</v>
      </c>
      <c r="C13007" s="88">
        <f>TEXT(B13007,"aaa")</f>
        <v/>
      </c>
      <c r="D13007" s="94" t="n"/>
      <c r="E13007" s="88">
        <f>INDEX(매칭테이블!C:D,MATCH(RD!G13007,매칭테이블!D:D,0),1)</f>
        <v/>
      </c>
      <c r="F13007" s="94" t="inlineStr">
        <is>
          <t>카페24</t>
        </is>
      </c>
      <c r="G13007" s="94" t="inlineStr">
        <is>
          <t>어성초 77 클리어 패드옵션=어성초 77 클리어 패드 1개-20% off</t>
        </is>
      </c>
      <c r="K13007" s="94" t="n">
        <v>49</v>
      </c>
      <c r="L13007" s="88" t="n">
        <v>201208</v>
      </c>
      <c r="M13007" s="88">
        <f>VLOOKUP($Q13007,매칭테이블!$F:$I,2,0)*K13007</f>
        <v/>
      </c>
      <c r="N13007" s="88">
        <f>M13007-M13007*VLOOKUP($Q13007,매칭테이블!$F:$I,3,0)</f>
        <v/>
      </c>
      <c r="O13007" s="88">
        <f>VLOOKUP($Q13007,매칭테이블!$F:$I,4,0)*K13007</f>
        <v/>
      </c>
      <c r="P13007" s="152">
        <f>M13007/1.1</f>
        <v/>
      </c>
      <c r="Q13007" s="88">
        <f>F13007&amp;E13007&amp;G13007&amp;L13007</f>
        <v/>
      </c>
    </row>
    <row r="13008">
      <c r="B13008" s="128" t="n">
        <v>44198</v>
      </c>
      <c r="C13008" s="88">
        <f>TEXT(B13008,"aaa")</f>
        <v/>
      </c>
      <c r="D13008" s="94" t="n"/>
      <c r="E13008" s="88">
        <f>INDEX(매칭테이블!C:D,MATCH(RD!G13008,매칭테이블!D:D,0),1)</f>
        <v/>
      </c>
      <c r="F13008" s="94" t="inlineStr">
        <is>
          <t>카페24</t>
        </is>
      </c>
      <c r="G13008" s="94" t="inlineStr">
        <is>
          <t>어성초 77 클리어 패드옵션=어성초 77 클리어 패드 2개-30% off (무료배송)</t>
        </is>
      </c>
      <c r="K13008" s="94" t="n">
        <v>66</v>
      </c>
      <c r="L13008" s="88" t="n">
        <v>201208</v>
      </c>
      <c r="M13008" s="88">
        <f>VLOOKUP($Q13008,매칭테이블!$F:$I,2,0)*K13008</f>
        <v/>
      </c>
      <c r="N13008" s="88">
        <f>M13008-M13008*VLOOKUP($Q13008,매칭테이블!$F:$I,3,0)</f>
        <v/>
      </c>
      <c r="O13008" s="88">
        <f>VLOOKUP($Q13008,매칭테이블!$F:$I,4,0)*K13008</f>
        <v/>
      </c>
      <c r="P13008" s="152">
        <f>M13008/1.1</f>
        <v/>
      </c>
      <c r="Q13008" s="88">
        <f>F13008&amp;E13008&amp;G13008&amp;L13008</f>
        <v/>
      </c>
    </row>
    <row r="13009">
      <c r="B13009" s="128" t="n">
        <v>44198</v>
      </c>
      <c r="C13009" s="88">
        <f>TEXT(B13009,"aaa")</f>
        <v/>
      </c>
      <c r="D13009" s="94" t="n"/>
      <c r="E13009" s="88">
        <f>INDEX(매칭테이블!C:D,MATCH(RD!G13009,매칭테이블!D:D,0),1)</f>
        <v/>
      </c>
      <c r="F13009" s="94" t="inlineStr">
        <is>
          <t>카페24</t>
        </is>
      </c>
      <c r="G13009" s="94" t="inlineStr">
        <is>
          <t>어성초 77 클리어 패드옵션=어성초77토너1개+어성초77패드1개-30% off (무료배송)</t>
        </is>
      </c>
      <c r="K13009" s="94" t="n">
        <v>47</v>
      </c>
      <c r="L13009" s="88" t="n">
        <v>201208</v>
      </c>
      <c r="M13009" s="88">
        <f>VLOOKUP($Q13009,매칭테이블!$F:$I,2,0)*K13009</f>
        <v/>
      </c>
      <c r="N13009" s="88">
        <f>M13009-M13009*VLOOKUP($Q13009,매칭테이블!$F:$I,3,0)</f>
        <v/>
      </c>
      <c r="O13009" s="88">
        <f>VLOOKUP($Q13009,매칭테이블!$F:$I,4,0)*K13009</f>
        <v/>
      </c>
      <c r="P13009" s="152">
        <f>M13009/1.1</f>
        <v/>
      </c>
      <c r="Q13009" s="88">
        <f>F13009&amp;E13009&amp;G13009&amp;L13009</f>
        <v/>
      </c>
    </row>
    <row r="13010">
      <c r="B13010" s="128" t="n">
        <v>44198</v>
      </c>
      <c r="C13010" s="88">
        <f>TEXT(B13010,"aaa")</f>
        <v/>
      </c>
      <c r="D13010" s="94" t="n"/>
      <c r="E13010" s="88">
        <f>INDEX(매칭테이블!C:D,MATCH(RD!G13010,매칭테이블!D:D,0),1)</f>
        <v/>
      </c>
      <c r="F13010" s="94" t="inlineStr">
        <is>
          <t>카페24</t>
        </is>
      </c>
      <c r="G13010" s="94" t="inlineStr">
        <is>
          <t>어성초 77 토너</t>
        </is>
      </c>
      <c r="K13010" s="94" t="n">
        <v>1</v>
      </c>
      <c r="L13010" s="88" t="n">
        <v>201208</v>
      </c>
      <c r="M13010" s="88">
        <f>VLOOKUP($Q13010,매칭테이블!$F:$I,2,0)*K13010</f>
        <v/>
      </c>
      <c r="N13010" s="88">
        <f>M13010-M13010*VLOOKUP($Q13010,매칭테이블!$F:$I,3,0)</f>
        <v/>
      </c>
      <c r="O13010" s="88">
        <f>VLOOKUP($Q13010,매칭테이블!$F:$I,4,0)*K13010</f>
        <v/>
      </c>
      <c r="P13010" s="152">
        <f>M13010/1.1</f>
        <v/>
      </c>
      <c r="Q13010" s="88">
        <f>F13010&amp;E13010&amp;G13010&amp;L13010</f>
        <v/>
      </c>
    </row>
    <row r="13011">
      <c r="B13011" s="128" t="n">
        <v>44198</v>
      </c>
      <c r="C13011" s="88">
        <f>TEXT(B13011,"aaa")</f>
        <v/>
      </c>
      <c r="D13011" s="94" t="n"/>
      <c r="E13011" s="88">
        <f>INDEX(매칭테이블!C:D,MATCH(RD!G13011,매칭테이블!D:D,0),1)</f>
        <v/>
      </c>
      <c r="F13011" s="94" t="inlineStr">
        <is>
          <t>카페24</t>
        </is>
      </c>
      <c r="G13011" s="94" t="inlineStr">
        <is>
          <t>어성초 77 토너토너(필수)=어성초 77 토너 1개-20% off</t>
        </is>
      </c>
      <c r="K13011" s="94" t="n">
        <v>3</v>
      </c>
      <c r="L13011" s="88" t="n">
        <v>201208</v>
      </c>
      <c r="M13011" s="88">
        <f>VLOOKUP($Q13011,매칭테이블!$F:$I,2,0)*K13011</f>
        <v/>
      </c>
      <c r="N13011" s="88">
        <f>M13011-M13011*VLOOKUP($Q13011,매칭테이블!$F:$I,3,0)</f>
        <v/>
      </c>
      <c r="O13011" s="88">
        <f>VLOOKUP($Q13011,매칭테이블!$F:$I,4,0)*K13011</f>
        <v/>
      </c>
      <c r="P13011" s="152">
        <f>M13011/1.1</f>
        <v/>
      </c>
      <c r="Q13011" s="88">
        <f>F13011&amp;E13011&amp;G13011&amp;L13011</f>
        <v/>
      </c>
    </row>
    <row r="13012">
      <c r="B13012" s="128" t="n">
        <v>44198</v>
      </c>
      <c r="C13012" s="88">
        <f>TEXT(B13012,"aaa")</f>
        <v/>
      </c>
      <c r="D13012" s="94" t="n"/>
      <c r="E13012" s="88">
        <f>INDEX(매칭테이블!C:D,MATCH(RD!G13012,매칭테이블!D:D,0),1)</f>
        <v/>
      </c>
      <c r="F13012" s="94" t="inlineStr">
        <is>
          <t>카페24</t>
        </is>
      </c>
      <c r="G13012" s="94" t="inlineStr">
        <is>
          <t>어성초 77 토너화장솜(선택)=촉촉 스킨팩 화장솜</t>
        </is>
      </c>
      <c r="K13012" s="94" t="n">
        <v>1</v>
      </c>
      <c r="L13012" s="88" t="n">
        <v>201208</v>
      </c>
      <c r="M13012" s="88">
        <f>VLOOKUP($Q13012,매칭테이블!$F:$I,2,0)*K13012</f>
        <v/>
      </c>
      <c r="N13012" s="88">
        <f>M13012-M13012*VLOOKUP($Q13012,매칭테이블!$F:$I,3,0)</f>
        <v/>
      </c>
      <c r="O13012" s="88">
        <f>VLOOKUP($Q13012,매칭테이블!$F:$I,4,0)*K13012</f>
        <v/>
      </c>
      <c r="P13012" s="152">
        <f>M13012/1.1</f>
        <v/>
      </c>
      <c r="Q13012" s="88">
        <f>F13012&amp;E13012&amp;G13012&amp;L13012</f>
        <v/>
      </c>
    </row>
    <row r="13013">
      <c r="B13013" s="128" t="n">
        <v>44198</v>
      </c>
      <c r="C13013" s="88">
        <f>TEXT(B13013,"aaa")</f>
        <v/>
      </c>
      <c r="D13013" s="94" t="n"/>
      <c r="E13013" s="88">
        <f>INDEX(매칭테이블!C:D,MATCH(RD!G13013,매칭테이블!D:D,0),1)</f>
        <v/>
      </c>
      <c r="F13013" s="94" t="inlineStr">
        <is>
          <t>카페24</t>
        </is>
      </c>
      <c r="G13013" s="94" t="inlineStr">
        <is>
          <t>어성초 77 포어 클리어 패드옵션=어성초 77 클리어 패드 1개-20% off</t>
        </is>
      </c>
      <c r="K13013" s="94" t="n">
        <v>1</v>
      </c>
      <c r="L13013" s="88" t="n">
        <v>201208</v>
      </c>
      <c r="M13013" s="88">
        <f>VLOOKUP($Q13013,매칭테이블!$F:$I,2,0)*K13013</f>
        <v/>
      </c>
      <c r="N13013" s="88">
        <f>M13013-M13013*VLOOKUP($Q13013,매칭테이블!$F:$I,3,0)</f>
        <v/>
      </c>
      <c r="O13013" s="88">
        <f>VLOOKUP($Q13013,매칭테이블!$F:$I,4,0)*K13013</f>
        <v/>
      </c>
      <c r="P13013" s="152">
        <f>M13013/1.1</f>
        <v/>
      </c>
      <c r="Q13013" s="88">
        <f>F13013&amp;E13013&amp;G13013&amp;L13013</f>
        <v/>
      </c>
    </row>
    <row r="13014">
      <c r="B13014" s="128" t="n">
        <v>44198</v>
      </c>
      <c r="C13014" s="88">
        <f>TEXT(B13014,"aaa")</f>
        <v/>
      </c>
      <c r="D13014" s="94" t="n"/>
      <c r="E13014" s="88">
        <f>INDEX(매칭테이블!C:D,MATCH(RD!G13014,매칭테이블!D:D,0),1)</f>
        <v/>
      </c>
      <c r="F13014" s="94" t="inlineStr">
        <is>
          <t>카페24</t>
        </is>
      </c>
      <c r="G13014" s="94" t="inlineStr">
        <is>
          <t>어성초 77 포어 클리어 패드옵션=어성초 77 클리어 패드 2개-30% off (무료배송)</t>
        </is>
      </c>
      <c r="K13014" s="94" t="n">
        <v>13</v>
      </c>
      <c r="L13014" s="88" t="n">
        <v>201208</v>
      </c>
      <c r="M13014" s="88">
        <f>VLOOKUP($Q13014,매칭테이블!$F:$I,2,0)*K13014</f>
        <v/>
      </c>
      <c r="N13014" s="88">
        <f>M13014-M13014*VLOOKUP($Q13014,매칭테이블!$F:$I,3,0)</f>
        <v/>
      </c>
      <c r="O13014" s="88">
        <f>VLOOKUP($Q13014,매칭테이블!$F:$I,4,0)*K13014</f>
        <v/>
      </c>
      <c r="P13014" s="152">
        <f>M13014/1.1</f>
        <v/>
      </c>
      <c r="Q13014" s="88">
        <f>F13014&amp;E13014&amp;G13014&amp;L13014</f>
        <v/>
      </c>
    </row>
    <row r="13015">
      <c r="B13015" s="128" t="n">
        <v>44198</v>
      </c>
      <c r="C13015" s="88">
        <f>TEXT(B13015,"aaa")</f>
        <v/>
      </c>
      <c r="D13015" s="94" t="n"/>
      <c r="E13015" s="88">
        <f>INDEX(매칭테이블!C:D,MATCH(RD!G13015,매칭테이블!D:D,0),1)</f>
        <v/>
      </c>
      <c r="F13015" s="94" t="inlineStr">
        <is>
          <t>카페24</t>
        </is>
      </c>
      <c r="G13015" s="94" t="inlineStr">
        <is>
          <t>어성초 77 포어 클리어 패드옵션=어성초77토너1개+어성초77패드1개-30% off (무료배송)</t>
        </is>
      </c>
      <c r="K13015" s="94" t="n">
        <v>1</v>
      </c>
      <c r="L13015" s="88" t="n">
        <v>201208</v>
      </c>
      <c r="M13015" s="88">
        <f>VLOOKUP($Q13015,매칭테이블!$F:$I,2,0)*K13015</f>
        <v/>
      </c>
      <c r="N13015" s="88">
        <f>M13015-M13015*VLOOKUP($Q13015,매칭테이블!$F:$I,3,0)</f>
        <v/>
      </c>
      <c r="O13015" s="88">
        <f>VLOOKUP($Q13015,매칭테이블!$F:$I,4,0)*K13015</f>
        <v/>
      </c>
      <c r="P13015" s="152">
        <f>M13015/1.1</f>
        <v/>
      </c>
      <c r="Q13015" s="88">
        <f>F13015&amp;E13015&amp;G13015&amp;L13015</f>
        <v/>
      </c>
    </row>
    <row r="13016">
      <c r="B13016" s="128" t="n">
        <v>44198</v>
      </c>
      <c r="C13016" s="88">
        <f>TEXT(B13016,"aaa")</f>
        <v/>
      </c>
      <c r="D13016" s="94" t="n"/>
      <c r="E13016" s="88">
        <f>INDEX(매칭테이블!C:D,MATCH(RD!G13016,매칭테이블!D:D,0),1)</f>
        <v/>
      </c>
      <c r="F13016" s="94" t="inlineStr">
        <is>
          <t>카페24</t>
        </is>
      </c>
      <c r="G13016" s="94" t="inlineStr">
        <is>
          <t>어성초 77% 패드옵션=어성초 77 클리어 패드 1개-20% off</t>
        </is>
      </c>
      <c r="K13016" s="94" t="n">
        <v>108</v>
      </c>
      <c r="L13016" s="88" t="n">
        <v>201208</v>
      </c>
      <c r="M13016" s="88">
        <f>VLOOKUP($Q13016,매칭테이블!$F:$I,2,0)*K13016</f>
        <v/>
      </c>
      <c r="N13016" s="88">
        <f>M13016-M13016*VLOOKUP($Q13016,매칭테이블!$F:$I,3,0)</f>
        <v/>
      </c>
      <c r="O13016" s="88">
        <f>VLOOKUP($Q13016,매칭테이블!$F:$I,4,0)*K13016</f>
        <v/>
      </c>
      <c r="P13016" s="152">
        <f>M13016/1.1</f>
        <v/>
      </c>
      <c r="Q13016" s="88">
        <f>F13016&amp;E13016&amp;G13016&amp;L13016</f>
        <v/>
      </c>
    </row>
    <row r="13017">
      <c r="B13017" s="128" t="n">
        <v>44198</v>
      </c>
      <c r="C13017" s="88">
        <f>TEXT(B13017,"aaa")</f>
        <v/>
      </c>
      <c r="D13017" s="94" t="n"/>
      <c r="E13017" s="88">
        <f>INDEX(매칭테이블!C:D,MATCH(RD!G13017,매칭테이블!D:D,0),1)</f>
        <v/>
      </c>
      <c r="F13017" s="94" t="inlineStr">
        <is>
          <t>카페24</t>
        </is>
      </c>
      <c r="G13017" s="94" t="inlineStr">
        <is>
          <t>어성초 77% 패드옵션=어성초 77 클리어 패드 2개-30% off (무료배송)</t>
        </is>
      </c>
      <c r="K13017" s="94" t="n">
        <v>115</v>
      </c>
      <c r="L13017" s="88" t="n">
        <v>201208</v>
      </c>
      <c r="M13017" s="88">
        <f>VLOOKUP($Q13017,매칭테이블!$F:$I,2,0)*K13017</f>
        <v/>
      </c>
      <c r="N13017" s="88">
        <f>M13017-M13017*VLOOKUP($Q13017,매칭테이블!$F:$I,3,0)</f>
        <v/>
      </c>
      <c r="O13017" s="88">
        <f>VLOOKUP($Q13017,매칭테이블!$F:$I,4,0)*K13017</f>
        <v/>
      </c>
      <c r="P13017" s="152">
        <f>M13017/1.1</f>
        <v/>
      </c>
      <c r="Q13017" s="88">
        <f>F13017&amp;E13017&amp;G13017&amp;L13017</f>
        <v/>
      </c>
    </row>
    <row r="13018">
      <c r="B13018" s="128" t="n">
        <v>44198</v>
      </c>
      <c r="C13018" s="88">
        <f>TEXT(B13018,"aaa")</f>
        <v/>
      </c>
      <c r="D13018" s="94" t="n"/>
      <c r="E13018" s="88">
        <f>INDEX(매칭테이블!C:D,MATCH(RD!G13018,매칭테이블!D:D,0),1)</f>
        <v/>
      </c>
      <c r="F13018" s="94" t="inlineStr">
        <is>
          <t>카페24</t>
        </is>
      </c>
      <c r="G13018" s="94" t="inlineStr">
        <is>
          <t>어성초 77% 패드옵션=어성초77토너1개+어성초77패드1개-30% off (무료배송)</t>
        </is>
      </c>
      <c r="K13018" s="94" t="n">
        <v>66</v>
      </c>
      <c r="L13018" s="88" t="n">
        <v>201208</v>
      </c>
      <c r="M13018" s="88">
        <f>VLOOKUP($Q13018,매칭테이블!$F:$I,2,0)*K13018</f>
        <v/>
      </c>
      <c r="N13018" s="88">
        <f>M13018-M13018*VLOOKUP($Q13018,매칭테이블!$F:$I,3,0)</f>
        <v/>
      </c>
      <c r="O13018" s="88">
        <f>VLOOKUP($Q13018,매칭테이블!$F:$I,4,0)*K13018</f>
        <v/>
      </c>
      <c r="P13018" s="152">
        <f>M13018/1.1</f>
        <v/>
      </c>
      <c r="Q13018" s="88">
        <f>F13018&amp;E13018&amp;G13018&amp;L13018</f>
        <v/>
      </c>
    </row>
    <row r="13019">
      <c r="B13019" s="128" t="n">
        <v>44198</v>
      </c>
      <c r="C13019" s="88">
        <f>TEXT(B13019,"aaa")</f>
        <v/>
      </c>
      <c r="D13019" s="94" t="n"/>
      <c r="E13019" s="88">
        <f>INDEX(매칭테이블!C:D,MATCH(RD!G13019,매칭테이블!D:D,0),1)</f>
        <v/>
      </c>
      <c r="F13019" s="94" t="inlineStr">
        <is>
          <t>카페24</t>
        </is>
      </c>
      <c r="G13019" s="94" t="inlineStr">
        <is>
          <t>어성초 78 수딩 크림</t>
        </is>
      </c>
      <c r="K13019" s="94" t="n">
        <v>8</v>
      </c>
      <c r="L13019" s="88" t="n">
        <v>201208</v>
      </c>
      <c r="M13019" s="88">
        <f>VLOOKUP($Q13019,매칭테이블!$F:$I,2,0)*K13019</f>
        <v/>
      </c>
      <c r="N13019" s="88">
        <f>M13019-M13019*VLOOKUP($Q13019,매칭테이블!$F:$I,3,0)</f>
        <v/>
      </c>
      <c r="O13019" s="88">
        <f>VLOOKUP($Q13019,매칭테이블!$F:$I,4,0)*K13019</f>
        <v/>
      </c>
      <c r="P13019" s="152">
        <f>M13019/1.1</f>
        <v/>
      </c>
      <c r="Q13019" s="88">
        <f>F13019&amp;E13019&amp;G13019&amp;L13019</f>
        <v/>
      </c>
    </row>
    <row r="13020">
      <c r="B13020" s="128" t="n">
        <v>44198</v>
      </c>
      <c r="C13020" s="88">
        <f>TEXT(B13020,"aaa")</f>
        <v/>
      </c>
      <c r="D13020" s="94" t="n"/>
      <c r="E13020" s="88">
        <f>INDEX(매칭테이블!C:D,MATCH(RD!G13020,매칭테이블!D:D,0),1)</f>
        <v/>
      </c>
      <c r="F13020" s="94" t="inlineStr">
        <is>
          <t>카페24</t>
        </is>
      </c>
      <c r="G13020" s="94" t="inlineStr">
        <is>
          <t>어성초 78 수딩 크림</t>
        </is>
      </c>
      <c r="K13020" s="94" t="n">
        <v>5</v>
      </c>
      <c r="L13020" s="88" t="n">
        <v>201208</v>
      </c>
      <c r="M13020" s="88">
        <f>VLOOKUP($Q13020,매칭테이블!$F:$I,2,0)*K13020</f>
        <v/>
      </c>
      <c r="N13020" s="88">
        <f>M13020-M13020*VLOOKUP($Q13020,매칭테이블!$F:$I,3,0)</f>
        <v/>
      </c>
      <c r="O13020" s="88">
        <f>VLOOKUP($Q13020,매칭테이블!$F:$I,4,0)*K13020</f>
        <v/>
      </c>
      <c r="P13020" s="152">
        <f>M13020/1.1</f>
        <v/>
      </c>
      <c r="Q13020" s="88">
        <f>F13020&amp;E13020&amp;G13020&amp;L13020</f>
        <v/>
      </c>
    </row>
    <row r="13021">
      <c r="B13021" s="128" t="n">
        <v>44198</v>
      </c>
      <c r="C13021" s="88">
        <f>TEXT(B13021,"aaa")</f>
        <v/>
      </c>
      <c r="D13021" s="94" t="n"/>
      <c r="E13021" s="88">
        <f>INDEX(매칭테이블!C:D,MATCH(RD!G13021,매칭테이블!D:D,0),1)</f>
        <v/>
      </c>
      <c r="F13021" s="94" t="inlineStr">
        <is>
          <t>카페24</t>
        </is>
      </c>
      <c r="G13021" s="94" t="inlineStr">
        <is>
          <t>어성초 80 수분 진정 앰플앰플=어성초 80 앰플 1개-15%off</t>
        </is>
      </c>
      <c r="K13021" s="94" t="n">
        <v>27</v>
      </c>
      <c r="L13021" s="88" t="n">
        <v>201208</v>
      </c>
      <c r="M13021" s="88">
        <f>VLOOKUP($Q13021,매칭테이블!$F:$I,2,0)*K13021</f>
        <v/>
      </c>
      <c r="N13021" s="88">
        <f>M13021-M13021*VLOOKUP($Q13021,매칭테이블!$F:$I,3,0)</f>
        <v/>
      </c>
      <c r="O13021" s="88">
        <f>VLOOKUP($Q13021,매칭테이블!$F:$I,4,0)*K13021</f>
        <v/>
      </c>
      <c r="P13021" s="152">
        <f>M13021/1.1</f>
        <v/>
      </c>
      <c r="Q13021" s="88">
        <f>F13021&amp;E13021&amp;G13021&amp;L13021</f>
        <v/>
      </c>
    </row>
    <row r="13022">
      <c r="B13022" s="128" t="n">
        <v>44198</v>
      </c>
      <c r="C13022" s="88">
        <f>TEXT(B13022,"aaa")</f>
        <v/>
      </c>
      <c r="D13022" s="94" t="n"/>
      <c r="E13022" s="88">
        <f>INDEX(매칭테이블!C:D,MATCH(RD!G13022,매칭테이블!D:D,0),1)</f>
        <v/>
      </c>
      <c r="F13022" s="94" t="inlineStr">
        <is>
          <t>카페24</t>
        </is>
      </c>
      <c r="G13022" s="94" t="inlineStr">
        <is>
          <t>어성초 80 수분 진정 앰플앰플=어성초 80 앰플 2개-27%off (무료배송)</t>
        </is>
      </c>
      <c r="K13022" s="94" t="n">
        <v>4</v>
      </c>
      <c r="L13022" s="88" t="n">
        <v>201208</v>
      </c>
      <c r="M13022" s="88">
        <f>VLOOKUP($Q13022,매칭테이블!$F:$I,2,0)*K13022</f>
        <v/>
      </c>
      <c r="N13022" s="88">
        <f>M13022-M13022*VLOOKUP($Q13022,매칭테이블!$F:$I,3,0)</f>
        <v/>
      </c>
      <c r="O13022" s="88">
        <f>VLOOKUP($Q13022,매칭테이블!$F:$I,4,0)*K13022</f>
        <v/>
      </c>
      <c r="P13022" s="152">
        <f>M13022/1.1</f>
        <v/>
      </c>
      <c r="Q13022" s="88">
        <f>F13022&amp;E13022&amp;G13022&amp;L13022</f>
        <v/>
      </c>
    </row>
    <row r="13023">
      <c r="B13023" s="128" t="n">
        <v>44198</v>
      </c>
      <c r="C13023" s="88">
        <f>TEXT(B13023,"aaa")</f>
        <v/>
      </c>
      <c r="D13023" s="94" t="n"/>
      <c r="E13023" s="88">
        <f>INDEX(매칭테이블!C:D,MATCH(RD!G13023,매칭테이블!D:D,0),1)</f>
        <v/>
      </c>
      <c r="F13023" s="94" t="inlineStr">
        <is>
          <t>카페24</t>
        </is>
      </c>
      <c r="G13023" s="94" t="inlineStr">
        <is>
          <t>어성초 80 수분 진정 앰플</t>
        </is>
      </c>
      <c r="K13023" s="94" t="n">
        <v>2</v>
      </c>
      <c r="L13023" s="88" t="n">
        <v>201208</v>
      </c>
      <c r="M13023" s="88">
        <f>VLOOKUP($Q13023,매칭테이블!$F:$I,2,0)*K13023</f>
        <v/>
      </c>
      <c r="N13023" s="88">
        <f>M13023-M13023*VLOOKUP($Q13023,매칭테이블!$F:$I,3,0)</f>
        <v/>
      </c>
      <c r="O13023" s="88">
        <f>VLOOKUP($Q13023,매칭테이블!$F:$I,4,0)*K13023</f>
        <v/>
      </c>
      <c r="P13023" s="152">
        <f>M13023/1.1</f>
        <v/>
      </c>
      <c r="Q13023" s="88">
        <f>F13023&amp;E13023&amp;G13023&amp;L13023</f>
        <v/>
      </c>
    </row>
    <row r="13024">
      <c r="B13024" s="128" t="n">
        <v>44198</v>
      </c>
      <c r="C13024" s="88">
        <f>TEXT(B13024,"aaa")</f>
        <v/>
      </c>
      <c r="D13024" s="94" t="n"/>
      <c r="E13024" s="88">
        <f>INDEX(매칭테이블!C:D,MATCH(RD!G13024,매칭테이블!D:D,0),1)</f>
        <v/>
      </c>
      <c r="F13024" s="94" t="inlineStr">
        <is>
          <t>카페24</t>
        </is>
      </c>
      <c r="G13024" s="94" t="inlineStr">
        <is>
          <t>어성초 아크네 바디워시옵션=어성초 아크네 바디워시 1개 -30% off</t>
        </is>
      </c>
      <c r="K13024" s="94" t="n">
        <v>3</v>
      </c>
      <c r="L13024" s="88" t="n">
        <v>201208</v>
      </c>
      <c r="M13024" s="88">
        <f>VLOOKUP($Q13024,매칭테이블!$F:$I,2,0)*K13024</f>
        <v/>
      </c>
      <c r="N13024" s="88">
        <f>M13024-M13024*VLOOKUP($Q13024,매칭테이블!$F:$I,3,0)</f>
        <v/>
      </c>
      <c r="O13024" s="88">
        <f>VLOOKUP($Q13024,매칭테이블!$F:$I,4,0)*K13024</f>
        <v/>
      </c>
      <c r="P13024" s="152">
        <f>M13024/1.1</f>
        <v/>
      </c>
      <c r="Q13024" s="88">
        <f>F13024&amp;E13024&amp;G13024&amp;L13024</f>
        <v/>
      </c>
    </row>
    <row r="13025">
      <c r="B13025" s="128" t="n">
        <v>44198</v>
      </c>
      <c r="C13025" s="88">
        <f>TEXT(B13025,"aaa")</f>
        <v/>
      </c>
      <c r="D13025" s="94" t="n"/>
      <c r="E13025" s="88">
        <f>INDEX(매칭테이블!C:D,MATCH(RD!G13025,매칭테이블!D:D,0),1)</f>
        <v/>
      </c>
      <c r="F13025" s="94" t="inlineStr">
        <is>
          <t>카페24</t>
        </is>
      </c>
      <c r="G13025" s="94" t="inlineStr">
        <is>
          <t>어성초 약산성 클렌징폼클렌징폼=어성초 약산성 클렌징폼 1개 -19%off</t>
        </is>
      </c>
      <c r="K13025" s="94" t="n">
        <v>24</v>
      </c>
      <c r="L13025" s="88" t="n">
        <v>201208</v>
      </c>
      <c r="M13025" s="88">
        <f>VLOOKUP($Q13025,매칭테이블!$F:$I,2,0)*K13025</f>
        <v/>
      </c>
      <c r="N13025" s="88">
        <f>M13025-M13025*VLOOKUP($Q13025,매칭테이블!$F:$I,3,0)</f>
        <v/>
      </c>
      <c r="O13025" s="88">
        <f>VLOOKUP($Q13025,매칭테이블!$F:$I,4,0)*K13025</f>
        <v/>
      </c>
      <c r="P13025" s="152">
        <f>M13025/1.1</f>
        <v/>
      </c>
      <c r="Q13025" s="88">
        <f>F13025&amp;E13025&amp;G13025&amp;L13025</f>
        <v/>
      </c>
    </row>
    <row r="13026">
      <c r="B13026" s="128" t="n">
        <v>44198</v>
      </c>
      <c r="C13026" s="88">
        <f>TEXT(B13026,"aaa")</f>
        <v/>
      </c>
      <c r="D13026" s="94" t="n"/>
      <c r="E13026" s="88">
        <f>INDEX(매칭테이블!C:D,MATCH(RD!G13026,매칭테이블!D:D,0),1)</f>
        <v/>
      </c>
      <c r="F13026" s="94" t="inlineStr">
        <is>
          <t>카페24</t>
        </is>
      </c>
      <c r="G13026" s="94" t="inlineStr">
        <is>
          <t>어성초 약산성 클렌징폼클렌징폼=어성초 약산성 클렌징폼 2개 -25%off</t>
        </is>
      </c>
      <c r="K13026" s="94" t="n">
        <v>5</v>
      </c>
      <c r="L13026" s="88" t="n">
        <v>201208</v>
      </c>
      <c r="M13026" s="88">
        <f>VLOOKUP($Q13026,매칭테이블!$F:$I,2,0)*K13026</f>
        <v/>
      </c>
      <c r="N13026" s="88">
        <f>M13026-M13026*VLOOKUP($Q13026,매칭테이블!$F:$I,3,0)</f>
        <v/>
      </c>
      <c r="O13026" s="88">
        <f>VLOOKUP($Q13026,매칭테이블!$F:$I,4,0)*K13026</f>
        <v/>
      </c>
      <c r="P13026" s="152">
        <f>M13026/1.1</f>
        <v/>
      </c>
      <c r="Q13026" s="88">
        <f>F13026&amp;E13026&amp;G13026&amp;L13026</f>
        <v/>
      </c>
    </row>
    <row r="13027">
      <c r="B13027" s="128" t="n">
        <v>44198</v>
      </c>
      <c r="C13027" s="88">
        <f>TEXT(B13027,"aaa")</f>
        <v/>
      </c>
      <c r="D13027" s="94" t="n"/>
      <c r="E13027" s="88">
        <f>INDEX(매칭테이블!C:D,MATCH(RD!G13027,매칭테이블!D:D,0),1)</f>
        <v/>
      </c>
      <c r="F13027" s="94" t="inlineStr">
        <is>
          <t>카페24</t>
        </is>
      </c>
      <c r="G13027" s="94" t="inlineStr">
        <is>
          <t>어성초 약산성 클렌징폼클렌징폼=어성초 약산성 클렌징폼 3개 -31%off (무료배송)</t>
        </is>
      </c>
      <c r="K13027" s="94" t="n">
        <v>2</v>
      </c>
      <c r="L13027" s="88" t="n">
        <v>201208</v>
      </c>
      <c r="M13027" s="88">
        <f>VLOOKUP($Q13027,매칭테이블!$F:$I,2,0)*K13027</f>
        <v/>
      </c>
      <c r="N13027" s="88">
        <f>M13027-M13027*VLOOKUP($Q13027,매칭테이블!$F:$I,3,0)</f>
        <v/>
      </c>
      <c r="O13027" s="88">
        <f>VLOOKUP($Q13027,매칭테이블!$F:$I,4,0)*K13027</f>
        <v/>
      </c>
      <c r="P13027" s="152">
        <f>M13027/1.1</f>
        <v/>
      </c>
      <c r="Q13027" s="88">
        <f>F13027&amp;E13027&amp;G13027&amp;L13027</f>
        <v/>
      </c>
    </row>
    <row r="13028">
      <c r="B13028" s="128" t="n">
        <v>44198</v>
      </c>
      <c r="C13028" s="88">
        <f>TEXT(B13028,"aaa")</f>
        <v/>
      </c>
      <c r="D13028" s="94" t="n"/>
      <c r="E13028" s="88">
        <f>INDEX(매칭테이블!C:D,MATCH(RD!G13028,매칭테이블!D:D,0),1)</f>
        <v/>
      </c>
      <c r="F13028" s="94" t="inlineStr">
        <is>
          <t>카페24</t>
        </is>
      </c>
      <c r="G13028" s="94" t="inlineStr">
        <is>
          <t>어성초 크림마스크 나이트 솔루션옵션=어성초 크림마스크 나이트 솔루션 10장 (-50%)</t>
        </is>
      </c>
      <c r="K13028" s="94" t="n">
        <v>3</v>
      </c>
      <c r="L13028" s="88" t="n">
        <v>201208</v>
      </c>
      <c r="M13028" s="88">
        <f>VLOOKUP($Q13028,매칭테이블!$F:$I,2,0)*K13028</f>
        <v/>
      </c>
      <c r="N13028" s="88">
        <f>M13028-M13028*VLOOKUP($Q13028,매칭테이블!$F:$I,3,0)</f>
        <v/>
      </c>
      <c r="O13028" s="88">
        <f>VLOOKUP($Q13028,매칭테이블!$F:$I,4,0)*K13028</f>
        <v/>
      </c>
      <c r="P13028" s="152">
        <f>M13028/1.1</f>
        <v/>
      </c>
      <c r="Q13028" s="88">
        <f>F13028&amp;E13028&amp;G13028&amp;L13028</f>
        <v/>
      </c>
    </row>
    <row r="13029">
      <c r="B13029" s="128" t="n">
        <v>44198</v>
      </c>
      <c r="C13029" s="88">
        <f>TEXT(B13029,"aaa")</f>
        <v/>
      </c>
      <c r="D13029" s="94" t="n"/>
      <c r="E13029" s="88">
        <f>INDEX(매칭테이블!C:D,MATCH(RD!G13029,매칭테이블!D:D,0),1)</f>
        <v/>
      </c>
      <c r="F13029" s="94" t="inlineStr">
        <is>
          <t>카페24</t>
        </is>
      </c>
      <c r="G13029" s="94" t="inlineStr">
        <is>
          <t>촉촉 스킨팩 화장솜</t>
        </is>
      </c>
      <c r="K13029" s="94" t="n">
        <v>21</v>
      </c>
      <c r="L13029" s="88" t="n">
        <v>201208</v>
      </c>
      <c r="M13029" s="88">
        <f>VLOOKUP($Q13029,매칭테이블!$F:$I,2,0)*K13029</f>
        <v/>
      </c>
      <c r="N13029" s="88">
        <f>M13029-M13029*VLOOKUP($Q13029,매칭테이블!$F:$I,3,0)</f>
        <v/>
      </c>
      <c r="O13029" s="88">
        <f>VLOOKUP($Q13029,매칭테이블!$F:$I,4,0)*K13029</f>
        <v/>
      </c>
      <c r="P13029" s="152">
        <f>M13029/1.1</f>
        <v/>
      </c>
      <c r="Q13029" s="88">
        <f>F13029&amp;E13029&amp;G13029&amp;L13029</f>
        <v/>
      </c>
    </row>
    <row r="13030">
      <c r="B13030" s="128" t="n">
        <v>44198</v>
      </c>
      <c r="C13030" s="88">
        <f>TEXT(B13030,"aaa")</f>
        <v/>
      </c>
      <c r="D13030" s="94" t="n"/>
      <c r="E13030" s="88">
        <f>INDEX(매칭테이블!C:D,MATCH(RD!G13030,매칭테이블!D:D,0),1)</f>
        <v/>
      </c>
      <c r="F13030" s="94" t="inlineStr">
        <is>
          <t>카페24</t>
        </is>
      </c>
      <c r="G13030" s="94" t="inlineStr">
        <is>
          <t>촉촉 스킨팩 화장솜</t>
        </is>
      </c>
      <c r="K13030" s="94" t="n">
        <v>2</v>
      </c>
      <c r="L13030" s="88" t="n">
        <v>201208</v>
      </c>
      <c r="M13030" s="88">
        <f>VLOOKUP($Q13030,매칭테이블!$F:$I,2,0)*K13030</f>
        <v/>
      </c>
      <c r="N13030" s="88">
        <f>M13030-M13030*VLOOKUP($Q13030,매칭테이블!$F:$I,3,0)</f>
        <v/>
      </c>
      <c r="O13030" s="88">
        <f>VLOOKUP($Q13030,매칭테이블!$F:$I,4,0)*K13030</f>
        <v/>
      </c>
      <c r="P13030" s="152">
        <f>M13030/1.1</f>
        <v/>
      </c>
      <c r="Q13030" s="88">
        <f>F13030&amp;E13030&amp;G13030&amp;L13030</f>
        <v/>
      </c>
    </row>
    <row r="13031">
      <c r="B13031" s="128" t="n">
        <v>44199</v>
      </c>
      <c r="C13031" s="88">
        <f>TEXT(B13031,"aaa")</f>
        <v/>
      </c>
      <c r="E13031" s="88">
        <f>INDEX(매칭테이블!C:D,MATCH(RD!G13031,매칭테이블!D:D,0),1)</f>
        <v/>
      </c>
      <c r="F13031" s="94" t="inlineStr">
        <is>
          <t>스타일쉐어</t>
        </is>
      </c>
      <c r="G13031" s="94" t="inlineStr">
        <is>
          <t>[연휴특가]아누아 어성초 77 토너 250ml</t>
        </is>
      </c>
      <c r="K13031" s="94" t="n">
        <v>4</v>
      </c>
      <c r="L13031" s="88" t="n">
        <v>201208</v>
      </c>
      <c r="M13031" s="88">
        <f>VLOOKUP($Q13031,매칭테이블!$F:$I,2,0)*K13031</f>
        <v/>
      </c>
      <c r="N13031" s="88">
        <f>M13031-M13031*VLOOKUP($Q13031,매칭테이블!$F:$I,3,0)</f>
        <v/>
      </c>
      <c r="O13031" s="88">
        <f>VLOOKUP($Q13031,매칭테이블!$F:$I,4,0)*K13031</f>
        <v/>
      </c>
      <c r="P13031" s="152">
        <f>M13031/1.1</f>
        <v/>
      </c>
      <c r="Q13031" s="88">
        <f>F13031&amp;E13031&amp;G13031&amp;L13031</f>
        <v/>
      </c>
    </row>
    <row r="13032">
      <c r="B13032" s="128" t="n">
        <v>44199</v>
      </c>
      <c r="C13032" s="88">
        <f>TEXT(B13032,"aaa")</f>
        <v/>
      </c>
      <c r="D13032" s="94" t="n"/>
      <c r="E13032" s="88">
        <f>INDEX(매칭테이블!C:D,MATCH(RD!G13032,매칭테이블!D:D,0),1)</f>
        <v/>
      </c>
      <c r="F13032" s="94" t="inlineStr">
        <is>
          <t>카페24</t>
        </is>
      </c>
      <c r="G13032" s="94" t="inlineStr">
        <is>
          <t>5 제로 무기자차 선크림옵션=5제로 무기자차 선크림 1개-20% off</t>
        </is>
      </c>
      <c r="K13032" s="94" t="n">
        <v>3</v>
      </c>
      <c r="L13032" s="88" t="n">
        <v>201208</v>
      </c>
      <c r="M13032" s="88">
        <f>VLOOKUP($Q13032,매칭테이블!$F:$I,2,0)*K13032</f>
        <v/>
      </c>
      <c r="N13032" s="88">
        <f>M13032-M13032*VLOOKUP($Q13032,매칭테이블!$F:$I,3,0)</f>
        <v/>
      </c>
      <c r="O13032" s="88">
        <f>VLOOKUP($Q13032,매칭테이블!$F:$I,4,0)*K13032</f>
        <v/>
      </c>
      <c r="P13032" s="152">
        <f>M13032/1.1</f>
        <v/>
      </c>
      <c r="Q13032" s="88">
        <f>F13032&amp;E13032&amp;G13032&amp;L13032</f>
        <v/>
      </c>
    </row>
    <row r="13033">
      <c r="B13033" s="128" t="n">
        <v>44199</v>
      </c>
      <c r="C13033" s="88">
        <f>TEXT(B13033,"aaa")</f>
        <v/>
      </c>
      <c r="D13033" s="94" t="n"/>
      <c r="E13033" s="88">
        <f>INDEX(매칭테이블!C:D,MATCH(RD!G13033,매칭테이블!D:D,0),1)</f>
        <v/>
      </c>
      <c r="F13033" s="94" t="inlineStr">
        <is>
          <t>카페24</t>
        </is>
      </c>
      <c r="G13033" s="94" t="inlineStr">
        <is>
          <t>5 제로 무기자차 선크림옵션=5제로 무기자차 선크림 2개-30% off (무료배송)</t>
        </is>
      </c>
      <c r="K13033" s="94" t="n">
        <v>3</v>
      </c>
      <c r="L13033" s="88" t="n">
        <v>201208</v>
      </c>
      <c r="M13033" s="88">
        <f>VLOOKUP($Q13033,매칭테이블!$F:$I,2,0)*K13033</f>
        <v/>
      </c>
      <c r="N13033" s="88">
        <f>M13033-M13033*VLOOKUP($Q13033,매칭테이블!$F:$I,3,0)</f>
        <v/>
      </c>
      <c r="O13033" s="88">
        <f>VLOOKUP($Q13033,매칭테이블!$F:$I,4,0)*K13033</f>
        <v/>
      </c>
      <c r="P13033" s="152">
        <f>M13033/1.1</f>
        <v/>
      </c>
      <c r="Q13033" s="88">
        <f>F13033&amp;E13033&amp;G13033&amp;L13033</f>
        <v/>
      </c>
    </row>
    <row r="13034">
      <c r="B13034" s="128" t="n">
        <v>44199</v>
      </c>
      <c r="C13034" s="88">
        <f>TEXT(B13034,"aaa")</f>
        <v/>
      </c>
      <c r="D13034" s="94" t="n"/>
      <c r="E13034" s="88">
        <f>INDEX(매칭테이블!C:D,MATCH(RD!G13034,매칭테이블!D:D,0),1)</f>
        <v/>
      </c>
      <c r="F13034" s="94" t="inlineStr">
        <is>
          <t>카페24</t>
        </is>
      </c>
      <c r="G13034" s="94" t="inlineStr">
        <is>
          <t>[수분 보충 세트] 어성초 77 토너 + 어성초 70 로션옵션=어성초 77 토너 250ml + 어성초 70 로션 200ml -30%</t>
        </is>
      </c>
      <c r="K13034" s="94" t="n">
        <v>47</v>
      </c>
      <c r="L13034" s="88" t="n">
        <v>201208</v>
      </c>
      <c r="M13034" s="88">
        <f>VLOOKUP($Q13034,매칭테이블!$F:$I,2,0)*K13034</f>
        <v/>
      </c>
      <c r="N13034" s="88">
        <f>M13034-M13034*VLOOKUP($Q13034,매칭테이블!$F:$I,3,0)</f>
        <v/>
      </c>
      <c r="O13034" s="88">
        <f>VLOOKUP($Q13034,매칭테이블!$F:$I,4,0)*K13034</f>
        <v/>
      </c>
      <c r="P13034" s="152">
        <f>M13034/1.1</f>
        <v/>
      </c>
      <c r="Q13034" s="88">
        <f>F13034&amp;E13034&amp;G13034&amp;L13034</f>
        <v/>
      </c>
    </row>
    <row r="13035">
      <c r="B13035" s="128" t="n">
        <v>44199</v>
      </c>
      <c r="C13035" s="88">
        <f>TEXT(B13035,"aaa")</f>
        <v/>
      </c>
      <c r="D13035" s="94" t="n"/>
      <c r="E13035" s="88">
        <f>INDEX(매칭테이블!C:D,MATCH(RD!G13035,매칭테이블!D:D,0),1)</f>
        <v/>
      </c>
      <c r="F13035" s="94" t="inlineStr">
        <is>
          <t>카페24</t>
        </is>
      </c>
      <c r="G13035" s="94" t="inlineStr">
        <is>
          <t>대용량 어성초 77 수딩 토너 500ml</t>
        </is>
      </c>
      <c r="K13035" s="94" t="n">
        <v>32</v>
      </c>
      <c r="L13035" s="88" t="n">
        <v>201208</v>
      </c>
      <c r="M13035" s="88">
        <f>VLOOKUP($Q13035,매칭테이블!$F:$I,2,0)*K13035</f>
        <v/>
      </c>
      <c r="N13035" s="88">
        <f>M13035-M13035*VLOOKUP($Q13035,매칭테이블!$F:$I,3,0)</f>
        <v/>
      </c>
      <c r="O13035" s="88">
        <f>VLOOKUP($Q13035,매칭테이블!$F:$I,4,0)*K13035</f>
        <v/>
      </c>
      <c r="P13035" s="152">
        <f>M13035/1.1</f>
        <v/>
      </c>
      <c r="Q13035" s="88">
        <f>F13035&amp;E13035&amp;G13035&amp;L13035</f>
        <v/>
      </c>
    </row>
    <row r="13036">
      <c r="B13036" s="128" t="n">
        <v>44199</v>
      </c>
      <c r="C13036" s="88">
        <f>TEXT(B13036,"aaa")</f>
        <v/>
      </c>
      <c r="D13036" s="94" t="n"/>
      <c r="E13036" s="88">
        <f>INDEX(매칭테이블!C:D,MATCH(RD!G13036,매칭테이블!D:D,0),1)</f>
        <v/>
      </c>
      <c r="F13036" s="94" t="inlineStr">
        <is>
          <t>카페24</t>
        </is>
      </c>
      <c r="G13036" s="94" t="inlineStr">
        <is>
          <t>대용량 어성초 77 토너 500ml</t>
        </is>
      </c>
      <c r="K13036" s="94" t="n">
        <v>1</v>
      </c>
      <c r="L13036" s="88" t="n">
        <v>201208</v>
      </c>
      <c r="M13036" s="88">
        <f>VLOOKUP($Q13036,매칭테이블!$F:$I,2,0)*K13036</f>
        <v/>
      </c>
      <c r="N13036" s="88">
        <f>M13036-M13036*VLOOKUP($Q13036,매칭테이블!$F:$I,3,0)</f>
        <v/>
      </c>
      <c r="O13036" s="88">
        <f>VLOOKUP($Q13036,매칭테이블!$F:$I,4,0)*K13036</f>
        <v/>
      </c>
      <c r="P13036" s="152">
        <f>M13036/1.1</f>
        <v/>
      </c>
      <c r="Q13036" s="88">
        <f>F13036&amp;E13036&amp;G13036&amp;L13036</f>
        <v/>
      </c>
    </row>
    <row r="13037">
      <c r="B13037" s="128" t="n">
        <v>44199</v>
      </c>
      <c r="C13037" s="88">
        <f>TEXT(B13037,"aaa")</f>
        <v/>
      </c>
      <c r="D13037" s="94" t="n"/>
      <c r="E13037" s="88">
        <f>INDEX(매칭테이블!C:D,MATCH(RD!G13037,매칭테이블!D:D,0),1)</f>
        <v/>
      </c>
      <c r="F13037" s="94" t="inlineStr">
        <is>
          <t>카페24</t>
        </is>
      </c>
      <c r="G13037" s="94" t="inlineStr">
        <is>
          <t>아누아 어성초 77 수딩 토너토너(필수)=어성초 77 토너 1개-20% off</t>
        </is>
      </c>
      <c r="K13037" s="94" t="n">
        <v>1</v>
      </c>
      <c r="L13037" s="88" t="n">
        <v>201208</v>
      </c>
      <c r="M13037" s="88">
        <f>VLOOKUP($Q13037,매칭테이블!$F:$I,2,0)*K13037</f>
        <v/>
      </c>
      <c r="N13037" s="88">
        <f>M13037-M13037*VLOOKUP($Q13037,매칭테이블!$F:$I,3,0)</f>
        <v/>
      </c>
      <c r="O13037" s="88">
        <f>VLOOKUP($Q13037,매칭테이블!$F:$I,4,0)*K13037</f>
        <v/>
      </c>
      <c r="P13037" s="152">
        <f>M13037/1.1</f>
        <v/>
      </c>
      <c r="Q13037" s="88">
        <f>F13037&amp;E13037&amp;G13037&amp;L13037</f>
        <v/>
      </c>
    </row>
    <row r="13038">
      <c r="B13038" s="128" t="n">
        <v>44199</v>
      </c>
      <c r="C13038" s="88">
        <f>TEXT(B13038,"aaa")</f>
        <v/>
      </c>
      <c r="D13038" s="94" t="n"/>
      <c r="E13038" s="88">
        <f>INDEX(매칭테이블!C:D,MATCH(RD!G13038,매칭테이블!D:D,0),1)</f>
        <v/>
      </c>
      <c r="F13038" s="94" t="inlineStr">
        <is>
          <t>카페24</t>
        </is>
      </c>
      <c r="G13038" s="94" t="inlineStr">
        <is>
          <t>아누아 어성초 77 수딩 토너토너(필수)=어성초77토너1개 + 어성초77패드1개 -30% off (무료배송)</t>
        </is>
      </c>
      <c r="K13038" s="94" t="n">
        <v>1</v>
      </c>
      <c r="L13038" s="88" t="n">
        <v>201208</v>
      </c>
      <c r="M13038" s="88">
        <f>VLOOKUP($Q13038,매칭테이블!$F:$I,2,0)*K13038</f>
        <v/>
      </c>
      <c r="N13038" s="88">
        <f>M13038-M13038*VLOOKUP($Q13038,매칭테이블!$F:$I,3,0)</f>
        <v/>
      </c>
      <c r="O13038" s="88">
        <f>VLOOKUP($Q13038,매칭테이블!$F:$I,4,0)*K13038</f>
        <v/>
      </c>
      <c r="P13038" s="152">
        <f>M13038/1.1</f>
        <v/>
      </c>
      <c r="Q13038" s="88">
        <f>F13038&amp;E13038&amp;G13038&amp;L13038</f>
        <v/>
      </c>
    </row>
    <row r="13039">
      <c r="B13039" s="128" t="n">
        <v>44199</v>
      </c>
      <c r="C13039" s="88">
        <f>TEXT(B13039,"aaa")</f>
        <v/>
      </c>
      <c r="D13039" s="94" t="n"/>
      <c r="E13039" s="88">
        <f>INDEX(매칭테이블!C:D,MATCH(RD!G13039,매칭테이블!D:D,0),1)</f>
        <v/>
      </c>
      <c r="F13039" s="94" t="inlineStr">
        <is>
          <t>카페24</t>
        </is>
      </c>
      <c r="G13039" s="94" t="inlineStr">
        <is>
          <t>아누아 어성초 77 수딩 토너화장솜(선택)=촉촉 스킨팩 화장솜</t>
        </is>
      </c>
      <c r="K13039" s="94" t="n">
        <v>1</v>
      </c>
      <c r="L13039" s="88" t="n">
        <v>201208</v>
      </c>
      <c r="M13039" s="88">
        <f>VLOOKUP($Q13039,매칭테이블!$F:$I,2,0)*K13039</f>
        <v/>
      </c>
      <c r="N13039" s="88">
        <f>M13039-M13039*VLOOKUP($Q13039,매칭테이블!$F:$I,3,0)</f>
        <v/>
      </c>
      <c r="O13039" s="88">
        <f>VLOOKUP($Q13039,매칭테이블!$F:$I,4,0)*K13039</f>
        <v/>
      </c>
      <c r="P13039" s="152">
        <f>M13039/1.1</f>
        <v/>
      </c>
      <c r="Q13039" s="88">
        <f>F13039&amp;E13039&amp;G13039&amp;L13039</f>
        <v/>
      </c>
    </row>
    <row r="13040">
      <c r="B13040" s="128" t="n">
        <v>44199</v>
      </c>
      <c r="C13040" s="88">
        <f>TEXT(B13040,"aaa")</f>
        <v/>
      </c>
      <c r="D13040" s="94" t="n"/>
      <c r="E13040" s="88">
        <f>INDEX(매칭테이블!C:D,MATCH(RD!G13040,매칭테이블!D:D,0),1)</f>
        <v/>
      </c>
      <c r="F13040" s="94" t="inlineStr">
        <is>
          <t>카페24</t>
        </is>
      </c>
      <c r="G13040" s="94" t="inlineStr">
        <is>
          <t>어성초 70 데일리 릴리프 로션로션=어성초 70 데일리 릴리프 로션 1개 -20% off</t>
        </is>
      </c>
      <c r="K13040" s="94" t="n">
        <v>14</v>
      </c>
      <c r="L13040" s="88" t="n">
        <v>201208</v>
      </c>
      <c r="M13040" s="88">
        <f>VLOOKUP($Q13040,매칭테이블!$F:$I,2,0)*K13040</f>
        <v/>
      </c>
      <c r="N13040" s="88">
        <f>M13040-M13040*VLOOKUP($Q13040,매칭테이블!$F:$I,3,0)</f>
        <v/>
      </c>
      <c r="O13040" s="88">
        <f>VLOOKUP($Q13040,매칭테이블!$F:$I,4,0)*K13040</f>
        <v/>
      </c>
      <c r="P13040" s="152">
        <f>M13040/1.1</f>
        <v/>
      </c>
      <c r="Q13040" s="88">
        <f>F13040&amp;E13040&amp;G13040&amp;L13040</f>
        <v/>
      </c>
    </row>
    <row r="13041">
      <c r="B13041" s="128" t="n">
        <v>44199</v>
      </c>
      <c r="C13041" s="88">
        <f>TEXT(B13041,"aaa")</f>
        <v/>
      </c>
      <c r="D13041" s="94" t="n"/>
      <c r="E13041" s="88">
        <f>INDEX(매칭테이블!C:D,MATCH(RD!G13041,매칭테이블!D:D,0),1)</f>
        <v/>
      </c>
      <c r="F13041" s="94" t="inlineStr">
        <is>
          <t>카페24</t>
        </is>
      </c>
      <c r="G13041" s="94" t="inlineStr">
        <is>
          <t>어성초 70 데일리 릴리프 로션로션=어성초 70 데일리 릴리프 로션 2개 -30% off</t>
        </is>
      </c>
      <c r="K13041" s="94" t="n">
        <v>5</v>
      </c>
      <c r="L13041" s="88" t="n">
        <v>201208</v>
      </c>
      <c r="M13041" s="88">
        <f>VLOOKUP($Q13041,매칭테이블!$F:$I,2,0)*K13041</f>
        <v/>
      </c>
      <c r="N13041" s="88">
        <f>M13041-M13041*VLOOKUP($Q13041,매칭테이블!$F:$I,3,0)</f>
        <v/>
      </c>
      <c r="O13041" s="88">
        <f>VLOOKUP($Q13041,매칭테이블!$F:$I,4,0)*K13041</f>
        <v/>
      </c>
      <c r="P13041" s="152">
        <f>M13041/1.1</f>
        <v/>
      </c>
      <c r="Q13041" s="88">
        <f>F13041&amp;E13041&amp;G13041&amp;L13041</f>
        <v/>
      </c>
    </row>
    <row r="13042">
      <c r="B13042" s="128" t="n">
        <v>44199</v>
      </c>
      <c r="C13042" s="88">
        <f>TEXT(B13042,"aaa")</f>
        <v/>
      </c>
      <c r="D13042" s="94" t="n"/>
      <c r="E13042" s="88">
        <f>INDEX(매칭테이블!C:D,MATCH(RD!G13042,매칭테이블!D:D,0),1)</f>
        <v/>
      </c>
      <c r="F13042" s="94" t="inlineStr">
        <is>
          <t>카페24</t>
        </is>
      </c>
      <c r="G13042" s="94" t="inlineStr">
        <is>
          <t>어성초 70 데일리 릴리프 로션로션=어성초 77토너 + 어성초 70 로션 수분 보충 세트 -30% off</t>
        </is>
      </c>
      <c r="K13042" s="94" t="n">
        <v>3</v>
      </c>
      <c r="L13042" s="88" t="n">
        <v>201208</v>
      </c>
      <c r="M13042" s="88">
        <f>VLOOKUP($Q13042,매칭테이블!$F:$I,2,0)*K13042</f>
        <v/>
      </c>
      <c r="N13042" s="88">
        <f>M13042-M13042*VLOOKUP($Q13042,매칭테이블!$F:$I,3,0)</f>
        <v/>
      </c>
      <c r="O13042" s="88">
        <f>VLOOKUP($Q13042,매칭테이블!$F:$I,4,0)*K13042</f>
        <v/>
      </c>
      <c r="P13042" s="152">
        <f>M13042/1.1</f>
        <v/>
      </c>
      <c r="Q13042" s="88">
        <f>F13042&amp;E13042&amp;G13042&amp;L13042</f>
        <v/>
      </c>
    </row>
    <row r="13043">
      <c r="B13043" s="128" t="n">
        <v>44199</v>
      </c>
      <c r="C13043" s="88">
        <f>TEXT(B13043,"aaa")</f>
        <v/>
      </c>
      <c r="D13043" s="94" t="n"/>
      <c r="E13043" s="88">
        <f>INDEX(매칭테이블!C:D,MATCH(RD!G13043,매칭테이블!D:D,0),1)</f>
        <v/>
      </c>
      <c r="F13043" s="94" t="inlineStr">
        <is>
          <t>카페24</t>
        </is>
      </c>
      <c r="G13043" s="94" t="inlineStr">
        <is>
          <t>어성초 70 머드 크림 마스크옵션=어성초 70 머드 크림 마스크-20% off</t>
        </is>
      </c>
      <c r="K13043" s="94" t="n">
        <v>3</v>
      </c>
      <c r="L13043" s="88" t="n">
        <v>201208</v>
      </c>
      <c r="M13043" s="88">
        <f>VLOOKUP($Q13043,매칭테이블!$F:$I,2,0)*K13043</f>
        <v/>
      </c>
      <c r="N13043" s="88">
        <f>M13043-M13043*VLOOKUP($Q13043,매칭테이블!$F:$I,3,0)</f>
        <v/>
      </c>
      <c r="O13043" s="88">
        <f>VLOOKUP($Q13043,매칭테이블!$F:$I,4,0)*K13043</f>
        <v/>
      </c>
      <c r="P13043" s="152">
        <f>M13043/1.1</f>
        <v/>
      </c>
      <c r="Q13043" s="88">
        <f>F13043&amp;E13043&amp;G13043&amp;L13043</f>
        <v/>
      </c>
    </row>
    <row r="13044">
      <c r="B13044" s="128" t="n">
        <v>44199</v>
      </c>
      <c r="C13044" s="88">
        <f>TEXT(B13044,"aaa")</f>
        <v/>
      </c>
      <c r="D13044" s="94" t="n"/>
      <c r="E13044" s="88">
        <f>INDEX(매칭테이블!C:D,MATCH(RD!G13044,매칭테이블!D:D,0),1)</f>
        <v/>
      </c>
      <c r="F13044" s="94" t="inlineStr">
        <is>
          <t>카페24</t>
        </is>
      </c>
      <c r="G13044" s="94" t="inlineStr">
        <is>
          <t>어성초 70 머드 크림 마스크옵션=어성초 70 머드 크림 마스크 2개-30% off (무료배송)</t>
        </is>
      </c>
      <c r="K13044" s="94" t="n">
        <v>1</v>
      </c>
      <c r="L13044" s="88" t="n">
        <v>201208</v>
      </c>
      <c r="M13044" s="88">
        <f>VLOOKUP($Q13044,매칭테이블!$F:$I,2,0)*K13044</f>
        <v/>
      </c>
      <c r="N13044" s="88">
        <f>M13044-M13044*VLOOKUP($Q13044,매칭테이블!$F:$I,3,0)</f>
        <v/>
      </c>
      <c r="O13044" s="88">
        <f>VLOOKUP($Q13044,매칭테이블!$F:$I,4,0)*K13044</f>
        <v/>
      </c>
      <c r="P13044" s="152">
        <f>M13044/1.1</f>
        <v/>
      </c>
      <c r="Q13044" s="88">
        <f>F13044&amp;E13044&amp;G13044&amp;L13044</f>
        <v/>
      </c>
    </row>
    <row r="13045">
      <c r="B13045" s="128" t="n">
        <v>44199</v>
      </c>
      <c r="C13045" s="88">
        <f>TEXT(B13045,"aaa")</f>
        <v/>
      </c>
      <c r="D13045" s="94" t="n"/>
      <c r="E13045" s="88">
        <f>INDEX(매칭테이블!C:D,MATCH(RD!G13045,매칭테이블!D:D,0),1)</f>
        <v/>
      </c>
      <c r="F13045" s="94" t="inlineStr">
        <is>
          <t>카페24</t>
        </is>
      </c>
      <c r="G13045" s="94" t="inlineStr">
        <is>
          <t>어성초 70 인텐스 카밍 크림크림=어성초 70 인텐스 카밍 크림 1개 (-20%)</t>
        </is>
      </c>
      <c r="K13045" s="94" t="n">
        <v>9</v>
      </c>
      <c r="L13045" s="88" t="n">
        <v>201208</v>
      </c>
      <c r="M13045" s="88">
        <f>VLOOKUP($Q13045,매칭테이블!$F:$I,2,0)*K13045</f>
        <v/>
      </c>
      <c r="N13045" s="88">
        <f>M13045-M13045*VLOOKUP($Q13045,매칭테이블!$F:$I,3,0)</f>
        <v/>
      </c>
      <c r="O13045" s="88">
        <f>VLOOKUP($Q13045,매칭테이블!$F:$I,4,0)*K13045</f>
        <v/>
      </c>
      <c r="P13045" s="152">
        <f>M13045/1.1</f>
        <v/>
      </c>
      <c r="Q13045" s="88">
        <f>F13045&amp;E13045&amp;G13045&amp;L13045</f>
        <v/>
      </c>
    </row>
    <row r="13046">
      <c r="B13046" s="128" t="n">
        <v>44199</v>
      </c>
      <c r="C13046" s="88">
        <f>TEXT(B13046,"aaa")</f>
        <v/>
      </c>
      <c r="D13046" s="94" t="n"/>
      <c r="E13046" s="88">
        <f>INDEX(매칭테이블!C:D,MATCH(RD!G13046,매칭테이블!D:D,0),1)</f>
        <v/>
      </c>
      <c r="F13046" s="94" t="inlineStr">
        <is>
          <t>카페24</t>
        </is>
      </c>
      <c r="G13046" s="94" t="inlineStr">
        <is>
          <t>어성초 77 수딩 토너토너(필수)=어성초 77 토너 1개-20% off</t>
        </is>
      </c>
      <c r="K13046" s="94" t="n">
        <v>53</v>
      </c>
      <c r="L13046" s="88" t="n">
        <v>201208</v>
      </c>
      <c r="M13046" s="88">
        <f>VLOOKUP($Q13046,매칭테이블!$F:$I,2,0)*K13046</f>
        <v/>
      </c>
      <c r="N13046" s="88">
        <f>M13046-M13046*VLOOKUP($Q13046,매칭테이블!$F:$I,3,0)</f>
        <v/>
      </c>
      <c r="O13046" s="88">
        <f>VLOOKUP($Q13046,매칭테이블!$F:$I,4,0)*K13046</f>
        <v/>
      </c>
      <c r="P13046" s="152">
        <f>M13046/1.1</f>
        <v/>
      </c>
      <c r="Q13046" s="88">
        <f>F13046&amp;E13046&amp;G13046&amp;L13046</f>
        <v/>
      </c>
    </row>
    <row r="13047">
      <c r="B13047" s="128" t="n">
        <v>44199</v>
      </c>
      <c r="C13047" s="88">
        <f>TEXT(B13047,"aaa")</f>
        <v/>
      </c>
      <c r="D13047" s="94" t="n"/>
      <c r="E13047" s="88">
        <f>INDEX(매칭테이블!C:D,MATCH(RD!G13047,매칭테이블!D:D,0),1)</f>
        <v/>
      </c>
      <c r="F13047" s="94" t="inlineStr">
        <is>
          <t>카페24</t>
        </is>
      </c>
      <c r="G13047" s="94" t="inlineStr">
        <is>
          <t>어성초 77 수딩 토너토너(필수)=어성초 77 토너 2개-30% off (무료배송)</t>
        </is>
      </c>
      <c r="K13047" s="94" t="n">
        <v>30</v>
      </c>
      <c r="L13047" s="88" t="n">
        <v>201208</v>
      </c>
      <c r="M13047" s="88">
        <f>VLOOKUP($Q13047,매칭테이블!$F:$I,2,0)*K13047</f>
        <v/>
      </c>
      <c r="N13047" s="88">
        <f>M13047-M13047*VLOOKUP($Q13047,매칭테이블!$F:$I,3,0)</f>
        <v/>
      </c>
      <c r="O13047" s="88">
        <f>VLOOKUP($Q13047,매칭테이블!$F:$I,4,0)*K13047</f>
        <v/>
      </c>
      <c r="P13047" s="152">
        <f>M13047/1.1</f>
        <v/>
      </c>
      <c r="Q13047" s="88">
        <f>F13047&amp;E13047&amp;G13047&amp;L13047</f>
        <v/>
      </c>
    </row>
    <row r="13048">
      <c r="B13048" s="128" t="n">
        <v>44199</v>
      </c>
      <c r="C13048" s="88">
        <f>TEXT(B13048,"aaa")</f>
        <v/>
      </c>
      <c r="D13048" s="94" t="n"/>
      <c r="E13048" s="88">
        <f>INDEX(매칭테이블!C:D,MATCH(RD!G13048,매칭테이블!D:D,0),1)</f>
        <v/>
      </c>
      <c r="F13048" s="94" t="inlineStr">
        <is>
          <t>카페24</t>
        </is>
      </c>
      <c r="G13048" s="94" t="inlineStr">
        <is>
          <t>어성초 77 수딩 토너토너(필수)=어성초77토너1개 + 어성초77패드1개 -30% off (무료배송)</t>
        </is>
      </c>
      <c r="K13048" s="94" t="n">
        <v>23</v>
      </c>
      <c r="L13048" s="88" t="n">
        <v>201208</v>
      </c>
      <c r="M13048" s="88">
        <f>VLOOKUP($Q13048,매칭테이블!$F:$I,2,0)*K13048</f>
        <v/>
      </c>
      <c r="N13048" s="88">
        <f>M13048-M13048*VLOOKUP($Q13048,매칭테이블!$F:$I,3,0)</f>
        <v/>
      </c>
      <c r="O13048" s="88">
        <f>VLOOKUP($Q13048,매칭테이블!$F:$I,4,0)*K13048</f>
        <v/>
      </c>
      <c r="P13048" s="152">
        <f>M13048/1.1</f>
        <v/>
      </c>
      <c r="Q13048" s="88">
        <f>F13048&amp;E13048&amp;G13048&amp;L13048</f>
        <v/>
      </c>
    </row>
    <row r="13049">
      <c r="B13049" s="128" t="n">
        <v>44199</v>
      </c>
      <c r="C13049" s="88">
        <f>TEXT(B13049,"aaa")</f>
        <v/>
      </c>
      <c r="D13049" s="94" t="n"/>
      <c r="E13049" s="88">
        <f>INDEX(매칭테이블!C:D,MATCH(RD!G13049,매칭테이블!D:D,0),1)</f>
        <v/>
      </c>
      <c r="F13049" s="94" t="inlineStr">
        <is>
          <t>카페24</t>
        </is>
      </c>
      <c r="G13049" s="94" t="inlineStr">
        <is>
          <t>어성초 77 수딩 토너화장솜(선택)=촉촉 스킨팩 화장솜</t>
        </is>
      </c>
      <c r="K13049" s="94" t="n">
        <v>28</v>
      </c>
      <c r="L13049" s="88" t="n">
        <v>201208</v>
      </c>
      <c r="M13049" s="88">
        <f>VLOOKUP($Q13049,매칭테이블!$F:$I,2,0)*K13049</f>
        <v/>
      </c>
      <c r="N13049" s="88">
        <f>M13049-M13049*VLOOKUP($Q13049,매칭테이블!$F:$I,3,0)</f>
        <v/>
      </c>
      <c r="O13049" s="88">
        <f>VLOOKUP($Q13049,매칭테이블!$F:$I,4,0)*K13049</f>
        <v/>
      </c>
      <c r="P13049" s="152">
        <f>M13049/1.1</f>
        <v/>
      </c>
      <c r="Q13049" s="88">
        <f>F13049&amp;E13049&amp;G13049&amp;L13049</f>
        <v/>
      </c>
    </row>
    <row r="13050">
      <c r="B13050" s="128" t="n">
        <v>44199</v>
      </c>
      <c r="C13050" s="88">
        <f>TEXT(B13050,"aaa")</f>
        <v/>
      </c>
      <c r="D13050" s="94" t="n"/>
      <c r="E13050" s="88">
        <f>INDEX(매칭테이블!C:D,MATCH(RD!G13050,매칭테이블!D:D,0),1)</f>
        <v/>
      </c>
      <c r="F13050" s="94" t="inlineStr">
        <is>
          <t>카페24</t>
        </is>
      </c>
      <c r="G13050" s="94" t="inlineStr">
        <is>
          <t>어성초 77 수딩 토너토너(필수)=어성초 77 토너 1개-20% off</t>
        </is>
      </c>
      <c r="K13050" s="94" t="n">
        <v>1</v>
      </c>
      <c r="L13050" s="88" t="n">
        <v>201208</v>
      </c>
      <c r="M13050" s="88">
        <f>VLOOKUP($Q13050,매칭테이블!$F:$I,2,0)*K13050</f>
        <v/>
      </c>
      <c r="N13050" s="88">
        <f>M13050-M13050*VLOOKUP($Q13050,매칭테이블!$F:$I,3,0)</f>
        <v/>
      </c>
      <c r="O13050" s="88">
        <f>VLOOKUP($Q13050,매칭테이블!$F:$I,4,0)*K13050</f>
        <v/>
      </c>
      <c r="P13050" s="152">
        <f>M13050/1.1</f>
        <v/>
      </c>
      <c r="Q13050" s="88">
        <f>F13050&amp;E13050&amp;G13050&amp;L13050</f>
        <v/>
      </c>
    </row>
    <row r="13051">
      <c r="B13051" s="128" t="n">
        <v>44199</v>
      </c>
      <c r="C13051" s="88">
        <f>TEXT(B13051,"aaa")</f>
        <v/>
      </c>
      <c r="D13051" s="94" t="n"/>
      <c r="E13051" s="88">
        <f>INDEX(매칭테이블!C:D,MATCH(RD!G13051,매칭테이블!D:D,0),1)</f>
        <v/>
      </c>
      <c r="F13051" s="94" t="inlineStr">
        <is>
          <t>카페24</t>
        </is>
      </c>
      <c r="G13051" s="94" t="inlineStr">
        <is>
          <t>어성초 77 수딩 토너토너(필수)=(대용량) 어성초 77 토너 500ml (무료배송)</t>
        </is>
      </c>
      <c r="K13051" s="94" t="n">
        <v>1</v>
      </c>
      <c r="L13051" s="88" t="n">
        <v>201208</v>
      </c>
      <c r="M13051" s="88">
        <f>VLOOKUP($Q13051,매칭테이블!$F:$I,2,0)*K13051</f>
        <v/>
      </c>
      <c r="N13051" s="88">
        <f>M13051-M13051*VLOOKUP($Q13051,매칭테이블!$F:$I,3,0)</f>
        <v/>
      </c>
      <c r="O13051" s="88">
        <f>VLOOKUP($Q13051,매칭테이블!$F:$I,4,0)*K13051</f>
        <v/>
      </c>
      <c r="P13051" s="152">
        <f>M13051/1.1</f>
        <v/>
      </c>
      <c r="Q13051" s="88">
        <f>F13051&amp;E13051&amp;G13051&amp;L13051</f>
        <v/>
      </c>
    </row>
    <row r="13052">
      <c r="B13052" s="128" t="n">
        <v>44199</v>
      </c>
      <c r="C13052" s="88">
        <f>TEXT(B13052,"aaa")</f>
        <v/>
      </c>
      <c r="D13052" s="94" t="n"/>
      <c r="E13052" s="88">
        <f>INDEX(매칭테이블!C:D,MATCH(RD!G13052,매칭테이블!D:D,0),1)</f>
        <v/>
      </c>
      <c r="F13052" s="94" t="inlineStr">
        <is>
          <t>카페24</t>
        </is>
      </c>
      <c r="G13052" s="94" t="inlineStr">
        <is>
          <t>어성초 77 진정 마스크옵션=어성초 77 진정 마스크팩 1장</t>
        </is>
      </c>
      <c r="K13052" s="94" t="n">
        <v>3</v>
      </c>
      <c r="L13052" s="88" t="n">
        <v>201208</v>
      </c>
      <c r="M13052" s="88">
        <f>VLOOKUP($Q13052,매칭테이블!$F:$I,2,0)*K13052</f>
        <v/>
      </c>
      <c r="N13052" s="88">
        <f>M13052-M13052*VLOOKUP($Q13052,매칭테이블!$F:$I,3,0)</f>
        <v/>
      </c>
      <c r="O13052" s="88">
        <f>VLOOKUP($Q13052,매칭테이블!$F:$I,4,0)*K13052</f>
        <v/>
      </c>
      <c r="P13052" s="152">
        <f>M13052/1.1</f>
        <v/>
      </c>
      <c r="Q13052" s="88">
        <f>F13052&amp;E13052&amp;G13052&amp;L13052</f>
        <v/>
      </c>
    </row>
    <row r="13053">
      <c r="B13053" s="128" t="n">
        <v>44199</v>
      </c>
      <c r="C13053" s="88">
        <f>TEXT(B13053,"aaa")</f>
        <v/>
      </c>
      <c r="D13053" s="94" t="n"/>
      <c r="E13053" s="88">
        <f>INDEX(매칭테이블!C:D,MATCH(RD!G13053,매칭테이블!D:D,0),1)</f>
        <v/>
      </c>
      <c r="F13053" s="94" t="inlineStr">
        <is>
          <t>카페24</t>
        </is>
      </c>
      <c r="G13053" s="94" t="inlineStr">
        <is>
          <t>어성초 77 진정 마스크옵션=어성초 77 진정 마스크팩 10장-50% off</t>
        </is>
      </c>
      <c r="K13053" s="94" t="n">
        <v>4</v>
      </c>
      <c r="L13053" s="88" t="n">
        <v>201208</v>
      </c>
      <c r="M13053" s="88">
        <f>VLOOKUP($Q13053,매칭테이블!$F:$I,2,0)*K13053</f>
        <v/>
      </c>
      <c r="N13053" s="88">
        <f>M13053-M13053*VLOOKUP($Q13053,매칭테이블!$F:$I,3,0)</f>
        <v/>
      </c>
      <c r="O13053" s="88">
        <f>VLOOKUP($Q13053,매칭테이블!$F:$I,4,0)*K13053</f>
        <v/>
      </c>
      <c r="P13053" s="152">
        <f>M13053/1.1</f>
        <v/>
      </c>
      <c r="Q13053" s="88">
        <f>F13053&amp;E13053&amp;G13053&amp;L13053</f>
        <v/>
      </c>
    </row>
    <row r="13054">
      <c r="B13054" s="128" t="n">
        <v>44199</v>
      </c>
      <c r="C13054" s="88">
        <f>TEXT(B13054,"aaa")</f>
        <v/>
      </c>
      <c r="D13054" s="94" t="n"/>
      <c r="E13054" s="88">
        <f>INDEX(매칭테이블!C:D,MATCH(RD!G13054,매칭테이블!D:D,0),1)</f>
        <v/>
      </c>
      <c r="F13054" s="94" t="inlineStr">
        <is>
          <t>카페24</t>
        </is>
      </c>
      <c r="G13054" s="94" t="inlineStr">
        <is>
          <t>어성초 77 진정 마스크</t>
        </is>
      </c>
      <c r="K13054" s="94" t="n">
        <v>4</v>
      </c>
      <c r="L13054" s="88" t="n">
        <v>201208</v>
      </c>
      <c r="M13054" s="88">
        <f>VLOOKUP($Q13054,매칭테이블!$F:$I,2,0)*K13054</f>
        <v/>
      </c>
      <c r="N13054" s="88">
        <f>M13054-M13054*VLOOKUP($Q13054,매칭테이블!$F:$I,3,0)</f>
        <v/>
      </c>
      <c r="O13054" s="88">
        <f>VLOOKUP($Q13054,매칭테이블!$F:$I,4,0)*K13054</f>
        <v/>
      </c>
      <c r="P13054" s="152">
        <f>M13054/1.1</f>
        <v/>
      </c>
      <c r="Q13054" s="88">
        <f>F13054&amp;E13054&amp;G13054&amp;L13054</f>
        <v/>
      </c>
    </row>
    <row r="13055">
      <c r="B13055" s="128" t="n">
        <v>44199</v>
      </c>
      <c r="C13055" s="88">
        <f>TEXT(B13055,"aaa")</f>
        <v/>
      </c>
      <c r="D13055" s="94" t="n"/>
      <c r="E13055" s="88">
        <f>INDEX(매칭테이블!C:D,MATCH(RD!G13055,매칭테이블!D:D,0),1)</f>
        <v/>
      </c>
      <c r="F13055" s="94" t="inlineStr">
        <is>
          <t>카페24</t>
        </is>
      </c>
      <c r="G13055" s="94" t="inlineStr">
        <is>
          <t>어성초 77 클리어 패드옵션=어성초 77 클리어 패드 1개-20% off</t>
        </is>
      </c>
      <c r="K13055" s="94" t="n">
        <v>62</v>
      </c>
      <c r="L13055" s="88" t="n">
        <v>201208</v>
      </c>
      <c r="M13055" s="88">
        <f>VLOOKUP($Q13055,매칭테이블!$F:$I,2,0)*K13055</f>
        <v/>
      </c>
      <c r="N13055" s="88">
        <f>M13055-M13055*VLOOKUP($Q13055,매칭테이블!$F:$I,3,0)</f>
        <v/>
      </c>
      <c r="O13055" s="88">
        <f>VLOOKUP($Q13055,매칭테이블!$F:$I,4,0)*K13055</f>
        <v/>
      </c>
      <c r="P13055" s="152">
        <f>M13055/1.1</f>
        <v/>
      </c>
      <c r="Q13055" s="88">
        <f>F13055&amp;E13055&amp;G13055&amp;L13055</f>
        <v/>
      </c>
    </row>
    <row r="13056">
      <c r="B13056" s="128" t="n">
        <v>44199</v>
      </c>
      <c r="C13056" s="88">
        <f>TEXT(B13056,"aaa")</f>
        <v/>
      </c>
      <c r="D13056" s="94" t="n"/>
      <c r="E13056" s="88">
        <f>INDEX(매칭테이블!C:D,MATCH(RD!G13056,매칭테이블!D:D,0),1)</f>
        <v/>
      </c>
      <c r="F13056" s="94" t="inlineStr">
        <is>
          <t>카페24</t>
        </is>
      </c>
      <c r="G13056" s="94" t="inlineStr">
        <is>
          <t>어성초 77 클리어 패드옵션=어성초 77 클리어 패드 2개-30% off (무료배송)</t>
        </is>
      </c>
      <c r="K13056" s="94" t="n">
        <v>78</v>
      </c>
      <c r="L13056" s="88" t="n">
        <v>201208</v>
      </c>
      <c r="M13056" s="88">
        <f>VLOOKUP($Q13056,매칭테이블!$F:$I,2,0)*K13056</f>
        <v/>
      </c>
      <c r="N13056" s="88">
        <f>M13056-M13056*VLOOKUP($Q13056,매칭테이블!$F:$I,3,0)</f>
        <v/>
      </c>
      <c r="O13056" s="88">
        <f>VLOOKUP($Q13056,매칭테이블!$F:$I,4,0)*K13056</f>
        <v/>
      </c>
      <c r="P13056" s="152">
        <f>M13056/1.1</f>
        <v/>
      </c>
      <c r="Q13056" s="88">
        <f>F13056&amp;E13056&amp;G13056&amp;L13056</f>
        <v/>
      </c>
    </row>
    <row r="13057">
      <c r="B13057" s="128" t="n">
        <v>44199</v>
      </c>
      <c r="C13057" s="88">
        <f>TEXT(B13057,"aaa")</f>
        <v/>
      </c>
      <c r="D13057" s="94" t="n"/>
      <c r="E13057" s="88">
        <f>INDEX(매칭테이블!C:D,MATCH(RD!G13057,매칭테이블!D:D,0),1)</f>
        <v/>
      </c>
      <c r="F13057" s="94" t="inlineStr">
        <is>
          <t>카페24</t>
        </is>
      </c>
      <c r="G13057" s="94" t="inlineStr">
        <is>
          <t>어성초 77 클리어 패드옵션=어성초77토너1개+어성초77패드1개-30% off (무료배송)</t>
        </is>
      </c>
      <c r="K13057" s="94" t="n">
        <v>40</v>
      </c>
      <c r="L13057" s="88" t="n">
        <v>201208</v>
      </c>
      <c r="M13057" s="88">
        <f>VLOOKUP($Q13057,매칭테이블!$F:$I,2,0)*K13057</f>
        <v/>
      </c>
      <c r="N13057" s="88">
        <f>M13057-M13057*VLOOKUP($Q13057,매칭테이블!$F:$I,3,0)</f>
        <v/>
      </c>
      <c r="O13057" s="88">
        <f>VLOOKUP($Q13057,매칭테이블!$F:$I,4,0)*K13057</f>
        <v/>
      </c>
      <c r="P13057" s="152">
        <f>M13057/1.1</f>
        <v/>
      </c>
      <c r="Q13057" s="88">
        <f>F13057&amp;E13057&amp;G13057&amp;L13057</f>
        <v/>
      </c>
    </row>
    <row r="13058">
      <c r="B13058" s="128" t="n">
        <v>44199</v>
      </c>
      <c r="C13058" s="88">
        <f>TEXT(B13058,"aaa")</f>
        <v/>
      </c>
      <c r="D13058" s="94" t="n"/>
      <c r="E13058" s="88">
        <f>INDEX(매칭테이블!C:D,MATCH(RD!G13058,매칭테이블!D:D,0),1)</f>
        <v/>
      </c>
      <c r="F13058" s="94" t="inlineStr">
        <is>
          <t>카페24</t>
        </is>
      </c>
      <c r="G13058" s="94" t="inlineStr">
        <is>
          <t>어성초 77 토너토너(필수)=어성초 77 토너 1개-20% off</t>
        </is>
      </c>
      <c r="K13058" s="94" t="n">
        <v>1</v>
      </c>
      <c r="L13058" s="88" t="n">
        <v>201208</v>
      </c>
      <c r="M13058" s="88">
        <f>VLOOKUP($Q13058,매칭테이블!$F:$I,2,0)*K13058</f>
        <v/>
      </c>
      <c r="N13058" s="88">
        <f>M13058-M13058*VLOOKUP($Q13058,매칭테이블!$F:$I,3,0)</f>
        <v/>
      </c>
      <c r="O13058" s="88">
        <f>VLOOKUP($Q13058,매칭테이블!$F:$I,4,0)*K13058</f>
        <v/>
      </c>
      <c r="P13058" s="152">
        <f>M13058/1.1</f>
        <v/>
      </c>
      <c r="Q13058" s="88">
        <f>F13058&amp;E13058&amp;G13058&amp;L13058</f>
        <v/>
      </c>
    </row>
    <row r="13059">
      <c r="B13059" s="128" t="n">
        <v>44199</v>
      </c>
      <c r="C13059" s="88">
        <f>TEXT(B13059,"aaa")</f>
        <v/>
      </c>
      <c r="D13059" s="94" t="n"/>
      <c r="E13059" s="88">
        <f>INDEX(매칭테이블!C:D,MATCH(RD!G13059,매칭테이블!D:D,0),1)</f>
        <v/>
      </c>
      <c r="F13059" s="94" t="inlineStr">
        <is>
          <t>카페24</t>
        </is>
      </c>
      <c r="G13059" s="94" t="inlineStr">
        <is>
          <t>어성초 77 포어 클리어 패드옵션=어성초 77 클리어 패드 1개-20% off</t>
        </is>
      </c>
      <c r="K13059" s="94" t="n">
        <v>10</v>
      </c>
      <c r="L13059" s="88" t="n">
        <v>201208</v>
      </c>
      <c r="M13059" s="88">
        <f>VLOOKUP($Q13059,매칭테이블!$F:$I,2,0)*K13059</f>
        <v/>
      </c>
      <c r="N13059" s="88">
        <f>M13059-M13059*VLOOKUP($Q13059,매칭테이블!$F:$I,3,0)</f>
        <v/>
      </c>
      <c r="O13059" s="88">
        <f>VLOOKUP($Q13059,매칭테이블!$F:$I,4,0)*K13059</f>
        <v/>
      </c>
      <c r="P13059" s="152">
        <f>M13059/1.1</f>
        <v/>
      </c>
      <c r="Q13059" s="88">
        <f>F13059&amp;E13059&amp;G13059&amp;L13059</f>
        <v/>
      </c>
    </row>
    <row r="13060">
      <c r="B13060" s="128" t="n">
        <v>44199</v>
      </c>
      <c r="C13060" s="88">
        <f>TEXT(B13060,"aaa")</f>
        <v/>
      </c>
      <c r="D13060" s="94" t="n"/>
      <c r="E13060" s="88">
        <f>INDEX(매칭테이블!C:D,MATCH(RD!G13060,매칭테이블!D:D,0),1)</f>
        <v/>
      </c>
      <c r="F13060" s="94" t="inlineStr">
        <is>
          <t>카페24</t>
        </is>
      </c>
      <c r="G13060" s="94" t="inlineStr">
        <is>
          <t>어성초 77 포어 클리어 패드옵션=어성초 77 클리어 패드 2개-30% off (무료배송)</t>
        </is>
      </c>
      <c r="K13060" s="94" t="n">
        <v>21</v>
      </c>
      <c r="L13060" s="88" t="n">
        <v>201208</v>
      </c>
      <c r="M13060" s="88">
        <f>VLOOKUP($Q13060,매칭테이블!$F:$I,2,0)*K13060</f>
        <v/>
      </c>
      <c r="N13060" s="88">
        <f>M13060-M13060*VLOOKUP($Q13060,매칭테이블!$F:$I,3,0)</f>
        <v/>
      </c>
      <c r="O13060" s="88">
        <f>VLOOKUP($Q13060,매칭테이블!$F:$I,4,0)*K13060</f>
        <v/>
      </c>
      <c r="P13060" s="152">
        <f>M13060/1.1</f>
        <v/>
      </c>
      <c r="Q13060" s="88">
        <f>F13060&amp;E13060&amp;G13060&amp;L13060</f>
        <v/>
      </c>
    </row>
    <row r="13061">
      <c r="B13061" s="128" t="n">
        <v>44199</v>
      </c>
      <c r="C13061" s="88">
        <f>TEXT(B13061,"aaa")</f>
        <v/>
      </c>
      <c r="D13061" s="94" t="n"/>
      <c r="E13061" s="88">
        <f>INDEX(매칭테이블!C:D,MATCH(RD!G13061,매칭테이블!D:D,0),1)</f>
        <v/>
      </c>
      <c r="F13061" s="94" t="inlineStr">
        <is>
          <t>카페24</t>
        </is>
      </c>
      <c r="G13061" s="94" t="inlineStr">
        <is>
          <t>어성초 77 포어 클리어 패드옵션=어성초77토너1개+어성초77패드1개-30% off (무료배송)</t>
        </is>
      </c>
      <c r="K13061" s="94" t="n">
        <v>8</v>
      </c>
      <c r="L13061" s="88" t="n">
        <v>201208</v>
      </c>
      <c r="M13061" s="88">
        <f>VLOOKUP($Q13061,매칭테이블!$F:$I,2,0)*K13061</f>
        <v/>
      </c>
      <c r="N13061" s="88">
        <f>M13061-M13061*VLOOKUP($Q13061,매칭테이블!$F:$I,3,0)</f>
        <v/>
      </c>
      <c r="O13061" s="88">
        <f>VLOOKUP($Q13061,매칭테이블!$F:$I,4,0)*K13061</f>
        <v/>
      </c>
      <c r="P13061" s="152">
        <f>M13061/1.1</f>
        <v/>
      </c>
      <c r="Q13061" s="88">
        <f>F13061&amp;E13061&amp;G13061&amp;L13061</f>
        <v/>
      </c>
    </row>
    <row r="13062">
      <c r="B13062" s="128" t="n">
        <v>44199</v>
      </c>
      <c r="C13062" s="88">
        <f>TEXT(B13062,"aaa")</f>
        <v/>
      </c>
      <c r="D13062" s="94" t="n"/>
      <c r="E13062" s="88">
        <f>INDEX(매칭테이블!C:D,MATCH(RD!G13062,매칭테이블!D:D,0),1)</f>
        <v/>
      </c>
      <c r="F13062" s="94" t="inlineStr">
        <is>
          <t>카페24</t>
        </is>
      </c>
      <c r="G13062" s="94" t="inlineStr">
        <is>
          <t>어성초 77% 패드옵션=어성초 77 클리어 패드 1개-20% off</t>
        </is>
      </c>
      <c r="K13062" s="94" t="n">
        <v>158</v>
      </c>
      <c r="L13062" s="88" t="n">
        <v>201208</v>
      </c>
      <c r="M13062" s="88">
        <f>VLOOKUP($Q13062,매칭테이블!$F:$I,2,0)*K13062</f>
        <v/>
      </c>
      <c r="N13062" s="88">
        <f>M13062-M13062*VLOOKUP($Q13062,매칭테이블!$F:$I,3,0)</f>
        <v/>
      </c>
      <c r="O13062" s="88">
        <f>VLOOKUP($Q13062,매칭테이블!$F:$I,4,0)*K13062</f>
        <v/>
      </c>
      <c r="P13062" s="152">
        <f>M13062/1.1</f>
        <v/>
      </c>
      <c r="Q13062" s="88">
        <f>F13062&amp;E13062&amp;G13062&amp;L13062</f>
        <v/>
      </c>
    </row>
    <row r="13063">
      <c r="B13063" s="128" t="n">
        <v>44199</v>
      </c>
      <c r="C13063" s="88">
        <f>TEXT(B13063,"aaa")</f>
        <v/>
      </c>
      <c r="D13063" s="94" t="n"/>
      <c r="E13063" s="88">
        <f>INDEX(매칭테이블!C:D,MATCH(RD!G13063,매칭테이블!D:D,0),1)</f>
        <v/>
      </c>
      <c r="F13063" s="94" t="inlineStr">
        <is>
          <t>카페24</t>
        </is>
      </c>
      <c r="G13063" s="94" t="inlineStr">
        <is>
          <t>어성초 77% 패드옵션=어성초 77 클리어 패드 2개-30% off (무료배송)</t>
        </is>
      </c>
      <c r="K13063" s="94" t="n">
        <v>155</v>
      </c>
      <c r="L13063" s="88" t="n">
        <v>201208</v>
      </c>
      <c r="M13063" s="88">
        <f>VLOOKUP($Q13063,매칭테이블!$F:$I,2,0)*K13063</f>
        <v/>
      </c>
      <c r="N13063" s="88">
        <f>M13063-M13063*VLOOKUP($Q13063,매칭테이블!$F:$I,3,0)</f>
        <v/>
      </c>
      <c r="O13063" s="88">
        <f>VLOOKUP($Q13063,매칭테이블!$F:$I,4,0)*K13063</f>
        <v/>
      </c>
      <c r="P13063" s="152">
        <f>M13063/1.1</f>
        <v/>
      </c>
      <c r="Q13063" s="88">
        <f>F13063&amp;E13063&amp;G13063&amp;L13063</f>
        <v/>
      </c>
    </row>
    <row r="13064">
      <c r="B13064" s="128" t="n">
        <v>44199</v>
      </c>
      <c r="C13064" s="88">
        <f>TEXT(B13064,"aaa")</f>
        <v/>
      </c>
      <c r="D13064" s="94" t="n"/>
      <c r="E13064" s="88">
        <f>INDEX(매칭테이블!C:D,MATCH(RD!G13064,매칭테이블!D:D,0),1)</f>
        <v/>
      </c>
      <c r="F13064" s="94" t="inlineStr">
        <is>
          <t>카페24</t>
        </is>
      </c>
      <c r="G13064" s="94" t="inlineStr">
        <is>
          <t>어성초 77% 패드옵션=어성초77토너1개+어성초77패드1개-30% off (무료배송)</t>
        </is>
      </c>
      <c r="K13064" s="94" t="n">
        <v>69</v>
      </c>
      <c r="L13064" s="88" t="n">
        <v>201208</v>
      </c>
      <c r="M13064" s="88">
        <f>VLOOKUP($Q13064,매칭테이블!$F:$I,2,0)*K13064</f>
        <v/>
      </c>
      <c r="N13064" s="88">
        <f>M13064-M13064*VLOOKUP($Q13064,매칭테이블!$F:$I,3,0)</f>
        <v/>
      </c>
      <c r="O13064" s="88">
        <f>VLOOKUP($Q13064,매칭테이블!$F:$I,4,0)*K13064</f>
        <v/>
      </c>
      <c r="P13064" s="152">
        <f>M13064/1.1</f>
        <v/>
      </c>
      <c r="Q13064" s="88">
        <f>F13064&amp;E13064&amp;G13064&amp;L13064</f>
        <v/>
      </c>
    </row>
    <row r="13065">
      <c r="B13065" s="128" t="n">
        <v>44199</v>
      </c>
      <c r="C13065" s="88">
        <f>TEXT(B13065,"aaa")</f>
        <v/>
      </c>
      <c r="D13065" s="94" t="n"/>
      <c r="E13065" s="88">
        <f>INDEX(매칭테이블!C:D,MATCH(RD!G13065,매칭테이블!D:D,0),1)</f>
        <v/>
      </c>
      <c r="F13065" s="94" t="inlineStr">
        <is>
          <t>카페24</t>
        </is>
      </c>
      <c r="G13065" s="94" t="inlineStr">
        <is>
          <t>어성초 78 수딩 크림</t>
        </is>
      </c>
      <c r="K13065" s="94" t="n">
        <v>11</v>
      </c>
      <c r="L13065" s="88" t="n">
        <v>201208</v>
      </c>
      <c r="M13065" s="88">
        <f>VLOOKUP($Q13065,매칭테이블!$F:$I,2,0)*K13065</f>
        <v/>
      </c>
      <c r="N13065" s="88">
        <f>M13065-M13065*VLOOKUP($Q13065,매칭테이블!$F:$I,3,0)</f>
        <v/>
      </c>
      <c r="O13065" s="88">
        <f>VLOOKUP($Q13065,매칭테이블!$F:$I,4,0)*K13065</f>
        <v/>
      </c>
      <c r="P13065" s="152">
        <f>M13065/1.1</f>
        <v/>
      </c>
      <c r="Q13065" s="88">
        <f>F13065&amp;E13065&amp;G13065&amp;L13065</f>
        <v/>
      </c>
    </row>
    <row r="13066">
      <c r="B13066" s="128" t="n">
        <v>44199</v>
      </c>
      <c r="C13066" s="88">
        <f>TEXT(B13066,"aaa")</f>
        <v/>
      </c>
      <c r="D13066" s="94" t="n"/>
      <c r="E13066" s="88">
        <f>INDEX(매칭테이블!C:D,MATCH(RD!G13066,매칭테이블!D:D,0),1)</f>
        <v/>
      </c>
      <c r="F13066" s="94" t="inlineStr">
        <is>
          <t>카페24</t>
        </is>
      </c>
      <c r="G13066" s="94" t="inlineStr">
        <is>
          <t>어성초 78 수딩 크림</t>
        </is>
      </c>
      <c r="K13066" s="94" t="n">
        <v>2</v>
      </c>
      <c r="L13066" s="88" t="n">
        <v>201208</v>
      </c>
      <c r="M13066" s="88">
        <f>VLOOKUP($Q13066,매칭테이블!$F:$I,2,0)*K13066</f>
        <v/>
      </c>
      <c r="N13066" s="88">
        <f>M13066-M13066*VLOOKUP($Q13066,매칭테이블!$F:$I,3,0)</f>
        <v/>
      </c>
      <c r="O13066" s="88">
        <f>VLOOKUP($Q13066,매칭테이블!$F:$I,4,0)*K13066</f>
        <v/>
      </c>
      <c r="P13066" s="152">
        <f>M13066/1.1</f>
        <v/>
      </c>
      <c r="Q13066" s="88">
        <f>F13066&amp;E13066&amp;G13066&amp;L13066</f>
        <v/>
      </c>
    </row>
    <row r="13067">
      <c r="B13067" s="128" t="n">
        <v>44199</v>
      </c>
      <c r="C13067" s="88">
        <f>TEXT(B13067,"aaa")</f>
        <v/>
      </c>
      <c r="D13067" s="94" t="n"/>
      <c r="E13067" s="88">
        <f>INDEX(매칭테이블!C:D,MATCH(RD!G13067,매칭테이블!D:D,0),1)</f>
        <v/>
      </c>
      <c r="F13067" s="94" t="inlineStr">
        <is>
          <t>카페24</t>
        </is>
      </c>
      <c r="G13067" s="94" t="inlineStr">
        <is>
          <t>어성초 80 수분 진정 앰플앰플=어성초 80 앰플 1개-15%off</t>
        </is>
      </c>
      <c r="K13067" s="94" t="n">
        <v>24</v>
      </c>
      <c r="L13067" s="88" t="n">
        <v>201208</v>
      </c>
      <c r="M13067" s="88">
        <f>VLOOKUP($Q13067,매칭테이블!$F:$I,2,0)*K13067</f>
        <v/>
      </c>
      <c r="N13067" s="88">
        <f>M13067-M13067*VLOOKUP($Q13067,매칭테이블!$F:$I,3,0)</f>
        <v/>
      </c>
      <c r="O13067" s="88">
        <f>VLOOKUP($Q13067,매칭테이블!$F:$I,4,0)*K13067</f>
        <v/>
      </c>
      <c r="P13067" s="152">
        <f>M13067/1.1</f>
        <v/>
      </c>
      <c r="Q13067" s="88">
        <f>F13067&amp;E13067&amp;G13067&amp;L13067</f>
        <v/>
      </c>
    </row>
    <row r="13068">
      <c r="B13068" s="128" t="n">
        <v>44199</v>
      </c>
      <c r="C13068" s="88">
        <f>TEXT(B13068,"aaa")</f>
        <v/>
      </c>
      <c r="D13068" s="94" t="n"/>
      <c r="E13068" s="88">
        <f>INDEX(매칭테이블!C:D,MATCH(RD!G13068,매칭테이블!D:D,0),1)</f>
        <v/>
      </c>
      <c r="F13068" s="94" t="inlineStr">
        <is>
          <t>카페24</t>
        </is>
      </c>
      <c r="G13068" s="94" t="inlineStr">
        <is>
          <t>어성초 80 수분 진정 앰플앰플=어성초 80 앰플 2개-27%off (무료배송)</t>
        </is>
      </c>
      <c r="K13068" s="94" t="n">
        <v>6</v>
      </c>
      <c r="L13068" s="88" t="n">
        <v>201208</v>
      </c>
      <c r="M13068" s="88">
        <f>VLOOKUP($Q13068,매칭테이블!$F:$I,2,0)*K13068</f>
        <v/>
      </c>
      <c r="N13068" s="88">
        <f>M13068-M13068*VLOOKUP($Q13068,매칭테이블!$F:$I,3,0)</f>
        <v/>
      </c>
      <c r="O13068" s="88">
        <f>VLOOKUP($Q13068,매칭테이블!$F:$I,4,0)*K13068</f>
        <v/>
      </c>
      <c r="P13068" s="152">
        <f>M13068/1.1</f>
        <v/>
      </c>
      <c r="Q13068" s="88">
        <f>F13068&amp;E13068&amp;G13068&amp;L13068</f>
        <v/>
      </c>
    </row>
    <row r="13069">
      <c r="B13069" s="128" t="n">
        <v>44199</v>
      </c>
      <c r="C13069" s="88">
        <f>TEXT(B13069,"aaa")</f>
        <v/>
      </c>
      <c r="D13069" s="94" t="n"/>
      <c r="E13069" s="88">
        <f>INDEX(매칭테이블!C:D,MATCH(RD!G13069,매칭테이블!D:D,0),1)</f>
        <v/>
      </c>
      <c r="F13069" s="94" t="inlineStr">
        <is>
          <t>카페24</t>
        </is>
      </c>
      <c r="G13069" s="94" t="inlineStr">
        <is>
          <t>어성초 80 수분 진정 앰플</t>
        </is>
      </c>
      <c r="K13069" s="94" t="n">
        <v>4</v>
      </c>
      <c r="L13069" s="88" t="n">
        <v>201208</v>
      </c>
      <c r="M13069" s="88">
        <f>VLOOKUP($Q13069,매칭테이블!$F:$I,2,0)*K13069</f>
        <v/>
      </c>
      <c r="N13069" s="88">
        <f>M13069-M13069*VLOOKUP($Q13069,매칭테이블!$F:$I,3,0)</f>
        <v/>
      </c>
      <c r="O13069" s="88">
        <f>VLOOKUP($Q13069,매칭테이블!$F:$I,4,0)*K13069</f>
        <v/>
      </c>
      <c r="P13069" s="152">
        <f>M13069/1.1</f>
        <v/>
      </c>
      <c r="Q13069" s="88">
        <f>F13069&amp;E13069&amp;G13069&amp;L13069</f>
        <v/>
      </c>
    </row>
    <row r="13070">
      <c r="B13070" s="128" t="n">
        <v>44199</v>
      </c>
      <c r="C13070" s="88">
        <f>TEXT(B13070,"aaa")</f>
        <v/>
      </c>
      <c r="D13070" s="94" t="n"/>
      <c r="E13070" s="88">
        <f>INDEX(매칭테이블!C:D,MATCH(RD!G13070,매칭테이블!D:D,0),1)</f>
        <v/>
      </c>
      <c r="F13070" s="94" t="inlineStr">
        <is>
          <t>카페24</t>
        </is>
      </c>
      <c r="G13070" s="94" t="inlineStr">
        <is>
          <t>어성초 아크네 바디워시옵션=어성초 아크네 바디워시 1개 -30% off</t>
        </is>
      </c>
      <c r="K13070" s="94" t="n">
        <v>5</v>
      </c>
      <c r="L13070" s="88" t="n">
        <v>201208</v>
      </c>
      <c r="M13070" s="88">
        <f>VLOOKUP($Q13070,매칭테이블!$F:$I,2,0)*K13070</f>
        <v/>
      </c>
      <c r="N13070" s="88">
        <f>M13070-M13070*VLOOKUP($Q13070,매칭테이블!$F:$I,3,0)</f>
        <v/>
      </c>
      <c r="O13070" s="88">
        <f>VLOOKUP($Q13070,매칭테이블!$F:$I,4,0)*K13070</f>
        <v/>
      </c>
      <c r="P13070" s="152">
        <f>M13070/1.1</f>
        <v/>
      </c>
      <c r="Q13070" s="88">
        <f>F13070&amp;E13070&amp;G13070&amp;L13070</f>
        <v/>
      </c>
    </row>
    <row r="13071">
      <c r="B13071" s="128" t="n">
        <v>44199</v>
      </c>
      <c r="C13071" s="88">
        <f>TEXT(B13071,"aaa")</f>
        <v/>
      </c>
      <c r="D13071" s="94" t="n"/>
      <c r="E13071" s="88">
        <f>INDEX(매칭테이블!C:D,MATCH(RD!G13071,매칭테이블!D:D,0),1)</f>
        <v/>
      </c>
      <c r="F13071" s="94" t="inlineStr">
        <is>
          <t>카페24</t>
        </is>
      </c>
      <c r="G13071" s="94" t="inlineStr">
        <is>
          <t>어성초 아크네 바디워시옵션=어성초 아크네 바디워시 2개 -35% off (무료배송)</t>
        </is>
      </c>
      <c r="K13071" s="94" t="n">
        <v>3</v>
      </c>
      <c r="L13071" s="88" t="n">
        <v>201208</v>
      </c>
      <c r="M13071" s="88">
        <f>VLOOKUP($Q13071,매칭테이블!$F:$I,2,0)*K13071</f>
        <v/>
      </c>
      <c r="N13071" s="88">
        <f>M13071-M13071*VLOOKUP($Q13071,매칭테이블!$F:$I,3,0)</f>
        <v/>
      </c>
      <c r="O13071" s="88">
        <f>VLOOKUP($Q13071,매칭테이블!$F:$I,4,0)*K13071</f>
        <v/>
      </c>
      <c r="P13071" s="152">
        <f>M13071/1.1</f>
        <v/>
      </c>
      <c r="Q13071" s="88">
        <f>F13071&amp;E13071&amp;G13071&amp;L13071</f>
        <v/>
      </c>
    </row>
    <row r="13072">
      <c r="B13072" s="128" t="n">
        <v>44199</v>
      </c>
      <c r="C13072" s="88">
        <f>TEXT(B13072,"aaa")</f>
        <v/>
      </c>
      <c r="D13072" s="94" t="n"/>
      <c r="E13072" s="88">
        <f>INDEX(매칭테이블!C:D,MATCH(RD!G13072,매칭테이블!D:D,0),1)</f>
        <v/>
      </c>
      <c r="F13072" s="94" t="inlineStr">
        <is>
          <t>카페24</t>
        </is>
      </c>
      <c r="G13072" s="94" t="inlineStr">
        <is>
          <t>어성초 약산성 클렌징폼클렌징폼=어성초 약산성 클렌징폼 1개 -19%off</t>
        </is>
      </c>
      <c r="K13072" s="94" t="n">
        <v>24</v>
      </c>
      <c r="L13072" s="88" t="n">
        <v>201208</v>
      </c>
      <c r="M13072" s="88">
        <f>VLOOKUP($Q13072,매칭테이블!$F:$I,2,0)*K13072</f>
        <v/>
      </c>
      <c r="N13072" s="88">
        <f>M13072-M13072*VLOOKUP($Q13072,매칭테이블!$F:$I,3,0)</f>
        <v/>
      </c>
      <c r="O13072" s="88">
        <f>VLOOKUP($Q13072,매칭테이블!$F:$I,4,0)*K13072</f>
        <v/>
      </c>
      <c r="P13072" s="152">
        <f>M13072/1.1</f>
        <v/>
      </c>
      <c r="Q13072" s="88">
        <f>F13072&amp;E13072&amp;G13072&amp;L13072</f>
        <v/>
      </c>
    </row>
    <row r="13073">
      <c r="B13073" s="128" t="n">
        <v>44199</v>
      </c>
      <c r="C13073" s="88">
        <f>TEXT(B13073,"aaa")</f>
        <v/>
      </c>
      <c r="D13073" s="94" t="n"/>
      <c r="E13073" s="88">
        <f>INDEX(매칭테이블!C:D,MATCH(RD!G13073,매칭테이블!D:D,0),1)</f>
        <v/>
      </c>
      <c r="F13073" s="94" t="inlineStr">
        <is>
          <t>카페24</t>
        </is>
      </c>
      <c r="G13073" s="94" t="inlineStr">
        <is>
          <t>어성초 약산성 클렌징폼클렌징폼=어성초 약산성 클렌징폼 2개 -25%off</t>
        </is>
      </c>
      <c r="K13073" s="94" t="n">
        <v>4</v>
      </c>
      <c r="L13073" s="88" t="n">
        <v>201208</v>
      </c>
      <c r="M13073" s="88">
        <f>VLOOKUP($Q13073,매칭테이블!$F:$I,2,0)*K13073</f>
        <v/>
      </c>
      <c r="N13073" s="88">
        <f>M13073-M13073*VLOOKUP($Q13073,매칭테이블!$F:$I,3,0)</f>
        <v/>
      </c>
      <c r="O13073" s="88">
        <f>VLOOKUP($Q13073,매칭테이블!$F:$I,4,0)*K13073</f>
        <v/>
      </c>
      <c r="P13073" s="152">
        <f>M13073/1.1</f>
        <v/>
      </c>
      <c r="Q13073" s="88">
        <f>F13073&amp;E13073&amp;G13073&amp;L13073</f>
        <v/>
      </c>
    </row>
    <row r="13074">
      <c r="B13074" s="128" t="n">
        <v>44199</v>
      </c>
      <c r="C13074" s="88">
        <f>TEXT(B13074,"aaa")</f>
        <v/>
      </c>
      <c r="D13074" s="94" t="n"/>
      <c r="E13074" s="88">
        <f>INDEX(매칭테이블!C:D,MATCH(RD!G13074,매칭테이블!D:D,0),1)</f>
        <v/>
      </c>
      <c r="F13074" s="94" t="inlineStr">
        <is>
          <t>카페24</t>
        </is>
      </c>
      <c r="G13074" s="94" t="inlineStr">
        <is>
          <t>어성초 약산성 클렌징폼클렌징폼=어성초 약산성 클렌징폼 3개 -31%off (무료배송)</t>
        </is>
      </c>
      <c r="K13074" s="94" t="n">
        <v>3</v>
      </c>
      <c r="L13074" s="88" t="n">
        <v>201208</v>
      </c>
      <c r="M13074" s="88">
        <f>VLOOKUP($Q13074,매칭테이블!$F:$I,2,0)*K13074</f>
        <v/>
      </c>
      <c r="N13074" s="88">
        <f>M13074-M13074*VLOOKUP($Q13074,매칭테이블!$F:$I,3,0)</f>
        <v/>
      </c>
      <c r="O13074" s="88">
        <f>VLOOKUP($Q13074,매칭테이블!$F:$I,4,0)*K13074</f>
        <v/>
      </c>
      <c r="P13074" s="152">
        <f>M13074/1.1</f>
        <v/>
      </c>
      <c r="Q13074" s="88">
        <f>F13074&amp;E13074&amp;G13074&amp;L13074</f>
        <v/>
      </c>
    </row>
    <row r="13075">
      <c r="B13075" s="128" t="n">
        <v>44199</v>
      </c>
      <c r="C13075" s="88">
        <f>TEXT(B13075,"aaa")</f>
        <v/>
      </c>
      <c r="D13075" s="94" t="n"/>
      <c r="E13075" s="88">
        <f>INDEX(매칭테이블!C:D,MATCH(RD!G13075,매칭테이블!D:D,0),1)</f>
        <v/>
      </c>
      <c r="F13075" s="94" t="inlineStr">
        <is>
          <t>카페24</t>
        </is>
      </c>
      <c r="G13075" s="94" t="inlineStr">
        <is>
          <t>어성초 크림마스크 나이트 솔루션옵션=어성초 크림마스크 나이트 솔루션 10장 (-50%)</t>
        </is>
      </c>
      <c r="K13075" s="94" t="n">
        <v>1</v>
      </c>
      <c r="L13075" s="88" t="n">
        <v>201208</v>
      </c>
      <c r="M13075" s="88">
        <f>VLOOKUP($Q13075,매칭테이블!$F:$I,2,0)*K13075</f>
        <v/>
      </c>
      <c r="N13075" s="88">
        <f>M13075-M13075*VLOOKUP($Q13075,매칭테이블!$F:$I,3,0)</f>
        <v/>
      </c>
      <c r="O13075" s="88">
        <f>VLOOKUP($Q13075,매칭테이블!$F:$I,4,0)*K13075</f>
        <v/>
      </c>
      <c r="P13075" s="152">
        <f>M13075/1.1</f>
        <v/>
      </c>
      <c r="Q13075" s="88">
        <f>F13075&amp;E13075&amp;G13075&amp;L13075</f>
        <v/>
      </c>
    </row>
    <row r="13076">
      <c r="B13076" s="128" t="n">
        <v>44199</v>
      </c>
      <c r="C13076" s="88">
        <f>TEXT(B13076,"aaa")</f>
        <v/>
      </c>
      <c r="D13076" s="94" t="n"/>
      <c r="E13076" s="88">
        <f>INDEX(매칭테이블!C:D,MATCH(RD!G13076,매칭테이블!D:D,0),1)</f>
        <v/>
      </c>
      <c r="F13076" s="94" t="inlineStr">
        <is>
          <t>카페24</t>
        </is>
      </c>
      <c r="G13076" s="94" t="inlineStr">
        <is>
          <t>촉촉 스킨팩 화장솜</t>
        </is>
      </c>
      <c r="K13076" s="94" t="n">
        <v>30</v>
      </c>
      <c r="L13076" s="88" t="n">
        <v>201208</v>
      </c>
      <c r="M13076" s="88">
        <f>VLOOKUP($Q13076,매칭테이블!$F:$I,2,0)*K13076</f>
        <v/>
      </c>
      <c r="N13076" s="88">
        <f>M13076-M13076*VLOOKUP($Q13076,매칭테이블!$F:$I,3,0)</f>
        <v/>
      </c>
      <c r="O13076" s="88">
        <f>VLOOKUP($Q13076,매칭테이블!$F:$I,4,0)*K13076</f>
        <v/>
      </c>
      <c r="P13076" s="152">
        <f>M13076/1.1</f>
        <v/>
      </c>
      <c r="Q13076" s="88">
        <f>F13076&amp;E13076&amp;G13076&amp;L13076</f>
        <v/>
      </c>
    </row>
    <row r="13077">
      <c r="B13077" s="128" t="n">
        <v>44200</v>
      </c>
      <c r="C13077" s="88">
        <f>TEXT(B13077,"aaa")</f>
        <v/>
      </c>
      <c r="D13077" s="94" t="n"/>
      <c r="E13077" s="88">
        <f>INDEX(매칭테이블!C:D,MATCH(RD!G13077,매칭테이블!D:D,0),1)</f>
        <v/>
      </c>
      <c r="F13077" s="94" t="inlineStr">
        <is>
          <t>W컨셉</t>
        </is>
      </c>
      <c r="G13077" s="94" t="inlineStr">
        <is>
          <t>어성초 77토너 (2 SET) HEARTLEAF 77% SOOTHING TONER 250ml250ml 2set</t>
        </is>
      </c>
      <c r="K13077" s="94" t="n">
        <v>6</v>
      </c>
      <c r="L13077" s="88" t="n">
        <v>201208</v>
      </c>
      <c r="M13077" s="88">
        <f>VLOOKUP($Q13077,매칭테이블!$F:$I,2,0)*K13077</f>
        <v/>
      </c>
      <c r="N13077" s="88">
        <f>M13077-M13077*VLOOKUP($Q13077,매칭테이블!$F:$I,3,0)</f>
        <v/>
      </c>
      <c r="O13077" s="88">
        <f>VLOOKUP($Q13077,매칭테이블!$F:$I,4,0)*K13077</f>
        <v/>
      </c>
      <c r="P13077" s="152">
        <f>M13077/1.1</f>
        <v/>
      </c>
      <c r="Q13077" s="88">
        <f>F13077&amp;E13077&amp;G13077&amp;L13077</f>
        <v/>
      </c>
    </row>
    <row r="13078">
      <c r="B13078" s="128" t="n">
        <v>44200</v>
      </c>
      <c r="C13078" s="88">
        <f>TEXT(B13078,"aaa")</f>
        <v/>
      </c>
      <c r="D13078" s="94" t="n"/>
      <c r="E13078" s="88">
        <f>INDEX(매칭테이블!C:D,MATCH(RD!G13078,매칭테이블!D:D,0),1)</f>
        <v/>
      </c>
      <c r="F13078" s="94" t="inlineStr">
        <is>
          <t>W컨셉</t>
        </is>
      </c>
      <c r="G13078" s="94" t="inlineStr">
        <is>
          <t>어성초 77토너 HEARTLEAF 77% SOOTHING TONER 250ml250ml</t>
        </is>
      </c>
      <c r="K13078" s="94" t="n">
        <v>2</v>
      </c>
      <c r="L13078" s="88" t="n">
        <v>201208</v>
      </c>
      <c r="M13078" s="88">
        <f>VLOOKUP($Q13078,매칭테이블!$F:$I,2,0)*K13078</f>
        <v/>
      </c>
      <c r="N13078" s="88">
        <f>M13078-M13078*VLOOKUP($Q13078,매칭테이블!$F:$I,3,0)</f>
        <v/>
      </c>
      <c r="O13078" s="88">
        <f>VLOOKUP($Q13078,매칭테이블!$F:$I,4,0)*K13078</f>
        <v/>
      </c>
      <c r="P13078" s="152">
        <f>M13078/1.1</f>
        <v/>
      </c>
      <c r="Q13078" s="88">
        <f>F13078&amp;E13078&amp;G13078&amp;L13078</f>
        <v/>
      </c>
    </row>
    <row r="13079">
      <c r="B13079" s="128" t="n">
        <v>44200</v>
      </c>
      <c r="C13079" s="88">
        <f>TEXT(B13079,"aaa")</f>
        <v/>
      </c>
      <c r="D13079" s="94" t="n"/>
      <c r="E13079" s="88">
        <f>INDEX(매칭테이블!C:D,MATCH(RD!G13079,매칭테이블!D:D,0),1)</f>
        <v/>
      </c>
      <c r="F13079" s="94" t="inlineStr">
        <is>
          <t>스타일쉐어</t>
        </is>
      </c>
      <c r="G13079" s="94" t="inlineStr">
        <is>
          <t>아누아 어성초 77 토너 250ml</t>
        </is>
      </c>
      <c r="K13079" s="94" t="n">
        <v>1</v>
      </c>
      <c r="L13079" s="88" t="n">
        <v>201208</v>
      </c>
      <c r="M13079" s="88">
        <f>VLOOKUP($Q13079,매칭테이블!$F:$I,2,0)*K13079</f>
        <v/>
      </c>
      <c r="N13079" s="88">
        <f>M13079-M13079*VLOOKUP($Q13079,매칭테이블!$F:$I,3,0)</f>
        <v/>
      </c>
      <c r="O13079" s="88">
        <f>VLOOKUP($Q13079,매칭테이블!$F:$I,4,0)*K13079</f>
        <v/>
      </c>
      <c r="P13079" s="152">
        <f>M13079/1.1</f>
        <v/>
      </c>
      <c r="Q13079" s="88">
        <f>F13079&amp;E13079&amp;G13079&amp;L13079</f>
        <v/>
      </c>
    </row>
    <row r="13080">
      <c r="B13080" s="128" t="n">
        <v>44200</v>
      </c>
      <c r="C13080" s="88">
        <f>TEXT(B13080,"aaa")</f>
        <v/>
      </c>
      <c r="D13080" s="94" t="n"/>
      <c r="E13080" s="88">
        <f>INDEX(매칭테이블!C:D,MATCH(RD!G13080,매칭테이블!D:D,0),1)</f>
        <v/>
      </c>
      <c r="F13080" s="94" t="inlineStr">
        <is>
          <t>카페24</t>
        </is>
      </c>
      <c r="G13080" s="94" t="inlineStr">
        <is>
          <t>5 제로 무기자차 선크림옵션=5제로 무기자차 선크림 1개-20% off</t>
        </is>
      </c>
      <c r="K13080" s="94" t="n">
        <v>3</v>
      </c>
      <c r="L13080" s="88" t="n">
        <v>201208</v>
      </c>
      <c r="M13080" s="88">
        <f>VLOOKUP($Q13080,매칭테이블!$F:$I,2,0)*K13080</f>
        <v/>
      </c>
      <c r="N13080" s="88">
        <f>M13080-M13080*VLOOKUP($Q13080,매칭테이블!$F:$I,3,0)</f>
        <v/>
      </c>
      <c r="O13080" s="88">
        <f>VLOOKUP($Q13080,매칭테이블!$F:$I,4,0)*K13080</f>
        <v/>
      </c>
      <c r="P13080" s="152">
        <f>M13080/1.1</f>
        <v/>
      </c>
      <c r="Q13080" s="88">
        <f>F13080&amp;E13080&amp;G13080&amp;L13080</f>
        <v/>
      </c>
    </row>
    <row r="13081">
      <c r="B13081" s="128" t="n">
        <v>44200</v>
      </c>
      <c r="C13081" s="88">
        <f>TEXT(B13081,"aaa")</f>
        <v/>
      </c>
      <c r="D13081" s="94" t="n"/>
      <c r="E13081" s="88">
        <f>INDEX(매칭테이블!C:D,MATCH(RD!G13081,매칭테이블!D:D,0),1)</f>
        <v/>
      </c>
      <c r="F13081" s="94" t="inlineStr">
        <is>
          <t>카페24</t>
        </is>
      </c>
      <c r="G13081" s="94" t="inlineStr">
        <is>
          <t>5 제로 무기자차 선크림옵션=5제로 무기자차 선크림 2개-30% off (무료배송)</t>
        </is>
      </c>
      <c r="K13081" s="94" t="n">
        <v>2</v>
      </c>
      <c r="L13081" s="88" t="n">
        <v>201208</v>
      </c>
      <c r="M13081" s="88">
        <f>VLOOKUP($Q13081,매칭테이블!$F:$I,2,0)*K13081</f>
        <v/>
      </c>
      <c r="N13081" s="88">
        <f>M13081-M13081*VLOOKUP($Q13081,매칭테이블!$F:$I,3,0)</f>
        <v/>
      </c>
      <c r="O13081" s="88">
        <f>VLOOKUP($Q13081,매칭테이블!$F:$I,4,0)*K13081</f>
        <v/>
      </c>
      <c r="P13081" s="152">
        <f>M13081/1.1</f>
        <v/>
      </c>
      <c r="Q13081" s="88">
        <f>F13081&amp;E13081&amp;G13081&amp;L13081</f>
        <v/>
      </c>
    </row>
    <row r="13082">
      <c r="B13082" s="128" t="n">
        <v>44200</v>
      </c>
      <c r="C13082" s="88">
        <f>TEXT(B13082,"aaa")</f>
        <v/>
      </c>
      <c r="D13082" s="94" t="n"/>
      <c r="E13082" s="88">
        <f>INDEX(매칭테이블!C:D,MATCH(RD!G13082,매칭테이블!D:D,0),1)</f>
        <v/>
      </c>
      <c r="F13082" s="94" t="inlineStr">
        <is>
          <t>카페24</t>
        </is>
      </c>
      <c r="G13082" s="94" t="inlineStr">
        <is>
          <t>[수분 보충 세트] 어성초 77 토너 + 어성초 70 로션옵션=어성초 77 토너 250ml + 어성초 70 로션 200ml -30%</t>
        </is>
      </c>
      <c r="K13082" s="94" t="n">
        <v>45</v>
      </c>
      <c r="L13082" s="88" t="n">
        <v>201208</v>
      </c>
      <c r="M13082" s="88">
        <f>VLOOKUP($Q13082,매칭테이블!$F:$I,2,0)*K13082</f>
        <v/>
      </c>
      <c r="N13082" s="88">
        <f>M13082-M13082*VLOOKUP($Q13082,매칭테이블!$F:$I,3,0)</f>
        <v/>
      </c>
      <c r="O13082" s="88">
        <f>VLOOKUP($Q13082,매칭테이블!$F:$I,4,0)*K13082</f>
        <v/>
      </c>
      <c r="P13082" s="152">
        <f>M13082/1.1</f>
        <v/>
      </c>
      <c r="Q13082" s="88">
        <f>F13082&amp;E13082&amp;G13082&amp;L13082</f>
        <v/>
      </c>
    </row>
    <row r="13083">
      <c r="B13083" s="128" t="n">
        <v>44200</v>
      </c>
      <c r="C13083" s="88">
        <f>TEXT(B13083,"aaa")</f>
        <v/>
      </c>
      <c r="D13083" s="94" t="n"/>
      <c r="E13083" s="88">
        <f>INDEX(매칭테이블!C:D,MATCH(RD!G13083,매칭테이블!D:D,0),1)</f>
        <v/>
      </c>
      <c r="F13083" s="94" t="inlineStr">
        <is>
          <t>카페24</t>
        </is>
      </c>
      <c r="G13083" s="94" t="inlineStr">
        <is>
          <t>[어성초 진정 패키지 세트] 대용량 토너 + 앰플 + 수딩 크림 + 마스크팩 10장</t>
        </is>
      </c>
      <c r="K13083" s="94" t="n">
        <v>4</v>
      </c>
      <c r="L13083" s="88" t="n">
        <v>201208</v>
      </c>
      <c r="M13083" s="88">
        <f>VLOOKUP($Q13083,매칭테이블!$F:$I,2,0)*K13083</f>
        <v/>
      </c>
      <c r="N13083" s="88">
        <f>M13083-M13083*VLOOKUP($Q13083,매칭테이블!$F:$I,3,0)</f>
        <v/>
      </c>
      <c r="O13083" s="88">
        <f>VLOOKUP($Q13083,매칭테이블!$F:$I,4,0)*K13083</f>
        <v/>
      </c>
      <c r="P13083" s="152">
        <f>M13083/1.1</f>
        <v/>
      </c>
      <c r="Q13083" s="88">
        <f>F13083&amp;E13083&amp;G13083&amp;L13083</f>
        <v/>
      </c>
    </row>
    <row r="13084">
      <c r="B13084" s="128" t="n">
        <v>44200</v>
      </c>
      <c r="C13084" s="88">
        <f>TEXT(B13084,"aaa")</f>
        <v/>
      </c>
      <c r="D13084" s="94" t="n"/>
      <c r="E13084" s="88">
        <f>INDEX(매칭테이블!C:D,MATCH(RD!G13084,매칭테이블!D:D,0),1)</f>
        <v/>
      </c>
      <c r="F13084" s="94" t="inlineStr">
        <is>
          <t>카페24</t>
        </is>
      </c>
      <c r="G13084" s="94" t="inlineStr">
        <is>
          <t>대용량 어성초 77 수딩 토너 500ml</t>
        </is>
      </c>
      <c r="K13084" s="94" t="n">
        <v>51</v>
      </c>
      <c r="L13084" s="88" t="n">
        <v>201208</v>
      </c>
      <c r="M13084" s="88">
        <f>VLOOKUP($Q13084,매칭테이블!$F:$I,2,0)*K13084</f>
        <v/>
      </c>
      <c r="N13084" s="88">
        <f>M13084-M13084*VLOOKUP($Q13084,매칭테이블!$F:$I,3,0)</f>
        <v/>
      </c>
      <c r="O13084" s="88">
        <f>VLOOKUP($Q13084,매칭테이블!$F:$I,4,0)*K13084</f>
        <v/>
      </c>
      <c r="P13084" s="152">
        <f>M13084/1.1</f>
        <v/>
      </c>
      <c r="Q13084" s="88">
        <f>F13084&amp;E13084&amp;G13084&amp;L13084</f>
        <v/>
      </c>
    </row>
    <row r="13085">
      <c r="B13085" s="128" t="n">
        <v>44200</v>
      </c>
      <c r="C13085" s="88">
        <f>TEXT(B13085,"aaa")</f>
        <v/>
      </c>
      <c r="D13085" s="94" t="n"/>
      <c r="E13085" s="88">
        <f>INDEX(매칭테이블!C:D,MATCH(RD!G13085,매칭테이블!D:D,0),1)</f>
        <v/>
      </c>
      <c r="F13085" s="94" t="inlineStr">
        <is>
          <t>카페24</t>
        </is>
      </c>
      <c r="G13085" s="94" t="inlineStr">
        <is>
          <t>대용량 어성초 77 토너 500ml</t>
        </is>
      </c>
      <c r="K13085" s="94" t="n">
        <v>7</v>
      </c>
      <c r="L13085" s="88" t="n">
        <v>201208</v>
      </c>
      <c r="M13085" s="88">
        <f>VLOOKUP($Q13085,매칭테이블!$F:$I,2,0)*K13085</f>
        <v/>
      </c>
      <c r="N13085" s="88">
        <f>M13085-M13085*VLOOKUP($Q13085,매칭테이블!$F:$I,3,0)</f>
        <v/>
      </c>
      <c r="O13085" s="88">
        <f>VLOOKUP($Q13085,매칭테이블!$F:$I,4,0)*K13085</f>
        <v/>
      </c>
      <c r="P13085" s="152">
        <f>M13085/1.1</f>
        <v/>
      </c>
      <c r="Q13085" s="88">
        <f>F13085&amp;E13085&amp;G13085&amp;L13085</f>
        <v/>
      </c>
    </row>
    <row r="13086">
      <c r="B13086" s="128" t="n">
        <v>44200</v>
      </c>
      <c r="C13086" s="88">
        <f>TEXT(B13086,"aaa")</f>
        <v/>
      </c>
      <c r="D13086" s="94" t="n"/>
      <c r="E13086" s="88">
        <f>INDEX(매칭테이블!C:D,MATCH(RD!G13086,매칭테이블!D:D,0),1)</f>
        <v/>
      </c>
      <c r="F13086" s="94" t="inlineStr">
        <is>
          <t>카페24</t>
        </is>
      </c>
      <c r="G13086" s="94" t="inlineStr">
        <is>
          <t>아누아 어성초 77 수딩 토너토너(필수)=어성초 77 토너 1개-20% off</t>
        </is>
      </c>
      <c r="K13086" s="94" t="n">
        <v>1</v>
      </c>
      <c r="L13086" s="88" t="n">
        <v>201208</v>
      </c>
      <c r="M13086" s="88">
        <f>VLOOKUP($Q13086,매칭테이블!$F:$I,2,0)*K13086</f>
        <v/>
      </c>
      <c r="N13086" s="88">
        <f>M13086-M13086*VLOOKUP($Q13086,매칭테이블!$F:$I,3,0)</f>
        <v/>
      </c>
      <c r="O13086" s="88">
        <f>VLOOKUP($Q13086,매칭테이블!$F:$I,4,0)*K13086</f>
        <v/>
      </c>
      <c r="P13086" s="152">
        <f>M13086/1.1</f>
        <v/>
      </c>
      <c r="Q13086" s="88">
        <f>F13086&amp;E13086&amp;G13086&amp;L13086</f>
        <v/>
      </c>
    </row>
    <row r="13087">
      <c r="B13087" s="128" t="n">
        <v>44200</v>
      </c>
      <c r="C13087" s="88">
        <f>TEXT(B13087,"aaa")</f>
        <v/>
      </c>
      <c r="D13087" s="94" t="n"/>
      <c r="E13087" s="88">
        <f>INDEX(매칭테이블!C:D,MATCH(RD!G13087,매칭테이블!D:D,0),1)</f>
        <v/>
      </c>
      <c r="F13087" s="94" t="inlineStr">
        <is>
          <t>카페24</t>
        </is>
      </c>
      <c r="G13087" s="94" t="inlineStr">
        <is>
          <t>어성초 70 데일리 릴리프 로션로션=어성초 70 데일리 릴리프 로션 1개 -20% off</t>
        </is>
      </c>
      <c r="K13087" s="94" t="n">
        <v>13</v>
      </c>
      <c r="L13087" s="88" t="n">
        <v>201208</v>
      </c>
      <c r="M13087" s="88">
        <f>VLOOKUP($Q13087,매칭테이블!$F:$I,2,0)*K13087</f>
        <v/>
      </c>
      <c r="N13087" s="88">
        <f>M13087-M13087*VLOOKUP($Q13087,매칭테이블!$F:$I,3,0)</f>
        <v/>
      </c>
      <c r="O13087" s="88">
        <f>VLOOKUP($Q13087,매칭테이블!$F:$I,4,0)*K13087</f>
        <v/>
      </c>
      <c r="P13087" s="152">
        <f>M13087/1.1</f>
        <v/>
      </c>
      <c r="Q13087" s="88">
        <f>F13087&amp;E13087&amp;G13087&amp;L13087</f>
        <v/>
      </c>
    </row>
    <row r="13088">
      <c r="B13088" s="128" t="n">
        <v>44200</v>
      </c>
      <c r="C13088" s="88">
        <f>TEXT(B13088,"aaa")</f>
        <v/>
      </c>
      <c r="D13088" s="94" t="n"/>
      <c r="E13088" s="88">
        <f>INDEX(매칭테이블!C:D,MATCH(RD!G13088,매칭테이블!D:D,0),1)</f>
        <v/>
      </c>
      <c r="F13088" s="94" t="inlineStr">
        <is>
          <t>카페24</t>
        </is>
      </c>
      <c r="G13088" s="94" t="inlineStr">
        <is>
          <t>어성초 70 데일리 릴리프 로션로션=어성초 70 데일리 릴리프 로션 2개 -30% off</t>
        </is>
      </c>
      <c r="K13088" s="94" t="n">
        <v>4</v>
      </c>
      <c r="L13088" s="88" t="n">
        <v>201208</v>
      </c>
      <c r="M13088" s="88">
        <f>VLOOKUP($Q13088,매칭테이블!$F:$I,2,0)*K13088</f>
        <v/>
      </c>
      <c r="N13088" s="88">
        <f>M13088-M13088*VLOOKUP($Q13088,매칭테이블!$F:$I,3,0)</f>
        <v/>
      </c>
      <c r="O13088" s="88">
        <f>VLOOKUP($Q13088,매칭테이블!$F:$I,4,0)*K13088</f>
        <v/>
      </c>
      <c r="P13088" s="152">
        <f>M13088/1.1</f>
        <v/>
      </c>
      <c r="Q13088" s="88">
        <f>F13088&amp;E13088&amp;G13088&amp;L13088</f>
        <v/>
      </c>
    </row>
    <row r="13089">
      <c r="B13089" s="128" t="n">
        <v>44200</v>
      </c>
      <c r="C13089" s="88">
        <f>TEXT(B13089,"aaa")</f>
        <v/>
      </c>
      <c r="D13089" s="94" t="n"/>
      <c r="E13089" s="88">
        <f>INDEX(매칭테이블!C:D,MATCH(RD!G13089,매칭테이블!D:D,0),1)</f>
        <v/>
      </c>
      <c r="F13089" s="94" t="inlineStr">
        <is>
          <t>카페24</t>
        </is>
      </c>
      <c r="G13089" s="94" t="inlineStr">
        <is>
          <t>어성초 70 데일리 릴리프 로션로션=어성초 77토너 + 어성초 70 로션 수분 보충 세트 -30% off</t>
        </is>
      </c>
      <c r="K13089" s="94" t="n">
        <v>1</v>
      </c>
      <c r="L13089" s="88" t="n">
        <v>201208</v>
      </c>
      <c r="M13089" s="88">
        <f>VLOOKUP($Q13089,매칭테이블!$F:$I,2,0)*K13089</f>
        <v/>
      </c>
      <c r="N13089" s="88">
        <f>M13089-M13089*VLOOKUP($Q13089,매칭테이블!$F:$I,3,0)</f>
        <v/>
      </c>
      <c r="O13089" s="88">
        <f>VLOOKUP($Q13089,매칭테이블!$F:$I,4,0)*K13089</f>
        <v/>
      </c>
      <c r="P13089" s="152">
        <f>M13089/1.1</f>
        <v/>
      </c>
      <c r="Q13089" s="88">
        <f>F13089&amp;E13089&amp;G13089&amp;L13089</f>
        <v/>
      </c>
    </row>
    <row r="13090">
      <c r="B13090" s="128" t="n">
        <v>44200</v>
      </c>
      <c r="C13090" s="88">
        <f>TEXT(B13090,"aaa")</f>
        <v/>
      </c>
      <c r="D13090" s="94" t="n"/>
      <c r="E13090" s="88">
        <f>INDEX(매칭테이블!C:D,MATCH(RD!G13090,매칭테이블!D:D,0),1)</f>
        <v/>
      </c>
      <c r="F13090" s="94" t="inlineStr">
        <is>
          <t>카페24</t>
        </is>
      </c>
      <c r="G13090" s="94" t="inlineStr">
        <is>
          <t>어성초 70 머드 크림 마스크옵션=어성초 70 머드 크림 마스크-20% off</t>
        </is>
      </c>
      <c r="K13090" s="94" t="n">
        <v>3</v>
      </c>
      <c r="L13090" s="88" t="n">
        <v>201208</v>
      </c>
      <c r="M13090" s="88">
        <f>VLOOKUP($Q13090,매칭테이블!$F:$I,2,0)*K13090</f>
        <v/>
      </c>
      <c r="N13090" s="88">
        <f>M13090-M13090*VLOOKUP($Q13090,매칭테이블!$F:$I,3,0)</f>
        <v/>
      </c>
      <c r="O13090" s="88">
        <f>VLOOKUP($Q13090,매칭테이블!$F:$I,4,0)*K13090</f>
        <v/>
      </c>
      <c r="P13090" s="152">
        <f>M13090/1.1</f>
        <v/>
      </c>
      <c r="Q13090" s="88">
        <f>F13090&amp;E13090&amp;G13090&amp;L13090</f>
        <v/>
      </c>
    </row>
    <row r="13091">
      <c r="B13091" s="128" t="n">
        <v>44200</v>
      </c>
      <c r="C13091" s="88">
        <f>TEXT(B13091,"aaa")</f>
        <v/>
      </c>
      <c r="D13091" s="94" t="n"/>
      <c r="E13091" s="88">
        <f>INDEX(매칭테이블!C:D,MATCH(RD!G13091,매칭테이블!D:D,0),1)</f>
        <v/>
      </c>
      <c r="F13091" s="94" t="inlineStr">
        <is>
          <t>카페24</t>
        </is>
      </c>
      <c r="G13091" s="94" t="inlineStr">
        <is>
          <t>어성초 70 머드 크림 마스크옵션=어성초 70 머드 크림 마스크 2개-30% off (무료배송)</t>
        </is>
      </c>
      <c r="K13091" s="94" t="n">
        <v>1</v>
      </c>
      <c r="L13091" s="88" t="n">
        <v>201208</v>
      </c>
      <c r="M13091" s="88">
        <f>VLOOKUP($Q13091,매칭테이블!$F:$I,2,0)*K13091</f>
        <v/>
      </c>
      <c r="N13091" s="88">
        <f>M13091-M13091*VLOOKUP($Q13091,매칭테이블!$F:$I,3,0)</f>
        <v/>
      </c>
      <c r="O13091" s="88">
        <f>VLOOKUP($Q13091,매칭테이블!$F:$I,4,0)*K13091</f>
        <v/>
      </c>
      <c r="P13091" s="152">
        <f>M13091/1.1</f>
        <v/>
      </c>
      <c r="Q13091" s="88">
        <f>F13091&amp;E13091&amp;G13091&amp;L13091</f>
        <v/>
      </c>
    </row>
    <row r="13092">
      <c r="B13092" s="128" t="n">
        <v>44200</v>
      </c>
      <c r="C13092" s="88">
        <f>TEXT(B13092,"aaa")</f>
        <v/>
      </c>
      <c r="D13092" s="94" t="n"/>
      <c r="E13092" s="88">
        <f>INDEX(매칭테이블!C:D,MATCH(RD!G13092,매칭테이블!D:D,0),1)</f>
        <v/>
      </c>
      <c r="F13092" s="94" t="inlineStr">
        <is>
          <t>카페24</t>
        </is>
      </c>
      <c r="G13092" s="94" t="inlineStr">
        <is>
          <t>어성초 70 인텐스 카밍 크림크림=어성초 70 인텐스 카밍 크림 1개 (-20%)</t>
        </is>
      </c>
      <c r="K13092" s="94" t="n">
        <v>7</v>
      </c>
      <c r="L13092" s="88" t="n">
        <v>201208</v>
      </c>
      <c r="M13092" s="88">
        <f>VLOOKUP($Q13092,매칭테이블!$F:$I,2,0)*K13092</f>
        <v/>
      </c>
      <c r="N13092" s="88">
        <f>M13092-M13092*VLOOKUP($Q13092,매칭테이블!$F:$I,3,0)</f>
        <v/>
      </c>
      <c r="O13092" s="88">
        <f>VLOOKUP($Q13092,매칭테이블!$F:$I,4,0)*K13092</f>
        <v/>
      </c>
      <c r="P13092" s="152">
        <f>M13092/1.1</f>
        <v/>
      </c>
      <c r="Q13092" s="88">
        <f>F13092&amp;E13092&amp;G13092&amp;L13092</f>
        <v/>
      </c>
    </row>
    <row r="13093">
      <c r="B13093" s="128" t="n">
        <v>44200</v>
      </c>
      <c r="C13093" s="88">
        <f>TEXT(B13093,"aaa")</f>
        <v/>
      </c>
      <c r="D13093" s="94" t="n"/>
      <c r="E13093" s="88">
        <f>INDEX(매칭테이블!C:D,MATCH(RD!G13093,매칭테이블!D:D,0),1)</f>
        <v/>
      </c>
      <c r="F13093" s="94" t="inlineStr">
        <is>
          <t>카페24</t>
        </is>
      </c>
      <c r="G13093" s="94" t="inlineStr">
        <is>
          <t>어성초 70 인텐스 카밍 크림크림=어성초 70 인텐스 카밍 크림 2개 (-30%)</t>
        </is>
      </c>
      <c r="K13093" s="94" t="n">
        <v>1</v>
      </c>
      <c r="L13093" s="88" t="n">
        <v>201208</v>
      </c>
      <c r="M13093" s="88">
        <f>VLOOKUP($Q13093,매칭테이블!$F:$I,2,0)*K13093</f>
        <v/>
      </c>
      <c r="N13093" s="88">
        <f>M13093-M13093*VLOOKUP($Q13093,매칭테이블!$F:$I,3,0)</f>
        <v/>
      </c>
      <c r="O13093" s="88">
        <f>VLOOKUP($Q13093,매칭테이블!$F:$I,4,0)*K13093</f>
        <v/>
      </c>
      <c r="P13093" s="152">
        <f>M13093/1.1</f>
        <v/>
      </c>
      <c r="Q13093" s="88">
        <f>F13093&amp;E13093&amp;G13093&amp;L13093</f>
        <v/>
      </c>
    </row>
    <row r="13094">
      <c r="B13094" s="128" t="n">
        <v>44200</v>
      </c>
      <c r="C13094" s="88">
        <f>TEXT(B13094,"aaa")</f>
        <v/>
      </c>
      <c r="D13094" s="94" t="n"/>
      <c r="E13094" s="88">
        <f>INDEX(매칭테이블!C:D,MATCH(RD!G13094,매칭테이블!D:D,0),1)</f>
        <v/>
      </c>
      <c r="F13094" s="94" t="inlineStr">
        <is>
          <t>카페24</t>
        </is>
      </c>
      <c r="G13094" s="94" t="inlineStr">
        <is>
          <t>어성초 77 수딩 토너토너(필수)=어성초 77 토너 1개-20% off</t>
        </is>
      </c>
      <c r="K13094" s="94" t="n">
        <v>12</v>
      </c>
      <c r="L13094" s="88" t="n">
        <v>201208</v>
      </c>
      <c r="M13094" s="88">
        <f>VLOOKUP($Q13094,매칭테이블!$F:$I,2,0)*K13094</f>
        <v/>
      </c>
      <c r="N13094" s="88">
        <f>M13094-M13094*VLOOKUP($Q13094,매칭테이블!$F:$I,3,0)</f>
        <v/>
      </c>
      <c r="O13094" s="88">
        <f>VLOOKUP($Q13094,매칭테이블!$F:$I,4,0)*K13094</f>
        <v/>
      </c>
      <c r="P13094" s="152">
        <f>M13094/1.1</f>
        <v/>
      </c>
      <c r="Q13094" s="88">
        <f>F13094&amp;E13094&amp;G13094&amp;L13094</f>
        <v/>
      </c>
    </row>
    <row r="13095">
      <c r="B13095" s="128" t="n">
        <v>44200</v>
      </c>
      <c r="C13095" s="88">
        <f>TEXT(B13095,"aaa")</f>
        <v/>
      </c>
      <c r="D13095" s="94" t="n"/>
      <c r="E13095" s="88">
        <f>INDEX(매칭테이블!C:D,MATCH(RD!G13095,매칭테이블!D:D,0),1)</f>
        <v/>
      </c>
      <c r="F13095" s="94" t="inlineStr">
        <is>
          <t>카페24</t>
        </is>
      </c>
      <c r="G13095" s="94" t="inlineStr">
        <is>
          <t>어성초 77 수딩 토너토너(필수)=어성초 77 토너 2개-30% off (무료배송)</t>
        </is>
      </c>
      <c r="K13095" s="94" t="n">
        <v>18</v>
      </c>
      <c r="L13095" s="88" t="n">
        <v>201208</v>
      </c>
      <c r="M13095" s="88">
        <f>VLOOKUP($Q13095,매칭테이블!$F:$I,2,0)*K13095</f>
        <v/>
      </c>
      <c r="N13095" s="88">
        <f>M13095-M13095*VLOOKUP($Q13095,매칭테이블!$F:$I,3,0)</f>
        <v/>
      </c>
      <c r="O13095" s="88">
        <f>VLOOKUP($Q13095,매칭테이블!$F:$I,4,0)*K13095</f>
        <v/>
      </c>
      <c r="P13095" s="152">
        <f>M13095/1.1</f>
        <v/>
      </c>
      <c r="Q13095" s="88">
        <f>F13095&amp;E13095&amp;G13095&amp;L13095</f>
        <v/>
      </c>
    </row>
    <row r="13096">
      <c r="B13096" s="128" t="n">
        <v>44200</v>
      </c>
      <c r="C13096" s="88">
        <f>TEXT(B13096,"aaa")</f>
        <v/>
      </c>
      <c r="D13096" s="94" t="n"/>
      <c r="E13096" s="88">
        <f>INDEX(매칭테이블!C:D,MATCH(RD!G13096,매칭테이블!D:D,0),1)</f>
        <v/>
      </c>
      <c r="F13096" s="94" t="inlineStr">
        <is>
          <t>카페24</t>
        </is>
      </c>
      <c r="G13096" s="94" t="inlineStr">
        <is>
          <t>어성초 77 수딩 토너토너(필수)=어성초77토너1개 + 어성초77패드1개 -30% off (무료배송)</t>
        </is>
      </c>
      <c r="K13096" s="94" t="n">
        <v>10</v>
      </c>
      <c r="L13096" s="88" t="n">
        <v>201208</v>
      </c>
      <c r="M13096" s="88">
        <f>VLOOKUP($Q13096,매칭테이블!$F:$I,2,0)*K13096</f>
        <v/>
      </c>
      <c r="N13096" s="88">
        <f>M13096-M13096*VLOOKUP($Q13096,매칭테이블!$F:$I,3,0)</f>
        <v/>
      </c>
      <c r="O13096" s="88">
        <f>VLOOKUP($Q13096,매칭테이블!$F:$I,4,0)*K13096</f>
        <v/>
      </c>
      <c r="P13096" s="152">
        <f>M13096/1.1</f>
        <v/>
      </c>
      <c r="Q13096" s="88">
        <f>F13096&amp;E13096&amp;G13096&amp;L13096</f>
        <v/>
      </c>
    </row>
    <row r="13097">
      <c r="B13097" s="128" t="n">
        <v>44200</v>
      </c>
      <c r="C13097" s="88">
        <f>TEXT(B13097,"aaa")</f>
        <v/>
      </c>
      <c r="D13097" s="94" t="n"/>
      <c r="E13097" s="88">
        <f>INDEX(매칭테이블!C:D,MATCH(RD!G13097,매칭테이블!D:D,0),1)</f>
        <v/>
      </c>
      <c r="F13097" s="94" t="inlineStr">
        <is>
          <t>카페24</t>
        </is>
      </c>
      <c r="G13097" s="94" t="inlineStr">
        <is>
          <t>어성초 77 수딩 토너화장솜(선택)=촉촉 스킨팩 화장솜</t>
        </is>
      </c>
      <c r="K13097" s="94" t="n">
        <v>14</v>
      </c>
      <c r="L13097" s="88" t="n">
        <v>201208</v>
      </c>
      <c r="M13097" s="88">
        <f>VLOOKUP($Q13097,매칭테이블!$F:$I,2,0)*K13097</f>
        <v/>
      </c>
      <c r="N13097" s="88">
        <f>M13097-M13097*VLOOKUP($Q13097,매칭테이블!$F:$I,3,0)</f>
        <v/>
      </c>
      <c r="O13097" s="88">
        <f>VLOOKUP($Q13097,매칭테이블!$F:$I,4,0)*K13097</f>
        <v/>
      </c>
      <c r="P13097" s="152">
        <f>M13097/1.1</f>
        <v/>
      </c>
      <c r="Q13097" s="88">
        <f>F13097&amp;E13097&amp;G13097&amp;L13097</f>
        <v/>
      </c>
    </row>
    <row r="13098">
      <c r="B13098" s="128" t="n">
        <v>44200</v>
      </c>
      <c r="C13098" s="88">
        <f>TEXT(B13098,"aaa")</f>
        <v/>
      </c>
      <c r="D13098" s="94" t="n"/>
      <c r="E13098" s="88">
        <f>INDEX(매칭테이블!C:D,MATCH(RD!G13098,매칭테이블!D:D,0),1)</f>
        <v/>
      </c>
      <c r="F13098" s="94" t="inlineStr">
        <is>
          <t>카페24</t>
        </is>
      </c>
      <c r="G13098" s="94" t="inlineStr">
        <is>
          <t>어성초 77 수딩 토너 (클리어패드 세트 구매시 1/11 순차발송 예정)토너(필수)=어성초 77 토너 1개-20% off</t>
        </is>
      </c>
      <c r="K13098" s="94" t="n">
        <v>28</v>
      </c>
      <c r="L13098" s="88" t="n">
        <v>201208</v>
      </c>
      <c r="M13098" s="88">
        <f>VLOOKUP($Q13098,매칭테이블!$F:$I,2,0)*K13098</f>
        <v/>
      </c>
      <c r="N13098" s="88">
        <f>M13098-M13098*VLOOKUP($Q13098,매칭테이블!$F:$I,3,0)</f>
        <v/>
      </c>
      <c r="O13098" s="88">
        <f>VLOOKUP($Q13098,매칭테이블!$F:$I,4,0)*K13098</f>
        <v/>
      </c>
      <c r="P13098" s="152">
        <f>M13098/1.1</f>
        <v/>
      </c>
      <c r="Q13098" s="88">
        <f>F13098&amp;E13098&amp;G13098&amp;L13098</f>
        <v/>
      </c>
    </row>
    <row r="13099">
      <c r="B13099" s="128" t="n">
        <v>44200</v>
      </c>
      <c r="C13099" s="88">
        <f>TEXT(B13099,"aaa")</f>
        <v/>
      </c>
      <c r="D13099" s="94" t="n"/>
      <c r="E13099" s="88">
        <f>INDEX(매칭테이블!C:D,MATCH(RD!G13099,매칭테이블!D:D,0),1)</f>
        <v/>
      </c>
      <c r="F13099" s="94" t="inlineStr">
        <is>
          <t>카페24</t>
        </is>
      </c>
      <c r="G13099" s="94" t="inlineStr">
        <is>
          <t>어성초 77 수딩 토너 (클리어패드 세트 구매시 1/11 순차발송 예정)토너(필수)=어성초 77 토너 2개-30% off (무료배송)</t>
        </is>
      </c>
      <c r="K13099" s="94" t="n">
        <v>20</v>
      </c>
      <c r="L13099" s="88" t="n">
        <v>201208</v>
      </c>
      <c r="M13099" s="88">
        <f>VLOOKUP($Q13099,매칭테이블!$F:$I,2,0)*K13099</f>
        <v/>
      </c>
      <c r="N13099" s="88">
        <f>M13099-M13099*VLOOKUP($Q13099,매칭테이블!$F:$I,3,0)</f>
        <v/>
      </c>
      <c r="O13099" s="88">
        <f>VLOOKUP($Q13099,매칭테이블!$F:$I,4,0)*K13099</f>
        <v/>
      </c>
      <c r="P13099" s="152">
        <f>M13099/1.1</f>
        <v/>
      </c>
      <c r="Q13099" s="88">
        <f>F13099&amp;E13099&amp;G13099&amp;L13099</f>
        <v/>
      </c>
    </row>
    <row r="13100">
      <c r="B13100" s="128" t="n">
        <v>44200</v>
      </c>
      <c r="C13100" s="88">
        <f>TEXT(B13100,"aaa")</f>
        <v/>
      </c>
      <c r="D13100" s="94" t="n"/>
      <c r="E13100" s="88">
        <f>INDEX(매칭테이블!C:D,MATCH(RD!G13100,매칭테이블!D:D,0),1)</f>
        <v/>
      </c>
      <c r="F13100" s="94" t="inlineStr">
        <is>
          <t>카페24</t>
        </is>
      </c>
      <c r="G13100" s="94" t="inlineStr">
        <is>
          <t>어성초 77 수딩 토너 (클리어패드 세트 구매시 1/11 순차발송 예정)토너(필수)=어성초77토너1개 + 어성초77패드1개 -30% off (무료배송)</t>
        </is>
      </c>
      <c r="K13100" s="94" t="n">
        <v>10</v>
      </c>
      <c r="L13100" s="88" t="n">
        <v>201208</v>
      </c>
      <c r="M13100" s="88">
        <f>VLOOKUP($Q13100,매칭테이블!$F:$I,2,0)*K13100</f>
        <v/>
      </c>
      <c r="N13100" s="88">
        <f>M13100-M13100*VLOOKUP($Q13100,매칭테이블!$F:$I,3,0)</f>
        <v/>
      </c>
      <c r="O13100" s="88">
        <f>VLOOKUP($Q13100,매칭테이블!$F:$I,4,0)*K13100</f>
        <v/>
      </c>
      <c r="P13100" s="152">
        <f>M13100/1.1</f>
        <v/>
      </c>
      <c r="Q13100" s="88">
        <f>F13100&amp;E13100&amp;G13100&amp;L13100</f>
        <v/>
      </c>
    </row>
    <row r="13101">
      <c r="B13101" s="128" t="n">
        <v>44200</v>
      </c>
      <c r="C13101" s="88">
        <f>TEXT(B13101,"aaa")</f>
        <v/>
      </c>
      <c r="D13101" s="94" t="n"/>
      <c r="E13101" s="88">
        <f>INDEX(매칭테이블!C:D,MATCH(RD!G13101,매칭테이블!D:D,0),1)</f>
        <v/>
      </c>
      <c r="F13101" s="94" t="inlineStr">
        <is>
          <t>카페24</t>
        </is>
      </c>
      <c r="G13101" s="94" t="inlineStr">
        <is>
          <t>어성초 77 수딩 토너 (클리어패드 세트 구매시 1/11 순차발송 예정)화장솜(선택)=촉촉 스킨팩 화장솜</t>
        </is>
      </c>
      <c r="K13101" s="94" t="n">
        <v>13</v>
      </c>
      <c r="L13101" s="88" t="n">
        <v>201208</v>
      </c>
      <c r="M13101" s="88">
        <f>VLOOKUP($Q13101,매칭테이블!$F:$I,2,0)*K13101</f>
        <v/>
      </c>
      <c r="N13101" s="88">
        <f>M13101-M13101*VLOOKUP($Q13101,매칭테이블!$F:$I,3,0)</f>
        <v/>
      </c>
      <c r="O13101" s="88">
        <f>VLOOKUP($Q13101,매칭테이블!$F:$I,4,0)*K13101</f>
        <v/>
      </c>
      <c r="P13101" s="152">
        <f>M13101/1.1</f>
        <v/>
      </c>
      <c r="Q13101" s="88">
        <f>F13101&amp;E13101&amp;G13101&amp;L13101</f>
        <v/>
      </c>
    </row>
    <row r="13102">
      <c r="B13102" s="128" t="n">
        <v>44200</v>
      </c>
      <c r="C13102" s="88">
        <f>TEXT(B13102,"aaa")</f>
        <v/>
      </c>
      <c r="D13102" s="94" t="n"/>
      <c r="E13102" s="88">
        <f>INDEX(매칭테이블!C:D,MATCH(RD!G13102,매칭테이블!D:D,0),1)</f>
        <v/>
      </c>
      <c r="F13102" s="94" t="inlineStr">
        <is>
          <t>카페24</t>
        </is>
      </c>
      <c r="G13102" s="94" t="inlineStr">
        <is>
          <t>어성초 77 진정 마스크옵션=어성초 77 진정 마스크팩 10장-50% off</t>
        </is>
      </c>
      <c r="K13102" s="94" t="n">
        <v>7</v>
      </c>
      <c r="L13102" s="88" t="n">
        <v>201208</v>
      </c>
      <c r="M13102" s="88">
        <f>VLOOKUP($Q13102,매칭테이블!$F:$I,2,0)*K13102</f>
        <v/>
      </c>
      <c r="N13102" s="88">
        <f>M13102-M13102*VLOOKUP($Q13102,매칭테이블!$F:$I,3,0)</f>
        <v/>
      </c>
      <c r="O13102" s="88">
        <f>VLOOKUP($Q13102,매칭테이블!$F:$I,4,0)*K13102</f>
        <v/>
      </c>
      <c r="P13102" s="152">
        <f>M13102/1.1</f>
        <v/>
      </c>
      <c r="Q13102" s="88">
        <f>F13102&amp;E13102&amp;G13102&amp;L13102</f>
        <v/>
      </c>
    </row>
    <row r="13103">
      <c r="B13103" s="128" t="n">
        <v>44200</v>
      </c>
      <c r="C13103" s="88">
        <f>TEXT(B13103,"aaa")</f>
        <v/>
      </c>
      <c r="D13103" s="94" t="n"/>
      <c r="E13103" s="88">
        <f>INDEX(매칭테이블!C:D,MATCH(RD!G13103,매칭테이블!D:D,0),1)</f>
        <v/>
      </c>
      <c r="F13103" s="94" t="inlineStr">
        <is>
          <t>카페24</t>
        </is>
      </c>
      <c r="G13103" s="94" t="inlineStr">
        <is>
          <t>어성초 77 클리어 패드옵션=어성초 77 클리어 패드 1개-20% off</t>
        </is>
      </c>
      <c r="K13103" s="94" t="n">
        <v>23</v>
      </c>
      <c r="L13103" s="88" t="n">
        <v>201208</v>
      </c>
      <c r="M13103" s="88">
        <f>VLOOKUP($Q13103,매칭테이블!$F:$I,2,0)*K13103</f>
        <v/>
      </c>
      <c r="N13103" s="88">
        <f>M13103-M13103*VLOOKUP($Q13103,매칭테이블!$F:$I,3,0)</f>
        <v/>
      </c>
      <c r="O13103" s="88">
        <f>VLOOKUP($Q13103,매칭테이블!$F:$I,4,0)*K13103</f>
        <v/>
      </c>
      <c r="P13103" s="152">
        <f>M13103/1.1</f>
        <v/>
      </c>
      <c r="Q13103" s="88">
        <f>F13103&amp;E13103&amp;G13103&amp;L13103</f>
        <v/>
      </c>
    </row>
    <row r="13104">
      <c r="B13104" s="128" t="n">
        <v>44200</v>
      </c>
      <c r="C13104" s="88">
        <f>TEXT(B13104,"aaa")</f>
        <v/>
      </c>
      <c r="D13104" s="94" t="n"/>
      <c r="E13104" s="88">
        <f>INDEX(매칭테이블!C:D,MATCH(RD!G13104,매칭테이블!D:D,0),1)</f>
        <v/>
      </c>
      <c r="F13104" s="94" t="inlineStr">
        <is>
          <t>카페24</t>
        </is>
      </c>
      <c r="G13104" s="94" t="inlineStr">
        <is>
          <t>어성초 77 클리어 패드옵션=어성초 77 클리어 패드 2개-30% off (무료배송)</t>
        </is>
      </c>
      <c r="K13104" s="94" t="n">
        <v>38</v>
      </c>
      <c r="L13104" s="88" t="n">
        <v>201208</v>
      </c>
      <c r="M13104" s="88">
        <f>VLOOKUP($Q13104,매칭테이블!$F:$I,2,0)*K13104</f>
        <v/>
      </c>
      <c r="N13104" s="88">
        <f>M13104-M13104*VLOOKUP($Q13104,매칭테이블!$F:$I,3,0)</f>
        <v/>
      </c>
      <c r="O13104" s="88">
        <f>VLOOKUP($Q13104,매칭테이블!$F:$I,4,0)*K13104</f>
        <v/>
      </c>
      <c r="P13104" s="152">
        <f>M13104/1.1</f>
        <v/>
      </c>
      <c r="Q13104" s="88">
        <f>F13104&amp;E13104&amp;G13104&amp;L13104</f>
        <v/>
      </c>
    </row>
    <row r="13105">
      <c r="B13105" s="128" t="n">
        <v>44200</v>
      </c>
      <c r="C13105" s="88">
        <f>TEXT(B13105,"aaa")</f>
        <v/>
      </c>
      <c r="D13105" s="94" t="n"/>
      <c r="E13105" s="88">
        <f>INDEX(매칭테이블!C:D,MATCH(RD!G13105,매칭테이블!D:D,0),1)</f>
        <v/>
      </c>
      <c r="F13105" s="94" t="inlineStr">
        <is>
          <t>카페24</t>
        </is>
      </c>
      <c r="G13105" s="94" t="inlineStr">
        <is>
          <t>어성초 77 클리어 패드옵션=어성초77토너1개+어성초77패드1개-30% off (무료배송)</t>
        </is>
      </c>
      <c r="K13105" s="94" t="n">
        <v>17</v>
      </c>
      <c r="L13105" s="88" t="n">
        <v>201208</v>
      </c>
      <c r="M13105" s="88">
        <f>VLOOKUP($Q13105,매칭테이블!$F:$I,2,0)*K13105</f>
        <v/>
      </c>
      <c r="N13105" s="88">
        <f>M13105-M13105*VLOOKUP($Q13105,매칭테이블!$F:$I,3,0)</f>
        <v/>
      </c>
      <c r="O13105" s="88">
        <f>VLOOKUP($Q13105,매칭테이블!$F:$I,4,0)*K13105</f>
        <v/>
      </c>
      <c r="P13105" s="152">
        <f>M13105/1.1</f>
        <v/>
      </c>
      <c r="Q13105" s="88">
        <f>F13105&amp;E13105&amp;G13105&amp;L13105</f>
        <v/>
      </c>
    </row>
    <row r="13106">
      <c r="B13106" s="128" t="n">
        <v>44200</v>
      </c>
      <c r="C13106" s="88">
        <f>TEXT(B13106,"aaa")</f>
        <v/>
      </c>
      <c r="D13106" s="94" t="n"/>
      <c r="E13106" s="88">
        <f>INDEX(매칭테이블!C:D,MATCH(RD!G13106,매칭테이블!D:D,0),1)</f>
        <v/>
      </c>
      <c r="F13106" s="94" t="inlineStr">
        <is>
          <t>카페24</t>
        </is>
      </c>
      <c r="G13106" s="94" t="inlineStr">
        <is>
          <t>어성초 77 클리어 패드 (1/11 순차발송 예정)옵션=어성초 77 클리어 패드 1개-20% off</t>
        </is>
      </c>
      <c r="K13106" s="94" t="n">
        <v>34</v>
      </c>
      <c r="L13106" s="88" t="n">
        <v>201208</v>
      </c>
      <c r="M13106" s="88">
        <f>VLOOKUP($Q13106,매칭테이블!$F:$I,2,0)*K13106</f>
        <v/>
      </c>
      <c r="N13106" s="88">
        <f>M13106-M13106*VLOOKUP($Q13106,매칭테이블!$F:$I,3,0)</f>
        <v/>
      </c>
      <c r="O13106" s="88">
        <f>VLOOKUP($Q13106,매칭테이블!$F:$I,4,0)*K13106</f>
        <v/>
      </c>
      <c r="P13106" s="152">
        <f>M13106/1.1</f>
        <v/>
      </c>
      <c r="Q13106" s="88">
        <f>F13106&amp;E13106&amp;G13106&amp;L13106</f>
        <v/>
      </c>
    </row>
    <row r="13107">
      <c r="B13107" s="128" t="n">
        <v>44200</v>
      </c>
      <c r="C13107" s="88">
        <f>TEXT(B13107,"aaa")</f>
        <v/>
      </c>
      <c r="D13107" s="94" t="n"/>
      <c r="E13107" s="88">
        <f>INDEX(매칭테이블!C:D,MATCH(RD!G13107,매칭테이블!D:D,0),1)</f>
        <v/>
      </c>
      <c r="F13107" s="94" t="inlineStr">
        <is>
          <t>카페24</t>
        </is>
      </c>
      <c r="G13107" s="94" t="inlineStr">
        <is>
          <t>어성초 77 클리어 패드 (1/11 순차발송 예정)옵션=어성초 77 클리어 패드 2개-30% off (무료배송)</t>
        </is>
      </c>
      <c r="K13107" s="94" t="n">
        <v>50</v>
      </c>
      <c r="L13107" s="88" t="n">
        <v>201208</v>
      </c>
      <c r="M13107" s="88">
        <f>VLOOKUP($Q13107,매칭테이블!$F:$I,2,0)*K13107</f>
        <v/>
      </c>
      <c r="N13107" s="88">
        <f>M13107-M13107*VLOOKUP($Q13107,매칭테이블!$F:$I,3,0)</f>
        <v/>
      </c>
      <c r="O13107" s="88">
        <f>VLOOKUP($Q13107,매칭테이블!$F:$I,4,0)*K13107</f>
        <v/>
      </c>
      <c r="P13107" s="152">
        <f>M13107/1.1</f>
        <v/>
      </c>
      <c r="Q13107" s="88">
        <f>F13107&amp;E13107&amp;G13107&amp;L13107</f>
        <v/>
      </c>
    </row>
    <row r="13108">
      <c r="B13108" s="128" t="n">
        <v>44200</v>
      </c>
      <c r="C13108" s="88">
        <f>TEXT(B13108,"aaa")</f>
        <v/>
      </c>
      <c r="D13108" s="94" t="n"/>
      <c r="E13108" s="88">
        <f>INDEX(매칭테이블!C:D,MATCH(RD!G13108,매칭테이블!D:D,0),1)</f>
        <v/>
      </c>
      <c r="F13108" s="94" t="inlineStr">
        <is>
          <t>카페24</t>
        </is>
      </c>
      <c r="G13108" s="94" t="inlineStr">
        <is>
          <t>어성초 77 클리어 패드 (1/11 순차발송 예정)옵션=어성초77토너1개+어성초77패드1개-30% off (무료배송)</t>
        </is>
      </c>
      <c r="K13108" s="94" t="n">
        <v>22</v>
      </c>
      <c r="L13108" s="88" t="n">
        <v>201208</v>
      </c>
      <c r="M13108" s="88">
        <f>VLOOKUP($Q13108,매칭테이블!$F:$I,2,0)*K13108</f>
        <v/>
      </c>
      <c r="N13108" s="88">
        <f>M13108-M13108*VLOOKUP($Q13108,매칭테이블!$F:$I,3,0)</f>
        <v/>
      </c>
      <c r="O13108" s="88">
        <f>VLOOKUP($Q13108,매칭테이블!$F:$I,4,0)*K13108</f>
        <v/>
      </c>
      <c r="P13108" s="152">
        <f>M13108/1.1</f>
        <v/>
      </c>
      <c r="Q13108" s="88">
        <f>F13108&amp;E13108&amp;G13108&amp;L13108</f>
        <v/>
      </c>
    </row>
    <row r="13109">
      <c r="B13109" s="128" t="n">
        <v>44200</v>
      </c>
      <c r="C13109" s="88">
        <f>TEXT(B13109,"aaa")</f>
        <v/>
      </c>
      <c r="D13109" s="94" t="n"/>
      <c r="E13109" s="88">
        <f>INDEX(매칭테이블!C:D,MATCH(RD!G13109,매칭테이블!D:D,0),1)</f>
        <v/>
      </c>
      <c r="F13109" s="94" t="inlineStr">
        <is>
          <t>카페24</t>
        </is>
      </c>
      <c r="G13109" s="94" t="inlineStr">
        <is>
          <t>어성초 77 토너</t>
        </is>
      </c>
      <c r="K13109" s="94" t="n">
        <v>1</v>
      </c>
      <c r="L13109" s="88" t="n">
        <v>201208</v>
      </c>
      <c r="M13109" s="88">
        <f>VLOOKUP($Q13109,매칭테이블!$F:$I,2,0)*K13109</f>
        <v/>
      </c>
      <c r="N13109" s="88">
        <f>M13109-M13109*VLOOKUP($Q13109,매칭테이블!$F:$I,3,0)</f>
        <v/>
      </c>
      <c r="O13109" s="88">
        <f>VLOOKUP($Q13109,매칭테이블!$F:$I,4,0)*K13109</f>
        <v/>
      </c>
      <c r="P13109" s="152">
        <f>M13109/1.1</f>
        <v/>
      </c>
      <c r="Q13109" s="88">
        <f>F13109&amp;E13109&amp;G13109&amp;L13109</f>
        <v/>
      </c>
    </row>
    <row r="13110">
      <c r="B13110" s="128" t="n">
        <v>44200</v>
      </c>
      <c r="C13110" s="88">
        <f>TEXT(B13110,"aaa")</f>
        <v/>
      </c>
      <c r="D13110" s="94" t="n"/>
      <c r="E13110" s="88">
        <f>INDEX(매칭테이블!C:D,MATCH(RD!G13110,매칭테이블!D:D,0),1)</f>
        <v/>
      </c>
      <c r="F13110" s="94" t="inlineStr">
        <is>
          <t>카페24</t>
        </is>
      </c>
      <c r="G13110" s="94" t="inlineStr">
        <is>
          <t>어성초 77 토너토너(필수)=어성초 77 토너 1개-20% off</t>
        </is>
      </c>
      <c r="K13110" s="94" t="n">
        <v>1</v>
      </c>
      <c r="L13110" s="88" t="n">
        <v>201208</v>
      </c>
      <c r="M13110" s="88">
        <f>VLOOKUP($Q13110,매칭테이블!$F:$I,2,0)*K13110</f>
        <v/>
      </c>
      <c r="N13110" s="88">
        <f>M13110-M13110*VLOOKUP($Q13110,매칭테이블!$F:$I,3,0)</f>
        <v/>
      </c>
      <c r="O13110" s="88">
        <f>VLOOKUP($Q13110,매칭테이블!$F:$I,4,0)*K13110</f>
        <v/>
      </c>
      <c r="P13110" s="152">
        <f>M13110/1.1</f>
        <v/>
      </c>
      <c r="Q13110" s="88">
        <f>F13110&amp;E13110&amp;G13110&amp;L13110</f>
        <v/>
      </c>
    </row>
    <row r="13111">
      <c r="B13111" s="128" t="n">
        <v>44200</v>
      </c>
      <c r="C13111" s="88">
        <f>TEXT(B13111,"aaa")</f>
        <v/>
      </c>
      <c r="D13111" s="94" t="n"/>
      <c r="E13111" s="88">
        <f>INDEX(매칭테이블!C:D,MATCH(RD!G13111,매칭테이블!D:D,0),1)</f>
        <v/>
      </c>
      <c r="F13111" s="94" t="inlineStr">
        <is>
          <t>카페24</t>
        </is>
      </c>
      <c r="G13111" s="94" t="inlineStr">
        <is>
          <t>어성초 77 토너토너(필수)=어성초77토너1개 + 어성초77패드1개 -30% off (무료배송)</t>
        </is>
      </c>
      <c r="K13111" s="94" t="n">
        <v>1</v>
      </c>
      <c r="L13111" s="88" t="n">
        <v>201208</v>
      </c>
      <c r="M13111" s="88">
        <f>VLOOKUP($Q13111,매칭테이블!$F:$I,2,0)*K13111</f>
        <v/>
      </c>
      <c r="N13111" s="88">
        <f>M13111-M13111*VLOOKUP($Q13111,매칭테이블!$F:$I,3,0)</f>
        <v/>
      </c>
      <c r="O13111" s="88">
        <f>VLOOKUP($Q13111,매칭테이블!$F:$I,4,0)*K13111</f>
        <v/>
      </c>
      <c r="P13111" s="152">
        <f>M13111/1.1</f>
        <v/>
      </c>
      <c r="Q13111" s="88">
        <f>F13111&amp;E13111&amp;G13111&amp;L13111</f>
        <v/>
      </c>
    </row>
    <row r="13112">
      <c r="B13112" s="128" t="n">
        <v>44200</v>
      </c>
      <c r="C13112" s="88">
        <f>TEXT(B13112,"aaa")</f>
        <v/>
      </c>
      <c r="D13112" s="94" t="n"/>
      <c r="E13112" s="88">
        <f>INDEX(매칭테이블!C:D,MATCH(RD!G13112,매칭테이블!D:D,0),1)</f>
        <v/>
      </c>
      <c r="F13112" s="94" t="inlineStr">
        <is>
          <t>카페24</t>
        </is>
      </c>
      <c r="G13112" s="94" t="inlineStr">
        <is>
          <t>어성초 77 포어 클리어 패드옵션=어성초 77 클리어 패드 1개-20% off</t>
        </is>
      </c>
      <c r="K13112" s="94" t="n">
        <v>10</v>
      </c>
      <c r="L13112" s="88" t="n">
        <v>201208</v>
      </c>
      <c r="M13112" s="88">
        <f>VLOOKUP($Q13112,매칭테이블!$F:$I,2,0)*K13112</f>
        <v/>
      </c>
      <c r="N13112" s="88">
        <f>M13112-M13112*VLOOKUP($Q13112,매칭테이블!$F:$I,3,0)</f>
        <v/>
      </c>
      <c r="O13112" s="88">
        <f>VLOOKUP($Q13112,매칭테이블!$F:$I,4,0)*K13112</f>
        <v/>
      </c>
      <c r="P13112" s="152">
        <f>M13112/1.1</f>
        <v/>
      </c>
      <c r="Q13112" s="88">
        <f>F13112&amp;E13112&amp;G13112&amp;L13112</f>
        <v/>
      </c>
    </row>
    <row r="13113">
      <c r="B13113" s="128" t="n">
        <v>44200</v>
      </c>
      <c r="C13113" s="88">
        <f>TEXT(B13113,"aaa")</f>
        <v/>
      </c>
      <c r="D13113" s="94" t="n"/>
      <c r="E13113" s="88">
        <f>INDEX(매칭테이블!C:D,MATCH(RD!G13113,매칭테이블!D:D,0),1)</f>
        <v/>
      </c>
      <c r="F13113" s="94" t="inlineStr">
        <is>
          <t>카페24</t>
        </is>
      </c>
      <c r="G13113" s="94" t="inlineStr">
        <is>
          <t>어성초 77 포어 클리어 패드옵션=어성초 77 클리어 패드 2개-30% off (무료배송)</t>
        </is>
      </c>
      <c r="K13113" s="94" t="n">
        <v>8</v>
      </c>
      <c r="L13113" s="88" t="n">
        <v>201208</v>
      </c>
      <c r="M13113" s="88">
        <f>VLOOKUP($Q13113,매칭테이블!$F:$I,2,0)*K13113</f>
        <v/>
      </c>
      <c r="N13113" s="88">
        <f>M13113-M13113*VLOOKUP($Q13113,매칭테이블!$F:$I,3,0)</f>
        <v/>
      </c>
      <c r="O13113" s="88">
        <f>VLOOKUP($Q13113,매칭테이블!$F:$I,4,0)*K13113</f>
        <v/>
      </c>
      <c r="P13113" s="152">
        <f>M13113/1.1</f>
        <v/>
      </c>
      <c r="Q13113" s="88">
        <f>F13113&amp;E13113&amp;G13113&amp;L13113</f>
        <v/>
      </c>
    </row>
    <row r="13114">
      <c r="B13114" s="128" t="n">
        <v>44200</v>
      </c>
      <c r="C13114" s="88">
        <f>TEXT(B13114,"aaa")</f>
        <v/>
      </c>
      <c r="D13114" s="94" t="n"/>
      <c r="E13114" s="88">
        <f>INDEX(매칭테이블!C:D,MATCH(RD!G13114,매칭테이블!D:D,0),1)</f>
        <v/>
      </c>
      <c r="F13114" s="94" t="inlineStr">
        <is>
          <t>카페24</t>
        </is>
      </c>
      <c r="G13114" s="94" t="inlineStr">
        <is>
          <t>어성초 77 포어 클리어 패드옵션=어성초77토너1개+어성초77패드1개-30% off (무료배송)</t>
        </is>
      </c>
      <c r="K13114" s="94" t="n">
        <v>1</v>
      </c>
      <c r="L13114" s="88" t="n">
        <v>201208</v>
      </c>
      <c r="M13114" s="88">
        <f>VLOOKUP($Q13114,매칭테이블!$F:$I,2,0)*K13114</f>
        <v/>
      </c>
      <c r="N13114" s="88">
        <f>M13114-M13114*VLOOKUP($Q13114,매칭테이블!$F:$I,3,0)</f>
        <v/>
      </c>
      <c r="O13114" s="88">
        <f>VLOOKUP($Q13114,매칭테이블!$F:$I,4,0)*K13114</f>
        <v/>
      </c>
      <c r="P13114" s="152">
        <f>M13114/1.1</f>
        <v/>
      </c>
      <c r="Q13114" s="88">
        <f>F13114&amp;E13114&amp;G13114&amp;L13114</f>
        <v/>
      </c>
    </row>
    <row r="13115">
      <c r="B13115" s="128" t="n">
        <v>44200</v>
      </c>
      <c r="C13115" s="88">
        <f>TEXT(B13115,"aaa")</f>
        <v/>
      </c>
      <c r="D13115" s="94" t="n"/>
      <c r="E13115" s="88">
        <f>INDEX(매칭테이블!C:D,MATCH(RD!G13115,매칭테이블!D:D,0),1)</f>
        <v/>
      </c>
      <c r="F13115" s="94" t="inlineStr">
        <is>
          <t>카페24</t>
        </is>
      </c>
      <c r="G13115" s="94" t="inlineStr">
        <is>
          <t>어성초 77 포어 클리어 패드 (1/11 순차발송 예정)옵션=어성초 77 클리어 패드 1개-20% off</t>
        </is>
      </c>
      <c r="K13115" s="94" t="n">
        <v>5</v>
      </c>
      <c r="L13115" s="88" t="n">
        <v>201208</v>
      </c>
      <c r="M13115" s="88">
        <f>VLOOKUP($Q13115,매칭테이블!$F:$I,2,0)*K13115</f>
        <v/>
      </c>
      <c r="N13115" s="88">
        <f>M13115-M13115*VLOOKUP($Q13115,매칭테이블!$F:$I,3,0)</f>
        <v/>
      </c>
      <c r="O13115" s="88">
        <f>VLOOKUP($Q13115,매칭테이블!$F:$I,4,0)*K13115</f>
        <v/>
      </c>
      <c r="P13115" s="152">
        <f>M13115/1.1</f>
        <v/>
      </c>
      <c r="Q13115" s="88">
        <f>F13115&amp;E13115&amp;G13115&amp;L13115</f>
        <v/>
      </c>
    </row>
    <row r="13116">
      <c r="B13116" s="128" t="n">
        <v>44200</v>
      </c>
      <c r="C13116" s="88">
        <f>TEXT(B13116,"aaa")</f>
        <v/>
      </c>
      <c r="D13116" s="94" t="n"/>
      <c r="E13116" s="88">
        <f>INDEX(매칭테이블!C:D,MATCH(RD!G13116,매칭테이블!D:D,0),1)</f>
        <v/>
      </c>
      <c r="F13116" s="94" t="inlineStr">
        <is>
          <t>카페24</t>
        </is>
      </c>
      <c r="G13116" s="94" t="inlineStr">
        <is>
          <t>어성초 77 포어 클리어 패드 (1/11 순차발송 예정)옵션=어성초 77 클리어 패드 2개-30% off (무료배송)</t>
        </is>
      </c>
      <c r="K13116" s="94" t="n">
        <v>6</v>
      </c>
      <c r="L13116" s="88" t="n">
        <v>201208</v>
      </c>
      <c r="M13116" s="88">
        <f>VLOOKUP($Q13116,매칭테이블!$F:$I,2,0)*K13116</f>
        <v/>
      </c>
      <c r="N13116" s="88">
        <f>M13116-M13116*VLOOKUP($Q13116,매칭테이블!$F:$I,3,0)</f>
        <v/>
      </c>
      <c r="O13116" s="88">
        <f>VLOOKUP($Q13116,매칭테이블!$F:$I,4,0)*K13116</f>
        <v/>
      </c>
      <c r="P13116" s="152">
        <f>M13116/1.1</f>
        <v/>
      </c>
      <c r="Q13116" s="88">
        <f>F13116&amp;E13116&amp;G13116&amp;L13116</f>
        <v/>
      </c>
    </row>
    <row r="13117">
      <c r="B13117" s="128" t="n">
        <v>44200</v>
      </c>
      <c r="C13117" s="88">
        <f>TEXT(B13117,"aaa")</f>
        <v/>
      </c>
      <c r="D13117" s="94" t="n"/>
      <c r="E13117" s="88">
        <f>INDEX(매칭테이블!C:D,MATCH(RD!G13117,매칭테이블!D:D,0),1)</f>
        <v/>
      </c>
      <c r="F13117" s="94" t="inlineStr">
        <is>
          <t>카페24</t>
        </is>
      </c>
      <c r="G13117" s="94" t="inlineStr">
        <is>
          <t>어성초 77 포어 클리어 패드 (1/11 순차발송 예정)옵션=어성초77토너1개+어성초77패드1개-30% off (무료배송)</t>
        </is>
      </c>
      <c r="K13117" s="94" t="n">
        <v>2</v>
      </c>
      <c r="L13117" s="88" t="n">
        <v>201208</v>
      </c>
      <c r="M13117" s="88">
        <f>VLOOKUP($Q13117,매칭테이블!$F:$I,2,0)*K13117</f>
        <v/>
      </c>
      <c r="N13117" s="88">
        <f>M13117-M13117*VLOOKUP($Q13117,매칭테이블!$F:$I,3,0)</f>
        <v/>
      </c>
      <c r="O13117" s="88">
        <f>VLOOKUP($Q13117,매칭테이블!$F:$I,4,0)*K13117</f>
        <v/>
      </c>
      <c r="P13117" s="152">
        <f>M13117/1.1</f>
        <v/>
      </c>
      <c r="Q13117" s="88">
        <f>F13117&amp;E13117&amp;G13117&amp;L13117</f>
        <v/>
      </c>
    </row>
    <row r="13118">
      <c r="B13118" s="128" t="n">
        <v>44200</v>
      </c>
      <c r="C13118" s="88">
        <f>TEXT(B13118,"aaa")</f>
        <v/>
      </c>
      <c r="D13118" s="94" t="n"/>
      <c r="E13118" s="88">
        <f>INDEX(매칭테이블!C:D,MATCH(RD!G13118,매칭테이블!D:D,0),1)</f>
        <v/>
      </c>
      <c r="F13118" s="94" t="inlineStr">
        <is>
          <t>카페24</t>
        </is>
      </c>
      <c r="G13118" s="94" t="inlineStr">
        <is>
          <t>어성초 77% 패드옵션=어성초 77 클리어 패드 1개-20% off</t>
        </is>
      </c>
      <c r="K13118" s="94" t="n">
        <v>55</v>
      </c>
      <c r="L13118" s="88" t="n">
        <v>201208</v>
      </c>
      <c r="M13118" s="88">
        <f>VLOOKUP($Q13118,매칭테이블!$F:$I,2,0)*K13118</f>
        <v/>
      </c>
      <c r="N13118" s="88">
        <f>M13118-M13118*VLOOKUP($Q13118,매칭테이블!$F:$I,3,0)</f>
        <v/>
      </c>
      <c r="O13118" s="88">
        <f>VLOOKUP($Q13118,매칭테이블!$F:$I,4,0)*K13118</f>
        <v/>
      </c>
      <c r="P13118" s="152">
        <f>M13118/1.1</f>
        <v/>
      </c>
      <c r="Q13118" s="88">
        <f>F13118&amp;E13118&amp;G13118&amp;L13118</f>
        <v/>
      </c>
    </row>
    <row r="13119">
      <c r="B13119" s="128" t="n">
        <v>44200</v>
      </c>
      <c r="C13119" s="88">
        <f>TEXT(B13119,"aaa")</f>
        <v/>
      </c>
      <c r="D13119" s="94" t="n"/>
      <c r="E13119" s="88">
        <f>INDEX(매칭테이블!C:D,MATCH(RD!G13119,매칭테이블!D:D,0),1)</f>
        <v/>
      </c>
      <c r="F13119" s="94" t="inlineStr">
        <is>
          <t>카페24</t>
        </is>
      </c>
      <c r="G13119" s="94" t="inlineStr">
        <is>
          <t>어성초 77% 패드옵션=어성초 77 클리어 패드 2개-30% off (무료배송)</t>
        </is>
      </c>
      <c r="K13119" s="94" t="n">
        <v>54</v>
      </c>
      <c r="L13119" s="88" t="n">
        <v>201208</v>
      </c>
      <c r="M13119" s="88">
        <f>VLOOKUP($Q13119,매칭테이블!$F:$I,2,0)*K13119</f>
        <v/>
      </c>
      <c r="N13119" s="88">
        <f>M13119-M13119*VLOOKUP($Q13119,매칭테이블!$F:$I,3,0)</f>
        <v/>
      </c>
      <c r="O13119" s="88">
        <f>VLOOKUP($Q13119,매칭테이블!$F:$I,4,0)*K13119</f>
        <v/>
      </c>
      <c r="P13119" s="152">
        <f>M13119/1.1</f>
        <v/>
      </c>
      <c r="Q13119" s="88">
        <f>F13119&amp;E13119&amp;G13119&amp;L13119</f>
        <v/>
      </c>
    </row>
    <row r="13120">
      <c r="B13120" s="128" t="n">
        <v>44200</v>
      </c>
      <c r="C13120" s="88">
        <f>TEXT(B13120,"aaa")</f>
        <v/>
      </c>
      <c r="D13120" s="94" t="n"/>
      <c r="E13120" s="88">
        <f>INDEX(매칭테이블!C:D,MATCH(RD!G13120,매칭테이블!D:D,0),1)</f>
        <v/>
      </c>
      <c r="F13120" s="94" t="inlineStr">
        <is>
          <t>카페24</t>
        </is>
      </c>
      <c r="G13120" s="94" t="inlineStr">
        <is>
          <t>어성초 77% 패드옵션=어성초77토너1개+어성초77패드1개-30% off (무료배송)</t>
        </is>
      </c>
      <c r="K13120" s="94" t="n">
        <v>26</v>
      </c>
      <c r="L13120" s="88" t="n">
        <v>201208</v>
      </c>
      <c r="M13120" s="88">
        <f>VLOOKUP($Q13120,매칭테이블!$F:$I,2,0)*K13120</f>
        <v/>
      </c>
      <c r="N13120" s="88">
        <f>M13120-M13120*VLOOKUP($Q13120,매칭테이블!$F:$I,3,0)</f>
        <v/>
      </c>
      <c r="O13120" s="88">
        <f>VLOOKUP($Q13120,매칭테이블!$F:$I,4,0)*K13120</f>
        <v/>
      </c>
      <c r="P13120" s="152">
        <f>M13120/1.1</f>
        <v/>
      </c>
      <c r="Q13120" s="88">
        <f>F13120&amp;E13120&amp;G13120&amp;L13120</f>
        <v/>
      </c>
    </row>
    <row r="13121">
      <c r="B13121" s="128" t="n">
        <v>44200</v>
      </c>
      <c r="C13121" s="88">
        <f>TEXT(B13121,"aaa")</f>
        <v/>
      </c>
      <c r="D13121" s="94" t="n"/>
      <c r="E13121" s="88">
        <f>INDEX(매칭테이블!C:D,MATCH(RD!G13121,매칭테이블!D:D,0),1)</f>
        <v/>
      </c>
      <c r="F13121" s="94" t="inlineStr">
        <is>
          <t>카페24</t>
        </is>
      </c>
      <c r="G13121" s="94" t="inlineStr">
        <is>
          <t>어성초 77% 패드 (1/11 순차발송 예정)옵션=어성초 77 클리어 패드 1개-20% off</t>
        </is>
      </c>
      <c r="K13121" s="94" t="n">
        <v>37</v>
      </c>
      <c r="L13121" s="88" t="n">
        <v>201208</v>
      </c>
      <c r="M13121" s="88">
        <f>VLOOKUP($Q13121,매칭테이블!$F:$I,2,0)*K13121</f>
        <v/>
      </c>
      <c r="N13121" s="88">
        <f>M13121-M13121*VLOOKUP($Q13121,매칭테이블!$F:$I,3,0)</f>
        <v/>
      </c>
      <c r="O13121" s="88">
        <f>VLOOKUP($Q13121,매칭테이블!$F:$I,4,0)*K13121</f>
        <v/>
      </c>
      <c r="P13121" s="152">
        <f>M13121/1.1</f>
        <v/>
      </c>
      <c r="Q13121" s="88">
        <f>F13121&amp;E13121&amp;G13121&amp;L13121</f>
        <v/>
      </c>
    </row>
    <row r="13122">
      <c r="B13122" s="128" t="n">
        <v>44200</v>
      </c>
      <c r="C13122" s="88">
        <f>TEXT(B13122,"aaa")</f>
        <v/>
      </c>
      <c r="D13122" s="94" t="n"/>
      <c r="E13122" s="88">
        <f>INDEX(매칭테이블!C:D,MATCH(RD!G13122,매칭테이블!D:D,0),1)</f>
        <v/>
      </c>
      <c r="F13122" s="94" t="inlineStr">
        <is>
          <t>카페24</t>
        </is>
      </c>
      <c r="G13122" s="94" t="inlineStr">
        <is>
          <t>어성초 77% 패드 (1/11 순차발송 예정)옵션=어성초 77 클리어 패드 2개-30% off (무료배송)</t>
        </is>
      </c>
      <c r="K13122" s="94" t="n">
        <v>33</v>
      </c>
      <c r="L13122" s="88" t="n">
        <v>201208</v>
      </c>
      <c r="M13122" s="88">
        <f>VLOOKUP($Q13122,매칭테이블!$F:$I,2,0)*K13122</f>
        <v/>
      </c>
      <c r="N13122" s="88">
        <f>M13122-M13122*VLOOKUP($Q13122,매칭테이블!$F:$I,3,0)</f>
        <v/>
      </c>
      <c r="O13122" s="88">
        <f>VLOOKUP($Q13122,매칭테이블!$F:$I,4,0)*K13122</f>
        <v/>
      </c>
      <c r="P13122" s="152">
        <f>M13122/1.1</f>
        <v/>
      </c>
      <c r="Q13122" s="88">
        <f>F13122&amp;E13122&amp;G13122&amp;L13122</f>
        <v/>
      </c>
    </row>
    <row r="13123">
      <c r="B13123" s="128" t="n">
        <v>44200</v>
      </c>
      <c r="C13123" s="88">
        <f>TEXT(B13123,"aaa")</f>
        <v/>
      </c>
      <c r="D13123" s="94" t="n"/>
      <c r="E13123" s="88">
        <f>INDEX(매칭테이블!C:D,MATCH(RD!G13123,매칭테이블!D:D,0),1)</f>
        <v/>
      </c>
      <c r="F13123" s="94" t="inlineStr">
        <is>
          <t>카페24</t>
        </is>
      </c>
      <c r="G13123" s="94" t="inlineStr">
        <is>
          <t>어성초 77% 패드 (1/11 순차발송 예정)옵션=어성초77토너1개+어성초77패드1개-30% off (무료배송)</t>
        </is>
      </c>
      <c r="K13123" s="94" t="n">
        <v>24</v>
      </c>
      <c r="L13123" s="88" t="n">
        <v>201208</v>
      </c>
      <c r="M13123" s="88">
        <f>VLOOKUP($Q13123,매칭테이블!$F:$I,2,0)*K13123</f>
        <v/>
      </c>
      <c r="N13123" s="88">
        <f>M13123-M13123*VLOOKUP($Q13123,매칭테이블!$F:$I,3,0)</f>
        <v/>
      </c>
      <c r="O13123" s="88">
        <f>VLOOKUP($Q13123,매칭테이블!$F:$I,4,0)*K13123</f>
        <v/>
      </c>
      <c r="P13123" s="152">
        <f>M13123/1.1</f>
        <v/>
      </c>
      <c r="Q13123" s="88">
        <f>F13123&amp;E13123&amp;G13123&amp;L13123</f>
        <v/>
      </c>
    </row>
    <row r="13124">
      <c r="B13124" s="128" t="n">
        <v>44200</v>
      </c>
      <c r="C13124" s="88">
        <f>TEXT(B13124,"aaa")</f>
        <v/>
      </c>
      <c r="D13124" s="94" t="n"/>
      <c r="E13124" s="88">
        <f>INDEX(매칭테이블!C:D,MATCH(RD!G13124,매칭테이블!D:D,0),1)</f>
        <v/>
      </c>
      <c r="F13124" s="94" t="inlineStr">
        <is>
          <t>카페24</t>
        </is>
      </c>
      <c r="G13124" s="94" t="inlineStr">
        <is>
          <t>어성초 78 수딩 크림</t>
        </is>
      </c>
      <c r="K13124" s="94" t="n">
        <v>9</v>
      </c>
      <c r="L13124" s="88" t="n">
        <v>201208</v>
      </c>
      <c r="M13124" s="88">
        <f>VLOOKUP($Q13124,매칭테이블!$F:$I,2,0)*K13124</f>
        <v/>
      </c>
      <c r="N13124" s="88">
        <f>M13124-M13124*VLOOKUP($Q13124,매칭테이블!$F:$I,3,0)</f>
        <v/>
      </c>
      <c r="O13124" s="88">
        <f>VLOOKUP($Q13124,매칭테이블!$F:$I,4,0)*K13124</f>
        <v/>
      </c>
      <c r="P13124" s="152">
        <f>M13124/1.1</f>
        <v/>
      </c>
      <c r="Q13124" s="88">
        <f>F13124&amp;E13124&amp;G13124&amp;L13124</f>
        <v/>
      </c>
    </row>
    <row r="13125">
      <c r="B13125" s="128" t="n">
        <v>44200</v>
      </c>
      <c r="C13125" s="88">
        <f>TEXT(B13125,"aaa")</f>
        <v/>
      </c>
      <c r="D13125" s="94" t="n"/>
      <c r="E13125" s="88">
        <f>INDEX(매칭테이블!C:D,MATCH(RD!G13125,매칭테이블!D:D,0),1)</f>
        <v/>
      </c>
      <c r="F13125" s="94" t="inlineStr">
        <is>
          <t>카페24</t>
        </is>
      </c>
      <c r="G13125" s="94" t="inlineStr">
        <is>
          <t>어성초 78 수딩 크림</t>
        </is>
      </c>
      <c r="K13125" s="94" t="n">
        <v>2</v>
      </c>
      <c r="L13125" s="88" t="n">
        <v>201208</v>
      </c>
      <c r="M13125" s="88">
        <f>VLOOKUP($Q13125,매칭테이블!$F:$I,2,0)*K13125</f>
        <v/>
      </c>
      <c r="N13125" s="88">
        <f>M13125-M13125*VLOOKUP($Q13125,매칭테이블!$F:$I,3,0)</f>
        <v/>
      </c>
      <c r="O13125" s="88">
        <f>VLOOKUP($Q13125,매칭테이블!$F:$I,4,0)*K13125</f>
        <v/>
      </c>
      <c r="P13125" s="152">
        <f>M13125/1.1</f>
        <v/>
      </c>
      <c r="Q13125" s="88">
        <f>F13125&amp;E13125&amp;G13125&amp;L13125</f>
        <v/>
      </c>
    </row>
    <row r="13126">
      <c r="B13126" s="128" t="n">
        <v>44200</v>
      </c>
      <c r="C13126" s="88">
        <f>TEXT(B13126,"aaa")</f>
        <v/>
      </c>
      <c r="D13126" s="94" t="n"/>
      <c r="E13126" s="88">
        <f>INDEX(매칭테이블!C:D,MATCH(RD!G13126,매칭테이블!D:D,0),1)</f>
        <v/>
      </c>
      <c r="F13126" s="94" t="inlineStr">
        <is>
          <t>카페24</t>
        </is>
      </c>
      <c r="G13126" s="94" t="inlineStr">
        <is>
          <t>어성초 80 수분 진정 앰플앰플=어성초 80 앰플 1개-15%off</t>
        </is>
      </c>
      <c r="K13126" s="94" t="n">
        <v>34</v>
      </c>
      <c r="L13126" s="88" t="n">
        <v>201208</v>
      </c>
      <c r="M13126" s="88">
        <f>VLOOKUP($Q13126,매칭테이블!$F:$I,2,0)*K13126</f>
        <v/>
      </c>
      <c r="N13126" s="88">
        <f>M13126-M13126*VLOOKUP($Q13126,매칭테이블!$F:$I,3,0)</f>
        <v/>
      </c>
      <c r="O13126" s="88">
        <f>VLOOKUP($Q13126,매칭테이블!$F:$I,4,0)*K13126</f>
        <v/>
      </c>
      <c r="P13126" s="152">
        <f>M13126/1.1</f>
        <v/>
      </c>
      <c r="Q13126" s="88">
        <f>F13126&amp;E13126&amp;G13126&amp;L13126</f>
        <v/>
      </c>
    </row>
    <row r="13127">
      <c r="B13127" s="128" t="n">
        <v>44200</v>
      </c>
      <c r="C13127" s="88">
        <f>TEXT(B13127,"aaa")</f>
        <v/>
      </c>
      <c r="D13127" s="94" t="n"/>
      <c r="E13127" s="88">
        <f>INDEX(매칭테이블!C:D,MATCH(RD!G13127,매칭테이블!D:D,0),1)</f>
        <v/>
      </c>
      <c r="F13127" s="94" t="inlineStr">
        <is>
          <t>카페24</t>
        </is>
      </c>
      <c r="G13127" s="94" t="inlineStr">
        <is>
          <t>어성초 80 수분 진정 앰플앰플=어성초 80 앰플 2개-27%off (무료배송)</t>
        </is>
      </c>
      <c r="K13127" s="94" t="n">
        <v>12</v>
      </c>
      <c r="L13127" s="88" t="n">
        <v>201208</v>
      </c>
      <c r="M13127" s="88">
        <f>VLOOKUP($Q13127,매칭테이블!$F:$I,2,0)*K13127</f>
        <v/>
      </c>
      <c r="N13127" s="88">
        <f>M13127-M13127*VLOOKUP($Q13127,매칭테이블!$F:$I,3,0)</f>
        <v/>
      </c>
      <c r="O13127" s="88">
        <f>VLOOKUP($Q13127,매칭테이블!$F:$I,4,0)*K13127</f>
        <v/>
      </c>
      <c r="P13127" s="152">
        <f>M13127/1.1</f>
        <v/>
      </c>
      <c r="Q13127" s="88">
        <f>F13127&amp;E13127&amp;G13127&amp;L13127</f>
        <v/>
      </c>
    </row>
    <row r="13128">
      <c r="B13128" s="128" t="n">
        <v>44200</v>
      </c>
      <c r="C13128" s="88">
        <f>TEXT(B13128,"aaa")</f>
        <v/>
      </c>
      <c r="D13128" s="94" t="n"/>
      <c r="E13128" s="88">
        <f>INDEX(매칭테이블!C:D,MATCH(RD!G13128,매칭테이블!D:D,0),1)</f>
        <v/>
      </c>
      <c r="F13128" s="94" t="inlineStr">
        <is>
          <t>카페24</t>
        </is>
      </c>
      <c r="G13128" s="94" t="inlineStr">
        <is>
          <t>어성초 80 수분 진정 앰플</t>
        </is>
      </c>
      <c r="K13128" s="94" t="n">
        <v>8</v>
      </c>
      <c r="L13128" s="88" t="n">
        <v>201208</v>
      </c>
      <c r="M13128" s="88">
        <f>VLOOKUP($Q13128,매칭테이블!$F:$I,2,0)*K13128</f>
        <v/>
      </c>
      <c r="N13128" s="88">
        <f>M13128-M13128*VLOOKUP($Q13128,매칭테이블!$F:$I,3,0)</f>
        <v/>
      </c>
      <c r="O13128" s="88">
        <f>VLOOKUP($Q13128,매칭테이블!$F:$I,4,0)*K13128</f>
        <v/>
      </c>
      <c r="P13128" s="152">
        <f>M13128/1.1</f>
        <v/>
      </c>
      <c r="Q13128" s="88">
        <f>F13128&amp;E13128&amp;G13128&amp;L13128</f>
        <v/>
      </c>
    </row>
    <row r="13129">
      <c r="B13129" s="128" t="n">
        <v>44200</v>
      </c>
      <c r="C13129" s="88">
        <f>TEXT(B13129,"aaa")</f>
        <v/>
      </c>
      <c r="D13129" s="94" t="n"/>
      <c r="E13129" s="88">
        <f>INDEX(매칭테이블!C:D,MATCH(RD!G13129,매칭테이블!D:D,0),1)</f>
        <v/>
      </c>
      <c r="F13129" s="94" t="inlineStr">
        <is>
          <t>카페24</t>
        </is>
      </c>
      <c r="G13129" s="94" t="inlineStr">
        <is>
          <t>어성초 아크네 바디워시옵션=어성초 아크네 바디워시 1개 -30% off</t>
        </is>
      </c>
      <c r="K13129" s="94" t="n">
        <v>5</v>
      </c>
      <c r="L13129" s="88" t="n">
        <v>201208</v>
      </c>
      <c r="M13129" s="88">
        <f>VLOOKUP($Q13129,매칭테이블!$F:$I,2,0)*K13129</f>
        <v/>
      </c>
      <c r="N13129" s="88">
        <f>M13129-M13129*VLOOKUP($Q13129,매칭테이블!$F:$I,3,0)</f>
        <v/>
      </c>
      <c r="O13129" s="88">
        <f>VLOOKUP($Q13129,매칭테이블!$F:$I,4,0)*K13129</f>
        <v/>
      </c>
      <c r="P13129" s="152">
        <f>M13129/1.1</f>
        <v/>
      </c>
      <c r="Q13129" s="88">
        <f>F13129&amp;E13129&amp;G13129&amp;L13129</f>
        <v/>
      </c>
    </row>
    <row r="13130">
      <c r="B13130" s="128" t="n">
        <v>44200</v>
      </c>
      <c r="C13130" s="88">
        <f>TEXT(B13130,"aaa")</f>
        <v/>
      </c>
      <c r="D13130" s="94" t="n"/>
      <c r="E13130" s="88">
        <f>INDEX(매칭테이블!C:D,MATCH(RD!G13130,매칭테이블!D:D,0),1)</f>
        <v/>
      </c>
      <c r="F13130" s="94" t="inlineStr">
        <is>
          <t>카페24</t>
        </is>
      </c>
      <c r="G13130" s="94" t="inlineStr">
        <is>
          <t>어성초 아크네 바디워시옵션=어성초 아크네 바디워시 2개 -35% off (무료배송)</t>
        </is>
      </c>
      <c r="K13130" s="94" t="n">
        <v>2</v>
      </c>
      <c r="L13130" s="88" t="n">
        <v>201208</v>
      </c>
      <c r="M13130" s="88">
        <f>VLOOKUP($Q13130,매칭테이블!$F:$I,2,0)*K13130</f>
        <v/>
      </c>
      <c r="N13130" s="88">
        <f>M13130-M13130*VLOOKUP($Q13130,매칭테이블!$F:$I,3,0)</f>
        <v/>
      </c>
      <c r="O13130" s="88">
        <f>VLOOKUP($Q13130,매칭테이블!$F:$I,4,0)*K13130</f>
        <v/>
      </c>
      <c r="P13130" s="152">
        <f>M13130/1.1</f>
        <v/>
      </c>
      <c r="Q13130" s="88">
        <f>F13130&amp;E13130&amp;G13130&amp;L13130</f>
        <v/>
      </c>
    </row>
    <row r="13131">
      <c r="B13131" s="128" t="n">
        <v>44200</v>
      </c>
      <c r="C13131" s="88">
        <f>TEXT(B13131,"aaa")</f>
        <v/>
      </c>
      <c r="D13131" s="94" t="n"/>
      <c r="E13131" s="88">
        <f>INDEX(매칭테이블!C:D,MATCH(RD!G13131,매칭테이블!D:D,0),1)</f>
        <v/>
      </c>
      <c r="F13131" s="94" t="inlineStr">
        <is>
          <t>카페24</t>
        </is>
      </c>
      <c r="G13131" s="94" t="inlineStr">
        <is>
          <t>어성초 약산성 클렌징폼클렌징폼=어성초 약산성 클렌징폼 1개 -19%off</t>
        </is>
      </c>
      <c r="K13131" s="94" t="n">
        <v>29</v>
      </c>
      <c r="L13131" s="88" t="n">
        <v>201208</v>
      </c>
      <c r="M13131" s="88">
        <f>VLOOKUP($Q13131,매칭테이블!$F:$I,2,0)*K13131</f>
        <v/>
      </c>
      <c r="N13131" s="88">
        <f>M13131-M13131*VLOOKUP($Q13131,매칭테이블!$F:$I,3,0)</f>
        <v/>
      </c>
      <c r="O13131" s="88">
        <f>VLOOKUP($Q13131,매칭테이블!$F:$I,4,0)*K13131</f>
        <v/>
      </c>
      <c r="P13131" s="152">
        <f>M13131/1.1</f>
        <v/>
      </c>
      <c r="Q13131" s="88">
        <f>F13131&amp;E13131&amp;G13131&amp;L13131</f>
        <v/>
      </c>
    </row>
    <row r="13132">
      <c r="B13132" s="128" t="n">
        <v>44200</v>
      </c>
      <c r="C13132" s="88">
        <f>TEXT(B13132,"aaa")</f>
        <v/>
      </c>
      <c r="D13132" s="94" t="n"/>
      <c r="E13132" s="88">
        <f>INDEX(매칭테이블!C:D,MATCH(RD!G13132,매칭테이블!D:D,0),1)</f>
        <v/>
      </c>
      <c r="F13132" s="94" t="inlineStr">
        <is>
          <t>카페24</t>
        </is>
      </c>
      <c r="G13132" s="94" t="inlineStr">
        <is>
          <t>어성초 약산성 클렌징폼클렌징폼=어성초 약산성 클렌징폼 2개 -25%off</t>
        </is>
      </c>
      <c r="K13132" s="94" t="n">
        <v>4</v>
      </c>
      <c r="L13132" s="88" t="n">
        <v>201208</v>
      </c>
      <c r="M13132" s="88">
        <f>VLOOKUP($Q13132,매칭테이블!$F:$I,2,0)*K13132</f>
        <v/>
      </c>
      <c r="N13132" s="88">
        <f>M13132-M13132*VLOOKUP($Q13132,매칭테이블!$F:$I,3,0)</f>
        <v/>
      </c>
      <c r="O13132" s="88">
        <f>VLOOKUP($Q13132,매칭테이블!$F:$I,4,0)*K13132</f>
        <v/>
      </c>
      <c r="P13132" s="152">
        <f>M13132/1.1</f>
        <v/>
      </c>
      <c r="Q13132" s="88">
        <f>F13132&amp;E13132&amp;G13132&amp;L13132</f>
        <v/>
      </c>
    </row>
    <row r="13133">
      <c r="B13133" s="128" t="n">
        <v>44200</v>
      </c>
      <c r="C13133" s="88">
        <f>TEXT(B13133,"aaa")</f>
        <v/>
      </c>
      <c r="D13133" s="94" t="n"/>
      <c r="E13133" s="88">
        <f>INDEX(매칭테이블!C:D,MATCH(RD!G13133,매칭테이블!D:D,0),1)</f>
        <v/>
      </c>
      <c r="F13133" s="94" t="inlineStr">
        <is>
          <t>카페24</t>
        </is>
      </c>
      <c r="G13133" s="94" t="inlineStr">
        <is>
          <t>어성초 약산성 클렌징폼클렌징폼=어성초 약산성 클렌징폼 3개 -31%off (무료배송)</t>
        </is>
      </c>
      <c r="K13133" s="94" t="n">
        <v>1</v>
      </c>
      <c r="L13133" s="88" t="n">
        <v>201208</v>
      </c>
      <c r="M13133" s="88">
        <f>VLOOKUP($Q13133,매칭테이블!$F:$I,2,0)*K13133</f>
        <v/>
      </c>
      <c r="N13133" s="88">
        <f>M13133-M13133*VLOOKUP($Q13133,매칭테이블!$F:$I,3,0)</f>
        <v/>
      </c>
      <c r="O13133" s="88">
        <f>VLOOKUP($Q13133,매칭테이블!$F:$I,4,0)*K13133</f>
        <v/>
      </c>
      <c r="P13133" s="152">
        <f>M13133/1.1</f>
        <v/>
      </c>
      <c r="Q13133" s="88">
        <f>F13133&amp;E13133&amp;G13133&amp;L13133</f>
        <v/>
      </c>
    </row>
    <row r="13134">
      <c r="B13134" s="128" t="n">
        <v>44200</v>
      </c>
      <c r="C13134" s="88">
        <f>TEXT(B13134,"aaa")</f>
        <v/>
      </c>
      <c r="D13134" s="94" t="n"/>
      <c r="E13134" s="88">
        <f>INDEX(매칭테이블!C:D,MATCH(RD!G13134,매칭테이블!D:D,0),1)</f>
        <v/>
      </c>
      <c r="F13134" s="94" t="inlineStr">
        <is>
          <t>카페24</t>
        </is>
      </c>
      <c r="G13134" s="94" t="inlineStr">
        <is>
          <t>어성초 약산성 클렌징폼</t>
        </is>
      </c>
      <c r="K13134" s="94" t="n">
        <v>2</v>
      </c>
      <c r="L13134" s="88" t="n">
        <v>201208</v>
      </c>
      <c r="M13134" s="88">
        <f>VLOOKUP($Q13134,매칭테이블!$F:$I,2,0)*K13134</f>
        <v/>
      </c>
      <c r="N13134" s="88">
        <f>M13134-M13134*VLOOKUP($Q13134,매칭테이블!$F:$I,3,0)</f>
        <v/>
      </c>
      <c r="O13134" s="88">
        <f>VLOOKUP($Q13134,매칭테이블!$F:$I,4,0)*K13134</f>
        <v/>
      </c>
      <c r="P13134" s="152">
        <f>M13134/1.1</f>
        <v/>
      </c>
      <c r="Q13134" s="88">
        <f>F13134&amp;E13134&amp;G13134&amp;L13134</f>
        <v/>
      </c>
    </row>
    <row r="13135">
      <c r="B13135" s="128" t="n">
        <v>44200</v>
      </c>
      <c r="C13135" s="88">
        <f>TEXT(B13135,"aaa")</f>
        <v/>
      </c>
      <c r="D13135" s="94" t="n"/>
      <c r="E13135" s="88">
        <f>INDEX(매칭테이블!C:D,MATCH(RD!G13135,매칭테이블!D:D,0),1)</f>
        <v/>
      </c>
      <c r="F13135" s="94" t="inlineStr">
        <is>
          <t>카페24</t>
        </is>
      </c>
      <c r="G13135" s="94" t="inlineStr">
        <is>
          <t>어성초 크림마스크 나이트 솔루션옵션=어성초 크림마스크 나이트 솔루션 1장</t>
        </is>
      </c>
      <c r="K13135" s="94" t="n">
        <v>3</v>
      </c>
      <c r="L13135" s="88" t="n">
        <v>201208</v>
      </c>
      <c r="M13135" s="88">
        <f>VLOOKUP($Q13135,매칭테이블!$F:$I,2,0)*K13135</f>
        <v/>
      </c>
      <c r="N13135" s="88">
        <f>M13135-M13135*VLOOKUP($Q13135,매칭테이블!$F:$I,3,0)</f>
        <v/>
      </c>
      <c r="O13135" s="88">
        <f>VLOOKUP($Q13135,매칭테이블!$F:$I,4,0)*K13135</f>
        <v/>
      </c>
      <c r="P13135" s="152">
        <f>M13135/1.1</f>
        <v/>
      </c>
      <c r="Q13135" s="88">
        <f>F13135&amp;E13135&amp;G13135&amp;L13135</f>
        <v/>
      </c>
    </row>
    <row r="13136">
      <c r="B13136" s="128" t="n">
        <v>44200</v>
      </c>
      <c r="C13136" s="88">
        <f>TEXT(B13136,"aaa")</f>
        <v/>
      </c>
      <c r="D13136" s="94" t="n"/>
      <c r="E13136" s="88">
        <f>INDEX(매칭테이블!C:D,MATCH(RD!G13136,매칭테이블!D:D,0),1)</f>
        <v/>
      </c>
      <c r="F13136" s="94" t="inlineStr">
        <is>
          <t>카페24</t>
        </is>
      </c>
      <c r="G13136" s="94" t="inlineStr">
        <is>
          <t>어성초 크림마스크 나이트 솔루션옵션=어성초 크림마스크 나이트 솔루션 10장 (-50%)</t>
        </is>
      </c>
      <c r="K13136" s="94" t="n">
        <v>3</v>
      </c>
      <c r="L13136" s="88" t="n">
        <v>201208</v>
      </c>
      <c r="M13136" s="88">
        <f>VLOOKUP($Q13136,매칭테이블!$F:$I,2,0)*K13136</f>
        <v/>
      </c>
      <c r="N13136" s="88">
        <f>M13136-M13136*VLOOKUP($Q13136,매칭테이블!$F:$I,3,0)</f>
        <v/>
      </c>
      <c r="O13136" s="88">
        <f>VLOOKUP($Q13136,매칭테이블!$F:$I,4,0)*K13136</f>
        <v/>
      </c>
      <c r="P13136" s="152">
        <f>M13136/1.1</f>
        <v/>
      </c>
      <c r="Q13136" s="88">
        <f>F13136&amp;E13136&amp;G13136&amp;L13136</f>
        <v/>
      </c>
    </row>
    <row r="13137">
      <c r="B13137" s="128" t="n">
        <v>44200</v>
      </c>
      <c r="C13137" s="88">
        <f>TEXT(B13137,"aaa")</f>
        <v/>
      </c>
      <c r="D13137" s="94" t="n"/>
      <c r="E13137" s="88">
        <f>INDEX(매칭테이블!C:D,MATCH(RD!G13137,매칭테이블!D:D,0),1)</f>
        <v/>
      </c>
      <c r="F13137" s="94" t="inlineStr">
        <is>
          <t>카페24</t>
        </is>
      </c>
      <c r="G13137" s="94" t="inlineStr">
        <is>
          <t>청귤 비타 잡티 마스크옵션=청귤 비타 잡티 마스크 1장</t>
        </is>
      </c>
      <c r="K13137" s="94" t="n">
        <v>1</v>
      </c>
      <c r="L13137" s="88" t="n">
        <v>201208</v>
      </c>
      <c r="M13137" s="88">
        <f>VLOOKUP($Q13137,매칭테이블!$F:$I,2,0)*K13137</f>
        <v/>
      </c>
      <c r="N13137" s="88">
        <f>M13137-M13137*VLOOKUP($Q13137,매칭테이블!$F:$I,3,0)</f>
        <v/>
      </c>
      <c r="O13137" s="88">
        <f>VLOOKUP($Q13137,매칭테이블!$F:$I,4,0)*K13137</f>
        <v/>
      </c>
      <c r="P13137" s="152">
        <f>M13137/1.1</f>
        <v/>
      </c>
      <c r="Q13137" s="88">
        <f>F13137&amp;E13137&amp;G13137&amp;L13137</f>
        <v/>
      </c>
    </row>
    <row r="13138">
      <c r="B13138" s="128" t="n">
        <v>44200</v>
      </c>
      <c r="C13138" s="88">
        <f>TEXT(B13138,"aaa")</f>
        <v/>
      </c>
      <c r="D13138" s="94" t="n"/>
      <c r="E13138" s="88">
        <f>INDEX(매칭테이블!C:D,MATCH(RD!G13138,매칭테이블!D:D,0),1)</f>
        <v/>
      </c>
      <c r="F13138" s="94" t="inlineStr">
        <is>
          <t>카페24</t>
        </is>
      </c>
      <c r="G13138" s="94" t="inlineStr">
        <is>
          <t>청귤 비타 잡티 마스크옵션=청귤 비타 잡티 마스크 10장(50% off)</t>
        </is>
      </c>
      <c r="K13138" s="94" t="n">
        <v>1</v>
      </c>
      <c r="L13138" s="88" t="n">
        <v>201208</v>
      </c>
      <c r="M13138" s="88">
        <f>VLOOKUP($Q13138,매칭테이블!$F:$I,2,0)*K13138</f>
        <v/>
      </c>
      <c r="N13138" s="88">
        <f>M13138-M13138*VLOOKUP($Q13138,매칭테이블!$F:$I,3,0)</f>
        <v/>
      </c>
      <c r="O13138" s="88">
        <f>VLOOKUP($Q13138,매칭테이블!$F:$I,4,0)*K13138</f>
        <v/>
      </c>
      <c r="P13138" s="152">
        <f>M13138/1.1</f>
        <v/>
      </c>
      <c r="Q13138" s="88">
        <f>F13138&amp;E13138&amp;G13138&amp;L13138</f>
        <v/>
      </c>
    </row>
    <row r="13139">
      <c r="B13139" s="128" t="n">
        <v>44200</v>
      </c>
      <c r="C13139" s="88">
        <f>TEXT(B13139,"aaa")</f>
        <v/>
      </c>
      <c r="D13139" s="94" t="n"/>
      <c r="E13139" s="88">
        <f>INDEX(매칭테이블!C:D,MATCH(RD!G13139,매칭테이블!D:D,0),1)</f>
        <v/>
      </c>
      <c r="F13139" s="94" t="inlineStr">
        <is>
          <t>카페24</t>
        </is>
      </c>
      <c r="G13139" s="94" t="inlineStr">
        <is>
          <t>촉촉 스킨팩 화장솜</t>
        </is>
      </c>
      <c r="K13139" s="94" t="n">
        <v>40</v>
      </c>
      <c r="L13139" s="88" t="n">
        <v>201208</v>
      </c>
      <c r="M13139" s="88">
        <f>VLOOKUP($Q13139,매칭테이블!$F:$I,2,0)*K13139</f>
        <v/>
      </c>
      <c r="N13139" s="88">
        <f>M13139-M13139*VLOOKUP($Q13139,매칭테이블!$F:$I,3,0)</f>
        <v/>
      </c>
      <c r="O13139" s="88">
        <f>VLOOKUP($Q13139,매칭테이블!$F:$I,4,0)*K13139</f>
        <v/>
      </c>
      <c r="P13139" s="152">
        <f>M13139/1.1</f>
        <v/>
      </c>
      <c r="Q13139" s="88">
        <f>F13139&amp;E13139&amp;G13139&amp;L13139</f>
        <v/>
      </c>
    </row>
    <row r="13140">
      <c r="B13140" s="128" t="n">
        <v>44200</v>
      </c>
      <c r="C13140" s="88">
        <f>TEXT(B13140,"aaa")</f>
        <v/>
      </c>
      <c r="D13140" s="94" t="n"/>
      <c r="E13140" s="88">
        <f>INDEX(매칭테이블!C:D,MATCH(RD!G13140,매칭테이블!D:D,0),1)</f>
        <v/>
      </c>
      <c r="F13140" s="94" t="inlineStr">
        <is>
          <t>카페24</t>
        </is>
      </c>
      <c r="G13140" s="94" t="inlineStr">
        <is>
          <t>촉촉 스킨팩 화장솜</t>
        </is>
      </c>
      <c r="K13140" s="94" t="n">
        <v>2</v>
      </c>
      <c r="L13140" s="88" t="n">
        <v>201208</v>
      </c>
      <c r="M13140" s="88">
        <f>VLOOKUP($Q13140,매칭테이블!$F:$I,2,0)*K13140</f>
        <v/>
      </c>
      <c r="N13140" s="88">
        <f>M13140-M13140*VLOOKUP($Q13140,매칭테이블!$F:$I,3,0)</f>
        <v/>
      </c>
      <c r="O13140" s="88">
        <f>VLOOKUP($Q13140,매칭테이블!$F:$I,4,0)*K13140</f>
        <v/>
      </c>
      <c r="P13140" s="152">
        <f>M13140/1.1</f>
        <v/>
      </c>
      <c r="Q13140" s="88">
        <f>F13140&amp;E13140&amp;G13140&amp;L13140</f>
        <v/>
      </c>
    </row>
    <row r="13141">
      <c r="B13141" s="128" t="n">
        <v>44201</v>
      </c>
      <c r="C13141" s="88">
        <f>TEXT(B13141,"aaa")</f>
        <v/>
      </c>
      <c r="D13141" s="94" t="n"/>
      <c r="E13141" s="88">
        <f>INDEX(매칭테이블!C:D,MATCH(RD!G13141,매칭테이블!D:D,0),1)</f>
        <v/>
      </c>
      <c r="F13141" s="94" t="inlineStr">
        <is>
          <t>W컨셉</t>
        </is>
      </c>
      <c r="G13141" s="94" t="inlineStr">
        <is>
          <t>어성초 77토너 (2 SET) HEARTLEAF 77% SOOTHING TONER 250ml250ml 2set</t>
        </is>
      </c>
      <c r="K13141" s="94" t="n">
        <v>3</v>
      </c>
      <c r="L13141" s="88" t="n">
        <v>201208</v>
      </c>
      <c r="M13141" s="88">
        <f>VLOOKUP($Q13141,매칭테이블!$F:$I,2,0)*K13141</f>
        <v/>
      </c>
      <c r="N13141" s="88">
        <f>M13141-M13141*VLOOKUP($Q13141,매칭테이블!$F:$I,3,0)</f>
        <v/>
      </c>
      <c r="O13141" s="88">
        <f>VLOOKUP($Q13141,매칭테이블!$F:$I,4,0)*K13141</f>
        <v/>
      </c>
      <c r="P13141" s="152">
        <f>M13141/1.1</f>
        <v/>
      </c>
      <c r="Q13141" s="88">
        <f>F13141&amp;E13141&amp;G13141&amp;L13141</f>
        <v/>
      </c>
    </row>
    <row r="13142">
      <c r="B13142" s="128" t="n">
        <v>44201</v>
      </c>
      <c r="C13142" s="88">
        <f>TEXT(B13142,"aaa")</f>
        <v/>
      </c>
      <c r="D13142" s="94" t="n"/>
      <c r="E13142" s="88">
        <f>INDEX(매칭테이블!C:D,MATCH(RD!G13142,매칭테이블!D:D,0),1)</f>
        <v/>
      </c>
      <c r="F13142" s="94" t="inlineStr">
        <is>
          <t>W컨셉</t>
        </is>
      </c>
      <c r="G13142" s="94" t="inlineStr">
        <is>
          <t>어성초 77토너 HEARTLEAF 77% SOOTHING TONER 250ml250ml</t>
        </is>
      </c>
      <c r="K13142" s="94" t="n">
        <v>3</v>
      </c>
      <c r="L13142" s="88" t="n">
        <v>201208</v>
      </c>
      <c r="M13142" s="88">
        <f>VLOOKUP($Q13142,매칭테이블!$F:$I,2,0)*K13142</f>
        <v/>
      </c>
      <c r="N13142" s="88">
        <f>M13142-M13142*VLOOKUP($Q13142,매칭테이블!$F:$I,3,0)</f>
        <v/>
      </c>
      <c r="O13142" s="88">
        <f>VLOOKUP($Q13142,매칭테이블!$F:$I,4,0)*K13142</f>
        <v/>
      </c>
      <c r="P13142" s="152">
        <f>M13142/1.1</f>
        <v/>
      </c>
      <c r="Q13142" s="88">
        <f>F13142&amp;E13142&amp;G13142&amp;L13142</f>
        <v/>
      </c>
    </row>
    <row r="13143">
      <c r="B13143" s="128" t="n">
        <v>44201</v>
      </c>
      <c r="C13143" s="88">
        <f>TEXT(B13143,"aaa")</f>
        <v/>
      </c>
      <c r="D13143" s="94" t="n"/>
      <c r="E13143" s="88">
        <f>INDEX(매칭테이블!C:D,MATCH(RD!G13143,매칭테이블!D:D,0),1)</f>
        <v/>
      </c>
      <c r="F13143" s="94" t="inlineStr">
        <is>
          <t>글로우데이즈 시코르</t>
        </is>
      </c>
      <c r="G13143" s="94" t="inlineStr">
        <is>
          <t>어성초 77 토너 250ml</t>
        </is>
      </c>
      <c r="K13143" s="94" t="n">
        <v>60</v>
      </c>
      <c r="L13143" s="88" t="n">
        <v>201208</v>
      </c>
      <c r="M13143" s="88">
        <f>VLOOKUP($Q13143,매칭테이블!$F:$I,2,0)*K13143</f>
        <v/>
      </c>
      <c r="N13143" s="88">
        <f>M13143-M13143*VLOOKUP($Q13143,매칭테이블!$F:$I,3,0)</f>
        <v/>
      </c>
      <c r="O13143" s="88">
        <f>VLOOKUP($Q13143,매칭테이블!$F:$I,4,0)*K13143</f>
        <v/>
      </c>
      <c r="P13143" s="152">
        <f>M13143/1.1</f>
        <v/>
      </c>
      <c r="Q13143" s="88">
        <f>F13143&amp;E13143&amp;G13143&amp;L13143</f>
        <v/>
      </c>
    </row>
    <row r="13144">
      <c r="B13144" s="128" t="n">
        <v>44201</v>
      </c>
      <c r="C13144" s="88">
        <f>TEXT(B13144,"aaa")</f>
        <v/>
      </c>
      <c r="D13144" s="94" t="n"/>
      <c r="E13144" s="88">
        <f>INDEX(매칭테이블!C:D,MATCH(RD!G13144,매칭테이블!D:D,0),1)</f>
        <v/>
      </c>
      <c r="F13144" s="94" t="inlineStr">
        <is>
          <t>스타일쉐어</t>
        </is>
      </c>
      <c r="G13144" s="94" t="inlineStr">
        <is>
          <t>아누아 어성초 77 토너 250ml</t>
        </is>
      </c>
      <c r="K13144" s="94" t="n">
        <v>2</v>
      </c>
      <c r="L13144" s="88" t="n">
        <v>201208</v>
      </c>
      <c r="M13144" s="88">
        <f>VLOOKUP($Q13144,매칭테이블!$F:$I,2,0)*K13144</f>
        <v/>
      </c>
      <c r="N13144" s="88">
        <f>M13144-M13144*VLOOKUP($Q13144,매칭테이블!$F:$I,3,0)</f>
        <v/>
      </c>
      <c r="O13144" s="88">
        <f>VLOOKUP($Q13144,매칭테이블!$F:$I,4,0)*K13144</f>
        <v/>
      </c>
      <c r="P13144" s="152">
        <f>M13144/1.1</f>
        <v/>
      </c>
      <c r="Q13144" s="88">
        <f>F13144&amp;E13144&amp;G13144&amp;L13144</f>
        <v/>
      </c>
    </row>
    <row r="13145">
      <c r="B13145" s="128" t="n">
        <v>44201</v>
      </c>
      <c r="C13145" s="88">
        <f>TEXT(B13145,"aaa")</f>
        <v/>
      </c>
      <c r="D13145" s="94" t="n"/>
      <c r="E13145" s="88">
        <f>INDEX(매칭테이블!C:D,MATCH(RD!G13145,매칭테이블!D:D,0),1)</f>
        <v/>
      </c>
      <c r="F13145" s="94" t="inlineStr">
        <is>
          <t>아누아 CS</t>
        </is>
      </c>
      <c r="G13145" s="94" t="inlineStr">
        <is>
          <t>어성초 77 토너 250ml</t>
        </is>
      </c>
      <c r="K13145" s="94" t="n">
        <v>3</v>
      </c>
      <c r="L13145" s="88" t="n">
        <v>201208</v>
      </c>
      <c r="M13145" s="88">
        <f>VLOOKUP($Q13145,매칭테이블!$F:$I,2,0)*K13145</f>
        <v/>
      </c>
      <c r="N13145" s="88">
        <f>M13145-M13145*VLOOKUP($Q13145,매칭테이블!$F:$I,3,0)</f>
        <v/>
      </c>
      <c r="O13145" s="88">
        <f>VLOOKUP($Q13145,매칭테이블!$F:$I,4,0)*K13145</f>
        <v/>
      </c>
      <c r="P13145" s="152">
        <f>M13145/1.1</f>
        <v/>
      </c>
      <c r="Q13145" s="88">
        <f>F13145&amp;E13145&amp;G13145&amp;L13145</f>
        <v/>
      </c>
    </row>
    <row r="13146">
      <c r="B13146" s="128" t="n">
        <v>44201</v>
      </c>
      <c r="C13146" s="88">
        <f>TEXT(B13146,"aaa")</f>
        <v/>
      </c>
      <c r="D13146" s="94" t="n"/>
      <c r="E13146" s="88">
        <f>INDEX(매칭테이블!C:D,MATCH(RD!G13146,매칭테이블!D:D,0),1)</f>
        <v/>
      </c>
      <c r="F13146" s="94" t="inlineStr">
        <is>
          <t>카페24</t>
        </is>
      </c>
      <c r="G13146" s="94" t="inlineStr">
        <is>
          <t>5 제로 무기자차 선크림옵션=5제로 무기자차 선크림 1개-20% off</t>
        </is>
      </c>
      <c r="K13146" s="94" t="n">
        <v>2</v>
      </c>
      <c r="L13146" s="88" t="n">
        <v>201208</v>
      </c>
      <c r="M13146" s="88">
        <f>VLOOKUP($Q13146,매칭테이블!$F:$I,2,0)*K13146</f>
        <v/>
      </c>
      <c r="N13146" s="88">
        <f>M13146-M13146*VLOOKUP($Q13146,매칭테이블!$F:$I,3,0)</f>
        <v/>
      </c>
      <c r="O13146" s="88">
        <f>VLOOKUP($Q13146,매칭테이블!$F:$I,4,0)*K13146</f>
        <v/>
      </c>
      <c r="P13146" s="152">
        <f>M13146/1.1</f>
        <v/>
      </c>
      <c r="Q13146" s="88">
        <f>F13146&amp;E13146&amp;G13146&amp;L13146</f>
        <v/>
      </c>
    </row>
    <row r="13147">
      <c r="B13147" s="128" t="n">
        <v>44201</v>
      </c>
      <c r="C13147" s="88">
        <f>TEXT(B13147,"aaa")</f>
        <v/>
      </c>
      <c r="D13147" s="94" t="n"/>
      <c r="E13147" s="88">
        <f>INDEX(매칭테이블!C:D,MATCH(RD!G13147,매칭테이블!D:D,0),1)</f>
        <v/>
      </c>
      <c r="F13147" s="94" t="inlineStr">
        <is>
          <t>카페24</t>
        </is>
      </c>
      <c r="G13147" s="94" t="inlineStr">
        <is>
          <t>5 제로 무기자차 선크림옵션=5제로 무기자차 선크림 2개-30% off (무료배송)</t>
        </is>
      </c>
      <c r="K13147" s="94" t="n">
        <v>2</v>
      </c>
      <c r="L13147" s="88" t="n">
        <v>201208</v>
      </c>
      <c r="M13147" s="88">
        <f>VLOOKUP($Q13147,매칭테이블!$F:$I,2,0)*K13147</f>
        <v/>
      </c>
      <c r="N13147" s="88">
        <f>M13147-M13147*VLOOKUP($Q13147,매칭테이블!$F:$I,3,0)</f>
        <v/>
      </c>
      <c r="O13147" s="88">
        <f>VLOOKUP($Q13147,매칭테이블!$F:$I,4,0)*K13147</f>
        <v/>
      </c>
      <c r="P13147" s="152">
        <f>M13147/1.1</f>
        <v/>
      </c>
      <c r="Q13147" s="88">
        <f>F13147&amp;E13147&amp;G13147&amp;L13147</f>
        <v/>
      </c>
    </row>
    <row r="13148">
      <c r="B13148" s="128" t="n">
        <v>44201</v>
      </c>
      <c r="C13148" s="88">
        <f>TEXT(B13148,"aaa")</f>
        <v/>
      </c>
      <c r="D13148" s="94" t="n"/>
      <c r="E13148" s="88">
        <f>INDEX(매칭테이블!C:D,MATCH(RD!G13148,매칭테이블!D:D,0),1)</f>
        <v/>
      </c>
      <c r="F13148" s="94" t="inlineStr">
        <is>
          <t>카페24</t>
        </is>
      </c>
      <c r="G13148" s="94" t="inlineStr">
        <is>
          <t>[수분 보충 세트] 어성초 77 토너 + 어성초 70 로션옵션=어성초 77 토너 250ml + 어성초 70 로션 200ml -30%</t>
        </is>
      </c>
      <c r="K13148" s="94" t="n">
        <v>37</v>
      </c>
      <c r="L13148" s="88" t="n">
        <v>201208</v>
      </c>
      <c r="M13148" s="88">
        <f>VLOOKUP($Q13148,매칭테이블!$F:$I,2,0)*K13148</f>
        <v/>
      </c>
      <c r="N13148" s="88">
        <f>M13148-M13148*VLOOKUP($Q13148,매칭테이블!$F:$I,3,0)</f>
        <v/>
      </c>
      <c r="O13148" s="88">
        <f>VLOOKUP($Q13148,매칭테이블!$F:$I,4,0)*K13148</f>
        <v/>
      </c>
      <c r="P13148" s="152">
        <f>M13148/1.1</f>
        <v/>
      </c>
      <c r="Q13148" s="88">
        <f>F13148&amp;E13148&amp;G13148&amp;L13148</f>
        <v/>
      </c>
    </row>
    <row r="13149">
      <c r="B13149" s="128" t="n">
        <v>44201</v>
      </c>
      <c r="C13149" s="88">
        <f>TEXT(B13149,"aaa")</f>
        <v/>
      </c>
      <c r="D13149" s="94" t="n"/>
      <c r="E13149" s="88">
        <f>INDEX(매칭테이블!C:D,MATCH(RD!G13149,매칭테이블!D:D,0),1)</f>
        <v/>
      </c>
      <c r="F13149" s="94" t="inlineStr">
        <is>
          <t>카페24</t>
        </is>
      </c>
      <c r="G13149" s="94" t="inlineStr">
        <is>
          <t>[어성초 진정 패키지 세트] 대용량 토너 + 앰플 + 수딩 크림 + 마스크팩 10장</t>
        </is>
      </c>
      <c r="K13149" s="94" t="n">
        <v>4</v>
      </c>
      <c r="L13149" s="88" t="n">
        <v>201208</v>
      </c>
      <c r="M13149" s="88">
        <f>VLOOKUP($Q13149,매칭테이블!$F:$I,2,0)*K13149</f>
        <v/>
      </c>
      <c r="N13149" s="88">
        <f>M13149-M13149*VLOOKUP($Q13149,매칭테이블!$F:$I,3,0)</f>
        <v/>
      </c>
      <c r="O13149" s="88">
        <f>VLOOKUP($Q13149,매칭테이블!$F:$I,4,0)*K13149</f>
        <v/>
      </c>
      <c r="P13149" s="152">
        <f>M13149/1.1</f>
        <v/>
      </c>
      <c r="Q13149" s="88">
        <f>F13149&amp;E13149&amp;G13149&amp;L13149</f>
        <v/>
      </c>
    </row>
    <row r="13150">
      <c r="B13150" s="128" t="n">
        <v>44201</v>
      </c>
      <c r="C13150" s="88">
        <f>TEXT(B13150,"aaa")</f>
        <v/>
      </c>
      <c r="D13150" s="94" t="n"/>
      <c r="E13150" s="88">
        <f>INDEX(매칭테이블!C:D,MATCH(RD!G13150,매칭테이블!D:D,0),1)</f>
        <v/>
      </c>
      <c r="F13150" s="94" t="inlineStr">
        <is>
          <t>카페24</t>
        </is>
      </c>
      <c r="G13150" s="94" t="inlineStr">
        <is>
          <t>대용량 어성초 77 수딩 토너 500ml</t>
        </is>
      </c>
      <c r="K13150" s="94" t="n">
        <v>24</v>
      </c>
      <c r="L13150" s="88" t="n">
        <v>201208</v>
      </c>
      <c r="M13150" s="88">
        <f>VLOOKUP($Q13150,매칭테이블!$F:$I,2,0)*K13150</f>
        <v/>
      </c>
      <c r="N13150" s="88">
        <f>M13150-M13150*VLOOKUP($Q13150,매칭테이블!$F:$I,3,0)</f>
        <v/>
      </c>
      <c r="O13150" s="88">
        <f>VLOOKUP($Q13150,매칭테이블!$F:$I,4,0)*K13150</f>
        <v/>
      </c>
      <c r="P13150" s="152">
        <f>M13150/1.1</f>
        <v/>
      </c>
      <c r="Q13150" s="88">
        <f>F13150&amp;E13150&amp;G13150&amp;L13150</f>
        <v/>
      </c>
    </row>
    <row r="13151">
      <c r="B13151" s="128" t="n">
        <v>44201</v>
      </c>
      <c r="C13151" s="88">
        <f>TEXT(B13151,"aaa")</f>
        <v/>
      </c>
      <c r="D13151" s="94" t="n"/>
      <c r="E13151" s="88">
        <f>INDEX(매칭테이블!C:D,MATCH(RD!G13151,매칭테이블!D:D,0),1)</f>
        <v/>
      </c>
      <c r="F13151" s="94" t="inlineStr">
        <is>
          <t>카페24</t>
        </is>
      </c>
      <c r="G13151" s="94" t="inlineStr">
        <is>
          <t>대용량 어성초 77 토너 500ml</t>
        </is>
      </c>
      <c r="K13151" s="94" t="n">
        <v>4</v>
      </c>
      <c r="L13151" s="88" t="n">
        <v>201208</v>
      </c>
      <c r="M13151" s="88">
        <f>VLOOKUP($Q13151,매칭테이블!$F:$I,2,0)*K13151</f>
        <v/>
      </c>
      <c r="N13151" s="88">
        <f>M13151-M13151*VLOOKUP($Q13151,매칭테이블!$F:$I,3,0)</f>
        <v/>
      </c>
      <c r="O13151" s="88">
        <f>VLOOKUP($Q13151,매칭테이블!$F:$I,4,0)*K13151</f>
        <v/>
      </c>
      <c r="P13151" s="152">
        <f>M13151/1.1</f>
        <v/>
      </c>
      <c r="Q13151" s="88">
        <f>F13151&amp;E13151&amp;G13151&amp;L13151</f>
        <v/>
      </c>
    </row>
    <row r="13152">
      <c r="B13152" s="128" t="n">
        <v>44201</v>
      </c>
      <c r="C13152" s="88">
        <f>TEXT(B13152,"aaa")</f>
        <v/>
      </c>
      <c r="D13152" s="94" t="n"/>
      <c r="E13152" s="88">
        <f>INDEX(매칭테이블!C:D,MATCH(RD!G13152,매칭테이블!D:D,0),1)</f>
        <v/>
      </c>
      <c r="F13152" s="94" t="inlineStr">
        <is>
          <t>카페24</t>
        </is>
      </c>
      <c r="G13152" s="94" t="inlineStr">
        <is>
          <t>어성초 70 데일리 릴리프 로션로션=어성초 70 데일리 릴리프 로션 1개 -20% off</t>
        </is>
      </c>
      <c r="K13152" s="94" t="n">
        <v>9</v>
      </c>
      <c r="L13152" s="88" t="n">
        <v>201208</v>
      </c>
      <c r="M13152" s="88">
        <f>VLOOKUP($Q13152,매칭테이블!$F:$I,2,0)*K13152</f>
        <v/>
      </c>
      <c r="N13152" s="88">
        <f>M13152-M13152*VLOOKUP($Q13152,매칭테이블!$F:$I,3,0)</f>
        <v/>
      </c>
      <c r="O13152" s="88">
        <f>VLOOKUP($Q13152,매칭테이블!$F:$I,4,0)*K13152</f>
        <v/>
      </c>
      <c r="P13152" s="152">
        <f>M13152/1.1</f>
        <v/>
      </c>
      <c r="Q13152" s="88">
        <f>F13152&amp;E13152&amp;G13152&amp;L13152</f>
        <v/>
      </c>
    </row>
    <row r="13153">
      <c r="B13153" s="128" t="n">
        <v>44201</v>
      </c>
      <c r="C13153" s="88">
        <f>TEXT(B13153,"aaa")</f>
        <v/>
      </c>
      <c r="D13153" s="94" t="n"/>
      <c r="E13153" s="88">
        <f>INDEX(매칭테이블!C:D,MATCH(RD!G13153,매칭테이블!D:D,0),1)</f>
        <v/>
      </c>
      <c r="F13153" s="94" t="inlineStr">
        <is>
          <t>카페24</t>
        </is>
      </c>
      <c r="G13153" s="94" t="inlineStr">
        <is>
          <t>어성초 70 데일리 릴리프 로션로션=어성초 70 데일리 릴리프 로션 2개 -30% off</t>
        </is>
      </c>
      <c r="K13153" s="94" t="n">
        <v>4</v>
      </c>
      <c r="L13153" s="88" t="n">
        <v>201208</v>
      </c>
      <c r="M13153" s="88">
        <f>VLOOKUP($Q13153,매칭테이블!$F:$I,2,0)*K13153</f>
        <v/>
      </c>
      <c r="N13153" s="88">
        <f>M13153-M13153*VLOOKUP($Q13153,매칭테이블!$F:$I,3,0)</f>
        <v/>
      </c>
      <c r="O13153" s="88">
        <f>VLOOKUP($Q13153,매칭테이블!$F:$I,4,0)*K13153</f>
        <v/>
      </c>
      <c r="P13153" s="152">
        <f>M13153/1.1</f>
        <v/>
      </c>
      <c r="Q13153" s="88">
        <f>F13153&amp;E13153&amp;G13153&amp;L13153</f>
        <v/>
      </c>
    </row>
    <row r="13154">
      <c r="B13154" s="128" t="n">
        <v>44201</v>
      </c>
      <c r="C13154" s="88">
        <f>TEXT(B13154,"aaa")</f>
        <v/>
      </c>
      <c r="D13154" s="94" t="n"/>
      <c r="E13154" s="88">
        <f>INDEX(매칭테이블!C:D,MATCH(RD!G13154,매칭테이블!D:D,0),1)</f>
        <v/>
      </c>
      <c r="F13154" s="94" t="inlineStr">
        <is>
          <t>카페24</t>
        </is>
      </c>
      <c r="G13154" s="94" t="inlineStr">
        <is>
          <t>어성초 70 데일리 릴리프 로션로션=어성초 77토너 + 어성초 70 로션 수분 보충 세트 -30% off</t>
        </is>
      </c>
      <c r="K13154" s="94" t="n">
        <v>2</v>
      </c>
      <c r="L13154" s="88" t="n">
        <v>201208</v>
      </c>
      <c r="M13154" s="88">
        <f>VLOOKUP($Q13154,매칭테이블!$F:$I,2,0)*K13154</f>
        <v/>
      </c>
      <c r="N13154" s="88">
        <f>M13154-M13154*VLOOKUP($Q13154,매칭테이블!$F:$I,3,0)</f>
        <v/>
      </c>
      <c r="O13154" s="88">
        <f>VLOOKUP($Q13154,매칭테이블!$F:$I,4,0)*K13154</f>
        <v/>
      </c>
      <c r="P13154" s="152">
        <f>M13154/1.1</f>
        <v/>
      </c>
      <c r="Q13154" s="88">
        <f>F13154&amp;E13154&amp;G13154&amp;L13154</f>
        <v/>
      </c>
    </row>
    <row r="13155">
      <c r="B13155" s="128" t="n">
        <v>44201</v>
      </c>
      <c r="C13155" s="88">
        <f>TEXT(B13155,"aaa")</f>
        <v/>
      </c>
      <c r="D13155" s="94" t="n"/>
      <c r="E13155" s="88">
        <f>INDEX(매칭테이블!C:D,MATCH(RD!G13155,매칭테이블!D:D,0),1)</f>
        <v/>
      </c>
      <c r="F13155" s="94" t="inlineStr">
        <is>
          <t>카페24</t>
        </is>
      </c>
      <c r="G13155" s="94" t="inlineStr">
        <is>
          <t>어성초 70 머드 크림 마스크옵션=어성초 70 머드 크림 마스크-20% off</t>
        </is>
      </c>
      <c r="K13155" s="94" t="n">
        <v>4</v>
      </c>
      <c r="L13155" s="88" t="n">
        <v>201208</v>
      </c>
      <c r="M13155" s="88">
        <f>VLOOKUP($Q13155,매칭테이블!$F:$I,2,0)*K13155</f>
        <v/>
      </c>
      <c r="N13155" s="88">
        <f>M13155-M13155*VLOOKUP($Q13155,매칭테이블!$F:$I,3,0)</f>
        <v/>
      </c>
      <c r="O13155" s="88">
        <f>VLOOKUP($Q13155,매칭테이블!$F:$I,4,0)*K13155</f>
        <v/>
      </c>
      <c r="P13155" s="152">
        <f>M13155/1.1</f>
        <v/>
      </c>
      <c r="Q13155" s="88">
        <f>F13155&amp;E13155&amp;G13155&amp;L13155</f>
        <v/>
      </c>
    </row>
    <row r="13156">
      <c r="B13156" s="128" t="n">
        <v>44201</v>
      </c>
      <c r="C13156" s="88">
        <f>TEXT(B13156,"aaa")</f>
        <v/>
      </c>
      <c r="D13156" s="94" t="n"/>
      <c r="E13156" s="88">
        <f>INDEX(매칭테이블!C:D,MATCH(RD!G13156,매칭테이블!D:D,0),1)</f>
        <v/>
      </c>
      <c r="F13156" s="94" t="inlineStr">
        <is>
          <t>카페24</t>
        </is>
      </c>
      <c r="G13156" s="94" t="inlineStr">
        <is>
          <t>어성초 70 머드 크림 마스크옵션=어성초 70 머드 크림 마스크 2개-30% off (무료배송)</t>
        </is>
      </c>
      <c r="K13156" s="94" t="n">
        <v>2</v>
      </c>
      <c r="L13156" s="88" t="n">
        <v>201208</v>
      </c>
      <c r="M13156" s="88">
        <f>VLOOKUP($Q13156,매칭테이블!$F:$I,2,0)*K13156</f>
        <v/>
      </c>
      <c r="N13156" s="88">
        <f>M13156-M13156*VLOOKUP($Q13156,매칭테이블!$F:$I,3,0)</f>
        <v/>
      </c>
      <c r="O13156" s="88">
        <f>VLOOKUP($Q13156,매칭테이블!$F:$I,4,0)*K13156</f>
        <v/>
      </c>
      <c r="P13156" s="152">
        <f>M13156/1.1</f>
        <v/>
      </c>
      <c r="Q13156" s="88">
        <f>F13156&amp;E13156&amp;G13156&amp;L13156</f>
        <v/>
      </c>
    </row>
    <row r="13157">
      <c r="B13157" s="128" t="n">
        <v>44201</v>
      </c>
      <c r="C13157" s="88">
        <f>TEXT(B13157,"aaa")</f>
        <v/>
      </c>
      <c r="D13157" s="94" t="n"/>
      <c r="E13157" s="88">
        <f>INDEX(매칭테이블!C:D,MATCH(RD!G13157,매칭테이블!D:D,0),1)</f>
        <v/>
      </c>
      <c r="F13157" s="94" t="inlineStr">
        <is>
          <t>카페24</t>
        </is>
      </c>
      <c r="G13157" s="94" t="inlineStr">
        <is>
          <t>어성초 70 인텐스 카밍 크림크림=어성초 70 인텐스 카밍 크림 1개 (-20%)</t>
        </is>
      </c>
      <c r="K13157" s="94" t="n">
        <v>5</v>
      </c>
      <c r="L13157" s="88" t="n">
        <v>201208</v>
      </c>
      <c r="M13157" s="88">
        <f>VLOOKUP($Q13157,매칭테이블!$F:$I,2,0)*K13157</f>
        <v/>
      </c>
      <c r="N13157" s="88">
        <f>M13157-M13157*VLOOKUP($Q13157,매칭테이블!$F:$I,3,0)</f>
        <v/>
      </c>
      <c r="O13157" s="88">
        <f>VLOOKUP($Q13157,매칭테이블!$F:$I,4,0)*K13157</f>
        <v/>
      </c>
      <c r="P13157" s="152">
        <f>M13157/1.1</f>
        <v/>
      </c>
      <c r="Q13157" s="88">
        <f>F13157&amp;E13157&amp;G13157&amp;L13157</f>
        <v/>
      </c>
    </row>
    <row r="13158">
      <c r="B13158" s="128" t="n">
        <v>44201</v>
      </c>
      <c r="C13158" s="88">
        <f>TEXT(B13158,"aaa")</f>
        <v/>
      </c>
      <c r="D13158" s="94" t="n"/>
      <c r="E13158" s="88">
        <f>INDEX(매칭테이블!C:D,MATCH(RD!G13158,매칭테이블!D:D,0),1)</f>
        <v/>
      </c>
      <c r="F13158" s="94" t="inlineStr">
        <is>
          <t>카페24</t>
        </is>
      </c>
      <c r="G13158" s="94" t="inlineStr">
        <is>
          <t>어성초 70 인텐스 카밍 크림크림=어성초 토너 250ml + 카밍 크림 50ml (-30%)</t>
        </is>
      </c>
      <c r="K13158" s="94" t="n">
        <v>3</v>
      </c>
      <c r="L13158" s="88" t="n">
        <v>201208</v>
      </c>
      <c r="M13158" s="88">
        <f>VLOOKUP($Q13158,매칭테이블!$F:$I,2,0)*K13158</f>
        <v/>
      </c>
      <c r="N13158" s="88">
        <f>M13158-M13158*VLOOKUP($Q13158,매칭테이블!$F:$I,3,0)</f>
        <v/>
      </c>
      <c r="O13158" s="88">
        <f>VLOOKUP($Q13158,매칭테이블!$F:$I,4,0)*K13158</f>
        <v/>
      </c>
      <c r="P13158" s="152">
        <f>M13158/1.1</f>
        <v/>
      </c>
      <c r="Q13158" s="88">
        <f>F13158&amp;E13158&amp;G13158&amp;L13158</f>
        <v/>
      </c>
    </row>
    <row r="13159">
      <c r="B13159" s="128" t="n">
        <v>44201</v>
      </c>
      <c r="C13159" s="88">
        <f>TEXT(B13159,"aaa")</f>
        <v/>
      </c>
      <c r="D13159" s="94" t="n"/>
      <c r="E13159" s="88">
        <f>INDEX(매칭테이블!C:D,MATCH(RD!G13159,매칭테이블!D:D,0),1)</f>
        <v/>
      </c>
      <c r="F13159" s="94" t="inlineStr">
        <is>
          <t>카페24</t>
        </is>
      </c>
      <c r="G13159" s="94" t="inlineStr">
        <is>
          <t>어성초 77 수딩 토너토너(필수)=어성초 77 토너 1개-20% off</t>
        </is>
      </c>
      <c r="K13159" s="94" t="n">
        <v>1</v>
      </c>
      <c r="L13159" s="88" t="n">
        <v>201208</v>
      </c>
      <c r="M13159" s="88">
        <f>VLOOKUP($Q13159,매칭테이블!$F:$I,2,0)*K13159</f>
        <v/>
      </c>
      <c r="N13159" s="88">
        <f>M13159-M13159*VLOOKUP($Q13159,매칭테이블!$F:$I,3,0)</f>
        <v/>
      </c>
      <c r="O13159" s="88">
        <f>VLOOKUP($Q13159,매칭테이블!$F:$I,4,0)*K13159</f>
        <v/>
      </c>
      <c r="P13159" s="152">
        <f>M13159/1.1</f>
        <v/>
      </c>
      <c r="Q13159" s="88">
        <f>F13159&amp;E13159&amp;G13159&amp;L13159</f>
        <v/>
      </c>
    </row>
    <row r="13160">
      <c r="B13160" s="128" t="n">
        <v>44201</v>
      </c>
      <c r="C13160" s="88">
        <f>TEXT(B13160,"aaa")</f>
        <v/>
      </c>
      <c r="D13160" s="94" t="n"/>
      <c r="E13160" s="88">
        <f>INDEX(매칭테이블!C:D,MATCH(RD!G13160,매칭테이블!D:D,0),1)</f>
        <v/>
      </c>
      <c r="F13160" s="94" t="inlineStr">
        <is>
          <t>카페24</t>
        </is>
      </c>
      <c r="G13160" s="94" t="inlineStr">
        <is>
          <t>어성초 77 수딩 토너토너(필수)=어성초 77 토너 2개-30% off (무료배송)</t>
        </is>
      </c>
      <c r="K13160" s="94" t="n">
        <v>1</v>
      </c>
      <c r="L13160" s="88" t="n">
        <v>201208</v>
      </c>
      <c r="M13160" s="88">
        <f>VLOOKUP($Q13160,매칭테이블!$F:$I,2,0)*K13160</f>
        <v/>
      </c>
      <c r="N13160" s="88">
        <f>M13160-M13160*VLOOKUP($Q13160,매칭테이블!$F:$I,3,0)</f>
        <v/>
      </c>
      <c r="O13160" s="88">
        <f>VLOOKUP($Q13160,매칭테이블!$F:$I,4,0)*K13160</f>
        <v/>
      </c>
      <c r="P13160" s="152">
        <f>M13160/1.1</f>
        <v/>
      </c>
      <c r="Q13160" s="88">
        <f>F13160&amp;E13160&amp;G13160&amp;L13160</f>
        <v/>
      </c>
    </row>
    <row r="13161">
      <c r="B13161" s="128" t="n">
        <v>44201</v>
      </c>
      <c r="C13161" s="88">
        <f>TEXT(B13161,"aaa")</f>
        <v/>
      </c>
      <c r="D13161" s="94" t="n"/>
      <c r="E13161" s="88">
        <f>INDEX(매칭테이블!C:D,MATCH(RD!G13161,매칭테이블!D:D,0),1)</f>
        <v/>
      </c>
      <c r="F13161" s="94" t="inlineStr">
        <is>
          <t>카페24</t>
        </is>
      </c>
      <c r="G13161" s="94" t="inlineStr">
        <is>
          <t>어성초 77 수딩 토너토너(필수)=어성초77토너1개 + 어성초77패드1개 -30% off (무료배송)</t>
        </is>
      </c>
      <c r="K13161" s="94" t="n">
        <v>1</v>
      </c>
      <c r="L13161" s="88" t="n">
        <v>201208</v>
      </c>
      <c r="M13161" s="88">
        <f>VLOOKUP($Q13161,매칭테이블!$F:$I,2,0)*K13161</f>
        <v/>
      </c>
      <c r="N13161" s="88">
        <f>M13161-M13161*VLOOKUP($Q13161,매칭테이블!$F:$I,3,0)</f>
        <v/>
      </c>
      <c r="O13161" s="88">
        <f>VLOOKUP($Q13161,매칭테이블!$F:$I,4,0)*K13161</f>
        <v/>
      </c>
      <c r="P13161" s="152">
        <f>M13161/1.1</f>
        <v/>
      </c>
      <c r="Q13161" s="88">
        <f>F13161&amp;E13161&amp;G13161&amp;L13161</f>
        <v/>
      </c>
    </row>
    <row r="13162">
      <c r="B13162" s="128" t="n">
        <v>44201</v>
      </c>
      <c r="C13162" s="88">
        <f>TEXT(B13162,"aaa")</f>
        <v/>
      </c>
      <c r="D13162" s="94" t="n"/>
      <c r="E13162" s="88">
        <f>INDEX(매칭테이블!C:D,MATCH(RD!G13162,매칭테이블!D:D,0),1)</f>
        <v/>
      </c>
      <c r="F13162" s="94" t="inlineStr">
        <is>
          <t>카페24</t>
        </is>
      </c>
      <c r="G13162" s="94" t="inlineStr">
        <is>
          <t>어성초 77 수딩 토너화장솜(선택)=촉촉 스킨팩 화장솜</t>
        </is>
      </c>
      <c r="K13162" s="94" t="n">
        <v>1</v>
      </c>
      <c r="L13162" s="88" t="n">
        <v>201208</v>
      </c>
      <c r="M13162" s="88">
        <f>VLOOKUP($Q13162,매칭테이블!$F:$I,2,0)*K13162</f>
        <v/>
      </c>
      <c r="N13162" s="88">
        <f>M13162-M13162*VLOOKUP($Q13162,매칭테이블!$F:$I,3,0)</f>
        <v/>
      </c>
      <c r="O13162" s="88">
        <f>VLOOKUP($Q13162,매칭테이블!$F:$I,4,0)*K13162</f>
        <v/>
      </c>
      <c r="P13162" s="152">
        <f>M13162/1.1</f>
        <v/>
      </c>
      <c r="Q13162" s="88">
        <f>F13162&amp;E13162&amp;G13162&amp;L13162</f>
        <v/>
      </c>
    </row>
    <row r="13163">
      <c r="B13163" s="128" t="n">
        <v>44201</v>
      </c>
      <c r="C13163" s="88">
        <f>TEXT(B13163,"aaa")</f>
        <v/>
      </c>
      <c r="D13163" s="94" t="n"/>
      <c r="E13163" s="88">
        <f>INDEX(매칭테이블!C:D,MATCH(RD!G13163,매칭테이블!D:D,0),1)</f>
        <v/>
      </c>
      <c r="F13163" s="94" t="inlineStr">
        <is>
          <t>카페24</t>
        </is>
      </c>
      <c r="G13163" s="94" t="inlineStr">
        <is>
          <t>어성초 77 수딩 토너토너(필수)=어성초 77 토너 1개-20% off</t>
        </is>
      </c>
      <c r="K13163" s="94" t="n">
        <v>1</v>
      </c>
      <c r="L13163" s="88" t="n">
        <v>201208</v>
      </c>
      <c r="M13163" s="88">
        <f>VLOOKUP($Q13163,매칭테이블!$F:$I,2,0)*K13163</f>
        <v/>
      </c>
      <c r="N13163" s="88">
        <f>M13163-M13163*VLOOKUP($Q13163,매칭테이블!$F:$I,3,0)</f>
        <v/>
      </c>
      <c r="O13163" s="88">
        <f>VLOOKUP($Q13163,매칭테이블!$F:$I,4,0)*K13163</f>
        <v/>
      </c>
      <c r="P13163" s="152">
        <f>M13163/1.1</f>
        <v/>
      </c>
      <c r="Q13163" s="88">
        <f>F13163&amp;E13163&amp;G13163&amp;L13163</f>
        <v/>
      </c>
    </row>
    <row r="13164">
      <c r="B13164" s="128" t="n">
        <v>44201</v>
      </c>
      <c r="C13164" s="88">
        <f>TEXT(B13164,"aaa")</f>
        <v/>
      </c>
      <c r="D13164" s="94" t="n"/>
      <c r="E13164" s="88">
        <f>INDEX(매칭테이블!C:D,MATCH(RD!G13164,매칭테이블!D:D,0),1)</f>
        <v/>
      </c>
      <c r="F13164" s="94" t="inlineStr">
        <is>
          <t>카페24</t>
        </is>
      </c>
      <c r="G13164" s="94" t="inlineStr">
        <is>
          <t>어성초 77 수딩 토너토너(필수)=어성초 77 토너 2개-30% off (무료배송)</t>
        </is>
      </c>
      <c r="K13164" s="94" t="n">
        <v>1</v>
      </c>
      <c r="L13164" s="88" t="n">
        <v>201208</v>
      </c>
      <c r="M13164" s="88">
        <f>VLOOKUP($Q13164,매칭테이블!$F:$I,2,0)*K13164</f>
        <v/>
      </c>
      <c r="N13164" s="88">
        <f>M13164-M13164*VLOOKUP($Q13164,매칭테이블!$F:$I,3,0)</f>
        <v/>
      </c>
      <c r="O13164" s="88">
        <f>VLOOKUP($Q13164,매칭테이블!$F:$I,4,0)*K13164</f>
        <v/>
      </c>
      <c r="P13164" s="152">
        <f>M13164/1.1</f>
        <v/>
      </c>
      <c r="Q13164" s="88">
        <f>F13164&amp;E13164&amp;G13164&amp;L13164</f>
        <v/>
      </c>
    </row>
    <row r="13165">
      <c r="B13165" s="128" t="n">
        <v>44201</v>
      </c>
      <c r="C13165" s="88">
        <f>TEXT(B13165,"aaa")</f>
        <v/>
      </c>
      <c r="D13165" s="94" t="n"/>
      <c r="E13165" s="88">
        <f>INDEX(매칭테이블!C:D,MATCH(RD!G13165,매칭테이블!D:D,0),1)</f>
        <v/>
      </c>
      <c r="F13165" s="94" t="inlineStr">
        <is>
          <t>카페24</t>
        </is>
      </c>
      <c r="G13165" s="94" t="inlineStr">
        <is>
          <t>어성초 77 수딩 토너 (클리어패드 세트 구매시 1/11 순차발송 예정)토너(필수)=어성초 77 토너 1개-20% off</t>
        </is>
      </c>
      <c r="K13165" s="94" t="n">
        <v>63</v>
      </c>
      <c r="L13165" s="88" t="n">
        <v>201208</v>
      </c>
      <c r="M13165" s="88">
        <f>VLOOKUP($Q13165,매칭테이블!$F:$I,2,0)*K13165</f>
        <v/>
      </c>
      <c r="N13165" s="88">
        <f>M13165-M13165*VLOOKUP($Q13165,매칭테이블!$F:$I,3,0)</f>
        <v/>
      </c>
      <c r="O13165" s="88">
        <f>VLOOKUP($Q13165,매칭테이블!$F:$I,4,0)*K13165</f>
        <v/>
      </c>
      <c r="P13165" s="152">
        <f>M13165/1.1</f>
        <v/>
      </c>
      <c r="Q13165" s="88">
        <f>F13165&amp;E13165&amp;G13165&amp;L13165</f>
        <v/>
      </c>
    </row>
    <row r="13166">
      <c r="B13166" s="128" t="n">
        <v>44201</v>
      </c>
      <c r="C13166" s="88">
        <f>TEXT(B13166,"aaa")</f>
        <v/>
      </c>
      <c r="D13166" s="94" t="n"/>
      <c r="E13166" s="88">
        <f>INDEX(매칭테이블!C:D,MATCH(RD!G13166,매칭테이블!D:D,0),1)</f>
        <v/>
      </c>
      <c r="F13166" s="94" t="inlineStr">
        <is>
          <t>카페24</t>
        </is>
      </c>
      <c r="G13166" s="94" t="inlineStr">
        <is>
          <t>어성초 77 수딩 토너 (클리어패드 세트 구매시 1/11 순차발송 예정)토너(필수)=어성초 77 토너 2개-30% off (무료배송)</t>
        </is>
      </c>
      <c r="K13166" s="94" t="n">
        <v>46</v>
      </c>
      <c r="L13166" s="88" t="n">
        <v>201208</v>
      </c>
      <c r="M13166" s="88">
        <f>VLOOKUP($Q13166,매칭테이블!$F:$I,2,0)*K13166</f>
        <v/>
      </c>
      <c r="N13166" s="88">
        <f>M13166-M13166*VLOOKUP($Q13166,매칭테이블!$F:$I,3,0)</f>
        <v/>
      </c>
      <c r="O13166" s="88">
        <f>VLOOKUP($Q13166,매칭테이블!$F:$I,4,0)*K13166</f>
        <v/>
      </c>
      <c r="P13166" s="152">
        <f>M13166/1.1</f>
        <v/>
      </c>
      <c r="Q13166" s="88">
        <f>F13166&amp;E13166&amp;G13166&amp;L13166</f>
        <v/>
      </c>
    </row>
    <row r="13167">
      <c r="B13167" s="128" t="n">
        <v>44201</v>
      </c>
      <c r="C13167" s="88">
        <f>TEXT(B13167,"aaa")</f>
        <v/>
      </c>
      <c r="D13167" s="94" t="n"/>
      <c r="E13167" s="88">
        <f>INDEX(매칭테이블!C:D,MATCH(RD!G13167,매칭테이블!D:D,0),1)</f>
        <v/>
      </c>
      <c r="F13167" s="94" t="inlineStr">
        <is>
          <t>카페24</t>
        </is>
      </c>
      <c r="G13167" s="94" t="inlineStr">
        <is>
          <t>어성초 77 수딩 토너 (클리어패드 세트 구매시 1/11 순차발송 예정)토너(필수)=어성초77토너1개 + 어성초77패드1개 -30% off (무료배송)</t>
        </is>
      </c>
      <c r="K13167" s="94" t="n">
        <v>32</v>
      </c>
      <c r="L13167" s="88" t="n">
        <v>201208</v>
      </c>
      <c r="M13167" s="88">
        <f>VLOOKUP($Q13167,매칭테이블!$F:$I,2,0)*K13167</f>
        <v/>
      </c>
      <c r="N13167" s="88">
        <f>M13167-M13167*VLOOKUP($Q13167,매칭테이블!$F:$I,3,0)</f>
        <v/>
      </c>
      <c r="O13167" s="88">
        <f>VLOOKUP($Q13167,매칭테이블!$F:$I,4,0)*K13167</f>
        <v/>
      </c>
      <c r="P13167" s="152">
        <f>M13167/1.1</f>
        <v/>
      </c>
      <c r="Q13167" s="88">
        <f>F13167&amp;E13167&amp;G13167&amp;L13167</f>
        <v/>
      </c>
    </row>
    <row r="13168">
      <c r="B13168" s="128" t="n">
        <v>44201</v>
      </c>
      <c r="C13168" s="88">
        <f>TEXT(B13168,"aaa")</f>
        <v/>
      </c>
      <c r="D13168" s="94" t="n"/>
      <c r="E13168" s="88">
        <f>INDEX(매칭테이블!C:D,MATCH(RD!G13168,매칭테이블!D:D,0),1)</f>
        <v/>
      </c>
      <c r="F13168" s="94" t="inlineStr">
        <is>
          <t>카페24</t>
        </is>
      </c>
      <c r="G13168" s="94" t="inlineStr">
        <is>
          <t>어성초 77 수딩 토너 (클리어패드 세트 구매시 1/11 순차발송 예정)화장솜(선택)=촉촉 스킨팩 화장솜</t>
        </is>
      </c>
      <c r="K13168" s="94" t="n">
        <v>49</v>
      </c>
      <c r="L13168" s="88" t="n">
        <v>201208</v>
      </c>
      <c r="M13168" s="88">
        <f>VLOOKUP($Q13168,매칭테이블!$F:$I,2,0)*K13168</f>
        <v/>
      </c>
      <c r="N13168" s="88">
        <f>M13168-M13168*VLOOKUP($Q13168,매칭테이블!$F:$I,3,0)</f>
        <v/>
      </c>
      <c r="O13168" s="88">
        <f>VLOOKUP($Q13168,매칭테이블!$F:$I,4,0)*K13168</f>
        <v/>
      </c>
      <c r="P13168" s="152">
        <f>M13168/1.1</f>
        <v/>
      </c>
      <c r="Q13168" s="88">
        <f>F13168&amp;E13168&amp;G13168&amp;L13168</f>
        <v/>
      </c>
    </row>
    <row r="13169">
      <c r="B13169" s="128" t="n">
        <v>44201</v>
      </c>
      <c r="C13169" s="88">
        <f>TEXT(B13169,"aaa")</f>
        <v/>
      </c>
      <c r="D13169" s="94" t="n"/>
      <c r="E13169" s="88">
        <f>INDEX(매칭테이블!C:D,MATCH(RD!G13169,매칭테이블!D:D,0),1)</f>
        <v/>
      </c>
      <c r="F13169" s="94" t="inlineStr">
        <is>
          <t>카페24</t>
        </is>
      </c>
      <c r="G13169" s="94" t="inlineStr">
        <is>
          <t>어성초 77 진정 마스크옵션=어성초 77 진정 마스크팩 10장-50% off</t>
        </is>
      </c>
      <c r="K13169" s="94" t="n">
        <v>4</v>
      </c>
      <c r="L13169" s="88" t="n">
        <v>201208</v>
      </c>
      <c r="M13169" s="88">
        <f>VLOOKUP($Q13169,매칭테이블!$F:$I,2,0)*K13169</f>
        <v/>
      </c>
      <c r="N13169" s="88">
        <f>M13169-M13169*VLOOKUP($Q13169,매칭테이블!$F:$I,3,0)</f>
        <v/>
      </c>
      <c r="O13169" s="88">
        <f>VLOOKUP($Q13169,매칭테이블!$F:$I,4,0)*K13169</f>
        <v/>
      </c>
      <c r="P13169" s="152">
        <f>M13169/1.1</f>
        <v/>
      </c>
      <c r="Q13169" s="88">
        <f>F13169&amp;E13169&amp;G13169&amp;L13169</f>
        <v/>
      </c>
    </row>
    <row r="13170">
      <c r="B13170" s="128" t="n">
        <v>44201</v>
      </c>
      <c r="C13170" s="88">
        <f>TEXT(B13170,"aaa")</f>
        <v/>
      </c>
      <c r="D13170" s="94" t="n"/>
      <c r="E13170" s="88">
        <f>INDEX(매칭테이블!C:D,MATCH(RD!G13170,매칭테이블!D:D,0),1)</f>
        <v/>
      </c>
      <c r="F13170" s="94" t="inlineStr">
        <is>
          <t>카페24</t>
        </is>
      </c>
      <c r="G13170" s="94" t="inlineStr">
        <is>
          <t>어성초 77 진정 마스크</t>
        </is>
      </c>
      <c r="K13170" s="94" t="n">
        <v>6</v>
      </c>
      <c r="L13170" s="88" t="n">
        <v>201208</v>
      </c>
      <c r="M13170" s="88">
        <f>VLOOKUP($Q13170,매칭테이블!$F:$I,2,0)*K13170</f>
        <v/>
      </c>
      <c r="N13170" s="88">
        <f>M13170-M13170*VLOOKUP($Q13170,매칭테이블!$F:$I,3,0)</f>
        <v/>
      </c>
      <c r="O13170" s="88">
        <f>VLOOKUP($Q13170,매칭테이블!$F:$I,4,0)*K13170</f>
        <v/>
      </c>
      <c r="P13170" s="152">
        <f>M13170/1.1</f>
        <v/>
      </c>
      <c r="Q13170" s="88">
        <f>F13170&amp;E13170&amp;G13170&amp;L13170</f>
        <v/>
      </c>
    </row>
    <row r="13171">
      <c r="B13171" s="128" t="n">
        <v>44201</v>
      </c>
      <c r="C13171" s="88">
        <f>TEXT(B13171,"aaa")</f>
        <v/>
      </c>
      <c r="D13171" s="94" t="n"/>
      <c r="E13171" s="88">
        <f>INDEX(매칭테이블!C:D,MATCH(RD!G13171,매칭테이블!D:D,0),1)</f>
        <v/>
      </c>
      <c r="F13171" s="94" t="inlineStr">
        <is>
          <t>카페24</t>
        </is>
      </c>
      <c r="G13171" s="94" t="inlineStr">
        <is>
          <t>어성초 77 클리어 패드옵션=어성초 77 클리어 패드 2개-30% off (무료배송)</t>
        </is>
      </c>
      <c r="K13171" s="94" t="n">
        <v>1</v>
      </c>
      <c r="L13171" s="88" t="n">
        <v>201208</v>
      </c>
      <c r="M13171" s="88">
        <f>VLOOKUP($Q13171,매칭테이블!$F:$I,2,0)*K13171</f>
        <v/>
      </c>
      <c r="N13171" s="88">
        <f>M13171-M13171*VLOOKUP($Q13171,매칭테이블!$F:$I,3,0)</f>
        <v/>
      </c>
      <c r="O13171" s="88">
        <f>VLOOKUP($Q13171,매칭테이블!$F:$I,4,0)*K13171</f>
        <v/>
      </c>
      <c r="P13171" s="152">
        <f>M13171/1.1</f>
        <v/>
      </c>
      <c r="Q13171" s="88">
        <f>F13171&amp;E13171&amp;G13171&amp;L13171</f>
        <v/>
      </c>
    </row>
    <row r="13172">
      <c r="B13172" s="128" t="n">
        <v>44201</v>
      </c>
      <c r="C13172" s="88">
        <f>TEXT(B13172,"aaa")</f>
        <v/>
      </c>
      <c r="D13172" s="94" t="n"/>
      <c r="E13172" s="88">
        <f>INDEX(매칭테이블!C:D,MATCH(RD!G13172,매칭테이블!D:D,0),1)</f>
        <v/>
      </c>
      <c r="F13172" s="94" t="inlineStr">
        <is>
          <t>카페24</t>
        </is>
      </c>
      <c r="G13172" s="94" t="inlineStr">
        <is>
          <t>어성초 77 클리어 패드 (1/11 순차발송 예정)옵션=어성초 77 클리어 패드 1개-20% off</t>
        </is>
      </c>
      <c r="K13172" s="94" t="n">
        <v>35</v>
      </c>
      <c r="L13172" s="88" t="n">
        <v>201208</v>
      </c>
      <c r="M13172" s="88">
        <f>VLOOKUP($Q13172,매칭테이블!$F:$I,2,0)*K13172</f>
        <v/>
      </c>
      <c r="N13172" s="88">
        <f>M13172-M13172*VLOOKUP($Q13172,매칭테이블!$F:$I,3,0)</f>
        <v/>
      </c>
      <c r="O13172" s="88">
        <f>VLOOKUP($Q13172,매칭테이블!$F:$I,4,0)*K13172</f>
        <v/>
      </c>
      <c r="P13172" s="152">
        <f>M13172/1.1</f>
        <v/>
      </c>
      <c r="Q13172" s="88">
        <f>F13172&amp;E13172&amp;G13172&amp;L13172</f>
        <v/>
      </c>
    </row>
    <row r="13173">
      <c r="B13173" s="128" t="n">
        <v>44201</v>
      </c>
      <c r="C13173" s="88">
        <f>TEXT(B13173,"aaa")</f>
        <v/>
      </c>
      <c r="D13173" s="94" t="n"/>
      <c r="E13173" s="88">
        <f>INDEX(매칭테이블!C:D,MATCH(RD!G13173,매칭테이블!D:D,0),1)</f>
        <v/>
      </c>
      <c r="F13173" s="94" t="inlineStr">
        <is>
          <t>카페24</t>
        </is>
      </c>
      <c r="G13173" s="94" t="inlineStr">
        <is>
          <t>어성초 77 클리어 패드 (1/11 순차발송 예정)옵션=어성초 77 클리어 패드 2개-30% off (무료배송)</t>
        </is>
      </c>
      <c r="K13173" s="94" t="n">
        <v>55</v>
      </c>
      <c r="L13173" s="88" t="n">
        <v>201208</v>
      </c>
      <c r="M13173" s="88">
        <f>VLOOKUP($Q13173,매칭테이블!$F:$I,2,0)*K13173</f>
        <v/>
      </c>
      <c r="N13173" s="88">
        <f>M13173-M13173*VLOOKUP($Q13173,매칭테이블!$F:$I,3,0)</f>
        <v/>
      </c>
      <c r="O13173" s="88">
        <f>VLOOKUP($Q13173,매칭테이블!$F:$I,4,0)*K13173</f>
        <v/>
      </c>
      <c r="P13173" s="152">
        <f>M13173/1.1</f>
        <v/>
      </c>
      <c r="Q13173" s="88">
        <f>F13173&amp;E13173&amp;G13173&amp;L13173</f>
        <v/>
      </c>
    </row>
    <row r="13174">
      <c r="B13174" s="128" t="n">
        <v>44201</v>
      </c>
      <c r="C13174" s="88">
        <f>TEXT(B13174,"aaa")</f>
        <v/>
      </c>
      <c r="D13174" s="94" t="n"/>
      <c r="E13174" s="88">
        <f>INDEX(매칭테이블!C:D,MATCH(RD!G13174,매칭테이블!D:D,0),1)</f>
        <v/>
      </c>
      <c r="F13174" s="94" t="inlineStr">
        <is>
          <t>카페24</t>
        </is>
      </c>
      <c r="G13174" s="94" t="inlineStr">
        <is>
          <t>어성초 77 클리어 패드 (1/11 순차발송 예정)옵션=어성초77토너1개+어성초77패드1개-30% off (무료배송)</t>
        </is>
      </c>
      <c r="K13174" s="94" t="n">
        <v>28</v>
      </c>
      <c r="L13174" s="88" t="n">
        <v>201208</v>
      </c>
      <c r="M13174" s="88">
        <f>VLOOKUP($Q13174,매칭테이블!$F:$I,2,0)*K13174</f>
        <v/>
      </c>
      <c r="N13174" s="88">
        <f>M13174-M13174*VLOOKUP($Q13174,매칭테이블!$F:$I,3,0)</f>
        <v/>
      </c>
      <c r="O13174" s="88">
        <f>VLOOKUP($Q13174,매칭테이블!$F:$I,4,0)*K13174</f>
        <v/>
      </c>
      <c r="P13174" s="152">
        <f>M13174/1.1</f>
        <v/>
      </c>
      <c r="Q13174" s="88">
        <f>F13174&amp;E13174&amp;G13174&amp;L13174</f>
        <v/>
      </c>
    </row>
    <row r="13175">
      <c r="B13175" s="128" t="n">
        <v>44201</v>
      </c>
      <c r="C13175" s="88">
        <f>TEXT(B13175,"aaa")</f>
        <v/>
      </c>
      <c r="D13175" s="94" t="n"/>
      <c r="E13175" s="88">
        <f>INDEX(매칭테이블!C:D,MATCH(RD!G13175,매칭테이블!D:D,0),1)</f>
        <v/>
      </c>
      <c r="F13175" s="94" t="inlineStr">
        <is>
          <t>카페24</t>
        </is>
      </c>
      <c r="G13175" s="94" t="inlineStr">
        <is>
          <t>어성초 77 토너</t>
        </is>
      </c>
      <c r="K13175" s="94" t="n">
        <v>1</v>
      </c>
      <c r="L13175" s="88" t="n">
        <v>201208</v>
      </c>
      <c r="M13175" s="88">
        <f>VLOOKUP($Q13175,매칭테이블!$F:$I,2,0)*K13175</f>
        <v/>
      </c>
      <c r="N13175" s="88">
        <f>M13175-M13175*VLOOKUP($Q13175,매칭테이블!$F:$I,3,0)</f>
        <v/>
      </c>
      <c r="O13175" s="88">
        <f>VLOOKUP($Q13175,매칭테이블!$F:$I,4,0)*K13175</f>
        <v/>
      </c>
      <c r="P13175" s="152">
        <f>M13175/1.1</f>
        <v/>
      </c>
      <c r="Q13175" s="88">
        <f>F13175&amp;E13175&amp;G13175&amp;L13175</f>
        <v/>
      </c>
    </row>
    <row r="13176">
      <c r="B13176" s="128" t="n">
        <v>44201</v>
      </c>
      <c r="C13176" s="88">
        <f>TEXT(B13176,"aaa")</f>
        <v/>
      </c>
      <c r="D13176" s="94" t="n"/>
      <c r="E13176" s="88">
        <f>INDEX(매칭테이블!C:D,MATCH(RD!G13176,매칭테이블!D:D,0),1)</f>
        <v/>
      </c>
      <c r="F13176" s="94" t="inlineStr">
        <is>
          <t>카페24</t>
        </is>
      </c>
      <c r="G13176" s="94" t="inlineStr">
        <is>
          <t>어성초 77 토너토너(필수)=어성초 77 토너 1개-20% off</t>
        </is>
      </c>
      <c r="K13176" s="94" t="n">
        <v>1</v>
      </c>
      <c r="L13176" s="88" t="n">
        <v>201208</v>
      </c>
      <c r="M13176" s="88">
        <f>VLOOKUP($Q13176,매칭테이블!$F:$I,2,0)*K13176</f>
        <v/>
      </c>
      <c r="N13176" s="88">
        <f>M13176-M13176*VLOOKUP($Q13176,매칭테이블!$F:$I,3,0)</f>
        <v/>
      </c>
      <c r="O13176" s="88">
        <f>VLOOKUP($Q13176,매칭테이블!$F:$I,4,0)*K13176</f>
        <v/>
      </c>
      <c r="P13176" s="152">
        <f>M13176/1.1</f>
        <v/>
      </c>
      <c r="Q13176" s="88">
        <f>F13176&amp;E13176&amp;G13176&amp;L13176</f>
        <v/>
      </c>
    </row>
    <row r="13177">
      <c r="B13177" s="128" t="n">
        <v>44201</v>
      </c>
      <c r="C13177" s="88">
        <f>TEXT(B13177,"aaa")</f>
        <v/>
      </c>
      <c r="D13177" s="94" t="n"/>
      <c r="E13177" s="88">
        <f>INDEX(매칭테이블!C:D,MATCH(RD!G13177,매칭테이블!D:D,0),1)</f>
        <v/>
      </c>
      <c r="F13177" s="94" t="inlineStr">
        <is>
          <t>카페24</t>
        </is>
      </c>
      <c r="G13177" s="94" t="inlineStr">
        <is>
          <t>어성초 77 토너토너(필수)=어성초 77 토너 2개-30% off (무료배송)</t>
        </is>
      </c>
      <c r="K13177" s="94" t="n">
        <v>2</v>
      </c>
      <c r="L13177" s="88" t="n">
        <v>201208</v>
      </c>
      <c r="M13177" s="88">
        <f>VLOOKUP($Q13177,매칭테이블!$F:$I,2,0)*K13177</f>
        <v/>
      </c>
      <c r="N13177" s="88">
        <f>M13177-M13177*VLOOKUP($Q13177,매칭테이블!$F:$I,3,0)</f>
        <v/>
      </c>
      <c r="O13177" s="88">
        <f>VLOOKUP($Q13177,매칭테이블!$F:$I,4,0)*K13177</f>
        <v/>
      </c>
      <c r="P13177" s="152">
        <f>M13177/1.1</f>
        <v/>
      </c>
      <c r="Q13177" s="88">
        <f>F13177&amp;E13177&amp;G13177&amp;L13177</f>
        <v/>
      </c>
    </row>
    <row r="13178">
      <c r="B13178" s="128" t="n">
        <v>44201</v>
      </c>
      <c r="C13178" s="88">
        <f>TEXT(B13178,"aaa")</f>
        <v/>
      </c>
      <c r="D13178" s="94" t="n"/>
      <c r="E13178" s="88">
        <f>INDEX(매칭테이블!C:D,MATCH(RD!G13178,매칭테이블!D:D,0),1)</f>
        <v/>
      </c>
      <c r="F13178" s="94" t="inlineStr">
        <is>
          <t>카페24</t>
        </is>
      </c>
      <c r="G13178" s="94" t="inlineStr">
        <is>
          <t>어성초 77 포어 클리어 패드 (1/11 순차발송 예정)옵션=어성초 77 클리어 패드 1개-20% off</t>
        </is>
      </c>
      <c r="K13178" s="94" t="n">
        <v>13</v>
      </c>
      <c r="L13178" s="88" t="n">
        <v>201208</v>
      </c>
      <c r="M13178" s="88">
        <f>VLOOKUP($Q13178,매칭테이블!$F:$I,2,0)*K13178</f>
        <v/>
      </c>
      <c r="N13178" s="88">
        <f>M13178-M13178*VLOOKUP($Q13178,매칭테이블!$F:$I,3,0)</f>
        <v/>
      </c>
      <c r="O13178" s="88">
        <f>VLOOKUP($Q13178,매칭테이블!$F:$I,4,0)*K13178</f>
        <v/>
      </c>
      <c r="P13178" s="152">
        <f>M13178/1.1</f>
        <v/>
      </c>
      <c r="Q13178" s="88">
        <f>F13178&amp;E13178&amp;G13178&amp;L13178</f>
        <v/>
      </c>
    </row>
    <row r="13179">
      <c r="B13179" s="128" t="n">
        <v>44201</v>
      </c>
      <c r="C13179" s="88">
        <f>TEXT(B13179,"aaa")</f>
        <v/>
      </c>
      <c r="D13179" s="94" t="n"/>
      <c r="E13179" s="88">
        <f>INDEX(매칭테이블!C:D,MATCH(RD!G13179,매칭테이블!D:D,0),1)</f>
        <v/>
      </c>
      <c r="F13179" s="94" t="inlineStr">
        <is>
          <t>카페24</t>
        </is>
      </c>
      <c r="G13179" s="94" t="inlineStr">
        <is>
          <t>어성초 77 포어 클리어 패드 (1/11 순차발송 예정)옵션=어성초 77 클리어 패드 2개-30% off (무료배송)</t>
        </is>
      </c>
      <c r="K13179" s="94" t="n">
        <v>1</v>
      </c>
      <c r="L13179" s="88" t="n">
        <v>201208</v>
      </c>
      <c r="M13179" s="88">
        <f>VLOOKUP($Q13179,매칭테이블!$F:$I,2,0)*K13179</f>
        <v/>
      </c>
      <c r="N13179" s="88">
        <f>M13179-M13179*VLOOKUP($Q13179,매칭테이블!$F:$I,3,0)</f>
        <v/>
      </c>
      <c r="O13179" s="88">
        <f>VLOOKUP($Q13179,매칭테이블!$F:$I,4,0)*K13179</f>
        <v/>
      </c>
      <c r="P13179" s="152">
        <f>M13179/1.1</f>
        <v/>
      </c>
      <c r="Q13179" s="88">
        <f>F13179&amp;E13179&amp;G13179&amp;L13179</f>
        <v/>
      </c>
    </row>
    <row r="13180">
      <c r="B13180" s="128" t="n">
        <v>44201</v>
      </c>
      <c r="C13180" s="88">
        <f>TEXT(B13180,"aaa")</f>
        <v/>
      </c>
      <c r="D13180" s="94" t="n"/>
      <c r="E13180" s="88">
        <f>INDEX(매칭테이블!C:D,MATCH(RD!G13180,매칭테이블!D:D,0),1)</f>
        <v/>
      </c>
      <c r="F13180" s="94" t="inlineStr">
        <is>
          <t>카페24</t>
        </is>
      </c>
      <c r="G13180" s="94" t="inlineStr">
        <is>
          <t>어성초 77 포어 클리어 패드 (1/11 순차발송 예정)옵션=어성초77토너1개+어성초77패드1개-30% off (무료배송)</t>
        </is>
      </c>
      <c r="K13180" s="94" t="n">
        <v>5</v>
      </c>
      <c r="L13180" s="88" t="n">
        <v>201208</v>
      </c>
      <c r="M13180" s="88">
        <f>VLOOKUP($Q13180,매칭테이블!$F:$I,2,0)*K13180</f>
        <v/>
      </c>
      <c r="N13180" s="88">
        <f>M13180-M13180*VLOOKUP($Q13180,매칭테이블!$F:$I,3,0)</f>
        <v/>
      </c>
      <c r="O13180" s="88">
        <f>VLOOKUP($Q13180,매칭테이블!$F:$I,4,0)*K13180</f>
        <v/>
      </c>
      <c r="P13180" s="152">
        <f>M13180/1.1</f>
        <v/>
      </c>
      <c r="Q13180" s="88">
        <f>F13180&amp;E13180&amp;G13180&amp;L13180</f>
        <v/>
      </c>
    </row>
    <row r="13181">
      <c r="B13181" s="128" t="n">
        <v>44201</v>
      </c>
      <c r="C13181" s="88">
        <f>TEXT(B13181,"aaa")</f>
        <v/>
      </c>
      <c r="D13181" s="94" t="n"/>
      <c r="E13181" s="88">
        <f>INDEX(매칭테이블!C:D,MATCH(RD!G13181,매칭테이블!D:D,0),1)</f>
        <v/>
      </c>
      <c r="F13181" s="94" t="inlineStr">
        <is>
          <t>카페24</t>
        </is>
      </c>
      <c r="G13181" s="94" t="inlineStr">
        <is>
          <t>어성초 77% 패드옵션=어성초 77 클리어 패드 1개-20% off</t>
        </is>
      </c>
      <c r="K13181" s="94" t="n">
        <v>2</v>
      </c>
      <c r="L13181" s="88" t="n">
        <v>201208</v>
      </c>
      <c r="M13181" s="88">
        <f>VLOOKUP($Q13181,매칭테이블!$F:$I,2,0)*K13181</f>
        <v/>
      </c>
      <c r="N13181" s="88">
        <f>M13181-M13181*VLOOKUP($Q13181,매칭테이블!$F:$I,3,0)</f>
        <v/>
      </c>
      <c r="O13181" s="88">
        <f>VLOOKUP($Q13181,매칭테이블!$F:$I,4,0)*K13181</f>
        <v/>
      </c>
      <c r="P13181" s="152">
        <f>M13181/1.1</f>
        <v/>
      </c>
      <c r="Q13181" s="88">
        <f>F13181&amp;E13181&amp;G13181&amp;L13181</f>
        <v/>
      </c>
    </row>
    <row r="13182">
      <c r="B13182" s="128" t="n">
        <v>44201</v>
      </c>
      <c r="C13182" s="88">
        <f>TEXT(B13182,"aaa")</f>
        <v/>
      </c>
      <c r="D13182" s="94" t="n"/>
      <c r="E13182" s="88">
        <f>INDEX(매칭테이블!C:D,MATCH(RD!G13182,매칭테이블!D:D,0),1)</f>
        <v/>
      </c>
      <c r="F13182" s="94" t="inlineStr">
        <is>
          <t>카페24</t>
        </is>
      </c>
      <c r="G13182" s="94" t="inlineStr">
        <is>
          <t>어성초 77% 패드옵션=어성초 77 클리어 패드 2개-30% off (무료배송)</t>
        </is>
      </c>
      <c r="K13182" s="94" t="n">
        <v>1</v>
      </c>
      <c r="L13182" s="88" t="n">
        <v>201208</v>
      </c>
      <c r="M13182" s="88">
        <f>VLOOKUP($Q13182,매칭테이블!$F:$I,2,0)*K13182</f>
        <v/>
      </c>
      <c r="N13182" s="88">
        <f>M13182-M13182*VLOOKUP($Q13182,매칭테이블!$F:$I,3,0)</f>
        <v/>
      </c>
      <c r="O13182" s="88">
        <f>VLOOKUP($Q13182,매칭테이블!$F:$I,4,0)*K13182</f>
        <v/>
      </c>
      <c r="P13182" s="152">
        <f>M13182/1.1</f>
        <v/>
      </c>
      <c r="Q13182" s="88">
        <f>F13182&amp;E13182&amp;G13182&amp;L13182</f>
        <v/>
      </c>
    </row>
    <row r="13183">
      <c r="B13183" s="128" t="n">
        <v>44201</v>
      </c>
      <c r="C13183" s="88">
        <f>TEXT(B13183,"aaa")</f>
        <v/>
      </c>
      <c r="D13183" s="94" t="n"/>
      <c r="E13183" s="88">
        <f>INDEX(매칭테이블!C:D,MATCH(RD!G13183,매칭테이블!D:D,0),1)</f>
        <v/>
      </c>
      <c r="F13183" s="94" t="inlineStr">
        <is>
          <t>카페24</t>
        </is>
      </c>
      <c r="G13183" s="94" t="inlineStr">
        <is>
          <t>어성초 77% 패드옵션=어성초77토너1개+어성초77패드1개-30% off (무료배송)</t>
        </is>
      </c>
      <c r="K13183" s="94" t="n">
        <v>1</v>
      </c>
      <c r="L13183" s="88" t="n">
        <v>201208</v>
      </c>
      <c r="M13183" s="88">
        <f>VLOOKUP($Q13183,매칭테이블!$F:$I,2,0)*K13183</f>
        <v/>
      </c>
      <c r="N13183" s="88">
        <f>M13183-M13183*VLOOKUP($Q13183,매칭테이블!$F:$I,3,0)</f>
        <v/>
      </c>
      <c r="O13183" s="88">
        <f>VLOOKUP($Q13183,매칭테이블!$F:$I,4,0)*K13183</f>
        <v/>
      </c>
      <c r="P13183" s="152">
        <f>M13183/1.1</f>
        <v/>
      </c>
      <c r="Q13183" s="88">
        <f>F13183&amp;E13183&amp;G13183&amp;L13183</f>
        <v/>
      </c>
    </row>
    <row r="13184">
      <c r="B13184" s="128" t="n">
        <v>44201</v>
      </c>
      <c r="C13184" s="88">
        <f>TEXT(B13184,"aaa")</f>
        <v/>
      </c>
      <c r="D13184" s="94" t="n"/>
      <c r="E13184" s="88">
        <f>INDEX(매칭테이블!C:D,MATCH(RD!G13184,매칭테이블!D:D,0),1)</f>
        <v/>
      </c>
      <c r="F13184" s="94" t="inlineStr">
        <is>
          <t>카페24</t>
        </is>
      </c>
      <c r="G13184" s="94" t="inlineStr">
        <is>
          <t>어성초 77% 패드 (1/11 순차발송 예정)옵션=어성초 77 클리어 패드 1개-20% off</t>
        </is>
      </c>
      <c r="K13184" s="94" t="n">
        <v>33</v>
      </c>
      <c r="L13184" s="88" t="n">
        <v>201208</v>
      </c>
      <c r="M13184" s="88">
        <f>VLOOKUP($Q13184,매칭테이블!$F:$I,2,0)*K13184</f>
        <v/>
      </c>
      <c r="N13184" s="88">
        <f>M13184-M13184*VLOOKUP($Q13184,매칭테이블!$F:$I,3,0)</f>
        <v/>
      </c>
      <c r="O13184" s="88">
        <f>VLOOKUP($Q13184,매칭테이블!$F:$I,4,0)*K13184</f>
        <v/>
      </c>
      <c r="P13184" s="152">
        <f>M13184/1.1</f>
        <v/>
      </c>
      <c r="Q13184" s="88">
        <f>F13184&amp;E13184&amp;G13184&amp;L13184</f>
        <v/>
      </c>
    </row>
    <row r="13185">
      <c r="B13185" s="128" t="n">
        <v>44201</v>
      </c>
      <c r="C13185" s="88">
        <f>TEXT(B13185,"aaa")</f>
        <v/>
      </c>
      <c r="D13185" s="94" t="n"/>
      <c r="E13185" s="88">
        <f>INDEX(매칭테이블!C:D,MATCH(RD!G13185,매칭테이블!D:D,0),1)</f>
        <v/>
      </c>
      <c r="F13185" s="94" t="inlineStr">
        <is>
          <t>카페24</t>
        </is>
      </c>
      <c r="G13185" s="94" t="inlineStr">
        <is>
          <t>어성초 77% 패드 (1/11 순차발송 예정)옵션=어성초 77 클리어 패드 2개-30% off (무료배송)</t>
        </is>
      </c>
      <c r="K13185" s="94" t="n">
        <v>21</v>
      </c>
      <c r="L13185" s="88" t="n">
        <v>201208</v>
      </c>
      <c r="M13185" s="88">
        <f>VLOOKUP($Q13185,매칭테이블!$F:$I,2,0)*K13185</f>
        <v/>
      </c>
      <c r="N13185" s="88">
        <f>M13185-M13185*VLOOKUP($Q13185,매칭테이블!$F:$I,3,0)</f>
        <v/>
      </c>
      <c r="O13185" s="88">
        <f>VLOOKUP($Q13185,매칭테이블!$F:$I,4,0)*K13185</f>
        <v/>
      </c>
      <c r="P13185" s="152">
        <f>M13185/1.1</f>
        <v/>
      </c>
      <c r="Q13185" s="88">
        <f>F13185&amp;E13185&amp;G13185&amp;L13185</f>
        <v/>
      </c>
    </row>
    <row r="13186">
      <c r="B13186" s="128" t="n">
        <v>44201</v>
      </c>
      <c r="C13186" s="88">
        <f>TEXT(B13186,"aaa")</f>
        <v/>
      </c>
      <c r="D13186" s="94" t="n"/>
      <c r="E13186" s="88">
        <f>INDEX(매칭테이블!C:D,MATCH(RD!G13186,매칭테이블!D:D,0),1)</f>
        <v/>
      </c>
      <c r="F13186" s="94" t="inlineStr">
        <is>
          <t>카페24</t>
        </is>
      </c>
      <c r="G13186" s="94" t="inlineStr">
        <is>
          <t>어성초 77% 패드 (1/11 순차발송 예정)옵션=어성초77토너1개+어성초77패드1개-30% off (무료배송)</t>
        </is>
      </c>
      <c r="K13186" s="94" t="n">
        <v>27</v>
      </c>
      <c r="L13186" s="88" t="n">
        <v>201208</v>
      </c>
      <c r="M13186" s="88">
        <f>VLOOKUP($Q13186,매칭테이블!$F:$I,2,0)*K13186</f>
        <v/>
      </c>
      <c r="N13186" s="88">
        <f>M13186-M13186*VLOOKUP($Q13186,매칭테이블!$F:$I,3,0)</f>
        <v/>
      </c>
      <c r="O13186" s="88">
        <f>VLOOKUP($Q13186,매칭테이블!$F:$I,4,0)*K13186</f>
        <v/>
      </c>
      <c r="P13186" s="152">
        <f>M13186/1.1</f>
        <v/>
      </c>
      <c r="Q13186" s="88">
        <f>F13186&amp;E13186&amp;G13186&amp;L13186</f>
        <v/>
      </c>
    </row>
    <row r="13187">
      <c r="B13187" s="128" t="n">
        <v>44201</v>
      </c>
      <c r="C13187" s="88">
        <f>TEXT(B13187,"aaa")</f>
        <v/>
      </c>
      <c r="D13187" s="94" t="n"/>
      <c r="E13187" s="88">
        <f>INDEX(매칭테이블!C:D,MATCH(RD!G13187,매칭테이블!D:D,0),1)</f>
        <v/>
      </c>
      <c r="F13187" s="94" t="inlineStr">
        <is>
          <t>카페24</t>
        </is>
      </c>
      <c r="G13187" s="94" t="inlineStr">
        <is>
          <t>어성초 78 수딩 크림</t>
        </is>
      </c>
      <c r="K13187" s="94" t="n">
        <v>10</v>
      </c>
      <c r="L13187" s="88" t="n">
        <v>201208</v>
      </c>
      <c r="M13187" s="88">
        <f>VLOOKUP($Q13187,매칭테이블!$F:$I,2,0)*K13187</f>
        <v/>
      </c>
      <c r="N13187" s="88">
        <f>M13187-M13187*VLOOKUP($Q13187,매칭테이블!$F:$I,3,0)</f>
        <v/>
      </c>
      <c r="O13187" s="88">
        <f>VLOOKUP($Q13187,매칭테이블!$F:$I,4,0)*K13187</f>
        <v/>
      </c>
      <c r="P13187" s="152">
        <f>M13187/1.1</f>
        <v/>
      </c>
      <c r="Q13187" s="88">
        <f>F13187&amp;E13187&amp;G13187&amp;L13187</f>
        <v/>
      </c>
    </row>
    <row r="13188">
      <c r="B13188" s="128" t="n">
        <v>44201</v>
      </c>
      <c r="C13188" s="88">
        <f>TEXT(B13188,"aaa")</f>
        <v/>
      </c>
      <c r="D13188" s="94" t="n"/>
      <c r="E13188" s="88">
        <f>INDEX(매칭테이블!C:D,MATCH(RD!G13188,매칭테이블!D:D,0),1)</f>
        <v/>
      </c>
      <c r="F13188" s="94" t="inlineStr">
        <is>
          <t>카페24</t>
        </is>
      </c>
      <c r="G13188" s="94" t="inlineStr">
        <is>
          <t>어성초 78 수딩 크림</t>
        </is>
      </c>
      <c r="K13188" s="94" t="n">
        <v>2</v>
      </c>
      <c r="L13188" s="88" t="n">
        <v>201208</v>
      </c>
      <c r="M13188" s="88">
        <f>VLOOKUP($Q13188,매칭테이블!$F:$I,2,0)*K13188</f>
        <v/>
      </c>
      <c r="N13188" s="88">
        <f>M13188-M13188*VLOOKUP($Q13188,매칭테이블!$F:$I,3,0)</f>
        <v/>
      </c>
      <c r="O13188" s="88">
        <f>VLOOKUP($Q13188,매칭테이블!$F:$I,4,0)*K13188</f>
        <v/>
      </c>
      <c r="P13188" s="152">
        <f>M13188/1.1</f>
        <v/>
      </c>
      <c r="Q13188" s="88">
        <f>F13188&amp;E13188&amp;G13188&amp;L13188</f>
        <v/>
      </c>
    </row>
    <row r="13189">
      <c r="B13189" s="128" t="n">
        <v>44201</v>
      </c>
      <c r="C13189" s="88">
        <f>TEXT(B13189,"aaa")</f>
        <v/>
      </c>
      <c r="D13189" s="94" t="n"/>
      <c r="E13189" s="88">
        <f>INDEX(매칭테이블!C:D,MATCH(RD!G13189,매칭테이블!D:D,0),1)</f>
        <v/>
      </c>
      <c r="F13189" s="94" t="inlineStr">
        <is>
          <t>카페24</t>
        </is>
      </c>
      <c r="G13189" s="94" t="inlineStr">
        <is>
          <t>어성초 80 수분 진정 앰플앰플=어성초 80 앰플 1개-15%off</t>
        </is>
      </c>
      <c r="K13189" s="94" t="n">
        <v>14</v>
      </c>
      <c r="L13189" s="88" t="n">
        <v>201208</v>
      </c>
      <c r="M13189" s="88">
        <f>VLOOKUP($Q13189,매칭테이블!$F:$I,2,0)*K13189</f>
        <v/>
      </c>
      <c r="N13189" s="88">
        <f>M13189-M13189*VLOOKUP($Q13189,매칭테이블!$F:$I,3,0)</f>
        <v/>
      </c>
      <c r="O13189" s="88">
        <f>VLOOKUP($Q13189,매칭테이블!$F:$I,4,0)*K13189</f>
        <v/>
      </c>
      <c r="P13189" s="152">
        <f>M13189/1.1</f>
        <v/>
      </c>
      <c r="Q13189" s="88">
        <f>F13189&amp;E13189&amp;G13189&amp;L13189</f>
        <v/>
      </c>
    </row>
    <row r="13190">
      <c r="B13190" s="128" t="n">
        <v>44201</v>
      </c>
      <c r="C13190" s="88">
        <f>TEXT(B13190,"aaa")</f>
        <v/>
      </c>
      <c r="D13190" s="94" t="n"/>
      <c r="E13190" s="88">
        <f>INDEX(매칭테이블!C:D,MATCH(RD!G13190,매칭테이블!D:D,0),1)</f>
        <v/>
      </c>
      <c r="F13190" s="94" t="inlineStr">
        <is>
          <t>카페24</t>
        </is>
      </c>
      <c r="G13190" s="94" t="inlineStr">
        <is>
          <t>어성초 80 수분 진정 앰플앰플=어성초 80 앰플 2개-27%off (무료배송)</t>
        </is>
      </c>
      <c r="K13190" s="94" t="n">
        <v>8</v>
      </c>
      <c r="L13190" s="88" t="n">
        <v>201208</v>
      </c>
      <c r="M13190" s="88">
        <f>VLOOKUP($Q13190,매칭테이블!$F:$I,2,0)*K13190</f>
        <v/>
      </c>
      <c r="N13190" s="88">
        <f>M13190-M13190*VLOOKUP($Q13190,매칭테이블!$F:$I,3,0)</f>
        <v/>
      </c>
      <c r="O13190" s="88">
        <f>VLOOKUP($Q13190,매칭테이블!$F:$I,4,0)*K13190</f>
        <v/>
      </c>
      <c r="P13190" s="152">
        <f>M13190/1.1</f>
        <v/>
      </c>
      <c r="Q13190" s="88">
        <f>F13190&amp;E13190&amp;G13190&amp;L13190</f>
        <v/>
      </c>
    </row>
    <row r="13191">
      <c r="B13191" s="128" t="n">
        <v>44201</v>
      </c>
      <c r="C13191" s="88">
        <f>TEXT(B13191,"aaa")</f>
        <v/>
      </c>
      <c r="D13191" s="94" t="n"/>
      <c r="E13191" s="88">
        <f>INDEX(매칭테이블!C:D,MATCH(RD!G13191,매칭테이블!D:D,0),1)</f>
        <v/>
      </c>
      <c r="F13191" s="94" t="inlineStr">
        <is>
          <t>카페24</t>
        </is>
      </c>
      <c r="G13191" s="94" t="inlineStr">
        <is>
          <t>어성초 80 수분 진정 앰플</t>
        </is>
      </c>
      <c r="K13191" s="94" t="n">
        <v>3</v>
      </c>
      <c r="L13191" s="88" t="n">
        <v>201208</v>
      </c>
      <c r="M13191" s="88">
        <f>VLOOKUP($Q13191,매칭테이블!$F:$I,2,0)*K13191</f>
        <v/>
      </c>
      <c r="N13191" s="88">
        <f>M13191-M13191*VLOOKUP($Q13191,매칭테이블!$F:$I,3,0)</f>
        <v/>
      </c>
      <c r="O13191" s="88">
        <f>VLOOKUP($Q13191,매칭테이블!$F:$I,4,0)*K13191</f>
        <v/>
      </c>
      <c r="P13191" s="152">
        <f>M13191/1.1</f>
        <v/>
      </c>
      <c r="Q13191" s="88">
        <f>F13191&amp;E13191&amp;G13191&amp;L13191</f>
        <v/>
      </c>
    </row>
    <row r="13192">
      <c r="B13192" s="128" t="n">
        <v>44201</v>
      </c>
      <c r="C13192" s="88">
        <f>TEXT(B13192,"aaa")</f>
        <v/>
      </c>
      <c r="D13192" s="94" t="n"/>
      <c r="E13192" s="88">
        <f>INDEX(매칭테이블!C:D,MATCH(RD!G13192,매칭테이블!D:D,0),1)</f>
        <v/>
      </c>
      <c r="F13192" s="94" t="inlineStr">
        <is>
          <t>카페24</t>
        </is>
      </c>
      <c r="G13192" s="94" t="inlineStr">
        <is>
          <t>어성초 80 수분 진정 앰플옵션=어성초 80 앰플 2개 - 27%off (무료배송)</t>
        </is>
      </c>
      <c r="K13192" s="94" t="n">
        <v>1</v>
      </c>
      <c r="L13192" s="88" t="n">
        <v>201208</v>
      </c>
      <c r="M13192" s="88">
        <f>VLOOKUP($Q13192,매칭테이블!$F:$I,2,0)*K13192</f>
        <v/>
      </c>
      <c r="N13192" s="88">
        <f>M13192-M13192*VLOOKUP($Q13192,매칭테이블!$F:$I,3,0)</f>
        <v/>
      </c>
      <c r="O13192" s="88">
        <f>VLOOKUP($Q13192,매칭테이블!$F:$I,4,0)*K13192</f>
        <v/>
      </c>
      <c r="P13192" s="152">
        <f>M13192/1.1</f>
        <v/>
      </c>
      <c r="Q13192" s="88">
        <f>F13192&amp;E13192&amp;G13192&amp;L13192</f>
        <v/>
      </c>
    </row>
    <row r="13193">
      <c r="B13193" s="128" t="n">
        <v>44201</v>
      </c>
      <c r="C13193" s="88">
        <f>TEXT(B13193,"aaa")</f>
        <v/>
      </c>
      <c r="D13193" s="94" t="n"/>
      <c r="E13193" s="88">
        <f>INDEX(매칭테이블!C:D,MATCH(RD!G13193,매칭테이블!D:D,0),1)</f>
        <v/>
      </c>
      <c r="F13193" s="94" t="inlineStr">
        <is>
          <t>카페24</t>
        </is>
      </c>
      <c r="G13193" s="94" t="inlineStr">
        <is>
          <t>어성초 아크네 바디워시옵션=어성초 아크네 바디워시 1개 -30% off</t>
        </is>
      </c>
      <c r="K13193" s="94" t="n">
        <v>3</v>
      </c>
      <c r="L13193" s="88" t="n">
        <v>201208</v>
      </c>
      <c r="M13193" s="88">
        <f>VLOOKUP($Q13193,매칭테이블!$F:$I,2,0)*K13193</f>
        <v/>
      </c>
      <c r="N13193" s="88">
        <f>M13193-M13193*VLOOKUP($Q13193,매칭테이블!$F:$I,3,0)</f>
        <v/>
      </c>
      <c r="O13193" s="88">
        <f>VLOOKUP($Q13193,매칭테이블!$F:$I,4,0)*K13193</f>
        <v/>
      </c>
      <c r="P13193" s="152">
        <f>M13193/1.1</f>
        <v/>
      </c>
      <c r="Q13193" s="88">
        <f>F13193&amp;E13193&amp;G13193&amp;L13193</f>
        <v/>
      </c>
    </row>
    <row r="13194">
      <c r="B13194" s="128" t="n">
        <v>44201</v>
      </c>
      <c r="C13194" s="88">
        <f>TEXT(B13194,"aaa")</f>
        <v/>
      </c>
      <c r="D13194" s="94" t="n"/>
      <c r="E13194" s="88">
        <f>INDEX(매칭테이블!C:D,MATCH(RD!G13194,매칭테이블!D:D,0),1)</f>
        <v/>
      </c>
      <c r="F13194" s="94" t="inlineStr">
        <is>
          <t>카페24</t>
        </is>
      </c>
      <c r="G13194" s="94" t="inlineStr">
        <is>
          <t>어성초 아크네 바디워시옵션=어성초 아크네 바디워시 2개 -35% off (무료배송)</t>
        </is>
      </c>
      <c r="K13194" s="94" t="n">
        <v>3</v>
      </c>
      <c r="L13194" s="88" t="n">
        <v>201208</v>
      </c>
      <c r="M13194" s="88">
        <f>VLOOKUP($Q13194,매칭테이블!$F:$I,2,0)*K13194</f>
        <v/>
      </c>
      <c r="N13194" s="88">
        <f>M13194-M13194*VLOOKUP($Q13194,매칭테이블!$F:$I,3,0)</f>
        <v/>
      </c>
      <c r="O13194" s="88">
        <f>VLOOKUP($Q13194,매칭테이블!$F:$I,4,0)*K13194</f>
        <v/>
      </c>
      <c r="P13194" s="152">
        <f>M13194/1.1</f>
        <v/>
      </c>
      <c r="Q13194" s="88">
        <f>F13194&amp;E13194&amp;G13194&amp;L13194</f>
        <v/>
      </c>
    </row>
    <row r="13195">
      <c r="B13195" s="128" t="n">
        <v>44201</v>
      </c>
      <c r="C13195" s="88">
        <f>TEXT(B13195,"aaa")</f>
        <v/>
      </c>
      <c r="D13195" s="94" t="n"/>
      <c r="E13195" s="88">
        <f>INDEX(매칭테이블!C:D,MATCH(RD!G13195,매칭테이블!D:D,0),1)</f>
        <v/>
      </c>
      <c r="F13195" s="94" t="inlineStr">
        <is>
          <t>카페24</t>
        </is>
      </c>
      <c r="G13195" s="94" t="inlineStr">
        <is>
          <t>어성초 약산성 클렌징폼클렌징폼=어성초 약산성 클렌징폼 1개 -19%off</t>
        </is>
      </c>
      <c r="K13195" s="94" t="n">
        <v>17</v>
      </c>
      <c r="L13195" s="88" t="n">
        <v>201208</v>
      </c>
      <c r="M13195" s="88">
        <f>VLOOKUP($Q13195,매칭테이블!$F:$I,2,0)*K13195</f>
        <v/>
      </c>
      <c r="N13195" s="88">
        <f>M13195-M13195*VLOOKUP($Q13195,매칭테이블!$F:$I,3,0)</f>
        <v/>
      </c>
      <c r="O13195" s="88">
        <f>VLOOKUP($Q13195,매칭테이블!$F:$I,4,0)*K13195</f>
        <v/>
      </c>
      <c r="P13195" s="152">
        <f>M13195/1.1</f>
        <v/>
      </c>
      <c r="Q13195" s="88">
        <f>F13195&amp;E13195&amp;G13195&amp;L13195</f>
        <v/>
      </c>
    </row>
    <row r="13196">
      <c r="B13196" s="128" t="n">
        <v>44201</v>
      </c>
      <c r="C13196" s="88">
        <f>TEXT(B13196,"aaa")</f>
        <v/>
      </c>
      <c r="D13196" s="94" t="n"/>
      <c r="E13196" s="88">
        <f>INDEX(매칭테이블!C:D,MATCH(RD!G13196,매칭테이블!D:D,0),1)</f>
        <v/>
      </c>
      <c r="F13196" s="94" t="inlineStr">
        <is>
          <t>카페24</t>
        </is>
      </c>
      <c r="G13196" s="94" t="inlineStr">
        <is>
          <t>어성초 약산성 클렌징폼클렌징폼=어성초 약산성 클렌징폼 2개 -25%off</t>
        </is>
      </c>
      <c r="K13196" s="94" t="n">
        <v>4</v>
      </c>
      <c r="L13196" s="88" t="n">
        <v>201208</v>
      </c>
      <c r="M13196" s="88">
        <f>VLOOKUP($Q13196,매칭테이블!$F:$I,2,0)*K13196</f>
        <v/>
      </c>
      <c r="N13196" s="88">
        <f>M13196-M13196*VLOOKUP($Q13196,매칭테이블!$F:$I,3,0)</f>
        <v/>
      </c>
      <c r="O13196" s="88">
        <f>VLOOKUP($Q13196,매칭테이블!$F:$I,4,0)*K13196</f>
        <v/>
      </c>
      <c r="P13196" s="152">
        <f>M13196/1.1</f>
        <v/>
      </c>
      <c r="Q13196" s="88">
        <f>F13196&amp;E13196&amp;G13196&amp;L13196</f>
        <v/>
      </c>
    </row>
    <row r="13197">
      <c r="B13197" s="128" t="n">
        <v>44201</v>
      </c>
      <c r="C13197" s="88">
        <f>TEXT(B13197,"aaa")</f>
        <v/>
      </c>
      <c r="D13197" s="94" t="n"/>
      <c r="E13197" s="88">
        <f>INDEX(매칭테이블!C:D,MATCH(RD!G13197,매칭테이블!D:D,0),1)</f>
        <v/>
      </c>
      <c r="F13197" s="94" t="inlineStr">
        <is>
          <t>카페24</t>
        </is>
      </c>
      <c r="G13197" s="94" t="inlineStr">
        <is>
          <t>어성초 약산성 클렌징폼클렌징폼=어성초 약산성 클렌징폼 3개 -31%off (무료배송)</t>
        </is>
      </c>
      <c r="K13197" s="94" t="n">
        <v>5</v>
      </c>
      <c r="L13197" s="88" t="n">
        <v>201208</v>
      </c>
      <c r="M13197" s="88">
        <f>VLOOKUP($Q13197,매칭테이블!$F:$I,2,0)*K13197</f>
        <v/>
      </c>
      <c r="N13197" s="88">
        <f>M13197-M13197*VLOOKUP($Q13197,매칭테이블!$F:$I,3,0)</f>
        <v/>
      </c>
      <c r="O13197" s="88">
        <f>VLOOKUP($Q13197,매칭테이블!$F:$I,4,0)*K13197</f>
        <v/>
      </c>
      <c r="P13197" s="152">
        <f>M13197/1.1</f>
        <v/>
      </c>
      <c r="Q13197" s="88">
        <f>F13197&amp;E13197&amp;G13197&amp;L13197</f>
        <v/>
      </c>
    </row>
    <row r="13198">
      <c r="B13198" s="128" t="n">
        <v>44201</v>
      </c>
      <c r="C13198" s="88">
        <f>TEXT(B13198,"aaa")</f>
        <v/>
      </c>
      <c r="D13198" s="94" t="n"/>
      <c r="E13198" s="88">
        <f>INDEX(매칭테이블!C:D,MATCH(RD!G13198,매칭테이블!D:D,0),1)</f>
        <v/>
      </c>
      <c r="F13198" s="94" t="inlineStr">
        <is>
          <t>카페24</t>
        </is>
      </c>
      <c r="G13198" s="94" t="inlineStr">
        <is>
          <t>어성초 크림마스크 나이트 솔루션옵션=어성초 크림마스크 나이트 솔루션 1장</t>
        </is>
      </c>
      <c r="K13198" s="94" t="n">
        <v>1</v>
      </c>
      <c r="L13198" s="88" t="n">
        <v>201208</v>
      </c>
      <c r="M13198" s="88">
        <f>VLOOKUP($Q13198,매칭테이블!$F:$I,2,0)*K13198</f>
        <v/>
      </c>
      <c r="N13198" s="88">
        <f>M13198-M13198*VLOOKUP($Q13198,매칭테이블!$F:$I,3,0)</f>
        <v/>
      </c>
      <c r="O13198" s="88">
        <f>VLOOKUP($Q13198,매칭테이블!$F:$I,4,0)*K13198</f>
        <v/>
      </c>
      <c r="P13198" s="152">
        <f>M13198/1.1</f>
        <v/>
      </c>
      <c r="Q13198" s="88">
        <f>F13198&amp;E13198&amp;G13198&amp;L13198</f>
        <v/>
      </c>
    </row>
    <row r="13199">
      <c r="B13199" s="128" t="n">
        <v>44201</v>
      </c>
      <c r="C13199" s="88">
        <f>TEXT(B13199,"aaa")</f>
        <v/>
      </c>
      <c r="D13199" s="94" t="n"/>
      <c r="E13199" s="88">
        <f>INDEX(매칭테이블!C:D,MATCH(RD!G13199,매칭테이블!D:D,0),1)</f>
        <v/>
      </c>
      <c r="F13199" s="94" t="inlineStr">
        <is>
          <t>카페24</t>
        </is>
      </c>
      <c r="G13199" s="94" t="inlineStr">
        <is>
          <t>어성초 크림마스크 나이트 솔루션옵션=어성초 크림마스크 나이트 솔루션 10장 (-50%)</t>
        </is>
      </c>
      <c r="K13199" s="94" t="n">
        <v>6</v>
      </c>
      <c r="L13199" s="88" t="n">
        <v>201208</v>
      </c>
      <c r="M13199" s="88">
        <f>VLOOKUP($Q13199,매칭테이블!$F:$I,2,0)*K13199</f>
        <v/>
      </c>
      <c r="N13199" s="88">
        <f>M13199-M13199*VLOOKUP($Q13199,매칭테이블!$F:$I,3,0)</f>
        <v/>
      </c>
      <c r="O13199" s="88">
        <f>VLOOKUP($Q13199,매칭테이블!$F:$I,4,0)*K13199</f>
        <v/>
      </c>
      <c r="P13199" s="152">
        <f>M13199/1.1</f>
        <v/>
      </c>
      <c r="Q13199" s="88">
        <f>F13199&amp;E13199&amp;G13199&amp;L13199</f>
        <v/>
      </c>
    </row>
    <row r="13200">
      <c r="B13200" s="128" t="n">
        <v>44201</v>
      </c>
      <c r="C13200" s="88">
        <f>TEXT(B13200,"aaa")</f>
        <v/>
      </c>
      <c r="D13200" s="94" t="n"/>
      <c r="E13200" s="88">
        <f>INDEX(매칭테이블!C:D,MATCH(RD!G13200,매칭테이블!D:D,0),1)</f>
        <v/>
      </c>
      <c r="F13200" s="94" t="inlineStr">
        <is>
          <t>카페24</t>
        </is>
      </c>
      <c r="G13200" s="94" t="inlineStr">
        <is>
          <t>청귤 비타 잡티 마스크옵션=청귤 비타 잡티 마스크 10장(50% off)</t>
        </is>
      </c>
      <c r="K13200" s="94" t="n">
        <v>1</v>
      </c>
      <c r="L13200" s="88" t="n">
        <v>201208</v>
      </c>
      <c r="M13200" s="88">
        <f>VLOOKUP($Q13200,매칭테이블!$F:$I,2,0)*K13200</f>
        <v/>
      </c>
      <c r="N13200" s="88">
        <f>M13200-M13200*VLOOKUP($Q13200,매칭테이블!$F:$I,3,0)</f>
        <v/>
      </c>
      <c r="O13200" s="88">
        <f>VLOOKUP($Q13200,매칭테이블!$F:$I,4,0)*K13200</f>
        <v/>
      </c>
      <c r="P13200" s="152">
        <f>M13200/1.1</f>
        <v/>
      </c>
      <c r="Q13200" s="88">
        <f>F13200&amp;E13200&amp;G13200&amp;L13200</f>
        <v/>
      </c>
    </row>
    <row r="13201">
      <c r="B13201" s="128" t="n">
        <v>44201</v>
      </c>
      <c r="C13201" s="88">
        <f>TEXT(B13201,"aaa")</f>
        <v/>
      </c>
      <c r="D13201" s="94" t="n"/>
      <c r="E13201" s="88">
        <f>INDEX(매칭테이블!C:D,MATCH(RD!G13201,매칭테이블!D:D,0),1)</f>
        <v/>
      </c>
      <c r="F13201" s="94" t="inlineStr">
        <is>
          <t>카페24</t>
        </is>
      </c>
      <c r="G13201" s="94" t="inlineStr">
        <is>
          <t>촉촉 스킨팩 화장솜</t>
        </is>
      </c>
      <c r="K13201" s="94" t="n">
        <v>30</v>
      </c>
      <c r="L13201" s="88" t="n">
        <v>201208</v>
      </c>
      <c r="M13201" s="88">
        <f>VLOOKUP($Q13201,매칭테이블!$F:$I,2,0)*K13201</f>
        <v/>
      </c>
      <c r="N13201" s="88">
        <f>M13201-M13201*VLOOKUP($Q13201,매칭테이블!$F:$I,3,0)</f>
        <v/>
      </c>
      <c r="O13201" s="88">
        <f>VLOOKUP($Q13201,매칭테이블!$F:$I,4,0)*K13201</f>
        <v/>
      </c>
      <c r="P13201" s="152">
        <f>M13201/1.1</f>
        <v/>
      </c>
      <c r="Q13201" s="88">
        <f>F13201&amp;E13201&amp;G13201&amp;L13201</f>
        <v/>
      </c>
    </row>
    <row r="13202">
      <c r="B13202" s="128" t="n">
        <v>44201</v>
      </c>
      <c r="C13202" s="88">
        <f>TEXT(B13202,"aaa")</f>
        <v/>
      </c>
      <c r="D13202" s="94" t="n"/>
      <c r="E13202" s="88">
        <f>INDEX(매칭테이블!C:D,MATCH(RD!G13202,매칭테이블!D:D,0),1)</f>
        <v/>
      </c>
      <c r="F13202" s="94" t="inlineStr">
        <is>
          <t>화해</t>
        </is>
      </c>
      <c r="G13202" s="94" t="inlineStr">
        <is>
          <t>어성초 클리어패드 70P_CS</t>
        </is>
      </c>
      <c r="K13202" s="94" t="n">
        <v>1</v>
      </c>
      <c r="L13202" s="88" t="n">
        <v>201208</v>
      </c>
      <c r="M13202" s="88">
        <f>VLOOKUP($Q13202,매칭테이블!$F:$I,2,0)*K13202</f>
        <v/>
      </c>
      <c r="N13202" s="88">
        <f>M13202-M13202*VLOOKUP($Q13202,매칭테이블!$F:$I,3,0)</f>
        <v/>
      </c>
      <c r="O13202" s="88">
        <f>VLOOKUP($Q13202,매칭테이블!$F:$I,4,0)*K13202</f>
        <v/>
      </c>
      <c r="P13202" s="152">
        <f>M13202/1.1</f>
        <v/>
      </c>
      <c r="Q13202" s="88">
        <f>F13202&amp;E13202&amp;G13202&amp;L13202</f>
        <v/>
      </c>
    </row>
    <row r="13203">
      <c r="B13203" s="128" t="n">
        <v>44202</v>
      </c>
      <c r="C13203" s="88">
        <f>TEXT(B13203,"aaa")</f>
        <v/>
      </c>
      <c r="D13203" s="94" t="n"/>
      <c r="E13203" s="88">
        <f>INDEX(매칭테이블!C:D,MATCH(RD!G13203,매칭테이블!D:D,0),1)</f>
        <v/>
      </c>
      <c r="F13203" s="94" t="inlineStr">
        <is>
          <t>W컨셉</t>
        </is>
      </c>
      <c r="G13203" s="94" t="inlineStr">
        <is>
          <t>어성초 77토너 (2 SET) HEARTLEAF 77% SOOTHING TONER 250ml250ml 2set</t>
        </is>
      </c>
      <c r="H13203" s="94" t="n"/>
      <c r="I13203" s="94" t="n"/>
      <c r="J13203" s="94" t="n"/>
      <c r="K13203" s="94" t="n">
        <v>6</v>
      </c>
      <c r="L13203" s="88" t="n">
        <v>201208</v>
      </c>
      <c r="M13203" s="88">
        <f>VLOOKUP($Q13203,매칭테이블!$F:$I,2,0)*K13203</f>
        <v/>
      </c>
      <c r="N13203" s="88">
        <f>M13203-M13203*VLOOKUP($Q13203,매칭테이블!$F:$I,3,0)</f>
        <v/>
      </c>
      <c r="O13203" s="88">
        <f>VLOOKUP($Q13203,매칭테이블!$F:$I,4,0)*K13203</f>
        <v/>
      </c>
      <c r="P13203" s="152">
        <f>M13203/1.1</f>
        <v/>
      </c>
      <c r="Q13203" s="88">
        <f>F13203&amp;E13203&amp;G13203&amp;L13203</f>
        <v/>
      </c>
    </row>
    <row r="13204">
      <c r="B13204" s="128" t="n">
        <v>44202</v>
      </c>
      <c r="C13204" s="88">
        <f>TEXT(B13204,"aaa")</f>
        <v/>
      </c>
      <c r="D13204" s="94" t="n"/>
      <c r="E13204" s="88">
        <f>INDEX(매칭테이블!C:D,MATCH(RD!G13204,매칭테이블!D:D,0),1)</f>
        <v/>
      </c>
      <c r="F13204" s="94" t="inlineStr">
        <is>
          <t>W컨셉</t>
        </is>
      </c>
      <c r="G13204" s="94" t="inlineStr">
        <is>
          <t>어성초 77토너 HEARTLEAF 77% SOOTHING TONER 250ml250ml</t>
        </is>
      </c>
      <c r="K13204" s="94" t="n">
        <v>2</v>
      </c>
      <c r="L13204" s="88" t="n">
        <v>201208</v>
      </c>
      <c r="M13204" s="88">
        <f>VLOOKUP($Q13204,매칭테이블!$F:$I,2,0)*K13204</f>
        <v/>
      </c>
      <c r="N13204" s="88">
        <f>M13204-M13204*VLOOKUP($Q13204,매칭테이블!$F:$I,3,0)</f>
        <v/>
      </c>
      <c r="O13204" s="88">
        <f>VLOOKUP($Q13204,매칭테이블!$F:$I,4,0)*K13204</f>
        <v/>
      </c>
      <c r="P13204" s="152">
        <f>M13204/1.1</f>
        <v/>
      </c>
      <c r="Q13204" s="88">
        <f>F13204&amp;E13204&amp;G13204&amp;L13204</f>
        <v/>
      </c>
    </row>
    <row r="13205">
      <c r="B13205" s="128" t="n">
        <v>44202</v>
      </c>
      <c r="C13205" s="88">
        <f>TEXT(B13205,"aaa")</f>
        <v/>
      </c>
      <c r="D13205" s="94" t="n"/>
      <c r="E13205" s="88">
        <f>INDEX(매칭테이블!C:D,MATCH(RD!G13205,매칭테이블!D:D,0),1)</f>
        <v/>
      </c>
      <c r="F13205" s="94" t="inlineStr">
        <is>
          <t>스타일쉐어</t>
        </is>
      </c>
      <c r="G13205" s="94" t="inlineStr">
        <is>
          <t>아누아 어성초 77 토너 250ml</t>
        </is>
      </c>
      <c r="K13205" s="94" t="n">
        <v>3</v>
      </c>
      <c r="L13205" s="88" t="n">
        <v>201208</v>
      </c>
      <c r="M13205" s="88">
        <f>VLOOKUP($Q13205,매칭테이블!$F:$I,2,0)*K13205</f>
        <v/>
      </c>
      <c r="N13205" s="88">
        <f>M13205-M13205*VLOOKUP($Q13205,매칭테이블!$F:$I,3,0)</f>
        <v/>
      </c>
      <c r="O13205" s="88">
        <f>VLOOKUP($Q13205,매칭테이블!$F:$I,4,0)*K13205</f>
        <v/>
      </c>
      <c r="P13205" s="152">
        <f>M13205/1.1</f>
        <v/>
      </c>
      <c r="Q13205" s="88">
        <f>F13205&amp;E13205&amp;G13205&amp;L13205</f>
        <v/>
      </c>
    </row>
    <row r="13206">
      <c r="B13206" s="128" t="n">
        <v>44202</v>
      </c>
      <c r="C13206" s="88">
        <f>TEXT(B13206,"aaa")</f>
        <v/>
      </c>
      <c r="D13206" s="94" t="n"/>
      <c r="E13206" s="88">
        <f>INDEX(매칭테이블!C:D,MATCH(RD!G13206,매칭테이블!D:D,0),1)</f>
        <v/>
      </c>
      <c r="F13206" s="94" t="inlineStr">
        <is>
          <t>카페24</t>
        </is>
      </c>
      <c r="G13206" s="94" t="inlineStr">
        <is>
          <t>5 제로 무기자차 선크림옵션=5제로 무기자차 선크림 1개-20% off</t>
        </is>
      </c>
      <c r="K13206" s="94" t="n">
        <v>3</v>
      </c>
      <c r="L13206" s="88" t="n">
        <v>201208</v>
      </c>
      <c r="M13206" s="88">
        <f>VLOOKUP($Q13206,매칭테이블!$F:$I,2,0)*K13206</f>
        <v/>
      </c>
      <c r="N13206" s="88">
        <f>M13206-M13206*VLOOKUP($Q13206,매칭테이블!$F:$I,3,0)</f>
        <v/>
      </c>
      <c r="O13206" s="88">
        <f>VLOOKUP($Q13206,매칭테이블!$F:$I,4,0)*K13206</f>
        <v/>
      </c>
      <c r="P13206" s="152">
        <f>M13206/1.1</f>
        <v/>
      </c>
      <c r="Q13206" s="88">
        <f>F13206&amp;E13206&amp;G13206&amp;L13206</f>
        <v/>
      </c>
    </row>
    <row r="13207">
      <c r="B13207" s="128" t="n">
        <v>44202</v>
      </c>
      <c r="C13207" s="88">
        <f>TEXT(B13207,"aaa")</f>
        <v/>
      </c>
      <c r="D13207" s="94" t="n"/>
      <c r="E13207" s="88">
        <f>INDEX(매칭테이블!C:D,MATCH(RD!G13207,매칭테이블!D:D,0),1)</f>
        <v/>
      </c>
      <c r="F13207" s="94" t="inlineStr">
        <is>
          <t>카페24</t>
        </is>
      </c>
      <c r="G13207" s="94" t="inlineStr">
        <is>
          <t>[수분 보충 세트] 어성초 77 토너 + 어성초 70 로션옵션=어성초 77 토너 250ml + 어성초 70 로션 200ml -30%</t>
        </is>
      </c>
      <c r="K13207" s="94" t="n">
        <v>44</v>
      </c>
      <c r="L13207" s="88" t="n">
        <v>201208</v>
      </c>
      <c r="M13207" s="88">
        <f>VLOOKUP($Q13207,매칭테이블!$F:$I,2,0)*K13207</f>
        <v/>
      </c>
      <c r="N13207" s="88">
        <f>M13207-M13207*VLOOKUP($Q13207,매칭테이블!$F:$I,3,0)</f>
        <v/>
      </c>
      <c r="O13207" s="88">
        <f>VLOOKUP($Q13207,매칭테이블!$F:$I,4,0)*K13207</f>
        <v/>
      </c>
      <c r="P13207" s="152">
        <f>M13207/1.1</f>
        <v/>
      </c>
      <c r="Q13207" s="88">
        <f>F13207&amp;E13207&amp;G13207&amp;L13207</f>
        <v/>
      </c>
    </row>
    <row r="13208">
      <c r="B13208" s="128" t="n">
        <v>44202</v>
      </c>
      <c r="C13208" s="88">
        <f>TEXT(B13208,"aaa")</f>
        <v/>
      </c>
      <c r="D13208" s="94" t="n"/>
      <c r="E13208" s="88">
        <f>INDEX(매칭테이블!C:D,MATCH(RD!G13208,매칭테이블!D:D,0),1)</f>
        <v/>
      </c>
      <c r="F13208" s="94" t="inlineStr">
        <is>
          <t>카페24</t>
        </is>
      </c>
      <c r="G13208" s="94" t="inlineStr">
        <is>
          <t>[어성초 진정 패키지 세트] 대용량 토너 + 앰플 + 수딩 크림 + 마스크팩 10장</t>
        </is>
      </c>
      <c r="K13208" s="94" t="n">
        <v>2</v>
      </c>
      <c r="L13208" s="88" t="n">
        <v>201208</v>
      </c>
      <c r="M13208" s="88">
        <f>VLOOKUP($Q13208,매칭테이블!$F:$I,2,0)*K13208</f>
        <v/>
      </c>
      <c r="N13208" s="88">
        <f>M13208-M13208*VLOOKUP($Q13208,매칭테이블!$F:$I,3,0)</f>
        <v/>
      </c>
      <c r="O13208" s="88">
        <f>VLOOKUP($Q13208,매칭테이블!$F:$I,4,0)*K13208</f>
        <v/>
      </c>
      <c r="P13208" s="152">
        <f>M13208/1.1</f>
        <v/>
      </c>
      <c r="Q13208" s="88">
        <f>F13208&amp;E13208&amp;G13208&amp;L13208</f>
        <v/>
      </c>
    </row>
    <row r="13209">
      <c r="B13209" s="128" t="n">
        <v>44202</v>
      </c>
      <c r="C13209" s="88">
        <f>TEXT(B13209,"aaa")</f>
        <v/>
      </c>
      <c r="D13209" s="94" t="n"/>
      <c r="E13209" s="88">
        <f>INDEX(매칭테이블!C:D,MATCH(RD!G13209,매칭테이블!D:D,0),1)</f>
        <v/>
      </c>
      <c r="F13209" s="94" t="inlineStr">
        <is>
          <t>카페24</t>
        </is>
      </c>
      <c r="G13209" s="94" t="inlineStr">
        <is>
          <t>대용량 어성초 77 수딩 토너 500ml</t>
        </is>
      </c>
      <c r="K13209" s="94" t="n">
        <v>27</v>
      </c>
      <c r="L13209" s="88" t="n">
        <v>201208</v>
      </c>
      <c r="M13209" s="88">
        <f>VLOOKUP($Q13209,매칭테이블!$F:$I,2,0)*K13209</f>
        <v/>
      </c>
      <c r="N13209" s="88">
        <f>M13209-M13209*VLOOKUP($Q13209,매칭테이블!$F:$I,3,0)</f>
        <v/>
      </c>
      <c r="O13209" s="88">
        <f>VLOOKUP($Q13209,매칭테이블!$F:$I,4,0)*K13209</f>
        <v/>
      </c>
      <c r="P13209" s="152">
        <f>M13209/1.1</f>
        <v/>
      </c>
      <c r="Q13209" s="88">
        <f>F13209&amp;E13209&amp;G13209&amp;L13209</f>
        <v/>
      </c>
    </row>
    <row r="13210">
      <c r="B13210" s="128" t="n">
        <v>44202</v>
      </c>
      <c r="C13210" s="88">
        <f>TEXT(B13210,"aaa")</f>
        <v/>
      </c>
      <c r="D13210" s="94" t="n"/>
      <c r="E13210" s="88">
        <f>INDEX(매칭테이블!C:D,MATCH(RD!G13210,매칭테이블!D:D,0),1)</f>
        <v/>
      </c>
      <c r="F13210" s="94" t="inlineStr">
        <is>
          <t>카페24</t>
        </is>
      </c>
      <c r="G13210" s="94" t="inlineStr">
        <is>
          <t>대용량 어성초 77 토너 500ml</t>
        </is>
      </c>
      <c r="K13210" s="94" t="n">
        <v>4</v>
      </c>
      <c r="L13210" s="88" t="n">
        <v>201208</v>
      </c>
      <c r="M13210" s="88">
        <f>VLOOKUP($Q13210,매칭테이블!$F:$I,2,0)*K13210</f>
        <v/>
      </c>
      <c r="N13210" s="88">
        <f>M13210-M13210*VLOOKUP($Q13210,매칭테이블!$F:$I,3,0)</f>
        <v/>
      </c>
      <c r="O13210" s="88">
        <f>VLOOKUP($Q13210,매칭테이블!$F:$I,4,0)*K13210</f>
        <v/>
      </c>
      <c r="P13210" s="152">
        <f>M13210/1.1</f>
        <v/>
      </c>
      <c r="Q13210" s="88">
        <f>F13210&amp;E13210&amp;G13210&amp;L13210</f>
        <v/>
      </c>
    </row>
    <row r="13211">
      <c r="B13211" s="128" t="n">
        <v>44202</v>
      </c>
      <c r="C13211" s="88">
        <f>TEXT(B13211,"aaa")</f>
        <v/>
      </c>
      <c r="D13211" s="94" t="n"/>
      <c r="E13211" s="88">
        <f>INDEX(매칭테이블!C:D,MATCH(RD!G13211,매칭테이블!D:D,0),1)</f>
        <v/>
      </c>
      <c r="F13211" s="94" t="inlineStr">
        <is>
          <t>카페24</t>
        </is>
      </c>
      <c r="G13211" s="94" t="inlineStr">
        <is>
          <t>어성초 70 데일리 릴리프 로션로션=어성초 70 데일리 릴리프 로션 1개 -20% off</t>
        </is>
      </c>
      <c r="K13211" s="94" t="n">
        <v>12</v>
      </c>
      <c r="L13211" s="88" t="n">
        <v>201208</v>
      </c>
      <c r="M13211" s="88">
        <f>VLOOKUP($Q13211,매칭테이블!$F:$I,2,0)*K13211</f>
        <v/>
      </c>
      <c r="N13211" s="88">
        <f>M13211-M13211*VLOOKUP($Q13211,매칭테이블!$F:$I,3,0)</f>
        <v/>
      </c>
      <c r="O13211" s="88">
        <f>VLOOKUP($Q13211,매칭테이블!$F:$I,4,0)*K13211</f>
        <v/>
      </c>
      <c r="P13211" s="152">
        <f>M13211/1.1</f>
        <v/>
      </c>
      <c r="Q13211" s="88">
        <f>F13211&amp;E13211&amp;G13211&amp;L13211</f>
        <v/>
      </c>
    </row>
    <row r="13212">
      <c r="B13212" s="128" t="n">
        <v>44202</v>
      </c>
      <c r="C13212" s="88">
        <f>TEXT(B13212,"aaa")</f>
        <v/>
      </c>
      <c r="D13212" s="94" t="n"/>
      <c r="E13212" s="88">
        <f>INDEX(매칭테이블!C:D,MATCH(RD!G13212,매칭테이블!D:D,0),1)</f>
        <v/>
      </c>
      <c r="F13212" s="94" t="inlineStr">
        <is>
          <t>카페24</t>
        </is>
      </c>
      <c r="G13212" s="94" t="inlineStr">
        <is>
          <t>어성초 70 데일리 릴리프 로션로션=어성초 77토너 + 어성초 70 로션 수분 보충 세트 -30% off</t>
        </is>
      </c>
      <c r="K13212" s="94" t="n">
        <v>5</v>
      </c>
      <c r="L13212" s="88" t="n">
        <v>201208</v>
      </c>
      <c r="M13212" s="88">
        <f>VLOOKUP($Q13212,매칭테이블!$F:$I,2,0)*K13212</f>
        <v/>
      </c>
      <c r="N13212" s="88">
        <f>M13212-M13212*VLOOKUP($Q13212,매칭테이블!$F:$I,3,0)</f>
        <v/>
      </c>
      <c r="O13212" s="88">
        <f>VLOOKUP($Q13212,매칭테이블!$F:$I,4,0)*K13212</f>
        <v/>
      </c>
      <c r="P13212" s="152">
        <f>M13212/1.1</f>
        <v/>
      </c>
      <c r="Q13212" s="88">
        <f>F13212&amp;E13212&amp;G13212&amp;L13212</f>
        <v/>
      </c>
    </row>
    <row r="13213">
      <c r="B13213" s="128" t="n">
        <v>44202</v>
      </c>
      <c r="C13213" s="88">
        <f>TEXT(B13213,"aaa")</f>
        <v/>
      </c>
      <c r="D13213" s="94" t="n"/>
      <c r="E13213" s="88">
        <f>INDEX(매칭테이블!C:D,MATCH(RD!G13213,매칭테이블!D:D,0),1)</f>
        <v/>
      </c>
      <c r="F13213" s="94" t="inlineStr">
        <is>
          <t>카페24</t>
        </is>
      </c>
      <c r="G13213" s="94" t="inlineStr">
        <is>
          <t>어성초 70 머드 크림 마스크옵션=어성초 70 머드 크림 마스크-20% off</t>
        </is>
      </c>
      <c r="K13213" s="94" t="n">
        <v>2</v>
      </c>
      <c r="L13213" s="88" t="n">
        <v>201208</v>
      </c>
      <c r="M13213" s="88">
        <f>VLOOKUP($Q13213,매칭테이블!$F:$I,2,0)*K13213</f>
        <v/>
      </c>
      <c r="N13213" s="88">
        <f>M13213-M13213*VLOOKUP($Q13213,매칭테이블!$F:$I,3,0)</f>
        <v/>
      </c>
      <c r="O13213" s="88">
        <f>VLOOKUP($Q13213,매칭테이블!$F:$I,4,0)*K13213</f>
        <v/>
      </c>
      <c r="P13213" s="152">
        <f>M13213/1.1</f>
        <v/>
      </c>
      <c r="Q13213" s="88">
        <f>F13213&amp;E13213&amp;G13213&amp;L13213</f>
        <v/>
      </c>
    </row>
    <row r="13214">
      <c r="B13214" s="128" t="n">
        <v>44202</v>
      </c>
      <c r="C13214" s="88">
        <f>TEXT(B13214,"aaa")</f>
        <v/>
      </c>
      <c r="D13214" s="94" t="n"/>
      <c r="E13214" s="88">
        <f>INDEX(매칭테이블!C:D,MATCH(RD!G13214,매칭테이블!D:D,0),1)</f>
        <v/>
      </c>
      <c r="F13214" s="94" t="inlineStr">
        <is>
          <t>카페24</t>
        </is>
      </c>
      <c r="G13214" s="94" t="inlineStr">
        <is>
          <t>어성초 70 인텐스 카밍 크림크림=어성초 70 인텐스 카밍 크림 1개 (-20%)</t>
        </is>
      </c>
      <c r="K13214" s="94" t="n">
        <v>6</v>
      </c>
      <c r="L13214" s="88" t="n">
        <v>201208</v>
      </c>
      <c r="M13214" s="88">
        <f>VLOOKUP($Q13214,매칭테이블!$F:$I,2,0)*K13214</f>
        <v/>
      </c>
      <c r="N13214" s="88">
        <f>M13214-M13214*VLOOKUP($Q13214,매칭테이블!$F:$I,3,0)</f>
        <v/>
      </c>
      <c r="O13214" s="88">
        <f>VLOOKUP($Q13214,매칭테이블!$F:$I,4,0)*K13214</f>
        <v/>
      </c>
      <c r="P13214" s="152">
        <f>M13214/1.1</f>
        <v/>
      </c>
      <c r="Q13214" s="88">
        <f>F13214&amp;E13214&amp;G13214&amp;L13214</f>
        <v/>
      </c>
    </row>
    <row r="13215">
      <c r="B13215" s="128" t="n">
        <v>44202</v>
      </c>
      <c r="C13215" s="88">
        <f>TEXT(B13215,"aaa")</f>
        <v/>
      </c>
      <c r="D13215" s="94" t="n"/>
      <c r="E13215" s="88">
        <f>INDEX(매칭테이블!C:D,MATCH(RD!G13215,매칭테이블!D:D,0),1)</f>
        <v/>
      </c>
      <c r="F13215" s="94" t="inlineStr">
        <is>
          <t>카페24</t>
        </is>
      </c>
      <c r="G13215" s="94" t="inlineStr">
        <is>
          <t>어성초 70 인텐스 카밍 크림크림=어성초 70 인텐스 카밍 크림 2개 (-30%)</t>
        </is>
      </c>
      <c r="K13215" s="94" t="n">
        <v>1</v>
      </c>
      <c r="L13215" s="88" t="n">
        <v>201208</v>
      </c>
      <c r="M13215" s="88">
        <f>VLOOKUP($Q13215,매칭테이블!$F:$I,2,0)*K13215</f>
        <v/>
      </c>
      <c r="N13215" s="88">
        <f>M13215-M13215*VLOOKUP($Q13215,매칭테이블!$F:$I,3,0)</f>
        <v/>
      </c>
      <c r="O13215" s="88">
        <f>VLOOKUP($Q13215,매칭테이블!$F:$I,4,0)*K13215</f>
        <v/>
      </c>
      <c r="P13215" s="152">
        <f>M13215/1.1</f>
        <v/>
      </c>
      <c r="Q13215" s="88">
        <f>F13215&amp;E13215&amp;G13215&amp;L13215</f>
        <v/>
      </c>
    </row>
    <row r="13216">
      <c r="B13216" s="128" t="n">
        <v>44202</v>
      </c>
      <c r="C13216" s="88">
        <f>TEXT(B13216,"aaa")</f>
        <v/>
      </c>
      <c r="D13216" s="94" t="n"/>
      <c r="E13216" s="88">
        <f>INDEX(매칭테이블!C:D,MATCH(RD!G13216,매칭테이블!D:D,0),1)</f>
        <v/>
      </c>
      <c r="F13216" s="94" t="inlineStr">
        <is>
          <t>카페24</t>
        </is>
      </c>
      <c r="G13216" s="94" t="inlineStr">
        <is>
          <t>어성초 77 수딩 토너토너(필수)=어성초 77 토너 1개-20% off</t>
        </is>
      </c>
      <c r="K13216" s="94" t="n">
        <v>1</v>
      </c>
      <c r="L13216" s="88" t="n">
        <v>201208</v>
      </c>
      <c r="M13216" s="88">
        <f>VLOOKUP($Q13216,매칭테이블!$F:$I,2,0)*K13216</f>
        <v/>
      </c>
      <c r="N13216" s="88">
        <f>M13216-M13216*VLOOKUP($Q13216,매칭테이블!$F:$I,3,0)</f>
        <v/>
      </c>
      <c r="O13216" s="88">
        <f>VLOOKUP($Q13216,매칭테이블!$F:$I,4,0)*K13216</f>
        <v/>
      </c>
      <c r="P13216" s="152">
        <f>M13216/1.1</f>
        <v/>
      </c>
      <c r="Q13216" s="88">
        <f>F13216&amp;E13216&amp;G13216&amp;L13216</f>
        <v/>
      </c>
    </row>
    <row r="13217">
      <c r="B13217" s="128" t="n">
        <v>44202</v>
      </c>
      <c r="C13217" s="88">
        <f>TEXT(B13217,"aaa")</f>
        <v/>
      </c>
      <c r="D13217" s="94" t="n"/>
      <c r="E13217" s="88">
        <f>INDEX(매칭테이블!C:D,MATCH(RD!G13217,매칭테이블!D:D,0),1)</f>
        <v/>
      </c>
      <c r="F13217" s="94" t="inlineStr">
        <is>
          <t>카페24</t>
        </is>
      </c>
      <c r="G13217" s="94" t="inlineStr">
        <is>
          <t>어성초 77 수딩 토너화장솜(선택)=촉촉 스킨팩 화장솜</t>
        </is>
      </c>
      <c r="K13217" s="94" t="n">
        <v>1</v>
      </c>
      <c r="L13217" s="88" t="n">
        <v>201208</v>
      </c>
      <c r="M13217" s="88">
        <f>VLOOKUP($Q13217,매칭테이블!$F:$I,2,0)*K13217</f>
        <v/>
      </c>
      <c r="N13217" s="88">
        <f>M13217-M13217*VLOOKUP($Q13217,매칭테이블!$F:$I,3,0)</f>
        <v/>
      </c>
      <c r="O13217" s="88">
        <f>VLOOKUP($Q13217,매칭테이블!$F:$I,4,0)*K13217</f>
        <v/>
      </c>
      <c r="P13217" s="152">
        <f>M13217/1.1</f>
        <v/>
      </c>
      <c r="Q13217" s="88">
        <f>F13217&amp;E13217&amp;G13217&amp;L13217</f>
        <v/>
      </c>
    </row>
    <row r="13218">
      <c r="B13218" s="128" t="n">
        <v>44202</v>
      </c>
      <c r="C13218" s="88">
        <f>TEXT(B13218,"aaa")</f>
        <v/>
      </c>
      <c r="D13218" s="94" t="n"/>
      <c r="E13218" s="88">
        <f>INDEX(매칭테이블!C:D,MATCH(RD!G13218,매칭테이블!D:D,0),1)</f>
        <v/>
      </c>
      <c r="F13218" s="94" t="inlineStr">
        <is>
          <t>카페24</t>
        </is>
      </c>
      <c r="G13218" s="94" t="inlineStr">
        <is>
          <t>어성초 77 수딩 토너 (클리어패드 세트 구매시 1/11 순차발송 예정)토너(필수)=어성초 77 토너 1개-20% off</t>
        </is>
      </c>
      <c r="K13218" s="94" t="n">
        <v>85</v>
      </c>
      <c r="L13218" s="88" t="n">
        <v>201208</v>
      </c>
      <c r="M13218" s="88">
        <f>VLOOKUP($Q13218,매칭테이블!$F:$I,2,0)*K13218</f>
        <v/>
      </c>
      <c r="N13218" s="88">
        <f>M13218-M13218*VLOOKUP($Q13218,매칭테이블!$F:$I,3,0)</f>
        <v/>
      </c>
      <c r="O13218" s="88">
        <f>VLOOKUP($Q13218,매칭테이블!$F:$I,4,0)*K13218</f>
        <v/>
      </c>
      <c r="P13218" s="152">
        <f>M13218/1.1</f>
        <v/>
      </c>
      <c r="Q13218" s="88">
        <f>F13218&amp;E13218&amp;G13218&amp;L13218</f>
        <v/>
      </c>
    </row>
    <row r="13219">
      <c r="B13219" s="128" t="n">
        <v>44202</v>
      </c>
      <c r="C13219" s="88">
        <f>TEXT(B13219,"aaa")</f>
        <v/>
      </c>
      <c r="D13219" s="94" t="n"/>
      <c r="E13219" s="88">
        <f>INDEX(매칭테이블!C:D,MATCH(RD!G13219,매칭테이블!D:D,0),1)</f>
        <v/>
      </c>
      <c r="F13219" s="94" t="inlineStr">
        <is>
          <t>카페24</t>
        </is>
      </c>
      <c r="G13219" s="94" t="inlineStr">
        <is>
          <t>어성초 77 수딩 토너 (클리어패드 세트 구매시 1/11 순차발송 예정)토너(필수)=어성초 77 토너 2개-30% off (무료배송)</t>
        </is>
      </c>
      <c r="K13219" s="94" t="n">
        <v>57</v>
      </c>
      <c r="L13219" s="88" t="n">
        <v>201208</v>
      </c>
      <c r="M13219" s="88">
        <f>VLOOKUP($Q13219,매칭테이블!$F:$I,2,0)*K13219</f>
        <v/>
      </c>
      <c r="N13219" s="88">
        <f>M13219-M13219*VLOOKUP($Q13219,매칭테이블!$F:$I,3,0)</f>
        <v/>
      </c>
      <c r="O13219" s="88">
        <f>VLOOKUP($Q13219,매칭테이블!$F:$I,4,0)*K13219</f>
        <v/>
      </c>
      <c r="P13219" s="152">
        <f>M13219/1.1</f>
        <v/>
      </c>
      <c r="Q13219" s="88">
        <f>F13219&amp;E13219&amp;G13219&amp;L13219</f>
        <v/>
      </c>
    </row>
    <row r="13220">
      <c r="B13220" s="128" t="n">
        <v>44202</v>
      </c>
      <c r="C13220" s="88">
        <f>TEXT(B13220,"aaa")</f>
        <v/>
      </c>
      <c r="D13220" s="94" t="n"/>
      <c r="E13220" s="88">
        <f>INDEX(매칭테이블!C:D,MATCH(RD!G13220,매칭테이블!D:D,0),1)</f>
        <v/>
      </c>
      <c r="F13220" s="94" t="inlineStr">
        <is>
          <t>카페24</t>
        </is>
      </c>
      <c r="G13220" s="94" t="inlineStr">
        <is>
          <t>어성초 77 수딩 토너 (클리어패드 세트 구매시 1/11 순차발송 예정)토너(필수)=어성초77토너1개 + 어성초77패드1개 -30% off (무료배송)</t>
        </is>
      </c>
      <c r="K13220" s="94" t="n">
        <v>28</v>
      </c>
      <c r="L13220" s="88" t="n">
        <v>201208</v>
      </c>
      <c r="M13220" s="88">
        <f>VLOOKUP($Q13220,매칭테이블!$F:$I,2,0)*K13220</f>
        <v/>
      </c>
      <c r="N13220" s="88">
        <f>M13220-M13220*VLOOKUP($Q13220,매칭테이블!$F:$I,3,0)</f>
        <v/>
      </c>
      <c r="O13220" s="88">
        <f>VLOOKUP($Q13220,매칭테이블!$F:$I,4,0)*K13220</f>
        <v/>
      </c>
      <c r="P13220" s="152">
        <f>M13220/1.1</f>
        <v/>
      </c>
      <c r="Q13220" s="88">
        <f>F13220&amp;E13220&amp;G13220&amp;L13220</f>
        <v/>
      </c>
    </row>
    <row r="13221">
      <c r="B13221" s="128" t="n">
        <v>44202</v>
      </c>
      <c r="C13221" s="88">
        <f>TEXT(B13221,"aaa")</f>
        <v/>
      </c>
      <c r="D13221" s="94" t="n"/>
      <c r="E13221" s="88">
        <f>INDEX(매칭테이블!C:D,MATCH(RD!G13221,매칭테이블!D:D,0),1)</f>
        <v/>
      </c>
      <c r="F13221" s="94" t="inlineStr">
        <is>
          <t>카페24</t>
        </is>
      </c>
      <c r="G13221" s="94" t="inlineStr">
        <is>
          <t>어성초 77 수딩 토너 (클리어패드 세트 구매시 1/11 순차발송 예정)화장솜(선택)=촉촉 스킨팩 화장솜</t>
        </is>
      </c>
      <c r="K13221" s="94" t="n">
        <v>66</v>
      </c>
      <c r="L13221" s="88" t="n">
        <v>201208</v>
      </c>
      <c r="M13221" s="88">
        <f>VLOOKUP($Q13221,매칭테이블!$F:$I,2,0)*K13221</f>
        <v/>
      </c>
      <c r="N13221" s="88">
        <f>M13221-M13221*VLOOKUP($Q13221,매칭테이블!$F:$I,3,0)</f>
        <v/>
      </c>
      <c r="O13221" s="88">
        <f>VLOOKUP($Q13221,매칭테이블!$F:$I,4,0)*K13221</f>
        <v/>
      </c>
      <c r="P13221" s="152">
        <f>M13221/1.1</f>
        <v/>
      </c>
      <c r="Q13221" s="88">
        <f>F13221&amp;E13221&amp;G13221&amp;L13221</f>
        <v/>
      </c>
    </row>
    <row r="13222">
      <c r="B13222" s="128" t="n">
        <v>44202</v>
      </c>
      <c r="C13222" s="88">
        <f>TEXT(B13222,"aaa")</f>
        <v/>
      </c>
      <c r="D13222" s="94" t="n"/>
      <c r="E13222" s="88">
        <f>INDEX(매칭테이블!C:D,MATCH(RD!G13222,매칭테이블!D:D,0),1)</f>
        <v/>
      </c>
      <c r="F13222" s="94" t="inlineStr">
        <is>
          <t>카페24</t>
        </is>
      </c>
      <c r="G13222" s="94" t="inlineStr">
        <is>
          <t>어성초 77 진정 마스크옵션=어성초 77 진정 마스크팩 10장-50% off</t>
        </is>
      </c>
      <c r="K13222" s="94" t="n">
        <v>7</v>
      </c>
      <c r="L13222" s="88" t="n">
        <v>201208</v>
      </c>
      <c r="M13222" s="88">
        <f>VLOOKUP($Q13222,매칭테이블!$F:$I,2,0)*K13222</f>
        <v/>
      </c>
      <c r="N13222" s="88">
        <f>M13222-M13222*VLOOKUP($Q13222,매칭테이블!$F:$I,3,0)</f>
        <v/>
      </c>
      <c r="O13222" s="88">
        <f>VLOOKUP($Q13222,매칭테이블!$F:$I,4,0)*K13222</f>
        <v/>
      </c>
      <c r="P13222" s="152">
        <f>M13222/1.1</f>
        <v/>
      </c>
      <c r="Q13222" s="88">
        <f>F13222&amp;E13222&amp;G13222&amp;L13222</f>
        <v/>
      </c>
    </row>
    <row r="13223">
      <c r="B13223" s="128" t="n">
        <v>44202</v>
      </c>
      <c r="C13223" s="88">
        <f>TEXT(B13223,"aaa")</f>
        <v/>
      </c>
      <c r="D13223" s="94" t="n"/>
      <c r="E13223" s="88">
        <f>INDEX(매칭테이블!C:D,MATCH(RD!G13223,매칭테이블!D:D,0),1)</f>
        <v/>
      </c>
      <c r="F13223" s="94" t="inlineStr">
        <is>
          <t>카페24</t>
        </is>
      </c>
      <c r="G13223" s="94" t="inlineStr">
        <is>
          <t>어성초 77 진정 마스크</t>
        </is>
      </c>
      <c r="K13223" s="94" t="n">
        <v>3</v>
      </c>
      <c r="L13223" s="88" t="n">
        <v>201208</v>
      </c>
      <c r="M13223" s="88">
        <f>VLOOKUP($Q13223,매칭테이블!$F:$I,2,0)*K13223</f>
        <v/>
      </c>
      <c r="N13223" s="88">
        <f>M13223-M13223*VLOOKUP($Q13223,매칭테이블!$F:$I,3,0)</f>
        <v/>
      </c>
      <c r="O13223" s="88">
        <f>VLOOKUP($Q13223,매칭테이블!$F:$I,4,0)*K13223</f>
        <v/>
      </c>
      <c r="P13223" s="152">
        <f>M13223/1.1</f>
        <v/>
      </c>
      <c r="Q13223" s="88">
        <f>F13223&amp;E13223&amp;G13223&amp;L13223</f>
        <v/>
      </c>
    </row>
    <row r="13224">
      <c r="B13224" s="128" t="n">
        <v>44202</v>
      </c>
      <c r="C13224" s="88">
        <f>TEXT(B13224,"aaa")</f>
        <v/>
      </c>
      <c r="D13224" s="94" t="n"/>
      <c r="E13224" s="88">
        <f>INDEX(매칭테이블!C:D,MATCH(RD!G13224,매칭테이블!D:D,0),1)</f>
        <v/>
      </c>
      <c r="F13224" s="94" t="inlineStr">
        <is>
          <t>카페24</t>
        </is>
      </c>
      <c r="G13224" s="94" t="inlineStr">
        <is>
          <t>어성초 77 클리어 패드옵션=어성초 77 클리어 패드 1개-20% off</t>
        </is>
      </c>
      <c r="K13224" s="94" t="n">
        <v>1</v>
      </c>
      <c r="L13224" s="88" t="n">
        <v>201208</v>
      </c>
      <c r="M13224" s="88">
        <f>VLOOKUP($Q13224,매칭테이블!$F:$I,2,0)*K13224</f>
        <v/>
      </c>
      <c r="N13224" s="88">
        <f>M13224-M13224*VLOOKUP($Q13224,매칭테이블!$F:$I,3,0)</f>
        <v/>
      </c>
      <c r="O13224" s="88">
        <f>VLOOKUP($Q13224,매칭테이블!$F:$I,4,0)*K13224</f>
        <v/>
      </c>
      <c r="P13224" s="152">
        <f>M13224/1.1</f>
        <v/>
      </c>
      <c r="Q13224" s="88">
        <f>F13224&amp;E13224&amp;G13224&amp;L13224</f>
        <v/>
      </c>
    </row>
    <row r="13225">
      <c r="B13225" s="128" t="n">
        <v>44202</v>
      </c>
      <c r="C13225" s="88">
        <f>TEXT(B13225,"aaa")</f>
        <v/>
      </c>
      <c r="D13225" s="94" t="n"/>
      <c r="E13225" s="88">
        <f>INDEX(매칭테이블!C:D,MATCH(RD!G13225,매칭테이블!D:D,0),1)</f>
        <v/>
      </c>
      <c r="F13225" s="94" t="inlineStr">
        <is>
          <t>카페24</t>
        </is>
      </c>
      <c r="G13225" s="94" t="inlineStr">
        <is>
          <t>어성초 77 클리어 패드 (1/11 순차발송 예정)옵션=어성초 77 클리어 패드 1개-20% off</t>
        </is>
      </c>
      <c r="K13225" s="94" t="n">
        <v>37</v>
      </c>
      <c r="L13225" s="88" t="n">
        <v>201208</v>
      </c>
      <c r="M13225" s="88">
        <f>VLOOKUP($Q13225,매칭테이블!$F:$I,2,0)*K13225</f>
        <v/>
      </c>
      <c r="N13225" s="88">
        <f>M13225-M13225*VLOOKUP($Q13225,매칭테이블!$F:$I,3,0)</f>
        <v/>
      </c>
      <c r="O13225" s="88">
        <f>VLOOKUP($Q13225,매칭테이블!$F:$I,4,0)*K13225</f>
        <v/>
      </c>
      <c r="P13225" s="152">
        <f>M13225/1.1</f>
        <v/>
      </c>
      <c r="Q13225" s="88">
        <f>F13225&amp;E13225&amp;G13225&amp;L13225</f>
        <v/>
      </c>
    </row>
    <row r="13226">
      <c r="B13226" s="128" t="n">
        <v>44202</v>
      </c>
      <c r="C13226" s="88">
        <f>TEXT(B13226,"aaa")</f>
        <v/>
      </c>
      <c r="D13226" s="94" t="n"/>
      <c r="E13226" s="88">
        <f>INDEX(매칭테이블!C:D,MATCH(RD!G13226,매칭테이블!D:D,0),1)</f>
        <v/>
      </c>
      <c r="F13226" s="94" t="inlineStr">
        <is>
          <t>카페24</t>
        </is>
      </c>
      <c r="G13226" s="94" t="inlineStr">
        <is>
          <t>어성초 77 클리어 패드 (1/11 순차발송 예정)옵션=어성초 77 클리어 패드 2개-30% off (무료배송)</t>
        </is>
      </c>
      <c r="K13226" s="94" t="n">
        <v>70</v>
      </c>
      <c r="L13226" s="88" t="n">
        <v>201208</v>
      </c>
      <c r="M13226" s="88">
        <f>VLOOKUP($Q13226,매칭테이블!$F:$I,2,0)*K13226</f>
        <v/>
      </c>
      <c r="N13226" s="88">
        <f>M13226-M13226*VLOOKUP($Q13226,매칭테이블!$F:$I,3,0)</f>
        <v/>
      </c>
      <c r="O13226" s="88">
        <f>VLOOKUP($Q13226,매칭테이블!$F:$I,4,0)*K13226</f>
        <v/>
      </c>
      <c r="P13226" s="152">
        <f>M13226/1.1</f>
        <v/>
      </c>
      <c r="Q13226" s="88">
        <f>F13226&amp;E13226&amp;G13226&amp;L13226</f>
        <v/>
      </c>
    </row>
    <row r="13227">
      <c r="B13227" s="128" t="n">
        <v>44202</v>
      </c>
      <c r="C13227" s="88">
        <f>TEXT(B13227,"aaa")</f>
        <v/>
      </c>
      <c r="D13227" s="94" t="n"/>
      <c r="E13227" s="88">
        <f>INDEX(매칭테이블!C:D,MATCH(RD!G13227,매칭테이블!D:D,0),1)</f>
        <v/>
      </c>
      <c r="F13227" s="94" t="inlineStr">
        <is>
          <t>카페24</t>
        </is>
      </c>
      <c r="G13227" s="94" t="inlineStr">
        <is>
          <t>어성초 77 클리어 패드 (1/11 순차발송 예정)옵션=어성초77토너1개+어성초77패드1개-30% off (무료배송)</t>
        </is>
      </c>
      <c r="K13227" s="94" t="n">
        <v>48</v>
      </c>
      <c r="L13227" s="88" t="n">
        <v>201208</v>
      </c>
      <c r="M13227" s="88">
        <f>VLOOKUP($Q13227,매칭테이블!$F:$I,2,0)*K13227</f>
        <v/>
      </c>
      <c r="N13227" s="88">
        <f>M13227-M13227*VLOOKUP($Q13227,매칭테이블!$F:$I,3,0)</f>
        <v/>
      </c>
      <c r="O13227" s="88">
        <f>VLOOKUP($Q13227,매칭테이블!$F:$I,4,0)*K13227</f>
        <v/>
      </c>
      <c r="P13227" s="152">
        <f>M13227/1.1</f>
        <v/>
      </c>
      <c r="Q13227" s="88">
        <f>F13227&amp;E13227&amp;G13227&amp;L13227</f>
        <v/>
      </c>
    </row>
    <row r="13228">
      <c r="B13228" s="128" t="n">
        <v>44202</v>
      </c>
      <c r="C13228" s="88">
        <f>TEXT(B13228,"aaa")</f>
        <v/>
      </c>
      <c r="D13228" s="94" t="n"/>
      <c r="E13228" s="88">
        <f>INDEX(매칭테이블!C:D,MATCH(RD!G13228,매칭테이블!D:D,0),1)</f>
        <v/>
      </c>
      <c r="F13228" s="94" t="inlineStr">
        <is>
          <t>카페24</t>
        </is>
      </c>
      <c r="G13228" s="94" t="inlineStr">
        <is>
          <t>어성초 77 토너</t>
        </is>
      </c>
      <c r="K13228" s="94" t="n">
        <v>1</v>
      </c>
      <c r="L13228" s="88" t="n">
        <v>201208</v>
      </c>
      <c r="M13228" s="88">
        <f>VLOOKUP($Q13228,매칭테이블!$F:$I,2,0)*K13228</f>
        <v/>
      </c>
      <c r="N13228" s="88">
        <f>M13228-M13228*VLOOKUP($Q13228,매칭테이블!$F:$I,3,0)</f>
        <v/>
      </c>
      <c r="O13228" s="88">
        <f>VLOOKUP($Q13228,매칭테이블!$F:$I,4,0)*K13228</f>
        <v/>
      </c>
      <c r="P13228" s="152">
        <f>M13228/1.1</f>
        <v/>
      </c>
      <c r="Q13228" s="88">
        <f>F13228&amp;E13228&amp;G13228&amp;L13228</f>
        <v/>
      </c>
    </row>
    <row r="13229">
      <c r="B13229" s="128" t="n">
        <v>44202</v>
      </c>
      <c r="C13229" s="88">
        <f>TEXT(B13229,"aaa")</f>
        <v/>
      </c>
      <c r="D13229" s="94" t="n"/>
      <c r="E13229" s="88">
        <f>INDEX(매칭테이블!C:D,MATCH(RD!G13229,매칭테이블!D:D,0),1)</f>
        <v/>
      </c>
      <c r="F13229" s="94" t="inlineStr">
        <is>
          <t>카페24</t>
        </is>
      </c>
      <c r="G13229" s="94" t="inlineStr">
        <is>
          <t>어성초 77 토너토너(필수)=어성초 77 토너 1개-20% off</t>
        </is>
      </c>
      <c r="K13229" s="94" t="n">
        <v>1</v>
      </c>
      <c r="L13229" s="88" t="n">
        <v>201208</v>
      </c>
      <c r="M13229" s="88">
        <f>VLOOKUP($Q13229,매칭테이블!$F:$I,2,0)*K13229</f>
        <v/>
      </c>
      <c r="N13229" s="88">
        <f>M13229-M13229*VLOOKUP($Q13229,매칭테이블!$F:$I,3,0)</f>
        <v/>
      </c>
      <c r="O13229" s="88">
        <f>VLOOKUP($Q13229,매칭테이블!$F:$I,4,0)*K13229</f>
        <v/>
      </c>
      <c r="P13229" s="152">
        <f>M13229/1.1</f>
        <v/>
      </c>
      <c r="Q13229" s="88">
        <f>F13229&amp;E13229&amp;G13229&amp;L13229</f>
        <v/>
      </c>
    </row>
    <row r="13230">
      <c r="B13230" s="128" t="n">
        <v>44202</v>
      </c>
      <c r="C13230" s="88">
        <f>TEXT(B13230,"aaa")</f>
        <v/>
      </c>
      <c r="D13230" s="94" t="n"/>
      <c r="E13230" s="88">
        <f>INDEX(매칭테이블!C:D,MATCH(RD!G13230,매칭테이블!D:D,0),1)</f>
        <v/>
      </c>
      <c r="F13230" s="94" t="inlineStr">
        <is>
          <t>카페24</t>
        </is>
      </c>
      <c r="G13230" s="94" t="inlineStr">
        <is>
          <t>어성초 77 포어 클리어 패드 (1/11 순차발송 예정)옵션=어성초 77 클리어 패드 1개-20% off</t>
        </is>
      </c>
      <c r="K13230" s="94" t="n">
        <v>11</v>
      </c>
      <c r="L13230" s="88" t="n">
        <v>201208</v>
      </c>
      <c r="M13230" s="88">
        <f>VLOOKUP($Q13230,매칭테이블!$F:$I,2,0)*K13230</f>
        <v/>
      </c>
      <c r="N13230" s="88">
        <f>M13230-M13230*VLOOKUP($Q13230,매칭테이블!$F:$I,3,0)</f>
        <v/>
      </c>
      <c r="O13230" s="88">
        <f>VLOOKUP($Q13230,매칭테이블!$F:$I,4,0)*K13230</f>
        <v/>
      </c>
      <c r="P13230" s="152">
        <f>M13230/1.1</f>
        <v/>
      </c>
      <c r="Q13230" s="88">
        <f>F13230&amp;E13230&amp;G13230&amp;L13230</f>
        <v/>
      </c>
    </row>
    <row r="13231">
      <c r="B13231" s="128" t="n">
        <v>44202</v>
      </c>
      <c r="C13231" s="88">
        <f>TEXT(B13231,"aaa")</f>
        <v/>
      </c>
      <c r="D13231" s="94" t="n"/>
      <c r="E13231" s="88">
        <f>INDEX(매칭테이블!C:D,MATCH(RD!G13231,매칭테이블!D:D,0),1)</f>
        <v/>
      </c>
      <c r="F13231" s="94" t="inlineStr">
        <is>
          <t>카페24</t>
        </is>
      </c>
      <c r="G13231" s="94" t="inlineStr">
        <is>
          <t>어성초 77 포어 클리어 패드 (1/11 순차발송 예정)옵션=어성초 77 클리어 패드 2개-30% off (무료배송)</t>
        </is>
      </c>
      <c r="K13231" s="94" t="n">
        <v>9</v>
      </c>
      <c r="L13231" s="88" t="n">
        <v>201208</v>
      </c>
      <c r="M13231" s="88">
        <f>VLOOKUP($Q13231,매칭테이블!$F:$I,2,0)*K13231</f>
        <v/>
      </c>
      <c r="N13231" s="88">
        <f>M13231-M13231*VLOOKUP($Q13231,매칭테이블!$F:$I,3,0)</f>
        <v/>
      </c>
      <c r="O13231" s="88">
        <f>VLOOKUP($Q13231,매칭테이블!$F:$I,4,0)*K13231</f>
        <v/>
      </c>
      <c r="P13231" s="152">
        <f>M13231/1.1</f>
        <v/>
      </c>
      <c r="Q13231" s="88">
        <f>F13231&amp;E13231&amp;G13231&amp;L13231</f>
        <v/>
      </c>
    </row>
    <row r="13232">
      <c r="B13232" s="128" t="n">
        <v>44202</v>
      </c>
      <c r="C13232" s="88">
        <f>TEXT(B13232,"aaa")</f>
        <v/>
      </c>
      <c r="D13232" s="94" t="n"/>
      <c r="E13232" s="88">
        <f>INDEX(매칭테이블!C:D,MATCH(RD!G13232,매칭테이블!D:D,0),1)</f>
        <v/>
      </c>
      <c r="F13232" s="94" t="inlineStr">
        <is>
          <t>카페24</t>
        </is>
      </c>
      <c r="G13232" s="94" t="inlineStr">
        <is>
          <t>어성초 77 포어 클리어 패드 (1/11 순차발송 예정)옵션=어성초77토너1개+어성초77패드1개-30% off (무료배송)</t>
        </is>
      </c>
      <c r="K13232" s="94" t="n">
        <v>4</v>
      </c>
      <c r="L13232" s="88" t="n">
        <v>201208</v>
      </c>
      <c r="M13232" s="88">
        <f>VLOOKUP($Q13232,매칭테이블!$F:$I,2,0)*K13232</f>
        <v/>
      </c>
      <c r="N13232" s="88">
        <f>M13232-M13232*VLOOKUP($Q13232,매칭테이블!$F:$I,3,0)</f>
        <v/>
      </c>
      <c r="O13232" s="88">
        <f>VLOOKUP($Q13232,매칭테이블!$F:$I,4,0)*K13232</f>
        <v/>
      </c>
      <c r="P13232" s="152">
        <f>M13232/1.1</f>
        <v/>
      </c>
      <c r="Q13232" s="88">
        <f>F13232&amp;E13232&amp;G13232&amp;L13232</f>
        <v/>
      </c>
    </row>
    <row r="13233">
      <c r="B13233" s="128" t="n">
        <v>44202</v>
      </c>
      <c r="C13233" s="88">
        <f>TEXT(B13233,"aaa")</f>
        <v/>
      </c>
      <c r="D13233" s="94" t="n"/>
      <c r="E13233" s="88">
        <f>INDEX(매칭테이블!C:D,MATCH(RD!G13233,매칭테이블!D:D,0),1)</f>
        <v/>
      </c>
      <c r="F13233" s="94" t="inlineStr">
        <is>
          <t>카페24</t>
        </is>
      </c>
      <c r="G13233" s="94" t="inlineStr">
        <is>
          <t>어성초 77% 패드옵션=어성초 77 클리어 패드 1개-20% off</t>
        </is>
      </c>
      <c r="K13233" s="94" t="n">
        <v>1</v>
      </c>
      <c r="L13233" s="88" t="n">
        <v>201208</v>
      </c>
      <c r="M13233" s="88">
        <f>VLOOKUP($Q13233,매칭테이블!$F:$I,2,0)*K13233</f>
        <v/>
      </c>
      <c r="N13233" s="88">
        <f>M13233-M13233*VLOOKUP($Q13233,매칭테이블!$F:$I,3,0)</f>
        <v/>
      </c>
      <c r="O13233" s="88">
        <f>VLOOKUP($Q13233,매칭테이블!$F:$I,4,0)*K13233</f>
        <v/>
      </c>
      <c r="P13233" s="152">
        <f>M13233/1.1</f>
        <v/>
      </c>
      <c r="Q13233" s="88">
        <f>F13233&amp;E13233&amp;G13233&amp;L13233</f>
        <v/>
      </c>
    </row>
    <row r="13234">
      <c r="B13234" s="128" t="n">
        <v>44202</v>
      </c>
      <c r="C13234" s="88">
        <f>TEXT(B13234,"aaa")</f>
        <v/>
      </c>
      <c r="D13234" s="94" t="n"/>
      <c r="E13234" s="88">
        <f>INDEX(매칭테이블!C:D,MATCH(RD!G13234,매칭테이블!D:D,0),1)</f>
        <v/>
      </c>
      <c r="F13234" s="94" t="inlineStr">
        <is>
          <t>카페24</t>
        </is>
      </c>
      <c r="G13234" s="94" t="inlineStr">
        <is>
          <t>어성초 77% 패드옵션=어성초 77 클리어 패드 2개-30% off (무료배송)</t>
        </is>
      </c>
      <c r="K13234" s="94" t="n">
        <v>1</v>
      </c>
      <c r="L13234" s="88" t="n">
        <v>201208</v>
      </c>
      <c r="M13234" s="88">
        <f>VLOOKUP($Q13234,매칭테이블!$F:$I,2,0)*K13234</f>
        <v/>
      </c>
      <c r="N13234" s="88">
        <f>M13234-M13234*VLOOKUP($Q13234,매칭테이블!$F:$I,3,0)</f>
        <v/>
      </c>
      <c r="O13234" s="88">
        <f>VLOOKUP($Q13234,매칭테이블!$F:$I,4,0)*K13234</f>
        <v/>
      </c>
      <c r="P13234" s="152">
        <f>M13234/1.1</f>
        <v/>
      </c>
      <c r="Q13234" s="88">
        <f>F13234&amp;E13234&amp;G13234&amp;L13234</f>
        <v/>
      </c>
    </row>
    <row r="13235">
      <c r="B13235" s="128" t="n">
        <v>44202</v>
      </c>
      <c r="C13235" s="88">
        <f>TEXT(B13235,"aaa")</f>
        <v/>
      </c>
      <c r="D13235" s="94" t="n"/>
      <c r="E13235" s="88">
        <f>INDEX(매칭테이블!C:D,MATCH(RD!G13235,매칭테이블!D:D,0),1)</f>
        <v/>
      </c>
      <c r="F13235" s="94" t="inlineStr">
        <is>
          <t>카페24</t>
        </is>
      </c>
      <c r="G13235" s="94" t="inlineStr">
        <is>
          <t>어성초 77% 패드 (1/11 순차발송 예정)옵션=어성초 77 클리어 패드 1개-20% off</t>
        </is>
      </c>
      <c r="K13235" s="94" t="n">
        <v>17</v>
      </c>
      <c r="L13235" s="88" t="n">
        <v>201208</v>
      </c>
      <c r="M13235" s="88">
        <f>VLOOKUP($Q13235,매칭테이블!$F:$I,2,0)*K13235</f>
        <v/>
      </c>
      <c r="N13235" s="88">
        <f>M13235-M13235*VLOOKUP($Q13235,매칭테이블!$F:$I,3,0)</f>
        <v/>
      </c>
      <c r="O13235" s="88">
        <f>VLOOKUP($Q13235,매칭테이블!$F:$I,4,0)*K13235</f>
        <v/>
      </c>
      <c r="P13235" s="152">
        <f>M13235/1.1</f>
        <v/>
      </c>
      <c r="Q13235" s="88">
        <f>F13235&amp;E13235&amp;G13235&amp;L13235</f>
        <v/>
      </c>
    </row>
    <row r="13236">
      <c r="B13236" s="128" t="n">
        <v>44202</v>
      </c>
      <c r="C13236" s="88">
        <f>TEXT(B13236,"aaa")</f>
        <v/>
      </c>
      <c r="D13236" s="94" t="n"/>
      <c r="E13236" s="88">
        <f>INDEX(매칭테이블!C:D,MATCH(RD!G13236,매칭테이블!D:D,0),1)</f>
        <v/>
      </c>
      <c r="F13236" s="94" t="inlineStr">
        <is>
          <t>카페24</t>
        </is>
      </c>
      <c r="G13236" s="94" t="inlineStr">
        <is>
          <t>어성초 77% 패드 (1/11 순차발송 예정)옵션=어성초 77 클리어 패드 2개-30% off (무료배송)</t>
        </is>
      </c>
      <c r="K13236" s="94" t="n">
        <v>22</v>
      </c>
      <c r="L13236" s="88" t="n">
        <v>201208</v>
      </c>
      <c r="M13236" s="88">
        <f>VLOOKUP($Q13236,매칭테이블!$F:$I,2,0)*K13236</f>
        <v/>
      </c>
      <c r="N13236" s="88">
        <f>M13236-M13236*VLOOKUP($Q13236,매칭테이블!$F:$I,3,0)</f>
        <v/>
      </c>
      <c r="O13236" s="88">
        <f>VLOOKUP($Q13236,매칭테이블!$F:$I,4,0)*K13236</f>
        <v/>
      </c>
      <c r="P13236" s="152">
        <f>M13236/1.1</f>
        <v/>
      </c>
      <c r="Q13236" s="88">
        <f>F13236&amp;E13236&amp;G13236&amp;L13236</f>
        <v/>
      </c>
    </row>
    <row r="13237">
      <c r="B13237" s="128" t="n">
        <v>44202</v>
      </c>
      <c r="C13237" s="88">
        <f>TEXT(B13237,"aaa")</f>
        <v/>
      </c>
      <c r="D13237" s="94" t="n"/>
      <c r="E13237" s="88">
        <f>INDEX(매칭테이블!C:D,MATCH(RD!G13237,매칭테이블!D:D,0),1)</f>
        <v/>
      </c>
      <c r="F13237" s="94" t="inlineStr">
        <is>
          <t>카페24</t>
        </is>
      </c>
      <c r="G13237" s="94" t="inlineStr">
        <is>
          <t>어성초 77% 패드 (1/11 순차발송 예정)옵션=어성초77토너1개+어성초77패드1개-30% off (무료배송)</t>
        </is>
      </c>
      <c r="K13237" s="94" t="n">
        <v>9</v>
      </c>
      <c r="L13237" s="88" t="n">
        <v>201208</v>
      </c>
      <c r="M13237" s="88">
        <f>VLOOKUP($Q13237,매칭테이블!$F:$I,2,0)*K13237</f>
        <v/>
      </c>
      <c r="N13237" s="88">
        <f>M13237-M13237*VLOOKUP($Q13237,매칭테이블!$F:$I,3,0)</f>
        <v/>
      </c>
      <c r="O13237" s="88">
        <f>VLOOKUP($Q13237,매칭테이블!$F:$I,4,0)*K13237</f>
        <v/>
      </c>
      <c r="P13237" s="152">
        <f>M13237/1.1</f>
        <v/>
      </c>
      <c r="Q13237" s="88">
        <f>F13237&amp;E13237&amp;G13237&amp;L13237</f>
        <v/>
      </c>
    </row>
    <row r="13238">
      <c r="B13238" s="128" t="n">
        <v>44202</v>
      </c>
      <c r="C13238" s="88">
        <f>TEXT(B13238,"aaa")</f>
        <v/>
      </c>
      <c r="D13238" s="94" t="n"/>
      <c r="E13238" s="88">
        <f>INDEX(매칭테이블!C:D,MATCH(RD!G13238,매칭테이블!D:D,0),1)</f>
        <v/>
      </c>
      <c r="F13238" s="94" t="inlineStr">
        <is>
          <t>카페24</t>
        </is>
      </c>
      <c r="G13238" s="94" t="inlineStr">
        <is>
          <t>어성초 78 수딩 크림</t>
        </is>
      </c>
      <c r="K13238" s="94" t="n">
        <v>13</v>
      </c>
      <c r="L13238" s="88" t="n">
        <v>201208</v>
      </c>
      <c r="M13238" s="88">
        <f>VLOOKUP($Q13238,매칭테이블!$F:$I,2,0)*K13238</f>
        <v/>
      </c>
      <c r="N13238" s="88">
        <f>M13238-M13238*VLOOKUP($Q13238,매칭테이블!$F:$I,3,0)</f>
        <v/>
      </c>
      <c r="O13238" s="88">
        <f>VLOOKUP($Q13238,매칭테이블!$F:$I,4,0)*K13238</f>
        <v/>
      </c>
      <c r="P13238" s="152">
        <f>M13238/1.1</f>
        <v/>
      </c>
      <c r="Q13238" s="88">
        <f>F13238&amp;E13238&amp;G13238&amp;L13238</f>
        <v/>
      </c>
    </row>
    <row r="13239">
      <c r="B13239" s="128" t="n">
        <v>44202</v>
      </c>
      <c r="C13239" s="88">
        <f>TEXT(B13239,"aaa")</f>
        <v/>
      </c>
      <c r="D13239" s="94" t="n"/>
      <c r="E13239" s="88">
        <f>INDEX(매칭테이블!C:D,MATCH(RD!G13239,매칭테이블!D:D,0),1)</f>
        <v/>
      </c>
      <c r="F13239" s="94" t="inlineStr">
        <is>
          <t>카페24</t>
        </is>
      </c>
      <c r="G13239" s="94" t="inlineStr">
        <is>
          <t>어성초 78 수딩 크림</t>
        </is>
      </c>
      <c r="K13239" s="94" t="n">
        <v>5</v>
      </c>
      <c r="L13239" s="88" t="n">
        <v>201208</v>
      </c>
      <c r="M13239" s="88">
        <f>VLOOKUP($Q13239,매칭테이블!$F:$I,2,0)*K13239</f>
        <v/>
      </c>
      <c r="N13239" s="88">
        <f>M13239-M13239*VLOOKUP($Q13239,매칭테이블!$F:$I,3,0)</f>
        <v/>
      </c>
      <c r="O13239" s="88">
        <f>VLOOKUP($Q13239,매칭테이블!$F:$I,4,0)*K13239</f>
        <v/>
      </c>
      <c r="P13239" s="152">
        <f>M13239/1.1</f>
        <v/>
      </c>
      <c r="Q13239" s="88">
        <f>F13239&amp;E13239&amp;G13239&amp;L13239</f>
        <v/>
      </c>
    </row>
    <row r="13240">
      <c r="B13240" s="128" t="n">
        <v>44202</v>
      </c>
      <c r="C13240" s="88">
        <f>TEXT(B13240,"aaa")</f>
        <v/>
      </c>
      <c r="D13240" s="94" t="n"/>
      <c r="E13240" s="88">
        <f>INDEX(매칭테이블!C:D,MATCH(RD!G13240,매칭테이블!D:D,0),1)</f>
        <v/>
      </c>
      <c r="F13240" s="94" t="inlineStr">
        <is>
          <t>카페24</t>
        </is>
      </c>
      <c r="G13240" s="94" t="inlineStr">
        <is>
          <t>어성초 80 수분 진정 앰플앰플=어성초 80 앰플 1개-15%off</t>
        </is>
      </c>
      <c r="K13240" s="94" t="n">
        <v>12</v>
      </c>
      <c r="L13240" s="88" t="n">
        <v>201208</v>
      </c>
      <c r="M13240" s="88">
        <f>VLOOKUP($Q13240,매칭테이블!$F:$I,2,0)*K13240</f>
        <v/>
      </c>
      <c r="N13240" s="88">
        <f>M13240-M13240*VLOOKUP($Q13240,매칭테이블!$F:$I,3,0)</f>
        <v/>
      </c>
      <c r="O13240" s="88">
        <f>VLOOKUP($Q13240,매칭테이블!$F:$I,4,0)*K13240</f>
        <v/>
      </c>
      <c r="P13240" s="152">
        <f>M13240/1.1</f>
        <v/>
      </c>
      <c r="Q13240" s="88">
        <f>F13240&amp;E13240&amp;G13240&amp;L13240</f>
        <v/>
      </c>
    </row>
    <row r="13241">
      <c r="B13241" s="128" t="n">
        <v>44202</v>
      </c>
      <c r="C13241" s="88">
        <f>TEXT(B13241,"aaa")</f>
        <v/>
      </c>
      <c r="D13241" s="94" t="n"/>
      <c r="E13241" s="88">
        <f>INDEX(매칭테이블!C:D,MATCH(RD!G13241,매칭테이블!D:D,0),1)</f>
        <v/>
      </c>
      <c r="F13241" s="94" t="inlineStr">
        <is>
          <t>카페24</t>
        </is>
      </c>
      <c r="G13241" s="94" t="inlineStr">
        <is>
          <t>어성초 80 수분 진정 앰플앰플=어성초 80 앰플 2개-27%off (무료배송)</t>
        </is>
      </c>
      <c r="K13241" s="94" t="n">
        <v>4</v>
      </c>
      <c r="L13241" s="88" t="n">
        <v>201208</v>
      </c>
      <c r="M13241" s="88">
        <f>VLOOKUP($Q13241,매칭테이블!$F:$I,2,0)*K13241</f>
        <v/>
      </c>
      <c r="N13241" s="88">
        <f>M13241-M13241*VLOOKUP($Q13241,매칭테이블!$F:$I,3,0)</f>
        <v/>
      </c>
      <c r="O13241" s="88">
        <f>VLOOKUP($Q13241,매칭테이블!$F:$I,4,0)*K13241</f>
        <v/>
      </c>
      <c r="P13241" s="152">
        <f>M13241/1.1</f>
        <v/>
      </c>
      <c r="Q13241" s="88">
        <f>F13241&amp;E13241&amp;G13241&amp;L13241</f>
        <v/>
      </c>
    </row>
    <row r="13242">
      <c r="B13242" s="128" t="n">
        <v>44202</v>
      </c>
      <c r="C13242" s="88">
        <f>TEXT(B13242,"aaa")</f>
        <v/>
      </c>
      <c r="D13242" s="94" t="n"/>
      <c r="E13242" s="88">
        <f>INDEX(매칭테이블!C:D,MATCH(RD!G13242,매칭테이블!D:D,0),1)</f>
        <v/>
      </c>
      <c r="F13242" s="94" t="inlineStr">
        <is>
          <t>카페24</t>
        </is>
      </c>
      <c r="G13242" s="94" t="inlineStr">
        <is>
          <t>어성초 80 수분 진정 앰플</t>
        </is>
      </c>
      <c r="K13242" s="94" t="n">
        <v>4</v>
      </c>
      <c r="L13242" s="88" t="n">
        <v>201208</v>
      </c>
      <c r="M13242" s="88">
        <f>VLOOKUP($Q13242,매칭테이블!$F:$I,2,0)*K13242</f>
        <v/>
      </c>
      <c r="N13242" s="88">
        <f>M13242-M13242*VLOOKUP($Q13242,매칭테이블!$F:$I,3,0)</f>
        <v/>
      </c>
      <c r="O13242" s="88">
        <f>VLOOKUP($Q13242,매칭테이블!$F:$I,4,0)*K13242</f>
        <v/>
      </c>
      <c r="P13242" s="152">
        <f>M13242/1.1</f>
        <v/>
      </c>
      <c r="Q13242" s="88">
        <f>F13242&amp;E13242&amp;G13242&amp;L13242</f>
        <v/>
      </c>
    </row>
    <row r="13243">
      <c r="B13243" s="128" t="n">
        <v>44202</v>
      </c>
      <c r="C13243" s="88">
        <f>TEXT(B13243,"aaa")</f>
        <v/>
      </c>
      <c r="D13243" s="94" t="n"/>
      <c r="E13243" s="88">
        <f>INDEX(매칭테이블!C:D,MATCH(RD!G13243,매칭테이블!D:D,0),1)</f>
        <v/>
      </c>
      <c r="F13243" s="94" t="inlineStr">
        <is>
          <t>카페24</t>
        </is>
      </c>
      <c r="G13243" s="94" t="inlineStr">
        <is>
          <t>어성초 아크네 바디워시옵션=어성초 아크네 바디워시 1개 -30% off</t>
        </is>
      </c>
      <c r="K13243" s="94" t="n">
        <v>4</v>
      </c>
      <c r="L13243" s="88" t="n">
        <v>201208</v>
      </c>
      <c r="M13243" s="88">
        <f>VLOOKUP($Q13243,매칭테이블!$F:$I,2,0)*K13243</f>
        <v/>
      </c>
      <c r="N13243" s="88">
        <f>M13243-M13243*VLOOKUP($Q13243,매칭테이블!$F:$I,3,0)</f>
        <v/>
      </c>
      <c r="O13243" s="88">
        <f>VLOOKUP($Q13243,매칭테이블!$F:$I,4,0)*K13243</f>
        <v/>
      </c>
      <c r="P13243" s="152">
        <f>M13243/1.1</f>
        <v/>
      </c>
      <c r="Q13243" s="88">
        <f>F13243&amp;E13243&amp;G13243&amp;L13243</f>
        <v/>
      </c>
    </row>
    <row r="13244">
      <c r="B13244" s="128" t="n">
        <v>44202</v>
      </c>
      <c r="C13244" s="88">
        <f>TEXT(B13244,"aaa")</f>
        <v/>
      </c>
      <c r="D13244" s="94" t="n"/>
      <c r="E13244" s="88">
        <f>INDEX(매칭테이블!C:D,MATCH(RD!G13244,매칭테이블!D:D,0),1)</f>
        <v/>
      </c>
      <c r="F13244" s="94" t="inlineStr">
        <is>
          <t>카페24</t>
        </is>
      </c>
      <c r="G13244" s="94" t="inlineStr">
        <is>
          <t>어성초 약산성 클렌징폼클렌징폼=어성초 약산성 클렌징폼 1개 -19%off</t>
        </is>
      </c>
      <c r="K13244" s="94" t="n">
        <v>12</v>
      </c>
      <c r="L13244" s="88" t="n">
        <v>201208</v>
      </c>
      <c r="M13244" s="88">
        <f>VLOOKUP($Q13244,매칭테이블!$F:$I,2,0)*K13244</f>
        <v/>
      </c>
      <c r="N13244" s="88">
        <f>M13244-M13244*VLOOKUP($Q13244,매칭테이블!$F:$I,3,0)</f>
        <v/>
      </c>
      <c r="O13244" s="88">
        <f>VLOOKUP($Q13244,매칭테이블!$F:$I,4,0)*K13244</f>
        <v/>
      </c>
      <c r="P13244" s="152">
        <f>M13244/1.1</f>
        <v/>
      </c>
      <c r="Q13244" s="88">
        <f>F13244&amp;E13244&amp;G13244&amp;L13244</f>
        <v/>
      </c>
    </row>
    <row r="13245">
      <c r="B13245" s="128" t="n">
        <v>44202</v>
      </c>
      <c r="C13245" s="88">
        <f>TEXT(B13245,"aaa")</f>
        <v/>
      </c>
      <c r="D13245" s="94" t="n"/>
      <c r="E13245" s="88">
        <f>INDEX(매칭테이블!C:D,MATCH(RD!G13245,매칭테이블!D:D,0),1)</f>
        <v/>
      </c>
      <c r="F13245" s="94" t="inlineStr">
        <is>
          <t>카페24</t>
        </is>
      </c>
      <c r="G13245" s="94" t="inlineStr">
        <is>
          <t>어성초 약산성 클렌징폼클렌징폼=어성초 약산성 클렌징폼 2개 -25%off</t>
        </is>
      </c>
      <c r="K13245" s="94" t="n">
        <v>2</v>
      </c>
      <c r="L13245" s="88" t="n">
        <v>201208</v>
      </c>
      <c r="M13245" s="88">
        <f>VLOOKUP($Q13245,매칭테이블!$F:$I,2,0)*K13245</f>
        <v/>
      </c>
      <c r="N13245" s="88">
        <f>M13245-M13245*VLOOKUP($Q13245,매칭테이블!$F:$I,3,0)</f>
        <v/>
      </c>
      <c r="O13245" s="88">
        <f>VLOOKUP($Q13245,매칭테이블!$F:$I,4,0)*K13245</f>
        <v/>
      </c>
      <c r="P13245" s="152">
        <f>M13245/1.1</f>
        <v/>
      </c>
      <c r="Q13245" s="88">
        <f>F13245&amp;E13245&amp;G13245&amp;L13245</f>
        <v/>
      </c>
    </row>
    <row r="13246">
      <c r="B13246" s="128" t="n">
        <v>44202</v>
      </c>
      <c r="C13246" s="88">
        <f>TEXT(B13246,"aaa")</f>
        <v/>
      </c>
      <c r="D13246" s="94" t="n"/>
      <c r="E13246" s="88">
        <f>INDEX(매칭테이블!C:D,MATCH(RD!G13246,매칭테이블!D:D,0),1)</f>
        <v/>
      </c>
      <c r="F13246" s="94" t="inlineStr">
        <is>
          <t>카페24</t>
        </is>
      </c>
      <c r="G13246" s="94" t="inlineStr">
        <is>
          <t>어성초 약산성 클렌징폼클렌징폼=어성초 약산성 클렌징폼 3개 -31%off (무료배송)</t>
        </is>
      </c>
      <c r="K13246" s="94" t="n">
        <v>4</v>
      </c>
      <c r="L13246" s="88" t="n">
        <v>201208</v>
      </c>
      <c r="M13246" s="88">
        <f>VLOOKUP($Q13246,매칭테이블!$F:$I,2,0)*K13246</f>
        <v/>
      </c>
      <c r="N13246" s="88">
        <f>M13246-M13246*VLOOKUP($Q13246,매칭테이블!$F:$I,3,0)</f>
        <v/>
      </c>
      <c r="O13246" s="88">
        <f>VLOOKUP($Q13246,매칭테이블!$F:$I,4,0)*K13246</f>
        <v/>
      </c>
      <c r="P13246" s="152">
        <f>M13246/1.1</f>
        <v/>
      </c>
      <c r="Q13246" s="88">
        <f>F13246&amp;E13246&amp;G13246&amp;L13246</f>
        <v/>
      </c>
    </row>
    <row r="13247">
      <c r="B13247" s="128" t="n">
        <v>44202</v>
      </c>
      <c r="C13247" s="88">
        <f>TEXT(B13247,"aaa")</f>
        <v/>
      </c>
      <c r="D13247" s="94" t="n"/>
      <c r="E13247" s="88">
        <f>INDEX(매칭테이블!C:D,MATCH(RD!G13247,매칭테이블!D:D,0),1)</f>
        <v/>
      </c>
      <c r="F13247" s="94" t="inlineStr">
        <is>
          <t>카페24</t>
        </is>
      </c>
      <c r="G13247" s="94" t="inlineStr">
        <is>
          <t>청귤 비타 잡티 마스크옵션=청귤 비타 잡티 마스크 10장(50% off)</t>
        </is>
      </c>
      <c r="K13247" s="94" t="n">
        <v>5</v>
      </c>
      <c r="L13247" s="88" t="n">
        <v>201208</v>
      </c>
      <c r="M13247" s="88">
        <f>VLOOKUP($Q13247,매칭테이블!$F:$I,2,0)*K13247</f>
        <v/>
      </c>
      <c r="N13247" s="88">
        <f>M13247-M13247*VLOOKUP($Q13247,매칭테이블!$F:$I,3,0)</f>
        <v/>
      </c>
      <c r="O13247" s="88">
        <f>VLOOKUP($Q13247,매칭테이블!$F:$I,4,0)*K13247</f>
        <v/>
      </c>
      <c r="P13247" s="152">
        <f>M13247/1.1</f>
        <v/>
      </c>
      <c r="Q13247" s="88">
        <f>F13247&amp;E13247&amp;G13247&amp;L13247</f>
        <v/>
      </c>
    </row>
    <row r="13248">
      <c r="B13248" s="128" t="n">
        <v>44202</v>
      </c>
      <c r="C13248" s="88">
        <f>TEXT(B13248,"aaa")</f>
        <v/>
      </c>
      <c r="D13248" s="94" t="n"/>
      <c r="E13248" s="88">
        <f>INDEX(매칭테이블!C:D,MATCH(RD!G13248,매칭테이블!D:D,0),1)</f>
        <v/>
      </c>
      <c r="F13248" s="94" t="inlineStr">
        <is>
          <t>카페24</t>
        </is>
      </c>
      <c r="G13248" s="94" t="inlineStr">
        <is>
          <t>촉촉 스킨팩 화장솜</t>
        </is>
      </c>
      <c r="K13248" s="94" t="n">
        <v>26</v>
      </c>
      <c r="L13248" s="88" t="n">
        <v>201208</v>
      </c>
      <c r="M13248" s="88">
        <f>VLOOKUP($Q13248,매칭테이블!$F:$I,2,0)*K13248</f>
        <v/>
      </c>
      <c r="N13248" s="88">
        <f>M13248-M13248*VLOOKUP($Q13248,매칭테이블!$F:$I,3,0)</f>
        <v/>
      </c>
      <c r="O13248" s="88">
        <f>VLOOKUP($Q13248,매칭테이블!$F:$I,4,0)*K13248</f>
        <v/>
      </c>
      <c r="P13248" s="152">
        <f>M13248/1.1</f>
        <v/>
      </c>
      <c r="Q13248" s="88">
        <f>F13248&amp;E13248&amp;G13248&amp;L13248</f>
        <v/>
      </c>
    </row>
    <row r="13249">
      <c r="B13249" s="128" t="n">
        <v>44202</v>
      </c>
      <c r="C13249" s="88">
        <f>TEXT(B13249,"aaa")</f>
        <v/>
      </c>
      <c r="D13249" s="94" t="n"/>
      <c r="E13249" s="88">
        <f>INDEX(매칭테이블!C:D,MATCH(RD!G13249,매칭테이블!D:D,0),1)</f>
        <v/>
      </c>
      <c r="F13249" s="94" t="inlineStr">
        <is>
          <t>카페24</t>
        </is>
      </c>
      <c r="G13249" s="94" t="inlineStr">
        <is>
          <t>촉촉 스킨팩 화장솜</t>
        </is>
      </c>
      <c r="K13249" s="94" t="n">
        <v>1</v>
      </c>
      <c r="L13249" s="88" t="n">
        <v>201208</v>
      </c>
      <c r="M13249" s="88">
        <f>VLOOKUP($Q13249,매칭테이블!$F:$I,2,0)*K13249</f>
        <v/>
      </c>
      <c r="N13249" s="88">
        <f>M13249-M13249*VLOOKUP($Q13249,매칭테이블!$F:$I,3,0)</f>
        <v/>
      </c>
      <c r="O13249" s="88">
        <f>VLOOKUP($Q13249,매칭테이블!$F:$I,4,0)*K13249</f>
        <v/>
      </c>
      <c r="P13249" s="152">
        <f>M13249/1.1</f>
        <v/>
      </c>
      <c r="Q13249" s="88">
        <f>F13249&amp;E13249&amp;G13249&amp;L13249</f>
        <v/>
      </c>
    </row>
    <row r="13250">
      <c r="B13250" s="128" t="n">
        <v>44203</v>
      </c>
      <c r="C13250" s="88">
        <f>TEXT(B13250,"aaa")</f>
        <v/>
      </c>
      <c r="D13250" s="94" t="n"/>
      <c r="E13250" s="88">
        <f>INDEX(매칭테이블!C:D,MATCH(RD!G13250,매칭테이블!D:D,0),1)</f>
        <v/>
      </c>
      <c r="F13250" s="94" t="inlineStr">
        <is>
          <t>W컨셉</t>
        </is>
      </c>
      <c r="G13250" s="94" t="inlineStr">
        <is>
          <t>어성초 77토너 (2 SET) HEARTLEAF 77% SOOTHING TONER 250ml250ml 2set</t>
        </is>
      </c>
      <c r="H13250" s="94" t="n"/>
      <c r="I13250" s="94" t="n"/>
      <c r="J13250" s="94" t="n"/>
      <c r="K13250" s="94" t="n">
        <v>3</v>
      </c>
      <c r="L13250" s="88" t="n">
        <v>201208</v>
      </c>
      <c r="M13250" s="88">
        <f>VLOOKUP($Q13250,매칭테이블!$F:$I,2,0)*K13250</f>
        <v/>
      </c>
      <c r="N13250" s="88">
        <f>M13250-M13250*VLOOKUP($Q13250,매칭테이블!$F:$I,3,0)</f>
        <v/>
      </c>
      <c r="O13250" s="88">
        <f>VLOOKUP($Q13250,매칭테이블!$F:$I,4,0)*K13250</f>
        <v/>
      </c>
      <c r="P13250" s="152">
        <f>M13250/1.1</f>
        <v/>
      </c>
      <c r="Q13250" s="88">
        <f>F13250&amp;E13250&amp;G13250&amp;L13250</f>
        <v/>
      </c>
    </row>
    <row r="13251">
      <c r="B13251" s="128" t="n">
        <v>44203</v>
      </c>
      <c r="C13251" s="88">
        <f>TEXT(B13251,"aaa")</f>
        <v/>
      </c>
      <c r="D13251" s="94" t="n"/>
      <c r="E13251" s="88">
        <f>INDEX(매칭테이블!C:D,MATCH(RD!G13251,매칭테이블!D:D,0),1)</f>
        <v/>
      </c>
      <c r="F13251" s="94" t="inlineStr">
        <is>
          <t>글로우데이즈 시코르</t>
        </is>
      </c>
      <c r="G13251" s="94" t="inlineStr">
        <is>
          <t>어성초 77 마스크팩 10매</t>
        </is>
      </c>
      <c r="K13251" s="94" t="n">
        <v>2</v>
      </c>
      <c r="L13251" s="88" t="n">
        <v>201208</v>
      </c>
      <c r="M13251" s="88">
        <f>VLOOKUP($Q13251,매칭테이블!$F:$I,2,0)*K13251</f>
        <v/>
      </c>
      <c r="N13251" s="88">
        <f>M13251-M13251*VLOOKUP($Q13251,매칭테이블!$F:$I,3,0)</f>
        <v/>
      </c>
      <c r="O13251" s="88">
        <f>VLOOKUP($Q13251,매칭테이블!$F:$I,4,0)*K13251</f>
        <v/>
      </c>
      <c r="P13251" s="152">
        <f>M13251/1.1</f>
        <v/>
      </c>
      <c r="Q13251" s="88">
        <f>F13251&amp;E13251&amp;G13251&amp;L13251</f>
        <v/>
      </c>
    </row>
    <row r="13252">
      <c r="B13252" s="128" t="n">
        <v>44203</v>
      </c>
      <c r="C13252" s="88">
        <f>TEXT(B13252,"aaa")</f>
        <v/>
      </c>
      <c r="D13252" s="94" t="n"/>
      <c r="E13252" s="88">
        <f>INDEX(매칭테이블!C:D,MATCH(RD!G13252,매칭테이블!D:D,0),1)</f>
        <v/>
      </c>
      <c r="F13252" s="94" t="inlineStr">
        <is>
          <t>글로우데이즈 시코르</t>
        </is>
      </c>
      <c r="G13252" s="94" t="inlineStr">
        <is>
          <t>어성초 80 앰플 30ml</t>
        </is>
      </c>
      <c r="K13252" s="94" t="n">
        <v>3</v>
      </c>
      <c r="L13252" s="88" t="n">
        <v>201208</v>
      </c>
      <c r="M13252" s="88">
        <f>VLOOKUP($Q13252,매칭테이블!$F:$I,2,0)*K13252</f>
        <v/>
      </c>
      <c r="N13252" s="88">
        <f>M13252-M13252*VLOOKUP($Q13252,매칭테이블!$F:$I,3,0)</f>
        <v/>
      </c>
      <c r="O13252" s="88">
        <f>VLOOKUP($Q13252,매칭테이블!$F:$I,4,0)*K13252</f>
        <v/>
      </c>
      <c r="P13252" s="152">
        <f>M13252/1.1</f>
        <v/>
      </c>
      <c r="Q13252" s="88">
        <f>F13252&amp;E13252&amp;G13252&amp;L13252</f>
        <v/>
      </c>
    </row>
    <row r="13253">
      <c r="B13253" s="128" t="n">
        <v>44203</v>
      </c>
      <c r="C13253" s="88">
        <f>TEXT(B13253,"aaa")</f>
        <v/>
      </c>
      <c r="D13253" s="94" t="n"/>
      <c r="E13253" s="88">
        <f>INDEX(매칭테이블!C:D,MATCH(RD!G13253,매칭테이블!D:D,0),1)</f>
        <v/>
      </c>
      <c r="F13253" s="94" t="inlineStr">
        <is>
          <t>스타일쉐어</t>
        </is>
      </c>
      <c r="G13253" s="94" t="inlineStr">
        <is>
          <t>아누아 어성초 77 토너 250ml</t>
        </is>
      </c>
      <c r="K13253" s="94" t="n">
        <v>1</v>
      </c>
      <c r="L13253" s="88" t="n">
        <v>201208</v>
      </c>
      <c r="M13253" s="88">
        <f>VLOOKUP($Q13253,매칭테이블!$F:$I,2,0)*K13253</f>
        <v/>
      </c>
      <c r="N13253" s="88">
        <f>M13253-M13253*VLOOKUP($Q13253,매칭테이블!$F:$I,3,0)</f>
        <v/>
      </c>
      <c r="O13253" s="88">
        <f>VLOOKUP($Q13253,매칭테이블!$F:$I,4,0)*K13253</f>
        <v/>
      </c>
      <c r="P13253" s="152">
        <f>M13253/1.1</f>
        <v/>
      </c>
      <c r="Q13253" s="88">
        <f>F13253&amp;E13253&amp;G13253&amp;L13253</f>
        <v/>
      </c>
    </row>
    <row r="13254">
      <c r="B13254" s="128" t="n">
        <v>44203</v>
      </c>
      <c r="C13254" s="88">
        <f>TEXT(B13254,"aaa")</f>
        <v/>
      </c>
      <c r="D13254" s="94" t="n"/>
      <c r="E13254" s="88">
        <f>INDEX(매칭테이블!C:D,MATCH(RD!G13254,매칭테이블!D:D,0),1)</f>
        <v/>
      </c>
      <c r="F13254" s="94" t="inlineStr">
        <is>
          <t>아누아 CS</t>
        </is>
      </c>
      <c r="G13254" s="94" t="inlineStr">
        <is>
          <t>어성초 77 토너 250ml</t>
        </is>
      </c>
      <c r="K13254" s="94" t="n">
        <v>2</v>
      </c>
      <c r="L13254" s="88" t="n">
        <v>201208</v>
      </c>
      <c r="M13254" s="88">
        <f>VLOOKUP($Q13254,매칭테이블!$F:$I,2,0)*K13254</f>
        <v/>
      </c>
      <c r="N13254" s="88">
        <f>M13254-M13254*VLOOKUP($Q13254,매칭테이블!$F:$I,3,0)</f>
        <v/>
      </c>
      <c r="O13254" s="88">
        <f>VLOOKUP($Q13254,매칭테이블!$F:$I,4,0)*K13254</f>
        <v/>
      </c>
      <c r="P13254" s="152">
        <f>M13254/1.1</f>
        <v/>
      </c>
      <c r="Q13254" s="88">
        <f>F13254&amp;E13254&amp;G13254&amp;L13254</f>
        <v/>
      </c>
    </row>
    <row r="13255">
      <c r="B13255" s="128" t="n">
        <v>44203</v>
      </c>
      <c r="C13255" s="88">
        <f>TEXT(B13255,"aaa")</f>
        <v/>
      </c>
      <c r="D13255" s="94" t="n"/>
      <c r="E13255" s="88">
        <f>INDEX(매칭테이블!C:D,MATCH(RD!G13255,매칭테이블!D:D,0),1)</f>
        <v/>
      </c>
      <c r="F13255" s="94" t="inlineStr">
        <is>
          <t>카페24</t>
        </is>
      </c>
      <c r="G13255" s="94" t="inlineStr">
        <is>
          <t>5 제로 무기자차 선크림옵션=5제로 무기자차 선크림 1개-20% off</t>
        </is>
      </c>
      <c r="K13255" s="94" t="n">
        <v>3</v>
      </c>
      <c r="L13255" s="88" t="n">
        <v>201208</v>
      </c>
      <c r="M13255" s="88">
        <f>VLOOKUP($Q13255,매칭테이블!$F:$I,2,0)*K13255</f>
        <v/>
      </c>
      <c r="N13255" s="88">
        <f>M13255-M13255*VLOOKUP($Q13255,매칭테이블!$F:$I,3,0)</f>
        <v/>
      </c>
      <c r="O13255" s="88">
        <f>VLOOKUP($Q13255,매칭테이블!$F:$I,4,0)*K13255</f>
        <v/>
      </c>
      <c r="P13255" s="152">
        <f>M13255/1.1</f>
        <v/>
      </c>
      <c r="Q13255" s="88">
        <f>F13255&amp;E13255&amp;G13255&amp;L13255</f>
        <v/>
      </c>
    </row>
    <row r="13256">
      <c r="B13256" s="128" t="n">
        <v>44203</v>
      </c>
      <c r="C13256" s="88">
        <f>TEXT(B13256,"aaa")</f>
        <v/>
      </c>
      <c r="D13256" s="94" t="n"/>
      <c r="E13256" s="88">
        <f>INDEX(매칭테이블!C:D,MATCH(RD!G13256,매칭테이블!D:D,0),1)</f>
        <v/>
      </c>
      <c r="F13256" s="94" t="inlineStr">
        <is>
          <t>카페24</t>
        </is>
      </c>
      <c r="G13256" s="94" t="inlineStr">
        <is>
          <t>5 제로 무기자차 선크림옵션=5제로 무기자차 선크림 2개-30% off (무료배송)</t>
        </is>
      </c>
      <c r="K13256" s="94" t="n">
        <v>1</v>
      </c>
      <c r="L13256" s="88" t="n">
        <v>201208</v>
      </c>
      <c r="M13256" s="88">
        <f>VLOOKUP($Q13256,매칭테이블!$F:$I,2,0)*K13256</f>
        <v/>
      </c>
      <c r="N13256" s="88">
        <f>M13256-M13256*VLOOKUP($Q13256,매칭테이블!$F:$I,3,0)</f>
        <v/>
      </c>
      <c r="O13256" s="88">
        <f>VLOOKUP($Q13256,매칭테이블!$F:$I,4,0)*K13256</f>
        <v/>
      </c>
      <c r="P13256" s="152">
        <f>M13256/1.1</f>
        <v/>
      </c>
      <c r="Q13256" s="88">
        <f>F13256&amp;E13256&amp;G13256&amp;L13256</f>
        <v/>
      </c>
    </row>
    <row r="13257">
      <c r="B13257" s="128" t="n">
        <v>44203</v>
      </c>
      <c r="C13257" s="88">
        <f>TEXT(B13257,"aaa")</f>
        <v/>
      </c>
      <c r="D13257" s="94" t="n"/>
      <c r="E13257" s="88">
        <f>INDEX(매칭테이블!C:D,MATCH(RD!G13257,매칭테이블!D:D,0),1)</f>
        <v/>
      </c>
      <c r="F13257" s="94" t="inlineStr">
        <is>
          <t>카페24</t>
        </is>
      </c>
      <c r="G13257" s="94" t="inlineStr">
        <is>
          <t>[수분 보충 세트] 어성초 77 토너 + 어성초 70 로션옵션=어성초 77 토너 250ml + 어성초 70 로션 200ml -30%</t>
        </is>
      </c>
      <c r="K13257" s="94" t="n">
        <v>41</v>
      </c>
      <c r="L13257" s="88" t="n">
        <v>201208</v>
      </c>
      <c r="M13257" s="88">
        <f>VLOOKUP($Q13257,매칭테이블!$F:$I,2,0)*K13257</f>
        <v/>
      </c>
      <c r="N13257" s="88">
        <f>M13257-M13257*VLOOKUP($Q13257,매칭테이블!$F:$I,3,0)</f>
        <v/>
      </c>
      <c r="O13257" s="88">
        <f>VLOOKUP($Q13257,매칭테이블!$F:$I,4,0)*K13257</f>
        <v/>
      </c>
      <c r="P13257" s="152">
        <f>M13257/1.1</f>
        <v/>
      </c>
      <c r="Q13257" s="88">
        <f>F13257&amp;E13257&amp;G13257&amp;L13257</f>
        <v/>
      </c>
    </row>
    <row r="13258">
      <c r="B13258" s="128" t="n">
        <v>44203</v>
      </c>
      <c r="C13258" s="88">
        <f>TEXT(B13258,"aaa")</f>
        <v/>
      </c>
      <c r="D13258" s="94" t="n"/>
      <c r="E13258" s="88">
        <f>INDEX(매칭테이블!C:D,MATCH(RD!G13258,매칭테이블!D:D,0),1)</f>
        <v/>
      </c>
      <c r="F13258" s="94" t="inlineStr">
        <is>
          <t>카페24</t>
        </is>
      </c>
      <c r="G13258" s="94" t="inlineStr">
        <is>
          <t>[어성초 진정 패키지 세트] 대용량 토너 + 앰플 + 수딩 크림 + 마스크팩 10장</t>
        </is>
      </c>
      <c r="K13258" s="94" t="n">
        <v>6</v>
      </c>
      <c r="L13258" s="88" t="n">
        <v>201208</v>
      </c>
      <c r="M13258" s="88">
        <f>VLOOKUP($Q13258,매칭테이블!$F:$I,2,0)*K13258</f>
        <v/>
      </c>
      <c r="N13258" s="88">
        <f>M13258-M13258*VLOOKUP($Q13258,매칭테이블!$F:$I,3,0)</f>
        <v/>
      </c>
      <c r="O13258" s="88">
        <f>VLOOKUP($Q13258,매칭테이블!$F:$I,4,0)*K13258</f>
        <v/>
      </c>
      <c r="P13258" s="152">
        <f>M13258/1.1</f>
        <v/>
      </c>
      <c r="Q13258" s="88">
        <f>F13258&amp;E13258&amp;G13258&amp;L13258</f>
        <v/>
      </c>
    </row>
    <row r="13259">
      <c r="B13259" s="128" t="n">
        <v>44203</v>
      </c>
      <c r="C13259" s="88">
        <f>TEXT(B13259,"aaa")</f>
        <v/>
      </c>
      <c r="D13259" s="94" t="n"/>
      <c r="E13259" s="88">
        <f>INDEX(매칭테이블!C:D,MATCH(RD!G13259,매칭테이블!D:D,0),1)</f>
        <v/>
      </c>
      <c r="F13259" s="94" t="inlineStr">
        <is>
          <t>카페24</t>
        </is>
      </c>
      <c r="G13259" s="94" t="inlineStr">
        <is>
          <t>대용량 어성초 77 수딩 토너 500ml</t>
        </is>
      </c>
      <c r="K13259" s="94" t="n">
        <v>37</v>
      </c>
      <c r="L13259" s="88" t="n">
        <v>201208</v>
      </c>
      <c r="M13259" s="88">
        <f>VLOOKUP($Q13259,매칭테이블!$F:$I,2,0)*K13259</f>
        <v/>
      </c>
      <c r="N13259" s="88">
        <f>M13259-M13259*VLOOKUP($Q13259,매칭테이블!$F:$I,3,0)</f>
        <v/>
      </c>
      <c r="O13259" s="88">
        <f>VLOOKUP($Q13259,매칭테이블!$F:$I,4,0)*K13259</f>
        <v/>
      </c>
      <c r="P13259" s="152">
        <f>M13259/1.1</f>
        <v/>
      </c>
      <c r="Q13259" s="88">
        <f>F13259&amp;E13259&amp;G13259&amp;L13259</f>
        <v/>
      </c>
    </row>
    <row r="13260">
      <c r="B13260" s="128" t="n">
        <v>44203</v>
      </c>
      <c r="C13260" s="88">
        <f>TEXT(B13260,"aaa")</f>
        <v/>
      </c>
      <c r="D13260" s="94" t="n"/>
      <c r="E13260" s="88">
        <f>INDEX(매칭테이블!C:D,MATCH(RD!G13260,매칭테이블!D:D,0),1)</f>
        <v/>
      </c>
      <c r="F13260" s="94" t="inlineStr">
        <is>
          <t>카페24</t>
        </is>
      </c>
      <c r="G13260" s="94" t="inlineStr">
        <is>
          <t>대용량 어성초 77 토너 500ml</t>
        </is>
      </c>
      <c r="K13260" s="94" t="n">
        <v>1</v>
      </c>
      <c r="L13260" s="88" t="n">
        <v>201208</v>
      </c>
      <c r="M13260" s="88">
        <f>VLOOKUP($Q13260,매칭테이블!$F:$I,2,0)*K13260</f>
        <v/>
      </c>
      <c r="N13260" s="88">
        <f>M13260-M13260*VLOOKUP($Q13260,매칭테이블!$F:$I,3,0)</f>
        <v/>
      </c>
      <c r="O13260" s="88">
        <f>VLOOKUP($Q13260,매칭테이블!$F:$I,4,0)*K13260</f>
        <v/>
      </c>
      <c r="P13260" s="152">
        <f>M13260/1.1</f>
        <v/>
      </c>
      <c r="Q13260" s="88">
        <f>F13260&amp;E13260&amp;G13260&amp;L13260</f>
        <v/>
      </c>
    </row>
    <row r="13261">
      <c r="B13261" s="128" t="n">
        <v>44203</v>
      </c>
      <c r="C13261" s="88">
        <f>TEXT(B13261,"aaa")</f>
        <v/>
      </c>
      <c r="D13261" s="94" t="n"/>
      <c r="E13261" s="88">
        <f>INDEX(매칭테이블!C:D,MATCH(RD!G13261,매칭테이블!D:D,0),1)</f>
        <v/>
      </c>
      <c r="F13261" s="94" t="inlineStr">
        <is>
          <t>카페24</t>
        </is>
      </c>
      <c r="G13261" s="94" t="inlineStr">
        <is>
          <t>어성초 70 데일리 릴리프 로션로션=어성초 70 데일리 릴리프 로션 1개 -20% off</t>
        </is>
      </c>
      <c r="K13261" s="94" t="n">
        <v>10</v>
      </c>
      <c r="L13261" s="88" t="n">
        <v>201208</v>
      </c>
      <c r="M13261" s="88">
        <f>VLOOKUP($Q13261,매칭테이블!$F:$I,2,0)*K13261</f>
        <v/>
      </c>
      <c r="N13261" s="88">
        <f>M13261-M13261*VLOOKUP($Q13261,매칭테이블!$F:$I,3,0)</f>
        <v/>
      </c>
      <c r="O13261" s="88">
        <f>VLOOKUP($Q13261,매칭테이블!$F:$I,4,0)*K13261</f>
        <v/>
      </c>
      <c r="P13261" s="152">
        <f>M13261/1.1</f>
        <v/>
      </c>
      <c r="Q13261" s="88">
        <f>F13261&amp;E13261&amp;G13261&amp;L13261</f>
        <v/>
      </c>
    </row>
    <row r="13262">
      <c r="B13262" s="128" t="n">
        <v>44203</v>
      </c>
      <c r="C13262" s="88">
        <f>TEXT(B13262,"aaa")</f>
        <v/>
      </c>
      <c r="D13262" s="94" t="n"/>
      <c r="E13262" s="88">
        <f>INDEX(매칭테이블!C:D,MATCH(RD!G13262,매칭테이블!D:D,0),1)</f>
        <v/>
      </c>
      <c r="F13262" s="94" t="inlineStr">
        <is>
          <t>카페24</t>
        </is>
      </c>
      <c r="G13262" s="94" t="inlineStr">
        <is>
          <t>어성초 70 데일리 릴리프 로션로션=어성초 70 데일리 릴리프 로션 2개 -30% off</t>
        </is>
      </c>
      <c r="K13262" s="94" t="n">
        <v>3</v>
      </c>
      <c r="L13262" s="88" t="n">
        <v>201208</v>
      </c>
      <c r="M13262" s="88">
        <f>VLOOKUP($Q13262,매칭테이블!$F:$I,2,0)*K13262</f>
        <v/>
      </c>
      <c r="N13262" s="88">
        <f>M13262-M13262*VLOOKUP($Q13262,매칭테이블!$F:$I,3,0)</f>
        <v/>
      </c>
      <c r="O13262" s="88">
        <f>VLOOKUP($Q13262,매칭테이블!$F:$I,4,0)*K13262</f>
        <v/>
      </c>
      <c r="P13262" s="152">
        <f>M13262/1.1</f>
        <v/>
      </c>
      <c r="Q13262" s="88">
        <f>F13262&amp;E13262&amp;G13262&amp;L13262</f>
        <v/>
      </c>
    </row>
    <row r="13263">
      <c r="B13263" s="128" t="n">
        <v>44203</v>
      </c>
      <c r="C13263" s="88">
        <f>TEXT(B13263,"aaa")</f>
        <v/>
      </c>
      <c r="D13263" s="94" t="n"/>
      <c r="E13263" s="88">
        <f>INDEX(매칭테이블!C:D,MATCH(RD!G13263,매칭테이블!D:D,0),1)</f>
        <v/>
      </c>
      <c r="F13263" s="94" t="inlineStr">
        <is>
          <t>카페24</t>
        </is>
      </c>
      <c r="G13263" s="94" t="inlineStr">
        <is>
          <t>어성초 70 데일리 릴리프 로션로션=어성초 77토너 + 어성초 70 로션 수분 보충 세트 -30% off</t>
        </is>
      </c>
      <c r="K13263" s="94" t="n">
        <v>3</v>
      </c>
      <c r="L13263" s="88" t="n">
        <v>201208</v>
      </c>
      <c r="M13263" s="88">
        <f>VLOOKUP($Q13263,매칭테이블!$F:$I,2,0)*K13263</f>
        <v/>
      </c>
      <c r="N13263" s="88">
        <f>M13263-M13263*VLOOKUP($Q13263,매칭테이블!$F:$I,3,0)</f>
        <v/>
      </c>
      <c r="O13263" s="88">
        <f>VLOOKUP($Q13263,매칭테이블!$F:$I,4,0)*K13263</f>
        <v/>
      </c>
      <c r="P13263" s="152">
        <f>M13263/1.1</f>
        <v/>
      </c>
      <c r="Q13263" s="88">
        <f>F13263&amp;E13263&amp;G13263&amp;L13263</f>
        <v/>
      </c>
    </row>
    <row r="13264">
      <c r="B13264" s="128" t="n">
        <v>44203</v>
      </c>
      <c r="C13264" s="88">
        <f>TEXT(B13264,"aaa")</f>
        <v/>
      </c>
      <c r="D13264" s="94" t="n"/>
      <c r="E13264" s="88">
        <f>INDEX(매칭테이블!C:D,MATCH(RD!G13264,매칭테이블!D:D,0),1)</f>
        <v/>
      </c>
      <c r="F13264" s="94" t="inlineStr">
        <is>
          <t>카페24</t>
        </is>
      </c>
      <c r="G13264" s="94" t="inlineStr">
        <is>
          <t>어성초 70 머드 크림 마스크옵션=어성초 70 머드 크림 마스크-20% off</t>
        </is>
      </c>
      <c r="K13264" s="94" t="n">
        <v>3</v>
      </c>
      <c r="L13264" s="88" t="n">
        <v>201208</v>
      </c>
      <c r="M13264" s="88">
        <f>VLOOKUP($Q13264,매칭테이블!$F:$I,2,0)*K13264</f>
        <v/>
      </c>
      <c r="N13264" s="88">
        <f>M13264-M13264*VLOOKUP($Q13264,매칭테이블!$F:$I,3,0)</f>
        <v/>
      </c>
      <c r="O13264" s="88">
        <f>VLOOKUP($Q13264,매칭테이블!$F:$I,4,0)*K13264</f>
        <v/>
      </c>
      <c r="P13264" s="152">
        <f>M13264/1.1</f>
        <v/>
      </c>
      <c r="Q13264" s="88">
        <f>F13264&amp;E13264&amp;G13264&amp;L13264</f>
        <v/>
      </c>
    </row>
    <row r="13265">
      <c r="B13265" s="128" t="n">
        <v>44203</v>
      </c>
      <c r="C13265" s="88">
        <f>TEXT(B13265,"aaa")</f>
        <v/>
      </c>
      <c r="D13265" s="94" t="n"/>
      <c r="E13265" s="88">
        <f>INDEX(매칭테이블!C:D,MATCH(RD!G13265,매칭테이블!D:D,0),1)</f>
        <v/>
      </c>
      <c r="F13265" s="94" t="inlineStr">
        <is>
          <t>카페24</t>
        </is>
      </c>
      <c r="G13265" s="94" t="inlineStr">
        <is>
          <t>어성초 70 머드 크림 마스크옵션=어성초 70 머드 크림 마스크 2개-30% off (무료배송)</t>
        </is>
      </c>
      <c r="K13265" s="94" t="n">
        <v>2</v>
      </c>
      <c r="L13265" s="88" t="n">
        <v>201208</v>
      </c>
      <c r="M13265" s="88">
        <f>VLOOKUP($Q13265,매칭테이블!$F:$I,2,0)*K13265</f>
        <v/>
      </c>
      <c r="N13265" s="88">
        <f>M13265-M13265*VLOOKUP($Q13265,매칭테이블!$F:$I,3,0)</f>
        <v/>
      </c>
      <c r="O13265" s="88">
        <f>VLOOKUP($Q13265,매칭테이블!$F:$I,4,0)*K13265</f>
        <v/>
      </c>
      <c r="P13265" s="152">
        <f>M13265/1.1</f>
        <v/>
      </c>
      <c r="Q13265" s="88">
        <f>F13265&amp;E13265&amp;G13265&amp;L13265</f>
        <v/>
      </c>
    </row>
    <row r="13266">
      <c r="B13266" s="128" t="n">
        <v>44203</v>
      </c>
      <c r="C13266" s="88">
        <f>TEXT(B13266,"aaa")</f>
        <v/>
      </c>
      <c r="D13266" s="94" t="n"/>
      <c r="E13266" s="88">
        <f>INDEX(매칭테이블!C:D,MATCH(RD!G13266,매칭테이블!D:D,0),1)</f>
        <v/>
      </c>
      <c r="F13266" s="94" t="inlineStr">
        <is>
          <t>카페24</t>
        </is>
      </c>
      <c r="G13266" s="94" t="inlineStr">
        <is>
          <t>어성초 70 인텐스 카밍 크림크림=어성초 70 인텐스 카밍 크림 1개 (-20%)</t>
        </is>
      </c>
      <c r="K13266" s="94" t="n">
        <v>3</v>
      </c>
      <c r="L13266" s="88" t="n">
        <v>201208</v>
      </c>
      <c r="M13266" s="88">
        <f>VLOOKUP($Q13266,매칭테이블!$F:$I,2,0)*K13266</f>
        <v/>
      </c>
      <c r="N13266" s="88">
        <f>M13266-M13266*VLOOKUP($Q13266,매칭테이블!$F:$I,3,0)</f>
        <v/>
      </c>
      <c r="O13266" s="88">
        <f>VLOOKUP($Q13266,매칭테이블!$F:$I,4,0)*K13266</f>
        <v/>
      </c>
      <c r="P13266" s="152">
        <f>M13266/1.1</f>
        <v/>
      </c>
      <c r="Q13266" s="88">
        <f>F13266&amp;E13266&amp;G13266&amp;L13266</f>
        <v/>
      </c>
    </row>
    <row r="13267">
      <c r="B13267" s="128" t="n">
        <v>44203</v>
      </c>
      <c r="C13267" s="88">
        <f>TEXT(B13267,"aaa")</f>
        <v/>
      </c>
      <c r="D13267" s="94" t="n"/>
      <c r="E13267" s="88">
        <f>INDEX(매칭테이블!C:D,MATCH(RD!G13267,매칭테이블!D:D,0),1)</f>
        <v/>
      </c>
      <c r="F13267" s="94" t="inlineStr">
        <is>
          <t>카페24</t>
        </is>
      </c>
      <c r="G13267" s="94" t="inlineStr">
        <is>
          <t>어성초 70 인텐스 카밍 크림크림=어성초 70 인텐스 카밍 크림 2개 (-30%)</t>
        </is>
      </c>
      <c r="K13267" s="94" t="n">
        <v>2</v>
      </c>
      <c r="L13267" s="88" t="n">
        <v>201208</v>
      </c>
      <c r="M13267" s="88">
        <f>VLOOKUP($Q13267,매칭테이블!$F:$I,2,0)*K13267</f>
        <v/>
      </c>
      <c r="N13267" s="88">
        <f>M13267-M13267*VLOOKUP($Q13267,매칭테이블!$F:$I,3,0)</f>
        <v/>
      </c>
      <c r="O13267" s="88">
        <f>VLOOKUP($Q13267,매칭테이블!$F:$I,4,0)*K13267</f>
        <v/>
      </c>
      <c r="P13267" s="152">
        <f>M13267/1.1</f>
        <v/>
      </c>
      <c r="Q13267" s="88">
        <f>F13267&amp;E13267&amp;G13267&amp;L13267</f>
        <v/>
      </c>
    </row>
    <row r="13268">
      <c r="B13268" s="128" t="n">
        <v>44203</v>
      </c>
      <c r="C13268" s="88">
        <f>TEXT(B13268,"aaa")</f>
        <v/>
      </c>
      <c r="D13268" s="94" t="n"/>
      <c r="E13268" s="88">
        <f>INDEX(매칭테이블!C:D,MATCH(RD!G13268,매칭테이블!D:D,0),1)</f>
        <v/>
      </c>
      <c r="F13268" s="94" t="inlineStr">
        <is>
          <t>카페24</t>
        </is>
      </c>
      <c r="G13268" s="94" t="inlineStr">
        <is>
          <t>어성초 70 인텐스 카밍 크림크림=어성초 토너 250ml + 카밍 크림 50ml (-30%)</t>
        </is>
      </c>
      <c r="K13268" s="94" t="n">
        <v>1</v>
      </c>
      <c r="L13268" s="88" t="n">
        <v>201208</v>
      </c>
      <c r="M13268" s="88">
        <f>VLOOKUP($Q13268,매칭테이블!$F:$I,2,0)*K13268</f>
        <v/>
      </c>
      <c r="N13268" s="88">
        <f>M13268-M13268*VLOOKUP($Q13268,매칭테이블!$F:$I,3,0)</f>
        <v/>
      </c>
      <c r="O13268" s="88">
        <f>VLOOKUP($Q13268,매칭테이블!$F:$I,4,0)*K13268</f>
        <v/>
      </c>
      <c r="P13268" s="152">
        <f>M13268/1.1</f>
        <v/>
      </c>
      <c r="Q13268" s="88">
        <f>F13268&amp;E13268&amp;G13268&amp;L13268</f>
        <v/>
      </c>
    </row>
    <row r="13269">
      <c r="B13269" s="128" t="n">
        <v>44203</v>
      </c>
      <c r="C13269" s="88">
        <f>TEXT(B13269,"aaa")</f>
        <v/>
      </c>
      <c r="D13269" s="94" t="n"/>
      <c r="E13269" s="88">
        <f>INDEX(매칭테이블!C:D,MATCH(RD!G13269,매칭테이블!D:D,0),1)</f>
        <v/>
      </c>
      <c r="F13269" s="94" t="inlineStr">
        <is>
          <t>카페24</t>
        </is>
      </c>
      <c r="G13269" s="94" t="inlineStr">
        <is>
          <t>어성초 77 수딩 토너 (클리어패드 세트 구매시 1/11 순차발송 예정)토너(필수)=어성초 77 토너 1개-20% off</t>
        </is>
      </c>
      <c r="K13269" s="94" t="n">
        <v>63</v>
      </c>
      <c r="L13269" s="88" t="n">
        <v>201208</v>
      </c>
      <c r="M13269" s="88">
        <f>VLOOKUP($Q13269,매칭테이블!$F:$I,2,0)*K13269</f>
        <v/>
      </c>
      <c r="N13269" s="88">
        <f>M13269-M13269*VLOOKUP($Q13269,매칭테이블!$F:$I,3,0)</f>
        <v/>
      </c>
      <c r="O13269" s="88">
        <f>VLOOKUP($Q13269,매칭테이블!$F:$I,4,0)*K13269</f>
        <v/>
      </c>
      <c r="P13269" s="152">
        <f>M13269/1.1</f>
        <v/>
      </c>
      <c r="Q13269" s="88">
        <f>F13269&amp;E13269&amp;G13269&amp;L13269</f>
        <v/>
      </c>
    </row>
    <row r="13270">
      <c r="B13270" s="128" t="n">
        <v>44203</v>
      </c>
      <c r="C13270" s="88">
        <f>TEXT(B13270,"aaa")</f>
        <v/>
      </c>
      <c r="D13270" s="94" t="n"/>
      <c r="E13270" s="88">
        <f>INDEX(매칭테이블!C:D,MATCH(RD!G13270,매칭테이블!D:D,0),1)</f>
        <v/>
      </c>
      <c r="F13270" s="94" t="inlineStr">
        <is>
          <t>카페24</t>
        </is>
      </c>
      <c r="G13270" s="94" t="inlineStr">
        <is>
          <t>어성초 77 수딩 토너 (클리어패드 세트 구매시 1/11 순차발송 예정)토너(필수)=어성초 77 토너 2개-30% off (무료배송)</t>
        </is>
      </c>
      <c r="K13270" s="94" t="n">
        <v>51</v>
      </c>
      <c r="L13270" s="88" t="n">
        <v>201208</v>
      </c>
      <c r="M13270" s="88">
        <f>VLOOKUP($Q13270,매칭테이블!$F:$I,2,0)*K13270</f>
        <v/>
      </c>
      <c r="N13270" s="88">
        <f>M13270-M13270*VLOOKUP($Q13270,매칭테이블!$F:$I,3,0)</f>
        <v/>
      </c>
      <c r="O13270" s="88">
        <f>VLOOKUP($Q13270,매칭테이블!$F:$I,4,0)*K13270</f>
        <v/>
      </c>
      <c r="P13270" s="152">
        <f>M13270/1.1</f>
        <v/>
      </c>
      <c r="Q13270" s="88">
        <f>F13270&amp;E13270&amp;G13270&amp;L13270</f>
        <v/>
      </c>
    </row>
    <row r="13271">
      <c r="B13271" s="128" t="n">
        <v>44203</v>
      </c>
      <c r="C13271" s="88">
        <f>TEXT(B13271,"aaa")</f>
        <v/>
      </c>
      <c r="D13271" s="94" t="n"/>
      <c r="E13271" s="88">
        <f>INDEX(매칭테이블!C:D,MATCH(RD!G13271,매칭테이블!D:D,0),1)</f>
        <v/>
      </c>
      <c r="F13271" s="94" t="inlineStr">
        <is>
          <t>카페24</t>
        </is>
      </c>
      <c r="G13271" s="94" t="inlineStr">
        <is>
          <t>어성초 77 수딩 토너 (클리어패드 세트 구매시 1/11 순차발송 예정)토너(필수)=어성초77토너1개 + 어성초77패드1개 -30% off (무료배송)</t>
        </is>
      </c>
      <c r="K13271" s="94" t="n">
        <v>39</v>
      </c>
      <c r="L13271" s="88" t="n">
        <v>201208</v>
      </c>
      <c r="M13271" s="88">
        <f>VLOOKUP($Q13271,매칭테이블!$F:$I,2,0)*K13271</f>
        <v/>
      </c>
      <c r="N13271" s="88">
        <f>M13271-M13271*VLOOKUP($Q13271,매칭테이블!$F:$I,3,0)</f>
        <v/>
      </c>
      <c r="O13271" s="88">
        <f>VLOOKUP($Q13271,매칭테이블!$F:$I,4,0)*K13271</f>
        <v/>
      </c>
      <c r="P13271" s="152">
        <f>M13271/1.1</f>
        <v/>
      </c>
      <c r="Q13271" s="88">
        <f>F13271&amp;E13271&amp;G13271&amp;L13271</f>
        <v/>
      </c>
    </row>
    <row r="13272">
      <c r="B13272" s="128" t="n">
        <v>44203</v>
      </c>
      <c r="C13272" s="88">
        <f>TEXT(B13272,"aaa")</f>
        <v/>
      </c>
      <c r="D13272" s="94" t="n"/>
      <c r="E13272" s="88">
        <f>INDEX(매칭테이블!C:D,MATCH(RD!G13272,매칭테이블!D:D,0),1)</f>
        <v/>
      </c>
      <c r="F13272" s="94" t="inlineStr">
        <is>
          <t>카페24</t>
        </is>
      </c>
      <c r="G13272" s="94" t="inlineStr">
        <is>
          <t>어성초 77 수딩 토너 (클리어패드 세트 구매시 1/11 순차발송 예정)화장솜(선택)=촉촉 스킨팩 화장솜</t>
        </is>
      </c>
      <c r="K13272" s="94" t="n">
        <v>56</v>
      </c>
      <c r="L13272" s="88" t="n">
        <v>201208</v>
      </c>
      <c r="M13272" s="88">
        <f>VLOOKUP($Q13272,매칭테이블!$F:$I,2,0)*K13272</f>
        <v/>
      </c>
      <c r="N13272" s="88">
        <f>M13272-M13272*VLOOKUP($Q13272,매칭테이블!$F:$I,3,0)</f>
        <v/>
      </c>
      <c r="O13272" s="88">
        <f>VLOOKUP($Q13272,매칭테이블!$F:$I,4,0)*K13272</f>
        <v/>
      </c>
      <c r="P13272" s="152">
        <f>M13272/1.1</f>
        <v/>
      </c>
      <c r="Q13272" s="88">
        <f>F13272&amp;E13272&amp;G13272&amp;L13272</f>
        <v/>
      </c>
    </row>
    <row r="13273">
      <c r="B13273" s="128" t="n">
        <v>44203</v>
      </c>
      <c r="C13273" s="88">
        <f>TEXT(B13273,"aaa")</f>
        <v/>
      </c>
      <c r="D13273" s="94" t="n"/>
      <c r="E13273" s="88">
        <f>INDEX(매칭테이블!C:D,MATCH(RD!G13273,매칭테이블!D:D,0),1)</f>
        <v/>
      </c>
      <c r="F13273" s="94" t="inlineStr">
        <is>
          <t>카페24</t>
        </is>
      </c>
      <c r="G13273" s="94" t="inlineStr">
        <is>
          <t>어성초 77 진정 마스크옵션=어성초 77 진정 마스크팩 10장-50% off</t>
        </is>
      </c>
      <c r="K13273" s="94" t="n">
        <v>6</v>
      </c>
      <c r="L13273" s="88" t="n">
        <v>201208</v>
      </c>
      <c r="M13273" s="88">
        <f>VLOOKUP($Q13273,매칭테이블!$F:$I,2,0)*K13273</f>
        <v/>
      </c>
      <c r="N13273" s="88">
        <f>M13273-M13273*VLOOKUP($Q13273,매칭테이블!$F:$I,3,0)</f>
        <v/>
      </c>
      <c r="O13273" s="88">
        <f>VLOOKUP($Q13273,매칭테이블!$F:$I,4,0)*K13273</f>
        <v/>
      </c>
      <c r="P13273" s="152">
        <f>M13273/1.1</f>
        <v/>
      </c>
      <c r="Q13273" s="88">
        <f>F13273&amp;E13273&amp;G13273&amp;L13273</f>
        <v/>
      </c>
    </row>
    <row r="13274">
      <c r="B13274" s="128" t="n">
        <v>44203</v>
      </c>
      <c r="C13274" s="88">
        <f>TEXT(B13274,"aaa")</f>
        <v/>
      </c>
      <c r="D13274" s="94" t="n"/>
      <c r="E13274" s="88">
        <f>INDEX(매칭테이블!C:D,MATCH(RD!G13274,매칭테이블!D:D,0),1)</f>
        <v/>
      </c>
      <c r="F13274" s="94" t="inlineStr">
        <is>
          <t>카페24</t>
        </is>
      </c>
      <c r="G13274" s="94" t="inlineStr">
        <is>
          <t>어성초 77 진정 마스크</t>
        </is>
      </c>
      <c r="K13274" s="94" t="n">
        <v>5</v>
      </c>
      <c r="L13274" s="88" t="n">
        <v>201208</v>
      </c>
      <c r="M13274" s="88">
        <f>VLOOKUP($Q13274,매칭테이블!$F:$I,2,0)*K13274</f>
        <v/>
      </c>
      <c r="N13274" s="88">
        <f>M13274-M13274*VLOOKUP($Q13274,매칭테이블!$F:$I,3,0)</f>
        <v/>
      </c>
      <c r="O13274" s="88">
        <f>VLOOKUP($Q13274,매칭테이블!$F:$I,4,0)*K13274</f>
        <v/>
      </c>
      <c r="P13274" s="152">
        <f>M13274/1.1</f>
        <v/>
      </c>
      <c r="Q13274" s="88">
        <f>F13274&amp;E13274&amp;G13274&amp;L13274</f>
        <v/>
      </c>
    </row>
    <row r="13275">
      <c r="B13275" s="128" t="n">
        <v>44203</v>
      </c>
      <c r="C13275" s="88">
        <f>TEXT(B13275,"aaa")</f>
        <v/>
      </c>
      <c r="D13275" s="94" t="n"/>
      <c r="E13275" s="88">
        <f>INDEX(매칭테이블!C:D,MATCH(RD!G13275,매칭테이블!D:D,0),1)</f>
        <v/>
      </c>
      <c r="F13275" s="94" t="inlineStr">
        <is>
          <t>카페24</t>
        </is>
      </c>
      <c r="G13275" s="94" t="inlineStr">
        <is>
          <t>어성초 77 클리어 패드 (1/11 순차발송 예정)옵션=어성초 77 클리어 패드 1개-20% off</t>
        </is>
      </c>
      <c r="K13275" s="94" t="n">
        <v>37</v>
      </c>
      <c r="L13275" s="88" t="n">
        <v>201208</v>
      </c>
      <c r="M13275" s="88">
        <f>VLOOKUP($Q13275,매칭테이블!$F:$I,2,0)*K13275</f>
        <v/>
      </c>
      <c r="N13275" s="88">
        <f>M13275-M13275*VLOOKUP($Q13275,매칭테이블!$F:$I,3,0)</f>
        <v/>
      </c>
      <c r="O13275" s="88">
        <f>VLOOKUP($Q13275,매칭테이블!$F:$I,4,0)*K13275</f>
        <v/>
      </c>
      <c r="P13275" s="152">
        <f>M13275/1.1</f>
        <v/>
      </c>
      <c r="Q13275" s="88">
        <f>F13275&amp;E13275&amp;G13275&amp;L13275</f>
        <v/>
      </c>
    </row>
    <row r="13276">
      <c r="B13276" s="128" t="n">
        <v>44203</v>
      </c>
      <c r="C13276" s="88">
        <f>TEXT(B13276,"aaa")</f>
        <v/>
      </c>
      <c r="D13276" s="94" t="n"/>
      <c r="E13276" s="88">
        <f>INDEX(매칭테이블!C:D,MATCH(RD!G13276,매칭테이블!D:D,0),1)</f>
        <v/>
      </c>
      <c r="F13276" s="94" t="inlineStr">
        <is>
          <t>카페24</t>
        </is>
      </c>
      <c r="G13276" s="94" t="inlineStr">
        <is>
          <t>어성초 77 클리어 패드 (1/11 순차발송 예정)옵션=어성초 77 클리어 패드 2개-30% off (무료배송)</t>
        </is>
      </c>
      <c r="K13276" s="94" t="n">
        <v>61</v>
      </c>
      <c r="L13276" s="88" t="n">
        <v>201208</v>
      </c>
      <c r="M13276" s="88">
        <f>VLOOKUP($Q13276,매칭테이블!$F:$I,2,0)*K13276</f>
        <v/>
      </c>
      <c r="N13276" s="88">
        <f>M13276-M13276*VLOOKUP($Q13276,매칭테이블!$F:$I,3,0)</f>
        <v/>
      </c>
      <c r="O13276" s="88">
        <f>VLOOKUP($Q13276,매칭테이블!$F:$I,4,0)*K13276</f>
        <v/>
      </c>
      <c r="P13276" s="152">
        <f>M13276/1.1</f>
        <v/>
      </c>
      <c r="Q13276" s="88">
        <f>F13276&amp;E13276&amp;G13276&amp;L13276</f>
        <v/>
      </c>
    </row>
    <row r="13277">
      <c r="B13277" s="128" t="n">
        <v>44203</v>
      </c>
      <c r="C13277" s="88">
        <f>TEXT(B13277,"aaa")</f>
        <v/>
      </c>
      <c r="D13277" s="94" t="n"/>
      <c r="E13277" s="88">
        <f>INDEX(매칭테이블!C:D,MATCH(RD!G13277,매칭테이블!D:D,0),1)</f>
        <v/>
      </c>
      <c r="F13277" s="94" t="inlineStr">
        <is>
          <t>카페24</t>
        </is>
      </c>
      <c r="G13277" s="94" t="inlineStr">
        <is>
          <t>어성초 77 클리어 패드 (1/11 순차발송 예정)옵션=어성초77토너1개+어성초77패드1개-30% off (무료배송)</t>
        </is>
      </c>
      <c r="K13277" s="94" t="n">
        <v>34</v>
      </c>
      <c r="L13277" s="88" t="n">
        <v>201208</v>
      </c>
      <c r="M13277" s="88">
        <f>VLOOKUP($Q13277,매칭테이블!$F:$I,2,0)*K13277</f>
        <v/>
      </c>
      <c r="N13277" s="88">
        <f>M13277-M13277*VLOOKUP($Q13277,매칭테이블!$F:$I,3,0)</f>
        <v/>
      </c>
      <c r="O13277" s="88">
        <f>VLOOKUP($Q13277,매칭테이블!$F:$I,4,0)*K13277</f>
        <v/>
      </c>
      <c r="P13277" s="152">
        <f>M13277/1.1</f>
        <v/>
      </c>
      <c r="Q13277" s="88">
        <f>F13277&amp;E13277&amp;G13277&amp;L13277</f>
        <v/>
      </c>
    </row>
    <row r="13278">
      <c r="B13278" s="128" t="n">
        <v>44203</v>
      </c>
      <c r="C13278" s="88">
        <f>TEXT(B13278,"aaa")</f>
        <v/>
      </c>
      <c r="D13278" s="94" t="n"/>
      <c r="E13278" s="88">
        <f>INDEX(매칭테이블!C:D,MATCH(RD!G13278,매칭테이블!D:D,0),1)</f>
        <v/>
      </c>
      <c r="F13278" s="94" t="inlineStr">
        <is>
          <t>카페24</t>
        </is>
      </c>
      <c r="G13278" s="94" t="inlineStr">
        <is>
          <t>어성초 77 토너</t>
        </is>
      </c>
      <c r="K13278" s="94" t="n">
        <v>1</v>
      </c>
      <c r="L13278" s="88" t="n">
        <v>201208</v>
      </c>
      <c r="M13278" s="88">
        <f>VLOOKUP($Q13278,매칭테이블!$F:$I,2,0)*K13278</f>
        <v/>
      </c>
      <c r="N13278" s="88">
        <f>M13278-M13278*VLOOKUP($Q13278,매칭테이블!$F:$I,3,0)</f>
        <v/>
      </c>
      <c r="O13278" s="88">
        <f>VLOOKUP($Q13278,매칭테이블!$F:$I,4,0)*K13278</f>
        <v/>
      </c>
      <c r="P13278" s="152">
        <f>M13278/1.1</f>
        <v/>
      </c>
      <c r="Q13278" s="88">
        <f>F13278&amp;E13278&amp;G13278&amp;L13278</f>
        <v/>
      </c>
    </row>
    <row r="13279">
      <c r="B13279" s="128" t="n">
        <v>44203</v>
      </c>
      <c r="C13279" s="88">
        <f>TEXT(B13279,"aaa")</f>
        <v/>
      </c>
      <c r="D13279" s="94" t="n"/>
      <c r="E13279" s="88">
        <f>INDEX(매칭테이블!C:D,MATCH(RD!G13279,매칭테이블!D:D,0),1)</f>
        <v/>
      </c>
      <c r="F13279" s="94" t="inlineStr">
        <is>
          <t>카페24</t>
        </is>
      </c>
      <c r="G13279" s="94" t="inlineStr">
        <is>
          <t>어성초 77 포어 클리어 패드 (1/11 순차발송 예정)옵션=어성초 77 클리어 패드 1개-20% off</t>
        </is>
      </c>
      <c r="K13279" s="94" t="n">
        <v>8</v>
      </c>
      <c r="L13279" s="88" t="n">
        <v>201208</v>
      </c>
      <c r="M13279" s="88">
        <f>VLOOKUP($Q13279,매칭테이블!$F:$I,2,0)*K13279</f>
        <v/>
      </c>
      <c r="N13279" s="88">
        <f>M13279-M13279*VLOOKUP($Q13279,매칭테이블!$F:$I,3,0)</f>
        <v/>
      </c>
      <c r="O13279" s="88">
        <f>VLOOKUP($Q13279,매칭테이블!$F:$I,4,0)*K13279</f>
        <v/>
      </c>
      <c r="P13279" s="152">
        <f>M13279/1.1</f>
        <v/>
      </c>
      <c r="Q13279" s="88">
        <f>F13279&amp;E13279&amp;G13279&amp;L13279</f>
        <v/>
      </c>
    </row>
    <row r="13280">
      <c r="B13280" s="128" t="n">
        <v>44203</v>
      </c>
      <c r="C13280" s="88">
        <f>TEXT(B13280,"aaa")</f>
        <v/>
      </c>
      <c r="D13280" s="94" t="n"/>
      <c r="E13280" s="88">
        <f>INDEX(매칭테이블!C:D,MATCH(RD!G13280,매칭테이블!D:D,0),1)</f>
        <v/>
      </c>
      <c r="F13280" s="94" t="inlineStr">
        <is>
          <t>카페24</t>
        </is>
      </c>
      <c r="G13280" s="94" t="inlineStr">
        <is>
          <t>어성초 77 포어 클리어 패드 (1/11 순차발송 예정)옵션=어성초 77 클리어 패드 2개-30% off (무료배송)</t>
        </is>
      </c>
      <c r="K13280" s="94" t="n">
        <v>6</v>
      </c>
      <c r="L13280" s="88" t="n">
        <v>201208</v>
      </c>
      <c r="M13280" s="88">
        <f>VLOOKUP($Q13280,매칭테이블!$F:$I,2,0)*K13280</f>
        <v/>
      </c>
      <c r="N13280" s="88">
        <f>M13280-M13280*VLOOKUP($Q13280,매칭테이블!$F:$I,3,0)</f>
        <v/>
      </c>
      <c r="O13280" s="88">
        <f>VLOOKUP($Q13280,매칭테이블!$F:$I,4,0)*K13280</f>
        <v/>
      </c>
      <c r="P13280" s="152">
        <f>M13280/1.1</f>
        <v/>
      </c>
      <c r="Q13280" s="88">
        <f>F13280&amp;E13280&amp;G13280&amp;L13280</f>
        <v/>
      </c>
    </row>
    <row r="13281">
      <c r="B13281" s="128" t="n">
        <v>44203</v>
      </c>
      <c r="C13281" s="88">
        <f>TEXT(B13281,"aaa")</f>
        <v/>
      </c>
      <c r="D13281" s="94" t="n"/>
      <c r="E13281" s="88">
        <f>INDEX(매칭테이블!C:D,MATCH(RD!G13281,매칭테이블!D:D,0),1)</f>
        <v/>
      </c>
      <c r="F13281" s="94" t="inlineStr">
        <is>
          <t>카페24</t>
        </is>
      </c>
      <c r="G13281" s="94" t="inlineStr">
        <is>
          <t>어성초 77 포어 클리어 패드 (1/11 순차발송 예정)옵션=어성초77토너1개+어성초77패드1개-30% off (무료배송)</t>
        </is>
      </c>
      <c r="K13281" s="94" t="n">
        <v>2</v>
      </c>
      <c r="L13281" s="88" t="n">
        <v>201208</v>
      </c>
      <c r="M13281" s="88">
        <f>VLOOKUP($Q13281,매칭테이블!$F:$I,2,0)*K13281</f>
        <v/>
      </c>
      <c r="N13281" s="88">
        <f>M13281-M13281*VLOOKUP($Q13281,매칭테이블!$F:$I,3,0)</f>
        <v/>
      </c>
      <c r="O13281" s="88">
        <f>VLOOKUP($Q13281,매칭테이블!$F:$I,4,0)*K13281</f>
        <v/>
      </c>
      <c r="P13281" s="152">
        <f>M13281/1.1</f>
        <v/>
      </c>
      <c r="Q13281" s="88">
        <f>F13281&amp;E13281&amp;G13281&amp;L13281</f>
        <v/>
      </c>
    </row>
    <row r="13282">
      <c r="B13282" s="128" t="n">
        <v>44203</v>
      </c>
      <c r="C13282" s="88">
        <f>TEXT(B13282,"aaa")</f>
        <v/>
      </c>
      <c r="D13282" s="94" t="n"/>
      <c r="E13282" s="88">
        <f>INDEX(매칭테이블!C:D,MATCH(RD!G13282,매칭테이블!D:D,0),1)</f>
        <v/>
      </c>
      <c r="F13282" s="94" t="inlineStr">
        <is>
          <t>카페24</t>
        </is>
      </c>
      <c r="G13282" s="94" t="inlineStr">
        <is>
          <t>어성초 77% 패드 (1/11 순차발송 예정)옵션=어성초 77 클리어 패드 1개-20% off</t>
        </is>
      </c>
      <c r="K13282" s="94" t="n">
        <v>48</v>
      </c>
      <c r="L13282" s="88" t="n">
        <v>201208</v>
      </c>
      <c r="M13282" s="88">
        <f>VLOOKUP($Q13282,매칭테이블!$F:$I,2,0)*K13282</f>
        <v/>
      </c>
      <c r="N13282" s="88">
        <f>M13282-M13282*VLOOKUP($Q13282,매칭테이블!$F:$I,3,0)</f>
        <v/>
      </c>
      <c r="O13282" s="88">
        <f>VLOOKUP($Q13282,매칭테이블!$F:$I,4,0)*K13282</f>
        <v/>
      </c>
      <c r="P13282" s="152">
        <f>M13282/1.1</f>
        <v/>
      </c>
      <c r="Q13282" s="88">
        <f>F13282&amp;E13282&amp;G13282&amp;L13282</f>
        <v/>
      </c>
    </row>
    <row r="13283">
      <c r="B13283" s="128" t="n">
        <v>44203</v>
      </c>
      <c r="C13283" s="88">
        <f>TEXT(B13283,"aaa")</f>
        <v/>
      </c>
      <c r="D13283" s="94" t="n"/>
      <c r="E13283" s="88">
        <f>INDEX(매칭테이블!C:D,MATCH(RD!G13283,매칭테이블!D:D,0),1)</f>
        <v/>
      </c>
      <c r="F13283" s="94" t="inlineStr">
        <is>
          <t>카페24</t>
        </is>
      </c>
      <c r="G13283" s="94" t="inlineStr">
        <is>
          <t>어성초 77% 패드 (1/11 순차발송 예정)옵션=어성초 77 클리어 패드 2개-30% off (무료배송)</t>
        </is>
      </c>
      <c r="K13283" s="94" t="n">
        <v>37</v>
      </c>
      <c r="L13283" s="88" t="n">
        <v>201208</v>
      </c>
      <c r="M13283" s="88">
        <f>VLOOKUP($Q13283,매칭테이블!$F:$I,2,0)*K13283</f>
        <v/>
      </c>
      <c r="N13283" s="88">
        <f>M13283-M13283*VLOOKUP($Q13283,매칭테이블!$F:$I,3,0)</f>
        <v/>
      </c>
      <c r="O13283" s="88">
        <f>VLOOKUP($Q13283,매칭테이블!$F:$I,4,0)*K13283</f>
        <v/>
      </c>
      <c r="P13283" s="152">
        <f>M13283/1.1</f>
        <v/>
      </c>
      <c r="Q13283" s="88">
        <f>F13283&amp;E13283&amp;G13283&amp;L13283</f>
        <v/>
      </c>
    </row>
    <row r="13284">
      <c r="B13284" s="128" t="n">
        <v>44203</v>
      </c>
      <c r="C13284" s="88">
        <f>TEXT(B13284,"aaa")</f>
        <v/>
      </c>
      <c r="D13284" s="94" t="n"/>
      <c r="E13284" s="88">
        <f>INDEX(매칭테이블!C:D,MATCH(RD!G13284,매칭테이블!D:D,0),1)</f>
        <v/>
      </c>
      <c r="F13284" s="94" t="inlineStr">
        <is>
          <t>카페24</t>
        </is>
      </c>
      <c r="G13284" s="94" t="inlineStr">
        <is>
          <t>어성초 77% 패드 (1/11 순차발송 예정)옵션=어성초77토너1개+어성초77패드1개-30% off (무료배송)</t>
        </is>
      </c>
      <c r="K13284" s="94" t="n">
        <v>22</v>
      </c>
      <c r="L13284" s="88" t="n">
        <v>201208</v>
      </c>
      <c r="M13284" s="88">
        <f>VLOOKUP($Q13284,매칭테이블!$F:$I,2,0)*K13284</f>
        <v/>
      </c>
      <c r="N13284" s="88">
        <f>M13284-M13284*VLOOKUP($Q13284,매칭테이블!$F:$I,3,0)</f>
        <v/>
      </c>
      <c r="O13284" s="88">
        <f>VLOOKUP($Q13284,매칭테이블!$F:$I,4,0)*K13284</f>
        <v/>
      </c>
      <c r="P13284" s="152">
        <f>M13284/1.1</f>
        <v/>
      </c>
      <c r="Q13284" s="88">
        <f>F13284&amp;E13284&amp;G13284&amp;L13284</f>
        <v/>
      </c>
    </row>
    <row r="13285">
      <c r="B13285" s="128" t="n">
        <v>44203</v>
      </c>
      <c r="C13285" s="88">
        <f>TEXT(B13285,"aaa")</f>
        <v/>
      </c>
      <c r="D13285" s="94" t="n"/>
      <c r="E13285" s="88">
        <f>INDEX(매칭테이블!C:D,MATCH(RD!G13285,매칭테이블!D:D,0),1)</f>
        <v/>
      </c>
      <c r="F13285" s="94" t="inlineStr">
        <is>
          <t>카페24</t>
        </is>
      </c>
      <c r="G13285" s="94" t="inlineStr">
        <is>
          <t>어성초 78 수딩 크림</t>
        </is>
      </c>
      <c r="K13285" s="94" t="n">
        <v>7</v>
      </c>
      <c r="L13285" s="88" t="n">
        <v>201208</v>
      </c>
      <c r="M13285" s="88">
        <f>VLOOKUP($Q13285,매칭테이블!$F:$I,2,0)*K13285</f>
        <v/>
      </c>
      <c r="N13285" s="88">
        <f>M13285-M13285*VLOOKUP($Q13285,매칭테이블!$F:$I,3,0)</f>
        <v/>
      </c>
      <c r="O13285" s="88">
        <f>VLOOKUP($Q13285,매칭테이블!$F:$I,4,0)*K13285</f>
        <v/>
      </c>
      <c r="P13285" s="152">
        <f>M13285/1.1</f>
        <v/>
      </c>
      <c r="Q13285" s="88">
        <f>F13285&amp;E13285&amp;G13285&amp;L13285</f>
        <v/>
      </c>
    </row>
    <row r="13286">
      <c r="B13286" s="128" t="n">
        <v>44203</v>
      </c>
      <c r="C13286" s="88">
        <f>TEXT(B13286,"aaa")</f>
        <v/>
      </c>
      <c r="D13286" s="94" t="n"/>
      <c r="E13286" s="88">
        <f>INDEX(매칭테이블!C:D,MATCH(RD!G13286,매칭테이블!D:D,0),1)</f>
        <v/>
      </c>
      <c r="F13286" s="94" t="inlineStr">
        <is>
          <t>카페24</t>
        </is>
      </c>
      <c r="G13286" s="94" t="inlineStr">
        <is>
          <t>어성초 78 수딩 크림</t>
        </is>
      </c>
      <c r="K13286" s="94" t="n">
        <v>5</v>
      </c>
      <c r="L13286" s="88" t="n">
        <v>201208</v>
      </c>
      <c r="M13286" s="88">
        <f>VLOOKUP($Q13286,매칭테이블!$F:$I,2,0)*K13286</f>
        <v/>
      </c>
      <c r="N13286" s="88">
        <f>M13286-M13286*VLOOKUP($Q13286,매칭테이블!$F:$I,3,0)</f>
        <v/>
      </c>
      <c r="O13286" s="88">
        <f>VLOOKUP($Q13286,매칭테이블!$F:$I,4,0)*K13286</f>
        <v/>
      </c>
      <c r="P13286" s="152">
        <f>M13286/1.1</f>
        <v/>
      </c>
      <c r="Q13286" s="88">
        <f>F13286&amp;E13286&amp;G13286&amp;L13286</f>
        <v/>
      </c>
    </row>
    <row r="13287">
      <c r="B13287" s="128" t="n">
        <v>44203</v>
      </c>
      <c r="C13287" s="88">
        <f>TEXT(B13287,"aaa")</f>
        <v/>
      </c>
      <c r="D13287" s="94" t="n"/>
      <c r="E13287" s="88">
        <f>INDEX(매칭테이블!C:D,MATCH(RD!G13287,매칭테이블!D:D,0),1)</f>
        <v/>
      </c>
      <c r="F13287" s="94" t="inlineStr">
        <is>
          <t>카페24</t>
        </is>
      </c>
      <c r="G13287" s="94" t="inlineStr">
        <is>
          <t>어성초 80 수분 진정 앰플앰플=어성초 80 앰플 1개-15%off</t>
        </is>
      </c>
      <c r="K13287" s="94" t="n">
        <v>12</v>
      </c>
      <c r="L13287" s="88" t="n">
        <v>201208</v>
      </c>
      <c r="M13287" s="88">
        <f>VLOOKUP($Q13287,매칭테이블!$F:$I,2,0)*K13287</f>
        <v/>
      </c>
      <c r="N13287" s="88">
        <f>M13287-M13287*VLOOKUP($Q13287,매칭테이블!$F:$I,3,0)</f>
        <v/>
      </c>
      <c r="O13287" s="88">
        <f>VLOOKUP($Q13287,매칭테이블!$F:$I,4,0)*K13287</f>
        <v/>
      </c>
      <c r="P13287" s="152">
        <f>M13287/1.1</f>
        <v/>
      </c>
      <c r="Q13287" s="88">
        <f>F13287&amp;E13287&amp;G13287&amp;L13287</f>
        <v/>
      </c>
    </row>
    <row r="13288">
      <c r="B13288" s="128" t="n">
        <v>44203</v>
      </c>
      <c r="C13288" s="88">
        <f>TEXT(B13288,"aaa")</f>
        <v/>
      </c>
      <c r="D13288" s="94" t="n"/>
      <c r="E13288" s="88">
        <f>INDEX(매칭테이블!C:D,MATCH(RD!G13288,매칭테이블!D:D,0),1)</f>
        <v/>
      </c>
      <c r="F13288" s="94" t="inlineStr">
        <is>
          <t>카페24</t>
        </is>
      </c>
      <c r="G13288" s="94" t="inlineStr">
        <is>
          <t>어성초 80 수분 진정 앰플앰플=어성초 80 앰플 2개-27%off (무료배송)</t>
        </is>
      </c>
      <c r="K13288" s="94" t="n">
        <v>7</v>
      </c>
      <c r="L13288" s="88" t="n">
        <v>201208</v>
      </c>
      <c r="M13288" s="88">
        <f>VLOOKUP($Q13288,매칭테이블!$F:$I,2,0)*K13288</f>
        <v/>
      </c>
      <c r="N13288" s="88">
        <f>M13288-M13288*VLOOKUP($Q13288,매칭테이블!$F:$I,3,0)</f>
        <v/>
      </c>
      <c r="O13288" s="88">
        <f>VLOOKUP($Q13288,매칭테이블!$F:$I,4,0)*K13288</f>
        <v/>
      </c>
      <c r="P13288" s="152">
        <f>M13288/1.1</f>
        <v/>
      </c>
      <c r="Q13288" s="88">
        <f>F13288&amp;E13288&amp;G13288&amp;L13288</f>
        <v/>
      </c>
    </row>
    <row r="13289">
      <c r="B13289" s="128" t="n">
        <v>44203</v>
      </c>
      <c r="C13289" s="88">
        <f>TEXT(B13289,"aaa")</f>
        <v/>
      </c>
      <c r="D13289" s="94" t="n"/>
      <c r="E13289" s="88">
        <f>INDEX(매칭테이블!C:D,MATCH(RD!G13289,매칭테이블!D:D,0),1)</f>
        <v/>
      </c>
      <c r="F13289" s="94" t="inlineStr">
        <is>
          <t>카페24</t>
        </is>
      </c>
      <c r="G13289" s="94" t="inlineStr">
        <is>
          <t>어성초 80 수분 진정 앰플</t>
        </is>
      </c>
      <c r="K13289" s="94" t="n">
        <v>7</v>
      </c>
      <c r="L13289" s="88" t="n">
        <v>201208</v>
      </c>
      <c r="M13289" s="88">
        <f>VLOOKUP($Q13289,매칭테이블!$F:$I,2,0)*K13289</f>
        <v/>
      </c>
      <c r="N13289" s="88">
        <f>M13289-M13289*VLOOKUP($Q13289,매칭테이블!$F:$I,3,0)</f>
        <v/>
      </c>
      <c r="O13289" s="88">
        <f>VLOOKUP($Q13289,매칭테이블!$F:$I,4,0)*K13289</f>
        <v/>
      </c>
      <c r="P13289" s="152">
        <f>M13289/1.1</f>
        <v/>
      </c>
      <c r="Q13289" s="88">
        <f>F13289&amp;E13289&amp;G13289&amp;L13289</f>
        <v/>
      </c>
    </row>
    <row r="13290">
      <c r="B13290" s="128" t="n">
        <v>44203</v>
      </c>
      <c r="C13290" s="88">
        <f>TEXT(B13290,"aaa")</f>
        <v/>
      </c>
      <c r="D13290" s="94" t="n"/>
      <c r="E13290" s="88">
        <f>INDEX(매칭테이블!C:D,MATCH(RD!G13290,매칭테이블!D:D,0),1)</f>
        <v/>
      </c>
      <c r="F13290" s="94" t="inlineStr">
        <is>
          <t>카페24</t>
        </is>
      </c>
      <c r="G13290" s="94" t="inlineStr">
        <is>
          <t>어성초 아크네 바디워시옵션=어성초 아크네 바디워시 1개 -30% off</t>
        </is>
      </c>
      <c r="K13290" s="94" t="n">
        <v>3</v>
      </c>
      <c r="L13290" s="88" t="n">
        <v>201208</v>
      </c>
      <c r="M13290" s="88">
        <f>VLOOKUP($Q13290,매칭테이블!$F:$I,2,0)*K13290</f>
        <v/>
      </c>
      <c r="N13290" s="88">
        <f>M13290-M13290*VLOOKUP($Q13290,매칭테이블!$F:$I,3,0)</f>
        <v/>
      </c>
      <c r="O13290" s="88">
        <f>VLOOKUP($Q13290,매칭테이블!$F:$I,4,0)*K13290</f>
        <v/>
      </c>
      <c r="P13290" s="152">
        <f>M13290/1.1</f>
        <v/>
      </c>
      <c r="Q13290" s="88">
        <f>F13290&amp;E13290&amp;G13290&amp;L13290</f>
        <v/>
      </c>
    </row>
    <row r="13291">
      <c r="B13291" s="128" t="n">
        <v>44203</v>
      </c>
      <c r="C13291" s="88">
        <f>TEXT(B13291,"aaa")</f>
        <v/>
      </c>
      <c r="D13291" s="94" t="n"/>
      <c r="E13291" s="88">
        <f>INDEX(매칭테이블!C:D,MATCH(RD!G13291,매칭테이블!D:D,0),1)</f>
        <v/>
      </c>
      <c r="F13291" s="94" t="inlineStr">
        <is>
          <t>카페24</t>
        </is>
      </c>
      <c r="G13291" s="94" t="inlineStr">
        <is>
          <t>어성초 아크네 바디워시옵션=어성초 아크네 바디워시 2개 -35% off (무료배송)</t>
        </is>
      </c>
      <c r="K13291" s="94" t="n">
        <v>2</v>
      </c>
      <c r="L13291" s="88" t="n">
        <v>201208</v>
      </c>
      <c r="M13291" s="88">
        <f>VLOOKUP($Q13291,매칭테이블!$F:$I,2,0)*K13291</f>
        <v/>
      </c>
      <c r="N13291" s="88">
        <f>M13291-M13291*VLOOKUP($Q13291,매칭테이블!$F:$I,3,0)</f>
        <v/>
      </c>
      <c r="O13291" s="88">
        <f>VLOOKUP($Q13291,매칭테이블!$F:$I,4,0)*K13291</f>
        <v/>
      </c>
      <c r="P13291" s="152">
        <f>M13291/1.1</f>
        <v/>
      </c>
      <c r="Q13291" s="88">
        <f>F13291&amp;E13291&amp;G13291&amp;L13291</f>
        <v/>
      </c>
    </row>
    <row r="13292">
      <c r="B13292" s="128" t="n">
        <v>44203</v>
      </c>
      <c r="C13292" s="88">
        <f>TEXT(B13292,"aaa")</f>
        <v/>
      </c>
      <c r="D13292" s="94" t="n"/>
      <c r="E13292" s="88">
        <f>INDEX(매칭테이블!C:D,MATCH(RD!G13292,매칭테이블!D:D,0),1)</f>
        <v/>
      </c>
      <c r="F13292" s="94" t="inlineStr">
        <is>
          <t>카페24</t>
        </is>
      </c>
      <c r="G13292" s="94" t="inlineStr">
        <is>
          <t>어성초 약산성 클렌징폼클렌징폼=어성초 약산성 클렌징폼 1개 -19%off</t>
        </is>
      </c>
      <c r="K13292" s="94" t="n">
        <v>14</v>
      </c>
      <c r="L13292" s="88" t="n">
        <v>201208</v>
      </c>
      <c r="M13292" s="88">
        <f>VLOOKUP($Q13292,매칭테이블!$F:$I,2,0)*K13292</f>
        <v/>
      </c>
      <c r="N13292" s="88">
        <f>M13292-M13292*VLOOKUP($Q13292,매칭테이블!$F:$I,3,0)</f>
        <v/>
      </c>
      <c r="O13292" s="88">
        <f>VLOOKUP($Q13292,매칭테이블!$F:$I,4,0)*K13292</f>
        <v/>
      </c>
      <c r="P13292" s="152">
        <f>M13292/1.1</f>
        <v/>
      </c>
      <c r="Q13292" s="88">
        <f>F13292&amp;E13292&amp;G13292&amp;L13292</f>
        <v/>
      </c>
    </row>
    <row r="13293">
      <c r="B13293" s="128" t="n">
        <v>44203</v>
      </c>
      <c r="C13293" s="88">
        <f>TEXT(B13293,"aaa")</f>
        <v/>
      </c>
      <c r="D13293" s="94" t="n"/>
      <c r="E13293" s="88">
        <f>INDEX(매칭테이블!C:D,MATCH(RD!G13293,매칭테이블!D:D,0),1)</f>
        <v/>
      </c>
      <c r="F13293" s="94" t="inlineStr">
        <is>
          <t>카페24</t>
        </is>
      </c>
      <c r="G13293" s="94" t="inlineStr">
        <is>
          <t>어성초 약산성 클렌징폼클렌징폼=어성초 약산성 클렌징폼 2개 -25%off</t>
        </is>
      </c>
      <c r="K13293" s="94" t="n">
        <v>7</v>
      </c>
      <c r="L13293" s="88" t="n">
        <v>201208</v>
      </c>
      <c r="M13293" s="88">
        <f>VLOOKUP($Q13293,매칭테이블!$F:$I,2,0)*K13293</f>
        <v/>
      </c>
      <c r="N13293" s="88">
        <f>M13293-M13293*VLOOKUP($Q13293,매칭테이블!$F:$I,3,0)</f>
        <v/>
      </c>
      <c r="O13293" s="88">
        <f>VLOOKUP($Q13293,매칭테이블!$F:$I,4,0)*K13293</f>
        <v/>
      </c>
      <c r="P13293" s="152">
        <f>M13293/1.1</f>
        <v/>
      </c>
      <c r="Q13293" s="88">
        <f>F13293&amp;E13293&amp;G13293&amp;L13293</f>
        <v/>
      </c>
    </row>
    <row r="13294">
      <c r="B13294" s="128" t="n">
        <v>44203</v>
      </c>
      <c r="C13294" s="88">
        <f>TEXT(B13294,"aaa")</f>
        <v/>
      </c>
      <c r="D13294" s="94" t="n"/>
      <c r="E13294" s="88">
        <f>INDEX(매칭테이블!C:D,MATCH(RD!G13294,매칭테이블!D:D,0),1)</f>
        <v/>
      </c>
      <c r="F13294" s="94" t="inlineStr">
        <is>
          <t>카페24</t>
        </is>
      </c>
      <c r="G13294" s="94" t="inlineStr">
        <is>
          <t>어성초 약산성 클렌징폼클렌징폼=어성초 약산성 클렌징폼 3개 -31%off (무료배송)</t>
        </is>
      </c>
      <c r="K13294" s="94" t="n">
        <v>2</v>
      </c>
      <c r="L13294" s="88" t="n">
        <v>201208</v>
      </c>
      <c r="M13294" s="88">
        <f>VLOOKUP($Q13294,매칭테이블!$F:$I,2,0)*K13294</f>
        <v/>
      </c>
      <c r="N13294" s="88">
        <f>M13294-M13294*VLOOKUP($Q13294,매칭테이블!$F:$I,3,0)</f>
        <v/>
      </c>
      <c r="O13294" s="88">
        <f>VLOOKUP($Q13294,매칭테이블!$F:$I,4,0)*K13294</f>
        <v/>
      </c>
      <c r="P13294" s="152">
        <f>M13294/1.1</f>
        <v/>
      </c>
      <c r="Q13294" s="88">
        <f>F13294&amp;E13294&amp;G13294&amp;L13294</f>
        <v/>
      </c>
    </row>
    <row r="13295">
      <c r="B13295" s="128" t="n">
        <v>44203</v>
      </c>
      <c r="C13295" s="88">
        <f>TEXT(B13295,"aaa")</f>
        <v/>
      </c>
      <c r="D13295" s="94" t="n"/>
      <c r="E13295" s="88">
        <f>INDEX(매칭테이블!C:D,MATCH(RD!G13295,매칭테이블!D:D,0),1)</f>
        <v/>
      </c>
      <c r="F13295" s="94" t="inlineStr">
        <is>
          <t>카페24</t>
        </is>
      </c>
      <c r="G13295" s="94" t="inlineStr">
        <is>
          <t>어성초 크림마스크 나이트 솔루션옵션=어성초 크림마스크 나이트 솔루션 10장 (-50%)</t>
        </is>
      </c>
      <c r="K13295" s="94" t="n">
        <v>2</v>
      </c>
      <c r="L13295" s="88" t="n">
        <v>201208</v>
      </c>
      <c r="M13295" s="88">
        <f>VLOOKUP($Q13295,매칭테이블!$F:$I,2,0)*K13295</f>
        <v/>
      </c>
      <c r="N13295" s="88">
        <f>M13295-M13295*VLOOKUP($Q13295,매칭테이블!$F:$I,3,0)</f>
        <v/>
      </c>
      <c r="O13295" s="88">
        <f>VLOOKUP($Q13295,매칭테이블!$F:$I,4,0)*K13295</f>
        <v/>
      </c>
      <c r="P13295" s="152">
        <f>M13295/1.1</f>
        <v/>
      </c>
      <c r="Q13295" s="88">
        <f>F13295&amp;E13295&amp;G13295&amp;L13295</f>
        <v/>
      </c>
    </row>
    <row r="13296">
      <c r="B13296" s="128" t="n">
        <v>44203</v>
      </c>
      <c r="C13296" s="88">
        <f>TEXT(B13296,"aaa")</f>
        <v/>
      </c>
      <c r="D13296" s="94" t="n"/>
      <c r="E13296" s="88">
        <f>INDEX(매칭테이블!C:D,MATCH(RD!G13296,매칭테이블!D:D,0),1)</f>
        <v/>
      </c>
      <c r="F13296" s="94" t="inlineStr">
        <is>
          <t>카페24</t>
        </is>
      </c>
      <c r="G13296" s="94" t="inlineStr">
        <is>
          <t>청귤 비타 잡티 마스크옵션=청귤 비타 잡티 마스크 1장</t>
        </is>
      </c>
      <c r="K13296" s="94" t="n">
        <v>1</v>
      </c>
      <c r="L13296" s="88" t="n">
        <v>201208</v>
      </c>
      <c r="M13296" s="88">
        <f>VLOOKUP($Q13296,매칭테이블!$F:$I,2,0)*K13296</f>
        <v/>
      </c>
      <c r="N13296" s="88">
        <f>M13296-M13296*VLOOKUP($Q13296,매칭테이블!$F:$I,3,0)</f>
        <v/>
      </c>
      <c r="O13296" s="88">
        <f>VLOOKUP($Q13296,매칭테이블!$F:$I,4,0)*K13296</f>
        <v/>
      </c>
      <c r="P13296" s="152">
        <f>M13296/1.1</f>
        <v/>
      </c>
      <c r="Q13296" s="88">
        <f>F13296&amp;E13296&amp;G13296&amp;L13296</f>
        <v/>
      </c>
    </row>
    <row r="13297">
      <c r="B13297" s="128" t="n">
        <v>44203</v>
      </c>
      <c r="C13297" s="88">
        <f>TEXT(B13297,"aaa")</f>
        <v/>
      </c>
      <c r="D13297" s="94" t="n"/>
      <c r="E13297" s="88">
        <f>INDEX(매칭테이블!C:D,MATCH(RD!G13297,매칭테이블!D:D,0),1)</f>
        <v/>
      </c>
      <c r="F13297" s="94" t="inlineStr">
        <is>
          <t>카페24</t>
        </is>
      </c>
      <c r="G13297" s="94" t="inlineStr">
        <is>
          <t>청귤 비타 잡티 마스크옵션=청귤 비타 잡티 마스크 10장(50% off)</t>
        </is>
      </c>
      <c r="K13297" s="94" t="n">
        <v>2</v>
      </c>
      <c r="L13297" s="88" t="n">
        <v>201208</v>
      </c>
      <c r="M13297" s="88">
        <f>VLOOKUP($Q13297,매칭테이블!$F:$I,2,0)*K13297</f>
        <v/>
      </c>
      <c r="N13297" s="88">
        <f>M13297-M13297*VLOOKUP($Q13297,매칭테이블!$F:$I,3,0)</f>
        <v/>
      </c>
      <c r="O13297" s="88">
        <f>VLOOKUP($Q13297,매칭테이블!$F:$I,4,0)*K13297</f>
        <v/>
      </c>
      <c r="P13297" s="152">
        <f>M13297/1.1</f>
        <v/>
      </c>
      <c r="Q13297" s="88">
        <f>F13297&amp;E13297&amp;G13297&amp;L13297</f>
        <v/>
      </c>
    </row>
    <row r="13298">
      <c r="B13298" s="128" t="n">
        <v>44203</v>
      </c>
      <c r="C13298" s="88">
        <f>TEXT(B13298,"aaa")</f>
        <v/>
      </c>
      <c r="D13298" s="94" t="n"/>
      <c r="E13298" s="88">
        <f>INDEX(매칭테이블!C:D,MATCH(RD!G13298,매칭테이블!D:D,0),1)</f>
        <v/>
      </c>
      <c r="F13298" s="94" t="inlineStr">
        <is>
          <t>카페24</t>
        </is>
      </c>
      <c r="G13298" s="94" t="inlineStr">
        <is>
          <t>촉촉 스킨팩 화장솜</t>
        </is>
      </c>
      <c r="K13298" s="94" t="n">
        <v>20</v>
      </c>
      <c r="L13298" s="88" t="n">
        <v>201208</v>
      </c>
      <c r="M13298" s="88">
        <f>VLOOKUP($Q13298,매칭테이블!$F:$I,2,0)*K13298</f>
        <v/>
      </c>
      <c r="N13298" s="88">
        <f>M13298-M13298*VLOOKUP($Q13298,매칭테이블!$F:$I,3,0)</f>
        <v/>
      </c>
      <c r="O13298" s="88">
        <f>VLOOKUP($Q13298,매칭테이블!$F:$I,4,0)*K13298</f>
        <v/>
      </c>
      <c r="P13298" s="152">
        <f>M13298/1.1</f>
        <v/>
      </c>
      <c r="Q13298" s="88">
        <f>F13298&amp;E13298&amp;G13298&amp;L13298</f>
        <v/>
      </c>
    </row>
    <row r="13299">
      <c r="B13299" s="128" t="n">
        <v>44203</v>
      </c>
      <c r="C13299" s="88">
        <f>TEXT(B13299,"aaa")</f>
        <v/>
      </c>
      <c r="D13299" s="94" t="n"/>
      <c r="E13299" s="88">
        <f>INDEX(매칭테이블!C:D,MATCH(RD!G13299,매칭테이블!D:D,0),1)</f>
        <v/>
      </c>
      <c r="F13299" s="94" t="inlineStr">
        <is>
          <t>카페24</t>
        </is>
      </c>
      <c r="G13299" s="94" t="inlineStr">
        <is>
          <t>촉촉 스킨팩 화장솜</t>
        </is>
      </c>
      <c r="K13299" s="94" t="n">
        <v>12</v>
      </c>
      <c r="L13299" s="88" t="n">
        <v>201208</v>
      </c>
      <c r="M13299" s="88">
        <f>VLOOKUP($Q13299,매칭테이블!$F:$I,2,0)*K13299</f>
        <v/>
      </c>
      <c r="N13299" s="88">
        <f>M13299-M13299*VLOOKUP($Q13299,매칭테이블!$F:$I,3,0)</f>
        <v/>
      </c>
      <c r="O13299" s="88">
        <f>VLOOKUP($Q13299,매칭테이블!$F:$I,4,0)*K13299</f>
        <v/>
      </c>
      <c r="P13299" s="152">
        <f>M13299/1.1</f>
        <v/>
      </c>
      <c r="Q13299" s="88">
        <f>F13299&amp;E13299&amp;G13299&amp;L13299</f>
        <v/>
      </c>
    </row>
    <row r="13300">
      <c r="B13300" s="128" t="n">
        <v>44204</v>
      </c>
      <c r="C13300" s="88">
        <f>TEXT(B13300,"aaa")</f>
        <v/>
      </c>
      <c r="D13300" s="94" t="n"/>
      <c r="E13300" s="88">
        <f>INDEX(매칭테이블!C:D,MATCH(RD!G13300,매칭테이블!D:D,0),1)</f>
        <v/>
      </c>
      <c r="F13300" s="94" t="inlineStr">
        <is>
          <t>W컨셉</t>
        </is>
      </c>
      <c r="G13300" s="94" t="inlineStr">
        <is>
          <t>어성초 77토너 (2 SET) HEARTLEAF 77% SOOTHING TONER 250ml250ml 2set</t>
        </is>
      </c>
      <c r="H13300" s="94" t="n"/>
      <c r="I13300" s="94" t="n"/>
      <c r="J13300" s="94" t="n"/>
      <c r="K13300" s="94" t="n">
        <v>1</v>
      </c>
      <c r="L13300" s="88" t="n">
        <v>201208</v>
      </c>
      <c r="M13300" s="88">
        <f>VLOOKUP($Q13300,매칭테이블!$F:$I,2,0)*K13300</f>
        <v/>
      </c>
      <c r="N13300" s="88">
        <f>M13300-M13300*VLOOKUP($Q13300,매칭테이블!$F:$I,3,0)</f>
        <v/>
      </c>
      <c r="O13300" s="88">
        <f>VLOOKUP($Q13300,매칭테이블!$F:$I,4,0)*K13300</f>
        <v/>
      </c>
      <c r="P13300" s="152">
        <f>M13300/1.1</f>
        <v/>
      </c>
      <c r="Q13300" s="88">
        <f>F13300&amp;E13300&amp;G13300&amp;L13300</f>
        <v/>
      </c>
    </row>
    <row r="13301">
      <c r="B13301" s="128" t="n">
        <v>44204</v>
      </c>
      <c r="C13301" s="88">
        <f>TEXT(B13301,"aaa")</f>
        <v/>
      </c>
      <c r="D13301" s="94" t="n"/>
      <c r="E13301" s="88">
        <f>INDEX(매칭테이블!C:D,MATCH(RD!G13301,매칭테이블!D:D,0),1)</f>
        <v/>
      </c>
      <c r="F13301" s="94" t="inlineStr">
        <is>
          <t>W컨셉</t>
        </is>
      </c>
      <c r="G13301" s="94" t="inlineStr">
        <is>
          <t>어성초 77토너 HEARTLEAF 77% SOOTHING TONER 250ml250ml</t>
        </is>
      </c>
      <c r="K13301" s="94" t="n">
        <v>1</v>
      </c>
      <c r="L13301" s="88" t="n">
        <v>201208</v>
      </c>
      <c r="M13301" s="88">
        <f>VLOOKUP($Q13301,매칭테이블!$F:$I,2,0)*K13301</f>
        <v/>
      </c>
      <c r="N13301" s="88">
        <f>M13301-M13301*VLOOKUP($Q13301,매칭테이블!$F:$I,3,0)</f>
        <v/>
      </c>
      <c r="O13301" s="88">
        <f>VLOOKUP($Q13301,매칭테이블!$F:$I,4,0)*K13301</f>
        <v/>
      </c>
      <c r="P13301" s="152">
        <f>M13301/1.1</f>
        <v/>
      </c>
      <c r="Q13301" s="88">
        <f>F13301&amp;E13301&amp;G13301&amp;L13301</f>
        <v/>
      </c>
    </row>
    <row r="13302">
      <c r="B13302" s="128" t="n">
        <v>44204</v>
      </c>
      <c r="C13302" s="88">
        <f>TEXT(B13302,"aaa")</f>
        <v/>
      </c>
      <c r="D13302" s="94" t="n"/>
      <c r="E13302" s="88">
        <f>INDEX(매칭테이블!C:D,MATCH(RD!G13302,매칭테이블!D:D,0),1)</f>
        <v/>
      </c>
      <c r="F13302" s="94" t="inlineStr">
        <is>
          <t>스타일쉐어</t>
        </is>
      </c>
      <c r="G13302" s="94" t="inlineStr">
        <is>
          <t>아누아 어성초 77 토너 250ml</t>
        </is>
      </c>
      <c r="K13302" s="94" t="n">
        <v>4</v>
      </c>
      <c r="L13302" s="88" t="n">
        <v>201208</v>
      </c>
      <c r="M13302" s="88">
        <f>VLOOKUP($Q13302,매칭테이블!$F:$I,2,0)*K13302</f>
        <v/>
      </c>
      <c r="N13302" s="88">
        <f>M13302-M13302*VLOOKUP($Q13302,매칭테이블!$F:$I,3,0)</f>
        <v/>
      </c>
      <c r="O13302" s="88">
        <f>VLOOKUP($Q13302,매칭테이블!$F:$I,4,0)*K13302</f>
        <v/>
      </c>
      <c r="P13302" s="152">
        <f>M13302/1.1</f>
        <v/>
      </c>
      <c r="Q13302" s="88">
        <f>F13302&amp;E13302&amp;G13302&amp;L13302</f>
        <v/>
      </c>
    </row>
    <row r="13303">
      <c r="B13303" s="128" t="n">
        <v>44204</v>
      </c>
      <c r="C13303" s="88">
        <f>TEXT(B13303,"aaa")</f>
        <v/>
      </c>
      <c r="D13303" s="94" t="n"/>
      <c r="E13303" s="88">
        <f>INDEX(매칭테이블!C:D,MATCH(RD!G13303,매칭테이블!D:D,0),1)</f>
        <v/>
      </c>
      <c r="F13303" s="94" t="inlineStr">
        <is>
          <t>아누아 CS</t>
        </is>
      </c>
      <c r="G13303" s="94" t="inlineStr">
        <is>
          <t>어성초 77 토너 250ml</t>
        </is>
      </c>
      <c r="K13303" s="94" t="n">
        <v>2</v>
      </c>
      <c r="L13303" s="88" t="n">
        <v>201208</v>
      </c>
      <c r="M13303" s="88">
        <f>VLOOKUP($Q13303,매칭테이블!$F:$I,2,0)*K13303</f>
        <v/>
      </c>
      <c r="N13303" s="88">
        <f>M13303-M13303*VLOOKUP($Q13303,매칭테이블!$F:$I,3,0)</f>
        <v/>
      </c>
      <c r="O13303" s="88">
        <f>VLOOKUP($Q13303,매칭테이블!$F:$I,4,0)*K13303</f>
        <v/>
      </c>
      <c r="P13303" s="152">
        <f>M13303/1.1</f>
        <v/>
      </c>
      <c r="Q13303" s="88">
        <f>F13303&amp;E13303&amp;G13303&amp;L13303</f>
        <v/>
      </c>
    </row>
    <row r="13304">
      <c r="B13304" s="128" t="n">
        <v>44204</v>
      </c>
      <c r="C13304" s="88">
        <f>TEXT(B13304,"aaa")</f>
        <v/>
      </c>
      <c r="D13304" s="94" t="n"/>
      <c r="E13304" s="88">
        <f>INDEX(매칭테이블!C:D,MATCH(RD!G13304,매칭테이블!D:D,0),1)</f>
        <v/>
      </c>
      <c r="F13304" s="94" t="inlineStr">
        <is>
          <t>카페24</t>
        </is>
      </c>
      <c r="G13304" s="94" t="inlineStr">
        <is>
          <t>5 제로 무기자차 선크림옵션=5제로 무기자차 선크림 1개-20% off</t>
        </is>
      </c>
      <c r="K13304" s="94" t="n">
        <v>3</v>
      </c>
      <c r="L13304" s="88" t="n">
        <v>201208</v>
      </c>
      <c r="M13304" s="88">
        <f>VLOOKUP($Q13304,매칭테이블!$F:$I,2,0)*K13304</f>
        <v/>
      </c>
      <c r="N13304" s="88">
        <f>M13304-M13304*VLOOKUP($Q13304,매칭테이블!$F:$I,3,0)</f>
        <v/>
      </c>
      <c r="O13304" s="88">
        <f>VLOOKUP($Q13304,매칭테이블!$F:$I,4,0)*K13304</f>
        <v/>
      </c>
      <c r="P13304" s="152">
        <f>M13304/1.1</f>
        <v/>
      </c>
      <c r="Q13304" s="88">
        <f>F13304&amp;E13304&amp;G13304&amp;L13304</f>
        <v/>
      </c>
    </row>
    <row r="13305">
      <c r="B13305" s="128" t="n">
        <v>44204</v>
      </c>
      <c r="C13305" s="88">
        <f>TEXT(B13305,"aaa")</f>
        <v/>
      </c>
      <c r="D13305" s="94" t="n"/>
      <c r="E13305" s="88">
        <f>INDEX(매칭테이블!C:D,MATCH(RD!G13305,매칭테이블!D:D,0),1)</f>
        <v/>
      </c>
      <c r="F13305" s="94" t="inlineStr">
        <is>
          <t>카페24</t>
        </is>
      </c>
      <c r="G13305" s="94" t="inlineStr">
        <is>
          <t>[수분 보충 세트] 어성초 77 토너 + 어성초 70 로션옵션=어성초 77 토너 250ml + 어성초 70 로션 200ml -30%</t>
        </is>
      </c>
      <c r="K13305" s="94" t="n">
        <v>34</v>
      </c>
      <c r="L13305" s="88" t="n">
        <v>201208</v>
      </c>
      <c r="M13305" s="88">
        <f>VLOOKUP($Q13305,매칭테이블!$F:$I,2,0)*K13305</f>
        <v/>
      </c>
      <c r="N13305" s="88">
        <f>M13305-M13305*VLOOKUP($Q13305,매칭테이블!$F:$I,3,0)</f>
        <v/>
      </c>
      <c r="O13305" s="88">
        <f>VLOOKUP($Q13305,매칭테이블!$F:$I,4,0)*K13305</f>
        <v/>
      </c>
      <c r="P13305" s="152">
        <f>M13305/1.1</f>
        <v/>
      </c>
      <c r="Q13305" s="88">
        <f>F13305&amp;E13305&amp;G13305&amp;L13305</f>
        <v/>
      </c>
    </row>
    <row r="13306">
      <c r="B13306" s="128" t="n">
        <v>44204</v>
      </c>
      <c r="C13306" s="88">
        <f>TEXT(B13306,"aaa")</f>
        <v/>
      </c>
      <c r="D13306" s="94" t="n"/>
      <c r="E13306" s="88">
        <f>INDEX(매칭테이블!C:D,MATCH(RD!G13306,매칭테이블!D:D,0),1)</f>
        <v/>
      </c>
      <c r="F13306" s="94" t="inlineStr">
        <is>
          <t>카페24</t>
        </is>
      </c>
      <c r="G13306" s="94" t="inlineStr">
        <is>
          <t>[어성초 진정 패키지 세트] 대용량 토너 + 앰플 + 수딩 크림 + 마스크팩 10장</t>
        </is>
      </c>
      <c r="K13306" s="94" t="n">
        <v>5</v>
      </c>
      <c r="L13306" s="88" t="n">
        <v>201208</v>
      </c>
      <c r="M13306" s="88">
        <f>VLOOKUP($Q13306,매칭테이블!$F:$I,2,0)*K13306</f>
        <v/>
      </c>
      <c r="N13306" s="88">
        <f>M13306-M13306*VLOOKUP($Q13306,매칭테이블!$F:$I,3,0)</f>
        <v/>
      </c>
      <c r="O13306" s="88">
        <f>VLOOKUP($Q13306,매칭테이블!$F:$I,4,0)*K13306</f>
        <v/>
      </c>
      <c r="P13306" s="152">
        <f>M13306/1.1</f>
        <v/>
      </c>
      <c r="Q13306" s="88">
        <f>F13306&amp;E13306&amp;G13306&amp;L13306</f>
        <v/>
      </c>
    </row>
    <row r="13307">
      <c r="B13307" s="128" t="n">
        <v>44204</v>
      </c>
      <c r="C13307" s="88">
        <f>TEXT(B13307,"aaa")</f>
        <v/>
      </c>
      <c r="D13307" s="94" t="n"/>
      <c r="E13307" s="88">
        <f>INDEX(매칭테이블!C:D,MATCH(RD!G13307,매칭테이블!D:D,0),1)</f>
        <v/>
      </c>
      <c r="F13307" s="94" t="inlineStr">
        <is>
          <t>카페24</t>
        </is>
      </c>
      <c r="G13307" s="94" t="inlineStr">
        <is>
          <t>대용량 어성초 77 수딩 토너 500ml</t>
        </is>
      </c>
      <c r="K13307" s="94" t="n">
        <v>30</v>
      </c>
      <c r="L13307" s="88" t="n">
        <v>201208</v>
      </c>
      <c r="M13307" s="88">
        <f>VLOOKUP($Q13307,매칭테이블!$F:$I,2,0)*K13307</f>
        <v/>
      </c>
      <c r="N13307" s="88">
        <f>M13307-M13307*VLOOKUP($Q13307,매칭테이블!$F:$I,3,0)</f>
        <v/>
      </c>
      <c r="O13307" s="88">
        <f>VLOOKUP($Q13307,매칭테이블!$F:$I,4,0)*K13307</f>
        <v/>
      </c>
      <c r="P13307" s="152">
        <f>M13307/1.1</f>
        <v/>
      </c>
      <c r="Q13307" s="88">
        <f>F13307&amp;E13307&amp;G13307&amp;L13307</f>
        <v/>
      </c>
    </row>
    <row r="13308">
      <c r="B13308" s="128" t="n">
        <v>44204</v>
      </c>
      <c r="C13308" s="88">
        <f>TEXT(B13308,"aaa")</f>
        <v/>
      </c>
      <c r="D13308" s="94" t="n"/>
      <c r="E13308" s="88">
        <f>INDEX(매칭테이블!C:D,MATCH(RD!G13308,매칭테이블!D:D,0),1)</f>
        <v/>
      </c>
      <c r="F13308" s="94" t="inlineStr">
        <is>
          <t>카페24</t>
        </is>
      </c>
      <c r="G13308" s="94" t="inlineStr">
        <is>
          <t>어성초 70 데일리 릴리프 로션로션=어성초 70 데일리 릴리프 로션 1개 -20% off</t>
        </is>
      </c>
      <c r="K13308" s="94" t="n">
        <v>13</v>
      </c>
      <c r="L13308" s="88" t="n">
        <v>201208</v>
      </c>
      <c r="M13308" s="88">
        <f>VLOOKUP($Q13308,매칭테이블!$F:$I,2,0)*K13308</f>
        <v/>
      </c>
      <c r="N13308" s="88">
        <f>M13308-M13308*VLOOKUP($Q13308,매칭테이블!$F:$I,3,0)</f>
        <v/>
      </c>
      <c r="O13308" s="88">
        <f>VLOOKUP($Q13308,매칭테이블!$F:$I,4,0)*K13308</f>
        <v/>
      </c>
      <c r="P13308" s="152">
        <f>M13308/1.1</f>
        <v/>
      </c>
      <c r="Q13308" s="88">
        <f>F13308&amp;E13308&amp;G13308&amp;L13308</f>
        <v/>
      </c>
    </row>
    <row r="13309">
      <c r="B13309" s="128" t="n">
        <v>44204</v>
      </c>
      <c r="C13309" s="88">
        <f>TEXT(B13309,"aaa")</f>
        <v/>
      </c>
      <c r="D13309" s="94" t="n"/>
      <c r="E13309" s="88">
        <f>INDEX(매칭테이블!C:D,MATCH(RD!G13309,매칭테이블!D:D,0),1)</f>
        <v/>
      </c>
      <c r="F13309" s="94" t="inlineStr">
        <is>
          <t>카페24</t>
        </is>
      </c>
      <c r="G13309" s="94" t="inlineStr">
        <is>
          <t>어성초 70 데일리 릴리프 로션로션=어성초 70 데일리 릴리프 로션 2개 -30% off</t>
        </is>
      </c>
      <c r="K13309" s="94" t="n">
        <v>1</v>
      </c>
      <c r="L13309" s="88" t="n">
        <v>201208</v>
      </c>
      <c r="M13309" s="88">
        <f>VLOOKUP($Q13309,매칭테이블!$F:$I,2,0)*K13309</f>
        <v/>
      </c>
      <c r="N13309" s="88">
        <f>M13309-M13309*VLOOKUP($Q13309,매칭테이블!$F:$I,3,0)</f>
        <v/>
      </c>
      <c r="O13309" s="88">
        <f>VLOOKUP($Q13309,매칭테이블!$F:$I,4,0)*K13309</f>
        <v/>
      </c>
      <c r="P13309" s="152">
        <f>M13309/1.1</f>
        <v/>
      </c>
      <c r="Q13309" s="88">
        <f>F13309&amp;E13309&amp;G13309&amp;L13309</f>
        <v/>
      </c>
    </row>
    <row r="13310">
      <c r="B13310" s="128" t="n">
        <v>44204</v>
      </c>
      <c r="C13310" s="88">
        <f>TEXT(B13310,"aaa")</f>
        <v/>
      </c>
      <c r="D13310" s="94" t="n"/>
      <c r="E13310" s="88">
        <f>INDEX(매칭테이블!C:D,MATCH(RD!G13310,매칭테이블!D:D,0),1)</f>
        <v/>
      </c>
      <c r="F13310" s="94" t="inlineStr">
        <is>
          <t>카페24</t>
        </is>
      </c>
      <c r="G13310" s="94" t="inlineStr">
        <is>
          <t>어성초 70 데일리 릴리프 로션로션=어성초 77토너 + 어성초 70 로션 수분 보충 세트 -30% off</t>
        </is>
      </c>
      <c r="K13310" s="94" t="n">
        <v>1</v>
      </c>
      <c r="L13310" s="88" t="n">
        <v>201208</v>
      </c>
      <c r="M13310" s="88">
        <f>VLOOKUP($Q13310,매칭테이블!$F:$I,2,0)*K13310</f>
        <v/>
      </c>
      <c r="N13310" s="88">
        <f>M13310-M13310*VLOOKUP($Q13310,매칭테이블!$F:$I,3,0)</f>
        <v/>
      </c>
      <c r="O13310" s="88">
        <f>VLOOKUP($Q13310,매칭테이블!$F:$I,4,0)*K13310</f>
        <v/>
      </c>
      <c r="P13310" s="152">
        <f>M13310/1.1</f>
        <v/>
      </c>
      <c r="Q13310" s="88">
        <f>F13310&amp;E13310&amp;G13310&amp;L13310</f>
        <v/>
      </c>
    </row>
    <row r="13311">
      <c r="B13311" s="128" t="n">
        <v>44204</v>
      </c>
      <c r="C13311" s="88">
        <f>TEXT(B13311,"aaa")</f>
        <v/>
      </c>
      <c r="D13311" s="94" t="n"/>
      <c r="E13311" s="88">
        <f>INDEX(매칭테이블!C:D,MATCH(RD!G13311,매칭테이블!D:D,0),1)</f>
        <v/>
      </c>
      <c r="F13311" s="94" t="inlineStr">
        <is>
          <t>카페24</t>
        </is>
      </c>
      <c r="G13311" s="94" t="inlineStr">
        <is>
          <t>어성초 70 머드 크림 마스크옵션=어성초 70 머드 크림 마스크-20% off</t>
        </is>
      </c>
      <c r="K13311" s="94" t="n">
        <v>2</v>
      </c>
      <c r="L13311" s="88" t="n">
        <v>201208</v>
      </c>
      <c r="M13311" s="88">
        <f>VLOOKUP($Q13311,매칭테이블!$F:$I,2,0)*K13311</f>
        <v/>
      </c>
      <c r="N13311" s="88">
        <f>M13311-M13311*VLOOKUP($Q13311,매칭테이블!$F:$I,3,0)</f>
        <v/>
      </c>
      <c r="O13311" s="88">
        <f>VLOOKUP($Q13311,매칭테이블!$F:$I,4,0)*K13311</f>
        <v/>
      </c>
      <c r="P13311" s="152">
        <f>M13311/1.1</f>
        <v/>
      </c>
      <c r="Q13311" s="88">
        <f>F13311&amp;E13311&amp;G13311&amp;L13311</f>
        <v/>
      </c>
    </row>
    <row r="13312">
      <c r="B13312" s="128" t="n">
        <v>44204</v>
      </c>
      <c r="C13312" s="88">
        <f>TEXT(B13312,"aaa")</f>
        <v/>
      </c>
      <c r="D13312" s="94" t="n"/>
      <c r="E13312" s="88">
        <f>INDEX(매칭테이블!C:D,MATCH(RD!G13312,매칭테이블!D:D,0),1)</f>
        <v/>
      </c>
      <c r="F13312" s="94" t="inlineStr">
        <is>
          <t>카페24</t>
        </is>
      </c>
      <c r="G13312" s="94" t="inlineStr">
        <is>
          <t>어성초 70 인텐스 카밍 크림크림=어성초 70 인텐스 카밍 크림 1개 (-20%)</t>
        </is>
      </c>
      <c r="K13312" s="94" t="n">
        <v>2</v>
      </c>
      <c r="L13312" s="88" t="n">
        <v>201208</v>
      </c>
      <c r="M13312" s="88">
        <f>VLOOKUP($Q13312,매칭테이블!$F:$I,2,0)*K13312</f>
        <v/>
      </c>
      <c r="N13312" s="88">
        <f>M13312-M13312*VLOOKUP($Q13312,매칭테이블!$F:$I,3,0)</f>
        <v/>
      </c>
      <c r="O13312" s="88">
        <f>VLOOKUP($Q13312,매칭테이블!$F:$I,4,0)*K13312</f>
        <v/>
      </c>
      <c r="P13312" s="152">
        <f>M13312/1.1</f>
        <v/>
      </c>
      <c r="Q13312" s="88">
        <f>F13312&amp;E13312&amp;G13312&amp;L13312</f>
        <v/>
      </c>
    </row>
    <row r="13313">
      <c r="B13313" s="128" t="n">
        <v>44204</v>
      </c>
      <c r="C13313" s="88">
        <f>TEXT(B13313,"aaa")</f>
        <v/>
      </c>
      <c r="D13313" s="94" t="n"/>
      <c r="E13313" s="88">
        <f>INDEX(매칭테이블!C:D,MATCH(RD!G13313,매칭테이블!D:D,0),1)</f>
        <v/>
      </c>
      <c r="F13313" s="94" t="inlineStr">
        <is>
          <t>카페24</t>
        </is>
      </c>
      <c r="G13313" s="94" t="inlineStr">
        <is>
          <t>어성초 70 인텐스 카밍 크림크림=어성초 토너 250ml + 카밍 크림 50ml (-30%)</t>
        </is>
      </c>
      <c r="K13313" s="94" t="n">
        <v>1</v>
      </c>
      <c r="L13313" s="88" t="n">
        <v>201208</v>
      </c>
      <c r="M13313" s="88">
        <f>VLOOKUP($Q13313,매칭테이블!$F:$I,2,0)*K13313</f>
        <v/>
      </c>
      <c r="N13313" s="88">
        <f>M13313-M13313*VLOOKUP($Q13313,매칭테이블!$F:$I,3,0)</f>
        <v/>
      </c>
      <c r="O13313" s="88">
        <f>VLOOKUP($Q13313,매칭테이블!$F:$I,4,0)*K13313</f>
        <v/>
      </c>
      <c r="P13313" s="152">
        <f>M13313/1.1</f>
        <v/>
      </c>
      <c r="Q13313" s="88">
        <f>F13313&amp;E13313&amp;G13313&amp;L13313</f>
        <v/>
      </c>
    </row>
    <row r="13314">
      <c r="B13314" s="128" t="n">
        <v>44204</v>
      </c>
      <c r="C13314" s="88">
        <f>TEXT(B13314,"aaa")</f>
        <v/>
      </c>
      <c r="D13314" s="94" t="n"/>
      <c r="E13314" s="88">
        <f>INDEX(매칭테이블!C:D,MATCH(RD!G13314,매칭테이블!D:D,0),1)</f>
        <v/>
      </c>
      <c r="F13314" s="94" t="inlineStr">
        <is>
          <t>카페24</t>
        </is>
      </c>
      <c r="G13314" s="94" t="inlineStr">
        <is>
          <t>어성초 77 수딩 토너토너(필수)=어성초 77 토너 1개-20% off</t>
        </is>
      </c>
      <c r="K13314" s="94" t="n">
        <v>1</v>
      </c>
      <c r="L13314" s="88" t="n">
        <v>201208</v>
      </c>
      <c r="M13314" s="88">
        <f>VLOOKUP($Q13314,매칭테이블!$F:$I,2,0)*K13314</f>
        <v/>
      </c>
      <c r="N13314" s="88">
        <f>M13314-M13314*VLOOKUP($Q13314,매칭테이블!$F:$I,3,0)</f>
        <v/>
      </c>
      <c r="O13314" s="88">
        <f>VLOOKUP($Q13314,매칭테이블!$F:$I,4,0)*K13314</f>
        <v/>
      </c>
      <c r="P13314" s="152">
        <f>M13314/1.1</f>
        <v/>
      </c>
      <c r="Q13314" s="88">
        <f>F13314&amp;E13314&amp;G13314&amp;L13314</f>
        <v/>
      </c>
    </row>
    <row r="13315">
      <c r="B13315" s="128" t="n">
        <v>44204</v>
      </c>
      <c r="C13315" s="88">
        <f>TEXT(B13315,"aaa")</f>
        <v/>
      </c>
      <c r="D13315" s="94" t="n"/>
      <c r="E13315" s="88">
        <f>INDEX(매칭테이블!C:D,MATCH(RD!G13315,매칭테이블!D:D,0),1)</f>
        <v/>
      </c>
      <c r="F13315" s="94" t="inlineStr">
        <is>
          <t>카페24</t>
        </is>
      </c>
      <c r="G13315" s="94" t="inlineStr">
        <is>
          <t>어성초 77 수딩 토너 (클리어패드 세트 구매시 1/11 순차발송 예정)옵션=어성초 77 토너 1개-20% off</t>
        </is>
      </c>
      <c r="K13315" s="94" t="n">
        <v>35</v>
      </c>
      <c r="L13315" s="88" t="n">
        <v>201208</v>
      </c>
      <c r="M13315" s="88">
        <f>VLOOKUP($Q13315,매칭테이블!$F:$I,2,0)*K13315</f>
        <v/>
      </c>
      <c r="N13315" s="88">
        <f>M13315-M13315*VLOOKUP($Q13315,매칭테이블!$F:$I,3,0)</f>
        <v/>
      </c>
      <c r="O13315" s="88">
        <f>VLOOKUP($Q13315,매칭테이블!$F:$I,4,0)*K13315</f>
        <v/>
      </c>
      <c r="P13315" s="152">
        <f>M13315/1.1</f>
        <v/>
      </c>
      <c r="Q13315" s="88">
        <f>F13315&amp;E13315&amp;G13315&amp;L13315</f>
        <v/>
      </c>
    </row>
    <row r="13316">
      <c r="B13316" s="128" t="n">
        <v>44204</v>
      </c>
      <c r="C13316" s="88">
        <f>TEXT(B13316,"aaa")</f>
        <v/>
      </c>
      <c r="D13316" s="94" t="n"/>
      <c r="E13316" s="88">
        <f>INDEX(매칭테이블!C:D,MATCH(RD!G13316,매칭테이블!D:D,0),1)</f>
        <v/>
      </c>
      <c r="F13316" s="94" t="inlineStr">
        <is>
          <t>카페24</t>
        </is>
      </c>
      <c r="G13316" s="94" t="inlineStr">
        <is>
          <t>어성초 77 수딩 토너 (클리어패드 세트 구매시 1/11 순차발송 예정)토너(필수)=어성초 77 토너 1개-20% off</t>
        </is>
      </c>
      <c r="K13316" s="94" t="n">
        <v>22</v>
      </c>
      <c r="L13316" s="88" t="n">
        <v>201208</v>
      </c>
      <c r="M13316" s="88">
        <f>VLOOKUP($Q13316,매칭테이블!$F:$I,2,0)*K13316</f>
        <v/>
      </c>
      <c r="N13316" s="88">
        <f>M13316-M13316*VLOOKUP($Q13316,매칭테이블!$F:$I,3,0)</f>
        <v/>
      </c>
      <c r="O13316" s="88">
        <f>VLOOKUP($Q13316,매칭테이블!$F:$I,4,0)*K13316</f>
        <v/>
      </c>
      <c r="P13316" s="152">
        <f>M13316/1.1</f>
        <v/>
      </c>
      <c r="Q13316" s="88">
        <f>F13316&amp;E13316&amp;G13316&amp;L13316</f>
        <v/>
      </c>
    </row>
    <row r="13317">
      <c r="B13317" s="128" t="n">
        <v>44204</v>
      </c>
      <c r="C13317" s="88">
        <f>TEXT(B13317,"aaa")</f>
        <v/>
      </c>
      <c r="D13317" s="94" t="n"/>
      <c r="E13317" s="88">
        <f>INDEX(매칭테이블!C:D,MATCH(RD!G13317,매칭테이블!D:D,0),1)</f>
        <v/>
      </c>
      <c r="F13317" s="94" t="inlineStr">
        <is>
          <t>카페24</t>
        </is>
      </c>
      <c r="G13317" s="94" t="inlineStr">
        <is>
          <t>어성초 77 수딩 토너 (클리어패드 세트 구매시 1/11 순차발송 예정)옵션=어성초 77 토너 2개-30% off (무료배송)</t>
        </is>
      </c>
      <c r="K13317" s="94" t="n">
        <v>21</v>
      </c>
      <c r="L13317" s="88" t="n">
        <v>201208</v>
      </c>
      <c r="M13317" s="88">
        <f>VLOOKUP($Q13317,매칭테이블!$F:$I,2,0)*K13317</f>
        <v/>
      </c>
      <c r="N13317" s="88">
        <f>M13317-M13317*VLOOKUP($Q13317,매칭테이블!$F:$I,3,0)</f>
        <v/>
      </c>
      <c r="O13317" s="88">
        <f>VLOOKUP($Q13317,매칭테이블!$F:$I,4,0)*K13317</f>
        <v/>
      </c>
      <c r="P13317" s="152">
        <f>M13317/1.1</f>
        <v/>
      </c>
      <c r="Q13317" s="88">
        <f>F13317&amp;E13317&amp;G13317&amp;L13317</f>
        <v/>
      </c>
    </row>
    <row r="13318">
      <c r="B13318" s="128" t="n">
        <v>44204</v>
      </c>
      <c r="C13318" s="88">
        <f>TEXT(B13318,"aaa")</f>
        <v/>
      </c>
      <c r="D13318" s="94" t="n"/>
      <c r="E13318" s="88">
        <f>INDEX(매칭테이블!C:D,MATCH(RD!G13318,매칭테이블!D:D,0),1)</f>
        <v/>
      </c>
      <c r="F13318" s="94" t="inlineStr">
        <is>
          <t>카페24</t>
        </is>
      </c>
      <c r="G13318" s="94" t="inlineStr">
        <is>
          <t>어성초 77 수딩 토너 (클리어패드 세트 구매시 1/11 순차발송 예정)토너(필수)=어성초 77 토너 2개-30% off (무료배송)</t>
        </is>
      </c>
      <c r="K13318" s="94" t="n">
        <v>10</v>
      </c>
      <c r="L13318" s="88" t="n">
        <v>201208</v>
      </c>
      <c r="M13318" s="88">
        <f>VLOOKUP($Q13318,매칭테이블!$F:$I,2,0)*K13318</f>
        <v/>
      </c>
      <c r="N13318" s="88">
        <f>M13318-M13318*VLOOKUP($Q13318,매칭테이블!$F:$I,3,0)</f>
        <v/>
      </c>
      <c r="O13318" s="88">
        <f>VLOOKUP($Q13318,매칭테이블!$F:$I,4,0)*K13318</f>
        <v/>
      </c>
      <c r="P13318" s="152">
        <f>M13318/1.1</f>
        <v/>
      </c>
      <c r="Q13318" s="88">
        <f>F13318&amp;E13318&amp;G13318&amp;L13318</f>
        <v/>
      </c>
    </row>
    <row r="13319">
      <c r="B13319" s="128" t="n">
        <v>44204</v>
      </c>
      <c r="C13319" s="88">
        <f>TEXT(B13319,"aaa")</f>
        <v/>
      </c>
      <c r="D13319" s="94" t="n"/>
      <c r="E13319" s="88">
        <f>INDEX(매칭테이블!C:D,MATCH(RD!G13319,매칭테이블!D:D,0),1)</f>
        <v/>
      </c>
      <c r="F13319" s="94" t="inlineStr">
        <is>
          <t>카페24</t>
        </is>
      </c>
      <c r="G13319" s="94" t="inlineStr">
        <is>
          <t>어성초 77 수딩 토너 (클리어패드 세트 구매시 1/11 순차발송 예정)옵션=어성초 77토너1개 + 어성초77패드1개 -30% off (무료배송)</t>
        </is>
      </c>
      <c r="K13319" s="94" t="n">
        <v>30</v>
      </c>
      <c r="L13319" s="88" t="n">
        <v>201208</v>
      </c>
      <c r="M13319" s="88">
        <f>VLOOKUP($Q13319,매칭테이블!$F:$I,2,0)*K13319</f>
        <v/>
      </c>
      <c r="N13319" s="88">
        <f>M13319-M13319*VLOOKUP($Q13319,매칭테이블!$F:$I,3,0)</f>
        <v/>
      </c>
      <c r="O13319" s="88">
        <f>VLOOKUP($Q13319,매칭테이블!$F:$I,4,0)*K13319</f>
        <v/>
      </c>
      <c r="P13319" s="152">
        <f>M13319/1.1</f>
        <v/>
      </c>
      <c r="Q13319" s="88">
        <f>F13319&amp;E13319&amp;G13319&amp;L13319</f>
        <v/>
      </c>
    </row>
    <row r="13320">
      <c r="B13320" s="128" t="n">
        <v>44204</v>
      </c>
      <c r="C13320" s="88">
        <f>TEXT(B13320,"aaa")</f>
        <v/>
      </c>
      <c r="D13320" s="94" t="n"/>
      <c r="E13320" s="88">
        <f>INDEX(매칭테이블!C:D,MATCH(RD!G13320,매칭테이블!D:D,0),1)</f>
        <v/>
      </c>
      <c r="F13320" s="94" t="inlineStr">
        <is>
          <t>카페24</t>
        </is>
      </c>
      <c r="G13320" s="94" t="inlineStr">
        <is>
          <t>어성초 77 수딩 토너 (클리어패드 세트 구매시 1/11 순차발송 예정)토너(필수)=어성초77토너1개 + 어성초77패드1개 -30% off (무료배송)</t>
        </is>
      </c>
      <c r="K13320" s="94" t="n">
        <v>12</v>
      </c>
      <c r="L13320" s="88" t="n">
        <v>201208</v>
      </c>
      <c r="M13320" s="88">
        <f>VLOOKUP($Q13320,매칭테이블!$F:$I,2,0)*K13320</f>
        <v/>
      </c>
      <c r="N13320" s="88">
        <f>M13320-M13320*VLOOKUP($Q13320,매칭테이블!$F:$I,3,0)</f>
        <v/>
      </c>
      <c r="O13320" s="88">
        <f>VLOOKUP($Q13320,매칭테이블!$F:$I,4,0)*K13320</f>
        <v/>
      </c>
      <c r="P13320" s="152">
        <f>M13320/1.1</f>
        <v/>
      </c>
      <c r="Q13320" s="88">
        <f>F13320&amp;E13320&amp;G13320&amp;L13320</f>
        <v/>
      </c>
    </row>
    <row r="13321">
      <c r="B13321" s="128" t="n">
        <v>44204</v>
      </c>
      <c r="C13321" s="88">
        <f>TEXT(B13321,"aaa")</f>
        <v/>
      </c>
      <c r="D13321" s="94" t="n"/>
      <c r="E13321" s="88">
        <f>INDEX(매칭테이블!C:D,MATCH(RD!G13321,매칭테이블!D:D,0),1)</f>
        <v/>
      </c>
      <c r="F13321" s="94" t="inlineStr">
        <is>
          <t>카페24</t>
        </is>
      </c>
      <c r="G13321" s="94" t="inlineStr">
        <is>
          <t>어성초 77 수딩 토너 (클리어패드 세트 구매시 1/11 순차발송 예정)화장솜(선택)=촉촉 스킨팩 화장솜</t>
        </is>
      </c>
      <c r="K13321" s="94" t="n">
        <v>53</v>
      </c>
      <c r="L13321" s="88" t="n">
        <v>201208</v>
      </c>
      <c r="M13321" s="88">
        <f>VLOOKUP($Q13321,매칭테이블!$F:$I,2,0)*K13321</f>
        <v/>
      </c>
      <c r="N13321" s="88">
        <f>M13321-M13321*VLOOKUP($Q13321,매칭테이블!$F:$I,3,0)</f>
        <v/>
      </c>
      <c r="O13321" s="88">
        <f>VLOOKUP($Q13321,매칭테이블!$F:$I,4,0)*K13321</f>
        <v/>
      </c>
      <c r="P13321" s="152">
        <f>M13321/1.1</f>
        <v/>
      </c>
      <c r="Q13321" s="88">
        <f>F13321&amp;E13321&amp;G13321&amp;L13321</f>
        <v/>
      </c>
    </row>
    <row r="13322">
      <c r="B13322" s="128" t="n">
        <v>44204</v>
      </c>
      <c r="C13322" s="88">
        <f>TEXT(B13322,"aaa")</f>
        <v/>
      </c>
      <c r="D13322" s="94" t="n"/>
      <c r="E13322" s="88">
        <f>INDEX(매칭테이블!C:D,MATCH(RD!G13322,매칭테이블!D:D,0),1)</f>
        <v/>
      </c>
      <c r="F13322" s="94" t="inlineStr">
        <is>
          <t>카페24</t>
        </is>
      </c>
      <c r="G13322" s="94" t="inlineStr">
        <is>
          <t>어성초 77 진정 마스크옵션=어성초 77 진정 마스크팩 1장</t>
        </is>
      </c>
      <c r="K13322" s="94" t="n">
        <v>1</v>
      </c>
      <c r="L13322" s="88" t="n">
        <v>201208</v>
      </c>
      <c r="M13322" s="88">
        <f>VLOOKUP($Q13322,매칭테이블!$F:$I,2,0)*K13322</f>
        <v/>
      </c>
      <c r="N13322" s="88">
        <f>M13322-M13322*VLOOKUP($Q13322,매칭테이블!$F:$I,3,0)</f>
        <v/>
      </c>
      <c r="O13322" s="88">
        <f>VLOOKUP($Q13322,매칭테이블!$F:$I,4,0)*K13322</f>
        <v/>
      </c>
      <c r="P13322" s="152">
        <f>M13322/1.1</f>
        <v/>
      </c>
      <c r="Q13322" s="88">
        <f>F13322&amp;E13322&amp;G13322&amp;L13322</f>
        <v/>
      </c>
    </row>
    <row r="13323">
      <c r="B13323" s="128" t="n">
        <v>44204</v>
      </c>
      <c r="C13323" s="88">
        <f>TEXT(B13323,"aaa")</f>
        <v/>
      </c>
      <c r="D13323" s="94" t="n"/>
      <c r="E13323" s="88">
        <f>INDEX(매칭테이블!C:D,MATCH(RD!G13323,매칭테이블!D:D,0),1)</f>
        <v/>
      </c>
      <c r="F13323" s="94" t="inlineStr">
        <is>
          <t>카페24</t>
        </is>
      </c>
      <c r="G13323" s="94" t="inlineStr">
        <is>
          <t>어성초 77 진정 마스크옵션=어성초 77 진정 마스크팩 10장-50% off</t>
        </is>
      </c>
      <c r="K13323" s="94" t="n">
        <v>7</v>
      </c>
      <c r="L13323" s="88" t="n">
        <v>201208</v>
      </c>
      <c r="M13323" s="88">
        <f>VLOOKUP($Q13323,매칭테이블!$F:$I,2,0)*K13323</f>
        <v/>
      </c>
      <c r="N13323" s="88">
        <f>M13323-M13323*VLOOKUP($Q13323,매칭테이블!$F:$I,3,0)</f>
        <v/>
      </c>
      <c r="O13323" s="88">
        <f>VLOOKUP($Q13323,매칭테이블!$F:$I,4,0)*K13323</f>
        <v/>
      </c>
      <c r="P13323" s="152">
        <f>M13323/1.1</f>
        <v/>
      </c>
      <c r="Q13323" s="88">
        <f>F13323&amp;E13323&amp;G13323&amp;L13323</f>
        <v/>
      </c>
    </row>
    <row r="13324">
      <c r="B13324" s="128" t="n">
        <v>44204</v>
      </c>
      <c r="C13324" s="88">
        <f>TEXT(B13324,"aaa")</f>
        <v/>
      </c>
      <c r="D13324" s="94" t="n"/>
      <c r="E13324" s="88">
        <f>INDEX(매칭테이블!C:D,MATCH(RD!G13324,매칭테이블!D:D,0),1)</f>
        <v/>
      </c>
      <c r="F13324" s="94" t="inlineStr">
        <is>
          <t>카페24</t>
        </is>
      </c>
      <c r="G13324" s="94" t="inlineStr">
        <is>
          <t>어성초 77 진정 마스크</t>
        </is>
      </c>
      <c r="K13324" s="94" t="n">
        <v>2</v>
      </c>
      <c r="L13324" s="88" t="n">
        <v>201208</v>
      </c>
      <c r="M13324" s="88">
        <f>VLOOKUP($Q13324,매칭테이블!$F:$I,2,0)*K13324</f>
        <v/>
      </c>
      <c r="N13324" s="88">
        <f>M13324-M13324*VLOOKUP($Q13324,매칭테이블!$F:$I,3,0)</f>
        <v/>
      </c>
      <c r="O13324" s="88">
        <f>VLOOKUP($Q13324,매칭테이블!$F:$I,4,0)*K13324</f>
        <v/>
      </c>
      <c r="P13324" s="152">
        <f>M13324/1.1</f>
        <v/>
      </c>
      <c r="Q13324" s="88">
        <f>F13324&amp;E13324&amp;G13324&amp;L13324</f>
        <v/>
      </c>
    </row>
    <row r="13325">
      <c r="B13325" s="128" t="n">
        <v>44204</v>
      </c>
      <c r="C13325" s="88">
        <f>TEXT(B13325,"aaa")</f>
        <v/>
      </c>
      <c r="D13325" s="94" t="n"/>
      <c r="E13325" s="88">
        <f>INDEX(매칭테이블!C:D,MATCH(RD!G13325,매칭테이블!D:D,0),1)</f>
        <v/>
      </c>
      <c r="F13325" s="94" t="inlineStr">
        <is>
          <t>카페24</t>
        </is>
      </c>
      <c r="G13325" s="94" t="inlineStr">
        <is>
          <t>어성초 77 클리어 패드 (1/11 순차발송 예정)옵션=어성초 77 클리어 패드 1개-20% off</t>
        </is>
      </c>
      <c r="K13325" s="94" t="n">
        <v>39</v>
      </c>
      <c r="L13325" s="88" t="n">
        <v>201208</v>
      </c>
      <c r="M13325" s="88">
        <f>VLOOKUP($Q13325,매칭테이블!$F:$I,2,0)*K13325</f>
        <v/>
      </c>
      <c r="N13325" s="88">
        <f>M13325-M13325*VLOOKUP($Q13325,매칭테이블!$F:$I,3,0)</f>
        <v/>
      </c>
      <c r="O13325" s="88">
        <f>VLOOKUP($Q13325,매칭테이블!$F:$I,4,0)*K13325</f>
        <v/>
      </c>
      <c r="P13325" s="152">
        <f>M13325/1.1</f>
        <v/>
      </c>
      <c r="Q13325" s="88">
        <f>F13325&amp;E13325&amp;G13325&amp;L13325</f>
        <v/>
      </c>
    </row>
    <row r="13326">
      <c r="B13326" s="128" t="n">
        <v>44204</v>
      </c>
      <c r="C13326" s="88">
        <f>TEXT(B13326,"aaa")</f>
        <v/>
      </c>
      <c r="D13326" s="94" t="n"/>
      <c r="E13326" s="88">
        <f>INDEX(매칭테이블!C:D,MATCH(RD!G13326,매칭테이블!D:D,0),1)</f>
        <v/>
      </c>
      <c r="F13326" s="94" t="inlineStr">
        <is>
          <t>카페24</t>
        </is>
      </c>
      <c r="G13326" s="94" t="inlineStr">
        <is>
          <t>어성초 77 클리어 패드 (1/11 순차발송 예정)옵션=어성초 77 클리어 패드 2개-30% off (무료배송)</t>
        </is>
      </c>
      <c r="K13326" s="94" t="n">
        <v>51</v>
      </c>
      <c r="L13326" s="88" t="n">
        <v>201208</v>
      </c>
      <c r="M13326" s="88">
        <f>VLOOKUP($Q13326,매칭테이블!$F:$I,2,0)*K13326</f>
        <v/>
      </c>
      <c r="N13326" s="88">
        <f>M13326-M13326*VLOOKUP($Q13326,매칭테이블!$F:$I,3,0)</f>
        <v/>
      </c>
      <c r="O13326" s="88">
        <f>VLOOKUP($Q13326,매칭테이블!$F:$I,4,0)*K13326</f>
        <v/>
      </c>
      <c r="P13326" s="152">
        <f>M13326/1.1</f>
        <v/>
      </c>
      <c r="Q13326" s="88">
        <f>F13326&amp;E13326&amp;G13326&amp;L13326</f>
        <v/>
      </c>
    </row>
    <row r="13327">
      <c r="B13327" s="128" t="n">
        <v>44204</v>
      </c>
      <c r="C13327" s="88">
        <f>TEXT(B13327,"aaa")</f>
        <v/>
      </c>
      <c r="D13327" s="94" t="n"/>
      <c r="E13327" s="88">
        <f>INDEX(매칭테이블!C:D,MATCH(RD!G13327,매칭테이블!D:D,0),1)</f>
        <v/>
      </c>
      <c r="F13327" s="94" t="inlineStr">
        <is>
          <t>카페24</t>
        </is>
      </c>
      <c r="G13327" s="94" t="inlineStr">
        <is>
          <t>어성초 77 클리어 패드 (1/11 순차발송 예정)옵션=어성초 77 클리어 패드 3개-35% off (무료배송)</t>
        </is>
      </c>
      <c r="K13327" s="94" t="n">
        <v>3</v>
      </c>
      <c r="L13327" s="88" t="n">
        <v>201208</v>
      </c>
      <c r="M13327" s="88">
        <f>VLOOKUP($Q13327,매칭테이블!$F:$I,2,0)*K13327</f>
        <v/>
      </c>
      <c r="N13327" s="88">
        <f>M13327-M13327*VLOOKUP($Q13327,매칭테이블!$F:$I,3,0)</f>
        <v/>
      </c>
      <c r="O13327" s="88">
        <f>VLOOKUP($Q13327,매칭테이블!$F:$I,4,0)*K13327</f>
        <v/>
      </c>
      <c r="P13327" s="152">
        <f>M13327/1.1</f>
        <v/>
      </c>
      <c r="Q13327" s="88">
        <f>F13327&amp;E13327&amp;G13327&amp;L13327</f>
        <v/>
      </c>
    </row>
    <row r="13328">
      <c r="B13328" s="128" t="n">
        <v>44204</v>
      </c>
      <c r="C13328" s="88">
        <f>TEXT(B13328,"aaa")</f>
        <v/>
      </c>
      <c r="D13328" s="94" t="n"/>
      <c r="E13328" s="88">
        <f>INDEX(매칭테이블!C:D,MATCH(RD!G13328,매칭테이블!D:D,0),1)</f>
        <v/>
      </c>
      <c r="F13328" s="94" t="inlineStr">
        <is>
          <t>카페24</t>
        </is>
      </c>
      <c r="G13328" s="94" t="inlineStr">
        <is>
          <t>어성초 77 클리어 패드 (1/11 순차발송 예정)옵션=어성초77토너1개+어성초77패드1개-30% off (무료배송)</t>
        </is>
      </c>
      <c r="K13328" s="94" t="n">
        <v>17</v>
      </c>
      <c r="L13328" s="88" t="n">
        <v>201208</v>
      </c>
      <c r="M13328" s="88">
        <f>VLOOKUP($Q13328,매칭테이블!$F:$I,2,0)*K13328</f>
        <v/>
      </c>
      <c r="N13328" s="88">
        <f>M13328-M13328*VLOOKUP($Q13328,매칭테이블!$F:$I,3,0)</f>
        <v/>
      </c>
      <c r="O13328" s="88">
        <f>VLOOKUP($Q13328,매칭테이블!$F:$I,4,0)*K13328</f>
        <v/>
      </c>
      <c r="P13328" s="152">
        <f>M13328/1.1</f>
        <v/>
      </c>
      <c r="Q13328" s="88">
        <f>F13328&amp;E13328&amp;G13328&amp;L13328</f>
        <v/>
      </c>
    </row>
    <row r="13329">
      <c r="B13329" s="128" t="n">
        <v>44204</v>
      </c>
      <c r="C13329" s="88">
        <f>TEXT(B13329,"aaa")</f>
        <v/>
      </c>
      <c r="D13329" s="94" t="n"/>
      <c r="E13329" s="88">
        <f>INDEX(매칭테이블!C:D,MATCH(RD!G13329,매칭테이블!D:D,0),1)</f>
        <v/>
      </c>
      <c r="F13329" s="94" t="inlineStr">
        <is>
          <t>카페24</t>
        </is>
      </c>
      <c r="G13329" s="94" t="inlineStr">
        <is>
          <t>어성초 77 클리어 패드 (1/11 순차발송 예정)옵션=어성초77토너1개+어성초77패드1개-30% off (무료배송)</t>
        </is>
      </c>
      <c r="K13329" s="94" t="n">
        <v>6</v>
      </c>
      <c r="L13329" s="88" t="n">
        <v>201208</v>
      </c>
      <c r="M13329" s="88">
        <f>VLOOKUP($Q13329,매칭테이블!$F:$I,2,0)*K13329</f>
        <v/>
      </c>
      <c r="N13329" s="88">
        <f>M13329-M13329*VLOOKUP($Q13329,매칭테이블!$F:$I,3,0)</f>
        <v/>
      </c>
      <c r="O13329" s="88">
        <f>VLOOKUP($Q13329,매칭테이블!$F:$I,4,0)*K13329</f>
        <v/>
      </c>
      <c r="P13329" s="152">
        <f>M13329/1.1</f>
        <v/>
      </c>
      <c r="Q13329" s="88">
        <f>F13329&amp;E13329&amp;G13329&amp;L13329</f>
        <v/>
      </c>
    </row>
    <row r="13330">
      <c r="B13330" s="128" t="n">
        <v>44204</v>
      </c>
      <c r="C13330" s="88">
        <f>TEXT(B13330,"aaa")</f>
        <v/>
      </c>
      <c r="D13330" s="94" t="n"/>
      <c r="E13330" s="88">
        <f>INDEX(매칭테이블!C:D,MATCH(RD!G13330,매칭테이블!D:D,0),1)</f>
        <v/>
      </c>
      <c r="F13330" s="94" t="inlineStr">
        <is>
          <t>카페24</t>
        </is>
      </c>
      <c r="G13330" s="94" t="inlineStr">
        <is>
          <t>어성초 77 토너</t>
        </is>
      </c>
      <c r="K13330" s="94" t="n">
        <v>1</v>
      </c>
      <c r="L13330" s="88" t="n">
        <v>201208</v>
      </c>
      <c r="M13330" s="88">
        <f>VLOOKUP($Q13330,매칭테이블!$F:$I,2,0)*K13330</f>
        <v/>
      </c>
      <c r="N13330" s="88">
        <f>M13330-M13330*VLOOKUP($Q13330,매칭테이블!$F:$I,3,0)</f>
        <v/>
      </c>
      <c r="O13330" s="88">
        <f>VLOOKUP($Q13330,매칭테이블!$F:$I,4,0)*K13330</f>
        <v/>
      </c>
      <c r="P13330" s="152">
        <f>M13330/1.1</f>
        <v/>
      </c>
      <c r="Q13330" s="88">
        <f>F13330&amp;E13330&amp;G13330&amp;L13330</f>
        <v/>
      </c>
    </row>
    <row r="13331">
      <c r="B13331" s="128" t="n">
        <v>44204</v>
      </c>
      <c r="C13331" s="88">
        <f>TEXT(B13331,"aaa")</f>
        <v/>
      </c>
      <c r="D13331" s="94" t="n"/>
      <c r="E13331" s="88">
        <f>INDEX(매칭테이블!C:D,MATCH(RD!G13331,매칭테이블!D:D,0),1)</f>
        <v/>
      </c>
      <c r="F13331" s="94" t="inlineStr">
        <is>
          <t>카페24</t>
        </is>
      </c>
      <c r="G13331" s="94" t="inlineStr">
        <is>
          <t>어성초 77 포어 클리어 패드 (1/11 순차발송 예정)옵션=어성초 77 클리어 패드 1개-20% off</t>
        </is>
      </c>
      <c r="K13331" s="94" t="n">
        <v>5</v>
      </c>
      <c r="L13331" s="88" t="n">
        <v>201208</v>
      </c>
      <c r="M13331" s="88">
        <f>VLOOKUP($Q13331,매칭테이블!$F:$I,2,0)*K13331</f>
        <v/>
      </c>
      <c r="N13331" s="88">
        <f>M13331-M13331*VLOOKUP($Q13331,매칭테이블!$F:$I,3,0)</f>
        <v/>
      </c>
      <c r="O13331" s="88">
        <f>VLOOKUP($Q13331,매칭테이블!$F:$I,4,0)*K13331</f>
        <v/>
      </c>
      <c r="P13331" s="152">
        <f>M13331/1.1</f>
        <v/>
      </c>
      <c r="Q13331" s="88">
        <f>F13331&amp;E13331&amp;G13331&amp;L13331</f>
        <v/>
      </c>
    </row>
    <row r="13332">
      <c r="B13332" s="128" t="n">
        <v>44204</v>
      </c>
      <c r="C13332" s="88">
        <f>TEXT(B13332,"aaa")</f>
        <v/>
      </c>
      <c r="D13332" s="94" t="n"/>
      <c r="E13332" s="88">
        <f>INDEX(매칭테이블!C:D,MATCH(RD!G13332,매칭테이블!D:D,0),1)</f>
        <v/>
      </c>
      <c r="F13332" s="94" t="inlineStr">
        <is>
          <t>카페24</t>
        </is>
      </c>
      <c r="G13332" s="94" t="inlineStr">
        <is>
          <t>어성초 77 포어 클리어 패드 (1/11 순차발송 예정)옵션=어성초 77 클리어 패드 2개-30% off (무료배송)</t>
        </is>
      </c>
      <c r="K13332" s="94" t="n">
        <v>9</v>
      </c>
      <c r="L13332" s="88" t="n">
        <v>201208</v>
      </c>
      <c r="M13332" s="88">
        <f>VLOOKUP($Q13332,매칭테이블!$F:$I,2,0)*K13332</f>
        <v/>
      </c>
      <c r="N13332" s="88">
        <f>M13332-M13332*VLOOKUP($Q13332,매칭테이블!$F:$I,3,0)</f>
        <v/>
      </c>
      <c r="O13332" s="88">
        <f>VLOOKUP($Q13332,매칭테이블!$F:$I,4,0)*K13332</f>
        <v/>
      </c>
      <c r="P13332" s="152">
        <f>M13332/1.1</f>
        <v/>
      </c>
      <c r="Q13332" s="88">
        <f>F13332&amp;E13332&amp;G13332&amp;L13332</f>
        <v/>
      </c>
    </row>
    <row r="13333">
      <c r="B13333" s="128" t="n">
        <v>44204</v>
      </c>
      <c r="C13333" s="88">
        <f>TEXT(B13333,"aaa")</f>
        <v/>
      </c>
      <c r="D13333" s="94" t="n"/>
      <c r="E13333" s="88">
        <f>INDEX(매칭테이블!C:D,MATCH(RD!G13333,매칭테이블!D:D,0),1)</f>
        <v/>
      </c>
      <c r="F13333" s="94" t="inlineStr">
        <is>
          <t>카페24</t>
        </is>
      </c>
      <c r="G13333" s="94" t="inlineStr">
        <is>
          <t>어성초 77 포어 클리어 패드 (1/11 순차발송 예정)옵션=어성초 77 클리어 패드 3개-35% off (무료배송)</t>
        </is>
      </c>
      <c r="K13333" s="94" t="n">
        <v>1</v>
      </c>
      <c r="L13333" s="88" t="n">
        <v>201208</v>
      </c>
      <c r="M13333" s="88">
        <f>VLOOKUP($Q13333,매칭테이블!$F:$I,2,0)*K13333</f>
        <v/>
      </c>
      <c r="N13333" s="88">
        <f>M13333-M13333*VLOOKUP($Q13333,매칭테이블!$F:$I,3,0)</f>
        <v/>
      </c>
      <c r="O13333" s="88">
        <f>VLOOKUP($Q13333,매칭테이블!$F:$I,4,0)*K13333</f>
        <v/>
      </c>
      <c r="P13333" s="152">
        <f>M13333/1.1</f>
        <v/>
      </c>
      <c r="Q13333" s="88">
        <f>F13333&amp;E13333&amp;G13333&amp;L13333</f>
        <v/>
      </c>
    </row>
    <row r="13334">
      <c r="B13334" s="128" t="n">
        <v>44204</v>
      </c>
      <c r="C13334" s="88">
        <f>TEXT(B13334,"aaa")</f>
        <v/>
      </c>
      <c r="D13334" s="94" t="n"/>
      <c r="E13334" s="88">
        <f>INDEX(매칭테이블!C:D,MATCH(RD!G13334,매칭테이블!D:D,0),1)</f>
        <v/>
      </c>
      <c r="F13334" s="94" t="inlineStr">
        <is>
          <t>카페24</t>
        </is>
      </c>
      <c r="G13334" s="94" t="inlineStr">
        <is>
          <t>어성초 77 포어 클리어 패드 (1/11 순차발송 예정)옵션=어성초77토너1개+어성초77패드1개-30% off (무료배송)</t>
        </is>
      </c>
      <c r="K13334" s="94" t="n">
        <v>3</v>
      </c>
      <c r="L13334" s="88" t="n">
        <v>201208</v>
      </c>
      <c r="M13334" s="88">
        <f>VLOOKUP($Q13334,매칭테이블!$F:$I,2,0)*K13334</f>
        <v/>
      </c>
      <c r="N13334" s="88">
        <f>M13334-M13334*VLOOKUP($Q13334,매칭테이블!$F:$I,3,0)</f>
        <v/>
      </c>
      <c r="O13334" s="88">
        <f>VLOOKUP($Q13334,매칭테이블!$F:$I,4,0)*K13334</f>
        <v/>
      </c>
      <c r="P13334" s="152">
        <f>M13334/1.1</f>
        <v/>
      </c>
      <c r="Q13334" s="88">
        <f>F13334&amp;E13334&amp;G13334&amp;L13334</f>
        <v/>
      </c>
    </row>
    <row r="13335">
      <c r="B13335" s="128" t="n">
        <v>44204</v>
      </c>
      <c r="C13335" s="88">
        <f>TEXT(B13335,"aaa")</f>
        <v/>
      </c>
      <c r="D13335" s="94" t="n"/>
      <c r="E13335" s="88">
        <f>INDEX(매칭테이블!C:D,MATCH(RD!G13335,매칭테이블!D:D,0),1)</f>
        <v/>
      </c>
      <c r="F13335" s="94" t="inlineStr">
        <is>
          <t>카페24</t>
        </is>
      </c>
      <c r="G13335" s="94" t="inlineStr">
        <is>
          <t>어성초 77% 패드 (1/11 순차발송 예정)옵션=어성초 77 클리어 패드 1개-20% off</t>
        </is>
      </c>
      <c r="K13335" s="94" t="n">
        <v>44</v>
      </c>
      <c r="L13335" s="88" t="n">
        <v>201208</v>
      </c>
      <c r="M13335" s="88">
        <f>VLOOKUP($Q13335,매칭테이블!$F:$I,2,0)*K13335</f>
        <v/>
      </c>
      <c r="N13335" s="88">
        <f>M13335-M13335*VLOOKUP($Q13335,매칭테이블!$F:$I,3,0)</f>
        <v/>
      </c>
      <c r="O13335" s="88">
        <f>VLOOKUP($Q13335,매칭테이블!$F:$I,4,0)*K13335</f>
        <v/>
      </c>
      <c r="P13335" s="152">
        <f>M13335/1.1</f>
        <v/>
      </c>
      <c r="Q13335" s="88">
        <f>F13335&amp;E13335&amp;G13335&amp;L13335</f>
        <v/>
      </c>
    </row>
    <row r="13336">
      <c r="B13336" s="128" t="n">
        <v>44204</v>
      </c>
      <c r="C13336" s="88">
        <f>TEXT(B13336,"aaa")</f>
        <v/>
      </c>
      <c r="D13336" s="94" t="n"/>
      <c r="E13336" s="88">
        <f>INDEX(매칭테이블!C:D,MATCH(RD!G13336,매칭테이블!D:D,0),1)</f>
        <v/>
      </c>
      <c r="F13336" s="94" t="inlineStr">
        <is>
          <t>카페24</t>
        </is>
      </c>
      <c r="G13336" s="94" t="inlineStr">
        <is>
          <t>어성초 77% 패드 (1/11 순차발송 예정)옵션=어성초 77 클리어 패드 2개-30% off (무료배송)</t>
        </is>
      </c>
      <c r="K13336" s="94" t="n">
        <v>59</v>
      </c>
      <c r="L13336" s="88" t="n">
        <v>201208</v>
      </c>
      <c r="M13336" s="88">
        <f>VLOOKUP($Q13336,매칭테이블!$F:$I,2,0)*K13336</f>
        <v/>
      </c>
      <c r="N13336" s="88">
        <f>M13336-M13336*VLOOKUP($Q13336,매칭테이블!$F:$I,3,0)</f>
        <v/>
      </c>
      <c r="O13336" s="88">
        <f>VLOOKUP($Q13336,매칭테이블!$F:$I,4,0)*K13336</f>
        <v/>
      </c>
      <c r="P13336" s="152">
        <f>M13336/1.1</f>
        <v/>
      </c>
      <c r="Q13336" s="88">
        <f>F13336&amp;E13336&amp;G13336&amp;L13336</f>
        <v/>
      </c>
    </row>
    <row r="13337">
      <c r="B13337" s="128" t="n">
        <v>44204</v>
      </c>
      <c r="C13337" s="88">
        <f>TEXT(B13337,"aaa")</f>
        <v/>
      </c>
      <c r="D13337" s="94" t="n"/>
      <c r="E13337" s="88">
        <f>INDEX(매칭테이블!C:D,MATCH(RD!G13337,매칭테이블!D:D,0),1)</f>
        <v/>
      </c>
      <c r="F13337" s="94" t="inlineStr">
        <is>
          <t>카페24</t>
        </is>
      </c>
      <c r="G13337" s="94" t="inlineStr">
        <is>
          <t>어성초 77% 패드 (1/11 순차발송 예정)옵션=어성초 77 클리어 패드 3개-35% off (무료배송)</t>
        </is>
      </c>
      <c r="K13337" s="94" t="n">
        <v>4</v>
      </c>
      <c r="L13337" s="88" t="n">
        <v>201208</v>
      </c>
      <c r="M13337" s="88">
        <f>VLOOKUP($Q13337,매칭테이블!$F:$I,2,0)*K13337</f>
        <v/>
      </c>
      <c r="N13337" s="88">
        <f>M13337-M13337*VLOOKUP($Q13337,매칭테이블!$F:$I,3,0)</f>
        <v/>
      </c>
      <c r="O13337" s="88">
        <f>VLOOKUP($Q13337,매칭테이블!$F:$I,4,0)*K13337</f>
        <v/>
      </c>
      <c r="P13337" s="152">
        <f>M13337/1.1</f>
        <v/>
      </c>
      <c r="Q13337" s="88">
        <f>F13337&amp;E13337&amp;G13337&amp;L13337</f>
        <v/>
      </c>
    </row>
    <row r="13338">
      <c r="B13338" s="128" t="n">
        <v>44204</v>
      </c>
      <c r="C13338" s="88">
        <f>TEXT(B13338,"aaa")</f>
        <v/>
      </c>
      <c r="D13338" s="94" t="n"/>
      <c r="E13338" s="88">
        <f>INDEX(매칭테이블!C:D,MATCH(RD!G13338,매칭테이블!D:D,0),1)</f>
        <v/>
      </c>
      <c r="F13338" s="94" t="inlineStr">
        <is>
          <t>카페24</t>
        </is>
      </c>
      <c r="G13338" s="94" t="inlineStr">
        <is>
          <t>어성초 77% 패드 (1/11 순차발송 예정)옵션=어성초77토너1개+어성초77패드1개-30% off (무료배송)</t>
        </is>
      </c>
      <c r="K13338" s="94" t="n">
        <v>21</v>
      </c>
      <c r="L13338" s="88" t="n">
        <v>201208</v>
      </c>
      <c r="M13338" s="88">
        <f>VLOOKUP($Q13338,매칭테이블!$F:$I,2,0)*K13338</f>
        <v/>
      </c>
      <c r="N13338" s="88">
        <f>M13338-M13338*VLOOKUP($Q13338,매칭테이블!$F:$I,3,0)</f>
        <v/>
      </c>
      <c r="O13338" s="88">
        <f>VLOOKUP($Q13338,매칭테이블!$F:$I,4,0)*K13338</f>
        <v/>
      </c>
      <c r="P13338" s="152">
        <f>M13338/1.1</f>
        <v/>
      </c>
      <c r="Q13338" s="88">
        <f>F13338&amp;E13338&amp;G13338&amp;L13338</f>
        <v/>
      </c>
    </row>
    <row r="13339">
      <c r="B13339" s="128" t="n">
        <v>44204</v>
      </c>
      <c r="C13339" s="88">
        <f>TEXT(B13339,"aaa")</f>
        <v/>
      </c>
      <c r="D13339" s="94" t="n"/>
      <c r="E13339" s="88">
        <f>INDEX(매칭테이블!C:D,MATCH(RD!G13339,매칭테이블!D:D,0),1)</f>
        <v/>
      </c>
      <c r="F13339" s="94" t="inlineStr">
        <is>
          <t>카페24</t>
        </is>
      </c>
      <c r="G13339" s="94" t="inlineStr">
        <is>
          <t>어성초 77% 패드 (1/11 순차발송 예정)옵션=어성초77토너1개+어성초77패드1개-30% off (무료배송)</t>
        </is>
      </c>
      <c r="K13339" s="94" t="n">
        <v>4</v>
      </c>
      <c r="L13339" s="88" t="n">
        <v>201208</v>
      </c>
      <c r="M13339" s="88">
        <f>VLOOKUP($Q13339,매칭테이블!$F:$I,2,0)*K13339</f>
        <v/>
      </c>
      <c r="N13339" s="88">
        <f>M13339-M13339*VLOOKUP($Q13339,매칭테이블!$F:$I,3,0)</f>
        <v/>
      </c>
      <c r="O13339" s="88">
        <f>VLOOKUP($Q13339,매칭테이블!$F:$I,4,0)*K13339</f>
        <v/>
      </c>
      <c r="P13339" s="152">
        <f>M13339/1.1</f>
        <v/>
      </c>
      <c r="Q13339" s="88">
        <f>F13339&amp;E13339&amp;G13339&amp;L13339</f>
        <v/>
      </c>
    </row>
    <row r="13340">
      <c r="B13340" s="128" t="n">
        <v>44204</v>
      </c>
      <c r="C13340" s="88">
        <f>TEXT(B13340,"aaa")</f>
        <v/>
      </c>
      <c r="D13340" s="94" t="n"/>
      <c r="E13340" s="88">
        <f>INDEX(매칭테이블!C:D,MATCH(RD!G13340,매칭테이블!D:D,0),1)</f>
        <v/>
      </c>
      <c r="F13340" s="94" t="inlineStr">
        <is>
          <t>카페24</t>
        </is>
      </c>
      <c r="G13340" s="94" t="inlineStr">
        <is>
          <t>어성초 78 수딩 크림</t>
        </is>
      </c>
      <c r="K13340" s="94" t="n">
        <v>9</v>
      </c>
      <c r="L13340" s="88" t="n">
        <v>201208</v>
      </c>
      <c r="M13340" s="88">
        <f>VLOOKUP($Q13340,매칭테이블!$F:$I,2,0)*K13340</f>
        <v/>
      </c>
      <c r="N13340" s="88">
        <f>M13340-M13340*VLOOKUP($Q13340,매칭테이블!$F:$I,3,0)</f>
        <v/>
      </c>
      <c r="O13340" s="88">
        <f>VLOOKUP($Q13340,매칭테이블!$F:$I,4,0)*K13340</f>
        <v/>
      </c>
      <c r="P13340" s="152">
        <f>M13340/1.1</f>
        <v/>
      </c>
      <c r="Q13340" s="88">
        <f>F13340&amp;E13340&amp;G13340&amp;L13340</f>
        <v/>
      </c>
    </row>
    <row r="13341">
      <c r="B13341" s="128" t="n">
        <v>44204</v>
      </c>
      <c r="C13341" s="88">
        <f>TEXT(B13341,"aaa")</f>
        <v/>
      </c>
      <c r="D13341" s="94" t="n"/>
      <c r="E13341" s="88">
        <f>INDEX(매칭테이블!C:D,MATCH(RD!G13341,매칭테이블!D:D,0),1)</f>
        <v/>
      </c>
      <c r="F13341" s="94" t="inlineStr">
        <is>
          <t>카페24</t>
        </is>
      </c>
      <c r="G13341" s="94" t="inlineStr">
        <is>
          <t>어성초 78 수딩 크림</t>
        </is>
      </c>
      <c r="K13341" s="94" t="n">
        <v>1</v>
      </c>
      <c r="L13341" s="88" t="n">
        <v>201208</v>
      </c>
      <c r="M13341" s="88">
        <f>VLOOKUP($Q13341,매칭테이블!$F:$I,2,0)*K13341</f>
        <v/>
      </c>
      <c r="N13341" s="88">
        <f>M13341-M13341*VLOOKUP($Q13341,매칭테이블!$F:$I,3,0)</f>
        <v/>
      </c>
      <c r="O13341" s="88">
        <f>VLOOKUP($Q13341,매칭테이블!$F:$I,4,0)*K13341</f>
        <v/>
      </c>
      <c r="P13341" s="152">
        <f>M13341/1.1</f>
        <v/>
      </c>
      <c r="Q13341" s="88">
        <f>F13341&amp;E13341&amp;G13341&amp;L13341</f>
        <v/>
      </c>
    </row>
    <row r="13342">
      <c r="B13342" s="128" t="n">
        <v>44204</v>
      </c>
      <c r="C13342" s="88">
        <f>TEXT(B13342,"aaa")</f>
        <v/>
      </c>
      <c r="D13342" s="94" t="n"/>
      <c r="E13342" s="88">
        <f>INDEX(매칭테이블!C:D,MATCH(RD!G13342,매칭테이블!D:D,0),1)</f>
        <v/>
      </c>
      <c r="F13342" s="94" t="inlineStr">
        <is>
          <t>카페24</t>
        </is>
      </c>
      <c r="G13342" s="94" t="inlineStr">
        <is>
          <t>어성초 80 수분 진정 앰플앰플=어성초 80 앰플 1개-15%off</t>
        </is>
      </c>
      <c r="K13342" s="94" t="n">
        <v>18</v>
      </c>
      <c r="L13342" s="88" t="n">
        <v>201208</v>
      </c>
      <c r="M13342" s="88">
        <f>VLOOKUP($Q13342,매칭테이블!$F:$I,2,0)*K13342</f>
        <v/>
      </c>
      <c r="N13342" s="88">
        <f>M13342-M13342*VLOOKUP($Q13342,매칭테이블!$F:$I,3,0)</f>
        <v/>
      </c>
      <c r="O13342" s="88">
        <f>VLOOKUP($Q13342,매칭테이블!$F:$I,4,0)*K13342</f>
        <v/>
      </c>
      <c r="P13342" s="152">
        <f>M13342/1.1</f>
        <v/>
      </c>
      <c r="Q13342" s="88">
        <f>F13342&amp;E13342&amp;G13342&amp;L13342</f>
        <v/>
      </c>
    </row>
    <row r="13343">
      <c r="B13343" s="128" t="n">
        <v>44204</v>
      </c>
      <c r="C13343" s="88">
        <f>TEXT(B13343,"aaa")</f>
        <v/>
      </c>
      <c r="D13343" s="94" t="n"/>
      <c r="E13343" s="88">
        <f>INDEX(매칭테이블!C:D,MATCH(RD!G13343,매칭테이블!D:D,0),1)</f>
        <v/>
      </c>
      <c r="F13343" s="94" t="inlineStr">
        <is>
          <t>카페24</t>
        </is>
      </c>
      <c r="G13343" s="94" t="inlineStr">
        <is>
          <t>어성초 80 수분 진정 앰플앰플=어성초 80 앰플 2개-27%off (무료배송)</t>
        </is>
      </c>
      <c r="K13343" s="94" t="n">
        <v>2</v>
      </c>
      <c r="L13343" s="88" t="n">
        <v>201208</v>
      </c>
      <c r="M13343" s="88">
        <f>VLOOKUP($Q13343,매칭테이블!$F:$I,2,0)*K13343</f>
        <v/>
      </c>
      <c r="N13343" s="88">
        <f>M13343-M13343*VLOOKUP($Q13343,매칭테이블!$F:$I,3,0)</f>
        <v/>
      </c>
      <c r="O13343" s="88">
        <f>VLOOKUP($Q13343,매칭테이블!$F:$I,4,0)*K13343</f>
        <v/>
      </c>
      <c r="P13343" s="152">
        <f>M13343/1.1</f>
        <v/>
      </c>
      <c r="Q13343" s="88">
        <f>F13343&amp;E13343&amp;G13343&amp;L13343</f>
        <v/>
      </c>
    </row>
    <row r="13344">
      <c r="B13344" s="128" t="n">
        <v>44204</v>
      </c>
      <c r="C13344" s="88">
        <f>TEXT(B13344,"aaa")</f>
        <v/>
      </c>
      <c r="D13344" s="94" t="n"/>
      <c r="E13344" s="88">
        <f>INDEX(매칭테이블!C:D,MATCH(RD!G13344,매칭테이블!D:D,0),1)</f>
        <v/>
      </c>
      <c r="F13344" s="94" t="inlineStr">
        <is>
          <t>카페24</t>
        </is>
      </c>
      <c r="G13344" s="94" t="inlineStr">
        <is>
          <t>어성초 80 수분 진정 앰플</t>
        </is>
      </c>
      <c r="K13344" s="94" t="n">
        <v>1</v>
      </c>
      <c r="L13344" s="88" t="n">
        <v>201208</v>
      </c>
      <c r="M13344" s="88">
        <f>VLOOKUP($Q13344,매칭테이블!$F:$I,2,0)*K13344</f>
        <v/>
      </c>
      <c r="N13344" s="88">
        <f>M13344-M13344*VLOOKUP($Q13344,매칭테이블!$F:$I,3,0)</f>
        <v/>
      </c>
      <c r="O13344" s="88">
        <f>VLOOKUP($Q13344,매칭테이블!$F:$I,4,0)*K13344</f>
        <v/>
      </c>
      <c r="P13344" s="152">
        <f>M13344/1.1</f>
        <v/>
      </c>
      <c r="Q13344" s="88">
        <f>F13344&amp;E13344&amp;G13344&amp;L13344</f>
        <v/>
      </c>
    </row>
    <row r="13345">
      <c r="B13345" s="128" t="n">
        <v>44204</v>
      </c>
      <c r="C13345" s="88">
        <f>TEXT(B13345,"aaa")</f>
        <v/>
      </c>
      <c r="D13345" s="94" t="n"/>
      <c r="E13345" s="88">
        <f>INDEX(매칭테이블!C:D,MATCH(RD!G13345,매칭테이블!D:D,0),1)</f>
        <v/>
      </c>
      <c r="F13345" s="94" t="inlineStr">
        <is>
          <t>카페24</t>
        </is>
      </c>
      <c r="G13345" s="94" t="inlineStr">
        <is>
          <t>어성초 아크네 바디워시옵션=어성초 아크네 바디워시 1개 -30% off</t>
        </is>
      </c>
      <c r="K13345" s="94" t="n">
        <v>7</v>
      </c>
      <c r="L13345" s="88" t="n">
        <v>201208</v>
      </c>
      <c r="M13345" s="88">
        <f>VLOOKUP($Q13345,매칭테이블!$F:$I,2,0)*K13345</f>
        <v/>
      </c>
      <c r="N13345" s="88">
        <f>M13345-M13345*VLOOKUP($Q13345,매칭테이블!$F:$I,3,0)</f>
        <v/>
      </c>
      <c r="O13345" s="88">
        <f>VLOOKUP($Q13345,매칭테이블!$F:$I,4,0)*K13345</f>
        <v/>
      </c>
      <c r="P13345" s="152">
        <f>M13345/1.1</f>
        <v/>
      </c>
      <c r="Q13345" s="88">
        <f>F13345&amp;E13345&amp;G13345&amp;L13345</f>
        <v/>
      </c>
    </row>
    <row r="13346">
      <c r="B13346" s="128" t="n">
        <v>44204</v>
      </c>
      <c r="C13346" s="88">
        <f>TEXT(B13346,"aaa")</f>
        <v/>
      </c>
      <c r="D13346" s="94" t="n"/>
      <c r="E13346" s="88">
        <f>INDEX(매칭테이블!C:D,MATCH(RD!G13346,매칭테이블!D:D,0),1)</f>
        <v/>
      </c>
      <c r="F13346" s="94" t="inlineStr">
        <is>
          <t>카페24</t>
        </is>
      </c>
      <c r="G13346" s="94" t="inlineStr">
        <is>
          <t>어성초 아크네 바디워시옵션=어성초 아크네 바디워시 2개 -35% off (무료배송)</t>
        </is>
      </c>
      <c r="K13346" s="94" t="n">
        <v>1</v>
      </c>
      <c r="L13346" s="88" t="n">
        <v>201208</v>
      </c>
      <c r="M13346" s="88">
        <f>VLOOKUP($Q13346,매칭테이블!$F:$I,2,0)*K13346</f>
        <v/>
      </c>
      <c r="N13346" s="88">
        <f>M13346-M13346*VLOOKUP($Q13346,매칭테이블!$F:$I,3,0)</f>
        <v/>
      </c>
      <c r="O13346" s="88">
        <f>VLOOKUP($Q13346,매칭테이블!$F:$I,4,0)*K13346</f>
        <v/>
      </c>
      <c r="P13346" s="152">
        <f>M13346/1.1</f>
        <v/>
      </c>
      <c r="Q13346" s="88">
        <f>F13346&amp;E13346&amp;G13346&amp;L13346</f>
        <v/>
      </c>
    </row>
    <row r="13347">
      <c r="B13347" s="128" t="n">
        <v>44204</v>
      </c>
      <c r="C13347" s="88">
        <f>TEXT(B13347,"aaa")</f>
        <v/>
      </c>
      <c r="D13347" s="94" t="n"/>
      <c r="E13347" s="88">
        <f>INDEX(매칭테이블!C:D,MATCH(RD!G13347,매칭테이블!D:D,0),1)</f>
        <v/>
      </c>
      <c r="F13347" s="94" t="inlineStr">
        <is>
          <t>카페24</t>
        </is>
      </c>
      <c r="G13347" s="94" t="inlineStr">
        <is>
          <t>어성초 약산성 클렌징폼클렌징폼=어성초 약산성 클렌징폼 1개 -19%off</t>
        </is>
      </c>
      <c r="K13347" s="94" t="n">
        <v>28</v>
      </c>
      <c r="L13347" s="88" t="n">
        <v>201208</v>
      </c>
      <c r="M13347" s="88">
        <f>VLOOKUP($Q13347,매칭테이블!$F:$I,2,0)*K13347</f>
        <v/>
      </c>
      <c r="N13347" s="88">
        <f>M13347-M13347*VLOOKUP($Q13347,매칭테이블!$F:$I,3,0)</f>
        <v/>
      </c>
      <c r="O13347" s="88">
        <f>VLOOKUP($Q13347,매칭테이블!$F:$I,4,0)*K13347</f>
        <v/>
      </c>
      <c r="P13347" s="152">
        <f>M13347/1.1</f>
        <v/>
      </c>
      <c r="Q13347" s="88">
        <f>F13347&amp;E13347&amp;G13347&amp;L13347</f>
        <v/>
      </c>
    </row>
    <row r="13348">
      <c r="B13348" s="128" t="n">
        <v>44204</v>
      </c>
      <c r="C13348" s="88">
        <f>TEXT(B13348,"aaa")</f>
        <v/>
      </c>
      <c r="D13348" s="94" t="n"/>
      <c r="E13348" s="88">
        <f>INDEX(매칭테이블!C:D,MATCH(RD!G13348,매칭테이블!D:D,0),1)</f>
        <v/>
      </c>
      <c r="F13348" s="94" t="inlineStr">
        <is>
          <t>카페24</t>
        </is>
      </c>
      <c r="G13348" s="94" t="inlineStr">
        <is>
          <t>어성초 약산성 클렌징폼클렌징폼=어성초 약산성 클렌징폼 2개 -25%off</t>
        </is>
      </c>
      <c r="K13348" s="94" t="n">
        <v>1</v>
      </c>
      <c r="L13348" s="88" t="n">
        <v>201208</v>
      </c>
      <c r="M13348" s="88">
        <f>VLOOKUP($Q13348,매칭테이블!$F:$I,2,0)*K13348</f>
        <v/>
      </c>
      <c r="N13348" s="88">
        <f>M13348-M13348*VLOOKUP($Q13348,매칭테이블!$F:$I,3,0)</f>
        <v/>
      </c>
      <c r="O13348" s="88">
        <f>VLOOKUP($Q13348,매칭테이블!$F:$I,4,0)*K13348</f>
        <v/>
      </c>
      <c r="P13348" s="152">
        <f>M13348/1.1</f>
        <v/>
      </c>
      <c r="Q13348" s="88">
        <f>F13348&amp;E13348&amp;G13348&amp;L13348</f>
        <v/>
      </c>
    </row>
    <row r="13349">
      <c r="B13349" s="128" t="n">
        <v>44204</v>
      </c>
      <c r="C13349" s="88">
        <f>TEXT(B13349,"aaa")</f>
        <v/>
      </c>
      <c r="D13349" s="94" t="n"/>
      <c r="E13349" s="88">
        <f>INDEX(매칭테이블!C:D,MATCH(RD!G13349,매칭테이블!D:D,0),1)</f>
        <v/>
      </c>
      <c r="F13349" s="94" t="inlineStr">
        <is>
          <t>카페24</t>
        </is>
      </c>
      <c r="G13349" s="94" t="inlineStr">
        <is>
          <t>어성초 약산성 클렌징폼클렌징폼=어성초 약산성 클렌징폼 3개 -31%off (무료배송)</t>
        </is>
      </c>
      <c r="K13349" s="94" t="n">
        <v>3</v>
      </c>
      <c r="L13349" s="88" t="n">
        <v>201208</v>
      </c>
      <c r="M13349" s="88">
        <f>VLOOKUP($Q13349,매칭테이블!$F:$I,2,0)*K13349</f>
        <v/>
      </c>
      <c r="N13349" s="88">
        <f>M13349-M13349*VLOOKUP($Q13349,매칭테이블!$F:$I,3,0)</f>
        <v/>
      </c>
      <c r="O13349" s="88">
        <f>VLOOKUP($Q13349,매칭테이블!$F:$I,4,0)*K13349</f>
        <v/>
      </c>
      <c r="P13349" s="152">
        <f>M13349/1.1</f>
        <v/>
      </c>
      <c r="Q13349" s="88">
        <f>F13349&amp;E13349&amp;G13349&amp;L13349</f>
        <v/>
      </c>
    </row>
    <row r="13350">
      <c r="B13350" s="128" t="n">
        <v>44204</v>
      </c>
      <c r="C13350" s="88">
        <f>TEXT(B13350,"aaa")</f>
        <v/>
      </c>
      <c r="D13350" s="94" t="n"/>
      <c r="E13350" s="88">
        <f>INDEX(매칭테이블!C:D,MATCH(RD!G13350,매칭테이블!D:D,0),1)</f>
        <v/>
      </c>
      <c r="F13350" s="94" t="inlineStr">
        <is>
          <t>카페24</t>
        </is>
      </c>
      <c r="G13350" s="94" t="inlineStr">
        <is>
          <t>어성초 크림마스크 나이트 솔루션옵션=어성초 크림마스크 나이트 솔루션 10장 (-50%)</t>
        </is>
      </c>
      <c r="K13350" s="94" t="n">
        <v>1</v>
      </c>
      <c r="L13350" s="88" t="n">
        <v>201208</v>
      </c>
      <c r="M13350" s="88">
        <f>VLOOKUP($Q13350,매칭테이블!$F:$I,2,0)*K13350</f>
        <v/>
      </c>
      <c r="N13350" s="88">
        <f>M13350-M13350*VLOOKUP($Q13350,매칭테이블!$F:$I,3,0)</f>
        <v/>
      </c>
      <c r="O13350" s="88">
        <f>VLOOKUP($Q13350,매칭테이블!$F:$I,4,0)*K13350</f>
        <v/>
      </c>
      <c r="P13350" s="152">
        <f>M13350/1.1</f>
        <v/>
      </c>
      <c r="Q13350" s="88">
        <f>F13350&amp;E13350&amp;G13350&amp;L13350</f>
        <v/>
      </c>
    </row>
    <row r="13351">
      <c r="B13351" s="128" t="n">
        <v>44204</v>
      </c>
      <c r="C13351" s="88">
        <f>TEXT(B13351,"aaa")</f>
        <v/>
      </c>
      <c r="D13351" s="94" t="n"/>
      <c r="E13351" s="88">
        <f>INDEX(매칭테이블!C:D,MATCH(RD!G13351,매칭테이블!D:D,0),1)</f>
        <v/>
      </c>
      <c r="F13351" s="94" t="inlineStr">
        <is>
          <t>카페24</t>
        </is>
      </c>
      <c r="G13351" s="94" t="inlineStr">
        <is>
          <t>청귤 비타 잡티 마스크옵션=청귤 비타 잡티 마스크 1장</t>
        </is>
      </c>
      <c r="K13351" s="94" t="n">
        <v>1</v>
      </c>
      <c r="L13351" s="88" t="n">
        <v>201208</v>
      </c>
      <c r="M13351" s="88">
        <f>VLOOKUP($Q13351,매칭테이블!$F:$I,2,0)*K13351</f>
        <v/>
      </c>
      <c r="N13351" s="88">
        <f>M13351-M13351*VLOOKUP($Q13351,매칭테이블!$F:$I,3,0)</f>
        <v/>
      </c>
      <c r="O13351" s="88">
        <f>VLOOKUP($Q13351,매칭테이블!$F:$I,4,0)*K13351</f>
        <v/>
      </c>
      <c r="P13351" s="152">
        <f>M13351/1.1</f>
        <v/>
      </c>
      <c r="Q13351" s="88">
        <f>F13351&amp;E13351&amp;G13351&amp;L13351</f>
        <v/>
      </c>
    </row>
    <row r="13352">
      <c r="B13352" s="128" t="n">
        <v>44204</v>
      </c>
      <c r="C13352" s="88">
        <f>TEXT(B13352,"aaa")</f>
        <v/>
      </c>
      <c r="D13352" s="94" t="n"/>
      <c r="E13352" s="88">
        <f>INDEX(매칭테이블!C:D,MATCH(RD!G13352,매칭테이블!D:D,0),1)</f>
        <v/>
      </c>
      <c r="F13352" s="94" t="inlineStr">
        <is>
          <t>카페24</t>
        </is>
      </c>
      <c r="G13352" s="94" t="inlineStr">
        <is>
          <t>청귤 비타 잡티 마스크옵션=청귤 비타 잡티 마스크 10장(50% off)</t>
        </is>
      </c>
      <c r="K13352" s="94" t="n">
        <v>2</v>
      </c>
      <c r="L13352" s="88" t="n">
        <v>201208</v>
      </c>
      <c r="M13352" s="88">
        <f>VLOOKUP($Q13352,매칭테이블!$F:$I,2,0)*K13352</f>
        <v/>
      </c>
      <c r="N13352" s="88">
        <f>M13352-M13352*VLOOKUP($Q13352,매칭테이블!$F:$I,3,0)</f>
        <v/>
      </c>
      <c r="O13352" s="88">
        <f>VLOOKUP($Q13352,매칭테이블!$F:$I,4,0)*K13352</f>
        <v/>
      </c>
      <c r="P13352" s="152">
        <f>M13352/1.1</f>
        <v/>
      </c>
      <c r="Q13352" s="88">
        <f>F13352&amp;E13352&amp;G13352&amp;L13352</f>
        <v/>
      </c>
    </row>
    <row r="13353">
      <c r="B13353" s="128" t="n">
        <v>44204</v>
      </c>
      <c r="C13353" s="88">
        <f>TEXT(B13353,"aaa")</f>
        <v/>
      </c>
      <c r="D13353" s="94" t="n"/>
      <c r="E13353" s="88">
        <f>INDEX(매칭테이블!C:D,MATCH(RD!G13353,매칭테이블!D:D,0),1)</f>
        <v/>
      </c>
      <c r="F13353" s="94" t="inlineStr">
        <is>
          <t>카페24</t>
        </is>
      </c>
      <c r="G13353" s="94" t="inlineStr">
        <is>
          <t>촉촉 스킨팩 화장솜</t>
        </is>
      </c>
      <c r="K13353" s="94" t="n">
        <v>26</v>
      </c>
      <c r="L13353" s="88" t="n">
        <v>201208</v>
      </c>
      <c r="M13353" s="88">
        <f>VLOOKUP($Q13353,매칭테이블!$F:$I,2,0)*K13353</f>
        <v/>
      </c>
      <c r="N13353" s="88">
        <f>M13353-M13353*VLOOKUP($Q13353,매칭테이블!$F:$I,3,0)</f>
        <v/>
      </c>
      <c r="O13353" s="88">
        <f>VLOOKUP($Q13353,매칭테이블!$F:$I,4,0)*K13353</f>
        <v/>
      </c>
      <c r="P13353" s="152">
        <f>M13353/1.1</f>
        <v/>
      </c>
      <c r="Q13353" s="88">
        <f>F13353&amp;E13353&amp;G13353&amp;L13353</f>
        <v/>
      </c>
    </row>
    <row r="13354">
      <c r="B13354" s="128" t="n">
        <v>44205</v>
      </c>
      <c r="C13354" s="88">
        <f>TEXT(B13354,"aaa")</f>
        <v/>
      </c>
      <c r="E13354" s="88">
        <f>INDEX(매칭테이블!C:D,MATCH(RD!G13354,매칭테이블!D:D,0),1)</f>
        <v/>
      </c>
      <c r="F13354" s="94" t="inlineStr">
        <is>
          <t>스타일쉐어</t>
        </is>
      </c>
      <c r="G13354" s="94" t="inlineStr">
        <is>
          <t>아누아 어성초 77 토너 250ml</t>
        </is>
      </c>
      <c r="K13354" s="94" t="n">
        <v>4</v>
      </c>
      <c r="L13354" s="88" t="n">
        <v>201208</v>
      </c>
      <c r="M13354" s="88">
        <f>VLOOKUP($Q13354,매칭테이블!$F:$I,2,0)*K13354</f>
        <v/>
      </c>
      <c r="N13354" s="88">
        <f>M13354-M13354*VLOOKUP($Q13354,매칭테이블!$F:$I,3,0)</f>
        <v/>
      </c>
      <c r="O13354" s="88">
        <f>VLOOKUP($Q13354,매칭테이블!$F:$I,4,0)*K13354</f>
        <v/>
      </c>
      <c r="P13354" s="152">
        <f>M13354/1.1</f>
        <v/>
      </c>
      <c r="Q13354" s="88">
        <f>F13354&amp;E13354&amp;G13354&amp;L13354</f>
        <v/>
      </c>
    </row>
    <row r="13355">
      <c r="B13355" s="128" t="n">
        <v>44205</v>
      </c>
      <c r="C13355" s="88">
        <f>TEXT(B13355,"aaa")</f>
        <v/>
      </c>
      <c r="D13355" s="94" t="n"/>
      <c r="E13355" s="88">
        <f>INDEX(매칭테이블!C:D,MATCH(RD!G13355,매칭테이블!D:D,0),1)</f>
        <v/>
      </c>
      <c r="F13355" s="94" t="inlineStr">
        <is>
          <t>카페24</t>
        </is>
      </c>
      <c r="G13355" s="94" t="inlineStr">
        <is>
          <t>5 제로 무기자차 선크림옵션=5제로 무기자차 선크림 1개-20% off</t>
        </is>
      </c>
      <c r="K13355" s="94" t="n">
        <v>5</v>
      </c>
      <c r="L13355" s="88" t="n">
        <v>201208</v>
      </c>
      <c r="M13355" s="88">
        <f>VLOOKUP($Q13355,매칭테이블!$F:$I,2,0)*K13355</f>
        <v/>
      </c>
      <c r="N13355" s="88">
        <f>M13355-M13355*VLOOKUP($Q13355,매칭테이블!$F:$I,3,0)</f>
        <v/>
      </c>
      <c r="O13355" s="88">
        <f>VLOOKUP($Q13355,매칭테이블!$F:$I,4,0)*K13355</f>
        <v/>
      </c>
      <c r="P13355" s="152">
        <f>M13355/1.1</f>
        <v/>
      </c>
      <c r="Q13355" s="88">
        <f>F13355&amp;E13355&amp;G13355&amp;L13355</f>
        <v/>
      </c>
    </row>
    <row r="13356">
      <c r="B13356" s="128" t="n">
        <v>44205</v>
      </c>
      <c r="C13356" s="88">
        <f>TEXT(B13356,"aaa")</f>
        <v/>
      </c>
      <c r="D13356" s="94" t="n"/>
      <c r="E13356" s="88">
        <f>INDEX(매칭테이블!C:D,MATCH(RD!G13356,매칭테이블!D:D,0),1)</f>
        <v/>
      </c>
      <c r="F13356" s="94" t="inlineStr">
        <is>
          <t>카페24</t>
        </is>
      </c>
      <c r="G13356" s="94" t="inlineStr">
        <is>
          <t>5 제로 무기자차 선크림옵션=5제로 무기자차 선크림 2개-30% off (무료배송)</t>
        </is>
      </c>
      <c r="K13356" s="94" t="n">
        <v>2</v>
      </c>
      <c r="L13356" s="88" t="n">
        <v>201208</v>
      </c>
      <c r="M13356" s="88">
        <f>VLOOKUP($Q13356,매칭테이블!$F:$I,2,0)*K13356</f>
        <v/>
      </c>
      <c r="N13356" s="88">
        <f>M13356-M13356*VLOOKUP($Q13356,매칭테이블!$F:$I,3,0)</f>
        <v/>
      </c>
      <c r="O13356" s="88">
        <f>VLOOKUP($Q13356,매칭테이블!$F:$I,4,0)*K13356</f>
        <v/>
      </c>
      <c r="P13356" s="152">
        <f>M13356/1.1</f>
        <v/>
      </c>
      <c r="Q13356" s="88">
        <f>F13356&amp;E13356&amp;G13356&amp;L13356</f>
        <v/>
      </c>
    </row>
    <row r="13357">
      <c r="B13357" s="128" t="n">
        <v>44205</v>
      </c>
      <c r="C13357" s="88">
        <f>TEXT(B13357,"aaa")</f>
        <v/>
      </c>
      <c r="D13357" s="94" t="n"/>
      <c r="E13357" s="88">
        <f>INDEX(매칭테이블!C:D,MATCH(RD!G13357,매칭테이블!D:D,0),1)</f>
        <v/>
      </c>
      <c r="F13357" s="94" t="inlineStr">
        <is>
          <t>카페24</t>
        </is>
      </c>
      <c r="G13357" s="94" t="inlineStr">
        <is>
          <t>[수분 보충 세트] 어성초 77 토너 + 어성초 70 로션옵션=어성초 77 토너 250ml + 어성초 70 로션 200ml -30%</t>
        </is>
      </c>
      <c r="K13357" s="94" t="n">
        <v>37</v>
      </c>
      <c r="L13357" s="88" t="n">
        <v>201208</v>
      </c>
      <c r="M13357" s="88">
        <f>VLOOKUP($Q13357,매칭테이블!$F:$I,2,0)*K13357</f>
        <v/>
      </c>
      <c r="N13357" s="88">
        <f>M13357-M13357*VLOOKUP($Q13357,매칭테이블!$F:$I,3,0)</f>
        <v/>
      </c>
      <c r="O13357" s="88">
        <f>VLOOKUP($Q13357,매칭테이블!$F:$I,4,0)*K13357</f>
        <v/>
      </c>
      <c r="P13357" s="152">
        <f>M13357/1.1</f>
        <v/>
      </c>
      <c r="Q13357" s="88">
        <f>F13357&amp;E13357&amp;G13357&amp;L13357</f>
        <v/>
      </c>
    </row>
    <row r="13358">
      <c r="B13358" s="128" t="n">
        <v>44205</v>
      </c>
      <c r="C13358" s="88">
        <f>TEXT(B13358,"aaa")</f>
        <v/>
      </c>
      <c r="D13358" s="94" t="n"/>
      <c r="E13358" s="88">
        <f>INDEX(매칭테이블!C:D,MATCH(RD!G13358,매칭테이블!D:D,0),1)</f>
        <v/>
      </c>
      <c r="F13358" s="94" t="inlineStr">
        <is>
          <t>카페24</t>
        </is>
      </c>
      <c r="G13358" s="94" t="inlineStr">
        <is>
          <t>[어성초 진정 패키지 세트] 대용량 토너 + 앰플 + 수딩 크림 + 마스크팩 10장</t>
        </is>
      </c>
      <c r="K13358" s="94" t="n">
        <v>2</v>
      </c>
      <c r="L13358" s="88" t="n">
        <v>201208</v>
      </c>
      <c r="M13358" s="88">
        <f>VLOOKUP($Q13358,매칭테이블!$F:$I,2,0)*K13358</f>
        <v/>
      </c>
      <c r="N13358" s="88">
        <f>M13358-M13358*VLOOKUP($Q13358,매칭테이블!$F:$I,3,0)</f>
        <v/>
      </c>
      <c r="O13358" s="88">
        <f>VLOOKUP($Q13358,매칭테이블!$F:$I,4,0)*K13358</f>
        <v/>
      </c>
      <c r="P13358" s="152">
        <f>M13358/1.1</f>
        <v/>
      </c>
      <c r="Q13358" s="88">
        <f>F13358&amp;E13358&amp;G13358&amp;L13358</f>
        <v/>
      </c>
    </row>
    <row r="13359">
      <c r="B13359" s="128" t="n">
        <v>44205</v>
      </c>
      <c r="C13359" s="88">
        <f>TEXT(B13359,"aaa")</f>
        <v/>
      </c>
      <c r="D13359" s="94" t="n"/>
      <c r="E13359" s="88">
        <f>INDEX(매칭테이블!C:D,MATCH(RD!G13359,매칭테이블!D:D,0),1)</f>
        <v/>
      </c>
      <c r="F13359" s="94" t="inlineStr">
        <is>
          <t>카페24</t>
        </is>
      </c>
      <c r="G13359" s="94" t="inlineStr">
        <is>
          <t>대용량 어성초 77 수딩 토너 500ml</t>
        </is>
      </c>
      <c r="K13359" s="94" t="n">
        <v>29</v>
      </c>
      <c r="L13359" s="88" t="n">
        <v>201208</v>
      </c>
      <c r="M13359" s="88">
        <f>VLOOKUP($Q13359,매칭테이블!$F:$I,2,0)*K13359</f>
        <v/>
      </c>
      <c r="N13359" s="88">
        <f>M13359-M13359*VLOOKUP($Q13359,매칭테이블!$F:$I,3,0)</f>
        <v/>
      </c>
      <c r="O13359" s="88">
        <f>VLOOKUP($Q13359,매칭테이블!$F:$I,4,0)*K13359</f>
        <v/>
      </c>
      <c r="P13359" s="152">
        <f>M13359/1.1</f>
        <v/>
      </c>
      <c r="Q13359" s="88">
        <f>F13359&amp;E13359&amp;G13359&amp;L13359</f>
        <v/>
      </c>
    </row>
    <row r="13360">
      <c r="B13360" s="128" t="n">
        <v>44205</v>
      </c>
      <c r="C13360" s="88">
        <f>TEXT(B13360,"aaa")</f>
        <v/>
      </c>
      <c r="D13360" s="94" t="n"/>
      <c r="E13360" s="88">
        <f>INDEX(매칭테이블!C:D,MATCH(RD!G13360,매칭테이블!D:D,0),1)</f>
        <v/>
      </c>
      <c r="F13360" s="94" t="inlineStr">
        <is>
          <t>카페24</t>
        </is>
      </c>
      <c r="G13360" s="94" t="inlineStr">
        <is>
          <t>대용량 어성초 77 토너 500ml</t>
        </is>
      </c>
      <c r="K13360" s="94" t="n">
        <v>1</v>
      </c>
      <c r="L13360" s="88" t="n">
        <v>201208</v>
      </c>
      <c r="M13360" s="88">
        <f>VLOOKUP($Q13360,매칭테이블!$F:$I,2,0)*K13360</f>
        <v/>
      </c>
      <c r="N13360" s="88">
        <f>M13360-M13360*VLOOKUP($Q13360,매칭테이블!$F:$I,3,0)</f>
        <v/>
      </c>
      <c r="O13360" s="88">
        <f>VLOOKUP($Q13360,매칭테이블!$F:$I,4,0)*K13360</f>
        <v/>
      </c>
      <c r="P13360" s="152">
        <f>M13360/1.1</f>
        <v/>
      </c>
      <c r="Q13360" s="88">
        <f>F13360&amp;E13360&amp;G13360&amp;L13360</f>
        <v/>
      </c>
    </row>
    <row r="13361">
      <c r="B13361" s="128" t="n">
        <v>44205</v>
      </c>
      <c r="C13361" s="88">
        <f>TEXT(B13361,"aaa")</f>
        <v/>
      </c>
      <c r="D13361" s="94" t="n"/>
      <c r="E13361" s="88">
        <f>INDEX(매칭테이블!C:D,MATCH(RD!G13361,매칭테이블!D:D,0),1)</f>
        <v/>
      </c>
      <c r="F13361" s="94" t="inlineStr">
        <is>
          <t>카페24</t>
        </is>
      </c>
      <c r="G13361" s="94" t="inlineStr">
        <is>
          <t>아누아 어성초 77 수딩 토너토너(필수)=어성초 77 토너 1개-20% off</t>
        </is>
      </c>
      <c r="K13361" s="94" t="n">
        <v>3</v>
      </c>
      <c r="L13361" s="88" t="n">
        <v>201208</v>
      </c>
      <c r="M13361" s="88">
        <f>VLOOKUP($Q13361,매칭테이블!$F:$I,2,0)*K13361</f>
        <v/>
      </c>
      <c r="N13361" s="88">
        <f>M13361-M13361*VLOOKUP($Q13361,매칭테이블!$F:$I,3,0)</f>
        <v/>
      </c>
      <c r="O13361" s="88">
        <f>VLOOKUP($Q13361,매칭테이블!$F:$I,4,0)*K13361</f>
        <v/>
      </c>
      <c r="P13361" s="152">
        <f>M13361/1.1</f>
        <v/>
      </c>
      <c r="Q13361" s="88">
        <f>F13361&amp;E13361&amp;G13361&amp;L13361</f>
        <v/>
      </c>
    </row>
    <row r="13362">
      <c r="B13362" s="128" t="n">
        <v>44205</v>
      </c>
      <c r="C13362" s="88">
        <f>TEXT(B13362,"aaa")</f>
        <v/>
      </c>
      <c r="D13362" s="94" t="n"/>
      <c r="E13362" s="88">
        <f>INDEX(매칭테이블!C:D,MATCH(RD!G13362,매칭테이블!D:D,0),1)</f>
        <v/>
      </c>
      <c r="F13362" s="94" t="inlineStr">
        <is>
          <t>카페24</t>
        </is>
      </c>
      <c r="G13362" s="94" t="inlineStr">
        <is>
          <t>아누아 어성초 77 수딩 토너토너(필수)=어성초 77 토너 2개-30% off (무료배송)</t>
        </is>
      </c>
      <c r="K13362" s="94" t="n">
        <v>1</v>
      </c>
      <c r="L13362" s="88" t="n">
        <v>201208</v>
      </c>
      <c r="M13362" s="88">
        <f>VLOOKUP($Q13362,매칭테이블!$F:$I,2,0)*K13362</f>
        <v/>
      </c>
      <c r="N13362" s="88">
        <f>M13362-M13362*VLOOKUP($Q13362,매칭테이블!$F:$I,3,0)</f>
        <v/>
      </c>
      <c r="O13362" s="88">
        <f>VLOOKUP($Q13362,매칭테이블!$F:$I,4,0)*K13362</f>
        <v/>
      </c>
      <c r="P13362" s="152">
        <f>M13362/1.1</f>
        <v/>
      </c>
      <c r="Q13362" s="88">
        <f>F13362&amp;E13362&amp;G13362&amp;L13362</f>
        <v/>
      </c>
    </row>
    <row r="13363">
      <c r="B13363" s="128" t="n">
        <v>44205</v>
      </c>
      <c r="C13363" s="88">
        <f>TEXT(B13363,"aaa")</f>
        <v/>
      </c>
      <c r="D13363" s="94" t="n"/>
      <c r="E13363" s="88">
        <f>INDEX(매칭테이블!C:D,MATCH(RD!G13363,매칭테이블!D:D,0),1)</f>
        <v/>
      </c>
      <c r="F13363" s="94" t="inlineStr">
        <is>
          <t>카페24</t>
        </is>
      </c>
      <c r="G13363" s="94" t="inlineStr">
        <is>
          <t>아누아 어성초 77 수딩 토너화장솜(선택)=촉촉 스킨팩 화장솜</t>
        </is>
      </c>
      <c r="K13363" s="94" t="n">
        <v>2</v>
      </c>
      <c r="L13363" s="88" t="n">
        <v>201208</v>
      </c>
      <c r="M13363" s="88">
        <f>VLOOKUP($Q13363,매칭테이블!$F:$I,2,0)*K13363</f>
        <v/>
      </c>
      <c r="N13363" s="88">
        <f>M13363-M13363*VLOOKUP($Q13363,매칭테이블!$F:$I,3,0)</f>
        <v/>
      </c>
      <c r="O13363" s="88">
        <f>VLOOKUP($Q13363,매칭테이블!$F:$I,4,0)*K13363</f>
        <v/>
      </c>
      <c r="P13363" s="152">
        <f>M13363/1.1</f>
        <v/>
      </c>
      <c r="Q13363" s="88">
        <f>F13363&amp;E13363&amp;G13363&amp;L13363</f>
        <v/>
      </c>
    </row>
    <row r="13364">
      <c r="B13364" s="128" t="n">
        <v>44205</v>
      </c>
      <c r="C13364" s="88">
        <f>TEXT(B13364,"aaa")</f>
        <v/>
      </c>
      <c r="D13364" s="94" t="n"/>
      <c r="E13364" s="88">
        <f>INDEX(매칭테이블!C:D,MATCH(RD!G13364,매칭테이블!D:D,0),1)</f>
        <v/>
      </c>
      <c r="F13364" s="94" t="inlineStr">
        <is>
          <t>카페24</t>
        </is>
      </c>
      <c r="G13364" s="94" t="inlineStr">
        <is>
          <t>어성초 70 데일리 릴리프 로션로션=어성초 70 데일리 릴리프 로션 1개 -20% off</t>
        </is>
      </c>
      <c r="K13364" s="94" t="n">
        <v>9</v>
      </c>
      <c r="L13364" s="88" t="n">
        <v>201208</v>
      </c>
      <c r="M13364" s="88">
        <f>VLOOKUP($Q13364,매칭테이블!$F:$I,2,0)*K13364</f>
        <v/>
      </c>
      <c r="N13364" s="88">
        <f>M13364-M13364*VLOOKUP($Q13364,매칭테이블!$F:$I,3,0)</f>
        <v/>
      </c>
      <c r="O13364" s="88">
        <f>VLOOKUP($Q13364,매칭테이블!$F:$I,4,0)*K13364</f>
        <v/>
      </c>
      <c r="P13364" s="152">
        <f>M13364/1.1</f>
        <v/>
      </c>
      <c r="Q13364" s="88">
        <f>F13364&amp;E13364&amp;G13364&amp;L13364</f>
        <v/>
      </c>
    </row>
    <row r="13365">
      <c r="B13365" s="128" t="n">
        <v>44205</v>
      </c>
      <c r="C13365" s="88">
        <f>TEXT(B13365,"aaa")</f>
        <v/>
      </c>
      <c r="D13365" s="94" t="n"/>
      <c r="E13365" s="88">
        <f>INDEX(매칭테이블!C:D,MATCH(RD!G13365,매칭테이블!D:D,0),1)</f>
        <v/>
      </c>
      <c r="F13365" s="94" t="inlineStr">
        <is>
          <t>카페24</t>
        </is>
      </c>
      <c r="G13365" s="94" t="inlineStr">
        <is>
          <t>어성초 70 데일리 릴리프 로션로션=어성초 70 데일리 릴리프 로션 2개 -30% off</t>
        </is>
      </c>
      <c r="K13365" s="94" t="n">
        <v>1</v>
      </c>
      <c r="L13365" s="88" t="n">
        <v>201208</v>
      </c>
      <c r="M13365" s="88">
        <f>VLOOKUP($Q13365,매칭테이블!$F:$I,2,0)*K13365</f>
        <v/>
      </c>
      <c r="N13365" s="88">
        <f>M13365-M13365*VLOOKUP($Q13365,매칭테이블!$F:$I,3,0)</f>
        <v/>
      </c>
      <c r="O13365" s="88">
        <f>VLOOKUP($Q13365,매칭테이블!$F:$I,4,0)*K13365</f>
        <v/>
      </c>
      <c r="P13365" s="152">
        <f>M13365/1.1</f>
        <v/>
      </c>
      <c r="Q13365" s="88">
        <f>F13365&amp;E13365&amp;G13365&amp;L13365</f>
        <v/>
      </c>
    </row>
    <row r="13366">
      <c r="B13366" s="128" t="n">
        <v>44205</v>
      </c>
      <c r="C13366" s="88">
        <f>TEXT(B13366,"aaa")</f>
        <v/>
      </c>
      <c r="D13366" s="94" t="n"/>
      <c r="E13366" s="88">
        <f>INDEX(매칭테이블!C:D,MATCH(RD!G13366,매칭테이블!D:D,0),1)</f>
        <v/>
      </c>
      <c r="F13366" s="94" t="inlineStr">
        <is>
          <t>카페24</t>
        </is>
      </c>
      <c r="G13366" s="94" t="inlineStr">
        <is>
          <t>어성초 70 데일리 릴리프 로션로션=어성초 77토너 + 어성초 70 로션 수분 보충 세트 -30% off</t>
        </is>
      </c>
      <c r="K13366" s="94" t="n">
        <v>2</v>
      </c>
      <c r="L13366" s="88" t="n">
        <v>201208</v>
      </c>
      <c r="M13366" s="88">
        <f>VLOOKUP($Q13366,매칭테이블!$F:$I,2,0)*K13366</f>
        <v/>
      </c>
      <c r="N13366" s="88">
        <f>M13366-M13366*VLOOKUP($Q13366,매칭테이블!$F:$I,3,0)</f>
        <v/>
      </c>
      <c r="O13366" s="88">
        <f>VLOOKUP($Q13366,매칭테이블!$F:$I,4,0)*K13366</f>
        <v/>
      </c>
      <c r="P13366" s="152">
        <f>M13366/1.1</f>
        <v/>
      </c>
      <c r="Q13366" s="88">
        <f>F13366&amp;E13366&amp;G13366&amp;L13366</f>
        <v/>
      </c>
    </row>
    <row r="13367">
      <c r="B13367" s="128" t="n">
        <v>44205</v>
      </c>
      <c r="C13367" s="88">
        <f>TEXT(B13367,"aaa")</f>
        <v/>
      </c>
      <c r="D13367" s="94" t="n"/>
      <c r="E13367" s="88">
        <f>INDEX(매칭테이블!C:D,MATCH(RD!G13367,매칭테이블!D:D,0),1)</f>
        <v/>
      </c>
      <c r="F13367" s="94" t="inlineStr">
        <is>
          <t>카페24</t>
        </is>
      </c>
      <c r="G13367" s="94" t="inlineStr">
        <is>
          <t>어성초 70 머드 크림 마스크옵션=어성초 70 머드 크림 마스크-20% off</t>
        </is>
      </c>
      <c r="K13367" s="94" t="n">
        <v>5</v>
      </c>
      <c r="L13367" s="88" t="n">
        <v>201208</v>
      </c>
      <c r="M13367" s="88">
        <f>VLOOKUP($Q13367,매칭테이블!$F:$I,2,0)*K13367</f>
        <v/>
      </c>
      <c r="N13367" s="88">
        <f>M13367-M13367*VLOOKUP($Q13367,매칭테이블!$F:$I,3,0)</f>
        <v/>
      </c>
      <c r="O13367" s="88">
        <f>VLOOKUP($Q13367,매칭테이블!$F:$I,4,0)*K13367</f>
        <v/>
      </c>
      <c r="P13367" s="152">
        <f>M13367/1.1</f>
        <v/>
      </c>
      <c r="Q13367" s="88">
        <f>F13367&amp;E13367&amp;G13367&amp;L13367</f>
        <v/>
      </c>
    </row>
    <row r="13368">
      <c r="B13368" s="128" t="n">
        <v>44205</v>
      </c>
      <c r="C13368" s="88">
        <f>TEXT(B13368,"aaa")</f>
        <v/>
      </c>
      <c r="D13368" s="94" t="n"/>
      <c r="E13368" s="88">
        <f>INDEX(매칭테이블!C:D,MATCH(RD!G13368,매칭테이블!D:D,0),1)</f>
        <v/>
      </c>
      <c r="F13368" s="94" t="inlineStr">
        <is>
          <t>카페24</t>
        </is>
      </c>
      <c r="G13368" s="94" t="inlineStr">
        <is>
          <t>어성초 70 머드 크림 마스크옵션=어성초 70 머드 크림 마스크 2개-30% off (무료배송)</t>
        </is>
      </c>
      <c r="K13368" s="94" t="n">
        <v>1</v>
      </c>
      <c r="L13368" s="88" t="n">
        <v>201208</v>
      </c>
      <c r="M13368" s="88">
        <f>VLOOKUP($Q13368,매칭테이블!$F:$I,2,0)*K13368</f>
        <v/>
      </c>
      <c r="N13368" s="88">
        <f>M13368-M13368*VLOOKUP($Q13368,매칭테이블!$F:$I,3,0)</f>
        <v/>
      </c>
      <c r="O13368" s="88">
        <f>VLOOKUP($Q13368,매칭테이블!$F:$I,4,0)*K13368</f>
        <v/>
      </c>
      <c r="P13368" s="152">
        <f>M13368/1.1</f>
        <v/>
      </c>
      <c r="Q13368" s="88">
        <f>F13368&amp;E13368&amp;G13368&amp;L13368</f>
        <v/>
      </c>
    </row>
    <row r="13369">
      <c r="B13369" s="128" t="n">
        <v>44205</v>
      </c>
      <c r="C13369" s="88">
        <f>TEXT(B13369,"aaa")</f>
        <v/>
      </c>
      <c r="D13369" s="94" t="n"/>
      <c r="E13369" s="88">
        <f>INDEX(매칭테이블!C:D,MATCH(RD!G13369,매칭테이블!D:D,0),1)</f>
        <v/>
      </c>
      <c r="F13369" s="94" t="inlineStr">
        <is>
          <t>카페24</t>
        </is>
      </c>
      <c r="G13369" s="94" t="inlineStr">
        <is>
          <t>어성초 70 인텐스 카밍 크림크림=어성초 70 인텐스 카밍 크림 1개 (-20%)</t>
        </is>
      </c>
      <c r="K13369" s="94" t="n">
        <v>3</v>
      </c>
      <c r="L13369" s="88" t="n">
        <v>201208</v>
      </c>
      <c r="M13369" s="88">
        <f>VLOOKUP($Q13369,매칭테이블!$F:$I,2,0)*K13369</f>
        <v/>
      </c>
      <c r="N13369" s="88">
        <f>M13369-M13369*VLOOKUP($Q13369,매칭테이블!$F:$I,3,0)</f>
        <v/>
      </c>
      <c r="O13369" s="88">
        <f>VLOOKUP($Q13369,매칭테이블!$F:$I,4,0)*K13369</f>
        <v/>
      </c>
      <c r="P13369" s="152">
        <f>M13369/1.1</f>
        <v/>
      </c>
      <c r="Q13369" s="88">
        <f>F13369&amp;E13369&amp;G13369&amp;L13369</f>
        <v/>
      </c>
    </row>
    <row r="13370">
      <c r="B13370" s="128" t="n">
        <v>44205</v>
      </c>
      <c r="C13370" s="88">
        <f>TEXT(B13370,"aaa")</f>
        <v/>
      </c>
      <c r="D13370" s="94" t="n"/>
      <c r="E13370" s="88">
        <f>INDEX(매칭테이블!C:D,MATCH(RD!G13370,매칭테이블!D:D,0),1)</f>
        <v/>
      </c>
      <c r="F13370" s="94" t="inlineStr">
        <is>
          <t>카페24</t>
        </is>
      </c>
      <c r="G13370" s="94" t="inlineStr">
        <is>
          <t>어성초 70 인텐스 카밍 크림크림=어성초 70 인텐스 카밍 크림 2개 (-30%)</t>
        </is>
      </c>
      <c r="K13370" s="94" t="n">
        <v>1</v>
      </c>
      <c r="L13370" s="88" t="n">
        <v>201208</v>
      </c>
      <c r="M13370" s="88">
        <f>VLOOKUP($Q13370,매칭테이블!$F:$I,2,0)*K13370</f>
        <v/>
      </c>
      <c r="N13370" s="88">
        <f>M13370-M13370*VLOOKUP($Q13370,매칭테이블!$F:$I,3,0)</f>
        <v/>
      </c>
      <c r="O13370" s="88">
        <f>VLOOKUP($Q13370,매칭테이블!$F:$I,4,0)*K13370</f>
        <v/>
      </c>
      <c r="P13370" s="152">
        <f>M13370/1.1</f>
        <v/>
      </c>
      <c r="Q13370" s="88">
        <f>F13370&amp;E13370&amp;G13370&amp;L13370</f>
        <v/>
      </c>
    </row>
    <row r="13371">
      <c r="B13371" s="128" t="n">
        <v>44205</v>
      </c>
      <c r="C13371" s="88">
        <f>TEXT(B13371,"aaa")</f>
        <v/>
      </c>
      <c r="D13371" s="94" t="n"/>
      <c r="E13371" s="88">
        <f>INDEX(매칭테이블!C:D,MATCH(RD!G13371,매칭테이블!D:D,0),1)</f>
        <v/>
      </c>
      <c r="F13371" s="94" t="inlineStr">
        <is>
          <t>카페24</t>
        </is>
      </c>
      <c r="G13371" s="94" t="inlineStr">
        <is>
          <t>어성초 70 인텐스 카밍 크림크림=어성초 토너 250ml + 카밍 크림 50ml (-30%)</t>
        </is>
      </c>
      <c r="K13371" s="94" t="n">
        <v>1</v>
      </c>
      <c r="L13371" s="88" t="n">
        <v>201208</v>
      </c>
      <c r="M13371" s="88">
        <f>VLOOKUP($Q13371,매칭테이블!$F:$I,2,0)*K13371</f>
        <v/>
      </c>
      <c r="N13371" s="88">
        <f>M13371-M13371*VLOOKUP($Q13371,매칭테이블!$F:$I,3,0)</f>
        <v/>
      </c>
      <c r="O13371" s="88">
        <f>VLOOKUP($Q13371,매칭테이블!$F:$I,4,0)*K13371</f>
        <v/>
      </c>
      <c r="P13371" s="152">
        <f>M13371/1.1</f>
        <v/>
      </c>
      <c r="Q13371" s="88">
        <f>F13371&amp;E13371&amp;G13371&amp;L13371</f>
        <v/>
      </c>
    </row>
    <row r="13372">
      <c r="B13372" s="128" t="n">
        <v>44205</v>
      </c>
      <c r="C13372" s="88">
        <f>TEXT(B13372,"aaa")</f>
        <v/>
      </c>
      <c r="D13372" s="94" t="n"/>
      <c r="E13372" s="88">
        <f>INDEX(매칭테이블!C:D,MATCH(RD!G13372,매칭테이블!D:D,0),1)</f>
        <v/>
      </c>
      <c r="F13372" s="94" t="inlineStr">
        <is>
          <t>카페24</t>
        </is>
      </c>
      <c r="G13372" s="94" t="inlineStr">
        <is>
          <t>어성초 77 수딩 토너토너(필수)=어성초 77 토너 1개-20% off</t>
        </is>
      </c>
      <c r="K13372" s="94" t="n">
        <v>2</v>
      </c>
      <c r="L13372" s="88" t="n">
        <v>201208</v>
      </c>
      <c r="M13372" s="88">
        <f>VLOOKUP($Q13372,매칭테이블!$F:$I,2,0)*K13372</f>
        <v/>
      </c>
      <c r="N13372" s="88">
        <f>M13372-M13372*VLOOKUP($Q13372,매칭테이블!$F:$I,3,0)</f>
        <v/>
      </c>
      <c r="O13372" s="88">
        <f>VLOOKUP($Q13372,매칭테이블!$F:$I,4,0)*K13372</f>
        <v/>
      </c>
      <c r="P13372" s="152">
        <f>M13372/1.1</f>
        <v/>
      </c>
      <c r="Q13372" s="88">
        <f>F13372&amp;E13372&amp;G13372&amp;L13372</f>
        <v/>
      </c>
    </row>
    <row r="13373">
      <c r="B13373" s="128" t="n">
        <v>44205</v>
      </c>
      <c r="C13373" s="88">
        <f>TEXT(B13373,"aaa")</f>
        <v/>
      </c>
      <c r="D13373" s="94" t="n"/>
      <c r="E13373" s="88">
        <f>INDEX(매칭테이블!C:D,MATCH(RD!G13373,매칭테이블!D:D,0),1)</f>
        <v/>
      </c>
      <c r="F13373" s="94" t="inlineStr">
        <is>
          <t>카페24</t>
        </is>
      </c>
      <c r="G13373" s="94" t="inlineStr">
        <is>
          <t>어성초 77 수딩 토너토너(필수)=어성초77토너1개 + 어성초77패드1개 -30% off (무료배송)</t>
        </is>
      </c>
      <c r="K13373" s="94" t="n">
        <v>1</v>
      </c>
      <c r="L13373" s="88" t="n">
        <v>201208</v>
      </c>
      <c r="M13373" s="88">
        <f>VLOOKUP($Q13373,매칭테이블!$F:$I,2,0)*K13373</f>
        <v/>
      </c>
      <c r="N13373" s="88">
        <f>M13373-M13373*VLOOKUP($Q13373,매칭테이블!$F:$I,3,0)</f>
        <v/>
      </c>
      <c r="O13373" s="88">
        <f>VLOOKUP($Q13373,매칭테이블!$F:$I,4,0)*K13373</f>
        <v/>
      </c>
      <c r="P13373" s="152">
        <f>M13373/1.1</f>
        <v/>
      </c>
      <c r="Q13373" s="88">
        <f>F13373&amp;E13373&amp;G13373&amp;L13373</f>
        <v/>
      </c>
    </row>
    <row r="13374">
      <c r="B13374" s="128" t="n">
        <v>44205</v>
      </c>
      <c r="C13374" s="88">
        <f>TEXT(B13374,"aaa")</f>
        <v/>
      </c>
      <c r="D13374" s="94" t="n"/>
      <c r="E13374" s="88">
        <f>INDEX(매칭테이블!C:D,MATCH(RD!G13374,매칭테이블!D:D,0),1)</f>
        <v/>
      </c>
      <c r="F13374" s="94" t="inlineStr">
        <is>
          <t>카페24</t>
        </is>
      </c>
      <c r="G13374" s="94" t="inlineStr">
        <is>
          <t>어성초 77 수딩 토너 (클리어패드 세트 구매시 1/11 순차발송 예정)옵션=어성초 77 토너 1개-20% off</t>
        </is>
      </c>
      <c r="K13374" s="94" t="n">
        <v>65</v>
      </c>
      <c r="L13374" s="88" t="n">
        <v>201208</v>
      </c>
      <c r="M13374" s="88">
        <f>VLOOKUP($Q13374,매칭테이블!$F:$I,2,0)*K13374</f>
        <v/>
      </c>
      <c r="N13374" s="88">
        <f>M13374-M13374*VLOOKUP($Q13374,매칭테이블!$F:$I,3,0)</f>
        <v/>
      </c>
      <c r="O13374" s="88">
        <f>VLOOKUP($Q13374,매칭테이블!$F:$I,4,0)*K13374</f>
        <v/>
      </c>
      <c r="P13374" s="152">
        <f>M13374/1.1</f>
        <v/>
      </c>
      <c r="Q13374" s="88">
        <f>F13374&amp;E13374&amp;G13374&amp;L13374</f>
        <v/>
      </c>
    </row>
    <row r="13375">
      <c r="B13375" s="128" t="n">
        <v>44205</v>
      </c>
      <c r="C13375" s="88">
        <f>TEXT(B13375,"aaa")</f>
        <v/>
      </c>
      <c r="D13375" s="94" t="n"/>
      <c r="E13375" s="88">
        <f>INDEX(매칭테이블!C:D,MATCH(RD!G13375,매칭테이블!D:D,0),1)</f>
        <v/>
      </c>
      <c r="F13375" s="94" t="inlineStr">
        <is>
          <t>카페24</t>
        </is>
      </c>
      <c r="G13375" s="94" t="inlineStr">
        <is>
          <t>어성초 77 수딩 토너 (클리어패드 세트 구매시 1/11 순차발송 예정)옵션=어성초 77 토너 2개-30% off (무료배송)</t>
        </is>
      </c>
      <c r="K13375" s="94" t="n">
        <v>46</v>
      </c>
      <c r="L13375" s="88" t="n">
        <v>201208</v>
      </c>
      <c r="M13375" s="88">
        <f>VLOOKUP($Q13375,매칭테이블!$F:$I,2,0)*K13375</f>
        <v/>
      </c>
      <c r="N13375" s="88">
        <f>M13375-M13375*VLOOKUP($Q13375,매칭테이블!$F:$I,3,0)</f>
        <v/>
      </c>
      <c r="O13375" s="88">
        <f>VLOOKUP($Q13375,매칭테이블!$F:$I,4,0)*K13375</f>
        <v/>
      </c>
      <c r="P13375" s="152">
        <f>M13375/1.1</f>
        <v/>
      </c>
      <c r="Q13375" s="88">
        <f>F13375&amp;E13375&amp;G13375&amp;L13375</f>
        <v/>
      </c>
    </row>
    <row r="13376">
      <c r="B13376" s="128" t="n">
        <v>44205</v>
      </c>
      <c r="C13376" s="88">
        <f>TEXT(B13376,"aaa")</f>
        <v/>
      </c>
      <c r="D13376" s="94" t="n"/>
      <c r="E13376" s="88">
        <f>INDEX(매칭테이블!C:D,MATCH(RD!G13376,매칭테이블!D:D,0),1)</f>
        <v/>
      </c>
      <c r="F13376" s="94" t="inlineStr">
        <is>
          <t>카페24</t>
        </is>
      </c>
      <c r="G13376" s="94" t="inlineStr">
        <is>
          <t>어성초 77 수딩 토너 (클리어패드 세트 구매시 1/11 순차발송 예정)옵션=어성초 77토너1개 + 어성초77패드1개 -30% off (무료배송)</t>
        </is>
      </c>
      <c r="K13376" s="94" t="n">
        <v>31</v>
      </c>
      <c r="L13376" s="88" t="n">
        <v>201208</v>
      </c>
      <c r="M13376" s="88">
        <f>VLOOKUP($Q13376,매칭테이블!$F:$I,2,0)*K13376</f>
        <v/>
      </c>
      <c r="N13376" s="88">
        <f>M13376-M13376*VLOOKUP($Q13376,매칭테이블!$F:$I,3,0)</f>
        <v/>
      </c>
      <c r="O13376" s="88">
        <f>VLOOKUP($Q13376,매칭테이블!$F:$I,4,0)*K13376</f>
        <v/>
      </c>
      <c r="P13376" s="152">
        <f>M13376/1.1</f>
        <v/>
      </c>
      <c r="Q13376" s="88">
        <f>F13376&amp;E13376&amp;G13376&amp;L13376</f>
        <v/>
      </c>
    </row>
    <row r="13377">
      <c r="B13377" s="128" t="n">
        <v>44205</v>
      </c>
      <c r="C13377" s="88">
        <f>TEXT(B13377,"aaa")</f>
        <v/>
      </c>
      <c r="D13377" s="94" t="n"/>
      <c r="E13377" s="88">
        <f>INDEX(매칭테이블!C:D,MATCH(RD!G13377,매칭테이블!D:D,0),1)</f>
        <v/>
      </c>
      <c r="F13377" s="94" t="inlineStr">
        <is>
          <t>카페24</t>
        </is>
      </c>
      <c r="G13377" s="94" t="inlineStr">
        <is>
          <t>어성초 77 수딩 토너 (클리어패드 세트 구매시 1/11 순차발송 예정)토너(필수)=어성초77토너1개 + 어성초77패드1개 -30% off (무료배송)</t>
        </is>
      </c>
      <c r="K13377" s="94" t="n">
        <v>1</v>
      </c>
      <c r="L13377" s="88" t="n">
        <v>201208</v>
      </c>
      <c r="M13377" s="88">
        <f>VLOOKUP($Q13377,매칭테이블!$F:$I,2,0)*K13377</f>
        <v/>
      </c>
      <c r="N13377" s="88">
        <f>M13377-M13377*VLOOKUP($Q13377,매칭테이블!$F:$I,3,0)</f>
        <v/>
      </c>
      <c r="O13377" s="88">
        <f>VLOOKUP($Q13377,매칭테이블!$F:$I,4,0)*K13377</f>
        <v/>
      </c>
      <c r="P13377" s="152">
        <f>M13377/1.1</f>
        <v/>
      </c>
      <c r="Q13377" s="88">
        <f>F13377&amp;E13377&amp;G13377&amp;L13377</f>
        <v/>
      </c>
    </row>
    <row r="13378">
      <c r="B13378" s="128" t="n">
        <v>44205</v>
      </c>
      <c r="C13378" s="88">
        <f>TEXT(B13378,"aaa")</f>
        <v/>
      </c>
      <c r="D13378" s="94" t="n"/>
      <c r="E13378" s="88">
        <f>INDEX(매칭테이블!C:D,MATCH(RD!G13378,매칭테이블!D:D,0),1)</f>
        <v/>
      </c>
      <c r="F13378" s="94" t="inlineStr">
        <is>
          <t>카페24</t>
        </is>
      </c>
      <c r="G13378" s="94" t="inlineStr">
        <is>
          <t>어성초 77 수딩 토너 (클리어패드 세트 구매시 1/11 순차발송 예정)화장솜(선택)=촉촉 스킨팩 화장솜</t>
        </is>
      </c>
      <c r="K13378" s="94" t="n">
        <v>55</v>
      </c>
      <c r="L13378" s="88" t="n">
        <v>201208</v>
      </c>
      <c r="M13378" s="88">
        <f>VLOOKUP($Q13378,매칭테이블!$F:$I,2,0)*K13378</f>
        <v/>
      </c>
      <c r="N13378" s="88">
        <f>M13378-M13378*VLOOKUP($Q13378,매칭테이블!$F:$I,3,0)</f>
        <v/>
      </c>
      <c r="O13378" s="88">
        <f>VLOOKUP($Q13378,매칭테이블!$F:$I,4,0)*K13378</f>
        <v/>
      </c>
      <c r="P13378" s="152">
        <f>M13378/1.1</f>
        <v/>
      </c>
      <c r="Q13378" s="88">
        <f>F13378&amp;E13378&amp;G13378&amp;L13378</f>
        <v/>
      </c>
    </row>
    <row r="13379">
      <c r="B13379" s="128" t="n">
        <v>44205</v>
      </c>
      <c r="C13379" s="88">
        <f>TEXT(B13379,"aaa")</f>
        <v/>
      </c>
      <c r="D13379" s="94" t="n"/>
      <c r="E13379" s="88">
        <f>INDEX(매칭테이블!C:D,MATCH(RD!G13379,매칭테이블!D:D,0),1)</f>
        <v/>
      </c>
      <c r="F13379" s="94" t="inlineStr">
        <is>
          <t>카페24</t>
        </is>
      </c>
      <c r="G13379" s="94" t="inlineStr">
        <is>
          <t>어성초 77 진정 마스크옵션=어성초 77 진정 마스크팩 1장</t>
        </is>
      </c>
      <c r="K13379" s="94" t="n">
        <v>1</v>
      </c>
      <c r="L13379" s="88" t="n">
        <v>201208</v>
      </c>
      <c r="M13379" s="88">
        <f>VLOOKUP($Q13379,매칭테이블!$F:$I,2,0)*K13379</f>
        <v/>
      </c>
      <c r="N13379" s="88">
        <f>M13379-M13379*VLOOKUP($Q13379,매칭테이블!$F:$I,3,0)</f>
        <v/>
      </c>
      <c r="O13379" s="88">
        <f>VLOOKUP($Q13379,매칭테이블!$F:$I,4,0)*K13379</f>
        <v/>
      </c>
      <c r="P13379" s="152">
        <f>M13379/1.1</f>
        <v/>
      </c>
      <c r="Q13379" s="88">
        <f>F13379&amp;E13379&amp;G13379&amp;L13379</f>
        <v/>
      </c>
    </row>
    <row r="13380">
      <c r="B13380" s="128" t="n">
        <v>44205</v>
      </c>
      <c r="C13380" s="88">
        <f>TEXT(B13380,"aaa")</f>
        <v/>
      </c>
      <c r="D13380" s="94" t="n"/>
      <c r="E13380" s="88">
        <f>INDEX(매칭테이블!C:D,MATCH(RD!G13380,매칭테이블!D:D,0),1)</f>
        <v/>
      </c>
      <c r="F13380" s="94" t="inlineStr">
        <is>
          <t>카페24</t>
        </is>
      </c>
      <c r="G13380" s="94" t="inlineStr">
        <is>
          <t>어성초 77 진정 마스크옵션=어성초 77 진정 마스크팩 10장-50% off</t>
        </is>
      </c>
      <c r="K13380" s="94" t="n">
        <v>6</v>
      </c>
      <c r="L13380" s="88" t="n">
        <v>201208</v>
      </c>
      <c r="M13380" s="88">
        <f>VLOOKUP($Q13380,매칭테이블!$F:$I,2,0)*K13380</f>
        <v/>
      </c>
      <c r="N13380" s="88">
        <f>M13380-M13380*VLOOKUP($Q13380,매칭테이블!$F:$I,3,0)</f>
        <v/>
      </c>
      <c r="O13380" s="88">
        <f>VLOOKUP($Q13380,매칭테이블!$F:$I,4,0)*K13380</f>
        <v/>
      </c>
      <c r="P13380" s="152">
        <f>M13380/1.1</f>
        <v/>
      </c>
      <c r="Q13380" s="88">
        <f>F13380&amp;E13380&amp;G13380&amp;L13380</f>
        <v/>
      </c>
    </row>
    <row r="13381">
      <c r="B13381" s="128" t="n">
        <v>44205</v>
      </c>
      <c r="C13381" s="88">
        <f>TEXT(B13381,"aaa")</f>
        <v/>
      </c>
      <c r="D13381" s="94" t="n"/>
      <c r="E13381" s="88">
        <f>INDEX(매칭테이블!C:D,MATCH(RD!G13381,매칭테이블!D:D,0),1)</f>
        <v/>
      </c>
      <c r="F13381" s="94" t="inlineStr">
        <is>
          <t>카페24</t>
        </is>
      </c>
      <c r="G13381" s="94" t="inlineStr">
        <is>
          <t>어성초 77 진정 마스크</t>
        </is>
      </c>
      <c r="K13381" s="94" t="n">
        <v>3</v>
      </c>
      <c r="L13381" s="88" t="n">
        <v>201208</v>
      </c>
      <c r="M13381" s="88">
        <f>VLOOKUP($Q13381,매칭테이블!$F:$I,2,0)*K13381</f>
        <v/>
      </c>
      <c r="N13381" s="88">
        <f>M13381-M13381*VLOOKUP($Q13381,매칭테이블!$F:$I,3,0)</f>
        <v/>
      </c>
      <c r="O13381" s="88">
        <f>VLOOKUP($Q13381,매칭테이블!$F:$I,4,0)*K13381</f>
        <v/>
      </c>
      <c r="P13381" s="152">
        <f>M13381/1.1</f>
        <v/>
      </c>
      <c r="Q13381" s="88">
        <f>F13381&amp;E13381&amp;G13381&amp;L13381</f>
        <v/>
      </c>
    </row>
    <row r="13382">
      <c r="B13382" s="128" t="n">
        <v>44205</v>
      </c>
      <c r="C13382" s="88">
        <f>TEXT(B13382,"aaa")</f>
        <v/>
      </c>
      <c r="D13382" s="94" t="n"/>
      <c r="E13382" s="88">
        <f>INDEX(매칭테이블!C:D,MATCH(RD!G13382,매칭테이블!D:D,0),1)</f>
        <v/>
      </c>
      <c r="F13382" s="94" t="inlineStr">
        <is>
          <t>카페24</t>
        </is>
      </c>
      <c r="G13382" s="94" t="inlineStr">
        <is>
          <t>어성초 77 클리어 패드 (1/11 순차발송 예정)옵션=어성초 77 클리어 패드 1개-20% off</t>
        </is>
      </c>
      <c r="K13382" s="94" t="n">
        <v>40</v>
      </c>
      <c r="L13382" s="88" t="n">
        <v>201208</v>
      </c>
      <c r="M13382" s="88">
        <f>VLOOKUP($Q13382,매칭테이블!$F:$I,2,0)*K13382</f>
        <v/>
      </c>
      <c r="N13382" s="88">
        <f>M13382-M13382*VLOOKUP($Q13382,매칭테이블!$F:$I,3,0)</f>
        <v/>
      </c>
      <c r="O13382" s="88">
        <f>VLOOKUP($Q13382,매칭테이블!$F:$I,4,0)*K13382</f>
        <v/>
      </c>
      <c r="P13382" s="152">
        <f>M13382/1.1</f>
        <v/>
      </c>
      <c r="Q13382" s="88">
        <f>F13382&amp;E13382&amp;G13382&amp;L13382</f>
        <v/>
      </c>
    </row>
    <row r="13383">
      <c r="B13383" s="128" t="n">
        <v>44205</v>
      </c>
      <c r="C13383" s="88">
        <f>TEXT(B13383,"aaa")</f>
        <v/>
      </c>
      <c r="D13383" s="94" t="n"/>
      <c r="E13383" s="88">
        <f>INDEX(매칭테이블!C:D,MATCH(RD!G13383,매칭테이블!D:D,0),1)</f>
        <v/>
      </c>
      <c r="F13383" s="94" t="inlineStr">
        <is>
          <t>카페24</t>
        </is>
      </c>
      <c r="G13383" s="94" t="inlineStr">
        <is>
          <t>어성초 77 클리어 패드 (1/11 순차발송 예정)옵션=어성초 77 클리어 패드 2개-30% off (무료배송)</t>
        </is>
      </c>
      <c r="K13383" s="94" t="n">
        <v>45</v>
      </c>
      <c r="L13383" s="88" t="n">
        <v>201208</v>
      </c>
      <c r="M13383" s="88">
        <f>VLOOKUP($Q13383,매칭테이블!$F:$I,2,0)*K13383</f>
        <v/>
      </c>
      <c r="N13383" s="88">
        <f>M13383-M13383*VLOOKUP($Q13383,매칭테이블!$F:$I,3,0)</f>
        <v/>
      </c>
      <c r="O13383" s="88">
        <f>VLOOKUP($Q13383,매칭테이블!$F:$I,4,0)*K13383</f>
        <v/>
      </c>
      <c r="P13383" s="152">
        <f>M13383/1.1</f>
        <v/>
      </c>
      <c r="Q13383" s="88">
        <f>F13383&amp;E13383&amp;G13383&amp;L13383</f>
        <v/>
      </c>
    </row>
    <row r="13384">
      <c r="B13384" s="128" t="n">
        <v>44205</v>
      </c>
      <c r="C13384" s="88">
        <f>TEXT(B13384,"aaa")</f>
        <v/>
      </c>
      <c r="D13384" s="94" t="n"/>
      <c r="E13384" s="88">
        <f>INDEX(매칭테이블!C:D,MATCH(RD!G13384,매칭테이블!D:D,0),1)</f>
        <v/>
      </c>
      <c r="F13384" s="94" t="inlineStr">
        <is>
          <t>카페24</t>
        </is>
      </c>
      <c r="G13384" s="94" t="inlineStr">
        <is>
          <t>어성초 77 클리어 패드 (1/11 순차발송 예정)옵션=어성초 77 클리어 패드 3개-35% off (무료배송)</t>
        </is>
      </c>
      <c r="K13384" s="94" t="n">
        <v>14</v>
      </c>
      <c r="L13384" s="88" t="n">
        <v>201208</v>
      </c>
      <c r="M13384" s="88">
        <f>VLOOKUP($Q13384,매칭테이블!$F:$I,2,0)*K13384</f>
        <v/>
      </c>
      <c r="N13384" s="88">
        <f>M13384-M13384*VLOOKUP($Q13384,매칭테이블!$F:$I,3,0)</f>
        <v/>
      </c>
      <c r="O13384" s="88">
        <f>VLOOKUP($Q13384,매칭테이블!$F:$I,4,0)*K13384</f>
        <v/>
      </c>
      <c r="P13384" s="152">
        <f>M13384/1.1</f>
        <v/>
      </c>
      <c r="Q13384" s="88">
        <f>F13384&amp;E13384&amp;G13384&amp;L13384</f>
        <v/>
      </c>
    </row>
    <row r="13385">
      <c r="B13385" s="128" t="n">
        <v>44205</v>
      </c>
      <c r="C13385" s="88">
        <f>TEXT(B13385,"aaa")</f>
        <v/>
      </c>
      <c r="D13385" s="94" t="n"/>
      <c r="E13385" s="88">
        <f>INDEX(매칭테이블!C:D,MATCH(RD!G13385,매칭테이블!D:D,0),1)</f>
        <v/>
      </c>
      <c r="F13385" s="94" t="inlineStr">
        <is>
          <t>카페24</t>
        </is>
      </c>
      <c r="G13385" s="94" t="inlineStr">
        <is>
          <t>어성초 77 클리어 패드 (1/11 순차발송 예정)옵션=어성초77토너1개+어성초77패드1개-30% off (무료배송)</t>
        </is>
      </c>
      <c r="K13385" s="94" t="n">
        <v>11</v>
      </c>
      <c r="L13385" s="88" t="n">
        <v>201208</v>
      </c>
      <c r="M13385" s="88">
        <f>VLOOKUP($Q13385,매칭테이블!$F:$I,2,0)*K13385</f>
        <v/>
      </c>
      <c r="N13385" s="88">
        <f>M13385-M13385*VLOOKUP($Q13385,매칭테이블!$F:$I,3,0)</f>
        <v/>
      </c>
      <c r="O13385" s="88">
        <f>VLOOKUP($Q13385,매칭테이블!$F:$I,4,0)*K13385</f>
        <v/>
      </c>
      <c r="P13385" s="152">
        <f>M13385/1.1</f>
        <v/>
      </c>
      <c r="Q13385" s="88">
        <f>F13385&amp;E13385&amp;G13385&amp;L13385</f>
        <v/>
      </c>
    </row>
    <row r="13386">
      <c r="B13386" s="128" t="n">
        <v>44205</v>
      </c>
      <c r="C13386" s="88">
        <f>TEXT(B13386,"aaa")</f>
        <v/>
      </c>
      <c r="D13386" s="94" t="n"/>
      <c r="E13386" s="88">
        <f>INDEX(매칭테이블!C:D,MATCH(RD!G13386,매칭테이블!D:D,0),1)</f>
        <v/>
      </c>
      <c r="F13386" s="94" t="inlineStr">
        <is>
          <t>카페24</t>
        </is>
      </c>
      <c r="G13386" s="94" t="inlineStr">
        <is>
          <t>어성초 77 토너</t>
        </is>
      </c>
      <c r="K13386" s="94" t="n">
        <v>1</v>
      </c>
      <c r="L13386" s="88" t="n">
        <v>201208</v>
      </c>
      <c r="M13386" s="88">
        <f>VLOOKUP($Q13386,매칭테이블!$F:$I,2,0)*K13386</f>
        <v/>
      </c>
      <c r="N13386" s="88">
        <f>M13386-M13386*VLOOKUP($Q13386,매칭테이블!$F:$I,3,0)</f>
        <v/>
      </c>
      <c r="O13386" s="88">
        <f>VLOOKUP($Q13386,매칭테이블!$F:$I,4,0)*K13386</f>
        <v/>
      </c>
      <c r="P13386" s="152">
        <f>M13386/1.1</f>
        <v/>
      </c>
      <c r="Q13386" s="88">
        <f>F13386&amp;E13386&amp;G13386&amp;L13386</f>
        <v/>
      </c>
    </row>
    <row r="13387">
      <c r="B13387" s="128" t="n">
        <v>44205</v>
      </c>
      <c r="C13387" s="88">
        <f>TEXT(B13387,"aaa")</f>
        <v/>
      </c>
      <c r="D13387" s="94" t="n"/>
      <c r="E13387" s="88">
        <f>INDEX(매칭테이블!C:D,MATCH(RD!G13387,매칭테이블!D:D,0),1)</f>
        <v/>
      </c>
      <c r="F13387" s="94" t="inlineStr">
        <is>
          <t>카페24</t>
        </is>
      </c>
      <c r="G13387" s="94" t="inlineStr">
        <is>
          <t>어성초 77 포어 클리어 패드 (1/11 순차발송 예정)옵션=어성초 77 클리어 패드 1개-20% off</t>
        </is>
      </c>
      <c r="K13387" s="94" t="n">
        <v>12</v>
      </c>
      <c r="L13387" s="88" t="n">
        <v>201208</v>
      </c>
      <c r="M13387" s="88">
        <f>VLOOKUP($Q13387,매칭테이블!$F:$I,2,0)*K13387</f>
        <v/>
      </c>
      <c r="N13387" s="88">
        <f>M13387-M13387*VLOOKUP($Q13387,매칭테이블!$F:$I,3,0)</f>
        <v/>
      </c>
      <c r="O13387" s="88">
        <f>VLOOKUP($Q13387,매칭테이블!$F:$I,4,0)*K13387</f>
        <v/>
      </c>
      <c r="P13387" s="152">
        <f>M13387/1.1</f>
        <v/>
      </c>
      <c r="Q13387" s="88">
        <f>F13387&amp;E13387&amp;G13387&amp;L13387</f>
        <v/>
      </c>
    </row>
    <row r="13388">
      <c r="B13388" s="128" t="n">
        <v>44205</v>
      </c>
      <c r="C13388" s="88">
        <f>TEXT(B13388,"aaa")</f>
        <v/>
      </c>
      <c r="D13388" s="94" t="n"/>
      <c r="E13388" s="88">
        <f>INDEX(매칭테이블!C:D,MATCH(RD!G13388,매칭테이블!D:D,0),1)</f>
        <v/>
      </c>
      <c r="F13388" s="94" t="inlineStr">
        <is>
          <t>카페24</t>
        </is>
      </c>
      <c r="G13388" s="94" t="inlineStr">
        <is>
          <t>어성초 77 포어 클리어 패드 (1/11 순차발송 예정)옵션=어성초 77 클리어 패드 2개-30% off (무료배송)</t>
        </is>
      </c>
      <c r="K13388" s="94" t="n">
        <v>7</v>
      </c>
      <c r="L13388" s="88" t="n">
        <v>201208</v>
      </c>
      <c r="M13388" s="88">
        <f>VLOOKUP($Q13388,매칭테이블!$F:$I,2,0)*K13388</f>
        <v/>
      </c>
      <c r="N13388" s="88">
        <f>M13388-M13388*VLOOKUP($Q13388,매칭테이블!$F:$I,3,0)</f>
        <v/>
      </c>
      <c r="O13388" s="88">
        <f>VLOOKUP($Q13388,매칭테이블!$F:$I,4,0)*K13388</f>
        <v/>
      </c>
      <c r="P13388" s="152">
        <f>M13388/1.1</f>
        <v/>
      </c>
      <c r="Q13388" s="88">
        <f>F13388&amp;E13388&amp;G13388&amp;L13388</f>
        <v/>
      </c>
    </row>
    <row r="13389">
      <c r="B13389" s="128" t="n">
        <v>44205</v>
      </c>
      <c r="C13389" s="88">
        <f>TEXT(B13389,"aaa")</f>
        <v/>
      </c>
      <c r="D13389" s="94" t="n"/>
      <c r="E13389" s="88">
        <f>INDEX(매칭테이블!C:D,MATCH(RD!G13389,매칭테이블!D:D,0),1)</f>
        <v/>
      </c>
      <c r="F13389" s="94" t="inlineStr">
        <is>
          <t>카페24</t>
        </is>
      </c>
      <c r="G13389" s="94" t="inlineStr">
        <is>
          <t>어성초 77 포어 클리어 패드 (1/11 순차발송 예정)옵션=어성초 77 클리어 패드 3개-35% off (무료배송)</t>
        </is>
      </c>
      <c r="K13389" s="94" t="n">
        <v>3</v>
      </c>
      <c r="L13389" s="88" t="n">
        <v>201208</v>
      </c>
      <c r="M13389" s="88">
        <f>VLOOKUP($Q13389,매칭테이블!$F:$I,2,0)*K13389</f>
        <v/>
      </c>
      <c r="N13389" s="88">
        <f>M13389-M13389*VLOOKUP($Q13389,매칭테이블!$F:$I,3,0)</f>
        <v/>
      </c>
      <c r="O13389" s="88">
        <f>VLOOKUP($Q13389,매칭테이블!$F:$I,4,0)*K13389</f>
        <v/>
      </c>
      <c r="P13389" s="152">
        <f>M13389/1.1</f>
        <v/>
      </c>
      <c r="Q13389" s="88">
        <f>F13389&amp;E13389&amp;G13389&amp;L13389</f>
        <v/>
      </c>
    </row>
    <row r="13390">
      <c r="B13390" s="128" t="n">
        <v>44205</v>
      </c>
      <c r="C13390" s="88">
        <f>TEXT(B13390,"aaa")</f>
        <v/>
      </c>
      <c r="D13390" s="94" t="n"/>
      <c r="E13390" s="88">
        <f>INDEX(매칭테이블!C:D,MATCH(RD!G13390,매칭테이블!D:D,0),1)</f>
        <v/>
      </c>
      <c r="F13390" s="94" t="inlineStr">
        <is>
          <t>카페24</t>
        </is>
      </c>
      <c r="G13390" s="94" t="inlineStr">
        <is>
          <t>어성초 77 포어 클리어 패드 (1/11 순차발송 예정)옵션=어성초77토너1개+어성초77패드1개-30% off (무료배송)</t>
        </is>
      </c>
      <c r="K13390" s="94" t="n">
        <v>1</v>
      </c>
      <c r="L13390" s="88" t="n">
        <v>201208</v>
      </c>
      <c r="M13390" s="88">
        <f>VLOOKUP($Q13390,매칭테이블!$F:$I,2,0)*K13390</f>
        <v/>
      </c>
      <c r="N13390" s="88">
        <f>M13390-M13390*VLOOKUP($Q13390,매칭테이블!$F:$I,3,0)</f>
        <v/>
      </c>
      <c r="O13390" s="88">
        <f>VLOOKUP($Q13390,매칭테이블!$F:$I,4,0)*K13390</f>
        <v/>
      </c>
      <c r="P13390" s="152">
        <f>M13390/1.1</f>
        <v/>
      </c>
      <c r="Q13390" s="88">
        <f>F13390&amp;E13390&amp;G13390&amp;L13390</f>
        <v/>
      </c>
    </row>
    <row r="13391">
      <c r="B13391" s="128" t="n">
        <v>44205</v>
      </c>
      <c r="C13391" s="88">
        <f>TEXT(B13391,"aaa")</f>
        <v/>
      </c>
      <c r="D13391" s="94" t="n"/>
      <c r="E13391" s="88">
        <f>INDEX(매칭테이블!C:D,MATCH(RD!G13391,매칭테이블!D:D,0),1)</f>
        <v/>
      </c>
      <c r="F13391" s="94" t="inlineStr">
        <is>
          <t>카페24</t>
        </is>
      </c>
      <c r="G13391" s="94" t="inlineStr">
        <is>
          <t>어성초 77% 패드 (1/11 순차발송 예정)옵션=어성초 77 클리어 패드 1개-20% off</t>
        </is>
      </c>
      <c r="K13391" s="94" t="n">
        <v>32</v>
      </c>
      <c r="L13391" s="88" t="n">
        <v>201208</v>
      </c>
      <c r="M13391" s="88">
        <f>VLOOKUP($Q13391,매칭테이블!$F:$I,2,0)*K13391</f>
        <v/>
      </c>
      <c r="N13391" s="88">
        <f>M13391-M13391*VLOOKUP($Q13391,매칭테이블!$F:$I,3,0)</f>
        <v/>
      </c>
      <c r="O13391" s="88">
        <f>VLOOKUP($Q13391,매칭테이블!$F:$I,4,0)*K13391</f>
        <v/>
      </c>
      <c r="P13391" s="152">
        <f>M13391/1.1</f>
        <v/>
      </c>
      <c r="Q13391" s="88">
        <f>F13391&amp;E13391&amp;G13391&amp;L13391</f>
        <v/>
      </c>
    </row>
    <row r="13392">
      <c r="B13392" s="128" t="n">
        <v>44205</v>
      </c>
      <c r="C13392" s="88">
        <f>TEXT(B13392,"aaa")</f>
        <v/>
      </c>
      <c r="D13392" s="94" t="n"/>
      <c r="E13392" s="88">
        <f>INDEX(매칭테이블!C:D,MATCH(RD!G13392,매칭테이블!D:D,0),1)</f>
        <v/>
      </c>
      <c r="F13392" s="94" t="inlineStr">
        <is>
          <t>카페24</t>
        </is>
      </c>
      <c r="G13392" s="94" t="inlineStr">
        <is>
          <t>어성초 77% 패드 (1/11 순차발송 예정)옵션=어성초 77 클리어 패드 2개-30% off (무료배송)</t>
        </is>
      </c>
      <c r="K13392" s="94" t="n">
        <v>42</v>
      </c>
      <c r="L13392" s="88" t="n">
        <v>201208</v>
      </c>
      <c r="M13392" s="88">
        <f>VLOOKUP($Q13392,매칭테이블!$F:$I,2,0)*K13392</f>
        <v/>
      </c>
      <c r="N13392" s="88">
        <f>M13392-M13392*VLOOKUP($Q13392,매칭테이블!$F:$I,3,0)</f>
        <v/>
      </c>
      <c r="O13392" s="88">
        <f>VLOOKUP($Q13392,매칭테이블!$F:$I,4,0)*K13392</f>
        <v/>
      </c>
      <c r="P13392" s="152">
        <f>M13392/1.1</f>
        <v/>
      </c>
      <c r="Q13392" s="88">
        <f>F13392&amp;E13392&amp;G13392&amp;L13392</f>
        <v/>
      </c>
    </row>
    <row r="13393">
      <c r="B13393" s="128" t="n">
        <v>44205</v>
      </c>
      <c r="C13393" s="88">
        <f>TEXT(B13393,"aaa")</f>
        <v/>
      </c>
      <c r="D13393" s="94" t="n"/>
      <c r="E13393" s="88">
        <f>INDEX(매칭테이블!C:D,MATCH(RD!G13393,매칭테이블!D:D,0),1)</f>
        <v/>
      </c>
      <c r="F13393" s="94" t="inlineStr">
        <is>
          <t>카페24</t>
        </is>
      </c>
      <c r="G13393" s="94" t="inlineStr">
        <is>
          <t>어성초 77% 패드 (1/11 순차발송 예정)옵션=어성초 77 클리어 패드 3개-35% off (무료배송)</t>
        </is>
      </c>
      <c r="K13393" s="94" t="n">
        <v>8</v>
      </c>
      <c r="L13393" s="88" t="n">
        <v>201208</v>
      </c>
      <c r="M13393" s="88">
        <f>VLOOKUP($Q13393,매칭테이블!$F:$I,2,0)*K13393</f>
        <v/>
      </c>
      <c r="N13393" s="88">
        <f>M13393-M13393*VLOOKUP($Q13393,매칭테이블!$F:$I,3,0)</f>
        <v/>
      </c>
      <c r="O13393" s="88">
        <f>VLOOKUP($Q13393,매칭테이블!$F:$I,4,0)*K13393</f>
        <v/>
      </c>
      <c r="P13393" s="152">
        <f>M13393/1.1</f>
        <v/>
      </c>
      <c r="Q13393" s="88">
        <f>F13393&amp;E13393&amp;G13393&amp;L13393</f>
        <v/>
      </c>
    </row>
    <row r="13394">
      <c r="B13394" s="128" t="n">
        <v>44205</v>
      </c>
      <c r="C13394" s="88">
        <f>TEXT(B13394,"aaa")</f>
        <v/>
      </c>
      <c r="D13394" s="94" t="n"/>
      <c r="E13394" s="88">
        <f>INDEX(매칭테이블!C:D,MATCH(RD!G13394,매칭테이블!D:D,0),1)</f>
        <v/>
      </c>
      <c r="F13394" s="94" t="inlineStr">
        <is>
          <t>카페24</t>
        </is>
      </c>
      <c r="G13394" s="94" t="inlineStr">
        <is>
          <t>어성초 77% 패드 (1/11 순차발송 예정)옵션=어성초77토너1개+어성초77패드1개-30% off (무료배송)</t>
        </is>
      </c>
      <c r="K13394" s="94" t="n">
        <v>1</v>
      </c>
      <c r="L13394" s="88" t="n">
        <v>201208</v>
      </c>
      <c r="M13394" s="88">
        <f>VLOOKUP($Q13394,매칭테이블!$F:$I,2,0)*K13394</f>
        <v/>
      </c>
      <c r="N13394" s="88">
        <f>M13394-M13394*VLOOKUP($Q13394,매칭테이블!$F:$I,3,0)</f>
        <v/>
      </c>
      <c r="O13394" s="88">
        <f>VLOOKUP($Q13394,매칭테이블!$F:$I,4,0)*K13394</f>
        <v/>
      </c>
      <c r="P13394" s="152">
        <f>M13394/1.1</f>
        <v/>
      </c>
      <c r="Q13394" s="88">
        <f>F13394&amp;E13394&amp;G13394&amp;L13394</f>
        <v/>
      </c>
    </row>
    <row r="13395">
      <c r="B13395" s="128" t="n">
        <v>44205</v>
      </c>
      <c r="C13395" s="88">
        <f>TEXT(B13395,"aaa")</f>
        <v/>
      </c>
      <c r="D13395" s="94" t="n"/>
      <c r="E13395" s="88">
        <f>INDEX(매칭테이블!C:D,MATCH(RD!G13395,매칭테이블!D:D,0),1)</f>
        <v/>
      </c>
      <c r="F13395" s="94" t="inlineStr">
        <is>
          <t>카페24</t>
        </is>
      </c>
      <c r="G13395" s="94" t="inlineStr">
        <is>
          <t>어성초 77% 패드 (1/11 순차발송 예정)옵션=어성초77토너1개+어성초77패드1개-30% off (무료배송)</t>
        </is>
      </c>
      <c r="K13395" s="94" t="n">
        <v>21</v>
      </c>
      <c r="L13395" s="88" t="n">
        <v>201208</v>
      </c>
      <c r="M13395" s="88">
        <f>VLOOKUP($Q13395,매칭테이블!$F:$I,2,0)*K13395</f>
        <v/>
      </c>
      <c r="N13395" s="88">
        <f>M13395-M13395*VLOOKUP($Q13395,매칭테이블!$F:$I,3,0)</f>
        <v/>
      </c>
      <c r="O13395" s="88">
        <f>VLOOKUP($Q13395,매칭테이블!$F:$I,4,0)*K13395</f>
        <v/>
      </c>
      <c r="P13395" s="152">
        <f>M13395/1.1</f>
        <v/>
      </c>
      <c r="Q13395" s="88">
        <f>F13395&amp;E13395&amp;G13395&amp;L13395</f>
        <v/>
      </c>
    </row>
    <row r="13396">
      <c r="B13396" s="128" t="n">
        <v>44205</v>
      </c>
      <c r="C13396" s="88">
        <f>TEXT(B13396,"aaa")</f>
        <v/>
      </c>
      <c r="D13396" s="94" t="n"/>
      <c r="E13396" s="88">
        <f>INDEX(매칭테이블!C:D,MATCH(RD!G13396,매칭테이블!D:D,0),1)</f>
        <v/>
      </c>
      <c r="F13396" s="94" t="inlineStr">
        <is>
          <t>카페24</t>
        </is>
      </c>
      <c r="G13396" s="94" t="inlineStr">
        <is>
          <t>어성초 78 수딩 크림</t>
        </is>
      </c>
      <c r="K13396" s="94" t="n">
        <v>3</v>
      </c>
      <c r="L13396" s="88" t="n">
        <v>201208</v>
      </c>
      <c r="M13396" s="88">
        <f>VLOOKUP($Q13396,매칭테이블!$F:$I,2,0)*K13396</f>
        <v/>
      </c>
      <c r="N13396" s="88">
        <f>M13396-M13396*VLOOKUP($Q13396,매칭테이블!$F:$I,3,0)</f>
        <v/>
      </c>
      <c r="O13396" s="88">
        <f>VLOOKUP($Q13396,매칭테이블!$F:$I,4,0)*K13396</f>
        <v/>
      </c>
      <c r="P13396" s="152">
        <f>M13396/1.1</f>
        <v/>
      </c>
      <c r="Q13396" s="88">
        <f>F13396&amp;E13396&amp;G13396&amp;L13396</f>
        <v/>
      </c>
    </row>
    <row r="13397">
      <c r="B13397" s="128" t="n">
        <v>44205</v>
      </c>
      <c r="C13397" s="88">
        <f>TEXT(B13397,"aaa")</f>
        <v/>
      </c>
      <c r="D13397" s="94" t="n"/>
      <c r="E13397" s="88">
        <f>INDEX(매칭테이블!C:D,MATCH(RD!G13397,매칭테이블!D:D,0),1)</f>
        <v/>
      </c>
      <c r="F13397" s="94" t="inlineStr">
        <is>
          <t>카페24</t>
        </is>
      </c>
      <c r="G13397" s="94" t="inlineStr">
        <is>
          <t>어성초 78 수딩 크림</t>
        </is>
      </c>
      <c r="K13397" s="94" t="n">
        <v>5</v>
      </c>
      <c r="L13397" s="88" t="n">
        <v>201208</v>
      </c>
      <c r="M13397" s="88">
        <f>VLOOKUP($Q13397,매칭테이블!$F:$I,2,0)*K13397</f>
        <v/>
      </c>
      <c r="N13397" s="88">
        <f>M13397-M13397*VLOOKUP($Q13397,매칭테이블!$F:$I,3,0)</f>
        <v/>
      </c>
      <c r="O13397" s="88">
        <f>VLOOKUP($Q13397,매칭테이블!$F:$I,4,0)*K13397</f>
        <v/>
      </c>
      <c r="P13397" s="152">
        <f>M13397/1.1</f>
        <v/>
      </c>
      <c r="Q13397" s="88">
        <f>F13397&amp;E13397&amp;G13397&amp;L13397</f>
        <v/>
      </c>
    </row>
    <row r="13398">
      <c r="B13398" s="128" t="n">
        <v>44205</v>
      </c>
      <c r="C13398" s="88">
        <f>TEXT(B13398,"aaa")</f>
        <v/>
      </c>
      <c r="D13398" s="94" t="n"/>
      <c r="E13398" s="88">
        <f>INDEX(매칭테이블!C:D,MATCH(RD!G13398,매칭테이블!D:D,0),1)</f>
        <v/>
      </c>
      <c r="F13398" s="94" t="inlineStr">
        <is>
          <t>카페24</t>
        </is>
      </c>
      <c r="G13398" s="94" t="inlineStr">
        <is>
          <t>어성초 80 수분 진정 앰플앰플=어성초 80 앰플 1개-15%off</t>
        </is>
      </c>
      <c r="K13398" s="94" t="n">
        <v>14</v>
      </c>
      <c r="L13398" s="88" t="n">
        <v>201208</v>
      </c>
      <c r="M13398" s="88">
        <f>VLOOKUP($Q13398,매칭테이블!$F:$I,2,0)*K13398</f>
        <v/>
      </c>
      <c r="N13398" s="88">
        <f>M13398-M13398*VLOOKUP($Q13398,매칭테이블!$F:$I,3,0)</f>
        <v/>
      </c>
      <c r="O13398" s="88">
        <f>VLOOKUP($Q13398,매칭테이블!$F:$I,4,0)*K13398</f>
        <v/>
      </c>
      <c r="P13398" s="152">
        <f>M13398/1.1</f>
        <v/>
      </c>
      <c r="Q13398" s="88">
        <f>F13398&amp;E13398&amp;G13398&amp;L13398</f>
        <v/>
      </c>
    </row>
    <row r="13399">
      <c r="B13399" s="128" t="n">
        <v>44205</v>
      </c>
      <c r="C13399" s="88">
        <f>TEXT(B13399,"aaa")</f>
        <v/>
      </c>
      <c r="D13399" s="94" t="n"/>
      <c r="E13399" s="88">
        <f>INDEX(매칭테이블!C:D,MATCH(RD!G13399,매칭테이블!D:D,0),1)</f>
        <v/>
      </c>
      <c r="F13399" s="94" t="inlineStr">
        <is>
          <t>카페24</t>
        </is>
      </c>
      <c r="G13399" s="94" t="inlineStr">
        <is>
          <t>어성초 80 수분 진정 앰플앰플=어성초 80 앰플 2개-27%off (무료배송)</t>
        </is>
      </c>
      <c r="K13399" s="94" t="n">
        <v>6</v>
      </c>
      <c r="L13399" s="88" t="n">
        <v>201208</v>
      </c>
      <c r="M13399" s="88">
        <f>VLOOKUP($Q13399,매칭테이블!$F:$I,2,0)*K13399</f>
        <v/>
      </c>
      <c r="N13399" s="88">
        <f>M13399-M13399*VLOOKUP($Q13399,매칭테이블!$F:$I,3,0)</f>
        <v/>
      </c>
      <c r="O13399" s="88">
        <f>VLOOKUP($Q13399,매칭테이블!$F:$I,4,0)*K13399</f>
        <v/>
      </c>
      <c r="P13399" s="152">
        <f>M13399/1.1</f>
        <v/>
      </c>
      <c r="Q13399" s="88">
        <f>F13399&amp;E13399&amp;G13399&amp;L13399</f>
        <v/>
      </c>
    </row>
    <row r="13400">
      <c r="B13400" s="128" t="n">
        <v>44205</v>
      </c>
      <c r="C13400" s="88">
        <f>TEXT(B13400,"aaa")</f>
        <v/>
      </c>
      <c r="D13400" s="94" t="n"/>
      <c r="E13400" s="88">
        <f>INDEX(매칭테이블!C:D,MATCH(RD!G13400,매칭테이블!D:D,0),1)</f>
        <v/>
      </c>
      <c r="F13400" s="94" t="inlineStr">
        <is>
          <t>카페24</t>
        </is>
      </c>
      <c r="G13400" s="94" t="inlineStr">
        <is>
          <t>어성초 80 수분 진정 앰플</t>
        </is>
      </c>
      <c r="K13400" s="94" t="n">
        <v>8</v>
      </c>
      <c r="L13400" s="88" t="n">
        <v>201208</v>
      </c>
      <c r="M13400" s="88">
        <f>VLOOKUP($Q13400,매칭테이블!$F:$I,2,0)*K13400</f>
        <v/>
      </c>
      <c r="N13400" s="88">
        <f>M13400-M13400*VLOOKUP($Q13400,매칭테이블!$F:$I,3,0)</f>
        <v/>
      </c>
      <c r="O13400" s="88">
        <f>VLOOKUP($Q13400,매칭테이블!$F:$I,4,0)*K13400</f>
        <v/>
      </c>
      <c r="P13400" s="152">
        <f>M13400/1.1</f>
        <v/>
      </c>
      <c r="Q13400" s="88">
        <f>F13400&amp;E13400&amp;G13400&amp;L13400</f>
        <v/>
      </c>
    </row>
    <row r="13401">
      <c r="B13401" s="128" t="n">
        <v>44205</v>
      </c>
      <c r="C13401" s="88">
        <f>TEXT(B13401,"aaa")</f>
        <v/>
      </c>
      <c r="D13401" s="94" t="n"/>
      <c r="E13401" s="88">
        <f>INDEX(매칭테이블!C:D,MATCH(RD!G13401,매칭테이블!D:D,0),1)</f>
        <v/>
      </c>
      <c r="F13401" s="94" t="inlineStr">
        <is>
          <t>카페24</t>
        </is>
      </c>
      <c r="G13401" s="94" t="inlineStr">
        <is>
          <t>어성초 아크네 바디워시옵션=어성초 아크네 바디워시 2개 -35% off (무료배송)</t>
        </is>
      </c>
      <c r="K13401" s="94" t="n">
        <v>3</v>
      </c>
      <c r="L13401" s="88" t="n">
        <v>201208</v>
      </c>
      <c r="M13401" s="88">
        <f>VLOOKUP($Q13401,매칭테이블!$F:$I,2,0)*K13401</f>
        <v/>
      </c>
      <c r="N13401" s="88">
        <f>M13401-M13401*VLOOKUP($Q13401,매칭테이블!$F:$I,3,0)</f>
        <v/>
      </c>
      <c r="O13401" s="88">
        <f>VLOOKUP($Q13401,매칭테이블!$F:$I,4,0)*K13401</f>
        <v/>
      </c>
      <c r="P13401" s="152">
        <f>M13401/1.1</f>
        <v/>
      </c>
      <c r="Q13401" s="88">
        <f>F13401&amp;E13401&amp;G13401&amp;L13401</f>
        <v/>
      </c>
    </row>
    <row r="13402">
      <c r="B13402" s="128" t="n">
        <v>44205</v>
      </c>
      <c r="C13402" s="88">
        <f>TEXT(B13402,"aaa")</f>
        <v/>
      </c>
      <c r="D13402" s="94" t="n"/>
      <c r="E13402" s="88">
        <f>INDEX(매칭테이블!C:D,MATCH(RD!G13402,매칭테이블!D:D,0),1)</f>
        <v/>
      </c>
      <c r="F13402" s="94" t="inlineStr">
        <is>
          <t>카페24</t>
        </is>
      </c>
      <c r="G13402" s="94" t="inlineStr">
        <is>
          <t>어성초 약산성 클렌징폼클렌징폼=어성초 약산성 클렌징폼 1개 -19%off</t>
        </is>
      </c>
      <c r="K13402" s="94" t="n">
        <v>15</v>
      </c>
      <c r="L13402" s="88" t="n">
        <v>201208</v>
      </c>
      <c r="M13402" s="88">
        <f>VLOOKUP($Q13402,매칭테이블!$F:$I,2,0)*K13402</f>
        <v/>
      </c>
      <c r="N13402" s="88">
        <f>M13402-M13402*VLOOKUP($Q13402,매칭테이블!$F:$I,3,0)</f>
        <v/>
      </c>
      <c r="O13402" s="88">
        <f>VLOOKUP($Q13402,매칭테이블!$F:$I,4,0)*K13402</f>
        <v/>
      </c>
      <c r="P13402" s="152">
        <f>M13402/1.1</f>
        <v/>
      </c>
      <c r="Q13402" s="88">
        <f>F13402&amp;E13402&amp;G13402&amp;L13402</f>
        <v/>
      </c>
    </row>
    <row r="13403">
      <c r="B13403" s="128" t="n">
        <v>44205</v>
      </c>
      <c r="C13403" s="88">
        <f>TEXT(B13403,"aaa")</f>
        <v/>
      </c>
      <c r="D13403" s="94" t="n"/>
      <c r="E13403" s="88">
        <f>INDEX(매칭테이블!C:D,MATCH(RD!G13403,매칭테이블!D:D,0),1)</f>
        <v/>
      </c>
      <c r="F13403" s="94" t="inlineStr">
        <is>
          <t>카페24</t>
        </is>
      </c>
      <c r="G13403" s="94" t="inlineStr">
        <is>
          <t>어성초 약산성 클렌징폼클렌징폼=어성초 약산성 클렌징폼 2개 -25%off</t>
        </is>
      </c>
      <c r="K13403" s="94" t="n">
        <v>6</v>
      </c>
      <c r="L13403" s="88" t="n">
        <v>201208</v>
      </c>
      <c r="M13403" s="88">
        <f>VLOOKUP($Q13403,매칭테이블!$F:$I,2,0)*K13403</f>
        <v/>
      </c>
      <c r="N13403" s="88">
        <f>M13403-M13403*VLOOKUP($Q13403,매칭테이블!$F:$I,3,0)</f>
        <v/>
      </c>
      <c r="O13403" s="88">
        <f>VLOOKUP($Q13403,매칭테이블!$F:$I,4,0)*K13403</f>
        <v/>
      </c>
      <c r="P13403" s="152">
        <f>M13403/1.1</f>
        <v/>
      </c>
      <c r="Q13403" s="88">
        <f>F13403&amp;E13403&amp;G13403&amp;L13403</f>
        <v/>
      </c>
    </row>
    <row r="13404">
      <c r="B13404" s="128" t="n">
        <v>44205</v>
      </c>
      <c r="C13404" s="88">
        <f>TEXT(B13404,"aaa")</f>
        <v/>
      </c>
      <c r="D13404" s="94" t="n"/>
      <c r="E13404" s="88">
        <f>INDEX(매칭테이블!C:D,MATCH(RD!G13404,매칭테이블!D:D,0),1)</f>
        <v/>
      </c>
      <c r="F13404" s="94" t="inlineStr">
        <is>
          <t>카페24</t>
        </is>
      </c>
      <c r="G13404" s="94" t="inlineStr">
        <is>
          <t>어성초 약산성 클렌징폼클렌징폼=어성초 약산성 클렌징폼 3개 -31%off (무료배송)</t>
        </is>
      </c>
      <c r="K13404" s="94" t="n">
        <v>1</v>
      </c>
      <c r="L13404" s="88" t="n">
        <v>201208</v>
      </c>
      <c r="M13404" s="88">
        <f>VLOOKUP($Q13404,매칭테이블!$F:$I,2,0)*K13404</f>
        <v/>
      </c>
      <c r="N13404" s="88">
        <f>M13404-M13404*VLOOKUP($Q13404,매칭테이블!$F:$I,3,0)</f>
        <v/>
      </c>
      <c r="O13404" s="88">
        <f>VLOOKUP($Q13404,매칭테이블!$F:$I,4,0)*K13404</f>
        <v/>
      </c>
      <c r="P13404" s="152">
        <f>M13404/1.1</f>
        <v/>
      </c>
      <c r="Q13404" s="88">
        <f>F13404&amp;E13404&amp;G13404&amp;L13404</f>
        <v/>
      </c>
    </row>
    <row r="13405">
      <c r="B13405" s="128" t="n">
        <v>44205</v>
      </c>
      <c r="C13405" s="88">
        <f>TEXT(B13405,"aaa")</f>
        <v/>
      </c>
      <c r="D13405" s="94" t="n"/>
      <c r="E13405" s="88">
        <f>INDEX(매칭테이블!C:D,MATCH(RD!G13405,매칭테이블!D:D,0),1)</f>
        <v/>
      </c>
      <c r="F13405" s="94" t="inlineStr">
        <is>
          <t>카페24</t>
        </is>
      </c>
      <c r="G13405" s="94" t="inlineStr">
        <is>
          <t>어성초 약산성 클렌징폼</t>
        </is>
      </c>
      <c r="K13405" s="94" t="n">
        <v>1</v>
      </c>
      <c r="L13405" s="88" t="n">
        <v>201208</v>
      </c>
      <c r="M13405" s="88">
        <f>VLOOKUP($Q13405,매칭테이블!$F:$I,2,0)*K13405</f>
        <v/>
      </c>
      <c r="N13405" s="88">
        <f>M13405-M13405*VLOOKUP($Q13405,매칭테이블!$F:$I,3,0)</f>
        <v/>
      </c>
      <c r="O13405" s="88">
        <f>VLOOKUP($Q13405,매칭테이블!$F:$I,4,0)*K13405</f>
        <v/>
      </c>
      <c r="P13405" s="152">
        <f>M13405/1.1</f>
        <v/>
      </c>
      <c r="Q13405" s="88">
        <f>F13405&amp;E13405&amp;G13405&amp;L13405</f>
        <v/>
      </c>
    </row>
    <row r="13406">
      <c r="B13406" s="128" t="n">
        <v>44205</v>
      </c>
      <c r="C13406" s="88">
        <f>TEXT(B13406,"aaa")</f>
        <v/>
      </c>
      <c r="D13406" s="94" t="n"/>
      <c r="E13406" s="88">
        <f>INDEX(매칭테이블!C:D,MATCH(RD!G13406,매칭테이블!D:D,0),1)</f>
        <v/>
      </c>
      <c r="F13406" s="94" t="inlineStr">
        <is>
          <t>카페24</t>
        </is>
      </c>
      <c r="G13406" s="94" t="inlineStr">
        <is>
          <t>어성초 크림마스크 나이트 솔루션옵션=어성초 크림마스크 나이트 솔루션 1장</t>
        </is>
      </c>
      <c r="K13406" s="94" t="n">
        <v>1</v>
      </c>
      <c r="L13406" s="88" t="n">
        <v>201208</v>
      </c>
      <c r="M13406" s="88">
        <f>VLOOKUP($Q13406,매칭테이블!$F:$I,2,0)*K13406</f>
        <v/>
      </c>
      <c r="N13406" s="88">
        <f>M13406-M13406*VLOOKUP($Q13406,매칭테이블!$F:$I,3,0)</f>
        <v/>
      </c>
      <c r="O13406" s="88">
        <f>VLOOKUP($Q13406,매칭테이블!$F:$I,4,0)*K13406</f>
        <v/>
      </c>
      <c r="P13406" s="152">
        <f>M13406/1.1</f>
        <v/>
      </c>
      <c r="Q13406" s="88">
        <f>F13406&amp;E13406&amp;G13406&amp;L13406</f>
        <v/>
      </c>
    </row>
    <row r="13407">
      <c r="B13407" s="128" t="n">
        <v>44205</v>
      </c>
      <c r="C13407" s="88">
        <f>TEXT(B13407,"aaa")</f>
        <v/>
      </c>
      <c r="D13407" s="94" t="n"/>
      <c r="E13407" s="88">
        <f>INDEX(매칭테이블!C:D,MATCH(RD!G13407,매칭테이블!D:D,0),1)</f>
        <v/>
      </c>
      <c r="F13407" s="94" t="inlineStr">
        <is>
          <t>카페24</t>
        </is>
      </c>
      <c r="G13407" s="94" t="inlineStr">
        <is>
          <t>어성초 크림마스크 나이트 솔루션옵션=어성초 크림마스크 나이트 솔루션 10장 (-50%)</t>
        </is>
      </c>
      <c r="K13407" s="94" t="n">
        <v>4</v>
      </c>
      <c r="L13407" s="88" t="n">
        <v>201208</v>
      </c>
      <c r="M13407" s="88">
        <f>VLOOKUP($Q13407,매칭테이블!$F:$I,2,0)*K13407</f>
        <v/>
      </c>
      <c r="N13407" s="88">
        <f>M13407-M13407*VLOOKUP($Q13407,매칭테이블!$F:$I,3,0)</f>
        <v/>
      </c>
      <c r="O13407" s="88">
        <f>VLOOKUP($Q13407,매칭테이블!$F:$I,4,0)*K13407</f>
        <v/>
      </c>
      <c r="P13407" s="152">
        <f>M13407/1.1</f>
        <v/>
      </c>
      <c r="Q13407" s="88">
        <f>F13407&amp;E13407&amp;G13407&amp;L13407</f>
        <v/>
      </c>
    </row>
    <row r="13408">
      <c r="B13408" s="128" t="n">
        <v>44205</v>
      </c>
      <c r="C13408" s="88">
        <f>TEXT(B13408,"aaa")</f>
        <v/>
      </c>
      <c r="D13408" s="94" t="n"/>
      <c r="E13408" s="88">
        <f>INDEX(매칭테이블!C:D,MATCH(RD!G13408,매칭테이블!D:D,0),1)</f>
        <v/>
      </c>
      <c r="F13408" s="94" t="inlineStr">
        <is>
          <t>카페24</t>
        </is>
      </c>
      <c r="G13408" s="94" t="inlineStr">
        <is>
          <t>청귤 비타 잡티 마스크옵션=청귤 비타 잡티 마스크 10장(50% off)</t>
        </is>
      </c>
      <c r="K13408" s="94" t="n">
        <v>1</v>
      </c>
      <c r="L13408" s="88" t="n">
        <v>201208</v>
      </c>
      <c r="M13408" s="88">
        <f>VLOOKUP($Q13408,매칭테이블!$F:$I,2,0)*K13408</f>
        <v/>
      </c>
      <c r="N13408" s="88">
        <f>M13408-M13408*VLOOKUP($Q13408,매칭테이블!$F:$I,3,0)</f>
        <v/>
      </c>
      <c r="O13408" s="88">
        <f>VLOOKUP($Q13408,매칭테이블!$F:$I,4,0)*K13408</f>
        <v/>
      </c>
      <c r="P13408" s="152">
        <f>M13408/1.1</f>
        <v/>
      </c>
      <c r="Q13408" s="88">
        <f>F13408&amp;E13408&amp;G13408&amp;L13408</f>
        <v/>
      </c>
    </row>
    <row r="13409">
      <c r="B13409" s="128" t="n">
        <v>44205</v>
      </c>
      <c r="C13409" s="88">
        <f>TEXT(B13409,"aaa")</f>
        <v/>
      </c>
      <c r="D13409" s="94" t="n"/>
      <c r="E13409" s="88">
        <f>INDEX(매칭테이블!C:D,MATCH(RD!G13409,매칭테이블!D:D,0),1)</f>
        <v/>
      </c>
      <c r="F13409" s="94" t="inlineStr">
        <is>
          <t>카페24</t>
        </is>
      </c>
      <c r="G13409" s="94" t="inlineStr">
        <is>
          <t>촉촉 스킨팩 화장솜</t>
        </is>
      </c>
      <c r="K13409" s="94" t="n">
        <v>29</v>
      </c>
      <c r="L13409" s="88" t="n">
        <v>201208</v>
      </c>
      <c r="M13409" s="88">
        <f>VLOOKUP($Q13409,매칭테이블!$F:$I,2,0)*K13409</f>
        <v/>
      </c>
      <c r="N13409" s="88">
        <f>M13409-M13409*VLOOKUP($Q13409,매칭테이블!$F:$I,3,0)</f>
        <v/>
      </c>
      <c r="O13409" s="88">
        <f>VLOOKUP($Q13409,매칭테이블!$F:$I,4,0)*K13409</f>
        <v/>
      </c>
      <c r="P13409" s="152">
        <f>M13409/1.1</f>
        <v/>
      </c>
      <c r="Q13409" s="88">
        <f>F13409&amp;E13409&amp;G13409&amp;L13409</f>
        <v/>
      </c>
    </row>
    <row r="13410">
      <c r="B13410" s="128" t="n">
        <v>44205</v>
      </c>
      <c r="C13410" s="88">
        <f>TEXT(B13410,"aaa")</f>
        <v/>
      </c>
      <c r="D13410" s="94" t="n"/>
      <c r="E13410" s="88">
        <f>INDEX(매칭테이블!C:D,MATCH(RD!G13410,매칭테이블!D:D,0),1)</f>
        <v/>
      </c>
      <c r="F13410" s="94" t="inlineStr">
        <is>
          <t>카페24</t>
        </is>
      </c>
      <c r="G13410" s="94" t="inlineStr">
        <is>
          <t>촉촉 스킨팩 화장솜</t>
        </is>
      </c>
      <c r="K13410" s="94" t="n">
        <v>2</v>
      </c>
      <c r="L13410" s="88" t="n">
        <v>201208</v>
      </c>
      <c r="M13410" s="88">
        <f>VLOOKUP($Q13410,매칭테이블!$F:$I,2,0)*K13410</f>
        <v/>
      </c>
      <c r="N13410" s="88">
        <f>M13410-M13410*VLOOKUP($Q13410,매칭테이블!$F:$I,3,0)</f>
        <v/>
      </c>
      <c r="O13410" s="88">
        <f>VLOOKUP($Q13410,매칭테이블!$F:$I,4,0)*K13410</f>
        <v/>
      </c>
      <c r="P13410" s="152">
        <f>M13410/1.1</f>
        <v/>
      </c>
      <c r="Q13410" s="88">
        <f>F13410&amp;E13410&amp;G13410&amp;L13410</f>
        <v/>
      </c>
    </row>
    <row r="13411">
      <c r="B13411" s="128" t="n">
        <v>44206</v>
      </c>
      <c r="C13411" s="88">
        <f>TEXT(B13411,"aaa")</f>
        <v/>
      </c>
      <c r="D13411" s="94" t="n"/>
      <c r="E13411" s="88">
        <f>INDEX(매칭테이블!C:D,MATCH(RD!G13411,매칭테이블!D:D,0),1)</f>
        <v/>
      </c>
      <c r="F13411" s="94" t="inlineStr">
        <is>
          <t>스타일쉐어</t>
        </is>
      </c>
      <c r="G13411" s="94" t="inlineStr">
        <is>
          <t>아누아 어성초 77 토너 250ml</t>
        </is>
      </c>
      <c r="K13411" s="94" t="n">
        <v>3</v>
      </c>
      <c r="L13411" s="88" t="n">
        <v>201208</v>
      </c>
      <c r="M13411" s="88">
        <f>VLOOKUP($Q13411,매칭테이블!$F:$I,2,0)*K13411</f>
        <v/>
      </c>
      <c r="N13411" s="88">
        <f>M13411-M13411*VLOOKUP($Q13411,매칭테이블!$F:$I,3,0)</f>
        <v/>
      </c>
      <c r="O13411" s="88">
        <f>VLOOKUP($Q13411,매칭테이블!$F:$I,4,0)*K13411</f>
        <v/>
      </c>
      <c r="P13411" s="152">
        <f>M13411/1.1</f>
        <v/>
      </c>
      <c r="Q13411" s="88">
        <f>F13411&amp;E13411&amp;G13411&amp;L13411</f>
        <v/>
      </c>
    </row>
    <row r="13412">
      <c r="B13412" s="128" t="n">
        <v>44206</v>
      </c>
      <c r="C13412" s="88">
        <f>TEXT(B13412,"aaa")</f>
        <v/>
      </c>
      <c r="D13412" s="94" t="n"/>
      <c r="E13412" s="88">
        <f>INDEX(매칭테이블!C:D,MATCH(RD!G13412,매칭테이블!D:D,0),1)</f>
        <v/>
      </c>
      <c r="F13412" s="94" t="inlineStr">
        <is>
          <t>카페24</t>
        </is>
      </c>
      <c r="G13412" s="94" t="inlineStr">
        <is>
          <t>5 제로 무기자차 선크림옵션=5제로 무기자차 선크림 1개-20% off</t>
        </is>
      </c>
      <c r="K13412" s="94" t="n">
        <v>1</v>
      </c>
      <c r="L13412" s="88" t="n">
        <v>201208</v>
      </c>
      <c r="M13412" s="88">
        <f>VLOOKUP($Q13412,매칭테이블!$F:$I,2,0)*K13412</f>
        <v/>
      </c>
      <c r="N13412" s="88">
        <f>M13412-M13412*VLOOKUP($Q13412,매칭테이블!$F:$I,3,0)</f>
        <v/>
      </c>
      <c r="O13412" s="88">
        <f>VLOOKUP($Q13412,매칭테이블!$F:$I,4,0)*K13412</f>
        <v/>
      </c>
      <c r="P13412" s="152">
        <f>M13412/1.1</f>
        <v/>
      </c>
      <c r="Q13412" s="88">
        <f>F13412&amp;E13412&amp;G13412&amp;L13412</f>
        <v/>
      </c>
    </row>
    <row r="13413">
      <c r="B13413" s="128" t="n">
        <v>44206</v>
      </c>
      <c r="C13413" s="88">
        <f>TEXT(B13413,"aaa")</f>
        <v/>
      </c>
      <c r="D13413" s="94" t="n"/>
      <c r="E13413" s="88">
        <f>INDEX(매칭테이블!C:D,MATCH(RD!G13413,매칭테이블!D:D,0),1)</f>
        <v/>
      </c>
      <c r="F13413" s="94" t="inlineStr">
        <is>
          <t>카페24</t>
        </is>
      </c>
      <c r="G13413" s="94" t="inlineStr">
        <is>
          <t>[수분 보충 세트] 어성초 77 토너 + 어성초 70 로션옵션=어성초 77 토너 250ml + 어성초 70 로션 200ml -30%</t>
        </is>
      </c>
      <c r="K13413" s="94" t="n">
        <v>44</v>
      </c>
      <c r="L13413" s="88" t="n">
        <v>201208</v>
      </c>
      <c r="M13413" s="88">
        <f>VLOOKUP($Q13413,매칭테이블!$F:$I,2,0)*K13413</f>
        <v/>
      </c>
      <c r="N13413" s="88">
        <f>M13413-M13413*VLOOKUP($Q13413,매칭테이블!$F:$I,3,0)</f>
        <v/>
      </c>
      <c r="O13413" s="88">
        <f>VLOOKUP($Q13413,매칭테이블!$F:$I,4,0)*K13413</f>
        <v/>
      </c>
      <c r="P13413" s="152">
        <f>M13413/1.1</f>
        <v/>
      </c>
      <c r="Q13413" s="88">
        <f>F13413&amp;E13413&amp;G13413&amp;L13413</f>
        <v/>
      </c>
    </row>
    <row r="13414">
      <c r="B13414" s="128" t="n">
        <v>44206</v>
      </c>
      <c r="C13414" s="88">
        <f>TEXT(B13414,"aaa")</f>
        <v/>
      </c>
      <c r="D13414" s="94" t="n"/>
      <c r="E13414" s="88">
        <f>INDEX(매칭테이블!C:D,MATCH(RD!G13414,매칭테이블!D:D,0),1)</f>
        <v/>
      </c>
      <c r="F13414" s="94" t="inlineStr">
        <is>
          <t>카페24</t>
        </is>
      </c>
      <c r="G13414" s="94" t="inlineStr">
        <is>
          <t>[어성초 진정 패키지 세트] 대용량 토너 + 앰플 + 수딩 크림 + 마스크팩 10장</t>
        </is>
      </c>
      <c r="K13414" s="94" t="n">
        <v>2</v>
      </c>
      <c r="L13414" s="88" t="n">
        <v>201208</v>
      </c>
      <c r="M13414" s="88">
        <f>VLOOKUP($Q13414,매칭테이블!$F:$I,2,0)*K13414</f>
        <v/>
      </c>
      <c r="N13414" s="88">
        <f>M13414-M13414*VLOOKUP($Q13414,매칭테이블!$F:$I,3,0)</f>
        <v/>
      </c>
      <c r="O13414" s="88">
        <f>VLOOKUP($Q13414,매칭테이블!$F:$I,4,0)*K13414</f>
        <v/>
      </c>
      <c r="P13414" s="152">
        <f>M13414/1.1</f>
        <v/>
      </c>
      <c r="Q13414" s="88">
        <f>F13414&amp;E13414&amp;G13414&amp;L13414</f>
        <v/>
      </c>
    </row>
    <row r="13415">
      <c r="B13415" s="128" t="n">
        <v>44206</v>
      </c>
      <c r="C13415" s="88">
        <f>TEXT(B13415,"aaa")</f>
        <v/>
      </c>
      <c r="D13415" s="94" t="n"/>
      <c r="E13415" s="88">
        <f>INDEX(매칭테이블!C:D,MATCH(RD!G13415,매칭테이블!D:D,0),1)</f>
        <v/>
      </c>
      <c r="F13415" s="94" t="inlineStr">
        <is>
          <t>카페24</t>
        </is>
      </c>
      <c r="G13415" s="94" t="inlineStr">
        <is>
          <t>대용량 어성초 77 수딩 토너 500ml</t>
        </is>
      </c>
      <c r="K13415" s="94" t="n">
        <v>35</v>
      </c>
      <c r="L13415" s="88" t="n">
        <v>201208</v>
      </c>
      <c r="M13415" s="88">
        <f>VLOOKUP($Q13415,매칭테이블!$F:$I,2,0)*K13415</f>
        <v/>
      </c>
      <c r="N13415" s="88">
        <f>M13415-M13415*VLOOKUP($Q13415,매칭테이블!$F:$I,3,0)</f>
        <v/>
      </c>
      <c r="O13415" s="88">
        <f>VLOOKUP($Q13415,매칭테이블!$F:$I,4,0)*K13415</f>
        <v/>
      </c>
      <c r="P13415" s="152">
        <f>M13415/1.1</f>
        <v/>
      </c>
      <c r="Q13415" s="88">
        <f>F13415&amp;E13415&amp;G13415&amp;L13415</f>
        <v/>
      </c>
    </row>
    <row r="13416">
      <c r="B13416" s="128" t="n">
        <v>44206</v>
      </c>
      <c r="C13416" s="88">
        <f>TEXT(B13416,"aaa")</f>
        <v/>
      </c>
      <c r="D13416" s="94" t="n"/>
      <c r="E13416" s="88">
        <f>INDEX(매칭테이블!C:D,MATCH(RD!G13416,매칭테이블!D:D,0),1)</f>
        <v/>
      </c>
      <c r="F13416" s="94" t="inlineStr">
        <is>
          <t>카페24</t>
        </is>
      </c>
      <c r="G13416" s="94" t="inlineStr">
        <is>
          <t>아누아 어성초 77 수딩 토너토너(필수)=어성초 77 토너 1개-20% off</t>
        </is>
      </c>
      <c r="K13416" s="94" t="n">
        <v>3</v>
      </c>
      <c r="L13416" s="88" t="n">
        <v>201208</v>
      </c>
      <c r="M13416" s="88">
        <f>VLOOKUP($Q13416,매칭테이블!$F:$I,2,0)*K13416</f>
        <v/>
      </c>
      <c r="N13416" s="88">
        <f>M13416-M13416*VLOOKUP($Q13416,매칭테이블!$F:$I,3,0)</f>
        <v/>
      </c>
      <c r="O13416" s="88">
        <f>VLOOKUP($Q13416,매칭테이블!$F:$I,4,0)*K13416</f>
        <v/>
      </c>
      <c r="P13416" s="152">
        <f>M13416/1.1</f>
        <v/>
      </c>
      <c r="Q13416" s="88">
        <f>F13416&amp;E13416&amp;G13416&amp;L13416</f>
        <v/>
      </c>
    </row>
    <row r="13417">
      <c r="B13417" s="128" t="n">
        <v>44206</v>
      </c>
      <c r="C13417" s="88">
        <f>TEXT(B13417,"aaa")</f>
        <v/>
      </c>
      <c r="D13417" s="94" t="n"/>
      <c r="E13417" s="88">
        <f>INDEX(매칭테이블!C:D,MATCH(RD!G13417,매칭테이블!D:D,0),1)</f>
        <v/>
      </c>
      <c r="F13417" s="94" t="inlineStr">
        <is>
          <t>카페24</t>
        </is>
      </c>
      <c r="G13417" s="94" t="inlineStr">
        <is>
          <t>아누아 어성초 77 수딩 토너토너(필수)=어성초 77 토너 2개-30% off (무료배송)</t>
        </is>
      </c>
      <c r="K13417" s="94" t="n">
        <v>1</v>
      </c>
      <c r="L13417" s="88" t="n">
        <v>201208</v>
      </c>
      <c r="M13417" s="88">
        <f>VLOOKUP($Q13417,매칭테이블!$F:$I,2,0)*K13417</f>
        <v/>
      </c>
      <c r="N13417" s="88">
        <f>M13417-M13417*VLOOKUP($Q13417,매칭테이블!$F:$I,3,0)</f>
        <v/>
      </c>
      <c r="O13417" s="88">
        <f>VLOOKUP($Q13417,매칭테이블!$F:$I,4,0)*K13417</f>
        <v/>
      </c>
      <c r="P13417" s="152">
        <f>M13417/1.1</f>
        <v/>
      </c>
      <c r="Q13417" s="88">
        <f>F13417&amp;E13417&amp;G13417&amp;L13417</f>
        <v/>
      </c>
    </row>
    <row r="13418">
      <c r="B13418" s="128" t="n">
        <v>44206</v>
      </c>
      <c r="C13418" s="88">
        <f>TEXT(B13418,"aaa")</f>
        <v/>
      </c>
      <c r="D13418" s="94" t="n"/>
      <c r="E13418" s="88">
        <f>INDEX(매칭테이블!C:D,MATCH(RD!G13418,매칭테이블!D:D,0),1)</f>
        <v/>
      </c>
      <c r="F13418" s="94" t="inlineStr">
        <is>
          <t>카페24</t>
        </is>
      </c>
      <c r="G13418" s="94" t="inlineStr">
        <is>
          <t>어성초 70 데일리 릴리프 로션로션=어성초 70 데일리 릴리프 로션 1개 -20% off</t>
        </is>
      </c>
      <c r="K13418" s="94" t="n">
        <v>19</v>
      </c>
      <c r="L13418" s="88" t="n">
        <v>201208</v>
      </c>
      <c r="M13418" s="88">
        <f>VLOOKUP($Q13418,매칭테이블!$F:$I,2,0)*K13418</f>
        <v/>
      </c>
      <c r="N13418" s="88">
        <f>M13418-M13418*VLOOKUP($Q13418,매칭테이블!$F:$I,3,0)</f>
        <v/>
      </c>
      <c r="O13418" s="88">
        <f>VLOOKUP($Q13418,매칭테이블!$F:$I,4,0)*K13418</f>
        <v/>
      </c>
      <c r="P13418" s="152">
        <f>M13418/1.1</f>
        <v/>
      </c>
      <c r="Q13418" s="88">
        <f>F13418&amp;E13418&amp;G13418&amp;L13418</f>
        <v/>
      </c>
    </row>
    <row r="13419">
      <c r="B13419" s="128" t="n">
        <v>44206</v>
      </c>
      <c r="C13419" s="88">
        <f>TEXT(B13419,"aaa")</f>
        <v/>
      </c>
      <c r="D13419" s="94" t="n"/>
      <c r="E13419" s="88">
        <f>INDEX(매칭테이블!C:D,MATCH(RD!G13419,매칭테이블!D:D,0),1)</f>
        <v/>
      </c>
      <c r="F13419" s="94" t="inlineStr">
        <is>
          <t>카페24</t>
        </is>
      </c>
      <c r="G13419" s="94" t="inlineStr">
        <is>
          <t>어성초 70 데일리 릴리프 로션로션=어성초 70 데일리 릴리프 로션 2개 -30% off</t>
        </is>
      </c>
      <c r="K13419" s="94" t="n">
        <v>2</v>
      </c>
      <c r="L13419" s="88" t="n">
        <v>201208</v>
      </c>
      <c r="M13419" s="88">
        <f>VLOOKUP($Q13419,매칭테이블!$F:$I,2,0)*K13419</f>
        <v/>
      </c>
      <c r="N13419" s="88">
        <f>M13419-M13419*VLOOKUP($Q13419,매칭테이블!$F:$I,3,0)</f>
        <v/>
      </c>
      <c r="O13419" s="88">
        <f>VLOOKUP($Q13419,매칭테이블!$F:$I,4,0)*K13419</f>
        <v/>
      </c>
      <c r="P13419" s="152">
        <f>M13419/1.1</f>
        <v/>
      </c>
      <c r="Q13419" s="88">
        <f>F13419&amp;E13419&amp;G13419&amp;L13419</f>
        <v/>
      </c>
    </row>
    <row r="13420">
      <c r="B13420" s="128" t="n">
        <v>44206</v>
      </c>
      <c r="C13420" s="88">
        <f>TEXT(B13420,"aaa")</f>
        <v/>
      </c>
      <c r="D13420" s="94" t="n"/>
      <c r="E13420" s="88">
        <f>INDEX(매칭테이블!C:D,MATCH(RD!G13420,매칭테이블!D:D,0),1)</f>
        <v/>
      </c>
      <c r="F13420" s="94" t="inlineStr">
        <is>
          <t>카페24</t>
        </is>
      </c>
      <c r="G13420" s="94" t="inlineStr">
        <is>
          <t>어성초 70 데일리 릴리프 로션로션=어성초 77토너 + 어성초 70 로션 수분 보충 세트 -30% off</t>
        </is>
      </c>
      <c r="K13420" s="94" t="n">
        <v>1</v>
      </c>
      <c r="L13420" s="88" t="n">
        <v>201208</v>
      </c>
      <c r="M13420" s="88">
        <f>VLOOKUP($Q13420,매칭테이블!$F:$I,2,0)*K13420</f>
        <v/>
      </c>
      <c r="N13420" s="88">
        <f>M13420-M13420*VLOOKUP($Q13420,매칭테이블!$F:$I,3,0)</f>
        <v/>
      </c>
      <c r="O13420" s="88">
        <f>VLOOKUP($Q13420,매칭테이블!$F:$I,4,0)*K13420</f>
        <v/>
      </c>
      <c r="P13420" s="152">
        <f>M13420/1.1</f>
        <v/>
      </c>
      <c r="Q13420" s="88">
        <f>F13420&amp;E13420&amp;G13420&amp;L13420</f>
        <v/>
      </c>
    </row>
    <row r="13421">
      <c r="B13421" s="128" t="n">
        <v>44206</v>
      </c>
      <c r="C13421" s="88">
        <f>TEXT(B13421,"aaa")</f>
        <v/>
      </c>
      <c r="D13421" s="94" t="n"/>
      <c r="E13421" s="88">
        <f>INDEX(매칭테이블!C:D,MATCH(RD!G13421,매칭테이블!D:D,0),1)</f>
        <v/>
      </c>
      <c r="F13421" s="94" t="inlineStr">
        <is>
          <t>카페24</t>
        </is>
      </c>
      <c r="G13421" s="94" t="inlineStr">
        <is>
          <t>어성초 70 머드 크림 마스크옵션=어성초 70 머드 크림 마스크-20% off</t>
        </is>
      </c>
      <c r="K13421" s="94" t="n">
        <v>3</v>
      </c>
      <c r="L13421" s="88" t="n">
        <v>201208</v>
      </c>
      <c r="M13421" s="88">
        <f>VLOOKUP($Q13421,매칭테이블!$F:$I,2,0)*K13421</f>
        <v/>
      </c>
      <c r="N13421" s="88">
        <f>M13421-M13421*VLOOKUP($Q13421,매칭테이블!$F:$I,3,0)</f>
        <v/>
      </c>
      <c r="O13421" s="88">
        <f>VLOOKUP($Q13421,매칭테이블!$F:$I,4,0)*K13421</f>
        <v/>
      </c>
      <c r="P13421" s="152">
        <f>M13421/1.1</f>
        <v/>
      </c>
      <c r="Q13421" s="88">
        <f>F13421&amp;E13421&amp;G13421&amp;L13421</f>
        <v/>
      </c>
    </row>
    <row r="13422">
      <c r="B13422" s="128" t="n">
        <v>44206</v>
      </c>
      <c r="C13422" s="88">
        <f>TEXT(B13422,"aaa")</f>
        <v/>
      </c>
      <c r="D13422" s="94" t="n"/>
      <c r="E13422" s="88">
        <f>INDEX(매칭테이블!C:D,MATCH(RD!G13422,매칭테이블!D:D,0),1)</f>
        <v/>
      </c>
      <c r="F13422" s="94" t="inlineStr">
        <is>
          <t>카페24</t>
        </is>
      </c>
      <c r="G13422" s="94" t="inlineStr">
        <is>
          <t>어성초 70 인텐스 카밍 크림크림=어성초 70 인텐스 카밍 크림 1개 (-20%)</t>
        </is>
      </c>
      <c r="K13422" s="94" t="n">
        <v>8</v>
      </c>
      <c r="L13422" s="88" t="n">
        <v>201208</v>
      </c>
      <c r="M13422" s="88">
        <f>VLOOKUP($Q13422,매칭테이블!$F:$I,2,0)*K13422</f>
        <v/>
      </c>
      <c r="N13422" s="88">
        <f>M13422-M13422*VLOOKUP($Q13422,매칭테이블!$F:$I,3,0)</f>
        <v/>
      </c>
      <c r="O13422" s="88">
        <f>VLOOKUP($Q13422,매칭테이블!$F:$I,4,0)*K13422</f>
        <v/>
      </c>
      <c r="P13422" s="152">
        <f>M13422/1.1</f>
        <v/>
      </c>
      <c r="Q13422" s="88">
        <f>F13422&amp;E13422&amp;G13422&amp;L13422</f>
        <v/>
      </c>
    </row>
    <row r="13423">
      <c r="B13423" s="128" t="n">
        <v>44206</v>
      </c>
      <c r="C13423" s="88">
        <f>TEXT(B13423,"aaa")</f>
        <v/>
      </c>
      <c r="D13423" s="94" t="n"/>
      <c r="E13423" s="88">
        <f>INDEX(매칭테이블!C:D,MATCH(RD!G13423,매칭테이블!D:D,0),1)</f>
        <v/>
      </c>
      <c r="F13423" s="94" t="inlineStr">
        <is>
          <t>카페24</t>
        </is>
      </c>
      <c r="G13423" s="94" t="inlineStr">
        <is>
          <t>어성초 70 인텐스 카밍 크림크림=어성초 70 인텐스 카밍 크림 2개 (-30%)</t>
        </is>
      </c>
      <c r="K13423" s="94" t="n">
        <v>1</v>
      </c>
      <c r="L13423" s="88" t="n">
        <v>201208</v>
      </c>
      <c r="M13423" s="88">
        <f>VLOOKUP($Q13423,매칭테이블!$F:$I,2,0)*K13423</f>
        <v/>
      </c>
      <c r="N13423" s="88">
        <f>M13423-M13423*VLOOKUP($Q13423,매칭테이블!$F:$I,3,0)</f>
        <v/>
      </c>
      <c r="O13423" s="88">
        <f>VLOOKUP($Q13423,매칭테이블!$F:$I,4,0)*K13423</f>
        <v/>
      </c>
      <c r="P13423" s="152">
        <f>M13423/1.1</f>
        <v/>
      </c>
      <c r="Q13423" s="88">
        <f>F13423&amp;E13423&amp;G13423&amp;L13423</f>
        <v/>
      </c>
    </row>
    <row r="13424">
      <c r="B13424" s="128" t="n">
        <v>44206</v>
      </c>
      <c r="C13424" s="88">
        <f>TEXT(B13424,"aaa")</f>
        <v/>
      </c>
      <c r="D13424" s="94" t="n"/>
      <c r="E13424" s="88">
        <f>INDEX(매칭테이블!C:D,MATCH(RD!G13424,매칭테이블!D:D,0),1)</f>
        <v/>
      </c>
      <c r="F13424" s="94" t="inlineStr">
        <is>
          <t>카페24</t>
        </is>
      </c>
      <c r="G13424" s="94" t="inlineStr">
        <is>
          <t>어성초 77 수딩 토너토너(필수)=어성초 77 토너 2개-30% off (무료배송)</t>
        </is>
      </c>
      <c r="K13424" s="94" t="n">
        <v>1</v>
      </c>
      <c r="L13424" s="88" t="n">
        <v>201208</v>
      </c>
      <c r="M13424" s="88">
        <f>VLOOKUP($Q13424,매칭테이블!$F:$I,2,0)*K13424</f>
        <v/>
      </c>
      <c r="N13424" s="88">
        <f>M13424-M13424*VLOOKUP($Q13424,매칭테이블!$F:$I,3,0)</f>
        <v/>
      </c>
      <c r="O13424" s="88">
        <f>VLOOKUP($Q13424,매칭테이블!$F:$I,4,0)*K13424</f>
        <v/>
      </c>
      <c r="P13424" s="152">
        <f>M13424/1.1</f>
        <v/>
      </c>
      <c r="Q13424" s="88">
        <f>F13424&amp;E13424&amp;G13424&amp;L13424</f>
        <v/>
      </c>
    </row>
    <row r="13425">
      <c r="B13425" s="128" t="n">
        <v>44206</v>
      </c>
      <c r="C13425" s="88">
        <f>TEXT(B13425,"aaa")</f>
        <v/>
      </c>
      <c r="D13425" s="94" t="n"/>
      <c r="E13425" s="88">
        <f>INDEX(매칭테이블!C:D,MATCH(RD!G13425,매칭테이블!D:D,0),1)</f>
        <v/>
      </c>
      <c r="F13425" s="94" t="inlineStr">
        <is>
          <t>카페24</t>
        </is>
      </c>
      <c r="G13425" s="94" t="inlineStr">
        <is>
          <t>어성초 77 수딩 토너토너(필수)=(대용량) 어성초 77 토너 500ml (무료배송)</t>
        </is>
      </c>
      <c r="K13425" s="94" t="n">
        <v>1</v>
      </c>
      <c r="L13425" s="88" t="n">
        <v>201208</v>
      </c>
      <c r="M13425" s="88">
        <f>VLOOKUP($Q13425,매칭테이블!$F:$I,2,0)*K13425</f>
        <v/>
      </c>
      <c r="N13425" s="88">
        <f>M13425-M13425*VLOOKUP($Q13425,매칭테이블!$F:$I,3,0)</f>
        <v/>
      </c>
      <c r="O13425" s="88">
        <f>VLOOKUP($Q13425,매칭테이블!$F:$I,4,0)*K13425</f>
        <v/>
      </c>
      <c r="P13425" s="152">
        <f>M13425/1.1</f>
        <v/>
      </c>
      <c r="Q13425" s="88">
        <f>F13425&amp;E13425&amp;G13425&amp;L13425</f>
        <v/>
      </c>
    </row>
    <row r="13426">
      <c r="B13426" s="128" t="n">
        <v>44206</v>
      </c>
      <c r="C13426" s="88">
        <f>TEXT(B13426,"aaa")</f>
        <v/>
      </c>
      <c r="D13426" s="94" t="n"/>
      <c r="E13426" s="88">
        <f>INDEX(매칭테이블!C:D,MATCH(RD!G13426,매칭테이블!D:D,0),1)</f>
        <v/>
      </c>
      <c r="F13426" s="94" t="inlineStr">
        <is>
          <t>카페24</t>
        </is>
      </c>
      <c r="G13426" s="94" t="inlineStr">
        <is>
          <t>어성초 77 수딩 토너 (클리어패드 세트 구매시 1/11 순차발송 예정)옵션=어성초 77 토너 1개-20% off</t>
        </is>
      </c>
      <c r="K13426" s="94" t="n">
        <v>71</v>
      </c>
      <c r="L13426" s="88" t="n">
        <v>201208</v>
      </c>
      <c r="M13426" s="88">
        <f>VLOOKUP($Q13426,매칭테이블!$F:$I,2,0)*K13426</f>
        <v/>
      </c>
      <c r="N13426" s="88">
        <f>M13426-M13426*VLOOKUP($Q13426,매칭테이블!$F:$I,3,0)</f>
        <v/>
      </c>
      <c r="O13426" s="88">
        <f>VLOOKUP($Q13426,매칭테이블!$F:$I,4,0)*K13426</f>
        <v/>
      </c>
      <c r="P13426" s="152">
        <f>M13426/1.1</f>
        <v/>
      </c>
      <c r="Q13426" s="88">
        <f>F13426&amp;E13426&amp;G13426&amp;L13426</f>
        <v/>
      </c>
    </row>
    <row r="13427">
      <c r="B13427" s="128" t="n">
        <v>44206</v>
      </c>
      <c r="C13427" s="88">
        <f>TEXT(B13427,"aaa")</f>
        <v/>
      </c>
      <c r="D13427" s="94" t="n"/>
      <c r="E13427" s="88">
        <f>INDEX(매칭테이블!C:D,MATCH(RD!G13427,매칭테이블!D:D,0),1)</f>
        <v/>
      </c>
      <c r="F13427" s="94" t="inlineStr">
        <is>
          <t>카페24</t>
        </is>
      </c>
      <c r="G13427" s="94" t="inlineStr">
        <is>
          <t>어성초 77 수딩 토너 (클리어패드 세트 구매시 1/11 순차발송 예정)옵션=어성초 77 토너 2개-30% off (무료배송)</t>
        </is>
      </c>
      <c r="K13427" s="94" t="n">
        <v>55</v>
      </c>
      <c r="L13427" s="88" t="n">
        <v>201208</v>
      </c>
      <c r="M13427" s="88">
        <f>VLOOKUP($Q13427,매칭테이블!$F:$I,2,0)*K13427</f>
        <v/>
      </c>
      <c r="N13427" s="88">
        <f>M13427-M13427*VLOOKUP($Q13427,매칭테이블!$F:$I,3,0)</f>
        <v/>
      </c>
      <c r="O13427" s="88">
        <f>VLOOKUP($Q13427,매칭테이블!$F:$I,4,0)*K13427</f>
        <v/>
      </c>
      <c r="P13427" s="152">
        <f>M13427/1.1</f>
        <v/>
      </c>
      <c r="Q13427" s="88">
        <f>F13427&amp;E13427&amp;G13427&amp;L13427</f>
        <v/>
      </c>
    </row>
    <row r="13428">
      <c r="B13428" s="128" t="n">
        <v>44206</v>
      </c>
      <c r="C13428" s="88">
        <f>TEXT(B13428,"aaa")</f>
        <v/>
      </c>
      <c r="D13428" s="94" t="n"/>
      <c r="E13428" s="88">
        <f>INDEX(매칭테이블!C:D,MATCH(RD!G13428,매칭테이블!D:D,0),1)</f>
        <v/>
      </c>
      <c r="F13428" s="94" t="inlineStr">
        <is>
          <t>카페24</t>
        </is>
      </c>
      <c r="G13428" s="94" t="inlineStr">
        <is>
          <t>어성초 77 수딩 토너 (클리어패드 세트 구매시 1/11 순차발송 예정)토너(필수)=어성초 77 토너 2개-30% off (무료배송)</t>
        </is>
      </c>
      <c r="K13428" s="94" t="n">
        <v>1</v>
      </c>
      <c r="L13428" s="88" t="n">
        <v>201208</v>
      </c>
      <c r="M13428" s="88">
        <f>VLOOKUP($Q13428,매칭테이블!$F:$I,2,0)*K13428</f>
        <v/>
      </c>
      <c r="N13428" s="88">
        <f>M13428-M13428*VLOOKUP($Q13428,매칭테이블!$F:$I,3,0)</f>
        <v/>
      </c>
      <c r="O13428" s="88">
        <f>VLOOKUP($Q13428,매칭테이블!$F:$I,4,0)*K13428</f>
        <v/>
      </c>
      <c r="P13428" s="152">
        <f>M13428/1.1</f>
        <v/>
      </c>
      <c r="Q13428" s="88">
        <f>F13428&amp;E13428&amp;G13428&amp;L13428</f>
        <v/>
      </c>
    </row>
    <row r="13429">
      <c r="B13429" s="128" t="n">
        <v>44206</v>
      </c>
      <c r="C13429" s="88">
        <f>TEXT(B13429,"aaa")</f>
        <v/>
      </c>
      <c r="D13429" s="94" t="n"/>
      <c r="E13429" s="88">
        <f>INDEX(매칭테이블!C:D,MATCH(RD!G13429,매칭테이블!D:D,0),1)</f>
        <v/>
      </c>
      <c r="F13429" s="94" t="inlineStr">
        <is>
          <t>카페24</t>
        </is>
      </c>
      <c r="G13429" s="94" t="inlineStr">
        <is>
          <t>어성초 77 수딩 토너 (클리어패드 세트 구매시 1/11 순차발송 예정)옵션=어성초 77토너1개 + 어성초77패드1개 -30% off (무료배송)</t>
        </is>
      </c>
      <c r="K13429" s="94" t="n">
        <v>58</v>
      </c>
      <c r="L13429" s="88" t="n">
        <v>201208</v>
      </c>
      <c r="M13429" s="88">
        <f>VLOOKUP($Q13429,매칭테이블!$F:$I,2,0)*K13429</f>
        <v/>
      </c>
      <c r="N13429" s="88">
        <f>M13429-M13429*VLOOKUP($Q13429,매칭테이블!$F:$I,3,0)</f>
        <v/>
      </c>
      <c r="O13429" s="88">
        <f>VLOOKUP($Q13429,매칭테이블!$F:$I,4,0)*K13429</f>
        <v/>
      </c>
      <c r="P13429" s="152">
        <f>M13429/1.1</f>
        <v/>
      </c>
      <c r="Q13429" s="88">
        <f>F13429&amp;E13429&amp;G13429&amp;L13429</f>
        <v/>
      </c>
    </row>
    <row r="13430">
      <c r="B13430" s="128" t="n">
        <v>44206</v>
      </c>
      <c r="C13430" s="88">
        <f>TEXT(B13430,"aaa")</f>
        <v/>
      </c>
      <c r="D13430" s="94" t="n"/>
      <c r="E13430" s="88">
        <f>INDEX(매칭테이블!C:D,MATCH(RD!G13430,매칭테이블!D:D,0),1)</f>
        <v/>
      </c>
      <c r="F13430" s="94" t="inlineStr">
        <is>
          <t>카페24</t>
        </is>
      </c>
      <c r="G13430" s="94" t="inlineStr">
        <is>
          <t>어성초 77 수딩 토너 (클리어패드 세트 구매시 1/11 순차발송 예정)화장솜(선택)=촉촉 스킨팩 화장솜</t>
        </is>
      </c>
      <c r="K13430" s="94" t="n">
        <v>49</v>
      </c>
      <c r="L13430" s="88" t="n">
        <v>201208</v>
      </c>
      <c r="M13430" s="88">
        <f>VLOOKUP($Q13430,매칭테이블!$F:$I,2,0)*K13430</f>
        <v/>
      </c>
      <c r="N13430" s="88">
        <f>M13430-M13430*VLOOKUP($Q13430,매칭테이블!$F:$I,3,0)</f>
        <v/>
      </c>
      <c r="O13430" s="88">
        <f>VLOOKUP($Q13430,매칭테이블!$F:$I,4,0)*K13430</f>
        <v/>
      </c>
      <c r="P13430" s="152">
        <f>M13430/1.1</f>
        <v/>
      </c>
      <c r="Q13430" s="88">
        <f>F13430&amp;E13430&amp;G13430&amp;L13430</f>
        <v/>
      </c>
    </row>
    <row r="13431">
      <c r="B13431" s="128" t="n">
        <v>44206</v>
      </c>
      <c r="C13431" s="88">
        <f>TEXT(B13431,"aaa")</f>
        <v/>
      </c>
      <c r="D13431" s="94" t="n"/>
      <c r="E13431" s="88">
        <f>INDEX(매칭테이블!C:D,MATCH(RD!G13431,매칭테이블!D:D,0),1)</f>
        <v/>
      </c>
      <c r="F13431" s="94" t="inlineStr">
        <is>
          <t>카페24</t>
        </is>
      </c>
      <c r="G13431" s="94" t="inlineStr">
        <is>
          <t>어성초 77 진정 마스크옵션=어성초 77 진정 마스크팩 10장-50% off</t>
        </is>
      </c>
      <c r="K13431" s="94" t="n">
        <v>6</v>
      </c>
      <c r="L13431" s="88" t="n">
        <v>201208</v>
      </c>
      <c r="M13431" s="88">
        <f>VLOOKUP($Q13431,매칭테이블!$F:$I,2,0)*K13431</f>
        <v/>
      </c>
      <c r="N13431" s="88">
        <f>M13431-M13431*VLOOKUP($Q13431,매칭테이블!$F:$I,3,0)</f>
        <v/>
      </c>
      <c r="O13431" s="88">
        <f>VLOOKUP($Q13431,매칭테이블!$F:$I,4,0)*K13431</f>
        <v/>
      </c>
      <c r="P13431" s="152">
        <f>M13431/1.1</f>
        <v/>
      </c>
      <c r="Q13431" s="88">
        <f>F13431&amp;E13431&amp;G13431&amp;L13431</f>
        <v/>
      </c>
    </row>
    <row r="13432">
      <c r="B13432" s="128" t="n">
        <v>44206</v>
      </c>
      <c r="C13432" s="88">
        <f>TEXT(B13432,"aaa")</f>
        <v/>
      </c>
      <c r="D13432" s="94" t="n"/>
      <c r="E13432" s="88">
        <f>INDEX(매칭테이블!C:D,MATCH(RD!G13432,매칭테이블!D:D,0),1)</f>
        <v/>
      </c>
      <c r="F13432" s="94" t="inlineStr">
        <is>
          <t>카페24</t>
        </is>
      </c>
      <c r="G13432" s="94" t="inlineStr">
        <is>
          <t>어성초 77 진정 마스크</t>
        </is>
      </c>
      <c r="K13432" s="94" t="n">
        <v>5</v>
      </c>
      <c r="L13432" s="88" t="n">
        <v>201208</v>
      </c>
      <c r="M13432" s="88">
        <f>VLOOKUP($Q13432,매칭테이블!$F:$I,2,0)*K13432</f>
        <v/>
      </c>
      <c r="N13432" s="88">
        <f>M13432-M13432*VLOOKUP($Q13432,매칭테이블!$F:$I,3,0)</f>
        <v/>
      </c>
      <c r="O13432" s="88">
        <f>VLOOKUP($Q13432,매칭테이블!$F:$I,4,0)*K13432</f>
        <v/>
      </c>
      <c r="P13432" s="152">
        <f>M13432/1.1</f>
        <v/>
      </c>
      <c r="Q13432" s="88">
        <f>F13432&amp;E13432&amp;G13432&amp;L13432</f>
        <v/>
      </c>
    </row>
    <row r="13433">
      <c r="B13433" s="128" t="n">
        <v>44206</v>
      </c>
      <c r="C13433" s="88">
        <f>TEXT(B13433,"aaa")</f>
        <v/>
      </c>
      <c r="D13433" s="94" t="n"/>
      <c r="E13433" s="88">
        <f>INDEX(매칭테이블!C:D,MATCH(RD!G13433,매칭테이블!D:D,0),1)</f>
        <v/>
      </c>
      <c r="F13433" s="94" t="inlineStr">
        <is>
          <t>카페24</t>
        </is>
      </c>
      <c r="G13433" s="94" t="inlineStr">
        <is>
          <t>어성초 77 클리어 패드 (1/11 순차발송 예정)옵션=어성초 77 클리어 패드 1개-20% off</t>
        </is>
      </c>
      <c r="K13433" s="94" t="n">
        <v>59</v>
      </c>
      <c r="L13433" s="88" t="n">
        <v>201208</v>
      </c>
      <c r="M13433" s="88">
        <f>VLOOKUP($Q13433,매칭테이블!$F:$I,2,0)*K13433</f>
        <v/>
      </c>
      <c r="N13433" s="88">
        <f>M13433-M13433*VLOOKUP($Q13433,매칭테이블!$F:$I,3,0)</f>
        <v/>
      </c>
      <c r="O13433" s="88">
        <f>VLOOKUP($Q13433,매칭테이블!$F:$I,4,0)*K13433</f>
        <v/>
      </c>
      <c r="P13433" s="152">
        <f>M13433/1.1</f>
        <v/>
      </c>
      <c r="Q13433" s="88">
        <f>F13433&amp;E13433&amp;G13433&amp;L13433</f>
        <v/>
      </c>
    </row>
    <row r="13434">
      <c r="B13434" s="128" t="n">
        <v>44206</v>
      </c>
      <c r="C13434" s="88">
        <f>TEXT(B13434,"aaa")</f>
        <v/>
      </c>
      <c r="D13434" s="94" t="n"/>
      <c r="E13434" s="88">
        <f>INDEX(매칭테이블!C:D,MATCH(RD!G13434,매칭테이블!D:D,0),1)</f>
        <v/>
      </c>
      <c r="F13434" s="94" t="inlineStr">
        <is>
          <t>카페24</t>
        </is>
      </c>
      <c r="G13434" s="94" t="inlineStr">
        <is>
          <t>어성초 77 클리어 패드 (1/11 순차발송 예정)옵션=어성초 77 클리어 패드 2개-30% off (무료배송)</t>
        </is>
      </c>
      <c r="K13434" s="94" t="n">
        <v>74</v>
      </c>
      <c r="L13434" s="88" t="n">
        <v>201208</v>
      </c>
      <c r="M13434" s="88">
        <f>VLOOKUP($Q13434,매칭테이블!$F:$I,2,0)*K13434</f>
        <v/>
      </c>
      <c r="N13434" s="88">
        <f>M13434-M13434*VLOOKUP($Q13434,매칭테이블!$F:$I,3,0)</f>
        <v/>
      </c>
      <c r="O13434" s="88">
        <f>VLOOKUP($Q13434,매칭테이블!$F:$I,4,0)*K13434</f>
        <v/>
      </c>
      <c r="P13434" s="152">
        <f>M13434/1.1</f>
        <v/>
      </c>
      <c r="Q13434" s="88">
        <f>F13434&amp;E13434&amp;G13434&amp;L13434</f>
        <v/>
      </c>
    </row>
    <row r="13435">
      <c r="B13435" s="128" t="n">
        <v>44206</v>
      </c>
      <c r="C13435" s="88">
        <f>TEXT(B13435,"aaa")</f>
        <v/>
      </c>
      <c r="D13435" s="94" t="n"/>
      <c r="E13435" s="88">
        <f>INDEX(매칭테이블!C:D,MATCH(RD!G13435,매칭테이블!D:D,0),1)</f>
        <v/>
      </c>
      <c r="F13435" s="94" t="inlineStr">
        <is>
          <t>카페24</t>
        </is>
      </c>
      <c r="G13435" s="94" t="inlineStr">
        <is>
          <t>어성초 77 클리어 패드 (1/11 순차발송 예정)옵션=어성초 77 클리어 패드 3개-35% off (무료배송)</t>
        </is>
      </c>
      <c r="K13435" s="94" t="n">
        <v>6</v>
      </c>
      <c r="L13435" s="88" t="n">
        <v>201208</v>
      </c>
      <c r="M13435" s="88">
        <f>VLOOKUP($Q13435,매칭테이블!$F:$I,2,0)*K13435</f>
        <v/>
      </c>
      <c r="N13435" s="88">
        <f>M13435-M13435*VLOOKUP($Q13435,매칭테이블!$F:$I,3,0)</f>
        <v/>
      </c>
      <c r="O13435" s="88">
        <f>VLOOKUP($Q13435,매칭테이블!$F:$I,4,0)*K13435</f>
        <v/>
      </c>
      <c r="P13435" s="152">
        <f>M13435/1.1</f>
        <v/>
      </c>
      <c r="Q13435" s="88">
        <f>F13435&amp;E13435&amp;G13435&amp;L13435</f>
        <v/>
      </c>
    </row>
    <row r="13436">
      <c r="B13436" s="128" t="n">
        <v>44206</v>
      </c>
      <c r="C13436" s="88">
        <f>TEXT(B13436,"aaa")</f>
        <v/>
      </c>
      <c r="D13436" s="94" t="n"/>
      <c r="E13436" s="88">
        <f>INDEX(매칭테이블!C:D,MATCH(RD!G13436,매칭테이블!D:D,0),1)</f>
        <v/>
      </c>
      <c r="F13436" s="94" t="inlineStr">
        <is>
          <t>카페24</t>
        </is>
      </c>
      <c r="G13436" s="94" t="inlineStr">
        <is>
          <t>어성초 77 클리어 패드 (1/11 순차발송 예정)옵션=어성초77토너1개+어성초77패드1개-30% off (무료배송)</t>
        </is>
      </c>
      <c r="K13436" s="94" t="n">
        <v>1</v>
      </c>
      <c r="L13436" s="88" t="n">
        <v>201208</v>
      </c>
      <c r="M13436" s="88">
        <f>VLOOKUP($Q13436,매칭테이블!$F:$I,2,0)*K13436</f>
        <v/>
      </c>
      <c r="N13436" s="88">
        <f>M13436-M13436*VLOOKUP($Q13436,매칭테이블!$F:$I,3,0)</f>
        <v/>
      </c>
      <c r="O13436" s="88">
        <f>VLOOKUP($Q13436,매칭테이블!$F:$I,4,0)*K13436</f>
        <v/>
      </c>
      <c r="P13436" s="152">
        <f>M13436/1.1</f>
        <v/>
      </c>
      <c r="Q13436" s="88">
        <f>F13436&amp;E13436&amp;G13436&amp;L13436</f>
        <v/>
      </c>
    </row>
    <row r="13437">
      <c r="B13437" s="128" t="n">
        <v>44206</v>
      </c>
      <c r="C13437" s="88">
        <f>TEXT(B13437,"aaa")</f>
        <v/>
      </c>
      <c r="D13437" s="94" t="n"/>
      <c r="E13437" s="88">
        <f>INDEX(매칭테이블!C:D,MATCH(RD!G13437,매칭테이블!D:D,0),1)</f>
        <v/>
      </c>
      <c r="F13437" s="94" t="inlineStr">
        <is>
          <t>카페24</t>
        </is>
      </c>
      <c r="G13437" s="94" t="inlineStr">
        <is>
          <t>어성초 77 클리어 패드 (1/11 순차발송 예정)옵션=어성초77토너1개+어성초77패드1개-30% off (무료배송)</t>
        </is>
      </c>
      <c r="K13437" s="94" t="n">
        <v>18</v>
      </c>
      <c r="L13437" s="88" t="n">
        <v>201208</v>
      </c>
      <c r="M13437" s="88">
        <f>VLOOKUP($Q13437,매칭테이블!$F:$I,2,0)*K13437</f>
        <v/>
      </c>
      <c r="N13437" s="88">
        <f>M13437-M13437*VLOOKUP($Q13437,매칭테이블!$F:$I,3,0)</f>
        <v/>
      </c>
      <c r="O13437" s="88">
        <f>VLOOKUP($Q13437,매칭테이블!$F:$I,4,0)*K13437</f>
        <v/>
      </c>
      <c r="P13437" s="152">
        <f>M13437/1.1</f>
        <v/>
      </c>
      <c r="Q13437" s="88">
        <f>F13437&amp;E13437&amp;G13437&amp;L13437</f>
        <v/>
      </c>
    </row>
    <row r="13438">
      <c r="B13438" s="128" t="n">
        <v>44206</v>
      </c>
      <c r="C13438" s="88">
        <f>TEXT(B13438,"aaa")</f>
        <v/>
      </c>
      <c r="D13438" s="94" t="n"/>
      <c r="E13438" s="88">
        <f>INDEX(매칭테이블!C:D,MATCH(RD!G13438,매칭테이블!D:D,0),1)</f>
        <v/>
      </c>
      <c r="F13438" s="94" t="inlineStr">
        <is>
          <t>카페24</t>
        </is>
      </c>
      <c r="G13438" s="94" t="inlineStr">
        <is>
          <t>어성초 77 토너</t>
        </is>
      </c>
      <c r="K13438" s="94" t="n">
        <v>2</v>
      </c>
      <c r="L13438" s="88" t="n">
        <v>201208</v>
      </c>
      <c r="M13438" s="88">
        <f>VLOOKUP($Q13438,매칭테이블!$F:$I,2,0)*K13438</f>
        <v/>
      </c>
      <c r="N13438" s="88">
        <f>M13438-M13438*VLOOKUP($Q13438,매칭테이블!$F:$I,3,0)</f>
        <v/>
      </c>
      <c r="O13438" s="88">
        <f>VLOOKUP($Q13438,매칭테이블!$F:$I,4,0)*K13438</f>
        <v/>
      </c>
      <c r="P13438" s="152">
        <f>M13438/1.1</f>
        <v/>
      </c>
      <c r="Q13438" s="88">
        <f>F13438&amp;E13438&amp;G13438&amp;L13438</f>
        <v/>
      </c>
    </row>
    <row r="13439">
      <c r="B13439" s="128" t="n">
        <v>44206</v>
      </c>
      <c r="C13439" s="88">
        <f>TEXT(B13439,"aaa")</f>
        <v/>
      </c>
      <c r="D13439" s="94" t="n"/>
      <c r="E13439" s="88">
        <f>INDEX(매칭테이블!C:D,MATCH(RD!G13439,매칭테이블!D:D,0),1)</f>
        <v/>
      </c>
      <c r="F13439" s="94" t="inlineStr">
        <is>
          <t>카페24</t>
        </is>
      </c>
      <c r="G13439" s="94" t="inlineStr">
        <is>
          <t>어성초 77 포어 클리어 패드 (1/11 순차발송 예정)옵션=어성초 77 클리어 패드 1개-20% off</t>
        </is>
      </c>
      <c r="K13439" s="94" t="n">
        <v>9</v>
      </c>
      <c r="L13439" s="88" t="n">
        <v>201208</v>
      </c>
      <c r="M13439" s="88">
        <f>VLOOKUP($Q13439,매칭테이블!$F:$I,2,0)*K13439</f>
        <v/>
      </c>
      <c r="N13439" s="88">
        <f>M13439-M13439*VLOOKUP($Q13439,매칭테이블!$F:$I,3,0)</f>
        <v/>
      </c>
      <c r="O13439" s="88">
        <f>VLOOKUP($Q13439,매칭테이블!$F:$I,4,0)*K13439</f>
        <v/>
      </c>
      <c r="P13439" s="152">
        <f>M13439/1.1</f>
        <v/>
      </c>
      <c r="Q13439" s="88">
        <f>F13439&amp;E13439&amp;G13439&amp;L13439</f>
        <v/>
      </c>
    </row>
    <row r="13440">
      <c r="B13440" s="128" t="n">
        <v>44206</v>
      </c>
      <c r="C13440" s="88">
        <f>TEXT(B13440,"aaa")</f>
        <v/>
      </c>
      <c r="D13440" s="94" t="n"/>
      <c r="E13440" s="88">
        <f>INDEX(매칭테이블!C:D,MATCH(RD!G13440,매칭테이블!D:D,0),1)</f>
        <v/>
      </c>
      <c r="F13440" s="94" t="inlineStr">
        <is>
          <t>카페24</t>
        </is>
      </c>
      <c r="G13440" s="94" t="inlineStr">
        <is>
          <t>어성초 77 포어 클리어 패드 (1/11 순차발송 예정)옵션=어성초 77 클리어 패드 2개-30% off (무료배송)</t>
        </is>
      </c>
      <c r="K13440" s="94" t="n">
        <v>10</v>
      </c>
      <c r="L13440" s="88" t="n">
        <v>201208</v>
      </c>
      <c r="M13440" s="88">
        <f>VLOOKUP($Q13440,매칭테이블!$F:$I,2,0)*K13440</f>
        <v/>
      </c>
      <c r="N13440" s="88">
        <f>M13440-M13440*VLOOKUP($Q13440,매칭테이블!$F:$I,3,0)</f>
        <v/>
      </c>
      <c r="O13440" s="88">
        <f>VLOOKUP($Q13440,매칭테이블!$F:$I,4,0)*K13440</f>
        <v/>
      </c>
      <c r="P13440" s="152">
        <f>M13440/1.1</f>
        <v/>
      </c>
      <c r="Q13440" s="88">
        <f>F13440&amp;E13440&amp;G13440&amp;L13440</f>
        <v/>
      </c>
    </row>
    <row r="13441">
      <c r="B13441" s="128" t="n">
        <v>44206</v>
      </c>
      <c r="C13441" s="88">
        <f>TEXT(B13441,"aaa")</f>
        <v/>
      </c>
      <c r="D13441" s="94" t="n"/>
      <c r="E13441" s="88">
        <f>INDEX(매칭테이블!C:D,MATCH(RD!G13441,매칭테이블!D:D,0),1)</f>
        <v/>
      </c>
      <c r="F13441" s="94" t="inlineStr">
        <is>
          <t>카페24</t>
        </is>
      </c>
      <c r="G13441" s="94" t="inlineStr">
        <is>
          <t>어성초 77 포어 클리어 패드 (1/11 순차발송 예정)옵션=어성초77토너1개+어성초77패드1개-30% off (무료배송)</t>
        </is>
      </c>
      <c r="K13441" s="94" t="n">
        <v>1</v>
      </c>
      <c r="L13441" s="88" t="n">
        <v>201208</v>
      </c>
      <c r="M13441" s="88">
        <f>VLOOKUP($Q13441,매칭테이블!$F:$I,2,0)*K13441</f>
        <v/>
      </c>
      <c r="N13441" s="88">
        <f>M13441-M13441*VLOOKUP($Q13441,매칭테이블!$F:$I,3,0)</f>
        <v/>
      </c>
      <c r="O13441" s="88">
        <f>VLOOKUP($Q13441,매칭테이블!$F:$I,4,0)*K13441</f>
        <v/>
      </c>
      <c r="P13441" s="152">
        <f>M13441/1.1</f>
        <v/>
      </c>
      <c r="Q13441" s="88">
        <f>F13441&amp;E13441&amp;G13441&amp;L13441</f>
        <v/>
      </c>
    </row>
    <row r="13442">
      <c r="B13442" s="128" t="n">
        <v>44206</v>
      </c>
      <c r="C13442" s="88">
        <f>TEXT(B13442,"aaa")</f>
        <v/>
      </c>
      <c r="D13442" s="94" t="n"/>
      <c r="E13442" s="88">
        <f>INDEX(매칭테이블!C:D,MATCH(RD!G13442,매칭테이블!D:D,0),1)</f>
        <v/>
      </c>
      <c r="F13442" s="94" t="inlineStr">
        <is>
          <t>카페24</t>
        </is>
      </c>
      <c r="G13442" s="94" t="inlineStr">
        <is>
          <t>어성초 77% 패드 (1/11 순차발송 예정)옵션=어성초 77 클리어 패드 1개-20% off</t>
        </is>
      </c>
      <c r="K13442" s="94" t="n">
        <v>51</v>
      </c>
      <c r="L13442" s="88" t="n">
        <v>201208</v>
      </c>
      <c r="M13442" s="88">
        <f>VLOOKUP($Q13442,매칭테이블!$F:$I,2,0)*K13442</f>
        <v/>
      </c>
      <c r="N13442" s="88">
        <f>M13442-M13442*VLOOKUP($Q13442,매칭테이블!$F:$I,3,0)</f>
        <v/>
      </c>
      <c r="O13442" s="88">
        <f>VLOOKUP($Q13442,매칭테이블!$F:$I,4,0)*K13442</f>
        <v/>
      </c>
      <c r="P13442" s="152">
        <f>M13442/1.1</f>
        <v/>
      </c>
      <c r="Q13442" s="88">
        <f>F13442&amp;E13442&amp;G13442&amp;L13442</f>
        <v/>
      </c>
    </row>
    <row r="13443">
      <c r="B13443" s="128" t="n">
        <v>44206</v>
      </c>
      <c r="C13443" s="88">
        <f>TEXT(B13443,"aaa")</f>
        <v/>
      </c>
      <c r="D13443" s="94" t="n"/>
      <c r="E13443" s="88">
        <f>INDEX(매칭테이블!C:D,MATCH(RD!G13443,매칭테이블!D:D,0),1)</f>
        <v/>
      </c>
      <c r="F13443" s="94" t="inlineStr">
        <is>
          <t>카페24</t>
        </is>
      </c>
      <c r="G13443" s="94" t="inlineStr">
        <is>
          <t>어성초 77% 패드 (1/11 순차발송 예정)옵션=어성초 77 클리어 패드 2개-30% off (무료배송)</t>
        </is>
      </c>
      <c r="K13443" s="94" t="n">
        <v>75</v>
      </c>
      <c r="L13443" s="88" t="n">
        <v>201208</v>
      </c>
      <c r="M13443" s="88">
        <f>VLOOKUP($Q13443,매칭테이블!$F:$I,2,0)*K13443</f>
        <v/>
      </c>
      <c r="N13443" s="88">
        <f>M13443-M13443*VLOOKUP($Q13443,매칭테이블!$F:$I,3,0)</f>
        <v/>
      </c>
      <c r="O13443" s="88">
        <f>VLOOKUP($Q13443,매칭테이블!$F:$I,4,0)*K13443</f>
        <v/>
      </c>
      <c r="P13443" s="152">
        <f>M13443/1.1</f>
        <v/>
      </c>
      <c r="Q13443" s="88">
        <f>F13443&amp;E13443&amp;G13443&amp;L13443</f>
        <v/>
      </c>
    </row>
    <row r="13444">
      <c r="B13444" s="128" t="n">
        <v>44206</v>
      </c>
      <c r="C13444" s="88">
        <f>TEXT(B13444,"aaa")</f>
        <v/>
      </c>
      <c r="D13444" s="94" t="n"/>
      <c r="E13444" s="88">
        <f>INDEX(매칭테이블!C:D,MATCH(RD!G13444,매칭테이블!D:D,0),1)</f>
        <v/>
      </c>
      <c r="F13444" s="94" t="inlineStr">
        <is>
          <t>카페24</t>
        </is>
      </c>
      <c r="G13444" s="94" t="inlineStr">
        <is>
          <t>어성초 77% 패드 (1/11 순차발송 예정)옵션=어성초 77 클리어 패드 3개-35% off (무료배송)</t>
        </is>
      </c>
      <c r="K13444" s="94" t="n">
        <v>12</v>
      </c>
      <c r="L13444" s="88" t="n">
        <v>201208</v>
      </c>
      <c r="M13444" s="88">
        <f>VLOOKUP($Q13444,매칭테이블!$F:$I,2,0)*K13444</f>
        <v/>
      </c>
      <c r="N13444" s="88">
        <f>M13444-M13444*VLOOKUP($Q13444,매칭테이블!$F:$I,3,0)</f>
        <v/>
      </c>
      <c r="O13444" s="88">
        <f>VLOOKUP($Q13444,매칭테이블!$F:$I,4,0)*K13444</f>
        <v/>
      </c>
      <c r="P13444" s="152">
        <f>M13444/1.1</f>
        <v/>
      </c>
      <c r="Q13444" s="88">
        <f>F13444&amp;E13444&amp;G13444&amp;L13444</f>
        <v/>
      </c>
    </row>
    <row r="13445">
      <c r="B13445" s="128" t="n">
        <v>44206</v>
      </c>
      <c r="C13445" s="88">
        <f>TEXT(B13445,"aaa")</f>
        <v/>
      </c>
      <c r="D13445" s="94" t="n"/>
      <c r="E13445" s="88">
        <f>INDEX(매칭테이블!C:D,MATCH(RD!G13445,매칭테이블!D:D,0),1)</f>
        <v/>
      </c>
      <c r="F13445" s="94" t="inlineStr">
        <is>
          <t>카페24</t>
        </is>
      </c>
      <c r="G13445" s="94" t="inlineStr">
        <is>
          <t>어성초 77% 패드 (1/11 순차발송 예정)옵션=어성초77토너1개+어성초77패드1개-30% off (무료배송)</t>
        </is>
      </c>
      <c r="K13445" s="94" t="n">
        <v>22</v>
      </c>
      <c r="L13445" s="88" t="n">
        <v>201208</v>
      </c>
      <c r="M13445" s="88">
        <f>VLOOKUP($Q13445,매칭테이블!$F:$I,2,0)*K13445</f>
        <v/>
      </c>
      <c r="N13445" s="88">
        <f>M13445-M13445*VLOOKUP($Q13445,매칭테이블!$F:$I,3,0)</f>
        <v/>
      </c>
      <c r="O13445" s="88">
        <f>VLOOKUP($Q13445,매칭테이블!$F:$I,4,0)*K13445</f>
        <v/>
      </c>
      <c r="P13445" s="152">
        <f>M13445/1.1</f>
        <v/>
      </c>
      <c r="Q13445" s="88">
        <f>F13445&amp;E13445&amp;G13445&amp;L13445</f>
        <v/>
      </c>
    </row>
    <row r="13446">
      <c r="B13446" s="128" t="n">
        <v>44206</v>
      </c>
      <c r="C13446" s="88">
        <f>TEXT(B13446,"aaa")</f>
        <v/>
      </c>
      <c r="D13446" s="94" t="n"/>
      <c r="E13446" s="88">
        <f>INDEX(매칭테이블!C:D,MATCH(RD!G13446,매칭테이블!D:D,0),1)</f>
        <v/>
      </c>
      <c r="F13446" s="94" t="inlineStr">
        <is>
          <t>카페24</t>
        </is>
      </c>
      <c r="G13446" s="94" t="inlineStr">
        <is>
          <t>어성초 78 수딩 크림</t>
        </is>
      </c>
      <c r="K13446" s="94" t="n">
        <v>11</v>
      </c>
      <c r="L13446" s="88" t="n">
        <v>201208</v>
      </c>
      <c r="M13446" s="88">
        <f>VLOOKUP($Q13446,매칭테이블!$F:$I,2,0)*K13446</f>
        <v/>
      </c>
      <c r="N13446" s="88">
        <f>M13446-M13446*VLOOKUP($Q13446,매칭테이블!$F:$I,3,0)</f>
        <v/>
      </c>
      <c r="O13446" s="88">
        <f>VLOOKUP($Q13446,매칭테이블!$F:$I,4,0)*K13446</f>
        <v/>
      </c>
      <c r="P13446" s="152">
        <f>M13446/1.1</f>
        <v/>
      </c>
      <c r="Q13446" s="88">
        <f>F13446&amp;E13446&amp;G13446&amp;L13446</f>
        <v/>
      </c>
    </row>
    <row r="13447">
      <c r="B13447" s="128" t="n">
        <v>44206</v>
      </c>
      <c r="C13447" s="88">
        <f>TEXT(B13447,"aaa")</f>
        <v/>
      </c>
      <c r="D13447" s="94" t="n"/>
      <c r="E13447" s="88">
        <f>INDEX(매칭테이블!C:D,MATCH(RD!G13447,매칭테이블!D:D,0),1)</f>
        <v/>
      </c>
      <c r="F13447" s="94" t="inlineStr">
        <is>
          <t>카페24</t>
        </is>
      </c>
      <c r="G13447" s="94" t="inlineStr">
        <is>
          <t>어성초 78 수딩 크림</t>
        </is>
      </c>
      <c r="K13447" s="94" t="n">
        <v>4</v>
      </c>
      <c r="L13447" s="88" t="n">
        <v>201208</v>
      </c>
      <c r="M13447" s="88">
        <f>VLOOKUP($Q13447,매칭테이블!$F:$I,2,0)*K13447</f>
        <v/>
      </c>
      <c r="N13447" s="88">
        <f>M13447-M13447*VLOOKUP($Q13447,매칭테이블!$F:$I,3,0)</f>
        <v/>
      </c>
      <c r="O13447" s="88">
        <f>VLOOKUP($Q13447,매칭테이블!$F:$I,4,0)*K13447</f>
        <v/>
      </c>
      <c r="P13447" s="152">
        <f>M13447/1.1</f>
        <v/>
      </c>
      <c r="Q13447" s="88">
        <f>F13447&amp;E13447&amp;G13447&amp;L13447</f>
        <v/>
      </c>
    </row>
    <row r="13448">
      <c r="B13448" s="128" t="n">
        <v>44206</v>
      </c>
      <c r="C13448" s="88">
        <f>TEXT(B13448,"aaa")</f>
        <v/>
      </c>
      <c r="D13448" s="94" t="n"/>
      <c r="E13448" s="88">
        <f>INDEX(매칭테이블!C:D,MATCH(RD!G13448,매칭테이블!D:D,0),1)</f>
        <v/>
      </c>
      <c r="F13448" s="94" t="inlineStr">
        <is>
          <t>카페24</t>
        </is>
      </c>
      <c r="G13448" s="94" t="inlineStr">
        <is>
          <t>어성초 80 수분 진정 앰플앰플=어성초 80 앰플 1개-15%off</t>
        </is>
      </c>
      <c r="K13448" s="94" t="n">
        <v>29</v>
      </c>
      <c r="L13448" s="88" t="n">
        <v>201208</v>
      </c>
      <c r="M13448" s="88">
        <f>VLOOKUP($Q13448,매칭테이블!$F:$I,2,0)*K13448</f>
        <v/>
      </c>
      <c r="N13448" s="88">
        <f>M13448-M13448*VLOOKUP($Q13448,매칭테이블!$F:$I,3,0)</f>
        <v/>
      </c>
      <c r="O13448" s="88">
        <f>VLOOKUP($Q13448,매칭테이블!$F:$I,4,0)*K13448</f>
        <v/>
      </c>
      <c r="P13448" s="152">
        <f>M13448/1.1</f>
        <v/>
      </c>
      <c r="Q13448" s="88">
        <f>F13448&amp;E13448&amp;G13448&amp;L13448</f>
        <v/>
      </c>
    </row>
    <row r="13449">
      <c r="B13449" s="128" t="n">
        <v>44206</v>
      </c>
      <c r="C13449" s="88">
        <f>TEXT(B13449,"aaa")</f>
        <v/>
      </c>
      <c r="D13449" s="94" t="n"/>
      <c r="E13449" s="88">
        <f>INDEX(매칭테이블!C:D,MATCH(RD!G13449,매칭테이블!D:D,0),1)</f>
        <v/>
      </c>
      <c r="F13449" s="94" t="inlineStr">
        <is>
          <t>카페24</t>
        </is>
      </c>
      <c r="G13449" s="94" t="inlineStr">
        <is>
          <t>어성초 80 수분 진정 앰플앰플=어성초 80 앰플 2개-27%off (무료배송)</t>
        </is>
      </c>
      <c r="K13449" s="94" t="n">
        <v>6</v>
      </c>
      <c r="L13449" s="88" t="n">
        <v>201208</v>
      </c>
      <c r="M13449" s="88">
        <f>VLOOKUP($Q13449,매칭테이블!$F:$I,2,0)*K13449</f>
        <v/>
      </c>
      <c r="N13449" s="88">
        <f>M13449-M13449*VLOOKUP($Q13449,매칭테이블!$F:$I,3,0)</f>
        <v/>
      </c>
      <c r="O13449" s="88">
        <f>VLOOKUP($Q13449,매칭테이블!$F:$I,4,0)*K13449</f>
        <v/>
      </c>
      <c r="P13449" s="152">
        <f>M13449/1.1</f>
        <v/>
      </c>
      <c r="Q13449" s="88">
        <f>F13449&amp;E13449&amp;G13449&amp;L13449</f>
        <v/>
      </c>
    </row>
    <row r="13450">
      <c r="B13450" s="128" t="n">
        <v>44206</v>
      </c>
      <c r="C13450" s="88">
        <f>TEXT(B13450,"aaa")</f>
        <v/>
      </c>
      <c r="D13450" s="94" t="n"/>
      <c r="E13450" s="88">
        <f>INDEX(매칭테이블!C:D,MATCH(RD!G13450,매칭테이블!D:D,0),1)</f>
        <v/>
      </c>
      <c r="F13450" s="94" t="inlineStr">
        <is>
          <t>카페24</t>
        </is>
      </c>
      <c r="G13450" s="94" t="inlineStr">
        <is>
          <t>어성초 80 수분 진정 앰플</t>
        </is>
      </c>
      <c r="K13450" s="94" t="n">
        <v>7</v>
      </c>
      <c r="L13450" s="88" t="n">
        <v>201208</v>
      </c>
      <c r="M13450" s="88">
        <f>VLOOKUP($Q13450,매칭테이블!$F:$I,2,0)*K13450</f>
        <v/>
      </c>
      <c r="N13450" s="88">
        <f>M13450-M13450*VLOOKUP($Q13450,매칭테이블!$F:$I,3,0)</f>
        <v/>
      </c>
      <c r="O13450" s="88">
        <f>VLOOKUP($Q13450,매칭테이블!$F:$I,4,0)*K13450</f>
        <v/>
      </c>
      <c r="P13450" s="152">
        <f>M13450/1.1</f>
        <v/>
      </c>
      <c r="Q13450" s="88">
        <f>F13450&amp;E13450&amp;G13450&amp;L13450</f>
        <v/>
      </c>
    </row>
    <row r="13451">
      <c r="B13451" s="128" t="n">
        <v>44206</v>
      </c>
      <c r="C13451" s="88">
        <f>TEXT(B13451,"aaa")</f>
        <v/>
      </c>
      <c r="D13451" s="94" t="n"/>
      <c r="E13451" s="88">
        <f>INDEX(매칭테이블!C:D,MATCH(RD!G13451,매칭테이블!D:D,0),1)</f>
        <v/>
      </c>
      <c r="F13451" s="94" t="inlineStr">
        <is>
          <t>카페24</t>
        </is>
      </c>
      <c r="G13451" s="94" t="inlineStr">
        <is>
          <t>어성초 아크네 바디워시옵션=어성초 아크네 바디워시 1개 -30% off</t>
        </is>
      </c>
      <c r="K13451" s="94" t="n">
        <v>5</v>
      </c>
      <c r="L13451" s="88" t="n">
        <v>201208</v>
      </c>
      <c r="M13451" s="88">
        <f>VLOOKUP($Q13451,매칭테이블!$F:$I,2,0)*K13451</f>
        <v/>
      </c>
      <c r="N13451" s="88">
        <f>M13451-M13451*VLOOKUP($Q13451,매칭테이블!$F:$I,3,0)</f>
        <v/>
      </c>
      <c r="O13451" s="88">
        <f>VLOOKUP($Q13451,매칭테이블!$F:$I,4,0)*K13451</f>
        <v/>
      </c>
      <c r="P13451" s="152">
        <f>M13451/1.1</f>
        <v/>
      </c>
      <c r="Q13451" s="88">
        <f>F13451&amp;E13451&amp;G13451&amp;L13451</f>
        <v/>
      </c>
    </row>
    <row r="13452">
      <c r="B13452" s="128" t="n">
        <v>44206</v>
      </c>
      <c r="C13452" s="88">
        <f>TEXT(B13452,"aaa")</f>
        <v/>
      </c>
      <c r="D13452" s="94" t="n"/>
      <c r="E13452" s="88">
        <f>INDEX(매칭테이블!C:D,MATCH(RD!G13452,매칭테이블!D:D,0),1)</f>
        <v/>
      </c>
      <c r="F13452" s="94" t="inlineStr">
        <is>
          <t>카페24</t>
        </is>
      </c>
      <c r="G13452" s="94" t="inlineStr">
        <is>
          <t>어성초 아크네 바디워시옵션=어성초 아크네 바디워시 2개 -35% off (무료배송)</t>
        </is>
      </c>
      <c r="K13452" s="94" t="n">
        <v>1</v>
      </c>
      <c r="L13452" s="88" t="n">
        <v>201208</v>
      </c>
      <c r="M13452" s="88">
        <f>VLOOKUP($Q13452,매칭테이블!$F:$I,2,0)*K13452</f>
        <v/>
      </c>
      <c r="N13452" s="88">
        <f>M13452-M13452*VLOOKUP($Q13452,매칭테이블!$F:$I,3,0)</f>
        <v/>
      </c>
      <c r="O13452" s="88">
        <f>VLOOKUP($Q13452,매칭테이블!$F:$I,4,0)*K13452</f>
        <v/>
      </c>
      <c r="P13452" s="152">
        <f>M13452/1.1</f>
        <v/>
      </c>
      <c r="Q13452" s="88">
        <f>F13452&amp;E13452&amp;G13452&amp;L13452</f>
        <v/>
      </c>
    </row>
    <row r="13453">
      <c r="B13453" s="128" t="n">
        <v>44206</v>
      </c>
      <c r="C13453" s="88">
        <f>TEXT(B13453,"aaa")</f>
        <v/>
      </c>
      <c r="D13453" s="94" t="n"/>
      <c r="E13453" s="88">
        <f>INDEX(매칭테이블!C:D,MATCH(RD!G13453,매칭테이블!D:D,0),1)</f>
        <v/>
      </c>
      <c r="F13453" s="94" t="inlineStr">
        <is>
          <t>카페24</t>
        </is>
      </c>
      <c r="G13453" s="94" t="inlineStr">
        <is>
          <t>어성초 약산성 클렌징폼클렌징폼=어성초 약산성 클렌징폼 1개 -19%off</t>
        </is>
      </c>
      <c r="K13453" s="94" t="n">
        <v>30</v>
      </c>
      <c r="L13453" s="88" t="n">
        <v>201208</v>
      </c>
      <c r="M13453" s="88">
        <f>VLOOKUP($Q13453,매칭테이블!$F:$I,2,0)*K13453</f>
        <v/>
      </c>
      <c r="N13453" s="88">
        <f>M13453-M13453*VLOOKUP($Q13453,매칭테이블!$F:$I,3,0)</f>
        <v/>
      </c>
      <c r="O13453" s="88">
        <f>VLOOKUP($Q13453,매칭테이블!$F:$I,4,0)*K13453</f>
        <v/>
      </c>
      <c r="P13453" s="152">
        <f>M13453/1.1</f>
        <v/>
      </c>
      <c r="Q13453" s="88">
        <f>F13453&amp;E13453&amp;G13453&amp;L13453</f>
        <v/>
      </c>
    </row>
    <row r="13454">
      <c r="B13454" s="128" t="n">
        <v>44206</v>
      </c>
      <c r="C13454" s="88">
        <f>TEXT(B13454,"aaa")</f>
        <v/>
      </c>
      <c r="D13454" s="94" t="n"/>
      <c r="E13454" s="88">
        <f>INDEX(매칭테이블!C:D,MATCH(RD!G13454,매칭테이블!D:D,0),1)</f>
        <v/>
      </c>
      <c r="F13454" s="94" t="inlineStr">
        <is>
          <t>카페24</t>
        </is>
      </c>
      <c r="G13454" s="94" t="inlineStr">
        <is>
          <t>어성초 약산성 클렌징폼클렌징폼=어성초 약산성 클렌징폼 2개 -25%off</t>
        </is>
      </c>
      <c r="K13454" s="94" t="n">
        <v>7</v>
      </c>
      <c r="L13454" s="88" t="n">
        <v>201208</v>
      </c>
      <c r="M13454" s="88">
        <f>VLOOKUP($Q13454,매칭테이블!$F:$I,2,0)*K13454</f>
        <v/>
      </c>
      <c r="N13454" s="88">
        <f>M13454-M13454*VLOOKUP($Q13454,매칭테이블!$F:$I,3,0)</f>
        <v/>
      </c>
      <c r="O13454" s="88">
        <f>VLOOKUP($Q13454,매칭테이블!$F:$I,4,0)*K13454</f>
        <v/>
      </c>
      <c r="P13454" s="152">
        <f>M13454/1.1</f>
        <v/>
      </c>
      <c r="Q13454" s="88">
        <f>F13454&amp;E13454&amp;G13454&amp;L13454</f>
        <v/>
      </c>
    </row>
    <row r="13455">
      <c r="B13455" s="128" t="n">
        <v>44206</v>
      </c>
      <c r="C13455" s="88">
        <f>TEXT(B13455,"aaa")</f>
        <v/>
      </c>
      <c r="D13455" s="94" t="n"/>
      <c r="E13455" s="88">
        <f>INDEX(매칭테이블!C:D,MATCH(RD!G13455,매칭테이블!D:D,0),1)</f>
        <v/>
      </c>
      <c r="F13455" s="94" t="inlineStr">
        <is>
          <t>카페24</t>
        </is>
      </c>
      <c r="G13455" s="94" t="inlineStr">
        <is>
          <t>어성초 약산성 클렌징폼클렌징폼=어성초 약산성 클렌징폼 3개 -31%off (무료배송)</t>
        </is>
      </c>
      <c r="K13455" s="94" t="n">
        <v>2</v>
      </c>
      <c r="L13455" s="88" t="n">
        <v>201208</v>
      </c>
      <c r="M13455" s="88">
        <f>VLOOKUP($Q13455,매칭테이블!$F:$I,2,0)*K13455</f>
        <v/>
      </c>
      <c r="N13455" s="88">
        <f>M13455-M13455*VLOOKUP($Q13455,매칭테이블!$F:$I,3,0)</f>
        <v/>
      </c>
      <c r="O13455" s="88">
        <f>VLOOKUP($Q13455,매칭테이블!$F:$I,4,0)*K13455</f>
        <v/>
      </c>
      <c r="P13455" s="152">
        <f>M13455/1.1</f>
        <v/>
      </c>
      <c r="Q13455" s="88">
        <f>F13455&amp;E13455&amp;G13455&amp;L13455</f>
        <v/>
      </c>
    </row>
    <row r="13456">
      <c r="B13456" s="128" t="n">
        <v>44206</v>
      </c>
      <c r="C13456" s="88">
        <f>TEXT(B13456,"aaa")</f>
        <v/>
      </c>
      <c r="D13456" s="94" t="n"/>
      <c r="E13456" s="88">
        <f>INDEX(매칭테이블!C:D,MATCH(RD!G13456,매칭테이블!D:D,0),1)</f>
        <v/>
      </c>
      <c r="F13456" s="94" t="inlineStr">
        <is>
          <t>카페24</t>
        </is>
      </c>
      <c r="G13456" s="94" t="inlineStr">
        <is>
          <t>어성초 크림마스크 나이트 솔루션옵션=어성초 크림마스크 나이트 솔루션 1장</t>
        </is>
      </c>
      <c r="K13456" s="94" t="n">
        <v>1</v>
      </c>
      <c r="L13456" s="88" t="n">
        <v>201208</v>
      </c>
      <c r="M13456" s="88">
        <f>VLOOKUP($Q13456,매칭테이블!$F:$I,2,0)*K13456</f>
        <v/>
      </c>
      <c r="N13456" s="88">
        <f>M13456-M13456*VLOOKUP($Q13456,매칭테이블!$F:$I,3,0)</f>
        <v/>
      </c>
      <c r="O13456" s="88">
        <f>VLOOKUP($Q13456,매칭테이블!$F:$I,4,0)*K13456</f>
        <v/>
      </c>
      <c r="P13456" s="152">
        <f>M13456/1.1</f>
        <v/>
      </c>
      <c r="Q13456" s="88">
        <f>F13456&amp;E13456&amp;G13456&amp;L13456</f>
        <v/>
      </c>
    </row>
    <row r="13457">
      <c r="B13457" s="128" t="n">
        <v>44206</v>
      </c>
      <c r="C13457" s="88">
        <f>TEXT(B13457,"aaa")</f>
        <v/>
      </c>
      <c r="D13457" s="94" t="n"/>
      <c r="E13457" s="88">
        <f>INDEX(매칭테이블!C:D,MATCH(RD!G13457,매칭테이블!D:D,0),1)</f>
        <v/>
      </c>
      <c r="F13457" s="94" t="inlineStr">
        <is>
          <t>카페24</t>
        </is>
      </c>
      <c r="G13457" s="94" t="inlineStr">
        <is>
          <t>어성초 크림마스크 나이트 솔루션옵션=어성초 크림마스크 나이트 솔루션 10장 (-50%)</t>
        </is>
      </c>
      <c r="K13457" s="94" t="n">
        <v>6</v>
      </c>
      <c r="L13457" s="88" t="n">
        <v>201208</v>
      </c>
      <c r="M13457" s="88">
        <f>VLOOKUP($Q13457,매칭테이블!$F:$I,2,0)*K13457</f>
        <v/>
      </c>
      <c r="N13457" s="88">
        <f>M13457-M13457*VLOOKUP($Q13457,매칭테이블!$F:$I,3,0)</f>
        <v/>
      </c>
      <c r="O13457" s="88">
        <f>VLOOKUP($Q13457,매칭테이블!$F:$I,4,0)*K13457</f>
        <v/>
      </c>
      <c r="P13457" s="152">
        <f>M13457/1.1</f>
        <v/>
      </c>
      <c r="Q13457" s="88">
        <f>F13457&amp;E13457&amp;G13457&amp;L13457</f>
        <v/>
      </c>
    </row>
    <row r="13458">
      <c r="B13458" s="128" t="n">
        <v>44206</v>
      </c>
      <c r="C13458" s="88">
        <f>TEXT(B13458,"aaa")</f>
        <v/>
      </c>
      <c r="D13458" s="94" t="n"/>
      <c r="E13458" s="88">
        <f>INDEX(매칭테이블!C:D,MATCH(RD!G13458,매칭테이블!D:D,0),1)</f>
        <v/>
      </c>
      <c r="F13458" s="94" t="inlineStr">
        <is>
          <t>카페24</t>
        </is>
      </c>
      <c r="G13458" s="94" t="inlineStr">
        <is>
          <t>청귤 비타 잡티 마스크옵션=청귤 비타 잡티 마스크 10장(50% off)</t>
        </is>
      </c>
      <c r="K13458" s="94" t="n">
        <v>4</v>
      </c>
      <c r="L13458" s="88" t="n">
        <v>201208</v>
      </c>
      <c r="M13458" s="88">
        <f>VLOOKUP($Q13458,매칭테이블!$F:$I,2,0)*K13458</f>
        <v/>
      </c>
      <c r="N13458" s="88">
        <f>M13458-M13458*VLOOKUP($Q13458,매칭테이블!$F:$I,3,0)</f>
        <v/>
      </c>
      <c r="O13458" s="88">
        <f>VLOOKUP($Q13458,매칭테이블!$F:$I,4,0)*K13458</f>
        <v/>
      </c>
      <c r="P13458" s="152">
        <f>M13458/1.1</f>
        <v/>
      </c>
      <c r="Q13458" s="88">
        <f>F13458&amp;E13458&amp;G13458&amp;L13458</f>
        <v/>
      </c>
    </row>
    <row r="13459">
      <c r="B13459" s="128" t="n">
        <v>44206</v>
      </c>
      <c r="C13459" s="88">
        <f>TEXT(B13459,"aaa")</f>
        <v/>
      </c>
      <c r="D13459" s="94" t="n"/>
      <c r="E13459" s="88">
        <f>INDEX(매칭테이블!C:D,MATCH(RD!G13459,매칭테이블!D:D,0),1)</f>
        <v/>
      </c>
      <c r="F13459" s="94" t="inlineStr">
        <is>
          <t>카페24</t>
        </is>
      </c>
      <c r="G13459" s="94" t="inlineStr">
        <is>
          <t>촉촉 스킨팩 화장솜</t>
        </is>
      </c>
      <c r="K13459" s="94" t="n">
        <v>23</v>
      </c>
      <c r="L13459" s="88" t="n">
        <v>201208</v>
      </c>
      <c r="M13459" s="88">
        <f>VLOOKUP($Q13459,매칭테이블!$F:$I,2,0)*K13459</f>
        <v/>
      </c>
      <c r="N13459" s="88">
        <f>M13459-M13459*VLOOKUP($Q13459,매칭테이블!$F:$I,3,0)</f>
        <v/>
      </c>
      <c r="O13459" s="88">
        <f>VLOOKUP($Q13459,매칭테이블!$F:$I,4,0)*K13459</f>
        <v/>
      </c>
      <c r="P13459" s="152">
        <f>M13459/1.1</f>
        <v/>
      </c>
      <c r="Q13459" s="88">
        <f>F13459&amp;E13459&amp;G13459&amp;L13459</f>
        <v/>
      </c>
    </row>
    <row r="13460">
      <c r="B13460" s="128" t="n">
        <v>44206</v>
      </c>
      <c r="C13460" s="88">
        <f>TEXT(B13460,"aaa")</f>
        <v/>
      </c>
      <c r="D13460" s="94" t="n"/>
      <c r="E13460" s="88">
        <f>INDEX(매칭테이블!C:D,MATCH(RD!G13460,매칭테이블!D:D,0),1)</f>
        <v/>
      </c>
      <c r="F13460" s="94" t="inlineStr">
        <is>
          <t>카페24</t>
        </is>
      </c>
      <c r="G13460" s="94" t="inlineStr">
        <is>
          <t>촉촉 스킨팩 화장솜</t>
        </is>
      </c>
      <c r="K13460" s="94" t="n">
        <v>2</v>
      </c>
      <c r="L13460" s="88" t="n">
        <v>201208</v>
      </c>
      <c r="M13460" s="88">
        <f>VLOOKUP($Q13460,매칭테이블!$F:$I,2,0)*K13460</f>
        <v/>
      </c>
      <c r="N13460" s="88">
        <f>M13460-M13460*VLOOKUP($Q13460,매칭테이블!$F:$I,3,0)</f>
        <v/>
      </c>
      <c r="O13460" s="88">
        <f>VLOOKUP($Q13460,매칭테이블!$F:$I,4,0)*K13460</f>
        <v/>
      </c>
      <c r="P13460" s="152">
        <f>M13460/1.1</f>
        <v/>
      </c>
      <c r="Q13460" s="88">
        <f>F13460&amp;E13460&amp;G13460&amp;L13460</f>
        <v/>
      </c>
    </row>
    <row r="13461">
      <c r="B13461" s="128" t="n">
        <v>44207</v>
      </c>
      <c r="C13461" s="88">
        <f>TEXT(B13461,"aaa")</f>
        <v/>
      </c>
      <c r="D13461" s="94" t="n"/>
      <c r="E13461" s="88">
        <f>INDEX(매칭테이블!C:D,MATCH(RD!G13461,매칭테이블!D:D,0),1)</f>
        <v/>
      </c>
      <c r="F13461" s="94" t="inlineStr">
        <is>
          <t>W컨셉</t>
        </is>
      </c>
      <c r="G13461" s="94" t="inlineStr">
        <is>
          <t>어성초 77토너 (2 SET) HEARTLEAF 77% SOOTHING TONER 250ml250ml 2set</t>
        </is>
      </c>
      <c r="H13461" s="94" t="n"/>
      <c r="I13461" s="94" t="n"/>
      <c r="J13461" s="94" t="n"/>
      <c r="K13461" s="94" t="n">
        <v>5</v>
      </c>
      <c r="L13461" s="88" t="n">
        <v>201208</v>
      </c>
      <c r="M13461" s="88">
        <f>VLOOKUP($Q13461,매칭테이블!$F:$I,2,0)*K13461</f>
        <v/>
      </c>
      <c r="N13461" s="88">
        <f>M13461-M13461*VLOOKUP($Q13461,매칭테이블!$F:$I,3,0)</f>
        <v/>
      </c>
      <c r="O13461" s="88">
        <f>VLOOKUP($Q13461,매칭테이블!$F:$I,4,0)*K13461</f>
        <v/>
      </c>
      <c r="P13461" s="152">
        <f>M13461/1.1</f>
        <v/>
      </c>
      <c r="Q13461" s="88">
        <f>F13461&amp;E13461&amp;G13461&amp;L13461</f>
        <v/>
      </c>
    </row>
    <row r="13462">
      <c r="B13462" s="128" t="n">
        <v>44207</v>
      </c>
      <c r="C13462" s="88">
        <f>TEXT(B13462,"aaa")</f>
        <v/>
      </c>
      <c r="D13462" s="94" t="n"/>
      <c r="E13462" s="88">
        <f>INDEX(매칭테이블!C:D,MATCH(RD!G13462,매칭테이블!D:D,0),1)</f>
        <v/>
      </c>
      <c r="F13462" s="94" t="inlineStr">
        <is>
          <t>스타일쉐어</t>
        </is>
      </c>
      <c r="G13462" s="94" t="inlineStr">
        <is>
          <t>아누아 어성초 77 토너 250ml</t>
        </is>
      </c>
      <c r="K13462" s="94" t="n">
        <v>2</v>
      </c>
      <c r="L13462" s="88" t="n">
        <v>201208</v>
      </c>
      <c r="M13462" s="88">
        <f>VLOOKUP($Q13462,매칭테이블!$F:$I,2,0)*K13462</f>
        <v/>
      </c>
      <c r="N13462" s="88">
        <f>M13462-M13462*VLOOKUP($Q13462,매칭테이블!$F:$I,3,0)</f>
        <v/>
      </c>
      <c r="O13462" s="88">
        <f>VLOOKUP($Q13462,매칭테이블!$F:$I,4,0)*K13462</f>
        <v/>
      </c>
      <c r="P13462" s="152">
        <f>M13462/1.1</f>
        <v/>
      </c>
      <c r="Q13462" s="88">
        <f>F13462&amp;E13462&amp;G13462&amp;L13462</f>
        <v/>
      </c>
    </row>
    <row r="13463">
      <c r="B13463" s="128" t="n">
        <v>44207</v>
      </c>
      <c r="C13463" s="88">
        <f>TEXT(B13463,"aaa")</f>
        <v/>
      </c>
      <c r="D13463" s="94" t="n"/>
      <c r="E13463" s="88">
        <f>INDEX(매칭테이블!C:D,MATCH(RD!G13463,매칭테이블!D:D,0),1)</f>
        <v/>
      </c>
      <c r="F13463" s="94" t="inlineStr">
        <is>
          <t>아누아 CS</t>
        </is>
      </c>
      <c r="G13463" s="94" t="inlineStr">
        <is>
          <t>어성초 클렌징폼 120ml</t>
        </is>
      </c>
      <c r="K13463" s="94" t="n">
        <v>2</v>
      </c>
      <c r="L13463" s="88" t="n">
        <v>201208</v>
      </c>
      <c r="M13463" s="88">
        <f>VLOOKUP($Q13463,매칭테이블!$F:$I,2,0)*K13463</f>
        <v/>
      </c>
      <c r="N13463" s="88">
        <f>M13463-M13463*VLOOKUP($Q13463,매칭테이블!$F:$I,3,0)</f>
        <v/>
      </c>
      <c r="O13463" s="88">
        <f>VLOOKUP($Q13463,매칭테이블!$F:$I,4,0)*K13463</f>
        <v/>
      </c>
      <c r="P13463" s="152">
        <f>M13463/1.1</f>
        <v/>
      </c>
      <c r="Q13463" s="88">
        <f>F13463&amp;E13463&amp;G13463&amp;L13463</f>
        <v/>
      </c>
    </row>
    <row r="13464">
      <c r="B13464" s="128" t="n">
        <v>44207</v>
      </c>
      <c r="C13464" s="88">
        <f>TEXT(B13464,"aaa")</f>
        <v/>
      </c>
      <c r="D13464" s="94" t="n"/>
      <c r="E13464" s="88">
        <f>INDEX(매칭테이블!C:D,MATCH(RD!G13464,매칭테이블!D:D,0),1)</f>
        <v/>
      </c>
      <c r="F13464" s="94" t="inlineStr">
        <is>
          <t>카페24</t>
        </is>
      </c>
      <c r="G13464" s="94" t="inlineStr">
        <is>
          <t>5 제로 무기자차 선크림옵션=5제로 무기자차 선크림 1개-20% off</t>
        </is>
      </c>
      <c r="K13464" s="94" t="n">
        <v>2</v>
      </c>
      <c r="L13464" s="88" t="n">
        <v>201208</v>
      </c>
      <c r="M13464" s="88">
        <f>VLOOKUP($Q13464,매칭테이블!$F:$I,2,0)*K13464</f>
        <v/>
      </c>
      <c r="N13464" s="88">
        <f>M13464-M13464*VLOOKUP($Q13464,매칭테이블!$F:$I,3,0)</f>
        <v/>
      </c>
      <c r="O13464" s="88">
        <f>VLOOKUP($Q13464,매칭테이블!$F:$I,4,0)*K13464</f>
        <v/>
      </c>
      <c r="P13464" s="152">
        <f>M13464/1.1</f>
        <v/>
      </c>
      <c r="Q13464" s="88">
        <f>F13464&amp;E13464&amp;G13464&amp;L13464</f>
        <v/>
      </c>
    </row>
    <row r="13465">
      <c r="B13465" s="128" t="n">
        <v>44207</v>
      </c>
      <c r="C13465" s="88">
        <f>TEXT(B13465,"aaa")</f>
        <v/>
      </c>
      <c r="D13465" s="94" t="n"/>
      <c r="E13465" s="88">
        <f>INDEX(매칭테이블!C:D,MATCH(RD!G13465,매칭테이블!D:D,0),1)</f>
        <v/>
      </c>
      <c r="F13465" s="94" t="inlineStr">
        <is>
          <t>카페24</t>
        </is>
      </c>
      <c r="G13465" s="94" t="inlineStr">
        <is>
          <t>5 제로 무기자차 선크림옵션=5제로 무기자차 선크림 2개-30% off (무료배송)</t>
        </is>
      </c>
      <c r="K13465" s="94" t="n">
        <v>4</v>
      </c>
      <c r="L13465" s="88" t="n">
        <v>201208</v>
      </c>
      <c r="M13465" s="88">
        <f>VLOOKUP($Q13465,매칭테이블!$F:$I,2,0)*K13465</f>
        <v/>
      </c>
      <c r="N13465" s="88">
        <f>M13465-M13465*VLOOKUP($Q13465,매칭테이블!$F:$I,3,0)</f>
        <v/>
      </c>
      <c r="O13465" s="88">
        <f>VLOOKUP($Q13465,매칭테이블!$F:$I,4,0)*K13465</f>
        <v/>
      </c>
      <c r="P13465" s="152">
        <f>M13465/1.1</f>
        <v/>
      </c>
      <c r="Q13465" s="88">
        <f>F13465&amp;E13465&amp;G13465&amp;L13465</f>
        <v/>
      </c>
    </row>
    <row r="13466">
      <c r="B13466" s="128" t="n">
        <v>44207</v>
      </c>
      <c r="C13466" s="88">
        <f>TEXT(B13466,"aaa")</f>
        <v/>
      </c>
      <c r="D13466" s="94" t="n"/>
      <c r="E13466" s="88">
        <f>INDEX(매칭테이블!C:D,MATCH(RD!G13466,매칭테이블!D:D,0),1)</f>
        <v/>
      </c>
      <c r="F13466" s="94" t="inlineStr">
        <is>
          <t>카페24</t>
        </is>
      </c>
      <c r="G13466" s="94" t="inlineStr">
        <is>
          <t>[수분 보충 세트] 어성초 77 토너 + 어성초 70 로션옵션=어성초 77 토너 250ml + 어성초 70 로션 200ml -30%</t>
        </is>
      </c>
      <c r="K13466" s="94" t="n">
        <v>69</v>
      </c>
      <c r="L13466" s="88" t="n">
        <v>201208</v>
      </c>
      <c r="M13466" s="88">
        <f>VLOOKUP($Q13466,매칭테이블!$F:$I,2,0)*K13466</f>
        <v/>
      </c>
      <c r="N13466" s="88">
        <f>M13466-M13466*VLOOKUP($Q13466,매칭테이블!$F:$I,3,0)</f>
        <v/>
      </c>
      <c r="O13466" s="88">
        <f>VLOOKUP($Q13466,매칭테이블!$F:$I,4,0)*K13466</f>
        <v/>
      </c>
      <c r="P13466" s="152">
        <f>M13466/1.1</f>
        <v/>
      </c>
      <c r="Q13466" s="88">
        <f>F13466&amp;E13466&amp;G13466&amp;L13466</f>
        <v/>
      </c>
    </row>
    <row r="13467">
      <c r="B13467" s="128" t="n">
        <v>44207</v>
      </c>
      <c r="C13467" s="88">
        <f>TEXT(B13467,"aaa")</f>
        <v/>
      </c>
      <c r="D13467" s="94" t="n"/>
      <c r="E13467" s="88">
        <f>INDEX(매칭테이블!C:D,MATCH(RD!G13467,매칭테이블!D:D,0),1)</f>
        <v/>
      </c>
      <c r="F13467" s="94" t="inlineStr">
        <is>
          <t>카페24</t>
        </is>
      </c>
      <c r="G13467" s="94" t="inlineStr">
        <is>
          <t>[어성초 진정 패키지 세트] 대용량 토너 + 앰플 + 수딩 크림 + 마스크팩 10장</t>
        </is>
      </c>
      <c r="K13467" s="94" t="n">
        <v>3</v>
      </c>
      <c r="L13467" s="88" t="n">
        <v>201208</v>
      </c>
      <c r="M13467" s="88">
        <f>VLOOKUP($Q13467,매칭테이블!$F:$I,2,0)*K13467</f>
        <v/>
      </c>
      <c r="N13467" s="88">
        <f>M13467-M13467*VLOOKUP($Q13467,매칭테이블!$F:$I,3,0)</f>
        <v/>
      </c>
      <c r="O13467" s="88">
        <f>VLOOKUP($Q13467,매칭테이블!$F:$I,4,0)*K13467</f>
        <v/>
      </c>
      <c r="P13467" s="152">
        <f>M13467/1.1</f>
        <v/>
      </c>
      <c r="Q13467" s="88">
        <f>F13467&amp;E13467&amp;G13467&amp;L13467</f>
        <v/>
      </c>
    </row>
    <row r="13468">
      <c r="B13468" s="128" t="n">
        <v>44207</v>
      </c>
      <c r="C13468" s="88">
        <f>TEXT(B13468,"aaa")</f>
        <v/>
      </c>
      <c r="D13468" s="94" t="n"/>
      <c r="E13468" s="88">
        <f>INDEX(매칭테이블!C:D,MATCH(RD!G13468,매칭테이블!D:D,0),1)</f>
        <v/>
      </c>
      <c r="F13468" s="94" t="inlineStr">
        <is>
          <t>카페24</t>
        </is>
      </c>
      <c r="G13468" s="94" t="inlineStr">
        <is>
          <t>대용량 어성초 77 수딩 토너 500ml</t>
        </is>
      </c>
      <c r="K13468" s="94" t="n">
        <v>39</v>
      </c>
      <c r="L13468" s="88" t="n">
        <v>201208</v>
      </c>
      <c r="M13468" s="88">
        <f>VLOOKUP($Q13468,매칭테이블!$F:$I,2,0)*K13468</f>
        <v/>
      </c>
      <c r="N13468" s="88">
        <f>M13468-M13468*VLOOKUP($Q13468,매칭테이블!$F:$I,3,0)</f>
        <v/>
      </c>
      <c r="O13468" s="88">
        <f>VLOOKUP($Q13468,매칭테이블!$F:$I,4,0)*K13468</f>
        <v/>
      </c>
      <c r="P13468" s="152">
        <f>M13468/1.1</f>
        <v/>
      </c>
      <c r="Q13468" s="88">
        <f>F13468&amp;E13468&amp;G13468&amp;L13468</f>
        <v/>
      </c>
    </row>
    <row r="13469">
      <c r="B13469" s="128" t="n">
        <v>44207</v>
      </c>
      <c r="C13469" s="88">
        <f>TEXT(B13469,"aaa")</f>
        <v/>
      </c>
      <c r="D13469" s="94" t="n"/>
      <c r="E13469" s="88">
        <f>INDEX(매칭테이블!C:D,MATCH(RD!G13469,매칭테이블!D:D,0),1)</f>
        <v/>
      </c>
      <c r="F13469" s="94" t="inlineStr">
        <is>
          <t>카페24</t>
        </is>
      </c>
      <c r="G13469" s="94" t="inlineStr">
        <is>
          <t>어성초 70 데일리 릴리프 로션로션=어성초 70 데일리 릴리프 로션 1개 -20% off</t>
        </is>
      </c>
      <c r="K13469" s="94" t="n">
        <v>13</v>
      </c>
      <c r="L13469" s="88" t="n">
        <v>201208</v>
      </c>
      <c r="M13469" s="88">
        <f>VLOOKUP($Q13469,매칭테이블!$F:$I,2,0)*K13469</f>
        <v/>
      </c>
      <c r="N13469" s="88">
        <f>M13469-M13469*VLOOKUP($Q13469,매칭테이블!$F:$I,3,0)</f>
        <v/>
      </c>
      <c r="O13469" s="88">
        <f>VLOOKUP($Q13469,매칭테이블!$F:$I,4,0)*K13469</f>
        <v/>
      </c>
      <c r="P13469" s="152">
        <f>M13469/1.1</f>
        <v/>
      </c>
      <c r="Q13469" s="88">
        <f>F13469&amp;E13469&amp;G13469&amp;L13469</f>
        <v/>
      </c>
    </row>
    <row r="13470">
      <c r="B13470" s="128" t="n">
        <v>44207</v>
      </c>
      <c r="C13470" s="88">
        <f>TEXT(B13470,"aaa")</f>
        <v/>
      </c>
      <c r="D13470" s="94" t="n"/>
      <c r="E13470" s="88">
        <f>INDEX(매칭테이블!C:D,MATCH(RD!G13470,매칭테이블!D:D,0),1)</f>
        <v/>
      </c>
      <c r="F13470" s="94" t="inlineStr">
        <is>
          <t>카페24</t>
        </is>
      </c>
      <c r="G13470" s="94" t="inlineStr">
        <is>
          <t>어성초 70 데일리 릴리프 로션로션=어성초 70 데일리 릴리프 로션 2개 -30% off</t>
        </is>
      </c>
      <c r="K13470" s="94" t="n">
        <v>6</v>
      </c>
      <c r="L13470" s="88" t="n">
        <v>201208</v>
      </c>
      <c r="M13470" s="88">
        <f>VLOOKUP($Q13470,매칭테이블!$F:$I,2,0)*K13470</f>
        <v/>
      </c>
      <c r="N13470" s="88">
        <f>M13470-M13470*VLOOKUP($Q13470,매칭테이블!$F:$I,3,0)</f>
        <v/>
      </c>
      <c r="O13470" s="88">
        <f>VLOOKUP($Q13470,매칭테이블!$F:$I,4,0)*K13470</f>
        <v/>
      </c>
      <c r="P13470" s="152">
        <f>M13470/1.1</f>
        <v/>
      </c>
      <c r="Q13470" s="88">
        <f>F13470&amp;E13470&amp;G13470&amp;L13470</f>
        <v/>
      </c>
    </row>
    <row r="13471">
      <c r="B13471" s="128" t="n">
        <v>44207</v>
      </c>
      <c r="C13471" s="88">
        <f>TEXT(B13471,"aaa")</f>
        <v/>
      </c>
      <c r="D13471" s="94" t="n"/>
      <c r="E13471" s="88">
        <f>INDEX(매칭테이블!C:D,MATCH(RD!G13471,매칭테이블!D:D,0),1)</f>
        <v/>
      </c>
      <c r="F13471" s="94" t="inlineStr">
        <is>
          <t>카페24</t>
        </is>
      </c>
      <c r="G13471" s="94" t="inlineStr">
        <is>
          <t>어성초 70 데일리 릴리프 로션로션=어성초 77토너 + 어성초 70 로션 수분 보충 세트 -30% off</t>
        </is>
      </c>
      <c r="K13471" s="94" t="n">
        <v>5</v>
      </c>
      <c r="L13471" s="88" t="n">
        <v>201208</v>
      </c>
      <c r="M13471" s="88">
        <f>VLOOKUP($Q13471,매칭테이블!$F:$I,2,0)*K13471</f>
        <v/>
      </c>
      <c r="N13471" s="88">
        <f>M13471-M13471*VLOOKUP($Q13471,매칭테이블!$F:$I,3,0)</f>
        <v/>
      </c>
      <c r="O13471" s="88">
        <f>VLOOKUP($Q13471,매칭테이블!$F:$I,4,0)*K13471</f>
        <v/>
      </c>
      <c r="P13471" s="152">
        <f>M13471/1.1</f>
        <v/>
      </c>
      <c r="Q13471" s="88">
        <f>F13471&amp;E13471&amp;G13471&amp;L13471</f>
        <v/>
      </c>
    </row>
    <row r="13472">
      <c r="B13472" s="128" t="n">
        <v>44207</v>
      </c>
      <c r="C13472" s="88">
        <f>TEXT(B13472,"aaa")</f>
        <v/>
      </c>
      <c r="D13472" s="94" t="n"/>
      <c r="E13472" s="88">
        <f>INDEX(매칭테이블!C:D,MATCH(RD!G13472,매칭테이블!D:D,0),1)</f>
        <v/>
      </c>
      <c r="F13472" s="94" t="inlineStr">
        <is>
          <t>카페24</t>
        </is>
      </c>
      <c r="G13472" s="94" t="inlineStr">
        <is>
          <t>어성초 70 머드 크림 마스크옵션=어성초 70 머드 크림 마스크-20% off</t>
        </is>
      </c>
      <c r="K13472" s="94" t="n">
        <v>4</v>
      </c>
      <c r="L13472" s="88" t="n">
        <v>201208</v>
      </c>
      <c r="M13472" s="88">
        <f>VLOOKUP($Q13472,매칭테이블!$F:$I,2,0)*K13472</f>
        <v/>
      </c>
      <c r="N13472" s="88">
        <f>M13472-M13472*VLOOKUP($Q13472,매칭테이블!$F:$I,3,0)</f>
        <v/>
      </c>
      <c r="O13472" s="88">
        <f>VLOOKUP($Q13472,매칭테이블!$F:$I,4,0)*K13472</f>
        <v/>
      </c>
      <c r="P13472" s="152">
        <f>M13472/1.1</f>
        <v/>
      </c>
      <c r="Q13472" s="88">
        <f>F13472&amp;E13472&amp;G13472&amp;L13472</f>
        <v/>
      </c>
    </row>
    <row r="13473">
      <c r="B13473" s="128" t="n">
        <v>44207</v>
      </c>
      <c r="C13473" s="88">
        <f>TEXT(B13473,"aaa")</f>
        <v/>
      </c>
      <c r="D13473" s="94" t="n"/>
      <c r="E13473" s="88">
        <f>INDEX(매칭테이블!C:D,MATCH(RD!G13473,매칭테이블!D:D,0),1)</f>
        <v/>
      </c>
      <c r="F13473" s="94" t="inlineStr">
        <is>
          <t>카페24</t>
        </is>
      </c>
      <c r="G13473" s="94" t="inlineStr">
        <is>
          <t>어성초 70 인텐스 카밍 크림크림=어성초 70 인텐스 카밍 크림 1개 (-20%)</t>
        </is>
      </c>
      <c r="K13473" s="94" t="n">
        <v>4</v>
      </c>
      <c r="L13473" s="88" t="n">
        <v>201208</v>
      </c>
      <c r="M13473" s="88">
        <f>VLOOKUP($Q13473,매칭테이블!$F:$I,2,0)*K13473</f>
        <v/>
      </c>
      <c r="N13473" s="88">
        <f>M13473-M13473*VLOOKUP($Q13473,매칭테이블!$F:$I,3,0)</f>
        <v/>
      </c>
      <c r="O13473" s="88">
        <f>VLOOKUP($Q13473,매칭테이블!$F:$I,4,0)*K13473</f>
        <v/>
      </c>
      <c r="P13473" s="152">
        <f>M13473/1.1</f>
        <v/>
      </c>
      <c r="Q13473" s="88">
        <f>F13473&amp;E13473&amp;G13473&amp;L13473</f>
        <v/>
      </c>
    </row>
    <row r="13474">
      <c r="B13474" s="128" t="n">
        <v>44207</v>
      </c>
      <c r="C13474" s="88">
        <f>TEXT(B13474,"aaa")</f>
        <v/>
      </c>
      <c r="D13474" s="94" t="n"/>
      <c r="E13474" s="88">
        <f>INDEX(매칭테이블!C:D,MATCH(RD!G13474,매칭테이블!D:D,0),1)</f>
        <v/>
      </c>
      <c r="F13474" s="94" t="inlineStr">
        <is>
          <t>카페24</t>
        </is>
      </c>
      <c r="G13474" s="94" t="inlineStr">
        <is>
          <t>어성초 70 인텐스 카밍 크림크림=어성초 70 인텐스 카밍 크림 2개 (-30%)</t>
        </is>
      </c>
      <c r="K13474" s="94" t="n">
        <v>2</v>
      </c>
      <c r="L13474" s="88" t="n">
        <v>201208</v>
      </c>
      <c r="M13474" s="88">
        <f>VLOOKUP($Q13474,매칭테이블!$F:$I,2,0)*K13474</f>
        <v/>
      </c>
      <c r="N13474" s="88">
        <f>M13474-M13474*VLOOKUP($Q13474,매칭테이블!$F:$I,3,0)</f>
        <v/>
      </c>
      <c r="O13474" s="88">
        <f>VLOOKUP($Q13474,매칭테이블!$F:$I,4,0)*K13474</f>
        <v/>
      </c>
      <c r="P13474" s="152">
        <f>M13474/1.1</f>
        <v/>
      </c>
      <c r="Q13474" s="88">
        <f>F13474&amp;E13474&amp;G13474&amp;L13474</f>
        <v/>
      </c>
    </row>
    <row r="13475">
      <c r="B13475" s="128" t="n">
        <v>44207</v>
      </c>
      <c r="C13475" s="88">
        <f>TEXT(B13475,"aaa")</f>
        <v/>
      </c>
      <c r="D13475" s="94" t="n"/>
      <c r="E13475" s="88">
        <f>INDEX(매칭테이블!C:D,MATCH(RD!G13475,매칭테이블!D:D,0),1)</f>
        <v/>
      </c>
      <c r="F13475" s="94" t="inlineStr">
        <is>
          <t>카페24</t>
        </is>
      </c>
      <c r="G13475" s="94" t="inlineStr">
        <is>
          <t>어성초 77 수딩 토너 (클리어패드 세트 구매시 1/11 순차발송 예정)옵션=어성초 77 토너 1개-20% off</t>
        </is>
      </c>
      <c r="K13475" s="94" t="n">
        <v>68</v>
      </c>
      <c r="L13475" s="88" t="n">
        <v>201208</v>
      </c>
      <c r="M13475" s="88">
        <f>VLOOKUP($Q13475,매칭테이블!$F:$I,2,0)*K13475</f>
        <v/>
      </c>
      <c r="N13475" s="88">
        <f>M13475-M13475*VLOOKUP($Q13475,매칭테이블!$F:$I,3,0)</f>
        <v/>
      </c>
      <c r="O13475" s="88">
        <f>VLOOKUP($Q13475,매칭테이블!$F:$I,4,0)*K13475</f>
        <v/>
      </c>
      <c r="P13475" s="152">
        <f>M13475/1.1</f>
        <v/>
      </c>
      <c r="Q13475" s="88">
        <f>F13475&amp;E13475&amp;G13475&amp;L13475</f>
        <v/>
      </c>
    </row>
    <row r="13476">
      <c r="B13476" s="128" t="n">
        <v>44207</v>
      </c>
      <c r="C13476" s="88">
        <f>TEXT(B13476,"aaa")</f>
        <v/>
      </c>
      <c r="D13476" s="94" t="n"/>
      <c r="E13476" s="88">
        <f>INDEX(매칭테이블!C:D,MATCH(RD!G13476,매칭테이블!D:D,0),1)</f>
        <v/>
      </c>
      <c r="F13476" s="94" t="inlineStr">
        <is>
          <t>카페24</t>
        </is>
      </c>
      <c r="G13476" s="94" t="inlineStr">
        <is>
          <t>어성초 77 수딩 토너 (클리어패드 세트 구매시 1/11 순차발송 예정)옵션=어성초 77 토너 2개-30% off (무료배송)</t>
        </is>
      </c>
      <c r="K13476" s="94" t="n">
        <v>49</v>
      </c>
      <c r="L13476" s="88" t="n">
        <v>201208</v>
      </c>
      <c r="M13476" s="88">
        <f>VLOOKUP($Q13476,매칭테이블!$F:$I,2,0)*K13476</f>
        <v/>
      </c>
      <c r="N13476" s="88">
        <f>M13476-M13476*VLOOKUP($Q13476,매칭테이블!$F:$I,3,0)</f>
        <v/>
      </c>
      <c r="O13476" s="88">
        <f>VLOOKUP($Q13476,매칭테이블!$F:$I,4,0)*K13476</f>
        <v/>
      </c>
      <c r="P13476" s="152">
        <f>M13476/1.1</f>
        <v/>
      </c>
      <c r="Q13476" s="88">
        <f>F13476&amp;E13476&amp;G13476&amp;L13476</f>
        <v/>
      </c>
    </row>
    <row r="13477">
      <c r="B13477" s="128" t="n">
        <v>44207</v>
      </c>
      <c r="C13477" s="88">
        <f>TEXT(B13477,"aaa")</f>
        <v/>
      </c>
      <c r="D13477" s="94" t="n"/>
      <c r="E13477" s="88">
        <f>INDEX(매칭테이블!C:D,MATCH(RD!G13477,매칭테이블!D:D,0),1)</f>
        <v/>
      </c>
      <c r="F13477" s="94" t="inlineStr">
        <is>
          <t>카페24</t>
        </is>
      </c>
      <c r="G13477" s="94" t="inlineStr">
        <is>
          <t>어성초 77 수딩 토너 (클리어패드 세트 구매시 1/11 순차발송 예정)옵션=어성초 77토너1개 + 어성초77패드1개 -30% off (무료배송)</t>
        </is>
      </c>
      <c r="K13477" s="94" t="n">
        <v>69</v>
      </c>
      <c r="L13477" s="88" t="n">
        <v>201208</v>
      </c>
      <c r="M13477" s="88">
        <f>VLOOKUP($Q13477,매칭테이블!$F:$I,2,0)*K13477</f>
        <v/>
      </c>
      <c r="N13477" s="88">
        <f>M13477-M13477*VLOOKUP($Q13477,매칭테이블!$F:$I,3,0)</f>
        <v/>
      </c>
      <c r="O13477" s="88">
        <f>VLOOKUP($Q13477,매칭테이블!$F:$I,4,0)*K13477</f>
        <v/>
      </c>
      <c r="P13477" s="152">
        <f>M13477/1.1</f>
        <v/>
      </c>
      <c r="Q13477" s="88">
        <f>F13477&amp;E13477&amp;G13477&amp;L13477</f>
        <v/>
      </c>
    </row>
    <row r="13478">
      <c r="B13478" s="128" t="n">
        <v>44207</v>
      </c>
      <c r="C13478" s="88">
        <f>TEXT(B13478,"aaa")</f>
        <v/>
      </c>
      <c r="D13478" s="94" t="n"/>
      <c r="E13478" s="88">
        <f>INDEX(매칭테이블!C:D,MATCH(RD!G13478,매칭테이블!D:D,0),1)</f>
        <v/>
      </c>
      <c r="F13478" s="94" t="inlineStr">
        <is>
          <t>카페24</t>
        </is>
      </c>
      <c r="G13478" s="94" t="inlineStr">
        <is>
          <t>어성초 77 수딩 토너 (클리어패드 세트 구매시 1/11 순차발송 예정)화장솜(선택)=촉촉 스킨팩 화장솜</t>
        </is>
      </c>
      <c r="K13478" s="94" t="n">
        <v>53</v>
      </c>
      <c r="L13478" s="88" t="n">
        <v>201208</v>
      </c>
      <c r="M13478" s="88">
        <f>VLOOKUP($Q13478,매칭테이블!$F:$I,2,0)*K13478</f>
        <v/>
      </c>
      <c r="N13478" s="88">
        <f>M13478-M13478*VLOOKUP($Q13478,매칭테이블!$F:$I,3,0)</f>
        <v/>
      </c>
      <c r="O13478" s="88">
        <f>VLOOKUP($Q13478,매칭테이블!$F:$I,4,0)*K13478</f>
        <v/>
      </c>
      <c r="P13478" s="152">
        <f>M13478/1.1</f>
        <v/>
      </c>
      <c r="Q13478" s="88">
        <f>F13478&amp;E13478&amp;G13478&amp;L13478</f>
        <v/>
      </c>
    </row>
    <row r="13479">
      <c r="B13479" s="128" t="n">
        <v>44207</v>
      </c>
      <c r="C13479" s="88">
        <f>TEXT(B13479,"aaa")</f>
        <v/>
      </c>
      <c r="D13479" s="94" t="n"/>
      <c r="E13479" s="88">
        <f>INDEX(매칭테이블!C:D,MATCH(RD!G13479,매칭테이블!D:D,0),1)</f>
        <v/>
      </c>
      <c r="F13479" s="94" t="inlineStr">
        <is>
          <t>카페24</t>
        </is>
      </c>
      <c r="G13479" s="94" t="inlineStr">
        <is>
          <t>어성초 77 진정 마스크옵션=어성초 77 진정 마스크팩 1장</t>
        </is>
      </c>
      <c r="K13479" s="94" t="n">
        <v>1</v>
      </c>
      <c r="L13479" s="88" t="n">
        <v>201208</v>
      </c>
      <c r="M13479" s="88">
        <f>VLOOKUP($Q13479,매칭테이블!$F:$I,2,0)*K13479</f>
        <v/>
      </c>
      <c r="N13479" s="88">
        <f>M13479-M13479*VLOOKUP($Q13479,매칭테이블!$F:$I,3,0)</f>
        <v/>
      </c>
      <c r="O13479" s="88">
        <f>VLOOKUP($Q13479,매칭테이블!$F:$I,4,0)*K13479</f>
        <v/>
      </c>
      <c r="P13479" s="152">
        <f>M13479/1.1</f>
        <v/>
      </c>
      <c r="Q13479" s="88">
        <f>F13479&amp;E13479&amp;G13479&amp;L13479</f>
        <v/>
      </c>
    </row>
    <row r="13480">
      <c r="B13480" s="128" t="n">
        <v>44207</v>
      </c>
      <c r="C13480" s="88">
        <f>TEXT(B13480,"aaa")</f>
        <v/>
      </c>
      <c r="D13480" s="94" t="n"/>
      <c r="E13480" s="88">
        <f>INDEX(매칭테이블!C:D,MATCH(RD!G13480,매칭테이블!D:D,0),1)</f>
        <v/>
      </c>
      <c r="F13480" s="94" t="inlineStr">
        <is>
          <t>카페24</t>
        </is>
      </c>
      <c r="G13480" s="94" t="inlineStr">
        <is>
          <t>어성초 77 진정 마스크옵션=어성초 77 진정 마스크팩 10장-50% off</t>
        </is>
      </c>
      <c r="K13480" s="94" t="n">
        <v>8</v>
      </c>
      <c r="L13480" s="88" t="n">
        <v>201208</v>
      </c>
      <c r="M13480" s="88">
        <f>VLOOKUP($Q13480,매칭테이블!$F:$I,2,0)*K13480</f>
        <v/>
      </c>
      <c r="N13480" s="88">
        <f>M13480-M13480*VLOOKUP($Q13480,매칭테이블!$F:$I,3,0)</f>
        <v/>
      </c>
      <c r="O13480" s="88">
        <f>VLOOKUP($Q13480,매칭테이블!$F:$I,4,0)*K13480</f>
        <v/>
      </c>
      <c r="P13480" s="152">
        <f>M13480/1.1</f>
        <v/>
      </c>
      <c r="Q13480" s="88">
        <f>F13480&amp;E13480&amp;G13480&amp;L13480</f>
        <v/>
      </c>
    </row>
    <row r="13481">
      <c r="B13481" s="128" t="n">
        <v>44207</v>
      </c>
      <c r="C13481" s="88">
        <f>TEXT(B13481,"aaa")</f>
        <v/>
      </c>
      <c r="D13481" s="94" t="n"/>
      <c r="E13481" s="88">
        <f>INDEX(매칭테이블!C:D,MATCH(RD!G13481,매칭테이블!D:D,0),1)</f>
        <v/>
      </c>
      <c r="F13481" s="94" t="inlineStr">
        <is>
          <t>카페24</t>
        </is>
      </c>
      <c r="G13481" s="94" t="inlineStr">
        <is>
          <t>어성초 77 진정 마스크</t>
        </is>
      </c>
      <c r="K13481" s="94" t="n">
        <v>4</v>
      </c>
      <c r="L13481" s="88" t="n">
        <v>201208</v>
      </c>
      <c r="M13481" s="88">
        <f>VLOOKUP($Q13481,매칭테이블!$F:$I,2,0)*K13481</f>
        <v/>
      </c>
      <c r="N13481" s="88">
        <f>M13481-M13481*VLOOKUP($Q13481,매칭테이블!$F:$I,3,0)</f>
        <v/>
      </c>
      <c r="O13481" s="88">
        <f>VLOOKUP($Q13481,매칭테이블!$F:$I,4,0)*K13481</f>
        <v/>
      </c>
      <c r="P13481" s="152">
        <f>M13481/1.1</f>
        <v/>
      </c>
      <c r="Q13481" s="88">
        <f>F13481&amp;E13481&amp;G13481&amp;L13481</f>
        <v/>
      </c>
    </row>
    <row r="13482">
      <c r="B13482" s="128" t="n">
        <v>44207</v>
      </c>
      <c r="C13482" s="88">
        <f>TEXT(B13482,"aaa")</f>
        <v/>
      </c>
      <c r="D13482" s="94" t="n"/>
      <c r="E13482" s="88">
        <f>INDEX(매칭테이블!C:D,MATCH(RD!G13482,매칭테이블!D:D,0),1)</f>
        <v/>
      </c>
      <c r="F13482" s="94" t="inlineStr">
        <is>
          <t>카페24</t>
        </is>
      </c>
      <c r="G13482" s="94" t="inlineStr">
        <is>
          <t>어성초 77 클리어 패드 (1/11 순차발송 예정)옵션=어성초 77 클리어 패드 1개-20% off</t>
        </is>
      </c>
      <c r="K13482" s="94" t="n">
        <v>74</v>
      </c>
      <c r="L13482" s="88" t="n">
        <v>201208</v>
      </c>
      <c r="M13482" s="88">
        <f>VLOOKUP($Q13482,매칭테이블!$F:$I,2,0)*K13482</f>
        <v/>
      </c>
      <c r="N13482" s="88">
        <f>M13482-M13482*VLOOKUP($Q13482,매칭테이블!$F:$I,3,0)</f>
        <v/>
      </c>
      <c r="O13482" s="88">
        <f>VLOOKUP($Q13482,매칭테이블!$F:$I,4,0)*K13482</f>
        <v/>
      </c>
      <c r="P13482" s="152">
        <f>M13482/1.1</f>
        <v/>
      </c>
      <c r="Q13482" s="88">
        <f>F13482&amp;E13482&amp;G13482&amp;L13482</f>
        <v/>
      </c>
    </row>
    <row r="13483">
      <c r="B13483" s="128" t="n">
        <v>44207</v>
      </c>
      <c r="C13483" s="88">
        <f>TEXT(B13483,"aaa")</f>
        <v/>
      </c>
      <c r="D13483" s="94" t="n"/>
      <c r="E13483" s="88">
        <f>INDEX(매칭테이블!C:D,MATCH(RD!G13483,매칭테이블!D:D,0),1)</f>
        <v/>
      </c>
      <c r="F13483" s="94" t="inlineStr">
        <is>
          <t>카페24</t>
        </is>
      </c>
      <c r="G13483" s="94" t="inlineStr">
        <is>
          <t>어성초 77 클리어 패드 (1/11 순차발송 예정)옵션=어성초 77 클리어 패드 2개-30% off (무료배송)</t>
        </is>
      </c>
      <c r="K13483" s="94" t="n">
        <v>105</v>
      </c>
      <c r="L13483" s="88" t="n">
        <v>201208</v>
      </c>
      <c r="M13483" s="88">
        <f>VLOOKUP($Q13483,매칭테이블!$F:$I,2,0)*K13483</f>
        <v/>
      </c>
      <c r="N13483" s="88">
        <f>M13483-M13483*VLOOKUP($Q13483,매칭테이블!$F:$I,3,0)</f>
        <v/>
      </c>
      <c r="O13483" s="88">
        <f>VLOOKUP($Q13483,매칭테이블!$F:$I,4,0)*K13483</f>
        <v/>
      </c>
      <c r="P13483" s="152">
        <f>M13483/1.1</f>
        <v/>
      </c>
      <c r="Q13483" s="88">
        <f>F13483&amp;E13483&amp;G13483&amp;L13483</f>
        <v/>
      </c>
    </row>
    <row r="13484">
      <c r="B13484" s="128" t="n">
        <v>44207</v>
      </c>
      <c r="C13484" s="88">
        <f>TEXT(B13484,"aaa")</f>
        <v/>
      </c>
      <c r="D13484" s="94" t="n"/>
      <c r="E13484" s="88">
        <f>INDEX(매칭테이블!C:D,MATCH(RD!G13484,매칭테이블!D:D,0),1)</f>
        <v/>
      </c>
      <c r="F13484" s="94" t="inlineStr">
        <is>
          <t>카페24</t>
        </is>
      </c>
      <c r="G13484" s="94" t="inlineStr">
        <is>
          <t>어성초 77 클리어 패드 (1/11 순차발송 예정)옵션=어성초 77 클리어 패드 3개-35% off (무료배송)</t>
        </is>
      </c>
      <c r="K13484" s="94" t="n">
        <v>21</v>
      </c>
      <c r="L13484" s="88" t="n">
        <v>201208</v>
      </c>
      <c r="M13484" s="88">
        <f>VLOOKUP($Q13484,매칭테이블!$F:$I,2,0)*K13484</f>
        <v/>
      </c>
      <c r="N13484" s="88">
        <f>M13484-M13484*VLOOKUP($Q13484,매칭테이블!$F:$I,3,0)</f>
        <v/>
      </c>
      <c r="O13484" s="88">
        <f>VLOOKUP($Q13484,매칭테이블!$F:$I,4,0)*K13484</f>
        <v/>
      </c>
      <c r="P13484" s="152">
        <f>M13484/1.1</f>
        <v/>
      </c>
      <c r="Q13484" s="88">
        <f>F13484&amp;E13484&amp;G13484&amp;L13484</f>
        <v/>
      </c>
    </row>
    <row r="13485">
      <c r="B13485" s="128" t="n">
        <v>44207</v>
      </c>
      <c r="C13485" s="88">
        <f>TEXT(B13485,"aaa")</f>
        <v/>
      </c>
      <c r="D13485" s="94" t="n"/>
      <c r="E13485" s="88">
        <f>INDEX(매칭테이블!C:D,MATCH(RD!G13485,매칭테이블!D:D,0),1)</f>
        <v/>
      </c>
      <c r="F13485" s="94" t="inlineStr">
        <is>
          <t>카페24</t>
        </is>
      </c>
      <c r="G13485" s="94" t="inlineStr">
        <is>
          <t>어성초 77 클리어 패드 (1/11 순차발송 예정)옵션=어성초77토너1개+어성초77패드1개-30% off (무료배송)</t>
        </is>
      </c>
      <c r="K13485" s="94" t="n">
        <v>1</v>
      </c>
      <c r="L13485" s="88" t="n">
        <v>201208</v>
      </c>
      <c r="M13485" s="88">
        <f>VLOOKUP($Q13485,매칭테이블!$F:$I,2,0)*K13485</f>
        <v/>
      </c>
      <c r="N13485" s="88">
        <f>M13485-M13485*VLOOKUP($Q13485,매칭테이블!$F:$I,3,0)</f>
        <v/>
      </c>
      <c r="O13485" s="88">
        <f>VLOOKUP($Q13485,매칭테이블!$F:$I,4,0)*K13485</f>
        <v/>
      </c>
      <c r="P13485" s="152">
        <f>M13485/1.1</f>
        <v/>
      </c>
      <c r="Q13485" s="88">
        <f>F13485&amp;E13485&amp;G13485&amp;L13485</f>
        <v/>
      </c>
    </row>
    <row r="13486">
      <c r="B13486" s="128" t="n">
        <v>44207</v>
      </c>
      <c r="C13486" s="88">
        <f>TEXT(B13486,"aaa")</f>
        <v/>
      </c>
      <c r="D13486" s="94" t="n"/>
      <c r="E13486" s="88">
        <f>INDEX(매칭테이블!C:D,MATCH(RD!G13486,매칭테이블!D:D,0),1)</f>
        <v/>
      </c>
      <c r="F13486" s="94" t="inlineStr">
        <is>
          <t>카페24</t>
        </is>
      </c>
      <c r="G13486" s="94" t="inlineStr">
        <is>
          <t>어성초 77 클리어 패드 (1/11 순차발송 예정)옵션=어성초77토너1개+어성초77패드1개-30% off (무료배송)</t>
        </is>
      </c>
      <c r="K13486" s="94" t="n">
        <v>34</v>
      </c>
      <c r="L13486" s="88" t="n">
        <v>201208</v>
      </c>
      <c r="M13486" s="88">
        <f>VLOOKUP($Q13486,매칭테이블!$F:$I,2,0)*K13486</f>
        <v/>
      </c>
      <c r="N13486" s="88">
        <f>M13486-M13486*VLOOKUP($Q13486,매칭테이블!$F:$I,3,0)</f>
        <v/>
      </c>
      <c r="O13486" s="88">
        <f>VLOOKUP($Q13486,매칭테이블!$F:$I,4,0)*K13486</f>
        <v/>
      </c>
      <c r="P13486" s="152">
        <f>M13486/1.1</f>
        <v/>
      </c>
      <c r="Q13486" s="88">
        <f>F13486&amp;E13486&amp;G13486&amp;L13486</f>
        <v/>
      </c>
    </row>
    <row r="13487">
      <c r="B13487" s="128" t="n">
        <v>44207</v>
      </c>
      <c r="C13487" s="88">
        <f>TEXT(B13487,"aaa")</f>
        <v/>
      </c>
      <c r="D13487" s="94" t="n"/>
      <c r="E13487" s="88">
        <f>INDEX(매칭테이블!C:D,MATCH(RD!G13487,매칭테이블!D:D,0),1)</f>
        <v/>
      </c>
      <c r="F13487" s="94" t="inlineStr">
        <is>
          <t>카페24</t>
        </is>
      </c>
      <c r="G13487" s="94" t="inlineStr">
        <is>
          <t>어성초 77 포어 클리어 패드 (1/11 순차발송 예정)옵션=어성초 77 클리어 패드 1개-20% off</t>
        </is>
      </c>
      <c r="K13487" s="94" t="n">
        <v>7</v>
      </c>
      <c r="L13487" s="88" t="n">
        <v>201208</v>
      </c>
      <c r="M13487" s="88">
        <f>VLOOKUP($Q13487,매칭테이블!$F:$I,2,0)*K13487</f>
        <v/>
      </c>
      <c r="N13487" s="88">
        <f>M13487-M13487*VLOOKUP($Q13487,매칭테이블!$F:$I,3,0)</f>
        <v/>
      </c>
      <c r="O13487" s="88">
        <f>VLOOKUP($Q13487,매칭테이블!$F:$I,4,0)*K13487</f>
        <v/>
      </c>
      <c r="P13487" s="152">
        <f>M13487/1.1</f>
        <v/>
      </c>
      <c r="Q13487" s="88">
        <f>F13487&amp;E13487&amp;G13487&amp;L13487</f>
        <v/>
      </c>
    </row>
    <row r="13488">
      <c r="B13488" s="128" t="n">
        <v>44207</v>
      </c>
      <c r="C13488" s="88">
        <f>TEXT(B13488,"aaa")</f>
        <v/>
      </c>
      <c r="D13488" s="94" t="n"/>
      <c r="E13488" s="88">
        <f>INDEX(매칭테이블!C:D,MATCH(RD!G13488,매칭테이블!D:D,0),1)</f>
        <v/>
      </c>
      <c r="F13488" s="94" t="inlineStr">
        <is>
          <t>카페24</t>
        </is>
      </c>
      <c r="G13488" s="94" t="inlineStr">
        <is>
          <t>어성초 77 포어 클리어 패드 (1/11 순차발송 예정)옵션=어성초 77 클리어 패드 2개-30% off (무료배송)</t>
        </is>
      </c>
      <c r="K13488" s="94" t="n">
        <v>9</v>
      </c>
      <c r="L13488" s="88" t="n">
        <v>201208</v>
      </c>
      <c r="M13488" s="88">
        <f>VLOOKUP($Q13488,매칭테이블!$F:$I,2,0)*K13488</f>
        <v/>
      </c>
      <c r="N13488" s="88">
        <f>M13488-M13488*VLOOKUP($Q13488,매칭테이블!$F:$I,3,0)</f>
        <v/>
      </c>
      <c r="O13488" s="88">
        <f>VLOOKUP($Q13488,매칭테이블!$F:$I,4,0)*K13488</f>
        <v/>
      </c>
      <c r="P13488" s="152">
        <f>M13488/1.1</f>
        <v/>
      </c>
      <c r="Q13488" s="88">
        <f>F13488&amp;E13488&amp;G13488&amp;L13488</f>
        <v/>
      </c>
    </row>
    <row r="13489">
      <c r="B13489" s="128" t="n">
        <v>44207</v>
      </c>
      <c r="C13489" s="88">
        <f>TEXT(B13489,"aaa")</f>
        <v/>
      </c>
      <c r="D13489" s="94" t="n"/>
      <c r="E13489" s="88">
        <f>INDEX(매칭테이블!C:D,MATCH(RD!G13489,매칭테이블!D:D,0),1)</f>
        <v/>
      </c>
      <c r="F13489" s="94" t="inlineStr">
        <is>
          <t>카페24</t>
        </is>
      </c>
      <c r="G13489" s="94" t="inlineStr">
        <is>
          <t>어성초 77 포어 클리어 패드 (1/11 순차발송 예정)옵션=어성초 77 클리어 패드 3개-35% off (무료배송)</t>
        </is>
      </c>
      <c r="K13489" s="94" t="n">
        <v>3</v>
      </c>
      <c r="L13489" s="88" t="n">
        <v>201208</v>
      </c>
      <c r="M13489" s="88">
        <f>VLOOKUP($Q13489,매칭테이블!$F:$I,2,0)*K13489</f>
        <v/>
      </c>
      <c r="N13489" s="88">
        <f>M13489-M13489*VLOOKUP($Q13489,매칭테이블!$F:$I,3,0)</f>
        <v/>
      </c>
      <c r="O13489" s="88">
        <f>VLOOKUP($Q13489,매칭테이블!$F:$I,4,0)*K13489</f>
        <v/>
      </c>
      <c r="P13489" s="152">
        <f>M13489/1.1</f>
        <v/>
      </c>
      <c r="Q13489" s="88">
        <f>F13489&amp;E13489&amp;G13489&amp;L13489</f>
        <v/>
      </c>
    </row>
    <row r="13490">
      <c r="B13490" s="128" t="n">
        <v>44207</v>
      </c>
      <c r="C13490" s="88">
        <f>TEXT(B13490,"aaa")</f>
        <v/>
      </c>
      <c r="D13490" s="94" t="n"/>
      <c r="E13490" s="88">
        <f>INDEX(매칭테이블!C:D,MATCH(RD!G13490,매칭테이블!D:D,0),1)</f>
        <v/>
      </c>
      <c r="F13490" s="94" t="inlineStr">
        <is>
          <t>카페24</t>
        </is>
      </c>
      <c r="G13490" s="94" t="inlineStr">
        <is>
          <t>어성초 77% 패드 (1/11 순차발송 예정)옵션=어성초 77 클리어 패드 1개-20% off</t>
        </is>
      </c>
      <c r="K13490" s="94" t="n">
        <v>89</v>
      </c>
      <c r="L13490" s="88" t="n">
        <v>201208</v>
      </c>
      <c r="M13490" s="88">
        <f>VLOOKUP($Q13490,매칭테이블!$F:$I,2,0)*K13490</f>
        <v/>
      </c>
      <c r="N13490" s="88">
        <f>M13490-M13490*VLOOKUP($Q13490,매칭테이블!$F:$I,3,0)</f>
        <v/>
      </c>
      <c r="O13490" s="88">
        <f>VLOOKUP($Q13490,매칭테이블!$F:$I,4,0)*K13490</f>
        <v/>
      </c>
      <c r="P13490" s="152">
        <f>M13490/1.1</f>
        <v/>
      </c>
      <c r="Q13490" s="88">
        <f>F13490&amp;E13490&amp;G13490&amp;L13490</f>
        <v/>
      </c>
    </row>
    <row r="13491">
      <c r="B13491" s="128" t="n">
        <v>44207</v>
      </c>
      <c r="C13491" s="88">
        <f>TEXT(B13491,"aaa")</f>
        <v/>
      </c>
      <c r="D13491" s="94" t="n"/>
      <c r="E13491" s="88">
        <f>INDEX(매칭테이블!C:D,MATCH(RD!G13491,매칭테이블!D:D,0),1)</f>
        <v/>
      </c>
      <c r="F13491" s="94" t="inlineStr">
        <is>
          <t>카페24</t>
        </is>
      </c>
      <c r="G13491" s="94" t="inlineStr">
        <is>
          <t>어성초 77% 패드 (1/11 순차발송 예정)옵션=어성초 77 클리어 패드 2개-30% off (무료배송)</t>
        </is>
      </c>
      <c r="K13491" s="94" t="n">
        <v>117</v>
      </c>
      <c r="L13491" s="88" t="n">
        <v>201208</v>
      </c>
      <c r="M13491" s="88">
        <f>VLOOKUP($Q13491,매칭테이블!$F:$I,2,0)*K13491</f>
        <v/>
      </c>
      <c r="N13491" s="88">
        <f>M13491-M13491*VLOOKUP($Q13491,매칭테이블!$F:$I,3,0)</f>
        <v/>
      </c>
      <c r="O13491" s="88">
        <f>VLOOKUP($Q13491,매칭테이블!$F:$I,4,0)*K13491</f>
        <v/>
      </c>
      <c r="P13491" s="152">
        <f>M13491/1.1</f>
        <v/>
      </c>
      <c r="Q13491" s="88">
        <f>F13491&amp;E13491&amp;G13491&amp;L13491</f>
        <v/>
      </c>
    </row>
    <row r="13492">
      <c r="B13492" s="128" t="n">
        <v>44207</v>
      </c>
      <c r="C13492" s="88">
        <f>TEXT(B13492,"aaa")</f>
        <v/>
      </c>
      <c r="D13492" s="94" t="n"/>
      <c r="E13492" s="88">
        <f>INDEX(매칭테이블!C:D,MATCH(RD!G13492,매칭테이블!D:D,0),1)</f>
        <v/>
      </c>
      <c r="F13492" s="94" t="inlineStr">
        <is>
          <t>카페24</t>
        </is>
      </c>
      <c r="G13492" s="94" t="inlineStr">
        <is>
          <t>어성초 77% 패드 (1/11 순차발송 예정)옵션=어성초 77 클리어 패드 3개-35% off (무료배송)</t>
        </is>
      </c>
      <c r="K13492" s="94" t="n">
        <v>18</v>
      </c>
      <c r="L13492" s="88" t="n">
        <v>201208</v>
      </c>
      <c r="M13492" s="88">
        <f>VLOOKUP($Q13492,매칭테이블!$F:$I,2,0)*K13492</f>
        <v/>
      </c>
      <c r="N13492" s="88">
        <f>M13492-M13492*VLOOKUP($Q13492,매칭테이블!$F:$I,3,0)</f>
        <v/>
      </c>
      <c r="O13492" s="88">
        <f>VLOOKUP($Q13492,매칭테이블!$F:$I,4,0)*K13492</f>
        <v/>
      </c>
      <c r="P13492" s="152">
        <f>M13492/1.1</f>
        <v/>
      </c>
      <c r="Q13492" s="88">
        <f>F13492&amp;E13492&amp;G13492&amp;L13492</f>
        <v/>
      </c>
    </row>
    <row r="13493">
      <c r="B13493" s="128" t="n">
        <v>44207</v>
      </c>
      <c r="C13493" s="88">
        <f>TEXT(B13493,"aaa")</f>
        <v/>
      </c>
      <c r="D13493" s="94" t="n"/>
      <c r="E13493" s="88">
        <f>INDEX(매칭테이블!C:D,MATCH(RD!G13493,매칭테이블!D:D,0),1)</f>
        <v/>
      </c>
      <c r="F13493" s="94" t="inlineStr">
        <is>
          <t>카페24</t>
        </is>
      </c>
      <c r="G13493" s="94" t="inlineStr">
        <is>
          <t>어성초 77% 패드 (1/11 순차발송 예정)옵션=어성초77토너1개+어성초77패드1개-30% off (무료배송)</t>
        </is>
      </c>
      <c r="K13493" s="94" t="n">
        <v>29</v>
      </c>
      <c r="L13493" s="88" t="n">
        <v>201208</v>
      </c>
      <c r="M13493" s="88">
        <f>VLOOKUP($Q13493,매칭테이블!$F:$I,2,0)*K13493</f>
        <v/>
      </c>
      <c r="N13493" s="88">
        <f>M13493-M13493*VLOOKUP($Q13493,매칭테이블!$F:$I,3,0)</f>
        <v/>
      </c>
      <c r="O13493" s="88">
        <f>VLOOKUP($Q13493,매칭테이블!$F:$I,4,0)*K13493</f>
        <v/>
      </c>
      <c r="P13493" s="152">
        <f>M13493/1.1</f>
        <v/>
      </c>
      <c r="Q13493" s="88">
        <f>F13493&amp;E13493&amp;G13493&amp;L13493</f>
        <v/>
      </c>
    </row>
    <row r="13494">
      <c r="B13494" s="128" t="n">
        <v>44207</v>
      </c>
      <c r="C13494" s="88">
        <f>TEXT(B13494,"aaa")</f>
        <v/>
      </c>
      <c r="D13494" s="94" t="n"/>
      <c r="E13494" s="88">
        <f>INDEX(매칭테이블!C:D,MATCH(RD!G13494,매칭테이블!D:D,0),1)</f>
        <v/>
      </c>
      <c r="F13494" s="94" t="inlineStr">
        <is>
          <t>카페24</t>
        </is>
      </c>
      <c r="G13494" s="94" t="inlineStr">
        <is>
          <t>어성초 78 수딩 크림</t>
        </is>
      </c>
      <c r="K13494" s="94" t="n">
        <v>13</v>
      </c>
      <c r="L13494" s="88" t="n">
        <v>201208</v>
      </c>
      <c r="M13494" s="88">
        <f>VLOOKUP($Q13494,매칭테이블!$F:$I,2,0)*K13494</f>
        <v/>
      </c>
      <c r="N13494" s="88">
        <f>M13494-M13494*VLOOKUP($Q13494,매칭테이블!$F:$I,3,0)</f>
        <v/>
      </c>
      <c r="O13494" s="88">
        <f>VLOOKUP($Q13494,매칭테이블!$F:$I,4,0)*K13494</f>
        <v/>
      </c>
      <c r="P13494" s="152">
        <f>M13494/1.1</f>
        <v/>
      </c>
      <c r="Q13494" s="88">
        <f>F13494&amp;E13494&amp;G13494&amp;L13494</f>
        <v/>
      </c>
    </row>
    <row r="13495">
      <c r="B13495" s="128" t="n">
        <v>44207</v>
      </c>
      <c r="C13495" s="88">
        <f>TEXT(B13495,"aaa")</f>
        <v/>
      </c>
      <c r="D13495" s="94" t="n"/>
      <c r="E13495" s="88">
        <f>INDEX(매칭테이블!C:D,MATCH(RD!G13495,매칭테이블!D:D,0),1)</f>
        <v/>
      </c>
      <c r="F13495" s="94" t="inlineStr">
        <is>
          <t>카페24</t>
        </is>
      </c>
      <c r="G13495" s="94" t="inlineStr">
        <is>
          <t>어성초 78 수딩 크림</t>
        </is>
      </c>
      <c r="K13495" s="94" t="n">
        <v>9</v>
      </c>
      <c r="L13495" s="88" t="n">
        <v>201208</v>
      </c>
      <c r="M13495" s="88">
        <f>VLOOKUP($Q13495,매칭테이블!$F:$I,2,0)*K13495</f>
        <v/>
      </c>
      <c r="N13495" s="88">
        <f>M13495-M13495*VLOOKUP($Q13495,매칭테이블!$F:$I,3,0)</f>
        <v/>
      </c>
      <c r="O13495" s="88">
        <f>VLOOKUP($Q13495,매칭테이블!$F:$I,4,0)*K13495</f>
        <v/>
      </c>
      <c r="P13495" s="152">
        <f>M13495/1.1</f>
        <v/>
      </c>
      <c r="Q13495" s="88">
        <f>F13495&amp;E13495&amp;G13495&amp;L13495</f>
        <v/>
      </c>
    </row>
    <row r="13496">
      <c r="B13496" s="128" t="n">
        <v>44207</v>
      </c>
      <c r="C13496" s="88">
        <f>TEXT(B13496,"aaa")</f>
        <v/>
      </c>
      <c r="D13496" s="94" t="n"/>
      <c r="E13496" s="88">
        <f>INDEX(매칭테이블!C:D,MATCH(RD!G13496,매칭테이블!D:D,0),1)</f>
        <v/>
      </c>
      <c r="F13496" s="94" t="inlineStr">
        <is>
          <t>카페24</t>
        </is>
      </c>
      <c r="G13496" s="94" t="inlineStr">
        <is>
          <t>어성초 80 수분 진정 앰플앰플=어성초 80 앰플 1개-15%off</t>
        </is>
      </c>
      <c r="K13496" s="94" t="n">
        <v>19</v>
      </c>
      <c r="L13496" s="88" t="n">
        <v>201208</v>
      </c>
      <c r="M13496" s="88">
        <f>VLOOKUP($Q13496,매칭테이블!$F:$I,2,0)*K13496</f>
        <v/>
      </c>
      <c r="N13496" s="88">
        <f>M13496-M13496*VLOOKUP($Q13496,매칭테이블!$F:$I,3,0)</f>
        <v/>
      </c>
      <c r="O13496" s="88">
        <f>VLOOKUP($Q13496,매칭테이블!$F:$I,4,0)*K13496</f>
        <v/>
      </c>
      <c r="P13496" s="152">
        <f>M13496/1.1</f>
        <v/>
      </c>
      <c r="Q13496" s="88">
        <f>F13496&amp;E13496&amp;G13496&amp;L13496</f>
        <v/>
      </c>
    </row>
    <row r="13497">
      <c r="B13497" s="128" t="n">
        <v>44207</v>
      </c>
      <c r="C13497" s="88">
        <f>TEXT(B13497,"aaa")</f>
        <v/>
      </c>
      <c r="D13497" s="94" t="n"/>
      <c r="E13497" s="88">
        <f>INDEX(매칭테이블!C:D,MATCH(RD!G13497,매칭테이블!D:D,0),1)</f>
        <v/>
      </c>
      <c r="F13497" s="94" t="inlineStr">
        <is>
          <t>카페24</t>
        </is>
      </c>
      <c r="G13497" s="94" t="inlineStr">
        <is>
          <t>어성초 80 수분 진정 앰플앰플=어성초 80 앰플 2개-27%off (무료배송)</t>
        </is>
      </c>
      <c r="K13497" s="94" t="n">
        <v>6</v>
      </c>
      <c r="L13497" s="88" t="n">
        <v>201208</v>
      </c>
      <c r="M13497" s="88">
        <f>VLOOKUP($Q13497,매칭테이블!$F:$I,2,0)*K13497</f>
        <v/>
      </c>
      <c r="N13497" s="88">
        <f>M13497-M13497*VLOOKUP($Q13497,매칭테이블!$F:$I,3,0)</f>
        <v/>
      </c>
      <c r="O13497" s="88">
        <f>VLOOKUP($Q13497,매칭테이블!$F:$I,4,0)*K13497</f>
        <v/>
      </c>
      <c r="P13497" s="152">
        <f>M13497/1.1</f>
        <v/>
      </c>
      <c r="Q13497" s="88">
        <f>F13497&amp;E13497&amp;G13497&amp;L13497</f>
        <v/>
      </c>
    </row>
    <row r="13498">
      <c r="B13498" s="128" t="n">
        <v>44207</v>
      </c>
      <c r="C13498" s="88">
        <f>TEXT(B13498,"aaa")</f>
        <v/>
      </c>
      <c r="D13498" s="94" t="n"/>
      <c r="E13498" s="88">
        <f>INDEX(매칭테이블!C:D,MATCH(RD!G13498,매칭테이블!D:D,0),1)</f>
        <v/>
      </c>
      <c r="F13498" s="94" t="inlineStr">
        <is>
          <t>카페24</t>
        </is>
      </c>
      <c r="G13498" s="94" t="inlineStr">
        <is>
          <t>어성초 80 수분 진정 앰플</t>
        </is>
      </c>
      <c r="K13498" s="94" t="n">
        <v>6</v>
      </c>
      <c r="L13498" s="88" t="n">
        <v>201208</v>
      </c>
      <c r="M13498" s="88">
        <f>VLOOKUP($Q13498,매칭테이블!$F:$I,2,0)*K13498</f>
        <v/>
      </c>
      <c r="N13498" s="88">
        <f>M13498-M13498*VLOOKUP($Q13498,매칭테이블!$F:$I,3,0)</f>
        <v/>
      </c>
      <c r="O13498" s="88">
        <f>VLOOKUP($Q13498,매칭테이블!$F:$I,4,0)*K13498</f>
        <v/>
      </c>
      <c r="P13498" s="152">
        <f>M13498/1.1</f>
        <v/>
      </c>
      <c r="Q13498" s="88">
        <f>F13498&amp;E13498&amp;G13498&amp;L13498</f>
        <v/>
      </c>
    </row>
    <row r="13499">
      <c r="B13499" s="128" t="n">
        <v>44207</v>
      </c>
      <c r="C13499" s="88">
        <f>TEXT(B13499,"aaa")</f>
        <v/>
      </c>
      <c r="D13499" s="94" t="n"/>
      <c r="E13499" s="88">
        <f>INDEX(매칭테이블!C:D,MATCH(RD!G13499,매칭테이블!D:D,0),1)</f>
        <v/>
      </c>
      <c r="F13499" s="94" t="inlineStr">
        <is>
          <t>카페24</t>
        </is>
      </c>
      <c r="G13499" s="94" t="inlineStr">
        <is>
          <t>어성초 80 수분 진정 앰플옵션=어성초 80 앰플 1개 - 15%off</t>
        </is>
      </c>
      <c r="K13499" s="94" t="n">
        <v>1</v>
      </c>
      <c r="L13499" s="88" t="n">
        <v>201208</v>
      </c>
      <c r="M13499" s="88">
        <f>VLOOKUP($Q13499,매칭테이블!$F:$I,2,0)*K13499</f>
        <v/>
      </c>
      <c r="N13499" s="88">
        <f>M13499-M13499*VLOOKUP($Q13499,매칭테이블!$F:$I,3,0)</f>
        <v/>
      </c>
      <c r="O13499" s="88">
        <f>VLOOKUP($Q13499,매칭테이블!$F:$I,4,0)*K13499</f>
        <v/>
      </c>
      <c r="P13499" s="152">
        <f>M13499/1.1</f>
        <v/>
      </c>
      <c r="Q13499" s="88">
        <f>F13499&amp;E13499&amp;G13499&amp;L13499</f>
        <v/>
      </c>
    </row>
    <row r="13500">
      <c r="B13500" s="128" t="n">
        <v>44207</v>
      </c>
      <c r="C13500" s="88">
        <f>TEXT(B13500,"aaa")</f>
        <v/>
      </c>
      <c r="D13500" s="94" t="n"/>
      <c r="E13500" s="88">
        <f>INDEX(매칭테이블!C:D,MATCH(RD!G13500,매칭테이블!D:D,0),1)</f>
        <v/>
      </c>
      <c r="F13500" s="94" t="inlineStr">
        <is>
          <t>카페24</t>
        </is>
      </c>
      <c r="G13500" s="94" t="inlineStr">
        <is>
          <t>어성초 아크네 바디워시옵션=어성초 아크네 바디워시 1개 -30% off</t>
        </is>
      </c>
      <c r="K13500" s="94" t="n">
        <v>5</v>
      </c>
      <c r="L13500" s="88" t="n">
        <v>201208</v>
      </c>
      <c r="M13500" s="88">
        <f>VLOOKUP($Q13500,매칭테이블!$F:$I,2,0)*K13500</f>
        <v/>
      </c>
      <c r="N13500" s="88">
        <f>M13500-M13500*VLOOKUP($Q13500,매칭테이블!$F:$I,3,0)</f>
        <v/>
      </c>
      <c r="O13500" s="88">
        <f>VLOOKUP($Q13500,매칭테이블!$F:$I,4,0)*K13500</f>
        <v/>
      </c>
      <c r="P13500" s="152">
        <f>M13500/1.1</f>
        <v/>
      </c>
      <c r="Q13500" s="88">
        <f>F13500&amp;E13500&amp;G13500&amp;L13500</f>
        <v/>
      </c>
    </row>
    <row r="13501">
      <c r="B13501" s="128" t="n">
        <v>44207</v>
      </c>
      <c r="C13501" s="88">
        <f>TEXT(B13501,"aaa")</f>
        <v/>
      </c>
      <c r="D13501" s="94" t="n"/>
      <c r="E13501" s="88">
        <f>INDEX(매칭테이블!C:D,MATCH(RD!G13501,매칭테이블!D:D,0),1)</f>
        <v/>
      </c>
      <c r="F13501" s="94" t="inlineStr">
        <is>
          <t>카페24</t>
        </is>
      </c>
      <c r="G13501" s="94" t="inlineStr">
        <is>
          <t>어성초 아크네 바디워시옵션=어성초 아크네 바디워시 2개 -35% off (무료배송)</t>
        </is>
      </c>
      <c r="K13501" s="94" t="n">
        <v>3</v>
      </c>
      <c r="L13501" s="88" t="n">
        <v>201208</v>
      </c>
      <c r="M13501" s="88">
        <f>VLOOKUP($Q13501,매칭테이블!$F:$I,2,0)*K13501</f>
        <v/>
      </c>
      <c r="N13501" s="88">
        <f>M13501-M13501*VLOOKUP($Q13501,매칭테이블!$F:$I,3,0)</f>
        <v/>
      </c>
      <c r="O13501" s="88">
        <f>VLOOKUP($Q13501,매칭테이블!$F:$I,4,0)*K13501</f>
        <v/>
      </c>
      <c r="P13501" s="152">
        <f>M13501/1.1</f>
        <v/>
      </c>
      <c r="Q13501" s="88">
        <f>F13501&amp;E13501&amp;G13501&amp;L13501</f>
        <v/>
      </c>
    </row>
    <row r="13502">
      <c r="B13502" s="128" t="n">
        <v>44207</v>
      </c>
      <c r="C13502" s="88">
        <f>TEXT(B13502,"aaa")</f>
        <v/>
      </c>
      <c r="D13502" s="94" t="n"/>
      <c r="E13502" s="88">
        <f>INDEX(매칭테이블!C:D,MATCH(RD!G13502,매칭테이블!D:D,0),1)</f>
        <v/>
      </c>
      <c r="F13502" s="94" t="inlineStr">
        <is>
          <t>카페24</t>
        </is>
      </c>
      <c r="G13502" s="94" t="inlineStr">
        <is>
          <t>어성초 약산성 클렌징폼클렌징폼=어성초 약산성 클렌징폼 1개 -19%off</t>
        </is>
      </c>
      <c r="K13502" s="94" t="n">
        <v>29</v>
      </c>
      <c r="L13502" s="88" t="n">
        <v>201208</v>
      </c>
      <c r="M13502" s="88">
        <f>VLOOKUP($Q13502,매칭테이블!$F:$I,2,0)*K13502</f>
        <v/>
      </c>
      <c r="N13502" s="88">
        <f>M13502-M13502*VLOOKUP($Q13502,매칭테이블!$F:$I,3,0)</f>
        <v/>
      </c>
      <c r="O13502" s="88">
        <f>VLOOKUP($Q13502,매칭테이블!$F:$I,4,0)*K13502</f>
        <v/>
      </c>
      <c r="P13502" s="152">
        <f>M13502/1.1</f>
        <v/>
      </c>
      <c r="Q13502" s="88">
        <f>F13502&amp;E13502&amp;G13502&amp;L13502</f>
        <v/>
      </c>
    </row>
    <row r="13503">
      <c r="B13503" s="128" t="n">
        <v>44207</v>
      </c>
      <c r="C13503" s="88">
        <f>TEXT(B13503,"aaa")</f>
        <v/>
      </c>
      <c r="D13503" s="94" t="n"/>
      <c r="E13503" s="88">
        <f>INDEX(매칭테이블!C:D,MATCH(RD!G13503,매칭테이블!D:D,0),1)</f>
        <v/>
      </c>
      <c r="F13503" s="94" t="inlineStr">
        <is>
          <t>카페24</t>
        </is>
      </c>
      <c r="G13503" s="94" t="inlineStr">
        <is>
          <t>어성초 약산성 클렌징폼클렌징폼=어성초 약산성 클렌징폼 2개 -25%off</t>
        </is>
      </c>
      <c r="K13503" s="94" t="n">
        <v>7</v>
      </c>
      <c r="L13503" s="88" t="n">
        <v>201208</v>
      </c>
      <c r="M13503" s="88">
        <f>VLOOKUP($Q13503,매칭테이블!$F:$I,2,0)*K13503</f>
        <v/>
      </c>
      <c r="N13503" s="88">
        <f>M13503-M13503*VLOOKUP($Q13503,매칭테이블!$F:$I,3,0)</f>
        <v/>
      </c>
      <c r="O13503" s="88">
        <f>VLOOKUP($Q13503,매칭테이블!$F:$I,4,0)*K13503</f>
        <v/>
      </c>
      <c r="P13503" s="152">
        <f>M13503/1.1</f>
        <v/>
      </c>
      <c r="Q13503" s="88">
        <f>F13503&amp;E13503&amp;G13503&amp;L13503</f>
        <v/>
      </c>
    </row>
    <row r="13504">
      <c r="B13504" s="128" t="n">
        <v>44207</v>
      </c>
      <c r="C13504" s="88">
        <f>TEXT(B13504,"aaa")</f>
        <v/>
      </c>
      <c r="D13504" s="94" t="n"/>
      <c r="E13504" s="88">
        <f>INDEX(매칭테이블!C:D,MATCH(RD!G13504,매칭테이블!D:D,0),1)</f>
        <v/>
      </c>
      <c r="F13504" s="94" t="inlineStr">
        <is>
          <t>카페24</t>
        </is>
      </c>
      <c r="G13504" s="94" t="inlineStr">
        <is>
          <t>어성초 약산성 클렌징폼클렌징폼=어성초 약산성 클렌징폼 3개 -31%off (무료배송)</t>
        </is>
      </c>
      <c r="K13504" s="94" t="n">
        <v>4</v>
      </c>
      <c r="L13504" s="88" t="n">
        <v>201208</v>
      </c>
      <c r="M13504" s="88">
        <f>VLOOKUP($Q13504,매칭테이블!$F:$I,2,0)*K13504</f>
        <v/>
      </c>
      <c r="N13504" s="88">
        <f>M13504-M13504*VLOOKUP($Q13504,매칭테이블!$F:$I,3,0)</f>
        <v/>
      </c>
      <c r="O13504" s="88">
        <f>VLOOKUP($Q13504,매칭테이블!$F:$I,4,0)*K13504</f>
        <v/>
      </c>
      <c r="P13504" s="152">
        <f>M13504/1.1</f>
        <v/>
      </c>
      <c r="Q13504" s="88">
        <f>F13504&amp;E13504&amp;G13504&amp;L13504</f>
        <v/>
      </c>
    </row>
    <row r="13505">
      <c r="B13505" s="128" t="n">
        <v>44207</v>
      </c>
      <c r="C13505" s="88">
        <f>TEXT(B13505,"aaa")</f>
        <v/>
      </c>
      <c r="D13505" s="94" t="n"/>
      <c r="E13505" s="88">
        <f>INDEX(매칭테이블!C:D,MATCH(RD!G13505,매칭테이블!D:D,0),1)</f>
        <v/>
      </c>
      <c r="F13505" s="94" t="inlineStr">
        <is>
          <t>카페24</t>
        </is>
      </c>
      <c r="G13505" s="94" t="inlineStr">
        <is>
          <t>어성초 약산성 클렌징폼</t>
        </is>
      </c>
      <c r="K13505" s="94" t="n">
        <v>1</v>
      </c>
      <c r="L13505" s="88" t="n">
        <v>201208</v>
      </c>
      <c r="M13505" s="88">
        <f>VLOOKUP($Q13505,매칭테이블!$F:$I,2,0)*K13505</f>
        <v/>
      </c>
      <c r="N13505" s="88">
        <f>M13505-M13505*VLOOKUP($Q13505,매칭테이블!$F:$I,3,0)</f>
        <v/>
      </c>
      <c r="O13505" s="88">
        <f>VLOOKUP($Q13505,매칭테이블!$F:$I,4,0)*K13505</f>
        <v/>
      </c>
      <c r="P13505" s="152">
        <f>M13505/1.1</f>
        <v/>
      </c>
      <c r="Q13505" s="88">
        <f>F13505&amp;E13505&amp;G13505&amp;L13505</f>
        <v/>
      </c>
    </row>
    <row r="13506">
      <c r="B13506" s="128" t="n">
        <v>44207</v>
      </c>
      <c r="C13506" s="88">
        <f>TEXT(B13506,"aaa")</f>
        <v/>
      </c>
      <c r="D13506" s="94" t="n"/>
      <c r="E13506" s="88">
        <f>INDEX(매칭테이블!C:D,MATCH(RD!G13506,매칭테이블!D:D,0),1)</f>
        <v/>
      </c>
      <c r="F13506" s="94" t="inlineStr">
        <is>
          <t>카페24</t>
        </is>
      </c>
      <c r="G13506" s="94" t="inlineStr">
        <is>
          <t>어성초 크림마스크 나이트 솔루션옵션=어성초 크림마스크 나이트 솔루션 1장</t>
        </is>
      </c>
      <c r="K13506" s="94" t="n">
        <v>1</v>
      </c>
      <c r="L13506" s="88" t="n">
        <v>201208</v>
      </c>
      <c r="M13506" s="88">
        <f>VLOOKUP($Q13506,매칭테이블!$F:$I,2,0)*K13506</f>
        <v/>
      </c>
      <c r="N13506" s="88">
        <f>M13506-M13506*VLOOKUP($Q13506,매칭테이블!$F:$I,3,0)</f>
        <v/>
      </c>
      <c r="O13506" s="88">
        <f>VLOOKUP($Q13506,매칭테이블!$F:$I,4,0)*K13506</f>
        <v/>
      </c>
      <c r="P13506" s="152">
        <f>M13506/1.1</f>
        <v/>
      </c>
      <c r="Q13506" s="88">
        <f>F13506&amp;E13506&amp;G13506&amp;L13506</f>
        <v/>
      </c>
    </row>
    <row r="13507">
      <c r="B13507" s="128" t="n">
        <v>44207</v>
      </c>
      <c r="C13507" s="88">
        <f>TEXT(B13507,"aaa")</f>
        <v/>
      </c>
      <c r="D13507" s="94" t="n"/>
      <c r="E13507" s="88">
        <f>INDEX(매칭테이블!C:D,MATCH(RD!G13507,매칭테이블!D:D,0),1)</f>
        <v/>
      </c>
      <c r="F13507" s="94" t="inlineStr">
        <is>
          <t>카페24</t>
        </is>
      </c>
      <c r="G13507" s="94" t="inlineStr">
        <is>
          <t>청귤 비타 잡티 마스크옵션=청귤 비타 잡티 마스크 10장(50% off)</t>
        </is>
      </c>
      <c r="K13507" s="94" t="n">
        <v>3</v>
      </c>
      <c r="L13507" s="88" t="n">
        <v>201208</v>
      </c>
      <c r="M13507" s="88">
        <f>VLOOKUP($Q13507,매칭테이블!$F:$I,2,0)*K13507</f>
        <v/>
      </c>
      <c r="N13507" s="88">
        <f>M13507-M13507*VLOOKUP($Q13507,매칭테이블!$F:$I,3,0)</f>
        <v/>
      </c>
      <c r="O13507" s="88">
        <f>VLOOKUP($Q13507,매칭테이블!$F:$I,4,0)*K13507</f>
        <v/>
      </c>
      <c r="P13507" s="152">
        <f>M13507/1.1</f>
        <v/>
      </c>
      <c r="Q13507" s="88">
        <f>F13507&amp;E13507&amp;G13507&amp;L13507</f>
        <v/>
      </c>
    </row>
    <row r="13508">
      <c r="B13508" s="128" t="n">
        <v>44207</v>
      </c>
      <c r="C13508" s="88">
        <f>TEXT(B13508,"aaa")</f>
        <v/>
      </c>
      <c r="D13508" s="94" t="n"/>
      <c r="E13508" s="88">
        <f>INDEX(매칭테이블!C:D,MATCH(RD!G13508,매칭테이블!D:D,0),1)</f>
        <v/>
      </c>
      <c r="F13508" s="94" t="inlineStr">
        <is>
          <t>카페24</t>
        </is>
      </c>
      <c r="G13508" s="94" t="inlineStr">
        <is>
          <t>촉촉 스킨팩 화장솜</t>
        </is>
      </c>
      <c r="K13508" s="94" t="n">
        <v>24</v>
      </c>
      <c r="L13508" s="88" t="n">
        <v>201208</v>
      </c>
      <c r="M13508" s="88">
        <f>VLOOKUP($Q13508,매칭테이블!$F:$I,2,0)*K13508</f>
        <v/>
      </c>
      <c r="N13508" s="88">
        <f>M13508-M13508*VLOOKUP($Q13508,매칭테이블!$F:$I,3,0)</f>
        <v/>
      </c>
      <c r="O13508" s="88">
        <f>VLOOKUP($Q13508,매칭테이블!$F:$I,4,0)*K13508</f>
        <v/>
      </c>
      <c r="P13508" s="152">
        <f>M13508/1.1</f>
        <v/>
      </c>
      <c r="Q13508" s="88">
        <f>F13508&amp;E13508&amp;G13508&amp;L13508</f>
        <v/>
      </c>
    </row>
    <row r="13509">
      <c r="B13509" s="128" t="n">
        <v>44207</v>
      </c>
      <c r="C13509" s="88">
        <f>TEXT(B13509,"aaa")</f>
        <v/>
      </c>
      <c r="D13509" s="94" t="n"/>
      <c r="E13509" s="88">
        <f>INDEX(매칭테이블!C:D,MATCH(RD!G13509,매칭테이블!D:D,0),1)</f>
        <v/>
      </c>
      <c r="F13509" s="94" t="inlineStr">
        <is>
          <t>카페24</t>
        </is>
      </c>
      <c r="G13509" s="94" t="inlineStr">
        <is>
          <t>촉촉 스킨팩 화장솜</t>
        </is>
      </c>
      <c r="K13509" s="94" t="n">
        <v>1</v>
      </c>
      <c r="L13509" s="88" t="n">
        <v>201208</v>
      </c>
      <c r="M13509" s="88">
        <f>VLOOKUP($Q13509,매칭테이블!$F:$I,2,0)*K13509</f>
        <v/>
      </c>
      <c r="N13509" s="88">
        <f>M13509-M13509*VLOOKUP($Q13509,매칭테이블!$F:$I,3,0)</f>
        <v/>
      </c>
      <c r="O13509" s="88">
        <f>VLOOKUP($Q13509,매칭테이블!$F:$I,4,0)*K13509</f>
        <v/>
      </c>
      <c r="P13509" s="152">
        <f>M13509/1.1</f>
        <v/>
      </c>
      <c r="Q13509" s="88">
        <f>F13509&amp;E13509&amp;G13509&amp;L13509</f>
        <v/>
      </c>
    </row>
    <row r="13510">
      <c r="B13510" s="128" t="n">
        <v>44208</v>
      </c>
      <c r="C13510" s="88">
        <f>TEXT(B13510,"aaa")</f>
        <v/>
      </c>
      <c r="D13510" s="94" t="n"/>
      <c r="E13510" s="88">
        <f>INDEX(매칭테이블!C:D,MATCH(RD!G13510,매칭테이블!D:D,0),1)</f>
        <v/>
      </c>
      <c r="F13510" s="94" t="inlineStr">
        <is>
          <t>카페24</t>
        </is>
      </c>
      <c r="G13510" s="94" t="inlineStr">
        <is>
          <t>5 제로 무기자차 선크림옵션=5제로 무기자차 선크림 1개-20% off</t>
        </is>
      </c>
      <c r="H13510" s="94" t="n"/>
      <c r="I13510" s="94" t="n"/>
      <c r="J13510" s="94" t="n"/>
      <c r="K13510" s="94" t="n">
        <v>3</v>
      </c>
      <c r="L13510" s="88" t="n">
        <v>201208</v>
      </c>
      <c r="M13510" s="88">
        <f>VLOOKUP($Q13510,매칭테이블!$F:$I,2,0)*K13510</f>
        <v/>
      </c>
      <c r="N13510" s="88">
        <f>M13510-M13510*VLOOKUP($Q13510,매칭테이블!$F:$I,3,0)</f>
        <v/>
      </c>
      <c r="O13510" s="88">
        <f>VLOOKUP($Q13510,매칭테이블!$F:$I,4,0)*K13510</f>
        <v/>
      </c>
      <c r="P13510" s="152">
        <f>M13510/1.1</f>
        <v/>
      </c>
      <c r="Q13510" s="88">
        <f>F13510&amp;E13510&amp;G13510&amp;L13510</f>
        <v/>
      </c>
    </row>
    <row r="13511">
      <c r="B13511" s="128" t="n">
        <v>44208</v>
      </c>
      <c r="C13511" s="88">
        <f>TEXT(B13511,"aaa")</f>
        <v/>
      </c>
      <c r="D13511" s="94" t="n"/>
      <c r="E13511" s="88">
        <f>INDEX(매칭테이블!C:D,MATCH(RD!G13511,매칭테이블!D:D,0),1)</f>
        <v/>
      </c>
      <c r="F13511" s="94" t="inlineStr">
        <is>
          <t>카페24</t>
        </is>
      </c>
      <c r="G13511" s="94" t="inlineStr">
        <is>
          <t>5 제로 무기자차 선크림옵션=5제로 무기자차 선크림 2개-30% off (무료배송)</t>
        </is>
      </c>
      <c r="K13511" s="94" t="n">
        <v>1</v>
      </c>
      <c r="L13511" s="88" t="n">
        <v>201208</v>
      </c>
      <c r="M13511" s="88">
        <f>VLOOKUP($Q13511,매칭테이블!$F:$I,2,0)*K13511</f>
        <v/>
      </c>
      <c r="N13511" s="88">
        <f>M13511-M13511*VLOOKUP($Q13511,매칭테이블!$F:$I,3,0)</f>
        <v/>
      </c>
      <c r="O13511" s="88">
        <f>VLOOKUP($Q13511,매칭테이블!$F:$I,4,0)*K13511</f>
        <v/>
      </c>
      <c r="P13511" s="152">
        <f>M13511/1.1</f>
        <v/>
      </c>
      <c r="Q13511" s="88">
        <f>F13511&amp;E13511&amp;G13511&amp;L13511</f>
        <v/>
      </c>
    </row>
    <row r="13512">
      <c r="B13512" s="128" t="n">
        <v>44208</v>
      </c>
      <c r="C13512" s="88">
        <f>TEXT(B13512,"aaa")</f>
        <v/>
      </c>
      <c r="D13512" s="94" t="n"/>
      <c r="E13512" s="88">
        <f>INDEX(매칭테이블!C:D,MATCH(RD!G13512,매칭테이블!D:D,0),1)</f>
        <v/>
      </c>
      <c r="F13512" s="94" t="inlineStr">
        <is>
          <t>카페24</t>
        </is>
      </c>
      <c r="G13512" s="94" t="inlineStr">
        <is>
          <t>[수분 보충 세트] 어성초 77 토너 + 어성초 70 로션옵션=어성초 77 토너 250ml + 어성초 70 로션 200ml -30%</t>
        </is>
      </c>
      <c r="K13512" s="94" t="n">
        <v>66</v>
      </c>
      <c r="L13512" s="88" t="n">
        <v>201208</v>
      </c>
      <c r="M13512" s="88">
        <f>VLOOKUP($Q13512,매칭테이블!$F:$I,2,0)*K13512</f>
        <v/>
      </c>
      <c r="N13512" s="88">
        <f>M13512-M13512*VLOOKUP($Q13512,매칭테이블!$F:$I,3,0)</f>
        <v/>
      </c>
      <c r="O13512" s="88">
        <f>VLOOKUP($Q13512,매칭테이블!$F:$I,4,0)*K13512</f>
        <v/>
      </c>
      <c r="P13512" s="152">
        <f>M13512/1.1</f>
        <v/>
      </c>
      <c r="Q13512" s="88">
        <f>F13512&amp;E13512&amp;G13512&amp;L13512</f>
        <v/>
      </c>
    </row>
    <row r="13513">
      <c r="B13513" s="128" t="n">
        <v>44208</v>
      </c>
      <c r="C13513" s="88">
        <f>TEXT(B13513,"aaa")</f>
        <v/>
      </c>
      <c r="D13513" s="94" t="n"/>
      <c r="E13513" s="88">
        <f>INDEX(매칭테이블!C:D,MATCH(RD!G13513,매칭테이블!D:D,0),1)</f>
        <v/>
      </c>
      <c r="F13513" s="94" t="inlineStr">
        <is>
          <t>카페24</t>
        </is>
      </c>
      <c r="G13513" s="94" t="inlineStr">
        <is>
          <t>[어성초 진정 패키지 세트] 대용량 토너 + 앰플 + 수딩 크림 + 마스크팩 10장</t>
        </is>
      </c>
      <c r="K13513" s="94" t="n">
        <v>3</v>
      </c>
      <c r="L13513" s="88" t="n">
        <v>201208</v>
      </c>
      <c r="M13513" s="88">
        <f>VLOOKUP($Q13513,매칭테이블!$F:$I,2,0)*K13513</f>
        <v/>
      </c>
      <c r="N13513" s="88">
        <f>M13513-M13513*VLOOKUP($Q13513,매칭테이블!$F:$I,3,0)</f>
        <v/>
      </c>
      <c r="O13513" s="88">
        <f>VLOOKUP($Q13513,매칭테이블!$F:$I,4,0)*K13513</f>
        <v/>
      </c>
      <c r="P13513" s="152">
        <f>M13513/1.1</f>
        <v/>
      </c>
      <c r="Q13513" s="88">
        <f>F13513&amp;E13513&amp;G13513&amp;L13513</f>
        <v/>
      </c>
    </row>
    <row r="13514">
      <c r="B13514" s="128" t="n">
        <v>44208</v>
      </c>
      <c r="C13514" s="88">
        <f>TEXT(B13514,"aaa")</f>
        <v/>
      </c>
      <c r="D13514" s="94" t="n"/>
      <c r="E13514" s="88">
        <f>INDEX(매칭테이블!C:D,MATCH(RD!G13514,매칭테이블!D:D,0),1)</f>
        <v/>
      </c>
      <c r="F13514" s="94" t="inlineStr">
        <is>
          <t>카페24</t>
        </is>
      </c>
      <c r="G13514" s="94" t="inlineStr">
        <is>
          <t>대용량 어성초 77 수딩 토너 500ml</t>
        </is>
      </c>
      <c r="K13514" s="94" t="n">
        <v>46</v>
      </c>
      <c r="L13514" s="88" t="n">
        <v>201208</v>
      </c>
      <c r="M13514" s="88">
        <f>VLOOKUP($Q13514,매칭테이블!$F:$I,2,0)*K13514</f>
        <v/>
      </c>
      <c r="N13514" s="88">
        <f>M13514-M13514*VLOOKUP($Q13514,매칭테이블!$F:$I,3,0)</f>
        <v/>
      </c>
      <c r="O13514" s="88">
        <f>VLOOKUP($Q13514,매칭테이블!$F:$I,4,0)*K13514</f>
        <v/>
      </c>
      <c r="P13514" s="152">
        <f>M13514/1.1</f>
        <v/>
      </c>
      <c r="Q13514" s="88">
        <f>F13514&amp;E13514&amp;G13514&amp;L13514</f>
        <v/>
      </c>
    </row>
    <row r="13515">
      <c r="B13515" s="128" t="n">
        <v>44208</v>
      </c>
      <c r="C13515" s="88">
        <f>TEXT(B13515,"aaa")</f>
        <v/>
      </c>
      <c r="D13515" s="94" t="n"/>
      <c r="E13515" s="88">
        <f>INDEX(매칭테이블!C:D,MATCH(RD!G13515,매칭테이블!D:D,0),1)</f>
        <v/>
      </c>
      <c r="F13515" s="94" t="inlineStr">
        <is>
          <t>카페24</t>
        </is>
      </c>
      <c r="G13515" s="94" t="inlineStr">
        <is>
          <t>대용량 어성초 77 토너 500ml</t>
        </is>
      </c>
      <c r="K13515" s="94" t="n">
        <v>1</v>
      </c>
      <c r="L13515" s="88" t="n">
        <v>201208</v>
      </c>
      <c r="M13515" s="88">
        <f>VLOOKUP($Q13515,매칭테이블!$F:$I,2,0)*K13515</f>
        <v/>
      </c>
      <c r="N13515" s="88">
        <f>M13515-M13515*VLOOKUP($Q13515,매칭테이블!$F:$I,3,0)</f>
        <v/>
      </c>
      <c r="O13515" s="88">
        <f>VLOOKUP($Q13515,매칭테이블!$F:$I,4,0)*K13515</f>
        <v/>
      </c>
      <c r="P13515" s="152">
        <f>M13515/1.1</f>
        <v/>
      </c>
      <c r="Q13515" s="88">
        <f>F13515&amp;E13515&amp;G13515&amp;L13515</f>
        <v/>
      </c>
    </row>
    <row r="13516">
      <c r="B13516" s="128" t="n">
        <v>44208</v>
      </c>
      <c r="C13516" s="88">
        <f>TEXT(B13516,"aaa")</f>
        <v/>
      </c>
      <c r="D13516" s="94" t="n"/>
      <c r="E13516" s="88">
        <f>INDEX(매칭테이블!C:D,MATCH(RD!G13516,매칭테이블!D:D,0),1)</f>
        <v/>
      </c>
      <c r="F13516" s="94" t="inlineStr">
        <is>
          <t>카페24</t>
        </is>
      </c>
      <c r="G13516" s="94" t="inlineStr">
        <is>
          <t>아누아 어성초 77 수딩 토너토너(필수)=어성초 77 토너 1개-20% off</t>
        </is>
      </c>
      <c r="K13516" s="94" t="n">
        <v>1</v>
      </c>
      <c r="L13516" s="88" t="n">
        <v>201208</v>
      </c>
      <c r="M13516" s="88">
        <f>VLOOKUP($Q13516,매칭테이블!$F:$I,2,0)*K13516</f>
        <v/>
      </c>
      <c r="N13516" s="88">
        <f>M13516-M13516*VLOOKUP($Q13516,매칭테이블!$F:$I,3,0)</f>
        <v/>
      </c>
      <c r="O13516" s="88">
        <f>VLOOKUP($Q13516,매칭테이블!$F:$I,4,0)*K13516</f>
        <v/>
      </c>
      <c r="P13516" s="152">
        <f>M13516/1.1</f>
        <v/>
      </c>
      <c r="Q13516" s="88">
        <f>F13516&amp;E13516&amp;G13516&amp;L13516</f>
        <v/>
      </c>
    </row>
    <row r="13517">
      <c r="B13517" s="128" t="n">
        <v>44208</v>
      </c>
      <c r="C13517" s="88">
        <f>TEXT(B13517,"aaa")</f>
        <v/>
      </c>
      <c r="D13517" s="94" t="n"/>
      <c r="E13517" s="88">
        <f>INDEX(매칭테이블!C:D,MATCH(RD!G13517,매칭테이블!D:D,0),1)</f>
        <v/>
      </c>
      <c r="F13517" s="94" t="inlineStr">
        <is>
          <t>카페24</t>
        </is>
      </c>
      <c r="G13517" s="94" t="inlineStr">
        <is>
          <t>어성초 70 데일리 릴리프 로션로션=어성초 70 데일리 릴리프 로션 1개 -20% off</t>
        </is>
      </c>
      <c r="K13517" s="94" t="n">
        <v>18</v>
      </c>
      <c r="L13517" s="88" t="n">
        <v>201208</v>
      </c>
      <c r="M13517" s="88">
        <f>VLOOKUP($Q13517,매칭테이블!$F:$I,2,0)*K13517</f>
        <v/>
      </c>
      <c r="N13517" s="88">
        <f>M13517-M13517*VLOOKUP($Q13517,매칭테이블!$F:$I,3,0)</f>
        <v/>
      </c>
      <c r="O13517" s="88">
        <f>VLOOKUP($Q13517,매칭테이블!$F:$I,4,0)*K13517</f>
        <v/>
      </c>
      <c r="P13517" s="152">
        <f>M13517/1.1</f>
        <v/>
      </c>
      <c r="Q13517" s="88">
        <f>F13517&amp;E13517&amp;G13517&amp;L13517</f>
        <v/>
      </c>
    </row>
    <row r="13518">
      <c r="B13518" s="128" t="n">
        <v>44208</v>
      </c>
      <c r="C13518" s="88">
        <f>TEXT(B13518,"aaa")</f>
        <v/>
      </c>
      <c r="D13518" s="94" t="n"/>
      <c r="E13518" s="88">
        <f>INDEX(매칭테이블!C:D,MATCH(RD!G13518,매칭테이블!D:D,0),1)</f>
        <v/>
      </c>
      <c r="F13518" s="94" t="inlineStr">
        <is>
          <t>카페24</t>
        </is>
      </c>
      <c r="G13518" s="94" t="inlineStr">
        <is>
          <t>어성초 70 데일리 릴리프 로션로션=어성초 70 데일리 릴리프 로션 2개 -30% off</t>
        </is>
      </c>
      <c r="K13518" s="94" t="n">
        <v>3</v>
      </c>
      <c r="L13518" s="88" t="n">
        <v>201208</v>
      </c>
      <c r="M13518" s="88">
        <f>VLOOKUP($Q13518,매칭테이블!$F:$I,2,0)*K13518</f>
        <v/>
      </c>
      <c r="N13518" s="88">
        <f>M13518-M13518*VLOOKUP($Q13518,매칭테이블!$F:$I,3,0)</f>
        <v/>
      </c>
      <c r="O13518" s="88">
        <f>VLOOKUP($Q13518,매칭테이블!$F:$I,4,0)*K13518</f>
        <v/>
      </c>
      <c r="P13518" s="152">
        <f>M13518/1.1</f>
        <v/>
      </c>
      <c r="Q13518" s="88">
        <f>F13518&amp;E13518&amp;G13518&amp;L13518</f>
        <v/>
      </c>
    </row>
    <row r="13519">
      <c r="B13519" s="128" t="n">
        <v>44208</v>
      </c>
      <c r="C13519" s="88">
        <f>TEXT(B13519,"aaa")</f>
        <v/>
      </c>
      <c r="D13519" s="94" t="n"/>
      <c r="E13519" s="88">
        <f>INDEX(매칭테이블!C:D,MATCH(RD!G13519,매칭테이블!D:D,0),1)</f>
        <v/>
      </c>
      <c r="F13519" s="94" t="inlineStr">
        <is>
          <t>카페24</t>
        </is>
      </c>
      <c r="G13519" s="94" t="inlineStr">
        <is>
          <t>어성초 70 데일리 릴리프 로션로션=어성초 77토너 + 어성초 70 로션 수분 보충 세트 -30% off</t>
        </is>
      </c>
      <c r="K13519" s="94" t="n">
        <v>2</v>
      </c>
      <c r="L13519" s="88" t="n">
        <v>201208</v>
      </c>
      <c r="M13519" s="88">
        <f>VLOOKUP($Q13519,매칭테이블!$F:$I,2,0)*K13519</f>
        <v/>
      </c>
      <c r="N13519" s="88">
        <f>M13519-M13519*VLOOKUP($Q13519,매칭테이블!$F:$I,3,0)</f>
        <v/>
      </c>
      <c r="O13519" s="88">
        <f>VLOOKUP($Q13519,매칭테이블!$F:$I,4,0)*K13519</f>
        <v/>
      </c>
      <c r="P13519" s="152">
        <f>M13519/1.1</f>
        <v/>
      </c>
      <c r="Q13519" s="88">
        <f>F13519&amp;E13519&amp;G13519&amp;L13519</f>
        <v/>
      </c>
    </row>
    <row r="13520">
      <c r="B13520" s="128" t="n">
        <v>44208</v>
      </c>
      <c r="C13520" s="88">
        <f>TEXT(B13520,"aaa")</f>
        <v/>
      </c>
      <c r="D13520" s="94" t="n"/>
      <c r="E13520" s="88">
        <f>INDEX(매칭테이블!C:D,MATCH(RD!G13520,매칭테이블!D:D,0),1)</f>
        <v/>
      </c>
      <c r="F13520" s="94" t="inlineStr">
        <is>
          <t>카페24</t>
        </is>
      </c>
      <c r="G13520" s="94" t="inlineStr">
        <is>
          <t>어성초 70 머드 크림 마스크옵션=어성초 70 머드 크림 마스크-20% off</t>
        </is>
      </c>
      <c r="K13520" s="94" t="n">
        <v>2</v>
      </c>
      <c r="L13520" s="88" t="n">
        <v>201208</v>
      </c>
      <c r="M13520" s="88">
        <f>VLOOKUP($Q13520,매칭테이블!$F:$I,2,0)*K13520</f>
        <v/>
      </c>
      <c r="N13520" s="88">
        <f>M13520-M13520*VLOOKUP($Q13520,매칭테이블!$F:$I,3,0)</f>
        <v/>
      </c>
      <c r="O13520" s="88">
        <f>VLOOKUP($Q13520,매칭테이블!$F:$I,4,0)*K13520</f>
        <v/>
      </c>
      <c r="P13520" s="152">
        <f>M13520/1.1</f>
        <v/>
      </c>
      <c r="Q13520" s="88">
        <f>F13520&amp;E13520&amp;G13520&amp;L13520</f>
        <v/>
      </c>
    </row>
    <row r="13521">
      <c r="B13521" s="128" t="n">
        <v>44208</v>
      </c>
      <c r="C13521" s="88">
        <f>TEXT(B13521,"aaa")</f>
        <v/>
      </c>
      <c r="D13521" s="94" t="n"/>
      <c r="E13521" s="88">
        <f>INDEX(매칭테이블!C:D,MATCH(RD!G13521,매칭테이블!D:D,0),1)</f>
        <v/>
      </c>
      <c r="F13521" s="94" t="inlineStr">
        <is>
          <t>카페24</t>
        </is>
      </c>
      <c r="G13521" s="94" t="inlineStr">
        <is>
          <t>어성초 70 머드 크림 마스크옵션=어성초 70 머드 크림 마스크 2개-30% off (무료배송)</t>
        </is>
      </c>
      <c r="K13521" s="94" t="n">
        <v>1</v>
      </c>
      <c r="L13521" s="88" t="n">
        <v>201208</v>
      </c>
      <c r="M13521" s="88">
        <f>VLOOKUP($Q13521,매칭테이블!$F:$I,2,0)*K13521</f>
        <v/>
      </c>
      <c r="N13521" s="88">
        <f>M13521-M13521*VLOOKUP($Q13521,매칭테이블!$F:$I,3,0)</f>
        <v/>
      </c>
      <c r="O13521" s="88">
        <f>VLOOKUP($Q13521,매칭테이블!$F:$I,4,0)*K13521</f>
        <v/>
      </c>
      <c r="P13521" s="152">
        <f>M13521/1.1</f>
        <v/>
      </c>
      <c r="Q13521" s="88">
        <f>F13521&amp;E13521&amp;G13521&amp;L13521</f>
        <v/>
      </c>
    </row>
    <row r="13522">
      <c r="B13522" s="128" t="n">
        <v>44208</v>
      </c>
      <c r="C13522" s="88">
        <f>TEXT(B13522,"aaa")</f>
        <v/>
      </c>
      <c r="D13522" s="94" t="n"/>
      <c r="E13522" s="88">
        <f>INDEX(매칭테이블!C:D,MATCH(RD!G13522,매칭테이블!D:D,0),1)</f>
        <v/>
      </c>
      <c r="F13522" s="94" t="inlineStr">
        <is>
          <t>카페24</t>
        </is>
      </c>
      <c r="G13522" s="94" t="inlineStr">
        <is>
          <t>어성초 70 인텐스 카밍 크림크림=어성초 70 인텐스 카밍 크림 1개 (-20%)</t>
        </is>
      </c>
      <c r="K13522" s="94" t="n">
        <v>2</v>
      </c>
      <c r="L13522" s="88" t="n">
        <v>201208</v>
      </c>
      <c r="M13522" s="88">
        <f>VLOOKUP($Q13522,매칭테이블!$F:$I,2,0)*K13522</f>
        <v/>
      </c>
      <c r="N13522" s="88">
        <f>M13522-M13522*VLOOKUP($Q13522,매칭테이블!$F:$I,3,0)</f>
        <v/>
      </c>
      <c r="O13522" s="88">
        <f>VLOOKUP($Q13522,매칭테이블!$F:$I,4,0)*K13522</f>
        <v/>
      </c>
      <c r="P13522" s="152">
        <f>M13522/1.1</f>
        <v/>
      </c>
      <c r="Q13522" s="88">
        <f>F13522&amp;E13522&amp;G13522&amp;L13522</f>
        <v/>
      </c>
    </row>
    <row r="13523">
      <c r="B13523" s="128" t="n">
        <v>44208</v>
      </c>
      <c r="C13523" s="88">
        <f>TEXT(B13523,"aaa")</f>
        <v/>
      </c>
      <c r="D13523" s="94" t="n"/>
      <c r="E13523" s="88">
        <f>INDEX(매칭테이블!C:D,MATCH(RD!G13523,매칭테이블!D:D,0),1)</f>
        <v/>
      </c>
      <c r="F13523" s="94" t="inlineStr">
        <is>
          <t>카페24</t>
        </is>
      </c>
      <c r="G13523" s="94" t="inlineStr">
        <is>
          <t>어성초 70 인텐스 카밍 크림크림=어성초 70 인텐스 카밍 크림 2개 (-30%)</t>
        </is>
      </c>
      <c r="K13523" s="94" t="n">
        <v>1</v>
      </c>
      <c r="L13523" s="88" t="n">
        <v>201208</v>
      </c>
      <c r="M13523" s="88">
        <f>VLOOKUP($Q13523,매칭테이블!$F:$I,2,0)*K13523</f>
        <v/>
      </c>
      <c r="N13523" s="88">
        <f>M13523-M13523*VLOOKUP($Q13523,매칭테이블!$F:$I,3,0)</f>
        <v/>
      </c>
      <c r="O13523" s="88">
        <f>VLOOKUP($Q13523,매칭테이블!$F:$I,4,0)*K13523</f>
        <v/>
      </c>
      <c r="P13523" s="152">
        <f>M13523/1.1</f>
        <v/>
      </c>
      <c r="Q13523" s="88">
        <f>F13523&amp;E13523&amp;G13523&amp;L13523</f>
        <v/>
      </c>
    </row>
    <row r="13524">
      <c r="B13524" s="128" t="n">
        <v>44208</v>
      </c>
      <c r="C13524" s="88">
        <f>TEXT(B13524,"aaa")</f>
        <v/>
      </c>
      <c r="D13524" s="94" t="n"/>
      <c r="E13524" s="88">
        <f>INDEX(매칭테이블!C:D,MATCH(RD!G13524,매칭테이블!D:D,0),1)</f>
        <v/>
      </c>
      <c r="F13524" s="94" t="inlineStr">
        <is>
          <t>카페24</t>
        </is>
      </c>
      <c r="G13524" s="94" t="inlineStr">
        <is>
          <t>어성초 77 수딩 토너옵션=어성초 77 토너 1개-20% off</t>
        </is>
      </c>
      <c r="K13524" s="94" t="n">
        <v>16</v>
      </c>
      <c r="L13524" s="88" t="n">
        <v>201208</v>
      </c>
      <c r="M13524" s="88">
        <f>VLOOKUP($Q13524,매칭테이블!$F:$I,2,0)*K13524</f>
        <v/>
      </c>
      <c r="N13524" s="88">
        <f>M13524-M13524*VLOOKUP($Q13524,매칭테이블!$F:$I,3,0)</f>
        <v/>
      </c>
      <c r="O13524" s="88">
        <f>VLOOKUP($Q13524,매칭테이블!$F:$I,4,0)*K13524</f>
        <v/>
      </c>
      <c r="P13524" s="152">
        <f>M13524/1.1</f>
        <v/>
      </c>
      <c r="Q13524" s="88">
        <f>F13524&amp;E13524&amp;G13524&amp;L13524</f>
        <v/>
      </c>
    </row>
    <row r="13525">
      <c r="B13525" s="128" t="n">
        <v>44208</v>
      </c>
      <c r="C13525" s="88">
        <f>TEXT(B13525,"aaa")</f>
        <v/>
      </c>
      <c r="D13525" s="94" t="n"/>
      <c r="E13525" s="88">
        <f>INDEX(매칭테이블!C:D,MATCH(RD!G13525,매칭테이블!D:D,0),1)</f>
        <v/>
      </c>
      <c r="F13525" s="94" t="inlineStr">
        <is>
          <t>카페24</t>
        </is>
      </c>
      <c r="G13525" s="94" t="inlineStr">
        <is>
          <t>어성초 77 수딩 토너옵션=어성초 77 토너 2개-30% off (무료배송)</t>
        </is>
      </c>
      <c r="K13525" s="94" t="n">
        <v>17</v>
      </c>
      <c r="L13525" s="88" t="n">
        <v>201208</v>
      </c>
      <c r="M13525" s="88">
        <f>VLOOKUP($Q13525,매칭테이블!$F:$I,2,0)*K13525</f>
        <v/>
      </c>
      <c r="N13525" s="88">
        <f>M13525-M13525*VLOOKUP($Q13525,매칭테이블!$F:$I,3,0)</f>
        <v/>
      </c>
      <c r="O13525" s="88">
        <f>VLOOKUP($Q13525,매칭테이블!$F:$I,4,0)*K13525</f>
        <v/>
      </c>
      <c r="P13525" s="152">
        <f>M13525/1.1</f>
        <v/>
      </c>
      <c r="Q13525" s="88">
        <f>F13525&amp;E13525&amp;G13525&amp;L13525</f>
        <v/>
      </c>
    </row>
    <row r="13526">
      <c r="B13526" s="128" t="n">
        <v>44208</v>
      </c>
      <c r="C13526" s="88">
        <f>TEXT(B13526,"aaa")</f>
        <v/>
      </c>
      <c r="D13526" s="94" t="n"/>
      <c r="E13526" s="88">
        <f>INDEX(매칭테이블!C:D,MATCH(RD!G13526,매칭테이블!D:D,0),1)</f>
        <v/>
      </c>
      <c r="F13526" s="94" t="inlineStr">
        <is>
          <t>카페24</t>
        </is>
      </c>
      <c r="G13526" s="94" t="inlineStr">
        <is>
          <t>어성초 77 수딩 토너옵션=어성초 77토너1개 + 어성초77패드1개 -30% off (무료배송)</t>
        </is>
      </c>
      <c r="K13526" s="94" t="n">
        <v>19</v>
      </c>
      <c r="L13526" s="88" t="n">
        <v>201208</v>
      </c>
      <c r="M13526" s="88">
        <f>VLOOKUP($Q13526,매칭테이블!$F:$I,2,0)*K13526</f>
        <v/>
      </c>
      <c r="N13526" s="88">
        <f>M13526-M13526*VLOOKUP($Q13526,매칭테이블!$F:$I,3,0)</f>
        <v/>
      </c>
      <c r="O13526" s="88">
        <f>VLOOKUP($Q13526,매칭테이블!$F:$I,4,0)*K13526</f>
        <v/>
      </c>
      <c r="P13526" s="152">
        <f>M13526/1.1</f>
        <v/>
      </c>
      <c r="Q13526" s="88">
        <f>F13526&amp;E13526&amp;G13526&amp;L13526</f>
        <v/>
      </c>
    </row>
    <row r="13527">
      <c r="B13527" s="128" t="n">
        <v>44208</v>
      </c>
      <c r="C13527" s="88">
        <f>TEXT(B13527,"aaa")</f>
        <v/>
      </c>
      <c r="D13527" s="94" t="n"/>
      <c r="E13527" s="88">
        <f>INDEX(매칭테이블!C:D,MATCH(RD!G13527,매칭테이블!D:D,0),1)</f>
        <v/>
      </c>
      <c r="F13527" s="94" t="inlineStr">
        <is>
          <t>카페24</t>
        </is>
      </c>
      <c r="G13527" s="94" t="inlineStr">
        <is>
          <t>어성초 77 수딩 토너화장솜(선택)=촉촉 스킨팩 화장솜</t>
        </is>
      </c>
      <c r="K13527" s="94" t="n">
        <v>9</v>
      </c>
      <c r="L13527" s="88" t="n">
        <v>201208</v>
      </c>
      <c r="M13527" s="88">
        <f>VLOOKUP($Q13527,매칭테이블!$F:$I,2,0)*K13527</f>
        <v/>
      </c>
      <c r="N13527" s="88">
        <f>M13527-M13527*VLOOKUP($Q13527,매칭테이블!$F:$I,3,0)</f>
        <v/>
      </c>
      <c r="O13527" s="88">
        <f>VLOOKUP($Q13527,매칭테이블!$F:$I,4,0)*K13527</f>
        <v/>
      </c>
      <c r="P13527" s="152">
        <f>M13527/1.1</f>
        <v/>
      </c>
      <c r="Q13527" s="88">
        <f>F13527&amp;E13527&amp;G13527&amp;L13527</f>
        <v/>
      </c>
    </row>
    <row r="13528">
      <c r="B13528" s="128" t="n">
        <v>44208</v>
      </c>
      <c r="C13528" s="88">
        <f>TEXT(B13528,"aaa")</f>
        <v/>
      </c>
      <c r="D13528" s="94" t="n"/>
      <c r="E13528" s="88">
        <f>INDEX(매칭테이블!C:D,MATCH(RD!G13528,매칭테이블!D:D,0),1)</f>
        <v/>
      </c>
      <c r="F13528" s="94" t="inlineStr">
        <is>
          <t>카페24</t>
        </is>
      </c>
      <c r="G13528" s="94" t="inlineStr">
        <is>
          <t>어성초 77 수딩 토너토너(필수)=어성초 77 토너 1개-20% off</t>
        </is>
      </c>
      <c r="K13528" s="94" t="n">
        <v>2</v>
      </c>
      <c r="L13528" s="88" t="n">
        <v>201208</v>
      </c>
      <c r="M13528" s="88">
        <f>VLOOKUP($Q13528,매칭테이블!$F:$I,2,0)*K13528</f>
        <v/>
      </c>
      <c r="N13528" s="88">
        <f>M13528-M13528*VLOOKUP($Q13528,매칭테이블!$F:$I,3,0)</f>
        <v/>
      </c>
      <c r="O13528" s="88">
        <f>VLOOKUP($Q13528,매칭테이블!$F:$I,4,0)*K13528</f>
        <v/>
      </c>
      <c r="P13528" s="152">
        <f>M13528/1.1</f>
        <v/>
      </c>
      <c r="Q13528" s="88">
        <f>F13528&amp;E13528&amp;G13528&amp;L13528</f>
        <v/>
      </c>
    </row>
    <row r="13529">
      <c r="B13529" s="128" t="n">
        <v>44208</v>
      </c>
      <c r="C13529" s="88">
        <f>TEXT(B13529,"aaa")</f>
        <v/>
      </c>
      <c r="D13529" s="94" t="n"/>
      <c r="E13529" s="88">
        <f>INDEX(매칭테이블!C:D,MATCH(RD!G13529,매칭테이블!D:D,0),1)</f>
        <v/>
      </c>
      <c r="F13529" s="94" t="inlineStr">
        <is>
          <t>카페24</t>
        </is>
      </c>
      <c r="G13529" s="94" t="inlineStr">
        <is>
          <t>어성초 77 수딩 토너토너(필수)=(대용량) 어성초 77 토너 500ml (무료배송)</t>
        </is>
      </c>
      <c r="K13529" s="94" t="n">
        <v>1</v>
      </c>
      <c r="L13529" s="88" t="n">
        <v>201208</v>
      </c>
      <c r="M13529" s="88">
        <f>VLOOKUP($Q13529,매칭테이블!$F:$I,2,0)*K13529</f>
        <v/>
      </c>
      <c r="N13529" s="88">
        <f>M13529-M13529*VLOOKUP($Q13529,매칭테이블!$F:$I,3,0)</f>
        <v/>
      </c>
      <c r="O13529" s="88">
        <f>VLOOKUP($Q13529,매칭테이블!$F:$I,4,0)*K13529</f>
        <v/>
      </c>
      <c r="P13529" s="152">
        <f>M13529/1.1</f>
        <v/>
      </c>
      <c r="Q13529" s="88">
        <f>F13529&amp;E13529&amp;G13529&amp;L13529</f>
        <v/>
      </c>
    </row>
    <row r="13530">
      <c r="B13530" s="128" t="n">
        <v>44208</v>
      </c>
      <c r="C13530" s="88">
        <f>TEXT(B13530,"aaa")</f>
        <v/>
      </c>
      <c r="D13530" s="94" t="n"/>
      <c r="E13530" s="88">
        <f>INDEX(매칭테이블!C:D,MATCH(RD!G13530,매칭테이블!D:D,0),1)</f>
        <v/>
      </c>
      <c r="F13530" s="94" t="inlineStr">
        <is>
          <t>카페24</t>
        </is>
      </c>
      <c r="G13530" s="94" t="inlineStr">
        <is>
          <t>어성초 77 수딩 토너 (클리어패드 세트 구매시 1/11 순차발송 예정)옵션=어성초 77 토너 1개-20% off</t>
        </is>
      </c>
      <c r="K13530" s="94" t="n">
        <v>78</v>
      </c>
      <c r="L13530" s="88" t="n">
        <v>201208</v>
      </c>
      <c r="M13530" s="88">
        <f>VLOOKUP($Q13530,매칭테이블!$F:$I,2,0)*K13530</f>
        <v/>
      </c>
      <c r="N13530" s="88">
        <f>M13530-M13530*VLOOKUP($Q13530,매칭테이블!$F:$I,3,0)</f>
        <v/>
      </c>
      <c r="O13530" s="88">
        <f>VLOOKUP($Q13530,매칭테이블!$F:$I,4,0)*K13530</f>
        <v/>
      </c>
      <c r="P13530" s="152">
        <f>M13530/1.1</f>
        <v/>
      </c>
      <c r="Q13530" s="88">
        <f>F13530&amp;E13530&amp;G13530&amp;L13530</f>
        <v/>
      </c>
    </row>
    <row r="13531">
      <c r="B13531" s="128" t="n">
        <v>44208</v>
      </c>
      <c r="C13531" s="88">
        <f>TEXT(B13531,"aaa")</f>
        <v/>
      </c>
      <c r="D13531" s="94" t="n"/>
      <c r="E13531" s="88">
        <f>INDEX(매칭테이블!C:D,MATCH(RD!G13531,매칭테이블!D:D,0),1)</f>
        <v/>
      </c>
      <c r="F13531" s="94" t="inlineStr">
        <is>
          <t>카페24</t>
        </is>
      </c>
      <c r="G13531" s="94" t="inlineStr">
        <is>
          <t>어성초 77 수딩 토너 (클리어패드 세트 구매시 1/11 순차발송 예정)옵션=어성초 77 토너 2개-30% off (무료배송)</t>
        </is>
      </c>
      <c r="K13531" s="94" t="n">
        <v>57</v>
      </c>
      <c r="L13531" s="88" t="n">
        <v>201208</v>
      </c>
      <c r="M13531" s="88">
        <f>VLOOKUP($Q13531,매칭테이블!$F:$I,2,0)*K13531</f>
        <v/>
      </c>
      <c r="N13531" s="88">
        <f>M13531-M13531*VLOOKUP($Q13531,매칭테이블!$F:$I,3,0)</f>
        <v/>
      </c>
      <c r="O13531" s="88">
        <f>VLOOKUP($Q13531,매칭테이블!$F:$I,4,0)*K13531</f>
        <v/>
      </c>
      <c r="P13531" s="152">
        <f>M13531/1.1</f>
        <v/>
      </c>
      <c r="Q13531" s="88">
        <f>F13531&amp;E13531&amp;G13531&amp;L13531</f>
        <v/>
      </c>
    </row>
    <row r="13532">
      <c r="B13532" s="128" t="n">
        <v>44208</v>
      </c>
      <c r="C13532" s="88">
        <f>TEXT(B13532,"aaa")</f>
        <v/>
      </c>
      <c r="D13532" s="94" t="n"/>
      <c r="E13532" s="88">
        <f>INDEX(매칭테이블!C:D,MATCH(RD!G13532,매칭테이블!D:D,0),1)</f>
        <v/>
      </c>
      <c r="F13532" s="94" t="inlineStr">
        <is>
          <t>카페24</t>
        </is>
      </c>
      <c r="G13532" s="94" t="inlineStr">
        <is>
          <t>어성초 77 수딩 토너 (클리어패드 세트 구매시 1/11 순차발송 예정)옵션=어성초 77토너1개 + 어성초77패드1개 -30% off (무료배송)</t>
        </is>
      </c>
      <c r="K13532" s="94" t="n">
        <v>48</v>
      </c>
      <c r="L13532" s="88" t="n">
        <v>201208</v>
      </c>
      <c r="M13532" s="88">
        <f>VLOOKUP($Q13532,매칭테이블!$F:$I,2,0)*K13532</f>
        <v/>
      </c>
      <c r="N13532" s="88">
        <f>M13532-M13532*VLOOKUP($Q13532,매칭테이블!$F:$I,3,0)</f>
        <v/>
      </c>
      <c r="O13532" s="88">
        <f>VLOOKUP($Q13532,매칭테이블!$F:$I,4,0)*K13532</f>
        <v/>
      </c>
      <c r="P13532" s="152">
        <f>M13532/1.1</f>
        <v/>
      </c>
      <c r="Q13532" s="88">
        <f>F13532&amp;E13532&amp;G13532&amp;L13532</f>
        <v/>
      </c>
    </row>
    <row r="13533">
      <c r="B13533" s="128" t="n">
        <v>44208</v>
      </c>
      <c r="C13533" s="88">
        <f>TEXT(B13533,"aaa")</f>
        <v/>
      </c>
      <c r="D13533" s="94" t="n"/>
      <c r="E13533" s="88">
        <f>INDEX(매칭테이블!C:D,MATCH(RD!G13533,매칭테이블!D:D,0),1)</f>
        <v/>
      </c>
      <c r="F13533" s="94" t="inlineStr">
        <is>
          <t>카페24</t>
        </is>
      </c>
      <c r="G13533" s="94" t="inlineStr">
        <is>
          <t>어성초 77 수딩 토너 (클리어패드 세트 구매시 1/11 순차발송 예정)화장솜(선택)=촉촉 스킨팩 화장솜</t>
        </is>
      </c>
      <c r="K13533" s="94" t="n">
        <v>64</v>
      </c>
      <c r="L13533" s="88" t="n">
        <v>201208</v>
      </c>
      <c r="M13533" s="88">
        <f>VLOOKUP($Q13533,매칭테이블!$F:$I,2,0)*K13533</f>
        <v/>
      </c>
      <c r="N13533" s="88">
        <f>M13533-M13533*VLOOKUP($Q13533,매칭테이블!$F:$I,3,0)</f>
        <v/>
      </c>
      <c r="O13533" s="88">
        <f>VLOOKUP($Q13533,매칭테이블!$F:$I,4,0)*K13533</f>
        <v/>
      </c>
      <c r="P13533" s="152">
        <f>M13533/1.1</f>
        <v/>
      </c>
      <c r="Q13533" s="88">
        <f>F13533&amp;E13533&amp;G13533&amp;L13533</f>
        <v/>
      </c>
    </row>
    <row r="13534">
      <c r="B13534" s="128" t="n">
        <v>44208</v>
      </c>
      <c r="C13534" s="88">
        <f>TEXT(B13534,"aaa")</f>
        <v/>
      </c>
      <c r="D13534" s="94" t="n"/>
      <c r="E13534" s="88">
        <f>INDEX(매칭테이블!C:D,MATCH(RD!G13534,매칭테이블!D:D,0),1)</f>
        <v/>
      </c>
      <c r="F13534" s="94" t="inlineStr">
        <is>
          <t>카페24</t>
        </is>
      </c>
      <c r="G13534" s="94" t="inlineStr">
        <is>
          <t>어성초 77 진정 마스크옵션=어성초 77 진정 마스크팩 1장</t>
        </is>
      </c>
      <c r="K13534" s="94" t="n">
        <v>2</v>
      </c>
      <c r="L13534" s="88" t="n">
        <v>201208</v>
      </c>
      <c r="M13534" s="88">
        <f>VLOOKUP($Q13534,매칭테이블!$F:$I,2,0)*K13534</f>
        <v/>
      </c>
      <c r="N13534" s="88">
        <f>M13534-M13534*VLOOKUP($Q13534,매칭테이블!$F:$I,3,0)</f>
        <v/>
      </c>
      <c r="O13534" s="88">
        <f>VLOOKUP($Q13534,매칭테이블!$F:$I,4,0)*K13534</f>
        <v/>
      </c>
      <c r="P13534" s="152">
        <f>M13534/1.1</f>
        <v/>
      </c>
      <c r="Q13534" s="88">
        <f>F13534&amp;E13534&amp;G13534&amp;L13534</f>
        <v/>
      </c>
    </row>
    <row r="13535">
      <c r="B13535" s="128" t="n">
        <v>44208</v>
      </c>
      <c r="C13535" s="88">
        <f>TEXT(B13535,"aaa")</f>
        <v/>
      </c>
      <c r="D13535" s="94" t="n"/>
      <c r="E13535" s="88">
        <f>INDEX(매칭테이블!C:D,MATCH(RD!G13535,매칭테이블!D:D,0),1)</f>
        <v/>
      </c>
      <c r="F13535" s="94" t="inlineStr">
        <is>
          <t>카페24</t>
        </is>
      </c>
      <c r="G13535" s="94" t="inlineStr">
        <is>
          <t>어성초 77 진정 마스크옵션=어성초 77 진정 마스크팩 10장-50% off</t>
        </is>
      </c>
      <c r="K13535" s="94" t="n">
        <v>4</v>
      </c>
      <c r="L13535" s="88" t="n">
        <v>201208</v>
      </c>
      <c r="M13535" s="88">
        <f>VLOOKUP($Q13535,매칭테이블!$F:$I,2,0)*K13535</f>
        <v/>
      </c>
      <c r="N13535" s="88">
        <f>M13535-M13535*VLOOKUP($Q13535,매칭테이블!$F:$I,3,0)</f>
        <v/>
      </c>
      <c r="O13535" s="88">
        <f>VLOOKUP($Q13535,매칭테이블!$F:$I,4,0)*K13535</f>
        <v/>
      </c>
      <c r="P13535" s="152">
        <f>M13535/1.1</f>
        <v/>
      </c>
      <c r="Q13535" s="88">
        <f>F13535&amp;E13535&amp;G13535&amp;L13535</f>
        <v/>
      </c>
    </row>
    <row r="13536">
      <c r="B13536" s="128" t="n">
        <v>44208</v>
      </c>
      <c r="C13536" s="88">
        <f>TEXT(B13536,"aaa")</f>
        <v/>
      </c>
      <c r="D13536" s="94" t="n"/>
      <c r="E13536" s="88">
        <f>INDEX(매칭테이블!C:D,MATCH(RD!G13536,매칭테이블!D:D,0),1)</f>
        <v/>
      </c>
      <c r="F13536" s="94" t="inlineStr">
        <is>
          <t>카페24</t>
        </is>
      </c>
      <c r="G13536" s="94" t="inlineStr">
        <is>
          <t>어성초 77 진정 마스크</t>
        </is>
      </c>
      <c r="K13536" s="94" t="n">
        <v>2</v>
      </c>
      <c r="L13536" s="88" t="n">
        <v>201208</v>
      </c>
      <c r="M13536" s="88">
        <f>VLOOKUP($Q13536,매칭테이블!$F:$I,2,0)*K13536</f>
        <v/>
      </c>
      <c r="N13536" s="88">
        <f>M13536-M13536*VLOOKUP($Q13536,매칭테이블!$F:$I,3,0)</f>
        <v/>
      </c>
      <c r="O13536" s="88">
        <f>VLOOKUP($Q13536,매칭테이블!$F:$I,4,0)*K13536</f>
        <v/>
      </c>
      <c r="P13536" s="152">
        <f>M13536/1.1</f>
        <v/>
      </c>
      <c r="Q13536" s="88">
        <f>F13536&amp;E13536&amp;G13536&amp;L13536</f>
        <v/>
      </c>
    </row>
    <row r="13537">
      <c r="B13537" s="128" t="n">
        <v>44208</v>
      </c>
      <c r="C13537" s="88">
        <f>TEXT(B13537,"aaa")</f>
        <v/>
      </c>
      <c r="D13537" s="94" t="n"/>
      <c r="E13537" s="88">
        <f>INDEX(매칭테이블!C:D,MATCH(RD!G13537,매칭테이블!D:D,0),1)</f>
        <v/>
      </c>
      <c r="F13537" s="94" t="inlineStr">
        <is>
          <t>카페24</t>
        </is>
      </c>
      <c r="G13537" s="94" t="inlineStr">
        <is>
          <t>어성초 77 클리어 패드옵션=어성초 77 클리어 패드 1개-20% off</t>
        </is>
      </c>
      <c r="K13537" s="94" t="n">
        <v>31</v>
      </c>
      <c r="L13537" s="88" t="n">
        <v>201208</v>
      </c>
      <c r="M13537" s="88">
        <f>VLOOKUP($Q13537,매칭테이블!$F:$I,2,0)*K13537</f>
        <v/>
      </c>
      <c r="N13537" s="88">
        <f>M13537-M13537*VLOOKUP($Q13537,매칭테이블!$F:$I,3,0)</f>
        <v/>
      </c>
      <c r="O13537" s="88">
        <f>VLOOKUP($Q13537,매칭테이블!$F:$I,4,0)*K13537</f>
        <v/>
      </c>
      <c r="P13537" s="152">
        <f>M13537/1.1</f>
        <v/>
      </c>
      <c r="Q13537" s="88">
        <f>F13537&amp;E13537&amp;G13537&amp;L13537</f>
        <v/>
      </c>
    </row>
    <row r="13538">
      <c r="B13538" s="128" t="n">
        <v>44208</v>
      </c>
      <c r="C13538" s="88">
        <f>TEXT(B13538,"aaa")</f>
        <v/>
      </c>
      <c r="D13538" s="94" t="n"/>
      <c r="E13538" s="88">
        <f>INDEX(매칭테이블!C:D,MATCH(RD!G13538,매칭테이블!D:D,0),1)</f>
        <v/>
      </c>
      <c r="F13538" s="94" t="inlineStr">
        <is>
          <t>카페24</t>
        </is>
      </c>
      <c r="G13538" s="94" t="inlineStr">
        <is>
          <t>어성초 77 클리어 패드옵션=어성초 77 클리어 패드 2개-30% off (무료배송)</t>
        </is>
      </c>
      <c r="K13538" s="94" t="n">
        <v>32</v>
      </c>
      <c r="L13538" s="88" t="n">
        <v>201208</v>
      </c>
      <c r="M13538" s="88">
        <f>VLOOKUP($Q13538,매칭테이블!$F:$I,2,0)*K13538</f>
        <v/>
      </c>
      <c r="N13538" s="88">
        <f>M13538-M13538*VLOOKUP($Q13538,매칭테이블!$F:$I,3,0)</f>
        <v/>
      </c>
      <c r="O13538" s="88">
        <f>VLOOKUP($Q13538,매칭테이블!$F:$I,4,0)*K13538</f>
        <v/>
      </c>
      <c r="P13538" s="152">
        <f>M13538/1.1</f>
        <v/>
      </c>
      <c r="Q13538" s="88">
        <f>F13538&amp;E13538&amp;G13538&amp;L13538</f>
        <v/>
      </c>
    </row>
    <row r="13539">
      <c r="B13539" s="128" t="n">
        <v>44208</v>
      </c>
      <c r="C13539" s="88">
        <f>TEXT(B13539,"aaa")</f>
        <v/>
      </c>
      <c r="D13539" s="94" t="n"/>
      <c r="E13539" s="88">
        <f>INDEX(매칭테이블!C:D,MATCH(RD!G13539,매칭테이블!D:D,0),1)</f>
        <v/>
      </c>
      <c r="F13539" s="94" t="inlineStr">
        <is>
          <t>카페24</t>
        </is>
      </c>
      <c r="G13539" s="94" t="inlineStr">
        <is>
          <t>어성초 77 클리어 패드옵션=어성초 77 클리어 패드 3개-35% off (무료배송)</t>
        </is>
      </c>
      <c r="K13539" s="94" t="n">
        <v>4</v>
      </c>
      <c r="L13539" s="88" t="n">
        <v>201208</v>
      </c>
      <c r="M13539" s="88">
        <f>VLOOKUP($Q13539,매칭테이블!$F:$I,2,0)*K13539</f>
        <v/>
      </c>
      <c r="N13539" s="88">
        <f>M13539-M13539*VLOOKUP($Q13539,매칭테이블!$F:$I,3,0)</f>
        <v/>
      </c>
      <c r="O13539" s="88">
        <f>VLOOKUP($Q13539,매칭테이블!$F:$I,4,0)*K13539</f>
        <v/>
      </c>
      <c r="P13539" s="152">
        <f>M13539/1.1</f>
        <v/>
      </c>
      <c r="Q13539" s="88">
        <f>F13539&amp;E13539&amp;G13539&amp;L13539</f>
        <v/>
      </c>
    </row>
    <row r="13540">
      <c r="B13540" s="128" t="n">
        <v>44208</v>
      </c>
      <c r="C13540" s="88">
        <f>TEXT(B13540,"aaa")</f>
        <v/>
      </c>
      <c r="D13540" s="94" t="n"/>
      <c r="E13540" s="88">
        <f>INDEX(매칭테이블!C:D,MATCH(RD!G13540,매칭테이블!D:D,0),1)</f>
        <v/>
      </c>
      <c r="F13540" s="94" t="inlineStr">
        <is>
          <t>카페24</t>
        </is>
      </c>
      <c r="G13540" s="94" t="inlineStr">
        <is>
          <t>어성초 77 클리어 패드옵션=어성초77토너1개+어성초77패드1개-30% off (무료배송)</t>
        </is>
      </c>
      <c r="K13540" s="94" t="n">
        <v>6</v>
      </c>
      <c r="L13540" s="88" t="n">
        <v>201208</v>
      </c>
      <c r="M13540" s="88">
        <f>VLOOKUP($Q13540,매칭테이블!$F:$I,2,0)*K13540</f>
        <v/>
      </c>
      <c r="N13540" s="88">
        <f>M13540-M13540*VLOOKUP($Q13540,매칭테이블!$F:$I,3,0)</f>
        <v/>
      </c>
      <c r="O13540" s="88">
        <f>VLOOKUP($Q13540,매칭테이블!$F:$I,4,0)*K13540</f>
        <v/>
      </c>
      <c r="P13540" s="152">
        <f>M13540/1.1</f>
        <v/>
      </c>
      <c r="Q13540" s="88">
        <f>F13540&amp;E13540&amp;G13540&amp;L13540</f>
        <v/>
      </c>
    </row>
    <row r="13541">
      <c r="B13541" s="128" t="n">
        <v>44208</v>
      </c>
      <c r="C13541" s="88">
        <f>TEXT(B13541,"aaa")</f>
        <v/>
      </c>
      <c r="D13541" s="94" t="n"/>
      <c r="E13541" s="88">
        <f>INDEX(매칭테이블!C:D,MATCH(RD!G13541,매칭테이블!D:D,0),1)</f>
        <v/>
      </c>
      <c r="F13541" s="94" t="inlineStr">
        <is>
          <t>카페24</t>
        </is>
      </c>
      <c r="G13541" s="94" t="inlineStr">
        <is>
          <t>어성초 77 클리어 패드 (1/11 순차발송 예정)옵션=어성초 77 클리어 패드 1개-20% off</t>
        </is>
      </c>
      <c r="K13541" s="94" t="n">
        <v>39</v>
      </c>
      <c r="L13541" s="88" t="n">
        <v>201208</v>
      </c>
      <c r="M13541" s="88">
        <f>VLOOKUP($Q13541,매칭테이블!$F:$I,2,0)*K13541</f>
        <v/>
      </c>
      <c r="N13541" s="88">
        <f>M13541-M13541*VLOOKUP($Q13541,매칭테이블!$F:$I,3,0)</f>
        <v/>
      </c>
      <c r="O13541" s="88">
        <f>VLOOKUP($Q13541,매칭테이블!$F:$I,4,0)*K13541</f>
        <v/>
      </c>
      <c r="P13541" s="152">
        <f>M13541/1.1</f>
        <v/>
      </c>
      <c r="Q13541" s="88">
        <f>F13541&amp;E13541&amp;G13541&amp;L13541</f>
        <v/>
      </c>
    </row>
    <row r="13542">
      <c r="B13542" s="128" t="n">
        <v>44208</v>
      </c>
      <c r="C13542" s="88">
        <f>TEXT(B13542,"aaa")</f>
        <v/>
      </c>
      <c r="D13542" s="94" t="n"/>
      <c r="E13542" s="88">
        <f>INDEX(매칭테이블!C:D,MATCH(RD!G13542,매칭테이블!D:D,0),1)</f>
        <v/>
      </c>
      <c r="F13542" s="94" t="inlineStr">
        <is>
          <t>카페24</t>
        </is>
      </c>
      <c r="G13542" s="94" t="inlineStr">
        <is>
          <t>어성초 77 클리어 패드 (1/11 순차발송 예정)옵션=어성초 77 클리어 패드 2개-30% off (무료배송)</t>
        </is>
      </c>
      <c r="K13542" s="94" t="n">
        <v>74</v>
      </c>
      <c r="L13542" s="88" t="n">
        <v>201208</v>
      </c>
      <c r="M13542" s="88">
        <f>VLOOKUP($Q13542,매칭테이블!$F:$I,2,0)*K13542</f>
        <v/>
      </c>
      <c r="N13542" s="88">
        <f>M13542-M13542*VLOOKUP($Q13542,매칭테이블!$F:$I,3,0)</f>
        <v/>
      </c>
      <c r="O13542" s="88">
        <f>VLOOKUP($Q13542,매칭테이블!$F:$I,4,0)*K13542</f>
        <v/>
      </c>
      <c r="P13542" s="152">
        <f>M13542/1.1</f>
        <v/>
      </c>
      <c r="Q13542" s="88">
        <f>F13542&amp;E13542&amp;G13542&amp;L13542</f>
        <v/>
      </c>
    </row>
    <row r="13543">
      <c r="B13543" s="128" t="n">
        <v>44208</v>
      </c>
      <c r="C13543" s="88">
        <f>TEXT(B13543,"aaa")</f>
        <v/>
      </c>
      <c r="D13543" s="94" t="n"/>
      <c r="E13543" s="88">
        <f>INDEX(매칭테이블!C:D,MATCH(RD!G13543,매칭테이블!D:D,0),1)</f>
        <v/>
      </c>
      <c r="F13543" s="94" t="inlineStr">
        <is>
          <t>카페24</t>
        </is>
      </c>
      <c r="G13543" s="94" t="inlineStr">
        <is>
          <t>어성초 77 클리어 패드 (1/11 순차발송 예정)옵션=어성초 77 클리어 패드 3개-35% off (무료배송)</t>
        </is>
      </c>
      <c r="K13543" s="94" t="n">
        <v>15</v>
      </c>
      <c r="L13543" s="88" t="n">
        <v>201208</v>
      </c>
      <c r="M13543" s="88">
        <f>VLOOKUP($Q13543,매칭테이블!$F:$I,2,0)*K13543</f>
        <v/>
      </c>
      <c r="N13543" s="88">
        <f>M13543-M13543*VLOOKUP($Q13543,매칭테이블!$F:$I,3,0)</f>
        <v/>
      </c>
      <c r="O13543" s="88">
        <f>VLOOKUP($Q13543,매칭테이블!$F:$I,4,0)*K13543</f>
        <v/>
      </c>
      <c r="P13543" s="152">
        <f>M13543/1.1</f>
        <v/>
      </c>
      <c r="Q13543" s="88">
        <f>F13543&amp;E13543&amp;G13543&amp;L13543</f>
        <v/>
      </c>
    </row>
    <row r="13544">
      <c r="B13544" s="128" t="n">
        <v>44208</v>
      </c>
      <c r="C13544" s="88">
        <f>TEXT(B13544,"aaa")</f>
        <v/>
      </c>
      <c r="D13544" s="94" t="n"/>
      <c r="E13544" s="88">
        <f>INDEX(매칭테이블!C:D,MATCH(RD!G13544,매칭테이블!D:D,0),1)</f>
        <v/>
      </c>
      <c r="F13544" s="94" t="inlineStr">
        <is>
          <t>카페24</t>
        </is>
      </c>
      <c r="G13544" s="94" t="inlineStr">
        <is>
          <t>어성초 77 클리어 패드 (1/11 순차발송 예정)옵션=어성초77토너1개+어성초77패드1개-30% off (무료배송)</t>
        </is>
      </c>
      <c r="K13544" s="94" t="n">
        <v>14</v>
      </c>
      <c r="L13544" s="88" t="n">
        <v>201208</v>
      </c>
      <c r="M13544" s="88">
        <f>VLOOKUP($Q13544,매칭테이블!$F:$I,2,0)*K13544</f>
        <v/>
      </c>
      <c r="N13544" s="88">
        <f>M13544-M13544*VLOOKUP($Q13544,매칭테이블!$F:$I,3,0)</f>
        <v/>
      </c>
      <c r="O13544" s="88">
        <f>VLOOKUP($Q13544,매칭테이블!$F:$I,4,0)*K13544</f>
        <v/>
      </c>
      <c r="P13544" s="152">
        <f>M13544/1.1</f>
        <v/>
      </c>
      <c r="Q13544" s="88">
        <f>F13544&amp;E13544&amp;G13544&amp;L13544</f>
        <v/>
      </c>
    </row>
    <row r="13545">
      <c r="B13545" s="128" t="n">
        <v>44208</v>
      </c>
      <c r="C13545" s="88">
        <f>TEXT(B13545,"aaa")</f>
        <v/>
      </c>
      <c r="D13545" s="94" t="n"/>
      <c r="E13545" s="88">
        <f>INDEX(매칭테이블!C:D,MATCH(RD!G13545,매칭테이블!D:D,0),1)</f>
        <v/>
      </c>
      <c r="F13545" s="94" t="inlineStr">
        <is>
          <t>카페24</t>
        </is>
      </c>
      <c r="G13545" s="94" t="inlineStr">
        <is>
          <t>어성초 77 토너</t>
        </is>
      </c>
      <c r="K13545" s="94" t="n">
        <v>2</v>
      </c>
      <c r="L13545" s="88" t="n">
        <v>201208</v>
      </c>
      <c r="M13545" s="88">
        <f>VLOOKUP($Q13545,매칭테이블!$F:$I,2,0)*K13545</f>
        <v/>
      </c>
      <c r="N13545" s="88">
        <f>M13545-M13545*VLOOKUP($Q13545,매칭테이블!$F:$I,3,0)</f>
        <v/>
      </c>
      <c r="O13545" s="88">
        <f>VLOOKUP($Q13545,매칭테이블!$F:$I,4,0)*K13545</f>
        <v/>
      </c>
      <c r="P13545" s="152">
        <f>M13545/1.1</f>
        <v/>
      </c>
      <c r="Q13545" s="88">
        <f>F13545&amp;E13545&amp;G13545&amp;L13545</f>
        <v/>
      </c>
    </row>
    <row r="13546">
      <c r="B13546" s="128" t="n">
        <v>44208</v>
      </c>
      <c r="C13546" s="88">
        <f>TEXT(B13546,"aaa")</f>
        <v/>
      </c>
      <c r="D13546" s="94" t="n"/>
      <c r="E13546" s="88">
        <f>INDEX(매칭테이블!C:D,MATCH(RD!G13546,매칭테이블!D:D,0),1)</f>
        <v/>
      </c>
      <c r="F13546" s="94" t="inlineStr">
        <is>
          <t>카페24</t>
        </is>
      </c>
      <c r="G13546" s="94" t="inlineStr">
        <is>
          <t>어성초 77 포어 클리어 패드옵션=어성초 77 클리어 패드 1개-20% off</t>
        </is>
      </c>
      <c r="K13546" s="94" t="n">
        <v>5</v>
      </c>
      <c r="L13546" s="88" t="n">
        <v>201208</v>
      </c>
      <c r="M13546" s="88">
        <f>VLOOKUP($Q13546,매칭테이블!$F:$I,2,0)*K13546</f>
        <v/>
      </c>
      <c r="N13546" s="88">
        <f>M13546-M13546*VLOOKUP($Q13546,매칭테이블!$F:$I,3,0)</f>
        <v/>
      </c>
      <c r="O13546" s="88">
        <f>VLOOKUP($Q13546,매칭테이블!$F:$I,4,0)*K13546</f>
        <v/>
      </c>
      <c r="P13546" s="152">
        <f>M13546/1.1</f>
        <v/>
      </c>
      <c r="Q13546" s="88">
        <f>F13546&amp;E13546&amp;G13546&amp;L13546</f>
        <v/>
      </c>
    </row>
    <row r="13547">
      <c r="B13547" s="128" t="n">
        <v>44208</v>
      </c>
      <c r="C13547" s="88">
        <f>TEXT(B13547,"aaa")</f>
        <v/>
      </c>
      <c r="D13547" s="94" t="n"/>
      <c r="E13547" s="88">
        <f>INDEX(매칭테이블!C:D,MATCH(RD!G13547,매칭테이블!D:D,0),1)</f>
        <v/>
      </c>
      <c r="F13547" s="94" t="inlineStr">
        <is>
          <t>카페24</t>
        </is>
      </c>
      <c r="G13547" s="94" t="inlineStr">
        <is>
          <t>어성초 77 포어 클리어 패드옵션=어성초 77 클리어 패드 2개-30% off (무료배송)</t>
        </is>
      </c>
      <c r="K13547" s="94" t="n">
        <v>3</v>
      </c>
      <c r="L13547" s="88" t="n">
        <v>201208</v>
      </c>
      <c r="M13547" s="88">
        <f>VLOOKUP($Q13547,매칭테이블!$F:$I,2,0)*K13547</f>
        <v/>
      </c>
      <c r="N13547" s="88">
        <f>M13547-M13547*VLOOKUP($Q13547,매칭테이블!$F:$I,3,0)</f>
        <v/>
      </c>
      <c r="O13547" s="88">
        <f>VLOOKUP($Q13547,매칭테이블!$F:$I,4,0)*K13547</f>
        <v/>
      </c>
      <c r="P13547" s="152">
        <f>M13547/1.1</f>
        <v/>
      </c>
      <c r="Q13547" s="88">
        <f>F13547&amp;E13547&amp;G13547&amp;L13547</f>
        <v/>
      </c>
    </row>
    <row r="13548">
      <c r="B13548" s="128" t="n">
        <v>44208</v>
      </c>
      <c r="C13548" s="88">
        <f>TEXT(B13548,"aaa")</f>
        <v/>
      </c>
      <c r="D13548" s="94" t="n"/>
      <c r="E13548" s="88">
        <f>INDEX(매칭테이블!C:D,MATCH(RD!G13548,매칭테이블!D:D,0),1)</f>
        <v/>
      </c>
      <c r="F13548" s="94" t="inlineStr">
        <is>
          <t>카페24</t>
        </is>
      </c>
      <c r="G13548" s="94" t="inlineStr">
        <is>
          <t>어성초 77 포어 클리어 패드 (1/11 순차발송 예정)옵션=어성초 77 클리어 패드 1개-20% off</t>
        </is>
      </c>
      <c r="K13548" s="94" t="n">
        <v>7</v>
      </c>
      <c r="L13548" s="88" t="n">
        <v>201208</v>
      </c>
      <c r="M13548" s="88">
        <f>VLOOKUP($Q13548,매칭테이블!$F:$I,2,0)*K13548</f>
        <v/>
      </c>
      <c r="N13548" s="88">
        <f>M13548-M13548*VLOOKUP($Q13548,매칭테이블!$F:$I,3,0)</f>
        <v/>
      </c>
      <c r="O13548" s="88">
        <f>VLOOKUP($Q13548,매칭테이블!$F:$I,4,0)*K13548</f>
        <v/>
      </c>
      <c r="P13548" s="152">
        <f>M13548/1.1</f>
        <v/>
      </c>
      <c r="Q13548" s="88">
        <f>F13548&amp;E13548&amp;G13548&amp;L13548</f>
        <v/>
      </c>
    </row>
    <row r="13549">
      <c r="B13549" s="128" t="n">
        <v>44208</v>
      </c>
      <c r="C13549" s="88">
        <f>TEXT(B13549,"aaa")</f>
        <v/>
      </c>
      <c r="D13549" s="94" t="n"/>
      <c r="E13549" s="88">
        <f>INDEX(매칭테이블!C:D,MATCH(RD!G13549,매칭테이블!D:D,0),1)</f>
        <v/>
      </c>
      <c r="F13549" s="94" t="inlineStr">
        <is>
          <t>카페24</t>
        </is>
      </c>
      <c r="G13549" s="94" t="inlineStr">
        <is>
          <t>어성초 77 포어 클리어 패드 (1/11 순차발송 예정)옵션=어성초 77 클리어 패드 2개-30% off (무료배송)</t>
        </is>
      </c>
      <c r="K13549" s="94" t="n">
        <v>9</v>
      </c>
      <c r="L13549" s="88" t="n">
        <v>201208</v>
      </c>
      <c r="M13549" s="88">
        <f>VLOOKUP($Q13549,매칭테이블!$F:$I,2,0)*K13549</f>
        <v/>
      </c>
      <c r="N13549" s="88">
        <f>M13549-M13549*VLOOKUP($Q13549,매칭테이블!$F:$I,3,0)</f>
        <v/>
      </c>
      <c r="O13549" s="88">
        <f>VLOOKUP($Q13549,매칭테이블!$F:$I,4,0)*K13549</f>
        <v/>
      </c>
      <c r="P13549" s="152">
        <f>M13549/1.1</f>
        <v/>
      </c>
      <c r="Q13549" s="88">
        <f>F13549&amp;E13549&amp;G13549&amp;L13549</f>
        <v/>
      </c>
    </row>
    <row r="13550">
      <c r="B13550" s="128" t="n">
        <v>44208</v>
      </c>
      <c r="C13550" s="88">
        <f>TEXT(B13550,"aaa")</f>
        <v/>
      </c>
      <c r="D13550" s="94" t="n"/>
      <c r="E13550" s="88">
        <f>INDEX(매칭테이블!C:D,MATCH(RD!G13550,매칭테이블!D:D,0),1)</f>
        <v/>
      </c>
      <c r="F13550" s="94" t="inlineStr">
        <is>
          <t>카페24</t>
        </is>
      </c>
      <c r="G13550" s="94" t="inlineStr">
        <is>
          <t>어성초 77 포어 클리어 패드 (1/11 순차발송 예정)옵션=어성초 77 클리어 패드 3개-35% off (무료배송)</t>
        </is>
      </c>
      <c r="K13550" s="94" t="n">
        <v>2</v>
      </c>
      <c r="L13550" s="88" t="n">
        <v>201208</v>
      </c>
      <c r="M13550" s="88">
        <f>VLOOKUP($Q13550,매칭테이블!$F:$I,2,0)*K13550</f>
        <v/>
      </c>
      <c r="N13550" s="88">
        <f>M13550-M13550*VLOOKUP($Q13550,매칭테이블!$F:$I,3,0)</f>
        <v/>
      </c>
      <c r="O13550" s="88">
        <f>VLOOKUP($Q13550,매칭테이블!$F:$I,4,0)*K13550</f>
        <v/>
      </c>
      <c r="P13550" s="152">
        <f>M13550/1.1</f>
        <v/>
      </c>
      <c r="Q13550" s="88">
        <f>F13550&amp;E13550&amp;G13550&amp;L13550</f>
        <v/>
      </c>
    </row>
    <row r="13551">
      <c r="B13551" s="128" t="n">
        <v>44208</v>
      </c>
      <c r="C13551" s="88">
        <f>TEXT(B13551,"aaa")</f>
        <v/>
      </c>
      <c r="D13551" s="94" t="n"/>
      <c r="E13551" s="88">
        <f>INDEX(매칭테이블!C:D,MATCH(RD!G13551,매칭테이블!D:D,0),1)</f>
        <v/>
      </c>
      <c r="F13551" s="94" t="inlineStr">
        <is>
          <t>카페24</t>
        </is>
      </c>
      <c r="G13551" s="94" t="inlineStr">
        <is>
          <t>어성초 77 포어 클리어 패드 (1/11 순차발송 예정)옵션=어성초77토너1개+어성초77패드1개-30% off (무료배송)</t>
        </is>
      </c>
      <c r="K13551" s="94" t="n">
        <v>4</v>
      </c>
      <c r="L13551" s="88" t="n">
        <v>201208</v>
      </c>
      <c r="M13551" s="88">
        <f>VLOOKUP($Q13551,매칭테이블!$F:$I,2,0)*K13551</f>
        <v/>
      </c>
      <c r="N13551" s="88">
        <f>M13551-M13551*VLOOKUP($Q13551,매칭테이블!$F:$I,3,0)</f>
        <v/>
      </c>
      <c r="O13551" s="88">
        <f>VLOOKUP($Q13551,매칭테이블!$F:$I,4,0)*K13551</f>
        <v/>
      </c>
      <c r="P13551" s="152">
        <f>M13551/1.1</f>
        <v/>
      </c>
      <c r="Q13551" s="88">
        <f>F13551&amp;E13551&amp;G13551&amp;L13551</f>
        <v/>
      </c>
    </row>
    <row r="13552">
      <c r="B13552" s="128" t="n">
        <v>44208</v>
      </c>
      <c r="C13552" s="88">
        <f>TEXT(B13552,"aaa")</f>
        <v/>
      </c>
      <c r="D13552" s="94" t="n"/>
      <c r="E13552" s="88">
        <f>INDEX(매칭테이블!C:D,MATCH(RD!G13552,매칭테이블!D:D,0),1)</f>
        <v/>
      </c>
      <c r="F13552" s="94" t="inlineStr">
        <is>
          <t>카페24</t>
        </is>
      </c>
      <c r="G13552" s="94" t="inlineStr">
        <is>
          <t>어성초 77% 패드옵션=어성초 77 클리어 패드 1개-20% off</t>
        </is>
      </c>
      <c r="K13552" s="94" t="n">
        <v>35</v>
      </c>
      <c r="L13552" s="88" t="n">
        <v>201208</v>
      </c>
      <c r="M13552" s="88">
        <f>VLOOKUP($Q13552,매칭테이블!$F:$I,2,0)*K13552</f>
        <v/>
      </c>
      <c r="N13552" s="88">
        <f>M13552-M13552*VLOOKUP($Q13552,매칭테이블!$F:$I,3,0)</f>
        <v/>
      </c>
      <c r="O13552" s="88">
        <f>VLOOKUP($Q13552,매칭테이블!$F:$I,4,0)*K13552</f>
        <v/>
      </c>
      <c r="P13552" s="152">
        <f>M13552/1.1</f>
        <v/>
      </c>
      <c r="Q13552" s="88">
        <f>F13552&amp;E13552&amp;G13552&amp;L13552</f>
        <v/>
      </c>
    </row>
    <row r="13553">
      <c r="B13553" s="128" t="n">
        <v>44208</v>
      </c>
      <c r="C13553" s="88">
        <f>TEXT(B13553,"aaa")</f>
        <v/>
      </c>
      <c r="D13553" s="94" t="n"/>
      <c r="E13553" s="88">
        <f>INDEX(매칭테이블!C:D,MATCH(RD!G13553,매칭테이블!D:D,0),1)</f>
        <v/>
      </c>
      <c r="F13553" s="94" t="inlineStr">
        <is>
          <t>카페24</t>
        </is>
      </c>
      <c r="G13553" s="94" t="inlineStr">
        <is>
          <t>어성초 77% 패드옵션=어성초 77 클리어 패드 2개-30% off (무료배송)</t>
        </is>
      </c>
      <c r="K13553" s="94" t="n">
        <v>22</v>
      </c>
      <c r="L13553" s="88" t="n">
        <v>201208</v>
      </c>
      <c r="M13553" s="88">
        <f>VLOOKUP($Q13553,매칭테이블!$F:$I,2,0)*K13553</f>
        <v/>
      </c>
      <c r="N13553" s="88">
        <f>M13553-M13553*VLOOKUP($Q13553,매칭테이블!$F:$I,3,0)</f>
        <v/>
      </c>
      <c r="O13553" s="88">
        <f>VLOOKUP($Q13553,매칭테이블!$F:$I,4,0)*K13553</f>
        <v/>
      </c>
      <c r="P13553" s="152">
        <f>M13553/1.1</f>
        <v/>
      </c>
      <c r="Q13553" s="88">
        <f>F13553&amp;E13553&amp;G13553&amp;L13553</f>
        <v/>
      </c>
    </row>
    <row r="13554">
      <c r="B13554" s="128" t="n">
        <v>44208</v>
      </c>
      <c r="C13554" s="88">
        <f>TEXT(B13554,"aaa")</f>
        <v/>
      </c>
      <c r="D13554" s="94" t="n"/>
      <c r="E13554" s="88">
        <f>INDEX(매칭테이블!C:D,MATCH(RD!G13554,매칭테이블!D:D,0),1)</f>
        <v/>
      </c>
      <c r="F13554" s="94" t="inlineStr">
        <is>
          <t>카페24</t>
        </is>
      </c>
      <c r="G13554" s="94" t="inlineStr">
        <is>
          <t>어성초 77% 패드옵션=어성초 77 클리어 패드 3개-35% off (무료배송)</t>
        </is>
      </c>
      <c r="K13554" s="94" t="n">
        <v>2</v>
      </c>
      <c r="L13554" s="88" t="n">
        <v>201208</v>
      </c>
      <c r="M13554" s="88">
        <f>VLOOKUP($Q13554,매칭테이블!$F:$I,2,0)*K13554</f>
        <v/>
      </c>
      <c r="N13554" s="88">
        <f>M13554-M13554*VLOOKUP($Q13554,매칭테이블!$F:$I,3,0)</f>
        <v/>
      </c>
      <c r="O13554" s="88">
        <f>VLOOKUP($Q13554,매칭테이블!$F:$I,4,0)*K13554</f>
        <v/>
      </c>
      <c r="P13554" s="152">
        <f>M13554/1.1</f>
        <v/>
      </c>
      <c r="Q13554" s="88">
        <f>F13554&amp;E13554&amp;G13554&amp;L13554</f>
        <v/>
      </c>
    </row>
    <row r="13555">
      <c r="B13555" s="128" t="n">
        <v>44208</v>
      </c>
      <c r="C13555" s="88">
        <f>TEXT(B13555,"aaa")</f>
        <v/>
      </c>
      <c r="D13555" s="94" t="n"/>
      <c r="E13555" s="88">
        <f>INDEX(매칭테이블!C:D,MATCH(RD!G13555,매칭테이블!D:D,0),1)</f>
        <v/>
      </c>
      <c r="F13555" s="94" t="inlineStr">
        <is>
          <t>카페24</t>
        </is>
      </c>
      <c r="G13555" s="94" t="inlineStr">
        <is>
          <t>어성초 77% 패드옵션=어성초77토너1개+어성초77패드1개-30% off (무료배송)</t>
        </is>
      </c>
      <c r="K13555" s="94" t="n">
        <v>8</v>
      </c>
      <c r="L13555" s="88" t="n">
        <v>201208</v>
      </c>
      <c r="M13555" s="88">
        <f>VLOOKUP($Q13555,매칭테이블!$F:$I,2,0)*K13555</f>
        <v/>
      </c>
      <c r="N13555" s="88">
        <f>M13555-M13555*VLOOKUP($Q13555,매칭테이블!$F:$I,3,0)</f>
        <v/>
      </c>
      <c r="O13555" s="88">
        <f>VLOOKUP($Q13555,매칭테이블!$F:$I,4,0)*K13555</f>
        <v/>
      </c>
      <c r="P13555" s="152">
        <f>M13555/1.1</f>
        <v/>
      </c>
      <c r="Q13555" s="88">
        <f>F13555&amp;E13555&amp;G13555&amp;L13555</f>
        <v/>
      </c>
    </row>
    <row r="13556">
      <c r="B13556" s="128" t="n">
        <v>44208</v>
      </c>
      <c r="C13556" s="88">
        <f>TEXT(B13556,"aaa")</f>
        <v/>
      </c>
      <c r="D13556" s="94" t="n"/>
      <c r="E13556" s="88">
        <f>INDEX(매칭테이블!C:D,MATCH(RD!G13556,매칭테이블!D:D,0),1)</f>
        <v/>
      </c>
      <c r="F13556" s="94" t="inlineStr">
        <is>
          <t>카페24</t>
        </is>
      </c>
      <c r="G13556" s="94" t="inlineStr">
        <is>
          <t>어성초 77% 패드 (1/11 순차발송 예정)옵션=어성초 77 클리어 패드 1개-20% off</t>
        </is>
      </c>
      <c r="K13556" s="94" t="n">
        <v>48</v>
      </c>
      <c r="L13556" s="88" t="n">
        <v>201208</v>
      </c>
      <c r="M13556" s="88">
        <f>VLOOKUP($Q13556,매칭테이블!$F:$I,2,0)*K13556</f>
        <v/>
      </c>
      <c r="N13556" s="88">
        <f>M13556-M13556*VLOOKUP($Q13556,매칭테이블!$F:$I,3,0)</f>
        <v/>
      </c>
      <c r="O13556" s="88">
        <f>VLOOKUP($Q13556,매칭테이블!$F:$I,4,0)*K13556</f>
        <v/>
      </c>
      <c r="P13556" s="152">
        <f>M13556/1.1</f>
        <v/>
      </c>
      <c r="Q13556" s="88">
        <f>F13556&amp;E13556&amp;G13556&amp;L13556</f>
        <v/>
      </c>
    </row>
    <row r="13557">
      <c r="B13557" s="128" t="n">
        <v>44208</v>
      </c>
      <c r="C13557" s="88">
        <f>TEXT(B13557,"aaa")</f>
        <v/>
      </c>
      <c r="D13557" s="94" t="n"/>
      <c r="E13557" s="88">
        <f>INDEX(매칭테이블!C:D,MATCH(RD!G13557,매칭테이블!D:D,0),1)</f>
        <v/>
      </c>
      <c r="F13557" s="94" t="inlineStr">
        <is>
          <t>카페24</t>
        </is>
      </c>
      <c r="G13557" s="94" t="inlineStr">
        <is>
          <t>어성초 77% 패드 (1/11 순차발송 예정)옵션=어성초 77 클리어 패드 2개-30% off (무료배송)</t>
        </is>
      </c>
      <c r="K13557" s="94" t="n">
        <v>60</v>
      </c>
      <c r="L13557" s="88" t="n">
        <v>201208</v>
      </c>
      <c r="M13557" s="88">
        <f>VLOOKUP($Q13557,매칭테이블!$F:$I,2,0)*K13557</f>
        <v/>
      </c>
      <c r="N13557" s="88">
        <f>M13557-M13557*VLOOKUP($Q13557,매칭테이블!$F:$I,3,0)</f>
        <v/>
      </c>
      <c r="O13557" s="88">
        <f>VLOOKUP($Q13557,매칭테이블!$F:$I,4,0)*K13557</f>
        <v/>
      </c>
      <c r="P13557" s="152">
        <f>M13557/1.1</f>
        <v/>
      </c>
      <c r="Q13557" s="88">
        <f>F13557&amp;E13557&amp;G13557&amp;L13557</f>
        <v/>
      </c>
    </row>
    <row r="13558">
      <c r="B13558" s="128" t="n">
        <v>44208</v>
      </c>
      <c r="C13558" s="88">
        <f>TEXT(B13558,"aaa")</f>
        <v/>
      </c>
      <c r="D13558" s="94" t="n"/>
      <c r="E13558" s="88">
        <f>INDEX(매칭테이블!C:D,MATCH(RD!G13558,매칭테이블!D:D,0),1)</f>
        <v/>
      </c>
      <c r="F13558" s="94" t="inlineStr">
        <is>
          <t>카페24</t>
        </is>
      </c>
      <c r="G13558" s="94" t="inlineStr">
        <is>
          <t>어성초 77% 패드 (1/11 순차발송 예정)옵션=어성초 77 클리어 패드 3개-35% off (무료배송)</t>
        </is>
      </c>
      <c r="K13558" s="94" t="n">
        <v>5</v>
      </c>
      <c r="L13558" s="88" t="n">
        <v>201208</v>
      </c>
      <c r="M13558" s="88">
        <f>VLOOKUP($Q13558,매칭테이블!$F:$I,2,0)*K13558</f>
        <v/>
      </c>
      <c r="N13558" s="88">
        <f>M13558-M13558*VLOOKUP($Q13558,매칭테이블!$F:$I,3,0)</f>
        <v/>
      </c>
      <c r="O13558" s="88">
        <f>VLOOKUP($Q13558,매칭테이블!$F:$I,4,0)*K13558</f>
        <v/>
      </c>
      <c r="P13558" s="152">
        <f>M13558/1.1</f>
        <v/>
      </c>
      <c r="Q13558" s="88">
        <f>F13558&amp;E13558&amp;G13558&amp;L13558</f>
        <v/>
      </c>
    </row>
    <row r="13559">
      <c r="B13559" s="128" t="n">
        <v>44208</v>
      </c>
      <c r="C13559" s="88">
        <f>TEXT(B13559,"aaa")</f>
        <v/>
      </c>
      <c r="D13559" s="94" t="n"/>
      <c r="E13559" s="88">
        <f>INDEX(매칭테이블!C:D,MATCH(RD!G13559,매칭테이블!D:D,0),1)</f>
        <v/>
      </c>
      <c r="F13559" s="94" t="inlineStr">
        <is>
          <t>카페24</t>
        </is>
      </c>
      <c r="G13559" s="94" t="inlineStr">
        <is>
          <t>어성초 77% 패드 (1/11 순차발송 예정)옵션=어성초77토너1개+어성초77패드1개-30% off (무료배송)</t>
        </is>
      </c>
      <c r="K13559" s="94" t="n">
        <v>24</v>
      </c>
      <c r="L13559" s="88" t="n">
        <v>201208</v>
      </c>
      <c r="M13559" s="88">
        <f>VLOOKUP($Q13559,매칭테이블!$F:$I,2,0)*K13559</f>
        <v/>
      </c>
      <c r="N13559" s="88">
        <f>M13559-M13559*VLOOKUP($Q13559,매칭테이블!$F:$I,3,0)</f>
        <v/>
      </c>
      <c r="O13559" s="88">
        <f>VLOOKUP($Q13559,매칭테이블!$F:$I,4,0)*K13559</f>
        <v/>
      </c>
      <c r="P13559" s="152">
        <f>M13559/1.1</f>
        <v/>
      </c>
      <c r="Q13559" s="88">
        <f>F13559&amp;E13559&amp;G13559&amp;L13559</f>
        <v/>
      </c>
    </row>
    <row r="13560">
      <c r="B13560" s="128" t="n">
        <v>44208</v>
      </c>
      <c r="C13560" s="88">
        <f>TEXT(B13560,"aaa")</f>
        <v/>
      </c>
      <c r="D13560" s="94" t="n"/>
      <c r="E13560" s="88">
        <f>INDEX(매칭테이블!C:D,MATCH(RD!G13560,매칭테이블!D:D,0),1)</f>
        <v/>
      </c>
      <c r="F13560" s="94" t="inlineStr">
        <is>
          <t>카페24</t>
        </is>
      </c>
      <c r="G13560" s="94" t="inlineStr">
        <is>
          <t>어성초 78 수딩 크림</t>
        </is>
      </c>
      <c r="K13560" s="94" t="n">
        <v>9</v>
      </c>
      <c r="L13560" s="88" t="n">
        <v>201208</v>
      </c>
      <c r="M13560" s="88">
        <f>VLOOKUP($Q13560,매칭테이블!$F:$I,2,0)*K13560</f>
        <v/>
      </c>
      <c r="N13560" s="88">
        <f>M13560-M13560*VLOOKUP($Q13560,매칭테이블!$F:$I,3,0)</f>
        <v/>
      </c>
      <c r="O13560" s="88">
        <f>VLOOKUP($Q13560,매칭테이블!$F:$I,4,0)*K13560</f>
        <v/>
      </c>
      <c r="P13560" s="152">
        <f>M13560/1.1</f>
        <v/>
      </c>
      <c r="Q13560" s="88">
        <f>F13560&amp;E13560&amp;G13560&amp;L13560</f>
        <v/>
      </c>
    </row>
    <row r="13561">
      <c r="B13561" s="128" t="n">
        <v>44208</v>
      </c>
      <c r="C13561" s="88">
        <f>TEXT(B13561,"aaa")</f>
        <v/>
      </c>
      <c r="D13561" s="94" t="n"/>
      <c r="E13561" s="88">
        <f>INDEX(매칭테이블!C:D,MATCH(RD!G13561,매칭테이블!D:D,0),1)</f>
        <v/>
      </c>
      <c r="F13561" s="94" t="inlineStr">
        <is>
          <t>카페24</t>
        </is>
      </c>
      <c r="G13561" s="94" t="inlineStr">
        <is>
          <t>어성초 78 수딩 크림</t>
        </is>
      </c>
      <c r="K13561" s="94" t="n">
        <v>7</v>
      </c>
      <c r="L13561" s="88" t="n">
        <v>201208</v>
      </c>
      <c r="M13561" s="88">
        <f>VLOOKUP($Q13561,매칭테이블!$F:$I,2,0)*K13561</f>
        <v/>
      </c>
      <c r="N13561" s="88">
        <f>M13561-M13561*VLOOKUP($Q13561,매칭테이블!$F:$I,3,0)</f>
        <v/>
      </c>
      <c r="O13561" s="88">
        <f>VLOOKUP($Q13561,매칭테이블!$F:$I,4,0)*K13561</f>
        <v/>
      </c>
      <c r="P13561" s="152">
        <f>M13561/1.1</f>
        <v/>
      </c>
      <c r="Q13561" s="88">
        <f>F13561&amp;E13561&amp;G13561&amp;L13561</f>
        <v/>
      </c>
    </row>
    <row r="13562">
      <c r="B13562" s="128" t="n">
        <v>44208</v>
      </c>
      <c r="C13562" s="88">
        <f>TEXT(B13562,"aaa")</f>
        <v/>
      </c>
      <c r="D13562" s="94" t="n"/>
      <c r="E13562" s="88">
        <f>INDEX(매칭테이블!C:D,MATCH(RD!G13562,매칭테이블!D:D,0),1)</f>
        <v/>
      </c>
      <c r="F13562" s="94" t="inlineStr">
        <is>
          <t>카페24</t>
        </is>
      </c>
      <c r="G13562" s="94" t="inlineStr">
        <is>
          <t>어성초 80 수분 진정 앰플앰플=어성초 80 앰플 1개-15%off</t>
        </is>
      </c>
      <c r="K13562" s="94" t="n">
        <v>22</v>
      </c>
      <c r="L13562" s="88" t="n">
        <v>201208</v>
      </c>
      <c r="M13562" s="88">
        <f>VLOOKUP($Q13562,매칭테이블!$F:$I,2,0)*K13562</f>
        <v/>
      </c>
      <c r="N13562" s="88">
        <f>M13562-M13562*VLOOKUP($Q13562,매칭테이블!$F:$I,3,0)</f>
        <v/>
      </c>
      <c r="O13562" s="88">
        <f>VLOOKUP($Q13562,매칭테이블!$F:$I,4,0)*K13562</f>
        <v/>
      </c>
      <c r="P13562" s="152">
        <f>M13562/1.1</f>
        <v/>
      </c>
      <c r="Q13562" s="88">
        <f>F13562&amp;E13562&amp;G13562&amp;L13562</f>
        <v/>
      </c>
    </row>
    <row r="13563">
      <c r="B13563" s="128" t="n">
        <v>44208</v>
      </c>
      <c r="C13563" s="88">
        <f>TEXT(B13563,"aaa")</f>
        <v/>
      </c>
      <c r="D13563" s="94" t="n"/>
      <c r="E13563" s="88">
        <f>INDEX(매칭테이블!C:D,MATCH(RD!G13563,매칭테이블!D:D,0),1)</f>
        <v/>
      </c>
      <c r="F13563" s="94" t="inlineStr">
        <is>
          <t>카페24</t>
        </is>
      </c>
      <c r="G13563" s="94" t="inlineStr">
        <is>
          <t>어성초 80 수분 진정 앰플앰플=어성초 80 앰플 2개-27%off (무료배송)</t>
        </is>
      </c>
      <c r="K13563" s="94" t="n">
        <v>7</v>
      </c>
      <c r="L13563" s="88" t="n">
        <v>201208</v>
      </c>
      <c r="M13563" s="88">
        <f>VLOOKUP($Q13563,매칭테이블!$F:$I,2,0)*K13563</f>
        <v/>
      </c>
      <c r="N13563" s="88">
        <f>M13563-M13563*VLOOKUP($Q13563,매칭테이블!$F:$I,3,0)</f>
        <v/>
      </c>
      <c r="O13563" s="88">
        <f>VLOOKUP($Q13563,매칭테이블!$F:$I,4,0)*K13563</f>
        <v/>
      </c>
      <c r="P13563" s="152">
        <f>M13563/1.1</f>
        <v/>
      </c>
      <c r="Q13563" s="88">
        <f>F13563&amp;E13563&amp;G13563&amp;L13563</f>
        <v/>
      </c>
    </row>
    <row r="13564">
      <c r="B13564" s="128" t="n">
        <v>44208</v>
      </c>
      <c r="C13564" s="88">
        <f>TEXT(B13564,"aaa")</f>
        <v/>
      </c>
      <c r="D13564" s="94" t="n"/>
      <c r="E13564" s="88">
        <f>INDEX(매칭테이블!C:D,MATCH(RD!G13564,매칭테이블!D:D,0),1)</f>
        <v/>
      </c>
      <c r="F13564" s="94" t="inlineStr">
        <is>
          <t>카페24</t>
        </is>
      </c>
      <c r="G13564" s="94" t="inlineStr">
        <is>
          <t>어성초 80 수분 진정 앰플</t>
        </is>
      </c>
      <c r="K13564" s="94" t="n">
        <v>13</v>
      </c>
      <c r="L13564" s="88" t="n">
        <v>201208</v>
      </c>
      <c r="M13564" s="88">
        <f>VLOOKUP($Q13564,매칭테이블!$F:$I,2,0)*K13564</f>
        <v/>
      </c>
      <c r="N13564" s="88">
        <f>M13564-M13564*VLOOKUP($Q13564,매칭테이블!$F:$I,3,0)</f>
        <v/>
      </c>
      <c r="O13564" s="88">
        <f>VLOOKUP($Q13564,매칭테이블!$F:$I,4,0)*K13564</f>
        <v/>
      </c>
      <c r="P13564" s="152">
        <f>M13564/1.1</f>
        <v/>
      </c>
      <c r="Q13564" s="88">
        <f>F13564&amp;E13564&amp;G13564&amp;L13564</f>
        <v/>
      </c>
    </row>
    <row r="13565">
      <c r="B13565" s="128" t="n">
        <v>44208</v>
      </c>
      <c r="C13565" s="88">
        <f>TEXT(B13565,"aaa")</f>
        <v/>
      </c>
      <c r="D13565" s="94" t="n"/>
      <c r="E13565" s="88">
        <f>INDEX(매칭테이블!C:D,MATCH(RD!G13565,매칭테이블!D:D,0),1)</f>
        <v/>
      </c>
      <c r="F13565" s="94" t="inlineStr">
        <is>
          <t>카페24</t>
        </is>
      </c>
      <c r="G13565" s="94" t="inlineStr">
        <is>
          <t>어성초 80 수분 진정 앰플옵션=어성초 80 앰플 2개 - 27%off (무료배송)</t>
        </is>
      </c>
      <c r="K13565" s="94" t="n">
        <v>1</v>
      </c>
      <c r="L13565" s="88" t="n">
        <v>201208</v>
      </c>
      <c r="M13565" s="88">
        <f>VLOOKUP($Q13565,매칭테이블!$F:$I,2,0)*K13565</f>
        <v/>
      </c>
      <c r="N13565" s="88">
        <f>M13565-M13565*VLOOKUP($Q13565,매칭테이블!$F:$I,3,0)</f>
        <v/>
      </c>
      <c r="O13565" s="88">
        <f>VLOOKUP($Q13565,매칭테이블!$F:$I,4,0)*K13565</f>
        <v/>
      </c>
      <c r="P13565" s="152">
        <f>M13565/1.1</f>
        <v/>
      </c>
      <c r="Q13565" s="88">
        <f>F13565&amp;E13565&amp;G13565&amp;L13565</f>
        <v/>
      </c>
    </row>
    <row r="13566">
      <c r="B13566" s="128" t="n">
        <v>44208</v>
      </c>
      <c r="C13566" s="88">
        <f>TEXT(B13566,"aaa")</f>
        <v/>
      </c>
      <c r="D13566" s="94" t="n"/>
      <c r="E13566" s="88">
        <f>INDEX(매칭테이블!C:D,MATCH(RD!G13566,매칭테이블!D:D,0),1)</f>
        <v/>
      </c>
      <c r="F13566" s="94" t="inlineStr">
        <is>
          <t>카페24</t>
        </is>
      </c>
      <c r="G13566" s="94" t="inlineStr">
        <is>
          <t>어성초 아크네 바디워시옵션=어성초 아크네 바디워시 1개 -30% off</t>
        </is>
      </c>
      <c r="K13566" s="94" t="n">
        <v>9</v>
      </c>
      <c r="L13566" s="88" t="n">
        <v>201208</v>
      </c>
      <c r="M13566" s="88">
        <f>VLOOKUP($Q13566,매칭테이블!$F:$I,2,0)*K13566</f>
        <v/>
      </c>
      <c r="N13566" s="88">
        <f>M13566-M13566*VLOOKUP($Q13566,매칭테이블!$F:$I,3,0)</f>
        <v/>
      </c>
      <c r="O13566" s="88">
        <f>VLOOKUP($Q13566,매칭테이블!$F:$I,4,0)*K13566</f>
        <v/>
      </c>
      <c r="P13566" s="152">
        <f>M13566/1.1</f>
        <v/>
      </c>
      <c r="Q13566" s="88">
        <f>F13566&amp;E13566&amp;G13566&amp;L13566</f>
        <v/>
      </c>
    </row>
    <row r="13567">
      <c r="B13567" s="128" t="n">
        <v>44208</v>
      </c>
      <c r="C13567" s="88">
        <f>TEXT(B13567,"aaa")</f>
        <v/>
      </c>
      <c r="D13567" s="94" t="n"/>
      <c r="E13567" s="88">
        <f>INDEX(매칭테이블!C:D,MATCH(RD!G13567,매칭테이블!D:D,0),1)</f>
        <v/>
      </c>
      <c r="F13567" s="94" t="inlineStr">
        <is>
          <t>카페24</t>
        </is>
      </c>
      <c r="G13567" s="94" t="inlineStr">
        <is>
          <t>어성초 아크네 바디워시옵션=어성초 아크네 바디워시 2개 -35% off (무료배송)</t>
        </is>
      </c>
      <c r="K13567" s="94" t="n">
        <v>3</v>
      </c>
      <c r="L13567" s="88" t="n">
        <v>201208</v>
      </c>
      <c r="M13567" s="88">
        <f>VLOOKUP($Q13567,매칭테이블!$F:$I,2,0)*K13567</f>
        <v/>
      </c>
      <c r="N13567" s="88">
        <f>M13567-M13567*VLOOKUP($Q13567,매칭테이블!$F:$I,3,0)</f>
        <v/>
      </c>
      <c r="O13567" s="88">
        <f>VLOOKUP($Q13567,매칭테이블!$F:$I,4,0)*K13567</f>
        <v/>
      </c>
      <c r="P13567" s="152">
        <f>M13567/1.1</f>
        <v/>
      </c>
      <c r="Q13567" s="88">
        <f>F13567&amp;E13567&amp;G13567&amp;L13567</f>
        <v/>
      </c>
    </row>
    <row r="13568">
      <c r="B13568" s="128" t="n">
        <v>44208</v>
      </c>
      <c r="C13568" s="88">
        <f>TEXT(B13568,"aaa")</f>
        <v/>
      </c>
      <c r="D13568" s="94" t="n"/>
      <c r="E13568" s="88">
        <f>INDEX(매칭테이블!C:D,MATCH(RD!G13568,매칭테이블!D:D,0),1)</f>
        <v/>
      </c>
      <c r="F13568" s="94" t="inlineStr">
        <is>
          <t>카페24</t>
        </is>
      </c>
      <c r="G13568" s="94" t="inlineStr">
        <is>
          <t>어성초 약산성 클렌징폼클렌징폼=어성초 약산성 클렌징폼 1개 -19%off</t>
        </is>
      </c>
      <c r="K13568" s="94" t="n">
        <v>31</v>
      </c>
      <c r="L13568" s="88" t="n">
        <v>201208</v>
      </c>
      <c r="M13568" s="88">
        <f>VLOOKUP($Q13568,매칭테이블!$F:$I,2,0)*K13568</f>
        <v/>
      </c>
      <c r="N13568" s="88">
        <f>M13568-M13568*VLOOKUP($Q13568,매칭테이블!$F:$I,3,0)</f>
        <v/>
      </c>
      <c r="O13568" s="88">
        <f>VLOOKUP($Q13568,매칭테이블!$F:$I,4,0)*K13568</f>
        <v/>
      </c>
      <c r="P13568" s="152">
        <f>M13568/1.1</f>
        <v/>
      </c>
      <c r="Q13568" s="88">
        <f>F13568&amp;E13568&amp;G13568&amp;L13568</f>
        <v/>
      </c>
    </row>
    <row r="13569">
      <c r="B13569" s="128" t="n">
        <v>44208</v>
      </c>
      <c r="C13569" s="88">
        <f>TEXT(B13569,"aaa")</f>
        <v/>
      </c>
      <c r="D13569" s="94" t="n"/>
      <c r="E13569" s="88">
        <f>INDEX(매칭테이블!C:D,MATCH(RD!G13569,매칭테이블!D:D,0),1)</f>
        <v/>
      </c>
      <c r="F13569" s="94" t="inlineStr">
        <is>
          <t>카페24</t>
        </is>
      </c>
      <c r="G13569" s="94" t="inlineStr">
        <is>
          <t>어성초 약산성 클렌징폼클렌징폼=어성초 약산성 클렌징폼 2개 -25%off</t>
        </is>
      </c>
      <c r="K13569" s="94" t="n">
        <v>6</v>
      </c>
      <c r="L13569" s="88" t="n">
        <v>201208</v>
      </c>
      <c r="M13569" s="88">
        <f>VLOOKUP($Q13569,매칭테이블!$F:$I,2,0)*K13569</f>
        <v/>
      </c>
      <c r="N13569" s="88">
        <f>M13569-M13569*VLOOKUP($Q13569,매칭테이블!$F:$I,3,0)</f>
        <v/>
      </c>
      <c r="O13569" s="88">
        <f>VLOOKUP($Q13569,매칭테이블!$F:$I,4,0)*K13569</f>
        <v/>
      </c>
      <c r="P13569" s="152">
        <f>M13569/1.1</f>
        <v/>
      </c>
      <c r="Q13569" s="88">
        <f>F13569&amp;E13569&amp;G13569&amp;L13569</f>
        <v/>
      </c>
    </row>
    <row r="13570">
      <c r="B13570" s="128" t="n">
        <v>44208</v>
      </c>
      <c r="C13570" s="88">
        <f>TEXT(B13570,"aaa")</f>
        <v/>
      </c>
      <c r="D13570" s="94" t="n"/>
      <c r="E13570" s="88">
        <f>INDEX(매칭테이블!C:D,MATCH(RD!G13570,매칭테이블!D:D,0),1)</f>
        <v/>
      </c>
      <c r="F13570" s="94" t="inlineStr">
        <is>
          <t>카페24</t>
        </is>
      </c>
      <c r="G13570" s="94" t="inlineStr">
        <is>
          <t>어성초 약산성 클렌징폼클렌징폼=어성초 약산성 클렌징폼 3개 -31%off (무료배송)</t>
        </is>
      </c>
      <c r="K13570" s="94" t="n">
        <v>2</v>
      </c>
      <c r="L13570" s="88" t="n">
        <v>201208</v>
      </c>
      <c r="M13570" s="88">
        <f>VLOOKUP($Q13570,매칭테이블!$F:$I,2,0)*K13570</f>
        <v/>
      </c>
      <c r="N13570" s="88">
        <f>M13570-M13570*VLOOKUP($Q13570,매칭테이블!$F:$I,3,0)</f>
        <v/>
      </c>
      <c r="O13570" s="88">
        <f>VLOOKUP($Q13570,매칭테이블!$F:$I,4,0)*K13570</f>
        <v/>
      </c>
      <c r="P13570" s="152">
        <f>M13570/1.1</f>
        <v/>
      </c>
      <c r="Q13570" s="88">
        <f>F13570&amp;E13570&amp;G13570&amp;L13570</f>
        <v/>
      </c>
    </row>
    <row r="13571">
      <c r="B13571" s="128" t="n">
        <v>44208</v>
      </c>
      <c r="C13571" s="88">
        <f>TEXT(B13571,"aaa")</f>
        <v/>
      </c>
      <c r="D13571" s="94" t="n"/>
      <c r="E13571" s="88">
        <f>INDEX(매칭테이블!C:D,MATCH(RD!G13571,매칭테이블!D:D,0),1)</f>
        <v/>
      </c>
      <c r="F13571" s="94" t="inlineStr">
        <is>
          <t>카페24</t>
        </is>
      </c>
      <c r="G13571" s="94" t="inlineStr">
        <is>
          <t>어성초 약산성 클렌징폼</t>
        </is>
      </c>
      <c r="K13571" s="94" t="n">
        <v>2</v>
      </c>
      <c r="L13571" s="88" t="n">
        <v>201208</v>
      </c>
      <c r="M13571" s="88">
        <f>VLOOKUP($Q13571,매칭테이블!$F:$I,2,0)*K13571</f>
        <v/>
      </c>
      <c r="N13571" s="88">
        <f>M13571-M13571*VLOOKUP($Q13571,매칭테이블!$F:$I,3,0)</f>
        <v/>
      </c>
      <c r="O13571" s="88">
        <f>VLOOKUP($Q13571,매칭테이블!$F:$I,4,0)*K13571</f>
        <v/>
      </c>
      <c r="P13571" s="152">
        <f>M13571/1.1</f>
        <v/>
      </c>
      <c r="Q13571" s="88">
        <f>F13571&amp;E13571&amp;G13571&amp;L13571</f>
        <v/>
      </c>
    </row>
    <row r="13572">
      <c r="B13572" s="128" t="n">
        <v>44208</v>
      </c>
      <c r="C13572" s="88">
        <f>TEXT(B13572,"aaa")</f>
        <v/>
      </c>
      <c r="D13572" s="94" t="n"/>
      <c r="E13572" s="88">
        <f>INDEX(매칭테이블!C:D,MATCH(RD!G13572,매칭테이블!D:D,0),1)</f>
        <v/>
      </c>
      <c r="F13572" s="94" t="inlineStr">
        <is>
          <t>카페24</t>
        </is>
      </c>
      <c r="G13572" s="94" t="inlineStr">
        <is>
          <t>어성초 크림마스크 나이트 솔루션옵션=어성초 크림마스크 나이트 솔루션 1장</t>
        </is>
      </c>
      <c r="K13572" s="94" t="n">
        <v>1</v>
      </c>
      <c r="L13572" s="88" t="n">
        <v>201208</v>
      </c>
      <c r="M13572" s="88">
        <f>VLOOKUP($Q13572,매칭테이블!$F:$I,2,0)*K13572</f>
        <v/>
      </c>
      <c r="N13572" s="88">
        <f>M13572-M13572*VLOOKUP($Q13572,매칭테이블!$F:$I,3,0)</f>
        <v/>
      </c>
      <c r="O13572" s="88">
        <f>VLOOKUP($Q13572,매칭테이블!$F:$I,4,0)*K13572</f>
        <v/>
      </c>
      <c r="P13572" s="152">
        <f>M13572/1.1</f>
        <v/>
      </c>
      <c r="Q13572" s="88">
        <f>F13572&amp;E13572&amp;G13572&amp;L13572</f>
        <v/>
      </c>
    </row>
    <row r="13573">
      <c r="B13573" s="128" t="n">
        <v>44208</v>
      </c>
      <c r="C13573" s="88">
        <f>TEXT(B13573,"aaa")</f>
        <v/>
      </c>
      <c r="D13573" s="94" t="n"/>
      <c r="E13573" s="88">
        <f>INDEX(매칭테이블!C:D,MATCH(RD!G13573,매칭테이블!D:D,0),1)</f>
        <v/>
      </c>
      <c r="F13573" s="94" t="inlineStr">
        <is>
          <t>카페24</t>
        </is>
      </c>
      <c r="G13573" s="94" t="inlineStr">
        <is>
          <t>어성초 크림마스크 나이트 솔루션옵션=어성초 크림마스크 나이트 솔루션 10장 (-50%)</t>
        </is>
      </c>
      <c r="K13573" s="94" t="n">
        <v>3</v>
      </c>
      <c r="L13573" s="88" t="n">
        <v>201208</v>
      </c>
      <c r="M13573" s="88">
        <f>VLOOKUP($Q13573,매칭테이블!$F:$I,2,0)*K13573</f>
        <v/>
      </c>
      <c r="N13573" s="88">
        <f>M13573-M13573*VLOOKUP($Q13573,매칭테이블!$F:$I,3,0)</f>
        <v/>
      </c>
      <c r="O13573" s="88">
        <f>VLOOKUP($Q13573,매칭테이블!$F:$I,4,0)*K13573</f>
        <v/>
      </c>
      <c r="P13573" s="152">
        <f>M13573/1.1</f>
        <v/>
      </c>
      <c r="Q13573" s="88">
        <f>F13573&amp;E13573&amp;G13573&amp;L13573</f>
        <v/>
      </c>
    </row>
    <row r="13574">
      <c r="B13574" s="128" t="n">
        <v>44208</v>
      </c>
      <c r="C13574" s="88">
        <f>TEXT(B13574,"aaa")</f>
        <v/>
      </c>
      <c r="D13574" s="94" t="n"/>
      <c r="E13574" s="88">
        <f>INDEX(매칭테이블!C:D,MATCH(RD!G13574,매칭테이블!D:D,0),1)</f>
        <v/>
      </c>
      <c r="F13574" s="94" t="inlineStr">
        <is>
          <t>카페24</t>
        </is>
      </c>
      <c r="G13574" s="94" t="inlineStr">
        <is>
          <t>청귤 비타 잡티 마스크옵션=청귤 비타 잡티 마스크 10장(50% off)</t>
        </is>
      </c>
      <c r="K13574" s="94" t="n">
        <v>2</v>
      </c>
      <c r="L13574" s="88" t="n">
        <v>201208</v>
      </c>
      <c r="M13574" s="88">
        <f>VLOOKUP($Q13574,매칭테이블!$F:$I,2,0)*K13574</f>
        <v/>
      </c>
      <c r="N13574" s="88">
        <f>M13574-M13574*VLOOKUP($Q13574,매칭테이블!$F:$I,3,0)</f>
        <v/>
      </c>
      <c r="O13574" s="88">
        <f>VLOOKUP($Q13574,매칭테이블!$F:$I,4,0)*K13574</f>
        <v/>
      </c>
      <c r="P13574" s="152">
        <f>M13574/1.1</f>
        <v/>
      </c>
      <c r="Q13574" s="88">
        <f>F13574&amp;E13574&amp;G13574&amp;L13574</f>
        <v/>
      </c>
    </row>
    <row r="13575">
      <c r="B13575" s="128" t="n">
        <v>44208</v>
      </c>
      <c r="C13575" s="88">
        <f>TEXT(B13575,"aaa")</f>
        <v/>
      </c>
      <c r="D13575" s="94" t="n"/>
      <c r="E13575" s="88">
        <f>INDEX(매칭테이블!C:D,MATCH(RD!G13575,매칭테이블!D:D,0),1)</f>
        <v/>
      </c>
      <c r="F13575" s="94" t="inlineStr">
        <is>
          <t>카페24</t>
        </is>
      </c>
      <c r="G13575" s="94" t="inlineStr">
        <is>
          <t>촉촉 스킨팩 화장솜</t>
        </is>
      </c>
      <c r="K13575" s="94" t="n">
        <v>41</v>
      </c>
      <c r="L13575" s="88" t="n">
        <v>201208</v>
      </c>
      <c r="M13575" s="88">
        <f>VLOOKUP($Q13575,매칭테이블!$F:$I,2,0)*K13575</f>
        <v/>
      </c>
      <c r="N13575" s="88">
        <f>M13575-M13575*VLOOKUP($Q13575,매칭테이블!$F:$I,3,0)</f>
        <v/>
      </c>
      <c r="O13575" s="88">
        <f>VLOOKUP($Q13575,매칭테이블!$F:$I,4,0)*K13575</f>
        <v/>
      </c>
      <c r="P13575" s="152">
        <f>M13575/1.1</f>
        <v/>
      </c>
      <c r="Q13575" s="88">
        <f>F13575&amp;E13575&amp;G13575&amp;L13575</f>
        <v/>
      </c>
    </row>
    <row r="13576">
      <c r="B13576" s="128" t="n">
        <v>44209</v>
      </c>
      <c r="C13576" s="88">
        <f>TEXT(B13576,"aaa")</f>
        <v/>
      </c>
      <c r="D13576" s="94" t="n"/>
      <c r="E13576" s="88">
        <f>INDEX(매칭테이블!C:D,MATCH(RD!G13576,매칭테이블!D:D,0),1)</f>
        <v/>
      </c>
      <c r="F13576" s="94" t="inlineStr">
        <is>
          <t>W컨셉</t>
        </is>
      </c>
      <c r="G13576" s="94" t="inlineStr">
        <is>
          <t>어성초 77토너 (2 SET) HEARTLEAF 77% SOOTHING TONER 250ml250ml 2set</t>
        </is>
      </c>
      <c r="K13576" s="94" t="n">
        <v>3</v>
      </c>
      <c r="L13576" s="88" t="n">
        <v>201208</v>
      </c>
      <c r="M13576" s="88">
        <f>VLOOKUP($Q13576,매칭테이블!$F:$I,2,0)*K13576</f>
        <v/>
      </c>
      <c r="N13576" s="88">
        <f>M13576-M13576*VLOOKUP($Q13576,매칭테이블!$F:$I,3,0)</f>
        <v/>
      </c>
      <c r="O13576" s="88">
        <f>VLOOKUP($Q13576,매칭테이블!$F:$I,4,0)*K13576</f>
        <v/>
      </c>
      <c r="P13576" s="152">
        <f>M13576/1.1</f>
        <v/>
      </c>
      <c r="Q13576" s="88">
        <f>F13576&amp;E13576&amp;G13576&amp;L13576</f>
        <v/>
      </c>
    </row>
    <row r="13577">
      <c r="B13577" s="128" t="n">
        <v>44209</v>
      </c>
      <c r="C13577" s="88">
        <f>TEXT(B13577,"aaa")</f>
        <v/>
      </c>
      <c r="D13577" s="94" t="n"/>
      <c r="E13577" s="88">
        <f>INDEX(매칭테이블!C:D,MATCH(RD!G13577,매칭테이블!D:D,0),1)</f>
        <v/>
      </c>
      <c r="F13577" s="94" t="inlineStr">
        <is>
          <t>스타일쉐어</t>
        </is>
      </c>
      <c r="G13577" s="94" t="inlineStr">
        <is>
          <t>아누아 어성초 77 토너 250ml</t>
        </is>
      </c>
      <c r="K13577" s="94" t="n">
        <v>3</v>
      </c>
      <c r="L13577" s="88" t="n">
        <v>201208</v>
      </c>
      <c r="M13577" s="88">
        <f>VLOOKUP($Q13577,매칭테이블!$F:$I,2,0)*K13577</f>
        <v/>
      </c>
      <c r="N13577" s="88">
        <f>M13577-M13577*VLOOKUP($Q13577,매칭테이블!$F:$I,3,0)</f>
        <v/>
      </c>
      <c r="O13577" s="88">
        <f>VLOOKUP($Q13577,매칭테이블!$F:$I,4,0)*K13577</f>
        <v/>
      </c>
      <c r="P13577" s="152">
        <f>M13577/1.1</f>
        <v/>
      </c>
      <c r="Q13577" s="88">
        <f>F13577&amp;E13577&amp;G13577&amp;L13577</f>
        <v/>
      </c>
    </row>
    <row r="13578">
      <c r="B13578" s="128" t="n">
        <v>44209</v>
      </c>
      <c r="C13578" s="88">
        <f>TEXT(B13578,"aaa")</f>
        <v/>
      </c>
      <c r="D13578" s="94" t="n"/>
      <c r="E13578" s="88">
        <f>INDEX(매칭테이블!C:D,MATCH(RD!G13578,매칭테이블!D:D,0),1)</f>
        <v/>
      </c>
      <c r="F13578" s="94" t="inlineStr">
        <is>
          <t>카페24</t>
        </is>
      </c>
      <c r="G13578" s="94" t="inlineStr">
        <is>
          <t>5 제로 무기자차 선크림옵션=5제로 무기자차 선크림 1개-20% off</t>
        </is>
      </c>
      <c r="K13578" s="94" t="n">
        <v>3</v>
      </c>
      <c r="L13578" s="88" t="n">
        <v>201208</v>
      </c>
      <c r="M13578" s="88">
        <f>VLOOKUP($Q13578,매칭테이블!$F:$I,2,0)*K13578</f>
        <v/>
      </c>
      <c r="N13578" s="88">
        <f>M13578-M13578*VLOOKUP($Q13578,매칭테이블!$F:$I,3,0)</f>
        <v/>
      </c>
      <c r="O13578" s="88">
        <f>VLOOKUP($Q13578,매칭테이블!$F:$I,4,0)*K13578</f>
        <v/>
      </c>
      <c r="P13578" s="152">
        <f>M13578/1.1</f>
        <v/>
      </c>
      <c r="Q13578" s="88">
        <f>F13578&amp;E13578&amp;G13578&amp;L13578</f>
        <v/>
      </c>
    </row>
    <row r="13579">
      <c r="B13579" s="128" t="n">
        <v>44209</v>
      </c>
      <c r="C13579" s="88">
        <f>TEXT(B13579,"aaa")</f>
        <v/>
      </c>
      <c r="D13579" s="94" t="n"/>
      <c r="E13579" s="88">
        <f>INDEX(매칭테이블!C:D,MATCH(RD!G13579,매칭테이블!D:D,0),1)</f>
        <v/>
      </c>
      <c r="F13579" s="94" t="inlineStr">
        <is>
          <t>카페24</t>
        </is>
      </c>
      <c r="G13579" s="94" t="inlineStr">
        <is>
          <t>[수분 보충 세트] 어성초 77 토너 + 어성초 70 로션옵션=어성초 77 토너 250ml + 어성초 70 로션 200ml -30%</t>
        </is>
      </c>
      <c r="K13579" s="94" t="n">
        <v>60</v>
      </c>
      <c r="L13579" s="88" t="n">
        <v>201208</v>
      </c>
      <c r="M13579" s="88">
        <f>VLOOKUP($Q13579,매칭테이블!$F:$I,2,0)*K13579</f>
        <v/>
      </c>
      <c r="N13579" s="88">
        <f>M13579-M13579*VLOOKUP($Q13579,매칭테이블!$F:$I,3,0)</f>
        <v/>
      </c>
      <c r="O13579" s="88">
        <f>VLOOKUP($Q13579,매칭테이블!$F:$I,4,0)*K13579</f>
        <v/>
      </c>
      <c r="P13579" s="152">
        <f>M13579/1.1</f>
        <v/>
      </c>
      <c r="Q13579" s="88">
        <f>F13579&amp;E13579&amp;G13579&amp;L13579</f>
        <v/>
      </c>
    </row>
    <row r="13580">
      <c r="B13580" s="128" t="n">
        <v>44209</v>
      </c>
      <c r="C13580" s="88">
        <f>TEXT(B13580,"aaa")</f>
        <v/>
      </c>
      <c r="D13580" s="94" t="n"/>
      <c r="E13580" s="88">
        <f>INDEX(매칭테이블!C:D,MATCH(RD!G13580,매칭테이블!D:D,0),1)</f>
        <v/>
      </c>
      <c r="F13580" s="94" t="inlineStr">
        <is>
          <t>카페24</t>
        </is>
      </c>
      <c r="G13580" s="94" t="inlineStr">
        <is>
          <t>[어성초 진정 패키지 세트] 대용량 토너 + 앰플 + 수딩 크림 + 마스크팩 10장</t>
        </is>
      </c>
      <c r="K13580" s="94" t="n">
        <v>3</v>
      </c>
      <c r="L13580" s="88" t="n">
        <v>201208</v>
      </c>
      <c r="M13580" s="88">
        <f>VLOOKUP($Q13580,매칭테이블!$F:$I,2,0)*K13580</f>
        <v/>
      </c>
      <c r="N13580" s="88">
        <f>M13580-M13580*VLOOKUP($Q13580,매칭테이블!$F:$I,3,0)</f>
        <v/>
      </c>
      <c r="O13580" s="88">
        <f>VLOOKUP($Q13580,매칭테이블!$F:$I,4,0)*K13580</f>
        <v/>
      </c>
      <c r="P13580" s="152">
        <f>M13580/1.1</f>
        <v/>
      </c>
      <c r="Q13580" s="88">
        <f>F13580&amp;E13580&amp;G13580&amp;L13580</f>
        <v/>
      </c>
    </row>
    <row r="13581">
      <c r="B13581" s="128" t="n">
        <v>44209</v>
      </c>
      <c r="C13581" s="88">
        <f>TEXT(B13581,"aaa")</f>
        <v/>
      </c>
      <c r="D13581" s="94" t="n"/>
      <c r="E13581" s="88">
        <f>INDEX(매칭테이블!C:D,MATCH(RD!G13581,매칭테이블!D:D,0),1)</f>
        <v/>
      </c>
      <c r="F13581" s="94" t="inlineStr">
        <is>
          <t>카페24</t>
        </is>
      </c>
      <c r="G13581" s="94" t="inlineStr">
        <is>
          <t>대용량 어성초 77 수딩 토너 500ml</t>
        </is>
      </c>
      <c r="K13581" s="94" t="n">
        <v>47</v>
      </c>
      <c r="L13581" s="88" t="n">
        <v>201208</v>
      </c>
      <c r="M13581" s="88">
        <f>VLOOKUP($Q13581,매칭테이블!$F:$I,2,0)*K13581</f>
        <v/>
      </c>
      <c r="N13581" s="88">
        <f>M13581-M13581*VLOOKUP($Q13581,매칭테이블!$F:$I,3,0)</f>
        <v/>
      </c>
      <c r="O13581" s="88">
        <f>VLOOKUP($Q13581,매칭테이블!$F:$I,4,0)*K13581</f>
        <v/>
      </c>
      <c r="P13581" s="152">
        <f>M13581/1.1</f>
        <v/>
      </c>
      <c r="Q13581" s="88">
        <f>F13581&amp;E13581&amp;G13581&amp;L13581</f>
        <v/>
      </c>
    </row>
    <row r="13582">
      <c r="B13582" s="128" t="n">
        <v>44209</v>
      </c>
      <c r="C13582" s="88">
        <f>TEXT(B13582,"aaa")</f>
        <v/>
      </c>
      <c r="D13582" s="94" t="n"/>
      <c r="E13582" s="88">
        <f>INDEX(매칭테이블!C:D,MATCH(RD!G13582,매칭테이블!D:D,0),1)</f>
        <v/>
      </c>
      <c r="F13582" s="94" t="inlineStr">
        <is>
          <t>카페24</t>
        </is>
      </c>
      <c r="G13582" s="94" t="inlineStr">
        <is>
          <t>아누아 어성초 77 수딩 토너토너(필수)=어성초 77 토너 1개-20% off</t>
        </is>
      </c>
      <c r="K13582" s="94" t="n">
        <v>2</v>
      </c>
      <c r="L13582" s="88" t="n">
        <v>201208</v>
      </c>
      <c r="M13582" s="88">
        <f>VLOOKUP($Q13582,매칭테이블!$F:$I,2,0)*K13582</f>
        <v/>
      </c>
      <c r="N13582" s="88">
        <f>M13582-M13582*VLOOKUP($Q13582,매칭테이블!$F:$I,3,0)</f>
        <v/>
      </c>
      <c r="O13582" s="88">
        <f>VLOOKUP($Q13582,매칭테이블!$F:$I,4,0)*K13582</f>
        <v/>
      </c>
      <c r="P13582" s="152">
        <f>M13582/1.1</f>
        <v/>
      </c>
      <c r="Q13582" s="88">
        <f>F13582&amp;E13582&amp;G13582&amp;L13582</f>
        <v/>
      </c>
    </row>
    <row r="13583">
      <c r="B13583" s="128" t="n">
        <v>44209</v>
      </c>
      <c r="C13583" s="88">
        <f>TEXT(B13583,"aaa")</f>
        <v/>
      </c>
      <c r="D13583" s="94" t="n"/>
      <c r="E13583" s="88">
        <f>INDEX(매칭테이블!C:D,MATCH(RD!G13583,매칭테이블!D:D,0),1)</f>
        <v/>
      </c>
      <c r="F13583" s="94" t="inlineStr">
        <is>
          <t>카페24</t>
        </is>
      </c>
      <c r="G13583" s="94" t="inlineStr">
        <is>
          <t>어성초 70 데일리 릴리프 로션로션=어성초 70 데일리 릴리프 로션 1개 -20% off</t>
        </is>
      </c>
      <c r="K13583" s="94" t="n">
        <v>20</v>
      </c>
      <c r="L13583" s="88" t="n">
        <v>201208</v>
      </c>
      <c r="M13583" s="88">
        <f>VLOOKUP($Q13583,매칭테이블!$F:$I,2,0)*K13583</f>
        <v/>
      </c>
      <c r="N13583" s="88">
        <f>M13583-M13583*VLOOKUP($Q13583,매칭테이블!$F:$I,3,0)</f>
        <v/>
      </c>
      <c r="O13583" s="88">
        <f>VLOOKUP($Q13583,매칭테이블!$F:$I,4,0)*K13583</f>
        <v/>
      </c>
      <c r="P13583" s="152">
        <f>M13583/1.1</f>
        <v/>
      </c>
      <c r="Q13583" s="88">
        <f>F13583&amp;E13583&amp;G13583&amp;L13583</f>
        <v/>
      </c>
    </row>
    <row r="13584">
      <c r="B13584" s="128" t="n">
        <v>44209</v>
      </c>
      <c r="C13584" s="88">
        <f>TEXT(B13584,"aaa")</f>
        <v/>
      </c>
      <c r="D13584" s="94" t="n"/>
      <c r="E13584" s="88">
        <f>INDEX(매칭테이블!C:D,MATCH(RD!G13584,매칭테이블!D:D,0),1)</f>
        <v/>
      </c>
      <c r="F13584" s="94" t="inlineStr">
        <is>
          <t>카페24</t>
        </is>
      </c>
      <c r="G13584" s="94" t="inlineStr">
        <is>
          <t>어성초 70 데일리 릴리프 로션로션=어성초 70 데일리 릴리프 로션 2개 -30% off</t>
        </is>
      </c>
      <c r="K13584" s="94" t="n">
        <v>1</v>
      </c>
      <c r="L13584" s="88" t="n">
        <v>201208</v>
      </c>
      <c r="M13584" s="88">
        <f>VLOOKUP($Q13584,매칭테이블!$F:$I,2,0)*K13584</f>
        <v/>
      </c>
      <c r="N13584" s="88">
        <f>M13584-M13584*VLOOKUP($Q13584,매칭테이블!$F:$I,3,0)</f>
        <v/>
      </c>
      <c r="O13584" s="88">
        <f>VLOOKUP($Q13584,매칭테이블!$F:$I,4,0)*K13584</f>
        <v/>
      </c>
      <c r="P13584" s="152">
        <f>M13584/1.1</f>
        <v/>
      </c>
      <c r="Q13584" s="88">
        <f>F13584&amp;E13584&amp;G13584&amp;L13584</f>
        <v/>
      </c>
    </row>
    <row r="13585">
      <c r="B13585" s="128" t="n">
        <v>44209</v>
      </c>
      <c r="C13585" s="88">
        <f>TEXT(B13585,"aaa")</f>
        <v/>
      </c>
      <c r="D13585" s="94" t="n"/>
      <c r="E13585" s="88">
        <f>INDEX(매칭테이블!C:D,MATCH(RD!G13585,매칭테이블!D:D,0),1)</f>
        <v/>
      </c>
      <c r="F13585" s="94" t="inlineStr">
        <is>
          <t>카페24</t>
        </is>
      </c>
      <c r="G13585" s="94" t="inlineStr">
        <is>
          <t>어성초 70 머드 크림 마스크옵션=어성초 70 머드 크림 마스크-20% off</t>
        </is>
      </c>
      <c r="K13585" s="94" t="n">
        <v>6</v>
      </c>
      <c r="L13585" s="88" t="n">
        <v>201208</v>
      </c>
      <c r="M13585" s="88">
        <f>VLOOKUP($Q13585,매칭테이블!$F:$I,2,0)*K13585</f>
        <v/>
      </c>
      <c r="N13585" s="88">
        <f>M13585-M13585*VLOOKUP($Q13585,매칭테이블!$F:$I,3,0)</f>
        <v/>
      </c>
      <c r="O13585" s="88">
        <f>VLOOKUP($Q13585,매칭테이블!$F:$I,4,0)*K13585</f>
        <v/>
      </c>
      <c r="P13585" s="152">
        <f>M13585/1.1</f>
        <v/>
      </c>
      <c r="Q13585" s="88">
        <f>F13585&amp;E13585&amp;G13585&amp;L13585</f>
        <v/>
      </c>
    </row>
    <row r="13586">
      <c r="B13586" s="128" t="n">
        <v>44209</v>
      </c>
      <c r="C13586" s="88">
        <f>TEXT(B13586,"aaa")</f>
        <v/>
      </c>
      <c r="D13586" s="94" t="n"/>
      <c r="E13586" s="88">
        <f>INDEX(매칭테이블!C:D,MATCH(RD!G13586,매칭테이블!D:D,0),1)</f>
        <v/>
      </c>
      <c r="F13586" s="94" t="inlineStr">
        <is>
          <t>카페24</t>
        </is>
      </c>
      <c r="G13586" s="94" t="inlineStr">
        <is>
          <t>어성초 70 인텐스 카밍 크림크림=어성초 70 인텐스 카밍 크림 1개 (-20%)</t>
        </is>
      </c>
      <c r="K13586" s="94" t="n">
        <v>2</v>
      </c>
      <c r="L13586" s="88" t="n">
        <v>201208</v>
      </c>
      <c r="M13586" s="88">
        <f>VLOOKUP($Q13586,매칭테이블!$F:$I,2,0)*K13586</f>
        <v/>
      </c>
      <c r="N13586" s="88">
        <f>M13586-M13586*VLOOKUP($Q13586,매칭테이블!$F:$I,3,0)</f>
        <v/>
      </c>
      <c r="O13586" s="88">
        <f>VLOOKUP($Q13586,매칭테이블!$F:$I,4,0)*K13586</f>
        <v/>
      </c>
      <c r="P13586" s="152">
        <f>M13586/1.1</f>
        <v/>
      </c>
      <c r="Q13586" s="88">
        <f>F13586&amp;E13586&amp;G13586&amp;L13586</f>
        <v/>
      </c>
    </row>
    <row r="13587">
      <c r="B13587" s="128" t="n">
        <v>44209</v>
      </c>
      <c r="C13587" s="88">
        <f>TEXT(B13587,"aaa")</f>
        <v/>
      </c>
      <c r="D13587" s="94" t="n"/>
      <c r="E13587" s="88">
        <f>INDEX(매칭테이블!C:D,MATCH(RD!G13587,매칭테이블!D:D,0),1)</f>
        <v/>
      </c>
      <c r="F13587" s="94" t="inlineStr">
        <is>
          <t>카페24</t>
        </is>
      </c>
      <c r="G13587" s="94" t="inlineStr">
        <is>
          <t>어성초 70 인텐스 카밍 크림크림=어성초 70 인텐스 카밍 크림 2개 (-30%)</t>
        </is>
      </c>
      <c r="K13587" s="94" t="n">
        <v>1</v>
      </c>
      <c r="L13587" s="88" t="n">
        <v>201208</v>
      </c>
      <c r="M13587" s="88">
        <f>VLOOKUP($Q13587,매칭테이블!$F:$I,2,0)*K13587</f>
        <v/>
      </c>
      <c r="N13587" s="88">
        <f>M13587-M13587*VLOOKUP($Q13587,매칭테이블!$F:$I,3,0)</f>
        <v/>
      </c>
      <c r="O13587" s="88">
        <f>VLOOKUP($Q13587,매칭테이블!$F:$I,4,0)*K13587</f>
        <v/>
      </c>
      <c r="P13587" s="152">
        <f>M13587/1.1</f>
        <v/>
      </c>
      <c r="Q13587" s="88">
        <f>F13587&amp;E13587&amp;G13587&amp;L13587</f>
        <v/>
      </c>
    </row>
    <row r="13588">
      <c r="B13588" s="128" t="n">
        <v>44209</v>
      </c>
      <c r="C13588" s="88">
        <f>TEXT(B13588,"aaa")</f>
        <v/>
      </c>
      <c r="D13588" s="94" t="n"/>
      <c r="E13588" s="88">
        <f>INDEX(매칭테이블!C:D,MATCH(RD!G13588,매칭테이블!D:D,0),1)</f>
        <v/>
      </c>
      <c r="F13588" s="94" t="inlineStr">
        <is>
          <t>카페24</t>
        </is>
      </c>
      <c r="G13588" s="94" t="inlineStr">
        <is>
          <t>어성초 70 인텐스 카밍 크림크림=어성초 토너 250ml + 카밍 크림 50ml (-30%)</t>
        </is>
      </c>
      <c r="K13588" s="94" t="n">
        <v>1</v>
      </c>
      <c r="L13588" s="88" t="n">
        <v>201208</v>
      </c>
      <c r="M13588" s="88">
        <f>VLOOKUP($Q13588,매칭테이블!$F:$I,2,0)*K13588</f>
        <v/>
      </c>
      <c r="N13588" s="88">
        <f>M13588-M13588*VLOOKUP($Q13588,매칭테이블!$F:$I,3,0)</f>
        <v/>
      </c>
      <c r="O13588" s="88">
        <f>VLOOKUP($Q13588,매칭테이블!$F:$I,4,0)*K13588</f>
        <v/>
      </c>
      <c r="P13588" s="152">
        <f>M13588/1.1</f>
        <v/>
      </c>
      <c r="Q13588" s="88">
        <f>F13588&amp;E13588&amp;G13588&amp;L13588</f>
        <v/>
      </c>
    </row>
    <row r="13589">
      <c r="B13589" s="128" t="n">
        <v>44209</v>
      </c>
      <c r="C13589" s="88">
        <f>TEXT(B13589,"aaa")</f>
        <v/>
      </c>
      <c r="D13589" s="94" t="n"/>
      <c r="E13589" s="88">
        <f>INDEX(매칭테이블!C:D,MATCH(RD!G13589,매칭테이블!D:D,0),1)</f>
        <v/>
      </c>
      <c r="F13589" s="94" t="inlineStr">
        <is>
          <t>카페24</t>
        </is>
      </c>
      <c r="G13589" s="94" t="inlineStr">
        <is>
          <t>어성초 77 수딩 토너옵션=어성초 77 토너 1개-20% off</t>
        </is>
      </c>
      <c r="K13589" s="94" t="n">
        <v>78</v>
      </c>
      <c r="L13589" s="88" t="n">
        <v>201208</v>
      </c>
      <c r="M13589" s="88">
        <f>VLOOKUP($Q13589,매칭테이블!$F:$I,2,0)*K13589</f>
        <v/>
      </c>
      <c r="N13589" s="88">
        <f>M13589-M13589*VLOOKUP($Q13589,매칭테이블!$F:$I,3,0)</f>
        <v/>
      </c>
      <c r="O13589" s="88">
        <f>VLOOKUP($Q13589,매칭테이블!$F:$I,4,0)*K13589</f>
        <v/>
      </c>
      <c r="P13589" s="152">
        <f>M13589/1.1</f>
        <v/>
      </c>
      <c r="Q13589" s="88">
        <f>F13589&amp;E13589&amp;G13589&amp;L13589</f>
        <v/>
      </c>
    </row>
    <row r="13590">
      <c r="B13590" s="128" t="n">
        <v>44209</v>
      </c>
      <c r="C13590" s="88">
        <f>TEXT(B13590,"aaa")</f>
        <v/>
      </c>
      <c r="D13590" s="94" t="n"/>
      <c r="E13590" s="88">
        <f>INDEX(매칭테이블!C:D,MATCH(RD!G13590,매칭테이블!D:D,0),1)</f>
        <v/>
      </c>
      <c r="F13590" s="94" t="inlineStr">
        <is>
          <t>카페24</t>
        </is>
      </c>
      <c r="G13590" s="94" t="inlineStr">
        <is>
          <t>어성초 77 수딩 토너옵션=어성초 77 토너 2개-30% off (무료배송)</t>
        </is>
      </c>
      <c r="K13590" s="94" t="n">
        <v>57</v>
      </c>
      <c r="L13590" s="88" t="n">
        <v>201208</v>
      </c>
      <c r="M13590" s="88">
        <f>VLOOKUP($Q13590,매칭테이블!$F:$I,2,0)*K13590</f>
        <v/>
      </c>
      <c r="N13590" s="88">
        <f>M13590-M13590*VLOOKUP($Q13590,매칭테이블!$F:$I,3,0)</f>
        <v/>
      </c>
      <c r="O13590" s="88">
        <f>VLOOKUP($Q13590,매칭테이블!$F:$I,4,0)*K13590</f>
        <v/>
      </c>
      <c r="P13590" s="152">
        <f>M13590/1.1</f>
        <v/>
      </c>
      <c r="Q13590" s="88">
        <f>F13590&amp;E13590&amp;G13590&amp;L13590</f>
        <v/>
      </c>
    </row>
    <row r="13591">
      <c r="B13591" s="128" t="n">
        <v>44209</v>
      </c>
      <c r="C13591" s="88">
        <f>TEXT(B13591,"aaa")</f>
        <v/>
      </c>
      <c r="D13591" s="94" t="n"/>
      <c r="E13591" s="88">
        <f>INDEX(매칭테이블!C:D,MATCH(RD!G13591,매칭테이블!D:D,0),1)</f>
        <v/>
      </c>
      <c r="F13591" s="94" t="inlineStr">
        <is>
          <t>카페24</t>
        </is>
      </c>
      <c r="G13591" s="94" t="inlineStr">
        <is>
          <t>어성초 77 수딩 토너옵션=어성초 77토너1개 + 어성초77패드1개 -30% off (무료배송)</t>
        </is>
      </c>
      <c r="K13591" s="94" t="n">
        <v>52</v>
      </c>
      <c r="L13591" s="88" t="n">
        <v>201208</v>
      </c>
      <c r="M13591" s="88">
        <f>VLOOKUP($Q13591,매칭테이블!$F:$I,2,0)*K13591</f>
        <v/>
      </c>
      <c r="N13591" s="88">
        <f>M13591-M13591*VLOOKUP($Q13591,매칭테이블!$F:$I,3,0)</f>
        <v/>
      </c>
      <c r="O13591" s="88">
        <f>VLOOKUP($Q13591,매칭테이블!$F:$I,4,0)*K13591</f>
        <v/>
      </c>
      <c r="P13591" s="152">
        <f>M13591/1.1</f>
        <v/>
      </c>
      <c r="Q13591" s="88">
        <f>F13591&amp;E13591&amp;G13591&amp;L13591</f>
        <v/>
      </c>
    </row>
    <row r="13592">
      <c r="B13592" s="128" t="n">
        <v>44209</v>
      </c>
      <c r="C13592" s="88">
        <f>TEXT(B13592,"aaa")</f>
        <v/>
      </c>
      <c r="D13592" s="94" t="n"/>
      <c r="E13592" s="88">
        <f>INDEX(매칭테이블!C:D,MATCH(RD!G13592,매칭테이블!D:D,0),1)</f>
        <v/>
      </c>
      <c r="F13592" s="94" t="inlineStr">
        <is>
          <t>카페24</t>
        </is>
      </c>
      <c r="G13592" s="94" t="inlineStr">
        <is>
          <t>어성초 77 수딩 토너화장솜(선택)=촉촉 스킨팩 화장솜</t>
        </is>
      </c>
      <c r="K13592" s="94" t="n">
        <v>63</v>
      </c>
      <c r="L13592" s="88" t="n">
        <v>201208</v>
      </c>
      <c r="M13592" s="88">
        <f>VLOOKUP($Q13592,매칭테이블!$F:$I,2,0)*K13592</f>
        <v/>
      </c>
      <c r="N13592" s="88">
        <f>M13592-M13592*VLOOKUP($Q13592,매칭테이블!$F:$I,3,0)</f>
        <v/>
      </c>
      <c r="O13592" s="88">
        <f>VLOOKUP($Q13592,매칭테이블!$F:$I,4,0)*K13592</f>
        <v/>
      </c>
      <c r="P13592" s="152">
        <f>M13592/1.1</f>
        <v/>
      </c>
      <c r="Q13592" s="88">
        <f>F13592&amp;E13592&amp;G13592&amp;L13592</f>
        <v/>
      </c>
    </row>
    <row r="13593">
      <c r="B13593" s="128" t="n">
        <v>44209</v>
      </c>
      <c r="C13593" s="88">
        <f>TEXT(B13593,"aaa")</f>
        <v/>
      </c>
      <c r="D13593" s="94" t="n"/>
      <c r="E13593" s="88">
        <f>INDEX(매칭테이블!C:D,MATCH(RD!G13593,매칭테이블!D:D,0),1)</f>
        <v/>
      </c>
      <c r="F13593" s="94" t="inlineStr">
        <is>
          <t>카페24</t>
        </is>
      </c>
      <c r="G13593" s="94" t="inlineStr">
        <is>
          <t>어성초 77 수딩 토너토너(필수)=어성초 77 토너 1개-20% off</t>
        </is>
      </c>
      <c r="K13593" s="94" t="n">
        <v>2</v>
      </c>
      <c r="L13593" s="88" t="n">
        <v>201208</v>
      </c>
      <c r="M13593" s="88">
        <f>VLOOKUP($Q13593,매칭테이블!$F:$I,2,0)*K13593</f>
        <v/>
      </c>
      <c r="N13593" s="88">
        <f>M13593-M13593*VLOOKUP($Q13593,매칭테이블!$F:$I,3,0)</f>
        <v/>
      </c>
      <c r="O13593" s="88">
        <f>VLOOKUP($Q13593,매칭테이블!$F:$I,4,0)*K13593</f>
        <v/>
      </c>
      <c r="P13593" s="152">
        <f>M13593/1.1</f>
        <v/>
      </c>
      <c r="Q13593" s="88">
        <f>F13593&amp;E13593&amp;G13593&amp;L13593</f>
        <v/>
      </c>
    </row>
    <row r="13594">
      <c r="B13594" s="128" t="n">
        <v>44209</v>
      </c>
      <c r="C13594" s="88">
        <f>TEXT(B13594,"aaa")</f>
        <v/>
      </c>
      <c r="D13594" s="94" t="n"/>
      <c r="E13594" s="88">
        <f>INDEX(매칭테이블!C:D,MATCH(RD!G13594,매칭테이블!D:D,0),1)</f>
        <v/>
      </c>
      <c r="F13594" s="94" t="inlineStr">
        <is>
          <t>카페24</t>
        </is>
      </c>
      <c r="G13594" s="94" t="inlineStr">
        <is>
          <t>어성초 77 수딩 토너 (클리어패드 세트 구매시 1/11 순차발송 예정)옵션=어성초 77 토너 1개-20% off</t>
        </is>
      </c>
      <c r="K13594" s="94" t="n">
        <v>1</v>
      </c>
      <c r="L13594" s="88" t="n">
        <v>201208</v>
      </c>
      <c r="M13594" s="88">
        <f>VLOOKUP($Q13594,매칭테이블!$F:$I,2,0)*K13594</f>
        <v/>
      </c>
      <c r="N13594" s="88">
        <f>M13594-M13594*VLOOKUP($Q13594,매칭테이블!$F:$I,3,0)</f>
        <v/>
      </c>
      <c r="O13594" s="88">
        <f>VLOOKUP($Q13594,매칭테이블!$F:$I,4,0)*K13594</f>
        <v/>
      </c>
      <c r="P13594" s="152">
        <f>M13594/1.1</f>
        <v/>
      </c>
      <c r="Q13594" s="88">
        <f>F13594&amp;E13594&amp;G13594&amp;L13594</f>
        <v/>
      </c>
    </row>
    <row r="13595">
      <c r="B13595" s="128" t="n">
        <v>44209</v>
      </c>
      <c r="C13595" s="88">
        <f>TEXT(B13595,"aaa")</f>
        <v/>
      </c>
      <c r="D13595" s="94" t="n"/>
      <c r="E13595" s="88">
        <f>INDEX(매칭테이블!C:D,MATCH(RD!G13595,매칭테이블!D:D,0),1)</f>
        <v/>
      </c>
      <c r="F13595" s="94" t="inlineStr">
        <is>
          <t>카페24</t>
        </is>
      </c>
      <c r="G13595" s="94" t="inlineStr">
        <is>
          <t>어성초 77 수딩 토너 (클리어패드 세트 구매시 1/11 순차발송 예정)화장솜(선택)=촉촉 스킨팩 화장솜</t>
        </is>
      </c>
      <c r="K13595" s="94" t="n">
        <v>1</v>
      </c>
      <c r="L13595" s="88" t="n">
        <v>201208</v>
      </c>
      <c r="M13595" s="88">
        <f>VLOOKUP($Q13595,매칭테이블!$F:$I,2,0)*K13595</f>
        <v/>
      </c>
      <c r="N13595" s="88">
        <f>M13595-M13595*VLOOKUP($Q13595,매칭테이블!$F:$I,3,0)</f>
        <v/>
      </c>
      <c r="O13595" s="88">
        <f>VLOOKUP($Q13595,매칭테이블!$F:$I,4,0)*K13595</f>
        <v/>
      </c>
      <c r="P13595" s="152">
        <f>M13595/1.1</f>
        <v/>
      </c>
      <c r="Q13595" s="88">
        <f>F13595&amp;E13595&amp;G13595&amp;L13595</f>
        <v/>
      </c>
    </row>
    <row r="13596">
      <c r="B13596" s="128" t="n">
        <v>44209</v>
      </c>
      <c r="C13596" s="88">
        <f>TEXT(B13596,"aaa")</f>
        <v/>
      </c>
      <c r="D13596" s="94" t="n"/>
      <c r="E13596" s="88">
        <f>INDEX(매칭테이블!C:D,MATCH(RD!G13596,매칭테이블!D:D,0),1)</f>
        <v/>
      </c>
      <c r="F13596" s="94" t="inlineStr">
        <is>
          <t>카페24</t>
        </is>
      </c>
      <c r="G13596" s="94" t="inlineStr">
        <is>
          <t>어성초 77 진정 마스크옵션=어성초 77 진정 마스크팩 10장-50% off</t>
        </is>
      </c>
      <c r="K13596" s="94" t="n">
        <v>6</v>
      </c>
      <c r="L13596" s="88" t="n">
        <v>201208</v>
      </c>
      <c r="M13596" s="88">
        <f>VLOOKUP($Q13596,매칭테이블!$F:$I,2,0)*K13596</f>
        <v/>
      </c>
      <c r="N13596" s="88">
        <f>M13596-M13596*VLOOKUP($Q13596,매칭테이블!$F:$I,3,0)</f>
        <v/>
      </c>
      <c r="O13596" s="88">
        <f>VLOOKUP($Q13596,매칭테이블!$F:$I,4,0)*K13596</f>
        <v/>
      </c>
      <c r="P13596" s="152">
        <f>M13596/1.1</f>
        <v/>
      </c>
      <c r="Q13596" s="88">
        <f>F13596&amp;E13596&amp;G13596&amp;L13596</f>
        <v/>
      </c>
    </row>
    <row r="13597">
      <c r="B13597" s="128" t="n">
        <v>44209</v>
      </c>
      <c r="C13597" s="88">
        <f>TEXT(B13597,"aaa")</f>
        <v/>
      </c>
      <c r="D13597" s="94" t="n"/>
      <c r="E13597" s="88">
        <f>INDEX(매칭테이블!C:D,MATCH(RD!G13597,매칭테이블!D:D,0),1)</f>
        <v/>
      </c>
      <c r="F13597" s="94" t="inlineStr">
        <is>
          <t>카페24</t>
        </is>
      </c>
      <c r="G13597" s="94" t="inlineStr">
        <is>
          <t>어성초 77 진정 마스크</t>
        </is>
      </c>
      <c r="K13597" s="94" t="n">
        <v>10</v>
      </c>
      <c r="L13597" s="88" t="n">
        <v>201208</v>
      </c>
      <c r="M13597" s="88">
        <f>VLOOKUP($Q13597,매칭테이블!$F:$I,2,0)*K13597</f>
        <v/>
      </c>
      <c r="N13597" s="88">
        <f>M13597-M13597*VLOOKUP($Q13597,매칭테이블!$F:$I,3,0)</f>
        <v/>
      </c>
      <c r="O13597" s="88">
        <f>VLOOKUP($Q13597,매칭테이블!$F:$I,4,0)*K13597</f>
        <v/>
      </c>
      <c r="P13597" s="152">
        <f>M13597/1.1</f>
        <v/>
      </c>
      <c r="Q13597" s="88">
        <f>F13597&amp;E13597&amp;G13597&amp;L13597</f>
        <v/>
      </c>
    </row>
    <row r="13598">
      <c r="B13598" s="128" t="n">
        <v>44209</v>
      </c>
      <c r="C13598" s="88">
        <f>TEXT(B13598,"aaa")</f>
        <v/>
      </c>
      <c r="D13598" s="94" t="n"/>
      <c r="E13598" s="88">
        <f>INDEX(매칭테이블!C:D,MATCH(RD!G13598,매칭테이블!D:D,0),1)</f>
        <v/>
      </c>
      <c r="F13598" s="94" t="inlineStr">
        <is>
          <t>카페24</t>
        </is>
      </c>
      <c r="G13598" s="94" t="inlineStr">
        <is>
          <t>어성초 77 클리어 패드옵션=어성초 77 클리어 패드 1개-20% off</t>
        </is>
      </c>
      <c r="K13598" s="94" t="n">
        <v>80</v>
      </c>
      <c r="L13598" s="88" t="n">
        <v>201208</v>
      </c>
      <c r="M13598" s="88">
        <f>VLOOKUP($Q13598,매칭테이블!$F:$I,2,0)*K13598</f>
        <v/>
      </c>
      <c r="N13598" s="88">
        <f>M13598-M13598*VLOOKUP($Q13598,매칭테이블!$F:$I,3,0)</f>
        <v/>
      </c>
      <c r="O13598" s="88">
        <f>VLOOKUP($Q13598,매칭테이블!$F:$I,4,0)*K13598</f>
        <v/>
      </c>
      <c r="P13598" s="152">
        <f>M13598/1.1</f>
        <v/>
      </c>
      <c r="Q13598" s="88">
        <f>F13598&amp;E13598&amp;G13598&amp;L13598</f>
        <v/>
      </c>
    </row>
    <row r="13599">
      <c r="B13599" s="128" t="n">
        <v>44209</v>
      </c>
      <c r="C13599" s="88">
        <f>TEXT(B13599,"aaa")</f>
        <v/>
      </c>
      <c r="D13599" s="94" t="n"/>
      <c r="E13599" s="88">
        <f>INDEX(매칭테이블!C:D,MATCH(RD!G13599,매칭테이블!D:D,0),1)</f>
        <v/>
      </c>
      <c r="F13599" s="94" t="inlineStr">
        <is>
          <t>카페24</t>
        </is>
      </c>
      <c r="G13599" s="94" t="inlineStr">
        <is>
          <t>어성초 77 클리어 패드옵션=어성초 77 클리어 패드 2개-30% off (무료배송)</t>
        </is>
      </c>
      <c r="K13599" s="94" t="n">
        <v>99</v>
      </c>
      <c r="L13599" s="88" t="n">
        <v>201208</v>
      </c>
      <c r="M13599" s="88">
        <f>VLOOKUP($Q13599,매칭테이블!$F:$I,2,0)*K13599</f>
        <v/>
      </c>
      <c r="N13599" s="88">
        <f>M13599-M13599*VLOOKUP($Q13599,매칭테이블!$F:$I,3,0)</f>
        <v/>
      </c>
      <c r="O13599" s="88">
        <f>VLOOKUP($Q13599,매칭테이블!$F:$I,4,0)*K13599</f>
        <v/>
      </c>
      <c r="P13599" s="152">
        <f>M13599/1.1</f>
        <v/>
      </c>
      <c r="Q13599" s="88">
        <f>F13599&amp;E13599&amp;G13599&amp;L13599</f>
        <v/>
      </c>
    </row>
    <row r="13600">
      <c r="B13600" s="128" t="n">
        <v>44209</v>
      </c>
      <c r="C13600" s="88">
        <f>TEXT(B13600,"aaa")</f>
        <v/>
      </c>
      <c r="D13600" s="94" t="n"/>
      <c r="E13600" s="88">
        <f>INDEX(매칭테이블!C:D,MATCH(RD!G13600,매칭테이블!D:D,0),1)</f>
        <v/>
      </c>
      <c r="F13600" s="94" t="inlineStr">
        <is>
          <t>카페24</t>
        </is>
      </c>
      <c r="G13600" s="94" t="inlineStr">
        <is>
          <t>어성초 77 클리어 패드옵션=어성초 77 클리어 패드 3개-35% off (무료배송)</t>
        </is>
      </c>
      <c r="K13600" s="94" t="n">
        <v>18</v>
      </c>
      <c r="L13600" s="88" t="n">
        <v>201208</v>
      </c>
      <c r="M13600" s="88">
        <f>VLOOKUP($Q13600,매칭테이블!$F:$I,2,0)*K13600</f>
        <v/>
      </c>
      <c r="N13600" s="88">
        <f>M13600-M13600*VLOOKUP($Q13600,매칭테이블!$F:$I,3,0)</f>
        <v/>
      </c>
      <c r="O13600" s="88">
        <f>VLOOKUP($Q13600,매칭테이블!$F:$I,4,0)*K13600</f>
        <v/>
      </c>
      <c r="P13600" s="152">
        <f>M13600/1.1</f>
        <v/>
      </c>
      <c r="Q13600" s="88">
        <f>F13600&amp;E13600&amp;G13600&amp;L13600</f>
        <v/>
      </c>
    </row>
    <row r="13601">
      <c r="B13601" s="128" t="n">
        <v>44209</v>
      </c>
      <c r="C13601" s="88">
        <f>TEXT(B13601,"aaa")</f>
        <v/>
      </c>
      <c r="D13601" s="94" t="n"/>
      <c r="E13601" s="88">
        <f>INDEX(매칭테이블!C:D,MATCH(RD!G13601,매칭테이블!D:D,0),1)</f>
        <v/>
      </c>
      <c r="F13601" s="94" t="inlineStr">
        <is>
          <t>카페24</t>
        </is>
      </c>
      <c r="G13601" s="94" t="inlineStr">
        <is>
          <t>어성초 77 클리어 패드옵션=어성초77토너1개+어성초77패드1개-30% off (무료배송)</t>
        </is>
      </c>
      <c r="K13601" s="94" t="n">
        <v>23</v>
      </c>
      <c r="L13601" s="88" t="n">
        <v>201208</v>
      </c>
      <c r="M13601" s="88">
        <f>VLOOKUP($Q13601,매칭테이블!$F:$I,2,0)*K13601</f>
        <v/>
      </c>
      <c r="N13601" s="88">
        <f>M13601-M13601*VLOOKUP($Q13601,매칭테이블!$F:$I,3,0)</f>
        <v/>
      </c>
      <c r="O13601" s="88">
        <f>VLOOKUP($Q13601,매칭테이블!$F:$I,4,0)*K13601</f>
        <v/>
      </c>
      <c r="P13601" s="152">
        <f>M13601/1.1</f>
        <v/>
      </c>
      <c r="Q13601" s="88">
        <f>F13601&amp;E13601&amp;G13601&amp;L13601</f>
        <v/>
      </c>
    </row>
    <row r="13602">
      <c r="B13602" s="128" t="n">
        <v>44209</v>
      </c>
      <c r="C13602" s="88">
        <f>TEXT(B13602,"aaa")</f>
        <v/>
      </c>
      <c r="D13602" s="94" t="n"/>
      <c r="E13602" s="88">
        <f>INDEX(매칭테이블!C:D,MATCH(RD!G13602,매칭테이블!D:D,0),1)</f>
        <v/>
      </c>
      <c r="F13602" s="94" t="inlineStr">
        <is>
          <t>카페24</t>
        </is>
      </c>
      <c r="G13602" s="94" t="inlineStr">
        <is>
          <t>어성초 77 클리어 패드 (1/11 순차발송 예정)옵션=어성초 77 클리어 패드 1개-20% off</t>
        </is>
      </c>
      <c r="K13602" s="94" t="n">
        <v>1</v>
      </c>
      <c r="L13602" s="88" t="n">
        <v>201208</v>
      </c>
      <c r="M13602" s="88">
        <f>VLOOKUP($Q13602,매칭테이블!$F:$I,2,0)*K13602</f>
        <v/>
      </c>
      <c r="N13602" s="88">
        <f>M13602-M13602*VLOOKUP($Q13602,매칭테이블!$F:$I,3,0)</f>
        <v/>
      </c>
      <c r="O13602" s="88">
        <f>VLOOKUP($Q13602,매칭테이블!$F:$I,4,0)*K13602</f>
        <v/>
      </c>
      <c r="P13602" s="152">
        <f>M13602/1.1</f>
        <v/>
      </c>
      <c r="Q13602" s="88">
        <f>F13602&amp;E13602&amp;G13602&amp;L13602</f>
        <v/>
      </c>
    </row>
    <row r="13603">
      <c r="B13603" s="128" t="n">
        <v>44209</v>
      </c>
      <c r="C13603" s="88">
        <f>TEXT(B13603,"aaa")</f>
        <v/>
      </c>
      <c r="D13603" s="94" t="n"/>
      <c r="E13603" s="88">
        <f>INDEX(매칭테이블!C:D,MATCH(RD!G13603,매칭테이블!D:D,0),1)</f>
        <v/>
      </c>
      <c r="F13603" s="94" t="inlineStr">
        <is>
          <t>카페24</t>
        </is>
      </c>
      <c r="G13603" s="94" t="inlineStr">
        <is>
          <t>어성초 77 클리어 패드 (1/11 순차발송 예정)옵션=어성초 77 클리어 패드 2개-30% off (무료배송)</t>
        </is>
      </c>
      <c r="K13603" s="94" t="n">
        <v>2</v>
      </c>
      <c r="L13603" s="88" t="n">
        <v>201208</v>
      </c>
      <c r="M13603" s="88">
        <f>VLOOKUP($Q13603,매칭테이블!$F:$I,2,0)*K13603</f>
        <v/>
      </c>
      <c r="N13603" s="88">
        <f>M13603-M13603*VLOOKUP($Q13603,매칭테이블!$F:$I,3,0)</f>
        <v/>
      </c>
      <c r="O13603" s="88">
        <f>VLOOKUP($Q13603,매칭테이블!$F:$I,4,0)*K13603</f>
        <v/>
      </c>
      <c r="P13603" s="152">
        <f>M13603/1.1</f>
        <v/>
      </c>
      <c r="Q13603" s="88">
        <f>F13603&amp;E13603&amp;G13603&amp;L13603</f>
        <v/>
      </c>
    </row>
    <row r="13604">
      <c r="B13604" s="128" t="n">
        <v>44209</v>
      </c>
      <c r="C13604" s="88">
        <f>TEXT(B13604,"aaa")</f>
        <v/>
      </c>
      <c r="D13604" s="94" t="n"/>
      <c r="E13604" s="88">
        <f>INDEX(매칭테이블!C:D,MATCH(RD!G13604,매칭테이블!D:D,0),1)</f>
        <v/>
      </c>
      <c r="F13604" s="94" t="inlineStr">
        <is>
          <t>카페24</t>
        </is>
      </c>
      <c r="G13604" s="94" t="inlineStr">
        <is>
          <t>어성초 77 클리어 패드 (1/11 순차발송 예정)옵션=어성초77토너1개+어성초77패드1개-30% off (무료배송)</t>
        </is>
      </c>
      <c r="K13604" s="94" t="n">
        <v>1</v>
      </c>
      <c r="L13604" s="88" t="n">
        <v>201208</v>
      </c>
      <c r="M13604" s="88">
        <f>VLOOKUP($Q13604,매칭테이블!$F:$I,2,0)*K13604</f>
        <v/>
      </c>
      <c r="N13604" s="88">
        <f>M13604-M13604*VLOOKUP($Q13604,매칭테이블!$F:$I,3,0)</f>
        <v/>
      </c>
      <c r="O13604" s="88">
        <f>VLOOKUP($Q13604,매칭테이블!$F:$I,4,0)*K13604</f>
        <v/>
      </c>
      <c r="P13604" s="152">
        <f>M13604/1.1</f>
        <v/>
      </c>
      <c r="Q13604" s="88">
        <f>F13604&amp;E13604&amp;G13604&amp;L13604</f>
        <v/>
      </c>
    </row>
    <row r="13605">
      <c r="B13605" s="128" t="n">
        <v>44209</v>
      </c>
      <c r="C13605" s="88">
        <f>TEXT(B13605,"aaa")</f>
        <v/>
      </c>
      <c r="D13605" s="94" t="n"/>
      <c r="E13605" s="88">
        <f>INDEX(매칭테이블!C:D,MATCH(RD!G13605,매칭테이블!D:D,0),1)</f>
        <v/>
      </c>
      <c r="F13605" s="94" t="inlineStr">
        <is>
          <t>카페24</t>
        </is>
      </c>
      <c r="G13605" s="94" t="inlineStr">
        <is>
          <t>어성초 77 토너</t>
        </is>
      </c>
      <c r="K13605" s="94" t="n">
        <v>1</v>
      </c>
      <c r="L13605" s="88" t="n">
        <v>201208</v>
      </c>
      <c r="M13605" s="88">
        <f>VLOOKUP($Q13605,매칭테이블!$F:$I,2,0)*K13605</f>
        <v/>
      </c>
      <c r="N13605" s="88">
        <f>M13605-M13605*VLOOKUP($Q13605,매칭테이블!$F:$I,3,0)</f>
        <v/>
      </c>
      <c r="O13605" s="88">
        <f>VLOOKUP($Q13605,매칭테이블!$F:$I,4,0)*K13605</f>
        <v/>
      </c>
      <c r="P13605" s="152">
        <f>M13605/1.1</f>
        <v/>
      </c>
      <c r="Q13605" s="88">
        <f>F13605&amp;E13605&amp;G13605&amp;L13605</f>
        <v/>
      </c>
    </row>
    <row r="13606">
      <c r="B13606" s="128" t="n">
        <v>44209</v>
      </c>
      <c r="C13606" s="88">
        <f>TEXT(B13606,"aaa")</f>
        <v/>
      </c>
      <c r="D13606" s="94" t="n"/>
      <c r="E13606" s="88">
        <f>INDEX(매칭테이블!C:D,MATCH(RD!G13606,매칭테이블!D:D,0),1)</f>
        <v/>
      </c>
      <c r="F13606" s="94" t="inlineStr">
        <is>
          <t>카페24</t>
        </is>
      </c>
      <c r="G13606" s="94" t="inlineStr">
        <is>
          <t>어성초 77 포어 클리어 패드옵션=어성초 77 클리어 패드 1개-20% off</t>
        </is>
      </c>
      <c r="K13606" s="94" t="n">
        <v>5</v>
      </c>
      <c r="L13606" s="88" t="n">
        <v>201208</v>
      </c>
      <c r="M13606" s="88">
        <f>VLOOKUP($Q13606,매칭테이블!$F:$I,2,0)*K13606</f>
        <v/>
      </c>
      <c r="N13606" s="88">
        <f>M13606-M13606*VLOOKUP($Q13606,매칭테이블!$F:$I,3,0)</f>
        <v/>
      </c>
      <c r="O13606" s="88">
        <f>VLOOKUP($Q13606,매칭테이블!$F:$I,4,0)*K13606</f>
        <v/>
      </c>
      <c r="P13606" s="152">
        <f>M13606/1.1</f>
        <v/>
      </c>
      <c r="Q13606" s="88">
        <f>F13606&amp;E13606&amp;G13606&amp;L13606</f>
        <v/>
      </c>
    </row>
    <row r="13607">
      <c r="B13607" s="128" t="n">
        <v>44209</v>
      </c>
      <c r="C13607" s="88">
        <f>TEXT(B13607,"aaa")</f>
        <v/>
      </c>
      <c r="D13607" s="94" t="n"/>
      <c r="E13607" s="88">
        <f>INDEX(매칭테이블!C:D,MATCH(RD!G13607,매칭테이블!D:D,0),1)</f>
        <v/>
      </c>
      <c r="F13607" s="94" t="inlineStr">
        <is>
          <t>카페24</t>
        </is>
      </c>
      <c r="G13607" s="94" t="inlineStr">
        <is>
          <t>어성초 77 포어 클리어 패드옵션=어성초 77 클리어 패드 2개-30% off (무료배송)</t>
        </is>
      </c>
      <c r="K13607" s="94" t="n">
        <v>14</v>
      </c>
      <c r="L13607" s="88" t="n">
        <v>201208</v>
      </c>
      <c r="M13607" s="88">
        <f>VLOOKUP($Q13607,매칭테이블!$F:$I,2,0)*K13607</f>
        <v/>
      </c>
      <c r="N13607" s="88">
        <f>M13607-M13607*VLOOKUP($Q13607,매칭테이블!$F:$I,3,0)</f>
        <v/>
      </c>
      <c r="O13607" s="88">
        <f>VLOOKUP($Q13607,매칭테이블!$F:$I,4,0)*K13607</f>
        <v/>
      </c>
      <c r="P13607" s="152">
        <f>M13607/1.1</f>
        <v/>
      </c>
      <c r="Q13607" s="88">
        <f>F13607&amp;E13607&amp;G13607&amp;L13607</f>
        <v/>
      </c>
    </row>
    <row r="13608">
      <c r="B13608" s="128" t="n">
        <v>44209</v>
      </c>
      <c r="C13608" s="88">
        <f>TEXT(B13608,"aaa")</f>
        <v/>
      </c>
      <c r="D13608" s="94" t="n"/>
      <c r="E13608" s="88">
        <f>INDEX(매칭테이블!C:D,MATCH(RD!G13608,매칭테이블!D:D,0),1)</f>
        <v/>
      </c>
      <c r="F13608" s="94" t="inlineStr">
        <is>
          <t>카페24</t>
        </is>
      </c>
      <c r="G13608" s="94" t="inlineStr">
        <is>
          <t>어성초 77 포어 클리어 패드옵션=어성초 77 클리어 패드 3개-35% off (무료배송)</t>
        </is>
      </c>
      <c r="K13608" s="94" t="n">
        <v>5</v>
      </c>
      <c r="L13608" s="88" t="n">
        <v>201208</v>
      </c>
      <c r="M13608" s="88">
        <f>VLOOKUP($Q13608,매칭테이블!$F:$I,2,0)*K13608</f>
        <v/>
      </c>
      <c r="N13608" s="88">
        <f>M13608-M13608*VLOOKUP($Q13608,매칭테이블!$F:$I,3,0)</f>
        <v/>
      </c>
      <c r="O13608" s="88">
        <f>VLOOKUP($Q13608,매칭테이블!$F:$I,4,0)*K13608</f>
        <v/>
      </c>
      <c r="P13608" s="152">
        <f>M13608/1.1</f>
        <v/>
      </c>
      <c r="Q13608" s="88">
        <f>F13608&amp;E13608&amp;G13608&amp;L13608</f>
        <v/>
      </c>
    </row>
    <row r="13609">
      <c r="B13609" s="128" t="n">
        <v>44209</v>
      </c>
      <c r="C13609" s="88">
        <f>TEXT(B13609,"aaa")</f>
        <v/>
      </c>
      <c r="D13609" s="94" t="n"/>
      <c r="E13609" s="88">
        <f>INDEX(매칭테이블!C:D,MATCH(RD!G13609,매칭테이블!D:D,0),1)</f>
        <v/>
      </c>
      <c r="F13609" s="94" t="inlineStr">
        <is>
          <t>카페24</t>
        </is>
      </c>
      <c r="G13609" s="94" t="inlineStr">
        <is>
          <t>어성초 77 포어 클리어 패드옵션=어성초77토너1개+어성초77패드1개-30% off (무료배송)</t>
        </is>
      </c>
      <c r="K13609" s="94" t="n">
        <v>1</v>
      </c>
      <c r="L13609" s="88" t="n">
        <v>201208</v>
      </c>
      <c r="M13609" s="88">
        <f>VLOOKUP($Q13609,매칭테이블!$F:$I,2,0)*K13609</f>
        <v/>
      </c>
      <c r="N13609" s="88">
        <f>M13609-M13609*VLOOKUP($Q13609,매칭테이블!$F:$I,3,0)</f>
        <v/>
      </c>
      <c r="O13609" s="88">
        <f>VLOOKUP($Q13609,매칭테이블!$F:$I,4,0)*K13609</f>
        <v/>
      </c>
      <c r="P13609" s="152">
        <f>M13609/1.1</f>
        <v/>
      </c>
      <c r="Q13609" s="88">
        <f>F13609&amp;E13609&amp;G13609&amp;L13609</f>
        <v/>
      </c>
    </row>
    <row r="13610">
      <c r="B13610" s="128" t="n">
        <v>44209</v>
      </c>
      <c r="C13610" s="88">
        <f>TEXT(B13610,"aaa")</f>
        <v/>
      </c>
      <c r="D13610" s="94" t="n"/>
      <c r="E13610" s="88">
        <f>INDEX(매칭테이블!C:D,MATCH(RD!G13610,매칭테이블!D:D,0),1)</f>
        <v/>
      </c>
      <c r="F13610" s="94" t="inlineStr">
        <is>
          <t>카페24</t>
        </is>
      </c>
      <c r="G13610" s="94" t="inlineStr">
        <is>
          <t>어성초 77% 패드옵션=어성초 77 클리어 패드 1개-20% off</t>
        </is>
      </c>
      <c r="K13610" s="94" t="n">
        <v>86</v>
      </c>
      <c r="L13610" s="88" t="n">
        <v>201208</v>
      </c>
      <c r="M13610" s="88">
        <f>VLOOKUP($Q13610,매칭테이블!$F:$I,2,0)*K13610</f>
        <v/>
      </c>
      <c r="N13610" s="88">
        <f>M13610-M13610*VLOOKUP($Q13610,매칭테이블!$F:$I,3,0)</f>
        <v/>
      </c>
      <c r="O13610" s="88">
        <f>VLOOKUP($Q13610,매칭테이블!$F:$I,4,0)*K13610</f>
        <v/>
      </c>
      <c r="P13610" s="152">
        <f>M13610/1.1</f>
        <v/>
      </c>
      <c r="Q13610" s="88">
        <f>F13610&amp;E13610&amp;G13610&amp;L13610</f>
        <v/>
      </c>
    </row>
    <row r="13611">
      <c r="B13611" s="128" t="n">
        <v>44209</v>
      </c>
      <c r="C13611" s="88">
        <f>TEXT(B13611,"aaa")</f>
        <v/>
      </c>
      <c r="D13611" s="94" t="n"/>
      <c r="E13611" s="88">
        <f>INDEX(매칭테이블!C:D,MATCH(RD!G13611,매칭테이블!D:D,0),1)</f>
        <v/>
      </c>
      <c r="F13611" s="94" t="inlineStr">
        <is>
          <t>카페24</t>
        </is>
      </c>
      <c r="G13611" s="94" t="inlineStr">
        <is>
          <t>어성초 77% 패드옵션=어성초 77 클리어 패드 2개-30% off (무료배송)</t>
        </is>
      </c>
      <c r="K13611" s="94" t="n">
        <v>81</v>
      </c>
      <c r="L13611" s="88" t="n">
        <v>201208</v>
      </c>
      <c r="M13611" s="88">
        <f>VLOOKUP($Q13611,매칭테이블!$F:$I,2,0)*K13611</f>
        <v/>
      </c>
      <c r="N13611" s="88">
        <f>M13611-M13611*VLOOKUP($Q13611,매칭테이블!$F:$I,3,0)</f>
        <v/>
      </c>
      <c r="O13611" s="88">
        <f>VLOOKUP($Q13611,매칭테이블!$F:$I,4,0)*K13611</f>
        <v/>
      </c>
      <c r="P13611" s="152">
        <f>M13611/1.1</f>
        <v/>
      </c>
      <c r="Q13611" s="88">
        <f>F13611&amp;E13611&amp;G13611&amp;L13611</f>
        <v/>
      </c>
    </row>
    <row r="13612">
      <c r="B13612" s="128" t="n">
        <v>44209</v>
      </c>
      <c r="C13612" s="88">
        <f>TEXT(B13612,"aaa")</f>
        <v/>
      </c>
      <c r="D13612" s="94" t="n"/>
      <c r="E13612" s="88">
        <f>INDEX(매칭테이블!C:D,MATCH(RD!G13612,매칭테이블!D:D,0),1)</f>
        <v/>
      </c>
      <c r="F13612" s="94" t="inlineStr">
        <is>
          <t>카페24</t>
        </is>
      </c>
      <c r="G13612" s="94" t="inlineStr">
        <is>
          <t>어성초 77% 패드옵션=어성초 77 클리어 패드 3개-35% off (무료배송)</t>
        </is>
      </c>
      <c r="K13612" s="94" t="n">
        <v>6</v>
      </c>
      <c r="L13612" s="88" t="n">
        <v>201208</v>
      </c>
      <c r="M13612" s="88">
        <f>VLOOKUP($Q13612,매칭테이블!$F:$I,2,0)*K13612</f>
        <v/>
      </c>
      <c r="N13612" s="88">
        <f>M13612-M13612*VLOOKUP($Q13612,매칭테이블!$F:$I,3,0)</f>
        <v/>
      </c>
      <c r="O13612" s="88">
        <f>VLOOKUP($Q13612,매칭테이블!$F:$I,4,0)*K13612</f>
        <v/>
      </c>
      <c r="P13612" s="152">
        <f>M13612/1.1</f>
        <v/>
      </c>
      <c r="Q13612" s="88">
        <f>F13612&amp;E13612&amp;G13612&amp;L13612</f>
        <v/>
      </c>
    </row>
    <row r="13613">
      <c r="B13613" s="128" t="n">
        <v>44209</v>
      </c>
      <c r="C13613" s="88">
        <f>TEXT(B13613,"aaa")</f>
        <v/>
      </c>
      <c r="D13613" s="94" t="n"/>
      <c r="E13613" s="88">
        <f>INDEX(매칭테이블!C:D,MATCH(RD!G13613,매칭테이블!D:D,0),1)</f>
        <v/>
      </c>
      <c r="F13613" s="94" t="inlineStr">
        <is>
          <t>카페24</t>
        </is>
      </c>
      <c r="G13613" s="94" t="inlineStr">
        <is>
          <t>어성초 77% 패드옵션=어성초77토너1개+어성초77패드1개-30% off (무료배송)</t>
        </is>
      </c>
      <c r="K13613" s="94" t="n">
        <v>17</v>
      </c>
      <c r="L13613" s="88" t="n">
        <v>201208</v>
      </c>
      <c r="M13613" s="88">
        <f>VLOOKUP($Q13613,매칭테이블!$F:$I,2,0)*K13613</f>
        <v/>
      </c>
      <c r="N13613" s="88">
        <f>M13613-M13613*VLOOKUP($Q13613,매칭테이블!$F:$I,3,0)</f>
        <v/>
      </c>
      <c r="O13613" s="88">
        <f>VLOOKUP($Q13613,매칭테이블!$F:$I,4,0)*K13613</f>
        <v/>
      </c>
      <c r="P13613" s="152">
        <f>M13613/1.1</f>
        <v/>
      </c>
      <c r="Q13613" s="88">
        <f>F13613&amp;E13613&amp;G13613&amp;L13613</f>
        <v/>
      </c>
    </row>
    <row r="13614">
      <c r="B13614" s="128" t="n">
        <v>44209</v>
      </c>
      <c r="C13614" s="88">
        <f>TEXT(B13614,"aaa")</f>
        <v/>
      </c>
      <c r="D13614" s="94" t="n"/>
      <c r="E13614" s="88">
        <f>INDEX(매칭테이블!C:D,MATCH(RD!G13614,매칭테이블!D:D,0),1)</f>
        <v/>
      </c>
      <c r="F13614" s="94" t="inlineStr">
        <is>
          <t>카페24</t>
        </is>
      </c>
      <c r="G13614" s="94" t="inlineStr">
        <is>
          <t>어성초 78 수딩 크림</t>
        </is>
      </c>
      <c r="K13614" s="94" t="n">
        <v>8</v>
      </c>
      <c r="L13614" s="88" t="n">
        <v>201208</v>
      </c>
      <c r="M13614" s="88">
        <f>VLOOKUP($Q13614,매칭테이블!$F:$I,2,0)*K13614</f>
        <v/>
      </c>
      <c r="N13614" s="88">
        <f>M13614-M13614*VLOOKUP($Q13614,매칭테이블!$F:$I,3,0)</f>
        <v/>
      </c>
      <c r="O13614" s="88">
        <f>VLOOKUP($Q13614,매칭테이블!$F:$I,4,0)*K13614</f>
        <v/>
      </c>
      <c r="P13614" s="152">
        <f>M13614/1.1</f>
        <v/>
      </c>
      <c r="Q13614" s="88">
        <f>F13614&amp;E13614&amp;G13614&amp;L13614</f>
        <v/>
      </c>
    </row>
    <row r="13615">
      <c r="B13615" s="128" t="n">
        <v>44209</v>
      </c>
      <c r="C13615" s="88">
        <f>TEXT(B13615,"aaa")</f>
        <v/>
      </c>
      <c r="D13615" s="94" t="n"/>
      <c r="E13615" s="88">
        <f>INDEX(매칭테이블!C:D,MATCH(RD!G13615,매칭테이블!D:D,0),1)</f>
        <v/>
      </c>
      <c r="F13615" s="94" t="inlineStr">
        <is>
          <t>카페24</t>
        </is>
      </c>
      <c r="G13615" s="94" t="inlineStr">
        <is>
          <t>어성초 78 수딩 크림</t>
        </is>
      </c>
      <c r="K13615" s="94" t="n">
        <v>8</v>
      </c>
      <c r="L13615" s="88" t="n">
        <v>201208</v>
      </c>
      <c r="M13615" s="88">
        <f>VLOOKUP($Q13615,매칭테이블!$F:$I,2,0)*K13615</f>
        <v/>
      </c>
      <c r="N13615" s="88">
        <f>M13615-M13615*VLOOKUP($Q13615,매칭테이블!$F:$I,3,0)</f>
        <v/>
      </c>
      <c r="O13615" s="88">
        <f>VLOOKUP($Q13615,매칭테이블!$F:$I,4,0)*K13615</f>
        <v/>
      </c>
      <c r="P13615" s="152">
        <f>M13615/1.1</f>
        <v/>
      </c>
      <c r="Q13615" s="88">
        <f>F13615&amp;E13615&amp;G13615&amp;L13615</f>
        <v/>
      </c>
    </row>
    <row r="13616">
      <c r="B13616" s="128" t="n">
        <v>44209</v>
      </c>
      <c r="C13616" s="88">
        <f>TEXT(B13616,"aaa")</f>
        <v/>
      </c>
      <c r="D13616" s="94" t="n"/>
      <c r="E13616" s="88">
        <f>INDEX(매칭테이블!C:D,MATCH(RD!G13616,매칭테이블!D:D,0),1)</f>
        <v/>
      </c>
      <c r="F13616" s="94" t="inlineStr">
        <is>
          <t>카페24</t>
        </is>
      </c>
      <c r="G13616" s="94" t="inlineStr">
        <is>
          <t>어성초 80 수분 진정 앰플앰플=어성초 80 앰플 1개-15%off</t>
        </is>
      </c>
      <c r="K13616" s="94" t="n">
        <v>22</v>
      </c>
      <c r="L13616" s="88" t="n">
        <v>201208</v>
      </c>
      <c r="M13616" s="88">
        <f>VLOOKUP($Q13616,매칭테이블!$F:$I,2,0)*K13616</f>
        <v/>
      </c>
      <c r="N13616" s="88">
        <f>M13616-M13616*VLOOKUP($Q13616,매칭테이블!$F:$I,3,0)</f>
        <v/>
      </c>
      <c r="O13616" s="88">
        <f>VLOOKUP($Q13616,매칭테이블!$F:$I,4,0)*K13616</f>
        <v/>
      </c>
      <c r="P13616" s="152">
        <f>M13616/1.1</f>
        <v/>
      </c>
      <c r="Q13616" s="88">
        <f>F13616&amp;E13616&amp;G13616&amp;L13616</f>
        <v/>
      </c>
    </row>
    <row r="13617">
      <c r="B13617" s="128" t="n">
        <v>44209</v>
      </c>
      <c r="C13617" s="88">
        <f>TEXT(B13617,"aaa")</f>
        <v/>
      </c>
      <c r="D13617" s="94" t="n"/>
      <c r="E13617" s="88">
        <f>INDEX(매칭테이블!C:D,MATCH(RD!G13617,매칭테이블!D:D,0),1)</f>
        <v/>
      </c>
      <c r="F13617" s="94" t="inlineStr">
        <is>
          <t>카페24</t>
        </is>
      </c>
      <c r="G13617" s="94" t="inlineStr">
        <is>
          <t>어성초 80 수분 진정 앰플앰플=어성초 80 앰플 2개-27%off (무료배송)</t>
        </is>
      </c>
      <c r="K13617" s="94" t="n">
        <v>10</v>
      </c>
      <c r="L13617" s="88" t="n">
        <v>201208</v>
      </c>
      <c r="M13617" s="88">
        <f>VLOOKUP($Q13617,매칭테이블!$F:$I,2,0)*K13617</f>
        <v/>
      </c>
      <c r="N13617" s="88">
        <f>M13617-M13617*VLOOKUP($Q13617,매칭테이블!$F:$I,3,0)</f>
        <v/>
      </c>
      <c r="O13617" s="88">
        <f>VLOOKUP($Q13617,매칭테이블!$F:$I,4,0)*K13617</f>
        <v/>
      </c>
      <c r="P13617" s="152">
        <f>M13617/1.1</f>
        <v/>
      </c>
      <c r="Q13617" s="88">
        <f>F13617&amp;E13617&amp;G13617&amp;L13617</f>
        <v/>
      </c>
    </row>
    <row r="13618">
      <c r="B13618" s="128" t="n">
        <v>44209</v>
      </c>
      <c r="C13618" s="88">
        <f>TEXT(B13618,"aaa")</f>
        <v/>
      </c>
      <c r="D13618" s="94" t="n"/>
      <c r="E13618" s="88">
        <f>INDEX(매칭테이블!C:D,MATCH(RD!G13618,매칭테이블!D:D,0),1)</f>
        <v/>
      </c>
      <c r="F13618" s="94" t="inlineStr">
        <is>
          <t>카페24</t>
        </is>
      </c>
      <c r="G13618" s="94" t="inlineStr">
        <is>
          <t>어성초 80 수분 진정 앰플</t>
        </is>
      </c>
      <c r="K13618" s="94" t="n">
        <v>5</v>
      </c>
      <c r="L13618" s="88" t="n">
        <v>201208</v>
      </c>
      <c r="M13618" s="88">
        <f>VLOOKUP($Q13618,매칭테이블!$F:$I,2,0)*K13618</f>
        <v/>
      </c>
      <c r="N13618" s="88">
        <f>M13618-M13618*VLOOKUP($Q13618,매칭테이블!$F:$I,3,0)</f>
        <v/>
      </c>
      <c r="O13618" s="88">
        <f>VLOOKUP($Q13618,매칭테이블!$F:$I,4,0)*K13618</f>
        <v/>
      </c>
      <c r="P13618" s="152">
        <f>M13618/1.1</f>
        <v/>
      </c>
      <c r="Q13618" s="88">
        <f>F13618&amp;E13618&amp;G13618&amp;L13618</f>
        <v/>
      </c>
    </row>
    <row r="13619">
      <c r="B13619" s="128" t="n">
        <v>44209</v>
      </c>
      <c r="C13619" s="88">
        <f>TEXT(B13619,"aaa")</f>
        <v/>
      </c>
      <c r="D13619" s="94" t="n"/>
      <c r="E13619" s="88">
        <f>INDEX(매칭테이블!C:D,MATCH(RD!G13619,매칭테이블!D:D,0),1)</f>
        <v/>
      </c>
      <c r="F13619" s="94" t="inlineStr">
        <is>
          <t>카페24</t>
        </is>
      </c>
      <c r="G13619" s="94" t="inlineStr">
        <is>
          <t>어성초 아크네 바디워시옵션=어성초 아크네 바디워시 1개 -30% off</t>
        </is>
      </c>
      <c r="K13619" s="94" t="n">
        <v>4</v>
      </c>
      <c r="L13619" s="88" t="n">
        <v>201208</v>
      </c>
      <c r="M13619" s="88">
        <f>VLOOKUP($Q13619,매칭테이블!$F:$I,2,0)*K13619</f>
        <v/>
      </c>
      <c r="N13619" s="88">
        <f>M13619-M13619*VLOOKUP($Q13619,매칭테이블!$F:$I,3,0)</f>
        <v/>
      </c>
      <c r="O13619" s="88">
        <f>VLOOKUP($Q13619,매칭테이블!$F:$I,4,0)*K13619</f>
        <v/>
      </c>
      <c r="P13619" s="152">
        <f>M13619/1.1</f>
        <v/>
      </c>
      <c r="Q13619" s="88">
        <f>F13619&amp;E13619&amp;G13619&amp;L13619</f>
        <v/>
      </c>
    </row>
    <row r="13620">
      <c r="B13620" s="128" t="n">
        <v>44209</v>
      </c>
      <c r="C13620" s="88">
        <f>TEXT(B13620,"aaa")</f>
        <v/>
      </c>
      <c r="D13620" s="94" t="n"/>
      <c r="E13620" s="88">
        <f>INDEX(매칭테이블!C:D,MATCH(RD!G13620,매칭테이블!D:D,0),1)</f>
        <v/>
      </c>
      <c r="F13620" s="94" t="inlineStr">
        <is>
          <t>카페24</t>
        </is>
      </c>
      <c r="G13620" s="94" t="inlineStr">
        <is>
          <t>어성초 아크네 바디워시옵션=어성초 아크네 바디워시 2개 -35% off (무료배송)</t>
        </is>
      </c>
      <c r="K13620" s="94" t="n">
        <v>4</v>
      </c>
      <c r="L13620" s="88" t="n">
        <v>201208</v>
      </c>
      <c r="M13620" s="88">
        <f>VLOOKUP($Q13620,매칭테이블!$F:$I,2,0)*K13620</f>
        <v/>
      </c>
      <c r="N13620" s="88">
        <f>M13620-M13620*VLOOKUP($Q13620,매칭테이블!$F:$I,3,0)</f>
        <v/>
      </c>
      <c r="O13620" s="88">
        <f>VLOOKUP($Q13620,매칭테이블!$F:$I,4,0)*K13620</f>
        <v/>
      </c>
      <c r="P13620" s="152">
        <f>M13620/1.1</f>
        <v/>
      </c>
      <c r="Q13620" s="88">
        <f>F13620&amp;E13620&amp;G13620&amp;L13620</f>
        <v/>
      </c>
    </row>
    <row r="13621">
      <c r="B13621" s="128" t="n">
        <v>44209</v>
      </c>
      <c r="C13621" s="88">
        <f>TEXT(B13621,"aaa")</f>
        <v/>
      </c>
      <c r="D13621" s="94" t="n"/>
      <c r="E13621" s="88">
        <f>INDEX(매칭테이블!C:D,MATCH(RD!G13621,매칭테이블!D:D,0),1)</f>
        <v/>
      </c>
      <c r="F13621" s="94" t="inlineStr">
        <is>
          <t>카페24</t>
        </is>
      </c>
      <c r="G13621" s="94" t="inlineStr">
        <is>
          <t>어성초 약산성 클렌징폼클렌징폼=어성초 약산성 클렌징폼 1개 -19%off</t>
        </is>
      </c>
      <c r="K13621" s="94" t="n">
        <v>27</v>
      </c>
      <c r="L13621" s="88" t="n">
        <v>201208</v>
      </c>
      <c r="M13621" s="88">
        <f>VLOOKUP($Q13621,매칭테이블!$F:$I,2,0)*K13621</f>
        <v/>
      </c>
      <c r="N13621" s="88">
        <f>M13621-M13621*VLOOKUP($Q13621,매칭테이블!$F:$I,3,0)</f>
        <v/>
      </c>
      <c r="O13621" s="88">
        <f>VLOOKUP($Q13621,매칭테이블!$F:$I,4,0)*K13621</f>
        <v/>
      </c>
      <c r="P13621" s="152">
        <f>M13621/1.1</f>
        <v/>
      </c>
      <c r="Q13621" s="88">
        <f>F13621&amp;E13621&amp;G13621&amp;L13621</f>
        <v/>
      </c>
    </row>
    <row r="13622">
      <c r="B13622" s="128" t="n">
        <v>44209</v>
      </c>
      <c r="C13622" s="88">
        <f>TEXT(B13622,"aaa")</f>
        <v/>
      </c>
      <c r="D13622" s="94" t="n"/>
      <c r="E13622" s="88">
        <f>INDEX(매칭테이블!C:D,MATCH(RD!G13622,매칭테이블!D:D,0),1)</f>
        <v/>
      </c>
      <c r="F13622" s="94" t="inlineStr">
        <is>
          <t>카페24</t>
        </is>
      </c>
      <c r="G13622" s="94" t="inlineStr">
        <is>
          <t>어성초 약산성 클렌징폼클렌징폼=어성초 약산성 클렌징폼 2개 -25%off</t>
        </is>
      </c>
      <c r="K13622" s="94" t="n">
        <v>6</v>
      </c>
      <c r="L13622" s="88" t="n">
        <v>201208</v>
      </c>
      <c r="M13622" s="88">
        <f>VLOOKUP($Q13622,매칭테이블!$F:$I,2,0)*K13622</f>
        <v/>
      </c>
      <c r="N13622" s="88">
        <f>M13622-M13622*VLOOKUP($Q13622,매칭테이블!$F:$I,3,0)</f>
        <v/>
      </c>
      <c r="O13622" s="88">
        <f>VLOOKUP($Q13622,매칭테이블!$F:$I,4,0)*K13622</f>
        <v/>
      </c>
      <c r="P13622" s="152">
        <f>M13622/1.1</f>
        <v/>
      </c>
      <c r="Q13622" s="88">
        <f>F13622&amp;E13622&amp;G13622&amp;L13622</f>
        <v/>
      </c>
    </row>
    <row r="13623">
      <c r="B13623" s="128" t="n">
        <v>44209</v>
      </c>
      <c r="C13623" s="88">
        <f>TEXT(B13623,"aaa")</f>
        <v/>
      </c>
      <c r="D13623" s="94" t="n"/>
      <c r="E13623" s="88">
        <f>INDEX(매칭테이블!C:D,MATCH(RD!G13623,매칭테이블!D:D,0),1)</f>
        <v/>
      </c>
      <c r="F13623" s="94" t="inlineStr">
        <is>
          <t>카페24</t>
        </is>
      </c>
      <c r="G13623" s="94" t="inlineStr">
        <is>
          <t>어성초 약산성 클렌징폼클렌징폼=어성초 약산성 클렌징폼 3개 -31%off (무료배송)</t>
        </is>
      </c>
      <c r="K13623" s="94" t="n">
        <v>3</v>
      </c>
      <c r="L13623" s="88" t="n">
        <v>201208</v>
      </c>
      <c r="M13623" s="88">
        <f>VLOOKUP($Q13623,매칭테이블!$F:$I,2,0)*K13623</f>
        <v/>
      </c>
      <c r="N13623" s="88">
        <f>M13623-M13623*VLOOKUP($Q13623,매칭테이블!$F:$I,3,0)</f>
        <v/>
      </c>
      <c r="O13623" s="88">
        <f>VLOOKUP($Q13623,매칭테이블!$F:$I,4,0)*K13623</f>
        <v/>
      </c>
      <c r="P13623" s="152">
        <f>M13623/1.1</f>
        <v/>
      </c>
      <c r="Q13623" s="88">
        <f>F13623&amp;E13623&amp;G13623&amp;L13623</f>
        <v/>
      </c>
    </row>
    <row r="13624">
      <c r="B13624" s="128" t="n">
        <v>44209</v>
      </c>
      <c r="C13624" s="88">
        <f>TEXT(B13624,"aaa")</f>
        <v/>
      </c>
      <c r="D13624" s="94" t="n"/>
      <c r="E13624" s="88">
        <f>INDEX(매칭테이블!C:D,MATCH(RD!G13624,매칭테이블!D:D,0),1)</f>
        <v/>
      </c>
      <c r="F13624" s="94" t="inlineStr">
        <is>
          <t>카페24</t>
        </is>
      </c>
      <c r="G13624" s="94" t="inlineStr">
        <is>
          <t>어성초 크림마스크 나이트 솔루션옵션=어성초 크림마스크 나이트 솔루션 1장</t>
        </is>
      </c>
      <c r="K13624" s="94" t="n">
        <v>1</v>
      </c>
      <c r="L13624" s="88" t="n">
        <v>201208</v>
      </c>
      <c r="M13624" s="88">
        <f>VLOOKUP($Q13624,매칭테이블!$F:$I,2,0)*K13624</f>
        <v/>
      </c>
      <c r="N13624" s="88">
        <f>M13624-M13624*VLOOKUP($Q13624,매칭테이블!$F:$I,3,0)</f>
        <v/>
      </c>
      <c r="O13624" s="88">
        <f>VLOOKUP($Q13624,매칭테이블!$F:$I,4,0)*K13624</f>
        <v/>
      </c>
      <c r="P13624" s="152">
        <f>M13624/1.1</f>
        <v/>
      </c>
      <c r="Q13624" s="88">
        <f>F13624&amp;E13624&amp;G13624&amp;L13624</f>
        <v/>
      </c>
    </row>
    <row r="13625">
      <c r="B13625" s="128" t="n">
        <v>44209</v>
      </c>
      <c r="C13625" s="88">
        <f>TEXT(B13625,"aaa")</f>
        <v/>
      </c>
      <c r="D13625" s="94" t="n"/>
      <c r="E13625" s="88">
        <f>INDEX(매칭테이블!C:D,MATCH(RD!G13625,매칭테이블!D:D,0),1)</f>
        <v/>
      </c>
      <c r="F13625" s="94" t="inlineStr">
        <is>
          <t>카페24</t>
        </is>
      </c>
      <c r="G13625" s="94" t="inlineStr">
        <is>
          <t>어성초 크림마스크 나이트 솔루션옵션=어성초 크림마스크 나이트 솔루션 10장 (-50%)</t>
        </is>
      </c>
      <c r="K13625" s="94" t="n">
        <v>2</v>
      </c>
      <c r="L13625" s="88" t="n">
        <v>201208</v>
      </c>
      <c r="M13625" s="88">
        <f>VLOOKUP($Q13625,매칭테이블!$F:$I,2,0)*K13625</f>
        <v/>
      </c>
      <c r="N13625" s="88">
        <f>M13625-M13625*VLOOKUP($Q13625,매칭테이블!$F:$I,3,0)</f>
        <v/>
      </c>
      <c r="O13625" s="88">
        <f>VLOOKUP($Q13625,매칭테이블!$F:$I,4,0)*K13625</f>
        <v/>
      </c>
      <c r="P13625" s="152">
        <f>M13625/1.1</f>
        <v/>
      </c>
      <c r="Q13625" s="88">
        <f>F13625&amp;E13625&amp;G13625&amp;L13625</f>
        <v/>
      </c>
    </row>
    <row r="13626">
      <c r="B13626" s="128" t="n">
        <v>44209</v>
      </c>
      <c r="C13626" s="88">
        <f>TEXT(B13626,"aaa")</f>
        <v/>
      </c>
      <c r="D13626" s="94" t="n"/>
      <c r="E13626" s="88">
        <f>INDEX(매칭테이블!C:D,MATCH(RD!G13626,매칭테이블!D:D,0),1)</f>
        <v/>
      </c>
      <c r="F13626" s="94" t="inlineStr">
        <is>
          <t>카페24</t>
        </is>
      </c>
      <c r="G13626" s="94" t="inlineStr">
        <is>
          <t>청귤 비타 잡티 마스크옵션=청귤 비타 잡티 마스크 10장(50% off)</t>
        </is>
      </c>
      <c r="K13626" s="94" t="n">
        <v>8</v>
      </c>
      <c r="L13626" s="88" t="n">
        <v>201208</v>
      </c>
      <c r="M13626" s="88">
        <f>VLOOKUP($Q13626,매칭테이블!$F:$I,2,0)*K13626</f>
        <v/>
      </c>
      <c r="N13626" s="88">
        <f>M13626-M13626*VLOOKUP($Q13626,매칭테이블!$F:$I,3,0)</f>
        <v/>
      </c>
      <c r="O13626" s="88">
        <f>VLOOKUP($Q13626,매칭테이블!$F:$I,4,0)*K13626</f>
        <v/>
      </c>
      <c r="P13626" s="152">
        <f>M13626/1.1</f>
        <v/>
      </c>
      <c r="Q13626" s="88">
        <f>F13626&amp;E13626&amp;G13626&amp;L13626</f>
        <v/>
      </c>
    </row>
    <row r="13627">
      <c r="B13627" s="128" t="n">
        <v>44209</v>
      </c>
      <c r="C13627" s="88">
        <f>TEXT(B13627,"aaa")</f>
        <v/>
      </c>
      <c r="D13627" s="94" t="n"/>
      <c r="E13627" s="88">
        <f>INDEX(매칭테이블!C:D,MATCH(RD!G13627,매칭테이블!D:D,0),1)</f>
        <v/>
      </c>
      <c r="F13627" s="94" t="inlineStr">
        <is>
          <t>카페24</t>
        </is>
      </c>
      <c r="G13627" s="94" t="inlineStr">
        <is>
          <t>촉촉 스킨팩 화장솜</t>
        </is>
      </c>
      <c r="K13627" s="94" t="n">
        <v>46</v>
      </c>
      <c r="L13627" s="88" t="n">
        <v>201208</v>
      </c>
      <c r="M13627" s="88">
        <f>VLOOKUP($Q13627,매칭테이블!$F:$I,2,0)*K13627</f>
        <v/>
      </c>
      <c r="N13627" s="88">
        <f>M13627-M13627*VLOOKUP($Q13627,매칭테이블!$F:$I,3,0)</f>
        <v/>
      </c>
      <c r="O13627" s="88">
        <f>VLOOKUP($Q13627,매칭테이블!$F:$I,4,0)*K13627</f>
        <v/>
      </c>
      <c r="P13627" s="152">
        <f>M13627/1.1</f>
        <v/>
      </c>
      <c r="Q13627" s="88">
        <f>F13627&amp;E13627&amp;G13627&amp;L13627</f>
        <v/>
      </c>
    </row>
    <row r="13628">
      <c r="B13628" s="128" t="n">
        <v>44209</v>
      </c>
      <c r="C13628" s="88">
        <f>TEXT(B13628,"aaa")</f>
        <v/>
      </c>
      <c r="D13628" s="94" t="n"/>
      <c r="E13628" s="88">
        <f>INDEX(매칭테이블!C:D,MATCH(RD!G13628,매칭테이블!D:D,0),1)</f>
        <v/>
      </c>
      <c r="F13628" s="94" t="inlineStr">
        <is>
          <t>카페24</t>
        </is>
      </c>
      <c r="G13628" s="94" t="inlineStr">
        <is>
          <t>촉촉 스킨팩 화장솜</t>
        </is>
      </c>
      <c r="K13628" s="94" t="n">
        <v>1</v>
      </c>
      <c r="L13628" s="88" t="n">
        <v>201208</v>
      </c>
      <c r="M13628" s="88">
        <f>VLOOKUP($Q13628,매칭테이블!$F:$I,2,0)*K13628</f>
        <v/>
      </c>
      <c r="N13628" s="88">
        <f>M13628-M13628*VLOOKUP($Q13628,매칭테이블!$F:$I,3,0)</f>
        <v/>
      </c>
      <c r="O13628" s="88">
        <f>VLOOKUP($Q13628,매칭테이블!$F:$I,4,0)*K13628</f>
        <v/>
      </c>
      <c r="P13628" s="152">
        <f>M13628/1.1</f>
        <v/>
      </c>
      <c r="Q13628" s="88">
        <f>F13628&amp;E13628&amp;G13628&amp;L13628</f>
        <v/>
      </c>
    </row>
    <row r="13629">
      <c r="B13629" s="128" t="n">
        <v>44210</v>
      </c>
      <c r="C13629" s="88">
        <f>TEXT(B13629,"aaa")</f>
        <v/>
      </c>
      <c r="D13629" s="94" t="n"/>
      <c r="E13629" s="88">
        <f>INDEX(매칭테이블!C:D,MATCH(RD!G13629,매칭테이블!D:D,0),1)</f>
        <v/>
      </c>
      <c r="F13629" s="94" t="inlineStr">
        <is>
          <t>W컨셉</t>
        </is>
      </c>
      <c r="G13629" s="94" t="inlineStr">
        <is>
          <t>어성초 77토너 HEARTLEAF 77% SOOTHING TONER 250ml250ml</t>
        </is>
      </c>
      <c r="K13629" s="94" t="n">
        <v>1</v>
      </c>
      <c r="L13629" s="88" t="n">
        <v>201208</v>
      </c>
      <c r="M13629" s="88">
        <f>VLOOKUP($Q13629,매칭테이블!$F:$I,2,0)*K13629</f>
        <v/>
      </c>
      <c r="N13629" s="88">
        <f>M13629-M13629*VLOOKUP($Q13629,매칭테이블!$F:$I,3,0)</f>
        <v/>
      </c>
      <c r="O13629" s="88">
        <f>VLOOKUP($Q13629,매칭테이블!$F:$I,4,0)*K13629</f>
        <v/>
      </c>
      <c r="P13629" s="152">
        <f>M13629/1.1</f>
        <v/>
      </c>
      <c r="Q13629" s="88">
        <f>F13629&amp;E13629&amp;G13629&amp;L13629</f>
        <v/>
      </c>
    </row>
    <row r="13630">
      <c r="B13630" s="128" t="n">
        <v>44210</v>
      </c>
      <c r="C13630" s="88">
        <f>TEXT(B13630,"aaa")</f>
        <v/>
      </c>
      <c r="D13630" s="94" t="n"/>
      <c r="E13630" s="88">
        <f>INDEX(매칭테이블!C:D,MATCH(RD!G13630,매칭테이블!D:D,0),1)</f>
        <v/>
      </c>
      <c r="F13630" s="94" t="inlineStr">
        <is>
          <t>아누아 CS</t>
        </is>
      </c>
      <c r="G13630" s="94" t="inlineStr">
        <is>
          <t>어성초 77 토너 250ml</t>
        </is>
      </c>
      <c r="K13630" s="94" t="n">
        <v>6</v>
      </c>
      <c r="L13630" s="88" t="n">
        <v>201208</v>
      </c>
      <c r="M13630" s="88">
        <f>VLOOKUP($Q13630,매칭테이블!$F:$I,2,0)*K13630</f>
        <v/>
      </c>
      <c r="N13630" s="88">
        <f>M13630-M13630*VLOOKUP($Q13630,매칭테이블!$F:$I,3,0)</f>
        <v/>
      </c>
      <c r="O13630" s="88">
        <f>VLOOKUP($Q13630,매칭테이블!$F:$I,4,0)*K13630</f>
        <v/>
      </c>
      <c r="P13630" s="152">
        <f>M13630/1.1</f>
        <v/>
      </c>
      <c r="Q13630" s="88">
        <f>F13630&amp;E13630&amp;G13630&amp;L13630</f>
        <v/>
      </c>
    </row>
    <row r="13631">
      <c r="B13631" s="128" t="n">
        <v>44210</v>
      </c>
      <c r="C13631" s="88">
        <f>TEXT(B13631,"aaa")</f>
        <v/>
      </c>
      <c r="D13631" s="94" t="n"/>
      <c r="E13631" s="88">
        <f>INDEX(매칭테이블!C:D,MATCH(RD!G13631,매칭테이블!D:D,0),1)</f>
        <v/>
      </c>
      <c r="F13631" s="94" t="inlineStr">
        <is>
          <t>카페24</t>
        </is>
      </c>
      <c r="G13631" s="94" t="inlineStr">
        <is>
          <t>5 제로 무기자차 선크림옵션=5제로 무기자차 선크림 1개-20% off</t>
        </is>
      </c>
      <c r="K13631" s="94" t="n">
        <v>2</v>
      </c>
      <c r="L13631" s="88" t="n">
        <v>201208</v>
      </c>
      <c r="M13631" s="88">
        <f>VLOOKUP($Q13631,매칭테이블!$F:$I,2,0)*K13631</f>
        <v/>
      </c>
      <c r="N13631" s="88">
        <f>M13631-M13631*VLOOKUP($Q13631,매칭테이블!$F:$I,3,0)</f>
        <v/>
      </c>
      <c r="O13631" s="88">
        <f>VLOOKUP($Q13631,매칭테이블!$F:$I,4,0)*K13631</f>
        <v/>
      </c>
      <c r="P13631" s="152">
        <f>M13631/1.1</f>
        <v/>
      </c>
      <c r="Q13631" s="88">
        <f>F13631&amp;E13631&amp;G13631&amp;L13631</f>
        <v/>
      </c>
    </row>
    <row r="13632">
      <c r="B13632" s="128" t="n">
        <v>44210</v>
      </c>
      <c r="C13632" s="88">
        <f>TEXT(B13632,"aaa")</f>
        <v/>
      </c>
      <c r="D13632" s="94" t="n"/>
      <c r="E13632" s="88">
        <f>INDEX(매칭테이블!C:D,MATCH(RD!G13632,매칭테이블!D:D,0),1)</f>
        <v/>
      </c>
      <c r="F13632" s="94" t="inlineStr">
        <is>
          <t>카페24</t>
        </is>
      </c>
      <c r="G13632" s="94" t="inlineStr">
        <is>
          <t>[수분 보충 세트] 어성초 77 토너 + 어성초 70 로션옵션=어성초 77 토너 250ml + 어성초 70 로션 200ml -30%</t>
        </is>
      </c>
      <c r="K13632" s="94" t="n">
        <v>72</v>
      </c>
      <c r="L13632" s="88" t="n">
        <v>201208</v>
      </c>
      <c r="M13632" s="88">
        <f>VLOOKUP($Q13632,매칭테이블!$F:$I,2,0)*K13632</f>
        <v/>
      </c>
      <c r="N13632" s="88">
        <f>M13632-M13632*VLOOKUP($Q13632,매칭테이블!$F:$I,3,0)</f>
        <v/>
      </c>
      <c r="O13632" s="88">
        <f>VLOOKUP($Q13632,매칭테이블!$F:$I,4,0)*K13632</f>
        <v/>
      </c>
      <c r="P13632" s="152">
        <f>M13632/1.1</f>
        <v/>
      </c>
      <c r="Q13632" s="88">
        <f>F13632&amp;E13632&amp;G13632&amp;L13632</f>
        <v/>
      </c>
    </row>
    <row r="13633">
      <c r="B13633" s="128" t="n">
        <v>44210</v>
      </c>
      <c r="C13633" s="88">
        <f>TEXT(B13633,"aaa")</f>
        <v/>
      </c>
      <c r="D13633" s="94" t="n"/>
      <c r="E13633" s="88">
        <f>INDEX(매칭테이블!C:D,MATCH(RD!G13633,매칭테이블!D:D,0),1)</f>
        <v/>
      </c>
      <c r="F13633" s="94" t="inlineStr">
        <is>
          <t>카페24</t>
        </is>
      </c>
      <c r="G13633" s="94" t="inlineStr">
        <is>
          <t>[어성초 진정 패키지 세트] 대용량 토너 + 앰플 + 수딩 크림 + 마스크팩 10장</t>
        </is>
      </c>
      <c r="K13633" s="94" t="n">
        <v>2</v>
      </c>
      <c r="L13633" s="88" t="n">
        <v>201208</v>
      </c>
      <c r="M13633" s="88">
        <f>VLOOKUP($Q13633,매칭테이블!$F:$I,2,0)*K13633</f>
        <v/>
      </c>
      <c r="N13633" s="88">
        <f>M13633-M13633*VLOOKUP($Q13633,매칭테이블!$F:$I,3,0)</f>
        <v/>
      </c>
      <c r="O13633" s="88">
        <f>VLOOKUP($Q13633,매칭테이블!$F:$I,4,0)*K13633</f>
        <v/>
      </c>
      <c r="P13633" s="152">
        <f>M13633/1.1</f>
        <v/>
      </c>
      <c r="Q13633" s="88">
        <f>F13633&amp;E13633&amp;G13633&amp;L13633</f>
        <v/>
      </c>
    </row>
    <row r="13634">
      <c r="B13634" s="128" t="n">
        <v>44210</v>
      </c>
      <c r="C13634" s="88">
        <f>TEXT(B13634,"aaa")</f>
        <v/>
      </c>
      <c r="D13634" s="94" t="n"/>
      <c r="E13634" s="88">
        <f>INDEX(매칭테이블!C:D,MATCH(RD!G13634,매칭테이블!D:D,0),1)</f>
        <v/>
      </c>
      <c r="F13634" s="94" t="inlineStr">
        <is>
          <t>카페24</t>
        </is>
      </c>
      <c r="G13634" s="94" t="inlineStr">
        <is>
          <t>대용량 어성초 77 수딩 토너 500ml</t>
        </is>
      </c>
      <c r="K13634" s="94" t="n">
        <v>28</v>
      </c>
      <c r="L13634" s="88" t="n">
        <v>201208</v>
      </c>
      <c r="M13634" s="88">
        <f>VLOOKUP($Q13634,매칭테이블!$F:$I,2,0)*K13634</f>
        <v/>
      </c>
      <c r="N13634" s="88">
        <f>M13634-M13634*VLOOKUP($Q13634,매칭테이블!$F:$I,3,0)</f>
        <v/>
      </c>
      <c r="O13634" s="88">
        <f>VLOOKUP($Q13634,매칭테이블!$F:$I,4,0)*K13634</f>
        <v/>
      </c>
      <c r="P13634" s="152">
        <f>M13634/1.1</f>
        <v/>
      </c>
      <c r="Q13634" s="88">
        <f>F13634&amp;E13634&amp;G13634&amp;L13634</f>
        <v/>
      </c>
    </row>
    <row r="13635">
      <c r="B13635" s="128" t="n">
        <v>44210</v>
      </c>
      <c r="C13635" s="88">
        <f>TEXT(B13635,"aaa")</f>
        <v/>
      </c>
      <c r="D13635" s="94" t="n"/>
      <c r="E13635" s="88">
        <f>INDEX(매칭테이블!C:D,MATCH(RD!G13635,매칭테이블!D:D,0),1)</f>
        <v/>
      </c>
      <c r="F13635" s="94" t="inlineStr">
        <is>
          <t>카페24</t>
        </is>
      </c>
      <c r="G13635" s="94" t="inlineStr">
        <is>
          <t>대용량 어성초 77 수딩 토너 500ml옵션=대용량 어성초 77 토너 1개 - 27% OFF</t>
        </is>
      </c>
      <c r="K13635" s="94" t="n">
        <v>10</v>
      </c>
      <c r="L13635" s="88" t="n">
        <v>201208</v>
      </c>
      <c r="M13635" s="88">
        <f>VLOOKUP($Q13635,매칭테이블!$F:$I,2,0)*K13635</f>
        <v/>
      </c>
      <c r="N13635" s="88">
        <f>M13635-M13635*VLOOKUP($Q13635,매칭테이블!$F:$I,3,0)</f>
        <v/>
      </c>
      <c r="O13635" s="88">
        <f>VLOOKUP($Q13635,매칭테이블!$F:$I,4,0)*K13635</f>
        <v/>
      </c>
      <c r="P13635" s="152">
        <f>M13635/1.1</f>
        <v/>
      </c>
      <c r="Q13635" s="88">
        <f>F13635&amp;E13635&amp;G13635&amp;L13635</f>
        <v/>
      </c>
    </row>
    <row r="13636">
      <c r="B13636" s="128" t="n">
        <v>44210</v>
      </c>
      <c r="C13636" s="88">
        <f>TEXT(B13636,"aaa")</f>
        <v/>
      </c>
      <c r="D13636" s="94" t="n"/>
      <c r="E13636" s="88">
        <f>INDEX(매칭테이블!C:D,MATCH(RD!G13636,매칭테이블!D:D,0),1)</f>
        <v/>
      </c>
      <c r="F13636" s="94" t="inlineStr">
        <is>
          <t>카페24</t>
        </is>
      </c>
      <c r="G13636" s="94" t="inlineStr">
        <is>
          <t>대용량 어성초 77 수딩 토너 500ml화장솜(선택)=촉촉 스킨팩 화장솜</t>
        </is>
      </c>
      <c r="K13636" s="94" t="n">
        <v>1</v>
      </c>
      <c r="L13636" s="88" t="n">
        <v>201208</v>
      </c>
      <c r="M13636" s="88">
        <f>VLOOKUP($Q13636,매칭테이블!$F:$I,2,0)*K13636</f>
        <v/>
      </c>
      <c r="N13636" s="88">
        <f>M13636-M13636*VLOOKUP($Q13636,매칭테이블!$F:$I,3,0)</f>
        <v/>
      </c>
      <c r="O13636" s="88">
        <f>VLOOKUP($Q13636,매칭테이블!$F:$I,4,0)*K13636</f>
        <v/>
      </c>
      <c r="P13636" s="152">
        <f>M13636/1.1</f>
        <v/>
      </c>
      <c r="Q13636" s="88">
        <f>F13636&amp;E13636&amp;G13636&amp;L13636</f>
        <v/>
      </c>
    </row>
    <row r="13637">
      <c r="B13637" s="128" t="n">
        <v>44210</v>
      </c>
      <c r="C13637" s="88">
        <f>TEXT(B13637,"aaa")</f>
        <v/>
      </c>
      <c r="D13637" s="94" t="n"/>
      <c r="E13637" s="88">
        <f>INDEX(매칭테이블!C:D,MATCH(RD!G13637,매칭테이블!D:D,0),1)</f>
        <v/>
      </c>
      <c r="F13637" s="94" t="inlineStr">
        <is>
          <t>카페24</t>
        </is>
      </c>
      <c r="G13637" s="94" t="inlineStr">
        <is>
          <t>아누아 어성초 77 수딩 토너토너(필수)=어성초 77 토너 2개-30% off (무료배송)</t>
        </is>
      </c>
      <c r="K13637" s="94" t="n">
        <v>2</v>
      </c>
      <c r="L13637" s="88" t="n">
        <v>201208</v>
      </c>
      <c r="M13637" s="88">
        <f>VLOOKUP($Q13637,매칭테이블!$F:$I,2,0)*K13637</f>
        <v/>
      </c>
      <c r="N13637" s="88">
        <f>M13637-M13637*VLOOKUP($Q13637,매칭테이블!$F:$I,3,0)</f>
        <v/>
      </c>
      <c r="O13637" s="88">
        <f>VLOOKUP($Q13637,매칭테이블!$F:$I,4,0)*K13637</f>
        <v/>
      </c>
      <c r="P13637" s="152">
        <f>M13637/1.1</f>
        <v/>
      </c>
      <c r="Q13637" s="88">
        <f>F13637&amp;E13637&amp;G13637&amp;L13637</f>
        <v/>
      </c>
    </row>
    <row r="13638">
      <c r="B13638" s="128" t="n">
        <v>44210</v>
      </c>
      <c r="C13638" s="88">
        <f>TEXT(B13638,"aaa")</f>
        <v/>
      </c>
      <c r="D13638" s="94" t="n"/>
      <c r="E13638" s="88">
        <f>INDEX(매칭테이블!C:D,MATCH(RD!G13638,매칭테이블!D:D,0),1)</f>
        <v/>
      </c>
      <c r="F13638" s="94" t="inlineStr">
        <is>
          <t>카페24</t>
        </is>
      </c>
      <c r="G13638" s="94" t="inlineStr">
        <is>
          <t>아누아 어성초 77 수딩 토너화장솜(선택)=촉촉 스킨팩 화장솜</t>
        </is>
      </c>
      <c r="K13638" s="94" t="n">
        <v>1</v>
      </c>
      <c r="L13638" s="88" t="n">
        <v>201208</v>
      </c>
      <c r="M13638" s="88">
        <f>VLOOKUP($Q13638,매칭테이블!$F:$I,2,0)*K13638</f>
        <v/>
      </c>
      <c r="N13638" s="88">
        <f>M13638-M13638*VLOOKUP($Q13638,매칭테이블!$F:$I,3,0)</f>
        <v/>
      </c>
      <c r="O13638" s="88">
        <f>VLOOKUP($Q13638,매칭테이블!$F:$I,4,0)*K13638</f>
        <v/>
      </c>
      <c r="P13638" s="152">
        <f>M13638/1.1</f>
        <v/>
      </c>
      <c r="Q13638" s="88">
        <f>F13638&amp;E13638&amp;G13638&amp;L13638</f>
        <v/>
      </c>
    </row>
    <row r="13639">
      <c r="B13639" s="128" t="n">
        <v>44210</v>
      </c>
      <c r="C13639" s="88">
        <f>TEXT(B13639,"aaa")</f>
        <v/>
      </c>
      <c r="D13639" s="94" t="n"/>
      <c r="E13639" s="88">
        <f>INDEX(매칭테이블!C:D,MATCH(RD!G13639,매칭테이블!D:D,0),1)</f>
        <v/>
      </c>
      <c r="F13639" s="94" t="inlineStr">
        <is>
          <t>카페24</t>
        </is>
      </c>
      <c r="G13639" s="94" t="inlineStr">
        <is>
          <t>어성초 70 데일리 릴리프 로션로션=어성초 70 데일리 릴리프 로션 1개 -20% off</t>
        </is>
      </c>
      <c r="K13639" s="94" t="n">
        <v>12</v>
      </c>
      <c r="L13639" s="88" t="n">
        <v>201208</v>
      </c>
      <c r="M13639" s="88">
        <f>VLOOKUP($Q13639,매칭테이블!$F:$I,2,0)*K13639</f>
        <v/>
      </c>
      <c r="N13639" s="88">
        <f>M13639-M13639*VLOOKUP($Q13639,매칭테이블!$F:$I,3,0)</f>
        <v/>
      </c>
      <c r="O13639" s="88">
        <f>VLOOKUP($Q13639,매칭테이블!$F:$I,4,0)*K13639</f>
        <v/>
      </c>
      <c r="P13639" s="152">
        <f>M13639/1.1</f>
        <v/>
      </c>
      <c r="Q13639" s="88">
        <f>F13639&amp;E13639&amp;G13639&amp;L13639</f>
        <v/>
      </c>
    </row>
    <row r="13640">
      <c r="B13640" s="128" t="n">
        <v>44210</v>
      </c>
      <c r="C13640" s="88">
        <f>TEXT(B13640,"aaa")</f>
        <v/>
      </c>
      <c r="D13640" s="94" t="n"/>
      <c r="E13640" s="88">
        <f>INDEX(매칭테이블!C:D,MATCH(RD!G13640,매칭테이블!D:D,0),1)</f>
        <v/>
      </c>
      <c r="F13640" s="94" t="inlineStr">
        <is>
          <t>카페24</t>
        </is>
      </c>
      <c r="G13640" s="94" t="inlineStr">
        <is>
          <t>어성초 70 데일리 릴리프 로션로션=어성초 70 데일리 릴리프 로션 2개 -30% off</t>
        </is>
      </c>
      <c r="K13640" s="94" t="n">
        <v>5</v>
      </c>
      <c r="L13640" s="88" t="n">
        <v>201208</v>
      </c>
      <c r="M13640" s="88">
        <f>VLOOKUP($Q13640,매칭테이블!$F:$I,2,0)*K13640</f>
        <v/>
      </c>
      <c r="N13640" s="88">
        <f>M13640-M13640*VLOOKUP($Q13640,매칭테이블!$F:$I,3,0)</f>
        <v/>
      </c>
      <c r="O13640" s="88">
        <f>VLOOKUP($Q13640,매칭테이블!$F:$I,4,0)*K13640</f>
        <v/>
      </c>
      <c r="P13640" s="152">
        <f>M13640/1.1</f>
        <v/>
      </c>
      <c r="Q13640" s="88">
        <f>F13640&amp;E13640&amp;G13640&amp;L13640</f>
        <v/>
      </c>
    </row>
    <row r="13641">
      <c r="B13641" s="128" t="n">
        <v>44210</v>
      </c>
      <c r="C13641" s="88">
        <f>TEXT(B13641,"aaa")</f>
        <v/>
      </c>
      <c r="D13641" s="94" t="n"/>
      <c r="E13641" s="88">
        <f>INDEX(매칭테이블!C:D,MATCH(RD!G13641,매칭테이블!D:D,0),1)</f>
        <v/>
      </c>
      <c r="F13641" s="94" t="inlineStr">
        <is>
          <t>카페24</t>
        </is>
      </c>
      <c r="G13641" s="94" t="inlineStr">
        <is>
          <t>어성초 70 데일리 릴리프 로션로션=어성초 77토너 + 어성초 70 로션 수분 보충 세트 -30% off</t>
        </is>
      </c>
      <c r="K13641" s="94" t="n">
        <v>4</v>
      </c>
      <c r="L13641" s="88" t="n">
        <v>201208</v>
      </c>
      <c r="M13641" s="88">
        <f>VLOOKUP($Q13641,매칭테이블!$F:$I,2,0)*K13641</f>
        <v/>
      </c>
      <c r="N13641" s="88">
        <f>M13641-M13641*VLOOKUP($Q13641,매칭테이블!$F:$I,3,0)</f>
        <v/>
      </c>
      <c r="O13641" s="88">
        <f>VLOOKUP($Q13641,매칭테이블!$F:$I,4,0)*K13641</f>
        <v/>
      </c>
      <c r="P13641" s="152">
        <f>M13641/1.1</f>
        <v/>
      </c>
      <c r="Q13641" s="88">
        <f>F13641&amp;E13641&amp;G13641&amp;L13641</f>
        <v/>
      </c>
    </row>
    <row r="13642">
      <c r="B13642" s="128" t="n">
        <v>44210</v>
      </c>
      <c r="C13642" s="88">
        <f>TEXT(B13642,"aaa")</f>
        <v/>
      </c>
      <c r="D13642" s="94" t="n"/>
      <c r="E13642" s="88">
        <f>INDEX(매칭테이블!C:D,MATCH(RD!G13642,매칭테이블!D:D,0),1)</f>
        <v/>
      </c>
      <c r="F13642" s="94" t="inlineStr">
        <is>
          <t>카페24</t>
        </is>
      </c>
      <c r="G13642" s="94" t="inlineStr">
        <is>
          <t>어성초 70 머드 크림 마스크옵션=어성초 70 머드 크림 마스크-20% off</t>
        </is>
      </c>
      <c r="K13642" s="94" t="n">
        <v>4</v>
      </c>
      <c r="L13642" s="88" t="n">
        <v>201208</v>
      </c>
      <c r="M13642" s="88">
        <f>VLOOKUP($Q13642,매칭테이블!$F:$I,2,0)*K13642</f>
        <v/>
      </c>
      <c r="N13642" s="88">
        <f>M13642-M13642*VLOOKUP($Q13642,매칭테이블!$F:$I,3,0)</f>
        <v/>
      </c>
      <c r="O13642" s="88">
        <f>VLOOKUP($Q13642,매칭테이블!$F:$I,4,0)*K13642</f>
        <v/>
      </c>
      <c r="P13642" s="152">
        <f>M13642/1.1</f>
        <v/>
      </c>
      <c r="Q13642" s="88">
        <f>F13642&amp;E13642&amp;G13642&amp;L13642</f>
        <v/>
      </c>
    </row>
    <row r="13643">
      <c r="B13643" s="128" t="n">
        <v>44210</v>
      </c>
      <c r="C13643" s="88">
        <f>TEXT(B13643,"aaa")</f>
        <v/>
      </c>
      <c r="D13643" s="94" t="n"/>
      <c r="E13643" s="88">
        <f>INDEX(매칭테이블!C:D,MATCH(RD!G13643,매칭테이블!D:D,0),1)</f>
        <v/>
      </c>
      <c r="F13643" s="94" t="inlineStr">
        <is>
          <t>카페24</t>
        </is>
      </c>
      <c r="G13643" s="94" t="inlineStr">
        <is>
          <t>어성초 70 인텐스 카밍 크림크림=어성초 70 인텐스 카밍 크림 1개 (-20%)</t>
        </is>
      </c>
      <c r="K13643" s="94" t="n">
        <v>1</v>
      </c>
      <c r="L13643" s="88" t="n">
        <v>201208</v>
      </c>
      <c r="M13643" s="88">
        <f>VLOOKUP($Q13643,매칭테이블!$F:$I,2,0)*K13643</f>
        <v/>
      </c>
      <c r="N13643" s="88">
        <f>M13643-M13643*VLOOKUP($Q13643,매칭테이블!$F:$I,3,0)</f>
        <v/>
      </c>
      <c r="O13643" s="88">
        <f>VLOOKUP($Q13643,매칭테이블!$F:$I,4,0)*K13643</f>
        <v/>
      </c>
      <c r="P13643" s="152">
        <f>M13643/1.1</f>
        <v/>
      </c>
      <c r="Q13643" s="88">
        <f>F13643&amp;E13643&amp;G13643&amp;L13643</f>
        <v/>
      </c>
    </row>
    <row r="13644">
      <c r="B13644" s="128" t="n">
        <v>44210</v>
      </c>
      <c r="C13644" s="88">
        <f>TEXT(B13644,"aaa")</f>
        <v/>
      </c>
      <c r="D13644" s="94" t="n"/>
      <c r="E13644" s="88">
        <f>INDEX(매칭테이블!C:D,MATCH(RD!G13644,매칭테이블!D:D,0),1)</f>
        <v/>
      </c>
      <c r="F13644" s="94" t="inlineStr">
        <is>
          <t>카페24</t>
        </is>
      </c>
      <c r="G13644" s="94" t="inlineStr">
        <is>
          <t>어성초 70 인텐스 카밍 크림크림=어성초 70 인텐스 카밍 크림 2개 (-30%)</t>
        </is>
      </c>
      <c r="K13644" s="94" t="n">
        <v>2</v>
      </c>
      <c r="L13644" s="88" t="n">
        <v>201208</v>
      </c>
      <c r="M13644" s="88">
        <f>VLOOKUP($Q13644,매칭테이블!$F:$I,2,0)*K13644</f>
        <v/>
      </c>
      <c r="N13644" s="88">
        <f>M13644-M13644*VLOOKUP($Q13644,매칭테이블!$F:$I,3,0)</f>
        <v/>
      </c>
      <c r="O13644" s="88">
        <f>VLOOKUP($Q13644,매칭테이블!$F:$I,4,0)*K13644</f>
        <v/>
      </c>
      <c r="P13644" s="152">
        <f>M13644/1.1</f>
        <v/>
      </c>
      <c r="Q13644" s="88">
        <f>F13644&amp;E13644&amp;G13644&amp;L13644</f>
        <v/>
      </c>
    </row>
    <row r="13645">
      <c r="B13645" s="128" t="n">
        <v>44210</v>
      </c>
      <c r="C13645" s="88">
        <f>TEXT(B13645,"aaa")</f>
        <v/>
      </c>
      <c r="D13645" s="94" t="n"/>
      <c r="E13645" s="88">
        <f>INDEX(매칭테이블!C:D,MATCH(RD!G13645,매칭테이블!D:D,0),1)</f>
        <v/>
      </c>
      <c r="F13645" s="94" t="inlineStr">
        <is>
          <t>카페24</t>
        </is>
      </c>
      <c r="G13645" s="94" t="inlineStr">
        <is>
          <t>어성초 77 수딩 토너옵션=어성초 77 토너 1개-20% off</t>
        </is>
      </c>
      <c r="K13645" s="94" t="n">
        <v>74</v>
      </c>
      <c r="L13645" s="88" t="n">
        <v>201208</v>
      </c>
      <c r="M13645" s="88">
        <f>VLOOKUP($Q13645,매칭테이블!$F:$I,2,0)*K13645</f>
        <v/>
      </c>
      <c r="N13645" s="88">
        <f>M13645-M13645*VLOOKUP($Q13645,매칭테이블!$F:$I,3,0)</f>
        <v/>
      </c>
      <c r="O13645" s="88">
        <f>VLOOKUP($Q13645,매칭테이블!$F:$I,4,0)*K13645</f>
        <v/>
      </c>
      <c r="P13645" s="152">
        <f>M13645/1.1</f>
        <v/>
      </c>
      <c r="Q13645" s="88">
        <f>F13645&amp;E13645&amp;G13645&amp;L13645</f>
        <v/>
      </c>
    </row>
    <row r="13646">
      <c r="B13646" s="128" t="n">
        <v>44210</v>
      </c>
      <c r="C13646" s="88">
        <f>TEXT(B13646,"aaa")</f>
        <v/>
      </c>
      <c r="D13646" s="94" t="n"/>
      <c r="E13646" s="88">
        <f>INDEX(매칭테이블!C:D,MATCH(RD!G13646,매칭테이블!D:D,0),1)</f>
        <v/>
      </c>
      <c r="F13646" s="94" t="inlineStr">
        <is>
          <t>카페24</t>
        </is>
      </c>
      <c r="G13646" s="94" t="inlineStr">
        <is>
          <t>어성초 77 수딩 토너옵션=어성초 77 토너 2개-30% off (무료배송)</t>
        </is>
      </c>
      <c r="K13646" s="94" t="n">
        <v>58</v>
      </c>
      <c r="L13646" s="88" t="n">
        <v>201208</v>
      </c>
      <c r="M13646" s="88">
        <f>VLOOKUP($Q13646,매칭테이블!$F:$I,2,0)*K13646</f>
        <v/>
      </c>
      <c r="N13646" s="88">
        <f>M13646-M13646*VLOOKUP($Q13646,매칭테이블!$F:$I,3,0)</f>
        <v/>
      </c>
      <c r="O13646" s="88">
        <f>VLOOKUP($Q13646,매칭테이블!$F:$I,4,0)*K13646</f>
        <v/>
      </c>
      <c r="P13646" s="152">
        <f>M13646/1.1</f>
        <v/>
      </c>
      <c r="Q13646" s="88">
        <f>F13646&amp;E13646&amp;G13646&amp;L13646</f>
        <v/>
      </c>
    </row>
    <row r="13647">
      <c r="B13647" s="128" t="n">
        <v>44210</v>
      </c>
      <c r="C13647" s="88">
        <f>TEXT(B13647,"aaa")</f>
        <v/>
      </c>
      <c r="D13647" s="94" t="n"/>
      <c r="E13647" s="88">
        <f>INDEX(매칭테이블!C:D,MATCH(RD!G13647,매칭테이블!D:D,0),1)</f>
        <v/>
      </c>
      <c r="F13647" s="94" t="inlineStr">
        <is>
          <t>카페24</t>
        </is>
      </c>
      <c r="G13647" s="94" t="inlineStr">
        <is>
          <t>어성초 77 수딩 토너옵션=어성초 77토너1개 + 어성초77패드1개 -30% off (무료배송)</t>
        </is>
      </c>
      <c r="K13647" s="94" t="n">
        <v>39</v>
      </c>
      <c r="L13647" s="88" t="n">
        <v>201208</v>
      </c>
      <c r="M13647" s="88">
        <f>VLOOKUP($Q13647,매칭테이블!$F:$I,2,0)*K13647</f>
        <v/>
      </c>
      <c r="N13647" s="88">
        <f>M13647-M13647*VLOOKUP($Q13647,매칭테이블!$F:$I,3,0)</f>
        <v/>
      </c>
      <c r="O13647" s="88">
        <f>VLOOKUP($Q13647,매칭테이블!$F:$I,4,0)*K13647</f>
        <v/>
      </c>
      <c r="P13647" s="152">
        <f>M13647/1.1</f>
        <v/>
      </c>
      <c r="Q13647" s="88">
        <f>F13647&amp;E13647&amp;G13647&amp;L13647</f>
        <v/>
      </c>
    </row>
    <row r="13648">
      <c r="B13648" s="128" t="n">
        <v>44210</v>
      </c>
      <c r="C13648" s="88">
        <f>TEXT(B13648,"aaa")</f>
        <v/>
      </c>
      <c r="D13648" s="94" t="n"/>
      <c r="E13648" s="88">
        <f>INDEX(매칭테이블!C:D,MATCH(RD!G13648,매칭테이블!D:D,0),1)</f>
        <v/>
      </c>
      <c r="F13648" s="94" t="inlineStr">
        <is>
          <t>카페24</t>
        </is>
      </c>
      <c r="G13648" s="94" t="inlineStr">
        <is>
          <t>어성초 77 수딩 토너화장솜(선택)=촉촉 스킨팩 화장솜</t>
        </is>
      </c>
      <c r="K13648" s="94" t="n">
        <v>60</v>
      </c>
      <c r="L13648" s="88" t="n">
        <v>201208</v>
      </c>
      <c r="M13648" s="88">
        <f>VLOOKUP($Q13648,매칭테이블!$F:$I,2,0)*K13648</f>
        <v/>
      </c>
      <c r="N13648" s="88">
        <f>M13648-M13648*VLOOKUP($Q13648,매칭테이블!$F:$I,3,0)</f>
        <v/>
      </c>
      <c r="O13648" s="88">
        <f>VLOOKUP($Q13648,매칭테이블!$F:$I,4,0)*K13648</f>
        <v/>
      </c>
      <c r="P13648" s="152">
        <f>M13648/1.1</f>
        <v/>
      </c>
      <c r="Q13648" s="88">
        <f>F13648&amp;E13648&amp;G13648&amp;L13648</f>
        <v/>
      </c>
    </row>
    <row r="13649">
      <c r="B13649" s="128" t="n">
        <v>44210</v>
      </c>
      <c r="C13649" s="88">
        <f>TEXT(B13649,"aaa")</f>
        <v/>
      </c>
      <c r="D13649" s="94" t="n"/>
      <c r="E13649" s="88">
        <f>INDEX(매칭테이블!C:D,MATCH(RD!G13649,매칭테이블!D:D,0),1)</f>
        <v/>
      </c>
      <c r="F13649" s="94" t="inlineStr">
        <is>
          <t>카페24</t>
        </is>
      </c>
      <c r="G13649" s="94" t="inlineStr">
        <is>
          <t>어성초 77 수딩 토너토너(필수)=(대용량) 어성초 77 토너 500ml (무료배송)</t>
        </is>
      </c>
      <c r="K13649" s="94" t="n">
        <v>2</v>
      </c>
      <c r="L13649" s="88" t="n">
        <v>201208</v>
      </c>
      <c r="M13649" s="88">
        <f>VLOOKUP($Q13649,매칭테이블!$F:$I,2,0)*K13649</f>
        <v/>
      </c>
      <c r="N13649" s="88">
        <f>M13649-M13649*VLOOKUP($Q13649,매칭테이블!$F:$I,3,0)</f>
        <v/>
      </c>
      <c r="O13649" s="88">
        <f>VLOOKUP($Q13649,매칭테이블!$F:$I,4,0)*K13649</f>
        <v/>
      </c>
      <c r="P13649" s="152">
        <f>M13649/1.1</f>
        <v/>
      </c>
      <c r="Q13649" s="88">
        <f>F13649&amp;E13649&amp;G13649&amp;L13649</f>
        <v/>
      </c>
    </row>
    <row r="13650">
      <c r="B13650" s="128" t="n">
        <v>44210</v>
      </c>
      <c r="C13650" s="88">
        <f>TEXT(B13650,"aaa")</f>
        <v/>
      </c>
      <c r="D13650" s="94" t="n"/>
      <c r="E13650" s="88">
        <f>INDEX(매칭테이블!C:D,MATCH(RD!G13650,매칭테이블!D:D,0),1)</f>
        <v/>
      </c>
      <c r="F13650" s="94" t="inlineStr">
        <is>
          <t>카페24</t>
        </is>
      </c>
      <c r="G13650" s="94" t="inlineStr">
        <is>
          <t>어성초 77 진정 마스크옵션=어성초 77 진정 마스크팩 10장-50% off</t>
        </is>
      </c>
      <c r="K13650" s="94" t="n">
        <v>4</v>
      </c>
      <c r="L13650" s="88" t="n">
        <v>201208</v>
      </c>
      <c r="M13650" s="88">
        <f>VLOOKUP($Q13650,매칭테이블!$F:$I,2,0)*K13650</f>
        <v/>
      </c>
      <c r="N13650" s="88">
        <f>M13650-M13650*VLOOKUP($Q13650,매칭테이블!$F:$I,3,0)</f>
        <v/>
      </c>
      <c r="O13650" s="88">
        <f>VLOOKUP($Q13650,매칭테이블!$F:$I,4,0)*K13650</f>
        <v/>
      </c>
      <c r="P13650" s="152">
        <f>M13650/1.1</f>
        <v/>
      </c>
      <c r="Q13650" s="88">
        <f>F13650&amp;E13650&amp;G13650&amp;L13650</f>
        <v/>
      </c>
    </row>
    <row r="13651">
      <c r="B13651" s="128" t="n">
        <v>44210</v>
      </c>
      <c r="C13651" s="88">
        <f>TEXT(B13651,"aaa")</f>
        <v/>
      </c>
      <c r="D13651" s="94" t="n"/>
      <c r="E13651" s="88">
        <f>INDEX(매칭테이블!C:D,MATCH(RD!G13651,매칭테이블!D:D,0),1)</f>
        <v/>
      </c>
      <c r="F13651" s="94" t="inlineStr">
        <is>
          <t>카페24</t>
        </is>
      </c>
      <c r="G13651" s="94" t="inlineStr">
        <is>
          <t>어성초 77 진정 마스크</t>
        </is>
      </c>
      <c r="K13651" s="94" t="n">
        <v>1</v>
      </c>
      <c r="L13651" s="88" t="n">
        <v>201208</v>
      </c>
      <c r="M13651" s="88">
        <f>VLOOKUP($Q13651,매칭테이블!$F:$I,2,0)*K13651</f>
        <v/>
      </c>
      <c r="N13651" s="88">
        <f>M13651-M13651*VLOOKUP($Q13651,매칭테이블!$F:$I,3,0)</f>
        <v/>
      </c>
      <c r="O13651" s="88">
        <f>VLOOKUP($Q13651,매칭테이블!$F:$I,4,0)*K13651</f>
        <v/>
      </c>
      <c r="P13651" s="152">
        <f>M13651/1.1</f>
        <v/>
      </c>
      <c r="Q13651" s="88">
        <f>F13651&amp;E13651&amp;G13651&amp;L13651</f>
        <v/>
      </c>
    </row>
    <row r="13652">
      <c r="B13652" s="128" t="n">
        <v>44210</v>
      </c>
      <c r="C13652" s="88">
        <f>TEXT(B13652,"aaa")</f>
        <v/>
      </c>
      <c r="D13652" s="94" t="n"/>
      <c r="E13652" s="88">
        <f>INDEX(매칭테이블!C:D,MATCH(RD!G13652,매칭테이블!D:D,0),1)</f>
        <v/>
      </c>
      <c r="F13652" s="94" t="inlineStr">
        <is>
          <t>카페24</t>
        </is>
      </c>
      <c r="G13652" s="94" t="inlineStr">
        <is>
          <t>어성초 77 클리어 패드옵션=어성초 77 클리어 패드 1개-20% off</t>
        </is>
      </c>
      <c r="K13652" s="94" t="n">
        <v>70</v>
      </c>
      <c r="L13652" s="88" t="n">
        <v>201208</v>
      </c>
      <c r="M13652" s="88">
        <f>VLOOKUP($Q13652,매칭테이블!$F:$I,2,0)*K13652</f>
        <v/>
      </c>
      <c r="N13652" s="88">
        <f>M13652-M13652*VLOOKUP($Q13652,매칭테이블!$F:$I,3,0)</f>
        <v/>
      </c>
      <c r="O13652" s="88">
        <f>VLOOKUP($Q13652,매칭테이블!$F:$I,4,0)*K13652</f>
        <v/>
      </c>
      <c r="P13652" s="152">
        <f>M13652/1.1</f>
        <v/>
      </c>
      <c r="Q13652" s="88">
        <f>F13652&amp;E13652&amp;G13652&amp;L13652</f>
        <v/>
      </c>
    </row>
    <row r="13653">
      <c r="B13653" s="128" t="n">
        <v>44210</v>
      </c>
      <c r="C13653" s="88">
        <f>TEXT(B13653,"aaa")</f>
        <v/>
      </c>
      <c r="D13653" s="94" t="n"/>
      <c r="E13653" s="88">
        <f>INDEX(매칭테이블!C:D,MATCH(RD!G13653,매칭테이블!D:D,0),1)</f>
        <v/>
      </c>
      <c r="F13653" s="94" t="inlineStr">
        <is>
          <t>카페24</t>
        </is>
      </c>
      <c r="G13653" s="94" t="inlineStr">
        <is>
          <t>어성초 77 클리어 패드옵션=어성초 77 클리어 패드 2개-30% off (무료배송)</t>
        </is>
      </c>
      <c r="K13653" s="94" t="n">
        <v>87</v>
      </c>
      <c r="L13653" s="88" t="n">
        <v>201208</v>
      </c>
      <c r="M13653" s="88">
        <f>VLOOKUP($Q13653,매칭테이블!$F:$I,2,0)*K13653</f>
        <v/>
      </c>
      <c r="N13653" s="88">
        <f>M13653-M13653*VLOOKUP($Q13653,매칭테이블!$F:$I,3,0)</f>
        <v/>
      </c>
      <c r="O13653" s="88">
        <f>VLOOKUP($Q13653,매칭테이블!$F:$I,4,0)*K13653</f>
        <v/>
      </c>
      <c r="P13653" s="152">
        <f>M13653/1.1</f>
        <v/>
      </c>
      <c r="Q13653" s="88">
        <f>F13653&amp;E13653&amp;G13653&amp;L13653</f>
        <v/>
      </c>
    </row>
    <row r="13654">
      <c r="B13654" s="128" t="n">
        <v>44210</v>
      </c>
      <c r="C13654" s="88">
        <f>TEXT(B13654,"aaa")</f>
        <v/>
      </c>
      <c r="D13654" s="94" t="n"/>
      <c r="E13654" s="88">
        <f>INDEX(매칭테이블!C:D,MATCH(RD!G13654,매칭테이블!D:D,0),1)</f>
        <v/>
      </c>
      <c r="F13654" s="94" t="inlineStr">
        <is>
          <t>카페24</t>
        </is>
      </c>
      <c r="G13654" s="94" t="inlineStr">
        <is>
          <t>어성초 77 클리어 패드옵션=어성초 77 클리어 패드 3개-35% off (무료배송)</t>
        </is>
      </c>
      <c r="K13654" s="94" t="n">
        <v>18</v>
      </c>
      <c r="L13654" s="88" t="n">
        <v>201208</v>
      </c>
      <c r="M13654" s="88">
        <f>VLOOKUP($Q13654,매칭테이블!$F:$I,2,0)*K13654</f>
        <v/>
      </c>
      <c r="N13654" s="88">
        <f>M13654-M13654*VLOOKUP($Q13654,매칭테이블!$F:$I,3,0)</f>
        <v/>
      </c>
      <c r="O13654" s="88">
        <f>VLOOKUP($Q13654,매칭테이블!$F:$I,4,0)*K13654</f>
        <v/>
      </c>
      <c r="P13654" s="152">
        <f>M13654/1.1</f>
        <v/>
      </c>
      <c r="Q13654" s="88">
        <f>F13654&amp;E13654&amp;G13654&amp;L13654</f>
        <v/>
      </c>
    </row>
    <row r="13655">
      <c r="B13655" s="128" t="n">
        <v>44210</v>
      </c>
      <c r="C13655" s="88">
        <f>TEXT(B13655,"aaa")</f>
        <v/>
      </c>
      <c r="D13655" s="94" t="n"/>
      <c r="E13655" s="88">
        <f>INDEX(매칭테이블!C:D,MATCH(RD!G13655,매칭테이블!D:D,0),1)</f>
        <v/>
      </c>
      <c r="F13655" s="94" t="inlineStr">
        <is>
          <t>카페24</t>
        </is>
      </c>
      <c r="G13655" s="94" t="inlineStr">
        <is>
          <t>어성초 77 클리어 패드옵션=어성초77토너1개+어성초77패드1개-30% off (무료배송)</t>
        </is>
      </c>
      <c r="K13655" s="94" t="n">
        <v>25</v>
      </c>
      <c r="L13655" s="88" t="n">
        <v>201208</v>
      </c>
      <c r="M13655" s="88">
        <f>VLOOKUP($Q13655,매칭테이블!$F:$I,2,0)*K13655</f>
        <v/>
      </c>
      <c r="N13655" s="88">
        <f>M13655-M13655*VLOOKUP($Q13655,매칭테이블!$F:$I,3,0)</f>
        <v/>
      </c>
      <c r="O13655" s="88">
        <f>VLOOKUP($Q13655,매칭테이블!$F:$I,4,0)*K13655</f>
        <v/>
      </c>
      <c r="P13655" s="152">
        <f>M13655/1.1</f>
        <v/>
      </c>
      <c r="Q13655" s="88">
        <f>F13655&amp;E13655&amp;G13655&amp;L13655</f>
        <v/>
      </c>
    </row>
    <row r="13656">
      <c r="B13656" s="128" t="n">
        <v>44210</v>
      </c>
      <c r="C13656" s="88">
        <f>TEXT(B13656,"aaa")</f>
        <v/>
      </c>
      <c r="D13656" s="94" t="n"/>
      <c r="E13656" s="88">
        <f>INDEX(매칭테이블!C:D,MATCH(RD!G13656,매칭테이블!D:D,0),1)</f>
        <v/>
      </c>
      <c r="F13656" s="94" t="inlineStr">
        <is>
          <t>카페24</t>
        </is>
      </c>
      <c r="G13656" s="94" t="inlineStr">
        <is>
          <t>어성초 77 클리어 패드 (1/11 순차발송 예정)옵션=어성초 77 클리어 패드 1개-20% off</t>
        </is>
      </c>
      <c r="K13656" s="94" t="n">
        <v>1</v>
      </c>
      <c r="L13656" s="88" t="n">
        <v>201208</v>
      </c>
      <c r="M13656" s="88">
        <f>VLOOKUP($Q13656,매칭테이블!$F:$I,2,0)*K13656</f>
        <v/>
      </c>
      <c r="N13656" s="88">
        <f>M13656-M13656*VLOOKUP($Q13656,매칭테이블!$F:$I,3,0)</f>
        <v/>
      </c>
      <c r="O13656" s="88">
        <f>VLOOKUP($Q13656,매칭테이블!$F:$I,4,0)*K13656</f>
        <v/>
      </c>
      <c r="P13656" s="152">
        <f>M13656/1.1</f>
        <v/>
      </c>
      <c r="Q13656" s="88">
        <f>F13656&amp;E13656&amp;G13656&amp;L13656</f>
        <v/>
      </c>
    </row>
    <row r="13657">
      <c r="B13657" s="128" t="n">
        <v>44210</v>
      </c>
      <c r="C13657" s="88">
        <f>TEXT(B13657,"aaa")</f>
        <v/>
      </c>
      <c r="D13657" s="94" t="n"/>
      <c r="E13657" s="88">
        <f>INDEX(매칭테이블!C:D,MATCH(RD!G13657,매칭테이블!D:D,0),1)</f>
        <v/>
      </c>
      <c r="F13657" s="94" t="inlineStr">
        <is>
          <t>카페24</t>
        </is>
      </c>
      <c r="G13657" s="94" t="inlineStr">
        <is>
          <t>어성초 77 포어 클리어 패드옵션=어성초 77 클리어 패드 1개-20% off</t>
        </is>
      </c>
      <c r="K13657" s="94" t="n">
        <v>7</v>
      </c>
      <c r="L13657" s="88" t="n">
        <v>201208</v>
      </c>
      <c r="M13657" s="88">
        <f>VLOOKUP($Q13657,매칭테이블!$F:$I,2,0)*K13657</f>
        <v/>
      </c>
      <c r="N13657" s="88">
        <f>M13657-M13657*VLOOKUP($Q13657,매칭테이블!$F:$I,3,0)</f>
        <v/>
      </c>
      <c r="O13657" s="88">
        <f>VLOOKUP($Q13657,매칭테이블!$F:$I,4,0)*K13657</f>
        <v/>
      </c>
      <c r="P13657" s="152">
        <f>M13657/1.1</f>
        <v/>
      </c>
      <c r="Q13657" s="88">
        <f>F13657&amp;E13657&amp;G13657&amp;L13657</f>
        <v/>
      </c>
    </row>
    <row r="13658">
      <c r="B13658" s="128" t="n">
        <v>44210</v>
      </c>
      <c r="C13658" s="88">
        <f>TEXT(B13658,"aaa")</f>
        <v/>
      </c>
      <c r="D13658" s="94" t="n"/>
      <c r="E13658" s="88">
        <f>INDEX(매칭테이블!C:D,MATCH(RD!G13658,매칭테이블!D:D,0),1)</f>
        <v/>
      </c>
      <c r="F13658" s="94" t="inlineStr">
        <is>
          <t>카페24</t>
        </is>
      </c>
      <c r="G13658" s="94" t="inlineStr">
        <is>
          <t>어성초 77 포어 클리어 패드옵션=어성초 77 클리어 패드 2개-30% off (무료배송)</t>
        </is>
      </c>
      <c r="K13658" s="94" t="n">
        <v>11</v>
      </c>
      <c r="L13658" s="88" t="n">
        <v>201208</v>
      </c>
      <c r="M13658" s="88">
        <f>VLOOKUP($Q13658,매칭테이블!$F:$I,2,0)*K13658</f>
        <v/>
      </c>
      <c r="N13658" s="88">
        <f>M13658-M13658*VLOOKUP($Q13658,매칭테이블!$F:$I,3,0)</f>
        <v/>
      </c>
      <c r="O13658" s="88">
        <f>VLOOKUP($Q13658,매칭테이블!$F:$I,4,0)*K13658</f>
        <v/>
      </c>
      <c r="P13658" s="152">
        <f>M13658/1.1</f>
        <v/>
      </c>
      <c r="Q13658" s="88">
        <f>F13658&amp;E13658&amp;G13658&amp;L13658</f>
        <v/>
      </c>
    </row>
    <row r="13659">
      <c r="B13659" s="128" t="n">
        <v>44210</v>
      </c>
      <c r="C13659" s="88">
        <f>TEXT(B13659,"aaa")</f>
        <v/>
      </c>
      <c r="D13659" s="94" t="n"/>
      <c r="E13659" s="88">
        <f>INDEX(매칭테이블!C:D,MATCH(RD!G13659,매칭테이블!D:D,0),1)</f>
        <v/>
      </c>
      <c r="F13659" s="94" t="inlineStr">
        <is>
          <t>카페24</t>
        </is>
      </c>
      <c r="G13659" s="94" t="inlineStr">
        <is>
          <t>어성초 77 포어 클리어 패드옵션=어성초 77 클리어 패드 3개-35% off (무료배송)</t>
        </is>
      </c>
      <c r="K13659" s="94" t="n">
        <v>3</v>
      </c>
      <c r="L13659" s="88" t="n">
        <v>201208</v>
      </c>
      <c r="M13659" s="88">
        <f>VLOOKUP($Q13659,매칭테이블!$F:$I,2,0)*K13659</f>
        <v/>
      </c>
      <c r="N13659" s="88">
        <f>M13659-M13659*VLOOKUP($Q13659,매칭테이블!$F:$I,3,0)</f>
        <v/>
      </c>
      <c r="O13659" s="88">
        <f>VLOOKUP($Q13659,매칭테이블!$F:$I,4,0)*K13659</f>
        <v/>
      </c>
      <c r="P13659" s="152">
        <f>M13659/1.1</f>
        <v/>
      </c>
      <c r="Q13659" s="88">
        <f>F13659&amp;E13659&amp;G13659&amp;L13659</f>
        <v/>
      </c>
    </row>
    <row r="13660">
      <c r="B13660" s="128" t="n">
        <v>44210</v>
      </c>
      <c r="C13660" s="88">
        <f>TEXT(B13660,"aaa")</f>
        <v/>
      </c>
      <c r="D13660" s="94" t="n"/>
      <c r="E13660" s="88">
        <f>INDEX(매칭테이블!C:D,MATCH(RD!G13660,매칭테이블!D:D,0),1)</f>
        <v/>
      </c>
      <c r="F13660" s="94" t="inlineStr">
        <is>
          <t>카페24</t>
        </is>
      </c>
      <c r="G13660" s="94" t="inlineStr">
        <is>
          <t>어성초 77 포어 클리어 패드옵션=어성초77토너1개+어성초77패드1개-30% off (무료배송)</t>
        </is>
      </c>
      <c r="K13660" s="94" t="n">
        <v>2</v>
      </c>
      <c r="L13660" s="88" t="n">
        <v>201208</v>
      </c>
      <c r="M13660" s="88">
        <f>VLOOKUP($Q13660,매칭테이블!$F:$I,2,0)*K13660</f>
        <v/>
      </c>
      <c r="N13660" s="88">
        <f>M13660-M13660*VLOOKUP($Q13660,매칭테이블!$F:$I,3,0)</f>
        <v/>
      </c>
      <c r="O13660" s="88">
        <f>VLOOKUP($Q13660,매칭테이블!$F:$I,4,0)*K13660</f>
        <v/>
      </c>
      <c r="P13660" s="152">
        <f>M13660/1.1</f>
        <v/>
      </c>
      <c r="Q13660" s="88">
        <f>F13660&amp;E13660&amp;G13660&amp;L13660</f>
        <v/>
      </c>
    </row>
    <row r="13661">
      <c r="B13661" s="128" t="n">
        <v>44210</v>
      </c>
      <c r="C13661" s="88">
        <f>TEXT(B13661,"aaa")</f>
        <v/>
      </c>
      <c r="D13661" s="94" t="n"/>
      <c r="E13661" s="88">
        <f>INDEX(매칭테이블!C:D,MATCH(RD!G13661,매칭테이블!D:D,0),1)</f>
        <v/>
      </c>
      <c r="F13661" s="94" t="inlineStr">
        <is>
          <t>카페24</t>
        </is>
      </c>
      <c r="G13661" s="94" t="inlineStr">
        <is>
          <t>어성초 77% 패드옵션=어성초 77 클리어 패드 1개-20% off</t>
        </is>
      </c>
      <c r="K13661" s="94" t="n">
        <v>70</v>
      </c>
      <c r="L13661" s="88" t="n">
        <v>201208</v>
      </c>
      <c r="M13661" s="88">
        <f>VLOOKUP($Q13661,매칭테이블!$F:$I,2,0)*K13661</f>
        <v/>
      </c>
      <c r="N13661" s="88">
        <f>M13661-M13661*VLOOKUP($Q13661,매칭테이블!$F:$I,3,0)</f>
        <v/>
      </c>
      <c r="O13661" s="88">
        <f>VLOOKUP($Q13661,매칭테이블!$F:$I,4,0)*K13661</f>
        <v/>
      </c>
      <c r="P13661" s="152">
        <f>M13661/1.1</f>
        <v/>
      </c>
      <c r="Q13661" s="88">
        <f>F13661&amp;E13661&amp;G13661&amp;L13661</f>
        <v/>
      </c>
    </row>
    <row r="13662">
      <c r="B13662" s="128" t="n">
        <v>44210</v>
      </c>
      <c r="C13662" s="88">
        <f>TEXT(B13662,"aaa")</f>
        <v/>
      </c>
      <c r="D13662" s="94" t="n"/>
      <c r="E13662" s="88">
        <f>INDEX(매칭테이블!C:D,MATCH(RD!G13662,매칭테이블!D:D,0),1)</f>
        <v/>
      </c>
      <c r="F13662" s="94" t="inlineStr">
        <is>
          <t>카페24</t>
        </is>
      </c>
      <c r="G13662" s="94" t="inlineStr">
        <is>
          <t>어성초 77% 패드옵션=어성초 77 클리어 패드 2개-30% off (무료배송)</t>
        </is>
      </c>
      <c r="K13662" s="94" t="n">
        <v>77</v>
      </c>
      <c r="L13662" s="88" t="n">
        <v>201208</v>
      </c>
      <c r="M13662" s="88">
        <f>VLOOKUP($Q13662,매칭테이블!$F:$I,2,0)*K13662</f>
        <v/>
      </c>
      <c r="N13662" s="88">
        <f>M13662-M13662*VLOOKUP($Q13662,매칭테이블!$F:$I,3,0)</f>
        <v/>
      </c>
      <c r="O13662" s="88">
        <f>VLOOKUP($Q13662,매칭테이블!$F:$I,4,0)*K13662</f>
        <v/>
      </c>
      <c r="P13662" s="152">
        <f>M13662/1.1</f>
        <v/>
      </c>
      <c r="Q13662" s="88">
        <f>F13662&amp;E13662&amp;G13662&amp;L13662</f>
        <v/>
      </c>
    </row>
    <row r="13663">
      <c r="B13663" s="128" t="n">
        <v>44210</v>
      </c>
      <c r="C13663" s="88">
        <f>TEXT(B13663,"aaa")</f>
        <v/>
      </c>
      <c r="D13663" s="94" t="n"/>
      <c r="E13663" s="88">
        <f>INDEX(매칭테이블!C:D,MATCH(RD!G13663,매칭테이블!D:D,0),1)</f>
        <v/>
      </c>
      <c r="F13663" s="94" t="inlineStr">
        <is>
          <t>카페24</t>
        </is>
      </c>
      <c r="G13663" s="94" t="inlineStr">
        <is>
          <t>어성초 77% 패드옵션=어성초 77 클리어 패드 3개-35% off (무료배송)</t>
        </is>
      </c>
      <c r="K13663" s="94" t="n">
        <v>8</v>
      </c>
      <c r="L13663" s="88" t="n">
        <v>201208</v>
      </c>
      <c r="M13663" s="88">
        <f>VLOOKUP($Q13663,매칭테이블!$F:$I,2,0)*K13663</f>
        <v/>
      </c>
      <c r="N13663" s="88">
        <f>M13663-M13663*VLOOKUP($Q13663,매칭테이블!$F:$I,3,0)</f>
        <v/>
      </c>
      <c r="O13663" s="88">
        <f>VLOOKUP($Q13663,매칭테이블!$F:$I,4,0)*K13663</f>
        <v/>
      </c>
      <c r="P13663" s="152">
        <f>M13663/1.1</f>
        <v/>
      </c>
      <c r="Q13663" s="88">
        <f>F13663&amp;E13663&amp;G13663&amp;L13663</f>
        <v/>
      </c>
    </row>
    <row r="13664">
      <c r="B13664" s="128" t="n">
        <v>44210</v>
      </c>
      <c r="C13664" s="88">
        <f>TEXT(B13664,"aaa")</f>
        <v/>
      </c>
      <c r="D13664" s="94" t="n"/>
      <c r="E13664" s="88">
        <f>INDEX(매칭테이블!C:D,MATCH(RD!G13664,매칭테이블!D:D,0),1)</f>
        <v/>
      </c>
      <c r="F13664" s="94" t="inlineStr">
        <is>
          <t>카페24</t>
        </is>
      </c>
      <c r="G13664" s="94" t="inlineStr">
        <is>
          <t>어성초 77% 패드옵션=어성초77토너1개+어성초77패드1개-30% off (무료배송)</t>
        </is>
      </c>
      <c r="K13664" s="94" t="n">
        <v>21</v>
      </c>
      <c r="L13664" s="88" t="n">
        <v>201208</v>
      </c>
      <c r="M13664" s="88">
        <f>VLOOKUP($Q13664,매칭테이블!$F:$I,2,0)*K13664</f>
        <v/>
      </c>
      <c r="N13664" s="88">
        <f>M13664-M13664*VLOOKUP($Q13664,매칭테이블!$F:$I,3,0)</f>
        <v/>
      </c>
      <c r="O13664" s="88">
        <f>VLOOKUP($Q13664,매칭테이블!$F:$I,4,0)*K13664</f>
        <v/>
      </c>
      <c r="P13664" s="152">
        <f>M13664/1.1</f>
        <v/>
      </c>
      <c r="Q13664" s="88">
        <f>F13664&amp;E13664&amp;G13664&amp;L13664</f>
        <v/>
      </c>
    </row>
    <row r="13665">
      <c r="B13665" s="128" t="n">
        <v>44210</v>
      </c>
      <c r="C13665" s="88">
        <f>TEXT(B13665,"aaa")</f>
        <v/>
      </c>
      <c r="D13665" s="94" t="n"/>
      <c r="E13665" s="88">
        <f>INDEX(매칭테이블!C:D,MATCH(RD!G13665,매칭테이블!D:D,0),1)</f>
        <v/>
      </c>
      <c r="F13665" s="94" t="inlineStr">
        <is>
          <t>카페24</t>
        </is>
      </c>
      <c r="G13665" s="94" t="inlineStr">
        <is>
          <t>어성초 77% 패드 (1/11 순차발송 예정)옵션=어성초 77 클리어 패드 1개-20% off</t>
        </is>
      </c>
      <c r="K13665" s="94" t="n">
        <v>1</v>
      </c>
      <c r="L13665" s="88" t="n">
        <v>201208</v>
      </c>
      <c r="M13665" s="88">
        <f>VLOOKUP($Q13665,매칭테이블!$F:$I,2,0)*K13665</f>
        <v/>
      </c>
      <c r="N13665" s="88">
        <f>M13665-M13665*VLOOKUP($Q13665,매칭테이블!$F:$I,3,0)</f>
        <v/>
      </c>
      <c r="O13665" s="88">
        <f>VLOOKUP($Q13665,매칭테이블!$F:$I,4,0)*K13665</f>
        <v/>
      </c>
      <c r="P13665" s="152">
        <f>M13665/1.1</f>
        <v/>
      </c>
      <c r="Q13665" s="88">
        <f>F13665&amp;E13665&amp;G13665&amp;L13665</f>
        <v/>
      </c>
    </row>
    <row r="13666">
      <c r="B13666" s="128" t="n">
        <v>44210</v>
      </c>
      <c r="C13666" s="88">
        <f>TEXT(B13666,"aaa")</f>
        <v/>
      </c>
      <c r="D13666" s="94" t="n"/>
      <c r="E13666" s="88">
        <f>INDEX(매칭테이블!C:D,MATCH(RD!G13666,매칭테이블!D:D,0),1)</f>
        <v/>
      </c>
      <c r="F13666" s="94" t="inlineStr">
        <is>
          <t>카페24</t>
        </is>
      </c>
      <c r="G13666" s="94" t="inlineStr">
        <is>
          <t>어성초 77% 패드 (1/11 순차발송 예정)옵션=어성초 77 클리어 패드 3개-35% off (무료배송)</t>
        </is>
      </c>
      <c r="K13666" s="94" t="n">
        <v>1</v>
      </c>
      <c r="L13666" s="88" t="n">
        <v>201208</v>
      </c>
      <c r="M13666" s="88">
        <f>VLOOKUP($Q13666,매칭테이블!$F:$I,2,0)*K13666</f>
        <v/>
      </c>
      <c r="N13666" s="88">
        <f>M13666-M13666*VLOOKUP($Q13666,매칭테이블!$F:$I,3,0)</f>
        <v/>
      </c>
      <c r="O13666" s="88">
        <f>VLOOKUP($Q13666,매칭테이블!$F:$I,4,0)*K13666</f>
        <v/>
      </c>
      <c r="P13666" s="152">
        <f>M13666/1.1</f>
        <v/>
      </c>
      <c r="Q13666" s="88">
        <f>F13666&amp;E13666&amp;G13666&amp;L13666</f>
        <v/>
      </c>
    </row>
    <row r="13667">
      <c r="B13667" s="128" t="n">
        <v>44210</v>
      </c>
      <c r="C13667" s="88">
        <f>TEXT(B13667,"aaa")</f>
        <v/>
      </c>
      <c r="D13667" s="94" t="n"/>
      <c r="E13667" s="88">
        <f>INDEX(매칭테이블!C:D,MATCH(RD!G13667,매칭테이블!D:D,0),1)</f>
        <v/>
      </c>
      <c r="F13667" s="94" t="inlineStr">
        <is>
          <t>카페24</t>
        </is>
      </c>
      <c r="G13667" s="94" t="inlineStr">
        <is>
          <t>어성초 78 수딩 크림</t>
        </is>
      </c>
      <c r="K13667" s="94" t="n">
        <v>9</v>
      </c>
      <c r="L13667" s="88" t="n">
        <v>201208</v>
      </c>
      <c r="M13667" s="88">
        <f>VLOOKUP($Q13667,매칭테이블!$F:$I,2,0)*K13667</f>
        <v/>
      </c>
      <c r="N13667" s="88">
        <f>M13667-M13667*VLOOKUP($Q13667,매칭테이블!$F:$I,3,0)</f>
        <v/>
      </c>
      <c r="O13667" s="88">
        <f>VLOOKUP($Q13667,매칭테이블!$F:$I,4,0)*K13667</f>
        <v/>
      </c>
      <c r="P13667" s="152">
        <f>M13667/1.1</f>
        <v/>
      </c>
      <c r="Q13667" s="88">
        <f>F13667&amp;E13667&amp;G13667&amp;L13667</f>
        <v/>
      </c>
    </row>
    <row r="13668">
      <c r="B13668" s="128" t="n">
        <v>44210</v>
      </c>
      <c r="C13668" s="88">
        <f>TEXT(B13668,"aaa")</f>
        <v/>
      </c>
      <c r="D13668" s="94" t="n"/>
      <c r="E13668" s="88">
        <f>INDEX(매칭테이블!C:D,MATCH(RD!G13668,매칭테이블!D:D,0),1)</f>
        <v/>
      </c>
      <c r="F13668" s="94" t="inlineStr">
        <is>
          <t>카페24</t>
        </is>
      </c>
      <c r="G13668" s="94" t="inlineStr">
        <is>
          <t>어성초 78 수딩 크림</t>
        </is>
      </c>
      <c r="K13668" s="94" t="n">
        <v>8</v>
      </c>
      <c r="L13668" s="88" t="n">
        <v>201208</v>
      </c>
      <c r="M13668" s="88">
        <f>VLOOKUP($Q13668,매칭테이블!$F:$I,2,0)*K13668</f>
        <v/>
      </c>
      <c r="N13668" s="88">
        <f>M13668-M13668*VLOOKUP($Q13668,매칭테이블!$F:$I,3,0)</f>
        <v/>
      </c>
      <c r="O13668" s="88">
        <f>VLOOKUP($Q13668,매칭테이블!$F:$I,4,0)*K13668</f>
        <v/>
      </c>
      <c r="P13668" s="152">
        <f>M13668/1.1</f>
        <v/>
      </c>
      <c r="Q13668" s="88">
        <f>F13668&amp;E13668&amp;G13668&amp;L13668</f>
        <v/>
      </c>
    </row>
    <row r="13669">
      <c r="B13669" s="128" t="n">
        <v>44210</v>
      </c>
      <c r="C13669" s="88">
        <f>TEXT(B13669,"aaa")</f>
        <v/>
      </c>
      <c r="D13669" s="94" t="n"/>
      <c r="E13669" s="88">
        <f>INDEX(매칭테이블!C:D,MATCH(RD!G13669,매칭테이블!D:D,0),1)</f>
        <v/>
      </c>
      <c r="F13669" s="94" t="inlineStr">
        <is>
          <t>카페24</t>
        </is>
      </c>
      <c r="G13669" s="94" t="inlineStr">
        <is>
          <t>어성초 80 수분 진정 앰플앰플=어성초 80 앰플 1개-15%off</t>
        </is>
      </c>
      <c r="K13669" s="94" t="n">
        <v>21</v>
      </c>
      <c r="L13669" s="88" t="n">
        <v>201208</v>
      </c>
      <c r="M13669" s="88">
        <f>VLOOKUP($Q13669,매칭테이블!$F:$I,2,0)*K13669</f>
        <v/>
      </c>
      <c r="N13669" s="88">
        <f>M13669-M13669*VLOOKUP($Q13669,매칭테이블!$F:$I,3,0)</f>
        <v/>
      </c>
      <c r="O13669" s="88">
        <f>VLOOKUP($Q13669,매칭테이블!$F:$I,4,0)*K13669</f>
        <v/>
      </c>
      <c r="P13669" s="152">
        <f>M13669/1.1</f>
        <v/>
      </c>
      <c r="Q13669" s="88">
        <f>F13669&amp;E13669&amp;G13669&amp;L13669</f>
        <v/>
      </c>
    </row>
    <row r="13670">
      <c r="B13670" s="128" t="n">
        <v>44210</v>
      </c>
      <c r="C13670" s="88">
        <f>TEXT(B13670,"aaa")</f>
        <v/>
      </c>
      <c r="D13670" s="94" t="n"/>
      <c r="E13670" s="88">
        <f>INDEX(매칭테이블!C:D,MATCH(RD!G13670,매칭테이블!D:D,0),1)</f>
        <v/>
      </c>
      <c r="F13670" s="94" t="inlineStr">
        <is>
          <t>카페24</t>
        </is>
      </c>
      <c r="G13670" s="94" t="inlineStr">
        <is>
          <t>어성초 80 수분 진정 앰플앰플=어성초 80 앰플 2개-27%off (무료배송)</t>
        </is>
      </c>
      <c r="K13670" s="94" t="n">
        <v>10</v>
      </c>
      <c r="L13670" s="88" t="n">
        <v>201208</v>
      </c>
      <c r="M13670" s="88">
        <f>VLOOKUP($Q13670,매칭테이블!$F:$I,2,0)*K13670</f>
        <v/>
      </c>
      <c r="N13670" s="88">
        <f>M13670-M13670*VLOOKUP($Q13670,매칭테이블!$F:$I,3,0)</f>
        <v/>
      </c>
      <c r="O13670" s="88">
        <f>VLOOKUP($Q13670,매칭테이블!$F:$I,4,0)*K13670</f>
        <v/>
      </c>
      <c r="P13670" s="152">
        <f>M13670/1.1</f>
        <v/>
      </c>
      <c r="Q13670" s="88">
        <f>F13670&amp;E13670&amp;G13670&amp;L13670</f>
        <v/>
      </c>
    </row>
    <row r="13671">
      <c r="B13671" s="128" t="n">
        <v>44210</v>
      </c>
      <c r="C13671" s="88">
        <f>TEXT(B13671,"aaa")</f>
        <v/>
      </c>
      <c r="D13671" s="94" t="n"/>
      <c r="E13671" s="88">
        <f>INDEX(매칭테이블!C:D,MATCH(RD!G13671,매칭테이블!D:D,0),1)</f>
        <v/>
      </c>
      <c r="F13671" s="94" t="inlineStr">
        <is>
          <t>카페24</t>
        </is>
      </c>
      <c r="G13671" s="94" t="inlineStr">
        <is>
          <t>어성초 80 수분 진정 앰플</t>
        </is>
      </c>
      <c r="K13671" s="94" t="n">
        <v>6</v>
      </c>
      <c r="L13671" s="88" t="n">
        <v>201208</v>
      </c>
      <c r="M13671" s="88">
        <f>VLOOKUP($Q13671,매칭테이블!$F:$I,2,0)*K13671</f>
        <v/>
      </c>
      <c r="N13671" s="88">
        <f>M13671-M13671*VLOOKUP($Q13671,매칭테이블!$F:$I,3,0)</f>
        <v/>
      </c>
      <c r="O13671" s="88">
        <f>VLOOKUP($Q13671,매칭테이블!$F:$I,4,0)*K13671</f>
        <v/>
      </c>
      <c r="P13671" s="152">
        <f>M13671/1.1</f>
        <v/>
      </c>
      <c r="Q13671" s="88">
        <f>F13671&amp;E13671&amp;G13671&amp;L13671</f>
        <v/>
      </c>
    </row>
    <row r="13672">
      <c r="B13672" s="128" t="n">
        <v>44210</v>
      </c>
      <c r="C13672" s="88">
        <f>TEXT(B13672,"aaa")</f>
        <v/>
      </c>
      <c r="D13672" s="94" t="n"/>
      <c r="E13672" s="88">
        <f>INDEX(매칭테이블!C:D,MATCH(RD!G13672,매칭테이블!D:D,0),1)</f>
        <v/>
      </c>
      <c r="F13672" s="94" t="inlineStr">
        <is>
          <t>카페24</t>
        </is>
      </c>
      <c r="G13672" s="94" t="inlineStr">
        <is>
          <t>어성초 80 수분 진정 앰플옵션=어성초 80 앰플 2개 - 27%off (무료배송)</t>
        </is>
      </c>
      <c r="K13672" s="94" t="n">
        <v>1</v>
      </c>
      <c r="L13672" s="88" t="n">
        <v>201208</v>
      </c>
      <c r="M13672" s="88">
        <f>VLOOKUP($Q13672,매칭테이블!$F:$I,2,0)*K13672</f>
        <v/>
      </c>
      <c r="N13672" s="88">
        <f>M13672-M13672*VLOOKUP($Q13672,매칭테이블!$F:$I,3,0)</f>
        <v/>
      </c>
      <c r="O13672" s="88">
        <f>VLOOKUP($Q13672,매칭테이블!$F:$I,4,0)*K13672</f>
        <v/>
      </c>
      <c r="P13672" s="152">
        <f>M13672/1.1</f>
        <v/>
      </c>
      <c r="Q13672" s="88">
        <f>F13672&amp;E13672&amp;G13672&amp;L13672</f>
        <v/>
      </c>
    </row>
    <row r="13673">
      <c r="B13673" s="128" t="n">
        <v>44210</v>
      </c>
      <c r="C13673" s="88">
        <f>TEXT(B13673,"aaa")</f>
        <v/>
      </c>
      <c r="D13673" s="94" t="n"/>
      <c r="E13673" s="88">
        <f>INDEX(매칭테이블!C:D,MATCH(RD!G13673,매칭테이블!D:D,0),1)</f>
        <v/>
      </c>
      <c r="F13673" s="94" t="inlineStr">
        <is>
          <t>카페24</t>
        </is>
      </c>
      <c r="G13673" s="94" t="inlineStr">
        <is>
          <t>어성초 아크네 바디워시옵션=어성초 아크네 바디워시 1개 -30% off</t>
        </is>
      </c>
      <c r="K13673" s="94" t="n">
        <v>2</v>
      </c>
      <c r="L13673" s="88" t="n">
        <v>201208</v>
      </c>
      <c r="M13673" s="88">
        <f>VLOOKUP($Q13673,매칭테이블!$F:$I,2,0)*K13673</f>
        <v/>
      </c>
      <c r="N13673" s="88">
        <f>M13673-M13673*VLOOKUP($Q13673,매칭테이블!$F:$I,3,0)</f>
        <v/>
      </c>
      <c r="O13673" s="88">
        <f>VLOOKUP($Q13673,매칭테이블!$F:$I,4,0)*K13673</f>
        <v/>
      </c>
      <c r="P13673" s="152">
        <f>M13673/1.1</f>
        <v/>
      </c>
      <c r="Q13673" s="88">
        <f>F13673&amp;E13673&amp;G13673&amp;L13673</f>
        <v/>
      </c>
    </row>
    <row r="13674">
      <c r="B13674" s="128" t="n">
        <v>44210</v>
      </c>
      <c r="C13674" s="88">
        <f>TEXT(B13674,"aaa")</f>
        <v/>
      </c>
      <c r="D13674" s="94" t="n"/>
      <c r="E13674" s="88">
        <f>INDEX(매칭테이블!C:D,MATCH(RD!G13674,매칭테이블!D:D,0),1)</f>
        <v/>
      </c>
      <c r="F13674" s="94" t="inlineStr">
        <is>
          <t>카페24</t>
        </is>
      </c>
      <c r="G13674" s="94" t="inlineStr">
        <is>
          <t>어성초 약산성 클렌징폼클렌징폼=어성초 약산성 클렌징폼 1개 -19%off</t>
        </is>
      </c>
      <c r="K13674" s="94" t="n">
        <v>28</v>
      </c>
      <c r="L13674" s="88" t="n">
        <v>201208</v>
      </c>
      <c r="M13674" s="88">
        <f>VLOOKUP($Q13674,매칭테이블!$F:$I,2,0)*K13674</f>
        <v/>
      </c>
      <c r="N13674" s="88">
        <f>M13674-M13674*VLOOKUP($Q13674,매칭테이블!$F:$I,3,0)</f>
        <v/>
      </c>
      <c r="O13674" s="88">
        <f>VLOOKUP($Q13674,매칭테이블!$F:$I,4,0)*K13674</f>
        <v/>
      </c>
      <c r="P13674" s="152">
        <f>M13674/1.1</f>
        <v/>
      </c>
      <c r="Q13674" s="88">
        <f>F13674&amp;E13674&amp;G13674&amp;L13674</f>
        <v/>
      </c>
    </row>
    <row r="13675">
      <c r="B13675" s="128" t="n">
        <v>44210</v>
      </c>
      <c r="C13675" s="88">
        <f>TEXT(B13675,"aaa")</f>
        <v/>
      </c>
      <c r="D13675" s="94" t="n"/>
      <c r="E13675" s="88">
        <f>INDEX(매칭테이블!C:D,MATCH(RD!G13675,매칭테이블!D:D,0),1)</f>
        <v/>
      </c>
      <c r="F13675" s="94" t="inlineStr">
        <is>
          <t>카페24</t>
        </is>
      </c>
      <c r="G13675" s="94" t="inlineStr">
        <is>
          <t>어성초 약산성 클렌징폼클렌징폼=어성초 약산성 클렌징폼 2개 -25%off</t>
        </is>
      </c>
      <c r="K13675" s="94" t="n">
        <v>5</v>
      </c>
      <c r="L13675" s="88" t="n">
        <v>201208</v>
      </c>
      <c r="M13675" s="88">
        <f>VLOOKUP($Q13675,매칭테이블!$F:$I,2,0)*K13675</f>
        <v/>
      </c>
      <c r="N13675" s="88">
        <f>M13675-M13675*VLOOKUP($Q13675,매칭테이블!$F:$I,3,0)</f>
        <v/>
      </c>
      <c r="O13675" s="88">
        <f>VLOOKUP($Q13675,매칭테이블!$F:$I,4,0)*K13675</f>
        <v/>
      </c>
      <c r="P13675" s="152">
        <f>M13675/1.1</f>
        <v/>
      </c>
      <c r="Q13675" s="88">
        <f>F13675&amp;E13675&amp;G13675&amp;L13675</f>
        <v/>
      </c>
    </row>
    <row r="13676">
      <c r="B13676" s="128" t="n">
        <v>44210</v>
      </c>
      <c r="C13676" s="88">
        <f>TEXT(B13676,"aaa")</f>
        <v/>
      </c>
      <c r="D13676" s="94" t="n"/>
      <c r="E13676" s="88">
        <f>INDEX(매칭테이블!C:D,MATCH(RD!G13676,매칭테이블!D:D,0),1)</f>
        <v/>
      </c>
      <c r="F13676" s="94" t="inlineStr">
        <is>
          <t>카페24</t>
        </is>
      </c>
      <c r="G13676" s="94" t="inlineStr">
        <is>
          <t>어성초 약산성 클렌징폼클렌징폼=어성초 약산성 클렌징폼 3개 -31%off (무료배송)</t>
        </is>
      </c>
      <c r="K13676" s="94" t="n">
        <v>5</v>
      </c>
      <c r="L13676" s="88" t="n">
        <v>201208</v>
      </c>
      <c r="M13676" s="88">
        <f>VLOOKUP($Q13676,매칭테이블!$F:$I,2,0)*K13676</f>
        <v/>
      </c>
      <c r="N13676" s="88">
        <f>M13676-M13676*VLOOKUP($Q13676,매칭테이블!$F:$I,3,0)</f>
        <v/>
      </c>
      <c r="O13676" s="88">
        <f>VLOOKUP($Q13676,매칭테이블!$F:$I,4,0)*K13676</f>
        <v/>
      </c>
      <c r="P13676" s="152">
        <f>M13676/1.1</f>
        <v/>
      </c>
      <c r="Q13676" s="88">
        <f>F13676&amp;E13676&amp;G13676&amp;L13676</f>
        <v/>
      </c>
    </row>
    <row r="13677">
      <c r="B13677" s="128" t="n">
        <v>44210</v>
      </c>
      <c r="C13677" s="88">
        <f>TEXT(B13677,"aaa")</f>
        <v/>
      </c>
      <c r="D13677" s="94" t="n"/>
      <c r="E13677" s="88">
        <f>INDEX(매칭테이블!C:D,MATCH(RD!G13677,매칭테이블!D:D,0),1)</f>
        <v/>
      </c>
      <c r="F13677" s="94" t="inlineStr">
        <is>
          <t>카페24</t>
        </is>
      </c>
      <c r="G13677" s="94" t="inlineStr">
        <is>
          <t>어성초 약산성 클렌징폼</t>
        </is>
      </c>
      <c r="K13677" s="94" t="n">
        <v>3</v>
      </c>
      <c r="L13677" s="88" t="n">
        <v>201208</v>
      </c>
      <c r="M13677" s="88">
        <f>VLOOKUP($Q13677,매칭테이블!$F:$I,2,0)*K13677</f>
        <v/>
      </c>
      <c r="N13677" s="88">
        <f>M13677-M13677*VLOOKUP($Q13677,매칭테이블!$F:$I,3,0)</f>
        <v/>
      </c>
      <c r="O13677" s="88">
        <f>VLOOKUP($Q13677,매칭테이블!$F:$I,4,0)*K13677</f>
        <v/>
      </c>
      <c r="P13677" s="152">
        <f>M13677/1.1</f>
        <v/>
      </c>
      <c r="Q13677" s="88">
        <f>F13677&amp;E13677&amp;G13677&amp;L13677</f>
        <v/>
      </c>
    </row>
    <row r="13678">
      <c r="B13678" s="128" t="n">
        <v>44210</v>
      </c>
      <c r="C13678" s="88">
        <f>TEXT(B13678,"aaa")</f>
        <v/>
      </c>
      <c r="D13678" s="94" t="n"/>
      <c r="E13678" s="88">
        <f>INDEX(매칭테이블!C:D,MATCH(RD!G13678,매칭테이블!D:D,0),1)</f>
        <v/>
      </c>
      <c r="F13678" s="94" t="inlineStr">
        <is>
          <t>카페24</t>
        </is>
      </c>
      <c r="G13678" s="94" t="inlineStr">
        <is>
          <t>어성초 크림마스크 나이트 솔루션옵션=어성초 크림마스크 나이트 솔루션 10장 (-50%)</t>
        </is>
      </c>
      <c r="K13678" s="94" t="n">
        <v>2</v>
      </c>
      <c r="L13678" s="88" t="n">
        <v>201208</v>
      </c>
      <c r="M13678" s="88">
        <f>VLOOKUP($Q13678,매칭테이블!$F:$I,2,0)*K13678</f>
        <v/>
      </c>
      <c r="N13678" s="88">
        <f>M13678-M13678*VLOOKUP($Q13678,매칭테이블!$F:$I,3,0)</f>
        <v/>
      </c>
      <c r="O13678" s="88">
        <f>VLOOKUP($Q13678,매칭테이블!$F:$I,4,0)*K13678</f>
        <v/>
      </c>
      <c r="P13678" s="152">
        <f>M13678/1.1</f>
        <v/>
      </c>
      <c r="Q13678" s="88">
        <f>F13678&amp;E13678&amp;G13678&amp;L13678</f>
        <v/>
      </c>
    </row>
    <row r="13679">
      <c r="B13679" s="128" t="n">
        <v>44210</v>
      </c>
      <c r="C13679" s="88">
        <f>TEXT(B13679,"aaa")</f>
        <v/>
      </c>
      <c r="D13679" s="94" t="n"/>
      <c r="E13679" s="88">
        <f>INDEX(매칭테이블!C:D,MATCH(RD!G13679,매칭테이블!D:D,0),1)</f>
        <v/>
      </c>
      <c r="F13679" s="94" t="inlineStr">
        <is>
          <t>카페24</t>
        </is>
      </c>
      <c r="G13679" s="94" t="inlineStr">
        <is>
          <t>청귤 비타 잡티 마스크옵션=청귤 비타 잡티 마스크 1장</t>
        </is>
      </c>
      <c r="K13679" s="94" t="n">
        <v>1</v>
      </c>
      <c r="L13679" s="88" t="n">
        <v>201208</v>
      </c>
      <c r="M13679" s="88">
        <f>VLOOKUP($Q13679,매칭테이블!$F:$I,2,0)*K13679</f>
        <v/>
      </c>
      <c r="N13679" s="88">
        <f>M13679-M13679*VLOOKUP($Q13679,매칭테이블!$F:$I,3,0)</f>
        <v/>
      </c>
      <c r="O13679" s="88">
        <f>VLOOKUP($Q13679,매칭테이블!$F:$I,4,0)*K13679</f>
        <v/>
      </c>
      <c r="P13679" s="152">
        <f>M13679/1.1</f>
        <v/>
      </c>
      <c r="Q13679" s="88">
        <f>F13679&amp;E13679&amp;G13679&amp;L13679</f>
        <v/>
      </c>
    </row>
    <row r="13680">
      <c r="B13680" s="128" t="n">
        <v>44210</v>
      </c>
      <c r="C13680" s="88">
        <f>TEXT(B13680,"aaa")</f>
        <v/>
      </c>
      <c r="D13680" s="94" t="n"/>
      <c r="E13680" s="88">
        <f>INDEX(매칭테이블!C:D,MATCH(RD!G13680,매칭테이블!D:D,0),1)</f>
        <v/>
      </c>
      <c r="F13680" s="94" t="inlineStr">
        <is>
          <t>카페24</t>
        </is>
      </c>
      <c r="G13680" s="94" t="inlineStr">
        <is>
          <t>청귤 비타 잡티 마스크옵션=청귤 비타 잡티 마스크 10장(50% off)</t>
        </is>
      </c>
      <c r="K13680" s="94" t="n">
        <v>3</v>
      </c>
      <c r="L13680" s="88" t="n">
        <v>201208</v>
      </c>
      <c r="M13680" s="88">
        <f>VLOOKUP($Q13680,매칭테이블!$F:$I,2,0)*K13680</f>
        <v/>
      </c>
      <c r="N13680" s="88">
        <f>M13680-M13680*VLOOKUP($Q13680,매칭테이블!$F:$I,3,0)</f>
        <v/>
      </c>
      <c r="O13680" s="88">
        <f>VLOOKUP($Q13680,매칭테이블!$F:$I,4,0)*K13680</f>
        <v/>
      </c>
      <c r="P13680" s="152">
        <f>M13680/1.1</f>
        <v/>
      </c>
      <c r="Q13680" s="88">
        <f>F13680&amp;E13680&amp;G13680&amp;L13680</f>
        <v/>
      </c>
    </row>
    <row r="13681">
      <c r="B13681" s="128" t="n">
        <v>44210</v>
      </c>
      <c r="C13681" s="88">
        <f>TEXT(B13681,"aaa")</f>
        <v/>
      </c>
      <c r="D13681" s="94" t="n"/>
      <c r="E13681" s="88">
        <f>INDEX(매칭테이블!C:D,MATCH(RD!G13681,매칭테이블!D:D,0),1)</f>
        <v/>
      </c>
      <c r="F13681" s="94" t="inlineStr">
        <is>
          <t>카페24</t>
        </is>
      </c>
      <c r="G13681" s="94" t="inlineStr">
        <is>
          <t>촉촉 스킨팩 화장솜</t>
        </is>
      </c>
      <c r="K13681" s="94" t="n">
        <v>18</v>
      </c>
      <c r="L13681" s="88" t="n">
        <v>201208</v>
      </c>
      <c r="M13681" s="88">
        <f>VLOOKUP($Q13681,매칭테이블!$F:$I,2,0)*K13681</f>
        <v/>
      </c>
      <c r="N13681" s="88">
        <f>M13681-M13681*VLOOKUP($Q13681,매칭테이블!$F:$I,3,0)</f>
        <v/>
      </c>
      <c r="O13681" s="88">
        <f>VLOOKUP($Q13681,매칭테이블!$F:$I,4,0)*K13681</f>
        <v/>
      </c>
      <c r="P13681" s="152">
        <f>M13681/1.1</f>
        <v/>
      </c>
      <c r="Q13681" s="88">
        <f>F13681&amp;E13681&amp;G13681&amp;L13681</f>
        <v/>
      </c>
    </row>
    <row r="13682">
      <c r="B13682" s="128" t="n">
        <v>44210</v>
      </c>
      <c r="C13682" s="88">
        <f>TEXT(B13682,"aaa")</f>
        <v/>
      </c>
      <c r="D13682" s="94" t="n"/>
      <c r="E13682" s="88">
        <f>INDEX(매칭테이블!C:D,MATCH(RD!G13682,매칭테이블!D:D,0),1)</f>
        <v/>
      </c>
      <c r="F13682" s="94" t="inlineStr">
        <is>
          <t>카페24</t>
        </is>
      </c>
      <c r="G13682" s="94" t="inlineStr">
        <is>
          <t>촉촉 스킨팩 화장솜</t>
        </is>
      </c>
      <c r="K13682" s="94" t="n">
        <v>4</v>
      </c>
      <c r="L13682" s="88" t="n">
        <v>201208</v>
      </c>
      <c r="M13682" s="88">
        <f>VLOOKUP($Q13682,매칭테이블!$F:$I,2,0)*K13682</f>
        <v/>
      </c>
      <c r="N13682" s="88">
        <f>M13682-M13682*VLOOKUP($Q13682,매칭테이블!$F:$I,3,0)</f>
        <v/>
      </c>
      <c r="O13682" s="88">
        <f>VLOOKUP($Q13682,매칭테이블!$F:$I,4,0)*K13682</f>
        <v/>
      </c>
      <c r="P13682" s="152">
        <f>M13682/1.1</f>
        <v/>
      </c>
      <c r="Q13682" s="88">
        <f>F13682&amp;E13682&amp;G13682&amp;L13682</f>
        <v/>
      </c>
    </row>
    <row r="13683">
      <c r="B13683" s="128" t="n">
        <v>44210</v>
      </c>
      <c r="C13683" s="88">
        <f>TEXT(B13683,"aaa")</f>
        <v/>
      </c>
      <c r="D13683" s="94" t="n"/>
      <c r="E13683" s="88">
        <f>INDEX(매칭테이블!C:D,MATCH(RD!G13683,매칭테이블!D:D,0),1)</f>
        <v/>
      </c>
      <c r="F13683" s="94" t="inlineStr">
        <is>
          <t>화해</t>
        </is>
      </c>
      <c r="G13683" s="94" t="inlineStr">
        <is>
          <t>어성초 77 클리어 패드 70매어성초 77 클리어 패드 70매</t>
        </is>
      </c>
      <c r="K13683" s="94" t="n">
        <v>1</v>
      </c>
      <c r="L13683" s="88" t="n">
        <v>201208</v>
      </c>
      <c r="M13683" s="88">
        <f>VLOOKUP($Q13683,매칭테이블!$F:$I,2,0)*K13683</f>
        <v/>
      </c>
      <c r="N13683" s="88">
        <f>M13683-M13683*VLOOKUP($Q13683,매칭테이블!$F:$I,3,0)</f>
        <v/>
      </c>
      <c r="O13683" s="88">
        <f>VLOOKUP($Q13683,매칭테이블!$F:$I,4,0)*K13683</f>
        <v/>
      </c>
      <c r="P13683" s="152">
        <f>M13683/1.1</f>
        <v/>
      </c>
      <c r="Q13683" s="88">
        <f>F13683&amp;E13683&amp;G13683&amp;L13683</f>
        <v/>
      </c>
    </row>
    <row r="13684">
      <c r="B13684" s="128" t="n">
        <v>44210</v>
      </c>
      <c r="C13684" s="88">
        <f>TEXT(B13684,"aaa")</f>
        <v/>
      </c>
      <c r="D13684" s="94" t="n"/>
      <c r="E13684" s="88">
        <f>INDEX(매칭테이블!C:D,MATCH(RD!G13684,매칭테이블!D:D,0),1)</f>
        <v/>
      </c>
      <c r="F13684" s="94" t="inlineStr">
        <is>
          <t>화해</t>
        </is>
      </c>
      <c r="G13684" s="94" t="inlineStr">
        <is>
          <t>어성초 78 수딩 크림 100ml어성초 78 수딩 크림 100ml</t>
        </is>
      </c>
      <c r="K13684" s="94" t="n">
        <v>1</v>
      </c>
      <c r="L13684" s="88" t="n">
        <v>201208</v>
      </c>
      <c r="M13684" s="88">
        <f>VLOOKUP($Q13684,매칭테이블!$F:$I,2,0)*K13684</f>
        <v/>
      </c>
      <c r="N13684" s="88">
        <f>M13684-M13684*VLOOKUP($Q13684,매칭테이블!$F:$I,3,0)</f>
        <v/>
      </c>
      <c r="O13684" s="88">
        <f>VLOOKUP($Q13684,매칭테이블!$F:$I,4,0)*K13684</f>
        <v/>
      </c>
      <c r="P13684" s="152">
        <f>M13684/1.1</f>
        <v/>
      </c>
      <c r="Q13684" s="88">
        <f>F13684&amp;E13684&amp;G13684&amp;L13684</f>
        <v/>
      </c>
    </row>
    <row r="13685">
      <c r="B13685" s="128" t="n">
        <v>44211</v>
      </c>
      <c r="C13685" s="88">
        <f>TEXT(B13685,"aaa")</f>
        <v/>
      </c>
      <c r="D13685" s="94" t="n"/>
      <c r="E13685" s="88">
        <f>INDEX(매칭테이블!C:D,MATCH(RD!G13685,매칭테이블!D:D,0),1)</f>
        <v/>
      </c>
      <c r="F13685" s="94" t="inlineStr">
        <is>
          <t>W컨셉</t>
        </is>
      </c>
      <c r="G13685" s="94" t="inlineStr">
        <is>
          <t>어성초 77토너 (2 SET) HEARTLEAF 77% SOOTHING TONER 250ml250ml 2set</t>
        </is>
      </c>
      <c r="H13685" s="94" t="n"/>
      <c r="I13685" s="94" t="n"/>
      <c r="J13685" s="94" t="n"/>
      <c r="K13685" s="94" t="n">
        <v>2</v>
      </c>
      <c r="L13685" s="88" t="n">
        <v>201208</v>
      </c>
      <c r="M13685" s="88">
        <f>VLOOKUP($Q13685,매칭테이블!$F:$I,2,0)*K13685</f>
        <v/>
      </c>
      <c r="N13685" s="88">
        <f>M13685-M13685*VLOOKUP($Q13685,매칭테이블!$F:$I,3,0)</f>
        <v/>
      </c>
      <c r="O13685" s="88">
        <f>VLOOKUP($Q13685,매칭테이블!$F:$I,4,0)*K13685</f>
        <v/>
      </c>
      <c r="P13685" s="152">
        <f>M13685/1.1</f>
        <v/>
      </c>
      <c r="Q13685" s="88">
        <f>F13685&amp;E13685&amp;G13685&amp;L13685</f>
        <v/>
      </c>
    </row>
    <row r="13686">
      <c r="B13686" s="128" t="n">
        <v>44211</v>
      </c>
      <c r="C13686" s="88">
        <f>TEXT(B13686,"aaa")</f>
        <v/>
      </c>
      <c r="D13686" s="94" t="n"/>
      <c r="E13686" s="88">
        <f>INDEX(매칭테이블!C:D,MATCH(RD!G13686,매칭테이블!D:D,0),1)</f>
        <v/>
      </c>
      <c r="F13686" s="94" t="inlineStr">
        <is>
          <t>스타일쉐어</t>
        </is>
      </c>
      <c r="G13686" s="94" t="inlineStr">
        <is>
          <t>아누아 어성초 77 토너 250ml</t>
        </is>
      </c>
      <c r="K13686" s="94" t="n">
        <v>1</v>
      </c>
      <c r="L13686" s="88" t="n">
        <v>201208</v>
      </c>
      <c r="M13686" s="88">
        <f>VLOOKUP($Q13686,매칭테이블!$F:$I,2,0)*K13686</f>
        <v/>
      </c>
      <c r="N13686" s="88">
        <f>M13686-M13686*VLOOKUP($Q13686,매칭테이블!$F:$I,3,0)</f>
        <v/>
      </c>
      <c r="O13686" s="88">
        <f>VLOOKUP($Q13686,매칭테이블!$F:$I,4,0)*K13686</f>
        <v/>
      </c>
      <c r="P13686" s="152">
        <f>M13686/1.1</f>
        <v/>
      </c>
      <c r="Q13686" s="88">
        <f>F13686&amp;E13686&amp;G13686&amp;L13686</f>
        <v/>
      </c>
    </row>
    <row r="13687">
      <c r="B13687" s="128" t="n">
        <v>44211</v>
      </c>
      <c r="C13687" s="88">
        <f>TEXT(B13687,"aaa")</f>
        <v/>
      </c>
      <c r="D13687" s="94" t="n"/>
      <c r="E13687" s="88">
        <f>INDEX(매칭테이블!C:D,MATCH(RD!G13687,매칭테이블!D:D,0),1)</f>
        <v/>
      </c>
      <c r="F13687" s="94" t="inlineStr">
        <is>
          <t>카페24</t>
        </is>
      </c>
      <c r="G13687" s="94" t="inlineStr">
        <is>
          <t>5 제로 무기자차 선크림옵션=5제로 무기자차 선크림 1개-20% off</t>
        </is>
      </c>
      <c r="K13687" s="94" t="n">
        <v>1</v>
      </c>
      <c r="L13687" s="88" t="n">
        <v>201208</v>
      </c>
      <c r="M13687" s="88">
        <f>VLOOKUP($Q13687,매칭테이블!$F:$I,2,0)*K13687</f>
        <v/>
      </c>
      <c r="N13687" s="88">
        <f>M13687-M13687*VLOOKUP($Q13687,매칭테이블!$F:$I,3,0)</f>
        <v/>
      </c>
      <c r="O13687" s="88">
        <f>VLOOKUP($Q13687,매칭테이블!$F:$I,4,0)*K13687</f>
        <v/>
      </c>
      <c r="P13687" s="152">
        <f>M13687/1.1</f>
        <v/>
      </c>
      <c r="Q13687" s="88">
        <f>F13687&amp;E13687&amp;G13687&amp;L13687</f>
        <v/>
      </c>
    </row>
    <row r="13688">
      <c r="B13688" s="128" t="n">
        <v>44211</v>
      </c>
      <c r="C13688" s="88">
        <f>TEXT(B13688,"aaa")</f>
        <v/>
      </c>
      <c r="D13688" s="94" t="n"/>
      <c r="E13688" s="88">
        <f>INDEX(매칭테이블!C:D,MATCH(RD!G13688,매칭테이블!D:D,0),1)</f>
        <v/>
      </c>
      <c r="F13688" s="94" t="inlineStr">
        <is>
          <t>카페24</t>
        </is>
      </c>
      <c r="G13688" s="94" t="inlineStr">
        <is>
          <t>5 제로 무기자차 선크림옵션=5제로 무기자차 선크림 2개-30% off (무료배송)</t>
        </is>
      </c>
      <c r="K13688" s="94" t="n">
        <v>2</v>
      </c>
      <c r="L13688" s="88" t="n">
        <v>201208</v>
      </c>
      <c r="M13688" s="88">
        <f>VLOOKUP($Q13688,매칭테이블!$F:$I,2,0)*K13688</f>
        <v/>
      </c>
      <c r="N13688" s="88">
        <f>M13688-M13688*VLOOKUP($Q13688,매칭테이블!$F:$I,3,0)</f>
        <v/>
      </c>
      <c r="O13688" s="88">
        <f>VLOOKUP($Q13688,매칭테이블!$F:$I,4,0)*K13688</f>
        <v/>
      </c>
      <c r="P13688" s="152">
        <f>M13688/1.1</f>
        <v/>
      </c>
      <c r="Q13688" s="88">
        <f>F13688&amp;E13688&amp;G13688&amp;L13688</f>
        <v/>
      </c>
    </row>
    <row r="13689">
      <c r="B13689" s="128" t="n">
        <v>44211</v>
      </c>
      <c r="C13689" s="88">
        <f>TEXT(B13689,"aaa")</f>
        <v/>
      </c>
      <c r="D13689" s="94" t="n"/>
      <c r="E13689" s="88">
        <f>INDEX(매칭테이블!C:D,MATCH(RD!G13689,매칭테이블!D:D,0),1)</f>
        <v/>
      </c>
      <c r="F13689" s="94" t="inlineStr">
        <is>
          <t>카페24</t>
        </is>
      </c>
      <c r="G13689" s="94" t="inlineStr">
        <is>
          <t>[01/27 순차발송] 어성초 77 클리어 패드옵션=어성초 77 클리어 패드 1개-20% off</t>
        </is>
      </c>
      <c r="K13689" s="94" t="n">
        <v>22</v>
      </c>
      <c r="L13689" s="88" t="n">
        <v>201208</v>
      </c>
      <c r="M13689" s="88">
        <f>VLOOKUP($Q13689,매칭테이블!$F:$I,2,0)*K13689</f>
        <v/>
      </c>
      <c r="N13689" s="88">
        <f>M13689-M13689*VLOOKUP($Q13689,매칭테이블!$F:$I,3,0)</f>
        <v/>
      </c>
      <c r="O13689" s="88">
        <f>VLOOKUP($Q13689,매칭테이블!$F:$I,4,0)*K13689</f>
        <v/>
      </c>
      <c r="P13689" s="152">
        <f>M13689/1.1</f>
        <v/>
      </c>
      <c r="Q13689" s="88">
        <f>F13689&amp;E13689&amp;G13689&amp;L13689</f>
        <v/>
      </c>
    </row>
    <row r="13690">
      <c r="B13690" s="128" t="n">
        <v>44211</v>
      </c>
      <c r="C13690" s="88">
        <f>TEXT(B13690,"aaa")</f>
        <v/>
      </c>
      <c r="D13690" s="94" t="n"/>
      <c r="E13690" s="88">
        <f>INDEX(매칭테이블!C:D,MATCH(RD!G13690,매칭테이블!D:D,0),1)</f>
        <v/>
      </c>
      <c r="F13690" s="94" t="inlineStr">
        <is>
          <t>카페24</t>
        </is>
      </c>
      <c r="G13690" s="94" t="inlineStr">
        <is>
          <t>[01/27 순차발송] 어성초 77 클리어 패드옵션=어성초 77 클리어 패드 2개-30% off (무료배송)</t>
        </is>
      </c>
      <c r="K13690" s="94" t="n">
        <v>11</v>
      </c>
      <c r="L13690" s="88" t="n">
        <v>201208</v>
      </c>
      <c r="M13690" s="88">
        <f>VLOOKUP($Q13690,매칭테이블!$F:$I,2,0)*K13690</f>
        <v/>
      </c>
      <c r="N13690" s="88">
        <f>M13690-M13690*VLOOKUP($Q13690,매칭테이블!$F:$I,3,0)</f>
        <v/>
      </c>
      <c r="O13690" s="88">
        <f>VLOOKUP($Q13690,매칭테이블!$F:$I,4,0)*K13690</f>
        <v/>
      </c>
      <c r="P13690" s="152">
        <f>M13690/1.1</f>
        <v/>
      </c>
      <c r="Q13690" s="88">
        <f>F13690&amp;E13690&amp;G13690&amp;L13690</f>
        <v/>
      </c>
    </row>
    <row r="13691">
      <c r="B13691" s="128" t="n">
        <v>44211</v>
      </c>
      <c r="C13691" s="88">
        <f>TEXT(B13691,"aaa")</f>
        <v/>
      </c>
      <c r="D13691" s="94" t="n"/>
      <c r="E13691" s="88">
        <f>INDEX(매칭테이블!C:D,MATCH(RD!G13691,매칭테이블!D:D,0),1)</f>
        <v/>
      </c>
      <c r="F13691" s="94" t="inlineStr">
        <is>
          <t>카페24</t>
        </is>
      </c>
      <c r="G13691" s="94" t="inlineStr">
        <is>
          <t>[01/27 순차발송] 어성초 77 클리어 패드옵션=어성초 77 클리어 패드 2+1 EVENT (무료배송)</t>
        </is>
      </c>
      <c r="K13691" s="94" t="n">
        <v>10</v>
      </c>
      <c r="L13691" s="88" t="n">
        <v>201208</v>
      </c>
      <c r="M13691" s="88">
        <f>VLOOKUP($Q13691,매칭테이블!$F:$I,2,0)*K13691</f>
        <v/>
      </c>
      <c r="N13691" s="88">
        <f>M13691-M13691*VLOOKUP($Q13691,매칭테이블!$F:$I,3,0)</f>
        <v/>
      </c>
      <c r="O13691" s="88">
        <f>VLOOKUP($Q13691,매칭테이블!$F:$I,4,0)*K13691</f>
        <v/>
      </c>
      <c r="P13691" s="152">
        <f>M13691/1.1</f>
        <v/>
      </c>
      <c r="Q13691" s="88">
        <f>F13691&amp;E13691&amp;G13691&amp;L13691</f>
        <v/>
      </c>
    </row>
    <row r="13692">
      <c r="B13692" s="128" t="n">
        <v>44211</v>
      </c>
      <c r="C13692" s="88">
        <f>TEXT(B13692,"aaa")</f>
        <v/>
      </c>
      <c r="D13692" s="94" t="n"/>
      <c r="E13692" s="88">
        <f>INDEX(매칭테이블!C:D,MATCH(RD!G13692,매칭테이블!D:D,0),1)</f>
        <v/>
      </c>
      <c r="F13692" s="94" t="inlineStr">
        <is>
          <t>카페24</t>
        </is>
      </c>
      <c r="G13692" s="94" t="inlineStr">
        <is>
          <t>[01/27 순차발송] 어성초 77 클리어 패드옵션=어성초77토너1개+어성초77패드1개-30% off (무료배송)</t>
        </is>
      </c>
      <c r="K13692" s="94" t="n">
        <v>7</v>
      </c>
      <c r="L13692" s="88" t="n">
        <v>201208</v>
      </c>
      <c r="M13692" s="88">
        <f>VLOOKUP($Q13692,매칭테이블!$F:$I,2,0)*K13692</f>
        <v/>
      </c>
      <c r="N13692" s="88">
        <f>M13692-M13692*VLOOKUP($Q13692,매칭테이블!$F:$I,3,0)</f>
        <v/>
      </c>
      <c r="O13692" s="88">
        <f>VLOOKUP($Q13692,매칭테이블!$F:$I,4,0)*K13692</f>
        <v/>
      </c>
      <c r="P13692" s="152">
        <f>M13692/1.1</f>
        <v/>
      </c>
      <c r="Q13692" s="88">
        <f>F13692&amp;E13692&amp;G13692&amp;L13692</f>
        <v/>
      </c>
    </row>
    <row r="13693">
      <c r="B13693" s="128" t="n">
        <v>44211</v>
      </c>
      <c r="C13693" s="88">
        <f>TEXT(B13693,"aaa")</f>
        <v/>
      </c>
      <c r="D13693" s="94" t="n"/>
      <c r="E13693" s="88">
        <f>INDEX(매칭테이블!C:D,MATCH(RD!G13693,매칭테이블!D:D,0),1)</f>
        <v/>
      </c>
      <c r="F13693" s="94" t="inlineStr">
        <is>
          <t>카페24</t>
        </is>
      </c>
      <c r="G13693" s="94" t="inlineStr">
        <is>
          <t>[01/27 순차발송] 어성초 77 포어 클리어 패드옵션=어성초 77 클리어 패드 1개-20% off</t>
        </is>
      </c>
      <c r="K13693" s="94" t="n">
        <v>1</v>
      </c>
      <c r="L13693" s="88" t="n">
        <v>201208</v>
      </c>
      <c r="M13693" s="88">
        <f>VLOOKUP($Q13693,매칭테이블!$F:$I,2,0)*K13693</f>
        <v/>
      </c>
      <c r="N13693" s="88">
        <f>M13693-M13693*VLOOKUP($Q13693,매칭테이블!$F:$I,3,0)</f>
        <v/>
      </c>
      <c r="O13693" s="88">
        <f>VLOOKUP($Q13693,매칭테이블!$F:$I,4,0)*K13693</f>
        <v/>
      </c>
      <c r="P13693" s="152">
        <f>M13693/1.1</f>
        <v/>
      </c>
      <c r="Q13693" s="88">
        <f>F13693&amp;E13693&amp;G13693&amp;L13693</f>
        <v/>
      </c>
    </row>
    <row r="13694">
      <c r="B13694" s="128" t="n">
        <v>44211</v>
      </c>
      <c r="C13694" s="88">
        <f>TEXT(B13694,"aaa")</f>
        <v/>
      </c>
      <c r="D13694" s="94" t="n"/>
      <c r="E13694" s="88">
        <f>INDEX(매칭테이블!C:D,MATCH(RD!G13694,매칭테이블!D:D,0),1)</f>
        <v/>
      </c>
      <c r="F13694" s="94" t="inlineStr">
        <is>
          <t>카페24</t>
        </is>
      </c>
      <c r="G13694" s="94" t="inlineStr">
        <is>
          <t>[01/27 순차발송] 어성초 77 포어 클리어 패드옵션=어성초 77 클리어 패드 2개-30% off (무료배송)</t>
        </is>
      </c>
      <c r="K13694" s="94" t="n">
        <v>2</v>
      </c>
      <c r="L13694" s="88" t="n">
        <v>201208</v>
      </c>
      <c r="M13694" s="88">
        <f>VLOOKUP($Q13694,매칭테이블!$F:$I,2,0)*K13694</f>
        <v/>
      </c>
      <c r="N13694" s="88">
        <f>M13694-M13694*VLOOKUP($Q13694,매칭테이블!$F:$I,3,0)</f>
        <v/>
      </c>
      <c r="O13694" s="88">
        <f>VLOOKUP($Q13694,매칭테이블!$F:$I,4,0)*K13694</f>
        <v/>
      </c>
      <c r="P13694" s="152">
        <f>M13694/1.1</f>
        <v/>
      </c>
      <c r="Q13694" s="88">
        <f>F13694&amp;E13694&amp;G13694&amp;L13694</f>
        <v/>
      </c>
    </row>
    <row r="13695">
      <c r="B13695" s="128" t="n">
        <v>44211</v>
      </c>
      <c r="C13695" s="88">
        <f>TEXT(B13695,"aaa")</f>
        <v/>
      </c>
      <c r="D13695" s="94" t="n"/>
      <c r="E13695" s="88">
        <f>INDEX(매칭테이블!C:D,MATCH(RD!G13695,매칭테이블!D:D,0),1)</f>
        <v/>
      </c>
      <c r="F13695" s="94" t="inlineStr">
        <is>
          <t>카페24</t>
        </is>
      </c>
      <c r="G13695" s="94" t="inlineStr">
        <is>
          <t>[01/27 순차발송] 어성초 77 포어 클리어 패드옵션=어성초 77 클리어 패드 2+1 EVENT (무료배송)</t>
        </is>
      </c>
      <c r="K13695" s="94" t="n">
        <v>1</v>
      </c>
      <c r="L13695" s="88" t="n">
        <v>201208</v>
      </c>
      <c r="M13695" s="88">
        <f>VLOOKUP($Q13695,매칭테이블!$F:$I,2,0)*K13695</f>
        <v/>
      </c>
      <c r="N13695" s="88">
        <f>M13695-M13695*VLOOKUP($Q13695,매칭테이블!$F:$I,3,0)</f>
        <v/>
      </c>
      <c r="O13695" s="88">
        <f>VLOOKUP($Q13695,매칭테이블!$F:$I,4,0)*K13695</f>
        <v/>
      </c>
      <c r="P13695" s="152">
        <f>M13695/1.1</f>
        <v/>
      </c>
      <c r="Q13695" s="88">
        <f>F13695&amp;E13695&amp;G13695&amp;L13695</f>
        <v/>
      </c>
    </row>
    <row r="13696">
      <c r="B13696" s="128" t="n">
        <v>44211</v>
      </c>
      <c r="C13696" s="88">
        <f>TEXT(B13696,"aaa")</f>
        <v/>
      </c>
      <c r="D13696" s="94" t="n"/>
      <c r="E13696" s="88">
        <f>INDEX(매칭테이블!C:D,MATCH(RD!G13696,매칭테이블!D:D,0),1)</f>
        <v/>
      </c>
      <c r="F13696" s="94" t="inlineStr">
        <is>
          <t>카페24</t>
        </is>
      </c>
      <c r="G13696" s="94" t="inlineStr">
        <is>
          <t>[01/27 순차발송] 어성초 77 포어 클리어 패드옵션=어성초77토너1개+어성초77패드1개-30% off (무료배송)</t>
        </is>
      </c>
      <c r="K13696" s="94" t="n">
        <v>1</v>
      </c>
      <c r="L13696" s="88" t="n">
        <v>201208</v>
      </c>
      <c r="M13696" s="88">
        <f>VLOOKUP($Q13696,매칭테이블!$F:$I,2,0)*K13696</f>
        <v/>
      </c>
      <c r="N13696" s="88">
        <f>M13696-M13696*VLOOKUP($Q13696,매칭테이블!$F:$I,3,0)</f>
        <v/>
      </c>
      <c r="O13696" s="88">
        <f>VLOOKUP($Q13696,매칭테이블!$F:$I,4,0)*K13696</f>
        <v/>
      </c>
      <c r="P13696" s="152">
        <f>M13696/1.1</f>
        <v/>
      </c>
      <c r="Q13696" s="88">
        <f>F13696&amp;E13696&amp;G13696&amp;L13696</f>
        <v/>
      </c>
    </row>
    <row r="13697">
      <c r="B13697" s="128" t="n">
        <v>44211</v>
      </c>
      <c r="C13697" s="88">
        <f>TEXT(B13697,"aaa")</f>
        <v/>
      </c>
      <c r="D13697" s="94" t="n"/>
      <c r="E13697" s="88">
        <f>INDEX(매칭테이블!C:D,MATCH(RD!G13697,매칭테이블!D:D,0),1)</f>
        <v/>
      </c>
      <c r="F13697" s="94" t="inlineStr">
        <is>
          <t>카페24</t>
        </is>
      </c>
      <c r="G13697" s="94" t="inlineStr">
        <is>
          <t>[01/27 순차발송] 어성초 77% 패드옵션=어성초 77 클리어 패드 1개-20% off</t>
        </is>
      </c>
      <c r="K13697" s="94" t="n">
        <v>9</v>
      </c>
      <c r="L13697" s="88" t="n">
        <v>201208</v>
      </c>
      <c r="M13697" s="88">
        <f>VLOOKUP($Q13697,매칭테이블!$F:$I,2,0)*K13697</f>
        <v/>
      </c>
      <c r="N13697" s="88">
        <f>M13697-M13697*VLOOKUP($Q13697,매칭테이블!$F:$I,3,0)</f>
        <v/>
      </c>
      <c r="O13697" s="88">
        <f>VLOOKUP($Q13697,매칭테이블!$F:$I,4,0)*K13697</f>
        <v/>
      </c>
      <c r="P13697" s="152">
        <f>M13697/1.1</f>
        <v/>
      </c>
      <c r="Q13697" s="88">
        <f>F13697&amp;E13697&amp;G13697&amp;L13697</f>
        <v/>
      </c>
    </row>
    <row r="13698">
      <c r="B13698" s="128" t="n">
        <v>44211</v>
      </c>
      <c r="C13698" s="88">
        <f>TEXT(B13698,"aaa")</f>
        <v/>
      </c>
      <c r="D13698" s="94" t="n"/>
      <c r="E13698" s="88">
        <f>INDEX(매칭테이블!C:D,MATCH(RD!G13698,매칭테이블!D:D,0),1)</f>
        <v/>
      </c>
      <c r="F13698" s="94" t="inlineStr">
        <is>
          <t>카페24</t>
        </is>
      </c>
      <c r="G13698" s="94" t="inlineStr">
        <is>
          <t>[01/27 순차발송] 어성초 77% 패드옵션=어성초 77 클리어 패드 2개-30% off (무료배송)</t>
        </is>
      </c>
      <c r="K13698" s="94" t="n">
        <v>14</v>
      </c>
      <c r="L13698" s="88" t="n">
        <v>201208</v>
      </c>
      <c r="M13698" s="88">
        <f>VLOOKUP($Q13698,매칭테이블!$F:$I,2,0)*K13698</f>
        <v/>
      </c>
      <c r="N13698" s="88">
        <f>M13698-M13698*VLOOKUP($Q13698,매칭테이블!$F:$I,3,0)</f>
        <v/>
      </c>
      <c r="O13698" s="88">
        <f>VLOOKUP($Q13698,매칭테이블!$F:$I,4,0)*K13698</f>
        <v/>
      </c>
      <c r="P13698" s="152">
        <f>M13698/1.1</f>
        <v/>
      </c>
      <c r="Q13698" s="88">
        <f>F13698&amp;E13698&amp;G13698&amp;L13698</f>
        <v/>
      </c>
    </row>
    <row r="13699">
      <c r="B13699" s="128" t="n">
        <v>44211</v>
      </c>
      <c r="C13699" s="88">
        <f>TEXT(B13699,"aaa")</f>
        <v/>
      </c>
      <c r="D13699" s="94" t="n"/>
      <c r="E13699" s="88">
        <f>INDEX(매칭테이블!C:D,MATCH(RD!G13699,매칭테이블!D:D,0),1)</f>
        <v/>
      </c>
      <c r="F13699" s="94" t="inlineStr">
        <is>
          <t>카페24</t>
        </is>
      </c>
      <c r="G13699" s="94" t="inlineStr">
        <is>
          <t>[01/27 순차발송] 어성초 77% 패드옵션=어성초 77 클리어 패드 2+1 EVENT (무료배송)</t>
        </is>
      </c>
      <c r="K13699" s="94" t="n">
        <v>7</v>
      </c>
      <c r="L13699" s="88" t="n">
        <v>201208</v>
      </c>
      <c r="M13699" s="88">
        <f>VLOOKUP($Q13699,매칭테이블!$F:$I,2,0)*K13699</f>
        <v/>
      </c>
      <c r="N13699" s="88">
        <f>M13699-M13699*VLOOKUP($Q13699,매칭테이블!$F:$I,3,0)</f>
        <v/>
      </c>
      <c r="O13699" s="88">
        <f>VLOOKUP($Q13699,매칭테이블!$F:$I,4,0)*K13699</f>
        <v/>
      </c>
      <c r="P13699" s="152">
        <f>M13699/1.1</f>
        <v/>
      </c>
      <c r="Q13699" s="88">
        <f>F13699&amp;E13699&amp;G13699&amp;L13699</f>
        <v/>
      </c>
    </row>
    <row r="13700">
      <c r="B13700" s="128" t="n">
        <v>44211</v>
      </c>
      <c r="C13700" s="88">
        <f>TEXT(B13700,"aaa")</f>
        <v/>
      </c>
      <c r="D13700" s="94" t="n"/>
      <c r="E13700" s="88">
        <f>INDEX(매칭테이블!C:D,MATCH(RD!G13700,매칭테이블!D:D,0),1)</f>
        <v/>
      </c>
      <c r="F13700" s="94" t="inlineStr">
        <is>
          <t>카페24</t>
        </is>
      </c>
      <c r="G13700" s="94" t="inlineStr">
        <is>
          <t>[01/27 순차발송] 어성초 77% 패드옵션=어성초77토너1개+어성초77패드1개-30% off (무료배송)</t>
        </is>
      </c>
      <c r="K13700" s="94" t="n">
        <v>6</v>
      </c>
      <c r="L13700" s="88" t="n">
        <v>201208</v>
      </c>
      <c r="M13700" s="88">
        <f>VLOOKUP($Q13700,매칭테이블!$F:$I,2,0)*K13700</f>
        <v/>
      </c>
      <c r="N13700" s="88">
        <f>M13700-M13700*VLOOKUP($Q13700,매칭테이블!$F:$I,3,0)</f>
        <v/>
      </c>
      <c r="O13700" s="88">
        <f>VLOOKUP($Q13700,매칭테이블!$F:$I,4,0)*K13700</f>
        <v/>
      </c>
      <c r="P13700" s="152">
        <f>M13700/1.1</f>
        <v/>
      </c>
      <c r="Q13700" s="88">
        <f>F13700&amp;E13700&amp;G13700&amp;L13700</f>
        <v/>
      </c>
    </row>
    <row r="13701">
      <c r="B13701" s="128" t="n">
        <v>44211</v>
      </c>
      <c r="C13701" s="88">
        <f>TEXT(B13701,"aaa")</f>
        <v/>
      </c>
      <c r="D13701" s="94" t="n"/>
      <c r="E13701" s="88">
        <f>INDEX(매칭테이블!C:D,MATCH(RD!G13701,매칭테이블!D:D,0),1)</f>
        <v/>
      </c>
      <c r="F13701" s="94" t="inlineStr">
        <is>
          <t>카페24</t>
        </is>
      </c>
      <c r="G13701" s="94" t="inlineStr">
        <is>
          <t>[수분 보충 세트] 어성초 77 토너 + 어성초 70 로션옵션=어성초 77 토너 250ml + 어성초 70 로션 200ml -30%</t>
        </is>
      </c>
      <c r="K13701" s="94" t="n">
        <v>52</v>
      </c>
      <c r="L13701" s="88" t="n">
        <v>201208</v>
      </c>
      <c r="M13701" s="88">
        <f>VLOOKUP($Q13701,매칭테이블!$F:$I,2,0)*K13701</f>
        <v/>
      </c>
      <c r="N13701" s="88">
        <f>M13701-M13701*VLOOKUP($Q13701,매칭테이블!$F:$I,3,0)</f>
        <v/>
      </c>
      <c r="O13701" s="88">
        <f>VLOOKUP($Q13701,매칭테이블!$F:$I,4,0)*K13701</f>
        <v/>
      </c>
      <c r="P13701" s="152">
        <f>M13701/1.1</f>
        <v/>
      </c>
      <c r="Q13701" s="88">
        <f>F13701&amp;E13701&amp;G13701&amp;L13701</f>
        <v/>
      </c>
    </row>
    <row r="13702">
      <c r="B13702" s="128" t="n">
        <v>44211</v>
      </c>
      <c r="C13702" s="88">
        <f>TEXT(B13702,"aaa")</f>
        <v/>
      </c>
      <c r="D13702" s="94" t="n"/>
      <c r="E13702" s="88">
        <f>INDEX(매칭테이블!C:D,MATCH(RD!G13702,매칭테이블!D:D,0),1)</f>
        <v/>
      </c>
      <c r="F13702" s="94" t="inlineStr">
        <is>
          <t>카페24</t>
        </is>
      </c>
      <c r="G13702" s="94" t="inlineStr">
        <is>
          <t>[어성초 진정 패키지 세트] 대용량 토너 + 앰플 + 수딩 크림 + 마스크팩 10장</t>
        </is>
      </c>
      <c r="K13702" s="94" t="n">
        <v>3</v>
      </c>
      <c r="L13702" s="88" t="n">
        <v>201208</v>
      </c>
      <c r="M13702" s="88">
        <f>VLOOKUP($Q13702,매칭테이블!$F:$I,2,0)*K13702</f>
        <v/>
      </c>
      <c r="N13702" s="88">
        <f>M13702-M13702*VLOOKUP($Q13702,매칭테이블!$F:$I,3,0)</f>
        <v/>
      </c>
      <c r="O13702" s="88">
        <f>VLOOKUP($Q13702,매칭테이블!$F:$I,4,0)*K13702</f>
        <v/>
      </c>
      <c r="P13702" s="152">
        <f>M13702/1.1</f>
        <v/>
      </c>
      <c r="Q13702" s="88">
        <f>F13702&amp;E13702&amp;G13702&amp;L13702</f>
        <v/>
      </c>
    </row>
    <row r="13703">
      <c r="B13703" s="128" t="n">
        <v>44211</v>
      </c>
      <c r="C13703" s="88">
        <f>TEXT(B13703,"aaa")</f>
        <v/>
      </c>
      <c r="D13703" s="94" t="n"/>
      <c r="E13703" s="88">
        <f>INDEX(매칭테이블!C:D,MATCH(RD!G13703,매칭테이블!D:D,0),1)</f>
        <v/>
      </c>
      <c r="F13703" s="94" t="inlineStr">
        <is>
          <t>카페24</t>
        </is>
      </c>
      <c r="G13703" s="94" t="inlineStr">
        <is>
          <t>대용량 어성초 77 수딩 토너 500ml옵션=대용량 어성초 77 토너 1개 - 27% OFF</t>
        </is>
      </c>
      <c r="K13703" s="94" t="n">
        <v>37</v>
      </c>
      <c r="L13703" s="88" t="n">
        <v>201208</v>
      </c>
      <c r="M13703" s="88">
        <f>VLOOKUP($Q13703,매칭테이블!$F:$I,2,0)*K13703</f>
        <v/>
      </c>
      <c r="N13703" s="88">
        <f>M13703-M13703*VLOOKUP($Q13703,매칭테이블!$F:$I,3,0)</f>
        <v/>
      </c>
      <c r="O13703" s="88">
        <f>VLOOKUP($Q13703,매칭테이블!$F:$I,4,0)*K13703</f>
        <v/>
      </c>
      <c r="P13703" s="152">
        <f>M13703/1.1</f>
        <v/>
      </c>
      <c r="Q13703" s="88">
        <f>F13703&amp;E13703&amp;G13703&amp;L13703</f>
        <v/>
      </c>
    </row>
    <row r="13704">
      <c r="B13704" s="128" t="n">
        <v>44211</v>
      </c>
      <c r="C13704" s="88">
        <f>TEXT(B13704,"aaa")</f>
        <v/>
      </c>
      <c r="D13704" s="94" t="n"/>
      <c r="E13704" s="88">
        <f>INDEX(매칭테이블!C:D,MATCH(RD!G13704,매칭테이블!D:D,0),1)</f>
        <v/>
      </c>
      <c r="F13704" s="94" t="inlineStr">
        <is>
          <t>카페24</t>
        </is>
      </c>
      <c r="G13704" s="94" t="inlineStr">
        <is>
          <t>대용량 어성초 77 수딩 토너 500ml화장솜(선택)=촉촉 스킨팩 화장솜</t>
        </is>
      </c>
      <c r="K13704" s="94" t="n">
        <v>12</v>
      </c>
      <c r="L13704" s="88" t="n">
        <v>201208</v>
      </c>
      <c r="M13704" s="88">
        <f>VLOOKUP($Q13704,매칭테이블!$F:$I,2,0)*K13704</f>
        <v/>
      </c>
      <c r="N13704" s="88">
        <f>M13704-M13704*VLOOKUP($Q13704,매칭테이블!$F:$I,3,0)</f>
        <v/>
      </c>
      <c r="O13704" s="88">
        <f>VLOOKUP($Q13704,매칭테이블!$F:$I,4,0)*K13704</f>
        <v/>
      </c>
      <c r="P13704" s="152">
        <f>M13704/1.1</f>
        <v/>
      </c>
      <c r="Q13704" s="88">
        <f>F13704&amp;E13704&amp;G13704&amp;L13704</f>
        <v/>
      </c>
    </row>
    <row r="13705">
      <c r="B13705" s="128" t="n">
        <v>44211</v>
      </c>
      <c r="C13705" s="88">
        <f>TEXT(B13705,"aaa")</f>
        <v/>
      </c>
      <c r="D13705" s="94" t="n"/>
      <c r="E13705" s="88">
        <f>INDEX(매칭테이블!C:D,MATCH(RD!G13705,매칭테이블!D:D,0),1)</f>
        <v/>
      </c>
      <c r="F13705" s="94" t="inlineStr">
        <is>
          <t>카페24</t>
        </is>
      </c>
      <c r="G13705" s="94" t="inlineStr">
        <is>
          <t>아누아 어성초 77 수딩 토너토너(필수)=어성초 77 토너 1개-20% off</t>
        </is>
      </c>
      <c r="K13705" s="94" t="n">
        <v>1</v>
      </c>
      <c r="L13705" s="88" t="n">
        <v>201208</v>
      </c>
      <c r="M13705" s="88">
        <f>VLOOKUP($Q13705,매칭테이블!$F:$I,2,0)*K13705</f>
        <v/>
      </c>
      <c r="N13705" s="88">
        <f>M13705-M13705*VLOOKUP($Q13705,매칭테이블!$F:$I,3,0)</f>
        <v/>
      </c>
      <c r="O13705" s="88">
        <f>VLOOKUP($Q13705,매칭테이블!$F:$I,4,0)*K13705</f>
        <v/>
      </c>
      <c r="P13705" s="152">
        <f>M13705/1.1</f>
        <v/>
      </c>
      <c r="Q13705" s="88">
        <f>F13705&amp;E13705&amp;G13705&amp;L13705</f>
        <v/>
      </c>
    </row>
    <row r="13706">
      <c r="B13706" s="128" t="n">
        <v>44211</v>
      </c>
      <c r="C13706" s="88">
        <f>TEXT(B13706,"aaa")</f>
        <v/>
      </c>
      <c r="D13706" s="94" t="n"/>
      <c r="E13706" s="88">
        <f>INDEX(매칭테이블!C:D,MATCH(RD!G13706,매칭테이블!D:D,0),1)</f>
        <v/>
      </c>
      <c r="F13706" s="94" t="inlineStr">
        <is>
          <t>카페24</t>
        </is>
      </c>
      <c r="G13706" s="94" t="inlineStr">
        <is>
          <t>아누아 어성초 77 수딩 토너화장솜(선택)=촉촉 스킨팩 화장솜</t>
        </is>
      </c>
      <c r="K13706" s="94" t="n">
        <v>2</v>
      </c>
      <c r="L13706" s="88" t="n">
        <v>201208</v>
      </c>
      <c r="M13706" s="88">
        <f>VLOOKUP($Q13706,매칭테이블!$F:$I,2,0)*K13706</f>
        <v/>
      </c>
      <c r="N13706" s="88">
        <f>M13706-M13706*VLOOKUP($Q13706,매칭테이블!$F:$I,3,0)</f>
        <v/>
      </c>
      <c r="O13706" s="88">
        <f>VLOOKUP($Q13706,매칭테이블!$F:$I,4,0)*K13706</f>
        <v/>
      </c>
      <c r="P13706" s="152">
        <f>M13706/1.1</f>
        <v/>
      </c>
      <c r="Q13706" s="88">
        <f>F13706&amp;E13706&amp;G13706&amp;L13706</f>
        <v/>
      </c>
    </row>
    <row r="13707">
      <c r="B13707" s="128" t="n">
        <v>44211</v>
      </c>
      <c r="C13707" s="88">
        <f>TEXT(B13707,"aaa")</f>
        <v/>
      </c>
      <c r="D13707" s="94" t="n"/>
      <c r="E13707" s="88">
        <f>INDEX(매칭테이블!C:D,MATCH(RD!G13707,매칭테이블!D:D,0),1)</f>
        <v/>
      </c>
      <c r="F13707" s="94" t="inlineStr">
        <is>
          <t>카페24</t>
        </is>
      </c>
      <c r="G13707" s="94" t="inlineStr">
        <is>
          <t>어성초 70 데일리 릴리프 로션로션=어성초 70 데일리 릴리프 로션 1개 -20% off</t>
        </is>
      </c>
      <c r="K13707" s="94" t="n">
        <v>13</v>
      </c>
      <c r="L13707" s="88" t="n">
        <v>201208</v>
      </c>
      <c r="M13707" s="88">
        <f>VLOOKUP($Q13707,매칭테이블!$F:$I,2,0)*K13707</f>
        <v/>
      </c>
      <c r="N13707" s="88">
        <f>M13707-M13707*VLOOKUP($Q13707,매칭테이블!$F:$I,3,0)</f>
        <v/>
      </c>
      <c r="O13707" s="88">
        <f>VLOOKUP($Q13707,매칭테이블!$F:$I,4,0)*K13707</f>
        <v/>
      </c>
      <c r="P13707" s="152">
        <f>M13707/1.1</f>
        <v/>
      </c>
      <c r="Q13707" s="88">
        <f>F13707&amp;E13707&amp;G13707&amp;L13707</f>
        <v/>
      </c>
    </row>
    <row r="13708">
      <c r="B13708" s="128" t="n">
        <v>44211</v>
      </c>
      <c r="C13708" s="88">
        <f>TEXT(B13708,"aaa")</f>
        <v/>
      </c>
      <c r="D13708" s="94" t="n"/>
      <c r="E13708" s="88">
        <f>INDEX(매칭테이블!C:D,MATCH(RD!G13708,매칭테이블!D:D,0),1)</f>
        <v/>
      </c>
      <c r="F13708" s="94" t="inlineStr">
        <is>
          <t>카페24</t>
        </is>
      </c>
      <c r="G13708" s="94" t="inlineStr">
        <is>
          <t>어성초 70 데일리 릴리프 로션로션=어성초 70 데일리 릴리프 로션 2개 -30% off</t>
        </is>
      </c>
      <c r="K13708" s="94" t="n">
        <v>7</v>
      </c>
      <c r="L13708" s="88" t="n">
        <v>201208</v>
      </c>
      <c r="M13708" s="88">
        <f>VLOOKUP($Q13708,매칭테이블!$F:$I,2,0)*K13708</f>
        <v/>
      </c>
      <c r="N13708" s="88">
        <f>M13708-M13708*VLOOKUP($Q13708,매칭테이블!$F:$I,3,0)</f>
        <v/>
      </c>
      <c r="O13708" s="88">
        <f>VLOOKUP($Q13708,매칭테이블!$F:$I,4,0)*K13708</f>
        <v/>
      </c>
      <c r="P13708" s="152">
        <f>M13708/1.1</f>
        <v/>
      </c>
      <c r="Q13708" s="88">
        <f>F13708&amp;E13708&amp;G13708&amp;L13708</f>
        <v/>
      </c>
    </row>
    <row r="13709">
      <c r="B13709" s="128" t="n">
        <v>44211</v>
      </c>
      <c r="C13709" s="88">
        <f>TEXT(B13709,"aaa")</f>
        <v/>
      </c>
      <c r="D13709" s="94" t="n"/>
      <c r="E13709" s="88">
        <f>INDEX(매칭테이블!C:D,MATCH(RD!G13709,매칭테이블!D:D,0),1)</f>
        <v/>
      </c>
      <c r="F13709" s="94" t="inlineStr">
        <is>
          <t>카페24</t>
        </is>
      </c>
      <c r="G13709" s="94" t="inlineStr">
        <is>
          <t>어성초 70 데일리 릴리프 로션로션=어성초 77토너 + 어성초 70 로션 수분 보충 세트 -30% off</t>
        </is>
      </c>
      <c r="K13709" s="94" t="n">
        <v>2</v>
      </c>
      <c r="L13709" s="88" t="n">
        <v>201208</v>
      </c>
      <c r="M13709" s="88">
        <f>VLOOKUP($Q13709,매칭테이블!$F:$I,2,0)*K13709</f>
        <v/>
      </c>
      <c r="N13709" s="88">
        <f>M13709-M13709*VLOOKUP($Q13709,매칭테이블!$F:$I,3,0)</f>
        <v/>
      </c>
      <c r="O13709" s="88">
        <f>VLOOKUP($Q13709,매칭테이블!$F:$I,4,0)*K13709</f>
        <v/>
      </c>
      <c r="P13709" s="152">
        <f>M13709/1.1</f>
        <v/>
      </c>
      <c r="Q13709" s="88">
        <f>F13709&amp;E13709&amp;G13709&amp;L13709</f>
        <v/>
      </c>
    </row>
    <row r="13710">
      <c r="B13710" s="128" t="n">
        <v>44211</v>
      </c>
      <c r="C13710" s="88">
        <f>TEXT(B13710,"aaa")</f>
        <v/>
      </c>
      <c r="D13710" s="94" t="n"/>
      <c r="E13710" s="88">
        <f>INDEX(매칭테이블!C:D,MATCH(RD!G13710,매칭테이블!D:D,0),1)</f>
        <v/>
      </c>
      <c r="F13710" s="94" t="inlineStr">
        <is>
          <t>카페24</t>
        </is>
      </c>
      <c r="G13710" s="94" t="inlineStr">
        <is>
          <t>어성초 70 머드 크림 마스크옵션=어성초 70 머드 크림 마스크-20% off</t>
        </is>
      </c>
      <c r="K13710" s="94" t="n">
        <v>3</v>
      </c>
      <c r="L13710" s="88" t="n">
        <v>201208</v>
      </c>
      <c r="M13710" s="88">
        <f>VLOOKUP($Q13710,매칭테이블!$F:$I,2,0)*K13710</f>
        <v/>
      </c>
      <c r="N13710" s="88">
        <f>M13710-M13710*VLOOKUP($Q13710,매칭테이블!$F:$I,3,0)</f>
        <v/>
      </c>
      <c r="O13710" s="88">
        <f>VLOOKUP($Q13710,매칭테이블!$F:$I,4,0)*K13710</f>
        <v/>
      </c>
      <c r="P13710" s="152">
        <f>M13710/1.1</f>
        <v/>
      </c>
      <c r="Q13710" s="88">
        <f>F13710&amp;E13710&amp;G13710&amp;L13710</f>
        <v/>
      </c>
    </row>
    <row r="13711">
      <c r="B13711" s="128" t="n">
        <v>44211</v>
      </c>
      <c r="C13711" s="88">
        <f>TEXT(B13711,"aaa")</f>
        <v/>
      </c>
      <c r="D13711" s="94" t="n"/>
      <c r="E13711" s="88">
        <f>INDEX(매칭테이블!C:D,MATCH(RD!G13711,매칭테이블!D:D,0),1)</f>
        <v/>
      </c>
      <c r="F13711" s="94" t="inlineStr">
        <is>
          <t>카페24</t>
        </is>
      </c>
      <c r="G13711" s="94" t="inlineStr">
        <is>
          <t>어성초 70 머드 크림 마스크옵션=어성초 70 머드 크림 마스크 2개-30% off (무료배송)</t>
        </is>
      </c>
      <c r="K13711" s="94" t="n">
        <v>1</v>
      </c>
      <c r="L13711" s="88" t="n">
        <v>201208</v>
      </c>
      <c r="M13711" s="88">
        <f>VLOOKUP($Q13711,매칭테이블!$F:$I,2,0)*K13711</f>
        <v/>
      </c>
      <c r="N13711" s="88">
        <f>M13711-M13711*VLOOKUP($Q13711,매칭테이블!$F:$I,3,0)</f>
        <v/>
      </c>
      <c r="O13711" s="88">
        <f>VLOOKUP($Q13711,매칭테이블!$F:$I,4,0)*K13711</f>
        <v/>
      </c>
      <c r="P13711" s="152">
        <f>M13711/1.1</f>
        <v/>
      </c>
      <c r="Q13711" s="88">
        <f>F13711&amp;E13711&amp;G13711&amp;L13711</f>
        <v/>
      </c>
    </row>
    <row r="13712">
      <c r="B13712" s="128" t="n">
        <v>44211</v>
      </c>
      <c r="C13712" s="88">
        <f>TEXT(B13712,"aaa")</f>
        <v/>
      </c>
      <c r="D13712" s="94" t="n"/>
      <c r="E13712" s="88">
        <f>INDEX(매칭테이블!C:D,MATCH(RD!G13712,매칭테이블!D:D,0),1)</f>
        <v/>
      </c>
      <c r="F13712" s="94" t="inlineStr">
        <is>
          <t>카페24</t>
        </is>
      </c>
      <c r="G13712" s="94" t="inlineStr">
        <is>
          <t>어성초 70 인텐스 카밍 크림크림=어성초 70 인텐스 카밍 크림 1개 (-20%)</t>
        </is>
      </c>
      <c r="K13712" s="94" t="n">
        <v>5</v>
      </c>
      <c r="L13712" s="88" t="n">
        <v>201208</v>
      </c>
      <c r="M13712" s="88">
        <f>VLOOKUP($Q13712,매칭테이블!$F:$I,2,0)*K13712</f>
        <v/>
      </c>
      <c r="N13712" s="88">
        <f>M13712-M13712*VLOOKUP($Q13712,매칭테이블!$F:$I,3,0)</f>
        <v/>
      </c>
      <c r="O13712" s="88">
        <f>VLOOKUP($Q13712,매칭테이블!$F:$I,4,0)*K13712</f>
        <v/>
      </c>
      <c r="P13712" s="152">
        <f>M13712/1.1</f>
        <v/>
      </c>
      <c r="Q13712" s="88">
        <f>F13712&amp;E13712&amp;G13712&amp;L13712</f>
        <v/>
      </c>
    </row>
    <row r="13713">
      <c r="B13713" s="128" t="n">
        <v>44211</v>
      </c>
      <c r="C13713" s="88">
        <f>TEXT(B13713,"aaa")</f>
        <v/>
      </c>
      <c r="D13713" s="94" t="n"/>
      <c r="E13713" s="88">
        <f>INDEX(매칭테이블!C:D,MATCH(RD!G13713,매칭테이블!D:D,0),1)</f>
        <v/>
      </c>
      <c r="F13713" s="94" t="inlineStr">
        <is>
          <t>카페24</t>
        </is>
      </c>
      <c r="G13713" s="94" t="inlineStr">
        <is>
          <t>어성초 70 인텐스 카밍 크림크림=어성초 70 인텐스 카밍 크림 2개 (-30%)</t>
        </is>
      </c>
      <c r="K13713" s="94" t="n">
        <v>1</v>
      </c>
      <c r="L13713" s="88" t="n">
        <v>201208</v>
      </c>
      <c r="M13713" s="88">
        <f>VLOOKUP($Q13713,매칭테이블!$F:$I,2,0)*K13713</f>
        <v/>
      </c>
      <c r="N13713" s="88">
        <f>M13713-M13713*VLOOKUP($Q13713,매칭테이블!$F:$I,3,0)</f>
        <v/>
      </c>
      <c r="O13713" s="88">
        <f>VLOOKUP($Q13713,매칭테이블!$F:$I,4,0)*K13713</f>
        <v/>
      </c>
      <c r="P13713" s="152">
        <f>M13713/1.1</f>
        <v/>
      </c>
      <c r="Q13713" s="88">
        <f>F13713&amp;E13713&amp;G13713&amp;L13713</f>
        <v/>
      </c>
    </row>
    <row r="13714">
      <c r="B13714" s="128" t="n">
        <v>44211</v>
      </c>
      <c r="C13714" s="88">
        <f>TEXT(B13714,"aaa")</f>
        <v/>
      </c>
      <c r="D13714" s="94" t="n"/>
      <c r="E13714" s="88">
        <f>INDEX(매칭테이블!C:D,MATCH(RD!G13714,매칭테이블!D:D,0),1)</f>
        <v/>
      </c>
      <c r="F13714" s="94" t="inlineStr">
        <is>
          <t>카페24</t>
        </is>
      </c>
      <c r="G13714" s="94" t="inlineStr">
        <is>
          <t>어성초 77 수딩 토너옵션=어성초 77 토너 1개-20% off</t>
        </is>
      </c>
      <c r="K13714" s="94" t="n">
        <v>68</v>
      </c>
      <c r="L13714" s="88" t="n">
        <v>201208</v>
      </c>
      <c r="M13714" s="88">
        <f>VLOOKUP($Q13714,매칭테이블!$F:$I,2,0)*K13714</f>
        <v/>
      </c>
      <c r="N13714" s="88">
        <f>M13714-M13714*VLOOKUP($Q13714,매칭테이블!$F:$I,3,0)</f>
        <v/>
      </c>
      <c r="O13714" s="88">
        <f>VLOOKUP($Q13714,매칭테이블!$F:$I,4,0)*K13714</f>
        <v/>
      </c>
      <c r="P13714" s="152">
        <f>M13714/1.1</f>
        <v/>
      </c>
      <c r="Q13714" s="88">
        <f>F13714&amp;E13714&amp;G13714&amp;L13714</f>
        <v/>
      </c>
    </row>
    <row r="13715">
      <c r="B13715" s="128" t="n">
        <v>44211</v>
      </c>
      <c r="C13715" s="88">
        <f>TEXT(B13715,"aaa")</f>
        <v/>
      </c>
      <c r="D13715" s="94" t="n"/>
      <c r="E13715" s="88">
        <f>INDEX(매칭테이블!C:D,MATCH(RD!G13715,매칭테이블!D:D,0),1)</f>
        <v/>
      </c>
      <c r="F13715" s="94" t="inlineStr">
        <is>
          <t>카페24</t>
        </is>
      </c>
      <c r="G13715" s="94" t="inlineStr">
        <is>
          <t>어성초 77 수딩 토너옵션=</t>
        </is>
      </c>
      <c r="K13715" s="94" t="n">
        <v>11</v>
      </c>
      <c r="L13715" s="88" t="n">
        <v>201208</v>
      </c>
      <c r="M13715" s="88">
        <f>VLOOKUP($Q13715,매칭테이블!$F:$I,2,0)*K13715</f>
        <v/>
      </c>
      <c r="N13715" s="88">
        <f>M13715-M13715*VLOOKUP($Q13715,매칭테이블!$F:$I,3,0)</f>
        <v/>
      </c>
      <c r="O13715" s="88">
        <f>VLOOKUP($Q13715,매칭테이블!$F:$I,4,0)*K13715</f>
        <v/>
      </c>
      <c r="P13715" s="152">
        <f>M13715/1.1</f>
        <v/>
      </c>
      <c r="Q13715" s="88">
        <f>F13715&amp;E13715&amp;G13715&amp;L13715</f>
        <v/>
      </c>
    </row>
    <row r="13716">
      <c r="B13716" s="128" t="n">
        <v>44211</v>
      </c>
      <c r="C13716" s="88">
        <f>TEXT(B13716,"aaa")</f>
        <v/>
      </c>
      <c r="D13716" s="94" t="n"/>
      <c r="E13716" s="88">
        <f>INDEX(매칭테이블!C:D,MATCH(RD!G13716,매칭테이블!D:D,0),1)</f>
        <v/>
      </c>
      <c r="F13716" s="94" t="inlineStr">
        <is>
          <t>카페24</t>
        </is>
      </c>
      <c r="G13716" s="94" t="inlineStr">
        <is>
          <t>어성초 77 수딩 토너옵션=BEST어성초 77 토너 2개-30% off (무료배송)</t>
        </is>
      </c>
      <c r="K13716" s="94" t="n">
        <v>15</v>
      </c>
      <c r="L13716" s="88" t="n">
        <v>201208</v>
      </c>
      <c r="M13716" s="88">
        <f>VLOOKUP($Q13716,매칭테이블!$F:$I,2,0)*K13716</f>
        <v/>
      </c>
      <c r="N13716" s="88">
        <f>M13716-M13716*VLOOKUP($Q13716,매칭테이블!$F:$I,3,0)</f>
        <v/>
      </c>
      <c r="O13716" s="88">
        <f>VLOOKUP($Q13716,매칭테이블!$F:$I,4,0)*K13716</f>
        <v/>
      </c>
      <c r="P13716" s="152">
        <f>M13716/1.1</f>
        <v/>
      </c>
      <c r="Q13716" s="88">
        <f>F13716&amp;E13716&amp;G13716&amp;L13716</f>
        <v/>
      </c>
    </row>
    <row r="13717">
      <c r="B13717" s="128" t="n">
        <v>44211</v>
      </c>
      <c r="C13717" s="88">
        <f>TEXT(B13717,"aaa")</f>
        <v/>
      </c>
      <c r="D13717" s="94" t="n"/>
      <c r="E13717" s="88">
        <f>INDEX(매칭테이블!C:D,MATCH(RD!G13717,매칭테이블!D:D,0),1)</f>
        <v/>
      </c>
      <c r="F13717" s="94" t="inlineStr">
        <is>
          <t>카페24</t>
        </is>
      </c>
      <c r="G13717" s="94" t="inlineStr">
        <is>
          <t>어성초 77 수딩 토너옵션=어성초 77 토너 2개-30% off (무료배송)</t>
        </is>
      </c>
      <c r="K13717" s="94" t="n">
        <v>31</v>
      </c>
      <c r="L13717" s="88" t="n">
        <v>201208</v>
      </c>
      <c r="M13717" s="88">
        <f>VLOOKUP($Q13717,매칭테이블!$F:$I,2,0)*K13717</f>
        <v/>
      </c>
      <c r="N13717" s="88">
        <f>M13717-M13717*VLOOKUP($Q13717,매칭테이블!$F:$I,3,0)</f>
        <v/>
      </c>
      <c r="O13717" s="88">
        <f>VLOOKUP($Q13717,매칭테이블!$F:$I,4,0)*K13717</f>
        <v/>
      </c>
      <c r="P13717" s="152">
        <f>M13717/1.1</f>
        <v/>
      </c>
      <c r="Q13717" s="88">
        <f>F13717&amp;E13717&amp;G13717&amp;L13717</f>
        <v/>
      </c>
    </row>
    <row r="13718">
      <c r="B13718" s="128" t="n">
        <v>44211</v>
      </c>
      <c r="C13718" s="88">
        <f>TEXT(B13718,"aaa")</f>
        <v/>
      </c>
      <c r="D13718" s="94" t="n"/>
      <c r="E13718" s="88">
        <f>INDEX(매칭테이블!C:D,MATCH(RD!G13718,매칭테이블!D:D,0),1)</f>
        <v/>
      </c>
      <c r="F13718" s="94" t="inlineStr">
        <is>
          <t>카페24</t>
        </is>
      </c>
      <c r="G13718" s="94" t="inlineStr">
        <is>
          <t>어성초 77 수딩 토너옵션=어성초 77토너1개 + 어성초77패드1개 -30% off (무료배송)</t>
        </is>
      </c>
      <c r="K13718" s="94" t="n">
        <v>41</v>
      </c>
      <c r="L13718" s="88" t="n">
        <v>201208</v>
      </c>
      <c r="M13718" s="88">
        <f>VLOOKUP($Q13718,매칭테이블!$F:$I,2,0)*K13718</f>
        <v/>
      </c>
      <c r="N13718" s="88">
        <f>M13718-M13718*VLOOKUP($Q13718,매칭테이블!$F:$I,3,0)</f>
        <v/>
      </c>
      <c r="O13718" s="88">
        <f>VLOOKUP($Q13718,매칭테이블!$F:$I,4,0)*K13718</f>
        <v/>
      </c>
      <c r="P13718" s="152">
        <f>M13718/1.1</f>
        <v/>
      </c>
      <c r="Q13718" s="88">
        <f>F13718&amp;E13718&amp;G13718&amp;L13718</f>
        <v/>
      </c>
    </row>
    <row r="13719">
      <c r="B13719" s="128" t="n">
        <v>44211</v>
      </c>
      <c r="C13719" s="88">
        <f>TEXT(B13719,"aaa")</f>
        <v/>
      </c>
      <c r="D13719" s="94" t="n"/>
      <c r="E13719" s="88">
        <f>INDEX(매칭테이블!C:D,MATCH(RD!G13719,매칭테이블!D:D,0),1)</f>
        <v/>
      </c>
      <c r="F13719" s="94" t="inlineStr">
        <is>
          <t>카페24</t>
        </is>
      </c>
      <c r="G13719" s="94" t="inlineStr">
        <is>
          <t>어성초 77 수딩 토너화장솜(선택)=촉촉 스킨팩 화장솜</t>
        </is>
      </c>
      <c r="K13719" s="94" t="n">
        <v>63</v>
      </c>
      <c r="L13719" s="88" t="n">
        <v>201208</v>
      </c>
      <c r="M13719" s="88">
        <f>VLOOKUP($Q13719,매칭테이블!$F:$I,2,0)*K13719</f>
        <v/>
      </c>
      <c r="N13719" s="88">
        <f>M13719-M13719*VLOOKUP($Q13719,매칭테이블!$F:$I,3,0)</f>
        <v/>
      </c>
      <c r="O13719" s="88">
        <f>VLOOKUP($Q13719,매칭테이블!$F:$I,4,0)*K13719</f>
        <v/>
      </c>
      <c r="P13719" s="152">
        <f>M13719/1.1</f>
        <v/>
      </c>
      <c r="Q13719" s="88">
        <f>F13719&amp;E13719&amp;G13719&amp;L13719</f>
        <v/>
      </c>
    </row>
    <row r="13720">
      <c r="B13720" s="128" t="n">
        <v>44211</v>
      </c>
      <c r="C13720" s="88">
        <f>TEXT(B13720,"aaa")</f>
        <v/>
      </c>
      <c r="D13720" s="94" t="n"/>
      <c r="E13720" s="88">
        <f>INDEX(매칭테이블!C:D,MATCH(RD!G13720,매칭테이블!D:D,0),1)</f>
        <v/>
      </c>
      <c r="F13720" s="94" t="inlineStr">
        <is>
          <t>카페24</t>
        </is>
      </c>
      <c r="G13720" s="94" t="inlineStr">
        <is>
          <t>어성초 77 수딩 토너토너(필수)=어성초 77 토너 1개-20% off</t>
        </is>
      </c>
      <c r="K13720" s="94" t="n">
        <v>1</v>
      </c>
      <c r="L13720" s="88" t="n">
        <v>201208</v>
      </c>
      <c r="M13720" s="88">
        <f>VLOOKUP($Q13720,매칭테이블!$F:$I,2,0)*K13720</f>
        <v/>
      </c>
      <c r="N13720" s="88">
        <f>M13720-M13720*VLOOKUP($Q13720,매칭테이블!$F:$I,3,0)</f>
        <v/>
      </c>
      <c r="O13720" s="88">
        <f>VLOOKUP($Q13720,매칭테이블!$F:$I,4,0)*K13720</f>
        <v/>
      </c>
      <c r="P13720" s="152">
        <f>M13720/1.1</f>
        <v/>
      </c>
      <c r="Q13720" s="88">
        <f>F13720&amp;E13720&amp;G13720&amp;L13720</f>
        <v/>
      </c>
    </row>
    <row r="13721">
      <c r="B13721" s="128" t="n">
        <v>44211</v>
      </c>
      <c r="C13721" s="88">
        <f>TEXT(B13721,"aaa")</f>
        <v/>
      </c>
      <c r="D13721" s="94" t="n"/>
      <c r="E13721" s="88">
        <f>INDEX(매칭테이블!C:D,MATCH(RD!G13721,매칭테이블!D:D,0),1)</f>
        <v/>
      </c>
      <c r="F13721" s="94" t="inlineStr">
        <is>
          <t>카페24</t>
        </is>
      </c>
      <c r="G13721" s="94" t="inlineStr">
        <is>
          <t>어성초 77 수딩 토너토너(필수)=(대용량) 어성초 77 토너 500ml (무료배송)</t>
        </is>
      </c>
      <c r="K13721" s="94" t="n">
        <v>2</v>
      </c>
      <c r="L13721" s="88" t="n">
        <v>201208</v>
      </c>
      <c r="M13721" s="88">
        <f>VLOOKUP($Q13721,매칭테이블!$F:$I,2,0)*K13721</f>
        <v/>
      </c>
      <c r="N13721" s="88">
        <f>M13721-M13721*VLOOKUP($Q13721,매칭테이블!$F:$I,3,0)</f>
        <v/>
      </c>
      <c r="O13721" s="88">
        <f>VLOOKUP($Q13721,매칭테이블!$F:$I,4,0)*K13721</f>
        <v/>
      </c>
      <c r="P13721" s="152">
        <f>M13721/1.1</f>
        <v/>
      </c>
      <c r="Q13721" s="88">
        <f>F13721&amp;E13721&amp;G13721&amp;L13721</f>
        <v/>
      </c>
    </row>
    <row r="13722">
      <c r="B13722" s="128" t="n">
        <v>44211</v>
      </c>
      <c r="C13722" s="88">
        <f>TEXT(B13722,"aaa")</f>
        <v/>
      </c>
      <c r="D13722" s="94" t="n"/>
      <c r="E13722" s="88">
        <f>INDEX(매칭테이블!C:D,MATCH(RD!G13722,매칭테이블!D:D,0),1)</f>
        <v/>
      </c>
      <c r="F13722" s="94" t="inlineStr">
        <is>
          <t>카페24</t>
        </is>
      </c>
      <c r="G13722" s="94" t="inlineStr">
        <is>
          <t>어성초 77 수딩 토너 (클리어패드 세트 구매시 1/11 순차발송 예정)옵션=어성초 77토너1개 + 어성초77패드1개 -30% off (무료배송)</t>
        </is>
      </c>
      <c r="K13722" s="94" t="n">
        <v>2</v>
      </c>
      <c r="L13722" s="88" t="n">
        <v>201208</v>
      </c>
      <c r="M13722" s="88">
        <f>VLOOKUP($Q13722,매칭테이블!$F:$I,2,0)*K13722</f>
        <v/>
      </c>
      <c r="N13722" s="88">
        <f>M13722-M13722*VLOOKUP($Q13722,매칭테이블!$F:$I,3,0)</f>
        <v/>
      </c>
      <c r="O13722" s="88">
        <f>VLOOKUP($Q13722,매칭테이블!$F:$I,4,0)*K13722</f>
        <v/>
      </c>
      <c r="P13722" s="152">
        <f>M13722/1.1</f>
        <v/>
      </c>
      <c r="Q13722" s="88">
        <f>F13722&amp;E13722&amp;G13722&amp;L13722</f>
        <v/>
      </c>
    </row>
    <row r="13723">
      <c r="B13723" s="128" t="n">
        <v>44211</v>
      </c>
      <c r="C13723" s="88">
        <f>TEXT(B13723,"aaa")</f>
        <v/>
      </c>
      <c r="D13723" s="94" t="n"/>
      <c r="E13723" s="88">
        <f>INDEX(매칭테이블!C:D,MATCH(RD!G13723,매칭테이블!D:D,0),1)</f>
        <v/>
      </c>
      <c r="F13723" s="94" t="inlineStr">
        <is>
          <t>카페24</t>
        </is>
      </c>
      <c r="G13723" s="94" t="inlineStr">
        <is>
          <t>어성초 77 수딩 토너 (클리어패드 세트 구매시 1/11 순차발송 예정)화장솜(선택)=촉촉 스킨팩 화장솜</t>
        </is>
      </c>
      <c r="K13723" s="94" t="n">
        <v>1</v>
      </c>
      <c r="L13723" s="88" t="n">
        <v>201208</v>
      </c>
      <c r="M13723" s="88">
        <f>VLOOKUP($Q13723,매칭테이블!$F:$I,2,0)*K13723</f>
        <v/>
      </c>
      <c r="N13723" s="88">
        <f>M13723-M13723*VLOOKUP($Q13723,매칭테이블!$F:$I,3,0)</f>
        <v/>
      </c>
      <c r="O13723" s="88">
        <f>VLOOKUP($Q13723,매칭테이블!$F:$I,4,0)*K13723</f>
        <v/>
      </c>
      <c r="P13723" s="152">
        <f>M13723/1.1</f>
        <v/>
      </c>
      <c r="Q13723" s="88">
        <f>F13723&amp;E13723&amp;G13723&amp;L13723</f>
        <v/>
      </c>
    </row>
    <row r="13724">
      <c r="B13724" s="128" t="n">
        <v>44211</v>
      </c>
      <c r="C13724" s="88">
        <f>TEXT(B13724,"aaa")</f>
        <v/>
      </c>
      <c r="D13724" s="94" t="n"/>
      <c r="E13724" s="88">
        <f>INDEX(매칭테이블!C:D,MATCH(RD!G13724,매칭테이블!D:D,0),1)</f>
        <v/>
      </c>
      <c r="F13724" s="94" t="inlineStr">
        <is>
          <t>카페24</t>
        </is>
      </c>
      <c r="G13724" s="94" t="inlineStr">
        <is>
          <t>어성초 77 진정 마스크옵션=어성초 77 진정 마스크팩 1장</t>
        </is>
      </c>
      <c r="K13724" s="94" t="n">
        <v>1</v>
      </c>
      <c r="L13724" s="88" t="n">
        <v>201208</v>
      </c>
      <c r="M13724" s="88">
        <f>VLOOKUP($Q13724,매칭테이블!$F:$I,2,0)*K13724</f>
        <v/>
      </c>
      <c r="N13724" s="88">
        <f>M13724-M13724*VLOOKUP($Q13724,매칭테이블!$F:$I,3,0)</f>
        <v/>
      </c>
      <c r="O13724" s="88">
        <f>VLOOKUP($Q13724,매칭테이블!$F:$I,4,0)*K13724</f>
        <v/>
      </c>
      <c r="P13724" s="152">
        <f>M13724/1.1</f>
        <v/>
      </c>
      <c r="Q13724" s="88">
        <f>F13724&amp;E13724&amp;G13724&amp;L13724</f>
        <v/>
      </c>
    </row>
    <row r="13725">
      <c r="B13725" s="128" t="n">
        <v>44211</v>
      </c>
      <c r="C13725" s="88">
        <f>TEXT(B13725,"aaa")</f>
        <v/>
      </c>
      <c r="D13725" s="94" t="n"/>
      <c r="E13725" s="88">
        <f>INDEX(매칭테이블!C:D,MATCH(RD!G13725,매칭테이블!D:D,0),1)</f>
        <v/>
      </c>
      <c r="F13725" s="94" t="inlineStr">
        <is>
          <t>카페24</t>
        </is>
      </c>
      <c r="G13725" s="94" t="inlineStr">
        <is>
          <t>어성초 77 진정 마스크옵션=어성초 77 진정 마스크팩 10장-50% off</t>
        </is>
      </c>
      <c r="K13725" s="94" t="n">
        <v>4</v>
      </c>
      <c r="L13725" s="88" t="n">
        <v>201208</v>
      </c>
      <c r="M13725" s="88">
        <f>VLOOKUP($Q13725,매칭테이블!$F:$I,2,0)*K13725</f>
        <v/>
      </c>
      <c r="N13725" s="88">
        <f>M13725-M13725*VLOOKUP($Q13725,매칭테이블!$F:$I,3,0)</f>
        <v/>
      </c>
      <c r="O13725" s="88">
        <f>VLOOKUP($Q13725,매칭테이블!$F:$I,4,0)*K13725</f>
        <v/>
      </c>
      <c r="P13725" s="152">
        <f>M13725/1.1</f>
        <v/>
      </c>
      <c r="Q13725" s="88">
        <f>F13725&amp;E13725&amp;G13725&amp;L13725</f>
        <v/>
      </c>
    </row>
    <row r="13726">
      <c r="B13726" s="128" t="n">
        <v>44211</v>
      </c>
      <c r="C13726" s="88">
        <f>TEXT(B13726,"aaa")</f>
        <v/>
      </c>
      <c r="D13726" s="94" t="n"/>
      <c r="E13726" s="88">
        <f>INDEX(매칭테이블!C:D,MATCH(RD!G13726,매칭테이블!D:D,0),1)</f>
        <v/>
      </c>
      <c r="F13726" s="94" t="inlineStr">
        <is>
          <t>카페24</t>
        </is>
      </c>
      <c r="G13726" s="94" t="inlineStr">
        <is>
          <t>어성초 77 진정 마스크</t>
        </is>
      </c>
      <c r="K13726" s="94" t="n">
        <v>8</v>
      </c>
      <c r="L13726" s="88" t="n">
        <v>201208</v>
      </c>
      <c r="M13726" s="88">
        <f>VLOOKUP($Q13726,매칭테이블!$F:$I,2,0)*K13726</f>
        <v/>
      </c>
      <c r="N13726" s="88">
        <f>M13726-M13726*VLOOKUP($Q13726,매칭테이블!$F:$I,3,0)</f>
        <v/>
      </c>
      <c r="O13726" s="88">
        <f>VLOOKUP($Q13726,매칭테이블!$F:$I,4,0)*K13726</f>
        <v/>
      </c>
      <c r="P13726" s="152">
        <f>M13726/1.1</f>
        <v/>
      </c>
      <c r="Q13726" s="88">
        <f>F13726&amp;E13726&amp;G13726&amp;L13726</f>
        <v/>
      </c>
    </row>
    <row r="13727">
      <c r="B13727" s="128" t="n">
        <v>44211</v>
      </c>
      <c r="C13727" s="88">
        <f>TEXT(B13727,"aaa")</f>
        <v/>
      </c>
      <c r="D13727" s="94" t="n"/>
      <c r="E13727" s="88">
        <f>INDEX(매칭테이블!C:D,MATCH(RD!G13727,매칭테이블!D:D,0),1)</f>
        <v/>
      </c>
      <c r="F13727" s="94" t="inlineStr">
        <is>
          <t>카페24</t>
        </is>
      </c>
      <c r="G13727" s="94" t="inlineStr">
        <is>
          <t>어성초 77 클리어 패드옵션=어성초 77 클리어 패드 1개-20% off</t>
        </is>
      </c>
      <c r="K13727" s="94" t="n">
        <v>36</v>
      </c>
      <c r="L13727" s="88" t="n">
        <v>201208</v>
      </c>
      <c r="M13727" s="88">
        <f>VLOOKUP($Q13727,매칭테이블!$F:$I,2,0)*K13727</f>
        <v/>
      </c>
      <c r="N13727" s="88">
        <f>M13727-M13727*VLOOKUP($Q13727,매칭테이블!$F:$I,3,0)</f>
        <v/>
      </c>
      <c r="O13727" s="88">
        <f>VLOOKUP($Q13727,매칭테이블!$F:$I,4,0)*K13727</f>
        <v/>
      </c>
      <c r="P13727" s="152">
        <f>M13727/1.1</f>
        <v/>
      </c>
      <c r="Q13727" s="88">
        <f>F13727&amp;E13727&amp;G13727&amp;L13727</f>
        <v/>
      </c>
    </row>
    <row r="13728">
      <c r="B13728" s="128" t="n">
        <v>44211</v>
      </c>
      <c r="C13728" s="88">
        <f>TEXT(B13728,"aaa")</f>
        <v/>
      </c>
      <c r="D13728" s="94" t="n"/>
      <c r="E13728" s="88">
        <f>INDEX(매칭테이블!C:D,MATCH(RD!G13728,매칭테이블!D:D,0),1)</f>
        <v/>
      </c>
      <c r="F13728" s="94" t="inlineStr">
        <is>
          <t>카페24</t>
        </is>
      </c>
      <c r="G13728" s="94" t="inlineStr">
        <is>
          <t>어성초 77 클리어 패드옵션=어성초 77 클리어 패드 2개-30% off (무료배송)</t>
        </is>
      </c>
      <c r="K13728" s="94" t="n">
        <v>34</v>
      </c>
      <c r="L13728" s="88" t="n">
        <v>201208</v>
      </c>
      <c r="M13728" s="88">
        <f>VLOOKUP($Q13728,매칭테이블!$F:$I,2,0)*K13728</f>
        <v/>
      </c>
      <c r="N13728" s="88">
        <f>M13728-M13728*VLOOKUP($Q13728,매칭테이블!$F:$I,3,0)</f>
        <v/>
      </c>
      <c r="O13728" s="88">
        <f>VLOOKUP($Q13728,매칭테이블!$F:$I,4,0)*K13728</f>
        <v/>
      </c>
      <c r="P13728" s="152">
        <f>M13728/1.1</f>
        <v/>
      </c>
      <c r="Q13728" s="88">
        <f>F13728&amp;E13728&amp;G13728&amp;L13728</f>
        <v/>
      </c>
    </row>
    <row r="13729">
      <c r="B13729" s="128" t="n">
        <v>44211</v>
      </c>
      <c r="C13729" s="88">
        <f>TEXT(B13729,"aaa")</f>
        <v/>
      </c>
      <c r="D13729" s="94" t="n"/>
      <c r="E13729" s="88">
        <f>INDEX(매칭테이블!C:D,MATCH(RD!G13729,매칭테이블!D:D,0),1)</f>
        <v/>
      </c>
      <c r="F13729" s="94" t="inlineStr">
        <is>
          <t>카페24</t>
        </is>
      </c>
      <c r="G13729" s="94" t="inlineStr">
        <is>
          <t>어성초 77 클리어 패드옵션=어성초 77 클리어 패드 3개-35% off (무료배송)</t>
        </is>
      </c>
      <c r="K13729" s="94" t="n">
        <v>5</v>
      </c>
      <c r="L13729" s="88" t="n">
        <v>201208</v>
      </c>
      <c r="M13729" s="88">
        <f>VLOOKUP($Q13729,매칭테이블!$F:$I,2,0)*K13729</f>
        <v/>
      </c>
      <c r="N13729" s="88">
        <f>M13729-M13729*VLOOKUP($Q13729,매칭테이블!$F:$I,3,0)</f>
        <v/>
      </c>
      <c r="O13729" s="88">
        <f>VLOOKUP($Q13729,매칭테이블!$F:$I,4,0)*K13729</f>
        <v/>
      </c>
      <c r="P13729" s="152">
        <f>M13729/1.1</f>
        <v/>
      </c>
      <c r="Q13729" s="88">
        <f>F13729&amp;E13729&amp;G13729&amp;L13729</f>
        <v/>
      </c>
    </row>
    <row r="13730">
      <c r="B13730" s="128" t="n">
        <v>44211</v>
      </c>
      <c r="C13730" s="88">
        <f>TEXT(B13730,"aaa")</f>
        <v/>
      </c>
      <c r="D13730" s="94" t="n"/>
      <c r="E13730" s="88">
        <f>INDEX(매칭테이블!C:D,MATCH(RD!G13730,매칭테이블!D:D,0),1)</f>
        <v/>
      </c>
      <c r="F13730" s="94" t="inlineStr">
        <is>
          <t>카페24</t>
        </is>
      </c>
      <c r="G13730" s="94" t="inlineStr">
        <is>
          <t>어성초 77 클리어 패드옵션=어성초77토너1개+어성초77패드1개-30% off (무료배송)</t>
        </is>
      </c>
      <c r="K13730" s="94" t="n">
        <v>15</v>
      </c>
      <c r="L13730" s="88" t="n">
        <v>201208</v>
      </c>
      <c r="M13730" s="88">
        <f>VLOOKUP($Q13730,매칭테이블!$F:$I,2,0)*K13730</f>
        <v/>
      </c>
      <c r="N13730" s="88">
        <f>M13730-M13730*VLOOKUP($Q13730,매칭테이블!$F:$I,3,0)</f>
        <v/>
      </c>
      <c r="O13730" s="88">
        <f>VLOOKUP($Q13730,매칭테이블!$F:$I,4,0)*K13730</f>
        <v/>
      </c>
      <c r="P13730" s="152">
        <f>M13730/1.1</f>
        <v/>
      </c>
      <c r="Q13730" s="88">
        <f>F13730&amp;E13730&amp;G13730&amp;L13730</f>
        <v/>
      </c>
    </row>
    <row r="13731">
      <c r="B13731" s="128" t="n">
        <v>44211</v>
      </c>
      <c r="C13731" s="88">
        <f>TEXT(B13731,"aaa")</f>
        <v/>
      </c>
      <c r="D13731" s="94" t="n"/>
      <c r="E13731" s="88">
        <f>INDEX(매칭테이블!C:D,MATCH(RD!G13731,매칭테이블!D:D,0),1)</f>
        <v/>
      </c>
      <c r="F13731" s="94" t="inlineStr">
        <is>
          <t>카페24</t>
        </is>
      </c>
      <c r="G13731" s="94" t="inlineStr">
        <is>
          <t>어성초 77 클리어 패드 (1/11 순차발송 예정)옵션=어성초 77 클리어 패드 1개-20% off</t>
        </is>
      </c>
      <c r="K13731" s="94" t="n">
        <v>1</v>
      </c>
      <c r="L13731" s="88" t="n">
        <v>201208</v>
      </c>
      <c r="M13731" s="88">
        <f>VLOOKUP($Q13731,매칭테이블!$F:$I,2,0)*K13731</f>
        <v/>
      </c>
      <c r="N13731" s="88">
        <f>M13731-M13731*VLOOKUP($Q13731,매칭테이블!$F:$I,3,0)</f>
        <v/>
      </c>
      <c r="O13731" s="88">
        <f>VLOOKUP($Q13731,매칭테이블!$F:$I,4,0)*K13731</f>
        <v/>
      </c>
      <c r="P13731" s="152">
        <f>M13731/1.1</f>
        <v/>
      </c>
      <c r="Q13731" s="88">
        <f>F13731&amp;E13731&amp;G13731&amp;L13731</f>
        <v/>
      </c>
    </row>
    <row r="13732">
      <c r="B13732" s="128" t="n">
        <v>44211</v>
      </c>
      <c r="C13732" s="88">
        <f>TEXT(B13732,"aaa")</f>
        <v/>
      </c>
      <c r="D13732" s="94" t="n"/>
      <c r="E13732" s="88">
        <f>INDEX(매칭테이블!C:D,MATCH(RD!G13732,매칭테이블!D:D,0),1)</f>
        <v/>
      </c>
      <c r="F13732" s="94" t="inlineStr">
        <is>
          <t>카페24</t>
        </is>
      </c>
      <c r="G13732" s="94" t="inlineStr">
        <is>
          <t>어성초 77 토너</t>
        </is>
      </c>
      <c r="K13732" s="94" t="n">
        <v>2</v>
      </c>
      <c r="L13732" s="88" t="n">
        <v>201208</v>
      </c>
      <c r="M13732" s="88">
        <f>VLOOKUP($Q13732,매칭테이블!$F:$I,2,0)*K13732</f>
        <v/>
      </c>
      <c r="N13732" s="88">
        <f>M13732-M13732*VLOOKUP($Q13732,매칭테이블!$F:$I,3,0)</f>
        <v/>
      </c>
      <c r="O13732" s="88">
        <f>VLOOKUP($Q13732,매칭테이블!$F:$I,4,0)*K13732</f>
        <v/>
      </c>
      <c r="P13732" s="152">
        <f>M13732/1.1</f>
        <v/>
      </c>
      <c r="Q13732" s="88">
        <f>F13732&amp;E13732&amp;G13732&amp;L13732</f>
        <v/>
      </c>
    </row>
    <row r="13733">
      <c r="B13733" s="128" t="n">
        <v>44211</v>
      </c>
      <c r="C13733" s="88">
        <f>TEXT(B13733,"aaa")</f>
        <v/>
      </c>
      <c r="D13733" s="94" t="n"/>
      <c r="E13733" s="88">
        <f>INDEX(매칭테이블!C:D,MATCH(RD!G13733,매칭테이블!D:D,0),1)</f>
        <v/>
      </c>
      <c r="F13733" s="94" t="inlineStr">
        <is>
          <t>카페24</t>
        </is>
      </c>
      <c r="G13733" s="94" t="inlineStr">
        <is>
          <t>어성초 77 포어 클리어 패드옵션=어성초 77 클리어 패드 1개-20% off</t>
        </is>
      </c>
      <c r="K13733" s="94" t="n">
        <v>3</v>
      </c>
      <c r="L13733" s="88" t="n">
        <v>201208</v>
      </c>
      <c r="M13733" s="88">
        <f>VLOOKUP($Q13733,매칭테이블!$F:$I,2,0)*K13733</f>
        <v/>
      </c>
      <c r="N13733" s="88">
        <f>M13733-M13733*VLOOKUP($Q13733,매칭테이블!$F:$I,3,0)</f>
        <v/>
      </c>
      <c r="O13733" s="88">
        <f>VLOOKUP($Q13733,매칭테이블!$F:$I,4,0)*K13733</f>
        <v/>
      </c>
      <c r="P13733" s="152">
        <f>M13733/1.1</f>
        <v/>
      </c>
      <c r="Q13733" s="88">
        <f>F13733&amp;E13733&amp;G13733&amp;L13733</f>
        <v/>
      </c>
    </row>
    <row r="13734">
      <c r="B13734" s="128" t="n">
        <v>44211</v>
      </c>
      <c r="C13734" s="88">
        <f>TEXT(B13734,"aaa")</f>
        <v/>
      </c>
      <c r="D13734" s="94" t="n"/>
      <c r="E13734" s="88">
        <f>INDEX(매칭테이블!C:D,MATCH(RD!G13734,매칭테이블!D:D,0),1)</f>
        <v/>
      </c>
      <c r="F13734" s="94" t="inlineStr">
        <is>
          <t>카페24</t>
        </is>
      </c>
      <c r="G13734" s="94" t="inlineStr">
        <is>
          <t>어성초 77 포어 클리어 패드옵션=어성초 77 클리어 패드 2개-30% off (무료배송)</t>
        </is>
      </c>
      <c r="K13734" s="94" t="n">
        <v>4</v>
      </c>
      <c r="L13734" s="88" t="n">
        <v>201208</v>
      </c>
      <c r="M13734" s="88">
        <f>VLOOKUP($Q13734,매칭테이블!$F:$I,2,0)*K13734</f>
        <v/>
      </c>
      <c r="N13734" s="88">
        <f>M13734-M13734*VLOOKUP($Q13734,매칭테이블!$F:$I,3,0)</f>
        <v/>
      </c>
      <c r="O13734" s="88">
        <f>VLOOKUP($Q13734,매칭테이블!$F:$I,4,0)*K13734</f>
        <v/>
      </c>
      <c r="P13734" s="152">
        <f>M13734/1.1</f>
        <v/>
      </c>
      <c r="Q13734" s="88">
        <f>F13734&amp;E13734&amp;G13734&amp;L13734</f>
        <v/>
      </c>
    </row>
    <row r="13735">
      <c r="B13735" s="128" t="n">
        <v>44211</v>
      </c>
      <c r="C13735" s="88">
        <f>TEXT(B13735,"aaa")</f>
        <v/>
      </c>
      <c r="D13735" s="94" t="n"/>
      <c r="E13735" s="88">
        <f>INDEX(매칭테이블!C:D,MATCH(RD!G13735,매칭테이블!D:D,0),1)</f>
        <v/>
      </c>
      <c r="F13735" s="94" t="inlineStr">
        <is>
          <t>카페24</t>
        </is>
      </c>
      <c r="G13735" s="94" t="inlineStr">
        <is>
          <t>어성초 77% 패드옵션=어성초 77 클리어 패드 1개-20% off</t>
        </is>
      </c>
      <c r="K13735" s="94" t="n">
        <v>35</v>
      </c>
      <c r="L13735" s="88" t="n">
        <v>201208</v>
      </c>
      <c r="M13735" s="88">
        <f>VLOOKUP($Q13735,매칭테이블!$F:$I,2,0)*K13735</f>
        <v/>
      </c>
      <c r="N13735" s="88">
        <f>M13735-M13735*VLOOKUP($Q13735,매칭테이블!$F:$I,3,0)</f>
        <v/>
      </c>
      <c r="O13735" s="88">
        <f>VLOOKUP($Q13735,매칭테이블!$F:$I,4,0)*K13735</f>
        <v/>
      </c>
      <c r="P13735" s="152">
        <f>M13735/1.1</f>
        <v/>
      </c>
      <c r="Q13735" s="88">
        <f>F13735&amp;E13735&amp;G13735&amp;L13735</f>
        <v/>
      </c>
    </row>
    <row r="13736">
      <c r="B13736" s="128" t="n">
        <v>44211</v>
      </c>
      <c r="C13736" s="88">
        <f>TEXT(B13736,"aaa")</f>
        <v/>
      </c>
      <c r="D13736" s="94" t="n"/>
      <c r="E13736" s="88">
        <f>INDEX(매칭테이블!C:D,MATCH(RD!G13736,매칭테이블!D:D,0),1)</f>
        <v/>
      </c>
      <c r="F13736" s="94" t="inlineStr">
        <is>
          <t>카페24</t>
        </is>
      </c>
      <c r="G13736" s="94" t="inlineStr">
        <is>
          <t>어성초 77% 패드옵션=어성초 77 클리어 패드 2개-30% off (무료배송)</t>
        </is>
      </c>
      <c r="K13736" s="94" t="n">
        <v>27</v>
      </c>
      <c r="L13736" s="88" t="n">
        <v>201208</v>
      </c>
      <c r="M13736" s="88">
        <f>VLOOKUP($Q13736,매칭테이블!$F:$I,2,0)*K13736</f>
        <v/>
      </c>
      <c r="N13736" s="88">
        <f>M13736-M13736*VLOOKUP($Q13736,매칭테이블!$F:$I,3,0)</f>
        <v/>
      </c>
      <c r="O13736" s="88">
        <f>VLOOKUP($Q13736,매칭테이블!$F:$I,4,0)*K13736</f>
        <v/>
      </c>
      <c r="P13736" s="152">
        <f>M13736/1.1</f>
        <v/>
      </c>
      <c r="Q13736" s="88">
        <f>F13736&amp;E13736&amp;G13736&amp;L13736</f>
        <v/>
      </c>
    </row>
    <row r="13737">
      <c r="B13737" s="128" t="n">
        <v>44211</v>
      </c>
      <c r="C13737" s="88">
        <f>TEXT(B13737,"aaa")</f>
        <v/>
      </c>
      <c r="D13737" s="94" t="n"/>
      <c r="E13737" s="88">
        <f>INDEX(매칭테이블!C:D,MATCH(RD!G13737,매칭테이블!D:D,0),1)</f>
        <v/>
      </c>
      <c r="F13737" s="94" t="inlineStr">
        <is>
          <t>카페24</t>
        </is>
      </c>
      <c r="G13737" s="94" t="inlineStr">
        <is>
          <t>어성초 77% 패드옵션=어성초 77 클리어 패드 3개-35% off (무료배송)</t>
        </is>
      </c>
      <c r="K13737" s="94" t="n">
        <v>4</v>
      </c>
      <c r="L13737" s="88" t="n">
        <v>201208</v>
      </c>
      <c r="M13737" s="88">
        <f>VLOOKUP($Q13737,매칭테이블!$F:$I,2,0)*K13737</f>
        <v/>
      </c>
      <c r="N13737" s="88">
        <f>M13737-M13737*VLOOKUP($Q13737,매칭테이블!$F:$I,3,0)</f>
        <v/>
      </c>
      <c r="O13737" s="88">
        <f>VLOOKUP($Q13737,매칭테이블!$F:$I,4,0)*K13737</f>
        <v/>
      </c>
      <c r="P13737" s="152">
        <f>M13737/1.1</f>
        <v/>
      </c>
      <c r="Q13737" s="88">
        <f>F13737&amp;E13737&amp;G13737&amp;L13737</f>
        <v/>
      </c>
    </row>
    <row r="13738">
      <c r="B13738" s="128" t="n">
        <v>44211</v>
      </c>
      <c r="C13738" s="88">
        <f>TEXT(B13738,"aaa")</f>
        <v/>
      </c>
      <c r="D13738" s="94" t="n"/>
      <c r="E13738" s="88">
        <f>INDEX(매칭테이블!C:D,MATCH(RD!G13738,매칭테이블!D:D,0),1)</f>
        <v/>
      </c>
      <c r="F13738" s="94" t="inlineStr">
        <is>
          <t>카페24</t>
        </is>
      </c>
      <c r="G13738" s="94" t="inlineStr">
        <is>
          <t>어성초 77% 패드옵션=어성초77토너1개+어성초77패드1개-30% off (무료배송)</t>
        </is>
      </c>
      <c r="K13738" s="94" t="n">
        <v>13</v>
      </c>
      <c r="L13738" s="88" t="n">
        <v>201208</v>
      </c>
      <c r="M13738" s="88">
        <f>VLOOKUP($Q13738,매칭테이블!$F:$I,2,0)*K13738</f>
        <v/>
      </c>
      <c r="N13738" s="88">
        <f>M13738-M13738*VLOOKUP($Q13738,매칭테이블!$F:$I,3,0)</f>
        <v/>
      </c>
      <c r="O13738" s="88">
        <f>VLOOKUP($Q13738,매칭테이블!$F:$I,4,0)*K13738</f>
        <v/>
      </c>
      <c r="P13738" s="152">
        <f>M13738/1.1</f>
        <v/>
      </c>
      <c r="Q13738" s="88">
        <f>F13738&amp;E13738&amp;G13738&amp;L13738</f>
        <v/>
      </c>
    </row>
    <row r="13739">
      <c r="B13739" s="128" t="n">
        <v>44211</v>
      </c>
      <c r="C13739" s="88">
        <f>TEXT(B13739,"aaa")</f>
        <v/>
      </c>
      <c r="D13739" s="94" t="n"/>
      <c r="E13739" s="88">
        <f>INDEX(매칭테이블!C:D,MATCH(RD!G13739,매칭테이블!D:D,0),1)</f>
        <v/>
      </c>
      <c r="F13739" s="94" t="inlineStr">
        <is>
          <t>카페24</t>
        </is>
      </c>
      <c r="G13739" s="94" t="inlineStr">
        <is>
          <t>어성초 78 수딩 크림</t>
        </is>
      </c>
      <c r="K13739" s="94" t="n">
        <v>9</v>
      </c>
      <c r="L13739" s="88" t="n">
        <v>201208</v>
      </c>
      <c r="M13739" s="88">
        <f>VLOOKUP($Q13739,매칭테이블!$F:$I,2,0)*K13739</f>
        <v/>
      </c>
      <c r="N13739" s="88">
        <f>M13739-M13739*VLOOKUP($Q13739,매칭테이블!$F:$I,3,0)</f>
        <v/>
      </c>
      <c r="O13739" s="88">
        <f>VLOOKUP($Q13739,매칭테이블!$F:$I,4,0)*K13739</f>
        <v/>
      </c>
      <c r="P13739" s="152">
        <f>M13739/1.1</f>
        <v/>
      </c>
      <c r="Q13739" s="88">
        <f>F13739&amp;E13739&amp;G13739&amp;L13739</f>
        <v/>
      </c>
    </row>
    <row r="13740">
      <c r="B13740" s="128" t="n">
        <v>44211</v>
      </c>
      <c r="C13740" s="88">
        <f>TEXT(B13740,"aaa")</f>
        <v/>
      </c>
      <c r="D13740" s="94" t="n"/>
      <c r="E13740" s="88">
        <f>INDEX(매칭테이블!C:D,MATCH(RD!G13740,매칭테이블!D:D,0),1)</f>
        <v/>
      </c>
      <c r="F13740" s="94" t="inlineStr">
        <is>
          <t>카페24</t>
        </is>
      </c>
      <c r="G13740" s="94" t="inlineStr">
        <is>
          <t>어성초 78 수딩 크림</t>
        </is>
      </c>
      <c r="K13740" s="94" t="n">
        <v>7</v>
      </c>
      <c r="L13740" s="88" t="n">
        <v>201208</v>
      </c>
      <c r="M13740" s="88">
        <f>VLOOKUP($Q13740,매칭테이블!$F:$I,2,0)*K13740</f>
        <v/>
      </c>
      <c r="N13740" s="88">
        <f>M13740-M13740*VLOOKUP($Q13740,매칭테이블!$F:$I,3,0)</f>
        <v/>
      </c>
      <c r="O13740" s="88">
        <f>VLOOKUP($Q13740,매칭테이블!$F:$I,4,0)*K13740</f>
        <v/>
      </c>
      <c r="P13740" s="152">
        <f>M13740/1.1</f>
        <v/>
      </c>
      <c r="Q13740" s="88">
        <f>F13740&amp;E13740&amp;G13740&amp;L13740</f>
        <v/>
      </c>
    </row>
    <row r="13741">
      <c r="B13741" s="128" t="n">
        <v>44211</v>
      </c>
      <c r="C13741" s="88">
        <f>TEXT(B13741,"aaa")</f>
        <v/>
      </c>
      <c r="D13741" s="94" t="n"/>
      <c r="E13741" s="88">
        <f>INDEX(매칭테이블!C:D,MATCH(RD!G13741,매칭테이블!D:D,0),1)</f>
        <v/>
      </c>
      <c r="F13741" s="94" t="inlineStr">
        <is>
          <t>카페24</t>
        </is>
      </c>
      <c r="G13741" s="94" t="inlineStr">
        <is>
          <t>어성초 80 수분 진정 앰플앰플=어성초 80 앰플 1개-15%off</t>
        </is>
      </c>
      <c r="K13741" s="94" t="n">
        <v>24</v>
      </c>
      <c r="L13741" s="88" t="n">
        <v>201208</v>
      </c>
      <c r="M13741" s="88">
        <f>VLOOKUP($Q13741,매칭테이블!$F:$I,2,0)*K13741</f>
        <v/>
      </c>
      <c r="N13741" s="88">
        <f>M13741-M13741*VLOOKUP($Q13741,매칭테이블!$F:$I,3,0)</f>
        <v/>
      </c>
      <c r="O13741" s="88">
        <f>VLOOKUP($Q13741,매칭테이블!$F:$I,4,0)*K13741</f>
        <v/>
      </c>
      <c r="P13741" s="152">
        <f>M13741/1.1</f>
        <v/>
      </c>
      <c r="Q13741" s="88">
        <f>F13741&amp;E13741&amp;G13741&amp;L13741</f>
        <v/>
      </c>
    </row>
    <row r="13742">
      <c r="B13742" s="128" t="n">
        <v>44211</v>
      </c>
      <c r="C13742" s="88">
        <f>TEXT(B13742,"aaa")</f>
        <v/>
      </c>
      <c r="D13742" s="94" t="n"/>
      <c r="E13742" s="88">
        <f>INDEX(매칭테이블!C:D,MATCH(RD!G13742,매칭테이블!D:D,0),1)</f>
        <v/>
      </c>
      <c r="F13742" s="94" t="inlineStr">
        <is>
          <t>카페24</t>
        </is>
      </c>
      <c r="G13742" s="94" t="inlineStr">
        <is>
          <t>어성초 80 수분 진정 앰플앰플=어성초 80 앰플 2개-27%off (무료배송)</t>
        </is>
      </c>
      <c r="K13742" s="94" t="n">
        <v>5</v>
      </c>
      <c r="L13742" s="88" t="n">
        <v>201208</v>
      </c>
      <c r="M13742" s="88">
        <f>VLOOKUP($Q13742,매칭테이블!$F:$I,2,0)*K13742</f>
        <v/>
      </c>
      <c r="N13742" s="88">
        <f>M13742-M13742*VLOOKUP($Q13742,매칭테이블!$F:$I,3,0)</f>
        <v/>
      </c>
      <c r="O13742" s="88">
        <f>VLOOKUP($Q13742,매칭테이블!$F:$I,4,0)*K13742</f>
        <v/>
      </c>
      <c r="P13742" s="152">
        <f>M13742/1.1</f>
        <v/>
      </c>
      <c r="Q13742" s="88">
        <f>F13742&amp;E13742&amp;G13742&amp;L13742</f>
        <v/>
      </c>
    </row>
    <row r="13743">
      <c r="B13743" s="128" t="n">
        <v>44211</v>
      </c>
      <c r="C13743" s="88">
        <f>TEXT(B13743,"aaa")</f>
        <v/>
      </c>
      <c r="D13743" s="94" t="n"/>
      <c r="E13743" s="88">
        <f>INDEX(매칭테이블!C:D,MATCH(RD!G13743,매칭테이블!D:D,0),1)</f>
        <v/>
      </c>
      <c r="F13743" s="94" t="inlineStr">
        <is>
          <t>카페24</t>
        </is>
      </c>
      <c r="G13743" s="94" t="inlineStr">
        <is>
          <t>어성초 80 수분 진정 앰플</t>
        </is>
      </c>
      <c r="K13743" s="94" t="n">
        <v>13</v>
      </c>
      <c r="L13743" s="88" t="n">
        <v>201208</v>
      </c>
      <c r="M13743" s="88">
        <f>VLOOKUP($Q13743,매칭테이블!$F:$I,2,0)*K13743</f>
        <v/>
      </c>
      <c r="N13743" s="88">
        <f>M13743-M13743*VLOOKUP($Q13743,매칭테이블!$F:$I,3,0)</f>
        <v/>
      </c>
      <c r="O13743" s="88">
        <f>VLOOKUP($Q13743,매칭테이블!$F:$I,4,0)*K13743</f>
        <v/>
      </c>
      <c r="P13743" s="152">
        <f>M13743/1.1</f>
        <v/>
      </c>
      <c r="Q13743" s="88">
        <f>F13743&amp;E13743&amp;G13743&amp;L13743</f>
        <v/>
      </c>
    </row>
    <row r="13744">
      <c r="B13744" s="128" t="n">
        <v>44211</v>
      </c>
      <c r="C13744" s="88">
        <f>TEXT(B13744,"aaa")</f>
        <v/>
      </c>
      <c r="D13744" s="94" t="n"/>
      <c r="E13744" s="88">
        <f>INDEX(매칭테이블!C:D,MATCH(RD!G13744,매칭테이블!D:D,0),1)</f>
        <v/>
      </c>
      <c r="F13744" s="94" t="inlineStr">
        <is>
          <t>카페24</t>
        </is>
      </c>
      <c r="G13744" s="94" t="inlineStr">
        <is>
          <t>어성초 아크네 바디워시옵션=어성초 아크네 바디워시 1개 -30% off</t>
        </is>
      </c>
      <c r="K13744" s="94" t="n">
        <v>2</v>
      </c>
      <c r="L13744" s="88" t="n">
        <v>201208</v>
      </c>
      <c r="M13744" s="88">
        <f>VLOOKUP($Q13744,매칭테이블!$F:$I,2,0)*K13744</f>
        <v/>
      </c>
      <c r="N13744" s="88">
        <f>M13744-M13744*VLOOKUP($Q13744,매칭테이블!$F:$I,3,0)</f>
        <v/>
      </c>
      <c r="O13744" s="88">
        <f>VLOOKUP($Q13744,매칭테이블!$F:$I,4,0)*K13744</f>
        <v/>
      </c>
      <c r="P13744" s="152">
        <f>M13744/1.1</f>
        <v/>
      </c>
      <c r="Q13744" s="88">
        <f>F13744&amp;E13744&amp;G13744&amp;L13744</f>
        <v/>
      </c>
    </row>
    <row r="13745">
      <c r="B13745" s="128" t="n">
        <v>44211</v>
      </c>
      <c r="C13745" s="88">
        <f>TEXT(B13745,"aaa")</f>
        <v/>
      </c>
      <c r="D13745" s="94" t="n"/>
      <c r="E13745" s="88">
        <f>INDEX(매칭테이블!C:D,MATCH(RD!G13745,매칭테이블!D:D,0),1)</f>
        <v/>
      </c>
      <c r="F13745" s="94" t="inlineStr">
        <is>
          <t>카페24</t>
        </is>
      </c>
      <c r="G13745" s="94" t="inlineStr">
        <is>
          <t>어성초 아크네 바디워시옵션=어성초 아크네 바디워시 2개 -35% off (무료배송)</t>
        </is>
      </c>
      <c r="K13745" s="94" t="n">
        <v>2</v>
      </c>
      <c r="L13745" s="88" t="n">
        <v>201208</v>
      </c>
      <c r="M13745" s="88">
        <f>VLOOKUP($Q13745,매칭테이블!$F:$I,2,0)*K13745</f>
        <v/>
      </c>
      <c r="N13745" s="88">
        <f>M13745-M13745*VLOOKUP($Q13745,매칭테이블!$F:$I,3,0)</f>
        <v/>
      </c>
      <c r="O13745" s="88">
        <f>VLOOKUP($Q13745,매칭테이블!$F:$I,4,0)*K13745</f>
        <v/>
      </c>
      <c r="P13745" s="152">
        <f>M13745/1.1</f>
        <v/>
      </c>
      <c r="Q13745" s="88">
        <f>F13745&amp;E13745&amp;G13745&amp;L13745</f>
        <v/>
      </c>
    </row>
    <row r="13746">
      <c r="B13746" s="128" t="n">
        <v>44211</v>
      </c>
      <c r="C13746" s="88">
        <f>TEXT(B13746,"aaa")</f>
        <v/>
      </c>
      <c r="D13746" s="94" t="n"/>
      <c r="E13746" s="88">
        <f>INDEX(매칭테이블!C:D,MATCH(RD!G13746,매칭테이블!D:D,0),1)</f>
        <v/>
      </c>
      <c r="F13746" s="94" t="inlineStr">
        <is>
          <t>카페24</t>
        </is>
      </c>
      <c r="G13746" s="94" t="inlineStr">
        <is>
          <t>어성초 약산성 클렌징폼클렌징폼=어성초 약산성 클렌징폼 1개 -19%off</t>
        </is>
      </c>
      <c r="K13746" s="94" t="n">
        <v>19</v>
      </c>
      <c r="L13746" s="88" t="n">
        <v>201208</v>
      </c>
      <c r="M13746" s="88">
        <f>VLOOKUP($Q13746,매칭테이블!$F:$I,2,0)*K13746</f>
        <v/>
      </c>
      <c r="N13746" s="88">
        <f>M13746-M13746*VLOOKUP($Q13746,매칭테이블!$F:$I,3,0)</f>
        <v/>
      </c>
      <c r="O13746" s="88">
        <f>VLOOKUP($Q13746,매칭테이블!$F:$I,4,0)*K13746</f>
        <v/>
      </c>
      <c r="P13746" s="152">
        <f>M13746/1.1</f>
        <v/>
      </c>
      <c r="Q13746" s="88">
        <f>F13746&amp;E13746&amp;G13746&amp;L13746</f>
        <v/>
      </c>
    </row>
    <row r="13747">
      <c r="B13747" s="128" t="n">
        <v>44211</v>
      </c>
      <c r="C13747" s="88">
        <f>TEXT(B13747,"aaa")</f>
        <v/>
      </c>
      <c r="D13747" s="94" t="n"/>
      <c r="E13747" s="88">
        <f>INDEX(매칭테이블!C:D,MATCH(RD!G13747,매칭테이블!D:D,0),1)</f>
        <v/>
      </c>
      <c r="F13747" s="94" t="inlineStr">
        <is>
          <t>카페24</t>
        </is>
      </c>
      <c r="G13747" s="94" t="inlineStr">
        <is>
          <t>어성초 약산성 클렌징폼클렌징폼=어성초 약산성 클렌징폼 2개 -25%off</t>
        </is>
      </c>
      <c r="K13747" s="94" t="n">
        <v>7</v>
      </c>
      <c r="L13747" s="88" t="n">
        <v>201208</v>
      </c>
      <c r="M13747" s="88">
        <f>VLOOKUP($Q13747,매칭테이블!$F:$I,2,0)*K13747</f>
        <v/>
      </c>
      <c r="N13747" s="88">
        <f>M13747-M13747*VLOOKUP($Q13747,매칭테이블!$F:$I,3,0)</f>
        <v/>
      </c>
      <c r="O13747" s="88">
        <f>VLOOKUP($Q13747,매칭테이블!$F:$I,4,0)*K13747</f>
        <v/>
      </c>
      <c r="P13747" s="152">
        <f>M13747/1.1</f>
        <v/>
      </c>
      <c r="Q13747" s="88">
        <f>F13747&amp;E13747&amp;G13747&amp;L13747</f>
        <v/>
      </c>
    </row>
    <row r="13748">
      <c r="B13748" s="128" t="n">
        <v>44211</v>
      </c>
      <c r="C13748" s="88">
        <f>TEXT(B13748,"aaa")</f>
        <v/>
      </c>
      <c r="D13748" s="94" t="n"/>
      <c r="E13748" s="88">
        <f>INDEX(매칭테이블!C:D,MATCH(RD!G13748,매칭테이블!D:D,0),1)</f>
        <v/>
      </c>
      <c r="F13748" s="94" t="inlineStr">
        <is>
          <t>카페24</t>
        </is>
      </c>
      <c r="G13748" s="94" t="inlineStr">
        <is>
          <t>어성초 약산성 클렌징폼클렌징폼=어성초 약산성 클렌징폼 3개 -31%off (무료배송)</t>
        </is>
      </c>
      <c r="K13748" s="94" t="n">
        <v>3</v>
      </c>
      <c r="L13748" s="88" t="n">
        <v>201208</v>
      </c>
      <c r="M13748" s="88">
        <f>VLOOKUP($Q13748,매칭테이블!$F:$I,2,0)*K13748</f>
        <v/>
      </c>
      <c r="N13748" s="88">
        <f>M13748-M13748*VLOOKUP($Q13748,매칭테이블!$F:$I,3,0)</f>
        <v/>
      </c>
      <c r="O13748" s="88">
        <f>VLOOKUP($Q13748,매칭테이블!$F:$I,4,0)*K13748</f>
        <v/>
      </c>
      <c r="P13748" s="152">
        <f>M13748/1.1</f>
        <v/>
      </c>
      <c r="Q13748" s="88">
        <f>F13748&amp;E13748&amp;G13748&amp;L13748</f>
        <v/>
      </c>
    </row>
    <row r="13749">
      <c r="B13749" s="128" t="n">
        <v>44211</v>
      </c>
      <c r="C13749" s="88">
        <f>TEXT(B13749,"aaa")</f>
        <v/>
      </c>
      <c r="D13749" s="94" t="n"/>
      <c r="E13749" s="88">
        <f>INDEX(매칭테이블!C:D,MATCH(RD!G13749,매칭테이블!D:D,0),1)</f>
        <v/>
      </c>
      <c r="F13749" s="94" t="inlineStr">
        <is>
          <t>카페24</t>
        </is>
      </c>
      <c r="G13749" s="94" t="inlineStr">
        <is>
          <t>어성초 약산성 클렌징폼</t>
        </is>
      </c>
      <c r="K13749" s="94" t="n">
        <v>1</v>
      </c>
      <c r="L13749" s="88" t="n">
        <v>201208</v>
      </c>
      <c r="M13749" s="88">
        <f>VLOOKUP($Q13749,매칭테이블!$F:$I,2,0)*K13749</f>
        <v/>
      </c>
      <c r="N13749" s="88">
        <f>M13749-M13749*VLOOKUP($Q13749,매칭테이블!$F:$I,3,0)</f>
        <v/>
      </c>
      <c r="O13749" s="88">
        <f>VLOOKUP($Q13749,매칭테이블!$F:$I,4,0)*K13749</f>
        <v/>
      </c>
      <c r="P13749" s="152">
        <f>M13749/1.1</f>
        <v/>
      </c>
      <c r="Q13749" s="88">
        <f>F13749&amp;E13749&amp;G13749&amp;L13749</f>
        <v/>
      </c>
    </row>
    <row r="13750">
      <c r="B13750" s="128" t="n">
        <v>44211</v>
      </c>
      <c r="C13750" s="88">
        <f>TEXT(B13750,"aaa")</f>
        <v/>
      </c>
      <c r="D13750" s="94" t="n"/>
      <c r="E13750" s="88">
        <f>INDEX(매칭테이블!C:D,MATCH(RD!G13750,매칭테이블!D:D,0),1)</f>
        <v/>
      </c>
      <c r="F13750" s="94" t="inlineStr">
        <is>
          <t>카페24</t>
        </is>
      </c>
      <c r="G13750" s="94" t="inlineStr">
        <is>
          <t>어성초 크림마스크 나이트 솔루션옵션=어성초 크림마스크 나이트 솔루션 1장</t>
        </is>
      </c>
      <c r="K13750" s="94" t="n">
        <v>1</v>
      </c>
      <c r="L13750" s="88" t="n">
        <v>201208</v>
      </c>
      <c r="M13750" s="88">
        <f>VLOOKUP($Q13750,매칭테이블!$F:$I,2,0)*K13750</f>
        <v/>
      </c>
      <c r="N13750" s="88">
        <f>M13750-M13750*VLOOKUP($Q13750,매칭테이블!$F:$I,3,0)</f>
        <v/>
      </c>
      <c r="O13750" s="88">
        <f>VLOOKUP($Q13750,매칭테이블!$F:$I,4,0)*K13750</f>
        <v/>
      </c>
      <c r="P13750" s="152">
        <f>M13750/1.1</f>
        <v/>
      </c>
      <c r="Q13750" s="88">
        <f>F13750&amp;E13750&amp;G13750&amp;L13750</f>
        <v/>
      </c>
    </row>
    <row r="13751">
      <c r="B13751" s="128" t="n">
        <v>44211</v>
      </c>
      <c r="C13751" s="88">
        <f>TEXT(B13751,"aaa")</f>
        <v/>
      </c>
      <c r="D13751" s="94" t="n"/>
      <c r="E13751" s="88">
        <f>INDEX(매칭테이블!C:D,MATCH(RD!G13751,매칭테이블!D:D,0),1)</f>
        <v/>
      </c>
      <c r="F13751" s="94" t="inlineStr">
        <is>
          <t>카페24</t>
        </is>
      </c>
      <c r="G13751" s="94" t="inlineStr">
        <is>
          <t>어성초 크림마스크 나이트 솔루션옵션=어성초 크림마스크 나이트 솔루션 10장 (-50%)</t>
        </is>
      </c>
      <c r="K13751" s="94" t="n">
        <v>4</v>
      </c>
      <c r="L13751" s="88" t="n">
        <v>201208</v>
      </c>
      <c r="M13751" s="88">
        <f>VLOOKUP($Q13751,매칭테이블!$F:$I,2,0)*K13751</f>
        <v/>
      </c>
      <c r="N13751" s="88">
        <f>M13751-M13751*VLOOKUP($Q13751,매칭테이블!$F:$I,3,0)</f>
        <v/>
      </c>
      <c r="O13751" s="88">
        <f>VLOOKUP($Q13751,매칭테이블!$F:$I,4,0)*K13751</f>
        <v/>
      </c>
      <c r="P13751" s="152">
        <f>M13751/1.1</f>
        <v/>
      </c>
      <c r="Q13751" s="88">
        <f>F13751&amp;E13751&amp;G13751&amp;L13751</f>
        <v/>
      </c>
    </row>
    <row r="13752">
      <c r="B13752" s="128" t="n">
        <v>44211</v>
      </c>
      <c r="C13752" s="88">
        <f>TEXT(B13752,"aaa")</f>
        <v/>
      </c>
      <c r="D13752" s="94" t="n"/>
      <c r="E13752" s="88">
        <f>INDEX(매칭테이블!C:D,MATCH(RD!G13752,매칭테이블!D:D,0),1)</f>
        <v/>
      </c>
      <c r="F13752" s="94" t="inlineStr">
        <is>
          <t>카페24</t>
        </is>
      </c>
      <c r="G13752" s="94" t="inlineStr">
        <is>
          <t>청귤 비타 잡티 마스크옵션=청귤 비타 잡티 마스크 10장 (50% off)</t>
        </is>
      </c>
      <c r="K13752" s="94" t="n">
        <v>1</v>
      </c>
      <c r="L13752" s="88" t="n">
        <v>201208</v>
      </c>
      <c r="M13752" s="88">
        <f>VLOOKUP($Q13752,매칭테이블!$F:$I,2,0)*K13752</f>
        <v/>
      </c>
      <c r="N13752" s="88">
        <f>M13752-M13752*VLOOKUP($Q13752,매칭테이블!$F:$I,3,0)</f>
        <v/>
      </c>
      <c r="O13752" s="88">
        <f>VLOOKUP($Q13752,매칭테이블!$F:$I,4,0)*K13752</f>
        <v/>
      </c>
      <c r="P13752" s="152">
        <f>M13752/1.1</f>
        <v/>
      </c>
      <c r="Q13752" s="88">
        <f>F13752&amp;E13752&amp;G13752&amp;L13752</f>
        <v/>
      </c>
    </row>
    <row r="13753">
      <c r="B13753" s="128" t="n">
        <v>44211</v>
      </c>
      <c r="C13753" s="88">
        <f>TEXT(B13753,"aaa")</f>
        <v/>
      </c>
      <c r="D13753" s="94" t="n"/>
      <c r="E13753" s="88">
        <f>INDEX(매칭테이블!C:D,MATCH(RD!G13753,매칭테이블!D:D,0),1)</f>
        <v/>
      </c>
      <c r="F13753" s="94" t="inlineStr">
        <is>
          <t>카페24</t>
        </is>
      </c>
      <c r="G13753" s="94" t="inlineStr">
        <is>
          <t>청귤 비타 잡티 마스크옵션=청귤 비타 잡티 마스크 10장(50% off)</t>
        </is>
      </c>
      <c r="K13753" s="94" t="n">
        <v>1</v>
      </c>
      <c r="L13753" s="88" t="n">
        <v>201208</v>
      </c>
      <c r="M13753" s="88">
        <f>VLOOKUP($Q13753,매칭테이블!$F:$I,2,0)*K13753</f>
        <v/>
      </c>
      <c r="N13753" s="88">
        <f>M13753-M13753*VLOOKUP($Q13753,매칭테이블!$F:$I,3,0)</f>
        <v/>
      </c>
      <c r="O13753" s="88">
        <f>VLOOKUP($Q13753,매칭테이블!$F:$I,4,0)*K13753</f>
        <v/>
      </c>
      <c r="P13753" s="152">
        <f>M13753/1.1</f>
        <v/>
      </c>
      <c r="Q13753" s="88">
        <f>F13753&amp;E13753&amp;G13753&amp;L13753</f>
        <v/>
      </c>
    </row>
    <row r="13754">
      <c r="B13754" s="128" t="n">
        <v>44211</v>
      </c>
      <c r="C13754" s="88">
        <f>TEXT(B13754,"aaa")</f>
        <v/>
      </c>
      <c r="D13754" s="94" t="n"/>
      <c r="E13754" s="88">
        <f>INDEX(매칭테이블!C:D,MATCH(RD!G13754,매칭테이블!D:D,0),1)</f>
        <v/>
      </c>
      <c r="F13754" s="94" t="inlineStr">
        <is>
          <t>카페24</t>
        </is>
      </c>
      <c r="G13754" s="94" t="inlineStr">
        <is>
          <t>촉촉 스킨팩 화장솜</t>
        </is>
      </c>
      <c r="K13754" s="94" t="n">
        <v>16</v>
      </c>
      <c r="L13754" s="88" t="n">
        <v>201208</v>
      </c>
      <c r="M13754" s="88">
        <f>VLOOKUP($Q13754,매칭테이블!$F:$I,2,0)*K13754</f>
        <v/>
      </c>
      <c r="N13754" s="88">
        <f>M13754-M13754*VLOOKUP($Q13754,매칭테이블!$F:$I,3,0)</f>
        <v/>
      </c>
      <c r="O13754" s="88">
        <f>VLOOKUP($Q13754,매칭테이블!$F:$I,4,0)*K13754</f>
        <v/>
      </c>
      <c r="P13754" s="152">
        <f>M13754/1.1</f>
        <v/>
      </c>
      <c r="Q13754" s="88">
        <f>F13754&amp;E13754&amp;G13754&amp;L13754</f>
        <v/>
      </c>
    </row>
    <row r="13755">
      <c r="B13755" s="128" t="n">
        <v>44211</v>
      </c>
      <c r="C13755" s="88">
        <f>TEXT(B13755,"aaa")</f>
        <v/>
      </c>
      <c r="D13755" s="94" t="n"/>
      <c r="E13755" s="88">
        <f>INDEX(매칭테이블!C:D,MATCH(RD!G13755,매칭테이블!D:D,0),1)</f>
        <v/>
      </c>
      <c r="F13755" s="94" t="inlineStr">
        <is>
          <t>카페24</t>
        </is>
      </c>
      <c r="G13755" s="94" t="inlineStr">
        <is>
          <t>촉촉 스킨팩 화장솜</t>
        </is>
      </c>
      <c r="K13755" s="94" t="n">
        <v>1</v>
      </c>
      <c r="L13755" s="88" t="n">
        <v>201208</v>
      </c>
      <c r="M13755" s="88">
        <f>VLOOKUP($Q13755,매칭테이블!$F:$I,2,0)*K13755</f>
        <v/>
      </c>
      <c r="N13755" s="88">
        <f>M13755-M13755*VLOOKUP($Q13755,매칭테이블!$F:$I,3,0)</f>
        <v/>
      </c>
      <c r="O13755" s="88">
        <f>VLOOKUP($Q13755,매칭테이블!$F:$I,4,0)*K13755</f>
        <v/>
      </c>
      <c r="P13755" s="152">
        <f>M13755/1.1</f>
        <v/>
      </c>
      <c r="Q13755" s="88">
        <f>F13755&amp;E13755&amp;G13755&amp;L13755</f>
        <v/>
      </c>
    </row>
    <row r="13756">
      <c r="B13756" s="128" t="n">
        <v>44212</v>
      </c>
      <c r="C13756" s="88">
        <f>TEXT(B13756,"aaa")</f>
        <v/>
      </c>
      <c r="D13756" s="94" t="n"/>
      <c r="E13756" s="88">
        <f>INDEX(매칭테이블!C:D,MATCH(RD!G13756,매칭테이블!D:D,0),1)</f>
        <v/>
      </c>
      <c r="F13756" s="94" t="inlineStr">
        <is>
          <t>스타일쉐어</t>
        </is>
      </c>
      <c r="G13756" s="94" t="inlineStr">
        <is>
          <t>아누아 어성초 77 토너 250ml</t>
        </is>
      </c>
      <c r="K13756" s="94" t="n">
        <v>3</v>
      </c>
      <c r="L13756" s="88" t="n">
        <v>201208</v>
      </c>
      <c r="M13756" s="88">
        <f>VLOOKUP($Q13756,매칭테이블!$F:$I,2,0)*K13756</f>
        <v/>
      </c>
      <c r="N13756" s="88">
        <f>M13756-M13756*VLOOKUP($Q13756,매칭테이블!$F:$I,3,0)</f>
        <v/>
      </c>
      <c r="O13756" s="88">
        <f>VLOOKUP($Q13756,매칭테이블!$F:$I,4,0)*K13756</f>
        <v/>
      </c>
      <c r="P13756" s="152">
        <f>M13756/1.1</f>
        <v/>
      </c>
      <c r="Q13756" s="88">
        <f>F13756&amp;E13756&amp;G13756&amp;L13756</f>
        <v/>
      </c>
    </row>
    <row r="13757">
      <c r="B13757" s="128" t="n">
        <v>44212</v>
      </c>
      <c r="C13757" s="88">
        <f>TEXT(B13757,"aaa")</f>
        <v/>
      </c>
      <c r="D13757" s="94" t="n"/>
      <c r="E13757" s="88">
        <f>INDEX(매칭테이블!C:D,MATCH(RD!G13757,매칭테이블!D:D,0),1)</f>
        <v/>
      </c>
      <c r="F13757" s="94" t="inlineStr">
        <is>
          <t>카페24</t>
        </is>
      </c>
      <c r="G13757" s="94" t="inlineStr">
        <is>
          <t>5 제로 무기자차 선크림옵션=5제로 무기자차 선크림 1개-20% off</t>
        </is>
      </c>
      <c r="K13757" s="94" t="n">
        <v>1</v>
      </c>
      <c r="L13757" s="88" t="n">
        <v>201208</v>
      </c>
      <c r="M13757" s="88">
        <f>VLOOKUP($Q13757,매칭테이블!$F:$I,2,0)*K13757</f>
        <v/>
      </c>
      <c r="N13757" s="88">
        <f>M13757-M13757*VLOOKUP($Q13757,매칭테이블!$F:$I,3,0)</f>
        <v/>
      </c>
      <c r="O13757" s="88">
        <f>VLOOKUP($Q13757,매칭테이블!$F:$I,4,0)*K13757</f>
        <v/>
      </c>
      <c r="P13757" s="152">
        <f>M13757/1.1</f>
        <v/>
      </c>
      <c r="Q13757" s="88">
        <f>F13757&amp;E13757&amp;G13757&amp;L13757</f>
        <v/>
      </c>
    </row>
    <row r="13758">
      <c r="B13758" s="128" t="n">
        <v>44212</v>
      </c>
      <c r="C13758" s="88">
        <f>TEXT(B13758,"aaa")</f>
        <v/>
      </c>
      <c r="D13758" s="94" t="n"/>
      <c r="E13758" s="88">
        <f>INDEX(매칭테이블!C:D,MATCH(RD!G13758,매칭테이블!D:D,0),1)</f>
        <v/>
      </c>
      <c r="F13758" s="94" t="inlineStr">
        <is>
          <t>카페24</t>
        </is>
      </c>
      <c r="G13758" s="94" t="inlineStr">
        <is>
          <t>5 제로 무기자차 선크림옵션=5제로 무기자차 선크림 2개-30% off (무료배송)</t>
        </is>
      </c>
      <c r="K13758" s="94" t="n">
        <v>2</v>
      </c>
      <c r="L13758" s="88" t="n">
        <v>201208</v>
      </c>
      <c r="M13758" s="88">
        <f>VLOOKUP($Q13758,매칭테이블!$F:$I,2,0)*K13758</f>
        <v/>
      </c>
      <c r="N13758" s="88">
        <f>M13758-M13758*VLOOKUP($Q13758,매칭테이블!$F:$I,3,0)</f>
        <v/>
      </c>
      <c r="O13758" s="88">
        <f>VLOOKUP($Q13758,매칭테이블!$F:$I,4,0)*K13758</f>
        <v/>
      </c>
      <c r="P13758" s="152">
        <f>M13758/1.1</f>
        <v/>
      </c>
      <c r="Q13758" s="88">
        <f>F13758&amp;E13758&amp;G13758&amp;L13758</f>
        <v/>
      </c>
    </row>
    <row r="13759">
      <c r="B13759" s="128" t="n">
        <v>44212</v>
      </c>
      <c r="C13759" s="88">
        <f>TEXT(B13759,"aaa")</f>
        <v/>
      </c>
      <c r="D13759" s="94" t="n"/>
      <c r="E13759" s="88">
        <f>INDEX(매칭테이블!C:D,MATCH(RD!G13759,매칭테이블!D:D,0),1)</f>
        <v/>
      </c>
      <c r="F13759" s="94" t="inlineStr">
        <is>
          <t>카페24</t>
        </is>
      </c>
      <c r="G13759" s="94" t="inlineStr">
        <is>
          <t>[01/27 순차발송] 어성초 77 클리어 패드옵션=어성초 77 클리어 패드 1개-20% off</t>
        </is>
      </c>
      <c r="K13759" s="94" t="n">
        <v>31</v>
      </c>
      <c r="L13759" s="88" t="n">
        <v>201208</v>
      </c>
      <c r="M13759" s="88">
        <f>VLOOKUP($Q13759,매칭테이블!$F:$I,2,0)*K13759</f>
        <v/>
      </c>
      <c r="N13759" s="88">
        <f>M13759-M13759*VLOOKUP($Q13759,매칭테이블!$F:$I,3,0)</f>
        <v/>
      </c>
      <c r="O13759" s="88">
        <f>VLOOKUP($Q13759,매칭테이블!$F:$I,4,0)*K13759</f>
        <v/>
      </c>
      <c r="P13759" s="152">
        <f>M13759/1.1</f>
        <v/>
      </c>
      <c r="Q13759" s="88">
        <f>F13759&amp;E13759&amp;G13759&amp;L13759</f>
        <v/>
      </c>
    </row>
    <row r="13760">
      <c r="B13760" s="128" t="n">
        <v>44212</v>
      </c>
      <c r="C13760" s="88">
        <f>TEXT(B13760,"aaa")</f>
        <v/>
      </c>
      <c r="D13760" s="94" t="n"/>
      <c r="E13760" s="88">
        <f>INDEX(매칭테이블!C:D,MATCH(RD!G13760,매칭테이블!D:D,0),1)</f>
        <v/>
      </c>
      <c r="F13760" s="94" t="inlineStr">
        <is>
          <t>카페24</t>
        </is>
      </c>
      <c r="G13760" s="94" t="inlineStr">
        <is>
          <t>[01/27 순차발송] 어성초 77 클리어 패드옵션=어성초 77 클리어 패드 2개-30% off (무료배송)</t>
        </is>
      </c>
      <c r="K13760" s="94" t="n">
        <v>35</v>
      </c>
      <c r="L13760" s="88" t="n">
        <v>201208</v>
      </c>
      <c r="M13760" s="88">
        <f>VLOOKUP($Q13760,매칭테이블!$F:$I,2,0)*K13760</f>
        <v/>
      </c>
      <c r="N13760" s="88">
        <f>M13760-M13760*VLOOKUP($Q13760,매칭테이블!$F:$I,3,0)</f>
        <v/>
      </c>
      <c r="O13760" s="88">
        <f>VLOOKUP($Q13760,매칭테이블!$F:$I,4,0)*K13760</f>
        <v/>
      </c>
      <c r="P13760" s="152">
        <f>M13760/1.1</f>
        <v/>
      </c>
      <c r="Q13760" s="88">
        <f>F13760&amp;E13760&amp;G13760&amp;L13760</f>
        <v/>
      </c>
    </row>
    <row r="13761">
      <c r="B13761" s="128" t="n">
        <v>44212</v>
      </c>
      <c r="C13761" s="88">
        <f>TEXT(B13761,"aaa")</f>
        <v/>
      </c>
      <c r="D13761" s="94" t="n"/>
      <c r="E13761" s="88">
        <f>INDEX(매칭테이블!C:D,MATCH(RD!G13761,매칭테이블!D:D,0),1)</f>
        <v/>
      </c>
      <c r="F13761" s="94" t="inlineStr">
        <is>
          <t>카페24</t>
        </is>
      </c>
      <c r="G13761" s="94" t="inlineStr">
        <is>
          <t>[01/27 순차발송] 어성초 77 클리어 패드옵션=어성초 77 클리어 패드 2+1 EVENT (무료배송)</t>
        </is>
      </c>
      <c r="K13761" s="94" t="n">
        <v>28</v>
      </c>
      <c r="L13761" s="88" t="n">
        <v>201208</v>
      </c>
      <c r="M13761" s="88">
        <f>VLOOKUP($Q13761,매칭테이블!$F:$I,2,0)*K13761</f>
        <v/>
      </c>
      <c r="N13761" s="88">
        <f>M13761-M13761*VLOOKUP($Q13761,매칭테이블!$F:$I,3,0)</f>
        <v/>
      </c>
      <c r="O13761" s="88">
        <f>VLOOKUP($Q13761,매칭테이블!$F:$I,4,0)*K13761</f>
        <v/>
      </c>
      <c r="P13761" s="152">
        <f>M13761/1.1</f>
        <v/>
      </c>
      <c r="Q13761" s="88">
        <f>F13761&amp;E13761&amp;G13761&amp;L13761</f>
        <v/>
      </c>
    </row>
    <row r="13762">
      <c r="B13762" s="128" t="n">
        <v>44212</v>
      </c>
      <c r="C13762" s="88">
        <f>TEXT(B13762,"aaa")</f>
        <v/>
      </c>
      <c r="D13762" s="94" t="n"/>
      <c r="E13762" s="88">
        <f>INDEX(매칭테이블!C:D,MATCH(RD!G13762,매칭테이블!D:D,0),1)</f>
        <v/>
      </c>
      <c r="F13762" s="94" t="inlineStr">
        <is>
          <t>카페24</t>
        </is>
      </c>
      <c r="G13762" s="94" t="inlineStr">
        <is>
          <t>[01/27 순차발송] 어성초 77 클리어 패드옵션=어성초77토너1개+어성초77패드1개-30% off (무료배송)</t>
        </is>
      </c>
      <c r="K13762" s="94" t="n">
        <v>10</v>
      </c>
      <c r="L13762" s="88" t="n">
        <v>201208</v>
      </c>
      <c r="M13762" s="88">
        <f>VLOOKUP($Q13762,매칭테이블!$F:$I,2,0)*K13762</f>
        <v/>
      </c>
      <c r="N13762" s="88">
        <f>M13762-M13762*VLOOKUP($Q13762,매칭테이블!$F:$I,3,0)</f>
        <v/>
      </c>
      <c r="O13762" s="88">
        <f>VLOOKUP($Q13762,매칭테이블!$F:$I,4,0)*K13762</f>
        <v/>
      </c>
      <c r="P13762" s="152">
        <f>M13762/1.1</f>
        <v/>
      </c>
      <c r="Q13762" s="88">
        <f>F13762&amp;E13762&amp;G13762&amp;L13762</f>
        <v/>
      </c>
    </row>
    <row r="13763">
      <c r="B13763" s="128" t="n">
        <v>44212</v>
      </c>
      <c r="C13763" s="88">
        <f>TEXT(B13763,"aaa")</f>
        <v/>
      </c>
      <c r="D13763" s="94" t="n"/>
      <c r="E13763" s="88">
        <f>INDEX(매칭테이블!C:D,MATCH(RD!G13763,매칭테이블!D:D,0),1)</f>
        <v/>
      </c>
      <c r="F13763" s="94" t="inlineStr">
        <is>
          <t>카페24</t>
        </is>
      </c>
      <c r="G13763" s="94" t="inlineStr">
        <is>
          <t>[01/27 순차발송] 어성초 77 포어 클리어 패드옵션=어성초 77 클리어 패드 1개-20% off</t>
        </is>
      </c>
      <c r="K13763" s="94" t="n">
        <v>6</v>
      </c>
      <c r="L13763" s="88" t="n">
        <v>201208</v>
      </c>
      <c r="M13763" s="88">
        <f>VLOOKUP($Q13763,매칭테이블!$F:$I,2,0)*K13763</f>
        <v/>
      </c>
      <c r="N13763" s="88">
        <f>M13763-M13763*VLOOKUP($Q13763,매칭테이블!$F:$I,3,0)</f>
        <v/>
      </c>
      <c r="O13763" s="88">
        <f>VLOOKUP($Q13763,매칭테이블!$F:$I,4,0)*K13763</f>
        <v/>
      </c>
      <c r="P13763" s="152">
        <f>M13763/1.1</f>
        <v/>
      </c>
      <c r="Q13763" s="88">
        <f>F13763&amp;E13763&amp;G13763&amp;L13763</f>
        <v/>
      </c>
    </row>
    <row r="13764">
      <c r="B13764" s="128" t="n">
        <v>44212</v>
      </c>
      <c r="C13764" s="88">
        <f>TEXT(B13764,"aaa")</f>
        <v/>
      </c>
      <c r="D13764" s="94" t="n"/>
      <c r="E13764" s="88">
        <f>INDEX(매칭테이블!C:D,MATCH(RD!G13764,매칭테이블!D:D,0),1)</f>
        <v/>
      </c>
      <c r="F13764" s="94" t="inlineStr">
        <is>
          <t>카페24</t>
        </is>
      </c>
      <c r="G13764" s="94" t="inlineStr">
        <is>
          <t>[01/27 순차발송] 어성초 77 포어 클리어 패드옵션=어성초 77 클리어 패드 2개-30% off (무료배송)</t>
        </is>
      </c>
      <c r="K13764" s="94" t="n">
        <v>4</v>
      </c>
      <c r="L13764" s="88" t="n">
        <v>201208</v>
      </c>
      <c r="M13764" s="88">
        <f>VLOOKUP($Q13764,매칭테이블!$F:$I,2,0)*K13764</f>
        <v/>
      </c>
      <c r="N13764" s="88">
        <f>M13764-M13764*VLOOKUP($Q13764,매칭테이블!$F:$I,3,0)</f>
        <v/>
      </c>
      <c r="O13764" s="88">
        <f>VLOOKUP($Q13764,매칭테이블!$F:$I,4,0)*K13764</f>
        <v/>
      </c>
      <c r="P13764" s="152">
        <f>M13764/1.1</f>
        <v/>
      </c>
      <c r="Q13764" s="88">
        <f>F13764&amp;E13764&amp;G13764&amp;L13764</f>
        <v/>
      </c>
    </row>
    <row r="13765">
      <c r="B13765" s="128" t="n">
        <v>44212</v>
      </c>
      <c r="C13765" s="88">
        <f>TEXT(B13765,"aaa")</f>
        <v/>
      </c>
      <c r="D13765" s="94" t="n"/>
      <c r="E13765" s="88">
        <f>INDEX(매칭테이블!C:D,MATCH(RD!G13765,매칭테이블!D:D,0),1)</f>
        <v/>
      </c>
      <c r="F13765" s="94" t="inlineStr">
        <is>
          <t>카페24</t>
        </is>
      </c>
      <c r="G13765" s="94" t="inlineStr">
        <is>
          <t>[01/27 순차발송] 어성초 77 포어 클리어 패드옵션=어성초 77 클리어 패드 2+1 EVENT (무료배송)</t>
        </is>
      </c>
      <c r="K13765" s="94" t="n">
        <v>3</v>
      </c>
      <c r="L13765" s="88" t="n">
        <v>201208</v>
      </c>
      <c r="M13765" s="88">
        <f>VLOOKUP($Q13765,매칭테이블!$F:$I,2,0)*K13765</f>
        <v/>
      </c>
      <c r="N13765" s="88">
        <f>M13765-M13765*VLOOKUP($Q13765,매칭테이블!$F:$I,3,0)</f>
        <v/>
      </c>
      <c r="O13765" s="88">
        <f>VLOOKUP($Q13765,매칭테이블!$F:$I,4,0)*K13765</f>
        <v/>
      </c>
      <c r="P13765" s="152">
        <f>M13765/1.1</f>
        <v/>
      </c>
      <c r="Q13765" s="88">
        <f>F13765&amp;E13765&amp;G13765&amp;L13765</f>
        <v/>
      </c>
    </row>
    <row r="13766">
      <c r="B13766" s="128" t="n">
        <v>44212</v>
      </c>
      <c r="C13766" s="88">
        <f>TEXT(B13766,"aaa")</f>
        <v/>
      </c>
      <c r="D13766" s="94" t="n"/>
      <c r="E13766" s="88">
        <f>INDEX(매칭테이블!C:D,MATCH(RD!G13766,매칭테이블!D:D,0),1)</f>
        <v/>
      </c>
      <c r="F13766" s="94" t="inlineStr">
        <is>
          <t>카페24</t>
        </is>
      </c>
      <c r="G13766" s="94" t="inlineStr">
        <is>
          <t>[01/27 순차발송] 어성초 77 포어 클리어 패드옵션=어성초77토너1개+어성초77패드1개-30% off (무료배송)</t>
        </is>
      </c>
      <c r="K13766" s="94" t="n">
        <v>2</v>
      </c>
      <c r="L13766" s="88" t="n">
        <v>201208</v>
      </c>
      <c r="M13766" s="88">
        <f>VLOOKUP($Q13766,매칭테이블!$F:$I,2,0)*K13766</f>
        <v/>
      </c>
      <c r="N13766" s="88">
        <f>M13766-M13766*VLOOKUP($Q13766,매칭테이블!$F:$I,3,0)</f>
        <v/>
      </c>
      <c r="O13766" s="88">
        <f>VLOOKUP($Q13766,매칭테이블!$F:$I,4,0)*K13766</f>
        <v/>
      </c>
      <c r="P13766" s="152">
        <f>M13766/1.1</f>
        <v/>
      </c>
      <c r="Q13766" s="88">
        <f>F13766&amp;E13766&amp;G13766&amp;L13766</f>
        <v/>
      </c>
    </row>
    <row r="13767">
      <c r="B13767" s="128" t="n">
        <v>44212</v>
      </c>
      <c r="C13767" s="88">
        <f>TEXT(B13767,"aaa")</f>
        <v/>
      </c>
      <c r="D13767" s="94" t="n"/>
      <c r="E13767" s="88">
        <f>INDEX(매칭테이블!C:D,MATCH(RD!G13767,매칭테이블!D:D,0),1)</f>
        <v/>
      </c>
      <c r="F13767" s="94" t="inlineStr">
        <is>
          <t>카페24</t>
        </is>
      </c>
      <c r="G13767" s="94" t="inlineStr">
        <is>
          <t>[01/27 순차발송] 어성초 77% 패드옵션=어성초 77 클리어 패드 1개-20% off</t>
        </is>
      </c>
      <c r="K13767" s="94" t="n">
        <v>37</v>
      </c>
      <c r="L13767" s="88" t="n">
        <v>201208</v>
      </c>
      <c r="M13767" s="88">
        <f>VLOOKUP($Q13767,매칭테이블!$F:$I,2,0)*K13767</f>
        <v/>
      </c>
      <c r="N13767" s="88">
        <f>M13767-M13767*VLOOKUP($Q13767,매칭테이블!$F:$I,3,0)</f>
        <v/>
      </c>
      <c r="O13767" s="88">
        <f>VLOOKUP($Q13767,매칭테이블!$F:$I,4,0)*K13767</f>
        <v/>
      </c>
      <c r="P13767" s="152">
        <f>M13767/1.1</f>
        <v/>
      </c>
      <c r="Q13767" s="88">
        <f>F13767&amp;E13767&amp;G13767&amp;L13767</f>
        <v/>
      </c>
    </row>
    <row r="13768">
      <c r="B13768" s="128" t="n">
        <v>44212</v>
      </c>
      <c r="C13768" s="88">
        <f>TEXT(B13768,"aaa")</f>
        <v/>
      </c>
      <c r="D13768" s="94" t="n"/>
      <c r="E13768" s="88">
        <f>INDEX(매칭테이블!C:D,MATCH(RD!G13768,매칭테이블!D:D,0),1)</f>
        <v/>
      </c>
      <c r="F13768" s="94" t="inlineStr">
        <is>
          <t>카페24</t>
        </is>
      </c>
      <c r="G13768" s="94" t="inlineStr">
        <is>
          <t>[01/27 순차발송] 어성초 77% 패드옵션=어성초 77 클리어 패드 2개-30% off (무료배송)</t>
        </is>
      </c>
      <c r="K13768" s="94" t="n">
        <v>25</v>
      </c>
      <c r="L13768" s="88" t="n">
        <v>201208</v>
      </c>
      <c r="M13768" s="88">
        <f>VLOOKUP($Q13768,매칭테이블!$F:$I,2,0)*K13768</f>
        <v/>
      </c>
      <c r="N13768" s="88">
        <f>M13768-M13768*VLOOKUP($Q13768,매칭테이블!$F:$I,3,0)</f>
        <v/>
      </c>
      <c r="O13768" s="88">
        <f>VLOOKUP($Q13768,매칭테이블!$F:$I,4,0)*K13768</f>
        <v/>
      </c>
      <c r="P13768" s="152">
        <f>M13768/1.1</f>
        <v/>
      </c>
      <c r="Q13768" s="88">
        <f>F13768&amp;E13768&amp;G13768&amp;L13768</f>
        <v/>
      </c>
    </row>
    <row r="13769">
      <c r="B13769" s="128" t="n">
        <v>44212</v>
      </c>
      <c r="C13769" s="88">
        <f>TEXT(B13769,"aaa")</f>
        <v/>
      </c>
      <c r="D13769" s="94" t="n"/>
      <c r="E13769" s="88">
        <f>INDEX(매칭테이블!C:D,MATCH(RD!G13769,매칭테이블!D:D,0),1)</f>
        <v/>
      </c>
      <c r="F13769" s="94" t="inlineStr">
        <is>
          <t>카페24</t>
        </is>
      </c>
      <c r="G13769" s="94" t="inlineStr">
        <is>
          <t>[01/27 순차발송] 어성초 77% 패드옵션=어성초 77 클리어 패드 2+1 EVENT (무료배송)</t>
        </is>
      </c>
      <c r="K13769" s="94" t="n">
        <v>21</v>
      </c>
      <c r="L13769" s="88" t="n">
        <v>201208</v>
      </c>
      <c r="M13769" s="88">
        <f>VLOOKUP($Q13769,매칭테이블!$F:$I,2,0)*K13769</f>
        <v/>
      </c>
      <c r="N13769" s="88">
        <f>M13769-M13769*VLOOKUP($Q13769,매칭테이블!$F:$I,3,0)</f>
        <v/>
      </c>
      <c r="O13769" s="88">
        <f>VLOOKUP($Q13769,매칭테이블!$F:$I,4,0)*K13769</f>
        <v/>
      </c>
      <c r="P13769" s="152">
        <f>M13769/1.1</f>
        <v/>
      </c>
      <c r="Q13769" s="88">
        <f>F13769&amp;E13769&amp;G13769&amp;L13769</f>
        <v/>
      </c>
    </row>
    <row r="13770">
      <c r="B13770" s="128" t="n">
        <v>44212</v>
      </c>
      <c r="C13770" s="88">
        <f>TEXT(B13770,"aaa")</f>
        <v/>
      </c>
      <c r="D13770" s="94" t="n"/>
      <c r="E13770" s="88">
        <f>INDEX(매칭테이블!C:D,MATCH(RD!G13770,매칭테이블!D:D,0),1)</f>
        <v/>
      </c>
      <c r="F13770" s="94" t="inlineStr">
        <is>
          <t>카페24</t>
        </is>
      </c>
      <c r="G13770" s="94" t="inlineStr">
        <is>
          <t>[01/27 순차발송] 어성초 77% 패드옵션=어성초77토너1개+어성초77패드1개-30% off (무료배송)</t>
        </is>
      </c>
      <c r="K13770" s="94" t="n">
        <v>10</v>
      </c>
      <c r="L13770" s="88" t="n">
        <v>201208</v>
      </c>
      <c r="M13770" s="88">
        <f>VLOOKUP($Q13770,매칭테이블!$F:$I,2,0)*K13770</f>
        <v/>
      </c>
      <c r="N13770" s="88">
        <f>M13770-M13770*VLOOKUP($Q13770,매칭테이블!$F:$I,3,0)</f>
        <v/>
      </c>
      <c r="O13770" s="88">
        <f>VLOOKUP($Q13770,매칭테이블!$F:$I,4,0)*K13770</f>
        <v/>
      </c>
      <c r="P13770" s="152">
        <f>M13770/1.1</f>
        <v/>
      </c>
      <c r="Q13770" s="88">
        <f>F13770&amp;E13770&amp;G13770&amp;L13770</f>
        <v/>
      </c>
    </row>
    <row r="13771">
      <c r="B13771" s="128" t="n">
        <v>44212</v>
      </c>
      <c r="C13771" s="88">
        <f>TEXT(B13771,"aaa")</f>
        <v/>
      </c>
      <c r="D13771" s="94" t="n"/>
      <c r="E13771" s="88">
        <f>INDEX(매칭테이블!C:D,MATCH(RD!G13771,매칭테이블!D:D,0),1)</f>
        <v/>
      </c>
      <c r="F13771" s="94" t="inlineStr">
        <is>
          <t>카페24</t>
        </is>
      </c>
      <c r="G13771" s="94" t="inlineStr">
        <is>
          <t>[수분 보충 세트] 어성초 77 토너 + 어성초 70 로션옵션=어성초 77 토너 250ml + 어성초 70 로션 200ml -30%</t>
        </is>
      </c>
      <c r="K13771" s="94" t="n">
        <v>35</v>
      </c>
      <c r="L13771" s="88" t="n">
        <v>201208</v>
      </c>
      <c r="M13771" s="88">
        <f>VLOOKUP($Q13771,매칭테이블!$F:$I,2,0)*K13771</f>
        <v/>
      </c>
      <c r="N13771" s="88">
        <f>M13771-M13771*VLOOKUP($Q13771,매칭테이블!$F:$I,3,0)</f>
        <v/>
      </c>
      <c r="O13771" s="88">
        <f>VLOOKUP($Q13771,매칭테이블!$F:$I,4,0)*K13771</f>
        <v/>
      </c>
      <c r="P13771" s="152">
        <f>M13771/1.1</f>
        <v/>
      </c>
      <c r="Q13771" s="88">
        <f>F13771&amp;E13771&amp;G13771&amp;L13771</f>
        <v/>
      </c>
    </row>
    <row r="13772">
      <c r="B13772" s="128" t="n">
        <v>44212</v>
      </c>
      <c r="C13772" s="88">
        <f>TEXT(B13772,"aaa")</f>
        <v/>
      </c>
      <c r="D13772" s="94" t="n"/>
      <c r="E13772" s="88">
        <f>INDEX(매칭테이블!C:D,MATCH(RD!G13772,매칭테이블!D:D,0),1)</f>
        <v/>
      </c>
      <c r="F13772" s="94" t="inlineStr">
        <is>
          <t>카페24</t>
        </is>
      </c>
      <c r="G13772" s="94" t="inlineStr">
        <is>
          <t>[어성초 진정 패키지 세트] 대용량 토너 + 앰플 + 수딩 크림 + 마스크팩 10장</t>
        </is>
      </c>
      <c r="K13772" s="94" t="n">
        <v>3</v>
      </c>
      <c r="L13772" s="88" t="n">
        <v>201208</v>
      </c>
      <c r="M13772" s="88">
        <f>VLOOKUP($Q13772,매칭테이블!$F:$I,2,0)*K13772</f>
        <v/>
      </c>
      <c r="N13772" s="88">
        <f>M13772-M13772*VLOOKUP($Q13772,매칭테이블!$F:$I,3,0)</f>
        <v/>
      </c>
      <c r="O13772" s="88">
        <f>VLOOKUP($Q13772,매칭테이블!$F:$I,4,0)*K13772</f>
        <v/>
      </c>
      <c r="P13772" s="152">
        <f>M13772/1.1</f>
        <v/>
      </c>
      <c r="Q13772" s="88">
        <f>F13772&amp;E13772&amp;G13772&amp;L13772</f>
        <v/>
      </c>
    </row>
    <row r="13773">
      <c r="B13773" s="128" t="n">
        <v>44212</v>
      </c>
      <c r="C13773" s="88">
        <f>TEXT(B13773,"aaa")</f>
        <v/>
      </c>
      <c r="D13773" s="94" t="n"/>
      <c r="E13773" s="88">
        <f>INDEX(매칭테이블!C:D,MATCH(RD!G13773,매칭테이블!D:D,0),1)</f>
        <v/>
      </c>
      <c r="F13773" s="94" t="inlineStr">
        <is>
          <t>카페24</t>
        </is>
      </c>
      <c r="G13773" s="94" t="inlineStr">
        <is>
          <t>대용량 어성초 77 수딩 토너 500ml옵션=대용량 어성초 77 토너 1개 - 27% OFF</t>
        </is>
      </c>
      <c r="K13773" s="94" t="n">
        <v>21</v>
      </c>
      <c r="L13773" s="88" t="n">
        <v>201208</v>
      </c>
      <c r="M13773" s="88">
        <f>VLOOKUP($Q13773,매칭테이블!$F:$I,2,0)*K13773</f>
        <v/>
      </c>
      <c r="N13773" s="88">
        <f>M13773-M13773*VLOOKUP($Q13773,매칭테이블!$F:$I,3,0)</f>
        <v/>
      </c>
      <c r="O13773" s="88">
        <f>VLOOKUP($Q13773,매칭테이블!$F:$I,4,0)*K13773</f>
        <v/>
      </c>
      <c r="P13773" s="152">
        <f>M13773/1.1</f>
        <v/>
      </c>
      <c r="Q13773" s="88">
        <f>F13773&amp;E13773&amp;G13773&amp;L13773</f>
        <v/>
      </c>
    </row>
    <row r="13774">
      <c r="B13774" s="128" t="n">
        <v>44212</v>
      </c>
      <c r="C13774" s="88">
        <f>TEXT(B13774,"aaa")</f>
        <v/>
      </c>
      <c r="D13774" s="94" t="n"/>
      <c r="E13774" s="88">
        <f>INDEX(매칭테이블!C:D,MATCH(RD!G13774,매칭테이블!D:D,0),1)</f>
        <v/>
      </c>
      <c r="F13774" s="94" t="inlineStr">
        <is>
          <t>카페24</t>
        </is>
      </c>
      <c r="G13774" s="94" t="inlineStr">
        <is>
          <t>대용량 어성초 77 수딩 토너 500ml화장솜(선택)=촉촉 스킨팩 화장솜</t>
        </is>
      </c>
      <c r="K13774" s="94" t="n">
        <v>6</v>
      </c>
      <c r="L13774" s="88" t="n">
        <v>201208</v>
      </c>
      <c r="M13774" s="88">
        <f>VLOOKUP($Q13774,매칭테이블!$F:$I,2,0)*K13774</f>
        <v/>
      </c>
      <c r="N13774" s="88">
        <f>M13774-M13774*VLOOKUP($Q13774,매칭테이블!$F:$I,3,0)</f>
        <v/>
      </c>
      <c r="O13774" s="88">
        <f>VLOOKUP($Q13774,매칭테이블!$F:$I,4,0)*K13774</f>
        <v/>
      </c>
      <c r="P13774" s="152">
        <f>M13774/1.1</f>
        <v/>
      </c>
      <c r="Q13774" s="88">
        <f>F13774&amp;E13774&amp;G13774&amp;L13774</f>
        <v/>
      </c>
    </row>
    <row r="13775">
      <c r="B13775" s="128" t="n">
        <v>44212</v>
      </c>
      <c r="C13775" s="88">
        <f>TEXT(B13775,"aaa")</f>
        <v/>
      </c>
      <c r="D13775" s="94" t="n"/>
      <c r="E13775" s="88">
        <f>INDEX(매칭테이블!C:D,MATCH(RD!G13775,매칭테이블!D:D,0),1)</f>
        <v/>
      </c>
      <c r="F13775" s="94" t="inlineStr">
        <is>
          <t>카페24</t>
        </is>
      </c>
      <c r="G13775" s="94" t="inlineStr">
        <is>
          <t>아누아 어성초 77 수딩 토너토너(필수)=어성초 77 토너 2개-30% off (무료배송)</t>
        </is>
      </c>
      <c r="K13775" s="94" t="n">
        <v>1</v>
      </c>
      <c r="L13775" s="88" t="n">
        <v>201208</v>
      </c>
      <c r="M13775" s="88">
        <f>VLOOKUP($Q13775,매칭테이블!$F:$I,2,0)*K13775</f>
        <v/>
      </c>
      <c r="N13775" s="88">
        <f>M13775-M13775*VLOOKUP($Q13775,매칭테이블!$F:$I,3,0)</f>
        <v/>
      </c>
      <c r="O13775" s="88">
        <f>VLOOKUP($Q13775,매칭테이블!$F:$I,4,0)*K13775</f>
        <v/>
      </c>
      <c r="P13775" s="152">
        <f>M13775/1.1</f>
        <v/>
      </c>
      <c r="Q13775" s="88">
        <f>F13775&amp;E13775&amp;G13775&amp;L13775</f>
        <v/>
      </c>
    </row>
    <row r="13776">
      <c r="B13776" s="128" t="n">
        <v>44212</v>
      </c>
      <c r="C13776" s="88">
        <f>TEXT(B13776,"aaa")</f>
        <v/>
      </c>
      <c r="D13776" s="94" t="n"/>
      <c r="E13776" s="88">
        <f>INDEX(매칭테이블!C:D,MATCH(RD!G13776,매칭테이블!D:D,0),1)</f>
        <v/>
      </c>
      <c r="F13776" s="94" t="inlineStr">
        <is>
          <t>카페24</t>
        </is>
      </c>
      <c r="G13776" s="94" t="inlineStr">
        <is>
          <t>어성초 70 데일리 릴리프 로션로션=어성초 70 데일리 릴리프 로션 1개 -20% off</t>
        </is>
      </c>
      <c r="K13776" s="94" t="n">
        <v>11</v>
      </c>
      <c r="L13776" s="88" t="n">
        <v>201208</v>
      </c>
      <c r="M13776" s="88">
        <f>VLOOKUP($Q13776,매칭테이블!$F:$I,2,0)*K13776</f>
        <v/>
      </c>
      <c r="N13776" s="88">
        <f>M13776-M13776*VLOOKUP($Q13776,매칭테이블!$F:$I,3,0)</f>
        <v/>
      </c>
      <c r="O13776" s="88">
        <f>VLOOKUP($Q13776,매칭테이블!$F:$I,4,0)*K13776</f>
        <v/>
      </c>
      <c r="P13776" s="152">
        <f>M13776/1.1</f>
        <v/>
      </c>
      <c r="Q13776" s="88">
        <f>F13776&amp;E13776&amp;G13776&amp;L13776</f>
        <v/>
      </c>
    </row>
    <row r="13777">
      <c r="B13777" s="128" t="n">
        <v>44212</v>
      </c>
      <c r="C13777" s="88">
        <f>TEXT(B13777,"aaa")</f>
        <v/>
      </c>
      <c r="D13777" s="94" t="n"/>
      <c r="E13777" s="88">
        <f>INDEX(매칭테이블!C:D,MATCH(RD!G13777,매칭테이블!D:D,0),1)</f>
        <v/>
      </c>
      <c r="F13777" s="94" t="inlineStr">
        <is>
          <t>카페24</t>
        </is>
      </c>
      <c r="G13777" s="94" t="inlineStr">
        <is>
          <t>어성초 70 데일리 릴리프 로션로션=어성초 77토너 + 어성초 70 로션 수분 보충 세트 -30% off</t>
        </is>
      </c>
      <c r="K13777" s="94" t="n">
        <v>3</v>
      </c>
      <c r="L13777" s="88" t="n">
        <v>201208</v>
      </c>
      <c r="M13777" s="88">
        <f>VLOOKUP($Q13777,매칭테이블!$F:$I,2,0)*K13777</f>
        <v/>
      </c>
      <c r="N13777" s="88">
        <f>M13777-M13777*VLOOKUP($Q13777,매칭테이블!$F:$I,3,0)</f>
        <v/>
      </c>
      <c r="O13777" s="88">
        <f>VLOOKUP($Q13777,매칭테이블!$F:$I,4,0)*K13777</f>
        <v/>
      </c>
      <c r="P13777" s="152">
        <f>M13777/1.1</f>
        <v/>
      </c>
      <c r="Q13777" s="88">
        <f>F13777&amp;E13777&amp;G13777&amp;L13777</f>
        <v/>
      </c>
    </row>
    <row r="13778">
      <c r="B13778" s="128" t="n">
        <v>44212</v>
      </c>
      <c r="C13778" s="88">
        <f>TEXT(B13778,"aaa")</f>
        <v/>
      </c>
      <c r="D13778" s="94" t="n"/>
      <c r="E13778" s="88">
        <f>INDEX(매칭테이블!C:D,MATCH(RD!G13778,매칭테이블!D:D,0),1)</f>
        <v/>
      </c>
      <c r="F13778" s="94" t="inlineStr">
        <is>
          <t>카페24</t>
        </is>
      </c>
      <c r="G13778" s="94" t="inlineStr">
        <is>
          <t>어성초 70 머드 크림 마스크옵션=어성초 70 머드 크림 마스크-20% off</t>
        </is>
      </c>
      <c r="K13778" s="94" t="n">
        <v>2</v>
      </c>
      <c r="L13778" s="88" t="n">
        <v>201208</v>
      </c>
      <c r="M13778" s="88">
        <f>VLOOKUP($Q13778,매칭테이블!$F:$I,2,0)*K13778</f>
        <v/>
      </c>
      <c r="N13778" s="88">
        <f>M13778-M13778*VLOOKUP($Q13778,매칭테이블!$F:$I,3,0)</f>
        <v/>
      </c>
      <c r="O13778" s="88">
        <f>VLOOKUP($Q13778,매칭테이블!$F:$I,4,0)*K13778</f>
        <v/>
      </c>
      <c r="P13778" s="152">
        <f>M13778/1.1</f>
        <v/>
      </c>
      <c r="Q13778" s="88">
        <f>F13778&amp;E13778&amp;G13778&amp;L13778</f>
        <v/>
      </c>
    </row>
    <row r="13779">
      <c r="B13779" s="128" t="n">
        <v>44212</v>
      </c>
      <c r="C13779" s="88">
        <f>TEXT(B13779,"aaa")</f>
        <v/>
      </c>
      <c r="D13779" s="94" t="n"/>
      <c r="E13779" s="88">
        <f>INDEX(매칭테이블!C:D,MATCH(RD!G13779,매칭테이블!D:D,0),1)</f>
        <v/>
      </c>
      <c r="F13779" s="94" t="inlineStr">
        <is>
          <t>카페24</t>
        </is>
      </c>
      <c r="G13779" s="94" t="inlineStr">
        <is>
          <t>어성초 70 머드 크림 마스크옵션=어성초 70 머드 크림 마스크 2개-30% off (무료배송)</t>
        </is>
      </c>
      <c r="K13779" s="94" t="n">
        <v>1</v>
      </c>
      <c r="L13779" s="88" t="n">
        <v>201208</v>
      </c>
      <c r="M13779" s="88">
        <f>VLOOKUP($Q13779,매칭테이블!$F:$I,2,0)*K13779</f>
        <v/>
      </c>
      <c r="N13779" s="88">
        <f>M13779-M13779*VLOOKUP($Q13779,매칭테이블!$F:$I,3,0)</f>
        <v/>
      </c>
      <c r="O13779" s="88">
        <f>VLOOKUP($Q13779,매칭테이블!$F:$I,4,0)*K13779</f>
        <v/>
      </c>
      <c r="P13779" s="152">
        <f>M13779/1.1</f>
        <v/>
      </c>
      <c r="Q13779" s="88">
        <f>F13779&amp;E13779&amp;G13779&amp;L13779</f>
        <v/>
      </c>
    </row>
    <row r="13780">
      <c r="B13780" s="128" t="n">
        <v>44212</v>
      </c>
      <c r="C13780" s="88">
        <f>TEXT(B13780,"aaa")</f>
        <v/>
      </c>
      <c r="D13780" s="94" t="n"/>
      <c r="E13780" s="88">
        <f>INDEX(매칭테이블!C:D,MATCH(RD!G13780,매칭테이블!D:D,0),1)</f>
        <v/>
      </c>
      <c r="F13780" s="94" t="inlineStr">
        <is>
          <t>카페24</t>
        </is>
      </c>
      <c r="G13780" s="94" t="inlineStr">
        <is>
          <t>어성초 70 인텐스 카밍 크림크림=어성초 70 인텐스 카밍 크림 1개 (-20%)</t>
        </is>
      </c>
      <c r="K13780" s="94" t="n">
        <v>2</v>
      </c>
      <c r="L13780" s="88" t="n">
        <v>201208</v>
      </c>
      <c r="M13780" s="88">
        <f>VLOOKUP($Q13780,매칭테이블!$F:$I,2,0)*K13780</f>
        <v/>
      </c>
      <c r="N13780" s="88">
        <f>M13780-M13780*VLOOKUP($Q13780,매칭테이블!$F:$I,3,0)</f>
        <v/>
      </c>
      <c r="O13780" s="88">
        <f>VLOOKUP($Q13780,매칭테이블!$F:$I,4,0)*K13780</f>
        <v/>
      </c>
      <c r="P13780" s="152">
        <f>M13780/1.1</f>
        <v/>
      </c>
      <c r="Q13780" s="88">
        <f>F13780&amp;E13780&amp;G13780&amp;L13780</f>
        <v/>
      </c>
    </row>
    <row r="13781">
      <c r="B13781" s="128" t="n">
        <v>44212</v>
      </c>
      <c r="C13781" s="88">
        <f>TEXT(B13781,"aaa")</f>
        <v/>
      </c>
      <c r="D13781" s="94" t="n"/>
      <c r="E13781" s="88">
        <f>INDEX(매칭테이블!C:D,MATCH(RD!G13781,매칭테이블!D:D,0),1)</f>
        <v/>
      </c>
      <c r="F13781" s="94" t="inlineStr">
        <is>
          <t>카페24</t>
        </is>
      </c>
      <c r="G13781" s="94" t="inlineStr">
        <is>
          <t>어성초 77 수딩 토너옵션=어성초 77 토너 1개-20% off</t>
        </is>
      </c>
      <c r="K13781" s="94" t="n">
        <v>48</v>
      </c>
      <c r="L13781" s="88" t="n">
        <v>201208</v>
      </c>
      <c r="M13781" s="88">
        <f>VLOOKUP($Q13781,매칭테이블!$F:$I,2,0)*K13781</f>
        <v/>
      </c>
      <c r="N13781" s="88">
        <f>M13781-M13781*VLOOKUP($Q13781,매칭테이블!$F:$I,3,0)</f>
        <v/>
      </c>
      <c r="O13781" s="88">
        <f>VLOOKUP($Q13781,매칭테이블!$F:$I,4,0)*K13781</f>
        <v/>
      </c>
      <c r="P13781" s="152">
        <f>M13781/1.1</f>
        <v/>
      </c>
      <c r="Q13781" s="88">
        <f>F13781&amp;E13781&amp;G13781&amp;L13781</f>
        <v/>
      </c>
    </row>
    <row r="13782">
      <c r="B13782" s="128" t="n">
        <v>44212</v>
      </c>
      <c r="C13782" s="88">
        <f>TEXT(B13782,"aaa")</f>
        <v/>
      </c>
      <c r="D13782" s="94" t="n"/>
      <c r="E13782" s="88">
        <f>INDEX(매칭테이블!C:D,MATCH(RD!G13782,매칭테이블!D:D,0),1)</f>
        <v/>
      </c>
      <c r="F13782" s="94" t="inlineStr">
        <is>
          <t>카페24</t>
        </is>
      </c>
      <c r="G13782" s="94" t="inlineStr">
        <is>
          <t>어성초 77 수딩 토너옵션=</t>
        </is>
      </c>
      <c r="K13782" s="94" t="n">
        <v>18</v>
      </c>
      <c r="L13782" s="88" t="n">
        <v>201208</v>
      </c>
      <c r="M13782" s="88">
        <f>VLOOKUP($Q13782,매칭테이블!$F:$I,2,0)*K13782</f>
        <v/>
      </c>
      <c r="N13782" s="88">
        <f>M13782-M13782*VLOOKUP($Q13782,매칭테이블!$F:$I,3,0)</f>
        <v/>
      </c>
      <c r="O13782" s="88">
        <f>VLOOKUP($Q13782,매칭테이블!$F:$I,4,0)*K13782</f>
        <v/>
      </c>
      <c r="P13782" s="152">
        <f>M13782/1.1</f>
        <v/>
      </c>
      <c r="Q13782" s="88">
        <f>F13782&amp;E13782&amp;G13782&amp;L13782</f>
        <v/>
      </c>
    </row>
    <row r="13783">
      <c r="B13783" s="128" t="n">
        <v>44212</v>
      </c>
      <c r="C13783" s="88">
        <f>TEXT(B13783,"aaa")</f>
        <v/>
      </c>
      <c r="D13783" s="94" t="n"/>
      <c r="E13783" s="88">
        <f>INDEX(매칭테이블!C:D,MATCH(RD!G13783,매칭테이블!D:D,0),1)</f>
        <v/>
      </c>
      <c r="F13783" s="94" t="inlineStr">
        <is>
          <t>카페24</t>
        </is>
      </c>
      <c r="G13783" s="94" t="inlineStr">
        <is>
          <t>어성초 77 수딩 토너옵션=BEST어성초 77 토너 2개-30% off (무료배송)</t>
        </is>
      </c>
      <c r="K13783" s="94" t="n">
        <v>25</v>
      </c>
      <c r="L13783" s="88" t="n">
        <v>201208</v>
      </c>
      <c r="M13783" s="88">
        <f>VLOOKUP($Q13783,매칭테이블!$F:$I,2,0)*K13783</f>
        <v/>
      </c>
      <c r="N13783" s="88">
        <f>M13783-M13783*VLOOKUP($Q13783,매칭테이블!$F:$I,3,0)</f>
        <v/>
      </c>
      <c r="O13783" s="88">
        <f>VLOOKUP($Q13783,매칭테이블!$F:$I,4,0)*K13783</f>
        <v/>
      </c>
      <c r="P13783" s="152">
        <f>M13783/1.1</f>
        <v/>
      </c>
      <c r="Q13783" s="88">
        <f>F13783&amp;E13783&amp;G13783&amp;L13783</f>
        <v/>
      </c>
    </row>
    <row r="13784">
      <c r="B13784" s="128" t="n">
        <v>44212</v>
      </c>
      <c r="C13784" s="88">
        <f>TEXT(B13784,"aaa")</f>
        <v/>
      </c>
      <c r="D13784" s="94" t="n"/>
      <c r="E13784" s="88">
        <f>INDEX(매칭테이블!C:D,MATCH(RD!G13784,매칭테이블!D:D,0),1)</f>
        <v/>
      </c>
      <c r="F13784" s="94" t="inlineStr">
        <is>
          <t>카페24</t>
        </is>
      </c>
      <c r="G13784" s="94" t="inlineStr">
        <is>
          <t>어성초 77 수딩 토너옵션=어성초 77토너1개 + 어성초77패드1개 -30% off (무료배송)</t>
        </is>
      </c>
      <c r="K13784" s="94" t="n">
        <v>12</v>
      </c>
      <c r="L13784" s="88" t="n">
        <v>201208</v>
      </c>
      <c r="M13784" s="88">
        <f>VLOOKUP($Q13784,매칭테이블!$F:$I,2,0)*K13784</f>
        <v/>
      </c>
      <c r="N13784" s="88">
        <f>M13784-M13784*VLOOKUP($Q13784,매칭테이블!$F:$I,3,0)</f>
        <v/>
      </c>
      <c r="O13784" s="88">
        <f>VLOOKUP($Q13784,매칭테이블!$F:$I,4,0)*K13784</f>
        <v/>
      </c>
      <c r="P13784" s="152">
        <f>M13784/1.1</f>
        <v/>
      </c>
      <c r="Q13784" s="88">
        <f>F13784&amp;E13784&amp;G13784&amp;L13784</f>
        <v/>
      </c>
    </row>
    <row r="13785">
      <c r="B13785" s="128" t="n">
        <v>44212</v>
      </c>
      <c r="C13785" s="88">
        <f>TEXT(B13785,"aaa")</f>
        <v/>
      </c>
      <c r="D13785" s="94" t="n"/>
      <c r="E13785" s="88">
        <f>INDEX(매칭테이블!C:D,MATCH(RD!G13785,매칭테이블!D:D,0),1)</f>
        <v/>
      </c>
      <c r="F13785" s="94" t="inlineStr">
        <is>
          <t>카페24</t>
        </is>
      </c>
      <c r="G13785" s="94" t="inlineStr">
        <is>
          <t>어성초 77 수딩 토너화장솜(선택)=촉촉 스킨팩 화장솜</t>
        </is>
      </c>
      <c r="K13785" s="94" t="n">
        <v>20</v>
      </c>
      <c r="L13785" s="88" t="n">
        <v>201208</v>
      </c>
      <c r="M13785" s="88">
        <f>VLOOKUP($Q13785,매칭테이블!$F:$I,2,0)*K13785</f>
        <v/>
      </c>
      <c r="N13785" s="88">
        <f>M13785-M13785*VLOOKUP($Q13785,매칭테이블!$F:$I,3,0)</f>
        <v/>
      </c>
      <c r="O13785" s="88">
        <f>VLOOKUP($Q13785,매칭테이블!$F:$I,4,0)*K13785</f>
        <v/>
      </c>
      <c r="P13785" s="152">
        <f>M13785/1.1</f>
        <v/>
      </c>
      <c r="Q13785" s="88">
        <f>F13785&amp;E13785&amp;G13785&amp;L13785</f>
        <v/>
      </c>
    </row>
    <row r="13786">
      <c r="B13786" s="128" t="n">
        <v>44212</v>
      </c>
      <c r="C13786" s="88">
        <f>TEXT(B13786,"aaa")</f>
        <v/>
      </c>
      <c r="D13786" s="94" t="n"/>
      <c r="E13786" s="88">
        <f>INDEX(매칭테이블!C:D,MATCH(RD!G13786,매칭테이블!D:D,0),1)</f>
        <v/>
      </c>
      <c r="F13786" s="94" t="inlineStr">
        <is>
          <t>카페24</t>
        </is>
      </c>
      <c r="G13786" s="94" t="inlineStr">
        <is>
          <t>어성초 77 수딩 토너토너(필수)=어성초 77 토너 2개-30% off (무료배송)</t>
        </is>
      </c>
      <c r="K13786" s="94" t="n">
        <v>1</v>
      </c>
      <c r="L13786" s="88" t="n">
        <v>201208</v>
      </c>
      <c r="M13786" s="88">
        <f>VLOOKUP($Q13786,매칭테이블!$F:$I,2,0)*K13786</f>
        <v/>
      </c>
      <c r="N13786" s="88">
        <f>M13786-M13786*VLOOKUP($Q13786,매칭테이블!$F:$I,3,0)</f>
        <v/>
      </c>
      <c r="O13786" s="88">
        <f>VLOOKUP($Q13786,매칭테이블!$F:$I,4,0)*K13786</f>
        <v/>
      </c>
      <c r="P13786" s="152">
        <f>M13786/1.1</f>
        <v/>
      </c>
      <c r="Q13786" s="88">
        <f>F13786&amp;E13786&amp;G13786&amp;L13786</f>
        <v/>
      </c>
    </row>
    <row r="13787">
      <c r="B13787" s="128" t="n">
        <v>44212</v>
      </c>
      <c r="C13787" s="88">
        <f>TEXT(B13787,"aaa")</f>
        <v/>
      </c>
      <c r="D13787" s="94" t="n"/>
      <c r="E13787" s="88">
        <f>INDEX(매칭테이블!C:D,MATCH(RD!G13787,매칭테이블!D:D,0),1)</f>
        <v/>
      </c>
      <c r="F13787" s="94" t="inlineStr">
        <is>
          <t>카페24</t>
        </is>
      </c>
      <c r="G13787" s="94" t="inlineStr">
        <is>
          <t>어성초 77 진정 마스크옵션=어성초 77 진정 마스크팩 10장-50% off</t>
        </is>
      </c>
      <c r="K13787" s="94" t="n">
        <v>6</v>
      </c>
      <c r="L13787" s="88" t="n">
        <v>201208</v>
      </c>
      <c r="M13787" s="88">
        <f>VLOOKUP($Q13787,매칭테이블!$F:$I,2,0)*K13787</f>
        <v/>
      </c>
      <c r="N13787" s="88">
        <f>M13787-M13787*VLOOKUP($Q13787,매칭테이블!$F:$I,3,0)</f>
        <v/>
      </c>
      <c r="O13787" s="88">
        <f>VLOOKUP($Q13787,매칭테이블!$F:$I,4,0)*K13787</f>
        <v/>
      </c>
      <c r="P13787" s="152">
        <f>M13787/1.1</f>
        <v/>
      </c>
      <c r="Q13787" s="88">
        <f>F13787&amp;E13787&amp;G13787&amp;L13787</f>
        <v/>
      </c>
    </row>
    <row r="13788">
      <c r="B13788" s="128" t="n">
        <v>44212</v>
      </c>
      <c r="C13788" s="88">
        <f>TEXT(B13788,"aaa")</f>
        <v/>
      </c>
      <c r="D13788" s="94" t="n"/>
      <c r="E13788" s="88">
        <f>INDEX(매칭테이블!C:D,MATCH(RD!G13788,매칭테이블!D:D,0),1)</f>
        <v/>
      </c>
      <c r="F13788" s="94" t="inlineStr">
        <is>
          <t>카페24</t>
        </is>
      </c>
      <c r="G13788" s="94" t="inlineStr">
        <is>
          <t>어성초 77 진정 마스크</t>
        </is>
      </c>
      <c r="K13788" s="94" t="n">
        <v>12</v>
      </c>
      <c r="L13788" s="88" t="n">
        <v>201208</v>
      </c>
      <c r="M13788" s="88">
        <f>VLOOKUP($Q13788,매칭테이블!$F:$I,2,0)*K13788</f>
        <v/>
      </c>
      <c r="N13788" s="88">
        <f>M13788-M13788*VLOOKUP($Q13788,매칭테이블!$F:$I,3,0)</f>
        <v/>
      </c>
      <c r="O13788" s="88">
        <f>VLOOKUP($Q13788,매칭테이블!$F:$I,4,0)*K13788</f>
        <v/>
      </c>
      <c r="P13788" s="152">
        <f>M13788/1.1</f>
        <v/>
      </c>
      <c r="Q13788" s="88">
        <f>F13788&amp;E13788&amp;G13788&amp;L13788</f>
        <v/>
      </c>
    </row>
    <row r="13789">
      <c r="B13789" s="128" t="n">
        <v>44212</v>
      </c>
      <c r="C13789" s="88">
        <f>TEXT(B13789,"aaa")</f>
        <v/>
      </c>
      <c r="D13789" s="94" t="n"/>
      <c r="E13789" s="88">
        <f>INDEX(매칭테이블!C:D,MATCH(RD!G13789,매칭테이블!D:D,0),1)</f>
        <v/>
      </c>
      <c r="F13789" s="94" t="inlineStr">
        <is>
          <t>카페24</t>
        </is>
      </c>
      <c r="G13789" s="94" t="inlineStr">
        <is>
          <t>어성초 77 클리어 패드옵션=어성초 77 클리어 패드 1개-20% off</t>
        </is>
      </c>
      <c r="K13789" s="94" t="n">
        <v>3</v>
      </c>
      <c r="L13789" s="88" t="n">
        <v>201208</v>
      </c>
      <c r="M13789" s="88">
        <f>VLOOKUP($Q13789,매칭테이블!$F:$I,2,0)*K13789</f>
        <v/>
      </c>
      <c r="N13789" s="88">
        <f>M13789-M13789*VLOOKUP($Q13789,매칭테이블!$F:$I,3,0)</f>
        <v/>
      </c>
      <c r="O13789" s="88">
        <f>VLOOKUP($Q13789,매칭테이블!$F:$I,4,0)*K13789</f>
        <v/>
      </c>
      <c r="P13789" s="152">
        <f>M13789/1.1</f>
        <v/>
      </c>
      <c r="Q13789" s="88">
        <f>F13789&amp;E13789&amp;G13789&amp;L13789</f>
        <v/>
      </c>
    </row>
    <row r="13790">
      <c r="B13790" s="128" t="n">
        <v>44212</v>
      </c>
      <c r="C13790" s="88">
        <f>TEXT(B13790,"aaa")</f>
        <v/>
      </c>
      <c r="D13790" s="94" t="n"/>
      <c r="E13790" s="88">
        <f>INDEX(매칭테이블!C:D,MATCH(RD!G13790,매칭테이블!D:D,0),1)</f>
        <v/>
      </c>
      <c r="F13790" s="94" t="inlineStr">
        <is>
          <t>카페24</t>
        </is>
      </c>
      <c r="G13790" s="94" t="inlineStr">
        <is>
          <t>어성초 78 수딩 크림</t>
        </is>
      </c>
      <c r="K13790" s="94" t="n">
        <v>9</v>
      </c>
      <c r="L13790" s="88" t="n">
        <v>201208</v>
      </c>
      <c r="M13790" s="88">
        <f>VLOOKUP($Q13790,매칭테이블!$F:$I,2,0)*K13790</f>
        <v/>
      </c>
      <c r="N13790" s="88">
        <f>M13790-M13790*VLOOKUP($Q13790,매칭테이블!$F:$I,3,0)</f>
        <v/>
      </c>
      <c r="O13790" s="88">
        <f>VLOOKUP($Q13790,매칭테이블!$F:$I,4,0)*K13790</f>
        <v/>
      </c>
      <c r="P13790" s="152">
        <f>M13790/1.1</f>
        <v/>
      </c>
      <c r="Q13790" s="88">
        <f>F13790&amp;E13790&amp;G13790&amp;L13790</f>
        <v/>
      </c>
    </row>
    <row r="13791">
      <c r="B13791" s="128" t="n">
        <v>44212</v>
      </c>
      <c r="C13791" s="88">
        <f>TEXT(B13791,"aaa")</f>
        <v/>
      </c>
      <c r="D13791" s="94" t="n"/>
      <c r="E13791" s="88">
        <f>INDEX(매칭테이블!C:D,MATCH(RD!G13791,매칭테이블!D:D,0),1)</f>
        <v/>
      </c>
      <c r="F13791" s="94" t="inlineStr">
        <is>
          <t>카페24</t>
        </is>
      </c>
      <c r="G13791" s="94" t="inlineStr">
        <is>
          <t>어성초 78 수딩 크림</t>
        </is>
      </c>
      <c r="K13791" s="94" t="n">
        <v>4</v>
      </c>
      <c r="L13791" s="88" t="n">
        <v>201208</v>
      </c>
      <c r="M13791" s="88">
        <f>VLOOKUP($Q13791,매칭테이블!$F:$I,2,0)*K13791</f>
        <v/>
      </c>
      <c r="N13791" s="88">
        <f>M13791-M13791*VLOOKUP($Q13791,매칭테이블!$F:$I,3,0)</f>
        <v/>
      </c>
      <c r="O13791" s="88">
        <f>VLOOKUP($Q13791,매칭테이블!$F:$I,4,0)*K13791</f>
        <v/>
      </c>
      <c r="P13791" s="152">
        <f>M13791/1.1</f>
        <v/>
      </c>
      <c r="Q13791" s="88">
        <f>F13791&amp;E13791&amp;G13791&amp;L13791</f>
        <v/>
      </c>
    </row>
    <row r="13792">
      <c r="B13792" s="128" t="n">
        <v>44212</v>
      </c>
      <c r="C13792" s="88">
        <f>TEXT(B13792,"aaa")</f>
        <v/>
      </c>
      <c r="D13792" s="94" t="n"/>
      <c r="E13792" s="88">
        <f>INDEX(매칭테이블!C:D,MATCH(RD!G13792,매칭테이블!D:D,0),1)</f>
        <v/>
      </c>
      <c r="F13792" s="94" t="inlineStr">
        <is>
          <t>카페24</t>
        </is>
      </c>
      <c r="G13792" s="94" t="inlineStr">
        <is>
          <t>어성초 80 수분 진정 앰플앰플=어성초 80 앰플 1개-15%off</t>
        </is>
      </c>
      <c r="K13792" s="94" t="n">
        <v>19</v>
      </c>
      <c r="L13792" s="88" t="n">
        <v>201208</v>
      </c>
      <c r="M13792" s="88">
        <f>VLOOKUP($Q13792,매칭테이블!$F:$I,2,0)*K13792</f>
        <v/>
      </c>
      <c r="N13792" s="88">
        <f>M13792-M13792*VLOOKUP($Q13792,매칭테이블!$F:$I,3,0)</f>
        <v/>
      </c>
      <c r="O13792" s="88">
        <f>VLOOKUP($Q13792,매칭테이블!$F:$I,4,0)*K13792</f>
        <v/>
      </c>
      <c r="P13792" s="152">
        <f>M13792/1.1</f>
        <v/>
      </c>
      <c r="Q13792" s="88">
        <f>F13792&amp;E13792&amp;G13792&amp;L13792</f>
        <v/>
      </c>
    </row>
    <row r="13793">
      <c r="B13793" s="128" t="n">
        <v>44212</v>
      </c>
      <c r="C13793" s="88">
        <f>TEXT(B13793,"aaa")</f>
        <v/>
      </c>
      <c r="D13793" s="94" t="n"/>
      <c r="E13793" s="88">
        <f>INDEX(매칭테이블!C:D,MATCH(RD!G13793,매칭테이블!D:D,0),1)</f>
        <v/>
      </c>
      <c r="F13793" s="94" t="inlineStr">
        <is>
          <t>카페24</t>
        </is>
      </c>
      <c r="G13793" s="94" t="inlineStr">
        <is>
          <t>어성초 80 수분 진정 앰플앰플=어성초 80 앰플 2개-27%off (무료배송)</t>
        </is>
      </c>
      <c r="K13793" s="94" t="n">
        <v>2</v>
      </c>
      <c r="L13793" s="88" t="n">
        <v>201208</v>
      </c>
      <c r="M13793" s="88">
        <f>VLOOKUP($Q13793,매칭테이블!$F:$I,2,0)*K13793</f>
        <v/>
      </c>
      <c r="N13793" s="88">
        <f>M13793-M13793*VLOOKUP($Q13793,매칭테이블!$F:$I,3,0)</f>
        <v/>
      </c>
      <c r="O13793" s="88">
        <f>VLOOKUP($Q13793,매칭테이블!$F:$I,4,0)*K13793</f>
        <v/>
      </c>
      <c r="P13793" s="152">
        <f>M13793/1.1</f>
        <v/>
      </c>
      <c r="Q13793" s="88">
        <f>F13793&amp;E13793&amp;G13793&amp;L13793</f>
        <v/>
      </c>
    </row>
    <row r="13794">
      <c r="B13794" s="128" t="n">
        <v>44212</v>
      </c>
      <c r="C13794" s="88">
        <f>TEXT(B13794,"aaa")</f>
        <v/>
      </c>
      <c r="D13794" s="94" t="n"/>
      <c r="E13794" s="88">
        <f>INDEX(매칭테이블!C:D,MATCH(RD!G13794,매칭테이블!D:D,0),1)</f>
        <v/>
      </c>
      <c r="F13794" s="94" t="inlineStr">
        <is>
          <t>카페24</t>
        </is>
      </c>
      <c r="G13794" s="94" t="inlineStr">
        <is>
          <t>어성초 80 수분 진정 앰플</t>
        </is>
      </c>
      <c r="K13794" s="94" t="n">
        <v>2</v>
      </c>
      <c r="L13794" s="88" t="n">
        <v>201208</v>
      </c>
      <c r="M13794" s="88">
        <f>VLOOKUP($Q13794,매칭테이블!$F:$I,2,0)*K13794</f>
        <v/>
      </c>
      <c r="N13794" s="88">
        <f>M13794-M13794*VLOOKUP($Q13794,매칭테이블!$F:$I,3,0)</f>
        <v/>
      </c>
      <c r="O13794" s="88">
        <f>VLOOKUP($Q13794,매칭테이블!$F:$I,4,0)*K13794</f>
        <v/>
      </c>
      <c r="P13794" s="152">
        <f>M13794/1.1</f>
        <v/>
      </c>
      <c r="Q13794" s="88">
        <f>F13794&amp;E13794&amp;G13794&amp;L13794</f>
        <v/>
      </c>
    </row>
    <row r="13795">
      <c r="B13795" s="128" t="n">
        <v>44212</v>
      </c>
      <c r="C13795" s="88">
        <f>TEXT(B13795,"aaa")</f>
        <v/>
      </c>
      <c r="D13795" s="94" t="n"/>
      <c r="E13795" s="88">
        <f>INDEX(매칭테이블!C:D,MATCH(RD!G13795,매칭테이블!D:D,0),1)</f>
        <v/>
      </c>
      <c r="F13795" s="94" t="inlineStr">
        <is>
          <t>카페24</t>
        </is>
      </c>
      <c r="G13795" s="94" t="inlineStr">
        <is>
          <t>어성초 아크네 바디워시옵션=어성초 아크네 바디워시 1개 -30% off</t>
        </is>
      </c>
      <c r="K13795" s="94" t="n">
        <v>3</v>
      </c>
      <c r="L13795" s="88" t="n">
        <v>201208</v>
      </c>
      <c r="M13795" s="88">
        <f>VLOOKUP($Q13795,매칭테이블!$F:$I,2,0)*K13795</f>
        <v/>
      </c>
      <c r="N13795" s="88">
        <f>M13795-M13795*VLOOKUP($Q13795,매칭테이블!$F:$I,3,0)</f>
        <v/>
      </c>
      <c r="O13795" s="88">
        <f>VLOOKUP($Q13795,매칭테이블!$F:$I,4,0)*K13795</f>
        <v/>
      </c>
      <c r="P13795" s="152">
        <f>M13795/1.1</f>
        <v/>
      </c>
      <c r="Q13795" s="88">
        <f>F13795&amp;E13795&amp;G13795&amp;L13795</f>
        <v/>
      </c>
    </row>
    <row r="13796">
      <c r="B13796" s="128" t="n">
        <v>44212</v>
      </c>
      <c r="C13796" s="88">
        <f>TEXT(B13796,"aaa")</f>
        <v/>
      </c>
      <c r="D13796" s="94" t="n"/>
      <c r="E13796" s="88">
        <f>INDEX(매칭테이블!C:D,MATCH(RD!G13796,매칭테이블!D:D,0),1)</f>
        <v/>
      </c>
      <c r="F13796" s="94" t="inlineStr">
        <is>
          <t>카페24</t>
        </is>
      </c>
      <c r="G13796" s="94" t="inlineStr">
        <is>
          <t>어성초 아크네 바디워시옵션=어성초 아크네 바디워시 2개 -35% off (무료배송)</t>
        </is>
      </c>
      <c r="K13796" s="94" t="n">
        <v>1</v>
      </c>
      <c r="L13796" s="88" t="n">
        <v>201208</v>
      </c>
      <c r="M13796" s="88">
        <f>VLOOKUP($Q13796,매칭테이블!$F:$I,2,0)*K13796</f>
        <v/>
      </c>
      <c r="N13796" s="88">
        <f>M13796-M13796*VLOOKUP($Q13796,매칭테이블!$F:$I,3,0)</f>
        <v/>
      </c>
      <c r="O13796" s="88">
        <f>VLOOKUP($Q13796,매칭테이블!$F:$I,4,0)*K13796</f>
        <v/>
      </c>
      <c r="P13796" s="152">
        <f>M13796/1.1</f>
        <v/>
      </c>
      <c r="Q13796" s="88">
        <f>F13796&amp;E13796&amp;G13796&amp;L13796</f>
        <v/>
      </c>
    </row>
    <row r="13797">
      <c r="B13797" s="128" t="n">
        <v>44212</v>
      </c>
      <c r="C13797" s="88">
        <f>TEXT(B13797,"aaa")</f>
        <v/>
      </c>
      <c r="D13797" s="94" t="n"/>
      <c r="E13797" s="88">
        <f>INDEX(매칭테이블!C:D,MATCH(RD!G13797,매칭테이블!D:D,0),1)</f>
        <v/>
      </c>
      <c r="F13797" s="94" t="inlineStr">
        <is>
          <t>카페24</t>
        </is>
      </c>
      <c r="G13797" s="94" t="inlineStr">
        <is>
          <t>어성초 약산성 클렌징폼클렌징폼=어성초 약산성 클렌징폼 1개 -19%off</t>
        </is>
      </c>
      <c r="K13797" s="94" t="n">
        <v>16</v>
      </c>
      <c r="L13797" s="88" t="n">
        <v>201208</v>
      </c>
      <c r="M13797" s="88">
        <f>VLOOKUP($Q13797,매칭테이블!$F:$I,2,0)*K13797</f>
        <v/>
      </c>
      <c r="N13797" s="88">
        <f>M13797-M13797*VLOOKUP($Q13797,매칭테이블!$F:$I,3,0)</f>
        <v/>
      </c>
      <c r="O13797" s="88">
        <f>VLOOKUP($Q13797,매칭테이블!$F:$I,4,0)*K13797</f>
        <v/>
      </c>
      <c r="P13797" s="152">
        <f>M13797/1.1</f>
        <v/>
      </c>
      <c r="Q13797" s="88">
        <f>F13797&amp;E13797&amp;G13797&amp;L13797</f>
        <v/>
      </c>
    </row>
    <row r="13798">
      <c r="B13798" s="128" t="n">
        <v>44212</v>
      </c>
      <c r="C13798" s="88">
        <f>TEXT(B13798,"aaa")</f>
        <v/>
      </c>
      <c r="D13798" s="94" t="n"/>
      <c r="E13798" s="88">
        <f>INDEX(매칭테이블!C:D,MATCH(RD!G13798,매칭테이블!D:D,0),1)</f>
        <v/>
      </c>
      <c r="F13798" s="94" t="inlineStr">
        <is>
          <t>카페24</t>
        </is>
      </c>
      <c r="G13798" s="94" t="inlineStr">
        <is>
          <t>어성초 약산성 클렌징폼클렌징폼=어성초 약산성 클렌징폼 2개 -25%off</t>
        </is>
      </c>
      <c r="K13798" s="94" t="n">
        <v>3</v>
      </c>
      <c r="L13798" s="88" t="n">
        <v>201208</v>
      </c>
      <c r="M13798" s="88">
        <f>VLOOKUP($Q13798,매칭테이블!$F:$I,2,0)*K13798</f>
        <v/>
      </c>
      <c r="N13798" s="88">
        <f>M13798-M13798*VLOOKUP($Q13798,매칭테이블!$F:$I,3,0)</f>
        <v/>
      </c>
      <c r="O13798" s="88">
        <f>VLOOKUP($Q13798,매칭테이블!$F:$I,4,0)*K13798</f>
        <v/>
      </c>
      <c r="P13798" s="152">
        <f>M13798/1.1</f>
        <v/>
      </c>
      <c r="Q13798" s="88">
        <f>F13798&amp;E13798&amp;G13798&amp;L13798</f>
        <v/>
      </c>
    </row>
    <row r="13799">
      <c r="B13799" s="128" t="n">
        <v>44212</v>
      </c>
      <c r="C13799" s="88">
        <f>TEXT(B13799,"aaa")</f>
        <v/>
      </c>
      <c r="D13799" s="94" t="n"/>
      <c r="E13799" s="88">
        <f>INDEX(매칭테이블!C:D,MATCH(RD!G13799,매칭테이블!D:D,0),1)</f>
        <v/>
      </c>
      <c r="F13799" s="94" t="inlineStr">
        <is>
          <t>카페24</t>
        </is>
      </c>
      <c r="G13799" s="94" t="inlineStr">
        <is>
          <t>어성초 약산성 클렌징폼클렌징폼=어성초 약산성 클렌징폼 3개 -31%off (무료배송)</t>
        </is>
      </c>
      <c r="K13799" s="94" t="n">
        <v>2</v>
      </c>
      <c r="L13799" s="88" t="n">
        <v>201208</v>
      </c>
      <c r="M13799" s="88">
        <f>VLOOKUP($Q13799,매칭테이블!$F:$I,2,0)*K13799</f>
        <v/>
      </c>
      <c r="N13799" s="88">
        <f>M13799-M13799*VLOOKUP($Q13799,매칭테이블!$F:$I,3,0)</f>
        <v/>
      </c>
      <c r="O13799" s="88">
        <f>VLOOKUP($Q13799,매칭테이블!$F:$I,4,0)*K13799</f>
        <v/>
      </c>
      <c r="P13799" s="152">
        <f>M13799/1.1</f>
        <v/>
      </c>
      <c r="Q13799" s="88">
        <f>F13799&amp;E13799&amp;G13799&amp;L13799</f>
        <v/>
      </c>
    </row>
    <row r="13800">
      <c r="B13800" s="128" t="n">
        <v>44212</v>
      </c>
      <c r="C13800" s="88">
        <f>TEXT(B13800,"aaa")</f>
        <v/>
      </c>
      <c r="D13800" s="94" t="n"/>
      <c r="E13800" s="88">
        <f>INDEX(매칭테이블!C:D,MATCH(RD!G13800,매칭테이블!D:D,0),1)</f>
        <v/>
      </c>
      <c r="F13800" s="94" t="inlineStr">
        <is>
          <t>카페24</t>
        </is>
      </c>
      <c r="G13800" s="94" t="inlineStr">
        <is>
          <t>자작나무 수분 마스크옵션=자작나무 수분 마스크 10장 (50% off)</t>
        </is>
      </c>
      <c r="K13800" s="94" t="n">
        <v>1</v>
      </c>
      <c r="L13800" s="88" t="n">
        <v>201208</v>
      </c>
      <c r="M13800" s="88">
        <f>VLOOKUP($Q13800,매칭테이블!$F:$I,2,0)*K13800</f>
        <v/>
      </c>
      <c r="N13800" s="88">
        <f>M13800-M13800*VLOOKUP($Q13800,매칭테이블!$F:$I,3,0)</f>
        <v/>
      </c>
      <c r="O13800" s="88">
        <f>VLOOKUP($Q13800,매칭테이블!$F:$I,4,0)*K13800</f>
        <v/>
      </c>
      <c r="P13800" s="152">
        <f>M13800/1.1</f>
        <v/>
      </c>
      <c r="Q13800" s="88">
        <f>F13800&amp;E13800&amp;G13800&amp;L13800</f>
        <v/>
      </c>
    </row>
    <row r="13801">
      <c r="B13801" s="128" t="n">
        <v>44212</v>
      </c>
      <c r="C13801" s="88">
        <f>TEXT(B13801,"aaa")</f>
        <v/>
      </c>
      <c r="D13801" s="94" t="n"/>
      <c r="E13801" s="88">
        <f>INDEX(매칭테이블!C:D,MATCH(RD!G13801,매칭테이블!D:D,0),1)</f>
        <v/>
      </c>
      <c r="F13801" s="94" t="inlineStr">
        <is>
          <t>카페24</t>
        </is>
      </c>
      <c r="G13801" s="94" t="inlineStr">
        <is>
          <t>청귤 비타 잡티 마스크옵션=청귤 비타 잡티 마스크 10장 (50% off)</t>
        </is>
      </c>
      <c r="K13801" s="94" t="n">
        <v>1</v>
      </c>
      <c r="L13801" s="88" t="n">
        <v>201208</v>
      </c>
      <c r="M13801" s="88">
        <f>VLOOKUP($Q13801,매칭테이블!$F:$I,2,0)*K13801</f>
        <v/>
      </c>
      <c r="N13801" s="88">
        <f>M13801-M13801*VLOOKUP($Q13801,매칭테이블!$F:$I,3,0)</f>
        <v/>
      </c>
      <c r="O13801" s="88">
        <f>VLOOKUP($Q13801,매칭테이블!$F:$I,4,0)*K13801</f>
        <v/>
      </c>
      <c r="P13801" s="152">
        <f>M13801/1.1</f>
        <v/>
      </c>
      <c r="Q13801" s="88">
        <f>F13801&amp;E13801&amp;G13801&amp;L13801</f>
        <v/>
      </c>
    </row>
    <row r="13802">
      <c r="B13802" s="128" t="n">
        <v>44212</v>
      </c>
      <c r="C13802" s="88">
        <f>TEXT(B13802,"aaa")</f>
        <v/>
      </c>
      <c r="D13802" s="94" t="n"/>
      <c r="E13802" s="88">
        <f>INDEX(매칭테이블!C:D,MATCH(RD!G13802,매칭테이블!D:D,0),1)</f>
        <v/>
      </c>
      <c r="F13802" s="94" t="inlineStr">
        <is>
          <t>카페24</t>
        </is>
      </c>
      <c r="G13802" s="94" t="inlineStr">
        <is>
          <t>촉촉 스킨팩 화장솜</t>
        </is>
      </c>
      <c r="K13802" s="94" t="n">
        <v>21</v>
      </c>
      <c r="L13802" s="88" t="n">
        <v>201208</v>
      </c>
      <c r="M13802" s="88">
        <f>VLOOKUP($Q13802,매칭테이블!$F:$I,2,0)*K13802</f>
        <v/>
      </c>
      <c r="N13802" s="88">
        <f>M13802-M13802*VLOOKUP($Q13802,매칭테이블!$F:$I,3,0)</f>
        <v/>
      </c>
      <c r="O13802" s="88">
        <f>VLOOKUP($Q13802,매칭테이블!$F:$I,4,0)*K13802</f>
        <v/>
      </c>
      <c r="P13802" s="152">
        <f>M13802/1.1</f>
        <v/>
      </c>
      <c r="Q13802" s="88">
        <f>F13802&amp;E13802&amp;G13802&amp;L13802</f>
        <v/>
      </c>
    </row>
    <row r="13803">
      <c r="B13803" s="128" t="n">
        <v>44212</v>
      </c>
      <c r="C13803" s="88">
        <f>TEXT(B13803,"aaa")</f>
        <v/>
      </c>
      <c r="D13803" s="94" t="n"/>
      <c r="E13803" s="88">
        <f>INDEX(매칭테이블!C:D,MATCH(RD!G13803,매칭테이블!D:D,0),1)</f>
        <v/>
      </c>
      <c r="F13803" s="94" t="inlineStr">
        <is>
          <t>카페24</t>
        </is>
      </c>
      <c r="G13803" s="94" t="inlineStr">
        <is>
          <t>촉촉 스킨팩 화장솜</t>
        </is>
      </c>
      <c r="K13803" s="94" t="n">
        <v>2</v>
      </c>
      <c r="L13803" s="88" t="n">
        <v>201208</v>
      </c>
      <c r="M13803" s="88">
        <f>VLOOKUP($Q13803,매칭테이블!$F:$I,2,0)*K13803</f>
        <v/>
      </c>
      <c r="N13803" s="88">
        <f>M13803-M13803*VLOOKUP($Q13803,매칭테이블!$F:$I,3,0)</f>
        <v/>
      </c>
      <c r="O13803" s="88">
        <f>VLOOKUP($Q13803,매칭테이블!$F:$I,4,0)*K13803</f>
        <v/>
      </c>
      <c r="P13803" s="152">
        <f>M13803/1.1</f>
        <v/>
      </c>
      <c r="Q13803" s="88">
        <f>F13803&amp;E13803&amp;G13803&amp;L13803</f>
        <v/>
      </c>
    </row>
    <row r="13804">
      <c r="B13804" s="128" t="n">
        <v>44213</v>
      </c>
      <c r="C13804" s="88">
        <f>TEXT(B13804,"aaa")</f>
        <v/>
      </c>
      <c r="D13804" s="94" t="n"/>
      <c r="E13804" s="88">
        <f>INDEX(매칭테이블!C:D,MATCH(RD!G13804,매칭테이블!D:D,0),1)</f>
        <v/>
      </c>
      <c r="F13804" s="94" t="inlineStr">
        <is>
          <t>스타일쉐어</t>
        </is>
      </c>
      <c r="G13804" s="94" t="inlineStr">
        <is>
          <t>아누아 어성초 77 토너 250ml</t>
        </is>
      </c>
      <c r="K13804" s="94" t="n">
        <v>2</v>
      </c>
      <c r="L13804" s="88" t="n">
        <v>201208</v>
      </c>
      <c r="M13804" s="88">
        <f>VLOOKUP($Q13804,매칭테이블!$F:$I,2,0)*K13804</f>
        <v/>
      </c>
      <c r="N13804" s="88">
        <f>M13804-M13804*VLOOKUP($Q13804,매칭테이블!$F:$I,3,0)</f>
        <v/>
      </c>
      <c r="O13804" s="88">
        <f>VLOOKUP($Q13804,매칭테이블!$F:$I,4,0)*K13804</f>
        <v/>
      </c>
      <c r="P13804" s="152">
        <f>M13804/1.1</f>
        <v/>
      </c>
      <c r="Q13804" s="88">
        <f>F13804&amp;E13804&amp;G13804&amp;L13804</f>
        <v/>
      </c>
    </row>
    <row r="13805">
      <c r="B13805" s="128" t="n">
        <v>44213</v>
      </c>
      <c r="C13805" s="88">
        <f>TEXT(B13805,"aaa")</f>
        <v/>
      </c>
      <c r="D13805" s="94" t="n"/>
      <c r="E13805" s="88">
        <f>INDEX(매칭테이블!C:D,MATCH(RD!G13805,매칭테이블!D:D,0),1)</f>
        <v/>
      </c>
      <c r="F13805" s="94" t="inlineStr">
        <is>
          <t>카페24</t>
        </is>
      </c>
      <c r="G13805" s="94" t="inlineStr">
        <is>
          <t>5 제로 무기자차 선크림옵션=5제로 무기자차 선크림 1개-20% off</t>
        </is>
      </c>
      <c r="K13805" s="94" t="n">
        <v>2</v>
      </c>
      <c r="L13805" s="88" t="n">
        <v>201208</v>
      </c>
      <c r="M13805" s="88">
        <f>VLOOKUP($Q13805,매칭테이블!$F:$I,2,0)*K13805</f>
        <v/>
      </c>
      <c r="N13805" s="88">
        <f>M13805-M13805*VLOOKUP($Q13805,매칭테이블!$F:$I,3,0)</f>
        <v/>
      </c>
      <c r="O13805" s="88">
        <f>VLOOKUP($Q13805,매칭테이블!$F:$I,4,0)*K13805</f>
        <v/>
      </c>
      <c r="P13805" s="152">
        <f>M13805/1.1</f>
        <v/>
      </c>
      <c r="Q13805" s="88">
        <f>F13805&amp;E13805&amp;G13805&amp;L13805</f>
        <v/>
      </c>
    </row>
    <row r="13806">
      <c r="B13806" s="128" t="n">
        <v>44213</v>
      </c>
      <c r="C13806" s="88">
        <f>TEXT(B13806,"aaa")</f>
        <v/>
      </c>
      <c r="D13806" s="94" t="n"/>
      <c r="E13806" s="88">
        <f>INDEX(매칭테이블!C:D,MATCH(RD!G13806,매칭테이블!D:D,0),1)</f>
        <v/>
      </c>
      <c r="F13806" s="94" t="inlineStr">
        <is>
          <t>카페24</t>
        </is>
      </c>
      <c r="G13806" s="94" t="inlineStr">
        <is>
          <t>5 제로 무기자차 선크림옵션=5제로 무기자차 선크림 2개-30% off (무료배송)</t>
        </is>
      </c>
      <c r="K13806" s="94" t="n">
        <v>1</v>
      </c>
      <c r="L13806" s="88" t="n">
        <v>201208</v>
      </c>
      <c r="M13806" s="88">
        <f>VLOOKUP($Q13806,매칭테이블!$F:$I,2,0)*K13806</f>
        <v/>
      </c>
      <c r="N13806" s="88">
        <f>M13806-M13806*VLOOKUP($Q13806,매칭테이블!$F:$I,3,0)</f>
        <v/>
      </c>
      <c r="O13806" s="88">
        <f>VLOOKUP($Q13806,매칭테이블!$F:$I,4,0)*K13806</f>
        <v/>
      </c>
      <c r="P13806" s="152">
        <f>M13806/1.1</f>
        <v/>
      </c>
      <c r="Q13806" s="88">
        <f>F13806&amp;E13806&amp;G13806&amp;L13806</f>
        <v/>
      </c>
    </row>
    <row r="13807">
      <c r="B13807" s="128" t="n">
        <v>44213</v>
      </c>
      <c r="C13807" s="88">
        <f>TEXT(B13807,"aaa")</f>
        <v/>
      </c>
      <c r="D13807" s="94" t="n"/>
      <c r="E13807" s="88">
        <f>INDEX(매칭테이블!C:D,MATCH(RD!G13807,매칭테이블!D:D,0),1)</f>
        <v/>
      </c>
      <c r="F13807" s="94" t="inlineStr">
        <is>
          <t>카페24</t>
        </is>
      </c>
      <c r="G13807" s="94" t="inlineStr">
        <is>
          <t>[01/27 순차발송] 어성초 77 클리어 패드옵션=어성초 77 클리어 패드 1개-20% off</t>
        </is>
      </c>
      <c r="K13807" s="94" t="n">
        <v>37</v>
      </c>
      <c r="L13807" s="88" t="n">
        <v>201208</v>
      </c>
      <c r="M13807" s="88">
        <f>VLOOKUP($Q13807,매칭테이블!$F:$I,2,0)*K13807</f>
        <v/>
      </c>
      <c r="N13807" s="88">
        <f>M13807-M13807*VLOOKUP($Q13807,매칭테이블!$F:$I,3,0)</f>
        <v/>
      </c>
      <c r="O13807" s="88">
        <f>VLOOKUP($Q13807,매칭테이블!$F:$I,4,0)*K13807</f>
        <v/>
      </c>
      <c r="P13807" s="152">
        <f>M13807/1.1</f>
        <v/>
      </c>
      <c r="Q13807" s="88">
        <f>F13807&amp;E13807&amp;G13807&amp;L13807</f>
        <v/>
      </c>
    </row>
    <row r="13808">
      <c r="B13808" s="128" t="n">
        <v>44213</v>
      </c>
      <c r="C13808" s="88">
        <f>TEXT(B13808,"aaa")</f>
        <v/>
      </c>
      <c r="D13808" s="94" t="n"/>
      <c r="E13808" s="88">
        <f>INDEX(매칭테이블!C:D,MATCH(RD!G13808,매칭테이블!D:D,0),1)</f>
        <v/>
      </c>
      <c r="F13808" s="94" t="inlineStr">
        <is>
          <t>카페24</t>
        </is>
      </c>
      <c r="G13808" s="94" t="inlineStr">
        <is>
          <t>[01/27 순차발송] 어성초 77 클리어 패드옵션=어성초 77 클리어 패드 2개-30% off (무료배송)</t>
        </is>
      </c>
      <c r="K13808" s="94" t="n">
        <v>38</v>
      </c>
      <c r="L13808" s="88" t="n">
        <v>201208</v>
      </c>
      <c r="M13808" s="88">
        <f>VLOOKUP($Q13808,매칭테이블!$F:$I,2,0)*K13808</f>
        <v/>
      </c>
      <c r="N13808" s="88">
        <f>M13808-M13808*VLOOKUP($Q13808,매칭테이블!$F:$I,3,0)</f>
        <v/>
      </c>
      <c r="O13808" s="88">
        <f>VLOOKUP($Q13808,매칭테이블!$F:$I,4,0)*K13808</f>
        <v/>
      </c>
      <c r="P13808" s="152">
        <f>M13808/1.1</f>
        <v/>
      </c>
      <c r="Q13808" s="88">
        <f>F13808&amp;E13808&amp;G13808&amp;L13808</f>
        <v/>
      </c>
    </row>
    <row r="13809">
      <c r="B13809" s="128" t="n">
        <v>44213</v>
      </c>
      <c r="C13809" s="88">
        <f>TEXT(B13809,"aaa")</f>
        <v/>
      </c>
      <c r="D13809" s="94" t="n"/>
      <c r="E13809" s="88">
        <f>INDEX(매칭테이블!C:D,MATCH(RD!G13809,매칭테이블!D:D,0),1)</f>
        <v/>
      </c>
      <c r="F13809" s="94" t="inlineStr">
        <is>
          <t>카페24</t>
        </is>
      </c>
      <c r="G13809" s="94" t="inlineStr">
        <is>
          <t>[01/27 순차발송] 어성초 77 클리어 패드옵션=어성초 77 클리어 패드 2+1 EVENT (무료배송)</t>
        </is>
      </c>
      <c r="K13809" s="94" t="n">
        <v>31</v>
      </c>
      <c r="L13809" s="88" t="n">
        <v>201208</v>
      </c>
      <c r="M13809" s="88">
        <f>VLOOKUP($Q13809,매칭테이블!$F:$I,2,0)*K13809</f>
        <v/>
      </c>
      <c r="N13809" s="88">
        <f>M13809-M13809*VLOOKUP($Q13809,매칭테이블!$F:$I,3,0)</f>
        <v/>
      </c>
      <c r="O13809" s="88">
        <f>VLOOKUP($Q13809,매칭테이블!$F:$I,4,0)*K13809</f>
        <v/>
      </c>
      <c r="P13809" s="152">
        <f>M13809/1.1</f>
        <v/>
      </c>
      <c r="Q13809" s="88">
        <f>F13809&amp;E13809&amp;G13809&amp;L13809</f>
        <v/>
      </c>
    </row>
    <row r="13810">
      <c r="B13810" s="128" t="n">
        <v>44213</v>
      </c>
      <c r="C13810" s="88">
        <f>TEXT(B13810,"aaa")</f>
        <v/>
      </c>
      <c r="D13810" s="94" t="n"/>
      <c r="E13810" s="88">
        <f>INDEX(매칭테이블!C:D,MATCH(RD!G13810,매칭테이블!D:D,0),1)</f>
        <v/>
      </c>
      <c r="F13810" s="94" t="inlineStr">
        <is>
          <t>카페24</t>
        </is>
      </c>
      <c r="G13810" s="94" t="inlineStr">
        <is>
          <t>[01/27 순차발송] 어성초 77 클리어 패드옵션=어성초77토너1개+어성초77패드1개-30% off (무료배송)</t>
        </is>
      </c>
      <c r="K13810" s="94" t="n">
        <v>16</v>
      </c>
      <c r="L13810" s="88" t="n">
        <v>201208</v>
      </c>
      <c r="M13810" s="88">
        <f>VLOOKUP($Q13810,매칭테이블!$F:$I,2,0)*K13810</f>
        <v/>
      </c>
      <c r="N13810" s="88">
        <f>M13810-M13810*VLOOKUP($Q13810,매칭테이블!$F:$I,3,0)</f>
        <v/>
      </c>
      <c r="O13810" s="88">
        <f>VLOOKUP($Q13810,매칭테이블!$F:$I,4,0)*K13810</f>
        <v/>
      </c>
      <c r="P13810" s="152">
        <f>M13810/1.1</f>
        <v/>
      </c>
      <c r="Q13810" s="88">
        <f>F13810&amp;E13810&amp;G13810&amp;L13810</f>
        <v/>
      </c>
    </row>
    <row r="13811">
      <c r="B13811" s="128" t="n">
        <v>44213</v>
      </c>
      <c r="C13811" s="88">
        <f>TEXT(B13811,"aaa")</f>
        <v/>
      </c>
      <c r="D13811" s="94" t="n"/>
      <c r="E13811" s="88">
        <f>INDEX(매칭테이블!C:D,MATCH(RD!G13811,매칭테이블!D:D,0),1)</f>
        <v/>
      </c>
      <c r="F13811" s="94" t="inlineStr">
        <is>
          <t>카페24</t>
        </is>
      </c>
      <c r="G13811" s="94" t="inlineStr">
        <is>
          <t>[01/27 순차발송] 어성초 77 포어 클리어 패드옵션=어성초 77 클리어 패드 1개-20% off</t>
        </is>
      </c>
      <c r="K13811" s="94" t="n">
        <v>6</v>
      </c>
      <c r="L13811" s="88" t="n">
        <v>201208</v>
      </c>
      <c r="M13811" s="88">
        <f>VLOOKUP($Q13811,매칭테이블!$F:$I,2,0)*K13811</f>
        <v/>
      </c>
      <c r="N13811" s="88">
        <f>M13811-M13811*VLOOKUP($Q13811,매칭테이블!$F:$I,3,0)</f>
        <v/>
      </c>
      <c r="O13811" s="88">
        <f>VLOOKUP($Q13811,매칭테이블!$F:$I,4,0)*K13811</f>
        <v/>
      </c>
      <c r="P13811" s="152">
        <f>M13811/1.1</f>
        <v/>
      </c>
      <c r="Q13811" s="88">
        <f>F13811&amp;E13811&amp;G13811&amp;L13811</f>
        <v/>
      </c>
    </row>
    <row r="13812">
      <c r="B13812" s="128" t="n">
        <v>44213</v>
      </c>
      <c r="C13812" s="88">
        <f>TEXT(B13812,"aaa")</f>
        <v/>
      </c>
      <c r="D13812" s="94" t="n"/>
      <c r="E13812" s="88">
        <f>INDEX(매칭테이블!C:D,MATCH(RD!G13812,매칭테이블!D:D,0),1)</f>
        <v/>
      </c>
      <c r="F13812" s="94" t="inlineStr">
        <is>
          <t>카페24</t>
        </is>
      </c>
      <c r="G13812" s="94" t="inlineStr">
        <is>
          <t>[01/27 순차발송] 어성초 77 포어 클리어 패드옵션=어성초 77 클리어 패드 2개-30% off (무료배송)</t>
        </is>
      </c>
      <c r="K13812" s="94" t="n">
        <v>7</v>
      </c>
      <c r="L13812" s="88" t="n">
        <v>201208</v>
      </c>
      <c r="M13812" s="88">
        <f>VLOOKUP($Q13812,매칭테이블!$F:$I,2,0)*K13812</f>
        <v/>
      </c>
      <c r="N13812" s="88">
        <f>M13812-M13812*VLOOKUP($Q13812,매칭테이블!$F:$I,3,0)</f>
        <v/>
      </c>
      <c r="O13812" s="88">
        <f>VLOOKUP($Q13812,매칭테이블!$F:$I,4,0)*K13812</f>
        <v/>
      </c>
      <c r="P13812" s="152">
        <f>M13812/1.1</f>
        <v/>
      </c>
      <c r="Q13812" s="88">
        <f>F13812&amp;E13812&amp;G13812&amp;L13812</f>
        <v/>
      </c>
    </row>
    <row r="13813">
      <c r="B13813" s="128" t="n">
        <v>44213</v>
      </c>
      <c r="C13813" s="88">
        <f>TEXT(B13813,"aaa")</f>
        <v/>
      </c>
      <c r="D13813" s="94" t="n"/>
      <c r="E13813" s="88">
        <f>INDEX(매칭테이블!C:D,MATCH(RD!G13813,매칭테이블!D:D,0),1)</f>
        <v/>
      </c>
      <c r="F13813" s="94" t="inlineStr">
        <is>
          <t>카페24</t>
        </is>
      </c>
      <c r="G13813" s="94" t="inlineStr">
        <is>
          <t>[01/27 순차발송] 어성초 77 포어 클리어 패드옵션=어성초 77 클리어 패드 2+1 EVENT (무료배송)</t>
        </is>
      </c>
      <c r="K13813" s="94" t="n">
        <v>4</v>
      </c>
      <c r="L13813" s="88" t="n">
        <v>201208</v>
      </c>
      <c r="M13813" s="88">
        <f>VLOOKUP($Q13813,매칭테이블!$F:$I,2,0)*K13813</f>
        <v/>
      </c>
      <c r="N13813" s="88">
        <f>M13813-M13813*VLOOKUP($Q13813,매칭테이블!$F:$I,3,0)</f>
        <v/>
      </c>
      <c r="O13813" s="88">
        <f>VLOOKUP($Q13813,매칭테이블!$F:$I,4,0)*K13813</f>
        <v/>
      </c>
      <c r="P13813" s="152">
        <f>M13813/1.1</f>
        <v/>
      </c>
      <c r="Q13813" s="88">
        <f>F13813&amp;E13813&amp;G13813&amp;L13813</f>
        <v/>
      </c>
    </row>
    <row r="13814">
      <c r="B13814" s="128" t="n">
        <v>44213</v>
      </c>
      <c r="C13814" s="88">
        <f>TEXT(B13814,"aaa")</f>
        <v/>
      </c>
      <c r="D13814" s="94" t="n"/>
      <c r="E13814" s="88">
        <f>INDEX(매칭테이블!C:D,MATCH(RD!G13814,매칭테이블!D:D,0),1)</f>
        <v/>
      </c>
      <c r="F13814" s="94" t="inlineStr">
        <is>
          <t>카페24</t>
        </is>
      </c>
      <c r="G13814" s="94" t="inlineStr">
        <is>
          <t>[01/27 순차발송] 어성초 77 포어 클리어 패드옵션=어성초77토너1개+어성초77패드1개-30% off (무료배송)</t>
        </is>
      </c>
      <c r="K13814" s="94" t="n">
        <v>3</v>
      </c>
      <c r="L13814" s="88" t="n">
        <v>201208</v>
      </c>
      <c r="M13814" s="88">
        <f>VLOOKUP($Q13814,매칭테이블!$F:$I,2,0)*K13814</f>
        <v/>
      </c>
      <c r="N13814" s="88">
        <f>M13814-M13814*VLOOKUP($Q13814,매칭테이블!$F:$I,3,0)</f>
        <v/>
      </c>
      <c r="O13814" s="88">
        <f>VLOOKUP($Q13814,매칭테이블!$F:$I,4,0)*K13814</f>
        <v/>
      </c>
      <c r="P13814" s="152">
        <f>M13814/1.1</f>
        <v/>
      </c>
      <c r="Q13814" s="88">
        <f>F13814&amp;E13814&amp;G13814&amp;L13814</f>
        <v/>
      </c>
    </row>
    <row r="13815">
      <c r="B13815" s="128" t="n">
        <v>44213</v>
      </c>
      <c r="C13815" s="88">
        <f>TEXT(B13815,"aaa")</f>
        <v/>
      </c>
      <c r="D13815" s="94" t="n"/>
      <c r="E13815" s="88">
        <f>INDEX(매칭테이블!C:D,MATCH(RD!G13815,매칭테이블!D:D,0),1)</f>
        <v/>
      </c>
      <c r="F13815" s="94" t="inlineStr">
        <is>
          <t>카페24</t>
        </is>
      </c>
      <c r="G13815" s="94" t="inlineStr">
        <is>
          <t>[01/27 순차발송] 어성초 77% 패드옵션=어성초 77 클리어 패드 1개-20% off</t>
        </is>
      </c>
      <c r="K13815" s="94" t="n">
        <v>36</v>
      </c>
      <c r="L13815" s="88" t="n">
        <v>201208</v>
      </c>
      <c r="M13815" s="88">
        <f>VLOOKUP($Q13815,매칭테이블!$F:$I,2,0)*K13815</f>
        <v/>
      </c>
      <c r="N13815" s="88">
        <f>M13815-M13815*VLOOKUP($Q13815,매칭테이블!$F:$I,3,0)</f>
        <v/>
      </c>
      <c r="O13815" s="88">
        <f>VLOOKUP($Q13815,매칭테이블!$F:$I,4,0)*K13815</f>
        <v/>
      </c>
      <c r="P13815" s="152">
        <f>M13815/1.1</f>
        <v/>
      </c>
      <c r="Q13815" s="88">
        <f>F13815&amp;E13815&amp;G13815&amp;L13815</f>
        <v/>
      </c>
    </row>
    <row r="13816">
      <c r="B13816" s="128" t="n">
        <v>44213</v>
      </c>
      <c r="C13816" s="88">
        <f>TEXT(B13816,"aaa")</f>
        <v/>
      </c>
      <c r="D13816" s="94" t="n"/>
      <c r="E13816" s="88">
        <f>INDEX(매칭테이블!C:D,MATCH(RD!G13816,매칭테이블!D:D,0),1)</f>
        <v/>
      </c>
      <c r="F13816" s="94" t="inlineStr">
        <is>
          <t>카페24</t>
        </is>
      </c>
      <c r="G13816" s="94" t="inlineStr">
        <is>
          <t>[01/27 순차발송] 어성초 77% 패드옵션=어성초 77 클리어 패드 2개-30% off (무료배송)</t>
        </is>
      </c>
      <c r="K13816" s="94" t="n">
        <v>26</v>
      </c>
      <c r="L13816" s="88" t="n">
        <v>201208</v>
      </c>
      <c r="M13816" s="88">
        <f>VLOOKUP($Q13816,매칭테이블!$F:$I,2,0)*K13816</f>
        <v/>
      </c>
      <c r="N13816" s="88">
        <f>M13816-M13816*VLOOKUP($Q13816,매칭테이블!$F:$I,3,0)</f>
        <v/>
      </c>
      <c r="O13816" s="88">
        <f>VLOOKUP($Q13816,매칭테이블!$F:$I,4,0)*K13816</f>
        <v/>
      </c>
      <c r="P13816" s="152">
        <f>M13816/1.1</f>
        <v/>
      </c>
      <c r="Q13816" s="88">
        <f>F13816&amp;E13816&amp;G13816&amp;L13816</f>
        <v/>
      </c>
    </row>
    <row r="13817">
      <c r="B13817" s="128" t="n">
        <v>44213</v>
      </c>
      <c r="C13817" s="88">
        <f>TEXT(B13817,"aaa")</f>
        <v/>
      </c>
      <c r="D13817" s="94" t="n"/>
      <c r="E13817" s="88">
        <f>INDEX(매칭테이블!C:D,MATCH(RD!G13817,매칭테이블!D:D,0),1)</f>
        <v/>
      </c>
      <c r="F13817" s="94" t="inlineStr">
        <is>
          <t>카페24</t>
        </is>
      </c>
      <c r="G13817" s="94" t="inlineStr">
        <is>
          <t>[01/27 순차발송] 어성초 77% 패드옵션=어성초 77 클리어 패드 2+1 EVENT (무료배송)</t>
        </is>
      </c>
      <c r="K13817" s="94" t="n">
        <v>23</v>
      </c>
      <c r="L13817" s="88" t="n">
        <v>201208</v>
      </c>
      <c r="M13817" s="88">
        <f>VLOOKUP($Q13817,매칭테이블!$F:$I,2,0)*K13817</f>
        <v/>
      </c>
      <c r="N13817" s="88">
        <f>M13817-M13817*VLOOKUP($Q13817,매칭테이블!$F:$I,3,0)</f>
        <v/>
      </c>
      <c r="O13817" s="88">
        <f>VLOOKUP($Q13817,매칭테이블!$F:$I,4,0)*K13817</f>
        <v/>
      </c>
      <c r="P13817" s="152">
        <f>M13817/1.1</f>
        <v/>
      </c>
      <c r="Q13817" s="88">
        <f>F13817&amp;E13817&amp;G13817&amp;L13817</f>
        <v/>
      </c>
    </row>
    <row r="13818">
      <c r="B13818" s="128" t="n">
        <v>44213</v>
      </c>
      <c r="C13818" s="88">
        <f>TEXT(B13818,"aaa")</f>
        <v/>
      </c>
      <c r="D13818" s="94" t="n"/>
      <c r="E13818" s="88">
        <f>INDEX(매칭테이블!C:D,MATCH(RD!G13818,매칭테이블!D:D,0),1)</f>
        <v/>
      </c>
      <c r="F13818" s="94" t="inlineStr">
        <is>
          <t>카페24</t>
        </is>
      </c>
      <c r="G13818" s="94" t="inlineStr">
        <is>
          <t>[01/27 순차발송] 어성초 77% 패드옵션=어성초77토너1개+어성초77패드1개-30% off (무료배송)</t>
        </is>
      </c>
      <c r="K13818" s="94" t="n">
        <v>11</v>
      </c>
      <c r="L13818" s="88" t="n">
        <v>201208</v>
      </c>
      <c r="M13818" s="88">
        <f>VLOOKUP($Q13818,매칭테이블!$F:$I,2,0)*K13818</f>
        <v/>
      </c>
      <c r="N13818" s="88">
        <f>M13818-M13818*VLOOKUP($Q13818,매칭테이블!$F:$I,3,0)</f>
        <v/>
      </c>
      <c r="O13818" s="88">
        <f>VLOOKUP($Q13818,매칭테이블!$F:$I,4,0)*K13818</f>
        <v/>
      </c>
      <c r="P13818" s="152">
        <f>M13818/1.1</f>
        <v/>
      </c>
      <c r="Q13818" s="88">
        <f>F13818&amp;E13818&amp;G13818&amp;L13818</f>
        <v/>
      </c>
    </row>
    <row r="13819">
      <c r="B13819" s="128" t="n">
        <v>44213</v>
      </c>
      <c r="C13819" s="88">
        <f>TEXT(B13819,"aaa")</f>
        <v/>
      </c>
      <c r="D13819" s="94" t="n"/>
      <c r="E13819" s="88">
        <f>INDEX(매칭테이블!C:D,MATCH(RD!G13819,매칭테이블!D:D,0),1)</f>
        <v/>
      </c>
      <c r="F13819" s="94" t="inlineStr">
        <is>
          <t>카페24</t>
        </is>
      </c>
      <c r="G13819" s="94" t="inlineStr">
        <is>
          <t>[수분 보충 세트] 어성초 77 토너 + 어성초 70 로션옵션=어성초 77 토너 250ml + 어성초 70 로션 200ml -30%</t>
        </is>
      </c>
      <c r="K13819" s="94" t="n">
        <v>45</v>
      </c>
      <c r="L13819" s="88" t="n">
        <v>201208</v>
      </c>
      <c r="M13819" s="88">
        <f>VLOOKUP($Q13819,매칭테이블!$F:$I,2,0)*K13819</f>
        <v/>
      </c>
      <c r="N13819" s="88">
        <f>M13819-M13819*VLOOKUP($Q13819,매칭테이블!$F:$I,3,0)</f>
        <v/>
      </c>
      <c r="O13819" s="88">
        <f>VLOOKUP($Q13819,매칭테이블!$F:$I,4,0)*K13819</f>
        <v/>
      </c>
      <c r="P13819" s="152">
        <f>M13819/1.1</f>
        <v/>
      </c>
      <c r="Q13819" s="88">
        <f>F13819&amp;E13819&amp;G13819&amp;L13819</f>
        <v/>
      </c>
    </row>
    <row r="13820">
      <c r="B13820" s="128" t="n">
        <v>44213</v>
      </c>
      <c r="C13820" s="88">
        <f>TEXT(B13820,"aaa")</f>
        <v/>
      </c>
      <c r="D13820" s="94" t="n"/>
      <c r="E13820" s="88">
        <f>INDEX(매칭테이블!C:D,MATCH(RD!G13820,매칭테이블!D:D,0),1)</f>
        <v/>
      </c>
      <c r="F13820" s="94" t="inlineStr">
        <is>
          <t>카페24</t>
        </is>
      </c>
      <c r="G13820" s="94" t="inlineStr">
        <is>
          <t>[어성초 진정 패키지 세트] 대용량 토너 + 앰플 + 수딩 크림 + 마스크팩 10장</t>
        </is>
      </c>
      <c r="K13820" s="94" t="n">
        <v>4</v>
      </c>
      <c r="L13820" s="88" t="n">
        <v>201208</v>
      </c>
      <c r="M13820" s="88">
        <f>VLOOKUP($Q13820,매칭테이블!$F:$I,2,0)*K13820</f>
        <v/>
      </c>
      <c r="N13820" s="88">
        <f>M13820-M13820*VLOOKUP($Q13820,매칭테이블!$F:$I,3,0)</f>
        <v/>
      </c>
      <c r="O13820" s="88">
        <f>VLOOKUP($Q13820,매칭테이블!$F:$I,4,0)*K13820</f>
        <v/>
      </c>
      <c r="P13820" s="152">
        <f>M13820/1.1</f>
        <v/>
      </c>
      <c r="Q13820" s="88">
        <f>F13820&amp;E13820&amp;G13820&amp;L13820</f>
        <v/>
      </c>
    </row>
    <row r="13821">
      <c r="B13821" s="128" t="n">
        <v>44213</v>
      </c>
      <c r="C13821" s="88">
        <f>TEXT(B13821,"aaa")</f>
        <v/>
      </c>
      <c r="D13821" s="94" t="n"/>
      <c r="E13821" s="88">
        <f>INDEX(매칭테이블!C:D,MATCH(RD!G13821,매칭테이블!D:D,0),1)</f>
        <v/>
      </c>
      <c r="F13821" s="94" t="inlineStr">
        <is>
          <t>카페24</t>
        </is>
      </c>
      <c r="G13821" s="94" t="inlineStr">
        <is>
          <t>대용량 어성초 77 수딩 토너 500ml옵션=대용량 어성초 77 토너 1개 - 27% OFF</t>
        </is>
      </c>
      <c r="K13821" s="94" t="n">
        <v>42</v>
      </c>
      <c r="L13821" s="88" t="n">
        <v>201208</v>
      </c>
      <c r="M13821" s="88">
        <f>VLOOKUP($Q13821,매칭테이블!$F:$I,2,0)*K13821</f>
        <v/>
      </c>
      <c r="N13821" s="88">
        <f>M13821-M13821*VLOOKUP($Q13821,매칭테이블!$F:$I,3,0)</f>
        <v/>
      </c>
      <c r="O13821" s="88">
        <f>VLOOKUP($Q13821,매칭테이블!$F:$I,4,0)*K13821</f>
        <v/>
      </c>
      <c r="P13821" s="152">
        <f>M13821/1.1</f>
        <v/>
      </c>
      <c r="Q13821" s="88">
        <f>F13821&amp;E13821&amp;G13821&amp;L13821</f>
        <v/>
      </c>
    </row>
    <row r="13822">
      <c r="B13822" s="128" t="n">
        <v>44213</v>
      </c>
      <c r="C13822" s="88">
        <f>TEXT(B13822,"aaa")</f>
        <v/>
      </c>
      <c r="D13822" s="94" t="n"/>
      <c r="E13822" s="88">
        <f>INDEX(매칭테이블!C:D,MATCH(RD!G13822,매칭테이블!D:D,0),1)</f>
        <v/>
      </c>
      <c r="F13822" s="94" t="inlineStr">
        <is>
          <t>카페24</t>
        </is>
      </c>
      <c r="G13822" s="94" t="inlineStr">
        <is>
          <t>대용량 어성초 77 수딩 토너 500ml화장솜(선택)=촉촉 스킨팩 화장솜</t>
        </is>
      </c>
      <c r="K13822" s="94" t="n">
        <v>10</v>
      </c>
      <c r="L13822" s="88" t="n">
        <v>201208</v>
      </c>
      <c r="M13822" s="88">
        <f>VLOOKUP($Q13822,매칭테이블!$F:$I,2,0)*K13822</f>
        <v/>
      </c>
      <c r="N13822" s="88">
        <f>M13822-M13822*VLOOKUP($Q13822,매칭테이블!$F:$I,3,0)</f>
        <v/>
      </c>
      <c r="O13822" s="88">
        <f>VLOOKUP($Q13822,매칭테이블!$F:$I,4,0)*K13822</f>
        <v/>
      </c>
      <c r="P13822" s="152">
        <f>M13822/1.1</f>
        <v/>
      </c>
      <c r="Q13822" s="88">
        <f>F13822&amp;E13822&amp;G13822&amp;L13822</f>
        <v/>
      </c>
    </row>
    <row r="13823">
      <c r="B13823" s="128" t="n">
        <v>44213</v>
      </c>
      <c r="C13823" s="88">
        <f>TEXT(B13823,"aaa")</f>
        <v/>
      </c>
      <c r="D13823" s="94" t="n"/>
      <c r="E13823" s="88">
        <f>INDEX(매칭테이블!C:D,MATCH(RD!G13823,매칭테이블!D:D,0),1)</f>
        <v/>
      </c>
      <c r="F13823" s="94" t="inlineStr">
        <is>
          <t>카페24</t>
        </is>
      </c>
      <c r="G13823" s="94" t="inlineStr">
        <is>
          <t>아누아 어성초 77 수딩 토너토너(필수)=어성초 77 토너 1개-20% off</t>
        </is>
      </c>
      <c r="K13823" s="94" t="n">
        <v>1</v>
      </c>
      <c r="L13823" s="88" t="n">
        <v>201208</v>
      </c>
      <c r="M13823" s="88">
        <f>VLOOKUP($Q13823,매칭테이블!$F:$I,2,0)*K13823</f>
        <v/>
      </c>
      <c r="N13823" s="88">
        <f>M13823-M13823*VLOOKUP($Q13823,매칭테이블!$F:$I,3,0)</f>
        <v/>
      </c>
      <c r="O13823" s="88">
        <f>VLOOKUP($Q13823,매칭테이블!$F:$I,4,0)*K13823</f>
        <v/>
      </c>
      <c r="P13823" s="152">
        <f>M13823/1.1</f>
        <v/>
      </c>
      <c r="Q13823" s="88">
        <f>F13823&amp;E13823&amp;G13823&amp;L13823</f>
        <v/>
      </c>
    </row>
    <row r="13824">
      <c r="B13824" s="128" t="n">
        <v>44213</v>
      </c>
      <c r="C13824" s="88">
        <f>TEXT(B13824,"aaa")</f>
        <v/>
      </c>
      <c r="D13824" s="94" t="n"/>
      <c r="E13824" s="88">
        <f>INDEX(매칭테이블!C:D,MATCH(RD!G13824,매칭테이블!D:D,0),1)</f>
        <v/>
      </c>
      <c r="F13824" s="94" t="inlineStr">
        <is>
          <t>카페24</t>
        </is>
      </c>
      <c r="G13824" s="94" t="inlineStr">
        <is>
          <t>아누아 어성초 77 수딩 토너화장솜(선택)=촉촉 스킨팩 화장솜</t>
        </is>
      </c>
      <c r="K13824" s="94" t="n">
        <v>1</v>
      </c>
      <c r="L13824" s="88" t="n">
        <v>201208</v>
      </c>
      <c r="M13824" s="88">
        <f>VLOOKUP($Q13824,매칭테이블!$F:$I,2,0)*K13824</f>
        <v/>
      </c>
      <c r="N13824" s="88">
        <f>M13824-M13824*VLOOKUP($Q13824,매칭테이블!$F:$I,3,0)</f>
        <v/>
      </c>
      <c r="O13824" s="88">
        <f>VLOOKUP($Q13824,매칭테이블!$F:$I,4,0)*K13824</f>
        <v/>
      </c>
      <c r="P13824" s="152">
        <f>M13824/1.1</f>
        <v/>
      </c>
      <c r="Q13824" s="88">
        <f>F13824&amp;E13824&amp;G13824&amp;L13824</f>
        <v/>
      </c>
    </row>
    <row r="13825">
      <c r="B13825" s="128" t="n">
        <v>44213</v>
      </c>
      <c r="C13825" s="88">
        <f>TEXT(B13825,"aaa")</f>
        <v/>
      </c>
      <c r="D13825" s="94" t="n"/>
      <c r="E13825" s="88">
        <f>INDEX(매칭테이블!C:D,MATCH(RD!G13825,매칭테이블!D:D,0),1)</f>
        <v/>
      </c>
      <c r="F13825" s="94" t="inlineStr">
        <is>
          <t>카페24</t>
        </is>
      </c>
      <c r="G13825" s="94" t="inlineStr">
        <is>
          <t>어성초 70 데일리 릴리프 로션로션=어성초 70 데일리 릴리프 로션 1개 -20% off</t>
        </is>
      </c>
      <c r="K13825" s="94" t="n">
        <v>10</v>
      </c>
      <c r="L13825" s="88" t="n">
        <v>201208</v>
      </c>
      <c r="M13825" s="88">
        <f>VLOOKUP($Q13825,매칭테이블!$F:$I,2,0)*K13825</f>
        <v/>
      </c>
      <c r="N13825" s="88">
        <f>M13825-M13825*VLOOKUP($Q13825,매칭테이블!$F:$I,3,0)</f>
        <v/>
      </c>
      <c r="O13825" s="88">
        <f>VLOOKUP($Q13825,매칭테이블!$F:$I,4,0)*K13825</f>
        <v/>
      </c>
      <c r="P13825" s="152">
        <f>M13825/1.1</f>
        <v/>
      </c>
      <c r="Q13825" s="88">
        <f>F13825&amp;E13825&amp;G13825&amp;L13825</f>
        <v/>
      </c>
    </row>
    <row r="13826">
      <c r="B13826" s="128" t="n">
        <v>44213</v>
      </c>
      <c r="C13826" s="88">
        <f>TEXT(B13826,"aaa")</f>
        <v/>
      </c>
      <c r="D13826" s="94" t="n"/>
      <c r="E13826" s="88">
        <f>INDEX(매칭테이블!C:D,MATCH(RD!G13826,매칭테이블!D:D,0),1)</f>
        <v/>
      </c>
      <c r="F13826" s="94" t="inlineStr">
        <is>
          <t>카페24</t>
        </is>
      </c>
      <c r="G13826" s="94" t="inlineStr">
        <is>
          <t>어성초 70 데일리 릴리프 로션로션=어성초 70 데일리 릴리프 로션 2개 -30% off</t>
        </is>
      </c>
      <c r="K13826" s="94" t="n">
        <v>4</v>
      </c>
      <c r="L13826" s="88" t="n">
        <v>201208</v>
      </c>
      <c r="M13826" s="88">
        <f>VLOOKUP($Q13826,매칭테이블!$F:$I,2,0)*K13826</f>
        <v/>
      </c>
      <c r="N13826" s="88">
        <f>M13826-M13826*VLOOKUP($Q13826,매칭테이블!$F:$I,3,0)</f>
        <v/>
      </c>
      <c r="O13826" s="88">
        <f>VLOOKUP($Q13826,매칭테이블!$F:$I,4,0)*K13826</f>
        <v/>
      </c>
      <c r="P13826" s="152">
        <f>M13826/1.1</f>
        <v/>
      </c>
      <c r="Q13826" s="88">
        <f>F13826&amp;E13826&amp;G13826&amp;L13826</f>
        <v/>
      </c>
    </row>
    <row r="13827">
      <c r="B13827" s="128" t="n">
        <v>44213</v>
      </c>
      <c r="C13827" s="88">
        <f>TEXT(B13827,"aaa")</f>
        <v/>
      </c>
      <c r="D13827" s="94" t="n"/>
      <c r="E13827" s="88">
        <f>INDEX(매칭테이블!C:D,MATCH(RD!G13827,매칭테이블!D:D,0),1)</f>
        <v/>
      </c>
      <c r="F13827" s="94" t="inlineStr">
        <is>
          <t>카페24</t>
        </is>
      </c>
      <c r="G13827" s="94" t="inlineStr">
        <is>
          <t>어성초 70 데일리 릴리프 로션로션=어성초 77토너 + 어성초 70 로션 수분 보충 세트 -30% off</t>
        </is>
      </c>
      <c r="K13827" s="94" t="n">
        <v>1</v>
      </c>
      <c r="L13827" s="88" t="n">
        <v>201208</v>
      </c>
      <c r="M13827" s="88">
        <f>VLOOKUP($Q13827,매칭테이블!$F:$I,2,0)*K13827</f>
        <v/>
      </c>
      <c r="N13827" s="88">
        <f>M13827-M13827*VLOOKUP($Q13827,매칭테이블!$F:$I,3,0)</f>
        <v/>
      </c>
      <c r="O13827" s="88">
        <f>VLOOKUP($Q13827,매칭테이블!$F:$I,4,0)*K13827</f>
        <v/>
      </c>
      <c r="P13827" s="152">
        <f>M13827/1.1</f>
        <v/>
      </c>
      <c r="Q13827" s="88">
        <f>F13827&amp;E13827&amp;G13827&amp;L13827</f>
        <v/>
      </c>
    </row>
    <row r="13828">
      <c r="B13828" s="128" t="n">
        <v>44213</v>
      </c>
      <c r="C13828" s="88">
        <f>TEXT(B13828,"aaa")</f>
        <v/>
      </c>
      <c r="D13828" s="94" t="n"/>
      <c r="E13828" s="88">
        <f>INDEX(매칭테이블!C:D,MATCH(RD!G13828,매칭테이블!D:D,0),1)</f>
        <v/>
      </c>
      <c r="F13828" s="94" t="inlineStr">
        <is>
          <t>카페24</t>
        </is>
      </c>
      <c r="G13828" s="94" t="inlineStr">
        <is>
          <t>어성초 70 머드 크림 마스크옵션=어성초 70 머드 크림 마스크-20% off</t>
        </is>
      </c>
      <c r="K13828" s="94" t="n">
        <v>6</v>
      </c>
      <c r="L13828" s="88" t="n">
        <v>201208</v>
      </c>
      <c r="M13828" s="88">
        <f>VLOOKUP($Q13828,매칭테이블!$F:$I,2,0)*K13828</f>
        <v/>
      </c>
      <c r="N13828" s="88">
        <f>M13828-M13828*VLOOKUP($Q13828,매칭테이블!$F:$I,3,0)</f>
        <v/>
      </c>
      <c r="O13828" s="88">
        <f>VLOOKUP($Q13828,매칭테이블!$F:$I,4,0)*K13828</f>
        <v/>
      </c>
      <c r="P13828" s="152">
        <f>M13828/1.1</f>
        <v/>
      </c>
      <c r="Q13828" s="88">
        <f>F13828&amp;E13828&amp;G13828&amp;L13828</f>
        <v/>
      </c>
    </row>
    <row r="13829">
      <c r="B13829" s="128" t="n">
        <v>44213</v>
      </c>
      <c r="C13829" s="88">
        <f>TEXT(B13829,"aaa")</f>
        <v/>
      </c>
      <c r="D13829" s="94" t="n"/>
      <c r="E13829" s="88">
        <f>INDEX(매칭테이블!C:D,MATCH(RD!G13829,매칭테이블!D:D,0),1)</f>
        <v/>
      </c>
      <c r="F13829" s="94" t="inlineStr">
        <is>
          <t>카페24</t>
        </is>
      </c>
      <c r="G13829" s="94" t="inlineStr">
        <is>
          <t>어성초 70 인텐스 카밍 크림크림=어성초 70 인텐스 카밍 크림 1개 (-20%)</t>
        </is>
      </c>
      <c r="K13829" s="94" t="n">
        <v>5</v>
      </c>
      <c r="L13829" s="88" t="n">
        <v>201208</v>
      </c>
      <c r="M13829" s="88">
        <f>VLOOKUP($Q13829,매칭테이블!$F:$I,2,0)*K13829</f>
        <v/>
      </c>
      <c r="N13829" s="88">
        <f>M13829-M13829*VLOOKUP($Q13829,매칭테이블!$F:$I,3,0)</f>
        <v/>
      </c>
      <c r="O13829" s="88">
        <f>VLOOKUP($Q13829,매칭테이블!$F:$I,4,0)*K13829</f>
        <v/>
      </c>
      <c r="P13829" s="152">
        <f>M13829/1.1</f>
        <v/>
      </c>
      <c r="Q13829" s="88">
        <f>F13829&amp;E13829&amp;G13829&amp;L13829</f>
        <v/>
      </c>
    </row>
    <row r="13830">
      <c r="B13830" s="128" t="n">
        <v>44213</v>
      </c>
      <c r="C13830" s="88">
        <f>TEXT(B13830,"aaa")</f>
        <v/>
      </c>
      <c r="D13830" s="94" t="n"/>
      <c r="E13830" s="88">
        <f>INDEX(매칭테이블!C:D,MATCH(RD!G13830,매칭테이블!D:D,0),1)</f>
        <v/>
      </c>
      <c r="F13830" s="94" t="inlineStr">
        <is>
          <t>카페24</t>
        </is>
      </c>
      <c r="G13830" s="94" t="inlineStr">
        <is>
          <t>어성초 77 수딩 토너옵션=어성초 77 토너 1개-20% off</t>
        </is>
      </c>
      <c r="K13830" s="94" t="n">
        <v>65</v>
      </c>
      <c r="L13830" s="88" t="n">
        <v>201208</v>
      </c>
      <c r="M13830" s="88">
        <f>VLOOKUP($Q13830,매칭테이블!$F:$I,2,0)*K13830</f>
        <v/>
      </c>
      <c r="N13830" s="88">
        <f>M13830-M13830*VLOOKUP($Q13830,매칭테이블!$F:$I,3,0)</f>
        <v/>
      </c>
      <c r="O13830" s="88">
        <f>VLOOKUP($Q13830,매칭테이블!$F:$I,4,0)*K13830</f>
        <v/>
      </c>
      <c r="P13830" s="152">
        <f>M13830/1.1</f>
        <v/>
      </c>
      <c r="Q13830" s="88">
        <f>F13830&amp;E13830&amp;G13830&amp;L13830</f>
        <v/>
      </c>
    </row>
    <row r="13831">
      <c r="B13831" s="128" t="n">
        <v>44213</v>
      </c>
      <c r="C13831" s="88">
        <f>TEXT(B13831,"aaa")</f>
        <v/>
      </c>
      <c r="D13831" s="94" t="n"/>
      <c r="E13831" s="88">
        <f>INDEX(매칭테이블!C:D,MATCH(RD!G13831,매칭테이블!D:D,0),1)</f>
        <v/>
      </c>
      <c r="F13831" s="94" t="inlineStr">
        <is>
          <t>카페24</t>
        </is>
      </c>
      <c r="G13831" s="94" t="inlineStr">
        <is>
          <t>어성초 77 수딩 토너옵션=</t>
        </is>
      </c>
      <c r="K13831" s="94" t="n">
        <v>20</v>
      </c>
      <c r="L13831" s="88" t="n">
        <v>201208</v>
      </c>
      <c r="M13831" s="88">
        <f>VLOOKUP($Q13831,매칭테이블!$F:$I,2,0)*K13831</f>
        <v/>
      </c>
      <c r="N13831" s="88">
        <f>M13831-M13831*VLOOKUP($Q13831,매칭테이블!$F:$I,3,0)</f>
        <v/>
      </c>
      <c r="O13831" s="88">
        <f>VLOOKUP($Q13831,매칭테이블!$F:$I,4,0)*K13831</f>
        <v/>
      </c>
      <c r="P13831" s="152">
        <f>M13831/1.1</f>
        <v/>
      </c>
      <c r="Q13831" s="88">
        <f>F13831&amp;E13831&amp;G13831&amp;L13831</f>
        <v/>
      </c>
    </row>
    <row r="13832">
      <c r="B13832" s="128" t="n">
        <v>44213</v>
      </c>
      <c r="C13832" s="88">
        <f>TEXT(B13832,"aaa")</f>
        <v/>
      </c>
      <c r="D13832" s="94" t="n"/>
      <c r="E13832" s="88">
        <f>INDEX(매칭테이블!C:D,MATCH(RD!G13832,매칭테이블!D:D,0),1)</f>
        <v/>
      </c>
      <c r="F13832" s="94" t="inlineStr">
        <is>
          <t>카페24</t>
        </is>
      </c>
      <c r="G13832" s="94" t="inlineStr">
        <is>
          <t>어성초 77 수딩 토너옵션=BEST어성초 77 토너 2개-30% off (무료배송)</t>
        </is>
      </c>
      <c r="K13832" s="94" t="n">
        <v>32</v>
      </c>
      <c r="L13832" s="88" t="n">
        <v>201208</v>
      </c>
      <c r="M13832" s="88">
        <f>VLOOKUP($Q13832,매칭테이블!$F:$I,2,0)*K13832</f>
        <v/>
      </c>
      <c r="N13832" s="88">
        <f>M13832-M13832*VLOOKUP($Q13832,매칭테이블!$F:$I,3,0)</f>
        <v/>
      </c>
      <c r="O13832" s="88">
        <f>VLOOKUP($Q13832,매칭테이블!$F:$I,4,0)*K13832</f>
        <v/>
      </c>
      <c r="P13832" s="152">
        <f>M13832/1.1</f>
        <v/>
      </c>
      <c r="Q13832" s="88">
        <f>F13832&amp;E13832&amp;G13832&amp;L13832</f>
        <v/>
      </c>
    </row>
    <row r="13833">
      <c r="B13833" s="128" t="n">
        <v>44213</v>
      </c>
      <c r="C13833" s="88">
        <f>TEXT(B13833,"aaa")</f>
        <v/>
      </c>
      <c r="D13833" s="94" t="n"/>
      <c r="E13833" s="88">
        <f>INDEX(매칭테이블!C:D,MATCH(RD!G13833,매칭테이블!D:D,0),1)</f>
        <v/>
      </c>
      <c r="F13833" s="94" t="inlineStr">
        <is>
          <t>카페24</t>
        </is>
      </c>
      <c r="G13833" s="94" t="inlineStr">
        <is>
          <t>어성초 77 수딩 토너옵션=어성초 77토너1개 + 어성초77패드1개 -30% off (무료배송)</t>
        </is>
      </c>
      <c r="K13833" s="94" t="n">
        <v>30</v>
      </c>
      <c r="L13833" s="88" t="n">
        <v>201208</v>
      </c>
      <c r="M13833" s="88">
        <f>VLOOKUP($Q13833,매칭테이블!$F:$I,2,0)*K13833</f>
        <v/>
      </c>
      <c r="N13833" s="88">
        <f>M13833-M13833*VLOOKUP($Q13833,매칭테이블!$F:$I,3,0)</f>
        <v/>
      </c>
      <c r="O13833" s="88">
        <f>VLOOKUP($Q13833,매칭테이블!$F:$I,4,0)*K13833</f>
        <v/>
      </c>
      <c r="P13833" s="152">
        <f>M13833/1.1</f>
        <v/>
      </c>
      <c r="Q13833" s="88">
        <f>F13833&amp;E13833&amp;G13833&amp;L13833</f>
        <v/>
      </c>
    </row>
    <row r="13834">
      <c r="B13834" s="128" t="n">
        <v>44213</v>
      </c>
      <c r="C13834" s="88">
        <f>TEXT(B13834,"aaa")</f>
        <v/>
      </c>
      <c r="D13834" s="94" t="n"/>
      <c r="E13834" s="88">
        <f>INDEX(매칭테이블!C:D,MATCH(RD!G13834,매칭테이블!D:D,0),1)</f>
        <v/>
      </c>
      <c r="F13834" s="94" t="inlineStr">
        <is>
          <t>카페24</t>
        </is>
      </c>
      <c r="G13834" s="94" t="inlineStr">
        <is>
          <t>어성초 77 수딩 토너화장솜(선택)=촉촉 스킨팩 화장솜</t>
        </is>
      </c>
      <c r="K13834" s="94" t="n">
        <v>52</v>
      </c>
      <c r="L13834" s="88" t="n">
        <v>201208</v>
      </c>
      <c r="M13834" s="88">
        <f>VLOOKUP($Q13834,매칭테이블!$F:$I,2,0)*K13834</f>
        <v/>
      </c>
      <c r="N13834" s="88">
        <f>M13834-M13834*VLOOKUP($Q13834,매칭테이블!$F:$I,3,0)</f>
        <v/>
      </c>
      <c r="O13834" s="88">
        <f>VLOOKUP($Q13834,매칭테이블!$F:$I,4,0)*K13834</f>
        <v/>
      </c>
      <c r="P13834" s="152">
        <f>M13834/1.1</f>
        <v/>
      </c>
      <c r="Q13834" s="88">
        <f>F13834&amp;E13834&amp;G13834&amp;L13834</f>
        <v/>
      </c>
    </row>
    <row r="13835">
      <c r="B13835" s="128" t="n">
        <v>44213</v>
      </c>
      <c r="C13835" s="88">
        <f>TEXT(B13835,"aaa")</f>
        <v/>
      </c>
      <c r="D13835" s="94" t="n"/>
      <c r="E13835" s="88">
        <f>INDEX(매칭테이블!C:D,MATCH(RD!G13835,매칭테이블!D:D,0),1)</f>
        <v/>
      </c>
      <c r="F13835" s="94" t="inlineStr">
        <is>
          <t>카페24</t>
        </is>
      </c>
      <c r="G13835" s="94" t="inlineStr">
        <is>
          <t>어성초 77 진정 마스크옵션=어성초 77 진정 마스크팩 1장</t>
        </is>
      </c>
      <c r="K13835" s="94" t="n">
        <v>2</v>
      </c>
      <c r="L13835" s="88" t="n">
        <v>201208</v>
      </c>
      <c r="M13835" s="88">
        <f>VLOOKUP($Q13835,매칭테이블!$F:$I,2,0)*K13835</f>
        <v/>
      </c>
      <c r="N13835" s="88">
        <f>M13835-M13835*VLOOKUP($Q13835,매칭테이블!$F:$I,3,0)</f>
        <v/>
      </c>
      <c r="O13835" s="88">
        <f>VLOOKUP($Q13835,매칭테이블!$F:$I,4,0)*K13835</f>
        <v/>
      </c>
      <c r="P13835" s="152">
        <f>M13835/1.1</f>
        <v/>
      </c>
      <c r="Q13835" s="88">
        <f>F13835&amp;E13835&amp;G13835&amp;L13835</f>
        <v/>
      </c>
    </row>
    <row r="13836">
      <c r="B13836" s="128" t="n">
        <v>44213</v>
      </c>
      <c r="C13836" s="88">
        <f>TEXT(B13836,"aaa")</f>
        <v/>
      </c>
      <c r="D13836" s="94" t="n"/>
      <c r="E13836" s="88">
        <f>INDEX(매칭테이블!C:D,MATCH(RD!G13836,매칭테이블!D:D,0),1)</f>
        <v/>
      </c>
      <c r="F13836" s="94" t="inlineStr">
        <is>
          <t>카페24</t>
        </is>
      </c>
      <c r="G13836" s="94" t="inlineStr">
        <is>
          <t>어성초 77 진정 마스크옵션=어성초 77 진정 마스크팩 10장-50% off</t>
        </is>
      </c>
      <c r="K13836" s="94" t="n">
        <v>5</v>
      </c>
      <c r="L13836" s="88" t="n">
        <v>201208</v>
      </c>
      <c r="M13836" s="88">
        <f>VLOOKUP($Q13836,매칭테이블!$F:$I,2,0)*K13836</f>
        <v/>
      </c>
      <c r="N13836" s="88">
        <f>M13836-M13836*VLOOKUP($Q13836,매칭테이블!$F:$I,3,0)</f>
        <v/>
      </c>
      <c r="O13836" s="88">
        <f>VLOOKUP($Q13836,매칭테이블!$F:$I,4,0)*K13836</f>
        <v/>
      </c>
      <c r="P13836" s="152">
        <f>M13836/1.1</f>
        <v/>
      </c>
      <c r="Q13836" s="88">
        <f>F13836&amp;E13836&amp;G13836&amp;L13836</f>
        <v/>
      </c>
    </row>
    <row r="13837">
      <c r="B13837" s="128" t="n">
        <v>44213</v>
      </c>
      <c r="C13837" s="88">
        <f>TEXT(B13837,"aaa")</f>
        <v/>
      </c>
      <c r="D13837" s="94" t="n"/>
      <c r="E13837" s="88">
        <f>INDEX(매칭테이블!C:D,MATCH(RD!G13837,매칭테이블!D:D,0),1)</f>
        <v/>
      </c>
      <c r="F13837" s="94" t="inlineStr">
        <is>
          <t>카페24</t>
        </is>
      </c>
      <c r="G13837" s="94" t="inlineStr">
        <is>
          <t>어성초 77 진정 마스크</t>
        </is>
      </c>
      <c r="K13837" s="94" t="n">
        <v>5</v>
      </c>
      <c r="L13837" s="88" t="n">
        <v>201208</v>
      </c>
      <c r="M13837" s="88">
        <f>VLOOKUP($Q13837,매칭테이블!$F:$I,2,0)*K13837</f>
        <v/>
      </c>
      <c r="N13837" s="88">
        <f>M13837-M13837*VLOOKUP($Q13837,매칭테이블!$F:$I,3,0)</f>
        <v/>
      </c>
      <c r="O13837" s="88">
        <f>VLOOKUP($Q13837,매칭테이블!$F:$I,4,0)*K13837</f>
        <v/>
      </c>
      <c r="P13837" s="152">
        <f>M13837/1.1</f>
        <v/>
      </c>
      <c r="Q13837" s="88">
        <f>F13837&amp;E13837&amp;G13837&amp;L13837</f>
        <v/>
      </c>
    </row>
    <row r="13838">
      <c r="B13838" s="128" t="n">
        <v>44213</v>
      </c>
      <c r="C13838" s="88">
        <f>TEXT(B13838,"aaa")</f>
        <v/>
      </c>
      <c r="D13838" s="94" t="n"/>
      <c r="E13838" s="88">
        <f>INDEX(매칭테이블!C:D,MATCH(RD!G13838,매칭테이블!D:D,0),1)</f>
        <v/>
      </c>
      <c r="F13838" s="94" t="inlineStr">
        <is>
          <t>카페24</t>
        </is>
      </c>
      <c r="G13838" s="94" t="inlineStr">
        <is>
          <t>어성초 77 클리어 패드옵션=어성초 77 클리어 패드 2개-30% off (무료배송)</t>
        </is>
      </c>
      <c r="K13838" s="94" t="n">
        <v>1</v>
      </c>
      <c r="L13838" s="88" t="n">
        <v>201208</v>
      </c>
      <c r="M13838" s="88">
        <f>VLOOKUP($Q13838,매칭테이블!$F:$I,2,0)*K13838</f>
        <v/>
      </c>
      <c r="N13838" s="88">
        <f>M13838-M13838*VLOOKUP($Q13838,매칭테이블!$F:$I,3,0)</f>
        <v/>
      </c>
      <c r="O13838" s="88">
        <f>VLOOKUP($Q13838,매칭테이블!$F:$I,4,0)*K13838</f>
        <v/>
      </c>
      <c r="P13838" s="152">
        <f>M13838/1.1</f>
        <v/>
      </c>
      <c r="Q13838" s="88">
        <f>F13838&amp;E13838&amp;G13838&amp;L13838</f>
        <v/>
      </c>
    </row>
    <row r="13839">
      <c r="B13839" s="128" t="n">
        <v>44213</v>
      </c>
      <c r="C13839" s="88">
        <f>TEXT(B13839,"aaa")</f>
        <v/>
      </c>
      <c r="D13839" s="94" t="n"/>
      <c r="E13839" s="88">
        <f>INDEX(매칭테이블!C:D,MATCH(RD!G13839,매칭테이블!D:D,0),1)</f>
        <v/>
      </c>
      <c r="F13839" s="94" t="inlineStr">
        <is>
          <t>카페24</t>
        </is>
      </c>
      <c r="G13839" s="94" t="inlineStr">
        <is>
          <t>어성초 78 수딩 크림</t>
        </is>
      </c>
      <c r="K13839" s="94" t="n">
        <v>9</v>
      </c>
      <c r="L13839" s="88" t="n">
        <v>201208</v>
      </c>
      <c r="M13839" s="88">
        <f>VLOOKUP($Q13839,매칭테이블!$F:$I,2,0)*K13839</f>
        <v/>
      </c>
      <c r="N13839" s="88">
        <f>M13839-M13839*VLOOKUP($Q13839,매칭테이블!$F:$I,3,0)</f>
        <v/>
      </c>
      <c r="O13839" s="88">
        <f>VLOOKUP($Q13839,매칭테이블!$F:$I,4,0)*K13839</f>
        <v/>
      </c>
      <c r="P13839" s="152">
        <f>M13839/1.1</f>
        <v/>
      </c>
      <c r="Q13839" s="88">
        <f>F13839&amp;E13839&amp;G13839&amp;L13839</f>
        <v/>
      </c>
    </row>
    <row r="13840">
      <c r="B13840" s="128" t="n">
        <v>44213</v>
      </c>
      <c r="C13840" s="88">
        <f>TEXT(B13840,"aaa")</f>
        <v/>
      </c>
      <c r="D13840" s="94" t="n"/>
      <c r="E13840" s="88">
        <f>INDEX(매칭테이블!C:D,MATCH(RD!G13840,매칭테이블!D:D,0),1)</f>
        <v/>
      </c>
      <c r="F13840" s="94" t="inlineStr">
        <is>
          <t>카페24</t>
        </is>
      </c>
      <c r="G13840" s="94" t="inlineStr">
        <is>
          <t>어성초 78 수딩 크림</t>
        </is>
      </c>
      <c r="K13840" s="94" t="n">
        <v>4</v>
      </c>
      <c r="L13840" s="88" t="n">
        <v>201208</v>
      </c>
      <c r="M13840" s="88">
        <f>VLOOKUP($Q13840,매칭테이블!$F:$I,2,0)*K13840</f>
        <v/>
      </c>
      <c r="N13840" s="88">
        <f>M13840-M13840*VLOOKUP($Q13840,매칭테이블!$F:$I,3,0)</f>
        <v/>
      </c>
      <c r="O13840" s="88">
        <f>VLOOKUP($Q13840,매칭테이블!$F:$I,4,0)*K13840</f>
        <v/>
      </c>
      <c r="P13840" s="152">
        <f>M13840/1.1</f>
        <v/>
      </c>
      <c r="Q13840" s="88">
        <f>F13840&amp;E13840&amp;G13840&amp;L13840</f>
        <v/>
      </c>
    </row>
    <row r="13841">
      <c r="B13841" s="128" t="n">
        <v>44213</v>
      </c>
      <c r="C13841" s="88">
        <f>TEXT(B13841,"aaa")</f>
        <v/>
      </c>
      <c r="D13841" s="94" t="n"/>
      <c r="E13841" s="88">
        <f>INDEX(매칭테이블!C:D,MATCH(RD!G13841,매칭테이블!D:D,0),1)</f>
        <v/>
      </c>
      <c r="F13841" s="94" t="inlineStr">
        <is>
          <t>카페24</t>
        </is>
      </c>
      <c r="G13841" s="94" t="inlineStr">
        <is>
          <t>어성초 80 수분 진정 앰플앰플=어성초 80 앰플 1개-15%off</t>
        </is>
      </c>
      <c r="K13841" s="94" t="n">
        <v>21</v>
      </c>
      <c r="L13841" s="88" t="n">
        <v>201208</v>
      </c>
      <c r="M13841" s="88">
        <f>VLOOKUP($Q13841,매칭테이블!$F:$I,2,0)*K13841</f>
        <v/>
      </c>
      <c r="N13841" s="88">
        <f>M13841-M13841*VLOOKUP($Q13841,매칭테이블!$F:$I,3,0)</f>
        <v/>
      </c>
      <c r="O13841" s="88">
        <f>VLOOKUP($Q13841,매칭테이블!$F:$I,4,0)*K13841</f>
        <v/>
      </c>
      <c r="P13841" s="152">
        <f>M13841/1.1</f>
        <v/>
      </c>
      <c r="Q13841" s="88">
        <f>F13841&amp;E13841&amp;G13841&amp;L13841</f>
        <v/>
      </c>
    </row>
    <row r="13842">
      <c r="B13842" s="128" t="n">
        <v>44213</v>
      </c>
      <c r="C13842" s="88">
        <f>TEXT(B13842,"aaa")</f>
        <v/>
      </c>
      <c r="D13842" s="94" t="n"/>
      <c r="E13842" s="88">
        <f>INDEX(매칭테이블!C:D,MATCH(RD!G13842,매칭테이블!D:D,0),1)</f>
        <v/>
      </c>
      <c r="F13842" s="94" t="inlineStr">
        <is>
          <t>카페24</t>
        </is>
      </c>
      <c r="G13842" s="94" t="inlineStr">
        <is>
          <t>어성초 80 수분 진정 앰플앰플=어성초 80 앰플 2개-27%off (무료배송)</t>
        </is>
      </c>
      <c r="K13842" s="94" t="n">
        <v>13</v>
      </c>
      <c r="L13842" s="88" t="n">
        <v>201208</v>
      </c>
      <c r="M13842" s="88">
        <f>VLOOKUP($Q13842,매칭테이블!$F:$I,2,0)*K13842</f>
        <v/>
      </c>
      <c r="N13842" s="88">
        <f>M13842-M13842*VLOOKUP($Q13842,매칭테이블!$F:$I,3,0)</f>
        <v/>
      </c>
      <c r="O13842" s="88">
        <f>VLOOKUP($Q13842,매칭테이블!$F:$I,4,0)*K13842</f>
        <v/>
      </c>
      <c r="P13842" s="152">
        <f>M13842/1.1</f>
        <v/>
      </c>
      <c r="Q13842" s="88">
        <f>F13842&amp;E13842&amp;G13842&amp;L13842</f>
        <v/>
      </c>
    </row>
    <row r="13843">
      <c r="B13843" s="128" t="n">
        <v>44213</v>
      </c>
      <c r="C13843" s="88">
        <f>TEXT(B13843,"aaa")</f>
        <v/>
      </c>
      <c r="D13843" s="94" t="n"/>
      <c r="E13843" s="88">
        <f>INDEX(매칭테이블!C:D,MATCH(RD!G13843,매칭테이블!D:D,0),1)</f>
        <v/>
      </c>
      <c r="F13843" s="94" t="inlineStr">
        <is>
          <t>카페24</t>
        </is>
      </c>
      <c r="G13843" s="94" t="inlineStr">
        <is>
          <t>어성초 80 수분 진정 앰플</t>
        </is>
      </c>
      <c r="K13843" s="94" t="n">
        <v>6</v>
      </c>
      <c r="L13843" s="88" t="n">
        <v>201208</v>
      </c>
      <c r="M13843" s="88">
        <f>VLOOKUP($Q13843,매칭테이블!$F:$I,2,0)*K13843</f>
        <v/>
      </c>
      <c r="N13843" s="88">
        <f>M13843-M13843*VLOOKUP($Q13843,매칭테이블!$F:$I,3,0)</f>
        <v/>
      </c>
      <c r="O13843" s="88">
        <f>VLOOKUP($Q13843,매칭테이블!$F:$I,4,0)*K13843</f>
        <v/>
      </c>
      <c r="P13843" s="152">
        <f>M13843/1.1</f>
        <v/>
      </c>
      <c r="Q13843" s="88">
        <f>F13843&amp;E13843&amp;G13843&amp;L13843</f>
        <v/>
      </c>
    </row>
    <row r="13844">
      <c r="B13844" s="128" t="n">
        <v>44213</v>
      </c>
      <c r="C13844" s="88">
        <f>TEXT(B13844,"aaa")</f>
        <v/>
      </c>
      <c r="D13844" s="94" t="n"/>
      <c r="E13844" s="88">
        <f>INDEX(매칭테이블!C:D,MATCH(RD!G13844,매칭테이블!D:D,0),1)</f>
        <v/>
      </c>
      <c r="F13844" s="94" t="inlineStr">
        <is>
          <t>카페24</t>
        </is>
      </c>
      <c r="G13844" s="94" t="inlineStr">
        <is>
          <t>어성초 아크네 바디워시옵션=어성초 아크네 바디워시 1개 -30% off</t>
        </is>
      </c>
      <c r="K13844" s="94" t="n">
        <v>2</v>
      </c>
      <c r="L13844" s="88" t="n">
        <v>201208</v>
      </c>
      <c r="M13844" s="88">
        <f>VLOOKUP($Q13844,매칭테이블!$F:$I,2,0)*K13844</f>
        <v/>
      </c>
      <c r="N13844" s="88">
        <f>M13844-M13844*VLOOKUP($Q13844,매칭테이블!$F:$I,3,0)</f>
        <v/>
      </c>
      <c r="O13844" s="88">
        <f>VLOOKUP($Q13844,매칭테이블!$F:$I,4,0)*K13844</f>
        <v/>
      </c>
      <c r="P13844" s="152">
        <f>M13844/1.1</f>
        <v/>
      </c>
      <c r="Q13844" s="88">
        <f>F13844&amp;E13844&amp;G13844&amp;L13844</f>
        <v/>
      </c>
    </row>
    <row r="13845">
      <c r="B13845" s="128" t="n">
        <v>44213</v>
      </c>
      <c r="C13845" s="88">
        <f>TEXT(B13845,"aaa")</f>
        <v/>
      </c>
      <c r="D13845" s="94" t="n"/>
      <c r="E13845" s="88">
        <f>INDEX(매칭테이블!C:D,MATCH(RD!G13845,매칭테이블!D:D,0),1)</f>
        <v/>
      </c>
      <c r="F13845" s="94" t="inlineStr">
        <is>
          <t>카페24</t>
        </is>
      </c>
      <c r="G13845" s="94" t="inlineStr">
        <is>
          <t>어성초 아크네 바디워시옵션=어성초 아크네 바디워시 2개 -35% off (무료배송)</t>
        </is>
      </c>
      <c r="K13845" s="94" t="n">
        <v>2</v>
      </c>
      <c r="L13845" s="88" t="n">
        <v>201208</v>
      </c>
      <c r="M13845" s="88">
        <f>VLOOKUP($Q13845,매칭테이블!$F:$I,2,0)*K13845</f>
        <v/>
      </c>
      <c r="N13845" s="88">
        <f>M13845-M13845*VLOOKUP($Q13845,매칭테이블!$F:$I,3,0)</f>
        <v/>
      </c>
      <c r="O13845" s="88">
        <f>VLOOKUP($Q13845,매칭테이블!$F:$I,4,0)*K13845</f>
        <v/>
      </c>
      <c r="P13845" s="152">
        <f>M13845/1.1</f>
        <v/>
      </c>
      <c r="Q13845" s="88">
        <f>F13845&amp;E13845&amp;G13845&amp;L13845</f>
        <v/>
      </c>
    </row>
    <row r="13846">
      <c r="B13846" s="128" t="n">
        <v>44213</v>
      </c>
      <c r="C13846" s="88">
        <f>TEXT(B13846,"aaa")</f>
        <v/>
      </c>
      <c r="D13846" s="94" t="n"/>
      <c r="E13846" s="88">
        <f>INDEX(매칭테이블!C:D,MATCH(RD!G13846,매칭테이블!D:D,0),1)</f>
        <v/>
      </c>
      <c r="F13846" s="94" t="inlineStr">
        <is>
          <t>카페24</t>
        </is>
      </c>
      <c r="G13846" s="94" t="inlineStr">
        <is>
          <t>어성초 약산성 클렌징폼클렌징폼=어성초 약산성 클렌징폼 1개 -19%off</t>
        </is>
      </c>
      <c r="K13846" s="94" t="n">
        <v>18</v>
      </c>
      <c r="L13846" s="88" t="n">
        <v>201208</v>
      </c>
      <c r="M13846" s="88">
        <f>VLOOKUP($Q13846,매칭테이블!$F:$I,2,0)*K13846</f>
        <v/>
      </c>
      <c r="N13846" s="88">
        <f>M13846-M13846*VLOOKUP($Q13846,매칭테이블!$F:$I,3,0)</f>
        <v/>
      </c>
      <c r="O13846" s="88">
        <f>VLOOKUP($Q13846,매칭테이블!$F:$I,4,0)*K13846</f>
        <v/>
      </c>
      <c r="P13846" s="152">
        <f>M13846/1.1</f>
        <v/>
      </c>
      <c r="Q13846" s="88">
        <f>F13846&amp;E13846&amp;G13846&amp;L13846</f>
        <v/>
      </c>
    </row>
    <row r="13847">
      <c r="B13847" s="128" t="n">
        <v>44213</v>
      </c>
      <c r="C13847" s="88">
        <f>TEXT(B13847,"aaa")</f>
        <v/>
      </c>
      <c r="D13847" s="94" t="n"/>
      <c r="E13847" s="88">
        <f>INDEX(매칭테이블!C:D,MATCH(RD!G13847,매칭테이블!D:D,0),1)</f>
        <v/>
      </c>
      <c r="F13847" s="94" t="inlineStr">
        <is>
          <t>카페24</t>
        </is>
      </c>
      <c r="G13847" s="94" t="inlineStr">
        <is>
          <t>어성초 약산성 클렌징폼클렌징폼=어성초 약산성 클렌징폼 2개 -25%off</t>
        </is>
      </c>
      <c r="K13847" s="94" t="n">
        <v>7</v>
      </c>
      <c r="L13847" s="88" t="n">
        <v>201208</v>
      </c>
      <c r="M13847" s="88">
        <f>VLOOKUP($Q13847,매칭테이블!$F:$I,2,0)*K13847</f>
        <v/>
      </c>
      <c r="N13847" s="88">
        <f>M13847-M13847*VLOOKUP($Q13847,매칭테이블!$F:$I,3,0)</f>
        <v/>
      </c>
      <c r="O13847" s="88">
        <f>VLOOKUP($Q13847,매칭테이블!$F:$I,4,0)*K13847</f>
        <v/>
      </c>
      <c r="P13847" s="152">
        <f>M13847/1.1</f>
        <v/>
      </c>
      <c r="Q13847" s="88">
        <f>F13847&amp;E13847&amp;G13847&amp;L13847</f>
        <v/>
      </c>
    </row>
    <row r="13848">
      <c r="B13848" s="128" t="n">
        <v>44213</v>
      </c>
      <c r="C13848" s="88">
        <f>TEXT(B13848,"aaa")</f>
        <v/>
      </c>
      <c r="D13848" s="94" t="n"/>
      <c r="E13848" s="88">
        <f>INDEX(매칭테이블!C:D,MATCH(RD!G13848,매칭테이블!D:D,0),1)</f>
        <v/>
      </c>
      <c r="F13848" s="94" t="inlineStr">
        <is>
          <t>카페24</t>
        </is>
      </c>
      <c r="G13848" s="94" t="inlineStr">
        <is>
          <t>어성초 약산성 클렌징폼클렌징폼=어성초 약산성 클렌징폼 3개 -31%off (무료배송)</t>
        </is>
      </c>
      <c r="K13848" s="94" t="n">
        <v>2</v>
      </c>
      <c r="L13848" s="88" t="n">
        <v>201208</v>
      </c>
      <c r="M13848" s="88">
        <f>VLOOKUP($Q13848,매칭테이블!$F:$I,2,0)*K13848</f>
        <v/>
      </c>
      <c r="N13848" s="88">
        <f>M13848-M13848*VLOOKUP($Q13848,매칭테이블!$F:$I,3,0)</f>
        <v/>
      </c>
      <c r="O13848" s="88">
        <f>VLOOKUP($Q13848,매칭테이블!$F:$I,4,0)*K13848</f>
        <v/>
      </c>
      <c r="P13848" s="152">
        <f>M13848/1.1</f>
        <v/>
      </c>
      <c r="Q13848" s="88">
        <f>F13848&amp;E13848&amp;G13848&amp;L13848</f>
        <v/>
      </c>
    </row>
    <row r="13849">
      <c r="B13849" s="128" t="n">
        <v>44213</v>
      </c>
      <c r="C13849" s="88">
        <f>TEXT(B13849,"aaa")</f>
        <v/>
      </c>
      <c r="D13849" s="94" t="n"/>
      <c r="E13849" s="88">
        <f>INDEX(매칭테이블!C:D,MATCH(RD!G13849,매칭테이블!D:D,0),1)</f>
        <v/>
      </c>
      <c r="F13849" s="94" t="inlineStr">
        <is>
          <t>카페24</t>
        </is>
      </c>
      <c r="G13849" s="94" t="inlineStr">
        <is>
          <t>어성초 크림마스크 나이트 솔루션옵션=어성초 크림마스크 나이트 솔루션 1장</t>
        </is>
      </c>
      <c r="K13849" s="94" t="n">
        <v>2</v>
      </c>
      <c r="L13849" s="88" t="n">
        <v>201208</v>
      </c>
      <c r="M13849" s="88">
        <f>VLOOKUP($Q13849,매칭테이블!$F:$I,2,0)*K13849</f>
        <v/>
      </c>
      <c r="N13849" s="88">
        <f>M13849-M13849*VLOOKUP($Q13849,매칭테이블!$F:$I,3,0)</f>
        <v/>
      </c>
      <c r="O13849" s="88">
        <f>VLOOKUP($Q13849,매칭테이블!$F:$I,4,0)*K13849</f>
        <v/>
      </c>
      <c r="P13849" s="152">
        <f>M13849/1.1</f>
        <v/>
      </c>
      <c r="Q13849" s="88">
        <f>F13849&amp;E13849&amp;G13849&amp;L13849</f>
        <v/>
      </c>
    </row>
    <row r="13850">
      <c r="B13850" s="128" t="n">
        <v>44213</v>
      </c>
      <c r="C13850" s="88">
        <f>TEXT(B13850,"aaa")</f>
        <v/>
      </c>
      <c r="D13850" s="94" t="n"/>
      <c r="E13850" s="88">
        <f>INDEX(매칭테이블!C:D,MATCH(RD!G13850,매칭테이블!D:D,0),1)</f>
        <v/>
      </c>
      <c r="F13850" s="94" t="inlineStr">
        <is>
          <t>카페24</t>
        </is>
      </c>
      <c r="G13850" s="94" t="inlineStr">
        <is>
          <t>자작나무 수분 마스크옵션=자작나무 수분 마스크 10장 (50% off)</t>
        </is>
      </c>
      <c r="K13850" s="94" t="n">
        <v>1</v>
      </c>
      <c r="L13850" s="88" t="n">
        <v>201208</v>
      </c>
      <c r="M13850" s="88">
        <f>VLOOKUP($Q13850,매칭테이블!$F:$I,2,0)*K13850</f>
        <v/>
      </c>
      <c r="N13850" s="88">
        <f>M13850-M13850*VLOOKUP($Q13850,매칭테이블!$F:$I,3,0)</f>
        <v/>
      </c>
      <c r="O13850" s="88">
        <f>VLOOKUP($Q13850,매칭테이블!$F:$I,4,0)*K13850</f>
        <v/>
      </c>
      <c r="P13850" s="152">
        <f>M13850/1.1</f>
        <v/>
      </c>
      <c r="Q13850" s="88">
        <f>F13850&amp;E13850&amp;G13850&amp;L13850</f>
        <v/>
      </c>
    </row>
    <row r="13851">
      <c r="B13851" s="128" t="n">
        <v>44213</v>
      </c>
      <c r="C13851" s="88">
        <f>TEXT(B13851,"aaa")</f>
        <v/>
      </c>
      <c r="D13851" s="94" t="n"/>
      <c r="E13851" s="88">
        <f>INDEX(매칭테이블!C:D,MATCH(RD!G13851,매칭테이블!D:D,0),1)</f>
        <v/>
      </c>
      <c r="F13851" s="94" t="inlineStr">
        <is>
          <t>카페24</t>
        </is>
      </c>
      <c r="G13851" s="94" t="inlineStr">
        <is>
          <t>청귤 비타 잡티 마스크옵션=청귤 비타 잡티 마스크 10장 (50% off)</t>
        </is>
      </c>
      <c r="K13851" s="94" t="n">
        <v>4</v>
      </c>
      <c r="L13851" s="88" t="n">
        <v>201208</v>
      </c>
      <c r="M13851" s="88">
        <f>VLOOKUP($Q13851,매칭테이블!$F:$I,2,0)*K13851</f>
        <v/>
      </c>
      <c r="N13851" s="88">
        <f>M13851-M13851*VLOOKUP($Q13851,매칭테이블!$F:$I,3,0)</f>
        <v/>
      </c>
      <c r="O13851" s="88">
        <f>VLOOKUP($Q13851,매칭테이블!$F:$I,4,0)*K13851</f>
        <v/>
      </c>
      <c r="P13851" s="152">
        <f>M13851/1.1</f>
        <v/>
      </c>
      <c r="Q13851" s="88">
        <f>F13851&amp;E13851&amp;G13851&amp;L13851</f>
        <v/>
      </c>
    </row>
    <row r="13852">
      <c r="B13852" s="128" t="n">
        <v>44213</v>
      </c>
      <c r="C13852" s="88">
        <f>TEXT(B13852,"aaa")</f>
        <v/>
      </c>
      <c r="D13852" s="94" t="n"/>
      <c r="E13852" s="88">
        <f>INDEX(매칭테이블!C:D,MATCH(RD!G13852,매칭테이블!D:D,0),1)</f>
        <v/>
      </c>
      <c r="F13852" s="94" t="inlineStr">
        <is>
          <t>카페24</t>
        </is>
      </c>
      <c r="G13852" s="94" t="inlineStr">
        <is>
          <t>촉촉 스킨팩 화장솜</t>
        </is>
      </c>
      <c r="K13852" s="94" t="n">
        <v>15</v>
      </c>
      <c r="L13852" s="88" t="n">
        <v>201208</v>
      </c>
      <c r="M13852" s="88">
        <f>VLOOKUP($Q13852,매칭테이블!$F:$I,2,0)*K13852</f>
        <v/>
      </c>
      <c r="N13852" s="88">
        <f>M13852-M13852*VLOOKUP($Q13852,매칭테이블!$F:$I,3,0)</f>
        <v/>
      </c>
      <c r="O13852" s="88">
        <f>VLOOKUP($Q13852,매칭테이블!$F:$I,4,0)*K13852</f>
        <v/>
      </c>
      <c r="P13852" s="152">
        <f>M13852/1.1</f>
        <v/>
      </c>
      <c r="Q13852" s="88">
        <f>F13852&amp;E13852&amp;G13852&amp;L13852</f>
        <v/>
      </c>
    </row>
    <row r="13853">
      <c r="B13853" s="128" t="n">
        <v>44214</v>
      </c>
      <c r="C13853" s="88">
        <f>TEXT(B13853,"aaa")</f>
        <v/>
      </c>
      <c r="D13853" s="94" t="n"/>
      <c r="E13853" s="88">
        <f>INDEX(매칭테이블!C:D,MATCH(RD!G13853,매칭테이블!D:D,0),1)</f>
        <v/>
      </c>
      <c r="F13853" s="94" t="inlineStr">
        <is>
          <t>W컨셉</t>
        </is>
      </c>
      <c r="G13853" s="94" t="inlineStr">
        <is>
          <t>어성초 77토너 (2 SET) HEARTLEAF 77% SOOTHING TONER 250ml250ml 2set</t>
        </is>
      </c>
      <c r="H13853" s="94" t="n"/>
      <c r="I13853" s="94" t="n"/>
      <c r="J13853" s="94" t="n"/>
      <c r="K13853" s="94" t="n">
        <v>3</v>
      </c>
      <c r="L13853" s="88" t="n">
        <v>201208</v>
      </c>
      <c r="M13853" s="88">
        <f>VLOOKUP($Q13853,매칭테이블!$F:$I,2,0)*K13853</f>
        <v/>
      </c>
      <c r="N13853" s="88">
        <f>M13853-M13853*VLOOKUP($Q13853,매칭테이블!$F:$I,3,0)</f>
        <v/>
      </c>
      <c r="O13853" s="88">
        <f>VLOOKUP($Q13853,매칭테이블!$F:$I,4,0)*K13853</f>
        <v/>
      </c>
      <c r="P13853" s="152">
        <f>M13853/1.1</f>
        <v/>
      </c>
      <c r="Q13853" s="88">
        <f>F13853&amp;E13853&amp;G13853&amp;L13853</f>
        <v/>
      </c>
    </row>
    <row r="13854">
      <c r="B13854" s="128" t="n">
        <v>44214</v>
      </c>
      <c r="C13854" s="88">
        <f>TEXT(B13854,"aaa")</f>
        <v/>
      </c>
      <c r="D13854" s="94" t="n"/>
      <c r="E13854" s="88">
        <f>INDEX(매칭테이블!C:D,MATCH(RD!G13854,매칭테이블!D:D,0),1)</f>
        <v/>
      </c>
      <c r="F13854" s="94" t="inlineStr">
        <is>
          <t>W컨셉</t>
        </is>
      </c>
      <c r="G13854" s="94" t="inlineStr">
        <is>
          <t>어성초 77토너 HEARTLEAF 77% SOOTHING TONER 250ml250ml</t>
        </is>
      </c>
      <c r="K13854" s="94" t="n">
        <v>2</v>
      </c>
      <c r="L13854" s="88" t="n">
        <v>201208</v>
      </c>
      <c r="M13854" s="88">
        <f>VLOOKUP($Q13854,매칭테이블!$F:$I,2,0)*K13854</f>
        <v/>
      </c>
      <c r="N13854" s="88">
        <f>M13854-M13854*VLOOKUP($Q13854,매칭테이블!$F:$I,3,0)</f>
        <v/>
      </c>
      <c r="O13854" s="88">
        <f>VLOOKUP($Q13854,매칭테이블!$F:$I,4,0)*K13854</f>
        <v/>
      </c>
      <c r="P13854" s="152">
        <f>M13854/1.1</f>
        <v/>
      </c>
      <c r="Q13854" s="88">
        <f>F13854&amp;E13854&amp;G13854&amp;L13854</f>
        <v/>
      </c>
    </row>
    <row r="13855">
      <c r="B13855" s="128" t="n">
        <v>44214</v>
      </c>
      <c r="C13855" s="88">
        <f>TEXT(B13855,"aaa")</f>
        <v/>
      </c>
      <c r="D13855" s="94" t="n"/>
      <c r="E13855" s="88">
        <f>INDEX(매칭테이블!C:D,MATCH(RD!G13855,매칭테이블!D:D,0),1)</f>
        <v/>
      </c>
      <c r="F13855" s="94" t="inlineStr">
        <is>
          <t>스타일쉐어</t>
        </is>
      </c>
      <c r="G13855" s="94" t="inlineStr">
        <is>
          <t>아누아 어성초 77 토너 250ml</t>
        </is>
      </c>
      <c r="K13855" s="94" t="n">
        <v>2</v>
      </c>
      <c r="L13855" s="88" t="n">
        <v>201208</v>
      </c>
      <c r="M13855" s="88">
        <f>VLOOKUP($Q13855,매칭테이블!$F:$I,2,0)*K13855</f>
        <v/>
      </c>
      <c r="N13855" s="88">
        <f>M13855-M13855*VLOOKUP($Q13855,매칭테이블!$F:$I,3,0)</f>
        <v/>
      </c>
      <c r="O13855" s="88">
        <f>VLOOKUP($Q13855,매칭테이블!$F:$I,4,0)*K13855</f>
        <v/>
      </c>
      <c r="P13855" s="152">
        <f>M13855/1.1</f>
        <v/>
      </c>
      <c r="Q13855" s="88">
        <f>F13855&amp;E13855&amp;G13855&amp;L13855</f>
        <v/>
      </c>
    </row>
    <row r="13856">
      <c r="B13856" s="128" t="n">
        <v>44214</v>
      </c>
      <c r="C13856" s="88">
        <f>TEXT(B13856,"aaa")</f>
        <v/>
      </c>
      <c r="D13856" s="94" t="n"/>
      <c r="E13856" s="88">
        <f>INDEX(매칭테이블!C:D,MATCH(RD!G13856,매칭테이블!D:D,0),1)</f>
        <v/>
      </c>
      <c r="F13856" s="94" t="inlineStr">
        <is>
          <t>아누아 CS</t>
        </is>
      </c>
      <c r="G13856" s="94" t="inlineStr">
        <is>
          <t>어성초 클리어패드 70P</t>
        </is>
      </c>
      <c r="K13856" s="94" t="n">
        <v>1</v>
      </c>
      <c r="L13856" s="88" t="n">
        <v>201208</v>
      </c>
      <c r="M13856" s="88">
        <f>VLOOKUP($Q13856,매칭테이블!$F:$I,2,0)*K13856</f>
        <v/>
      </c>
      <c r="N13856" s="88">
        <f>M13856-M13856*VLOOKUP($Q13856,매칭테이블!$F:$I,3,0)</f>
        <v/>
      </c>
      <c r="O13856" s="88">
        <f>VLOOKUP($Q13856,매칭테이블!$F:$I,4,0)*K13856</f>
        <v/>
      </c>
      <c r="P13856" s="152">
        <f>M13856/1.1</f>
        <v/>
      </c>
      <c r="Q13856" s="88">
        <f>F13856&amp;E13856&amp;G13856&amp;L13856</f>
        <v/>
      </c>
    </row>
    <row r="13857">
      <c r="B13857" s="128" t="n">
        <v>44214</v>
      </c>
      <c r="C13857" s="88">
        <f>TEXT(B13857,"aaa")</f>
        <v/>
      </c>
      <c r="D13857" s="94" t="n"/>
      <c r="E13857" s="88">
        <f>INDEX(매칭테이블!C:D,MATCH(RD!G13857,매칭테이블!D:D,0),1)</f>
        <v/>
      </c>
      <c r="F13857" s="94" t="inlineStr">
        <is>
          <t>카페24</t>
        </is>
      </c>
      <c r="G13857" s="94" t="inlineStr">
        <is>
          <t>5 제로 무기자차 선크림옵션=5제로 무기자차 선크림 1개-20% off</t>
        </is>
      </c>
      <c r="K13857" s="94" t="n">
        <v>3</v>
      </c>
      <c r="L13857" s="88" t="n">
        <v>201208</v>
      </c>
      <c r="M13857" s="88">
        <f>VLOOKUP($Q13857,매칭테이블!$F:$I,2,0)*K13857</f>
        <v/>
      </c>
      <c r="N13857" s="88">
        <f>M13857-M13857*VLOOKUP($Q13857,매칭테이블!$F:$I,3,0)</f>
        <v/>
      </c>
      <c r="O13857" s="88">
        <f>VLOOKUP($Q13857,매칭테이블!$F:$I,4,0)*K13857</f>
        <v/>
      </c>
      <c r="P13857" s="152">
        <f>M13857/1.1</f>
        <v/>
      </c>
      <c r="Q13857" s="88">
        <f>F13857&amp;E13857&amp;G13857&amp;L13857</f>
        <v/>
      </c>
    </row>
    <row r="13858">
      <c r="B13858" s="128" t="n">
        <v>44214</v>
      </c>
      <c r="C13858" s="88">
        <f>TEXT(B13858,"aaa")</f>
        <v/>
      </c>
      <c r="D13858" s="94" t="n"/>
      <c r="E13858" s="88">
        <f>INDEX(매칭테이블!C:D,MATCH(RD!G13858,매칭테이블!D:D,0),1)</f>
        <v/>
      </c>
      <c r="F13858" s="94" t="inlineStr">
        <is>
          <t>카페24</t>
        </is>
      </c>
      <c r="G13858" s="94" t="inlineStr">
        <is>
          <t>5 제로 무기자차 선크림옵션=5제로 무기자차 선크림 2개-30% off (무료배송)</t>
        </is>
      </c>
      <c r="K13858" s="94" t="n">
        <v>1</v>
      </c>
      <c r="L13858" s="88" t="n">
        <v>201208</v>
      </c>
      <c r="M13858" s="88">
        <f>VLOOKUP($Q13858,매칭테이블!$F:$I,2,0)*K13858</f>
        <v/>
      </c>
      <c r="N13858" s="88">
        <f>M13858-M13858*VLOOKUP($Q13858,매칭테이블!$F:$I,3,0)</f>
        <v/>
      </c>
      <c r="O13858" s="88">
        <f>VLOOKUP($Q13858,매칭테이블!$F:$I,4,0)*K13858</f>
        <v/>
      </c>
      <c r="P13858" s="152">
        <f>M13858/1.1</f>
        <v/>
      </c>
      <c r="Q13858" s="88">
        <f>F13858&amp;E13858&amp;G13858&amp;L13858</f>
        <v/>
      </c>
    </row>
    <row r="13859">
      <c r="B13859" s="128" t="n">
        <v>44214</v>
      </c>
      <c r="C13859" s="88">
        <f>TEXT(B13859,"aaa")</f>
        <v/>
      </c>
      <c r="D13859" s="94" t="n"/>
      <c r="E13859" s="88">
        <f>INDEX(매칭테이블!C:D,MATCH(RD!G13859,매칭테이블!D:D,0),1)</f>
        <v/>
      </c>
      <c r="F13859" s="94" t="inlineStr">
        <is>
          <t>카페24</t>
        </is>
      </c>
      <c r="G13859" s="94" t="inlineStr">
        <is>
          <t>[01/27 순차발송] 어성초 77 클리어 패드옵션=어성초 77 클리어 패드 1개-20% off</t>
        </is>
      </c>
      <c r="K13859" s="94" t="n">
        <v>39</v>
      </c>
      <c r="L13859" s="88" t="n">
        <v>201208</v>
      </c>
      <c r="M13859" s="88">
        <f>VLOOKUP($Q13859,매칭테이블!$F:$I,2,0)*K13859</f>
        <v/>
      </c>
      <c r="N13859" s="88">
        <f>M13859-M13859*VLOOKUP($Q13859,매칭테이블!$F:$I,3,0)</f>
        <v/>
      </c>
      <c r="O13859" s="88">
        <f>VLOOKUP($Q13859,매칭테이블!$F:$I,4,0)*K13859</f>
        <v/>
      </c>
      <c r="P13859" s="152">
        <f>M13859/1.1</f>
        <v/>
      </c>
      <c r="Q13859" s="88">
        <f>F13859&amp;E13859&amp;G13859&amp;L13859</f>
        <v/>
      </c>
    </row>
    <row r="13860">
      <c r="B13860" s="128" t="n">
        <v>44214</v>
      </c>
      <c r="C13860" s="88">
        <f>TEXT(B13860,"aaa")</f>
        <v/>
      </c>
      <c r="D13860" s="94" t="n"/>
      <c r="E13860" s="88">
        <f>INDEX(매칭테이블!C:D,MATCH(RD!G13860,매칭테이블!D:D,0),1)</f>
        <v/>
      </c>
      <c r="F13860" s="94" t="inlineStr">
        <is>
          <t>카페24</t>
        </is>
      </c>
      <c r="G13860" s="94" t="inlineStr">
        <is>
          <t>[01/27 순차발송] 어성초 77 클리어 패드옵션=어성초 77 클리어 패드 2개-30% off (무료배송)</t>
        </is>
      </c>
      <c r="K13860" s="94" t="n">
        <v>27</v>
      </c>
      <c r="L13860" s="88" t="n">
        <v>201208</v>
      </c>
      <c r="M13860" s="88">
        <f>VLOOKUP($Q13860,매칭테이블!$F:$I,2,0)*K13860</f>
        <v/>
      </c>
      <c r="N13860" s="88">
        <f>M13860-M13860*VLOOKUP($Q13860,매칭테이블!$F:$I,3,0)</f>
        <v/>
      </c>
      <c r="O13860" s="88">
        <f>VLOOKUP($Q13860,매칭테이블!$F:$I,4,0)*K13860</f>
        <v/>
      </c>
      <c r="P13860" s="152">
        <f>M13860/1.1</f>
        <v/>
      </c>
      <c r="Q13860" s="88">
        <f>F13860&amp;E13860&amp;G13860&amp;L13860</f>
        <v/>
      </c>
    </row>
    <row r="13861">
      <c r="B13861" s="128" t="n">
        <v>44214</v>
      </c>
      <c r="C13861" s="88">
        <f>TEXT(B13861,"aaa")</f>
        <v/>
      </c>
      <c r="D13861" s="94" t="n"/>
      <c r="E13861" s="88">
        <f>INDEX(매칭테이블!C:D,MATCH(RD!G13861,매칭테이블!D:D,0),1)</f>
        <v/>
      </c>
      <c r="F13861" s="94" t="inlineStr">
        <is>
          <t>카페24</t>
        </is>
      </c>
      <c r="G13861" s="94" t="inlineStr">
        <is>
          <t>[01/27 순차발송] 어성초 77 클리어 패드옵션=어성초 77 클리어 패드 2+1 EVENT (무료배송)</t>
        </is>
      </c>
      <c r="K13861" s="94" t="n">
        <v>24</v>
      </c>
      <c r="L13861" s="88" t="n">
        <v>201208</v>
      </c>
      <c r="M13861" s="88">
        <f>VLOOKUP($Q13861,매칭테이블!$F:$I,2,0)*K13861</f>
        <v/>
      </c>
      <c r="N13861" s="88">
        <f>M13861-M13861*VLOOKUP($Q13861,매칭테이블!$F:$I,3,0)</f>
        <v/>
      </c>
      <c r="O13861" s="88">
        <f>VLOOKUP($Q13861,매칭테이블!$F:$I,4,0)*K13861</f>
        <v/>
      </c>
      <c r="P13861" s="152">
        <f>M13861/1.1</f>
        <v/>
      </c>
      <c r="Q13861" s="88">
        <f>F13861&amp;E13861&amp;G13861&amp;L13861</f>
        <v/>
      </c>
    </row>
    <row r="13862">
      <c r="B13862" s="128" t="n">
        <v>44214</v>
      </c>
      <c r="C13862" s="88">
        <f>TEXT(B13862,"aaa")</f>
        <v/>
      </c>
      <c r="D13862" s="94" t="n"/>
      <c r="E13862" s="88">
        <f>INDEX(매칭테이블!C:D,MATCH(RD!G13862,매칭테이블!D:D,0),1)</f>
        <v/>
      </c>
      <c r="F13862" s="94" t="inlineStr">
        <is>
          <t>카페24</t>
        </is>
      </c>
      <c r="G13862" s="94" t="inlineStr">
        <is>
          <t>[01/27 순차발송] 어성초 77 클리어 패드옵션=어성초77토너1개+어성초77패드1개-30% off (무료배송)</t>
        </is>
      </c>
      <c r="K13862" s="94" t="n">
        <v>10</v>
      </c>
      <c r="L13862" s="88" t="n">
        <v>201208</v>
      </c>
      <c r="M13862" s="88">
        <f>VLOOKUP($Q13862,매칭테이블!$F:$I,2,0)*K13862</f>
        <v/>
      </c>
      <c r="N13862" s="88">
        <f>M13862-M13862*VLOOKUP($Q13862,매칭테이블!$F:$I,3,0)</f>
        <v/>
      </c>
      <c r="O13862" s="88">
        <f>VLOOKUP($Q13862,매칭테이블!$F:$I,4,0)*K13862</f>
        <v/>
      </c>
      <c r="P13862" s="152">
        <f>M13862/1.1</f>
        <v/>
      </c>
      <c r="Q13862" s="88">
        <f>F13862&amp;E13862&amp;G13862&amp;L13862</f>
        <v/>
      </c>
    </row>
    <row r="13863">
      <c r="B13863" s="128" t="n">
        <v>44214</v>
      </c>
      <c r="C13863" s="88">
        <f>TEXT(B13863,"aaa")</f>
        <v/>
      </c>
      <c r="D13863" s="94" t="n"/>
      <c r="E13863" s="88">
        <f>INDEX(매칭테이블!C:D,MATCH(RD!G13863,매칭테이블!D:D,0),1)</f>
        <v/>
      </c>
      <c r="F13863" s="94" t="inlineStr">
        <is>
          <t>카페24</t>
        </is>
      </c>
      <c r="G13863" s="94" t="inlineStr">
        <is>
          <t>[01/27 순차발송] 어성초 77 포어 클리어 패드옵션=어성초 77 클리어 패드 1개-20% off</t>
        </is>
      </c>
      <c r="K13863" s="94" t="n">
        <v>6</v>
      </c>
      <c r="L13863" s="88" t="n">
        <v>201208</v>
      </c>
      <c r="M13863" s="88">
        <f>VLOOKUP($Q13863,매칭테이블!$F:$I,2,0)*K13863</f>
        <v/>
      </c>
      <c r="N13863" s="88">
        <f>M13863-M13863*VLOOKUP($Q13863,매칭테이블!$F:$I,3,0)</f>
        <v/>
      </c>
      <c r="O13863" s="88">
        <f>VLOOKUP($Q13863,매칭테이블!$F:$I,4,0)*K13863</f>
        <v/>
      </c>
      <c r="P13863" s="152">
        <f>M13863/1.1</f>
        <v/>
      </c>
      <c r="Q13863" s="88">
        <f>F13863&amp;E13863&amp;G13863&amp;L13863</f>
        <v/>
      </c>
    </row>
    <row r="13864">
      <c r="B13864" s="128" t="n">
        <v>44214</v>
      </c>
      <c r="C13864" s="88">
        <f>TEXT(B13864,"aaa")</f>
        <v/>
      </c>
      <c r="D13864" s="94" t="n"/>
      <c r="E13864" s="88">
        <f>INDEX(매칭테이블!C:D,MATCH(RD!G13864,매칭테이블!D:D,0),1)</f>
        <v/>
      </c>
      <c r="F13864" s="94" t="inlineStr">
        <is>
          <t>카페24</t>
        </is>
      </c>
      <c r="G13864" s="94" t="inlineStr">
        <is>
          <t>[01/27 순차발송] 어성초 77 포어 클리어 패드옵션=어성초 77 클리어 패드 2개-30% off (무료배송)</t>
        </is>
      </c>
      <c r="K13864" s="94" t="n">
        <v>4</v>
      </c>
      <c r="L13864" s="88" t="n">
        <v>201208</v>
      </c>
      <c r="M13864" s="88">
        <f>VLOOKUP($Q13864,매칭테이블!$F:$I,2,0)*K13864</f>
        <v/>
      </c>
      <c r="N13864" s="88">
        <f>M13864-M13864*VLOOKUP($Q13864,매칭테이블!$F:$I,3,0)</f>
        <v/>
      </c>
      <c r="O13864" s="88">
        <f>VLOOKUP($Q13864,매칭테이블!$F:$I,4,0)*K13864</f>
        <v/>
      </c>
      <c r="P13864" s="152">
        <f>M13864/1.1</f>
        <v/>
      </c>
      <c r="Q13864" s="88">
        <f>F13864&amp;E13864&amp;G13864&amp;L13864</f>
        <v/>
      </c>
    </row>
    <row r="13865">
      <c r="B13865" s="128" t="n">
        <v>44214</v>
      </c>
      <c r="C13865" s="88">
        <f>TEXT(B13865,"aaa")</f>
        <v/>
      </c>
      <c r="D13865" s="94" t="n"/>
      <c r="E13865" s="88">
        <f>INDEX(매칭테이블!C:D,MATCH(RD!G13865,매칭테이블!D:D,0),1)</f>
        <v/>
      </c>
      <c r="F13865" s="94" t="inlineStr">
        <is>
          <t>카페24</t>
        </is>
      </c>
      <c r="G13865" s="94" t="inlineStr">
        <is>
          <t>[01/27 순차발송] 어성초 77 포어 클리어 패드옵션=어성초 77 클리어 패드 2+1 EVENT (무료배송)</t>
        </is>
      </c>
      <c r="K13865" s="94" t="n">
        <v>7</v>
      </c>
      <c r="L13865" s="88" t="n">
        <v>201208</v>
      </c>
      <c r="M13865" s="88">
        <f>VLOOKUP($Q13865,매칭테이블!$F:$I,2,0)*K13865</f>
        <v/>
      </c>
      <c r="N13865" s="88">
        <f>M13865-M13865*VLOOKUP($Q13865,매칭테이블!$F:$I,3,0)</f>
        <v/>
      </c>
      <c r="O13865" s="88">
        <f>VLOOKUP($Q13865,매칭테이블!$F:$I,4,0)*K13865</f>
        <v/>
      </c>
      <c r="P13865" s="152">
        <f>M13865/1.1</f>
        <v/>
      </c>
      <c r="Q13865" s="88">
        <f>F13865&amp;E13865&amp;G13865&amp;L13865</f>
        <v/>
      </c>
    </row>
    <row r="13866">
      <c r="B13866" s="128" t="n">
        <v>44214</v>
      </c>
      <c r="C13866" s="88">
        <f>TEXT(B13866,"aaa")</f>
        <v/>
      </c>
      <c r="D13866" s="94" t="n"/>
      <c r="E13866" s="88">
        <f>INDEX(매칭테이블!C:D,MATCH(RD!G13866,매칭테이블!D:D,0),1)</f>
        <v/>
      </c>
      <c r="F13866" s="94" t="inlineStr">
        <is>
          <t>카페24</t>
        </is>
      </c>
      <c r="G13866" s="94" t="inlineStr">
        <is>
          <t>[01/27 순차발송] 어성초 77 포어 클리어 패드옵션=어성초77토너1개+어성초77패드1개-30% off (무료배송)</t>
        </is>
      </c>
      <c r="K13866" s="94" t="n">
        <v>1</v>
      </c>
      <c r="L13866" s="88" t="n">
        <v>201208</v>
      </c>
      <c r="M13866" s="88">
        <f>VLOOKUP($Q13866,매칭테이블!$F:$I,2,0)*K13866</f>
        <v/>
      </c>
      <c r="N13866" s="88">
        <f>M13866-M13866*VLOOKUP($Q13866,매칭테이블!$F:$I,3,0)</f>
        <v/>
      </c>
      <c r="O13866" s="88">
        <f>VLOOKUP($Q13866,매칭테이블!$F:$I,4,0)*K13866</f>
        <v/>
      </c>
      <c r="P13866" s="152">
        <f>M13866/1.1</f>
        <v/>
      </c>
      <c r="Q13866" s="88">
        <f>F13866&amp;E13866&amp;G13866&amp;L13866</f>
        <v/>
      </c>
    </row>
    <row r="13867">
      <c r="B13867" s="128" t="n">
        <v>44214</v>
      </c>
      <c r="C13867" s="88">
        <f>TEXT(B13867,"aaa")</f>
        <v/>
      </c>
      <c r="D13867" s="94" t="n"/>
      <c r="E13867" s="88">
        <f>INDEX(매칭테이블!C:D,MATCH(RD!G13867,매칭테이블!D:D,0),1)</f>
        <v/>
      </c>
      <c r="F13867" s="94" t="inlineStr">
        <is>
          <t>카페24</t>
        </is>
      </c>
      <c r="G13867" s="94" t="inlineStr">
        <is>
          <t>[01/27 순차발송] 어성초 77% 패드옵션=어성초 77 클리어 패드 1개-20% off</t>
        </is>
      </c>
      <c r="K13867" s="94" t="n">
        <v>21</v>
      </c>
      <c r="L13867" s="88" t="n">
        <v>201208</v>
      </c>
      <c r="M13867" s="88">
        <f>VLOOKUP($Q13867,매칭테이블!$F:$I,2,0)*K13867</f>
        <v/>
      </c>
      <c r="N13867" s="88">
        <f>M13867-M13867*VLOOKUP($Q13867,매칭테이블!$F:$I,3,0)</f>
        <v/>
      </c>
      <c r="O13867" s="88">
        <f>VLOOKUP($Q13867,매칭테이블!$F:$I,4,0)*K13867</f>
        <v/>
      </c>
      <c r="P13867" s="152">
        <f>M13867/1.1</f>
        <v/>
      </c>
      <c r="Q13867" s="88">
        <f>F13867&amp;E13867&amp;G13867&amp;L13867</f>
        <v/>
      </c>
    </row>
    <row r="13868">
      <c r="B13868" s="128" t="n">
        <v>44214</v>
      </c>
      <c r="C13868" s="88">
        <f>TEXT(B13868,"aaa")</f>
        <v/>
      </c>
      <c r="D13868" s="94" t="n"/>
      <c r="E13868" s="88">
        <f>INDEX(매칭테이블!C:D,MATCH(RD!G13868,매칭테이블!D:D,0),1)</f>
        <v/>
      </c>
      <c r="F13868" s="94" t="inlineStr">
        <is>
          <t>카페24</t>
        </is>
      </c>
      <c r="G13868" s="94" t="inlineStr">
        <is>
          <t>[01/27 순차발송] 어성초 77% 패드옵션=어성초 77 클리어 패드 2개-30% off (무료배송)</t>
        </is>
      </c>
      <c r="K13868" s="94" t="n">
        <v>17</v>
      </c>
      <c r="L13868" s="88" t="n">
        <v>201208</v>
      </c>
      <c r="M13868" s="88">
        <f>VLOOKUP($Q13868,매칭테이블!$F:$I,2,0)*K13868</f>
        <v/>
      </c>
      <c r="N13868" s="88">
        <f>M13868-M13868*VLOOKUP($Q13868,매칭테이블!$F:$I,3,0)</f>
        <v/>
      </c>
      <c r="O13868" s="88">
        <f>VLOOKUP($Q13868,매칭테이블!$F:$I,4,0)*K13868</f>
        <v/>
      </c>
      <c r="P13868" s="152">
        <f>M13868/1.1</f>
        <v/>
      </c>
      <c r="Q13868" s="88">
        <f>F13868&amp;E13868&amp;G13868&amp;L13868</f>
        <v/>
      </c>
    </row>
    <row r="13869">
      <c r="B13869" s="128" t="n">
        <v>44214</v>
      </c>
      <c r="C13869" s="88">
        <f>TEXT(B13869,"aaa")</f>
        <v/>
      </c>
      <c r="D13869" s="94" t="n"/>
      <c r="E13869" s="88">
        <f>INDEX(매칭테이블!C:D,MATCH(RD!G13869,매칭테이블!D:D,0),1)</f>
        <v/>
      </c>
      <c r="F13869" s="94" t="inlineStr">
        <is>
          <t>카페24</t>
        </is>
      </c>
      <c r="G13869" s="94" t="inlineStr">
        <is>
          <t>[01/27 순차발송] 어성초 77% 패드옵션=어성초 77 클리어 패드 2+1 EVENT (무료배송)</t>
        </is>
      </c>
      <c r="K13869" s="94" t="n">
        <v>8</v>
      </c>
      <c r="L13869" s="88" t="n">
        <v>201208</v>
      </c>
      <c r="M13869" s="88">
        <f>VLOOKUP($Q13869,매칭테이블!$F:$I,2,0)*K13869</f>
        <v/>
      </c>
      <c r="N13869" s="88">
        <f>M13869-M13869*VLOOKUP($Q13869,매칭테이블!$F:$I,3,0)</f>
        <v/>
      </c>
      <c r="O13869" s="88">
        <f>VLOOKUP($Q13869,매칭테이블!$F:$I,4,0)*K13869</f>
        <v/>
      </c>
      <c r="P13869" s="152">
        <f>M13869/1.1</f>
        <v/>
      </c>
      <c r="Q13869" s="88">
        <f>F13869&amp;E13869&amp;G13869&amp;L13869</f>
        <v/>
      </c>
    </row>
    <row r="13870">
      <c r="B13870" s="128" t="n">
        <v>44214</v>
      </c>
      <c r="C13870" s="88">
        <f>TEXT(B13870,"aaa")</f>
        <v/>
      </c>
      <c r="D13870" s="94" t="n"/>
      <c r="E13870" s="88">
        <f>INDEX(매칭테이블!C:D,MATCH(RD!G13870,매칭테이블!D:D,0),1)</f>
        <v/>
      </c>
      <c r="F13870" s="94" t="inlineStr">
        <is>
          <t>카페24</t>
        </is>
      </c>
      <c r="G13870" s="94" t="inlineStr">
        <is>
          <t>[01/27 순차발송] 어성초 77% 패드옵션=어성초77토너1개+어성초77패드1개-30% off (무료배송)</t>
        </is>
      </c>
      <c r="K13870" s="94" t="n">
        <v>9</v>
      </c>
      <c r="L13870" s="88" t="n">
        <v>201208</v>
      </c>
      <c r="M13870" s="88">
        <f>VLOOKUP($Q13870,매칭테이블!$F:$I,2,0)*K13870</f>
        <v/>
      </c>
      <c r="N13870" s="88">
        <f>M13870-M13870*VLOOKUP($Q13870,매칭테이블!$F:$I,3,0)</f>
        <v/>
      </c>
      <c r="O13870" s="88">
        <f>VLOOKUP($Q13870,매칭테이블!$F:$I,4,0)*K13870</f>
        <v/>
      </c>
      <c r="P13870" s="152">
        <f>M13870/1.1</f>
        <v/>
      </c>
      <c r="Q13870" s="88">
        <f>F13870&amp;E13870&amp;G13870&amp;L13870</f>
        <v/>
      </c>
    </row>
    <row r="13871">
      <c r="B13871" s="128" t="n">
        <v>44214</v>
      </c>
      <c r="C13871" s="88">
        <f>TEXT(B13871,"aaa")</f>
        <v/>
      </c>
      <c r="D13871" s="94" t="n"/>
      <c r="E13871" s="88">
        <f>INDEX(매칭테이블!C:D,MATCH(RD!G13871,매칭테이블!D:D,0),1)</f>
        <v/>
      </c>
      <c r="F13871" s="94" t="inlineStr">
        <is>
          <t>카페24</t>
        </is>
      </c>
      <c r="G13871" s="94" t="inlineStr">
        <is>
          <t>[수분 보충 세트] 어성초 77 토너 + 어성초 70 로션옵션=어성초 77 토너 250ml + 어성초 70 로션 200ml -30%</t>
        </is>
      </c>
      <c r="K13871" s="94" t="n">
        <v>57</v>
      </c>
      <c r="L13871" s="88" t="n">
        <v>201208</v>
      </c>
      <c r="M13871" s="88">
        <f>VLOOKUP($Q13871,매칭테이블!$F:$I,2,0)*K13871</f>
        <v/>
      </c>
      <c r="N13871" s="88">
        <f>M13871-M13871*VLOOKUP($Q13871,매칭테이블!$F:$I,3,0)</f>
        <v/>
      </c>
      <c r="O13871" s="88">
        <f>VLOOKUP($Q13871,매칭테이블!$F:$I,4,0)*K13871</f>
        <v/>
      </c>
      <c r="P13871" s="152">
        <f>M13871/1.1</f>
        <v/>
      </c>
      <c r="Q13871" s="88">
        <f>F13871&amp;E13871&amp;G13871&amp;L13871</f>
        <v/>
      </c>
    </row>
    <row r="13872">
      <c r="B13872" s="128" t="n">
        <v>44214</v>
      </c>
      <c r="C13872" s="88">
        <f>TEXT(B13872,"aaa")</f>
        <v/>
      </c>
      <c r="D13872" s="94" t="n"/>
      <c r="E13872" s="88">
        <f>INDEX(매칭테이블!C:D,MATCH(RD!G13872,매칭테이블!D:D,0),1)</f>
        <v/>
      </c>
      <c r="F13872" s="94" t="inlineStr">
        <is>
          <t>카페24</t>
        </is>
      </c>
      <c r="G13872" s="94" t="inlineStr">
        <is>
          <t>[어성초 진정 패키지 세트] 대용량 토너 + 앰플 + 수딩 크림 + 마스크팩 10장</t>
        </is>
      </c>
      <c r="K13872" s="94" t="n">
        <v>6</v>
      </c>
      <c r="L13872" s="88" t="n">
        <v>201208</v>
      </c>
      <c r="M13872" s="88">
        <f>VLOOKUP($Q13872,매칭테이블!$F:$I,2,0)*K13872</f>
        <v/>
      </c>
      <c r="N13872" s="88">
        <f>M13872-M13872*VLOOKUP($Q13872,매칭테이블!$F:$I,3,0)</f>
        <v/>
      </c>
      <c r="O13872" s="88">
        <f>VLOOKUP($Q13872,매칭테이블!$F:$I,4,0)*K13872</f>
        <v/>
      </c>
      <c r="P13872" s="152">
        <f>M13872/1.1</f>
        <v/>
      </c>
      <c r="Q13872" s="88">
        <f>F13872&amp;E13872&amp;G13872&amp;L13872</f>
        <v/>
      </c>
    </row>
    <row r="13873">
      <c r="B13873" s="128" t="n">
        <v>44214</v>
      </c>
      <c r="C13873" s="88">
        <f>TEXT(B13873,"aaa")</f>
        <v/>
      </c>
      <c r="D13873" s="94" t="n"/>
      <c r="E13873" s="88">
        <f>INDEX(매칭테이블!C:D,MATCH(RD!G13873,매칭테이블!D:D,0),1)</f>
        <v/>
      </c>
      <c r="F13873" s="94" t="inlineStr">
        <is>
          <t>카페24</t>
        </is>
      </c>
      <c r="G13873" s="94" t="inlineStr">
        <is>
          <t>대용량 어성초 77 수딩 토너 500ml옵션=대용량 어성초 77 토너 1개 - 27% OFF</t>
        </is>
      </c>
      <c r="K13873" s="94" t="n">
        <v>45</v>
      </c>
      <c r="L13873" s="88" t="n">
        <v>201208</v>
      </c>
      <c r="M13873" s="88">
        <f>VLOOKUP($Q13873,매칭테이블!$F:$I,2,0)*K13873</f>
        <v/>
      </c>
      <c r="N13873" s="88">
        <f>M13873-M13873*VLOOKUP($Q13873,매칭테이블!$F:$I,3,0)</f>
        <v/>
      </c>
      <c r="O13873" s="88">
        <f>VLOOKUP($Q13873,매칭테이블!$F:$I,4,0)*K13873</f>
        <v/>
      </c>
      <c r="P13873" s="152">
        <f>M13873/1.1</f>
        <v/>
      </c>
      <c r="Q13873" s="88">
        <f>F13873&amp;E13873&amp;G13873&amp;L13873</f>
        <v/>
      </c>
    </row>
    <row r="13874">
      <c r="B13874" s="128" t="n">
        <v>44214</v>
      </c>
      <c r="C13874" s="88">
        <f>TEXT(B13874,"aaa")</f>
        <v/>
      </c>
      <c r="D13874" s="94" t="n"/>
      <c r="E13874" s="88">
        <f>INDEX(매칭테이블!C:D,MATCH(RD!G13874,매칭테이블!D:D,0),1)</f>
        <v/>
      </c>
      <c r="F13874" s="94" t="inlineStr">
        <is>
          <t>카페24</t>
        </is>
      </c>
      <c r="G13874" s="94" t="inlineStr">
        <is>
          <t>대용량 어성초 77 수딩 토너 500ml화장솜(선택)=촉촉 스킨팩 화장솜</t>
        </is>
      </c>
      <c r="K13874" s="94" t="n">
        <v>18</v>
      </c>
      <c r="L13874" s="88" t="n">
        <v>201208</v>
      </c>
      <c r="M13874" s="88">
        <f>VLOOKUP($Q13874,매칭테이블!$F:$I,2,0)*K13874</f>
        <v/>
      </c>
      <c r="N13874" s="88">
        <f>M13874-M13874*VLOOKUP($Q13874,매칭테이블!$F:$I,3,0)</f>
        <v/>
      </c>
      <c r="O13874" s="88">
        <f>VLOOKUP($Q13874,매칭테이블!$F:$I,4,0)*K13874</f>
        <v/>
      </c>
      <c r="P13874" s="152">
        <f>M13874/1.1</f>
        <v/>
      </c>
      <c r="Q13874" s="88">
        <f>F13874&amp;E13874&amp;G13874&amp;L13874</f>
        <v/>
      </c>
    </row>
    <row r="13875">
      <c r="B13875" s="128" t="n">
        <v>44214</v>
      </c>
      <c r="C13875" s="88">
        <f>TEXT(B13875,"aaa")</f>
        <v/>
      </c>
      <c r="D13875" s="94" t="n"/>
      <c r="E13875" s="88">
        <f>INDEX(매칭테이블!C:D,MATCH(RD!G13875,매칭테이블!D:D,0),1)</f>
        <v/>
      </c>
      <c r="F13875" s="94" t="inlineStr">
        <is>
          <t>카페24</t>
        </is>
      </c>
      <c r="G13875" s="94" t="inlineStr">
        <is>
          <t>대용량 어성초 77 토너 500ml</t>
        </is>
      </c>
      <c r="K13875" s="94" t="n">
        <v>2</v>
      </c>
      <c r="L13875" s="88" t="n">
        <v>201208</v>
      </c>
      <c r="M13875" s="88">
        <f>VLOOKUP($Q13875,매칭테이블!$F:$I,2,0)*K13875</f>
        <v/>
      </c>
      <c r="N13875" s="88">
        <f>M13875-M13875*VLOOKUP($Q13875,매칭테이블!$F:$I,3,0)</f>
        <v/>
      </c>
      <c r="O13875" s="88">
        <f>VLOOKUP($Q13875,매칭테이블!$F:$I,4,0)*K13875</f>
        <v/>
      </c>
      <c r="P13875" s="152">
        <f>M13875/1.1</f>
        <v/>
      </c>
      <c r="Q13875" s="88">
        <f>F13875&amp;E13875&amp;G13875&amp;L13875</f>
        <v/>
      </c>
    </row>
    <row r="13876">
      <c r="B13876" s="128" t="n">
        <v>44214</v>
      </c>
      <c r="C13876" s="88">
        <f>TEXT(B13876,"aaa")</f>
        <v/>
      </c>
      <c r="D13876" s="94" t="n"/>
      <c r="E13876" s="88">
        <f>INDEX(매칭테이블!C:D,MATCH(RD!G13876,매칭테이블!D:D,0),1)</f>
        <v/>
      </c>
      <c r="F13876" s="94" t="inlineStr">
        <is>
          <t>카페24</t>
        </is>
      </c>
      <c r="G13876" s="94" t="inlineStr">
        <is>
          <t>어성초 70 데일리 릴리프 로션로션=어성초 70 데일리 릴리프 로션 1개 -20% off</t>
        </is>
      </c>
      <c r="K13876" s="94" t="n">
        <v>13</v>
      </c>
      <c r="L13876" s="88" t="n">
        <v>201208</v>
      </c>
      <c r="M13876" s="88">
        <f>VLOOKUP($Q13876,매칭테이블!$F:$I,2,0)*K13876</f>
        <v/>
      </c>
      <c r="N13876" s="88">
        <f>M13876-M13876*VLOOKUP($Q13876,매칭테이블!$F:$I,3,0)</f>
        <v/>
      </c>
      <c r="O13876" s="88">
        <f>VLOOKUP($Q13876,매칭테이블!$F:$I,4,0)*K13876</f>
        <v/>
      </c>
      <c r="P13876" s="152">
        <f>M13876/1.1</f>
        <v/>
      </c>
      <c r="Q13876" s="88">
        <f>F13876&amp;E13876&amp;G13876&amp;L13876</f>
        <v/>
      </c>
    </row>
    <row r="13877">
      <c r="B13877" s="128" t="n">
        <v>44214</v>
      </c>
      <c r="C13877" s="88">
        <f>TEXT(B13877,"aaa")</f>
        <v/>
      </c>
      <c r="D13877" s="94" t="n"/>
      <c r="E13877" s="88">
        <f>INDEX(매칭테이블!C:D,MATCH(RD!G13877,매칭테이블!D:D,0),1)</f>
        <v/>
      </c>
      <c r="F13877" s="94" t="inlineStr">
        <is>
          <t>카페24</t>
        </is>
      </c>
      <c r="G13877" s="94" t="inlineStr">
        <is>
          <t>어성초 70 데일리 릴리프 로션로션=어성초 70 데일리 릴리프 로션 2개 -30% off</t>
        </is>
      </c>
      <c r="K13877" s="94" t="n">
        <v>2</v>
      </c>
      <c r="L13877" s="88" t="n">
        <v>201208</v>
      </c>
      <c r="M13877" s="88">
        <f>VLOOKUP($Q13877,매칭테이블!$F:$I,2,0)*K13877</f>
        <v/>
      </c>
      <c r="N13877" s="88">
        <f>M13877-M13877*VLOOKUP($Q13877,매칭테이블!$F:$I,3,0)</f>
        <v/>
      </c>
      <c r="O13877" s="88">
        <f>VLOOKUP($Q13877,매칭테이블!$F:$I,4,0)*K13877</f>
        <v/>
      </c>
      <c r="P13877" s="152">
        <f>M13877/1.1</f>
        <v/>
      </c>
      <c r="Q13877" s="88">
        <f>F13877&amp;E13877&amp;G13877&amp;L13877</f>
        <v/>
      </c>
    </row>
    <row r="13878">
      <c r="B13878" s="128" t="n">
        <v>44214</v>
      </c>
      <c r="C13878" s="88">
        <f>TEXT(B13878,"aaa")</f>
        <v/>
      </c>
      <c r="D13878" s="94" t="n"/>
      <c r="E13878" s="88">
        <f>INDEX(매칭테이블!C:D,MATCH(RD!G13878,매칭테이블!D:D,0),1)</f>
        <v/>
      </c>
      <c r="F13878" s="94" t="inlineStr">
        <is>
          <t>카페24</t>
        </is>
      </c>
      <c r="G13878" s="94" t="inlineStr">
        <is>
          <t>어성초 70 데일리 릴리프 로션로션=어성초 77토너 + 어성초 70 로션 수분 보충 세트 -30% off</t>
        </is>
      </c>
      <c r="K13878" s="94" t="n">
        <v>2</v>
      </c>
      <c r="L13878" s="88" t="n">
        <v>201208</v>
      </c>
      <c r="M13878" s="88">
        <f>VLOOKUP($Q13878,매칭테이블!$F:$I,2,0)*K13878</f>
        <v/>
      </c>
      <c r="N13878" s="88">
        <f>M13878-M13878*VLOOKUP($Q13878,매칭테이블!$F:$I,3,0)</f>
        <v/>
      </c>
      <c r="O13878" s="88">
        <f>VLOOKUP($Q13878,매칭테이블!$F:$I,4,0)*K13878</f>
        <v/>
      </c>
      <c r="P13878" s="152">
        <f>M13878/1.1</f>
        <v/>
      </c>
      <c r="Q13878" s="88">
        <f>F13878&amp;E13878&amp;G13878&amp;L13878</f>
        <v/>
      </c>
    </row>
    <row r="13879">
      <c r="B13879" s="128" t="n">
        <v>44214</v>
      </c>
      <c r="C13879" s="88">
        <f>TEXT(B13879,"aaa")</f>
        <v/>
      </c>
      <c r="D13879" s="94" t="n"/>
      <c r="E13879" s="88">
        <f>INDEX(매칭테이블!C:D,MATCH(RD!G13879,매칭테이블!D:D,0),1)</f>
        <v/>
      </c>
      <c r="F13879" s="94" t="inlineStr">
        <is>
          <t>카페24</t>
        </is>
      </c>
      <c r="G13879" s="94" t="inlineStr">
        <is>
          <t>어성초 70 머드 크림 마스크옵션=어성초 70 머드 크림 마스크-20% off</t>
        </is>
      </c>
      <c r="K13879" s="94" t="n">
        <v>2</v>
      </c>
      <c r="L13879" s="88" t="n">
        <v>201208</v>
      </c>
      <c r="M13879" s="88">
        <f>VLOOKUP($Q13879,매칭테이블!$F:$I,2,0)*K13879</f>
        <v/>
      </c>
      <c r="N13879" s="88">
        <f>M13879-M13879*VLOOKUP($Q13879,매칭테이블!$F:$I,3,0)</f>
        <v/>
      </c>
      <c r="O13879" s="88">
        <f>VLOOKUP($Q13879,매칭테이블!$F:$I,4,0)*K13879</f>
        <v/>
      </c>
      <c r="P13879" s="152">
        <f>M13879/1.1</f>
        <v/>
      </c>
      <c r="Q13879" s="88">
        <f>F13879&amp;E13879&amp;G13879&amp;L13879</f>
        <v/>
      </c>
    </row>
    <row r="13880">
      <c r="B13880" s="128" t="n">
        <v>44214</v>
      </c>
      <c r="C13880" s="88">
        <f>TEXT(B13880,"aaa")</f>
        <v/>
      </c>
      <c r="D13880" s="94" t="n"/>
      <c r="E13880" s="88">
        <f>INDEX(매칭테이블!C:D,MATCH(RD!G13880,매칭테이블!D:D,0),1)</f>
        <v/>
      </c>
      <c r="F13880" s="94" t="inlineStr">
        <is>
          <t>카페24</t>
        </is>
      </c>
      <c r="G13880" s="94" t="inlineStr">
        <is>
          <t>어성초 70 인텐스 카밍 크림크림=어성초 70 인텐스 카밍 크림 1개 (-20%)</t>
        </is>
      </c>
      <c r="K13880" s="94" t="n">
        <v>4</v>
      </c>
      <c r="L13880" s="88" t="n">
        <v>201208</v>
      </c>
      <c r="M13880" s="88">
        <f>VLOOKUP($Q13880,매칭테이블!$F:$I,2,0)*K13880</f>
        <v/>
      </c>
      <c r="N13880" s="88">
        <f>M13880-M13880*VLOOKUP($Q13880,매칭테이블!$F:$I,3,0)</f>
        <v/>
      </c>
      <c r="O13880" s="88">
        <f>VLOOKUP($Q13880,매칭테이블!$F:$I,4,0)*K13880</f>
        <v/>
      </c>
      <c r="P13880" s="152">
        <f>M13880/1.1</f>
        <v/>
      </c>
      <c r="Q13880" s="88">
        <f>F13880&amp;E13880&amp;G13880&amp;L13880</f>
        <v/>
      </c>
    </row>
    <row r="13881">
      <c r="B13881" s="128" t="n">
        <v>44214</v>
      </c>
      <c r="C13881" s="88">
        <f>TEXT(B13881,"aaa")</f>
        <v/>
      </c>
      <c r="D13881" s="94" t="n"/>
      <c r="E13881" s="88">
        <f>INDEX(매칭테이블!C:D,MATCH(RD!G13881,매칭테이블!D:D,0),1)</f>
        <v/>
      </c>
      <c r="F13881" s="94" t="inlineStr">
        <is>
          <t>카페24</t>
        </is>
      </c>
      <c r="G13881" s="94" t="inlineStr">
        <is>
          <t>어성초 77 수딩 토너옵션=어성초 77 토너 1개-20% off</t>
        </is>
      </c>
      <c r="K13881" s="94" t="n">
        <v>73</v>
      </c>
      <c r="L13881" s="88" t="n">
        <v>201208</v>
      </c>
      <c r="M13881" s="88">
        <f>VLOOKUP($Q13881,매칭테이블!$F:$I,2,0)*K13881</f>
        <v/>
      </c>
      <c r="N13881" s="88">
        <f>M13881-M13881*VLOOKUP($Q13881,매칭테이블!$F:$I,3,0)</f>
        <v/>
      </c>
      <c r="O13881" s="88">
        <f>VLOOKUP($Q13881,매칭테이블!$F:$I,4,0)*K13881</f>
        <v/>
      </c>
      <c r="P13881" s="152">
        <f>M13881/1.1</f>
        <v/>
      </c>
      <c r="Q13881" s="88">
        <f>F13881&amp;E13881&amp;G13881&amp;L13881</f>
        <v/>
      </c>
    </row>
    <row r="13882">
      <c r="B13882" s="128" t="n">
        <v>44214</v>
      </c>
      <c r="C13882" s="88">
        <f>TEXT(B13882,"aaa")</f>
        <v/>
      </c>
      <c r="D13882" s="94" t="n"/>
      <c r="E13882" s="88">
        <f>INDEX(매칭테이블!C:D,MATCH(RD!G13882,매칭테이블!D:D,0),1)</f>
        <v/>
      </c>
      <c r="F13882" s="94" t="inlineStr">
        <is>
          <t>카페24</t>
        </is>
      </c>
      <c r="G13882" s="94" t="inlineStr">
        <is>
          <t>어성초 77 수딩 토너옵션=</t>
        </is>
      </c>
      <c r="K13882" s="94" t="n">
        <v>36</v>
      </c>
      <c r="L13882" s="88" t="n">
        <v>201208</v>
      </c>
      <c r="M13882" s="88">
        <f>VLOOKUP($Q13882,매칭테이블!$F:$I,2,0)*K13882</f>
        <v/>
      </c>
      <c r="N13882" s="88">
        <f>M13882-M13882*VLOOKUP($Q13882,매칭테이블!$F:$I,3,0)</f>
        <v/>
      </c>
      <c r="O13882" s="88">
        <f>VLOOKUP($Q13882,매칭테이블!$F:$I,4,0)*K13882</f>
        <v/>
      </c>
      <c r="P13882" s="152">
        <f>M13882/1.1</f>
        <v/>
      </c>
      <c r="Q13882" s="88">
        <f>F13882&amp;E13882&amp;G13882&amp;L13882</f>
        <v/>
      </c>
    </row>
    <row r="13883">
      <c r="B13883" s="128" t="n">
        <v>44214</v>
      </c>
      <c r="C13883" s="88">
        <f>TEXT(B13883,"aaa")</f>
        <v/>
      </c>
      <c r="D13883" s="94" t="n"/>
      <c r="E13883" s="88">
        <f>INDEX(매칭테이블!C:D,MATCH(RD!G13883,매칭테이블!D:D,0),1)</f>
        <v/>
      </c>
      <c r="F13883" s="94" t="inlineStr">
        <is>
          <t>카페24</t>
        </is>
      </c>
      <c r="G13883" s="94" t="inlineStr">
        <is>
          <t>어성초 77 수딩 토너옵션=BEST어성초 77 토너 2개-30% off (무료배송)</t>
        </is>
      </c>
      <c r="K13883" s="94" t="n">
        <v>48</v>
      </c>
      <c r="L13883" s="88" t="n">
        <v>201208</v>
      </c>
      <c r="M13883" s="88">
        <f>VLOOKUP($Q13883,매칭테이블!$F:$I,2,0)*K13883</f>
        <v/>
      </c>
      <c r="N13883" s="88">
        <f>M13883-M13883*VLOOKUP($Q13883,매칭테이블!$F:$I,3,0)</f>
        <v/>
      </c>
      <c r="O13883" s="88">
        <f>VLOOKUP($Q13883,매칭테이블!$F:$I,4,0)*K13883</f>
        <v/>
      </c>
      <c r="P13883" s="152">
        <f>M13883/1.1</f>
        <v/>
      </c>
      <c r="Q13883" s="88">
        <f>F13883&amp;E13883&amp;G13883&amp;L13883</f>
        <v/>
      </c>
    </row>
    <row r="13884">
      <c r="B13884" s="128" t="n">
        <v>44214</v>
      </c>
      <c r="C13884" s="88">
        <f>TEXT(B13884,"aaa")</f>
        <v/>
      </c>
      <c r="D13884" s="94" t="n"/>
      <c r="E13884" s="88">
        <f>INDEX(매칭테이블!C:D,MATCH(RD!G13884,매칭테이블!D:D,0),1)</f>
        <v/>
      </c>
      <c r="F13884" s="94" t="inlineStr">
        <is>
          <t>카페24</t>
        </is>
      </c>
      <c r="G13884" s="94" t="inlineStr">
        <is>
          <t>어성초 77 수딩 토너옵션=어성초 77 토너 2개-30% off (무료배송)</t>
        </is>
      </c>
      <c r="K13884" s="94" t="n">
        <v>1</v>
      </c>
      <c r="L13884" s="88" t="n">
        <v>201208</v>
      </c>
      <c r="M13884" s="88">
        <f>VLOOKUP($Q13884,매칭테이블!$F:$I,2,0)*K13884</f>
        <v/>
      </c>
      <c r="N13884" s="88">
        <f>M13884-M13884*VLOOKUP($Q13884,매칭테이블!$F:$I,3,0)</f>
        <v/>
      </c>
      <c r="O13884" s="88">
        <f>VLOOKUP($Q13884,매칭테이블!$F:$I,4,0)*K13884</f>
        <v/>
      </c>
      <c r="P13884" s="152">
        <f>M13884/1.1</f>
        <v/>
      </c>
      <c r="Q13884" s="88">
        <f>F13884&amp;E13884&amp;G13884&amp;L13884</f>
        <v/>
      </c>
    </row>
    <row r="13885">
      <c r="B13885" s="128" t="n">
        <v>44214</v>
      </c>
      <c r="C13885" s="88">
        <f>TEXT(B13885,"aaa")</f>
        <v/>
      </c>
      <c r="D13885" s="94" t="n"/>
      <c r="E13885" s="88">
        <f>INDEX(매칭테이블!C:D,MATCH(RD!G13885,매칭테이블!D:D,0),1)</f>
        <v/>
      </c>
      <c r="F13885" s="94" t="inlineStr">
        <is>
          <t>카페24</t>
        </is>
      </c>
      <c r="G13885" s="94" t="inlineStr">
        <is>
          <t>어성초 77 수딩 토너옵션=어성초 77토너1개 + 어성초77패드1개 -30% off (무료배송)</t>
        </is>
      </c>
      <c r="K13885" s="94" t="n">
        <v>47</v>
      </c>
      <c r="L13885" s="88" t="n">
        <v>201208</v>
      </c>
      <c r="M13885" s="88">
        <f>VLOOKUP($Q13885,매칭테이블!$F:$I,2,0)*K13885</f>
        <v/>
      </c>
      <c r="N13885" s="88">
        <f>M13885-M13885*VLOOKUP($Q13885,매칭테이블!$F:$I,3,0)</f>
        <v/>
      </c>
      <c r="O13885" s="88">
        <f>VLOOKUP($Q13885,매칭테이블!$F:$I,4,0)*K13885</f>
        <v/>
      </c>
      <c r="P13885" s="152">
        <f>M13885/1.1</f>
        <v/>
      </c>
      <c r="Q13885" s="88">
        <f>F13885&amp;E13885&amp;G13885&amp;L13885</f>
        <v/>
      </c>
    </row>
    <row r="13886">
      <c r="B13886" s="128" t="n">
        <v>44214</v>
      </c>
      <c r="C13886" s="88">
        <f>TEXT(B13886,"aaa")</f>
        <v/>
      </c>
      <c r="D13886" s="94" t="n"/>
      <c r="E13886" s="88">
        <f>INDEX(매칭테이블!C:D,MATCH(RD!G13886,매칭테이블!D:D,0),1)</f>
        <v/>
      </c>
      <c r="F13886" s="94" t="inlineStr">
        <is>
          <t>카페24</t>
        </is>
      </c>
      <c r="G13886" s="94" t="inlineStr">
        <is>
          <t>어성초 77 수딩 토너화장솜(선택)=촉촉 스킨팩 화장솜</t>
        </is>
      </c>
      <c r="K13886" s="94" t="n">
        <v>54</v>
      </c>
      <c r="L13886" s="88" t="n">
        <v>201208</v>
      </c>
      <c r="M13886" s="88">
        <f>VLOOKUP($Q13886,매칭테이블!$F:$I,2,0)*K13886</f>
        <v/>
      </c>
      <c r="N13886" s="88">
        <f>M13886-M13886*VLOOKUP($Q13886,매칭테이블!$F:$I,3,0)</f>
        <v/>
      </c>
      <c r="O13886" s="88">
        <f>VLOOKUP($Q13886,매칭테이블!$F:$I,4,0)*K13886</f>
        <v/>
      </c>
      <c r="P13886" s="152">
        <f>M13886/1.1</f>
        <v/>
      </c>
      <c r="Q13886" s="88">
        <f>F13886&amp;E13886&amp;G13886&amp;L13886</f>
        <v/>
      </c>
    </row>
    <row r="13887">
      <c r="B13887" s="128" t="n">
        <v>44214</v>
      </c>
      <c r="C13887" s="88">
        <f>TEXT(B13887,"aaa")</f>
        <v/>
      </c>
      <c r="D13887" s="94" t="n"/>
      <c r="E13887" s="88">
        <f>INDEX(매칭테이블!C:D,MATCH(RD!G13887,매칭테이블!D:D,0),1)</f>
        <v/>
      </c>
      <c r="F13887" s="94" t="inlineStr">
        <is>
          <t>카페24</t>
        </is>
      </c>
      <c r="G13887" s="94" t="inlineStr">
        <is>
          <t>어성초 77 수딩 토너토너(필수)=어성초 77 토너 1개-20% off</t>
        </is>
      </c>
      <c r="K13887" s="94" t="n">
        <v>1</v>
      </c>
      <c r="L13887" s="88" t="n">
        <v>201208</v>
      </c>
      <c r="M13887" s="88">
        <f>VLOOKUP($Q13887,매칭테이블!$F:$I,2,0)*K13887</f>
        <v/>
      </c>
      <c r="N13887" s="88">
        <f>M13887-M13887*VLOOKUP($Q13887,매칭테이블!$F:$I,3,0)</f>
        <v/>
      </c>
      <c r="O13887" s="88">
        <f>VLOOKUP($Q13887,매칭테이블!$F:$I,4,0)*K13887</f>
        <v/>
      </c>
      <c r="P13887" s="152">
        <f>M13887/1.1</f>
        <v/>
      </c>
      <c r="Q13887" s="88">
        <f>F13887&amp;E13887&amp;G13887&amp;L13887</f>
        <v/>
      </c>
    </row>
    <row r="13888">
      <c r="B13888" s="128" t="n">
        <v>44214</v>
      </c>
      <c r="C13888" s="88">
        <f>TEXT(B13888,"aaa")</f>
        <v/>
      </c>
      <c r="D13888" s="94" t="n"/>
      <c r="E13888" s="88">
        <f>INDEX(매칭테이블!C:D,MATCH(RD!G13888,매칭테이블!D:D,0),1)</f>
        <v/>
      </c>
      <c r="F13888" s="94" t="inlineStr">
        <is>
          <t>카페24</t>
        </is>
      </c>
      <c r="G13888" s="94" t="inlineStr">
        <is>
          <t>어성초 77 진정 마스크옵션=어성초 77 진정 마스크팩 10장-50% off</t>
        </is>
      </c>
      <c r="K13888" s="94" t="n">
        <v>12</v>
      </c>
      <c r="L13888" s="88" t="n">
        <v>201208</v>
      </c>
      <c r="M13888" s="88">
        <f>VLOOKUP($Q13888,매칭테이블!$F:$I,2,0)*K13888</f>
        <v/>
      </c>
      <c r="N13888" s="88">
        <f>M13888-M13888*VLOOKUP($Q13888,매칭테이블!$F:$I,3,0)</f>
        <v/>
      </c>
      <c r="O13888" s="88">
        <f>VLOOKUP($Q13888,매칭테이블!$F:$I,4,0)*K13888</f>
        <v/>
      </c>
      <c r="P13888" s="152">
        <f>M13888/1.1</f>
        <v/>
      </c>
      <c r="Q13888" s="88">
        <f>F13888&amp;E13888&amp;G13888&amp;L13888</f>
        <v/>
      </c>
    </row>
    <row r="13889">
      <c r="B13889" s="128" t="n">
        <v>44214</v>
      </c>
      <c r="C13889" s="88">
        <f>TEXT(B13889,"aaa")</f>
        <v/>
      </c>
      <c r="D13889" s="94" t="n"/>
      <c r="E13889" s="88">
        <f>INDEX(매칭테이블!C:D,MATCH(RD!G13889,매칭테이블!D:D,0),1)</f>
        <v/>
      </c>
      <c r="F13889" s="94" t="inlineStr">
        <is>
          <t>카페24</t>
        </is>
      </c>
      <c r="G13889" s="94" t="inlineStr">
        <is>
          <t>어성초 77 클리어 패드옵션=어성초 77 클리어 패드 1개-20% off</t>
        </is>
      </c>
      <c r="K13889" s="94" t="n">
        <v>1</v>
      </c>
      <c r="L13889" s="88" t="n">
        <v>201208</v>
      </c>
      <c r="M13889" s="88">
        <f>VLOOKUP($Q13889,매칭테이블!$F:$I,2,0)*K13889</f>
        <v/>
      </c>
      <c r="N13889" s="88">
        <f>M13889-M13889*VLOOKUP($Q13889,매칭테이블!$F:$I,3,0)</f>
        <v/>
      </c>
      <c r="O13889" s="88">
        <f>VLOOKUP($Q13889,매칭테이블!$F:$I,4,0)*K13889</f>
        <v/>
      </c>
      <c r="P13889" s="152">
        <f>M13889/1.1</f>
        <v/>
      </c>
      <c r="Q13889" s="88">
        <f>F13889&amp;E13889&amp;G13889&amp;L13889</f>
        <v/>
      </c>
    </row>
    <row r="13890">
      <c r="B13890" s="128" t="n">
        <v>44214</v>
      </c>
      <c r="C13890" s="88">
        <f>TEXT(B13890,"aaa")</f>
        <v/>
      </c>
      <c r="D13890" s="94" t="n"/>
      <c r="E13890" s="88">
        <f>INDEX(매칭테이블!C:D,MATCH(RD!G13890,매칭테이블!D:D,0),1)</f>
        <v/>
      </c>
      <c r="F13890" s="94" t="inlineStr">
        <is>
          <t>카페24</t>
        </is>
      </c>
      <c r="G13890" s="94" t="inlineStr">
        <is>
          <t>어성초 77 토너</t>
        </is>
      </c>
      <c r="K13890" s="94" t="n">
        <v>1</v>
      </c>
      <c r="L13890" s="88" t="n">
        <v>201208</v>
      </c>
      <c r="M13890" s="88">
        <f>VLOOKUP($Q13890,매칭테이블!$F:$I,2,0)*K13890</f>
        <v/>
      </c>
      <c r="N13890" s="88">
        <f>M13890-M13890*VLOOKUP($Q13890,매칭테이블!$F:$I,3,0)</f>
        <v/>
      </c>
      <c r="O13890" s="88">
        <f>VLOOKUP($Q13890,매칭테이블!$F:$I,4,0)*K13890</f>
        <v/>
      </c>
      <c r="P13890" s="152">
        <f>M13890/1.1</f>
        <v/>
      </c>
      <c r="Q13890" s="88">
        <f>F13890&amp;E13890&amp;G13890&amp;L13890</f>
        <v/>
      </c>
    </row>
    <row r="13891">
      <c r="B13891" s="128" t="n">
        <v>44214</v>
      </c>
      <c r="C13891" s="88">
        <f>TEXT(B13891,"aaa")</f>
        <v/>
      </c>
      <c r="D13891" s="94" t="n"/>
      <c r="E13891" s="88">
        <f>INDEX(매칭테이블!C:D,MATCH(RD!G13891,매칭테이블!D:D,0),1)</f>
        <v/>
      </c>
      <c r="F13891" s="94" t="inlineStr">
        <is>
          <t>카페24</t>
        </is>
      </c>
      <c r="G13891" s="94" t="inlineStr">
        <is>
          <t>어성초 78 수딩 크림</t>
        </is>
      </c>
      <c r="K13891" s="94" t="n">
        <v>10</v>
      </c>
      <c r="L13891" s="88" t="n">
        <v>201208</v>
      </c>
      <c r="M13891" s="88">
        <f>VLOOKUP($Q13891,매칭테이블!$F:$I,2,0)*K13891</f>
        <v/>
      </c>
      <c r="N13891" s="88">
        <f>M13891-M13891*VLOOKUP($Q13891,매칭테이블!$F:$I,3,0)</f>
        <v/>
      </c>
      <c r="O13891" s="88">
        <f>VLOOKUP($Q13891,매칭테이블!$F:$I,4,0)*K13891</f>
        <v/>
      </c>
      <c r="P13891" s="152">
        <f>M13891/1.1</f>
        <v/>
      </c>
      <c r="Q13891" s="88">
        <f>F13891&amp;E13891&amp;G13891&amp;L13891</f>
        <v/>
      </c>
    </row>
    <row r="13892">
      <c r="B13892" s="128" t="n">
        <v>44214</v>
      </c>
      <c r="C13892" s="88">
        <f>TEXT(B13892,"aaa")</f>
        <v/>
      </c>
      <c r="D13892" s="94" t="n"/>
      <c r="E13892" s="88">
        <f>INDEX(매칭테이블!C:D,MATCH(RD!G13892,매칭테이블!D:D,0),1)</f>
        <v/>
      </c>
      <c r="F13892" s="94" t="inlineStr">
        <is>
          <t>카페24</t>
        </is>
      </c>
      <c r="G13892" s="94" t="inlineStr">
        <is>
          <t>어성초 78 수딩 크림</t>
        </is>
      </c>
      <c r="K13892" s="94" t="n">
        <v>5</v>
      </c>
      <c r="L13892" s="88" t="n">
        <v>201208</v>
      </c>
      <c r="M13892" s="88">
        <f>VLOOKUP($Q13892,매칭테이블!$F:$I,2,0)*K13892</f>
        <v/>
      </c>
      <c r="N13892" s="88">
        <f>M13892-M13892*VLOOKUP($Q13892,매칭테이블!$F:$I,3,0)</f>
        <v/>
      </c>
      <c r="O13892" s="88">
        <f>VLOOKUP($Q13892,매칭테이블!$F:$I,4,0)*K13892</f>
        <v/>
      </c>
      <c r="P13892" s="152">
        <f>M13892/1.1</f>
        <v/>
      </c>
      <c r="Q13892" s="88">
        <f>F13892&amp;E13892&amp;G13892&amp;L13892</f>
        <v/>
      </c>
    </row>
    <row r="13893">
      <c r="B13893" s="128" t="n">
        <v>44214</v>
      </c>
      <c r="C13893" s="88">
        <f>TEXT(B13893,"aaa")</f>
        <v/>
      </c>
      <c r="D13893" s="94" t="n"/>
      <c r="E13893" s="88">
        <f>INDEX(매칭테이블!C:D,MATCH(RD!G13893,매칭테이블!D:D,0),1)</f>
        <v/>
      </c>
      <c r="F13893" s="94" t="inlineStr">
        <is>
          <t>카페24</t>
        </is>
      </c>
      <c r="G13893" s="94" t="inlineStr">
        <is>
          <t>어성초 80 수분 진정 앰플앰플=어성초 80 앰플 1개-15%off</t>
        </is>
      </c>
      <c r="K13893" s="94" t="n">
        <v>17</v>
      </c>
      <c r="L13893" s="88" t="n">
        <v>201208</v>
      </c>
      <c r="M13893" s="88">
        <f>VLOOKUP($Q13893,매칭테이블!$F:$I,2,0)*K13893</f>
        <v/>
      </c>
      <c r="N13893" s="88">
        <f>M13893-M13893*VLOOKUP($Q13893,매칭테이블!$F:$I,3,0)</f>
        <v/>
      </c>
      <c r="O13893" s="88">
        <f>VLOOKUP($Q13893,매칭테이블!$F:$I,4,0)*K13893</f>
        <v/>
      </c>
      <c r="P13893" s="152">
        <f>M13893/1.1</f>
        <v/>
      </c>
      <c r="Q13893" s="88">
        <f>F13893&amp;E13893&amp;G13893&amp;L13893</f>
        <v/>
      </c>
    </row>
    <row r="13894">
      <c r="B13894" s="128" t="n">
        <v>44214</v>
      </c>
      <c r="C13894" s="88">
        <f>TEXT(B13894,"aaa")</f>
        <v/>
      </c>
      <c r="D13894" s="94" t="n"/>
      <c r="E13894" s="88">
        <f>INDEX(매칭테이블!C:D,MATCH(RD!G13894,매칭테이블!D:D,0),1)</f>
        <v/>
      </c>
      <c r="F13894" s="94" t="inlineStr">
        <is>
          <t>카페24</t>
        </is>
      </c>
      <c r="G13894" s="94" t="inlineStr">
        <is>
          <t>어성초 80 수분 진정 앰플앰플=어성초 80 앰플 2개-27%off (무료배송)</t>
        </is>
      </c>
      <c r="K13894" s="94" t="n">
        <v>4</v>
      </c>
      <c r="L13894" s="88" t="n">
        <v>201208</v>
      </c>
      <c r="M13894" s="88">
        <f>VLOOKUP($Q13894,매칭테이블!$F:$I,2,0)*K13894</f>
        <v/>
      </c>
      <c r="N13894" s="88">
        <f>M13894-M13894*VLOOKUP($Q13894,매칭테이블!$F:$I,3,0)</f>
        <v/>
      </c>
      <c r="O13894" s="88">
        <f>VLOOKUP($Q13894,매칭테이블!$F:$I,4,0)*K13894</f>
        <v/>
      </c>
      <c r="P13894" s="152">
        <f>M13894/1.1</f>
        <v/>
      </c>
      <c r="Q13894" s="88">
        <f>F13894&amp;E13894&amp;G13894&amp;L13894</f>
        <v/>
      </c>
    </row>
    <row r="13895">
      <c r="B13895" s="128" t="n">
        <v>44214</v>
      </c>
      <c r="C13895" s="88">
        <f>TEXT(B13895,"aaa")</f>
        <v/>
      </c>
      <c r="D13895" s="94" t="n"/>
      <c r="E13895" s="88">
        <f>INDEX(매칭테이블!C:D,MATCH(RD!G13895,매칭테이블!D:D,0),1)</f>
        <v/>
      </c>
      <c r="F13895" s="94" t="inlineStr">
        <is>
          <t>카페24</t>
        </is>
      </c>
      <c r="G13895" s="94" t="inlineStr">
        <is>
          <t>어성초 80 수분 진정 앰플</t>
        </is>
      </c>
      <c r="K13895" s="94" t="n">
        <v>13</v>
      </c>
      <c r="L13895" s="88" t="n">
        <v>201208</v>
      </c>
      <c r="M13895" s="88">
        <f>VLOOKUP($Q13895,매칭테이블!$F:$I,2,0)*K13895</f>
        <v/>
      </c>
      <c r="N13895" s="88">
        <f>M13895-M13895*VLOOKUP($Q13895,매칭테이블!$F:$I,3,0)</f>
        <v/>
      </c>
      <c r="O13895" s="88">
        <f>VLOOKUP($Q13895,매칭테이블!$F:$I,4,0)*K13895</f>
        <v/>
      </c>
      <c r="P13895" s="152">
        <f>M13895/1.1</f>
        <v/>
      </c>
      <c r="Q13895" s="88">
        <f>F13895&amp;E13895&amp;G13895&amp;L13895</f>
        <v/>
      </c>
    </row>
    <row r="13896">
      <c r="B13896" s="128" t="n">
        <v>44214</v>
      </c>
      <c r="C13896" s="88">
        <f>TEXT(B13896,"aaa")</f>
        <v/>
      </c>
      <c r="D13896" s="94" t="n"/>
      <c r="E13896" s="88">
        <f>INDEX(매칭테이블!C:D,MATCH(RD!G13896,매칭테이블!D:D,0),1)</f>
        <v/>
      </c>
      <c r="F13896" s="94" t="inlineStr">
        <is>
          <t>카페24</t>
        </is>
      </c>
      <c r="G13896" s="94" t="inlineStr">
        <is>
          <t>어성초 아크네 바디워시옵션=어성초 아크네 바디워시 1개 -30% off</t>
        </is>
      </c>
      <c r="K13896" s="94" t="n">
        <v>3</v>
      </c>
      <c r="L13896" s="88" t="n">
        <v>201208</v>
      </c>
      <c r="M13896" s="88">
        <f>VLOOKUP($Q13896,매칭테이블!$F:$I,2,0)*K13896</f>
        <v/>
      </c>
      <c r="N13896" s="88">
        <f>M13896-M13896*VLOOKUP($Q13896,매칭테이블!$F:$I,3,0)</f>
        <v/>
      </c>
      <c r="O13896" s="88">
        <f>VLOOKUP($Q13896,매칭테이블!$F:$I,4,0)*K13896</f>
        <v/>
      </c>
      <c r="P13896" s="152">
        <f>M13896/1.1</f>
        <v/>
      </c>
      <c r="Q13896" s="88">
        <f>F13896&amp;E13896&amp;G13896&amp;L13896</f>
        <v/>
      </c>
    </row>
    <row r="13897">
      <c r="B13897" s="128" t="n">
        <v>44214</v>
      </c>
      <c r="C13897" s="88">
        <f>TEXT(B13897,"aaa")</f>
        <v/>
      </c>
      <c r="D13897" s="94" t="n"/>
      <c r="E13897" s="88">
        <f>INDEX(매칭테이블!C:D,MATCH(RD!G13897,매칭테이블!D:D,0),1)</f>
        <v/>
      </c>
      <c r="F13897" s="94" t="inlineStr">
        <is>
          <t>카페24</t>
        </is>
      </c>
      <c r="G13897" s="94" t="inlineStr">
        <is>
          <t>어성초 아크네 바디워시옵션=어성초 아크네 바디워시 2개 -35% off (무료배송)</t>
        </is>
      </c>
      <c r="K13897" s="94" t="n">
        <v>1</v>
      </c>
      <c r="L13897" s="88" t="n">
        <v>201208</v>
      </c>
      <c r="M13897" s="88">
        <f>VLOOKUP($Q13897,매칭테이블!$F:$I,2,0)*K13897</f>
        <v/>
      </c>
      <c r="N13897" s="88">
        <f>M13897-M13897*VLOOKUP($Q13897,매칭테이블!$F:$I,3,0)</f>
        <v/>
      </c>
      <c r="O13897" s="88">
        <f>VLOOKUP($Q13897,매칭테이블!$F:$I,4,0)*K13897</f>
        <v/>
      </c>
      <c r="P13897" s="152">
        <f>M13897/1.1</f>
        <v/>
      </c>
      <c r="Q13897" s="88">
        <f>F13897&amp;E13897&amp;G13897&amp;L13897</f>
        <v/>
      </c>
    </row>
    <row r="13898">
      <c r="B13898" s="128" t="n">
        <v>44214</v>
      </c>
      <c r="C13898" s="88">
        <f>TEXT(B13898,"aaa")</f>
        <v/>
      </c>
      <c r="D13898" s="94" t="n"/>
      <c r="E13898" s="88">
        <f>INDEX(매칭테이블!C:D,MATCH(RD!G13898,매칭테이블!D:D,0),1)</f>
        <v/>
      </c>
      <c r="F13898" s="94" t="inlineStr">
        <is>
          <t>카페24</t>
        </is>
      </c>
      <c r="G13898" s="94" t="inlineStr">
        <is>
          <t>어성초 약산성 클렌징폼클렌징폼=어성초 약산성 클렌징폼 1개 -19%off</t>
        </is>
      </c>
      <c r="K13898" s="94" t="n">
        <v>24</v>
      </c>
      <c r="L13898" s="88" t="n">
        <v>201208</v>
      </c>
      <c r="M13898" s="88">
        <f>VLOOKUP($Q13898,매칭테이블!$F:$I,2,0)*K13898</f>
        <v/>
      </c>
      <c r="N13898" s="88">
        <f>M13898-M13898*VLOOKUP($Q13898,매칭테이블!$F:$I,3,0)</f>
        <v/>
      </c>
      <c r="O13898" s="88">
        <f>VLOOKUP($Q13898,매칭테이블!$F:$I,4,0)*K13898</f>
        <v/>
      </c>
      <c r="P13898" s="152">
        <f>M13898/1.1</f>
        <v/>
      </c>
      <c r="Q13898" s="88">
        <f>F13898&amp;E13898&amp;G13898&amp;L13898</f>
        <v/>
      </c>
    </row>
    <row r="13899">
      <c r="B13899" s="128" t="n">
        <v>44214</v>
      </c>
      <c r="C13899" s="88">
        <f>TEXT(B13899,"aaa")</f>
        <v/>
      </c>
      <c r="D13899" s="94" t="n"/>
      <c r="E13899" s="88">
        <f>INDEX(매칭테이블!C:D,MATCH(RD!G13899,매칭테이블!D:D,0),1)</f>
        <v/>
      </c>
      <c r="F13899" s="94" t="inlineStr">
        <is>
          <t>카페24</t>
        </is>
      </c>
      <c r="G13899" s="94" t="inlineStr">
        <is>
          <t>어성초 약산성 클렌징폼클렌징폼=어성초 약산성 클렌징폼 2개 -25%off</t>
        </is>
      </c>
      <c r="K13899" s="94" t="n">
        <v>5</v>
      </c>
      <c r="L13899" s="88" t="n">
        <v>201208</v>
      </c>
      <c r="M13899" s="88">
        <f>VLOOKUP($Q13899,매칭테이블!$F:$I,2,0)*K13899</f>
        <v/>
      </c>
      <c r="N13899" s="88">
        <f>M13899-M13899*VLOOKUP($Q13899,매칭테이블!$F:$I,3,0)</f>
        <v/>
      </c>
      <c r="O13899" s="88">
        <f>VLOOKUP($Q13899,매칭테이블!$F:$I,4,0)*K13899</f>
        <v/>
      </c>
      <c r="P13899" s="152">
        <f>M13899/1.1</f>
        <v/>
      </c>
      <c r="Q13899" s="88">
        <f>F13899&amp;E13899&amp;G13899&amp;L13899</f>
        <v/>
      </c>
    </row>
    <row r="13900">
      <c r="B13900" s="128" t="n">
        <v>44214</v>
      </c>
      <c r="C13900" s="88">
        <f>TEXT(B13900,"aaa")</f>
        <v/>
      </c>
      <c r="D13900" s="94" t="n"/>
      <c r="E13900" s="88">
        <f>INDEX(매칭테이블!C:D,MATCH(RD!G13900,매칭테이블!D:D,0),1)</f>
        <v/>
      </c>
      <c r="F13900" s="94" t="inlineStr">
        <is>
          <t>카페24</t>
        </is>
      </c>
      <c r="G13900" s="94" t="inlineStr">
        <is>
          <t>어성초 약산성 클렌징폼클렌징폼=어성초 약산성 클렌징폼 3개 -31%off (무료배송)</t>
        </is>
      </c>
      <c r="K13900" s="94" t="n">
        <v>4</v>
      </c>
      <c r="L13900" s="88" t="n">
        <v>201208</v>
      </c>
      <c r="M13900" s="88">
        <f>VLOOKUP($Q13900,매칭테이블!$F:$I,2,0)*K13900</f>
        <v/>
      </c>
      <c r="N13900" s="88">
        <f>M13900-M13900*VLOOKUP($Q13900,매칭테이블!$F:$I,3,0)</f>
        <v/>
      </c>
      <c r="O13900" s="88">
        <f>VLOOKUP($Q13900,매칭테이블!$F:$I,4,0)*K13900</f>
        <v/>
      </c>
      <c r="P13900" s="152">
        <f>M13900/1.1</f>
        <v/>
      </c>
      <c r="Q13900" s="88">
        <f>F13900&amp;E13900&amp;G13900&amp;L13900</f>
        <v/>
      </c>
    </row>
    <row r="13901">
      <c r="B13901" s="128" t="n">
        <v>44214</v>
      </c>
      <c r="C13901" s="88">
        <f>TEXT(B13901,"aaa")</f>
        <v/>
      </c>
      <c r="D13901" s="94" t="n"/>
      <c r="E13901" s="88">
        <f>INDEX(매칭테이블!C:D,MATCH(RD!G13901,매칭테이블!D:D,0),1)</f>
        <v/>
      </c>
      <c r="F13901" s="94" t="inlineStr">
        <is>
          <t>카페24</t>
        </is>
      </c>
      <c r="G13901" s="94" t="inlineStr">
        <is>
          <t>어성초 크림마스크 나이트 솔루션옵션=어성초 크림마스크 나이트 솔루션 10장 (-50%)</t>
        </is>
      </c>
      <c r="K13901" s="94" t="n">
        <v>3</v>
      </c>
      <c r="L13901" s="88" t="n">
        <v>201208</v>
      </c>
      <c r="M13901" s="88">
        <f>VLOOKUP($Q13901,매칭테이블!$F:$I,2,0)*K13901</f>
        <v/>
      </c>
      <c r="N13901" s="88">
        <f>M13901-M13901*VLOOKUP($Q13901,매칭테이블!$F:$I,3,0)</f>
        <v/>
      </c>
      <c r="O13901" s="88">
        <f>VLOOKUP($Q13901,매칭테이블!$F:$I,4,0)*K13901</f>
        <v/>
      </c>
      <c r="P13901" s="152">
        <f>M13901/1.1</f>
        <v/>
      </c>
      <c r="Q13901" s="88">
        <f>F13901&amp;E13901&amp;G13901&amp;L13901</f>
        <v/>
      </c>
    </row>
    <row r="13902">
      <c r="B13902" s="128" t="n">
        <v>44214</v>
      </c>
      <c r="C13902" s="88">
        <f>TEXT(B13902,"aaa")</f>
        <v/>
      </c>
      <c r="D13902" s="94" t="n"/>
      <c r="E13902" s="88">
        <f>INDEX(매칭테이블!C:D,MATCH(RD!G13902,매칭테이블!D:D,0),1)</f>
        <v/>
      </c>
      <c r="F13902" s="94" t="inlineStr">
        <is>
          <t>카페24</t>
        </is>
      </c>
      <c r="G13902" s="94" t="inlineStr">
        <is>
          <t>자작나무 수분 마스크옵션=자작나무 수분 마스크 1장</t>
        </is>
      </c>
      <c r="K13902" s="94" t="n">
        <v>2</v>
      </c>
      <c r="L13902" s="88" t="n">
        <v>201208</v>
      </c>
      <c r="M13902" s="88">
        <f>VLOOKUP($Q13902,매칭테이블!$F:$I,2,0)*K13902</f>
        <v/>
      </c>
      <c r="N13902" s="88">
        <f>M13902-M13902*VLOOKUP($Q13902,매칭테이블!$F:$I,3,0)</f>
        <v/>
      </c>
      <c r="O13902" s="88">
        <f>VLOOKUP($Q13902,매칭테이블!$F:$I,4,0)*K13902</f>
        <v/>
      </c>
      <c r="P13902" s="152">
        <f>M13902/1.1</f>
        <v/>
      </c>
      <c r="Q13902" s="88">
        <f>F13902&amp;E13902&amp;G13902&amp;L13902</f>
        <v/>
      </c>
    </row>
    <row r="13903">
      <c r="B13903" s="128" t="n">
        <v>44214</v>
      </c>
      <c r="C13903" s="88">
        <f>TEXT(B13903,"aaa")</f>
        <v/>
      </c>
      <c r="D13903" s="94" t="n"/>
      <c r="E13903" s="88">
        <f>INDEX(매칭테이블!C:D,MATCH(RD!G13903,매칭테이블!D:D,0),1)</f>
        <v/>
      </c>
      <c r="F13903" s="94" t="inlineStr">
        <is>
          <t>카페24</t>
        </is>
      </c>
      <c r="G13903" s="94" t="inlineStr">
        <is>
          <t>자작나무 수분 마스크옵션=자작나무 수분 마스크 10장 (50% off)</t>
        </is>
      </c>
      <c r="K13903" s="94" t="n">
        <v>2</v>
      </c>
      <c r="L13903" s="88" t="n">
        <v>201208</v>
      </c>
      <c r="M13903" s="88">
        <f>VLOOKUP($Q13903,매칭테이블!$F:$I,2,0)*K13903</f>
        <v/>
      </c>
      <c r="N13903" s="88">
        <f>M13903-M13903*VLOOKUP($Q13903,매칭테이블!$F:$I,3,0)</f>
        <v/>
      </c>
      <c r="O13903" s="88">
        <f>VLOOKUP($Q13903,매칭테이블!$F:$I,4,0)*K13903</f>
        <v/>
      </c>
      <c r="P13903" s="152">
        <f>M13903/1.1</f>
        <v/>
      </c>
      <c r="Q13903" s="88">
        <f>F13903&amp;E13903&amp;G13903&amp;L13903</f>
        <v/>
      </c>
    </row>
    <row r="13904">
      <c r="B13904" s="128" t="n">
        <v>44214</v>
      </c>
      <c r="C13904" s="88">
        <f>TEXT(B13904,"aaa")</f>
        <v/>
      </c>
      <c r="D13904" s="94" t="n"/>
      <c r="E13904" s="88">
        <f>INDEX(매칭테이블!C:D,MATCH(RD!G13904,매칭테이블!D:D,0),1)</f>
        <v/>
      </c>
      <c r="F13904" s="94" t="inlineStr">
        <is>
          <t>카페24</t>
        </is>
      </c>
      <c r="G13904" s="94" t="inlineStr">
        <is>
          <t>청귤 비타 잡티 마스크옵션=청귤 비타 잡티 마스크 1장</t>
        </is>
      </c>
      <c r="K13904" s="94" t="n">
        <v>2</v>
      </c>
      <c r="L13904" s="88" t="n">
        <v>201208</v>
      </c>
      <c r="M13904" s="88">
        <f>VLOOKUP($Q13904,매칭테이블!$F:$I,2,0)*K13904</f>
        <v/>
      </c>
      <c r="N13904" s="88">
        <f>M13904-M13904*VLOOKUP($Q13904,매칭테이블!$F:$I,3,0)</f>
        <v/>
      </c>
      <c r="O13904" s="88">
        <f>VLOOKUP($Q13904,매칭테이블!$F:$I,4,0)*K13904</f>
        <v/>
      </c>
      <c r="P13904" s="152">
        <f>M13904/1.1</f>
        <v/>
      </c>
      <c r="Q13904" s="88">
        <f>F13904&amp;E13904&amp;G13904&amp;L13904</f>
        <v/>
      </c>
    </row>
    <row r="13905">
      <c r="B13905" s="128" t="n">
        <v>44214</v>
      </c>
      <c r="C13905" s="88">
        <f>TEXT(B13905,"aaa")</f>
        <v/>
      </c>
      <c r="D13905" s="94" t="n"/>
      <c r="E13905" s="88">
        <f>INDEX(매칭테이블!C:D,MATCH(RD!G13905,매칭테이블!D:D,0),1)</f>
        <v/>
      </c>
      <c r="F13905" s="94" t="inlineStr">
        <is>
          <t>카페24</t>
        </is>
      </c>
      <c r="G13905" s="94" t="inlineStr">
        <is>
          <t>청귤 비타 잡티 마스크옵션=청귤 비타 잡티 마스크 10장 (50% off)</t>
        </is>
      </c>
      <c r="K13905" s="94" t="n">
        <v>4</v>
      </c>
      <c r="L13905" s="88" t="n">
        <v>201208</v>
      </c>
      <c r="M13905" s="88">
        <f>VLOOKUP($Q13905,매칭테이블!$F:$I,2,0)*K13905</f>
        <v/>
      </c>
      <c r="N13905" s="88">
        <f>M13905-M13905*VLOOKUP($Q13905,매칭테이블!$F:$I,3,0)</f>
        <v/>
      </c>
      <c r="O13905" s="88">
        <f>VLOOKUP($Q13905,매칭테이블!$F:$I,4,0)*K13905</f>
        <v/>
      </c>
      <c r="P13905" s="152">
        <f>M13905/1.1</f>
        <v/>
      </c>
      <c r="Q13905" s="88">
        <f>F13905&amp;E13905&amp;G13905&amp;L13905</f>
        <v/>
      </c>
    </row>
    <row r="13906">
      <c r="B13906" s="128" t="n">
        <v>44214</v>
      </c>
      <c r="C13906" s="88">
        <f>TEXT(B13906,"aaa")</f>
        <v/>
      </c>
      <c r="D13906" s="94" t="n"/>
      <c r="E13906" s="88">
        <f>INDEX(매칭테이블!C:D,MATCH(RD!G13906,매칭테이블!D:D,0),1)</f>
        <v/>
      </c>
      <c r="F13906" s="94" t="inlineStr">
        <is>
          <t>카페24</t>
        </is>
      </c>
      <c r="G13906" s="94" t="inlineStr">
        <is>
          <t>촉촉 스킨팩 화장솜</t>
        </is>
      </c>
      <c r="K13906" s="94" t="n">
        <v>22</v>
      </c>
      <c r="L13906" s="88" t="n">
        <v>201208</v>
      </c>
      <c r="M13906" s="88">
        <f>VLOOKUP($Q13906,매칭테이블!$F:$I,2,0)*K13906</f>
        <v/>
      </c>
      <c r="N13906" s="88">
        <f>M13906-M13906*VLOOKUP($Q13906,매칭테이블!$F:$I,3,0)</f>
        <v/>
      </c>
      <c r="O13906" s="88">
        <f>VLOOKUP($Q13906,매칭테이블!$F:$I,4,0)*K13906</f>
        <v/>
      </c>
      <c r="P13906" s="152">
        <f>M13906/1.1</f>
        <v/>
      </c>
      <c r="Q13906" s="88">
        <f>F13906&amp;E13906&amp;G13906&amp;L13906</f>
        <v/>
      </c>
    </row>
    <row r="13907">
      <c r="B13907" s="128" t="n">
        <v>44214</v>
      </c>
      <c r="C13907" s="88">
        <f>TEXT(B13907,"aaa")</f>
        <v/>
      </c>
      <c r="D13907" s="94" t="n"/>
      <c r="E13907" s="88">
        <f>INDEX(매칭테이블!C:D,MATCH(RD!G13907,매칭테이블!D:D,0),1)</f>
        <v/>
      </c>
      <c r="F13907" s="94" t="inlineStr">
        <is>
          <t>화해</t>
        </is>
      </c>
      <c r="G13907" s="94" t="inlineStr">
        <is>
          <t>어성초 아크네 바디워시 500ml어성초 아크네 바디워시 500ml</t>
        </is>
      </c>
      <c r="K13907" s="94" t="n">
        <v>1</v>
      </c>
      <c r="L13907" s="88" t="n">
        <v>201208</v>
      </c>
      <c r="M13907" s="88">
        <f>VLOOKUP($Q13907,매칭테이블!$F:$I,2,0)*K13907</f>
        <v/>
      </c>
      <c r="N13907" s="88">
        <f>M13907-M13907*VLOOKUP($Q13907,매칭테이블!$F:$I,3,0)</f>
        <v/>
      </c>
      <c r="O13907" s="88">
        <f>VLOOKUP($Q13907,매칭테이블!$F:$I,4,0)*K13907</f>
        <v/>
      </c>
      <c r="P13907" s="152">
        <f>M13907/1.1</f>
        <v/>
      </c>
      <c r="Q13907" s="88">
        <f>F13907&amp;E13907&amp;G13907&amp;L13907</f>
        <v/>
      </c>
    </row>
    <row r="13908">
      <c r="B13908" s="128" t="n">
        <v>44215</v>
      </c>
      <c r="C13908" s="88">
        <f>TEXT(B13908,"aaa")</f>
        <v/>
      </c>
      <c r="D13908" s="94" t="n"/>
      <c r="E13908" s="88">
        <f>INDEX(매칭테이블!C:D,MATCH(RD!G13908,매칭테이블!D:D,0),1)</f>
        <v/>
      </c>
      <c r="F13908" s="94" t="inlineStr">
        <is>
          <t>W컨셉</t>
        </is>
      </c>
      <c r="G13908" s="94" t="inlineStr">
        <is>
          <t>어성초 77토너 (2 SET) HEARTLEAF 77% SOOTHING TONER 250ml250ml 2set</t>
        </is>
      </c>
      <c r="K13908" s="94" t="n">
        <v>2</v>
      </c>
      <c r="L13908" s="88" t="n">
        <v>201208</v>
      </c>
      <c r="M13908" s="88">
        <f>VLOOKUP($Q13908,매칭테이블!$F:$I,2,0)*K13908</f>
        <v/>
      </c>
      <c r="N13908" s="88">
        <f>M13908-M13908*VLOOKUP($Q13908,매칭테이블!$F:$I,3,0)</f>
        <v/>
      </c>
      <c r="O13908" s="88">
        <f>VLOOKUP($Q13908,매칭테이블!$F:$I,4,0)*K13908</f>
        <v/>
      </c>
      <c r="P13908" s="152">
        <f>M13908/1.1</f>
        <v/>
      </c>
      <c r="Q13908" s="88">
        <f>F13908&amp;E13908&amp;G13908&amp;L13908</f>
        <v/>
      </c>
    </row>
    <row r="13909">
      <c r="B13909" s="128" t="n">
        <v>44215</v>
      </c>
      <c r="C13909" s="88">
        <f>TEXT(B13909,"aaa")</f>
        <v/>
      </c>
      <c r="D13909" s="94" t="n"/>
      <c r="E13909" s="88">
        <f>INDEX(매칭테이블!C:D,MATCH(RD!G13909,매칭테이블!D:D,0),1)</f>
        <v/>
      </c>
      <c r="F13909" s="94" t="inlineStr">
        <is>
          <t>스타일쉐어</t>
        </is>
      </c>
      <c r="G13909" s="94" t="inlineStr">
        <is>
          <t>아누아 어성초 77 토너 250ml</t>
        </is>
      </c>
      <c r="K13909" s="94" t="n">
        <v>4</v>
      </c>
      <c r="L13909" s="88" t="n">
        <v>201208</v>
      </c>
      <c r="M13909" s="88">
        <f>VLOOKUP($Q13909,매칭테이블!$F:$I,2,0)*K13909</f>
        <v/>
      </c>
      <c r="N13909" s="88">
        <f>M13909-M13909*VLOOKUP($Q13909,매칭테이블!$F:$I,3,0)</f>
        <v/>
      </c>
      <c r="O13909" s="88">
        <f>VLOOKUP($Q13909,매칭테이블!$F:$I,4,0)*K13909</f>
        <v/>
      </c>
      <c r="P13909" s="152">
        <f>M13909/1.1</f>
        <v/>
      </c>
      <c r="Q13909" s="88">
        <f>F13909&amp;E13909&amp;G13909&amp;L13909</f>
        <v/>
      </c>
    </row>
    <row r="13910">
      <c r="B13910" s="128" t="n">
        <v>44215</v>
      </c>
      <c r="C13910" s="88">
        <f>TEXT(B13910,"aaa")</f>
        <v/>
      </c>
      <c r="D13910" s="94" t="n"/>
      <c r="E13910" s="88">
        <f>INDEX(매칭테이블!C:D,MATCH(RD!G13910,매칭테이블!D:D,0),1)</f>
        <v/>
      </c>
      <c r="F13910" s="94" t="inlineStr">
        <is>
          <t>아누아 CS</t>
        </is>
      </c>
      <c r="G13910" s="94" t="inlineStr">
        <is>
          <t>어성초 77 토너 250ml</t>
        </is>
      </c>
      <c r="K13910" s="94" t="n">
        <v>4</v>
      </c>
      <c r="L13910" s="88" t="n">
        <v>201208</v>
      </c>
      <c r="M13910" s="88">
        <f>VLOOKUP($Q13910,매칭테이블!$F:$I,2,0)*K13910</f>
        <v/>
      </c>
      <c r="N13910" s="88">
        <f>M13910-M13910*VLOOKUP($Q13910,매칭테이블!$F:$I,3,0)</f>
        <v/>
      </c>
      <c r="O13910" s="88">
        <f>VLOOKUP($Q13910,매칭테이블!$F:$I,4,0)*K13910</f>
        <v/>
      </c>
      <c r="P13910" s="152">
        <f>M13910/1.1</f>
        <v/>
      </c>
      <c r="Q13910" s="88">
        <f>F13910&amp;E13910&amp;G13910&amp;L13910</f>
        <v/>
      </c>
    </row>
    <row r="13911">
      <c r="B13911" s="128" t="n">
        <v>44215</v>
      </c>
      <c r="C13911" s="88">
        <f>TEXT(B13911,"aaa")</f>
        <v/>
      </c>
      <c r="D13911" s="94" t="n"/>
      <c r="E13911" s="88">
        <f>INDEX(매칭테이블!C:D,MATCH(RD!G13911,매칭테이블!D:D,0),1)</f>
        <v/>
      </c>
      <c r="F13911" s="94" t="inlineStr">
        <is>
          <t>카페24</t>
        </is>
      </c>
      <c r="G13911" s="94" t="inlineStr">
        <is>
          <t>5 제로 무기자차 선크림옵션=5제로 무기자차 선크림 1개-20% off</t>
        </is>
      </c>
      <c r="K13911" s="94" t="n">
        <v>4</v>
      </c>
      <c r="L13911" s="88" t="n">
        <v>201208</v>
      </c>
      <c r="M13911" s="88">
        <f>VLOOKUP($Q13911,매칭테이블!$F:$I,2,0)*K13911</f>
        <v/>
      </c>
      <c r="N13911" s="88">
        <f>M13911-M13911*VLOOKUP($Q13911,매칭테이블!$F:$I,3,0)</f>
        <v/>
      </c>
      <c r="O13911" s="88">
        <f>VLOOKUP($Q13911,매칭테이블!$F:$I,4,0)*K13911</f>
        <v/>
      </c>
      <c r="P13911" s="152">
        <f>M13911/1.1</f>
        <v/>
      </c>
      <c r="Q13911" s="88">
        <f>F13911&amp;E13911&amp;G13911&amp;L13911</f>
        <v/>
      </c>
    </row>
    <row r="13912">
      <c r="B13912" s="128" t="n">
        <v>44215</v>
      </c>
      <c r="C13912" s="88">
        <f>TEXT(B13912,"aaa")</f>
        <v/>
      </c>
      <c r="D13912" s="94" t="n"/>
      <c r="E13912" s="88">
        <f>INDEX(매칭테이블!C:D,MATCH(RD!G13912,매칭테이블!D:D,0),1)</f>
        <v/>
      </c>
      <c r="F13912" s="94" t="inlineStr">
        <is>
          <t>카페24</t>
        </is>
      </c>
      <c r="G13912" s="94" t="inlineStr">
        <is>
          <t>5 제로 무기자차 선크림옵션=5제로 무기자차 선크림 2개-30% off (무료배송)</t>
        </is>
      </c>
      <c r="K13912" s="94" t="n">
        <v>1</v>
      </c>
      <c r="L13912" s="88" t="n">
        <v>201208</v>
      </c>
      <c r="M13912" s="88">
        <f>VLOOKUP($Q13912,매칭테이블!$F:$I,2,0)*K13912</f>
        <v/>
      </c>
      <c r="N13912" s="88">
        <f>M13912-M13912*VLOOKUP($Q13912,매칭테이블!$F:$I,3,0)</f>
        <v/>
      </c>
      <c r="O13912" s="88">
        <f>VLOOKUP($Q13912,매칭테이블!$F:$I,4,0)*K13912</f>
        <v/>
      </c>
      <c r="P13912" s="152">
        <f>M13912/1.1</f>
        <v/>
      </c>
      <c r="Q13912" s="88">
        <f>F13912&amp;E13912&amp;G13912&amp;L13912</f>
        <v/>
      </c>
    </row>
    <row r="13913">
      <c r="B13913" s="128" t="n">
        <v>44215</v>
      </c>
      <c r="C13913" s="88">
        <f>TEXT(B13913,"aaa")</f>
        <v/>
      </c>
      <c r="D13913" s="94" t="n"/>
      <c r="E13913" s="88">
        <f>INDEX(매칭테이블!C:D,MATCH(RD!G13913,매칭테이블!D:D,0),1)</f>
        <v/>
      </c>
      <c r="F13913" s="94" t="inlineStr">
        <is>
          <t>카페24</t>
        </is>
      </c>
      <c r="G13913" s="94" t="inlineStr">
        <is>
          <t>[01/27 순차발송] 어성초 77 클리어 패드옵션=어성초 77 클리어 패드 1개-20% off</t>
        </is>
      </c>
      <c r="K13913" s="94" t="n">
        <v>30</v>
      </c>
      <c r="L13913" s="88" t="n">
        <v>201208</v>
      </c>
      <c r="M13913" s="88">
        <f>VLOOKUP($Q13913,매칭테이블!$F:$I,2,0)*K13913</f>
        <v/>
      </c>
      <c r="N13913" s="88">
        <f>M13913-M13913*VLOOKUP($Q13913,매칭테이블!$F:$I,3,0)</f>
        <v/>
      </c>
      <c r="O13913" s="88">
        <f>VLOOKUP($Q13913,매칭테이블!$F:$I,4,0)*K13913</f>
        <v/>
      </c>
      <c r="P13913" s="152">
        <f>M13913/1.1</f>
        <v/>
      </c>
      <c r="Q13913" s="88">
        <f>F13913&amp;E13913&amp;G13913&amp;L13913</f>
        <v/>
      </c>
    </row>
    <row r="13914">
      <c r="B13914" s="128" t="n">
        <v>44215</v>
      </c>
      <c r="C13914" s="88">
        <f>TEXT(B13914,"aaa")</f>
        <v/>
      </c>
      <c r="D13914" s="94" t="n"/>
      <c r="E13914" s="88">
        <f>INDEX(매칭테이블!C:D,MATCH(RD!G13914,매칭테이블!D:D,0),1)</f>
        <v/>
      </c>
      <c r="F13914" s="94" t="inlineStr">
        <is>
          <t>카페24</t>
        </is>
      </c>
      <c r="G13914" s="94" t="inlineStr">
        <is>
          <t>[01/27 순차발송] 어성초 77 클리어 패드옵션=어성초 77 클리어 패드 2개-30% off (무료배송)</t>
        </is>
      </c>
      <c r="K13914" s="94" t="n">
        <v>26</v>
      </c>
      <c r="L13914" s="88" t="n">
        <v>201208</v>
      </c>
      <c r="M13914" s="88">
        <f>VLOOKUP($Q13914,매칭테이블!$F:$I,2,0)*K13914</f>
        <v/>
      </c>
      <c r="N13914" s="88">
        <f>M13914-M13914*VLOOKUP($Q13914,매칭테이블!$F:$I,3,0)</f>
        <v/>
      </c>
      <c r="O13914" s="88">
        <f>VLOOKUP($Q13914,매칭테이블!$F:$I,4,0)*K13914</f>
        <v/>
      </c>
      <c r="P13914" s="152">
        <f>M13914/1.1</f>
        <v/>
      </c>
      <c r="Q13914" s="88">
        <f>F13914&amp;E13914&amp;G13914&amp;L13914</f>
        <v/>
      </c>
    </row>
    <row r="13915">
      <c r="B13915" s="128" t="n">
        <v>44215</v>
      </c>
      <c r="C13915" s="88">
        <f>TEXT(B13915,"aaa")</f>
        <v/>
      </c>
      <c r="D13915" s="94" t="n"/>
      <c r="E13915" s="88">
        <f>INDEX(매칭테이블!C:D,MATCH(RD!G13915,매칭테이블!D:D,0),1)</f>
        <v/>
      </c>
      <c r="F13915" s="94" t="inlineStr">
        <is>
          <t>카페24</t>
        </is>
      </c>
      <c r="G13915" s="94" t="inlineStr">
        <is>
          <t>[01/27 순차발송] 어성초 77 클리어 패드옵션=어성초 77 클리어 패드 2+1 EVENT (무료배송)</t>
        </is>
      </c>
      <c r="K13915" s="94" t="n">
        <v>26</v>
      </c>
      <c r="L13915" s="88" t="n">
        <v>201208</v>
      </c>
      <c r="M13915" s="88">
        <f>VLOOKUP($Q13915,매칭테이블!$F:$I,2,0)*K13915</f>
        <v/>
      </c>
      <c r="N13915" s="88">
        <f>M13915-M13915*VLOOKUP($Q13915,매칭테이블!$F:$I,3,0)</f>
        <v/>
      </c>
      <c r="O13915" s="88">
        <f>VLOOKUP($Q13915,매칭테이블!$F:$I,4,0)*K13915</f>
        <v/>
      </c>
      <c r="P13915" s="152">
        <f>M13915/1.1</f>
        <v/>
      </c>
      <c r="Q13915" s="88">
        <f>F13915&amp;E13915&amp;G13915&amp;L13915</f>
        <v/>
      </c>
    </row>
    <row r="13916">
      <c r="B13916" s="128" t="n">
        <v>44215</v>
      </c>
      <c r="C13916" s="88">
        <f>TEXT(B13916,"aaa")</f>
        <v/>
      </c>
      <c r="D13916" s="94" t="n"/>
      <c r="E13916" s="88">
        <f>INDEX(매칭테이블!C:D,MATCH(RD!G13916,매칭테이블!D:D,0),1)</f>
        <v/>
      </c>
      <c r="F13916" s="94" t="inlineStr">
        <is>
          <t>카페24</t>
        </is>
      </c>
      <c r="G13916" s="94" t="inlineStr">
        <is>
          <t>[01/27 순차발송] 어성초 77 클리어 패드옵션=어성초77토너1개+어성초77패드1개-30% off (무료배송)</t>
        </is>
      </c>
      <c r="K13916" s="94" t="n">
        <v>8</v>
      </c>
      <c r="L13916" s="88" t="n">
        <v>201208</v>
      </c>
      <c r="M13916" s="88">
        <f>VLOOKUP($Q13916,매칭테이블!$F:$I,2,0)*K13916</f>
        <v/>
      </c>
      <c r="N13916" s="88">
        <f>M13916-M13916*VLOOKUP($Q13916,매칭테이블!$F:$I,3,0)</f>
        <v/>
      </c>
      <c r="O13916" s="88">
        <f>VLOOKUP($Q13916,매칭테이블!$F:$I,4,0)*K13916</f>
        <v/>
      </c>
      <c r="P13916" s="152">
        <f>M13916/1.1</f>
        <v/>
      </c>
      <c r="Q13916" s="88">
        <f>F13916&amp;E13916&amp;G13916&amp;L13916</f>
        <v/>
      </c>
    </row>
    <row r="13917">
      <c r="B13917" s="128" t="n">
        <v>44215</v>
      </c>
      <c r="C13917" s="88">
        <f>TEXT(B13917,"aaa")</f>
        <v/>
      </c>
      <c r="D13917" s="94" t="n"/>
      <c r="E13917" s="88">
        <f>INDEX(매칭테이블!C:D,MATCH(RD!G13917,매칭테이블!D:D,0),1)</f>
        <v/>
      </c>
      <c r="F13917" s="94" t="inlineStr">
        <is>
          <t>카페24</t>
        </is>
      </c>
      <c r="G13917" s="94" t="inlineStr">
        <is>
          <t>[01/27 순차발송] 어성초 77 포어 클리어 패드옵션=어성초 77 클리어 패드 1개-20% off</t>
        </is>
      </c>
      <c r="K13917" s="94" t="n">
        <v>4</v>
      </c>
      <c r="L13917" s="88" t="n">
        <v>201208</v>
      </c>
      <c r="M13917" s="88">
        <f>VLOOKUP($Q13917,매칭테이블!$F:$I,2,0)*K13917</f>
        <v/>
      </c>
      <c r="N13917" s="88">
        <f>M13917-M13917*VLOOKUP($Q13917,매칭테이블!$F:$I,3,0)</f>
        <v/>
      </c>
      <c r="O13917" s="88">
        <f>VLOOKUP($Q13917,매칭테이블!$F:$I,4,0)*K13917</f>
        <v/>
      </c>
      <c r="P13917" s="152">
        <f>M13917/1.1</f>
        <v/>
      </c>
      <c r="Q13917" s="88">
        <f>F13917&amp;E13917&amp;G13917&amp;L13917</f>
        <v/>
      </c>
    </row>
    <row r="13918">
      <c r="B13918" s="128" t="n">
        <v>44215</v>
      </c>
      <c r="C13918" s="88">
        <f>TEXT(B13918,"aaa")</f>
        <v/>
      </c>
      <c r="D13918" s="94" t="n"/>
      <c r="E13918" s="88">
        <f>INDEX(매칭테이블!C:D,MATCH(RD!G13918,매칭테이블!D:D,0),1)</f>
        <v/>
      </c>
      <c r="F13918" s="94" t="inlineStr">
        <is>
          <t>카페24</t>
        </is>
      </c>
      <c r="G13918" s="94" t="inlineStr">
        <is>
          <t>[01/27 순차발송] 어성초 77 포어 클리어 패드옵션=어성초 77 클리어 패드 2개-30% off (무료배송)</t>
        </is>
      </c>
      <c r="K13918" s="94" t="n">
        <v>1</v>
      </c>
      <c r="L13918" s="88" t="n">
        <v>201208</v>
      </c>
      <c r="M13918" s="88">
        <f>VLOOKUP($Q13918,매칭테이블!$F:$I,2,0)*K13918</f>
        <v/>
      </c>
      <c r="N13918" s="88">
        <f>M13918-M13918*VLOOKUP($Q13918,매칭테이블!$F:$I,3,0)</f>
        <v/>
      </c>
      <c r="O13918" s="88">
        <f>VLOOKUP($Q13918,매칭테이블!$F:$I,4,0)*K13918</f>
        <v/>
      </c>
      <c r="P13918" s="152">
        <f>M13918/1.1</f>
        <v/>
      </c>
      <c r="Q13918" s="88">
        <f>F13918&amp;E13918&amp;G13918&amp;L13918</f>
        <v/>
      </c>
    </row>
    <row r="13919">
      <c r="B13919" s="128" t="n">
        <v>44215</v>
      </c>
      <c r="C13919" s="88">
        <f>TEXT(B13919,"aaa")</f>
        <v/>
      </c>
      <c r="D13919" s="94" t="n"/>
      <c r="E13919" s="88">
        <f>INDEX(매칭테이블!C:D,MATCH(RD!G13919,매칭테이블!D:D,0),1)</f>
        <v/>
      </c>
      <c r="F13919" s="94" t="inlineStr">
        <is>
          <t>카페24</t>
        </is>
      </c>
      <c r="G13919" s="94" t="inlineStr">
        <is>
          <t>[01/27 순차발송] 어성초 77 포어 클리어 패드옵션=어성초 77 클리어 패드 2+1 EVENT (무료배송)</t>
        </is>
      </c>
      <c r="K13919" s="94" t="n">
        <v>5</v>
      </c>
      <c r="L13919" s="88" t="n">
        <v>201208</v>
      </c>
      <c r="M13919" s="88">
        <f>VLOOKUP($Q13919,매칭테이블!$F:$I,2,0)*K13919</f>
        <v/>
      </c>
      <c r="N13919" s="88">
        <f>M13919-M13919*VLOOKUP($Q13919,매칭테이블!$F:$I,3,0)</f>
        <v/>
      </c>
      <c r="O13919" s="88">
        <f>VLOOKUP($Q13919,매칭테이블!$F:$I,4,0)*K13919</f>
        <v/>
      </c>
      <c r="P13919" s="152">
        <f>M13919/1.1</f>
        <v/>
      </c>
      <c r="Q13919" s="88">
        <f>F13919&amp;E13919&amp;G13919&amp;L13919</f>
        <v/>
      </c>
    </row>
    <row r="13920">
      <c r="B13920" s="128" t="n">
        <v>44215</v>
      </c>
      <c r="C13920" s="88">
        <f>TEXT(B13920,"aaa")</f>
        <v/>
      </c>
      <c r="D13920" s="94" t="n"/>
      <c r="E13920" s="88">
        <f>INDEX(매칭테이블!C:D,MATCH(RD!G13920,매칭테이블!D:D,0),1)</f>
        <v/>
      </c>
      <c r="F13920" s="94" t="inlineStr">
        <is>
          <t>카페24</t>
        </is>
      </c>
      <c r="G13920" s="94" t="inlineStr">
        <is>
          <t>[01/27 순차발송] 어성초 77% 패드옵션=어성초 77 클리어 패드 1개-20% off</t>
        </is>
      </c>
      <c r="K13920" s="94" t="n">
        <v>15</v>
      </c>
      <c r="L13920" s="88" t="n">
        <v>201208</v>
      </c>
      <c r="M13920" s="88">
        <f>VLOOKUP($Q13920,매칭테이블!$F:$I,2,0)*K13920</f>
        <v/>
      </c>
      <c r="N13920" s="88">
        <f>M13920-M13920*VLOOKUP($Q13920,매칭테이블!$F:$I,3,0)</f>
        <v/>
      </c>
      <c r="O13920" s="88">
        <f>VLOOKUP($Q13920,매칭테이블!$F:$I,4,0)*K13920</f>
        <v/>
      </c>
      <c r="P13920" s="152">
        <f>M13920/1.1</f>
        <v/>
      </c>
      <c r="Q13920" s="88">
        <f>F13920&amp;E13920&amp;G13920&amp;L13920</f>
        <v/>
      </c>
    </row>
    <row r="13921">
      <c r="B13921" s="128" t="n">
        <v>44215</v>
      </c>
      <c r="C13921" s="88">
        <f>TEXT(B13921,"aaa")</f>
        <v/>
      </c>
      <c r="D13921" s="94" t="n"/>
      <c r="E13921" s="88">
        <f>INDEX(매칭테이블!C:D,MATCH(RD!G13921,매칭테이블!D:D,0),1)</f>
        <v/>
      </c>
      <c r="F13921" s="94" t="inlineStr">
        <is>
          <t>카페24</t>
        </is>
      </c>
      <c r="G13921" s="94" t="inlineStr">
        <is>
          <t>[01/27 순차발송] 어성초 77% 패드옵션=어성초 77 클리어 패드 2개-30% off (무료배송)</t>
        </is>
      </c>
      <c r="K13921" s="94" t="n">
        <v>18</v>
      </c>
      <c r="L13921" s="88" t="n">
        <v>201208</v>
      </c>
      <c r="M13921" s="88">
        <f>VLOOKUP($Q13921,매칭테이블!$F:$I,2,0)*K13921</f>
        <v/>
      </c>
      <c r="N13921" s="88">
        <f>M13921-M13921*VLOOKUP($Q13921,매칭테이블!$F:$I,3,0)</f>
        <v/>
      </c>
      <c r="O13921" s="88">
        <f>VLOOKUP($Q13921,매칭테이블!$F:$I,4,0)*K13921</f>
        <v/>
      </c>
      <c r="P13921" s="152">
        <f>M13921/1.1</f>
        <v/>
      </c>
      <c r="Q13921" s="88">
        <f>F13921&amp;E13921&amp;G13921&amp;L13921</f>
        <v/>
      </c>
    </row>
    <row r="13922">
      <c r="B13922" s="128" t="n">
        <v>44215</v>
      </c>
      <c r="C13922" s="88">
        <f>TEXT(B13922,"aaa")</f>
        <v/>
      </c>
      <c r="D13922" s="94" t="n"/>
      <c r="E13922" s="88">
        <f>INDEX(매칭테이블!C:D,MATCH(RD!G13922,매칭테이블!D:D,0),1)</f>
        <v/>
      </c>
      <c r="F13922" s="94" t="inlineStr">
        <is>
          <t>카페24</t>
        </is>
      </c>
      <c r="G13922" s="94" t="inlineStr">
        <is>
          <t>[01/27 순차발송] 어성초 77% 패드옵션=어성초 77 클리어 패드 2+1 EVENT (무료배송)</t>
        </is>
      </c>
      <c r="K13922" s="94" t="n">
        <v>10</v>
      </c>
      <c r="L13922" s="88" t="n">
        <v>201208</v>
      </c>
      <c r="M13922" s="88">
        <f>VLOOKUP($Q13922,매칭테이블!$F:$I,2,0)*K13922</f>
        <v/>
      </c>
      <c r="N13922" s="88">
        <f>M13922-M13922*VLOOKUP($Q13922,매칭테이블!$F:$I,3,0)</f>
        <v/>
      </c>
      <c r="O13922" s="88">
        <f>VLOOKUP($Q13922,매칭테이블!$F:$I,4,0)*K13922</f>
        <v/>
      </c>
      <c r="P13922" s="152">
        <f>M13922/1.1</f>
        <v/>
      </c>
      <c r="Q13922" s="88">
        <f>F13922&amp;E13922&amp;G13922&amp;L13922</f>
        <v/>
      </c>
    </row>
    <row r="13923">
      <c r="B13923" s="128" t="n">
        <v>44215</v>
      </c>
      <c r="C13923" s="88">
        <f>TEXT(B13923,"aaa")</f>
        <v/>
      </c>
      <c r="D13923" s="94" t="n"/>
      <c r="E13923" s="88">
        <f>INDEX(매칭테이블!C:D,MATCH(RD!G13923,매칭테이블!D:D,0),1)</f>
        <v/>
      </c>
      <c r="F13923" s="94" t="inlineStr">
        <is>
          <t>카페24</t>
        </is>
      </c>
      <c r="G13923" s="94" t="inlineStr">
        <is>
          <t>[01/27 순차발송] 어성초 77% 패드옵션=어성초77토너1개+어성초77패드1개-30% off (무료배송)</t>
        </is>
      </c>
      <c r="K13923" s="94" t="n">
        <v>4</v>
      </c>
      <c r="L13923" s="88" t="n">
        <v>201208</v>
      </c>
      <c r="M13923" s="88">
        <f>VLOOKUP($Q13923,매칭테이블!$F:$I,2,0)*K13923</f>
        <v/>
      </c>
      <c r="N13923" s="88">
        <f>M13923-M13923*VLOOKUP($Q13923,매칭테이블!$F:$I,3,0)</f>
        <v/>
      </c>
      <c r="O13923" s="88">
        <f>VLOOKUP($Q13923,매칭테이블!$F:$I,4,0)*K13923</f>
        <v/>
      </c>
      <c r="P13923" s="152">
        <f>M13923/1.1</f>
        <v/>
      </c>
      <c r="Q13923" s="88">
        <f>F13923&amp;E13923&amp;G13923&amp;L13923</f>
        <v/>
      </c>
    </row>
    <row r="13924">
      <c r="B13924" s="128" t="n">
        <v>44215</v>
      </c>
      <c r="C13924" s="88">
        <f>TEXT(B13924,"aaa")</f>
        <v/>
      </c>
      <c r="D13924" s="94" t="n"/>
      <c r="E13924" s="88">
        <f>INDEX(매칭테이블!C:D,MATCH(RD!G13924,매칭테이블!D:D,0),1)</f>
        <v/>
      </c>
      <c r="F13924" s="94" t="inlineStr">
        <is>
          <t>카페24</t>
        </is>
      </c>
      <c r="G13924" s="94" t="inlineStr">
        <is>
          <t>[수분 보충 세트] 어성초 77 토너 + 어성초 70 로션옵션=어성초 77 토너 250ml + 어성초 70 로션 200ml -30%</t>
        </is>
      </c>
      <c r="K13924" s="94" t="n">
        <v>40</v>
      </c>
      <c r="L13924" s="88" t="n">
        <v>201208</v>
      </c>
      <c r="M13924" s="88">
        <f>VLOOKUP($Q13924,매칭테이블!$F:$I,2,0)*K13924</f>
        <v/>
      </c>
      <c r="N13924" s="88">
        <f>M13924-M13924*VLOOKUP($Q13924,매칭테이블!$F:$I,3,0)</f>
        <v/>
      </c>
      <c r="O13924" s="88">
        <f>VLOOKUP($Q13924,매칭테이블!$F:$I,4,0)*K13924</f>
        <v/>
      </c>
      <c r="P13924" s="152">
        <f>M13924/1.1</f>
        <v/>
      </c>
      <c r="Q13924" s="88">
        <f>F13924&amp;E13924&amp;G13924&amp;L13924</f>
        <v/>
      </c>
    </row>
    <row r="13925">
      <c r="B13925" s="128" t="n">
        <v>44215</v>
      </c>
      <c r="C13925" s="88">
        <f>TEXT(B13925,"aaa")</f>
        <v/>
      </c>
      <c r="D13925" s="94" t="n"/>
      <c r="E13925" s="88">
        <f>INDEX(매칭테이블!C:D,MATCH(RD!G13925,매칭테이블!D:D,0),1)</f>
        <v/>
      </c>
      <c r="F13925" s="94" t="inlineStr">
        <is>
          <t>카페24</t>
        </is>
      </c>
      <c r="G13925" s="94" t="inlineStr">
        <is>
          <t>[어성초 진정 패키지 세트] 대용량 토너 + 앰플 + 수딩 크림 + 마스크팩 10장</t>
        </is>
      </c>
      <c r="K13925" s="94" t="n">
        <v>3</v>
      </c>
      <c r="L13925" s="88" t="n">
        <v>201208</v>
      </c>
      <c r="M13925" s="88">
        <f>VLOOKUP($Q13925,매칭테이블!$F:$I,2,0)*K13925</f>
        <v/>
      </c>
      <c r="N13925" s="88">
        <f>M13925-M13925*VLOOKUP($Q13925,매칭테이블!$F:$I,3,0)</f>
        <v/>
      </c>
      <c r="O13925" s="88">
        <f>VLOOKUP($Q13925,매칭테이블!$F:$I,4,0)*K13925</f>
        <v/>
      </c>
      <c r="P13925" s="152">
        <f>M13925/1.1</f>
        <v/>
      </c>
      <c r="Q13925" s="88">
        <f>F13925&amp;E13925&amp;G13925&amp;L13925</f>
        <v/>
      </c>
    </row>
    <row r="13926">
      <c r="B13926" s="128" t="n">
        <v>44215</v>
      </c>
      <c r="C13926" s="88">
        <f>TEXT(B13926,"aaa")</f>
        <v/>
      </c>
      <c r="D13926" s="94" t="n"/>
      <c r="E13926" s="88">
        <f>INDEX(매칭테이블!C:D,MATCH(RD!G13926,매칭테이블!D:D,0),1)</f>
        <v/>
      </c>
      <c r="F13926" s="94" t="inlineStr">
        <is>
          <t>카페24</t>
        </is>
      </c>
      <c r="G13926" s="94" t="inlineStr">
        <is>
          <t>대용량 어성초 77 수딩 토너 500ml옵션=대용량 어성초 77 토너 1개 - 27% OFF</t>
        </is>
      </c>
      <c r="K13926" s="94" t="n">
        <v>42</v>
      </c>
      <c r="L13926" s="88" t="n">
        <v>201208</v>
      </c>
      <c r="M13926" s="88">
        <f>VLOOKUP($Q13926,매칭테이블!$F:$I,2,0)*K13926</f>
        <v/>
      </c>
      <c r="N13926" s="88">
        <f>M13926-M13926*VLOOKUP($Q13926,매칭테이블!$F:$I,3,0)</f>
        <v/>
      </c>
      <c r="O13926" s="88">
        <f>VLOOKUP($Q13926,매칭테이블!$F:$I,4,0)*K13926</f>
        <v/>
      </c>
      <c r="P13926" s="152">
        <f>M13926/1.1</f>
        <v/>
      </c>
      <c r="Q13926" s="88">
        <f>F13926&amp;E13926&amp;G13926&amp;L13926</f>
        <v/>
      </c>
    </row>
    <row r="13927">
      <c r="B13927" s="128" t="n">
        <v>44215</v>
      </c>
      <c r="C13927" s="88">
        <f>TEXT(B13927,"aaa")</f>
        <v/>
      </c>
      <c r="D13927" s="94" t="n"/>
      <c r="E13927" s="88">
        <f>INDEX(매칭테이블!C:D,MATCH(RD!G13927,매칭테이블!D:D,0),1)</f>
        <v/>
      </c>
      <c r="F13927" s="94" t="inlineStr">
        <is>
          <t>카페24</t>
        </is>
      </c>
      <c r="G13927" s="94" t="inlineStr">
        <is>
          <t>대용량 어성초 77 수딩 토너 500ml화장솜(선택)=촉촉 스킨팩 화장솜</t>
        </is>
      </c>
      <c r="K13927" s="94" t="n">
        <v>12</v>
      </c>
      <c r="L13927" s="88" t="n">
        <v>201208</v>
      </c>
      <c r="M13927" s="88">
        <f>VLOOKUP($Q13927,매칭테이블!$F:$I,2,0)*K13927</f>
        <v/>
      </c>
      <c r="N13927" s="88">
        <f>M13927-M13927*VLOOKUP($Q13927,매칭테이블!$F:$I,3,0)</f>
        <v/>
      </c>
      <c r="O13927" s="88">
        <f>VLOOKUP($Q13927,매칭테이블!$F:$I,4,0)*K13927</f>
        <v/>
      </c>
      <c r="P13927" s="152">
        <f>M13927/1.1</f>
        <v/>
      </c>
      <c r="Q13927" s="88">
        <f>F13927&amp;E13927&amp;G13927&amp;L13927</f>
        <v/>
      </c>
    </row>
    <row r="13928">
      <c r="B13928" s="128" t="n">
        <v>44215</v>
      </c>
      <c r="C13928" s="88">
        <f>TEXT(B13928,"aaa")</f>
        <v/>
      </c>
      <c r="D13928" s="94" t="n"/>
      <c r="E13928" s="88">
        <f>INDEX(매칭테이블!C:D,MATCH(RD!G13928,매칭테이블!D:D,0),1)</f>
        <v/>
      </c>
      <c r="F13928" s="94" t="inlineStr">
        <is>
          <t>카페24</t>
        </is>
      </c>
      <c r="G13928" s="94" t="inlineStr">
        <is>
          <t>대용량 어성초 77 토너 500ml</t>
        </is>
      </c>
      <c r="K13928" s="94" t="n">
        <v>1</v>
      </c>
      <c r="L13928" s="88" t="n">
        <v>201208</v>
      </c>
      <c r="M13928" s="88">
        <f>VLOOKUP($Q13928,매칭테이블!$F:$I,2,0)*K13928</f>
        <v/>
      </c>
      <c r="N13928" s="88">
        <f>M13928-M13928*VLOOKUP($Q13928,매칭테이블!$F:$I,3,0)</f>
        <v/>
      </c>
      <c r="O13928" s="88">
        <f>VLOOKUP($Q13928,매칭테이블!$F:$I,4,0)*K13928</f>
        <v/>
      </c>
      <c r="P13928" s="152">
        <f>M13928/1.1</f>
        <v/>
      </c>
      <c r="Q13928" s="88">
        <f>F13928&amp;E13928&amp;G13928&amp;L13928</f>
        <v/>
      </c>
    </row>
    <row r="13929">
      <c r="B13929" s="128" t="n">
        <v>44215</v>
      </c>
      <c r="C13929" s="88">
        <f>TEXT(B13929,"aaa")</f>
        <v/>
      </c>
      <c r="D13929" s="94" t="n"/>
      <c r="E13929" s="88">
        <f>INDEX(매칭테이블!C:D,MATCH(RD!G13929,매칭테이블!D:D,0),1)</f>
        <v/>
      </c>
      <c r="F13929" s="94" t="inlineStr">
        <is>
          <t>카페24</t>
        </is>
      </c>
      <c r="G13929" s="94" t="inlineStr">
        <is>
          <t>아누아 어성초 77 수딩 토너토너(필수)=어성초 77 토너 1개-20% off</t>
        </is>
      </c>
      <c r="K13929" s="94" t="n">
        <v>1</v>
      </c>
      <c r="L13929" s="88" t="n">
        <v>201208</v>
      </c>
      <c r="M13929" s="88">
        <f>VLOOKUP($Q13929,매칭테이블!$F:$I,2,0)*K13929</f>
        <v/>
      </c>
      <c r="N13929" s="88">
        <f>M13929-M13929*VLOOKUP($Q13929,매칭테이블!$F:$I,3,0)</f>
        <v/>
      </c>
      <c r="O13929" s="88">
        <f>VLOOKUP($Q13929,매칭테이블!$F:$I,4,0)*K13929</f>
        <v/>
      </c>
      <c r="P13929" s="152">
        <f>M13929/1.1</f>
        <v/>
      </c>
      <c r="Q13929" s="88">
        <f>F13929&amp;E13929&amp;G13929&amp;L13929</f>
        <v/>
      </c>
    </row>
    <row r="13930">
      <c r="B13930" s="128" t="n">
        <v>44215</v>
      </c>
      <c r="C13930" s="88">
        <f>TEXT(B13930,"aaa")</f>
        <v/>
      </c>
      <c r="D13930" s="94" t="n"/>
      <c r="E13930" s="88">
        <f>INDEX(매칭테이블!C:D,MATCH(RD!G13930,매칭테이블!D:D,0),1)</f>
        <v/>
      </c>
      <c r="F13930" s="94" t="inlineStr">
        <is>
          <t>카페24</t>
        </is>
      </c>
      <c r="G13930" s="94" t="inlineStr">
        <is>
          <t>아누아 어성초 77 수딩 토너토너(필수)=어성초 77 토너 2개-30% off (무료배송)</t>
        </is>
      </c>
      <c r="K13930" s="94" t="n">
        <v>1</v>
      </c>
      <c r="L13930" s="88" t="n">
        <v>201208</v>
      </c>
      <c r="M13930" s="88">
        <f>VLOOKUP($Q13930,매칭테이블!$F:$I,2,0)*K13930</f>
        <v/>
      </c>
      <c r="N13930" s="88">
        <f>M13930-M13930*VLOOKUP($Q13930,매칭테이블!$F:$I,3,0)</f>
        <v/>
      </c>
      <c r="O13930" s="88">
        <f>VLOOKUP($Q13930,매칭테이블!$F:$I,4,0)*K13930</f>
        <v/>
      </c>
      <c r="P13930" s="152">
        <f>M13930/1.1</f>
        <v/>
      </c>
      <c r="Q13930" s="88">
        <f>F13930&amp;E13930&amp;G13930&amp;L13930</f>
        <v/>
      </c>
    </row>
    <row r="13931">
      <c r="B13931" s="128" t="n">
        <v>44215</v>
      </c>
      <c r="C13931" s="88">
        <f>TEXT(B13931,"aaa")</f>
        <v/>
      </c>
      <c r="D13931" s="94" t="n"/>
      <c r="E13931" s="88">
        <f>INDEX(매칭테이블!C:D,MATCH(RD!G13931,매칭테이블!D:D,0),1)</f>
        <v/>
      </c>
      <c r="F13931" s="94" t="inlineStr">
        <is>
          <t>카페24</t>
        </is>
      </c>
      <c r="G13931" s="94" t="inlineStr">
        <is>
          <t>아누아 어성초 77 수딩 토너화장솜(선택)=촉촉 스킨팩 화장솜</t>
        </is>
      </c>
      <c r="K13931" s="94" t="n">
        <v>1</v>
      </c>
      <c r="L13931" s="88" t="n">
        <v>201208</v>
      </c>
      <c r="M13931" s="88">
        <f>VLOOKUP($Q13931,매칭테이블!$F:$I,2,0)*K13931</f>
        <v/>
      </c>
      <c r="N13931" s="88">
        <f>M13931-M13931*VLOOKUP($Q13931,매칭테이블!$F:$I,3,0)</f>
        <v/>
      </c>
      <c r="O13931" s="88">
        <f>VLOOKUP($Q13931,매칭테이블!$F:$I,4,0)*K13931</f>
        <v/>
      </c>
      <c r="P13931" s="152">
        <f>M13931/1.1</f>
        <v/>
      </c>
      <c r="Q13931" s="88">
        <f>F13931&amp;E13931&amp;G13931&amp;L13931</f>
        <v/>
      </c>
    </row>
    <row r="13932">
      <c r="B13932" s="128" t="n">
        <v>44215</v>
      </c>
      <c r="C13932" s="88">
        <f>TEXT(B13932,"aaa")</f>
        <v/>
      </c>
      <c r="D13932" s="94" t="n"/>
      <c r="E13932" s="88">
        <f>INDEX(매칭테이블!C:D,MATCH(RD!G13932,매칭테이블!D:D,0),1)</f>
        <v/>
      </c>
      <c r="F13932" s="94" t="inlineStr">
        <is>
          <t>카페24</t>
        </is>
      </c>
      <c r="G13932" s="94" t="inlineStr">
        <is>
          <t>어성초 70 데일리 릴리프 로션로션=어성초 70 데일리 릴리프 로션 1개 -20% off</t>
        </is>
      </c>
      <c r="K13932" s="94" t="n">
        <v>7</v>
      </c>
      <c r="L13932" s="88" t="n">
        <v>201208</v>
      </c>
      <c r="M13932" s="88">
        <f>VLOOKUP($Q13932,매칭테이블!$F:$I,2,0)*K13932</f>
        <v/>
      </c>
      <c r="N13932" s="88">
        <f>M13932-M13932*VLOOKUP($Q13932,매칭테이블!$F:$I,3,0)</f>
        <v/>
      </c>
      <c r="O13932" s="88">
        <f>VLOOKUP($Q13932,매칭테이블!$F:$I,4,0)*K13932</f>
        <v/>
      </c>
      <c r="P13932" s="152">
        <f>M13932/1.1</f>
        <v/>
      </c>
      <c r="Q13932" s="88">
        <f>F13932&amp;E13932&amp;G13932&amp;L13932</f>
        <v/>
      </c>
    </row>
    <row r="13933">
      <c r="B13933" s="128" t="n">
        <v>44215</v>
      </c>
      <c r="C13933" s="88">
        <f>TEXT(B13933,"aaa")</f>
        <v/>
      </c>
      <c r="D13933" s="94" t="n"/>
      <c r="E13933" s="88">
        <f>INDEX(매칭테이블!C:D,MATCH(RD!G13933,매칭테이블!D:D,0),1)</f>
        <v/>
      </c>
      <c r="F13933" s="94" t="inlineStr">
        <is>
          <t>카페24</t>
        </is>
      </c>
      <c r="G13933" s="94" t="inlineStr">
        <is>
          <t>어성초 70 데일리 릴리프 로션로션=어성초 70 데일리 릴리프 로션 2개 -30% off</t>
        </is>
      </c>
      <c r="K13933" s="94" t="n">
        <v>3</v>
      </c>
      <c r="L13933" s="88" t="n">
        <v>201208</v>
      </c>
      <c r="M13933" s="88">
        <f>VLOOKUP($Q13933,매칭테이블!$F:$I,2,0)*K13933</f>
        <v/>
      </c>
      <c r="N13933" s="88">
        <f>M13933-M13933*VLOOKUP($Q13933,매칭테이블!$F:$I,3,0)</f>
        <v/>
      </c>
      <c r="O13933" s="88">
        <f>VLOOKUP($Q13933,매칭테이블!$F:$I,4,0)*K13933</f>
        <v/>
      </c>
      <c r="P13933" s="152">
        <f>M13933/1.1</f>
        <v/>
      </c>
      <c r="Q13933" s="88">
        <f>F13933&amp;E13933&amp;G13933&amp;L13933</f>
        <v/>
      </c>
    </row>
    <row r="13934">
      <c r="B13934" s="128" t="n">
        <v>44215</v>
      </c>
      <c r="C13934" s="88">
        <f>TEXT(B13934,"aaa")</f>
        <v/>
      </c>
      <c r="D13934" s="94" t="n"/>
      <c r="E13934" s="88">
        <f>INDEX(매칭테이블!C:D,MATCH(RD!G13934,매칭테이블!D:D,0),1)</f>
        <v/>
      </c>
      <c r="F13934" s="94" t="inlineStr">
        <is>
          <t>카페24</t>
        </is>
      </c>
      <c r="G13934" s="94" t="inlineStr">
        <is>
          <t>어성초 70 데일리 릴리프 로션로션=어성초 77토너 + 어성초 70 로션 수분 보충 세트 -30% off</t>
        </is>
      </c>
      <c r="K13934" s="94" t="n">
        <v>3</v>
      </c>
      <c r="L13934" s="88" t="n">
        <v>201208</v>
      </c>
      <c r="M13934" s="88">
        <f>VLOOKUP($Q13934,매칭테이블!$F:$I,2,0)*K13934</f>
        <v/>
      </c>
      <c r="N13934" s="88">
        <f>M13934-M13934*VLOOKUP($Q13934,매칭테이블!$F:$I,3,0)</f>
        <v/>
      </c>
      <c r="O13934" s="88">
        <f>VLOOKUP($Q13934,매칭테이블!$F:$I,4,0)*K13934</f>
        <v/>
      </c>
      <c r="P13934" s="152">
        <f>M13934/1.1</f>
        <v/>
      </c>
      <c r="Q13934" s="88">
        <f>F13934&amp;E13934&amp;G13934&amp;L13934</f>
        <v/>
      </c>
    </row>
    <row r="13935">
      <c r="B13935" s="128" t="n">
        <v>44215</v>
      </c>
      <c r="C13935" s="88">
        <f>TEXT(B13935,"aaa")</f>
        <v/>
      </c>
      <c r="D13935" s="94" t="n"/>
      <c r="E13935" s="88">
        <f>INDEX(매칭테이블!C:D,MATCH(RD!G13935,매칭테이블!D:D,0),1)</f>
        <v/>
      </c>
      <c r="F13935" s="94" t="inlineStr">
        <is>
          <t>카페24</t>
        </is>
      </c>
      <c r="G13935" s="94" t="inlineStr">
        <is>
          <t>어성초 70 머드 크림 마스크옵션=어성초 70 머드 크림 마스크-20% off</t>
        </is>
      </c>
      <c r="K13935" s="94" t="n">
        <v>5</v>
      </c>
      <c r="L13935" s="88" t="n">
        <v>201208</v>
      </c>
      <c r="M13935" s="88">
        <f>VLOOKUP($Q13935,매칭테이블!$F:$I,2,0)*K13935</f>
        <v/>
      </c>
      <c r="N13935" s="88">
        <f>M13935-M13935*VLOOKUP($Q13935,매칭테이블!$F:$I,3,0)</f>
        <v/>
      </c>
      <c r="O13935" s="88">
        <f>VLOOKUP($Q13935,매칭테이블!$F:$I,4,0)*K13935</f>
        <v/>
      </c>
      <c r="P13935" s="152">
        <f>M13935/1.1</f>
        <v/>
      </c>
      <c r="Q13935" s="88">
        <f>F13935&amp;E13935&amp;G13935&amp;L13935</f>
        <v/>
      </c>
    </row>
    <row r="13936">
      <c r="B13936" s="128" t="n">
        <v>44215</v>
      </c>
      <c r="C13936" s="88">
        <f>TEXT(B13936,"aaa")</f>
        <v/>
      </c>
      <c r="D13936" s="94" t="n"/>
      <c r="E13936" s="88">
        <f>INDEX(매칭테이블!C:D,MATCH(RD!G13936,매칭테이블!D:D,0),1)</f>
        <v/>
      </c>
      <c r="F13936" s="94" t="inlineStr">
        <is>
          <t>카페24</t>
        </is>
      </c>
      <c r="G13936" s="94" t="inlineStr">
        <is>
          <t>어성초 70 머드 크림 마스크옵션=어성초 70 머드 크림 마스크 2개-30% off (무료배송)</t>
        </is>
      </c>
      <c r="K13936" s="94" t="n">
        <v>1</v>
      </c>
      <c r="L13936" s="88" t="n">
        <v>201208</v>
      </c>
      <c r="M13936" s="88">
        <f>VLOOKUP($Q13936,매칭테이블!$F:$I,2,0)*K13936</f>
        <v/>
      </c>
      <c r="N13936" s="88">
        <f>M13936-M13936*VLOOKUP($Q13936,매칭테이블!$F:$I,3,0)</f>
        <v/>
      </c>
      <c r="O13936" s="88">
        <f>VLOOKUP($Q13936,매칭테이블!$F:$I,4,0)*K13936</f>
        <v/>
      </c>
      <c r="P13936" s="152">
        <f>M13936/1.1</f>
        <v/>
      </c>
      <c r="Q13936" s="88">
        <f>F13936&amp;E13936&amp;G13936&amp;L13936</f>
        <v/>
      </c>
    </row>
    <row r="13937">
      <c r="B13937" s="128" t="n">
        <v>44215</v>
      </c>
      <c r="C13937" s="88">
        <f>TEXT(B13937,"aaa")</f>
        <v/>
      </c>
      <c r="D13937" s="94" t="n"/>
      <c r="E13937" s="88">
        <f>INDEX(매칭테이블!C:D,MATCH(RD!G13937,매칭테이블!D:D,0),1)</f>
        <v/>
      </c>
      <c r="F13937" s="94" t="inlineStr">
        <is>
          <t>카페24</t>
        </is>
      </c>
      <c r="G13937" s="94" t="inlineStr">
        <is>
          <t>어성초 70 인텐스 카밍 크림크림=어성초 70 인텐스 카밍 크림 1개 (-20%)</t>
        </is>
      </c>
      <c r="K13937" s="94" t="n">
        <v>2</v>
      </c>
      <c r="L13937" s="88" t="n">
        <v>201208</v>
      </c>
      <c r="M13937" s="88">
        <f>VLOOKUP($Q13937,매칭테이블!$F:$I,2,0)*K13937</f>
        <v/>
      </c>
      <c r="N13937" s="88">
        <f>M13937-M13937*VLOOKUP($Q13937,매칭테이블!$F:$I,3,0)</f>
        <v/>
      </c>
      <c r="O13937" s="88">
        <f>VLOOKUP($Q13937,매칭테이블!$F:$I,4,0)*K13937</f>
        <v/>
      </c>
      <c r="P13937" s="152">
        <f>M13937/1.1</f>
        <v/>
      </c>
      <c r="Q13937" s="88">
        <f>F13937&amp;E13937&amp;G13937&amp;L13937</f>
        <v/>
      </c>
    </row>
    <row r="13938">
      <c r="B13938" s="128" t="n">
        <v>44215</v>
      </c>
      <c r="C13938" s="88">
        <f>TEXT(B13938,"aaa")</f>
        <v/>
      </c>
      <c r="D13938" s="94" t="n"/>
      <c r="E13938" s="88">
        <f>INDEX(매칭테이블!C:D,MATCH(RD!G13938,매칭테이블!D:D,0),1)</f>
        <v/>
      </c>
      <c r="F13938" s="94" t="inlineStr">
        <is>
          <t>카페24</t>
        </is>
      </c>
      <c r="G13938" s="94" t="inlineStr">
        <is>
          <t>어성초 70 인텐스 카밍 크림크림=어성초 70 인텐스 카밍 크림 2개 (-30%)</t>
        </is>
      </c>
      <c r="K13938" s="94" t="n">
        <v>2</v>
      </c>
      <c r="L13938" s="88" t="n">
        <v>201208</v>
      </c>
      <c r="M13938" s="88">
        <f>VLOOKUP($Q13938,매칭테이블!$F:$I,2,0)*K13938</f>
        <v/>
      </c>
      <c r="N13938" s="88">
        <f>M13938-M13938*VLOOKUP($Q13938,매칭테이블!$F:$I,3,0)</f>
        <v/>
      </c>
      <c r="O13938" s="88">
        <f>VLOOKUP($Q13938,매칭테이블!$F:$I,4,0)*K13938</f>
        <v/>
      </c>
      <c r="P13938" s="152">
        <f>M13938/1.1</f>
        <v/>
      </c>
      <c r="Q13938" s="88">
        <f>F13938&amp;E13938&amp;G13938&amp;L13938</f>
        <v/>
      </c>
    </row>
    <row r="13939">
      <c r="B13939" s="128" t="n">
        <v>44215</v>
      </c>
      <c r="C13939" s="88">
        <f>TEXT(B13939,"aaa")</f>
        <v/>
      </c>
      <c r="D13939" s="94" t="n"/>
      <c r="E13939" s="88">
        <f>INDEX(매칭테이블!C:D,MATCH(RD!G13939,매칭테이블!D:D,0),1)</f>
        <v/>
      </c>
      <c r="F13939" s="94" t="inlineStr">
        <is>
          <t>카페24</t>
        </is>
      </c>
      <c r="G13939" s="94" t="inlineStr">
        <is>
          <t>어성초 70 인텐스 카밍 크림크림=어성초 토너 250ml + 카밍 크림 50ml (-30%)</t>
        </is>
      </c>
      <c r="K13939" s="94" t="n">
        <v>2</v>
      </c>
      <c r="L13939" s="88" t="n">
        <v>201208</v>
      </c>
      <c r="M13939" s="88">
        <f>VLOOKUP($Q13939,매칭테이블!$F:$I,2,0)*K13939</f>
        <v/>
      </c>
      <c r="N13939" s="88">
        <f>M13939-M13939*VLOOKUP($Q13939,매칭테이블!$F:$I,3,0)</f>
        <v/>
      </c>
      <c r="O13939" s="88">
        <f>VLOOKUP($Q13939,매칭테이블!$F:$I,4,0)*K13939</f>
        <v/>
      </c>
      <c r="P13939" s="152">
        <f>M13939/1.1</f>
        <v/>
      </c>
      <c r="Q13939" s="88">
        <f>F13939&amp;E13939&amp;G13939&amp;L13939</f>
        <v/>
      </c>
    </row>
    <row r="13940">
      <c r="B13940" s="128" t="n">
        <v>44215</v>
      </c>
      <c r="C13940" s="88">
        <f>TEXT(B13940,"aaa")</f>
        <v/>
      </c>
      <c r="D13940" s="94" t="n"/>
      <c r="E13940" s="88">
        <f>INDEX(매칭테이블!C:D,MATCH(RD!G13940,매칭테이블!D:D,0),1)</f>
        <v/>
      </c>
      <c r="F13940" s="94" t="inlineStr">
        <is>
          <t>카페24</t>
        </is>
      </c>
      <c r="G13940" s="94" t="inlineStr">
        <is>
          <t>어성초 77 수딩 토너옵션=어성초 77 토너 1개-20% off</t>
        </is>
      </c>
      <c r="K13940" s="94" t="n">
        <v>62</v>
      </c>
      <c r="L13940" s="88" t="n">
        <v>201208</v>
      </c>
      <c r="M13940" s="88">
        <f>VLOOKUP($Q13940,매칭테이블!$F:$I,2,0)*K13940</f>
        <v/>
      </c>
      <c r="N13940" s="88">
        <f>M13940-M13940*VLOOKUP($Q13940,매칭테이블!$F:$I,3,0)</f>
        <v/>
      </c>
      <c r="O13940" s="88">
        <f>VLOOKUP($Q13940,매칭테이블!$F:$I,4,0)*K13940</f>
        <v/>
      </c>
      <c r="P13940" s="152">
        <f>M13940/1.1</f>
        <v/>
      </c>
      <c r="Q13940" s="88">
        <f>F13940&amp;E13940&amp;G13940&amp;L13940</f>
        <v/>
      </c>
    </row>
    <row r="13941">
      <c r="B13941" s="128" t="n">
        <v>44215</v>
      </c>
      <c r="C13941" s="88">
        <f>TEXT(B13941,"aaa")</f>
        <v/>
      </c>
      <c r="D13941" s="94" t="n"/>
      <c r="E13941" s="88">
        <f>INDEX(매칭테이블!C:D,MATCH(RD!G13941,매칭테이블!D:D,0),1)</f>
        <v/>
      </c>
      <c r="F13941" s="94" t="inlineStr">
        <is>
          <t>카페24</t>
        </is>
      </c>
      <c r="G13941" s="94" t="inlineStr">
        <is>
          <t>어성초 77 수딩 토너옵션=</t>
        </is>
      </c>
      <c r="K13941" s="94" t="n">
        <v>9</v>
      </c>
      <c r="L13941" s="88" t="n">
        <v>201208</v>
      </c>
      <c r="M13941" s="88">
        <f>VLOOKUP($Q13941,매칭테이블!$F:$I,2,0)*K13941</f>
        <v/>
      </c>
      <c r="N13941" s="88">
        <f>M13941-M13941*VLOOKUP($Q13941,매칭테이블!$F:$I,3,0)</f>
        <v/>
      </c>
      <c r="O13941" s="88">
        <f>VLOOKUP($Q13941,매칭테이블!$F:$I,4,0)*K13941</f>
        <v/>
      </c>
      <c r="P13941" s="152">
        <f>M13941/1.1</f>
        <v/>
      </c>
      <c r="Q13941" s="88">
        <f>F13941&amp;E13941&amp;G13941&amp;L13941</f>
        <v/>
      </c>
    </row>
    <row r="13942">
      <c r="B13942" s="128" t="n">
        <v>44215</v>
      </c>
      <c r="C13942" s="88">
        <f>TEXT(B13942,"aaa")</f>
        <v/>
      </c>
      <c r="D13942" s="94" t="n"/>
      <c r="E13942" s="88">
        <f>INDEX(매칭테이블!C:D,MATCH(RD!G13942,매칭테이블!D:D,0),1)</f>
        <v/>
      </c>
      <c r="F13942" s="94" t="inlineStr">
        <is>
          <t>카페24</t>
        </is>
      </c>
      <c r="G13942" s="94" t="inlineStr">
        <is>
          <t>어성초 77 수딩 토너옵션=BEST어성초 77 토너 2개-30% off (무료배송)</t>
        </is>
      </c>
      <c r="K13942" s="94" t="n">
        <v>32</v>
      </c>
      <c r="L13942" s="88" t="n">
        <v>201208</v>
      </c>
      <c r="M13942" s="88">
        <f>VLOOKUP($Q13942,매칭테이블!$F:$I,2,0)*K13942</f>
        <v/>
      </c>
      <c r="N13942" s="88">
        <f>M13942-M13942*VLOOKUP($Q13942,매칭테이블!$F:$I,3,0)</f>
        <v/>
      </c>
      <c r="O13942" s="88">
        <f>VLOOKUP($Q13942,매칭테이블!$F:$I,4,0)*K13942</f>
        <v/>
      </c>
      <c r="P13942" s="152">
        <f>M13942/1.1</f>
        <v/>
      </c>
      <c r="Q13942" s="88">
        <f>F13942&amp;E13942&amp;G13942&amp;L13942</f>
        <v/>
      </c>
    </row>
    <row r="13943">
      <c r="B13943" s="128" t="n">
        <v>44215</v>
      </c>
      <c r="C13943" s="88">
        <f>TEXT(B13943,"aaa")</f>
        <v/>
      </c>
      <c r="D13943" s="94" t="n"/>
      <c r="E13943" s="88">
        <f>INDEX(매칭테이블!C:D,MATCH(RD!G13943,매칭테이블!D:D,0),1)</f>
        <v/>
      </c>
      <c r="F13943" s="94" t="inlineStr">
        <is>
          <t>카페24</t>
        </is>
      </c>
      <c r="G13943" s="94" t="inlineStr">
        <is>
          <t>어성초 77 수딩 토너옵션=어성초 77토너1개 + 어성초77패드1개 -30% off (무료배송)</t>
        </is>
      </c>
      <c r="K13943" s="94" t="n">
        <v>18</v>
      </c>
      <c r="L13943" s="88" t="n">
        <v>201208</v>
      </c>
      <c r="M13943" s="88">
        <f>VLOOKUP($Q13943,매칭테이블!$F:$I,2,0)*K13943</f>
        <v/>
      </c>
      <c r="N13943" s="88">
        <f>M13943-M13943*VLOOKUP($Q13943,매칭테이블!$F:$I,3,0)</f>
        <v/>
      </c>
      <c r="O13943" s="88">
        <f>VLOOKUP($Q13943,매칭테이블!$F:$I,4,0)*K13943</f>
        <v/>
      </c>
      <c r="P13943" s="152">
        <f>M13943/1.1</f>
        <v/>
      </c>
      <c r="Q13943" s="88">
        <f>F13943&amp;E13943&amp;G13943&amp;L13943</f>
        <v/>
      </c>
    </row>
    <row r="13944">
      <c r="B13944" s="128" t="n">
        <v>44215</v>
      </c>
      <c r="C13944" s="88">
        <f>TEXT(B13944,"aaa")</f>
        <v/>
      </c>
      <c r="D13944" s="94" t="n"/>
      <c r="E13944" s="88">
        <f>INDEX(매칭테이블!C:D,MATCH(RD!G13944,매칭테이블!D:D,0),1)</f>
        <v/>
      </c>
      <c r="F13944" s="94" t="inlineStr">
        <is>
          <t>카페24</t>
        </is>
      </c>
      <c r="G13944" s="94" t="inlineStr">
        <is>
          <t>어성초 77 수딩 토너화장솜(선택)=촉촉 스킨팩 화장솜</t>
        </is>
      </c>
      <c r="K13944" s="94" t="n">
        <v>32</v>
      </c>
      <c r="L13944" s="88" t="n">
        <v>201208</v>
      </c>
      <c r="M13944" s="88">
        <f>VLOOKUP($Q13944,매칭테이블!$F:$I,2,0)*K13944</f>
        <v/>
      </c>
      <c r="N13944" s="88">
        <f>M13944-M13944*VLOOKUP($Q13944,매칭테이블!$F:$I,3,0)</f>
        <v/>
      </c>
      <c r="O13944" s="88">
        <f>VLOOKUP($Q13944,매칭테이블!$F:$I,4,0)*K13944</f>
        <v/>
      </c>
      <c r="P13944" s="152">
        <f>M13944/1.1</f>
        <v/>
      </c>
      <c r="Q13944" s="88">
        <f>F13944&amp;E13944&amp;G13944&amp;L13944</f>
        <v/>
      </c>
    </row>
    <row r="13945">
      <c r="B13945" s="128" t="n">
        <v>44215</v>
      </c>
      <c r="C13945" s="88">
        <f>TEXT(B13945,"aaa")</f>
        <v/>
      </c>
      <c r="D13945" s="94" t="n"/>
      <c r="E13945" s="88">
        <f>INDEX(매칭테이블!C:D,MATCH(RD!G13945,매칭테이블!D:D,0),1)</f>
        <v/>
      </c>
      <c r="F13945" s="94" t="inlineStr">
        <is>
          <t>카페24</t>
        </is>
      </c>
      <c r="G13945" s="94" t="inlineStr">
        <is>
          <t>어성초 77 진정 마스크옵션=어성초 77 진정 마스크팩 10장-50% off</t>
        </is>
      </c>
      <c r="K13945" s="94" t="n">
        <v>1</v>
      </c>
      <c r="L13945" s="88" t="n">
        <v>201208</v>
      </c>
      <c r="M13945" s="88">
        <f>VLOOKUP($Q13945,매칭테이블!$F:$I,2,0)*K13945</f>
        <v/>
      </c>
      <c r="N13945" s="88">
        <f>M13945-M13945*VLOOKUP($Q13945,매칭테이블!$F:$I,3,0)</f>
        <v/>
      </c>
      <c r="O13945" s="88">
        <f>VLOOKUP($Q13945,매칭테이블!$F:$I,4,0)*K13945</f>
        <v/>
      </c>
      <c r="P13945" s="152">
        <f>M13945/1.1</f>
        <v/>
      </c>
      <c r="Q13945" s="88">
        <f>F13945&amp;E13945&amp;G13945&amp;L13945</f>
        <v/>
      </c>
    </row>
    <row r="13946">
      <c r="B13946" s="128" t="n">
        <v>44215</v>
      </c>
      <c r="C13946" s="88">
        <f>TEXT(B13946,"aaa")</f>
        <v/>
      </c>
      <c r="D13946" s="94" t="n"/>
      <c r="E13946" s="88">
        <f>INDEX(매칭테이블!C:D,MATCH(RD!G13946,매칭테이블!D:D,0),1)</f>
        <v/>
      </c>
      <c r="F13946" s="94" t="inlineStr">
        <is>
          <t>카페24</t>
        </is>
      </c>
      <c r="G13946" s="94" t="inlineStr">
        <is>
          <t>어성초 77 진정 마스크</t>
        </is>
      </c>
      <c r="K13946" s="94" t="n">
        <v>3</v>
      </c>
      <c r="L13946" s="88" t="n">
        <v>201208</v>
      </c>
      <c r="M13946" s="88">
        <f>VLOOKUP($Q13946,매칭테이블!$F:$I,2,0)*K13946</f>
        <v/>
      </c>
      <c r="N13946" s="88">
        <f>M13946-M13946*VLOOKUP($Q13946,매칭테이블!$F:$I,3,0)</f>
        <v/>
      </c>
      <c r="O13946" s="88">
        <f>VLOOKUP($Q13946,매칭테이블!$F:$I,4,0)*K13946</f>
        <v/>
      </c>
      <c r="P13946" s="152">
        <f>M13946/1.1</f>
        <v/>
      </c>
      <c r="Q13946" s="88">
        <f>F13946&amp;E13946&amp;G13946&amp;L13946</f>
        <v/>
      </c>
    </row>
    <row r="13947">
      <c r="B13947" s="128" t="n">
        <v>44215</v>
      </c>
      <c r="C13947" s="88">
        <f>TEXT(B13947,"aaa")</f>
        <v/>
      </c>
      <c r="D13947" s="94" t="n"/>
      <c r="E13947" s="88">
        <f>INDEX(매칭테이블!C:D,MATCH(RD!G13947,매칭테이블!D:D,0),1)</f>
        <v/>
      </c>
      <c r="F13947" s="94" t="inlineStr">
        <is>
          <t>카페24</t>
        </is>
      </c>
      <c r="G13947" s="94" t="inlineStr">
        <is>
          <t>어성초 78 수딩 크림</t>
        </is>
      </c>
      <c r="K13947" s="94" t="n">
        <v>8</v>
      </c>
      <c r="L13947" s="88" t="n">
        <v>201208</v>
      </c>
      <c r="M13947" s="88">
        <f>VLOOKUP($Q13947,매칭테이블!$F:$I,2,0)*K13947</f>
        <v/>
      </c>
      <c r="N13947" s="88">
        <f>M13947-M13947*VLOOKUP($Q13947,매칭테이블!$F:$I,3,0)</f>
        <v/>
      </c>
      <c r="O13947" s="88">
        <f>VLOOKUP($Q13947,매칭테이블!$F:$I,4,0)*K13947</f>
        <v/>
      </c>
      <c r="P13947" s="152">
        <f>M13947/1.1</f>
        <v/>
      </c>
      <c r="Q13947" s="88">
        <f>F13947&amp;E13947&amp;G13947&amp;L13947</f>
        <v/>
      </c>
    </row>
    <row r="13948">
      <c r="B13948" s="128" t="n">
        <v>44215</v>
      </c>
      <c r="C13948" s="88">
        <f>TEXT(B13948,"aaa")</f>
        <v/>
      </c>
      <c r="D13948" s="94" t="n"/>
      <c r="E13948" s="88">
        <f>INDEX(매칭테이블!C:D,MATCH(RD!G13948,매칭테이블!D:D,0),1)</f>
        <v/>
      </c>
      <c r="F13948" s="94" t="inlineStr">
        <is>
          <t>카페24</t>
        </is>
      </c>
      <c r="G13948" s="94" t="inlineStr">
        <is>
          <t>어성초 78 수딩 크림</t>
        </is>
      </c>
      <c r="K13948" s="94" t="n">
        <v>3</v>
      </c>
      <c r="L13948" s="88" t="n">
        <v>201208</v>
      </c>
      <c r="M13948" s="88">
        <f>VLOOKUP($Q13948,매칭테이블!$F:$I,2,0)*K13948</f>
        <v/>
      </c>
      <c r="N13948" s="88">
        <f>M13948-M13948*VLOOKUP($Q13948,매칭테이블!$F:$I,3,0)</f>
        <v/>
      </c>
      <c r="O13948" s="88">
        <f>VLOOKUP($Q13948,매칭테이블!$F:$I,4,0)*K13948</f>
        <v/>
      </c>
      <c r="P13948" s="152">
        <f>M13948/1.1</f>
        <v/>
      </c>
      <c r="Q13948" s="88">
        <f>F13948&amp;E13948&amp;G13948&amp;L13948</f>
        <v/>
      </c>
    </row>
    <row r="13949">
      <c r="B13949" s="128" t="n">
        <v>44215</v>
      </c>
      <c r="C13949" s="88">
        <f>TEXT(B13949,"aaa")</f>
        <v/>
      </c>
      <c r="D13949" s="94" t="n"/>
      <c r="E13949" s="88">
        <f>INDEX(매칭테이블!C:D,MATCH(RD!G13949,매칭테이블!D:D,0),1)</f>
        <v/>
      </c>
      <c r="F13949" s="94" t="inlineStr">
        <is>
          <t>카페24</t>
        </is>
      </c>
      <c r="G13949" s="94" t="inlineStr">
        <is>
          <t>어성초 80 수분 진정 앰플앰플=어성초 80 앰플 1개-15%off</t>
        </is>
      </c>
      <c r="K13949" s="94" t="n">
        <v>12</v>
      </c>
      <c r="L13949" s="88" t="n">
        <v>201208</v>
      </c>
      <c r="M13949" s="88">
        <f>VLOOKUP($Q13949,매칭테이블!$F:$I,2,0)*K13949</f>
        <v/>
      </c>
      <c r="N13949" s="88">
        <f>M13949-M13949*VLOOKUP($Q13949,매칭테이블!$F:$I,3,0)</f>
        <v/>
      </c>
      <c r="O13949" s="88">
        <f>VLOOKUP($Q13949,매칭테이블!$F:$I,4,0)*K13949</f>
        <v/>
      </c>
      <c r="P13949" s="152">
        <f>M13949/1.1</f>
        <v/>
      </c>
      <c r="Q13949" s="88">
        <f>F13949&amp;E13949&amp;G13949&amp;L13949</f>
        <v/>
      </c>
    </row>
    <row r="13950">
      <c r="B13950" s="128" t="n">
        <v>44215</v>
      </c>
      <c r="C13950" s="88">
        <f>TEXT(B13950,"aaa")</f>
        <v/>
      </c>
      <c r="D13950" s="94" t="n"/>
      <c r="E13950" s="88">
        <f>INDEX(매칭테이블!C:D,MATCH(RD!G13950,매칭테이블!D:D,0),1)</f>
        <v/>
      </c>
      <c r="F13950" s="94" t="inlineStr">
        <is>
          <t>카페24</t>
        </is>
      </c>
      <c r="G13950" s="94" t="inlineStr">
        <is>
          <t>어성초 80 수분 진정 앰플앰플=어성초 80 앰플 2개-27%off (무료배송)</t>
        </is>
      </c>
      <c r="K13950" s="94" t="n">
        <v>7</v>
      </c>
      <c r="L13950" s="88" t="n">
        <v>201208</v>
      </c>
      <c r="M13950" s="88">
        <f>VLOOKUP($Q13950,매칭테이블!$F:$I,2,0)*K13950</f>
        <v/>
      </c>
      <c r="N13950" s="88">
        <f>M13950-M13950*VLOOKUP($Q13950,매칭테이블!$F:$I,3,0)</f>
        <v/>
      </c>
      <c r="O13950" s="88">
        <f>VLOOKUP($Q13950,매칭테이블!$F:$I,4,0)*K13950</f>
        <v/>
      </c>
      <c r="P13950" s="152">
        <f>M13950/1.1</f>
        <v/>
      </c>
      <c r="Q13950" s="88">
        <f>F13950&amp;E13950&amp;G13950&amp;L13950</f>
        <v/>
      </c>
    </row>
    <row r="13951">
      <c r="B13951" s="128" t="n">
        <v>44215</v>
      </c>
      <c r="C13951" s="88">
        <f>TEXT(B13951,"aaa")</f>
        <v/>
      </c>
      <c r="D13951" s="94" t="n"/>
      <c r="E13951" s="88">
        <f>INDEX(매칭테이블!C:D,MATCH(RD!G13951,매칭테이블!D:D,0),1)</f>
        <v/>
      </c>
      <c r="F13951" s="94" t="inlineStr">
        <is>
          <t>카페24</t>
        </is>
      </c>
      <c r="G13951" s="94" t="inlineStr">
        <is>
          <t>어성초 80 수분 진정 앰플</t>
        </is>
      </c>
      <c r="K13951" s="94" t="n">
        <v>3</v>
      </c>
      <c r="L13951" s="88" t="n">
        <v>201208</v>
      </c>
      <c r="M13951" s="88">
        <f>VLOOKUP($Q13951,매칭테이블!$F:$I,2,0)*K13951</f>
        <v/>
      </c>
      <c r="N13951" s="88">
        <f>M13951-M13951*VLOOKUP($Q13951,매칭테이블!$F:$I,3,0)</f>
        <v/>
      </c>
      <c r="O13951" s="88">
        <f>VLOOKUP($Q13951,매칭테이블!$F:$I,4,0)*K13951</f>
        <v/>
      </c>
      <c r="P13951" s="152">
        <f>M13951/1.1</f>
        <v/>
      </c>
      <c r="Q13951" s="88">
        <f>F13951&amp;E13951&amp;G13951&amp;L13951</f>
        <v/>
      </c>
    </row>
    <row r="13952">
      <c r="B13952" s="128" t="n">
        <v>44215</v>
      </c>
      <c r="C13952" s="88">
        <f>TEXT(B13952,"aaa")</f>
        <v/>
      </c>
      <c r="D13952" s="94" t="n"/>
      <c r="E13952" s="88">
        <f>INDEX(매칭테이블!C:D,MATCH(RD!G13952,매칭테이블!D:D,0),1)</f>
        <v/>
      </c>
      <c r="F13952" s="94" t="inlineStr">
        <is>
          <t>카페24</t>
        </is>
      </c>
      <c r="G13952" s="94" t="inlineStr">
        <is>
          <t>어성초 아크네 바디워시옵션=어성초 아크네 바디워시 1개 -30% off</t>
        </is>
      </c>
      <c r="K13952" s="94" t="n">
        <v>3</v>
      </c>
      <c r="L13952" s="88" t="n">
        <v>201208</v>
      </c>
      <c r="M13952" s="88">
        <f>VLOOKUP($Q13952,매칭테이블!$F:$I,2,0)*K13952</f>
        <v/>
      </c>
      <c r="N13952" s="88">
        <f>M13952-M13952*VLOOKUP($Q13952,매칭테이블!$F:$I,3,0)</f>
        <v/>
      </c>
      <c r="O13952" s="88">
        <f>VLOOKUP($Q13952,매칭테이블!$F:$I,4,0)*K13952</f>
        <v/>
      </c>
      <c r="P13952" s="152">
        <f>M13952/1.1</f>
        <v/>
      </c>
      <c r="Q13952" s="88">
        <f>F13952&amp;E13952&amp;G13952&amp;L13952</f>
        <v/>
      </c>
    </row>
    <row r="13953">
      <c r="B13953" s="128" t="n">
        <v>44215</v>
      </c>
      <c r="C13953" s="88">
        <f>TEXT(B13953,"aaa")</f>
        <v/>
      </c>
      <c r="D13953" s="94" t="n"/>
      <c r="E13953" s="88">
        <f>INDEX(매칭테이블!C:D,MATCH(RD!G13953,매칭테이블!D:D,0),1)</f>
        <v/>
      </c>
      <c r="F13953" s="94" t="inlineStr">
        <is>
          <t>카페24</t>
        </is>
      </c>
      <c r="G13953" s="94" t="inlineStr">
        <is>
          <t>어성초 아크네 바디워시옵션=어성초 아크네 바디워시 2개 -35% off (무료배송)</t>
        </is>
      </c>
      <c r="K13953" s="94" t="n">
        <v>2</v>
      </c>
      <c r="L13953" s="88" t="n">
        <v>201208</v>
      </c>
      <c r="M13953" s="88">
        <f>VLOOKUP($Q13953,매칭테이블!$F:$I,2,0)*K13953</f>
        <v/>
      </c>
      <c r="N13953" s="88">
        <f>M13953-M13953*VLOOKUP($Q13953,매칭테이블!$F:$I,3,0)</f>
        <v/>
      </c>
      <c r="O13953" s="88">
        <f>VLOOKUP($Q13953,매칭테이블!$F:$I,4,0)*K13953</f>
        <v/>
      </c>
      <c r="P13953" s="152">
        <f>M13953/1.1</f>
        <v/>
      </c>
      <c r="Q13953" s="88">
        <f>F13953&amp;E13953&amp;G13953&amp;L13953</f>
        <v/>
      </c>
    </row>
    <row r="13954">
      <c r="B13954" s="128" t="n">
        <v>44215</v>
      </c>
      <c r="C13954" s="88">
        <f>TEXT(B13954,"aaa")</f>
        <v/>
      </c>
      <c r="D13954" s="94" t="n"/>
      <c r="E13954" s="88">
        <f>INDEX(매칭테이블!C:D,MATCH(RD!G13954,매칭테이블!D:D,0),1)</f>
        <v/>
      </c>
      <c r="F13954" s="94" t="inlineStr">
        <is>
          <t>카페24</t>
        </is>
      </c>
      <c r="G13954" s="94" t="inlineStr">
        <is>
          <t>어성초 약산성 클렌징폼클렌징폼=어성초 약산성 클렌징폼 1개 -19%off</t>
        </is>
      </c>
      <c r="K13954" s="94" t="n">
        <v>20</v>
      </c>
      <c r="L13954" s="88" t="n">
        <v>201208</v>
      </c>
      <c r="M13954" s="88">
        <f>VLOOKUP($Q13954,매칭테이블!$F:$I,2,0)*K13954</f>
        <v/>
      </c>
      <c r="N13954" s="88">
        <f>M13954-M13954*VLOOKUP($Q13954,매칭테이블!$F:$I,3,0)</f>
        <v/>
      </c>
      <c r="O13954" s="88">
        <f>VLOOKUP($Q13954,매칭테이블!$F:$I,4,0)*K13954</f>
        <v/>
      </c>
      <c r="P13954" s="152">
        <f>M13954/1.1</f>
        <v/>
      </c>
      <c r="Q13954" s="88">
        <f>F13954&amp;E13954&amp;G13954&amp;L13954</f>
        <v/>
      </c>
    </row>
    <row r="13955">
      <c r="B13955" s="128" t="n">
        <v>44215</v>
      </c>
      <c r="C13955" s="88">
        <f>TEXT(B13955,"aaa")</f>
        <v/>
      </c>
      <c r="D13955" s="94" t="n"/>
      <c r="E13955" s="88">
        <f>INDEX(매칭테이블!C:D,MATCH(RD!G13955,매칭테이블!D:D,0),1)</f>
        <v/>
      </c>
      <c r="F13955" s="94" t="inlineStr">
        <is>
          <t>카페24</t>
        </is>
      </c>
      <c r="G13955" s="94" t="inlineStr">
        <is>
          <t>어성초 약산성 클렌징폼클렌징폼=어성초 약산성 클렌징폼 2개 -25%off</t>
        </is>
      </c>
      <c r="K13955" s="94" t="n">
        <v>5</v>
      </c>
      <c r="L13955" s="88" t="n">
        <v>201208</v>
      </c>
      <c r="M13955" s="88">
        <f>VLOOKUP($Q13955,매칭테이블!$F:$I,2,0)*K13955</f>
        <v/>
      </c>
      <c r="N13955" s="88">
        <f>M13955-M13955*VLOOKUP($Q13955,매칭테이블!$F:$I,3,0)</f>
        <v/>
      </c>
      <c r="O13955" s="88">
        <f>VLOOKUP($Q13955,매칭테이블!$F:$I,4,0)*K13955</f>
        <v/>
      </c>
      <c r="P13955" s="152">
        <f>M13955/1.1</f>
        <v/>
      </c>
      <c r="Q13955" s="88">
        <f>F13955&amp;E13955&amp;G13955&amp;L13955</f>
        <v/>
      </c>
    </row>
    <row r="13956">
      <c r="B13956" s="128" t="n">
        <v>44215</v>
      </c>
      <c r="C13956" s="88">
        <f>TEXT(B13956,"aaa")</f>
        <v/>
      </c>
      <c r="D13956" s="94" t="n"/>
      <c r="E13956" s="88">
        <f>INDEX(매칭테이블!C:D,MATCH(RD!G13956,매칭테이블!D:D,0),1)</f>
        <v/>
      </c>
      <c r="F13956" s="94" t="inlineStr">
        <is>
          <t>카페24</t>
        </is>
      </c>
      <c r="G13956" s="94" t="inlineStr">
        <is>
          <t>어성초 약산성 클렌징폼클렌징폼=어성초 약산성 클렌징폼 3개 -31%off (무료배송)</t>
        </is>
      </c>
      <c r="K13956" s="94" t="n">
        <v>3</v>
      </c>
      <c r="L13956" s="88" t="n">
        <v>201208</v>
      </c>
      <c r="M13956" s="88">
        <f>VLOOKUP($Q13956,매칭테이블!$F:$I,2,0)*K13956</f>
        <v/>
      </c>
      <c r="N13956" s="88">
        <f>M13956-M13956*VLOOKUP($Q13956,매칭테이블!$F:$I,3,0)</f>
        <v/>
      </c>
      <c r="O13956" s="88">
        <f>VLOOKUP($Q13956,매칭테이블!$F:$I,4,0)*K13956</f>
        <v/>
      </c>
      <c r="P13956" s="152">
        <f>M13956/1.1</f>
        <v/>
      </c>
      <c r="Q13956" s="88">
        <f>F13956&amp;E13956&amp;G13956&amp;L13956</f>
        <v/>
      </c>
    </row>
    <row r="13957">
      <c r="B13957" s="128" t="n">
        <v>44215</v>
      </c>
      <c r="C13957" s="88">
        <f>TEXT(B13957,"aaa")</f>
        <v/>
      </c>
      <c r="D13957" s="94" t="n"/>
      <c r="E13957" s="88">
        <f>INDEX(매칭테이블!C:D,MATCH(RD!G13957,매칭테이블!D:D,0),1)</f>
        <v/>
      </c>
      <c r="F13957" s="94" t="inlineStr">
        <is>
          <t>카페24</t>
        </is>
      </c>
      <c r="G13957" s="94" t="inlineStr">
        <is>
          <t>어성초 크림마스크 나이트 솔루션옵션=어성초 크림마스크 나이트 솔루션 10장 (-50%)</t>
        </is>
      </c>
      <c r="K13957" s="94" t="n">
        <v>2</v>
      </c>
      <c r="L13957" s="88" t="n">
        <v>201208</v>
      </c>
      <c r="M13957" s="88">
        <f>VLOOKUP($Q13957,매칭테이블!$F:$I,2,0)*K13957</f>
        <v/>
      </c>
      <c r="N13957" s="88">
        <f>M13957-M13957*VLOOKUP($Q13957,매칭테이블!$F:$I,3,0)</f>
        <v/>
      </c>
      <c r="O13957" s="88">
        <f>VLOOKUP($Q13957,매칭테이블!$F:$I,4,0)*K13957</f>
        <v/>
      </c>
      <c r="P13957" s="152">
        <f>M13957/1.1</f>
        <v/>
      </c>
      <c r="Q13957" s="88">
        <f>F13957&amp;E13957&amp;G13957&amp;L13957</f>
        <v/>
      </c>
    </row>
    <row r="13958">
      <c r="B13958" s="128" t="n">
        <v>44215</v>
      </c>
      <c r="C13958" s="88">
        <f>TEXT(B13958,"aaa")</f>
        <v/>
      </c>
      <c r="D13958" s="94" t="n"/>
      <c r="E13958" s="88">
        <f>INDEX(매칭테이블!C:D,MATCH(RD!G13958,매칭테이블!D:D,0),1)</f>
        <v/>
      </c>
      <c r="F13958" s="94" t="inlineStr">
        <is>
          <t>카페24</t>
        </is>
      </c>
      <c r="G13958" s="94" t="inlineStr">
        <is>
          <t>자작나무 수분 마스크옵션=자작나무 수분 마스크 10장 (50% off)</t>
        </is>
      </c>
      <c r="K13958" s="94" t="n">
        <v>2</v>
      </c>
      <c r="L13958" s="88" t="n">
        <v>201208</v>
      </c>
      <c r="M13958" s="88">
        <f>VLOOKUP($Q13958,매칭테이블!$F:$I,2,0)*K13958</f>
        <v/>
      </c>
      <c r="N13958" s="88">
        <f>M13958-M13958*VLOOKUP($Q13958,매칭테이블!$F:$I,3,0)</f>
        <v/>
      </c>
      <c r="O13958" s="88">
        <f>VLOOKUP($Q13958,매칭테이블!$F:$I,4,0)*K13958</f>
        <v/>
      </c>
      <c r="P13958" s="152">
        <f>M13958/1.1</f>
        <v/>
      </c>
      <c r="Q13958" s="88">
        <f>F13958&amp;E13958&amp;G13958&amp;L13958</f>
        <v/>
      </c>
    </row>
    <row r="13959">
      <c r="B13959" s="128" t="n">
        <v>44215</v>
      </c>
      <c r="C13959" s="88">
        <f>TEXT(B13959,"aaa")</f>
        <v/>
      </c>
      <c r="D13959" s="94" t="n"/>
      <c r="E13959" s="88">
        <f>INDEX(매칭테이블!C:D,MATCH(RD!G13959,매칭테이블!D:D,0),1)</f>
        <v/>
      </c>
      <c r="F13959" s="94" t="inlineStr">
        <is>
          <t>카페24</t>
        </is>
      </c>
      <c r="G13959" s="94" t="inlineStr">
        <is>
          <t>촉촉 스킨팩 화장솜</t>
        </is>
      </c>
      <c r="K13959" s="94" t="n">
        <v>9</v>
      </c>
      <c r="L13959" s="88" t="n">
        <v>201208</v>
      </c>
      <c r="M13959" s="88">
        <f>VLOOKUP($Q13959,매칭테이블!$F:$I,2,0)*K13959</f>
        <v/>
      </c>
      <c r="N13959" s="88">
        <f>M13959-M13959*VLOOKUP($Q13959,매칭테이블!$F:$I,3,0)</f>
        <v/>
      </c>
      <c r="O13959" s="88">
        <f>VLOOKUP($Q13959,매칭테이블!$F:$I,4,0)*K13959</f>
        <v/>
      </c>
      <c r="P13959" s="152">
        <f>M13959/1.1</f>
        <v/>
      </c>
      <c r="Q13959" s="88">
        <f>F13959&amp;E13959&amp;G13959&amp;L13959</f>
        <v/>
      </c>
    </row>
    <row r="13960">
      <c r="B13960" s="128" t="n">
        <v>44216</v>
      </c>
      <c r="C13960" s="88">
        <f>TEXT(B13960,"aaa")</f>
        <v/>
      </c>
      <c r="D13960" s="94" t="n"/>
      <c r="E13960" s="88">
        <f>INDEX(매칭테이블!C:D,MATCH(RD!G13960,매칭테이블!D:D,0),1)</f>
        <v/>
      </c>
      <c r="F13960" s="94" t="inlineStr">
        <is>
          <t>W컨셉</t>
        </is>
      </c>
      <c r="G13960" s="94" t="inlineStr">
        <is>
          <t>어성초 77토너 HEARTLEAF 77% SOOTHING TONER 250ml250ml</t>
        </is>
      </c>
      <c r="H13960" s="94" t="n"/>
      <c r="I13960" s="94" t="n"/>
      <c r="J13960" s="94" t="n"/>
      <c r="K13960" s="94" t="n">
        <v>2</v>
      </c>
      <c r="L13960" s="88" t="n">
        <v>201208</v>
      </c>
      <c r="M13960" s="88">
        <f>VLOOKUP($Q13960,매칭테이블!$F:$I,2,0)*K13960</f>
        <v/>
      </c>
      <c r="N13960" s="88">
        <f>M13960-M13960*VLOOKUP($Q13960,매칭테이블!$F:$I,3,0)</f>
        <v/>
      </c>
      <c r="O13960" s="88">
        <f>VLOOKUP($Q13960,매칭테이블!$F:$I,4,0)*K13960</f>
        <v/>
      </c>
      <c r="P13960" s="152">
        <f>M13960/1.1</f>
        <v/>
      </c>
      <c r="Q13960" s="88">
        <f>F13960&amp;E13960&amp;G13960&amp;L13960</f>
        <v/>
      </c>
    </row>
    <row r="13961">
      <c r="B13961" s="128" t="n">
        <v>44216</v>
      </c>
      <c r="C13961" s="88">
        <f>TEXT(B13961,"aaa")</f>
        <v/>
      </c>
      <c r="D13961" s="94" t="n"/>
      <c r="E13961" s="88">
        <f>INDEX(매칭테이블!C:D,MATCH(RD!G13961,매칭테이블!D:D,0),1)</f>
        <v/>
      </c>
      <c r="F13961" s="94" t="inlineStr">
        <is>
          <t>글로우데이즈 시코르</t>
        </is>
      </c>
      <c r="G13961" s="94" t="inlineStr">
        <is>
          <t>5제로 무기자차 선크림 50ml</t>
        </is>
      </c>
      <c r="K13961" s="94" t="n">
        <v>20</v>
      </c>
      <c r="L13961" s="88" t="n">
        <v>201208</v>
      </c>
      <c r="M13961" s="88">
        <f>VLOOKUP($Q13961,매칭테이블!$F:$I,2,0)*K13961</f>
        <v/>
      </c>
      <c r="N13961" s="88">
        <f>M13961-M13961*VLOOKUP($Q13961,매칭테이블!$F:$I,3,0)</f>
        <v/>
      </c>
      <c r="O13961" s="88">
        <f>VLOOKUP($Q13961,매칭테이블!$F:$I,4,0)*K13961</f>
        <v/>
      </c>
      <c r="P13961" s="152">
        <f>M13961/1.1</f>
        <v/>
      </c>
      <c r="Q13961" s="88">
        <f>F13961&amp;E13961&amp;G13961&amp;L13961</f>
        <v/>
      </c>
    </row>
    <row r="13962">
      <c r="B13962" s="128" t="n">
        <v>44216</v>
      </c>
      <c r="C13962" s="88">
        <f>TEXT(B13962,"aaa")</f>
        <v/>
      </c>
      <c r="D13962" s="94" t="n"/>
      <c r="E13962" s="88">
        <f>INDEX(매칭테이블!C:D,MATCH(RD!G13962,매칭테이블!D:D,0),1)</f>
        <v/>
      </c>
      <c r="F13962" s="94" t="inlineStr">
        <is>
          <t>스타일쉐어</t>
        </is>
      </c>
      <c r="G13962" s="94" t="inlineStr">
        <is>
          <t>아누아 어성초 77 토너 250ml</t>
        </is>
      </c>
      <c r="K13962" s="94" t="n">
        <v>6</v>
      </c>
      <c r="L13962" s="88" t="n">
        <v>201208</v>
      </c>
      <c r="M13962" s="88">
        <f>VLOOKUP($Q13962,매칭테이블!$F:$I,2,0)*K13962</f>
        <v/>
      </c>
      <c r="N13962" s="88">
        <f>M13962-M13962*VLOOKUP($Q13962,매칭테이블!$F:$I,3,0)</f>
        <v/>
      </c>
      <c r="O13962" s="88">
        <f>VLOOKUP($Q13962,매칭테이블!$F:$I,4,0)*K13962</f>
        <v/>
      </c>
      <c r="P13962" s="152">
        <f>M13962/1.1</f>
        <v/>
      </c>
      <c r="Q13962" s="88">
        <f>F13962&amp;E13962&amp;G13962&amp;L13962</f>
        <v/>
      </c>
    </row>
    <row r="13963">
      <c r="B13963" s="128" t="n">
        <v>44216</v>
      </c>
      <c r="C13963" s="88">
        <f>TEXT(B13963,"aaa")</f>
        <v/>
      </c>
      <c r="D13963" s="94" t="n"/>
      <c r="E13963" s="88">
        <f>INDEX(매칭테이블!C:D,MATCH(RD!G13963,매칭테이블!D:D,0),1)</f>
        <v/>
      </c>
      <c r="F13963" s="94" t="inlineStr">
        <is>
          <t>아누아 CS</t>
        </is>
      </c>
      <c r="G13963" s="94" t="inlineStr">
        <is>
          <t>어성초 클리어패드 2P</t>
        </is>
      </c>
      <c r="K13963" s="94" t="n">
        <v>900</v>
      </c>
      <c r="L13963" s="88" t="n">
        <v>201208</v>
      </c>
      <c r="M13963" s="88">
        <f>VLOOKUP($Q13963,매칭테이블!$F:$I,2,0)*K13963</f>
        <v/>
      </c>
      <c r="N13963" s="88">
        <f>M13963-M13963*VLOOKUP($Q13963,매칭테이블!$F:$I,3,0)</f>
        <v/>
      </c>
      <c r="O13963" s="88">
        <f>VLOOKUP($Q13963,매칭테이블!$F:$I,4,0)*K13963</f>
        <v/>
      </c>
      <c r="P13963" s="152">
        <f>M13963/1.1</f>
        <v/>
      </c>
      <c r="Q13963" s="88">
        <f>F13963&amp;E13963&amp;G13963&amp;L13963</f>
        <v/>
      </c>
    </row>
    <row r="13964">
      <c r="B13964" s="128" t="n">
        <v>44216</v>
      </c>
      <c r="C13964" s="88">
        <f>TEXT(B13964,"aaa")</f>
        <v/>
      </c>
      <c r="D13964" s="94" t="n"/>
      <c r="E13964" s="88">
        <f>INDEX(매칭테이블!C:D,MATCH(RD!G13964,매칭테이블!D:D,0),1)</f>
        <v/>
      </c>
      <c r="F13964" s="94" t="inlineStr">
        <is>
          <t>카페24</t>
        </is>
      </c>
      <c r="G13964" s="94" t="inlineStr">
        <is>
          <t>5 제로 무기자차 선크림옵션=5제로 무기자차 선크림 1개-20% off</t>
        </is>
      </c>
      <c r="K13964" s="94" t="n">
        <v>2</v>
      </c>
      <c r="L13964" s="88" t="n">
        <v>201208</v>
      </c>
      <c r="M13964" s="88">
        <f>VLOOKUP($Q13964,매칭테이블!$F:$I,2,0)*K13964</f>
        <v/>
      </c>
      <c r="N13964" s="88">
        <f>M13964-M13964*VLOOKUP($Q13964,매칭테이블!$F:$I,3,0)</f>
        <v/>
      </c>
      <c r="O13964" s="88">
        <f>VLOOKUP($Q13964,매칭테이블!$F:$I,4,0)*K13964</f>
        <v/>
      </c>
      <c r="P13964" s="152">
        <f>M13964/1.1</f>
        <v/>
      </c>
      <c r="Q13964" s="88">
        <f>F13964&amp;E13964&amp;G13964&amp;L13964</f>
        <v/>
      </c>
    </row>
    <row r="13965">
      <c r="B13965" s="128" t="n">
        <v>44216</v>
      </c>
      <c r="C13965" s="88">
        <f>TEXT(B13965,"aaa")</f>
        <v/>
      </c>
      <c r="D13965" s="94" t="n"/>
      <c r="E13965" s="88">
        <f>INDEX(매칭테이블!C:D,MATCH(RD!G13965,매칭테이블!D:D,0),1)</f>
        <v/>
      </c>
      <c r="F13965" s="94" t="inlineStr">
        <is>
          <t>카페24</t>
        </is>
      </c>
      <c r="G13965" s="94" t="inlineStr">
        <is>
          <t>5 제로 무기자차 선크림옵션=5제로 무기자차 선크림 2개-30% off (무료배송)</t>
        </is>
      </c>
      <c r="K13965" s="94" t="n">
        <v>2</v>
      </c>
      <c r="L13965" s="88" t="n">
        <v>201208</v>
      </c>
      <c r="M13965" s="88">
        <f>VLOOKUP($Q13965,매칭테이블!$F:$I,2,0)*K13965</f>
        <v/>
      </c>
      <c r="N13965" s="88">
        <f>M13965-M13965*VLOOKUP($Q13965,매칭테이블!$F:$I,3,0)</f>
        <v/>
      </c>
      <c r="O13965" s="88">
        <f>VLOOKUP($Q13965,매칭테이블!$F:$I,4,0)*K13965</f>
        <v/>
      </c>
      <c r="P13965" s="152">
        <f>M13965/1.1</f>
        <v/>
      </c>
      <c r="Q13965" s="88">
        <f>F13965&amp;E13965&amp;G13965&amp;L13965</f>
        <v/>
      </c>
    </row>
    <row r="13966">
      <c r="B13966" s="128" t="n">
        <v>44216</v>
      </c>
      <c r="C13966" s="88">
        <f>TEXT(B13966,"aaa")</f>
        <v/>
      </c>
      <c r="D13966" s="94" t="n"/>
      <c r="E13966" s="88">
        <f>INDEX(매칭테이블!C:D,MATCH(RD!G13966,매칭테이블!D:D,0),1)</f>
        <v/>
      </c>
      <c r="F13966" s="94" t="inlineStr">
        <is>
          <t>카페24</t>
        </is>
      </c>
      <c r="G13966" s="94" t="inlineStr">
        <is>
          <t>[01/27 순차발송] 어성초 77 클리어 패드옵션=어성초 77 클리어 패드 1개-20% off</t>
        </is>
      </c>
      <c r="K13966" s="94" t="n">
        <v>39</v>
      </c>
      <c r="L13966" s="88" t="n">
        <v>201208</v>
      </c>
      <c r="M13966" s="88">
        <f>VLOOKUP($Q13966,매칭테이블!$F:$I,2,0)*K13966</f>
        <v/>
      </c>
      <c r="N13966" s="88">
        <f>M13966-M13966*VLOOKUP($Q13966,매칭테이블!$F:$I,3,0)</f>
        <v/>
      </c>
      <c r="O13966" s="88">
        <f>VLOOKUP($Q13966,매칭테이블!$F:$I,4,0)*K13966</f>
        <v/>
      </c>
      <c r="P13966" s="152">
        <f>M13966/1.1</f>
        <v/>
      </c>
      <c r="Q13966" s="88">
        <f>F13966&amp;E13966&amp;G13966&amp;L13966</f>
        <v/>
      </c>
    </row>
    <row r="13967">
      <c r="B13967" s="128" t="n">
        <v>44216</v>
      </c>
      <c r="C13967" s="88">
        <f>TEXT(B13967,"aaa")</f>
        <v/>
      </c>
      <c r="D13967" s="94" t="n"/>
      <c r="E13967" s="88">
        <f>INDEX(매칭테이블!C:D,MATCH(RD!G13967,매칭테이블!D:D,0),1)</f>
        <v/>
      </c>
      <c r="F13967" s="94" t="inlineStr">
        <is>
          <t>카페24</t>
        </is>
      </c>
      <c r="G13967" s="94" t="inlineStr">
        <is>
          <t>[01/27 순차발송] 어성초 77 클리어 패드옵션=어성초 77 클리어 패드 2개-30% off (무료배송)</t>
        </is>
      </c>
      <c r="K13967" s="94" t="n">
        <v>23</v>
      </c>
      <c r="L13967" s="88" t="n">
        <v>201208</v>
      </c>
      <c r="M13967" s="88">
        <f>VLOOKUP($Q13967,매칭테이블!$F:$I,2,0)*K13967</f>
        <v/>
      </c>
      <c r="N13967" s="88">
        <f>M13967-M13967*VLOOKUP($Q13967,매칭테이블!$F:$I,3,0)</f>
        <v/>
      </c>
      <c r="O13967" s="88">
        <f>VLOOKUP($Q13967,매칭테이블!$F:$I,4,0)*K13967</f>
        <v/>
      </c>
      <c r="P13967" s="152">
        <f>M13967/1.1</f>
        <v/>
      </c>
      <c r="Q13967" s="88">
        <f>F13967&amp;E13967&amp;G13967&amp;L13967</f>
        <v/>
      </c>
    </row>
    <row r="13968">
      <c r="B13968" s="128" t="n">
        <v>44216</v>
      </c>
      <c r="C13968" s="88">
        <f>TEXT(B13968,"aaa")</f>
        <v/>
      </c>
      <c r="D13968" s="94" t="n"/>
      <c r="E13968" s="88">
        <f>INDEX(매칭테이블!C:D,MATCH(RD!G13968,매칭테이블!D:D,0),1)</f>
        <v/>
      </c>
      <c r="F13968" s="94" t="inlineStr">
        <is>
          <t>카페24</t>
        </is>
      </c>
      <c r="G13968" s="94" t="inlineStr">
        <is>
          <t>[01/27 순차발송] 어성초 77 클리어 패드옵션=어성초 77 클리어 패드 2+1 EVENT (무료배송)</t>
        </is>
      </c>
      <c r="K13968" s="94" t="n">
        <v>28</v>
      </c>
      <c r="L13968" s="88" t="n">
        <v>201208</v>
      </c>
      <c r="M13968" s="88">
        <f>VLOOKUP($Q13968,매칭테이블!$F:$I,2,0)*K13968</f>
        <v/>
      </c>
      <c r="N13968" s="88">
        <f>M13968-M13968*VLOOKUP($Q13968,매칭테이블!$F:$I,3,0)</f>
        <v/>
      </c>
      <c r="O13968" s="88">
        <f>VLOOKUP($Q13968,매칭테이블!$F:$I,4,0)*K13968</f>
        <v/>
      </c>
      <c r="P13968" s="152">
        <f>M13968/1.1</f>
        <v/>
      </c>
      <c r="Q13968" s="88">
        <f>F13968&amp;E13968&amp;G13968&amp;L13968</f>
        <v/>
      </c>
    </row>
    <row r="13969">
      <c r="B13969" s="128" t="n">
        <v>44216</v>
      </c>
      <c r="C13969" s="88">
        <f>TEXT(B13969,"aaa")</f>
        <v/>
      </c>
      <c r="D13969" s="94" t="n"/>
      <c r="E13969" s="88">
        <f>INDEX(매칭테이블!C:D,MATCH(RD!G13969,매칭테이블!D:D,0),1)</f>
        <v/>
      </c>
      <c r="F13969" s="94" t="inlineStr">
        <is>
          <t>카페24</t>
        </is>
      </c>
      <c r="G13969" s="94" t="inlineStr">
        <is>
          <t>[01/27 순차발송] 어성초 77 클리어 패드옵션=어성초77토너1개+어성초77패드1개-30% off (무료배송)</t>
        </is>
      </c>
      <c r="K13969" s="94" t="n">
        <v>8</v>
      </c>
      <c r="L13969" s="88" t="n">
        <v>201208</v>
      </c>
      <c r="M13969" s="88">
        <f>VLOOKUP($Q13969,매칭테이블!$F:$I,2,0)*K13969</f>
        <v/>
      </c>
      <c r="N13969" s="88">
        <f>M13969-M13969*VLOOKUP($Q13969,매칭테이블!$F:$I,3,0)</f>
        <v/>
      </c>
      <c r="O13969" s="88">
        <f>VLOOKUP($Q13969,매칭테이블!$F:$I,4,0)*K13969</f>
        <v/>
      </c>
      <c r="P13969" s="152">
        <f>M13969/1.1</f>
        <v/>
      </c>
      <c r="Q13969" s="88">
        <f>F13969&amp;E13969&amp;G13969&amp;L13969</f>
        <v/>
      </c>
    </row>
    <row r="13970">
      <c r="B13970" s="128" t="n">
        <v>44216</v>
      </c>
      <c r="C13970" s="88">
        <f>TEXT(B13970,"aaa")</f>
        <v/>
      </c>
      <c r="D13970" s="94" t="n"/>
      <c r="E13970" s="88">
        <f>INDEX(매칭테이블!C:D,MATCH(RD!G13970,매칭테이블!D:D,0),1)</f>
        <v/>
      </c>
      <c r="F13970" s="94" t="inlineStr">
        <is>
          <t>카페24</t>
        </is>
      </c>
      <c r="G13970" s="94" t="inlineStr">
        <is>
          <t>[01/27 순차발송] 어성초 77 포어 클리어 패드옵션=어성초 77 클리어 패드 1개-20% off</t>
        </is>
      </c>
      <c r="K13970" s="94" t="n">
        <v>1</v>
      </c>
      <c r="L13970" s="88" t="n">
        <v>201208</v>
      </c>
      <c r="M13970" s="88">
        <f>VLOOKUP($Q13970,매칭테이블!$F:$I,2,0)*K13970</f>
        <v/>
      </c>
      <c r="N13970" s="88">
        <f>M13970-M13970*VLOOKUP($Q13970,매칭테이블!$F:$I,3,0)</f>
        <v/>
      </c>
      <c r="O13970" s="88">
        <f>VLOOKUP($Q13970,매칭테이블!$F:$I,4,0)*K13970</f>
        <v/>
      </c>
      <c r="P13970" s="152">
        <f>M13970/1.1</f>
        <v/>
      </c>
      <c r="Q13970" s="88">
        <f>F13970&amp;E13970&amp;G13970&amp;L13970</f>
        <v/>
      </c>
    </row>
    <row r="13971">
      <c r="B13971" s="128" t="n">
        <v>44216</v>
      </c>
      <c r="C13971" s="88">
        <f>TEXT(B13971,"aaa")</f>
        <v/>
      </c>
      <c r="D13971" s="94" t="n"/>
      <c r="E13971" s="88">
        <f>INDEX(매칭테이블!C:D,MATCH(RD!G13971,매칭테이블!D:D,0),1)</f>
        <v/>
      </c>
      <c r="F13971" s="94" t="inlineStr">
        <is>
          <t>카페24</t>
        </is>
      </c>
      <c r="G13971" s="94" t="inlineStr">
        <is>
          <t>[01/27 순차발송] 어성초 77 포어 클리어 패드옵션=어성초 77 클리어 패드 2개-30% off (무료배송)</t>
        </is>
      </c>
      <c r="K13971" s="94" t="n">
        <v>4</v>
      </c>
      <c r="L13971" s="88" t="n">
        <v>201208</v>
      </c>
      <c r="M13971" s="88">
        <f>VLOOKUP($Q13971,매칭테이블!$F:$I,2,0)*K13971</f>
        <v/>
      </c>
      <c r="N13971" s="88">
        <f>M13971-M13971*VLOOKUP($Q13971,매칭테이블!$F:$I,3,0)</f>
        <v/>
      </c>
      <c r="O13971" s="88">
        <f>VLOOKUP($Q13971,매칭테이블!$F:$I,4,0)*K13971</f>
        <v/>
      </c>
      <c r="P13971" s="152">
        <f>M13971/1.1</f>
        <v/>
      </c>
      <c r="Q13971" s="88">
        <f>F13971&amp;E13971&amp;G13971&amp;L13971</f>
        <v/>
      </c>
    </row>
    <row r="13972">
      <c r="B13972" s="128" t="n">
        <v>44216</v>
      </c>
      <c r="C13972" s="88">
        <f>TEXT(B13972,"aaa")</f>
        <v/>
      </c>
      <c r="D13972" s="94" t="n"/>
      <c r="E13972" s="88">
        <f>INDEX(매칭테이블!C:D,MATCH(RD!G13972,매칭테이블!D:D,0),1)</f>
        <v/>
      </c>
      <c r="F13972" s="94" t="inlineStr">
        <is>
          <t>카페24</t>
        </is>
      </c>
      <c r="G13972" s="94" t="inlineStr">
        <is>
          <t>[01/27 순차발송] 어성초 77 포어 클리어 패드옵션=어성초 77 클리어 패드 2+1 EVENT (무료배송)</t>
        </is>
      </c>
      <c r="K13972" s="94" t="n">
        <v>5</v>
      </c>
      <c r="L13972" s="88" t="n">
        <v>201208</v>
      </c>
      <c r="M13972" s="88">
        <f>VLOOKUP($Q13972,매칭테이블!$F:$I,2,0)*K13972</f>
        <v/>
      </c>
      <c r="N13972" s="88">
        <f>M13972-M13972*VLOOKUP($Q13972,매칭테이블!$F:$I,3,0)</f>
        <v/>
      </c>
      <c r="O13972" s="88">
        <f>VLOOKUP($Q13972,매칭테이블!$F:$I,4,0)*K13972</f>
        <v/>
      </c>
      <c r="P13972" s="152">
        <f>M13972/1.1</f>
        <v/>
      </c>
      <c r="Q13972" s="88">
        <f>F13972&amp;E13972&amp;G13972&amp;L13972</f>
        <v/>
      </c>
    </row>
    <row r="13973">
      <c r="B13973" s="128" t="n">
        <v>44216</v>
      </c>
      <c r="C13973" s="88">
        <f>TEXT(B13973,"aaa")</f>
        <v/>
      </c>
      <c r="D13973" s="94" t="n"/>
      <c r="E13973" s="88">
        <f>INDEX(매칭테이블!C:D,MATCH(RD!G13973,매칭테이블!D:D,0),1)</f>
        <v/>
      </c>
      <c r="F13973" s="94" t="inlineStr">
        <is>
          <t>카페24</t>
        </is>
      </c>
      <c r="G13973" s="94" t="inlineStr">
        <is>
          <t>[01/27 순차발송] 어성초 77 포어 클리어 패드옵션=어성초77토너1개+어성초77패드1개-30% off (무료배송)</t>
        </is>
      </c>
      <c r="K13973" s="94" t="n">
        <v>1</v>
      </c>
      <c r="L13973" s="88" t="n">
        <v>201208</v>
      </c>
      <c r="M13973" s="88">
        <f>VLOOKUP($Q13973,매칭테이블!$F:$I,2,0)*K13973</f>
        <v/>
      </c>
      <c r="N13973" s="88">
        <f>M13973-M13973*VLOOKUP($Q13973,매칭테이블!$F:$I,3,0)</f>
        <v/>
      </c>
      <c r="O13973" s="88">
        <f>VLOOKUP($Q13973,매칭테이블!$F:$I,4,0)*K13973</f>
        <v/>
      </c>
      <c r="P13973" s="152">
        <f>M13973/1.1</f>
        <v/>
      </c>
      <c r="Q13973" s="88">
        <f>F13973&amp;E13973&amp;G13973&amp;L13973</f>
        <v/>
      </c>
    </row>
    <row r="13974">
      <c r="B13974" s="128" t="n">
        <v>44216</v>
      </c>
      <c r="C13974" s="88">
        <f>TEXT(B13974,"aaa")</f>
        <v/>
      </c>
      <c r="D13974" s="94" t="n"/>
      <c r="E13974" s="88">
        <f>INDEX(매칭테이블!C:D,MATCH(RD!G13974,매칭테이블!D:D,0),1)</f>
        <v/>
      </c>
      <c r="F13974" s="94" t="inlineStr">
        <is>
          <t>카페24</t>
        </is>
      </c>
      <c r="G13974" s="94" t="inlineStr">
        <is>
          <t>[01/27 순차발송] 어성초 77% 패드옵션=어성초 77 클리어 패드 1개-20% off</t>
        </is>
      </c>
      <c r="K13974" s="94" t="n">
        <v>15</v>
      </c>
      <c r="L13974" s="88" t="n">
        <v>201208</v>
      </c>
      <c r="M13974" s="88">
        <f>VLOOKUP($Q13974,매칭테이블!$F:$I,2,0)*K13974</f>
        <v/>
      </c>
      <c r="N13974" s="88">
        <f>M13974-M13974*VLOOKUP($Q13974,매칭테이블!$F:$I,3,0)</f>
        <v/>
      </c>
      <c r="O13974" s="88">
        <f>VLOOKUP($Q13974,매칭테이블!$F:$I,4,0)*K13974</f>
        <v/>
      </c>
      <c r="P13974" s="152">
        <f>M13974/1.1</f>
        <v/>
      </c>
      <c r="Q13974" s="88">
        <f>F13974&amp;E13974&amp;G13974&amp;L13974</f>
        <v/>
      </c>
    </row>
    <row r="13975">
      <c r="B13975" s="128" t="n">
        <v>44216</v>
      </c>
      <c r="C13975" s="88">
        <f>TEXT(B13975,"aaa")</f>
        <v/>
      </c>
      <c r="D13975" s="94" t="n"/>
      <c r="E13975" s="88">
        <f>INDEX(매칭테이블!C:D,MATCH(RD!G13975,매칭테이블!D:D,0),1)</f>
        <v/>
      </c>
      <c r="F13975" s="94" t="inlineStr">
        <is>
          <t>카페24</t>
        </is>
      </c>
      <c r="G13975" s="94" t="inlineStr">
        <is>
          <t>[01/27 순차발송] 어성초 77% 패드옵션=어성초 77 클리어 패드 2개-30% off (무료배송)</t>
        </is>
      </c>
      <c r="K13975" s="94" t="n">
        <v>15</v>
      </c>
      <c r="L13975" s="88" t="n">
        <v>201208</v>
      </c>
      <c r="M13975" s="88">
        <f>VLOOKUP($Q13975,매칭테이블!$F:$I,2,0)*K13975</f>
        <v/>
      </c>
      <c r="N13975" s="88">
        <f>M13975-M13975*VLOOKUP($Q13975,매칭테이블!$F:$I,3,0)</f>
        <v/>
      </c>
      <c r="O13975" s="88">
        <f>VLOOKUP($Q13975,매칭테이블!$F:$I,4,0)*K13975</f>
        <v/>
      </c>
      <c r="P13975" s="152">
        <f>M13975/1.1</f>
        <v/>
      </c>
      <c r="Q13975" s="88">
        <f>F13975&amp;E13975&amp;G13975&amp;L13975</f>
        <v/>
      </c>
    </row>
    <row r="13976">
      <c r="B13976" s="128" t="n">
        <v>44216</v>
      </c>
      <c r="C13976" s="88">
        <f>TEXT(B13976,"aaa")</f>
        <v/>
      </c>
      <c r="D13976" s="94" t="n"/>
      <c r="E13976" s="88">
        <f>INDEX(매칭테이블!C:D,MATCH(RD!G13976,매칭테이블!D:D,0),1)</f>
        <v/>
      </c>
      <c r="F13976" s="94" t="inlineStr">
        <is>
          <t>카페24</t>
        </is>
      </c>
      <c r="G13976" s="94" t="inlineStr">
        <is>
          <t>[01/27 순차발송] 어성초 77% 패드옵션=어성초 77 클리어 패드 2+1 EVENT (무료배송)</t>
        </is>
      </c>
      <c r="K13976" s="94" t="n">
        <v>8</v>
      </c>
      <c r="L13976" s="88" t="n">
        <v>201208</v>
      </c>
      <c r="M13976" s="88">
        <f>VLOOKUP($Q13976,매칭테이블!$F:$I,2,0)*K13976</f>
        <v/>
      </c>
      <c r="N13976" s="88">
        <f>M13976-M13976*VLOOKUP($Q13976,매칭테이블!$F:$I,3,0)</f>
        <v/>
      </c>
      <c r="O13976" s="88">
        <f>VLOOKUP($Q13976,매칭테이블!$F:$I,4,0)*K13976</f>
        <v/>
      </c>
      <c r="P13976" s="152">
        <f>M13976/1.1</f>
        <v/>
      </c>
      <c r="Q13976" s="88">
        <f>F13976&amp;E13976&amp;G13976&amp;L13976</f>
        <v/>
      </c>
    </row>
    <row r="13977">
      <c r="B13977" s="128" t="n">
        <v>44216</v>
      </c>
      <c r="C13977" s="88">
        <f>TEXT(B13977,"aaa")</f>
        <v/>
      </c>
      <c r="D13977" s="94" t="n"/>
      <c r="E13977" s="88">
        <f>INDEX(매칭테이블!C:D,MATCH(RD!G13977,매칭테이블!D:D,0),1)</f>
        <v/>
      </c>
      <c r="F13977" s="94" t="inlineStr">
        <is>
          <t>카페24</t>
        </is>
      </c>
      <c r="G13977" s="94" t="inlineStr">
        <is>
          <t>[01/27 순차발송] 어성초 77% 패드옵션=어성초77토너1개+어성초77패드1개-30% off (무료배송)</t>
        </is>
      </c>
      <c r="K13977" s="94" t="n">
        <v>5</v>
      </c>
      <c r="L13977" s="88" t="n">
        <v>201208</v>
      </c>
      <c r="M13977" s="88">
        <f>VLOOKUP($Q13977,매칭테이블!$F:$I,2,0)*K13977</f>
        <v/>
      </c>
      <c r="N13977" s="88">
        <f>M13977-M13977*VLOOKUP($Q13977,매칭테이블!$F:$I,3,0)</f>
        <v/>
      </c>
      <c r="O13977" s="88">
        <f>VLOOKUP($Q13977,매칭테이블!$F:$I,4,0)*K13977</f>
        <v/>
      </c>
      <c r="P13977" s="152">
        <f>M13977/1.1</f>
        <v/>
      </c>
      <c r="Q13977" s="88">
        <f>F13977&amp;E13977&amp;G13977&amp;L13977</f>
        <v/>
      </c>
    </row>
    <row r="13978">
      <c r="B13978" s="128" t="n">
        <v>44216</v>
      </c>
      <c r="C13978" s="88">
        <f>TEXT(B13978,"aaa")</f>
        <v/>
      </c>
      <c r="D13978" s="94" t="n"/>
      <c r="E13978" s="88">
        <f>INDEX(매칭테이블!C:D,MATCH(RD!G13978,매칭테이블!D:D,0),1)</f>
        <v/>
      </c>
      <c r="F13978" s="94" t="inlineStr">
        <is>
          <t>카페24</t>
        </is>
      </c>
      <c r="G13978" s="94" t="inlineStr">
        <is>
          <t>[수분 보충 세트] 어성초 77 토너 + 어성초 70 로션옵션=어성초 77 토너 250ml + 어성초 70 로션 200ml -30%</t>
        </is>
      </c>
      <c r="K13978" s="94" t="n">
        <v>60</v>
      </c>
      <c r="L13978" s="88" t="n">
        <v>201208</v>
      </c>
      <c r="M13978" s="88">
        <f>VLOOKUP($Q13978,매칭테이블!$F:$I,2,0)*K13978</f>
        <v/>
      </c>
      <c r="N13978" s="88">
        <f>M13978-M13978*VLOOKUP($Q13978,매칭테이블!$F:$I,3,0)</f>
        <v/>
      </c>
      <c r="O13978" s="88">
        <f>VLOOKUP($Q13978,매칭테이블!$F:$I,4,0)*K13978</f>
        <v/>
      </c>
      <c r="P13978" s="152">
        <f>M13978/1.1</f>
        <v/>
      </c>
      <c r="Q13978" s="88">
        <f>F13978&amp;E13978&amp;G13978&amp;L13978</f>
        <v/>
      </c>
    </row>
    <row r="13979">
      <c r="B13979" s="128" t="n">
        <v>44216</v>
      </c>
      <c r="C13979" s="88">
        <f>TEXT(B13979,"aaa")</f>
        <v/>
      </c>
      <c r="D13979" s="94" t="n"/>
      <c r="E13979" s="88">
        <f>INDEX(매칭테이블!C:D,MATCH(RD!G13979,매칭테이블!D:D,0),1)</f>
        <v/>
      </c>
      <c r="F13979" s="94" t="inlineStr">
        <is>
          <t>카페24</t>
        </is>
      </c>
      <c r="G13979" s="94" t="inlineStr">
        <is>
          <t>[어성초 진정 패키지 세트] 대용량 토너 + 앰플 + 수딩 크림 + 마스크팩 10장</t>
        </is>
      </c>
      <c r="K13979" s="94" t="n">
        <v>2</v>
      </c>
      <c r="L13979" s="88" t="n">
        <v>201208</v>
      </c>
      <c r="M13979" s="88">
        <f>VLOOKUP($Q13979,매칭테이블!$F:$I,2,0)*K13979</f>
        <v/>
      </c>
      <c r="N13979" s="88">
        <f>M13979-M13979*VLOOKUP($Q13979,매칭테이블!$F:$I,3,0)</f>
        <v/>
      </c>
      <c r="O13979" s="88">
        <f>VLOOKUP($Q13979,매칭테이블!$F:$I,4,0)*K13979</f>
        <v/>
      </c>
      <c r="P13979" s="152">
        <f>M13979/1.1</f>
        <v/>
      </c>
      <c r="Q13979" s="88">
        <f>F13979&amp;E13979&amp;G13979&amp;L13979</f>
        <v/>
      </c>
    </row>
    <row r="13980">
      <c r="B13980" s="128" t="n">
        <v>44216</v>
      </c>
      <c r="C13980" s="88">
        <f>TEXT(B13980,"aaa")</f>
        <v/>
      </c>
      <c r="D13980" s="94" t="n"/>
      <c r="E13980" s="88">
        <f>INDEX(매칭테이블!C:D,MATCH(RD!G13980,매칭테이블!D:D,0),1)</f>
        <v/>
      </c>
      <c r="F13980" s="94" t="inlineStr">
        <is>
          <t>카페24</t>
        </is>
      </c>
      <c r="G13980" s="94" t="inlineStr">
        <is>
          <t>[플친단독] 어성초 80 수분 진정 앰플옵션=어성초 80 앰플 1개 - 28%off</t>
        </is>
      </c>
      <c r="K13980" s="94" t="n">
        <v>55</v>
      </c>
      <c r="L13980" s="88" t="n">
        <v>201208</v>
      </c>
      <c r="M13980" s="88">
        <f>VLOOKUP($Q13980,매칭테이블!$F:$I,2,0)*K13980</f>
        <v/>
      </c>
      <c r="N13980" s="88">
        <f>M13980-M13980*VLOOKUP($Q13980,매칭테이블!$F:$I,3,0)</f>
        <v/>
      </c>
      <c r="O13980" s="88">
        <f>VLOOKUP($Q13980,매칭테이블!$F:$I,4,0)*K13980</f>
        <v/>
      </c>
      <c r="P13980" s="152">
        <f>M13980/1.1</f>
        <v/>
      </c>
      <c r="Q13980" s="88">
        <f>F13980&amp;E13980&amp;G13980&amp;L13980</f>
        <v/>
      </c>
    </row>
    <row r="13981">
      <c r="B13981" s="128" t="n">
        <v>44216</v>
      </c>
      <c r="C13981" s="88">
        <f>TEXT(B13981,"aaa")</f>
        <v/>
      </c>
      <c r="D13981" s="94" t="n"/>
      <c r="E13981" s="88">
        <f>INDEX(매칭테이블!C:D,MATCH(RD!G13981,매칭테이블!D:D,0),1)</f>
        <v/>
      </c>
      <c r="F13981" s="94" t="inlineStr">
        <is>
          <t>카페24</t>
        </is>
      </c>
      <c r="G13981" s="94" t="inlineStr">
        <is>
          <t>[플친단독] 어성초 80 수분 진정 앰플옵션=어성초 80 앰플 2+1 EVENT (무료배송)</t>
        </is>
      </c>
      <c r="K13981" s="94" t="n">
        <v>81</v>
      </c>
      <c r="L13981" s="88" t="n">
        <v>201208</v>
      </c>
      <c r="M13981" s="88">
        <f>VLOOKUP($Q13981,매칭테이블!$F:$I,2,0)*K13981</f>
        <v/>
      </c>
      <c r="N13981" s="88">
        <f>M13981-M13981*VLOOKUP($Q13981,매칭테이블!$F:$I,3,0)</f>
        <v/>
      </c>
      <c r="O13981" s="88">
        <f>VLOOKUP($Q13981,매칭테이블!$F:$I,4,0)*K13981</f>
        <v/>
      </c>
      <c r="P13981" s="152">
        <f>M13981/1.1</f>
        <v/>
      </c>
      <c r="Q13981" s="88">
        <f>F13981&amp;E13981&amp;G13981&amp;L13981</f>
        <v/>
      </c>
    </row>
    <row r="13982">
      <c r="B13982" s="128" t="n">
        <v>44216</v>
      </c>
      <c r="C13982" s="88">
        <f>TEXT(B13982,"aaa")</f>
        <v/>
      </c>
      <c r="D13982" s="94" t="n"/>
      <c r="E13982" s="88">
        <f>INDEX(매칭테이블!C:D,MATCH(RD!G13982,매칭테이블!D:D,0),1)</f>
        <v/>
      </c>
      <c r="F13982" s="94" t="inlineStr">
        <is>
          <t>카페24</t>
        </is>
      </c>
      <c r="G13982" s="94" t="inlineStr">
        <is>
          <t>대용량 어성초 77 수딩 토너 500ml옵션=대용량 어성초 77 토너 1개 - 27% OFF</t>
        </is>
      </c>
      <c r="K13982" s="94" t="n">
        <v>64</v>
      </c>
      <c r="L13982" s="88" t="n">
        <v>201208</v>
      </c>
      <c r="M13982" s="88">
        <f>VLOOKUP($Q13982,매칭테이블!$F:$I,2,0)*K13982</f>
        <v/>
      </c>
      <c r="N13982" s="88">
        <f>M13982-M13982*VLOOKUP($Q13982,매칭테이블!$F:$I,3,0)</f>
        <v/>
      </c>
      <c r="O13982" s="88">
        <f>VLOOKUP($Q13982,매칭테이블!$F:$I,4,0)*K13982</f>
        <v/>
      </c>
      <c r="P13982" s="152">
        <f>M13982/1.1</f>
        <v/>
      </c>
      <c r="Q13982" s="88">
        <f>F13982&amp;E13982&amp;G13982&amp;L13982</f>
        <v/>
      </c>
    </row>
    <row r="13983">
      <c r="B13983" s="128" t="n">
        <v>44216</v>
      </c>
      <c r="C13983" s="88">
        <f>TEXT(B13983,"aaa")</f>
        <v/>
      </c>
      <c r="D13983" s="94" t="n"/>
      <c r="E13983" s="88">
        <f>INDEX(매칭테이블!C:D,MATCH(RD!G13983,매칭테이블!D:D,0),1)</f>
        <v/>
      </c>
      <c r="F13983" s="94" t="inlineStr">
        <is>
          <t>카페24</t>
        </is>
      </c>
      <c r="G13983" s="94" t="inlineStr">
        <is>
          <t>대용량 어성초 77 수딩 토너 500ml화장솜(선택)=촉촉 스킨팩 화장솜</t>
        </is>
      </c>
      <c r="K13983" s="94" t="n">
        <v>25</v>
      </c>
      <c r="L13983" s="88" t="n">
        <v>201208</v>
      </c>
      <c r="M13983" s="88">
        <f>VLOOKUP($Q13983,매칭테이블!$F:$I,2,0)*K13983</f>
        <v/>
      </c>
      <c r="N13983" s="88">
        <f>M13983-M13983*VLOOKUP($Q13983,매칭테이블!$F:$I,3,0)</f>
        <v/>
      </c>
      <c r="O13983" s="88">
        <f>VLOOKUP($Q13983,매칭테이블!$F:$I,4,0)*K13983</f>
        <v/>
      </c>
      <c r="P13983" s="152">
        <f>M13983/1.1</f>
        <v/>
      </c>
      <c r="Q13983" s="88">
        <f>F13983&amp;E13983&amp;G13983&amp;L13983</f>
        <v/>
      </c>
    </row>
    <row r="13984">
      <c r="B13984" s="128" t="n">
        <v>44216</v>
      </c>
      <c r="C13984" s="88">
        <f>TEXT(B13984,"aaa")</f>
        <v/>
      </c>
      <c r="D13984" s="94" t="n"/>
      <c r="E13984" s="88">
        <f>INDEX(매칭테이블!C:D,MATCH(RD!G13984,매칭테이블!D:D,0),1)</f>
        <v/>
      </c>
      <c r="F13984" s="94" t="inlineStr">
        <is>
          <t>카페24</t>
        </is>
      </c>
      <c r="G13984" s="94" t="inlineStr">
        <is>
          <t>아누아 어성초 77 수딩 토너토너(필수)=어성초 77 토너 1개-20% off</t>
        </is>
      </c>
      <c r="K13984" s="94" t="n">
        <v>2</v>
      </c>
      <c r="L13984" s="88" t="n">
        <v>201208</v>
      </c>
      <c r="M13984" s="88">
        <f>VLOOKUP($Q13984,매칭테이블!$F:$I,2,0)*K13984</f>
        <v/>
      </c>
      <c r="N13984" s="88">
        <f>M13984-M13984*VLOOKUP($Q13984,매칭테이블!$F:$I,3,0)</f>
        <v/>
      </c>
      <c r="O13984" s="88">
        <f>VLOOKUP($Q13984,매칭테이블!$F:$I,4,0)*K13984</f>
        <v/>
      </c>
      <c r="P13984" s="152">
        <f>M13984/1.1</f>
        <v/>
      </c>
      <c r="Q13984" s="88">
        <f>F13984&amp;E13984&amp;G13984&amp;L13984</f>
        <v/>
      </c>
    </row>
    <row r="13985">
      <c r="B13985" s="128" t="n">
        <v>44216</v>
      </c>
      <c r="C13985" s="88">
        <f>TEXT(B13985,"aaa")</f>
        <v/>
      </c>
      <c r="D13985" s="94" t="n"/>
      <c r="E13985" s="88">
        <f>INDEX(매칭테이블!C:D,MATCH(RD!G13985,매칭테이블!D:D,0),1)</f>
        <v/>
      </c>
      <c r="F13985" s="94" t="inlineStr">
        <is>
          <t>카페24</t>
        </is>
      </c>
      <c r="G13985" s="94" t="inlineStr">
        <is>
          <t>아누아 어성초 77 수딩 토너화장솜(선택)=촉촉 스킨팩 화장솜</t>
        </is>
      </c>
      <c r="K13985" s="94" t="n">
        <v>1</v>
      </c>
      <c r="L13985" s="88" t="n">
        <v>201208</v>
      </c>
      <c r="M13985" s="88">
        <f>VLOOKUP($Q13985,매칭테이블!$F:$I,2,0)*K13985</f>
        <v/>
      </c>
      <c r="N13985" s="88">
        <f>M13985-M13985*VLOOKUP($Q13985,매칭테이블!$F:$I,3,0)</f>
        <v/>
      </c>
      <c r="O13985" s="88">
        <f>VLOOKUP($Q13985,매칭테이블!$F:$I,4,0)*K13985</f>
        <v/>
      </c>
      <c r="P13985" s="152">
        <f>M13985/1.1</f>
        <v/>
      </c>
      <c r="Q13985" s="88">
        <f>F13985&amp;E13985&amp;G13985&amp;L13985</f>
        <v/>
      </c>
    </row>
    <row r="13986">
      <c r="B13986" s="128" t="n">
        <v>44216</v>
      </c>
      <c r="C13986" s="88">
        <f>TEXT(B13986,"aaa")</f>
        <v/>
      </c>
      <c r="D13986" s="94" t="n"/>
      <c r="E13986" s="88">
        <f>INDEX(매칭테이블!C:D,MATCH(RD!G13986,매칭테이블!D:D,0),1)</f>
        <v/>
      </c>
      <c r="F13986" s="94" t="inlineStr">
        <is>
          <t>카페24</t>
        </is>
      </c>
      <c r="G13986" s="94" t="inlineStr">
        <is>
          <t>어성초 70 데일리 릴리프 로션로션=어성초 70 데일리 릴리프 로션 1개 -20% off</t>
        </is>
      </c>
      <c r="K13986" s="94" t="n">
        <v>13</v>
      </c>
      <c r="L13986" s="88" t="n">
        <v>201208</v>
      </c>
      <c r="M13986" s="88">
        <f>VLOOKUP($Q13986,매칭테이블!$F:$I,2,0)*K13986</f>
        <v/>
      </c>
      <c r="N13986" s="88">
        <f>M13986-M13986*VLOOKUP($Q13986,매칭테이블!$F:$I,3,0)</f>
        <v/>
      </c>
      <c r="O13986" s="88">
        <f>VLOOKUP($Q13986,매칭테이블!$F:$I,4,0)*K13986</f>
        <v/>
      </c>
      <c r="P13986" s="152">
        <f>M13986/1.1</f>
        <v/>
      </c>
      <c r="Q13986" s="88">
        <f>F13986&amp;E13986&amp;G13986&amp;L13986</f>
        <v/>
      </c>
    </row>
    <row r="13987">
      <c r="B13987" s="128" t="n">
        <v>44216</v>
      </c>
      <c r="C13987" s="88">
        <f>TEXT(B13987,"aaa")</f>
        <v/>
      </c>
      <c r="D13987" s="94" t="n"/>
      <c r="E13987" s="88">
        <f>INDEX(매칭테이블!C:D,MATCH(RD!G13987,매칭테이블!D:D,0),1)</f>
        <v/>
      </c>
      <c r="F13987" s="94" t="inlineStr">
        <is>
          <t>카페24</t>
        </is>
      </c>
      <c r="G13987" s="94" t="inlineStr">
        <is>
          <t>어성초 70 데일리 릴리프 로션로션=어성초 70 데일리 릴리프 로션 2개 -30% off</t>
        </is>
      </c>
      <c r="K13987" s="94" t="n">
        <v>2</v>
      </c>
      <c r="L13987" s="88" t="n">
        <v>201208</v>
      </c>
      <c r="M13987" s="88">
        <f>VLOOKUP($Q13987,매칭테이블!$F:$I,2,0)*K13987</f>
        <v/>
      </c>
      <c r="N13987" s="88">
        <f>M13987-M13987*VLOOKUP($Q13987,매칭테이블!$F:$I,3,0)</f>
        <v/>
      </c>
      <c r="O13987" s="88">
        <f>VLOOKUP($Q13987,매칭테이블!$F:$I,4,0)*K13987</f>
        <v/>
      </c>
      <c r="P13987" s="152">
        <f>M13987/1.1</f>
        <v/>
      </c>
      <c r="Q13987" s="88">
        <f>F13987&amp;E13987&amp;G13987&amp;L13987</f>
        <v/>
      </c>
    </row>
    <row r="13988">
      <c r="B13988" s="128" t="n">
        <v>44216</v>
      </c>
      <c r="C13988" s="88">
        <f>TEXT(B13988,"aaa")</f>
        <v/>
      </c>
      <c r="D13988" s="94" t="n"/>
      <c r="E13988" s="88">
        <f>INDEX(매칭테이블!C:D,MATCH(RD!G13988,매칭테이블!D:D,0),1)</f>
        <v/>
      </c>
      <c r="F13988" s="94" t="inlineStr">
        <is>
          <t>카페24</t>
        </is>
      </c>
      <c r="G13988" s="94" t="inlineStr">
        <is>
          <t>어성초 70 데일리 릴리프 로션로션=어성초 77토너 + 어성초 70 로션 수분 보충 세트 -30% off</t>
        </is>
      </c>
      <c r="K13988" s="94" t="n">
        <v>6</v>
      </c>
      <c r="L13988" s="88" t="n">
        <v>201208</v>
      </c>
      <c r="M13988" s="88">
        <f>VLOOKUP($Q13988,매칭테이블!$F:$I,2,0)*K13988</f>
        <v/>
      </c>
      <c r="N13988" s="88">
        <f>M13988-M13988*VLOOKUP($Q13988,매칭테이블!$F:$I,3,0)</f>
        <v/>
      </c>
      <c r="O13988" s="88">
        <f>VLOOKUP($Q13988,매칭테이블!$F:$I,4,0)*K13988</f>
        <v/>
      </c>
      <c r="P13988" s="152">
        <f>M13988/1.1</f>
        <v/>
      </c>
      <c r="Q13988" s="88">
        <f>F13988&amp;E13988&amp;G13988&amp;L13988</f>
        <v/>
      </c>
    </row>
    <row r="13989">
      <c r="B13989" s="128" t="n">
        <v>44216</v>
      </c>
      <c r="C13989" s="88">
        <f>TEXT(B13989,"aaa")</f>
        <v/>
      </c>
      <c r="D13989" s="94" t="n"/>
      <c r="E13989" s="88">
        <f>INDEX(매칭테이블!C:D,MATCH(RD!G13989,매칭테이블!D:D,0),1)</f>
        <v/>
      </c>
      <c r="F13989" s="94" t="inlineStr">
        <is>
          <t>카페24</t>
        </is>
      </c>
      <c r="G13989" s="94" t="inlineStr">
        <is>
          <t>어성초 70 머드 크림 마스크옵션=어성초 70 머드 크림 마스크-20% off</t>
        </is>
      </c>
      <c r="K13989" s="94" t="n">
        <v>5</v>
      </c>
      <c r="L13989" s="88" t="n">
        <v>201208</v>
      </c>
      <c r="M13989" s="88">
        <f>VLOOKUP($Q13989,매칭테이블!$F:$I,2,0)*K13989</f>
        <v/>
      </c>
      <c r="N13989" s="88">
        <f>M13989-M13989*VLOOKUP($Q13989,매칭테이블!$F:$I,3,0)</f>
        <v/>
      </c>
      <c r="O13989" s="88">
        <f>VLOOKUP($Q13989,매칭테이블!$F:$I,4,0)*K13989</f>
        <v/>
      </c>
      <c r="P13989" s="152">
        <f>M13989/1.1</f>
        <v/>
      </c>
      <c r="Q13989" s="88">
        <f>F13989&amp;E13989&amp;G13989&amp;L13989</f>
        <v/>
      </c>
    </row>
    <row r="13990">
      <c r="B13990" s="128" t="n">
        <v>44216</v>
      </c>
      <c r="C13990" s="88">
        <f>TEXT(B13990,"aaa")</f>
        <v/>
      </c>
      <c r="D13990" s="94" t="n"/>
      <c r="E13990" s="88">
        <f>INDEX(매칭테이블!C:D,MATCH(RD!G13990,매칭테이블!D:D,0),1)</f>
        <v/>
      </c>
      <c r="F13990" s="94" t="inlineStr">
        <is>
          <t>카페24</t>
        </is>
      </c>
      <c r="G13990" s="94" t="inlineStr">
        <is>
          <t>어성초 70 인텐스 카밍 크림크림=어성초 70 인텐스 카밍 크림 1개 (-20%)</t>
        </is>
      </c>
      <c r="K13990" s="94" t="n">
        <v>10</v>
      </c>
      <c r="L13990" s="88" t="n">
        <v>201208</v>
      </c>
      <c r="M13990" s="88">
        <f>VLOOKUP($Q13990,매칭테이블!$F:$I,2,0)*K13990</f>
        <v/>
      </c>
      <c r="N13990" s="88">
        <f>M13990-M13990*VLOOKUP($Q13990,매칭테이블!$F:$I,3,0)</f>
        <v/>
      </c>
      <c r="O13990" s="88">
        <f>VLOOKUP($Q13990,매칭테이블!$F:$I,4,0)*K13990</f>
        <v/>
      </c>
      <c r="P13990" s="152">
        <f>M13990/1.1</f>
        <v/>
      </c>
      <c r="Q13990" s="88">
        <f>F13990&amp;E13990&amp;G13990&amp;L13990</f>
        <v/>
      </c>
    </row>
    <row r="13991">
      <c r="B13991" s="128" t="n">
        <v>44216</v>
      </c>
      <c r="C13991" s="88">
        <f>TEXT(B13991,"aaa")</f>
        <v/>
      </c>
      <c r="D13991" s="94" t="n"/>
      <c r="E13991" s="88">
        <f>INDEX(매칭테이블!C:D,MATCH(RD!G13991,매칭테이블!D:D,0),1)</f>
        <v/>
      </c>
      <c r="F13991" s="94" t="inlineStr">
        <is>
          <t>카페24</t>
        </is>
      </c>
      <c r="G13991" s="94" t="inlineStr">
        <is>
          <t>어성초 70 인텐스 카밍 크림크림=어성초 토너 250ml + 카밍 크림 50ml (-30%)</t>
        </is>
      </c>
      <c r="K13991" s="94" t="n">
        <v>2</v>
      </c>
      <c r="L13991" s="88" t="n">
        <v>201208</v>
      </c>
      <c r="M13991" s="88">
        <f>VLOOKUP($Q13991,매칭테이블!$F:$I,2,0)*K13991</f>
        <v/>
      </c>
      <c r="N13991" s="88">
        <f>M13991-M13991*VLOOKUP($Q13991,매칭테이블!$F:$I,3,0)</f>
        <v/>
      </c>
      <c r="O13991" s="88">
        <f>VLOOKUP($Q13991,매칭테이블!$F:$I,4,0)*K13991</f>
        <v/>
      </c>
      <c r="P13991" s="152">
        <f>M13991/1.1</f>
        <v/>
      </c>
      <c r="Q13991" s="88">
        <f>F13991&amp;E13991&amp;G13991&amp;L13991</f>
        <v/>
      </c>
    </row>
    <row r="13992">
      <c r="B13992" s="128" t="n">
        <v>44216</v>
      </c>
      <c r="C13992" s="88">
        <f>TEXT(B13992,"aaa")</f>
        <v/>
      </c>
      <c r="D13992" s="94" t="n"/>
      <c r="E13992" s="88">
        <f>INDEX(매칭테이블!C:D,MATCH(RD!G13992,매칭테이블!D:D,0),1)</f>
        <v/>
      </c>
      <c r="F13992" s="94" t="inlineStr">
        <is>
          <t>카페24</t>
        </is>
      </c>
      <c r="G13992" s="94" t="inlineStr">
        <is>
          <t>어성초 77 수딩 토너옵션=어성초 77 토너 1개-20% off</t>
        </is>
      </c>
      <c r="K13992" s="94" t="n">
        <v>71</v>
      </c>
      <c r="L13992" s="88" t="n">
        <v>201208</v>
      </c>
      <c r="M13992" s="88">
        <f>VLOOKUP($Q13992,매칭테이블!$F:$I,2,0)*K13992</f>
        <v/>
      </c>
      <c r="N13992" s="88">
        <f>M13992-M13992*VLOOKUP($Q13992,매칭테이블!$F:$I,3,0)</f>
        <v/>
      </c>
      <c r="O13992" s="88">
        <f>VLOOKUP($Q13992,매칭테이블!$F:$I,4,0)*K13992</f>
        <v/>
      </c>
      <c r="P13992" s="152">
        <f>M13992/1.1</f>
        <v/>
      </c>
      <c r="Q13992" s="88">
        <f>F13992&amp;E13992&amp;G13992&amp;L13992</f>
        <v/>
      </c>
    </row>
    <row r="13993">
      <c r="B13993" s="128" t="n">
        <v>44216</v>
      </c>
      <c r="C13993" s="88">
        <f>TEXT(B13993,"aaa")</f>
        <v/>
      </c>
      <c r="D13993" s="94" t="n"/>
      <c r="E13993" s="88">
        <f>INDEX(매칭테이블!C:D,MATCH(RD!G13993,매칭테이블!D:D,0),1)</f>
        <v/>
      </c>
      <c r="F13993" s="94" t="inlineStr">
        <is>
          <t>카페24</t>
        </is>
      </c>
      <c r="G13993" s="94" t="inlineStr">
        <is>
          <t>어성초 77 수딩 토너옵션=BEST어성초 77 토너 2개-30% off (무료배송)</t>
        </is>
      </c>
      <c r="K13993" s="94" t="n">
        <v>61</v>
      </c>
      <c r="L13993" s="88" t="n">
        <v>201208</v>
      </c>
      <c r="M13993" s="88">
        <f>VLOOKUP($Q13993,매칭테이블!$F:$I,2,0)*K13993</f>
        <v/>
      </c>
      <c r="N13993" s="88">
        <f>M13993-M13993*VLOOKUP($Q13993,매칭테이블!$F:$I,3,0)</f>
        <v/>
      </c>
      <c r="O13993" s="88">
        <f>VLOOKUP($Q13993,매칭테이블!$F:$I,4,0)*K13993</f>
        <v/>
      </c>
      <c r="P13993" s="152">
        <f>M13993/1.1</f>
        <v/>
      </c>
      <c r="Q13993" s="88">
        <f>F13993&amp;E13993&amp;G13993&amp;L13993</f>
        <v/>
      </c>
    </row>
    <row r="13994">
      <c r="B13994" s="128" t="n">
        <v>44216</v>
      </c>
      <c r="C13994" s="88">
        <f>TEXT(B13994,"aaa")</f>
        <v/>
      </c>
      <c r="D13994" s="94" t="n"/>
      <c r="E13994" s="88">
        <f>INDEX(매칭테이블!C:D,MATCH(RD!G13994,매칭테이블!D:D,0),1)</f>
        <v/>
      </c>
      <c r="F13994" s="94" t="inlineStr">
        <is>
          <t>카페24</t>
        </is>
      </c>
      <c r="G13994" s="94" t="inlineStr">
        <is>
          <t>어성초 77 수딩 토너옵션=어성초 77토너1개 + 어성초77패드1개 -30% off (무료배송)</t>
        </is>
      </c>
      <c r="K13994" s="94" t="n">
        <v>29</v>
      </c>
      <c r="L13994" s="88" t="n">
        <v>201208</v>
      </c>
      <c r="M13994" s="88">
        <f>VLOOKUP($Q13994,매칭테이블!$F:$I,2,0)*K13994</f>
        <v/>
      </c>
      <c r="N13994" s="88">
        <f>M13994-M13994*VLOOKUP($Q13994,매칭테이블!$F:$I,3,0)</f>
        <v/>
      </c>
      <c r="O13994" s="88">
        <f>VLOOKUP($Q13994,매칭테이블!$F:$I,4,0)*K13994</f>
        <v/>
      </c>
      <c r="P13994" s="152">
        <f>M13994/1.1</f>
        <v/>
      </c>
      <c r="Q13994" s="88">
        <f>F13994&amp;E13994&amp;G13994&amp;L13994</f>
        <v/>
      </c>
    </row>
    <row r="13995">
      <c r="B13995" s="128" t="n">
        <v>44216</v>
      </c>
      <c r="C13995" s="88">
        <f>TEXT(B13995,"aaa")</f>
        <v/>
      </c>
      <c r="D13995" s="94" t="n"/>
      <c r="E13995" s="88">
        <f>INDEX(매칭테이블!C:D,MATCH(RD!G13995,매칭테이블!D:D,0),1)</f>
        <v/>
      </c>
      <c r="F13995" s="94" t="inlineStr">
        <is>
          <t>카페24</t>
        </is>
      </c>
      <c r="G13995" s="94" t="inlineStr">
        <is>
          <t>어성초 77 수딩 토너화장솜(선택)=촉촉 스킨팩 화장솜</t>
        </is>
      </c>
      <c r="K13995" s="94" t="n">
        <v>55</v>
      </c>
      <c r="L13995" s="88" t="n">
        <v>201208</v>
      </c>
      <c r="M13995" s="88">
        <f>VLOOKUP($Q13995,매칭테이블!$F:$I,2,0)*K13995</f>
        <v/>
      </c>
      <c r="N13995" s="88">
        <f>M13995-M13995*VLOOKUP($Q13995,매칭테이블!$F:$I,3,0)</f>
        <v/>
      </c>
      <c r="O13995" s="88">
        <f>VLOOKUP($Q13995,매칭테이블!$F:$I,4,0)*K13995</f>
        <v/>
      </c>
      <c r="P13995" s="152">
        <f>M13995/1.1</f>
        <v/>
      </c>
      <c r="Q13995" s="88">
        <f>F13995&amp;E13995&amp;G13995&amp;L13995</f>
        <v/>
      </c>
    </row>
    <row r="13996">
      <c r="B13996" s="128" t="n">
        <v>44216</v>
      </c>
      <c r="C13996" s="88">
        <f>TEXT(B13996,"aaa")</f>
        <v/>
      </c>
      <c r="D13996" s="94" t="n"/>
      <c r="E13996" s="88">
        <f>INDEX(매칭테이블!C:D,MATCH(RD!G13996,매칭테이블!D:D,0),1)</f>
        <v/>
      </c>
      <c r="F13996" s="94" t="inlineStr">
        <is>
          <t>카페24</t>
        </is>
      </c>
      <c r="G13996" s="94" t="inlineStr">
        <is>
          <t>어성초 77 수딩 토너토너(필수)=(대용량) 어성초 77 토너 500ml (무료배송)</t>
        </is>
      </c>
      <c r="K13996" s="94" t="n">
        <v>3</v>
      </c>
      <c r="L13996" s="88" t="n">
        <v>201208</v>
      </c>
      <c r="M13996" s="88">
        <f>VLOOKUP($Q13996,매칭테이블!$F:$I,2,0)*K13996</f>
        <v/>
      </c>
      <c r="N13996" s="88">
        <f>M13996-M13996*VLOOKUP($Q13996,매칭테이블!$F:$I,3,0)</f>
        <v/>
      </c>
      <c r="O13996" s="88">
        <f>VLOOKUP($Q13996,매칭테이블!$F:$I,4,0)*K13996</f>
        <v/>
      </c>
      <c r="P13996" s="152">
        <f>M13996/1.1</f>
        <v/>
      </c>
      <c r="Q13996" s="88">
        <f>F13996&amp;E13996&amp;G13996&amp;L13996</f>
        <v/>
      </c>
    </row>
    <row r="13997">
      <c r="B13997" s="128" t="n">
        <v>44216</v>
      </c>
      <c r="C13997" s="88">
        <f>TEXT(B13997,"aaa")</f>
        <v/>
      </c>
      <c r="D13997" s="94" t="n"/>
      <c r="E13997" s="88">
        <f>INDEX(매칭테이블!C:D,MATCH(RD!G13997,매칭테이블!D:D,0),1)</f>
        <v/>
      </c>
      <c r="F13997" s="94" t="inlineStr">
        <is>
          <t>카페24</t>
        </is>
      </c>
      <c r="G13997" s="94" t="inlineStr">
        <is>
          <t>어성초 77 진정 마스크옵션=어성초 77 진정 마스크팩 1장</t>
        </is>
      </c>
      <c r="K13997" s="94" t="n">
        <v>1</v>
      </c>
      <c r="L13997" s="88" t="n">
        <v>201208</v>
      </c>
      <c r="M13997" s="88">
        <f>VLOOKUP($Q13997,매칭테이블!$F:$I,2,0)*K13997</f>
        <v/>
      </c>
      <c r="N13997" s="88">
        <f>M13997-M13997*VLOOKUP($Q13997,매칭테이블!$F:$I,3,0)</f>
        <v/>
      </c>
      <c r="O13997" s="88">
        <f>VLOOKUP($Q13997,매칭테이블!$F:$I,4,0)*K13997</f>
        <v/>
      </c>
      <c r="P13997" s="152">
        <f>M13997/1.1</f>
        <v/>
      </c>
      <c r="Q13997" s="88">
        <f>F13997&amp;E13997&amp;G13997&amp;L13997</f>
        <v/>
      </c>
    </row>
    <row r="13998">
      <c r="B13998" s="128" t="n">
        <v>44216</v>
      </c>
      <c r="C13998" s="88">
        <f>TEXT(B13998,"aaa")</f>
        <v/>
      </c>
      <c r="D13998" s="94" t="n"/>
      <c r="E13998" s="88">
        <f>INDEX(매칭테이블!C:D,MATCH(RD!G13998,매칭테이블!D:D,0),1)</f>
        <v/>
      </c>
      <c r="F13998" s="94" t="inlineStr">
        <is>
          <t>카페24</t>
        </is>
      </c>
      <c r="G13998" s="94" t="inlineStr">
        <is>
          <t>어성초 77 진정 마스크옵션=어성초 77 진정 마스크팩 10장-50% off</t>
        </is>
      </c>
      <c r="K13998" s="94" t="n">
        <v>19</v>
      </c>
      <c r="L13998" s="88" t="n">
        <v>201208</v>
      </c>
      <c r="M13998" s="88">
        <f>VLOOKUP($Q13998,매칭테이블!$F:$I,2,0)*K13998</f>
        <v/>
      </c>
      <c r="N13998" s="88">
        <f>M13998-M13998*VLOOKUP($Q13998,매칭테이블!$F:$I,3,0)</f>
        <v/>
      </c>
      <c r="O13998" s="88">
        <f>VLOOKUP($Q13998,매칭테이블!$F:$I,4,0)*K13998</f>
        <v/>
      </c>
      <c r="P13998" s="152">
        <f>M13998/1.1</f>
        <v/>
      </c>
      <c r="Q13998" s="88">
        <f>F13998&amp;E13998&amp;G13998&amp;L13998</f>
        <v/>
      </c>
    </row>
    <row r="13999">
      <c r="B13999" s="128" t="n">
        <v>44216</v>
      </c>
      <c r="C13999" s="88">
        <f>TEXT(B13999,"aaa")</f>
        <v/>
      </c>
      <c r="D13999" s="94" t="n"/>
      <c r="E13999" s="88">
        <f>INDEX(매칭테이블!C:D,MATCH(RD!G13999,매칭테이블!D:D,0),1)</f>
        <v/>
      </c>
      <c r="F13999" s="94" t="inlineStr">
        <is>
          <t>카페24</t>
        </is>
      </c>
      <c r="G13999" s="94" t="inlineStr">
        <is>
          <t>어성초 77 토너 250ml</t>
        </is>
      </c>
      <c r="K13999" s="94" t="n">
        <v>1</v>
      </c>
      <c r="L13999" s="88" t="n">
        <v>201208</v>
      </c>
      <c r="M13999" s="88">
        <f>VLOOKUP($Q13999,매칭테이블!$F:$I,2,0)*K13999</f>
        <v/>
      </c>
      <c r="N13999" s="88">
        <f>M13999-M13999*VLOOKUP($Q13999,매칭테이블!$F:$I,3,0)</f>
        <v/>
      </c>
      <c r="O13999" s="88">
        <f>VLOOKUP($Q13999,매칭테이블!$F:$I,4,0)*K13999</f>
        <v/>
      </c>
      <c r="P13999" s="152">
        <f>M13999/1.1</f>
        <v/>
      </c>
      <c r="Q13999" s="88">
        <f>F13999&amp;E13999&amp;G13999&amp;L13999</f>
        <v/>
      </c>
    </row>
    <row r="14000">
      <c r="B14000" s="128" t="n">
        <v>44216</v>
      </c>
      <c r="C14000" s="88">
        <f>TEXT(B14000,"aaa")</f>
        <v/>
      </c>
      <c r="D14000" s="94" t="n"/>
      <c r="E14000" s="88">
        <f>INDEX(매칭테이블!C:D,MATCH(RD!G14000,매칭테이블!D:D,0),1)</f>
        <v/>
      </c>
      <c r="F14000" s="94" t="inlineStr">
        <is>
          <t>카페24</t>
        </is>
      </c>
      <c r="G14000" s="94" t="inlineStr">
        <is>
          <t>어성초 78 수딩 크림</t>
        </is>
      </c>
      <c r="K14000" s="94" t="n">
        <v>15</v>
      </c>
      <c r="L14000" s="88" t="n">
        <v>201208</v>
      </c>
      <c r="M14000" s="88">
        <f>VLOOKUP($Q14000,매칭테이블!$F:$I,2,0)*K14000</f>
        <v/>
      </c>
      <c r="N14000" s="88">
        <f>M14000-M14000*VLOOKUP($Q14000,매칭테이블!$F:$I,3,0)</f>
        <v/>
      </c>
      <c r="O14000" s="88">
        <f>VLOOKUP($Q14000,매칭테이블!$F:$I,4,0)*K14000</f>
        <v/>
      </c>
      <c r="P14000" s="152">
        <f>M14000/1.1</f>
        <v/>
      </c>
      <c r="Q14000" s="88">
        <f>F14000&amp;E14000&amp;G14000&amp;L14000</f>
        <v/>
      </c>
    </row>
    <row r="14001">
      <c r="B14001" s="128" t="n">
        <v>44216</v>
      </c>
      <c r="C14001" s="88">
        <f>TEXT(B14001,"aaa")</f>
        <v/>
      </c>
      <c r="D14001" s="94" t="n"/>
      <c r="E14001" s="88">
        <f>INDEX(매칭테이블!C:D,MATCH(RD!G14001,매칭테이블!D:D,0),1)</f>
        <v/>
      </c>
      <c r="F14001" s="94" t="inlineStr">
        <is>
          <t>카페24</t>
        </is>
      </c>
      <c r="G14001" s="94" t="inlineStr">
        <is>
          <t>어성초 78 수딩 크림</t>
        </is>
      </c>
      <c r="K14001" s="94" t="n">
        <v>8</v>
      </c>
      <c r="L14001" s="88" t="n">
        <v>201208</v>
      </c>
      <c r="M14001" s="88">
        <f>VLOOKUP($Q14001,매칭테이블!$F:$I,2,0)*K14001</f>
        <v/>
      </c>
      <c r="N14001" s="88">
        <f>M14001-M14001*VLOOKUP($Q14001,매칭테이블!$F:$I,3,0)</f>
        <v/>
      </c>
      <c r="O14001" s="88">
        <f>VLOOKUP($Q14001,매칭테이블!$F:$I,4,0)*K14001</f>
        <v/>
      </c>
      <c r="P14001" s="152">
        <f>M14001/1.1</f>
        <v/>
      </c>
      <c r="Q14001" s="88">
        <f>F14001&amp;E14001&amp;G14001&amp;L14001</f>
        <v/>
      </c>
    </row>
    <row r="14002">
      <c r="B14002" s="128" t="n">
        <v>44216</v>
      </c>
      <c r="C14002" s="88">
        <f>TEXT(B14002,"aaa")</f>
        <v/>
      </c>
      <c r="D14002" s="94" t="n"/>
      <c r="E14002" s="88">
        <f>INDEX(매칭테이블!C:D,MATCH(RD!G14002,매칭테이블!D:D,0),1)</f>
        <v/>
      </c>
      <c r="F14002" s="94" t="inlineStr">
        <is>
          <t>카페24</t>
        </is>
      </c>
      <c r="G14002" s="94" t="inlineStr">
        <is>
          <t>어성초 80 수분 진정 앰플앰플=어성초 80 앰플 1개-15%off</t>
        </is>
      </c>
      <c r="K14002" s="94" t="n">
        <v>28</v>
      </c>
      <c r="L14002" s="88" t="n">
        <v>201208</v>
      </c>
      <c r="M14002" s="88">
        <f>VLOOKUP($Q14002,매칭테이블!$F:$I,2,0)*K14002</f>
        <v/>
      </c>
      <c r="N14002" s="88">
        <f>M14002-M14002*VLOOKUP($Q14002,매칭테이블!$F:$I,3,0)</f>
        <v/>
      </c>
      <c r="O14002" s="88">
        <f>VLOOKUP($Q14002,매칭테이블!$F:$I,4,0)*K14002</f>
        <v/>
      </c>
      <c r="P14002" s="152">
        <f>M14002/1.1</f>
        <v/>
      </c>
      <c r="Q14002" s="88">
        <f>F14002&amp;E14002&amp;G14002&amp;L14002</f>
        <v/>
      </c>
    </row>
    <row r="14003">
      <c r="B14003" s="128" t="n">
        <v>44216</v>
      </c>
      <c r="C14003" s="88">
        <f>TEXT(B14003,"aaa")</f>
        <v/>
      </c>
      <c r="D14003" s="94" t="n"/>
      <c r="E14003" s="88">
        <f>INDEX(매칭테이블!C:D,MATCH(RD!G14003,매칭테이블!D:D,0),1)</f>
        <v/>
      </c>
      <c r="F14003" s="94" t="inlineStr">
        <is>
          <t>카페24</t>
        </is>
      </c>
      <c r="G14003" s="94" t="inlineStr">
        <is>
          <t>어성초 80 수분 진정 앰플앰플=어성초 80 앰플 2개-27%off (무료배송)</t>
        </is>
      </c>
      <c r="K14003" s="94" t="n">
        <v>16</v>
      </c>
      <c r="L14003" s="88" t="n">
        <v>201208</v>
      </c>
      <c r="M14003" s="88">
        <f>VLOOKUP($Q14003,매칭테이블!$F:$I,2,0)*K14003</f>
        <v/>
      </c>
      <c r="N14003" s="88">
        <f>M14003-M14003*VLOOKUP($Q14003,매칭테이블!$F:$I,3,0)</f>
        <v/>
      </c>
      <c r="O14003" s="88">
        <f>VLOOKUP($Q14003,매칭테이블!$F:$I,4,0)*K14003</f>
        <v/>
      </c>
      <c r="P14003" s="152">
        <f>M14003/1.1</f>
        <v/>
      </c>
      <c r="Q14003" s="88">
        <f>F14003&amp;E14003&amp;G14003&amp;L14003</f>
        <v/>
      </c>
    </row>
    <row r="14004">
      <c r="B14004" s="128" t="n">
        <v>44216</v>
      </c>
      <c r="C14004" s="88">
        <f>TEXT(B14004,"aaa")</f>
        <v/>
      </c>
      <c r="D14004" s="94" t="n"/>
      <c r="E14004" s="88">
        <f>INDEX(매칭테이블!C:D,MATCH(RD!G14004,매칭테이블!D:D,0),1)</f>
        <v/>
      </c>
      <c r="F14004" s="94" t="inlineStr">
        <is>
          <t>카페24</t>
        </is>
      </c>
      <c r="G14004" s="94" t="inlineStr">
        <is>
          <t>어성초 80 수분 진정 앰플</t>
        </is>
      </c>
      <c r="K14004" s="94" t="n">
        <v>8</v>
      </c>
      <c r="L14004" s="88" t="n">
        <v>201208</v>
      </c>
      <c r="M14004" s="88">
        <f>VLOOKUP($Q14004,매칭테이블!$F:$I,2,0)*K14004</f>
        <v/>
      </c>
      <c r="N14004" s="88">
        <f>M14004-M14004*VLOOKUP($Q14004,매칭테이블!$F:$I,3,0)</f>
        <v/>
      </c>
      <c r="O14004" s="88">
        <f>VLOOKUP($Q14004,매칭테이블!$F:$I,4,0)*K14004</f>
        <v/>
      </c>
      <c r="P14004" s="152">
        <f>M14004/1.1</f>
        <v/>
      </c>
      <c r="Q14004" s="88">
        <f>F14004&amp;E14004&amp;G14004&amp;L14004</f>
        <v/>
      </c>
    </row>
    <row r="14005">
      <c r="B14005" s="128" t="n">
        <v>44216</v>
      </c>
      <c r="C14005" s="88">
        <f>TEXT(B14005,"aaa")</f>
        <v/>
      </c>
      <c r="D14005" s="94" t="n"/>
      <c r="E14005" s="88">
        <f>INDEX(매칭테이블!C:D,MATCH(RD!G14005,매칭테이블!D:D,0),1)</f>
        <v/>
      </c>
      <c r="F14005" s="94" t="inlineStr">
        <is>
          <t>카페24</t>
        </is>
      </c>
      <c r="G14005" s="94" t="inlineStr">
        <is>
          <t>어성초 아크네 바디워시옵션=어성초 아크네 바디워시 1개 -30% off</t>
        </is>
      </c>
      <c r="K14005" s="94" t="n">
        <v>6</v>
      </c>
      <c r="L14005" s="88" t="n">
        <v>201208</v>
      </c>
      <c r="M14005" s="88">
        <f>VLOOKUP($Q14005,매칭테이블!$F:$I,2,0)*K14005</f>
        <v/>
      </c>
      <c r="N14005" s="88">
        <f>M14005-M14005*VLOOKUP($Q14005,매칭테이블!$F:$I,3,0)</f>
        <v/>
      </c>
      <c r="O14005" s="88">
        <f>VLOOKUP($Q14005,매칭테이블!$F:$I,4,0)*K14005</f>
        <v/>
      </c>
      <c r="P14005" s="152">
        <f>M14005/1.1</f>
        <v/>
      </c>
      <c r="Q14005" s="88">
        <f>F14005&amp;E14005&amp;G14005&amp;L14005</f>
        <v/>
      </c>
    </row>
    <row r="14006">
      <c r="B14006" s="128" t="n">
        <v>44216</v>
      </c>
      <c r="C14006" s="88">
        <f>TEXT(B14006,"aaa")</f>
        <v/>
      </c>
      <c r="D14006" s="94" t="n"/>
      <c r="E14006" s="88">
        <f>INDEX(매칭테이블!C:D,MATCH(RD!G14006,매칭테이블!D:D,0),1)</f>
        <v/>
      </c>
      <c r="F14006" s="94" t="inlineStr">
        <is>
          <t>카페24</t>
        </is>
      </c>
      <c r="G14006" s="94" t="inlineStr">
        <is>
          <t>어성초 약산성 클렌징폼클렌징폼=어성초 약산성 클렌징폼 1개 -19%off</t>
        </is>
      </c>
      <c r="K14006" s="94" t="n">
        <v>26</v>
      </c>
      <c r="L14006" s="88" t="n">
        <v>201208</v>
      </c>
      <c r="M14006" s="88">
        <f>VLOOKUP($Q14006,매칭테이블!$F:$I,2,0)*K14006</f>
        <v/>
      </c>
      <c r="N14006" s="88">
        <f>M14006-M14006*VLOOKUP($Q14006,매칭테이블!$F:$I,3,0)</f>
        <v/>
      </c>
      <c r="O14006" s="88">
        <f>VLOOKUP($Q14006,매칭테이블!$F:$I,4,0)*K14006</f>
        <v/>
      </c>
      <c r="P14006" s="152">
        <f>M14006/1.1</f>
        <v/>
      </c>
      <c r="Q14006" s="88">
        <f>F14006&amp;E14006&amp;G14006&amp;L14006</f>
        <v/>
      </c>
    </row>
    <row r="14007">
      <c r="B14007" s="128" t="n">
        <v>44216</v>
      </c>
      <c r="C14007" s="88">
        <f>TEXT(B14007,"aaa")</f>
        <v/>
      </c>
      <c r="D14007" s="94" t="n"/>
      <c r="E14007" s="88">
        <f>INDEX(매칭테이블!C:D,MATCH(RD!G14007,매칭테이블!D:D,0),1)</f>
        <v/>
      </c>
      <c r="F14007" s="94" t="inlineStr">
        <is>
          <t>카페24</t>
        </is>
      </c>
      <c r="G14007" s="94" t="inlineStr">
        <is>
          <t>어성초 약산성 클렌징폼클렌징폼=어성초 약산성 클렌징폼 2개 -25%off</t>
        </is>
      </c>
      <c r="K14007" s="94" t="n">
        <v>6</v>
      </c>
      <c r="L14007" s="88" t="n">
        <v>201208</v>
      </c>
      <c r="M14007" s="88">
        <f>VLOOKUP($Q14007,매칭테이블!$F:$I,2,0)*K14007</f>
        <v/>
      </c>
      <c r="N14007" s="88">
        <f>M14007-M14007*VLOOKUP($Q14007,매칭테이블!$F:$I,3,0)</f>
        <v/>
      </c>
      <c r="O14007" s="88">
        <f>VLOOKUP($Q14007,매칭테이블!$F:$I,4,0)*K14007</f>
        <v/>
      </c>
      <c r="P14007" s="152">
        <f>M14007/1.1</f>
        <v/>
      </c>
      <c r="Q14007" s="88">
        <f>F14007&amp;E14007&amp;G14007&amp;L14007</f>
        <v/>
      </c>
    </row>
    <row r="14008">
      <c r="B14008" s="128" t="n">
        <v>44216</v>
      </c>
      <c r="C14008" s="88">
        <f>TEXT(B14008,"aaa")</f>
        <v/>
      </c>
      <c r="D14008" s="94" t="n"/>
      <c r="E14008" s="88">
        <f>INDEX(매칭테이블!C:D,MATCH(RD!G14008,매칭테이블!D:D,0),1)</f>
        <v/>
      </c>
      <c r="F14008" s="94" t="inlineStr">
        <is>
          <t>카페24</t>
        </is>
      </c>
      <c r="G14008" s="94" t="inlineStr">
        <is>
          <t>어성초 약산성 클렌징폼클렌징폼=어성초 약산성 클렌징폼 3개 -31%off (무료배송)</t>
        </is>
      </c>
      <c r="K14008" s="94" t="n">
        <v>5</v>
      </c>
      <c r="L14008" s="88" t="n">
        <v>201208</v>
      </c>
      <c r="M14008" s="88">
        <f>VLOOKUP($Q14008,매칭테이블!$F:$I,2,0)*K14008</f>
        <v/>
      </c>
      <c r="N14008" s="88">
        <f>M14008-M14008*VLOOKUP($Q14008,매칭테이블!$F:$I,3,0)</f>
        <v/>
      </c>
      <c r="O14008" s="88">
        <f>VLOOKUP($Q14008,매칭테이블!$F:$I,4,0)*K14008</f>
        <v/>
      </c>
      <c r="P14008" s="152">
        <f>M14008/1.1</f>
        <v/>
      </c>
      <c r="Q14008" s="88">
        <f>F14008&amp;E14008&amp;G14008&amp;L14008</f>
        <v/>
      </c>
    </row>
    <row r="14009">
      <c r="B14009" s="128" t="n">
        <v>44216</v>
      </c>
      <c r="C14009" s="88">
        <f>TEXT(B14009,"aaa")</f>
        <v/>
      </c>
      <c r="D14009" s="94" t="n"/>
      <c r="E14009" s="88">
        <f>INDEX(매칭테이블!C:D,MATCH(RD!G14009,매칭테이블!D:D,0),1)</f>
        <v/>
      </c>
      <c r="F14009" s="94" t="inlineStr">
        <is>
          <t>카페24</t>
        </is>
      </c>
      <c r="G14009" s="94" t="inlineStr">
        <is>
          <t>어성초 크림마스크 나이트 솔루션옵션=어성초 크림마스크 나이트 솔루션 1장</t>
        </is>
      </c>
      <c r="K14009" s="94" t="n">
        <v>3</v>
      </c>
      <c r="L14009" s="88" t="n">
        <v>201208</v>
      </c>
      <c r="M14009" s="88">
        <f>VLOOKUP($Q14009,매칭테이블!$F:$I,2,0)*K14009</f>
        <v/>
      </c>
      <c r="N14009" s="88">
        <f>M14009-M14009*VLOOKUP($Q14009,매칭테이블!$F:$I,3,0)</f>
        <v/>
      </c>
      <c r="O14009" s="88">
        <f>VLOOKUP($Q14009,매칭테이블!$F:$I,4,0)*K14009</f>
        <v/>
      </c>
      <c r="P14009" s="152">
        <f>M14009/1.1</f>
        <v/>
      </c>
      <c r="Q14009" s="88">
        <f>F14009&amp;E14009&amp;G14009&amp;L14009</f>
        <v/>
      </c>
    </row>
    <row r="14010">
      <c r="B14010" s="128" t="n">
        <v>44216</v>
      </c>
      <c r="C14010" s="88">
        <f>TEXT(B14010,"aaa")</f>
        <v/>
      </c>
      <c r="D14010" s="94" t="n"/>
      <c r="E14010" s="88">
        <f>INDEX(매칭테이블!C:D,MATCH(RD!G14010,매칭테이블!D:D,0),1)</f>
        <v/>
      </c>
      <c r="F14010" s="94" t="inlineStr">
        <is>
          <t>카페24</t>
        </is>
      </c>
      <c r="G14010" s="94" t="inlineStr">
        <is>
          <t>어성초 크림마스크 나이트 솔루션옵션=어성초 크림마스크 나이트 솔루션 10장 (-50%)</t>
        </is>
      </c>
      <c r="K14010" s="94" t="n">
        <v>2</v>
      </c>
      <c r="L14010" s="88" t="n">
        <v>201208</v>
      </c>
      <c r="M14010" s="88">
        <f>VLOOKUP($Q14010,매칭테이블!$F:$I,2,0)*K14010</f>
        <v/>
      </c>
      <c r="N14010" s="88">
        <f>M14010-M14010*VLOOKUP($Q14010,매칭테이블!$F:$I,3,0)</f>
        <v/>
      </c>
      <c r="O14010" s="88">
        <f>VLOOKUP($Q14010,매칭테이블!$F:$I,4,0)*K14010</f>
        <v/>
      </c>
      <c r="P14010" s="152">
        <f>M14010/1.1</f>
        <v/>
      </c>
      <c r="Q14010" s="88">
        <f>F14010&amp;E14010&amp;G14010&amp;L14010</f>
        <v/>
      </c>
    </row>
    <row r="14011">
      <c r="B14011" s="128" t="n">
        <v>44216</v>
      </c>
      <c r="C14011" s="88">
        <f>TEXT(B14011,"aaa")</f>
        <v/>
      </c>
      <c r="D14011" s="94" t="n"/>
      <c r="E14011" s="88">
        <f>INDEX(매칭테이블!C:D,MATCH(RD!G14011,매칭테이블!D:D,0),1)</f>
        <v/>
      </c>
      <c r="F14011" s="94" t="inlineStr">
        <is>
          <t>카페24</t>
        </is>
      </c>
      <c r="G14011" s="94" t="inlineStr">
        <is>
          <t>자작나무 수분 마스크옵션=자작나무 수분 마스크 1장</t>
        </is>
      </c>
      <c r="K14011" s="94" t="n">
        <v>4</v>
      </c>
      <c r="L14011" s="88" t="n">
        <v>201208</v>
      </c>
      <c r="M14011" s="88">
        <f>VLOOKUP($Q14011,매칭테이블!$F:$I,2,0)*K14011</f>
        <v/>
      </c>
      <c r="N14011" s="88">
        <f>M14011-M14011*VLOOKUP($Q14011,매칭테이블!$F:$I,3,0)</f>
        <v/>
      </c>
      <c r="O14011" s="88">
        <f>VLOOKUP($Q14011,매칭테이블!$F:$I,4,0)*K14011</f>
        <v/>
      </c>
      <c r="P14011" s="152">
        <f>M14011/1.1</f>
        <v/>
      </c>
      <c r="Q14011" s="88">
        <f>F14011&amp;E14011&amp;G14011&amp;L14011</f>
        <v/>
      </c>
    </row>
    <row r="14012">
      <c r="B14012" s="128" t="n">
        <v>44216</v>
      </c>
      <c r="C14012" s="88">
        <f>TEXT(B14012,"aaa")</f>
        <v/>
      </c>
      <c r="D14012" s="94" t="n"/>
      <c r="E14012" s="88">
        <f>INDEX(매칭테이블!C:D,MATCH(RD!G14012,매칭테이블!D:D,0),1)</f>
        <v/>
      </c>
      <c r="F14012" s="94" t="inlineStr">
        <is>
          <t>카페24</t>
        </is>
      </c>
      <c r="G14012" s="94" t="inlineStr">
        <is>
          <t>자작나무 수분 마스크옵션=자작나무 수분 마스크 10장 (50% off)</t>
        </is>
      </c>
      <c r="K14012" s="94" t="n">
        <v>1</v>
      </c>
      <c r="L14012" s="88" t="n">
        <v>201208</v>
      </c>
      <c r="M14012" s="88">
        <f>VLOOKUP($Q14012,매칭테이블!$F:$I,2,0)*K14012</f>
        <v/>
      </c>
      <c r="N14012" s="88">
        <f>M14012-M14012*VLOOKUP($Q14012,매칭테이블!$F:$I,3,0)</f>
        <v/>
      </c>
      <c r="O14012" s="88">
        <f>VLOOKUP($Q14012,매칭테이블!$F:$I,4,0)*K14012</f>
        <v/>
      </c>
      <c r="P14012" s="152">
        <f>M14012/1.1</f>
        <v/>
      </c>
      <c r="Q14012" s="88">
        <f>F14012&amp;E14012&amp;G14012&amp;L14012</f>
        <v/>
      </c>
    </row>
    <row r="14013">
      <c r="B14013" s="128" t="n">
        <v>44216</v>
      </c>
      <c r="C14013" s="88">
        <f>TEXT(B14013,"aaa")</f>
        <v/>
      </c>
      <c r="D14013" s="94" t="n"/>
      <c r="E14013" s="88">
        <f>INDEX(매칭테이블!C:D,MATCH(RD!G14013,매칭테이블!D:D,0),1)</f>
        <v/>
      </c>
      <c r="F14013" s="94" t="inlineStr">
        <is>
          <t>카페24</t>
        </is>
      </c>
      <c r="G14013" s="94" t="inlineStr">
        <is>
          <t>청귤 비타 잡티 마스크옵션=청귤 비타 잡티 마스크 1장</t>
        </is>
      </c>
      <c r="K14013" s="94" t="n">
        <v>6</v>
      </c>
      <c r="L14013" s="88" t="n">
        <v>201208</v>
      </c>
      <c r="M14013" s="88">
        <f>VLOOKUP($Q14013,매칭테이블!$F:$I,2,0)*K14013</f>
        <v/>
      </c>
      <c r="N14013" s="88">
        <f>M14013-M14013*VLOOKUP($Q14013,매칭테이블!$F:$I,3,0)</f>
        <v/>
      </c>
      <c r="O14013" s="88">
        <f>VLOOKUP($Q14013,매칭테이블!$F:$I,4,0)*K14013</f>
        <v/>
      </c>
      <c r="P14013" s="152">
        <f>M14013/1.1</f>
        <v/>
      </c>
      <c r="Q14013" s="88">
        <f>F14013&amp;E14013&amp;G14013&amp;L14013</f>
        <v/>
      </c>
    </row>
    <row r="14014">
      <c r="B14014" s="128" t="n">
        <v>44216</v>
      </c>
      <c r="C14014" s="88">
        <f>TEXT(B14014,"aaa")</f>
        <v/>
      </c>
      <c r="D14014" s="94" t="n"/>
      <c r="E14014" s="88">
        <f>INDEX(매칭테이블!C:D,MATCH(RD!G14014,매칭테이블!D:D,0),1)</f>
        <v/>
      </c>
      <c r="F14014" s="94" t="inlineStr">
        <is>
          <t>카페24</t>
        </is>
      </c>
      <c r="G14014" s="94" t="inlineStr">
        <is>
          <t>청귤 비타 잡티 마스크옵션=청귤 비타 잡티 마스크 10장 (50% off)</t>
        </is>
      </c>
      <c r="K14014" s="94" t="n">
        <v>4</v>
      </c>
      <c r="L14014" s="88" t="n">
        <v>201208</v>
      </c>
      <c r="M14014" s="88">
        <f>VLOOKUP($Q14014,매칭테이블!$F:$I,2,0)*K14014</f>
        <v/>
      </c>
      <c r="N14014" s="88">
        <f>M14014-M14014*VLOOKUP($Q14014,매칭테이블!$F:$I,3,0)</f>
        <v/>
      </c>
      <c r="O14014" s="88">
        <f>VLOOKUP($Q14014,매칭테이블!$F:$I,4,0)*K14014</f>
        <v/>
      </c>
      <c r="P14014" s="152">
        <f>M14014/1.1</f>
        <v/>
      </c>
      <c r="Q14014" s="88">
        <f>F14014&amp;E14014&amp;G14014&amp;L14014</f>
        <v/>
      </c>
    </row>
    <row r="14015">
      <c r="B14015" s="128" t="n">
        <v>44216</v>
      </c>
      <c r="C14015" s="88">
        <f>TEXT(B14015,"aaa")</f>
        <v/>
      </c>
      <c r="D14015" s="94" t="n"/>
      <c r="E14015" s="88">
        <f>INDEX(매칭테이블!C:D,MATCH(RD!G14015,매칭테이블!D:D,0),1)</f>
        <v/>
      </c>
      <c r="F14015" s="94" t="inlineStr">
        <is>
          <t>카페24</t>
        </is>
      </c>
      <c r="G14015" s="94" t="inlineStr">
        <is>
          <t>촉촉 스킨팩 화장솜</t>
        </is>
      </c>
      <c r="K14015" s="94" t="n">
        <v>34</v>
      </c>
      <c r="L14015" s="88" t="n">
        <v>201208</v>
      </c>
      <c r="M14015" s="88">
        <f>VLOOKUP($Q14015,매칭테이블!$F:$I,2,0)*K14015</f>
        <v/>
      </c>
      <c r="N14015" s="88">
        <f>M14015-M14015*VLOOKUP($Q14015,매칭테이블!$F:$I,3,0)</f>
        <v/>
      </c>
      <c r="O14015" s="88">
        <f>VLOOKUP($Q14015,매칭테이블!$F:$I,4,0)*K14015</f>
        <v/>
      </c>
      <c r="P14015" s="152">
        <f>M14015/1.1</f>
        <v/>
      </c>
      <c r="Q14015" s="88">
        <f>F14015&amp;E14015&amp;G14015&amp;L14015</f>
        <v/>
      </c>
    </row>
    <row r="14016">
      <c r="B14016" s="128" t="n">
        <v>44216</v>
      </c>
      <c r="C14016" s="88">
        <f>TEXT(B14016,"aaa")</f>
        <v/>
      </c>
      <c r="D14016" s="94" t="n"/>
      <c r="E14016" s="88">
        <f>INDEX(매칭테이블!C:D,MATCH(RD!G14016,매칭테이블!D:D,0),1)</f>
        <v/>
      </c>
      <c r="F14016" s="94" t="inlineStr">
        <is>
          <t>카페24</t>
        </is>
      </c>
      <c r="G14016" s="94" t="inlineStr">
        <is>
          <t>촉촉 스킨팩 화장솜</t>
        </is>
      </c>
      <c r="K14016" s="94" t="n">
        <v>6</v>
      </c>
      <c r="L14016" s="88" t="n">
        <v>201208</v>
      </c>
      <c r="M14016" s="88">
        <f>VLOOKUP($Q14016,매칭테이블!$F:$I,2,0)*K14016</f>
        <v/>
      </c>
      <c r="N14016" s="88">
        <f>M14016-M14016*VLOOKUP($Q14016,매칭테이블!$F:$I,3,0)</f>
        <v/>
      </c>
      <c r="O14016" s="88">
        <f>VLOOKUP($Q14016,매칭테이블!$F:$I,4,0)*K14016</f>
        <v/>
      </c>
      <c r="P14016" s="152">
        <f>M14016/1.1</f>
        <v/>
      </c>
      <c r="Q14016" s="88">
        <f>F14016&amp;E14016&amp;G14016&amp;L14016</f>
        <v/>
      </c>
    </row>
    <row r="14017" customFormat="1" s="94">
      <c r="B14017" s="128" t="n">
        <v>44217</v>
      </c>
      <c r="C14017" s="88">
        <f>TEXT(B14017,"aaa")</f>
        <v/>
      </c>
      <c r="E14017" s="88">
        <f>INDEX(매칭테이블!C:D,MATCH(RD!G14017,매칭테이블!D:D,0),1)</f>
        <v/>
      </c>
      <c r="F14017" s="94" t="inlineStr">
        <is>
          <t>스타일쉐어</t>
        </is>
      </c>
      <c r="G14017" s="94" t="inlineStr">
        <is>
          <t>아누아 어성초 77 토너 250ml</t>
        </is>
      </c>
      <c r="K14017" s="94" t="n">
        <v>3</v>
      </c>
      <c r="L14017" s="88" t="n">
        <v>201208</v>
      </c>
      <c r="M14017" s="88">
        <f>VLOOKUP($Q14017,매칭테이블!$F:$I,2,0)*K14017</f>
        <v/>
      </c>
      <c r="N14017" s="88">
        <f>M14017-M14017*VLOOKUP($Q14017,매칭테이블!$F:$I,3,0)</f>
        <v/>
      </c>
      <c r="O14017" s="88">
        <f>VLOOKUP($Q14017,매칭테이블!$F:$I,4,0)*K14017</f>
        <v/>
      </c>
      <c r="P14017" s="152">
        <f>M14017/1.1</f>
        <v/>
      </c>
      <c r="Q14017" s="88">
        <f>F14017&amp;E14017&amp;G14017&amp;L14017</f>
        <v/>
      </c>
    </row>
    <row r="14018">
      <c r="B14018" s="128" t="n">
        <v>44217</v>
      </c>
      <c r="C14018" s="88">
        <f>TEXT(B14018,"aaa")</f>
        <v/>
      </c>
      <c r="D14018" s="94" t="n"/>
      <c r="E14018" s="88">
        <f>INDEX(매칭테이블!C:D,MATCH(RD!G14018,매칭테이블!D:D,0),1)</f>
        <v/>
      </c>
      <c r="F14018" s="94" t="inlineStr">
        <is>
          <t>카페24</t>
        </is>
      </c>
      <c r="G14018" s="94" t="inlineStr">
        <is>
          <t>5 제로 무기자차 선크림옵션=5제로 무기자차 선크림 1개-20% off</t>
        </is>
      </c>
      <c r="K14018" s="94" t="n">
        <v>7</v>
      </c>
      <c r="L14018" s="88" t="n">
        <v>201208</v>
      </c>
      <c r="M14018" s="88">
        <f>VLOOKUP($Q14018,매칭테이블!$F:$I,2,0)*K14018</f>
        <v/>
      </c>
      <c r="N14018" s="88">
        <f>M14018-M14018*VLOOKUP($Q14018,매칭테이블!$F:$I,3,0)</f>
        <v/>
      </c>
      <c r="O14018" s="88">
        <f>VLOOKUP($Q14018,매칭테이블!$F:$I,4,0)*K14018</f>
        <v/>
      </c>
      <c r="P14018" s="152">
        <f>M14018/1.1</f>
        <v/>
      </c>
      <c r="Q14018" s="88">
        <f>F14018&amp;E14018&amp;G14018&amp;L14018</f>
        <v/>
      </c>
    </row>
    <row r="14019">
      <c r="B14019" s="128" t="n">
        <v>44217</v>
      </c>
      <c r="C14019" s="88">
        <f>TEXT(B14019,"aaa")</f>
        <v/>
      </c>
      <c r="D14019" s="94" t="n"/>
      <c r="E14019" s="88">
        <f>INDEX(매칭테이블!C:D,MATCH(RD!G14019,매칭테이블!D:D,0),1)</f>
        <v/>
      </c>
      <c r="F14019" s="94" t="inlineStr">
        <is>
          <t>카페24</t>
        </is>
      </c>
      <c r="G14019" s="94" t="inlineStr">
        <is>
          <t>[01/27 순차발송] 어성초 77 클리어 패드옵션=어성초 77 클리어 패드 1개-20% off</t>
        </is>
      </c>
      <c r="K14019" s="94" t="n">
        <v>28</v>
      </c>
      <c r="L14019" s="88" t="n">
        <v>201208</v>
      </c>
      <c r="M14019" s="88">
        <f>VLOOKUP($Q14019,매칭테이블!$F:$I,2,0)*K14019</f>
        <v/>
      </c>
      <c r="N14019" s="88">
        <f>M14019-M14019*VLOOKUP($Q14019,매칭테이블!$F:$I,3,0)</f>
        <v/>
      </c>
      <c r="O14019" s="88">
        <f>VLOOKUP($Q14019,매칭테이블!$F:$I,4,0)*K14019</f>
        <v/>
      </c>
      <c r="P14019" s="152">
        <f>M14019/1.1</f>
        <v/>
      </c>
      <c r="Q14019" s="88">
        <f>F14019&amp;E14019&amp;G14019&amp;L14019</f>
        <v/>
      </c>
    </row>
    <row r="14020">
      <c r="B14020" s="128" t="n">
        <v>44217</v>
      </c>
      <c r="C14020" s="88">
        <f>TEXT(B14020,"aaa")</f>
        <v/>
      </c>
      <c r="D14020" s="94" t="n"/>
      <c r="E14020" s="88">
        <f>INDEX(매칭테이블!C:D,MATCH(RD!G14020,매칭테이블!D:D,0),1)</f>
        <v/>
      </c>
      <c r="F14020" s="94" t="inlineStr">
        <is>
          <t>카페24</t>
        </is>
      </c>
      <c r="G14020" s="94" t="inlineStr">
        <is>
          <t>[01/27 순차발송] 어성초 77 클리어 패드옵션=어성초 77 클리어 패드 2개-30% off (무료배송)</t>
        </is>
      </c>
      <c r="K14020" s="94" t="n">
        <v>32</v>
      </c>
      <c r="L14020" s="88" t="n">
        <v>201208</v>
      </c>
      <c r="M14020" s="88">
        <f>VLOOKUP($Q14020,매칭테이블!$F:$I,2,0)*K14020</f>
        <v/>
      </c>
      <c r="N14020" s="88">
        <f>M14020-M14020*VLOOKUP($Q14020,매칭테이블!$F:$I,3,0)</f>
        <v/>
      </c>
      <c r="O14020" s="88">
        <f>VLOOKUP($Q14020,매칭테이블!$F:$I,4,0)*K14020</f>
        <v/>
      </c>
      <c r="P14020" s="152">
        <f>M14020/1.1</f>
        <v/>
      </c>
      <c r="Q14020" s="88">
        <f>F14020&amp;E14020&amp;G14020&amp;L14020</f>
        <v/>
      </c>
    </row>
    <row r="14021">
      <c r="B14021" s="128" t="n">
        <v>44217</v>
      </c>
      <c r="C14021" s="88">
        <f>TEXT(B14021,"aaa")</f>
        <v/>
      </c>
      <c r="D14021" s="94" t="n"/>
      <c r="E14021" s="88">
        <f>INDEX(매칭테이블!C:D,MATCH(RD!G14021,매칭테이블!D:D,0),1)</f>
        <v/>
      </c>
      <c r="F14021" s="94" t="inlineStr">
        <is>
          <t>카페24</t>
        </is>
      </c>
      <c r="G14021" s="94" t="inlineStr">
        <is>
          <t>[01/27 순차발송] 어성초 77 클리어 패드옵션=어성초 77 클리어 패드 2+1 EVENT (무료배송)</t>
        </is>
      </c>
      <c r="K14021" s="94" t="n">
        <v>27</v>
      </c>
      <c r="L14021" s="88" t="n">
        <v>201208</v>
      </c>
      <c r="M14021" s="88">
        <f>VLOOKUP($Q14021,매칭테이블!$F:$I,2,0)*K14021</f>
        <v/>
      </c>
      <c r="N14021" s="88">
        <f>M14021-M14021*VLOOKUP($Q14021,매칭테이블!$F:$I,3,0)</f>
        <v/>
      </c>
      <c r="O14021" s="88">
        <f>VLOOKUP($Q14021,매칭테이블!$F:$I,4,0)*K14021</f>
        <v/>
      </c>
      <c r="P14021" s="152">
        <f>M14021/1.1</f>
        <v/>
      </c>
      <c r="Q14021" s="88">
        <f>F14021&amp;E14021&amp;G14021&amp;L14021</f>
        <v/>
      </c>
    </row>
    <row r="14022">
      <c r="B14022" s="128" t="n">
        <v>44217</v>
      </c>
      <c r="C14022" s="88">
        <f>TEXT(B14022,"aaa")</f>
        <v/>
      </c>
      <c r="D14022" s="94" t="n"/>
      <c r="E14022" s="88">
        <f>INDEX(매칭테이블!C:D,MATCH(RD!G14022,매칭테이블!D:D,0),1)</f>
        <v/>
      </c>
      <c r="F14022" s="94" t="inlineStr">
        <is>
          <t>카페24</t>
        </is>
      </c>
      <c r="G14022" s="94" t="inlineStr">
        <is>
          <t>[01/27 순차발송] 어성초 77 클리어 패드옵션=어성초77토너1개+어성초77패드1개-30% off (무료배송)</t>
        </is>
      </c>
      <c r="K14022" s="94" t="n">
        <v>13</v>
      </c>
      <c r="L14022" s="88" t="n">
        <v>201208</v>
      </c>
      <c r="M14022" s="88">
        <f>VLOOKUP($Q14022,매칭테이블!$F:$I,2,0)*K14022</f>
        <v/>
      </c>
      <c r="N14022" s="88">
        <f>M14022-M14022*VLOOKUP($Q14022,매칭테이블!$F:$I,3,0)</f>
        <v/>
      </c>
      <c r="O14022" s="88">
        <f>VLOOKUP($Q14022,매칭테이블!$F:$I,4,0)*K14022</f>
        <v/>
      </c>
      <c r="P14022" s="152">
        <f>M14022/1.1</f>
        <v/>
      </c>
      <c r="Q14022" s="88">
        <f>F14022&amp;E14022&amp;G14022&amp;L14022</f>
        <v/>
      </c>
    </row>
    <row r="14023">
      <c r="B14023" s="128" t="n">
        <v>44217</v>
      </c>
      <c r="C14023" s="88">
        <f>TEXT(B14023,"aaa")</f>
        <v/>
      </c>
      <c r="D14023" s="94" t="n"/>
      <c r="E14023" s="88">
        <f>INDEX(매칭테이블!C:D,MATCH(RD!G14023,매칭테이블!D:D,0),1)</f>
        <v/>
      </c>
      <c r="F14023" s="94" t="inlineStr">
        <is>
          <t>카페24</t>
        </is>
      </c>
      <c r="G14023" s="94" t="inlineStr">
        <is>
          <t>[01/27 순차발송] 어성초 77 포어 클리어 패드옵션=어성초 77 클리어 패드 1개-20% off</t>
        </is>
      </c>
      <c r="K14023" s="94" t="n">
        <v>3</v>
      </c>
      <c r="L14023" s="88" t="n">
        <v>201208</v>
      </c>
      <c r="M14023" s="88">
        <f>VLOOKUP($Q14023,매칭테이블!$F:$I,2,0)*K14023</f>
        <v/>
      </c>
      <c r="N14023" s="88">
        <f>M14023-M14023*VLOOKUP($Q14023,매칭테이블!$F:$I,3,0)</f>
        <v/>
      </c>
      <c r="O14023" s="88">
        <f>VLOOKUP($Q14023,매칭테이블!$F:$I,4,0)*K14023</f>
        <v/>
      </c>
      <c r="P14023" s="152">
        <f>M14023/1.1</f>
        <v/>
      </c>
      <c r="Q14023" s="88">
        <f>F14023&amp;E14023&amp;G14023&amp;L14023</f>
        <v/>
      </c>
    </row>
    <row r="14024">
      <c r="B14024" s="128" t="n">
        <v>44217</v>
      </c>
      <c r="C14024" s="88">
        <f>TEXT(B14024,"aaa")</f>
        <v/>
      </c>
      <c r="D14024" s="94" t="n"/>
      <c r="E14024" s="88">
        <f>INDEX(매칭테이블!C:D,MATCH(RD!G14024,매칭테이블!D:D,0),1)</f>
        <v/>
      </c>
      <c r="F14024" s="94" t="inlineStr">
        <is>
          <t>카페24</t>
        </is>
      </c>
      <c r="G14024" s="94" t="inlineStr">
        <is>
          <t>[01/27 순차발송] 어성초 77 포어 클리어 패드옵션=어성초 77 클리어 패드 2개-30% off (무료배송)</t>
        </is>
      </c>
      <c r="K14024" s="94" t="n">
        <v>6</v>
      </c>
      <c r="L14024" s="88" t="n">
        <v>201208</v>
      </c>
      <c r="M14024" s="88">
        <f>VLOOKUP($Q14024,매칭테이블!$F:$I,2,0)*K14024</f>
        <v/>
      </c>
      <c r="N14024" s="88">
        <f>M14024-M14024*VLOOKUP($Q14024,매칭테이블!$F:$I,3,0)</f>
        <v/>
      </c>
      <c r="O14024" s="88">
        <f>VLOOKUP($Q14024,매칭테이블!$F:$I,4,0)*K14024</f>
        <v/>
      </c>
      <c r="P14024" s="152">
        <f>M14024/1.1</f>
        <v/>
      </c>
      <c r="Q14024" s="88">
        <f>F14024&amp;E14024&amp;G14024&amp;L14024</f>
        <v/>
      </c>
    </row>
    <row r="14025">
      <c r="B14025" s="128" t="n">
        <v>44217</v>
      </c>
      <c r="C14025" s="88">
        <f>TEXT(B14025,"aaa")</f>
        <v/>
      </c>
      <c r="D14025" s="94" t="n"/>
      <c r="E14025" s="88">
        <f>INDEX(매칭테이블!C:D,MATCH(RD!G14025,매칭테이블!D:D,0),1)</f>
        <v/>
      </c>
      <c r="F14025" s="94" t="inlineStr">
        <is>
          <t>카페24</t>
        </is>
      </c>
      <c r="G14025" s="94" t="inlineStr">
        <is>
          <t>[01/27 순차발송] 어성초 77 포어 클리어 패드옵션=어성초 77 클리어 패드 2+1 EVENT (무료배송)</t>
        </is>
      </c>
      <c r="K14025" s="94" t="n">
        <v>1</v>
      </c>
      <c r="L14025" s="88" t="n">
        <v>201208</v>
      </c>
      <c r="M14025" s="88">
        <f>VLOOKUP($Q14025,매칭테이블!$F:$I,2,0)*K14025</f>
        <v/>
      </c>
      <c r="N14025" s="88">
        <f>M14025-M14025*VLOOKUP($Q14025,매칭테이블!$F:$I,3,0)</f>
        <v/>
      </c>
      <c r="O14025" s="88">
        <f>VLOOKUP($Q14025,매칭테이블!$F:$I,4,0)*K14025</f>
        <v/>
      </c>
      <c r="P14025" s="152">
        <f>M14025/1.1</f>
        <v/>
      </c>
      <c r="Q14025" s="88">
        <f>F14025&amp;E14025&amp;G14025&amp;L14025</f>
        <v/>
      </c>
    </row>
    <row r="14026">
      <c r="B14026" s="128" t="n">
        <v>44217</v>
      </c>
      <c r="C14026" s="88">
        <f>TEXT(B14026,"aaa")</f>
        <v/>
      </c>
      <c r="D14026" s="94" t="n"/>
      <c r="E14026" s="88">
        <f>INDEX(매칭테이블!C:D,MATCH(RD!G14026,매칭테이블!D:D,0),1)</f>
        <v/>
      </c>
      <c r="F14026" s="94" t="inlineStr">
        <is>
          <t>카페24</t>
        </is>
      </c>
      <c r="G14026" s="94" t="inlineStr">
        <is>
          <t>[01/27 순차발송] 어성초 77% 패드옵션=어성초 77 클리어 패드 1개-20% off</t>
        </is>
      </c>
      <c r="K14026" s="94" t="n">
        <v>13</v>
      </c>
      <c r="L14026" s="88" t="n">
        <v>201208</v>
      </c>
      <c r="M14026" s="88">
        <f>VLOOKUP($Q14026,매칭테이블!$F:$I,2,0)*K14026</f>
        <v/>
      </c>
      <c r="N14026" s="88">
        <f>M14026-M14026*VLOOKUP($Q14026,매칭테이블!$F:$I,3,0)</f>
        <v/>
      </c>
      <c r="O14026" s="88">
        <f>VLOOKUP($Q14026,매칭테이블!$F:$I,4,0)*K14026</f>
        <v/>
      </c>
      <c r="P14026" s="152">
        <f>M14026/1.1</f>
        <v/>
      </c>
      <c r="Q14026" s="88">
        <f>F14026&amp;E14026&amp;G14026&amp;L14026</f>
        <v/>
      </c>
    </row>
    <row r="14027">
      <c r="B14027" s="128" t="n">
        <v>44217</v>
      </c>
      <c r="C14027" s="88">
        <f>TEXT(B14027,"aaa")</f>
        <v/>
      </c>
      <c r="D14027" s="94" t="n"/>
      <c r="E14027" s="88">
        <f>INDEX(매칭테이블!C:D,MATCH(RD!G14027,매칭테이블!D:D,0),1)</f>
        <v/>
      </c>
      <c r="F14027" s="94" t="inlineStr">
        <is>
          <t>카페24</t>
        </is>
      </c>
      <c r="G14027" s="94" t="inlineStr">
        <is>
          <t>[01/27 순차발송] 어성초 77% 패드옵션=어성초 77 클리어 패드 2개-30% off (무료배송)</t>
        </is>
      </c>
      <c r="K14027" s="94" t="n">
        <v>9</v>
      </c>
      <c r="L14027" s="88" t="n">
        <v>201208</v>
      </c>
      <c r="M14027" s="88">
        <f>VLOOKUP($Q14027,매칭테이블!$F:$I,2,0)*K14027</f>
        <v/>
      </c>
      <c r="N14027" s="88">
        <f>M14027-M14027*VLOOKUP($Q14027,매칭테이블!$F:$I,3,0)</f>
        <v/>
      </c>
      <c r="O14027" s="88">
        <f>VLOOKUP($Q14027,매칭테이블!$F:$I,4,0)*K14027</f>
        <v/>
      </c>
      <c r="P14027" s="152">
        <f>M14027/1.1</f>
        <v/>
      </c>
      <c r="Q14027" s="88">
        <f>F14027&amp;E14027&amp;G14027&amp;L14027</f>
        <v/>
      </c>
    </row>
    <row r="14028">
      <c r="B14028" s="128" t="n">
        <v>44217</v>
      </c>
      <c r="C14028" s="88">
        <f>TEXT(B14028,"aaa")</f>
        <v/>
      </c>
      <c r="D14028" s="94" t="n"/>
      <c r="E14028" s="88">
        <f>INDEX(매칭테이블!C:D,MATCH(RD!G14028,매칭테이블!D:D,0),1)</f>
        <v/>
      </c>
      <c r="F14028" s="94" t="inlineStr">
        <is>
          <t>카페24</t>
        </is>
      </c>
      <c r="G14028" s="94" t="inlineStr">
        <is>
          <t>[01/27 순차발송] 어성초 77% 패드옵션=어성초 77 클리어 패드 2+1 EVENT (무료배송)</t>
        </is>
      </c>
      <c r="K14028" s="94" t="n">
        <v>9</v>
      </c>
      <c r="L14028" s="88" t="n">
        <v>201208</v>
      </c>
      <c r="M14028" s="88">
        <f>VLOOKUP($Q14028,매칭테이블!$F:$I,2,0)*K14028</f>
        <v/>
      </c>
      <c r="N14028" s="88">
        <f>M14028-M14028*VLOOKUP($Q14028,매칭테이블!$F:$I,3,0)</f>
        <v/>
      </c>
      <c r="O14028" s="88">
        <f>VLOOKUP($Q14028,매칭테이블!$F:$I,4,0)*K14028</f>
        <v/>
      </c>
      <c r="P14028" s="152">
        <f>M14028/1.1</f>
        <v/>
      </c>
      <c r="Q14028" s="88">
        <f>F14028&amp;E14028&amp;G14028&amp;L14028</f>
        <v/>
      </c>
    </row>
    <row r="14029">
      <c r="B14029" s="128" t="n">
        <v>44217</v>
      </c>
      <c r="C14029" s="88">
        <f>TEXT(B14029,"aaa")</f>
        <v/>
      </c>
      <c r="D14029" s="94" t="n"/>
      <c r="E14029" s="88">
        <f>INDEX(매칭테이블!C:D,MATCH(RD!G14029,매칭테이블!D:D,0),1)</f>
        <v/>
      </c>
      <c r="F14029" s="94" t="inlineStr">
        <is>
          <t>카페24</t>
        </is>
      </c>
      <c r="G14029" s="94" t="inlineStr">
        <is>
          <t>[01/27 순차발송] 어성초 77% 패드옵션=어성초77토너1개+어성초77패드1개-30% off (무료배송)</t>
        </is>
      </c>
      <c r="K14029" s="94" t="n">
        <v>8</v>
      </c>
      <c r="L14029" s="88" t="n">
        <v>201208</v>
      </c>
      <c r="M14029" s="88">
        <f>VLOOKUP($Q14029,매칭테이블!$F:$I,2,0)*K14029</f>
        <v/>
      </c>
      <c r="N14029" s="88">
        <f>M14029-M14029*VLOOKUP($Q14029,매칭테이블!$F:$I,3,0)</f>
        <v/>
      </c>
      <c r="O14029" s="88">
        <f>VLOOKUP($Q14029,매칭테이블!$F:$I,4,0)*K14029</f>
        <v/>
      </c>
      <c r="P14029" s="152">
        <f>M14029/1.1</f>
        <v/>
      </c>
      <c r="Q14029" s="88">
        <f>F14029&amp;E14029&amp;G14029&amp;L14029</f>
        <v/>
      </c>
    </row>
    <row r="14030">
      <c r="B14030" s="128" t="n">
        <v>44217</v>
      </c>
      <c r="C14030" s="88">
        <f>TEXT(B14030,"aaa")</f>
        <v/>
      </c>
      <c r="D14030" s="94" t="n"/>
      <c r="E14030" s="88">
        <f>INDEX(매칭테이블!C:D,MATCH(RD!G14030,매칭테이블!D:D,0),1)</f>
        <v/>
      </c>
      <c r="F14030" s="94" t="inlineStr">
        <is>
          <t>카페24</t>
        </is>
      </c>
      <c r="G14030" s="94" t="inlineStr">
        <is>
          <t>[수분 보충 세트] 어성초 77 토너 + 어성초 70 로션옵션=어성초 77 토너 250ml + 어성초 70 로션 200ml -30%</t>
        </is>
      </c>
      <c r="K14030" s="94" t="n">
        <v>53</v>
      </c>
      <c r="L14030" s="88" t="n">
        <v>201208</v>
      </c>
      <c r="M14030" s="88">
        <f>VLOOKUP($Q14030,매칭테이블!$F:$I,2,0)*K14030</f>
        <v/>
      </c>
      <c r="N14030" s="88">
        <f>M14030-M14030*VLOOKUP($Q14030,매칭테이블!$F:$I,3,0)</f>
        <v/>
      </c>
      <c r="O14030" s="88">
        <f>VLOOKUP($Q14030,매칭테이블!$F:$I,4,0)*K14030</f>
        <v/>
      </c>
      <c r="P14030" s="152">
        <f>M14030/1.1</f>
        <v/>
      </c>
      <c r="Q14030" s="88">
        <f>F14030&amp;E14030&amp;G14030&amp;L14030</f>
        <v/>
      </c>
    </row>
    <row r="14031">
      <c r="B14031" s="128" t="n">
        <v>44217</v>
      </c>
      <c r="C14031" s="88">
        <f>TEXT(B14031,"aaa")</f>
        <v/>
      </c>
      <c r="D14031" s="94" t="n"/>
      <c r="E14031" s="88">
        <f>INDEX(매칭테이블!C:D,MATCH(RD!G14031,매칭테이블!D:D,0),1)</f>
        <v/>
      </c>
      <c r="F14031" s="94" t="inlineStr">
        <is>
          <t>카페24</t>
        </is>
      </c>
      <c r="G14031" s="94" t="inlineStr">
        <is>
          <t>[어성초 진정 패키지 세트] 대용량 토너 + 앰플 + 수딩 크림 + 마스크팩 10장</t>
        </is>
      </c>
      <c r="K14031" s="94" t="n">
        <v>6</v>
      </c>
      <c r="L14031" s="88" t="n">
        <v>201208</v>
      </c>
      <c r="M14031" s="88">
        <f>VLOOKUP($Q14031,매칭테이블!$F:$I,2,0)*K14031</f>
        <v/>
      </c>
      <c r="N14031" s="88">
        <f>M14031-M14031*VLOOKUP($Q14031,매칭테이블!$F:$I,3,0)</f>
        <v/>
      </c>
      <c r="O14031" s="88">
        <f>VLOOKUP($Q14031,매칭테이블!$F:$I,4,0)*K14031</f>
        <v/>
      </c>
      <c r="P14031" s="152">
        <f>M14031/1.1</f>
        <v/>
      </c>
      <c r="Q14031" s="88">
        <f>F14031&amp;E14031&amp;G14031&amp;L14031</f>
        <v/>
      </c>
    </row>
    <row r="14032">
      <c r="B14032" s="128" t="n">
        <v>44217</v>
      </c>
      <c r="C14032" s="88">
        <f>TEXT(B14032,"aaa")</f>
        <v/>
      </c>
      <c r="D14032" s="94" t="n"/>
      <c r="E14032" s="88">
        <f>INDEX(매칭테이블!C:D,MATCH(RD!G14032,매칭테이블!D:D,0),1)</f>
        <v/>
      </c>
      <c r="F14032" s="94" t="inlineStr">
        <is>
          <t>카페24</t>
        </is>
      </c>
      <c r="G14032" s="94" t="inlineStr">
        <is>
          <t>[플친단독] 어성초 80 수분 진정 앰플옵션=어성초 80 앰플 1개 - 28%off</t>
        </is>
      </c>
      <c r="K14032" s="94" t="n">
        <v>12</v>
      </c>
      <c r="L14032" s="88" t="n">
        <v>201208</v>
      </c>
      <c r="M14032" s="88">
        <f>VLOOKUP($Q14032,매칭테이블!$F:$I,2,0)*K14032</f>
        <v/>
      </c>
      <c r="N14032" s="88">
        <f>M14032-M14032*VLOOKUP($Q14032,매칭테이블!$F:$I,3,0)</f>
        <v/>
      </c>
      <c r="O14032" s="88">
        <f>VLOOKUP($Q14032,매칭테이블!$F:$I,4,0)*K14032</f>
        <v/>
      </c>
      <c r="P14032" s="152">
        <f>M14032/1.1</f>
        <v/>
      </c>
      <c r="Q14032" s="88">
        <f>F14032&amp;E14032&amp;G14032&amp;L14032</f>
        <v/>
      </c>
    </row>
    <row r="14033">
      <c r="B14033" s="128" t="n">
        <v>44217</v>
      </c>
      <c r="C14033" s="88">
        <f>TEXT(B14033,"aaa")</f>
        <v/>
      </c>
      <c r="D14033" s="94" t="n"/>
      <c r="E14033" s="88">
        <f>INDEX(매칭테이블!C:D,MATCH(RD!G14033,매칭테이블!D:D,0),1)</f>
        <v/>
      </c>
      <c r="F14033" s="94" t="inlineStr">
        <is>
          <t>카페24</t>
        </is>
      </c>
      <c r="G14033" s="94" t="inlineStr">
        <is>
          <t>[플친단독] 어성초 80 수분 진정 앰플옵션=어성초 80 앰플 2+1 EVENT (무료배송)</t>
        </is>
      </c>
      <c r="K14033" s="94" t="n">
        <v>19</v>
      </c>
      <c r="L14033" s="88" t="n">
        <v>201208</v>
      </c>
      <c r="M14033" s="88">
        <f>VLOOKUP($Q14033,매칭테이블!$F:$I,2,0)*K14033</f>
        <v/>
      </c>
      <c r="N14033" s="88">
        <f>M14033-M14033*VLOOKUP($Q14033,매칭테이블!$F:$I,3,0)</f>
        <v/>
      </c>
      <c r="O14033" s="88">
        <f>VLOOKUP($Q14033,매칭테이블!$F:$I,4,0)*K14033</f>
        <v/>
      </c>
      <c r="P14033" s="152">
        <f>M14033/1.1</f>
        <v/>
      </c>
      <c r="Q14033" s="88">
        <f>F14033&amp;E14033&amp;G14033&amp;L14033</f>
        <v/>
      </c>
    </row>
    <row r="14034">
      <c r="B14034" s="128" t="n">
        <v>44217</v>
      </c>
      <c r="C14034" s="88">
        <f>TEXT(B14034,"aaa")</f>
        <v/>
      </c>
      <c r="D14034" s="94" t="n"/>
      <c r="E14034" s="88">
        <f>INDEX(매칭테이블!C:D,MATCH(RD!G14034,매칭테이블!D:D,0),1)</f>
        <v/>
      </c>
      <c r="F14034" s="94" t="inlineStr">
        <is>
          <t>카페24</t>
        </is>
      </c>
      <c r="G14034" s="94" t="inlineStr">
        <is>
          <t>대용량 어성초 77 수딩 토너 500ml옵션=대용량 어성초 77 토너 1개 - 27% OFF</t>
        </is>
      </c>
      <c r="K14034" s="94" t="n">
        <v>30</v>
      </c>
      <c r="L14034" s="88" t="n">
        <v>201208</v>
      </c>
      <c r="M14034" s="88">
        <f>VLOOKUP($Q14034,매칭테이블!$F:$I,2,0)*K14034</f>
        <v/>
      </c>
      <c r="N14034" s="88">
        <f>M14034-M14034*VLOOKUP($Q14034,매칭테이블!$F:$I,3,0)</f>
        <v/>
      </c>
      <c r="O14034" s="88">
        <f>VLOOKUP($Q14034,매칭테이블!$F:$I,4,0)*K14034</f>
        <v/>
      </c>
      <c r="P14034" s="152">
        <f>M14034/1.1</f>
        <v/>
      </c>
      <c r="Q14034" s="88">
        <f>F14034&amp;E14034&amp;G14034&amp;L14034</f>
        <v/>
      </c>
    </row>
    <row r="14035">
      <c r="B14035" s="128" t="n">
        <v>44217</v>
      </c>
      <c r="C14035" s="88">
        <f>TEXT(B14035,"aaa")</f>
        <v/>
      </c>
      <c r="D14035" s="94" t="n"/>
      <c r="E14035" s="88">
        <f>INDEX(매칭테이블!C:D,MATCH(RD!G14035,매칭테이블!D:D,0),1)</f>
        <v/>
      </c>
      <c r="F14035" s="94" t="inlineStr">
        <is>
          <t>카페24</t>
        </is>
      </c>
      <c r="G14035" s="94" t="inlineStr">
        <is>
          <t>대용량 어성초 77 수딩 토너 500ml화장솜(선택)=촉촉 스킨팩 화장솜</t>
        </is>
      </c>
      <c r="K14035" s="94" t="n">
        <v>10</v>
      </c>
      <c r="L14035" s="88" t="n">
        <v>201208</v>
      </c>
      <c r="M14035" s="88">
        <f>VLOOKUP($Q14035,매칭테이블!$F:$I,2,0)*K14035</f>
        <v/>
      </c>
      <c r="N14035" s="88">
        <f>M14035-M14035*VLOOKUP($Q14035,매칭테이블!$F:$I,3,0)</f>
        <v/>
      </c>
      <c r="O14035" s="88">
        <f>VLOOKUP($Q14035,매칭테이블!$F:$I,4,0)*K14035</f>
        <v/>
      </c>
      <c r="P14035" s="152">
        <f>M14035/1.1</f>
        <v/>
      </c>
      <c r="Q14035" s="88">
        <f>F14035&amp;E14035&amp;G14035&amp;L14035</f>
        <v/>
      </c>
    </row>
    <row r="14036">
      <c r="B14036" s="128" t="n">
        <v>44217</v>
      </c>
      <c r="C14036" s="88">
        <f>TEXT(B14036,"aaa")</f>
        <v/>
      </c>
      <c r="D14036" s="94" t="n"/>
      <c r="E14036" s="88">
        <f>INDEX(매칭테이블!C:D,MATCH(RD!G14036,매칭테이블!D:D,0),1)</f>
        <v/>
      </c>
      <c r="F14036" s="94" t="inlineStr">
        <is>
          <t>카페24</t>
        </is>
      </c>
      <c r="G14036" s="94" t="inlineStr">
        <is>
          <t>아누아 어성초 77 수딩 토너토너(필수)=어성초 77 토너 2개-30% off (무료배송)</t>
        </is>
      </c>
      <c r="K14036" s="94" t="n">
        <v>1</v>
      </c>
      <c r="L14036" s="88" t="n">
        <v>201208</v>
      </c>
      <c r="M14036" s="88">
        <f>VLOOKUP($Q14036,매칭테이블!$F:$I,2,0)*K14036</f>
        <v/>
      </c>
      <c r="N14036" s="88">
        <f>M14036-M14036*VLOOKUP($Q14036,매칭테이블!$F:$I,3,0)</f>
        <v/>
      </c>
      <c r="O14036" s="88">
        <f>VLOOKUP($Q14036,매칭테이블!$F:$I,4,0)*K14036</f>
        <v/>
      </c>
      <c r="P14036" s="152">
        <f>M14036/1.1</f>
        <v/>
      </c>
      <c r="Q14036" s="88">
        <f>F14036&amp;E14036&amp;G14036&amp;L14036</f>
        <v/>
      </c>
    </row>
    <row r="14037">
      <c r="B14037" s="128" t="n">
        <v>44217</v>
      </c>
      <c r="C14037" s="88">
        <f>TEXT(B14037,"aaa")</f>
        <v/>
      </c>
      <c r="D14037" s="94" t="n"/>
      <c r="E14037" s="88">
        <f>INDEX(매칭테이블!C:D,MATCH(RD!G14037,매칭테이블!D:D,0),1)</f>
        <v/>
      </c>
      <c r="F14037" s="94" t="inlineStr">
        <is>
          <t>카페24</t>
        </is>
      </c>
      <c r="G14037" s="94" t="inlineStr">
        <is>
          <t>어성초 70 데일리 릴리프 로션로션=어성초 70 데일리 릴리프 로션 1개 -20% off</t>
        </is>
      </c>
      <c r="K14037" s="94" t="n">
        <v>14</v>
      </c>
      <c r="L14037" s="88" t="n">
        <v>201208</v>
      </c>
      <c r="M14037" s="88">
        <f>VLOOKUP($Q14037,매칭테이블!$F:$I,2,0)*K14037</f>
        <v/>
      </c>
      <c r="N14037" s="88">
        <f>M14037-M14037*VLOOKUP($Q14037,매칭테이블!$F:$I,3,0)</f>
        <v/>
      </c>
      <c r="O14037" s="88">
        <f>VLOOKUP($Q14037,매칭테이블!$F:$I,4,0)*K14037</f>
        <v/>
      </c>
      <c r="P14037" s="152">
        <f>M14037/1.1</f>
        <v/>
      </c>
      <c r="Q14037" s="88">
        <f>F14037&amp;E14037&amp;G14037&amp;L14037</f>
        <v/>
      </c>
    </row>
    <row r="14038">
      <c r="B14038" s="128" t="n">
        <v>44217</v>
      </c>
      <c r="C14038" s="88">
        <f>TEXT(B14038,"aaa")</f>
        <v/>
      </c>
      <c r="D14038" s="94" t="n"/>
      <c r="E14038" s="88">
        <f>INDEX(매칭테이블!C:D,MATCH(RD!G14038,매칭테이블!D:D,0),1)</f>
        <v/>
      </c>
      <c r="F14038" s="94" t="inlineStr">
        <is>
          <t>카페24</t>
        </is>
      </c>
      <c r="G14038" s="94" t="inlineStr">
        <is>
          <t>어성초 70 데일리 릴리프 로션로션=어성초 77토너 + 어성초 70 로션 수분 보충 세트 -30% off</t>
        </is>
      </c>
      <c r="K14038" s="94" t="n">
        <v>2</v>
      </c>
      <c r="L14038" s="88" t="n">
        <v>201208</v>
      </c>
      <c r="M14038" s="88">
        <f>VLOOKUP($Q14038,매칭테이블!$F:$I,2,0)*K14038</f>
        <v/>
      </c>
      <c r="N14038" s="88">
        <f>M14038-M14038*VLOOKUP($Q14038,매칭테이블!$F:$I,3,0)</f>
        <v/>
      </c>
      <c r="O14038" s="88">
        <f>VLOOKUP($Q14038,매칭테이블!$F:$I,4,0)*K14038</f>
        <v/>
      </c>
      <c r="P14038" s="152">
        <f>M14038/1.1</f>
        <v/>
      </c>
      <c r="Q14038" s="88">
        <f>F14038&amp;E14038&amp;G14038&amp;L14038</f>
        <v/>
      </c>
    </row>
    <row r="14039">
      <c r="B14039" s="128" t="n">
        <v>44217</v>
      </c>
      <c r="C14039" s="88">
        <f>TEXT(B14039,"aaa")</f>
        <v/>
      </c>
      <c r="D14039" s="94" t="n"/>
      <c r="E14039" s="88">
        <f>INDEX(매칭테이블!C:D,MATCH(RD!G14039,매칭테이블!D:D,0),1)</f>
        <v/>
      </c>
      <c r="F14039" s="94" t="inlineStr">
        <is>
          <t>카페24</t>
        </is>
      </c>
      <c r="G14039" s="94" t="inlineStr">
        <is>
          <t>어성초 70 머드 크림 마스크옵션=어성초 70 머드 크림 마스크-20% off</t>
        </is>
      </c>
      <c r="K14039" s="94" t="n">
        <v>1</v>
      </c>
      <c r="L14039" s="88" t="n">
        <v>201208</v>
      </c>
      <c r="M14039" s="88">
        <f>VLOOKUP($Q14039,매칭테이블!$F:$I,2,0)*K14039</f>
        <v/>
      </c>
      <c r="N14039" s="88">
        <f>M14039-M14039*VLOOKUP($Q14039,매칭테이블!$F:$I,3,0)</f>
        <v/>
      </c>
      <c r="O14039" s="88">
        <f>VLOOKUP($Q14039,매칭테이블!$F:$I,4,0)*K14039</f>
        <v/>
      </c>
      <c r="P14039" s="152">
        <f>M14039/1.1</f>
        <v/>
      </c>
      <c r="Q14039" s="88">
        <f>F14039&amp;E14039&amp;G14039&amp;L14039</f>
        <v/>
      </c>
    </row>
    <row r="14040">
      <c r="B14040" s="128" t="n">
        <v>44217</v>
      </c>
      <c r="C14040" s="88">
        <f>TEXT(B14040,"aaa")</f>
        <v/>
      </c>
      <c r="D14040" s="94" t="n"/>
      <c r="E14040" s="88">
        <f>INDEX(매칭테이블!C:D,MATCH(RD!G14040,매칭테이블!D:D,0),1)</f>
        <v/>
      </c>
      <c r="F14040" s="94" t="inlineStr">
        <is>
          <t>카페24</t>
        </is>
      </c>
      <c r="G14040" s="94" t="inlineStr">
        <is>
          <t>어성초 70 머드 크림 마스크옵션=어성초 70 머드 크림 마스크 2개-30% off (무료배송)</t>
        </is>
      </c>
      <c r="K14040" s="94" t="n">
        <v>1</v>
      </c>
      <c r="L14040" s="88" t="n">
        <v>201208</v>
      </c>
      <c r="M14040" s="88">
        <f>VLOOKUP($Q14040,매칭테이블!$F:$I,2,0)*K14040</f>
        <v/>
      </c>
      <c r="N14040" s="88">
        <f>M14040-M14040*VLOOKUP($Q14040,매칭테이블!$F:$I,3,0)</f>
        <v/>
      </c>
      <c r="O14040" s="88">
        <f>VLOOKUP($Q14040,매칭테이블!$F:$I,4,0)*K14040</f>
        <v/>
      </c>
      <c r="P14040" s="152">
        <f>M14040/1.1</f>
        <v/>
      </c>
      <c r="Q14040" s="88">
        <f>F14040&amp;E14040&amp;G14040&amp;L14040</f>
        <v/>
      </c>
    </row>
    <row r="14041">
      <c r="B14041" s="128" t="n">
        <v>44217</v>
      </c>
      <c r="C14041" s="88">
        <f>TEXT(B14041,"aaa")</f>
        <v/>
      </c>
      <c r="D14041" s="94" t="n"/>
      <c r="E14041" s="88">
        <f>INDEX(매칭테이블!C:D,MATCH(RD!G14041,매칭테이블!D:D,0),1)</f>
        <v/>
      </c>
      <c r="F14041" s="94" t="inlineStr">
        <is>
          <t>카페24</t>
        </is>
      </c>
      <c r="G14041" s="94" t="inlineStr">
        <is>
          <t>어성초 70 인텐스 카밍 크림크림=어성초 70 인텐스 카밍 크림 1개 (-20%)</t>
        </is>
      </c>
      <c r="K14041" s="94" t="n">
        <v>6</v>
      </c>
      <c r="L14041" s="88" t="n">
        <v>201208</v>
      </c>
      <c r="M14041" s="88">
        <f>VLOOKUP($Q14041,매칭테이블!$F:$I,2,0)*K14041</f>
        <v/>
      </c>
      <c r="N14041" s="88">
        <f>M14041-M14041*VLOOKUP($Q14041,매칭테이블!$F:$I,3,0)</f>
        <v/>
      </c>
      <c r="O14041" s="88">
        <f>VLOOKUP($Q14041,매칭테이블!$F:$I,4,0)*K14041</f>
        <v/>
      </c>
      <c r="P14041" s="152">
        <f>M14041/1.1</f>
        <v/>
      </c>
      <c r="Q14041" s="88">
        <f>F14041&amp;E14041&amp;G14041&amp;L14041</f>
        <v/>
      </c>
    </row>
    <row r="14042">
      <c r="B14042" s="128" t="n">
        <v>44217</v>
      </c>
      <c r="C14042" s="88">
        <f>TEXT(B14042,"aaa")</f>
        <v/>
      </c>
      <c r="D14042" s="94" t="n"/>
      <c r="E14042" s="88">
        <f>INDEX(매칭테이블!C:D,MATCH(RD!G14042,매칭테이블!D:D,0),1)</f>
        <v/>
      </c>
      <c r="F14042" s="94" t="inlineStr">
        <is>
          <t>카페24</t>
        </is>
      </c>
      <c r="G14042" s="94" t="inlineStr">
        <is>
          <t>어성초 70 인텐스 카밍 크림크림=어성초 70 인텐스 카밍 크림 2개 (-30%)</t>
        </is>
      </c>
      <c r="K14042" s="94" t="n">
        <v>2</v>
      </c>
      <c r="L14042" s="88" t="n">
        <v>201208</v>
      </c>
      <c r="M14042" s="88">
        <f>VLOOKUP($Q14042,매칭테이블!$F:$I,2,0)*K14042</f>
        <v/>
      </c>
      <c r="N14042" s="88">
        <f>M14042-M14042*VLOOKUP($Q14042,매칭테이블!$F:$I,3,0)</f>
        <v/>
      </c>
      <c r="O14042" s="88">
        <f>VLOOKUP($Q14042,매칭테이블!$F:$I,4,0)*K14042</f>
        <v/>
      </c>
      <c r="P14042" s="152">
        <f>M14042/1.1</f>
        <v/>
      </c>
      <c r="Q14042" s="88">
        <f>F14042&amp;E14042&amp;G14042&amp;L14042</f>
        <v/>
      </c>
    </row>
    <row r="14043">
      <c r="B14043" s="128" t="n">
        <v>44217</v>
      </c>
      <c r="C14043" s="88">
        <f>TEXT(B14043,"aaa")</f>
        <v/>
      </c>
      <c r="D14043" s="94" t="n"/>
      <c r="E14043" s="88">
        <f>INDEX(매칭테이블!C:D,MATCH(RD!G14043,매칭테이블!D:D,0),1)</f>
        <v/>
      </c>
      <c r="F14043" s="94" t="inlineStr">
        <is>
          <t>카페24</t>
        </is>
      </c>
      <c r="G14043" s="94" t="inlineStr">
        <is>
          <t>어성초 77 수딩 토너옵션=어성초 77 토너 1개-20% off</t>
        </is>
      </c>
      <c r="K14043" s="94" t="n">
        <v>71</v>
      </c>
      <c r="L14043" s="88" t="n">
        <v>201208</v>
      </c>
      <c r="M14043" s="88">
        <f>VLOOKUP($Q14043,매칭테이블!$F:$I,2,0)*K14043</f>
        <v/>
      </c>
      <c r="N14043" s="88">
        <f>M14043-M14043*VLOOKUP($Q14043,매칭테이블!$F:$I,3,0)</f>
        <v/>
      </c>
      <c r="O14043" s="88">
        <f>VLOOKUP($Q14043,매칭테이블!$F:$I,4,0)*K14043</f>
        <v/>
      </c>
      <c r="P14043" s="152">
        <f>M14043/1.1</f>
        <v/>
      </c>
      <c r="Q14043" s="88">
        <f>F14043&amp;E14043&amp;G14043&amp;L14043</f>
        <v/>
      </c>
    </row>
    <row r="14044">
      <c r="B14044" s="128" t="n">
        <v>44217</v>
      </c>
      <c r="C14044" s="88">
        <f>TEXT(B14044,"aaa")</f>
        <v/>
      </c>
      <c r="D14044" s="94" t="n"/>
      <c r="E14044" s="88">
        <f>INDEX(매칭테이블!C:D,MATCH(RD!G14044,매칭테이블!D:D,0),1)</f>
        <v/>
      </c>
      <c r="F14044" s="94" t="inlineStr">
        <is>
          <t>카페24</t>
        </is>
      </c>
      <c r="G14044" s="94" t="inlineStr">
        <is>
          <t>어성초 77 수딩 토너옵션=BEST어성초 77 토너 2개-30% off (무료배송)</t>
        </is>
      </c>
      <c r="K14044" s="94" t="n">
        <v>46</v>
      </c>
      <c r="L14044" s="88" t="n">
        <v>201208</v>
      </c>
      <c r="M14044" s="88">
        <f>VLOOKUP($Q14044,매칭테이블!$F:$I,2,0)*K14044</f>
        <v/>
      </c>
      <c r="N14044" s="88">
        <f>M14044-M14044*VLOOKUP($Q14044,매칭테이블!$F:$I,3,0)</f>
        <v/>
      </c>
      <c r="O14044" s="88">
        <f>VLOOKUP($Q14044,매칭테이블!$F:$I,4,0)*K14044</f>
        <v/>
      </c>
      <c r="P14044" s="152">
        <f>M14044/1.1</f>
        <v/>
      </c>
      <c r="Q14044" s="88">
        <f>F14044&amp;E14044&amp;G14044&amp;L14044</f>
        <v/>
      </c>
    </row>
    <row r="14045">
      <c r="B14045" s="128" t="n">
        <v>44217</v>
      </c>
      <c r="C14045" s="88">
        <f>TEXT(B14045,"aaa")</f>
        <v/>
      </c>
      <c r="D14045" s="94" t="n"/>
      <c r="E14045" s="88">
        <f>INDEX(매칭테이블!C:D,MATCH(RD!G14045,매칭테이블!D:D,0),1)</f>
        <v/>
      </c>
      <c r="F14045" s="94" t="inlineStr">
        <is>
          <t>카페24</t>
        </is>
      </c>
      <c r="G14045" s="94" t="inlineStr">
        <is>
          <t>어성초 77 수딩 토너옵션=어성초 77 토너 2개-30% off (무료배송)</t>
        </is>
      </c>
      <c r="K14045" s="94" t="n">
        <v>1</v>
      </c>
      <c r="L14045" s="88" t="n">
        <v>201208</v>
      </c>
      <c r="M14045" s="88">
        <f>VLOOKUP($Q14045,매칭테이블!$F:$I,2,0)*K14045</f>
        <v/>
      </c>
      <c r="N14045" s="88">
        <f>M14045-M14045*VLOOKUP($Q14045,매칭테이블!$F:$I,3,0)</f>
        <v/>
      </c>
      <c r="O14045" s="88">
        <f>VLOOKUP($Q14045,매칭테이블!$F:$I,4,0)*K14045</f>
        <v/>
      </c>
      <c r="P14045" s="152">
        <f>M14045/1.1</f>
        <v/>
      </c>
      <c r="Q14045" s="88">
        <f>F14045&amp;E14045&amp;G14045&amp;L14045</f>
        <v/>
      </c>
    </row>
    <row r="14046">
      <c r="B14046" s="128" t="n">
        <v>44217</v>
      </c>
      <c r="C14046" s="88">
        <f>TEXT(B14046,"aaa")</f>
        <v/>
      </c>
      <c r="D14046" s="94" t="n"/>
      <c r="E14046" s="88">
        <f>INDEX(매칭테이블!C:D,MATCH(RD!G14046,매칭테이블!D:D,0),1)</f>
        <v/>
      </c>
      <c r="F14046" s="94" t="inlineStr">
        <is>
          <t>카페24</t>
        </is>
      </c>
      <c r="G14046" s="94" t="inlineStr">
        <is>
          <t>어성초 77 수딩 토너옵션=어성초 77토너1개 + 어성초77패드1개 -30% off (무료배송)</t>
        </is>
      </c>
      <c r="K14046" s="94" t="n">
        <v>21</v>
      </c>
      <c r="L14046" s="88" t="n">
        <v>201208</v>
      </c>
      <c r="M14046" s="88">
        <f>VLOOKUP($Q14046,매칭테이블!$F:$I,2,0)*K14046</f>
        <v/>
      </c>
      <c r="N14046" s="88">
        <f>M14046-M14046*VLOOKUP($Q14046,매칭테이블!$F:$I,3,0)</f>
        <v/>
      </c>
      <c r="O14046" s="88">
        <f>VLOOKUP($Q14046,매칭테이블!$F:$I,4,0)*K14046</f>
        <v/>
      </c>
      <c r="P14046" s="152">
        <f>M14046/1.1</f>
        <v/>
      </c>
      <c r="Q14046" s="88">
        <f>F14046&amp;E14046&amp;G14046&amp;L14046</f>
        <v/>
      </c>
    </row>
    <row r="14047">
      <c r="B14047" s="128" t="n">
        <v>44217</v>
      </c>
      <c r="C14047" s="88">
        <f>TEXT(B14047,"aaa")</f>
        <v/>
      </c>
      <c r="D14047" s="94" t="n"/>
      <c r="E14047" s="88">
        <f>INDEX(매칭테이블!C:D,MATCH(RD!G14047,매칭테이블!D:D,0),1)</f>
        <v/>
      </c>
      <c r="F14047" s="94" t="inlineStr">
        <is>
          <t>카페24</t>
        </is>
      </c>
      <c r="G14047" s="94" t="inlineStr">
        <is>
          <t>어성초 77 수딩 토너화장솜(선택)=촉촉 스킨팩 화장솜</t>
        </is>
      </c>
      <c r="K14047" s="94" t="n">
        <v>49</v>
      </c>
      <c r="L14047" s="88" t="n">
        <v>201208</v>
      </c>
      <c r="M14047" s="88">
        <f>VLOOKUP($Q14047,매칭테이블!$F:$I,2,0)*K14047</f>
        <v/>
      </c>
      <c r="N14047" s="88">
        <f>M14047-M14047*VLOOKUP($Q14047,매칭테이블!$F:$I,3,0)</f>
        <v/>
      </c>
      <c r="O14047" s="88">
        <f>VLOOKUP($Q14047,매칭테이블!$F:$I,4,0)*K14047</f>
        <v/>
      </c>
      <c r="P14047" s="152">
        <f>M14047/1.1</f>
        <v/>
      </c>
      <c r="Q14047" s="88">
        <f>F14047&amp;E14047&amp;G14047&amp;L14047</f>
        <v/>
      </c>
    </row>
    <row r="14048">
      <c r="B14048" s="128" t="n">
        <v>44217</v>
      </c>
      <c r="C14048" s="88">
        <f>TEXT(B14048,"aaa")</f>
        <v/>
      </c>
      <c r="D14048" s="94" t="n"/>
      <c r="E14048" s="88">
        <f>INDEX(매칭테이블!C:D,MATCH(RD!G14048,매칭테이블!D:D,0),1)</f>
        <v/>
      </c>
      <c r="F14048" s="94" t="inlineStr">
        <is>
          <t>카페24</t>
        </is>
      </c>
      <c r="G14048" s="94" t="inlineStr">
        <is>
          <t>어성초 77 진정 마스크옵션=어성초 77 진정 마스크팩 1장</t>
        </is>
      </c>
      <c r="K14048" s="94" t="n">
        <v>4</v>
      </c>
      <c r="L14048" s="88" t="n">
        <v>201208</v>
      </c>
      <c r="M14048" s="88">
        <f>VLOOKUP($Q14048,매칭테이블!$F:$I,2,0)*K14048</f>
        <v/>
      </c>
      <c r="N14048" s="88">
        <f>M14048-M14048*VLOOKUP($Q14048,매칭테이블!$F:$I,3,0)</f>
        <v/>
      </c>
      <c r="O14048" s="88">
        <f>VLOOKUP($Q14048,매칭테이블!$F:$I,4,0)*K14048</f>
        <v/>
      </c>
      <c r="P14048" s="152">
        <f>M14048/1.1</f>
        <v/>
      </c>
      <c r="Q14048" s="88">
        <f>F14048&amp;E14048&amp;G14048&amp;L14048</f>
        <v/>
      </c>
    </row>
    <row r="14049">
      <c r="B14049" s="128" t="n">
        <v>44217</v>
      </c>
      <c r="C14049" s="88">
        <f>TEXT(B14049,"aaa")</f>
        <v/>
      </c>
      <c r="D14049" s="94" t="n"/>
      <c r="E14049" s="88">
        <f>INDEX(매칭테이블!C:D,MATCH(RD!G14049,매칭테이블!D:D,0),1)</f>
        <v/>
      </c>
      <c r="F14049" s="94" t="inlineStr">
        <is>
          <t>카페24</t>
        </is>
      </c>
      <c r="G14049" s="94" t="inlineStr">
        <is>
          <t>어성초 77 진정 마스크옵션=어성초 77 진정 마스크팩 10장-50% off</t>
        </is>
      </c>
      <c r="K14049" s="94" t="n">
        <v>4</v>
      </c>
      <c r="L14049" s="88" t="n">
        <v>201208</v>
      </c>
      <c r="M14049" s="88">
        <f>VLOOKUP($Q14049,매칭테이블!$F:$I,2,0)*K14049</f>
        <v/>
      </c>
      <c r="N14049" s="88">
        <f>M14049-M14049*VLOOKUP($Q14049,매칭테이블!$F:$I,3,0)</f>
        <v/>
      </c>
      <c r="O14049" s="88">
        <f>VLOOKUP($Q14049,매칭테이블!$F:$I,4,0)*K14049</f>
        <v/>
      </c>
      <c r="P14049" s="152">
        <f>M14049/1.1</f>
        <v/>
      </c>
      <c r="Q14049" s="88">
        <f>F14049&amp;E14049&amp;G14049&amp;L14049</f>
        <v/>
      </c>
    </row>
    <row r="14050">
      <c r="B14050" s="128" t="n">
        <v>44217</v>
      </c>
      <c r="C14050" s="88">
        <f>TEXT(B14050,"aaa")</f>
        <v/>
      </c>
      <c r="D14050" s="94" t="n"/>
      <c r="E14050" s="88">
        <f>INDEX(매칭테이블!C:D,MATCH(RD!G14050,매칭테이블!D:D,0),1)</f>
        <v/>
      </c>
      <c r="F14050" s="94" t="inlineStr">
        <is>
          <t>카페24</t>
        </is>
      </c>
      <c r="G14050" s="94" t="inlineStr">
        <is>
          <t>어성초 77 진정 마스크</t>
        </is>
      </c>
      <c r="K14050" s="94" t="n">
        <v>8</v>
      </c>
      <c r="L14050" s="88" t="n">
        <v>201208</v>
      </c>
      <c r="M14050" s="88">
        <f>VLOOKUP($Q14050,매칭테이블!$F:$I,2,0)*K14050</f>
        <v/>
      </c>
      <c r="N14050" s="88">
        <f>M14050-M14050*VLOOKUP($Q14050,매칭테이블!$F:$I,3,0)</f>
        <v/>
      </c>
      <c r="O14050" s="88">
        <f>VLOOKUP($Q14050,매칭테이블!$F:$I,4,0)*K14050</f>
        <v/>
      </c>
      <c r="P14050" s="152">
        <f>M14050/1.1</f>
        <v/>
      </c>
      <c r="Q14050" s="88">
        <f>F14050&amp;E14050&amp;G14050&amp;L14050</f>
        <v/>
      </c>
    </row>
    <row r="14051">
      <c r="B14051" s="128" t="n">
        <v>44217</v>
      </c>
      <c r="C14051" s="88">
        <f>TEXT(B14051,"aaa")</f>
        <v/>
      </c>
      <c r="D14051" s="94" t="n"/>
      <c r="E14051" s="88">
        <f>INDEX(매칭테이블!C:D,MATCH(RD!G14051,매칭테이블!D:D,0),1)</f>
        <v/>
      </c>
      <c r="F14051" s="94" t="inlineStr">
        <is>
          <t>카페24</t>
        </is>
      </c>
      <c r="G14051" s="94" t="inlineStr">
        <is>
          <t>어성초 77 토너</t>
        </is>
      </c>
      <c r="K14051" s="94" t="n">
        <v>1</v>
      </c>
      <c r="L14051" s="88" t="n">
        <v>201208</v>
      </c>
      <c r="M14051" s="88">
        <f>VLOOKUP($Q14051,매칭테이블!$F:$I,2,0)*K14051</f>
        <v/>
      </c>
      <c r="N14051" s="88">
        <f>M14051-M14051*VLOOKUP($Q14051,매칭테이블!$F:$I,3,0)</f>
        <v/>
      </c>
      <c r="O14051" s="88">
        <f>VLOOKUP($Q14051,매칭테이블!$F:$I,4,0)*K14051</f>
        <v/>
      </c>
      <c r="P14051" s="152">
        <f>M14051/1.1</f>
        <v/>
      </c>
      <c r="Q14051" s="88">
        <f>F14051&amp;E14051&amp;G14051&amp;L14051</f>
        <v/>
      </c>
    </row>
    <row r="14052">
      <c r="B14052" s="128" t="n">
        <v>44217</v>
      </c>
      <c r="C14052" s="88">
        <f>TEXT(B14052,"aaa")</f>
        <v/>
      </c>
      <c r="D14052" s="94" t="n"/>
      <c r="E14052" s="88">
        <f>INDEX(매칭테이블!C:D,MATCH(RD!G14052,매칭테이블!D:D,0),1)</f>
        <v/>
      </c>
      <c r="F14052" s="94" t="inlineStr">
        <is>
          <t>카페24</t>
        </is>
      </c>
      <c r="G14052" s="94" t="inlineStr">
        <is>
          <t>어성초 78 수딩 크림</t>
        </is>
      </c>
      <c r="K14052" s="94" t="n">
        <v>5</v>
      </c>
      <c r="L14052" s="88" t="n">
        <v>201208</v>
      </c>
      <c r="M14052" s="88">
        <f>VLOOKUP($Q14052,매칭테이블!$F:$I,2,0)*K14052</f>
        <v/>
      </c>
      <c r="N14052" s="88">
        <f>M14052-M14052*VLOOKUP($Q14052,매칭테이블!$F:$I,3,0)</f>
        <v/>
      </c>
      <c r="O14052" s="88">
        <f>VLOOKUP($Q14052,매칭테이블!$F:$I,4,0)*K14052</f>
        <v/>
      </c>
      <c r="P14052" s="152">
        <f>M14052/1.1</f>
        <v/>
      </c>
      <c r="Q14052" s="88">
        <f>F14052&amp;E14052&amp;G14052&amp;L14052</f>
        <v/>
      </c>
    </row>
    <row r="14053">
      <c r="B14053" s="128" t="n">
        <v>44217</v>
      </c>
      <c r="C14053" s="88">
        <f>TEXT(B14053,"aaa")</f>
        <v/>
      </c>
      <c r="D14053" s="94" t="n"/>
      <c r="E14053" s="88">
        <f>INDEX(매칭테이블!C:D,MATCH(RD!G14053,매칭테이블!D:D,0),1)</f>
        <v/>
      </c>
      <c r="F14053" s="94" t="inlineStr">
        <is>
          <t>카페24</t>
        </is>
      </c>
      <c r="G14053" s="94" t="inlineStr">
        <is>
          <t>어성초 78 수딩 크림</t>
        </is>
      </c>
      <c r="K14053" s="94" t="n">
        <v>4</v>
      </c>
      <c r="L14053" s="88" t="n">
        <v>201208</v>
      </c>
      <c r="M14053" s="88">
        <f>VLOOKUP($Q14053,매칭테이블!$F:$I,2,0)*K14053</f>
        <v/>
      </c>
      <c r="N14053" s="88">
        <f>M14053-M14053*VLOOKUP($Q14053,매칭테이블!$F:$I,3,0)</f>
        <v/>
      </c>
      <c r="O14053" s="88">
        <f>VLOOKUP($Q14053,매칭테이블!$F:$I,4,0)*K14053</f>
        <v/>
      </c>
      <c r="P14053" s="152">
        <f>M14053/1.1</f>
        <v/>
      </c>
      <c r="Q14053" s="88">
        <f>F14053&amp;E14053&amp;G14053&amp;L14053</f>
        <v/>
      </c>
    </row>
    <row r="14054">
      <c r="B14054" s="128" t="n">
        <v>44217</v>
      </c>
      <c r="C14054" s="88">
        <f>TEXT(B14054,"aaa")</f>
        <v/>
      </c>
      <c r="D14054" s="94" t="n"/>
      <c r="E14054" s="88">
        <f>INDEX(매칭테이블!C:D,MATCH(RD!G14054,매칭테이블!D:D,0),1)</f>
        <v/>
      </c>
      <c r="F14054" s="94" t="inlineStr">
        <is>
          <t>카페24</t>
        </is>
      </c>
      <c r="G14054" s="94" t="inlineStr">
        <is>
          <t>어성초 80 수분 진정 앰플앰플=어성초 80 앰플 1개-15%off</t>
        </is>
      </c>
      <c r="K14054" s="94" t="n">
        <v>19</v>
      </c>
      <c r="L14054" s="88" t="n">
        <v>201208</v>
      </c>
      <c r="M14054" s="88">
        <f>VLOOKUP($Q14054,매칭테이블!$F:$I,2,0)*K14054</f>
        <v/>
      </c>
      <c r="N14054" s="88">
        <f>M14054-M14054*VLOOKUP($Q14054,매칭테이블!$F:$I,3,0)</f>
        <v/>
      </c>
      <c r="O14054" s="88">
        <f>VLOOKUP($Q14054,매칭테이블!$F:$I,4,0)*K14054</f>
        <v/>
      </c>
      <c r="P14054" s="152">
        <f>M14054/1.1</f>
        <v/>
      </c>
      <c r="Q14054" s="88">
        <f>F14054&amp;E14054&amp;G14054&amp;L14054</f>
        <v/>
      </c>
    </row>
    <row r="14055">
      <c r="B14055" s="128" t="n">
        <v>44217</v>
      </c>
      <c r="C14055" s="88">
        <f>TEXT(B14055,"aaa")</f>
        <v/>
      </c>
      <c r="D14055" s="94" t="n"/>
      <c r="E14055" s="88">
        <f>INDEX(매칭테이블!C:D,MATCH(RD!G14055,매칭테이블!D:D,0),1)</f>
        <v/>
      </c>
      <c r="F14055" s="94" t="inlineStr">
        <is>
          <t>카페24</t>
        </is>
      </c>
      <c r="G14055" s="94" t="inlineStr">
        <is>
          <t>어성초 80 수분 진정 앰플앰플=어성초 80 앰플 2개-27%off (무료배송)</t>
        </is>
      </c>
      <c r="K14055" s="94" t="n">
        <v>4</v>
      </c>
      <c r="L14055" s="88" t="n">
        <v>201208</v>
      </c>
      <c r="M14055" s="88">
        <f>VLOOKUP($Q14055,매칭테이블!$F:$I,2,0)*K14055</f>
        <v/>
      </c>
      <c r="N14055" s="88">
        <f>M14055-M14055*VLOOKUP($Q14055,매칭테이블!$F:$I,3,0)</f>
        <v/>
      </c>
      <c r="O14055" s="88">
        <f>VLOOKUP($Q14055,매칭테이블!$F:$I,4,0)*K14055</f>
        <v/>
      </c>
      <c r="P14055" s="152">
        <f>M14055/1.1</f>
        <v/>
      </c>
      <c r="Q14055" s="88">
        <f>F14055&amp;E14055&amp;G14055&amp;L14055</f>
        <v/>
      </c>
    </row>
    <row r="14056">
      <c r="B14056" s="128" t="n">
        <v>44217</v>
      </c>
      <c r="C14056" s="88">
        <f>TEXT(B14056,"aaa")</f>
        <v/>
      </c>
      <c r="D14056" s="94" t="n"/>
      <c r="E14056" s="88">
        <f>INDEX(매칭테이블!C:D,MATCH(RD!G14056,매칭테이블!D:D,0),1)</f>
        <v/>
      </c>
      <c r="F14056" s="94" t="inlineStr">
        <is>
          <t>카페24</t>
        </is>
      </c>
      <c r="G14056" s="94" t="inlineStr">
        <is>
          <t>어성초 80 수분 진정 앰플</t>
        </is>
      </c>
      <c r="K14056" s="94" t="n">
        <v>3</v>
      </c>
      <c r="L14056" s="88" t="n">
        <v>201208</v>
      </c>
      <c r="M14056" s="88">
        <f>VLOOKUP($Q14056,매칭테이블!$F:$I,2,0)*K14056</f>
        <v/>
      </c>
      <c r="N14056" s="88">
        <f>M14056-M14056*VLOOKUP($Q14056,매칭테이블!$F:$I,3,0)</f>
        <v/>
      </c>
      <c r="O14056" s="88">
        <f>VLOOKUP($Q14056,매칭테이블!$F:$I,4,0)*K14056</f>
        <v/>
      </c>
      <c r="P14056" s="152">
        <f>M14056/1.1</f>
        <v/>
      </c>
      <c r="Q14056" s="88">
        <f>F14056&amp;E14056&amp;G14056&amp;L14056</f>
        <v/>
      </c>
    </row>
    <row r="14057">
      <c r="B14057" s="128" t="n">
        <v>44217</v>
      </c>
      <c r="C14057" s="88">
        <f>TEXT(B14057,"aaa")</f>
        <v/>
      </c>
      <c r="D14057" s="94" t="n"/>
      <c r="E14057" s="88">
        <f>INDEX(매칭테이블!C:D,MATCH(RD!G14057,매칭테이블!D:D,0),1)</f>
        <v/>
      </c>
      <c r="F14057" s="94" t="inlineStr">
        <is>
          <t>카페24</t>
        </is>
      </c>
      <c r="G14057" s="94" t="inlineStr">
        <is>
          <t>어성초 아크네 바디워시옵션=어성초 아크네 바디워시 1개 -30% off</t>
        </is>
      </c>
      <c r="K14057" s="94" t="n">
        <v>3</v>
      </c>
      <c r="L14057" s="88" t="n">
        <v>201208</v>
      </c>
      <c r="M14057" s="88">
        <f>VLOOKUP($Q14057,매칭테이블!$F:$I,2,0)*K14057</f>
        <v/>
      </c>
      <c r="N14057" s="88">
        <f>M14057-M14057*VLOOKUP($Q14057,매칭테이블!$F:$I,3,0)</f>
        <v/>
      </c>
      <c r="O14057" s="88">
        <f>VLOOKUP($Q14057,매칭테이블!$F:$I,4,0)*K14057</f>
        <v/>
      </c>
      <c r="P14057" s="152">
        <f>M14057/1.1</f>
        <v/>
      </c>
      <c r="Q14057" s="88">
        <f>F14057&amp;E14057&amp;G14057&amp;L14057</f>
        <v/>
      </c>
    </row>
    <row r="14058">
      <c r="B14058" s="128" t="n">
        <v>44217</v>
      </c>
      <c r="C14058" s="88">
        <f>TEXT(B14058,"aaa")</f>
        <v/>
      </c>
      <c r="D14058" s="94" t="n"/>
      <c r="E14058" s="88">
        <f>INDEX(매칭테이블!C:D,MATCH(RD!G14058,매칭테이블!D:D,0),1)</f>
        <v/>
      </c>
      <c r="F14058" s="94" t="inlineStr">
        <is>
          <t>카페24</t>
        </is>
      </c>
      <c r="G14058" s="94" t="inlineStr">
        <is>
          <t>어성초 약산성 클렌징폼클렌징폼=어성초 약산성 클렌징폼 1개 -19%off</t>
        </is>
      </c>
      <c r="K14058" s="94" t="n">
        <v>16</v>
      </c>
      <c r="L14058" s="88" t="n">
        <v>201208</v>
      </c>
      <c r="M14058" s="88">
        <f>VLOOKUP($Q14058,매칭테이블!$F:$I,2,0)*K14058</f>
        <v/>
      </c>
      <c r="N14058" s="88">
        <f>M14058-M14058*VLOOKUP($Q14058,매칭테이블!$F:$I,3,0)</f>
        <v/>
      </c>
      <c r="O14058" s="88">
        <f>VLOOKUP($Q14058,매칭테이블!$F:$I,4,0)*K14058</f>
        <v/>
      </c>
      <c r="P14058" s="152">
        <f>M14058/1.1</f>
        <v/>
      </c>
      <c r="Q14058" s="88">
        <f>F14058&amp;E14058&amp;G14058&amp;L14058</f>
        <v/>
      </c>
    </row>
    <row r="14059">
      <c r="B14059" s="128" t="n">
        <v>44217</v>
      </c>
      <c r="C14059" s="88">
        <f>TEXT(B14059,"aaa")</f>
        <v/>
      </c>
      <c r="D14059" s="94" t="n"/>
      <c r="E14059" s="88">
        <f>INDEX(매칭테이블!C:D,MATCH(RD!G14059,매칭테이블!D:D,0),1)</f>
        <v/>
      </c>
      <c r="F14059" s="94" t="inlineStr">
        <is>
          <t>카페24</t>
        </is>
      </c>
      <c r="G14059" s="94" t="inlineStr">
        <is>
          <t>어성초 약산성 클렌징폼클렌징폼=어성초 약산성 클렌징폼 2개 -25%off</t>
        </is>
      </c>
      <c r="K14059" s="94" t="n">
        <v>9</v>
      </c>
      <c r="L14059" s="88" t="n">
        <v>201208</v>
      </c>
      <c r="M14059" s="88">
        <f>VLOOKUP($Q14059,매칭테이블!$F:$I,2,0)*K14059</f>
        <v/>
      </c>
      <c r="N14059" s="88">
        <f>M14059-M14059*VLOOKUP($Q14059,매칭테이블!$F:$I,3,0)</f>
        <v/>
      </c>
      <c r="O14059" s="88">
        <f>VLOOKUP($Q14059,매칭테이블!$F:$I,4,0)*K14059</f>
        <v/>
      </c>
      <c r="P14059" s="152">
        <f>M14059/1.1</f>
        <v/>
      </c>
      <c r="Q14059" s="88">
        <f>F14059&amp;E14059&amp;G14059&amp;L14059</f>
        <v/>
      </c>
    </row>
    <row r="14060">
      <c r="B14060" s="128" t="n">
        <v>44217</v>
      </c>
      <c r="C14060" s="88">
        <f>TEXT(B14060,"aaa")</f>
        <v/>
      </c>
      <c r="D14060" s="94" t="n"/>
      <c r="E14060" s="88">
        <f>INDEX(매칭테이블!C:D,MATCH(RD!G14060,매칭테이블!D:D,0),1)</f>
        <v/>
      </c>
      <c r="F14060" s="94" t="inlineStr">
        <is>
          <t>카페24</t>
        </is>
      </c>
      <c r="G14060" s="94" t="inlineStr">
        <is>
          <t>어성초 약산성 클렌징폼클렌징폼=어성초 약산성 클렌징폼 3개 -31%off (무료배송)</t>
        </is>
      </c>
      <c r="K14060" s="94" t="n">
        <v>2</v>
      </c>
      <c r="L14060" s="88" t="n">
        <v>201208</v>
      </c>
      <c r="M14060" s="88">
        <f>VLOOKUP($Q14060,매칭테이블!$F:$I,2,0)*K14060</f>
        <v/>
      </c>
      <c r="N14060" s="88">
        <f>M14060-M14060*VLOOKUP($Q14060,매칭테이블!$F:$I,3,0)</f>
        <v/>
      </c>
      <c r="O14060" s="88">
        <f>VLOOKUP($Q14060,매칭테이블!$F:$I,4,0)*K14060</f>
        <v/>
      </c>
      <c r="P14060" s="152">
        <f>M14060/1.1</f>
        <v/>
      </c>
      <c r="Q14060" s="88">
        <f>F14060&amp;E14060&amp;G14060&amp;L14060</f>
        <v/>
      </c>
    </row>
    <row r="14061">
      <c r="B14061" s="128" t="n">
        <v>44217</v>
      </c>
      <c r="C14061" s="88">
        <f>TEXT(B14061,"aaa")</f>
        <v/>
      </c>
      <c r="D14061" s="94" t="n"/>
      <c r="E14061" s="88">
        <f>INDEX(매칭테이블!C:D,MATCH(RD!G14061,매칭테이블!D:D,0),1)</f>
        <v/>
      </c>
      <c r="F14061" s="94" t="inlineStr">
        <is>
          <t>카페24</t>
        </is>
      </c>
      <c r="G14061" s="94" t="inlineStr">
        <is>
          <t>어성초 크림마스크 나이트 솔루션옵션=어성초 크림마스크 나이트 솔루션 1장</t>
        </is>
      </c>
      <c r="K14061" s="94" t="n">
        <v>2</v>
      </c>
      <c r="L14061" s="88" t="n">
        <v>201208</v>
      </c>
      <c r="M14061" s="88">
        <f>VLOOKUP($Q14061,매칭테이블!$F:$I,2,0)*K14061</f>
        <v/>
      </c>
      <c r="N14061" s="88">
        <f>M14061-M14061*VLOOKUP($Q14061,매칭테이블!$F:$I,3,0)</f>
        <v/>
      </c>
      <c r="O14061" s="88">
        <f>VLOOKUP($Q14061,매칭테이블!$F:$I,4,0)*K14061</f>
        <v/>
      </c>
      <c r="P14061" s="152">
        <f>M14061/1.1</f>
        <v/>
      </c>
      <c r="Q14061" s="88">
        <f>F14061&amp;E14061&amp;G14061&amp;L14061</f>
        <v/>
      </c>
    </row>
    <row r="14062">
      <c r="B14062" s="128" t="n">
        <v>44217</v>
      </c>
      <c r="C14062" s="88">
        <f>TEXT(B14062,"aaa")</f>
        <v/>
      </c>
      <c r="D14062" s="94" t="n"/>
      <c r="E14062" s="88">
        <f>INDEX(매칭테이블!C:D,MATCH(RD!G14062,매칭테이블!D:D,0),1)</f>
        <v/>
      </c>
      <c r="F14062" s="94" t="inlineStr">
        <is>
          <t>카페24</t>
        </is>
      </c>
      <c r="G14062" s="94" t="inlineStr">
        <is>
          <t>어성초 크림마스크 나이트 솔루션옵션=어성초 크림마스크 나이트 솔루션 10장 (-50%)</t>
        </is>
      </c>
      <c r="K14062" s="94" t="n">
        <v>3</v>
      </c>
      <c r="L14062" s="88" t="n">
        <v>201208</v>
      </c>
      <c r="M14062" s="88">
        <f>VLOOKUP($Q14062,매칭테이블!$F:$I,2,0)*K14062</f>
        <v/>
      </c>
      <c r="N14062" s="88">
        <f>M14062-M14062*VLOOKUP($Q14062,매칭테이블!$F:$I,3,0)</f>
        <v/>
      </c>
      <c r="O14062" s="88">
        <f>VLOOKUP($Q14062,매칭테이블!$F:$I,4,0)*K14062</f>
        <v/>
      </c>
      <c r="P14062" s="152">
        <f>M14062/1.1</f>
        <v/>
      </c>
      <c r="Q14062" s="88">
        <f>F14062&amp;E14062&amp;G14062&amp;L14062</f>
        <v/>
      </c>
    </row>
    <row r="14063">
      <c r="B14063" s="128" t="n">
        <v>44217</v>
      </c>
      <c r="C14063" s="88">
        <f>TEXT(B14063,"aaa")</f>
        <v/>
      </c>
      <c r="D14063" s="94" t="n"/>
      <c r="E14063" s="88">
        <f>INDEX(매칭테이블!C:D,MATCH(RD!G14063,매칭테이블!D:D,0),1)</f>
        <v/>
      </c>
      <c r="F14063" s="94" t="inlineStr">
        <is>
          <t>카페24</t>
        </is>
      </c>
      <c r="G14063" s="94" t="inlineStr">
        <is>
          <t>자작나무 수분 마스크옵션=자작나무 수분 마스크 10장 (50% off)</t>
        </is>
      </c>
      <c r="K14063" s="94" t="n">
        <v>1</v>
      </c>
      <c r="L14063" s="88" t="n">
        <v>201208</v>
      </c>
      <c r="M14063" s="88">
        <f>VLOOKUP($Q14063,매칭테이블!$F:$I,2,0)*K14063</f>
        <v/>
      </c>
      <c r="N14063" s="88">
        <f>M14063-M14063*VLOOKUP($Q14063,매칭테이블!$F:$I,3,0)</f>
        <v/>
      </c>
      <c r="O14063" s="88">
        <f>VLOOKUP($Q14063,매칭테이블!$F:$I,4,0)*K14063</f>
        <v/>
      </c>
      <c r="P14063" s="152">
        <f>M14063/1.1</f>
        <v/>
      </c>
      <c r="Q14063" s="88">
        <f>F14063&amp;E14063&amp;G14063&amp;L14063</f>
        <v/>
      </c>
    </row>
    <row r="14064">
      <c r="B14064" s="128" t="n">
        <v>44217</v>
      </c>
      <c r="C14064" s="88">
        <f>TEXT(B14064,"aaa")</f>
        <v/>
      </c>
      <c r="D14064" s="94" t="n"/>
      <c r="E14064" s="88">
        <f>INDEX(매칭테이블!C:D,MATCH(RD!G14064,매칭테이블!D:D,0),1)</f>
        <v/>
      </c>
      <c r="F14064" s="94" t="inlineStr">
        <is>
          <t>카페24</t>
        </is>
      </c>
      <c r="G14064" s="94" t="inlineStr">
        <is>
          <t>청귤 비타 잡티 마스크옵션=청귤 비타 잡티 마스크 1장</t>
        </is>
      </c>
      <c r="K14064" s="94" t="n">
        <v>4</v>
      </c>
      <c r="L14064" s="88" t="n">
        <v>201208</v>
      </c>
      <c r="M14064" s="88">
        <f>VLOOKUP($Q14064,매칭테이블!$F:$I,2,0)*K14064</f>
        <v/>
      </c>
      <c r="N14064" s="88">
        <f>M14064-M14064*VLOOKUP($Q14064,매칭테이블!$F:$I,3,0)</f>
        <v/>
      </c>
      <c r="O14064" s="88">
        <f>VLOOKUP($Q14064,매칭테이블!$F:$I,4,0)*K14064</f>
        <v/>
      </c>
      <c r="P14064" s="152">
        <f>M14064/1.1</f>
        <v/>
      </c>
      <c r="Q14064" s="88">
        <f>F14064&amp;E14064&amp;G14064&amp;L14064</f>
        <v/>
      </c>
    </row>
    <row r="14065">
      <c r="B14065" s="128" t="n">
        <v>44217</v>
      </c>
      <c r="C14065" s="88">
        <f>TEXT(B14065,"aaa")</f>
        <v/>
      </c>
      <c r="D14065" s="94" t="n"/>
      <c r="E14065" s="88">
        <f>INDEX(매칭테이블!C:D,MATCH(RD!G14065,매칭테이블!D:D,0),1)</f>
        <v/>
      </c>
      <c r="F14065" s="94" t="inlineStr">
        <is>
          <t>카페24</t>
        </is>
      </c>
      <c r="G14065" s="94" t="inlineStr">
        <is>
          <t>청귤 비타 잡티 마스크옵션=청귤 비타 잡티 마스크 10장 (50% off)</t>
        </is>
      </c>
      <c r="K14065" s="94" t="n">
        <v>2</v>
      </c>
      <c r="L14065" s="88" t="n">
        <v>201208</v>
      </c>
      <c r="M14065" s="88">
        <f>VLOOKUP($Q14065,매칭테이블!$F:$I,2,0)*K14065</f>
        <v/>
      </c>
      <c r="N14065" s="88">
        <f>M14065-M14065*VLOOKUP($Q14065,매칭테이블!$F:$I,3,0)</f>
        <v/>
      </c>
      <c r="O14065" s="88">
        <f>VLOOKUP($Q14065,매칭테이블!$F:$I,4,0)*K14065</f>
        <v/>
      </c>
      <c r="P14065" s="152">
        <f>M14065/1.1</f>
        <v/>
      </c>
      <c r="Q14065" s="88">
        <f>F14065&amp;E14065&amp;G14065&amp;L14065</f>
        <v/>
      </c>
    </row>
    <row r="14066">
      <c r="B14066" s="128" t="n">
        <v>44217</v>
      </c>
      <c r="C14066" s="88">
        <f>TEXT(B14066,"aaa")</f>
        <v/>
      </c>
      <c r="D14066" s="94" t="n"/>
      <c r="E14066" s="88">
        <f>INDEX(매칭테이블!C:D,MATCH(RD!G14066,매칭테이블!D:D,0),1)</f>
        <v/>
      </c>
      <c r="F14066" s="94" t="inlineStr">
        <is>
          <t>카페24</t>
        </is>
      </c>
      <c r="G14066" s="94" t="inlineStr">
        <is>
          <t>촉촉 스킨팩 화장솜</t>
        </is>
      </c>
      <c r="K14066" s="94" t="n">
        <v>21</v>
      </c>
      <c r="L14066" s="88" t="n">
        <v>201208</v>
      </c>
      <c r="M14066" s="88">
        <f>VLOOKUP($Q14066,매칭테이블!$F:$I,2,0)*K14066</f>
        <v/>
      </c>
      <c r="N14066" s="88">
        <f>M14066-M14066*VLOOKUP($Q14066,매칭테이블!$F:$I,3,0)</f>
        <v/>
      </c>
      <c r="O14066" s="88">
        <f>VLOOKUP($Q14066,매칭테이블!$F:$I,4,0)*K14066</f>
        <v/>
      </c>
      <c r="P14066" s="152">
        <f>M14066/1.1</f>
        <v/>
      </c>
      <c r="Q14066" s="88">
        <f>F14066&amp;E14066&amp;G14066&amp;L14066</f>
        <v/>
      </c>
    </row>
    <row r="14067">
      <c r="B14067" s="128" t="n">
        <v>44217</v>
      </c>
      <c r="C14067" s="88">
        <f>TEXT(B14067,"aaa")</f>
        <v/>
      </c>
      <c r="D14067" s="94" t="n"/>
      <c r="E14067" s="88">
        <f>INDEX(매칭테이블!C:D,MATCH(RD!G14067,매칭테이블!D:D,0),1)</f>
        <v/>
      </c>
      <c r="F14067" s="94" t="inlineStr">
        <is>
          <t>카페24</t>
        </is>
      </c>
      <c r="G14067" s="94" t="inlineStr">
        <is>
          <t>촉촉 스킨팩 화장솜</t>
        </is>
      </c>
      <c r="K14067" s="94" t="n">
        <v>4</v>
      </c>
      <c r="L14067" s="88" t="n">
        <v>201208</v>
      </c>
      <c r="M14067" s="88">
        <f>VLOOKUP($Q14067,매칭테이블!$F:$I,2,0)*K14067</f>
        <v/>
      </c>
      <c r="N14067" s="88">
        <f>M14067-M14067*VLOOKUP($Q14067,매칭테이블!$F:$I,3,0)</f>
        <v/>
      </c>
      <c r="O14067" s="88">
        <f>VLOOKUP($Q14067,매칭테이블!$F:$I,4,0)*K14067</f>
        <v/>
      </c>
      <c r="P14067" s="152">
        <f>M14067/1.1</f>
        <v/>
      </c>
      <c r="Q14067" s="88">
        <f>F14067&amp;E14067&amp;G14067&amp;L14067</f>
        <v/>
      </c>
    </row>
    <row r="14068">
      <c r="B14068" s="128" t="n">
        <v>44217</v>
      </c>
      <c r="C14068" s="88">
        <f>TEXT(B14068,"aaa")</f>
        <v/>
      </c>
      <c r="D14068" s="94" t="n"/>
      <c r="E14068" s="88">
        <f>INDEX(매칭테이블!C:D,MATCH(RD!G14068,매칭테이블!D:D,0),1)</f>
        <v/>
      </c>
      <c r="F14068" s="94" t="inlineStr">
        <is>
          <t>화해</t>
        </is>
      </c>
      <c r="G14068" s="94" t="inlineStr">
        <is>
          <t>5 제로 무기자차 선크림 50ml5 제로 무기자차 선크림 50ml</t>
        </is>
      </c>
      <c r="K14068" s="94" t="n">
        <v>1</v>
      </c>
      <c r="L14068" s="88" t="n">
        <v>201208</v>
      </c>
      <c r="M14068" s="88">
        <f>VLOOKUP($Q14068,매칭테이블!$F:$I,2,0)*K14068</f>
        <v/>
      </c>
      <c r="N14068" s="88">
        <f>M14068-M14068*VLOOKUP($Q14068,매칭테이블!$F:$I,3,0)</f>
        <v/>
      </c>
      <c r="O14068" s="88">
        <f>VLOOKUP($Q14068,매칭테이블!$F:$I,4,0)*K14068</f>
        <v/>
      </c>
      <c r="P14068" s="152">
        <f>M14068/1.1</f>
        <v/>
      </c>
      <c r="Q14068" s="88">
        <f>F14068&amp;E14068&amp;G14068&amp;L14068</f>
        <v/>
      </c>
    </row>
    <row r="14069">
      <c r="B14069" s="128" t="n">
        <v>44218</v>
      </c>
      <c r="C14069" s="88">
        <f>TEXT(B14069,"aaa")</f>
        <v/>
      </c>
      <c r="D14069" s="94" t="n"/>
      <c r="E14069" s="88">
        <f>INDEX(매칭테이블!C:D,MATCH(RD!G14069,매칭테이블!D:D,0),1)</f>
        <v/>
      </c>
      <c r="F14069" s="94" t="inlineStr">
        <is>
          <t>W컨셉</t>
        </is>
      </c>
      <c r="G14069" s="94" t="inlineStr">
        <is>
          <t>어성초 77토너 (2 SET) HEARTLEAF 77% SOOTHING TONER 250ml250ml 2set</t>
        </is>
      </c>
      <c r="K14069" s="94" t="n">
        <v>1</v>
      </c>
      <c r="L14069" s="88" t="n">
        <v>201208</v>
      </c>
      <c r="M14069" s="88">
        <f>VLOOKUP($Q14069,매칭테이블!$F:$I,2,0)*K14069</f>
        <v/>
      </c>
      <c r="N14069" s="88">
        <f>M14069-M14069*VLOOKUP($Q14069,매칭테이블!$F:$I,3,0)</f>
        <v/>
      </c>
      <c r="O14069" s="88">
        <f>VLOOKUP($Q14069,매칭테이블!$F:$I,4,0)*K14069</f>
        <v/>
      </c>
      <c r="P14069" s="152">
        <f>M14069/1.1</f>
        <v/>
      </c>
      <c r="Q14069" s="88">
        <f>F14069&amp;E14069&amp;G14069&amp;L14069</f>
        <v/>
      </c>
    </row>
    <row r="14070">
      <c r="B14070" s="128" t="n">
        <v>44218</v>
      </c>
      <c r="C14070" s="88">
        <f>TEXT(B14070,"aaa")</f>
        <v/>
      </c>
      <c r="D14070" s="94" t="n"/>
      <c r="E14070" s="88">
        <f>INDEX(매칭테이블!C:D,MATCH(RD!G14070,매칭테이블!D:D,0),1)</f>
        <v/>
      </c>
      <c r="F14070" s="94" t="inlineStr">
        <is>
          <t>W컨셉</t>
        </is>
      </c>
      <c r="G14070" s="94" t="inlineStr">
        <is>
          <t>어성초 77토너 HEARTLEAF 77% SOOTHING TONER 250ml250ml</t>
        </is>
      </c>
      <c r="K14070" s="94" t="n">
        <v>1</v>
      </c>
      <c r="L14070" s="88" t="n">
        <v>201208</v>
      </c>
      <c r="M14070" s="88">
        <f>VLOOKUP($Q14070,매칭테이블!$F:$I,2,0)*K14070</f>
        <v/>
      </c>
      <c r="N14070" s="88">
        <f>M14070-M14070*VLOOKUP($Q14070,매칭테이블!$F:$I,3,0)</f>
        <v/>
      </c>
      <c r="O14070" s="88">
        <f>VLOOKUP($Q14070,매칭테이블!$F:$I,4,0)*K14070</f>
        <v/>
      </c>
      <c r="P14070" s="152">
        <f>M14070/1.1</f>
        <v/>
      </c>
      <c r="Q14070" s="88">
        <f>F14070&amp;E14070&amp;G14070&amp;L14070</f>
        <v/>
      </c>
    </row>
    <row r="14071">
      <c r="B14071" s="128" t="n">
        <v>44218</v>
      </c>
      <c r="C14071" s="88">
        <f>TEXT(B14071,"aaa")</f>
        <v/>
      </c>
      <c r="D14071" s="94" t="n"/>
      <c r="E14071" s="88">
        <f>INDEX(매칭테이블!C:D,MATCH(RD!G14071,매칭테이블!D:D,0),1)</f>
        <v/>
      </c>
      <c r="F14071" s="94" t="inlineStr">
        <is>
          <t>스타일쉐어</t>
        </is>
      </c>
      <c r="G14071" s="94" t="inlineStr">
        <is>
          <t>아누아 어성초 77 토너 250ml</t>
        </is>
      </c>
      <c r="K14071" s="94" t="n">
        <v>1</v>
      </c>
      <c r="L14071" s="88" t="n">
        <v>201208</v>
      </c>
      <c r="M14071" s="88">
        <f>VLOOKUP($Q14071,매칭테이블!$F:$I,2,0)*K14071</f>
        <v/>
      </c>
      <c r="N14071" s="88">
        <f>M14071-M14071*VLOOKUP($Q14071,매칭테이블!$F:$I,3,0)</f>
        <v/>
      </c>
      <c r="O14071" s="88">
        <f>VLOOKUP($Q14071,매칭테이블!$F:$I,4,0)*K14071</f>
        <v/>
      </c>
      <c r="P14071" s="152">
        <f>M14071/1.1</f>
        <v/>
      </c>
      <c r="Q14071" s="88">
        <f>F14071&amp;E14071&amp;G14071&amp;L14071</f>
        <v/>
      </c>
    </row>
    <row r="14072">
      <c r="B14072" s="128" t="n">
        <v>44218</v>
      </c>
      <c r="C14072" s="88">
        <f>TEXT(B14072,"aaa")</f>
        <v/>
      </c>
      <c r="D14072" s="94" t="n"/>
      <c r="E14072" s="88">
        <f>INDEX(매칭테이블!C:D,MATCH(RD!G14072,매칭테이블!D:D,0),1)</f>
        <v/>
      </c>
      <c r="F14072" s="94" t="inlineStr">
        <is>
          <t>카페24</t>
        </is>
      </c>
      <c r="G14072" s="94" t="inlineStr">
        <is>
          <t>5 제로 무기자차 선크림옵션=5제로 무기자차 선크림 1개-20% off</t>
        </is>
      </c>
      <c r="K14072" s="94" t="n">
        <v>1</v>
      </c>
      <c r="L14072" s="88" t="n">
        <v>201208</v>
      </c>
      <c r="M14072" s="88">
        <f>VLOOKUP($Q14072,매칭테이블!$F:$I,2,0)*K14072</f>
        <v/>
      </c>
      <c r="N14072" s="88">
        <f>M14072-M14072*VLOOKUP($Q14072,매칭테이블!$F:$I,3,0)</f>
        <v/>
      </c>
      <c r="O14072" s="88">
        <f>VLOOKUP($Q14072,매칭테이블!$F:$I,4,0)*K14072</f>
        <v/>
      </c>
      <c r="P14072" s="152">
        <f>M14072/1.1</f>
        <v/>
      </c>
      <c r="Q14072" s="88">
        <f>F14072&amp;E14072&amp;G14072&amp;L14072</f>
        <v/>
      </c>
    </row>
    <row r="14073">
      <c r="B14073" s="128" t="n">
        <v>44218</v>
      </c>
      <c r="C14073" s="88">
        <f>TEXT(B14073,"aaa")</f>
        <v/>
      </c>
      <c r="D14073" s="94" t="n"/>
      <c r="E14073" s="88">
        <f>INDEX(매칭테이블!C:D,MATCH(RD!G14073,매칭테이블!D:D,0),1)</f>
        <v/>
      </c>
      <c r="F14073" s="94" t="inlineStr">
        <is>
          <t>카페24</t>
        </is>
      </c>
      <c r="G14073" s="94" t="inlineStr">
        <is>
          <t>5 제로 무기자차 선크림옵션=5제로 무기자차 선크림 2개-30% off (무료배송)</t>
        </is>
      </c>
      <c r="K14073" s="94" t="n">
        <v>1</v>
      </c>
      <c r="L14073" s="88" t="n">
        <v>201208</v>
      </c>
      <c r="M14073" s="88">
        <f>VLOOKUP($Q14073,매칭테이블!$F:$I,2,0)*K14073</f>
        <v/>
      </c>
      <c r="N14073" s="88">
        <f>M14073-M14073*VLOOKUP($Q14073,매칭테이블!$F:$I,3,0)</f>
        <v/>
      </c>
      <c r="O14073" s="88">
        <f>VLOOKUP($Q14073,매칭테이블!$F:$I,4,0)*K14073</f>
        <v/>
      </c>
      <c r="P14073" s="152">
        <f>M14073/1.1</f>
        <v/>
      </c>
      <c r="Q14073" s="88">
        <f>F14073&amp;E14073&amp;G14073&amp;L14073</f>
        <v/>
      </c>
    </row>
    <row r="14074">
      <c r="B14074" s="128" t="n">
        <v>44218</v>
      </c>
      <c r="C14074" s="88">
        <f>TEXT(B14074,"aaa")</f>
        <v/>
      </c>
      <c r="D14074" s="94" t="n"/>
      <c r="E14074" s="88">
        <f>INDEX(매칭테이블!C:D,MATCH(RD!G14074,매칭테이블!D:D,0),1)</f>
        <v/>
      </c>
      <c r="F14074" s="94" t="inlineStr">
        <is>
          <t>카페24</t>
        </is>
      </c>
      <c r="G14074" s="94" t="inlineStr">
        <is>
          <t>[01/27 순차발송] 어성초 77 클리어 패드옵션=어성초 77 클리어 패드 1개-20% off</t>
        </is>
      </c>
      <c r="K14074" s="94" t="n">
        <v>34</v>
      </c>
      <c r="L14074" s="88" t="n">
        <v>201208</v>
      </c>
      <c r="M14074" s="88">
        <f>VLOOKUP($Q14074,매칭테이블!$F:$I,2,0)*K14074</f>
        <v/>
      </c>
      <c r="N14074" s="88">
        <f>M14074-M14074*VLOOKUP($Q14074,매칭테이블!$F:$I,3,0)</f>
        <v/>
      </c>
      <c r="O14074" s="88">
        <f>VLOOKUP($Q14074,매칭테이블!$F:$I,4,0)*K14074</f>
        <v/>
      </c>
      <c r="P14074" s="152">
        <f>M14074/1.1</f>
        <v/>
      </c>
      <c r="Q14074" s="88">
        <f>F14074&amp;E14074&amp;G14074&amp;L14074</f>
        <v/>
      </c>
    </row>
    <row r="14075">
      <c r="B14075" s="128" t="n">
        <v>44218</v>
      </c>
      <c r="C14075" s="88">
        <f>TEXT(B14075,"aaa")</f>
        <v/>
      </c>
      <c r="D14075" s="94" t="n"/>
      <c r="E14075" s="88">
        <f>INDEX(매칭테이블!C:D,MATCH(RD!G14075,매칭테이블!D:D,0),1)</f>
        <v/>
      </c>
      <c r="F14075" s="94" t="inlineStr">
        <is>
          <t>카페24</t>
        </is>
      </c>
      <c r="G14075" s="94" t="inlineStr">
        <is>
          <t>[01/27 순차발송] 어성초 77 클리어 패드옵션=어성초 77 클리어 패드 2개-30% off (무료배송)</t>
        </is>
      </c>
      <c r="K14075" s="94" t="n">
        <v>31</v>
      </c>
      <c r="L14075" s="88" t="n">
        <v>201208</v>
      </c>
      <c r="M14075" s="88">
        <f>VLOOKUP($Q14075,매칭테이블!$F:$I,2,0)*K14075</f>
        <v/>
      </c>
      <c r="N14075" s="88">
        <f>M14075-M14075*VLOOKUP($Q14075,매칭테이블!$F:$I,3,0)</f>
        <v/>
      </c>
      <c r="O14075" s="88">
        <f>VLOOKUP($Q14075,매칭테이블!$F:$I,4,0)*K14075</f>
        <v/>
      </c>
      <c r="P14075" s="152">
        <f>M14075/1.1</f>
        <v/>
      </c>
      <c r="Q14075" s="88">
        <f>F14075&amp;E14075&amp;G14075&amp;L14075</f>
        <v/>
      </c>
    </row>
    <row r="14076">
      <c r="B14076" s="128" t="n">
        <v>44218</v>
      </c>
      <c r="C14076" s="88">
        <f>TEXT(B14076,"aaa")</f>
        <v/>
      </c>
      <c r="D14076" s="94" t="n"/>
      <c r="E14076" s="88">
        <f>INDEX(매칭테이블!C:D,MATCH(RD!G14076,매칭테이블!D:D,0),1)</f>
        <v/>
      </c>
      <c r="F14076" s="94" t="inlineStr">
        <is>
          <t>카페24</t>
        </is>
      </c>
      <c r="G14076" s="94" t="inlineStr">
        <is>
          <t>[01/27 순차발송] 어성초 77 클리어 패드옵션=어성초 77 클리어 패드 2+1 EVENT (무료배송)</t>
        </is>
      </c>
      <c r="K14076" s="94" t="n">
        <v>28</v>
      </c>
      <c r="L14076" s="88" t="n">
        <v>201208</v>
      </c>
      <c r="M14076" s="88">
        <f>VLOOKUP($Q14076,매칭테이블!$F:$I,2,0)*K14076</f>
        <v/>
      </c>
      <c r="N14076" s="88">
        <f>M14076-M14076*VLOOKUP($Q14076,매칭테이블!$F:$I,3,0)</f>
        <v/>
      </c>
      <c r="O14076" s="88">
        <f>VLOOKUP($Q14076,매칭테이블!$F:$I,4,0)*K14076</f>
        <v/>
      </c>
      <c r="P14076" s="152">
        <f>M14076/1.1</f>
        <v/>
      </c>
      <c r="Q14076" s="88">
        <f>F14076&amp;E14076&amp;G14076&amp;L14076</f>
        <v/>
      </c>
    </row>
    <row r="14077">
      <c r="B14077" s="128" t="n">
        <v>44218</v>
      </c>
      <c r="C14077" s="88">
        <f>TEXT(B14077,"aaa")</f>
        <v/>
      </c>
      <c r="D14077" s="94" t="n"/>
      <c r="E14077" s="88">
        <f>INDEX(매칭테이블!C:D,MATCH(RD!G14077,매칭테이블!D:D,0),1)</f>
        <v/>
      </c>
      <c r="F14077" s="94" t="inlineStr">
        <is>
          <t>카페24</t>
        </is>
      </c>
      <c r="G14077" s="94" t="inlineStr">
        <is>
          <t>[01/27 순차발송] 어성초 77 클리어 패드옵션=어성초77토너1개+어성초77패드1개-30% off (무료배송)</t>
        </is>
      </c>
      <c r="K14077" s="94" t="n">
        <v>15</v>
      </c>
      <c r="L14077" s="88" t="n">
        <v>201208</v>
      </c>
      <c r="M14077" s="88">
        <f>VLOOKUP($Q14077,매칭테이블!$F:$I,2,0)*K14077</f>
        <v/>
      </c>
      <c r="N14077" s="88">
        <f>M14077-M14077*VLOOKUP($Q14077,매칭테이블!$F:$I,3,0)</f>
        <v/>
      </c>
      <c r="O14077" s="88">
        <f>VLOOKUP($Q14077,매칭테이블!$F:$I,4,0)*K14077</f>
        <v/>
      </c>
      <c r="P14077" s="152">
        <f>M14077/1.1</f>
        <v/>
      </c>
      <c r="Q14077" s="88">
        <f>F14077&amp;E14077&amp;G14077&amp;L14077</f>
        <v/>
      </c>
    </row>
    <row r="14078">
      <c r="B14078" s="128" t="n">
        <v>44218</v>
      </c>
      <c r="C14078" s="88">
        <f>TEXT(B14078,"aaa")</f>
        <v/>
      </c>
      <c r="D14078" s="94" t="n"/>
      <c r="E14078" s="88">
        <f>INDEX(매칭테이블!C:D,MATCH(RD!G14078,매칭테이블!D:D,0),1)</f>
        <v/>
      </c>
      <c r="F14078" s="94" t="inlineStr">
        <is>
          <t>카페24</t>
        </is>
      </c>
      <c r="G14078" s="94" t="inlineStr">
        <is>
          <t>[01/27 순차발송] 어성초 77 포어 클리어 패드옵션=어성초 77 클리어 패드 1개-20% off</t>
        </is>
      </c>
      <c r="K14078" s="94" t="n">
        <v>1</v>
      </c>
      <c r="L14078" s="88" t="n">
        <v>201208</v>
      </c>
      <c r="M14078" s="88">
        <f>VLOOKUP($Q14078,매칭테이블!$F:$I,2,0)*K14078</f>
        <v/>
      </c>
      <c r="N14078" s="88">
        <f>M14078-M14078*VLOOKUP($Q14078,매칭테이블!$F:$I,3,0)</f>
        <v/>
      </c>
      <c r="O14078" s="88">
        <f>VLOOKUP($Q14078,매칭테이블!$F:$I,4,0)*K14078</f>
        <v/>
      </c>
      <c r="P14078" s="152">
        <f>M14078/1.1</f>
        <v/>
      </c>
      <c r="Q14078" s="88">
        <f>F14078&amp;E14078&amp;G14078&amp;L14078</f>
        <v/>
      </c>
    </row>
    <row r="14079">
      <c r="B14079" s="128" t="n">
        <v>44218</v>
      </c>
      <c r="C14079" s="88">
        <f>TEXT(B14079,"aaa")</f>
        <v/>
      </c>
      <c r="D14079" s="94" t="n"/>
      <c r="E14079" s="88">
        <f>INDEX(매칭테이블!C:D,MATCH(RD!G14079,매칭테이블!D:D,0),1)</f>
        <v/>
      </c>
      <c r="F14079" s="94" t="inlineStr">
        <is>
          <t>카페24</t>
        </is>
      </c>
      <c r="G14079" s="94" t="inlineStr">
        <is>
          <t>[01/27 순차발송] 어성초 77 포어 클리어 패드옵션=어성초 77 클리어 패드 2개-30% off (무료배송)</t>
        </is>
      </c>
      <c r="K14079" s="94" t="n">
        <v>1</v>
      </c>
      <c r="L14079" s="88" t="n">
        <v>201208</v>
      </c>
      <c r="M14079" s="88">
        <f>VLOOKUP($Q14079,매칭테이블!$F:$I,2,0)*K14079</f>
        <v/>
      </c>
      <c r="N14079" s="88">
        <f>M14079-M14079*VLOOKUP($Q14079,매칭테이블!$F:$I,3,0)</f>
        <v/>
      </c>
      <c r="O14079" s="88">
        <f>VLOOKUP($Q14079,매칭테이블!$F:$I,4,0)*K14079</f>
        <v/>
      </c>
      <c r="P14079" s="152">
        <f>M14079/1.1</f>
        <v/>
      </c>
      <c r="Q14079" s="88">
        <f>F14079&amp;E14079&amp;G14079&amp;L14079</f>
        <v/>
      </c>
    </row>
    <row r="14080">
      <c r="B14080" s="128" t="n">
        <v>44218</v>
      </c>
      <c r="C14080" s="88">
        <f>TEXT(B14080,"aaa")</f>
        <v/>
      </c>
      <c r="D14080" s="94" t="n"/>
      <c r="E14080" s="88">
        <f>INDEX(매칭테이블!C:D,MATCH(RD!G14080,매칭테이블!D:D,0),1)</f>
        <v/>
      </c>
      <c r="F14080" s="94" t="inlineStr">
        <is>
          <t>카페24</t>
        </is>
      </c>
      <c r="G14080" s="94" t="inlineStr">
        <is>
          <t>[01/27 순차발송] 어성초 77 포어 클리어 패드옵션=어성초 77 클리어 패드 2+1 EVENT (무료배송)</t>
        </is>
      </c>
      <c r="K14080" s="94" t="n">
        <v>2</v>
      </c>
      <c r="L14080" s="88" t="n">
        <v>201208</v>
      </c>
      <c r="M14080" s="88">
        <f>VLOOKUP($Q14080,매칭테이블!$F:$I,2,0)*K14080</f>
        <v/>
      </c>
      <c r="N14080" s="88">
        <f>M14080-M14080*VLOOKUP($Q14080,매칭테이블!$F:$I,3,0)</f>
        <v/>
      </c>
      <c r="O14080" s="88">
        <f>VLOOKUP($Q14080,매칭테이블!$F:$I,4,0)*K14080</f>
        <v/>
      </c>
      <c r="P14080" s="152">
        <f>M14080/1.1</f>
        <v/>
      </c>
      <c r="Q14080" s="88">
        <f>F14080&amp;E14080&amp;G14080&amp;L14080</f>
        <v/>
      </c>
    </row>
    <row r="14081">
      <c r="B14081" s="128" t="n">
        <v>44218</v>
      </c>
      <c r="C14081" s="88">
        <f>TEXT(B14081,"aaa")</f>
        <v/>
      </c>
      <c r="D14081" s="94" t="n"/>
      <c r="E14081" s="88">
        <f>INDEX(매칭테이블!C:D,MATCH(RD!G14081,매칭테이블!D:D,0),1)</f>
        <v/>
      </c>
      <c r="F14081" s="94" t="inlineStr">
        <is>
          <t>카페24</t>
        </is>
      </c>
      <c r="G14081" s="94" t="inlineStr">
        <is>
          <t>[01/27 순차발송] 어성초 77 포어 클리어 패드옵션=어성초77토너1개+어성초77패드1개-30% off (무료배송)</t>
        </is>
      </c>
      <c r="K14081" s="94" t="n">
        <v>1</v>
      </c>
      <c r="L14081" s="88" t="n">
        <v>201208</v>
      </c>
      <c r="M14081" s="88">
        <f>VLOOKUP($Q14081,매칭테이블!$F:$I,2,0)*K14081</f>
        <v/>
      </c>
      <c r="N14081" s="88">
        <f>M14081-M14081*VLOOKUP($Q14081,매칭테이블!$F:$I,3,0)</f>
        <v/>
      </c>
      <c r="O14081" s="88">
        <f>VLOOKUP($Q14081,매칭테이블!$F:$I,4,0)*K14081</f>
        <v/>
      </c>
      <c r="P14081" s="152">
        <f>M14081/1.1</f>
        <v/>
      </c>
      <c r="Q14081" s="88">
        <f>F14081&amp;E14081&amp;G14081&amp;L14081</f>
        <v/>
      </c>
    </row>
    <row r="14082">
      <c r="B14082" s="128" t="n">
        <v>44218</v>
      </c>
      <c r="C14082" s="88">
        <f>TEXT(B14082,"aaa")</f>
        <v/>
      </c>
      <c r="D14082" s="94" t="n"/>
      <c r="E14082" s="88">
        <f>INDEX(매칭테이블!C:D,MATCH(RD!G14082,매칭테이블!D:D,0),1)</f>
        <v/>
      </c>
      <c r="F14082" s="94" t="inlineStr">
        <is>
          <t>카페24</t>
        </is>
      </c>
      <c r="G14082" s="94" t="inlineStr">
        <is>
          <t>[01/27 순차발송] 어성초 77% 패드옵션=어성초 77 클리어 패드 1개-20% off</t>
        </is>
      </c>
      <c r="K14082" s="94" t="n">
        <v>12</v>
      </c>
      <c r="L14082" s="88" t="n">
        <v>201208</v>
      </c>
      <c r="M14082" s="88">
        <f>VLOOKUP($Q14082,매칭테이블!$F:$I,2,0)*K14082</f>
        <v/>
      </c>
      <c r="N14082" s="88">
        <f>M14082-M14082*VLOOKUP($Q14082,매칭테이블!$F:$I,3,0)</f>
        <v/>
      </c>
      <c r="O14082" s="88">
        <f>VLOOKUP($Q14082,매칭테이블!$F:$I,4,0)*K14082</f>
        <v/>
      </c>
      <c r="P14082" s="152">
        <f>M14082/1.1</f>
        <v/>
      </c>
      <c r="Q14082" s="88">
        <f>F14082&amp;E14082&amp;G14082&amp;L14082</f>
        <v/>
      </c>
    </row>
    <row r="14083">
      <c r="B14083" s="128" t="n">
        <v>44218</v>
      </c>
      <c r="C14083" s="88">
        <f>TEXT(B14083,"aaa")</f>
        <v/>
      </c>
      <c r="D14083" s="94" t="n"/>
      <c r="E14083" s="88">
        <f>INDEX(매칭테이블!C:D,MATCH(RD!G14083,매칭테이블!D:D,0),1)</f>
        <v/>
      </c>
      <c r="F14083" s="94" t="inlineStr">
        <is>
          <t>카페24</t>
        </is>
      </c>
      <c r="G14083" s="94" t="inlineStr">
        <is>
          <t>[01/27 순차발송] 어성초 77% 패드옵션=어성초 77 클리어 패드 2개-30% off (무료배송)</t>
        </is>
      </c>
      <c r="K14083" s="94" t="n">
        <v>7</v>
      </c>
      <c r="L14083" s="88" t="n">
        <v>201208</v>
      </c>
      <c r="M14083" s="88">
        <f>VLOOKUP($Q14083,매칭테이블!$F:$I,2,0)*K14083</f>
        <v/>
      </c>
      <c r="N14083" s="88">
        <f>M14083-M14083*VLOOKUP($Q14083,매칭테이블!$F:$I,3,0)</f>
        <v/>
      </c>
      <c r="O14083" s="88">
        <f>VLOOKUP($Q14083,매칭테이블!$F:$I,4,0)*K14083</f>
        <v/>
      </c>
      <c r="P14083" s="152">
        <f>M14083/1.1</f>
        <v/>
      </c>
      <c r="Q14083" s="88">
        <f>F14083&amp;E14083&amp;G14083&amp;L14083</f>
        <v/>
      </c>
    </row>
    <row r="14084">
      <c r="B14084" s="128" t="n">
        <v>44218</v>
      </c>
      <c r="C14084" s="88">
        <f>TEXT(B14084,"aaa")</f>
        <v/>
      </c>
      <c r="D14084" s="94" t="n"/>
      <c r="E14084" s="88">
        <f>INDEX(매칭테이블!C:D,MATCH(RD!G14084,매칭테이블!D:D,0),1)</f>
        <v/>
      </c>
      <c r="F14084" s="94" t="inlineStr">
        <is>
          <t>카페24</t>
        </is>
      </c>
      <c r="G14084" s="94" t="inlineStr">
        <is>
          <t>[01/27 순차발송] 어성초 77% 패드옵션=어성초 77 클리어 패드 2+1 EVENT (무료배송)</t>
        </is>
      </c>
      <c r="K14084" s="94" t="n">
        <v>5</v>
      </c>
      <c r="L14084" s="88" t="n">
        <v>201208</v>
      </c>
      <c r="M14084" s="88">
        <f>VLOOKUP($Q14084,매칭테이블!$F:$I,2,0)*K14084</f>
        <v/>
      </c>
      <c r="N14084" s="88">
        <f>M14084-M14084*VLOOKUP($Q14084,매칭테이블!$F:$I,3,0)</f>
        <v/>
      </c>
      <c r="O14084" s="88">
        <f>VLOOKUP($Q14084,매칭테이블!$F:$I,4,0)*K14084</f>
        <v/>
      </c>
      <c r="P14084" s="152">
        <f>M14084/1.1</f>
        <v/>
      </c>
      <c r="Q14084" s="88">
        <f>F14084&amp;E14084&amp;G14084&amp;L14084</f>
        <v/>
      </c>
    </row>
    <row r="14085">
      <c r="B14085" s="128" t="n">
        <v>44218</v>
      </c>
      <c r="C14085" s="88">
        <f>TEXT(B14085,"aaa")</f>
        <v/>
      </c>
      <c r="D14085" s="94" t="n"/>
      <c r="E14085" s="88">
        <f>INDEX(매칭테이블!C:D,MATCH(RD!G14085,매칭테이블!D:D,0),1)</f>
        <v/>
      </c>
      <c r="F14085" s="94" t="inlineStr">
        <is>
          <t>카페24</t>
        </is>
      </c>
      <c r="G14085" s="94" t="inlineStr">
        <is>
          <t>[01/27 순차발송] 어성초 77% 패드옵션=어성초77토너1개+어성초77패드1개-30% off (무료배송)</t>
        </is>
      </c>
      <c r="K14085" s="94" t="n">
        <v>4</v>
      </c>
      <c r="L14085" s="88" t="n">
        <v>201208</v>
      </c>
      <c r="M14085" s="88">
        <f>VLOOKUP($Q14085,매칭테이블!$F:$I,2,0)*K14085</f>
        <v/>
      </c>
      <c r="N14085" s="88">
        <f>M14085-M14085*VLOOKUP($Q14085,매칭테이블!$F:$I,3,0)</f>
        <v/>
      </c>
      <c r="O14085" s="88">
        <f>VLOOKUP($Q14085,매칭테이블!$F:$I,4,0)*K14085</f>
        <v/>
      </c>
      <c r="P14085" s="152">
        <f>M14085/1.1</f>
        <v/>
      </c>
      <c r="Q14085" s="88">
        <f>F14085&amp;E14085&amp;G14085&amp;L14085</f>
        <v/>
      </c>
    </row>
    <row r="14086">
      <c r="B14086" s="128" t="n">
        <v>44218</v>
      </c>
      <c r="C14086" s="88">
        <f>TEXT(B14086,"aaa")</f>
        <v/>
      </c>
      <c r="D14086" s="94" t="n"/>
      <c r="E14086" s="88">
        <f>INDEX(매칭테이블!C:D,MATCH(RD!G14086,매칭테이블!D:D,0),1)</f>
        <v/>
      </c>
      <c r="F14086" s="94" t="inlineStr">
        <is>
          <t>카페24</t>
        </is>
      </c>
      <c r="G14086" s="94" t="inlineStr">
        <is>
          <t>[수분 보충 세트] 어성초 77 토너 + 어성초 70 로션옵션=어성초 77 토너 250ml + 어성초 70 로션 200ml -30%</t>
        </is>
      </c>
      <c r="K14086" s="94" t="n">
        <v>38</v>
      </c>
      <c r="L14086" s="88" t="n">
        <v>201208</v>
      </c>
      <c r="M14086" s="88">
        <f>VLOOKUP($Q14086,매칭테이블!$F:$I,2,0)*K14086</f>
        <v/>
      </c>
      <c r="N14086" s="88">
        <f>M14086-M14086*VLOOKUP($Q14086,매칭테이블!$F:$I,3,0)</f>
        <v/>
      </c>
      <c r="O14086" s="88">
        <f>VLOOKUP($Q14086,매칭테이블!$F:$I,4,0)*K14086</f>
        <v/>
      </c>
      <c r="P14086" s="152">
        <f>M14086/1.1</f>
        <v/>
      </c>
      <c r="Q14086" s="88">
        <f>F14086&amp;E14086&amp;G14086&amp;L14086</f>
        <v/>
      </c>
    </row>
    <row r="14087">
      <c r="B14087" s="128" t="n">
        <v>44218</v>
      </c>
      <c r="C14087" s="88">
        <f>TEXT(B14087,"aaa")</f>
        <v/>
      </c>
      <c r="D14087" s="94" t="n"/>
      <c r="E14087" s="88">
        <f>INDEX(매칭테이블!C:D,MATCH(RD!G14087,매칭테이블!D:D,0),1)</f>
        <v/>
      </c>
      <c r="F14087" s="94" t="inlineStr">
        <is>
          <t>카페24</t>
        </is>
      </c>
      <c r="G14087" s="94" t="inlineStr">
        <is>
          <t>[어성초 진정 패키지 세트] 대용량 토너 + 앰플 + 수딩 크림 + 마스크팩 10장</t>
        </is>
      </c>
      <c r="K14087" s="94" t="n">
        <v>2</v>
      </c>
      <c r="L14087" s="88" t="n">
        <v>201208</v>
      </c>
      <c r="M14087" s="88">
        <f>VLOOKUP($Q14087,매칭테이블!$F:$I,2,0)*K14087</f>
        <v/>
      </c>
      <c r="N14087" s="88">
        <f>M14087-M14087*VLOOKUP($Q14087,매칭테이블!$F:$I,3,0)</f>
        <v/>
      </c>
      <c r="O14087" s="88">
        <f>VLOOKUP($Q14087,매칭테이블!$F:$I,4,0)*K14087</f>
        <v/>
      </c>
      <c r="P14087" s="152">
        <f>M14087/1.1</f>
        <v/>
      </c>
      <c r="Q14087" s="88">
        <f>F14087&amp;E14087&amp;G14087&amp;L14087</f>
        <v/>
      </c>
    </row>
    <row r="14088">
      <c r="B14088" s="128" t="n">
        <v>44218</v>
      </c>
      <c r="C14088" s="88">
        <f>TEXT(B14088,"aaa")</f>
        <v/>
      </c>
      <c r="D14088" s="94" t="n"/>
      <c r="E14088" s="88">
        <f>INDEX(매칭테이블!C:D,MATCH(RD!G14088,매칭테이블!D:D,0),1)</f>
        <v/>
      </c>
      <c r="F14088" s="94" t="inlineStr">
        <is>
          <t>카페24</t>
        </is>
      </c>
      <c r="G14088" s="94" t="inlineStr">
        <is>
          <t>[플친단독] 어성초 80 수분 진정 앰플옵션=어성초 80 앰플 1개 - 28%off</t>
        </is>
      </c>
      <c r="K14088" s="94" t="n">
        <v>13</v>
      </c>
      <c r="L14088" s="88" t="n">
        <v>201208</v>
      </c>
      <c r="M14088" s="88">
        <f>VLOOKUP($Q14088,매칭테이블!$F:$I,2,0)*K14088</f>
        <v/>
      </c>
      <c r="N14088" s="88">
        <f>M14088-M14088*VLOOKUP($Q14088,매칭테이블!$F:$I,3,0)</f>
        <v/>
      </c>
      <c r="O14088" s="88">
        <f>VLOOKUP($Q14088,매칭테이블!$F:$I,4,0)*K14088</f>
        <v/>
      </c>
      <c r="P14088" s="152">
        <f>M14088/1.1</f>
        <v/>
      </c>
      <c r="Q14088" s="88">
        <f>F14088&amp;E14088&amp;G14088&amp;L14088</f>
        <v/>
      </c>
    </row>
    <row r="14089">
      <c r="B14089" s="128" t="n">
        <v>44218</v>
      </c>
      <c r="C14089" s="88">
        <f>TEXT(B14089,"aaa")</f>
        <v/>
      </c>
      <c r="D14089" s="94" t="n"/>
      <c r="E14089" s="88">
        <f>INDEX(매칭테이블!C:D,MATCH(RD!G14089,매칭테이블!D:D,0),1)</f>
        <v/>
      </c>
      <c r="F14089" s="94" t="inlineStr">
        <is>
          <t>카페24</t>
        </is>
      </c>
      <c r="G14089" s="94" t="inlineStr">
        <is>
          <t>[플친단독] 어성초 80 수분 진정 앰플옵션=어성초 80 앰플 2+1 EVENT (무료배송)</t>
        </is>
      </c>
      <c r="K14089" s="94" t="n">
        <v>5</v>
      </c>
      <c r="L14089" s="88" t="n">
        <v>201208</v>
      </c>
      <c r="M14089" s="88">
        <f>VLOOKUP($Q14089,매칭테이블!$F:$I,2,0)*K14089</f>
        <v/>
      </c>
      <c r="N14089" s="88">
        <f>M14089-M14089*VLOOKUP($Q14089,매칭테이블!$F:$I,3,0)</f>
        <v/>
      </c>
      <c r="O14089" s="88">
        <f>VLOOKUP($Q14089,매칭테이블!$F:$I,4,0)*K14089</f>
        <v/>
      </c>
      <c r="P14089" s="152">
        <f>M14089/1.1</f>
        <v/>
      </c>
      <c r="Q14089" s="88">
        <f>F14089&amp;E14089&amp;G14089&amp;L14089</f>
        <v/>
      </c>
    </row>
    <row r="14090">
      <c r="B14090" s="128" t="n">
        <v>44218</v>
      </c>
      <c r="C14090" s="88">
        <f>TEXT(B14090,"aaa")</f>
        <v/>
      </c>
      <c r="D14090" s="94" t="n"/>
      <c r="E14090" s="88">
        <f>INDEX(매칭테이블!C:D,MATCH(RD!G14090,매칭테이블!D:D,0),1)</f>
        <v/>
      </c>
      <c r="F14090" s="94" t="inlineStr">
        <is>
          <t>카페24</t>
        </is>
      </c>
      <c r="G14090" s="94" t="inlineStr">
        <is>
          <t>대용량 어성초 77 수딩 토너 500ml옵션=대용량 어성초 77 토너 1개 - 27% OFF</t>
        </is>
      </c>
      <c r="K14090" s="94" t="n">
        <v>24</v>
      </c>
      <c r="L14090" s="88" t="n">
        <v>201208</v>
      </c>
      <c r="M14090" s="88">
        <f>VLOOKUP($Q14090,매칭테이블!$F:$I,2,0)*K14090</f>
        <v/>
      </c>
      <c r="N14090" s="88">
        <f>M14090-M14090*VLOOKUP($Q14090,매칭테이블!$F:$I,3,0)</f>
        <v/>
      </c>
      <c r="O14090" s="88">
        <f>VLOOKUP($Q14090,매칭테이블!$F:$I,4,0)*K14090</f>
        <v/>
      </c>
      <c r="P14090" s="152">
        <f>M14090/1.1</f>
        <v/>
      </c>
      <c r="Q14090" s="88">
        <f>F14090&amp;E14090&amp;G14090&amp;L14090</f>
        <v/>
      </c>
    </row>
    <row r="14091">
      <c r="B14091" s="128" t="n">
        <v>44218</v>
      </c>
      <c r="C14091" s="88">
        <f>TEXT(B14091,"aaa")</f>
        <v/>
      </c>
      <c r="D14091" s="94" t="n"/>
      <c r="E14091" s="88">
        <f>INDEX(매칭테이블!C:D,MATCH(RD!G14091,매칭테이블!D:D,0),1)</f>
        <v/>
      </c>
      <c r="F14091" s="94" t="inlineStr">
        <is>
          <t>카페24</t>
        </is>
      </c>
      <c r="G14091" s="94" t="inlineStr">
        <is>
          <t>대용량 어성초 77 수딩 토너 500ml화장솜(선택)=촉촉 스킨팩 화장솜</t>
        </is>
      </c>
      <c r="K14091" s="94" t="n">
        <v>12</v>
      </c>
      <c r="L14091" s="88" t="n">
        <v>201208</v>
      </c>
      <c r="M14091" s="88">
        <f>VLOOKUP($Q14091,매칭테이블!$F:$I,2,0)*K14091</f>
        <v/>
      </c>
      <c r="N14091" s="88">
        <f>M14091-M14091*VLOOKUP($Q14091,매칭테이블!$F:$I,3,0)</f>
        <v/>
      </c>
      <c r="O14091" s="88">
        <f>VLOOKUP($Q14091,매칭테이블!$F:$I,4,0)*K14091</f>
        <v/>
      </c>
      <c r="P14091" s="152">
        <f>M14091/1.1</f>
        <v/>
      </c>
      <c r="Q14091" s="88">
        <f>F14091&amp;E14091&amp;G14091&amp;L14091</f>
        <v/>
      </c>
    </row>
    <row r="14092">
      <c r="B14092" s="128" t="n">
        <v>44218</v>
      </c>
      <c r="C14092" s="88">
        <f>TEXT(B14092,"aaa")</f>
        <v/>
      </c>
      <c r="D14092" s="94" t="n"/>
      <c r="E14092" s="88">
        <f>INDEX(매칭테이블!C:D,MATCH(RD!G14092,매칭테이블!D:D,0),1)</f>
        <v/>
      </c>
      <c r="F14092" s="94" t="inlineStr">
        <is>
          <t>카페24</t>
        </is>
      </c>
      <c r="G14092" s="94" t="inlineStr">
        <is>
          <t>어성초 70 데일리 릴리프 로션로션=어성초 70 데일리 릴리프 로션 1개 -20% off</t>
        </is>
      </c>
      <c r="K14092" s="94" t="n">
        <v>10</v>
      </c>
      <c r="L14092" s="88" t="n">
        <v>201208</v>
      </c>
      <c r="M14092" s="88">
        <f>VLOOKUP($Q14092,매칭테이블!$F:$I,2,0)*K14092</f>
        <v/>
      </c>
      <c r="N14092" s="88">
        <f>M14092-M14092*VLOOKUP($Q14092,매칭테이블!$F:$I,3,0)</f>
        <v/>
      </c>
      <c r="O14092" s="88">
        <f>VLOOKUP($Q14092,매칭테이블!$F:$I,4,0)*K14092</f>
        <v/>
      </c>
      <c r="P14092" s="152">
        <f>M14092/1.1</f>
        <v/>
      </c>
      <c r="Q14092" s="88">
        <f>F14092&amp;E14092&amp;G14092&amp;L14092</f>
        <v/>
      </c>
    </row>
    <row r="14093">
      <c r="B14093" s="128" t="n">
        <v>44218</v>
      </c>
      <c r="C14093" s="88">
        <f>TEXT(B14093,"aaa")</f>
        <v/>
      </c>
      <c r="D14093" s="94" t="n"/>
      <c r="E14093" s="88">
        <f>INDEX(매칭테이블!C:D,MATCH(RD!G14093,매칭테이블!D:D,0),1)</f>
        <v/>
      </c>
      <c r="F14093" s="94" t="inlineStr">
        <is>
          <t>카페24</t>
        </is>
      </c>
      <c r="G14093" s="94" t="inlineStr">
        <is>
          <t>어성초 70 데일리 릴리프 로션로션=어성초 70 데일리 릴리프 로션 2개 -30% off</t>
        </is>
      </c>
      <c r="K14093" s="94" t="n">
        <v>1</v>
      </c>
      <c r="L14093" s="88" t="n">
        <v>201208</v>
      </c>
      <c r="M14093" s="88">
        <f>VLOOKUP($Q14093,매칭테이블!$F:$I,2,0)*K14093</f>
        <v/>
      </c>
      <c r="N14093" s="88">
        <f>M14093-M14093*VLOOKUP($Q14093,매칭테이블!$F:$I,3,0)</f>
        <v/>
      </c>
      <c r="O14093" s="88">
        <f>VLOOKUP($Q14093,매칭테이블!$F:$I,4,0)*K14093</f>
        <v/>
      </c>
      <c r="P14093" s="152">
        <f>M14093/1.1</f>
        <v/>
      </c>
      <c r="Q14093" s="88">
        <f>F14093&amp;E14093&amp;G14093&amp;L14093</f>
        <v/>
      </c>
    </row>
    <row r="14094">
      <c r="B14094" s="128" t="n">
        <v>44218</v>
      </c>
      <c r="C14094" s="88">
        <f>TEXT(B14094,"aaa")</f>
        <v/>
      </c>
      <c r="D14094" s="94" t="n"/>
      <c r="E14094" s="88">
        <f>INDEX(매칭테이블!C:D,MATCH(RD!G14094,매칭테이블!D:D,0),1)</f>
        <v/>
      </c>
      <c r="F14094" s="94" t="inlineStr">
        <is>
          <t>카페24</t>
        </is>
      </c>
      <c r="G14094" s="94" t="inlineStr">
        <is>
          <t>어성초 70 데일리 릴리프 로션로션=어성초 77토너 + 어성초 70 로션 수분 보충 세트 -30% off</t>
        </is>
      </c>
      <c r="K14094" s="94" t="n">
        <v>1</v>
      </c>
      <c r="L14094" s="88" t="n">
        <v>201208</v>
      </c>
      <c r="M14094" s="88">
        <f>VLOOKUP($Q14094,매칭테이블!$F:$I,2,0)*K14094</f>
        <v/>
      </c>
      <c r="N14094" s="88">
        <f>M14094-M14094*VLOOKUP($Q14094,매칭테이블!$F:$I,3,0)</f>
        <v/>
      </c>
      <c r="O14094" s="88">
        <f>VLOOKUP($Q14094,매칭테이블!$F:$I,4,0)*K14094</f>
        <v/>
      </c>
      <c r="P14094" s="152">
        <f>M14094/1.1</f>
        <v/>
      </c>
      <c r="Q14094" s="88">
        <f>F14094&amp;E14094&amp;G14094&amp;L14094</f>
        <v/>
      </c>
    </row>
    <row r="14095">
      <c r="B14095" s="128" t="n">
        <v>44218</v>
      </c>
      <c r="C14095" s="88">
        <f>TEXT(B14095,"aaa")</f>
        <v/>
      </c>
      <c r="D14095" s="94" t="n"/>
      <c r="E14095" s="88">
        <f>INDEX(매칭테이블!C:D,MATCH(RD!G14095,매칭테이블!D:D,0),1)</f>
        <v/>
      </c>
      <c r="F14095" s="94" t="inlineStr">
        <is>
          <t>카페24</t>
        </is>
      </c>
      <c r="G14095" s="94" t="inlineStr">
        <is>
          <t>어성초 70 머드 크림 마스크옵션=어성초 70 머드 크림 마스크-20% off</t>
        </is>
      </c>
      <c r="K14095" s="94" t="n">
        <v>4</v>
      </c>
      <c r="L14095" s="88" t="n">
        <v>201208</v>
      </c>
      <c r="M14095" s="88">
        <f>VLOOKUP($Q14095,매칭테이블!$F:$I,2,0)*K14095</f>
        <v/>
      </c>
      <c r="N14095" s="88">
        <f>M14095-M14095*VLOOKUP($Q14095,매칭테이블!$F:$I,3,0)</f>
        <v/>
      </c>
      <c r="O14095" s="88">
        <f>VLOOKUP($Q14095,매칭테이블!$F:$I,4,0)*K14095</f>
        <v/>
      </c>
      <c r="P14095" s="152">
        <f>M14095/1.1</f>
        <v/>
      </c>
      <c r="Q14095" s="88">
        <f>F14095&amp;E14095&amp;G14095&amp;L14095</f>
        <v/>
      </c>
    </row>
    <row r="14096">
      <c r="B14096" s="128" t="n">
        <v>44218</v>
      </c>
      <c r="C14096" s="88">
        <f>TEXT(B14096,"aaa")</f>
        <v/>
      </c>
      <c r="D14096" s="94" t="n"/>
      <c r="E14096" s="88">
        <f>INDEX(매칭테이블!C:D,MATCH(RD!G14096,매칭테이블!D:D,0),1)</f>
        <v/>
      </c>
      <c r="F14096" s="94" t="inlineStr">
        <is>
          <t>카페24</t>
        </is>
      </c>
      <c r="G14096" s="94" t="inlineStr">
        <is>
          <t>어성초 70 인텐스 카밍 크림크림=어성초 70 인텐스 카밍 크림 1개 (-20%)</t>
        </is>
      </c>
      <c r="K14096" s="94" t="n">
        <v>3</v>
      </c>
      <c r="L14096" s="88" t="n">
        <v>201208</v>
      </c>
      <c r="M14096" s="88">
        <f>VLOOKUP($Q14096,매칭테이블!$F:$I,2,0)*K14096</f>
        <v/>
      </c>
      <c r="N14096" s="88">
        <f>M14096-M14096*VLOOKUP($Q14096,매칭테이블!$F:$I,3,0)</f>
        <v/>
      </c>
      <c r="O14096" s="88">
        <f>VLOOKUP($Q14096,매칭테이블!$F:$I,4,0)*K14096</f>
        <v/>
      </c>
      <c r="P14096" s="152">
        <f>M14096/1.1</f>
        <v/>
      </c>
      <c r="Q14096" s="88">
        <f>F14096&amp;E14096&amp;G14096&amp;L14096</f>
        <v/>
      </c>
    </row>
    <row r="14097">
      <c r="B14097" s="128" t="n">
        <v>44218</v>
      </c>
      <c r="C14097" s="88">
        <f>TEXT(B14097,"aaa")</f>
        <v/>
      </c>
      <c r="D14097" s="94" t="n"/>
      <c r="E14097" s="88">
        <f>INDEX(매칭테이블!C:D,MATCH(RD!G14097,매칭테이블!D:D,0),1)</f>
        <v/>
      </c>
      <c r="F14097" s="94" t="inlineStr">
        <is>
          <t>카페24</t>
        </is>
      </c>
      <c r="G14097" s="94" t="inlineStr">
        <is>
          <t>어성초 70 인텐스 카밍 크림크림=어성초 토너 250ml + 카밍 크림 50ml (-30%)</t>
        </is>
      </c>
      <c r="K14097" s="94" t="n">
        <v>2</v>
      </c>
      <c r="L14097" s="88" t="n">
        <v>201208</v>
      </c>
      <c r="M14097" s="88">
        <f>VLOOKUP($Q14097,매칭테이블!$F:$I,2,0)*K14097</f>
        <v/>
      </c>
      <c r="N14097" s="88">
        <f>M14097-M14097*VLOOKUP($Q14097,매칭테이블!$F:$I,3,0)</f>
        <v/>
      </c>
      <c r="O14097" s="88">
        <f>VLOOKUP($Q14097,매칭테이블!$F:$I,4,0)*K14097</f>
        <v/>
      </c>
      <c r="P14097" s="152">
        <f>M14097/1.1</f>
        <v/>
      </c>
      <c r="Q14097" s="88">
        <f>F14097&amp;E14097&amp;G14097&amp;L14097</f>
        <v/>
      </c>
    </row>
    <row r="14098">
      <c r="B14098" s="128" t="n">
        <v>44218</v>
      </c>
      <c r="C14098" s="88">
        <f>TEXT(B14098,"aaa")</f>
        <v/>
      </c>
      <c r="D14098" s="94" t="n"/>
      <c r="E14098" s="88">
        <f>INDEX(매칭테이블!C:D,MATCH(RD!G14098,매칭테이블!D:D,0),1)</f>
        <v/>
      </c>
      <c r="F14098" s="94" t="inlineStr">
        <is>
          <t>카페24</t>
        </is>
      </c>
      <c r="G14098" s="94" t="inlineStr">
        <is>
          <t>어성초 77 수딩 토너옵션=어성초 77 토너 1개-20% off</t>
        </is>
      </c>
      <c r="K14098" s="94" t="n">
        <v>39</v>
      </c>
      <c r="L14098" s="88" t="n">
        <v>201208</v>
      </c>
      <c r="M14098" s="88">
        <f>VLOOKUP($Q14098,매칭테이블!$F:$I,2,0)*K14098</f>
        <v/>
      </c>
      <c r="N14098" s="88">
        <f>M14098-M14098*VLOOKUP($Q14098,매칭테이블!$F:$I,3,0)</f>
        <v/>
      </c>
      <c r="O14098" s="88">
        <f>VLOOKUP($Q14098,매칭테이블!$F:$I,4,0)*K14098</f>
        <v/>
      </c>
      <c r="P14098" s="152">
        <f>M14098/1.1</f>
        <v/>
      </c>
      <c r="Q14098" s="88">
        <f>F14098&amp;E14098&amp;G14098&amp;L14098</f>
        <v/>
      </c>
    </row>
    <row r="14099">
      <c r="B14099" s="128" t="n">
        <v>44218</v>
      </c>
      <c r="C14099" s="88">
        <f>TEXT(B14099,"aaa")</f>
        <v/>
      </c>
      <c r="D14099" s="94" t="n"/>
      <c r="E14099" s="88">
        <f>INDEX(매칭테이블!C:D,MATCH(RD!G14099,매칭테이블!D:D,0),1)</f>
        <v/>
      </c>
      <c r="F14099" s="94" t="inlineStr">
        <is>
          <t>카페24</t>
        </is>
      </c>
      <c r="G14099" s="94" t="inlineStr">
        <is>
          <t>어성초 77 수딩 토너옵션=BEST어성초 77 토너 2개-30% off (무료배송)</t>
        </is>
      </c>
      <c r="K14099" s="94" t="n">
        <v>42</v>
      </c>
      <c r="L14099" s="88" t="n">
        <v>201208</v>
      </c>
      <c r="M14099" s="88">
        <f>VLOOKUP($Q14099,매칭테이블!$F:$I,2,0)*K14099</f>
        <v/>
      </c>
      <c r="N14099" s="88">
        <f>M14099-M14099*VLOOKUP($Q14099,매칭테이블!$F:$I,3,0)</f>
        <v/>
      </c>
      <c r="O14099" s="88">
        <f>VLOOKUP($Q14099,매칭테이블!$F:$I,4,0)*K14099</f>
        <v/>
      </c>
      <c r="P14099" s="152">
        <f>M14099/1.1</f>
        <v/>
      </c>
      <c r="Q14099" s="88">
        <f>F14099&amp;E14099&amp;G14099&amp;L14099</f>
        <v/>
      </c>
    </row>
    <row r="14100">
      <c r="B14100" s="128" t="n">
        <v>44218</v>
      </c>
      <c r="C14100" s="88">
        <f>TEXT(B14100,"aaa")</f>
        <v/>
      </c>
      <c r="D14100" s="94" t="n"/>
      <c r="E14100" s="88">
        <f>INDEX(매칭테이블!C:D,MATCH(RD!G14100,매칭테이블!D:D,0),1)</f>
        <v/>
      </c>
      <c r="F14100" s="94" t="inlineStr">
        <is>
          <t>카페24</t>
        </is>
      </c>
      <c r="G14100" s="94" t="inlineStr">
        <is>
          <t>어성초 77 수딩 토너옵션=어성초 77토너1개 + 어성초77패드1개 -30% off (무료배송)</t>
        </is>
      </c>
      <c r="K14100" s="94" t="n">
        <v>14</v>
      </c>
      <c r="L14100" s="88" t="n">
        <v>201208</v>
      </c>
      <c r="M14100" s="88">
        <f>VLOOKUP($Q14100,매칭테이블!$F:$I,2,0)*K14100</f>
        <v/>
      </c>
      <c r="N14100" s="88">
        <f>M14100-M14100*VLOOKUP($Q14100,매칭테이블!$F:$I,3,0)</f>
        <v/>
      </c>
      <c r="O14100" s="88">
        <f>VLOOKUP($Q14100,매칭테이블!$F:$I,4,0)*K14100</f>
        <v/>
      </c>
      <c r="P14100" s="152">
        <f>M14100/1.1</f>
        <v/>
      </c>
      <c r="Q14100" s="88">
        <f>F14100&amp;E14100&amp;G14100&amp;L14100</f>
        <v/>
      </c>
    </row>
    <row r="14101">
      <c r="B14101" s="128" t="n">
        <v>44218</v>
      </c>
      <c r="C14101" s="88">
        <f>TEXT(B14101,"aaa")</f>
        <v/>
      </c>
      <c r="D14101" s="94" t="n"/>
      <c r="E14101" s="88">
        <f>INDEX(매칭테이블!C:D,MATCH(RD!G14101,매칭테이블!D:D,0),1)</f>
        <v/>
      </c>
      <c r="F14101" s="94" t="inlineStr">
        <is>
          <t>카페24</t>
        </is>
      </c>
      <c r="G14101" s="94" t="inlineStr">
        <is>
          <t>어성초 77 수딩 토너화장솜(선택)=촉촉 스킨팩 화장솜</t>
        </is>
      </c>
      <c r="K14101" s="94" t="n">
        <v>32</v>
      </c>
      <c r="L14101" s="88" t="n">
        <v>201208</v>
      </c>
      <c r="M14101" s="88">
        <f>VLOOKUP($Q14101,매칭테이블!$F:$I,2,0)*K14101</f>
        <v/>
      </c>
      <c r="N14101" s="88">
        <f>M14101-M14101*VLOOKUP($Q14101,매칭테이블!$F:$I,3,0)</f>
        <v/>
      </c>
      <c r="O14101" s="88">
        <f>VLOOKUP($Q14101,매칭테이블!$F:$I,4,0)*K14101</f>
        <v/>
      </c>
      <c r="P14101" s="152">
        <f>M14101/1.1</f>
        <v/>
      </c>
      <c r="Q14101" s="88">
        <f>F14101&amp;E14101&amp;G14101&amp;L14101</f>
        <v/>
      </c>
    </row>
    <row r="14102">
      <c r="B14102" s="128" t="n">
        <v>44218</v>
      </c>
      <c r="C14102" s="88">
        <f>TEXT(B14102,"aaa")</f>
        <v/>
      </c>
      <c r="D14102" s="94" t="n"/>
      <c r="E14102" s="88">
        <f>INDEX(매칭테이블!C:D,MATCH(RD!G14102,매칭테이블!D:D,0),1)</f>
        <v/>
      </c>
      <c r="F14102" s="94" t="inlineStr">
        <is>
          <t>카페24</t>
        </is>
      </c>
      <c r="G14102" s="94" t="inlineStr">
        <is>
          <t>어성초 77 수딩 토너토너(필수)=(대용량) 어성초 77 토너 500ml (무료배송)</t>
        </is>
      </c>
      <c r="K14102" s="94" t="n">
        <v>1</v>
      </c>
      <c r="L14102" s="88" t="n">
        <v>201208</v>
      </c>
      <c r="M14102" s="88">
        <f>VLOOKUP($Q14102,매칭테이블!$F:$I,2,0)*K14102</f>
        <v/>
      </c>
      <c r="N14102" s="88">
        <f>M14102-M14102*VLOOKUP($Q14102,매칭테이블!$F:$I,3,0)</f>
        <v/>
      </c>
      <c r="O14102" s="88">
        <f>VLOOKUP($Q14102,매칭테이블!$F:$I,4,0)*K14102</f>
        <v/>
      </c>
      <c r="P14102" s="152">
        <f>M14102/1.1</f>
        <v/>
      </c>
      <c r="Q14102" s="88">
        <f>F14102&amp;E14102&amp;G14102&amp;L14102</f>
        <v/>
      </c>
    </row>
    <row r="14103">
      <c r="B14103" s="128" t="n">
        <v>44218</v>
      </c>
      <c r="C14103" s="88">
        <f>TEXT(B14103,"aaa")</f>
        <v/>
      </c>
      <c r="D14103" s="94" t="n"/>
      <c r="E14103" s="88">
        <f>INDEX(매칭테이블!C:D,MATCH(RD!G14103,매칭테이블!D:D,0),1)</f>
        <v/>
      </c>
      <c r="F14103" s="94" t="inlineStr">
        <is>
          <t>카페24</t>
        </is>
      </c>
      <c r="G14103" s="94" t="inlineStr">
        <is>
          <t>어성초 77 진정 마스크옵션=어성초 77 진정 마스크팩 1장</t>
        </is>
      </c>
      <c r="K14103" s="94" t="n">
        <v>3</v>
      </c>
      <c r="L14103" s="88" t="n">
        <v>201208</v>
      </c>
      <c r="M14103" s="88">
        <f>VLOOKUP($Q14103,매칭테이블!$F:$I,2,0)*K14103</f>
        <v/>
      </c>
      <c r="N14103" s="88">
        <f>M14103-M14103*VLOOKUP($Q14103,매칭테이블!$F:$I,3,0)</f>
        <v/>
      </c>
      <c r="O14103" s="88">
        <f>VLOOKUP($Q14103,매칭테이블!$F:$I,4,0)*K14103</f>
        <v/>
      </c>
      <c r="P14103" s="152">
        <f>M14103/1.1</f>
        <v/>
      </c>
      <c r="Q14103" s="88">
        <f>F14103&amp;E14103&amp;G14103&amp;L14103</f>
        <v/>
      </c>
    </row>
    <row r="14104">
      <c r="B14104" s="128" t="n">
        <v>44218</v>
      </c>
      <c r="C14104" s="88">
        <f>TEXT(B14104,"aaa")</f>
        <v/>
      </c>
      <c r="D14104" s="94" t="n"/>
      <c r="E14104" s="88">
        <f>INDEX(매칭테이블!C:D,MATCH(RD!G14104,매칭테이블!D:D,0),1)</f>
        <v/>
      </c>
      <c r="F14104" s="94" t="inlineStr">
        <is>
          <t>카페24</t>
        </is>
      </c>
      <c r="G14104" s="94" t="inlineStr">
        <is>
          <t>어성초 77 진정 마스크옵션=어성초 77 진정 마스크팩 10장-50% off</t>
        </is>
      </c>
      <c r="K14104" s="94" t="n">
        <v>14</v>
      </c>
      <c r="L14104" s="88" t="n">
        <v>201208</v>
      </c>
      <c r="M14104" s="88">
        <f>VLOOKUP($Q14104,매칭테이블!$F:$I,2,0)*K14104</f>
        <v/>
      </c>
      <c r="N14104" s="88">
        <f>M14104-M14104*VLOOKUP($Q14104,매칭테이블!$F:$I,3,0)</f>
        <v/>
      </c>
      <c r="O14104" s="88">
        <f>VLOOKUP($Q14104,매칭테이블!$F:$I,4,0)*K14104</f>
        <v/>
      </c>
      <c r="P14104" s="152">
        <f>M14104/1.1</f>
        <v/>
      </c>
      <c r="Q14104" s="88">
        <f>F14104&amp;E14104&amp;G14104&amp;L14104</f>
        <v/>
      </c>
    </row>
    <row r="14105">
      <c r="B14105" s="128" t="n">
        <v>44218</v>
      </c>
      <c r="C14105" s="88">
        <f>TEXT(B14105,"aaa")</f>
        <v/>
      </c>
      <c r="D14105" s="94" t="n"/>
      <c r="E14105" s="88">
        <f>INDEX(매칭테이블!C:D,MATCH(RD!G14105,매칭테이블!D:D,0),1)</f>
        <v/>
      </c>
      <c r="F14105" s="94" t="inlineStr">
        <is>
          <t>카페24</t>
        </is>
      </c>
      <c r="G14105" s="94" t="inlineStr">
        <is>
          <t>어성초 77 토너</t>
        </is>
      </c>
      <c r="K14105" s="94" t="n">
        <v>1</v>
      </c>
      <c r="L14105" s="88" t="n">
        <v>201208</v>
      </c>
      <c r="M14105" s="88">
        <f>VLOOKUP($Q14105,매칭테이블!$F:$I,2,0)*K14105</f>
        <v/>
      </c>
      <c r="N14105" s="88">
        <f>M14105-M14105*VLOOKUP($Q14105,매칭테이블!$F:$I,3,0)</f>
        <v/>
      </c>
      <c r="O14105" s="88">
        <f>VLOOKUP($Q14105,매칭테이블!$F:$I,4,0)*K14105</f>
        <v/>
      </c>
      <c r="P14105" s="152">
        <f>M14105/1.1</f>
        <v/>
      </c>
      <c r="Q14105" s="88">
        <f>F14105&amp;E14105&amp;G14105&amp;L14105</f>
        <v/>
      </c>
    </row>
    <row r="14106">
      <c r="B14106" s="128" t="n">
        <v>44218</v>
      </c>
      <c r="C14106" s="88">
        <f>TEXT(B14106,"aaa")</f>
        <v/>
      </c>
      <c r="D14106" s="94" t="n"/>
      <c r="E14106" s="88">
        <f>INDEX(매칭테이블!C:D,MATCH(RD!G14106,매칭테이블!D:D,0),1)</f>
        <v/>
      </c>
      <c r="F14106" s="94" t="inlineStr">
        <is>
          <t>카페24</t>
        </is>
      </c>
      <c r="G14106" s="94" t="inlineStr">
        <is>
          <t>어성초 78 수딩 크림</t>
        </is>
      </c>
      <c r="K14106" s="94" t="n">
        <v>6</v>
      </c>
      <c r="L14106" s="88" t="n">
        <v>201208</v>
      </c>
      <c r="M14106" s="88">
        <f>VLOOKUP($Q14106,매칭테이블!$F:$I,2,0)*K14106</f>
        <v/>
      </c>
      <c r="N14106" s="88">
        <f>M14106-M14106*VLOOKUP($Q14106,매칭테이블!$F:$I,3,0)</f>
        <v/>
      </c>
      <c r="O14106" s="88">
        <f>VLOOKUP($Q14106,매칭테이블!$F:$I,4,0)*K14106</f>
        <v/>
      </c>
      <c r="P14106" s="152">
        <f>M14106/1.1</f>
        <v/>
      </c>
      <c r="Q14106" s="88">
        <f>F14106&amp;E14106&amp;G14106&amp;L14106</f>
        <v/>
      </c>
    </row>
    <row r="14107">
      <c r="B14107" s="128" t="n">
        <v>44218</v>
      </c>
      <c r="C14107" s="88">
        <f>TEXT(B14107,"aaa")</f>
        <v/>
      </c>
      <c r="D14107" s="94" t="n"/>
      <c r="E14107" s="88">
        <f>INDEX(매칭테이블!C:D,MATCH(RD!G14107,매칭테이블!D:D,0),1)</f>
        <v/>
      </c>
      <c r="F14107" s="94" t="inlineStr">
        <is>
          <t>카페24</t>
        </is>
      </c>
      <c r="G14107" s="94" t="inlineStr">
        <is>
          <t>어성초 78 수딩 크림</t>
        </is>
      </c>
      <c r="K14107" s="94" t="n">
        <v>1</v>
      </c>
      <c r="L14107" s="88" t="n">
        <v>201208</v>
      </c>
      <c r="M14107" s="88">
        <f>VLOOKUP($Q14107,매칭테이블!$F:$I,2,0)*K14107</f>
        <v/>
      </c>
      <c r="N14107" s="88">
        <f>M14107-M14107*VLOOKUP($Q14107,매칭테이블!$F:$I,3,0)</f>
        <v/>
      </c>
      <c r="O14107" s="88">
        <f>VLOOKUP($Q14107,매칭테이블!$F:$I,4,0)*K14107</f>
        <v/>
      </c>
      <c r="P14107" s="152">
        <f>M14107/1.1</f>
        <v/>
      </c>
      <c r="Q14107" s="88">
        <f>F14107&amp;E14107&amp;G14107&amp;L14107</f>
        <v/>
      </c>
    </row>
    <row r="14108">
      <c r="B14108" s="128" t="n">
        <v>44218</v>
      </c>
      <c r="C14108" s="88">
        <f>TEXT(B14108,"aaa")</f>
        <v/>
      </c>
      <c r="D14108" s="94" t="n"/>
      <c r="E14108" s="88">
        <f>INDEX(매칭테이블!C:D,MATCH(RD!G14108,매칭테이블!D:D,0),1)</f>
        <v/>
      </c>
      <c r="F14108" s="94" t="inlineStr">
        <is>
          <t>카페24</t>
        </is>
      </c>
      <c r="G14108" s="94" t="inlineStr">
        <is>
          <t>어성초 80 수분 진정 앰플앰플=어성초 80 앰플 1개-15%off</t>
        </is>
      </c>
      <c r="K14108" s="94" t="n">
        <v>29</v>
      </c>
      <c r="L14108" s="88" t="n">
        <v>201208</v>
      </c>
      <c r="M14108" s="88">
        <f>VLOOKUP($Q14108,매칭테이블!$F:$I,2,0)*K14108</f>
        <v/>
      </c>
      <c r="N14108" s="88">
        <f>M14108-M14108*VLOOKUP($Q14108,매칭테이블!$F:$I,3,0)</f>
        <v/>
      </c>
      <c r="O14108" s="88">
        <f>VLOOKUP($Q14108,매칭테이블!$F:$I,4,0)*K14108</f>
        <v/>
      </c>
      <c r="P14108" s="152">
        <f>M14108/1.1</f>
        <v/>
      </c>
      <c r="Q14108" s="88">
        <f>F14108&amp;E14108&amp;G14108&amp;L14108</f>
        <v/>
      </c>
    </row>
    <row r="14109">
      <c r="B14109" s="128" t="n">
        <v>44218</v>
      </c>
      <c r="C14109" s="88">
        <f>TEXT(B14109,"aaa")</f>
        <v/>
      </c>
      <c r="D14109" s="94" t="n"/>
      <c r="E14109" s="88">
        <f>INDEX(매칭테이블!C:D,MATCH(RD!G14109,매칭테이블!D:D,0),1)</f>
        <v/>
      </c>
      <c r="F14109" s="94" t="inlineStr">
        <is>
          <t>카페24</t>
        </is>
      </c>
      <c r="G14109" s="94" t="inlineStr">
        <is>
          <t>어성초 80 수분 진정 앰플앰플=어성초 80 앰플 2개-27%off (무료배송)</t>
        </is>
      </c>
      <c r="K14109" s="94" t="n">
        <v>5</v>
      </c>
      <c r="L14109" s="88" t="n">
        <v>201208</v>
      </c>
      <c r="M14109" s="88">
        <f>VLOOKUP($Q14109,매칭테이블!$F:$I,2,0)*K14109</f>
        <v/>
      </c>
      <c r="N14109" s="88">
        <f>M14109-M14109*VLOOKUP($Q14109,매칭테이블!$F:$I,3,0)</f>
        <v/>
      </c>
      <c r="O14109" s="88">
        <f>VLOOKUP($Q14109,매칭테이블!$F:$I,4,0)*K14109</f>
        <v/>
      </c>
      <c r="P14109" s="152">
        <f>M14109/1.1</f>
        <v/>
      </c>
      <c r="Q14109" s="88">
        <f>F14109&amp;E14109&amp;G14109&amp;L14109</f>
        <v/>
      </c>
    </row>
    <row r="14110">
      <c r="B14110" s="128" t="n">
        <v>44218</v>
      </c>
      <c r="C14110" s="88">
        <f>TEXT(B14110,"aaa")</f>
        <v/>
      </c>
      <c r="D14110" s="94" t="n"/>
      <c r="E14110" s="88">
        <f>INDEX(매칭테이블!C:D,MATCH(RD!G14110,매칭테이블!D:D,0),1)</f>
        <v/>
      </c>
      <c r="F14110" s="94" t="inlineStr">
        <is>
          <t>카페24</t>
        </is>
      </c>
      <c r="G14110" s="94" t="inlineStr">
        <is>
          <t>어성초 80 수분 진정 앰플</t>
        </is>
      </c>
      <c r="K14110" s="94" t="n">
        <v>4</v>
      </c>
      <c r="L14110" s="88" t="n">
        <v>201208</v>
      </c>
      <c r="M14110" s="88">
        <f>VLOOKUP($Q14110,매칭테이블!$F:$I,2,0)*K14110</f>
        <v/>
      </c>
      <c r="N14110" s="88">
        <f>M14110-M14110*VLOOKUP($Q14110,매칭테이블!$F:$I,3,0)</f>
        <v/>
      </c>
      <c r="O14110" s="88">
        <f>VLOOKUP($Q14110,매칭테이블!$F:$I,4,0)*K14110</f>
        <v/>
      </c>
      <c r="P14110" s="152">
        <f>M14110/1.1</f>
        <v/>
      </c>
      <c r="Q14110" s="88">
        <f>F14110&amp;E14110&amp;G14110&amp;L14110</f>
        <v/>
      </c>
    </row>
    <row r="14111">
      <c r="B14111" s="128" t="n">
        <v>44218</v>
      </c>
      <c r="C14111" s="88">
        <f>TEXT(B14111,"aaa")</f>
        <v/>
      </c>
      <c r="D14111" s="94" t="n"/>
      <c r="E14111" s="88">
        <f>INDEX(매칭테이블!C:D,MATCH(RD!G14111,매칭테이블!D:D,0),1)</f>
        <v/>
      </c>
      <c r="F14111" s="94" t="inlineStr">
        <is>
          <t>카페24</t>
        </is>
      </c>
      <c r="G14111" s="94" t="inlineStr">
        <is>
          <t>어성초 아크네 바디워시옵션=어성초 아크네 바디워시 1개 -30% off</t>
        </is>
      </c>
      <c r="K14111" s="94" t="n">
        <v>4</v>
      </c>
      <c r="L14111" s="88" t="n">
        <v>201208</v>
      </c>
      <c r="M14111" s="88">
        <f>VLOOKUP($Q14111,매칭테이블!$F:$I,2,0)*K14111</f>
        <v/>
      </c>
      <c r="N14111" s="88">
        <f>M14111-M14111*VLOOKUP($Q14111,매칭테이블!$F:$I,3,0)</f>
        <v/>
      </c>
      <c r="O14111" s="88">
        <f>VLOOKUP($Q14111,매칭테이블!$F:$I,4,0)*K14111</f>
        <v/>
      </c>
      <c r="P14111" s="152">
        <f>M14111/1.1</f>
        <v/>
      </c>
      <c r="Q14111" s="88">
        <f>F14111&amp;E14111&amp;G14111&amp;L14111</f>
        <v/>
      </c>
    </row>
    <row r="14112">
      <c r="B14112" s="128" t="n">
        <v>44218</v>
      </c>
      <c r="C14112" s="88">
        <f>TEXT(B14112,"aaa")</f>
        <v/>
      </c>
      <c r="D14112" s="94" t="n"/>
      <c r="E14112" s="88">
        <f>INDEX(매칭테이블!C:D,MATCH(RD!G14112,매칭테이블!D:D,0),1)</f>
        <v/>
      </c>
      <c r="F14112" s="94" t="inlineStr">
        <is>
          <t>카페24</t>
        </is>
      </c>
      <c r="G14112" s="94" t="inlineStr">
        <is>
          <t>어성초 약산성 클렌징폼클렌징폼=어성초 약산성 클렌징폼 1개 -19%off</t>
        </is>
      </c>
      <c r="K14112" s="94" t="n">
        <v>20</v>
      </c>
      <c r="L14112" s="88" t="n">
        <v>201208</v>
      </c>
      <c r="M14112" s="88">
        <f>VLOOKUP($Q14112,매칭테이블!$F:$I,2,0)*K14112</f>
        <v/>
      </c>
      <c r="N14112" s="88">
        <f>M14112-M14112*VLOOKUP($Q14112,매칭테이블!$F:$I,3,0)</f>
        <v/>
      </c>
      <c r="O14112" s="88">
        <f>VLOOKUP($Q14112,매칭테이블!$F:$I,4,0)*K14112</f>
        <v/>
      </c>
      <c r="P14112" s="152">
        <f>M14112/1.1</f>
        <v/>
      </c>
      <c r="Q14112" s="88">
        <f>F14112&amp;E14112&amp;G14112&amp;L14112</f>
        <v/>
      </c>
    </row>
    <row r="14113">
      <c r="B14113" s="128" t="n">
        <v>44218</v>
      </c>
      <c r="C14113" s="88">
        <f>TEXT(B14113,"aaa")</f>
        <v/>
      </c>
      <c r="D14113" s="94" t="n"/>
      <c r="E14113" s="88">
        <f>INDEX(매칭테이블!C:D,MATCH(RD!G14113,매칭테이블!D:D,0),1)</f>
        <v/>
      </c>
      <c r="F14113" s="94" t="inlineStr">
        <is>
          <t>카페24</t>
        </is>
      </c>
      <c r="G14113" s="94" t="inlineStr">
        <is>
          <t>어성초 약산성 클렌징폼클렌징폼=어성초 약산성 클렌징폼 2개 -25%off</t>
        </is>
      </c>
      <c r="K14113" s="94" t="n">
        <v>4</v>
      </c>
      <c r="L14113" s="88" t="n">
        <v>201208</v>
      </c>
      <c r="M14113" s="88">
        <f>VLOOKUP($Q14113,매칭테이블!$F:$I,2,0)*K14113</f>
        <v/>
      </c>
      <c r="N14113" s="88">
        <f>M14113-M14113*VLOOKUP($Q14113,매칭테이블!$F:$I,3,0)</f>
        <v/>
      </c>
      <c r="O14113" s="88">
        <f>VLOOKUP($Q14113,매칭테이블!$F:$I,4,0)*K14113</f>
        <v/>
      </c>
      <c r="P14113" s="152">
        <f>M14113/1.1</f>
        <v/>
      </c>
      <c r="Q14113" s="88">
        <f>F14113&amp;E14113&amp;G14113&amp;L14113</f>
        <v/>
      </c>
    </row>
    <row r="14114">
      <c r="B14114" s="128" t="n">
        <v>44218</v>
      </c>
      <c r="C14114" s="88">
        <f>TEXT(B14114,"aaa")</f>
        <v/>
      </c>
      <c r="D14114" s="94" t="n"/>
      <c r="E14114" s="88">
        <f>INDEX(매칭테이블!C:D,MATCH(RD!G14114,매칭테이블!D:D,0),1)</f>
        <v/>
      </c>
      <c r="F14114" s="94" t="inlineStr">
        <is>
          <t>카페24</t>
        </is>
      </c>
      <c r="G14114" s="94" t="inlineStr">
        <is>
          <t>어성초 약산성 클렌징폼클렌징폼=어성초 약산성 클렌징폼 3개 -31%off (무료배송)</t>
        </is>
      </c>
      <c r="K14114" s="94" t="n">
        <v>2</v>
      </c>
      <c r="L14114" s="88" t="n">
        <v>201208</v>
      </c>
      <c r="M14114" s="88">
        <f>VLOOKUP($Q14114,매칭테이블!$F:$I,2,0)*K14114</f>
        <v/>
      </c>
      <c r="N14114" s="88">
        <f>M14114-M14114*VLOOKUP($Q14114,매칭테이블!$F:$I,3,0)</f>
        <v/>
      </c>
      <c r="O14114" s="88">
        <f>VLOOKUP($Q14114,매칭테이블!$F:$I,4,0)*K14114</f>
        <v/>
      </c>
      <c r="P14114" s="152">
        <f>M14114/1.1</f>
        <v/>
      </c>
      <c r="Q14114" s="88">
        <f>F14114&amp;E14114&amp;G14114&amp;L14114</f>
        <v/>
      </c>
    </row>
    <row r="14115">
      <c r="B14115" s="128" t="n">
        <v>44218</v>
      </c>
      <c r="C14115" s="88">
        <f>TEXT(B14115,"aaa")</f>
        <v/>
      </c>
      <c r="D14115" s="94" t="n"/>
      <c r="E14115" s="88">
        <f>INDEX(매칭테이블!C:D,MATCH(RD!G14115,매칭테이블!D:D,0),1)</f>
        <v/>
      </c>
      <c r="F14115" s="94" t="inlineStr">
        <is>
          <t>카페24</t>
        </is>
      </c>
      <c r="G14115" s="94" t="inlineStr">
        <is>
          <t>어성초 약산성 클렌징폼</t>
        </is>
      </c>
      <c r="K14115" s="94" t="n">
        <v>1</v>
      </c>
      <c r="L14115" s="88" t="n">
        <v>201208</v>
      </c>
      <c r="M14115" s="88">
        <f>VLOOKUP($Q14115,매칭테이블!$F:$I,2,0)*K14115</f>
        <v/>
      </c>
      <c r="N14115" s="88">
        <f>M14115-M14115*VLOOKUP($Q14115,매칭테이블!$F:$I,3,0)</f>
        <v/>
      </c>
      <c r="O14115" s="88">
        <f>VLOOKUP($Q14115,매칭테이블!$F:$I,4,0)*K14115</f>
        <v/>
      </c>
      <c r="P14115" s="152">
        <f>M14115/1.1</f>
        <v/>
      </c>
      <c r="Q14115" s="88">
        <f>F14115&amp;E14115&amp;G14115&amp;L14115</f>
        <v/>
      </c>
    </row>
    <row r="14116">
      <c r="B14116" s="128" t="n">
        <v>44218</v>
      </c>
      <c r="C14116" s="88">
        <f>TEXT(B14116,"aaa")</f>
        <v/>
      </c>
      <c r="D14116" s="94" t="n"/>
      <c r="E14116" s="88">
        <f>INDEX(매칭테이블!C:D,MATCH(RD!G14116,매칭테이블!D:D,0),1)</f>
        <v/>
      </c>
      <c r="F14116" s="94" t="inlineStr">
        <is>
          <t>카페24</t>
        </is>
      </c>
      <c r="G14116" s="94" t="inlineStr">
        <is>
          <t>어성초 크림마스크 나이트 솔루션옵션=어성초 크림마스크 나이트 솔루션 10장 (-50%)</t>
        </is>
      </c>
      <c r="K14116" s="94" t="n">
        <v>4</v>
      </c>
      <c r="L14116" s="88" t="n">
        <v>201208</v>
      </c>
      <c r="M14116" s="88">
        <f>VLOOKUP($Q14116,매칭테이블!$F:$I,2,0)*K14116</f>
        <v/>
      </c>
      <c r="N14116" s="88">
        <f>M14116-M14116*VLOOKUP($Q14116,매칭테이블!$F:$I,3,0)</f>
        <v/>
      </c>
      <c r="O14116" s="88">
        <f>VLOOKUP($Q14116,매칭테이블!$F:$I,4,0)*K14116</f>
        <v/>
      </c>
      <c r="P14116" s="152">
        <f>M14116/1.1</f>
        <v/>
      </c>
      <c r="Q14116" s="88">
        <f>F14116&amp;E14116&amp;G14116&amp;L14116</f>
        <v/>
      </c>
    </row>
    <row r="14117">
      <c r="B14117" s="128" t="n">
        <v>44218</v>
      </c>
      <c r="C14117" s="88">
        <f>TEXT(B14117,"aaa")</f>
        <v/>
      </c>
      <c r="D14117" s="94" t="n"/>
      <c r="E14117" s="88">
        <f>INDEX(매칭테이블!C:D,MATCH(RD!G14117,매칭테이블!D:D,0),1)</f>
        <v/>
      </c>
      <c r="F14117" s="94" t="inlineStr">
        <is>
          <t>카페24</t>
        </is>
      </c>
      <c r="G14117" s="94" t="inlineStr">
        <is>
          <t>청귤 비타 잡티 마스크옵션=청귤 비타 잡티 마스크 10장 (50% off)</t>
        </is>
      </c>
      <c r="K14117" s="94" t="n">
        <v>3</v>
      </c>
      <c r="L14117" s="88" t="n">
        <v>201208</v>
      </c>
      <c r="M14117" s="88">
        <f>VLOOKUP($Q14117,매칭테이블!$F:$I,2,0)*K14117</f>
        <v/>
      </c>
      <c r="N14117" s="88">
        <f>M14117-M14117*VLOOKUP($Q14117,매칭테이블!$F:$I,3,0)</f>
        <v/>
      </c>
      <c r="O14117" s="88">
        <f>VLOOKUP($Q14117,매칭테이블!$F:$I,4,0)*K14117</f>
        <v/>
      </c>
      <c r="P14117" s="152">
        <f>M14117/1.1</f>
        <v/>
      </c>
      <c r="Q14117" s="88">
        <f>F14117&amp;E14117&amp;G14117&amp;L14117</f>
        <v/>
      </c>
    </row>
    <row r="14118">
      <c r="B14118" s="128" t="n">
        <v>44218</v>
      </c>
      <c r="C14118" s="88">
        <f>TEXT(B14118,"aaa")</f>
        <v/>
      </c>
      <c r="D14118" s="94" t="n"/>
      <c r="E14118" s="88">
        <f>INDEX(매칭테이블!C:D,MATCH(RD!G14118,매칭테이블!D:D,0),1)</f>
        <v/>
      </c>
      <c r="F14118" s="94" t="inlineStr">
        <is>
          <t>카페24</t>
        </is>
      </c>
      <c r="G14118" s="94" t="inlineStr">
        <is>
          <t>촉촉 스킨팩 화장솜</t>
        </is>
      </c>
      <c r="K14118" s="94" t="n">
        <v>17</v>
      </c>
      <c r="L14118" s="88" t="n">
        <v>201208</v>
      </c>
      <c r="M14118" s="88">
        <f>VLOOKUP($Q14118,매칭테이블!$F:$I,2,0)*K14118</f>
        <v/>
      </c>
      <c r="N14118" s="88">
        <f>M14118-M14118*VLOOKUP($Q14118,매칭테이블!$F:$I,3,0)</f>
        <v/>
      </c>
      <c r="O14118" s="88">
        <f>VLOOKUP($Q14118,매칭테이블!$F:$I,4,0)*K14118</f>
        <v/>
      </c>
      <c r="P14118" s="152">
        <f>M14118/1.1</f>
        <v/>
      </c>
      <c r="Q14118" s="88">
        <f>F14118&amp;E14118&amp;G14118&amp;L14118</f>
        <v/>
      </c>
    </row>
    <row r="14119">
      <c r="B14119" s="128" t="n">
        <v>44218</v>
      </c>
      <c r="C14119" s="88">
        <f>TEXT(B14119,"aaa")</f>
        <v/>
      </c>
      <c r="D14119" s="94" t="n"/>
      <c r="E14119" s="88">
        <f>INDEX(매칭테이블!C:D,MATCH(RD!G14119,매칭테이블!D:D,0),1)</f>
        <v/>
      </c>
      <c r="F14119" s="94" t="inlineStr">
        <is>
          <t>카페24</t>
        </is>
      </c>
      <c r="G14119" s="94" t="inlineStr">
        <is>
          <t>촉촉 스킨팩 화장솜</t>
        </is>
      </c>
      <c r="K14119" s="94" t="n">
        <v>2</v>
      </c>
      <c r="L14119" s="88" t="n">
        <v>201208</v>
      </c>
      <c r="M14119" s="88">
        <f>VLOOKUP($Q14119,매칭테이블!$F:$I,2,0)*K14119</f>
        <v/>
      </c>
      <c r="N14119" s="88">
        <f>M14119-M14119*VLOOKUP($Q14119,매칭테이블!$F:$I,3,0)</f>
        <v/>
      </c>
      <c r="O14119" s="88">
        <f>VLOOKUP($Q14119,매칭테이블!$F:$I,4,0)*K14119</f>
        <v/>
      </c>
      <c r="P14119" s="152">
        <f>M14119/1.1</f>
        <v/>
      </c>
      <c r="Q14119" s="88">
        <f>F14119&amp;E14119&amp;G14119&amp;L14119</f>
        <v/>
      </c>
    </row>
    <row r="14120" customFormat="1" s="94">
      <c r="B14120" s="128" t="n">
        <v>44219</v>
      </c>
      <c r="C14120" s="88">
        <f>TEXT(B14120,"aaa")</f>
        <v/>
      </c>
      <c r="E14120" s="88">
        <f>INDEX(매칭테이블!C:D,MATCH(RD!G14120,매칭테이블!D:D,0),1)</f>
        <v/>
      </c>
      <c r="F14120" s="94" t="inlineStr">
        <is>
          <t>스타일쉐어</t>
        </is>
      </c>
      <c r="G14120" s="94" t="inlineStr">
        <is>
          <t>아누아 어성초 77 토너 250ml</t>
        </is>
      </c>
      <c r="K14120" s="94" t="n">
        <v>4</v>
      </c>
      <c r="L14120" s="88" t="n">
        <v>201208</v>
      </c>
      <c r="M14120" s="88">
        <f>VLOOKUP($Q14120,매칭테이블!$F:$I,2,0)*K14120</f>
        <v/>
      </c>
      <c r="N14120" s="88">
        <f>M14120-M14120*VLOOKUP($Q14120,매칭테이블!$F:$I,3,0)</f>
        <v/>
      </c>
      <c r="O14120" s="88">
        <f>VLOOKUP($Q14120,매칭테이블!$F:$I,4,0)*K14120</f>
        <v/>
      </c>
      <c r="P14120" s="152">
        <f>M14120/1.1</f>
        <v/>
      </c>
      <c r="Q14120" s="88">
        <f>F14120&amp;E14120&amp;G14120&amp;L14120</f>
        <v/>
      </c>
    </row>
    <row r="14121">
      <c r="B14121" s="128" t="n">
        <v>44219</v>
      </c>
      <c r="C14121" s="88">
        <f>TEXT(B14121,"aaa")</f>
        <v/>
      </c>
      <c r="D14121" s="94" t="n"/>
      <c r="E14121" s="88">
        <f>INDEX(매칭테이블!C:D,MATCH(RD!G14121,매칭테이블!D:D,0),1)</f>
        <v/>
      </c>
      <c r="F14121" s="94" t="inlineStr">
        <is>
          <t>카페24</t>
        </is>
      </c>
      <c r="G14121" s="94" t="inlineStr">
        <is>
          <t>[01/27 순차발송] 어성초 77 클리어 패드옵션=어성초 77 클리어 패드 1개-20% off</t>
        </is>
      </c>
      <c r="K14121" s="94" t="n">
        <v>32</v>
      </c>
      <c r="L14121" s="88" t="n">
        <v>201208</v>
      </c>
      <c r="M14121" s="88">
        <f>VLOOKUP($Q14121,매칭테이블!$F:$I,2,0)*K14121</f>
        <v/>
      </c>
      <c r="N14121" s="88">
        <f>M14121-M14121*VLOOKUP($Q14121,매칭테이블!$F:$I,3,0)</f>
        <v/>
      </c>
      <c r="O14121" s="88">
        <f>VLOOKUP($Q14121,매칭테이블!$F:$I,4,0)*K14121</f>
        <v/>
      </c>
      <c r="P14121" s="152">
        <f>M14121/1.1</f>
        <v/>
      </c>
      <c r="Q14121" s="88">
        <f>F14121&amp;E14121&amp;G14121&amp;L14121</f>
        <v/>
      </c>
    </row>
    <row r="14122">
      <c r="B14122" s="128" t="n">
        <v>44219</v>
      </c>
      <c r="C14122" s="88">
        <f>TEXT(B14122,"aaa")</f>
        <v/>
      </c>
      <c r="D14122" s="94" t="n"/>
      <c r="E14122" s="88">
        <f>INDEX(매칭테이블!C:D,MATCH(RD!G14122,매칭테이블!D:D,0),1)</f>
        <v/>
      </c>
      <c r="F14122" s="94" t="inlineStr">
        <is>
          <t>카페24</t>
        </is>
      </c>
      <c r="G14122" s="94" t="inlineStr">
        <is>
          <t>[01/27 순차발송] 어성초 77 클리어 패드옵션=어성초 77 클리어 패드 2개-30% off (무료배송)</t>
        </is>
      </c>
      <c r="K14122" s="94" t="n">
        <v>25</v>
      </c>
      <c r="L14122" s="88" t="n">
        <v>201208</v>
      </c>
      <c r="M14122" s="88">
        <f>VLOOKUP($Q14122,매칭테이블!$F:$I,2,0)*K14122</f>
        <v/>
      </c>
      <c r="N14122" s="88">
        <f>M14122-M14122*VLOOKUP($Q14122,매칭테이블!$F:$I,3,0)</f>
        <v/>
      </c>
      <c r="O14122" s="88">
        <f>VLOOKUP($Q14122,매칭테이블!$F:$I,4,0)*K14122</f>
        <v/>
      </c>
      <c r="P14122" s="152">
        <f>M14122/1.1</f>
        <v/>
      </c>
      <c r="Q14122" s="88">
        <f>F14122&amp;E14122&amp;G14122&amp;L14122</f>
        <v/>
      </c>
    </row>
    <row r="14123">
      <c r="B14123" s="128" t="n">
        <v>44219</v>
      </c>
      <c r="C14123" s="88">
        <f>TEXT(B14123,"aaa")</f>
        <v/>
      </c>
      <c r="D14123" s="94" t="n"/>
      <c r="E14123" s="88">
        <f>INDEX(매칭테이블!C:D,MATCH(RD!G14123,매칭테이블!D:D,0),1)</f>
        <v/>
      </c>
      <c r="F14123" s="94" t="inlineStr">
        <is>
          <t>카페24</t>
        </is>
      </c>
      <c r="G14123" s="94" t="inlineStr">
        <is>
          <t>[01/27 순차발송] 어성초 77 클리어 패드옵션=어성초 77 클리어 패드 2+1 EVENT (무료배송)</t>
        </is>
      </c>
      <c r="K14123" s="94" t="n">
        <v>26</v>
      </c>
      <c r="L14123" s="88" t="n">
        <v>201208</v>
      </c>
      <c r="M14123" s="88">
        <f>VLOOKUP($Q14123,매칭테이블!$F:$I,2,0)*K14123</f>
        <v/>
      </c>
      <c r="N14123" s="88">
        <f>M14123-M14123*VLOOKUP($Q14123,매칭테이블!$F:$I,3,0)</f>
        <v/>
      </c>
      <c r="O14123" s="88">
        <f>VLOOKUP($Q14123,매칭테이블!$F:$I,4,0)*K14123</f>
        <v/>
      </c>
      <c r="P14123" s="152">
        <f>M14123/1.1</f>
        <v/>
      </c>
      <c r="Q14123" s="88">
        <f>F14123&amp;E14123&amp;G14123&amp;L14123</f>
        <v/>
      </c>
    </row>
    <row r="14124">
      <c r="B14124" s="128" t="n">
        <v>44219</v>
      </c>
      <c r="C14124" s="88">
        <f>TEXT(B14124,"aaa")</f>
        <v/>
      </c>
      <c r="D14124" s="94" t="n"/>
      <c r="E14124" s="88">
        <f>INDEX(매칭테이블!C:D,MATCH(RD!G14124,매칭테이블!D:D,0),1)</f>
        <v/>
      </c>
      <c r="F14124" s="94" t="inlineStr">
        <is>
          <t>카페24</t>
        </is>
      </c>
      <c r="G14124" s="94" t="inlineStr">
        <is>
          <t>[01/27 순차발송] 어성초 77 클리어 패드옵션=어성초77토너1개+어성초77패드1개-30% off (무료배송)</t>
        </is>
      </c>
      <c r="K14124" s="94" t="n">
        <v>8</v>
      </c>
      <c r="L14124" s="88" t="n">
        <v>201208</v>
      </c>
      <c r="M14124" s="88">
        <f>VLOOKUP($Q14124,매칭테이블!$F:$I,2,0)*K14124</f>
        <v/>
      </c>
      <c r="N14124" s="88">
        <f>M14124-M14124*VLOOKUP($Q14124,매칭테이블!$F:$I,3,0)</f>
        <v/>
      </c>
      <c r="O14124" s="88">
        <f>VLOOKUP($Q14124,매칭테이블!$F:$I,4,0)*K14124</f>
        <v/>
      </c>
      <c r="P14124" s="152">
        <f>M14124/1.1</f>
        <v/>
      </c>
      <c r="Q14124" s="88">
        <f>F14124&amp;E14124&amp;G14124&amp;L14124</f>
        <v/>
      </c>
    </row>
    <row r="14125">
      <c r="B14125" s="128" t="n">
        <v>44219</v>
      </c>
      <c r="C14125" s="88">
        <f>TEXT(B14125,"aaa")</f>
        <v/>
      </c>
      <c r="D14125" s="94" t="n"/>
      <c r="E14125" s="88">
        <f>INDEX(매칭테이블!C:D,MATCH(RD!G14125,매칭테이블!D:D,0),1)</f>
        <v/>
      </c>
      <c r="F14125" s="94" t="inlineStr">
        <is>
          <t>카페24</t>
        </is>
      </c>
      <c r="G14125" s="94" t="inlineStr">
        <is>
          <t>[01/27 순차발송] 어성초 77 포어 클리어 패드옵션=어성초 77 클리어 패드 2개-30% off (무료배송)</t>
        </is>
      </c>
      <c r="K14125" s="94" t="n">
        <v>2</v>
      </c>
      <c r="L14125" s="88" t="n">
        <v>201208</v>
      </c>
      <c r="M14125" s="88">
        <f>VLOOKUP($Q14125,매칭테이블!$F:$I,2,0)*K14125</f>
        <v/>
      </c>
      <c r="N14125" s="88">
        <f>M14125-M14125*VLOOKUP($Q14125,매칭테이블!$F:$I,3,0)</f>
        <v/>
      </c>
      <c r="O14125" s="88">
        <f>VLOOKUP($Q14125,매칭테이블!$F:$I,4,0)*K14125</f>
        <v/>
      </c>
      <c r="P14125" s="152">
        <f>M14125/1.1</f>
        <v/>
      </c>
      <c r="Q14125" s="88">
        <f>F14125&amp;E14125&amp;G14125&amp;L14125</f>
        <v/>
      </c>
    </row>
    <row r="14126">
      <c r="B14126" s="128" t="n">
        <v>44219</v>
      </c>
      <c r="C14126" s="88">
        <f>TEXT(B14126,"aaa")</f>
        <v/>
      </c>
      <c r="D14126" s="94" t="n"/>
      <c r="E14126" s="88">
        <f>INDEX(매칭테이블!C:D,MATCH(RD!G14126,매칭테이블!D:D,0),1)</f>
        <v/>
      </c>
      <c r="F14126" s="94" t="inlineStr">
        <is>
          <t>카페24</t>
        </is>
      </c>
      <c r="G14126" s="94" t="inlineStr">
        <is>
          <t>[01/27 순차발송] 어성초 77 포어 클리어 패드옵션=어성초 77 클리어 패드 2+1 EVENT (무료배송)</t>
        </is>
      </c>
      <c r="K14126" s="94" t="n">
        <v>3</v>
      </c>
      <c r="L14126" s="88" t="n">
        <v>201208</v>
      </c>
      <c r="M14126" s="88">
        <f>VLOOKUP($Q14126,매칭테이블!$F:$I,2,0)*K14126</f>
        <v/>
      </c>
      <c r="N14126" s="88">
        <f>M14126-M14126*VLOOKUP($Q14126,매칭테이블!$F:$I,3,0)</f>
        <v/>
      </c>
      <c r="O14126" s="88">
        <f>VLOOKUP($Q14126,매칭테이블!$F:$I,4,0)*K14126</f>
        <v/>
      </c>
      <c r="P14126" s="152">
        <f>M14126/1.1</f>
        <v/>
      </c>
      <c r="Q14126" s="88">
        <f>F14126&amp;E14126&amp;G14126&amp;L14126</f>
        <v/>
      </c>
    </row>
    <row r="14127">
      <c r="B14127" s="128" t="n">
        <v>44219</v>
      </c>
      <c r="C14127" s="88">
        <f>TEXT(B14127,"aaa")</f>
        <v/>
      </c>
      <c r="D14127" s="94" t="n"/>
      <c r="E14127" s="88">
        <f>INDEX(매칭테이블!C:D,MATCH(RD!G14127,매칭테이블!D:D,0),1)</f>
        <v/>
      </c>
      <c r="F14127" s="94" t="inlineStr">
        <is>
          <t>카페24</t>
        </is>
      </c>
      <c r="G14127" s="94" t="inlineStr">
        <is>
          <t>[01/27 순차발송] 어성초 77 포어 클리어 패드옵션=어성초77토너1개+어성초77패드1개-30% off (무료배송)</t>
        </is>
      </c>
      <c r="K14127" s="94" t="n">
        <v>1</v>
      </c>
      <c r="L14127" s="88" t="n">
        <v>201208</v>
      </c>
      <c r="M14127" s="88">
        <f>VLOOKUP($Q14127,매칭테이블!$F:$I,2,0)*K14127</f>
        <v/>
      </c>
      <c r="N14127" s="88">
        <f>M14127-M14127*VLOOKUP($Q14127,매칭테이블!$F:$I,3,0)</f>
        <v/>
      </c>
      <c r="O14127" s="88">
        <f>VLOOKUP($Q14127,매칭테이블!$F:$I,4,0)*K14127</f>
        <v/>
      </c>
      <c r="P14127" s="152">
        <f>M14127/1.1</f>
        <v/>
      </c>
      <c r="Q14127" s="88">
        <f>F14127&amp;E14127&amp;G14127&amp;L14127</f>
        <v/>
      </c>
    </row>
    <row r="14128">
      <c r="B14128" s="128" t="n">
        <v>44219</v>
      </c>
      <c r="C14128" s="88">
        <f>TEXT(B14128,"aaa")</f>
        <v/>
      </c>
      <c r="D14128" s="94" t="n"/>
      <c r="E14128" s="88">
        <f>INDEX(매칭테이블!C:D,MATCH(RD!G14128,매칭테이블!D:D,0),1)</f>
        <v/>
      </c>
      <c r="F14128" s="94" t="inlineStr">
        <is>
          <t>카페24</t>
        </is>
      </c>
      <c r="G14128" s="94" t="inlineStr">
        <is>
          <t>[01/27 순차발송] 어성초 77% 패드옵션=어성초 77 클리어 패드 1개-20% off</t>
        </is>
      </c>
      <c r="K14128" s="94" t="n">
        <v>15</v>
      </c>
      <c r="L14128" s="88" t="n">
        <v>201208</v>
      </c>
      <c r="M14128" s="88">
        <f>VLOOKUP($Q14128,매칭테이블!$F:$I,2,0)*K14128</f>
        <v/>
      </c>
      <c r="N14128" s="88">
        <f>M14128-M14128*VLOOKUP($Q14128,매칭테이블!$F:$I,3,0)</f>
        <v/>
      </c>
      <c r="O14128" s="88">
        <f>VLOOKUP($Q14128,매칭테이블!$F:$I,4,0)*K14128</f>
        <v/>
      </c>
      <c r="P14128" s="152">
        <f>M14128/1.1</f>
        <v/>
      </c>
      <c r="Q14128" s="88">
        <f>F14128&amp;E14128&amp;G14128&amp;L14128</f>
        <v/>
      </c>
    </row>
    <row r="14129">
      <c r="B14129" s="128" t="n">
        <v>44219</v>
      </c>
      <c r="C14129" s="88">
        <f>TEXT(B14129,"aaa")</f>
        <v/>
      </c>
      <c r="D14129" s="94" t="n"/>
      <c r="E14129" s="88">
        <f>INDEX(매칭테이블!C:D,MATCH(RD!G14129,매칭테이블!D:D,0),1)</f>
        <v/>
      </c>
      <c r="F14129" s="94" t="inlineStr">
        <is>
          <t>카페24</t>
        </is>
      </c>
      <c r="G14129" s="94" t="inlineStr">
        <is>
          <t>[01/27 순차발송] 어성초 77% 패드옵션=어성초 77 클리어 패드 2개-30% off (무료배송)</t>
        </is>
      </c>
      <c r="K14129" s="94" t="n">
        <v>16</v>
      </c>
      <c r="L14129" s="88" t="n">
        <v>201208</v>
      </c>
      <c r="M14129" s="88">
        <f>VLOOKUP($Q14129,매칭테이블!$F:$I,2,0)*K14129</f>
        <v/>
      </c>
      <c r="N14129" s="88">
        <f>M14129-M14129*VLOOKUP($Q14129,매칭테이블!$F:$I,3,0)</f>
        <v/>
      </c>
      <c r="O14129" s="88">
        <f>VLOOKUP($Q14129,매칭테이블!$F:$I,4,0)*K14129</f>
        <v/>
      </c>
      <c r="P14129" s="152">
        <f>M14129/1.1</f>
        <v/>
      </c>
      <c r="Q14129" s="88">
        <f>F14129&amp;E14129&amp;G14129&amp;L14129</f>
        <v/>
      </c>
    </row>
    <row r="14130">
      <c r="B14130" s="128" t="n">
        <v>44219</v>
      </c>
      <c r="C14130" s="88">
        <f>TEXT(B14130,"aaa")</f>
        <v/>
      </c>
      <c r="D14130" s="94" t="n"/>
      <c r="E14130" s="88">
        <f>INDEX(매칭테이블!C:D,MATCH(RD!G14130,매칭테이블!D:D,0),1)</f>
        <v/>
      </c>
      <c r="F14130" s="94" t="inlineStr">
        <is>
          <t>카페24</t>
        </is>
      </c>
      <c r="G14130" s="94" t="inlineStr">
        <is>
          <t>[01/27 순차발송] 어성초 77% 패드옵션=어성초 77 클리어 패드 2+1 EVENT (무료배송)</t>
        </is>
      </c>
      <c r="K14130" s="94" t="n">
        <v>12</v>
      </c>
      <c r="L14130" s="88" t="n">
        <v>201208</v>
      </c>
      <c r="M14130" s="88">
        <f>VLOOKUP($Q14130,매칭테이블!$F:$I,2,0)*K14130</f>
        <v/>
      </c>
      <c r="N14130" s="88">
        <f>M14130-M14130*VLOOKUP($Q14130,매칭테이블!$F:$I,3,0)</f>
        <v/>
      </c>
      <c r="O14130" s="88">
        <f>VLOOKUP($Q14130,매칭테이블!$F:$I,4,0)*K14130</f>
        <v/>
      </c>
      <c r="P14130" s="152">
        <f>M14130/1.1</f>
        <v/>
      </c>
      <c r="Q14130" s="88">
        <f>F14130&amp;E14130&amp;G14130&amp;L14130</f>
        <v/>
      </c>
    </row>
    <row r="14131">
      <c r="B14131" s="128" t="n">
        <v>44219</v>
      </c>
      <c r="C14131" s="88">
        <f>TEXT(B14131,"aaa")</f>
        <v/>
      </c>
      <c r="D14131" s="94" t="n"/>
      <c r="E14131" s="88">
        <f>INDEX(매칭테이블!C:D,MATCH(RD!G14131,매칭테이블!D:D,0),1)</f>
        <v/>
      </c>
      <c r="F14131" s="94" t="inlineStr">
        <is>
          <t>카페24</t>
        </is>
      </c>
      <c r="G14131" s="94" t="inlineStr">
        <is>
          <t>[01/27 순차발송] 어성초 77% 패드옵션=어성초77토너1개+어성초77패드1개-30% off (무료배송)</t>
        </is>
      </c>
      <c r="K14131" s="94" t="n">
        <v>9</v>
      </c>
      <c r="L14131" s="88" t="n">
        <v>201208</v>
      </c>
      <c r="M14131" s="88">
        <f>VLOOKUP($Q14131,매칭테이블!$F:$I,2,0)*K14131</f>
        <v/>
      </c>
      <c r="N14131" s="88">
        <f>M14131-M14131*VLOOKUP($Q14131,매칭테이블!$F:$I,3,0)</f>
        <v/>
      </c>
      <c r="O14131" s="88">
        <f>VLOOKUP($Q14131,매칭테이블!$F:$I,4,0)*K14131</f>
        <v/>
      </c>
      <c r="P14131" s="152">
        <f>M14131/1.1</f>
        <v/>
      </c>
      <c r="Q14131" s="88">
        <f>F14131&amp;E14131&amp;G14131&amp;L14131</f>
        <v/>
      </c>
    </row>
    <row r="14132">
      <c r="B14132" s="128" t="n">
        <v>44219</v>
      </c>
      <c r="C14132" s="88">
        <f>TEXT(B14132,"aaa")</f>
        <v/>
      </c>
      <c r="D14132" s="94" t="n"/>
      <c r="E14132" s="88">
        <f>INDEX(매칭테이블!C:D,MATCH(RD!G14132,매칭테이블!D:D,0),1)</f>
        <v/>
      </c>
      <c r="F14132" s="94" t="inlineStr">
        <is>
          <t>카페24</t>
        </is>
      </c>
      <c r="G14132" s="94" t="inlineStr">
        <is>
          <t>[수분 보충 세트] 어성초 77 토너 + 어성초 70 로션옵션=어성초 77 토너 250ml + 어성초 70 로션 200ml -30%</t>
        </is>
      </c>
      <c r="K14132" s="94" t="n">
        <v>23</v>
      </c>
      <c r="L14132" s="88" t="n">
        <v>201208</v>
      </c>
      <c r="M14132" s="88">
        <f>VLOOKUP($Q14132,매칭테이블!$F:$I,2,0)*K14132</f>
        <v/>
      </c>
      <c r="N14132" s="88">
        <f>M14132-M14132*VLOOKUP($Q14132,매칭테이블!$F:$I,3,0)</f>
        <v/>
      </c>
      <c r="O14132" s="88">
        <f>VLOOKUP($Q14132,매칭테이블!$F:$I,4,0)*K14132</f>
        <v/>
      </c>
      <c r="P14132" s="152">
        <f>M14132/1.1</f>
        <v/>
      </c>
      <c r="Q14132" s="88">
        <f>F14132&amp;E14132&amp;G14132&amp;L14132</f>
        <v/>
      </c>
    </row>
    <row r="14133">
      <c r="B14133" s="128" t="n">
        <v>44219</v>
      </c>
      <c r="C14133" s="88">
        <f>TEXT(B14133,"aaa")</f>
        <v/>
      </c>
      <c r="D14133" s="94" t="n"/>
      <c r="E14133" s="88">
        <f>INDEX(매칭테이블!C:D,MATCH(RD!G14133,매칭테이블!D:D,0),1)</f>
        <v/>
      </c>
      <c r="F14133" s="94" t="inlineStr">
        <is>
          <t>카페24</t>
        </is>
      </c>
      <c r="G14133" s="94" t="inlineStr">
        <is>
          <t>[어성초 진정 패키지 세트] 대용량 토너 + 앰플 + 수딩 크림 + 마스크팩 10장</t>
        </is>
      </c>
      <c r="K14133" s="94" t="n">
        <v>5</v>
      </c>
      <c r="L14133" s="88" t="n">
        <v>201208</v>
      </c>
      <c r="M14133" s="88">
        <f>VLOOKUP($Q14133,매칭테이블!$F:$I,2,0)*K14133</f>
        <v/>
      </c>
      <c r="N14133" s="88">
        <f>M14133-M14133*VLOOKUP($Q14133,매칭테이블!$F:$I,3,0)</f>
        <v/>
      </c>
      <c r="O14133" s="88">
        <f>VLOOKUP($Q14133,매칭테이블!$F:$I,4,0)*K14133</f>
        <v/>
      </c>
      <c r="P14133" s="152">
        <f>M14133/1.1</f>
        <v/>
      </c>
      <c r="Q14133" s="88">
        <f>F14133&amp;E14133&amp;G14133&amp;L14133</f>
        <v/>
      </c>
    </row>
    <row r="14134">
      <c r="B14134" s="128" t="n">
        <v>44219</v>
      </c>
      <c r="C14134" s="88">
        <f>TEXT(B14134,"aaa")</f>
        <v/>
      </c>
      <c r="D14134" s="94" t="n"/>
      <c r="E14134" s="88">
        <f>INDEX(매칭테이블!C:D,MATCH(RD!G14134,매칭테이블!D:D,0),1)</f>
        <v/>
      </c>
      <c r="F14134" s="94" t="inlineStr">
        <is>
          <t>카페24</t>
        </is>
      </c>
      <c r="G14134" s="94" t="inlineStr">
        <is>
          <t>[플친단독] 어성초 80 수분 진정 앰플옵션=어성초 80 앰플 1개 - 28%off</t>
        </is>
      </c>
      <c r="K14134" s="94" t="n">
        <v>4</v>
      </c>
      <c r="L14134" s="88" t="n">
        <v>201208</v>
      </c>
      <c r="M14134" s="88">
        <f>VLOOKUP($Q14134,매칭테이블!$F:$I,2,0)*K14134</f>
        <v/>
      </c>
      <c r="N14134" s="88">
        <f>M14134-M14134*VLOOKUP($Q14134,매칭테이블!$F:$I,3,0)</f>
        <v/>
      </c>
      <c r="O14134" s="88">
        <f>VLOOKUP($Q14134,매칭테이블!$F:$I,4,0)*K14134</f>
        <v/>
      </c>
      <c r="P14134" s="152">
        <f>M14134/1.1</f>
        <v/>
      </c>
      <c r="Q14134" s="88">
        <f>F14134&amp;E14134&amp;G14134&amp;L14134</f>
        <v/>
      </c>
    </row>
    <row r="14135">
      <c r="B14135" s="128" t="n">
        <v>44219</v>
      </c>
      <c r="C14135" s="88">
        <f>TEXT(B14135,"aaa")</f>
        <v/>
      </c>
      <c r="D14135" s="94" t="n"/>
      <c r="E14135" s="88">
        <f>INDEX(매칭테이블!C:D,MATCH(RD!G14135,매칭테이블!D:D,0),1)</f>
        <v/>
      </c>
      <c r="F14135" s="94" t="inlineStr">
        <is>
          <t>카페24</t>
        </is>
      </c>
      <c r="G14135" s="94" t="inlineStr">
        <is>
          <t>[플친단독] 어성초 80 수분 진정 앰플옵션=어성초 80 앰플 2+1 EVENT (무료배송)</t>
        </is>
      </c>
      <c r="K14135" s="94" t="n">
        <v>3</v>
      </c>
      <c r="L14135" s="88" t="n">
        <v>201208</v>
      </c>
      <c r="M14135" s="88">
        <f>VLOOKUP($Q14135,매칭테이블!$F:$I,2,0)*K14135</f>
        <v/>
      </c>
      <c r="N14135" s="88">
        <f>M14135-M14135*VLOOKUP($Q14135,매칭테이블!$F:$I,3,0)</f>
        <v/>
      </c>
      <c r="O14135" s="88">
        <f>VLOOKUP($Q14135,매칭테이블!$F:$I,4,0)*K14135</f>
        <v/>
      </c>
      <c r="P14135" s="152">
        <f>M14135/1.1</f>
        <v/>
      </c>
      <c r="Q14135" s="88">
        <f>F14135&amp;E14135&amp;G14135&amp;L14135</f>
        <v/>
      </c>
    </row>
    <row r="14136">
      <c r="B14136" s="128" t="n">
        <v>44219</v>
      </c>
      <c r="C14136" s="88">
        <f>TEXT(B14136,"aaa")</f>
        <v/>
      </c>
      <c r="D14136" s="94" t="n"/>
      <c r="E14136" s="88">
        <f>INDEX(매칭테이블!C:D,MATCH(RD!G14136,매칭테이블!D:D,0),1)</f>
        <v/>
      </c>
      <c r="F14136" s="94" t="inlineStr">
        <is>
          <t>카페24</t>
        </is>
      </c>
      <c r="G14136" s="94" t="inlineStr">
        <is>
          <t>대용량 어성초 77 수딩 토너 500ml옵션=대용량 어성초 77 토너 1개 - 27% OFF</t>
        </is>
      </c>
      <c r="K14136" s="94" t="n">
        <v>20</v>
      </c>
      <c r="L14136" s="88" t="n">
        <v>201208</v>
      </c>
      <c r="M14136" s="88">
        <f>VLOOKUP($Q14136,매칭테이블!$F:$I,2,0)*K14136</f>
        <v/>
      </c>
      <c r="N14136" s="88">
        <f>M14136-M14136*VLOOKUP($Q14136,매칭테이블!$F:$I,3,0)</f>
        <v/>
      </c>
      <c r="O14136" s="88">
        <f>VLOOKUP($Q14136,매칭테이블!$F:$I,4,0)*K14136</f>
        <v/>
      </c>
      <c r="P14136" s="152">
        <f>M14136/1.1</f>
        <v/>
      </c>
      <c r="Q14136" s="88">
        <f>F14136&amp;E14136&amp;G14136&amp;L14136</f>
        <v/>
      </c>
    </row>
    <row r="14137">
      <c r="B14137" s="128" t="n">
        <v>44219</v>
      </c>
      <c r="C14137" s="88">
        <f>TEXT(B14137,"aaa")</f>
        <v/>
      </c>
      <c r="D14137" s="94" t="n"/>
      <c r="E14137" s="88">
        <f>INDEX(매칭테이블!C:D,MATCH(RD!G14137,매칭테이블!D:D,0),1)</f>
        <v/>
      </c>
      <c r="F14137" s="94" t="inlineStr">
        <is>
          <t>카페24</t>
        </is>
      </c>
      <c r="G14137" s="94" t="inlineStr">
        <is>
          <t>대용량 어성초 77 수딩 토너 500ml화장솜(선택)=촉촉 스킨팩 화장솜</t>
        </is>
      </c>
      <c r="K14137" s="94" t="n">
        <v>7</v>
      </c>
      <c r="L14137" s="88" t="n">
        <v>201208</v>
      </c>
      <c r="M14137" s="88">
        <f>VLOOKUP($Q14137,매칭테이블!$F:$I,2,0)*K14137</f>
        <v/>
      </c>
      <c r="N14137" s="88">
        <f>M14137-M14137*VLOOKUP($Q14137,매칭테이블!$F:$I,3,0)</f>
        <v/>
      </c>
      <c r="O14137" s="88">
        <f>VLOOKUP($Q14137,매칭테이블!$F:$I,4,0)*K14137</f>
        <v/>
      </c>
      <c r="P14137" s="152">
        <f>M14137/1.1</f>
        <v/>
      </c>
      <c r="Q14137" s="88">
        <f>F14137&amp;E14137&amp;G14137&amp;L14137</f>
        <v/>
      </c>
    </row>
    <row r="14138">
      <c r="B14138" s="128" t="n">
        <v>44219</v>
      </c>
      <c r="C14138" s="88">
        <f>TEXT(B14138,"aaa")</f>
        <v/>
      </c>
      <c r="D14138" s="94" t="n"/>
      <c r="E14138" s="88">
        <f>INDEX(매칭테이블!C:D,MATCH(RD!G14138,매칭테이블!D:D,0),1)</f>
        <v/>
      </c>
      <c r="F14138" s="94" t="inlineStr">
        <is>
          <t>카페24</t>
        </is>
      </c>
      <c r="G14138" s="94" t="inlineStr">
        <is>
          <t>어성초 70 데일리 릴리프 로션로션=어성초 70 데일리 릴리프 로션 1개 -20% off</t>
        </is>
      </c>
      <c r="K14138" s="94" t="n">
        <v>6</v>
      </c>
      <c r="L14138" s="88" t="n">
        <v>201208</v>
      </c>
      <c r="M14138" s="88">
        <f>VLOOKUP($Q14138,매칭테이블!$F:$I,2,0)*K14138</f>
        <v/>
      </c>
      <c r="N14138" s="88">
        <f>M14138-M14138*VLOOKUP($Q14138,매칭테이블!$F:$I,3,0)</f>
        <v/>
      </c>
      <c r="O14138" s="88">
        <f>VLOOKUP($Q14138,매칭테이블!$F:$I,4,0)*K14138</f>
        <v/>
      </c>
      <c r="P14138" s="152">
        <f>M14138/1.1</f>
        <v/>
      </c>
      <c r="Q14138" s="88">
        <f>F14138&amp;E14138&amp;G14138&amp;L14138</f>
        <v/>
      </c>
    </row>
    <row r="14139">
      <c r="B14139" s="128" t="n">
        <v>44219</v>
      </c>
      <c r="C14139" s="88">
        <f>TEXT(B14139,"aaa")</f>
        <v/>
      </c>
      <c r="D14139" s="94" t="n"/>
      <c r="E14139" s="88">
        <f>INDEX(매칭테이블!C:D,MATCH(RD!G14139,매칭테이블!D:D,0),1)</f>
        <v/>
      </c>
      <c r="F14139" s="94" t="inlineStr">
        <is>
          <t>카페24</t>
        </is>
      </c>
      <c r="G14139" s="94" t="inlineStr">
        <is>
          <t>어성초 70 데일리 릴리프 로션로션=어성초 70 데일리 릴리프 로션 2개 -30% off</t>
        </is>
      </c>
      <c r="K14139" s="94" t="n">
        <v>3</v>
      </c>
      <c r="L14139" s="88" t="n">
        <v>201208</v>
      </c>
      <c r="M14139" s="88">
        <f>VLOOKUP($Q14139,매칭테이블!$F:$I,2,0)*K14139</f>
        <v/>
      </c>
      <c r="N14139" s="88">
        <f>M14139-M14139*VLOOKUP($Q14139,매칭테이블!$F:$I,3,0)</f>
        <v/>
      </c>
      <c r="O14139" s="88">
        <f>VLOOKUP($Q14139,매칭테이블!$F:$I,4,0)*K14139</f>
        <v/>
      </c>
      <c r="P14139" s="152">
        <f>M14139/1.1</f>
        <v/>
      </c>
      <c r="Q14139" s="88">
        <f>F14139&amp;E14139&amp;G14139&amp;L14139</f>
        <v/>
      </c>
    </row>
    <row r="14140">
      <c r="B14140" s="128" t="n">
        <v>44219</v>
      </c>
      <c r="C14140" s="88">
        <f>TEXT(B14140,"aaa")</f>
        <v/>
      </c>
      <c r="D14140" s="94" t="n"/>
      <c r="E14140" s="88">
        <f>INDEX(매칭테이블!C:D,MATCH(RD!G14140,매칭테이블!D:D,0),1)</f>
        <v/>
      </c>
      <c r="F14140" s="94" t="inlineStr">
        <is>
          <t>카페24</t>
        </is>
      </c>
      <c r="G14140" s="94" t="inlineStr">
        <is>
          <t>어성초 70 머드 크림 마스크옵션=어성초 70 머드 크림 마스크-20% off</t>
        </is>
      </c>
      <c r="K14140" s="94" t="n">
        <v>1</v>
      </c>
      <c r="L14140" s="88" t="n">
        <v>201208</v>
      </c>
      <c r="M14140" s="88">
        <f>VLOOKUP($Q14140,매칭테이블!$F:$I,2,0)*K14140</f>
        <v/>
      </c>
      <c r="N14140" s="88">
        <f>M14140-M14140*VLOOKUP($Q14140,매칭테이블!$F:$I,3,0)</f>
        <v/>
      </c>
      <c r="O14140" s="88">
        <f>VLOOKUP($Q14140,매칭테이블!$F:$I,4,0)*K14140</f>
        <v/>
      </c>
      <c r="P14140" s="152">
        <f>M14140/1.1</f>
        <v/>
      </c>
      <c r="Q14140" s="88">
        <f>F14140&amp;E14140&amp;G14140&amp;L14140</f>
        <v/>
      </c>
    </row>
    <row r="14141">
      <c r="B14141" s="128" t="n">
        <v>44219</v>
      </c>
      <c r="C14141" s="88">
        <f>TEXT(B14141,"aaa")</f>
        <v/>
      </c>
      <c r="D14141" s="94" t="n"/>
      <c r="E14141" s="88">
        <f>INDEX(매칭테이블!C:D,MATCH(RD!G14141,매칭테이블!D:D,0),1)</f>
        <v/>
      </c>
      <c r="F14141" s="94" t="inlineStr">
        <is>
          <t>카페24</t>
        </is>
      </c>
      <c r="G14141" s="94" t="inlineStr">
        <is>
          <t>어성초 70 머드 크림 마스크옵션=어성초 70 머드 크림 마스크 2개-30% off (무료배송)</t>
        </is>
      </c>
      <c r="K14141" s="94" t="n">
        <v>1</v>
      </c>
      <c r="L14141" s="88" t="n">
        <v>201208</v>
      </c>
      <c r="M14141" s="88">
        <f>VLOOKUP($Q14141,매칭테이블!$F:$I,2,0)*K14141</f>
        <v/>
      </c>
      <c r="N14141" s="88">
        <f>M14141-M14141*VLOOKUP($Q14141,매칭테이블!$F:$I,3,0)</f>
        <v/>
      </c>
      <c r="O14141" s="88">
        <f>VLOOKUP($Q14141,매칭테이블!$F:$I,4,0)*K14141</f>
        <v/>
      </c>
      <c r="P14141" s="152">
        <f>M14141/1.1</f>
        <v/>
      </c>
      <c r="Q14141" s="88">
        <f>F14141&amp;E14141&amp;G14141&amp;L14141</f>
        <v/>
      </c>
    </row>
    <row r="14142">
      <c r="B14142" s="128" t="n">
        <v>44219</v>
      </c>
      <c r="C14142" s="88">
        <f>TEXT(B14142,"aaa")</f>
        <v/>
      </c>
      <c r="D14142" s="94" t="n"/>
      <c r="E14142" s="88">
        <f>INDEX(매칭테이블!C:D,MATCH(RD!G14142,매칭테이블!D:D,0),1)</f>
        <v/>
      </c>
      <c r="F14142" s="94" t="inlineStr">
        <is>
          <t>카페24</t>
        </is>
      </c>
      <c r="G14142" s="94" t="inlineStr">
        <is>
          <t>어성초 70 머드 크림 마스크</t>
        </is>
      </c>
      <c r="K14142" s="94" t="n">
        <v>1</v>
      </c>
      <c r="L14142" s="88" t="n">
        <v>201208</v>
      </c>
      <c r="M14142" s="88">
        <f>VLOOKUP($Q14142,매칭테이블!$F:$I,2,0)*K14142</f>
        <v/>
      </c>
      <c r="N14142" s="88">
        <f>M14142-M14142*VLOOKUP($Q14142,매칭테이블!$F:$I,3,0)</f>
        <v/>
      </c>
      <c r="O14142" s="88">
        <f>VLOOKUP($Q14142,매칭테이블!$F:$I,4,0)*K14142</f>
        <v/>
      </c>
      <c r="P14142" s="152">
        <f>M14142/1.1</f>
        <v/>
      </c>
      <c r="Q14142" s="88">
        <f>F14142&amp;E14142&amp;G14142&amp;L14142</f>
        <v/>
      </c>
    </row>
    <row r="14143">
      <c r="B14143" s="128" t="n">
        <v>44219</v>
      </c>
      <c r="C14143" s="88">
        <f>TEXT(B14143,"aaa")</f>
        <v/>
      </c>
      <c r="D14143" s="94" t="n"/>
      <c r="E14143" s="88">
        <f>INDEX(매칭테이블!C:D,MATCH(RD!G14143,매칭테이블!D:D,0),1)</f>
        <v/>
      </c>
      <c r="F14143" s="94" t="inlineStr">
        <is>
          <t>카페24</t>
        </is>
      </c>
      <c r="G14143" s="94" t="inlineStr">
        <is>
          <t>어성초 70 인텐스 카밍 크림크림=어성초 70 인텐스 카밍 크림 1개 (-20%)</t>
        </is>
      </c>
      <c r="K14143" s="94" t="n">
        <v>2</v>
      </c>
      <c r="L14143" s="88" t="n">
        <v>201208</v>
      </c>
      <c r="M14143" s="88">
        <f>VLOOKUP($Q14143,매칭테이블!$F:$I,2,0)*K14143</f>
        <v/>
      </c>
      <c r="N14143" s="88">
        <f>M14143-M14143*VLOOKUP($Q14143,매칭테이블!$F:$I,3,0)</f>
        <v/>
      </c>
      <c r="O14143" s="88">
        <f>VLOOKUP($Q14143,매칭테이블!$F:$I,4,0)*K14143</f>
        <v/>
      </c>
      <c r="P14143" s="152">
        <f>M14143/1.1</f>
        <v/>
      </c>
      <c r="Q14143" s="88">
        <f>F14143&amp;E14143&amp;G14143&amp;L14143</f>
        <v/>
      </c>
    </row>
    <row r="14144">
      <c r="B14144" s="128" t="n">
        <v>44219</v>
      </c>
      <c r="C14144" s="88">
        <f>TEXT(B14144,"aaa")</f>
        <v/>
      </c>
      <c r="D14144" s="94" t="n"/>
      <c r="E14144" s="88">
        <f>INDEX(매칭테이블!C:D,MATCH(RD!G14144,매칭테이블!D:D,0),1)</f>
        <v/>
      </c>
      <c r="F14144" s="94" t="inlineStr">
        <is>
          <t>카페24</t>
        </is>
      </c>
      <c r="G14144" s="94" t="inlineStr">
        <is>
          <t>어성초 77 수딩 토너옵션=어성초 77 토너 1개-20% off</t>
        </is>
      </c>
      <c r="K14144" s="94" t="n">
        <v>40</v>
      </c>
      <c r="L14144" s="88" t="n">
        <v>201208</v>
      </c>
      <c r="M14144" s="88">
        <f>VLOOKUP($Q14144,매칭테이블!$F:$I,2,0)*K14144</f>
        <v/>
      </c>
      <c r="N14144" s="88">
        <f>M14144-M14144*VLOOKUP($Q14144,매칭테이블!$F:$I,3,0)</f>
        <v/>
      </c>
      <c r="O14144" s="88">
        <f>VLOOKUP($Q14144,매칭테이블!$F:$I,4,0)*K14144</f>
        <v/>
      </c>
      <c r="P14144" s="152">
        <f>M14144/1.1</f>
        <v/>
      </c>
      <c r="Q14144" s="88">
        <f>F14144&amp;E14144&amp;G14144&amp;L14144</f>
        <v/>
      </c>
    </row>
    <row r="14145">
      <c r="B14145" s="128" t="n">
        <v>44219</v>
      </c>
      <c r="C14145" s="88">
        <f>TEXT(B14145,"aaa")</f>
        <v/>
      </c>
      <c r="D14145" s="94" t="n"/>
      <c r="E14145" s="88">
        <f>INDEX(매칭테이블!C:D,MATCH(RD!G14145,매칭테이블!D:D,0),1)</f>
        <v/>
      </c>
      <c r="F14145" s="94" t="inlineStr">
        <is>
          <t>카페24</t>
        </is>
      </c>
      <c r="G14145" s="94" t="inlineStr">
        <is>
          <t>어성초 77 수딩 토너옵션=BEST어성초 77 토너 2개-30% off (무료배송)</t>
        </is>
      </c>
      <c r="K14145" s="94" t="n">
        <v>36</v>
      </c>
      <c r="L14145" s="88" t="n">
        <v>201208</v>
      </c>
      <c r="M14145" s="88">
        <f>VLOOKUP($Q14145,매칭테이블!$F:$I,2,0)*K14145</f>
        <v/>
      </c>
      <c r="N14145" s="88">
        <f>M14145-M14145*VLOOKUP($Q14145,매칭테이블!$F:$I,3,0)</f>
        <v/>
      </c>
      <c r="O14145" s="88">
        <f>VLOOKUP($Q14145,매칭테이블!$F:$I,4,0)*K14145</f>
        <v/>
      </c>
      <c r="P14145" s="152">
        <f>M14145/1.1</f>
        <v/>
      </c>
      <c r="Q14145" s="88">
        <f>F14145&amp;E14145&amp;G14145&amp;L14145</f>
        <v/>
      </c>
    </row>
    <row r="14146">
      <c r="B14146" s="128" t="n">
        <v>44219</v>
      </c>
      <c r="C14146" s="88">
        <f>TEXT(B14146,"aaa")</f>
        <v/>
      </c>
      <c r="D14146" s="94" t="n"/>
      <c r="E14146" s="88">
        <f>INDEX(매칭테이블!C:D,MATCH(RD!G14146,매칭테이블!D:D,0),1)</f>
        <v/>
      </c>
      <c r="F14146" s="94" t="inlineStr">
        <is>
          <t>카페24</t>
        </is>
      </c>
      <c r="G14146" s="94" t="inlineStr">
        <is>
          <t>어성초 77 수딩 토너옵션=어성초 77토너1개 + 어성초77패드1개 -30% off (무료배송)</t>
        </is>
      </c>
      <c r="K14146" s="94" t="n">
        <v>11</v>
      </c>
      <c r="L14146" s="88" t="n">
        <v>201208</v>
      </c>
      <c r="M14146" s="88">
        <f>VLOOKUP($Q14146,매칭테이블!$F:$I,2,0)*K14146</f>
        <v/>
      </c>
      <c r="N14146" s="88">
        <f>M14146-M14146*VLOOKUP($Q14146,매칭테이블!$F:$I,3,0)</f>
        <v/>
      </c>
      <c r="O14146" s="88">
        <f>VLOOKUP($Q14146,매칭테이블!$F:$I,4,0)*K14146</f>
        <v/>
      </c>
      <c r="P14146" s="152">
        <f>M14146/1.1</f>
        <v/>
      </c>
      <c r="Q14146" s="88">
        <f>F14146&amp;E14146&amp;G14146&amp;L14146</f>
        <v/>
      </c>
    </row>
    <row r="14147">
      <c r="B14147" s="128" t="n">
        <v>44219</v>
      </c>
      <c r="C14147" s="88">
        <f>TEXT(B14147,"aaa")</f>
        <v/>
      </c>
      <c r="D14147" s="94" t="n"/>
      <c r="E14147" s="88">
        <f>INDEX(매칭테이블!C:D,MATCH(RD!G14147,매칭테이블!D:D,0),1)</f>
        <v/>
      </c>
      <c r="F14147" s="94" t="inlineStr">
        <is>
          <t>카페24</t>
        </is>
      </c>
      <c r="G14147" s="94" t="inlineStr">
        <is>
          <t>어성초 77 수딩 토너화장솜(선택)=촉촉 스킨팩 화장솜</t>
        </is>
      </c>
      <c r="K14147" s="94" t="n">
        <v>22</v>
      </c>
      <c r="L14147" s="88" t="n">
        <v>201208</v>
      </c>
      <c r="M14147" s="88">
        <f>VLOOKUP($Q14147,매칭테이블!$F:$I,2,0)*K14147</f>
        <v/>
      </c>
      <c r="N14147" s="88">
        <f>M14147-M14147*VLOOKUP($Q14147,매칭테이블!$F:$I,3,0)</f>
        <v/>
      </c>
      <c r="O14147" s="88">
        <f>VLOOKUP($Q14147,매칭테이블!$F:$I,4,0)*K14147</f>
        <v/>
      </c>
      <c r="P14147" s="152">
        <f>M14147/1.1</f>
        <v/>
      </c>
      <c r="Q14147" s="88">
        <f>F14147&amp;E14147&amp;G14147&amp;L14147</f>
        <v/>
      </c>
    </row>
    <row r="14148">
      <c r="B14148" s="128" t="n">
        <v>44219</v>
      </c>
      <c r="C14148" s="88">
        <f>TEXT(B14148,"aaa")</f>
        <v/>
      </c>
      <c r="D14148" s="94" t="n"/>
      <c r="E14148" s="88">
        <f>INDEX(매칭테이블!C:D,MATCH(RD!G14148,매칭테이블!D:D,0),1)</f>
        <v/>
      </c>
      <c r="F14148" s="94" t="inlineStr">
        <is>
          <t>카페24</t>
        </is>
      </c>
      <c r="G14148" s="94" t="inlineStr">
        <is>
          <t>어성초 77 수딩 토너토너(필수)=어성초 77 토너 1개-20% off</t>
        </is>
      </c>
      <c r="K14148" s="94" t="n">
        <v>1</v>
      </c>
      <c r="L14148" s="88" t="n">
        <v>201208</v>
      </c>
      <c r="M14148" s="88">
        <f>VLOOKUP($Q14148,매칭테이블!$F:$I,2,0)*K14148</f>
        <v/>
      </c>
      <c r="N14148" s="88">
        <f>M14148-M14148*VLOOKUP($Q14148,매칭테이블!$F:$I,3,0)</f>
        <v/>
      </c>
      <c r="O14148" s="88">
        <f>VLOOKUP($Q14148,매칭테이블!$F:$I,4,0)*K14148</f>
        <v/>
      </c>
      <c r="P14148" s="152">
        <f>M14148/1.1</f>
        <v/>
      </c>
      <c r="Q14148" s="88">
        <f>F14148&amp;E14148&amp;G14148&amp;L14148</f>
        <v/>
      </c>
    </row>
    <row r="14149">
      <c r="B14149" s="128" t="n">
        <v>44219</v>
      </c>
      <c r="C14149" s="88">
        <f>TEXT(B14149,"aaa")</f>
        <v/>
      </c>
      <c r="D14149" s="94" t="n"/>
      <c r="E14149" s="88">
        <f>INDEX(매칭테이블!C:D,MATCH(RD!G14149,매칭테이블!D:D,0),1)</f>
        <v/>
      </c>
      <c r="F14149" s="94" t="inlineStr">
        <is>
          <t>카페24</t>
        </is>
      </c>
      <c r="G14149" s="94" t="inlineStr">
        <is>
          <t>어성초 77 진정 마스크옵션=어성초 77 진정 마스크팩 1장</t>
        </is>
      </c>
      <c r="K14149" s="94" t="n">
        <v>2</v>
      </c>
      <c r="L14149" s="88" t="n">
        <v>201208</v>
      </c>
      <c r="M14149" s="88">
        <f>VLOOKUP($Q14149,매칭테이블!$F:$I,2,0)*K14149</f>
        <v/>
      </c>
      <c r="N14149" s="88">
        <f>M14149-M14149*VLOOKUP($Q14149,매칭테이블!$F:$I,3,0)</f>
        <v/>
      </c>
      <c r="O14149" s="88">
        <f>VLOOKUP($Q14149,매칭테이블!$F:$I,4,0)*K14149</f>
        <v/>
      </c>
      <c r="P14149" s="152">
        <f>M14149/1.1</f>
        <v/>
      </c>
      <c r="Q14149" s="88">
        <f>F14149&amp;E14149&amp;G14149&amp;L14149</f>
        <v/>
      </c>
    </row>
    <row r="14150">
      <c r="B14150" s="128" t="n">
        <v>44219</v>
      </c>
      <c r="C14150" s="88">
        <f>TEXT(B14150,"aaa")</f>
        <v/>
      </c>
      <c r="D14150" s="94" t="n"/>
      <c r="E14150" s="88">
        <f>INDEX(매칭테이블!C:D,MATCH(RD!G14150,매칭테이블!D:D,0),1)</f>
        <v/>
      </c>
      <c r="F14150" s="94" t="inlineStr">
        <is>
          <t>카페24</t>
        </is>
      </c>
      <c r="G14150" s="94" t="inlineStr">
        <is>
          <t>어성초 77 진정 마스크옵션=어성초 77 진정 마스크팩 10장-50% off</t>
        </is>
      </c>
      <c r="K14150" s="94" t="n">
        <v>6</v>
      </c>
      <c r="L14150" s="88" t="n">
        <v>201208</v>
      </c>
      <c r="M14150" s="88">
        <f>VLOOKUP($Q14150,매칭테이블!$F:$I,2,0)*K14150</f>
        <v/>
      </c>
      <c r="N14150" s="88">
        <f>M14150-M14150*VLOOKUP($Q14150,매칭테이블!$F:$I,3,0)</f>
        <v/>
      </c>
      <c r="O14150" s="88">
        <f>VLOOKUP($Q14150,매칭테이블!$F:$I,4,0)*K14150</f>
        <v/>
      </c>
      <c r="P14150" s="152">
        <f>M14150/1.1</f>
        <v/>
      </c>
      <c r="Q14150" s="88">
        <f>F14150&amp;E14150&amp;G14150&amp;L14150</f>
        <v/>
      </c>
    </row>
    <row r="14151">
      <c r="B14151" s="128" t="n">
        <v>44219</v>
      </c>
      <c r="C14151" s="88">
        <f>TEXT(B14151,"aaa")</f>
        <v/>
      </c>
      <c r="D14151" s="94" t="n"/>
      <c r="E14151" s="88">
        <f>INDEX(매칭테이블!C:D,MATCH(RD!G14151,매칭테이블!D:D,0),1)</f>
        <v/>
      </c>
      <c r="F14151" s="94" t="inlineStr">
        <is>
          <t>카페24</t>
        </is>
      </c>
      <c r="G14151" s="94" t="inlineStr">
        <is>
          <t>어성초 77 진정 마스크</t>
        </is>
      </c>
      <c r="K14151" s="94" t="n">
        <v>2</v>
      </c>
      <c r="L14151" s="88" t="n">
        <v>201208</v>
      </c>
      <c r="M14151" s="88">
        <f>VLOOKUP($Q14151,매칭테이블!$F:$I,2,0)*K14151</f>
        <v/>
      </c>
      <c r="N14151" s="88">
        <f>M14151-M14151*VLOOKUP($Q14151,매칭테이블!$F:$I,3,0)</f>
        <v/>
      </c>
      <c r="O14151" s="88">
        <f>VLOOKUP($Q14151,매칭테이블!$F:$I,4,0)*K14151</f>
        <v/>
      </c>
      <c r="P14151" s="152">
        <f>M14151/1.1</f>
        <v/>
      </c>
      <c r="Q14151" s="88">
        <f>F14151&amp;E14151&amp;G14151&amp;L14151</f>
        <v/>
      </c>
    </row>
    <row r="14152">
      <c r="B14152" s="128" t="n">
        <v>44219</v>
      </c>
      <c r="C14152" s="88">
        <f>TEXT(B14152,"aaa")</f>
        <v/>
      </c>
      <c r="D14152" s="94" t="n"/>
      <c r="E14152" s="88">
        <f>INDEX(매칭테이블!C:D,MATCH(RD!G14152,매칭테이블!D:D,0),1)</f>
        <v/>
      </c>
      <c r="F14152" s="94" t="inlineStr">
        <is>
          <t>카페24</t>
        </is>
      </c>
      <c r="G14152" s="94" t="inlineStr">
        <is>
          <t>어성초 78 수딩 크림</t>
        </is>
      </c>
      <c r="K14152" s="94" t="n">
        <v>5</v>
      </c>
      <c r="L14152" s="88" t="n">
        <v>201208</v>
      </c>
      <c r="M14152" s="88">
        <f>VLOOKUP($Q14152,매칭테이블!$F:$I,2,0)*K14152</f>
        <v/>
      </c>
      <c r="N14152" s="88">
        <f>M14152-M14152*VLOOKUP($Q14152,매칭테이블!$F:$I,3,0)</f>
        <v/>
      </c>
      <c r="O14152" s="88">
        <f>VLOOKUP($Q14152,매칭테이블!$F:$I,4,0)*K14152</f>
        <v/>
      </c>
      <c r="P14152" s="152">
        <f>M14152/1.1</f>
        <v/>
      </c>
      <c r="Q14152" s="88">
        <f>F14152&amp;E14152&amp;G14152&amp;L14152</f>
        <v/>
      </c>
    </row>
    <row r="14153">
      <c r="B14153" s="128" t="n">
        <v>44219</v>
      </c>
      <c r="C14153" s="88">
        <f>TEXT(B14153,"aaa")</f>
        <v/>
      </c>
      <c r="D14153" s="94" t="n"/>
      <c r="E14153" s="88">
        <f>INDEX(매칭테이블!C:D,MATCH(RD!G14153,매칭테이블!D:D,0),1)</f>
        <v/>
      </c>
      <c r="F14153" s="94" t="inlineStr">
        <is>
          <t>카페24</t>
        </is>
      </c>
      <c r="G14153" s="94" t="inlineStr">
        <is>
          <t>어성초 78 수딩 크림</t>
        </is>
      </c>
      <c r="K14153" s="94" t="n">
        <v>8</v>
      </c>
      <c r="L14153" s="88" t="n">
        <v>201208</v>
      </c>
      <c r="M14153" s="88">
        <f>VLOOKUP($Q14153,매칭테이블!$F:$I,2,0)*K14153</f>
        <v/>
      </c>
      <c r="N14153" s="88">
        <f>M14153-M14153*VLOOKUP($Q14153,매칭테이블!$F:$I,3,0)</f>
        <v/>
      </c>
      <c r="O14153" s="88">
        <f>VLOOKUP($Q14153,매칭테이블!$F:$I,4,0)*K14153</f>
        <v/>
      </c>
      <c r="P14153" s="152">
        <f>M14153/1.1</f>
        <v/>
      </c>
      <c r="Q14153" s="88">
        <f>F14153&amp;E14153&amp;G14153&amp;L14153</f>
        <v/>
      </c>
    </row>
    <row r="14154">
      <c r="B14154" s="128" t="n">
        <v>44219</v>
      </c>
      <c r="C14154" s="88">
        <f>TEXT(B14154,"aaa")</f>
        <v/>
      </c>
      <c r="D14154" s="94" t="n"/>
      <c r="E14154" s="88">
        <f>INDEX(매칭테이블!C:D,MATCH(RD!G14154,매칭테이블!D:D,0),1)</f>
        <v/>
      </c>
      <c r="F14154" s="94" t="inlineStr">
        <is>
          <t>카페24</t>
        </is>
      </c>
      <c r="G14154" s="94" t="inlineStr">
        <is>
          <t>어성초 80 수분 진정 앰플앰플=어성초 80 앰플 1개-15%off</t>
        </is>
      </c>
      <c r="K14154" s="94" t="n">
        <v>12</v>
      </c>
      <c r="L14154" s="88" t="n">
        <v>201208</v>
      </c>
      <c r="M14154" s="88">
        <f>VLOOKUP($Q14154,매칭테이블!$F:$I,2,0)*K14154</f>
        <v/>
      </c>
      <c r="N14154" s="88">
        <f>M14154-M14154*VLOOKUP($Q14154,매칭테이블!$F:$I,3,0)</f>
        <v/>
      </c>
      <c r="O14154" s="88">
        <f>VLOOKUP($Q14154,매칭테이블!$F:$I,4,0)*K14154</f>
        <v/>
      </c>
      <c r="P14154" s="152">
        <f>M14154/1.1</f>
        <v/>
      </c>
      <c r="Q14154" s="88">
        <f>F14154&amp;E14154&amp;G14154&amp;L14154</f>
        <v/>
      </c>
    </row>
    <row r="14155">
      <c r="B14155" s="128" t="n">
        <v>44219</v>
      </c>
      <c r="C14155" s="88">
        <f>TEXT(B14155,"aaa")</f>
        <v/>
      </c>
      <c r="D14155" s="94" t="n"/>
      <c r="E14155" s="88">
        <f>INDEX(매칭테이블!C:D,MATCH(RD!G14155,매칭테이블!D:D,0),1)</f>
        <v/>
      </c>
      <c r="F14155" s="94" t="inlineStr">
        <is>
          <t>카페24</t>
        </is>
      </c>
      <c r="G14155" s="94" t="inlineStr">
        <is>
          <t>어성초 80 수분 진정 앰플앰플=어성초 80 앰플 2개-27%off (무료배송)</t>
        </is>
      </c>
      <c r="K14155" s="94" t="n">
        <v>4</v>
      </c>
      <c r="L14155" s="88" t="n">
        <v>201208</v>
      </c>
      <c r="M14155" s="88">
        <f>VLOOKUP($Q14155,매칭테이블!$F:$I,2,0)*K14155</f>
        <v/>
      </c>
      <c r="N14155" s="88">
        <f>M14155-M14155*VLOOKUP($Q14155,매칭테이블!$F:$I,3,0)</f>
        <v/>
      </c>
      <c r="O14155" s="88">
        <f>VLOOKUP($Q14155,매칭테이블!$F:$I,4,0)*K14155</f>
        <v/>
      </c>
      <c r="P14155" s="152">
        <f>M14155/1.1</f>
        <v/>
      </c>
      <c r="Q14155" s="88">
        <f>F14155&amp;E14155&amp;G14155&amp;L14155</f>
        <v/>
      </c>
    </row>
    <row r="14156">
      <c r="B14156" s="128" t="n">
        <v>44219</v>
      </c>
      <c r="C14156" s="88">
        <f>TEXT(B14156,"aaa")</f>
        <v/>
      </c>
      <c r="D14156" s="94" t="n"/>
      <c r="E14156" s="88">
        <f>INDEX(매칭테이블!C:D,MATCH(RD!G14156,매칭테이블!D:D,0),1)</f>
        <v/>
      </c>
      <c r="F14156" s="94" t="inlineStr">
        <is>
          <t>카페24</t>
        </is>
      </c>
      <c r="G14156" s="94" t="inlineStr">
        <is>
          <t>어성초 80 수분 진정 앰플</t>
        </is>
      </c>
      <c r="K14156" s="94" t="n">
        <v>7</v>
      </c>
      <c r="L14156" s="88" t="n">
        <v>201208</v>
      </c>
      <c r="M14156" s="88">
        <f>VLOOKUP($Q14156,매칭테이블!$F:$I,2,0)*K14156</f>
        <v/>
      </c>
      <c r="N14156" s="88">
        <f>M14156-M14156*VLOOKUP($Q14156,매칭테이블!$F:$I,3,0)</f>
        <v/>
      </c>
      <c r="O14156" s="88">
        <f>VLOOKUP($Q14156,매칭테이블!$F:$I,4,0)*K14156</f>
        <v/>
      </c>
      <c r="P14156" s="152">
        <f>M14156/1.1</f>
        <v/>
      </c>
      <c r="Q14156" s="88">
        <f>F14156&amp;E14156&amp;G14156&amp;L14156</f>
        <v/>
      </c>
    </row>
    <row r="14157">
      <c r="B14157" s="128" t="n">
        <v>44219</v>
      </c>
      <c r="C14157" s="88">
        <f>TEXT(B14157,"aaa")</f>
        <v/>
      </c>
      <c r="D14157" s="94" t="n"/>
      <c r="E14157" s="88">
        <f>INDEX(매칭테이블!C:D,MATCH(RD!G14157,매칭테이블!D:D,0),1)</f>
        <v/>
      </c>
      <c r="F14157" s="94" t="inlineStr">
        <is>
          <t>카페24</t>
        </is>
      </c>
      <c r="G14157" s="94" t="inlineStr">
        <is>
          <t>어성초 아크네 바디워시옵션=어성초 아크네 바디워시 2개 -35% off (무료배송)</t>
        </is>
      </c>
      <c r="K14157" s="94" t="n">
        <v>3</v>
      </c>
      <c r="L14157" s="88" t="n">
        <v>201208</v>
      </c>
      <c r="M14157" s="88">
        <f>VLOOKUP($Q14157,매칭테이블!$F:$I,2,0)*K14157</f>
        <v/>
      </c>
      <c r="N14157" s="88">
        <f>M14157-M14157*VLOOKUP($Q14157,매칭테이블!$F:$I,3,0)</f>
        <v/>
      </c>
      <c r="O14157" s="88">
        <f>VLOOKUP($Q14157,매칭테이블!$F:$I,4,0)*K14157</f>
        <v/>
      </c>
      <c r="P14157" s="152">
        <f>M14157/1.1</f>
        <v/>
      </c>
      <c r="Q14157" s="88">
        <f>F14157&amp;E14157&amp;G14157&amp;L14157</f>
        <v/>
      </c>
    </row>
    <row r="14158">
      <c r="B14158" s="128" t="n">
        <v>44219</v>
      </c>
      <c r="C14158" s="88">
        <f>TEXT(B14158,"aaa")</f>
        <v/>
      </c>
      <c r="D14158" s="94" t="n"/>
      <c r="E14158" s="88">
        <f>INDEX(매칭테이블!C:D,MATCH(RD!G14158,매칭테이블!D:D,0),1)</f>
        <v/>
      </c>
      <c r="F14158" s="94" t="inlineStr">
        <is>
          <t>카페24</t>
        </is>
      </c>
      <c r="G14158" s="94" t="inlineStr">
        <is>
          <t>어성초 약산성 클렌징폼클렌징폼=어성초 약산성 클렌징폼 1개 -19%off</t>
        </is>
      </c>
      <c r="K14158" s="94" t="n">
        <v>12</v>
      </c>
      <c r="L14158" s="88" t="n">
        <v>201208</v>
      </c>
      <c r="M14158" s="88">
        <f>VLOOKUP($Q14158,매칭테이블!$F:$I,2,0)*K14158</f>
        <v/>
      </c>
      <c r="N14158" s="88">
        <f>M14158-M14158*VLOOKUP($Q14158,매칭테이블!$F:$I,3,0)</f>
        <v/>
      </c>
      <c r="O14158" s="88">
        <f>VLOOKUP($Q14158,매칭테이블!$F:$I,4,0)*K14158</f>
        <v/>
      </c>
      <c r="P14158" s="152">
        <f>M14158/1.1</f>
        <v/>
      </c>
      <c r="Q14158" s="88">
        <f>F14158&amp;E14158&amp;G14158&amp;L14158</f>
        <v/>
      </c>
    </row>
    <row r="14159">
      <c r="B14159" s="128" t="n">
        <v>44219</v>
      </c>
      <c r="C14159" s="88">
        <f>TEXT(B14159,"aaa")</f>
        <v/>
      </c>
      <c r="D14159" s="94" t="n"/>
      <c r="E14159" s="88">
        <f>INDEX(매칭테이블!C:D,MATCH(RD!G14159,매칭테이블!D:D,0),1)</f>
        <v/>
      </c>
      <c r="F14159" s="94" t="inlineStr">
        <is>
          <t>카페24</t>
        </is>
      </c>
      <c r="G14159" s="94" t="inlineStr">
        <is>
          <t>어성초 약산성 클렌징폼클렌징폼=어성초 약산성 클렌징폼 2개 -25%off</t>
        </is>
      </c>
      <c r="K14159" s="94" t="n">
        <v>1</v>
      </c>
      <c r="L14159" s="88" t="n">
        <v>201208</v>
      </c>
      <c r="M14159" s="88">
        <f>VLOOKUP($Q14159,매칭테이블!$F:$I,2,0)*K14159</f>
        <v/>
      </c>
      <c r="N14159" s="88">
        <f>M14159-M14159*VLOOKUP($Q14159,매칭테이블!$F:$I,3,0)</f>
        <v/>
      </c>
      <c r="O14159" s="88">
        <f>VLOOKUP($Q14159,매칭테이블!$F:$I,4,0)*K14159</f>
        <v/>
      </c>
      <c r="P14159" s="152">
        <f>M14159/1.1</f>
        <v/>
      </c>
      <c r="Q14159" s="88">
        <f>F14159&amp;E14159&amp;G14159&amp;L14159</f>
        <v/>
      </c>
    </row>
    <row r="14160">
      <c r="B14160" s="128" t="n">
        <v>44219</v>
      </c>
      <c r="C14160" s="88">
        <f>TEXT(B14160,"aaa")</f>
        <v/>
      </c>
      <c r="D14160" s="94" t="n"/>
      <c r="E14160" s="88">
        <f>INDEX(매칭테이블!C:D,MATCH(RD!G14160,매칭테이블!D:D,0),1)</f>
        <v/>
      </c>
      <c r="F14160" s="94" t="inlineStr">
        <is>
          <t>카페24</t>
        </is>
      </c>
      <c r="G14160" s="94" t="inlineStr">
        <is>
          <t>어성초 약산성 클렌징폼클렌징폼=어성초 약산성 클렌징폼 3개 -31%off (무료배송)</t>
        </is>
      </c>
      <c r="K14160" s="94" t="n">
        <v>2</v>
      </c>
      <c r="L14160" s="88" t="n">
        <v>201208</v>
      </c>
      <c r="M14160" s="88">
        <f>VLOOKUP($Q14160,매칭테이블!$F:$I,2,0)*K14160</f>
        <v/>
      </c>
      <c r="N14160" s="88">
        <f>M14160-M14160*VLOOKUP($Q14160,매칭테이블!$F:$I,3,0)</f>
        <v/>
      </c>
      <c r="O14160" s="88">
        <f>VLOOKUP($Q14160,매칭테이블!$F:$I,4,0)*K14160</f>
        <v/>
      </c>
      <c r="P14160" s="152">
        <f>M14160/1.1</f>
        <v/>
      </c>
      <c r="Q14160" s="88">
        <f>F14160&amp;E14160&amp;G14160&amp;L14160</f>
        <v/>
      </c>
    </row>
    <row r="14161">
      <c r="B14161" s="128" t="n">
        <v>44219</v>
      </c>
      <c r="C14161" s="88">
        <f>TEXT(B14161,"aaa")</f>
        <v/>
      </c>
      <c r="D14161" s="94" t="n"/>
      <c r="E14161" s="88">
        <f>INDEX(매칭테이블!C:D,MATCH(RD!G14161,매칭테이블!D:D,0),1)</f>
        <v/>
      </c>
      <c r="F14161" s="94" t="inlineStr">
        <is>
          <t>카페24</t>
        </is>
      </c>
      <c r="G14161" s="94" t="inlineStr">
        <is>
          <t>어성초 크림마스크 나이트 솔루션옵션=어성초 크림마스크 나이트 솔루션 10장 (-50%)</t>
        </is>
      </c>
      <c r="K14161" s="94" t="n">
        <v>3</v>
      </c>
      <c r="L14161" s="88" t="n">
        <v>201208</v>
      </c>
      <c r="M14161" s="88">
        <f>VLOOKUP($Q14161,매칭테이블!$F:$I,2,0)*K14161</f>
        <v/>
      </c>
      <c r="N14161" s="88">
        <f>M14161-M14161*VLOOKUP($Q14161,매칭테이블!$F:$I,3,0)</f>
        <v/>
      </c>
      <c r="O14161" s="88">
        <f>VLOOKUP($Q14161,매칭테이블!$F:$I,4,0)*K14161</f>
        <v/>
      </c>
      <c r="P14161" s="152">
        <f>M14161/1.1</f>
        <v/>
      </c>
      <c r="Q14161" s="88">
        <f>F14161&amp;E14161&amp;G14161&amp;L14161</f>
        <v/>
      </c>
    </row>
    <row r="14162">
      <c r="B14162" s="128" t="n">
        <v>44219</v>
      </c>
      <c r="C14162" s="88">
        <f>TEXT(B14162,"aaa")</f>
        <v/>
      </c>
      <c r="D14162" s="94" t="n"/>
      <c r="E14162" s="88">
        <f>INDEX(매칭테이블!C:D,MATCH(RD!G14162,매칭테이블!D:D,0),1)</f>
        <v/>
      </c>
      <c r="F14162" s="94" t="inlineStr">
        <is>
          <t>카페24</t>
        </is>
      </c>
      <c r="G14162" s="94" t="inlineStr">
        <is>
          <t>촉촉 스킨팩 화장솜</t>
        </is>
      </c>
      <c r="K14162" s="94" t="n">
        <v>4</v>
      </c>
      <c r="L14162" s="88" t="n">
        <v>201208</v>
      </c>
      <c r="M14162" s="88">
        <f>VLOOKUP($Q14162,매칭테이블!$F:$I,2,0)*K14162</f>
        <v/>
      </c>
      <c r="N14162" s="88">
        <f>M14162-M14162*VLOOKUP($Q14162,매칭테이블!$F:$I,3,0)</f>
        <v/>
      </c>
      <c r="O14162" s="88">
        <f>VLOOKUP($Q14162,매칭테이블!$F:$I,4,0)*K14162</f>
        <v/>
      </c>
      <c r="P14162" s="152">
        <f>M14162/1.1</f>
        <v/>
      </c>
      <c r="Q14162" s="88">
        <f>F14162&amp;E14162&amp;G14162&amp;L14162</f>
        <v/>
      </c>
    </row>
    <row r="14163" customFormat="1" s="94">
      <c r="B14163" s="128" t="n">
        <v>44220</v>
      </c>
      <c r="C14163" s="88">
        <f>TEXT(B14163,"aaa")</f>
        <v/>
      </c>
      <c r="E14163" s="88">
        <f>INDEX(매칭테이블!C:D,MATCH(RD!G14163,매칭테이블!D:D,0),1)</f>
        <v/>
      </c>
      <c r="F14163" s="94" t="inlineStr">
        <is>
          <t>스타일쉐어</t>
        </is>
      </c>
      <c r="G14163" s="94" t="inlineStr">
        <is>
          <t>아누아 어성초 77 토너 250ml</t>
        </is>
      </c>
      <c r="K14163" s="94" t="n">
        <v>4</v>
      </c>
      <c r="L14163" s="88" t="n">
        <v>201208</v>
      </c>
      <c r="M14163" s="88">
        <f>VLOOKUP($Q14163,매칭테이블!$F:$I,2,0)*K14163</f>
        <v/>
      </c>
      <c r="N14163" s="88">
        <f>M14163-M14163*VLOOKUP($Q14163,매칭테이블!$F:$I,3,0)</f>
        <v/>
      </c>
      <c r="O14163" s="88">
        <f>VLOOKUP($Q14163,매칭테이블!$F:$I,4,0)*K14163</f>
        <v/>
      </c>
      <c r="P14163" s="152">
        <f>M14163/1.1</f>
        <v/>
      </c>
      <c r="Q14163" s="88">
        <f>F14163&amp;E14163&amp;G14163&amp;L14163</f>
        <v/>
      </c>
    </row>
    <row r="14164">
      <c r="B14164" s="128" t="n">
        <v>44220</v>
      </c>
      <c r="C14164" s="88">
        <f>TEXT(B14164,"aaa")</f>
        <v/>
      </c>
      <c r="D14164" s="94" t="n"/>
      <c r="E14164" s="88">
        <f>INDEX(매칭테이블!C:D,MATCH(RD!G14164,매칭테이블!D:D,0),1)</f>
        <v/>
      </c>
      <c r="F14164" s="94" t="inlineStr">
        <is>
          <t>카페24</t>
        </is>
      </c>
      <c r="G14164" s="94" t="inlineStr">
        <is>
          <t>5 제로 무기자차 선크림옵션=5제로 무기자차 선크림 1개-20% off</t>
        </is>
      </c>
      <c r="K14164" s="94" t="n">
        <v>3</v>
      </c>
      <c r="L14164" s="88" t="n">
        <v>201208</v>
      </c>
      <c r="M14164" s="88">
        <f>VLOOKUP($Q14164,매칭테이블!$F:$I,2,0)*K14164</f>
        <v/>
      </c>
      <c r="N14164" s="88">
        <f>M14164-M14164*VLOOKUP($Q14164,매칭테이블!$F:$I,3,0)</f>
        <v/>
      </c>
      <c r="O14164" s="88">
        <f>VLOOKUP($Q14164,매칭테이블!$F:$I,4,0)*K14164</f>
        <v/>
      </c>
      <c r="P14164" s="152">
        <f>M14164/1.1</f>
        <v/>
      </c>
      <c r="Q14164" s="88">
        <f>F14164&amp;E14164&amp;G14164&amp;L14164</f>
        <v/>
      </c>
    </row>
    <row r="14165">
      <c r="B14165" s="128" t="n">
        <v>44220</v>
      </c>
      <c r="C14165" s="88">
        <f>TEXT(B14165,"aaa")</f>
        <v/>
      </c>
      <c r="D14165" s="94" t="n"/>
      <c r="E14165" s="88">
        <f>INDEX(매칭테이블!C:D,MATCH(RD!G14165,매칭테이블!D:D,0),1)</f>
        <v/>
      </c>
      <c r="F14165" s="94" t="inlineStr">
        <is>
          <t>카페24</t>
        </is>
      </c>
      <c r="G14165" s="94" t="inlineStr">
        <is>
          <t>[01/27 순차발송] 어성초 77 클리어 패드옵션=어성초 77 클리어 패드 1개-20% off</t>
        </is>
      </c>
      <c r="K14165" s="94" t="n">
        <v>34</v>
      </c>
      <c r="L14165" s="88" t="n">
        <v>201208</v>
      </c>
      <c r="M14165" s="88">
        <f>VLOOKUP($Q14165,매칭테이블!$F:$I,2,0)*K14165</f>
        <v/>
      </c>
      <c r="N14165" s="88">
        <f>M14165-M14165*VLOOKUP($Q14165,매칭테이블!$F:$I,3,0)</f>
        <v/>
      </c>
      <c r="O14165" s="88">
        <f>VLOOKUP($Q14165,매칭테이블!$F:$I,4,0)*K14165</f>
        <v/>
      </c>
      <c r="P14165" s="152">
        <f>M14165/1.1</f>
        <v/>
      </c>
      <c r="Q14165" s="88">
        <f>F14165&amp;E14165&amp;G14165&amp;L14165</f>
        <v/>
      </c>
    </row>
    <row r="14166">
      <c r="B14166" s="128" t="n">
        <v>44220</v>
      </c>
      <c r="C14166" s="88">
        <f>TEXT(B14166,"aaa")</f>
        <v/>
      </c>
      <c r="D14166" s="94" t="n"/>
      <c r="E14166" s="88">
        <f>INDEX(매칭테이블!C:D,MATCH(RD!G14166,매칭테이블!D:D,0),1)</f>
        <v/>
      </c>
      <c r="F14166" s="94" t="inlineStr">
        <is>
          <t>카페24</t>
        </is>
      </c>
      <c r="G14166" s="94" t="inlineStr">
        <is>
          <t>[01/27 순차발송] 어성초 77 클리어 패드옵션=어성초 77 클리어 패드 2개-30% off (무료배송)</t>
        </is>
      </c>
      <c r="K14166" s="94" t="n">
        <v>33</v>
      </c>
      <c r="L14166" s="88" t="n">
        <v>201208</v>
      </c>
      <c r="M14166" s="88">
        <f>VLOOKUP($Q14166,매칭테이블!$F:$I,2,0)*K14166</f>
        <v/>
      </c>
      <c r="N14166" s="88">
        <f>M14166-M14166*VLOOKUP($Q14166,매칭테이블!$F:$I,3,0)</f>
        <v/>
      </c>
      <c r="O14166" s="88">
        <f>VLOOKUP($Q14166,매칭테이블!$F:$I,4,0)*K14166</f>
        <v/>
      </c>
      <c r="P14166" s="152">
        <f>M14166/1.1</f>
        <v/>
      </c>
      <c r="Q14166" s="88">
        <f>F14166&amp;E14166&amp;G14166&amp;L14166</f>
        <v/>
      </c>
    </row>
    <row r="14167">
      <c r="B14167" s="128" t="n">
        <v>44220</v>
      </c>
      <c r="C14167" s="88">
        <f>TEXT(B14167,"aaa")</f>
        <v/>
      </c>
      <c r="D14167" s="94" t="n"/>
      <c r="E14167" s="88">
        <f>INDEX(매칭테이블!C:D,MATCH(RD!G14167,매칭테이블!D:D,0),1)</f>
        <v/>
      </c>
      <c r="F14167" s="94" t="inlineStr">
        <is>
          <t>카페24</t>
        </is>
      </c>
      <c r="G14167" s="94" t="inlineStr">
        <is>
          <t>[01/27 순차발송] 어성초 77 클리어 패드옵션=어성초 77 클리어 패드 2+1 EVENT (무료배송)</t>
        </is>
      </c>
      <c r="K14167" s="94" t="n">
        <v>33</v>
      </c>
      <c r="L14167" s="88" t="n">
        <v>201208</v>
      </c>
      <c r="M14167" s="88">
        <f>VLOOKUP($Q14167,매칭테이블!$F:$I,2,0)*K14167</f>
        <v/>
      </c>
      <c r="N14167" s="88">
        <f>M14167-M14167*VLOOKUP($Q14167,매칭테이블!$F:$I,3,0)</f>
        <v/>
      </c>
      <c r="O14167" s="88">
        <f>VLOOKUP($Q14167,매칭테이블!$F:$I,4,0)*K14167</f>
        <v/>
      </c>
      <c r="P14167" s="152">
        <f>M14167/1.1</f>
        <v/>
      </c>
      <c r="Q14167" s="88">
        <f>F14167&amp;E14167&amp;G14167&amp;L14167</f>
        <v/>
      </c>
    </row>
    <row r="14168">
      <c r="B14168" s="128" t="n">
        <v>44220</v>
      </c>
      <c r="C14168" s="88">
        <f>TEXT(B14168,"aaa")</f>
        <v/>
      </c>
      <c r="D14168" s="94" t="n"/>
      <c r="E14168" s="88">
        <f>INDEX(매칭테이블!C:D,MATCH(RD!G14168,매칭테이블!D:D,0),1)</f>
        <v/>
      </c>
      <c r="F14168" s="94" t="inlineStr">
        <is>
          <t>카페24</t>
        </is>
      </c>
      <c r="G14168" s="94" t="inlineStr">
        <is>
          <t>[01/27 순차발송] 어성초 77 클리어 패드옵션=어성초77토너1개+어성초77패드1개-30% off (무료배송)</t>
        </is>
      </c>
      <c r="K14168" s="94" t="n">
        <v>5</v>
      </c>
      <c r="L14168" s="88" t="n">
        <v>201208</v>
      </c>
      <c r="M14168" s="88">
        <f>VLOOKUP($Q14168,매칭테이블!$F:$I,2,0)*K14168</f>
        <v/>
      </c>
      <c r="N14168" s="88">
        <f>M14168-M14168*VLOOKUP($Q14168,매칭테이블!$F:$I,3,0)</f>
        <v/>
      </c>
      <c r="O14168" s="88">
        <f>VLOOKUP($Q14168,매칭테이블!$F:$I,4,0)*K14168</f>
        <v/>
      </c>
      <c r="P14168" s="152">
        <f>M14168/1.1</f>
        <v/>
      </c>
      <c r="Q14168" s="88">
        <f>F14168&amp;E14168&amp;G14168&amp;L14168</f>
        <v/>
      </c>
    </row>
    <row r="14169">
      <c r="B14169" s="128" t="n">
        <v>44220</v>
      </c>
      <c r="C14169" s="88">
        <f>TEXT(B14169,"aaa")</f>
        <v/>
      </c>
      <c r="D14169" s="94" t="n"/>
      <c r="E14169" s="88">
        <f>INDEX(매칭테이블!C:D,MATCH(RD!G14169,매칭테이블!D:D,0),1)</f>
        <v/>
      </c>
      <c r="F14169" s="94" t="inlineStr">
        <is>
          <t>카페24</t>
        </is>
      </c>
      <c r="G14169" s="94" t="inlineStr">
        <is>
          <t>[01/27 순차발송] 어성초 77 포어 클리어 패드옵션=어성초 77 클리어 패드 1개-20% off</t>
        </is>
      </c>
      <c r="K14169" s="94" t="n">
        <v>5</v>
      </c>
      <c r="L14169" s="88" t="n">
        <v>201208</v>
      </c>
      <c r="M14169" s="88">
        <f>VLOOKUP($Q14169,매칭테이블!$F:$I,2,0)*K14169</f>
        <v/>
      </c>
      <c r="N14169" s="88">
        <f>M14169-M14169*VLOOKUP($Q14169,매칭테이블!$F:$I,3,0)</f>
        <v/>
      </c>
      <c r="O14169" s="88">
        <f>VLOOKUP($Q14169,매칭테이블!$F:$I,4,0)*K14169</f>
        <v/>
      </c>
      <c r="P14169" s="152">
        <f>M14169/1.1</f>
        <v/>
      </c>
      <c r="Q14169" s="88">
        <f>F14169&amp;E14169&amp;G14169&amp;L14169</f>
        <v/>
      </c>
    </row>
    <row r="14170">
      <c r="B14170" s="128" t="n">
        <v>44220</v>
      </c>
      <c r="C14170" s="88">
        <f>TEXT(B14170,"aaa")</f>
        <v/>
      </c>
      <c r="D14170" s="94" t="n"/>
      <c r="E14170" s="88">
        <f>INDEX(매칭테이블!C:D,MATCH(RD!G14170,매칭테이블!D:D,0),1)</f>
        <v/>
      </c>
      <c r="F14170" s="94" t="inlineStr">
        <is>
          <t>카페24</t>
        </is>
      </c>
      <c r="G14170" s="94" t="inlineStr">
        <is>
          <t>[01/27 순차발송] 어성초 77 포어 클리어 패드옵션=어성초 77 클리어 패드 2개-30% off (무료배송)</t>
        </is>
      </c>
      <c r="K14170" s="94" t="n">
        <v>1</v>
      </c>
      <c r="L14170" s="88" t="n">
        <v>201208</v>
      </c>
      <c r="M14170" s="88">
        <f>VLOOKUP($Q14170,매칭테이블!$F:$I,2,0)*K14170</f>
        <v/>
      </c>
      <c r="N14170" s="88">
        <f>M14170-M14170*VLOOKUP($Q14170,매칭테이블!$F:$I,3,0)</f>
        <v/>
      </c>
      <c r="O14170" s="88">
        <f>VLOOKUP($Q14170,매칭테이블!$F:$I,4,0)*K14170</f>
        <v/>
      </c>
      <c r="P14170" s="152">
        <f>M14170/1.1</f>
        <v/>
      </c>
      <c r="Q14170" s="88">
        <f>F14170&amp;E14170&amp;G14170&amp;L14170</f>
        <v/>
      </c>
    </row>
    <row r="14171">
      <c r="B14171" s="128" t="n">
        <v>44220</v>
      </c>
      <c r="C14171" s="88">
        <f>TEXT(B14171,"aaa")</f>
        <v/>
      </c>
      <c r="D14171" s="94" t="n"/>
      <c r="E14171" s="88">
        <f>INDEX(매칭테이블!C:D,MATCH(RD!G14171,매칭테이블!D:D,0),1)</f>
        <v/>
      </c>
      <c r="F14171" s="94" t="inlineStr">
        <is>
          <t>카페24</t>
        </is>
      </c>
      <c r="G14171" s="94" t="inlineStr">
        <is>
          <t>[01/27 순차발송] 어성초 77 포어 클리어 패드옵션=어성초77토너1개+어성초77패드1개-30% off (무료배송)</t>
        </is>
      </c>
      <c r="K14171" s="94" t="n">
        <v>1</v>
      </c>
      <c r="L14171" s="88" t="n">
        <v>201208</v>
      </c>
      <c r="M14171" s="88">
        <f>VLOOKUP($Q14171,매칭테이블!$F:$I,2,0)*K14171</f>
        <v/>
      </c>
      <c r="N14171" s="88">
        <f>M14171-M14171*VLOOKUP($Q14171,매칭테이블!$F:$I,3,0)</f>
        <v/>
      </c>
      <c r="O14171" s="88">
        <f>VLOOKUP($Q14171,매칭테이블!$F:$I,4,0)*K14171</f>
        <v/>
      </c>
      <c r="P14171" s="152">
        <f>M14171/1.1</f>
        <v/>
      </c>
      <c r="Q14171" s="88">
        <f>F14171&amp;E14171&amp;G14171&amp;L14171</f>
        <v/>
      </c>
    </row>
    <row r="14172">
      <c r="B14172" s="128" t="n">
        <v>44220</v>
      </c>
      <c r="C14172" s="88">
        <f>TEXT(B14172,"aaa")</f>
        <v/>
      </c>
      <c r="D14172" s="94" t="n"/>
      <c r="E14172" s="88">
        <f>INDEX(매칭테이블!C:D,MATCH(RD!G14172,매칭테이블!D:D,0),1)</f>
        <v/>
      </c>
      <c r="F14172" s="94" t="inlineStr">
        <is>
          <t>카페24</t>
        </is>
      </c>
      <c r="G14172" s="94" t="inlineStr">
        <is>
          <t>[01/27 순차발송] 어성초 77% 패드옵션=어성초 77 클리어 패드 1개-20% off</t>
        </is>
      </c>
      <c r="K14172" s="94" t="n">
        <v>21</v>
      </c>
      <c r="L14172" s="88" t="n">
        <v>201208</v>
      </c>
      <c r="M14172" s="88">
        <f>VLOOKUP($Q14172,매칭테이블!$F:$I,2,0)*K14172</f>
        <v/>
      </c>
      <c r="N14172" s="88">
        <f>M14172-M14172*VLOOKUP($Q14172,매칭테이블!$F:$I,3,0)</f>
        <v/>
      </c>
      <c r="O14172" s="88">
        <f>VLOOKUP($Q14172,매칭테이블!$F:$I,4,0)*K14172</f>
        <v/>
      </c>
      <c r="P14172" s="152">
        <f>M14172/1.1</f>
        <v/>
      </c>
      <c r="Q14172" s="88">
        <f>F14172&amp;E14172&amp;G14172&amp;L14172</f>
        <v/>
      </c>
    </row>
    <row r="14173">
      <c r="B14173" s="128" t="n">
        <v>44220</v>
      </c>
      <c r="C14173" s="88">
        <f>TEXT(B14173,"aaa")</f>
        <v/>
      </c>
      <c r="D14173" s="94" t="n"/>
      <c r="E14173" s="88">
        <f>INDEX(매칭테이블!C:D,MATCH(RD!G14173,매칭테이블!D:D,0),1)</f>
        <v/>
      </c>
      <c r="F14173" s="94" t="inlineStr">
        <is>
          <t>카페24</t>
        </is>
      </c>
      <c r="G14173" s="94" t="inlineStr">
        <is>
          <t>[01/27 순차발송] 어성초 77% 패드옵션=어성초 77 클리어 패드 2개-30% off (무료배송)</t>
        </is>
      </c>
      <c r="K14173" s="94" t="n">
        <v>17</v>
      </c>
      <c r="L14173" s="88" t="n">
        <v>201208</v>
      </c>
      <c r="M14173" s="88">
        <f>VLOOKUP($Q14173,매칭테이블!$F:$I,2,0)*K14173</f>
        <v/>
      </c>
      <c r="N14173" s="88">
        <f>M14173-M14173*VLOOKUP($Q14173,매칭테이블!$F:$I,3,0)</f>
        <v/>
      </c>
      <c r="O14173" s="88">
        <f>VLOOKUP($Q14173,매칭테이블!$F:$I,4,0)*K14173</f>
        <v/>
      </c>
      <c r="P14173" s="152">
        <f>M14173/1.1</f>
        <v/>
      </c>
      <c r="Q14173" s="88">
        <f>F14173&amp;E14173&amp;G14173&amp;L14173</f>
        <v/>
      </c>
    </row>
    <row r="14174">
      <c r="B14174" s="128" t="n">
        <v>44220</v>
      </c>
      <c r="C14174" s="88">
        <f>TEXT(B14174,"aaa")</f>
        <v/>
      </c>
      <c r="D14174" s="94" t="n"/>
      <c r="E14174" s="88">
        <f>INDEX(매칭테이블!C:D,MATCH(RD!G14174,매칭테이블!D:D,0),1)</f>
        <v/>
      </c>
      <c r="F14174" s="94" t="inlineStr">
        <is>
          <t>카페24</t>
        </is>
      </c>
      <c r="G14174" s="94" t="inlineStr">
        <is>
          <t>[01/27 순차발송] 어성초 77% 패드옵션=어성초 77 클리어 패드 2+1 EVENT (무료배송)</t>
        </is>
      </c>
      <c r="K14174" s="94" t="n">
        <v>28</v>
      </c>
      <c r="L14174" s="88" t="n">
        <v>201208</v>
      </c>
      <c r="M14174" s="88">
        <f>VLOOKUP($Q14174,매칭테이블!$F:$I,2,0)*K14174</f>
        <v/>
      </c>
      <c r="N14174" s="88">
        <f>M14174-M14174*VLOOKUP($Q14174,매칭테이블!$F:$I,3,0)</f>
        <v/>
      </c>
      <c r="O14174" s="88">
        <f>VLOOKUP($Q14174,매칭테이블!$F:$I,4,0)*K14174</f>
        <v/>
      </c>
      <c r="P14174" s="152">
        <f>M14174/1.1</f>
        <v/>
      </c>
      <c r="Q14174" s="88">
        <f>F14174&amp;E14174&amp;G14174&amp;L14174</f>
        <v/>
      </c>
    </row>
    <row r="14175">
      <c r="B14175" s="128" t="n">
        <v>44220</v>
      </c>
      <c r="C14175" s="88">
        <f>TEXT(B14175,"aaa")</f>
        <v/>
      </c>
      <c r="D14175" s="94" t="n"/>
      <c r="E14175" s="88">
        <f>INDEX(매칭테이블!C:D,MATCH(RD!G14175,매칭테이블!D:D,0),1)</f>
        <v/>
      </c>
      <c r="F14175" s="94" t="inlineStr">
        <is>
          <t>카페24</t>
        </is>
      </c>
      <c r="G14175" s="94" t="inlineStr">
        <is>
          <t>[01/27 순차발송] 어성초 77% 패드옵션=어성초77토너1개+어성초77패드1개-30% off (무료배송)</t>
        </is>
      </c>
      <c r="K14175" s="94" t="n">
        <v>7</v>
      </c>
      <c r="L14175" s="88" t="n">
        <v>201208</v>
      </c>
      <c r="M14175" s="88">
        <f>VLOOKUP($Q14175,매칭테이블!$F:$I,2,0)*K14175</f>
        <v/>
      </c>
      <c r="N14175" s="88">
        <f>M14175-M14175*VLOOKUP($Q14175,매칭테이블!$F:$I,3,0)</f>
        <v/>
      </c>
      <c r="O14175" s="88">
        <f>VLOOKUP($Q14175,매칭테이블!$F:$I,4,0)*K14175</f>
        <v/>
      </c>
      <c r="P14175" s="152">
        <f>M14175/1.1</f>
        <v/>
      </c>
      <c r="Q14175" s="88">
        <f>F14175&amp;E14175&amp;G14175&amp;L14175</f>
        <v/>
      </c>
    </row>
    <row r="14176">
      <c r="B14176" s="128" t="n">
        <v>44220</v>
      </c>
      <c r="C14176" s="88">
        <f>TEXT(B14176,"aaa")</f>
        <v/>
      </c>
      <c r="D14176" s="94" t="n"/>
      <c r="E14176" s="88">
        <f>INDEX(매칭테이블!C:D,MATCH(RD!G14176,매칭테이블!D:D,0),1)</f>
        <v/>
      </c>
      <c r="F14176" s="94" t="inlineStr">
        <is>
          <t>카페24</t>
        </is>
      </c>
      <c r="G14176" s="94" t="inlineStr">
        <is>
          <t>[수분 보충 세트] 어성초 77 토너 + 어성초 70 로션옵션=어성초 77 토너 250ml + 어성초 70 로션 200ml -30%</t>
        </is>
      </c>
      <c r="K14176" s="94" t="n">
        <v>55</v>
      </c>
      <c r="L14176" s="88" t="n">
        <v>201208</v>
      </c>
      <c r="M14176" s="88">
        <f>VLOOKUP($Q14176,매칭테이블!$F:$I,2,0)*K14176</f>
        <v/>
      </c>
      <c r="N14176" s="88">
        <f>M14176-M14176*VLOOKUP($Q14176,매칭테이블!$F:$I,3,0)</f>
        <v/>
      </c>
      <c r="O14176" s="88">
        <f>VLOOKUP($Q14176,매칭테이블!$F:$I,4,0)*K14176</f>
        <v/>
      </c>
      <c r="P14176" s="152">
        <f>M14176/1.1</f>
        <v/>
      </c>
      <c r="Q14176" s="88">
        <f>F14176&amp;E14176&amp;G14176&amp;L14176</f>
        <v/>
      </c>
    </row>
    <row r="14177">
      <c r="B14177" s="128" t="n">
        <v>44220</v>
      </c>
      <c r="C14177" s="88">
        <f>TEXT(B14177,"aaa")</f>
        <v/>
      </c>
      <c r="D14177" s="94" t="n"/>
      <c r="E14177" s="88">
        <f>INDEX(매칭테이블!C:D,MATCH(RD!G14177,매칭테이블!D:D,0),1)</f>
        <v/>
      </c>
      <c r="F14177" s="94" t="inlineStr">
        <is>
          <t>카페24</t>
        </is>
      </c>
      <c r="G14177" s="94" t="inlineStr">
        <is>
          <t>[어성초 진정 패키지 세트] 대용량 토너 + 앰플 + 수딩 크림 + 마스크팩 10장</t>
        </is>
      </c>
      <c r="K14177" s="94" t="n">
        <v>1</v>
      </c>
      <c r="L14177" s="88" t="n">
        <v>201208</v>
      </c>
      <c r="M14177" s="88">
        <f>VLOOKUP($Q14177,매칭테이블!$F:$I,2,0)*K14177</f>
        <v/>
      </c>
      <c r="N14177" s="88">
        <f>M14177-M14177*VLOOKUP($Q14177,매칭테이블!$F:$I,3,0)</f>
        <v/>
      </c>
      <c r="O14177" s="88">
        <f>VLOOKUP($Q14177,매칭테이블!$F:$I,4,0)*K14177</f>
        <v/>
      </c>
      <c r="P14177" s="152">
        <f>M14177/1.1</f>
        <v/>
      </c>
      <c r="Q14177" s="88">
        <f>F14177&amp;E14177&amp;G14177&amp;L14177</f>
        <v/>
      </c>
    </row>
    <row r="14178">
      <c r="B14178" s="128" t="n">
        <v>44220</v>
      </c>
      <c r="C14178" s="88">
        <f>TEXT(B14178,"aaa")</f>
        <v/>
      </c>
      <c r="D14178" s="94" t="n"/>
      <c r="E14178" s="88">
        <f>INDEX(매칭테이블!C:D,MATCH(RD!G14178,매칭테이블!D:D,0),1)</f>
        <v/>
      </c>
      <c r="F14178" s="94" t="inlineStr">
        <is>
          <t>카페24</t>
        </is>
      </c>
      <c r="G14178" s="94" t="inlineStr">
        <is>
          <t>[플친단독] 어성초 80 수분 진정 앰플옵션=어성초 80 앰플 1개 - 28%off</t>
        </is>
      </c>
      <c r="K14178" s="94" t="n">
        <v>48</v>
      </c>
      <c r="L14178" s="88" t="n">
        <v>201208</v>
      </c>
      <c r="M14178" s="88">
        <f>VLOOKUP($Q14178,매칭테이블!$F:$I,2,0)*K14178</f>
        <v/>
      </c>
      <c r="N14178" s="88">
        <f>M14178-M14178*VLOOKUP($Q14178,매칭테이블!$F:$I,3,0)</f>
        <v/>
      </c>
      <c r="O14178" s="88">
        <f>VLOOKUP($Q14178,매칭테이블!$F:$I,4,0)*K14178</f>
        <v/>
      </c>
      <c r="P14178" s="152">
        <f>M14178/1.1</f>
        <v/>
      </c>
      <c r="Q14178" s="88">
        <f>F14178&amp;E14178&amp;G14178&amp;L14178</f>
        <v/>
      </c>
    </row>
    <row r="14179">
      <c r="B14179" s="128" t="n">
        <v>44220</v>
      </c>
      <c r="C14179" s="88">
        <f>TEXT(B14179,"aaa")</f>
        <v/>
      </c>
      <c r="D14179" s="94" t="n"/>
      <c r="E14179" s="88">
        <f>INDEX(매칭테이블!C:D,MATCH(RD!G14179,매칭테이블!D:D,0),1)</f>
        <v/>
      </c>
      <c r="F14179" s="94" t="inlineStr">
        <is>
          <t>카페24</t>
        </is>
      </c>
      <c r="G14179" s="94" t="inlineStr">
        <is>
          <t>[플친단독] 어성초 80 수분 진정 앰플옵션=어성초 80 앰플 2+1 EVENT (무료배송)</t>
        </is>
      </c>
      <c r="K14179" s="94" t="n">
        <v>62</v>
      </c>
      <c r="L14179" s="88" t="n">
        <v>201208</v>
      </c>
      <c r="M14179" s="88">
        <f>VLOOKUP($Q14179,매칭테이블!$F:$I,2,0)*K14179</f>
        <v/>
      </c>
      <c r="N14179" s="88">
        <f>M14179-M14179*VLOOKUP($Q14179,매칭테이블!$F:$I,3,0)</f>
        <v/>
      </c>
      <c r="O14179" s="88">
        <f>VLOOKUP($Q14179,매칭테이블!$F:$I,4,0)*K14179</f>
        <v/>
      </c>
      <c r="P14179" s="152">
        <f>M14179/1.1</f>
        <v/>
      </c>
      <c r="Q14179" s="88">
        <f>F14179&amp;E14179&amp;G14179&amp;L14179</f>
        <v/>
      </c>
    </row>
    <row r="14180">
      <c r="B14180" s="128" t="n">
        <v>44220</v>
      </c>
      <c r="C14180" s="88">
        <f>TEXT(B14180,"aaa")</f>
        <v/>
      </c>
      <c r="D14180" s="94" t="n"/>
      <c r="E14180" s="88">
        <f>INDEX(매칭테이블!C:D,MATCH(RD!G14180,매칭테이블!D:D,0),1)</f>
        <v/>
      </c>
      <c r="F14180" s="94" t="inlineStr">
        <is>
          <t>카페24</t>
        </is>
      </c>
      <c r="G14180" s="94" t="inlineStr">
        <is>
          <t>대용량 어성초 77 수딩 토너 500ml옵션=대용량 어성초 77 토너 1개 - 27% OFF</t>
        </is>
      </c>
      <c r="K14180" s="94" t="n">
        <v>42</v>
      </c>
      <c r="L14180" s="88" t="n">
        <v>201208</v>
      </c>
      <c r="M14180" s="88">
        <f>VLOOKUP($Q14180,매칭테이블!$F:$I,2,0)*K14180</f>
        <v/>
      </c>
      <c r="N14180" s="88">
        <f>M14180-M14180*VLOOKUP($Q14180,매칭테이블!$F:$I,3,0)</f>
        <v/>
      </c>
      <c r="O14180" s="88">
        <f>VLOOKUP($Q14180,매칭테이블!$F:$I,4,0)*K14180</f>
        <v/>
      </c>
      <c r="P14180" s="152">
        <f>M14180/1.1</f>
        <v/>
      </c>
      <c r="Q14180" s="88">
        <f>F14180&amp;E14180&amp;G14180&amp;L14180</f>
        <v/>
      </c>
    </row>
    <row r="14181">
      <c r="B14181" s="128" t="n">
        <v>44220</v>
      </c>
      <c r="C14181" s="88">
        <f>TEXT(B14181,"aaa")</f>
        <v/>
      </c>
      <c r="D14181" s="94" t="n"/>
      <c r="E14181" s="88">
        <f>INDEX(매칭테이블!C:D,MATCH(RD!G14181,매칭테이블!D:D,0),1)</f>
        <v/>
      </c>
      <c r="F14181" s="94" t="inlineStr">
        <is>
          <t>카페24</t>
        </is>
      </c>
      <c r="G14181" s="94" t="inlineStr">
        <is>
          <t>대용량 어성초 77 수딩 토너 500ml화장솜(선택)=촉촉 스킨팩 화장솜</t>
        </is>
      </c>
      <c r="K14181" s="94" t="n">
        <v>10</v>
      </c>
      <c r="L14181" s="88" t="n">
        <v>201208</v>
      </c>
      <c r="M14181" s="88">
        <f>VLOOKUP($Q14181,매칭테이블!$F:$I,2,0)*K14181</f>
        <v/>
      </c>
      <c r="N14181" s="88">
        <f>M14181-M14181*VLOOKUP($Q14181,매칭테이블!$F:$I,3,0)</f>
        <v/>
      </c>
      <c r="O14181" s="88">
        <f>VLOOKUP($Q14181,매칭테이블!$F:$I,4,0)*K14181</f>
        <v/>
      </c>
      <c r="P14181" s="152">
        <f>M14181/1.1</f>
        <v/>
      </c>
      <c r="Q14181" s="88">
        <f>F14181&amp;E14181&amp;G14181&amp;L14181</f>
        <v/>
      </c>
    </row>
    <row r="14182">
      <c r="B14182" s="128" t="n">
        <v>44220</v>
      </c>
      <c r="C14182" s="88">
        <f>TEXT(B14182,"aaa")</f>
        <v/>
      </c>
      <c r="D14182" s="94" t="n"/>
      <c r="E14182" s="88">
        <f>INDEX(매칭테이블!C:D,MATCH(RD!G14182,매칭테이블!D:D,0),1)</f>
        <v/>
      </c>
      <c r="F14182" s="94" t="inlineStr">
        <is>
          <t>카페24</t>
        </is>
      </c>
      <c r="G14182" s="94" t="inlineStr">
        <is>
          <t>어성초 70 데일리 릴리프 로션로션=어성초 70 데일리 릴리프 로션 1개 -20% off</t>
        </is>
      </c>
      <c r="K14182" s="94" t="n">
        <v>17</v>
      </c>
      <c r="L14182" s="88" t="n">
        <v>201208</v>
      </c>
      <c r="M14182" s="88">
        <f>VLOOKUP($Q14182,매칭테이블!$F:$I,2,0)*K14182</f>
        <v/>
      </c>
      <c r="N14182" s="88">
        <f>M14182-M14182*VLOOKUP($Q14182,매칭테이블!$F:$I,3,0)</f>
        <v/>
      </c>
      <c r="O14182" s="88">
        <f>VLOOKUP($Q14182,매칭테이블!$F:$I,4,0)*K14182</f>
        <v/>
      </c>
      <c r="P14182" s="152">
        <f>M14182/1.1</f>
        <v/>
      </c>
      <c r="Q14182" s="88">
        <f>F14182&amp;E14182&amp;G14182&amp;L14182</f>
        <v/>
      </c>
    </row>
    <row r="14183">
      <c r="B14183" s="128" t="n">
        <v>44220</v>
      </c>
      <c r="C14183" s="88">
        <f>TEXT(B14183,"aaa")</f>
        <v/>
      </c>
      <c r="D14183" s="94" t="n"/>
      <c r="E14183" s="88">
        <f>INDEX(매칭테이블!C:D,MATCH(RD!G14183,매칭테이블!D:D,0),1)</f>
        <v/>
      </c>
      <c r="F14183" s="94" t="inlineStr">
        <is>
          <t>카페24</t>
        </is>
      </c>
      <c r="G14183" s="94" t="inlineStr">
        <is>
          <t>어성초 70 데일리 릴리프 로션로션=어성초 70 데일리 릴리프 로션 2개 -30% off</t>
        </is>
      </c>
      <c r="K14183" s="94" t="n">
        <v>3</v>
      </c>
      <c r="L14183" s="88" t="n">
        <v>201208</v>
      </c>
      <c r="M14183" s="88">
        <f>VLOOKUP($Q14183,매칭테이블!$F:$I,2,0)*K14183</f>
        <v/>
      </c>
      <c r="N14183" s="88">
        <f>M14183-M14183*VLOOKUP($Q14183,매칭테이블!$F:$I,3,0)</f>
        <v/>
      </c>
      <c r="O14183" s="88">
        <f>VLOOKUP($Q14183,매칭테이블!$F:$I,4,0)*K14183</f>
        <v/>
      </c>
      <c r="P14183" s="152">
        <f>M14183/1.1</f>
        <v/>
      </c>
      <c r="Q14183" s="88">
        <f>F14183&amp;E14183&amp;G14183&amp;L14183</f>
        <v/>
      </c>
    </row>
    <row r="14184">
      <c r="B14184" s="128" t="n">
        <v>44220</v>
      </c>
      <c r="C14184" s="88">
        <f>TEXT(B14184,"aaa")</f>
        <v/>
      </c>
      <c r="D14184" s="94" t="n"/>
      <c r="E14184" s="88">
        <f>INDEX(매칭테이블!C:D,MATCH(RD!G14184,매칭테이블!D:D,0),1)</f>
        <v/>
      </c>
      <c r="F14184" s="94" t="inlineStr">
        <is>
          <t>카페24</t>
        </is>
      </c>
      <c r="G14184" s="94" t="inlineStr">
        <is>
          <t>어성초 70 데일리 릴리프 로션로션=어성초 77토너 + 어성초 70 로션 수분 보충 세트 -30% off</t>
        </is>
      </c>
      <c r="K14184" s="94" t="n">
        <v>7</v>
      </c>
      <c r="L14184" s="88" t="n">
        <v>201208</v>
      </c>
      <c r="M14184" s="88">
        <f>VLOOKUP($Q14184,매칭테이블!$F:$I,2,0)*K14184</f>
        <v/>
      </c>
      <c r="N14184" s="88">
        <f>M14184-M14184*VLOOKUP($Q14184,매칭테이블!$F:$I,3,0)</f>
        <v/>
      </c>
      <c r="O14184" s="88">
        <f>VLOOKUP($Q14184,매칭테이블!$F:$I,4,0)*K14184</f>
        <v/>
      </c>
      <c r="P14184" s="152">
        <f>M14184/1.1</f>
        <v/>
      </c>
      <c r="Q14184" s="88">
        <f>F14184&amp;E14184&amp;G14184&amp;L14184</f>
        <v/>
      </c>
    </row>
    <row r="14185">
      <c r="B14185" s="128" t="n">
        <v>44220</v>
      </c>
      <c r="C14185" s="88">
        <f>TEXT(B14185,"aaa")</f>
        <v/>
      </c>
      <c r="D14185" s="94" t="n"/>
      <c r="E14185" s="88">
        <f>INDEX(매칭테이블!C:D,MATCH(RD!G14185,매칭테이블!D:D,0),1)</f>
        <v/>
      </c>
      <c r="F14185" s="94" t="inlineStr">
        <is>
          <t>카페24</t>
        </is>
      </c>
      <c r="G14185" s="94" t="inlineStr">
        <is>
          <t>어성초 70 머드 크림 마스크옵션=어성초 70 머드 크림 마스크-20% off</t>
        </is>
      </c>
      <c r="K14185" s="94" t="n">
        <v>4</v>
      </c>
      <c r="L14185" s="88" t="n">
        <v>201208</v>
      </c>
      <c r="M14185" s="88">
        <f>VLOOKUP($Q14185,매칭테이블!$F:$I,2,0)*K14185</f>
        <v/>
      </c>
      <c r="N14185" s="88">
        <f>M14185-M14185*VLOOKUP($Q14185,매칭테이블!$F:$I,3,0)</f>
        <v/>
      </c>
      <c r="O14185" s="88">
        <f>VLOOKUP($Q14185,매칭테이블!$F:$I,4,0)*K14185</f>
        <v/>
      </c>
      <c r="P14185" s="152">
        <f>M14185/1.1</f>
        <v/>
      </c>
      <c r="Q14185" s="88">
        <f>F14185&amp;E14185&amp;G14185&amp;L14185</f>
        <v/>
      </c>
    </row>
    <row r="14186">
      <c r="B14186" s="128" t="n">
        <v>44220</v>
      </c>
      <c r="C14186" s="88">
        <f>TEXT(B14186,"aaa")</f>
        <v/>
      </c>
      <c r="D14186" s="94" t="n"/>
      <c r="E14186" s="88">
        <f>INDEX(매칭테이블!C:D,MATCH(RD!G14186,매칭테이블!D:D,0),1)</f>
        <v/>
      </c>
      <c r="F14186" s="94" t="inlineStr">
        <is>
          <t>카페24</t>
        </is>
      </c>
      <c r="G14186" s="94" t="inlineStr">
        <is>
          <t>어성초 70 인텐스 카밍 크림크림=어성초 70 인텐스 카밍 크림 1개 (-20%)</t>
        </is>
      </c>
      <c r="K14186" s="94" t="n">
        <v>4</v>
      </c>
      <c r="L14186" s="88" t="n">
        <v>201208</v>
      </c>
      <c r="M14186" s="88">
        <f>VLOOKUP($Q14186,매칭테이블!$F:$I,2,0)*K14186</f>
        <v/>
      </c>
      <c r="N14186" s="88">
        <f>M14186-M14186*VLOOKUP($Q14186,매칭테이블!$F:$I,3,0)</f>
        <v/>
      </c>
      <c r="O14186" s="88">
        <f>VLOOKUP($Q14186,매칭테이블!$F:$I,4,0)*K14186</f>
        <v/>
      </c>
      <c r="P14186" s="152">
        <f>M14186/1.1</f>
        <v/>
      </c>
      <c r="Q14186" s="88">
        <f>F14186&amp;E14186&amp;G14186&amp;L14186</f>
        <v/>
      </c>
    </row>
    <row r="14187">
      <c r="B14187" s="128" t="n">
        <v>44220</v>
      </c>
      <c r="C14187" s="88">
        <f>TEXT(B14187,"aaa")</f>
        <v/>
      </c>
      <c r="D14187" s="94" t="n"/>
      <c r="E14187" s="88">
        <f>INDEX(매칭테이블!C:D,MATCH(RD!G14187,매칭테이블!D:D,0),1)</f>
        <v/>
      </c>
      <c r="F14187" s="94" t="inlineStr">
        <is>
          <t>카페24</t>
        </is>
      </c>
      <c r="G14187" s="94" t="inlineStr">
        <is>
          <t>어성초 70 인텐스 카밍 크림크림=어성초 토너 250ml + 카밍 크림 50ml (-30%)</t>
        </is>
      </c>
      <c r="K14187" s="94" t="n">
        <v>2</v>
      </c>
      <c r="L14187" s="88" t="n">
        <v>201208</v>
      </c>
      <c r="M14187" s="88">
        <f>VLOOKUP($Q14187,매칭테이블!$F:$I,2,0)*K14187</f>
        <v/>
      </c>
      <c r="N14187" s="88">
        <f>M14187-M14187*VLOOKUP($Q14187,매칭테이블!$F:$I,3,0)</f>
        <v/>
      </c>
      <c r="O14187" s="88">
        <f>VLOOKUP($Q14187,매칭테이블!$F:$I,4,0)*K14187</f>
        <v/>
      </c>
      <c r="P14187" s="152">
        <f>M14187/1.1</f>
        <v/>
      </c>
      <c r="Q14187" s="88">
        <f>F14187&amp;E14187&amp;G14187&amp;L14187</f>
        <v/>
      </c>
    </row>
    <row r="14188">
      <c r="B14188" s="128" t="n">
        <v>44220</v>
      </c>
      <c r="C14188" s="88">
        <f>TEXT(B14188,"aaa")</f>
        <v/>
      </c>
      <c r="D14188" s="94" t="n"/>
      <c r="E14188" s="88">
        <f>INDEX(매칭테이블!C:D,MATCH(RD!G14188,매칭테이블!D:D,0),1)</f>
        <v/>
      </c>
      <c r="F14188" s="94" t="inlineStr">
        <is>
          <t>카페24</t>
        </is>
      </c>
      <c r="G14188" s="94" t="inlineStr">
        <is>
          <t>어성초 77 수딩 토너옵션=어성초 77 토너 1개-20% off</t>
        </is>
      </c>
      <c r="K14188" s="94" t="n">
        <v>67</v>
      </c>
      <c r="L14188" s="88" t="n">
        <v>201208</v>
      </c>
      <c r="M14188" s="88">
        <f>VLOOKUP($Q14188,매칭테이블!$F:$I,2,0)*K14188</f>
        <v/>
      </c>
      <c r="N14188" s="88">
        <f>M14188-M14188*VLOOKUP($Q14188,매칭테이블!$F:$I,3,0)</f>
        <v/>
      </c>
      <c r="O14188" s="88">
        <f>VLOOKUP($Q14188,매칭테이블!$F:$I,4,0)*K14188</f>
        <v/>
      </c>
      <c r="P14188" s="152">
        <f>M14188/1.1</f>
        <v/>
      </c>
      <c r="Q14188" s="88">
        <f>F14188&amp;E14188&amp;G14188&amp;L14188</f>
        <v/>
      </c>
    </row>
    <row r="14189">
      <c r="B14189" s="128" t="n">
        <v>44220</v>
      </c>
      <c r="C14189" s="88">
        <f>TEXT(B14189,"aaa")</f>
        <v/>
      </c>
      <c r="D14189" s="94" t="n"/>
      <c r="E14189" s="88">
        <f>INDEX(매칭테이블!C:D,MATCH(RD!G14189,매칭테이블!D:D,0),1)</f>
        <v/>
      </c>
      <c r="F14189" s="94" t="inlineStr">
        <is>
          <t>카페24</t>
        </is>
      </c>
      <c r="G14189" s="94" t="inlineStr">
        <is>
          <t>어성초 77 수딩 토너옵션=BEST어성초 77 토너 2개-30% off (무료배송)</t>
        </is>
      </c>
      <c r="K14189" s="94" t="n">
        <v>45</v>
      </c>
      <c r="L14189" s="88" t="n">
        <v>201208</v>
      </c>
      <c r="M14189" s="88">
        <f>VLOOKUP($Q14189,매칭테이블!$F:$I,2,0)*K14189</f>
        <v/>
      </c>
      <c r="N14189" s="88">
        <f>M14189-M14189*VLOOKUP($Q14189,매칭테이블!$F:$I,3,0)</f>
        <v/>
      </c>
      <c r="O14189" s="88">
        <f>VLOOKUP($Q14189,매칭테이블!$F:$I,4,0)*K14189</f>
        <v/>
      </c>
      <c r="P14189" s="152">
        <f>M14189/1.1</f>
        <v/>
      </c>
      <c r="Q14189" s="88">
        <f>F14189&amp;E14189&amp;G14189&amp;L14189</f>
        <v/>
      </c>
    </row>
    <row r="14190">
      <c r="B14190" s="128" t="n">
        <v>44220</v>
      </c>
      <c r="C14190" s="88">
        <f>TEXT(B14190,"aaa")</f>
        <v/>
      </c>
      <c r="D14190" s="94" t="n"/>
      <c r="E14190" s="88">
        <f>INDEX(매칭테이블!C:D,MATCH(RD!G14190,매칭테이블!D:D,0),1)</f>
        <v/>
      </c>
      <c r="F14190" s="94" t="inlineStr">
        <is>
          <t>카페24</t>
        </is>
      </c>
      <c r="G14190" s="94" t="inlineStr">
        <is>
          <t>어성초 77 수딩 토너옵션=어성초 77토너1개 + 어성초77패드1개 -30% off (무료배송)</t>
        </is>
      </c>
      <c r="K14190" s="94" t="n">
        <v>23</v>
      </c>
      <c r="L14190" s="88" t="n">
        <v>201208</v>
      </c>
      <c r="M14190" s="88">
        <f>VLOOKUP($Q14190,매칭테이블!$F:$I,2,0)*K14190</f>
        <v/>
      </c>
      <c r="N14190" s="88">
        <f>M14190-M14190*VLOOKUP($Q14190,매칭테이블!$F:$I,3,0)</f>
        <v/>
      </c>
      <c r="O14190" s="88">
        <f>VLOOKUP($Q14190,매칭테이블!$F:$I,4,0)*K14190</f>
        <v/>
      </c>
      <c r="P14190" s="152">
        <f>M14190/1.1</f>
        <v/>
      </c>
      <c r="Q14190" s="88">
        <f>F14190&amp;E14190&amp;G14190&amp;L14190</f>
        <v/>
      </c>
    </row>
    <row r="14191">
      <c r="B14191" s="128" t="n">
        <v>44220</v>
      </c>
      <c r="C14191" s="88">
        <f>TEXT(B14191,"aaa")</f>
        <v/>
      </c>
      <c r="D14191" s="94" t="n"/>
      <c r="E14191" s="88">
        <f>INDEX(매칭테이블!C:D,MATCH(RD!G14191,매칭테이블!D:D,0),1)</f>
        <v/>
      </c>
      <c r="F14191" s="94" t="inlineStr">
        <is>
          <t>카페24</t>
        </is>
      </c>
      <c r="G14191" s="94" t="inlineStr">
        <is>
          <t>어성초 77 수딩 토너화장솜(선택)=촉촉 스킨팩 화장솜</t>
        </is>
      </c>
      <c r="K14191" s="94" t="n">
        <v>26</v>
      </c>
      <c r="L14191" s="88" t="n">
        <v>201208</v>
      </c>
      <c r="M14191" s="88">
        <f>VLOOKUP($Q14191,매칭테이블!$F:$I,2,0)*K14191</f>
        <v/>
      </c>
      <c r="N14191" s="88">
        <f>M14191-M14191*VLOOKUP($Q14191,매칭테이블!$F:$I,3,0)</f>
        <v/>
      </c>
      <c r="O14191" s="88">
        <f>VLOOKUP($Q14191,매칭테이블!$F:$I,4,0)*K14191</f>
        <v/>
      </c>
      <c r="P14191" s="152">
        <f>M14191/1.1</f>
        <v/>
      </c>
      <c r="Q14191" s="88">
        <f>F14191&amp;E14191&amp;G14191&amp;L14191</f>
        <v/>
      </c>
    </row>
    <row r="14192">
      <c r="B14192" s="128" t="n">
        <v>44220</v>
      </c>
      <c r="C14192" s="88">
        <f>TEXT(B14192,"aaa")</f>
        <v/>
      </c>
      <c r="D14192" s="94" t="n"/>
      <c r="E14192" s="88">
        <f>INDEX(매칭테이블!C:D,MATCH(RD!G14192,매칭테이블!D:D,0),1)</f>
        <v/>
      </c>
      <c r="F14192" s="94" t="inlineStr">
        <is>
          <t>카페24</t>
        </is>
      </c>
      <c r="G14192" s="94" t="inlineStr">
        <is>
          <t>어성초 77 수딩 토너토너(필수)=(대용량) 어성초 77 토너 500ml (무료배송)</t>
        </is>
      </c>
      <c r="K14192" s="94" t="n">
        <v>1</v>
      </c>
      <c r="L14192" s="88" t="n">
        <v>201208</v>
      </c>
      <c r="M14192" s="88">
        <f>VLOOKUP($Q14192,매칭테이블!$F:$I,2,0)*K14192</f>
        <v/>
      </c>
      <c r="N14192" s="88">
        <f>M14192-M14192*VLOOKUP($Q14192,매칭테이블!$F:$I,3,0)</f>
        <v/>
      </c>
      <c r="O14192" s="88">
        <f>VLOOKUP($Q14192,매칭테이블!$F:$I,4,0)*K14192</f>
        <v/>
      </c>
      <c r="P14192" s="152">
        <f>M14192/1.1</f>
        <v/>
      </c>
      <c r="Q14192" s="88">
        <f>F14192&amp;E14192&amp;G14192&amp;L14192</f>
        <v/>
      </c>
    </row>
    <row r="14193">
      <c r="B14193" s="128" t="n">
        <v>44220</v>
      </c>
      <c r="C14193" s="88">
        <f>TEXT(B14193,"aaa")</f>
        <v/>
      </c>
      <c r="D14193" s="94" t="n"/>
      <c r="E14193" s="88">
        <f>INDEX(매칭테이블!C:D,MATCH(RD!G14193,매칭테이블!D:D,0),1)</f>
        <v/>
      </c>
      <c r="F14193" s="94" t="inlineStr">
        <is>
          <t>카페24</t>
        </is>
      </c>
      <c r="G14193" s="94" t="inlineStr">
        <is>
          <t>어성초 77 진정 마스크옵션=어성초 77 진정 마스크팩 1장</t>
        </is>
      </c>
      <c r="K14193" s="94" t="n">
        <v>2</v>
      </c>
      <c r="L14193" s="88" t="n">
        <v>201208</v>
      </c>
      <c r="M14193" s="88">
        <f>VLOOKUP($Q14193,매칭테이블!$F:$I,2,0)*K14193</f>
        <v/>
      </c>
      <c r="N14193" s="88">
        <f>M14193-M14193*VLOOKUP($Q14193,매칭테이블!$F:$I,3,0)</f>
        <v/>
      </c>
      <c r="O14193" s="88">
        <f>VLOOKUP($Q14193,매칭테이블!$F:$I,4,0)*K14193</f>
        <v/>
      </c>
      <c r="P14193" s="152">
        <f>M14193/1.1</f>
        <v/>
      </c>
      <c r="Q14193" s="88">
        <f>F14193&amp;E14193&amp;G14193&amp;L14193</f>
        <v/>
      </c>
    </row>
    <row r="14194">
      <c r="B14194" s="128" t="n">
        <v>44220</v>
      </c>
      <c r="C14194" s="88">
        <f>TEXT(B14194,"aaa")</f>
        <v/>
      </c>
      <c r="D14194" s="94" t="n"/>
      <c r="E14194" s="88">
        <f>INDEX(매칭테이블!C:D,MATCH(RD!G14194,매칭테이블!D:D,0),1)</f>
        <v/>
      </c>
      <c r="F14194" s="94" t="inlineStr">
        <is>
          <t>카페24</t>
        </is>
      </c>
      <c r="G14194" s="94" t="inlineStr">
        <is>
          <t>어성초 77 진정 마스크옵션=어성초 77 진정 마스크팩 10장-50% off</t>
        </is>
      </c>
      <c r="K14194" s="94" t="n">
        <v>10</v>
      </c>
      <c r="L14194" s="88" t="n">
        <v>201208</v>
      </c>
      <c r="M14194" s="88">
        <f>VLOOKUP($Q14194,매칭테이블!$F:$I,2,0)*K14194</f>
        <v/>
      </c>
      <c r="N14194" s="88">
        <f>M14194-M14194*VLOOKUP($Q14194,매칭테이블!$F:$I,3,0)</f>
        <v/>
      </c>
      <c r="O14194" s="88">
        <f>VLOOKUP($Q14194,매칭테이블!$F:$I,4,0)*K14194</f>
        <v/>
      </c>
      <c r="P14194" s="152">
        <f>M14194/1.1</f>
        <v/>
      </c>
      <c r="Q14194" s="88">
        <f>F14194&amp;E14194&amp;G14194&amp;L14194</f>
        <v/>
      </c>
    </row>
    <row r="14195">
      <c r="B14195" s="128" t="n">
        <v>44220</v>
      </c>
      <c r="C14195" s="88">
        <f>TEXT(B14195,"aaa")</f>
        <v/>
      </c>
      <c r="D14195" s="94" t="n"/>
      <c r="E14195" s="88">
        <f>INDEX(매칭테이블!C:D,MATCH(RD!G14195,매칭테이블!D:D,0),1)</f>
        <v/>
      </c>
      <c r="F14195" s="94" t="inlineStr">
        <is>
          <t>카페24</t>
        </is>
      </c>
      <c r="G14195" s="94" t="inlineStr">
        <is>
          <t>어성초 77 진정 마스크</t>
        </is>
      </c>
      <c r="K14195" s="94" t="n">
        <v>1</v>
      </c>
      <c r="L14195" s="88" t="n">
        <v>201208</v>
      </c>
      <c r="M14195" s="88">
        <f>VLOOKUP($Q14195,매칭테이블!$F:$I,2,0)*K14195</f>
        <v/>
      </c>
      <c r="N14195" s="88">
        <f>M14195-M14195*VLOOKUP($Q14195,매칭테이블!$F:$I,3,0)</f>
        <v/>
      </c>
      <c r="O14195" s="88">
        <f>VLOOKUP($Q14195,매칭테이블!$F:$I,4,0)*K14195</f>
        <v/>
      </c>
      <c r="P14195" s="152">
        <f>M14195/1.1</f>
        <v/>
      </c>
      <c r="Q14195" s="88">
        <f>F14195&amp;E14195&amp;G14195&amp;L14195</f>
        <v/>
      </c>
    </row>
    <row r="14196">
      <c r="B14196" s="128" t="n">
        <v>44220</v>
      </c>
      <c r="C14196" s="88">
        <f>TEXT(B14196,"aaa")</f>
        <v/>
      </c>
      <c r="D14196" s="94" t="n"/>
      <c r="E14196" s="88">
        <f>INDEX(매칭테이블!C:D,MATCH(RD!G14196,매칭테이블!D:D,0),1)</f>
        <v/>
      </c>
      <c r="F14196" s="94" t="inlineStr">
        <is>
          <t>카페24</t>
        </is>
      </c>
      <c r="G14196" s="94" t="inlineStr">
        <is>
          <t>어성초 77 토너</t>
        </is>
      </c>
      <c r="K14196" s="94" t="n">
        <v>1</v>
      </c>
      <c r="L14196" s="88" t="n">
        <v>201208</v>
      </c>
      <c r="M14196" s="88">
        <f>VLOOKUP($Q14196,매칭테이블!$F:$I,2,0)*K14196</f>
        <v/>
      </c>
      <c r="N14196" s="88">
        <f>M14196-M14196*VLOOKUP($Q14196,매칭테이블!$F:$I,3,0)</f>
        <v/>
      </c>
      <c r="O14196" s="88">
        <f>VLOOKUP($Q14196,매칭테이블!$F:$I,4,0)*K14196</f>
        <v/>
      </c>
      <c r="P14196" s="152">
        <f>M14196/1.1</f>
        <v/>
      </c>
      <c r="Q14196" s="88">
        <f>F14196&amp;E14196&amp;G14196&amp;L14196</f>
        <v/>
      </c>
    </row>
    <row r="14197">
      <c r="B14197" s="128" t="n">
        <v>44220</v>
      </c>
      <c r="C14197" s="88">
        <f>TEXT(B14197,"aaa")</f>
        <v/>
      </c>
      <c r="D14197" s="94" t="n"/>
      <c r="E14197" s="88">
        <f>INDEX(매칭테이블!C:D,MATCH(RD!G14197,매칭테이블!D:D,0),1)</f>
        <v/>
      </c>
      <c r="F14197" s="94" t="inlineStr">
        <is>
          <t>카페24</t>
        </is>
      </c>
      <c r="G14197" s="94" t="inlineStr">
        <is>
          <t>어성초 78 수딩 크림</t>
        </is>
      </c>
      <c r="K14197" s="94" t="n">
        <v>9</v>
      </c>
      <c r="L14197" s="88" t="n">
        <v>201208</v>
      </c>
      <c r="M14197" s="88">
        <f>VLOOKUP($Q14197,매칭테이블!$F:$I,2,0)*K14197</f>
        <v/>
      </c>
      <c r="N14197" s="88">
        <f>M14197-M14197*VLOOKUP($Q14197,매칭테이블!$F:$I,3,0)</f>
        <v/>
      </c>
      <c r="O14197" s="88">
        <f>VLOOKUP($Q14197,매칭테이블!$F:$I,4,0)*K14197</f>
        <v/>
      </c>
      <c r="P14197" s="152">
        <f>M14197/1.1</f>
        <v/>
      </c>
      <c r="Q14197" s="88">
        <f>F14197&amp;E14197&amp;G14197&amp;L14197</f>
        <v/>
      </c>
    </row>
    <row r="14198">
      <c r="B14198" s="128" t="n">
        <v>44220</v>
      </c>
      <c r="C14198" s="88">
        <f>TEXT(B14198,"aaa")</f>
        <v/>
      </c>
      <c r="D14198" s="94" t="n"/>
      <c r="E14198" s="88">
        <f>INDEX(매칭테이블!C:D,MATCH(RD!G14198,매칭테이블!D:D,0),1)</f>
        <v/>
      </c>
      <c r="F14198" s="94" t="inlineStr">
        <is>
          <t>카페24</t>
        </is>
      </c>
      <c r="G14198" s="94" t="inlineStr">
        <is>
          <t>어성초 78 수딩 크림</t>
        </is>
      </c>
      <c r="K14198" s="94" t="n">
        <v>3</v>
      </c>
      <c r="L14198" s="88" t="n">
        <v>201208</v>
      </c>
      <c r="M14198" s="88">
        <f>VLOOKUP($Q14198,매칭테이블!$F:$I,2,0)*K14198</f>
        <v/>
      </c>
      <c r="N14198" s="88">
        <f>M14198-M14198*VLOOKUP($Q14198,매칭테이블!$F:$I,3,0)</f>
        <v/>
      </c>
      <c r="O14198" s="88">
        <f>VLOOKUP($Q14198,매칭테이블!$F:$I,4,0)*K14198</f>
        <v/>
      </c>
      <c r="P14198" s="152">
        <f>M14198/1.1</f>
        <v/>
      </c>
      <c r="Q14198" s="88">
        <f>F14198&amp;E14198&amp;G14198&amp;L14198</f>
        <v/>
      </c>
    </row>
    <row r="14199">
      <c r="B14199" s="128" t="n">
        <v>44220</v>
      </c>
      <c r="C14199" s="88">
        <f>TEXT(B14199,"aaa")</f>
        <v/>
      </c>
      <c r="D14199" s="94" t="n"/>
      <c r="E14199" s="88">
        <f>INDEX(매칭테이블!C:D,MATCH(RD!G14199,매칭테이블!D:D,0),1)</f>
        <v/>
      </c>
      <c r="F14199" s="94" t="inlineStr">
        <is>
          <t>카페24</t>
        </is>
      </c>
      <c r="G14199" s="94" t="inlineStr">
        <is>
          <t>어성초 80 수분 진정 앰플앰플=어성초 80 앰플 1개-15%off</t>
        </is>
      </c>
      <c r="K14199" s="94" t="n">
        <v>35</v>
      </c>
      <c r="L14199" s="88" t="n">
        <v>201208</v>
      </c>
      <c r="M14199" s="88">
        <f>VLOOKUP($Q14199,매칭테이블!$F:$I,2,0)*K14199</f>
        <v/>
      </c>
      <c r="N14199" s="88">
        <f>M14199-M14199*VLOOKUP($Q14199,매칭테이블!$F:$I,3,0)</f>
        <v/>
      </c>
      <c r="O14199" s="88">
        <f>VLOOKUP($Q14199,매칭테이블!$F:$I,4,0)*K14199</f>
        <v/>
      </c>
      <c r="P14199" s="152">
        <f>M14199/1.1</f>
        <v/>
      </c>
      <c r="Q14199" s="88">
        <f>F14199&amp;E14199&amp;G14199&amp;L14199</f>
        <v/>
      </c>
    </row>
    <row r="14200">
      <c r="B14200" s="128" t="n">
        <v>44220</v>
      </c>
      <c r="C14200" s="88">
        <f>TEXT(B14200,"aaa")</f>
        <v/>
      </c>
      <c r="D14200" s="94" t="n"/>
      <c r="E14200" s="88">
        <f>INDEX(매칭테이블!C:D,MATCH(RD!G14200,매칭테이블!D:D,0),1)</f>
        <v/>
      </c>
      <c r="F14200" s="94" t="inlineStr">
        <is>
          <t>카페24</t>
        </is>
      </c>
      <c r="G14200" s="94" t="inlineStr">
        <is>
          <t>어성초 80 수분 진정 앰플앰플=어성초 80 앰플 2개-27%off (무료배송)</t>
        </is>
      </c>
      <c r="K14200" s="94" t="n">
        <v>9</v>
      </c>
      <c r="L14200" s="88" t="n">
        <v>201208</v>
      </c>
      <c r="M14200" s="88">
        <f>VLOOKUP($Q14200,매칭테이블!$F:$I,2,0)*K14200</f>
        <v/>
      </c>
      <c r="N14200" s="88">
        <f>M14200-M14200*VLOOKUP($Q14200,매칭테이블!$F:$I,3,0)</f>
        <v/>
      </c>
      <c r="O14200" s="88">
        <f>VLOOKUP($Q14200,매칭테이블!$F:$I,4,0)*K14200</f>
        <v/>
      </c>
      <c r="P14200" s="152">
        <f>M14200/1.1</f>
        <v/>
      </c>
      <c r="Q14200" s="88">
        <f>F14200&amp;E14200&amp;G14200&amp;L14200</f>
        <v/>
      </c>
    </row>
    <row r="14201">
      <c r="B14201" s="128" t="n">
        <v>44220</v>
      </c>
      <c r="C14201" s="88">
        <f>TEXT(B14201,"aaa")</f>
        <v/>
      </c>
      <c r="D14201" s="94" t="n"/>
      <c r="E14201" s="88">
        <f>INDEX(매칭테이블!C:D,MATCH(RD!G14201,매칭테이블!D:D,0),1)</f>
        <v/>
      </c>
      <c r="F14201" s="94" t="inlineStr">
        <is>
          <t>카페24</t>
        </is>
      </c>
      <c r="G14201" s="94" t="inlineStr">
        <is>
          <t>어성초 80 수분 진정 앰플</t>
        </is>
      </c>
      <c r="K14201" s="94" t="n">
        <v>2</v>
      </c>
      <c r="L14201" s="88" t="n">
        <v>201208</v>
      </c>
      <c r="M14201" s="88">
        <f>VLOOKUP($Q14201,매칭테이블!$F:$I,2,0)*K14201</f>
        <v/>
      </c>
      <c r="N14201" s="88">
        <f>M14201-M14201*VLOOKUP($Q14201,매칭테이블!$F:$I,3,0)</f>
        <v/>
      </c>
      <c r="O14201" s="88">
        <f>VLOOKUP($Q14201,매칭테이블!$F:$I,4,0)*K14201</f>
        <v/>
      </c>
      <c r="P14201" s="152">
        <f>M14201/1.1</f>
        <v/>
      </c>
      <c r="Q14201" s="88">
        <f>F14201&amp;E14201&amp;G14201&amp;L14201</f>
        <v/>
      </c>
    </row>
    <row r="14202">
      <c r="B14202" s="128" t="n">
        <v>44220</v>
      </c>
      <c r="C14202" s="88">
        <f>TEXT(B14202,"aaa")</f>
        <v/>
      </c>
      <c r="D14202" s="94" t="n"/>
      <c r="E14202" s="88">
        <f>INDEX(매칭테이블!C:D,MATCH(RD!G14202,매칭테이블!D:D,0),1)</f>
        <v/>
      </c>
      <c r="F14202" s="94" t="inlineStr">
        <is>
          <t>카페24</t>
        </is>
      </c>
      <c r="G14202" s="94" t="inlineStr">
        <is>
          <t>어성초 아크네 바디워시옵션=어성초 아크네 바디워시 1개 -30% off</t>
        </is>
      </c>
      <c r="K14202" s="94" t="n">
        <v>5</v>
      </c>
      <c r="L14202" s="88" t="n">
        <v>201208</v>
      </c>
      <c r="M14202" s="88">
        <f>VLOOKUP($Q14202,매칭테이블!$F:$I,2,0)*K14202</f>
        <v/>
      </c>
      <c r="N14202" s="88">
        <f>M14202-M14202*VLOOKUP($Q14202,매칭테이블!$F:$I,3,0)</f>
        <v/>
      </c>
      <c r="O14202" s="88">
        <f>VLOOKUP($Q14202,매칭테이블!$F:$I,4,0)*K14202</f>
        <v/>
      </c>
      <c r="P14202" s="152">
        <f>M14202/1.1</f>
        <v/>
      </c>
      <c r="Q14202" s="88">
        <f>F14202&amp;E14202&amp;G14202&amp;L14202</f>
        <v/>
      </c>
    </row>
    <row r="14203">
      <c r="B14203" s="128" t="n">
        <v>44220</v>
      </c>
      <c r="C14203" s="88">
        <f>TEXT(B14203,"aaa")</f>
        <v/>
      </c>
      <c r="D14203" s="94" t="n"/>
      <c r="E14203" s="88">
        <f>INDEX(매칭테이블!C:D,MATCH(RD!G14203,매칭테이블!D:D,0),1)</f>
        <v/>
      </c>
      <c r="F14203" s="94" t="inlineStr">
        <is>
          <t>카페24</t>
        </is>
      </c>
      <c r="G14203" s="94" t="inlineStr">
        <is>
          <t>어성초 아크네 바디워시옵션=어성초 아크네 바디워시 2개 -35% off (무료배송)</t>
        </is>
      </c>
      <c r="K14203" s="94" t="n">
        <v>3</v>
      </c>
      <c r="L14203" s="88" t="n">
        <v>201208</v>
      </c>
      <c r="M14203" s="88">
        <f>VLOOKUP($Q14203,매칭테이블!$F:$I,2,0)*K14203</f>
        <v/>
      </c>
      <c r="N14203" s="88">
        <f>M14203-M14203*VLOOKUP($Q14203,매칭테이블!$F:$I,3,0)</f>
        <v/>
      </c>
      <c r="O14203" s="88">
        <f>VLOOKUP($Q14203,매칭테이블!$F:$I,4,0)*K14203</f>
        <v/>
      </c>
      <c r="P14203" s="152">
        <f>M14203/1.1</f>
        <v/>
      </c>
      <c r="Q14203" s="88">
        <f>F14203&amp;E14203&amp;G14203&amp;L14203</f>
        <v/>
      </c>
    </row>
    <row r="14204">
      <c r="B14204" s="128" t="n">
        <v>44220</v>
      </c>
      <c r="C14204" s="88">
        <f>TEXT(B14204,"aaa")</f>
        <v/>
      </c>
      <c r="D14204" s="94" t="n"/>
      <c r="E14204" s="88">
        <f>INDEX(매칭테이블!C:D,MATCH(RD!G14204,매칭테이블!D:D,0),1)</f>
        <v/>
      </c>
      <c r="F14204" s="94" t="inlineStr">
        <is>
          <t>카페24</t>
        </is>
      </c>
      <c r="G14204" s="94" t="inlineStr">
        <is>
          <t>어성초 약산성 클렌징폼클렌징폼=어성초 약산성 클렌징폼 1개 -19%off</t>
        </is>
      </c>
      <c r="K14204" s="94" t="n">
        <v>23</v>
      </c>
      <c r="L14204" s="88" t="n">
        <v>201208</v>
      </c>
      <c r="M14204" s="88">
        <f>VLOOKUP($Q14204,매칭테이블!$F:$I,2,0)*K14204</f>
        <v/>
      </c>
      <c r="N14204" s="88">
        <f>M14204-M14204*VLOOKUP($Q14204,매칭테이블!$F:$I,3,0)</f>
        <v/>
      </c>
      <c r="O14204" s="88">
        <f>VLOOKUP($Q14204,매칭테이블!$F:$I,4,0)*K14204</f>
        <v/>
      </c>
      <c r="P14204" s="152">
        <f>M14204/1.1</f>
        <v/>
      </c>
      <c r="Q14204" s="88">
        <f>F14204&amp;E14204&amp;G14204&amp;L14204</f>
        <v/>
      </c>
    </row>
    <row r="14205">
      <c r="B14205" s="128" t="n">
        <v>44220</v>
      </c>
      <c r="C14205" s="88">
        <f>TEXT(B14205,"aaa")</f>
        <v/>
      </c>
      <c r="D14205" s="94" t="n"/>
      <c r="E14205" s="88">
        <f>INDEX(매칭테이블!C:D,MATCH(RD!G14205,매칭테이블!D:D,0),1)</f>
        <v/>
      </c>
      <c r="F14205" s="94" t="inlineStr">
        <is>
          <t>카페24</t>
        </is>
      </c>
      <c r="G14205" s="94" t="inlineStr">
        <is>
          <t>어성초 약산성 클렌징폼클렌징폼=어성초 약산성 클렌징폼 2개 -25%off</t>
        </is>
      </c>
      <c r="K14205" s="94" t="n">
        <v>5</v>
      </c>
      <c r="L14205" s="88" t="n">
        <v>201208</v>
      </c>
      <c r="M14205" s="88">
        <f>VLOOKUP($Q14205,매칭테이블!$F:$I,2,0)*K14205</f>
        <v/>
      </c>
      <c r="N14205" s="88">
        <f>M14205-M14205*VLOOKUP($Q14205,매칭테이블!$F:$I,3,0)</f>
        <v/>
      </c>
      <c r="O14205" s="88">
        <f>VLOOKUP($Q14205,매칭테이블!$F:$I,4,0)*K14205</f>
        <v/>
      </c>
      <c r="P14205" s="152">
        <f>M14205/1.1</f>
        <v/>
      </c>
      <c r="Q14205" s="88">
        <f>F14205&amp;E14205&amp;G14205&amp;L14205</f>
        <v/>
      </c>
    </row>
    <row r="14206">
      <c r="B14206" s="128" t="n">
        <v>44220</v>
      </c>
      <c r="C14206" s="88">
        <f>TEXT(B14206,"aaa")</f>
        <v/>
      </c>
      <c r="D14206" s="94" t="n"/>
      <c r="E14206" s="88">
        <f>INDEX(매칭테이블!C:D,MATCH(RD!G14206,매칭테이블!D:D,0),1)</f>
        <v/>
      </c>
      <c r="F14206" s="94" t="inlineStr">
        <is>
          <t>카페24</t>
        </is>
      </c>
      <c r="G14206" s="94" t="inlineStr">
        <is>
          <t>어성초 약산성 클렌징폼클렌징폼=어성초 약산성 클렌징폼 3개 -31%off (무료배송)</t>
        </is>
      </c>
      <c r="K14206" s="94" t="n">
        <v>2</v>
      </c>
      <c r="L14206" s="88" t="n">
        <v>201208</v>
      </c>
      <c r="M14206" s="88">
        <f>VLOOKUP($Q14206,매칭테이블!$F:$I,2,0)*K14206</f>
        <v/>
      </c>
      <c r="N14206" s="88">
        <f>M14206-M14206*VLOOKUP($Q14206,매칭테이블!$F:$I,3,0)</f>
        <v/>
      </c>
      <c r="O14206" s="88">
        <f>VLOOKUP($Q14206,매칭테이블!$F:$I,4,0)*K14206</f>
        <v/>
      </c>
      <c r="P14206" s="152">
        <f>M14206/1.1</f>
        <v/>
      </c>
      <c r="Q14206" s="88">
        <f>F14206&amp;E14206&amp;G14206&amp;L14206</f>
        <v/>
      </c>
    </row>
    <row r="14207">
      <c r="B14207" s="128" t="n">
        <v>44220</v>
      </c>
      <c r="C14207" s="88">
        <f>TEXT(B14207,"aaa")</f>
        <v/>
      </c>
      <c r="D14207" s="94" t="n"/>
      <c r="E14207" s="88">
        <f>INDEX(매칭테이블!C:D,MATCH(RD!G14207,매칭테이블!D:D,0),1)</f>
        <v/>
      </c>
      <c r="F14207" s="94" t="inlineStr">
        <is>
          <t>카페24</t>
        </is>
      </c>
      <c r="G14207" s="94" t="inlineStr">
        <is>
          <t>어성초 약산성 클렌징폼</t>
        </is>
      </c>
      <c r="K14207" s="94" t="n">
        <v>2</v>
      </c>
      <c r="L14207" s="88" t="n">
        <v>201208</v>
      </c>
      <c r="M14207" s="88">
        <f>VLOOKUP($Q14207,매칭테이블!$F:$I,2,0)*K14207</f>
        <v/>
      </c>
      <c r="N14207" s="88">
        <f>M14207-M14207*VLOOKUP($Q14207,매칭테이블!$F:$I,3,0)</f>
        <v/>
      </c>
      <c r="O14207" s="88">
        <f>VLOOKUP($Q14207,매칭테이블!$F:$I,4,0)*K14207</f>
        <v/>
      </c>
      <c r="P14207" s="152">
        <f>M14207/1.1</f>
        <v/>
      </c>
      <c r="Q14207" s="88">
        <f>F14207&amp;E14207&amp;G14207&amp;L14207</f>
        <v/>
      </c>
    </row>
    <row r="14208">
      <c r="B14208" s="128" t="n">
        <v>44220</v>
      </c>
      <c r="C14208" s="88">
        <f>TEXT(B14208,"aaa")</f>
        <v/>
      </c>
      <c r="D14208" s="94" t="n"/>
      <c r="E14208" s="88">
        <f>INDEX(매칭테이블!C:D,MATCH(RD!G14208,매칭테이블!D:D,0),1)</f>
        <v/>
      </c>
      <c r="F14208" s="94" t="inlineStr">
        <is>
          <t>카페24</t>
        </is>
      </c>
      <c r="G14208" s="94" t="inlineStr">
        <is>
          <t>어성초 크림마스크 나이트 솔루션옵션=어성초 크림마스크 나이트 솔루션 1장</t>
        </is>
      </c>
      <c r="K14208" s="94" t="n">
        <v>1</v>
      </c>
      <c r="L14208" s="88" t="n">
        <v>201208</v>
      </c>
      <c r="M14208" s="88">
        <f>VLOOKUP($Q14208,매칭테이블!$F:$I,2,0)*K14208</f>
        <v/>
      </c>
      <c r="N14208" s="88">
        <f>M14208-M14208*VLOOKUP($Q14208,매칭테이블!$F:$I,3,0)</f>
        <v/>
      </c>
      <c r="O14208" s="88">
        <f>VLOOKUP($Q14208,매칭테이블!$F:$I,4,0)*K14208</f>
        <v/>
      </c>
      <c r="P14208" s="152">
        <f>M14208/1.1</f>
        <v/>
      </c>
      <c r="Q14208" s="88">
        <f>F14208&amp;E14208&amp;G14208&amp;L14208</f>
        <v/>
      </c>
    </row>
    <row r="14209">
      <c r="B14209" s="128" t="n">
        <v>44220</v>
      </c>
      <c r="C14209" s="88">
        <f>TEXT(B14209,"aaa")</f>
        <v/>
      </c>
      <c r="D14209" s="94" t="n"/>
      <c r="E14209" s="88">
        <f>INDEX(매칭테이블!C:D,MATCH(RD!G14209,매칭테이블!D:D,0),1)</f>
        <v/>
      </c>
      <c r="F14209" s="94" t="inlineStr">
        <is>
          <t>카페24</t>
        </is>
      </c>
      <c r="G14209" s="94" t="inlineStr">
        <is>
          <t>어성초 크림마스크 나이트 솔루션옵션=어성초 크림마스크 나이트 솔루션 10장 (-50%)</t>
        </is>
      </c>
      <c r="K14209" s="94" t="n">
        <v>1</v>
      </c>
      <c r="L14209" s="88" t="n">
        <v>201208</v>
      </c>
      <c r="M14209" s="88">
        <f>VLOOKUP($Q14209,매칭테이블!$F:$I,2,0)*K14209</f>
        <v/>
      </c>
      <c r="N14209" s="88">
        <f>M14209-M14209*VLOOKUP($Q14209,매칭테이블!$F:$I,3,0)</f>
        <v/>
      </c>
      <c r="O14209" s="88">
        <f>VLOOKUP($Q14209,매칭테이블!$F:$I,4,0)*K14209</f>
        <v/>
      </c>
      <c r="P14209" s="152">
        <f>M14209/1.1</f>
        <v/>
      </c>
      <c r="Q14209" s="88">
        <f>F14209&amp;E14209&amp;G14209&amp;L14209</f>
        <v/>
      </c>
    </row>
    <row r="14210">
      <c r="B14210" s="128" t="n">
        <v>44220</v>
      </c>
      <c r="C14210" s="88">
        <f>TEXT(B14210,"aaa")</f>
        <v/>
      </c>
      <c r="D14210" s="94" t="n"/>
      <c r="E14210" s="88">
        <f>INDEX(매칭테이블!C:D,MATCH(RD!G14210,매칭테이블!D:D,0),1)</f>
        <v/>
      </c>
      <c r="F14210" s="94" t="inlineStr">
        <is>
          <t>카페24</t>
        </is>
      </c>
      <c r="G14210" s="94" t="inlineStr">
        <is>
          <t>자작나무 수분 마스크옵션=자작나무 수분 마스크 1장</t>
        </is>
      </c>
      <c r="K14210" s="94" t="n">
        <v>4</v>
      </c>
      <c r="L14210" s="88" t="n">
        <v>201208</v>
      </c>
      <c r="M14210" s="88">
        <f>VLOOKUP($Q14210,매칭테이블!$F:$I,2,0)*K14210</f>
        <v/>
      </c>
      <c r="N14210" s="88">
        <f>M14210-M14210*VLOOKUP($Q14210,매칭테이블!$F:$I,3,0)</f>
        <v/>
      </c>
      <c r="O14210" s="88">
        <f>VLOOKUP($Q14210,매칭테이블!$F:$I,4,0)*K14210</f>
        <v/>
      </c>
      <c r="P14210" s="152">
        <f>M14210/1.1</f>
        <v/>
      </c>
      <c r="Q14210" s="88">
        <f>F14210&amp;E14210&amp;G14210&amp;L14210</f>
        <v/>
      </c>
    </row>
    <row r="14211">
      <c r="B14211" s="128" t="n">
        <v>44220</v>
      </c>
      <c r="C14211" s="88">
        <f>TEXT(B14211,"aaa")</f>
        <v/>
      </c>
      <c r="D14211" s="94" t="n"/>
      <c r="E14211" s="88">
        <f>INDEX(매칭테이블!C:D,MATCH(RD!G14211,매칭테이블!D:D,0),1)</f>
        <v/>
      </c>
      <c r="F14211" s="94" t="inlineStr">
        <is>
          <t>카페24</t>
        </is>
      </c>
      <c r="G14211" s="94" t="inlineStr">
        <is>
          <t>청귤 비타 잡티 마스크옵션=청귤 비타 잡티 마스크 10장 (50% off)</t>
        </is>
      </c>
      <c r="K14211" s="94" t="n">
        <v>7</v>
      </c>
      <c r="L14211" s="88" t="n">
        <v>201208</v>
      </c>
      <c r="M14211" s="88">
        <f>VLOOKUP($Q14211,매칭테이블!$F:$I,2,0)*K14211</f>
        <v/>
      </c>
      <c r="N14211" s="88">
        <f>M14211-M14211*VLOOKUP($Q14211,매칭테이블!$F:$I,3,0)</f>
        <v/>
      </c>
      <c r="O14211" s="88">
        <f>VLOOKUP($Q14211,매칭테이블!$F:$I,4,0)*K14211</f>
        <v/>
      </c>
      <c r="P14211" s="152">
        <f>M14211/1.1</f>
        <v/>
      </c>
      <c r="Q14211" s="88">
        <f>F14211&amp;E14211&amp;G14211&amp;L14211</f>
        <v/>
      </c>
    </row>
    <row r="14212">
      <c r="B14212" s="128" t="n">
        <v>44220</v>
      </c>
      <c r="C14212" s="88">
        <f>TEXT(B14212,"aaa")</f>
        <v/>
      </c>
      <c r="D14212" s="94" t="n"/>
      <c r="E14212" s="88">
        <f>INDEX(매칭테이블!C:D,MATCH(RD!G14212,매칭테이블!D:D,0),1)</f>
        <v/>
      </c>
      <c r="F14212" s="94" t="inlineStr">
        <is>
          <t>카페24</t>
        </is>
      </c>
      <c r="G14212" s="94" t="inlineStr">
        <is>
          <t>촉촉 스킨팩 화장솜</t>
        </is>
      </c>
      <c r="K14212" s="94" t="n">
        <v>28</v>
      </c>
      <c r="L14212" s="88" t="n">
        <v>201208</v>
      </c>
      <c r="M14212" s="88">
        <f>VLOOKUP($Q14212,매칭테이블!$F:$I,2,0)*K14212</f>
        <v/>
      </c>
      <c r="N14212" s="88">
        <f>M14212-M14212*VLOOKUP($Q14212,매칭테이블!$F:$I,3,0)</f>
        <v/>
      </c>
      <c r="O14212" s="88">
        <f>VLOOKUP($Q14212,매칭테이블!$F:$I,4,0)*K14212</f>
        <v/>
      </c>
      <c r="P14212" s="152">
        <f>M14212/1.1</f>
        <v/>
      </c>
      <c r="Q14212" s="88">
        <f>F14212&amp;E14212&amp;G14212&amp;L14212</f>
        <v/>
      </c>
    </row>
    <row r="14213">
      <c r="B14213" s="128" t="n">
        <v>44220</v>
      </c>
      <c r="C14213" s="88">
        <f>TEXT(B14213,"aaa")</f>
        <v/>
      </c>
      <c r="D14213" s="94" t="n"/>
      <c r="E14213" s="88">
        <f>INDEX(매칭테이블!C:D,MATCH(RD!G14213,매칭테이블!D:D,0),1)</f>
        <v/>
      </c>
      <c r="F14213" s="94" t="inlineStr">
        <is>
          <t>카페24</t>
        </is>
      </c>
      <c r="G14213" s="94" t="inlineStr">
        <is>
          <t>촉촉 스킨팩 화장솜</t>
        </is>
      </c>
      <c r="K14213" s="94" t="n">
        <v>2</v>
      </c>
      <c r="L14213" s="88" t="n">
        <v>201208</v>
      </c>
      <c r="M14213" s="88">
        <f>VLOOKUP($Q14213,매칭테이블!$F:$I,2,0)*K14213</f>
        <v/>
      </c>
      <c r="N14213" s="88">
        <f>M14213-M14213*VLOOKUP($Q14213,매칭테이블!$F:$I,3,0)</f>
        <v/>
      </c>
      <c r="O14213" s="88">
        <f>VLOOKUP($Q14213,매칭테이블!$F:$I,4,0)*K14213</f>
        <v/>
      </c>
      <c r="P14213" s="152">
        <f>M14213/1.1</f>
        <v/>
      </c>
      <c r="Q14213" s="88">
        <f>F14213&amp;E14213&amp;G14213&amp;L14213</f>
        <v/>
      </c>
    </row>
    <row r="14214" customFormat="1" s="94">
      <c r="B14214" s="128" t="n">
        <v>44221</v>
      </c>
      <c r="C14214" s="88">
        <f>TEXT(B14214,"aaa")</f>
        <v/>
      </c>
      <c r="E14214" s="88">
        <f>INDEX(매칭테이블!C:D,MATCH(RD!G14214,매칭테이블!D:D,0),1)</f>
        <v/>
      </c>
      <c r="F14214" s="94" t="inlineStr">
        <is>
          <t>W컨셉</t>
        </is>
      </c>
      <c r="G14214" s="94" t="inlineStr">
        <is>
          <t>어성초 77토너 (2 SET) HEARTLEAF 77% SOOTHING TONER 250ml250ml 2set</t>
        </is>
      </c>
      <c r="K14214" s="94" t="n">
        <v>2</v>
      </c>
      <c r="L14214" s="88" t="n">
        <v>201208</v>
      </c>
      <c r="M14214" s="88">
        <f>VLOOKUP($Q14214,매칭테이블!$F:$I,2,0)*K14214</f>
        <v/>
      </c>
      <c r="N14214" s="88">
        <f>M14214-M14214*VLOOKUP($Q14214,매칭테이블!$F:$I,3,0)</f>
        <v/>
      </c>
      <c r="O14214" s="88">
        <f>VLOOKUP($Q14214,매칭테이블!$F:$I,4,0)*K14214</f>
        <v/>
      </c>
      <c r="P14214" s="152">
        <f>M14214/1.1</f>
        <v/>
      </c>
      <c r="Q14214" s="88">
        <f>F14214&amp;E14214&amp;G14214&amp;L14214</f>
        <v/>
      </c>
    </row>
    <row r="14215">
      <c r="B14215" s="128" t="n">
        <v>44221</v>
      </c>
      <c r="C14215" s="88">
        <f>TEXT(B14215,"aaa")</f>
        <v/>
      </c>
      <c r="D14215" s="94" t="n"/>
      <c r="E14215" s="88">
        <f>INDEX(매칭테이블!C:D,MATCH(RD!G14215,매칭테이블!D:D,0),1)</f>
        <v/>
      </c>
      <c r="F14215" s="94" t="inlineStr">
        <is>
          <t>스타일쉐어</t>
        </is>
      </c>
      <c r="G14215" s="94" t="inlineStr">
        <is>
          <t>아누아 어성초 77 토너 250ml</t>
        </is>
      </c>
      <c r="K14215" s="94" t="n">
        <v>9</v>
      </c>
      <c r="L14215" s="88" t="n">
        <v>201208</v>
      </c>
      <c r="M14215" s="88">
        <f>VLOOKUP($Q14215,매칭테이블!$F:$I,2,0)*K14215</f>
        <v/>
      </c>
      <c r="N14215" s="88">
        <f>M14215-M14215*VLOOKUP($Q14215,매칭테이블!$F:$I,3,0)</f>
        <v/>
      </c>
      <c r="O14215" s="88">
        <f>VLOOKUP($Q14215,매칭테이블!$F:$I,4,0)*K14215</f>
        <v/>
      </c>
      <c r="P14215" s="152">
        <f>M14215/1.1</f>
        <v/>
      </c>
      <c r="Q14215" s="88">
        <f>F14215&amp;E14215&amp;G14215&amp;L14215</f>
        <v/>
      </c>
    </row>
    <row r="14216">
      <c r="B14216" s="128" t="n">
        <v>44221</v>
      </c>
      <c r="C14216" s="88">
        <f>TEXT(B14216,"aaa")</f>
        <v/>
      </c>
      <c r="D14216" s="94" t="n"/>
      <c r="E14216" s="88">
        <f>INDEX(매칭테이블!C:D,MATCH(RD!G14216,매칭테이블!D:D,0),1)</f>
        <v/>
      </c>
      <c r="F14216" s="94" t="inlineStr">
        <is>
          <t>아누아 CS</t>
        </is>
      </c>
      <c r="G14216" s="94" t="inlineStr">
        <is>
          <t>스킨팩 화장솜 60P</t>
        </is>
      </c>
      <c r="K14216" s="94" t="n">
        <v>250</v>
      </c>
      <c r="L14216" s="88" t="n">
        <v>201208</v>
      </c>
      <c r="M14216" s="88">
        <f>VLOOKUP($Q14216,매칭테이블!$F:$I,2,0)*K14216</f>
        <v/>
      </c>
      <c r="N14216" s="88">
        <f>M14216-M14216*VLOOKUP($Q14216,매칭테이블!$F:$I,3,0)</f>
        <v/>
      </c>
      <c r="O14216" s="88">
        <f>VLOOKUP($Q14216,매칭테이블!$F:$I,4,0)*K14216</f>
        <v/>
      </c>
      <c r="P14216" s="152">
        <f>M14216/1.1</f>
        <v/>
      </c>
      <c r="Q14216" s="88">
        <f>F14216&amp;E14216&amp;G14216&amp;L14216</f>
        <v/>
      </c>
    </row>
    <row r="14217">
      <c r="B14217" s="128" t="n">
        <v>44221</v>
      </c>
      <c r="C14217" s="88">
        <f>TEXT(B14217,"aaa")</f>
        <v/>
      </c>
      <c r="D14217" s="94" t="n"/>
      <c r="E14217" s="88">
        <f>INDEX(매칭테이블!C:D,MATCH(RD!G14217,매칭테이블!D:D,0),1)</f>
        <v/>
      </c>
      <c r="F14217" s="94" t="inlineStr">
        <is>
          <t>아누아 CS</t>
        </is>
      </c>
      <c r="G14217" s="94" t="inlineStr">
        <is>
          <t>어성초 70 인텐스 카밍 크림 50ml</t>
        </is>
      </c>
      <c r="K14217" s="94" t="n">
        <v>1</v>
      </c>
      <c r="L14217" s="88" t="n">
        <v>201208</v>
      </c>
      <c r="M14217" s="88">
        <f>VLOOKUP($Q14217,매칭테이블!$F:$I,2,0)*K14217</f>
        <v/>
      </c>
      <c r="N14217" s="88">
        <f>M14217-M14217*VLOOKUP($Q14217,매칭테이블!$F:$I,3,0)</f>
        <v/>
      </c>
      <c r="O14217" s="88">
        <f>VLOOKUP($Q14217,매칭테이블!$F:$I,4,0)*K14217</f>
        <v/>
      </c>
      <c r="P14217" s="152">
        <f>M14217/1.1</f>
        <v/>
      </c>
      <c r="Q14217" s="88">
        <f>F14217&amp;E14217&amp;G14217&amp;L14217</f>
        <v/>
      </c>
    </row>
    <row r="14218">
      <c r="B14218" s="128" t="n">
        <v>44221</v>
      </c>
      <c r="C14218" s="88">
        <f>TEXT(B14218,"aaa")</f>
        <v/>
      </c>
      <c r="D14218" s="94" t="n"/>
      <c r="E14218" s="88">
        <f>INDEX(매칭테이블!C:D,MATCH(RD!G14218,매칭테이블!D:D,0),1)</f>
        <v/>
      </c>
      <c r="F14218" s="94" t="inlineStr">
        <is>
          <t>카페24</t>
        </is>
      </c>
      <c r="G14218" s="94" t="inlineStr">
        <is>
          <t>5 제로 무기자차 선크림옵션=5제로 무기자차 선크림 1개-20% off</t>
        </is>
      </c>
      <c r="K14218" s="94" t="n">
        <v>3</v>
      </c>
      <c r="L14218" s="88" t="n">
        <v>201208</v>
      </c>
      <c r="M14218" s="88">
        <f>VLOOKUP($Q14218,매칭테이블!$F:$I,2,0)*K14218</f>
        <v/>
      </c>
      <c r="N14218" s="88">
        <f>M14218-M14218*VLOOKUP($Q14218,매칭테이블!$F:$I,3,0)</f>
        <v/>
      </c>
      <c r="O14218" s="88">
        <f>VLOOKUP($Q14218,매칭테이블!$F:$I,4,0)*K14218</f>
        <v/>
      </c>
      <c r="P14218" s="152">
        <f>M14218/1.1</f>
        <v/>
      </c>
      <c r="Q14218" s="88">
        <f>F14218&amp;E14218&amp;G14218&amp;L14218</f>
        <v/>
      </c>
    </row>
    <row r="14219">
      <c r="B14219" s="128" t="n">
        <v>44221</v>
      </c>
      <c r="C14219" s="88">
        <f>TEXT(B14219,"aaa")</f>
        <v/>
      </c>
      <c r="D14219" s="94" t="n"/>
      <c r="E14219" s="88">
        <f>INDEX(매칭테이블!C:D,MATCH(RD!G14219,매칭테이블!D:D,0),1)</f>
        <v/>
      </c>
      <c r="F14219" s="94" t="inlineStr">
        <is>
          <t>카페24</t>
        </is>
      </c>
      <c r="G14219" s="94" t="inlineStr">
        <is>
          <t>[01/27 순차발송] 어성초 77 클리어 패드옵션=어성초 77 클리어 패드 1개-20% off</t>
        </is>
      </c>
      <c r="K14219" s="94" t="n">
        <v>50</v>
      </c>
      <c r="L14219" s="88" t="n">
        <v>201208</v>
      </c>
      <c r="M14219" s="88">
        <f>VLOOKUP($Q14219,매칭테이블!$F:$I,2,0)*K14219</f>
        <v/>
      </c>
      <c r="N14219" s="88">
        <f>M14219-M14219*VLOOKUP($Q14219,매칭테이블!$F:$I,3,0)</f>
        <v/>
      </c>
      <c r="O14219" s="88">
        <f>VLOOKUP($Q14219,매칭테이블!$F:$I,4,0)*K14219</f>
        <v/>
      </c>
      <c r="P14219" s="152">
        <f>M14219/1.1</f>
        <v/>
      </c>
      <c r="Q14219" s="88">
        <f>F14219&amp;E14219&amp;G14219&amp;L14219</f>
        <v/>
      </c>
    </row>
    <row r="14220">
      <c r="B14220" s="128" t="n">
        <v>44221</v>
      </c>
      <c r="C14220" s="88">
        <f>TEXT(B14220,"aaa")</f>
        <v/>
      </c>
      <c r="D14220" s="94" t="n"/>
      <c r="E14220" s="88">
        <f>INDEX(매칭테이블!C:D,MATCH(RD!G14220,매칭테이블!D:D,0),1)</f>
        <v/>
      </c>
      <c r="F14220" s="94" t="inlineStr">
        <is>
          <t>카페24</t>
        </is>
      </c>
      <c r="G14220" s="94" t="inlineStr">
        <is>
          <t>[01/27 순차발송] 어성초 77 클리어 패드옵션=어성초 77 클리어 패드 2개-30% off (무료배송)</t>
        </is>
      </c>
      <c r="K14220" s="94" t="n">
        <v>32</v>
      </c>
      <c r="L14220" s="88" t="n">
        <v>201208</v>
      </c>
      <c r="M14220" s="88">
        <f>VLOOKUP($Q14220,매칭테이블!$F:$I,2,0)*K14220</f>
        <v/>
      </c>
      <c r="N14220" s="88">
        <f>M14220-M14220*VLOOKUP($Q14220,매칭테이블!$F:$I,3,0)</f>
        <v/>
      </c>
      <c r="O14220" s="88">
        <f>VLOOKUP($Q14220,매칭테이블!$F:$I,4,0)*K14220</f>
        <v/>
      </c>
      <c r="P14220" s="152">
        <f>M14220/1.1</f>
        <v/>
      </c>
      <c r="Q14220" s="88">
        <f>F14220&amp;E14220&amp;G14220&amp;L14220</f>
        <v/>
      </c>
    </row>
    <row r="14221">
      <c r="B14221" s="128" t="n">
        <v>44221</v>
      </c>
      <c r="C14221" s="88">
        <f>TEXT(B14221,"aaa")</f>
        <v/>
      </c>
      <c r="D14221" s="94" t="n"/>
      <c r="E14221" s="88">
        <f>INDEX(매칭테이블!C:D,MATCH(RD!G14221,매칭테이블!D:D,0),1)</f>
        <v/>
      </c>
      <c r="F14221" s="94" t="inlineStr">
        <is>
          <t>카페24</t>
        </is>
      </c>
      <c r="G14221" s="94" t="inlineStr">
        <is>
          <t>[01/27 순차발송] 어성초 77 클리어 패드옵션=어성초 77 클리어 패드 2+1 EVENT (무료배송)</t>
        </is>
      </c>
      <c r="K14221" s="94" t="n">
        <v>35</v>
      </c>
      <c r="L14221" s="88" t="n">
        <v>201208</v>
      </c>
      <c r="M14221" s="88">
        <f>VLOOKUP($Q14221,매칭테이블!$F:$I,2,0)*K14221</f>
        <v/>
      </c>
      <c r="N14221" s="88">
        <f>M14221-M14221*VLOOKUP($Q14221,매칭테이블!$F:$I,3,0)</f>
        <v/>
      </c>
      <c r="O14221" s="88">
        <f>VLOOKUP($Q14221,매칭테이블!$F:$I,4,0)*K14221</f>
        <v/>
      </c>
      <c r="P14221" s="152">
        <f>M14221/1.1</f>
        <v/>
      </c>
      <c r="Q14221" s="88">
        <f>F14221&amp;E14221&amp;G14221&amp;L14221</f>
        <v/>
      </c>
    </row>
    <row r="14222">
      <c r="B14222" s="128" t="n">
        <v>44221</v>
      </c>
      <c r="C14222" s="88">
        <f>TEXT(B14222,"aaa")</f>
        <v/>
      </c>
      <c r="D14222" s="94" t="n"/>
      <c r="E14222" s="88">
        <f>INDEX(매칭테이블!C:D,MATCH(RD!G14222,매칭테이블!D:D,0),1)</f>
        <v/>
      </c>
      <c r="F14222" s="94" t="inlineStr">
        <is>
          <t>카페24</t>
        </is>
      </c>
      <c r="G14222" s="94" t="inlineStr">
        <is>
          <t>[01/27 순차발송] 어성초 77 클리어 패드옵션=어성초77토너1개+어성초77패드1개-30% off (무료배송)</t>
        </is>
      </c>
      <c r="K14222" s="94" t="n">
        <v>17</v>
      </c>
      <c r="L14222" s="88" t="n">
        <v>201208</v>
      </c>
      <c r="M14222" s="88">
        <f>VLOOKUP($Q14222,매칭테이블!$F:$I,2,0)*K14222</f>
        <v/>
      </c>
      <c r="N14222" s="88">
        <f>M14222-M14222*VLOOKUP($Q14222,매칭테이블!$F:$I,3,0)</f>
        <v/>
      </c>
      <c r="O14222" s="88">
        <f>VLOOKUP($Q14222,매칭테이블!$F:$I,4,0)*K14222</f>
        <v/>
      </c>
      <c r="P14222" s="152">
        <f>M14222/1.1</f>
        <v/>
      </c>
      <c r="Q14222" s="88">
        <f>F14222&amp;E14222&amp;G14222&amp;L14222</f>
        <v/>
      </c>
    </row>
    <row r="14223">
      <c r="B14223" s="128" t="n">
        <v>44221</v>
      </c>
      <c r="C14223" s="88">
        <f>TEXT(B14223,"aaa")</f>
        <v/>
      </c>
      <c r="D14223" s="94" t="n"/>
      <c r="E14223" s="88">
        <f>INDEX(매칭테이블!C:D,MATCH(RD!G14223,매칭테이블!D:D,0),1)</f>
        <v/>
      </c>
      <c r="F14223" s="94" t="inlineStr">
        <is>
          <t>카페24</t>
        </is>
      </c>
      <c r="G14223" s="94" t="inlineStr">
        <is>
          <t>[01/27 순차발송] 어성초 77 포어 클리어 패드옵션=어성초 77 클리어 패드 2개-30% off (무료배송)</t>
        </is>
      </c>
      <c r="K14223" s="94" t="n">
        <v>1</v>
      </c>
      <c r="L14223" s="88" t="n">
        <v>201208</v>
      </c>
      <c r="M14223" s="88">
        <f>VLOOKUP($Q14223,매칭테이블!$F:$I,2,0)*K14223</f>
        <v/>
      </c>
      <c r="N14223" s="88">
        <f>M14223-M14223*VLOOKUP($Q14223,매칭테이블!$F:$I,3,0)</f>
        <v/>
      </c>
      <c r="O14223" s="88">
        <f>VLOOKUP($Q14223,매칭테이블!$F:$I,4,0)*K14223</f>
        <v/>
      </c>
      <c r="P14223" s="152">
        <f>M14223/1.1</f>
        <v/>
      </c>
      <c r="Q14223" s="88">
        <f>F14223&amp;E14223&amp;G14223&amp;L14223</f>
        <v/>
      </c>
    </row>
    <row r="14224">
      <c r="B14224" s="128" t="n">
        <v>44221</v>
      </c>
      <c r="C14224" s="88">
        <f>TEXT(B14224,"aaa")</f>
        <v/>
      </c>
      <c r="D14224" s="94" t="n"/>
      <c r="E14224" s="88">
        <f>INDEX(매칭테이블!C:D,MATCH(RD!G14224,매칭테이블!D:D,0),1)</f>
        <v/>
      </c>
      <c r="F14224" s="94" t="inlineStr">
        <is>
          <t>카페24</t>
        </is>
      </c>
      <c r="G14224" s="94" t="inlineStr">
        <is>
          <t>[01/27 순차발송] 어성초 77 포어 클리어 패드옵션=어성초77토너1개+어성초77패드1개-30% off (무료배송)</t>
        </is>
      </c>
      <c r="K14224" s="94" t="n">
        <v>1</v>
      </c>
      <c r="L14224" s="88" t="n">
        <v>201208</v>
      </c>
      <c r="M14224" s="88">
        <f>VLOOKUP($Q14224,매칭테이블!$F:$I,2,0)*K14224</f>
        <v/>
      </c>
      <c r="N14224" s="88">
        <f>M14224-M14224*VLOOKUP($Q14224,매칭테이블!$F:$I,3,0)</f>
        <v/>
      </c>
      <c r="O14224" s="88">
        <f>VLOOKUP($Q14224,매칭테이블!$F:$I,4,0)*K14224</f>
        <v/>
      </c>
      <c r="P14224" s="152">
        <f>M14224/1.1</f>
        <v/>
      </c>
      <c r="Q14224" s="88">
        <f>F14224&amp;E14224&amp;G14224&amp;L14224</f>
        <v/>
      </c>
    </row>
    <row r="14225">
      <c r="B14225" s="128" t="n">
        <v>44221</v>
      </c>
      <c r="C14225" s="88">
        <f>TEXT(B14225,"aaa")</f>
        <v/>
      </c>
      <c r="D14225" s="94" t="n"/>
      <c r="E14225" s="88">
        <f>INDEX(매칭테이블!C:D,MATCH(RD!G14225,매칭테이블!D:D,0),1)</f>
        <v/>
      </c>
      <c r="F14225" s="94" t="inlineStr">
        <is>
          <t>카페24</t>
        </is>
      </c>
      <c r="G14225" s="94" t="inlineStr">
        <is>
          <t>[01/27 순차발송] 어성초 77% 패드옵션=어성초 77 클리어 패드 1개-20% off</t>
        </is>
      </c>
      <c r="K14225" s="94" t="n">
        <v>38</v>
      </c>
      <c r="L14225" s="88" t="n">
        <v>201208</v>
      </c>
      <c r="M14225" s="88">
        <f>VLOOKUP($Q14225,매칭테이블!$F:$I,2,0)*K14225</f>
        <v/>
      </c>
      <c r="N14225" s="88">
        <f>M14225-M14225*VLOOKUP($Q14225,매칭테이블!$F:$I,3,0)</f>
        <v/>
      </c>
      <c r="O14225" s="88">
        <f>VLOOKUP($Q14225,매칭테이블!$F:$I,4,0)*K14225</f>
        <v/>
      </c>
      <c r="P14225" s="152">
        <f>M14225/1.1</f>
        <v/>
      </c>
      <c r="Q14225" s="88">
        <f>F14225&amp;E14225&amp;G14225&amp;L14225</f>
        <v/>
      </c>
    </row>
    <row r="14226">
      <c r="B14226" s="128" t="n">
        <v>44221</v>
      </c>
      <c r="C14226" s="88">
        <f>TEXT(B14226,"aaa")</f>
        <v/>
      </c>
      <c r="D14226" s="94" t="n"/>
      <c r="E14226" s="88">
        <f>INDEX(매칭테이블!C:D,MATCH(RD!G14226,매칭테이블!D:D,0),1)</f>
        <v/>
      </c>
      <c r="F14226" s="94" t="inlineStr">
        <is>
          <t>카페24</t>
        </is>
      </c>
      <c r="G14226" s="94" t="inlineStr">
        <is>
          <t>[01/27 순차발송] 어성초 77% 패드옵션=어성초 77 클리어 패드 2개-30% off (무료배송)</t>
        </is>
      </c>
      <c r="K14226" s="94" t="n">
        <v>39</v>
      </c>
      <c r="L14226" s="88" t="n">
        <v>201208</v>
      </c>
      <c r="M14226" s="88">
        <f>VLOOKUP($Q14226,매칭테이블!$F:$I,2,0)*K14226</f>
        <v/>
      </c>
      <c r="N14226" s="88">
        <f>M14226-M14226*VLOOKUP($Q14226,매칭테이블!$F:$I,3,0)</f>
        <v/>
      </c>
      <c r="O14226" s="88">
        <f>VLOOKUP($Q14226,매칭테이블!$F:$I,4,0)*K14226</f>
        <v/>
      </c>
      <c r="P14226" s="152">
        <f>M14226/1.1</f>
        <v/>
      </c>
      <c r="Q14226" s="88">
        <f>F14226&amp;E14226&amp;G14226&amp;L14226</f>
        <v/>
      </c>
    </row>
    <row r="14227">
      <c r="B14227" s="128" t="n">
        <v>44221</v>
      </c>
      <c r="C14227" s="88">
        <f>TEXT(B14227,"aaa")</f>
        <v/>
      </c>
      <c r="D14227" s="94" t="n"/>
      <c r="E14227" s="88">
        <f>INDEX(매칭테이블!C:D,MATCH(RD!G14227,매칭테이블!D:D,0),1)</f>
        <v/>
      </c>
      <c r="F14227" s="94" t="inlineStr">
        <is>
          <t>카페24</t>
        </is>
      </c>
      <c r="G14227" s="94" t="inlineStr">
        <is>
          <t>[01/27 순차발송] 어성초 77% 패드옵션=어성초 77 클리어 패드 2+1 EVENT (무료배송)</t>
        </is>
      </c>
      <c r="K14227" s="94" t="n">
        <v>20</v>
      </c>
      <c r="L14227" s="88" t="n">
        <v>201208</v>
      </c>
      <c r="M14227" s="88">
        <f>VLOOKUP($Q14227,매칭테이블!$F:$I,2,0)*K14227</f>
        <v/>
      </c>
      <c r="N14227" s="88">
        <f>M14227-M14227*VLOOKUP($Q14227,매칭테이블!$F:$I,3,0)</f>
        <v/>
      </c>
      <c r="O14227" s="88">
        <f>VLOOKUP($Q14227,매칭테이블!$F:$I,4,0)*K14227</f>
        <v/>
      </c>
      <c r="P14227" s="152">
        <f>M14227/1.1</f>
        <v/>
      </c>
      <c r="Q14227" s="88">
        <f>F14227&amp;E14227&amp;G14227&amp;L14227</f>
        <v/>
      </c>
    </row>
    <row r="14228">
      <c r="B14228" s="128" t="n">
        <v>44221</v>
      </c>
      <c r="C14228" s="88">
        <f>TEXT(B14228,"aaa")</f>
        <v/>
      </c>
      <c r="D14228" s="94" t="n"/>
      <c r="E14228" s="88">
        <f>INDEX(매칭테이블!C:D,MATCH(RD!G14228,매칭테이블!D:D,0),1)</f>
        <v/>
      </c>
      <c r="F14228" s="94" t="inlineStr">
        <is>
          <t>카페24</t>
        </is>
      </c>
      <c r="G14228" s="94" t="inlineStr">
        <is>
          <t>[01/27 순차발송] 어성초 77% 패드옵션=어성초77토너1개+어성초77패드1개-30% off (무료배송)</t>
        </is>
      </c>
      <c r="K14228" s="94" t="n">
        <v>15</v>
      </c>
      <c r="L14228" s="88" t="n">
        <v>201208</v>
      </c>
      <c r="M14228" s="88">
        <f>VLOOKUP($Q14228,매칭테이블!$F:$I,2,0)*K14228</f>
        <v/>
      </c>
      <c r="N14228" s="88">
        <f>M14228-M14228*VLOOKUP($Q14228,매칭테이블!$F:$I,3,0)</f>
        <v/>
      </c>
      <c r="O14228" s="88">
        <f>VLOOKUP($Q14228,매칭테이블!$F:$I,4,0)*K14228</f>
        <v/>
      </c>
      <c r="P14228" s="152">
        <f>M14228/1.1</f>
        <v/>
      </c>
      <c r="Q14228" s="88">
        <f>F14228&amp;E14228&amp;G14228&amp;L14228</f>
        <v/>
      </c>
    </row>
    <row r="14229">
      <c r="B14229" s="128" t="n">
        <v>44221</v>
      </c>
      <c r="C14229" s="88">
        <f>TEXT(B14229,"aaa")</f>
        <v/>
      </c>
      <c r="D14229" s="94" t="n"/>
      <c r="E14229" s="88">
        <f>INDEX(매칭테이블!C:D,MATCH(RD!G14229,매칭테이블!D:D,0),1)</f>
        <v/>
      </c>
      <c r="F14229" s="94" t="inlineStr">
        <is>
          <t>카페24</t>
        </is>
      </c>
      <c r="G14229" s="94" t="inlineStr">
        <is>
          <t>[수분 보충 세트] 어성초 77 토너 + 어성초 70 로션옵션=어성초 77 토너 250ml + 어성초 70 로션 200ml -30%</t>
        </is>
      </c>
      <c r="K14229" s="94" t="n">
        <v>48</v>
      </c>
      <c r="L14229" s="88" t="n">
        <v>201208</v>
      </c>
      <c r="M14229" s="88">
        <f>VLOOKUP($Q14229,매칭테이블!$F:$I,2,0)*K14229</f>
        <v/>
      </c>
      <c r="N14229" s="88">
        <f>M14229-M14229*VLOOKUP($Q14229,매칭테이블!$F:$I,3,0)</f>
        <v/>
      </c>
      <c r="O14229" s="88">
        <f>VLOOKUP($Q14229,매칭테이블!$F:$I,4,0)*K14229</f>
        <v/>
      </c>
      <c r="P14229" s="152">
        <f>M14229/1.1</f>
        <v/>
      </c>
      <c r="Q14229" s="88">
        <f>F14229&amp;E14229&amp;G14229&amp;L14229</f>
        <v/>
      </c>
    </row>
    <row r="14230">
      <c r="B14230" s="128" t="n">
        <v>44221</v>
      </c>
      <c r="C14230" s="88">
        <f>TEXT(B14230,"aaa")</f>
        <v/>
      </c>
      <c r="D14230" s="94" t="n"/>
      <c r="E14230" s="88">
        <f>INDEX(매칭테이블!C:D,MATCH(RD!G14230,매칭테이블!D:D,0),1)</f>
        <v/>
      </c>
      <c r="F14230" s="94" t="inlineStr">
        <is>
          <t>카페24</t>
        </is>
      </c>
      <c r="G14230" s="94" t="inlineStr">
        <is>
          <t>[어성초 진정 패키지 세트] 대용량 토너 + 앰플 + 수딩 크림 + 마스크팩 10장</t>
        </is>
      </c>
      <c r="K14230" s="94" t="n">
        <v>6</v>
      </c>
      <c r="L14230" s="88" t="n">
        <v>201208</v>
      </c>
      <c r="M14230" s="88">
        <f>VLOOKUP($Q14230,매칭테이블!$F:$I,2,0)*K14230</f>
        <v/>
      </c>
      <c r="N14230" s="88">
        <f>M14230-M14230*VLOOKUP($Q14230,매칭테이블!$F:$I,3,0)</f>
        <v/>
      </c>
      <c r="O14230" s="88">
        <f>VLOOKUP($Q14230,매칭테이블!$F:$I,4,0)*K14230</f>
        <v/>
      </c>
      <c r="P14230" s="152">
        <f>M14230/1.1</f>
        <v/>
      </c>
      <c r="Q14230" s="88">
        <f>F14230&amp;E14230&amp;G14230&amp;L14230</f>
        <v/>
      </c>
    </row>
    <row r="14231">
      <c r="B14231" s="128" t="n">
        <v>44221</v>
      </c>
      <c r="C14231" s="88">
        <f>TEXT(B14231,"aaa")</f>
        <v/>
      </c>
      <c r="D14231" s="94" t="n"/>
      <c r="E14231" s="88">
        <f>INDEX(매칭테이블!C:D,MATCH(RD!G14231,매칭테이블!D:D,0),1)</f>
        <v/>
      </c>
      <c r="F14231" s="94" t="inlineStr">
        <is>
          <t>카페24</t>
        </is>
      </c>
      <c r="G14231" s="94" t="inlineStr">
        <is>
          <t>[플친단독] 어성초 80 수분 진정 앰플옵션=어성초 80 앰플 1개 - 28%off</t>
        </is>
      </c>
      <c r="K14231" s="94" t="n">
        <v>7</v>
      </c>
      <c r="L14231" s="88" t="n">
        <v>201208</v>
      </c>
      <c r="M14231" s="88">
        <f>VLOOKUP($Q14231,매칭테이블!$F:$I,2,0)*K14231</f>
        <v/>
      </c>
      <c r="N14231" s="88">
        <f>M14231-M14231*VLOOKUP($Q14231,매칭테이블!$F:$I,3,0)</f>
        <v/>
      </c>
      <c r="O14231" s="88">
        <f>VLOOKUP($Q14231,매칭테이블!$F:$I,4,0)*K14231</f>
        <v/>
      </c>
      <c r="P14231" s="152">
        <f>M14231/1.1</f>
        <v/>
      </c>
      <c r="Q14231" s="88">
        <f>F14231&amp;E14231&amp;G14231&amp;L14231</f>
        <v/>
      </c>
    </row>
    <row r="14232">
      <c r="B14232" s="128" t="n">
        <v>44221</v>
      </c>
      <c r="C14232" s="88">
        <f>TEXT(B14232,"aaa")</f>
        <v/>
      </c>
      <c r="D14232" s="94" t="n"/>
      <c r="E14232" s="88">
        <f>INDEX(매칭테이블!C:D,MATCH(RD!G14232,매칭테이블!D:D,0),1)</f>
        <v/>
      </c>
      <c r="F14232" s="94" t="inlineStr">
        <is>
          <t>카페24</t>
        </is>
      </c>
      <c r="G14232" s="94" t="inlineStr">
        <is>
          <t>[플친단독] 어성초 80 수분 진정 앰플옵션=어성초 80 앰플 2+1 EVENT (무료배송)</t>
        </is>
      </c>
      <c r="K14232" s="94" t="n">
        <v>11</v>
      </c>
      <c r="L14232" s="88" t="n">
        <v>201208</v>
      </c>
      <c r="M14232" s="88">
        <f>VLOOKUP($Q14232,매칭테이블!$F:$I,2,0)*K14232</f>
        <v/>
      </c>
      <c r="N14232" s="88">
        <f>M14232-M14232*VLOOKUP($Q14232,매칭테이블!$F:$I,3,0)</f>
        <v/>
      </c>
      <c r="O14232" s="88">
        <f>VLOOKUP($Q14232,매칭테이블!$F:$I,4,0)*K14232</f>
        <v/>
      </c>
      <c r="P14232" s="152">
        <f>M14232/1.1</f>
        <v/>
      </c>
      <c r="Q14232" s="88">
        <f>F14232&amp;E14232&amp;G14232&amp;L14232</f>
        <v/>
      </c>
    </row>
    <row r="14233">
      <c r="B14233" s="128" t="n">
        <v>44221</v>
      </c>
      <c r="C14233" s="88">
        <f>TEXT(B14233,"aaa")</f>
        <v/>
      </c>
      <c r="D14233" s="94" t="n"/>
      <c r="E14233" s="88">
        <f>INDEX(매칭테이블!C:D,MATCH(RD!G14233,매칭테이블!D:D,0),1)</f>
        <v/>
      </c>
      <c r="F14233" s="94" t="inlineStr">
        <is>
          <t>카페24</t>
        </is>
      </c>
      <c r="G14233" s="94" t="inlineStr">
        <is>
          <t>대용량 어성초 77 수딩 토너 500ml옵션=대용량 어성초 77 토너 1개 - 27% OFF</t>
        </is>
      </c>
      <c r="K14233" s="94" t="n">
        <v>47</v>
      </c>
      <c r="L14233" s="88" t="n">
        <v>201208</v>
      </c>
      <c r="M14233" s="88">
        <f>VLOOKUP($Q14233,매칭테이블!$F:$I,2,0)*K14233</f>
        <v/>
      </c>
      <c r="N14233" s="88">
        <f>M14233-M14233*VLOOKUP($Q14233,매칭테이블!$F:$I,3,0)</f>
        <v/>
      </c>
      <c r="O14233" s="88">
        <f>VLOOKUP($Q14233,매칭테이블!$F:$I,4,0)*K14233</f>
        <v/>
      </c>
      <c r="P14233" s="152">
        <f>M14233/1.1</f>
        <v/>
      </c>
      <c r="Q14233" s="88">
        <f>F14233&amp;E14233&amp;G14233&amp;L14233</f>
        <v/>
      </c>
    </row>
    <row r="14234">
      <c r="B14234" s="128" t="n">
        <v>44221</v>
      </c>
      <c r="C14234" s="88">
        <f>TEXT(B14234,"aaa")</f>
        <v/>
      </c>
      <c r="D14234" s="94" t="n"/>
      <c r="E14234" s="88">
        <f>INDEX(매칭테이블!C:D,MATCH(RD!G14234,매칭테이블!D:D,0),1)</f>
        <v/>
      </c>
      <c r="F14234" s="94" t="inlineStr">
        <is>
          <t>카페24</t>
        </is>
      </c>
      <c r="G14234" s="94" t="inlineStr">
        <is>
          <t>대용량 어성초 77 수딩 토너 500ml화장솜(선택)=촉촉 스킨팩 화장솜</t>
        </is>
      </c>
      <c r="K14234" s="94" t="n">
        <v>15</v>
      </c>
      <c r="L14234" s="88" t="n">
        <v>201208</v>
      </c>
      <c r="M14234" s="88">
        <f>VLOOKUP($Q14234,매칭테이블!$F:$I,2,0)*K14234</f>
        <v/>
      </c>
      <c r="N14234" s="88">
        <f>M14234-M14234*VLOOKUP($Q14234,매칭테이블!$F:$I,3,0)</f>
        <v/>
      </c>
      <c r="O14234" s="88">
        <f>VLOOKUP($Q14234,매칭테이블!$F:$I,4,0)*K14234</f>
        <v/>
      </c>
      <c r="P14234" s="152">
        <f>M14234/1.1</f>
        <v/>
      </c>
      <c r="Q14234" s="88">
        <f>F14234&amp;E14234&amp;G14234&amp;L14234</f>
        <v/>
      </c>
    </row>
    <row r="14235">
      <c r="B14235" s="128" t="n">
        <v>44221</v>
      </c>
      <c r="C14235" s="88">
        <f>TEXT(B14235,"aaa")</f>
        <v/>
      </c>
      <c r="D14235" s="94" t="n"/>
      <c r="E14235" s="88">
        <f>INDEX(매칭테이블!C:D,MATCH(RD!G14235,매칭테이블!D:D,0),1)</f>
        <v/>
      </c>
      <c r="F14235" s="94" t="inlineStr">
        <is>
          <t>카페24</t>
        </is>
      </c>
      <c r="G14235" s="94" t="inlineStr">
        <is>
          <t>대용량 어성초 77 토너 500ml</t>
        </is>
      </c>
      <c r="K14235" s="94" t="n">
        <v>1</v>
      </c>
      <c r="L14235" s="88" t="n">
        <v>201208</v>
      </c>
      <c r="M14235" s="88">
        <f>VLOOKUP($Q14235,매칭테이블!$F:$I,2,0)*K14235</f>
        <v/>
      </c>
      <c r="N14235" s="88">
        <f>M14235-M14235*VLOOKUP($Q14235,매칭테이블!$F:$I,3,0)</f>
        <v/>
      </c>
      <c r="O14235" s="88">
        <f>VLOOKUP($Q14235,매칭테이블!$F:$I,4,0)*K14235</f>
        <v/>
      </c>
      <c r="P14235" s="152">
        <f>M14235/1.1</f>
        <v/>
      </c>
      <c r="Q14235" s="88">
        <f>F14235&amp;E14235&amp;G14235&amp;L14235</f>
        <v/>
      </c>
    </row>
    <row r="14236">
      <c r="B14236" s="128" t="n">
        <v>44221</v>
      </c>
      <c r="C14236" s="88">
        <f>TEXT(B14236,"aaa")</f>
        <v/>
      </c>
      <c r="D14236" s="94" t="n"/>
      <c r="E14236" s="88">
        <f>INDEX(매칭테이블!C:D,MATCH(RD!G14236,매칭테이블!D:D,0),1)</f>
        <v/>
      </c>
      <c r="F14236" s="94" t="inlineStr">
        <is>
          <t>카페24</t>
        </is>
      </c>
      <c r="G14236" s="94" t="inlineStr">
        <is>
          <t>어성초 70 데일리 릴리프 로션로션=어성초 70 데일리 릴리프 로션 1개 -20% off</t>
        </is>
      </c>
      <c r="K14236" s="94" t="n">
        <v>13</v>
      </c>
      <c r="L14236" s="88" t="n">
        <v>201208</v>
      </c>
      <c r="M14236" s="88">
        <f>VLOOKUP($Q14236,매칭테이블!$F:$I,2,0)*K14236</f>
        <v/>
      </c>
      <c r="N14236" s="88">
        <f>M14236-M14236*VLOOKUP($Q14236,매칭테이블!$F:$I,3,0)</f>
        <v/>
      </c>
      <c r="O14236" s="88">
        <f>VLOOKUP($Q14236,매칭테이블!$F:$I,4,0)*K14236</f>
        <v/>
      </c>
      <c r="P14236" s="152">
        <f>M14236/1.1</f>
        <v/>
      </c>
      <c r="Q14236" s="88">
        <f>F14236&amp;E14236&amp;G14236&amp;L14236</f>
        <v/>
      </c>
    </row>
    <row r="14237">
      <c r="B14237" s="128" t="n">
        <v>44221</v>
      </c>
      <c r="C14237" s="88">
        <f>TEXT(B14237,"aaa")</f>
        <v/>
      </c>
      <c r="D14237" s="94" t="n"/>
      <c r="E14237" s="88">
        <f>INDEX(매칭테이블!C:D,MATCH(RD!G14237,매칭테이블!D:D,0),1)</f>
        <v/>
      </c>
      <c r="F14237" s="94" t="inlineStr">
        <is>
          <t>카페24</t>
        </is>
      </c>
      <c r="G14237" s="94" t="inlineStr">
        <is>
          <t>어성초 70 데일리 릴리프 로션로션=어성초 70 데일리 릴리프 로션 2개 -30% off</t>
        </is>
      </c>
      <c r="K14237" s="94" t="n">
        <v>3</v>
      </c>
      <c r="L14237" s="88" t="n">
        <v>201208</v>
      </c>
      <c r="M14237" s="88">
        <f>VLOOKUP($Q14237,매칭테이블!$F:$I,2,0)*K14237</f>
        <v/>
      </c>
      <c r="N14237" s="88">
        <f>M14237-M14237*VLOOKUP($Q14237,매칭테이블!$F:$I,3,0)</f>
        <v/>
      </c>
      <c r="O14237" s="88">
        <f>VLOOKUP($Q14237,매칭테이블!$F:$I,4,0)*K14237</f>
        <v/>
      </c>
      <c r="P14237" s="152">
        <f>M14237/1.1</f>
        <v/>
      </c>
      <c r="Q14237" s="88">
        <f>F14237&amp;E14237&amp;G14237&amp;L14237</f>
        <v/>
      </c>
    </row>
    <row r="14238">
      <c r="B14238" s="128" t="n">
        <v>44221</v>
      </c>
      <c r="C14238" s="88">
        <f>TEXT(B14238,"aaa")</f>
        <v/>
      </c>
      <c r="D14238" s="94" t="n"/>
      <c r="E14238" s="88">
        <f>INDEX(매칭테이블!C:D,MATCH(RD!G14238,매칭테이블!D:D,0),1)</f>
        <v/>
      </c>
      <c r="F14238" s="94" t="inlineStr">
        <is>
          <t>카페24</t>
        </is>
      </c>
      <c r="G14238" s="94" t="inlineStr">
        <is>
          <t>어성초 70 데일리 릴리프 로션로션=어성초 77토너 + 어성초 70 로션 수분 보충 세트 -30% off</t>
        </is>
      </c>
      <c r="K14238" s="94" t="n">
        <v>1</v>
      </c>
      <c r="L14238" s="88" t="n">
        <v>201208</v>
      </c>
      <c r="M14238" s="88">
        <f>VLOOKUP($Q14238,매칭테이블!$F:$I,2,0)*K14238</f>
        <v/>
      </c>
      <c r="N14238" s="88">
        <f>M14238-M14238*VLOOKUP($Q14238,매칭테이블!$F:$I,3,0)</f>
        <v/>
      </c>
      <c r="O14238" s="88">
        <f>VLOOKUP($Q14238,매칭테이블!$F:$I,4,0)*K14238</f>
        <v/>
      </c>
      <c r="P14238" s="152">
        <f>M14238/1.1</f>
        <v/>
      </c>
      <c r="Q14238" s="88">
        <f>F14238&amp;E14238&amp;G14238&amp;L14238</f>
        <v/>
      </c>
    </row>
    <row r="14239">
      <c r="B14239" s="128" t="n">
        <v>44221</v>
      </c>
      <c r="C14239" s="88">
        <f>TEXT(B14239,"aaa")</f>
        <v/>
      </c>
      <c r="D14239" s="94" t="n"/>
      <c r="E14239" s="88">
        <f>INDEX(매칭테이블!C:D,MATCH(RD!G14239,매칭테이블!D:D,0),1)</f>
        <v/>
      </c>
      <c r="F14239" s="94" t="inlineStr">
        <is>
          <t>카페24</t>
        </is>
      </c>
      <c r="G14239" s="94" t="inlineStr">
        <is>
          <t>어성초 70 머드 크림 마스크옵션=어성초 70 머드 크림 마스크-20% off</t>
        </is>
      </c>
      <c r="K14239" s="94" t="n">
        <v>1</v>
      </c>
      <c r="L14239" s="88" t="n">
        <v>201208</v>
      </c>
      <c r="M14239" s="88">
        <f>VLOOKUP($Q14239,매칭테이블!$F:$I,2,0)*K14239</f>
        <v/>
      </c>
      <c r="N14239" s="88">
        <f>M14239-M14239*VLOOKUP($Q14239,매칭테이블!$F:$I,3,0)</f>
        <v/>
      </c>
      <c r="O14239" s="88">
        <f>VLOOKUP($Q14239,매칭테이블!$F:$I,4,0)*K14239</f>
        <v/>
      </c>
      <c r="P14239" s="152">
        <f>M14239/1.1</f>
        <v/>
      </c>
      <c r="Q14239" s="88">
        <f>F14239&amp;E14239&amp;G14239&amp;L14239</f>
        <v/>
      </c>
    </row>
    <row r="14240">
      <c r="B14240" s="128" t="n">
        <v>44221</v>
      </c>
      <c r="C14240" s="88">
        <f>TEXT(B14240,"aaa")</f>
        <v/>
      </c>
      <c r="D14240" s="94" t="n"/>
      <c r="E14240" s="88">
        <f>INDEX(매칭테이블!C:D,MATCH(RD!G14240,매칭테이블!D:D,0),1)</f>
        <v/>
      </c>
      <c r="F14240" s="94" t="inlineStr">
        <is>
          <t>카페24</t>
        </is>
      </c>
      <c r="G14240" s="94" t="inlineStr">
        <is>
          <t>어성초 70 머드 크림 마스크옵션=어성초 70 머드 크림 마스크 2개-30% off (무료배송)</t>
        </is>
      </c>
      <c r="K14240" s="94" t="n">
        <v>1</v>
      </c>
      <c r="L14240" s="88" t="n">
        <v>201208</v>
      </c>
      <c r="M14240" s="88">
        <f>VLOOKUP($Q14240,매칭테이블!$F:$I,2,0)*K14240</f>
        <v/>
      </c>
      <c r="N14240" s="88">
        <f>M14240-M14240*VLOOKUP($Q14240,매칭테이블!$F:$I,3,0)</f>
        <v/>
      </c>
      <c r="O14240" s="88">
        <f>VLOOKUP($Q14240,매칭테이블!$F:$I,4,0)*K14240</f>
        <v/>
      </c>
      <c r="P14240" s="152">
        <f>M14240/1.1</f>
        <v/>
      </c>
      <c r="Q14240" s="88">
        <f>F14240&amp;E14240&amp;G14240&amp;L14240</f>
        <v/>
      </c>
    </row>
    <row r="14241">
      <c r="B14241" s="128" t="n">
        <v>44221</v>
      </c>
      <c r="C14241" s="88">
        <f>TEXT(B14241,"aaa")</f>
        <v/>
      </c>
      <c r="D14241" s="94" t="n"/>
      <c r="E14241" s="88">
        <f>INDEX(매칭테이블!C:D,MATCH(RD!G14241,매칭테이블!D:D,0),1)</f>
        <v/>
      </c>
      <c r="F14241" s="94" t="inlineStr">
        <is>
          <t>카페24</t>
        </is>
      </c>
      <c r="G14241" s="94" t="inlineStr">
        <is>
          <t>어성초 70 인텐스 카밍 크림크림=어성초 70 인텐스 카밍 크림 1개 (-20%)</t>
        </is>
      </c>
      <c r="K14241" s="94" t="n">
        <v>4</v>
      </c>
      <c r="L14241" s="88" t="n">
        <v>201208</v>
      </c>
      <c r="M14241" s="88">
        <f>VLOOKUP($Q14241,매칭테이블!$F:$I,2,0)*K14241</f>
        <v/>
      </c>
      <c r="N14241" s="88">
        <f>M14241-M14241*VLOOKUP($Q14241,매칭테이블!$F:$I,3,0)</f>
        <v/>
      </c>
      <c r="O14241" s="88">
        <f>VLOOKUP($Q14241,매칭테이블!$F:$I,4,0)*K14241</f>
        <v/>
      </c>
      <c r="P14241" s="152">
        <f>M14241/1.1</f>
        <v/>
      </c>
      <c r="Q14241" s="88">
        <f>F14241&amp;E14241&amp;G14241&amp;L14241</f>
        <v/>
      </c>
    </row>
    <row r="14242">
      <c r="B14242" s="128" t="n">
        <v>44221</v>
      </c>
      <c r="C14242" s="88">
        <f>TEXT(B14242,"aaa")</f>
        <v/>
      </c>
      <c r="D14242" s="94" t="n"/>
      <c r="E14242" s="88">
        <f>INDEX(매칭테이블!C:D,MATCH(RD!G14242,매칭테이블!D:D,0),1)</f>
        <v/>
      </c>
      <c r="F14242" s="94" t="inlineStr">
        <is>
          <t>카페24</t>
        </is>
      </c>
      <c r="G14242" s="94" t="inlineStr">
        <is>
          <t>어성초 70 인텐스 카밍 크림크림=어성초 70 인텐스 카밍 크림 2개 (-30%)</t>
        </is>
      </c>
      <c r="K14242" s="94" t="n">
        <v>2</v>
      </c>
      <c r="L14242" s="88" t="n">
        <v>201208</v>
      </c>
      <c r="M14242" s="88">
        <f>VLOOKUP($Q14242,매칭테이블!$F:$I,2,0)*K14242</f>
        <v/>
      </c>
      <c r="N14242" s="88">
        <f>M14242-M14242*VLOOKUP($Q14242,매칭테이블!$F:$I,3,0)</f>
        <v/>
      </c>
      <c r="O14242" s="88">
        <f>VLOOKUP($Q14242,매칭테이블!$F:$I,4,0)*K14242</f>
        <v/>
      </c>
      <c r="P14242" s="152">
        <f>M14242/1.1</f>
        <v/>
      </c>
      <c r="Q14242" s="88">
        <f>F14242&amp;E14242&amp;G14242&amp;L14242</f>
        <v/>
      </c>
    </row>
    <row r="14243">
      <c r="B14243" s="128" t="n">
        <v>44221</v>
      </c>
      <c r="C14243" s="88">
        <f>TEXT(B14243,"aaa")</f>
        <v/>
      </c>
      <c r="D14243" s="94" t="n"/>
      <c r="E14243" s="88">
        <f>INDEX(매칭테이블!C:D,MATCH(RD!G14243,매칭테이블!D:D,0),1)</f>
        <v/>
      </c>
      <c r="F14243" s="94" t="inlineStr">
        <is>
          <t>카페24</t>
        </is>
      </c>
      <c r="G14243" s="94" t="inlineStr">
        <is>
          <t>어성초 70 인텐스 카밍 크림크림=어성초 토너 250ml + 카밍 크림 50ml (-30%)</t>
        </is>
      </c>
      <c r="K14243" s="94" t="n">
        <v>2</v>
      </c>
      <c r="L14243" s="88" t="n">
        <v>201208</v>
      </c>
      <c r="M14243" s="88">
        <f>VLOOKUP($Q14243,매칭테이블!$F:$I,2,0)*K14243</f>
        <v/>
      </c>
      <c r="N14243" s="88">
        <f>M14243-M14243*VLOOKUP($Q14243,매칭테이블!$F:$I,3,0)</f>
        <v/>
      </c>
      <c r="O14243" s="88">
        <f>VLOOKUP($Q14243,매칭테이블!$F:$I,4,0)*K14243</f>
        <v/>
      </c>
      <c r="P14243" s="152">
        <f>M14243/1.1</f>
        <v/>
      </c>
      <c r="Q14243" s="88">
        <f>F14243&amp;E14243&amp;G14243&amp;L14243</f>
        <v/>
      </c>
    </row>
    <row r="14244">
      <c r="B14244" s="128" t="n">
        <v>44221</v>
      </c>
      <c r="C14244" s="88">
        <f>TEXT(B14244,"aaa")</f>
        <v/>
      </c>
      <c r="D14244" s="94" t="n"/>
      <c r="E14244" s="88">
        <f>INDEX(매칭테이블!C:D,MATCH(RD!G14244,매칭테이블!D:D,0),1)</f>
        <v/>
      </c>
      <c r="F14244" s="94" t="inlineStr">
        <is>
          <t>카페24</t>
        </is>
      </c>
      <c r="G14244" s="94" t="inlineStr">
        <is>
          <t>어성초 77 수딩 토너옵션=어성초 77 토너 1개-20% off</t>
        </is>
      </c>
      <c r="K14244" s="94" t="n">
        <v>76</v>
      </c>
      <c r="L14244" s="88" t="n">
        <v>201208</v>
      </c>
      <c r="M14244" s="88">
        <f>VLOOKUP($Q14244,매칭테이블!$F:$I,2,0)*K14244</f>
        <v/>
      </c>
      <c r="N14244" s="88">
        <f>M14244-M14244*VLOOKUP($Q14244,매칭테이블!$F:$I,3,0)</f>
        <v/>
      </c>
      <c r="O14244" s="88">
        <f>VLOOKUP($Q14244,매칭테이블!$F:$I,4,0)*K14244</f>
        <v/>
      </c>
      <c r="P14244" s="152">
        <f>M14244/1.1</f>
        <v/>
      </c>
      <c r="Q14244" s="88">
        <f>F14244&amp;E14244&amp;G14244&amp;L14244</f>
        <v/>
      </c>
    </row>
    <row r="14245">
      <c r="B14245" s="128" t="n">
        <v>44221</v>
      </c>
      <c r="C14245" s="88">
        <f>TEXT(B14245,"aaa")</f>
        <v/>
      </c>
      <c r="D14245" s="94" t="n"/>
      <c r="E14245" s="88">
        <f>INDEX(매칭테이블!C:D,MATCH(RD!G14245,매칭테이블!D:D,0),1)</f>
        <v/>
      </c>
      <c r="F14245" s="94" t="inlineStr">
        <is>
          <t>카페24</t>
        </is>
      </c>
      <c r="G14245" s="94" t="inlineStr">
        <is>
          <t>어성초 77 수딩 토너옵션=BEST어성초 77 토너 2개-30% off (무료배송)</t>
        </is>
      </c>
      <c r="K14245" s="94" t="n">
        <v>55</v>
      </c>
      <c r="L14245" s="88" t="n">
        <v>201208</v>
      </c>
      <c r="M14245" s="88">
        <f>VLOOKUP($Q14245,매칭테이블!$F:$I,2,0)*K14245</f>
        <v/>
      </c>
      <c r="N14245" s="88">
        <f>M14245-M14245*VLOOKUP($Q14245,매칭테이블!$F:$I,3,0)</f>
        <v/>
      </c>
      <c r="O14245" s="88">
        <f>VLOOKUP($Q14245,매칭테이블!$F:$I,4,0)*K14245</f>
        <v/>
      </c>
      <c r="P14245" s="152">
        <f>M14245/1.1</f>
        <v/>
      </c>
      <c r="Q14245" s="88">
        <f>F14245&amp;E14245&amp;G14245&amp;L14245</f>
        <v/>
      </c>
    </row>
    <row r="14246">
      <c r="B14246" s="128" t="n">
        <v>44221</v>
      </c>
      <c r="C14246" s="88">
        <f>TEXT(B14246,"aaa")</f>
        <v/>
      </c>
      <c r="D14246" s="94" t="n"/>
      <c r="E14246" s="88">
        <f>INDEX(매칭테이블!C:D,MATCH(RD!G14246,매칭테이블!D:D,0),1)</f>
        <v/>
      </c>
      <c r="F14246" s="94" t="inlineStr">
        <is>
          <t>카페24</t>
        </is>
      </c>
      <c r="G14246" s="94" t="inlineStr">
        <is>
          <t>어성초 77 수딩 토너옵션=어성초 77토너1개 + 어성초77패드1개 -30% off (무료배송)</t>
        </is>
      </c>
      <c r="K14246" s="94" t="n">
        <v>29</v>
      </c>
      <c r="L14246" s="88" t="n">
        <v>201208</v>
      </c>
      <c r="M14246" s="88">
        <f>VLOOKUP($Q14246,매칭테이블!$F:$I,2,0)*K14246</f>
        <v/>
      </c>
      <c r="N14246" s="88">
        <f>M14246-M14246*VLOOKUP($Q14246,매칭테이블!$F:$I,3,0)</f>
        <v/>
      </c>
      <c r="O14246" s="88">
        <f>VLOOKUP($Q14246,매칭테이블!$F:$I,4,0)*K14246</f>
        <v/>
      </c>
      <c r="P14246" s="152">
        <f>M14246/1.1</f>
        <v/>
      </c>
      <c r="Q14246" s="88">
        <f>F14246&amp;E14246&amp;G14246&amp;L14246</f>
        <v/>
      </c>
    </row>
    <row r="14247">
      <c r="B14247" s="128" t="n">
        <v>44221</v>
      </c>
      <c r="C14247" s="88">
        <f>TEXT(B14247,"aaa")</f>
        <v/>
      </c>
      <c r="D14247" s="94" t="n"/>
      <c r="E14247" s="88">
        <f>INDEX(매칭테이블!C:D,MATCH(RD!G14247,매칭테이블!D:D,0),1)</f>
        <v/>
      </c>
      <c r="F14247" s="94" t="inlineStr">
        <is>
          <t>카페24</t>
        </is>
      </c>
      <c r="G14247" s="94" t="inlineStr">
        <is>
          <t>어성초 77 수딩 토너화장솜(선택)=촉촉 스킨팩 화장솜</t>
        </is>
      </c>
      <c r="K14247" s="94" t="n">
        <v>54</v>
      </c>
      <c r="L14247" s="88" t="n">
        <v>201208</v>
      </c>
      <c r="M14247" s="88">
        <f>VLOOKUP($Q14247,매칭테이블!$F:$I,2,0)*K14247</f>
        <v/>
      </c>
      <c r="N14247" s="88">
        <f>M14247-M14247*VLOOKUP($Q14247,매칭테이블!$F:$I,3,0)</f>
        <v/>
      </c>
      <c r="O14247" s="88">
        <f>VLOOKUP($Q14247,매칭테이블!$F:$I,4,0)*K14247</f>
        <v/>
      </c>
      <c r="P14247" s="152">
        <f>M14247/1.1</f>
        <v/>
      </c>
      <c r="Q14247" s="88">
        <f>F14247&amp;E14247&amp;G14247&amp;L14247</f>
        <v/>
      </c>
    </row>
    <row r="14248">
      <c r="B14248" s="128" t="n">
        <v>44221</v>
      </c>
      <c r="C14248" s="88">
        <f>TEXT(B14248,"aaa")</f>
        <v/>
      </c>
      <c r="D14248" s="94" t="n"/>
      <c r="E14248" s="88">
        <f>INDEX(매칭테이블!C:D,MATCH(RD!G14248,매칭테이블!D:D,0),1)</f>
        <v/>
      </c>
      <c r="F14248" s="94" t="inlineStr">
        <is>
          <t>카페24</t>
        </is>
      </c>
      <c r="G14248" s="94" t="inlineStr">
        <is>
          <t>어성초 77 진정 마스크옵션=어성초 77 진정 마스크팩 1장</t>
        </is>
      </c>
      <c r="K14248" s="94" t="n">
        <v>4</v>
      </c>
      <c r="L14248" s="88" t="n">
        <v>201208</v>
      </c>
      <c r="M14248" s="88">
        <f>VLOOKUP($Q14248,매칭테이블!$F:$I,2,0)*K14248</f>
        <v/>
      </c>
      <c r="N14248" s="88">
        <f>M14248-M14248*VLOOKUP($Q14248,매칭테이블!$F:$I,3,0)</f>
        <v/>
      </c>
      <c r="O14248" s="88">
        <f>VLOOKUP($Q14248,매칭테이블!$F:$I,4,0)*K14248</f>
        <v/>
      </c>
      <c r="P14248" s="152">
        <f>M14248/1.1</f>
        <v/>
      </c>
      <c r="Q14248" s="88">
        <f>F14248&amp;E14248&amp;G14248&amp;L14248</f>
        <v/>
      </c>
    </row>
    <row r="14249">
      <c r="B14249" s="128" t="n">
        <v>44221</v>
      </c>
      <c r="C14249" s="88">
        <f>TEXT(B14249,"aaa")</f>
        <v/>
      </c>
      <c r="D14249" s="94" t="n"/>
      <c r="E14249" s="88">
        <f>INDEX(매칭테이블!C:D,MATCH(RD!G14249,매칭테이블!D:D,0),1)</f>
        <v/>
      </c>
      <c r="F14249" s="94" t="inlineStr">
        <is>
          <t>카페24</t>
        </is>
      </c>
      <c r="G14249" s="94" t="inlineStr">
        <is>
          <t>어성초 77 진정 마스크옵션=어성초 77 진정 마스크팩 10장-50% off</t>
        </is>
      </c>
      <c r="K14249" s="94" t="n">
        <v>6</v>
      </c>
      <c r="L14249" s="88" t="n">
        <v>201208</v>
      </c>
      <c r="M14249" s="88">
        <f>VLOOKUP($Q14249,매칭테이블!$F:$I,2,0)*K14249</f>
        <v/>
      </c>
      <c r="N14249" s="88">
        <f>M14249-M14249*VLOOKUP($Q14249,매칭테이블!$F:$I,3,0)</f>
        <v/>
      </c>
      <c r="O14249" s="88">
        <f>VLOOKUP($Q14249,매칭테이블!$F:$I,4,0)*K14249</f>
        <v/>
      </c>
      <c r="P14249" s="152">
        <f>M14249/1.1</f>
        <v/>
      </c>
      <c r="Q14249" s="88">
        <f>F14249&amp;E14249&amp;G14249&amp;L14249</f>
        <v/>
      </c>
    </row>
    <row r="14250">
      <c r="B14250" s="128" t="n">
        <v>44221</v>
      </c>
      <c r="C14250" s="88">
        <f>TEXT(B14250,"aaa")</f>
        <v/>
      </c>
      <c r="D14250" s="94" t="n"/>
      <c r="E14250" s="88">
        <f>INDEX(매칭테이블!C:D,MATCH(RD!G14250,매칭테이블!D:D,0),1)</f>
        <v/>
      </c>
      <c r="F14250" s="94" t="inlineStr">
        <is>
          <t>카페24</t>
        </is>
      </c>
      <c r="G14250" s="94" t="inlineStr">
        <is>
          <t>어성초 77 진정 마스크</t>
        </is>
      </c>
      <c r="K14250" s="94" t="n">
        <v>22</v>
      </c>
      <c r="L14250" s="88" t="n">
        <v>201208</v>
      </c>
      <c r="M14250" s="88">
        <f>VLOOKUP($Q14250,매칭테이블!$F:$I,2,0)*K14250</f>
        <v/>
      </c>
      <c r="N14250" s="88">
        <f>M14250-M14250*VLOOKUP($Q14250,매칭테이블!$F:$I,3,0)</f>
        <v/>
      </c>
      <c r="O14250" s="88">
        <f>VLOOKUP($Q14250,매칭테이블!$F:$I,4,0)*K14250</f>
        <v/>
      </c>
      <c r="P14250" s="152">
        <f>M14250/1.1</f>
        <v/>
      </c>
      <c r="Q14250" s="88">
        <f>F14250&amp;E14250&amp;G14250&amp;L14250</f>
        <v/>
      </c>
    </row>
    <row r="14251">
      <c r="B14251" s="128" t="n">
        <v>44221</v>
      </c>
      <c r="C14251" s="88">
        <f>TEXT(B14251,"aaa")</f>
        <v/>
      </c>
      <c r="D14251" s="94" t="n"/>
      <c r="E14251" s="88">
        <f>INDEX(매칭테이블!C:D,MATCH(RD!G14251,매칭테이블!D:D,0),1)</f>
        <v/>
      </c>
      <c r="F14251" s="94" t="inlineStr">
        <is>
          <t>카페24</t>
        </is>
      </c>
      <c r="G14251" s="94" t="inlineStr">
        <is>
          <t>어성초 77 토너</t>
        </is>
      </c>
      <c r="K14251" s="94" t="n">
        <v>1</v>
      </c>
      <c r="L14251" s="88" t="n">
        <v>201208</v>
      </c>
      <c r="M14251" s="88">
        <f>VLOOKUP($Q14251,매칭테이블!$F:$I,2,0)*K14251</f>
        <v/>
      </c>
      <c r="N14251" s="88">
        <f>M14251-M14251*VLOOKUP($Q14251,매칭테이블!$F:$I,3,0)</f>
        <v/>
      </c>
      <c r="O14251" s="88">
        <f>VLOOKUP($Q14251,매칭테이블!$F:$I,4,0)*K14251</f>
        <v/>
      </c>
      <c r="P14251" s="152">
        <f>M14251/1.1</f>
        <v/>
      </c>
      <c r="Q14251" s="88">
        <f>F14251&amp;E14251&amp;G14251&amp;L14251</f>
        <v/>
      </c>
    </row>
    <row r="14252">
      <c r="B14252" s="128" t="n">
        <v>44221</v>
      </c>
      <c r="C14252" s="88">
        <f>TEXT(B14252,"aaa")</f>
        <v/>
      </c>
      <c r="D14252" s="94" t="n"/>
      <c r="E14252" s="88">
        <f>INDEX(매칭테이블!C:D,MATCH(RD!G14252,매칭테이블!D:D,0),1)</f>
        <v/>
      </c>
      <c r="F14252" s="94" t="inlineStr">
        <is>
          <t>카페24</t>
        </is>
      </c>
      <c r="G14252" s="94" t="inlineStr">
        <is>
          <t>어성초 78 수딩 크림</t>
        </is>
      </c>
      <c r="K14252" s="94" t="n">
        <v>11</v>
      </c>
      <c r="L14252" s="88" t="n">
        <v>201208</v>
      </c>
      <c r="M14252" s="88">
        <f>VLOOKUP($Q14252,매칭테이블!$F:$I,2,0)*K14252</f>
        <v/>
      </c>
      <c r="N14252" s="88">
        <f>M14252-M14252*VLOOKUP($Q14252,매칭테이블!$F:$I,3,0)</f>
        <v/>
      </c>
      <c r="O14252" s="88">
        <f>VLOOKUP($Q14252,매칭테이블!$F:$I,4,0)*K14252</f>
        <v/>
      </c>
      <c r="P14252" s="152">
        <f>M14252/1.1</f>
        <v/>
      </c>
      <c r="Q14252" s="88">
        <f>F14252&amp;E14252&amp;G14252&amp;L14252</f>
        <v/>
      </c>
    </row>
    <row r="14253">
      <c r="B14253" s="128" t="n">
        <v>44221</v>
      </c>
      <c r="C14253" s="88">
        <f>TEXT(B14253,"aaa")</f>
        <v/>
      </c>
      <c r="D14253" s="94" t="n"/>
      <c r="E14253" s="88">
        <f>INDEX(매칭테이블!C:D,MATCH(RD!G14253,매칭테이블!D:D,0),1)</f>
        <v/>
      </c>
      <c r="F14253" s="94" t="inlineStr">
        <is>
          <t>카페24</t>
        </is>
      </c>
      <c r="G14253" s="94" t="inlineStr">
        <is>
          <t>어성초 78 수딩 크림</t>
        </is>
      </c>
      <c r="K14253" s="94" t="n">
        <v>4</v>
      </c>
      <c r="L14253" s="88" t="n">
        <v>201208</v>
      </c>
      <c r="M14253" s="88">
        <f>VLOOKUP($Q14253,매칭테이블!$F:$I,2,0)*K14253</f>
        <v/>
      </c>
      <c r="N14253" s="88">
        <f>M14253-M14253*VLOOKUP($Q14253,매칭테이블!$F:$I,3,0)</f>
        <v/>
      </c>
      <c r="O14253" s="88">
        <f>VLOOKUP($Q14253,매칭테이블!$F:$I,4,0)*K14253</f>
        <v/>
      </c>
      <c r="P14253" s="152">
        <f>M14253/1.1</f>
        <v/>
      </c>
      <c r="Q14253" s="88">
        <f>F14253&amp;E14253&amp;G14253&amp;L14253</f>
        <v/>
      </c>
    </row>
    <row r="14254">
      <c r="B14254" s="128" t="n">
        <v>44221</v>
      </c>
      <c r="C14254" s="88">
        <f>TEXT(B14254,"aaa")</f>
        <v/>
      </c>
      <c r="D14254" s="94" t="n"/>
      <c r="E14254" s="88">
        <f>INDEX(매칭테이블!C:D,MATCH(RD!G14254,매칭테이블!D:D,0),1)</f>
        <v/>
      </c>
      <c r="F14254" s="94" t="inlineStr">
        <is>
          <t>카페24</t>
        </is>
      </c>
      <c r="G14254" s="94" t="inlineStr">
        <is>
          <t>어성초 80 수분 진정 앰플앰플=어성초 80 앰플 1개-15%off</t>
        </is>
      </c>
      <c r="K14254" s="94" t="n">
        <v>27</v>
      </c>
      <c r="L14254" s="88" t="n">
        <v>201208</v>
      </c>
      <c r="M14254" s="88">
        <f>VLOOKUP($Q14254,매칭테이블!$F:$I,2,0)*K14254</f>
        <v/>
      </c>
      <c r="N14254" s="88">
        <f>M14254-M14254*VLOOKUP($Q14254,매칭테이블!$F:$I,3,0)</f>
        <v/>
      </c>
      <c r="O14254" s="88">
        <f>VLOOKUP($Q14254,매칭테이블!$F:$I,4,0)*K14254</f>
        <v/>
      </c>
      <c r="P14254" s="152">
        <f>M14254/1.1</f>
        <v/>
      </c>
      <c r="Q14254" s="88">
        <f>F14254&amp;E14254&amp;G14254&amp;L14254</f>
        <v/>
      </c>
    </row>
    <row r="14255">
      <c r="B14255" s="128" t="n">
        <v>44221</v>
      </c>
      <c r="C14255" s="88">
        <f>TEXT(B14255,"aaa")</f>
        <v/>
      </c>
      <c r="D14255" s="94" t="n"/>
      <c r="E14255" s="88">
        <f>INDEX(매칭테이블!C:D,MATCH(RD!G14255,매칭테이블!D:D,0),1)</f>
        <v/>
      </c>
      <c r="F14255" s="94" t="inlineStr">
        <is>
          <t>카페24</t>
        </is>
      </c>
      <c r="G14255" s="94" t="inlineStr">
        <is>
          <t>어성초 80 수분 진정 앰플앰플=어성초 80 앰플 2개-27%off (무료배송)</t>
        </is>
      </c>
      <c r="K14255" s="94" t="n">
        <v>8</v>
      </c>
      <c r="L14255" s="88" t="n">
        <v>201208</v>
      </c>
      <c r="M14255" s="88">
        <f>VLOOKUP($Q14255,매칭테이블!$F:$I,2,0)*K14255</f>
        <v/>
      </c>
      <c r="N14255" s="88">
        <f>M14255-M14255*VLOOKUP($Q14255,매칭테이블!$F:$I,3,0)</f>
        <v/>
      </c>
      <c r="O14255" s="88">
        <f>VLOOKUP($Q14255,매칭테이블!$F:$I,4,0)*K14255</f>
        <v/>
      </c>
      <c r="P14255" s="152">
        <f>M14255/1.1</f>
        <v/>
      </c>
      <c r="Q14255" s="88">
        <f>F14255&amp;E14255&amp;G14255&amp;L14255</f>
        <v/>
      </c>
    </row>
    <row r="14256">
      <c r="B14256" s="128" t="n">
        <v>44221</v>
      </c>
      <c r="C14256" s="88">
        <f>TEXT(B14256,"aaa")</f>
        <v/>
      </c>
      <c r="D14256" s="94" t="n"/>
      <c r="E14256" s="88">
        <f>INDEX(매칭테이블!C:D,MATCH(RD!G14256,매칭테이블!D:D,0),1)</f>
        <v/>
      </c>
      <c r="F14256" s="94" t="inlineStr">
        <is>
          <t>카페24</t>
        </is>
      </c>
      <c r="G14256" s="94" t="inlineStr">
        <is>
          <t>어성초 80 수분 진정 앰플</t>
        </is>
      </c>
      <c r="K14256" s="94" t="n">
        <v>10</v>
      </c>
      <c r="L14256" s="88" t="n">
        <v>201208</v>
      </c>
      <c r="M14256" s="88">
        <f>VLOOKUP($Q14256,매칭테이블!$F:$I,2,0)*K14256</f>
        <v/>
      </c>
      <c r="N14256" s="88">
        <f>M14256-M14256*VLOOKUP($Q14256,매칭테이블!$F:$I,3,0)</f>
        <v/>
      </c>
      <c r="O14256" s="88">
        <f>VLOOKUP($Q14256,매칭테이블!$F:$I,4,0)*K14256</f>
        <v/>
      </c>
      <c r="P14256" s="152">
        <f>M14256/1.1</f>
        <v/>
      </c>
      <c r="Q14256" s="88">
        <f>F14256&amp;E14256&amp;G14256&amp;L14256</f>
        <v/>
      </c>
    </row>
    <row r="14257">
      <c r="B14257" s="128" t="n">
        <v>44221</v>
      </c>
      <c r="C14257" s="88">
        <f>TEXT(B14257,"aaa")</f>
        <v/>
      </c>
      <c r="D14257" s="94" t="n"/>
      <c r="E14257" s="88">
        <f>INDEX(매칭테이블!C:D,MATCH(RD!G14257,매칭테이블!D:D,0),1)</f>
        <v/>
      </c>
      <c r="F14257" s="94" t="inlineStr">
        <is>
          <t>카페24</t>
        </is>
      </c>
      <c r="G14257" s="94" t="inlineStr">
        <is>
          <t>어성초 아크네 바디워시옵션=어성초 아크네 바디워시 1개 -30% off</t>
        </is>
      </c>
      <c r="K14257" s="94" t="n">
        <v>1</v>
      </c>
      <c r="L14257" s="88" t="n">
        <v>201208</v>
      </c>
      <c r="M14257" s="88">
        <f>VLOOKUP($Q14257,매칭테이블!$F:$I,2,0)*K14257</f>
        <v/>
      </c>
      <c r="N14257" s="88">
        <f>M14257-M14257*VLOOKUP($Q14257,매칭테이블!$F:$I,3,0)</f>
        <v/>
      </c>
      <c r="O14257" s="88">
        <f>VLOOKUP($Q14257,매칭테이블!$F:$I,4,0)*K14257</f>
        <v/>
      </c>
      <c r="P14257" s="152">
        <f>M14257/1.1</f>
        <v/>
      </c>
      <c r="Q14257" s="88">
        <f>F14257&amp;E14257&amp;G14257&amp;L14257</f>
        <v/>
      </c>
    </row>
    <row r="14258">
      <c r="B14258" s="128" t="n">
        <v>44221</v>
      </c>
      <c r="C14258" s="88">
        <f>TEXT(B14258,"aaa")</f>
        <v/>
      </c>
      <c r="D14258" s="94" t="n"/>
      <c r="E14258" s="88">
        <f>INDEX(매칭테이블!C:D,MATCH(RD!G14258,매칭테이블!D:D,0),1)</f>
        <v/>
      </c>
      <c r="F14258" s="94" t="inlineStr">
        <is>
          <t>카페24</t>
        </is>
      </c>
      <c r="G14258" s="94" t="inlineStr">
        <is>
          <t>어성초 약산성 클렌징폼클렌징폼=어성초 약산성 클렌징폼 1개 -19%off</t>
        </is>
      </c>
      <c r="K14258" s="94" t="n">
        <v>21</v>
      </c>
      <c r="L14258" s="88" t="n">
        <v>201208</v>
      </c>
      <c r="M14258" s="88">
        <f>VLOOKUP($Q14258,매칭테이블!$F:$I,2,0)*K14258</f>
        <v/>
      </c>
      <c r="N14258" s="88">
        <f>M14258-M14258*VLOOKUP($Q14258,매칭테이블!$F:$I,3,0)</f>
        <v/>
      </c>
      <c r="O14258" s="88">
        <f>VLOOKUP($Q14258,매칭테이블!$F:$I,4,0)*K14258</f>
        <v/>
      </c>
      <c r="P14258" s="152">
        <f>M14258/1.1</f>
        <v/>
      </c>
      <c r="Q14258" s="88">
        <f>F14258&amp;E14258&amp;G14258&amp;L14258</f>
        <v/>
      </c>
    </row>
    <row r="14259">
      <c r="B14259" s="128" t="n">
        <v>44221</v>
      </c>
      <c r="C14259" s="88">
        <f>TEXT(B14259,"aaa")</f>
        <v/>
      </c>
      <c r="D14259" s="94" t="n"/>
      <c r="E14259" s="88">
        <f>INDEX(매칭테이블!C:D,MATCH(RD!G14259,매칭테이블!D:D,0),1)</f>
        <v/>
      </c>
      <c r="F14259" s="94" t="inlineStr">
        <is>
          <t>카페24</t>
        </is>
      </c>
      <c r="G14259" s="94" t="inlineStr">
        <is>
          <t>어성초 약산성 클렌징폼클렌징폼=어성초 약산성 클렌징폼 2개 -25%off</t>
        </is>
      </c>
      <c r="K14259" s="94" t="n">
        <v>5</v>
      </c>
      <c r="L14259" s="88" t="n">
        <v>201208</v>
      </c>
      <c r="M14259" s="88">
        <f>VLOOKUP($Q14259,매칭테이블!$F:$I,2,0)*K14259</f>
        <v/>
      </c>
      <c r="N14259" s="88">
        <f>M14259-M14259*VLOOKUP($Q14259,매칭테이블!$F:$I,3,0)</f>
        <v/>
      </c>
      <c r="O14259" s="88">
        <f>VLOOKUP($Q14259,매칭테이블!$F:$I,4,0)*K14259</f>
        <v/>
      </c>
      <c r="P14259" s="152">
        <f>M14259/1.1</f>
        <v/>
      </c>
      <c r="Q14259" s="88">
        <f>F14259&amp;E14259&amp;G14259&amp;L14259</f>
        <v/>
      </c>
    </row>
    <row r="14260">
      <c r="B14260" s="128" t="n">
        <v>44221</v>
      </c>
      <c r="C14260" s="88">
        <f>TEXT(B14260,"aaa")</f>
        <v/>
      </c>
      <c r="D14260" s="94" t="n"/>
      <c r="E14260" s="88">
        <f>INDEX(매칭테이블!C:D,MATCH(RD!G14260,매칭테이블!D:D,0),1)</f>
        <v/>
      </c>
      <c r="F14260" s="94" t="inlineStr">
        <is>
          <t>카페24</t>
        </is>
      </c>
      <c r="G14260" s="94" t="inlineStr">
        <is>
          <t>어성초 약산성 클렌징폼클렌징폼=어성초 약산성 클렌징폼 3개 -31%off (무료배송)</t>
        </is>
      </c>
      <c r="K14260" s="94" t="n">
        <v>7</v>
      </c>
      <c r="L14260" s="88" t="n">
        <v>201208</v>
      </c>
      <c r="M14260" s="88">
        <f>VLOOKUP($Q14260,매칭테이블!$F:$I,2,0)*K14260</f>
        <v/>
      </c>
      <c r="N14260" s="88">
        <f>M14260-M14260*VLOOKUP($Q14260,매칭테이블!$F:$I,3,0)</f>
        <v/>
      </c>
      <c r="O14260" s="88">
        <f>VLOOKUP($Q14260,매칭테이블!$F:$I,4,0)*K14260</f>
        <v/>
      </c>
      <c r="P14260" s="152">
        <f>M14260/1.1</f>
        <v/>
      </c>
      <c r="Q14260" s="88">
        <f>F14260&amp;E14260&amp;G14260&amp;L14260</f>
        <v/>
      </c>
    </row>
    <row r="14261">
      <c r="B14261" s="128" t="n">
        <v>44221</v>
      </c>
      <c r="C14261" s="88">
        <f>TEXT(B14261,"aaa")</f>
        <v/>
      </c>
      <c r="D14261" s="94" t="n"/>
      <c r="E14261" s="88">
        <f>INDEX(매칭테이블!C:D,MATCH(RD!G14261,매칭테이블!D:D,0),1)</f>
        <v/>
      </c>
      <c r="F14261" s="94" t="inlineStr">
        <is>
          <t>카페24</t>
        </is>
      </c>
      <c r="G14261" s="94" t="inlineStr">
        <is>
          <t>어성초 약산성 클렌징폼</t>
        </is>
      </c>
      <c r="K14261" s="94" t="n">
        <v>1</v>
      </c>
      <c r="L14261" s="88" t="n">
        <v>201208</v>
      </c>
      <c r="M14261" s="88">
        <f>VLOOKUP($Q14261,매칭테이블!$F:$I,2,0)*K14261</f>
        <v/>
      </c>
      <c r="N14261" s="88">
        <f>M14261-M14261*VLOOKUP($Q14261,매칭테이블!$F:$I,3,0)</f>
        <v/>
      </c>
      <c r="O14261" s="88">
        <f>VLOOKUP($Q14261,매칭테이블!$F:$I,4,0)*K14261</f>
        <v/>
      </c>
      <c r="P14261" s="152">
        <f>M14261/1.1</f>
        <v/>
      </c>
      <c r="Q14261" s="88">
        <f>F14261&amp;E14261&amp;G14261&amp;L14261</f>
        <v/>
      </c>
    </row>
    <row r="14262">
      <c r="B14262" s="128" t="n">
        <v>44221</v>
      </c>
      <c r="C14262" s="88">
        <f>TEXT(B14262,"aaa")</f>
        <v/>
      </c>
      <c r="D14262" s="94" t="n"/>
      <c r="E14262" s="88">
        <f>INDEX(매칭테이블!C:D,MATCH(RD!G14262,매칭테이블!D:D,0),1)</f>
        <v/>
      </c>
      <c r="F14262" s="94" t="inlineStr">
        <is>
          <t>카페24</t>
        </is>
      </c>
      <c r="G14262" s="94" t="inlineStr">
        <is>
          <t>어성초 크림마스크 나이트 솔루션옵션=어성초 크림마스크 나이트 솔루션 10장 (-50%)</t>
        </is>
      </c>
      <c r="K14262" s="94" t="n">
        <v>1</v>
      </c>
      <c r="L14262" s="88" t="n">
        <v>201208</v>
      </c>
      <c r="M14262" s="88">
        <f>VLOOKUP($Q14262,매칭테이블!$F:$I,2,0)*K14262</f>
        <v/>
      </c>
      <c r="N14262" s="88">
        <f>M14262-M14262*VLOOKUP($Q14262,매칭테이블!$F:$I,3,0)</f>
        <v/>
      </c>
      <c r="O14262" s="88">
        <f>VLOOKUP($Q14262,매칭테이블!$F:$I,4,0)*K14262</f>
        <v/>
      </c>
      <c r="P14262" s="152">
        <f>M14262/1.1</f>
        <v/>
      </c>
      <c r="Q14262" s="88">
        <f>F14262&amp;E14262&amp;G14262&amp;L14262</f>
        <v/>
      </c>
    </row>
    <row r="14263">
      <c r="B14263" s="128" t="n">
        <v>44221</v>
      </c>
      <c r="C14263" s="88">
        <f>TEXT(B14263,"aaa")</f>
        <v/>
      </c>
      <c r="D14263" s="94" t="n"/>
      <c r="E14263" s="88">
        <f>INDEX(매칭테이블!C:D,MATCH(RD!G14263,매칭테이블!D:D,0),1)</f>
        <v/>
      </c>
      <c r="F14263" s="94" t="inlineStr">
        <is>
          <t>카페24</t>
        </is>
      </c>
      <c r="G14263" s="94" t="inlineStr">
        <is>
          <t>자작나무 수분 마스크옵션=자작나무 수분 마스크 10장 (50% off)</t>
        </is>
      </c>
      <c r="K14263" s="94" t="n">
        <v>2</v>
      </c>
      <c r="L14263" s="88" t="n">
        <v>201208</v>
      </c>
      <c r="M14263" s="88">
        <f>VLOOKUP($Q14263,매칭테이블!$F:$I,2,0)*K14263</f>
        <v/>
      </c>
      <c r="N14263" s="88">
        <f>M14263-M14263*VLOOKUP($Q14263,매칭테이블!$F:$I,3,0)</f>
        <v/>
      </c>
      <c r="O14263" s="88">
        <f>VLOOKUP($Q14263,매칭테이블!$F:$I,4,0)*K14263</f>
        <v/>
      </c>
      <c r="P14263" s="152">
        <f>M14263/1.1</f>
        <v/>
      </c>
      <c r="Q14263" s="88">
        <f>F14263&amp;E14263&amp;G14263&amp;L14263</f>
        <v/>
      </c>
    </row>
    <row r="14264">
      <c r="B14264" s="128" t="n">
        <v>44221</v>
      </c>
      <c r="C14264" s="88">
        <f>TEXT(B14264,"aaa")</f>
        <v/>
      </c>
      <c r="D14264" s="94" t="n"/>
      <c r="E14264" s="88">
        <f>INDEX(매칭테이블!C:D,MATCH(RD!G14264,매칭테이블!D:D,0),1)</f>
        <v/>
      </c>
      <c r="F14264" s="94" t="inlineStr">
        <is>
          <t>카페24</t>
        </is>
      </c>
      <c r="G14264" s="94" t="inlineStr">
        <is>
          <t>청귤 비타 잡티 마스크옵션=청귤 비타 잡티 마스크 10장 (50% off)</t>
        </is>
      </c>
      <c r="K14264" s="94" t="n">
        <v>4</v>
      </c>
      <c r="L14264" s="88" t="n">
        <v>201208</v>
      </c>
      <c r="M14264" s="88">
        <f>VLOOKUP($Q14264,매칭테이블!$F:$I,2,0)*K14264</f>
        <v/>
      </c>
      <c r="N14264" s="88">
        <f>M14264-M14264*VLOOKUP($Q14264,매칭테이블!$F:$I,3,0)</f>
        <v/>
      </c>
      <c r="O14264" s="88">
        <f>VLOOKUP($Q14264,매칭테이블!$F:$I,4,0)*K14264</f>
        <v/>
      </c>
      <c r="P14264" s="152">
        <f>M14264/1.1</f>
        <v/>
      </c>
      <c r="Q14264" s="88">
        <f>F14264&amp;E14264&amp;G14264&amp;L14264</f>
        <v/>
      </c>
    </row>
    <row r="14265">
      <c r="B14265" s="128" t="n">
        <v>44221</v>
      </c>
      <c r="C14265" s="88">
        <f>TEXT(B14265,"aaa")</f>
        <v/>
      </c>
      <c r="D14265" s="94" t="n"/>
      <c r="E14265" s="88">
        <f>INDEX(매칭테이블!C:D,MATCH(RD!G14265,매칭테이블!D:D,0),1)</f>
        <v/>
      </c>
      <c r="F14265" s="94" t="inlineStr">
        <is>
          <t>카페24</t>
        </is>
      </c>
      <c r="G14265" s="94" t="inlineStr">
        <is>
          <t>촉촉 스킨팩 화장솜</t>
        </is>
      </c>
      <c r="K14265" s="94" t="n">
        <v>18</v>
      </c>
      <c r="L14265" s="88" t="n">
        <v>201208</v>
      </c>
      <c r="M14265" s="88">
        <f>VLOOKUP($Q14265,매칭테이블!$F:$I,2,0)*K14265</f>
        <v/>
      </c>
      <c r="N14265" s="88">
        <f>M14265-M14265*VLOOKUP($Q14265,매칭테이블!$F:$I,3,0)</f>
        <v/>
      </c>
      <c r="O14265" s="88">
        <f>VLOOKUP($Q14265,매칭테이블!$F:$I,4,0)*K14265</f>
        <v/>
      </c>
      <c r="P14265" s="152">
        <f>M14265/1.1</f>
        <v/>
      </c>
      <c r="Q14265" s="88">
        <f>F14265&amp;E14265&amp;G14265&amp;L14265</f>
        <v/>
      </c>
    </row>
    <row r="14266">
      <c r="B14266" s="128" t="n">
        <v>44221</v>
      </c>
      <c r="C14266" s="88">
        <f>TEXT(B14266,"aaa")</f>
        <v/>
      </c>
      <c r="D14266" s="94" t="n"/>
      <c r="E14266" s="88">
        <f>INDEX(매칭테이블!C:D,MATCH(RD!G14266,매칭테이블!D:D,0),1)</f>
        <v/>
      </c>
      <c r="F14266" s="94" t="inlineStr">
        <is>
          <t>카페24</t>
        </is>
      </c>
      <c r="G14266" s="94" t="inlineStr">
        <is>
          <t>촉촉 스킨팩 화장솜</t>
        </is>
      </c>
      <c r="K14266" s="94" t="n">
        <v>1</v>
      </c>
      <c r="L14266" s="88" t="n">
        <v>201208</v>
      </c>
      <c r="M14266" s="88">
        <f>VLOOKUP($Q14266,매칭테이블!$F:$I,2,0)*K14266</f>
        <v/>
      </c>
      <c r="N14266" s="88">
        <f>M14266-M14266*VLOOKUP($Q14266,매칭테이블!$F:$I,3,0)</f>
        <v/>
      </c>
      <c r="O14266" s="88">
        <f>VLOOKUP($Q14266,매칭테이블!$F:$I,4,0)*K14266</f>
        <v/>
      </c>
      <c r="P14266" s="152">
        <f>M14266/1.1</f>
        <v/>
      </c>
      <c r="Q14266" s="88">
        <f>F14266&amp;E14266&amp;G14266&amp;L14266</f>
        <v/>
      </c>
    </row>
    <row r="14267">
      <c r="B14267" s="128" t="n">
        <v>44222</v>
      </c>
      <c r="C14267" s="88">
        <f>TEXT(B14267,"aaa")</f>
        <v/>
      </c>
      <c r="D14267" s="94" t="n"/>
      <c r="E14267" s="88">
        <f>INDEX(매칭테이블!C:D,MATCH(RD!G14267,매칭테이블!D:D,0),1)</f>
        <v/>
      </c>
      <c r="F14267" s="94" t="inlineStr">
        <is>
          <t>W컨셉</t>
        </is>
      </c>
      <c r="G14267" s="94" t="inlineStr">
        <is>
          <t>어성초 77토너 (2 SET) HEARTLEAF 77% SOOTHING TONER 250ml250ml 2set</t>
        </is>
      </c>
      <c r="K14267" s="94" t="n">
        <v>2</v>
      </c>
      <c r="L14267" s="88" t="n">
        <v>201208</v>
      </c>
      <c r="M14267" s="88">
        <f>VLOOKUP($Q14267,매칭테이블!$F:$I,2,0)*K14267</f>
        <v/>
      </c>
      <c r="N14267" s="88">
        <f>M14267-M14267*VLOOKUP($Q14267,매칭테이블!$F:$I,3,0)</f>
        <v/>
      </c>
      <c r="O14267" s="88">
        <f>VLOOKUP($Q14267,매칭테이블!$F:$I,4,0)*K14267</f>
        <v/>
      </c>
      <c r="P14267" s="152">
        <f>M14267/1.1</f>
        <v/>
      </c>
      <c r="Q14267" s="88">
        <f>F14267&amp;E14267&amp;G14267&amp;L14267</f>
        <v/>
      </c>
    </row>
    <row r="14268">
      <c r="B14268" s="128" t="n">
        <v>44222</v>
      </c>
      <c r="C14268" s="88">
        <f>TEXT(B14268,"aaa")</f>
        <v/>
      </c>
      <c r="D14268" s="94" t="n"/>
      <c r="E14268" s="88">
        <f>INDEX(매칭테이블!C:D,MATCH(RD!G14268,매칭테이블!D:D,0),1)</f>
        <v/>
      </c>
      <c r="F14268" s="94" t="inlineStr">
        <is>
          <t>W컨셉</t>
        </is>
      </c>
      <c r="G14268" s="94" t="inlineStr">
        <is>
          <t>어성초 77토너 HEARTLEAF 77% SOOTHING TONER 250ml250ml</t>
        </is>
      </c>
      <c r="K14268" s="94" t="n">
        <v>1</v>
      </c>
      <c r="L14268" s="88" t="n">
        <v>201208</v>
      </c>
      <c r="M14268" s="88">
        <f>VLOOKUP($Q14268,매칭테이블!$F:$I,2,0)*K14268</f>
        <v/>
      </c>
      <c r="N14268" s="88">
        <f>M14268-M14268*VLOOKUP($Q14268,매칭테이블!$F:$I,3,0)</f>
        <v/>
      </c>
      <c r="O14268" s="88">
        <f>VLOOKUP($Q14268,매칭테이블!$F:$I,4,0)*K14268</f>
        <v/>
      </c>
      <c r="P14268" s="152">
        <f>M14268/1.1</f>
        <v/>
      </c>
      <c r="Q14268" s="88">
        <f>F14268&amp;E14268&amp;G14268&amp;L14268</f>
        <v/>
      </c>
    </row>
    <row r="14269">
      <c r="B14269" s="128" t="n">
        <v>44222</v>
      </c>
      <c r="C14269" s="88">
        <f>TEXT(B14269,"aaa")</f>
        <v/>
      </c>
      <c r="D14269" s="94" t="n"/>
      <c r="E14269" s="88">
        <f>INDEX(매칭테이블!C:D,MATCH(RD!G14269,매칭테이블!D:D,0),1)</f>
        <v/>
      </c>
      <c r="F14269" s="94" t="inlineStr">
        <is>
          <t>스타일쉐어</t>
        </is>
      </c>
      <c r="G14269" s="94" t="inlineStr">
        <is>
          <t>아누아 어성초 77 토너 250ml</t>
        </is>
      </c>
      <c r="K14269" s="94" t="n">
        <v>3</v>
      </c>
      <c r="L14269" s="88" t="n">
        <v>201208</v>
      </c>
      <c r="M14269" s="88">
        <f>VLOOKUP($Q14269,매칭테이블!$F:$I,2,0)*K14269</f>
        <v/>
      </c>
      <c r="N14269" s="88">
        <f>M14269-M14269*VLOOKUP($Q14269,매칭테이블!$F:$I,3,0)</f>
        <v/>
      </c>
      <c r="O14269" s="88">
        <f>VLOOKUP($Q14269,매칭테이블!$F:$I,4,0)*K14269</f>
        <v/>
      </c>
      <c r="P14269" s="152">
        <f>M14269/1.1</f>
        <v/>
      </c>
      <c r="Q14269" s="88">
        <f>F14269&amp;E14269&amp;G14269&amp;L14269</f>
        <v/>
      </c>
    </row>
    <row r="14270">
      <c r="B14270" s="128" t="n">
        <v>44222</v>
      </c>
      <c r="C14270" s="88">
        <f>TEXT(B14270,"aaa")</f>
        <v/>
      </c>
      <c r="D14270" s="94" t="n"/>
      <c r="E14270" s="88">
        <f>INDEX(매칭테이블!C:D,MATCH(RD!G14270,매칭테이블!D:D,0),1)</f>
        <v/>
      </c>
      <c r="F14270" s="94" t="inlineStr">
        <is>
          <t>아누아 CS</t>
        </is>
      </c>
      <c r="G14270" s="94" t="inlineStr">
        <is>
          <t>어성초 77 토너 250ml</t>
        </is>
      </c>
      <c r="K14270" s="94" t="n">
        <v>1</v>
      </c>
      <c r="L14270" s="88" t="n">
        <v>201208</v>
      </c>
      <c r="M14270" s="88">
        <f>VLOOKUP($Q14270,매칭테이블!$F:$I,2,0)*K14270</f>
        <v/>
      </c>
      <c r="N14270" s="88">
        <f>M14270-M14270*VLOOKUP($Q14270,매칭테이블!$F:$I,3,0)</f>
        <v/>
      </c>
      <c r="O14270" s="88">
        <f>VLOOKUP($Q14270,매칭테이블!$F:$I,4,0)*K14270</f>
        <v/>
      </c>
      <c r="P14270" s="152">
        <f>M14270/1.1</f>
        <v/>
      </c>
      <c r="Q14270" s="88">
        <f>F14270&amp;E14270&amp;G14270&amp;L14270</f>
        <v/>
      </c>
    </row>
    <row r="14271">
      <c r="B14271" s="128" t="n">
        <v>44222</v>
      </c>
      <c r="C14271" s="88">
        <f>TEXT(B14271,"aaa")</f>
        <v/>
      </c>
      <c r="D14271" s="94" t="n"/>
      <c r="E14271" s="88">
        <f>INDEX(매칭테이블!C:D,MATCH(RD!G14271,매칭테이블!D:D,0),1)</f>
        <v/>
      </c>
      <c r="F14271" s="94" t="inlineStr">
        <is>
          <t>카페24</t>
        </is>
      </c>
      <c r="G14271" s="94" t="inlineStr">
        <is>
          <t>5 제로 무기자차 선크림옵션=5제로 무기자차 선크림 1개-20% off</t>
        </is>
      </c>
      <c r="K14271" s="94" t="n">
        <v>5</v>
      </c>
      <c r="L14271" s="88" t="n">
        <v>201208</v>
      </c>
      <c r="M14271" s="88">
        <f>VLOOKUP($Q14271,매칭테이블!$F:$I,2,0)*K14271</f>
        <v/>
      </c>
      <c r="N14271" s="88">
        <f>M14271-M14271*VLOOKUP($Q14271,매칭테이블!$F:$I,3,0)</f>
        <v/>
      </c>
      <c r="O14271" s="88">
        <f>VLOOKUP($Q14271,매칭테이블!$F:$I,4,0)*K14271</f>
        <v/>
      </c>
      <c r="P14271" s="152">
        <f>M14271/1.1</f>
        <v/>
      </c>
      <c r="Q14271" s="88">
        <f>F14271&amp;E14271&amp;G14271&amp;L14271</f>
        <v/>
      </c>
    </row>
    <row r="14272">
      <c r="B14272" s="128" t="n">
        <v>44222</v>
      </c>
      <c r="C14272" s="88">
        <f>TEXT(B14272,"aaa")</f>
        <v/>
      </c>
      <c r="D14272" s="94" t="n"/>
      <c r="E14272" s="88">
        <f>INDEX(매칭테이블!C:D,MATCH(RD!G14272,매칭테이블!D:D,0),1)</f>
        <v/>
      </c>
      <c r="F14272" s="94" t="inlineStr">
        <is>
          <t>카페24</t>
        </is>
      </c>
      <c r="G14272" s="94" t="inlineStr">
        <is>
          <t>5 제로 무기자차 선크림옵션=5제로 무기자차 선크림 2개-30% off (무료배송)</t>
        </is>
      </c>
      <c r="K14272" s="94" t="n">
        <v>2</v>
      </c>
      <c r="L14272" s="88" t="n">
        <v>201208</v>
      </c>
      <c r="M14272" s="88">
        <f>VLOOKUP($Q14272,매칭테이블!$F:$I,2,0)*K14272</f>
        <v/>
      </c>
      <c r="N14272" s="88">
        <f>M14272-M14272*VLOOKUP($Q14272,매칭테이블!$F:$I,3,0)</f>
        <v/>
      </c>
      <c r="O14272" s="88">
        <f>VLOOKUP($Q14272,매칭테이블!$F:$I,4,0)*K14272</f>
        <v/>
      </c>
      <c r="P14272" s="152">
        <f>M14272/1.1</f>
        <v/>
      </c>
      <c r="Q14272" s="88">
        <f>F14272&amp;E14272&amp;G14272&amp;L14272</f>
        <v/>
      </c>
    </row>
    <row r="14273">
      <c r="B14273" s="128" t="n">
        <v>44222</v>
      </c>
      <c r="C14273" s="88">
        <f>TEXT(B14273,"aaa")</f>
        <v/>
      </c>
      <c r="D14273" s="94" t="n"/>
      <c r="E14273" s="88">
        <f>INDEX(매칭테이블!C:D,MATCH(RD!G14273,매칭테이블!D:D,0),1)</f>
        <v/>
      </c>
      <c r="F14273" s="94" t="inlineStr">
        <is>
          <t>카페24</t>
        </is>
      </c>
      <c r="G14273" s="94" t="inlineStr">
        <is>
          <t>[01/27 순차발송] 어성초 77 클리어 패드옵션=어성초 77 클리어 패드 1개-20% off</t>
        </is>
      </c>
      <c r="K14273" s="94" t="n">
        <v>54</v>
      </c>
      <c r="L14273" s="88" t="n">
        <v>201208</v>
      </c>
      <c r="M14273" s="88">
        <f>VLOOKUP($Q14273,매칭테이블!$F:$I,2,0)*K14273</f>
        <v/>
      </c>
      <c r="N14273" s="88">
        <f>M14273-M14273*VLOOKUP($Q14273,매칭테이블!$F:$I,3,0)</f>
        <v/>
      </c>
      <c r="O14273" s="88">
        <f>VLOOKUP($Q14273,매칭테이블!$F:$I,4,0)*K14273</f>
        <v/>
      </c>
      <c r="P14273" s="152">
        <f>M14273/1.1</f>
        <v/>
      </c>
      <c r="Q14273" s="88">
        <f>F14273&amp;E14273&amp;G14273&amp;L14273</f>
        <v/>
      </c>
    </row>
    <row r="14274">
      <c r="B14274" s="128" t="n">
        <v>44222</v>
      </c>
      <c r="C14274" s="88">
        <f>TEXT(B14274,"aaa")</f>
        <v/>
      </c>
      <c r="D14274" s="94" t="n"/>
      <c r="E14274" s="88">
        <f>INDEX(매칭테이블!C:D,MATCH(RD!G14274,매칭테이블!D:D,0),1)</f>
        <v/>
      </c>
      <c r="F14274" s="94" t="inlineStr">
        <is>
          <t>카페24</t>
        </is>
      </c>
      <c r="G14274" s="94" t="inlineStr">
        <is>
          <t>[01/27 순차발송] 어성초 77 클리어 패드옵션=어성초 77 클리어 패드 2개-30% off (무료배송)</t>
        </is>
      </c>
      <c r="K14274" s="94" t="n">
        <v>38</v>
      </c>
      <c r="L14274" s="88" t="n">
        <v>201208</v>
      </c>
      <c r="M14274" s="88">
        <f>VLOOKUP($Q14274,매칭테이블!$F:$I,2,0)*K14274</f>
        <v/>
      </c>
      <c r="N14274" s="88">
        <f>M14274-M14274*VLOOKUP($Q14274,매칭테이블!$F:$I,3,0)</f>
        <v/>
      </c>
      <c r="O14274" s="88">
        <f>VLOOKUP($Q14274,매칭테이블!$F:$I,4,0)*K14274</f>
        <v/>
      </c>
      <c r="P14274" s="152">
        <f>M14274/1.1</f>
        <v/>
      </c>
      <c r="Q14274" s="88">
        <f>F14274&amp;E14274&amp;G14274&amp;L14274</f>
        <v/>
      </c>
    </row>
    <row r="14275">
      <c r="B14275" s="128" t="n">
        <v>44222</v>
      </c>
      <c r="C14275" s="88">
        <f>TEXT(B14275,"aaa")</f>
        <v/>
      </c>
      <c r="D14275" s="94" t="n"/>
      <c r="E14275" s="88">
        <f>INDEX(매칭테이블!C:D,MATCH(RD!G14275,매칭테이블!D:D,0),1)</f>
        <v/>
      </c>
      <c r="F14275" s="94" t="inlineStr">
        <is>
          <t>카페24</t>
        </is>
      </c>
      <c r="G14275" s="94" t="inlineStr">
        <is>
          <t>[01/27 순차발송] 어성초 77 클리어 패드옵션=어성초 77 클리어 패드 2+1 EVENT (무료배송)</t>
        </is>
      </c>
      <c r="K14275" s="94" t="n">
        <v>35</v>
      </c>
      <c r="L14275" s="88" t="n">
        <v>201208</v>
      </c>
      <c r="M14275" s="88">
        <f>VLOOKUP($Q14275,매칭테이블!$F:$I,2,0)*K14275</f>
        <v/>
      </c>
      <c r="N14275" s="88">
        <f>M14275-M14275*VLOOKUP($Q14275,매칭테이블!$F:$I,3,0)</f>
        <v/>
      </c>
      <c r="O14275" s="88">
        <f>VLOOKUP($Q14275,매칭테이블!$F:$I,4,0)*K14275</f>
        <v/>
      </c>
      <c r="P14275" s="152">
        <f>M14275/1.1</f>
        <v/>
      </c>
      <c r="Q14275" s="88">
        <f>F14275&amp;E14275&amp;G14275&amp;L14275</f>
        <v/>
      </c>
    </row>
    <row r="14276">
      <c r="B14276" s="128" t="n">
        <v>44222</v>
      </c>
      <c r="C14276" s="88">
        <f>TEXT(B14276,"aaa")</f>
        <v/>
      </c>
      <c r="D14276" s="94" t="n"/>
      <c r="E14276" s="88">
        <f>INDEX(매칭테이블!C:D,MATCH(RD!G14276,매칭테이블!D:D,0),1)</f>
        <v/>
      </c>
      <c r="F14276" s="94" t="inlineStr">
        <is>
          <t>카페24</t>
        </is>
      </c>
      <c r="G14276" s="94" t="inlineStr">
        <is>
          <t>[01/27 순차발송] 어성초 77 클리어 패드옵션=어성초77토너1개+어성초77패드1개-30% off (무료배송)</t>
        </is>
      </c>
      <c r="K14276" s="94" t="n">
        <v>30</v>
      </c>
      <c r="L14276" s="88" t="n">
        <v>201208</v>
      </c>
      <c r="M14276" s="88">
        <f>VLOOKUP($Q14276,매칭테이블!$F:$I,2,0)*K14276</f>
        <v/>
      </c>
      <c r="N14276" s="88">
        <f>M14276-M14276*VLOOKUP($Q14276,매칭테이블!$F:$I,3,0)</f>
        <v/>
      </c>
      <c r="O14276" s="88">
        <f>VLOOKUP($Q14276,매칭테이블!$F:$I,4,0)*K14276</f>
        <v/>
      </c>
      <c r="P14276" s="152">
        <f>M14276/1.1</f>
        <v/>
      </c>
      <c r="Q14276" s="88">
        <f>F14276&amp;E14276&amp;G14276&amp;L14276</f>
        <v/>
      </c>
    </row>
    <row r="14277">
      <c r="B14277" s="128" t="n">
        <v>44222</v>
      </c>
      <c r="C14277" s="88">
        <f>TEXT(B14277,"aaa")</f>
        <v/>
      </c>
      <c r="D14277" s="94" t="n"/>
      <c r="E14277" s="88">
        <f>INDEX(매칭테이블!C:D,MATCH(RD!G14277,매칭테이블!D:D,0),1)</f>
        <v/>
      </c>
      <c r="F14277" s="94" t="inlineStr">
        <is>
          <t>카페24</t>
        </is>
      </c>
      <c r="G14277" s="94" t="inlineStr">
        <is>
          <t>[01/27 순차발송] 어성초 77 포어 클리어 패드옵션=어성초 77 클리어 패드 1개-20% off</t>
        </is>
      </c>
      <c r="K14277" s="94" t="n">
        <v>1</v>
      </c>
      <c r="L14277" s="88" t="n">
        <v>201208</v>
      </c>
      <c r="M14277" s="88">
        <f>VLOOKUP($Q14277,매칭테이블!$F:$I,2,0)*K14277</f>
        <v/>
      </c>
      <c r="N14277" s="88">
        <f>M14277-M14277*VLOOKUP($Q14277,매칭테이블!$F:$I,3,0)</f>
        <v/>
      </c>
      <c r="O14277" s="88">
        <f>VLOOKUP($Q14277,매칭테이블!$F:$I,4,0)*K14277</f>
        <v/>
      </c>
      <c r="P14277" s="152">
        <f>M14277/1.1</f>
        <v/>
      </c>
      <c r="Q14277" s="88">
        <f>F14277&amp;E14277&amp;G14277&amp;L14277</f>
        <v/>
      </c>
    </row>
    <row r="14278">
      <c r="B14278" s="128" t="n">
        <v>44222</v>
      </c>
      <c r="C14278" s="88">
        <f>TEXT(B14278,"aaa")</f>
        <v/>
      </c>
      <c r="D14278" s="94" t="n"/>
      <c r="E14278" s="88">
        <f>INDEX(매칭테이블!C:D,MATCH(RD!G14278,매칭테이블!D:D,0),1)</f>
        <v/>
      </c>
      <c r="F14278" s="94" t="inlineStr">
        <is>
          <t>카페24</t>
        </is>
      </c>
      <c r="G14278" s="94" t="inlineStr">
        <is>
          <t>[01/27 순차발송] 어성초 77 포어 클리어 패드옵션=어성초 77 클리어 패드 2개-30% off (무료배송)</t>
        </is>
      </c>
      <c r="K14278" s="94" t="n">
        <v>1</v>
      </c>
      <c r="L14278" s="88" t="n">
        <v>201208</v>
      </c>
      <c r="M14278" s="88">
        <f>VLOOKUP($Q14278,매칭테이블!$F:$I,2,0)*K14278</f>
        <v/>
      </c>
      <c r="N14278" s="88">
        <f>M14278-M14278*VLOOKUP($Q14278,매칭테이블!$F:$I,3,0)</f>
        <v/>
      </c>
      <c r="O14278" s="88">
        <f>VLOOKUP($Q14278,매칭테이블!$F:$I,4,0)*K14278</f>
        <v/>
      </c>
      <c r="P14278" s="152">
        <f>M14278/1.1</f>
        <v/>
      </c>
      <c r="Q14278" s="88">
        <f>F14278&amp;E14278&amp;G14278&amp;L14278</f>
        <v/>
      </c>
    </row>
    <row r="14279">
      <c r="B14279" s="128" t="n">
        <v>44222</v>
      </c>
      <c r="C14279" s="88">
        <f>TEXT(B14279,"aaa")</f>
        <v/>
      </c>
      <c r="D14279" s="94" t="n"/>
      <c r="E14279" s="88">
        <f>INDEX(매칭테이블!C:D,MATCH(RD!G14279,매칭테이블!D:D,0),1)</f>
        <v/>
      </c>
      <c r="F14279" s="94" t="inlineStr">
        <is>
          <t>카페24</t>
        </is>
      </c>
      <c r="G14279" s="94" t="inlineStr">
        <is>
          <t>[01/27 순차발송] 어성초 77% 패드옵션=어성초 77 클리어 패드 1개-20% off</t>
        </is>
      </c>
      <c r="K14279" s="94" t="n">
        <v>49</v>
      </c>
      <c r="L14279" s="88" t="n">
        <v>201208</v>
      </c>
      <c r="M14279" s="88">
        <f>VLOOKUP($Q14279,매칭테이블!$F:$I,2,0)*K14279</f>
        <v/>
      </c>
      <c r="N14279" s="88">
        <f>M14279-M14279*VLOOKUP($Q14279,매칭테이블!$F:$I,3,0)</f>
        <v/>
      </c>
      <c r="O14279" s="88">
        <f>VLOOKUP($Q14279,매칭테이블!$F:$I,4,0)*K14279</f>
        <v/>
      </c>
      <c r="P14279" s="152">
        <f>M14279/1.1</f>
        <v/>
      </c>
      <c r="Q14279" s="88">
        <f>F14279&amp;E14279&amp;G14279&amp;L14279</f>
        <v/>
      </c>
    </row>
    <row r="14280">
      <c r="B14280" s="128" t="n">
        <v>44222</v>
      </c>
      <c r="C14280" s="88">
        <f>TEXT(B14280,"aaa")</f>
        <v/>
      </c>
      <c r="D14280" s="94" t="n"/>
      <c r="E14280" s="88">
        <f>INDEX(매칭테이블!C:D,MATCH(RD!G14280,매칭테이블!D:D,0),1)</f>
        <v/>
      </c>
      <c r="F14280" s="94" t="inlineStr">
        <is>
          <t>카페24</t>
        </is>
      </c>
      <c r="G14280" s="94" t="inlineStr">
        <is>
          <t>[01/27 순차발송] 어성초 77% 패드옵션=어성초 77 클리어 패드 2개-30% off (무료배송)</t>
        </is>
      </c>
      <c r="K14280" s="94" t="n">
        <v>48</v>
      </c>
      <c r="L14280" s="88" t="n">
        <v>201208</v>
      </c>
      <c r="M14280" s="88">
        <f>VLOOKUP($Q14280,매칭테이블!$F:$I,2,0)*K14280</f>
        <v/>
      </c>
      <c r="N14280" s="88">
        <f>M14280-M14280*VLOOKUP($Q14280,매칭테이블!$F:$I,3,0)</f>
        <v/>
      </c>
      <c r="O14280" s="88">
        <f>VLOOKUP($Q14280,매칭테이블!$F:$I,4,0)*K14280</f>
        <v/>
      </c>
      <c r="P14280" s="152">
        <f>M14280/1.1</f>
        <v/>
      </c>
      <c r="Q14280" s="88">
        <f>F14280&amp;E14280&amp;G14280&amp;L14280</f>
        <v/>
      </c>
    </row>
    <row r="14281">
      <c r="B14281" s="128" t="n">
        <v>44222</v>
      </c>
      <c r="C14281" s="88">
        <f>TEXT(B14281,"aaa")</f>
        <v/>
      </c>
      <c r="D14281" s="94" t="n"/>
      <c r="E14281" s="88">
        <f>INDEX(매칭테이블!C:D,MATCH(RD!G14281,매칭테이블!D:D,0),1)</f>
        <v/>
      </c>
      <c r="F14281" s="94" t="inlineStr">
        <is>
          <t>카페24</t>
        </is>
      </c>
      <c r="G14281" s="94" t="inlineStr">
        <is>
          <t>[01/27 순차발송] 어성초 77% 패드옵션=어성초 77 클리어 패드 2+1 EVENT (무료배송)</t>
        </is>
      </c>
      <c r="K14281" s="94" t="n">
        <v>32</v>
      </c>
      <c r="L14281" s="88" t="n">
        <v>201208</v>
      </c>
      <c r="M14281" s="88">
        <f>VLOOKUP($Q14281,매칭테이블!$F:$I,2,0)*K14281</f>
        <v/>
      </c>
      <c r="N14281" s="88">
        <f>M14281-M14281*VLOOKUP($Q14281,매칭테이블!$F:$I,3,0)</f>
        <v/>
      </c>
      <c r="O14281" s="88">
        <f>VLOOKUP($Q14281,매칭테이블!$F:$I,4,0)*K14281</f>
        <v/>
      </c>
      <c r="P14281" s="152">
        <f>M14281/1.1</f>
        <v/>
      </c>
      <c r="Q14281" s="88">
        <f>F14281&amp;E14281&amp;G14281&amp;L14281</f>
        <v/>
      </c>
    </row>
    <row r="14282">
      <c r="B14282" s="128" t="n">
        <v>44222</v>
      </c>
      <c r="C14282" s="88">
        <f>TEXT(B14282,"aaa")</f>
        <v/>
      </c>
      <c r="D14282" s="94" t="n"/>
      <c r="E14282" s="88">
        <f>INDEX(매칭테이블!C:D,MATCH(RD!G14282,매칭테이블!D:D,0),1)</f>
        <v/>
      </c>
      <c r="F14282" s="94" t="inlineStr">
        <is>
          <t>카페24</t>
        </is>
      </c>
      <c r="G14282" s="94" t="inlineStr">
        <is>
          <t>[01/27 순차발송] 어성초 77% 패드옵션=어성초77토너1개+어성초77패드1개-30% off (무료배송)</t>
        </is>
      </c>
      <c r="K14282" s="94" t="n">
        <v>8</v>
      </c>
      <c r="L14282" s="88" t="n">
        <v>201208</v>
      </c>
      <c r="M14282" s="88">
        <f>VLOOKUP($Q14282,매칭테이블!$F:$I,2,0)*K14282</f>
        <v/>
      </c>
      <c r="N14282" s="88">
        <f>M14282-M14282*VLOOKUP($Q14282,매칭테이블!$F:$I,3,0)</f>
        <v/>
      </c>
      <c r="O14282" s="88">
        <f>VLOOKUP($Q14282,매칭테이블!$F:$I,4,0)*K14282</f>
        <v/>
      </c>
      <c r="P14282" s="152">
        <f>M14282/1.1</f>
        <v/>
      </c>
      <c r="Q14282" s="88">
        <f>F14282&amp;E14282&amp;G14282&amp;L14282</f>
        <v/>
      </c>
    </row>
    <row r="14283">
      <c r="B14283" s="128" t="n">
        <v>44222</v>
      </c>
      <c r="C14283" s="88">
        <f>TEXT(B14283,"aaa")</f>
        <v/>
      </c>
      <c r="D14283" s="94" t="n"/>
      <c r="E14283" s="88">
        <f>INDEX(매칭테이블!C:D,MATCH(RD!G14283,매칭테이블!D:D,0),1)</f>
        <v/>
      </c>
      <c r="F14283" s="94" t="inlineStr">
        <is>
          <t>카페24</t>
        </is>
      </c>
      <c r="G14283" s="94" t="inlineStr">
        <is>
          <t>[수분 보충 세트] 어성초 77 토너 + 어성초 70 로션옵션=어성초 77 토너 250ml + 어성초 70 로션 200ml -30%</t>
        </is>
      </c>
      <c r="K14283" s="94" t="n">
        <v>38</v>
      </c>
      <c r="L14283" s="88" t="n">
        <v>201208</v>
      </c>
      <c r="M14283" s="88">
        <f>VLOOKUP($Q14283,매칭테이블!$F:$I,2,0)*K14283</f>
        <v/>
      </c>
      <c r="N14283" s="88">
        <f>M14283-M14283*VLOOKUP($Q14283,매칭테이블!$F:$I,3,0)</f>
        <v/>
      </c>
      <c r="O14283" s="88">
        <f>VLOOKUP($Q14283,매칭테이블!$F:$I,4,0)*K14283</f>
        <v/>
      </c>
      <c r="P14283" s="152">
        <f>M14283/1.1</f>
        <v/>
      </c>
      <c r="Q14283" s="88">
        <f>F14283&amp;E14283&amp;G14283&amp;L14283</f>
        <v/>
      </c>
    </row>
    <row r="14284">
      <c r="B14284" s="128" t="n">
        <v>44222</v>
      </c>
      <c r="C14284" s="88">
        <f>TEXT(B14284,"aaa")</f>
        <v/>
      </c>
      <c r="D14284" s="94" t="n"/>
      <c r="E14284" s="88">
        <f>INDEX(매칭테이블!C:D,MATCH(RD!G14284,매칭테이블!D:D,0),1)</f>
        <v/>
      </c>
      <c r="F14284" s="94" t="inlineStr">
        <is>
          <t>카페24</t>
        </is>
      </c>
      <c r="G14284" s="94" t="inlineStr">
        <is>
          <t>[어성초 진정 패키지 세트] 대용량 토너 + 앰플 + 수딩 크림 + 마스크팩 10장</t>
        </is>
      </c>
      <c r="K14284" s="94" t="n">
        <v>4</v>
      </c>
      <c r="L14284" s="88" t="n">
        <v>201208</v>
      </c>
      <c r="M14284" s="88">
        <f>VLOOKUP($Q14284,매칭테이블!$F:$I,2,0)*K14284</f>
        <v/>
      </c>
      <c r="N14284" s="88">
        <f>M14284-M14284*VLOOKUP($Q14284,매칭테이블!$F:$I,3,0)</f>
        <v/>
      </c>
      <c r="O14284" s="88">
        <f>VLOOKUP($Q14284,매칭테이블!$F:$I,4,0)*K14284</f>
        <v/>
      </c>
      <c r="P14284" s="152">
        <f>M14284/1.1</f>
        <v/>
      </c>
      <c r="Q14284" s="88">
        <f>F14284&amp;E14284&amp;G14284&amp;L14284</f>
        <v/>
      </c>
    </row>
    <row r="14285">
      <c r="B14285" s="128" t="n">
        <v>44222</v>
      </c>
      <c r="C14285" s="88">
        <f>TEXT(B14285,"aaa")</f>
        <v/>
      </c>
      <c r="D14285" s="94" t="n"/>
      <c r="E14285" s="88">
        <f>INDEX(매칭테이블!C:D,MATCH(RD!G14285,매칭테이블!D:D,0),1)</f>
        <v/>
      </c>
      <c r="F14285" s="94" t="inlineStr">
        <is>
          <t>카페24</t>
        </is>
      </c>
      <c r="G14285" s="94" t="inlineStr">
        <is>
          <t>[플친단독] 어성초 80 수분 진정 앰플옵션=어성초 80 앰플 2+1 EVENT (무료배송)</t>
        </is>
      </c>
      <c r="K14285" s="94" t="n">
        <v>1</v>
      </c>
      <c r="L14285" s="88" t="n">
        <v>201208</v>
      </c>
      <c r="M14285" s="88">
        <f>VLOOKUP($Q14285,매칭테이블!$F:$I,2,0)*K14285</f>
        <v/>
      </c>
      <c r="N14285" s="88">
        <f>M14285-M14285*VLOOKUP($Q14285,매칭테이블!$F:$I,3,0)</f>
        <v/>
      </c>
      <c r="O14285" s="88">
        <f>VLOOKUP($Q14285,매칭테이블!$F:$I,4,0)*K14285</f>
        <v/>
      </c>
      <c r="P14285" s="152">
        <f>M14285/1.1</f>
        <v/>
      </c>
      <c r="Q14285" s="88">
        <f>F14285&amp;E14285&amp;G14285&amp;L14285</f>
        <v/>
      </c>
    </row>
    <row r="14286">
      <c r="B14286" s="128" t="n">
        <v>44222</v>
      </c>
      <c r="C14286" s="88">
        <f>TEXT(B14286,"aaa")</f>
        <v/>
      </c>
      <c r="D14286" s="94" t="n"/>
      <c r="E14286" s="88">
        <f>INDEX(매칭테이블!C:D,MATCH(RD!G14286,매칭테이블!D:D,0),1)</f>
        <v/>
      </c>
      <c r="F14286" s="94" t="inlineStr">
        <is>
          <t>카페24</t>
        </is>
      </c>
      <c r="G14286" s="94" t="inlineStr">
        <is>
          <t>대용량 어성초 77 수딩 토너 500ml옵션=대용량 어성초 77 토너 1개 - 27% OFF</t>
        </is>
      </c>
      <c r="K14286" s="94" t="n">
        <v>27</v>
      </c>
      <c r="L14286" s="88" t="n">
        <v>201208</v>
      </c>
      <c r="M14286" s="88">
        <f>VLOOKUP($Q14286,매칭테이블!$F:$I,2,0)*K14286</f>
        <v/>
      </c>
      <c r="N14286" s="88">
        <f>M14286-M14286*VLOOKUP($Q14286,매칭테이블!$F:$I,3,0)</f>
        <v/>
      </c>
      <c r="O14286" s="88">
        <f>VLOOKUP($Q14286,매칭테이블!$F:$I,4,0)*K14286</f>
        <v/>
      </c>
      <c r="P14286" s="152">
        <f>M14286/1.1</f>
        <v/>
      </c>
      <c r="Q14286" s="88">
        <f>F14286&amp;E14286&amp;G14286&amp;L14286</f>
        <v/>
      </c>
    </row>
    <row r="14287">
      <c r="B14287" s="128" t="n">
        <v>44222</v>
      </c>
      <c r="C14287" s="88">
        <f>TEXT(B14287,"aaa")</f>
        <v/>
      </c>
      <c r="D14287" s="94" t="n"/>
      <c r="E14287" s="88">
        <f>INDEX(매칭테이블!C:D,MATCH(RD!G14287,매칭테이블!D:D,0),1)</f>
        <v/>
      </c>
      <c r="F14287" s="94" t="inlineStr">
        <is>
          <t>카페24</t>
        </is>
      </c>
      <c r="G14287" s="94" t="inlineStr">
        <is>
          <t>대용량 어성초 77 수딩 토너 500ml화장솜(선택)=촉촉 스킨팩 화장솜</t>
        </is>
      </c>
      <c r="K14287" s="94" t="n">
        <v>7</v>
      </c>
      <c r="L14287" s="88" t="n">
        <v>201208</v>
      </c>
      <c r="M14287" s="88">
        <f>VLOOKUP($Q14287,매칭테이블!$F:$I,2,0)*K14287</f>
        <v/>
      </c>
      <c r="N14287" s="88">
        <f>M14287-M14287*VLOOKUP($Q14287,매칭테이블!$F:$I,3,0)</f>
        <v/>
      </c>
      <c r="O14287" s="88">
        <f>VLOOKUP($Q14287,매칭테이블!$F:$I,4,0)*K14287</f>
        <v/>
      </c>
      <c r="P14287" s="152">
        <f>M14287/1.1</f>
        <v/>
      </c>
      <c r="Q14287" s="88">
        <f>F14287&amp;E14287&amp;G14287&amp;L14287</f>
        <v/>
      </c>
    </row>
    <row r="14288">
      <c r="B14288" s="128" t="n">
        <v>44222</v>
      </c>
      <c r="C14288" s="88">
        <f>TEXT(B14288,"aaa")</f>
        <v/>
      </c>
      <c r="D14288" s="94" t="n"/>
      <c r="E14288" s="88">
        <f>INDEX(매칭테이블!C:D,MATCH(RD!G14288,매칭테이블!D:D,0),1)</f>
        <v/>
      </c>
      <c r="F14288" s="94" t="inlineStr">
        <is>
          <t>카페24</t>
        </is>
      </c>
      <c r="G14288" s="94" t="inlineStr">
        <is>
          <t>아누아 어성초 77 수딩 토너토너(필수)=어성초 77 토너 1개-20% off</t>
        </is>
      </c>
      <c r="K14288" s="94" t="n">
        <v>1</v>
      </c>
      <c r="L14288" s="88" t="n">
        <v>201208</v>
      </c>
      <c r="M14288" s="88">
        <f>VLOOKUP($Q14288,매칭테이블!$F:$I,2,0)*K14288</f>
        <v/>
      </c>
      <c r="N14288" s="88">
        <f>M14288-M14288*VLOOKUP($Q14288,매칭테이블!$F:$I,3,0)</f>
        <v/>
      </c>
      <c r="O14288" s="88">
        <f>VLOOKUP($Q14288,매칭테이블!$F:$I,4,0)*K14288</f>
        <v/>
      </c>
      <c r="P14288" s="152">
        <f>M14288/1.1</f>
        <v/>
      </c>
      <c r="Q14288" s="88">
        <f>F14288&amp;E14288&amp;G14288&amp;L14288</f>
        <v/>
      </c>
    </row>
    <row r="14289">
      <c r="B14289" s="128" t="n">
        <v>44222</v>
      </c>
      <c r="C14289" s="88">
        <f>TEXT(B14289,"aaa")</f>
        <v/>
      </c>
      <c r="D14289" s="94" t="n"/>
      <c r="E14289" s="88">
        <f>INDEX(매칭테이블!C:D,MATCH(RD!G14289,매칭테이블!D:D,0),1)</f>
        <v/>
      </c>
      <c r="F14289" s="94" t="inlineStr">
        <is>
          <t>카페24</t>
        </is>
      </c>
      <c r="G14289" s="94" t="inlineStr">
        <is>
          <t>어성초 70 데일리 릴리프 로션로션=어성초 70 데일리 릴리프 로션 1개 -20% off</t>
        </is>
      </c>
      <c r="K14289" s="94" t="n">
        <v>17</v>
      </c>
      <c r="L14289" s="88" t="n">
        <v>201208</v>
      </c>
      <c r="M14289" s="88">
        <f>VLOOKUP($Q14289,매칭테이블!$F:$I,2,0)*K14289</f>
        <v/>
      </c>
      <c r="N14289" s="88">
        <f>M14289-M14289*VLOOKUP($Q14289,매칭테이블!$F:$I,3,0)</f>
        <v/>
      </c>
      <c r="O14289" s="88">
        <f>VLOOKUP($Q14289,매칭테이블!$F:$I,4,0)*K14289</f>
        <v/>
      </c>
      <c r="P14289" s="152">
        <f>M14289/1.1</f>
        <v/>
      </c>
      <c r="Q14289" s="88">
        <f>F14289&amp;E14289&amp;G14289&amp;L14289</f>
        <v/>
      </c>
    </row>
    <row r="14290">
      <c r="B14290" s="128" t="n">
        <v>44222</v>
      </c>
      <c r="C14290" s="88">
        <f>TEXT(B14290,"aaa")</f>
        <v/>
      </c>
      <c r="D14290" s="94" t="n"/>
      <c r="E14290" s="88">
        <f>INDEX(매칭테이블!C:D,MATCH(RD!G14290,매칭테이블!D:D,0),1)</f>
        <v/>
      </c>
      <c r="F14290" s="94" t="inlineStr">
        <is>
          <t>카페24</t>
        </is>
      </c>
      <c r="G14290" s="94" t="inlineStr">
        <is>
          <t>어성초 70 데일리 릴리프 로션로션=어성초 70 데일리 릴리프 로션 2개 -30% off</t>
        </is>
      </c>
      <c r="K14290" s="94" t="n">
        <v>3</v>
      </c>
      <c r="L14290" s="88" t="n">
        <v>201208</v>
      </c>
      <c r="M14290" s="88">
        <f>VLOOKUP($Q14290,매칭테이블!$F:$I,2,0)*K14290</f>
        <v/>
      </c>
      <c r="N14290" s="88">
        <f>M14290-M14290*VLOOKUP($Q14290,매칭테이블!$F:$I,3,0)</f>
        <v/>
      </c>
      <c r="O14290" s="88">
        <f>VLOOKUP($Q14290,매칭테이블!$F:$I,4,0)*K14290</f>
        <v/>
      </c>
      <c r="P14290" s="152">
        <f>M14290/1.1</f>
        <v/>
      </c>
      <c r="Q14290" s="88">
        <f>F14290&amp;E14290&amp;G14290&amp;L14290</f>
        <v/>
      </c>
    </row>
    <row r="14291">
      <c r="B14291" s="128" t="n">
        <v>44222</v>
      </c>
      <c r="C14291" s="88">
        <f>TEXT(B14291,"aaa")</f>
        <v/>
      </c>
      <c r="D14291" s="94" t="n"/>
      <c r="E14291" s="88">
        <f>INDEX(매칭테이블!C:D,MATCH(RD!G14291,매칭테이블!D:D,0),1)</f>
        <v/>
      </c>
      <c r="F14291" s="94" t="inlineStr">
        <is>
          <t>카페24</t>
        </is>
      </c>
      <c r="G14291" s="94" t="inlineStr">
        <is>
          <t>어성초 70 데일리 릴리프 로션로션=어성초 77토너 + 어성초 70 로션 수분 보충 세트 -30% off</t>
        </is>
      </c>
      <c r="K14291" s="94" t="n">
        <v>3</v>
      </c>
      <c r="L14291" s="88" t="n">
        <v>201208</v>
      </c>
      <c r="M14291" s="88">
        <f>VLOOKUP($Q14291,매칭테이블!$F:$I,2,0)*K14291</f>
        <v/>
      </c>
      <c r="N14291" s="88">
        <f>M14291-M14291*VLOOKUP($Q14291,매칭테이블!$F:$I,3,0)</f>
        <v/>
      </c>
      <c r="O14291" s="88">
        <f>VLOOKUP($Q14291,매칭테이블!$F:$I,4,0)*K14291</f>
        <v/>
      </c>
      <c r="P14291" s="152">
        <f>M14291/1.1</f>
        <v/>
      </c>
      <c r="Q14291" s="88">
        <f>F14291&amp;E14291&amp;G14291&amp;L14291</f>
        <v/>
      </c>
    </row>
    <row r="14292">
      <c r="B14292" s="128" t="n">
        <v>44222</v>
      </c>
      <c r="C14292" s="88">
        <f>TEXT(B14292,"aaa")</f>
        <v/>
      </c>
      <c r="D14292" s="94" t="n"/>
      <c r="E14292" s="88">
        <f>INDEX(매칭테이블!C:D,MATCH(RD!G14292,매칭테이블!D:D,0),1)</f>
        <v/>
      </c>
      <c r="F14292" s="94" t="inlineStr">
        <is>
          <t>카페24</t>
        </is>
      </c>
      <c r="G14292" s="94" t="inlineStr">
        <is>
          <t>어성초 70 머드 크림 마스크옵션=어성초 70 머드 크림 마스크-20% off</t>
        </is>
      </c>
      <c r="K14292" s="94" t="n">
        <v>1</v>
      </c>
      <c r="L14292" s="88" t="n">
        <v>201208</v>
      </c>
      <c r="M14292" s="88">
        <f>VLOOKUP($Q14292,매칭테이블!$F:$I,2,0)*K14292</f>
        <v/>
      </c>
      <c r="N14292" s="88">
        <f>M14292-M14292*VLOOKUP($Q14292,매칭테이블!$F:$I,3,0)</f>
        <v/>
      </c>
      <c r="O14292" s="88">
        <f>VLOOKUP($Q14292,매칭테이블!$F:$I,4,0)*K14292</f>
        <v/>
      </c>
      <c r="P14292" s="152">
        <f>M14292/1.1</f>
        <v/>
      </c>
      <c r="Q14292" s="88">
        <f>F14292&amp;E14292&amp;G14292&amp;L14292</f>
        <v/>
      </c>
    </row>
    <row r="14293">
      <c r="B14293" s="128" t="n">
        <v>44222</v>
      </c>
      <c r="C14293" s="88">
        <f>TEXT(B14293,"aaa")</f>
        <v/>
      </c>
      <c r="D14293" s="94" t="n"/>
      <c r="E14293" s="88">
        <f>INDEX(매칭테이블!C:D,MATCH(RD!G14293,매칭테이블!D:D,0),1)</f>
        <v/>
      </c>
      <c r="F14293" s="94" t="inlineStr">
        <is>
          <t>카페24</t>
        </is>
      </c>
      <c r="G14293" s="94" t="inlineStr">
        <is>
          <t>어성초 70 머드 크림 마스크옵션=어성초 70 머드 크림 마스크 2개-30% off (무료배송)</t>
        </is>
      </c>
      <c r="K14293" s="94" t="n">
        <v>2</v>
      </c>
      <c r="L14293" s="88" t="n">
        <v>201208</v>
      </c>
      <c r="M14293" s="88">
        <f>VLOOKUP($Q14293,매칭테이블!$F:$I,2,0)*K14293</f>
        <v/>
      </c>
      <c r="N14293" s="88">
        <f>M14293-M14293*VLOOKUP($Q14293,매칭테이블!$F:$I,3,0)</f>
        <v/>
      </c>
      <c r="O14293" s="88">
        <f>VLOOKUP($Q14293,매칭테이블!$F:$I,4,0)*K14293</f>
        <v/>
      </c>
      <c r="P14293" s="152">
        <f>M14293/1.1</f>
        <v/>
      </c>
      <c r="Q14293" s="88">
        <f>F14293&amp;E14293&amp;G14293&amp;L14293</f>
        <v/>
      </c>
    </row>
    <row r="14294">
      <c r="B14294" s="128" t="n">
        <v>44222</v>
      </c>
      <c r="C14294" s="88">
        <f>TEXT(B14294,"aaa")</f>
        <v/>
      </c>
      <c r="D14294" s="94" t="n"/>
      <c r="E14294" s="88">
        <f>INDEX(매칭테이블!C:D,MATCH(RD!G14294,매칭테이블!D:D,0),1)</f>
        <v/>
      </c>
      <c r="F14294" s="94" t="inlineStr">
        <is>
          <t>카페24</t>
        </is>
      </c>
      <c r="G14294" s="94" t="inlineStr">
        <is>
          <t>어성초 70 인텐스 카밍 크림크림=어성초 70 인텐스 카밍 크림 1개 (-20%)</t>
        </is>
      </c>
      <c r="K14294" s="94" t="n">
        <v>8</v>
      </c>
      <c r="L14294" s="88" t="n">
        <v>201208</v>
      </c>
      <c r="M14294" s="88">
        <f>VLOOKUP($Q14294,매칭테이블!$F:$I,2,0)*K14294</f>
        <v/>
      </c>
      <c r="N14294" s="88">
        <f>M14294-M14294*VLOOKUP($Q14294,매칭테이블!$F:$I,3,0)</f>
        <v/>
      </c>
      <c r="O14294" s="88">
        <f>VLOOKUP($Q14294,매칭테이블!$F:$I,4,0)*K14294</f>
        <v/>
      </c>
      <c r="P14294" s="152">
        <f>M14294/1.1</f>
        <v/>
      </c>
      <c r="Q14294" s="88">
        <f>F14294&amp;E14294&amp;G14294&amp;L14294</f>
        <v/>
      </c>
    </row>
    <row r="14295">
      <c r="B14295" s="128" t="n">
        <v>44222</v>
      </c>
      <c r="C14295" s="88">
        <f>TEXT(B14295,"aaa")</f>
        <v/>
      </c>
      <c r="D14295" s="94" t="n"/>
      <c r="E14295" s="88">
        <f>INDEX(매칭테이블!C:D,MATCH(RD!G14295,매칭테이블!D:D,0),1)</f>
        <v/>
      </c>
      <c r="F14295" s="94" t="inlineStr">
        <is>
          <t>카페24</t>
        </is>
      </c>
      <c r="G14295" s="94" t="inlineStr">
        <is>
          <t>어성초 70 인텐스 카밍 크림크림=어성초 토너 250ml + 카밍 크림 50ml (-30%)</t>
        </is>
      </c>
      <c r="K14295" s="94" t="n">
        <v>2</v>
      </c>
      <c r="L14295" s="88" t="n">
        <v>201208</v>
      </c>
      <c r="M14295" s="88">
        <f>VLOOKUP($Q14295,매칭테이블!$F:$I,2,0)*K14295</f>
        <v/>
      </c>
      <c r="N14295" s="88">
        <f>M14295-M14295*VLOOKUP($Q14295,매칭테이블!$F:$I,3,0)</f>
        <v/>
      </c>
      <c r="O14295" s="88">
        <f>VLOOKUP($Q14295,매칭테이블!$F:$I,4,0)*K14295</f>
        <v/>
      </c>
      <c r="P14295" s="152">
        <f>M14295/1.1</f>
        <v/>
      </c>
      <c r="Q14295" s="88">
        <f>F14295&amp;E14295&amp;G14295&amp;L14295</f>
        <v/>
      </c>
    </row>
    <row r="14296">
      <c r="B14296" s="128" t="n">
        <v>44222</v>
      </c>
      <c r="C14296" s="88">
        <f>TEXT(B14296,"aaa")</f>
        <v/>
      </c>
      <c r="D14296" s="94" t="n"/>
      <c r="E14296" s="88">
        <f>INDEX(매칭테이블!C:D,MATCH(RD!G14296,매칭테이블!D:D,0),1)</f>
        <v/>
      </c>
      <c r="F14296" s="94" t="inlineStr">
        <is>
          <t>카페24</t>
        </is>
      </c>
      <c r="G14296" s="94" t="inlineStr">
        <is>
          <t>어성초 77 수딩 토너옵션=어성초 77 토너 1개-20% off</t>
        </is>
      </c>
      <c r="K14296" s="94" t="n">
        <v>78</v>
      </c>
      <c r="L14296" s="88" t="n">
        <v>201208</v>
      </c>
      <c r="M14296" s="88">
        <f>VLOOKUP($Q14296,매칭테이블!$F:$I,2,0)*K14296</f>
        <v/>
      </c>
      <c r="N14296" s="88">
        <f>M14296-M14296*VLOOKUP($Q14296,매칭테이블!$F:$I,3,0)</f>
        <v/>
      </c>
      <c r="O14296" s="88">
        <f>VLOOKUP($Q14296,매칭테이블!$F:$I,4,0)*K14296</f>
        <v/>
      </c>
      <c r="P14296" s="152">
        <f>M14296/1.1</f>
        <v/>
      </c>
      <c r="Q14296" s="88">
        <f>F14296&amp;E14296&amp;G14296&amp;L14296</f>
        <v/>
      </c>
    </row>
    <row r="14297">
      <c r="B14297" s="128" t="n">
        <v>44222</v>
      </c>
      <c r="C14297" s="88">
        <f>TEXT(B14297,"aaa")</f>
        <v/>
      </c>
      <c r="D14297" s="94" t="n"/>
      <c r="E14297" s="88">
        <f>INDEX(매칭테이블!C:D,MATCH(RD!G14297,매칭테이블!D:D,0),1)</f>
        <v/>
      </c>
      <c r="F14297" s="94" t="inlineStr">
        <is>
          <t>카페24</t>
        </is>
      </c>
      <c r="G14297" s="94" t="inlineStr">
        <is>
          <t>어성초 77 수딩 토너옵션=BEST어성초 77 토너 2개-30% off (무료배송)</t>
        </is>
      </c>
      <c r="K14297" s="94" t="n">
        <v>67</v>
      </c>
      <c r="L14297" s="88" t="n">
        <v>201208</v>
      </c>
      <c r="M14297" s="88">
        <f>VLOOKUP($Q14297,매칭테이블!$F:$I,2,0)*K14297</f>
        <v/>
      </c>
      <c r="N14297" s="88">
        <f>M14297-M14297*VLOOKUP($Q14297,매칭테이블!$F:$I,3,0)</f>
        <v/>
      </c>
      <c r="O14297" s="88">
        <f>VLOOKUP($Q14297,매칭테이블!$F:$I,4,0)*K14297</f>
        <v/>
      </c>
      <c r="P14297" s="152">
        <f>M14297/1.1</f>
        <v/>
      </c>
      <c r="Q14297" s="88">
        <f>F14297&amp;E14297&amp;G14297&amp;L14297</f>
        <v/>
      </c>
    </row>
    <row r="14298">
      <c r="B14298" s="128" t="n">
        <v>44222</v>
      </c>
      <c r="C14298" s="88">
        <f>TEXT(B14298,"aaa")</f>
        <v/>
      </c>
      <c r="D14298" s="94" t="n"/>
      <c r="E14298" s="88">
        <f>INDEX(매칭테이블!C:D,MATCH(RD!G14298,매칭테이블!D:D,0),1)</f>
        <v/>
      </c>
      <c r="F14298" s="94" t="inlineStr">
        <is>
          <t>카페24</t>
        </is>
      </c>
      <c r="G14298" s="94" t="inlineStr">
        <is>
          <t>어성초 77 수딩 토너옵션=어성초 77토너1개 + 어성초77패드1개 -30% off (무료배송)</t>
        </is>
      </c>
      <c r="K14298" s="94" t="n">
        <v>27</v>
      </c>
      <c r="L14298" s="88" t="n">
        <v>201208</v>
      </c>
      <c r="M14298" s="88">
        <f>VLOOKUP($Q14298,매칭테이블!$F:$I,2,0)*K14298</f>
        <v/>
      </c>
      <c r="N14298" s="88">
        <f>M14298-M14298*VLOOKUP($Q14298,매칭테이블!$F:$I,3,0)</f>
        <v/>
      </c>
      <c r="O14298" s="88">
        <f>VLOOKUP($Q14298,매칭테이블!$F:$I,4,0)*K14298</f>
        <v/>
      </c>
      <c r="P14298" s="152">
        <f>M14298/1.1</f>
        <v/>
      </c>
      <c r="Q14298" s="88">
        <f>F14298&amp;E14298&amp;G14298&amp;L14298</f>
        <v/>
      </c>
    </row>
    <row r="14299">
      <c r="B14299" s="128" t="n">
        <v>44222</v>
      </c>
      <c r="C14299" s="88">
        <f>TEXT(B14299,"aaa")</f>
        <v/>
      </c>
      <c r="D14299" s="94" t="n"/>
      <c r="E14299" s="88">
        <f>INDEX(매칭테이블!C:D,MATCH(RD!G14299,매칭테이블!D:D,0),1)</f>
        <v/>
      </c>
      <c r="F14299" s="94" t="inlineStr">
        <is>
          <t>카페24</t>
        </is>
      </c>
      <c r="G14299" s="94" t="inlineStr">
        <is>
          <t>어성초 77 수딩 토너화장솜(선택)=촉촉 스킨팩 화장솜</t>
        </is>
      </c>
      <c r="K14299" s="94" t="n">
        <v>54</v>
      </c>
      <c r="L14299" s="88" t="n">
        <v>201208</v>
      </c>
      <c r="M14299" s="88">
        <f>VLOOKUP($Q14299,매칭테이블!$F:$I,2,0)*K14299</f>
        <v/>
      </c>
      <c r="N14299" s="88">
        <f>M14299-M14299*VLOOKUP($Q14299,매칭테이블!$F:$I,3,0)</f>
        <v/>
      </c>
      <c r="O14299" s="88">
        <f>VLOOKUP($Q14299,매칭테이블!$F:$I,4,0)*K14299</f>
        <v/>
      </c>
      <c r="P14299" s="152">
        <f>M14299/1.1</f>
        <v/>
      </c>
      <c r="Q14299" s="88">
        <f>F14299&amp;E14299&amp;G14299&amp;L14299</f>
        <v/>
      </c>
    </row>
    <row r="14300">
      <c r="B14300" s="128" t="n">
        <v>44222</v>
      </c>
      <c r="C14300" s="88">
        <f>TEXT(B14300,"aaa")</f>
        <v/>
      </c>
      <c r="D14300" s="94" t="n"/>
      <c r="E14300" s="88">
        <f>INDEX(매칭테이블!C:D,MATCH(RD!G14300,매칭테이블!D:D,0),1)</f>
        <v/>
      </c>
      <c r="F14300" s="94" t="inlineStr">
        <is>
          <t>카페24</t>
        </is>
      </c>
      <c r="G14300" s="94" t="inlineStr">
        <is>
          <t>어성초 77 수딩 토너토너(필수)=(대용량) 어성초 77 토너 500ml (무료배송)</t>
        </is>
      </c>
      <c r="K14300" s="94" t="n">
        <v>1</v>
      </c>
      <c r="L14300" s="88" t="n">
        <v>201208</v>
      </c>
      <c r="M14300" s="88">
        <f>VLOOKUP($Q14300,매칭테이블!$F:$I,2,0)*K14300</f>
        <v/>
      </c>
      <c r="N14300" s="88">
        <f>M14300-M14300*VLOOKUP($Q14300,매칭테이블!$F:$I,3,0)</f>
        <v/>
      </c>
      <c r="O14300" s="88">
        <f>VLOOKUP($Q14300,매칭테이블!$F:$I,4,0)*K14300</f>
        <v/>
      </c>
      <c r="P14300" s="152">
        <f>M14300/1.1</f>
        <v/>
      </c>
      <c r="Q14300" s="88">
        <f>F14300&amp;E14300&amp;G14300&amp;L14300</f>
        <v/>
      </c>
    </row>
    <row r="14301">
      <c r="B14301" s="128" t="n">
        <v>44222</v>
      </c>
      <c r="C14301" s="88">
        <f>TEXT(B14301,"aaa")</f>
        <v/>
      </c>
      <c r="D14301" s="94" t="n"/>
      <c r="E14301" s="88">
        <f>INDEX(매칭테이블!C:D,MATCH(RD!G14301,매칭테이블!D:D,0),1)</f>
        <v/>
      </c>
      <c r="F14301" s="94" t="inlineStr">
        <is>
          <t>카페24</t>
        </is>
      </c>
      <c r="G14301" s="94" t="inlineStr">
        <is>
          <t>어성초 77 진정 마스크옵션=어성초 77 진정 마스크팩 1장</t>
        </is>
      </c>
      <c r="K14301" s="94" t="n">
        <v>2</v>
      </c>
      <c r="L14301" s="88" t="n">
        <v>201208</v>
      </c>
      <c r="M14301" s="88">
        <f>VLOOKUP($Q14301,매칭테이블!$F:$I,2,0)*K14301</f>
        <v/>
      </c>
      <c r="N14301" s="88">
        <f>M14301-M14301*VLOOKUP($Q14301,매칭테이블!$F:$I,3,0)</f>
        <v/>
      </c>
      <c r="O14301" s="88">
        <f>VLOOKUP($Q14301,매칭테이블!$F:$I,4,0)*K14301</f>
        <v/>
      </c>
      <c r="P14301" s="152">
        <f>M14301/1.1</f>
        <v/>
      </c>
      <c r="Q14301" s="88">
        <f>F14301&amp;E14301&amp;G14301&amp;L14301</f>
        <v/>
      </c>
    </row>
    <row r="14302">
      <c r="B14302" s="128" t="n">
        <v>44222</v>
      </c>
      <c r="C14302" s="88">
        <f>TEXT(B14302,"aaa")</f>
        <v/>
      </c>
      <c r="D14302" s="94" t="n"/>
      <c r="E14302" s="88">
        <f>INDEX(매칭테이블!C:D,MATCH(RD!G14302,매칭테이블!D:D,0),1)</f>
        <v/>
      </c>
      <c r="F14302" s="94" t="inlineStr">
        <is>
          <t>카페24</t>
        </is>
      </c>
      <c r="G14302" s="94" t="inlineStr">
        <is>
          <t>어성초 77 진정 마스크옵션=어성초 77 진정 마스크팩 10장-50% off</t>
        </is>
      </c>
      <c r="K14302" s="94" t="n">
        <v>9</v>
      </c>
      <c r="L14302" s="88" t="n">
        <v>201208</v>
      </c>
      <c r="M14302" s="88">
        <f>VLOOKUP($Q14302,매칭테이블!$F:$I,2,0)*K14302</f>
        <v/>
      </c>
      <c r="N14302" s="88">
        <f>M14302-M14302*VLOOKUP($Q14302,매칭테이블!$F:$I,3,0)</f>
        <v/>
      </c>
      <c r="O14302" s="88">
        <f>VLOOKUP($Q14302,매칭테이블!$F:$I,4,0)*K14302</f>
        <v/>
      </c>
      <c r="P14302" s="152">
        <f>M14302/1.1</f>
        <v/>
      </c>
      <c r="Q14302" s="88">
        <f>F14302&amp;E14302&amp;G14302&amp;L14302</f>
        <v/>
      </c>
    </row>
    <row r="14303">
      <c r="B14303" s="128" t="n">
        <v>44222</v>
      </c>
      <c r="C14303" s="88">
        <f>TEXT(B14303,"aaa")</f>
        <v/>
      </c>
      <c r="D14303" s="94" t="n"/>
      <c r="E14303" s="88">
        <f>INDEX(매칭테이블!C:D,MATCH(RD!G14303,매칭테이블!D:D,0),1)</f>
        <v/>
      </c>
      <c r="F14303" s="94" t="inlineStr">
        <is>
          <t>카페24</t>
        </is>
      </c>
      <c r="G14303" s="94" t="inlineStr">
        <is>
          <t>어성초 77 진정 마스크</t>
        </is>
      </c>
      <c r="K14303" s="94" t="n">
        <v>5</v>
      </c>
      <c r="L14303" s="88" t="n">
        <v>201208</v>
      </c>
      <c r="M14303" s="88">
        <f>VLOOKUP($Q14303,매칭테이블!$F:$I,2,0)*K14303</f>
        <v/>
      </c>
      <c r="N14303" s="88">
        <f>M14303-M14303*VLOOKUP($Q14303,매칭테이블!$F:$I,3,0)</f>
        <v/>
      </c>
      <c r="O14303" s="88">
        <f>VLOOKUP($Q14303,매칭테이블!$F:$I,4,0)*K14303</f>
        <v/>
      </c>
      <c r="P14303" s="152">
        <f>M14303/1.1</f>
        <v/>
      </c>
      <c r="Q14303" s="88">
        <f>F14303&amp;E14303&amp;G14303&amp;L14303</f>
        <v/>
      </c>
    </row>
    <row r="14304">
      <c r="B14304" s="128" t="n">
        <v>44222</v>
      </c>
      <c r="C14304" s="88">
        <f>TEXT(B14304,"aaa")</f>
        <v/>
      </c>
      <c r="D14304" s="94" t="n"/>
      <c r="E14304" s="88">
        <f>INDEX(매칭테이블!C:D,MATCH(RD!G14304,매칭테이블!D:D,0),1)</f>
        <v/>
      </c>
      <c r="F14304" s="94" t="inlineStr">
        <is>
          <t>카페24</t>
        </is>
      </c>
      <c r="G14304" s="94" t="inlineStr">
        <is>
          <t>어성초 77 토너</t>
        </is>
      </c>
      <c r="K14304" s="94" t="n">
        <v>2</v>
      </c>
      <c r="L14304" s="88" t="n">
        <v>201208</v>
      </c>
      <c r="M14304" s="88">
        <f>VLOOKUP($Q14304,매칭테이블!$F:$I,2,0)*K14304</f>
        <v/>
      </c>
      <c r="N14304" s="88">
        <f>M14304-M14304*VLOOKUP($Q14304,매칭테이블!$F:$I,3,0)</f>
        <v/>
      </c>
      <c r="O14304" s="88">
        <f>VLOOKUP($Q14304,매칭테이블!$F:$I,4,0)*K14304</f>
        <v/>
      </c>
      <c r="P14304" s="152">
        <f>M14304/1.1</f>
        <v/>
      </c>
      <c r="Q14304" s="88">
        <f>F14304&amp;E14304&amp;G14304&amp;L14304</f>
        <v/>
      </c>
    </row>
    <row r="14305">
      <c r="B14305" s="128" t="n">
        <v>44222</v>
      </c>
      <c r="C14305" s="88">
        <f>TEXT(B14305,"aaa")</f>
        <v/>
      </c>
      <c r="D14305" s="94" t="n"/>
      <c r="E14305" s="88">
        <f>INDEX(매칭테이블!C:D,MATCH(RD!G14305,매칭테이블!D:D,0),1)</f>
        <v/>
      </c>
      <c r="F14305" s="94" t="inlineStr">
        <is>
          <t>카페24</t>
        </is>
      </c>
      <c r="G14305" s="94" t="inlineStr">
        <is>
          <t>어성초 78 수딩 크림</t>
        </is>
      </c>
      <c r="K14305" s="94" t="n">
        <v>12</v>
      </c>
      <c r="L14305" s="88" t="n">
        <v>201208</v>
      </c>
      <c r="M14305" s="88">
        <f>VLOOKUP($Q14305,매칭테이블!$F:$I,2,0)*K14305</f>
        <v/>
      </c>
      <c r="N14305" s="88">
        <f>M14305-M14305*VLOOKUP($Q14305,매칭테이블!$F:$I,3,0)</f>
        <v/>
      </c>
      <c r="O14305" s="88">
        <f>VLOOKUP($Q14305,매칭테이블!$F:$I,4,0)*K14305</f>
        <v/>
      </c>
      <c r="P14305" s="152">
        <f>M14305/1.1</f>
        <v/>
      </c>
      <c r="Q14305" s="88">
        <f>F14305&amp;E14305&amp;G14305&amp;L14305</f>
        <v/>
      </c>
    </row>
    <row r="14306">
      <c r="B14306" s="128" t="n">
        <v>44222</v>
      </c>
      <c r="C14306" s="88">
        <f>TEXT(B14306,"aaa")</f>
        <v/>
      </c>
      <c r="D14306" s="94" t="n"/>
      <c r="E14306" s="88">
        <f>INDEX(매칭테이블!C:D,MATCH(RD!G14306,매칭테이블!D:D,0),1)</f>
        <v/>
      </c>
      <c r="F14306" s="94" t="inlineStr">
        <is>
          <t>카페24</t>
        </is>
      </c>
      <c r="G14306" s="94" t="inlineStr">
        <is>
          <t>어성초 78 수딩 크림</t>
        </is>
      </c>
      <c r="K14306" s="94" t="n">
        <v>4</v>
      </c>
      <c r="L14306" s="88" t="n">
        <v>201208</v>
      </c>
      <c r="M14306" s="88">
        <f>VLOOKUP($Q14306,매칭테이블!$F:$I,2,0)*K14306</f>
        <v/>
      </c>
      <c r="N14306" s="88">
        <f>M14306-M14306*VLOOKUP($Q14306,매칭테이블!$F:$I,3,0)</f>
        <v/>
      </c>
      <c r="O14306" s="88">
        <f>VLOOKUP($Q14306,매칭테이블!$F:$I,4,0)*K14306</f>
        <v/>
      </c>
      <c r="P14306" s="152">
        <f>M14306/1.1</f>
        <v/>
      </c>
      <c r="Q14306" s="88">
        <f>F14306&amp;E14306&amp;G14306&amp;L14306</f>
        <v/>
      </c>
    </row>
    <row r="14307">
      <c r="B14307" s="128" t="n">
        <v>44222</v>
      </c>
      <c r="C14307" s="88">
        <f>TEXT(B14307,"aaa")</f>
        <v/>
      </c>
      <c r="D14307" s="94" t="n"/>
      <c r="E14307" s="88">
        <f>INDEX(매칭테이블!C:D,MATCH(RD!G14307,매칭테이블!D:D,0),1)</f>
        <v/>
      </c>
      <c r="F14307" s="94" t="inlineStr">
        <is>
          <t>카페24</t>
        </is>
      </c>
      <c r="G14307" s="94" t="inlineStr">
        <is>
          <t>어성초 80 수분 진정 앰플앰플=어성초 80 앰플 1개-15%off</t>
        </is>
      </c>
      <c r="K14307" s="94" t="n">
        <v>21</v>
      </c>
      <c r="L14307" s="88" t="n">
        <v>201208</v>
      </c>
      <c r="M14307" s="88">
        <f>VLOOKUP($Q14307,매칭테이블!$F:$I,2,0)*K14307</f>
        <v/>
      </c>
      <c r="N14307" s="88">
        <f>M14307-M14307*VLOOKUP($Q14307,매칭테이블!$F:$I,3,0)</f>
        <v/>
      </c>
      <c r="O14307" s="88">
        <f>VLOOKUP($Q14307,매칭테이블!$F:$I,4,0)*K14307</f>
        <v/>
      </c>
      <c r="P14307" s="152">
        <f>M14307/1.1</f>
        <v/>
      </c>
      <c r="Q14307" s="88">
        <f>F14307&amp;E14307&amp;G14307&amp;L14307</f>
        <v/>
      </c>
    </row>
    <row r="14308">
      <c r="B14308" s="128" t="n">
        <v>44222</v>
      </c>
      <c r="C14308" s="88">
        <f>TEXT(B14308,"aaa")</f>
        <v/>
      </c>
      <c r="D14308" s="94" t="n"/>
      <c r="E14308" s="88">
        <f>INDEX(매칭테이블!C:D,MATCH(RD!G14308,매칭테이블!D:D,0),1)</f>
        <v/>
      </c>
      <c r="F14308" s="94" t="inlineStr">
        <is>
          <t>카페24</t>
        </is>
      </c>
      <c r="G14308" s="94" t="inlineStr">
        <is>
          <t>어성초 80 수분 진정 앰플앰플=어성초 80 앰플 2개-27%off (무료배송)</t>
        </is>
      </c>
      <c r="K14308" s="94" t="n">
        <v>11</v>
      </c>
      <c r="L14308" s="88" t="n">
        <v>201208</v>
      </c>
      <c r="M14308" s="88">
        <f>VLOOKUP($Q14308,매칭테이블!$F:$I,2,0)*K14308</f>
        <v/>
      </c>
      <c r="N14308" s="88">
        <f>M14308-M14308*VLOOKUP($Q14308,매칭테이블!$F:$I,3,0)</f>
        <v/>
      </c>
      <c r="O14308" s="88">
        <f>VLOOKUP($Q14308,매칭테이블!$F:$I,4,0)*K14308</f>
        <v/>
      </c>
      <c r="P14308" s="152">
        <f>M14308/1.1</f>
        <v/>
      </c>
      <c r="Q14308" s="88">
        <f>F14308&amp;E14308&amp;G14308&amp;L14308</f>
        <v/>
      </c>
    </row>
    <row r="14309">
      <c r="B14309" s="128" t="n">
        <v>44222</v>
      </c>
      <c r="C14309" s="88">
        <f>TEXT(B14309,"aaa")</f>
        <v/>
      </c>
      <c r="D14309" s="94" t="n"/>
      <c r="E14309" s="88">
        <f>INDEX(매칭테이블!C:D,MATCH(RD!G14309,매칭테이블!D:D,0),1)</f>
        <v/>
      </c>
      <c r="F14309" s="94" t="inlineStr">
        <is>
          <t>카페24</t>
        </is>
      </c>
      <c r="G14309" s="94" t="inlineStr">
        <is>
          <t>어성초 80 수분 진정 앰플</t>
        </is>
      </c>
      <c r="K14309" s="94" t="n">
        <v>4</v>
      </c>
      <c r="L14309" s="88" t="n">
        <v>201208</v>
      </c>
      <c r="M14309" s="88">
        <f>VLOOKUP($Q14309,매칭테이블!$F:$I,2,0)*K14309</f>
        <v/>
      </c>
      <c r="N14309" s="88">
        <f>M14309-M14309*VLOOKUP($Q14309,매칭테이블!$F:$I,3,0)</f>
        <v/>
      </c>
      <c r="O14309" s="88">
        <f>VLOOKUP($Q14309,매칭테이블!$F:$I,4,0)*K14309</f>
        <v/>
      </c>
      <c r="P14309" s="152">
        <f>M14309/1.1</f>
        <v/>
      </c>
      <c r="Q14309" s="88">
        <f>F14309&amp;E14309&amp;G14309&amp;L14309</f>
        <v/>
      </c>
    </row>
    <row r="14310">
      <c r="B14310" s="128" t="n">
        <v>44222</v>
      </c>
      <c r="C14310" s="88">
        <f>TEXT(B14310,"aaa")</f>
        <v/>
      </c>
      <c r="D14310" s="94" t="n"/>
      <c r="E14310" s="88">
        <f>INDEX(매칭테이블!C:D,MATCH(RD!G14310,매칭테이블!D:D,0),1)</f>
        <v/>
      </c>
      <c r="F14310" s="94" t="inlineStr">
        <is>
          <t>카페24</t>
        </is>
      </c>
      <c r="G14310" s="94" t="inlineStr">
        <is>
          <t>어성초 아크네 바디워시옵션=어성초 아크네 바디워시 1개 -30% off</t>
        </is>
      </c>
      <c r="K14310" s="94" t="n">
        <v>7</v>
      </c>
      <c r="L14310" s="88" t="n">
        <v>201208</v>
      </c>
      <c r="M14310" s="88">
        <f>VLOOKUP($Q14310,매칭테이블!$F:$I,2,0)*K14310</f>
        <v/>
      </c>
      <c r="N14310" s="88">
        <f>M14310-M14310*VLOOKUP($Q14310,매칭테이블!$F:$I,3,0)</f>
        <v/>
      </c>
      <c r="O14310" s="88">
        <f>VLOOKUP($Q14310,매칭테이블!$F:$I,4,0)*K14310</f>
        <v/>
      </c>
      <c r="P14310" s="152">
        <f>M14310/1.1</f>
        <v/>
      </c>
      <c r="Q14310" s="88">
        <f>F14310&amp;E14310&amp;G14310&amp;L14310</f>
        <v/>
      </c>
    </row>
    <row r="14311">
      <c r="B14311" s="128" t="n">
        <v>44222</v>
      </c>
      <c r="C14311" s="88">
        <f>TEXT(B14311,"aaa")</f>
        <v/>
      </c>
      <c r="D14311" s="94" t="n"/>
      <c r="E14311" s="88">
        <f>INDEX(매칭테이블!C:D,MATCH(RD!G14311,매칭테이블!D:D,0),1)</f>
        <v/>
      </c>
      <c r="F14311" s="94" t="inlineStr">
        <is>
          <t>카페24</t>
        </is>
      </c>
      <c r="G14311" s="94" t="inlineStr">
        <is>
          <t>어성초 아크네 바디워시옵션=어성초 아크네 바디워시 2개 -35% off (무료배송)</t>
        </is>
      </c>
      <c r="K14311" s="94" t="n">
        <v>3</v>
      </c>
      <c r="L14311" s="88" t="n">
        <v>201208</v>
      </c>
      <c r="M14311" s="88">
        <f>VLOOKUP($Q14311,매칭테이블!$F:$I,2,0)*K14311</f>
        <v/>
      </c>
      <c r="N14311" s="88">
        <f>M14311-M14311*VLOOKUP($Q14311,매칭테이블!$F:$I,3,0)</f>
        <v/>
      </c>
      <c r="O14311" s="88">
        <f>VLOOKUP($Q14311,매칭테이블!$F:$I,4,0)*K14311</f>
        <v/>
      </c>
      <c r="P14311" s="152">
        <f>M14311/1.1</f>
        <v/>
      </c>
      <c r="Q14311" s="88">
        <f>F14311&amp;E14311&amp;G14311&amp;L14311</f>
        <v/>
      </c>
    </row>
    <row r="14312">
      <c r="B14312" s="128" t="n">
        <v>44222</v>
      </c>
      <c r="C14312" s="88">
        <f>TEXT(B14312,"aaa")</f>
        <v/>
      </c>
      <c r="D14312" s="94" t="n"/>
      <c r="E14312" s="88">
        <f>INDEX(매칭테이블!C:D,MATCH(RD!G14312,매칭테이블!D:D,0),1)</f>
        <v/>
      </c>
      <c r="F14312" s="94" t="inlineStr">
        <is>
          <t>카페24</t>
        </is>
      </c>
      <c r="G14312" s="94" t="inlineStr">
        <is>
          <t>어성초 약산성 클렌징폼클렌징폼=어성초 약산성 클렌징폼 1개 -19%off</t>
        </is>
      </c>
      <c r="K14312" s="94" t="n">
        <v>24</v>
      </c>
      <c r="L14312" s="88" t="n">
        <v>201208</v>
      </c>
      <c r="M14312" s="88">
        <f>VLOOKUP($Q14312,매칭테이블!$F:$I,2,0)*K14312</f>
        <v/>
      </c>
      <c r="N14312" s="88">
        <f>M14312-M14312*VLOOKUP($Q14312,매칭테이블!$F:$I,3,0)</f>
        <v/>
      </c>
      <c r="O14312" s="88">
        <f>VLOOKUP($Q14312,매칭테이블!$F:$I,4,0)*K14312</f>
        <v/>
      </c>
      <c r="P14312" s="152">
        <f>M14312/1.1</f>
        <v/>
      </c>
      <c r="Q14312" s="88">
        <f>F14312&amp;E14312&amp;G14312&amp;L14312</f>
        <v/>
      </c>
    </row>
    <row r="14313">
      <c r="B14313" s="128" t="n">
        <v>44222</v>
      </c>
      <c r="C14313" s="88">
        <f>TEXT(B14313,"aaa")</f>
        <v/>
      </c>
      <c r="D14313" s="94" t="n"/>
      <c r="E14313" s="88">
        <f>INDEX(매칭테이블!C:D,MATCH(RD!G14313,매칭테이블!D:D,0),1)</f>
        <v/>
      </c>
      <c r="F14313" s="94" t="inlineStr">
        <is>
          <t>카페24</t>
        </is>
      </c>
      <c r="G14313" s="94" t="inlineStr">
        <is>
          <t>어성초 약산성 클렌징폼클렌징폼=어성초 약산성 클렌징폼 2개 -25%off</t>
        </is>
      </c>
      <c r="K14313" s="94" t="n">
        <v>6</v>
      </c>
      <c r="L14313" s="88" t="n">
        <v>201208</v>
      </c>
      <c r="M14313" s="88">
        <f>VLOOKUP($Q14313,매칭테이블!$F:$I,2,0)*K14313</f>
        <v/>
      </c>
      <c r="N14313" s="88">
        <f>M14313-M14313*VLOOKUP($Q14313,매칭테이블!$F:$I,3,0)</f>
        <v/>
      </c>
      <c r="O14313" s="88">
        <f>VLOOKUP($Q14313,매칭테이블!$F:$I,4,0)*K14313</f>
        <v/>
      </c>
      <c r="P14313" s="152">
        <f>M14313/1.1</f>
        <v/>
      </c>
      <c r="Q14313" s="88">
        <f>F14313&amp;E14313&amp;G14313&amp;L14313</f>
        <v/>
      </c>
    </row>
    <row r="14314">
      <c r="B14314" s="128" t="n">
        <v>44222</v>
      </c>
      <c r="C14314" s="88">
        <f>TEXT(B14314,"aaa")</f>
        <v/>
      </c>
      <c r="D14314" s="94" t="n"/>
      <c r="E14314" s="88">
        <f>INDEX(매칭테이블!C:D,MATCH(RD!G14314,매칭테이블!D:D,0),1)</f>
        <v/>
      </c>
      <c r="F14314" s="94" t="inlineStr">
        <is>
          <t>카페24</t>
        </is>
      </c>
      <c r="G14314" s="94" t="inlineStr">
        <is>
          <t>어성초 약산성 클렌징폼클렌징폼=어성초 약산성 클렌징폼 3개 -31%off (무료배송)</t>
        </is>
      </c>
      <c r="K14314" s="94" t="n">
        <v>4</v>
      </c>
      <c r="L14314" s="88" t="n">
        <v>201208</v>
      </c>
      <c r="M14314" s="88">
        <f>VLOOKUP($Q14314,매칭테이블!$F:$I,2,0)*K14314</f>
        <v/>
      </c>
      <c r="N14314" s="88">
        <f>M14314-M14314*VLOOKUP($Q14314,매칭테이블!$F:$I,3,0)</f>
        <v/>
      </c>
      <c r="O14314" s="88">
        <f>VLOOKUP($Q14314,매칭테이블!$F:$I,4,0)*K14314</f>
        <v/>
      </c>
      <c r="P14314" s="152">
        <f>M14314/1.1</f>
        <v/>
      </c>
      <c r="Q14314" s="88">
        <f>F14314&amp;E14314&amp;G14314&amp;L14314</f>
        <v/>
      </c>
    </row>
    <row r="14315">
      <c r="B14315" s="128" t="n">
        <v>44222</v>
      </c>
      <c r="C14315" s="88">
        <f>TEXT(B14315,"aaa")</f>
        <v/>
      </c>
      <c r="D14315" s="94" t="n"/>
      <c r="E14315" s="88">
        <f>INDEX(매칭테이블!C:D,MATCH(RD!G14315,매칭테이블!D:D,0),1)</f>
        <v/>
      </c>
      <c r="F14315" s="94" t="inlineStr">
        <is>
          <t>카페24</t>
        </is>
      </c>
      <c r="G14315" s="94" t="inlineStr">
        <is>
          <t>어성초 크림마스크 나이트 솔루션옵션=어성초 크림마스크 나이트 솔루션 10장 (-50%)</t>
        </is>
      </c>
      <c r="K14315" s="94" t="n">
        <v>2</v>
      </c>
      <c r="L14315" s="88" t="n">
        <v>201208</v>
      </c>
      <c r="M14315" s="88">
        <f>VLOOKUP($Q14315,매칭테이블!$F:$I,2,0)*K14315</f>
        <v/>
      </c>
      <c r="N14315" s="88">
        <f>M14315-M14315*VLOOKUP($Q14315,매칭테이블!$F:$I,3,0)</f>
        <v/>
      </c>
      <c r="O14315" s="88">
        <f>VLOOKUP($Q14315,매칭테이블!$F:$I,4,0)*K14315</f>
        <v/>
      </c>
      <c r="P14315" s="152">
        <f>M14315/1.1</f>
        <v/>
      </c>
      <c r="Q14315" s="88">
        <f>F14315&amp;E14315&amp;G14315&amp;L14315</f>
        <v/>
      </c>
    </row>
    <row r="14316">
      <c r="B14316" s="128" t="n">
        <v>44222</v>
      </c>
      <c r="C14316" s="88">
        <f>TEXT(B14316,"aaa")</f>
        <v/>
      </c>
      <c r="D14316" s="94" t="n"/>
      <c r="E14316" s="88">
        <f>INDEX(매칭테이블!C:D,MATCH(RD!G14316,매칭테이블!D:D,0),1)</f>
        <v/>
      </c>
      <c r="F14316" s="94" t="inlineStr">
        <is>
          <t>카페24</t>
        </is>
      </c>
      <c r="G14316" s="94" t="inlineStr">
        <is>
          <t>자작나무 수분 마스크옵션=자작나무 수분 마스크 10장 (50% off)</t>
        </is>
      </c>
      <c r="K14316" s="94" t="n">
        <v>1</v>
      </c>
      <c r="L14316" s="88" t="n">
        <v>201208</v>
      </c>
      <c r="M14316" s="88">
        <f>VLOOKUP($Q14316,매칭테이블!$F:$I,2,0)*K14316</f>
        <v/>
      </c>
      <c r="N14316" s="88">
        <f>M14316-M14316*VLOOKUP($Q14316,매칭테이블!$F:$I,3,0)</f>
        <v/>
      </c>
      <c r="O14316" s="88">
        <f>VLOOKUP($Q14316,매칭테이블!$F:$I,4,0)*K14316</f>
        <v/>
      </c>
      <c r="P14316" s="152">
        <f>M14316/1.1</f>
        <v/>
      </c>
      <c r="Q14316" s="88">
        <f>F14316&amp;E14316&amp;G14316&amp;L14316</f>
        <v/>
      </c>
    </row>
    <row r="14317">
      <c r="B14317" s="128" t="n">
        <v>44222</v>
      </c>
      <c r="C14317" s="88">
        <f>TEXT(B14317,"aaa")</f>
        <v/>
      </c>
      <c r="D14317" s="94" t="n"/>
      <c r="E14317" s="88">
        <f>INDEX(매칭테이블!C:D,MATCH(RD!G14317,매칭테이블!D:D,0),1)</f>
        <v/>
      </c>
      <c r="F14317" s="94" t="inlineStr">
        <is>
          <t>카페24</t>
        </is>
      </c>
      <c r="G14317" s="94" t="inlineStr">
        <is>
          <t>청귤 비타 잡티 마스크옵션=청귤 비타 잡티 마스크 1장</t>
        </is>
      </c>
      <c r="K14317" s="94" t="n">
        <v>2</v>
      </c>
      <c r="L14317" s="88" t="n">
        <v>201208</v>
      </c>
      <c r="M14317" s="88">
        <f>VLOOKUP($Q14317,매칭테이블!$F:$I,2,0)*K14317</f>
        <v/>
      </c>
      <c r="N14317" s="88">
        <f>M14317-M14317*VLOOKUP($Q14317,매칭테이블!$F:$I,3,0)</f>
        <v/>
      </c>
      <c r="O14317" s="88">
        <f>VLOOKUP($Q14317,매칭테이블!$F:$I,4,0)*K14317</f>
        <v/>
      </c>
      <c r="P14317" s="152">
        <f>M14317/1.1</f>
        <v/>
      </c>
      <c r="Q14317" s="88">
        <f>F14317&amp;E14317&amp;G14317&amp;L14317</f>
        <v/>
      </c>
    </row>
    <row r="14318">
      <c r="B14318" s="128" t="n">
        <v>44222</v>
      </c>
      <c r="C14318" s="88">
        <f>TEXT(B14318,"aaa")</f>
        <v/>
      </c>
      <c r="D14318" s="94" t="n"/>
      <c r="E14318" s="88">
        <f>INDEX(매칭테이블!C:D,MATCH(RD!G14318,매칭테이블!D:D,0),1)</f>
        <v/>
      </c>
      <c r="F14318" s="94" t="inlineStr">
        <is>
          <t>카페24</t>
        </is>
      </c>
      <c r="G14318" s="94" t="inlineStr">
        <is>
          <t>청귤 비타 잡티 마스크옵션=청귤 비타 잡티 마스크 10장 (50% off)</t>
        </is>
      </c>
      <c r="K14318" s="94" t="n">
        <v>10</v>
      </c>
      <c r="L14318" s="88" t="n">
        <v>201208</v>
      </c>
      <c r="M14318" s="88">
        <f>VLOOKUP($Q14318,매칭테이블!$F:$I,2,0)*K14318</f>
        <v/>
      </c>
      <c r="N14318" s="88">
        <f>M14318-M14318*VLOOKUP($Q14318,매칭테이블!$F:$I,3,0)</f>
        <v/>
      </c>
      <c r="O14318" s="88">
        <f>VLOOKUP($Q14318,매칭테이블!$F:$I,4,0)*K14318</f>
        <v/>
      </c>
      <c r="P14318" s="152">
        <f>M14318/1.1</f>
        <v/>
      </c>
      <c r="Q14318" s="88">
        <f>F14318&amp;E14318&amp;G14318&amp;L14318</f>
        <v/>
      </c>
    </row>
    <row r="14319">
      <c r="B14319" s="128" t="n">
        <v>44222</v>
      </c>
      <c r="C14319" s="88">
        <f>TEXT(B14319,"aaa")</f>
        <v/>
      </c>
      <c r="D14319" s="94" t="n"/>
      <c r="E14319" s="88">
        <f>INDEX(매칭테이블!C:D,MATCH(RD!G14319,매칭테이블!D:D,0),1)</f>
        <v/>
      </c>
      <c r="F14319" s="94" t="inlineStr">
        <is>
          <t>카페24</t>
        </is>
      </c>
      <c r="G14319" s="94" t="inlineStr">
        <is>
          <t>촉촉 스킨팩 화장솜</t>
        </is>
      </c>
      <c r="K14319" s="94" t="n">
        <v>24</v>
      </c>
      <c r="L14319" s="88" t="n">
        <v>201208</v>
      </c>
      <c r="M14319" s="88">
        <f>VLOOKUP($Q14319,매칭테이블!$F:$I,2,0)*K14319</f>
        <v/>
      </c>
      <c r="N14319" s="88">
        <f>M14319-M14319*VLOOKUP($Q14319,매칭테이블!$F:$I,3,0)</f>
        <v/>
      </c>
      <c r="O14319" s="88">
        <f>VLOOKUP($Q14319,매칭테이블!$F:$I,4,0)*K14319</f>
        <v/>
      </c>
      <c r="P14319" s="152">
        <f>M14319/1.1</f>
        <v/>
      </c>
      <c r="Q14319" s="88">
        <f>F14319&amp;E14319&amp;G14319&amp;L14319</f>
        <v/>
      </c>
    </row>
    <row r="14320">
      <c r="B14320" s="128" t="n">
        <v>44223</v>
      </c>
      <c r="C14320" s="88">
        <f>TEXT(B14320,"aaa")</f>
        <v/>
      </c>
      <c r="D14320" s="94" t="n"/>
      <c r="E14320" s="88">
        <f>INDEX(매칭테이블!C:D,MATCH(RD!G14320,매칭테이블!D:D,0),1)</f>
        <v/>
      </c>
      <c r="F14320" s="94" t="inlineStr">
        <is>
          <t>W컨셉</t>
        </is>
      </c>
      <c r="G14320" s="94" t="inlineStr">
        <is>
          <t>어성초 77토너 (2 SET) HEARTLEAF 77% SOOTHING TONER 250ml250ml 2set</t>
        </is>
      </c>
      <c r="K14320" s="94" t="n">
        <v>1</v>
      </c>
      <c r="L14320" s="88" t="n">
        <v>201208</v>
      </c>
      <c r="M14320" s="88">
        <f>VLOOKUP($Q14320,매칭테이블!$F:$I,2,0)*K14320</f>
        <v/>
      </c>
      <c r="N14320" s="88">
        <f>M14320-M14320*VLOOKUP($Q14320,매칭테이블!$F:$I,3,0)</f>
        <v/>
      </c>
      <c r="O14320" s="88">
        <f>VLOOKUP($Q14320,매칭테이블!$F:$I,4,0)*K14320</f>
        <v/>
      </c>
      <c r="P14320" s="152">
        <f>M14320/1.1</f>
        <v/>
      </c>
      <c r="Q14320" s="88">
        <f>F14320&amp;E14320&amp;G14320&amp;L14320</f>
        <v/>
      </c>
    </row>
    <row r="14321">
      <c r="B14321" s="128" t="n">
        <v>44223</v>
      </c>
      <c r="C14321" s="88">
        <f>TEXT(B14321,"aaa")</f>
        <v/>
      </c>
      <c r="D14321" s="94" t="n"/>
      <c r="E14321" s="88">
        <f>INDEX(매칭테이블!C:D,MATCH(RD!G14321,매칭테이블!D:D,0),1)</f>
        <v/>
      </c>
      <c r="F14321" s="94" t="inlineStr">
        <is>
          <t>W컨셉</t>
        </is>
      </c>
      <c r="G14321" s="94" t="inlineStr">
        <is>
          <t>어성초 77토너 HEARTLEAF 77% SOOTHING TONER 250ml250ml</t>
        </is>
      </c>
      <c r="K14321" s="94" t="n">
        <v>2</v>
      </c>
      <c r="L14321" s="88" t="n">
        <v>201208</v>
      </c>
      <c r="M14321" s="88">
        <f>VLOOKUP($Q14321,매칭테이블!$F:$I,2,0)*K14321</f>
        <v/>
      </c>
      <c r="N14321" s="88">
        <f>M14321-M14321*VLOOKUP($Q14321,매칭테이블!$F:$I,3,0)</f>
        <v/>
      </c>
      <c r="O14321" s="88">
        <f>VLOOKUP($Q14321,매칭테이블!$F:$I,4,0)*K14321</f>
        <v/>
      </c>
      <c r="P14321" s="152">
        <f>M14321/1.1</f>
        <v/>
      </c>
      <c r="Q14321" s="88">
        <f>F14321&amp;E14321&amp;G14321&amp;L14321</f>
        <v/>
      </c>
    </row>
    <row r="14322">
      <c r="B14322" s="128" t="n">
        <v>44223</v>
      </c>
      <c r="C14322" s="88">
        <f>TEXT(B14322,"aaa")</f>
        <v/>
      </c>
      <c r="D14322" s="94" t="n"/>
      <c r="E14322" s="88">
        <f>INDEX(매칭테이블!C:D,MATCH(RD!G14322,매칭테이블!D:D,0),1)</f>
        <v/>
      </c>
      <c r="F14322" s="94" t="inlineStr">
        <is>
          <t>스타일쉐어</t>
        </is>
      </c>
      <c r="G14322" s="94" t="inlineStr">
        <is>
          <t>아누아 어성초 77 토너 250ml</t>
        </is>
      </c>
      <c r="K14322" s="94" t="n">
        <v>2</v>
      </c>
      <c r="L14322" s="88" t="n">
        <v>201208</v>
      </c>
      <c r="M14322" s="88">
        <f>VLOOKUP($Q14322,매칭테이블!$F:$I,2,0)*K14322</f>
        <v/>
      </c>
      <c r="N14322" s="88">
        <f>M14322-M14322*VLOOKUP($Q14322,매칭테이블!$F:$I,3,0)</f>
        <v/>
      </c>
      <c r="O14322" s="88">
        <f>VLOOKUP($Q14322,매칭테이블!$F:$I,4,0)*K14322</f>
        <v/>
      </c>
      <c r="P14322" s="152">
        <f>M14322/1.1</f>
        <v/>
      </c>
      <c r="Q14322" s="88">
        <f>F14322&amp;E14322&amp;G14322&amp;L14322</f>
        <v/>
      </c>
    </row>
    <row r="14323">
      <c r="B14323" s="128" t="n">
        <v>44223</v>
      </c>
      <c r="C14323" s="88">
        <f>TEXT(B14323,"aaa")</f>
        <v/>
      </c>
      <c r="D14323" s="94" t="n"/>
      <c r="E14323" s="88">
        <f>INDEX(매칭테이블!C:D,MATCH(RD!G14323,매칭테이블!D:D,0),1)</f>
        <v/>
      </c>
      <c r="F14323" s="94" t="inlineStr">
        <is>
          <t>아누아 CS</t>
        </is>
      </c>
      <c r="G14323" s="94" t="inlineStr">
        <is>
          <t>어성초 77 토너 250ml</t>
        </is>
      </c>
      <c r="K14323" s="94" t="n">
        <v>162</v>
      </c>
      <c r="L14323" s="88" t="n">
        <v>201208</v>
      </c>
      <c r="M14323" s="88">
        <f>VLOOKUP($Q14323,매칭테이블!$F:$I,2,0)*K14323</f>
        <v/>
      </c>
      <c r="N14323" s="88">
        <f>M14323-M14323*VLOOKUP($Q14323,매칭테이블!$F:$I,3,0)</f>
        <v/>
      </c>
      <c r="O14323" s="88">
        <f>VLOOKUP($Q14323,매칭테이블!$F:$I,4,0)*K14323</f>
        <v/>
      </c>
      <c r="P14323" s="152">
        <f>M14323/1.1</f>
        <v/>
      </c>
      <c r="Q14323" s="88">
        <f>F14323&amp;E14323&amp;G14323&amp;L14323</f>
        <v/>
      </c>
    </row>
    <row r="14324">
      <c r="B14324" s="128" t="n">
        <v>44223</v>
      </c>
      <c r="C14324" s="88">
        <f>TEXT(B14324,"aaa")</f>
        <v/>
      </c>
      <c r="D14324" s="94" t="n"/>
      <c r="E14324" s="88">
        <f>INDEX(매칭테이블!C:D,MATCH(RD!G14324,매칭테이블!D:D,0),1)</f>
        <v/>
      </c>
      <c r="F14324" s="94" t="inlineStr">
        <is>
          <t>아누아 CS</t>
        </is>
      </c>
      <c r="G14324" s="94" t="inlineStr">
        <is>
          <t>어성초 클리어패드 70P</t>
        </is>
      </c>
      <c r="K14324" s="94" t="n">
        <v>40</v>
      </c>
      <c r="L14324" s="88" t="n">
        <v>201208</v>
      </c>
      <c r="M14324" s="88">
        <f>VLOOKUP($Q14324,매칭테이블!$F:$I,2,0)*K14324</f>
        <v/>
      </c>
      <c r="N14324" s="88">
        <f>M14324-M14324*VLOOKUP($Q14324,매칭테이블!$F:$I,3,0)</f>
        <v/>
      </c>
      <c r="O14324" s="88">
        <f>VLOOKUP($Q14324,매칭테이블!$F:$I,4,0)*K14324</f>
        <v/>
      </c>
      <c r="P14324" s="152">
        <f>M14324/1.1</f>
        <v/>
      </c>
      <c r="Q14324" s="88">
        <f>F14324&amp;E14324&amp;G14324&amp;L14324</f>
        <v/>
      </c>
    </row>
    <row r="14325">
      <c r="B14325" s="128" t="n">
        <v>44223</v>
      </c>
      <c r="C14325" s="88">
        <f>TEXT(B14325,"aaa")</f>
        <v/>
      </c>
      <c r="D14325" s="94" t="n"/>
      <c r="E14325" s="88">
        <f>INDEX(매칭테이블!C:D,MATCH(RD!G14325,매칭테이블!D:D,0),1)</f>
        <v/>
      </c>
      <c r="F14325" s="94" t="inlineStr">
        <is>
          <t>카페24</t>
        </is>
      </c>
      <c r="G14325" s="94" t="inlineStr">
        <is>
          <t>5 제로 무기자차 선크림옵션=5제로 무기자차 선크림 1개-20% off</t>
        </is>
      </c>
      <c r="K14325" s="94" t="n">
        <v>5</v>
      </c>
      <c r="L14325" s="88" t="n">
        <v>201208</v>
      </c>
      <c r="M14325" s="88">
        <f>VLOOKUP($Q14325,매칭테이블!$F:$I,2,0)*K14325</f>
        <v/>
      </c>
      <c r="N14325" s="88">
        <f>M14325-M14325*VLOOKUP($Q14325,매칭테이블!$F:$I,3,0)</f>
        <v/>
      </c>
      <c r="O14325" s="88">
        <f>VLOOKUP($Q14325,매칭테이블!$F:$I,4,0)*K14325</f>
        <v/>
      </c>
      <c r="P14325" s="152">
        <f>M14325/1.1</f>
        <v/>
      </c>
      <c r="Q14325" s="88">
        <f>F14325&amp;E14325&amp;G14325&amp;L14325</f>
        <v/>
      </c>
    </row>
    <row r="14326">
      <c r="B14326" s="128" t="n">
        <v>44223</v>
      </c>
      <c r="C14326" s="88">
        <f>TEXT(B14326,"aaa")</f>
        <v/>
      </c>
      <c r="D14326" s="94" t="n"/>
      <c r="E14326" s="88">
        <f>INDEX(매칭테이블!C:D,MATCH(RD!G14326,매칭테이블!D:D,0),1)</f>
        <v/>
      </c>
      <c r="F14326" s="94" t="inlineStr">
        <is>
          <t>카페24</t>
        </is>
      </c>
      <c r="G14326" s="94" t="inlineStr">
        <is>
          <t>5 제로 무기자차 선크림옵션=5제로 무기자차 선크림 2개-30% off (무료배송)</t>
        </is>
      </c>
      <c r="K14326" s="94" t="n">
        <v>3</v>
      </c>
      <c r="L14326" s="88" t="n">
        <v>201208</v>
      </c>
      <c r="M14326" s="88">
        <f>VLOOKUP($Q14326,매칭테이블!$F:$I,2,0)*K14326</f>
        <v/>
      </c>
      <c r="N14326" s="88">
        <f>M14326-M14326*VLOOKUP($Q14326,매칭테이블!$F:$I,3,0)</f>
        <v/>
      </c>
      <c r="O14326" s="88">
        <f>VLOOKUP($Q14326,매칭테이블!$F:$I,4,0)*K14326</f>
        <v/>
      </c>
      <c r="P14326" s="152">
        <f>M14326/1.1</f>
        <v/>
      </c>
      <c r="Q14326" s="88">
        <f>F14326&amp;E14326&amp;G14326&amp;L14326</f>
        <v/>
      </c>
    </row>
    <row r="14327">
      <c r="B14327" s="128" t="n">
        <v>44223</v>
      </c>
      <c r="C14327" s="88">
        <f>TEXT(B14327,"aaa")</f>
        <v/>
      </c>
      <c r="D14327" s="94" t="n"/>
      <c r="E14327" s="88">
        <f>INDEX(매칭테이블!C:D,MATCH(RD!G14327,매칭테이블!D:D,0),1)</f>
        <v/>
      </c>
      <c r="F14327" s="94" t="inlineStr">
        <is>
          <t>카페24</t>
        </is>
      </c>
      <c r="G14327" s="94" t="inlineStr">
        <is>
          <t>[01/27 순차발송] 어성초 77 클리어 패드옵션=어성초 77 클리어 패드 1개-20% off</t>
        </is>
      </c>
      <c r="K14327" s="94" t="n">
        <v>32</v>
      </c>
      <c r="L14327" s="88" t="n">
        <v>201208</v>
      </c>
      <c r="M14327" s="88">
        <f>VLOOKUP($Q14327,매칭테이블!$F:$I,2,0)*K14327</f>
        <v/>
      </c>
      <c r="N14327" s="88">
        <f>M14327-M14327*VLOOKUP($Q14327,매칭테이블!$F:$I,3,0)</f>
        <v/>
      </c>
      <c r="O14327" s="88">
        <f>VLOOKUP($Q14327,매칭테이블!$F:$I,4,0)*K14327</f>
        <v/>
      </c>
      <c r="P14327" s="152">
        <f>M14327/1.1</f>
        <v/>
      </c>
      <c r="Q14327" s="88">
        <f>F14327&amp;E14327&amp;G14327&amp;L14327</f>
        <v/>
      </c>
    </row>
    <row r="14328">
      <c r="B14328" s="128" t="n">
        <v>44223</v>
      </c>
      <c r="C14328" s="88">
        <f>TEXT(B14328,"aaa")</f>
        <v/>
      </c>
      <c r="D14328" s="94" t="n"/>
      <c r="E14328" s="88">
        <f>INDEX(매칭테이블!C:D,MATCH(RD!G14328,매칭테이블!D:D,0),1)</f>
        <v/>
      </c>
      <c r="F14328" s="94" t="inlineStr">
        <is>
          <t>카페24</t>
        </is>
      </c>
      <c r="G14328" s="94" t="inlineStr">
        <is>
          <t>[01/27 순차발송] 어성초 77 클리어 패드옵션=어성초 77 클리어 패드 2개-30% off (무료배송)</t>
        </is>
      </c>
      <c r="K14328" s="94" t="n">
        <v>33</v>
      </c>
      <c r="L14328" s="88" t="n">
        <v>201208</v>
      </c>
      <c r="M14328" s="88">
        <f>VLOOKUP($Q14328,매칭테이블!$F:$I,2,0)*K14328</f>
        <v/>
      </c>
      <c r="N14328" s="88">
        <f>M14328-M14328*VLOOKUP($Q14328,매칭테이블!$F:$I,3,0)</f>
        <v/>
      </c>
      <c r="O14328" s="88">
        <f>VLOOKUP($Q14328,매칭테이블!$F:$I,4,0)*K14328</f>
        <v/>
      </c>
      <c r="P14328" s="152">
        <f>M14328/1.1</f>
        <v/>
      </c>
      <c r="Q14328" s="88">
        <f>F14328&amp;E14328&amp;G14328&amp;L14328</f>
        <v/>
      </c>
    </row>
    <row r="14329">
      <c r="B14329" s="128" t="n">
        <v>44223</v>
      </c>
      <c r="C14329" s="88">
        <f>TEXT(B14329,"aaa")</f>
        <v/>
      </c>
      <c r="D14329" s="94" t="n"/>
      <c r="E14329" s="88">
        <f>INDEX(매칭테이블!C:D,MATCH(RD!G14329,매칭테이블!D:D,0),1)</f>
        <v/>
      </c>
      <c r="F14329" s="94" t="inlineStr">
        <is>
          <t>카페24</t>
        </is>
      </c>
      <c r="G14329" s="94" t="inlineStr">
        <is>
          <t>[01/27 순차발송] 어성초 77 클리어 패드옵션=어성초 77 클리어 패드 2+1 EVENT (무료배송)</t>
        </is>
      </c>
      <c r="K14329" s="94" t="n">
        <v>15</v>
      </c>
      <c r="L14329" s="88" t="n">
        <v>201208</v>
      </c>
      <c r="M14329" s="88">
        <f>VLOOKUP($Q14329,매칭테이블!$F:$I,2,0)*K14329</f>
        <v/>
      </c>
      <c r="N14329" s="88">
        <f>M14329-M14329*VLOOKUP($Q14329,매칭테이블!$F:$I,3,0)</f>
        <v/>
      </c>
      <c r="O14329" s="88">
        <f>VLOOKUP($Q14329,매칭테이블!$F:$I,4,0)*K14329</f>
        <v/>
      </c>
      <c r="P14329" s="152">
        <f>M14329/1.1</f>
        <v/>
      </c>
      <c r="Q14329" s="88">
        <f>F14329&amp;E14329&amp;G14329&amp;L14329</f>
        <v/>
      </c>
    </row>
    <row r="14330">
      <c r="B14330" s="128" t="n">
        <v>44223</v>
      </c>
      <c r="C14330" s="88">
        <f>TEXT(B14330,"aaa")</f>
        <v/>
      </c>
      <c r="D14330" s="94" t="n"/>
      <c r="E14330" s="88">
        <f>INDEX(매칭테이블!C:D,MATCH(RD!G14330,매칭테이블!D:D,0),1)</f>
        <v/>
      </c>
      <c r="F14330" s="94" t="inlineStr">
        <is>
          <t>카페24</t>
        </is>
      </c>
      <c r="G14330" s="94" t="inlineStr">
        <is>
          <t>[01/27 순차발송] 어성초 77 클리어 패드옵션=어성초77토너1개+어성초77패드1개-30% off (무료배송)</t>
        </is>
      </c>
      <c r="K14330" s="94" t="n">
        <v>12</v>
      </c>
      <c r="L14330" s="88" t="n">
        <v>201208</v>
      </c>
      <c r="M14330" s="88">
        <f>VLOOKUP($Q14330,매칭테이블!$F:$I,2,0)*K14330</f>
        <v/>
      </c>
      <c r="N14330" s="88">
        <f>M14330-M14330*VLOOKUP($Q14330,매칭테이블!$F:$I,3,0)</f>
        <v/>
      </c>
      <c r="O14330" s="88">
        <f>VLOOKUP($Q14330,매칭테이블!$F:$I,4,0)*K14330</f>
        <v/>
      </c>
      <c r="P14330" s="152">
        <f>M14330/1.1</f>
        <v/>
      </c>
      <c r="Q14330" s="88">
        <f>F14330&amp;E14330&amp;G14330&amp;L14330</f>
        <v/>
      </c>
    </row>
    <row r="14331">
      <c r="B14331" s="128" t="n">
        <v>44223</v>
      </c>
      <c r="C14331" s="88">
        <f>TEXT(B14331,"aaa")</f>
        <v/>
      </c>
      <c r="D14331" s="94" t="n"/>
      <c r="E14331" s="88">
        <f>INDEX(매칭테이블!C:D,MATCH(RD!G14331,매칭테이블!D:D,0),1)</f>
        <v/>
      </c>
      <c r="F14331" s="94" t="inlineStr">
        <is>
          <t>카페24</t>
        </is>
      </c>
      <c r="G14331" s="94" t="inlineStr">
        <is>
          <t>[01/27 순차발송] 어성초 77 포어 클리어 패드옵션=어성초 77 클리어 패드 2+1 EVENT (무료배송)</t>
        </is>
      </c>
      <c r="K14331" s="94" t="n">
        <v>1</v>
      </c>
      <c r="L14331" s="88" t="n">
        <v>201208</v>
      </c>
      <c r="M14331" s="88">
        <f>VLOOKUP($Q14331,매칭테이블!$F:$I,2,0)*K14331</f>
        <v/>
      </c>
      <c r="N14331" s="88">
        <f>M14331-M14331*VLOOKUP($Q14331,매칭테이블!$F:$I,3,0)</f>
        <v/>
      </c>
      <c r="O14331" s="88">
        <f>VLOOKUP($Q14331,매칭테이블!$F:$I,4,0)*K14331</f>
        <v/>
      </c>
      <c r="P14331" s="152">
        <f>M14331/1.1</f>
        <v/>
      </c>
      <c r="Q14331" s="88">
        <f>F14331&amp;E14331&amp;G14331&amp;L14331</f>
        <v/>
      </c>
    </row>
    <row r="14332">
      <c r="B14332" s="128" t="n">
        <v>44223</v>
      </c>
      <c r="C14332" s="88">
        <f>TEXT(B14332,"aaa")</f>
        <v/>
      </c>
      <c r="D14332" s="94" t="n"/>
      <c r="E14332" s="88">
        <f>INDEX(매칭테이블!C:D,MATCH(RD!G14332,매칭테이블!D:D,0),1)</f>
        <v/>
      </c>
      <c r="F14332" s="94" t="inlineStr">
        <is>
          <t>카페24</t>
        </is>
      </c>
      <c r="G14332" s="94" t="inlineStr">
        <is>
          <t>[01/27 순차발송] 어성초 77% 패드옵션=어성초 77 클리어 패드 1개-20% off</t>
        </is>
      </c>
      <c r="K14332" s="94" t="n">
        <v>51</v>
      </c>
      <c r="L14332" s="88" t="n">
        <v>201208</v>
      </c>
      <c r="M14332" s="88">
        <f>VLOOKUP($Q14332,매칭테이블!$F:$I,2,0)*K14332</f>
        <v/>
      </c>
      <c r="N14332" s="88">
        <f>M14332-M14332*VLOOKUP($Q14332,매칭테이블!$F:$I,3,0)</f>
        <v/>
      </c>
      <c r="O14332" s="88">
        <f>VLOOKUP($Q14332,매칭테이블!$F:$I,4,0)*K14332</f>
        <v/>
      </c>
      <c r="P14332" s="152">
        <f>M14332/1.1</f>
        <v/>
      </c>
      <c r="Q14332" s="88">
        <f>F14332&amp;E14332&amp;G14332&amp;L14332</f>
        <v/>
      </c>
    </row>
    <row r="14333">
      <c r="B14333" s="128" t="n">
        <v>44223</v>
      </c>
      <c r="C14333" s="88">
        <f>TEXT(B14333,"aaa")</f>
        <v/>
      </c>
      <c r="D14333" s="94" t="n"/>
      <c r="E14333" s="88">
        <f>INDEX(매칭테이블!C:D,MATCH(RD!G14333,매칭테이블!D:D,0),1)</f>
        <v/>
      </c>
      <c r="F14333" s="94" t="inlineStr">
        <is>
          <t>카페24</t>
        </is>
      </c>
      <c r="G14333" s="94" t="inlineStr">
        <is>
          <t>[01/27 순차발송] 어성초 77% 패드옵션=어성초 77 클리어 패드 2개-30% off (무료배송)</t>
        </is>
      </c>
      <c r="K14333" s="94" t="n">
        <v>28</v>
      </c>
      <c r="L14333" s="88" t="n">
        <v>201208</v>
      </c>
      <c r="M14333" s="88">
        <f>VLOOKUP($Q14333,매칭테이블!$F:$I,2,0)*K14333</f>
        <v/>
      </c>
      <c r="N14333" s="88">
        <f>M14333-M14333*VLOOKUP($Q14333,매칭테이블!$F:$I,3,0)</f>
        <v/>
      </c>
      <c r="O14333" s="88">
        <f>VLOOKUP($Q14333,매칭테이블!$F:$I,4,0)*K14333</f>
        <v/>
      </c>
      <c r="P14333" s="152">
        <f>M14333/1.1</f>
        <v/>
      </c>
      <c r="Q14333" s="88">
        <f>F14333&amp;E14333&amp;G14333&amp;L14333</f>
        <v/>
      </c>
    </row>
    <row r="14334">
      <c r="B14334" s="128" t="n">
        <v>44223</v>
      </c>
      <c r="C14334" s="88">
        <f>TEXT(B14334,"aaa")</f>
        <v/>
      </c>
      <c r="D14334" s="94" t="n"/>
      <c r="E14334" s="88">
        <f>INDEX(매칭테이블!C:D,MATCH(RD!G14334,매칭테이블!D:D,0),1)</f>
        <v/>
      </c>
      <c r="F14334" s="94" t="inlineStr">
        <is>
          <t>카페24</t>
        </is>
      </c>
      <c r="G14334" s="94" t="inlineStr">
        <is>
          <t>[01/27 순차발송] 어성초 77% 패드옵션=어성초 77 클리어 패드 2+1 EVENT (무료배송)</t>
        </is>
      </c>
      <c r="K14334" s="94" t="n">
        <v>18</v>
      </c>
      <c r="L14334" s="88" t="n">
        <v>201208</v>
      </c>
      <c r="M14334" s="88">
        <f>VLOOKUP($Q14334,매칭테이블!$F:$I,2,0)*K14334</f>
        <v/>
      </c>
      <c r="N14334" s="88">
        <f>M14334-M14334*VLOOKUP($Q14334,매칭테이블!$F:$I,3,0)</f>
        <v/>
      </c>
      <c r="O14334" s="88">
        <f>VLOOKUP($Q14334,매칭테이블!$F:$I,4,0)*K14334</f>
        <v/>
      </c>
      <c r="P14334" s="152">
        <f>M14334/1.1</f>
        <v/>
      </c>
      <c r="Q14334" s="88">
        <f>F14334&amp;E14334&amp;G14334&amp;L14334</f>
        <v/>
      </c>
    </row>
    <row r="14335">
      <c r="B14335" s="128" t="n">
        <v>44223</v>
      </c>
      <c r="C14335" s="88">
        <f>TEXT(B14335,"aaa")</f>
        <v/>
      </c>
      <c r="D14335" s="94" t="n"/>
      <c r="E14335" s="88">
        <f>INDEX(매칭테이블!C:D,MATCH(RD!G14335,매칭테이블!D:D,0),1)</f>
        <v/>
      </c>
      <c r="F14335" s="94" t="inlineStr">
        <is>
          <t>카페24</t>
        </is>
      </c>
      <c r="G14335" s="94" t="inlineStr">
        <is>
          <t>[01/27 순차발송] 어성초 77% 패드옵션=어성초77토너1개+어성초77패드1개-30% off (무료배송)</t>
        </is>
      </c>
      <c r="K14335" s="94" t="n">
        <v>8</v>
      </c>
      <c r="L14335" s="88" t="n">
        <v>201208</v>
      </c>
      <c r="M14335" s="88">
        <f>VLOOKUP($Q14335,매칭테이블!$F:$I,2,0)*K14335</f>
        <v/>
      </c>
      <c r="N14335" s="88">
        <f>M14335-M14335*VLOOKUP($Q14335,매칭테이블!$F:$I,3,0)</f>
        <v/>
      </c>
      <c r="O14335" s="88">
        <f>VLOOKUP($Q14335,매칭테이블!$F:$I,4,0)*K14335</f>
        <v/>
      </c>
      <c r="P14335" s="152">
        <f>M14335/1.1</f>
        <v/>
      </c>
      <c r="Q14335" s="88">
        <f>F14335&amp;E14335&amp;G14335&amp;L14335</f>
        <v/>
      </c>
    </row>
    <row r="14336">
      <c r="B14336" s="128" t="n">
        <v>44223</v>
      </c>
      <c r="C14336" s="88">
        <f>TEXT(B14336,"aaa")</f>
        <v/>
      </c>
      <c r="D14336" s="94" t="n"/>
      <c r="E14336" s="88">
        <f>INDEX(매칭테이블!C:D,MATCH(RD!G14336,매칭테이블!D:D,0),1)</f>
        <v/>
      </c>
      <c r="F14336" s="94" t="inlineStr">
        <is>
          <t>카페24</t>
        </is>
      </c>
      <c r="G14336" s="94" t="inlineStr">
        <is>
          <t>[수분 보충 세트] 어성초 77 토너 + 어성초 70 로션옵션=어성초 77 토너 250ml + 어성초 70 로션 200ml -30%</t>
        </is>
      </c>
      <c r="K14336" s="94" t="n">
        <v>64</v>
      </c>
      <c r="L14336" s="88" t="n">
        <v>201208</v>
      </c>
      <c r="M14336" s="88">
        <f>VLOOKUP($Q14336,매칭테이블!$F:$I,2,0)*K14336</f>
        <v/>
      </c>
      <c r="N14336" s="88">
        <f>M14336-M14336*VLOOKUP($Q14336,매칭테이블!$F:$I,3,0)</f>
        <v/>
      </c>
      <c r="O14336" s="88">
        <f>VLOOKUP($Q14336,매칭테이블!$F:$I,4,0)*K14336</f>
        <v/>
      </c>
      <c r="P14336" s="152">
        <f>M14336/1.1</f>
        <v/>
      </c>
      <c r="Q14336" s="88">
        <f>F14336&amp;E14336&amp;G14336&amp;L14336</f>
        <v/>
      </c>
    </row>
    <row r="14337">
      <c r="B14337" s="128" t="n">
        <v>44223</v>
      </c>
      <c r="C14337" s="88">
        <f>TEXT(B14337,"aaa")</f>
        <v/>
      </c>
      <c r="D14337" s="94" t="n"/>
      <c r="E14337" s="88">
        <f>INDEX(매칭테이블!C:D,MATCH(RD!G14337,매칭테이블!D:D,0),1)</f>
        <v/>
      </c>
      <c r="F14337" s="94" t="inlineStr">
        <is>
          <t>카페24</t>
        </is>
      </c>
      <c r="G14337" s="94" t="inlineStr">
        <is>
          <t>[어성초 진정 패키지 세트] 대용량 토너 + 앰플 + 수딩 크림 + 마스크팩 10장</t>
        </is>
      </c>
      <c r="K14337" s="94" t="n">
        <v>3</v>
      </c>
      <c r="L14337" s="88" t="n">
        <v>201208</v>
      </c>
      <c r="M14337" s="88">
        <f>VLOOKUP($Q14337,매칭테이블!$F:$I,2,0)*K14337</f>
        <v/>
      </c>
      <c r="N14337" s="88">
        <f>M14337-M14337*VLOOKUP($Q14337,매칭테이블!$F:$I,3,0)</f>
        <v/>
      </c>
      <c r="O14337" s="88">
        <f>VLOOKUP($Q14337,매칭테이블!$F:$I,4,0)*K14337</f>
        <v/>
      </c>
      <c r="P14337" s="152">
        <f>M14337/1.1</f>
        <v/>
      </c>
      <c r="Q14337" s="88">
        <f>F14337&amp;E14337&amp;G14337&amp;L14337</f>
        <v/>
      </c>
    </row>
    <row r="14338">
      <c r="B14338" s="128" t="n">
        <v>44223</v>
      </c>
      <c r="C14338" s="88">
        <f>TEXT(B14338,"aaa")</f>
        <v/>
      </c>
      <c r="D14338" s="94" t="n"/>
      <c r="E14338" s="88">
        <f>INDEX(매칭테이블!C:D,MATCH(RD!G14338,매칭테이블!D:D,0),1)</f>
        <v/>
      </c>
      <c r="F14338" s="94" t="inlineStr">
        <is>
          <t>카페24</t>
        </is>
      </c>
      <c r="G14338" s="94" t="inlineStr">
        <is>
          <t>대용량 어성초 77 수딩 토너 500ml옵션=대용량 어성초 77 토너 1개 - 27% OFF</t>
        </is>
      </c>
      <c r="K14338" s="94" t="n">
        <v>36</v>
      </c>
      <c r="L14338" s="88" t="n">
        <v>201208</v>
      </c>
      <c r="M14338" s="88">
        <f>VLOOKUP($Q14338,매칭테이블!$F:$I,2,0)*K14338</f>
        <v/>
      </c>
      <c r="N14338" s="88">
        <f>M14338-M14338*VLOOKUP($Q14338,매칭테이블!$F:$I,3,0)</f>
        <v/>
      </c>
      <c r="O14338" s="88">
        <f>VLOOKUP($Q14338,매칭테이블!$F:$I,4,0)*K14338</f>
        <v/>
      </c>
      <c r="P14338" s="152">
        <f>M14338/1.1</f>
        <v/>
      </c>
      <c r="Q14338" s="88">
        <f>F14338&amp;E14338&amp;G14338&amp;L14338</f>
        <v/>
      </c>
    </row>
    <row r="14339">
      <c r="B14339" s="128" t="n">
        <v>44223</v>
      </c>
      <c r="C14339" s="88">
        <f>TEXT(B14339,"aaa")</f>
        <v/>
      </c>
      <c r="D14339" s="94" t="n"/>
      <c r="E14339" s="88">
        <f>INDEX(매칭테이블!C:D,MATCH(RD!G14339,매칭테이블!D:D,0),1)</f>
        <v/>
      </c>
      <c r="F14339" s="94" t="inlineStr">
        <is>
          <t>카페24</t>
        </is>
      </c>
      <c r="G14339" s="94" t="inlineStr">
        <is>
          <t>대용량 어성초 77 수딩 토너 500ml화장솜(선택)=촉촉 스킨팩 화장솜</t>
        </is>
      </c>
      <c r="K14339" s="94" t="n">
        <v>17</v>
      </c>
      <c r="L14339" s="88" t="n">
        <v>201208</v>
      </c>
      <c r="M14339" s="88">
        <f>VLOOKUP($Q14339,매칭테이블!$F:$I,2,0)*K14339</f>
        <v/>
      </c>
      <c r="N14339" s="88">
        <f>M14339-M14339*VLOOKUP($Q14339,매칭테이블!$F:$I,3,0)</f>
        <v/>
      </c>
      <c r="O14339" s="88">
        <f>VLOOKUP($Q14339,매칭테이블!$F:$I,4,0)*K14339</f>
        <v/>
      </c>
      <c r="P14339" s="152">
        <f>M14339/1.1</f>
        <v/>
      </c>
      <c r="Q14339" s="88">
        <f>F14339&amp;E14339&amp;G14339&amp;L14339</f>
        <v/>
      </c>
    </row>
    <row r="14340">
      <c r="B14340" s="128" t="n">
        <v>44223</v>
      </c>
      <c r="C14340" s="88">
        <f>TEXT(B14340,"aaa")</f>
        <v/>
      </c>
      <c r="D14340" s="94" t="n"/>
      <c r="E14340" s="88">
        <f>INDEX(매칭테이블!C:D,MATCH(RD!G14340,매칭테이블!D:D,0),1)</f>
        <v/>
      </c>
      <c r="F14340" s="94" t="inlineStr">
        <is>
          <t>카페24</t>
        </is>
      </c>
      <c r="G14340" s="94" t="inlineStr">
        <is>
          <t>어성초 70 데일리 릴리프 로션로션=어성초 70 데일리 릴리프 로션 1개 -20% off</t>
        </is>
      </c>
      <c r="K14340" s="94" t="n">
        <v>13</v>
      </c>
      <c r="L14340" s="88" t="n">
        <v>201208</v>
      </c>
      <c r="M14340" s="88">
        <f>VLOOKUP($Q14340,매칭테이블!$F:$I,2,0)*K14340</f>
        <v/>
      </c>
      <c r="N14340" s="88">
        <f>M14340-M14340*VLOOKUP($Q14340,매칭테이블!$F:$I,3,0)</f>
        <v/>
      </c>
      <c r="O14340" s="88">
        <f>VLOOKUP($Q14340,매칭테이블!$F:$I,4,0)*K14340</f>
        <v/>
      </c>
      <c r="P14340" s="152">
        <f>M14340/1.1</f>
        <v/>
      </c>
      <c r="Q14340" s="88">
        <f>F14340&amp;E14340&amp;G14340&amp;L14340</f>
        <v/>
      </c>
    </row>
    <row r="14341">
      <c r="B14341" s="128" t="n">
        <v>44223</v>
      </c>
      <c r="C14341" s="88">
        <f>TEXT(B14341,"aaa")</f>
        <v/>
      </c>
      <c r="D14341" s="94" t="n"/>
      <c r="E14341" s="88">
        <f>INDEX(매칭테이블!C:D,MATCH(RD!G14341,매칭테이블!D:D,0),1)</f>
        <v/>
      </c>
      <c r="F14341" s="94" t="inlineStr">
        <is>
          <t>카페24</t>
        </is>
      </c>
      <c r="G14341" s="94" t="inlineStr">
        <is>
          <t>어성초 70 데일리 릴리프 로션로션=어성초 77토너 + 어성초 70 로션 수분 보충 세트 -30% off</t>
        </is>
      </c>
      <c r="K14341" s="94" t="n">
        <v>1</v>
      </c>
      <c r="L14341" s="88" t="n">
        <v>201208</v>
      </c>
      <c r="M14341" s="88">
        <f>VLOOKUP($Q14341,매칭테이블!$F:$I,2,0)*K14341</f>
        <v/>
      </c>
      <c r="N14341" s="88">
        <f>M14341-M14341*VLOOKUP($Q14341,매칭테이블!$F:$I,3,0)</f>
        <v/>
      </c>
      <c r="O14341" s="88">
        <f>VLOOKUP($Q14341,매칭테이블!$F:$I,4,0)*K14341</f>
        <v/>
      </c>
      <c r="P14341" s="152">
        <f>M14341/1.1</f>
        <v/>
      </c>
      <c r="Q14341" s="88">
        <f>F14341&amp;E14341&amp;G14341&amp;L14341</f>
        <v/>
      </c>
    </row>
    <row r="14342">
      <c r="B14342" s="128" t="n">
        <v>44223</v>
      </c>
      <c r="C14342" s="88">
        <f>TEXT(B14342,"aaa")</f>
        <v/>
      </c>
      <c r="D14342" s="94" t="n"/>
      <c r="E14342" s="88">
        <f>INDEX(매칭테이블!C:D,MATCH(RD!G14342,매칭테이블!D:D,0),1)</f>
        <v/>
      </c>
      <c r="F14342" s="94" t="inlineStr">
        <is>
          <t>카페24</t>
        </is>
      </c>
      <c r="G14342" s="94" t="inlineStr">
        <is>
          <t>어성초 70 머드 크림 마스크옵션=어성초 70 머드 크림 마스크 2개-30% off (무료배송)</t>
        </is>
      </c>
      <c r="K14342" s="94" t="n">
        <v>2</v>
      </c>
      <c r="L14342" s="88" t="n">
        <v>201208</v>
      </c>
      <c r="M14342" s="88">
        <f>VLOOKUP($Q14342,매칭테이블!$F:$I,2,0)*K14342</f>
        <v/>
      </c>
      <c r="N14342" s="88">
        <f>M14342-M14342*VLOOKUP($Q14342,매칭테이블!$F:$I,3,0)</f>
        <v/>
      </c>
      <c r="O14342" s="88">
        <f>VLOOKUP($Q14342,매칭테이블!$F:$I,4,0)*K14342</f>
        <v/>
      </c>
      <c r="P14342" s="152">
        <f>M14342/1.1</f>
        <v/>
      </c>
      <c r="Q14342" s="88">
        <f>F14342&amp;E14342&amp;G14342&amp;L14342</f>
        <v/>
      </c>
    </row>
    <row r="14343">
      <c r="B14343" s="128" t="n">
        <v>44223</v>
      </c>
      <c r="C14343" s="88">
        <f>TEXT(B14343,"aaa")</f>
        <v/>
      </c>
      <c r="D14343" s="94" t="n"/>
      <c r="E14343" s="88">
        <f>INDEX(매칭테이블!C:D,MATCH(RD!G14343,매칭테이블!D:D,0),1)</f>
        <v/>
      </c>
      <c r="F14343" s="94" t="inlineStr">
        <is>
          <t>카페24</t>
        </is>
      </c>
      <c r="G14343" s="94" t="inlineStr">
        <is>
          <t>어성초 70 인텐스 카밍 크림크림=어성초 70 인텐스 카밍 크림 1개 (-20%)</t>
        </is>
      </c>
      <c r="K14343" s="94" t="n">
        <v>8</v>
      </c>
      <c r="L14343" s="88" t="n">
        <v>201208</v>
      </c>
      <c r="M14343" s="88">
        <f>VLOOKUP($Q14343,매칭테이블!$F:$I,2,0)*K14343</f>
        <v/>
      </c>
      <c r="N14343" s="88">
        <f>M14343-M14343*VLOOKUP($Q14343,매칭테이블!$F:$I,3,0)</f>
        <v/>
      </c>
      <c r="O14343" s="88">
        <f>VLOOKUP($Q14343,매칭테이블!$F:$I,4,0)*K14343</f>
        <v/>
      </c>
      <c r="P14343" s="152">
        <f>M14343/1.1</f>
        <v/>
      </c>
      <c r="Q14343" s="88">
        <f>F14343&amp;E14343&amp;G14343&amp;L14343</f>
        <v/>
      </c>
    </row>
    <row r="14344">
      <c r="B14344" s="128" t="n">
        <v>44223</v>
      </c>
      <c r="C14344" s="88">
        <f>TEXT(B14344,"aaa")</f>
        <v/>
      </c>
      <c r="D14344" s="94" t="n"/>
      <c r="E14344" s="88">
        <f>INDEX(매칭테이블!C:D,MATCH(RD!G14344,매칭테이블!D:D,0),1)</f>
        <v/>
      </c>
      <c r="F14344" s="94" t="inlineStr">
        <is>
          <t>카페24</t>
        </is>
      </c>
      <c r="G14344" s="94" t="inlineStr">
        <is>
          <t>어성초 77 수딩 토너옵션=어성초 77 토너 1개-20% off</t>
        </is>
      </c>
      <c r="K14344" s="94" t="n">
        <v>117</v>
      </c>
      <c r="L14344" s="88" t="n">
        <v>201208</v>
      </c>
      <c r="M14344" s="88">
        <f>VLOOKUP($Q14344,매칭테이블!$F:$I,2,0)*K14344</f>
        <v/>
      </c>
      <c r="N14344" s="88">
        <f>M14344-M14344*VLOOKUP($Q14344,매칭테이블!$F:$I,3,0)</f>
        <v/>
      </c>
      <c r="O14344" s="88">
        <f>VLOOKUP($Q14344,매칭테이블!$F:$I,4,0)*K14344</f>
        <v/>
      </c>
      <c r="P14344" s="152">
        <f>M14344/1.1</f>
        <v/>
      </c>
      <c r="Q14344" s="88">
        <f>F14344&amp;E14344&amp;G14344&amp;L14344</f>
        <v/>
      </c>
    </row>
    <row r="14345">
      <c r="B14345" s="128" t="n">
        <v>44223</v>
      </c>
      <c r="C14345" s="88">
        <f>TEXT(B14345,"aaa")</f>
        <v/>
      </c>
      <c r="D14345" s="94" t="n"/>
      <c r="E14345" s="88">
        <f>INDEX(매칭테이블!C:D,MATCH(RD!G14345,매칭테이블!D:D,0),1)</f>
        <v/>
      </c>
      <c r="F14345" s="94" t="inlineStr">
        <is>
          <t>카페24</t>
        </is>
      </c>
      <c r="G14345" s="94" t="inlineStr">
        <is>
          <t>어성초 77 수딩 토너옵션=BEST어성초 77 토너 2개-30% off (무료배송)</t>
        </is>
      </c>
      <c r="K14345" s="94" t="n">
        <v>60</v>
      </c>
      <c r="L14345" s="88" t="n">
        <v>201208</v>
      </c>
      <c r="M14345" s="88">
        <f>VLOOKUP($Q14345,매칭테이블!$F:$I,2,0)*K14345</f>
        <v/>
      </c>
      <c r="N14345" s="88">
        <f>M14345-M14345*VLOOKUP($Q14345,매칭테이블!$F:$I,3,0)</f>
        <v/>
      </c>
      <c r="O14345" s="88">
        <f>VLOOKUP($Q14345,매칭테이블!$F:$I,4,0)*K14345</f>
        <v/>
      </c>
      <c r="P14345" s="152">
        <f>M14345/1.1</f>
        <v/>
      </c>
      <c r="Q14345" s="88">
        <f>F14345&amp;E14345&amp;G14345&amp;L14345</f>
        <v/>
      </c>
    </row>
    <row r="14346">
      <c r="B14346" s="128" t="n">
        <v>44223</v>
      </c>
      <c r="C14346" s="88">
        <f>TEXT(B14346,"aaa")</f>
        <v/>
      </c>
      <c r="D14346" s="94" t="n"/>
      <c r="E14346" s="88">
        <f>INDEX(매칭테이블!C:D,MATCH(RD!G14346,매칭테이블!D:D,0),1)</f>
        <v/>
      </c>
      <c r="F14346" s="94" t="inlineStr">
        <is>
          <t>카페24</t>
        </is>
      </c>
      <c r="G14346" s="94" t="inlineStr">
        <is>
          <t>어성초 77 수딩 토너옵션=어성초 77토너1개 + 어성초77패드1개 -30% off (무료배송)</t>
        </is>
      </c>
      <c r="K14346" s="94" t="n">
        <v>41</v>
      </c>
      <c r="L14346" s="88" t="n">
        <v>201208</v>
      </c>
      <c r="M14346" s="88">
        <f>VLOOKUP($Q14346,매칭테이블!$F:$I,2,0)*K14346</f>
        <v/>
      </c>
      <c r="N14346" s="88">
        <f>M14346-M14346*VLOOKUP($Q14346,매칭테이블!$F:$I,3,0)</f>
        <v/>
      </c>
      <c r="O14346" s="88">
        <f>VLOOKUP($Q14346,매칭테이블!$F:$I,4,0)*K14346</f>
        <v/>
      </c>
      <c r="P14346" s="152">
        <f>M14346/1.1</f>
        <v/>
      </c>
      <c r="Q14346" s="88">
        <f>F14346&amp;E14346&amp;G14346&amp;L14346</f>
        <v/>
      </c>
    </row>
    <row r="14347">
      <c r="B14347" s="128" t="n">
        <v>44223</v>
      </c>
      <c r="C14347" s="88">
        <f>TEXT(B14347,"aaa")</f>
        <v/>
      </c>
      <c r="D14347" s="94" t="n"/>
      <c r="E14347" s="88">
        <f>INDEX(매칭테이블!C:D,MATCH(RD!G14347,매칭테이블!D:D,0),1)</f>
        <v/>
      </c>
      <c r="F14347" s="94" t="inlineStr">
        <is>
          <t>카페24</t>
        </is>
      </c>
      <c r="G14347" s="94" t="inlineStr">
        <is>
          <t>어성초 77 수딩 토너화장솜(선택)=촉촉 스킨팩 화장솜</t>
        </is>
      </c>
      <c r="K14347" s="94" t="n">
        <v>67</v>
      </c>
      <c r="L14347" s="88" t="n">
        <v>201208</v>
      </c>
      <c r="M14347" s="88">
        <f>VLOOKUP($Q14347,매칭테이블!$F:$I,2,0)*K14347</f>
        <v/>
      </c>
      <c r="N14347" s="88">
        <f>M14347-M14347*VLOOKUP($Q14347,매칭테이블!$F:$I,3,0)</f>
        <v/>
      </c>
      <c r="O14347" s="88">
        <f>VLOOKUP($Q14347,매칭테이블!$F:$I,4,0)*K14347</f>
        <v/>
      </c>
      <c r="P14347" s="152">
        <f>M14347/1.1</f>
        <v/>
      </c>
      <c r="Q14347" s="88">
        <f>F14347&amp;E14347&amp;G14347&amp;L14347</f>
        <v/>
      </c>
    </row>
    <row r="14348">
      <c r="B14348" s="128" t="n">
        <v>44223</v>
      </c>
      <c r="C14348" s="88">
        <f>TEXT(B14348,"aaa")</f>
        <v/>
      </c>
      <c r="D14348" s="94" t="n"/>
      <c r="E14348" s="88">
        <f>INDEX(매칭테이블!C:D,MATCH(RD!G14348,매칭테이블!D:D,0),1)</f>
        <v/>
      </c>
      <c r="F14348" s="94" t="inlineStr">
        <is>
          <t>카페24</t>
        </is>
      </c>
      <c r="G14348" s="94" t="inlineStr">
        <is>
          <t>어성초 77 수딩 토너토너(필수)=어성초 77 토너 1개-20% off</t>
        </is>
      </c>
      <c r="K14348" s="94" t="n">
        <v>1</v>
      </c>
      <c r="L14348" s="88" t="n">
        <v>201208</v>
      </c>
      <c r="M14348" s="88">
        <f>VLOOKUP($Q14348,매칭테이블!$F:$I,2,0)*K14348</f>
        <v/>
      </c>
      <c r="N14348" s="88">
        <f>M14348-M14348*VLOOKUP($Q14348,매칭테이블!$F:$I,3,0)</f>
        <v/>
      </c>
      <c r="O14348" s="88">
        <f>VLOOKUP($Q14348,매칭테이블!$F:$I,4,0)*K14348</f>
        <v/>
      </c>
      <c r="P14348" s="152">
        <f>M14348/1.1</f>
        <v/>
      </c>
      <c r="Q14348" s="88">
        <f>F14348&amp;E14348&amp;G14348&amp;L14348</f>
        <v/>
      </c>
    </row>
    <row r="14349">
      <c r="B14349" s="128" t="n">
        <v>44223</v>
      </c>
      <c r="C14349" s="88">
        <f>TEXT(B14349,"aaa")</f>
        <v/>
      </c>
      <c r="D14349" s="94" t="n"/>
      <c r="E14349" s="88">
        <f>INDEX(매칭테이블!C:D,MATCH(RD!G14349,매칭테이블!D:D,0),1)</f>
        <v/>
      </c>
      <c r="F14349" s="94" t="inlineStr">
        <is>
          <t>카페24</t>
        </is>
      </c>
      <c r="G14349" s="94" t="inlineStr">
        <is>
          <t>어성초 77 수딩 토너토너(필수)=어성초 77 토너 2개-30% off (무료배송)</t>
        </is>
      </c>
      <c r="K14349" s="94" t="n">
        <v>1</v>
      </c>
      <c r="L14349" s="88" t="n">
        <v>201208</v>
      </c>
      <c r="M14349" s="88">
        <f>VLOOKUP($Q14349,매칭테이블!$F:$I,2,0)*K14349</f>
        <v/>
      </c>
      <c r="N14349" s="88">
        <f>M14349-M14349*VLOOKUP($Q14349,매칭테이블!$F:$I,3,0)</f>
        <v/>
      </c>
      <c r="O14349" s="88">
        <f>VLOOKUP($Q14349,매칭테이블!$F:$I,4,0)*K14349</f>
        <v/>
      </c>
      <c r="P14349" s="152">
        <f>M14349/1.1</f>
        <v/>
      </c>
      <c r="Q14349" s="88">
        <f>F14349&amp;E14349&amp;G14349&amp;L14349</f>
        <v/>
      </c>
    </row>
    <row r="14350">
      <c r="B14350" s="128" t="n">
        <v>44223</v>
      </c>
      <c r="C14350" s="88">
        <f>TEXT(B14350,"aaa")</f>
        <v/>
      </c>
      <c r="D14350" s="94" t="n"/>
      <c r="E14350" s="88">
        <f>INDEX(매칭테이블!C:D,MATCH(RD!G14350,매칭테이블!D:D,0),1)</f>
        <v/>
      </c>
      <c r="F14350" s="94" t="inlineStr">
        <is>
          <t>카페24</t>
        </is>
      </c>
      <c r="G14350" s="94" t="inlineStr">
        <is>
          <t>어성초 77 수딩 토너토너(필수)=(대용량) 어성초 77 토너 500ml (무료배송)</t>
        </is>
      </c>
      <c r="K14350" s="94" t="n">
        <v>1</v>
      </c>
      <c r="L14350" s="88" t="n">
        <v>201208</v>
      </c>
      <c r="M14350" s="88">
        <f>VLOOKUP($Q14350,매칭테이블!$F:$I,2,0)*K14350</f>
        <v/>
      </c>
      <c r="N14350" s="88">
        <f>M14350-M14350*VLOOKUP($Q14350,매칭테이블!$F:$I,3,0)</f>
        <v/>
      </c>
      <c r="O14350" s="88">
        <f>VLOOKUP($Q14350,매칭테이블!$F:$I,4,0)*K14350</f>
        <v/>
      </c>
      <c r="P14350" s="152">
        <f>M14350/1.1</f>
        <v/>
      </c>
      <c r="Q14350" s="88">
        <f>F14350&amp;E14350&amp;G14350&amp;L14350</f>
        <v/>
      </c>
    </row>
    <row r="14351">
      <c r="B14351" s="128" t="n">
        <v>44223</v>
      </c>
      <c r="C14351" s="88">
        <f>TEXT(B14351,"aaa")</f>
        <v/>
      </c>
      <c r="D14351" s="94" t="n"/>
      <c r="E14351" s="88">
        <f>INDEX(매칭테이블!C:D,MATCH(RD!G14351,매칭테이블!D:D,0),1)</f>
        <v/>
      </c>
      <c r="F14351" s="94" t="inlineStr">
        <is>
          <t>카페24</t>
        </is>
      </c>
      <c r="G14351" s="94" t="inlineStr">
        <is>
          <t>어성초 77 진정 마스크옵션=어성초 77 진정 마스크팩 1장</t>
        </is>
      </c>
      <c r="K14351" s="94" t="n">
        <v>2</v>
      </c>
      <c r="L14351" s="88" t="n">
        <v>201208</v>
      </c>
      <c r="M14351" s="88">
        <f>VLOOKUP($Q14351,매칭테이블!$F:$I,2,0)*K14351</f>
        <v/>
      </c>
      <c r="N14351" s="88">
        <f>M14351-M14351*VLOOKUP($Q14351,매칭테이블!$F:$I,3,0)</f>
        <v/>
      </c>
      <c r="O14351" s="88">
        <f>VLOOKUP($Q14351,매칭테이블!$F:$I,4,0)*K14351</f>
        <v/>
      </c>
      <c r="P14351" s="152">
        <f>M14351/1.1</f>
        <v/>
      </c>
      <c r="Q14351" s="88">
        <f>F14351&amp;E14351&amp;G14351&amp;L14351</f>
        <v/>
      </c>
    </row>
    <row r="14352">
      <c r="B14352" s="128" t="n">
        <v>44223</v>
      </c>
      <c r="C14352" s="88">
        <f>TEXT(B14352,"aaa")</f>
        <v/>
      </c>
      <c r="D14352" s="94" t="n"/>
      <c r="E14352" s="88">
        <f>INDEX(매칭테이블!C:D,MATCH(RD!G14352,매칭테이블!D:D,0),1)</f>
        <v/>
      </c>
      <c r="F14352" s="94" t="inlineStr">
        <is>
          <t>카페24</t>
        </is>
      </c>
      <c r="G14352" s="94" t="inlineStr">
        <is>
          <t>어성초 77 진정 마스크옵션=어성초 77 진정 마스크팩 10장-50% off</t>
        </is>
      </c>
      <c r="K14352" s="94" t="n">
        <v>7</v>
      </c>
      <c r="L14352" s="88" t="n">
        <v>201208</v>
      </c>
      <c r="M14352" s="88">
        <f>VLOOKUP($Q14352,매칭테이블!$F:$I,2,0)*K14352</f>
        <v/>
      </c>
      <c r="N14352" s="88">
        <f>M14352-M14352*VLOOKUP($Q14352,매칭테이블!$F:$I,3,0)</f>
        <v/>
      </c>
      <c r="O14352" s="88">
        <f>VLOOKUP($Q14352,매칭테이블!$F:$I,4,0)*K14352</f>
        <v/>
      </c>
      <c r="P14352" s="152">
        <f>M14352/1.1</f>
        <v/>
      </c>
      <c r="Q14352" s="88">
        <f>F14352&amp;E14352&amp;G14352&amp;L14352</f>
        <v/>
      </c>
    </row>
    <row r="14353">
      <c r="B14353" s="128" t="n">
        <v>44223</v>
      </c>
      <c r="C14353" s="88">
        <f>TEXT(B14353,"aaa")</f>
        <v/>
      </c>
      <c r="D14353" s="94" t="n"/>
      <c r="E14353" s="88">
        <f>INDEX(매칭테이블!C:D,MATCH(RD!G14353,매칭테이블!D:D,0),1)</f>
        <v/>
      </c>
      <c r="F14353" s="94" t="inlineStr">
        <is>
          <t>카페24</t>
        </is>
      </c>
      <c r="G14353" s="94" t="inlineStr">
        <is>
          <t>어성초 77 진정 마스크</t>
        </is>
      </c>
      <c r="K14353" s="94" t="n">
        <v>18</v>
      </c>
      <c r="L14353" s="88" t="n">
        <v>201208</v>
      </c>
      <c r="M14353" s="88">
        <f>VLOOKUP($Q14353,매칭테이블!$F:$I,2,0)*K14353</f>
        <v/>
      </c>
      <c r="N14353" s="88">
        <f>M14353-M14353*VLOOKUP($Q14353,매칭테이블!$F:$I,3,0)</f>
        <v/>
      </c>
      <c r="O14353" s="88">
        <f>VLOOKUP($Q14353,매칭테이블!$F:$I,4,0)*K14353</f>
        <v/>
      </c>
      <c r="P14353" s="152">
        <f>M14353/1.1</f>
        <v/>
      </c>
      <c r="Q14353" s="88">
        <f>F14353&amp;E14353&amp;G14353&amp;L14353</f>
        <v/>
      </c>
    </row>
    <row r="14354">
      <c r="B14354" s="128" t="n">
        <v>44223</v>
      </c>
      <c r="C14354" s="88">
        <f>TEXT(B14354,"aaa")</f>
        <v/>
      </c>
      <c r="D14354" s="94" t="n"/>
      <c r="E14354" s="88">
        <f>INDEX(매칭테이블!C:D,MATCH(RD!G14354,매칭테이블!D:D,0),1)</f>
        <v/>
      </c>
      <c r="F14354" s="94" t="inlineStr">
        <is>
          <t>카페24</t>
        </is>
      </c>
      <c r="G14354" s="94" t="inlineStr">
        <is>
          <t>어성초 77 클리어 패드옵션=어성초 77 클리어 패드 1개-20% off</t>
        </is>
      </c>
      <c r="K14354" s="94" t="n">
        <v>23</v>
      </c>
      <c r="L14354" s="88" t="n">
        <v>201208</v>
      </c>
      <c r="M14354" s="88">
        <f>VLOOKUP($Q14354,매칭테이블!$F:$I,2,0)*K14354</f>
        <v/>
      </c>
      <c r="N14354" s="88">
        <f>M14354-M14354*VLOOKUP($Q14354,매칭테이블!$F:$I,3,0)</f>
        <v/>
      </c>
      <c r="O14354" s="88">
        <f>VLOOKUP($Q14354,매칭테이블!$F:$I,4,0)*K14354</f>
        <v/>
      </c>
      <c r="P14354" s="152">
        <f>M14354/1.1</f>
        <v/>
      </c>
      <c r="Q14354" s="88">
        <f>F14354&amp;E14354&amp;G14354&amp;L14354</f>
        <v/>
      </c>
    </row>
    <row r="14355">
      <c r="B14355" s="128" t="n">
        <v>44223</v>
      </c>
      <c r="C14355" s="88">
        <f>TEXT(B14355,"aaa")</f>
        <v/>
      </c>
      <c r="D14355" s="94" t="n"/>
      <c r="E14355" s="88">
        <f>INDEX(매칭테이블!C:D,MATCH(RD!G14355,매칭테이블!D:D,0),1)</f>
        <v/>
      </c>
      <c r="F14355" s="94" t="inlineStr">
        <is>
          <t>카페24</t>
        </is>
      </c>
      <c r="G14355" s="94" t="inlineStr">
        <is>
          <t>어성초 77 클리어 패드옵션=어성초 77 클리어 패드 2개-30% off (무료배송)</t>
        </is>
      </c>
      <c r="K14355" s="94" t="n">
        <v>20</v>
      </c>
      <c r="L14355" s="88" t="n">
        <v>201208</v>
      </c>
      <c r="M14355" s="88">
        <f>VLOOKUP($Q14355,매칭테이블!$F:$I,2,0)*K14355</f>
        <v/>
      </c>
      <c r="N14355" s="88">
        <f>M14355-M14355*VLOOKUP($Q14355,매칭테이블!$F:$I,3,0)</f>
        <v/>
      </c>
      <c r="O14355" s="88">
        <f>VLOOKUP($Q14355,매칭테이블!$F:$I,4,0)*K14355</f>
        <v/>
      </c>
      <c r="P14355" s="152">
        <f>M14355/1.1</f>
        <v/>
      </c>
      <c r="Q14355" s="88">
        <f>F14355&amp;E14355&amp;G14355&amp;L14355</f>
        <v/>
      </c>
    </row>
    <row r="14356">
      <c r="B14356" s="128" t="n">
        <v>44223</v>
      </c>
      <c r="C14356" s="88">
        <f>TEXT(B14356,"aaa")</f>
        <v/>
      </c>
      <c r="D14356" s="94" t="n"/>
      <c r="E14356" s="88">
        <f>INDEX(매칭테이블!C:D,MATCH(RD!G14356,매칭테이블!D:D,0),1)</f>
        <v/>
      </c>
      <c r="F14356" s="94" t="inlineStr">
        <is>
          <t>카페24</t>
        </is>
      </c>
      <c r="G14356" s="94" t="inlineStr">
        <is>
          <t>어성초 77 클리어 패드옵션=어성초 77 클리어 패드 2+1 EVENT (무료배송)</t>
        </is>
      </c>
      <c r="K14356" s="94" t="n">
        <v>9</v>
      </c>
      <c r="L14356" s="88" t="n">
        <v>201208</v>
      </c>
      <c r="M14356" s="88">
        <f>VLOOKUP($Q14356,매칭테이블!$F:$I,2,0)*K14356</f>
        <v/>
      </c>
      <c r="N14356" s="88">
        <f>M14356-M14356*VLOOKUP($Q14356,매칭테이블!$F:$I,3,0)</f>
        <v/>
      </c>
      <c r="O14356" s="88">
        <f>VLOOKUP($Q14356,매칭테이블!$F:$I,4,0)*K14356</f>
        <v/>
      </c>
      <c r="P14356" s="152">
        <f>M14356/1.1</f>
        <v/>
      </c>
      <c r="Q14356" s="88">
        <f>F14356&amp;E14356&amp;G14356&amp;L14356</f>
        <v/>
      </c>
    </row>
    <row r="14357">
      <c r="B14357" s="128" t="n">
        <v>44223</v>
      </c>
      <c r="C14357" s="88">
        <f>TEXT(B14357,"aaa")</f>
        <v/>
      </c>
      <c r="D14357" s="94" t="n"/>
      <c r="E14357" s="88">
        <f>INDEX(매칭테이블!C:D,MATCH(RD!G14357,매칭테이블!D:D,0),1)</f>
        <v/>
      </c>
      <c r="F14357" s="94" t="inlineStr">
        <is>
          <t>카페24</t>
        </is>
      </c>
      <c r="G14357" s="94" t="inlineStr">
        <is>
          <t>어성초 77 클리어 패드옵션=어성초77토너1개+어성초77패드1개-30% off (무료배송)</t>
        </is>
      </c>
      <c r="K14357" s="94" t="n">
        <v>3</v>
      </c>
      <c r="L14357" s="88" t="n">
        <v>201208</v>
      </c>
      <c r="M14357" s="88">
        <f>VLOOKUP($Q14357,매칭테이블!$F:$I,2,0)*K14357</f>
        <v/>
      </c>
      <c r="N14357" s="88">
        <f>M14357-M14357*VLOOKUP($Q14357,매칭테이블!$F:$I,3,0)</f>
        <v/>
      </c>
      <c r="O14357" s="88">
        <f>VLOOKUP($Q14357,매칭테이블!$F:$I,4,0)*K14357</f>
        <v/>
      </c>
      <c r="P14357" s="152">
        <f>M14357/1.1</f>
        <v/>
      </c>
      <c r="Q14357" s="88">
        <f>F14357&amp;E14357&amp;G14357&amp;L14357</f>
        <v/>
      </c>
    </row>
    <row r="14358">
      <c r="B14358" s="128" t="n">
        <v>44223</v>
      </c>
      <c r="C14358" s="88">
        <f>TEXT(B14358,"aaa")</f>
        <v/>
      </c>
      <c r="D14358" s="94" t="n"/>
      <c r="E14358" s="88">
        <f>INDEX(매칭테이블!C:D,MATCH(RD!G14358,매칭테이블!D:D,0),1)</f>
        <v/>
      </c>
      <c r="F14358" s="94" t="inlineStr">
        <is>
          <t>카페24</t>
        </is>
      </c>
      <c r="G14358" s="94" t="inlineStr">
        <is>
          <t>어성초 77 토너</t>
        </is>
      </c>
      <c r="K14358" s="94" t="n">
        <v>1</v>
      </c>
      <c r="L14358" s="88" t="n">
        <v>201208</v>
      </c>
      <c r="M14358" s="88">
        <f>VLOOKUP($Q14358,매칭테이블!$F:$I,2,0)*K14358</f>
        <v/>
      </c>
      <c r="N14358" s="88">
        <f>M14358-M14358*VLOOKUP($Q14358,매칭테이블!$F:$I,3,0)</f>
        <v/>
      </c>
      <c r="O14358" s="88">
        <f>VLOOKUP($Q14358,매칭테이블!$F:$I,4,0)*K14358</f>
        <v/>
      </c>
      <c r="P14358" s="152">
        <f>M14358/1.1</f>
        <v/>
      </c>
      <c r="Q14358" s="88">
        <f>F14358&amp;E14358&amp;G14358&amp;L14358</f>
        <v/>
      </c>
    </row>
    <row r="14359">
      <c r="B14359" s="128" t="n">
        <v>44223</v>
      </c>
      <c r="C14359" s="88">
        <f>TEXT(B14359,"aaa")</f>
        <v/>
      </c>
      <c r="D14359" s="94" t="n"/>
      <c r="E14359" s="88">
        <f>INDEX(매칭테이블!C:D,MATCH(RD!G14359,매칭테이블!D:D,0),1)</f>
        <v/>
      </c>
      <c r="F14359" s="94" t="inlineStr">
        <is>
          <t>카페24</t>
        </is>
      </c>
      <c r="G14359" s="94" t="inlineStr">
        <is>
          <t>어성초 77% 수딩 토너토너(필수)=어성초 77 토너 1개-20% off</t>
        </is>
      </c>
      <c r="K14359" s="94" t="n">
        <v>4</v>
      </c>
      <c r="L14359" s="88" t="n">
        <v>201208</v>
      </c>
      <c r="M14359" s="88">
        <f>VLOOKUP($Q14359,매칭테이블!$F:$I,2,0)*K14359</f>
        <v/>
      </c>
      <c r="N14359" s="88">
        <f>M14359-M14359*VLOOKUP($Q14359,매칭테이블!$F:$I,3,0)</f>
        <v/>
      </c>
      <c r="O14359" s="88">
        <f>VLOOKUP($Q14359,매칭테이블!$F:$I,4,0)*K14359</f>
        <v/>
      </c>
      <c r="P14359" s="152">
        <f>M14359/1.1</f>
        <v/>
      </c>
      <c r="Q14359" s="88">
        <f>F14359&amp;E14359&amp;G14359&amp;L14359</f>
        <v/>
      </c>
    </row>
    <row r="14360">
      <c r="B14360" s="128" t="n">
        <v>44223</v>
      </c>
      <c r="C14360" s="88">
        <f>TEXT(B14360,"aaa")</f>
        <v/>
      </c>
      <c r="D14360" s="94" t="n"/>
      <c r="E14360" s="88">
        <f>INDEX(매칭테이블!C:D,MATCH(RD!G14360,매칭테이블!D:D,0),1)</f>
        <v/>
      </c>
      <c r="F14360" s="94" t="inlineStr">
        <is>
          <t>카페24</t>
        </is>
      </c>
      <c r="G14360" s="94" t="inlineStr">
        <is>
          <t>어성초 77% 수딩 토너토너(필수)=어성초 77 토너 2개-30% off (무료배송)</t>
        </is>
      </c>
      <c r="K14360" s="94" t="n">
        <v>2</v>
      </c>
      <c r="L14360" s="88" t="n">
        <v>201208</v>
      </c>
      <c r="M14360" s="88">
        <f>VLOOKUP($Q14360,매칭테이블!$F:$I,2,0)*K14360</f>
        <v/>
      </c>
      <c r="N14360" s="88">
        <f>M14360-M14360*VLOOKUP($Q14360,매칭테이블!$F:$I,3,0)</f>
        <v/>
      </c>
      <c r="O14360" s="88">
        <f>VLOOKUP($Q14360,매칭테이블!$F:$I,4,0)*K14360</f>
        <v/>
      </c>
      <c r="P14360" s="152">
        <f>M14360/1.1</f>
        <v/>
      </c>
      <c r="Q14360" s="88">
        <f>F14360&amp;E14360&amp;G14360&amp;L14360</f>
        <v/>
      </c>
    </row>
    <row r="14361">
      <c r="B14361" s="128" t="n">
        <v>44223</v>
      </c>
      <c r="C14361" s="88">
        <f>TEXT(B14361,"aaa")</f>
        <v/>
      </c>
      <c r="D14361" s="94" t="n"/>
      <c r="E14361" s="88">
        <f>INDEX(매칭테이블!C:D,MATCH(RD!G14361,매칭테이블!D:D,0),1)</f>
        <v/>
      </c>
      <c r="F14361" s="94" t="inlineStr">
        <is>
          <t>카페24</t>
        </is>
      </c>
      <c r="G14361" s="94" t="inlineStr">
        <is>
          <t>어성초 77% 수딩 토너화장솜(선택)=촉촉 스킨팩 화장솜</t>
        </is>
      </c>
      <c r="K14361" s="94" t="n">
        <v>3</v>
      </c>
      <c r="L14361" s="88" t="n">
        <v>201208</v>
      </c>
      <c r="M14361" s="88">
        <f>VLOOKUP($Q14361,매칭테이블!$F:$I,2,0)*K14361</f>
        <v/>
      </c>
      <c r="N14361" s="88">
        <f>M14361-M14361*VLOOKUP($Q14361,매칭테이블!$F:$I,3,0)</f>
        <v/>
      </c>
      <c r="O14361" s="88">
        <f>VLOOKUP($Q14361,매칭테이블!$F:$I,4,0)*K14361</f>
        <v/>
      </c>
      <c r="P14361" s="152">
        <f>M14361/1.1</f>
        <v/>
      </c>
      <c r="Q14361" s="88">
        <f>F14361&amp;E14361&amp;G14361&amp;L14361</f>
        <v/>
      </c>
    </row>
    <row r="14362">
      <c r="B14362" s="128" t="n">
        <v>44223</v>
      </c>
      <c r="C14362" s="88">
        <f>TEXT(B14362,"aaa")</f>
        <v/>
      </c>
      <c r="D14362" s="94" t="n"/>
      <c r="E14362" s="88">
        <f>INDEX(매칭테이블!C:D,MATCH(RD!G14362,매칭테이블!D:D,0),1)</f>
        <v/>
      </c>
      <c r="F14362" s="94" t="inlineStr">
        <is>
          <t>카페24</t>
        </is>
      </c>
      <c r="G14362" s="94" t="inlineStr">
        <is>
          <t>어성초 77% 패드옵션=어성초 77 클리어 패드 1개-20% off</t>
        </is>
      </c>
      <c r="K14362" s="94" t="n">
        <v>12</v>
      </c>
      <c r="L14362" s="88" t="n">
        <v>201208</v>
      </c>
      <c r="M14362" s="88">
        <f>VLOOKUP($Q14362,매칭테이블!$F:$I,2,0)*K14362</f>
        <v/>
      </c>
      <c r="N14362" s="88">
        <f>M14362-M14362*VLOOKUP($Q14362,매칭테이블!$F:$I,3,0)</f>
        <v/>
      </c>
      <c r="O14362" s="88">
        <f>VLOOKUP($Q14362,매칭테이블!$F:$I,4,0)*K14362</f>
        <v/>
      </c>
      <c r="P14362" s="152">
        <f>M14362/1.1</f>
        <v/>
      </c>
      <c r="Q14362" s="88">
        <f>F14362&amp;E14362&amp;G14362&amp;L14362</f>
        <v/>
      </c>
    </row>
    <row r="14363">
      <c r="B14363" s="128" t="n">
        <v>44223</v>
      </c>
      <c r="C14363" s="88">
        <f>TEXT(B14363,"aaa")</f>
        <v/>
      </c>
      <c r="D14363" s="94" t="n"/>
      <c r="E14363" s="88">
        <f>INDEX(매칭테이블!C:D,MATCH(RD!G14363,매칭테이블!D:D,0),1)</f>
        <v/>
      </c>
      <c r="F14363" s="94" t="inlineStr">
        <is>
          <t>카페24</t>
        </is>
      </c>
      <c r="G14363" s="94" t="inlineStr">
        <is>
          <t>어성초 77% 패드옵션=어성초 77 클리어 패드 2개-30% off (무료배송)</t>
        </is>
      </c>
      <c r="K14363" s="94" t="n">
        <v>13</v>
      </c>
      <c r="L14363" s="88" t="n">
        <v>201208</v>
      </c>
      <c r="M14363" s="88">
        <f>VLOOKUP($Q14363,매칭테이블!$F:$I,2,0)*K14363</f>
        <v/>
      </c>
      <c r="N14363" s="88">
        <f>M14363-M14363*VLOOKUP($Q14363,매칭테이블!$F:$I,3,0)</f>
        <v/>
      </c>
      <c r="O14363" s="88">
        <f>VLOOKUP($Q14363,매칭테이블!$F:$I,4,0)*K14363</f>
        <v/>
      </c>
      <c r="P14363" s="152">
        <f>M14363/1.1</f>
        <v/>
      </c>
      <c r="Q14363" s="88">
        <f>F14363&amp;E14363&amp;G14363&amp;L14363</f>
        <v/>
      </c>
    </row>
    <row r="14364">
      <c r="B14364" s="128" t="n">
        <v>44223</v>
      </c>
      <c r="C14364" s="88">
        <f>TEXT(B14364,"aaa")</f>
        <v/>
      </c>
      <c r="D14364" s="94" t="n"/>
      <c r="E14364" s="88">
        <f>INDEX(매칭테이블!C:D,MATCH(RD!G14364,매칭테이블!D:D,0),1)</f>
        <v/>
      </c>
      <c r="F14364" s="94" t="inlineStr">
        <is>
          <t>카페24</t>
        </is>
      </c>
      <c r="G14364" s="94" t="inlineStr">
        <is>
          <t>어성초 77% 패드옵션=어성초77토너1개+어성초77패드1개-30% off (무료배송)</t>
        </is>
      </c>
      <c r="K14364" s="94" t="n">
        <v>3</v>
      </c>
      <c r="L14364" s="88" t="n">
        <v>201208</v>
      </c>
      <c r="M14364" s="88">
        <f>VLOOKUP($Q14364,매칭테이블!$F:$I,2,0)*K14364</f>
        <v/>
      </c>
      <c r="N14364" s="88">
        <f>M14364-M14364*VLOOKUP($Q14364,매칭테이블!$F:$I,3,0)</f>
        <v/>
      </c>
      <c r="O14364" s="88">
        <f>VLOOKUP($Q14364,매칭테이블!$F:$I,4,0)*K14364</f>
        <v/>
      </c>
      <c r="P14364" s="152">
        <f>M14364/1.1</f>
        <v/>
      </c>
      <c r="Q14364" s="88">
        <f>F14364&amp;E14364&amp;G14364&amp;L14364</f>
        <v/>
      </c>
    </row>
    <row r="14365">
      <c r="B14365" s="128" t="n">
        <v>44223</v>
      </c>
      <c r="C14365" s="88">
        <f>TEXT(B14365,"aaa")</f>
        <v/>
      </c>
      <c r="D14365" s="94" t="n"/>
      <c r="E14365" s="88">
        <f>INDEX(매칭테이블!C:D,MATCH(RD!G14365,매칭테이블!D:D,0),1)</f>
        <v/>
      </c>
      <c r="F14365" s="94" t="inlineStr">
        <is>
          <t>카페24</t>
        </is>
      </c>
      <c r="G14365" s="94" t="inlineStr">
        <is>
          <t>어성초 78 수딩 크림</t>
        </is>
      </c>
      <c r="K14365" s="94" t="n">
        <v>5</v>
      </c>
      <c r="L14365" s="88" t="n">
        <v>201208</v>
      </c>
      <c r="M14365" s="88">
        <f>VLOOKUP($Q14365,매칭테이블!$F:$I,2,0)*K14365</f>
        <v/>
      </c>
      <c r="N14365" s="88">
        <f>M14365-M14365*VLOOKUP($Q14365,매칭테이블!$F:$I,3,0)</f>
        <v/>
      </c>
      <c r="O14365" s="88">
        <f>VLOOKUP($Q14365,매칭테이블!$F:$I,4,0)*K14365</f>
        <v/>
      </c>
      <c r="P14365" s="152">
        <f>M14365/1.1</f>
        <v/>
      </c>
      <c r="Q14365" s="88">
        <f>F14365&amp;E14365&amp;G14365&amp;L14365</f>
        <v/>
      </c>
    </row>
    <row r="14366">
      <c r="B14366" s="128" t="n">
        <v>44223</v>
      </c>
      <c r="C14366" s="88">
        <f>TEXT(B14366,"aaa")</f>
        <v/>
      </c>
      <c r="D14366" s="94" t="n"/>
      <c r="E14366" s="88">
        <f>INDEX(매칭테이블!C:D,MATCH(RD!G14366,매칭테이블!D:D,0),1)</f>
        <v/>
      </c>
      <c r="F14366" s="94" t="inlineStr">
        <is>
          <t>카페24</t>
        </is>
      </c>
      <c r="G14366" s="94" t="inlineStr">
        <is>
          <t>어성초 78 수딩 크림</t>
        </is>
      </c>
      <c r="K14366" s="94" t="n">
        <v>10</v>
      </c>
      <c r="L14366" s="88" t="n">
        <v>201208</v>
      </c>
      <c r="M14366" s="88">
        <f>VLOOKUP($Q14366,매칭테이블!$F:$I,2,0)*K14366</f>
        <v/>
      </c>
      <c r="N14366" s="88">
        <f>M14366-M14366*VLOOKUP($Q14366,매칭테이블!$F:$I,3,0)</f>
        <v/>
      </c>
      <c r="O14366" s="88">
        <f>VLOOKUP($Q14366,매칭테이블!$F:$I,4,0)*K14366</f>
        <v/>
      </c>
      <c r="P14366" s="152">
        <f>M14366/1.1</f>
        <v/>
      </c>
      <c r="Q14366" s="88">
        <f>F14366&amp;E14366&amp;G14366&amp;L14366</f>
        <v/>
      </c>
    </row>
    <row r="14367">
      <c r="B14367" s="128" t="n">
        <v>44223</v>
      </c>
      <c r="C14367" s="88">
        <f>TEXT(B14367,"aaa")</f>
        <v/>
      </c>
      <c r="D14367" s="94" t="n"/>
      <c r="E14367" s="88">
        <f>INDEX(매칭테이블!C:D,MATCH(RD!G14367,매칭테이블!D:D,0),1)</f>
        <v/>
      </c>
      <c r="F14367" s="94" t="inlineStr">
        <is>
          <t>카페24</t>
        </is>
      </c>
      <c r="G14367" s="94" t="inlineStr">
        <is>
          <t>어성초 80 수분 진정 앰플앰플=어성초 80 앰플 1개-15%off</t>
        </is>
      </c>
      <c r="K14367" s="94" t="n">
        <v>25</v>
      </c>
      <c r="L14367" s="88" t="n">
        <v>201208</v>
      </c>
      <c r="M14367" s="88">
        <f>VLOOKUP($Q14367,매칭테이블!$F:$I,2,0)*K14367</f>
        <v/>
      </c>
      <c r="N14367" s="88">
        <f>M14367-M14367*VLOOKUP($Q14367,매칭테이블!$F:$I,3,0)</f>
        <v/>
      </c>
      <c r="O14367" s="88">
        <f>VLOOKUP($Q14367,매칭테이블!$F:$I,4,0)*K14367</f>
        <v/>
      </c>
      <c r="P14367" s="152">
        <f>M14367/1.1</f>
        <v/>
      </c>
      <c r="Q14367" s="88">
        <f>F14367&amp;E14367&amp;G14367&amp;L14367</f>
        <v/>
      </c>
    </row>
    <row r="14368">
      <c r="B14368" s="128" t="n">
        <v>44223</v>
      </c>
      <c r="C14368" s="88">
        <f>TEXT(B14368,"aaa")</f>
        <v/>
      </c>
      <c r="D14368" s="94" t="n"/>
      <c r="E14368" s="88">
        <f>INDEX(매칭테이블!C:D,MATCH(RD!G14368,매칭테이블!D:D,0),1)</f>
        <v/>
      </c>
      <c r="F14368" s="94" t="inlineStr">
        <is>
          <t>카페24</t>
        </is>
      </c>
      <c r="G14368" s="94" t="inlineStr">
        <is>
          <t>어성초 80 수분 진정 앰플앰플=어성초 80 앰플 2개-27%off (무료배송)</t>
        </is>
      </c>
      <c r="K14368" s="94" t="n">
        <v>9</v>
      </c>
      <c r="L14368" s="88" t="n">
        <v>201208</v>
      </c>
      <c r="M14368" s="88">
        <f>VLOOKUP($Q14368,매칭테이블!$F:$I,2,0)*K14368</f>
        <v/>
      </c>
      <c r="N14368" s="88">
        <f>M14368-M14368*VLOOKUP($Q14368,매칭테이블!$F:$I,3,0)</f>
        <v/>
      </c>
      <c r="O14368" s="88">
        <f>VLOOKUP($Q14368,매칭테이블!$F:$I,4,0)*K14368</f>
        <v/>
      </c>
      <c r="P14368" s="152">
        <f>M14368/1.1</f>
        <v/>
      </c>
      <c r="Q14368" s="88">
        <f>F14368&amp;E14368&amp;G14368&amp;L14368</f>
        <v/>
      </c>
    </row>
    <row r="14369">
      <c r="B14369" s="128" t="n">
        <v>44223</v>
      </c>
      <c r="C14369" s="88">
        <f>TEXT(B14369,"aaa")</f>
        <v/>
      </c>
      <c r="D14369" s="94" t="n"/>
      <c r="E14369" s="88">
        <f>INDEX(매칭테이블!C:D,MATCH(RD!G14369,매칭테이블!D:D,0),1)</f>
        <v/>
      </c>
      <c r="F14369" s="94" t="inlineStr">
        <is>
          <t>카페24</t>
        </is>
      </c>
      <c r="G14369" s="94" t="inlineStr">
        <is>
          <t>어성초 80 수분 진정 앰플</t>
        </is>
      </c>
      <c r="K14369" s="94" t="n">
        <v>14</v>
      </c>
      <c r="L14369" s="88" t="n">
        <v>201208</v>
      </c>
      <c r="M14369" s="88">
        <f>VLOOKUP($Q14369,매칭테이블!$F:$I,2,0)*K14369</f>
        <v/>
      </c>
      <c r="N14369" s="88">
        <f>M14369-M14369*VLOOKUP($Q14369,매칭테이블!$F:$I,3,0)</f>
        <v/>
      </c>
      <c r="O14369" s="88">
        <f>VLOOKUP($Q14369,매칭테이블!$F:$I,4,0)*K14369</f>
        <v/>
      </c>
      <c r="P14369" s="152">
        <f>M14369/1.1</f>
        <v/>
      </c>
      <c r="Q14369" s="88">
        <f>F14369&amp;E14369&amp;G14369&amp;L14369</f>
        <v/>
      </c>
    </row>
    <row r="14370">
      <c r="B14370" s="128" t="n">
        <v>44223</v>
      </c>
      <c r="C14370" s="88">
        <f>TEXT(B14370,"aaa")</f>
        <v/>
      </c>
      <c r="D14370" s="94" t="n"/>
      <c r="E14370" s="88">
        <f>INDEX(매칭테이블!C:D,MATCH(RD!G14370,매칭테이블!D:D,0),1)</f>
        <v/>
      </c>
      <c r="F14370" s="94" t="inlineStr">
        <is>
          <t>카페24</t>
        </is>
      </c>
      <c r="G14370" s="94" t="inlineStr">
        <is>
          <t>어성초 아크네 바디워시옵션=어성초 아크네 바디워시 1개 -30% off</t>
        </is>
      </c>
      <c r="K14370" s="94" t="n">
        <v>2</v>
      </c>
      <c r="L14370" s="88" t="n">
        <v>201208</v>
      </c>
      <c r="M14370" s="88">
        <f>VLOOKUP($Q14370,매칭테이블!$F:$I,2,0)*K14370</f>
        <v/>
      </c>
      <c r="N14370" s="88">
        <f>M14370-M14370*VLOOKUP($Q14370,매칭테이블!$F:$I,3,0)</f>
        <v/>
      </c>
      <c r="O14370" s="88">
        <f>VLOOKUP($Q14370,매칭테이블!$F:$I,4,0)*K14370</f>
        <v/>
      </c>
      <c r="P14370" s="152">
        <f>M14370/1.1</f>
        <v/>
      </c>
      <c r="Q14370" s="88">
        <f>F14370&amp;E14370&amp;G14370&amp;L14370</f>
        <v/>
      </c>
    </row>
    <row r="14371">
      <c r="B14371" s="128" t="n">
        <v>44223</v>
      </c>
      <c r="C14371" s="88">
        <f>TEXT(B14371,"aaa")</f>
        <v/>
      </c>
      <c r="D14371" s="94" t="n"/>
      <c r="E14371" s="88">
        <f>INDEX(매칭테이블!C:D,MATCH(RD!G14371,매칭테이블!D:D,0),1)</f>
        <v/>
      </c>
      <c r="F14371" s="94" t="inlineStr">
        <is>
          <t>카페24</t>
        </is>
      </c>
      <c r="G14371" s="94" t="inlineStr">
        <is>
          <t>어성초 아크네 바디워시옵션=어성초 아크네 바디워시 2개 -35% off (무료배송)</t>
        </is>
      </c>
      <c r="K14371" s="94" t="n">
        <v>3</v>
      </c>
      <c r="L14371" s="88" t="n">
        <v>201208</v>
      </c>
      <c r="M14371" s="88">
        <f>VLOOKUP($Q14371,매칭테이블!$F:$I,2,0)*K14371</f>
        <v/>
      </c>
      <c r="N14371" s="88">
        <f>M14371-M14371*VLOOKUP($Q14371,매칭테이블!$F:$I,3,0)</f>
        <v/>
      </c>
      <c r="O14371" s="88">
        <f>VLOOKUP($Q14371,매칭테이블!$F:$I,4,0)*K14371</f>
        <v/>
      </c>
      <c r="P14371" s="152">
        <f>M14371/1.1</f>
        <v/>
      </c>
      <c r="Q14371" s="88">
        <f>F14371&amp;E14371&amp;G14371&amp;L14371</f>
        <v/>
      </c>
    </row>
    <row r="14372">
      <c r="B14372" s="128" t="n">
        <v>44223</v>
      </c>
      <c r="C14372" s="88">
        <f>TEXT(B14372,"aaa")</f>
        <v/>
      </c>
      <c r="D14372" s="94" t="n"/>
      <c r="E14372" s="88">
        <f>INDEX(매칭테이블!C:D,MATCH(RD!G14372,매칭테이블!D:D,0),1)</f>
        <v/>
      </c>
      <c r="F14372" s="94" t="inlineStr">
        <is>
          <t>카페24</t>
        </is>
      </c>
      <c r="G14372" s="94" t="inlineStr">
        <is>
          <t>어성초 약산성 클렌징폼클렌징폼=어성초 약산성 클렌징폼 1개 -19%off</t>
        </is>
      </c>
      <c r="K14372" s="94" t="n">
        <v>19</v>
      </c>
      <c r="L14372" s="88" t="n">
        <v>201208</v>
      </c>
      <c r="M14372" s="88">
        <f>VLOOKUP($Q14372,매칭테이블!$F:$I,2,0)*K14372</f>
        <v/>
      </c>
      <c r="N14372" s="88">
        <f>M14372-M14372*VLOOKUP($Q14372,매칭테이블!$F:$I,3,0)</f>
        <v/>
      </c>
      <c r="O14372" s="88">
        <f>VLOOKUP($Q14372,매칭테이블!$F:$I,4,0)*K14372</f>
        <v/>
      </c>
      <c r="P14372" s="152">
        <f>M14372/1.1</f>
        <v/>
      </c>
      <c r="Q14372" s="88">
        <f>F14372&amp;E14372&amp;G14372&amp;L14372</f>
        <v/>
      </c>
    </row>
    <row r="14373">
      <c r="B14373" s="128" t="n">
        <v>44223</v>
      </c>
      <c r="C14373" s="88">
        <f>TEXT(B14373,"aaa")</f>
        <v/>
      </c>
      <c r="D14373" s="94" t="n"/>
      <c r="E14373" s="88">
        <f>INDEX(매칭테이블!C:D,MATCH(RD!G14373,매칭테이블!D:D,0),1)</f>
        <v/>
      </c>
      <c r="F14373" s="94" t="inlineStr">
        <is>
          <t>카페24</t>
        </is>
      </c>
      <c r="G14373" s="94" t="inlineStr">
        <is>
          <t>어성초 약산성 클렌징폼클렌징폼=어성초 약산성 클렌징폼 2개 -25%off</t>
        </is>
      </c>
      <c r="K14373" s="94" t="n">
        <v>5</v>
      </c>
      <c r="L14373" s="88" t="n">
        <v>201208</v>
      </c>
      <c r="M14373" s="88">
        <f>VLOOKUP($Q14373,매칭테이블!$F:$I,2,0)*K14373</f>
        <v/>
      </c>
      <c r="N14373" s="88">
        <f>M14373-M14373*VLOOKUP($Q14373,매칭테이블!$F:$I,3,0)</f>
        <v/>
      </c>
      <c r="O14373" s="88">
        <f>VLOOKUP($Q14373,매칭테이블!$F:$I,4,0)*K14373</f>
        <v/>
      </c>
      <c r="P14373" s="152">
        <f>M14373/1.1</f>
        <v/>
      </c>
      <c r="Q14373" s="88">
        <f>F14373&amp;E14373&amp;G14373&amp;L14373</f>
        <v/>
      </c>
    </row>
    <row r="14374">
      <c r="B14374" s="128" t="n">
        <v>44223</v>
      </c>
      <c r="C14374" s="88">
        <f>TEXT(B14374,"aaa")</f>
        <v/>
      </c>
      <c r="D14374" s="94" t="n"/>
      <c r="E14374" s="88">
        <f>INDEX(매칭테이블!C:D,MATCH(RD!G14374,매칭테이블!D:D,0),1)</f>
        <v/>
      </c>
      <c r="F14374" s="94" t="inlineStr">
        <is>
          <t>카페24</t>
        </is>
      </c>
      <c r="G14374" s="94" t="inlineStr">
        <is>
          <t>어성초 크림마스크 나이트 솔루션옵션=어성초 크림마스크 나이트 솔루션 1장</t>
        </is>
      </c>
      <c r="K14374" s="94" t="n">
        <v>1</v>
      </c>
      <c r="L14374" s="88" t="n">
        <v>201208</v>
      </c>
      <c r="M14374" s="88">
        <f>VLOOKUP($Q14374,매칭테이블!$F:$I,2,0)*K14374</f>
        <v/>
      </c>
      <c r="N14374" s="88">
        <f>M14374-M14374*VLOOKUP($Q14374,매칭테이블!$F:$I,3,0)</f>
        <v/>
      </c>
      <c r="O14374" s="88">
        <f>VLOOKUP($Q14374,매칭테이블!$F:$I,4,0)*K14374</f>
        <v/>
      </c>
      <c r="P14374" s="152">
        <f>M14374/1.1</f>
        <v/>
      </c>
      <c r="Q14374" s="88">
        <f>F14374&amp;E14374&amp;G14374&amp;L14374</f>
        <v/>
      </c>
    </row>
    <row r="14375">
      <c r="B14375" s="128" t="n">
        <v>44223</v>
      </c>
      <c r="C14375" s="88">
        <f>TEXT(B14375,"aaa")</f>
        <v/>
      </c>
      <c r="D14375" s="94" t="n"/>
      <c r="E14375" s="88">
        <f>INDEX(매칭테이블!C:D,MATCH(RD!G14375,매칭테이블!D:D,0),1)</f>
        <v/>
      </c>
      <c r="F14375" s="94" t="inlineStr">
        <is>
          <t>카페24</t>
        </is>
      </c>
      <c r="G14375" s="94" t="inlineStr">
        <is>
          <t>자작나무 수분 마스크옵션=자작나무 수분 마스크 1장</t>
        </is>
      </c>
      <c r="K14375" s="94" t="n">
        <v>2</v>
      </c>
      <c r="L14375" s="88" t="n">
        <v>201208</v>
      </c>
      <c r="M14375" s="88">
        <f>VLOOKUP($Q14375,매칭테이블!$F:$I,2,0)*K14375</f>
        <v/>
      </c>
      <c r="N14375" s="88">
        <f>M14375-M14375*VLOOKUP($Q14375,매칭테이블!$F:$I,3,0)</f>
        <v/>
      </c>
      <c r="O14375" s="88">
        <f>VLOOKUP($Q14375,매칭테이블!$F:$I,4,0)*K14375</f>
        <v/>
      </c>
      <c r="P14375" s="152">
        <f>M14375/1.1</f>
        <v/>
      </c>
      <c r="Q14375" s="88">
        <f>F14375&amp;E14375&amp;G14375&amp;L14375</f>
        <v/>
      </c>
    </row>
    <row r="14376">
      <c r="B14376" s="128" t="n">
        <v>44223</v>
      </c>
      <c r="C14376" s="88">
        <f>TEXT(B14376,"aaa")</f>
        <v/>
      </c>
      <c r="D14376" s="94" t="n"/>
      <c r="E14376" s="88">
        <f>INDEX(매칭테이블!C:D,MATCH(RD!G14376,매칭테이블!D:D,0),1)</f>
        <v/>
      </c>
      <c r="F14376" s="94" t="inlineStr">
        <is>
          <t>카페24</t>
        </is>
      </c>
      <c r="G14376" s="94" t="inlineStr">
        <is>
          <t>자작나무 수분 마스크옵션=자작나무 수분 마스크 10장 (50% off)</t>
        </is>
      </c>
      <c r="K14376" s="94" t="n">
        <v>2</v>
      </c>
      <c r="L14376" s="88" t="n">
        <v>201208</v>
      </c>
      <c r="M14376" s="88">
        <f>VLOOKUP($Q14376,매칭테이블!$F:$I,2,0)*K14376</f>
        <v/>
      </c>
      <c r="N14376" s="88">
        <f>M14376-M14376*VLOOKUP($Q14376,매칭테이블!$F:$I,3,0)</f>
        <v/>
      </c>
      <c r="O14376" s="88">
        <f>VLOOKUP($Q14376,매칭테이블!$F:$I,4,0)*K14376</f>
        <v/>
      </c>
      <c r="P14376" s="152">
        <f>M14376/1.1</f>
        <v/>
      </c>
      <c r="Q14376" s="88">
        <f>F14376&amp;E14376&amp;G14376&amp;L14376</f>
        <v/>
      </c>
    </row>
    <row r="14377">
      <c r="B14377" s="128" t="n">
        <v>44223</v>
      </c>
      <c r="C14377" s="88">
        <f>TEXT(B14377,"aaa")</f>
        <v/>
      </c>
      <c r="D14377" s="94" t="n"/>
      <c r="E14377" s="88">
        <f>INDEX(매칭테이블!C:D,MATCH(RD!G14377,매칭테이블!D:D,0),1)</f>
        <v/>
      </c>
      <c r="F14377" s="94" t="inlineStr">
        <is>
          <t>카페24</t>
        </is>
      </c>
      <c r="G14377" s="94" t="inlineStr">
        <is>
          <t>청귤 비타 잡티 마스크옵션=청귤 비타 잡티 마스크 1장</t>
        </is>
      </c>
      <c r="K14377" s="94" t="n">
        <v>2</v>
      </c>
      <c r="L14377" s="88" t="n">
        <v>201208</v>
      </c>
      <c r="M14377" s="88">
        <f>VLOOKUP($Q14377,매칭테이블!$F:$I,2,0)*K14377</f>
        <v/>
      </c>
      <c r="N14377" s="88">
        <f>M14377-M14377*VLOOKUP($Q14377,매칭테이블!$F:$I,3,0)</f>
        <v/>
      </c>
      <c r="O14377" s="88">
        <f>VLOOKUP($Q14377,매칭테이블!$F:$I,4,0)*K14377</f>
        <v/>
      </c>
      <c r="P14377" s="152">
        <f>M14377/1.1</f>
        <v/>
      </c>
      <c r="Q14377" s="88">
        <f>F14377&amp;E14377&amp;G14377&amp;L14377</f>
        <v/>
      </c>
    </row>
    <row r="14378">
      <c r="B14378" s="128" t="n">
        <v>44223</v>
      </c>
      <c r="C14378" s="88">
        <f>TEXT(B14378,"aaa")</f>
        <v/>
      </c>
      <c r="D14378" s="94" t="n"/>
      <c r="E14378" s="88">
        <f>INDEX(매칭테이블!C:D,MATCH(RD!G14378,매칭테이블!D:D,0),1)</f>
        <v/>
      </c>
      <c r="F14378" s="94" t="inlineStr">
        <is>
          <t>카페24</t>
        </is>
      </c>
      <c r="G14378" s="94" t="inlineStr">
        <is>
          <t>촉촉 스킨팩 화장솜</t>
        </is>
      </c>
      <c r="K14378" s="94" t="n">
        <v>16</v>
      </c>
      <c r="L14378" s="88" t="n">
        <v>201208</v>
      </c>
      <c r="M14378" s="88">
        <f>VLOOKUP($Q14378,매칭테이블!$F:$I,2,0)*K14378</f>
        <v/>
      </c>
      <c r="N14378" s="88">
        <f>M14378-M14378*VLOOKUP($Q14378,매칭테이블!$F:$I,3,0)</f>
        <v/>
      </c>
      <c r="O14378" s="88">
        <f>VLOOKUP($Q14378,매칭테이블!$F:$I,4,0)*K14378</f>
        <v/>
      </c>
      <c r="P14378" s="152">
        <f>M14378/1.1</f>
        <v/>
      </c>
      <c r="Q14378" s="88">
        <f>F14378&amp;E14378&amp;G14378&amp;L14378</f>
        <v/>
      </c>
    </row>
    <row r="14379">
      <c r="B14379" s="128" t="n">
        <v>44223</v>
      </c>
      <c r="C14379" s="88">
        <f>TEXT(B14379,"aaa")</f>
        <v/>
      </c>
      <c r="D14379" s="94" t="n"/>
      <c r="E14379" s="88">
        <f>INDEX(매칭테이블!C:D,MATCH(RD!G14379,매칭테이블!D:D,0),1)</f>
        <v/>
      </c>
      <c r="F14379" s="94" t="inlineStr">
        <is>
          <t>카페24</t>
        </is>
      </c>
      <c r="G14379" s="94" t="inlineStr">
        <is>
          <t>촉촉 스킨팩 화장솜</t>
        </is>
      </c>
      <c r="K14379" s="94" t="n">
        <v>1</v>
      </c>
      <c r="L14379" s="88" t="n">
        <v>201208</v>
      </c>
      <c r="M14379" s="88">
        <f>VLOOKUP($Q14379,매칭테이블!$F:$I,2,0)*K14379</f>
        <v/>
      </c>
      <c r="N14379" s="88">
        <f>M14379-M14379*VLOOKUP($Q14379,매칭테이블!$F:$I,3,0)</f>
        <v/>
      </c>
      <c r="O14379" s="88">
        <f>VLOOKUP($Q14379,매칭테이블!$F:$I,4,0)*K14379</f>
        <v/>
      </c>
      <c r="P14379" s="152">
        <f>M14379/1.1</f>
        <v/>
      </c>
      <c r="Q14379" s="88">
        <f>F14379&amp;E14379&amp;G14379&amp;L14379</f>
        <v/>
      </c>
    </row>
    <row r="14380" customFormat="1" s="94">
      <c r="B14380" s="128" t="n">
        <v>44224</v>
      </c>
      <c r="C14380" s="88">
        <f>TEXT(B14380,"aaa")</f>
        <v/>
      </c>
      <c r="E14380" s="88">
        <f>INDEX(매칭테이블!C:D,MATCH(RD!G14380,매칭테이블!D:D,0),1)</f>
        <v/>
      </c>
      <c r="F14380" s="94" t="inlineStr">
        <is>
          <t>W컨셉</t>
        </is>
      </c>
      <c r="G14380" s="94" t="inlineStr">
        <is>
          <t>어성초 77토너 (2 SET) HEARTLEAF 77% SOOTHING TONER 250ml250ml 2set</t>
        </is>
      </c>
      <c r="K14380" s="94" t="n">
        <v>1</v>
      </c>
      <c r="L14380" s="88" t="n">
        <v>201208</v>
      </c>
      <c r="M14380" s="88">
        <f>VLOOKUP($Q14380,매칭테이블!$F:$I,2,0)*K14380</f>
        <v/>
      </c>
      <c r="N14380" s="88">
        <f>M14380-M14380*VLOOKUP($Q14380,매칭테이블!$F:$I,3,0)</f>
        <v/>
      </c>
      <c r="O14380" s="88">
        <f>VLOOKUP($Q14380,매칭테이블!$F:$I,4,0)*K14380</f>
        <v/>
      </c>
      <c r="P14380" s="152">
        <f>M14380/1.1</f>
        <v/>
      </c>
      <c r="Q14380" s="88">
        <f>F14380&amp;E14380&amp;G14380&amp;L14380</f>
        <v/>
      </c>
    </row>
    <row r="14381">
      <c r="B14381" s="128" t="n">
        <v>44224</v>
      </c>
      <c r="C14381" s="88">
        <f>TEXT(B14381,"aaa")</f>
        <v/>
      </c>
      <c r="D14381" s="94" t="n"/>
      <c r="E14381" s="88">
        <f>INDEX(매칭테이블!C:D,MATCH(RD!G14381,매칭테이블!D:D,0),1)</f>
        <v/>
      </c>
      <c r="F14381" s="94" t="inlineStr">
        <is>
          <t>카페24</t>
        </is>
      </c>
      <c r="G14381" s="94" t="inlineStr">
        <is>
          <t>5 제로 무기자차 선크림옵션=5제로 무기자차 선크림 1개-20% off</t>
        </is>
      </c>
      <c r="K14381" s="94" t="n">
        <v>4</v>
      </c>
      <c r="L14381" s="88" t="n">
        <v>201208</v>
      </c>
      <c r="M14381" s="88">
        <f>VLOOKUP($Q14381,매칭테이블!$F:$I,2,0)*K14381</f>
        <v/>
      </c>
      <c r="N14381" s="88">
        <f>M14381-M14381*VLOOKUP($Q14381,매칭테이블!$F:$I,3,0)</f>
        <v/>
      </c>
      <c r="O14381" s="88">
        <f>VLOOKUP($Q14381,매칭테이블!$F:$I,4,0)*K14381</f>
        <v/>
      </c>
      <c r="P14381" s="152">
        <f>M14381/1.1</f>
        <v/>
      </c>
      <c r="Q14381" s="88">
        <f>F14381&amp;E14381&amp;G14381&amp;L14381</f>
        <v/>
      </c>
    </row>
    <row r="14382">
      <c r="B14382" s="128" t="n">
        <v>44224</v>
      </c>
      <c r="C14382" s="88">
        <f>TEXT(B14382,"aaa")</f>
        <v/>
      </c>
      <c r="D14382" s="94" t="n"/>
      <c r="E14382" s="88">
        <f>INDEX(매칭테이블!C:D,MATCH(RD!G14382,매칭테이블!D:D,0),1)</f>
        <v/>
      </c>
      <c r="F14382" s="94" t="inlineStr">
        <is>
          <t>카페24</t>
        </is>
      </c>
      <c r="G14382" s="94" t="inlineStr">
        <is>
          <t>5 제로 무기자차 선크림옵션=5제로 무기자차 선크림 2개-30% off (무료배송)</t>
        </is>
      </c>
      <c r="K14382" s="94" t="n">
        <v>1</v>
      </c>
      <c r="L14382" s="88" t="n">
        <v>201208</v>
      </c>
      <c r="M14382" s="88">
        <f>VLOOKUP($Q14382,매칭테이블!$F:$I,2,0)*K14382</f>
        <v/>
      </c>
      <c r="N14382" s="88">
        <f>M14382-M14382*VLOOKUP($Q14382,매칭테이블!$F:$I,3,0)</f>
        <v/>
      </c>
      <c r="O14382" s="88">
        <f>VLOOKUP($Q14382,매칭테이블!$F:$I,4,0)*K14382</f>
        <v/>
      </c>
      <c r="P14382" s="152">
        <f>M14382/1.1</f>
        <v/>
      </c>
      <c r="Q14382" s="88">
        <f>F14382&amp;E14382&amp;G14382&amp;L14382</f>
        <v/>
      </c>
    </row>
    <row r="14383">
      <c r="B14383" s="128" t="n">
        <v>44224</v>
      </c>
      <c r="C14383" s="88">
        <f>TEXT(B14383,"aaa")</f>
        <v/>
      </c>
      <c r="D14383" s="94" t="n"/>
      <c r="E14383" s="88">
        <f>INDEX(매칭테이블!C:D,MATCH(RD!G14383,매칭테이블!D:D,0),1)</f>
        <v/>
      </c>
      <c r="F14383" s="94" t="inlineStr">
        <is>
          <t>카페24</t>
        </is>
      </c>
      <c r="G14383" s="94" t="inlineStr">
        <is>
          <t>[01/27 순차발송] 어성초 77 클리어 패드옵션=어성초77토너1개+어성초77패드1개-30% off (무료배송)</t>
        </is>
      </c>
      <c r="K14383" s="94" t="n">
        <v>1</v>
      </c>
      <c r="L14383" s="88" t="n">
        <v>201208</v>
      </c>
      <c r="M14383" s="88">
        <f>VLOOKUP($Q14383,매칭테이블!$F:$I,2,0)*K14383</f>
        <v/>
      </c>
      <c r="N14383" s="88">
        <f>M14383-M14383*VLOOKUP($Q14383,매칭테이블!$F:$I,3,0)</f>
        <v/>
      </c>
      <c r="O14383" s="88">
        <f>VLOOKUP($Q14383,매칭테이블!$F:$I,4,0)*K14383</f>
        <v/>
      </c>
      <c r="P14383" s="152">
        <f>M14383/1.1</f>
        <v/>
      </c>
      <c r="Q14383" s="88">
        <f>F14383&amp;E14383&amp;G14383&amp;L14383</f>
        <v/>
      </c>
    </row>
    <row r="14384">
      <c r="B14384" s="128" t="n">
        <v>44224</v>
      </c>
      <c r="C14384" s="88">
        <f>TEXT(B14384,"aaa")</f>
        <v/>
      </c>
      <c r="D14384" s="94" t="n"/>
      <c r="E14384" s="88">
        <f>INDEX(매칭테이블!C:D,MATCH(RD!G14384,매칭테이블!D:D,0),1)</f>
        <v/>
      </c>
      <c r="F14384" s="94" t="inlineStr">
        <is>
          <t>카페24</t>
        </is>
      </c>
      <c r="G14384" s="94" t="inlineStr">
        <is>
          <t>[01/27 순차발송] 어성초 77% 패드옵션=어성초 77 클리어 패드 1개-20% off</t>
        </is>
      </c>
      <c r="K14384" s="94" t="n">
        <v>1</v>
      </c>
      <c r="L14384" s="88" t="n">
        <v>201208</v>
      </c>
      <c r="M14384" s="88">
        <f>VLOOKUP($Q14384,매칭테이블!$F:$I,2,0)*K14384</f>
        <v/>
      </c>
      <c r="N14384" s="88">
        <f>M14384-M14384*VLOOKUP($Q14384,매칭테이블!$F:$I,3,0)</f>
        <v/>
      </c>
      <c r="O14384" s="88">
        <f>VLOOKUP($Q14384,매칭테이블!$F:$I,4,0)*K14384</f>
        <v/>
      </c>
      <c r="P14384" s="152">
        <f>M14384/1.1</f>
        <v/>
      </c>
      <c r="Q14384" s="88">
        <f>F14384&amp;E14384&amp;G14384&amp;L14384</f>
        <v/>
      </c>
    </row>
    <row r="14385">
      <c r="B14385" s="128" t="n">
        <v>44224</v>
      </c>
      <c r="C14385" s="88">
        <f>TEXT(B14385,"aaa")</f>
        <v/>
      </c>
      <c r="D14385" s="94" t="n"/>
      <c r="E14385" s="88">
        <f>INDEX(매칭테이블!C:D,MATCH(RD!G14385,매칭테이블!D:D,0),1)</f>
        <v/>
      </c>
      <c r="F14385" s="94" t="inlineStr">
        <is>
          <t>카페24</t>
        </is>
      </c>
      <c r="G14385" s="94" t="inlineStr">
        <is>
          <t>[01/27 순차발송] 어성초 77% 패드옵션=어성초 77 클리어 패드 2+1 EVENT (무료배송)</t>
        </is>
      </c>
      <c r="K14385" s="94" t="n">
        <v>1</v>
      </c>
      <c r="L14385" s="88" t="n">
        <v>201208</v>
      </c>
      <c r="M14385" s="88">
        <f>VLOOKUP($Q14385,매칭테이블!$F:$I,2,0)*K14385</f>
        <v/>
      </c>
      <c r="N14385" s="88">
        <f>M14385-M14385*VLOOKUP($Q14385,매칭테이블!$F:$I,3,0)</f>
        <v/>
      </c>
      <c r="O14385" s="88">
        <f>VLOOKUP($Q14385,매칭테이블!$F:$I,4,0)*K14385</f>
        <v/>
      </c>
      <c r="P14385" s="152">
        <f>M14385/1.1</f>
        <v/>
      </c>
      <c r="Q14385" s="88">
        <f>F14385&amp;E14385&amp;G14385&amp;L14385</f>
        <v/>
      </c>
    </row>
    <row r="14386">
      <c r="B14386" s="128" t="n">
        <v>44224</v>
      </c>
      <c r="C14386" s="88">
        <f>TEXT(B14386,"aaa")</f>
        <v/>
      </c>
      <c r="D14386" s="94" t="n"/>
      <c r="E14386" s="88">
        <f>INDEX(매칭테이블!C:D,MATCH(RD!G14386,매칭테이블!D:D,0),1)</f>
        <v/>
      </c>
      <c r="F14386" s="94" t="inlineStr">
        <is>
          <t>카페24</t>
        </is>
      </c>
      <c r="G14386" s="94" t="inlineStr">
        <is>
          <t>[수분 보충 세트] 어성초 77 토너 + 어성초 70 로션옵션=어성초 77 토너 250ml + 어성초 70 로션 200ml -30%</t>
        </is>
      </c>
      <c r="K14386" s="94" t="n">
        <v>59</v>
      </c>
      <c r="L14386" s="88" t="n">
        <v>201208</v>
      </c>
      <c r="M14386" s="88">
        <f>VLOOKUP($Q14386,매칭테이블!$F:$I,2,0)*K14386</f>
        <v/>
      </c>
      <c r="N14386" s="88">
        <f>M14386-M14386*VLOOKUP($Q14386,매칭테이블!$F:$I,3,0)</f>
        <v/>
      </c>
      <c r="O14386" s="88">
        <f>VLOOKUP($Q14386,매칭테이블!$F:$I,4,0)*K14386</f>
        <v/>
      </c>
      <c r="P14386" s="152">
        <f>M14386/1.1</f>
        <v/>
      </c>
      <c r="Q14386" s="88">
        <f>F14386&amp;E14386&amp;G14386&amp;L14386</f>
        <v/>
      </c>
    </row>
    <row r="14387">
      <c r="B14387" s="128" t="n">
        <v>44224</v>
      </c>
      <c r="C14387" s="88">
        <f>TEXT(B14387,"aaa")</f>
        <v/>
      </c>
      <c r="D14387" s="94" t="n"/>
      <c r="E14387" s="88">
        <f>INDEX(매칭테이블!C:D,MATCH(RD!G14387,매칭테이블!D:D,0),1)</f>
        <v/>
      </c>
      <c r="F14387" s="94" t="inlineStr">
        <is>
          <t>카페24</t>
        </is>
      </c>
      <c r="G14387" s="94" t="inlineStr">
        <is>
          <t>[어성초 진정 패키지 세트] 대용량 토너 + 앰플 + 수딩 크림 + 마스크팩 10장</t>
        </is>
      </c>
      <c r="K14387" s="94" t="n">
        <v>5</v>
      </c>
      <c r="L14387" s="88" t="n">
        <v>201208</v>
      </c>
      <c r="M14387" s="88">
        <f>VLOOKUP($Q14387,매칭테이블!$F:$I,2,0)*K14387</f>
        <v/>
      </c>
      <c r="N14387" s="88">
        <f>M14387-M14387*VLOOKUP($Q14387,매칭테이블!$F:$I,3,0)</f>
        <v/>
      </c>
      <c r="O14387" s="88">
        <f>VLOOKUP($Q14387,매칭테이블!$F:$I,4,0)*K14387</f>
        <v/>
      </c>
      <c r="P14387" s="152">
        <f>M14387/1.1</f>
        <v/>
      </c>
      <c r="Q14387" s="88">
        <f>F14387&amp;E14387&amp;G14387&amp;L14387</f>
        <v/>
      </c>
    </row>
    <row r="14388">
      <c r="B14388" s="128" t="n">
        <v>44224</v>
      </c>
      <c r="C14388" s="88">
        <f>TEXT(B14388,"aaa")</f>
        <v/>
      </c>
      <c r="D14388" s="94" t="n"/>
      <c r="E14388" s="88">
        <f>INDEX(매칭테이블!C:D,MATCH(RD!G14388,매칭테이블!D:D,0),1)</f>
        <v/>
      </c>
      <c r="F14388" s="94" t="inlineStr">
        <is>
          <t>카페24</t>
        </is>
      </c>
      <c r="G14388" s="94" t="inlineStr">
        <is>
          <t>[플친단독] 어성초 80 수분 진정 앰플옵션=어성초 80 앰플 1개 - 28%off</t>
        </is>
      </c>
      <c r="K14388" s="94" t="n">
        <v>1</v>
      </c>
      <c r="L14388" s="88" t="n">
        <v>201208</v>
      </c>
      <c r="M14388" s="88">
        <f>VLOOKUP($Q14388,매칭테이블!$F:$I,2,0)*K14388</f>
        <v/>
      </c>
      <c r="N14388" s="88">
        <f>M14388-M14388*VLOOKUP($Q14388,매칭테이블!$F:$I,3,0)</f>
        <v/>
      </c>
      <c r="O14388" s="88">
        <f>VLOOKUP($Q14388,매칭테이블!$F:$I,4,0)*K14388</f>
        <v/>
      </c>
      <c r="P14388" s="152">
        <f>M14388/1.1</f>
        <v/>
      </c>
      <c r="Q14388" s="88">
        <f>F14388&amp;E14388&amp;G14388&amp;L14388</f>
        <v/>
      </c>
    </row>
    <row r="14389">
      <c r="B14389" s="128" t="n">
        <v>44224</v>
      </c>
      <c r="C14389" s="88">
        <f>TEXT(B14389,"aaa")</f>
        <v/>
      </c>
      <c r="D14389" s="94" t="n"/>
      <c r="E14389" s="88">
        <f>INDEX(매칭테이블!C:D,MATCH(RD!G14389,매칭테이블!D:D,0),1)</f>
        <v/>
      </c>
      <c r="F14389" s="94" t="inlineStr">
        <is>
          <t>카페24</t>
        </is>
      </c>
      <c r="G14389" s="94" t="inlineStr">
        <is>
          <t>대용량 어성초 77 수딩 토너 500ml옵션=대용량 어성초 77 토너 1개 - 27% OFF</t>
        </is>
      </c>
      <c r="K14389" s="94" t="n">
        <v>40</v>
      </c>
      <c r="L14389" s="88" t="n">
        <v>201208</v>
      </c>
      <c r="M14389" s="88">
        <f>VLOOKUP($Q14389,매칭테이블!$F:$I,2,0)*K14389</f>
        <v/>
      </c>
      <c r="N14389" s="88">
        <f>M14389-M14389*VLOOKUP($Q14389,매칭테이블!$F:$I,3,0)</f>
        <v/>
      </c>
      <c r="O14389" s="88">
        <f>VLOOKUP($Q14389,매칭테이블!$F:$I,4,0)*K14389</f>
        <v/>
      </c>
      <c r="P14389" s="152">
        <f>M14389/1.1</f>
        <v/>
      </c>
      <c r="Q14389" s="88">
        <f>F14389&amp;E14389&amp;G14389&amp;L14389</f>
        <v/>
      </c>
    </row>
    <row r="14390">
      <c r="B14390" s="128" t="n">
        <v>44224</v>
      </c>
      <c r="C14390" s="88">
        <f>TEXT(B14390,"aaa")</f>
        <v/>
      </c>
      <c r="D14390" s="94" t="n"/>
      <c r="E14390" s="88">
        <f>INDEX(매칭테이블!C:D,MATCH(RD!G14390,매칭테이블!D:D,0),1)</f>
        <v/>
      </c>
      <c r="F14390" s="94" t="inlineStr">
        <is>
          <t>카페24</t>
        </is>
      </c>
      <c r="G14390" s="94" t="inlineStr">
        <is>
          <t>대용량 어성초 77 수딩 토너 500ml화장솜(선택)=촉촉 스킨팩 화장솜</t>
        </is>
      </c>
      <c r="K14390" s="94" t="n">
        <v>9</v>
      </c>
      <c r="L14390" s="88" t="n">
        <v>201208</v>
      </c>
      <c r="M14390" s="88">
        <f>VLOOKUP($Q14390,매칭테이블!$F:$I,2,0)*K14390</f>
        <v/>
      </c>
      <c r="N14390" s="88">
        <f>M14390-M14390*VLOOKUP($Q14390,매칭테이블!$F:$I,3,0)</f>
        <v/>
      </c>
      <c r="O14390" s="88">
        <f>VLOOKUP($Q14390,매칭테이블!$F:$I,4,0)*K14390</f>
        <v/>
      </c>
      <c r="P14390" s="152">
        <f>M14390/1.1</f>
        <v/>
      </c>
      <c r="Q14390" s="88">
        <f>F14390&amp;E14390&amp;G14390&amp;L14390</f>
        <v/>
      </c>
    </row>
    <row r="14391">
      <c r="B14391" s="128" t="n">
        <v>44224</v>
      </c>
      <c r="C14391" s="88">
        <f>TEXT(B14391,"aaa")</f>
        <v/>
      </c>
      <c r="D14391" s="94" t="n"/>
      <c r="E14391" s="88">
        <f>INDEX(매칭테이블!C:D,MATCH(RD!G14391,매칭테이블!D:D,0),1)</f>
        <v/>
      </c>
      <c r="F14391" s="94" t="inlineStr">
        <is>
          <t>카페24</t>
        </is>
      </c>
      <c r="G14391" s="94" t="inlineStr">
        <is>
          <t>어성초 70 데일리 릴리프 로션로션=어성초 70 데일리 릴리프 로션 1개 -20% off</t>
        </is>
      </c>
      <c r="K14391" s="94" t="n">
        <v>10</v>
      </c>
      <c r="L14391" s="88" t="n">
        <v>201208</v>
      </c>
      <c r="M14391" s="88">
        <f>VLOOKUP($Q14391,매칭테이블!$F:$I,2,0)*K14391</f>
        <v/>
      </c>
      <c r="N14391" s="88">
        <f>M14391-M14391*VLOOKUP($Q14391,매칭테이블!$F:$I,3,0)</f>
        <v/>
      </c>
      <c r="O14391" s="88">
        <f>VLOOKUP($Q14391,매칭테이블!$F:$I,4,0)*K14391</f>
        <v/>
      </c>
      <c r="P14391" s="152">
        <f>M14391/1.1</f>
        <v/>
      </c>
      <c r="Q14391" s="88">
        <f>F14391&amp;E14391&amp;G14391&amp;L14391</f>
        <v/>
      </c>
    </row>
    <row r="14392">
      <c r="B14392" s="128" t="n">
        <v>44224</v>
      </c>
      <c r="C14392" s="88">
        <f>TEXT(B14392,"aaa")</f>
        <v/>
      </c>
      <c r="D14392" s="94" t="n"/>
      <c r="E14392" s="88">
        <f>INDEX(매칭테이블!C:D,MATCH(RD!G14392,매칭테이블!D:D,0),1)</f>
        <v/>
      </c>
      <c r="F14392" s="94" t="inlineStr">
        <is>
          <t>카페24</t>
        </is>
      </c>
      <c r="G14392" s="94" t="inlineStr">
        <is>
          <t>어성초 70 데일리 릴리프 로션로션=어성초 70 데일리 릴리프 로션 2개 -30% off</t>
        </is>
      </c>
      <c r="K14392" s="94" t="n">
        <v>2</v>
      </c>
      <c r="L14392" s="88" t="n">
        <v>201208</v>
      </c>
      <c r="M14392" s="88">
        <f>VLOOKUP($Q14392,매칭테이블!$F:$I,2,0)*K14392</f>
        <v/>
      </c>
      <c r="N14392" s="88">
        <f>M14392-M14392*VLOOKUP($Q14392,매칭테이블!$F:$I,3,0)</f>
        <v/>
      </c>
      <c r="O14392" s="88">
        <f>VLOOKUP($Q14392,매칭테이블!$F:$I,4,0)*K14392</f>
        <v/>
      </c>
      <c r="P14392" s="152">
        <f>M14392/1.1</f>
        <v/>
      </c>
      <c r="Q14392" s="88">
        <f>F14392&amp;E14392&amp;G14392&amp;L14392</f>
        <v/>
      </c>
    </row>
    <row r="14393">
      <c r="B14393" s="128" t="n">
        <v>44224</v>
      </c>
      <c r="C14393" s="88">
        <f>TEXT(B14393,"aaa")</f>
        <v/>
      </c>
      <c r="D14393" s="94" t="n"/>
      <c r="E14393" s="88">
        <f>INDEX(매칭테이블!C:D,MATCH(RD!G14393,매칭테이블!D:D,0),1)</f>
        <v/>
      </c>
      <c r="F14393" s="94" t="inlineStr">
        <is>
          <t>카페24</t>
        </is>
      </c>
      <c r="G14393" s="94" t="inlineStr">
        <is>
          <t>어성초 70 데일리 릴리프 로션로션=어성초 77토너 + 어성초 70 로션 수분 보충 세트 -30% off</t>
        </is>
      </c>
      <c r="K14393" s="94" t="n">
        <v>3</v>
      </c>
      <c r="L14393" s="88" t="n">
        <v>201208</v>
      </c>
      <c r="M14393" s="88">
        <f>VLOOKUP($Q14393,매칭테이블!$F:$I,2,0)*K14393</f>
        <v/>
      </c>
      <c r="N14393" s="88">
        <f>M14393-M14393*VLOOKUP($Q14393,매칭테이블!$F:$I,3,0)</f>
        <v/>
      </c>
      <c r="O14393" s="88">
        <f>VLOOKUP($Q14393,매칭테이블!$F:$I,4,0)*K14393</f>
        <v/>
      </c>
      <c r="P14393" s="152">
        <f>M14393/1.1</f>
        <v/>
      </c>
      <c r="Q14393" s="88">
        <f>F14393&amp;E14393&amp;G14393&amp;L14393</f>
        <v/>
      </c>
    </row>
    <row r="14394">
      <c r="B14394" s="128" t="n">
        <v>44224</v>
      </c>
      <c r="C14394" s="88">
        <f>TEXT(B14394,"aaa")</f>
        <v/>
      </c>
      <c r="D14394" s="94" t="n"/>
      <c r="E14394" s="88">
        <f>INDEX(매칭테이블!C:D,MATCH(RD!G14394,매칭테이블!D:D,0),1)</f>
        <v/>
      </c>
      <c r="F14394" s="94" t="inlineStr">
        <is>
          <t>카페24</t>
        </is>
      </c>
      <c r="G14394" s="94" t="inlineStr">
        <is>
          <t>어성초 70 머드 크림 마스크옵션=어성초 70 머드 크림 마스크-20% off</t>
        </is>
      </c>
      <c r="K14394" s="94" t="n">
        <v>3</v>
      </c>
      <c r="L14394" s="88" t="n">
        <v>201208</v>
      </c>
      <c r="M14394" s="88">
        <f>VLOOKUP($Q14394,매칭테이블!$F:$I,2,0)*K14394</f>
        <v/>
      </c>
      <c r="N14394" s="88">
        <f>M14394-M14394*VLOOKUP($Q14394,매칭테이블!$F:$I,3,0)</f>
        <v/>
      </c>
      <c r="O14394" s="88">
        <f>VLOOKUP($Q14394,매칭테이블!$F:$I,4,0)*K14394</f>
        <v/>
      </c>
      <c r="P14394" s="152">
        <f>M14394/1.1</f>
        <v/>
      </c>
      <c r="Q14394" s="88">
        <f>F14394&amp;E14394&amp;G14394&amp;L14394</f>
        <v/>
      </c>
    </row>
    <row r="14395">
      <c r="B14395" s="128" t="n">
        <v>44224</v>
      </c>
      <c r="C14395" s="88">
        <f>TEXT(B14395,"aaa")</f>
        <v/>
      </c>
      <c r="D14395" s="94" t="n"/>
      <c r="E14395" s="88">
        <f>INDEX(매칭테이블!C:D,MATCH(RD!G14395,매칭테이블!D:D,0),1)</f>
        <v/>
      </c>
      <c r="F14395" s="94" t="inlineStr">
        <is>
          <t>카페24</t>
        </is>
      </c>
      <c r="G14395" s="94" t="inlineStr">
        <is>
          <t>어성초 70 인텐스 카밍 크림크림=어성초 70 인텐스 카밍 크림 1개 (-20%)</t>
        </is>
      </c>
      <c r="K14395" s="94" t="n">
        <v>4</v>
      </c>
      <c r="L14395" s="88" t="n">
        <v>201208</v>
      </c>
      <c r="M14395" s="88">
        <f>VLOOKUP($Q14395,매칭테이블!$F:$I,2,0)*K14395</f>
        <v/>
      </c>
      <c r="N14395" s="88">
        <f>M14395-M14395*VLOOKUP($Q14395,매칭테이블!$F:$I,3,0)</f>
        <v/>
      </c>
      <c r="O14395" s="88">
        <f>VLOOKUP($Q14395,매칭테이블!$F:$I,4,0)*K14395</f>
        <v/>
      </c>
      <c r="P14395" s="152">
        <f>M14395/1.1</f>
        <v/>
      </c>
      <c r="Q14395" s="88">
        <f>F14395&amp;E14395&amp;G14395&amp;L14395</f>
        <v/>
      </c>
    </row>
    <row r="14396">
      <c r="B14396" s="128" t="n">
        <v>44224</v>
      </c>
      <c r="C14396" s="88">
        <f>TEXT(B14396,"aaa")</f>
        <v/>
      </c>
      <c r="D14396" s="94" t="n"/>
      <c r="E14396" s="88">
        <f>INDEX(매칭테이블!C:D,MATCH(RD!G14396,매칭테이블!D:D,0),1)</f>
        <v/>
      </c>
      <c r="F14396" s="94" t="inlineStr">
        <is>
          <t>카페24</t>
        </is>
      </c>
      <c r="G14396" s="94" t="inlineStr">
        <is>
          <t>어성초 70 인텐스 카밍 크림크림=어성초 70 인텐스 카밍 크림 2개 (-30%)</t>
        </is>
      </c>
      <c r="K14396" s="94" t="n">
        <v>2</v>
      </c>
      <c r="L14396" s="88" t="n">
        <v>201208</v>
      </c>
      <c r="M14396" s="88">
        <f>VLOOKUP($Q14396,매칭테이블!$F:$I,2,0)*K14396</f>
        <v/>
      </c>
      <c r="N14396" s="88">
        <f>M14396-M14396*VLOOKUP($Q14396,매칭테이블!$F:$I,3,0)</f>
        <v/>
      </c>
      <c r="O14396" s="88">
        <f>VLOOKUP($Q14396,매칭테이블!$F:$I,4,0)*K14396</f>
        <v/>
      </c>
      <c r="P14396" s="152">
        <f>M14396/1.1</f>
        <v/>
      </c>
      <c r="Q14396" s="88">
        <f>F14396&amp;E14396&amp;G14396&amp;L14396</f>
        <v/>
      </c>
    </row>
    <row r="14397">
      <c r="B14397" s="128" t="n">
        <v>44224</v>
      </c>
      <c r="C14397" s="88">
        <f>TEXT(B14397,"aaa")</f>
        <v/>
      </c>
      <c r="D14397" s="94" t="n"/>
      <c r="E14397" s="88">
        <f>INDEX(매칭테이블!C:D,MATCH(RD!G14397,매칭테이블!D:D,0),1)</f>
        <v/>
      </c>
      <c r="F14397" s="94" t="inlineStr">
        <is>
          <t>카페24</t>
        </is>
      </c>
      <c r="G14397" s="94" t="inlineStr">
        <is>
          <t>어성초 70 인텐스 카밍 크림크림=어성초 토너 250ml + 카밍 크림 50ml (-30%)</t>
        </is>
      </c>
      <c r="K14397" s="94" t="n">
        <v>2</v>
      </c>
      <c r="L14397" s="88" t="n">
        <v>201208</v>
      </c>
      <c r="M14397" s="88">
        <f>VLOOKUP($Q14397,매칭테이블!$F:$I,2,0)*K14397</f>
        <v/>
      </c>
      <c r="N14397" s="88">
        <f>M14397-M14397*VLOOKUP($Q14397,매칭테이블!$F:$I,3,0)</f>
        <v/>
      </c>
      <c r="O14397" s="88">
        <f>VLOOKUP($Q14397,매칭테이블!$F:$I,4,0)*K14397</f>
        <v/>
      </c>
      <c r="P14397" s="152">
        <f>M14397/1.1</f>
        <v/>
      </c>
      <c r="Q14397" s="88">
        <f>F14397&amp;E14397&amp;G14397&amp;L14397</f>
        <v/>
      </c>
    </row>
    <row r="14398">
      <c r="B14398" s="128" t="n">
        <v>44224</v>
      </c>
      <c r="C14398" s="88">
        <f>TEXT(B14398,"aaa")</f>
        <v/>
      </c>
      <c r="D14398" s="94" t="n"/>
      <c r="E14398" s="88">
        <f>INDEX(매칭테이블!C:D,MATCH(RD!G14398,매칭테이블!D:D,0),1)</f>
        <v/>
      </c>
      <c r="F14398" s="94" t="inlineStr">
        <is>
          <t>카페24</t>
        </is>
      </c>
      <c r="G14398" s="94" t="inlineStr">
        <is>
          <t>어성초 77 수딩 토너옵션=어성초 77 토너 1개-20% off</t>
        </is>
      </c>
      <c r="K14398" s="94" t="n">
        <v>112</v>
      </c>
      <c r="L14398" s="88" t="n">
        <v>201208</v>
      </c>
      <c r="M14398" s="88">
        <f>VLOOKUP($Q14398,매칭테이블!$F:$I,2,0)*K14398</f>
        <v/>
      </c>
      <c r="N14398" s="88">
        <f>M14398-M14398*VLOOKUP($Q14398,매칭테이블!$F:$I,3,0)</f>
        <v/>
      </c>
      <c r="O14398" s="88">
        <f>VLOOKUP($Q14398,매칭테이블!$F:$I,4,0)*K14398</f>
        <v/>
      </c>
      <c r="P14398" s="152">
        <f>M14398/1.1</f>
        <v/>
      </c>
      <c r="Q14398" s="88">
        <f>F14398&amp;E14398&amp;G14398&amp;L14398</f>
        <v/>
      </c>
    </row>
    <row r="14399">
      <c r="B14399" s="128" t="n">
        <v>44224</v>
      </c>
      <c r="C14399" s="88">
        <f>TEXT(B14399,"aaa")</f>
        <v/>
      </c>
      <c r="D14399" s="94" t="n"/>
      <c r="E14399" s="88">
        <f>INDEX(매칭테이블!C:D,MATCH(RD!G14399,매칭테이블!D:D,0),1)</f>
        <v/>
      </c>
      <c r="F14399" s="94" t="inlineStr">
        <is>
          <t>카페24</t>
        </is>
      </c>
      <c r="G14399" s="94" t="inlineStr">
        <is>
          <t>어성초 77 수딩 토너옵션=BEST어성초 77 토너 2개-30% off (무료배송)</t>
        </is>
      </c>
      <c r="K14399" s="94" t="n">
        <v>91</v>
      </c>
      <c r="L14399" s="88" t="n">
        <v>201208</v>
      </c>
      <c r="M14399" s="88">
        <f>VLOOKUP($Q14399,매칭테이블!$F:$I,2,0)*K14399</f>
        <v/>
      </c>
      <c r="N14399" s="88">
        <f>M14399-M14399*VLOOKUP($Q14399,매칭테이블!$F:$I,3,0)</f>
        <v/>
      </c>
      <c r="O14399" s="88">
        <f>VLOOKUP($Q14399,매칭테이블!$F:$I,4,0)*K14399</f>
        <v/>
      </c>
      <c r="P14399" s="152">
        <f>M14399/1.1</f>
        <v/>
      </c>
      <c r="Q14399" s="88">
        <f>F14399&amp;E14399&amp;G14399&amp;L14399</f>
        <v/>
      </c>
    </row>
    <row r="14400">
      <c r="B14400" s="128" t="n">
        <v>44224</v>
      </c>
      <c r="C14400" s="88">
        <f>TEXT(B14400,"aaa")</f>
        <v/>
      </c>
      <c r="D14400" s="94" t="n"/>
      <c r="E14400" s="88">
        <f>INDEX(매칭테이블!C:D,MATCH(RD!G14400,매칭테이블!D:D,0),1)</f>
        <v/>
      </c>
      <c r="F14400" s="94" t="inlineStr">
        <is>
          <t>카페24</t>
        </is>
      </c>
      <c r="G14400" s="94" t="inlineStr">
        <is>
          <t>어성초 77 수딩 토너옵션=어성초 77토너1개 + 어성초77패드1개 -30% off (무료배송)</t>
        </is>
      </c>
      <c r="K14400" s="94" t="n">
        <v>46</v>
      </c>
      <c r="L14400" s="88" t="n">
        <v>201208</v>
      </c>
      <c r="M14400" s="88">
        <f>VLOOKUP($Q14400,매칭테이블!$F:$I,2,0)*K14400</f>
        <v/>
      </c>
      <c r="N14400" s="88">
        <f>M14400-M14400*VLOOKUP($Q14400,매칭테이블!$F:$I,3,0)</f>
        <v/>
      </c>
      <c r="O14400" s="88">
        <f>VLOOKUP($Q14400,매칭테이블!$F:$I,4,0)*K14400</f>
        <v/>
      </c>
      <c r="P14400" s="152">
        <f>M14400/1.1</f>
        <v/>
      </c>
      <c r="Q14400" s="88">
        <f>F14400&amp;E14400&amp;G14400&amp;L14400</f>
        <v/>
      </c>
    </row>
    <row r="14401">
      <c r="B14401" s="128" t="n">
        <v>44224</v>
      </c>
      <c r="C14401" s="88">
        <f>TEXT(B14401,"aaa")</f>
        <v/>
      </c>
      <c r="D14401" s="94" t="n"/>
      <c r="E14401" s="88">
        <f>INDEX(매칭테이블!C:D,MATCH(RD!G14401,매칭테이블!D:D,0),1)</f>
        <v/>
      </c>
      <c r="F14401" s="94" t="inlineStr">
        <is>
          <t>카페24</t>
        </is>
      </c>
      <c r="G14401" s="94" t="inlineStr">
        <is>
          <t>어성초 77 수딩 토너화장솜(선택)=촉촉 스킨팩 화장솜</t>
        </is>
      </c>
      <c r="K14401" s="94" t="n">
        <v>86</v>
      </c>
      <c r="L14401" s="88" t="n">
        <v>201208</v>
      </c>
      <c r="M14401" s="88">
        <f>VLOOKUP($Q14401,매칭테이블!$F:$I,2,0)*K14401</f>
        <v/>
      </c>
      <c r="N14401" s="88">
        <f>M14401-M14401*VLOOKUP($Q14401,매칭테이블!$F:$I,3,0)</f>
        <v/>
      </c>
      <c r="O14401" s="88">
        <f>VLOOKUP($Q14401,매칭테이블!$F:$I,4,0)*K14401</f>
        <v/>
      </c>
      <c r="P14401" s="152">
        <f>M14401/1.1</f>
        <v/>
      </c>
      <c r="Q14401" s="88">
        <f>F14401&amp;E14401&amp;G14401&amp;L14401</f>
        <v/>
      </c>
    </row>
    <row r="14402">
      <c r="B14402" s="128" t="n">
        <v>44224</v>
      </c>
      <c r="C14402" s="88">
        <f>TEXT(B14402,"aaa")</f>
        <v/>
      </c>
      <c r="D14402" s="94" t="n"/>
      <c r="E14402" s="88">
        <f>INDEX(매칭테이블!C:D,MATCH(RD!G14402,매칭테이블!D:D,0),1)</f>
        <v/>
      </c>
      <c r="F14402" s="94" t="inlineStr">
        <is>
          <t>카페24</t>
        </is>
      </c>
      <c r="G14402" s="94" t="inlineStr">
        <is>
          <t>어성초 77 수딩 토너토너(필수)=어성초 77 토너 2개-30% off (무료배송)</t>
        </is>
      </c>
      <c r="K14402" s="94" t="n">
        <v>1</v>
      </c>
      <c r="L14402" s="88" t="n">
        <v>201208</v>
      </c>
      <c r="M14402" s="88">
        <f>VLOOKUP($Q14402,매칭테이블!$F:$I,2,0)*K14402</f>
        <v/>
      </c>
      <c r="N14402" s="88">
        <f>M14402-M14402*VLOOKUP($Q14402,매칭테이블!$F:$I,3,0)</f>
        <v/>
      </c>
      <c r="O14402" s="88">
        <f>VLOOKUP($Q14402,매칭테이블!$F:$I,4,0)*K14402</f>
        <v/>
      </c>
      <c r="P14402" s="152">
        <f>M14402/1.1</f>
        <v/>
      </c>
      <c r="Q14402" s="88">
        <f>F14402&amp;E14402&amp;G14402&amp;L14402</f>
        <v/>
      </c>
    </row>
    <row r="14403">
      <c r="B14403" s="128" t="n">
        <v>44224</v>
      </c>
      <c r="C14403" s="88">
        <f>TEXT(B14403,"aaa")</f>
        <v/>
      </c>
      <c r="D14403" s="94" t="n"/>
      <c r="E14403" s="88">
        <f>INDEX(매칭테이블!C:D,MATCH(RD!G14403,매칭테이블!D:D,0),1)</f>
        <v/>
      </c>
      <c r="F14403" s="94" t="inlineStr">
        <is>
          <t>카페24</t>
        </is>
      </c>
      <c r="G14403" s="94" t="inlineStr">
        <is>
          <t>어성초 77 수딩 토너토너(필수)=(대용량) 어성초 77 토너 500ml (무료배송)</t>
        </is>
      </c>
      <c r="K14403" s="94" t="n">
        <v>1</v>
      </c>
      <c r="L14403" s="88" t="n">
        <v>201208</v>
      </c>
      <c r="M14403" s="88">
        <f>VLOOKUP($Q14403,매칭테이블!$F:$I,2,0)*K14403</f>
        <v/>
      </c>
      <c r="N14403" s="88">
        <f>M14403-M14403*VLOOKUP($Q14403,매칭테이블!$F:$I,3,0)</f>
        <v/>
      </c>
      <c r="O14403" s="88">
        <f>VLOOKUP($Q14403,매칭테이블!$F:$I,4,0)*K14403</f>
        <v/>
      </c>
      <c r="P14403" s="152">
        <f>M14403/1.1</f>
        <v/>
      </c>
      <c r="Q14403" s="88">
        <f>F14403&amp;E14403&amp;G14403&amp;L14403</f>
        <v/>
      </c>
    </row>
    <row r="14404">
      <c r="B14404" s="128" t="n">
        <v>44224</v>
      </c>
      <c r="C14404" s="88">
        <f>TEXT(B14404,"aaa")</f>
        <v/>
      </c>
      <c r="D14404" s="94" t="n"/>
      <c r="E14404" s="88">
        <f>INDEX(매칭테이블!C:D,MATCH(RD!G14404,매칭테이블!D:D,0),1)</f>
        <v/>
      </c>
      <c r="F14404" s="94" t="inlineStr">
        <is>
          <t>카페24</t>
        </is>
      </c>
      <c r="G14404" s="94" t="inlineStr">
        <is>
          <t>어성초 77 진정 마스크옵션=어성초 77 진정 마스크팩 1장</t>
        </is>
      </c>
      <c r="K14404" s="94" t="n">
        <v>5</v>
      </c>
      <c r="L14404" s="88" t="n">
        <v>201208</v>
      </c>
      <c r="M14404" s="88">
        <f>VLOOKUP($Q14404,매칭테이블!$F:$I,2,0)*K14404</f>
        <v/>
      </c>
      <c r="N14404" s="88">
        <f>M14404-M14404*VLOOKUP($Q14404,매칭테이블!$F:$I,3,0)</f>
        <v/>
      </c>
      <c r="O14404" s="88">
        <f>VLOOKUP($Q14404,매칭테이블!$F:$I,4,0)*K14404</f>
        <v/>
      </c>
      <c r="P14404" s="152">
        <f>M14404/1.1</f>
        <v/>
      </c>
      <c r="Q14404" s="88">
        <f>F14404&amp;E14404&amp;G14404&amp;L14404</f>
        <v/>
      </c>
    </row>
    <row r="14405">
      <c r="B14405" s="128" t="n">
        <v>44224</v>
      </c>
      <c r="C14405" s="88">
        <f>TEXT(B14405,"aaa")</f>
        <v/>
      </c>
      <c r="D14405" s="94" t="n"/>
      <c r="E14405" s="88">
        <f>INDEX(매칭테이블!C:D,MATCH(RD!G14405,매칭테이블!D:D,0),1)</f>
        <v/>
      </c>
      <c r="F14405" s="94" t="inlineStr">
        <is>
          <t>카페24</t>
        </is>
      </c>
      <c r="G14405" s="94" t="inlineStr">
        <is>
          <t>어성초 77 진정 마스크옵션=어성초 77 진정 마스크팩 10장-50% off</t>
        </is>
      </c>
      <c r="K14405" s="94" t="n">
        <v>8</v>
      </c>
      <c r="L14405" s="88" t="n">
        <v>201208</v>
      </c>
      <c r="M14405" s="88">
        <f>VLOOKUP($Q14405,매칭테이블!$F:$I,2,0)*K14405</f>
        <v/>
      </c>
      <c r="N14405" s="88">
        <f>M14405-M14405*VLOOKUP($Q14405,매칭테이블!$F:$I,3,0)</f>
        <v/>
      </c>
      <c r="O14405" s="88">
        <f>VLOOKUP($Q14405,매칭테이블!$F:$I,4,0)*K14405</f>
        <v/>
      </c>
      <c r="P14405" s="152">
        <f>M14405/1.1</f>
        <v/>
      </c>
      <c r="Q14405" s="88">
        <f>F14405&amp;E14405&amp;G14405&amp;L14405</f>
        <v/>
      </c>
    </row>
    <row r="14406">
      <c r="B14406" s="128" t="n">
        <v>44224</v>
      </c>
      <c r="C14406" s="88">
        <f>TEXT(B14406,"aaa")</f>
        <v/>
      </c>
      <c r="D14406" s="94" t="n"/>
      <c r="E14406" s="88">
        <f>INDEX(매칭테이블!C:D,MATCH(RD!G14406,매칭테이블!D:D,0),1)</f>
        <v/>
      </c>
      <c r="F14406" s="94" t="inlineStr">
        <is>
          <t>카페24</t>
        </is>
      </c>
      <c r="G14406" s="94" t="inlineStr">
        <is>
          <t>어성초 77 진정 마스크</t>
        </is>
      </c>
      <c r="K14406" s="94" t="n">
        <v>7</v>
      </c>
      <c r="L14406" s="88" t="n">
        <v>201208</v>
      </c>
      <c r="M14406" s="88">
        <f>VLOOKUP($Q14406,매칭테이블!$F:$I,2,0)*K14406</f>
        <v/>
      </c>
      <c r="N14406" s="88">
        <f>M14406-M14406*VLOOKUP($Q14406,매칭테이블!$F:$I,3,0)</f>
        <v/>
      </c>
      <c r="O14406" s="88">
        <f>VLOOKUP($Q14406,매칭테이블!$F:$I,4,0)*K14406</f>
        <v/>
      </c>
      <c r="P14406" s="152">
        <f>M14406/1.1</f>
        <v/>
      </c>
      <c r="Q14406" s="88">
        <f>F14406&amp;E14406&amp;G14406&amp;L14406</f>
        <v/>
      </c>
    </row>
    <row r="14407">
      <c r="B14407" s="128" t="n">
        <v>44224</v>
      </c>
      <c r="C14407" s="88">
        <f>TEXT(B14407,"aaa")</f>
        <v/>
      </c>
      <c r="D14407" s="94" t="n"/>
      <c r="E14407" s="88">
        <f>INDEX(매칭테이블!C:D,MATCH(RD!G14407,매칭테이블!D:D,0),1)</f>
        <v/>
      </c>
      <c r="F14407" s="94" t="inlineStr">
        <is>
          <t>카페24</t>
        </is>
      </c>
      <c r="G14407" s="94" t="inlineStr">
        <is>
          <t>어성초 77 클리어 패드옵션=어성초 77 클리어 패드 1개-20% off</t>
        </is>
      </c>
      <c r="K14407" s="94" t="n">
        <v>43</v>
      </c>
      <c r="L14407" s="88" t="n">
        <v>201208</v>
      </c>
      <c r="M14407" s="88">
        <f>VLOOKUP($Q14407,매칭테이블!$F:$I,2,0)*K14407</f>
        <v/>
      </c>
      <c r="N14407" s="88">
        <f>M14407-M14407*VLOOKUP($Q14407,매칭테이블!$F:$I,3,0)</f>
        <v/>
      </c>
      <c r="O14407" s="88">
        <f>VLOOKUP($Q14407,매칭테이블!$F:$I,4,0)*K14407</f>
        <v/>
      </c>
      <c r="P14407" s="152">
        <f>M14407/1.1</f>
        <v/>
      </c>
      <c r="Q14407" s="88">
        <f>F14407&amp;E14407&amp;G14407&amp;L14407</f>
        <v/>
      </c>
    </row>
    <row r="14408">
      <c r="B14408" s="128" t="n">
        <v>44224</v>
      </c>
      <c r="C14408" s="88">
        <f>TEXT(B14408,"aaa")</f>
        <v/>
      </c>
      <c r="D14408" s="94" t="n"/>
      <c r="E14408" s="88">
        <f>INDEX(매칭테이블!C:D,MATCH(RD!G14408,매칭테이블!D:D,0),1)</f>
        <v/>
      </c>
      <c r="F14408" s="94" t="inlineStr">
        <is>
          <t>카페24</t>
        </is>
      </c>
      <c r="G14408" s="94" t="inlineStr">
        <is>
          <t>어성초 77 클리어 패드옵션=어성초 77 클리어 패드 2개-30% off (무료배송)</t>
        </is>
      </c>
      <c r="K14408" s="94" t="n">
        <v>40</v>
      </c>
      <c r="L14408" s="88" t="n">
        <v>201208</v>
      </c>
      <c r="M14408" s="88">
        <f>VLOOKUP($Q14408,매칭테이블!$F:$I,2,0)*K14408</f>
        <v/>
      </c>
      <c r="N14408" s="88">
        <f>M14408-M14408*VLOOKUP($Q14408,매칭테이블!$F:$I,3,0)</f>
        <v/>
      </c>
      <c r="O14408" s="88">
        <f>VLOOKUP($Q14408,매칭테이블!$F:$I,4,0)*K14408</f>
        <v/>
      </c>
      <c r="P14408" s="152">
        <f>M14408/1.1</f>
        <v/>
      </c>
      <c r="Q14408" s="88">
        <f>F14408&amp;E14408&amp;G14408&amp;L14408</f>
        <v/>
      </c>
    </row>
    <row r="14409">
      <c r="B14409" s="128" t="n">
        <v>44224</v>
      </c>
      <c r="C14409" s="88">
        <f>TEXT(B14409,"aaa")</f>
        <v/>
      </c>
      <c r="D14409" s="94" t="n"/>
      <c r="E14409" s="88">
        <f>INDEX(매칭테이블!C:D,MATCH(RD!G14409,매칭테이블!D:D,0),1)</f>
        <v/>
      </c>
      <c r="F14409" s="94" t="inlineStr">
        <is>
          <t>카페24</t>
        </is>
      </c>
      <c r="G14409" s="94" t="inlineStr">
        <is>
          <t>어성초 77 클리어 패드옵션=어성초 77 클리어 패드 2+1 EVENT (무료배송)</t>
        </is>
      </c>
      <c r="K14409" s="94" t="n">
        <v>37</v>
      </c>
      <c r="L14409" s="88" t="n">
        <v>201208</v>
      </c>
      <c r="M14409" s="88">
        <f>VLOOKUP($Q14409,매칭테이블!$F:$I,2,0)*K14409</f>
        <v/>
      </c>
      <c r="N14409" s="88">
        <f>M14409-M14409*VLOOKUP($Q14409,매칭테이블!$F:$I,3,0)</f>
        <v/>
      </c>
      <c r="O14409" s="88">
        <f>VLOOKUP($Q14409,매칭테이블!$F:$I,4,0)*K14409</f>
        <v/>
      </c>
      <c r="P14409" s="152">
        <f>M14409/1.1</f>
        <v/>
      </c>
      <c r="Q14409" s="88">
        <f>F14409&amp;E14409&amp;G14409&amp;L14409</f>
        <v/>
      </c>
    </row>
    <row r="14410">
      <c r="B14410" s="128" t="n">
        <v>44224</v>
      </c>
      <c r="C14410" s="88">
        <f>TEXT(B14410,"aaa")</f>
        <v/>
      </c>
      <c r="D14410" s="94" t="n"/>
      <c r="E14410" s="88">
        <f>INDEX(매칭테이블!C:D,MATCH(RD!G14410,매칭테이블!D:D,0),1)</f>
        <v/>
      </c>
      <c r="F14410" s="94" t="inlineStr">
        <is>
          <t>카페24</t>
        </is>
      </c>
      <c r="G14410" s="94" t="inlineStr">
        <is>
          <t>어성초 77 클리어 패드옵션=어성초77토너1개+어성초77패드1개-30% off (무료배송)</t>
        </is>
      </c>
      <c r="K14410" s="94" t="n">
        <v>11</v>
      </c>
      <c r="L14410" s="88" t="n">
        <v>201208</v>
      </c>
      <c r="M14410" s="88">
        <f>VLOOKUP($Q14410,매칭테이블!$F:$I,2,0)*K14410</f>
        <v/>
      </c>
      <c r="N14410" s="88">
        <f>M14410-M14410*VLOOKUP($Q14410,매칭테이블!$F:$I,3,0)</f>
        <v/>
      </c>
      <c r="O14410" s="88">
        <f>VLOOKUP($Q14410,매칭테이블!$F:$I,4,0)*K14410</f>
        <v/>
      </c>
      <c r="P14410" s="152">
        <f>M14410/1.1</f>
        <v/>
      </c>
      <c r="Q14410" s="88">
        <f>F14410&amp;E14410&amp;G14410&amp;L14410</f>
        <v/>
      </c>
    </row>
    <row r="14411">
      <c r="B14411" s="128" t="n">
        <v>44224</v>
      </c>
      <c r="C14411" s="88">
        <f>TEXT(B14411,"aaa")</f>
        <v/>
      </c>
      <c r="D14411" s="94" t="n"/>
      <c r="E14411" s="88">
        <f>INDEX(매칭테이블!C:D,MATCH(RD!G14411,매칭테이블!D:D,0),1)</f>
        <v/>
      </c>
      <c r="F14411" s="94" t="inlineStr">
        <is>
          <t>카페24</t>
        </is>
      </c>
      <c r="G14411" s="94" t="inlineStr">
        <is>
          <t>어성초 77 토너</t>
        </is>
      </c>
      <c r="K14411" s="94" t="n">
        <v>1</v>
      </c>
      <c r="L14411" s="88" t="n">
        <v>201208</v>
      </c>
      <c r="M14411" s="88">
        <f>VLOOKUP($Q14411,매칭테이블!$F:$I,2,0)*K14411</f>
        <v/>
      </c>
      <c r="N14411" s="88">
        <f>M14411-M14411*VLOOKUP($Q14411,매칭테이블!$F:$I,3,0)</f>
        <v/>
      </c>
      <c r="O14411" s="88">
        <f>VLOOKUP($Q14411,매칭테이블!$F:$I,4,0)*K14411</f>
        <v/>
      </c>
      <c r="P14411" s="152">
        <f>M14411/1.1</f>
        <v/>
      </c>
      <c r="Q14411" s="88">
        <f>F14411&amp;E14411&amp;G14411&amp;L14411</f>
        <v/>
      </c>
    </row>
    <row r="14412">
      <c r="B14412" s="128" t="n">
        <v>44224</v>
      </c>
      <c r="C14412" s="88">
        <f>TEXT(B14412,"aaa")</f>
        <v/>
      </c>
      <c r="D14412" s="94" t="n"/>
      <c r="E14412" s="88">
        <f>INDEX(매칭테이블!C:D,MATCH(RD!G14412,매칭테이블!D:D,0),1)</f>
        <v/>
      </c>
      <c r="F14412" s="94" t="inlineStr">
        <is>
          <t>카페24</t>
        </is>
      </c>
      <c r="G14412" s="94" t="inlineStr">
        <is>
          <t>어성초 77 포어 클리어 패드옵션=어성초 77 클리어 패드 1개-20% off</t>
        </is>
      </c>
      <c r="K14412" s="94" t="n">
        <v>1</v>
      </c>
      <c r="L14412" s="88" t="n">
        <v>201208</v>
      </c>
      <c r="M14412" s="88">
        <f>VLOOKUP($Q14412,매칭테이블!$F:$I,2,0)*K14412</f>
        <v/>
      </c>
      <c r="N14412" s="88">
        <f>M14412-M14412*VLOOKUP($Q14412,매칭테이블!$F:$I,3,0)</f>
        <v/>
      </c>
      <c r="O14412" s="88">
        <f>VLOOKUP($Q14412,매칭테이블!$F:$I,4,0)*K14412</f>
        <v/>
      </c>
      <c r="P14412" s="152">
        <f>M14412/1.1</f>
        <v/>
      </c>
      <c r="Q14412" s="88">
        <f>F14412&amp;E14412&amp;G14412&amp;L14412</f>
        <v/>
      </c>
    </row>
    <row r="14413">
      <c r="B14413" s="128" t="n">
        <v>44224</v>
      </c>
      <c r="C14413" s="88">
        <f>TEXT(B14413,"aaa")</f>
        <v/>
      </c>
      <c r="D14413" s="94" t="n"/>
      <c r="E14413" s="88">
        <f>INDEX(매칭테이블!C:D,MATCH(RD!G14413,매칭테이블!D:D,0),1)</f>
        <v/>
      </c>
      <c r="F14413" s="94" t="inlineStr">
        <is>
          <t>카페24</t>
        </is>
      </c>
      <c r="G14413" s="94" t="inlineStr">
        <is>
          <t>어성초 77 포어 클리어 패드옵션=어성초 77 클리어 패드 2+1 EVENT (무료배송)</t>
        </is>
      </c>
      <c r="K14413" s="94" t="n">
        <v>1</v>
      </c>
      <c r="L14413" s="88" t="n">
        <v>201208</v>
      </c>
      <c r="M14413" s="88">
        <f>VLOOKUP($Q14413,매칭테이블!$F:$I,2,0)*K14413</f>
        <v/>
      </c>
      <c r="N14413" s="88">
        <f>M14413-M14413*VLOOKUP($Q14413,매칭테이블!$F:$I,3,0)</f>
        <v/>
      </c>
      <c r="O14413" s="88">
        <f>VLOOKUP($Q14413,매칭테이블!$F:$I,4,0)*K14413</f>
        <v/>
      </c>
      <c r="P14413" s="152">
        <f>M14413/1.1</f>
        <v/>
      </c>
      <c r="Q14413" s="88">
        <f>F14413&amp;E14413&amp;G14413&amp;L14413</f>
        <v/>
      </c>
    </row>
    <row r="14414">
      <c r="B14414" s="128" t="n">
        <v>44224</v>
      </c>
      <c r="C14414" s="88">
        <f>TEXT(B14414,"aaa")</f>
        <v/>
      </c>
      <c r="D14414" s="94" t="n"/>
      <c r="E14414" s="88">
        <f>INDEX(매칭테이블!C:D,MATCH(RD!G14414,매칭테이블!D:D,0),1)</f>
        <v/>
      </c>
      <c r="F14414" s="94" t="inlineStr">
        <is>
          <t>카페24</t>
        </is>
      </c>
      <c r="G14414" s="94" t="inlineStr">
        <is>
          <t>어성초 77% 수딩 토너토너(필수)=어성초 77 토너 1개-20% off</t>
        </is>
      </c>
      <c r="K14414" s="94" t="n">
        <v>7</v>
      </c>
      <c r="L14414" s="88" t="n">
        <v>201208</v>
      </c>
      <c r="M14414" s="88">
        <f>VLOOKUP($Q14414,매칭테이블!$F:$I,2,0)*K14414</f>
        <v/>
      </c>
      <c r="N14414" s="88">
        <f>M14414-M14414*VLOOKUP($Q14414,매칭테이블!$F:$I,3,0)</f>
        <v/>
      </c>
      <c r="O14414" s="88">
        <f>VLOOKUP($Q14414,매칭테이블!$F:$I,4,0)*K14414</f>
        <v/>
      </c>
      <c r="P14414" s="152">
        <f>M14414/1.1</f>
        <v/>
      </c>
      <c r="Q14414" s="88">
        <f>F14414&amp;E14414&amp;G14414&amp;L14414</f>
        <v/>
      </c>
    </row>
    <row r="14415">
      <c r="B14415" s="128" t="n">
        <v>44224</v>
      </c>
      <c r="C14415" s="88">
        <f>TEXT(B14415,"aaa")</f>
        <v/>
      </c>
      <c r="D14415" s="94" t="n"/>
      <c r="E14415" s="88">
        <f>INDEX(매칭테이블!C:D,MATCH(RD!G14415,매칭테이블!D:D,0),1)</f>
        <v/>
      </c>
      <c r="F14415" s="94" t="inlineStr">
        <is>
          <t>카페24</t>
        </is>
      </c>
      <c r="G14415" s="94" t="inlineStr">
        <is>
          <t>어성초 77% 수딩 토너토너(필수)=어성초 77 토너 2개-30% off (무료배송)</t>
        </is>
      </c>
      <c r="K14415" s="94" t="n">
        <v>3</v>
      </c>
      <c r="L14415" s="88" t="n">
        <v>201208</v>
      </c>
      <c r="M14415" s="88">
        <f>VLOOKUP($Q14415,매칭테이블!$F:$I,2,0)*K14415</f>
        <v/>
      </c>
      <c r="N14415" s="88">
        <f>M14415-M14415*VLOOKUP($Q14415,매칭테이블!$F:$I,3,0)</f>
        <v/>
      </c>
      <c r="O14415" s="88">
        <f>VLOOKUP($Q14415,매칭테이블!$F:$I,4,0)*K14415</f>
        <v/>
      </c>
      <c r="P14415" s="152">
        <f>M14415/1.1</f>
        <v/>
      </c>
      <c r="Q14415" s="88">
        <f>F14415&amp;E14415&amp;G14415&amp;L14415</f>
        <v/>
      </c>
    </row>
    <row r="14416">
      <c r="B14416" s="128" t="n">
        <v>44224</v>
      </c>
      <c r="C14416" s="88">
        <f>TEXT(B14416,"aaa")</f>
        <v/>
      </c>
      <c r="D14416" s="94" t="n"/>
      <c r="E14416" s="88">
        <f>INDEX(매칭테이블!C:D,MATCH(RD!G14416,매칭테이블!D:D,0),1)</f>
        <v/>
      </c>
      <c r="F14416" s="94" t="inlineStr">
        <is>
          <t>카페24</t>
        </is>
      </c>
      <c r="G14416" s="94" t="inlineStr">
        <is>
          <t>어성초 77% 수딩 토너토너(필수)=어성초77토너1개 + 어성초77패드1개 -30% off (무료배송)</t>
        </is>
      </c>
      <c r="K14416" s="94" t="n">
        <v>2</v>
      </c>
      <c r="L14416" s="88" t="n">
        <v>201208</v>
      </c>
      <c r="M14416" s="88">
        <f>VLOOKUP($Q14416,매칭테이블!$F:$I,2,0)*K14416</f>
        <v/>
      </c>
      <c r="N14416" s="88">
        <f>M14416-M14416*VLOOKUP($Q14416,매칭테이블!$F:$I,3,0)</f>
        <v/>
      </c>
      <c r="O14416" s="88">
        <f>VLOOKUP($Q14416,매칭테이블!$F:$I,4,0)*K14416</f>
        <v/>
      </c>
      <c r="P14416" s="152">
        <f>M14416/1.1</f>
        <v/>
      </c>
      <c r="Q14416" s="88">
        <f>F14416&amp;E14416&amp;G14416&amp;L14416</f>
        <v/>
      </c>
    </row>
    <row r="14417">
      <c r="B14417" s="128" t="n">
        <v>44224</v>
      </c>
      <c r="C14417" s="88">
        <f>TEXT(B14417,"aaa")</f>
        <v/>
      </c>
      <c r="D14417" s="94" t="n"/>
      <c r="E14417" s="88">
        <f>INDEX(매칭테이블!C:D,MATCH(RD!G14417,매칭테이블!D:D,0),1)</f>
        <v/>
      </c>
      <c r="F14417" s="94" t="inlineStr">
        <is>
          <t>카페24</t>
        </is>
      </c>
      <c r="G14417" s="94" t="inlineStr">
        <is>
          <t>어성초 77% 수딩 토너화장솜(선택)=촉촉 스킨팩 화장솜</t>
        </is>
      </c>
      <c r="K14417" s="94" t="n">
        <v>4</v>
      </c>
      <c r="L14417" s="88" t="n">
        <v>201208</v>
      </c>
      <c r="M14417" s="88">
        <f>VLOOKUP($Q14417,매칭테이블!$F:$I,2,0)*K14417</f>
        <v/>
      </c>
      <c r="N14417" s="88">
        <f>M14417-M14417*VLOOKUP($Q14417,매칭테이블!$F:$I,3,0)</f>
        <v/>
      </c>
      <c r="O14417" s="88">
        <f>VLOOKUP($Q14417,매칭테이블!$F:$I,4,0)*K14417</f>
        <v/>
      </c>
      <c r="P14417" s="152">
        <f>M14417/1.1</f>
        <v/>
      </c>
      <c r="Q14417" s="88">
        <f>F14417&amp;E14417&amp;G14417&amp;L14417</f>
        <v/>
      </c>
    </row>
    <row r="14418">
      <c r="B14418" s="128" t="n">
        <v>44224</v>
      </c>
      <c r="C14418" s="88">
        <f>TEXT(B14418,"aaa")</f>
        <v/>
      </c>
      <c r="D14418" s="94" t="n"/>
      <c r="E14418" s="88">
        <f>INDEX(매칭테이블!C:D,MATCH(RD!G14418,매칭테이블!D:D,0),1)</f>
        <v/>
      </c>
      <c r="F14418" s="94" t="inlineStr">
        <is>
          <t>카페24</t>
        </is>
      </c>
      <c r="G14418" s="94" t="inlineStr">
        <is>
          <t>어성초 77% 패드옵션=어성초 77 클리어 패드 1개-20% off</t>
        </is>
      </c>
      <c r="K14418" s="94" t="n">
        <v>46</v>
      </c>
      <c r="L14418" s="88" t="n">
        <v>201208</v>
      </c>
      <c r="M14418" s="88">
        <f>VLOOKUP($Q14418,매칭테이블!$F:$I,2,0)*K14418</f>
        <v/>
      </c>
      <c r="N14418" s="88">
        <f>M14418-M14418*VLOOKUP($Q14418,매칭테이블!$F:$I,3,0)</f>
        <v/>
      </c>
      <c r="O14418" s="88">
        <f>VLOOKUP($Q14418,매칭테이블!$F:$I,4,0)*K14418</f>
        <v/>
      </c>
      <c r="P14418" s="152">
        <f>M14418/1.1</f>
        <v/>
      </c>
      <c r="Q14418" s="88">
        <f>F14418&amp;E14418&amp;G14418&amp;L14418</f>
        <v/>
      </c>
    </row>
    <row r="14419">
      <c r="B14419" s="128" t="n">
        <v>44224</v>
      </c>
      <c r="C14419" s="88">
        <f>TEXT(B14419,"aaa")</f>
        <v/>
      </c>
      <c r="D14419" s="94" t="n"/>
      <c r="E14419" s="88">
        <f>INDEX(매칭테이블!C:D,MATCH(RD!G14419,매칭테이블!D:D,0),1)</f>
        <v/>
      </c>
      <c r="F14419" s="94" t="inlineStr">
        <is>
          <t>카페24</t>
        </is>
      </c>
      <c r="G14419" s="94" t="inlineStr">
        <is>
          <t>어성초 77% 패드옵션=어성초 77 클리어 패드 2개-30% off (무료배송)</t>
        </is>
      </c>
      <c r="K14419" s="94" t="n">
        <v>35</v>
      </c>
      <c r="L14419" s="88" t="n">
        <v>201208</v>
      </c>
      <c r="M14419" s="88">
        <f>VLOOKUP($Q14419,매칭테이블!$F:$I,2,0)*K14419</f>
        <v/>
      </c>
      <c r="N14419" s="88">
        <f>M14419-M14419*VLOOKUP($Q14419,매칭테이블!$F:$I,3,0)</f>
        <v/>
      </c>
      <c r="O14419" s="88">
        <f>VLOOKUP($Q14419,매칭테이블!$F:$I,4,0)*K14419</f>
        <v/>
      </c>
      <c r="P14419" s="152">
        <f>M14419/1.1</f>
        <v/>
      </c>
      <c r="Q14419" s="88">
        <f>F14419&amp;E14419&amp;G14419&amp;L14419</f>
        <v/>
      </c>
    </row>
    <row r="14420">
      <c r="B14420" s="128" t="n">
        <v>44224</v>
      </c>
      <c r="C14420" s="88">
        <f>TEXT(B14420,"aaa")</f>
        <v/>
      </c>
      <c r="D14420" s="94" t="n"/>
      <c r="E14420" s="88">
        <f>INDEX(매칭테이블!C:D,MATCH(RD!G14420,매칭테이블!D:D,0),1)</f>
        <v/>
      </c>
      <c r="F14420" s="94" t="inlineStr">
        <is>
          <t>카페24</t>
        </is>
      </c>
      <c r="G14420" s="94" t="inlineStr">
        <is>
          <t>어성초 77% 패드옵션=어성초 77 클리어 패드 2+1 EVENT (무료배송)</t>
        </is>
      </c>
      <c r="K14420" s="94" t="n">
        <v>27</v>
      </c>
      <c r="L14420" s="88" t="n">
        <v>201208</v>
      </c>
      <c r="M14420" s="88">
        <f>VLOOKUP($Q14420,매칭테이블!$F:$I,2,0)*K14420</f>
        <v/>
      </c>
      <c r="N14420" s="88">
        <f>M14420-M14420*VLOOKUP($Q14420,매칭테이블!$F:$I,3,0)</f>
        <v/>
      </c>
      <c r="O14420" s="88">
        <f>VLOOKUP($Q14420,매칭테이블!$F:$I,4,0)*K14420</f>
        <v/>
      </c>
      <c r="P14420" s="152">
        <f>M14420/1.1</f>
        <v/>
      </c>
      <c r="Q14420" s="88">
        <f>F14420&amp;E14420&amp;G14420&amp;L14420</f>
        <v/>
      </c>
    </row>
    <row r="14421">
      <c r="B14421" s="128" t="n">
        <v>44224</v>
      </c>
      <c r="C14421" s="88">
        <f>TEXT(B14421,"aaa")</f>
        <v/>
      </c>
      <c r="D14421" s="94" t="n"/>
      <c r="E14421" s="88">
        <f>INDEX(매칭테이블!C:D,MATCH(RD!G14421,매칭테이블!D:D,0),1)</f>
        <v/>
      </c>
      <c r="F14421" s="94" t="inlineStr">
        <is>
          <t>카페24</t>
        </is>
      </c>
      <c r="G14421" s="94" t="inlineStr">
        <is>
          <t>어성초 77% 패드옵션=어성초77토너1개+어성초77패드1개-30% off (무료배송)</t>
        </is>
      </c>
      <c r="K14421" s="94" t="n">
        <v>14</v>
      </c>
      <c r="L14421" s="88" t="n">
        <v>201208</v>
      </c>
      <c r="M14421" s="88">
        <f>VLOOKUP($Q14421,매칭테이블!$F:$I,2,0)*K14421</f>
        <v/>
      </c>
      <c r="N14421" s="88">
        <f>M14421-M14421*VLOOKUP($Q14421,매칭테이블!$F:$I,3,0)</f>
        <v/>
      </c>
      <c r="O14421" s="88">
        <f>VLOOKUP($Q14421,매칭테이블!$F:$I,4,0)*K14421</f>
        <v/>
      </c>
      <c r="P14421" s="152">
        <f>M14421/1.1</f>
        <v/>
      </c>
      <c r="Q14421" s="88">
        <f>F14421&amp;E14421&amp;G14421&amp;L14421</f>
        <v/>
      </c>
    </row>
    <row r="14422">
      <c r="B14422" s="128" t="n">
        <v>44224</v>
      </c>
      <c r="C14422" s="88">
        <f>TEXT(B14422,"aaa")</f>
        <v/>
      </c>
      <c r="D14422" s="94" t="n"/>
      <c r="E14422" s="88">
        <f>INDEX(매칭테이블!C:D,MATCH(RD!G14422,매칭테이블!D:D,0),1)</f>
        <v/>
      </c>
      <c r="F14422" s="94" t="inlineStr">
        <is>
          <t>카페24</t>
        </is>
      </c>
      <c r="G14422" s="94" t="inlineStr">
        <is>
          <t>어성초 78 수딩 크림</t>
        </is>
      </c>
      <c r="K14422" s="94" t="n">
        <v>8</v>
      </c>
      <c r="L14422" s="88" t="n">
        <v>201208</v>
      </c>
      <c r="M14422" s="88">
        <f>VLOOKUP($Q14422,매칭테이블!$F:$I,2,0)*K14422</f>
        <v/>
      </c>
      <c r="N14422" s="88">
        <f>M14422-M14422*VLOOKUP($Q14422,매칭테이블!$F:$I,3,0)</f>
        <v/>
      </c>
      <c r="O14422" s="88">
        <f>VLOOKUP($Q14422,매칭테이블!$F:$I,4,0)*K14422</f>
        <v/>
      </c>
      <c r="P14422" s="152">
        <f>M14422/1.1</f>
        <v/>
      </c>
      <c r="Q14422" s="88">
        <f>F14422&amp;E14422&amp;G14422&amp;L14422</f>
        <v/>
      </c>
    </row>
    <row r="14423">
      <c r="B14423" s="128" t="n">
        <v>44224</v>
      </c>
      <c r="C14423" s="88">
        <f>TEXT(B14423,"aaa")</f>
        <v/>
      </c>
      <c r="D14423" s="94" t="n"/>
      <c r="E14423" s="88">
        <f>INDEX(매칭테이블!C:D,MATCH(RD!G14423,매칭테이블!D:D,0),1)</f>
        <v/>
      </c>
      <c r="F14423" s="94" t="inlineStr">
        <is>
          <t>카페24</t>
        </is>
      </c>
      <c r="G14423" s="94" t="inlineStr">
        <is>
          <t>어성초 78 수딩 크림</t>
        </is>
      </c>
      <c r="K14423" s="94" t="n">
        <v>11</v>
      </c>
      <c r="L14423" s="88" t="n">
        <v>201208</v>
      </c>
      <c r="M14423" s="88">
        <f>VLOOKUP($Q14423,매칭테이블!$F:$I,2,0)*K14423</f>
        <v/>
      </c>
      <c r="N14423" s="88">
        <f>M14423-M14423*VLOOKUP($Q14423,매칭테이블!$F:$I,3,0)</f>
        <v/>
      </c>
      <c r="O14423" s="88">
        <f>VLOOKUP($Q14423,매칭테이블!$F:$I,4,0)*K14423</f>
        <v/>
      </c>
      <c r="P14423" s="152">
        <f>M14423/1.1</f>
        <v/>
      </c>
      <c r="Q14423" s="88">
        <f>F14423&amp;E14423&amp;G14423&amp;L14423</f>
        <v/>
      </c>
    </row>
    <row r="14424">
      <c r="B14424" s="128" t="n">
        <v>44224</v>
      </c>
      <c r="C14424" s="88">
        <f>TEXT(B14424,"aaa")</f>
        <v/>
      </c>
      <c r="D14424" s="94" t="n"/>
      <c r="E14424" s="88">
        <f>INDEX(매칭테이블!C:D,MATCH(RD!G14424,매칭테이블!D:D,0),1)</f>
        <v/>
      </c>
      <c r="F14424" s="94" t="inlineStr">
        <is>
          <t>카페24</t>
        </is>
      </c>
      <c r="G14424" s="94" t="inlineStr">
        <is>
          <t>어성초 80 수분 진정 앰플앰플=어성초 80 앰플 1개-15%off</t>
        </is>
      </c>
      <c r="K14424" s="94" t="n">
        <v>23</v>
      </c>
      <c r="L14424" s="88" t="n">
        <v>201208</v>
      </c>
      <c r="M14424" s="88">
        <f>VLOOKUP($Q14424,매칭테이블!$F:$I,2,0)*K14424</f>
        <v/>
      </c>
      <c r="N14424" s="88">
        <f>M14424-M14424*VLOOKUP($Q14424,매칭테이블!$F:$I,3,0)</f>
        <v/>
      </c>
      <c r="O14424" s="88">
        <f>VLOOKUP($Q14424,매칭테이블!$F:$I,4,0)*K14424</f>
        <v/>
      </c>
      <c r="P14424" s="152">
        <f>M14424/1.1</f>
        <v/>
      </c>
      <c r="Q14424" s="88">
        <f>F14424&amp;E14424&amp;G14424&amp;L14424</f>
        <v/>
      </c>
    </row>
    <row r="14425">
      <c r="B14425" s="128" t="n">
        <v>44224</v>
      </c>
      <c r="C14425" s="88">
        <f>TEXT(B14425,"aaa")</f>
        <v/>
      </c>
      <c r="D14425" s="94" t="n"/>
      <c r="E14425" s="88">
        <f>INDEX(매칭테이블!C:D,MATCH(RD!G14425,매칭테이블!D:D,0),1)</f>
        <v/>
      </c>
      <c r="F14425" s="94" t="inlineStr">
        <is>
          <t>카페24</t>
        </is>
      </c>
      <c r="G14425" s="94" t="inlineStr">
        <is>
          <t>어성초 80 수분 진정 앰플앰플=어성초 80 앰플 2개-27%off (무료배송)</t>
        </is>
      </c>
      <c r="K14425" s="94" t="n">
        <v>7</v>
      </c>
      <c r="L14425" s="88" t="n">
        <v>201208</v>
      </c>
      <c r="M14425" s="88">
        <f>VLOOKUP($Q14425,매칭테이블!$F:$I,2,0)*K14425</f>
        <v/>
      </c>
      <c r="N14425" s="88">
        <f>M14425-M14425*VLOOKUP($Q14425,매칭테이블!$F:$I,3,0)</f>
        <v/>
      </c>
      <c r="O14425" s="88">
        <f>VLOOKUP($Q14425,매칭테이블!$F:$I,4,0)*K14425</f>
        <v/>
      </c>
      <c r="P14425" s="152">
        <f>M14425/1.1</f>
        <v/>
      </c>
      <c r="Q14425" s="88">
        <f>F14425&amp;E14425&amp;G14425&amp;L14425</f>
        <v/>
      </c>
    </row>
    <row r="14426">
      <c r="B14426" s="128" t="n">
        <v>44224</v>
      </c>
      <c r="C14426" s="88">
        <f>TEXT(B14426,"aaa")</f>
        <v/>
      </c>
      <c r="D14426" s="94" t="n"/>
      <c r="E14426" s="88">
        <f>INDEX(매칭테이블!C:D,MATCH(RD!G14426,매칭테이블!D:D,0),1)</f>
        <v/>
      </c>
      <c r="F14426" s="94" t="inlineStr">
        <is>
          <t>카페24</t>
        </is>
      </c>
      <c r="G14426" s="94" t="inlineStr">
        <is>
          <t>어성초 80 수분 진정 앰플</t>
        </is>
      </c>
      <c r="K14426" s="94" t="n">
        <v>11</v>
      </c>
      <c r="L14426" s="88" t="n">
        <v>201208</v>
      </c>
      <c r="M14426" s="88">
        <f>VLOOKUP($Q14426,매칭테이블!$F:$I,2,0)*K14426</f>
        <v/>
      </c>
      <c r="N14426" s="88">
        <f>M14426-M14426*VLOOKUP($Q14426,매칭테이블!$F:$I,3,0)</f>
        <v/>
      </c>
      <c r="O14426" s="88">
        <f>VLOOKUP($Q14426,매칭테이블!$F:$I,4,0)*K14426</f>
        <v/>
      </c>
      <c r="P14426" s="152">
        <f>M14426/1.1</f>
        <v/>
      </c>
      <c r="Q14426" s="88">
        <f>F14426&amp;E14426&amp;G14426&amp;L14426</f>
        <v/>
      </c>
    </row>
    <row r="14427">
      <c r="B14427" s="128" t="n">
        <v>44224</v>
      </c>
      <c r="C14427" s="88">
        <f>TEXT(B14427,"aaa")</f>
        <v/>
      </c>
      <c r="D14427" s="94" t="n"/>
      <c r="E14427" s="88">
        <f>INDEX(매칭테이블!C:D,MATCH(RD!G14427,매칭테이블!D:D,0),1)</f>
        <v/>
      </c>
      <c r="F14427" s="94" t="inlineStr">
        <is>
          <t>카페24</t>
        </is>
      </c>
      <c r="G14427" s="94" t="inlineStr">
        <is>
          <t>어성초 아크네 바디워시옵션=어성초 아크네 바디워시 1개 -30% off</t>
        </is>
      </c>
      <c r="K14427" s="94" t="n">
        <v>5</v>
      </c>
      <c r="L14427" s="88" t="n">
        <v>201208</v>
      </c>
      <c r="M14427" s="88">
        <f>VLOOKUP($Q14427,매칭테이블!$F:$I,2,0)*K14427</f>
        <v/>
      </c>
      <c r="N14427" s="88">
        <f>M14427-M14427*VLOOKUP($Q14427,매칭테이블!$F:$I,3,0)</f>
        <v/>
      </c>
      <c r="O14427" s="88">
        <f>VLOOKUP($Q14427,매칭테이블!$F:$I,4,0)*K14427</f>
        <v/>
      </c>
      <c r="P14427" s="152">
        <f>M14427/1.1</f>
        <v/>
      </c>
      <c r="Q14427" s="88">
        <f>F14427&amp;E14427&amp;G14427&amp;L14427</f>
        <v/>
      </c>
    </row>
    <row r="14428">
      <c r="B14428" s="128" t="n">
        <v>44224</v>
      </c>
      <c r="C14428" s="88">
        <f>TEXT(B14428,"aaa")</f>
        <v/>
      </c>
      <c r="D14428" s="94" t="n"/>
      <c r="E14428" s="88">
        <f>INDEX(매칭테이블!C:D,MATCH(RD!G14428,매칭테이블!D:D,0),1)</f>
        <v/>
      </c>
      <c r="F14428" s="94" t="inlineStr">
        <is>
          <t>카페24</t>
        </is>
      </c>
      <c r="G14428" s="94" t="inlineStr">
        <is>
          <t>어성초 아크네 바디워시옵션=어성초 아크네 바디워시 2개 -35% off (무료배송)</t>
        </is>
      </c>
      <c r="K14428" s="94" t="n">
        <v>1</v>
      </c>
      <c r="L14428" s="88" t="n">
        <v>201208</v>
      </c>
      <c r="M14428" s="88">
        <f>VLOOKUP($Q14428,매칭테이블!$F:$I,2,0)*K14428</f>
        <v/>
      </c>
      <c r="N14428" s="88">
        <f>M14428-M14428*VLOOKUP($Q14428,매칭테이블!$F:$I,3,0)</f>
        <v/>
      </c>
      <c r="O14428" s="88">
        <f>VLOOKUP($Q14428,매칭테이블!$F:$I,4,0)*K14428</f>
        <v/>
      </c>
      <c r="P14428" s="152">
        <f>M14428/1.1</f>
        <v/>
      </c>
      <c r="Q14428" s="88">
        <f>F14428&amp;E14428&amp;G14428&amp;L14428</f>
        <v/>
      </c>
    </row>
    <row r="14429">
      <c r="B14429" s="128" t="n">
        <v>44224</v>
      </c>
      <c r="C14429" s="88">
        <f>TEXT(B14429,"aaa")</f>
        <v/>
      </c>
      <c r="D14429" s="94" t="n"/>
      <c r="E14429" s="88">
        <f>INDEX(매칭테이블!C:D,MATCH(RD!G14429,매칭테이블!D:D,0),1)</f>
        <v/>
      </c>
      <c r="F14429" s="94" t="inlineStr">
        <is>
          <t>카페24</t>
        </is>
      </c>
      <c r="G14429" s="94" t="inlineStr">
        <is>
          <t>어성초 약산성 클렌징폼클렌징폼=어성초 약산성 클렌징폼 1개 -19%off</t>
        </is>
      </c>
      <c r="K14429" s="94" t="n">
        <v>31</v>
      </c>
      <c r="L14429" s="88" t="n">
        <v>201208</v>
      </c>
      <c r="M14429" s="88">
        <f>VLOOKUP($Q14429,매칭테이블!$F:$I,2,0)*K14429</f>
        <v/>
      </c>
      <c r="N14429" s="88">
        <f>M14429-M14429*VLOOKUP($Q14429,매칭테이블!$F:$I,3,0)</f>
        <v/>
      </c>
      <c r="O14429" s="88">
        <f>VLOOKUP($Q14429,매칭테이블!$F:$I,4,0)*K14429</f>
        <v/>
      </c>
      <c r="P14429" s="152">
        <f>M14429/1.1</f>
        <v/>
      </c>
      <c r="Q14429" s="88">
        <f>F14429&amp;E14429&amp;G14429&amp;L14429</f>
        <v/>
      </c>
    </row>
    <row r="14430">
      <c r="B14430" s="128" t="n">
        <v>44224</v>
      </c>
      <c r="C14430" s="88">
        <f>TEXT(B14430,"aaa")</f>
        <v/>
      </c>
      <c r="D14430" s="94" t="n"/>
      <c r="E14430" s="88">
        <f>INDEX(매칭테이블!C:D,MATCH(RD!G14430,매칭테이블!D:D,0),1)</f>
        <v/>
      </c>
      <c r="F14430" s="94" t="inlineStr">
        <is>
          <t>카페24</t>
        </is>
      </c>
      <c r="G14430" s="94" t="inlineStr">
        <is>
          <t>어성초 약산성 클렌징폼클렌징폼=어성초 약산성 클렌징폼 2개 -25%off</t>
        </is>
      </c>
      <c r="K14430" s="94" t="n">
        <v>8</v>
      </c>
      <c r="L14430" s="88" t="n">
        <v>201208</v>
      </c>
      <c r="M14430" s="88">
        <f>VLOOKUP($Q14430,매칭테이블!$F:$I,2,0)*K14430</f>
        <v/>
      </c>
      <c r="N14430" s="88">
        <f>M14430-M14430*VLOOKUP($Q14430,매칭테이블!$F:$I,3,0)</f>
        <v/>
      </c>
      <c r="O14430" s="88">
        <f>VLOOKUP($Q14430,매칭테이블!$F:$I,4,0)*K14430</f>
        <v/>
      </c>
      <c r="P14430" s="152">
        <f>M14430/1.1</f>
        <v/>
      </c>
      <c r="Q14430" s="88">
        <f>F14430&amp;E14430&amp;G14430&amp;L14430</f>
        <v/>
      </c>
    </row>
    <row r="14431">
      <c r="B14431" s="128" t="n">
        <v>44224</v>
      </c>
      <c r="C14431" s="88">
        <f>TEXT(B14431,"aaa")</f>
        <v/>
      </c>
      <c r="D14431" s="94" t="n"/>
      <c r="E14431" s="88">
        <f>INDEX(매칭테이블!C:D,MATCH(RD!G14431,매칭테이블!D:D,0),1)</f>
        <v/>
      </c>
      <c r="F14431" s="94" t="inlineStr">
        <is>
          <t>카페24</t>
        </is>
      </c>
      <c r="G14431" s="94" t="inlineStr">
        <is>
          <t>어성초 약산성 클렌징폼클렌징폼=어성초 약산성 클렌징폼 3개 -31%off (무료배송)</t>
        </is>
      </c>
      <c r="K14431" s="94" t="n">
        <v>3</v>
      </c>
      <c r="L14431" s="88" t="n">
        <v>201208</v>
      </c>
      <c r="M14431" s="88">
        <f>VLOOKUP($Q14431,매칭테이블!$F:$I,2,0)*K14431</f>
        <v/>
      </c>
      <c r="N14431" s="88">
        <f>M14431-M14431*VLOOKUP($Q14431,매칭테이블!$F:$I,3,0)</f>
        <v/>
      </c>
      <c r="O14431" s="88">
        <f>VLOOKUP($Q14431,매칭테이블!$F:$I,4,0)*K14431</f>
        <v/>
      </c>
      <c r="P14431" s="152">
        <f>M14431/1.1</f>
        <v/>
      </c>
      <c r="Q14431" s="88">
        <f>F14431&amp;E14431&amp;G14431&amp;L14431</f>
        <v/>
      </c>
    </row>
    <row r="14432">
      <c r="B14432" s="128" t="n">
        <v>44224</v>
      </c>
      <c r="C14432" s="88">
        <f>TEXT(B14432,"aaa")</f>
        <v/>
      </c>
      <c r="D14432" s="94" t="n"/>
      <c r="E14432" s="88">
        <f>INDEX(매칭테이블!C:D,MATCH(RD!G14432,매칭테이블!D:D,0),1)</f>
        <v/>
      </c>
      <c r="F14432" s="94" t="inlineStr">
        <is>
          <t>카페24</t>
        </is>
      </c>
      <c r="G14432" s="94" t="inlineStr">
        <is>
          <t>어성초 약산성 클렌징폼</t>
        </is>
      </c>
      <c r="K14432" s="94" t="n">
        <v>1</v>
      </c>
      <c r="L14432" s="88" t="n">
        <v>201208</v>
      </c>
      <c r="M14432" s="88">
        <f>VLOOKUP($Q14432,매칭테이블!$F:$I,2,0)*K14432</f>
        <v/>
      </c>
      <c r="N14432" s="88">
        <f>M14432-M14432*VLOOKUP($Q14432,매칭테이블!$F:$I,3,0)</f>
        <v/>
      </c>
      <c r="O14432" s="88">
        <f>VLOOKUP($Q14432,매칭테이블!$F:$I,4,0)*K14432</f>
        <v/>
      </c>
      <c r="P14432" s="152">
        <f>M14432/1.1</f>
        <v/>
      </c>
      <c r="Q14432" s="88">
        <f>F14432&amp;E14432&amp;G14432&amp;L14432</f>
        <v/>
      </c>
    </row>
    <row r="14433">
      <c r="B14433" s="128" t="n">
        <v>44224</v>
      </c>
      <c r="C14433" s="88">
        <f>TEXT(B14433,"aaa")</f>
        <v/>
      </c>
      <c r="D14433" s="94" t="n"/>
      <c r="E14433" s="88">
        <f>INDEX(매칭테이블!C:D,MATCH(RD!G14433,매칭테이블!D:D,0),1)</f>
        <v/>
      </c>
      <c r="F14433" s="94" t="inlineStr">
        <is>
          <t>카페24</t>
        </is>
      </c>
      <c r="G14433" s="94" t="inlineStr">
        <is>
          <t>어성초 크림마스크 나이트 솔루션옵션=어성초 크림마스크 나이트 솔루션 10장 (-50%)</t>
        </is>
      </c>
      <c r="K14433" s="94" t="n">
        <v>1</v>
      </c>
      <c r="L14433" s="88" t="n">
        <v>201208</v>
      </c>
      <c r="M14433" s="88">
        <f>VLOOKUP($Q14433,매칭테이블!$F:$I,2,0)*K14433</f>
        <v/>
      </c>
      <c r="N14433" s="88">
        <f>M14433-M14433*VLOOKUP($Q14433,매칭테이블!$F:$I,3,0)</f>
        <v/>
      </c>
      <c r="O14433" s="88">
        <f>VLOOKUP($Q14433,매칭테이블!$F:$I,4,0)*K14433</f>
        <v/>
      </c>
      <c r="P14433" s="152">
        <f>M14433/1.1</f>
        <v/>
      </c>
      <c r="Q14433" s="88">
        <f>F14433&amp;E14433&amp;G14433&amp;L14433</f>
        <v/>
      </c>
    </row>
    <row r="14434">
      <c r="B14434" s="128" t="n">
        <v>44224</v>
      </c>
      <c r="C14434" s="88">
        <f>TEXT(B14434,"aaa")</f>
        <v/>
      </c>
      <c r="D14434" s="94" t="n"/>
      <c r="E14434" s="88">
        <f>INDEX(매칭테이블!C:D,MATCH(RD!G14434,매칭테이블!D:D,0),1)</f>
        <v/>
      </c>
      <c r="F14434" s="94" t="inlineStr">
        <is>
          <t>카페24</t>
        </is>
      </c>
      <c r="G14434" s="94" t="inlineStr">
        <is>
          <t>청귤 비타 잡티 마스크옵션=청귤 비타 잡티 마스크 10장 (50% off)</t>
        </is>
      </c>
      <c r="K14434" s="94" t="n">
        <v>3</v>
      </c>
      <c r="L14434" s="88" t="n">
        <v>201208</v>
      </c>
      <c r="M14434" s="88">
        <f>VLOOKUP($Q14434,매칭테이블!$F:$I,2,0)*K14434</f>
        <v/>
      </c>
      <c r="N14434" s="88">
        <f>M14434-M14434*VLOOKUP($Q14434,매칭테이블!$F:$I,3,0)</f>
        <v/>
      </c>
      <c r="O14434" s="88">
        <f>VLOOKUP($Q14434,매칭테이블!$F:$I,4,0)*K14434</f>
        <v/>
      </c>
      <c r="P14434" s="152">
        <f>M14434/1.1</f>
        <v/>
      </c>
      <c r="Q14434" s="88">
        <f>F14434&amp;E14434&amp;G14434&amp;L14434</f>
        <v/>
      </c>
    </row>
    <row r="14435">
      <c r="B14435" s="128" t="n">
        <v>44224</v>
      </c>
      <c r="C14435" s="88">
        <f>TEXT(B14435,"aaa")</f>
        <v/>
      </c>
      <c r="D14435" s="94" t="n"/>
      <c r="E14435" s="88">
        <f>INDEX(매칭테이블!C:D,MATCH(RD!G14435,매칭테이블!D:D,0),1)</f>
        <v/>
      </c>
      <c r="F14435" s="94" t="inlineStr">
        <is>
          <t>카페24</t>
        </is>
      </c>
      <c r="G14435" s="94" t="inlineStr">
        <is>
          <t>촉촉 스킨팩 화장솜</t>
        </is>
      </c>
      <c r="K14435" s="94" t="n">
        <v>32</v>
      </c>
      <c r="L14435" s="88" t="n">
        <v>201208</v>
      </c>
      <c r="M14435" s="88">
        <f>VLOOKUP($Q14435,매칭테이블!$F:$I,2,0)*K14435</f>
        <v/>
      </c>
      <c r="N14435" s="88">
        <f>M14435-M14435*VLOOKUP($Q14435,매칭테이블!$F:$I,3,0)</f>
        <v/>
      </c>
      <c r="O14435" s="88">
        <f>VLOOKUP($Q14435,매칭테이블!$F:$I,4,0)*K14435</f>
        <v/>
      </c>
      <c r="P14435" s="152">
        <f>M14435/1.1</f>
        <v/>
      </c>
      <c r="Q14435" s="88">
        <f>F14435&amp;E14435&amp;G14435&amp;L14435</f>
        <v/>
      </c>
    </row>
    <row r="14436">
      <c r="B14436" s="128" t="n">
        <v>44224</v>
      </c>
      <c r="C14436" s="88">
        <f>TEXT(B14436,"aaa")</f>
        <v/>
      </c>
      <c r="D14436" s="94" t="n"/>
      <c r="E14436" s="88">
        <f>INDEX(매칭테이블!C:D,MATCH(RD!G14436,매칭테이블!D:D,0),1)</f>
        <v/>
      </c>
      <c r="F14436" s="94" t="inlineStr">
        <is>
          <t>카페24</t>
        </is>
      </c>
      <c r="G14436" s="94" t="inlineStr">
        <is>
          <t>촉촉 스킨팩 화장솜</t>
        </is>
      </c>
      <c r="K14436" s="94" t="n">
        <v>1</v>
      </c>
      <c r="L14436" s="88" t="n">
        <v>201208</v>
      </c>
      <c r="M14436" s="88">
        <f>VLOOKUP($Q14436,매칭테이블!$F:$I,2,0)*K14436</f>
        <v/>
      </c>
      <c r="N14436" s="88">
        <f>M14436-M14436*VLOOKUP($Q14436,매칭테이블!$F:$I,3,0)</f>
        <v/>
      </c>
      <c r="O14436" s="88">
        <f>VLOOKUP($Q14436,매칭테이블!$F:$I,4,0)*K14436</f>
        <v/>
      </c>
      <c r="P14436" s="152">
        <f>M14436/1.1</f>
        <v/>
      </c>
      <c r="Q14436" s="88">
        <f>F14436&amp;E14436&amp;G14436&amp;L14436</f>
        <v/>
      </c>
    </row>
    <row r="14437" customFormat="1" s="94">
      <c r="B14437" s="128" t="n">
        <v>44225</v>
      </c>
      <c r="C14437" s="88">
        <f>TEXT(B14437,"aaa")</f>
        <v/>
      </c>
      <c r="E14437" s="88">
        <f>INDEX(매칭테이블!C:D,MATCH(RD!G14437,매칭테이블!D:D,0),1)</f>
        <v/>
      </c>
      <c r="F14437" s="94" t="inlineStr">
        <is>
          <t>스타일쉐어</t>
        </is>
      </c>
      <c r="G14437" s="94" t="inlineStr">
        <is>
          <t>아누아 어성초 77 토너 250ml</t>
        </is>
      </c>
      <c r="K14437" s="94" t="n">
        <v>6</v>
      </c>
      <c r="L14437" s="88" t="n">
        <v>201208</v>
      </c>
      <c r="M14437" s="88">
        <f>VLOOKUP($Q14437,매칭테이블!$F:$I,2,0)*K14437</f>
        <v/>
      </c>
      <c r="N14437" s="88">
        <f>M14437-M14437*VLOOKUP($Q14437,매칭테이블!$F:$I,3,0)</f>
        <v/>
      </c>
      <c r="O14437" s="88">
        <f>VLOOKUP($Q14437,매칭테이블!$F:$I,4,0)*K14437</f>
        <v/>
      </c>
      <c r="P14437" s="152">
        <f>M14437/1.1</f>
        <v/>
      </c>
      <c r="Q14437" s="88">
        <f>F14437&amp;E14437&amp;G14437&amp;L14437</f>
        <v/>
      </c>
    </row>
    <row r="14438">
      <c r="B14438" s="128" t="n">
        <v>44225</v>
      </c>
      <c r="C14438" s="88">
        <f>TEXT(B14438,"aaa")</f>
        <v/>
      </c>
      <c r="D14438" s="94" t="n"/>
      <c r="E14438" s="88">
        <f>INDEX(매칭테이블!C:D,MATCH(RD!G14438,매칭테이블!D:D,0),1)</f>
        <v/>
      </c>
      <c r="F14438" s="94" t="inlineStr">
        <is>
          <t>카페24</t>
        </is>
      </c>
      <c r="G14438" s="94" t="inlineStr">
        <is>
          <t>5 제로 무기자차 선크림옵션=5제로 무기자차 선크림 1개-20% off</t>
        </is>
      </c>
      <c r="K14438" s="94" t="n">
        <v>3</v>
      </c>
      <c r="L14438" s="88" t="n">
        <v>201208</v>
      </c>
      <c r="M14438" s="88">
        <f>VLOOKUP($Q14438,매칭테이블!$F:$I,2,0)*K14438</f>
        <v/>
      </c>
      <c r="N14438" s="88">
        <f>M14438-M14438*VLOOKUP($Q14438,매칭테이블!$F:$I,3,0)</f>
        <v/>
      </c>
      <c r="O14438" s="88">
        <f>VLOOKUP($Q14438,매칭테이블!$F:$I,4,0)*K14438</f>
        <v/>
      </c>
      <c r="P14438" s="152">
        <f>M14438/1.1</f>
        <v/>
      </c>
      <c r="Q14438" s="88">
        <f>F14438&amp;E14438&amp;G14438&amp;L14438</f>
        <v/>
      </c>
    </row>
    <row r="14439">
      <c r="B14439" s="128" t="n">
        <v>44225</v>
      </c>
      <c r="C14439" s="88">
        <f>TEXT(B14439,"aaa")</f>
        <v/>
      </c>
      <c r="D14439" s="94" t="n"/>
      <c r="E14439" s="88">
        <f>INDEX(매칭테이블!C:D,MATCH(RD!G14439,매칭테이블!D:D,0),1)</f>
        <v/>
      </c>
      <c r="F14439" s="94" t="inlineStr">
        <is>
          <t>카페24</t>
        </is>
      </c>
      <c r="G14439" s="94" t="inlineStr">
        <is>
          <t>[01/27 순차발송] 어성초 77 클리어 패드옵션=어성초77토너1개+어성초77패드1개-30% off (무료배송)</t>
        </is>
      </c>
      <c r="K14439" s="94" t="n">
        <v>1</v>
      </c>
      <c r="L14439" s="88" t="n">
        <v>201208</v>
      </c>
      <c r="M14439" s="88">
        <f>VLOOKUP($Q14439,매칭테이블!$F:$I,2,0)*K14439</f>
        <v/>
      </c>
      <c r="N14439" s="88">
        <f>M14439-M14439*VLOOKUP($Q14439,매칭테이블!$F:$I,3,0)</f>
        <v/>
      </c>
      <c r="O14439" s="88">
        <f>VLOOKUP($Q14439,매칭테이블!$F:$I,4,0)*K14439</f>
        <v/>
      </c>
      <c r="P14439" s="152">
        <f>M14439/1.1</f>
        <v/>
      </c>
      <c r="Q14439" s="88">
        <f>F14439&amp;E14439&amp;G14439&amp;L14439</f>
        <v/>
      </c>
    </row>
    <row r="14440">
      <c r="B14440" s="128" t="n">
        <v>44225</v>
      </c>
      <c r="C14440" s="88">
        <f>TEXT(B14440,"aaa")</f>
        <v/>
      </c>
      <c r="D14440" s="94" t="n"/>
      <c r="E14440" s="88">
        <f>INDEX(매칭테이블!C:D,MATCH(RD!G14440,매칭테이블!D:D,0),1)</f>
        <v/>
      </c>
      <c r="F14440" s="94" t="inlineStr">
        <is>
          <t>카페24</t>
        </is>
      </c>
      <c r="G14440" s="94" t="inlineStr">
        <is>
          <t>[수분 보충 세트] 어성초 77 토너 + 어성초 70 로션옵션=어성초 77 토너 250ml + 어성초 70 로션 200ml -30%</t>
        </is>
      </c>
      <c r="K14440" s="94" t="n">
        <v>57</v>
      </c>
      <c r="L14440" s="88" t="n">
        <v>201208</v>
      </c>
      <c r="M14440" s="88">
        <f>VLOOKUP($Q14440,매칭테이블!$F:$I,2,0)*K14440</f>
        <v/>
      </c>
      <c r="N14440" s="88">
        <f>M14440-M14440*VLOOKUP($Q14440,매칭테이블!$F:$I,3,0)</f>
        <v/>
      </c>
      <c r="O14440" s="88">
        <f>VLOOKUP($Q14440,매칭테이블!$F:$I,4,0)*K14440</f>
        <v/>
      </c>
      <c r="P14440" s="152">
        <f>M14440/1.1</f>
        <v/>
      </c>
      <c r="Q14440" s="88">
        <f>F14440&amp;E14440&amp;G14440&amp;L14440</f>
        <v/>
      </c>
    </row>
    <row r="14441">
      <c r="B14441" s="128" t="n">
        <v>44225</v>
      </c>
      <c r="C14441" s="88">
        <f>TEXT(B14441,"aaa")</f>
        <v/>
      </c>
      <c r="D14441" s="94" t="n"/>
      <c r="E14441" s="88">
        <f>INDEX(매칭테이블!C:D,MATCH(RD!G14441,매칭테이블!D:D,0),1)</f>
        <v/>
      </c>
      <c r="F14441" s="94" t="inlineStr">
        <is>
          <t>카페24</t>
        </is>
      </c>
      <c r="G14441" s="94" t="inlineStr">
        <is>
          <t>[어성초 진정 패키지 세트] 대용량 토너 + 앰플 + 수딩 크림 + 마스크팩 10장</t>
        </is>
      </c>
      <c r="K14441" s="94" t="n">
        <v>5</v>
      </c>
      <c r="L14441" s="88" t="n">
        <v>201208</v>
      </c>
      <c r="M14441" s="88">
        <f>VLOOKUP($Q14441,매칭테이블!$F:$I,2,0)*K14441</f>
        <v/>
      </c>
      <c r="N14441" s="88">
        <f>M14441-M14441*VLOOKUP($Q14441,매칭테이블!$F:$I,3,0)</f>
        <v/>
      </c>
      <c r="O14441" s="88">
        <f>VLOOKUP($Q14441,매칭테이블!$F:$I,4,0)*K14441</f>
        <v/>
      </c>
      <c r="P14441" s="152">
        <f>M14441/1.1</f>
        <v/>
      </c>
      <c r="Q14441" s="88">
        <f>F14441&amp;E14441&amp;G14441&amp;L14441</f>
        <v/>
      </c>
    </row>
    <row r="14442">
      <c r="B14442" s="128" t="n">
        <v>44225</v>
      </c>
      <c r="C14442" s="88">
        <f>TEXT(B14442,"aaa")</f>
        <v/>
      </c>
      <c r="D14442" s="94" t="n"/>
      <c r="E14442" s="88">
        <f>INDEX(매칭테이블!C:D,MATCH(RD!G14442,매칭테이블!D:D,0),1)</f>
        <v/>
      </c>
      <c r="F14442" s="94" t="inlineStr">
        <is>
          <t>카페24</t>
        </is>
      </c>
      <c r="G14442" s="94" t="inlineStr">
        <is>
          <t>대용량 어성초 77 수딩 토너 500ml옵션=대용량 어성초 77 토너 1개 - 27% OFF</t>
        </is>
      </c>
      <c r="K14442" s="94" t="n">
        <v>47</v>
      </c>
      <c r="L14442" s="88" t="n">
        <v>201208</v>
      </c>
      <c r="M14442" s="88">
        <f>VLOOKUP($Q14442,매칭테이블!$F:$I,2,0)*K14442</f>
        <v/>
      </c>
      <c r="N14442" s="88">
        <f>M14442-M14442*VLOOKUP($Q14442,매칭테이블!$F:$I,3,0)</f>
        <v/>
      </c>
      <c r="O14442" s="88">
        <f>VLOOKUP($Q14442,매칭테이블!$F:$I,4,0)*K14442</f>
        <v/>
      </c>
      <c r="P14442" s="152">
        <f>M14442/1.1</f>
        <v/>
      </c>
      <c r="Q14442" s="88">
        <f>F14442&amp;E14442&amp;G14442&amp;L14442</f>
        <v/>
      </c>
    </row>
    <row r="14443">
      <c r="B14443" s="128" t="n">
        <v>44225</v>
      </c>
      <c r="C14443" s="88">
        <f>TEXT(B14443,"aaa")</f>
        <v/>
      </c>
      <c r="D14443" s="94" t="n"/>
      <c r="E14443" s="88">
        <f>INDEX(매칭테이블!C:D,MATCH(RD!G14443,매칭테이블!D:D,0),1)</f>
        <v/>
      </c>
      <c r="F14443" s="94" t="inlineStr">
        <is>
          <t>카페24</t>
        </is>
      </c>
      <c r="G14443" s="94" t="inlineStr">
        <is>
          <t>대용량 어성초 77 수딩 토너 500ml화장솜(선택)=촉촉 스킨팩 화장솜</t>
        </is>
      </c>
      <c r="K14443" s="94" t="n">
        <v>15</v>
      </c>
      <c r="L14443" s="88" t="n">
        <v>201208</v>
      </c>
      <c r="M14443" s="88">
        <f>VLOOKUP($Q14443,매칭테이블!$F:$I,2,0)*K14443</f>
        <v/>
      </c>
      <c r="N14443" s="88">
        <f>M14443-M14443*VLOOKUP($Q14443,매칭테이블!$F:$I,3,0)</f>
        <v/>
      </c>
      <c r="O14443" s="88">
        <f>VLOOKUP($Q14443,매칭테이블!$F:$I,4,0)*K14443</f>
        <v/>
      </c>
      <c r="P14443" s="152">
        <f>M14443/1.1</f>
        <v/>
      </c>
      <c r="Q14443" s="88">
        <f>F14443&amp;E14443&amp;G14443&amp;L14443</f>
        <v/>
      </c>
    </row>
    <row r="14444">
      <c r="B14444" s="128" t="n">
        <v>44225</v>
      </c>
      <c r="C14444" s="88">
        <f>TEXT(B14444,"aaa")</f>
        <v/>
      </c>
      <c r="D14444" s="94" t="n"/>
      <c r="E14444" s="88">
        <f>INDEX(매칭테이블!C:D,MATCH(RD!G14444,매칭테이블!D:D,0),1)</f>
        <v/>
      </c>
      <c r="F14444" s="94" t="inlineStr">
        <is>
          <t>카페24</t>
        </is>
      </c>
      <c r="G14444" s="94" t="inlineStr">
        <is>
          <t>어성초 70 데일리 릴리프 로션로션=어성초 70 데일리 릴리프 로션 1개 -20% off</t>
        </is>
      </c>
      <c r="K14444" s="94" t="n">
        <v>10</v>
      </c>
      <c r="L14444" s="88" t="n">
        <v>201208</v>
      </c>
      <c r="M14444" s="88">
        <f>VLOOKUP($Q14444,매칭테이블!$F:$I,2,0)*K14444</f>
        <v/>
      </c>
      <c r="N14444" s="88">
        <f>M14444-M14444*VLOOKUP($Q14444,매칭테이블!$F:$I,3,0)</f>
        <v/>
      </c>
      <c r="O14444" s="88">
        <f>VLOOKUP($Q14444,매칭테이블!$F:$I,4,0)*K14444</f>
        <v/>
      </c>
      <c r="P14444" s="152">
        <f>M14444/1.1</f>
        <v/>
      </c>
      <c r="Q14444" s="88">
        <f>F14444&amp;E14444&amp;G14444&amp;L14444</f>
        <v/>
      </c>
    </row>
    <row r="14445">
      <c r="B14445" s="128" t="n">
        <v>44225</v>
      </c>
      <c r="C14445" s="88">
        <f>TEXT(B14445,"aaa")</f>
        <v/>
      </c>
      <c r="D14445" s="94" t="n"/>
      <c r="E14445" s="88">
        <f>INDEX(매칭테이블!C:D,MATCH(RD!G14445,매칭테이블!D:D,0),1)</f>
        <v/>
      </c>
      <c r="F14445" s="94" t="inlineStr">
        <is>
          <t>카페24</t>
        </is>
      </c>
      <c r="G14445" s="94" t="inlineStr">
        <is>
          <t>어성초 70 데일리 릴리프 로션로션=어성초 70 데일리 릴리프 로션 2개 -30% off</t>
        </is>
      </c>
      <c r="K14445" s="94" t="n">
        <v>3</v>
      </c>
      <c r="L14445" s="88" t="n">
        <v>201208</v>
      </c>
      <c r="M14445" s="88">
        <f>VLOOKUP($Q14445,매칭테이블!$F:$I,2,0)*K14445</f>
        <v/>
      </c>
      <c r="N14445" s="88">
        <f>M14445-M14445*VLOOKUP($Q14445,매칭테이블!$F:$I,3,0)</f>
        <v/>
      </c>
      <c r="O14445" s="88">
        <f>VLOOKUP($Q14445,매칭테이블!$F:$I,4,0)*K14445</f>
        <v/>
      </c>
      <c r="P14445" s="152">
        <f>M14445/1.1</f>
        <v/>
      </c>
      <c r="Q14445" s="88">
        <f>F14445&amp;E14445&amp;G14445&amp;L14445</f>
        <v/>
      </c>
    </row>
    <row r="14446">
      <c r="B14446" s="128" t="n">
        <v>44225</v>
      </c>
      <c r="C14446" s="88">
        <f>TEXT(B14446,"aaa")</f>
        <v/>
      </c>
      <c r="D14446" s="94" t="n"/>
      <c r="E14446" s="88">
        <f>INDEX(매칭테이블!C:D,MATCH(RD!G14446,매칭테이블!D:D,0),1)</f>
        <v/>
      </c>
      <c r="F14446" s="94" t="inlineStr">
        <is>
          <t>카페24</t>
        </is>
      </c>
      <c r="G14446" s="94" t="inlineStr">
        <is>
          <t>어성초 70 데일리 릴리프 로션로션=어성초 77토너 + 어성초 70 로션 수분 보충 세트 -30% off</t>
        </is>
      </c>
      <c r="K14446" s="94" t="n">
        <v>3</v>
      </c>
      <c r="L14446" s="88" t="n">
        <v>201208</v>
      </c>
      <c r="M14446" s="88">
        <f>VLOOKUP($Q14446,매칭테이블!$F:$I,2,0)*K14446</f>
        <v/>
      </c>
      <c r="N14446" s="88">
        <f>M14446-M14446*VLOOKUP($Q14446,매칭테이블!$F:$I,3,0)</f>
        <v/>
      </c>
      <c r="O14446" s="88">
        <f>VLOOKUP($Q14446,매칭테이블!$F:$I,4,0)*K14446</f>
        <v/>
      </c>
      <c r="P14446" s="152">
        <f>M14446/1.1</f>
        <v/>
      </c>
      <c r="Q14446" s="88">
        <f>F14446&amp;E14446&amp;G14446&amp;L14446</f>
        <v/>
      </c>
    </row>
    <row r="14447">
      <c r="B14447" s="128" t="n">
        <v>44225</v>
      </c>
      <c r="C14447" s="88">
        <f>TEXT(B14447,"aaa")</f>
        <v/>
      </c>
      <c r="D14447" s="94" t="n"/>
      <c r="E14447" s="88">
        <f>INDEX(매칭테이블!C:D,MATCH(RD!G14447,매칭테이블!D:D,0),1)</f>
        <v/>
      </c>
      <c r="F14447" s="94" t="inlineStr">
        <is>
          <t>카페24</t>
        </is>
      </c>
      <c r="G14447" s="94" t="inlineStr">
        <is>
          <t>어성초 70 머드 크림 마스크옵션=어성초 70 머드 크림 마스크-20% off</t>
        </is>
      </c>
      <c r="K14447" s="94" t="n">
        <v>5</v>
      </c>
      <c r="L14447" s="88" t="n">
        <v>201208</v>
      </c>
      <c r="M14447" s="88">
        <f>VLOOKUP($Q14447,매칭테이블!$F:$I,2,0)*K14447</f>
        <v/>
      </c>
      <c r="N14447" s="88">
        <f>M14447-M14447*VLOOKUP($Q14447,매칭테이블!$F:$I,3,0)</f>
        <v/>
      </c>
      <c r="O14447" s="88">
        <f>VLOOKUP($Q14447,매칭테이블!$F:$I,4,0)*K14447</f>
        <v/>
      </c>
      <c r="P14447" s="152">
        <f>M14447/1.1</f>
        <v/>
      </c>
      <c r="Q14447" s="88">
        <f>F14447&amp;E14447&amp;G14447&amp;L14447</f>
        <v/>
      </c>
    </row>
    <row r="14448">
      <c r="B14448" s="128" t="n">
        <v>44225</v>
      </c>
      <c r="C14448" s="88">
        <f>TEXT(B14448,"aaa")</f>
        <v/>
      </c>
      <c r="D14448" s="94" t="n"/>
      <c r="E14448" s="88">
        <f>INDEX(매칭테이블!C:D,MATCH(RD!G14448,매칭테이블!D:D,0),1)</f>
        <v/>
      </c>
      <c r="F14448" s="94" t="inlineStr">
        <is>
          <t>카페24</t>
        </is>
      </c>
      <c r="G14448" s="94" t="inlineStr">
        <is>
          <t>어성초 70 머드 크림 마스크옵션=어성초 70 머드 크림 마스크 2개-30% off (무료배송)</t>
        </is>
      </c>
      <c r="K14448" s="94" t="n">
        <v>1</v>
      </c>
      <c r="L14448" s="88" t="n">
        <v>201208</v>
      </c>
      <c r="M14448" s="88">
        <f>VLOOKUP($Q14448,매칭테이블!$F:$I,2,0)*K14448</f>
        <v/>
      </c>
      <c r="N14448" s="88">
        <f>M14448-M14448*VLOOKUP($Q14448,매칭테이블!$F:$I,3,0)</f>
        <v/>
      </c>
      <c r="O14448" s="88">
        <f>VLOOKUP($Q14448,매칭테이블!$F:$I,4,0)*K14448</f>
        <v/>
      </c>
      <c r="P14448" s="152">
        <f>M14448/1.1</f>
        <v/>
      </c>
      <c r="Q14448" s="88">
        <f>F14448&amp;E14448&amp;G14448&amp;L14448</f>
        <v/>
      </c>
    </row>
    <row r="14449">
      <c r="B14449" s="128" t="n">
        <v>44225</v>
      </c>
      <c r="C14449" s="88">
        <f>TEXT(B14449,"aaa")</f>
        <v/>
      </c>
      <c r="D14449" s="94" t="n"/>
      <c r="E14449" s="88">
        <f>INDEX(매칭테이블!C:D,MATCH(RD!G14449,매칭테이블!D:D,0),1)</f>
        <v/>
      </c>
      <c r="F14449" s="94" t="inlineStr">
        <is>
          <t>카페24</t>
        </is>
      </c>
      <c r="G14449" s="94" t="inlineStr">
        <is>
          <t>어성초 70 머드 크림 마스크</t>
        </is>
      </c>
      <c r="K14449" s="94" t="n">
        <v>1</v>
      </c>
      <c r="L14449" s="88" t="n">
        <v>201208</v>
      </c>
      <c r="M14449" s="88">
        <f>VLOOKUP($Q14449,매칭테이블!$F:$I,2,0)*K14449</f>
        <v/>
      </c>
      <c r="N14449" s="88">
        <f>M14449-M14449*VLOOKUP($Q14449,매칭테이블!$F:$I,3,0)</f>
        <v/>
      </c>
      <c r="O14449" s="88">
        <f>VLOOKUP($Q14449,매칭테이블!$F:$I,4,0)*K14449</f>
        <v/>
      </c>
      <c r="P14449" s="152">
        <f>M14449/1.1</f>
        <v/>
      </c>
      <c r="Q14449" s="88">
        <f>F14449&amp;E14449&amp;G14449&amp;L14449</f>
        <v/>
      </c>
    </row>
    <row r="14450">
      <c r="B14450" s="128" t="n">
        <v>44225</v>
      </c>
      <c r="C14450" s="88">
        <f>TEXT(B14450,"aaa")</f>
        <v/>
      </c>
      <c r="D14450" s="94" t="n"/>
      <c r="E14450" s="88">
        <f>INDEX(매칭테이블!C:D,MATCH(RD!G14450,매칭테이블!D:D,0),1)</f>
        <v/>
      </c>
      <c r="F14450" s="94" t="inlineStr">
        <is>
          <t>카페24</t>
        </is>
      </c>
      <c r="G14450" s="94" t="inlineStr">
        <is>
          <t>어성초 70 인텐스 카밍 크림크림=어성초 70 인텐스 카밍 크림 1개 (-20%)</t>
        </is>
      </c>
      <c r="K14450" s="94" t="n">
        <v>10</v>
      </c>
      <c r="L14450" s="88" t="n">
        <v>201208</v>
      </c>
      <c r="M14450" s="88">
        <f>VLOOKUP($Q14450,매칭테이블!$F:$I,2,0)*K14450</f>
        <v/>
      </c>
      <c r="N14450" s="88">
        <f>M14450-M14450*VLOOKUP($Q14450,매칭테이블!$F:$I,3,0)</f>
        <v/>
      </c>
      <c r="O14450" s="88">
        <f>VLOOKUP($Q14450,매칭테이블!$F:$I,4,0)*K14450</f>
        <v/>
      </c>
      <c r="P14450" s="152">
        <f>M14450/1.1</f>
        <v/>
      </c>
      <c r="Q14450" s="88">
        <f>F14450&amp;E14450&amp;G14450&amp;L14450</f>
        <v/>
      </c>
    </row>
    <row r="14451">
      <c r="B14451" s="128" t="n">
        <v>44225</v>
      </c>
      <c r="C14451" s="88">
        <f>TEXT(B14451,"aaa")</f>
        <v/>
      </c>
      <c r="D14451" s="94" t="n"/>
      <c r="E14451" s="88">
        <f>INDEX(매칭테이블!C:D,MATCH(RD!G14451,매칭테이블!D:D,0),1)</f>
        <v/>
      </c>
      <c r="F14451" s="94" t="inlineStr">
        <is>
          <t>카페24</t>
        </is>
      </c>
      <c r="G14451" s="94" t="inlineStr">
        <is>
          <t>어성초 70 인텐스 카밍 크림크림=어성초 토너 250ml + 카밍 크림 50ml (-30%)</t>
        </is>
      </c>
      <c r="K14451" s="94" t="n">
        <v>3</v>
      </c>
      <c r="L14451" s="88" t="n">
        <v>201208</v>
      </c>
      <c r="M14451" s="88">
        <f>VLOOKUP($Q14451,매칭테이블!$F:$I,2,0)*K14451</f>
        <v/>
      </c>
      <c r="N14451" s="88">
        <f>M14451-M14451*VLOOKUP($Q14451,매칭테이블!$F:$I,3,0)</f>
        <v/>
      </c>
      <c r="O14451" s="88">
        <f>VLOOKUP($Q14451,매칭테이블!$F:$I,4,0)*K14451</f>
        <v/>
      </c>
      <c r="P14451" s="152">
        <f>M14451/1.1</f>
        <v/>
      </c>
      <c r="Q14451" s="88">
        <f>F14451&amp;E14451&amp;G14451&amp;L14451</f>
        <v/>
      </c>
    </row>
    <row r="14452">
      <c r="B14452" s="128" t="n">
        <v>44225</v>
      </c>
      <c r="C14452" s="88">
        <f>TEXT(B14452,"aaa")</f>
        <v/>
      </c>
      <c r="D14452" s="94" t="n"/>
      <c r="E14452" s="88">
        <f>INDEX(매칭테이블!C:D,MATCH(RD!G14452,매칭테이블!D:D,0),1)</f>
        <v/>
      </c>
      <c r="F14452" s="94" t="inlineStr">
        <is>
          <t>카페24</t>
        </is>
      </c>
      <c r="G14452" s="94" t="inlineStr">
        <is>
          <t>어성초 77 수딩 토너옵션=어성초 77 토너 1개-20% off</t>
        </is>
      </c>
      <c r="K14452" s="94" t="n">
        <v>127</v>
      </c>
      <c r="L14452" s="88" t="n">
        <v>201208</v>
      </c>
      <c r="M14452" s="88">
        <f>VLOOKUP($Q14452,매칭테이블!$F:$I,2,0)*K14452</f>
        <v/>
      </c>
      <c r="N14452" s="88">
        <f>M14452-M14452*VLOOKUP($Q14452,매칭테이블!$F:$I,3,0)</f>
        <v/>
      </c>
      <c r="O14452" s="88">
        <f>VLOOKUP($Q14452,매칭테이블!$F:$I,4,0)*K14452</f>
        <v/>
      </c>
      <c r="P14452" s="152">
        <f>M14452/1.1</f>
        <v/>
      </c>
      <c r="Q14452" s="88">
        <f>F14452&amp;E14452&amp;G14452&amp;L14452</f>
        <v/>
      </c>
    </row>
    <row r="14453">
      <c r="B14453" s="128" t="n">
        <v>44225</v>
      </c>
      <c r="C14453" s="88">
        <f>TEXT(B14453,"aaa")</f>
        <v/>
      </c>
      <c r="D14453" s="94" t="n"/>
      <c r="E14453" s="88">
        <f>INDEX(매칭테이블!C:D,MATCH(RD!G14453,매칭테이블!D:D,0),1)</f>
        <v/>
      </c>
      <c r="F14453" s="94" t="inlineStr">
        <is>
          <t>카페24</t>
        </is>
      </c>
      <c r="G14453" s="94" t="inlineStr">
        <is>
          <t>어성초 77 수딩 토너옵션=BEST어성초 77 토너 2개-30% off (무료배송)</t>
        </is>
      </c>
      <c r="K14453" s="94" t="n">
        <v>73</v>
      </c>
      <c r="L14453" s="88" t="n">
        <v>201208</v>
      </c>
      <c r="M14453" s="88">
        <f>VLOOKUP($Q14453,매칭테이블!$F:$I,2,0)*K14453</f>
        <v/>
      </c>
      <c r="N14453" s="88">
        <f>M14453-M14453*VLOOKUP($Q14453,매칭테이블!$F:$I,3,0)</f>
        <v/>
      </c>
      <c r="O14453" s="88">
        <f>VLOOKUP($Q14453,매칭테이블!$F:$I,4,0)*K14453</f>
        <v/>
      </c>
      <c r="P14453" s="152">
        <f>M14453/1.1</f>
        <v/>
      </c>
      <c r="Q14453" s="88">
        <f>F14453&amp;E14453&amp;G14453&amp;L14453</f>
        <v/>
      </c>
    </row>
    <row r="14454">
      <c r="B14454" s="128" t="n">
        <v>44225</v>
      </c>
      <c r="C14454" s="88">
        <f>TEXT(B14454,"aaa")</f>
        <v/>
      </c>
      <c r="D14454" s="94" t="n"/>
      <c r="E14454" s="88">
        <f>INDEX(매칭테이블!C:D,MATCH(RD!G14454,매칭테이블!D:D,0),1)</f>
        <v/>
      </c>
      <c r="F14454" s="94" t="inlineStr">
        <is>
          <t>카페24</t>
        </is>
      </c>
      <c r="G14454" s="94" t="inlineStr">
        <is>
          <t>어성초 77 수딩 토너옵션=어성초 77토너1개 + 어성초77패드1개 -30% off (무료배송)</t>
        </is>
      </c>
      <c r="K14454" s="94" t="n">
        <v>33</v>
      </c>
      <c r="L14454" s="88" t="n">
        <v>201208</v>
      </c>
      <c r="M14454" s="88">
        <f>VLOOKUP($Q14454,매칭테이블!$F:$I,2,0)*K14454</f>
        <v/>
      </c>
      <c r="N14454" s="88">
        <f>M14454-M14454*VLOOKUP($Q14454,매칭테이블!$F:$I,3,0)</f>
        <v/>
      </c>
      <c r="O14454" s="88">
        <f>VLOOKUP($Q14454,매칭테이블!$F:$I,4,0)*K14454</f>
        <v/>
      </c>
      <c r="P14454" s="152">
        <f>M14454/1.1</f>
        <v/>
      </c>
      <c r="Q14454" s="88">
        <f>F14454&amp;E14454&amp;G14454&amp;L14454</f>
        <v/>
      </c>
    </row>
    <row r="14455">
      <c r="B14455" s="128" t="n">
        <v>44225</v>
      </c>
      <c r="C14455" s="88">
        <f>TEXT(B14455,"aaa")</f>
        <v/>
      </c>
      <c r="D14455" s="94" t="n"/>
      <c r="E14455" s="88">
        <f>INDEX(매칭테이블!C:D,MATCH(RD!G14455,매칭테이블!D:D,0),1)</f>
        <v/>
      </c>
      <c r="F14455" s="94" t="inlineStr">
        <is>
          <t>카페24</t>
        </is>
      </c>
      <c r="G14455" s="94" t="inlineStr">
        <is>
          <t>어성초 77 수딩 토너화장솜(선택)=촉촉 스킨팩 화장솜</t>
        </is>
      </c>
      <c r="K14455" s="94" t="n">
        <v>82</v>
      </c>
      <c r="L14455" s="88" t="n">
        <v>201208</v>
      </c>
      <c r="M14455" s="88">
        <f>VLOOKUP($Q14455,매칭테이블!$F:$I,2,0)*K14455</f>
        <v/>
      </c>
      <c r="N14455" s="88">
        <f>M14455-M14455*VLOOKUP($Q14455,매칭테이블!$F:$I,3,0)</f>
        <v/>
      </c>
      <c r="O14455" s="88">
        <f>VLOOKUP($Q14455,매칭테이블!$F:$I,4,0)*K14455</f>
        <v/>
      </c>
      <c r="P14455" s="152">
        <f>M14455/1.1</f>
        <v/>
      </c>
      <c r="Q14455" s="88">
        <f>F14455&amp;E14455&amp;G14455&amp;L14455</f>
        <v/>
      </c>
    </row>
    <row r="14456">
      <c r="B14456" s="128" t="n">
        <v>44225</v>
      </c>
      <c r="C14456" s="88">
        <f>TEXT(B14456,"aaa")</f>
        <v/>
      </c>
      <c r="D14456" s="94" t="n"/>
      <c r="E14456" s="88">
        <f>INDEX(매칭테이블!C:D,MATCH(RD!G14456,매칭테이블!D:D,0),1)</f>
        <v/>
      </c>
      <c r="F14456" s="94" t="inlineStr">
        <is>
          <t>카페24</t>
        </is>
      </c>
      <c r="G14456" s="94" t="inlineStr">
        <is>
          <t>어성초 77 수딩 토너토너(필수)=어성초 77 토너 1개-20% off</t>
        </is>
      </c>
      <c r="K14456" s="94" t="n">
        <v>1</v>
      </c>
      <c r="L14456" s="88" t="n">
        <v>201208</v>
      </c>
      <c r="M14456" s="88">
        <f>VLOOKUP($Q14456,매칭테이블!$F:$I,2,0)*K14456</f>
        <v/>
      </c>
      <c r="N14456" s="88">
        <f>M14456-M14456*VLOOKUP($Q14456,매칭테이블!$F:$I,3,0)</f>
        <v/>
      </c>
      <c r="O14456" s="88">
        <f>VLOOKUP($Q14456,매칭테이블!$F:$I,4,0)*K14456</f>
        <v/>
      </c>
      <c r="P14456" s="152">
        <f>M14456/1.1</f>
        <v/>
      </c>
      <c r="Q14456" s="88">
        <f>F14456&amp;E14456&amp;G14456&amp;L14456</f>
        <v/>
      </c>
    </row>
    <row r="14457">
      <c r="B14457" s="128" t="n">
        <v>44225</v>
      </c>
      <c r="C14457" s="88">
        <f>TEXT(B14457,"aaa")</f>
        <v/>
      </c>
      <c r="D14457" s="94" t="n"/>
      <c r="E14457" s="88">
        <f>INDEX(매칭테이블!C:D,MATCH(RD!G14457,매칭테이블!D:D,0),1)</f>
        <v/>
      </c>
      <c r="F14457" s="94" t="inlineStr">
        <is>
          <t>카페24</t>
        </is>
      </c>
      <c r="G14457" s="94" t="inlineStr">
        <is>
          <t>어성초 77 진정 마스크옵션=어성초 77 진정 마스크팩 1장</t>
        </is>
      </c>
      <c r="K14457" s="94" t="n">
        <v>3</v>
      </c>
      <c r="L14457" s="88" t="n">
        <v>201208</v>
      </c>
      <c r="M14457" s="88">
        <f>VLOOKUP($Q14457,매칭테이블!$F:$I,2,0)*K14457</f>
        <v/>
      </c>
      <c r="N14457" s="88">
        <f>M14457-M14457*VLOOKUP($Q14457,매칭테이블!$F:$I,3,0)</f>
        <v/>
      </c>
      <c r="O14457" s="88">
        <f>VLOOKUP($Q14457,매칭테이블!$F:$I,4,0)*K14457</f>
        <v/>
      </c>
      <c r="P14457" s="152">
        <f>M14457/1.1</f>
        <v/>
      </c>
      <c r="Q14457" s="88">
        <f>F14457&amp;E14457&amp;G14457&amp;L14457</f>
        <v/>
      </c>
    </row>
    <row r="14458">
      <c r="B14458" s="128" t="n">
        <v>44225</v>
      </c>
      <c r="C14458" s="88">
        <f>TEXT(B14458,"aaa")</f>
        <v/>
      </c>
      <c r="D14458" s="94" t="n"/>
      <c r="E14458" s="88">
        <f>INDEX(매칭테이블!C:D,MATCH(RD!G14458,매칭테이블!D:D,0),1)</f>
        <v/>
      </c>
      <c r="F14458" s="94" t="inlineStr">
        <is>
          <t>카페24</t>
        </is>
      </c>
      <c r="G14458" s="94" t="inlineStr">
        <is>
          <t>어성초 77 진정 마스크옵션=어성초 77 진정 마스크팩 10장-50% off</t>
        </is>
      </c>
      <c r="K14458" s="94" t="n">
        <v>16</v>
      </c>
      <c r="L14458" s="88" t="n">
        <v>201208</v>
      </c>
      <c r="M14458" s="88">
        <f>VLOOKUP($Q14458,매칭테이블!$F:$I,2,0)*K14458</f>
        <v/>
      </c>
      <c r="N14458" s="88">
        <f>M14458-M14458*VLOOKUP($Q14458,매칭테이블!$F:$I,3,0)</f>
        <v/>
      </c>
      <c r="O14458" s="88">
        <f>VLOOKUP($Q14458,매칭테이블!$F:$I,4,0)*K14458</f>
        <v/>
      </c>
      <c r="P14458" s="152">
        <f>M14458/1.1</f>
        <v/>
      </c>
      <c r="Q14458" s="88">
        <f>F14458&amp;E14458&amp;G14458&amp;L14458</f>
        <v/>
      </c>
    </row>
    <row r="14459">
      <c r="B14459" s="128" t="n">
        <v>44225</v>
      </c>
      <c r="C14459" s="88">
        <f>TEXT(B14459,"aaa")</f>
        <v/>
      </c>
      <c r="D14459" s="94" t="n"/>
      <c r="E14459" s="88">
        <f>INDEX(매칭테이블!C:D,MATCH(RD!G14459,매칭테이블!D:D,0),1)</f>
        <v/>
      </c>
      <c r="F14459" s="94" t="inlineStr">
        <is>
          <t>카페24</t>
        </is>
      </c>
      <c r="G14459" s="94" t="inlineStr">
        <is>
          <t>어성초 77 클리어 패드옵션=어성초 77 클리어 패드 1개-20% off</t>
        </is>
      </c>
      <c r="K14459" s="94" t="n">
        <v>43</v>
      </c>
      <c r="L14459" s="88" t="n">
        <v>201208</v>
      </c>
      <c r="M14459" s="88">
        <f>VLOOKUP($Q14459,매칭테이블!$F:$I,2,0)*K14459</f>
        <v/>
      </c>
      <c r="N14459" s="88">
        <f>M14459-M14459*VLOOKUP($Q14459,매칭테이블!$F:$I,3,0)</f>
        <v/>
      </c>
      <c r="O14459" s="88">
        <f>VLOOKUP($Q14459,매칭테이블!$F:$I,4,0)*K14459</f>
        <v/>
      </c>
      <c r="P14459" s="152">
        <f>M14459/1.1</f>
        <v/>
      </c>
      <c r="Q14459" s="88">
        <f>F14459&amp;E14459&amp;G14459&amp;L14459</f>
        <v/>
      </c>
    </row>
    <row r="14460">
      <c r="B14460" s="128" t="n">
        <v>44225</v>
      </c>
      <c r="C14460" s="88">
        <f>TEXT(B14460,"aaa")</f>
        <v/>
      </c>
      <c r="D14460" s="94" t="n"/>
      <c r="E14460" s="88">
        <f>INDEX(매칭테이블!C:D,MATCH(RD!G14460,매칭테이블!D:D,0),1)</f>
        <v/>
      </c>
      <c r="F14460" s="94" t="inlineStr">
        <is>
          <t>카페24</t>
        </is>
      </c>
      <c r="G14460" s="94" t="inlineStr">
        <is>
          <t>어성초 77 클리어 패드옵션=어성초 77 클리어 패드 2개-30% off (무료배송)</t>
        </is>
      </c>
      <c r="K14460" s="94" t="n">
        <v>39</v>
      </c>
      <c r="L14460" s="88" t="n">
        <v>201208</v>
      </c>
      <c r="M14460" s="88">
        <f>VLOOKUP($Q14460,매칭테이블!$F:$I,2,0)*K14460</f>
        <v/>
      </c>
      <c r="N14460" s="88">
        <f>M14460-M14460*VLOOKUP($Q14460,매칭테이블!$F:$I,3,0)</f>
        <v/>
      </c>
      <c r="O14460" s="88">
        <f>VLOOKUP($Q14460,매칭테이블!$F:$I,4,0)*K14460</f>
        <v/>
      </c>
      <c r="P14460" s="152">
        <f>M14460/1.1</f>
        <v/>
      </c>
      <c r="Q14460" s="88">
        <f>F14460&amp;E14460&amp;G14460&amp;L14460</f>
        <v/>
      </c>
    </row>
    <row r="14461">
      <c r="B14461" s="128" t="n">
        <v>44225</v>
      </c>
      <c r="C14461" s="88">
        <f>TEXT(B14461,"aaa")</f>
        <v/>
      </c>
      <c r="D14461" s="94" t="n"/>
      <c r="E14461" s="88">
        <f>INDEX(매칭테이블!C:D,MATCH(RD!G14461,매칭테이블!D:D,0),1)</f>
        <v/>
      </c>
      <c r="F14461" s="94" t="inlineStr">
        <is>
          <t>카페24</t>
        </is>
      </c>
      <c r="G14461" s="94" t="inlineStr">
        <is>
          <t>어성초 77 클리어 패드옵션=어성초 77 클리어 패드 2+1 EVENT (무료배송)</t>
        </is>
      </c>
      <c r="K14461" s="94" t="n">
        <v>23</v>
      </c>
      <c r="L14461" s="88" t="n">
        <v>201208</v>
      </c>
      <c r="M14461" s="88">
        <f>VLOOKUP($Q14461,매칭테이블!$F:$I,2,0)*K14461</f>
        <v/>
      </c>
      <c r="N14461" s="88">
        <f>M14461-M14461*VLOOKUP($Q14461,매칭테이블!$F:$I,3,0)</f>
        <v/>
      </c>
      <c r="O14461" s="88">
        <f>VLOOKUP($Q14461,매칭테이블!$F:$I,4,0)*K14461</f>
        <v/>
      </c>
      <c r="P14461" s="152">
        <f>M14461/1.1</f>
        <v/>
      </c>
      <c r="Q14461" s="88">
        <f>F14461&amp;E14461&amp;G14461&amp;L14461</f>
        <v/>
      </c>
    </row>
    <row r="14462">
      <c r="B14462" s="128" t="n">
        <v>44225</v>
      </c>
      <c r="C14462" s="88">
        <f>TEXT(B14462,"aaa")</f>
        <v/>
      </c>
      <c r="D14462" s="94" t="n"/>
      <c r="E14462" s="88">
        <f>INDEX(매칭테이블!C:D,MATCH(RD!G14462,매칭테이블!D:D,0),1)</f>
        <v/>
      </c>
      <c r="F14462" s="94" t="inlineStr">
        <is>
          <t>카페24</t>
        </is>
      </c>
      <c r="G14462" s="94" t="inlineStr">
        <is>
          <t>어성초 77 클리어 패드옵션=어성초77토너1개+어성초77패드1개-30% off (무료배송)</t>
        </is>
      </c>
      <c r="K14462" s="94" t="n">
        <v>19</v>
      </c>
      <c r="L14462" s="88" t="n">
        <v>201208</v>
      </c>
      <c r="M14462" s="88">
        <f>VLOOKUP($Q14462,매칭테이블!$F:$I,2,0)*K14462</f>
        <v/>
      </c>
      <c r="N14462" s="88">
        <f>M14462-M14462*VLOOKUP($Q14462,매칭테이블!$F:$I,3,0)</f>
        <v/>
      </c>
      <c r="O14462" s="88">
        <f>VLOOKUP($Q14462,매칭테이블!$F:$I,4,0)*K14462</f>
        <v/>
      </c>
      <c r="P14462" s="152">
        <f>M14462/1.1</f>
        <v/>
      </c>
      <c r="Q14462" s="88">
        <f>F14462&amp;E14462&amp;G14462&amp;L14462</f>
        <v/>
      </c>
    </row>
    <row r="14463">
      <c r="B14463" s="128" t="n">
        <v>44225</v>
      </c>
      <c r="C14463" s="88">
        <f>TEXT(B14463,"aaa")</f>
        <v/>
      </c>
      <c r="D14463" s="94" t="n"/>
      <c r="E14463" s="88">
        <f>INDEX(매칭테이블!C:D,MATCH(RD!G14463,매칭테이블!D:D,0),1)</f>
        <v/>
      </c>
      <c r="F14463" s="94" t="inlineStr">
        <is>
          <t>카페24</t>
        </is>
      </c>
      <c r="G14463" s="94" t="inlineStr">
        <is>
          <t>어성초 77 포어 클리어 패드옵션=어성초 77 클리어 패드 2개-30% off (무료배송)</t>
        </is>
      </c>
      <c r="K14463" s="94" t="n">
        <v>1</v>
      </c>
      <c r="L14463" s="88" t="n">
        <v>201208</v>
      </c>
      <c r="M14463" s="88">
        <f>VLOOKUP($Q14463,매칭테이블!$F:$I,2,0)*K14463</f>
        <v/>
      </c>
      <c r="N14463" s="88">
        <f>M14463-M14463*VLOOKUP($Q14463,매칭테이블!$F:$I,3,0)</f>
        <v/>
      </c>
      <c r="O14463" s="88">
        <f>VLOOKUP($Q14463,매칭테이블!$F:$I,4,0)*K14463</f>
        <v/>
      </c>
      <c r="P14463" s="152">
        <f>M14463/1.1</f>
        <v/>
      </c>
      <c r="Q14463" s="88">
        <f>F14463&amp;E14463&amp;G14463&amp;L14463</f>
        <v/>
      </c>
    </row>
    <row r="14464">
      <c r="B14464" s="128" t="n">
        <v>44225</v>
      </c>
      <c r="C14464" s="88">
        <f>TEXT(B14464,"aaa")</f>
        <v/>
      </c>
      <c r="D14464" s="94" t="n"/>
      <c r="E14464" s="88">
        <f>INDEX(매칭테이블!C:D,MATCH(RD!G14464,매칭테이블!D:D,0),1)</f>
        <v/>
      </c>
      <c r="F14464" s="94" t="inlineStr">
        <is>
          <t>카페24</t>
        </is>
      </c>
      <c r="G14464" s="94" t="inlineStr">
        <is>
          <t>어성초 77 포어 클리어 패드옵션=어성초 77 클리어 패드 2+1 EVENT (무료배송)</t>
        </is>
      </c>
      <c r="K14464" s="94" t="n">
        <v>1</v>
      </c>
      <c r="L14464" s="88" t="n">
        <v>201208</v>
      </c>
      <c r="M14464" s="88">
        <f>VLOOKUP($Q14464,매칭테이블!$F:$I,2,0)*K14464</f>
        <v/>
      </c>
      <c r="N14464" s="88">
        <f>M14464-M14464*VLOOKUP($Q14464,매칭테이블!$F:$I,3,0)</f>
        <v/>
      </c>
      <c r="O14464" s="88">
        <f>VLOOKUP($Q14464,매칭테이블!$F:$I,4,0)*K14464</f>
        <v/>
      </c>
      <c r="P14464" s="152">
        <f>M14464/1.1</f>
        <v/>
      </c>
      <c r="Q14464" s="88">
        <f>F14464&amp;E14464&amp;G14464&amp;L14464</f>
        <v/>
      </c>
    </row>
    <row r="14465">
      <c r="B14465" s="128" t="n">
        <v>44225</v>
      </c>
      <c r="C14465" s="88">
        <f>TEXT(B14465,"aaa")</f>
        <v/>
      </c>
      <c r="D14465" s="94" t="n"/>
      <c r="E14465" s="88">
        <f>INDEX(매칭테이블!C:D,MATCH(RD!G14465,매칭테이블!D:D,0),1)</f>
        <v/>
      </c>
      <c r="F14465" s="94" t="inlineStr">
        <is>
          <t>카페24</t>
        </is>
      </c>
      <c r="G14465" s="94" t="inlineStr">
        <is>
          <t>어성초 77% 수딩 토너토너(필수)=어성초 77 토너 1개-20% off</t>
        </is>
      </c>
      <c r="K14465" s="94" t="n">
        <v>3</v>
      </c>
      <c r="L14465" s="88" t="n">
        <v>201208</v>
      </c>
      <c r="M14465" s="88">
        <f>VLOOKUP($Q14465,매칭테이블!$F:$I,2,0)*K14465</f>
        <v/>
      </c>
      <c r="N14465" s="88">
        <f>M14465-M14465*VLOOKUP($Q14465,매칭테이블!$F:$I,3,0)</f>
        <v/>
      </c>
      <c r="O14465" s="88">
        <f>VLOOKUP($Q14465,매칭테이블!$F:$I,4,0)*K14465</f>
        <v/>
      </c>
      <c r="P14465" s="152">
        <f>M14465/1.1</f>
        <v/>
      </c>
      <c r="Q14465" s="88">
        <f>F14465&amp;E14465&amp;G14465&amp;L14465</f>
        <v/>
      </c>
    </row>
    <row r="14466">
      <c r="B14466" s="128" t="n">
        <v>44225</v>
      </c>
      <c r="C14466" s="88">
        <f>TEXT(B14466,"aaa")</f>
        <v/>
      </c>
      <c r="D14466" s="94" t="n"/>
      <c r="E14466" s="88">
        <f>INDEX(매칭테이블!C:D,MATCH(RD!G14466,매칭테이블!D:D,0),1)</f>
        <v/>
      </c>
      <c r="F14466" s="94" t="inlineStr">
        <is>
          <t>카페24</t>
        </is>
      </c>
      <c r="G14466" s="94" t="inlineStr">
        <is>
          <t>어성초 77% 수딩 토너토너(필수)=어성초 77 토너 2개-30% off (무료배송)</t>
        </is>
      </c>
      <c r="K14466" s="94" t="n">
        <v>8</v>
      </c>
      <c r="L14466" s="88" t="n">
        <v>201208</v>
      </c>
      <c r="M14466" s="88">
        <f>VLOOKUP($Q14466,매칭테이블!$F:$I,2,0)*K14466</f>
        <v/>
      </c>
      <c r="N14466" s="88">
        <f>M14466-M14466*VLOOKUP($Q14466,매칭테이블!$F:$I,3,0)</f>
        <v/>
      </c>
      <c r="O14466" s="88">
        <f>VLOOKUP($Q14466,매칭테이블!$F:$I,4,0)*K14466</f>
        <v/>
      </c>
      <c r="P14466" s="152">
        <f>M14466/1.1</f>
        <v/>
      </c>
      <c r="Q14466" s="88">
        <f>F14466&amp;E14466&amp;G14466&amp;L14466</f>
        <v/>
      </c>
    </row>
    <row r="14467">
      <c r="B14467" s="128" t="n">
        <v>44225</v>
      </c>
      <c r="C14467" s="88">
        <f>TEXT(B14467,"aaa")</f>
        <v/>
      </c>
      <c r="D14467" s="94" t="n"/>
      <c r="E14467" s="88">
        <f>INDEX(매칭테이블!C:D,MATCH(RD!G14467,매칭테이블!D:D,0),1)</f>
        <v/>
      </c>
      <c r="F14467" s="94" t="inlineStr">
        <is>
          <t>카페24</t>
        </is>
      </c>
      <c r="G14467" s="94" t="inlineStr">
        <is>
          <t>어성초 77% 수딩 토너토너(필수)=어성초77토너1개 + 어성초77패드1개 -30% off (무료배송)</t>
        </is>
      </c>
      <c r="K14467" s="94" t="n">
        <v>1</v>
      </c>
      <c r="L14467" s="88" t="n">
        <v>201208</v>
      </c>
      <c r="M14467" s="88">
        <f>VLOOKUP($Q14467,매칭테이블!$F:$I,2,0)*K14467</f>
        <v/>
      </c>
      <c r="N14467" s="88">
        <f>M14467-M14467*VLOOKUP($Q14467,매칭테이블!$F:$I,3,0)</f>
        <v/>
      </c>
      <c r="O14467" s="88">
        <f>VLOOKUP($Q14467,매칭테이블!$F:$I,4,0)*K14467</f>
        <v/>
      </c>
      <c r="P14467" s="152">
        <f>M14467/1.1</f>
        <v/>
      </c>
      <c r="Q14467" s="88">
        <f>F14467&amp;E14467&amp;G14467&amp;L14467</f>
        <v/>
      </c>
    </row>
    <row r="14468">
      <c r="B14468" s="128" t="n">
        <v>44225</v>
      </c>
      <c r="C14468" s="88">
        <f>TEXT(B14468,"aaa")</f>
        <v/>
      </c>
      <c r="D14468" s="94" t="n"/>
      <c r="E14468" s="88">
        <f>INDEX(매칭테이블!C:D,MATCH(RD!G14468,매칭테이블!D:D,0),1)</f>
        <v/>
      </c>
      <c r="F14468" s="94" t="inlineStr">
        <is>
          <t>카페24</t>
        </is>
      </c>
      <c r="G14468" s="94" t="inlineStr">
        <is>
          <t>어성초 77% 수딩 토너화장솜(선택)=촉촉 스킨팩 화장솜</t>
        </is>
      </c>
      <c r="K14468" s="94" t="n">
        <v>3</v>
      </c>
      <c r="L14468" s="88" t="n">
        <v>201208</v>
      </c>
      <c r="M14468" s="88">
        <f>VLOOKUP($Q14468,매칭테이블!$F:$I,2,0)*K14468</f>
        <v/>
      </c>
      <c r="N14468" s="88">
        <f>M14468-M14468*VLOOKUP($Q14468,매칭테이블!$F:$I,3,0)</f>
        <v/>
      </c>
      <c r="O14468" s="88">
        <f>VLOOKUP($Q14468,매칭테이블!$F:$I,4,0)*K14468</f>
        <v/>
      </c>
      <c r="P14468" s="152">
        <f>M14468/1.1</f>
        <v/>
      </c>
      <c r="Q14468" s="88">
        <f>F14468&amp;E14468&amp;G14468&amp;L14468</f>
        <v/>
      </c>
    </row>
    <row r="14469">
      <c r="B14469" s="128" t="n">
        <v>44225</v>
      </c>
      <c r="C14469" s="88">
        <f>TEXT(B14469,"aaa")</f>
        <v/>
      </c>
      <c r="D14469" s="94" t="n"/>
      <c r="E14469" s="88">
        <f>INDEX(매칭테이블!C:D,MATCH(RD!G14469,매칭테이블!D:D,0),1)</f>
        <v/>
      </c>
      <c r="F14469" s="94" t="inlineStr">
        <is>
          <t>카페24</t>
        </is>
      </c>
      <c r="G14469" s="94" t="inlineStr">
        <is>
          <t>어성초 77% 패드옵션=어성초 77 클리어 패드 1개-20% off</t>
        </is>
      </c>
      <c r="K14469" s="94" t="n">
        <v>38</v>
      </c>
      <c r="L14469" s="88" t="n">
        <v>201208</v>
      </c>
      <c r="M14469" s="88">
        <f>VLOOKUP($Q14469,매칭테이블!$F:$I,2,0)*K14469</f>
        <v/>
      </c>
      <c r="N14469" s="88">
        <f>M14469-M14469*VLOOKUP($Q14469,매칭테이블!$F:$I,3,0)</f>
        <v/>
      </c>
      <c r="O14469" s="88">
        <f>VLOOKUP($Q14469,매칭테이블!$F:$I,4,0)*K14469</f>
        <v/>
      </c>
      <c r="P14469" s="152">
        <f>M14469/1.1</f>
        <v/>
      </c>
      <c r="Q14469" s="88">
        <f>F14469&amp;E14469&amp;G14469&amp;L14469</f>
        <v/>
      </c>
    </row>
    <row r="14470">
      <c r="B14470" s="128" t="n">
        <v>44225</v>
      </c>
      <c r="C14470" s="88">
        <f>TEXT(B14470,"aaa")</f>
        <v/>
      </c>
      <c r="D14470" s="94" t="n"/>
      <c r="E14470" s="88">
        <f>INDEX(매칭테이블!C:D,MATCH(RD!G14470,매칭테이블!D:D,0),1)</f>
        <v/>
      </c>
      <c r="F14470" s="94" t="inlineStr">
        <is>
          <t>카페24</t>
        </is>
      </c>
      <c r="G14470" s="94" t="inlineStr">
        <is>
          <t>어성초 77% 패드옵션=어성초 77 클리어 패드 2개-30% off (무료배송)</t>
        </is>
      </c>
      <c r="K14470" s="94" t="n">
        <v>22</v>
      </c>
      <c r="L14470" s="88" t="n">
        <v>201208</v>
      </c>
      <c r="M14470" s="88">
        <f>VLOOKUP($Q14470,매칭테이블!$F:$I,2,0)*K14470</f>
        <v/>
      </c>
      <c r="N14470" s="88">
        <f>M14470-M14470*VLOOKUP($Q14470,매칭테이블!$F:$I,3,0)</f>
        <v/>
      </c>
      <c r="O14470" s="88">
        <f>VLOOKUP($Q14470,매칭테이블!$F:$I,4,0)*K14470</f>
        <v/>
      </c>
      <c r="P14470" s="152">
        <f>M14470/1.1</f>
        <v/>
      </c>
      <c r="Q14470" s="88">
        <f>F14470&amp;E14470&amp;G14470&amp;L14470</f>
        <v/>
      </c>
    </row>
    <row r="14471">
      <c r="B14471" s="128" t="n">
        <v>44225</v>
      </c>
      <c r="C14471" s="88">
        <f>TEXT(B14471,"aaa")</f>
        <v/>
      </c>
      <c r="D14471" s="94" t="n"/>
      <c r="E14471" s="88">
        <f>INDEX(매칭테이블!C:D,MATCH(RD!G14471,매칭테이블!D:D,0),1)</f>
        <v/>
      </c>
      <c r="F14471" s="94" t="inlineStr">
        <is>
          <t>카페24</t>
        </is>
      </c>
      <c r="G14471" s="94" t="inlineStr">
        <is>
          <t>어성초 77% 패드옵션=어성초 77 클리어 패드 2+1 EVENT (무료배송)</t>
        </is>
      </c>
      <c r="K14471" s="94" t="n">
        <v>9</v>
      </c>
      <c r="L14471" s="88" t="n">
        <v>201208</v>
      </c>
      <c r="M14471" s="88">
        <f>VLOOKUP($Q14471,매칭테이블!$F:$I,2,0)*K14471</f>
        <v/>
      </c>
      <c r="N14471" s="88">
        <f>M14471-M14471*VLOOKUP($Q14471,매칭테이블!$F:$I,3,0)</f>
        <v/>
      </c>
      <c r="O14471" s="88">
        <f>VLOOKUP($Q14471,매칭테이블!$F:$I,4,0)*K14471</f>
        <v/>
      </c>
      <c r="P14471" s="152">
        <f>M14471/1.1</f>
        <v/>
      </c>
      <c r="Q14471" s="88">
        <f>F14471&amp;E14471&amp;G14471&amp;L14471</f>
        <v/>
      </c>
    </row>
    <row r="14472">
      <c r="B14472" s="128" t="n">
        <v>44225</v>
      </c>
      <c r="C14472" s="88">
        <f>TEXT(B14472,"aaa")</f>
        <v/>
      </c>
      <c r="D14472" s="94" t="n"/>
      <c r="E14472" s="88">
        <f>INDEX(매칭테이블!C:D,MATCH(RD!G14472,매칭테이블!D:D,0),1)</f>
        <v/>
      </c>
      <c r="F14472" s="94" t="inlineStr">
        <is>
          <t>카페24</t>
        </is>
      </c>
      <c r="G14472" s="94" t="inlineStr">
        <is>
          <t>어성초 77% 패드옵션=어성초77토너1개+어성초77패드1개-30% off (무료배송)</t>
        </is>
      </c>
      <c r="K14472" s="94" t="n">
        <v>7</v>
      </c>
      <c r="L14472" s="88" t="n">
        <v>201208</v>
      </c>
      <c r="M14472" s="88">
        <f>VLOOKUP($Q14472,매칭테이블!$F:$I,2,0)*K14472</f>
        <v/>
      </c>
      <c r="N14472" s="88">
        <f>M14472-M14472*VLOOKUP($Q14472,매칭테이블!$F:$I,3,0)</f>
        <v/>
      </c>
      <c r="O14472" s="88">
        <f>VLOOKUP($Q14472,매칭테이블!$F:$I,4,0)*K14472</f>
        <v/>
      </c>
      <c r="P14472" s="152">
        <f>M14472/1.1</f>
        <v/>
      </c>
      <c r="Q14472" s="88">
        <f>F14472&amp;E14472&amp;G14472&amp;L14472</f>
        <v/>
      </c>
    </row>
    <row r="14473">
      <c r="B14473" s="128" t="n">
        <v>44225</v>
      </c>
      <c r="C14473" s="88">
        <f>TEXT(B14473,"aaa")</f>
        <v/>
      </c>
      <c r="D14473" s="94" t="n"/>
      <c r="E14473" s="88">
        <f>INDEX(매칭테이블!C:D,MATCH(RD!G14473,매칭테이블!D:D,0),1)</f>
        <v/>
      </c>
      <c r="F14473" s="94" t="inlineStr">
        <is>
          <t>카페24</t>
        </is>
      </c>
      <c r="G14473" s="94" t="inlineStr">
        <is>
          <t>어성초 78 수딩 크림</t>
        </is>
      </c>
      <c r="K14473" s="94" t="n">
        <v>11</v>
      </c>
      <c r="L14473" s="88" t="n">
        <v>201208</v>
      </c>
      <c r="M14473" s="88">
        <f>VLOOKUP($Q14473,매칭테이블!$F:$I,2,0)*K14473</f>
        <v/>
      </c>
      <c r="N14473" s="88">
        <f>M14473-M14473*VLOOKUP($Q14473,매칭테이블!$F:$I,3,0)</f>
        <v/>
      </c>
      <c r="O14473" s="88">
        <f>VLOOKUP($Q14473,매칭테이블!$F:$I,4,0)*K14473</f>
        <v/>
      </c>
      <c r="P14473" s="152">
        <f>M14473/1.1</f>
        <v/>
      </c>
      <c r="Q14473" s="88">
        <f>F14473&amp;E14473&amp;G14473&amp;L14473</f>
        <v/>
      </c>
    </row>
    <row r="14474">
      <c r="B14474" s="128" t="n">
        <v>44225</v>
      </c>
      <c r="C14474" s="88">
        <f>TEXT(B14474,"aaa")</f>
        <v/>
      </c>
      <c r="D14474" s="94" t="n"/>
      <c r="E14474" s="88">
        <f>INDEX(매칭테이블!C:D,MATCH(RD!G14474,매칭테이블!D:D,0),1)</f>
        <v/>
      </c>
      <c r="F14474" s="94" t="inlineStr">
        <is>
          <t>카페24</t>
        </is>
      </c>
      <c r="G14474" s="94" t="inlineStr">
        <is>
          <t>어성초 78 수딩 크림</t>
        </is>
      </c>
      <c r="K14474" s="94" t="n">
        <v>9</v>
      </c>
      <c r="L14474" s="88" t="n">
        <v>201208</v>
      </c>
      <c r="M14474" s="88">
        <f>VLOOKUP($Q14474,매칭테이블!$F:$I,2,0)*K14474</f>
        <v/>
      </c>
      <c r="N14474" s="88">
        <f>M14474-M14474*VLOOKUP($Q14474,매칭테이블!$F:$I,3,0)</f>
        <v/>
      </c>
      <c r="O14474" s="88">
        <f>VLOOKUP($Q14474,매칭테이블!$F:$I,4,0)*K14474</f>
        <v/>
      </c>
      <c r="P14474" s="152">
        <f>M14474/1.1</f>
        <v/>
      </c>
      <c r="Q14474" s="88">
        <f>F14474&amp;E14474&amp;G14474&amp;L14474</f>
        <v/>
      </c>
    </row>
    <row r="14475">
      <c r="B14475" s="128" t="n">
        <v>44225</v>
      </c>
      <c r="C14475" s="88">
        <f>TEXT(B14475,"aaa")</f>
        <v/>
      </c>
      <c r="D14475" s="94" t="n"/>
      <c r="E14475" s="88">
        <f>INDEX(매칭테이블!C:D,MATCH(RD!G14475,매칭테이블!D:D,0),1)</f>
        <v/>
      </c>
      <c r="F14475" s="94" t="inlineStr">
        <is>
          <t>카페24</t>
        </is>
      </c>
      <c r="G14475" s="94" t="inlineStr">
        <is>
          <t>어성초 80 수분 진정 앰플앰플=어성초 80 앰플 1개-15%off</t>
        </is>
      </c>
      <c r="K14475" s="94" t="n">
        <v>22</v>
      </c>
      <c r="L14475" s="88" t="n">
        <v>201208</v>
      </c>
      <c r="M14475" s="88">
        <f>VLOOKUP($Q14475,매칭테이블!$F:$I,2,0)*K14475</f>
        <v/>
      </c>
      <c r="N14475" s="88">
        <f>M14475-M14475*VLOOKUP($Q14475,매칭테이블!$F:$I,3,0)</f>
        <v/>
      </c>
      <c r="O14475" s="88">
        <f>VLOOKUP($Q14475,매칭테이블!$F:$I,4,0)*K14475</f>
        <v/>
      </c>
      <c r="P14475" s="152">
        <f>M14475/1.1</f>
        <v/>
      </c>
      <c r="Q14475" s="88">
        <f>F14475&amp;E14475&amp;G14475&amp;L14475</f>
        <v/>
      </c>
    </row>
    <row r="14476">
      <c r="B14476" s="128" t="n">
        <v>44225</v>
      </c>
      <c r="C14476" s="88">
        <f>TEXT(B14476,"aaa")</f>
        <v/>
      </c>
      <c r="D14476" s="94" t="n"/>
      <c r="E14476" s="88">
        <f>INDEX(매칭테이블!C:D,MATCH(RD!G14476,매칭테이블!D:D,0),1)</f>
        <v/>
      </c>
      <c r="F14476" s="94" t="inlineStr">
        <is>
          <t>카페24</t>
        </is>
      </c>
      <c r="G14476" s="94" t="inlineStr">
        <is>
          <t>어성초 80 수분 진정 앰플앰플=어성초 80 앰플 2개-27%off (무료배송)</t>
        </is>
      </c>
      <c r="K14476" s="94" t="n">
        <v>10</v>
      </c>
      <c r="L14476" s="88" t="n">
        <v>201208</v>
      </c>
      <c r="M14476" s="88">
        <f>VLOOKUP($Q14476,매칭테이블!$F:$I,2,0)*K14476</f>
        <v/>
      </c>
      <c r="N14476" s="88">
        <f>M14476-M14476*VLOOKUP($Q14476,매칭테이블!$F:$I,3,0)</f>
        <v/>
      </c>
      <c r="O14476" s="88">
        <f>VLOOKUP($Q14476,매칭테이블!$F:$I,4,0)*K14476</f>
        <v/>
      </c>
      <c r="P14476" s="152">
        <f>M14476/1.1</f>
        <v/>
      </c>
      <c r="Q14476" s="88">
        <f>F14476&amp;E14476&amp;G14476&amp;L14476</f>
        <v/>
      </c>
    </row>
    <row r="14477">
      <c r="B14477" s="128" t="n">
        <v>44225</v>
      </c>
      <c r="C14477" s="88">
        <f>TEXT(B14477,"aaa")</f>
        <v/>
      </c>
      <c r="D14477" s="94" t="n"/>
      <c r="E14477" s="88">
        <f>INDEX(매칭테이블!C:D,MATCH(RD!G14477,매칭테이블!D:D,0),1)</f>
        <v/>
      </c>
      <c r="F14477" s="94" t="inlineStr">
        <is>
          <t>카페24</t>
        </is>
      </c>
      <c r="G14477" s="94" t="inlineStr">
        <is>
          <t>어성초 80 수분 진정 앰플</t>
        </is>
      </c>
      <c r="K14477" s="94" t="n">
        <v>9</v>
      </c>
      <c r="L14477" s="88" t="n">
        <v>201208</v>
      </c>
      <c r="M14477" s="88">
        <f>VLOOKUP($Q14477,매칭테이블!$F:$I,2,0)*K14477</f>
        <v/>
      </c>
      <c r="N14477" s="88">
        <f>M14477-M14477*VLOOKUP($Q14477,매칭테이블!$F:$I,3,0)</f>
        <v/>
      </c>
      <c r="O14477" s="88">
        <f>VLOOKUP($Q14477,매칭테이블!$F:$I,4,0)*K14477</f>
        <v/>
      </c>
      <c r="P14477" s="152">
        <f>M14477/1.1</f>
        <v/>
      </c>
      <c r="Q14477" s="88">
        <f>F14477&amp;E14477&amp;G14477&amp;L14477</f>
        <v/>
      </c>
    </row>
    <row r="14478">
      <c r="B14478" s="128" t="n">
        <v>44225</v>
      </c>
      <c r="C14478" s="88">
        <f>TEXT(B14478,"aaa")</f>
        <v/>
      </c>
      <c r="D14478" s="94" t="n"/>
      <c r="E14478" s="88">
        <f>INDEX(매칭테이블!C:D,MATCH(RD!G14478,매칭테이블!D:D,0),1)</f>
        <v/>
      </c>
      <c r="F14478" s="94" t="inlineStr">
        <is>
          <t>카페24</t>
        </is>
      </c>
      <c r="G14478" s="94" t="inlineStr">
        <is>
          <t>어성초 아크네 바디워시옵션=어성초 아크네 바디워시 1개 -30% off</t>
        </is>
      </c>
      <c r="K14478" s="94" t="n">
        <v>4</v>
      </c>
      <c r="L14478" s="88" t="n">
        <v>201208</v>
      </c>
      <c r="M14478" s="88">
        <f>VLOOKUP($Q14478,매칭테이블!$F:$I,2,0)*K14478</f>
        <v/>
      </c>
      <c r="N14478" s="88">
        <f>M14478-M14478*VLOOKUP($Q14478,매칭테이블!$F:$I,3,0)</f>
        <v/>
      </c>
      <c r="O14478" s="88">
        <f>VLOOKUP($Q14478,매칭테이블!$F:$I,4,0)*K14478</f>
        <v/>
      </c>
      <c r="P14478" s="152">
        <f>M14478/1.1</f>
        <v/>
      </c>
      <c r="Q14478" s="88">
        <f>F14478&amp;E14478&amp;G14478&amp;L14478</f>
        <v/>
      </c>
    </row>
    <row r="14479">
      <c r="B14479" s="128" t="n">
        <v>44225</v>
      </c>
      <c r="C14479" s="88">
        <f>TEXT(B14479,"aaa")</f>
        <v/>
      </c>
      <c r="D14479" s="94" t="n"/>
      <c r="E14479" s="88">
        <f>INDEX(매칭테이블!C:D,MATCH(RD!G14479,매칭테이블!D:D,0),1)</f>
        <v/>
      </c>
      <c r="F14479" s="94" t="inlineStr">
        <is>
          <t>카페24</t>
        </is>
      </c>
      <c r="G14479" s="94" t="inlineStr">
        <is>
          <t>어성초 약산성 클렌징폼클렌징폼=어성초 약산성 클렌징폼 1개 -19%off</t>
        </is>
      </c>
      <c r="K14479" s="94" t="n">
        <v>31</v>
      </c>
      <c r="L14479" s="88" t="n">
        <v>201208</v>
      </c>
      <c r="M14479" s="88">
        <f>VLOOKUP($Q14479,매칭테이블!$F:$I,2,0)*K14479</f>
        <v/>
      </c>
      <c r="N14479" s="88">
        <f>M14479-M14479*VLOOKUP($Q14479,매칭테이블!$F:$I,3,0)</f>
        <v/>
      </c>
      <c r="O14479" s="88">
        <f>VLOOKUP($Q14479,매칭테이블!$F:$I,4,0)*K14479</f>
        <v/>
      </c>
      <c r="P14479" s="152">
        <f>M14479/1.1</f>
        <v/>
      </c>
      <c r="Q14479" s="88">
        <f>F14479&amp;E14479&amp;G14479&amp;L14479</f>
        <v/>
      </c>
    </row>
    <row r="14480">
      <c r="B14480" s="128" t="n">
        <v>44225</v>
      </c>
      <c r="C14480" s="88">
        <f>TEXT(B14480,"aaa")</f>
        <v/>
      </c>
      <c r="D14480" s="94" t="n"/>
      <c r="E14480" s="88">
        <f>INDEX(매칭테이블!C:D,MATCH(RD!G14480,매칭테이블!D:D,0),1)</f>
        <v/>
      </c>
      <c r="F14480" s="94" t="inlineStr">
        <is>
          <t>카페24</t>
        </is>
      </c>
      <c r="G14480" s="94" t="inlineStr">
        <is>
          <t>어성초 약산성 클렌징폼클렌징폼=어성초 약산성 클렌징폼 2개 -25%off</t>
        </is>
      </c>
      <c r="K14480" s="94" t="n">
        <v>4</v>
      </c>
      <c r="L14480" s="88" t="n">
        <v>201208</v>
      </c>
      <c r="M14480" s="88">
        <f>VLOOKUP($Q14480,매칭테이블!$F:$I,2,0)*K14480</f>
        <v/>
      </c>
      <c r="N14480" s="88">
        <f>M14480-M14480*VLOOKUP($Q14480,매칭테이블!$F:$I,3,0)</f>
        <v/>
      </c>
      <c r="O14480" s="88">
        <f>VLOOKUP($Q14480,매칭테이블!$F:$I,4,0)*K14480</f>
        <v/>
      </c>
      <c r="P14480" s="152">
        <f>M14480/1.1</f>
        <v/>
      </c>
      <c r="Q14480" s="88">
        <f>F14480&amp;E14480&amp;G14480&amp;L14480</f>
        <v/>
      </c>
    </row>
    <row r="14481">
      <c r="B14481" s="128" t="n">
        <v>44225</v>
      </c>
      <c r="C14481" s="88">
        <f>TEXT(B14481,"aaa")</f>
        <v/>
      </c>
      <c r="D14481" s="94" t="n"/>
      <c r="E14481" s="88">
        <f>INDEX(매칭테이블!C:D,MATCH(RD!G14481,매칭테이블!D:D,0),1)</f>
        <v/>
      </c>
      <c r="F14481" s="94" t="inlineStr">
        <is>
          <t>카페24</t>
        </is>
      </c>
      <c r="G14481" s="94" t="inlineStr">
        <is>
          <t>어성초 약산성 클렌징폼클렌징폼=어성초 약산성 클렌징폼 3개 -31%off (무료배송)</t>
        </is>
      </c>
      <c r="K14481" s="94" t="n">
        <v>3</v>
      </c>
      <c r="L14481" s="88" t="n">
        <v>201208</v>
      </c>
      <c r="M14481" s="88">
        <f>VLOOKUP($Q14481,매칭테이블!$F:$I,2,0)*K14481</f>
        <v/>
      </c>
      <c r="N14481" s="88">
        <f>M14481-M14481*VLOOKUP($Q14481,매칭테이블!$F:$I,3,0)</f>
        <v/>
      </c>
      <c r="O14481" s="88">
        <f>VLOOKUP($Q14481,매칭테이블!$F:$I,4,0)*K14481</f>
        <v/>
      </c>
      <c r="P14481" s="152">
        <f>M14481/1.1</f>
        <v/>
      </c>
      <c r="Q14481" s="88">
        <f>F14481&amp;E14481&amp;G14481&amp;L14481</f>
        <v/>
      </c>
    </row>
    <row r="14482">
      <c r="B14482" s="128" t="n">
        <v>44225</v>
      </c>
      <c r="C14482" s="88">
        <f>TEXT(B14482,"aaa")</f>
        <v/>
      </c>
      <c r="D14482" s="94" t="n"/>
      <c r="E14482" s="88">
        <f>INDEX(매칭테이블!C:D,MATCH(RD!G14482,매칭테이블!D:D,0),1)</f>
        <v/>
      </c>
      <c r="F14482" s="94" t="inlineStr">
        <is>
          <t>카페24</t>
        </is>
      </c>
      <c r="G14482" s="94" t="inlineStr">
        <is>
          <t>어성초 약산성 클렌징폼</t>
        </is>
      </c>
      <c r="K14482" s="94" t="n">
        <v>2</v>
      </c>
      <c r="L14482" s="88" t="n">
        <v>201208</v>
      </c>
      <c r="M14482" s="88">
        <f>VLOOKUP($Q14482,매칭테이블!$F:$I,2,0)*K14482</f>
        <v/>
      </c>
      <c r="N14482" s="88">
        <f>M14482-M14482*VLOOKUP($Q14482,매칭테이블!$F:$I,3,0)</f>
        <v/>
      </c>
      <c r="O14482" s="88">
        <f>VLOOKUP($Q14482,매칭테이블!$F:$I,4,0)*K14482</f>
        <v/>
      </c>
      <c r="P14482" s="152">
        <f>M14482/1.1</f>
        <v/>
      </c>
      <c r="Q14482" s="88">
        <f>F14482&amp;E14482&amp;G14482&amp;L14482</f>
        <v/>
      </c>
    </row>
    <row r="14483">
      <c r="B14483" s="128" t="n">
        <v>44225</v>
      </c>
      <c r="C14483" s="88">
        <f>TEXT(B14483,"aaa")</f>
        <v/>
      </c>
      <c r="D14483" s="94" t="n"/>
      <c r="E14483" s="88">
        <f>INDEX(매칭테이블!C:D,MATCH(RD!G14483,매칭테이블!D:D,0),1)</f>
        <v/>
      </c>
      <c r="F14483" s="94" t="inlineStr">
        <is>
          <t>카페24</t>
        </is>
      </c>
      <c r="G14483" s="94" t="inlineStr">
        <is>
          <t>어성초 크림마스크 나이트 솔루션옵션=어성초 크림마스크 나이트 솔루션 10장 (-50%)</t>
        </is>
      </c>
      <c r="K14483" s="94" t="n">
        <v>3</v>
      </c>
      <c r="L14483" s="88" t="n">
        <v>201208</v>
      </c>
      <c r="M14483" s="88">
        <f>VLOOKUP($Q14483,매칭테이블!$F:$I,2,0)*K14483</f>
        <v/>
      </c>
      <c r="N14483" s="88">
        <f>M14483-M14483*VLOOKUP($Q14483,매칭테이블!$F:$I,3,0)</f>
        <v/>
      </c>
      <c r="O14483" s="88">
        <f>VLOOKUP($Q14483,매칭테이블!$F:$I,4,0)*K14483</f>
        <v/>
      </c>
      <c r="P14483" s="152">
        <f>M14483/1.1</f>
        <v/>
      </c>
      <c r="Q14483" s="88">
        <f>F14483&amp;E14483&amp;G14483&amp;L14483</f>
        <v/>
      </c>
    </row>
    <row r="14484">
      <c r="B14484" s="128" t="n">
        <v>44225</v>
      </c>
      <c r="C14484" s="88">
        <f>TEXT(B14484,"aaa")</f>
        <v/>
      </c>
      <c r="D14484" s="94" t="n"/>
      <c r="E14484" s="88">
        <f>INDEX(매칭테이블!C:D,MATCH(RD!G14484,매칭테이블!D:D,0),1)</f>
        <v/>
      </c>
      <c r="F14484" s="94" t="inlineStr">
        <is>
          <t>카페24</t>
        </is>
      </c>
      <c r="G14484" s="94" t="inlineStr">
        <is>
          <t>청귤 비타 잡티 마스크옵션=청귤 비타 잡티 마스크 10장 (50% off)</t>
        </is>
      </c>
      <c r="K14484" s="94" t="n">
        <v>3</v>
      </c>
      <c r="L14484" s="88" t="n">
        <v>201208</v>
      </c>
      <c r="M14484" s="88">
        <f>VLOOKUP($Q14484,매칭테이블!$F:$I,2,0)*K14484</f>
        <v/>
      </c>
      <c r="N14484" s="88">
        <f>M14484-M14484*VLOOKUP($Q14484,매칭테이블!$F:$I,3,0)</f>
        <v/>
      </c>
      <c r="O14484" s="88">
        <f>VLOOKUP($Q14484,매칭테이블!$F:$I,4,0)*K14484</f>
        <v/>
      </c>
      <c r="P14484" s="152">
        <f>M14484/1.1</f>
        <v/>
      </c>
      <c r="Q14484" s="88">
        <f>F14484&amp;E14484&amp;G14484&amp;L14484</f>
        <v/>
      </c>
    </row>
    <row r="14485">
      <c r="B14485" s="128" t="n">
        <v>44225</v>
      </c>
      <c r="C14485" s="88">
        <f>TEXT(B14485,"aaa")</f>
        <v/>
      </c>
      <c r="D14485" s="94" t="n"/>
      <c r="E14485" s="88">
        <f>INDEX(매칭테이블!C:D,MATCH(RD!G14485,매칭테이블!D:D,0),1)</f>
        <v/>
      </c>
      <c r="F14485" s="94" t="inlineStr">
        <is>
          <t>카페24</t>
        </is>
      </c>
      <c r="G14485" s="94" t="inlineStr">
        <is>
          <t>촉촉 스킨팩 화장솜</t>
        </is>
      </c>
      <c r="K14485" s="94" t="n">
        <v>26</v>
      </c>
      <c r="L14485" s="88" t="n">
        <v>201208</v>
      </c>
      <c r="M14485" s="88">
        <f>VLOOKUP($Q14485,매칭테이블!$F:$I,2,0)*K14485</f>
        <v/>
      </c>
      <c r="N14485" s="88">
        <f>M14485-M14485*VLOOKUP($Q14485,매칭테이블!$F:$I,3,0)</f>
        <v/>
      </c>
      <c r="O14485" s="88">
        <f>VLOOKUP($Q14485,매칭테이블!$F:$I,4,0)*K14485</f>
        <v/>
      </c>
      <c r="P14485" s="152">
        <f>M14485/1.1</f>
        <v/>
      </c>
      <c r="Q14485" s="88">
        <f>F14485&amp;E14485&amp;G14485&amp;L14485</f>
        <v/>
      </c>
    </row>
    <row r="14486">
      <c r="B14486" s="128" t="n">
        <v>44225</v>
      </c>
      <c r="C14486" s="88">
        <f>TEXT(B14486,"aaa")</f>
        <v/>
      </c>
      <c r="D14486" s="94" t="n"/>
      <c r="E14486" s="88">
        <f>INDEX(매칭테이블!C:D,MATCH(RD!G14486,매칭테이블!D:D,0),1)</f>
        <v/>
      </c>
      <c r="F14486" s="94" t="inlineStr">
        <is>
          <t>카페24</t>
        </is>
      </c>
      <c r="G14486" s="94" t="inlineStr">
        <is>
          <t>촉촉 스킨팩 화장솜</t>
        </is>
      </c>
      <c r="K14486" s="94" t="n">
        <v>3</v>
      </c>
      <c r="L14486" s="88" t="n">
        <v>201208</v>
      </c>
      <c r="M14486" s="88">
        <f>VLOOKUP($Q14486,매칭테이블!$F:$I,2,0)*K14486</f>
        <v/>
      </c>
      <c r="N14486" s="88">
        <f>M14486-M14486*VLOOKUP($Q14486,매칭테이블!$F:$I,3,0)</f>
        <v/>
      </c>
      <c r="O14486" s="88">
        <f>VLOOKUP($Q14486,매칭테이블!$F:$I,4,0)*K14486</f>
        <v/>
      </c>
      <c r="P14486" s="152">
        <f>M14486/1.1</f>
        <v/>
      </c>
      <c r="Q14486" s="88">
        <f>F14486&amp;E14486&amp;G14486&amp;L14486</f>
        <v/>
      </c>
    </row>
    <row r="14487" customFormat="1" s="94">
      <c r="B14487" s="128" t="n">
        <v>44226</v>
      </c>
      <c r="C14487" s="88">
        <f>TEXT(B14487,"aaa")</f>
        <v/>
      </c>
      <c r="E14487" s="88">
        <f>INDEX(매칭테이블!C:D,MATCH(RD!G14487,매칭테이블!D:D,0),1)</f>
        <v/>
      </c>
      <c r="F14487" s="94" t="inlineStr">
        <is>
          <t>스타일쉐어</t>
        </is>
      </c>
      <c r="G14487" s="94" t="inlineStr">
        <is>
          <t>아누아 어성초 77 토너 250ml</t>
        </is>
      </c>
      <c r="K14487" s="94" t="n">
        <v>3</v>
      </c>
      <c r="L14487" s="88" t="n">
        <v>201208</v>
      </c>
      <c r="M14487" s="88">
        <f>VLOOKUP($Q14487,매칭테이블!$F:$I,2,0)*K14487</f>
        <v/>
      </c>
      <c r="N14487" s="88">
        <f>M14487-M14487*VLOOKUP($Q14487,매칭테이블!$F:$I,3,0)</f>
        <v/>
      </c>
      <c r="O14487" s="88">
        <f>VLOOKUP($Q14487,매칭테이블!$F:$I,4,0)*K14487</f>
        <v/>
      </c>
      <c r="P14487" s="152">
        <f>M14487/1.1</f>
        <v/>
      </c>
      <c r="Q14487" s="88">
        <f>F14487&amp;E14487&amp;G14487&amp;L14487</f>
        <v/>
      </c>
    </row>
    <row r="14488">
      <c r="B14488" s="128" t="n">
        <v>44226</v>
      </c>
      <c r="C14488" s="88">
        <f>TEXT(B14488,"aaa")</f>
        <v/>
      </c>
      <c r="D14488" s="94" t="n"/>
      <c r="E14488" s="88">
        <f>INDEX(매칭테이블!C:D,MATCH(RD!G14488,매칭테이블!D:D,0),1)</f>
        <v/>
      </c>
      <c r="F14488" s="94" t="inlineStr">
        <is>
          <t>카페24</t>
        </is>
      </c>
      <c r="G14488" s="94" t="inlineStr">
        <is>
          <t>5 제로 무기자차 선크림옵션=5제로 무기자차 선크림 1개-20% off</t>
        </is>
      </c>
      <c r="K14488" s="94" t="n">
        <v>2</v>
      </c>
      <c r="L14488" s="88" t="n">
        <v>201208</v>
      </c>
      <c r="M14488" s="88">
        <f>VLOOKUP($Q14488,매칭테이블!$F:$I,2,0)*K14488</f>
        <v/>
      </c>
      <c r="N14488" s="88">
        <f>M14488-M14488*VLOOKUP($Q14488,매칭테이블!$F:$I,3,0)</f>
        <v/>
      </c>
      <c r="O14488" s="88">
        <f>VLOOKUP($Q14488,매칭테이블!$F:$I,4,0)*K14488</f>
        <v/>
      </c>
      <c r="P14488" s="152">
        <f>M14488/1.1</f>
        <v/>
      </c>
      <c r="Q14488" s="88">
        <f>F14488&amp;E14488&amp;G14488&amp;L14488</f>
        <v/>
      </c>
    </row>
    <row r="14489">
      <c r="B14489" s="128" t="n">
        <v>44226</v>
      </c>
      <c r="C14489" s="88">
        <f>TEXT(B14489,"aaa")</f>
        <v/>
      </c>
      <c r="D14489" s="94" t="n"/>
      <c r="E14489" s="88">
        <f>INDEX(매칭테이블!C:D,MATCH(RD!G14489,매칭테이블!D:D,0),1)</f>
        <v/>
      </c>
      <c r="F14489" s="94" t="inlineStr">
        <is>
          <t>카페24</t>
        </is>
      </c>
      <c r="G14489" s="94" t="inlineStr">
        <is>
          <t>5 제로 무기자차 선크림옵션=5제로 무기자차 선크림 2개-30% off (무료배송)</t>
        </is>
      </c>
      <c r="K14489" s="94" t="n">
        <v>1</v>
      </c>
      <c r="L14489" s="88" t="n">
        <v>201208</v>
      </c>
      <c r="M14489" s="88">
        <f>VLOOKUP($Q14489,매칭테이블!$F:$I,2,0)*K14489</f>
        <v/>
      </c>
      <c r="N14489" s="88">
        <f>M14489-M14489*VLOOKUP($Q14489,매칭테이블!$F:$I,3,0)</f>
        <v/>
      </c>
      <c r="O14489" s="88">
        <f>VLOOKUP($Q14489,매칭테이블!$F:$I,4,0)*K14489</f>
        <v/>
      </c>
      <c r="P14489" s="152">
        <f>M14489/1.1</f>
        <v/>
      </c>
      <c r="Q14489" s="88">
        <f>F14489&amp;E14489&amp;G14489&amp;L14489</f>
        <v/>
      </c>
    </row>
    <row r="14490">
      <c r="B14490" s="128" t="n">
        <v>44226</v>
      </c>
      <c r="C14490" s="88">
        <f>TEXT(B14490,"aaa")</f>
        <v/>
      </c>
      <c r="D14490" s="94" t="n"/>
      <c r="E14490" s="88">
        <f>INDEX(매칭테이블!C:D,MATCH(RD!G14490,매칭테이블!D:D,0),1)</f>
        <v/>
      </c>
      <c r="F14490" s="94" t="inlineStr">
        <is>
          <t>카페24</t>
        </is>
      </c>
      <c r="G14490" s="94" t="inlineStr">
        <is>
          <t>[수분 보충 세트] 어성초 77 토너 + 어성초 70 로션옵션=어성초 77 토너 250ml + 어성초 70 로션 200ml -30%</t>
        </is>
      </c>
      <c r="K14490" s="94" t="n">
        <v>74</v>
      </c>
      <c r="L14490" s="88" t="n">
        <v>201208</v>
      </c>
      <c r="M14490" s="88">
        <f>VLOOKUP($Q14490,매칭테이블!$F:$I,2,0)*K14490</f>
        <v/>
      </c>
      <c r="N14490" s="88">
        <f>M14490-M14490*VLOOKUP($Q14490,매칭테이블!$F:$I,3,0)</f>
        <v/>
      </c>
      <c r="O14490" s="88">
        <f>VLOOKUP($Q14490,매칭테이블!$F:$I,4,0)*K14490</f>
        <v/>
      </c>
      <c r="P14490" s="152">
        <f>M14490/1.1</f>
        <v/>
      </c>
      <c r="Q14490" s="88">
        <f>F14490&amp;E14490&amp;G14490&amp;L14490</f>
        <v/>
      </c>
    </row>
    <row r="14491">
      <c r="B14491" s="128" t="n">
        <v>44226</v>
      </c>
      <c r="C14491" s="88">
        <f>TEXT(B14491,"aaa")</f>
        <v/>
      </c>
      <c r="D14491" s="94" t="n"/>
      <c r="E14491" s="88">
        <f>INDEX(매칭테이블!C:D,MATCH(RD!G14491,매칭테이블!D:D,0),1)</f>
        <v/>
      </c>
      <c r="F14491" s="94" t="inlineStr">
        <is>
          <t>카페24</t>
        </is>
      </c>
      <c r="G14491" s="94" t="inlineStr">
        <is>
          <t>[어성초 진정 패키지 세트] 대용량 토너 + 앰플 + 수딩 크림 + 마스크팩 10장</t>
        </is>
      </c>
      <c r="K14491" s="94" t="n">
        <v>4</v>
      </c>
      <c r="L14491" s="88" t="n">
        <v>201208</v>
      </c>
      <c r="M14491" s="88">
        <f>VLOOKUP($Q14491,매칭테이블!$F:$I,2,0)*K14491</f>
        <v/>
      </c>
      <c r="N14491" s="88">
        <f>M14491-M14491*VLOOKUP($Q14491,매칭테이블!$F:$I,3,0)</f>
        <v/>
      </c>
      <c r="O14491" s="88">
        <f>VLOOKUP($Q14491,매칭테이블!$F:$I,4,0)*K14491</f>
        <v/>
      </c>
      <c r="P14491" s="152">
        <f>M14491/1.1</f>
        <v/>
      </c>
      <c r="Q14491" s="88">
        <f>F14491&amp;E14491&amp;G14491&amp;L14491</f>
        <v/>
      </c>
    </row>
    <row r="14492">
      <c r="B14492" s="128" t="n">
        <v>44226</v>
      </c>
      <c r="C14492" s="88">
        <f>TEXT(B14492,"aaa")</f>
        <v/>
      </c>
      <c r="D14492" s="94" t="n"/>
      <c r="E14492" s="88">
        <f>INDEX(매칭테이블!C:D,MATCH(RD!G14492,매칭테이블!D:D,0),1)</f>
        <v/>
      </c>
      <c r="F14492" s="94" t="inlineStr">
        <is>
          <t>카페24</t>
        </is>
      </c>
      <c r="G14492" s="94" t="inlineStr">
        <is>
          <t>대용량 어성초 77 수딩 토너 500ml옵션=대용량 어성초 77 토너 1개 - 27% OFF</t>
        </is>
      </c>
      <c r="K14492" s="94" t="n">
        <v>39</v>
      </c>
      <c r="L14492" s="88" t="n">
        <v>201208</v>
      </c>
      <c r="M14492" s="88">
        <f>VLOOKUP($Q14492,매칭테이블!$F:$I,2,0)*K14492</f>
        <v/>
      </c>
      <c r="N14492" s="88">
        <f>M14492-M14492*VLOOKUP($Q14492,매칭테이블!$F:$I,3,0)</f>
        <v/>
      </c>
      <c r="O14492" s="88">
        <f>VLOOKUP($Q14492,매칭테이블!$F:$I,4,0)*K14492</f>
        <v/>
      </c>
      <c r="P14492" s="152">
        <f>M14492/1.1</f>
        <v/>
      </c>
      <c r="Q14492" s="88">
        <f>F14492&amp;E14492&amp;G14492&amp;L14492</f>
        <v/>
      </c>
    </row>
    <row r="14493">
      <c r="B14493" s="128" t="n">
        <v>44226</v>
      </c>
      <c r="C14493" s="88">
        <f>TEXT(B14493,"aaa")</f>
        <v/>
      </c>
      <c r="D14493" s="94" t="n"/>
      <c r="E14493" s="88">
        <f>INDEX(매칭테이블!C:D,MATCH(RD!G14493,매칭테이블!D:D,0),1)</f>
        <v/>
      </c>
      <c r="F14493" s="94" t="inlineStr">
        <is>
          <t>카페24</t>
        </is>
      </c>
      <c r="G14493" s="94" t="inlineStr">
        <is>
          <t>대용량 어성초 77 수딩 토너 500ml화장솜(선택)=촉촉 스킨팩 화장솜</t>
        </is>
      </c>
      <c r="K14493" s="94" t="n">
        <v>18</v>
      </c>
      <c r="L14493" s="88" t="n">
        <v>201208</v>
      </c>
      <c r="M14493" s="88">
        <f>VLOOKUP($Q14493,매칭테이블!$F:$I,2,0)*K14493</f>
        <v/>
      </c>
      <c r="N14493" s="88">
        <f>M14493-M14493*VLOOKUP($Q14493,매칭테이블!$F:$I,3,0)</f>
        <v/>
      </c>
      <c r="O14493" s="88">
        <f>VLOOKUP($Q14493,매칭테이블!$F:$I,4,0)*K14493</f>
        <v/>
      </c>
      <c r="P14493" s="152">
        <f>M14493/1.1</f>
        <v/>
      </c>
      <c r="Q14493" s="88">
        <f>F14493&amp;E14493&amp;G14493&amp;L14493</f>
        <v/>
      </c>
    </row>
    <row r="14494">
      <c r="B14494" s="128" t="n">
        <v>44226</v>
      </c>
      <c r="C14494" s="88">
        <f>TEXT(B14494,"aaa")</f>
        <v/>
      </c>
      <c r="D14494" s="94" t="n"/>
      <c r="E14494" s="88">
        <f>INDEX(매칭테이블!C:D,MATCH(RD!G14494,매칭테이블!D:D,0),1)</f>
        <v/>
      </c>
      <c r="F14494" s="94" t="inlineStr">
        <is>
          <t>카페24</t>
        </is>
      </c>
      <c r="G14494" s="94" t="inlineStr">
        <is>
          <t>어성초 70 데일리 릴리프 로션로션=어성초 70 데일리 릴리프 로션 1개 -20% off</t>
        </is>
      </c>
      <c r="K14494" s="94" t="n">
        <v>17</v>
      </c>
      <c r="L14494" s="88" t="n">
        <v>201208</v>
      </c>
      <c r="M14494" s="88">
        <f>VLOOKUP($Q14494,매칭테이블!$F:$I,2,0)*K14494</f>
        <v/>
      </c>
      <c r="N14494" s="88">
        <f>M14494-M14494*VLOOKUP($Q14494,매칭테이블!$F:$I,3,0)</f>
        <v/>
      </c>
      <c r="O14494" s="88">
        <f>VLOOKUP($Q14494,매칭테이블!$F:$I,4,0)*K14494</f>
        <v/>
      </c>
      <c r="P14494" s="152">
        <f>M14494/1.1</f>
        <v/>
      </c>
      <c r="Q14494" s="88">
        <f>F14494&amp;E14494&amp;G14494&amp;L14494</f>
        <v/>
      </c>
    </row>
    <row r="14495">
      <c r="B14495" s="128" t="n">
        <v>44226</v>
      </c>
      <c r="C14495" s="88">
        <f>TEXT(B14495,"aaa")</f>
        <v/>
      </c>
      <c r="D14495" s="94" t="n"/>
      <c r="E14495" s="88">
        <f>INDEX(매칭테이블!C:D,MATCH(RD!G14495,매칭테이블!D:D,0),1)</f>
        <v/>
      </c>
      <c r="F14495" s="94" t="inlineStr">
        <is>
          <t>카페24</t>
        </is>
      </c>
      <c r="G14495" s="94" t="inlineStr">
        <is>
          <t>어성초 70 데일리 릴리프 로션로션=어성초 70 데일리 릴리프 로션 2개 -30% off</t>
        </is>
      </c>
      <c r="K14495" s="94" t="n">
        <v>3</v>
      </c>
      <c r="L14495" s="88" t="n">
        <v>201208</v>
      </c>
      <c r="M14495" s="88">
        <f>VLOOKUP($Q14495,매칭테이블!$F:$I,2,0)*K14495</f>
        <v/>
      </c>
      <c r="N14495" s="88">
        <f>M14495-M14495*VLOOKUP($Q14495,매칭테이블!$F:$I,3,0)</f>
        <v/>
      </c>
      <c r="O14495" s="88">
        <f>VLOOKUP($Q14495,매칭테이블!$F:$I,4,0)*K14495</f>
        <v/>
      </c>
      <c r="P14495" s="152">
        <f>M14495/1.1</f>
        <v/>
      </c>
      <c r="Q14495" s="88">
        <f>F14495&amp;E14495&amp;G14495&amp;L14495</f>
        <v/>
      </c>
    </row>
    <row r="14496">
      <c r="B14496" s="128" t="n">
        <v>44226</v>
      </c>
      <c r="C14496" s="88">
        <f>TEXT(B14496,"aaa")</f>
        <v/>
      </c>
      <c r="D14496" s="94" t="n"/>
      <c r="E14496" s="88">
        <f>INDEX(매칭테이블!C:D,MATCH(RD!G14496,매칭테이블!D:D,0),1)</f>
        <v/>
      </c>
      <c r="F14496" s="94" t="inlineStr">
        <is>
          <t>카페24</t>
        </is>
      </c>
      <c r="G14496" s="94" t="inlineStr">
        <is>
          <t>어성초 70 데일리 릴리프 로션로션=어성초 77토너 + 어성초 70 로션 수분 보충 세트 -30% off</t>
        </is>
      </c>
      <c r="K14496" s="94" t="n">
        <v>5</v>
      </c>
      <c r="L14496" s="88" t="n">
        <v>201208</v>
      </c>
      <c r="M14496" s="88">
        <f>VLOOKUP($Q14496,매칭테이블!$F:$I,2,0)*K14496</f>
        <v/>
      </c>
      <c r="N14496" s="88">
        <f>M14496-M14496*VLOOKUP($Q14496,매칭테이블!$F:$I,3,0)</f>
        <v/>
      </c>
      <c r="O14496" s="88">
        <f>VLOOKUP($Q14496,매칭테이블!$F:$I,4,0)*K14496</f>
        <v/>
      </c>
      <c r="P14496" s="152">
        <f>M14496/1.1</f>
        <v/>
      </c>
      <c r="Q14496" s="88">
        <f>F14496&amp;E14496&amp;G14496&amp;L14496</f>
        <v/>
      </c>
    </row>
    <row r="14497">
      <c r="B14497" s="128" t="n">
        <v>44226</v>
      </c>
      <c r="C14497" s="88">
        <f>TEXT(B14497,"aaa")</f>
        <v/>
      </c>
      <c r="D14497" s="94" t="n"/>
      <c r="E14497" s="88">
        <f>INDEX(매칭테이블!C:D,MATCH(RD!G14497,매칭테이블!D:D,0),1)</f>
        <v/>
      </c>
      <c r="F14497" s="94" t="inlineStr">
        <is>
          <t>카페24</t>
        </is>
      </c>
      <c r="G14497" s="94" t="inlineStr">
        <is>
          <t>어성초 70 머드 크림 마스크옵션=어성초 70 머드 크림 마스크-20% off</t>
        </is>
      </c>
      <c r="K14497" s="94" t="n">
        <v>3</v>
      </c>
      <c r="L14497" s="88" t="n">
        <v>201208</v>
      </c>
      <c r="M14497" s="88">
        <f>VLOOKUP($Q14497,매칭테이블!$F:$I,2,0)*K14497</f>
        <v/>
      </c>
      <c r="N14497" s="88">
        <f>M14497-M14497*VLOOKUP($Q14497,매칭테이블!$F:$I,3,0)</f>
        <v/>
      </c>
      <c r="O14497" s="88">
        <f>VLOOKUP($Q14497,매칭테이블!$F:$I,4,0)*K14497</f>
        <v/>
      </c>
      <c r="P14497" s="152">
        <f>M14497/1.1</f>
        <v/>
      </c>
      <c r="Q14497" s="88">
        <f>F14497&amp;E14497&amp;G14497&amp;L14497</f>
        <v/>
      </c>
    </row>
    <row r="14498">
      <c r="B14498" s="128" t="n">
        <v>44226</v>
      </c>
      <c r="C14498" s="88">
        <f>TEXT(B14498,"aaa")</f>
        <v/>
      </c>
      <c r="D14498" s="94" t="n"/>
      <c r="E14498" s="88">
        <f>INDEX(매칭테이블!C:D,MATCH(RD!G14498,매칭테이블!D:D,0),1)</f>
        <v/>
      </c>
      <c r="F14498" s="94" t="inlineStr">
        <is>
          <t>카페24</t>
        </is>
      </c>
      <c r="G14498" s="94" t="inlineStr">
        <is>
          <t>어성초 70 인텐스 카밍 크림크림=어성초 70 인텐스 카밍 크림 1개 (-20%)</t>
        </is>
      </c>
      <c r="K14498" s="94" t="n">
        <v>6</v>
      </c>
      <c r="L14498" s="88" t="n">
        <v>201208</v>
      </c>
      <c r="M14498" s="88">
        <f>VLOOKUP($Q14498,매칭테이블!$F:$I,2,0)*K14498</f>
        <v/>
      </c>
      <c r="N14498" s="88">
        <f>M14498-M14498*VLOOKUP($Q14498,매칭테이블!$F:$I,3,0)</f>
        <v/>
      </c>
      <c r="O14498" s="88">
        <f>VLOOKUP($Q14498,매칭테이블!$F:$I,4,0)*K14498</f>
        <v/>
      </c>
      <c r="P14498" s="152">
        <f>M14498/1.1</f>
        <v/>
      </c>
      <c r="Q14498" s="88">
        <f>F14498&amp;E14498&amp;G14498&amp;L14498</f>
        <v/>
      </c>
    </row>
    <row r="14499">
      <c r="B14499" s="128" t="n">
        <v>44226</v>
      </c>
      <c r="C14499" s="88">
        <f>TEXT(B14499,"aaa")</f>
        <v/>
      </c>
      <c r="D14499" s="94" t="n"/>
      <c r="E14499" s="88">
        <f>INDEX(매칭테이블!C:D,MATCH(RD!G14499,매칭테이블!D:D,0),1)</f>
        <v/>
      </c>
      <c r="F14499" s="94" t="inlineStr">
        <is>
          <t>카페24</t>
        </is>
      </c>
      <c r="G14499" s="94" t="inlineStr">
        <is>
          <t>어성초 70 인텐스 카밍 크림크림=어성초 토너 250ml + 카밍 크림 50ml (-30%)</t>
        </is>
      </c>
      <c r="K14499" s="94" t="n">
        <v>2</v>
      </c>
      <c r="L14499" s="88" t="n">
        <v>201208</v>
      </c>
      <c r="M14499" s="88">
        <f>VLOOKUP($Q14499,매칭테이블!$F:$I,2,0)*K14499</f>
        <v/>
      </c>
      <c r="N14499" s="88">
        <f>M14499-M14499*VLOOKUP($Q14499,매칭테이블!$F:$I,3,0)</f>
        <v/>
      </c>
      <c r="O14499" s="88">
        <f>VLOOKUP($Q14499,매칭테이블!$F:$I,4,0)*K14499</f>
        <v/>
      </c>
      <c r="P14499" s="152">
        <f>M14499/1.1</f>
        <v/>
      </c>
      <c r="Q14499" s="88">
        <f>F14499&amp;E14499&amp;G14499&amp;L14499</f>
        <v/>
      </c>
    </row>
    <row r="14500">
      <c r="B14500" s="128" t="n">
        <v>44226</v>
      </c>
      <c r="C14500" s="88">
        <f>TEXT(B14500,"aaa")</f>
        <v/>
      </c>
      <c r="D14500" s="94" t="n"/>
      <c r="E14500" s="88">
        <f>INDEX(매칭테이블!C:D,MATCH(RD!G14500,매칭테이블!D:D,0),1)</f>
        <v/>
      </c>
      <c r="F14500" s="94" t="inlineStr">
        <is>
          <t>카페24</t>
        </is>
      </c>
      <c r="G14500" s="94" t="inlineStr">
        <is>
          <t>어성초 77 수딩 토너옵션=어성초 77 토너 1개-20% off</t>
        </is>
      </c>
      <c r="K14500" s="94" t="n">
        <v>143</v>
      </c>
      <c r="L14500" s="88" t="n">
        <v>201208</v>
      </c>
      <c r="M14500" s="88">
        <f>VLOOKUP($Q14500,매칭테이블!$F:$I,2,0)*K14500</f>
        <v/>
      </c>
      <c r="N14500" s="88">
        <f>M14500-M14500*VLOOKUP($Q14500,매칭테이블!$F:$I,3,0)</f>
        <v/>
      </c>
      <c r="O14500" s="88">
        <f>VLOOKUP($Q14500,매칭테이블!$F:$I,4,0)*K14500</f>
        <v/>
      </c>
      <c r="P14500" s="152">
        <f>M14500/1.1</f>
        <v/>
      </c>
      <c r="Q14500" s="88">
        <f>F14500&amp;E14500&amp;G14500&amp;L14500</f>
        <v/>
      </c>
    </row>
    <row r="14501">
      <c r="B14501" s="128" t="n">
        <v>44226</v>
      </c>
      <c r="C14501" s="88">
        <f>TEXT(B14501,"aaa")</f>
        <v/>
      </c>
      <c r="D14501" s="94" t="n"/>
      <c r="E14501" s="88">
        <f>INDEX(매칭테이블!C:D,MATCH(RD!G14501,매칭테이블!D:D,0),1)</f>
        <v/>
      </c>
      <c r="F14501" s="94" t="inlineStr">
        <is>
          <t>카페24</t>
        </is>
      </c>
      <c r="G14501" s="94" t="inlineStr">
        <is>
          <t>어성초 77 수딩 토너옵션=BEST어성초 77 토너 2개-30% off (무료배송)</t>
        </is>
      </c>
      <c r="K14501" s="94" t="n">
        <v>92</v>
      </c>
      <c r="L14501" s="88" t="n">
        <v>201208</v>
      </c>
      <c r="M14501" s="88">
        <f>VLOOKUP($Q14501,매칭테이블!$F:$I,2,0)*K14501</f>
        <v/>
      </c>
      <c r="N14501" s="88">
        <f>M14501-M14501*VLOOKUP($Q14501,매칭테이블!$F:$I,3,0)</f>
        <v/>
      </c>
      <c r="O14501" s="88">
        <f>VLOOKUP($Q14501,매칭테이블!$F:$I,4,0)*K14501</f>
        <v/>
      </c>
      <c r="P14501" s="152">
        <f>M14501/1.1</f>
        <v/>
      </c>
      <c r="Q14501" s="88">
        <f>F14501&amp;E14501&amp;G14501&amp;L14501</f>
        <v/>
      </c>
    </row>
    <row r="14502">
      <c r="B14502" s="128" t="n">
        <v>44226</v>
      </c>
      <c r="C14502" s="88">
        <f>TEXT(B14502,"aaa")</f>
        <v/>
      </c>
      <c r="D14502" s="94" t="n"/>
      <c r="E14502" s="88">
        <f>INDEX(매칭테이블!C:D,MATCH(RD!G14502,매칭테이블!D:D,0),1)</f>
        <v/>
      </c>
      <c r="F14502" s="94" t="inlineStr">
        <is>
          <t>카페24</t>
        </is>
      </c>
      <c r="G14502" s="94" t="inlineStr">
        <is>
          <t>어성초 77 수딩 토너옵션=어성초 77토너1개 + 어성초77패드1개 -30% off (무료배송)</t>
        </is>
      </c>
      <c r="K14502" s="94" t="n">
        <v>42</v>
      </c>
      <c r="L14502" s="88" t="n">
        <v>201208</v>
      </c>
      <c r="M14502" s="88">
        <f>VLOOKUP($Q14502,매칭테이블!$F:$I,2,0)*K14502</f>
        <v/>
      </c>
      <c r="N14502" s="88">
        <f>M14502-M14502*VLOOKUP($Q14502,매칭테이블!$F:$I,3,0)</f>
        <v/>
      </c>
      <c r="O14502" s="88">
        <f>VLOOKUP($Q14502,매칭테이블!$F:$I,4,0)*K14502</f>
        <v/>
      </c>
      <c r="P14502" s="152">
        <f>M14502/1.1</f>
        <v/>
      </c>
      <c r="Q14502" s="88">
        <f>F14502&amp;E14502&amp;G14502&amp;L14502</f>
        <v/>
      </c>
    </row>
    <row r="14503">
      <c r="B14503" s="128" t="n">
        <v>44226</v>
      </c>
      <c r="C14503" s="88">
        <f>TEXT(B14503,"aaa")</f>
        <v/>
      </c>
      <c r="D14503" s="94" t="n"/>
      <c r="E14503" s="88">
        <f>INDEX(매칭테이블!C:D,MATCH(RD!G14503,매칭테이블!D:D,0),1)</f>
        <v/>
      </c>
      <c r="F14503" s="94" t="inlineStr">
        <is>
          <t>카페24</t>
        </is>
      </c>
      <c r="G14503" s="94" t="inlineStr">
        <is>
          <t>어성초 77 수딩 토너화장솜(선택)=촉촉 스킨팩 화장솜</t>
        </is>
      </c>
      <c r="K14503" s="94" t="n">
        <v>101</v>
      </c>
      <c r="L14503" s="88" t="n">
        <v>201208</v>
      </c>
      <c r="M14503" s="88">
        <f>VLOOKUP($Q14503,매칭테이블!$F:$I,2,0)*K14503</f>
        <v/>
      </c>
      <c r="N14503" s="88">
        <f>M14503-M14503*VLOOKUP($Q14503,매칭테이블!$F:$I,3,0)</f>
        <v/>
      </c>
      <c r="O14503" s="88">
        <f>VLOOKUP($Q14503,매칭테이블!$F:$I,4,0)*K14503</f>
        <v/>
      </c>
      <c r="P14503" s="152">
        <f>M14503/1.1</f>
        <v/>
      </c>
      <c r="Q14503" s="88">
        <f>F14503&amp;E14503&amp;G14503&amp;L14503</f>
        <v/>
      </c>
    </row>
    <row r="14504">
      <c r="B14504" s="128" t="n">
        <v>44226</v>
      </c>
      <c r="C14504" s="88">
        <f>TEXT(B14504,"aaa")</f>
        <v/>
      </c>
      <c r="D14504" s="94" t="n"/>
      <c r="E14504" s="88">
        <f>INDEX(매칭테이블!C:D,MATCH(RD!G14504,매칭테이블!D:D,0),1)</f>
        <v/>
      </c>
      <c r="F14504" s="94" t="inlineStr">
        <is>
          <t>카페24</t>
        </is>
      </c>
      <c r="G14504" s="94" t="inlineStr">
        <is>
          <t>어성초 77 진정 마스크옵션=어성초 77 진정 마스크팩 1장</t>
        </is>
      </c>
      <c r="K14504" s="94" t="n">
        <v>1</v>
      </c>
      <c r="L14504" s="88" t="n">
        <v>201208</v>
      </c>
      <c r="M14504" s="88">
        <f>VLOOKUP($Q14504,매칭테이블!$F:$I,2,0)*K14504</f>
        <v/>
      </c>
      <c r="N14504" s="88">
        <f>M14504-M14504*VLOOKUP($Q14504,매칭테이블!$F:$I,3,0)</f>
        <v/>
      </c>
      <c r="O14504" s="88">
        <f>VLOOKUP($Q14504,매칭테이블!$F:$I,4,0)*K14504</f>
        <v/>
      </c>
      <c r="P14504" s="152">
        <f>M14504/1.1</f>
        <v/>
      </c>
      <c r="Q14504" s="88">
        <f>F14504&amp;E14504&amp;G14504&amp;L14504</f>
        <v/>
      </c>
    </row>
    <row r="14505">
      <c r="B14505" s="128" t="n">
        <v>44226</v>
      </c>
      <c r="C14505" s="88">
        <f>TEXT(B14505,"aaa")</f>
        <v/>
      </c>
      <c r="D14505" s="94" t="n"/>
      <c r="E14505" s="88">
        <f>INDEX(매칭테이블!C:D,MATCH(RD!G14505,매칭테이블!D:D,0),1)</f>
        <v/>
      </c>
      <c r="F14505" s="94" t="inlineStr">
        <is>
          <t>카페24</t>
        </is>
      </c>
      <c r="G14505" s="94" t="inlineStr">
        <is>
          <t>어성초 77 진정 마스크옵션=어성초 77 진정 마스크팩 10장-50% off</t>
        </is>
      </c>
      <c r="K14505" s="94" t="n">
        <v>5</v>
      </c>
      <c r="L14505" s="88" t="n">
        <v>201208</v>
      </c>
      <c r="M14505" s="88">
        <f>VLOOKUP($Q14505,매칭테이블!$F:$I,2,0)*K14505</f>
        <v/>
      </c>
      <c r="N14505" s="88">
        <f>M14505-M14505*VLOOKUP($Q14505,매칭테이블!$F:$I,3,0)</f>
        <v/>
      </c>
      <c r="O14505" s="88">
        <f>VLOOKUP($Q14505,매칭테이블!$F:$I,4,0)*K14505</f>
        <v/>
      </c>
      <c r="P14505" s="152">
        <f>M14505/1.1</f>
        <v/>
      </c>
      <c r="Q14505" s="88">
        <f>F14505&amp;E14505&amp;G14505&amp;L14505</f>
        <v/>
      </c>
    </row>
    <row r="14506">
      <c r="B14506" s="128" t="n">
        <v>44226</v>
      </c>
      <c r="C14506" s="88">
        <f>TEXT(B14506,"aaa")</f>
        <v/>
      </c>
      <c r="D14506" s="94" t="n"/>
      <c r="E14506" s="88">
        <f>INDEX(매칭테이블!C:D,MATCH(RD!G14506,매칭테이블!D:D,0),1)</f>
        <v/>
      </c>
      <c r="F14506" s="94" t="inlineStr">
        <is>
          <t>카페24</t>
        </is>
      </c>
      <c r="G14506" s="94" t="inlineStr">
        <is>
          <t>어성초 77 진정 마스크</t>
        </is>
      </c>
      <c r="K14506" s="94" t="n">
        <v>6</v>
      </c>
      <c r="L14506" s="88" t="n">
        <v>201208</v>
      </c>
      <c r="M14506" s="88">
        <f>VLOOKUP($Q14506,매칭테이블!$F:$I,2,0)*K14506</f>
        <v/>
      </c>
      <c r="N14506" s="88">
        <f>M14506-M14506*VLOOKUP($Q14506,매칭테이블!$F:$I,3,0)</f>
        <v/>
      </c>
      <c r="O14506" s="88">
        <f>VLOOKUP($Q14506,매칭테이블!$F:$I,4,0)*K14506</f>
        <v/>
      </c>
      <c r="P14506" s="152">
        <f>M14506/1.1</f>
        <v/>
      </c>
      <c r="Q14506" s="88">
        <f>F14506&amp;E14506&amp;G14506&amp;L14506</f>
        <v/>
      </c>
    </row>
    <row r="14507">
      <c r="B14507" s="128" t="n">
        <v>44226</v>
      </c>
      <c r="C14507" s="88">
        <f>TEXT(B14507,"aaa")</f>
        <v/>
      </c>
      <c r="D14507" s="94" t="n"/>
      <c r="E14507" s="88">
        <f>INDEX(매칭테이블!C:D,MATCH(RD!G14507,매칭테이블!D:D,0),1)</f>
        <v/>
      </c>
      <c r="F14507" s="94" t="inlineStr">
        <is>
          <t>카페24</t>
        </is>
      </c>
      <c r="G14507" s="94" t="inlineStr">
        <is>
          <t>어성초 77 클리어 패드옵션=어성초 77 클리어 패드 1개-20% off</t>
        </is>
      </c>
      <c r="K14507" s="94" t="n">
        <v>49</v>
      </c>
      <c r="L14507" s="88" t="n">
        <v>201208</v>
      </c>
      <c r="M14507" s="88">
        <f>VLOOKUP($Q14507,매칭테이블!$F:$I,2,0)*K14507</f>
        <v/>
      </c>
      <c r="N14507" s="88">
        <f>M14507-M14507*VLOOKUP($Q14507,매칭테이블!$F:$I,3,0)</f>
        <v/>
      </c>
      <c r="O14507" s="88">
        <f>VLOOKUP($Q14507,매칭테이블!$F:$I,4,0)*K14507</f>
        <v/>
      </c>
      <c r="P14507" s="152">
        <f>M14507/1.1</f>
        <v/>
      </c>
      <c r="Q14507" s="88">
        <f>F14507&amp;E14507&amp;G14507&amp;L14507</f>
        <v/>
      </c>
    </row>
    <row r="14508">
      <c r="B14508" s="128" t="n">
        <v>44226</v>
      </c>
      <c r="C14508" s="88">
        <f>TEXT(B14508,"aaa")</f>
        <v/>
      </c>
      <c r="D14508" s="94" t="n"/>
      <c r="E14508" s="88">
        <f>INDEX(매칭테이블!C:D,MATCH(RD!G14508,매칭테이블!D:D,0),1)</f>
        <v/>
      </c>
      <c r="F14508" s="94" t="inlineStr">
        <is>
          <t>카페24</t>
        </is>
      </c>
      <c r="G14508" s="94" t="inlineStr">
        <is>
          <t>어성초 77 클리어 패드옵션=어성초 77 클리어 패드 2개-30% off (무료배송)</t>
        </is>
      </c>
      <c r="K14508" s="94" t="n">
        <v>35</v>
      </c>
      <c r="L14508" s="88" t="n">
        <v>201208</v>
      </c>
      <c r="M14508" s="88">
        <f>VLOOKUP($Q14508,매칭테이블!$F:$I,2,0)*K14508</f>
        <v/>
      </c>
      <c r="N14508" s="88">
        <f>M14508-M14508*VLOOKUP($Q14508,매칭테이블!$F:$I,3,0)</f>
        <v/>
      </c>
      <c r="O14508" s="88">
        <f>VLOOKUP($Q14508,매칭테이블!$F:$I,4,0)*K14508</f>
        <v/>
      </c>
      <c r="P14508" s="152">
        <f>M14508/1.1</f>
        <v/>
      </c>
      <c r="Q14508" s="88">
        <f>F14508&amp;E14508&amp;G14508&amp;L14508</f>
        <v/>
      </c>
    </row>
    <row r="14509">
      <c r="B14509" s="128" t="n">
        <v>44226</v>
      </c>
      <c r="C14509" s="88">
        <f>TEXT(B14509,"aaa")</f>
        <v/>
      </c>
      <c r="D14509" s="94" t="n"/>
      <c r="E14509" s="88">
        <f>INDEX(매칭테이블!C:D,MATCH(RD!G14509,매칭테이블!D:D,0),1)</f>
        <v/>
      </c>
      <c r="F14509" s="94" t="inlineStr">
        <is>
          <t>카페24</t>
        </is>
      </c>
      <c r="G14509" s="94" t="inlineStr">
        <is>
          <t>어성초 77 클리어 패드옵션=어성초 77 클리어 패드 2+1 EVENT (무료배송)</t>
        </is>
      </c>
      <c r="K14509" s="94" t="n">
        <v>26</v>
      </c>
      <c r="L14509" s="88" t="n">
        <v>201208</v>
      </c>
      <c r="M14509" s="88">
        <f>VLOOKUP($Q14509,매칭테이블!$F:$I,2,0)*K14509</f>
        <v/>
      </c>
      <c r="N14509" s="88">
        <f>M14509-M14509*VLOOKUP($Q14509,매칭테이블!$F:$I,3,0)</f>
        <v/>
      </c>
      <c r="O14509" s="88">
        <f>VLOOKUP($Q14509,매칭테이블!$F:$I,4,0)*K14509</f>
        <v/>
      </c>
      <c r="P14509" s="152">
        <f>M14509/1.1</f>
        <v/>
      </c>
      <c r="Q14509" s="88">
        <f>F14509&amp;E14509&amp;G14509&amp;L14509</f>
        <v/>
      </c>
    </row>
    <row r="14510">
      <c r="B14510" s="128" t="n">
        <v>44226</v>
      </c>
      <c r="C14510" s="88">
        <f>TEXT(B14510,"aaa")</f>
        <v/>
      </c>
      <c r="D14510" s="94" t="n"/>
      <c r="E14510" s="88">
        <f>INDEX(매칭테이블!C:D,MATCH(RD!G14510,매칭테이블!D:D,0),1)</f>
        <v/>
      </c>
      <c r="F14510" s="94" t="inlineStr">
        <is>
          <t>카페24</t>
        </is>
      </c>
      <c r="G14510" s="94" t="inlineStr">
        <is>
          <t>어성초 77 클리어 패드옵션=어성초77토너1개+어성초77패드1개-30% off (무료배송)</t>
        </is>
      </c>
      <c r="K14510" s="94" t="n">
        <v>10</v>
      </c>
      <c r="L14510" s="88" t="n">
        <v>201208</v>
      </c>
      <c r="M14510" s="88">
        <f>VLOOKUP($Q14510,매칭테이블!$F:$I,2,0)*K14510</f>
        <v/>
      </c>
      <c r="N14510" s="88">
        <f>M14510-M14510*VLOOKUP($Q14510,매칭테이블!$F:$I,3,0)</f>
        <v/>
      </c>
      <c r="O14510" s="88">
        <f>VLOOKUP($Q14510,매칭테이블!$F:$I,4,0)*K14510</f>
        <v/>
      </c>
      <c r="P14510" s="152">
        <f>M14510/1.1</f>
        <v/>
      </c>
      <c r="Q14510" s="88">
        <f>F14510&amp;E14510&amp;G14510&amp;L14510</f>
        <v/>
      </c>
    </row>
    <row r="14511">
      <c r="B14511" s="128" t="n">
        <v>44226</v>
      </c>
      <c r="C14511" s="88">
        <f>TEXT(B14511,"aaa")</f>
        <v/>
      </c>
      <c r="D14511" s="94" t="n"/>
      <c r="E14511" s="88">
        <f>INDEX(매칭테이블!C:D,MATCH(RD!G14511,매칭테이블!D:D,0),1)</f>
        <v/>
      </c>
      <c r="F14511" s="94" t="inlineStr">
        <is>
          <t>카페24</t>
        </is>
      </c>
      <c r="G14511" s="94" t="inlineStr">
        <is>
          <t>어성초 77 토너</t>
        </is>
      </c>
      <c r="K14511" s="94" t="n">
        <v>3</v>
      </c>
      <c r="L14511" s="88" t="n">
        <v>201208</v>
      </c>
      <c r="M14511" s="88">
        <f>VLOOKUP($Q14511,매칭테이블!$F:$I,2,0)*K14511</f>
        <v/>
      </c>
      <c r="N14511" s="88">
        <f>M14511-M14511*VLOOKUP($Q14511,매칭테이블!$F:$I,3,0)</f>
        <v/>
      </c>
      <c r="O14511" s="88">
        <f>VLOOKUP($Q14511,매칭테이블!$F:$I,4,0)*K14511</f>
        <v/>
      </c>
      <c r="P14511" s="152">
        <f>M14511/1.1</f>
        <v/>
      </c>
      <c r="Q14511" s="88">
        <f>F14511&amp;E14511&amp;G14511&amp;L14511</f>
        <v/>
      </c>
    </row>
    <row r="14512">
      <c r="B14512" s="128" t="n">
        <v>44226</v>
      </c>
      <c r="C14512" s="88">
        <f>TEXT(B14512,"aaa")</f>
        <v/>
      </c>
      <c r="D14512" s="94" t="n"/>
      <c r="E14512" s="88">
        <f>INDEX(매칭테이블!C:D,MATCH(RD!G14512,매칭테이블!D:D,0),1)</f>
        <v/>
      </c>
      <c r="F14512" s="94" t="inlineStr">
        <is>
          <t>카페24</t>
        </is>
      </c>
      <c r="G14512" s="94" t="inlineStr">
        <is>
          <t>어성초 77% 수딩 토너토너(필수)=어성초 77 토너 1개-20% off</t>
        </is>
      </c>
      <c r="K14512" s="94" t="n">
        <v>3</v>
      </c>
      <c r="L14512" s="88" t="n">
        <v>201208</v>
      </c>
      <c r="M14512" s="88">
        <f>VLOOKUP($Q14512,매칭테이블!$F:$I,2,0)*K14512</f>
        <v/>
      </c>
      <c r="N14512" s="88">
        <f>M14512-M14512*VLOOKUP($Q14512,매칭테이블!$F:$I,3,0)</f>
        <v/>
      </c>
      <c r="O14512" s="88">
        <f>VLOOKUP($Q14512,매칭테이블!$F:$I,4,0)*K14512</f>
        <v/>
      </c>
      <c r="P14512" s="152">
        <f>M14512/1.1</f>
        <v/>
      </c>
      <c r="Q14512" s="88">
        <f>F14512&amp;E14512&amp;G14512&amp;L14512</f>
        <v/>
      </c>
    </row>
    <row r="14513">
      <c r="B14513" s="128" t="n">
        <v>44226</v>
      </c>
      <c r="C14513" s="88">
        <f>TEXT(B14513,"aaa")</f>
        <v/>
      </c>
      <c r="D14513" s="94" t="n"/>
      <c r="E14513" s="88">
        <f>INDEX(매칭테이블!C:D,MATCH(RD!G14513,매칭테이블!D:D,0),1)</f>
        <v/>
      </c>
      <c r="F14513" s="94" t="inlineStr">
        <is>
          <t>카페24</t>
        </is>
      </c>
      <c r="G14513" s="94" t="inlineStr">
        <is>
          <t>어성초 77% 수딩 토너토너(필수)=어성초 77 토너 2개-30% off (무료배송)</t>
        </is>
      </c>
      <c r="K14513" s="94" t="n">
        <v>6</v>
      </c>
      <c r="L14513" s="88" t="n">
        <v>201208</v>
      </c>
      <c r="M14513" s="88">
        <f>VLOOKUP($Q14513,매칭테이블!$F:$I,2,0)*K14513</f>
        <v/>
      </c>
      <c r="N14513" s="88">
        <f>M14513-M14513*VLOOKUP($Q14513,매칭테이블!$F:$I,3,0)</f>
        <v/>
      </c>
      <c r="O14513" s="88">
        <f>VLOOKUP($Q14513,매칭테이블!$F:$I,4,0)*K14513</f>
        <v/>
      </c>
      <c r="P14513" s="152">
        <f>M14513/1.1</f>
        <v/>
      </c>
      <c r="Q14513" s="88">
        <f>F14513&amp;E14513&amp;G14513&amp;L14513</f>
        <v/>
      </c>
    </row>
    <row r="14514">
      <c r="B14514" s="128" t="n">
        <v>44226</v>
      </c>
      <c r="C14514" s="88">
        <f>TEXT(B14514,"aaa")</f>
        <v/>
      </c>
      <c r="D14514" s="94" t="n"/>
      <c r="E14514" s="88">
        <f>INDEX(매칭테이블!C:D,MATCH(RD!G14514,매칭테이블!D:D,0),1)</f>
        <v/>
      </c>
      <c r="F14514" s="94" t="inlineStr">
        <is>
          <t>카페24</t>
        </is>
      </c>
      <c r="G14514" s="94" t="inlineStr">
        <is>
          <t>어성초 77% 수딩 토너토너(필수)=어성초77토너1개 + 어성초77패드1개 -30% off (무료배송)</t>
        </is>
      </c>
      <c r="K14514" s="94" t="n">
        <v>3</v>
      </c>
      <c r="L14514" s="88" t="n">
        <v>201208</v>
      </c>
      <c r="M14514" s="88">
        <f>VLOOKUP($Q14514,매칭테이블!$F:$I,2,0)*K14514</f>
        <v/>
      </c>
      <c r="N14514" s="88">
        <f>M14514-M14514*VLOOKUP($Q14514,매칭테이블!$F:$I,3,0)</f>
        <v/>
      </c>
      <c r="O14514" s="88">
        <f>VLOOKUP($Q14514,매칭테이블!$F:$I,4,0)*K14514</f>
        <v/>
      </c>
      <c r="P14514" s="152">
        <f>M14514/1.1</f>
        <v/>
      </c>
      <c r="Q14514" s="88">
        <f>F14514&amp;E14514&amp;G14514&amp;L14514</f>
        <v/>
      </c>
    </row>
    <row r="14515">
      <c r="B14515" s="128" t="n">
        <v>44226</v>
      </c>
      <c r="C14515" s="88">
        <f>TEXT(B14515,"aaa")</f>
        <v/>
      </c>
      <c r="D14515" s="94" t="n"/>
      <c r="E14515" s="88">
        <f>INDEX(매칭테이블!C:D,MATCH(RD!G14515,매칭테이블!D:D,0),1)</f>
        <v/>
      </c>
      <c r="F14515" s="94" t="inlineStr">
        <is>
          <t>카페24</t>
        </is>
      </c>
      <c r="G14515" s="94" t="inlineStr">
        <is>
          <t>어성초 77% 수딩 토너화장솜(선택)=촉촉 스킨팩 화장솜</t>
        </is>
      </c>
      <c r="K14515" s="94" t="n">
        <v>5</v>
      </c>
      <c r="L14515" s="88" t="n">
        <v>201208</v>
      </c>
      <c r="M14515" s="88">
        <f>VLOOKUP($Q14515,매칭테이블!$F:$I,2,0)*K14515</f>
        <v/>
      </c>
      <c r="N14515" s="88">
        <f>M14515-M14515*VLOOKUP($Q14515,매칭테이블!$F:$I,3,0)</f>
        <v/>
      </c>
      <c r="O14515" s="88">
        <f>VLOOKUP($Q14515,매칭테이블!$F:$I,4,0)*K14515</f>
        <v/>
      </c>
      <c r="P14515" s="152">
        <f>M14515/1.1</f>
        <v/>
      </c>
      <c r="Q14515" s="88">
        <f>F14515&amp;E14515&amp;G14515&amp;L14515</f>
        <v/>
      </c>
    </row>
    <row r="14516">
      <c r="B14516" s="128" t="n">
        <v>44226</v>
      </c>
      <c r="C14516" s="88">
        <f>TEXT(B14516,"aaa")</f>
        <v/>
      </c>
      <c r="D14516" s="94" t="n"/>
      <c r="E14516" s="88">
        <f>INDEX(매칭테이블!C:D,MATCH(RD!G14516,매칭테이블!D:D,0),1)</f>
        <v/>
      </c>
      <c r="F14516" s="94" t="inlineStr">
        <is>
          <t>카페24</t>
        </is>
      </c>
      <c r="G14516" s="94" t="inlineStr">
        <is>
          <t>어성초 77% 패드옵션=어성초 77 클리어 패드 1개-20% off</t>
        </is>
      </c>
      <c r="K14516" s="94" t="n">
        <v>46</v>
      </c>
      <c r="L14516" s="88" t="n">
        <v>201208</v>
      </c>
      <c r="M14516" s="88">
        <f>VLOOKUP($Q14516,매칭테이블!$F:$I,2,0)*K14516</f>
        <v/>
      </c>
      <c r="N14516" s="88">
        <f>M14516-M14516*VLOOKUP($Q14516,매칭테이블!$F:$I,3,0)</f>
        <v/>
      </c>
      <c r="O14516" s="88">
        <f>VLOOKUP($Q14516,매칭테이블!$F:$I,4,0)*K14516</f>
        <v/>
      </c>
      <c r="P14516" s="152">
        <f>M14516/1.1</f>
        <v/>
      </c>
      <c r="Q14516" s="88">
        <f>F14516&amp;E14516&amp;G14516&amp;L14516</f>
        <v/>
      </c>
    </row>
    <row r="14517">
      <c r="B14517" s="128" t="n">
        <v>44226</v>
      </c>
      <c r="C14517" s="88">
        <f>TEXT(B14517,"aaa")</f>
        <v/>
      </c>
      <c r="D14517" s="94" t="n"/>
      <c r="E14517" s="88">
        <f>INDEX(매칭테이블!C:D,MATCH(RD!G14517,매칭테이블!D:D,0),1)</f>
        <v/>
      </c>
      <c r="F14517" s="94" t="inlineStr">
        <is>
          <t>카페24</t>
        </is>
      </c>
      <c r="G14517" s="94" t="inlineStr">
        <is>
          <t>어성초 77% 패드옵션=어성초 77 클리어 패드 2개-30% off (무료배송)</t>
        </is>
      </c>
      <c r="K14517" s="94" t="n">
        <v>39</v>
      </c>
      <c r="L14517" s="88" t="n">
        <v>201208</v>
      </c>
      <c r="M14517" s="88">
        <f>VLOOKUP($Q14517,매칭테이블!$F:$I,2,0)*K14517</f>
        <v/>
      </c>
      <c r="N14517" s="88">
        <f>M14517-M14517*VLOOKUP($Q14517,매칭테이블!$F:$I,3,0)</f>
        <v/>
      </c>
      <c r="O14517" s="88">
        <f>VLOOKUP($Q14517,매칭테이블!$F:$I,4,0)*K14517</f>
        <v/>
      </c>
      <c r="P14517" s="152">
        <f>M14517/1.1</f>
        <v/>
      </c>
      <c r="Q14517" s="88">
        <f>F14517&amp;E14517&amp;G14517&amp;L14517</f>
        <v/>
      </c>
    </row>
    <row r="14518">
      <c r="B14518" s="128" t="n">
        <v>44226</v>
      </c>
      <c r="C14518" s="88">
        <f>TEXT(B14518,"aaa")</f>
        <v/>
      </c>
      <c r="D14518" s="94" t="n"/>
      <c r="E14518" s="88">
        <f>INDEX(매칭테이블!C:D,MATCH(RD!G14518,매칭테이블!D:D,0),1)</f>
        <v/>
      </c>
      <c r="F14518" s="94" t="inlineStr">
        <is>
          <t>카페24</t>
        </is>
      </c>
      <c r="G14518" s="94" t="inlineStr">
        <is>
          <t>어성초 77% 패드옵션=어성초 77 클리어 패드 2+1 EVENT (무료배송)</t>
        </is>
      </c>
      <c r="K14518" s="94" t="n">
        <v>24</v>
      </c>
      <c r="L14518" s="88" t="n">
        <v>201208</v>
      </c>
      <c r="M14518" s="88">
        <f>VLOOKUP($Q14518,매칭테이블!$F:$I,2,0)*K14518</f>
        <v/>
      </c>
      <c r="N14518" s="88">
        <f>M14518-M14518*VLOOKUP($Q14518,매칭테이블!$F:$I,3,0)</f>
        <v/>
      </c>
      <c r="O14518" s="88">
        <f>VLOOKUP($Q14518,매칭테이블!$F:$I,4,0)*K14518</f>
        <v/>
      </c>
      <c r="P14518" s="152">
        <f>M14518/1.1</f>
        <v/>
      </c>
      <c r="Q14518" s="88">
        <f>F14518&amp;E14518&amp;G14518&amp;L14518</f>
        <v/>
      </c>
    </row>
    <row r="14519">
      <c r="B14519" s="128" t="n">
        <v>44226</v>
      </c>
      <c r="C14519" s="88">
        <f>TEXT(B14519,"aaa")</f>
        <v/>
      </c>
      <c r="D14519" s="94" t="n"/>
      <c r="E14519" s="88">
        <f>INDEX(매칭테이블!C:D,MATCH(RD!G14519,매칭테이블!D:D,0),1)</f>
        <v/>
      </c>
      <c r="F14519" s="94" t="inlineStr">
        <is>
          <t>카페24</t>
        </is>
      </c>
      <c r="G14519" s="94" t="inlineStr">
        <is>
          <t>어성초 77% 패드옵션=어성초77토너1개+어성초77패드1개-30% off (무료배송)</t>
        </is>
      </c>
      <c r="K14519" s="94" t="n">
        <v>15</v>
      </c>
      <c r="L14519" s="88" t="n">
        <v>201208</v>
      </c>
      <c r="M14519" s="88">
        <f>VLOOKUP($Q14519,매칭테이블!$F:$I,2,0)*K14519</f>
        <v/>
      </c>
      <c r="N14519" s="88">
        <f>M14519-M14519*VLOOKUP($Q14519,매칭테이블!$F:$I,3,0)</f>
        <v/>
      </c>
      <c r="O14519" s="88">
        <f>VLOOKUP($Q14519,매칭테이블!$F:$I,4,0)*K14519</f>
        <v/>
      </c>
      <c r="P14519" s="152">
        <f>M14519/1.1</f>
        <v/>
      </c>
      <c r="Q14519" s="88">
        <f>F14519&amp;E14519&amp;G14519&amp;L14519</f>
        <v/>
      </c>
    </row>
    <row r="14520">
      <c r="B14520" s="128" t="n">
        <v>44226</v>
      </c>
      <c r="C14520" s="88">
        <f>TEXT(B14520,"aaa")</f>
        <v/>
      </c>
      <c r="D14520" s="94" t="n"/>
      <c r="E14520" s="88">
        <f>INDEX(매칭테이블!C:D,MATCH(RD!G14520,매칭테이블!D:D,0),1)</f>
        <v/>
      </c>
      <c r="F14520" s="94" t="inlineStr">
        <is>
          <t>카페24</t>
        </is>
      </c>
      <c r="G14520" s="94" t="inlineStr">
        <is>
          <t>어성초 78 수딩 크림</t>
        </is>
      </c>
      <c r="K14520" s="94" t="n">
        <v>9</v>
      </c>
      <c r="L14520" s="88" t="n">
        <v>201208</v>
      </c>
      <c r="M14520" s="88">
        <f>VLOOKUP($Q14520,매칭테이블!$F:$I,2,0)*K14520</f>
        <v/>
      </c>
      <c r="N14520" s="88">
        <f>M14520-M14520*VLOOKUP($Q14520,매칭테이블!$F:$I,3,0)</f>
        <v/>
      </c>
      <c r="O14520" s="88">
        <f>VLOOKUP($Q14520,매칭테이블!$F:$I,4,0)*K14520</f>
        <v/>
      </c>
      <c r="P14520" s="152">
        <f>M14520/1.1</f>
        <v/>
      </c>
      <c r="Q14520" s="88">
        <f>F14520&amp;E14520&amp;G14520&amp;L14520</f>
        <v/>
      </c>
    </row>
    <row r="14521">
      <c r="B14521" s="128" t="n">
        <v>44226</v>
      </c>
      <c r="C14521" s="88">
        <f>TEXT(B14521,"aaa")</f>
        <v/>
      </c>
      <c r="D14521" s="94" t="n"/>
      <c r="E14521" s="88">
        <f>INDEX(매칭테이블!C:D,MATCH(RD!G14521,매칭테이블!D:D,0),1)</f>
        <v/>
      </c>
      <c r="F14521" s="94" t="inlineStr">
        <is>
          <t>카페24</t>
        </is>
      </c>
      <c r="G14521" s="94" t="inlineStr">
        <is>
          <t>어성초 78 수딩 크림</t>
        </is>
      </c>
      <c r="K14521" s="94" t="n">
        <v>21</v>
      </c>
      <c r="L14521" s="88" t="n">
        <v>201208</v>
      </c>
      <c r="M14521" s="88">
        <f>VLOOKUP($Q14521,매칭테이블!$F:$I,2,0)*K14521</f>
        <v/>
      </c>
      <c r="N14521" s="88">
        <f>M14521-M14521*VLOOKUP($Q14521,매칭테이블!$F:$I,3,0)</f>
        <v/>
      </c>
      <c r="O14521" s="88">
        <f>VLOOKUP($Q14521,매칭테이블!$F:$I,4,0)*K14521</f>
        <v/>
      </c>
      <c r="P14521" s="152">
        <f>M14521/1.1</f>
        <v/>
      </c>
      <c r="Q14521" s="88">
        <f>F14521&amp;E14521&amp;G14521&amp;L14521</f>
        <v/>
      </c>
    </row>
    <row r="14522">
      <c r="B14522" s="128" t="n">
        <v>44226</v>
      </c>
      <c r="C14522" s="88">
        <f>TEXT(B14522,"aaa")</f>
        <v/>
      </c>
      <c r="D14522" s="94" t="n"/>
      <c r="E14522" s="88">
        <f>INDEX(매칭테이블!C:D,MATCH(RD!G14522,매칭테이블!D:D,0),1)</f>
        <v/>
      </c>
      <c r="F14522" s="94" t="inlineStr">
        <is>
          <t>카페24</t>
        </is>
      </c>
      <c r="G14522" s="94" t="inlineStr">
        <is>
          <t>어성초 80 수분 진정 앰플앰플=어성초 80 앰플 1개-15%off</t>
        </is>
      </c>
      <c r="K14522" s="94" t="n">
        <v>24</v>
      </c>
      <c r="L14522" s="88" t="n">
        <v>201208</v>
      </c>
      <c r="M14522" s="88">
        <f>VLOOKUP($Q14522,매칭테이블!$F:$I,2,0)*K14522</f>
        <v/>
      </c>
      <c r="N14522" s="88">
        <f>M14522-M14522*VLOOKUP($Q14522,매칭테이블!$F:$I,3,0)</f>
        <v/>
      </c>
      <c r="O14522" s="88">
        <f>VLOOKUP($Q14522,매칭테이블!$F:$I,4,0)*K14522</f>
        <v/>
      </c>
      <c r="P14522" s="152">
        <f>M14522/1.1</f>
        <v/>
      </c>
      <c r="Q14522" s="88">
        <f>F14522&amp;E14522&amp;G14522&amp;L14522</f>
        <v/>
      </c>
    </row>
    <row r="14523">
      <c r="B14523" s="128" t="n">
        <v>44226</v>
      </c>
      <c r="C14523" s="88">
        <f>TEXT(B14523,"aaa")</f>
        <v/>
      </c>
      <c r="D14523" s="94" t="n"/>
      <c r="E14523" s="88">
        <f>INDEX(매칭테이블!C:D,MATCH(RD!G14523,매칭테이블!D:D,0),1)</f>
        <v/>
      </c>
      <c r="F14523" s="94" t="inlineStr">
        <is>
          <t>카페24</t>
        </is>
      </c>
      <c r="G14523" s="94" t="inlineStr">
        <is>
          <t>어성초 80 수분 진정 앰플앰플=어성초 80 앰플 2개-27%off (무료배송)</t>
        </is>
      </c>
      <c r="K14523" s="94" t="n">
        <v>9</v>
      </c>
      <c r="L14523" s="88" t="n">
        <v>201208</v>
      </c>
      <c r="M14523" s="88">
        <f>VLOOKUP($Q14523,매칭테이블!$F:$I,2,0)*K14523</f>
        <v/>
      </c>
      <c r="N14523" s="88">
        <f>M14523-M14523*VLOOKUP($Q14523,매칭테이블!$F:$I,3,0)</f>
        <v/>
      </c>
      <c r="O14523" s="88">
        <f>VLOOKUP($Q14523,매칭테이블!$F:$I,4,0)*K14523</f>
        <v/>
      </c>
      <c r="P14523" s="152">
        <f>M14523/1.1</f>
        <v/>
      </c>
      <c r="Q14523" s="88">
        <f>F14523&amp;E14523&amp;G14523&amp;L14523</f>
        <v/>
      </c>
    </row>
    <row r="14524">
      <c r="B14524" s="128" t="n">
        <v>44226</v>
      </c>
      <c r="C14524" s="88">
        <f>TEXT(B14524,"aaa")</f>
        <v/>
      </c>
      <c r="D14524" s="94" t="n"/>
      <c r="E14524" s="88">
        <f>INDEX(매칭테이블!C:D,MATCH(RD!G14524,매칭테이블!D:D,0),1)</f>
        <v/>
      </c>
      <c r="F14524" s="94" t="inlineStr">
        <is>
          <t>카페24</t>
        </is>
      </c>
      <c r="G14524" s="94" t="inlineStr">
        <is>
          <t>어성초 80 수분 진정 앰플</t>
        </is>
      </c>
      <c r="K14524" s="94" t="n">
        <v>14</v>
      </c>
      <c r="L14524" s="88" t="n">
        <v>201208</v>
      </c>
      <c r="M14524" s="88">
        <f>VLOOKUP($Q14524,매칭테이블!$F:$I,2,0)*K14524</f>
        <v/>
      </c>
      <c r="N14524" s="88">
        <f>M14524-M14524*VLOOKUP($Q14524,매칭테이블!$F:$I,3,0)</f>
        <v/>
      </c>
      <c r="O14524" s="88">
        <f>VLOOKUP($Q14524,매칭테이블!$F:$I,4,0)*K14524</f>
        <v/>
      </c>
      <c r="P14524" s="152">
        <f>M14524/1.1</f>
        <v/>
      </c>
      <c r="Q14524" s="88">
        <f>F14524&amp;E14524&amp;G14524&amp;L14524</f>
        <v/>
      </c>
    </row>
    <row r="14525">
      <c r="B14525" s="128" t="n">
        <v>44226</v>
      </c>
      <c r="C14525" s="88">
        <f>TEXT(B14525,"aaa")</f>
        <v/>
      </c>
      <c r="D14525" s="94" t="n"/>
      <c r="E14525" s="88">
        <f>INDEX(매칭테이블!C:D,MATCH(RD!G14525,매칭테이블!D:D,0),1)</f>
        <v/>
      </c>
      <c r="F14525" s="94" t="inlineStr">
        <is>
          <t>카페24</t>
        </is>
      </c>
      <c r="G14525" s="94" t="inlineStr">
        <is>
          <t>어성초 아크네 바디워시옵션=어성초 아크네 바디워시 1개 -30% off</t>
        </is>
      </c>
      <c r="K14525" s="94" t="n">
        <v>3</v>
      </c>
      <c r="L14525" s="88" t="n">
        <v>201208</v>
      </c>
      <c r="M14525" s="88">
        <f>VLOOKUP($Q14525,매칭테이블!$F:$I,2,0)*K14525</f>
        <v/>
      </c>
      <c r="N14525" s="88">
        <f>M14525-M14525*VLOOKUP($Q14525,매칭테이블!$F:$I,3,0)</f>
        <v/>
      </c>
      <c r="O14525" s="88">
        <f>VLOOKUP($Q14525,매칭테이블!$F:$I,4,0)*K14525</f>
        <v/>
      </c>
      <c r="P14525" s="152">
        <f>M14525/1.1</f>
        <v/>
      </c>
      <c r="Q14525" s="88">
        <f>F14525&amp;E14525&amp;G14525&amp;L14525</f>
        <v/>
      </c>
    </row>
    <row r="14526">
      <c r="B14526" s="128" t="n">
        <v>44226</v>
      </c>
      <c r="C14526" s="88">
        <f>TEXT(B14526,"aaa")</f>
        <v/>
      </c>
      <c r="D14526" s="94" t="n"/>
      <c r="E14526" s="88">
        <f>INDEX(매칭테이블!C:D,MATCH(RD!G14526,매칭테이블!D:D,0),1)</f>
        <v/>
      </c>
      <c r="F14526" s="94" t="inlineStr">
        <is>
          <t>카페24</t>
        </is>
      </c>
      <c r="G14526" s="94" t="inlineStr">
        <is>
          <t>어성초 아크네 바디워시옵션=어성초 아크네 바디워시 2개 -35% off (무료배송)</t>
        </is>
      </c>
      <c r="K14526" s="94" t="n">
        <v>2</v>
      </c>
      <c r="L14526" s="88" t="n">
        <v>201208</v>
      </c>
      <c r="M14526" s="88">
        <f>VLOOKUP($Q14526,매칭테이블!$F:$I,2,0)*K14526</f>
        <v/>
      </c>
      <c r="N14526" s="88">
        <f>M14526-M14526*VLOOKUP($Q14526,매칭테이블!$F:$I,3,0)</f>
        <v/>
      </c>
      <c r="O14526" s="88">
        <f>VLOOKUP($Q14526,매칭테이블!$F:$I,4,0)*K14526</f>
        <v/>
      </c>
      <c r="P14526" s="152">
        <f>M14526/1.1</f>
        <v/>
      </c>
      <c r="Q14526" s="88">
        <f>F14526&amp;E14526&amp;G14526&amp;L14526</f>
        <v/>
      </c>
    </row>
    <row r="14527">
      <c r="B14527" s="128" t="n">
        <v>44226</v>
      </c>
      <c r="C14527" s="88">
        <f>TEXT(B14527,"aaa")</f>
        <v/>
      </c>
      <c r="D14527" s="94" t="n"/>
      <c r="E14527" s="88">
        <f>INDEX(매칭테이블!C:D,MATCH(RD!G14527,매칭테이블!D:D,0),1)</f>
        <v/>
      </c>
      <c r="F14527" s="94" t="inlineStr">
        <is>
          <t>카페24</t>
        </is>
      </c>
      <c r="G14527" s="94" t="inlineStr">
        <is>
          <t>어성초 약산성 클렌징폼클렌징폼=어성초 약산성 클렌징폼 1개 -19%off</t>
        </is>
      </c>
      <c r="K14527" s="94" t="n">
        <v>33</v>
      </c>
      <c r="L14527" s="88" t="n">
        <v>201208</v>
      </c>
      <c r="M14527" s="88">
        <f>VLOOKUP($Q14527,매칭테이블!$F:$I,2,0)*K14527</f>
        <v/>
      </c>
      <c r="N14527" s="88">
        <f>M14527-M14527*VLOOKUP($Q14527,매칭테이블!$F:$I,3,0)</f>
        <v/>
      </c>
      <c r="O14527" s="88">
        <f>VLOOKUP($Q14527,매칭테이블!$F:$I,4,0)*K14527</f>
        <v/>
      </c>
      <c r="P14527" s="152">
        <f>M14527/1.1</f>
        <v/>
      </c>
      <c r="Q14527" s="88">
        <f>F14527&amp;E14527&amp;G14527&amp;L14527</f>
        <v/>
      </c>
    </row>
    <row r="14528">
      <c r="B14528" s="128" t="n">
        <v>44226</v>
      </c>
      <c r="C14528" s="88">
        <f>TEXT(B14528,"aaa")</f>
        <v/>
      </c>
      <c r="D14528" s="94" t="n"/>
      <c r="E14528" s="88">
        <f>INDEX(매칭테이블!C:D,MATCH(RD!G14528,매칭테이블!D:D,0),1)</f>
        <v/>
      </c>
      <c r="F14528" s="94" t="inlineStr">
        <is>
          <t>카페24</t>
        </is>
      </c>
      <c r="G14528" s="94" t="inlineStr">
        <is>
          <t>어성초 약산성 클렌징폼클렌징폼=어성초 약산성 클렌징폼 2개 -25%off</t>
        </is>
      </c>
      <c r="K14528" s="94" t="n">
        <v>6</v>
      </c>
      <c r="L14528" s="88" t="n">
        <v>201208</v>
      </c>
      <c r="M14528" s="88">
        <f>VLOOKUP($Q14528,매칭테이블!$F:$I,2,0)*K14528</f>
        <v/>
      </c>
      <c r="N14528" s="88">
        <f>M14528-M14528*VLOOKUP($Q14528,매칭테이블!$F:$I,3,0)</f>
        <v/>
      </c>
      <c r="O14528" s="88">
        <f>VLOOKUP($Q14528,매칭테이블!$F:$I,4,0)*K14528</f>
        <v/>
      </c>
      <c r="P14528" s="152">
        <f>M14528/1.1</f>
        <v/>
      </c>
      <c r="Q14528" s="88">
        <f>F14528&amp;E14528&amp;G14528&amp;L14528</f>
        <v/>
      </c>
    </row>
    <row r="14529">
      <c r="B14529" s="128" t="n">
        <v>44226</v>
      </c>
      <c r="C14529" s="88">
        <f>TEXT(B14529,"aaa")</f>
        <v/>
      </c>
      <c r="D14529" s="94" t="n"/>
      <c r="E14529" s="88">
        <f>INDEX(매칭테이블!C:D,MATCH(RD!G14529,매칭테이블!D:D,0),1)</f>
        <v/>
      </c>
      <c r="F14529" s="94" t="inlineStr">
        <is>
          <t>카페24</t>
        </is>
      </c>
      <c r="G14529" s="94" t="inlineStr">
        <is>
          <t>어성초 약산성 클렌징폼클렌징폼=어성초 약산성 클렌징폼 3개 -31%off (무료배송)</t>
        </is>
      </c>
      <c r="K14529" s="94" t="n">
        <v>3</v>
      </c>
      <c r="L14529" s="88" t="n">
        <v>201208</v>
      </c>
      <c r="M14529" s="88">
        <f>VLOOKUP($Q14529,매칭테이블!$F:$I,2,0)*K14529</f>
        <v/>
      </c>
      <c r="N14529" s="88">
        <f>M14529-M14529*VLOOKUP($Q14529,매칭테이블!$F:$I,3,0)</f>
        <v/>
      </c>
      <c r="O14529" s="88">
        <f>VLOOKUP($Q14529,매칭테이블!$F:$I,4,0)*K14529</f>
        <v/>
      </c>
      <c r="P14529" s="152">
        <f>M14529/1.1</f>
        <v/>
      </c>
      <c r="Q14529" s="88">
        <f>F14529&amp;E14529&amp;G14529&amp;L14529</f>
        <v/>
      </c>
    </row>
    <row r="14530">
      <c r="B14530" s="128" t="n">
        <v>44226</v>
      </c>
      <c r="C14530" s="88">
        <f>TEXT(B14530,"aaa")</f>
        <v/>
      </c>
      <c r="D14530" s="94" t="n"/>
      <c r="E14530" s="88">
        <f>INDEX(매칭테이블!C:D,MATCH(RD!G14530,매칭테이블!D:D,0),1)</f>
        <v/>
      </c>
      <c r="F14530" s="94" t="inlineStr">
        <is>
          <t>카페24</t>
        </is>
      </c>
      <c r="G14530" s="94" t="inlineStr">
        <is>
          <t>어성초 약산성 클렌징폼</t>
        </is>
      </c>
      <c r="K14530" s="94" t="n">
        <v>1</v>
      </c>
      <c r="L14530" s="88" t="n">
        <v>201208</v>
      </c>
      <c r="M14530" s="88">
        <f>VLOOKUP($Q14530,매칭테이블!$F:$I,2,0)*K14530</f>
        <v/>
      </c>
      <c r="N14530" s="88">
        <f>M14530-M14530*VLOOKUP($Q14530,매칭테이블!$F:$I,3,0)</f>
        <v/>
      </c>
      <c r="O14530" s="88">
        <f>VLOOKUP($Q14530,매칭테이블!$F:$I,4,0)*K14530</f>
        <v/>
      </c>
      <c r="P14530" s="152">
        <f>M14530/1.1</f>
        <v/>
      </c>
      <c r="Q14530" s="88">
        <f>F14530&amp;E14530&amp;G14530&amp;L14530</f>
        <v/>
      </c>
    </row>
    <row r="14531">
      <c r="B14531" s="128" t="n">
        <v>44226</v>
      </c>
      <c r="C14531" s="88">
        <f>TEXT(B14531,"aaa")</f>
        <v/>
      </c>
      <c r="D14531" s="94" t="n"/>
      <c r="E14531" s="88">
        <f>INDEX(매칭테이블!C:D,MATCH(RD!G14531,매칭테이블!D:D,0),1)</f>
        <v/>
      </c>
      <c r="F14531" s="94" t="inlineStr">
        <is>
          <t>카페24</t>
        </is>
      </c>
      <c r="G14531" s="94" t="inlineStr">
        <is>
          <t>청귤 비타 잡티 마스크옵션=청귤 비타 잡티 마스크 1장</t>
        </is>
      </c>
      <c r="K14531" s="94" t="n">
        <v>1</v>
      </c>
      <c r="L14531" s="88" t="n">
        <v>201208</v>
      </c>
      <c r="M14531" s="88">
        <f>VLOOKUP($Q14531,매칭테이블!$F:$I,2,0)*K14531</f>
        <v/>
      </c>
      <c r="N14531" s="88">
        <f>M14531-M14531*VLOOKUP($Q14531,매칭테이블!$F:$I,3,0)</f>
        <v/>
      </c>
      <c r="O14531" s="88">
        <f>VLOOKUP($Q14531,매칭테이블!$F:$I,4,0)*K14531</f>
        <v/>
      </c>
      <c r="P14531" s="152">
        <f>M14531/1.1</f>
        <v/>
      </c>
      <c r="Q14531" s="88">
        <f>F14531&amp;E14531&amp;G14531&amp;L14531</f>
        <v/>
      </c>
    </row>
    <row r="14532">
      <c r="B14532" s="128" t="n">
        <v>44226</v>
      </c>
      <c r="C14532" s="88">
        <f>TEXT(B14532,"aaa")</f>
        <v/>
      </c>
      <c r="D14532" s="94" t="n"/>
      <c r="E14532" s="88">
        <f>INDEX(매칭테이블!C:D,MATCH(RD!G14532,매칭테이블!D:D,0),1)</f>
        <v/>
      </c>
      <c r="F14532" s="94" t="inlineStr">
        <is>
          <t>카페24</t>
        </is>
      </c>
      <c r="G14532" s="94" t="inlineStr">
        <is>
          <t>청귤 비타 잡티 마스크옵션=청귤 비타 잡티 마스크 10장 (50% off)</t>
        </is>
      </c>
      <c r="K14532" s="94" t="n">
        <v>1</v>
      </c>
      <c r="L14532" s="88" t="n">
        <v>201208</v>
      </c>
      <c r="M14532" s="88">
        <f>VLOOKUP($Q14532,매칭테이블!$F:$I,2,0)*K14532</f>
        <v/>
      </c>
      <c r="N14532" s="88">
        <f>M14532-M14532*VLOOKUP($Q14532,매칭테이블!$F:$I,3,0)</f>
        <v/>
      </c>
      <c r="O14532" s="88">
        <f>VLOOKUP($Q14532,매칭테이블!$F:$I,4,0)*K14532</f>
        <v/>
      </c>
      <c r="P14532" s="152">
        <f>M14532/1.1</f>
        <v/>
      </c>
      <c r="Q14532" s="88">
        <f>F14532&amp;E14532&amp;G14532&amp;L14532</f>
        <v/>
      </c>
    </row>
    <row r="14533">
      <c r="B14533" s="128" t="n">
        <v>44226</v>
      </c>
      <c r="C14533" s="88">
        <f>TEXT(B14533,"aaa")</f>
        <v/>
      </c>
      <c r="D14533" s="94" t="n"/>
      <c r="E14533" s="88">
        <f>INDEX(매칭테이블!C:D,MATCH(RD!G14533,매칭테이블!D:D,0),1)</f>
        <v/>
      </c>
      <c r="F14533" s="94" t="inlineStr">
        <is>
          <t>카페24</t>
        </is>
      </c>
      <c r="G14533" s="94" t="inlineStr">
        <is>
          <t>촉촉 스킨팩 화장솜</t>
        </is>
      </c>
      <c r="K14533" s="94" t="n">
        <v>17</v>
      </c>
      <c r="L14533" s="88" t="n">
        <v>201208</v>
      </c>
      <c r="M14533" s="88">
        <f>VLOOKUP($Q14533,매칭테이블!$F:$I,2,0)*K14533</f>
        <v/>
      </c>
      <c r="N14533" s="88">
        <f>M14533-M14533*VLOOKUP($Q14533,매칭테이블!$F:$I,3,0)</f>
        <v/>
      </c>
      <c r="O14533" s="88">
        <f>VLOOKUP($Q14533,매칭테이블!$F:$I,4,0)*K14533</f>
        <v/>
      </c>
      <c r="P14533" s="152">
        <f>M14533/1.1</f>
        <v/>
      </c>
      <c r="Q14533" s="88">
        <f>F14533&amp;E14533&amp;G14533&amp;L14533</f>
        <v/>
      </c>
    </row>
    <row r="14534">
      <c r="B14534" s="128" t="n">
        <v>44226</v>
      </c>
      <c r="C14534" s="88">
        <f>TEXT(B14534,"aaa")</f>
        <v/>
      </c>
      <c r="D14534" s="94" t="n"/>
      <c r="E14534" s="88">
        <f>INDEX(매칭테이블!C:D,MATCH(RD!G14534,매칭테이블!D:D,0),1)</f>
        <v/>
      </c>
      <c r="F14534" s="94" t="inlineStr">
        <is>
          <t>카페24</t>
        </is>
      </c>
      <c r="G14534" s="94" t="inlineStr">
        <is>
          <t>촉촉 스킨팩 화장솜</t>
        </is>
      </c>
      <c r="K14534" s="94" t="n">
        <v>1</v>
      </c>
      <c r="L14534" s="88" t="n">
        <v>201208</v>
      </c>
      <c r="M14534" s="88">
        <f>VLOOKUP($Q14534,매칭테이블!$F:$I,2,0)*K14534</f>
        <v/>
      </c>
      <c r="N14534" s="88">
        <f>M14534-M14534*VLOOKUP($Q14534,매칭테이블!$F:$I,3,0)</f>
        <v/>
      </c>
      <c r="O14534" s="88">
        <f>VLOOKUP($Q14534,매칭테이블!$F:$I,4,0)*K14534</f>
        <v/>
      </c>
      <c r="P14534" s="152">
        <f>M14534/1.1</f>
        <v/>
      </c>
      <c r="Q14534" s="88">
        <f>F14534&amp;E14534&amp;G14534&amp;L14534</f>
        <v/>
      </c>
    </row>
    <row r="14535" customFormat="1" s="94">
      <c r="B14535" s="128" t="n">
        <v>44227</v>
      </c>
      <c r="C14535" s="88">
        <f>TEXT(B14535,"aaa")</f>
        <v/>
      </c>
      <c r="E14535" s="88">
        <f>INDEX(매칭테이블!C:D,MATCH(RD!G14535,매칭테이블!D:D,0),1)</f>
        <v/>
      </c>
      <c r="F14535" s="94" t="inlineStr">
        <is>
          <t>스타일쉐어</t>
        </is>
      </c>
      <c r="G14535" s="94" t="inlineStr">
        <is>
          <t>아누아 어성초 77 토너 250ml</t>
        </is>
      </c>
      <c r="K14535" s="94" t="n">
        <v>4</v>
      </c>
      <c r="L14535" s="88" t="n">
        <v>201208</v>
      </c>
      <c r="M14535" s="88">
        <f>VLOOKUP($Q14535,매칭테이블!$F:$I,2,0)*K14535</f>
        <v/>
      </c>
      <c r="N14535" s="88">
        <f>M14535-M14535*VLOOKUP($Q14535,매칭테이블!$F:$I,3,0)</f>
        <v/>
      </c>
      <c r="O14535" s="88">
        <f>VLOOKUP($Q14535,매칭테이블!$F:$I,4,0)*K14535</f>
        <v/>
      </c>
      <c r="P14535" s="152">
        <f>M14535/1.1</f>
        <v/>
      </c>
      <c r="Q14535" s="88">
        <f>F14535&amp;E14535&amp;G14535&amp;L14535</f>
        <v/>
      </c>
    </row>
    <row r="14536">
      <c r="B14536" s="128" t="n">
        <v>44227</v>
      </c>
      <c r="C14536" s="88">
        <f>TEXT(B14536,"aaa")</f>
        <v/>
      </c>
      <c r="D14536" s="94" t="n"/>
      <c r="E14536" s="88">
        <f>INDEX(매칭테이블!C:D,MATCH(RD!G14536,매칭테이블!D:D,0),1)</f>
        <v/>
      </c>
      <c r="F14536" s="94" t="inlineStr">
        <is>
          <t>카페24</t>
        </is>
      </c>
      <c r="G14536" s="94" t="inlineStr">
        <is>
          <t>5 제로 무기자차 선크림옵션=5제로 무기자차 선크림 1개-20% off</t>
        </is>
      </c>
      <c r="K14536" s="94" t="n">
        <v>6</v>
      </c>
      <c r="L14536" s="88" t="n">
        <v>201208</v>
      </c>
      <c r="M14536" s="88">
        <f>VLOOKUP($Q14536,매칭테이블!$F:$I,2,0)*K14536</f>
        <v/>
      </c>
      <c r="N14536" s="88">
        <f>M14536-M14536*VLOOKUP($Q14536,매칭테이블!$F:$I,3,0)</f>
        <v/>
      </c>
      <c r="O14536" s="88">
        <f>VLOOKUP($Q14536,매칭테이블!$F:$I,4,0)*K14536</f>
        <v/>
      </c>
      <c r="P14536" s="152">
        <f>M14536/1.1</f>
        <v/>
      </c>
      <c r="Q14536" s="88">
        <f>F14536&amp;E14536&amp;G14536&amp;L14536</f>
        <v/>
      </c>
    </row>
    <row r="14537">
      <c r="B14537" s="128" t="n">
        <v>44227</v>
      </c>
      <c r="C14537" s="88">
        <f>TEXT(B14537,"aaa")</f>
        <v/>
      </c>
      <c r="D14537" s="94" t="n"/>
      <c r="E14537" s="88">
        <f>INDEX(매칭테이블!C:D,MATCH(RD!G14537,매칭테이블!D:D,0),1)</f>
        <v/>
      </c>
      <c r="F14537" s="94" t="inlineStr">
        <is>
          <t>카페24</t>
        </is>
      </c>
      <c r="G14537" s="94" t="inlineStr">
        <is>
          <t>[수분 보충 세트] 어성초 77 토너 + 어성초 70 로션옵션=어성초 77 토너 250ml + 어성초 70 로션 200ml -30%</t>
        </is>
      </c>
      <c r="K14537" s="94" t="n">
        <v>82</v>
      </c>
      <c r="L14537" s="88" t="n">
        <v>201208</v>
      </c>
      <c r="M14537" s="88">
        <f>VLOOKUP($Q14537,매칭테이블!$F:$I,2,0)*K14537</f>
        <v/>
      </c>
      <c r="N14537" s="88">
        <f>M14537-M14537*VLOOKUP($Q14537,매칭테이블!$F:$I,3,0)</f>
        <v/>
      </c>
      <c r="O14537" s="88">
        <f>VLOOKUP($Q14537,매칭테이블!$F:$I,4,0)*K14537</f>
        <v/>
      </c>
      <c r="P14537" s="152">
        <f>M14537/1.1</f>
        <v/>
      </c>
      <c r="Q14537" s="88">
        <f>F14537&amp;E14537&amp;G14537&amp;L14537</f>
        <v/>
      </c>
    </row>
    <row r="14538">
      <c r="B14538" s="128" t="n">
        <v>44227</v>
      </c>
      <c r="C14538" s="88">
        <f>TEXT(B14538,"aaa")</f>
        <v/>
      </c>
      <c r="D14538" s="94" t="n"/>
      <c r="E14538" s="88">
        <f>INDEX(매칭테이블!C:D,MATCH(RD!G14538,매칭테이블!D:D,0),1)</f>
        <v/>
      </c>
      <c r="F14538" s="94" t="inlineStr">
        <is>
          <t>카페24</t>
        </is>
      </c>
      <c r="G14538" s="94" t="inlineStr">
        <is>
          <t>[어성초 진정 패키지 세트] 대용량 토너 + 앰플 + 수딩 크림 + 마스크팩 10장</t>
        </is>
      </c>
      <c r="K14538" s="94" t="n">
        <v>6</v>
      </c>
      <c r="L14538" s="88" t="n">
        <v>201208</v>
      </c>
      <c r="M14538" s="88">
        <f>VLOOKUP($Q14538,매칭테이블!$F:$I,2,0)*K14538</f>
        <v/>
      </c>
      <c r="N14538" s="88">
        <f>M14538-M14538*VLOOKUP($Q14538,매칭테이블!$F:$I,3,0)</f>
        <v/>
      </c>
      <c r="O14538" s="88">
        <f>VLOOKUP($Q14538,매칭테이블!$F:$I,4,0)*K14538</f>
        <v/>
      </c>
      <c r="P14538" s="152">
        <f>M14538/1.1</f>
        <v/>
      </c>
      <c r="Q14538" s="88">
        <f>F14538&amp;E14538&amp;G14538&amp;L14538</f>
        <v/>
      </c>
    </row>
    <row r="14539">
      <c r="B14539" s="128" t="n">
        <v>44227</v>
      </c>
      <c r="C14539" s="88">
        <f>TEXT(B14539,"aaa")</f>
        <v/>
      </c>
      <c r="D14539" s="94" t="n"/>
      <c r="E14539" s="88">
        <f>INDEX(매칭테이블!C:D,MATCH(RD!G14539,매칭테이블!D:D,0),1)</f>
        <v/>
      </c>
      <c r="F14539" s="94" t="inlineStr">
        <is>
          <t>카페24</t>
        </is>
      </c>
      <c r="G14539" s="94" t="inlineStr">
        <is>
          <t>대용량 어성초 77 수딩 토너 500ml옵션=대용량 어성초 77 토너 1개 - 27% OFF</t>
        </is>
      </c>
      <c r="K14539" s="94" t="n">
        <v>41</v>
      </c>
      <c r="L14539" s="88" t="n">
        <v>201208</v>
      </c>
      <c r="M14539" s="88">
        <f>VLOOKUP($Q14539,매칭테이블!$F:$I,2,0)*K14539</f>
        <v/>
      </c>
      <c r="N14539" s="88">
        <f>M14539-M14539*VLOOKUP($Q14539,매칭테이블!$F:$I,3,0)</f>
        <v/>
      </c>
      <c r="O14539" s="88">
        <f>VLOOKUP($Q14539,매칭테이블!$F:$I,4,0)*K14539</f>
        <v/>
      </c>
      <c r="P14539" s="152">
        <f>M14539/1.1</f>
        <v/>
      </c>
      <c r="Q14539" s="88">
        <f>F14539&amp;E14539&amp;G14539&amp;L14539</f>
        <v/>
      </c>
    </row>
    <row r="14540">
      <c r="B14540" s="128" t="n">
        <v>44227</v>
      </c>
      <c r="C14540" s="88">
        <f>TEXT(B14540,"aaa")</f>
        <v/>
      </c>
      <c r="D14540" s="94" t="n"/>
      <c r="E14540" s="88">
        <f>INDEX(매칭테이블!C:D,MATCH(RD!G14540,매칭테이블!D:D,0),1)</f>
        <v/>
      </c>
      <c r="F14540" s="94" t="inlineStr">
        <is>
          <t>카페24</t>
        </is>
      </c>
      <c r="G14540" s="94" t="inlineStr">
        <is>
          <t>대용량 어성초 77 수딩 토너 500ml화장솜(선택)=촉촉 스킨팩 화장솜</t>
        </is>
      </c>
      <c r="K14540" s="94" t="n">
        <v>6</v>
      </c>
      <c r="L14540" s="88" t="n">
        <v>201208</v>
      </c>
      <c r="M14540" s="88">
        <f>VLOOKUP($Q14540,매칭테이블!$F:$I,2,0)*K14540</f>
        <v/>
      </c>
      <c r="N14540" s="88">
        <f>M14540-M14540*VLOOKUP($Q14540,매칭테이블!$F:$I,3,0)</f>
        <v/>
      </c>
      <c r="O14540" s="88">
        <f>VLOOKUP($Q14540,매칭테이블!$F:$I,4,0)*K14540</f>
        <v/>
      </c>
      <c r="P14540" s="152">
        <f>M14540/1.1</f>
        <v/>
      </c>
      <c r="Q14540" s="88">
        <f>F14540&amp;E14540&amp;G14540&amp;L14540</f>
        <v/>
      </c>
    </row>
    <row r="14541">
      <c r="B14541" s="128" t="n">
        <v>44227</v>
      </c>
      <c r="C14541" s="88">
        <f>TEXT(B14541,"aaa")</f>
        <v/>
      </c>
      <c r="D14541" s="94" t="n"/>
      <c r="E14541" s="88">
        <f>INDEX(매칭테이블!C:D,MATCH(RD!G14541,매칭테이블!D:D,0),1)</f>
        <v/>
      </c>
      <c r="F14541" s="94" t="inlineStr">
        <is>
          <t>카페24</t>
        </is>
      </c>
      <c r="G14541" s="94" t="inlineStr">
        <is>
          <t>어성초 70 데일리 릴리프 로션로션=어성초 70 데일리 릴리프 로션 1개 -20% off</t>
        </is>
      </c>
      <c r="K14541" s="94" t="n">
        <v>12</v>
      </c>
      <c r="L14541" s="88" t="n">
        <v>201208</v>
      </c>
      <c r="M14541" s="88">
        <f>VLOOKUP($Q14541,매칭테이블!$F:$I,2,0)*K14541</f>
        <v/>
      </c>
      <c r="N14541" s="88">
        <f>M14541-M14541*VLOOKUP($Q14541,매칭테이블!$F:$I,3,0)</f>
        <v/>
      </c>
      <c r="O14541" s="88">
        <f>VLOOKUP($Q14541,매칭테이블!$F:$I,4,0)*K14541</f>
        <v/>
      </c>
      <c r="P14541" s="152">
        <f>M14541/1.1</f>
        <v/>
      </c>
      <c r="Q14541" s="88">
        <f>F14541&amp;E14541&amp;G14541&amp;L14541</f>
        <v/>
      </c>
    </row>
    <row r="14542">
      <c r="B14542" s="128" t="n">
        <v>44227</v>
      </c>
      <c r="C14542" s="88">
        <f>TEXT(B14542,"aaa")</f>
        <v/>
      </c>
      <c r="D14542" s="94" t="n"/>
      <c r="E14542" s="88">
        <f>INDEX(매칭테이블!C:D,MATCH(RD!G14542,매칭테이블!D:D,0),1)</f>
        <v/>
      </c>
      <c r="F14542" s="94" t="inlineStr">
        <is>
          <t>카페24</t>
        </is>
      </c>
      <c r="G14542" s="94" t="inlineStr">
        <is>
          <t>어성초 70 데일리 릴리프 로션로션=어성초 70 데일리 릴리프 로션 2개 -30% off</t>
        </is>
      </c>
      <c r="K14542" s="94" t="n">
        <v>1</v>
      </c>
      <c r="L14542" s="88" t="n">
        <v>201208</v>
      </c>
      <c r="M14542" s="88">
        <f>VLOOKUP($Q14542,매칭테이블!$F:$I,2,0)*K14542</f>
        <v/>
      </c>
      <c r="N14542" s="88">
        <f>M14542-M14542*VLOOKUP($Q14542,매칭테이블!$F:$I,3,0)</f>
        <v/>
      </c>
      <c r="O14542" s="88">
        <f>VLOOKUP($Q14542,매칭테이블!$F:$I,4,0)*K14542</f>
        <v/>
      </c>
      <c r="P14542" s="152">
        <f>M14542/1.1</f>
        <v/>
      </c>
      <c r="Q14542" s="88">
        <f>F14542&amp;E14542&amp;G14542&amp;L14542</f>
        <v/>
      </c>
    </row>
    <row r="14543">
      <c r="B14543" s="128" t="n">
        <v>44227</v>
      </c>
      <c r="C14543" s="88">
        <f>TEXT(B14543,"aaa")</f>
        <v/>
      </c>
      <c r="D14543" s="94" t="n"/>
      <c r="E14543" s="88">
        <f>INDEX(매칭테이블!C:D,MATCH(RD!G14543,매칭테이블!D:D,0),1)</f>
        <v/>
      </c>
      <c r="F14543" s="94" t="inlineStr">
        <is>
          <t>카페24</t>
        </is>
      </c>
      <c r="G14543" s="94" t="inlineStr">
        <is>
          <t>어성초 70 데일리 릴리프 로션로션=어성초 77토너 + 어성초 70 로션 수분 보충 세트 -30% off</t>
        </is>
      </c>
      <c r="K14543" s="94" t="n">
        <v>2</v>
      </c>
      <c r="L14543" s="88" t="n">
        <v>201208</v>
      </c>
      <c r="M14543" s="88">
        <f>VLOOKUP($Q14543,매칭테이블!$F:$I,2,0)*K14543</f>
        <v/>
      </c>
      <c r="N14543" s="88">
        <f>M14543-M14543*VLOOKUP($Q14543,매칭테이블!$F:$I,3,0)</f>
        <v/>
      </c>
      <c r="O14543" s="88">
        <f>VLOOKUP($Q14543,매칭테이블!$F:$I,4,0)*K14543</f>
        <v/>
      </c>
      <c r="P14543" s="152">
        <f>M14543/1.1</f>
        <v/>
      </c>
      <c r="Q14543" s="88">
        <f>F14543&amp;E14543&amp;G14543&amp;L14543</f>
        <v/>
      </c>
    </row>
    <row r="14544">
      <c r="B14544" s="128" t="n">
        <v>44227</v>
      </c>
      <c r="C14544" s="88">
        <f>TEXT(B14544,"aaa")</f>
        <v/>
      </c>
      <c r="D14544" s="94" t="n"/>
      <c r="E14544" s="88">
        <f>INDEX(매칭테이블!C:D,MATCH(RD!G14544,매칭테이블!D:D,0),1)</f>
        <v/>
      </c>
      <c r="F14544" s="94" t="inlineStr">
        <is>
          <t>카페24</t>
        </is>
      </c>
      <c r="G14544" s="94" t="inlineStr">
        <is>
          <t>어성초 70 머드 크림 마스크옵션=어성초 70 머드 크림 마스크-20% off</t>
        </is>
      </c>
      <c r="K14544" s="94" t="n">
        <v>33</v>
      </c>
      <c r="L14544" s="88" t="n">
        <v>201208</v>
      </c>
      <c r="M14544" s="88">
        <f>VLOOKUP($Q14544,매칭테이블!$F:$I,2,0)*K14544</f>
        <v/>
      </c>
      <c r="N14544" s="88">
        <f>M14544-M14544*VLOOKUP($Q14544,매칭테이블!$F:$I,3,0)</f>
        <v/>
      </c>
      <c r="O14544" s="88">
        <f>VLOOKUP($Q14544,매칭테이블!$F:$I,4,0)*K14544</f>
        <v/>
      </c>
      <c r="P14544" s="152">
        <f>M14544/1.1</f>
        <v/>
      </c>
      <c r="Q14544" s="88">
        <f>F14544&amp;E14544&amp;G14544&amp;L14544</f>
        <v/>
      </c>
    </row>
    <row r="14545">
      <c r="B14545" s="128" t="n">
        <v>44227</v>
      </c>
      <c r="C14545" s="88">
        <f>TEXT(B14545,"aaa")</f>
        <v/>
      </c>
      <c r="D14545" s="94" t="n"/>
      <c r="E14545" s="88">
        <f>INDEX(매칭테이블!C:D,MATCH(RD!G14545,매칭테이블!D:D,0),1)</f>
        <v/>
      </c>
      <c r="F14545" s="94" t="inlineStr">
        <is>
          <t>카페24</t>
        </is>
      </c>
      <c r="G14545" s="94" t="inlineStr">
        <is>
          <t>어성초 70 머드 크림 마스크옵션=어성초 70 머드 크림 마스크 2개-30% off (무료배송)</t>
        </is>
      </c>
      <c r="K14545" s="94" t="n">
        <v>32</v>
      </c>
      <c r="L14545" s="88" t="n">
        <v>201208</v>
      </c>
      <c r="M14545" s="88">
        <f>VLOOKUP($Q14545,매칭테이블!$F:$I,2,0)*K14545</f>
        <v/>
      </c>
      <c r="N14545" s="88">
        <f>M14545-M14545*VLOOKUP($Q14545,매칭테이블!$F:$I,3,0)</f>
        <v/>
      </c>
      <c r="O14545" s="88">
        <f>VLOOKUP($Q14545,매칭테이블!$F:$I,4,0)*K14545</f>
        <v/>
      </c>
      <c r="P14545" s="152">
        <f>M14545/1.1</f>
        <v/>
      </c>
      <c r="Q14545" s="88">
        <f>F14545&amp;E14545&amp;G14545&amp;L14545</f>
        <v/>
      </c>
    </row>
    <row r="14546">
      <c r="B14546" s="128" t="n">
        <v>44227</v>
      </c>
      <c r="C14546" s="88">
        <f>TEXT(B14546,"aaa")</f>
        <v/>
      </c>
      <c r="D14546" s="94" t="n"/>
      <c r="E14546" s="88">
        <f>INDEX(매칭테이블!C:D,MATCH(RD!G14546,매칭테이블!D:D,0),1)</f>
        <v/>
      </c>
      <c r="F14546" s="94" t="inlineStr">
        <is>
          <t>카페24</t>
        </is>
      </c>
      <c r="G14546" s="94" t="inlineStr">
        <is>
          <t>어성초 70 머드 크림 마스크</t>
        </is>
      </c>
      <c r="K14546" s="94" t="n">
        <v>3</v>
      </c>
      <c r="L14546" s="88" t="n">
        <v>201208</v>
      </c>
      <c r="M14546" s="88">
        <f>VLOOKUP($Q14546,매칭테이블!$F:$I,2,0)*K14546</f>
        <v/>
      </c>
      <c r="N14546" s="88">
        <f>M14546-M14546*VLOOKUP($Q14546,매칭테이블!$F:$I,3,0)</f>
        <v/>
      </c>
      <c r="O14546" s="88">
        <f>VLOOKUP($Q14546,매칭테이블!$F:$I,4,0)*K14546</f>
        <v/>
      </c>
      <c r="P14546" s="152">
        <f>M14546/1.1</f>
        <v/>
      </c>
      <c r="Q14546" s="88">
        <f>F14546&amp;E14546&amp;G14546&amp;L14546</f>
        <v/>
      </c>
    </row>
    <row r="14547">
      <c r="B14547" s="128" t="n">
        <v>44227</v>
      </c>
      <c r="C14547" s="88">
        <f>TEXT(B14547,"aaa")</f>
        <v/>
      </c>
      <c r="D14547" s="94" t="n"/>
      <c r="E14547" s="88">
        <f>INDEX(매칭테이블!C:D,MATCH(RD!G14547,매칭테이블!D:D,0),1)</f>
        <v/>
      </c>
      <c r="F14547" s="94" t="inlineStr">
        <is>
          <t>카페24</t>
        </is>
      </c>
      <c r="G14547" s="94" t="inlineStr">
        <is>
          <t>어성초 70 인텐스 카밍 크림크림=어성초 70 인텐스 카밍 크림 1개 (-20%)</t>
        </is>
      </c>
      <c r="K14547" s="94" t="n">
        <v>3</v>
      </c>
      <c r="L14547" s="88" t="n">
        <v>201208</v>
      </c>
      <c r="M14547" s="88">
        <f>VLOOKUP($Q14547,매칭테이블!$F:$I,2,0)*K14547</f>
        <v/>
      </c>
      <c r="N14547" s="88">
        <f>M14547-M14547*VLOOKUP($Q14547,매칭테이블!$F:$I,3,0)</f>
        <v/>
      </c>
      <c r="O14547" s="88">
        <f>VLOOKUP($Q14547,매칭테이블!$F:$I,4,0)*K14547</f>
        <v/>
      </c>
      <c r="P14547" s="152">
        <f>M14547/1.1</f>
        <v/>
      </c>
      <c r="Q14547" s="88">
        <f>F14547&amp;E14547&amp;G14547&amp;L14547</f>
        <v/>
      </c>
    </row>
    <row r="14548">
      <c r="B14548" s="128" t="n">
        <v>44227</v>
      </c>
      <c r="C14548" s="88">
        <f>TEXT(B14548,"aaa")</f>
        <v/>
      </c>
      <c r="D14548" s="94" t="n"/>
      <c r="E14548" s="88">
        <f>INDEX(매칭테이블!C:D,MATCH(RD!G14548,매칭테이블!D:D,0),1)</f>
        <v/>
      </c>
      <c r="F14548" s="94" t="inlineStr">
        <is>
          <t>카페24</t>
        </is>
      </c>
      <c r="G14548" s="94" t="inlineStr">
        <is>
          <t>어성초 77 수딩 토너옵션=어성초 77 토너 1개-20% off</t>
        </is>
      </c>
      <c r="K14548" s="94" t="n">
        <v>113</v>
      </c>
      <c r="L14548" s="88" t="n">
        <v>201208</v>
      </c>
      <c r="M14548" s="88">
        <f>VLOOKUP($Q14548,매칭테이블!$F:$I,2,0)*K14548</f>
        <v/>
      </c>
      <c r="N14548" s="88">
        <f>M14548-M14548*VLOOKUP($Q14548,매칭테이블!$F:$I,3,0)</f>
        <v/>
      </c>
      <c r="O14548" s="88">
        <f>VLOOKUP($Q14548,매칭테이블!$F:$I,4,0)*K14548</f>
        <v/>
      </c>
      <c r="P14548" s="152">
        <f>M14548/1.1</f>
        <v/>
      </c>
      <c r="Q14548" s="88">
        <f>F14548&amp;E14548&amp;G14548&amp;L14548</f>
        <v/>
      </c>
    </row>
    <row r="14549">
      <c r="B14549" s="128" t="n">
        <v>44227</v>
      </c>
      <c r="C14549" s="88">
        <f>TEXT(B14549,"aaa")</f>
        <v/>
      </c>
      <c r="D14549" s="94" t="n"/>
      <c r="E14549" s="88">
        <f>INDEX(매칭테이블!C:D,MATCH(RD!G14549,매칭테이블!D:D,0),1)</f>
        <v/>
      </c>
      <c r="F14549" s="94" t="inlineStr">
        <is>
          <t>카페24</t>
        </is>
      </c>
      <c r="G14549" s="94" t="inlineStr">
        <is>
          <t>어성초 77 수딩 토너옵션=BEST어성초 77 토너 2개-30% off (무료배송)</t>
        </is>
      </c>
      <c r="K14549" s="94" t="n">
        <v>74</v>
      </c>
      <c r="L14549" s="88" t="n">
        <v>201208</v>
      </c>
      <c r="M14549" s="88">
        <f>VLOOKUP($Q14549,매칭테이블!$F:$I,2,0)*K14549</f>
        <v/>
      </c>
      <c r="N14549" s="88">
        <f>M14549-M14549*VLOOKUP($Q14549,매칭테이블!$F:$I,3,0)</f>
        <v/>
      </c>
      <c r="O14549" s="88">
        <f>VLOOKUP($Q14549,매칭테이블!$F:$I,4,0)*K14549</f>
        <v/>
      </c>
      <c r="P14549" s="152">
        <f>M14549/1.1</f>
        <v/>
      </c>
      <c r="Q14549" s="88">
        <f>F14549&amp;E14549&amp;G14549&amp;L14549</f>
        <v/>
      </c>
    </row>
    <row r="14550">
      <c r="B14550" s="128" t="n">
        <v>44227</v>
      </c>
      <c r="C14550" s="88">
        <f>TEXT(B14550,"aaa")</f>
        <v/>
      </c>
      <c r="D14550" s="94" t="n"/>
      <c r="E14550" s="88">
        <f>INDEX(매칭테이블!C:D,MATCH(RD!G14550,매칭테이블!D:D,0),1)</f>
        <v/>
      </c>
      <c r="F14550" s="94" t="inlineStr">
        <is>
          <t>카페24</t>
        </is>
      </c>
      <c r="G14550" s="94" t="inlineStr">
        <is>
          <t>어성초 77 수딩 토너옵션=어성초 77토너1개 + 어성초77패드1개 -30% off (무료배송)</t>
        </is>
      </c>
      <c r="K14550" s="94" t="n">
        <v>28</v>
      </c>
      <c r="L14550" s="88" t="n">
        <v>201208</v>
      </c>
      <c r="M14550" s="88">
        <f>VLOOKUP($Q14550,매칭테이블!$F:$I,2,0)*K14550</f>
        <v/>
      </c>
      <c r="N14550" s="88">
        <f>M14550-M14550*VLOOKUP($Q14550,매칭테이블!$F:$I,3,0)</f>
        <v/>
      </c>
      <c r="O14550" s="88">
        <f>VLOOKUP($Q14550,매칭테이블!$F:$I,4,0)*K14550</f>
        <v/>
      </c>
      <c r="P14550" s="152">
        <f>M14550/1.1</f>
        <v/>
      </c>
      <c r="Q14550" s="88">
        <f>F14550&amp;E14550&amp;G14550&amp;L14550</f>
        <v/>
      </c>
    </row>
    <row r="14551">
      <c r="B14551" s="128" t="n">
        <v>44227</v>
      </c>
      <c r="C14551" s="88">
        <f>TEXT(B14551,"aaa")</f>
        <v/>
      </c>
      <c r="D14551" s="94" t="n"/>
      <c r="E14551" s="88">
        <f>INDEX(매칭테이블!C:D,MATCH(RD!G14551,매칭테이블!D:D,0),1)</f>
        <v/>
      </c>
      <c r="F14551" s="94" t="inlineStr">
        <is>
          <t>카페24</t>
        </is>
      </c>
      <c r="G14551" s="94" t="inlineStr">
        <is>
          <t>어성초 77 수딩 토너화장솜(선택)=촉촉 스킨팩 화장솜</t>
        </is>
      </c>
      <c r="K14551" s="94" t="n">
        <v>60</v>
      </c>
      <c r="L14551" s="88" t="n">
        <v>201208</v>
      </c>
      <c r="M14551" s="88">
        <f>VLOOKUP($Q14551,매칭테이블!$F:$I,2,0)*K14551</f>
        <v/>
      </c>
      <c r="N14551" s="88">
        <f>M14551-M14551*VLOOKUP($Q14551,매칭테이블!$F:$I,3,0)</f>
        <v/>
      </c>
      <c r="O14551" s="88">
        <f>VLOOKUP($Q14551,매칭테이블!$F:$I,4,0)*K14551</f>
        <v/>
      </c>
      <c r="P14551" s="152">
        <f>M14551/1.1</f>
        <v/>
      </c>
      <c r="Q14551" s="88">
        <f>F14551&amp;E14551&amp;G14551&amp;L14551</f>
        <v/>
      </c>
    </row>
    <row r="14552">
      <c r="B14552" s="128" t="n">
        <v>44227</v>
      </c>
      <c r="C14552" s="88">
        <f>TEXT(B14552,"aaa")</f>
        <v/>
      </c>
      <c r="D14552" s="94" t="n"/>
      <c r="E14552" s="88">
        <f>INDEX(매칭테이블!C:D,MATCH(RD!G14552,매칭테이블!D:D,0),1)</f>
        <v/>
      </c>
      <c r="F14552" s="94" t="inlineStr">
        <is>
          <t>카페24</t>
        </is>
      </c>
      <c r="G14552" s="94" t="inlineStr">
        <is>
          <t>어성초 77 수딩 토너토너(필수)=어성초 77 토너 2개-30% off (무료배송)</t>
        </is>
      </c>
      <c r="K14552" s="94" t="n">
        <v>1</v>
      </c>
      <c r="L14552" s="88" t="n">
        <v>201208</v>
      </c>
      <c r="M14552" s="88">
        <f>VLOOKUP($Q14552,매칭테이블!$F:$I,2,0)*K14552</f>
        <v/>
      </c>
      <c r="N14552" s="88">
        <f>M14552-M14552*VLOOKUP($Q14552,매칭테이블!$F:$I,3,0)</f>
        <v/>
      </c>
      <c r="O14552" s="88">
        <f>VLOOKUP($Q14552,매칭테이블!$F:$I,4,0)*K14552</f>
        <v/>
      </c>
      <c r="P14552" s="152">
        <f>M14552/1.1</f>
        <v/>
      </c>
      <c r="Q14552" s="88">
        <f>F14552&amp;E14552&amp;G14552&amp;L14552</f>
        <v/>
      </c>
    </row>
    <row r="14553">
      <c r="B14553" s="128" t="n">
        <v>44227</v>
      </c>
      <c r="C14553" s="88">
        <f>TEXT(B14553,"aaa")</f>
        <v/>
      </c>
      <c r="D14553" s="94" t="n"/>
      <c r="E14553" s="88">
        <f>INDEX(매칭테이블!C:D,MATCH(RD!G14553,매칭테이블!D:D,0),1)</f>
        <v/>
      </c>
      <c r="F14553" s="94" t="inlineStr">
        <is>
          <t>카페24</t>
        </is>
      </c>
      <c r="G14553" s="94" t="inlineStr">
        <is>
          <t>어성초 77 진정 마스크옵션=어성초 77 진정 마스크팩 1장</t>
        </is>
      </c>
      <c r="K14553" s="94" t="n">
        <v>2</v>
      </c>
      <c r="L14553" s="88" t="n">
        <v>201208</v>
      </c>
      <c r="M14553" s="88">
        <f>VLOOKUP($Q14553,매칭테이블!$F:$I,2,0)*K14553</f>
        <v/>
      </c>
      <c r="N14553" s="88">
        <f>M14553-M14553*VLOOKUP($Q14553,매칭테이블!$F:$I,3,0)</f>
        <v/>
      </c>
      <c r="O14553" s="88">
        <f>VLOOKUP($Q14553,매칭테이블!$F:$I,4,0)*K14553</f>
        <v/>
      </c>
      <c r="P14553" s="152">
        <f>M14553/1.1</f>
        <v/>
      </c>
      <c r="Q14553" s="88">
        <f>F14553&amp;E14553&amp;G14553&amp;L14553</f>
        <v/>
      </c>
    </row>
    <row r="14554">
      <c r="B14554" s="128" t="n">
        <v>44227</v>
      </c>
      <c r="C14554" s="88">
        <f>TEXT(B14554,"aaa")</f>
        <v/>
      </c>
      <c r="D14554" s="94" t="n"/>
      <c r="E14554" s="88">
        <f>INDEX(매칭테이블!C:D,MATCH(RD!G14554,매칭테이블!D:D,0),1)</f>
        <v/>
      </c>
      <c r="F14554" s="94" t="inlineStr">
        <is>
          <t>카페24</t>
        </is>
      </c>
      <c r="G14554" s="94" t="inlineStr">
        <is>
          <t>어성초 77 진정 마스크옵션=어성초 77 진정 마스크팩 10장-50% off</t>
        </is>
      </c>
      <c r="K14554" s="94" t="n">
        <v>7</v>
      </c>
      <c r="L14554" s="88" t="n">
        <v>201208</v>
      </c>
      <c r="M14554" s="88">
        <f>VLOOKUP($Q14554,매칭테이블!$F:$I,2,0)*K14554</f>
        <v/>
      </c>
      <c r="N14554" s="88">
        <f>M14554-M14554*VLOOKUP($Q14554,매칭테이블!$F:$I,3,0)</f>
        <v/>
      </c>
      <c r="O14554" s="88">
        <f>VLOOKUP($Q14554,매칭테이블!$F:$I,4,0)*K14554</f>
        <v/>
      </c>
      <c r="P14554" s="152">
        <f>M14554/1.1</f>
        <v/>
      </c>
      <c r="Q14554" s="88">
        <f>F14554&amp;E14554&amp;G14554&amp;L14554</f>
        <v/>
      </c>
    </row>
    <row r="14555">
      <c r="B14555" s="128" t="n">
        <v>44227</v>
      </c>
      <c r="C14555" s="88">
        <f>TEXT(B14555,"aaa")</f>
        <v/>
      </c>
      <c r="D14555" s="94" t="n"/>
      <c r="E14555" s="88">
        <f>INDEX(매칭테이블!C:D,MATCH(RD!G14555,매칭테이블!D:D,0),1)</f>
        <v/>
      </c>
      <c r="F14555" s="94" t="inlineStr">
        <is>
          <t>카페24</t>
        </is>
      </c>
      <c r="G14555" s="94" t="inlineStr">
        <is>
          <t>어성초 77 진정 마스크</t>
        </is>
      </c>
      <c r="K14555" s="94" t="n">
        <v>2</v>
      </c>
      <c r="L14555" s="88" t="n">
        <v>201208</v>
      </c>
      <c r="M14555" s="88">
        <f>VLOOKUP($Q14555,매칭테이블!$F:$I,2,0)*K14555</f>
        <v/>
      </c>
      <c r="N14555" s="88">
        <f>M14555-M14555*VLOOKUP($Q14555,매칭테이블!$F:$I,3,0)</f>
        <v/>
      </c>
      <c r="O14555" s="88">
        <f>VLOOKUP($Q14555,매칭테이블!$F:$I,4,0)*K14555</f>
        <v/>
      </c>
      <c r="P14555" s="152">
        <f>M14555/1.1</f>
        <v/>
      </c>
      <c r="Q14555" s="88">
        <f>F14555&amp;E14555&amp;G14555&amp;L14555</f>
        <v/>
      </c>
    </row>
    <row r="14556">
      <c r="B14556" s="128" t="n">
        <v>44227</v>
      </c>
      <c r="C14556" s="88">
        <f>TEXT(B14556,"aaa")</f>
        <v/>
      </c>
      <c r="D14556" s="94" t="n"/>
      <c r="E14556" s="88">
        <f>INDEX(매칭테이블!C:D,MATCH(RD!G14556,매칭테이블!D:D,0),1)</f>
        <v/>
      </c>
      <c r="F14556" s="94" t="inlineStr">
        <is>
          <t>카페24</t>
        </is>
      </c>
      <c r="G14556" s="94" t="inlineStr">
        <is>
          <t>어성초 77 클리어 패드옵션=어성초 77 클리어 패드 1개-20% off</t>
        </is>
      </c>
      <c r="K14556" s="94" t="n">
        <v>45</v>
      </c>
      <c r="L14556" s="88" t="n">
        <v>201208</v>
      </c>
      <c r="M14556" s="88">
        <f>VLOOKUP($Q14556,매칭테이블!$F:$I,2,0)*K14556</f>
        <v/>
      </c>
      <c r="N14556" s="88">
        <f>M14556-M14556*VLOOKUP($Q14556,매칭테이블!$F:$I,3,0)</f>
        <v/>
      </c>
      <c r="O14556" s="88">
        <f>VLOOKUP($Q14556,매칭테이블!$F:$I,4,0)*K14556</f>
        <v/>
      </c>
      <c r="P14556" s="152">
        <f>M14556/1.1</f>
        <v/>
      </c>
      <c r="Q14556" s="88">
        <f>F14556&amp;E14556&amp;G14556&amp;L14556</f>
        <v/>
      </c>
    </row>
    <row r="14557">
      <c r="B14557" s="128" t="n">
        <v>44227</v>
      </c>
      <c r="C14557" s="88">
        <f>TEXT(B14557,"aaa")</f>
        <v/>
      </c>
      <c r="D14557" s="94" t="n"/>
      <c r="E14557" s="88">
        <f>INDEX(매칭테이블!C:D,MATCH(RD!G14557,매칭테이블!D:D,0),1)</f>
        <v/>
      </c>
      <c r="F14557" s="94" t="inlineStr">
        <is>
          <t>카페24</t>
        </is>
      </c>
      <c r="G14557" s="94" t="inlineStr">
        <is>
          <t>어성초 77 클리어 패드옵션=어성초 77 클리어 패드 2개-30% off (무료배송)</t>
        </is>
      </c>
      <c r="K14557" s="94" t="n">
        <v>40</v>
      </c>
      <c r="L14557" s="88" t="n">
        <v>201208</v>
      </c>
      <c r="M14557" s="88">
        <f>VLOOKUP($Q14557,매칭테이블!$F:$I,2,0)*K14557</f>
        <v/>
      </c>
      <c r="N14557" s="88">
        <f>M14557-M14557*VLOOKUP($Q14557,매칭테이블!$F:$I,3,0)</f>
        <v/>
      </c>
      <c r="O14557" s="88">
        <f>VLOOKUP($Q14557,매칭테이블!$F:$I,4,0)*K14557</f>
        <v/>
      </c>
      <c r="P14557" s="152">
        <f>M14557/1.1</f>
        <v/>
      </c>
      <c r="Q14557" s="88">
        <f>F14557&amp;E14557&amp;G14557&amp;L14557</f>
        <v/>
      </c>
    </row>
    <row r="14558">
      <c r="B14558" s="128" t="n">
        <v>44227</v>
      </c>
      <c r="C14558" s="88">
        <f>TEXT(B14558,"aaa")</f>
        <v/>
      </c>
      <c r="D14558" s="94" t="n"/>
      <c r="E14558" s="88">
        <f>INDEX(매칭테이블!C:D,MATCH(RD!G14558,매칭테이블!D:D,0),1)</f>
        <v/>
      </c>
      <c r="F14558" s="94" t="inlineStr">
        <is>
          <t>카페24</t>
        </is>
      </c>
      <c r="G14558" s="94" t="inlineStr">
        <is>
          <t>어성초 77 클리어 패드옵션=어성초 77 클리어 패드 2+1 EVENT (무료배송)</t>
        </is>
      </c>
      <c r="K14558" s="94" t="n">
        <v>34</v>
      </c>
      <c r="L14558" s="88" t="n">
        <v>201208</v>
      </c>
      <c r="M14558" s="88">
        <f>VLOOKUP($Q14558,매칭테이블!$F:$I,2,0)*K14558</f>
        <v/>
      </c>
      <c r="N14558" s="88">
        <f>M14558-M14558*VLOOKUP($Q14558,매칭테이블!$F:$I,3,0)</f>
        <v/>
      </c>
      <c r="O14558" s="88">
        <f>VLOOKUP($Q14558,매칭테이블!$F:$I,4,0)*K14558</f>
        <v/>
      </c>
      <c r="P14558" s="152">
        <f>M14558/1.1</f>
        <v/>
      </c>
      <c r="Q14558" s="88">
        <f>F14558&amp;E14558&amp;G14558&amp;L14558</f>
        <v/>
      </c>
    </row>
    <row r="14559">
      <c r="B14559" s="128" t="n">
        <v>44227</v>
      </c>
      <c r="C14559" s="88">
        <f>TEXT(B14559,"aaa")</f>
        <v/>
      </c>
      <c r="D14559" s="94" t="n"/>
      <c r="E14559" s="88">
        <f>INDEX(매칭테이블!C:D,MATCH(RD!G14559,매칭테이블!D:D,0),1)</f>
        <v/>
      </c>
      <c r="F14559" s="94" t="inlineStr">
        <is>
          <t>카페24</t>
        </is>
      </c>
      <c r="G14559" s="94" t="inlineStr">
        <is>
          <t>어성초 77 클리어 패드옵션=어성초77토너1개+어성초77패드1개-30% off (무료배송)</t>
        </is>
      </c>
      <c r="K14559" s="94" t="n">
        <v>16</v>
      </c>
      <c r="L14559" s="88" t="n">
        <v>201208</v>
      </c>
      <c r="M14559" s="88">
        <f>VLOOKUP($Q14559,매칭테이블!$F:$I,2,0)*K14559</f>
        <v/>
      </c>
      <c r="N14559" s="88">
        <f>M14559-M14559*VLOOKUP($Q14559,매칭테이블!$F:$I,3,0)</f>
        <v/>
      </c>
      <c r="O14559" s="88">
        <f>VLOOKUP($Q14559,매칭테이블!$F:$I,4,0)*K14559</f>
        <v/>
      </c>
      <c r="P14559" s="152">
        <f>M14559/1.1</f>
        <v/>
      </c>
      <c r="Q14559" s="88">
        <f>F14559&amp;E14559&amp;G14559&amp;L14559</f>
        <v/>
      </c>
    </row>
    <row r="14560">
      <c r="B14560" s="128" t="n">
        <v>44227</v>
      </c>
      <c r="C14560" s="88">
        <f>TEXT(B14560,"aaa")</f>
        <v/>
      </c>
      <c r="D14560" s="94" t="n"/>
      <c r="E14560" s="88">
        <f>INDEX(매칭테이블!C:D,MATCH(RD!G14560,매칭테이블!D:D,0),1)</f>
        <v/>
      </c>
      <c r="F14560" s="94" t="inlineStr">
        <is>
          <t>카페24</t>
        </is>
      </c>
      <c r="G14560" s="94" t="inlineStr">
        <is>
          <t>어성초 77 토너</t>
        </is>
      </c>
      <c r="K14560" s="94" t="n">
        <v>2</v>
      </c>
      <c r="L14560" s="88" t="n">
        <v>201208</v>
      </c>
      <c r="M14560" s="88">
        <f>VLOOKUP($Q14560,매칭테이블!$F:$I,2,0)*K14560</f>
        <v/>
      </c>
      <c r="N14560" s="88">
        <f>M14560-M14560*VLOOKUP($Q14560,매칭테이블!$F:$I,3,0)</f>
        <v/>
      </c>
      <c r="O14560" s="88">
        <f>VLOOKUP($Q14560,매칭테이블!$F:$I,4,0)*K14560</f>
        <v/>
      </c>
      <c r="P14560" s="152">
        <f>M14560/1.1</f>
        <v/>
      </c>
      <c r="Q14560" s="88">
        <f>F14560&amp;E14560&amp;G14560&amp;L14560</f>
        <v/>
      </c>
    </row>
    <row r="14561">
      <c r="B14561" s="128" t="n">
        <v>44227</v>
      </c>
      <c r="C14561" s="88">
        <f>TEXT(B14561,"aaa")</f>
        <v/>
      </c>
      <c r="D14561" s="94" t="n"/>
      <c r="E14561" s="88">
        <f>INDEX(매칭테이블!C:D,MATCH(RD!G14561,매칭테이블!D:D,0),1)</f>
        <v/>
      </c>
      <c r="F14561" s="94" t="inlineStr">
        <is>
          <t>카페24</t>
        </is>
      </c>
      <c r="G14561" s="94" t="inlineStr">
        <is>
          <t>어성초 77 포어 클리어 패드옵션=어성초 77 클리어 패드 1개-20% off</t>
        </is>
      </c>
      <c r="K14561" s="94" t="n">
        <v>1</v>
      </c>
      <c r="L14561" s="88" t="n">
        <v>201208</v>
      </c>
      <c r="M14561" s="88">
        <f>VLOOKUP($Q14561,매칭테이블!$F:$I,2,0)*K14561</f>
        <v/>
      </c>
      <c r="N14561" s="88">
        <f>M14561-M14561*VLOOKUP($Q14561,매칭테이블!$F:$I,3,0)</f>
        <v/>
      </c>
      <c r="O14561" s="88">
        <f>VLOOKUP($Q14561,매칭테이블!$F:$I,4,0)*K14561</f>
        <v/>
      </c>
      <c r="P14561" s="152">
        <f>M14561/1.1</f>
        <v/>
      </c>
      <c r="Q14561" s="88">
        <f>F14561&amp;E14561&amp;G14561&amp;L14561</f>
        <v/>
      </c>
    </row>
    <row r="14562">
      <c r="B14562" s="128" t="n">
        <v>44227</v>
      </c>
      <c r="C14562" s="88">
        <f>TEXT(B14562,"aaa")</f>
        <v/>
      </c>
      <c r="D14562" s="94" t="n"/>
      <c r="E14562" s="88">
        <f>INDEX(매칭테이블!C:D,MATCH(RD!G14562,매칭테이블!D:D,0),1)</f>
        <v/>
      </c>
      <c r="F14562" s="94" t="inlineStr">
        <is>
          <t>카페24</t>
        </is>
      </c>
      <c r="G14562" s="94" t="inlineStr">
        <is>
          <t>어성초 77 포어 클리어 패드옵션=어성초 77 클리어 패드 2개-30% off (무료배송)</t>
        </is>
      </c>
      <c r="K14562" s="94" t="n">
        <v>1</v>
      </c>
      <c r="L14562" s="88" t="n">
        <v>201208</v>
      </c>
      <c r="M14562" s="88">
        <f>VLOOKUP($Q14562,매칭테이블!$F:$I,2,0)*K14562</f>
        <v/>
      </c>
      <c r="N14562" s="88">
        <f>M14562-M14562*VLOOKUP($Q14562,매칭테이블!$F:$I,3,0)</f>
        <v/>
      </c>
      <c r="O14562" s="88">
        <f>VLOOKUP($Q14562,매칭테이블!$F:$I,4,0)*K14562</f>
        <v/>
      </c>
      <c r="P14562" s="152">
        <f>M14562/1.1</f>
        <v/>
      </c>
      <c r="Q14562" s="88">
        <f>F14562&amp;E14562&amp;G14562&amp;L14562</f>
        <v/>
      </c>
    </row>
    <row r="14563">
      <c r="B14563" s="128" t="n">
        <v>44227</v>
      </c>
      <c r="C14563" s="88">
        <f>TEXT(B14563,"aaa")</f>
        <v/>
      </c>
      <c r="D14563" s="94" t="n"/>
      <c r="E14563" s="88">
        <f>INDEX(매칭테이블!C:D,MATCH(RD!G14563,매칭테이블!D:D,0),1)</f>
        <v/>
      </c>
      <c r="F14563" s="94" t="inlineStr">
        <is>
          <t>카페24</t>
        </is>
      </c>
      <c r="G14563" s="94" t="inlineStr">
        <is>
          <t>어성초 77% 수딩 토너토너(필수)=어성초 77 토너 1개-20% off</t>
        </is>
      </c>
      <c r="K14563" s="94" t="n">
        <v>3</v>
      </c>
      <c r="L14563" s="88" t="n">
        <v>201208</v>
      </c>
      <c r="M14563" s="88">
        <f>VLOOKUP($Q14563,매칭테이블!$F:$I,2,0)*K14563</f>
        <v/>
      </c>
      <c r="N14563" s="88">
        <f>M14563-M14563*VLOOKUP($Q14563,매칭테이블!$F:$I,3,0)</f>
        <v/>
      </c>
      <c r="O14563" s="88">
        <f>VLOOKUP($Q14563,매칭테이블!$F:$I,4,0)*K14563</f>
        <v/>
      </c>
      <c r="P14563" s="152">
        <f>M14563/1.1</f>
        <v/>
      </c>
      <c r="Q14563" s="88">
        <f>F14563&amp;E14563&amp;G14563&amp;L14563</f>
        <v/>
      </c>
    </row>
    <row r="14564">
      <c r="B14564" s="128" t="n">
        <v>44227</v>
      </c>
      <c r="C14564" s="88">
        <f>TEXT(B14564,"aaa")</f>
        <v/>
      </c>
      <c r="D14564" s="94" t="n"/>
      <c r="E14564" s="88">
        <f>INDEX(매칭테이블!C:D,MATCH(RD!G14564,매칭테이블!D:D,0),1)</f>
        <v/>
      </c>
      <c r="F14564" s="94" t="inlineStr">
        <is>
          <t>카페24</t>
        </is>
      </c>
      <c r="G14564" s="94" t="inlineStr">
        <is>
          <t>어성초 77% 수딩 토너토너(필수)=어성초 77 토너 2개-30% off (무료배송)</t>
        </is>
      </c>
      <c r="K14564" s="94" t="n">
        <v>5</v>
      </c>
      <c r="L14564" s="88" t="n">
        <v>201208</v>
      </c>
      <c r="M14564" s="88">
        <f>VLOOKUP($Q14564,매칭테이블!$F:$I,2,0)*K14564</f>
        <v/>
      </c>
      <c r="N14564" s="88">
        <f>M14564-M14564*VLOOKUP($Q14564,매칭테이블!$F:$I,3,0)</f>
        <v/>
      </c>
      <c r="O14564" s="88">
        <f>VLOOKUP($Q14564,매칭테이블!$F:$I,4,0)*K14564</f>
        <v/>
      </c>
      <c r="P14564" s="152">
        <f>M14564/1.1</f>
        <v/>
      </c>
      <c r="Q14564" s="88">
        <f>F14564&amp;E14564&amp;G14564&amp;L14564</f>
        <v/>
      </c>
    </row>
    <row r="14565">
      <c r="B14565" s="128" t="n">
        <v>44227</v>
      </c>
      <c r="C14565" s="88">
        <f>TEXT(B14565,"aaa")</f>
        <v/>
      </c>
      <c r="D14565" s="94" t="n"/>
      <c r="E14565" s="88">
        <f>INDEX(매칭테이블!C:D,MATCH(RD!G14565,매칭테이블!D:D,0),1)</f>
        <v/>
      </c>
      <c r="F14565" s="94" t="inlineStr">
        <is>
          <t>카페24</t>
        </is>
      </c>
      <c r="G14565" s="94" t="inlineStr">
        <is>
          <t>어성초 77% 수딩 토너토너(필수)=어성초77토너1개 + 어성초77패드1개 -30% off (무료배송)</t>
        </is>
      </c>
      <c r="K14565" s="94" t="n">
        <v>1</v>
      </c>
      <c r="L14565" s="88" t="n">
        <v>201208</v>
      </c>
      <c r="M14565" s="88">
        <f>VLOOKUP($Q14565,매칭테이블!$F:$I,2,0)*K14565</f>
        <v/>
      </c>
      <c r="N14565" s="88">
        <f>M14565-M14565*VLOOKUP($Q14565,매칭테이블!$F:$I,3,0)</f>
        <v/>
      </c>
      <c r="O14565" s="88">
        <f>VLOOKUP($Q14565,매칭테이블!$F:$I,4,0)*K14565</f>
        <v/>
      </c>
      <c r="P14565" s="152">
        <f>M14565/1.1</f>
        <v/>
      </c>
      <c r="Q14565" s="88">
        <f>F14565&amp;E14565&amp;G14565&amp;L14565</f>
        <v/>
      </c>
    </row>
    <row r="14566">
      <c r="B14566" s="128" t="n">
        <v>44227</v>
      </c>
      <c r="C14566" s="88">
        <f>TEXT(B14566,"aaa")</f>
        <v/>
      </c>
      <c r="D14566" s="94" t="n"/>
      <c r="E14566" s="88">
        <f>INDEX(매칭테이블!C:D,MATCH(RD!G14566,매칭테이블!D:D,0),1)</f>
        <v/>
      </c>
      <c r="F14566" s="94" t="inlineStr">
        <is>
          <t>카페24</t>
        </is>
      </c>
      <c r="G14566" s="94" t="inlineStr">
        <is>
          <t>어성초 77% 수딩 토너화장솜(선택)=촉촉 스킨팩 화장솜</t>
        </is>
      </c>
      <c r="K14566" s="94" t="n">
        <v>3</v>
      </c>
      <c r="L14566" s="88" t="n">
        <v>201208</v>
      </c>
      <c r="M14566" s="88">
        <f>VLOOKUP($Q14566,매칭테이블!$F:$I,2,0)*K14566</f>
        <v/>
      </c>
      <c r="N14566" s="88">
        <f>M14566-M14566*VLOOKUP($Q14566,매칭테이블!$F:$I,3,0)</f>
        <v/>
      </c>
      <c r="O14566" s="88">
        <f>VLOOKUP($Q14566,매칭테이블!$F:$I,4,0)*K14566</f>
        <v/>
      </c>
      <c r="P14566" s="152">
        <f>M14566/1.1</f>
        <v/>
      </c>
      <c r="Q14566" s="88">
        <f>F14566&amp;E14566&amp;G14566&amp;L14566</f>
        <v/>
      </c>
    </row>
    <row r="14567">
      <c r="B14567" s="128" t="n">
        <v>44227</v>
      </c>
      <c r="C14567" s="88">
        <f>TEXT(B14567,"aaa")</f>
        <v/>
      </c>
      <c r="D14567" s="94" t="n"/>
      <c r="E14567" s="88">
        <f>INDEX(매칭테이블!C:D,MATCH(RD!G14567,매칭테이블!D:D,0),1)</f>
        <v/>
      </c>
      <c r="F14567" s="94" t="inlineStr">
        <is>
          <t>카페24</t>
        </is>
      </c>
      <c r="G14567" s="94" t="inlineStr">
        <is>
          <t>어성초 77% 패드옵션=어성초 77 클리어 패드 1개-20% off</t>
        </is>
      </c>
      <c r="K14567" s="94" t="n">
        <v>38</v>
      </c>
      <c r="L14567" s="88" t="n">
        <v>201208</v>
      </c>
      <c r="M14567" s="88">
        <f>VLOOKUP($Q14567,매칭테이블!$F:$I,2,0)*K14567</f>
        <v/>
      </c>
      <c r="N14567" s="88">
        <f>M14567-M14567*VLOOKUP($Q14567,매칭테이블!$F:$I,3,0)</f>
        <v/>
      </c>
      <c r="O14567" s="88">
        <f>VLOOKUP($Q14567,매칭테이블!$F:$I,4,0)*K14567</f>
        <v/>
      </c>
      <c r="P14567" s="152">
        <f>M14567/1.1</f>
        <v/>
      </c>
      <c r="Q14567" s="88">
        <f>F14567&amp;E14567&amp;G14567&amp;L14567</f>
        <v/>
      </c>
    </row>
    <row r="14568">
      <c r="B14568" s="128" t="n">
        <v>44227</v>
      </c>
      <c r="C14568" s="88">
        <f>TEXT(B14568,"aaa")</f>
        <v/>
      </c>
      <c r="D14568" s="94" t="n"/>
      <c r="E14568" s="88">
        <f>INDEX(매칭테이블!C:D,MATCH(RD!G14568,매칭테이블!D:D,0),1)</f>
        <v/>
      </c>
      <c r="F14568" s="94" t="inlineStr">
        <is>
          <t>카페24</t>
        </is>
      </c>
      <c r="G14568" s="94" t="inlineStr">
        <is>
          <t>어성초 77% 패드옵션=어성초 77 클리어 패드 2개-30% off (무료배송)</t>
        </is>
      </c>
      <c r="K14568" s="94" t="n">
        <v>35</v>
      </c>
      <c r="L14568" s="88" t="n">
        <v>201208</v>
      </c>
      <c r="M14568" s="88">
        <f>VLOOKUP($Q14568,매칭테이블!$F:$I,2,0)*K14568</f>
        <v/>
      </c>
      <c r="N14568" s="88">
        <f>M14568-M14568*VLOOKUP($Q14568,매칭테이블!$F:$I,3,0)</f>
        <v/>
      </c>
      <c r="O14568" s="88">
        <f>VLOOKUP($Q14568,매칭테이블!$F:$I,4,0)*K14568</f>
        <v/>
      </c>
      <c r="P14568" s="152">
        <f>M14568/1.1</f>
        <v/>
      </c>
      <c r="Q14568" s="88">
        <f>F14568&amp;E14568&amp;G14568&amp;L14568</f>
        <v/>
      </c>
    </row>
    <row r="14569">
      <c r="B14569" s="128" t="n">
        <v>44227</v>
      </c>
      <c r="C14569" s="88">
        <f>TEXT(B14569,"aaa")</f>
        <v/>
      </c>
      <c r="D14569" s="94" t="n"/>
      <c r="E14569" s="88">
        <f>INDEX(매칭테이블!C:D,MATCH(RD!G14569,매칭테이블!D:D,0),1)</f>
        <v/>
      </c>
      <c r="F14569" s="94" t="inlineStr">
        <is>
          <t>카페24</t>
        </is>
      </c>
      <c r="G14569" s="94" t="inlineStr">
        <is>
          <t>어성초 77% 패드옵션=어성초 77 클리어 패드 2+1 EVENT (무료배송)</t>
        </is>
      </c>
      <c r="K14569" s="94" t="n">
        <v>14</v>
      </c>
      <c r="L14569" s="88" t="n">
        <v>201208</v>
      </c>
      <c r="M14569" s="88">
        <f>VLOOKUP($Q14569,매칭테이블!$F:$I,2,0)*K14569</f>
        <v/>
      </c>
      <c r="N14569" s="88">
        <f>M14569-M14569*VLOOKUP($Q14569,매칭테이블!$F:$I,3,0)</f>
        <v/>
      </c>
      <c r="O14569" s="88">
        <f>VLOOKUP($Q14569,매칭테이블!$F:$I,4,0)*K14569</f>
        <v/>
      </c>
      <c r="P14569" s="152">
        <f>M14569/1.1</f>
        <v/>
      </c>
      <c r="Q14569" s="88">
        <f>F14569&amp;E14569&amp;G14569&amp;L14569</f>
        <v/>
      </c>
    </row>
    <row r="14570">
      <c r="B14570" s="128" t="n">
        <v>44227</v>
      </c>
      <c r="C14570" s="88">
        <f>TEXT(B14570,"aaa")</f>
        <v/>
      </c>
      <c r="D14570" s="94" t="n"/>
      <c r="E14570" s="88">
        <f>INDEX(매칭테이블!C:D,MATCH(RD!G14570,매칭테이블!D:D,0),1)</f>
        <v/>
      </c>
      <c r="F14570" s="94" t="inlineStr">
        <is>
          <t>카페24</t>
        </is>
      </c>
      <c r="G14570" s="94" t="inlineStr">
        <is>
          <t>어성초 77% 패드옵션=어성초77토너1개+어성초77패드1개-30% off (무료배송)</t>
        </is>
      </c>
      <c r="K14570" s="94" t="n">
        <v>9</v>
      </c>
      <c r="L14570" s="88" t="n">
        <v>201208</v>
      </c>
      <c r="M14570" s="88">
        <f>VLOOKUP($Q14570,매칭테이블!$F:$I,2,0)*K14570</f>
        <v/>
      </c>
      <c r="N14570" s="88">
        <f>M14570-M14570*VLOOKUP($Q14570,매칭테이블!$F:$I,3,0)</f>
        <v/>
      </c>
      <c r="O14570" s="88">
        <f>VLOOKUP($Q14570,매칭테이블!$F:$I,4,0)*K14570</f>
        <v/>
      </c>
      <c r="P14570" s="152">
        <f>M14570/1.1</f>
        <v/>
      </c>
      <c r="Q14570" s="88">
        <f>F14570&amp;E14570&amp;G14570&amp;L14570</f>
        <v/>
      </c>
    </row>
    <row r="14571">
      <c r="B14571" s="128" t="n">
        <v>44227</v>
      </c>
      <c r="C14571" s="88">
        <f>TEXT(B14571,"aaa")</f>
        <v/>
      </c>
      <c r="D14571" s="94" t="n"/>
      <c r="E14571" s="88">
        <f>INDEX(매칭테이블!C:D,MATCH(RD!G14571,매칭테이블!D:D,0),1)</f>
        <v/>
      </c>
      <c r="F14571" s="94" t="inlineStr">
        <is>
          <t>카페24</t>
        </is>
      </c>
      <c r="G14571" s="94" t="inlineStr">
        <is>
          <t>어성초 78 수딩 크림</t>
        </is>
      </c>
      <c r="K14571" s="94" t="n">
        <v>7</v>
      </c>
      <c r="L14571" s="88" t="n">
        <v>201208</v>
      </c>
      <c r="M14571" s="88">
        <f>VLOOKUP($Q14571,매칭테이블!$F:$I,2,0)*K14571</f>
        <v/>
      </c>
      <c r="N14571" s="88">
        <f>M14571-M14571*VLOOKUP($Q14571,매칭테이블!$F:$I,3,0)</f>
        <v/>
      </c>
      <c r="O14571" s="88">
        <f>VLOOKUP($Q14571,매칭테이블!$F:$I,4,0)*K14571</f>
        <v/>
      </c>
      <c r="P14571" s="152">
        <f>M14571/1.1</f>
        <v/>
      </c>
      <c r="Q14571" s="88">
        <f>F14571&amp;E14571&amp;G14571&amp;L14571</f>
        <v/>
      </c>
    </row>
    <row r="14572">
      <c r="B14572" s="128" t="n">
        <v>44227</v>
      </c>
      <c r="C14572" s="88">
        <f>TEXT(B14572,"aaa")</f>
        <v/>
      </c>
      <c r="D14572" s="94" t="n"/>
      <c r="E14572" s="88">
        <f>INDEX(매칭테이블!C:D,MATCH(RD!G14572,매칭테이블!D:D,0),1)</f>
        <v/>
      </c>
      <c r="F14572" s="94" t="inlineStr">
        <is>
          <t>카페24</t>
        </is>
      </c>
      <c r="G14572" s="94" t="inlineStr">
        <is>
          <t>어성초 78 수딩 크림</t>
        </is>
      </c>
      <c r="K14572" s="94" t="n">
        <v>8</v>
      </c>
      <c r="L14572" s="88" t="n">
        <v>201208</v>
      </c>
      <c r="M14572" s="88">
        <f>VLOOKUP($Q14572,매칭테이블!$F:$I,2,0)*K14572</f>
        <v/>
      </c>
      <c r="N14572" s="88">
        <f>M14572-M14572*VLOOKUP($Q14572,매칭테이블!$F:$I,3,0)</f>
        <v/>
      </c>
      <c r="O14572" s="88">
        <f>VLOOKUP($Q14572,매칭테이블!$F:$I,4,0)*K14572</f>
        <v/>
      </c>
      <c r="P14572" s="152">
        <f>M14572/1.1</f>
        <v/>
      </c>
      <c r="Q14572" s="88">
        <f>F14572&amp;E14572&amp;G14572&amp;L14572</f>
        <v/>
      </c>
    </row>
    <row r="14573">
      <c r="B14573" s="128" t="n">
        <v>44227</v>
      </c>
      <c r="C14573" s="88">
        <f>TEXT(B14573,"aaa")</f>
        <v/>
      </c>
      <c r="D14573" s="94" t="n"/>
      <c r="E14573" s="88">
        <f>INDEX(매칭테이블!C:D,MATCH(RD!G14573,매칭테이블!D:D,0),1)</f>
        <v/>
      </c>
      <c r="F14573" s="94" t="inlineStr">
        <is>
          <t>카페24</t>
        </is>
      </c>
      <c r="G14573" s="94" t="inlineStr">
        <is>
          <t>어성초 80 수분 진정 앰플앰플=어성초 80 앰플 1개-15%off</t>
        </is>
      </c>
      <c r="K14573" s="94" t="n">
        <v>25</v>
      </c>
      <c r="L14573" s="88" t="n">
        <v>201208</v>
      </c>
      <c r="M14573" s="88">
        <f>VLOOKUP($Q14573,매칭테이블!$F:$I,2,0)*K14573</f>
        <v/>
      </c>
      <c r="N14573" s="88">
        <f>M14573-M14573*VLOOKUP($Q14573,매칭테이블!$F:$I,3,0)</f>
        <v/>
      </c>
      <c r="O14573" s="88">
        <f>VLOOKUP($Q14573,매칭테이블!$F:$I,4,0)*K14573</f>
        <v/>
      </c>
      <c r="P14573" s="152">
        <f>M14573/1.1</f>
        <v/>
      </c>
      <c r="Q14573" s="88">
        <f>F14573&amp;E14573&amp;G14573&amp;L14573</f>
        <v/>
      </c>
    </row>
    <row r="14574">
      <c r="B14574" s="128" t="n">
        <v>44227</v>
      </c>
      <c r="C14574" s="88">
        <f>TEXT(B14574,"aaa")</f>
        <v/>
      </c>
      <c r="D14574" s="94" t="n"/>
      <c r="E14574" s="88">
        <f>INDEX(매칭테이블!C:D,MATCH(RD!G14574,매칭테이블!D:D,0),1)</f>
        <v/>
      </c>
      <c r="F14574" s="94" t="inlineStr">
        <is>
          <t>카페24</t>
        </is>
      </c>
      <c r="G14574" s="94" t="inlineStr">
        <is>
          <t>어성초 80 수분 진정 앰플앰플=어성초 80 앰플 2개-27%off (무료배송)</t>
        </is>
      </c>
      <c r="K14574" s="94" t="n">
        <v>6</v>
      </c>
      <c r="L14574" s="88" t="n">
        <v>201208</v>
      </c>
      <c r="M14574" s="88">
        <f>VLOOKUP($Q14574,매칭테이블!$F:$I,2,0)*K14574</f>
        <v/>
      </c>
      <c r="N14574" s="88">
        <f>M14574-M14574*VLOOKUP($Q14574,매칭테이블!$F:$I,3,0)</f>
        <v/>
      </c>
      <c r="O14574" s="88">
        <f>VLOOKUP($Q14574,매칭테이블!$F:$I,4,0)*K14574</f>
        <v/>
      </c>
      <c r="P14574" s="152">
        <f>M14574/1.1</f>
        <v/>
      </c>
      <c r="Q14574" s="88">
        <f>F14574&amp;E14574&amp;G14574&amp;L14574</f>
        <v/>
      </c>
    </row>
    <row r="14575">
      <c r="B14575" s="128" t="n">
        <v>44227</v>
      </c>
      <c r="C14575" s="88">
        <f>TEXT(B14575,"aaa")</f>
        <v/>
      </c>
      <c r="D14575" s="94" t="n"/>
      <c r="E14575" s="88">
        <f>INDEX(매칭테이블!C:D,MATCH(RD!G14575,매칭테이블!D:D,0),1)</f>
        <v/>
      </c>
      <c r="F14575" s="94" t="inlineStr">
        <is>
          <t>카페24</t>
        </is>
      </c>
      <c r="G14575" s="94" t="inlineStr">
        <is>
          <t>어성초 80 수분 진정 앰플</t>
        </is>
      </c>
      <c r="K14575" s="94" t="n">
        <v>11</v>
      </c>
      <c r="L14575" s="88" t="n">
        <v>201208</v>
      </c>
      <c r="M14575" s="88">
        <f>VLOOKUP($Q14575,매칭테이블!$F:$I,2,0)*K14575</f>
        <v/>
      </c>
      <c r="N14575" s="88">
        <f>M14575-M14575*VLOOKUP($Q14575,매칭테이블!$F:$I,3,0)</f>
        <v/>
      </c>
      <c r="O14575" s="88">
        <f>VLOOKUP($Q14575,매칭테이블!$F:$I,4,0)*K14575</f>
        <v/>
      </c>
      <c r="P14575" s="152">
        <f>M14575/1.1</f>
        <v/>
      </c>
      <c r="Q14575" s="88">
        <f>F14575&amp;E14575&amp;G14575&amp;L14575</f>
        <v/>
      </c>
    </row>
    <row r="14576">
      <c r="B14576" s="128" t="n">
        <v>44227</v>
      </c>
      <c r="C14576" s="88">
        <f>TEXT(B14576,"aaa")</f>
        <v/>
      </c>
      <c r="D14576" s="94" t="n"/>
      <c r="E14576" s="88">
        <f>INDEX(매칭테이블!C:D,MATCH(RD!G14576,매칭테이블!D:D,0),1)</f>
        <v/>
      </c>
      <c r="F14576" s="94" t="inlineStr">
        <is>
          <t>카페24</t>
        </is>
      </c>
      <c r="G14576" s="94" t="inlineStr">
        <is>
          <t>어성초 아크네 바디워시옵션=어성초 아크네 바디워시 1개 -30% off</t>
        </is>
      </c>
      <c r="K14576" s="94" t="n">
        <v>2</v>
      </c>
      <c r="L14576" s="88" t="n">
        <v>201208</v>
      </c>
      <c r="M14576" s="88">
        <f>VLOOKUP($Q14576,매칭테이블!$F:$I,2,0)*K14576</f>
        <v/>
      </c>
      <c r="N14576" s="88">
        <f>M14576-M14576*VLOOKUP($Q14576,매칭테이블!$F:$I,3,0)</f>
        <v/>
      </c>
      <c r="O14576" s="88">
        <f>VLOOKUP($Q14576,매칭테이블!$F:$I,4,0)*K14576</f>
        <v/>
      </c>
      <c r="P14576" s="152">
        <f>M14576/1.1</f>
        <v/>
      </c>
      <c r="Q14576" s="88">
        <f>F14576&amp;E14576&amp;G14576&amp;L14576</f>
        <v/>
      </c>
    </row>
    <row r="14577">
      <c r="B14577" s="128" t="n">
        <v>44227</v>
      </c>
      <c r="C14577" s="88">
        <f>TEXT(B14577,"aaa")</f>
        <v/>
      </c>
      <c r="D14577" s="94" t="n"/>
      <c r="E14577" s="88">
        <f>INDEX(매칭테이블!C:D,MATCH(RD!G14577,매칭테이블!D:D,0),1)</f>
        <v/>
      </c>
      <c r="F14577" s="94" t="inlineStr">
        <is>
          <t>카페24</t>
        </is>
      </c>
      <c r="G14577" s="94" t="inlineStr">
        <is>
          <t>어성초 약산성 클렌징폼클렌징폼=어성초 약산성 클렌징폼 1개 -19%off</t>
        </is>
      </c>
      <c r="K14577" s="94" t="n">
        <v>28</v>
      </c>
      <c r="L14577" s="88" t="n">
        <v>201208</v>
      </c>
      <c r="M14577" s="88">
        <f>VLOOKUP($Q14577,매칭테이블!$F:$I,2,0)*K14577</f>
        <v/>
      </c>
      <c r="N14577" s="88">
        <f>M14577-M14577*VLOOKUP($Q14577,매칭테이블!$F:$I,3,0)</f>
        <v/>
      </c>
      <c r="O14577" s="88">
        <f>VLOOKUP($Q14577,매칭테이블!$F:$I,4,0)*K14577</f>
        <v/>
      </c>
      <c r="P14577" s="152">
        <f>M14577/1.1</f>
        <v/>
      </c>
      <c r="Q14577" s="88">
        <f>F14577&amp;E14577&amp;G14577&amp;L14577</f>
        <v/>
      </c>
    </row>
    <row r="14578">
      <c r="B14578" s="128" t="n">
        <v>44227</v>
      </c>
      <c r="C14578" s="88">
        <f>TEXT(B14578,"aaa")</f>
        <v/>
      </c>
      <c r="D14578" s="94" t="n"/>
      <c r="E14578" s="88">
        <f>INDEX(매칭테이블!C:D,MATCH(RD!G14578,매칭테이블!D:D,0),1)</f>
        <v/>
      </c>
      <c r="F14578" s="94" t="inlineStr">
        <is>
          <t>카페24</t>
        </is>
      </c>
      <c r="G14578" s="94" t="inlineStr">
        <is>
          <t>어성초 약산성 클렌징폼클렌징폼=어성초 약산성 클렌징폼 2개 -25%off</t>
        </is>
      </c>
      <c r="K14578" s="94" t="n">
        <v>3</v>
      </c>
      <c r="L14578" s="88" t="n">
        <v>201208</v>
      </c>
      <c r="M14578" s="88">
        <f>VLOOKUP($Q14578,매칭테이블!$F:$I,2,0)*K14578</f>
        <v/>
      </c>
      <c r="N14578" s="88">
        <f>M14578-M14578*VLOOKUP($Q14578,매칭테이블!$F:$I,3,0)</f>
        <v/>
      </c>
      <c r="O14578" s="88">
        <f>VLOOKUP($Q14578,매칭테이블!$F:$I,4,0)*K14578</f>
        <v/>
      </c>
      <c r="P14578" s="152">
        <f>M14578/1.1</f>
        <v/>
      </c>
      <c r="Q14578" s="88">
        <f>F14578&amp;E14578&amp;G14578&amp;L14578</f>
        <v/>
      </c>
    </row>
    <row r="14579">
      <c r="B14579" s="128" t="n">
        <v>44227</v>
      </c>
      <c r="C14579" s="88">
        <f>TEXT(B14579,"aaa")</f>
        <v/>
      </c>
      <c r="D14579" s="94" t="n"/>
      <c r="E14579" s="88">
        <f>INDEX(매칭테이블!C:D,MATCH(RD!G14579,매칭테이블!D:D,0),1)</f>
        <v/>
      </c>
      <c r="F14579" s="94" t="inlineStr">
        <is>
          <t>카페24</t>
        </is>
      </c>
      <c r="G14579" s="94" t="inlineStr">
        <is>
          <t>어성초 약산성 클렌징폼클렌징폼=어성초 약산성 클렌징폼 3개 -31%off (무료배송)</t>
        </is>
      </c>
      <c r="K14579" s="94" t="n">
        <v>1</v>
      </c>
      <c r="L14579" s="88" t="n">
        <v>201208</v>
      </c>
      <c r="M14579" s="88">
        <f>VLOOKUP($Q14579,매칭테이블!$F:$I,2,0)*K14579</f>
        <v/>
      </c>
      <c r="N14579" s="88">
        <f>M14579-M14579*VLOOKUP($Q14579,매칭테이블!$F:$I,3,0)</f>
        <v/>
      </c>
      <c r="O14579" s="88">
        <f>VLOOKUP($Q14579,매칭테이블!$F:$I,4,0)*K14579</f>
        <v/>
      </c>
      <c r="P14579" s="152">
        <f>M14579/1.1</f>
        <v/>
      </c>
      <c r="Q14579" s="88">
        <f>F14579&amp;E14579&amp;G14579&amp;L14579</f>
        <v/>
      </c>
    </row>
    <row r="14580">
      <c r="B14580" s="128" t="n">
        <v>44227</v>
      </c>
      <c r="C14580" s="88">
        <f>TEXT(B14580,"aaa")</f>
        <v/>
      </c>
      <c r="D14580" s="94" t="n"/>
      <c r="E14580" s="88">
        <f>INDEX(매칭테이블!C:D,MATCH(RD!G14580,매칭테이블!D:D,0),1)</f>
        <v/>
      </c>
      <c r="F14580" s="94" t="inlineStr">
        <is>
          <t>카페24</t>
        </is>
      </c>
      <c r="G14580" s="94" t="inlineStr">
        <is>
          <t>어성초 약산성 클렌징폼</t>
        </is>
      </c>
      <c r="K14580" s="94" t="n">
        <v>2</v>
      </c>
      <c r="L14580" s="88" t="n">
        <v>201208</v>
      </c>
      <c r="M14580" s="88">
        <f>VLOOKUP($Q14580,매칭테이블!$F:$I,2,0)*K14580</f>
        <v/>
      </c>
      <c r="N14580" s="88">
        <f>M14580-M14580*VLOOKUP($Q14580,매칭테이블!$F:$I,3,0)</f>
        <v/>
      </c>
      <c r="O14580" s="88">
        <f>VLOOKUP($Q14580,매칭테이블!$F:$I,4,0)*K14580</f>
        <v/>
      </c>
      <c r="P14580" s="152">
        <f>M14580/1.1</f>
        <v/>
      </c>
      <c r="Q14580" s="88">
        <f>F14580&amp;E14580&amp;G14580&amp;L14580</f>
        <v/>
      </c>
    </row>
    <row r="14581">
      <c r="B14581" s="128" t="n">
        <v>44227</v>
      </c>
      <c r="C14581" s="88">
        <f>TEXT(B14581,"aaa")</f>
        <v/>
      </c>
      <c r="D14581" s="94" t="n"/>
      <c r="E14581" s="88">
        <f>INDEX(매칭테이블!C:D,MATCH(RD!G14581,매칭테이블!D:D,0),1)</f>
        <v/>
      </c>
      <c r="F14581" s="94" t="inlineStr">
        <is>
          <t>카페24</t>
        </is>
      </c>
      <c r="G14581" s="94" t="inlineStr">
        <is>
          <t>어성초 크림마스크 나이트 솔루션옵션=어성초 크림마스크 나이트 솔루션 1장</t>
        </is>
      </c>
      <c r="K14581" s="94" t="n">
        <v>4</v>
      </c>
      <c r="L14581" s="88" t="n">
        <v>201208</v>
      </c>
      <c r="M14581" s="88">
        <f>VLOOKUP($Q14581,매칭테이블!$F:$I,2,0)*K14581</f>
        <v/>
      </c>
      <c r="N14581" s="88">
        <f>M14581-M14581*VLOOKUP($Q14581,매칭테이블!$F:$I,3,0)</f>
        <v/>
      </c>
      <c r="O14581" s="88">
        <f>VLOOKUP($Q14581,매칭테이블!$F:$I,4,0)*K14581</f>
        <v/>
      </c>
      <c r="P14581" s="152">
        <f>M14581/1.1</f>
        <v/>
      </c>
      <c r="Q14581" s="88">
        <f>F14581&amp;E14581&amp;G14581&amp;L14581</f>
        <v/>
      </c>
    </row>
    <row r="14582">
      <c r="B14582" s="128" t="n">
        <v>44227</v>
      </c>
      <c r="C14582" s="88">
        <f>TEXT(B14582,"aaa")</f>
        <v/>
      </c>
      <c r="D14582" s="94" t="n"/>
      <c r="E14582" s="88">
        <f>INDEX(매칭테이블!C:D,MATCH(RD!G14582,매칭테이블!D:D,0),1)</f>
        <v/>
      </c>
      <c r="F14582" s="94" t="inlineStr">
        <is>
          <t>카페24</t>
        </is>
      </c>
      <c r="G14582" s="94" t="inlineStr">
        <is>
          <t>어성초 크림마스크 나이트 솔루션옵션=어성초 크림마스크 나이트 솔루션 10장 (-50%)</t>
        </is>
      </c>
      <c r="K14582" s="94" t="n">
        <v>2</v>
      </c>
      <c r="L14582" s="88" t="n">
        <v>201208</v>
      </c>
      <c r="M14582" s="88">
        <f>VLOOKUP($Q14582,매칭테이블!$F:$I,2,0)*K14582</f>
        <v/>
      </c>
      <c r="N14582" s="88">
        <f>M14582-M14582*VLOOKUP($Q14582,매칭테이블!$F:$I,3,0)</f>
        <v/>
      </c>
      <c r="O14582" s="88">
        <f>VLOOKUP($Q14582,매칭테이블!$F:$I,4,0)*K14582</f>
        <v/>
      </c>
      <c r="P14582" s="152">
        <f>M14582/1.1</f>
        <v/>
      </c>
      <c r="Q14582" s="88">
        <f>F14582&amp;E14582&amp;G14582&amp;L14582</f>
        <v/>
      </c>
    </row>
    <row r="14583">
      <c r="B14583" s="128" t="n">
        <v>44227</v>
      </c>
      <c r="C14583" s="88">
        <f>TEXT(B14583,"aaa")</f>
        <v/>
      </c>
      <c r="D14583" s="94" t="n"/>
      <c r="E14583" s="88">
        <f>INDEX(매칭테이블!C:D,MATCH(RD!G14583,매칭테이블!D:D,0),1)</f>
        <v/>
      </c>
      <c r="F14583" s="94" t="inlineStr">
        <is>
          <t>카페24</t>
        </is>
      </c>
      <c r="G14583" s="94" t="inlineStr">
        <is>
          <t>자작나무 수분 마스크옵션=자작나무 수분 마스크 1장</t>
        </is>
      </c>
      <c r="K14583" s="94" t="n">
        <v>1</v>
      </c>
      <c r="L14583" s="88" t="n">
        <v>201208</v>
      </c>
      <c r="M14583" s="88">
        <f>VLOOKUP($Q14583,매칭테이블!$F:$I,2,0)*K14583</f>
        <v/>
      </c>
      <c r="N14583" s="88">
        <f>M14583-M14583*VLOOKUP($Q14583,매칭테이블!$F:$I,3,0)</f>
        <v/>
      </c>
      <c r="O14583" s="88">
        <f>VLOOKUP($Q14583,매칭테이블!$F:$I,4,0)*K14583</f>
        <v/>
      </c>
      <c r="P14583" s="152">
        <f>M14583/1.1</f>
        <v/>
      </c>
      <c r="Q14583" s="88">
        <f>F14583&amp;E14583&amp;G14583&amp;L14583</f>
        <v/>
      </c>
    </row>
    <row r="14584">
      <c r="B14584" s="128" t="n">
        <v>44227</v>
      </c>
      <c r="C14584" s="88">
        <f>TEXT(B14584,"aaa")</f>
        <v/>
      </c>
      <c r="D14584" s="94" t="n"/>
      <c r="E14584" s="88">
        <f>INDEX(매칭테이블!C:D,MATCH(RD!G14584,매칭테이블!D:D,0),1)</f>
        <v/>
      </c>
      <c r="F14584" s="94" t="inlineStr">
        <is>
          <t>카페24</t>
        </is>
      </c>
      <c r="G14584" s="94" t="inlineStr">
        <is>
          <t>청귤 비타 잡티 마스크옵션=청귤 비타 잡티 마스크 1장</t>
        </is>
      </c>
      <c r="K14584" s="94" t="n">
        <v>1</v>
      </c>
      <c r="L14584" s="88" t="n">
        <v>201208</v>
      </c>
      <c r="M14584" s="88">
        <f>VLOOKUP($Q14584,매칭테이블!$F:$I,2,0)*K14584</f>
        <v/>
      </c>
      <c r="N14584" s="88">
        <f>M14584-M14584*VLOOKUP($Q14584,매칭테이블!$F:$I,3,0)</f>
        <v/>
      </c>
      <c r="O14584" s="88">
        <f>VLOOKUP($Q14584,매칭테이블!$F:$I,4,0)*K14584</f>
        <v/>
      </c>
      <c r="P14584" s="152">
        <f>M14584/1.1</f>
        <v/>
      </c>
      <c r="Q14584" s="88">
        <f>F14584&amp;E14584&amp;G14584&amp;L14584</f>
        <v/>
      </c>
    </row>
    <row r="14585">
      <c r="B14585" s="128" t="n">
        <v>44227</v>
      </c>
      <c r="C14585" s="88">
        <f>TEXT(B14585,"aaa")</f>
        <v/>
      </c>
      <c r="D14585" s="94" t="n"/>
      <c r="E14585" s="88">
        <f>INDEX(매칭테이블!C:D,MATCH(RD!G14585,매칭테이블!D:D,0),1)</f>
        <v/>
      </c>
      <c r="F14585" s="94" t="inlineStr">
        <is>
          <t>카페24</t>
        </is>
      </c>
      <c r="G14585" s="94" t="inlineStr">
        <is>
          <t>청귤 비타 잡티 마스크옵션=청귤 비타 잡티 마스크 10장 (50% off)</t>
        </is>
      </c>
      <c r="K14585" s="94" t="n">
        <v>2</v>
      </c>
      <c r="L14585" s="88" t="n">
        <v>201208</v>
      </c>
      <c r="M14585" s="88">
        <f>VLOOKUP($Q14585,매칭테이블!$F:$I,2,0)*K14585</f>
        <v/>
      </c>
      <c r="N14585" s="88">
        <f>M14585-M14585*VLOOKUP($Q14585,매칭테이블!$F:$I,3,0)</f>
        <v/>
      </c>
      <c r="O14585" s="88">
        <f>VLOOKUP($Q14585,매칭테이블!$F:$I,4,0)*K14585</f>
        <v/>
      </c>
      <c r="P14585" s="152">
        <f>M14585/1.1</f>
        <v/>
      </c>
      <c r="Q14585" s="88">
        <f>F14585&amp;E14585&amp;G14585&amp;L14585</f>
        <v/>
      </c>
    </row>
    <row r="14586">
      <c r="B14586" s="128" t="n">
        <v>44227</v>
      </c>
      <c r="C14586" s="88">
        <f>TEXT(B14586,"aaa")</f>
        <v/>
      </c>
      <c r="D14586" s="94" t="n"/>
      <c r="E14586" s="88">
        <f>INDEX(매칭테이블!C:D,MATCH(RD!G14586,매칭테이블!D:D,0),1)</f>
        <v/>
      </c>
      <c r="F14586" s="94" t="inlineStr">
        <is>
          <t>카페24</t>
        </is>
      </c>
      <c r="G14586" s="94" t="inlineStr">
        <is>
          <t>촉촉 스킨팩 화장솜</t>
        </is>
      </c>
      <c r="K14586" s="94" t="n">
        <v>14</v>
      </c>
      <c r="L14586" s="88" t="n">
        <v>201208</v>
      </c>
      <c r="M14586" s="88">
        <f>VLOOKUP($Q14586,매칭테이블!$F:$I,2,0)*K14586</f>
        <v/>
      </c>
      <c r="N14586" s="88">
        <f>M14586-M14586*VLOOKUP($Q14586,매칭테이블!$F:$I,3,0)</f>
        <v/>
      </c>
      <c r="O14586" s="88">
        <f>VLOOKUP($Q14586,매칭테이블!$F:$I,4,0)*K14586</f>
        <v/>
      </c>
      <c r="P14586" s="152">
        <f>M14586/1.1</f>
        <v/>
      </c>
      <c r="Q14586" s="88">
        <f>F14586&amp;E14586&amp;G14586&amp;L14586</f>
        <v/>
      </c>
    </row>
    <row r="14587">
      <c r="B14587" s="128" t="n">
        <v>44227</v>
      </c>
      <c r="C14587" s="88">
        <f>TEXT(B14587,"aaa")</f>
        <v/>
      </c>
      <c r="D14587" s="94" t="n"/>
      <c r="E14587" s="88">
        <f>INDEX(매칭테이블!C:D,MATCH(RD!G14587,매칭테이블!D:D,0),1)</f>
        <v/>
      </c>
      <c r="F14587" s="94" t="inlineStr">
        <is>
          <t>카페24</t>
        </is>
      </c>
      <c r="G14587" s="94" t="inlineStr">
        <is>
          <t>촉촉 스킨팩 화장솜</t>
        </is>
      </c>
      <c r="K14587" s="94" t="n">
        <v>1</v>
      </c>
      <c r="L14587" s="88" t="n">
        <v>201208</v>
      </c>
      <c r="M14587" s="88">
        <f>VLOOKUP($Q14587,매칭테이블!$F:$I,2,0)*K14587</f>
        <v/>
      </c>
      <c r="N14587" s="88">
        <f>M14587-M14587*VLOOKUP($Q14587,매칭테이블!$F:$I,3,0)</f>
        <v/>
      </c>
      <c r="O14587" s="88">
        <f>VLOOKUP($Q14587,매칭테이블!$F:$I,4,0)*K14587</f>
        <v/>
      </c>
      <c r="P14587" s="152">
        <f>M14587/1.1</f>
        <v/>
      </c>
      <c r="Q14587" s="88">
        <f>F14587&amp;E14587&amp;G14587&amp;L14587</f>
        <v/>
      </c>
    </row>
    <row r="14588" customFormat="1" s="94">
      <c r="B14588" s="128" t="n">
        <v>44228</v>
      </c>
      <c r="C14588" s="88">
        <f>TEXT(B14588,"aaa")</f>
        <v/>
      </c>
      <c r="E14588" s="88">
        <f>INDEX(매칭테이블!C:D,MATCH(RD!G14588,매칭테이블!D:D,0),1)</f>
        <v/>
      </c>
      <c r="F14588" s="94" t="inlineStr">
        <is>
          <t>W컨셉</t>
        </is>
      </c>
      <c r="G14588" s="94" t="inlineStr">
        <is>
          <t>어성초 77토너 (2 SET) HEARTLEAF 77% SOOTHING TONER 250ml250ml 2set</t>
        </is>
      </c>
      <c r="K14588" s="94" t="n">
        <v>12</v>
      </c>
      <c r="L14588" s="88" t="n">
        <v>201208</v>
      </c>
      <c r="M14588" s="88">
        <f>VLOOKUP($Q14588,매칭테이블!$F:$I,2,0)*K14588</f>
        <v/>
      </c>
      <c r="N14588" s="88">
        <f>M14588-M14588*VLOOKUP($Q14588,매칭테이블!$F:$I,3,0)</f>
        <v/>
      </c>
      <c r="O14588" s="88">
        <f>VLOOKUP($Q14588,매칭테이블!$F:$I,4,0)*K14588</f>
        <v/>
      </c>
      <c r="P14588" s="152">
        <f>M14588/1.1</f>
        <v/>
      </c>
      <c r="Q14588" s="88">
        <f>F14588&amp;E14588&amp;G14588&amp;L14588</f>
        <v/>
      </c>
    </row>
    <row r="14589">
      <c r="B14589" s="128" t="n">
        <v>44228</v>
      </c>
      <c r="C14589" s="88">
        <f>TEXT(B14589,"aaa")</f>
        <v/>
      </c>
      <c r="D14589" s="94" t="n"/>
      <c r="E14589" s="88">
        <f>INDEX(매칭테이블!C:D,MATCH(RD!G14589,매칭테이블!D:D,0),1)</f>
        <v/>
      </c>
      <c r="F14589" s="94" t="inlineStr">
        <is>
          <t>W컨셉</t>
        </is>
      </c>
      <c r="G14589" s="94" t="inlineStr">
        <is>
          <t>어성초 77토너 HEARTLEAF 77% SOOTHING TONER 250ml250ml</t>
        </is>
      </c>
      <c r="K14589" s="94" t="n">
        <v>4</v>
      </c>
      <c r="L14589" s="88" t="n">
        <v>201208</v>
      </c>
      <c r="M14589" s="88">
        <f>VLOOKUP($Q14589,매칭테이블!$F:$I,2,0)*K14589</f>
        <v/>
      </c>
      <c r="N14589" s="88">
        <f>M14589-M14589*VLOOKUP($Q14589,매칭테이블!$F:$I,3,0)</f>
        <v/>
      </c>
      <c r="O14589" s="88">
        <f>VLOOKUP($Q14589,매칭테이블!$F:$I,4,0)*K14589</f>
        <v/>
      </c>
      <c r="P14589" s="152">
        <f>M14589/1.1</f>
        <v/>
      </c>
      <c r="Q14589" s="88">
        <f>F14589&amp;E14589&amp;G14589&amp;L14589</f>
        <v/>
      </c>
    </row>
    <row r="14590">
      <c r="B14590" s="128" t="n">
        <v>44228</v>
      </c>
      <c r="C14590" s="88">
        <f>TEXT(B14590,"aaa")</f>
        <v/>
      </c>
      <c r="D14590" s="94" t="n"/>
      <c r="E14590" s="88">
        <f>INDEX(매칭테이블!C:D,MATCH(RD!G14590,매칭테이블!D:D,0),1)</f>
        <v/>
      </c>
      <c r="F14590" s="94" t="inlineStr">
        <is>
          <t>스타일쉐어</t>
        </is>
      </c>
      <c r="G14590" s="94" t="inlineStr">
        <is>
          <t>아누아 어성초 77 토너 250ml</t>
        </is>
      </c>
      <c r="K14590" s="94" t="n">
        <v>3</v>
      </c>
      <c r="L14590" s="88" t="n">
        <v>201208</v>
      </c>
      <c r="M14590" s="88">
        <f>VLOOKUP($Q14590,매칭테이블!$F:$I,2,0)*K14590</f>
        <v/>
      </c>
      <c r="N14590" s="88">
        <f>M14590-M14590*VLOOKUP($Q14590,매칭테이블!$F:$I,3,0)</f>
        <v/>
      </c>
      <c r="O14590" s="88">
        <f>VLOOKUP($Q14590,매칭테이블!$F:$I,4,0)*K14590</f>
        <v/>
      </c>
      <c r="P14590" s="152">
        <f>M14590/1.1</f>
        <v/>
      </c>
      <c r="Q14590" s="88">
        <f>F14590&amp;E14590&amp;G14590&amp;L14590</f>
        <v/>
      </c>
    </row>
    <row r="14591">
      <c r="B14591" s="128" t="n">
        <v>44228</v>
      </c>
      <c r="C14591" s="88">
        <f>TEXT(B14591,"aaa")</f>
        <v/>
      </c>
      <c r="D14591" s="94" t="n"/>
      <c r="E14591" s="88">
        <f>INDEX(매칭테이블!C:D,MATCH(RD!G14591,매칭테이블!D:D,0),1)</f>
        <v/>
      </c>
      <c r="F14591" s="94" t="inlineStr">
        <is>
          <t>아누아 CS</t>
        </is>
      </c>
      <c r="G14591" s="94" t="inlineStr">
        <is>
          <t>어성초 77 토너 250ml</t>
        </is>
      </c>
      <c r="K14591" s="94" t="n">
        <v>2</v>
      </c>
      <c r="L14591" s="88" t="n">
        <v>201208</v>
      </c>
      <c r="M14591" s="88">
        <f>VLOOKUP($Q14591,매칭테이블!$F:$I,2,0)*K14591</f>
        <v/>
      </c>
      <c r="N14591" s="88">
        <f>M14591-M14591*VLOOKUP($Q14591,매칭테이블!$F:$I,3,0)</f>
        <v/>
      </c>
      <c r="O14591" s="88">
        <f>VLOOKUP($Q14591,매칭테이블!$F:$I,4,0)*K14591</f>
        <v/>
      </c>
      <c r="P14591" s="152">
        <f>M14591/1.1</f>
        <v/>
      </c>
      <c r="Q14591" s="88">
        <f>F14591&amp;E14591&amp;G14591&amp;L14591</f>
        <v/>
      </c>
    </row>
    <row r="14592">
      <c r="B14592" s="128" t="n">
        <v>44228</v>
      </c>
      <c r="C14592" s="88">
        <f>TEXT(B14592,"aaa")</f>
        <v/>
      </c>
      <c r="D14592" s="94" t="n"/>
      <c r="E14592" s="88">
        <f>INDEX(매칭테이블!C:D,MATCH(RD!G14592,매칭테이블!D:D,0),1)</f>
        <v/>
      </c>
      <c r="F14592" s="94" t="inlineStr">
        <is>
          <t>아누아 CS</t>
        </is>
      </c>
      <c r="G14592" s="94" t="inlineStr">
        <is>
          <t>어성초 77 토너 350ml</t>
        </is>
      </c>
      <c r="K14592" s="94" t="n">
        <v>2</v>
      </c>
      <c r="L14592" s="88" t="n">
        <v>201208</v>
      </c>
      <c r="M14592" s="88">
        <f>VLOOKUP($Q14592,매칭테이블!$F:$I,2,0)*K14592</f>
        <v/>
      </c>
      <c r="N14592" s="88">
        <f>M14592-M14592*VLOOKUP($Q14592,매칭테이블!$F:$I,3,0)</f>
        <v/>
      </c>
      <c r="O14592" s="88">
        <f>VLOOKUP($Q14592,매칭테이블!$F:$I,4,0)*K14592</f>
        <v/>
      </c>
      <c r="P14592" s="152">
        <f>M14592/1.1</f>
        <v/>
      </c>
      <c r="Q14592" s="88">
        <f>F14592&amp;E14592&amp;G14592&amp;L14592</f>
        <v/>
      </c>
    </row>
    <row r="14593">
      <c r="B14593" s="128" t="n">
        <v>44228</v>
      </c>
      <c r="C14593" s="88">
        <f>TEXT(B14593,"aaa")</f>
        <v/>
      </c>
      <c r="D14593" s="94" t="n"/>
      <c r="E14593" s="88">
        <f>INDEX(매칭테이블!C:D,MATCH(RD!G14593,매칭테이블!D:D,0),1)</f>
        <v/>
      </c>
      <c r="F14593" s="94" t="inlineStr">
        <is>
          <t>아누아 CS</t>
        </is>
      </c>
      <c r="G14593" s="94" t="inlineStr">
        <is>
          <t>어성초 클리어패드 70P</t>
        </is>
      </c>
      <c r="K14593" s="94" t="n">
        <v>1</v>
      </c>
      <c r="L14593" s="88" t="n">
        <v>201208</v>
      </c>
      <c r="M14593" s="88">
        <f>VLOOKUP($Q14593,매칭테이블!$F:$I,2,0)*K14593</f>
        <v/>
      </c>
      <c r="N14593" s="88">
        <f>M14593-M14593*VLOOKUP($Q14593,매칭테이블!$F:$I,3,0)</f>
        <v/>
      </c>
      <c r="O14593" s="88">
        <f>VLOOKUP($Q14593,매칭테이블!$F:$I,4,0)*K14593</f>
        <v/>
      </c>
      <c r="P14593" s="152">
        <f>M14593/1.1</f>
        <v/>
      </c>
      <c r="Q14593" s="88">
        <f>F14593&amp;E14593&amp;G14593&amp;L14593</f>
        <v/>
      </c>
    </row>
    <row r="14594">
      <c r="B14594" s="128" t="n">
        <v>44228</v>
      </c>
      <c r="C14594" s="88">
        <f>TEXT(B14594,"aaa")</f>
        <v/>
      </c>
      <c r="D14594" s="94" t="n"/>
      <c r="E14594" s="88">
        <f>INDEX(매칭테이블!C:D,MATCH(RD!G14594,매칭테이블!D:D,0),1)</f>
        <v/>
      </c>
      <c r="F14594" s="94" t="inlineStr">
        <is>
          <t>카페24</t>
        </is>
      </c>
      <c r="G14594" s="94" t="inlineStr">
        <is>
          <t>5 제로 무기자차 선크림옵션=5제로 무기자차 선크림 1개-20% off</t>
        </is>
      </c>
      <c r="K14594" s="94" t="n">
        <v>8</v>
      </c>
      <c r="L14594" s="88" t="n">
        <v>201208</v>
      </c>
      <c r="M14594" s="88">
        <f>VLOOKUP($Q14594,매칭테이블!$F:$I,2,0)*K14594</f>
        <v/>
      </c>
      <c r="N14594" s="88">
        <f>M14594-M14594*VLOOKUP($Q14594,매칭테이블!$F:$I,3,0)</f>
        <v/>
      </c>
      <c r="O14594" s="88">
        <f>VLOOKUP($Q14594,매칭테이블!$F:$I,4,0)*K14594</f>
        <v/>
      </c>
      <c r="P14594" s="152">
        <f>M14594/1.1</f>
        <v/>
      </c>
      <c r="Q14594" s="88">
        <f>F14594&amp;E14594&amp;G14594&amp;L14594</f>
        <v/>
      </c>
    </row>
    <row r="14595">
      <c r="B14595" s="128" t="n">
        <v>44228</v>
      </c>
      <c r="C14595" s="88">
        <f>TEXT(B14595,"aaa")</f>
        <v/>
      </c>
      <c r="D14595" s="94" t="n"/>
      <c r="E14595" s="88">
        <f>INDEX(매칭테이블!C:D,MATCH(RD!G14595,매칭테이블!D:D,0),1)</f>
        <v/>
      </c>
      <c r="F14595" s="94" t="inlineStr">
        <is>
          <t>카페24</t>
        </is>
      </c>
      <c r="G14595" s="94" t="inlineStr">
        <is>
          <t>5 제로 무기자차 선크림옵션=5제로 무기자차 선크림 2개-30% off (무료배송)</t>
        </is>
      </c>
      <c r="K14595" s="94" t="n">
        <v>2</v>
      </c>
      <c r="L14595" s="88" t="n">
        <v>201208</v>
      </c>
      <c r="M14595" s="88">
        <f>VLOOKUP($Q14595,매칭테이블!$F:$I,2,0)*K14595</f>
        <v/>
      </c>
      <c r="N14595" s="88">
        <f>M14595-M14595*VLOOKUP($Q14595,매칭테이블!$F:$I,3,0)</f>
        <v/>
      </c>
      <c r="O14595" s="88">
        <f>VLOOKUP($Q14595,매칭테이블!$F:$I,4,0)*K14595</f>
        <v/>
      </c>
      <c r="P14595" s="152">
        <f>M14595/1.1</f>
        <v/>
      </c>
      <c r="Q14595" s="88">
        <f>F14595&amp;E14595&amp;G14595&amp;L14595</f>
        <v/>
      </c>
    </row>
    <row r="14596">
      <c r="B14596" s="128" t="n">
        <v>44228</v>
      </c>
      <c r="C14596" s="88">
        <f>TEXT(B14596,"aaa")</f>
        <v/>
      </c>
      <c r="D14596" s="94" t="n"/>
      <c r="E14596" s="88">
        <f>INDEX(매칭테이블!C:D,MATCH(RD!G14596,매칭테이블!D:D,0),1)</f>
        <v/>
      </c>
      <c r="F14596" s="94" t="inlineStr">
        <is>
          <t>카페24</t>
        </is>
      </c>
      <c r="G14596" s="94" t="inlineStr">
        <is>
          <t>[수분 보충 세트] 어성초 77 토너 + 어성초 70 로션옵션=어성초 77 토너 250ml + 어성초 70 로션 200ml -30%</t>
        </is>
      </c>
      <c r="K14596" s="94" t="n">
        <v>102</v>
      </c>
      <c r="L14596" s="88" t="n">
        <v>201208</v>
      </c>
      <c r="M14596" s="88">
        <f>VLOOKUP($Q14596,매칭테이블!$F:$I,2,0)*K14596</f>
        <v/>
      </c>
      <c r="N14596" s="88">
        <f>M14596-M14596*VLOOKUP($Q14596,매칭테이블!$F:$I,3,0)</f>
        <v/>
      </c>
      <c r="O14596" s="88">
        <f>VLOOKUP($Q14596,매칭테이블!$F:$I,4,0)*K14596</f>
        <v/>
      </c>
      <c r="P14596" s="152">
        <f>M14596/1.1</f>
        <v/>
      </c>
      <c r="Q14596" s="88">
        <f>F14596&amp;E14596&amp;G14596&amp;L14596</f>
        <v/>
      </c>
    </row>
    <row r="14597">
      <c r="B14597" s="128" t="n">
        <v>44228</v>
      </c>
      <c r="C14597" s="88">
        <f>TEXT(B14597,"aaa")</f>
        <v/>
      </c>
      <c r="D14597" s="94" t="n"/>
      <c r="E14597" s="88">
        <f>INDEX(매칭테이블!C:D,MATCH(RD!G14597,매칭테이블!D:D,0),1)</f>
        <v/>
      </c>
      <c r="F14597" s="94" t="inlineStr">
        <is>
          <t>카페24</t>
        </is>
      </c>
      <c r="G14597" s="94" t="inlineStr">
        <is>
          <t>[어성초 진정 패키지 세트] 대용량 토너 + 앰플 + 수딩 크림 + 마스크팩 10장</t>
        </is>
      </c>
      <c r="K14597" s="94" t="n">
        <v>5</v>
      </c>
      <c r="L14597" s="88" t="n">
        <v>201208</v>
      </c>
      <c r="M14597" s="88">
        <f>VLOOKUP($Q14597,매칭테이블!$F:$I,2,0)*K14597</f>
        <v/>
      </c>
      <c r="N14597" s="88">
        <f>M14597-M14597*VLOOKUP($Q14597,매칭테이블!$F:$I,3,0)</f>
        <v/>
      </c>
      <c r="O14597" s="88">
        <f>VLOOKUP($Q14597,매칭테이블!$F:$I,4,0)*K14597</f>
        <v/>
      </c>
      <c r="P14597" s="152">
        <f>M14597/1.1</f>
        <v/>
      </c>
      <c r="Q14597" s="88">
        <f>F14597&amp;E14597&amp;G14597&amp;L14597</f>
        <v/>
      </c>
    </row>
    <row r="14598">
      <c r="B14598" s="128" t="n">
        <v>44228</v>
      </c>
      <c r="C14598" s="88">
        <f>TEXT(B14598,"aaa")</f>
        <v/>
      </c>
      <c r="D14598" s="94" t="n"/>
      <c r="E14598" s="88">
        <f>INDEX(매칭테이블!C:D,MATCH(RD!G14598,매칭테이블!D:D,0),1)</f>
        <v/>
      </c>
      <c r="F14598" s="94" t="inlineStr">
        <is>
          <t>카페24</t>
        </is>
      </c>
      <c r="G14598" s="94" t="inlineStr">
        <is>
          <t>대용량 어성초 77 수딩 토너 500ml옵션=대용량 어성초 77 토너 1개 - 27% OFF</t>
        </is>
      </c>
      <c r="K14598" s="94" t="n">
        <v>70</v>
      </c>
      <c r="L14598" s="88" t="n">
        <v>201208</v>
      </c>
      <c r="M14598" s="88">
        <f>VLOOKUP($Q14598,매칭테이블!$F:$I,2,0)*K14598</f>
        <v/>
      </c>
      <c r="N14598" s="88">
        <f>M14598-M14598*VLOOKUP($Q14598,매칭테이블!$F:$I,3,0)</f>
        <v/>
      </c>
      <c r="O14598" s="88">
        <f>VLOOKUP($Q14598,매칭테이블!$F:$I,4,0)*K14598</f>
        <v/>
      </c>
      <c r="P14598" s="152">
        <f>M14598/1.1</f>
        <v/>
      </c>
      <c r="Q14598" s="88">
        <f>F14598&amp;E14598&amp;G14598&amp;L14598</f>
        <v/>
      </c>
    </row>
    <row r="14599">
      <c r="B14599" s="128" t="n">
        <v>44228</v>
      </c>
      <c r="C14599" s="88">
        <f>TEXT(B14599,"aaa")</f>
        <v/>
      </c>
      <c r="D14599" s="94" t="n"/>
      <c r="E14599" s="88">
        <f>INDEX(매칭테이블!C:D,MATCH(RD!G14599,매칭테이블!D:D,0),1)</f>
        <v/>
      </c>
      <c r="F14599" s="94" t="inlineStr">
        <is>
          <t>카페24</t>
        </is>
      </c>
      <c r="G14599" s="94" t="inlineStr">
        <is>
          <t>대용량 어성초 77 수딩 토너 500ml화장솜(선택)=촉촉 스킨팩 화장솜</t>
        </is>
      </c>
      <c r="K14599" s="94" t="n">
        <v>15</v>
      </c>
      <c r="L14599" s="88" t="n">
        <v>201208</v>
      </c>
      <c r="M14599" s="88">
        <f>VLOOKUP($Q14599,매칭테이블!$F:$I,2,0)*K14599</f>
        <v/>
      </c>
      <c r="N14599" s="88">
        <f>M14599-M14599*VLOOKUP($Q14599,매칭테이블!$F:$I,3,0)</f>
        <v/>
      </c>
      <c r="O14599" s="88">
        <f>VLOOKUP($Q14599,매칭테이블!$F:$I,4,0)*K14599</f>
        <v/>
      </c>
      <c r="P14599" s="152">
        <f>M14599/1.1</f>
        <v/>
      </c>
      <c r="Q14599" s="88">
        <f>F14599&amp;E14599&amp;G14599&amp;L14599</f>
        <v/>
      </c>
    </row>
    <row r="14600">
      <c r="B14600" s="128" t="n">
        <v>44228</v>
      </c>
      <c r="C14600" s="88">
        <f>TEXT(B14600,"aaa")</f>
        <v/>
      </c>
      <c r="D14600" s="94" t="n"/>
      <c r="E14600" s="88">
        <f>INDEX(매칭테이블!C:D,MATCH(RD!G14600,매칭테이블!D:D,0),1)</f>
        <v/>
      </c>
      <c r="F14600" s="94" t="inlineStr">
        <is>
          <t>카페24</t>
        </is>
      </c>
      <c r="G14600" s="94" t="inlineStr">
        <is>
          <t>대용량 어성초 77 토너 500ml</t>
        </is>
      </c>
      <c r="K14600" s="94" t="n">
        <v>2</v>
      </c>
      <c r="L14600" s="88" t="n">
        <v>201208</v>
      </c>
      <c r="M14600" s="88">
        <f>VLOOKUP($Q14600,매칭테이블!$F:$I,2,0)*K14600</f>
        <v/>
      </c>
      <c r="N14600" s="88">
        <f>M14600-M14600*VLOOKUP($Q14600,매칭테이블!$F:$I,3,0)</f>
        <v/>
      </c>
      <c r="O14600" s="88">
        <f>VLOOKUP($Q14600,매칭테이블!$F:$I,4,0)*K14600</f>
        <v/>
      </c>
      <c r="P14600" s="152">
        <f>M14600/1.1</f>
        <v/>
      </c>
      <c r="Q14600" s="88">
        <f>F14600&amp;E14600&amp;G14600&amp;L14600</f>
        <v/>
      </c>
    </row>
    <row r="14601">
      <c r="B14601" s="128" t="n">
        <v>44228</v>
      </c>
      <c r="C14601" s="88">
        <f>TEXT(B14601,"aaa")</f>
        <v/>
      </c>
      <c r="D14601" s="94" t="n"/>
      <c r="E14601" s="88">
        <f>INDEX(매칭테이블!C:D,MATCH(RD!G14601,매칭테이블!D:D,0),1)</f>
        <v/>
      </c>
      <c r="F14601" s="94" t="inlineStr">
        <is>
          <t>카페24</t>
        </is>
      </c>
      <c r="G14601" s="94" t="inlineStr">
        <is>
          <t>어성초 70 데일리 릴리프 로션로션=어성초 70 데일리 릴리프 로션 1개 -20% off</t>
        </is>
      </c>
      <c r="K14601" s="94" t="n">
        <v>18</v>
      </c>
      <c r="L14601" s="88" t="n">
        <v>201208</v>
      </c>
      <c r="M14601" s="88">
        <f>VLOOKUP($Q14601,매칭테이블!$F:$I,2,0)*K14601</f>
        <v/>
      </c>
      <c r="N14601" s="88">
        <f>M14601-M14601*VLOOKUP($Q14601,매칭테이블!$F:$I,3,0)</f>
        <v/>
      </c>
      <c r="O14601" s="88">
        <f>VLOOKUP($Q14601,매칭테이블!$F:$I,4,0)*K14601</f>
        <v/>
      </c>
      <c r="P14601" s="152">
        <f>M14601/1.1</f>
        <v/>
      </c>
      <c r="Q14601" s="88">
        <f>F14601&amp;E14601&amp;G14601&amp;L14601</f>
        <v/>
      </c>
    </row>
    <row r="14602">
      <c r="B14602" s="128" t="n">
        <v>44228</v>
      </c>
      <c r="C14602" s="88">
        <f>TEXT(B14602,"aaa")</f>
        <v/>
      </c>
      <c r="D14602" s="94" t="n"/>
      <c r="E14602" s="88">
        <f>INDEX(매칭테이블!C:D,MATCH(RD!G14602,매칭테이블!D:D,0),1)</f>
        <v/>
      </c>
      <c r="F14602" s="94" t="inlineStr">
        <is>
          <t>카페24</t>
        </is>
      </c>
      <c r="G14602" s="94" t="inlineStr">
        <is>
          <t>어성초 70 데일리 릴리프 로션로션=어성초 70 데일리 릴리프 로션 2개 -30% off</t>
        </is>
      </c>
      <c r="K14602" s="94" t="n">
        <v>6</v>
      </c>
      <c r="L14602" s="88" t="n">
        <v>201208</v>
      </c>
      <c r="M14602" s="88">
        <f>VLOOKUP($Q14602,매칭테이블!$F:$I,2,0)*K14602</f>
        <v/>
      </c>
      <c r="N14602" s="88">
        <f>M14602-M14602*VLOOKUP($Q14602,매칭테이블!$F:$I,3,0)</f>
        <v/>
      </c>
      <c r="O14602" s="88">
        <f>VLOOKUP($Q14602,매칭테이블!$F:$I,4,0)*K14602</f>
        <v/>
      </c>
      <c r="P14602" s="152">
        <f>M14602/1.1</f>
        <v/>
      </c>
      <c r="Q14602" s="88">
        <f>F14602&amp;E14602&amp;G14602&amp;L14602</f>
        <v/>
      </c>
    </row>
    <row r="14603">
      <c r="B14603" s="128" t="n">
        <v>44228</v>
      </c>
      <c r="C14603" s="88">
        <f>TEXT(B14603,"aaa")</f>
        <v/>
      </c>
      <c r="D14603" s="94" t="n"/>
      <c r="E14603" s="88">
        <f>INDEX(매칭테이블!C:D,MATCH(RD!G14603,매칭테이블!D:D,0),1)</f>
        <v/>
      </c>
      <c r="F14603" s="94" t="inlineStr">
        <is>
          <t>카페24</t>
        </is>
      </c>
      <c r="G14603" s="94" t="inlineStr">
        <is>
          <t>어성초 70 데일리 릴리프 로션로션=어성초 77토너 + 어성초 70 로션 수분 보충 세트 -30% off</t>
        </is>
      </c>
      <c r="K14603" s="94" t="n">
        <v>4</v>
      </c>
      <c r="L14603" s="88" t="n">
        <v>201208</v>
      </c>
      <c r="M14603" s="88">
        <f>VLOOKUP($Q14603,매칭테이블!$F:$I,2,0)*K14603</f>
        <v/>
      </c>
      <c r="N14603" s="88">
        <f>M14603-M14603*VLOOKUP($Q14603,매칭테이블!$F:$I,3,0)</f>
        <v/>
      </c>
      <c r="O14603" s="88">
        <f>VLOOKUP($Q14603,매칭테이블!$F:$I,4,0)*K14603</f>
        <v/>
      </c>
      <c r="P14603" s="152">
        <f>M14603/1.1</f>
        <v/>
      </c>
      <c r="Q14603" s="88">
        <f>F14603&amp;E14603&amp;G14603&amp;L14603</f>
        <v/>
      </c>
    </row>
    <row r="14604">
      <c r="B14604" s="128" t="n">
        <v>44228</v>
      </c>
      <c r="C14604" s="88">
        <f>TEXT(B14604,"aaa")</f>
        <v/>
      </c>
      <c r="D14604" s="94" t="n"/>
      <c r="E14604" s="88">
        <f>INDEX(매칭테이블!C:D,MATCH(RD!G14604,매칭테이블!D:D,0),1)</f>
        <v/>
      </c>
      <c r="F14604" s="94" t="inlineStr">
        <is>
          <t>카페24</t>
        </is>
      </c>
      <c r="G14604" s="94" t="inlineStr">
        <is>
          <t>어성초 70 머드 크림 마스크옵션=어성초 70 머드 크림 마스크-20% off</t>
        </is>
      </c>
      <c r="K14604" s="94" t="n">
        <v>49</v>
      </c>
      <c r="L14604" s="88" t="n">
        <v>201208</v>
      </c>
      <c r="M14604" s="88">
        <f>VLOOKUP($Q14604,매칭테이블!$F:$I,2,0)*K14604</f>
        <v/>
      </c>
      <c r="N14604" s="88">
        <f>M14604-M14604*VLOOKUP($Q14604,매칭테이블!$F:$I,3,0)</f>
        <v/>
      </c>
      <c r="O14604" s="88">
        <f>VLOOKUP($Q14604,매칭테이블!$F:$I,4,0)*K14604</f>
        <v/>
      </c>
      <c r="P14604" s="152">
        <f>M14604/1.1</f>
        <v/>
      </c>
      <c r="Q14604" s="88">
        <f>F14604&amp;E14604&amp;G14604&amp;L14604</f>
        <v/>
      </c>
    </row>
    <row r="14605">
      <c r="B14605" s="128" t="n">
        <v>44228</v>
      </c>
      <c r="C14605" s="88">
        <f>TEXT(B14605,"aaa")</f>
        <v/>
      </c>
      <c r="D14605" s="94" t="n"/>
      <c r="E14605" s="88">
        <f>INDEX(매칭테이블!C:D,MATCH(RD!G14605,매칭테이블!D:D,0),1)</f>
        <v/>
      </c>
      <c r="F14605" s="94" t="inlineStr">
        <is>
          <t>카페24</t>
        </is>
      </c>
      <c r="G14605" s="94" t="inlineStr">
        <is>
          <t>어성초 70 머드 크림 마스크옵션=어성초 70 머드 크림 마스크 2개-30% off (무료배송)</t>
        </is>
      </c>
      <c r="K14605" s="94" t="n">
        <v>52</v>
      </c>
      <c r="L14605" s="88" t="n">
        <v>201208</v>
      </c>
      <c r="M14605" s="88">
        <f>VLOOKUP($Q14605,매칭테이블!$F:$I,2,0)*K14605</f>
        <v/>
      </c>
      <c r="N14605" s="88">
        <f>M14605-M14605*VLOOKUP($Q14605,매칭테이블!$F:$I,3,0)</f>
        <v/>
      </c>
      <c r="O14605" s="88">
        <f>VLOOKUP($Q14605,매칭테이블!$F:$I,4,0)*K14605</f>
        <v/>
      </c>
      <c r="P14605" s="152">
        <f>M14605/1.1</f>
        <v/>
      </c>
      <c r="Q14605" s="88">
        <f>F14605&amp;E14605&amp;G14605&amp;L14605</f>
        <v/>
      </c>
    </row>
    <row r="14606">
      <c r="B14606" s="128" t="n">
        <v>44228</v>
      </c>
      <c r="C14606" s="88">
        <f>TEXT(B14606,"aaa")</f>
        <v/>
      </c>
      <c r="D14606" s="94" t="n"/>
      <c r="E14606" s="88">
        <f>INDEX(매칭테이블!C:D,MATCH(RD!G14606,매칭테이블!D:D,0),1)</f>
        <v/>
      </c>
      <c r="F14606" s="94" t="inlineStr">
        <is>
          <t>카페24</t>
        </is>
      </c>
      <c r="G14606" s="94" t="inlineStr">
        <is>
          <t>어성초 70 머드 크림 마스크</t>
        </is>
      </c>
      <c r="K14606" s="94" t="n">
        <v>1</v>
      </c>
      <c r="L14606" s="88" t="n">
        <v>201208</v>
      </c>
      <c r="M14606" s="88">
        <f>VLOOKUP($Q14606,매칭테이블!$F:$I,2,0)*K14606</f>
        <v/>
      </c>
      <c r="N14606" s="88">
        <f>M14606-M14606*VLOOKUP($Q14606,매칭테이블!$F:$I,3,0)</f>
        <v/>
      </c>
      <c r="O14606" s="88">
        <f>VLOOKUP($Q14606,매칭테이블!$F:$I,4,0)*K14606</f>
        <v/>
      </c>
      <c r="P14606" s="152">
        <f>M14606/1.1</f>
        <v/>
      </c>
      <c r="Q14606" s="88">
        <f>F14606&amp;E14606&amp;G14606&amp;L14606</f>
        <v/>
      </c>
    </row>
    <row r="14607">
      <c r="B14607" s="128" t="n">
        <v>44228</v>
      </c>
      <c r="C14607" s="88">
        <f>TEXT(B14607,"aaa")</f>
        <v/>
      </c>
      <c r="D14607" s="94" t="n"/>
      <c r="E14607" s="88">
        <f>INDEX(매칭테이블!C:D,MATCH(RD!G14607,매칭테이블!D:D,0),1)</f>
        <v/>
      </c>
      <c r="F14607" s="94" t="inlineStr">
        <is>
          <t>카페24</t>
        </is>
      </c>
      <c r="G14607" s="94" t="inlineStr">
        <is>
          <t>어성초 70 인텐스 카밍 크림크림=어성초 70 인텐스 카밍 크림 1개 (-20%)</t>
        </is>
      </c>
      <c r="K14607" s="94" t="n">
        <v>13</v>
      </c>
      <c r="L14607" s="88" t="n">
        <v>201208</v>
      </c>
      <c r="M14607" s="88">
        <f>VLOOKUP($Q14607,매칭테이블!$F:$I,2,0)*K14607</f>
        <v/>
      </c>
      <c r="N14607" s="88">
        <f>M14607-M14607*VLOOKUP($Q14607,매칭테이블!$F:$I,3,0)</f>
        <v/>
      </c>
      <c r="O14607" s="88">
        <f>VLOOKUP($Q14607,매칭테이블!$F:$I,4,0)*K14607</f>
        <v/>
      </c>
      <c r="P14607" s="152">
        <f>M14607/1.1</f>
        <v/>
      </c>
      <c r="Q14607" s="88">
        <f>F14607&amp;E14607&amp;G14607&amp;L14607</f>
        <v/>
      </c>
    </row>
    <row r="14608">
      <c r="B14608" s="128" t="n">
        <v>44228</v>
      </c>
      <c r="C14608" s="88">
        <f>TEXT(B14608,"aaa")</f>
        <v/>
      </c>
      <c r="D14608" s="94" t="n"/>
      <c r="E14608" s="88">
        <f>INDEX(매칭테이블!C:D,MATCH(RD!G14608,매칭테이블!D:D,0),1)</f>
        <v/>
      </c>
      <c r="F14608" s="94" t="inlineStr">
        <is>
          <t>카페24</t>
        </is>
      </c>
      <c r="G14608" s="94" t="inlineStr">
        <is>
          <t>어성초 70 인텐스 카밍 크림크림=어성초 70 인텐스 카밍 크림 2개 (-30%)</t>
        </is>
      </c>
      <c r="K14608" s="94" t="n">
        <v>1</v>
      </c>
      <c r="L14608" s="88" t="n">
        <v>201208</v>
      </c>
      <c r="M14608" s="88">
        <f>VLOOKUP($Q14608,매칭테이블!$F:$I,2,0)*K14608</f>
        <v/>
      </c>
      <c r="N14608" s="88">
        <f>M14608-M14608*VLOOKUP($Q14608,매칭테이블!$F:$I,3,0)</f>
        <v/>
      </c>
      <c r="O14608" s="88">
        <f>VLOOKUP($Q14608,매칭테이블!$F:$I,4,0)*K14608</f>
        <v/>
      </c>
      <c r="P14608" s="152">
        <f>M14608/1.1</f>
        <v/>
      </c>
      <c r="Q14608" s="88">
        <f>F14608&amp;E14608&amp;G14608&amp;L14608</f>
        <v/>
      </c>
    </row>
    <row r="14609">
      <c r="B14609" s="128" t="n">
        <v>44228</v>
      </c>
      <c r="C14609" s="88">
        <f>TEXT(B14609,"aaa")</f>
        <v/>
      </c>
      <c r="D14609" s="94" t="n"/>
      <c r="E14609" s="88">
        <f>INDEX(매칭테이블!C:D,MATCH(RD!G14609,매칭테이블!D:D,0),1)</f>
        <v/>
      </c>
      <c r="F14609" s="94" t="inlineStr">
        <is>
          <t>카페24</t>
        </is>
      </c>
      <c r="G14609" s="94" t="inlineStr">
        <is>
          <t>어성초 70 인텐스 카밍 크림크림=어성초 토너 250ml + 카밍 크림 50ml (-30%)</t>
        </is>
      </c>
      <c r="K14609" s="94" t="n">
        <v>1</v>
      </c>
      <c r="L14609" s="88" t="n">
        <v>201208</v>
      </c>
      <c r="M14609" s="88">
        <f>VLOOKUP($Q14609,매칭테이블!$F:$I,2,0)*K14609</f>
        <v/>
      </c>
      <c r="N14609" s="88">
        <f>M14609-M14609*VLOOKUP($Q14609,매칭테이블!$F:$I,3,0)</f>
        <v/>
      </c>
      <c r="O14609" s="88">
        <f>VLOOKUP($Q14609,매칭테이블!$F:$I,4,0)*K14609</f>
        <v/>
      </c>
      <c r="P14609" s="152">
        <f>M14609/1.1</f>
        <v/>
      </c>
      <c r="Q14609" s="88">
        <f>F14609&amp;E14609&amp;G14609&amp;L14609</f>
        <v/>
      </c>
    </row>
    <row r="14610">
      <c r="B14610" s="128" t="n">
        <v>44228</v>
      </c>
      <c r="C14610" s="88">
        <f>TEXT(B14610,"aaa")</f>
        <v/>
      </c>
      <c r="D14610" s="94" t="n"/>
      <c r="E14610" s="88">
        <f>INDEX(매칭테이블!C:D,MATCH(RD!G14610,매칭테이블!D:D,0),1)</f>
        <v/>
      </c>
      <c r="F14610" s="94" t="inlineStr">
        <is>
          <t>카페24</t>
        </is>
      </c>
      <c r="G14610" s="94" t="inlineStr">
        <is>
          <t>어성초 77 수딩 토너옵션=어성초 77 토너 1개-20% off</t>
        </is>
      </c>
      <c r="K14610" s="94" t="n">
        <v>121</v>
      </c>
      <c r="L14610" s="88" t="n">
        <v>201208</v>
      </c>
      <c r="M14610" s="88">
        <f>VLOOKUP($Q14610,매칭테이블!$F:$I,2,0)*K14610</f>
        <v/>
      </c>
      <c r="N14610" s="88">
        <f>M14610-M14610*VLOOKUP($Q14610,매칭테이블!$F:$I,3,0)</f>
        <v/>
      </c>
      <c r="O14610" s="88">
        <f>VLOOKUP($Q14610,매칭테이블!$F:$I,4,0)*K14610</f>
        <v/>
      </c>
      <c r="P14610" s="152">
        <f>M14610/1.1</f>
        <v/>
      </c>
      <c r="Q14610" s="88">
        <f>F14610&amp;E14610&amp;G14610&amp;L14610</f>
        <v/>
      </c>
    </row>
    <row r="14611">
      <c r="B14611" s="128" t="n">
        <v>44228</v>
      </c>
      <c r="C14611" s="88">
        <f>TEXT(B14611,"aaa")</f>
        <v/>
      </c>
      <c r="D14611" s="94" t="n"/>
      <c r="E14611" s="88">
        <f>INDEX(매칭테이블!C:D,MATCH(RD!G14611,매칭테이블!D:D,0),1)</f>
        <v/>
      </c>
      <c r="F14611" s="94" t="inlineStr">
        <is>
          <t>카페24</t>
        </is>
      </c>
      <c r="G14611" s="94" t="inlineStr">
        <is>
          <t>어성초 77 수딩 토너옵션=BEST어성초 77 토너 2개-30% off (무료배송)</t>
        </is>
      </c>
      <c r="K14611" s="94" t="n">
        <v>101</v>
      </c>
      <c r="L14611" s="88" t="n">
        <v>201208</v>
      </c>
      <c r="M14611" s="88">
        <f>VLOOKUP($Q14611,매칭테이블!$F:$I,2,0)*K14611</f>
        <v/>
      </c>
      <c r="N14611" s="88">
        <f>M14611-M14611*VLOOKUP($Q14611,매칭테이블!$F:$I,3,0)</f>
        <v/>
      </c>
      <c r="O14611" s="88">
        <f>VLOOKUP($Q14611,매칭테이블!$F:$I,4,0)*K14611</f>
        <v/>
      </c>
      <c r="P14611" s="152">
        <f>M14611/1.1</f>
        <v/>
      </c>
      <c r="Q14611" s="88">
        <f>F14611&amp;E14611&amp;G14611&amp;L14611</f>
        <v/>
      </c>
    </row>
    <row r="14612">
      <c r="B14612" s="128" t="n">
        <v>44228</v>
      </c>
      <c r="C14612" s="88">
        <f>TEXT(B14612,"aaa")</f>
        <v/>
      </c>
      <c r="D14612" s="94" t="n"/>
      <c r="E14612" s="88">
        <f>INDEX(매칭테이블!C:D,MATCH(RD!G14612,매칭테이블!D:D,0),1)</f>
        <v/>
      </c>
      <c r="F14612" s="94" t="inlineStr">
        <is>
          <t>카페24</t>
        </is>
      </c>
      <c r="G14612" s="94" t="inlineStr">
        <is>
          <t>어성초 77 수딩 토너옵션=어성초 77토너1개 + 어성초77패드1개 -30% off (무료배송)</t>
        </is>
      </c>
      <c r="K14612" s="94" t="n">
        <v>47</v>
      </c>
      <c r="L14612" s="88" t="n">
        <v>201208</v>
      </c>
      <c r="M14612" s="88">
        <f>VLOOKUP($Q14612,매칭테이블!$F:$I,2,0)*K14612</f>
        <v/>
      </c>
      <c r="N14612" s="88">
        <f>M14612-M14612*VLOOKUP($Q14612,매칭테이블!$F:$I,3,0)</f>
        <v/>
      </c>
      <c r="O14612" s="88">
        <f>VLOOKUP($Q14612,매칭테이블!$F:$I,4,0)*K14612</f>
        <v/>
      </c>
      <c r="P14612" s="152">
        <f>M14612/1.1</f>
        <v/>
      </c>
      <c r="Q14612" s="88">
        <f>F14612&amp;E14612&amp;G14612&amp;L14612</f>
        <v/>
      </c>
    </row>
    <row r="14613">
      <c r="B14613" s="128" t="n">
        <v>44228</v>
      </c>
      <c r="C14613" s="88">
        <f>TEXT(B14613,"aaa")</f>
        <v/>
      </c>
      <c r="D14613" s="94" t="n"/>
      <c r="E14613" s="88">
        <f>INDEX(매칭테이블!C:D,MATCH(RD!G14613,매칭테이블!D:D,0),1)</f>
        <v/>
      </c>
      <c r="F14613" s="94" t="inlineStr">
        <is>
          <t>카페24</t>
        </is>
      </c>
      <c r="G14613" s="94" t="inlineStr">
        <is>
          <t>어성초 77 수딩 토너화장솜(선택)=촉촉 스킨팩 화장솜</t>
        </is>
      </c>
      <c r="K14613" s="94" t="n">
        <v>83</v>
      </c>
      <c r="L14613" s="88" t="n">
        <v>201208</v>
      </c>
      <c r="M14613" s="88">
        <f>VLOOKUP($Q14613,매칭테이블!$F:$I,2,0)*K14613</f>
        <v/>
      </c>
      <c r="N14613" s="88">
        <f>M14613-M14613*VLOOKUP($Q14613,매칭테이블!$F:$I,3,0)</f>
        <v/>
      </c>
      <c r="O14613" s="88">
        <f>VLOOKUP($Q14613,매칭테이블!$F:$I,4,0)*K14613</f>
        <v/>
      </c>
      <c r="P14613" s="152">
        <f>M14613/1.1</f>
        <v/>
      </c>
      <c r="Q14613" s="88">
        <f>F14613&amp;E14613&amp;G14613&amp;L14613</f>
        <v/>
      </c>
    </row>
    <row r="14614">
      <c r="B14614" s="128" t="n">
        <v>44228</v>
      </c>
      <c r="C14614" s="88">
        <f>TEXT(B14614,"aaa")</f>
        <v/>
      </c>
      <c r="D14614" s="94" t="n"/>
      <c r="E14614" s="88">
        <f>INDEX(매칭테이블!C:D,MATCH(RD!G14614,매칭테이블!D:D,0),1)</f>
        <v/>
      </c>
      <c r="F14614" s="94" t="inlineStr">
        <is>
          <t>카페24</t>
        </is>
      </c>
      <c r="G14614" s="94" t="inlineStr">
        <is>
          <t>어성초 77 수딩 토너토너(필수)=어성초 77 토너 1개-20% off</t>
        </is>
      </c>
      <c r="K14614" s="94" t="n">
        <v>2</v>
      </c>
      <c r="L14614" s="88" t="n">
        <v>201208</v>
      </c>
      <c r="M14614" s="88">
        <f>VLOOKUP($Q14614,매칭테이블!$F:$I,2,0)*K14614</f>
        <v/>
      </c>
      <c r="N14614" s="88">
        <f>M14614-M14614*VLOOKUP($Q14614,매칭테이블!$F:$I,3,0)</f>
        <v/>
      </c>
      <c r="O14614" s="88">
        <f>VLOOKUP($Q14614,매칭테이블!$F:$I,4,0)*K14614</f>
        <v/>
      </c>
      <c r="P14614" s="152">
        <f>M14614/1.1</f>
        <v/>
      </c>
      <c r="Q14614" s="88">
        <f>F14614&amp;E14614&amp;G14614&amp;L14614</f>
        <v/>
      </c>
    </row>
    <row r="14615">
      <c r="B14615" s="128" t="n">
        <v>44228</v>
      </c>
      <c r="C14615" s="88">
        <f>TEXT(B14615,"aaa")</f>
        <v/>
      </c>
      <c r="D14615" s="94" t="n"/>
      <c r="E14615" s="88">
        <f>INDEX(매칭테이블!C:D,MATCH(RD!G14615,매칭테이블!D:D,0),1)</f>
        <v/>
      </c>
      <c r="F14615" s="94" t="inlineStr">
        <is>
          <t>카페24</t>
        </is>
      </c>
      <c r="G14615" s="94" t="inlineStr">
        <is>
          <t>어성초 77 진정 마스크옵션=어성초 77 진정 마스크팩 1장</t>
        </is>
      </c>
      <c r="K14615" s="94" t="n">
        <v>2</v>
      </c>
      <c r="L14615" s="88" t="n">
        <v>201208</v>
      </c>
      <c r="M14615" s="88">
        <f>VLOOKUP($Q14615,매칭테이블!$F:$I,2,0)*K14615</f>
        <v/>
      </c>
      <c r="N14615" s="88">
        <f>M14615-M14615*VLOOKUP($Q14615,매칭테이블!$F:$I,3,0)</f>
        <v/>
      </c>
      <c r="O14615" s="88">
        <f>VLOOKUP($Q14615,매칭테이블!$F:$I,4,0)*K14615</f>
        <v/>
      </c>
      <c r="P14615" s="152">
        <f>M14615/1.1</f>
        <v/>
      </c>
      <c r="Q14615" s="88">
        <f>F14615&amp;E14615&amp;G14615&amp;L14615</f>
        <v/>
      </c>
    </row>
    <row r="14616">
      <c r="B14616" s="128" t="n">
        <v>44228</v>
      </c>
      <c r="C14616" s="88">
        <f>TEXT(B14616,"aaa")</f>
        <v/>
      </c>
      <c r="D14616" s="94" t="n"/>
      <c r="E14616" s="88">
        <f>INDEX(매칭테이블!C:D,MATCH(RD!G14616,매칭테이블!D:D,0),1)</f>
        <v/>
      </c>
      <c r="F14616" s="94" t="inlineStr">
        <is>
          <t>카페24</t>
        </is>
      </c>
      <c r="G14616" s="94" t="inlineStr">
        <is>
          <t>어성초 77 진정 마스크옵션=어성초 77 진정 마스크팩 10장-50% off</t>
        </is>
      </c>
      <c r="K14616" s="94" t="n">
        <v>18</v>
      </c>
      <c r="L14616" s="88" t="n">
        <v>201208</v>
      </c>
      <c r="M14616" s="88">
        <f>VLOOKUP($Q14616,매칭테이블!$F:$I,2,0)*K14616</f>
        <v/>
      </c>
      <c r="N14616" s="88">
        <f>M14616-M14616*VLOOKUP($Q14616,매칭테이블!$F:$I,3,0)</f>
        <v/>
      </c>
      <c r="O14616" s="88">
        <f>VLOOKUP($Q14616,매칭테이블!$F:$I,4,0)*K14616</f>
        <v/>
      </c>
      <c r="P14616" s="152">
        <f>M14616/1.1</f>
        <v/>
      </c>
      <c r="Q14616" s="88">
        <f>F14616&amp;E14616&amp;G14616&amp;L14616</f>
        <v/>
      </c>
    </row>
    <row r="14617">
      <c r="B14617" s="128" t="n">
        <v>44228</v>
      </c>
      <c r="C14617" s="88">
        <f>TEXT(B14617,"aaa")</f>
        <v/>
      </c>
      <c r="D14617" s="94" t="n"/>
      <c r="E14617" s="88">
        <f>INDEX(매칭테이블!C:D,MATCH(RD!G14617,매칭테이블!D:D,0),1)</f>
        <v/>
      </c>
      <c r="F14617" s="94" t="inlineStr">
        <is>
          <t>카페24</t>
        </is>
      </c>
      <c r="G14617" s="94" t="inlineStr">
        <is>
          <t>어성초 77 진정 마스크</t>
        </is>
      </c>
      <c r="K14617" s="94" t="n">
        <v>8</v>
      </c>
      <c r="L14617" s="88" t="n">
        <v>201208</v>
      </c>
      <c r="M14617" s="88">
        <f>VLOOKUP($Q14617,매칭테이블!$F:$I,2,0)*K14617</f>
        <v/>
      </c>
      <c r="N14617" s="88">
        <f>M14617-M14617*VLOOKUP($Q14617,매칭테이블!$F:$I,3,0)</f>
        <v/>
      </c>
      <c r="O14617" s="88">
        <f>VLOOKUP($Q14617,매칭테이블!$F:$I,4,0)*K14617</f>
        <v/>
      </c>
      <c r="P14617" s="152">
        <f>M14617/1.1</f>
        <v/>
      </c>
      <c r="Q14617" s="88">
        <f>F14617&amp;E14617&amp;G14617&amp;L14617</f>
        <v/>
      </c>
    </row>
    <row r="14618">
      <c r="B14618" s="128" t="n">
        <v>44228</v>
      </c>
      <c r="C14618" s="88">
        <f>TEXT(B14618,"aaa")</f>
        <v/>
      </c>
      <c r="D14618" s="94" t="n"/>
      <c r="E14618" s="88">
        <f>INDEX(매칭테이블!C:D,MATCH(RD!G14618,매칭테이블!D:D,0),1)</f>
        <v/>
      </c>
      <c r="F14618" s="94" t="inlineStr">
        <is>
          <t>카페24</t>
        </is>
      </c>
      <c r="G14618" s="94" t="inlineStr">
        <is>
          <t>어성초 77 클리어 패드옵션=어성초 77 클리어 패드 1개-20% off</t>
        </is>
      </c>
      <c r="K14618" s="94" t="n">
        <v>72</v>
      </c>
      <c r="L14618" s="88" t="n">
        <v>201208</v>
      </c>
      <c r="M14618" s="88">
        <f>VLOOKUP($Q14618,매칭테이블!$F:$I,2,0)*K14618</f>
        <v/>
      </c>
      <c r="N14618" s="88">
        <f>M14618-M14618*VLOOKUP($Q14618,매칭테이블!$F:$I,3,0)</f>
        <v/>
      </c>
      <c r="O14618" s="88">
        <f>VLOOKUP($Q14618,매칭테이블!$F:$I,4,0)*K14618</f>
        <v/>
      </c>
      <c r="P14618" s="152">
        <f>M14618/1.1</f>
        <v/>
      </c>
      <c r="Q14618" s="88">
        <f>F14618&amp;E14618&amp;G14618&amp;L14618</f>
        <v/>
      </c>
    </row>
    <row r="14619">
      <c r="B14619" s="128" t="n">
        <v>44228</v>
      </c>
      <c r="C14619" s="88">
        <f>TEXT(B14619,"aaa")</f>
        <v/>
      </c>
      <c r="D14619" s="94" t="n"/>
      <c r="E14619" s="88">
        <f>INDEX(매칭테이블!C:D,MATCH(RD!G14619,매칭테이블!D:D,0),1)</f>
        <v/>
      </c>
      <c r="F14619" s="94" t="inlineStr">
        <is>
          <t>카페24</t>
        </is>
      </c>
      <c r="G14619" s="94" t="inlineStr">
        <is>
          <t>어성초 77 클리어 패드옵션=어성초 77 클리어 패드 2개-30% off (무료배송)</t>
        </is>
      </c>
      <c r="K14619" s="94" t="n">
        <v>78</v>
      </c>
      <c r="L14619" s="88" t="n">
        <v>201208</v>
      </c>
      <c r="M14619" s="88">
        <f>VLOOKUP($Q14619,매칭테이블!$F:$I,2,0)*K14619</f>
        <v/>
      </c>
      <c r="N14619" s="88">
        <f>M14619-M14619*VLOOKUP($Q14619,매칭테이블!$F:$I,3,0)</f>
        <v/>
      </c>
      <c r="O14619" s="88">
        <f>VLOOKUP($Q14619,매칭테이블!$F:$I,4,0)*K14619</f>
        <v/>
      </c>
      <c r="P14619" s="152">
        <f>M14619/1.1</f>
        <v/>
      </c>
      <c r="Q14619" s="88">
        <f>F14619&amp;E14619&amp;G14619&amp;L14619</f>
        <v/>
      </c>
    </row>
    <row r="14620">
      <c r="B14620" s="128" t="n">
        <v>44228</v>
      </c>
      <c r="C14620" s="88">
        <f>TEXT(B14620,"aaa")</f>
        <v/>
      </c>
      <c r="D14620" s="94" t="n"/>
      <c r="E14620" s="88">
        <f>INDEX(매칭테이블!C:D,MATCH(RD!G14620,매칭테이블!D:D,0),1)</f>
        <v/>
      </c>
      <c r="F14620" s="94" t="inlineStr">
        <is>
          <t>카페24</t>
        </is>
      </c>
      <c r="G14620" s="94" t="inlineStr">
        <is>
          <t>어성초 77 클리어 패드옵션=어성초 77 클리어 패드 2+1 EVENT (무료배송)</t>
        </is>
      </c>
      <c r="K14620" s="94" t="n">
        <v>44</v>
      </c>
      <c r="L14620" s="88" t="n">
        <v>201208</v>
      </c>
      <c r="M14620" s="88">
        <f>VLOOKUP($Q14620,매칭테이블!$F:$I,2,0)*K14620</f>
        <v/>
      </c>
      <c r="N14620" s="88">
        <f>M14620-M14620*VLOOKUP($Q14620,매칭테이블!$F:$I,3,0)</f>
        <v/>
      </c>
      <c r="O14620" s="88">
        <f>VLOOKUP($Q14620,매칭테이블!$F:$I,4,0)*K14620</f>
        <v/>
      </c>
      <c r="P14620" s="152">
        <f>M14620/1.1</f>
        <v/>
      </c>
      <c r="Q14620" s="88">
        <f>F14620&amp;E14620&amp;G14620&amp;L14620</f>
        <v/>
      </c>
    </row>
    <row r="14621">
      <c r="B14621" s="128" t="n">
        <v>44228</v>
      </c>
      <c r="C14621" s="88">
        <f>TEXT(B14621,"aaa")</f>
        <v/>
      </c>
      <c r="D14621" s="94" t="n"/>
      <c r="E14621" s="88">
        <f>INDEX(매칭테이블!C:D,MATCH(RD!G14621,매칭테이블!D:D,0),1)</f>
        <v/>
      </c>
      <c r="F14621" s="94" t="inlineStr">
        <is>
          <t>카페24</t>
        </is>
      </c>
      <c r="G14621" s="94" t="inlineStr">
        <is>
          <t>어성초 77 클리어 패드옵션=어성초77토너1개+어성초77패드1개-30% off (무료배송)</t>
        </is>
      </c>
      <c r="K14621" s="94" t="n">
        <v>23</v>
      </c>
      <c r="L14621" s="88" t="n">
        <v>201208</v>
      </c>
      <c r="M14621" s="88">
        <f>VLOOKUP($Q14621,매칭테이블!$F:$I,2,0)*K14621</f>
        <v/>
      </c>
      <c r="N14621" s="88">
        <f>M14621-M14621*VLOOKUP($Q14621,매칭테이블!$F:$I,3,0)</f>
        <v/>
      </c>
      <c r="O14621" s="88">
        <f>VLOOKUP($Q14621,매칭테이블!$F:$I,4,0)*K14621</f>
        <v/>
      </c>
      <c r="P14621" s="152">
        <f>M14621/1.1</f>
        <v/>
      </c>
      <c r="Q14621" s="88">
        <f>F14621&amp;E14621&amp;G14621&amp;L14621</f>
        <v/>
      </c>
    </row>
    <row r="14622">
      <c r="B14622" s="128" t="n">
        <v>44228</v>
      </c>
      <c r="C14622" s="88">
        <f>TEXT(B14622,"aaa")</f>
        <v/>
      </c>
      <c r="D14622" s="94" t="n"/>
      <c r="E14622" s="88">
        <f>INDEX(매칭테이블!C:D,MATCH(RD!G14622,매칭테이블!D:D,0),1)</f>
        <v/>
      </c>
      <c r="F14622" s="94" t="inlineStr">
        <is>
          <t>카페24</t>
        </is>
      </c>
      <c r="G14622" s="94" t="inlineStr">
        <is>
          <t>어성초 77 토너</t>
        </is>
      </c>
      <c r="K14622" s="94" t="n">
        <v>6</v>
      </c>
      <c r="L14622" s="88" t="n">
        <v>201208</v>
      </c>
      <c r="M14622" s="88">
        <f>VLOOKUP($Q14622,매칭테이블!$F:$I,2,0)*K14622</f>
        <v/>
      </c>
      <c r="N14622" s="88">
        <f>M14622-M14622*VLOOKUP($Q14622,매칭테이블!$F:$I,3,0)</f>
        <v/>
      </c>
      <c r="O14622" s="88">
        <f>VLOOKUP($Q14622,매칭테이블!$F:$I,4,0)*K14622</f>
        <v/>
      </c>
      <c r="P14622" s="152">
        <f>M14622/1.1</f>
        <v/>
      </c>
      <c r="Q14622" s="88">
        <f>F14622&amp;E14622&amp;G14622&amp;L14622</f>
        <v/>
      </c>
    </row>
    <row r="14623">
      <c r="B14623" s="128" t="n">
        <v>44228</v>
      </c>
      <c r="C14623" s="88">
        <f>TEXT(B14623,"aaa")</f>
        <v/>
      </c>
      <c r="D14623" s="94" t="n"/>
      <c r="E14623" s="88">
        <f>INDEX(매칭테이블!C:D,MATCH(RD!G14623,매칭테이블!D:D,0),1)</f>
        <v/>
      </c>
      <c r="F14623" s="94" t="inlineStr">
        <is>
          <t>카페24</t>
        </is>
      </c>
      <c r="G14623" s="94" t="inlineStr">
        <is>
          <t>어성초 77 포어 클리어 패드옵션=어성초 77 클리어 패드 1개-20% off</t>
        </is>
      </c>
      <c r="K14623" s="94" t="n">
        <v>1</v>
      </c>
      <c r="L14623" s="88" t="n">
        <v>201208</v>
      </c>
      <c r="M14623" s="88">
        <f>VLOOKUP($Q14623,매칭테이블!$F:$I,2,0)*K14623</f>
        <v/>
      </c>
      <c r="N14623" s="88">
        <f>M14623-M14623*VLOOKUP($Q14623,매칭테이블!$F:$I,3,0)</f>
        <v/>
      </c>
      <c r="O14623" s="88">
        <f>VLOOKUP($Q14623,매칭테이블!$F:$I,4,0)*K14623</f>
        <v/>
      </c>
      <c r="P14623" s="152">
        <f>M14623/1.1</f>
        <v/>
      </c>
      <c r="Q14623" s="88">
        <f>F14623&amp;E14623&amp;G14623&amp;L14623</f>
        <v/>
      </c>
    </row>
    <row r="14624">
      <c r="B14624" s="128" t="n">
        <v>44228</v>
      </c>
      <c r="C14624" s="88">
        <f>TEXT(B14624,"aaa")</f>
        <v/>
      </c>
      <c r="D14624" s="94" t="n"/>
      <c r="E14624" s="88">
        <f>INDEX(매칭테이블!C:D,MATCH(RD!G14624,매칭테이블!D:D,0),1)</f>
        <v/>
      </c>
      <c r="F14624" s="94" t="inlineStr">
        <is>
          <t>카페24</t>
        </is>
      </c>
      <c r="G14624" s="94" t="inlineStr">
        <is>
          <t>어성초 77 포어 클리어 패드옵션=어성초 77 클리어 패드 2개-30% off (무료배송)</t>
        </is>
      </c>
      <c r="K14624" s="94" t="n">
        <v>1</v>
      </c>
      <c r="L14624" s="88" t="n">
        <v>201208</v>
      </c>
      <c r="M14624" s="88">
        <f>VLOOKUP($Q14624,매칭테이블!$F:$I,2,0)*K14624</f>
        <v/>
      </c>
      <c r="N14624" s="88">
        <f>M14624-M14624*VLOOKUP($Q14624,매칭테이블!$F:$I,3,0)</f>
        <v/>
      </c>
      <c r="O14624" s="88">
        <f>VLOOKUP($Q14624,매칭테이블!$F:$I,4,0)*K14624</f>
        <v/>
      </c>
      <c r="P14624" s="152">
        <f>M14624/1.1</f>
        <v/>
      </c>
      <c r="Q14624" s="88">
        <f>F14624&amp;E14624&amp;G14624&amp;L14624</f>
        <v/>
      </c>
    </row>
    <row r="14625">
      <c r="B14625" s="128" t="n">
        <v>44228</v>
      </c>
      <c r="C14625" s="88">
        <f>TEXT(B14625,"aaa")</f>
        <v/>
      </c>
      <c r="D14625" s="94" t="n"/>
      <c r="E14625" s="88">
        <f>INDEX(매칭테이블!C:D,MATCH(RD!G14625,매칭테이블!D:D,0),1)</f>
        <v/>
      </c>
      <c r="F14625" s="94" t="inlineStr">
        <is>
          <t>카페24</t>
        </is>
      </c>
      <c r="G14625" s="94" t="inlineStr">
        <is>
          <t>어성초 77 포어 클리어 패드옵션=어성초 77 클리어 패드 2+1 EVENT (무료배송)</t>
        </is>
      </c>
      <c r="K14625" s="94" t="n">
        <v>1</v>
      </c>
      <c r="L14625" s="88" t="n">
        <v>201208</v>
      </c>
      <c r="M14625" s="88">
        <f>VLOOKUP($Q14625,매칭테이블!$F:$I,2,0)*K14625</f>
        <v/>
      </c>
      <c r="N14625" s="88">
        <f>M14625-M14625*VLOOKUP($Q14625,매칭테이블!$F:$I,3,0)</f>
        <v/>
      </c>
      <c r="O14625" s="88">
        <f>VLOOKUP($Q14625,매칭테이블!$F:$I,4,0)*K14625</f>
        <v/>
      </c>
      <c r="P14625" s="152">
        <f>M14625/1.1</f>
        <v/>
      </c>
      <c r="Q14625" s="88">
        <f>F14625&amp;E14625&amp;G14625&amp;L14625</f>
        <v/>
      </c>
    </row>
    <row r="14626">
      <c r="B14626" s="128" t="n">
        <v>44228</v>
      </c>
      <c r="C14626" s="88">
        <f>TEXT(B14626,"aaa")</f>
        <v/>
      </c>
      <c r="D14626" s="94" t="n"/>
      <c r="E14626" s="88">
        <f>INDEX(매칭테이블!C:D,MATCH(RD!G14626,매칭테이블!D:D,0),1)</f>
        <v/>
      </c>
      <c r="F14626" s="94" t="inlineStr">
        <is>
          <t>카페24</t>
        </is>
      </c>
      <c r="G14626" s="94" t="inlineStr">
        <is>
          <t>어성초 77% 수딩 토너토너(필수)=어성초 77 토너 1개-20% off</t>
        </is>
      </c>
      <c r="K14626" s="94" t="n">
        <v>3</v>
      </c>
      <c r="L14626" s="88" t="n">
        <v>201208</v>
      </c>
      <c r="M14626" s="88">
        <f>VLOOKUP($Q14626,매칭테이블!$F:$I,2,0)*K14626</f>
        <v/>
      </c>
      <c r="N14626" s="88">
        <f>M14626-M14626*VLOOKUP($Q14626,매칭테이블!$F:$I,3,0)</f>
        <v/>
      </c>
      <c r="O14626" s="88">
        <f>VLOOKUP($Q14626,매칭테이블!$F:$I,4,0)*K14626</f>
        <v/>
      </c>
      <c r="P14626" s="152">
        <f>M14626/1.1</f>
        <v/>
      </c>
      <c r="Q14626" s="88">
        <f>F14626&amp;E14626&amp;G14626&amp;L14626</f>
        <v/>
      </c>
    </row>
    <row r="14627">
      <c r="B14627" s="128" t="n">
        <v>44228</v>
      </c>
      <c r="C14627" s="88">
        <f>TEXT(B14627,"aaa")</f>
        <v/>
      </c>
      <c r="D14627" s="94" t="n"/>
      <c r="E14627" s="88">
        <f>INDEX(매칭테이블!C:D,MATCH(RD!G14627,매칭테이블!D:D,0),1)</f>
        <v/>
      </c>
      <c r="F14627" s="94" t="inlineStr">
        <is>
          <t>카페24</t>
        </is>
      </c>
      <c r="G14627" s="94" t="inlineStr">
        <is>
          <t>어성초 77% 수딩 토너토너(필수)=어성초 77 토너 2개-30% off (무료배송)</t>
        </is>
      </c>
      <c r="K14627" s="94" t="n">
        <v>1</v>
      </c>
      <c r="L14627" s="88" t="n">
        <v>201208</v>
      </c>
      <c r="M14627" s="88">
        <f>VLOOKUP($Q14627,매칭테이블!$F:$I,2,0)*K14627</f>
        <v/>
      </c>
      <c r="N14627" s="88">
        <f>M14627-M14627*VLOOKUP($Q14627,매칭테이블!$F:$I,3,0)</f>
        <v/>
      </c>
      <c r="O14627" s="88">
        <f>VLOOKUP($Q14627,매칭테이블!$F:$I,4,0)*K14627</f>
        <v/>
      </c>
      <c r="P14627" s="152">
        <f>M14627/1.1</f>
        <v/>
      </c>
      <c r="Q14627" s="88">
        <f>F14627&amp;E14627&amp;G14627&amp;L14627</f>
        <v/>
      </c>
    </row>
    <row r="14628">
      <c r="B14628" s="128" t="n">
        <v>44228</v>
      </c>
      <c r="C14628" s="88">
        <f>TEXT(B14628,"aaa")</f>
        <v/>
      </c>
      <c r="D14628" s="94" t="n"/>
      <c r="E14628" s="88">
        <f>INDEX(매칭테이블!C:D,MATCH(RD!G14628,매칭테이블!D:D,0),1)</f>
        <v/>
      </c>
      <c r="F14628" s="94" t="inlineStr">
        <is>
          <t>카페24</t>
        </is>
      </c>
      <c r="G14628" s="94" t="inlineStr">
        <is>
          <t>어성초 77% 패드옵션=어성초 77 클리어 패드 1개-20% off</t>
        </is>
      </c>
      <c r="K14628" s="94" t="n">
        <v>41</v>
      </c>
      <c r="L14628" s="88" t="n">
        <v>201208</v>
      </c>
      <c r="M14628" s="88">
        <f>VLOOKUP($Q14628,매칭테이블!$F:$I,2,0)*K14628</f>
        <v/>
      </c>
      <c r="N14628" s="88">
        <f>M14628-M14628*VLOOKUP($Q14628,매칭테이블!$F:$I,3,0)</f>
        <v/>
      </c>
      <c r="O14628" s="88">
        <f>VLOOKUP($Q14628,매칭테이블!$F:$I,4,0)*K14628</f>
        <v/>
      </c>
      <c r="P14628" s="152">
        <f>M14628/1.1</f>
        <v/>
      </c>
      <c r="Q14628" s="88">
        <f>F14628&amp;E14628&amp;G14628&amp;L14628</f>
        <v/>
      </c>
    </row>
    <row r="14629">
      <c r="B14629" s="128" t="n">
        <v>44228</v>
      </c>
      <c r="C14629" s="88">
        <f>TEXT(B14629,"aaa")</f>
        <v/>
      </c>
      <c r="D14629" s="94" t="n"/>
      <c r="E14629" s="88">
        <f>INDEX(매칭테이블!C:D,MATCH(RD!G14629,매칭테이블!D:D,0),1)</f>
        <v/>
      </c>
      <c r="F14629" s="94" t="inlineStr">
        <is>
          <t>카페24</t>
        </is>
      </c>
      <c r="G14629" s="94" t="inlineStr">
        <is>
          <t>어성초 77% 패드옵션=어성초 77 클리어 패드 2개-30% off (무료배송)</t>
        </is>
      </c>
      <c r="K14629" s="94" t="n">
        <v>53</v>
      </c>
      <c r="L14629" s="88" t="n">
        <v>201208</v>
      </c>
      <c r="M14629" s="88">
        <f>VLOOKUP($Q14629,매칭테이블!$F:$I,2,0)*K14629</f>
        <v/>
      </c>
      <c r="N14629" s="88">
        <f>M14629-M14629*VLOOKUP($Q14629,매칭테이블!$F:$I,3,0)</f>
        <v/>
      </c>
      <c r="O14629" s="88">
        <f>VLOOKUP($Q14629,매칭테이블!$F:$I,4,0)*K14629</f>
        <v/>
      </c>
      <c r="P14629" s="152">
        <f>M14629/1.1</f>
        <v/>
      </c>
      <c r="Q14629" s="88">
        <f>F14629&amp;E14629&amp;G14629&amp;L14629</f>
        <v/>
      </c>
    </row>
    <row r="14630">
      <c r="B14630" s="128" t="n">
        <v>44228</v>
      </c>
      <c r="C14630" s="88">
        <f>TEXT(B14630,"aaa")</f>
        <v/>
      </c>
      <c r="D14630" s="94" t="n"/>
      <c r="E14630" s="88">
        <f>INDEX(매칭테이블!C:D,MATCH(RD!G14630,매칭테이블!D:D,0),1)</f>
        <v/>
      </c>
      <c r="F14630" s="94" t="inlineStr">
        <is>
          <t>카페24</t>
        </is>
      </c>
      <c r="G14630" s="94" t="inlineStr">
        <is>
          <t>어성초 77% 패드옵션=어성초 77 클리어 패드 2+1 EVENT (무료배송)</t>
        </is>
      </c>
      <c r="K14630" s="94" t="n">
        <v>27</v>
      </c>
      <c r="L14630" s="88" t="n">
        <v>201208</v>
      </c>
      <c r="M14630" s="88">
        <f>VLOOKUP($Q14630,매칭테이블!$F:$I,2,0)*K14630</f>
        <v/>
      </c>
      <c r="N14630" s="88">
        <f>M14630-M14630*VLOOKUP($Q14630,매칭테이블!$F:$I,3,0)</f>
        <v/>
      </c>
      <c r="O14630" s="88">
        <f>VLOOKUP($Q14630,매칭테이블!$F:$I,4,0)*K14630</f>
        <v/>
      </c>
      <c r="P14630" s="152">
        <f>M14630/1.1</f>
        <v/>
      </c>
      <c r="Q14630" s="88">
        <f>F14630&amp;E14630&amp;G14630&amp;L14630</f>
        <v/>
      </c>
    </row>
    <row r="14631">
      <c r="B14631" s="128" t="n">
        <v>44228</v>
      </c>
      <c r="C14631" s="88">
        <f>TEXT(B14631,"aaa")</f>
        <v/>
      </c>
      <c r="D14631" s="94" t="n"/>
      <c r="E14631" s="88">
        <f>INDEX(매칭테이블!C:D,MATCH(RD!G14631,매칭테이블!D:D,0),1)</f>
        <v/>
      </c>
      <c r="F14631" s="94" t="inlineStr">
        <is>
          <t>카페24</t>
        </is>
      </c>
      <c r="G14631" s="94" t="inlineStr">
        <is>
          <t>어성초 77% 패드옵션=어성초77토너1개+어성초77패드1개-30% off (무료배송)</t>
        </is>
      </c>
      <c r="K14631" s="94" t="n">
        <v>16</v>
      </c>
      <c r="L14631" s="88" t="n">
        <v>201208</v>
      </c>
      <c r="M14631" s="88">
        <f>VLOOKUP($Q14631,매칭테이블!$F:$I,2,0)*K14631</f>
        <v/>
      </c>
      <c r="N14631" s="88">
        <f>M14631-M14631*VLOOKUP($Q14631,매칭테이블!$F:$I,3,0)</f>
        <v/>
      </c>
      <c r="O14631" s="88">
        <f>VLOOKUP($Q14631,매칭테이블!$F:$I,4,0)*K14631</f>
        <v/>
      </c>
      <c r="P14631" s="152">
        <f>M14631/1.1</f>
        <v/>
      </c>
      <c r="Q14631" s="88">
        <f>F14631&amp;E14631&amp;G14631&amp;L14631</f>
        <v/>
      </c>
    </row>
    <row r="14632">
      <c r="B14632" s="128" t="n">
        <v>44228</v>
      </c>
      <c r="C14632" s="88">
        <f>TEXT(B14632,"aaa")</f>
        <v/>
      </c>
      <c r="D14632" s="94" t="n"/>
      <c r="E14632" s="88">
        <f>INDEX(매칭테이블!C:D,MATCH(RD!G14632,매칭테이블!D:D,0),1)</f>
        <v/>
      </c>
      <c r="F14632" s="94" t="inlineStr">
        <is>
          <t>카페24</t>
        </is>
      </c>
      <c r="G14632" s="94" t="inlineStr">
        <is>
          <t>어성초 78 수딩 크림</t>
        </is>
      </c>
      <c r="K14632" s="94" t="n">
        <v>10</v>
      </c>
      <c r="L14632" s="88" t="n">
        <v>201208</v>
      </c>
      <c r="M14632" s="88">
        <f>VLOOKUP($Q14632,매칭테이블!$F:$I,2,0)*K14632</f>
        <v/>
      </c>
      <c r="N14632" s="88">
        <f>M14632-M14632*VLOOKUP($Q14632,매칭테이블!$F:$I,3,0)</f>
        <v/>
      </c>
      <c r="O14632" s="88">
        <f>VLOOKUP($Q14632,매칭테이블!$F:$I,4,0)*K14632</f>
        <v/>
      </c>
      <c r="P14632" s="152">
        <f>M14632/1.1</f>
        <v/>
      </c>
      <c r="Q14632" s="88">
        <f>F14632&amp;E14632&amp;G14632&amp;L14632</f>
        <v/>
      </c>
    </row>
    <row r="14633">
      <c r="B14633" s="128" t="n">
        <v>44228</v>
      </c>
      <c r="C14633" s="88">
        <f>TEXT(B14633,"aaa")</f>
        <v/>
      </c>
      <c r="D14633" s="94" t="n"/>
      <c r="E14633" s="88">
        <f>INDEX(매칭테이블!C:D,MATCH(RD!G14633,매칭테이블!D:D,0),1)</f>
        <v/>
      </c>
      <c r="F14633" s="94" t="inlineStr">
        <is>
          <t>카페24</t>
        </is>
      </c>
      <c r="G14633" s="94" t="inlineStr">
        <is>
          <t>어성초 78 수딩 크림</t>
        </is>
      </c>
      <c r="K14633" s="94" t="n">
        <v>12</v>
      </c>
      <c r="L14633" s="88" t="n">
        <v>201208</v>
      </c>
      <c r="M14633" s="88">
        <f>VLOOKUP($Q14633,매칭테이블!$F:$I,2,0)*K14633</f>
        <v/>
      </c>
      <c r="N14633" s="88">
        <f>M14633-M14633*VLOOKUP($Q14633,매칭테이블!$F:$I,3,0)</f>
        <v/>
      </c>
      <c r="O14633" s="88">
        <f>VLOOKUP($Q14633,매칭테이블!$F:$I,4,0)*K14633</f>
        <v/>
      </c>
      <c r="P14633" s="152">
        <f>M14633/1.1</f>
        <v/>
      </c>
      <c r="Q14633" s="88">
        <f>F14633&amp;E14633&amp;G14633&amp;L14633</f>
        <v/>
      </c>
    </row>
    <row r="14634">
      <c r="B14634" s="128" t="n">
        <v>44228</v>
      </c>
      <c r="C14634" s="88">
        <f>TEXT(B14634,"aaa")</f>
        <v/>
      </c>
      <c r="D14634" s="94" t="n"/>
      <c r="E14634" s="88">
        <f>INDEX(매칭테이블!C:D,MATCH(RD!G14634,매칭테이블!D:D,0),1)</f>
        <v/>
      </c>
      <c r="F14634" s="94" t="inlineStr">
        <is>
          <t>카페24</t>
        </is>
      </c>
      <c r="G14634" s="94" t="inlineStr">
        <is>
          <t>어성초 80 수분 진정 앰플앰플=어성초 80 앰플 1개-15%off</t>
        </is>
      </c>
      <c r="K14634" s="94" t="n">
        <v>42</v>
      </c>
      <c r="L14634" s="88" t="n">
        <v>201208</v>
      </c>
      <c r="M14634" s="88">
        <f>VLOOKUP($Q14634,매칭테이블!$F:$I,2,0)*K14634</f>
        <v/>
      </c>
      <c r="N14634" s="88">
        <f>M14634-M14634*VLOOKUP($Q14634,매칭테이블!$F:$I,3,0)</f>
        <v/>
      </c>
      <c r="O14634" s="88">
        <f>VLOOKUP($Q14634,매칭테이블!$F:$I,4,0)*K14634</f>
        <v/>
      </c>
      <c r="P14634" s="152">
        <f>M14634/1.1</f>
        <v/>
      </c>
      <c r="Q14634" s="88">
        <f>F14634&amp;E14634&amp;G14634&amp;L14634</f>
        <v/>
      </c>
    </row>
    <row r="14635">
      <c r="B14635" s="128" t="n">
        <v>44228</v>
      </c>
      <c r="C14635" s="88">
        <f>TEXT(B14635,"aaa")</f>
        <v/>
      </c>
      <c r="D14635" s="94" t="n"/>
      <c r="E14635" s="88">
        <f>INDEX(매칭테이블!C:D,MATCH(RD!G14635,매칭테이블!D:D,0),1)</f>
        <v/>
      </c>
      <c r="F14635" s="94" t="inlineStr">
        <is>
          <t>카페24</t>
        </is>
      </c>
      <c r="G14635" s="94" t="inlineStr">
        <is>
          <t>어성초 80 수분 진정 앰플앰플=어성초 80 앰플 2개-27%off (무료배송)</t>
        </is>
      </c>
      <c r="K14635" s="94" t="n">
        <v>11</v>
      </c>
      <c r="L14635" s="88" t="n">
        <v>201208</v>
      </c>
      <c r="M14635" s="88">
        <f>VLOOKUP($Q14635,매칭테이블!$F:$I,2,0)*K14635</f>
        <v/>
      </c>
      <c r="N14635" s="88">
        <f>M14635-M14635*VLOOKUP($Q14635,매칭테이블!$F:$I,3,0)</f>
        <v/>
      </c>
      <c r="O14635" s="88">
        <f>VLOOKUP($Q14635,매칭테이블!$F:$I,4,0)*K14635</f>
        <v/>
      </c>
      <c r="P14635" s="152">
        <f>M14635/1.1</f>
        <v/>
      </c>
      <c r="Q14635" s="88">
        <f>F14635&amp;E14635&amp;G14635&amp;L14635</f>
        <v/>
      </c>
    </row>
    <row r="14636">
      <c r="B14636" s="128" t="n">
        <v>44228</v>
      </c>
      <c r="C14636" s="88">
        <f>TEXT(B14636,"aaa")</f>
        <v/>
      </c>
      <c r="D14636" s="94" t="n"/>
      <c r="E14636" s="88">
        <f>INDEX(매칭테이블!C:D,MATCH(RD!G14636,매칭테이블!D:D,0),1)</f>
        <v/>
      </c>
      <c r="F14636" s="94" t="inlineStr">
        <is>
          <t>카페24</t>
        </is>
      </c>
      <c r="G14636" s="94" t="inlineStr">
        <is>
          <t>어성초 80 수분 진정 앰플</t>
        </is>
      </c>
      <c r="K14636" s="94" t="n">
        <v>10</v>
      </c>
      <c r="L14636" s="88" t="n">
        <v>201208</v>
      </c>
      <c r="M14636" s="88">
        <f>VLOOKUP($Q14636,매칭테이블!$F:$I,2,0)*K14636</f>
        <v/>
      </c>
      <c r="N14636" s="88">
        <f>M14636-M14636*VLOOKUP($Q14636,매칭테이블!$F:$I,3,0)</f>
        <v/>
      </c>
      <c r="O14636" s="88">
        <f>VLOOKUP($Q14636,매칭테이블!$F:$I,4,0)*K14636</f>
        <v/>
      </c>
      <c r="P14636" s="152">
        <f>M14636/1.1</f>
        <v/>
      </c>
      <c r="Q14636" s="88">
        <f>F14636&amp;E14636&amp;G14636&amp;L14636</f>
        <v/>
      </c>
    </row>
    <row r="14637">
      <c r="B14637" s="128" t="n">
        <v>44228</v>
      </c>
      <c r="C14637" s="88">
        <f>TEXT(B14637,"aaa")</f>
        <v/>
      </c>
      <c r="D14637" s="94" t="n"/>
      <c r="E14637" s="88">
        <f>INDEX(매칭테이블!C:D,MATCH(RD!G14637,매칭테이블!D:D,0),1)</f>
        <v/>
      </c>
      <c r="F14637" s="94" t="inlineStr">
        <is>
          <t>카페24</t>
        </is>
      </c>
      <c r="G14637" s="94" t="inlineStr">
        <is>
          <t>어성초 아크네 바디워시옵션=어성초 아크네 바디워시 1개 -30% off</t>
        </is>
      </c>
      <c r="K14637" s="94" t="n">
        <v>6</v>
      </c>
      <c r="L14637" s="88" t="n">
        <v>201208</v>
      </c>
      <c r="M14637" s="88">
        <f>VLOOKUP($Q14637,매칭테이블!$F:$I,2,0)*K14637</f>
        <v/>
      </c>
      <c r="N14637" s="88">
        <f>M14637-M14637*VLOOKUP($Q14637,매칭테이블!$F:$I,3,0)</f>
        <v/>
      </c>
      <c r="O14637" s="88">
        <f>VLOOKUP($Q14637,매칭테이블!$F:$I,4,0)*K14637</f>
        <v/>
      </c>
      <c r="P14637" s="152">
        <f>M14637/1.1</f>
        <v/>
      </c>
      <c r="Q14637" s="88">
        <f>F14637&amp;E14637&amp;G14637&amp;L14637</f>
        <v/>
      </c>
    </row>
    <row r="14638">
      <c r="B14638" s="128" t="n">
        <v>44228</v>
      </c>
      <c r="C14638" s="88">
        <f>TEXT(B14638,"aaa")</f>
        <v/>
      </c>
      <c r="D14638" s="94" t="n"/>
      <c r="E14638" s="88">
        <f>INDEX(매칭테이블!C:D,MATCH(RD!G14638,매칭테이블!D:D,0),1)</f>
        <v/>
      </c>
      <c r="F14638" s="94" t="inlineStr">
        <is>
          <t>카페24</t>
        </is>
      </c>
      <c r="G14638" s="94" t="inlineStr">
        <is>
          <t>어성초 아크네 바디워시옵션=어성초 아크네 바디워시 2개 -35% off (무료배송)</t>
        </is>
      </c>
      <c r="K14638" s="94" t="n">
        <v>3</v>
      </c>
      <c r="L14638" s="88" t="n">
        <v>201208</v>
      </c>
      <c r="M14638" s="88">
        <f>VLOOKUP($Q14638,매칭테이블!$F:$I,2,0)*K14638</f>
        <v/>
      </c>
      <c r="N14638" s="88">
        <f>M14638-M14638*VLOOKUP($Q14638,매칭테이블!$F:$I,3,0)</f>
        <v/>
      </c>
      <c r="O14638" s="88">
        <f>VLOOKUP($Q14638,매칭테이블!$F:$I,4,0)*K14638</f>
        <v/>
      </c>
      <c r="P14638" s="152">
        <f>M14638/1.1</f>
        <v/>
      </c>
      <c r="Q14638" s="88">
        <f>F14638&amp;E14638&amp;G14638&amp;L14638</f>
        <v/>
      </c>
    </row>
    <row r="14639">
      <c r="B14639" s="128" t="n">
        <v>44228</v>
      </c>
      <c r="C14639" s="88">
        <f>TEXT(B14639,"aaa")</f>
        <v/>
      </c>
      <c r="D14639" s="94" t="n"/>
      <c r="E14639" s="88">
        <f>INDEX(매칭테이블!C:D,MATCH(RD!G14639,매칭테이블!D:D,0),1)</f>
        <v/>
      </c>
      <c r="F14639" s="94" t="inlineStr">
        <is>
          <t>카페24</t>
        </is>
      </c>
      <c r="G14639" s="94" t="inlineStr">
        <is>
          <t>어성초 약산성 클렌징폼클렌징폼=어성초 약산성 클렌징폼 1개 -19%off</t>
        </is>
      </c>
      <c r="K14639" s="94" t="n">
        <v>26</v>
      </c>
      <c r="L14639" s="88" t="n">
        <v>201208</v>
      </c>
      <c r="M14639" s="88">
        <f>VLOOKUP($Q14639,매칭테이블!$F:$I,2,0)*K14639</f>
        <v/>
      </c>
      <c r="N14639" s="88">
        <f>M14639-M14639*VLOOKUP($Q14639,매칭테이블!$F:$I,3,0)</f>
        <v/>
      </c>
      <c r="O14639" s="88">
        <f>VLOOKUP($Q14639,매칭테이블!$F:$I,4,0)*K14639</f>
        <v/>
      </c>
      <c r="P14639" s="152">
        <f>M14639/1.1</f>
        <v/>
      </c>
      <c r="Q14639" s="88">
        <f>F14639&amp;E14639&amp;G14639&amp;L14639</f>
        <v/>
      </c>
    </row>
    <row r="14640">
      <c r="B14640" s="128" t="n">
        <v>44228</v>
      </c>
      <c r="C14640" s="88">
        <f>TEXT(B14640,"aaa")</f>
        <v/>
      </c>
      <c r="D14640" s="94" t="n"/>
      <c r="E14640" s="88">
        <f>INDEX(매칭테이블!C:D,MATCH(RD!G14640,매칭테이블!D:D,0),1)</f>
        <v/>
      </c>
      <c r="F14640" s="94" t="inlineStr">
        <is>
          <t>카페24</t>
        </is>
      </c>
      <c r="G14640" s="94" t="inlineStr">
        <is>
          <t>어성초 약산성 클렌징폼클렌징폼=어성초 약산성 클렌징폼 2개 -25%off</t>
        </is>
      </c>
      <c r="K14640" s="94" t="n">
        <v>9</v>
      </c>
      <c r="L14640" s="88" t="n">
        <v>201208</v>
      </c>
      <c r="M14640" s="88">
        <f>VLOOKUP($Q14640,매칭테이블!$F:$I,2,0)*K14640</f>
        <v/>
      </c>
      <c r="N14640" s="88">
        <f>M14640-M14640*VLOOKUP($Q14640,매칭테이블!$F:$I,3,0)</f>
        <v/>
      </c>
      <c r="O14640" s="88">
        <f>VLOOKUP($Q14640,매칭테이블!$F:$I,4,0)*K14640</f>
        <v/>
      </c>
      <c r="P14640" s="152">
        <f>M14640/1.1</f>
        <v/>
      </c>
      <c r="Q14640" s="88">
        <f>F14640&amp;E14640&amp;G14640&amp;L14640</f>
        <v/>
      </c>
    </row>
    <row r="14641">
      <c r="B14641" s="128" t="n">
        <v>44228</v>
      </c>
      <c r="C14641" s="88">
        <f>TEXT(B14641,"aaa")</f>
        <v/>
      </c>
      <c r="D14641" s="94" t="n"/>
      <c r="E14641" s="88">
        <f>INDEX(매칭테이블!C:D,MATCH(RD!G14641,매칭테이블!D:D,0),1)</f>
        <v/>
      </c>
      <c r="F14641" s="94" t="inlineStr">
        <is>
          <t>카페24</t>
        </is>
      </c>
      <c r="G14641" s="94" t="inlineStr">
        <is>
          <t>어성초 약산성 클렌징폼클렌징폼=어성초 약산성 클렌징폼 3개 -31%off (무료배송)</t>
        </is>
      </c>
      <c r="K14641" s="94" t="n">
        <v>8</v>
      </c>
      <c r="L14641" s="88" t="n">
        <v>201208</v>
      </c>
      <c r="M14641" s="88">
        <f>VLOOKUP($Q14641,매칭테이블!$F:$I,2,0)*K14641</f>
        <v/>
      </c>
      <c r="N14641" s="88">
        <f>M14641-M14641*VLOOKUP($Q14641,매칭테이블!$F:$I,3,0)</f>
        <v/>
      </c>
      <c r="O14641" s="88">
        <f>VLOOKUP($Q14641,매칭테이블!$F:$I,4,0)*K14641</f>
        <v/>
      </c>
      <c r="P14641" s="152">
        <f>M14641/1.1</f>
        <v/>
      </c>
      <c r="Q14641" s="88">
        <f>F14641&amp;E14641&amp;G14641&amp;L14641</f>
        <v/>
      </c>
    </row>
    <row r="14642">
      <c r="B14642" s="128" t="n">
        <v>44228</v>
      </c>
      <c r="C14642" s="88">
        <f>TEXT(B14642,"aaa")</f>
        <v/>
      </c>
      <c r="D14642" s="94" t="n"/>
      <c r="E14642" s="88">
        <f>INDEX(매칭테이블!C:D,MATCH(RD!G14642,매칭테이블!D:D,0),1)</f>
        <v/>
      </c>
      <c r="F14642" s="94" t="inlineStr">
        <is>
          <t>카페24</t>
        </is>
      </c>
      <c r="G14642" s="94" t="inlineStr">
        <is>
          <t>어성초 약산성 클렌징폼</t>
        </is>
      </c>
      <c r="K14642" s="94" t="n">
        <v>2</v>
      </c>
      <c r="L14642" s="88" t="n">
        <v>201208</v>
      </c>
      <c r="M14642" s="88">
        <f>VLOOKUP($Q14642,매칭테이블!$F:$I,2,0)*K14642</f>
        <v/>
      </c>
      <c r="N14642" s="88">
        <f>M14642-M14642*VLOOKUP($Q14642,매칭테이블!$F:$I,3,0)</f>
        <v/>
      </c>
      <c r="O14642" s="88">
        <f>VLOOKUP($Q14642,매칭테이블!$F:$I,4,0)*K14642</f>
        <v/>
      </c>
      <c r="P14642" s="152">
        <f>M14642/1.1</f>
        <v/>
      </c>
      <c r="Q14642" s="88">
        <f>F14642&amp;E14642&amp;G14642&amp;L14642</f>
        <v/>
      </c>
    </row>
    <row r="14643">
      <c r="B14643" s="128" t="n">
        <v>44228</v>
      </c>
      <c r="C14643" s="88">
        <f>TEXT(B14643,"aaa")</f>
        <v/>
      </c>
      <c r="D14643" s="94" t="n"/>
      <c r="E14643" s="88">
        <f>INDEX(매칭테이블!C:D,MATCH(RD!G14643,매칭테이블!D:D,0),1)</f>
        <v/>
      </c>
      <c r="F14643" s="94" t="inlineStr">
        <is>
          <t>카페24</t>
        </is>
      </c>
      <c r="G14643" s="94" t="inlineStr">
        <is>
          <t>어성초 크림마스크 나이트 솔루션옵션=어성초 크림마스크 나이트 솔루션 1장</t>
        </is>
      </c>
      <c r="K14643" s="94" t="n">
        <v>2</v>
      </c>
      <c r="L14643" s="88" t="n">
        <v>201208</v>
      </c>
      <c r="M14643" s="88">
        <f>VLOOKUP($Q14643,매칭테이블!$F:$I,2,0)*K14643</f>
        <v/>
      </c>
      <c r="N14643" s="88">
        <f>M14643-M14643*VLOOKUP($Q14643,매칭테이블!$F:$I,3,0)</f>
        <v/>
      </c>
      <c r="O14643" s="88">
        <f>VLOOKUP($Q14643,매칭테이블!$F:$I,4,0)*K14643</f>
        <v/>
      </c>
      <c r="P14643" s="152">
        <f>M14643/1.1</f>
        <v/>
      </c>
      <c r="Q14643" s="88">
        <f>F14643&amp;E14643&amp;G14643&amp;L14643</f>
        <v/>
      </c>
    </row>
    <row r="14644">
      <c r="B14644" s="128" t="n">
        <v>44228</v>
      </c>
      <c r="C14644" s="88">
        <f>TEXT(B14644,"aaa")</f>
        <v/>
      </c>
      <c r="D14644" s="94" t="n"/>
      <c r="E14644" s="88">
        <f>INDEX(매칭테이블!C:D,MATCH(RD!G14644,매칭테이블!D:D,0),1)</f>
        <v/>
      </c>
      <c r="F14644" s="94" t="inlineStr">
        <is>
          <t>카페24</t>
        </is>
      </c>
      <c r="G14644" s="94" t="inlineStr">
        <is>
          <t>어성초 크림마스크 나이트 솔루션옵션=어성초 크림마스크 나이트 솔루션 10장 (-50%)</t>
        </is>
      </c>
      <c r="K14644" s="94" t="n">
        <v>4</v>
      </c>
      <c r="L14644" s="88" t="n">
        <v>201208</v>
      </c>
      <c r="M14644" s="88">
        <f>VLOOKUP($Q14644,매칭테이블!$F:$I,2,0)*K14644</f>
        <v/>
      </c>
      <c r="N14644" s="88">
        <f>M14644-M14644*VLOOKUP($Q14644,매칭테이블!$F:$I,3,0)</f>
        <v/>
      </c>
      <c r="O14644" s="88">
        <f>VLOOKUP($Q14644,매칭테이블!$F:$I,4,0)*K14644</f>
        <v/>
      </c>
      <c r="P14644" s="152">
        <f>M14644/1.1</f>
        <v/>
      </c>
      <c r="Q14644" s="88">
        <f>F14644&amp;E14644&amp;G14644&amp;L14644</f>
        <v/>
      </c>
    </row>
    <row r="14645">
      <c r="B14645" s="128" t="n">
        <v>44228</v>
      </c>
      <c r="C14645" s="88">
        <f>TEXT(B14645,"aaa")</f>
        <v/>
      </c>
      <c r="D14645" s="94" t="n"/>
      <c r="E14645" s="88">
        <f>INDEX(매칭테이블!C:D,MATCH(RD!G14645,매칭테이블!D:D,0),1)</f>
        <v/>
      </c>
      <c r="F14645" s="94" t="inlineStr">
        <is>
          <t>카페24</t>
        </is>
      </c>
      <c r="G14645" s="94" t="inlineStr">
        <is>
          <t>자작나무 수분 마스크옵션=자작나무 수분 마스크 10장 (50% off)</t>
        </is>
      </c>
      <c r="K14645" s="94" t="n">
        <v>4</v>
      </c>
      <c r="L14645" s="88" t="n">
        <v>201208</v>
      </c>
      <c r="M14645" s="88">
        <f>VLOOKUP($Q14645,매칭테이블!$F:$I,2,0)*K14645</f>
        <v/>
      </c>
      <c r="N14645" s="88">
        <f>M14645-M14645*VLOOKUP($Q14645,매칭테이블!$F:$I,3,0)</f>
        <v/>
      </c>
      <c r="O14645" s="88">
        <f>VLOOKUP($Q14645,매칭테이블!$F:$I,4,0)*K14645</f>
        <v/>
      </c>
      <c r="P14645" s="152">
        <f>M14645/1.1</f>
        <v/>
      </c>
      <c r="Q14645" s="88">
        <f>F14645&amp;E14645&amp;G14645&amp;L14645</f>
        <v/>
      </c>
    </row>
    <row r="14646">
      <c r="B14646" s="128" t="n">
        <v>44228</v>
      </c>
      <c r="C14646" s="88">
        <f>TEXT(B14646,"aaa")</f>
        <v/>
      </c>
      <c r="D14646" s="94" t="n"/>
      <c r="E14646" s="88">
        <f>INDEX(매칭테이블!C:D,MATCH(RD!G14646,매칭테이블!D:D,0),1)</f>
        <v/>
      </c>
      <c r="F14646" s="94" t="inlineStr">
        <is>
          <t>카페24</t>
        </is>
      </c>
      <c r="G14646" s="94" t="inlineStr">
        <is>
          <t>청귤 비타 잡티 마스크옵션=청귤 비타 잡티 마스크 1장</t>
        </is>
      </c>
      <c r="K14646" s="94" t="n">
        <v>1</v>
      </c>
      <c r="L14646" s="88" t="n">
        <v>201208</v>
      </c>
      <c r="M14646" s="88">
        <f>VLOOKUP($Q14646,매칭테이블!$F:$I,2,0)*K14646</f>
        <v/>
      </c>
      <c r="N14646" s="88">
        <f>M14646-M14646*VLOOKUP($Q14646,매칭테이블!$F:$I,3,0)</f>
        <v/>
      </c>
      <c r="O14646" s="88">
        <f>VLOOKUP($Q14646,매칭테이블!$F:$I,4,0)*K14646</f>
        <v/>
      </c>
      <c r="P14646" s="152">
        <f>M14646/1.1</f>
        <v/>
      </c>
      <c r="Q14646" s="88">
        <f>F14646&amp;E14646&amp;G14646&amp;L14646</f>
        <v/>
      </c>
    </row>
    <row r="14647">
      <c r="B14647" s="128" t="n">
        <v>44228</v>
      </c>
      <c r="C14647" s="88">
        <f>TEXT(B14647,"aaa")</f>
        <v/>
      </c>
      <c r="D14647" s="94" t="n"/>
      <c r="E14647" s="88">
        <f>INDEX(매칭테이블!C:D,MATCH(RD!G14647,매칭테이블!D:D,0),1)</f>
        <v/>
      </c>
      <c r="F14647" s="94" t="inlineStr">
        <is>
          <t>카페24</t>
        </is>
      </c>
      <c r="G14647" s="94" t="inlineStr">
        <is>
          <t>청귤 비타 잡티 마스크옵션=청귤 비타 잡티 마스크 10장 (50% off)</t>
        </is>
      </c>
      <c r="K14647" s="94" t="n">
        <v>4</v>
      </c>
      <c r="L14647" s="88" t="n">
        <v>201208</v>
      </c>
      <c r="M14647" s="88">
        <f>VLOOKUP($Q14647,매칭테이블!$F:$I,2,0)*K14647</f>
        <v/>
      </c>
      <c r="N14647" s="88">
        <f>M14647-M14647*VLOOKUP($Q14647,매칭테이블!$F:$I,3,0)</f>
        <v/>
      </c>
      <c r="O14647" s="88">
        <f>VLOOKUP($Q14647,매칭테이블!$F:$I,4,0)*K14647</f>
        <v/>
      </c>
      <c r="P14647" s="152">
        <f>M14647/1.1</f>
        <v/>
      </c>
      <c r="Q14647" s="88">
        <f>F14647&amp;E14647&amp;G14647&amp;L14647</f>
        <v/>
      </c>
    </row>
    <row r="14648">
      <c r="B14648" s="128" t="n">
        <v>44228</v>
      </c>
      <c r="C14648" s="88">
        <f>TEXT(B14648,"aaa")</f>
        <v/>
      </c>
      <c r="D14648" s="94" t="n"/>
      <c r="E14648" s="88">
        <f>INDEX(매칭테이블!C:D,MATCH(RD!G14648,매칭테이블!D:D,0),1)</f>
        <v/>
      </c>
      <c r="F14648" s="94" t="inlineStr">
        <is>
          <t>카페24</t>
        </is>
      </c>
      <c r="G14648" s="94" t="inlineStr">
        <is>
          <t>촉촉 스킨팩 화장솜</t>
        </is>
      </c>
      <c r="K14648" s="94" t="n">
        <v>47</v>
      </c>
      <c r="L14648" s="88" t="n">
        <v>201208</v>
      </c>
      <c r="M14648" s="88">
        <f>VLOOKUP($Q14648,매칭테이블!$F:$I,2,0)*K14648</f>
        <v/>
      </c>
      <c r="N14648" s="88">
        <f>M14648-M14648*VLOOKUP($Q14648,매칭테이블!$F:$I,3,0)</f>
        <v/>
      </c>
      <c r="O14648" s="88">
        <f>VLOOKUP($Q14648,매칭테이블!$F:$I,4,0)*K14648</f>
        <v/>
      </c>
      <c r="P14648" s="152">
        <f>M14648/1.1</f>
        <v/>
      </c>
      <c r="Q14648" s="88">
        <f>F14648&amp;E14648&amp;G14648&amp;L14648</f>
        <v/>
      </c>
    </row>
    <row r="14649">
      <c r="B14649" s="128" t="n">
        <v>44228</v>
      </c>
      <c r="C14649" s="88">
        <f>TEXT(B14649,"aaa")</f>
        <v/>
      </c>
      <c r="D14649" s="94" t="n"/>
      <c r="E14649" s="88">
        <f>INDEX(매칭테이블!C:D,MATCH(RD!G14649,매칭테이블!D:D,0),1)</f>
        <v/>
      </c>
      <c r="F14649" s="94" t="inlineStr">
        <is>
          <t>카페24</t>
        </is>
      </c>
      <c r="G14649" s="94" t="inlineStr">
        <is>
          <t>촉촉 스킨팩 화장솜</t>
        </is>
      </c>
      <c r="K14649" s="94" t="n">
        <v>6</v>
      </c>
      <c r="L14649" s="88" t="n">
        <v>201208</v>
      </c>
      <c r="M14649" s="88">
        <f>VLOOKUP($Q14649,매칭테이블!$F:$I,2,0)*K14649</f>
        <v/>
      </c>
      <c r="N14649" s="88">
        <f>M14649-M14649*VLOOKUP($Q14649,매칭테이블!$F:$I,3,0)</f>
        <v/>
      </c>
      <c r="O14649" s="88">
        <f>VLOOKUP($Q14649,매칭테이블!$F:$I,4,0)*K14649</f>
        <v/>
      </c>
      <c r="P14649" s="152">
        <f>M14649/1.1</f>
        <v/>
      </c>
      <c r="Q14649" s="88">
        <f>F14649&amp;E14649&amp;G14649&amp;L14649</f>
        <v/>
      </c>
    </row>
    <row r="14650">
      <c r="B14650" s="128" t="n">
        <v>44228</v>
      </c>
      <c r="C14650" s="88">
        <f>TEXT(B14650,"aaa")</f>
        <v/>
      </c>
      <c r="D14650" s="94" t="n"/>
      <c r="E14650" s="88">
        <f>INDEX(매칭테이블!C:D,MATCH(RD!G14650,매칭테이블!D:D,0),1)</f>
        <v/>
      </c>
      <c r="F14650" s="94" t="inlineStr">
        <is>
          <t>화해</t>
        </is>
      </c>
      <c r="G14650" s="94" t="inlineStr">
        <is>
          <t>어성초 77 진정 마스크 25ml 1매/10매1매어성초 77 진정 마스크 25ml 1매/10매1매</t>
        </is>
      </c>
      <c r="K14650" s="94" t="n">
        <v>2</v>
      </c>
      <c r="L14650" s="88" t="n">
        <v>201208</v>
      </c>
      <c r="M14650" s="88">
        <f>VLOOKUP($Q14650,매칭테이블!$F:$I,2,0)*K14650</f>
        <v/>
      </c>
      <c r="N14650" s="88">
        <f>M14650-M14650*VLOOKUP($Q14650,매칭테이블!$F:$I,3,0)</f>
        <v/>
      </c>
      <c r="O14650" s="88">
        <f>VLOOKUP($Q14650,매칭테이블!$F:$I,4,0)*K14650</f>
        <v/>
      </c>
      <c r="P14650" s="152">
        <f>M14650/1.1</f>
        <v/>
      </c>
      <c r="Q14650" s="88">
        <f>F14650&amp;E14650&amp;G14650&amp;L14650</f>
        <v/>
      </c>
    </row>
    <row r="14651">
      <c r="B14651" s="128" t="n">
        <v>44228</v>
      </c>
      <c r="C14651" s="88">
        <f>TEXT(B14651,"aaa")</f>
        <v/>
      </c>
      <c r="D14651" s="94" t="n"/>
      <c r="E14651" s="88">
        <f>INDEX(매칭테이블!C:D,MATCH(RD!G14651,매칭테이블!D:D,0),1)</f>
        <v/>
      </c>
      <c r="F14651" s="94" t="inlineStr">
        <is>
          <t>화해</t>
        </is>
      </c>
      <c r="G14651" s="94" t="inlineStr">
        <is>
          <t>어성초 77 클리어 패드 70매어성초 77 클리어 패드 70매</t>
        </is>
      </c>
      <c r="K14651" s="94" t="n">
        <v>1</v>
      </c>
      <c r="L14651" s="88" t="n">
        <v>201208</v>
      </c>
      <c r="M14651" s="88">
        <f>VLOOKUP($Q14651,매칭테이블!$F:$I,2,0)*K14651</f>
        <v/>
      </c>
      <c r="N14651" s="88">
        <f>M14651-M14651*VLOOKUP($Q14651,매칭테이블!$F:$I,3,0)</f>
        <v/>
      </c>
      <c r="O14651" s="88">
        <f>VLOOKUP($Q14651,매칭테이블!$F:$I,4,0)*K14651</f>
        <v/>
      </c>
      <c r="P14651" s="152">
        <f>M14651/1.1</f>
        <v/>
      </c>
      <c r="Q14651" s="88">
        <f>F14651&amp;E14651&amp;G14651&amp;L14651</f>
        <v/>
      </c>
    </row>
    <row r="14652">
      <c r="B14652" s="128" t="n">
        <v>44229</v>
      </c>
      <c r="C14652" s="88">
        <f>TEXT(B14652,"aaa")</f>
        <v/>
      </c>
      <c r="D14652" s="94" t="n"/>
      <c r="E14652" s="88">
        <f>INDEX(매칭테이블!C:D,MATCH(RD!G14652,매칭테이블!D:D,0),1)</f>
        <v/>
      </c>
      <c r="F14652" s="94" t="inlineStr">
        <is>
          <t>W컨셉</t>
        </is>
      </c>
      <c r="G14652" s="94" t="inlineStr">
        <is>
          <t>어성초 77토너 (2 SET) HEARTLEAF 77% SOOTHING TONER 250ml250ml 2set</t>
        </is>
      </c>
      <c r="K14652" s="94" t="n">
        <v>3</v>
      </c>
      <c r="L14652" s="88" t="n">
        <v>201208</v>
      </c>
      <c r="M14652" s="88">
        <f>VLOOKUP($Q14652,매칭테이블!$F:$I,2,0)*K14652</f>
        <v/>
      </c>
      <c r="N14652" s="88">
        <f>M14652-M14652*VLOOKUP($Q14652,매칭테이블!$F:$I,3,0)</f>
        <v/>
      </c>
      <c r="O14652" s="88">
        <f>VLOOKUP($Q14652,매칭테이블!$F:$I,4,0)*K14652</f>
        <v/>
      </c>
      <c r="P14652" s="152">
        <f>M14652/1.1</f>
        <v/>
      </c>
      <c r="Q14652" s="88">
        <f>F14652&amp;E14652&amp;G14652&amp;L14652</f>
        <v/>
      </c>
    </row>
    <row r="14653">
      <c r="B14653" s="128" t="n">
        <v>44229</v>
      </c>
      <c r="C14653" s="88">
        <f>TEXT(B14653,"aaa")</f>
        <v/>
      </c>
      <c r="D14653" s="94" t="n"/>
      <c r="E14653" s="88">
        <f>INDEX(매칭테이블!C:D,MATCH(RD!G14653,매칭테이블!D:D,0),1)</f>
        <v/>
      </c>
      <c r="F14653" s="94" t="inlineStr">
        <is>
          <t>W컨셉</t>
        </is>
      </c>
      <c r="G14653" s="94" t="inlineStr">
        <is>
          <t>어성초 77토너 HEARTLEAF 77% SOOTHING TONER 250ml250ml</t>
        </is>
      </c>
      <c r="K14653" s="94" t="n">
        <v>1</v>
      </c>
      <c r="L14653" s="88" t="n">
        <v>201208</v>
      </c>
      <c r="M14653" s="88">
        <f>VLOOKUP($Q14653,매칭테이블!$F:$I,2,0)*K14653</f>
        <v/>
      </c>
      <c r="N14653" s="88">
        <f>M14653-M14653*VLOOKUP($Q14653,매칭테이블!$F:$I,3,0)</f>
        <v/>
      </c>
      <c r="O14653" s="88">
        <f>VLOOKUP($Q14653,매칭테이블!$F:$I,4,0)*K14653</f>
        <v/>
      </c>
      <c r="P14653" s="152">
        <f>M14653/1.1</f>
        <v/>
      </c>
      <c r="Q14653" s="88">
        <f>F14653&amp;E14653&amp;G14653&amp;L14653</f>
        <v/>
      </c>
    </row>
    <row r="14654">
      <c r="B14654" s="128" t="n">
        <v>44229</v>
      </c>
      <c r="C14654" s="88">
        <f>TEXT(B14654,"aaa")</f>
        <v/>
      </c>
      <c r="D14654" s="94" t="n"/>
      <c r="E14654" s="88">
        <f>INDEX(매칭테이블!C:D,MATCH(RD!G14654,매칭테이블!D:D,0),1)</f>
        <v/>
      </c>
      <c r="F14654" s="94" t="inlineStr">
        <is>
          <t>스타일쉐어</t>
        </is>
      </c>
      <c r="G14654" s="94" t="inlineStr">
        <is>
          <t>아누아 어성초 77 토너 250ml</t>
        </is>
      </c>
      <c r="K14654" s="94" t="n">
        <v>1</v>
      </c>
      <c r="L14654" s="88" t="n">
        <v>201208</v>
      </c>
      <c r="M14654" s="88">
        <f>VLOOKUP($Q14654,매칭테이블!$F:$I,2,0)*K14654</f>
        <v/>
      </c>
      <c r="N14654" s="88">
        <f>M14654-M14654*VLOOKUP($Q14654,매칭테이블!$F:$I,3,0)</f>
        <v/>
      </c>
      <c r="O14654" s="88">
        <f>VLOOKUP($Q14654,매칭테이블!$F:$I,4,0)*K14654</f>
        <v/>
      </c>
      <c r="P14654" s="152">
        <f>M14654/1.1</f>
        <v/>
      </c>
      <c r="Q14654" s="88">
        <f>F14654&amp;E14654&amp;G14654&amp;L14654</f>
        <v/>
      </c>
    </row>
    <row r="14655">
      <c r="B14655" s="128" t="n">
        <v>44229</v>
      </c>
      <c r="C14655" s="88">
        <f>TEXT(B14655,"aaa")</f>
        <v/>
      </c>
      <c r="D14655" s="94" t="n"/>
      <c r="E14655" s="88">
        <f>INDEX(매칭테이블!C:D,MATCH(RD!G14655,매칭테이블!D:D,0),1)</f>
        <v/>
      </c>
      <c r="F14655" s="94" t="inlineStr">
        <is>
          <t>아누아 CS</t>
        </is>
      </c>
      <c r="G14655" s="94" t="inlineStr">
        <is>
          <t>어성초 77 토너 350ml</t>
        </is>
      </c>
      <c r="K14655" s="94" t="n">
        <v>2</v>
      </c>
      <c r="L14655" s="88" t="n">
        <v>201208</v>
      </c>
      <c r="M14655" s="88">
        <f>VLOOKUP($Q14655,매칭테이블!$F:$I,2,0)*K14655</f>
        <v/>
      </c>
      <c r="N14655" s="88">
        <f>M14655-M14655*VLOOKUP($Q14655,매칭테이블!$F:$I,3,0)</f>
        <v/>
      </c>
      <c r="O14655" s="88">
        <f>VLOOKUP($Q14655,매칭테이블!$F:$I,4,0)*K14655</f>
        <v/>
      </c>
      <c r="P14655" s="152">
        <f>M14655/1.1</f>
        <v/>
      </c>
      <c r="Q14655" s="88">
        <f>F14655&amp;E14655&amp;G14655&amp;L14655</f>
        <v/>
      </c>
    </row>
    <row r="14656">
      <c r="B14656" s="128" t="n">
        <v>44229</v>
      </c>
      <c r="C14656" s="88">
        <f>TEXT(B14656,"aaa")</f>
        <v/>
      </c>
      <c r="D14656" s="94" t="n"/>
      <c r="E14656" s="88">
        <f>INDEX(매칭테이블!C:D,MATCH(RD!G14656,매칭테이블!D:D,0),1)</f>
        <v/>
      </c>
      <c r="F14656" s="94" t="inlineStr">
        <is>
          <t>카페24</t>
        </is>
      </c>
      <c r="G14656" s="94" t="inlineStr">
        <is>
          <t>5 제로 무기자차 선크림옵션=5제로 무기자차 선크림 1개-20% off</t>
        </is>
      </c>
      <c r="K14656" s="94" t="n">
        <v>5</v>
      </c>
      <c r="L14656" s="88" t="n">
        <v>201208</v>
      </c>
      <c r="M14656" s="88">
        <f>VLOOKUP($Q14656,매칭테이블!$F:$I,2,0)*K14656</f>
        <v/>
      </c>
      <c r="N14656" s="88">
        <f>M14656-M14656*VLOOKUP($Q14656,매칭테이블!$F:$I,3,0)</f>
        <v/>
      </c>
      <c r="O14656" s="88">
        <f>VLOOKUP($Q14656,매칭테이블!$F:$I,4,0)*K14656</f>
        <v/>
      </c>
      <c r="P14656" s="152">
        <f>M14656/1.1</f>
        <v/>
      </c>
      <c r="Q14656" s="88">
        <f>F14656&amp;E14656&amp;G14656&amp;L14656</f>
        <v/>
      </c>
    </row>
    <row r="14657">
      <c r="B14657" s="128" t="n">
        <v>44229</v>
      </c>
      <c r="C14657" s="88">
        <f>TEXT(B14657,"aaa")</f>
        <v/>
      </c>
      <c r="D14657" s="94" t="n"/>
      <c r="E14657" s="88">
        <f>INDEX(매칭테이블!C:D,MATCH(RD!G14657,매칭테이블!D:D,0),1)</f>
        <v/>
      </c>
      <c r="F14657" s="94" t="inlineStr">
        <is>
          <t>카페24</t>
        </is>
      </c>
      <c r="G14657" s="94" t="inlineStr">
        <is>
          <t>[수분 보충 세트] 어성초 77 토너 + 어성초 70 로션옵션=어성초 77 토너 250ml + 어성초 70 로션 200ml -30%</t>
        </is>
      </c>
      <c r="K14657" s="94" t="n">
        <v>60</v>
      </c>
      <c r="L14657" s="88" t="n">
        <v>201208</v>
      </c>
      <c r="M14657" s="88">
        <f>VLOOKUP($Q14657,매칭테이블!$F:$I,2,0)*K14657</f>
        <v/>
      </c>
      <c r="N14657" s="88">
        <f>M14657-M14657*VLOOKUP($Q14657,매칭테이블!$F:$I,3,0)</f>
        <v/>
      </c>
      <c r="O14657" s="88">
        <f>VLOOKUP($Q14657,매칭테이블!$F:$I,4,0)*K14657</f>
        <v/>
      </c>
      <c r="P14657" s="152">
        <f>M14657/1.1</f>
        <v/>
      </c>
      <c r="Q14657" s="88">
        <f>F14657&amp;E14657&amp;G14657&amp;L14657</f>
        <v/>
      </c>
    </row>
    <row r="14658">
      <c r="B14658" s="128" t="n">
        <v>44229</v>
      </c>
      <c r="C14658" s="88">
        <f>TEXT(B14658,"aaa")</f>
        <v/>
      </c>
      <c r="D14658" s="94" t="n"/>
      <c r="E14658" s="88">
        <f>INDEX(매칭테이블!C:D,MATCH(RD!G14658,매칭테이블!D:D,0),1)</f>
        <v/>
      </c>
      <c r="F14658" s="94" t="inlineStr">
        <is>
          <t>카페24</t>
        </is>
      </c>
      <c r="G14658" s="94" t="inlineStr">
        <is>
          <t>[어성초 진정 패키지 세트] 대용량 토너 + 앰플 + 수딩 크림 + 마스크팩 10장</t>
        </is>
      </c>
      <c r="K14658" s="94" t="n">
        <v>1</v>
      </c>
      <c r="L14658" s="88" t="n">
        <v>201208</v>
      </c>
      <c r="M14658" s="88">
        <f>VLOOKUP($Q14658,매칭테이블!$F:$I,2,0)*K14658</f>
        <v/>
      </c>
      <c r="N14658" s="88">
        <f>M14658-M14658*VLOOKUP($Q14658,매칭테이블!$F:$I,3,0)</f>
        <v/>
      </c>
      <c r="O14658" s="88">
        <f>VLOOKUP($Q14658,매칭테이블!$F:$I,4,0)*K14658</f>
        <v/>
      </c>
      <c r="P14658" s="152">
        <f>M14658/1.1</f>
        <v/>
      </c>
      <c r="Q14658" s="88">
        <f>F14658&amp;E14658&amp;G14658&amp;L14658</f>
        <v/>
      </c>
    </row>
    <row r="14659">
      <c r="B14659" s="128" t="n">
        <v>44229</v>
      </c>
      <c r="C14659" s="88">
        <f>TEXT(B14659,"aaa")</f>
        <v/>
      </c>
      <c r="D14659" s="94" t="n"/>
      <c r="E14659" s="88">
        <f>INDEX(매칭테이블!C:D,MATCH(RD!G14659,매칭테이블!D:D,0),1)</f>
        <v/>
      </c>
      <c r="F14659" s="94" t="inlineStr">
        <is>
          <t>카페24</t>
        </is>
      </c>
      <c r="G14659" s="94" t="inlineStr">
        <is>
          <t>대용량 어성초 77 수딩 토너 500ml옵션=대용량 어성초 77 토너 1개 - 27% OFF</t>
        </is>
      </c>
      <c r="K14659" s="94" t="n">
        <v>36</v>
      </c>
      <c r="L14659" s="88" t="n">
        <v>201208</v>
      </c>
      <c r="M14659" s="88">
        <f>VLOOKUP($Q14659,매칭테이블!$F:$I,2,0)*K14659</f>
        <v/>
      </c>
      <c r="N14659" s="88">
        <f>M14659-M14659*VLOOKUP($Q14659,매칭테이블!$F:$I,3,0)</f>
        <v/>
      </c>
      <c r="O14659" s="88">
        <f>VLOOKUP($Q14659,매칭테이블!$F:$I,4,0)*K14659</f>
        <v/>
      </c>
      <c r="P14659" s="152">
        <f>M14659/1.1</f>
        <v/>
      </c>
      <c r="Q14659" s="88">
        <f>F14659&amp;E14659&amp;G14659&amp;L14659</f>
        <v/>
      </c>
    </row>
    <row r="14660">
      <c r="B14660" s="128" t="n">
        <v>44229</v>
      </c>
      <c r="C14660" s="88">
        <f>TEXT(B14660,"aaa")</f>
        <v/>
      </c>
      <c r="D14660" s="94" t="n"/>
      <c r="E14660" s="88">
        <f>INDEX(매칭테이블!C:D,MATCH(RD!G14660,매칭테이블!D:D,0),1)</f>
        <v/>
      </c>
      <c r="F14660" s="94" t="inlineStr">
        <is>
          <t>카페24</t>
        </is>
      </c>
      <c r="G14660" s="94" t="inlineStr">
        <is>
          <t>대용량 어성초 77 수딩 토너 500ml화장솜(선택)=촉촉 스킨팩 화장솜</t>
        </is>
      </c>
      <c r="K14660" s="94" t="n">
        <v>10</v>
      </c>
      <c r="L14660" s="88" t="n">
        <v>201208</v>
      </c>
      <c r="M14660" s="88">
        <f>VLOOKUP($Q14660,매칭테이블!$F:$I,2,0)*K14660</f>
        <v/>
      </c>
      <c r="N14660" s="88">
        <f>M14660-M14660*VLOOKUP($Q14660,매칭테이블!$F:$I,3,0)</f>
        <v/>
      </c>
      <c r="O14660" s="88">
        <f>VLOOKUP($Q14660,매칭테이블!$F:$I,4,0)*K14660</f>
        <v/>
      </c>
      <c r="P14660" s="152">
        <f>M14660/1.1</f>
        <v/>
      </c>
      <c r="Q14660" s="88">
        <f>F14660&amp;E14660&amp;G14660&amp;L14660</f>
        <v/>
      </c>
    </row>
    <row r="14661">
      <c r="B14661" s="128" t="n">
        <v>44229</v>
      </c>
      <c r="C14661" s="88">
        <f>TEXT(B14661,"aaa")</f>
        <v/>
      </c>
      <c r="D14661" s="94" t="n"/>
      <c r="E14661" s="88">
        <f>INDEX(매칭테이블!C:D,MATCH(RD!G14661,매칭테이블!D:D,0),1)</f>
        <v/>
      </c>
      <c r="F14661" s="94" t="inlineStr">
        <is>
          <t>카페24</t>
        </is>
      </c>
      <c r="G14661" s="94" t="inlineStr">
        <is>
          <t>어성초 70 데일리 릴리프 로션로션=어성초 70 데일리 릴리프 로션 1개 -20% off</t>
        </is>
      </c>
      <c r="K14661" s="94" t="n">
        <v>11</v>
      </c>
      <c r="L14661" s="88" t="n">
        <v>201208</v>
      </c>
      <c r="M14661" s="88">
        <f>VLOOKUP($Q14661,매칭테이블!$F:$I,2,0)*K14661</f>
        <v/>
      </c>
      <c r="N14661" s="88">
        <f>M14661-M14661*VLOOKUP($Q14661,매칭테이블!$F:$I,3,0)</f>
        <v/>
      </c>
      <c r="O14661" s="88">
        <f>VLOOKUP($Q14661,매칭테이블!$F:$I,4,0)*K14661</f>
        <v/>
      </c>
      <c r="P14661" s="152">
        <f>M14661/1.1</f>
        <v/>
      </c>
      <c r="Q14661" s="88">
        <f>F14661&amp;E14661&amp;G14661&amp;L14661</f>
        <v/>
      </c>
    </row>
    <row r="14662">
      <c r="B14662" s="128" t="n">
        <v>44229</v>
      </c>
      <c r="C14662" s="88">
        <f>TEXT(B14662,"aaa")</f>
        <v/>
      </c>
      <c r="D14662" s="94" t="n"/>
      <c r="E14662" s="88">
        <f>INDEX(매칭테이블!C:D,MATCH(RD!G14662,매칭테이블!D:D,0),1)</f>
        <v/>
      </c>
      <c r="F14662" s="94" t="inlineStr">
        <is>
          <t>카페24</t>
        </is>
      </c>
      <c r="G14662" s="94" t="inlineStr">
        <is>
          <t>어성초 70 데일리 릴리프 로션로션=어성초 70 데일리 릴리프 로션 2개 -30% off</t>
        </is>
      </c>
      <c r="K14662" s="94" t="n">
        <v>2</v>
      </c>
      <c r="L14662" s="88" t="n">
        <v>201208</v>
      </c>
      <c r="M14662" s="88">
        <f>VLOOKUP($Q14662,매칭테이블!$F:$I,2,0)*K14662</f>
        <v/>
      </c>
      <c r="N14662" s="88">
        <f>M14662-M14662*VLOOKUP($Q14662,매칭테이블!$F:$I,3,0)</f>
        <v/>
      </c>
      <c r="O14662" s="88">
        <f>VLOOKUP($Q14662,매칭테이블!$F:$I,4,0)*K14662</f>
        <v/>
      </c>
      <c r="P14662" s="152">
        <f>M14662/1.1</f>
        <v/>
      </c>
      <c r="Q14662" s="88">
        <f>F14662&amp;E14662&amp;G14662&amp;L14662</f>
        <v/>
      </c>
    </row>
    <row r="14663">
      <c r="B14663" s="128" t="n">
        <v>44229</v>
      </c>
      <c r="C14663" s="88">
        <f>TEXT(B14663,"aaa")</f>
        <v/>
      </c>
      <c r="D14663" s="94" t="n"/>
      <c r="E14663" s="88">
        <f>INDEX(매칭테이블!C:D,MATCH(RD!G14663,매칭테이블!D:D,0),1)</f>
        <v/>
      </c>
      <c r="F14663" s="94" t="inlineStr">
        <is>
          <t>카페24</t>
        </is>
      </c>
      <c r="G14663" s="94" t="inlineStr">
        <is>
          <t>어성초 70 데일리 릴리프 로션로션=어성초 77토너 + 어성초 70 로션 수분 보충 세트 -30% off</t>
        </is>
      </c>
      <c r="K14663" s="94" t="n">
        <v>3</v>
      </c>
      <c r="L14663" s="88" t="n">
        <v>201208</v>
      </c>
      <c r="M14663" s="88">
        <f>VLOOKUP($Q14663,매칭테이블!$F:$I,2,0)*K14663</f>
        <v/>
      </c>
      <c r="N14663" s="88">
        <f>M14663-M14663*VLOOKUP($Q14663,매칭테이블!$F:$I,3,0)</f>
        <v/>
      </c>
      <c r="O14663" s="88">
        <f>VLOOKUP($Q14663,매칭테이블!$F:$I,4,0)*K14663</f>
        <v/>
      </c>
      <c r="P14663" s="152">
        <f>M14663/1.1</f>
        <v/>
      </c>
      <c r="Q14663" s="88">
        <f>F14663&amp;E14663&amp;G14663&amp;L14663</f>
        <v/>
      </c>
    </row>
    <row r="14664">
      <c r="B14664" s="128" t="n">
        <v>44229</v>
      </c>
      <c r="C14664" s="88">
        <f>TEXT(B14664,"aaa")</f>
        <v/>
      </c>
      <c r="D14664" s="94" t="n"/>
      <c r="E14664" s="88">
        <f>INDEX(매칭테이블!C:D,MATCH(RD!G14664,매칭테이블!D:D,0),1)</f>
        <v/>
      </c>
      <c r="F14664" s="94" t="inlineStr">
        <is>
          <t>카페24</t>
        </is>
      </c>
      <c r="G14664" s="94" t="inlineStr">
        <is>
          <t>어성초 70 머드 크림 마스크옵션=어성초 70 머드 크림 마스크-20% off</t>
        </is>
      </c>
      <c r="K14664" s="94" t="n">
        <v>25</v>
      </c>
      <c r="L14664" s="88" t="n">
        <v>201208</v>
      </c>
      <c r="M14664" s="88">
        <f>VLOOKUP($Q14664,매칭테이블!$F:$I,2,0)*K14664</f>
        <v/>
      </c>
      <c r="N14664" s="88">
        <f>M14664-M14664*VLOOKUP($Q14664,매칭테이블!$F:$I,3,0)</f>
        <v/>
      </c>
      <c r="O14664" s="88">
        <f>VLOOKUP($Q14664,매칭테이블!$F:$I,4,0)*K14664</f>
        <v/>
      </c>
      <c r="P14664" s="152">
        <f>M14664/1.1</f>
        <v/>
      </c>
      <c r="Q14664" s="88">
        <f>F14664&amp;E14664&amp;G14664&amp;L14664</f>
        <v/>
      </c>
    </row>
    <row r="14665">
      <c r="B14665" s="128" t="n">
        <v>44229</v>
      </c>
      <c r="C14665" s="88">
        <f>TEXT(B14665,"aaa")</f>
        <v/>
      </c>
      <c r="D14665" s="94" t="n"/>
      <c r="E14665" s="88">
        <f>INDEX(매칭테이블!C:D,MATCH(RD!G14665,매칭테이블!D:D,0),1)</f>
        <v/>
      </c>
      <c r="F14665" s="94" t="inlineStr">
        <is>
          <t>카페24</t>
        </is>
      </c>
      <c r="G14665" s="94" t="inlineStr">
        <is>
          <t>어성초 70 머드 크림 마스크옵션=어성초 70 머드 크림 마스크 2개-30% off (무료배송)</t>
        </is>
      </c>
      <c r="K14665" s="94" t="n">
        <v>17</v>
      </c>
      <c r="L14665" s="88" t="n">
        <v>201208</v>
      </c>
      <c r="M14665" s="88">
        <f>VLOOKUP($Q14665,매칭테이블!$F:$I,2,0)*K14665</f>
        <v/>
      </c>
      <c r="N14665" s="88">
        <f>M14665-M14665*VLOOKUP($Q14665,매칭테이블!$F:$I,3,0)</f>
        <v/>
      </c>
      <c r="O14665" s="88">
        <f>VLOOKUP($Q14665,매칭테이블!$F:$I,4,0)*K14665</f>
        <v/>
      </c>
      <c r="P14665" s="152">
        <f>M14665/1.1</f>
        <v/>
      </c>
      <c r="Q14665" s="88">
        <f>F14665&amp;E14665&amp;G14665&amp;L14665</f>
        <v/>
      </c>
    </row>
    <row r="14666">
      <c r="B14666" s="128" t="n">
        <v>44229</v>
      </c>
      <c r="C14666" s="88">
        <f>TEXT(B14666,"aaa")</f>
        <v/>
      </c>
      <c r="D14666" s="94" t="n"/>
      <c r="E14666" s="88">
        <f>INDEX(매칭테이블!C:D,MATCH(RD!G14666,매칭테이블!D:D,0),1)</f>
        <v/>
      </c>
      <c r="F14666" s="94" t="inlineStr">
        <is>
          <t>카페24</t>
        </is>
      </c>
      <c r="G14666" s="94" t="inlineStr">
        <is>
          <t>어성초 70 인텐스 카밍 크림크림=어성초 70 인텐스 카밍 크림 1개 (-20%)</t>
        </is>
      </c>
      <c r="K14666" s="94" t="n">
        <v>8</v>
      </c>
      <c r="L14666" s="88" t="n">
        <v>201208</v>
      </c>
      <c r="M14666" s="88">
        <f>VLOOKUP($Q14666,매칭테이블!$F:$I,2,0)*K14666</f>
        <v/>
      </c>
      <c r="N14666" s="88">
        <f>M14666-M14666*VLOOKUP($Q14666,매칭테이블!$F:$I,3,0)</f>
        <v/>
      </c>
      <c r="O14666" s="88">
        <f>VLOOKUP($Q14666,매칭테이블!$F:$I,4,0)*K14666</f>
        <v/>
      </c>
      <c r="P14666" s="152">
        <f>M14666/1.1</f>
        <v/>
      </c>
      <c r="Q14666" s="88">
        <f>F14666&amp;E14666&amp;G14666&amp;L14666</f>
        <v/>
      </c>
    </row>
    <row r="14667">
      <c r="B14667" s="128" t="n">
        <v>44229</v>
      </c>
      <c r="C14667" s="88">
        <f>TEXT(B14667,"aaa")</f>
        <v/>
      </c>
      <c r="D14667" s="94" t="n"/>
      <c r="E14667" s="88">
        <f>INDEX(매칭테이블!C:D,MATCH(RD!G14667,매칭테이블!D:D,0),1)</f>
        <v/>
      </c>
      <c r="F14667" s="94" t="inlineStr">
        <is>
          <t>카페24</t>
        </is>
      </c>
      <c r="G14667" s="94" t="inlineStr">
        <is>
          <t>어성초 70 인텐스 카밍 크림크림=어성초 70 인텐스 카밍 크림 2개 (-30%)</t>
        </is>
      </c>
      <c r="K14667" s="94" t="n">
        <v>2</v>
      </c>
      <c r="L14667" s="88" t="n">
        <v>201208</v>
      </c>
      <c r="M14667" s="88">
        <f>VLOOKUP($Q14667,매칭테이블!$F:$I,2,0)*K14667</f>
        <v/>
      </c>
      <c r="N14667" s="88">
        <f>M14667-M14667*VLOOKUP($Q14667,매칭테이블!$F:$I,3,0)</f>
        <v/>
      </c>
      <c r="O14667" s="88">
        <f>VLOOKUP($Q14667,매칭테이블!$F:$I,4,0)*K14667</f>
        <v/>
      </c>
      <c r="P14667" s="152">
        <f>M14667/1.1</f>
        <v/>
      </c>
      <c r="Q14667" s="88">
        <f>F14667&amp;E14667&amp;G14667&amp;L14667</f>
        <v/>
      </c>
    </row>
    <row r="14668">
      <c r="B14668" s="128" t="n">
        <v>44229</v>
      </c>
      <c r="C14668" s="88">
        <f>TEXT(B14668,"aaa")</f>
        <v/>
      </c>
      <c r="D14668" s="94" t="n"/>
      <c r="E14668" s="88">
        <f>INDEX(매칭테이블!C:D,MATCH(RD!G14668,매칭테이블!D:D,0),1)</f>
        <v/>
      </c>
      <c r="F14668" s="94" t="inlineStr">
        <is>
          <t>카페24</t>
        </is>
      </c>
      <c r="G14668" s="94" t="inlineStr">
        <is>
          <t>어성초 77 수딩 토너옵션=어성초 77 토너 1개-20% off</t>
        </is>
      </c>
      <c r="K14668" s="94" t="n">
        <v>50</v>
      </c>
      <c r="L14668" s="88" t="n">
        <v>201208</v>
      </c>
      <c r="M14668" s="88">
        <f>VLOOKUP($Q14668,매칭테이블!$F:$I,2,0)*K14668</f>
        <v/>
      </c>
      <c r="N14668" s="88">
        <f>M14668-M14668*VLOOKUP($Q14668,매칭테이블!$F:$I,3,0)</f>
        <v/>
      </c>
      <c r="O14668" s="88">
        <f>VLOOKUP($Q14668,매칭테이블!$F:$I,4,0)*K14668</f>
        <v/>
      </c>
      <c r="P14668" s="152">
        <f>M14668/1.1</f>
        <v/>
      </c>
      <c r="Q14668" s="88">
        <f>F14668&amp;E14668&amp;G14668&amp;L14668</f>
        <v/>
      </c>
    </row>
    <row r="14669">
      <c r="B14669" s="128" t="n">
        <v>44229</v>
      </c>
      <c r="C14669" s="88">
        <f>TEXT(B14669,"aaa")</f>
        <v/>
      </c>
      <c r="D14669" s="94" t="n"/>
      <c r="E14669" s="88">
        <f>INDEX(매칭테이블!C:D,MATCH(RD!G14669,매칭테이블!D:D,0),1)</f>
        <v/>
      </c>
      <c r="F14669" s="94" t="inlineStr">
        <is>
          <t>카페24</t>
        </is>
      </c>
      <c r="G14669" s="94" t="inlineStr">
        <is>
          <t>어성초 77 수딩 토너옵션=BEST어성초 77 토너 2개-30% off (무료배송)</t>
        </is>
      </c>
      <c r="K14669" s="94" t="n">
        <v>46</v>
      </c>
      <c r="L14669" s="88" t="n">
        <v>201208</v>
      </c>
      <c r="M14669" s="88">
        <f>VLOOKUP($Q14669,매칭테이블!$F:$I,2,0)*K14669</f>
        <v/>
      </c>
      <c r="N14669" s="88">
        <f>M14669-M14669*VLOOKUP($Q14669,매칭테이블!$F:$I,3,0)</f>
        <v/>
      </c>
      <c r="O14669" s="88">
        <f>VLOOKUP($Q14669,매칭테이블!$F:$I,4,0)*K14669</f>
        <v/>
      </c>
      <c r="P14669" s="152">
        <f>M14669/1.1</f>
        <v/>
      </c>
      <c r="Q14669" s="88">
        <f>F14669&amp;E14669&amp;G14669&amp;L14669</f>
        <v/>
      </c>
    </row>
    <row r="14670">
      <c r="B14670" s="128" t="n">
        <v>44229</v>
      </c>
      <c r="C14670" s="88">
        <f>TEXT(B14670,"aaa")</f>
        <v/>
      </c>
      <c r="D14670" s="94" t="n"/>
      <c r="E14670" s="88">
        <f>INDEX(매칭테이블!C:D,MATCH(RD!G14670,매칭테이블!D:D,0),1)</f>
        <v/>
      </c>
      <c r="F14670" s="94" t="inlineStr">
        <is>
          <t>카페24</t>
        </is>
      </c>
      <c r="G14670" s="94" t="inlineStr">
        <is>
          <t>어성초 77 수딩 토너옵션=어성초 77토너1개 + 어성초77패드1개 -30% off (무료배송)</t>
        </is>
      </c>
      <c r="K14670" s="94" t="n">
        <v>16</v>
      </c>
      <c r="L14670" s="88" t="n">
        <v>201208</v>
      </c>
      <c r="M14670" s="88">
        <f>VLOOKUP($Q14670,매칭테이블!$F:$I,2,0)*K14670</f>
        <v/>
      </c>
      <c r="N14670" s="88">
        <f>M14670-M14670*VLOOKUP($Q14670,매칭테이블!$F:$I,3,0)</f>
        <v/>
      </c>
      <c r="O14670" s="88">
        <f>VLOOKUP($Q14670,매칭테이블!$F:$I,4,0)*K14670</f>
        <v/>
      </c>
      <c r="P14670" s="152">
        <f>M14670/1.1</f>
        <v/>
      </c>
      <c r="Q14670" s="88">
        <f>F14670&amp;E14670&amp;G14670&amp;L14670</f>
        <v/>
      </c>
    </row>
    <row r="14671">
      <c r="B14671" s="128" t="n">
        <v>44229</v>
      </c>
      <c r="C14671" s="88">
        <f>TEXT(B14671,"aaa")</f>
        <v/>
      </c>
      <c r="D14671" s="94" t="n"/>
      <c r="E14671" s="88">
        <f>INDEX(매칭테이블!C:D,MATCH(RD!G14671,매칭테이블!D:D,0),1)</f>
        <v/>
      </c>
      <c r="F14671" s="94" t="inlineStr">
        <is>
          <t>카페24</t>
        </is>
      </c>
      <c r="G14671" s="94" t="inlineStr">
        <is>
          <t>어성초 77 수딩 토너화장솜(선택)=촉촉 스킨팩 화장솜</t>
        </is>
      </c>
      <c r="K14671" s="94" t="n">
        <v>45</v>
      </c>
      <c r="L14671" s="88" t="n">
        <v>201208</v>
      </c>
      <c r="M14671" s="88">
        <f>VLOOKUP($Q14671,매칭테이블!$F:$I,2,0)*K14671</f>
        <v/>
      </c>
      <c r="N14671" s="88">
        <f>M14671-M14671*VLOOKUP($Q14671,매칭테이블!$F:$I,3,0)</f>
        <v/>
      </c>
      <c r="O14671" s="88">
        <f>VLOOKUP($Q14671,매칭테이블!$F:$I,4,0)*K14671</f>
        <v/>
      </c>
      <c r="P14671" s="152">
        <f>M14671/1.1</f>
        <v/>
      </c>
      <c r="Q14671" s="88">
        <f>F14671&amp;E14671&amp;G14671&amp;L14671</f>
        <v/>
      </c>
    </row>
    <row r="14672">
      <c r="B14672" s="128" t="n">
        <v>44229</v>
      </c>
      <c r="C14672" s="88">
        <f>TEXT(B14672,"aaa")</f>
        <v/>
      </c>
      <c r="D14672" s="94" t="n"/>
      <c r="E14672" s="88">
        <f>INDEX(매칭테이블!C:D,MATCH(RD!G14672,매칭테이블!D:D,0),1)</f>
        <v/>
      </c>
      <c r="F14672" s="94" t="inlineStr">
        <is>
          <t>카페24</t>
        </is>
      </c>
      <c r="G14672" s="94" t="inlineStr">
        <is>
          <t>어성초 77 수딩 토너토너(필수)=어성초 77 토너 1개-20% off</t>
        </is>
      </c>
      <c r="K14672" s="94" t="n">
        <v>1</v>
      </c>
      <c r="L14672" s="88" t="n">
        <v>201208</v>
      </c>
      <c r="M14672" s="88">
        <f>VLOOKUP($Q14672,매칭테이블!$F:$I,2,0)*K14672</f>
        <v/>
      </c>
      <c r="N14672" s="88">
        <f>M14672-M14672*VLOOKUP($Q14672,매칭테이블!$F:$I,3,0)</f>
        <v/>
      </c>
      <c r="O14672" s="88">
        <f>VLOOKUP($Q14672,매칭테이블!$F:$I,4,0)*K14672</f>
        <v/>
      </c>
      <c r="P14672" s="152">
        <f>M14672/1.1</f>
        <v/>
      </c>
      <c r="Q14672" s="88">
        <f>F14672&amp;E14672&amp;G14672&amp;L14672</f>
        <v/>
      </c>
    </row>
    <row r="14673">
      <c r="B14673" s="128" t="n">
        <v>44229</v>
      </c>
      <c r="C14673" s="88">
        <f>TEXT(B14673,"aaa")</f>
        <v/>
      </c>
      <c r="D14673" s="94" t="n"/>
      <c r="E14673" s="88">
        <f>INDEX(매칭테이블!C:D,MATCH(RD!G14673,매칭테이블!D:D,0),1)</f>
        <v/>
      </c>
      <c r="F14673" s="94" t="inlineStr">
        <is>
          <t>카페24</t>
        </is>
      </c>
      <c r="G14673" s="94" t="inlineStr">
        <is>
          <t>어성초 77 수딩 토너토너(필수)=어성초 77 토너 2개-30% off (무료배송)</t>
        </is>
      </c>
      <c r="K14673" s="94" t="n">
        <v>1</v>
      </c>
      <c r="L14673" s="88" t="n">
        <v>201208</v>
      </c>
      <c r="M14673" s="88">
        <f>VLOOKUP($Q14673,매칭테이블!$F:$I,2,0)*K14673</f>
        <v/>
      </c>
      <c r="N14673" s="88">
        <f>M14673-M14673*VLOOKUP($Q14673,매칭테이블!$F:$I,3,0)</f>
        <v/>
      </c>
      <c r="O14673" s="88">
        <f>VLOOKUP($Q14673,매칭테이블!$F:$I,4,0)*K14673</f>
        <v/>
      </c>
      <c r="P14673" s="152">
        <f>M14673/1.1</f>
        <v/>
      </c>
      <c r="Q14673" s="88">
        <f>F14673&amp;E14673&amp;G14673&amp;L14673</f>
        <v/>
      </c>
    </row>
    <row r="14674">
      <c r="B14674" s="128" t="n">
        <v>44229</v>
      </c>
      <c r="C14674" s="88">
        <f>TEXT(B14674,"aaa")</f>
        <v/>
      </c>
      <c r="D14674" s="94" t="n"/>
      <c r="E14674" s="88">
        <f>INDEX(매칭테이블!C:D,MATCH(RD!G14674,매칭테이블!D:D,0),1)</f>
        <v/>
      </c>
      <c r="F14674" s="94" t="inlineStr">
        <is>
          <t>카페24</t>
        </is>
      </c>
      <c r="G14674" s="94" t="inlineStr">
        <is>
          <t>어성초 77 수딩 토너토너(필수)=(대용량) 어성초 77 토너 500ml (무료배송)</t>
        </is>
      </c>
      <c r="K14674" s="94" t="n">
        <v>1</v>
      </c>
      <c r="L14674" s="88" t="n">
        <v>201208</v>
      </c>
      <c r="M14674" s="88">
        <f>VLOOKUP($Q14674,매칭테이블!$F:$I,2,0)*K14674</f>
        <v/>
      </c>
      <c r="N14674" s="88">
        <f>M14674-M14674*VLOOKUP($Q14674,매칭테이블!$F:$I,3,0)</f>
        <v/>
      </c>
      <c r="O14674" s="88">
        <f>VLOOKUP($Q14674,매칭테이블!$F:$I,4,0)*K14674</f>
        <v/>
      </c>
      <c r="P14674" s="152">
        <f>M14674/1.1</f>
        <v/>
      </c>
      <c r="Q14674" s="88">
        <f>F14674&amp;E14674&amp;G14674&amp;L14674</f>
        <v/>
      </c>
    </row>
    <row r="14675">
      <c r="B14675" s="128" t="n">
        <v>44229</v>
      </c>
      <c r="C14675" s="88">
        <f>TEXT(B14675,"aaa")</f>
        <v/>
      </c>
      <c r="D14675" s="94" t="n"/>
      <c r="E14675" s="88">
        <f>INDEX(매칭테이블!C:D,MATCH(RD!G14675,매칭테이블!D:D,0),1)</f>
        <v/>
      </c>
      <c r="F14675" s="94" t="inlineStr">
        <is>
          <t>카페24</t>
        </is>
      </c>
      <c r="G14675" s="94" t="inlineStr">
        <is>
          <t>어성초 77 진정 마스크옵션=어성초 77 진정 마스크팩 10장-50% off</t>
        </is>
      </c>
      <c r="K14675" s="94" t="n">
        <v>9</v>
      </c>
      <c r="L14675" s="88" t="n">
        <v>201208</v>
      </c>
      <c r="M14675" s="88">
        <f>VLOOKUP($Q14675,매칭테이블!$F:$I,2,0)*K14675</f>
        <v/>
      </c>
      <c r="N14675" s="88">
        <f>M14675-M14675*VLOOKUP($Q14675,매칭테이블!$F:$I,3,0)</f>
        <v/>
      </c>
      <c r="O14675" s="88">
        <f>VLOOKUP($Q14675,매칭테이블!$F:$I,4,0)*K14675</f>
        <v/>
      </c>
      <c r="P14675" s="152">
        <f>M14675/1.1</f>
        <v/>
      </c>
      <c r="Q14675" s="88">
        <f>F14675&amp;E14675&amp;G14675&amp;L14675</f>
        <v/>
      </c>
    </row>
    <row r="14676">
      <c r="B14676" s="128" t="n">
        <v>44229</v>
      </c>
      <c r="C14676" s="88">
        <f>TEXT(B14676,"aaa")</f>
        <v/>
      </c>
      <c r="D14676" s="94" t="n"/>
      <c r="E14676" s="88">
        <f>INDEX(매칭테이블!C:D,MATCH(RD!G14676,매칭테이블!D:D,0),1)</f>
        <v/>
      </c>
      <c r="F14676" s="94" t="inlineStr">
        <is>
          <t>카페24</t>
        </is>
      </c>
      <c r="G14676" s="94" t="inlineStr">
        <is>
          <t>어성초 77 진정 마스크</t>
        </is>
      </c>
      <c r="K14676" s="94" t="n">
        <v>3</v>
      </c>
      <c r="L14676" s="88" t="n">
        <v>201208</v>
      </c>
      <c r="M14676" s="88">
        <f>VLOOKUP($Q14676,매칭테이블!$F:$I,2,0)*K14676</f>
        <v/>
      </c>
      <c r="N14676" s="88">
        <f>M14676-M14676*VLOOKUP($Q14676,매칭테이블!$F:$I,3,0)</f>
        <v/>
      </c>
      <c r="O14676" s="88">
        <f>VLOOKUP($Q14676,매칭테이블!$F:$I,4,0)*K14676</f>
        <v/>
      </c>
      <c r="P14676" s="152">
        <f>M14676/1.1</f>
        <v/>
      </c>
      <c r="Q14676" s="88">
        <f>F14676&amp;E14676&amp;G14676&amp;L14676</f>
        <v/>
      </c>
    </row>
    <row r="14677">
      <c r="B14677" s="128" t="n">
        <v>44229</v>
      </c>
      <c r="C14677" s="88">
        <f>TEXT(B14677,"aaa")</f>
        <v/>
      </c>
      <c r="D14677" s="94" t="n"/>
      <c r="E14677" s="88">
        <f>INDEX(매칭테이블!C:D,MATCH(RD!G14677,매칭테이블!D:D,0),1)</f>
        <v/>
      </c>
      <c r="F14677" s="94" t="inlineStr">
        <is>
          <t>카페24</t>
        </is>
      </c>
      <c r="G14677" s="94" t="inlineStr">
        <is>
          <t>어성초 77 진정 토너옵션=어성초 77 토너 1개-20% off</t>
        </is>
      </c>
      <c r="K14677" s="94" t="n">
        <v>31</v>
      </c>
      <c r="L14677" s="88" t="n">
        <v>201208</v>
      </c>
      <c r="M14677" s="88">
        <f>VLOOKUP($Q14677,매칭테이블!$F:$I,2,0)*K14677</f>
        <v/>
      </c>
      <c r="N14677" s="88">
        <f>M14677-M14677*VLOOKUP($Q14677,매칭테이블!$F:$I,3,0)</f>
        <v/>
      </c>
      <c r="O14677" s="88">
        <f>VLOOKUP($Q14677,매칭테이블!$F:$I,4,0)*K14677</f>
        <v/>
      </c>
      <c r="P14677" s="152">
        <f>M14677/1.1</f>
        <v/>
      </c>
      <c r="Q14677" s="88">
        <f>F14677&amp;E14677&amp;G14677&amp;L14677</f>
        <v/>
      </c>
    </row>
    <row r="14678">
      <c r="B14678" s="128" t="n">
        <v>44229</v>
      </c>
      <c r="C14678" s="88">
        <f>TEXT(B14678,"aaa")</f>
        <v/>
      </c>
      <c r="D14678" s="94" t="n"/>
      <c r="E14678" s="88">
        <f>INDEX(매칭테이블!C:D,MATCH(RD!G14678,매칭테이블!D:D,0),1)</f>
        <v/>
      </c>
      <c r="F14678" s="94" t="inlineStr">
        <is>
          <t>카페24</t>
        </is>
      </c>
      <c r="G14678" s="94" t="inlineStr">
        <is>
          <t>어성초 77 진정 토너옵션=BEST어성초 77 토너 2개-30% off (무료배송)</t>
        </is>
      </c>
      <c r="K14678" s="94" t="n">
        <v>40</v>
      </c>
      <c r="L14678" s="88" t="n">
        <v>201208</v>
      </c>
      <c r="M14678" s="88">
        <f>VLOOKUP($Q14678,매칭테이블!$F:$I,2,0)*K14678</f>
        <v/>
      </c>
      <c r="N14678" s="88">
        <f>M14678-M14678*VLOOKUP($Q14678,매칭테이블!$F:$I,3,0)</f>
        <v/>
      </c>
      <c r="O14678" s="88">
        <f>VLOOKUP($Q14678,매칭테이블!$F:$I,4,0)*K14678</f>
        <v/>
      </c>
      <c r="P14678" s="152">
        <f>M14678/1.1</f>
        <v/>
      </c>
      <c r="Q14678" s="88">
        <f>F14678&amp;E14678&amp;G14678&amp;L14678</f>
        <v/>
      </c>
    </row>
    <row r="14679">
      <c r="B14679" s="128" t="n">
        <v>44229</v>
      </c>
      <c r="C14679" s="88">
        <f>TEXT(B14679,"aaa")</f>
        <v/>
      </c>
      <c r="D14679" s="94" t="n"/>
      <c r="E14679" s="88">
        <f>INDEX(매칭테이블!C:D,MATCH(RD!G14679,매칭테이블!D:D,0),1)</f>
        <v/>
      </c>
      <c r="F14679" s="94" t="inlineStr">
        <is>
          <t>카페24</t>
        </is>
      </c>
      <c r="G14679" s="94" t="inlineStr">
        <is>
          <t>어성초 77 진정 토너옵션=어성초 77토너1개 + 어성초77패드1개 -30% off (무료배송)</t>
        </is>
      </c>
      <c r="K14679" s="94" t="n">
        <v>17</v>
      </c>
      <c r="L14679" s="88" t="n">
        <v>201208</v>
      </c>
      <c r="M14679" s="88">
        <f>VLOOKUP($Q14679,매칭테이블!$F:$I,2,0)*K14679</f>
        <v/>
      </c>
      <c r="N14679" s="88">
        <f>M14679-M14679*VLOOKUP($Q14679,매칭테이블!$F:$I,3,0)</f>
        <v/>
      </c>
      <c r="O14679" s="88">
        <f>VLOOKUP($Q14679,매칭테이블!$F:$I,4,0)*K14679</f>
        <v/>
      </c>
      <c r="P14679" s="152">
        <f>M14679/1.1</f>
        <v/>
      </c>
      <c r="Q14679" s="88">
        <f>F14679&amp;E14679&amp;G14679&amp;L14679</f>
        <v/>
      </c>
    </row>
    <row r="14680">
      <c r="B14680" s="128" t="n">
        <v>44229</v>
      </c>
      <c r="C14680" s="88">
        <f>TEXT(B14680,"aaa")</f>
        <v/>
      </c>
      <c r="D14680" s="94" t="n"/>
      <c r="E14680" s="88">
        <f>INDEX(매칭테이블!C:D,MATCH(RD!G14680,매칭테이블!D:D,0),1)</f>
        <v/>
      </c>
      <c r="F14680" s="94" t="inlineStr">
        <is>
          <t>카페24</t>
        </is>
      </c>
      <c r="G14680" s="94" t="inlineStr">
        <is>
          <t>어성초 77 진정 토너화장솜(선택)=촉촉 스킨팩 화장솜</t>
        </is>
      </c>
      <c r="K14680" s="94" t="n">
        <v>22</v>
      </c>
      <c r="L14680" s="88" t="n">
        <v>201208</v>
      </c>
      <c r="M14680" s="88">
        <f>VLOOKUP($Q14680,매칭테이블!$F:$I,2,0)*K14680</f>
        <v/>
      </c>
      <c r="N14680" s="88">
        <f>M14680-M14680*VLOOKUP($Q14680,매칭테이블!$F:$I,3,0)</f>
        <v/>
      </c>
      <c r="O14680" s="88">
        <f>VLOOKUP($Q14680,매칭테이블!$F:$I,4,0)*K14680</f>
        <v/>
      </c>
      <c r="P14680" s="152">
        <f>M14680/1.1</f>
        <v/>
      </c>
      <c r="Q14680" s="88">
        <f>F14680&amp;E14680&amp;G14680&amp;L14680</f>
        <v/>
      </c>
    </row>
    <row r="14681">
      <c r="B14681" s="128" t="n">
        <v>44229</v>
      </c>
      <c r="C14681" s="88">
        <f>TEXT(B14681,"aaa")</f>
        <v/>
      </c>
      <c r="D14681" s="94" t="n"/>
      <c r="E14681" s="88">
        <f>INDEX(매칭테이블!C:D,MATCH(RD!G14681,매칭테이블!D:D,0),1)</f>
        <v/>
      </c>
      <c r="F14681" s="94" t="inlineStr">
        <is>
          <t>카페24</t>
        </is>
      </c>
      <c r="G14681" s="94" t="inlineStr">
        <is>
          <t>어성초 77 클리어 패드옵션=어성초 77 클리어 패드 1개-20% off</t>
        </is>
      </c>
      <c r="K14681" s="94" t="n">
        <v>49</v>
      </c>
      <c r="L14681" s="88" t="n">
        <v>201208</v>
      </c>
      <c r="M14681" s="88">
        <f>VLOOKUP($Q14681,매칭테이블!$F:$I,2,0)*K14681</f>
        <v/>
      </c>
      <c r="N14681" s="88">
        <f>M14681-M14681*VLOOKUP($Q14681,매칭테이블!$F:$I,3,0)</f>
        <v/>
      </c>
      <c r="O14681" s="88">
        <f>VLOOKUP($Q14681,매칭테이블!$F:$I,4,0)*K14681</f>
        <v/>
      </c>
      <c r="P14681" s="152">
        <f>M14681/1.1</f>
        <v/>
      </c>
      <c r="Q14681" s="88">
        <f>F14681&amp;E14681&amp;G14681&amp;L14681</f>
        <v/>
      </c>
    </row>
    <row r="14682">
      <c r="B14682" s="128" t="n">
        <v>44229</v>
      </c>
      <c r="C14682" s="88">
        <f>TEXT(B14682,"aaa")</f>
        <v/>
      </c>
      <c r="D14682" s="94" t="n"/>
      <c r="E14682" s="88">
        <f>INDEX(매칭테이블!C:D,MATCH(RD!G14682,매칭테이블!D:D,0),1)</f>
        <v/>
      </c>
      <c r="F14682" s="94" t="inlineStr">
        <is>
          <t>카페24</t>
        </is>
      </c>
      <c r="G14682" s="94" t="inlineStr">
        <is>
          <t>어성초 77 클리어 패드옵션=어성초 77 클리어 패드 2개-30% off (무료배송)</t>
        </is>
      </c>
      <c r="K14682" s="94" t="n">
        <v>49</v>
      </c>
      <c r="L14682" s="88" t="n">
        <v>201208</v>
      </c>
      <c r="M14682" s="88">
        <f>VLOOKUP($Q14682,매칭테이블!$F:$I,2,0)*K14682</f>
        <v/>
      </c>
      <c r="N14682" s="88">
        <f>M14682-M14682*VLOOKUP($Q14682,매칭테이블!$F:$I,3,0)</f>
        <v/>
      </c>
      <c r="O14682" s="88">
        <f>VLOOKUP($Q14682,매칭테이블!$F:$I,4,0)*K14682</f>
        <v/>
      </c>
      <c r="P14682" s="152">
        <f>M14682/1.1</f>
        <v/>
      </c>
      <c r="Q14682" s="88">
        <f>F14682&amp;E14682&amp;G14682&amp;L14682</f>
        <v/>
      </c>
    </row>
    <row r="14683">
      <c r="B14683" s="128" t="n">
        <v>44229</v>
      </c>
      <c r="C14683" s="88">
        <f>TEXT(B14683,"aaa")</f>
        <v/>
      </c>
      <c r="D14683" s="94" t="n"/>
      <c r="E14683" s="88">
        <f>INDEX(매칭테이블!C:D,MATCH(RD!G14683,매칭테이블!D:D,0),1)</f>
        <v/>
      </c>
      <c r="F14683" s="94" t="inlineStr">
        <is>
          <t>카페24</t>
        </is>
      </c>
      <c r="G14683" s="94" t="inlineStr">
        <is>
          <t>어성초 77 클리어 패드옵션=어성초 77 클리어 패드 2+1 EVENT (무료배송)</t>
        </is>
      </c>
      <c r="K14683" s="94" t="n">
        <v>35</v>
      </c>
      <c r="L14683" s="88" t="n">
        <v>201208</v>
      </c>
      <c r="M14683" s="88">
        <f>VLOOKUP($Q14683,매칭테이블!$F:$I,2,0)*K14683</f>
        <v/>
      </c>
      <c r="N14683" s="88">
        <f>M14683-M14683*VLOOKUP($Q14683,매칭테이블!$F:$I,3,0)</f>
        <v/>
      </c>
      <c r="O14683" s="88">
        <f>VLOOKUP($Q14683,매칭테이블!$F:$I,4,0)*K14683</f>
        <v/>
      </c>
      <c r="P14683" s="152">
        <f>M14683/1.1</f>
        <v/>
      </c>
      <c r="Q14683" s="88">
        <f>F14683&amp;E14683&amp;G14683&amp;L14683</f>
        <v/>
      </c>
    </row>
    <row r="14684">
      <c r="B14684" s="128" t="n">
        <v>44229</v>
      </c>
      <c r="C14684" s="88">
        <f>TEXT(B14684,"aaa")</f>
        <v/>
      </c>
      <c r="D14684" s="94" t="n"/>
      <c r="E14684" s="88">
        <f>INDEX(매칭테이블!C:D,MATCH(RD!G14684,매칭테이블!D:D,0),1)</f>
        <v/>
      </c>
      <c r="F14684" s="94" t="inlineStr">
        <is>
          <t>카페24</t>
        </is>
      </c>
      <c r="G14684" s="94" t="inlineStr">
        <is>
          <t>어성초 77 클리어 패드옵션=어성초77토너1개+어성초77패드1개-30% off (무료배송)</t>
        </is>
      </c>
      <c r="K14684" s="94" t="n">
        <v>18</v>
      </c>
      <c r="L14684" s="88" t="n">
        <v>201208</v>
      </c>
      <c r="M14684" s="88">
        <f>VLOOKUP($Q14684,매칭테이블!$F:$I,2,0)*K14684</f>
        <v/>
      </c>
      <c r="N14684" s="88">
        <f>M14684-M14684*VLOOKUP($Q14684,매칭테이블!$F:$I,3,0)</f>
        <v/>
      </c>
      <c r="O14684" s="88">
        <f>VLOOKUP($Q14684,매칭테이블!$F:$I,4,0)*K14684</f>
        <v/>
      </c>
      <c r="P14684" s="152">
        <f>M14684/1.1</f>
        <v/>
      </c>
      <c r="Q14684" s="88">
        <f>F14684&amp;E14684&amp;G14684&amp;L14684</f>
        <v/>
      </c>
    </row>
    <row r="14685">
      <c r="B14685" s="128" t="n">
        <v>44229</v>
      </c>
      <c r="C14685" s="88">
        <f>TEXT(B14685,"aaa")</f>
        <v/>
      </c>
      <c r="D14685" s="94" t="n"/>
      <c r="E14685" s="88">
        <f>INDEX(매칭테이블!C:D,MATCH(RD!G14685,매칭테이블!D:D,0),1)</f>
        <v/>
      </c>
      <c r="F14685" s="94" t="inlineStr">
        <is>
          <t>카페24</t>
        </is>
      </c>
      <c r="G14685" s="94" t="inlineStr">
        <is>
          <t>어성초 77 토너</t>
        </is>
      </c>
      <c r="K14685" s="94" t="n">
        <v>2</v>
      </c>
      <c r="L14685" s="88" t="n">
        <v>201208</v>
      </c>
      <c r="M14685" s="88">
        <f>VLOOKUP($Q14685,매칭테이블!$F:$I,2,0)*K14685</f>
        <v/>
      </c>
      <c r="N14685" s="88">
        <f>M14685-M14685*VLOOKUP($Q14685,매칭테이블!$F:$I,3,0)</f>
        <v/>
      </c>
      <c r="O14685" s="88">
        <f>VLOOKUP($Q14685,매칭테이블!$F:$I,4,0)*K14685</f>
        <v/>
      </c>
      <c r="P14685" s="152">
        <f>M14685/1.1</f>
        <v/>
      </c>
      <c r="Q14685" s="88">
        <f>F14685&amp;E14685&amp;G14685&amp;L14685</f>
        <v/>
      </c>
    </row>
    <row r="14686">
      <c r="B14686" s="128" t="n">
        <v>44229</v>
      </c>
      <c r="C14686" s="88">
        <f>TEXT(B14686,"aaa")</f>
        <v/>
      </c>
      <c r="D14686" s="94" t="n"/>
      <c r="E14686" s="88">
        <f>INDEX(매칭테이블!C:D,MATCH(RD!G14686,매칭테이블!D:D,0),1)</f>
        <v/>
      </c>
      <c r="F14686" s="94" t="inlineStr">
        <is>
          <t>카페24</t>
        </is>
      </c>
      <c r="G14686" s="94" t="inlineStr">
        <is>
          <t>어성초 77 포어 클리어 패드옵션=어성초 77 클리어 패드 1개-20% off</t>
        </is>
      </c>
      <c r="K14686" s="94" t="n">
        <v>1</v>
      </c>
      <c r="L14686" s="88" t="n">
        <v>201208</v>
      </c>
      <c r="M14686" s="88">
        <f>VLOOKUP($Q14686,매칭테이블!$F:$I,2,0)*K14686</f>
        <v/>
      </c>
      <c r="N14686" s="88">
        <f>M14686-M14686*VLOOKUP($Q14686,매칭테이블!$F:$I,3,0)</f>
        <v/>
      </c>
      <c r="O14686" s="88">
        <f>VLOOKUP($Q14686,매칭테이블!$F:$I,4,0)*K14686</f>
        <v/>
      </c>
      <c r="P14686" s="152">
        <f>M14686/1.1</f>
        <v/>
      </c>
      <c r="Q14686" s="88">
        <f>F14686&amp;E14686&amp;G14686&amp;L14686</f>
        <v/>
      </c>
    </row>
    <row r="14687">
      <c r="B14687" s="128" t="n">
        <v>44229</v>
      </c>
      <c r="C14687" s="88">
        <f>TEXT(B14687,"aaa")</f>
        <v/>
      </c>
      <c r="D14687" s="94" t="n"/>
      <c r="E14687" s="88">
        <f>INDEX(매칭테이블!C:D,MATCH(RD!G14687,매칭테이블!D:D,0),1)</f>
        <v/>
      </c>
      <c r="F14687" s="94" t="inlineStr">
        <is>
          <t>카페24</t>
        </is>
      </c>
      <c r="G14687" s="94" t="inlineStr">
        <is>
          <t>어성초 77 포어 클리어 패드옵션=어성초 77 클리어 패드 2개-30% off (무료배송)</t>
        </is>
      </c>
      <c r="K14687" s="94" t="n">
        <v>1</v>
      </c>
      <c r="L14687" s="88" t="n">
        <v>201208</v>
      </c>
      <c r="M14687" s="88">
        <f>VLOOKUP($Q14687,매칭테이블!$F:$I,2,0)*K14687</f>
        <v/>
      </c>
      <c r="N14687" s="88">
        <f>M14687-M14687*VLOOKUP($Q14687,매칭테이블!$F:$I,3,0)</f>
        <v/>
      </c>
      <c r="O14687" s="88">
        <f>VLOOKUP($Q14687,매칭테이블!$F:$I,4,0)*K14687</f>
        <v/>
      </c>
      <c r="P14687" s="152">
        <f>M14687/1.1</f>
        <v/>
      </c>
      <c r="Q14687" s="88">
        <f>F14687&amp;E14687&amp;G14687&amp;L14687</f>
        <v/>
      </c>
    </row>
    <row r="14688">
      <c r="B14688" s="128" t="n">
        <v>44229</v>
      </c>
      <c r="C14688" s="88">
        <f>TEXT(B14688,"aaa")</f>
        <v/>
      </c>
      <c r="D14688" s="94" t="n"/>
      <c r="E14688" s="88">
        <f>INDEX(매칭테이블!C:D,MATCH(RD!G14688,매칭테이블!D:D,0),1)</f>
        <v/>
      </c>
      <c r="F14688" s="94" t="inlineStr">
        <is>
          <t>카페24</t>
        </is>
      </c>
      <c r="G14688" s="94" t="inlineStr">
        <is>
          <t>어성초 77% 패드옵션=어성초 77 클리어 패드 1개-20% off</t>
        </is>
      </c>
      <c r="K14688" s="94" t="n">
        <v>34</v>
      </c>
      <c r="L14688" s="88" t="n">
        <v>201208</v>
      </c>
      <c r="M14688" s="88">
        <f>VLOOKUP($Q14688,매칭테이블!$F:$I,2,0)*K14688</f>
        <v/>
      </c>
      <c r="N14688" s="88">
        <f>M14688-M14688*VLOOKUP($Q14688,매칭테이블!$F:$I,3,0)</f>
        <v/>
      </c>
      <c r="O14688" s="88">
        <f>VLOOKUP($Q14688,매칭테이블!$F:$I,4,0)*K14688</f>
        <v/>
      </c>
      <c r="P14688" s="152">
        <f>M14688/1.1</f>
        <v/>
      </c>
      <c r="Q14688" s="88">
        <f>F14688&amp;E14688&amp;G14688&amp;L14688</f>
        <v/>
      </c>
    </row>
    <row r="14689">
      <c r="B14689" s="128" t="n">
        <v>44229</v>
      </c>
      <c r="C14689" s="88">
        <f>TEXT(B14689,"aaa")</f>
        <v/>
      </c>
      <c r="D14689" s="94" t="n"/>
      <c r="E14689" s="88">
        <f>INDEX(매칭테이블!C:D,MATCH(RD!G14689,매칭테이블!D:D,0),1)</f>
        <v/>
      </c>
      <c r="F14689" s="94" t="inlineStr">
        <is>
          <t>카페24</t>
        </is>
      </c>
      <c r="G14689" s="94" t="inlineStr">
        <is>
          <t>어성초 77% 패드옵션=어성초 77 클리어 패드 2개-30% off (무료배송)</t>
        </is>
      </c>
      <c r="K14689" s="94" t="n">
        <v>32</v>
      </c>
      <c r="L14689" s="88" t="n">
        <v>201208</v>
      </c>
      <c r="M14689" s="88">
        <f>VLOOKUP($Q14689,매칭테이블!$F:$I,2,0)*K14689</f>
        <v/>
      </c>
      <c r="N14689" s="88">
        <f>M14689-M14689*VLOOKUP($Q14689,매칭테이블!$F:$I,3,0)</f>
        <v/>
      </c>
      <c r="O14689" s="88">
        <f>VLOOKUP($Q14689,매칭테이블!$F:$I,4,0)*K14689</f>
        <v/>
      </c>
      <c r="P14689" s="152">
        <f>M14689/1.1</f>
        <v/>
      </c>
      <c r="Q14689" s="88">
        <f>F14689&amp;E14689&amp;G14689&amp;L14689</f>
        <v/>
      </c>
    </row>
    <row r="14690">
      <c r="B14690" s="128" t="n">
        <v>44229</v>
      </c>
      <c r="C14690" s="88">
        <f>TEXT(B14690,"aaa")</f>
        <v/>
      </c>
      <c r="D14690" s="94" t="n"/>
      <c r="E14690" s="88">
        <f>INDEX(매칭테이블!C:D,MATCH(RD!G14690,매칭테이블!D:D,0),1)</f>
        <v/>
      </c>
      <c r="F14690" s="94" t="inlineStr">
        <is>
          <t>카페24</t>
        </is>
      </c>
      <c r="G14690" s="94" t="inlineStr">
        <is>
          <t>어성초 77% 패드옵션=어성초 77 클리어 패드 2+1 EVENT (무료배송)</t>
        </is>
      </c>
      <c r="K14690" s="94" t="n">
        <v>19</v>
      </c>
      <c r="L14690" s="88" t="n">
        <v>201208</v>
      </c>
      <c r="M14690" s="88">
        <f>VLOOKUP($Q14690,매칭테이블!$F:$I,2,0)*K14690</f>
        <v/>
      </c>
      <c r="N14690" s="88">
        <f>M14690-M14690*VLOOKUP($Q14690,매칭테이블!$F:$I,3,0)</f>
        <v/>
      </c>
      <c r="O14690" s="88">
        <f>VLOOKUP($Q14690,매칭테이블!$F:$I,4,0)*K14690</f>
        <v/>
      </c>
      <c r="P14690" s="152">
        <f>M14690/1.1</f>
        <v/>
      </c>
      <c r="Q14690" s="88">
        <f>F14690&amp;E14690&amp;G14690&amp;L14690</f>
        <v/>
      </c>
    </row>
    <row r="14691">
      <c r="B14691" s="128" t="n">
        <v>44229</v>
      </c>
      <c r="C14691" s="88">
        <f>TEXT(B14691,"aaa")</f>
        <v/>
      </c>
      <c r="D14691" s="94" t="n"/>
      <c r="E14691" s="88">
        <f>INDEX(매칭테이블!C:D,MATCH(RD!G14691,매칭테이블!D:D,0),1)</f>
        <v/>
      </c>
      <c r="F14691" s="94" t="inlineStr">
        <is>
          <t>카페24</t>
        </is>
      </c>
      <c r="G14691" s="94" t="inlineStr">
        <is>
          <t>어성초 77% 패드옵션=어성초77토너1개+어성초77패드1개-30% off (무료배송)</t>
        </is>
      </c>
      <c r="K14691" s="94" t="n">
        <v>12</v>
      </c>
      <c r="L14691" s="88" t="n">
        <v>201208</v>
      </c>
      <c r="M14691" s="88">
        <f>VLOOKUP($Q14691,매칭테이블!$F:$I,2,0)*K14691</f>
        <v/>
      </c>
      <c r="N14691" s="88">
        <f>M14691-M14691*VLOOKUP($Q14691,매칭테이블!$F:$I,3,0)</f>
        <v/>
      </c>
      <c r="O14691" s="88">
        <f>VLOOKUP($Q14691,매칭테이블!$F:$I,4,0)*K14691</f>
        <v/>
      </c>
      <c r="P14691" s="152">
        <f>M14691/1.1</f>
        <v/>
      </c>
      <c r="Q14691" s="88">
        <f>F14691&amp;E14691&amp;G14691&amp;L14691</f>
        <v/>
      </c>
    </row>
    <row r="14692">
      <c r="B14692" s="128" t="n">
        <v>44229</v>
      </c>
      <c r="C14692" s="88">
        <f>TEXT(B14692,"aaa")</f>
        <v/>
      </c>
      <c r="D14692" s="94" t="n"/>
      <c r="E14692" s="88">
        <f>INDEX(매칭테이블!C:D,MATCH(RD!G14692,매칭테이블!D:D,0),1)</f>
        <v/>
      </c>
      <c r="F14692" s="94" t="inlineStr">
        <is>
          <t>카페24</t>
        </is>
      </c>
      <c r="G14692" s="94" t="inlineStr">
        <is>
          <t>어성초 78 수딩 크림</t>
        </is>
      </c>
      <c r="K14692" s="94" t="n">
        <v>14</v>
      </c>
      <c r="L14692" s="88" t="n">
        <v>201208</v>
      </c>
      <c r="M14692" s="88">
        <f>VLOOKUP($Q14692,매칭테이블!$F:$I,2,0)*K14692</f>
        <v/>
      </c>
      <c r="N14692" s="88">
        <f>M14692-M14692*VLOOKUP($Q14692,매칭테이블!$F:$I,3,0)</f>
        <v/>
      </c>
      <c r="O14692" s="88">
        <f>VLOOKUP($Q14692,매칭테이블!$F:$I,4,0)*K14692</f>
        <v/>
      </c>
      <c r="P14692" s="152">
        <f>M14692/1.1</f>
        <v/>
      </c>
      <c r="Q14692" s="88">
        <f>F14692&amp;E14692&amp;G14692&amp;L14692</f>
        <v/>
      </c>
    </row>
    <row r="14693">
      <c r="B14693" s="128" t="n">
        <v>44229</v>
      </c>
      <c r="C14693" s="88">
        <f>TEXT(B14693,"aaa")</f>
        <v/>
      </c>
      <c r="D14693" s="94" t="n"/>
      <c r="E14693" s="88">
        <f>INDEX(매칭테이블!C:D,MATCH(RD!G14693,매칭테이블!D:D,0),1)</f>
        <v/>
      </c>
      <c r="F14693" s="94" t="inlineStr">
        <is>
          <t>카페24</t>
        </is>
      </c>
      <c r="G14693" s="94" t="inlineStr">
        <is>
          <t>어성초 78 수딩 크림</t>
        </is>
      </c>
      <c r="K14693" s="94" t="n">
        <v>6</v>
      </c>
      <c r="L14693" s="88" t="n">
        <v>201208</v>
      </c>
      <c r="M14693" s="88">
        <f>VLOOKUP($Q14693,매칭테이블!$F:$I,2,0)*K14693</f>
        <v/>
      </c>
      <c r="N14693" s="88">
        <f>M14693-M14693*VLOOKUP($Q14693,매칭테이블!$F:$I,3,0)</f>
        <v/>
      </c>
      <c r="O14693" s="88">
        <f>VLOOKUP($Q14693,매칭테이블!$F:$I,4,0)*K14693</f>
        <v/>
      </c>
      <c r="P14693" s="152">
        <f>M14693/1.1</f>
        <v/>
      </c>
      <c r="Q14693" s="88">
        <f>F14693&amp;E14693&amp;G14693&amp;L14693</f>
        <v/>
      </c>
    </row>
    <row r="14694">
      <c r="B14694" s="128" t="n">
        <v>44229</v>
      </c>
      <c r="C14694" s="88">
        <f>TEXT(B14694,"aaa")</f>
        <v/>
      </c>
      <c r="D14694" s="94" t="n"/>
      <c r="E14694" s="88">
        <f>INDEX(매칭테이블!C:D,MATCH(RD!G14694,매칭테이블!D:D,0),1)</f>
        <v/>
      </c>
      <c r="F14694" s="94" t="inlineStr">
        <is>
          <t>카페24</t>
        </is>
      </c>
      <c r="G14694" s="94" t="inlineStr">
        <is>
          <t>어성초 80 수분 진정 앰플앰플=어성초 80 앰플 1개-15%off</t>
        </is>
      </c>
      <c r="K14694" s="94" t="n">
        <v>27</v>
      </c>
      <c r="L14694" s="88" t="n">
        <v>201208</v>
      </c>
      <c r="M14694" s="88">
        <f>VLOOKUP($Q14694,매칭테이블!$F:$I,2,0)*K14694</f>
        <v/>
      </c>
      <c r="N14694" s="88">
        <f>M14694-M14694*VLOOKUP($Q14694,매칭테이블!$F:$I,3,0)</f>
        <v/>
      </c>
      <c r="O14694" s="88">
        <f>VLOOKUP($Q14694,매칭테이블!$F:$I,4,0)*K14694</f>
        <v/>
      </c>
      <c r="P14694" s="152">
        <f>M14694/1.1</f>
        <v/>
      </c>
      <c r="Q14694" s="88">
        <f>F14694&amp;E14694&amp;G14694&amp;L14694</f>
        <v/>
      </c>
    </row>
    <row r="14695">
      <c r="B14695" s="128" t="n">
        <v>44229</v>
      </c>
      <c r="C14695" s="88">
        <f>TEXT(B14695,"aaa")</f>
        <v/>
      </c>
      <c r="D14695" s="94" t="n"/>
      <c r="E14695" s="88">
        <f>INDEX(매칭테이블!C:D,MATCH(RD!G14695,매칭테이블!D:D,0),1)</f>
        <v/>
      </c>
      <c r="F14695" s="94" t="inlineStr">
        <is>
          <t>카페24</t>
        </is>
      </c>
      <c r="G14695" s="94" t="inlineStr">
        <is>
          <t>어성초 80 수분 진정 앰플앰플=어성초 80 앰플 2개-27%off (무료배송)</t>
        </is>
      </c>
      <c r="K14695" s="94" t="n">
        <v>5</v>
      </c>
      <c r="L14695" s="88" t="n">
        <v>201208</v>
      </c>
      <c r="M14695" s="88">
        <f>VLOOKUP($Q14695,매칭테이블!$F:$I,2,0)*K14695</f>
        <v/>
      </c>
      <c r="N14695" s="88">
        <f>M14695-M14695*VLOOKUP($Q14695,매칭테이블!$F:$I,3,0)</f>
        <v/>
      </c>
      <c r="O14695" s="88">
        <f>VLOOKUP($Q14695,매칭테이블!$F:$I,4,0)*K14695</f>
        <v/>
      </c>
      <c r="P14695" s="152">
        <f>M14695/1.1</f>
        <v/>
      </c>
      <c r="Q14695" s="88">
        <f>F14695&amp;E14695&amp;G14695&amp;L14695</f>
        <v/>
      </c>
    </row>
    <row r="14696">
      <c r="B14696" s="128" t="n">
        <v>44229</v>
      </c>
      <c r="C14696" s="88">
        <f>TEXT(B14696,"aaa")</f>
        <v/>
      </c>
      <c r="D14696" s="94" t="n"/>
      <c r="E14696" s="88">
        <f>INDEX(매칭테이블!C:D,MATCH(RD!G14696,매칭테이블!D:D,0),1)</f>
        <v/>
      </c>
      <c r="F14696" s="94" t="inlineStr">
        <is>
          <t>카페24</t>
        </is>
      </c>
      <c r="G14696" s="94" t="inlineStr">
        <is>
          <t>어성초 80 수분 진정 앰플</t>
        </is>
      </c>
      <c r="K14696" s="94" t="n">
        <v>6</v>
      </c>
      <c r="L14696" s="88" t="n">
        <v>201208</v>
      </c>
      <c r="M14696" s="88">
        <f>VLOOKUP($Q14696,매칭테이블!$F:$I,2,0)*K14696</f>
        <v/>
      </c>
      <c r="N14696" s="88">
        <f>M14696-M14696*VLOOKUP($Q14696,매칭테이블!$F:$I,3,0)</f>
        <v/>
      </c>
      <c r="O14696" s="88">
        <f>VLOOKUP($Q14696,매칭테이블!$F:$I,4,0)*K14696</f>
        <v/>
      </c>
      <c r="P14696" s="152">
        <f>M14696/1.1</f>
        <v/>
      </c>
      <c r="Q14696" s="88">
        <f>F14696&amp;E14696&amp;G14696&amp;L14696</f>
        <v/>
      </c>
    </row>
    <row r="14697">
      <c r="B14697" s="128" t="n">
        <v>44229</v>
      </c>
      <c r="C14697" s="88">
        <f>TEXT(B14697,"aaa")</f>
        <v/>
      </c>
      <c r="D14697" s="94" t="n"/>
      <c r="E14697" s="88">
        <f>INDEX(매칭테이블!C:D,MATCH(RD!G14697,매칭테이블!D:D,0),1)</f>
        <v/>
      </c>
      <c r="F14697" s="94" t="inlineStr">
        <is>
          <t>카페24</t>
        </is>
      </c>
      <c r="G14697" s="94" t="inlineStr">
        <is>
          <t>어성초 아크네 바디워시옵션=어성초 아크네 바디워시 1개 -30% off</t>
        </is>
      </c>
      <c r="K14697" s="94" t="n">
        <v>4</v>
      </c>
      <c r="L14697" s="88" t="n">
        <v>201208</v>
      </c>
      <c r="M14697" s="88">
        <f>VLOOKUP($Q14697,매칭테이블!$F:$I,2,0)*K14697</f>
        <v/>
      </c>
      <c r="N14697" s="88">
        <f>M14697-M14697*VLOOKUP($Q14697,매칭테이블!$F:$I,3,0)</f>
        <v/>
      </c>
      <c r="O14697" s="88">
        <f>VLOOKUP($Q14697,매칭테이블!$F:$I,4,0)*K14697</f>
        <v/>
      </c>
      <c r="P14697" s="152">
        <f>M14697/1.1</f>
        <v/>
      </c>
      <c r="Q14697" s="88">
        <f>F14697&amp;E14697&amp;G14697&amp;L14697</f>
        <v/>
      </c>
    </row>
    <row r="14698">
      <c r="B14698" s="128" t="n">
        <v>44229</v>
      </c>
      <c r="C14698" s="88">
        <f>TEXT(B14698,"aaa")</f>
        <v/>
      </c>
      <c r="D14698" s="94" t="n"/>
      <c r="E14698" s="88">
        <f>INDEX(매칭테이블!C:D,MATCH(RD!G14698,매칭테이블!D:D,0),1)</f>
        <v/>
      </c>
      <c r="F14698" s="94" t="inlineStr">
        <is>
          <t>카페24</t>
        </is>
      </c>
      <c r="G14698" s="94" t="inlineStr">
        <is>
          <t>어성초 아크네 바디워시옵션=어성초 아크네 바디워시 2개 -35% off (무료배송)</t>
        </is>
      </c>
      <c r="K14698" s="94" t="n">
        <v>1</v>
      </c>
      <c r="L14698" s="88" t="n">
        <v>201208</v>
      </c>
      <c r="M14698" s="88">
        <f>VLOOKUP($Q14698,매칭테이블!$F:$I,2,0)*K14698</f>
        <v/>
      </c>
      <c r="N14698" s="88">
        <f>M14698-M14698*VLOOKUP($Q14698,매칭테이블!$F:$I,3,0)</f>
        <v/>
      </c>
      <c r="O14698" s="88">
        <f>VLOOKUP($Q14698,매칭테이블!$F:$I,4,0)*K14698</f>
        <v/>
      </c>
      <c r="P14698" s="152">
        <f>M14698/1.1</f>
        <v/>
      </c>
      <c r="Q14698" s="88">
        <f>F14698&amp;E14698&amp;G14698&amp;L14698</f>
        <v/>
      </c>
    </row>
    <row r="14699">
      <c r="B14699" s="128" t="n">
        <v>44229</v>
      </c>
      <c r="C14699" s="88">
        <f>TEXT(B14699,"aaa")</f>
        <v/>
      </c>
      <c r="D14699" s="94" t="n"/>
      <c r="E14699" s="88">
        <f>INDEX(매칭테이블!C:D,MATCH(RD!G14699,매칭테이블!D:D,0),1)</f>
        <v/>
      </c>
      <c r="F14699" s="94" t="inlineStr">
        <is>
          <t>카페24</t>
        </is>
      </c>
      <c r="G14699" s="94" t="inlineStr">
        <is>
          <t>어성초 약산성 클렌징폼클렌징폼=어성초 약산성 클렌징폼 1개 -19%off</t>
        </is>
      </c>
      <c r="K14699" s="94" t="n">
        <v>23</v>
      </c>
      <c r="L14699" s="88" t="n">
        <v>201208</v>
      </c>
      <c r="M14699" s="88">
        <f>VLOOKUP($Q14699,매칭테이블!$F:$I,2,0)*K14699</f>
        <v/>
      </c>
      <c r="N14699" s="88">
        <f>M14699-M14699*VLOOKUP($Q14699,매칭테이블!$F:$I,3,0)</f>
        <v/>
      </c>
      <c r="O14699" s="88">
        <f>VLOOKUP($Q14699,매칭테이블!$F:$I,4,0)*K14699</f>
        <v/>
      </c>
      <c r="P14699" s="152">
        <f>M14699/1.1</f>
        <v/>
      </c>
      <c r="Q14699" s="88">
        <f>F14699&amp;E14699&amp;G14699&amp;L14699</f>
        <v/>
      </c>
    </row>
    <row r="14700">
      <c r="B14700" s="128" t="n">
        <v>44229</v>
      </c>
      <c r="C14700" s="88">
        <f>TEXT(B14700,"aaa")</f>
        <v/>
      </c>
      <c r="D14700" s="94" t="n"/>
      <c r="E14700" s="88">
        <f>INDEX(매칭테이블!C:D,MATCH(RD!G14700,매칭테이블!D:D,0),1)</f>
        <v/>
      </c>
      <c r="F14700" s="94" t="inlineStr">
        <is>
          <t>카페24</t>
        </is>
      </c>
      <c r="G14700" s="94" t="inlineStr">
        <is>
          <t>어성초 약산성 클렌징폼클렌징폼=어성초 약산성 클렌징폼 2개 -25%off</t>
        </is>
      </c>
      <c r="K14700" s="94" t="n">
        <v>8</v>
      </c>
      <c r="L14700" s="88" t="n">
        <v>201208</v>
      </c>
      <c r="M14700" s="88">
        <f>VLOOKUP($Q14700,매칭테이블!$F:$I,2,0)*K14700</f>
        <v/>
      </c>
      <c r="N14700" s="88">
        <f>M14700-M14700*VLOOKUP($Q14700,매칭테이블!$F:$I,3,0)</f>
        <v/>
      </c>
      <c r="O14700" s="88">
        <f>VLOOKUP($Q14700,매칭테이블!$F:$I,4,0)*K14700</f>
        <v/>
      </c>
      <c r="P14700" s="152">
        <f>M14700/1.1</f>
        <v/>
      </c>
      <c r="Q14700" s="88">
        <f>F14700&amp;E14700&amp;G14700&amp;L14700</f>
        <v/>
      </c>
    </row>
    <row r="14701">
      <c r="B14701" s="128" t="n">
        <v>44229</v>
      </c>
      <c r="C14701" s="88">
        <f>TEXT(B14701,"aaa")</f>
        <v/>
      </c>
      <c r="D14701" s="94" t="n"/>
      <c r="E14701" s="88">
        <f>INDEX(매칭테이블!C:D,MATCH(RD!G14701,매칭테이블!D:D,0),1)</f>
        <v/>
      </c>
      <c r="F14701" s="94" t="inlineStr">
        <is>
          <t>카페24</t>
        </is>
      </c>
      <c r="G14701" s="94" t="inlineStr">
        <is>
          <t>어성초 약산성 클렌징폼클렌징폼=어성초 약산성 클렌징폼 3개 -31%off (무료배송)</t>
        </is>
      </c>
      <c r="K14701" s="94" t="n">
        <v>5</v>
      </c>
      <c r="L14701" s="88" t="n">
        <v>201208</v>
      </c>
      <c r="M14701" s="88">
        <f>VLOOKUP($Q14701,매칭테이블!$F:$I,2,0)*K14701</f>
        <v/>
      </c>
      <c r="N14701" s="88">
        <f>M14701-M14701*VLOOKUP($Q14701,매칭테이블!$F:$I,3,0)</f>
        <v/>
      </c>
      <c r="O14701" s="88">
        <f>VLOOKUP($Q14701,매칭테이블!$F:$I,4,0)*K14701</f>
        <v/>
      </c>
      <c r="P14701" s="152">
        <f>M14701/1.1</f>
        <v/>
      </c>
      <c r="Q14701" s="88">
        <f>F14701&amp;E14701&amp;G14701&amp;L14701</f>
        <v/>
      </c>
    </row>
    <row r="14702">
      <c r="B14702" s="128" t="n">
        <v>44229</v>
      </c>
      <c r="C14702" s="88">
        <f>TEXT(B14702,"aaa")</f>
        <v/>
      </c>
      <c r="D14702" s="94" t="n"/>
      <c r="E14702" s="88">
        <f>INDEX(매칭테이블!C:D,MATCH(RD!G14702,매칭테이블!D:D,0),1)</f>
        <v/>
      </c>
      <c r="F14702" s="94" t="inlineStr">
        <is>
          <t>카페24</t>
        </is>
      </c>
      <c r="G14702" s="94" t="inlineStr">
        <is>
          <t>어성초 약산성 클렌징폼</t>
        </is>
      </c>
      <c r="K14702" s="94" t="n">
        <v>2</v>
      </c>
      <c r="L14702" s="88" t="n">
        <v>201208</v>
      </c>
      <c r="M14702" s="88">
        <f>VLOOKUP($Q14702,매칭테이블!$F:$I,2,0)*K14702</f>
        <v/>
      </c>
      <c r="N14702" s="88">
        <f>M14702-M14702*VLOOKUP($Q14702,매칭테이블!$F:$I,3,0)</f>
        <v/>
      </c>
      <c r="O14702" s="88">
        <f>VLOOKUP($Q14702,매칭테이블!$F:$I,4,0)*K14702</f>
        <v/>
      </c>
      <c r="P14702" s="152">
        <f>M14702/1.1</f>
        <v/>
      </c>
      <c r="Q14702" s="88">
        <f>F14702&amp;E14702&amp;G14702&amp;L14702</f>
        <v/>
      </c>
    </row>
    <row r="14703">
      <c r="B14703" s="128" t="n">
        <v>44229</v>
      </c>
      <c r="C14703" s="88">
        <f>TEXT(B14703,"aaa")</f>
        <v/>
      </c>
      <c r="D14703" s="94" t="n"/>
      <c r="E14703" s="88">
        <f>INDEX(매칭테이블!C:D,MATCH(RD!G14703,매칭테이블!D:D,0),1)</f>
        <v/>
      </c>
      <c r="F14703" s="94" t="inlineStr">
        <is>
          <t>카페24</t>
        </is>
      </c>
      <c r="G14703" s="94" t="inlineStr">
        <is>
          <t>어성초 크림마스크 나이트 솔루션옵션=어성초 크림마스크 나이트 솔루션 1장</t>
        </is>
      </c>
      <c r="K14703" s="94" t="n">
        <v>1</v>
      </c>
      <c r="L14703" s="88" t="n">
        <v>201208</v>
      </c>
      <c r="M14703" s="88">
        <f>VLOOKUP($Q14703,매칭테이블!$F:$I,2,0)*K14703</f>
        <v/>
      </c>
      <c r="N14703" s="88">
        <f>M14703-M14703*VLOOKUP($Q14703,매칭테이블!$F:$I,3,0)</f>
        <v/>
      </c>
      <c r="O14703" s="88">
        <f>VLOOKUP($Q14703,매칭테이블!$F:$I,4,0)*K14703</f>
        <v/>
      </c>
      <c r="P14703" s="152">
        <f>M14703/1.1</f>
        <v/>
      </c>
      <c r="Q14703" s="88">
        <f>F14703&amp;E14703&amp;G14703&amp;L14703</f>
        <v/>
      </c>
    </row>
    <row r="14704">
      <c r="B14704" s="128" t="n">
        <v>44229</v>
      </c>
      <c r="C14704" s="88">
        <f>TEXT(B14704,"aaa")</f>
        <v/>
      </c>
      <c r="D14704" s="94" t="n"/>
      <c r="E14704" s="88">
        <f>INDEX(매칭테이블!C:D,MATCH(RD!G14704,매칭테이블!D:D,0),1)</f>
        <v/>
      </c>
      <c r="F14704" s="94" t="inlineStr">
        <is>
          <t>카페24</t>
        </is>
      </c>
      <c r="G14704" s="94" t="inlineStr">
        <is>
          <t>어성초 크림마스크 나이트 솔루션옵션=어성초 크림마스크 나이트 솔루션 10장 (-50%)</t>
        </is>
      </c>
      <c r="K14704" s="94" t="n">
        <v>1</v>
      </c>
      <c r="L14704" s="88" t="n">
        <v>201208</v>
      </c>
      <c r="M14704" s="88">
        <f>VLOOKUP($Q14704,매칭테이블!$F:$I,2,0)*K14704</f>
        <v/>
      </c>
      <c r="N14704" s="88">
        <f>M14704-M14704*VLOOKUP($Q14704,매칭테이블!$F:$I,3,0)</f>
        <v/>
      </c>
      <c r="O14704" s="88">
        <f>VLOOKUP($Q14704,매칭테이블!$F:$I,4,0)*K14704</f>
        <v/>
      </c>
      <c r="P14704" s="152">
        <f>M14704/1.1</f>
        <v/>
      </c>
      <c r="Q14704" s="88">
        <f>F14704&amp;E14704&amp;G14704&amp;L14704</f>
        <v/>
      </c>
    </row>
    <row r="14705">
      <c r="B14705" s="128" t="n">
        <v>44229</v>
      </c>
      <c r="C14705" s="88">
        <f>TEXT(B14705,"aaa")</f>
        <v/>
      </c>
      <c r="D14705" s="94" t="n"/>
      <c r="E14705" s="88">
        <f>INDEX(매칭테이블!C:D,MATCH(RD!G14705,매칭테이블!D:D,0),1)</f>
        <v/>
      </c>
      <c r="F14705" s="94" t="inlineStr">
        <is>
          <t>카페24</t>
        </is>
      </c>
      <c r="G14705" s="94" t="inlineStr">
        <is>
          <t>자작나무 수분 마스크옵션=자작나무 수분 마스크 1장</t>
        </is>
      </c>
      <c r="K14705" s="94" t="n">
        <v>2</v>
      </c>
      <c r="L14705" s="88" t="n">
        <v>201208</v>
      </c>
      <c r="M14705" s="88">
        <f>VLOOKUP($Q14705,매칭테이블!$F:$I,2,0)*K14705</f>
        <v/>
      </c>
      <c r="N14705" s="88">
        <f>M14705-M14705*VLOOKUP($Q14705,매칭테이블!$F:$I,3,0)</f>
        <v/>
      </c>
      <c r="O14705" s="88">
        <f>VLOOKUP($Q14705,매칭테이블!$F:$I,4,0)*K14705</f>
        <v/>
      </c>
      <c r="P14705" s="152">
        <f>M14705/1.1</f>
        <v/>
      </c>
      <c r="Q14705" s="88">
        <f>F14705&amp;E14705&amp;G14705&amp;L14705</f>
        <v/>
      </c>
    </row>
    <row r="14706">
      <c r="B14706" s="128" t="n">
        <v>44229</v>
      </c>
      <c r="C14706" s="88">
        <f>TEXT(B14706,"aaa")</f>
        <v/>
      </c>
      <c r="D14706" s="94" t="n"/>
      <c r="E14706" s="88">
        <f>INDEX(매칭테이블!C:D,MATCH(RD!G14706,매칭테이블!D:D,0),1)</f>
        <v/>
      </c>
      <c r="F14706" s="94" t="inlineStr">
        <is>
          <t>카페24</t>
        </is>
      </c>
      <c r="G14706" s="94" t="inlineStr">
        <is>
          <t>자작나무 수분 마스크옵션=자작나무 수분 마스크 10장 (50% off)</t>
        </is>
      </c>
      <c r="K14706" s="94" t="n">
        <v>1</v>
      </c>
      <c r="L14706" s="88" t="n">
        <v>201208</v>
      </c>
      <c r="M14706" s="88">
        <f>VLOOKUP($Q14706,매칭테이블!$F:$I,2,0)*K14706</f>
        <v/>
      </c>
      <c r="N14706" s="88">
        <f>M14706-M14706*VLOOKUP($Q14706,매칭테이블!$F:$I,3,0)</f>
        <v/>
      </c>
      <c r="O14706" s="88">
        <f>VLOOKUP($Q14706,매칭테이블!$F:$I,4,0)*K14706</f>
        <v/>
      </c>
      <c r="P14706" s="152">
        <f>M14706/1.1</f>
        <v/>
      </c>
      <c r="Q14706" s="88">
        <f>F14706&amp;E14706&amp;G14706&amp;L14706</f>
        <v/>
      </c>
    </row>
    <row r="14707">
      <c r="B14707" s="128" t="n">
        <v>44229</v>
      </c>
      <c r="C14707" s="88">
        <f>TEXT(B14707,"aaa")</f>
        <v/>
      </c>
      <c r="D14707" s="94" t="n"/>
      <c r="E14707" s="88">
        <f>INDEX(매칭테이블!C:D,MATCH(RD!G14707,매칭테이블!D:D,0),1)</f>
        <v/>
      </c>
      <c r="F14707" s="94" t="inlineStr">
        <is>
          <t>카페24</t>
        </is>
      </c>
      <c r="G14707" s="94" t="inlineStr">
        <is>
          <t>청귤 비타 잡티 마스크옵션=청귤 비타 잡티 마스크 1장</t>
        </is>
      </c>
      <c r="K14707" s="94" t="n">
        <v>4</v>
      </c>
      <c r="L14707" s="88" t="n">
        <v>201208</v>
      </c>
      <c r="M14707" s="88">
        <f>VLOOKUP($Q14707,매칭테이블!$F:$I,2,0)*K14707</f>
        <v/>
      </c>
      <c r="N14707" s="88">
        <f>M14707-M14707*VLOOKUP($Q14707,매칭테이블!$F:$I,3,0)</f>
        <v/>
      </c>
      <c r="O14707" s="88">
        <f>VLOOKUP($Q14707,매칭테이블!$F:$I,4,0)*K14707</f>
        <v/>
      </c>
      <c r="P14707" s="152">
        <f>M14707/1.1</f>
        <v/>
      </c>
      <c r="Q14707" s="88">
        <f>F14707&amp;E14707&amp;G14707&amp;L14707</f>
        <v/>
      </c>
    </row>
    <row r="14708">
      <c r="B14708" s="128" t="n">
        <v>44229</v>
      </c>
      <c r="C14708" s="88">
        <f>TEXT(B14708,"aaa")</f>
        <v/>
      </c>
      <c r="D14708" s="94" t="n"/>
      <c r="E14708" s="88">
        <f>INDEX(매칭테이블!C:D,MATCH(RD!G14708,매칭테이블!D:D,0),1)</f>
        <v/>
      </c>
      <c r="F14708" s="94" t="inlineStr">
        <is>
          <t>카페24</t>
        </is>
      </c>
      <c r="G14708" s="94" t="inlineStr">
        <is>
          <t>청귤 비타 잡티 마스크옵션=청귤 비타 잡티 마스크 10장 (50% off)</t>
        </is>
      </c>
      <c r="K14708" s="94" t="n">
        <v>3</v>
      </c>
      <c r="L14708" s="88" t="n">
        <v>201208</v>
      </c>
      <c r="M14708" s="88">
        <f>VLOOKUP($Q14708,매칭테이블!$F:$I,2,0)*K14708</f>
        <v/>
      </c>
      <c r="N14708" s="88">
        <f>M14708-M14708*VLOOKUP($Q14708,매칭테이블!$F:$I,3,0)</f>
        <v/>
      </c>
      <c r="O14708" s="88">
        <f>VLOOKUP($Q14708,매칭테이블!$F:$I,4,0)*K14708</f>
        <v/>
      </c>
      <c r="P14708" s="152">
        <f>M14708/1.1</f>
        <v/>
      </c>
      <c r="Q14708" s="88">
        <f>F14708&amp;E14708&amp;G14708&amp;L14708</f>
        <v/>
      </c>
    </row>
    <row r="14709">
      <c r="B14709" s="128" t="n">
        <v>44229</v>
      </c>
      <c r="C14709" s="88">
        <f>TEXT(B14709,"aaa")</f>
        <v/>
      </c>
      <c r="D14709" s="94" t="n"/>
      <c r="E14709" s="88">
        <f>INDEX(매칭테이블!C:D,MATCH(RD!G14709,매칭테이블!D:D,0),1)</f>
        <v/>
      </c>
      <c r="F14709" s="94" t="inlineStr">
        <is>
          <t>카페24</t>
        </is>
      </c>
      <c r="G14709" s="94" t="inlineStr">
        <is>
          <t>촉촉 스킨팩 화장솜</t>
        </is>
      </c>
      <c r="K14709" s="94" t="n">
        <v>26</v>
      </c>
      <c r="L14709" s="88" t="n">
        <v>201208</v>
      </c>
      <c r="M14709" s="88">
        <f>VLOOKUP($Q14709,매칭테이블!$F:$I,2,0)*K14709</f>
        <v/>
      </c>
      <c r="N14709" s="88">
        <f>M14709-M14709*VLOOKUP($Q14709,매칭테이블!$F:$I,3,0)</f>
        <v/>
      </c>
      <c r="O14709" s="88">
        <f>VLOOKUP($Q14709,매칭테이블!$F:$I,4,0)*K14709</f>
        <v/>
      </c>
      <c r="P14709" s="152">
        <f>M14709/1.1</f>
        <v/>
      </c>
      <c r="Q14709" s="88">
        <f>F14709&amp;E14709&amp;G14709&amp;L14709</f>
        <v/>
      </c>
    </row>
    <row r="14710">
      <c r="B14710" s="128" t="n">
        <v>44229</v>
      </c>
      <c r="C14710" s="88">
        <f>TEXT(B14710,"aaa")</f>
        <v/>
      </c>
      <c r="D14710" s="94" t="n"/>
      <c r="E14710" s="88">
        <f>INDEX(매칭테이블!C:D,MATCH(RD!G14710,매칭테이블!D:D,0),1)</f>
        <v/>
      </c>
      <c r="F14710" s="94" t="inlineStr">
        <is>
          <t>화해</t>
        </is>
      </c>
      <c r="G14710" s="94" t="inlineStr">
        <is>
          <t>어성초 70 머드크림 마스크 100ml어성초 70 머드크림 마스크 100ml</t>
        </is>
      </c>
      <c r="K14710" s="94" t="n">
        <v>1</v>
      </c>
      <c r="L14710" s="88" t="n">
        <v>201208</v>
      </c>
      <c r="M14710" s="88">
        <f>VLOOKUP($Q14710,매칭테이블!$F:$I,2,0)*K14710</f>
        <v/>
      </c>
      <c r="N14710" s="88">
        <f>M14710-M14710*VLOOKUP($Q14710,매칭테이블!$F:$I,3,0)</f>
        <v/>
      </c>
      <c r="O14710" s="88">
        <f>VLOOKUP($Q14710,매칭테이블!$F:$I,4,0)*K14710</f>
        <v/>
      </c>
      <c r="P14710" s="152">
        <f>M14710/1.1</f>
        <v/>
      </c>
      <c r="Q14710" s="88">
        <f>F14710&amp;E14710&amp;G14710&amp;L14710</f>
        <v/>
      </c>
    </row>
    <row r="14711">
      <c r="B14711" s="128" t="n">
        <v>44229</v>
      </c>
      <c r="C14711" s="88">
        <f>TEXT(B14711,"aaa")</f>
        <v/>
      </c>
      <c r="D14711" s="94" t="n"/>
      <c r="E14711" s="88">
        <f>INDEX(매칭테이블!C:D,MATCH(RD!G14711,매칭테이블!D:D,0),1)</f>
        <v/>
      </c>
      <c r="F14711" s="94" t="inlineStr">
        <is>
          <t>화해</t>
        </is>
      </c>
      <c r="G14711" s="94" t="inlineStr">
        <is>
          <t>어성초 77 클리어 패드 70매어성초 77 클리어 패드 70매</t>
        </is>
      </c>
      <c r="K14711" s="94" t="n">
        <v>1</v>
      </c>
      <c r="L14711" s="88" t="n">
        <v>201208</v>
      </c>
      <c r="M14711" s="88">
        <f>VLOOKUP($Q14711,매칭테이블!$F:$I,2,0)*K14711</f>
        <v/>
      </c>
      <c r="N14711" s="88">
        <f>M14711-M14711*VLOOKUP($Q14711,매칭테이블!$F:$I,3,0)</f>
        <v/>
      </c>
      <c r="O14711" s="88">
        <f>VLOOKUP($Q14711,매칭테이블!$F:$I,4,0)*K14711</f>
        <v/>
      </c>
      <c r="P14711" s="152">
        <f>M14711/1.1</f>
        <v/>
      </c>
      <c r="Q14711" s="88">
        <f>F14711&amp;E14711&amp;G14711&amp;L14711</f>
        <v/>
      </c>
    </row>
    <row r="14712" customFormat="1" s="94">
      <c r="B14712" s="128" t="n">
        <v>44230</v>
      </c>
      <c r="C14712" s="88">
        <f>TEXT(B14712,"aaa")</f>
        <v/>
      </c>
      <c r="E14712" s="88">
        <f>INDEX(매칭테이블!C:D,MATCH(RD!G14712,매칭테이블!D:D,0),1)</f>
        <v/>
      </c>
      <c r="F14712" s="94" t="inlineStr">
        <is>
          <t>W컨셉</t>
        </is>
      </c>
      <c r="G14712" s="94" t="inlineStr">
        <is>
          <t>어성초 77토너 (2 SET) HEARTLEAF 77% SOOTHING TONER 250ml250ml 2set</t>
        </is>
      </c>
      <c r="K14712" s="94" t="n">
        <v>5</v>
      </c>
      <c r="L14712" s="88" t="n">
        <v>201208</v>
      </c>
      <c r="M14712" s="88">
        <f>VLOOKUP($Q14712,매칭테이블!$F:$I,2,0)*K14712</f>
        <v/>
      </c>
      <c r="N14712" s="88">
        <f>M14712-M14712*VLOOKUP($Q14712,매칭테이블!$F:$I,3,0)</f>
        <v/>
      </c>
      <c r="O14712" s="88">
        <f>VLOOKUP($Q14712,매칭테이블!$F:$I,4,0)*K14712</f>
        <v/>
      </c>
      <c r="P14712" s="152">
        <f>M14712/1.1</f>
        <v/>
      </c>
      <c r="Q14712" s="88">
        <f>F14712&amp;E14712&amp;G14712&amp;L14712</f>
        <v/>
      </c>
    </row>
    <row r="14713">
      <c r="B14713" s="128" t="n">
        <v>44230</v>
      </c>
      <c r="C14713" s="88">
        <f>TEXT(B14713,"aaa")</f>
        <v/>
      </c>
      <c r="D14713" s="94" t="n"/>
      <c r="E14713" s="88">
        <f>INDEX(매칭테이블!C:D,MATCH(RD!G14713,매칭테이블!D:D,0),1)</f>
        <v/>
      </c>
      <c r="F14713" s="94" t="inlineStr">
        <is>
          <t>스타일쉐어</t>
        </is>
      </c>
      <c r="G14713" s="94" t="inlineStr">
        <is>
          <t>아누아 어성초 77 토너 250ml</t>
        </is>
      </c>
      <c r="K14713" s="94" t="n">
        <v>1</v>
      </c>
      <c r="L14713" s="88" t="n">
        <v>201208</v>
      </c>
      <c r="M14713" s="88">
        <f>VLOOKUP($Q14713,매칭테이블!$F:$I,2,0)*K14713</f>
        <v/>
      </c>
      <c r="N14713" s="88">
        <f>M14713-M14713*VLOOKUP($Q14713,매칭테이블!$F:$I,3,0)</f>
        <v/>
      </c>
      <c r="O14713" s="88">
        <f>VLOOKUP($Q14713,매칭테이블!$F:$I,4,0)*K14713</f>
        <v/>
      </c>
      <c r="P14713" s="152">
        <f>M14713/1.1</f>
        <v/>
      </c>
      <c r="Q14713" s="88">
        <f>F14713&amp;E14713&amp;G14713&amp;L14713</f>
        <v/>
      </c>
    </row>
    <row r="14714">
      <c r="B14714" s="128" t="n">
        <v>44230</v>
      </c>
      <c r="C14714" s="88">
        <f>TEXT(B14714,"aaa")</f>
        <v/>
      </c>
      <c r="D14714" s="94" t="n"/>
      <c r="E14714" s="88">
        <f>INDEX(매칭테이블!C:D,MATCH(RD!G14714,매칭테이블!D:D,0),1)</f>
        <v/>
      </c>
      <c r="F14714" s="94" t="inlineStr">
        <is>
          <t>아누아 CS</t>
        </is>
      </c>
      <c r="G14714" s="94" t="inlineStr">
        <is>
          <t>어성초 77 토너 350ml</t>
        </is>
      </c>
      <c r="K14714" s="94" t="n">
        <v>3</v>
      </c>
      <c r="L14714" s="88" t="n">
        <v>201208</v>
      </c>
      <c r="M14714" s="88">
        <f>VLOOKUP($Q14714,매칭테이블!$F:$I,2,0)*K14714</f>
        <v/>
      </c>
      <c r="N14714" s="88">
        <f>M14714-M14714*VLOOKUP($Q14714,매칭테이블!$F:$I,3,0)</f>
        <v/>
      </c>
      <c r="O14714" s="88">
        <f>VLOOKUP($Q14714,매칭테이블!$F:$I,4,0)*K14714</f>
        <v/>
      </c>
      <c r="P14714" s="152">
        <f>M14714/1.1</f>
        <v/>
      </c>
      <c r="Q14714" s="88">
        <f>F14714&amp;E14714&amp;G14714&amp;L14714</f>
        <v/>
      </c>
    </row>
    <row r="14715">
      <c r="B14715" s="128" t="n">
        <v>44230</v>
      </c>
      <c r="C14715" s="88">
        <f>TEXT(B14715,"aaa")</f>
        <v/>
      </c>
      <c r="D14715" s="94" t="n"/>
      <c r="E14715" s="88">
        <f>INDEX(매칭테이블!C:D,MATCH(RD!G14715,매칭테이블!D:D,0),1)</f>
        <v/>
      </c>
      <c r="F14715" s="94" t="inlineStr">
        <is>
          <t>카페24</t>
        </is>
      </c>
      <c r="G14715" s="94" t="inlineStr">
        <is>
          <t>5 제로 무기자차 선크림옵션=5제로 무기자차 선크림 1개-20% off</t>
        </is>
      </c>
      <c r="K14715" s="94" t="n">
        <v>2</v>
      </c>
      <c r="L14715" s="88" t="n">
        <v>201208</v>
      </c>
      <c r="M14715" s="88">
        <f>VLOOKUP($Q14715,매칭테이블!$F:$I,2,0)*K14715</f>
        <v/>
      </c>
      <c r="N14715" s="88">
        <f>M14715-M14715*VLOOKUP($Q14715,매칭테이블!$F:$I,3,0)</f>
        <v/>
      </c>
      <c r="O14715" s="88">
        <f>VLOOKUP($Q14715,매칭테이블!$F:$I,4,0)*K14715</f>
        <v/>
      </c>
      <c r="P14715" s="152">
        <f>M14715/1.1</f>
        <v/>
      </c>
      <c r="Q14715" s="88">
        <f>F14715&amp;E14715&amp;G14715&amp;L14715</f>
        <v/>
      </c>
    </row>
    <row r="14716">
      <c r="B14716" s="128" t="n">
        <v>44230</v>
      </c>
      <c r="C14716" s="88">
        <f>TEXT(B14716,"aaa")</f>
        <v/>
      </c>
      <c r="D14716" s="94" t="n"/>
      <c r="E14716" s="88">
        <f>INDEX(매칭테이블!C:D,MATCH(RD!G14716,매칭테이블!D:D,0),1)</f>
        <v/>
      </c>
      <c r="F14716" s="94" t="inlineStr">
        <is>
          <t>카페24</t>
        </is>
      </c>
      <c r="G14716" s="94" t="inlineStr">
        <is>
          <t>5 제로 무기자차 선크림옵션=5제로 무기자차 선크림 2개-30% off (무료배송)</t>
        </is>
      </c>
      <c r="K14716" s="94" t="n">
        <v>1</v>
      </c>
      <c r="L14716" s="88" t="n">
        <v>201208</v>
      </c>
      <c r="M14716" s="88">
        <f>VLOOKUP($Q14716,매칭테이블!$F:$I,2,0)*K14716</f>
        <v/>
      </c>
      <c r="N14716" s="88">
        <f>M14716-M14716*VLOOKUP($Q14716,매칭테이블!$F:$I,3,0)</f>
        <v/>
      </c>
      <c r="O14716" s="88">
        <f>VLOOKUP($Q14716,매칭테이블!$F:$I,4,0)*K14716</f>
        <v/>
      </c>
      <c r="P14716" s="152">
        <f>M14716/1.1</f>
        <v/>
      </c>
      <c r="Q14716" s="88">
        <f>F14716&amp;E14716&amp;G14716&amp;L14716</f>
        <v/>
      </c>
    </row>
    <row r="14717">
      <c r="B14717" s="128" t="n">
        <v>44230</v>
      </c>
      <c r="C14717" s="88">
        <f>TEXT(B14717,"aaa")</f>
        <v/>
      </c>
      <c r="D14717" s="94" t="n"/>
      <c r="E14717" s="88">
        <f>INDEX(매칭테이블!C:D,MATCH(RD!G14717,매칭테이블!D:D,0),1)</f>
        <v/>
      </c>
      <c r="F14717" s="94" t="inlineStr">
        <is>
          <t>카페24</t>
        </is>
      </c>
      <c r="G14717" s="94" t="inlineStr">
        <is>
          <t>[수분 보충 세트] 어성초 77 토너 + 어성초 70 로션옵션=어성초 77 토너 250ml + 어성초 70 로션 200ml -30%</t>
        </is>
      </c>
      <c r="K14717" s="94" t="n">
        <v>62</v>
      </c>
      <c r="L14717" s="88" t="n">
        <v>201208</v>
      </c>
      <c r="M14717" s="88">
        <f>VLOOKUP($Q14717,매칭테이블!$F:$I,2,0)*K14717</f>
        <v/>
      </c>
      <c r="N14717" s="88">
        <f>M14717-M14717*VLOOKUP($Q14717,매칭테이블!$F:$I,3,0)</f>
        <v/>
      </c>
      <c r="O14717" s="88">
        <f>VLOOKUP($Q14717,매칭테이블!$F:$I,4,0)*K14717</f>
        <v/>
      </c>
      <c r="P14717" s="152">
        <f>M14717/1.1</f>
        <v/>
      </c>
      <c r="Q14717" s="88">
        <f>F14717&amp;E14717&amp;G14717&amp;L14717</f>
        <v/>
      </c>
    </row>
    <row r="14718">
      <c r="B14718" s="128" t="n">
        <v>44230</v>
      </c>
      <c r="C14718" s="88">
        <f>TEXT(B14718,"aaa")</f>
        <v/>
      </c>
      <c r="D14718" s="94" t="n"/>
      <c r="E14718" s="88">
        <f>INDEX(매칭테이블!C:D,MATCH(RD!G14718,매칭테이블!D:D,0),1)</f>
        <v/>
      </c>
      <c r="F14718" s="94" t="inlineStr">
        <is>
          <t>카페24</t>
        </is>
      </c>
      <c r="G14718" s="94" t="inlineStr">
        <is>
          <t>[어성초 진정 패키지 세트] 대용량 토너 + 앰플 + 수딩 크림 + 마스크팩 10장</t>
        </is>
      </c>
      <c r="K14718" s="94" t="n">
        <v>1</v>
      </c>
      <c r="L14718" s="88" t="n">
        <v>201208</v>
      </c>
      <c r="M14718" s="88">
        <f>VLOOKUP($Q14718,매칭테이블!$F:$I,2,0)*K14718</f>
        <v/>
      </c>
      <c r="N14718" s="88">
        <f>M14718-M14718*VLOOKUP($Q14718,매칭테이블!$F:$I,3,0)</f>
        <v/>
      </c>
      <c r="O14718" s="88">
        <f>VLOOKUP($Q14718,매칭테이블!$F:$I,4,0)*K14718</f>
        <v/>
      </c>
      <c r="P14718" s="152">
        <f>M14718/1.1</f>
        <v/>
      </c>
      <c r="Q14718" s="88">
        <f>F14718&amp;E14718&amp;G14718&amp;L14718</f>
        <v/>
      </c>
    </row>
    <row r="14719">
      <c r="B14719" s="128" t="n">
        <v>44230</v>
      </c>
      <c r="C14719" s="88">
        <f>TEXT(B14719,"aaa")</f>
        <v/>
      </c>
      <c r="D14719" s="94" t="n"/>
      <c r="E14719" s="88">
        <f>INDEX(매칭테이블!C:D,MATCH(RD!G14719,매칭테이블!D:D,0),1)</f>
        <v/>
      </c>
      <c r="F14719" s="94" t="inlineStr">
        <is>
          <t>카페24</t>
        </is>
      </c>
      <c r="G14719" s="94" t="inlineStr">
        <is>
          <t>대용량 어성초 77 수딩 토너 500ml옵션=대용량 어성초 77 토너 1개 - 27% OFF</t>
        </is>
      </c>
      <c r="K14719" s="94" t="n">
        <v>30</v>
      </c>
      <c r="L14719" s="88" t="n">
        <v>201208</v>
      </c>
      <c r="M14719" s="88">
        <f>VLOOKUP($Q14719,매칭테이블!$F:$I,2,0)*K14719</f>
        <v/>
      </c>
      <c r="N14719" s="88">
        <f>M14719-M14719*VLOOKUP($Q14719,매칭테이블!$F:$I,3,0)</f>
        <v/>
      </c>
      <c r="O14719" s="88">
        <f>VLOOKUP($Q14719,매칭테이블!$F:$I,4,0)*K14719</f>
        <v/>
      </c>
      <c r="P14719" s="152">
        <f>M14719/1.1</f>
        <v/>
      </c>
      <c r="Q14719" s="88">
        <f>F14719&amp;E14719&amp;G14719&amp;L14719</f>
        <v/>
      </c>
    </row>
    <row r="14720">
      <c r="B14720" s="128" t="n">
        <v>44230</v>
      </c>
      <c r="C14720" s="88">
        <f>TEXT(B14720,"aaa")</f>
        <v/>
      </c>
      <c r="D14720" s="94" t="n"/>
      <c r="E14720" s="88">
        <f>INDEX(매칭테이블!C:D,MATCH(RD!G14720,매칭테이블!D:D,0),1)</f>
        <v/>
      </c>
      <c r="F14720" s="94" t="inlineStr">
        <is>
          <t>카페24</t>
        </is>
      </c>
      <c r="G14720" s="94" t="inlineStr">
        <is>
          <t>대용량 어성초 77 수딩 토너 500ml화장솜(선택)=촉촉 스킨팩 화장솜</t>
        </is>
      </c>
      <c r="K14720" s="94" t="n">
        <v>4</v>
      </c>
      <c r="L14720" s="88" t="n">
        <v>201208</v>
      </c>
      <c r="M14720" s="88">
        <f>VLOOKUP($Q14720,매칭테이블!$F:$I,2,0)*K14720</f>
        <v/>
      </c>
      <c r="N14720" s="88">
        <f>M14720-M14720*VLOOKUP($Q14720,매칭테이블!$F:$I,3,0)</f>
        <v/>
      </c>
      <c r="O14720" s="88">
        <f>VLOOKUP($Q14720,매칭테이블!$F:$I,4,0)*K14720</f>
        <v/>
      </c>
      <c r="P14720" s="152">
        <f>M14720/1.1</f>
        <v/>
      </c>
      <c r="Q14720" s="88">
        <f>F14720&amp;E14720&amp;G14720&amp;L14720</f>
        <v/>
      </c>
    </row>
    <row r="14721">
      <c r="B14721" s="128" t="n">
        <v>44230</v>
      </c>
      <c r="C14721" s="88">
        <f>TEXT(B14721,"aaa")</f>
        <v/>
      </c>
      <c r="D14721" s="94" t="n"/>
      <c r="E14721" s="88">
        <f>INDEX(매칭테이블!C:D,MATCH(RD!G14721,매칭테이블!D:D,0),1)</f>
        <v/>
      </c>
      <c r="F14721" s="94" t="inlineStr">
        <is>
          <t>카페24</t>
        </is>
      </c>
      <c r="G14721" s="94" t="inlineStr">
        <is>
          <t>대용량 어성초 77 토너 500ml</t>
        </is>
      </c>
      <c r="K14721" s="94" t="n">
        <v>1</v>
      </c>
      <c r="L14721" s="88" t="n">
        <v>201208</v>
      </c>
      <c r="M14721" s="88">
        <f>VLOOKUP($Q14721,매칭테이블!$F:$I,2,0)*K14721</f>
        <v/>
      </c>
      <c r="N14721" s="88">
        <f>M14721-M14721*VLOOKUP($Q14721,매칭테이블!$F:$I,3,0)</f>
        <v/>
      </c>
      <c r="O14721" s="88">
        <f>VLOOKUP($Q14721,매칭테이블!$F:$I,4,0)*K14721</f>
        <v/>
      </c>
      <c r="P14721" s="152">
        <f>M14721/1.1</f>
        <v/>
      </c>
      <c r="Q14721" s="88">
        <f>F14721&amp;E14721&amp;G14721&amp;L14721</f>
        <v/>
      </c>
    </row>
    <row r="14722">
      <c r="B14722" s="128" t="n">
        <v>44230</v>
      </c>
      <c r="C14722" s="88">
        <f>TEXT(B14722,"aaa")</f>
        <v/>
      </c>
      <c r="D14722" s="94" t="n"/>
      <c r="E14722" s="88">
        <f>INDEX(매칭테이블!C:D,MATCH(RD!G14722,매칭테이블!D:D,0),1)</f>
        <v/>
      </c>
      <c r="F14722" s="94" t="inlineStr">
        <is>
          <t>카페24</t>
        </is>
      </c>
      <c r="G14722" s="94" t="inlineStr">
        <is>
          <t>어성초 70 데일리 릴리프 로션로션=어성초 70 데일리 릴리프 로션 1개 -20% off</t>
        </is>
      </c>
      <c r="K14722" s="94" t="n">
        <v>9</v>
      </c>
      <c r="L14722" s="88" t="n">
        <v>201208</v>
      </c>
      <c r="M14722" s="88">
        <f>VLOOKUP($Q14722,매칭테이블!$F:$I,2,0)*K14722</f>
        <v/>
      </c>
      <c r="N14722" s="88">
        <f>M14722-M14722*VLOOKUP($Q14722,매칭테이블!$F:$I,3,0)</f>
        <v/>
      </c>
      <c r="O14722" s="88">
        <f>VLOOKUP($Q14722,매칭테이블!$F:$I,4,0)*K14722</f>
        <v/>
      </c>
      <c r="P14722" s="152">
        <f>M14722/1.1</f>
        <v/>
      </c>
      <c r="Q14722" s="88">
        <f>F14722&amp;E14722&amp;G14722&amp;L14722</f>
        <v/>
      </c>
    </row>
    <row r="14723">
      <c r="B14723" s="128" t="n">
        <v>44230</v>
      </c>
      <c r="C14723" s="88">
        <f>TEXT(B14723,"aaa")</f>
        <v/>
      </c>
      <c r="D14723" s="94" t="n"/>
      <c r="E14723" s="88">
        <f>INDEX(매칭테이블!C:D,MATCH(RD!G14723,매칭테이블!D:D,0),1)</f>
        <v/>
      </c>
      <c r="F14723" s="94" t="inlineStr">
        <is>
          <t>카페24</t>
        </is>
      </c>
      <c r="G14723" s="94" t="inlineStr">
        <is>
          <t>어성초 70 데일리 릴리프 로션로션=어성초 70 데일리 릴리프 로션 2개 -30% off</t>
        </is>
      </c>
      <c r="K14723" s="94" t="n">
        <v>4</v>
      </c>
      <c r="L14723" s="88" t="n">
        <v>201208</v>
      </c>
      <c r="M14723" s="88">
        <f>VLOOKUP($Q14723,매칭테이블!$F:$I,2,0)*K14723</f>
        <v/>
      </c>
      <c r="N14723" s="88">
        <f>M14723-M14723*VLOOKUP($Q14723,매칭테이블!$F:$I,3,0)</f>
        <v/>
      </c>
      <c r="O14723" s="88">
        <f>VLOOKUP($Q14723,매칭테이블!$F:$I,4,0)*K14723</f>
        <v/>
      </c>
      <c r="P14723" s="152">
        <f>M14723/1.1</f>
        <v/>
      </c>
      <c r="Q14723" s="88">
        <f>F14723&amp;E14723&amp;G14723&amp;L14723</f>
        <v/>
      </c>
    </row>
    <row r="14724">
      <c r="B14724" s="128" t="n">
        <v>44230</v>
      </c>
      <c r="C14724" s="88">
        <f>TEXT(B14724,"aaa")</f>
        <v/>
      </c>
      <c r="D14724" s="94" t="n"/>
      <c r="E14724" s="88">
        <f>INDEX(매칭테이블!C:D,MATCH(RD!G14724,매칭테이블!D:D,0),1)</f>
        <v/>
      </c>
      <c r="F14724" s="94" t="inlineStr">
        <is>
          <t>카페24</t>
        </is>
      </c>
      <c r="G14724" s="94" t="inlineStr">
        <is>
          <t>어성초 70 데일리 릴리프 로션로션=어성초 77토너 + 어성초 70 로션 수분 보충 세트 -30% off</t>
        </is>
      </c>
      <c r="K14724" s="94" t="n">
        <v>3</v>
      </c>
      <c r="L14724" s="88" t="n">
        <v>201208</v>
      </c>
      <c r="M14724" s="88">
        <f>VLOOKUP($Q14724,매칭테이블!$F:$I,2,0)*K14724</f>
        <v/>
      </c>
      <c r="N14724" s="88">
        <f>M14724-M14724*VLOOKUP($Q14724,매칭테이블!$F:$I,3,0)</f>
        <v/>
      </c>
      <c r="O14724" s="88">
        <f>VLOOKUP($Q14724,매칭테이블!$F:$I,4,0)*K14724</f>
        <v/>
      </c>
      <c r="P14724" s="152">
        <f>M14724/1.1</f>
        <v/>
      </c>
      <c r="Q14724" s="88">
        <f>F14724&amp;E14724&amp;G14724&amp;L14724</f>
        <v/>
      </c>
    </row>
    <row r="14725">
      <c r="B14725" s="128" t="n">
        <v>44230</v>
      </c>
      <c r="C14725" s="88">
        <f>TEXT(B14725,"aaa")</f>
        <v/>
      </c>
      <c r="D14725" s="94" t="n"/>
      <c r="E14725" s="88">
        <f>INDEX(매칭테이블!C:D,MATCH(RD!G14725,매칭테이블!D:D,0),1)</f>
        <v/>
      </c>
      <c r="F14725" s="94" t="inlineStr">
        <is>
          <t>카페24</t>
        </is>
      </c>
      <c r="G14725" s="94" t="inlineStr">
        <is>
          <t>어성초 70 머드 크림 마스크옵션=어성초 70 머드 크림 마스크-20% off</t>
        </is>
      </c>
      <c r="K14725" s="94" t="n">
        <v>9</v>
      </c>
      <c r="L14725" s="88" t="n">
        <v>201208</v>
      </c>
      <c r="M14725" s="88">
        <f>VLOOKUP($Q14725,매칭테이블!$F:$I,2,0)*K14725</f>
        <v/>
      </c>
      <c r="N14725" s="88">
        <f>M14725-M14725*VLOOKUP($Q14725,매칭테이블!$F:$I,3,0)</f>
        <v/>
      </c>
      <c r="O14725" s="88">
        <f>VLOOKUP($Q14725,매칭테이블!$F:$I,4,0)*K14725</f>
        <v/>
      </c>
      <c r="P14725" s="152">
        <f>M14725/1.1</f>
        <v/>
      </c>
      <c r="Q14725" s="88">
        <f>F14725&amp;E14725&amp;G14725&amp;L14725</f>
        <v/>
      </c>
    </row>
    <row r="14726">
      <c r="B14726" s="128" t="n">
        <v>44230</v>
      </c>
      <c r="C14726" s="88">
        <f>TEXT(B14726,"aaa")</f>
        <v/>
      </c>
      <c r="D14726" s="94" t="n"/>
      <c r="E14726" s="88">
        <f>INDEX(매칭테이블!C:D,MATCH(RD!G14726,매칭테이블!D:D,0),1)</f>
        <v/>
      </c>
      <c r="F14726" s="94" t="inlineStr">
        <is>
          <t>카페24</t>
        </is>
      </c>
      <c r="G14726" s="94" t="inlineStr">
        <is>
          <t>어성초 70 머드 크림 마스크옵션=어성초 70 머드 크림 마스크 2개-30% off (무료배송)</t>
        </is>
      </c>
      <c r="K14726" s="94" t="n">
        <v>12</v>
      </c>
      <c r="L14726" s="88" t="n">
        <v>201208</v>
      </c>
      <c r="M14726" s="88">
        <f>VLOOKUP($Q14726,매칭테이블!$F:$I,2,0)*K14726</f>
        <v/>
      </c>
      <c r="N14726" s="88">
        <f>M14726-M14726*VLOOKUP($Q14726,매칭테이블!$F:$I,3,0)</f>
        <v/>
      </c>
      <c r="O14726" s="88">
        <f>VLOOKUP($Q14726,매칭테이블!$F:$I,4,0)*K14726</f>
        <v/>
      </c>
      <c r="P14726" s="152">
        <f>M14726/1.1</f>
        <v/>
      </c>
      <c r="Q14726" s="88">
        <f>F14726&amp;E14726&amp;G14726&amp;L14726</f>
        <v/>
      </c>
    </row>
    <row r="14727">
      <c r="B14727" s="128" t="n">
        <v>44230</v>
      </c>
      <c r="C14727" s="88">
        <f>TEXT(B14727,"aaa")</f>
        <v/>
      </c>
      <c r="D14727" s="94" t="n"/>
      <c r="E14727" s="88">
        <f>INDEX(매칭테이블!C:D,MATCH(RD!G14727,매칭테이블!D:D,0),1)</f>
        <v/>
      </c>
      <c r="F14727" s="94" t="inlineStr">
        <is>
          <t>카페24</t>
        </is>
      </c>
      <c r="G14727" s="94" t="inlineStr">
        <is>
          <t>어성초 70 인텐스 카밍 크림크림=어성초 70 인텐스 카밍 크림 1개 (-20%)</t>
        </is>
      </c>
      <c r="K14727" s="94" t="n">
        <v>5</v>
      </c>
      <c r="L14727" s="88" t="n">
        <v>201208</v>
      </c>
      <c r="M14727" s="88">
        <f>VLOOKUP($Q14727,매칭테이블!$F:$I,2,0)*K14727</f>
        <v/>
      </c>
      <c r="N14727" s="88">
        <f>M14727-M14727*VLOOKUP($Q14727,매칭테이블!$F:$I,3,0)</f>
        <v/>
      </c>
      <c r="O14727" s="88">
        <f>VLOOKUP($Q14727,매칭테이블!$F:$I,4,0)*K14727</f>
        <v/>
      </c>
      <c r="P14727" s="152">
        <f>M14727/1.1</f>
        <v/>
      </c>
      <c r="Q14727" s="88">
        <f>F14727&amp;E14727&amp;G14727&amp;L14727</f>
        <v/>
      </c>
    </row>
    <row r="14728">
      <c r="B14728" s="128" t="n">
        <v>44230</v>
      </c>
      <c r="C14728" s="88">
        <f>TEXT(B14728,"aaa")</f>
        <v/>
      </c>
      <c r="D14728" s="94" t="n"/>
      <c r="E14728" s="88">
        <f>INDEX(매칭테이블!C:D,MATCH(RD!G14728,매칭테이블!D:D,0),1)</f>
        <v/>
      </c>
      <c r="F14728" s="94" t="inlineStr">
        <is>
          <t>카페24</t>
        </is>
      </c>
      <c r="G14728" s="94" t="inlineStr">
        <is>
          <t>어성초 70 인텐스 카밍 크림크림=어성초 토너 250ml + 카밍 크림 50ml (-30%)</t>
        </is>
      </c>
      <c r="K14728" s="94" t="n">
        <v>1</v>
      </c>
      <c r="L14728" s="88" t="n">
        <v>201208</v>
      </c>
      <c r="M14728" s="88">
        <f>VLOOKUP($Q14728,매칭테이블!$F:$I,2,0)*K14728</f>
        <v/>
      </c>
      <c r="N14728" s="88">
        <f>M14728-M14728*VLOOKUP($Q14728,매칭테이블!$F:$I,3,0)</f>
        <v/>
      </c>
      <c r="O14728" s="88">
        <f>VLOOKUP($Q14728,매칭테이블!$F:$I,4,0)*K14728</f>
        <v/>
      </c>
      <c r="P14728" s="152">
        <f>M14728/1.1</f>
        <v/>
      </c>
      <c r="Q14728" s="88">
        <f>F14728&amp;E14728&amp;G14728&amp;L14728</f>
        <v/>
      </c>
    </row>
    <row r="14729">
      <c r="B14729" s="128" t="n">
        <v>44230</v>
      </c>
      <c r="C14729" s="88">
        <f>TEXT(B14729,"aaa")</f>
        <v/>
      </c>
      <c r="D14729" s="94" t="n"/>
      <c r="E14729" s="88">
        <f>INDEX(매칭테이블!C:D,MATCH(RD!G14729,매칭테이블!D:D,0),1)</f>
        <v/>
      </c>
      <c r="F14729" s="94" t="inlineStr">
        <is>
          <t>카페24</t>
        </is>
      </c>
      <c r="G14729" s="94" t="inlineStr">
        <is>
          <t>어성초 77 수딩 토너옵션=BEST어성초 77 토너 2개-30% off (무료배송)</t>
        </is>
      </c>
      <c r="K14729" s="94" t="n">
        <v>3</v>
      </c>
      <c r="L14729" s="88" t="n">
        <v>201208</v>
      </c>
      <c r="M14729" s="88">
        <f>VLOOKUP($Q14729,매칭테이블!$F:$I,2,0)*K14729</f>
        <v/>
      </c>
      <c r="N14729" s="88">
        <f>M14729-M14729*VLOOKUP($Q14729,매칭테이블!$F:$I,3,0)</f>
        <v/>
      </c>
      <c r="O14729" s="88">
        <f>VLOOKUP($Q14729,매칭테이블!$F:$I,4,0)*K14729</f>
        <v/>
      </c>
      <c r="P14729" s="152">
        <f>M14729/1.1</f>
        <v/>
      </c>
      <c r="Q14729" s="88">
        <f>F14729&amp;E14729&amp;G14729&amp;L14729</f>
        <v/>
      </c>
    </row>
    <row r="14730">
      <c r="B14730" s="128" t="n">
        <v>44230</v>
      </c>
      <c r="C14730" s="88">
        <f>TEXT(B14730,"aaa")</f>
        <v/>
      </c>
      <c r="D14730" s="94" t="n"/>
      <c r="E14730" s="88">
        <f>INDEX(매칭테이블!C:D,MATCH(RD!G14730,매칭테이블!D:D,0),1)</f>
        <v/>
      </c>
      <c r="F14730" s="94" t="inlineStr">
        <is>
          <t>카페24</t>
        </is>
      </c>
      <c r="G14730" s="94" t="inlineStr">
        <is>
          <t>어성초 77 수딩 토너화장솜(선택)=촉촉 스킨팩 화장솜</t>
        </is>
      </c>
      <c r="K14730" s="94" t="n">
        <v>2</v>
      </c>
      <c r="L14730" s="88" t="n">
        <v>201208</v>
      </c>
      <c r="M14730" s="88">
        <f>VLOOKUP($Q14730,매칭테이블!$F:$I,2,0)*K14730</f>
        <v/>
      </c>
      <c r="N14730" s="88">
        <f>M14730-M14730*VLOOKUP($Q14730,매칭테이블!$F:$I,3,0)</f>
        <v/>
      </c>
      <c r="O14730" s="88">
        <f>VLOOKUP($Q14730,매칭테이블!$F:$I,4,0)*K14730</f>
        <v/>
      </c>
      <c r="P14730" s="152">
        <f>M14730/1.1</f>
        <v/>
      </c>
      <c r="Q14730" s="88">
        <f>F14730&amp;E14730&amp;G14730&amp;L14730</f>
        <v/>
      </c>
    </row>
    <row r="14731">
      <c r="B14731" s="128" t="n">
        <v>44230</v>
      </c>
      <c r="C14731" s="88">
        <f>TEXT(B14731,"aaa")</f>
        <v/>
      </c>
      <c r="D14731" s="94" t="n"/>
      <c r="E14731" s="88">
        <f>INDEX(매칭테이블!C:D,MATCH(RD!G14731,매칭테이블!D:D,0),1)</f>
        <v/>
      </c>
      <c r="F14731" s="94" t="inlineStr">
        <is>
          <t>카페24</t>
        </is>
      </c>
      <c r="G14731" s="94" t="inlineStr">
        <is>
          <t>어성초 77 수딩 토너토너(필수)=어성초 77 토너 1개-20% off</t>
        </is>
      </c>
      <c r="K14731" s="94" t="n">
        <v>1</v>
      </c>
      <c r="L14731" s="88" t="n">
        <v>201208</v>
      </c>
      <c r="M14731" s="88">
        <f>VLOOKUP($Q14731,매칭테이블!$F:$I,2,0)*K14731</f>
        <v/>
      </c>
      <c r="N14731" s="88">
        <f>M14731-M14731*VLOOKUP($Q14731,매칭테이블!$F:$I,3,0)</f>
        <v/>
      </c>
      <c r="O14731" s="88">
        <f>VLOOKUP($Q14731,매칭테이블!$F:$I,4,0)*K14731</f>
        <v/>
      </c>
      <c r="P14731" s="152">
        <f>M14731/1.1</f>
        <v/>
      </c>
      <c r="Q14731" s="88">
        <f>F14731&amp;E14731&amp;G14731&amp;L14731</f>
        <v/>
      </c>
    </row>
    <row r="14732">
      <c r="B14732" s="128" t="n">
        <v>44230</v>
      </c>
      <c r="C14732" s="88">
        <f>TEXT(B14732,"aaa")</f>
        <v/>
      </c>
      <c r="D14732" s="94" t="n"/>
      <c r="E14732" s="88">
        <f>INDEX(매칭테이블!C:D,MATCH(RD!G14732,매칭테이블!D:D,0),1)</f>
        <v/>
      </c>
      <c r="F14732" s="94" t="inlineStr">
        <is>
          <t>카페24</t>
        </is>
      </c>
      <c r="G14732" s="94" t="inlineStr">
        <is>
          <t>어성초 77 수딩 토너토너(필수)=(대용량) 어성초 77 토너 500ml (무료배송)</t>
        </is>
      </c>
      <c r="K14732" s="94" t="n">
        <v>2</v>
      </c>
      <c r="L14732" s="88" t="n">
        <v>201208</v>
      </c>
      <c r="M14732" s="88">
        <f>VLOOKUP($Q14732,매칭테이블!$F:$I,2,0)*K14732</f>
        <v/>
      </c>
      <c r="N14732" s="88">
        <f>M14732-M14732*VLOOKUP($Q14732,매칭테이블!$F:$I,3,0)</f>
        <v/>
      </c>
      <c r="O14732" s="88">
        <f>VLOOKUP($Q14732,매칭테이블!$F:$I,4,0)*K14732</f>
        <v/>
      </c>
      <c r="P14732" s="152">
        <f>M14732/1.1</f>
        <v/>
      </c>
      <c r="Q14732" s="88">
        <f>F14732&amp;E14732&amp;G14732&amp;L14732</f>
        <v/>
      </c>
    </row>
    <row r="14733">
      <c r="B14733" s="128" t="n">
        <v>44230</v>
      </c>
      <c r="C14733" s="88">
        <f>TEXT(B14733,"aaa")</f>
        <v/>
      </c>
      <c r="D14733" s="94" t="n"/>
      <c r="E14733" s="88">
        <f>INDEX(매칭테이블!C:D,MATCH(RD!G14733,매칭테이블!D:D,0),1)</f>
        <v/>
      </c>
      <c r="F14733" s="94" t="inlineStr">
        <is>
          <t>카페24</t>
        </is>
      </c>
      <c r="G14733" s="94" t="inlineStr">
        <is>
          <t>어성초 77 진정 마스크옵션=어성초 77 진정 마스크팩 1장</t>
        </is>
      </c>
      <c r="K14733" s="94" t="n">
        <v>1</v>
      </c>
      <c r="L14733" s="88" t="n">
        <v>201208</v>
      </c>
      <c r="M14733" s="88">
        <f>VLOOKUP($Q14733,매칭테이블!$F:$I,2,0)*K14733</f>
        <v/>
      </c>
      <c r="N14733" s="88">
        <f>M14733-M14733*VLOOKUP($Q14733,매칭테이블!$F:$I,3,0)</f>
        <v/>
      </c>
      <c r="O14733" s="88">
        <f>VLOOKUP($Q14733,매칭테이블!$F:$I,4,0)*K14733</f>
        <v/>
      </c>
      <c r="P14733" s="152">
        <f>M14733/1.1</f>
        <v/>
      </c>
      <c r="Q14733" s="88">
        <f>F14733&amp;E14733&amp;G14733&amp;L14733</f>
        <v/>
      </c>
    </row>
    <row r="14734">
      <c r="B14734" s="128" t="n">
        <v>44230</v>
      </c>
      <c r="C14734" s="88">
        <f>TEXT(B14734,"aaa")</f>
        <v/>
      </c>
      <c r="D14734" s="94" t="n"/>
      <c r="E14734" s="88">
        <f>INDEX(매칭테이블!C:D,MATCH(RD!G14734,매칭테이블!D:D,0),1)</f>
        <v/>
      </c>
      <c r="F14734" s="94" t="inlineStr">
        <is>
          <t>카페24</t>
        </is>
      </c>
      <c r="G14734" s="94" t="inlineStr">
        <is>
          <t>어성초 77 진정 마스크옵션=어성초 77 진정 마스크팩 10장-50% off</t>
        </is>
      </c>
      <c r="K14734" s="94" t="n">
        <v>10</v>
      </c>
      <c r="L14734" s="88" t="n">
        <v>201208</v>
      </c>
      <c r="M14734" s="88">
        <f>VLOOKUP($Q14734,매칭테이블!$F:$I,2,0)*K14734</f>
        <v/>
      </c>
      <c r="N14734" s="88">
        <f>M14734-M14734*VLOOKUP($Q14734,매칭테이블!$F:$I,3,0)</f>
        <v/>
      </c>
      <c r="O14734" s="88">
        <f>VLOOKUP($Q14734,매칭테이블!$F:$I,4,0)*K14734</f>
        <v/>
      </c>
      <c r="P14734" s="152">
        <f>M14734/1.1</f>
        <v/>
      </c>
      <c r="Q14734" s="88">
        <f>F14734&amp;E14734&amp;G14734&amp;L14734</f>
        <v/>
      </c>
    </row>
    <row r="14735">
      <c r="B14735" s="128" t="n">
        <v>44230</v>
      </c>
      <c r="C14735" s="88">
        <f>TEXT(B14735,"aaa")</f>
        <v/>
      </c>
      <c r="D14735" s="94" t="n"/>
      <c r="E14735" s="88">
        <f>INDEX(매칭테이블!C:D,MATCH(RD!G14735,매칭테이블!D:D,0),1)</f>
        <v/>
      </c>
      <c r="F14735" s="94" t="inlineStr">
        <is>
          <t>카페24</t>
        </is>
      </c>
      <c r="G14735" s="94" t="inlineStr">
        <is>
          <t>어성초 77 진정 토너옵션=어성초 77 토너 1개-20% off</t>
        </is>
      </c>
      <c r="K14735" s="94" t="n">
        <v>55</v>
      </c>
      <c r="L14735" s="88" t="n">
        <v>201208</v>
      </c>
      <c r="M14735" s="88">
        <f>VLOOKUP($Q14735,매칭테이블!$F:$I,2,0)*K14735</f>
        <v/>
      </c>
      <c r="N14735" s="88">
        <f>M14735-M14735*VLOOKUP($Q14735,매칭테이블!$F:$I,3,0)</f>
        <v/>
      </c>
      <c r="O14735" s="88">
        <f>VLOOKUP($Q14735,매칭테이블!$F:$I,4,0)*K14735</f>
        <v/>
      </c>
      <c r="P14735" s="152">
        <f>M14735/1.1</f>
        <v/>
      </c>
      <c r="Q14735" s="88">
        <f>F14735&amp;E14735&amp;G14735&amp;L14735</f>
        <v/>
      </c>
    </row>
    <row r="14736">
      <c r="B14736" s="128" t="n">
        <v>44230</v>
      </c>
      <c r="C14736" s="88">
        <f>TEXT(B14736,"aaa")</f>
        <v/>
      </c>
      <c r="D14736" s="94" t="n"/>
      <c r="E14736" s="88">
        <f>INDEX(매칭테이블!C:D,MATCH(RD!G14736,매칭테이블!D:D,0),1)</f>
        <v/>
      </c>
      <c r="F14736" s="94" t="inlineStr">
        <is>
          <t>카페24</t>
        </is>
      </c>
      <c r="G14736" s="94" t="inlineStr">
        <is>
          <t>어성초 77 진정 토너옵션=BEST어성초 77 토너 2개-30% off (무료배송)</t>
        </is>
      </c>
      <c r="K14736" s="94" t="n">
        <v>83</v>
      </c>
      <c r="L14736" s="88" t="n">
        <v>201208</v>
      </c>
      <c r="M14736" s="88">
        <f>VLOOKUP($Q14736,매칭테이블!$F:$I,2,0)*K14736</f>
        <v/>
      </c>
      <c r="N14736" s="88">
        <f>M14736-M14736*VLOOKUP($Q14736,매칭테이블!$F:$I,3,0)</f>
        <v/>
      </c>
      <c r="O14736" s="88">
        <f>VLOOKUP($Q14736,매칭테이블!$F:$I,4,0)*K14736</f>
        <v/>
      </c>
      <c r="P14736" s="152">
        <f>M14736/1.1</f>
        <v/>
      </c>
      <c r="Q14736" s="88">
        <f>F14736&amp;E14736&amp;G14736&amp;L14736</f>
        <v/>
      </c>
    </row>
    <row r="14737">
      <c r="B14737" s="128" t="n">
        <v>44230</v>
      </c>
      <c r="C14737" s="88">
        <f>TEXT(B14737,"aaa")</f>
        <v/>
      </c>
      <c r="D14737" s="94" t="n"/>
      <c r="E14737" s="88">
        <f>INDEX(매칭테이블!C:D,MATCH(RD!G14737,매칭테이블!D:D,0),1)</f>
        <v/>
      </c>
      <c r="F14737" s="94" t="inlineStr">
        <is>
          <t>카페24</t>
        </is>
      </c>
      <c r="G14737" s="94" t="inlineStr">
        <is>
          <t>어성초 77 진정 토너옵션=어성초 77토너1개 + 어성초77패드1개 -30% off (무료배송)</t>
        </is>
      </c>
      <c r="K14737" s="94" t="n">
        <v>34</v>
      </c>
      <c r="L14737" s="88" t="n">
        <v>201208</v>
      </c>
      <c r="M14737" s="88">
        <f>VLOOKUP($Q14737,매칭테이블!$F:$I,2,0)*K14737</f>
        <v/>
      </c>
      <c r="N14737" s="88">
        <f>M14737-M14737*VLOOKUP($Q14737,매칭테이블!$F:$I,3,0)</f>
        <v/>
      </c>
      <c r="O14737" s="88">
        <f>VLOOKUP($Q14737,매칭테이블!$F:$I,4,0)*K14737</f>
        <v/>
      </c>
      <c r="P14737" s="152">
        <f>M14737/1.1</f>
        <v/>
      </c>
      <c r="Q14737" s="88">
        <f>F14737&amp;E14737&amp;G14737&amp;L14737</f>
        <v/>
      </c>
    </row>
    <row r="14738">
      <c r="B14738" s="128" t="n">
        <v>44230</v>
      </c>
      <c r="C14738" s="88">
        <f>TEXT(B14738,"aaa")</f>
        <v/>
      </c>
      <c r="D14738" s="94" t="n"/>
      <c r="E14738" s="88">
        <f>INDEX(매칭테이블!C:D,MATCH(RD!G14738,매칭테이블!D:D,0),1)</f>
        <v/>
      </c>
      <c r="F14738" s="94" t="inlineStr">
        <is>
          <t>카페24</t>
        </is>
      </c>
      <c r="G14738" s="94" t="inlineStr">
        <is>
          <t>어성초 77 진정 토너화장솜(선택)=촉촉 스킨팩 화장솜</t>
        </is>
      </c>
      <c r="K14738" s="94" t="n">
        <v>44</v>
      </c>
      <c r="L14738" s="88" t="n">
        <v>201208</v>
      </c>
      <c r="M14738" s="88">
        <f>VLOOKUP($Q14738,매칭테이블!$F:$I,2,0)*K14738</f>
        <v/>
      </c>
      <c r="N14738" s="88">
        <f>M14738-M14738*VLOOKUP($Q14738,매칭테이블!$F:$I,3,0)</f>
        <v/>
      </c>
      <c r="O14738" s="88">
        <f>VLOOKUP($Q14738,매칭테이블!$F:$I,4,0)*K14738</f>
        <v/>
      </c>
      <c r="P14738" s="152">
        <f>M14738/1.1</f>
        <v/>
      </c>
      <c r="Q14738" s="88">
        <f>F14738&amp;E14738&amp;G14738&amp;L14738</f>
        <v/>
      </c>
    </row>
    <row r="14739">
      <c r="B14739" s="128" t="n">
        <v>44230</v>
      </c>
      <c r="C14739" s="88">
        <f>TEXT(B14739,"aaa")</f>
        <v/>
      </c>
      <c r="D14739" s="94" t="n"/>
      <c r="E14739" s="88">
        <f>INDEX(매칭테이블!C:D,MATCH(RD!G14739,매칭테이블!D:D,0),1)</f>
        <v/>
      </c>
      <c r="F14739" s="94" t="inlineStr">
        <is>
          <t>카페24</t>
        </is>
      </c>
      <c r="G14739" s="94" t="inlineStr">
        <is>
          <t>어성초 77 클리어 패드옵션=어성초 77 클리어 패드 1개-20% off</t>
        </is>
      </c>
      <c r="K14739" s="94" t="n">
        <v>53</v>
      </c>
      <c r="L14739" s="88" t="n">
        <v>201208</v>
      </c>
      <c r="M14739" s="88">
        <f>VLOOKUP($Q14739,매칭테이블!$F:$I,2,0)*K14739</f>
        <v/>
      </c>
      <c r="N14739" s="88">
        <f>M14739-M14739*VLOOKUP($Q14739,매칭테이블!$F:$I,3,0)</f>
        <v/>
      </c>
      <c r="O14739" s="88">
        <f>VLOOKUP($Q14739,매칭테이블!$F:$I,4,0)*K14739</f>
        <v/>
      </c>
      <c r="P14739" s="152">
        <f>M14739/1.1</f>
        <v/>
      </c>
      <c r="Q14739" s="88">
        <f>F14739&amp;E14739&amp;G14739&amp;L14739</f>
        <v/>
      </c>
    </row>
    <row r="14740">
      <c r="B14740" s="128" t="n">
        <v>44230</v>
      </c>
      <c r="C14740" s="88">
        <f>TEXT(B14740,"aaa")</f>
        <v/>
      </c>
      <c r="D14740" s="94" t="n"/>
      <c r="E14740" s="88">
        <f>INDEX(매칭테이블!C:D,MATCH(RD!G14740,매칭테이블!D:D,0),1)</f>
        <v/>
      </c>
      <c r="F14740" s="94" t="inlineStr">
        <is>
          <t>카페24</t>
        </is>
      </c>
      <c r="G14740" s="94" t="inlineStr">
        <is>
          <t>어성초 77 클리어 패드옵션=어성초 77 클리어 패드 2개-30% off (무료배송)</t>
        </is>
      </c>
      <c r="K14740" s="94" t="n">
        <v>46</v>
      </c>
      <c r="L14740" s="88" t="n">
        <v>201208</v>
      </c>
      <c r="M14740" s="88">
        <f>VLOOKUP($Q14740,매칭테이블!$F:$I,2,0)*K14740</f>
        <v/>
      </c>
      <c r="N14740" s="88">
        <f>M14740-M14740*VLOOKUP($Q14740,매칭테이블!$F:$I,3,0)</f>
        <v/>
      </c>
      <c r="O14740" s="88">
        <f>VLOOKUP($Q14740,매칭테이블!$F:$I,4,0)*K14740</f>
        <v/>
      </c>
      <c r="P14740" s="152">
        <f>M14740/1.1</f>
        <v/>
      </c>
      <c r="Q14740" s="88">
        <f>F14740&amp;E14740&amp;G14740&amp;L14740</f>
        <v/>
      </c>
    </row>
    <row r="14741">
      <c r="B14741" s="128" t="n">
        <v>44230</v>
      </c>
      <c r="C14741" s="88">
        <f>TEXT(B14741,"aaa")</f>
        <v/>
      </c>
      <c r="D14741" s="94" t="n"/>
      <c r="E14741" s="88">
        <f>INDEX(매칭테이블!C:D,MATCH(RD!G14741,매칭테이블!D:D,0),1)</f>
        <v/>
      </c>
      <c r="F14741" s="94" t="inlineStr">
        <is>
          <t>카페24</t>
        </is>
      </c>
      <c r="G14741" s="94" t="inlineStr">
        <is>
          <t>어성초 77 클리어 패드옵션=어성초 77 클리어 패드 2+1 EVENT (무료배송)</t>
        </is>
      </c>
      <c r="K14741" s="94" t="n">
        <v>29</v>
      </c>
      <c r="L14741" s="88" t="n">
        <v>201208</v>
      </c>
      <c r="M14741" s="88">
        <f>VLOOKUP($Q14741,매칭테이블!$F:$I,2,0)*K14741</f>
        <v/>
      </c>
      <c r="N14741" s="88">
        <f>M14741-M14741*VLOOKUP($Q14741,매칭테이블!$F:$I,3,0)</f>
        <v/>
      </c>
      <c r="O14741" s="88">
        <f>VLOOKUP($Q14741,매칭테이블!$F:$I,4,0)*K14741</f>
        <v/>
      </c>
      <c r="P14741" s="152">
        <f>M14741/1.1</f>
        <v/>
      </c>
      <c r="Q14741" s="88">
        <f>F14741&amp;E14741&amp;G14741&amp;L14741</f>
        <v/>
      </c>
    </row>
    <row r="14742">
      <c r="B14742" s="128" t="n">
        <v>44230</v>
      </c>
      <c r="C14742" s="88">
        <f>TEXT(B14742,"aaa")</f>
        <v/>
      </c>
      <c r="D14742" s="94" t="n"/>
      <c r="E14742" s="88">
        <f>INDEX(매칭테이블!C:D,MATCH(RD!G14742,매칭테이블!D:D,0),1)</f>
        <v/>
      </c>
      <c r="F14742" s="94" t="inlineStr">
        <is>
          <t>카페24</t>
        </is>
      </c>
      <c r="G14742" s="94" t="inlineStr">
        <is>
          <t>어성초 77 클리어 패드옵션=어성초77토너1개+어성초77패드1개-30% off (무료배송)</t>
        </is>
      </c>
      <c r="K14742" s="94" t="n">
        <v>15</v>
      </c>
      <c r="L14742" s="88" t="n">
        <v>201208</v>
      </c>
      <c r="M14742" s="88">
        <f>VLOOKUP($Q14742,매칭테이블!$F:$I,2,0)*K14742</f>
        <v/>
      </c>
      <c r="N14742" s="88">
        <f>M14742-M14742*VLOOKUP($Q14742,매칭테이블!$F:$I,3,0)</f>
        <v/>
      </c>
      <c r="O14742" s="88">
        <f>VLOOKUP($Q14742,매칭테이블!$F:$I,4,0)*K14742</f>
        <v/>
      </c>
      <c r="P14742" s="152">
        <f>M14742/1.1</f>
        <v/>
      </c>
      <c r="Q14742" s="88">
        <f>F14742&amp;E14742&amp;G14742&amp;L14742</f>
        <v/>
      </c>
    </row>
    <row r="14743">
      <c r="B14743" s="128" t="n">
        <v>44230</v>
      </c>
      <c r="C14743" s="88">
        <f>TEXT(B14743,"aaa")</f>
        <v/>
      </c>
      <c r="D14743" s="94" t="n"/>
      <c r="E14743" s="88">
        <f>INDEX(매칭테이블!C:D,MATCH(RD!G14743,매칭테이블!D:D,0),1)</f>
        <v/>
      </c>
      <c r="F14743" s="94" t="inlineStr">
        <is>
          <t>카페24</t>
        </is>
      </c>
      <c r="G14743" s="94" t="inlineStr">
        <is>
          <t>어성초 77% 수딩 토너토너(필수)=어성초77토너1개 + 어성초77패드1개 -30% off (무료배송)</t>
        </is>
      </c>
      <c r="K14743" s="94" t="n">
        <v>1</v>
      </c>
      <c r="L14743" s="88" t="n">
        <v>201208</v>
      </c>
      <c r="M14743" s="88">
        <f>VLOOKUP($Q14743,매칭테이블!$F:$I,2,0)*K14743</f>
        <v/>
      </c>
      <c r="N14743" s="88">
        <f>M14743-M14743*VLOOKUP($Q14743,매칭테이블!$F:$I,3,0)</f>
        <v/>
      </c>
      <c r="O14743" s="88">
        <f>VLOOKUP($Q14743,매칭테이블!$F:$I,4,0)*K14743</f>
        <v/>
      </c>
      <c r="P14743" s="152">
        <f>M14743/1.1</f>
        <v/>
      </c>
      <c r="Q14743" s="88">
        <f>F14743&amp;E14743&amp;G14743&amp;L14743</f>
        <v/>
      </c>
    </row>
    <row r="14744">
      <c r="B14744" s="128" t="n">
        <v>44230</v>
      </c>
      <c r="C14744" s="88">
        <f>TEXT(B14744,"aaa")</f>
        <v/>
      </c>
      <c r="D14744" s="94" t="n"/>
      <c r="E14744" s="88">
        <f>INDEX(매칭테이블!C:D,MATCH(RD!G14744,매칭테이블!D:D,0),1)</f>
        <v/>
      </c>
      <c r="F14744" s="94" t="inlineStr">
        <is>
          <t>카페24</t>
        </is>
      </c>
      <c r="G14744" s="94" t="inlineStr">
        <is>
          <t>어성초 77% 수딩 토너화장솜(선택)=촉촉 스킨팩 화장솜</t>
        </is>
      </c>
      <c r="K14744" s="94" t="n">
        <v>1</v>
      </c>
      <c r="L14744" s="88" t="n">
        <v>201208</v>
      </c>
      <c r="M14744" s="88">
        <f>VLOOKUP($Q14744,매칭테이블!$F:$I,2,0)*K14744</f>
        <v/>
      </c>
      <c r="N14744" s="88">
        <f>M14744-M14744*VLOOKUP($Q14744,매칭테이블!$F:$I,3,0)</f>
        <v/>
      </c>
      <c r="O14744" s="88">
        <f>VLOOKUP($Q14744,매칭테이블!$F:$I,4,0)*K14744</f>
        <v/>
      </c>
      <c r="P14744" s="152">
        <f>M14744/1.1</f>
        <v/>
      </c>
      <c r="Q14744" s="88">
        <f>F14744&amp;E14744&amp;G14744&amp;L14744</f>
        <v/>
      </c>
    </row>
    <row r="14745">
      <c r="B14745" s="128" t="n">
        <v>44230</v>
      </c>
      <c r="C14745" s="88">
        <f>TEXT(B14745,"aaa")</f>
        <v/>
      </c>
      <c r="D14745" s="94" t="n"/>
      <c r="E14745" s="88">
        <f>INDEX(매칭테이블!C:D,MATCH(RD!G14745,매칭테이블!D:D,0),1)</f>
        <v/>
      </c>
      <c r="F14745" s="94" t="inlineStr">
        <is>
          <t>카페24</t>
        </is>
      </c>
      <c r="G14745" s="94" t="inlineStr">
        <is>
          <t>어성초 77% 패드옵션=어성초 77 클리어 패드 1개-20% off</t>
        </is>
      </c>
      <c r="K14745" s="94" t="n">
        <v>27</v>
      </c>
      <c r="L14745" s="88" t="n">
        <v>201208</v>
      </c>
      <c r="M14745" s="88">
        <f>VLOOKUP($Q14745,매칭테이블!$F:$I,2,0)*K14745</f>
        <v/>
      </c>
      <c r="N14745" s="88">
        <f>M14745-M14745*VLOOKUP($Q14745,매칭테이블!$F:$I,3,0)</f>
        <v/>
      </c>
      <c r="O14745" s="88">
        <f>VLOOKUP($Q14745,매칭테이블!$F:$I,4,0)*K14745</f>
        <v/>
      </c>
      <c r="P14745" s="152">
        <f>M14745/1.1</f>
        <v/>
      </c>
      <c r="Q14745" s="88">
        <f>F14745&amp;E14745&amp;G14745&amp;L14745</f>
        <v/>
      </c>
    </row>
    <row r="14746">
      <c r="B14746" s="128" t="n">
        <v>44230</v>
      </c>
      <c r="C14746" s="88">
        <f>TEXT(B14746,"aaa")</f>
        <v/>
      </c>
      <c r="D14746" s="94" t="n"/>
      <c r="E14746" s="88">
        <f>INDEX(매칭테이블!C:D,MATCH(RD!G14746,매칭테이블!D:D,0),1)</f>
        <v/>
      </c>
      <c r="F14746" s="94" t="inlineStr">
        <is>
          <t>카페24</t>
        </is>
      </c>
      <c r="G14746" s="94" t="inlineStr">
        <is>
          <t>어성초 77% 패드옵션=어성초 77 클리어 패드 2개-30% off (무료배송)</t>
        </is>
      </c>
      <c r="K14746" s="94" t="n">
        <v>32</v>
      </c>
      <c r="L14746" s="88" t="n">
        <v>201208</v>
      </c>
      <c r="M14746" s="88">
        <f>VLOOKUP($Q14746,매칭테이블!$F:$I,2,0)*K14746</f>
        <v/>
      </c>
      <c r="N14746" s="88">
        <f>M14746-M14746*VLOOKUP($Q14746,매칭테이블!$F:$I,3,0)</f>
        <v/>
      </c>
      <c r="O14746" s="88">
        <f>VLOOKUP($Q14746,매칭테이블!$F:$I,4,0)*K14746</f>
        <v/>
      </c>
      <c r="P14746" s="152">
        <f>M14746/1.1</f>
        <v/>
      </c>
      <c r="Q14746" s="88">
        <f>F14746&amp;E14746&amp;G14746&amp;L14746</f>
        <v/>
      </c>
    </row>
    <row r="14747">
      <c r="B14747" s="128" t="n">
        <v>44230</v>
      </c>
      <c r="C14747" s="88">
        <f>TEXT(B14747,"aaa")</f>
        <v/>
      </c>
      <c r="D14747" s="94" t="n"/>
      <c r="E14747" s="88">
        <f>INDEX(매칭테이블!C:D,MATCH(RD!G14747,매칭테이블!D:D,0),1)</f>
        <v/>
      </c>
      <c r="F14747" s="94" t="inlineStr">
        <is>
          <t>카페24</t>
        </is>
      </c>
      <c r="G14747" s="94" t="inlineStr">
        <is>
          <t>어성초 77% 패드옵션=어성초 77 클리어 패드 2+1 EVENT (무료배송)</t>
        </is>
      </c>
      <c r="K14747" s="94" t="n">
        <v>10</v>
      </c>
      <c r="L14747" s="88" t="n">
        <v>201208</v>
      </c>
      <c r="M14747" s="88">
        <f>VLOOKUP($Q14747,매칭테이블!$F:$I,2,0)*K14747</f>
        <v/>
      </c>
      <c r="N14747" s="88">
        <f>M14747-M14747*VLOOKUP($Q14747,매칭테이블!$F:$I,3,0)</f>
        <v/>
      </c>
      <c r="O14747" s="88">
        <f>VLOOKUP($Q14747,매칭테이블!$F:$I,4,0)*K14747</f>
        <v/>
      </c>
      <c r="P14747" s="152">
        <f>M14747/1.1</f>
        <v/>
      </c>
      <c r="Q14747" s="88">
        <f>F14747&amp;E14747&amp;G14747&amp;L14747</f>
        <v/>
      </c>
    </row>
    <row r="14748">
      <c r="B14748" s="128" t="n">
        <v>44230</v>
      </c>
      <c r="C14748" s="88">
        <f>TEXT(B14748,"aaa")</f>
        <v/>
      </c>
      <c r="D14748" s="94" t="n"/>
      <c r="E14748" s="88">
        <f>INDEX(매칭테이블!C:D,MATCH(RD!G14748,매칭테이블!D:D,0),1)</f>
        <v/>
      </c>
      <c r="F14748" s="94" t="inlineStr">
        <is>
          <t>카페24</t>
        </is>
      </c>
      <c r="G14748" s="94" t="inlineStr">
        <is>
          <t>어성초 77% 패드옵션=어성초77토너1개+어성초77패드1개-30% off (무료배송)</t>
        </is>
      </c>
      <c r="K14748" s="94" t="n">
        <v>3</v>
      </c>
      <c r="L14748" s="88" t="n">
        <v>201208</v>
      </c>
      <c r="M14748" s="88">
        <f>VLOOKUP($Q14748,매칭테이블!$F:$I,2,0)*K14748</f>
        <v/>
      </c>
      <c r="N14748" s="88">
        <f>M14748-M14748*VLOOKUP($Q14748,매칭테이블!$F:$I,3,0)</f>
        <v/>
      </c>
      <c r="O14748" s="88">
        <f>VLOOKUP($Q14748,매칭테이블!$F:$I,4,0)*K14748</f>
        <v/>
      </c>
      <c r="P14748" s="152">
        <f>M14748/1.1</f>
        <v/>
      </c>
      <c r="Q14748" s="88">
        <f>F14748&amp;E14748&amp;G14748&amp;L14748</f>
        <v/>
      </c>
    </row>
    <row r="14749">
      <c r="B14749" s="128" t="n">
        <v>44230</v>
      </c>
      <c r="C14749" s="88">
        <f>TEXT(B14749,"aaa")</f>
        <v/>
      </c>
      <c r="D14749" s="94" t="n"/>
      <c r="E14749" s="88">
        <f>INDEX(매칭테이블!C:D,MATCH(RD!G14749,매칭테이블!D:D,0),1)</f>
        <v/>
      </c>
      <c r="F14749" s="94" t="inlineStr">
        <is>
          <t>카페24</t>
        </is>
      </c>
      <c r="G14749" s="94" t="inlineStr">
        <is>
          <t>어성초 78 수딩 크림</t>
        </is>
      </c>
      <c r="K14749" s="94" t="n">
        <v>6</v>
      </c>
      <c r="L14749" s="88" t="n">
        <v>201208</v>
      </c>
      <c r="M14749" s="88">
        <f>VLOOKUP($Q14749,매칭테이블!$F:$I,2,0)*K14749</f>
        <v/>
      </c>
      <c r="N14749" s="88">
        <f>M14749-M14749*VLOOKUP($Q14749,매칭테이블!$F:$I,3,0)</f>
        <v/>
      </c>
      <c r="O14749" s="88">
        <f>VLOOKUP($Q14749,매칭테이블!$F:$I,4,0)*K14749</f>
        <v/>
      </c>
      <c r="P14749" s="152">
        <f>M14749/1.1</f>
        <v/>
      </c>
      <c r="Q14749" s="88">
        <f>F14749&amp;E14749&amp;G14749&amp;L14749</f>
        <v/>
      </c>
    </row>
    <row r="14750">
      <c r="B14750" s="128" t="n">
        <v>44230</v>
      </c>
      <c r="C14750" s="88">
        <f>TEXT(B14750,"aaa")</f>
        <v/>
      </c>
      <c r="D14750" s="94" t="n"/>
      <c r="E14750" s="88">
        <f>INDEX(매칭테이블!C:D,MATCH(RD!G14750,매칭테이블!D:D,0),1)</f>
        <v/>
      </c>
      <c r="F14750" s="94" t="inlineStr">
        <is>
          <t>카페24</t>
        </is>
      </c>
      <c r="G14750" s="94" t="inlineStr">
        <is>
          <t>어성초 78 수딩 크림</t>
        </is>
      </c>
      <c r="K14750" s="94" t="n">
        <v>6</v>
      </c>
      <c r="L14750" s="88" t="n">
        <v>201208</v>
      </c>
      <c r="M14750" s="88">
        <f>VLOOKUP($Q14750,매칭테이블!$F:$I,2,0)*K14750</f>
        <v/>
      </c>
      <c r="N14750" s="88">
        <f>M14750-M14750*VLOOKUP($Q14750,매칭테이블!$F:$I,3,0)</f>
        <v/>
      </c>
      <c r="O14750" s="88">
        <f>VLOOKUP($Q14750,매칭테이블!$F:$I,4,0)*K14750</f>
        <v/>
      </c>
      <c r="P14750" s="152">
        <f>M14750/1.1</f>
        <v/>
      </c>
      <c r="Q14750" s="88">
        <f>F14750&amp;E14750&amp;G14750&amp;L14750</f>
        <v/>
      </c>
    </row>
    <row r="14751">
      <c r="B14751" s="128" t="n">
        <v>44230</v>
      </c>
      <c r="C14751" s="88">
        <f>TEXT(B14751,"aaa")</f>
        <v/>
      </c>
      <c r="D14751" s="94" t="n"/>
      <c r="E14751" s="88">
        <f>INDEX(매칭테이블!C:D,MATCH(RD!G14751,매칭테이블!D:D,0),1)</f>
        <v/>
      </c>
      <c r="F14751" s="94" t="inlineStr">
        <is>
          <t>카페24</t>
        </is>
      </c>
      <c r="G14751" s="94" t="inlineStr">
        <is>
          <t>어성초 80 수분 진정 앰플앰플=어성초 80 앰플 1개-15%off</t>
        </is>
      </c>
      <c r="K14751" s="94" t="n">
        <v>23</v>
      </c>
      <c r="L14751" s="88" t="n">
        <v>201208</v>
      </c>
      <c r="M14751" s="88">
        <f>VLOOKUP($Q14751,매칭테이블!$F:$I,2,0)*K14751</f>
        <v/>
      </c>
      <c r="N14751" s="88">
        <f>M14751-M14751*VLOOKUP($Q14751,매칭테이블!$F:$I,3,0)</f>
        <v/>
      </c>
      <c r="O14751" s="88">
        <f>VLOOKUP($Q14751,매칭테이블!$F:$I,4,0)*K14751</f>
        <v/>
      </c>
      <c r="P14751" s="152">
        <f>M14751/1.1</f>
        <v/>
      </c>
      <c r="Q14751" s="88">
        <f>F14751&amp;E14751&amp;G14751&amp;L14751</f>
        <v/>
      </c>
    </row>
    <row r="14752">
      <c r="B14752" s="128" t="n">
        <v>44230</v>
      </c>
      <c r="C14752" s="88">
        <f>TEXT(B14752,"aaa")</f>
        <v/>
      </c>
      <c r="D14752" s="94" t="n"/>
      <c r="E14752" s="88">
        <f>INDEX(매칭테이블!C:D,MATCH(RD!G14752,매칭테이블!D:D,0),1)</f>
        <v/>
      </c>
      <c r="F14752" s="94" t="inlineStr">
        <is>
          <t>카페24</t>
        </is>
      </c>
      <c r="G14752" s="94" t="inlineStr">
        <is>
          <t>어성초 80 수분 진정 앰플앰플=어성초 80 앰플 2개-27%off (무료배송)</t>
        </is>
      </c>
      <c r="K14752" s="94" t="n">
        <v>6</v>
      </c>
      <c r="L14752" s="88" t="n">
        <v>201208</v>
      </c>
      <c r="M14752" s="88">
        <f>VLOOKUP($Q14752,매칭테이블!$F:$I,2,0)*K14752</f>
        <v/>
      </c>
      <c r="N14752" s="88">
        <f>M14752-M14752*VLOOKUP($Q14752,매칭테이블!$F:$I,3,0)</f>
        <v/>
      </c>
      <c r="O14752" s="88">
        <f>VLOOKUP($Q14752,매칭테이블!$F:$I,4,0)*K14752</f>
        <v/>
      </c>
      <c r="P14752" s="152">
        <f>M14752/1.1</f>
        <v/>
      </c>
      <c r="Q14752" s="88">
        <f>F14752&amp;E14752&amp;G14752&amp;L14752</f>
        <v/>
      </c>
    </row>
    <row r="14753">
      <c r="B14753" s="128" t="n">
        <v>44230</v>
      </c>
      <c r="C14753" s="88">
        <f>TEXT(B14753,"aaa")</f>
        <v/>
      </c>
      <c r="D14753" s="94" t="n"/>
      <c r="E14753" s="88">
        <f>INDEX(매칭테이블!C:D,MATCH(RD!G14753,매칭테이블!D:D,0),1)</f>
        <v/>
      </c>
      <c r="F14753" s="94" t="inlineStr">
        <is>
          <t>카페24</t>
        </is>
      </c>
      <c r="G14753" s="94" t="inlineStr">
        <is>
          <t>어성초 80 수분 진정 앰플</t>
        </is>
      </c>
      <c r="K14753" s="94" t="n">
        <v>6</v>
      </c>
      <c r="L14753" s="88" t="n">
        <v>201208</v>
      </c>
      <c r="M14753" s="88">
        <f>VLOOKUP($Q14753,매칭테이블!$F:$I,2,0)*K14753</f>
        <v/>
      </c>
      <c r="N14753" s="88">
        <f>M14753-M14753*VLOOKUP($Q14753,매칭테이블!$F:$I,3,0)</f>
        <v/>
      </c>
      <c r="O14753" s="88">
        <f>VLOOKUP($Q14753,매칭테이블!$F:$I,4,0)*K14753</f>
        <v/>
      </c>
      <c r="P14753" s="152">
        <f>M14753/1.1</f>
        <v/>
      </c>
      <c r="Q14753" s="88">
        <f>F14753&amp;E14753&amp;G14753&amp;L14753</f>
        <v/>
      </c>
    </row>
    <row r="14754">
      <c r="B14754" s="128" t="n">
        <v>44230</v>
      </c>
      <c r="C14754" s="88">
        <f>TEXT(B14754,"aaa")</f>
        <v/>
      </c>
      <c r="D14754" s="94" t="n"/>
      <c r="E14754" s="88">
        <f>INDEX(매칭테이블!C:D,MATCH(RD!G14754,매칭테이블!D:D,0),1)</f>
        <v/>
      </c>
      <c r="F14754" s="94" t="inlineStr">
        <is>
          <t>카페24</t>
        </is>
      </c>
      <c r="G14754" s="94" t="inlineStr">
        <is>
          <t>어성초 아크네 바디워시옵션=어성초 아크네 바디워시 1개 -30% off</t>
        </is>
      </c>
      <c r="K14754" s="94" t="n">
        <v>2</v>
      </c>
      <c r="L14754" s="88" t="n">
        <v>201208</v>
      </c>
      <c r="M14754" s="88">
        <f>VLOOKUP($Q14754,매칭테이블!$F:$I,2,0)*K14754</f>
        <v/>
      </c>
      <c r="N14754" s="88">
        <f>M14754-M14754*VLOOKUP($Q14754,매칭테이블!$F:$I,3,0)</f>
        <v/>
      </c>
      <c r="O14754" s="88">
        <f>VLOOKUP($Q14754,매칭테이블!$F:$I,4,0)*K14754</f>
        <v/>
      </c>
      <c r="P14754" s="152">
        <f>M14754/1.1</f>
        <v/>
      </c>
      <c r="Q14754" s="88">
        <f>F14754&amp;E14754&amp;G14754&amp;L14754</f>
        <v/>
      </c>
    </row>
    <row r="14755">
      <c r="B14755" s="128" t="n">
        <v>44230</v>
      </c>
      <c r="C14755" s="88">
        <f>TEXT(B14755,"aaa")</f>
        <v/>
      </c>
      <c r="D14755" s="94" t="n"/>
      <c r="E14755" s="88">
        <f>INDEX(매칭테이블!C:D,MATCH(RD!G14755,매칭테이블!D:D,0),1)</f>
        <v/>
      </c>
      <c r="F14755" s="94" t="inlineStr">
        <is>
          <t>카페24</t>
        </is>
      </c>
      <c r="G14755" s="94" t="inlineStr">
        <is>
          <t>어성초 약산성 클렌징폼클렌징폼=어성초 약산성 클렌징폼 1개 -19%off</t>
        </is>
      </c>
      <c r="K14755" s="94" t="n">
        <v>19</v>
      </c>
      <c r="L14755" s="88" t="n">
        <v>201208</v>
      </c>
      <c r="M14755" s="88">
        <f>VLOOKUP($Q14755,매칭테이블!$F:$I,2,0)*K14755</f>
        <v/>
      </c>
      <c r="N14755" s="88">
        <f>M14755-M14755*VLOOKUP($Q14755,매칭테이블!$F:$I,3,0)</f>
        <v/>
      </c>
      <c r="O14755" s="88">
        <f>VLOOKUP($Q14755,매칭테이블!$F:$I,4,0)*K14755</f>
        <v/>
      </c>
      <c r="P14755" s="152">
        <f>M14755/1.1</f>
        <v/>
      </c>
      <c r="Q14755" s="88">
        <f>F14755&amp;E14755&amp;G14755&amp;L14755</f>
        <v/>
      </c>
    </row>
    <row r="14756">
      <c r="B14756" s="128" t="n">
        <v>44230</v>
      </c>
      <c r="C14756" s="88">
        <f>TEXT(B14756,"aaa")</f>
        <v/>
      </c>
      <c r="D14756" s="94" t="n"/>
      <c r="E14756" s="88">
        <f>INDEX(매칭테이블!C:D,MATCH(RD!G14756,매칭테이블!D:D,0),1)</f>
        <v/>
      </c>
      <c r="F14756" s="94" t="inlineStr">
        <is>
          <t>카페24</t>
        </is>
      </c>
      <c r="G14756" s="94" t="inlineStr">
        <is>
          <t>어성초 약산성 클렌징폼클렌징폼=어성초 약산성 클렌징폼 2개 -25%off</t>
        </is>
      </c>
      <c r="K14756" s="94" t="n">
        <v>6</v>
      </c>
      <c r="L14756" s="88" t="n">
        <v>201208</v>
      </c>
      <c r="M14756" s="88">
        <f>VLOOKUP($Q14756,매칭테이블!$F:$I,2,0)*K14756</f>
        <v/>
      </c>
      <c r="N14756" s="88">
        <f>M14756-M14756*VLOOKUP($Q14756,매칭테이블!$F:$I,3,0)</f>
        <v/>
      </c>
      <c r="O14756" s="88">
        <f>VLOOKUP($Q14756,매칭테이블!$F:$I,4,0)*K14756</f>
        <v/>
      </c>
      <c r="P14756" s="152">
        <f>M14756/1.1</f>
        <v/>
      </c>
      <c r="Q14756" s="88">
        <f>F14756&amp;E14756&amp;G14756&amp;L14756</f>
        <v/>
      </c>
    </row>
    <row r="14757">
      <c r="B14757" s="128" t="n">
        <v>44230</v>
      </c>
      <c r="C14757" s="88">
        <f>TEXT(B14757,"aaa")</f>
        <v/>
      </c>
      <c r="D14757" s="94" t="n"/>
      <c r="E14757" s="88">
        <f>INDEX(매칭테이블!C:D,MATCH(RD!G14757,매칭테이블!D:D,0),1)</f>
        <v/>
      </c>
      <c r="F14757" s="94" t="inlineStr">
        <is>
          <t>카페24</t>
        </is>
      </c>
      <c r="G14757" s="94" t="inlineStr">
        <is>
          <t>어성초 약산성 클렌징폼클렌징폼=어성초 약산성 클렌징폼 3개 -31%off (무료배송)</t>
        </is>
      </c>
      <c r="K14757" s="94" t="n">
        <v>4</v>
      </c>
      <c r="L14757" s="88" t="n">
        <v>201208</v>
      </c>
      <c r="M14757" s="88">
        <f>VLOOKUP($Q14757,매칭테이블!$F:$I,2,0)*K14757</f>
        <v/>
      </c>
      <c r="N14757" s="88">
        <f>M14757-M14757*VLOOKUP($Q14757,매칭테이블!$F:$I,3,0)</f>
        <v/>
      </c>
      <c r="O14757" s="88">
        <f>VLOOKUP($Q14757,매칭테이블!$F:$I,4,0)*K14757</f>
        <v/>
      </c>
      <c r="P14757" s="152">
        <f>M14757/1.1</f>
        <v/>
      </c>
      <c r="Q14757" s="88">
        <f>F14757&amp;E14757&amp;G14757&amp;L14757</f>
        <v/>
      </c>
    </row>
    <row r="14758">
      <c r="B14758" s="128" t="n">
        <v>44230</v>
      </c>
      <c r="C14758" s="88">
        <f>TEXT(B14758,"aaa")</f>
        <v/>
      </c>
      <c r="D14758" s="94" t="n"/>
      <c r="E14758" s="88">
        <f>INDEX(매칭테이블!C:D,MATCH(RD!G14758,매칭테이블!D:D,0),1)</f>
        <v/>
      </c>
      <c r="F14758" s="94" t="inlineStr">
        <is>
          <t>카페24</t>
        </is>
      </c>
      <c r="G14758" s="94" t="inlineStr">
        <is>
          <t>어성초 약산성 클렌징폼</t>
        </is>
      </c>
      <c r="K14758" s="94" t="n">
        <v>1</v>
      </c>
      <c r="L14758" s="88" t="n">
        <v>201208</v>
      </c>
      <c r="M14758" s="88">
        <f>VLOOKUP($Q14758,매칭테이블!$F:$I,2,0)*K14758</f>
        <v/>
      </c>
      <c r="N14758" s="88">
        <f>M14758-M14758*VLOOKUP($Q14758,매칭테이블!$F:$I,3,0)</f>
        <v/>
      </c>
      <c r="O14758" s="88">
        <f>VLOOKUP($Q14758,매칭테이블!$F:$I,4,0)*K14758</f>
        <v/>
      </c>
      <c r="P14758" s="152">
        <f>M14758/1.1</f>
        <v/>
      </c>
      <c r="Q14758" s="88">
        <f>F14758&amp;E14758&amp;G14758&amp;L14758</f>
        <v/>
      </c>
    </row>
    <row r="14759">
      <c r="B14759" s="128" t="n">
        <v>44230</v>
      </c>
      <c r="C14759" s="88">
        <f>TEXT(B14759,"aaa")</f>
        <v/>
      </c>
      <c r="D14759" s="94" t="n"/>
      <c r="E14759" s="88">
        <f>INDEX(매칭테이블!C:D,MATCH(RD!G14759,매칭테이블!D:D,0),1)</f>
        <v/>
      </c>
      <c r="F14759" s="94" t="inlineStr">
        <is>
          <t>카페24</t>
        </is>
      </c>
      <c r="G14759" s="94" t="inlineStr">
        <is>
          <t>어성초 크림마스크 나이트 솔루션옵션=어성초 크림마스크 나이트 솔루션 1장</t>
        </is>
      </c>
      <c r="K14759" s="94" t="n">
        <v>1</v>
      </c>
      <c r="L14759" s="88" t="n">
        <v>201208</v>
      </c>
      <c r="M14759" s="88">
        <f>VLOOKUP($Q14759,매칭테이블!$F:$I,2,0)*K14759</f>
        <v/>
      </c>
      <c r="N14759" s="88">
        <f>M14759-M14759*VLOOKUP($Q14759,매칭테이블!$F:$I,3,0)</f>
        <v/>
      </c>
      <c r="O14759" s="88">
        <f>VLOOKUP($Q14759,매칭테이블!$F:$I,4,0)*K14759</f>
        <v/>
      </c>
      <c r="P14759" s="152">
        <f>M14759/1.1</f>
        <v/>
      </c>
      <c r="Q14759" s="88">
        <f>F14759&amp;E14759&amp;G14759&amp;L14759</f>
        <v/>
      </c>
    </row>
    <row r="14760">
      <c r="B14760" s="128" t="n">
        <v>44230</v>
      </c>
      <c r="C14760" s="88">
        <f>TEXT(B14760,"aaa")</f>
        <v/>
      </c>
      <c r="D14760" s="94" t="n"/>
      <c r="E14760" s="88">
        <f>INDEX(매칭테이블!C:D,MATCH(RD!G14760,매칭테이블!D:D,0),1)</f>
        <v/>
      </c>
      <c r="F14760" s="94" t="inlineStr">
        <is>
          <t>카페24</t>
        </is>
      </c>
      <c r="G14760" s="94" t="inlineStr">
        <is>
          <t>어성초 크림마스크 나이트 솔루션옵션=어성초 크림마스크 나이트 솔루션 10장 (-50%)</t>
        </is>
      </c>
      <c r="K14760" s="94" t="n">
        <v>1</v>
      </c>
      <c r="L14760" s="88" t="n">
        <v>201208</v>
      </c>
      <c r="M14760" s="88">
        <f>VLOOKUP($Q14760,매칭테이블!$F:$I,2,0)*K14760</f>
        <v/>
      </c>
      <c r="N14760" s="88">
        <f>M14760-M14760*VLOOKUP($Q14760,매칭테이블!$F:$I,3,0)</f>
        <v/>
      </c>
      <c r="O14760" s="88">
        <f>VLOOKUP($Q14760,매칭테이블!$F:$I,4,0)*K14760</f>
        <v/>
      </c>
      <c r="P14760" s="152">
        <f>M14760/1.1</f>
        <v/>
      </c>
      <c r="Q14760" s="88">
        <f>F14760&amp;E14760&amp;G14760&amp;L14760</f>
        <v/>
      </c>
    </row>
    <row r="14761">
      <c r="B14761" s="128" t="n">
        <v>44230</v>
      </c>
      <c r="C14761" s="88">
        <f>TEXT(B14761,"aaa")</f>
        <v/>
      </c>
      <c r="D14761" s="94" t="n"/>
      <c r="E14761" s="88">
        <f>INDEX(매칭테이블!C:D,MATCH(RD!G14761,매칭테이블!D:D,0),1)</f>
        <v/>
      </c>
      <c r="F14761" s="94" t="inlineStr">
        <is>
          <t>카페24</t>
        </is>
      </c>
      <c r="G14761" s="94" t="inlineStr">
        <is>
          <t>청귤 비타 잡티 마스크옵션=청귤 비타 잡티 마스크 10장 (50% off)</t>
        </is>
      </c>
      <c r="K14761" s="94" t="n">
        <v>1</v>
      </c>
      <c r="L14761" s="88" t="n">
        <v>201208</v>
      </c>
      <c r="M14761" s="88">
        <f>VLOOKUP($Q14761,매칭테이블!$F:$I,2,0)*K14761</f>
        <v/>
      </c>
      <c r="N14761" s="88">
        <f>M14761-M14761*VLOOKUP($Q14761,매칭테이블!$F:$I,3,0)</f>
        <v/>
      </c>
      <c r="O14761" s="88">
        <f>VLOOKUP($Q14761,매칭테이블!$F:$I,4,0)*K14761</f>
        <v/>
      </c>
      <c r="P14761" s="152">
        <f>M14761/1.1</f>
        <v/>
      </c>
      <c r="Q14761" s="88">
        <f>F14761&amp;E14761&amp;G14761&amp;L14761</f>
        <v/>
      </c>
    </row>
    <row r="14762">
      <c r="B14762" s="128" t="n">
        <v>44230</v>
      </c>
      <c r="C14762" s="88">
        <f>TEXT(B14762,"aaa")</f>
        <v/>
      </c>
      <c r="D14762" s="94" t="n"/>
      <c r="E14762" s="88">
        <f>INDEX(매칭테이블!C:D,MATCH(RD!G14762,매칭테이블!D:D,0),1)</f>
        <v/>
      </c>
      <c r="F14762" s="94" t="inlineStr">
        <is>
          <t>카페24</t>
        </is>
      </c>
      <c r="G14762" s="94" t="inlineStr">
        <is>
          <t>촉촉 스킨팩 화장솜</t>
        </is>
      </c>
      <c r="K14762" s="94" t="n">
        <v>22</v>
      </c>
      <c r="L14762" s="88" t="n">
        <v>201208</v>
      </c>
      <c r="M14762" s="88">
        <f>VLOOKUP($Q14762,매칭테이블!$F:$I,2,0)*K14762</f>
        <v/>
      </c>
      <c r="N14762" s="88">
        <f>M14762-M14762*VLOOKUP($Q14762,매칭테이블!$F:$I,3,0)</f>
        <v/>
      </c>
      <c r="O14762" s="88">
        <f>VLOOKUP($Q14762,매칭테이블!$F:$I,4,0)*K14762</f>
        <v/>
      </c>
      <c r="P14762" s="152">
        <f>M14762/1.1</f>
        <v/>
      </c>
      <c r="Q14762" s="88">
        <f>F14762&amp;E14762&amp;G14762&amp;L14762</f>
        <v/>
      </c>
    </row>
    <row r="14763">
      <c r="B14763" s="128" t="n">
        <v>44230</v>
      </c>
      <c r="C14763" s="88">
        <f>TEXT(B14763,"aaa")</f>
        <v/>
      </c>
      <c r="D14763" s="94" t="n"/>
      <c r="E14763" s="88">
        <f>INDEX(매칭테이블!C:D,MATCH(RD!G14763,매칭테이블!D:D,0),1)</f>
        <v/>
      </c>
      <c r="F14763" s="94" t="inlineStr">
        <is>
          <t>카페24</t>
        </is>
      </c>
      <c r="G14763" s="94" t="inlineStr">
        <is>
          <t>촉촉 스킨팩 화장솜</t>
        </is>
      </c>
      <c r="K14763" s="94" t="n">
        <v>3</v>
      </c>
      <c r="L14763" s="88" t="n">
        <v>201208</v>
      </c>
      <c r="M14763" s="88">
        <f>VLOOKUP($Q14763,매칭테이블!$F:$I,2,0)*K14763</f>
        <v/>
      </c>
      <c r="N14763" s="88">
        <f>M14763-M14763*VLOOKUP($Q14763,매칭테이블!$F:$I,3,0)</f>
        <v/>
      </c>
      <c r="O14763" s="88">
        <f>VLOOKUP($Q14763,매칭테이블!$F:$I,4,0)*K14763</f>
        <v/>
      </c>
      <c r="P14763" s="152">
        <f>M14763/1.1</f>
        <v/>
      </c>
      <c r="Q14763" s="88">
        <f>F14763&amp;E14763&amp;G14763&amp;L14763</f>
        <v/>
      </c>
    </row>
    <row r="14764">
      <c r="B14764" s="128" t="n">
        <v>44230</v>
      </c>
      <c r="C14764" s="88">
        <f>TEXT(B14764,"aaa")</f>
        <v/>
      </c>
      <c r="D14764" s="94" t="n"/>
      <c r="E14764" s="88">
        <f>INDEX(매칭테이블!C:D,MATCH(RD!G14764,매칭테이블!D:D,0),1)</f>
        <v/>
      </c>
      <c r="F14764" s="94" t="inlineStr">
        <is>
          <t>화해</t>
        </is>
      </c>
      <c r="G14764" s="94" t="inlineStr">
        <is>
          <t>어성초 70 머드크림 마스크 100ml어성초 70 머드크림 마스크 100ml</t>
        </is>
      </c>
      <c r="K14764" s="94" t="n">
        <v>1</v>
      </c>
      <c r="L14764" s="88" t="n">
        <v>201208</v>
      </c>
      <c r="M14764" s="88">
        <f>VLOOKUP($Q14764,매칭테이블!$F:$I,2,0)*K14764</f>
        <v/>
      </c>
      <c r="N14764" s="88">
        <f>M14764-M14764*VLOOKUP($Q14764,매칭테이블!$F:$I,3,0)</f>
        <v/>
      </c>
      <c r="O14764" s="88">
        <f>VLOOKUP($Q14764,매칭테이블!$F:$I,4,0)*K14764</f>
        <v/>
      </c>
      <c r="P14764" s="152">
        <f>M14764/1.1</f>
        <v/>
      </c>
      <c r="Q14764" s="88">
        <f>F14764&amp;E14764&amp;G14764&amp;L14764</f>
        <v/>
      </c>
    </row>
    <row r="14765">
      <c r="B14765" s="128" t="n">
        <v>44230</v>
      </c>
      <c r="C14765" s="88">
        <f>TEXT(B14765,"aaa")</f>
        <v/>
      </c>
      <c r="D14765" s="94" t="n"/>
      <c r="E14765" s="88">
        <f>INDEX(매칭테이블!C:D,MATCH(RD!G14765,매칭테이블!D:D,0),1)</f>
        <v/>
      </c>
      <c r="F14765" s="94" t="inlineStr">
        <is>
          <t>화해</t>
        </is>
      </c>
      <c r="G14765" s="94" t="inlineStr">
        <is>
          <t>어성초 약산성 클렌징폼 120ml어성초 약산성 클렌징폼 120ml</t>
        </is>
      </c>
      <c r="K14765" s="94" t="n">
        <v>2</v>
      </c>
      <c r="L14765" s="88" t="n">
        <v>201208</v>
      </c>
      <c r="M14765" s="88">
        <f>VLOOKUP($Q14765,매칭테이블!$F:$I,2,0)*K14765</f>
        <v/>
      </c>
      <c r="N14765" s="88">
        <f>M14765-M14765*VLOOKUP($Q14765,매칭테이블!$F:$I,3,0)</f>
        <v/>
      </c>
      <c r="O14765" s="88">
        <f>VLOOKUP($Q14765,매칭테이블!$F:$I,4,0)*K14765</f>
        <v/>
      </c>
      <c r="P14765" s="152">
        <f>M14765/1.1</f>
        <v/>
      </c>
      <c r="Q14765" s="88">
        <f>F14765&amp;E14765&amp;G14765&amp;L14765</f>
        <v/>
      </c>
    </row>
    <row r="14766">
      <c r="B14766" s="128" t="n">
        <v>44231</v>
      </c>
      <c r="C14766" s="88">
        <f>TEXT(B14766,"aaa")</f>
        <v/>
      </c>
      <c r="D14766" s="94" t="n"/>
      <c r="E14766" s="88">
        <f>INDEX(매칭테이블!C:D,MATCH(RD!G14766,매칭테이블!D:D,0),1)</f>
        <v/>
      </c>
      <c r="F14766" s="94" t="inlineStr">
        <is>
          <t>W컨셉</t>
        </is>
      </c>
      <c r="G14766" s="94" t="inlineStr">
        <is>
          <t>어성초 77토너 (2 SET) HEARTLEAF 77% SOOTHING TONER 250ml250ml 2set</t>
        </is>
      </c>
      <c r="K14766" s="94" t="n">
        <v>8</v>
      </c>
      <c r="L14766" s="88" t="n">
        <v>201208</v>
      </c>
      <c r="M14766" s="88">
        <f>VLOOKUP($Q14766,매칭테이블!$F:$I,2,0)*K14766</f>
        <v/>
      </c>
      <c r="N14766" s="88">
        <f>M14766-M14766*VLOOKUP($Q14766,매칭테이블!$F:$I,3,0)</f>
        <v/>
      </c>
      <c r="O14766" s="88">
        <f>VLOOKUP($Q14766,매칭테이블!$F:$I,4,0)*K14766</f>
        <v/>
      </c>
      <c r="P14766" s="152">
        <f>M14766/1.1</f>
        <v/>
      </c>
      <c r="Q14766" s="88">
        <f>F14766&amp;E14766&amp;G14766&amp;L14766</f>
        <v/>
      </c>
    </row>
    <row r="14767">
      <c r="B14767" s="128" t="n">
        <v>44231</v>
      </c>
      <c r="C14767" s="88">
        <f>TEXT(B14767,"aaa")</f>
        <v/>
      </c>
      <c r="D14767" s="94" t="n"/>
      <c r="E14767" s="88">
        <f>INDEX(매칭테이블!C:D,MATCH(RD!G14767,매칭테이블!D:D,0),1)</f>
        <v/>
      </c>
      <c r="F14767" s="94" t="inlineStr">
        <is>
          <t>글로우데이즈 시코르</t>
        </is>
      </c>
      <c r="G14767" s="94" t="inlineStr">
        <is>
          <t>어성초 70 로션 200ml</t>
        </is>
      </c>
      <c r="K14767" s="94" t="n">
        <v>40</v>
      </c>
      <c r="L14767" s="88" t="n">
        <v>201208</v>
      </c>
      <c r="M14767" s="88">
        <f>VLOOKUP($Q14767,매칭테이블!$F:$I,2,0)*K14767</f>
        <v/>
      </c>
      <c r="N14767" s="88">
        <f>M14767-M14767*VLOOKUP($Q14767,매칭테이블!$F:$I,3,0)</f>
        <v/>
      </c>
      <c r="O14767" s="88">
        <f>VLOOKUP($Q14767,매칭테이블!$F:$I,4,0)*K14767</f>
        <v/>
      </c>
      <c r="P14767" s="152">
        <f>M14767/1.1</f>
        <v/>
      </c>
      <c r="Q14767" s="88">
        <f>F14767&amp;E14767&amp;G14767&amp;L14767</f>
        <v/>
      </c>
    </row>
    <row r="14768">
      <c r="B14768" s="128" t="n">
        <v>44231</v>
      </c>
      <c r="C14768" s="88">
        <f>TEXT(B14768,"aaa")</f>
        <v/>
      </c>
      <c r="D14768" s="94" t="n"/>
      <c r="E14768" s="88">
        <f>INDEX(매칭테이블!C:D,MATCH(RD!G14768,매칭테이블!D:D,0),1)</f>
        <v/>
      </c>
      <c r="F14768" s="94" t="inlineStr">
        <is>
          <t>스타일쉐어</t>
        </is>
      </c>
      <c r="G14768" s="94" t="inlineStr">
        <is>
          <t>아누아 어성초 77 토너 250ml</t>
        </is>
      </c>
      <c r="K14768" s="94" t="n">
        <v>3</v>
      </c>
      <c r="L14768" s="88" t="n">
        <v>201208</v>
      </c>
      <c r="M14768" s="88">
        <f>VLOOKUP($Q14768,매칭테이블!$F:$I,2,0)*K14768</f>
        <v/>
      </c>
      <c r="N14768" s="88">
        <f>M14768-M14768*VLOOKUP($Q14768,매칭테이블!$F:$I,3,0)</f>
        <v/>
      </c>
      <c r="O14768" s="88">
        <f>VLOOKUP($Q14768,매칭테이블!$F:$I,4,0)*K14768</f>
        <v/>
      </c>
      <c r="P14768" s="152">
        <f>M14768/1.1</f>
        <v/>
      </c>
      <c r="Q14768" s="88">
        <f>F14768&amp;E14768&amp;G14768&amp;L14768</f>
        <v/>
      </c>
    </row>
    <row r="14769">
      <c r="B14769" s="128" t="n">
        <v>44231</v>
      </c>
      <c r="C14769" s="88">
        <f>TEXT(B14769,"aaa")</f>
        <v/>
      </c>
      <c r="D14769" s="94" t="n"/>
      <c r="E14769" s="88">
        <f>INDEX(매칭테이블!C:D,MATCH(RD!G14769,매칭테이블!D:D,0),1)</f>
        <v/>
      </c>
      <c r="F14769" s="94" t="inlineStr">
        <is>
          <t>아누아 CS</t>
        </is>
      </c>
      <c r="G14769" s="94" t="inlineStr">
        <is>
          <t>어성초 77 토너 250ml</t>
        </is>
      </c>
      <c r="K14769" s="94" t="n">
        <v>10</v>
      </c>
      <c r="L14769" s="88" t="n">
        <v>201208</v>
      </c>
      <c r="M14769" s="88">
        <f>VLOOKUP($Q14769,매칭테이블!$F:$I,2,0)*K14769</f>
        <v/>
      </c>
      <c r="N14769" s="88">
        <f>M14769-M14769*VLOOKUP($Q14769,매칭테이블!$F:$I,3,0)</f>
        <v/>
      </c>
      <c r="O14769" s="88">
        <f>VLOOKUP($Q14769,매칭테이블!$F:$I,4,0)*K14769</f>
        <v/>
      </c>
      <c r="P14769" s="152">
        <f>M14769/1.1</f>
        <v/>
      </c>
      <c r="Q14769" s="88">
        <f>F14769&amp;E14769&amp;G14769&amp;L14769</f>
        <v/>
      </c>
    </row>
    <row r="14770">
      <c r="B14770" s="128" t="n">
        <v>44231</v>
      </c>
      <c r="C14770" s="88">
        <f>TEXT(B14770,"aaa")</f>
        <v/>
      </c>
      <c r="D14770" s="94" t="n"/>
      <c r="E14770" s="88">
        <f>INDEX(매칭테이블!C:D,MATCH(RD!G14770,매칭테이블!D:D,0),1)</f>
        <v/>
      </c>
      <c r="F14770" s="94" t="inlineStr">
        <is>
          <t>카페24</t>
        </is>
      </c>
      <c r="G14770" s="94" t="inlineStr">
        <is>
          <t>5 제로 무기자차 선크림옵션=5제로 무기자차 선크림 1개-20% off</t>
        </is>
      </c>
      <c r="K14770" s="94" t="n">
        <v>3</v>
      </c>
      <c r="L14770" s="88" t="n">
        <v>201208</v>
      </c>
      <c r="M14770" s="88">
        <f>VLOOKUP($Q14770,매칭테이블!$F:$I,2,0)*K14770</f>
        <v/>
      </c>
      <c r="N14770" s="88">
        <f>M14770-M14770*VLOOKUP($Q14770,매칭테이블!$F:$I,3,0)</f>
        <v/>
      </c>
      <c r="O14770" s="88">
        <f>VLOOKUP($Q14770,매칭테이블!$F:$I,4,0)*K14770</f>
        <v/>
      </c>
      <c r="P14770" s="152">
        <f>M14770/1.1</f>
        <v/>
      </c>
      <c r="Q14770" s="88">
        <f>F14770&amp;E14770&amp;G14770&amp;L14770</f>
        <v/>
      </c>
    </row>
    <row r="14771">
      <c r="B14771" s="128" t="n">
        <v>44231</v>
      </c>
      <c r="C14771" s="88">
        <f>TEXT(B14771,"aaa")</f>
        <v/>
      </c>
      <c r="D14771" s="94" t="n"/>
      <c r="E14771" s="88">
        <f>INDEX(매칭테이블!C:D,MATCH(RD!G14771,매칭테이블!D:D,0),1)</f>
        <v/>
      </c>
      <c r="F14771" s="94" t="inlineStr">
        <is>
          <t>카페24</t>
        </is>
      </c>
      <c r="G14771" s="94" t="inlineStr">
        <is>
          <t>[수분 보충 세트] 어성초 77 토너 + 어성초 70 로션옵션=어성초 77 토너 250ml + 어성초 70 로션 200ml -30%</t>
        </is>
      </c>
      <c r="K14771" s="94" t="n">
        <v>54</v>
      </c>
      <c r="L14771" s="88" t="n">
        <v>201208</v>
      </c>
      <c r="M14771" s="88">
        <f>VLOOKUP($Q14771,매칭테이블!$F:$I,2,0)*K14771</f>
        <v/>
      </c>
      <c r="N14771" s="88">
        <f>M14771-M14771*VLOOKUP($Q14771,매칭테이블!$F:$I,3,0)</f>
        <v/>
      </c>
      <c r="O14771" s="88">
        <f>VLOOKUP($Q14771,매칭테이블!$F:$I,4,0)*K14771</f>
        <v/>
      </c>
      <c r="P14771" s="152">
        <f>M14771/1.1</f>
        <v/>
      </c>
      <c r="Q14771" s="88">
        <f>F14771&amp;E14771&amp;G14771&amp;L14771</f>
        <v/>
      </c>
    </row>
    <row r="14772">
      <c r="B14772" s="128" t="n">
        <v>44231</v>
      </c>
      <c r="C14772" s="88">
        <f>TEXT(B14772,"aaa")</f>
        <v/>
      </c>
      <c r="D14772" s="94" t="n"/>
      <c r="E14772" s="88">
        <f>INDEX(매칭테이블!C:D,MATCH(RD!G14772,매칭테이블!D:D,0),1)</f>
        <v/>
      </c>
      <c r="F14772" s="94" t="inlineStr">
        <is>
          <t>카페24</t>
        </is>
      </c>
      <c r="G14772" s="94" t="inlineStr">
        <is>
          <t>[어성초 진정 패키지 세트] 대용량 토너 + 앰플 + 수딩 크림 + 마스크팩 10장</t>
        </is>
      </c>
      <c r="K14772" s="94" t="n">
        <v>1</v>
      </c>
      <c r="L14772" s="88" t="n">
        <v>201208</v>
      </c>
      <c r="M14772" s="88">
        <f>VLOOKUP($Q14772,매칭테이블!$F:$I,2,0)*K14772</f>
        <v/>
      </c>
      <c r="N14772" s="88">
        <f>M14772-M14772*VLOOKUP($Q14772,매칭테이블!$F:$I,3,0)</f>
        <v/>
      </c>
      <c r="O14772" s="88">
        <f>VLOOKUP($Q14772,매칭테이블!$F:$I,4,0)*K14772</f>
        <v/>
      </c>
      <c r="P14772" s="152">
        <f>M14772/1.1</f>
        <v/>
      </c>
      <c r="Q14772" s="88">
        <f>F14772&amp;E14772&amp;G14772&amp;L14772</f>
        <v/>
      </c>
    </row>
    <row r="14773">
      <c r="B14773" s="128" t="n">
        <v>44231</v>
      </c>
      <c r="C14773" s="88">
        <f>TEXT(B14773,"aaa")</f>
        <v/>
      </c>
      <c r="D14773" s="94" t="n"/>
      <c r="E14773" s="88">
        <f>INDEX(매칭테이블!C:D,MATCH(RD!G14773,매칭테이블!D:D,0),1)</f>
        <v/>
      </c>
      <c r="F14773" s="94" t="inlineStr">
        <is>
          <t>카페24</t>
        </is>
      </c>
      <c r="G14773" s="94" t="inlineStr">
        <is>
          <t>대용량 어성초 77 수딩 토너 500ml옵션=대용량 어성초 77 토너 1개 - 27% OFF</t>
        </is>
      </c>
      <c r="K14773" s="94" t="n">
        <v>34</v>
      </c>
      <c r="L14773" s="88" t="n">
        <v>201208</v>
      </c>
      <c r="M14773" s="88">
        <f>VLOOKUP($Q14773,매칭테이블!$F:$I,2,0)*K14773</f>
        <v/>
      </c>
      <c r="N14773" s="88">
        <f>M14773-M14773*VLOOKUP($Q14773,매칭테이블!$F:$I,3,0)</f>
        <v/>
      </c>
      <c r="O14773" s="88">
        <f>VLOOKUP($Q14773,매칭테이블!$F:$I,4,0)*K14773</f>
        <v/>
      </c>
      <c r="P14773" s="152">
        <f>M14773/1.1</f>
        <v/>
      </c>
      <c r="Q14773" s="88">
        <f>F14773&amp;E14773&amp;G14773&amp;L14773</f>
        <v/>
      </c>
    </row>
    <row r="14774">
      <c r="B14774" s="128" t="n">
        <v>44231</v>
      </c>
      <c r="C14774" s="88">
        <f>TEXT(B14774,"aaa")</f>
        <v/>
      </c>
      <c r="D14774" s="94" t="n"/>
      <c r="E14774" s="88">
        <f>INDEX(매칭테이블!C:D,MATCH(RD!G14774,매칭테이블!D:D,0),1)</f>
        <v/>
      </c>
      <c r="F14774" s="94" t="inlineStr">
        <is>
          <t>카페24</t>
        </is>
      </c>
      <c r="G14774" s="94" t="inlineStr">
        <is>
          <t>대용량 어성초 77 수딩 토너 500ml화장솜(선택)=촉촉 스킨팩 화장솜</t>
        </is>
      </c>
      <c r="K14774" s="94" t="n">
        <v>9</v>
      </c>
      <c r="L14774" s="88" t="n">
        <v>201208</v>
      </c>
      <c r="M14774" s="88">
        <f>VLOOKUP($Q14774,매칭테이블!$F:$I,2,0)*K14774</f>
        <v/>
      </c>
      <c r="N14774" s="88">
        <f>M14774-M14774*VLOOKUP($Q14774,매칭테이블!$F:$I,3,0)</f>
        <v/>
      </c>
      <c r="O14774" s="88">
        <f>VLOOKUP($Q14774,매칭테이블!$F:$I,4,0)*K14774</f>
        <v/>
      </c>
      <c r="P14774" s="152">
        <f>M14774/1.1</f>
        <v/>
      </c>
      <c r="Q14774" s="88">
        <f>F14774&amp;E14774&amp;G14774&amp;L14774</f>
        <v/>
      </c>
    </row>
    <row r="14775">
      <c r="B14775" s="128" t="n">
        <v>44231</v>
      </c>
      <c r="C14775" s="88">
        <f>TEXT(B14775,"aaa")</f>
        <v/>
      </c>
      <c r="D14775" s="94" t="n"/>
      <c r="E14775" s="88">
        <f>INDEX(매칭테이블!C:D,MATCH(RD!G14775,매칭테이블!D:D,0),1)</f>
        <v/>
      </c>
      <c r="F14775" s="94" t="inlineStr">
        <is>
          <t>카페24</t>
        </is>
      </c>
      <c r="G14775" s="94" t="inlineStr">
        <is>
          <t>어성초 70 데일리 릴리프 로션로션=어성초 70 데일리 릴리프 로션 1개 -20% off</t>
        </is>
      </c>
      <c r="K14775" s="94" t="n">
        <v>14</v>
      </c>
      <c r="L14775" s="88" t="n">
        <v>201208</v>
      </c>
      <c r="M14775" s="88">
        <f>VLOOKUP($Q14775,매칭테이블!$F:$I,2,0)*K14775</f>
        <v/>
      </c>
      <c r="N14775" s="88">
        <f>M14775-M14775*VLOOKUP($Q14775,매칭테이블!$F:$I,3,0)</f>
        <v/>
      </c>
      <c r="O14775" s="88">
        <f>VLOOKUP($Q14775,매칭테이블!$F:$I,4,0)*K14775</f>
        <v/>
      </c>
      <c r="P14775" s="152">
        <f>M14775/1.1</f>
        <v/>
      </c>
      <c r="Q14775" s="88">
        <f>F14775&amp;E14775&amp;G14775&amp;L14775</f>
        <v/>
      </c>
    </row>
    <row r="14776">
      <c r="B14776" s="128" t="n">
        <v>44231</v>
      </c>
      <c r="C14776" s="88">
        <f>TEXT(B14776,"aaa")</f>
        <v/>
      </c>
      <c r="D14776" s="94" t="n"/>
      <c r="E14776" s="88">
        <f>INDEX(매칭테이블!C:D,MATCH(RD!G14776,매칭테이블!D:D,0),1)</f>
        <v/>
      </c>
      <c r="F14776" s="94" t="inlineStr">
        <is>
          <t>카페24</t>
        </is>
      </c>
      <c r="G14776" s="94" t="inlineStr">
        <is>
          <t>어성초 70 데일리 릴리프 로션로션=어성초 70 데일리 릴리프 로션 2개 -30% off</t>
        </is>
      </c>
      <c r="K14776" s="94" t="n">
        <v>3</v>
      </c>
      <c r="L14776" s="88" t="n">
        <v>201208</v>
      </c>
      <c r="M14776" s="88">
        <f>VLOOKUP($Q14776,매칭테이블!$F:$I,2,0)*K14776</f>
        <v/>
      </c>
      <c r="N14776" s="88">
        <f>M14776-M14776*VLOOKUP($Q14776,매칭테이블!$F:$I,3,0)</f>
        <v/>
      </c>
      <c r="O14776" s="88">
        <f>VLOOKUP($Q14776,매칭테이블!$F:$I,4,0)*K14776</f>
        <v/>
      </c>
      <c r="P14776" s="152">
        <f>M14776/1.1</f>
        <v/>
      </c>
      <c r="Q14776" s="88">
        <f>F14776&amp;E14776&amp;G14776&amp;L14776</f>
        <v/>
      </c>
    </row>
    <row r="14777">
      <c r="B14777" s="128" t="n">
        <v>44231</v>
      </c>
      <c r="C14777" s="88">
        <f>TEXT(B14777,"aaa")</f>
        <v/>
      </c>
      <c r="D14777" s="94" t="n"/>
      <c r="E14777" s="88">
        <f>INDEX(매칭테이블!C:D,MATCH(RD!G14777,매칭테이블!D:D,0),1)</f>
        <v/>
      </c>
      <c r="F14777" s="94" t="inlineStr">
        <is>
          <t>카페24</t>
        </is>
      </c>
      <c r="G14777" s="94" t="inlineStr">
        <is>
          <t>어성초 70 데일리 릴리프 로션로션=어성초 77토너 + 어성초 70 로션 수분 보충 세트 -30% off</t>
        </is>
      </c>
      <c r="K14777" s="94" t="n">
        <v>1</v>
      </c>
      <c r="L14777" s="88" t="n">
        <v>201208</v>
      </c>
      <c r="M14777" s="88">
        <f>VLOOKUP($Q14777,매칭테이블!$F:$I,2,0)*K14777</f>
        <v/>
      </c>
      <c r="N14777" s="88">
        <f>M14777-M14777*VLOOKUP($Q14777,매칭테이블!$F:$I,3,0)</f>
        <v/>
      </c>
      <c r="O14777" s="88">
        <f>VLOOKUP($Q14777,매칭테이블!$F:$I,4,0)*K14777</f>
        <v/>
      </c>
      <c r="P14777" s="152">
        <f>M14777/1.1</f>
        <v/>
      </c>
      <c r="Q14777" s="88">
        <f>F14777&amp;E14777&amp;G14777&amp;L14777</f>
        <v/>
      </c>
    </row>
    <row r="14778">
      <c r="B14778" s="128" t="n">
        <v>44231</v>
      </c>
      <c r="C14778" s="88">
        <f>TEXT(B14778,"aaa")</f>
        <v/>
      </c>
      <c r="D14778" s="94" t="n"/>
      <c r="E14778" s="88">
        <f>INDEX(매칭테이블!C:D,MATCH(RD!G14778,매칭테이블!D:D,0),1)</f>
        <v/>
      </c>
      <c r="F14778" s="94" t="inlineStr">
        <is>
          <t>카페24</t>
        </is>
      </c>
      <c r="G14778" s="94" t="inlineStr">
        <is>
          <t>어성초 70 머드 크림 마스크옵션=어성초 70 머드 크림 마스크-20% off</t>
        </is>
      </c>
      <c r="K14778" s="94" t="n">
        <v>15</v>
      </c>
      <c r="L14778" s="88" t="n">
        <v>201208</v>
      </c>
      <c r="M14778" s="88">
        <f>VLOOKUP($Q14778,매칭테이블!$F:$I,2,0)*K14778</f>
        <v/>
      </c>
      <c r="N14778" s="88">
        <f>M14778-M14778*VLOOKUP($Q14778,매칭테이블!$F:$I,3,0)</f>
        <v/>
      </c>
      <c r="O14778" s="88">
        <f>VLOOKUP($Q14778,매칭테이블!$F:$I,4,0)*K14778</f>
        <v/>
      </c>
      <c r="P14778" s="152">
        <f>M14778/1.1</f>
        <v/>
      </c>
      <c r="Q14778" s="88">
        <f>F14778&amp;E14778&amp;G14778&amp;L14778</f>
        <v/>
      </c>
    </row>
    <row r="14779">
      <c r="B14779" s="128" t="n">
        <v>44231</v>
      </c>
      <c r="C14779" s="88">
        <f>TEXT(B14779,"aaa")</f>
        <v/>
      </c>
      <c r="D14779" s="94" t="n"/>
      <c r="E14779" s="88">
        <f>INDEX(매칭테이블!C:D,MATCH(RD!G14779,매칭테이블!D:D,0),1)</f>
        <v/>
      </c>
      <c r="F14779" s="94" t="inlineStr">
        <is>
          <t>카페24</t>
        </is>
      </c>
      <c r="G14779" s="94" t="inlineStr">
        <is>
          <t>어성초 70 머드 크림 마스크옵션=어성초 70 머드 크림 마스크 2개-30% off (무료배송)</t>
        </is>
      </c>
      <c r="K14779" s="94" t="n">
        <v>12</v>
      </c>
      <c r="L14779" s="88" t="n">
        <v>201208</v>
      </c>
      <c r="M14779" s="88">
        <f>VLOOKUP($Q14779,매칭테이블!$F:$I,2,0)*K14779</f>
        <v/>
      </c>
      <c r="N14779" s="88">
        <f>M14779-M14779*VLOOKUP($Q14779,매칭테이블!$F:$I,3,0)</f>
        <v/>
      </c>
      <c r="O14779" s="88">
        <f>VLOOKUP($Q14779,매칭테이블!$F:$I,4,0)*K14779</f>
        <v/>
      </c>
      <c r="P14779" s="152">
        <f>M14779/1.1</f>
        <v/>
      </c>
      <c r="Q14779" s="88">
        <f>F14779&amp;E14779&amp;G14779&amp;L14779</f>
        <v/>
      </c>
    </row>
    <row r="14780">
      <c r="B14780" s="128" t="n">
        <v>44231</v>
      </c>
      <c r="C14780" s="88">
        <f>TEXT(B14780,"aaa")</f>
        <v/>
      </c>
      <c r="D14780" s="94" t="n"/>
      <c r="E14780" s="88">
        <f>INDEX(매칭테이블!C:D,MATCH(RD!G14780,매칭테이블!D:D,0),1)</f>
        <v/>
      </c>
      <c r="F14780" s="94" t="inlineStr">
        <is>
          <t>카페24</t>
        </is>
      </c>
      <c r="G14780" s="94" t="inlineStr">
        <is>
          <t>어성초 70 머드 크림 마스크</t>
        </is>
      </c>
      <c r="K14780" s="94" t="n">
        <v>1</v>
      </c>
      <c r="L14780" s="88" t="n">
        <v>201208</v>
      </c>
      <c r="M14780" s="88">
        <f>VLOOKUP($Q14780,매칭테이블!$F:$I,2,0)*K14780</f>
        <v/>
      </c>
      <c r="N14780" s="88">
        <f>M14780-M14780*VLOOKUP($Q14780,매칭테이블!$F:$I,3,0)</f>
        <v/>
      </c>
      <c r="O14780" s="88">
        <f>VLOOKUP($Q14780,매칭테이블!$F:$I,4,0)*K14780</f>
        <v/>
      </c>
      <c r="P14780" s="152">
        <f>M14780/1.1</f>
        <v/>
      </c>
      <c r="Q14780" s="88">
        <f>F14780&amp;E14780&amp;G14780&amp;L14780</f>
        <v/>
      </c>
    </row>
    <row r="14781">
      <c r="B14781" s="128" t="n">
        <v>44231</v>
      </c>
      <c r="C14781" s="88">
        <f>TEXT(B14781,"aaa")</f>
        <v/>
      </c>
      <c r="D14781" s="94" t="n"/>
      <c r="E14781" s="88">
        <f>INDEX(매칭테이블!C:D,MATCH(RD!G14781,매칭테이블!D:D,0),1)</f>
        <v/>
      </c>
      <c r="F14781" s="94" t="inlineStr">
        <is>
          <t>카페24</t>
        </is>
      </c>
      <c r="G14781" s="94" t="inlineStr">
        <is>
          <t>어성초 70 인텐스 카밍 크림크림=어성초 70 인텐스 카밍 크림 1개 (-20%)</t>
        </is>
      </c>
      <c r="K14781" s="94" t="n">
        <v>7</v>
      </c>
      <c r="L14781" s="88" t="n">
        <v>201208</v>
      </c>
      <c r="M14781" s="88">
        <f>VLOOKUP($Q14781,매칭테이블!$F:$I,2,0)*K14781</f>
        <v/>
      </c>
      <c r="N14781" s="88">
        <f>M14781-M14781*VLOOKUP($Q14781,매칭테이블!$F:$I,3,0)</f>
        <v/>
      </c>
      <c r="O14781" s="88">
        <f>VLOOKUP($Q14781,매칭테이블!$F:$I,4,0)*K14781</f>
        <v/>
      </c>
      <c r="P14781" s="152">
        <f>M14781/1.1</f>
        <v/>
      </c>
      <c r="Q14781" s="88">
        <f>F14781&amp;E14781&amp;G14781&amp;L14781</f>
        <v/>
      </c>
    </row>
    <row r="14782">
      <c r="B14782" s="128" t="n">
        <v>44231</v>
      </c>
      <c r="C14782" s="88">
        <f>TEXT(B14782,"aaa")</f>
        <v/>
      </c>
      <c r="D14782" s="94" t="n"/>
      <c r="E14782" s="88">
        <f>INDEX(매칭테이블!C:D,MATCH(RD!G14782,매칭테이블!D:D,0),1)</f>
        <v/>
      </c>
      <c r="F14782" s="94" t="inlineStr">
        <is>
          <t>카페24</t>
        </is>
      </c>
      <c r="G14782" s="94" t="inlineStr">
        <is>
          <t>어성초 77 수딩 토너옵션=어성초 77 토너 1개-20% off</t>
        </is>
      </c>
      <c r="K14782" s="94" t="n">
        <v>2</v>
      </c>
      <c r="L14782" s="88" t="n">
        <v>201208</v>
      </c>
      <c r="M14782" s="88">
        <f>VLOOKUP($Q14782,매칭테이블!$F:$I,2,0)*K14782</f>
        <v/>
      </c>
      <c r="N14782" s="88">
        <f>M14782-M14782*VLOOKUP($Q14782,매칭테이블!$F:$I,3,0)</f>
        <v/>
      </c>
      <c r="O14782" s="88">
        <f>VLOOKUP($Q14782,매칭테이블!$F:$I,4,0)*K14782</f>
        <v/>
      </c>
      <c r="P14782" s="152">
        <f>M14782/1.1</f>
        <v/>
      </c>
      <c r="Q14782" s="88">
        <f>F14782&amp;E14782&amp;G14782&amp;L14782</f>
        <v/>
      </c>
    </row>
    <row r="14783">
      <c r="B14783" s="128" t="n">
        <v>44231</v>
      </c>
      <c r="C14783" s="88">
        <f>TEXT(B14783,"aaa")</f>
        <v/>
      </c>
      <c r="D14783" s="94" t="n"/>
      <c r="E14783" s="88">
        <f>INDEX(매칭테이블!C:D,MATCH(RD!G14783,매칭테이블!D:D,0),1)</f>
        <v/>
      </c>
      <c r="F14783" s="94" t="inlineStr">
        <is>
          <t>카페24</t>
        </is>
      </c>
      <c r="G14783" s="94" t="inlineStr">
        <is>
          <t>어성초 77 수딩 토너화장솜(선택)=촉촉 스킨팩 화장솜</t>
        </is>
      </c>
      <c r="K14783" s="94" t="n">
        <v>1</v>
      </c>
      <c r="L14783" s="88" t="n">
        <v>201208</v>
      </c>
      <c r="M14783" s="88">
        <f>VLOOKUP($Q14783,매칭테이블!$F:$I,2,0)*K14783</f>
        <v/>
      </c>
      <c r="N14783" s="88">
        <f>M14783-M14783*VLOOKUP($Q14783,매칭테이블!$F:$I,3,0)</f>
        <v/>
      </c>
      <c r="O14783" s="88">
        <f>VLOOKUP($Q14783,매칭테이블!$F:$I,4,0)*K14783</f>
        <v/>
      </c>
      <c r="P14783" s="152">
        <f>M14783/1.1</f>
        <v/>
      </c>
      <c r="Q14783" s="88">
        <f>F14783&amp;E14783&amp;G14783&amp;L14783</f>
        <v/>
      </c>
    </row>
    <row r="14784">
      <c r="B14784" s="128" t="n">
        <v>44231</v>
      </c>
      <c r="C14784" s="88">
        <f>TEXT(B14784,"aaa")</f>
        <v/>
      </c>
      <c r="D14784" s="94" t="n"/>
      <c r="E14784" s="88">
        <f>INDEX(매칭테이블!C:D,MATCH(RD!G14784,매칭테이블!D:D,0),1)</f>
        <v/>
      </c>
      <c r="F14784" s="94" t="inlineStr">
        <is>
          <t>카페24</t>
        </is>
      </c>
      <c r="G14784" s="94" t="inlineStr">
        <is>
          <t>어성초 77 수딩 토너토너(필수)=(대용량) 어성초 77 토너 500ml (무료배송)</t>
        </is>
      </c>
      <c r="K14784" s="94" t="n">
        <v>1</v>
      </c>
      <c r="L14784" s="88" t="n">
        <v>201208</v>
      </c>
      <c r="M14784" s="88">
        <f>VLOOKUP($Q14784,매칭테이블!$F:$I,2,0)*K14784</f>
        <v/>
      </c>
      <c r="N14784" s="88">
        <f>M14784-M14784*VLOOKUP($Q14784,매칭테이블!$F:$I,3,0)</f>
        <v/>
      </c>
      <c r="O14784" s="88">
        <f>VLOOKUP($Q14784,매칭테이블!$F:$I,4,0)*K14784</f>
        <v/>
      </c>
      <c r="P14784" s="152">
        <f>M14784/1.1</f>
        <v/>
      </c>
      <c r="Q14784" s="88">
        <f>F14784&amp;E14784&amp;G14784&amp;L14784</f>
        <v/>
      </c>
    </row>
    <row r="14785">
      <c r="B14785" s="128" t="n">
        <v>44231</v>
      </c>
      <c r="C14785" s="88">
        <f>TEXT(B14785,"aaa")</f>
        <v/>
      </c>
      <c r="D14785" s="94" t="n"/>
      <c r="E14785" s="88">
        <f>INDEX(매칭테이블!C:D,MATCH(RD!G14785,매칭테이블!D:D,0),1)</f>
        <v/>
      </c>
      <c r="F14785" s="94" t="inlineStr">
        <is>
          <t>카페24</t>
        </is>
      </c>
      <c r="G14785" s="94" t="inlineStr">
        <is>
          <t>어성초 77 진정 마스크옵션=어성초 77 진정 마스크팩 1장</t>
        </is>
      </c>
      <c r="K14785" s="94" t="n">
        <v>3</v>
      </c>
      <c r="L14785" s="88" t="n">
        <v>201208</v>
      </c>
      <c r="M14785" s="88">
        <f>VLOOKUP($Q14785,매칭테이블!$F:$I,2,0)*K14785</f>
        <v/>
      </c>
      <c r="N14785" s="88">
        <f>M14785-M14785*VLOOKUP($Q14785,매칭테이블!$F:$I,3,0)</f>
        <v/>
      </c>
      <c r="O14785" s="88">
        <f>VLOOKUP($Q14785,매칭테이블!$F:$I,4,0)*K14785</f>
        <v/>
      </c>
      <c r="P14785" s="152">
        <f>M14785/1.1</f>
        <v/>
      </c>
      <c r="Q14785" s="88">
        <f>F14785&amp;E14785&amp;G14785&amp;L14785</f>
        <v/>
      </c>
    </row>
    <row r="14786">
      <c r="B14786" s="128" t="n">
        <v>44231</v>
      </c>
      <c r="C14786" s="88">
        <f>TEXT(B14786,"aaa")</f>
        <v/>
      </c>
      <c r="D14786" s="94" t="n"/>
      <c r="E14786" s="88">
        <f>INDEX(매칭테이블!C:D,MATCH(RD!G14786,매칭테이블!D:D,0),1)</f>
        <v/>
      </c>
      <c r="F14786" s="94" t="inlineStr">
        <is>
          <t>카페24</t>
        </is>
      </c>
      <c r="G14786" s="94" t="inlineStr">
        <is>
          <t>어성초 77 진정 마스크옵션=어성초 77 진정 마스크팩 10장-50% off</t>
        </is>
      </c>
      <c r="K14786" s="94" t="n">
        <v>5</v>
      </c>
      <c r="L14786" s="88" t="n">
        <v>201208</v>
      </c>
      <c r="M14786" s="88">
        <f>VLOOKUP($Q14786,매칭테이블!$F:$I,2,0)*K14786</f>
        <v/>
      </c>
      <c r="N14786" s="88">
        <f>M14786-M14786*VLOOKUP($Q14786,매칭테이블!$F:$I,3,0)</f>
        <v/>
      </c>
      <c r="O14786" s="88">
        <f>VLOOKUP($Q14786,매칭테이블!$F:$I,4,0)*K14786</f>
        <v/>
      </c>
      <c r="P14786" s="152">
        <f>M14786/1.1</f>
        <v/>
      </c>
      <c r="Q14786" s="88">
        <f>F14786&amp;E14786&amp;G14786&amp;L14786</f>
        <v/>
      </c>
    </row>
    <row r="14787">
      <c r="B14787" s="128" t="n">
        <v>44231</v>
      </c>
      <c r="C14787" s="88">
        <f>TEXT(B14787,"aaa")</f>
        <v/>
      </c>
      <c r="D14787" s="94" t="n"/>
      <c r="E14787" s="88">
        <f>INDEX(매칭테이블!C:D,MATCH(RD!G14787,매칭테이블!D:D,0),1)</f>
        <v/>
      </c>
      <c r="F14787" s="94" t="inlineStr">
        <is>
          <t>카페24</t>
        </is>
      </c>
      <c r="G14787" s="94" t="inlineStr">
        <is>
          <t>어성초 77 진정 마스크</t>
        </is>
      </c>
      <c r="K14787" s="94" t="n">
        <v>6</v>
      </c>
      <c r="L14787" s="88" t="n">
        <v>201208</v>
      </c>
      <c r="M14787" s="88">
        <f>VLOOKUP($Q14787,매칭테이블!$F:$I,2,0)*K14787</f>
        <v/>
      </c>
      <c r="N14787" s="88">
        <f>M14787-M14787*VLOOKUP($Q14787,매칭테이블!$F:$I,3,0)</f>
        <v/>
      </c>
      <c r="O14787" s="88">
        <f>VLOOKUP($Q14787,매칭테이블!$F:$I,4,0)*K14787</f>
        <v/>
      </c>
      <c r="P14787" s="152">
        <f>M14787/1.1</f>
        <v/>
      </c>
      <c r="Q14787" s="88">
        <f>F14787&amp;E14787&amp;G14787&amp;L14787</f>
        <v/>
      </c>
    </row>
    <row r="14788">
      <c r="B14788" s="128" t="n">
        <v>44231</v>
      </c>
      <c r="C14788" s="88">
        <f>TEXT(B14788,"aaa")</f>
        <v/>
      </c>
      <c r="D14788" s="94" t="n"/>
      <c r="E14788" s="88">
        <f>INDEX(매칭테이블!C:D,MATCH(RD!G14788,매칭테이블!D:D,0),1)</f>
        <v/>
      </c>
      <c r="F14788" s="94" t="inlineStr">
        <is>
          <t>카페24</t>
        </is>
      </c>
      <c r="G14788" s="94" t="inlineStr">
        <is>
          <t>어성초 77 진정 토너옵션=어성초 77 토너 1개-20% off</t>
        </is>
      </c>
      <c r="K14788" s="94" t="n">
        <v>47</v>
      </c>
      <c r="L14788" s="88" t="n">
        <v>201208</v>
      </c>
      <c r="M14788" s="88">
        <f>VLOOKUP($Q14788,매칭테이블!$F:$I,2,0)*K14788</f>
        <v/>
      </c>
      <c r="N14788" s="88">
        <f>M14788-M14788*VLOOKUP($Q14788,매칭테이블!$F:$I,3,0)</f>
        <v/>
      </c>
      <c r="O14788" s="88">
        <f>VLOOKUP($Q14788,매칭테이블!$F:$I,4,0)*K14788</f>
        <v/>
      </c>
      <c r="P14788" s="152">
        <f>M14788/1.1</f>
        <v/>
      </c>
      <c r="Q14788" s="88">
        <f>F14788&amp;E14788&amp;G14788&amp;L14788</f>
        <v/>
      </c>
    </row>
    <row r="14789">
      <c r="B14789" s="128" t="n">
        <v>44231</v>
      </c>
      <c r="C14789" s="88">
        <f>TEXT(B14789,"aaa")</f>
        <v/>
      </c>
      <c r="D14789" s="94" t="n"/>
      <c r="E14789" s="88">
        <f>INDEX(매칭테이블!C:D,MATCH(RD!G14789,매칭테이블!D:D,0),1)</f>
        <v/>
      </c>
      <c r="F14789" s="94" t="inlineStr">
        <is>
          <t>카페24</t>
        </is>
      </c>
      <c r="G14789" s="94" t="inlineStr">
        <is>
          <t>어성초 77 진정 토너옵션=BEST어성초 77 토너 2개-30% off (무료배송)</t>
        </is>
      </c>
      <c r="K14789" s="94" t="n">
        <v>54</v>
      </c>
      <c r="L14789" s="88" t="n">
        <v>201208</v>
      </c>
      <c r="M14789" s="88">
        <f>VLOOKUP($Q14789,매칭테이블!$F:$I,2,0)*K14789</f>
        <v/>
      </c>
      <c r="N14789" s="88">
        <f>M14789-M14789*VLOOKUP($Q14789,매칭테이블!$F:$I,3,0)</f>
        <v/>
      </c>
      <c r="O14789" s="88">
        <f>VLOOKUP($Q14789,매칭테이블!$F:$I,4,0)*K14789</f>
        <v/>
      </c>
      <c r="P14789" s="152">
        <f>M14789/1.1</f>
        <v/>
      </c>
      <c r="Q14789" s="88">
        <f>F14789&amp;E14789&amp;G14789&amp;L14789</f>
        <v/>
      </c>
    </row>
    <row r="14790">
      <c r="B14790" s="128" t="n">
        <v>44231</v>
      </c>
      <c r="C14790" s="88">
        <f>TEXT(B14790,"aaa")</f>
        <v/>
      </c>
      <c r="D14790" s="94" t="n"/>
      <c r="E14790" s="88">
        <f>INDEX(매칭테이블!C:D,MATCH(RD!G14790,매칭테이블!D:D,0),1)</f>
        <v/>
      </c>
      <c r="F14790" s="94" t="inlineStr">
        <is>
          <t>카페24</t>
        </is>
      </c>
      <c r="G14790" s="94" t="inlineStr">
        <is>
          <t>어성초 77 진정 토너옵션=어성초 77토너1개 + 어성초77패드1개 -30% off (무료배송)</t>
        </is>
      </c>
      <c r="K14790" s="94" t="n">
        <v>24</v>
      </c>
      <c r="L14790" s="88" t="n">
        <v>201208</v>
      </c>
      <c r="M14790" s="88">
        <f>VLOOKUP($Q14790,매칭테이블!$F:$I,2,0)*K14790</f>
        <v/>
      </c>
      <c r="N14790" s="88">
        <f>M14790-M14790*VLOOKUP($Q14790,매칭테이블!$F:$I,3,0)</f>
        <v/>
      </c>
      <c r="O14790" s="88">
        <f>VLOOKUP($Q14790,매칭테이블!$F:$I,4,0)*K14790</f>
        <v/>
      </c>
      <c r="P14790" s="152">
        <f>M14790/1.1</f>
        <v/>
      </c>
      <c r="Q14790" s="88">
        <f>F14790&amp;E14790&amp;G14790&amp;L14790</f>
        <v/>
      </c>
    </row>
    <row r="14791">
      <c r="B14791" s="128" t="n">
        <v>44231</v>
      </c>
      <c r="C14791" s="88">
        <f>TEXT(B14791,"aaa")</f>
        <v/>
      </c>
      <c r="D14791" s="94" t="n"/>
      <c r="E14791" s="88">
        <f>INDEX(매칭테이블!C:D,MATCH(RD!G14791,매칭테이블!D:D,0),1)</f>
        <v/>
      </c>
      <c r="F14791" s="94" t="inlineStr">
        <is>
          <t>카페24</t>
        </is>
      </c>
      <c r="G14791" s="94" t="inlineStr">
        <is>
          <t>어성초 77 진정 토너화장솜(선택)=촉촉 스킨팩 화장솜</t>
        </is>
      </c>
      <c r="K14791" s="94" t="n">
        <v>30</v>
      </c>
      <c r="L14791" s="88" t="n">
        <v>201208</v>
      </c>
      <c r="M14791" s="88">
        <f>VLOOKUP($Q14791,매칭테이블!$F:$I,2,0)*K14791</f>
        <v/>
      </c>
      <c r="N14791" s="88">
        <f>M14791-M14791*VLOOKUP($Q14791,매칭테이블!$F:$I,3,0)</f>
        <v/>
      </c>
      <c r="O14791" s="88">
        <f>VLOOKUP($Q14791,매칭테이블!$F:$I,4,0)*K14791</f>
        <v/>
      </c>
      <c r="P14791" s="152">
        <f>M14791/1.1</f>
        <v/>
      </c>
      <c r="Q14791" s="88">
        <f>F14791&amp;E14791&amp;G14791&amp;L14791</f>
        <v/>
      </c>
    </row>
    <row r="14792">
      <c r="B14792" s="128" t="n">
        <v>44231</v>
      </c>
      <c r="C14792" s="88">
        <f>TEXT(B14792,"aaa")</f>
        <v/>
      </c>
      <c r="D14792" s="94" t="n"/>
      <c r="E14792" s="88">
        <f>INDEX(매칭테이블!C:D,MATCH(RD!G14792,매칭테이블!D:D,0),1)</f>
        <v/>
      </c>
      <c r="F14792" s="94" t="inlineStr">
        <is>
          <t>카페24</t>
        </is>
      </c>
      <c r="G14792" s="94" t="inlineStr">
        <is>
          <t>어성초 77 클리어 패드옵션=어성초 77 클리어 패드 1개-20% off</t>
        </is>
      </c>
      <c r="K14792" s="94" t="n">
        <v>51</v>
      </c>
      <c r="L14792" s="88" t="n">
        <v>201208</v>
      </c>
      <c r="M14792" s="88">
        <f>VLOOKUP($Q14792,매칭테이블!$F:$I,2,0)*K14792</f>
        <v/>
      </c>
      <c r="N14792" s="88">
        <f>M14792-M14792*VLOOKUP($Q14792,매칭테이블!$F:$I,3,0)</f>
        <v/>
      </c>
      <c r="O14792" s="88">
        <f>VLOOKUP($Q14792,매칭테이블!$F:$I,4,0)*K14792</f>
        <v/>
      </c>
      <c r="P14792" s="152">
        <f>M14792/1.1</f>
        <v/>
      </c>
      <c r="Q14792" s="88">
        <f>F14792&amp;E14792&amp;G14792&amp;L14792</f>
        <v/>
      </c>
    </row>
    <row r="14793">
      <c r="B14793" s="128" t="n">
        <v>44231</v>
      </c>
      <c r="C14793" s="88">
        <f>TEXT(B14793,"aaa")</f>
        <v/>
      </c>
      <c r="D14793" s="94" t="n"/>
      <c r="E14793" s="88">
        <f>INDEX(매칭테이블!C:D,MATCH(RD!G14793,매칭테이블!D:D,0),1)</f>
        <v/>
      </c>
      <c r="F14793" s="94" t="inlineStr">
        <is>
          <t>카페24</t>
        </is>
      </c>
      <c r="G14793" s="94" t="inlineStr">
        <is>
          <t>어성초 77 클리어 패드옵션=어성초 77 클리어 패드 2개-30% off (무료배송)</t>
        </is>
      </c>
      <c r="K14793" s="94" t="n">
        <v>52</v>
      </c>
      <c r="L14793" s="88" t="n">
        <v>201208</v>
      </c>
      <c r="M14793" s="88">
        <f>VLOOKUP($Q14793,매칭테이블!$F:$I,2,0)*K14793</f>
        <v/>
      </c>
      <c r="N14793" s="88">
        <f>M14793-M14793*VLOOKUP($Q14793,매칭테이블!$F:$I,3,0)</f>
        <v/>
      </c>
      <c r="O14793" s="88">
        <f>VLOOKUP($Q14793,매칭테이블!$F:$I,4,0)*K14793</f>
        <v/>
      </c>
      <c r="P14793" s="152">
        <f>M14793/1.1</f>
        <v/>
      </c>
      <c r="Q14793" s="88">
        <f>F14793&amp;E14793&amp;G14793&amp;L14793</f>
        <v/>
      </c>
    </row>
    <row r="14794">
      <c r="B14794" s="128" t="n">
        <v>44231</v>
      </c>
      <c r="C14794" s="88">
        <f>TEXT(B14794,"aaa")</f>
        <v/>
      </c>
      <c r="D14794" s="94" t="n"/>
      <c r="E14794" s="88">
        <f>INDEX(매칭테이블!C:D,MATCH(RD!G14794,매칭테이블!D:D,0),1)</f>
        <v/>
      </c>
      <c r="F14794" s="94" t="inlineStr">
        <is>
          <t>카페24</t>
        </is>
      </c>
      <c r="G14794" s="94" t="inlineStr">
        <is>
          <t>어성초 77 클리어 패드옵션=어성초 77 클리어 패드 2+1 EVENT (무료배송)</t>
        </is>
      </c>
      <c r="K14794" s="94" t="n">
        <v>38</v>
      </c>
      <c r="L14794" s="88" t="n">
        <v>201208</v>
      </c>
      <c r="M14794" s="88">
        <f>VLOOKUP($Q14794,매칭테이블!$F:$I,2,0)*K14794</f>
        <v/>
      </c>
      <c r="N14794" s="88">
        <f>M14794-M14794*VLOOKUP($Q14794,매칭테이블!$F:$I,3,0)</f>
        <v/>
      </c>
      <c r="O14794" s="88">
        <f>VLOOKUP($Q14794,매칭테이블!$F:$I,4,0)*K14794</f>
        <v/>
      </c>
      <c r="P14794" s="152">
        <f>M14794/1.1</f>
        <v/>
      </c>
      <c r="Q14794" s="88">
        <f>F14794&amp;E14794&amp;G14794&amp;L14794</f>
        <v/>
      </c>
    </row>
    <row r="14795">
      <c r="B14795" s="128" t="n">
        <v>44231</v>
      </c>
      <c r="C14795" s="88">
        <f>TEXT(B14795,"aaa")</f>
        <v/>
      </c>
      <c r="D14795" s="94" t="n"/>
      <c r="E14795" s="88">
        <f>INDEX(매칭테이블!C:D,MATCH(RD!G14795,매칭테이블!D:D,0),1)</f>
        <v/>
      </c>
      <c r="F14795" s="94" t="inlineStr">
        <is>
          <t>카페24</t>
        </is>
      </c>
      <c r="G14795" s="94" t="inlineStr">
        <is>
          <t>어성초 77 클리어 패드옵션=어성초77토너1개+어성초77패드1개-30% off (무료배송)</t>
        </is>
      </c>
      <c r="K14795" s="94" t="n">
        <v>13</v>
      </c>
      <c r="L14795" s="88" t="n">
        <v>201208</v>
      </c>
      <c r="M14795" s="88">
        <f>VLOOKUP($Q14795,매칭테이블!$F:$I,2,0)*K14795</f>
        <v/>
      </c>
      <c r="N14795" s="88">
        <f>M14795-M14795*VLOOKUP($Q14795,매칭테이블!$F:$I,3,0)</f>
        <v/>
      </c>
      <c r="O14795" s="88">
        <f>VLOOKUP($Q14795,매칭테이블!$F:$I,4,0)*K14795</f>
        <v/>
      </c>
      <c r="P14795" s="152">
        <f>M14795/1.1</f>
        <v/>
      </c>
      <c r="Q14795" s="88">
        <f>F14795&amp;E14795&amp;G14795&amp;L14795</f>
        <v/>
      </c>
    </row>
    <row r="14796">
      <c r="B14796" s="128" t="n">
        <v>44231</v>
      </c>
      <c r="C14796" s="88">
        <f>TEXT(B14796,"aaa")</f>
        <v/>
      </c>
      <c r="D14796" s="94" t="n"/>
      <c r="E14796" s="88">
        <f>INDEX(매칭테이블!C:D,MATCH(RD!G14796,매칭테이블!D:D,0),1)</f>
        <v/>
      </c>
      <c r="F14796" s="94" t="inlineStr">
        <is>
          <t>카페24</t>
        </is>
      </c>
      <c r="G14796" s="94" t="inlineStr">
        <is>
          <t>어성초 77 포어 클리어 패드옵션=어성초 77 클리어 패드 2개-30% off (무료배송)</t>
        </is>
      </c>
      <c r="K14796" s="94" t="n">
        <v>1</v>
      </c>
      <c r="L14796" s="88" t="n">
        <v>201208</v>
      </c>
      <c r="M14796" s="88">
        <f>VLOOKUP($Q14796,매칭테이블!$F:$I,2,0)*K14796</f>
        <v/>
      </c>
      <c r="N14796" s="88">
        <f>M14796-M14796*VLOOKUP($Q14796,매칭테이블!$F:$I,3,0)</f>
        <v/>
      </c>
      <c r="O14796" s="88">
        <f>VLOOKUP($Q14796,매칭테이블!$F:$I,4,0)*K14796</f>
        <v/>
      </c>
      <c r="P14796" s="152">
        <f>M14796/1.1</f>
        <v/>
      </c>
      <c r="Q14796" s="88">
        <f>F14796&amp;E14796&amp;G14796&amp;L14796</f>
        <v/>
      </c>
    </row>
    <row r="14797">
      <c r="B14797" s="128" t="n">
        <v>44231</v>
      </c>
      <c r="C14797" s="88">
        <f>TEXT(B14797,"aaa")</f>
        <v/>
      </c>
      <c r="D14797" s="94" t="n"/>
      <c r="E14797" s="88">
        <f>INDEX(매칭테이블!C:D,MATCH(RD!G14797,매칭테이블!D:D,0),1)</f>
        <v/>
      </c>
      <c r="F14797" s="94" t="inlineStr">
        <is>
          <t>카페24</t>
        </is>
      </c>
      <c r="G14797" s="94" t="inlineStr">
        <is>
          <t>어성초 77% 패드옵션=어성초 77 클리어 패드 1개-20% off</t>
        </is>
      </c>
      <c r="K14797" s="94" t="n">
        <v>43</v>
      </c>
      <c r="L14797" s="88" t="n">
        <v>201208</v>
      </c>
      <c r="M14797" s="88">
        <f>VLOOKUP($Q14797,매칭테이블!$F:$I,2,0)*K14797</f>
        <v/>
      </c>
      <c r="N14797" s="88">
        <f>M14797-M14797*VLOOKUP($Q14797,매칭테이블!$F:$I,3,0)</f>
        <v/>
      </c>
      <c r="O14797" s="88">
        <f>VLOOKUP($Q14797,매칭테이블!$F:$I,4,0)*K14797</f>
        <v/>
      </c>
      <c r="P14797" s="152">
        <f>M14797/1.1</f>
        <v/>
      </c>
      <c r="Q14797" s="88">
        <f>F14797&amp;E14797&amp;G14797&amp;L14797</f>
        <v/>
      </c>
    </row>
    <row r="14798">
      <c r="B14798" s="128" t="n">
        <v>44231</v>
      </c>
      <c r="C14798" s="88">
        <f>TEXT(B14798,"aaa")</f>
        <v/>
      </c>
      <c r="D14798" s="94" t="n"/>
      <c r="E14798" s="88">
        <f>INDEX(매칭테이블!C:D,MATCH(RD!G14798,매칭테이블!D:D,0),1)</f>
        <v/>
      </c>
      <c r="F14798" s="94" t="inlineStr">
        <is>
          <t>카페24</t>
        </is>
      </c>
      <c r="G14798" s="94" t="inlineStr">
        <is>
          <t>어성초 77% 패드옵션=어성초 77 클리어 패드 2개-30% off (무료배송)</t>
        </is>
      </c>
      <c r="K14798" s="94" t="n">
        <v>37</v>
      </c>
      <c r="L14798" s="88" t="n">
        <v>201208</v>
      </c>
      <c r="M14798" s="88">
        <f>VLOOKUP($Q14798,매칭테이블!$F:$I,2,0)*K14798</f>
        <v/>
      </c>
      <c r="N14798" s="88">
        <f>M14798-M14798*VLOOKUP($Q14798,매칭테이블!$F:$I,3,0)</f>
        <v/>
      </c>
      <c r="O14798" s="88">
        <f>VLOOKUP($Q14798,매칭테이블!$F:$I,4,0)*K14798</f>
        <v/>
      </c>
      <c r="P14798" s="152">
        <f>M14798/1.1</f>
        <v/>
      </c>
      <c r="Q14798" s="88">
        <f>F14798&amp;E14798&amp;G14798&amp;L14798</f>
        <v/>
      </c>
    </row>
    <row r="14799">
      <c r="B14799" s="128" t="n">
        <v>44231</v>
      </c>
      <c r="C14799" s="88">
        <f>TEXT(B14799,"aaa")</f>
        <v/>
      </c>
      <c r="D14799" s="94" t="n"/>
      <c r="E14799" s="88">
        <f>INDEX(매칭테이블!C:D,MATCH(RD!G14799,매칭테이블!D:D,0),1)</f>
        <v/>
      </c>
      <c r="F14799" s="94" t="inlineStr">
        <is>
          <t>카페24</t>
        </is>
      </c>
      <c r="G14799" s="94" t="inlineStr">
        <is>
          <t>어성초 77% 패드옵션=어성초 77 클리어 패드 2+1 EVENT (무료배송)</t>
        </is>
      </c>
      <c r="K14799" s="94" t="n">
        <v>25</v>
      </c>
      <c r="L14799" s="88" t="n">
        <v>201208</v>
      </c>
      <c r="M14799" s="88">
        <f>VLOOKUP($Q14799,매칭테이블!$F:$I,2,0)*K14799</f>
        <v/>
      </c>
      <c r="N14799" s="88">
        <f>M14799-M14799*VLOOKUP($Q14799,매칭테이블!$F:$I,3,0)</f>
        <v/>
      </c>
      <c r="O14799" s="88">
        <f>VLOOKUP($Q14799,매칭테이블!$F:$I,4,0)*K14799</f>
        <v/>
      </c>
      <c r="P14799" s="152">
        <f>M14799/1.1</f>
        <v/>
      </c>
      <c r="Q14799" s="88">
        <f>F14799&amp;E14799&amp;G14799&amp;L14799</f>
        <v/>
      </c>
    </row>
    <row r="14800">
      <c r="B14800" s="128" t="n">
        <v>44231</v>
      </c>
      <c r="C14800" s="88">
        <f>TEXT(B14800,"aaa")</f>
        <v/>
      </c>
      <c r="D14800" s="94" t="n"/>
      <c r="E14800" s="88">
        <f>INDEX(매칭테이블!C:D,MATCH(RD!G14800,매칭테이블!D:D,0),1)</f>
        <v/>
      </c>
      <c r="F14800" s="94" t="inlineStr">
        <is>
          <t>카페24</t>
        </is>
      </c>
      <c r="G14800" s="94" t="inlineStr">
        <is>
          <t>어성초 77% 패드옵션=어성초77토너1개+어성초77패드1개-30% off (무료배송)</t>
        </is>
      </c>
      <c r="K14800" s="94" t="n">
        <v>19</v>
      </c>
      <c r="L14800" s="88" t="n">
        <v>201208</v>
      </c>
      <c r="M14800" s="88">
        <f>VLOOKUP($Q14800,매칭테이블!$F:$I,2,0)*K14800</f>
        <v/>
      </c>
      <c r="N14800" s="88">
        <f>M14800-M14800*VLOOKUP($Q14800,매칭테이블!$F:$I,3,0)</f>
        <v/>
      </c>
      <c r="O14800" s="88">
        <f>VLOOKUP($Q14800,매칭테이블!$F:$I,4,0)*K14800</f>
        <v/>
      </c>
      <c r="P14800" s="152">
        <f>M14800/1.1</f>
        <v/>
      </c>
      <c r="Q14800" s="88">
        <f>F14800&amp;E14800&amp;G14800&amp;L14800</f>
        <v/>
      </c>
    </row>
    <row r="14801">
      <c r="B14801" s="128" t="n">
        <v>44231</v>
      </c>
      <c r="C14801" s="88">
        <f>TEXT(B14801,"aaa")</f>
        <v/>
      </c>
      <c r="D14801" s="94" t="n"/>
      <c r="E14801" s="88">
        <f>INDEX(매칭테이블!C:D,MATCH(RD!G14801,매칭테이블!D:D,0),1)</f>
        <v/>
      </c>
      <c r="F14801" s="94" t="inlineStr">
        <is>
          <t>카페24</t>
        </is>
      </c>
      <c r="G14801" s="94" t="inlineStr">
        <is>
          <t>어성초 78 수딩 크림</t>
        </is>
      </c>
      <c r="K14801" s="94" t="n">
        <v>6</v>
      </c>
      <c r="L14801" s="88" t="n">
        <v>201208</v>
      </c>
      <c r="M14801" s="88">
        <f>VLOOKUP($Q14801,매칭테이블!$F:$I,2,0)*K14801</f>
        <v/>
      </c>
      <c r="N14801" s="88">
        <f>M14801-M14801*VLOOKUP($Q14801,매칭테이블!$F:$I,3,0)</f>
        <v/>
      </c>
      <c r="O14801" s="88">
        <f>VLOOKUP($Q14801,매칭테이블!$F:$I,4,0)*K14801</f>
        <v/>
      </c>
      <c r="P14801" s="152">
        <f>M14801/1.1</f>
        <v/>
      </c>
      <c r="Q14801" s="88">
        <f>F14801&amp;E14801&amp;G14801&amp;L14801</f>
        <v/>
      </c>
    </row>
    <row r="14802">
      <c r="B14802" s="128" t="n">
        <v>44231</v>
      </c>
      <c r="C14802" s="88">
        <f>TEXT(B14802,"aaa")</f>
        <v/>
      </c>
      <c r="D14802" s="94" t="n"/>
      <c r="E14802" s="88">
        <f>INDEX(매칭테이블!C:D,MATCH(RD!G14802,매칭테이블!D:D,0),1)</f>
        <v/>
      </c>
      <c r="F14802" s="94" t="inlineStr">
        <is>
          <t>카페24</t>
        </is>
      </c>
      <c r="G14802" s="94" t="inlineStr">
        <is>
          <t>어성초 78 수딩 크림</t>
        </is>
      </c>
      <c r="K14802" s="94" t="n">
        <v>3</v>
      </c>
      <c r="L14802" s="88" t="n">
        <v>201208</v>
      </c>
      <c r="M14802" s="88">
        <f>VLOOKUP($Q14802,매칭테이블!$F:$I,2,0)*K14802</f>
        <v/>
      </c>
      <c r="N14802" s="88">
        <f>M14802-M14802*VLOOKUP($Q14802,매칭테이블!$F:$I,3,0)</f>
        <v/>
      </c>
      <c r="O14802" s="88">
        <f>VLOOKUP($Q14802,매칭테이블!$F:$I,4,0)*K14802</f>
        <v/>
      </c>
      <c r="P14802" s="152">
        <f>M14802/1.1</f>
        <v/>
      </c>
      <c r="Q14802" s="88">
        <f>F14802&amp;E14802&amp;G14802&amp;L14802</f>
        <v/>
      </c>
    </row>
    <row r="14803">
      <c r="B14803" s="128" t="n">
        <v>44231</v>
      </c>
      <c r="C14803" s="88">
        <f>TEXT(B14803,"aaa")</f>
        <v/>
      </c>
      <c r="D14803" s="94" t="n"/>
      <c r="E14803" s="88">
        <f>INDEX(매칭테이블!C:D,MATCH(RD!G14803,매칭테이블!D:D,0),1)</f>
        <v/>
      </c>
      <c r="F14803" s="94" t="inlineStr">
        <is>
          <t>카페24</t>
        </is>
      </c>
      <c r="G14803" s="94" t="inlineStr">
        <is>
          <t>어성초 80 수분 진정 앰플앰플=어성초 80 앰플 1개-15%off</t>
        </is>
      </c>
      <c r="K14803" s="94" t="n">
        <v>11</v>
      </c>
      <c r="L14803" s="88" t="n">
        <v>201208</v>
      </c>
      <c r="M14803" s="88">
        <f>VLOOKUP($Q14803,매칭테이블!$F:$I,2,0)*K14803</f>
        <v/>
      </c>
      <c r="N14803" s="88">
        <f>M14803-M14803*VLOOKUP($Q14803,매칭테이블!$F:$I,3,0)</f>
        <v/>
      </c>
      <c r="O14803" s="88">
        <f>VLOOKUP($Q14803,매칭테이블!$F:$I,4,0)*K14803</f>
        <v/>
      </c>
      <c r="P14803" s="152">
        <f>M14803/1.1</f>
        <v/>
      </c>
      <c r="Q14803" s="88">
        <f>F14803&amp;E14803&amp;G14803&amp;L14803</f>
        <v/>
      </c>
    </row>
    <row r="14804">
      <c r="B14804" s="128" t="n">
        <v>44231</v>
      </c>
      <c r="C14804" s="88">
        <f>TEXT(B14804,"aaa")</f>
        <v/>
      </c>
      <c r="D14804" s="94" t="n"/>
      <c r="E14804" s="88">
        <f>INDEX(매칭테이블!C:D,MATCH(RD!G14804,매칭테이블!D:D,0),1)</f>
        <v/>
      </c>
      <c r="F14804" s="94" t="inlineStr">
        <is>
          <t>카페24</t>
        </is>
      </c>
      <c r="G14804" s="94" t="inlineStr">
        <is>
          <t>어성초 80 수분 진정 앰플앰플=어성초 80 앰플 2개-27%off (무료배송)</t>
        </is>
      </c>
      <c r="K14804" s="94" t="n">
        <v>8</v>
      </c>
      <c r="L14804" s="88" t="n">
        <v>201208</v>
      </c>
      <c r="M14804" s="88">
        <f>VLOOKUP($Q14804,매칭테이블!$F:$I,2,0)*K14804</f>
        <v/>
      </c>
      <c r="N14804" s="88">
        <f>M14804-M14804*VLOOKUP($Q14804,매칭테이블!$F:$I,3,0)</f>
        <v/>
      </c>
      <c r="O14804" s="88">
        <f>VLOOKUP($Q14804,매칭테이블!$F:$I,4,0)*K14804</f>
        <v/>
      </c>
      <c r="P14804" s="152">
        <f>M14804/1.1</f>
        <v/>
      </c>
      <c r="Q14804" s="88">
        <f>F14804&amp;E14804&amp;G14804&amp;L14804</f>
        <v/>
      </c>
    </row>
    <row r="14805">
      <c r="B14805" s="128" t="n">
        <v>44231</v>
      </c>
      <c r="C14805" s="88">
        <f>TEXT(B14805,"aaa")</f>
        <v/>
      </c>
      <c r="D14805" s="94" t="n"/>
      <c r="E14805" s="88">
        <f>INDEX(매칭테이블!C:D,MATCH(RD!G14805,매칭테이블!D:D,0),1)</f>
        <v/>
      </c>
      <c r="F14805" s="94" t="inlineStr">
        <is>
          <t>카페24</t>
        </is>
      </c>
      <c r="G14805" s="94" t="inlineStr">
        <is>
          <t>어성초 80 수분 진정 앰플</t>
        </is>
      </c>
      <c r="K14805" s="94" t="n">
        <v>6</v>
      </c>
      <c r="L14805" s="88" t="n">
        <v>201208</v>
      </c>
      <c r="M14805" s="88">
        <f>VLOOKUP($Q14805,매칭테이블!$F:$I,2,0)*K14805</f>
        <v/>
      </c>
      <c r="N14805" s="88">
        <f>M14805-M14805*VLOOKUP($Q14805,매칭테이블!$F:$I,3,0)</f>
        <v/>
      </c>
      <c r="O14805" s="88">
        <f>VLOOKUP($Q14805,매칭테이블!$F:$I,4,0)*K14805</f>
        <v/>
      </c>
      <c r="P14805" s="152">
        <f>M14805/1.1</f>
        <v/>
      </c>
      <c r="Q14805" s="88">
        <f>F14805&amp;E14805&amp;G14805&amp;L14805</f>
        <v/>
      </c>
    </row>
    <row r="14806">
      <c r="B14806" s="128" t="n">
        <v>44231</v>
      </c>
      <c r="C14806" s="88">
        <f>TEXT(B14806,"aaa")</f>
        <v/>
      </c>
      <c r="D14806" s="94" t="n"/>
      <c r="E14806" s="88">
        <f>INDEX(매칭테이블!C:D,MATCH(RD!G14806,매칭테이블!D:D,0),1)</f>
        <v/>
      </c>
      <c r="F14806" s="94" t="inlineStr">
        <is>
          <t>카페24</t>
        </is>
      </c>
      <c r="G14806" s="94" t="inlineStr">
        <is>
          <t>어성초 아크네 바디워시옵션=어성초 아크네 바디워시 1개 -30% off</t>
        </is>
      </c>
      <c r="K14806" s="94" t="n">
        <v>2</v>
      </c>
      <c r="L14806" s="88" t="n">
        <v>201208</v>
      </c>
      <c r="M14806" s="88">
        <f>VLOOKUP($Q14806,매칭테이블!$F:$I,2,0)*K14806</f>
        <v/>
      </c>
      <c r="N14806" s="88">
        <f>M14806-M14806*VLOOKUP($Q14806,매칭테이블!$F:$I,3,0)</f>
        <v/>
      </c>
      <c r="O14806" s="88">
        <f>VLOOKUP($Q14806,매칭테이블!$F:$I,4,0)*K14806</f>
        <v/>
      </c>
      <c r="P14806" s="152">
        <f>M14806/1.1</f>
        <v/>
      </c>
      <c r="Q14806" s="88">
        <f>F14806&amp;E14806&amp;G14806&amp;L14806</f>
        <v/>
      </c>
    </row>
    <row r="14807">
      <c r="B14807" s="128" t="n">
        <v>44231</v>
      </c>
      <c r="C14807" s="88">
        <f>TEXT(B14807,"aaa")</f>
        <v/>
      </c>
      <c r="D14807" s="94" t="n"/>
      <c r="E14807" s="88">
        <f>INDEX(매칭테이블!C:D,MATCH(RD!G14807,매칭테이블!D:D,0),1)</f>
        <v/>
      </c>
      <c r="F14807" s="94" t="inlineStr">
        <is>
          <t>카페24</t>
        </is>
      </c>
      <c r="G14807" s="94" t="inlineStr">
        <is>
          <t>어성초 아크네 바디워시옵션=어성초 아크네 바디워시 2개 -35% off (무료배송)</t>
        </is>
      </c>
      <c r="K14807" s="94" t="n">
        <v>1</v>
      </c>
      <c r="L14807" s="88" t="n">
        <v>201208</v>
      </c>
      <c r="M14807" s="88">
        <f>VLOOKUP($Q14807,매칭테이블!$F:$I,2,0)*K14807</f>
        <v/>
      </c>
      <c r="N14807" s="88">
        <f>M14807-M14807*VLOOKUP($Q14807,매칭테이블!$F:$I,3,0)</f>
        <v/>
      </c>
      <c r="O14807" s="88">
        <f>VLOOKUP($Q14807,매칭테이블!$F:$I,4,0)*K14807</f>
        <v/>
      </c>
      <c r="P14807" s="152">
        <f>M14807/1.1</f>
        <v/>
      </c>
      <c r="Q14807" s="88">
        <f>F14807&amp;E14807&amp;G14807&amp;L14807</f>
        <v/>
      </c>
    </row>
    <row r="14808">
      <c r="B14808" s="128" t="n">
        <v>44231</v>
      </c>
      <c r="C14808" s="88">
        <f>TEXT(B14808,"aaa")</f>
        <v/>
      </c>
      <c r="D14808" s="94" t="n"/>
      <c r="E14808" s="88">
        <f>INDEX(매칭테이블!C:D,MATCH(RD!G14808,매칭테이블!D:D,0),1)</f>
        <v/>
      </c>
      <c r="F14808" s="94" t="inlineStr">
        <is>
          <t>카페24</t>
        </is>
      </c>
      <c r="G14808" s="94" t="inlineStr">
        <is>
          <t>어성초 약산성 클렌징폼클렌징폼=어성초 약산성 클렌징폼 1개 -19%off</t>
        </is>
      </c>
      <c r="K14808" s="94" t="n">
        <v>18</v>
      </c>
      <c r="L14808" s="88" t="n">
        <v>201208</v>
      </c>
      <c r="M14808" s="88">
        <f>VLOOKUP($Q14808,매칭테이블!$F:$I,2,0)*K14808</f>
        <v/>
      </c>
      <c r="N14808" s="88">
        <f>M14808-M14808*VLOOKUP($Q14808,매칭테이블!$F:$I,3,0)</f>
        <v/>
      </c>
      <c r="O14808" s="88">
        <f>VLOOKUP($Q14808,매칭테이블!$F:$I,4,0)*K14808</f>
        <v/>
      </c>
      <c r="P14808" s="152">
        <f>M14808/1.1</f>
        <v/>
      </c>
      <c r="Q14808" s="88">
        <f>F14808&amp;E14808&amp;G14808&amp;L14808</f>
        <v/>
      </c>
    </row>
    <row r="14809">
      <c r="B14809" s="128" t="n">
        <v>44231</v>
      </c>
      <c r="C14809" s="88">
        <f>TEXT(B14809,"aaa")</f>
        <v/>
      </c>
      <c r="D14809" s="94" t="n"/>
      <c r="E14809" s="88">
        <f>INDEX(매칭테이블!C:D,MATCH(RD!G14809,매칭테이블!D:D,0),1)</f>
        <v/>
      </c>
      <c r="F14809" s="94" t="inlineStr">
        <is>
          <t>카페24</t>
        </is>
      </c>
      <c r="G14809" s="94" t="inlineStr">
        <is>
          <t>어성초 약산성 클렌징폼클렌징폼=어성초 약산성 클렌징폼 2개 -25%off</t>
        </is>
      </c>
      <c r="K14809" s="94" t="n">
        <v>4</v>
      </c>
      <c r="L14809" s="88" t="n">
        <v>201208</v>
      </c>
      <c r="M14809" s="88">
        <f>VLOOKUP($Q14809,매칭테이블!$F:$I,2,0)*K14809</f>
        <v/>
      </c>
      <c r="N14809" s="88">
        <f>M14809-M14809*VLOOKUP($Q14809,매칭테이블!$F:$I,3,0)</f>
        <v/>
      </c>
      <c r="O14809" s="88">
        <f>VLOOKUP($Q14809,매칭테이블!$F:$I,4,0)*K14809</f>
        <v/>
      </c>
      <c r="P14809" s="152">
        <f>M14809/1.1</f>
        <v/>
      </c>
      <c r="Q14809" s="88">
        <f>F14809&amp;E14809&amp;G14809&amp;L14809</f>
        <v/>
      </c>
    </row>
    <row r="14810">
      <c r="B14810" s="128" t="n">
        <v>44231</v>
      </c>
      <c r="C14810" s="88">
        <f>TEXT(B14810,"aaa")</f>
        <v/>
      </c>
      <c r="D14810" s="94" t="n"/>
      <c r="E14810" s="88">
        <f>INDEX(매칭테이블!C:D,MATCH(RD!G14810,매칭테이블!D:D,0),1)</f>
        <v/>
      </c>
      <c r="F14810" s="94" t="inlineStr">
        <is>
          <t>카페24</t>
        </is>
      </c>
      <c r="G14810" s="94" t="inlineStr">
        <is>
          <t>어성초 약산성 클렌징폼클렌징폼=어성초 약산성 클렌징폼 3개 -31%off (무료배송)</t>
        </is>
      </c>
      <c r="K14810" s="94" t="n">
        <v>5</v>
      </c>
      <c r="L14810" s="88" t="n">
        <v>201208</v>
      </c>
      <c r="M14810" s="88">
        <f>VLOOKUP($Q14810,매칭테이블!$F:$I,2,0)*K14810</f>
        <v/>
      </c>
      <c r="N14810" s="88">
        <f>M14810-M14810*VLOOKUP($Q14810,매칭테이블!$F:$I,3,0)</f>
        <v/>
      </c>
      <c r="O14810" s="88">
        <f>VLOOKUP($Q14810,매칭테이블!$F:$I,4,0)*K14810</f>
        <v/>
      </c>
      <c r="P14810" s="152">
        <f>M14810/1.1</f>
        <v/>
      </c>
      <c r="Q14810" s="88">
        <f>F14810&amp;E14810&amp;G14810&amp;L14810</f>
        <v/>
      </c>
    </row>
    <row r="14811">
      <c r="B14811" s="128" t="n">
        <v>44231</v>
      </c>
      <c r="C14811" s="88">
        <f>TEXT(B14811,"aaa")</f>
        <v/>
      </c>
      <c r="D14811" s="94" t="n"/>
      <c r="E14811" s="88">
        <f>INDEX(매칭테이블!C:D,MATCH(RD!G14811,매칭테이블!D:D,0),1)</f>
        <v/>
      </c>
      <c r="F14811" s="94" t="inlineStr">
        <is>
          <t>카페24</t>
        </is>
      </c>
      <c r="G14811" s="94" t="inlineStr">
        <is>
          <t>어성초 크림마스크 나이트 솔루션옵션=어성초 크림마스크 나이트 솔루션 1장</t>
        </is>
      </c>
      <c r="K14811" s="94" t="n">
        <v>3</v>
      </c>
      <c r="L14811" s="88" t="n">
        <v>201208</v>
      </c>
      <c r="M14811" s="88">
        <f>VLOOKUP($Q14811,매칭테이블!$F:$I,2,0)*K14811</f>
        <v/>
      </c>
      <c r="N14811" s="88">
        <f>M14811-M14811*VLOOKUP($Q14811,매칭테이블!$F:$I,3,0)</f>
        <v/>
      </c>
      <c r="O14811" s="88">
        <f>VLOOKUP($Q14811,매칭테이블!$F:$I,4,0)*K14811</f>
        <v/>
      </c>
      <c r="P14811" s="152">
        <f>M14811/1.1</f>
        <v/>
      </c>
      <c r="Q14811" s="88">
        <f>F14811&amp;E14811&amp;G14811&amp;L14811</f>
        <v/>
      </c>
    </row>
    <row r="14812">
      <c r="B14812" s="128" t="n">
        <v>44231</v>
      </c>
      <c r="C14812" s="88">
        <f>TEXT(B14812,"aaa")</f>
        <v/>
      </c>
      <c r="D14812" s="94" t="n"/>
      <c r="E14812" s="88">
        <f>INDEX(매칭테이블!C:D,MATCH(RD!G14812,매칭테이블!D:D,0),1)</f>
        <v/>
      </c>
      <c r="F14812" s="94" t="inlineStr">
        <is>
          <t>카페24</t>
        </is>
      </c>
      <c r="G14812" s="94" t="inlineStr">
        <is>
          <t>어성초 크림마스크 나이트 솔루션옵션=어성초 크림마스크 나이트 솔루션 10장 (-50%)</t>
        </is>
      </c>
      <c r="K14812" s="94" t="n">
        <v>2</v>
      </c>
      <c r="L14812" s="88" t="n">
        <v>201208</v>
      </c>
      <c r="M14812" s="88">
        <f>VLOOKUP($Q14812,매칭테이블!$F:$I,2,0)*K14812</f>
        <v/>
      </c>
      <c r="N14812" s="88">
        <f>M14812-M14812*VLOOKUP($Q14812,매칭테이블!$F:$I,3,0)</f>
        <v/>
      </c>
      <c r="O14812" s="88">
        <f>VLOOKUP($Q14812,매칭테이블!$F:$I,4,0)*K14812</f>
        <v/>
      </c>
      <c r="P14812" s="152">
        <f>M14812/1.1</f>
        <v/>
      </c>
      <c r="Q14812" s="88">
        <f>F14812&amp;E14812&amp;G14812&amp;L14812</f>
        <v/>
      </c>
    </row>
    <row r="14813">
      <c r="B14813" s="128" t="n">
        <v>44231</v>
      </c>
      <c r="C14813" s="88">
        <f>TEXT(B14813,"aaa")</f>
        <v/>
      </c>
      <c r="D14813" s="94" t="n"/>
      <c r="E14813" s="88">
        <f>INDEX(매칭테이블!C:D,MATCH(RD!G14813,매칭테이블!D:D,0),1)</f>
        <v/>
      </c>
      <c r="F14813" s="94" t="inlineStr">
        <is>
          <t>카페24</t>
        </is>
      </c>
      <c r="G14813" s="94" t="inlineStr">
        <is>
          <t>청귤 비타 잡티 마스크옵션=청귤 비타 잡티 마스크 1장</t>
        </is>
      </c>
      <c r="K14813" s="94" t="n">
        <v>2</v>
      </c>
      <c r="L14813" s="88" t="n">
        <v>201208</v>
      </c>
      <c r="M14813" s="88">
        <f>VLOOKUP($Q14813,매칭테이블!$F:$I,2,0)*K14813</f>
        <v/>
      </c>
      <c r="N14813" s="88">
        <f>M14813-M14813*VLOOKUP($Q14813,매칭테이블!$F:$I,3,0)</f>
        <v/>
      </c>
      <c r="O14813" s="88">
        <f>VLOOKUP($Q14813,매칭테이블!$F:$I,4,0)*K14813</f>
        <v/>
      </c>
      <c r="P14813" s="152">
        <f>M14813/1.1</f>
        <v/>
      </c>
      <c r="Q14813" s="88">
        <f>F14813&amp;E14813&amp;G14813&amp;L14813</f>
        <v/>
      </c>
    </row>
    <row r="14814">
      <c r="B14814" s="128" t="n">
        <v>44231</v>
      </c>
      <c r="C14814" s="88">
        <f>TEXT(B14814,"aaa")</f>
        <v/>
      </c>
      <c r="D14814" s="94" t="n"/>
      <c r="E14814" s="88">
        <f>INDEX(매칭테이블!C:D,MATCH(RD!G14814,매칭테이블!D:D,0),1)</f>
        <v/>
      </c>
      <c r="F14814" s="94" t="inlineStr">
        <is>
          <t>카페24</t>
        </is>
      </c>
      <c r="G14814" s="94" t="inlineStr">
        <is>
          <t>청귤 비타 잡티 마스크옵션=청귤 비타 잡티 마스크 10장 (50% off)</t>
        </is>
      </c>
      <c r="K14814" s="94" t="n">
        <v>1</v>
      </c>
      <c r="L14814" s="88" t="n">
        <v>201208</v>
      </c>
      <c r="M14814" s="88">
        <f>VLOOKUP($Q14814,매칭테이블!$F:$I,2,0)*K14814</f>
        <v/>
      </c>
      <c r="N14814" s="88">
        <f>M14814-M14814*VLOOKUP($Q14814,매칭테이블!$F:$I,3,0)</f>
        <v/>
      </c>
      <c r="O14814" s="88">
        <f>VLOOKUP($Q14814,매칭테이블!$F:$I,4,0)*K14814</f>
        <v/>
      </c>
      <c r="P14814" s="152">
        <f>M14814/1.1</f>
        <v/>
      </c>
      <c r="Q14814" s="88">
        <f>F14814&amp;E14814&amp;G14814&amp;L14814</f>
        <v/>
      </c>
    </row>
    <row r="14815">
      <c r="B14815" s="128" t="n">
        <v>44231</v>
      </c>
      <c r="C14815" s="88">
        <f>TEXT(B14815,"aaa")</f>
        <v/>
      </c>
      <c r="D14815" s="94" t="n"/>
      <c r="E14815" s="88">
        <f>INDEX(매칭테이블!C:D,MATCH(RD!G14815,매칭테이블!D:D,0),1)</f>
        <v/>
      </c>
      <c r="F14815" s="94" t="inlineStr">
        <is>
          <t>카페24</t>
        </is>
      </c>
      <c r="G14815" s="94" t="inlineStr">
        <is>
          <t>촉촉 스킨팩 화장솜</t>
        </is>
      </c>
      <c r="K14815" s="94" t="n">
        <v>20</v>
      </c>
      <c r="L14815" s="88" t="n">
        <v>201208</v>
      </c>
      <c r="M14815" s="88">
        <f>VLOOKUP($Q14815,매칭테이블!$F:$I,2,0)*K14815</f>
        <v/>
      </c>
      <c r="N14815" s="88">
        <f>M14815-M14815*VLOOKUP($Q14815,매칭테이블!$F:$I,3,0)</f>
        <v/>
      </c>
      <c r="O14815" s="88">
        <f>VLOOKUP($Q14815,매칭테이블!$F:$I,4,0)*K14815</f>
        <v/>
      </c>
      <c r="P14815" s="152">
        <f>M14815/1.1</f>
        <v/>
      </c>
      <c r="Q14815" s="88">
        <f>F14815&amp;E14815&amp;G14815&amp;L14815</f>
        <v/>
      </c>
    </row>
    <row r="14816">
      <c r="B14816" s="128" t="n">
        <v>44231</v>
      </c>
      <c r="C14816" s="88">
        <f>TEXT(B14816,"aaa")</f>
        <v/>
      </c>
      <c r="D14816" s="94" t="n"/>
      <c r="E14816" s="88">
        <f>INDEX(매칭테이블!C:D,MATCH(RD!G14816,매칭테이블!D:D,0),1)</f>
        <v/>
      </c>
      <c r="F14816" s="94" t="inlineStr">
        <is>
          <t>카페24</t>
        </is>
      </c>
      <c r="G14816" s="94" t="inlineStr">
        <is>
          <t>촉촉 스킨팩 화장솜</t>
        </is>
      </c>
      <c r="K14816" s="94" t="n">
        <v>2</v>
      </c>
      <c r="L14816" s="88" t="n">
        <v>201208</v>
      </c>
      <c r="M14816" s="88">
        <f>VLOOKUP($Q14816,매칭테이블!$F:$I,2,0)*K14816</f>
        <v/>
      </c>
      <c r="N14816" s="88">
        <f>M14816-M14816*VLOOKUP($Q14816,매칭테이블!$F:$I,3,0)</f>
        <v/>
      </c>
      <c r="O14816" s="88">
        <f>VLOOKUP($Q14816,매칭테이블!$F:$I,4,0)*K14816</f>
        <v/>
      </c>
      <c r="P14816" s="152">
        <f>M14816/1.1</f>
        <v/>
      </c>
      <c r="Q14816" s="88">
        <f>F14816&amp;E14816&amp;G14816&amp;L14816</f>
        <v/>
      </c>
    </row>
    <row r="14817">
      <c r="B14817" s="128" t="n">
        <v>44231</v>
      </c>
      <c r="C14817" s="88">
        <f>TEXT(B14817,"aaa")</f>
        <v/>
      </c>
      <c r="D14817" s="94" t="n"/>
      <c r="E14817" s="88">
        <f>INDEX(매칭테이블!C:D,MATCH(RD!G14817,매칭테이블!D:D,0),1)</f>
        <v/>
      </c>
      <c r="F14817" s="94" t="inlineStr">
        <is>
          <t>화해</t>
        </is>
      </c>
      <c r="G14817" s="94" t="inlineStr">
        <is>
          <t>어성초 70 데일리 릴리프 로션 200ml어성초 70 데일리 릴리프 로션 200ml</t>
        </is>
      </c>
      <c r="K14817" s="94" t="n">
        <v>1</v>
      </c>
      <c r="L14817" s="88" t="n">
        <v>201208</v>
      </c>
      <c r="M14817" s="88">
        <f>VLOOKUP($Q14817,매칭테이블!$F:$I,2,0)*K14817</f>
        <v/>
      </c>
      <c r="N14817" s="88">
        <f>M14817-M14817*VLOOKUP($Q14817,매칭테이블!$F:$I,3,0)</f>
        <v/>
      </c>
      <c r="O14817" s="88">
        <f>VLOOKUP($Q14817,매칭테이블!$F:$I,4,0)*K14817</f>
        <v/>
      </c>
      <c r="P14817" s="152">
        <f>M14817/1.1</f>
        <v/>
      </c>
      <c r="Q14817" s="88">
        <f>F14817&amp;E14817&amp;G14817&amp;L14817</f>
        <v/>
      </c>
    </row>
    <row r="14818">
      <c r="B14818" s="128" t="n">
        <v>44231</v>
      </c>
      <c r="C14818" s="88">
        <f>TEXT(B14818,"aaa")</f>
        <v/>
      </c>
      <c r="D14818" s="94" t="n"/>
      <c r="E14818" s="88">
        <f>INDEX(매칭테이블!C:D,MATCH(RD!G14818,매칭테이블!D:D,0),1)</f>
        <v/>
      </c>
      <c r="F14818" s="94" t="inlineStr">
        <is>
          <t>화해</t>
        </is>
      </c>
      <c r="G14818" s="94" t="inlineStr">
        <is>
          <t>어성초 77 클리어 패드 70매어성초 77 클리어 패드 70매</t>
        </is>
      </c>
      <c r="K14818" s="94" t="n">
        <v>1</v>
      </c>
      <c r="L14818" s="88" t="n">
        <v>201208</v>
      </c>
      <c r="M14818" s="88">
        <f>VLOOKUP($Q14818,매칭테이블!$F:$I,2,0)*K14818</f>
        <v/>
      </c>
      <c r="N14818" s="88">
        <f>M14818-M14818*VLOOKUP($Q14818,매칭테이블!$F:$I,3,0)</f>
        <v/>
      </c>
      <c r="O14818" s="88">
        <f>VLOOKUP($Q14818,매칭테이블!$F:$I,4,0)*K14818</f>
        <v/>
      </c>
      <c r="P14818" s="152">
        <f>M14818/1.1</f>
        <v/>
      </c>
      <c r="Q14818" s="88">
        <f>F14818&amp;E14818&amp;G14818&amp;L14818</f>
        <v/>
      </c>
    </row>
    <row r="14819" customFormat="1" s="94">
      <c r="B14819" s="128" t="n">
        <v>44232</v>
      </c>
      <c r="C14819" s="88">
        <f>TEXT(B14819,"aaa")</f>
        <v/>
      </c>
      <c r="E14819" s="88">
        <f>INDEX(매칭테이블!C:D,MATCH(RD!G14819,매칭테이블!D:D,0),1)</f>
        <v/>
      </c>
      <c r="F14819" s="94" t="inlineStr">
        <is>
          <t>W컨셉</t>
        </is>
      </c>
      <c r="G14819" s="94" t="inlineStr">
        <is>
          <t>어성초 77토너 (2 SET) HEARTLEAF 77% SOOTHING TONER 250ml250ml 2set</t>
        </is>
      </c>
      <c r="K14819" s="94" t="n">
        <v>7</v>
      </c>
      <c r="L14819" s="88" t="n">
        <v>201208</v>
      </c>
      <c r="M14819" s="88">
        <f>VLOOKUP($Q14819,매칭테이블!$F:$I,2,0)*K14819</f>
        <v/>
      </c>
      <c r="N14819" s="88">
        <f>M14819-M14819*VLOOKUP($Q14819,매칭테이블!$F:$I,3,0)</f>
        <v/>
      </c>
      <c r="O14819" s="88">
        <f>VLOOKUP($Q14819,매칭테이블!$F:$I,4,0)*K14819</f>
        <v/>
      </c>
      <c r="P14819" s="152">
        <f>M14819/1.1</f>
        <v/>
      </c>
      <c r="Q14819" s="88">
        <f>F14819&amp;E14819&amp;G14819&amp;L14819</f>
        <v/>
      </c>
    </row>
    <row r="14820">
      <c r="B14820" s="128" t="n">
        <v>44232</v>
      </c>
      <c r="C14820" s="88">
        <f>TEXT(B14820,"aaa")</f>
        <v/>
      </c>
      <c r="D14820" s="94" t="n"/>
      <c r="E14820" s="88">
        <f>INDEX(매칭테이블!C:D,MATCH(RD!G14820,매칭테이블!D:D,0),1)</f>
        <v/>
      </c>
      <c r="F14820" s="94" t="inlineStr">
        <is>
          <t>카페24</t>
        </is>
      </c>
      <c r="G14820" s="94" t="inlineStr">
        <is>
          <t>5 제로 무기자차 선크림옵션=5제로 무기자차 선크림 1개-20% off</t>
        </is>
      </c>
      <c r="K14820" s="94" t="n">
        <v>6</v>
      </c>
      <c r="L14820" s="88" t="n">
        <v>201208</v>
      </c>
      <c r="M14820" s="88">
        <f>VLOOKUP($Q14820,매칭테이블!$F:$I,2,0)*K14820</f>
        <v/>
      </c>
      <c r="N14820" s="88">
        <f>M14820-M14820*VLOOKUP($Q14820,매칭테이블!$F:$I,3,0)</f>
        <v/>
      </c>
      <c r="O14820" s="88">
        <f>VLOOKUP($Q14820,매칭테이블!$F:$I,4,0)*K14820</f>
        <v/>
      </c>
      <c r="P14820" s="152">
        <f>M14820/1.1</f>
        <v/>
      </c>
      <c r="Q14820" s="88">
        <f>F14820&amp;E14820&amp;G14820&amp;L14820</f>
        <v/>
      </c>
    </row>
    <row r="14821">
      <c r="B14821" s="128" t="n">
        <v>44232</v>
      </c>
      <c r="C14821" s="88">
        <f>TEXT(B14821,"aaa")</f>
        <v/>
      </c>
      <c r="D14821" s="94" t="n"/>
      <c r="E14821" s="88">
        <f>INDEX(매칭테이블!C:D,MATCH(RD!G14821,매칭테이블!D:D,0),1)</f>
        <v/>
      </c>
      <c r="F14821" s="94" t="inlineStr">
        <is>
          <t>카페24</t>
        </is>
      </c>
      <c r="G14821" s="94" t="inlineStr">
        <is>
          <t>[수분 보충 세트] 어성초 77 토너 + 어성초 70 로션옵션=어성초 77 토너 250ml + 어성초 70 로션 200ml -30%</t>
        </is>
      </c>
      <c r="K14821" s="94" t="n">
        <v>41</v>
      </c>
      <c r="L14821" s="88" t="n">
        <v>201208</v>
      </c>
      <c r="M14821" s="88">
        <f>VLOOKUP($Q14821,매칭테이블!$F:$I,2,0)*K14821</f>
        <v/>
      </c>
      <c r="N14821" s="88">
        <f>M14821-M14821*VLOOKUP($Q14821,매칭테이블!$F:$I,3,0)</f>
        <v/>
      </c>
      <c r="O14821" s="88">
        <f>VLOOKUP($Q14821,매칭테이블!$F:$I,4,0)*K14821</f>
        <v/>
      </c>
      <c r="P14821" s="152">
        <f>M14821/1.1</f>
        <v/>
      </c>
      <c r="Q14821" s="88">
        <f>F14821&amp;E14821&amp;G14821&amp;L14821</f>
        <v/>
      </c>
    </row>
    <row r="14822">
      <c r="B14822" s="128" t="n">
        <v>44232</v>
      </c>
      <c r="C14822" s="88">
        <f>TEXT(B14822,"aaa")</f>
        <v/>
      </c>
      <c r="D14822" s="94" t="n"/>
      <c r="E14822" s="88">
        <f>INDEX(매칭테이블!C:D,MATCH(RD!G14822,매칭테이블!D:D,0),1)</f>
        <v/>
      </c>
      <c r="F14822" s="94" t="inlineStr">
        <is>
          <t>카페24</t>
        </is>
      </c>
      <c r="G14822" s="94" t="inlineStr">
        <is>
          <t>대용량 어성초 77 수딩 토너 500ml옵션=대용량 어성초 77 토너 1개 - 27% OFF</t>
        </is>
      </c>
      <c r="K14822" s="94" t="n">
        <v>28</v>
      </c>
      <c r="L14822" s="88" t="n">
        <v>201208</v>
      </c>
      <c r="M14822" s="88">
        <f>VLOOKUP($Q14822,매칭테이블!$F:$I,2,0)*K14822</f>
        <v/>
      </c>
      <c r="N14822" s="88">
        <f>M14822-M14822*VLOOKUP($Q14822,매칭테이블!$F:$I,3,0)</f>
        <v/>
      </c>
      <c r="O14822" s="88">
        <f>VLOOKUP($Q14822,매칭테이블!$F:$I,4,0)*K14822</f>
        <v/>
      </c>
      <c r="P14822" s="152">
        <f>M14822/1.1</f>
        <v/>
      </c>
      <c r="Q14822" s="88">
        <f>F14822&amp;E14822&amp;G14822&amp;L14822</f>
        <v/>
      </c>
    </row>
    <row r="14823">
      <c r="B14823" s="128" t="n">
        <v>44232</v>
      </c>
      <c r="C14823" s="88">
        <f>TEXT(B14823,"aaa")</f>
        <v/>
      </c>
      <c r="D14823" s="94" t="n"/>
      <c r="E14823" s="88">
        <f>INDEX(매칭테이블!C:D,MATCH(RD!G14823,매칭테이블!D:D,0),1)</f>
        <v/>
      </c>
      <c r="F14823" s="94" t="inlineStr">
        <is>
          <t>카페24</t>
        </is>
      </c>
      <c r="G14823" s="94" t="inlineStr">
        <is>
          <t>대용량 어성초 77 수딩 토너 500ml화장솜(선택)=촉촉 스킨팩 화장솜</t>
        </is>
      </c>
      <c r="K14823" s="94" t="n">
        <v>6</v>
      </c>
      <c r="L14823" s="88" t="n">
        <v>201208</v>
      </c>
      <c r="M14823" s="88">
        <f>VLOOKUP($Q14823,매칭테이블!$F:$I,2,0)*K14823</f>
        <v/>
      </c>
      <c r="N14823" s="88">
        <f>M14823-M14823*VLOOKUP($Q14823,매칭테이블!$F:$I,3,0)</f>
        <v/>
      </c>
      <c r="O14823" s="88">
        <f>VLOOKUP($Q14823,매칭테이블!$F:$I,4,0)*K14823</f>
        <v/>
      </c>
      <c r="P14823" s="152">
        <f>M14823/1.1</f>
        <v/>
      </c>
      <c r="Q14823" s="88">
        <f>F14823&amp;E14823&amp;G14823&amp;L14823</f>
        <v/>
      </c>
    </row>
    <row r="14824">
      <c r="B14824" s="128" t="n">
        <v>44232</v>
      </c>
      <c r="C14824" s="88">
        <f>TEXT(B14824,"aaa")</f>
        <v/>
      </c>
      <c r="D14824" s="94" t="n"/>
      <c r="E14824" s="88">
        <f>INDEX(매칭테이블!C:D,MATCH(RD!G14824,매칭테이블!D:D,0),1)</f>
        <v/>
      </c>
      <c r="F14824" s="94" t="inlineStr">
        <is>
          <t>카페24</t>
        </is>
      </c>
      <c r="G14824" s="94" t="inlineStr">
        <is>
          <t>어성초 70 데일리 릴리프 로션로션=어성초 70 데일리 릴리프 로션 1개 -20% off</t>
        </is>
      </c>
      <c r="K14824" s="94" t="n">
        <v>12</v>
      </c>
      <c r="L14824" s="88" t="n">
        <v>201208</v>
      </c>
      <c r="M14824" s="88">
        <f>VLOOKUP($Q14824,매칭테이블!$F:$I,2,0)*K14824</f>
        <v/>
      </c>
      <c r="N14824" s="88">
        <f>M14824-M14824*VLOOKUP($Q14824,매칭테이블!$F:$I,3,0)</f>
        <v/>
      </c>
      <c r="O14824" s="88">
        <f>VLOOKUP($Q14824,매칭테이블!$F:$I,4,0)*K14824</f>
        <v/>
      </c>
      <c r="P14824" s="152">
        <f>M14824/1.1</f>
        <v/>
      </c>
      <c r="Q14824" s="88">
        <f>F14824&amp;E14824&amp;G14824&amp;L14824</f>
        <v/>
      </c>
    </row>
    <row r="14825">
      <c r="B14825" s="128" t="n">
        <v>44232</v>
      </c>
      <c r="C14825" s="88">
        <f>TEXT(B14825,"aaa")</f>
        <v/>
      </c>
      <c r="D14825" s="94" t="n"/>
      <c r="E14825" s="88">
        <f>INDEX(매칭테이블!C:D,MATCH(RD!G14825,매칭테이블!D:D,0),1)</f>
        <v/>
      </c>
      <c r="F14825" s="94" t="inlineStr">
        <is>
          <t>카페24</t>
        </is>
      </c>
      <c r="G14825" s="94" t="inlineStr">
        <is>
          <t>어성초 70 데일리 릴리프 로션로션=어성초 70 데일리 릴리프 로션 2개 -30% off</t>
        </is>
      </c>
      <c r="K14825" s="94" t="n">
        <v>3</v>
      </c>
      <c r="L14825" s="88" t="n">
        <v>201208</v>
      </c>
      <c r="M14825" s="88">
        <f>VLOOKUP($Q14825,매칭테이블!$F:$I,2,0)*K14825</f>
        <v/>
      </c>
      <c r="N14825" s="88">
        <f>M14825-M14825*VLOOKUP($Q14825,매칭테이블!$F:$I,3,0)</f>
        <v/>
      </c>
      <c r="O14825" s="88">
        <f>VLOOKUP($Q14825,매칭테이블!$F:$I,4,0)*K14825</f>
        <v/>
      </c>
      <c r="P14825" s="152">
        <f>M14825/1.1</f>
        <v/>
      </c>
      <c r="Q14825" s="88">
        <f>F14825&amp;E14825&amp;G14825&amp;L14825</f>
        <v/>
      </c>
    </row>
    <row r="14826">
      <c r="B14826" s="128" t="n">
        <v>44232</v>
      </c>
      <c r="C14826" s="88">
        <f>TEXT(B14826,"aaa")</f>
        <v/>
      </c>
      <c r="D14826" s="94" t="n"/>
      <c r="E14826" s="88">
        <f>INDEX(매칭테이블!C:D,MATCH(RD!G14826,매칭테이블!D:D,0),1)</f>
        <v/>
      </c>
      <c r="F14826" s="94" t="inlineStr">
        <is>
          <t>카페24</t>
        </is>
      </c>
      <c r="G14826" s="94" t="inlineStr">
        <is>
          <t>어성초 70 머드 크림 마스크옵션=어성초 70 머드 크림 마스크-20% off</t>
        </is>
      </c>
      <c r="K14826" s="94" t="n">
        <v>12</v>
      </c>
      <c r="L14826" s="88" t="n">
        <v>201208</v>
      </c>
      <c r="M14826" s="88">
        <f>VLOOKUP($Q14826,매칭테이블!$F:$I,2,0)*K14826</f>
        <v/>
      </c>
      <c r="N14826" s="88">
        <f>M14826-M14826*VLOOKUP($Q14826,매칭테이블!$F:$I,3,0)</f>
        <v/>
      </c>
      <c r="O14826" s="88">
        <f>VLOOKUP($Q14826,매칭테이블!$F:$I,4,0)*K14826</f>
        <v/>
      </c>
      <c r="P14826" s="152">
        <f>M14826/1.1</f>
        <v/>
      </c>
      <c r="Q14826" s="88">
        <f>F14826&amp;E14826&amp;G14826&amp;L14826</f>
        <v/>
      </c>
    </row>
    <row r="14827">
      <c r="B14827" s="128" t="n">
        <v>44232</v>
      </c>
      <c r="C14827" s="88">
        <f>TEXT(B14827,"aaa")</f>
        <v/>
      </c>
      <c r="D14827" s="94" t="n"/>
      <c r="E14827" s="88">
        <f>INDEX(매칭테이블!C:D,MATCH(RD!G14827,매칭테이블!D:D,0),1)</f>
        <v/>
      </c>
      <c r="F14827" s="94" t="inlineStr">
        <is>
          <t>카페24</t>
        </is>
      </c>
      <c r="G14827" s="94" t="inlineStr">
        <is>
          <t>어성초 70 머드 크림 마스크옵션=어성초 70 머드 크림 마스크 2개-30% off (무료배송)</t>
        </is>
      </c>
      <c r="K14827" s="94" t="n">
        <v>10</v>
      </c>
      <c r="L14827" s="88" t="n">
        <v>201208</v>
      </c>
      <c r="M14827" s="88">
        <f>VLOOKUP($Q14827,매칭테이블!$F:$I,2,0)*K14827</f>
        <v/>
      </c>
      <c r="N14827" s="88">
        <f>M14827-M14827*VLOOKUP($Q14827,매칭테이블!$F:$I,3,0)</f>
        <v/>
      </c>
      <c r="O14827" s="88">
        <f>VLOOKUP($Q14827,매칭테이블!$F:$I,4,0)*K14827</f>
        <v/>
      </c>
      <c r="P14827" s="152">
        <f>M14827/1.1</f>
        <v/>
      </c>
      <c r="Q14827" s="88">
        <f>F14827&amp;E14827&amp;G14827&amp;L14827</f>
        <v/>
      </c>
    </row>
    <row r="14828">
      <c r="B14828" s="128" t="n">
        <v>44232</v>
      </c>
      <c r="C14828" s="88">
        <f>TEXT(B14828,"aaa")</f>
        <v/>
      </c>
      <c r="D14828" s="94" t="n"/>
      <c r="E14828" s="88">
        <f>INDEX(매칭테이블!C:D,MATCH(RD!G14828,매칭테이블!D:D,0),1)</f>
        <v/>
      </c>
      <c r="F14828" s="94" t="inlineStr">
        <is>
          <t>카페24</t>
        </is>
      </c>
      <c r="G14828" s="94" t="inlineStr">
        <is>
          <t>어성초 70 인텐스 카밍 크림크림=어성초 70 인텐스 카밍 크림 1개 (-20%)</t>
        </is>
      </c>
      <c r="K14828" s="94" t="n">
        <v>7</v>
      </c>
      <c r="L14828" s="88" t="n">
        <v>201208</v>
      </c>
      <c r="M14828" s="88">
        <f>VLOOKUP($Q14828,매칭테이블!$F:$I,2,0)*K14828</f>
        <v/>
      </c>
      <c r="N14828" s="88">
        <f>M14828-M14828*VLOOKUP($Q14828,매칭테이블!$F:$I,3,0)</f>
        <v/>
      </c>
      <c r="O14828" s="88">
        <f>VLOOKUP($Q14828,매칭테이블!$F:$I,4,0)*K14828</f>
        <v/>
      </c>
      <c r="P14828" s="152">
        <f>M14828/1.1</f>
        <v/>
      </c>
      <c r="Q14828" s="88">
        <f>F14828&amp;E14828&amp;G14828&amp;L14828</f>
        <v/>
      </c>
    </row>
    <row r="14829">
      <c r="B14829" s="128" t="n">
        <v>44232</v>
      </c>
      <c r="C14829" s="88">
        <f>TEXT(B14829,"aaa")</f>
        <v/>
      </c>
      <c r="D14829" s="94" t="n"/>
      <c r="E14829" s="88">
        <f>INDEX(매칭테이블!C:D,MATCH(RD!G14829,매칭테이블!D:D,0),1)</f>
        <v/>
      </c>
      <c r="F14829" s="94" t="inlineStr">
        <is>
          <t>카페24</t>
        </is>
      </c>
      <c r="G14829" s="94" t="inlineStr">
        <is>
          <t>어성초 77 수딩 토너옵션=어성초 77 토너 1개-20% off</t>
        </is>
      </c>
      <c r="K14829" s="94" t="n">
        <v>1</v>
      </c>
      <c r="L14829" s="88" t="n">
        <v>201208</v>
      </c>
      <c r="M14829" s="88">
        <f>VLOOKUP($Q14829,매칭테이블!$F:$I,2,0)*K14829</f>
        <v/>
      </c>
      <c r="N14829" s="88">
        <f>M14829-M14829*VLOOKUP($Q14829,매칭테이블!$F:$I,3,0)</f>
        <v/>
      </c>
      <c r="O14829" s="88">
        <f>VLOOKUP($Q14829,매칭테이블!$F:$I,4,0)*K14829</f>
        <v/>
      </c>
      <c r="P14829" s="152">
        <f>M14829/1.1</f>
        <v/>
      </c>
      <c r="Q14829" s="88">
        <f>F14829&amp;E14829&amp;G14829&amp;L14829</f>
        <v/>
      </c>
    </row>
    <row r="14830">
      <c r="B14830" s="128" t="n">
        <v>44232</v>
      </c>
      <c r="C14830" s="88">
        <f>TEXT(B14830,"aaa")</f>
        <v/>
      </c>
      <c r="D14830" s="94" t="n"/>
      <c r="E14830" s="88">
        <f>INDEX(매칭테이블!C:D,MATCH(RD!G14830,매칭테이블!D:D,0),1)</f>
        <v/>
      </c>
      <c r="F14830" s="94" t="inlineStr">
        <is>
          <t>카페24</t>
        </is>
      </c>
      <c r="G14830" s="94" t="inlineStr">
        <is>
          <t>어성초 77 진정 마스크옵션=어성초 77 진정 마스크팩 1장</t>
        </is>
      </c>
      <c r="K14830" s="94" t="n">
        <v>3</v>
      </c>
      <c r="L14830" s="88" t="n">
        <v>201208</v>
      </c>
      <c r="M14830" s="88">
        <f>VLOOKUP($Q14830,매칭테이블!$F:$I,2,0)*K14830</f>
        <v/>
      </c>
      <c r="N14830" s="88">
        <f>M14830-M14830*VLOOKUP($Q14830,매칭테이블!$F:$I,3,0)</f>
        <v/>
      </c>
      <c r="O14830" s="88">
        <f>VLOOKUP($Q14830,매칭테이블!$F:$I,4,0)*K14830</f>
        <v/>
      </c>
      <c r="P14830" s="152">
        <f>M14830/1.1</f>
        <v/>
      </c>
      <c r="Q14830" s="88">
        <f>F14830&amp;E14830&amp;G14830&amp;L14830</f>
        <v/>
      </c>
    </row>
    <row r="14831">
      <c r="B14831" s="128" t="n">
        <v>44232</v>
      </c>
      <c r="C14831" s="88">
        <f>TEXT(B14831,"aaa")</f>
        <v/>
      </c>
      <c r="D14831" s="94" t="n"/>
      <c r="E14831" s="88">
        <f>INDEX(매칭테이블!C:D,MATCH(RD!G14831,매칭테이블!D:D,0),1)</f>
        <v/>
      </c>
      <c r="F14831" s="94" t="inlineStr">
        <is>
          <t>카페24</t>
        </is>
      </c>
      <c r="G14831" s="94" t="inlineStr">
        <is>
          <t>어성초 77 진정 마스크옵션=어성초 77 진정 마스크팩 10장-50% off</t>
        </is>
      </c>
      <c r="K14831" s="94" t="n">
        <v>7</v>
      </c>
      <c r="L14831" s="88" t="n">
        <v>201208</v>
      </c>
      <c r="M14831" s="88">
        <f>VLOOKUP($Q14831,매칭테이블!$F:$I,2,0)*K14831</f>
        <v/>
      </c>
      <c r="N14831" s="88">
        <f>M14831-M14831*VLOOKUP($Q14831,매칭테이블!$F:$I,3,0)</f>
        <v/>
      </c>
      <c r="O14831" s="88">
        <f>VLOOKUP($Q14831,매칭테이블!$F:$I,4,0)*K14831</f>
        <v/>
      </c>
      <c r="P14831" s="152">
        <f>M14831/1.1</f>
        <v/>
      </c>
      <c r="Q14831" s="88">
        <f>F14831&amp;E14831&amp;G14831&amp;L14831</f>
        <v/>
      </c>
    </row>
    <row r="14832">
      <c r="B14832" s="128" t="n">
        <v>44232</v>
      </c>
      <c r="C14832" s="88">
        <f>TEXT(B14832,"aaa")</f>
        <v/>
      </c>
      <c r="D14832" s="94" t="n"/>
      <c r="E14832" s="88">
        <f>INDEX(매칭테이블!C:D,MATCH(RD!G14832,매칭테이블!D:D,0),1)</f>
        <v/>
      </c>
      <c r="F14832" s="94" t="inlineStr">
        <is>
          <t>카페24</t>
        </is>
      </c>
      <c r="G14832" s="94" t="inlineStr">
        <is>
          <t>어성초 77 진정 마스크</t>
        </is>
      </c>
      <c r="K14832" s="94" t="n">
        <v>4</v>
      </c>
      <c r="L14832" s="88" t="n">
        <v>201208</v>
      </c>
      <c r="M14832" s="88">
        <f>VLOOKUP($Q14832,매칭테이블!$F:$I,2,0)*K14832</f>
        <v/>
      </c>
      <c r="N14832" s="88">
        <f>M14832-M14832*VLOOKUP($Q14832,매칭테이블!$F:$I,3,0)</f>
        <v/>
      </c>
      <c r="O14832" s="88">
        <f>VLOOKUP($Q14832,매칭테이블!$F:$I,4,0)*K14832</f>
        <v/>
      </c>
      <c r="P14832" s="152">
        <f>M14832/1.1</f>
        <v/>
      </c>
      <c r="Q14832" s="88">
        <f>F14832&amp;E14832&amp;G14832&amp;L14832</f>
        <v/>
      </c>
    </row>
    <row r="14833">
      <c r="B14833" s="128" t="n">
        <v>44232</v>
      </c>
      <c r="C14833" s="88">
        <f>TEXT(B14833,"aaa")</f>
        <v/>
      </c>
      <c r="D14833" s="94" t="n"/>
      <c r="E14833" s="88">
        <f>INDEX(매칭테이블!C:D,MATCH(RD!G14833,매칭테이블!D:D,0),1)</f>
        <v/>
      </c>
      <c r="F14833" s="94" t="inlineStr">
        <is>
          <t>카페24</t>
        </is>
      </c>
      <c r="G14833" s="94" t="inlineStr">
        <is>
          <t>어성초 77 진정 토너옵션=어성초 77 토너 1개-20% off</t>
        </is>
      </c>
      <c r="K14833" s="94" t="n">
        <v>35</v>
      </c>
      <c r="L14833" s="88" t="n">
        <v>201208</v>
      </c>
      <c r="M14833" s="88">
        <f>VLOOKUP($Q14833,매칭테이블!$F:$I,2,0)*K14833</f>
        <v/>
      </c>
      <c r="N14833" s="88">
        <f>M14833-M14833*VLOOKUP($Q14833,매칭테이블!$F:$I,3,0)</f>
        <v/>
      </c>
      <c r="O14833" s="88">
        <f>VLOOKUP($Q14833,매칭테이블!$F:$I,4,0)*K14833</f>
        <v/>
      </c>
      <c r="P14833" s="152">
        <f>M14833/1.1</f>
        <v/>
      </c>
      <c r="Q14833" s="88">
        <f>F14833&amp;E14833&amp;G14833&amp;L14833</f>
        <v/>
      </c>
    </row>
    <row r="14834">
      <c r="B14834" s="128" t="n">
        <v>44232</v>
      </c>
      <c r="C14834" s="88">
        <f>TEXT(B14834,"aaa")</f>
        <v/>
      </c>
      <c r="D14834" s="94" t="n"/>
      <c r="E14834" s="88">
        <f>INDEX(매칭테이블!C:D,MATCH(RD!G14834,매칭테이블!D:D,0),1)</f>
        <v/>
      </c>
      <c r="F14834" s="94" t="inlineStr">
        <is>
          <t>카페24</t>
        </is>
      </c>
      <c r="G14834" s="94" t="inlineStr">
        <is>
          <t>어성초 77 진정 토너옵션=BEST어성초 77 토너 2개-30% off (무료배송)</t>
        </is>
      </c>
      <c r="K14834" s="94" t="n">
        <v>20</v>
      </c>
      <c r="L14834" s="88" t="n">
        <v>201208</v>
      </c>
      <c r="M14834" s="88">
        <f>VLOOKUP($Q14834,매칭테이블!$F:$I,2,0)*K14834</f>
        <v/>
      </c>
      <c r="N14834" s="88">
        <f>M14834-M14834*VLOOKUP($Q14834,매칭테이블!$F:$I,3,0)</f>
        <v/>
      </c>
      <c r="O14834" s="88">
        <f>VLOOKUP($Q14834,매칭테이블!$F:$I,4,0)*K14834</f>
        <v/>
      </c>
      <c r="P14834" s="152">
        <f>M14834/1.1</f>
        <v/>
      </c>
      <c r="Q14834" s="88">
        <f>F14834&amp;E14834&amp;G14834&amp;L14834</f>
        <v/>
      </c>
    </row>
    <row r="14835">
      <c r="B14835" s="128" t="n">
        <v>44232</v>
      </c>
      <c r="C14835" s="88">
        <f>TEXT(B14835,"aaa")</f>
        <v/>
      </c>
      <c r="D14835" s="94" t="n"/>
      <c r="E14835" s="88">
        <f>INDEX(매칭테이블!C:D,MATCH(RD!G14835,매칭테이블!D:D,0),1)</f>
        <v/>
      </c>
      <c r="F14835" s="94" t="inlineStr">
        <is>
          <t>카페24</t>
        </is>
      </c>
      <c r="G14835" s="94" t="inlineStr">
        <is>
          <t>어성초 77 진정 토너옵션=어성초 77토너1개 + 어성초77패드1개 -30% off (무료배송)</t>
        </is>
      </c>
      <c r="K14835" s="94" t="n">
        <v>20</v>
      </c>
      <c r="L14835" s="88" t="n">
        <v>201208</v>
      </c>
      <c r="M14835" s="88">
        <f>VLOOKUP($Q14835,매칭테이블!$F:$I,2,0)*K14835</f>
        <v/>
      </c>
      <c r="N14835" s="88">
        <f>M14835-M14835*VLOOKUP($Q14835,매칭테이블!$F:$I,3,0)</f>
        <v/>
      </c>
      <c r="O14835" s="88">
        <f>VLOOKUP($Q14835,매칭테이블!$F:$I,4,0)*K14835</f>
        <v/>
      </c>
      <c r="P14835" s="152">
        <f>M14835/1.1</f>
        <v/>
      </c>
      <c r="Q14835" s="88">
        <f>F14835&amp;E14835&amp;G14835&amp;L14835</f>
        <v/>
      </c>
    </row>
    <row r="14836">
      <c r="B14836" s="128" t="n">
        <v>44232</v>
      </c>
      <c r="C14836" s="88">
        <f>TEXT(B14836,"aaa")</f>
        <v/>
      </c>
      <c r="D14836" s="94" t="n"/>
      <c r="E14836" s="88">
        <f>INDEX(매칭테이블!C:D,MATCH(RD!G14836,매칭테이블!D:D,0),1)</f>
        <v/>
      </c>
      <c r="F14836" s="94" t="inlineStr">
        <is>
          <t>카페24</t>
        </is>
      </c>
      <c r="G14836" s="94" t="inlineStr">
        <is>
          <t>어성초 77 진정 토너화장솜(선택)=촉촉 스킨팩 화장솜</t>
        </is>
      </c>
      <c r="K14836" s="94" t="n">
        <v>18</v>
      </c>
      <c r="L14836" s="88" t="n">
        <v>201208</v>
      </c>
      <c r="M14836" s="88">
        <f>VLOOKUP($Q14836,매칭테이블!$F:$I,2,0)*K14836</f>
        <v/>
      </c>
      <c r="N14836" s="88">
        <f>M14836-M14836*VLOOKUP($Q14836,매칭테이블!$F:$I,3,0)</f>
        <v/>
      </c>
      <c r="O14836" s="88">
        <f>VLOOKUP($Q14836,매칭테이블!$F:$I,4,0)*K14836</f>
        <v/>
      </c>
      <c r="P14836" s="152">
        <f>M14836/1.1</f>
        <v/>
      </c>
      <c r="Q14836" s="88">
        <f>F14836&amp;E14836&amp;G14836&amp;L14836</f>
        <v/>
      </c>
    </row>
    <row r="14837">
      <c r="B14837" s="128" t="n">
        <v>44232</v>
      </c>
      <c r="C14837" s="88">
        <f>TEXT(B14837,"aaa")</f>
        <v/>
      </c>
      <c r="D14837" s="94" t="n"/>
      <c r="E14837" s="88">
        <f>INDEX(매칭테이블!C:D,MATCH(RD!G14837,매칭테이블!D:D,0),1)</f>
        <v/>
      </c>
      <c r="F14837" s="94" t="inlineStr">
        <is>
          <t>카페24</t>
        </is>
      </c>
      <c r="G14837" s="94" t="inlineStr">
        <is>
          <t>어성초 77 클리어 패드옵션=어성초 77 클리어 패드 1개-20% off</t>
        </is>
      </c>
      <c r="K14837" s="94" t="n">
        <v>37</v>
      </c>
      <c r="L14837" s="88" t="n">
        <v>201208</v>
      </c>
      <c r="M14837" s="88">
        <f>VLOOKUP($Q14837,매칭테이블!$F:$I,2,0)*K14837</f>
        <v/>
      </c>
      <c r="N14837" s="88">
        <f>M14837-M14837*VLOOKUP($Q14837,매칭테이블!$F:$I,3,0)</f>
        <v/>
      </c>
      <c r="O14837" s="88">
        <f>VLOOKUP($Q14837,매칭테이블!$F:$I,4,0)*K14837</f>
        <v/>
      </c>
      <c r="P14837" s="152">
        <f>M14837/1.1</f>
        <v/>
      </c>
      <c r="Q14837" s="88">
        <f>F14837&amp;E14837&amp;G14837&amp;L14837</f>
        <v/>
      </c>
    </row>
    <row r="14838">
      <c r="B14838" s="128" t="n">
        <v>44232</v>
      </c>
      <c r="C14838" s="88">
        <f>TEXT(B14838,"aaa")</f>
        <v/>
      </c>
      <c r="D14838" s="94" t="n"/>
      <c r="E14838" s="88">
        <f>INDEX(매칭테이블!C:D,MATCH(RD!G14838,매칭테이블!D:D,0),1)</f>
        <v/>
      </c>
      <c r="F14838" s="94" t="inlineStr">
        <is>
          <t>카페24</t>
        </is>
      </c>
      <c r="G14838" s="94" t="inlineStr">
        <is>
          <t>어성초 77 클리어 패드옵션=어성초 77 클리어 패드 2개-30% off (무료배송)</t>
        </is>
      </c>
      <c r="K14838" s="94" t="n">
        <v>28</v>
      </c>
      <c r="L14838" s="88" t="n">
        <v>201208</v>
      </c>
      <c r="M14838" s="88">
        <f>VLOOKUP($Q14838,매칭테이블!$F:$I,2,0)*K14838</f>
        <v/>
      </c>
      <c r="N14838" s="88">
        <f>M14838-M14838*VLOOKUP($Q14838,매칭테이블!$F:$I,3,0)</f>
        <v/>
      </c>
      <c r="O14838" s="88">
        <f>VLOOKUP($Q14838,매칭테이블!$F:$I,4,0)*K14838</f>
        <v/>
      </c>
      <c r="P14838" s="152">
        <f>M14838/1.1</f>
        <v/>
      </c>
      <c r="Q14838" s="88">
        <f>F14838&amp;E14838&amp;G14838&amp;L14838</f>
        <v/>
      </c>
    </row>
    <row r="14839">
      <c r="B14839" s="128" t="n">
        <v>44232</v>
      </c>
      <c r="C14839" s="88">
        <f>TEXT(B14839,"aaa")</f>
        <v/>
      </c>
      <c r="D14839" s="94" t="n"/>
      <c r="E14839" s="88">
        <f>INDEX(매칭테이블!C:D,MATCH(RD!G14839,매칭테이블!D:D,0),1)</f>
        <v/>
      </c>
      <c r="F14839" s="94" t="inlineStr">
        <is>
          <t>카페24</t>
        </is>
      </c>
      <c r="G14839" s="94" t="inlineStr">
        <is>
          <t>어성초 77 클리어 패드옵션=어성초 77 클리어 패드 2+1 EVENT (무료배송)</t>
        </is>
      </c>
      <c r="K14839" s="94" t="n">
        <v>28</v>
      </c>
      <c r="L14839" s="88" t="n">
        <v>201208</v>
      </c>
      <c r="M14839" s="88">
        <f>VLOOKUP($Q14839,매칭테이블!$F:$I,2,0)*K14839</f>
        <v/>
      </c>
      <c r="N14839" s="88">
        <f>M14839-M14839*VLOOKUP($Q14839,매칭테이블!$F:$I,3,0)</f>
        <v/>
      </c>
      <c r="O14839" s="88">
        <f>VLOOKUP($Q14839,매칭테이블!$F:$I,4,0)*K14839</f>
        <v/>
      </c>
      <c r="P14839" s="152">
        <f>M14839/1.1</f>
        <v/>
      </c>
      <c r="Q14839" s="88">
        <f>F14839&amp;E14839&amp;G14839&amp;L14839</f>
        <v/>
      </c>
    </row>
    <row r="14840">
      <c r="B14840" s="128" t="n">
        <v>44232</v>
      </c>
      <c r="C14840" s="88">
        <f>TEXT(B14840,"aaa")</f>
        <v/>
      </c>
      <c r="D14840" s="94" t="n"/>
      <c r="E14840" s="88">
        <f>INDEX(매칭테이블!C:D,MATCH(RD!G14840,매칭테이블!D:D,0),1)</f>
        <v/>
      </c>
      <c r="F14840" s="94" t="inlineStr">
        <is>
          <t>카페24</t>
        </is>
      </c>
      <c r="G14840" s="94" t="inlineStr">
        <is>
          <t>어성초 77 클리어 패드옵션=어성초77토너1개+어성초77패드1개-30% off (무료배송)</t>
        </is>
      </c>
      <c r="K14840" s="94" t="n">
        <v>12</v>
      </c>
      <c r="L14840" s="88" t="n">
        <v>201208</v>
      </c>
      <c r="M14840" s="88">
        <f>VLOOKUP($Q14840,매칭테이블!$F:$I,2,0)*K14840</f>
        <v/>
      </c>
      <c r="N14840" s="88">
        <f>M14840-M14840*VLOOKUP($Q14840,매칭테이블!$F:$I,3,0)</f>
        <v/>
      </c>
      <c r="O14840" s="88">
        <f>VLOOKUP($Q14840,매칭테이블!$F:$I,4,0)*K14840</f>
        <v/>
      </c>
      <c r="P14840" s="152">
        <f>M14840/1.1</f>
        <v/>
      </c>
      <c r="Q14840" s="88">
        <f>F14840&amp;E14840&amp;G14840&amp;L14840</f>
        <v/>
      </c>
    </row>
    <row r="14841">
      <c r="B14841" s="128" t="n">
        <v>44232</v>
      </c>
      <c r="C14841" s="88">
        <f>TEXT(B14841,"aaa")</f>
        <v/>
      </c>
      <c r="D14841" s="94" t="n"/>
      <c r="E14841" s="88">
        <f>INDEX(매칭테이블!C:D,MATCH(RD!G14841,매칭테이블!D:D,0),1)</f>
        <v/>
      </c>
      <c r="F14841" s="94" t="inlineStr">
        <is>
          <t>카페24</t>
        </is>
      </c>
      <c r="G14841" s="94" t="inlineStr">
        <is>
          <t>어성초 77 토너</t>
        </is>
      </c>
      <c r="K14841" s="94" t="n">
        <v>1</v>
      </c>
      <c r="L14841" s="88" t="n">
        <v>201208</v>
      </c>
      <c r="M14841" s="88">
        <f>VLOOKUP($Q14841,매칭테이블!$F:$I,2,0)*K14841</f>
        <v/>
      </c>
      <c r="N14841" s="88">
        <f>M14841-M14841*VLOOKUP($Q14841,매칭테이블!$F:$I,3,0)</f>
        <v/>
      </c>
      <c r="O14841" s="88">
        <f>VLOOKUP($Q14841,매칭테이블!$F:$I,4,0)*K14841</f>
        <v/>
      </c>
      <c r="P14841" s="152">
        <f>M14841/1.1</f>
        <v/>
      </c>
      <c r="Q14841" s="88">
        <f>F14841&amp;E14841&amp;G14841&amp;L14841</f>
        <v/>
      </c>
    </row>
    <row r="14842">
      <c r="B14842" s="128" t="n">
        <v>44232</v>
      </c>
      <c r="C14842" s="88">
        <f>TEXT(B14842,"aaa")</f>
        <v/>
      </c>
      <c r="D14842" s="94" t="n"/>
      <c r="E14842" s="88">
        <f>INDEX(매칭테이블!C:D,MATCH(RD!G14842,매칭테이블!D:D,0),1)</f>
        <v/>
      </c>
      <c r="F14842" s="94" t="inlineStr">
        <is>
          <t>카페24</t>
        </is>
      </c>
      <c r="G14842" s="94" t="inlineStr">
        <is>
          <t>어성초 77 포어 클리어 패드옵션=어성초 77 클리어 패드 1개-20% off</t>
        </is>
      </c>
      <c r="K14842" s="94" t="n">
        <v>1</v>
      </c>
      <c r="L14842" s="88" t="n">
        <v>201208</v>
      </c>
      <c r="M14842" s="88">
        <f>VLOOKUP($Q14842,매칭테이블!$F:$I,2,0)*K14842</f>
        <v/>
      </c>
      <c r="N14842" s="88">
        <f>M14842-M14842*VLOOKUP($Q14842,매칭테이블!$F:$I,3,0)</f>
        <v/>
      </c>
      <c r="O14842" s="88">
        <f>VLOOKUP($Q14842,매칭테이블!$F:$I,4,0)*K14842</f>
        <v/>
      </c>
      <c r="P14842" s="152">
        <f>M14842/1.1</f>
        <v/>
      </c>
      <c r="Q14842" s="88">
        <f>F14842&amp;E14842&amp;G14842&amp;L14842</f>
        <v/>
      </c>
    </row>
    <row r="14843">
      <c r="B14843" s="128" t="n">
        <v>44232</v>
      </c>
      <c r="C14843" s="88">
        <f>TEXT(B14843,"aaa")</f>
        <v/>
      </c>
      <c r="D14843" s="94" t="n"/>
      <c r="E14843" s="88">
        <f>INDEX(매칭테이블!C:D,MATCH(RD!G14843,매칭테이블!D:D,0),1)</f>
        <v/>
      </c>
      <c r="F14843" s="94" t="inlineStr">
        <is>
          <t>카페24</t>
        </is>
      </c>
      <c r="G14843" s="94" t="inlineStr">
        <is>
          <t>어성초 77% 패드옵션=어성초 77 클리어 패드 1개-20% off</t>
        </is>
      </c>
      <c r="K14843" s="94" t="n">
        <v>23</v>
      </c>
      <c r="L14843" s="88" t="n">
        <v>201208</v>
      </c>
      <c r="M14843" s="88">
        <f>VLOOKUP($Q14843,매칭테이블!$F:$I,2,0)*K14843</f>
        <v/>
      </c>
      <c r="N14843" s="88">
        <f>M14843-M14843*VLOOKUP($Q14843,매칭테이블!$F:$I,3,0)</f>
        <v/>
      </c>
      <c r="O14843" s="88">
        <f>VLOOKUP($Q14843,매칭테이블!$F:$I,4,0)*K14843</f>
        <v/>
      </c>
      <c r="P14843" s="152">
        <f>M14843/1.1</f>
        <v/>
      </c>
      <c r="Q14843" s="88">
        <f>F14843&amp;E14843&amp;G14843&amp;L14843</f>
        <v/>
      </c>
    </row>
    <row r="14844">
      <c r="B14844" s="128" t="n">
        <v>44232</v>
      </c>
      <c r="C14844" s="88">
        <f>TEXT(B14844,"aaa")</f>
        <v/>
      </c>
      <c r="D14844" s="94" t="n"/>
      <c r="E14844" s="88">
        <f>INDEX(매칭테이블!C:D,MATCH(RD!G14844,매칭테이블!D:D,0),1)</f>
        <v/>
      </c>
      <c r="F14844" s="94" t="inlineStr">
        <is>
          <t>카페24</t>
        </is>
      </c>
      <c r="G14844" s="94" t="inlineStr">
        <is>
          <t>어성초 77% 패드옵션=어성초 77 클리어 패드 2개-30% off (무료배송)</t>
        </is>
      </c>
      <c r="K14844" s="94" t="n">
        <v>25</v>
      </c>
      <c r="L14844" s="88" t="n">
        <v>201208</v>
      </c>
      <c r="M14844" s="88">
        <f>VLOOKUP($Q14844,매칭테이블!$F:$I,2,0)*K14844</f>
        <v/>
      </c>
      <c r="N14844" s="88">
        <f>M14844-M14844*VLOOKUP($Q14844,매칭테이블!$F:$I,3,0)</f>
        <v/>
      </c>
      <c r="O14844" s="88">
        <f>VLOOKUP($Q14844,매칭테이블!$F:$I,4,0)*K14844</f>
        <v/>
      </c>
      <c r="P14844" s="152">
        <f>M14844/1.1</f>
        <v/>
      </c>
      <c r="Q14844" s="88">
        <f>F14844&amp;E14844&amp;G14844&amp;L14844</f>
        <v/>
      </c>
    </row>
    <row r="14845">
      <c r="B14845" s="128" t="n">
        <v>44232</v>
      </c>
      <c r="C14845" s="88">
        <f>TEXT(B14845,"aaa")</f>
        <v/>
      </c>
      <c r="D14845" s="94" t="n"/>
      <c r="E14845" s="88">
        <f>INDEX(매칭테이블!C:D,MATCH(RD!G14845,매칭테이블!D:D,0),1)</f>
        <v/>
      </c>
      <c r="F14845" s="94" t="inlineStr">
        <is>
          <t>카페24</t>
        </is>
      </c>
      <c r="G14845" s="94" t="inlineStr">
        <is>
          <t>어성초 77% 패드옵션=어성초 77 클리어 패드 2+1 EVENT (무료배송)</t>
        </is>
      </c>
      <c r="K14845" s="94" t="n">
        <v>18</v>
      </c>
      <c r="L14845" s="88" t="n">
        <v>201208</v>
      </c>
      <c r="M14845" s="88">
        <f>VLOOKUP($Q14845,매칭테이블!$F:$I,2,0)*K14845</f>
        <v/>
      </c>
      <c r="N14845" s="88">
        <f>M14845-M14845*VLOOKUP($Q14845,매칭테이블!$F:$I,3,0)</f>
        <v/>
      </c>
      <c r="O14845" s="88">
        <f>VLOOKUP($Q14845,매칭테이블!$F:$I,4,0)*K14845</f>
        <v/>
      </c>
      <c r="P14845" s="152">
        <f>M14845/1.1</f>
        <v/>
      </c>
      <c r="Q14845" s="88">
        <f>F14845&amp;E14845&amp;G14845&amp;L14845</f>
        <v/>
      </c>
    </row>
    <row r="14846">
      <c r="B14846" s="128" t="n">
        <v>44232</v>
      </c>
      <c r="C14846" s="88">
        <f>TEXT(B14846,"aaa")</f>
        <v/>
      </c>
      <c r="D14846" s="94" t="n"/>
      <c r="E14846" s="88">
        <f>INDEX(매칭테이블!C:D,MATCH(RD!G14846,매칭테이블!D:D,0),1)</f>
        <v/>
      </c>
      <c r="F14846" s="94" t="inlineStr">
        <is>
          <t>카페24</t>
        </is>
      </c>
      <c r="G14846" s="94" t="inlineStr">
        <is>
          <t>어성초 77% 패드옵션=어성초77토너1개+어성초77패드1개-30% off (무료배송)</t>
        </is>
      </c>
      <c r="K14846" s="94" t="n">
        <v>15</v>
      </c>
      <c r="L14846" s="88" t="n">
        <v>201208</v>
      </c>
      <c r="M14846" s="88">
        <f>VLOOKUP($Q14846,매칭테이블!$F:$I,2,0)*K14846</f>
        <v/>
      </c>
      <c r="N14846" s="88">
        <f>M14846-M14846*VLOOKUP($Q14846,매칭테이블!$F:$I,3,0)</f>
        <v/>
      </c>
      <c r="O14846" s="88">
        <f>VLOOKUP($Q14846,매칭테이블!$F:$I,4,0)*K14846</f>
        <v/>
      </c>
      <c r="P14846" s="152">
        <f>M14846/1.1</f>
        <v/>
      </c>
      <c r="Q14846" s="88">
        <f>F14846&amp;E14846&amp;G14846&amp;L14846</f>
        <v/>
      </c>
    </row>
    <row r="14847">
      <c r="B14847" s="128" t="n">
        <v>44232</v>
      </c>
      <c r="C14847" s="88">
        <f>TEXT(B14847,"aaa")</f>
        <v/>
      </c>
      <c r="D14847" s="94" t="n"/>
      <c r="E14847" s="88">
        <f>INDEX(매칭테이블!C:D,MATCH(RD!G14847,매칭테이블!D:D,0),1)</f>
        <v/>
      </c>
      <c r="F14847" s="94" t="inlineStr">
        <is>
          <t>카페24</t>
        </is>
      </c>
      <c r="G14847" s="94" t="inlineStr">
        <is>
          <t>어성초 78 수딩 크림</t>
        </is>
      </c>
      <c r="K14847" s="94" t="n">
        <v>9</v>
      </c>
      <c r="L14847" s="88" t="n">
        <v>201208</v>
      </c>
      <c r="M14847" s="88">
        <f>VLOOKUP($Q14847,매칭테이블!$F:$I,2,0)*K14847</f>
        <v/>
      </c>
      <c r="N14847" s="88">
        <f>M14847-M14847*VLOOKUP($Q14847,매칭테이블!$F:$I,3,0)</f>
        <v/>
      </c>
      <c r="O14847" s="88">
        <f>VLOOKUP($Q14847,매칭테이블!$F:$I,4,0)*K14847</f>
        <v/>
      </c>
      <c r="P14847" s="152">
        <f>M14847/1.1</f>
        <v/>
      </c>
      <c r="Q14847" s="88">
        <f>F14847&amp;E14847&amp;G14847&amp;L14847</f>
        <v/>
      </c>
    </row>
    <row r="14848">
      <c r="B14848" s="128" t="n">
        <v>44232</v>
      </c>
      <c r="C14848" s="88">
        <f>TEXT(B14848,"aaa")</f>
        <v/>
      </c>
      <c r="D14848" s="94" t="n"/>
      <c r="E14848" s="88">
        <f>INDEX(매칭테이블!C:D,MATCH(RD!G14848,매칭테이블!D:D,0),1)</f>
        <v/>
      </c>
      <c r="F14848" s="94" t="inlineStr">
        <is>
          <t>카페24</t>
        </is>
      </c>
      <c r="G14848" s="94" t="inlineStr">
        <is>
          <t>어성초 78 수딩 크림</t>
        </is>
      </c>
      <c r="K14848" s="94" t="n">
        <v>5</v>
      </c>
      <c r="L14848" s="88" t="n">
        <v>201208</v>
      </c>
      <c r="M14848" s="88">
        <f>VLOOKUP($Q14848,매칭테이블!$F:$I,2,0)*K14848</f>
        <v/>
      </c>
      <c r="N14848" s="88">
        <f>M14848-M14848*VLOOKUP($Q14848,매칭테이블!$F:$I,3,0)</f>
        <v/>
      </c>
      <c r="O14848" s="88">
        <f>VLOOKUP($Q14848,매칭테이블!$F:$I,4,0)*K14848</f>
        <v/>
      </c>
      <c r="P14848" s="152">
        <f>M14848/1.1</f>
        <v/>
      </c>
      <c r="Q14848" s="88">
        <f>F14848&amp;E14848&amp;G14848&amp;L14848</f>
        <v/>
      </c>
    </row>
    <row r="14849">
      <c r="B14849" s="128" t="n">
        <v>44232</v>
      </c>
      <c r="C14849" s="88">
        <f>TEXT(B14849,"aaa")</f>
        <v/>
      </c>
      <c r="D14849" s="94" t="n"/>
      <c r="E14849" s="88">
        <f>INDEX(매칭테이블!C:D,MATCH(RD!G14849,매칭테이블!D:D,0),1)</f>
        <v/>
      </c>
      <c r="F14849" s="94" t="inlineStr">
        <is>
          <t>카페24</t>
        </is>
      </c>
      <c r="G14849" s="94" t="inlineStr">
        <is>
          <t>어성초 80 수분 진정 앰플앰플=어성초 80 앰플 1개-15%off</t>
        </is>
      </c>
      <c r="K14849" s="94" t="n">
        <v>22</v>
      </c>
      <c r="L14849" s="88" t="n">
        <v>201208</v>
      </c>
      <c r="M14849" s="88">
        <f>VLOOKUP($Q14849,매칭테이블!$F:$I,2,0)*K14849</f>
        <v/>
      </c>
      <c r="N14849" s="88">
        <f>M14849-M14849*VLOOKUP($Q14849,매칭테이블!$F:$I,3,0)</f>
        <v/>
      </c>
      <c r="O14849" s="88">
        <f>VLOOKUP($Q14849,매칭테이블!$F:$I,4,0)*K14849</f>
        <v/>
      </c>
      <c r="P14849" s="152">
        <f>M14849/1.1</f>
        <v/>
      </c>
      <c r="Q14849" s="88">
        <f>F14849&amp;E14849&amp;G14849&amp;L14849</f>
        <v/>
      </c>
    </row>
    <row r="14850">
      <c r="B14850" s="128" t="n">
        <v>44232</v>
      </c>
      <c r="C14850" s="88">
        <f>TEXT(B14850,"aaa")</f>
        <v/>
      </c>
      <c r="D14850" s="94" t="n"/>
      <c r="E14850" s="88">
        <f>INDEX(매칭테이블!C:D,MATCH(RD!G14850,매칭테이블!D:D,0),1)</f>
        <v/>
      </c>
      <c r="F14850" s="94" t="inlineStr">
        <is>
          <t>카페24</t>
        </is>
      </c>
      <c r="G14850" s="94" t="inlineStr">
        <is>
          <t>어성초 80 수분 진정 앰플앰플=어성초 80 앰플 2개-27%off (무료배송)</t>
        </is>
      </c>
      <c r="K14850" s="94" t="n">
        <v>4</v>
      </c>
      <c r="L14850" s="88" t="n">
        <v>201208</v>
      </c>
      <c r="M14850" s="88">
        <f>VLOOKUP($Q14850,매칭테이블!$F:$I,2,0)*K14850</f>
        <v/>
      </c>
      <c r="N14850" s="88">
        <f>M14850-M14850*VLOOKUP($Q14850,매칭테이블!$F:$I,3,0)</f>
        <v/>
      </c>
      <c r="O14850" s="88">
        <f>VLOOKUP($Q14850,매칭테이블!$F:$I,4,0)*K14850</f>
        <v/>
      </c>
      <c r="P14850" s="152">
        <f>M14850/1.1</f>
        <v/>
      </c>
      <c r="Q14850" s="88">
        <f>F14850&amp;E14850&amp;G14850&amp;L14850</f>
        <v/>
      </c>
    </row>
    <row r="14851">
      <c r="B14851" s="128" t="n">
        <v>44232</v>
      </c>
      <c r="C14851" s="88">
        <f>TEXT(B14851,"aaa")</f>
        <v/>
      </c>
      <c r="D14851" s="94" t="n"/>
      <c r="E14851" s="88">
        <f>INDEX(매칭테이블!C:D,MATCH(RD!G14851,매칭테이블!D:D,0),1)</f>
        <v/>
      </c>
      <c r="F14851" s="94" t="inlineStr">
        <is>
          <t>카페24</t>
        </is>
      </c>
      <c r="G14851" s="94" t="inlineStr">
        <is>
          <t>어성초 80 수분 진정 앰플</t>
        </is>
      </c>
      <c r="K14851" s="94" t="n">
        <v>3</v>
      </c>
      <c r="L14851" s="88" t="n">
        <v>201208</v>
      </c>
      <c r="M14851" s="88">
        <f>VLOOKUP($Q14851,매칭테이블!$F:$I,2,0)*K14851</f>
        <v/>
      </c>
      <c r="N14851" s="88">
        <f>M14851-M14851*VLOOKUP($Q14851,매칭테이블!$F:$I,3,0)</f>
        <v/>
      </c>
      <c r="O14851" s="88">
        <f>VLOOKUP($Q14851,매칭테이블!$F:$I,4,0)*K14851</f>
        <v/>
      </c>
      <c r="P14851" s="152">
        <f>M14851/1.1</f>
        <v/>
      </c>
      <c r="Q14851" s="88">
        <f>F14851&amp;E14851&amp;G14851&amp;L14851</f>
        <v/>
      </c>
    </row>
    <row r="14852">
      <c r="B14852" s="128" t="n">
        <v>44232</v>
      </c>
      <c r="C14852" s="88">
        <f>TEXT(B14852,"aaa")</f>
        <v/>
      </c>
      <c r="D14852" s="94" t="n"/>
      <c r="E14852" s="88">
        <f>INDEX(매칭테이블!C:D,MATCH(RD!G14852,매칭테이블!D:D,0),1)</f>
        <v/>
      </c>
      <c r="F14852" s="94" t="inlineStr">
        <is>
          <t>카페24</t>
        </is>
      </c>
      <c r="G14852" s="94" t="inlineStr">
        <is>
          <t>어성초 아크네 바디워시옵션=어성초 아크네 바디워시 1개 -30% off</t>
        </is>
      </c>
      <c r="K14852" s="94" t="n">
        <v>3</v>
      </c>
      <c r="L14852" s="88" t="n">
        <v>201208</v>
      </c>
      <c r="M14852" s="88">
        <f>VLOOKUP($Q14852,매칭테이블!$F:$I,2,0)*K14852</f>
        <v/>
      </c>
      <c r="N14852" s="88">
        <f>M14852-M14852*VLOOKUP($Q14852,매칭테이블!$F:$I,3,0)</f>
        <v/>
      </c>
      <c r="O14852" s="88">
        <f>VLOOKUP($Q14852,매칭테이블!$F:$I,4,0)*K14852</f>
        <v/>
      </c>
      <c r="P14852" s="152">
        <f>M14852/1.1</f>
        <v/>
      </c>
      <c r="Q14852" s="88">
        <f>F14852&amp;E14852&amp;G14852&amp;L14852</f>
        <v/>
      </c>
    </row>
    <row r="14853">
      <c r="B14853" s="128" t="n">
        <v>44232</v>
      </c>
      <c r="C14853" s="88">
        <f>TEXT(B14853,"aaa")</f>
        <v/>
      </c>
      <c r="D14853" s="94" t="n"/>
      <c r="E14853" s="88">
        <f>INDEX(매칭테이블!C:D,MATCH(RD!G14853,매칭테이블!D:D,0),1)</f>
        <v/>
      </c>
      <c r="F14853" s="94" t="inlineStr">
        <is>
          <t>카페24</t>
        </is>
      </c>
      <c r="G14853" s="94" t="inlineStr">
        <is>
          <t>어성초 약산성 클렌징폼클렌징폼=어성초 약산성 클렌징폼 1개 -19%off</t>
        </is>
      </c>
      <c r="K14853" s="94" t="n">
        <v>18</v>
      </c>
      <c r="L14853" s="88" t="n">
        <v>201208</v>
      </c>
      <c r="M14853" s="88">
        <f>VLOOKUP($Q14853,매칭테이블!$F:$I,2,0)*K14853</f>
        <v/>
      </c>
      <c r="N14853" s="88">
        <f>M14853-M14853*VLOOKUP($Q14853,매칭테이블!$F:$I,3,0)</f>
        <v/>
      </c>
      <c r="O14853" s="88">
        <f>VLOOKUP($Q14853,매칭테이블!$F:$I,4,0)*K14853</f>
        <v/>
      </c>
      <c r="P14853" s="152">
        <f>M14853/1.1</f>
        <v/>
      </c>
      <c r="Q14853" s="88">
        <f>F14853&amp;E14853&amp;G14853&amp;L14853</f>
        <v/>
      </c>
    </row>
    <row r="14854">
      <c r="B14854" s="128" t="n">
        <v>44232</v>
      </c>
      <c r="C14854" s="88">
        <f>TEXT(B14854,"aaa")</f>
        <v/>
      </c>
      <c r="D14854" s="94" t="n"/>
      <c r="E14854" s="88">
        <f>INDEX(매칭테이블!C:D,MATCH(RD!G14854,매칭테이블!D:D,0),1)</f>
        <v/>
      </c>
      <c r="F14854" s="94" t="inlineStr">
        <is>
          <t>카페24</t>
        </is>
      </c>
      <c r="G14854" s="94" t="inlineStr">
        <is>
          <t>어성초 약산성 클렌징폼클렌징폼=어성초 약산성 클렌징폼 2개 -25%off</t>
        </is>
      </c>
      <c r="K14854" s="94" t="n">
        <v>4</v>
      </c>
      <c r="L14854" s="88" t="n">
        <v>201208</v>
      </c>
      <c r="M14854" s="88">
        <f>VLOOKUP($Q14854,매칭테이블!$F:$I,2,0)*K14854</f>
        <v/>
      </c>
      <c r="N14854" s="88">
        <f>M14854-M14854*VLOOKUP($Q14854,매칭테이블!$F:$I,3,0)</f>
        <v/>
      </c>
      <c r="O14854" s="88">
        <f>VLOOKUP($Q14854,매칭테이블!$F:$I,4,0)*K14854</f>
        <v/>
      </c>
      <c r="P14854" s="152">
        <f>M14854/1.1</f>
        <v/>
      </c>
      <c r="Q14854" s="88">
        <f>F14854&amp;E14854&amp;G14854&amp;L14854</f>
        <v/>
      </c>
    </row>
    <row r="14855">
      <c r="B14855" s="128" t="n">
        <v>44232</v>
      </c>
      <c r="C14855" s="88">
        <f>TEXT(B14855,"aaa")</f>
        <v/>
      </c>
      <c r="D14855" s="94" t="n"/>
      <c r="E14855" s="88">
        <f>INDEX(매칭테이블!C:D,MATCH(RD!G14855,매칭테이블!D:D,0),1)</f>
        <v/>
      </c>
      <c r="F14855" s="94" t="inlineStr">
        <is>
          <t>카페24</t>
        </is>
      </c>
      <c r="G14855" s="94" t="inlineStr">
        <is>
          <t>어성초 약산성 클렌징폼클렌징폼=어성초 약산성 클렌징폼 3개 -31%off (무료배송)</t>
        </is>
      </c>
      <c r="K14855" s="94" t="n">
        <v>1</v>
      </c>
      <c r="L14855" s="88" t="n">
        <v>201208</v>
      </c>
      <c r="M14855" s="88">
        <f>VLOOKUP($Q14855,매칭테이블!$F:$I,2,0)*K14855</f>
        <v/>
      </c>
      <c r="N14855" s="88">
        <f>M14855-M14855*VLOOKUP($Q14855,매칭테이블!$F:$I,3,0)</f>
        <v/>
      </c>
      <c r="O14855" s="88">
        <f>VLOOKUP($Q14855,매칭테이블!$F:$I,4,0)*K14855</f>
        <v/>
      </c>
      <c r="P14855" s="152">
        <f>M14855/1.1</f>
        <v/>
      </c>
      <c r="Q14855" s="88">
        <f>F14855&amp;E14855&amp;G14855&amp;L14855</f>
        <v/>
      </c>
    </row>
    <row r="14856">
      <c r="B14856" s="128" t="n">
        <v>44232</v>
      </c>
      <c r="C14856" s="88">
        <f>TEXT(B14856,"aaa")</f>
        <v/>
      </c>
      <c r="D14856" s="94" t="n"/>
      <c r="E14856" s="88">
        <f>INDEX(매칭테이블!C:D,MATCH(RD!G14856,매칭테이블!D:D,0),1)</f>
        <v/>
      </c>
      <c r="F14856" s="94" t="inlineStr">
        <is>
          <t>카페24</t>
        </is>
      </c>
      <c r="G14856" s="94" t="inlineStr">
        <is>
          <t>어성초 약산성 클렌징폼</t>
        </is>
      </c>
      <c r="K14856" s="94" t="n">
        <v>2</v>
      </c>
      <c r="L14856" s="88" t="n">
        <v>201208</v>
      </c>
      <c r="M14856" s="88">
        <f>VLOOKUP($Q14856,매칭테이블!$F:$I,2,0)*K14856</f>
        <v/>
      </c>
      <c r="N14856" s="88">
        <f>M14856-M14856*VLOOKUP($Q14856,매칭테이블!$F:$I,3,0)</f>
        <v/>
      </c>
      <c r="O14856" s="88">
        <f>VLOOKUP($Q14856,매칭테이블!$F:$I,4,0)*K14856</f>
        <v/>
      </c>
      <c r="P14856" s="152">
        <f>M14856/1.1</f>
        <v/>
      </c>
      <c r="Q14856" s="88">
        <f>F14856&amp;E14856&amp;G14856&amp;L14856</f>
        <v/>
      </c>
    </row>
    <row r="14857">
      <c r="B14857" s="128" t="n">
        <v>44232</v>
      </c>
      <c r="C14857" s="88">
        <f>TEXT(B14857,"aaa")</f>
        <v/>
      </c>
      <c r="D14857" s="94" t="n"/>
      <c r="E14857" s="88">
        <f>INDEX(매칭테이블!C:D,MATCH(RD!G14857,매칭테이블!D:D,0),1)</f>
        <v/>
      </c>
      <c r="F14857" s="94" t="inlineStr">
        <is>
          <t>카페24</t>
        </is>
      </c>
      <c r="G14857" s="94" t="inlineStr">
        <is>
          <t>어성초 크림마스크 나이트 솔루션옵션=어성초 크림마스크 나이트 솔루션 1장</t>
        </is>
      </c>
      <c r="K14857" s="94" t="n">
        <v>4</v>
      </c>
      <c r="L14857" s="88" t="n">
        <v>201208</v>
      </c>
      <c r="M14857" s="88">
        <f>VLOOKUP($Q14857,매칭테이블!$F:$I,2,0)*K14857</f>
        <v/>
      </c>
      <c r="N14857" s="88">
        <f>M14857-M14857*VLOOKUP($Q14857,매칭테이블!$F:$I,3,0)</f>
        <v/>
      </c>
      <c r="O14857" s="88">
        <f>VLOOKUP($Q14857,매칭테이블!$F:$I,4,0)*K14857</f>
        <v/>
      </c>
      <c r="P14857" s="152">
        <f>M14857/1.1</f>
        <v/>
      </c>
      <c r="Q14857" s="88">
        <f>F14857&amp;E14857&amp;G14857&amp;L14857</f>
        <v/>
      </c>
    </row>
    <row r="14858">
      <c r="B14858" s="128" t="n">
        <v>44232</v>
      </c>
      <c r="C14858" s="88">
        <f>TEXT(B14858,"aaa")</f>
        <v/>
      </c>
      <c r="D14858" s="94" t="n"/>
      <c r="E14858" s="88">
        <f>INDEX(매칭테이블!C:D,MATCH(RD!G14858,매칭테이블!D:D,0),1)</f>
        <v/>
      </c>
      <c r="F14858" s="94" t="inlineStr">
        <is>
          <t>카페24</t>
        </is>
      </c>
      <c r="G14858" s="94" t="inlineStr">
        <is>
          <t>어성초 크림마스크 나이트 솔루션옵션=어성초 크림마스크 나이트 솔루션 10장 (-50%)</t>
        </is>
      </c>
      <c r="K14858" s="94" t="n">
        <v>4</v>
      </c>
      <c r="L14858" s="88" t="n">
        <v>201208</v>
      </c>
      <c r="M14858" s="88">
        <f>VLOOKUP($Q14858,매칭테이블!$F:$I,2,0)*K14858</f>
        <v/>
      </c>
      <c r="N14858" s="88">
        <f>M14858-M14858*VLOOKUP($Q14858,매칭테이블!$F:$I,3,0)</f>
        <v/>
      </c>
      <c r="O14858" s="88">
        <f>VLOOKUP($Q14858,매칭테이블!$F:$I,4,0)*K14858</f>
        <v/>
      </c>
      <c r="P14858" s="152">
        <f>M14858/1.1</f>
        <v/>
      </c>
      <c r="Q14858" s="88">
        <f>F14858&amp;E14858&amp;G14858&amp;L14858</f>
        <v/>
      </c>
    </row>
    <row r="14859">
      <c r="B14859" s="128" t="n">
        <v>44232</v>
      </c>
      <c r="C14859" s="88">
        <f>TEXT(B14859,"aaa")</f>
        <v/>
      </c>
      <c r="D14859" s="94" t="n"/>
      <c r="E14859" s="88">
        <f>INDEX(매칭테이블!C:D,MATCH(RD!G14859,매칭테이블!D:D,0),1)</f>
        <v/>
      </c>
      <c r="F14859" s="94" t="inlineStr">
        <is>
          <t>카페24</t>
        </is>
      </c>
      <c r="G14859" s="94" t="inlineStr">
        <is>
          <t>자작나무 수분 마스크옵션=자작나무 수분 마스크 1장</t>
        </is>
      </c>
      <c r="K14859" s="94" t="n">
        <v>4</v>
      </c>
      <c r="L14859" s="88" t="n">
        <v>201208</v>
      </c>
      <c r="M14859" s="88">
        <f>VLOOKUP($Q14859,매칭테이블!$F:$I,2,0)*K14859</f>
        <v/>
      </c>
      <c r="N14859" s="88">
        <f>M14859-M14859*VLOOKUP($Q14859,매칭테이블!$F:$I,3,0)</f>
        <v/>
      </c>
      <c r="O14859" s="88">
        <f>VLOOKUP($Q14859,매칭테이블!$F:$I,4,0)*K14859</f>
        <v/>
      </c>
      <c r="P14859" s="152">
        <f>M14859/1.1</f>
        <v/>
      </c>
      <c r="Q14859" s="88">
        <f>F14859&amp;E14859&amp;G14859&amp;L14859</f>
        <v/>
      </c>
    </row>
    <row r="14860">
      <c r="B14860" s="128" t="n">
        <v>44232</v>
      </c>
      <c r="C14860" s="88">
        <f>TEXT(B14860,"aaa")</f>
        <v/>
      </c>
      <c r="D14860" s="94" t="n"/>
      <c r="E14860" s="88">
        <f>INDEX(매칭테이블!C:D,MATCH(RD!G14860,매칭테이블!D:D,0),1)</f>
        <v/>
      </c>
      <c r="F14860" s="94" t="inlineStr">
        <is>
          <t>카페24</t>
        </is>
      </c>
      <c r="G14860" s="94" t="inlineStr">
        <is>
          <t>청귤 비타 잡티 마스크옵션=청귤 비타 잡티 마스크 1장</t>
        </is>
      </c>
      <c r="K14860" s="94" t="n">
        <v>2</v>
      </c>
      <c r="L14860" s="88" t="n">
        <v>201208</v>
      </c>
      <c r="M14860" s="88">
        <f>VLOOKUP($Q14860,매칭테이블!$F:$I,2,0)*K14860</f>
        <v/>
      </c>
      <c r="N14860" s="88">
        <f>M14860-M14860*VLOOKUP($Q14860,매칭테이블!$F:$I,3,0)</f>
        <v/>
      </c>
      <c r="O14860" s="88">
        <f>VLOOKUP($Q14860,매칭테이블!$F:$I,4,0)*K14860</f>
        <v/>
      </c>
      <c r="P14860" s="152">
        <f>M14860/1.1</f>
        <v/>
      </c>
      <c r="Q14860" s="88">
        <f>F14860&amp;E14860&amp;G14860&amp;L14860</f>
        <v/>
      </c>
    </row>
    <row r="14861">
      <c r="B14861" s="128" t="n">
        <v>44232</v>
      </c>
      <c r="C14861" s="88">
        <f>TEXT(B14861,"aaa")</f>
        <v/>
      </c>
      <c r="D14861" s="94" t="n"/>
      <c r="E14861" s="88">
        <f>INDEX(매칭테이블!C:D,MATCH(RD!G14861,매칭테이블!D:D,0),1)</f>
        <v/>
      </c>
      <c r="F14861" s="94" t="inlineStr">
        <is>
          <t>카페24</t>
        </is>
      </c>
      <c r="G14861" s="94" t="inlineStr">
        <is>
          <t>청귤 비타 잡티 마스크옵션=청귤 비타 잡티 마스크 10장 (50% off)</t>
        </is>
      </c>
      <c r="K14861" s="94" t="n">
        <v>2</v>
      </c>
      <c r="L14861" s="88" t="n">
        <v>201208</v>
      </c>
      <c r="M14861" s="88">
        <f>VLOOKUP($Q14861,매칭테이블!$F:$I,2,0)*K14861</f>
        <v/>
      </c>
      <c r="N14861" s="88">
        <f>M14861-M14861*VLOOKUP($Q14861,매칭테이블!$F:$I,3,0)</f>
        <v/>
      </c>
      <c r="O14861" s="88">
        <f>VLOOKUP($Q14861,매칭테이블!$F:$I,4,0)*K14861</f>
        <v/>
      </c>
      <c r="P14861" s="152">
        <f>M14861/1.1</f>
        <v/>
      </c>
      <c r="Q14861" s="88">
        <f>F14861&amp;E14861&amp;G14861&amp;L14861</f>
        <v/>
      </c>
    </row>
    <row r="14862">
      <c r="B14862" s="128" t="n">
        <v>44232</v>
      </c>
      <c r="C14862" s="88">
        <f>TEXT(B14862,"aaa")</f>
        <v/>
      </c>
      <c r="D14862" s="94" t="n"/>
      <c r="E14862" s="88">
        <f>INDEX(매칭테이블!C:D,MATCH(RD!G14862,매칭테이블!D:D,0),1)</f>
        <v/>
      </c>
      <c r="F14862" s="94" t="inlineStr">
        <is>
          <t>카페24</t>
        </is>
      </c>
      <c r="G14862" s="94" t="inlineStr">
        <is>
          <t>촉촉 스킨팩 화장솜</t>
        </is>
      </c>
      <c r="K14862" s="94" t="n">
        <v>12</v>
      </c>
      <c r="L14862" s="88" t="n">
        <v>201208</v>
      </c>
      <c r="M14862" s="88">
        <f>VLOOKUP($Q14862,매칭테이블!$F:$I,2,0)*K14862</f>
        <v/>
      </c>
      <c r="N14862" s="88">
        <f>M14862-M14862*VLOOKUP($Q14862,매칭테이블!$F:$I,3,0)</f>
        <v/>
      </c>
      <c r="O14862" s="88">
        <f>VLOOKUP($Q14862,매칭테이블!$F:$I,4,0)*K14862</f>
        <v/>
      </c>
      <c r="P14862" s="152">
        <f>M14862/1.1</f>
        <v/>
      </c>
      <c r="Q14862" s="88">
        <f>F14862&amp;E14862&amp;G14862&amp;L14862</f>
        <v/>
      </c>
    </row>
    <row r="14863">
      <c r="B14863" s="128" t="n">
        <v>44233</v>
      </c>
      <c r="C14863" s="88">
        <f>TEXT(B14863,"aaa")</f>
        <v/>
      </c>
      <c r="D14863" s="94" t="n"/>
      <c r="E14863" s="88">
        <f>INDEX(매칭테이블!C:D,MATCH(RD!G14863,매칭테이블!D:D,0),1)</f>
        <v/>
      </c>
      <c r="F14863" s="94" t="inlineStr">
        <is>
          <t>스타일쉐어</t>
        </is>
      </c>
      <c r="G14863" s="94" t="inlineStr">
        <is>
          <t>아누아 어성초 77 토너 250ml</t>
        </is>
      </c>
      <c r="K14863" s="94" t="n">
        <v>4</v>
      </c>
      <c r="L14863" s="88" t="n">
        <v>201208</v>
      </c>
      <c r="M14863" s="88">
        <f>VLOOKUP($Q14863,매칭테이블!$F:$I,2,0)*K14863</f>
        <v/>
      </c>
      <c r="N14863" s="88">
        <f>M14863-M14863*VLOOKUP($Q14863,매칭테이블!$F:$I,3,0)</f>
        <v/>
      </c>
      <c r="O14863" s="88">
        <f>VLOOKUP($Q14863,매칭테이블!$F:$I,4,0)*K14863</f>
        <v/>
      </c>
      <c r="P14863" s="152">
        <f>M14863/1.1</f>
        <v/>
      </c>
      <c r="Q14863" s="88">
        <f>F14863&amp;E14863&amp;G14863&amp;L14863</f>
        <v/>
      </c>
    </row>
    <row r="14864">
      <c r="B14864" s="128" t="n">
        <v>44233</v>
      </c>
      <c r="C14864" s="88">
        <f>TEXT(B14864,"aaa")</f>
        <v/>
      </c>
      <c r="D14864" s="94" t="n"/>
      <c r="E14864" s="88">
        <f>INDEX(매칭테이블!C:D,MATCH(RD!G14864,매칭테이블!D:D,0),1)</f>
        <v/>
      </c>
      <c r="F14864" s="94" t="inlineStr">
        <is>
          <t>카페24</t>
        </is>
      </c>
      <c r="G14864" s="94" t="inlineStr">
        <is>
          <t>5 제로 무기자차 선크림옵션=5제로 무기자차 선크림 1개-20% off</t>
        </is>
      </c>
      <c r="K14864" s="94" t="n">
        <v>1</v>
      </c>
      <c r="L14864" s="88" t="n">
        <v>201208</v>
      </c>
      <c r="M14864" s="88">
        <f>VLOOKUP($Q14864,매칭테이블!$F:$I,2,0)*K14864</f>
        <v/>
      </c>
      <c r="N14864" s="88">
        <f>M14864-M14864*VLOOKUP($Q14864,매칭테이블!$F:$I,3,0)</f>
        <v/>
      </c>
      <c r="O14864" s="88">
        <f>VLOOKUP($Q14864,매칭테이블!$F:$I,4,0)*K14864</f>
        <v/>
      </c>
      <c r="P14864" s="152">
        <f>M14864/1.1</f>
        <v/>
      </c>
      <c r="Q14864" s="88">
        <f>F14864&amp;E14864&amp;G14864&amp;L14864</f>
        <v/>
      </c>
    </row>
    <row r="14865">
      <c r="B14865" s="128" t="n">
        <v>44233</v>
      </c>
      <c r="C14865" s="88">
        <f>TEXT(B14865,"aaa")</f>
        <v/>
      </c>
      <c r="D14865" s="94" t="n"/>
      <c r="E14865" s="88">
        <f>INDEX(매칭테이블!C:D,MATCH(RD!G14865,매칭테이블!D:D,0),1)</f>
        <v/>
      </c>
      <c r="F14865" s="94" t="inlineStr">
        <is>
          <t>카페24</t>
        </is>
      </c>
      <c r="G14865" s="94" t="inlineStr">
        <is>
          <t>5 제로 무기자차 선크림옵션=5제로 무기자차 선크림 2개-30% off (무료배송)</t>
        </is>
      </c>
      <c r="K14865" s="94" t="n">
        <v>1</v>
      </c>
      <c r="L14865" s="88" t="n">
        <v>201208</v>
      </c>
      <c r="M14865" s="88">
        <f>VLOOKUP($Q14865,매칭테이블!$F:$I,2,0)*K14865</f>
        <v/>
      </c>
      <c r="N14865" s="88">
        <f>M14865-M14865*VLOOKUP($Q14865,매칭테이블!$F:$I,3,0)</f>
        <v/>
      </c>
      <c r="O14865" s="88">
        <f>VLOOKUP($Q14865,매칭테이블!$F:$I,4,0)*K14865</f>
        <v/>
      </c>
      <c r="P14865" s="152">
        <f>M14865/1.1</f>
        <v/>
      </c>
      <c r="Q14865" s="88">
        <f>F14865&amp;E14865&amp;G14865&amp;L14865</f>
        <v/>
      </c>
    </row>
    <row r="14866">
      <c r="B14866" s="128" t="n">
        <v>44233</v>
      </c>
      <c r="C14866" s="88">
        <f>TEXT(B14866,"aaa")</f>
        <v/>
      </c>
      <c r="D14866" s="94" t="n"/>
      <c r="E14866" s="88">
        <f>INDEX(매칭테이블!C:D,MATCH(RD!G14866,매칭테이블!D:D,0),1)</f>
        <v/>
      </c>
      <c r="F14866" s="94" t="inlineStr">
        <is>
          <t>카페24</t>
        </is>
      </c>
      <c r="G14866" s="94" t="inlineStr">
        <is>
          <t>[수분 보충 세트] 어성초 77 토너 + 어성초 70 로션옵션=어성초 77 토너 250ml + 어성초 70 로션 200ml -30%</t>
        </is>
      </c>
      <c r="K14866" s="94" t="n">
        <v>33</v>
      </c>
      <c r="L14866" s="88" t="n">
        <v>201208</v>
      </c>
      <c r="M14866" s="88">
        <f>VLOOKUP($Q14866,매칭테이블!$F:$I,2,0)*K14866</f>
        <v/>
      </c>
      <c r="N14866" s="88">
        <f>M14866-M14866*VLOOKUP($Q14866,매칭테이블!$F:$I,3,0)</f>
        <v/>
      </c>
      <c r="O14866" s="88">
        <f>VLOOKUP($Q14866,매칭테이블!$F:$I,4,0)*K14866</f>
        <v/>
      </c>
      <c r="P14866" s="152">
        <f>M14866/1.1</f>
        <v/>
      </c>
      <c r="Q14866" s="88">
        <f>F14866&amp;E14866&amp;G14866&amp;L14866</f>
        <v/>
      </c>
    </row>
    <row r="14867">
      <c r="B14867" s="128" t="n">
        <v>44233</v>
      </c>
      <c r="C14867" s="88">
        <f>TEXT(B14867,"aaa")</f>
        <v/>
      </c>
      <c r="D14867" s="94" t="n"/>
      <c r="E14867" s="88">
        <f>INDEX(매칭테이블!C:D,MATCH(RD!G14867,매칭테이블!D:D,0),1)</f>
        <v/>
      </c>
      <c r="F14867" s="94" t="inlineStr">
        <is>
          <t>카페24</t>
        </is>
      </c>
      <c r="G14867" s="94" t="inlineStr">
        <is>
          <t>대용량 어성초 77 수딩 토너 500ml옵션=대용량 어성초 77 토너 1개 - 27% OFF</t>
        </is>
      </c>
      <c r="K14867" s="94" t="n">
        <v>21</v>
      </c>
      <c r="L14867" s="88" t="n">
        <v>201208</v>
      </c>
      <c r="M14867" s="88">
        <f>VLOOKUP($Q14867,매칭테이블!$F:$I,2,0)*K14867</f>
        <v/>
      </c>
      <c r="N14867" s="88">
        <f>M14867-M14867*VLOOKUP($Q14867,매칭테이블!$F:$I,3,0)</f>
        <v/>
      </c>
      <c r="O14867" s="88">
        <f>VLOOKUP($Q14867,매칭테이블!$F:$I,4,0)*K14867</f>
        <v/>
      </c>
      <c r="P14867" s="152">
        <f>M14867/1.1</f>
        <v/>
      </c>
      <c r="Q14867" s="88">
        <f>F14867&amp;E14867&amp;G14867&amp;L14867</f>
        <v/>
      </c>
    </row>
    <row r="14868">
      <c r="B14868" s="128" t="n">
        <v>44233</v>
      </c>
      <c r="C14868" s="88">
        <f>TEXT(B14868,"aaa")</f>
        <v/>
      </c>
      <c r="D14868" s="94" t="n"/>
      <c r="E14868" s="88">
        <f>INDEX(매칭테이블!C:D,MATCH(RD!G14868,매칭테이블!D:D,0),1)</f>
        <v/>
      </c>
      <c r="F14868" s="94" t="inlineStr">
        <is>
          <t>카페24</t>
        </is>
      </c>
      <c r="G14868" s="94" t="inlineStr">
        <is>
          <t>대용량 어성초 77 수딩 토너 500ml화장솜(선택)=촉촉 스킨팩 화장솜</t>
        </is>
      </c>
      <c r="K14868" s="94" t="n">
        <v>8</v>
      </c>
      <c r="L14868" s="88" t="n">
        <v>201208</v>
      </c>
      <c r="M14868" s="88">
        <f>VLOOKUP($Q14868,매칭테이블!$F:$I,2,0)*K14868</f>
        <v/>
      </c>
      <c r="N14868" s="88">
        <f>M14868-M14868*VLOOKUP($Q14868,매칭테이블!$F:$I,3,0)</f>
        <v/>
      </c>
      <c r="O14868" s="88">
        <f>VLOOKUP($Q14868,매칭테이블!$F:$I,4,0)*K14868</f>
        <v/>
      </c>
      <c r="P14868" s="152">
        <f>M14868/1.1</f>
        <v/>
      </c>
      <c r="Q14868" s="88">
        <f>F14868&amp;E14868&amp;G14868&amp;L14868</f>
        <v/>
      </c>
    </row>
    <row r="14869">
      <c r="B14869" s="128" t="n">
        <v>44233</v>
      </c>
      <c r="C14869" s="88">
        <f>TEXT(B14869,"aaa")</f>
        <v/>
      </c>
      <c r="D14869" s="94" t="n"/>
      <c r="E14869" s="88">
        <f>INDEX(매칭테이블!C:D,MATCH(RD!G14869,매칭테이블!D:D,0),1)</f>
        <v/>
      </c>
      <c r="F14869" s="94" t="inlineStr">
        <is>
          <t>카페24</t>
        </is>
      </c>
      <c r="G14869" s="94" t="inlineStr">
        <is>
          <t>어성초 70 데일리 릴리프 로션로션=어성초 70 데일리 릴리프 로션 1개 -20% off</t>
        </is>
      </c>
      <c r="K14869" s="94" t="n">
        <v>7</v>
      </c>
      <c r="L14869" s="88" t="n">
        <v>201208</v>
      </c>
      <c r="M14869" s="88">
        <f>VLOOKUP($Q14869,매칭테이블!$F:$I,2,0)*K14869</f>
        <v/>
      </c>
      <c r="N14869" s="88">
        <f>M14869-M14869*VLOOKUP($Q14869,매칭테이블!$F:$I,3,0)</f>
        <v/>
      </c>
      <c r="O14869" s="88">
        <f>VLOOKUP($Q14869,매칭테이블!$F:$I,4,0)*K14869</f>
        <v/>
      </c>
      <c r="P14869" s="152">
        <f>M14869/1.1</f>
        <v/>
      </c>
      <c r="Q14869" s="88">
        <f>F14869&amp;E14869&amp;G14869&amp;L14869</f>
        <v/>
      </c>
    </row>
    <row r="14870">
      <c r="B14870" s="128" t="n">
        <v>44233</v>
      </c>
      <c r="C14870" s="88">
        <f>TEXT(B14870,"aaa")</f>
        <v/>
      </c>
      <c r="D14870" s="94" t="n"/>
      <c r="E14870" s="88">
        <f>INDEX(매칭테이블!C:D,MATCH(RD!G14870,매칭테이블!D:D,0),1)</f>
        <v/>
      </c>
      <c r="F14870" s="94" t="inlineStr">
        <is>
          <t>카페24</t>
        </is>
      </c>
      <c r="G14870" s="94" t="inlineStr">
        <is>
          <t>어성초 70 데일리 릴리프 로션로션=어성초 70 데일리 릴리프 로션 2개 -30% off</t>
        </is>
      </c>
      <c r="K14870" s="94" t="n">
        <v>1</v>
      </c>
      <c r="L14870" s="88" t="n">
        <v>201208</v>
      </c>
      <c r="M14870" s="88">
        <f>VLOOKUP($Q14870,매칭테이블!$F:$I,2,0)*K14870</f>
        <v/>
      </c>
      <c r="N14870" s="88">
        <f>M14870-M14870*VLOOKUP($Q14870,매칭테이블!$F:$I,3,0)</f>
        <v/>
      </c>
      <c r="O14870" s="88">
        <f>VLOOKUP($Q14870,매칭테이블!$F:$I,4,0)*K14870</f>
        <v/>
      </c>
      <c r="P14870" s="152">
        <f>M14870/1.1</f>
        <v/>
      </c>
      <c r="Q14870" s="88">
        <f>F14870&amp;E14870&amp;G14870&amp;L14870</f>
        <v/>
      </c>
    </row>
    <row r="14871">
      <c r="B14871" s="128" t="n">
        <v>44233</v>
      </c>
      <c r="C14871" s="88">
        <f>TEXT(B14871,"aaa")</f>
        <v/>
      </c>
      <c r="D14871" s="94" t="n"/>
      <c r="E14871" s="88">
        <f>INDEX(매칭테이블!C:D,MATCH(RD!G14871,매칭테이블!D:D,0),1)</f>
        <v/>
      </c>
      <c r="F14871" s="94" t="inlineStr">
        <is>
          <t>카페24</t>
        </is>
      </c>
      <c r="G14871" s="94" t="inlineStr">
        <is>
          <t>어성초 70 데일리 릴리프 로션로션=어성초 77토너 + 어성초 70 로션 수분 보충 세트 -30% off</t>
        </is>
      </c>
      <c r="K14871" s="94" t="n">
        <v>1</v>
      </c>
      <c r="L14871" s="88" t="n">
        <v>201208</v>
      </c>
      <c r="M14871" s="88">
        <f>VLOOKUP($Q14871,매칭테이블!$F:$I,2,0)*K14871</f>
        <v/>
      </c>
      <c r="N14871" s="88">
        <f>M14871-M14871*VLOOKUP($Q14871,매칭테이블!$F:$I,3,0)</f>
        <v/>
      </c>
      <c r="O14871" s="88">
        <f>VLOOKUP($Q14871,매칭테이블!$F:$I,4,0)*K14871</f>
        <v/>
      </c>
      <c r="P14871" s="152">
        <f>M14871/1.1</f>
        <v/>
      </c>
      <c r="Q14871" s="88">
        <f>F14871&amp;E14871&amp;G14871&amp;L14871</f>
        <v/>
      </c>
    </row>
    <row r="14872">
      <c r="B14872" s="128" t="n">
        <v>44233</v>
      </c>
      <c r="C14872" s="88">
        <f>TEXT(B14872,"aaa")</f>
        <v/>
      </c>
      <c r="D14872" s="94" t="n"/>
      <c r="E14872" s="88">
        <f>INDEX(매칭테이블!C:D,MATCH(RD!G14872,매칭테이블!D:D,0),1)</f>
        <v/>
      </c>
      <c r="F14872" s="94" t="inlineStr">
        <is>
          <t>카페24</t>
        </is>
      </c>
      <c r="G14872" s="94" t="inlineStr">
        <is>
          <t>어성초 70 머드 크림 마스크옵션=어성초 70 머드 크림 마스크-20% off</t>
        </is>
      </c>
      <c r="K14872" s="94" t="n">
        <v>8</v>
      </c>
      <c r="L14872" s="88" t="n">
        <v>201208</v>
      </c>
      <c r="M14872" s="88">
        <f>VLOOKUP($Q14872,매칭테이블!$F:$I,2,0)*K14872</f>
        <v/>
      </c>
      <c r="N14872" s="88">
        <f>M14872-M14872*VLOOKUP($Q14872,매칭테이블!$F:$I,3,0)</f>
        <v/>
      </c>
      <c r="O14872" s="88">
        <f>VLOOKUP($Q14872,매칭테이블!$F:$I,4,0)*K14872</f>
        <v/>
      </c>
      <c r="P14872" s="152">
        <f>M14872/1.1</f>
        <v/>
      </c>
      <c r="Q14872" s="88">
        <f>F14872&amp;E14872&amp;G14872&amp;L14872</f>
        <v/>
      </c>
    </row>
    <row r="14873">
      <c r="B14873" s="128" t="n">
        <v>44233</v>
      </c>
      <c r="C14873" s="88">
        <f>TEXT(B14873,"aaa")</f>
        <v/>
      </c>
      <c r="D14873" s="94" t="n"/>
      <c r="E14873" s="88">
        <f>INDEX(매칭테이블!C:D,MATCH(RD!G14873,매칭테이블!D:D,0),1)</f>
        <v/>
      </c>
      <c r="F14873" s="94" t="inlineStr">
        <is>
          <t>카페24</t>
        </is>
      </c>
      <c r="G14873" s="94" t="inlineStr">
        <is>
          <t>어성초 70 머드 크림 마스크옵션=어성초 70 머드 크림 마스크 2개-30% off (무료배송)</t>
        </is>
      </c>
      <c r="K14873" s="94" t="n">
        <v>5</v>
      </c>
      <c r="L14873" s="88" t="n">
        <v>201208</v>
      </c>
      <c r="M14873" s="88">
        <f>VLOOKUP($Q14873,매칭테이블!$F:$I,2,0)*K14873</f>
        <v/>
      </c>
      <c r="N14873" s="88">
        <f>M14873-M14873*VLOOKUP($Q14873,매칭테이블!$F:$I,3,0)</f>
        <v/>
      </c>
      <c r="O14873" s="88">
        <f>VLOOKUP($Q14873,매칭테이블!$F:$I,4,0)*K14873</f>
        <v/>
      </c>
      <c r="P14873" s="152">
        <f>M14873/1.1</f>
        <v/>
      </c>
      <c r="Q14873" s="88">
        <f>F14873&amp;E14873&amp;G14873&amp;L14873</f>
        <v/>
      </c>
    </row>
    <row r="14874">
      <c r="B14874" s="128" t="n">
        <v>44233</v>
      </c>
      <c r="C14874" s="88">
        <f>TEXT(B14874,"aaa")</f>
        <v/>
      </c>
      <c r="D14874" s="94" t="n"/>
      <c r="E14874" s="88">
        <f>INDEX(매칭테이블!C:D,MATCH(RD!G14874,매칭테이블!D:D,0),1)</f>
        <v/>
      </c>
      <c r="F14874" s="94" t="inlineStr">
        <is>
          <t>카페24</t>
        </is>
      </c>
      <c r="G14874" s="94" t="inlineStr">
        <is>
          <t>어성초 70 인텐스 카밍 크림크림=어성초 70 인텐스 카밍 크림 1개 (-20%)</t>
        </is>
      </c>
      <c r="K14874" s="94" t="n">
        <v>3</v>
      </c>
      <c r="L14874" s="88" t="n">
        <v>201208</v>
      </c>
      <c r="M14874" s="88">
        <f>VLOOKUP($Q14874,매칭테이블!$F:$I,2,0)*K14874</f>
        <v/>
      </c>
      <c r="N14874" s="88">
        <f>M14874-M14874*VLOOKUP($Q14874,매칭테이블!$F:$I,3,0)</f>
        <v/>
      </c>
      <c r="O14874" s="88">
        <f>VLOOKUP($Q14874,매칭테이블!$F:$I,4,0)*K14874</f>
        <v/>
      </c>
      <c r="P14874" s="152">
        <f>M14874/1.1</f>
        <v/>
      </c>
      <c r="Q14874" s="88">
        <f>F14874&amp;E14874&amp;G14874&amp;L14874</f>
        <v/>
      </c>
    </row>
    <row r="14875">
      <c r="B14875" s="128" t="n">
        <v>44233</v>
      </c>
      <c r="C14875" s="88">
        <f>TEXT(B14875,"aaa")</f>
        <v/>
      </c>
      <c r="D14875" s="94" t="n"/>
      <c r="E14875" s="88">
        <f>INDEX(매칭테이블!C:D,MATCH(RD!G14875,매칭테이블!D:D,0),1)</f>
        <v/>
      </c>
      <c r="F14875" s="94" t="inlineStr">
        <is>
          <t>카페24</t>
        </is>
      </c>
      <c r="G14875" s="94" t="inlineStr">
        <is>
          <t>어성초 77 수딩 토너토너(필수)=어성초 77 토너 2개-30% off (무료배송)</t>
        </is>
      </c>
      <c r="K14875" s="94" t="n">
        <v>1</v>
      </c>
      <c r="L14875" s="88" t="n">
        <v>201208</v>
      </c>
      <c r="M14875" s="88">
        <f>VLOOKUP($Q14875,매칭테이블!$F:$I,2,0)*K14875</f>
        <v/>
      </c>
      <c r="N14875" s="88">
        <f>M14875-M14875*VLOOKUP($Q14875,매칭테이블!$F:$I,3,0)</f>
        <v/>
      </c>
      <c r="O14875" s="88">
        <f>VLOOKUP($Q14875,매칭테이블!$F:$I,4,0)*K14875</f>
        <v/>
      </c>
      <c r="P14875" s="152">
        <f>M14875/1.1</f>
        <v/>
      </c>
      <c r="Q14875" s="88">
        <f>F14875&amp;E14875&amp;G14875&amp;L14875</f>
        <v/>
      </c>
    </row>
    <row r="14876">
      <c r="B14876" s="128" t="n">
        <v>44233</v>
      </c>
      <c r="C14876" s="88">
        <f>TEXT(B14876,"aaa")</f>
        <v/>
      </c>
      <c r="D14876" s="94" t="n"/>
      <c r="E14876" s="88">
        <f>INDEX(매칭테이블!C:D,MATCH(RD!G14876,매칭테이블!D:D,0),1)</f>
        <v/>
      </c>
      <c r="F14876" s="94" t="inlineStr">
        <is>
          <t>카페24</t>
        </is>
      </c>
      <c r="G14876" s="94" t="inlineStr">
        <is>
          <t>어성초 77 진정 마스크옵션=어성초 77 진정 마스크팩 10장-50% off</t>
        </is>
      </c>
      <c r="K14876" s="94" t="n">
        <v>4</v>
      </c>
      <c r="L14876" s="88" t="n">
        <v>201208</v>
      </c>
      <c r="M14876" s="88">
        <f>VLOOKUP($Q14876,매칭테이블!$F:$I,2,0)*K14876</f>
        <v/>
      </c>
      <c r="N14876" s="88">
        <f>M14876-M14876*VLOOKUP($Q14876,매칭테이블!$F:$I,3,0)</f>
        <v/>
      </c>
      <c r="O14876" s="88">
        <f>VLOOKUP($Q14876,매칭테이블!$F:$I,4,0)*K14876</f>
        <v/>
      </c>
      <c r="P14876" s="152">
        <f>M14876/1.1</f>
        <v/>
      </c>
      <c r="Q14876" s="88">
        <f>F14876&amp;E14876&amp;G14876&amp;L14876</f>
        <v/>
      </c>
    </row>
    <row r="14877">
      <c r="B14877" s="128" t="n">
        <v>44233</v>
      </c>
      <c r="C14877" s="88">
        <f>TEXT(B14877,"aaa")</f>
        <v/>
      </c>
      <c r="D14877" s="94" t="n"/>
      <c r="E14877" s="88">
        <f>INDEX(매칭테이블!C:D,MATCH(RD!G14877,매칭테이블!D:D,0),1)</f>
        <v/>
      </c>
      <c r="F14877" s="94" t="inlineStr">
        <is>
          <t>카페24</t>
        </is>
      </c>
      <c r="G14877" s="94" t="inlineStr">
        <is>
          <t>어성초 77 진정 토너옵션=어성초 77 토너 1개-20% off</t>
        </is>
      </c>
      <c r="K14877" s="94" t="n">
        <v>23</v>
      </c>
      <c r="L14877" s="88" t="n">
        <v>201208</v>
      </c>
      <c r="M14877" s="88">
        <f>VLOOKUP($Q14877,매칭테이블!$F:$I,2,0)*K14877</f>
        <v/>
      </c>
      <c r="N14877" s="88">
        <f>M14877-M14877*VLOOKUP($Q14877,매칭테이블!$F:$I,3,0)</f>
        <v/>
      </c>
      <c r="O14877" s="88">
        <f>VLOOKUP($Q14877,매칭테이블!$F:$I,4,0)*K14877</f>
        <v/>
      </c>
      <c r="P14877" s="152">
        <f>M14877/1.1</f>
        <v/>
      </c>
      <c r="Q14877" s="88">
        <f>F14877&amp;E14877&amp;G14877&amp;L14877</f>
        <v/>
      </c>
    </row>
    <row r="14878">
      <c r="B14878" s="128" t="n">
        <v>44233</v>
      </c>
      <c r="C14878" s="88">
        <f>TEXT(B14878,"aaa")</f>
        <v/>
      </c>
      <c r="D14878" s="94" t="n"/>
      <c r="E14878" s="88">
        <f>INDEX(매칭테이블!C:D,MATCH(RD!G14878,매칭테이블!D:D,0),1)</f>
        <v/>
      </c>
      <c r="F14878" s="94" t="inlineStr">
        <is>
          <t>카페24</t>
        </is>
      </c>
      <c r="G14878" s="94" t="inlineStr">
        <is>
          <t>어성초 77 진정 토너옵션=BEST어성초 77 토너 2개-30% off (무료배송)</t>
        </is>
      </c>
      <c r="K14878" s="94" t="n">
        <v>14</v>
      </c>
      <c r="L14878" s="88" t="n">
        <v>201208</v>
      </c>
      <c r="M14878" s="88">
        <f>VLOOKUP($Q14878,매칭테이블!$F:$I,2,0)*K14878</f>
        <v/>
      </c>
      <c r="N14878" s="88">
        <f>M14878-M14878*VLOOKUP($Q14878,매칭테이블!$F:$I,3,0)</f>
        <v/>
      </c>
      <c r="O14878" s="88">
        <f>VLOOKUP($Q14878,매칭테이블!$F:$I,4,0)*K14878</f>
        <v/>
      </c>
      <c r="P14878" s="152">
        <f>M14878/1.1</f>
        <v/>
      </c>
      <c r="Q14878" s="88">
        <f>F14878&amp;E14878&amp;G14878&amp;L14878</f>
        <v/>
      </c>
    </row>
    <row r="14879">
      <c r="B14879" s="128" t="n">
        <v>44233</v>
      </c>
      <c r="C14879" s="88">
        <f>TEXT(B14879,"aaa")</f>
        <v/>
      </c>
      <c r="D14879" s="94" t="n"/>
      <c r="E14879" s="88">
        <f>INDEX(매칭테이블!C:D,MATCH(RD!G14879,매칭테이블!D:D,0),1)</f>
        <v/>
      </c>
      <c r="F14879" s="94" t="inlineStr">
        <is>
          <t>카페24</t>
        </is>
      </c>
      <c r="G14879" s="94" t="inlineStr">
        <is>
          <t>어성초 77 진정 토너옵션=어성초 77토너1개 + 어성초77패드1개 -30% off (무료배송)</t>
        </is>
      </c>
      <c r="K14879" s="94" t="n">
        <v>11</v>
      </c>
      <c r="L14879" s="88" t="n">
        <v>201208</v>
      </c>
      <c r="M14879" s="88">
        <f>VLOOKUP($Q14879,매칭테이블!$F:$I,2,0)*K14879</f>
        <v/>
      </c>
      <c r="N14879" s="88">
        <f>M14879-M14879*VLOOKUP($Q14879,매칭테이블!$F:$I,3,0)</f>
        <v/>
      </c>
      <c r="O14879" s="88">
        <f>VLOOKUP($Q14879,매칭테이블!$F:$I,4,0)*K14879</f>
        <v/>
      </c>
      <c r="P14879" s="152">
        <f>M14879/1.1</f>
        <v/>
      </c>
      <c r="Q14879" s="88">
        <f>F14879&amp;E14879&amp;G14879&amp;L14879</f>
        <v/>
      </c>
    </row>
    <row r="14880">
      <c r="B14880" s="128" t="n">
        <v>44233</v>
      </c>
      <c r="C14880" s="88">
        <f>TEXT(B14880,"aaa")</f>
        <v/>
      </c>
      <c r="D14880" s="94" t="n"/>
      <c r="E14880" s="88">
        <f>INDEX(매칭테이블!C:D,MATCH(RD!G14880,매칭테이블!D:D,0),1)</f>
        <v/>
      </c>
      <c r="F14880" s="94" t="inlineStr">
        <is>
          <t>카페24</t>
        </is>
      </c>
      <c r="G14880" s="94" t="inlineStr">
        <is>
          <t>어성초 77 진정 토너화장솜(선택)=촉촉 스킨팩 화장솜</t>
        </is>
      </c>
      <c r="K14880" s="94" t="n">
        <v>10</v>
      </c>
      <c r="L14880" s="88" t="n">
        <v>201208</v>
      </c>
      <c r="M14880" s="88">
        <f>VLOOKUP($Q14880,매칭테이블!$F:$I,2,0)*K14880</f>
        <v/>
      </c>
      <c r="N14880" s="88">
        <f>M14880-M14880*VLOOKUP($Q14880,매칭테이블!$F:$I,3,0)</f>
        <v/>
      </c>
      <c r="O14880" s="88">
        <f>VLOOKUP($Q14880,매칭테이블!$F:$I,4,0)*K14880</f>
        <v/>
      </c>
      <c r="P14880" s="152">
        <f>M14880/1.1</f>
        <v/>
      </c>
      <c r="Q14880" s="88">
        <f>F14880&amp;E14880&amp;G14880&amp;L14880</f>
        <v/>
      </c>
    </row>
    <row r="14881">
      <c r="B14881" s="128" t="n">
        <v>44233</v>
      </c>
      <c r="C14881" s="88">
        <f>TEXT(B14881,"aaa")</f>
        <v/>
      </c>
      <c r="D14881" s="94" t="n"/>
      <c r="E14881" s="88">
        <f>INDEX(매칭테이블!C:D,MATCH(RD!G14881,매칭테이블!D:D,0),1)</f>
        <v/>
      </c>
      <c r="F14881" s="94" t="inlineStr">
        <is>
          <t>카페24</t>
        </is>
      </c>
      <c r="G14881" s="94" t="inlineStr">
        <is>
          <t>어성초 77 클리어 패드옵션=어성초 77 클리어 패드 1개-20% off</t>
        </is>
      </c>
      <c r="K14881" s="94" t="n">
        <v>24</v>
      </c>
      <c r="L14881" s="88" t="n">
        <v>201208</v>
      </c>
      <c r="M14881" s="88">
        <f>VLOOKUP($Q14881,매칭테이블!$F:$I,2,0)*K14881</f>
        <v/>
      </c>
      <c r="N14881" s="88">
        <f>M14881-M14881*VLOOKUP($Q14881,매칭테이블!$F:$I,3,0)</f>
        <v/>
      </c>
      <c r="O14881" s="88">
        <f>VLOOKUP($Q14881,매칭테이블!$F:$I,4,0)*K14881</f>
        <v/>
      </c>
      <c r="P14881" s="152">
        <f>M14881/1.1</f>
        <v/>
      </c>
      <c r="Q14881" s="88">
        <f>F14881&amp;E14881&amp;G14881&amp;L14881</f>
        <v/>
      </c>
    </row>
    <row r="14882">
      <c r="B14882" s="128" t="n">
        <v>44233</v>
      </c>
      <c r="C14882" s="88">
        <f>TEXT(B14882,"aaa")</f>
        <v/>
      </c>
      <c r="D14882" s="94" t="n"/>
      <c r="E14882" s="88">
        <f>INDEX(매칭테이블!C:D,MATCH(RD!G14882,매칭테이블!D:D,0),1)</f>
        <v/>
      </c>
      <c r="F14882" s="94" t="inlineStr">
        <is>
          <t>카페24</t>
        </is>
      </c>
      <c r="G14882" s="94" t="inlineStr">
        <is>
          <t>어성초 77 클리어 패드옵션=어성초 77 클리어 패드 2개-30% off (무료배송)</t>
        </is>
      </c>
      <c r="K14882" s="94" t="n">
        <v>25</v>
      </c>
      <c r="L14882" s="88" t="n">
        <v>201208</v>
      </c>
      <c r="M14882" s="88">
        <f>VLOOKUP($Q14882,매칭테이블!$F:$I,2,0)*K14882</f>
        <v/>
      </c>
      <c r="N14882" s="88">
        <f>M14882-M14882*VLOOKUP($Q14882,매칭테이블!$F:$I,3,0)</f>
        <v/>
      </c>
      <c r="O14882" s="88">
        <f>VLOOKUP($Q14882,매칭테이블!$F:$I,4,0)*K14882</f>
        <v/>
      </c>
      <c r="P14882" s="152">
        <f>M14882/1.1</f>
        <v/>
      </c>
      <c r="Q14882" s="88">
        <f>F14882&amp;E14882&amp;G14882&amp;L14882</f>
        <v/>
      </c>
    </row>
    <row r="14883">
      <c r="B14883" s="128" t="n">
        <v>44233</v>
      </c>
      <c r="C14883" s="88">
        <f>TEXT(B14883,"aaa")</f>
        <v/>
      </c>
      <c r="D14883" s="94" t="n"/>
      <c r="E14883" s="88">
        <f>INDEX(매칭테이블!C:D,MATCH(RD!G14883,매칭테이블!D:D,0),1)</f>
        <v/>
      </c>
      <c r="F14883" s="94" t="inlineStr">
        <is>
          <t>카페24</t>
        </is>
      </c>
      <c r="G14883" s="94" t="inlineStr">
        <is>
          <t>어성초 77 클리어 패드옵션=어성초 77 클리어 패드 2+1 EVENT (무료배송)</t>
        </is>
      </c>
      <c r="K14883" s="94" t="n">
        <v>27</v>
      </c>
      <c r="L14883" s="88" t="n">
        <v>201208</v>
      </c>
      <c r="M14883" s="88">
        <f>VLOOKUP($Q14883,매칭테이블!$F:$I,2,0)*K14883</f>
        <v/>
      </c>
      <c r="N14883" s="88">
        <f>M14883-M14883*VLOOKUP($Q14883,매칭테이블!$F:$I,3,0)</f>
        <v/>
      </c>
      <c r="O14883" s="88">
        <f>VLOOKUP($Q14883,매칭테이블!$F:$I,4,0)*K14883</f>
        <v/>
      </c>
      <c r="P14883" s="152">
        <f>M14883/1.1</f>
        <v/>
      </c>
      <c r="Q14883" s="88">
        <f>F14883&amp;E14883&amp;G14883&amp;L14883</f>
        <v/>
      </c>
    </row>
    <row r="14884">
      <c r="B14884" s="128" t="n">
        <v>44233</v>
      </c>
      <c r="C14884" s="88">
        <f>TEXT(B14884,"aaa")</f>
        <v/>
      </c>
      <c r="D14884" s="94" t="n"/>
      <c r="E14884" s="88">
        <f>INDEX(매칭테이블!C:D,MATCH(RD!G14884,매칭테이블!D:D,0),1)</f>
        <v/>
      </c>
      <c r="F14884" s="94" t="inlineStr">
        <is>
          <t>카페24</t>
        </is>
      </c>
      <c r="G14884" s="94" t="inlineStr">
        <is>
          <t>어성초 77 클리어 패드옵션=어성초77토너1개+어성초77패드1개-30% off (무료배송)</t>
        </is>
      </c>
      <c r="K14884" s="94" t="n">
        <v>15</v>
      </c>
      <c r="L14884" s="88" t="n">
        <v>201208</v>
      </c>
      <c r="M14884" s="88">
        <f>VLOOKUP($Q14884,매칭테이블!$F:$I,2,0)*K14884</f>
        <v/>
      </c>
      <c r="N14884" s="88">
        <f>M14884-M14884*VLOOKUP($Q14884,매칭테이블!$F:$I,3,0)</f>
        <v/>
      </c>
      <c r="O14884" s="88">
        <f>VLOOKUP($Q14884,매칭테이블!$F:$I,4,0)*K14884</f>
        <v/>
      </c>
      <c r="P14884" s="152">
        <f>M14884/1.1</f>
        <v/>
      </c>
      <c r="Q14884" s="88">
        <f>F14884&amp;E14884&amp;G14884&amp;L14884</f>
        <v/>
      </c>
    </row>
    <row r="14885">
      <c r="B14885" s="128" t="n">
        <v>44233</v>
      </c>
      <c r="C14885" s="88">
        <f>TEXT(B14885,"aaa")</f>
        <v/>
      </c>
      <c r="D14885" s="94" t="n"/>
      <c r="E14885" s="88">
        <f>INDEX(매칭테이블!C:D,MATCH(RD!G14885,매칭테이블!D:D,0),1)</f>
        <v/>
      </c>
      <c r="F14885" s="94" t="inlineStr">
        <is>
          <t>카페24</t>
        </is>
      </c>
      <c r="G14885" s="94" t="inlineStr">
        <is>
          <t>어성초 77 토너</t>
        </is>
      </c>
      <c r="K14885" s="94" t="n">
        <v>2</v>
      </c>
      <c r="L14885" s="88" t="n">
        <v>201208</v>
      </c>
      <c r="M14885" s="88">
        <f>VLOOKUP($Q14885,매칭테이블!$F:$I,2,0)*K14885</f>
        <v/>
      </c>
      <c r="N14885" s="88">
        <f>M14885-M14885*VLOOKUP($Q14885,매칭테이블!$F:$I,3,0)</f>
        <v/>
      </c>
      <c r="O14885" s="88">
        <f>VLOOKUP($Q14885,매칭테이블!$F:$I,4,0)*K14885</f>
        <v/>
      </c>
      <c r="P14885" s="152">
        <f>M14885/1.1</f>
        <v/>
      </c>
      <c r="Q14885" s="88">
        <f>F14885&amp;E14885&amp;G14885&amp;L14885</f>
        <v/>
      </c>
    </row>
    <row r="14886">
      <c r="B14886" s="128" t="n">
        <v>44233</v>
      </c>
      <c r="C14886" s="88">
        <f>TEXT(B14886,"aaa")</f>
        <v/>
      </c>
      <c r="D14886" s="94" t="n"/>
      <c r="E14886" s="88">
        <f>INDEX(매칭테이블!C:D,MATCH(RD!G14886,매칭테이블!D:D,0),1)</f>
        <v/>
      </c>
      <c r="F14886" s="94" t="inlineStr">
        <is>
          <t>카페24</t>
        </is>
      </c>
      <c r="G14886" s="94" t="inlineStr">
        <is>
          <t>어성초 77% 패드옵션=어성초 77 클리어 패드 1개-20% off</t>
        </is>
      </c>
      <c r="K14886" s="94" t="n">
        <v>17</v>
      </c>
      <c r="L14886" s="88" t="n">
        <v>201208</v>
      </c>
      <c r="M14886" s="88">
        <f>VLOOKUP($Q14886,매칭테이블!$F:$I,2,0)*K14886</f>
        <v/>
      </c>
      <c r="N14886" s="88">
        <f>M14886-M14886*VLOOKUP($Q14886,매칭테이블!$F:$I,3,0)</f>
        <v/>
      </c>
      <c r="O14886" s="88">
        <f>VLOOKUP($Q14886,매칭테이블!$F:$I,4,0)*K14886</f>
        <v/>
      </c>
      <c r="P14886" s="152">
        <f>M14886/1.1</f>
        <v/>
      </c>
      <c r="Q14886" s="88">
        <f>F14886&amp;E14886&amp;G14886&amp;L14886</f>
        <v/>
      </c>
    </row>
    <row r="14887">
      <c r="B14887" s="128" t="n">
        <v>44233</v>
      </c>
      <c r="C14887" s="88">
        <f>TEXT(B14887,"aaa")</f>
        <v/>
      </c>
      <c r="D14887" s="94" t="n"/>
      <c r="E14887" s="88">
        <f>INDEX(매칭테이블!C:D,MATCH(RD!G14887,매칭테이블!D:D,0),1)</f>
        <v/>
      </c>
      <c r="F14887" s="94" t="inlineStr">
        <is>
          <t>카페24</t>
        </is>
      </c>
      <c r="G14887" s="94" t="inlineStr">
        <is>
          <t>어성초 77% 패드옵션=어성초 77 클리어 패드 2개-30% off (무료배송)</t>
        </is>
      </c>
      <c r="K14887" s="94" t="n">
        <v>23</v>
      </c>
      <c r="L14887" s="88" t="n">
        <v>201208</v>
      </c>
      <c r="M14887" s="88">
        <f>VLOOKUP($Q14887,매칭테이블!$F:$I,2,0)*K14887</f>
        <v/>
      </c>
      <c r="N14887" s="88">
        <f>M14887-M14887*VLOOKUP($Q14887,매칭테이블!$F:$I,3,0)</f>
        <v/>
      </c>
      <c r="O14887" s="88">
        <f>VLOOKUP($Q14887,매칭테이블!$F:$I,4,0)*K14887</f>
        <v/>
      </c>
      <c r="P14887" s="152">
        <f>M14887/1.1</f>
        <v/>
      </c>
      <c r="Q14887" s="88">
        <f>F14887&amp;E14887&amp;G14887&amp;L14887</f>
        <v/>
      </c>
    </row>
    <row r="14888">
      <c r="B14888" s="128" t="n">
        <v>44233</v>
      </c>
      <c r="C14888" s="88">
        <f>TEXT(B14888,"aaa")</f>
        <v/>
      </c>
      <c r="D14888" s="94" t="n"/>
      <c r="E14888" s="88">
        <f>INDEX(매칭테이블!C:D,MATCH(RD!G14888,매칭테이블!D:D,0),1)</f>
        <v/>
      </c>
      <c r="F14888" s="94" t="inlineStr">
        <is>
          <t>카페24</t>
        </is>
      </c>
      <c r="G14888" s="94" t="inlineStr">
        <is>
          <t>어성초 77% 패드옵션=어성초 77 클리어 패드 2+1 EVENT (무료배송)</t>
        </is>
      </c>
      <c r="K14888" s="94" t="n">
        <v>15</v>
      </c>
      <c r="L14888" s="88" t="n">
        <v>201208</v>
      </c>
      <c r="M14888" s="88">
        <f>VLOOKUP($Q14888,매칭테이블!$F:$I,2,0)*K14888</f>
        <v/>
      </c>
      <c r="N14888" s="88">
        <f>M14888-M14888*VLOOKUP($Q14888,매칭테이블!$F:$I,3,0)</f>
        <v/>
      </c>
      <c r="O14888" s="88">
        <f>VLOOKUP($Q14888,매칭테이블!$F:$I,4,0)*K14888</f>
        <v/>
      </c>
      <c r="P14888" s="152">
        <f>M14888/1.1</f>
        <v/>
      </c>
      <c r="Q14888" s="88">
        <f>F14888&amp;E14888&amp;G14888&amp;L14888</f>
        <v/>
      </c>
    </row>
    <row r="14889">
      <c r="B14889" s="128" t="n">
        <v>44233</v>
      </c>
      <c r="C14889" s="88">
        <f>TEXT(B14889,"aaa")</f>
        <v/>
      </c>
      <c r="D14889" s="94" t="n"/>
      <c r="E14889" s="88">
        <f>INDEX(매칭테이블!C:D,MATCH(RD!G14889,매칭테이블!D:D,0),1)</f>
        <v/>
      </c>
      <c r="F14889" s="94" t="inlineStr">
        <is>
          <t>카페24</t>
        </is>
      </c>
      <c r="G14889" s="94" t="inlineStr">
        <is>
          <t>어성초 77% 패드옵션=어성초77토너1개+어성초77패드1개-30% off (무료배송)</t>
        </is>
      </c>
      <c r="K14889" s="94" t="n">
        <v>8</v>
      </c>
      <c r="L14889" s="88" t="n">
        <v>201208</v>
      </c>
      <c r="M14889" s="88">
        <f>VLOOKUP($Q14889,매칭테이블!$F:$I,2,0)*K14889</f>
        <v/>
      </c>
      <c r="N14889" s="88">
        <f>M14889-M14889*VLOOKUP($Q14889,매칭테이블!$F:$I,3,0)</f>
        <v/>
      </c>
      <c r="O14889" s="88">
        <f>VLOOKUP($Q14889,매칭테이블!$F:$I,4,0)*K14889</f>
        <v/>
      </c>
      <c r="P14889" s="152">
        <f>M14889/1.1</f>
        <v/>
      </c>
      <c r="Q14889" s="88">
        <f>F14889&amp;E14889&amp;G14889&amp;L14889</f>
        <v/>
      </c>
    </row>
    <row r="14890">
      <c r="B14890" s="128" t="n">
        <v>44233</v>
      </c>
      <c r="C14890" s="88">
        <f>TEXT(B14890,"aaa")</f>
        <v/>
      </c>
      <c r="D14890" s="94" t="n"/>
      <c r="E14890" s="88">
        <f>INDEX(매칭테이블!C:D,MATCH(RD!G14890,매칭테이블!D:D,0),1)</f>
        <v/>
      </c>
      <c r="F14890" s="94" t="inlineStr">
        <is>
          <t>카페24</t>
        </is>
      </c>
      <c r="G14890" s="94" t="inlineStr">
        <is>
          <t>어성초 78 수딩 크림</t>
        </is>
      </c>
      <c r="K14890" s="94" t="n">
        <v>2</v>
      </c>
      <c r="L14890" s="88" t="n">
        <v>201208</v>
      </c>
      <c r="M14890" s="88">
        <f>VLOOKUP($Q14890,매칭테이블!$F:$I,2,0)*K14890</f>
        <v/>
      </c>
      <c r="N14890" s="88">
        <f>M14890-M14890*VLOOKUP($Q14890,매칭테이블!$F:$I,3,0)</f>
        <v/>
      </c>
      <c r="O14890" s="88">
        <f>VLOOKUP($Q14890,매칭테이블!$F:$I,4,0)*K14890</f>
        <v/>
      </c>
      <c r="P14890" s="152">
        <f>M14890/1.1</f>
        <v/>
      </c>
      <c r="Q14890" s="88">
        <f>F14890&amp;E14890&amp;G14890&amp;L14890</f>
        <v/>
      </c>
    </row>
    <row r="14891">
      <c r="B14891" s="128" t="n">
        <v>44233</v>
      </c>
      <c r="C14891" s="88">
        <f>TEXT(B14891,"aaa")</f>
        <v/>
      </c>
      <c r="D14891" s="94" t="n"/>
      <c r="E14891" s="88">
        <f>INDEX(매칭테이블!C:D,MATCH(RD!G14891,매칭테이블!D:D,0),1)</f>
        <v/>
      </c>
      <c r="F14891" s="94" t="inlineStr">
        <is>
          <t>카페24</t>
        </is>
      </c>
      <c r="G14891" s="94" t="inlineStr">
        <is>
          <t>어성초 78 수딩 크림</t>
        </is>
      </c>
      <c r="K14891" s="94" t="n">
        <v>1</v>
      </c>
      <c r="L14891" s="88" t="n">
        <v>201208</v>
      </c>
      <c r="M14891" s="88">
        <f>VLOOKUP($Q14891,매칭테이블!$F:$I,2,0)*K14891</f>
        <v/>
      </c>
      <c r="N14891" s="88">
        <f>M14891-M14891*VLOOKUP($Q14891,매칭테이블!$F:$I,3,0)</f>
        <v/>
      </c>
      <c r="O14891" s="88">
        <f>VLOOKUP($Q14891,매칭테이블!$F:$I,4,0)*K14891</f>
        <v/>
      </c>
      <c r="P14891" s="152">
        <f>M14891/1.1</f>
        <v/>
      </c>
      <c r="Q14891" s="88">
        <f>F14891&amp;E14891&amp;G14891&amp;L14891</f>
        <v/>
      </c>
    </row>
    <row r="14892">
      <c r="B14892" s="128" t="n">
        <v>44233</v>
      </c>
      <c r="C14892" s="88">
        <f>TEXT(B14892,"aaa")</f>
        <v/>
      </c>
      <c r="D14892" s="94" t="n"/>
      <c r="E14892" s="88">
        <f>INDEX(매칭테이블!C:D,MATCH(RD!G14892,매칭테이블!D:D,0),1)</f>
        <v/>
      </c>
      <c r="F14892" s="94" t="inlineStr">
        <is>
          <t>카페24</t>
        </is>
      </c>
      <c r="G14892" s="94" t="inlineStr">
        <is>
          <t>어성초 80 수분 진정 앰플앰플=어성초 80 앰플 1개-15%off</t>
        </is>
      </c>
      <c r="K14892" s="94" t="n">
        <v>16</v>
      </c>
      <c r="L14892" s="88" t="n">
        <v>201208</v>
      </c>
      <c r="M14892" s="88">
        <f>VLOOKUP($Q14892,매칭테이블!$F:$I,2,0)*K14892</f>
        <v/>
      </c>
      <c r="N14892" s="88">
        <f>M14892-M14892*VLOOKUP($Q14892,매칭테이블!$F:$I,3,0)</f>
        <v/>
      </c>
      <c r="O14892" s="88">
        <f>VLOOKUP($Q14892,매칭테이블!$F:$I,4,0)*K14892</f>
        <v/>
      </c>
      <c r="P14892" s="152">
        <f>M14892/1.1</f>
        <v/>
      </c>
      <c r="Q14892" s="88">
        <f>F14892&amp;E14892&amp;G14892&amp;L14892</f>
        <v/>
      </c>
    </row>
    <row r="14893">
      <c r="B14893" s="128" t="n">
        <v>44233</v>
      </c>
      <c r="C14893" s="88">
        <f>TEXT(B14893,"aaa")</f>
        <v/>
      </c>
      <c r="D14893" s="94" t="n"/>
      <c r="E14893" s="88">
        <f>INDEX(매칭테이블!C:D,MATCH(RD!G14893,매칭테이블!D:D,0),1)</f>
        <v/>
      </c>
      <c r="F14893" s="94" t="inlineStr">
        <is>
          <t>카페24</t>
        </is>
      </c>
      <c r="G14893" s="94" t="inlineStr">
        <is>
          <t>어성초 80 수분 진정 앰플앰플=어성초 80 앰플 2개-27%off (무료배송)</t>
        </is>
      </c>
      <c r="K14893" s="94" t="n">
        <v>6</v>
      </c>
      <c r="L14893" s="88" t="n">
        <v>201208</v>
      </c>
      <c r="M14893" s="88">
        <f>VLOOKUP($Q14893,매칭테이블!$F:$I,2,0)*K14893</f>
        <v/>
      </c>
      <c r="N14893" s="88">
        <f>M14893-M14893*VLOOKUP($Q14893,매칭테이블!$F:$I,3,0)</f>
        <v/>
      </c>
      <c r="O14893" s="88">
        <f>VLOOKUP($Q14893,매칭테이블!$F:$I,4,0)*K14893</f>
        <v/>
      </c>
      <c r="P14893" s="152">
        <f>M14893/1.1</f>
        <v/>
      </c>
      <c r="Q14893" s="88">
        <f>F14893&amp;E14893&amp;G14893&amp;L14893</f>
        <v/>
      </c>
    </row>
    <row r="14894">
      <c r="B14894" s="128" t="n">
        <v>44233</v>
      </c>
      <c r="C14894" s="88">
        <f>TEXT(B14894,"aaa")</f>
        <v/>
      </c>
      <c r="D14894" s="94" t="n"/>
      <c r="E14894" s="88">
        <f>INDEX(매칭테이블!C:D,MATCH(RD!G14894,매칭테이블!D:D,0),1)</f>
        <v/>
      </c>
      <c r="F14894" s="94" t="inlineStr">
        <is>
          <t>카페24</t>
        </is>
      </c>
      <c r="G14894" s="94" t="inlineStr">
        <is>
          <t>어성초 80 수분 진정 앰플</t>
        </is>
      </c>
      <c r="K14894" s="94" t="n">
        <v>1</v>
      </c>
      <c r="L14894" s="88" t="n">
        <v>201208</v>
      </c>
      <c r="M14894" s="88">
        <f>VLOOKUP($Q14894,매칭테이블!$F:$I,2,0)*K14894</f>
        <v/>
      </c>
      <c r="N14894" s="88">
        <f>M14894-M14894*VLOOKUP($Q14894,매칭테이블!$F:$I,3,0)</f>
        <v/>
      </c>
      <c r="O14894" s="88">
        <f>VLOOKUP($Q14894,매칭테이블!$F:$I,4,0)*K14894</f>
        <v/>
      </c>
      <c r="P14894" s="152">
        <f>M14894/1.1</f>
        <v/>
      </c>
      <c r="Q14894" s="88">
        <f>F14894&amp;E14894&amp;G14894&amp;L14894</f>
        <v/>
      </c>
    </row>
    <row r="14895">
      <c r="B14895" s="128" t="n">
        <v>44233</v>
      </c>
      <c r="C14895" s="88">
        <f>TEXT(B14895,"aaa")</f>
        <v/>
      </c>
      <c r="D14895" s="94" t="n"/>
      <c r="E14895" s="88">
        <f>INDEX(매칭테이블!C:D,MATCH(RD!G14895,매칭테이블!D:D,0),1)</f>
        <v/>
      </c>
      <c r="F14895" s="94" t="inlineStr">
        <is>
          <t>카페24</t>
        </is>
      </c>
      <c r="G14895" s="94" t="inlineStr">
        <is>
          <t>어성초 아크네 바디워시옵션=어성초 아크네 바디워시 1개 -30% off</t>
        </is>
      </c>
      <c r="K14895" s="94" t="n">
        <v>5</v>
      </c>
      <c r="L14895" s="88" t="n">
        <v>201208</v>
      </c>
      <c r="M14895" s="88">
        <f>VLOOKUP($Q14895,매칭테이블!$F:$I,2,0)*K14895</f>
        <v/>
      </c>
      <c r="N14895" s="88">
        <f>M14895-M14895*VLOOKUP($Q14895,매칭테이블!$F:$I,3,0)</f>
        <v/>
      </c>
      <c r="O14895" s="88">
        <f>VLOOKUP($Q14895,매칭테이블!$F:$I,4,0)*K14895</f>
        <v/>
      </c>
      <c r="P14895" s="152">
        <f>M14895/1.1</f>
        <v/>
      </c>
      <c r="Q14895" s="88">
        <f>F14895&amp;E14895&amp;G14895&amp;L14895</f>
        <v/>
      </c>
    </row>
    <row r="14896">
      <c r="B14896" s="128" t="n">
        <v>44233</v>
      </c>
      <c r="C14896" s="88">
        <f>TEXT(B14896,"aaa")</f>
        <v/>
      </c>
      <c r="D14896" s="94" t="n"/>
      <c r="E14896" s="88">
        <f>INDEX(매칭테이블!C:D,MATCH(RD!G14896,매칭테이블!D:D,0),1)</f>
        <v/>
      </c>
      <c r="F14896" s="94" t="inlineStr">
        <is>
          <t>카페24</t>
        </is>
      </c>
      <c r="G14896" s="94" t="inlineStr">
        <is>
          <t>어성초 약산성 클렌징폼클렌징폼=어성초 약산성 클렌징폼 1개 -19%off</t>
        </is>
      </c>
      <c r="K14896" s="94" t="n">
        <v>14</v>
      </c>
      <c r="L14896" s="88" t="n">
        <v>201208</v>
      </c>
      <c r="M14896" s="88">
        <f>VLOOKUP($Q14896,매칭테이블!$F:$I,2,0)*K14896</f>
        <v/>
      </c>
      <c r="N14896" s="88">
        <f>M14896-M14896*VLOOKUP($Q14896,매칭테이블!$F:$I,3,0)</f>
        <v/>
      </c>
      <c r="O14896" s="88">
        <f>VLOOKUP($Q14896,매칭테이블!$F:$I,4,0)*K14896</f>
        <v/>
      </c>
      <c r="P14896" s="152">
        <f>M14896/1.1</f>
        <v/>
      </c>
      <c r="Q14896" s="88">
        <f>F14896&amp;E14896&amp;G14896&amp;L14896</f>
        <v/>
      </c>
    </row>
    <row r="14897">
      <c r="B14897" s="128" t="n">
        <v>44233</v>
      </c>
      <c r="C14897" s="88">
        <f>TEXT(B14897,"aaa")</f>
        <v/>
      </c>
      <c r="D14897" s="94" t="n"/>
      <c r="E14897" s="88">
        <f>INDEX(매칭테이블!C:D,MATCH(RD!G14897,매칭테이블!D:D,0),1)</f>
        <v/>
      </c>
      <c r="F14897" s="94" t="inlineStr">
        <is>
          <t>카페24</t>
        </is>
      </c>
      <c r="G14897" s="94" t="inlineStr">
        <is>
          <t>어성초 약산성 클렌징폼클렌징폼=어성초 약산성 클렌징폼 2개 -25%off</t>
        </is>
      </c>
      <c r="K14897" s="94" t="n">
        <v>2</v>
      </c>
      <c r="L14897" s="88" t="n">
        <v>201208</v>
      </c>
      <c r="M14897" s="88">
        <f>VLOOKUP($Q14897,매칭테이블!$F:$I,2,0)*K14897</f>
        <v/>
      </c>
      <c r="N14897" s="88">
        <f>M14897-M14897*VLOOKUP($Q14897,매칭테이블!$F:$I,3,0)</f>
        <v/>
      </c>
      <c r="O14897" s="88">
        <f>VLOOKUP($Q14897,매칭테이블!$F:$I,4,0)*K14897</f>
        <v/>
      </c>
      <c r="P14897" s="152">
        <f>M14897/1.1</f>
        <v/>
      </c>
      <c r="Q14897" s="88">
        <f>F14897&amp;E14897&amp;G14897&amp;L14897</f>
        <v/>
      </c>
    </row>
    <row r="14898">
      <c r="B14898" s="128" t="n">
        <v>44233</v>
      </c>
      <c r="C14898" s="88">
        <f>TEXT(B14898,"aaa")</f>
        <v/>
      </c>
      <c r="D14898" s="94" t="n"/>
      <c r="E14898" s="88">
        <f>INDEX(매칭테이블!C:D,MATCH(RD!G14898,매칭테이블!D:D,0),1)</f>
        <v/>
      </c>
      <c r="F14898" s="94" t="inlineStr">
        <is>
          <t>카페24</t>
        </is>
      </c>
      <c r="G14898" s="94" t="inlineStr">
        <is>
          <t>어성초 약산성 클렌징폼클렌징폼=어성초 약산성 클렌징폼 3개 -31%off (무료배송)</t>
        </is>
      </c>
      <c r="K14898" s="94" t="n">
        <v>2</v>
      </c>
      <c r="L14898" s="88" t="n">
        <v>201208</v>
      </c>
      <c r="M14898" s="88">
        <f>VLOOKUP($Q14898,매칭테이블!$F:$I,2,0)*K14898</f>
        <v/>
      </c>
      <c r="N14898" s="88">
        <f>M14898-M14898*VLOOKUP($Q14898,매칭테이블!$F:$I,3,0)</f>
        <v/>
      </c>
      <c r="O14898" s="88">
        <f>VLOOKUP($Q14898,매칭테이블!$F:$I,4,0)*K14898</f>
        <v/>
      </c>
      <c r="P14898" s="152">
        <f>M14898/1.1</f>
        <v/>
      </c>
      <c r="Q14898" s="88">
        <f>F14898&amp;E14898&amp;G14898&amp;L14898</f>
        <v/>
      </c>
    </row>
    <row r="14899">
      <c r="B14899" s="128" t="n">
        <v>44233</v>
      </c>
      <c r="C14899" s="88">
        <f>TEXT(B14899,"aaa")</f>
        <v/>
      </c>
      <c r="D14899" s="94" t="n"/>
      <c r="E14899" s="88">
        <f>INDEX(매칭테이블!C:D,MATCH(RD!G14899,매칭테이블!D:D,0),1)</f>
        <v/>
      </c>
      <c r="F14899" s="94" t="inlineStr">
        <is>
          <t>카페24</t>
        </is>
      </c>
      <c r="G14899" s="94" t="inlineStr">
        <is>
          <t>어성초 크림마스크 나이트 솔루션옵션=어성초 크림마스크 나이트 솔루션 10장 (-50%)</t>
        </is>
      </c>
      <c r="K14899" s="94" t="n">
        <v>1</v>
      </c>
      <c r="L14899" s="88" t="n">
        <v>201208</v>
      </c>
      <c r="M14899" s="88">
        <f>VLOOKUP($Q14899,매칭테이블!$F:$I,2,0)*K14899</f>
        <v/>
      </c>
      <c r="N14899" s="88">
        <f>M14899-M14899*VLOOKUP($Q14899,매칭테이블!$F:$I,3,0)</f>
        <v/>
      </c>
      <c r="O14899" s="88">
        <f>VLOOKUP($Q14899,매칭테이블!$F:$I,4,0)*K14899</f>
        <v/>
      </c>
      <c r="P14899" s="152">
        <f>M14899/1.1</f>
        <v/>
      </c>
      <c r="Q14899" s="88">
        <f>F14899&amp;E14899&amp;G14899&amp;L14899</f>
        <v/>
      </c>
    </row>
    <row r="14900">
      <c r="B14900" s="128" t="n">
        <v>44233</v>
      </c>
      <c r="C14900" s="88">
        <f>TEXT(B14900,"aaa")</f>
        <v/>
      </c>
      <c r="D14900" s="94" t="n"/>
      <c r="E14900" s="88">
        <f>INDEX(매칭테이블!C:D,MATCH(RD!G14900,매칭테이블!D:D,0),1)</f>
        <v/>
      </c>
      <c r="F14900" s="94" t="inlineStr">
        <is>
          <t>카페24</t>
        </is>
      </c>
      <c r="G14900" s="94" t="inlineStr">
        <is>
          <t>자작나무 수분 마스크옵션=자작나무 수분 마스크 10장 (50% off)</t>
        </is>
      </c>
      <c r="K14900" s="94" t="n">
        <v>1</v>
      </c>
      <c r="L14900" s="88" t="n">
        <v>201208</v>
      </c>
      <c r="M14900" s="88">
        <f>VLOOKUP($Q14900,매칭테이블!$F:$I,2,0)*K14900</f>
        <v/>
      </c>
      <c r="N14900" s="88">
        <f>M14900-M14900*VLOOKUP($Q14900,매칭테이블!$F:$I,3,0)</f>
        <v/>
      </c>
      <c r="O14900" s="88">
        <f>VLOOKUP($Q14900,매칭테이블!$F:$I,4,0)*K14900</f>
        <v/>
      </c>
      <c r="P14900" s="152">
        <f>M14900/1.1</f>
        <v/>
      </c>
      <c r="Q14900" s="88">
        <f>F14900&amp;E14900&amp;G14900&amp;L14900</f>
        <v/>
      </c>
    </row>
    <row r="14901">
      <c r="B14901" s="128" t="n">
        <v>44233</v>
      </c>
      <c r="C14901" s="88">
        <f>TEXT(B14901,"aaa")</f>
        <v/>
      </c>
      <c r="D14901" s="94" t="n"/>
      <c r="E14901" s="88">
        <f>INDEX(매칭테이블!C:D,MATCH(RD!G14901,매칭테이블!D:D,0),1)</f>
        <v/>
      </c>
      <c r="F14901" s="94" t="inlineStr">
        <is>
          <t>카페24</t>
        </is>
      </c>
      <c r="G14901" s="94" t="inlineStr">
        <is>
          <t>청귤 비타 잡티 마스크옵션=청귤 비타 잡티 마스크 10장 (50% off)</t>
        </is>
      </c>
      <c r="K14901" s="94" t="n">
        <v>2</v>
      </c>
      <c r="L14901" s="88" t="n">
        <v>201208</v>
      </c>
      <c r="M14901" s="88">
        <f>VLOOKUP($Q14901,매칭테이블!$F:$I,2,0)*K14901</f>
        <v/>
      </c>
      <c r="N14901" s="88">
        <f>M14901-M14901*VLOOKUP($Q14901,매칭테이블!$F:$I,3,0)</f>
        <v/>
      </c>
      <c r="O14901" s="88">
        <f>VLOOKUP($Q14901,매칭테이블!$F:$I,4,0)*K14901</f>
        <v/>
      </c>
      <c r="P14901" s="152">
        <f>M14901/1.1</f>
        <v/>
      </c>
      <c r="Q14901" s="88">
        <f>F14901&amp;E14901&amp;G14901&amp;L14901</f>
        <v/>
      </c>
    </row>
    <row r="14902">
      <c r="B14902" s="128" t="n">
        <v>44233</v>
      </c>
      <c r="C14902" s="88">
        <f>TEXT(B14902,"aaa")</f>
        <v/>
      </c>
      <c r="D14902" s="94" t="n"/>
      <c r="E14902" s="88">
        <f>INDEX(매칭테이블!C:D,MATCH(RD!G14902,매칭테이블!D:D,0),1)</f>
        <v/>
      </c>
      <c r="F14902" s="94" t="inlineStr">
        <is>
          <t>카페24</t>
        </is>
      </c>
      <c r="G14902" s="94" t="inlineStr">
        <is>
          <t>촉촉 스킨팩 화장솜</t>
        </is>
      </c>
      <c r="K14902" s="94" t="n">
        <v>16</v>
      </c>
      <c r="L14902" s="88" t="n">
        <v>201208</v>
      </c>
      <c r="M14902" s="88">
        <f>VLOOKUP($Q14902,매칭테이블!$F:$I,2,0)*K14902</f>
        <v/>
      </c>
      <c r="N14902" s="88">
        <f>M14902-M14902*VLOOKUP($Q14902,매칭테이블!$F:$I,3,0)</f>
        <v/>
      </c>
      <c r="O14902" s="88">
        <f>VLOOKUP($Q14902,매칭테이블!$F:$I,4,0)*K14902</f>
        <v/>
      </c>
      <c r="P14902" s="152">
        <f>M14902/1.1</f>
        <v/>
      </c>
      <c r="Q14902" s="88">
        <f>F14902&amp;E14902&amp;G14902&amp;L14902</f>
        <v/>
      </c>
    </row>
    <row r="14903">
      <c r="B14903" s="128" t="n">
        <v>44233</v>
      </c>
      <c r="C14903" s="88">
        <f>TEXT(B14903,"aaa")</f>
        <v/>
      </c>
      <c r="D14903" s="94" t="n"/>
      <c r="E14903" s="88">
        <f>INDEX(매칭테이블!C:D,MATCH(RD!G14903,매칭테이블!D:D,0),1)</f>
        <v/>
      </c>
      <c r="F14903" s="94" t="inlineStr">
        <is>
          <t>카페24</t>
        </is>
      </c>
      <c r="G14903" s="94" t="inlineStr">
        <is>
          <t>촉촉 스킨팩 화장솜</t>
        </is>
      </c>
      <c r="K14903" s="94" t="n">
        <v>1</v>
      </c>
      <c r="L14903" s="88" t="n">
        <v>201208</v>
      </c>
      <c r="M14903" s="88">
        <f>VLOOKUP($Q14903,매칭테이블!$F:$I,2,0)*K14903</f>
        <v/>
      </c>
      <c r="N14903" s="88">
        <f>M14903-M14903*VLOOKUP($Q14903,매칭테이블!$F:$I,3,0)</f>
        <v/>
      </c>
      <c r="O14903" s="88">
        <f>VLOOKUP($Q14903,매칭테이블!$F:$I,4,0)*K14903</f>
        <v/>
      </c>
      <c r="P14903" s="152">
        <f>M14903/1.1</f>
        <v/>
      </c>
      <c r="Q14903" s="88">
        <f>F14903&amp;E14903&amp;G14903&amp;L14903</f>
        <v/>
      </c>
    </row>
    <row r="14904" customFormat="1" s="94">
      <c r="B14904" s="128" t="n">
        <v>44234</v>
      </c>
      <c r="C14904" s="88">
        <f>TEXT(B14904,"aaa")</f>
        <v/>
      </c>
      <c r="E14904" s="88">
        <f>INDEX(매칭테이블!C:D,MATCH(RD!G14904,매칭테이블!D:D,0),1)</f>
        <v/>
      </c>
      <c r="F14904" s="94" t="inlineStr">
        <is>
          <t>스타일쉐어</t>
        </is>
      </c>
      <c r="G14904" s="94" t="inlineStr">
        <is>
          <t>아누아 어성초 77 토너 250ml</t>
        </is>
      </c>
      <c r="K14904" s="94" t="n">
        <v>1</v>
      </c>
      <c r="L14904" s="88" t="n">
        <v>201208</v>
      </c>
      <c r="M14904" s="88">
        <f>VLOOKUP($Q14904,매칭테이블!$F:$I,2,0)*K14904</f>
        <v/>
      </c>
      <c r="N14904" s="88">
        <f>M14904-M14904*VLOOKUP($Q14904,매칭테이블!$F:$I,3,0)</f>
        <v/>
      </c>
      <c r="O14904" s="88">
        <f>VLOOKUP($Q14904,매칭테이블!$F:$I,4,0)*K14904</f>
        <v/>
      </c>
      <c r="P14904" s="152">
        <f>M14904/1.1</f>
        <v/>
      </c>
      <c r="Q14904" s="88">
        <f>F14904&amp;E14904&amp;G14904&amp;L14904</f>
        <v/>
      </c>
    </row>
    <row r="14905">
      <c r="B14905" s="128" t="n">
        <v>44234</v>
      </c>
      <c r="C14905" s="88">
        <f>TEXT(B14905,"aaa")</f>
        <v/>
      </c>
      <c r="D14905" s="94" t="n"/>
      <c r="E14905" s="88">
        <f>INDEX(매칭테이블!C:D,MATCH(RD!G14905,매칭테이블!D:D,0),1)</f>
        <v/>
      </c>
      <c r="F14905" s="94" t="inlineStr">
        <is>
          <t>카페24</t>
        </is>
      </c>
      <c r="G14905" s="94" t="inlineStr">
        <is>
          <t>5 제로 무기자차 선크림옵션=5제로 무기자차 선크림 1개-20% off</t>
        </is>
      </c>
      <c r="K14905" s="94" t="n">
        <v>1</v>
      </c>
      <c r="L14905" s="88" t="n">
        <v>201208</v>
      </c>
      <c r="M14905" s="88">
        <f>VLOOKUP($Q14905,매칭테이블!$F:$I,2,0)*K14905</f>
        <v/>
      </c>
      <c r="N14905" s="88">
        <f>M14905-M14905*VLOOKUP($Q14905,매칭테이블!$F:$I,3,0)</f>
        <v/>
      </c>
      <c r="O14905" s="88">
        <f>VLOOKUP($Q14905,매칭테이블!$F:$I,4,0)*K14905</f>
        <v/>
      </c>
      <c r="P14905" s="152">
        <f>M14905/1.1</f>
        <v/>
      </c>
      <c r="Q14905" s="88">
        <f>F14905&amp;E14905&amp;G14905&amp;L14905</f>
        <v/>
      </c>
    </row>
    <row r="14906">
      <c r="B14906" s="128" t="n">
        <v>44234</v>
      </c>
      <c r="C14906" s="88">
        <f>TEXT(B14906,"aaa")</f>
        <v/>
      </c>
      <c r="D14906" s="94" t="n"/>
      <c r="E14906" s="88">
        <f>INDEX(매칭테이블!C:D,MATCH(RD!G14906,매칭테이블!D:D,0),1)</f>
        <v/>
      </c>
      <c r="F14906" s="94" t="inlineStr">
        <is>
          <t>카페24</t>
        </is>
      </c>
      <c r="G14906" s="94" t="inlineStr">
        <is>
          <t>5 제로 무기자차 선크림옵션=5제로 무기자차 선크림 2개-30% off (무료배송)</t>
        </is>
      </c>
      <c r="K14906" s="94" t="n">
        <v>2</v>
      </c>
      <c r="L14906" s="88" t="n">
        <v>201208</v>
      </c>
      <c r="M14906" s="88">
        <f>VLOOKUP($Q14906,매칭테이블!$F:$I,2,0)*K14906</f>
        <v/>
      </c>
      <c r="N14906" s="88">
        <f>M14906-M14906*VLOOKUP($Q14906,매칭테이블!$F:$I,3,0)</f>
        <v/>
      </c>
      <c r="O14906" s="88">
        <f>VLOOKUP($Q14906,매칭테이블!$F:$I,4,0)*K14906</f>
        <v/>
      </c>
      <c r="P14906" s="152">
        <f>M14906/1.1</f>
        <v/>
      </c>
      <c r="Q14906" s="88">
        <f>F14906&amp;E14906&amp;G14906&amp;L14906</f>
        <v/>
      </c>
    </row>
    <row r="14907">
      <c r="B14907" s="128" t="n">
        <v>44234</v>
      </c>
      <c r="C14907" s="88">
        <f>TEXT(B14907,"aaa")</f>
        <v/>
      </c>
      <c r="D14907" s="94" t="n"/>
      <c r="E14907" s="88">
        <f>INDEX(매칭테이블!C:D,MATCH(RD!G14907,매칭테이블!D:D,0),1)</f>
        <v/>
      </c>
      <c r="F14907" s="94" t="inlineStr">
        <is>
          <t>카페24</t>
        </is>
      </c>
      <c r="G14907" s="94" t="inlineStr">
        <is>
          <t>[수분 보충 세트] 어성초 77 토너 + 어성초 70 로션옵션=어성초 77 토너 250ml + 어성초 70 로션 200ml -30%</t>
        </is>
      </c>
      <c r="K14907" s="94" t="n">
        <v>40</v>
      </c>
      <c r="L14907" s="88" t="n">
        <v>201208</v>
      </c>
      <c r="M14907" s="88">
        <f>VLOOKUP($Q14907,매칭테이블!$F:$I,2,0)*K14907</f>
        <v/>
      </c>
      <c r="N14907" s="88">
        <f>M14907-M14907*VLOOKUP($Q14907,매칭테이블!$F:$I,3,0)</f>
        <v/>
      </c>
      <c r="O14907" s="88">
        <f>VLOOKUP($Q14907,매칭테이블!$F:$I,4,0)*K14907</f>
        <v/>
      </c>
      <c r="P14907" s="152">
        <f>M14907/1.1</f>
        <v/>
      </c>
      <c r="Q14907" s="88">
        <f>F14907&amp;E14907&amp;G14907&amp;L14907</f>
        <v/>
      </c>
    </row>
    <row r="14908">
      <c r="B14908" s="128" t="n">
        <v>44234</v>
      </c>
      <c r="C14908" s="88">
        <f>TEXT(B14908,"aaa")</f>
        <v/>
      </c>
      <c r="D14908" s="94" t="n"/>
      <c r="E14908" s="88">
        <f>INDEX(매칭테이블!C:D,MATCH(RD!G14908,매칭테이블!D:D,0),1)</f>
        <v/>
      </c>
      <c r="F14908" s="94" t="inlineStr">
        <is>
          <t>카페24</t>
        </is>
      </c>
      <c r="G14908" s="94" t="inlineStr">
        <is>
          <t>[어성초 진정 패키지 세트] 대용량 토너 + 앰플 + 수딩 크림 + 마스크팩 10장</t>
        </is>
      </c>
      <c r="K14908" s="94" t="n">
        <v>2</v>
      </c>
      <c r="L14908" s="88" t="n">
        <v>201208</v>
      </c>
      <c r="M14908" s="88">
        <f>VLOOKUP($Q14908,매칭테이블!$F:$I,2,0)*K14908</f>
        <v/>
      </c>
      <c r="N14908" s="88">
        <f>M14908-M14908*VLOOKUP($Q14908,매칭테이블!$F:$I,3,0)</f>
        <v/>
      </c>
      <c r="O14908" s="88">
        <f>VLOOKUP($Q14908,매칭테이블!$F:$I,4,0)*K14908</f>
        <v/>
      </c>
      <c r="P14908" s="152">
        <f>M14908/1.1</f>
        <v/>
      </c>
      <c r="Q14908" s="88">
        <f>F14908&amp;E14908&amp;G14908&amp;L14908</f>
        <v/>
      </c>
    </row>
    <row r="14909">
      <c r="B14909" s="128" t="n">
        <v>44234</v>
      </c>
      <c r="C14909" s="88">
        <f>TEXT(B14909,"aaa")</f>
        <v/>
      </c>
      <c r="D14909" s="94" t="n"/>
      <c r="E14909" s="88">
        <f>INDEX(매칭테이블!C:D,MATCH(RD!G14909,매칭테이블!D:D,0),1)</f>
        <v/>
      </c>
      <c r="F14909" s="94" t="inlineStr">
        <is>
          <t>카페24</t>
        </is>
      </c>
      <c r="G14909" s="94" t="inlineStr">
        <is>
          <t>대용량 어성초 77 수딩 토너 500ml옵션=대용량 어성초 77 토너 1개 - 27% OFF</t>
        </is>
      </c>
      <c r="K14909" s="94" t="n">
        <v>21</v>
      </c>
      <c r="L14909" s="88" t="n">
        <v>201208</v>
      </c>
      <c r="M14909" s="88">
        <f>VLOOKUP($Q14909,매칭테이블!$F:$I,2,0)*K14909</f>
        <v/>
      </c>
      <c r="N14909" s="88">
        <f>M14909-M14909*VLOOKUP($Q14909,매칭테이블!$F:$I,3,0)</f>
        <v/>
      </c>
      <c r="O14909" s="88">
        <f>VLOOKUP($Q14909,매칭테이블!$F:$I,4,0)*K14909</f>
        <v/>
      </c>
      <c r="P14909" s="152">
        <f>M14909/1.1</f>
        <v/>
      </c>
      <c r="Q14909" s="88">
        <f>F14909&amp;E14909&amp;G14909&amp;L14909</f>
        <v/>
      </c>
    </row>
    <row r="14910">
      <c r="B14910" s="128" t="n">
        <v>44234</v>
      </c>
      <c r="C14910" s="88">
        <f>TEXT(B14910,"aaa")</f>
        <v/>
      </c>
      <c r="D14910" s="94" t="n"/>
      <c r="E14910" s="88">
        <f>INDEX(매칭테이블!C:D,MATCH(RD!G14910,매칭테이블!D:D,0),1)</f>
        <v/>
      </c>
      <c r="F14910" s="94" t="inlineStr">
        <is>
          <t>카페24</t>
        </is>
      </c>
      <c r="G14910" s="94" t="inlineStr">
        <is>
          <t>대용량 어성초 77 수딩 토너 500ml화장솜(선택)=촉촉 스킨팩 화장솜</t>
        </is>
      </c>
      <c r="K14910" s="94" t="n">
        <v>8</v>
      </c>
      <c r="L14910" s="88" t="n">
        <v>201208</v>
      </c>
      <c r="M14910" s="88">
        <f>VLOOKUP($Q14910,매칭테이블!$F:$I,2,0)*K14910</f>
        <v/>
      </c>
      <c r="N14910" s="88">
        <f>M14910-M14910*VLOOKUP($Q14910,매칭테이블!$F:$I,3,0)</f>
        <v/>
      </c>
      <c r="O14910" s="88">
        <f>VLOOKUP($Q14910,매칭테이블!$F:$I,4,0)*K14910</f>
        <v/>
      </c>
      <c r="P14910" s="152">
        <f>M14910/1.1</f>
        <v/>
      </c>
      <c r="Q14910" s="88">
        <f>F14910&amp;E14910&amp;G14910&amp;L14910</f>
        <v/>
      </c>
    </row>
    <row r="14911">
      <c r="B14911" s="128" t="n">
        <v>44234</v>
      </c>
      <c r="C14911" s="88">
        <f>TEXT(B14911,"aaa")</f>
        <v/>
      </c>
      <c r="D14911" s="94" t="n"/>
      <c r="E14911" s="88">
        <f>INDEX(매칭테이블!C:D,MATCH(RD!G14911,매칭테이블!D:D,0),1)</f>
        <v/>
      </c>
      <c r="F14911" s="94" t="inlineStr">
        <is>
          <t>카페24</t>
        </is>
      </c>
      <c r="G14911" s="94" t="inlineStr">
        <is>
          <t>어성초 70 데일리 릴리프 로션로션=어성초 70 데일리 릴리프 로션 1개 -20% off</t>
        </is>
      </c>
      <c r="K14911" s="94" t="n">
        <v>6</v>
      </c>
      <c r="L14911" s="88" t="n">
        <v>201208</v>
      </c>
      <c r="M14911" s="88">
        <f>VLOOKUP($Q14911,매칭테이블!$F:$I,2,0)*K14911</f>
        <v/>
      </c>
      <c r="N14911" s="88">
        <f>M14911-M14911*VLOOKUP($Q14911,매칭테이블!$F:$I,3,0)</f>
        <v/>
      </c>
      <c r="O14911" s="88">
        <f>VLOOKUP($Q14911,매칭테이블!$F:$I,4,0)*K14911</f>
        <v/>
      </c>
      <c r="P14911" s="152">
        <f>M14911/1.1</f>
        <v/>
      </c>
      <c r="Q14911" s="88">
        <f>F14911&amp;E14911&amp;G14911&amp;L14911</f>
        <v/>
      </c>
    </row>
    <row r="14912">
      <c r="B14912" s="128" t="n">
        <v>44234</v>
      </c>
      <c r="C14912" s="88">
        <f>TEXT(B14912,"aaa")</f>
        <v/>
      </c>
      <c r="D14912" s="94" t="n"/>
      <c r="E14912" s="88">
        <f>INDEX(매칭테이블!C:D,MATCH(RD!G14912,매칭테이블!D:D,0),1)</f>
        <v/>
      </c>
      <c r="F14912" s="94" t="inlineStr">
        <is>
          <t>카페24</t>
        </is>
      </c>
      <c r="G14912" s="94" t="inlineStr">
        <is>
          <t>어성초 70 데일리 릴리프 로션로션=어성초 70 데일리 릴리프 로션 2개 -30% off</t>
        </is>
      </c>
      <c r="K14912" s="94" t="n">
        <v>3</v>
      </c>
      <c r="L14912" s="88" t="n">
        <v>201208</v>
      </c>
      <c r="M14912" s="88">
        <f>VLOOKUP($Q14912,매칭테이블!$F:$I,2,0)*K14912</f>
        <v/>
      </c>
      <c r="N14912" s="88">
        <f>M14912-M14912*VLOOKUP($Q14912,매칭테이블!$F:$I,3,0)</f>
        <v/>
      </c>
      <c r="O14912" s="88">
        <f>VLOOKUP($Q14912,매칭테이블!$F:$I,4,0)*K14912</f>
        <v/>
      </c>
      <c r="P14912" s="152">
        <f>M14912/1.1</f>
        <v/>
      </c>
      <c r="Q14912" s="88">
        <f>F14912&amp;E14912&amp;G14912&amp;L14912</f>
        <v/>
      </c>
    </row>
    <row r="14913">
      <c r="B14913" s="128" t="n">
        <v>44234</v>
      </c>
      <c r="C14913" s="88">
        <f>TEXT(B14913,"aaa")</f>
        <v/>
      </c>
      <c r="D14913" s="94" t="n"/>
      <c r="E14913" s="88">
        <f>INDEX(매칭테이블!C:D,MATCH(RD!G14913,매칭테이블!D:D,0),1)</f>
        <v/>
      </c>
      <c r="F14913" s="94" t="inlineStr">
        <is>
          <t>카페24</t>
        </is>
      </c>
      <c r="G14913" s="94" t="inlineStr">
        <is>
          <t>어성초 70 데일리 릴리프 로션로션=어성초 77토너 + 어성초 70 로션 수분 보충 세트 -30% off</t>
        </is>
      </c>
      <c r="K14913" s="94" t="n">
        <v>1</v>
      </c>
      <c r="L14913" s="88" t="n">
        <v>201208</v>
      </c>
      <c r="M14913" s="88">
        <f>VLOOKUP($Q14913,매칭테이블!$F:$I,2,0)*K14913</f>
        <v/>
      </c>
      <c r="N14913" s="88">
        <f>M14913-M14913*VLOOKUP($Q14913,매칭테이블!$F:$I,3,0)</f>
        <v/>
      </c>
      <c r="O14913" s="88">
        <f>VLOOKUP($Q14913,매칭테이블!$F:$I,4,0)*K14913</f>
        <v/>
      </c>
      <c r="P14913" s="152">
        <f>M14913/1.1</f>
        <v/>
      </c>
      <c r="Q14913" s="88">
        <f>F14913&amp;E14913&amp;G14913&amp;L14913</f>
        <v/>
      </c>
    </row>
    <row r="14914">
      <c r="B14914" s="128" t="n">
        <v>44234</v>
      </c>
      <c r="C14914" s="88">
        <f>TEXT(B14914,"aaa")</f>
        <v/>
      </c>
      <c r="D14914" s="94" t="n"/>
      <c r="E14914" s="88">
        <f>INDEX(매칭테이블!C:D,MATCH(RD!G14914,매칭테이블!D:D,0),1)</f>
        <v/>
      </c>
      <c r="F14914" s="94" t="inlineStr">
        <is>
          <t>카페24</t>
        </is>
      </c>
      <c r="G14914" s="94" t="inlineStr">
        <is>
          <t>어성초 70 머드 크림 마스크옵션=어성초 70 머드 크림 마스크-20% off</t>
        </is>
      </c>
      <c r="K14914" s="94" t="n">
        <v>5</v>
      </c>
      <c r="L14914" s="88" t="n">
        <v>201208</v>
      </c>
      <c r="M14914" s="88">
        <f>VLOOKUP($Q14914,매칭테이블!$F:$I,2,0)*K14914</f>
        <v/>
      </c>
      <c r="N14914" s="88">
        <f>M14914-M14914*VLOOKUP($Q14914,매칭테이블!$F:$I,3,0)</f>
        <v/>
      </c>
      <c r="O14914" s="88">
        <f>VLOOKUP($Q14914,매칭테이블!$F:$I,4,0)*K14914</f>
        <v/>
      </c>
      <c r="P14914" s="152">
        <f>M14914/1.1</f>
        <v/>
      </c>
      <c r="Q14914" s="88">
        <f>F14914&amp;E14914&amp;G14914&amp;L14914</f>
        <v/>
      </c>
    </row>
    <row r="14915">
      <c r="B14915" s="128" t="n">
        <v>44234</v>
      </c>
      <c r="C14915" s="88">
        <f>TEXT(B14915,"aaa")</f>
        <v/>
      </c>
      <c r="D14915" s="94" t="n"/>
      <c r="E14915" s="88">
        <f>INDEX(매칭테이블!C:D,MATCH(RD!G14915,매칭테이블!D:D,0),1)</f>
        <v/>
      </c>
      <c r="F14915" s="94" t="inlineStr">
        <is>
          <t>카페24</t>
        </is>
      </c>
      <c r="G14915" s="94" t="inlineStr">
        <is>
          <t>어성초 70 머드 크림 마스크옵션=어성초 70 머드 크림 마스크 2개-30% off (무료배송)</t>
        </is>
      </c>
      <c r="K14915" s="94" t="n">
        <v>7</v>
      </c>
      <c r="L14915" s="88" t="n">
        <v>201208</v>
      </c>
      <c r="M14915" s="88">
        <f>VLOOKUP($Q14915,매칭테이블!$F:$I,2,0)*K14915</f>
        <v/>
      </c>
      <c r="N14915" s="88">
        <f>M14915-M14915*VLOOKUP($Q14915,매칭테이블!$F:$I,3,0)</f>
        <v/>
      </c>
      <c r="O14915" s="88">
        <f>VLOOKUP($Q14915,매칭테이블!$F:$I,4,0)*K14915</f>
        <v/>
      </c>
      <c r="P14915" s="152">
        <f>M14915/1.1</f>
        <v/>
      </c>
      <c r="Q14915" s="88">
        <f>F14915&amp;E14915&amp;G14915&amp;L14915</f>
        <v/>
      </c>
    </row>
    <row r="14916">
      <c r="B14916" s="128" t="n">
        <v>44234</v>
      </c>
      <c r="C14916" s="88">
        <f>TEXT(B14916,"aaa")</f>
        <v/>
      </c>
      <c r="D14916" s="94" t="n"/>
      <c r="E14916" s="88">
        <f>INDEX(매칭테이블!C:D,MATCH(RD!G14916,매칭테이블!D:D,0),1)</f>
        <v/>
      </c>
      <c r="F14916" s="94" t="inlineStr">
        <is>
          <t>카페24</t>
        </is>
      </c>
      <c r="G14916" s="94" t="inlineStr">
        <is>
          <t>어성초 70 인텐스 카밍 크림크림=어성초 70 인텐스 카밍 크림 1개 (-20%)</t>
        </is>
      </c>
      <c r="K14916" s="94" t="n">
        <v>1</v>
      </c>
      <c r="L14916" s="88" t="n">
        <v>201208</v>
      </c>
      <c r="M14916" s="88">
        <f>VLOOKUP($Q14916,매칭테이블!$F:$I,2,0)*K14916</f>
        <v/>
      </c>
      <c r="N14916" s="88">
        <f>M14916-M14916*VLOOKUP($Q14916,매칭테이블!$F:$I,3,0)</f>
        <v/>
      </c>
      <c r="O14916" s="88">
        <f>VLOOKUP($Q14916,매칭테이블!$F:$I,4,0)*K14916</f>
        <v/>
      </c>
      <c r="P14916" s="152">
        <f>M14916/1.1</f>
        <v/>
      </c>
      <c r="Q14916" s="88">
        <f>F14916&amp;E14916&amp;G14916&amp;L14916</f>
        <v/>
      </c>
    </row>
    <row r="14917">
      <c r="B14917" s="128" t="n">
        <v>44234</v>
      </c>
      <c r="C14917" s="88">
        <f>TEXT(B14917,"aaa")</f>
        <v/>
      </c>
      <c r="D14917" s="94" t="n"/>
      <c r="E14917" s="88">
        <f>INDEX(매칭테이블!C:D,MATCH(RD!G14917,매칭테이블!D:D,0),1)</f>
        <v/>
      </c>
      <c r="F14917" s="94" t="inlineStr">
        <is>
          <t>카페24</t>
        </is>
      </c>
      <c r="G14917" s="94" t="inlineStr">
        <is>
          <t>어성초 70 인텐스 카밍 크림크림=어성초 70 인텐스 카밍 크림 2개 (-30%)</t>
        </is>
      </c>
      <c r="K14917" s="94" t="n">
        <v>1</v>
      </c>
      <c r="L14917" s="88" t="n">
        <v>201208</v>
      </c>
      <c r="M14917" s="88">
        <f>VLOOKUP($Q14917,매칭테이블!$F:$I,2,0)*K14917</f>
        <v/>
      </c>
      <c r="N14917" s="88">
        <f>M14917-M14917*VLOOKUP($Q14917,매칭테이블!$F:$I,3,0)</f>
        <v/>
      </c>
      <c r="O14917" s="88">
        <f>VLOOKUP($Q14917,매칭테이블!$F:$I,4,0)*K14917</f>
        <v/>
      </c>
      <c r="P14917" s="152">
        <f>M14917/1.1</f>
        <v/>
      </c>
      <c r="Q14917" s="88">
        <f>F14917&amp;E14917&amp;G14917&amp;L14917</f>
        <v/>
      </c>
    </row>
    <row r="14918">
      <c r="B14918" s="128" t="n">
        <v>44234</v>
      </c>
      <c r="C14918" s="88">
        <f>TEXT(B14918,"aaa")</f>
        <v/>
      </c>
      <c r="D14918" s="94" t="n"/>
      <c r="E14918" s="88">
        <f>INDEX(매칭테이블!C:D,MATCH(RD!G14918,매칭테이블!D:D,0),1)</f>
        <v/>
      </c>
      <c r="F14918" s="94" t="inlineStr">
        <is>
          <t>카페24</t>
        </is>
      </c>
      <c r="G14918" s="94" t="inlineStr">
        <is>
          <t>어성초 77 진정 마스크옵션=어성초 77 진정 마스크팩 1장</t>
        </is>
      </c>
      <c r="K14918" s="94" t="n">
        <v>2</v>
      </c>
      <c r="L14918" s="88" t="n">
        <v>201208</v>
      </c>
      <c r="M14918" s="88">
        <f>VLOOKUP($Q14918,매칭테이블!$F:$I,2,0)*K14918</f>
        <v/>
      </c>
      <c r="N14918" s="88">
        <f>M14918-M14918*VLOOKUP($Q14918,매칭테이블!$F:$I,3,0)</f>
        <v/>
      </c>
      <c r="O14918" s="88">
        <f>VLOOKUP($Q14918,매칭테이블!$F:$I,4,0)*K14918</f>
        <v/>
      </c>
      <c r="P14918" s="152">
        <f>M14918/1.1</f>
        <v/>
      </c>
      <c r="Q14918" s="88">
        <f>F14918&amp;E14918&amp;G14918&amp;L14918</f>
        <v/>
      </c>
    </row>
    <row r="14919">
      <c r="B14919" s="128" t="n">
        <v>44234</v>
      </c>
      <c r="C14919" s="88">
        <f>TEXT(B14919,"aaa")</f>
        <v/>
      </c>
      <c r="D14919" s="94" t="n"/>
      <c r="E14919" s="88">
        <f>INDEX(매칭테이블!C:D,MATCH(RD!G14919,매칭테이블!D:D,0),1)</f>
        <v/>
      </c>
      <c r="F14919" s="94" t="inlineStr">
        <is>
          <t>카페24</t>
        </is>
      </c>
      <c r="G14919" s="94" t="inlineStr">
        <is>
          <t>어성초 77 진정 마스크옵션=어성초 77 진정 마스크팩 10장-50% off</t>
        </is>
      </c>
      <c r="K14919" s="94" t="n">
        <v>4</v>
      </c>
      <c r="L14919" s="88" t="n">
        <v>201208</v>
      </c>
      <c r="M14919" s="88">
        <f>VLOOKUP($Q14919,매칭테이블!$F:$I,2,0)*K14919</f>
        <v/>
      </c>
      <c r="N14919" s="88">
        <f>M14919-M14919*VLOOKUP($Q14919,매칭테이블!$F:$I,3,0)</f>
        <v/>
      </c>
      <c r="O14919" s="88">
        <f>VLOOKUP($Q14919,매칭테이블!$F:$I,4,0)*K14919</f>
        <v/>
      </c>
      <c r="P14919" s="152">
        <f>M14919/1.1</f>
        <v/>
      </c>
      <c r="Q14919" s="88">
        <f>F14919&amp;E14919&amp;G14919&amp;L14919</f>
        <v/>
      </c>
    </row>
    <row r="14920">
      <c r="B14920" s="128" t="n">
        <v>44234</v>
      </c>
      <c r="C14920" s="88">
        <f>TEXT(B14920,"aaa")</f>
        <v/>
      </c>
      <c r="D14920" s="94" t="n"/>
      <c r="E14920" s="88">
        <f>INDEX(매칭테이블!C:D,MATCH(RD!G14920,매칭테이블!D:D,0),1)</f>
        <v/>
      </c>
      <c r="F14920" s="94" t="inlineStr">
        <is>
          <t>카페24</t>
        </is>
      </c>
      <c r="G14920" s="94" t="inlineStr">
        <is>
          <t>어성초 77 진정 토너옵션=어성초 77 토너 1개-20% off</t>
        </is>
      </c>
      <c r="K14920" s="94" t="n">
        <v>23</v>
      </c>
      <c r="L14920" s="88" t="n">
        <v>201208</v>
      </c>
      <c r="M14920" s="88">
        <f>VLOOKUP($Q14920,매칭테이블!$F:$I,2,0)*K14920</f>
        <v/>
      </c>
      <c r="N14920" s="88">
        <f>M14920-M14920*VLOOKUP($Q14920,매칭테이블!$F:$I,3,0)</f>
        <v/>
      </c>
      <c r="O14920" s="88">
        <f>VLOOKUP($Q14920,매칭테이블!$F:$I,4,0)*K14920</f>
        <v/>
      </c>
      <c r="P14920" s="152">
        <f>M14920/1.1</f>
        <v/>
      </c>
      <c r="Q14920" s="88">
        <f>F14920&amp;E14920&amp;G14920&amp;L14920</f>
        <v/>
      </c>
    </row>
    <row r="14921">
      <c r="B14921" s="128" t="n">
        <v>44234</v>
      </c>
      <c r="C14921" s="88">
        <f>TEXT(B14921,"aaa")</f>
        <v/>
      </c>
      <c r="D14921" s="94" t="n"/>
      <c r="E14921" s="88">
        <f>INDEX(매칭테이블!C:D,MATCH(RD!G14921,매칭테이블!D:D,0),1)</f>
        <v/>
      </c>
      <c r="F14921" s="94" t="inlineStr">
        <is>
          <t>카페24</t>
        </is>
      </c>
      <c r="G14921" s="94" t="inlineStr">
        <is>
          <t>어성초 77 진정 토너옵션=BEST어성초 77 토너 2개-30% off (무료배송)</t>
        </is>
      </c>
      <c r="K14921" s="94" t="n">
        <v>45</v>
      </c>
      <c r="L14921" s="88" t="n">
        <v>201208</v>
      </c>
      <c r="M14921" s="88">
        <f>VLOOKUP($Q14921,매칭테이블!$F:$I,2,0)*K14921</f>
        <v/>
      </c>
      <c r="N14921" s="88">
        <f>M14921-M14921*VLOOKUP($Q14921,매칭테이블!$F:$I,3,0)</f>
        <v/>
      </c>
      <c r="O14921" s="88">
        <f>VLOOKUP($Q14921,매칭테이블!$F:$I,4,0)*K14921</f>
        <v/>
      </c>
      <c r="P14921" s="152">
        <f>M14921/1.1</f>
        <v/>
      </c>
      <c r="Q14921" s="88">
        <f>F14921&amp;E14921&amp;G14921&amp;L14921</f>
        <v/>
      </c>
    </row>
    <row r="14922">
      <c r="B14922" s="128" t="n">
        <v>44234</v>
      </c>
      <c r="C14922" s="88">
        <f>TEXT(B14922,"aaa")</f>
        <v/>
      </c>
      <c r="D14922" s="94" t="n"/>
      <c r="E14922" s="88">
        <f>INDEX(매칭테이블!C:D,MATCH(RD!G14922,매칭테이블!D:D,0),1)</f>
        <v/>
      </c>
      <c r="F14922" s="94" t="inlineStr">
        <is>
          <t>카페24</t>
        </is>
      </c>
      <c r="G14922" s="94" t="inlineStr">
        <is>
          <t>어성초 77 진정 토너옵션=어성초 77토너1개 + 어성초77패드1개 -30% off (무료배송)</t>
        </is>
      </c>
      <c r="K14922" s="94" t="n">
        <v>24</v>
      </c>
      <c r="L14922" s="88" t="n">
        <v>201208</v>
      </c>
      <c r="M14922" s="88">
        <f>VLOOKUP($Q14922,매칭테이블!$F:$I,2,0)*K14922</f>
        <v/>
      </c>
      <c r="N14922" s="88">
        <f>M14922-M14922*VLOOKUP($Q14922,매칭테이블!$F:$I,3,0)</f>
        <v/>
      </c>
      <c r="O14922" s="88">
        <f>VLOOKUP($Q14922,매칭테이블!$F:$I,4,0)*K14922</f>
        <v/>
      </c>
      <c r="P14922" s="152">
        <f>M14922/1.1</f>
        <v/>
      </c>
      <c r="Q14922" s="88">
        <f>F14922&amp;E14922&amp;G14922&amp;L14922</f>
        <v/>
      </c>
    </row>
    <row r="14923">
      <c r="B14923" s="128" t="n">
        <v>44234</v>
      </c>
      <c r="C14923" s="88">
        <f>TEXT(B14923,"aaa")</f>
        <v/>
      </c>
      <c r="D14923" s="94" t="n"/>
      <c r="E14923" s="88">
        <f>INDEX(매칭테이블!C:D,MATCH(RD!G14923,매칭테이블!D:D,0),1)</f>
        <v/>
      </c>
      <c r="F14923" s="94" t="inlineStr">
        <is>
          <t>카페24</t>
        </is>
      </c>
      <c r="G14923" s="94" t="inlineStr">
        <is>
          <t>어성초 77 진정 토너화장솜(선택)=촉촉 스킨팩 화장솜</t>
        </is>
      </c>
      <c r="K14923" s="94" t="n">
        <v>26</v>
      </c>
      <c r="L14923" s="88" t="n">
        <v>201208</v>
      </c>
      <c r="M14923" s="88">
        <f>VLOOKUP($Q14923,매칭테이블!$F:$I,2,0)*K14923</f>
        <v/>
      </c>
      <c r="N14923" s="88">
        <f>M14923-M14923*VLOOKUP($Q14923,매칭테이블!$F:$I,3,0)</f>
        <v/>
      </c>
      <c r="O14923" s="88">
        <f>VLOOKUP($Q14923,매칭테이블!$F:$I,4,0)*K14923</f>
        <v/>
      </c>
      <c r="P14923" s="152">
        <f>M14923/1.1</f>
        <v/>
      </c>
      <c r="Q14923" s="88">
        <f>F14923&amp;E14923&amp;G14923&amp;L14923</f>
        <v/>
      </c>
    </row>
    <row r="14924">
      <c r="B14924" s="128" t="n">
        <v>44234</v>
      </c>
      <c r="C14924" s="88">
        <f>TEXT(B14924,"aaa")</f>
        <v/>
      </c>
      <c r="D14924" s="94" t="n"/>
      <c r="E14924" s="88">
        <f>INDEX(매칭테이블!C:D,MATCH(RD!G14924,매칭테이블!D:D,0),1)</f>
        <v/>
      </c>
      <c r="F14924" s="94" t="inlineStr">
        <is>
          <t>카페24</t>
        </is>
      </c>
      <c r="G14924" s="94" t="inlineStr">
        <is>
          <t>어성초 77 클리어 패드옵션=어성초 77 클리어 패드 1개-20% off</t>
        </is>
      </c>
      <c r="K14924" s="94" t="n">
        <v>25</v>
      </c>
      <c r="L14924" s="88" t="n">
        <v>201208</v>
      </c>
      <c r="M14924" s="88">
        <f>VLOOKUP($Q14924,매칭테이블!$F:$I,2,0)*K14924</f>
        <v/>
      </c>
      <c r="N14924" s="88">
        <f>M14924-M14924*VLOOKUP($Q14924,매칭테이블!$F:$I,3,0)</f>
        <v/>
      </c>
      <c r="O14924" s="88">
        <f>VLOOKUP($Q14924,매칭테이블!$F:$I,4,0)*K14924</f>
        <v/>
      </c>
      <c r="P14924" s="152">
        <f>M14924/1.1</f>
        <v/>
      </c>
      <c r="Q14924" s="88">
        <f>F14924&amp;E14924&amp;G14924&amp;L14924</f>
        <v/>
      </c>
    </row>
    <row r="14925">
      <c r="B14925" s="128" t="n">
        <v>44234</v>
      </c>
      <c r="C14925" s="88">
        <f>TEXT(B14925,"aaa")</f>
        <v/>
      </c>
      <c r="D14925" s="94" t="n"/>
      <c r="E14925" s="88">
        <f>INDEX(매칭테이블!C:D,MATCH(RD!G14925,매칭테이블!D:D,0),1)</f>
        <v/>
      </c>
      <c r="F14925" s="94" t="inlineStr">
        <is>
          <t>카페24</t>
        </is>
      </c>
      <c r="G14925" s="94" t="inlineStr">
        <is>
          <t>어성초 77 클리어 패드옵션=어성초 77 클리어 패드 2개-30% off (무료배송)</t>
        </is>
      </c>
      <c r="K14925" s="94" t="n">
        <v>23</v>
      </c>
      <c r="L14925" s="88" t="n">
        <v>201208</v>
      </c>
      <c r="M14925" s="88">
        <f>VLOOKUP($Q14925,매칭테이블!$F:$I,2,0)*K14925</f>
        <v/>
      </c>
      <c r="N14925" s="88">
        <f>M14925-M14925*VLOOKUP($Q14925,매칭테이블!$F:$I,3,0)</f>
        <v/>
      </c>
      <c r="O14925" s="88">
        <f>VLOOKUP($Q14925,매칭테이블!$F:$I,4,0)*K14925</f>
        <v/>
      </c>
      <c r="P14925" s="152">
        <f>M14925/1.1</f>
        <v/>
      </c>
      <c r="Q14925" s="88">
        <f>F14925&amp;E14925&amp;G14925&amp;L14925</f>
        <v/>
      </c>
    </row>
    <row r="14926">
      <c r="B14926" s="128" t="n">
        <v>44234</v>
      </c>
      <c r="C14926" s="88">
        <f>TEXT(B14926,"aaa")</f>
        <v/>
      </c>
      <c r="D14926" s="94" t="n"/>
      <c r="E14926" s="88">
        <f>INDEX(매칭테이블!C:D,MATCH(RD!G14926,매칭테이블!D:D,0),1)</f>
        <v/>
      </c>
      <c r="F14926" s="94" t="inlineStr">
        <is>
          <t>카페24</t>
        </is>
      </c>
      <c r="G14926" s="94" t="inlineStr">
        <is>
          <t>어성초 77 클리어 패드옵션=어성초 77 클리어 패드 2+1 EVENT (무료배송)</t>
        </is>
      </c>
      <c r="K14926" s="94" t="n">
        <v>25</v>
      </c>
      <c r="L14926" s="88" t="n">
        <v>201208</v>
      </c>
      <c r="M14926" s="88">
        <f>VLOOKUP($Q14926,매칭테이블!$F:$I,2,0)*K14926</f>
        <v/>
      </c>
      <c r="N14926" s="88">
        <f>M14926-M14926*VLOOKUP($Q14926,매칭테이블!$F:$I,3,0)</f>
        <v/>
      </c>
      <c r="O14926" s="88">
        <f>VLOOKUP($Q14926,매칭테이블!$F:$I,4,0)*K14926</f>
        <v/>
      </c>
      <c r="P14926" s="152">
        <f>M14926/1.1</f>
        <v/>
      </c>
      <c r="Q14926" s="88">
        <f>F14926&amp;E14926&amp;G14926&amp;L14926</f>
        <v/>
      </c>
    </row>
    <row r="14927">
      <c r="B14927" s="128" t="n">
        <v>44234</v>
      </c>
      <c r="C14927" s="88">
        <f>TEXT(B14927,"aaa")</f>
        <v/>
      </c>
      <c r="D14927" s="94" t="n"/>
      <c r="E14927" s="88">
        <f>INDEX(매칭테이블!C:D,MATCH(RD!G14927,매칭테이블!D:D,0),1)</f>
        <v/>
      </c>
      <c r="F14927" s="94" t="inlineStr">
        <is>
          <t>카페24</t>
        </is>
      </c>
      <c r="G14927" s="94" t="inlineStr">
        <is>
          <t>어성초 77 클리어 패드옵션=어성초77토너1개+어성초77패드1개-30% off (무료배송)</t>
        </is>
      </c>
      <c r="K14927" s="94" t="n">
        <v>11</v>
      </c>
      <c r="L14927" s="88" t="n">
        <v>201208</v>
      </c>
      <c r="M14927" s="88">
        <f>VLOOKUP($Q14927,매칭테이블!$F:$I,2,0)*K14927</f>
        <v/>
      </c>
      <c r="N14927" s="88">
        <f>M14927-M14927*VLOOKUP($Q14927,매칭테이블!$F:$I,3,0)</f>
        <v/>
      </c>
      <c r="O14927" s="88">
        <f>VLOOKUP($Q14927,매칭테이블!$F:$I,4,0)*K14927</f>
        <v/>
      </c>
      <c r="P14927" s="152">
        <f>M14927/1.1</f>
        <v/>
      </c>
      <c r="Q14927" s="88">
        <f>F14927&amp;E14927&amp;G14927&amp;L14927</f>
        <v/>
      </c>
    </row>
    <row r="14928">
      <c r="B14928" s="128" t="n">
        <v>44234</v>
      </c>
      <c r="C14928" s="88">
        <f>TEXT(B14928,"aaa")</f>
        <v/>
      </c>
      <c r="D14928" s="94" t="n"/>
      <c r="E14928" s="88">
        <f>INDEX(매칭테이블!C:D,MATCH(RD!G14928,매칭테이블!D:D,0),1)</f>
        <v/>
      </c>
      <c r="F14928" s="94" t="inlineStr">
        <is>
          <t>카페24</t>
        </is>
      </c>
      <c r="G14928" s="94" t="inlineStr">
        <is>
          <t>어성초 77 토너</t>
        </is>
      </c>
      <c r="K14928" s="94" t="n">
        <v>2</v>
      </c>
      <c r="L14928" s="88" t="n">
        <v>201208</v>
      </c>
      <c r="M14928" s="88">
        <f>VLOOKUP($Q14928,매칭테이블!$F:$I,2,0)*K14928</f>
        <v/>
      </c>
      <c r="N14928" s="88">
        <f>M14928-M14928*VLOOKUP($Q14928,매칭테이블!$F:$I,3,0)</f>
        <v/>
      </c>
      <c r="O14928" s="88">
        <f>VLOOKUP($Q14928,매칭테이블!$F:$I,4,0)*K14928</f>
        <v/>
      </c>
      <c r="P14928" s="152">
        <f>M14928/1.1</f>
        <v/>
      </c>
      <c r="Q14928" s="88">
        <f>F14928&amp;E14928&amp;G14928&amp;L14928</f>
        <v/>
      </c>
    </row>
    <row r="14929">
      <c r="B14929" s="128" t="n">
        <v>44234</v>
      </c>
      <c r="C14929" s="88">
        <f>TEXT(B14929,"aaa")</f>
        <v/>
      </c>
      <c r="D14929" s="94" t="n"/>
      <c r="E14929" s="88">
        <f>INDEX(매칭테이블!C:D,MATCH(RD!G14929,매칭테이블!D:D,0),1)</f>
        <v/>
      </c>
      <c r="F14929" s="94" t="inlineStr">
        <is>
          <t>카페24</t>
        </is>
      </c>
      <c r="G14929" s="94" t="inlineStr">
        <is>
          <t>어성초 77% 패드옵션=어성초 77 클리어 패드 1개-20% off</t>
        </is>
      </c>
      <c r="K14929" s="94" t="n">
        <v>16</v>
      </c>
      <c r="L14929" s="88" t="n">
        <v>201208</v>
      </c>
      <c r="M14929" s="88">
        <f>VLOOKUP($Q14929,매칭테이블!$F:$I,2,0)*K14929</f>
        <v/>
      </c>
      <c r="N14929" s="88">
        <f>M14929-M14929*VLOOKUP($Q14929,매칭테이블!$F:$I,3,0)</f>
        <v/>
      </c>
      <c r="O14929" s="88">
        <f>VLOOKUP($Q14929,매칭테이블!$F:$I,4,0)*K14929</f>
        <v/>
      </c>
      <c r="P14929" s="152">
        <f>M14929/1.1</f>
        <v/>
      </c>
      <c r="Q14929" s="88">
        <f>F14929&amp;E14929&amp;G14929&amp;L14929</f>
        <v/>
      </c>
    </row>
    <row r="14930">
      <c r="B14930" s="128" t="n">
        <v>44234</v>
      </c>
      <c r="C14930" s="88">
        <f>TEXT(B14930,"aaa")</f>
        <v/>
      </c>
      <c r="D14930" s="94" t="n"/>
      <c r="E14930" s="88">
        <f>INDEX(매칭테이블!C:D,MATCH(RD!G14930,매칭테이블!D:D,0),1)</f>
        <v/>
      </c>
      <c r="F14930" s="94" t="inlineStr">
        <is>
          <t>카페24</t>
        </is>
      </c>
      <c r="G14930" s="94" t="inlineStr">
        <is>
          <t>어성초 77% 패드옵션=어성초 77 클리어 패드 2개-30% off (무료배송)</t>
        </is>
      </c>
      <c r="K14930" s="94" t="n">
        <v>25</v>
      </c>
      <c r="L14930" s="88" t="n">
        <v>201208</v>
      </c>
      <c r="M14930" s="88">
        <f>VLOOKUP($Q14930,매칭테이블!$F:$I,2,0)*K14930</f>
        <v/>
      </c>
      <c r="N14930" s="88">
        <f>M14930-M14930*VLOOKUP($Q14930,매칭테이블!$F:$I,3,0)</f>
        <v/>
      </c>
      <c r="O14930" s="88">
        <f>VLOOKUP($Q14930,매칭테이블!$F:$I,4,0)*K14930</f>
        <v/>
      </c>
      <c r="P14930" s="152">
        <f>M14930/1.1</f>
        <v/>
      </c>
      <c r="Q14930" s="88">
        <f>F14930&amp;E14930&amp;G14930&amp;L14930</f>
        <v/>
      </c>
    </row>
    <row r="14931">
      <c r="B14931" s="128" t="n">
        <v>44234</v>
      </c>
      <c r="C14931" s="88">
        <f>TEXT(B14931,"aaa")</f>
        <v/>
      </c>
      <c r="D14931" s="94" t="n"/>
      <c r="E14931" s="88">
        <f>INDEX(매칭테이블!C:D,MATCH(RD!G14931,매칭테이블!D:D,0),1)</f>
        <v/>
      </c>
      <c r="F14931" s="94" t="inlineStr">
        <is>
          <t>카페24</t>
        </is>
      </c>
      <c r="G14931" s="94" t="inlineStr">
        <is>
          <t>어성초 77% 패드옵션=어성초 77 클리어 패드 2+1 EVENT (무료배송)</t>
        </is>
      </c>
      <c r="K14931" s="94" t="n">
        <v>18</v>
      </c>
      <c r="L14931" s="88" t="n">
        <v>201208</v>
      </c>
      <c r="M14931" s="88">
        <f>VLOOKUP($Q14931,매칭테이블!$F:$I,2,0)*K14931</f>
        <v/>
      </c>
      <c r="N14931" s="88">
        <f>M14931-M14931*VLOOKUP($Q14931,매칭테이블!$F:$I,3,0)</f>
        <v/>
      </c>
      <c r="O14931" s="88">
        <f>VLOOKUP($Q14931,매칭테이블!$F:$I,4,0)*K14931</f>
        <v/>
      </c>
      <c r="P14931" s="152">
        <f>M14931/1.1</f>
        <v/>
      </c>
      <c r="Q14931" s="88">
        <f>F14931&amp;E14931&amp;G14931&amp;L14931</f>
        <v/>
      </c>
    </row>
    <row r="14932">
      <c r="B14932" s="128" t="n">
        <v>44234</v>
      </c>
      <c r="C14932" s="88">
        <f>TEXT(B14932,"aaa")</f>
        <v/>
      </c>
      <c r="D14932" s="94" t="n"/>
      <c r="E14932" s="88">
        <f>INDEX(매칭테이블!C:D,MATCH(RD!G14932,매칭테이블!D:D,0),1)</f>
        <v/>
      </c>
      <c r="F14932" s="94" t="inlineStr">
        <is>
          <t>카페24</t>
        </is>
      </c>
      <c r="G14932" s="94" t="inlineStr">
        <is>
          <t>어성초 77% 패드옵션=어성초77토너1개+어성초77패드1개-30% off (무료배송)</t>
        </is>
      </c>
      <c r="K14932" s="94" t="n">
        <v>9</v>
      </c>
      <c r="L14932" s="88" t="n">
        <v>201208</v>
      </c>
      <c r="M14932" s="88">
        <f>VLOOKUP($Q14932,매칭테이블!$F:$I,2,0)*K14932</f>
        <v/>
      </c>
      <c r="N14932" s="88">
        <f>M14932-M14932*VLOOKUP($Q14932,매칭테이블!$F:$I,3,0)</f>
        <v/>
      </c>
      <c r="O14932" s="88">
        <f>VLOOKUP($Q14932,매칭테이블!$F:$I,4,0)*K14932</f>
        <v/>
      </c>
      <c r="P14932" s="152">
        <f>M14932/1.1</f>
        <v/>
      </c>
      <c r="Q14932" s="88">
        <f>F14932&amp;E14932&amp;G14932&amp;L14932</f>
        <v/>
      </c>
    </row>
    <row r="14933">
      <c r="B14933" s="128" t="n">
        <v>44234</v>
      </c>
      <c r="C14933" s="88">
        <f>TEXT(B14933,"aaa")</f>
        <v/>
      </c>
      <c r="D14933" s="94" t="n"/>
      <c r="E14933" s="88">
        <f>INDEX(매칭테이블!C:D,MATCH(RD!G14933,매칭테이블!D:D,0),1)</f>
        <v/>
      </c>
      <c r="F14933" s="94" t="inlineStr">
        <is>
          <t>카페24</t>
        </is>
      </c>
      <c r="G14933" s="94" t="inlineStr">
        <is>
          <t>어성초 78 수딩 크림</t>
        </is>
      </c>
      <c r="K14933" s="94" t="n">
        <v>6</v>
      </c>
      <c r="L14933" s="88" t="n">
        <v>201208</v>
      </c>
      <c r="M14933" s="88">
        <f>VLOOKUP($Q14933,매칭테이블!$F:$I,2,0)*K14933</f>
        <v/>
      </c>
      <c r="N14933" s="88">
        <f>M14933-M14933*VLOOKUP($Q14933,매칭테이블!$F:$I,3,0)</f>
        <v/>
      </c>
      <c r="O14933" s="88">
        <f>VLOOKUP($Q14933,매칭테이블!$F:$I,4,0)*K14933</f>
        <v/>
      </c>
      <c r="P14933" s="152">
        <f>M14933/1.1</f>
        <v/>
      </c>
      <c r="Q14933" s="88">
        <f>F14933&amp;E14933&amp;G14933&amp;L14933</f>
        <v/>
      </c>
    </row>
    <row r="14934">
      <c r="B14934" s="128" t="n">
        <v>44234</v>
      </c>
      <c r="C14934" s="88">
        <f>TEXT(B14934,"aaa")</f>
        <v/>
      </c>
      <c r="D14934" s="94" t="n"/>
      <c r="E14934" s="88">
        <f>INDEX(매칭테이블!C:D,MATCH(RD!G14934,매칭테이블!D:D,0),1)</f>
        <v/>
      </c>
      <c r="F14934" s="94" t="inlineStr">
        <is>
          <t>카페24</t>
        </is>
      </c>
      <c r="G14934" s="94" t="inlineStr">
        <is>
          <t>어성초 78 수딩 크림</t>
        </is>
      </c>
      <c r="K14934" s="94" t="n">
        <v>4</v>
      </c>
      <c r="L14934" s="88" t="n">
        <v>201208</v>
      </c>
      <c r="M14934" s="88">
        <f>VLOOKUP($Q14934,매칭테이블!$F:$I,2,0)*K14934</f>
        <v/>
      </c>
      <c r="N14934" s="88">
        <f>M14934-M14934*VLOOKUP($Q14934,매칭테이블!$F:$I,3,0)</f>
        <v/>
      </c>
      <c r="O14934" s="88">
        <f>VLOOKUP($Q14934,매칭테이블!$F:$I,4,0)*K14934</f>
        <v/>
      </c>
      <c r="P14934" s="152">
        <f>M14934/1.1</f>
        <v/>
      </c>
      <c r="Q14934" s="88">
        <f>F14934&amp;E14934&amp;G14934&amp;L14934</f>
        <v/>
      </c>
    </row>
    <row r="14935">
      <c r="B14935" s="128" t="n">
        <v>44234</v>
      </c>
      <c r="C14935" s="88">
        <f>TEXT(B14935,"aaa")</f>
        <v/>
      </c>
      <c r="D14935" s="94" t="n"/>
      <c r="E14935" s="88">
        <f>INDEX(매칭테이블!C:D,MATCH(RD!G14935,매칭테이블!D:D,0),1)</f>
        <v/>
      </c>
      <c r="F14935" s="94" t="inlineStr">
        <is>
          <t>카페24</t>
        </is>
      </c>
      <c r="G14935" s="94" t="inlineStr">
        <is>
          <t>어성초 80 수분 진정 앰플앰플=어성초 80 앰플 1개-15%off</t>
        </is>
      </c>
      <c r="K14935" s="94" t="n">
        <v>16</v>
      </c>
      <c r="L14935" s="88" t="n">
        <v>201208</v>
      </c>
      <c r="M14935" s="88">
        <f>VLOOKUP($Q14935,매칭테이블!$F:$I,2,0)*K14935</f>
        <v/>
      </c>
      <c r="N14935" s="88">
        <f>M14935-M14935*VLOOKUP($Q14935,매칭테이블!$F:$I,3,0)</f>
        <v/>
      </c>
      <c r="O14935" s="88">
        <f>VLOOKUP($Q14935,매칭테이블!$F:$I,4,0)*K14935</f>
        <v/>
      </c>
      <c r="P14935" s="152">
        <f>M14935/1.1</f>
        <v/>
      </c>
      <c r="Q14935" s="88">
        <f>F14935&amp;E14935&amp;G14935&amp;L14935</f>
        <v/>
      </c>
    </row>
    <row r="14936">
      <c r="B14936" s="128" t="n">
        <v>44234</v>
      </c>
      <c r="C14936" s="88">
        <f>TEXT(B14936,"aaa")</f>
        <v/>
      </c>
      <c r="D14936" s="94" t="n"/>
      <c r="E14936" s="88">
        <f>INDEX(매칭테이블!C:D,MATCH(RD!G14936,매칭테이블!D:D,0),1)</f>
        <v/>
      </c>
      <c r="F14936" s="94" t="inlineStr">
        <is>
          <t>카페24</t>
        </is>
      </c>
      <c r="G14936" s="94" t="inlineStr">
        <is>
          <t>어성초 80 수분 진정 앰플앰플=어성초 80 앰플 2개-27%off (무료배송)</t>
        </is>
      </c>
      <c r="K14936" s="94" t="n">
        <v>8</v>
      </c>
      <c r="L14936" s="88" t="n">
        <v>201208</v>
      </c>
      <c r="M14936" s="88">
        <f>VLOOKUP($Q14936,매칭테이블!$F:$I,2,0)*K14936</f>
        <v/>
      </c>
      <c r="N14936" s="88">
        <f>M14936-M14936*VLOOKUP($Q14936,매칭테이블!$F:$I,3,0)</f>
        <v/>
      </c>
      <c r="O14936" s="88">
        <f>VLOOKUP($Q14936,매칭테이블!$F:$I,4,0)*K14936</f>
        <v/>
      </c>
      <c r="P14936" s="152">
        <f>M14936/1.1</f>
        <v/>
      </c>
      <c r="Q14936" s="88">
        <f>F14936&amp;E14936&amp;G14936&amp;L14936</f>
        <v/>
      </c>
    </row>
    <row r="14937">
      <c r="B14937" s="128" t="n">
        <v>44234</v>
      </c>
      <c r="C14937" s="88">
        <f>TEXT(B14937,"aaa")</f>
        <v/>
      </c>
      <c r="D14937" s="94" t="n"/>
      <c r="E14937" s="88">
        <f>INDEX(매칭테이블!C:D,MATCH(RD!G14937,매칭테이블!D:D,0),1)</f>
        <v/>
      </c>
      <c r="F14937" s="94" t="inlineStr">
        <is>
          <t>카페24</t>
        </is>
      </c>
      <c r="G14937" s="94" t="inlineStr">
        <is>
          <t>어성초 80 수분 진정 앰플</t>
        </is>
      </c>
      <c r="K14937" s="94" t="n">
        <v>6</v>
      </c>
      <c r="L14937" s="88" t="n">
        <v>201208</v>
      </c>
      <c r="M14937" s="88">
        <f>VLOOKUP($Q14937,매칭테이블!$F:$I,2,0)*K14937</f>
        <v/>
      </c>
      <c r="N14937" s="88">
        <f>M14937-M14937*VLOOKUP($Q14937,매칭테이블!$F:$I,3,0)</f>
        <v/>
      </c>
      <c r="O14937" s="88">
        <f>VLOOKUP($Q14937,매칭테이블!$F:$I,4,0)*K14937</f>
        <v/>
      </c>
      <c r="P14937" s="152">
        <f>M14937/1.1</f>
        <v/>
      </c>
      <c r="Q14937" s="88">
        <f>F14937&amp;E14937&amp;G14937&amp;L14937</f>
        <v/>
      </c>
    </row>
    <row r="14938">
      <c r="B14938" s="128" t="n">
        <v>44234</v>
      </c>
      <c r="C14938" s="88">
        <f>TEXT(B14938,"aaa")</f>
        <v/>
      </c>
      <c r="D14938" s="94" t="n"/>
      <c r="E14938" s="88">
        <f>INDEX(매칭테이블!C:D,MATCH(RD!G14938,매칭테이블!D:D,0),1)</f>
        <v/>
      </c>
      <c r="F14938" s="94" t="inlineStr">
        <is>
          <t>카페24</t>
        </is>
      </c>
      <c r="G14938" s="94" t="inlineStr">
        <is>
          <t>어성초 아크네 바디워시옵션=어성초 아크네 바디워시 1개 -30% off</t>
        </is>
      </c>
      <c r="K14938" s="94" t="n">
        <v>1</v>
      </c>
      <c r="L14938" s="88" t="n">
        <v>201208</v>
      </c>
      <c r="M14938" s="88">
        <f>VLOOKUP($Q14938,매칭테이블!$F:$I,2,0)*K14938</f>
        <v/>
      </c>
      <c r="N14938" s="88">
        <f>M14938-M14938*VLOOKUP($Q14938,매칭테이블!$F:$I,3,0)</f>
        <v/>
      </c>
      <c r="O14938" s="88">
        <f>VLOOKUP($Q14938,매칭테이블!$F:$I,4,0)*K14938</f>
        <v/>
      </c>
      <c r="P14938" s="152">
        <f>M14938/1.1</f>
        <v/>
      </c>
      <c r="Q14938" s="88">
        <f>F14938&amp;E14938&amp;G14938&amp;L14938</f>
        <v/>
      </c>
    </row>
    <row r="14939">
      <c r="B14939" s="128" t="n">
        <v>44234</v>
      </c>
      <c r="C14939" s="88">
        <f>TEXT(B14939,"aaa")</f>
        <v/>
      </c>
      <c r="D14939" s="94" t="n"/>
      <c r="E14939" s="88">
        <f>INDEX(매칭테이블!C:D,MATCH(RD!G14939,매칭테이블!D:D,0),1)</f>
        <v/>
      </c>
      <c r="F14939" s="94" t="inlineStr">
        <is>
          <t>카페24</t>
        </is>
      </c>
      <c r="G14939" s="94" t="inlineStr">
        <is>
          <t>어성초 아크네 바디워시옵션=어성초 아크네 바디워시 2개 -35% off (무료배송)</t>
        </is>
      </c>
      <c r="K14939" s="94" t="n">
        <v>1</v>
      </c>
      <c r="L14939" s="88" t="n">
        <v>201208</v>
      </c>
      <c r="M14939" s="88">
        <f>VLOOKUP($Q14939,매칭테이블!$F:$I,2,0)*K14939</f>
        <v/>
      </c>
      <c r="N14939" s="88">
        <f>M14939-M14939*VLOOKUP($Q14939,매칭테이블!$F:$I,3,0)</f>
        <v/>
      </c>
      <c r="O14939" s="88">
        <f>VLOOKUP($Q14939,매칭테이블!$F:$I,4,0)*K14939</f>
        <v/>
      </c>
      <c r="P14939" s="152">
        <f>M14939/1.1</f>
        <v/>
      </c>
      <c r="Q14939" s="88">
        <f>F14939&amp;E14939&amp;G14939&amp;L14939</f>
        <v/>
      </c>
    </row>
    <row r="14940">
      <c r="B14940" s="128" t="n">
        <v>44234</v>
      </c>
      <c r="C14940" s="88">
        <f>TEXT(B14940,"aaa")</f>
        <v/>
      </c>
      <c r="D14940" s="94" t="n"/>
      <c r="E14940" s="88">
        <f>INDEX(매칭테이블!C:D,MATCH(RD!G14940,매칭테이블!D:D,0),1)</f>
        <v/>
      </c>
      <c r="F14940" s="94" t="inlineStr">
        <is>
          <t>카페24</t>
        </is>
      </c>
      <c r="G14940" s="94" t="inlineStr">
        <is>
          <t>어성초 약산성 클렌징폼클렌징폼=어성초 약산성 클렌징폼 1개 -19%off</t>
        </is>
      </c>
      <c r="K14940" s="94" t="n">
        <v>10</v>
      </c>
      <c r="L14940" s="88" t="n">
        <v>201208</v>
      </c>
      <c r="M14940" s="88">
        <f>VLOOKUP($Q14940,매칭테이블!$F:$I,2,0)*K14940</f>
        <v/>
      </c>
      <c r="N14940" s="88">
        <f>M14940-M14940*VLOOKUP($Q14940,매칭테이블!$F:$I,3,0)</f>
        <v/>
      </c>
      <c r="O14940" s="88">
        <f>VLOOKUP($Q14940,매칭테이블!$F:$I,4,0)*K14940</f>
        <v/>
      </c>
      <c r="P14940" s="152">
        <f>M14940/1.1</f>
        <v/>
      </c>
      <c r="Q14940" s="88">
        <f>F14940&amp;E14940&amp;G14940&amp;L14940</f>
        <v/>
      </c>
    </row>
    <row r="14941">
      <c r="B14941" s="128" t="n">
        <v>44234</v>
      </c>
      <c r="C14941" s="88">
        <f>TEXT(B14941,"aaa")</f>
        <v/>
      </c>
      <c r="D14941" s="94" t="n"/>
      <c r="E14941" s="88">
        <f>INDEX(매칭테이블!C:D,MATCH(RD!G14941,매칭테이블!D:D,0),1)</f>
        <v/>
      </c>
      <c r="F14941" s="94" t="inlineStr">
        <is>
          <t>카페24</t>
        </is>
      </c>
      <c r="G14941" s="94" t="inlineStr">
        <is>
          <t>어성초 약산성 클렌징폼클렌징폼=어성초 약산성 클렌징폼 2개 -25%off</t>
        </is>
      </c>
      <c r="K14941" s="94" t="n">
        <v>2</v>
      </c>
      <c r="L14941" s="88" t="n">
        <v>201208</v>
      </c>
      <c r="M14941" s="88">
        <f>VLOOKUP($Q14941,매칭테이블!$F:$I,2,0)*K14941</f>
        <v/>
      </c>
      <c r="N14941" s="88">
        <f>M14941-M14941*VLOOKUP($Q14941,매칭테이블!$F:$I,3,0)</f>
        <v/>
      </c>
      <c r="O14941" s="88">
        <f>VLOOKUP($Q14941,매칭테이블!$F:$I,4,0)*K14941</f>
        <v/>
      </c>
      <c r="P14941" s="152">
        <f>M14941/1.1</f>
        <v/>
      </c>
      <c r="Q14941" s="88">
        <f>F14941&amp;E14941&amp;G14941&amp;L14941</f>
        <v/>
      </c>
    </row>
    <row r="14942">
      <c r="B14942" s="128" t="n">
        <v>44234</v>
      </c>
      <c r="C14942" s="88">
        <f>TEXT(B14942,"aaa")</f>
        <v/>
      </c>
      <c r="D14942" s="94" t="n"/>
      <c r="E14942" s="88">
        <f>INDEX(매칭테이블!C:D,MATCH(RD!G14942,매칭테이블!D:D,0),1)</f>
        <v/>
      </c>
      <c r="F14942" s="94" t="inlineStr">
        <is>
          <t>카페24</t>
        </is>
      </c>
      <c r="G14942" s="94" t="inlineStr">
        <is>
          <t>어성초 약산성 클렌징폼클렌징폼=어성초 약산성 클렌징폼 3개 -31%off (무료배송)</t>
        </is>
      </c>
      <c r="K14942" s="94" t="n">
        <v>3</v>
      </c>
      <c r="L14942" s="88" t="n">
        <v>201208</v>
      </c>
      <c r="M14942" s="88">
        <f>VLOOKUP($Q14942,매칭테이블!$F:$I,2,0)*K14942</f>
        <v/>
      </c>
      <c r="N14942" s="88">
        <f>M14942-M14942*VLOOKUP($Q14942,매칭테이블!$F:$I,3,0)</f>
        <v/>
      </c>
      <c r="O14942" s="88">
        <f>VLOOKUP($Q14942,매칭테이블!$F:$I,4,0)*K14942</f>
        <v/>
      </c>
      <c r="P14942" s="152">
        <f>M14942/1.1</f>
        <v/>
      </c>
      <c r="Q14942" s="88">
        <f>F14942&amp;E14942&amp;G14942&amp;L14942</f>
        <v/>
      </c>
    </row>
    <row r="14943">
      <c r="B14943" s="128" t="n">
        <v>44234</v>
      </c>
      <c r="C14943" s="88">
        <f>TEXT(B14943,"aaa")</f>
        <v/>
      </c>
      <c r="D14943" s="94" t="n"/>
      <c r="E14943" s="88">
        <f>INDEX(매칭테이블!C:D,MATCH(RD!G14943,매칭테이블!D:D,0),1)</f>
        <v/>
      </c>
      <c r="F14943" s="94" t="inlineStr">
        <is>
          <t>카페24</t>
        </is>
      </c>
      <c r="G14943" s="94" t="inlineStr">
        <is>
          <t>어성초 크림마스크 나이트 솔루션옵션=어성초 크림마스크 나이트 솔루션 1장</t>
        </is>
      </c>
      <c r="K14943" s="94" t="n">
        <v>1</v>
      </c>
      <c r="L14943" s="88" t="n">
        <v>201208</v>
      </c>
      <c r="M14943" s="88">
        <f>VLOOKUP($Q14943,매칭테이블!$F:$I,2,0)*K14943</f>
        <v/>
      </c>
      <c r="N14943" s="88">
        <f>M14943-M14943*VLOOKUP($Q14943,매칭테이블!$F:$I,3,0)</f>
        <v/>
      </c>
      <c r="O14943" s="88">
        <f>VLOOKUP($Q14943,매칭테이블!$F:$I,4,0)*K14943</f>
        <v/>
      </c>
      <c r="P14943" s="152">
        <f>M14943/1.1</f>
        <v/>
      </c>
      <c r="Q14943" s="88">
        <f>F14943&amp;E14943&amp;G14943&amp;L14943</f>
        <v/>
      </c>
    </row>
    <row r="14944">
      <c r="B14944" s="128" t="n">
        <v>44234</v>
      </c>
      <c r="C14944" s="88">
        <f>TEXT(B14944,"aaa")</f>
        <v/>
      </c>
      <c r="D14944" s="94" t="n"/>
      <c r="E14944" s="88">
        <f>INDEX(매칭테이블!C:D,MATCH(RD!G14944,매칭테이블!D:D,0),1)</f>
        <v/>
      </c>
      <c r="F14944" s="94" t="inlineStr">
        <is>
          <t>카페24</t>
        </is>
      </c>
      <c r="G14944" s="94" t="inlineStr">
        <is>
          <t>어성초 크림마스크 나이트 솔루션옵션=어성초 크림마스크 나이트 솔루션 10장 (-50%)</t>
        </is>
      </c>
      <c r="K14944" s="94" t="n">
        <v>4</v>
      </c>
      <c r="L14944" s="88" t="n">
        <v>201208</v>
      </c>
      <c r="M14944" s="88">
        <f>VLOOKUP($Q14944,매칭테이블!$F:$I,2,0)*K14944</f>
        <v/>
      </c>
      <c r="N14944" s="88">
        <f>M14944-M14944*VLOOKUP($Q14944,매칭테이블!$F:$I,3,0)</f>
        <v/>
      </c>
      <c r="O14944" s="88">
        <f>VLOOKUP($Q14944,매칭테이블!$F:$I,4,0)*K14944</f>
        <v/>
      </c>
      <c r="P14944" s="152">
        <f>M14944/1.1</f>
        <v/>
      </c>
      <c r="Q14944" s="88">
        <f>F14944&amp;E14944&amp;G14944&amp;L14944</f>
        <v/>
      </c>
    </row>
    <row r="14945">
      <c r="B14945" s="128" t="n">
        <v>44234</v>
      </c>
      <c r="C14945" s="88">
        <f>TEXT(B14945,"aaa")</f>
        <v/>
      </c>
      <c r="D14945" s="94" t="n"/>
      <c r="E14945" s="88">
        <f>INDEX(매칭테이블!C:D,MATCH(RD!G14945,매칭테이블!D:D,0),1)</f>
        <v/>
      </c>
      <c r="F14945" s="94" t="inlineStr">
        <is>
          <t>카페24</t>
        </is>
      </c>
      <c r="G14945" s="94" t="inlineStr">
        <is>
          <t>청귤 비타 잡티 마스크옵션=청귤 비타 잡티 마스크 10장 (50% off)</t>
        </is>
      </c>
      <c r="K14945" s="94" t="n">
        <v>1</v>
      </c>
      <c r="L14945" s="88" t="n">
        <v>201208</v>
      </c>
      <c r="M14945" s="88">
        <f>VLOOKUP($Q14945,매칭테이블!$F:$I,2,0)*K14945</f>
        <v/>
      </c>
      <c r="N14945" s="88">
        <f>M14945-M14945*VLOOKUP($Q14945,매칭테이블!$F:$I,3,0)</f>
        <v/>
      </c>
      <c r="O14945" s="88">
        <f>VLOOKUP($Q14945,매칭테이블!$F:$I,4,0)*K14945</f>
        <v/>
      </c>
      <c r="P14945" s="152">
        <f>M14945/1.1</f>
        <v/>
      </c>
      <c r="Q14945" s="88">
        <f>F14945&amp;E14945&amp;G14945&amp;L14945</f>
        <v/>
      </c>
    </row>
    <row r="14946">
      <c r="B14946" s="128" t="n">
        <v>44234</v>
      </c>
      <c r="C14946" s="88">
        <f>TEXT(B14946,"aaa")</f>
        <v/>
      </c>
      <c r="D14946" s="94" t="n"/>
      <c r="E14946" s="88">
        <f>INDEX(매칭테이블!C:D,MATCH(RD!G14946,매칭테이블!D:D,0),1)</f>
        <v/>
      </c>
      <c r="F14946" s="94" t="inlineStr">
        <is>
          <t>카페24</t>
        </is>
      </c>
      <c r="G14946" s="94" t="inlineStr">
        <is>
          <t>촉촉 스킨팩 화장솜</t>
        </is>
      </c>
      <c r="K14946" s="94" t="n">
        <v>19</v>
      </c>
      <c r="L14946" s="88" t="n">
        <v>201208</v>
      </c>
      <c r="M14946" s="88">
        <f>VLOOKUP($Q14946,매칭테이블!$F:$I,2,0)*K14946</f>
        <v/>
      </c>
      <c r="N14946" s="88">
        <f>M14946-M14946*VLOOKUP($Q14946,매칭테이블!$F:$I,3,0)</f>
        <v/>
      </c>
      <c r="O14946" s="88">
        <f>VLOOKUP($Q14946,매칭테이블!$F:$I,4,0)*K14946</f>
        <v/>
      </c>
      <c r="P14946" s="152">
        <f>M14946/1.1</f>
        <v/>
      </c>
      <c r="Q14946" s="88">
        <f>F14946&amp;E14946&amp;G14946&amp;L14946</f>
        <v/>
      </c>
    </row>
    <row r="14948" customFormat="1" s="94">
      <c r="B14948" s="128" t="n">
        <v>44235</v>
      </c>
      <c r="C14948" s="88">
        <f>TEXT(B14948,"aaa")</f>
        <v/>
      </c>
      <c r="E14948" s="88">
        <f>INDEX(매칭테이블!C:D,MATCH(RD!G14948,매칭테이블!D:D,0),1)</f>
        <v/>
      </c>
      <c r="F14948" s="94" t="inlineStr">
        <is>
          <t>W컨셉</t>
        </is>
      </c>
      <c r="G14948" s="94" t="inlineStr">
        <is>
          <t>어성초 77토너 (2 SET) HEARTLEAF 77% SOOTHING TONER 250ml250ml 2set</t>
        </is>
      </c>
      <c r="K14948" s="94" t="n">
        <v>27</v>
      </c>
      <c r="L14948" s="88" t="n">
        <v>201208</v>
      </c>
      <c r="M14948" s="88">
        <f>VLOOKUP($Q14948,매칭테이블!$F:$I,2,0)*K14948</f>
        <v/>
      </c>
      <c r="N14948" s="88">
        <f>M14948-M14948*VLOOKUP($Q14948,매칭테이블!$F:$I,3,0)</f>
        <v/>
      </c>
      <c r="O14948" s="88">
        <f>VLOOKUP($Q14948,매칭테이블!$F:$I,4,0)*K14948</f>
        <v/>
      </c>
      <c r="P14948" s="152">
        <f>M14948/1.1</f>
        <v/>
      </c>
      <c r="Q14948" s="88">
        <f>F14948&amp;E14948&amp;G14948&amp;L14948</f>
        <v/>
      </c>
    </row>
    <row r="14949">
      <c r="B14949" s="128" t="n">
        <v>44235</v>
      </c>
      <c r="C14949" s="88">
        <f>TEXT(B14949,"aaa")</f>
        <v/>
      </c>
      <c r="D14949" s="94" t="n"/>
      <c r="E14949" s="88">
        <f>INDEX(매칭테이블!C:D,MATCH(RD!G14949,매칭테이블!D:D,0),1)</f>
        <v/>
      </c>
      <c r="F14949" s="94" t="inlineStr">
        <is>
          <t>W컨셉</t>
        </is>
      </c>
      <c r="G14949" s="94" t="inlineStr">
        <is>
          <t>어성초 77토너 HEARTLEAF 77% SOOTHING TONER 250ml250ml</t>
        </is>
      </c>
      <c r="K14949" s="94" t="n">
        <v>1</v>
      </c>
      <c r="L14949" s="88" t="n">
        <v>201208</v>
      </c>
      <c r="M14949" s="88">
        <f>VLOOKUP($Q14949,매칭테이블!$F:$I,2,0)*K14949</f>
        <v/>
      </c>
      <c r="N14949" s="88">
        <f>M14949-M14949*VLOOKUP($Q14949,매칭테이블!$F:$I,3,0)</f>
        <v/>
      </c>
      <c r="O14949" s="88">
        <f>VLOOKUP($Q14949,매칭테이블!$F:$I,4,0)*K14949</f>
        <v/>
      </c>
      <c r="P14949" s="152">
        <f>M14949/1.1</f>
        <v/>
      </c>
      <c r="Q14949" s="88">
        <f>F14949&amp;E14949&amp;G14949&amp;L14949</f>
        <v/>
      </c>
    </row>
    <row r="14950">
      <c r="B14950" s="128" t="n">
        <v>44235</v>
      </c>
      <c r="C14950" s="88">
        <f>TEXT(B14950,"aaa")</f>
        <v/>
      </c>
      <c r="D14950" s="94" t="n"/>
      <c r="E14950" s="88">
        <f>INDEX(매칭테이블!C:D,MATCH(RD!G14950,매칭테이블!D:D,0),1)</f>
        <v/>
      </c>
      <c r="F14950" s="94" t="inlineStr">
        <is>
          <t>스타일쉐어</t>
        </is>
      </c>
      <c r="G14950" s="94" t="inlineStr">
        <is>
          <t>아누아 어성초 77 토너 250ml</t>
        </is>
      </c>
      <c r="K14950" s="94" t="n">
        <v>6</v>
      </c>
      <c r="L14950" s="88" t="n">
        <v>201208</v>
      </c>
      <c r="M14950" s="88">
        <f>VLOOKUP($Q14950,매칭테이블!$F:$I,2,0)*K14950</f>
        <v/>
      </c>
      <c r="N14950" s="88">
        <f>M14950-M14950*VLOOKUP($Q14950,매칭테이블!$F:$I,3,0)</f>
        <v/>
      </c>
      <c r="O14950" s="88">
        <f>VLOOKUP($Q14950,매칭테이블!$F:$I,4,0)*K14950</f>
        <v/>
      </c>
      <c r="P14950" s="152">
        <f>M14950/1.1</f>
        <v/>
      </c>
      <c r="Q14950" s="88">
        <f>F14950&amp;E14950&amp;G14950&amp;L14950</f>
        <v/>
      </c>
    </row>
    <row r="14951">
      <c r="B14951" s="128" t="n">
        <v>44235</v>
      </c>
      <c r="C14951" s="88">
        <f>TEXT(B14951,"aaa")</f>
        <v/>
      </c>
      <c r="D14951" s="94" t="n"/>
      <c r="E14951" s="88">
        <f>INDEX(매칭테이블!C:D,MATCH(RD!G14951,매칭테이블!D:D,0),1)</f>
        <v/>
      </c>
      <c r="F14951" s="94" t="inlineStr">
        <is>
          <t>카페24</t>
        </is>
      </c>
      <c r="G14951" s="94" t="inlineStr">
        <is>
          <t>5 제로 무기자차 선크림옵션=5제로 무기자차 선크림 1개-20% off</t>
        </is>
      </c>
      <c r="K14951" s="94" t="n">
        <v>4</v>
      </c>
      <c r="L14951" s="88" t="n">
        <v>201208</v>
      </c>
      <c r="M14951" s="88">
        <f>VLOOKUP($Q14951,매칭테이블!$F:$I,2,0)*K14951</f>
        <v/>
      </c>
      <c r="N14951" s="88">
        <f>M14951-M14951*VLOOKUP($Q14951,매칭테이블!$F:$I,3,0)</f>
        <v/>
      </c>
      <c r="O14951" s="88">
        <f>VLOOKUP($Q14951,매칭테이블!$F:$I,4,0)*K14951</f>
        <v/>
      </c>
      <c r="P14951" s="152">
        <f>M14951/1.1</f>
        <v/>
      </c>
      <c r="Q14951" s="88">
        <f>F14951&amp;E14951&amp;G14951&amp;L14951</f>
        <v/>
      </c>
    </row>
    <row r="14952">
      <c r="B14952" s="128" t="n">
        <v>44235</v>
      </c>
      <c r="C14952" s="88">
        <f>TEXT(B14952,"aaa")</f>
        <v/>
      </c>
      <c r="D14952" s="94" t="n"/>
      <c r="E14952" s="88">
        <f>INDEX(매칭테이블!C:D,MATCH(RD!G14952,매칭테이블!D:D,0),1)</f>
        <v/>
      </c>
      <c r="F14952" s="94" t="inlineStr">
        <is>
          <t>카페24</t>
        </is>
      </c>
      <c r="G14952" s="94" t="inlineStr">
        <is>
          <t>5 제로 무기자차 선크림옵션=5제로 무기자차 선크림 2개-30% off (무료배송)</t>
        </is>
      </c>
      <c r="K14952" s="94" t="n">
        <v>2</v>
      </c>
      <c r="L14952" s="88" t="n">
        <v>201208</v>
      </c>
      <c r="M14952" s="88">
        <f>VLOOKUP($Q14952,매칭테이블!$F:$I,2,0)*K14952</f>
        <v/>
      </c>
      <c r="N14952" s="88">
        <f>M14952-M14952*VLOOKUP($Q14952,매칭테이블!$F:$I,3,0)</f>
        <v/>
      </c>
      <c r="O14952" s="88">
        <f>VLOOKUP($Q14952,매칭테이블!$F:$I,4,0)*K14952</f>
        <v/>
      </c>
      <c r="P14952" s="152">
        <f>M14952/1.1</f>
        <v/>
      </c>
      <c r="Q14952" s="88">
        <f>F14952&amp;E14952&amp;G14952&amp;L14952</f>
        <v/>
      </c>
    </row>
    <row r="14953">
      <c r="B14953" s="128" t="n">
        <v>44235</v>
      </c>
      <c r="C14953" s="88">
        <f>TEXT(B14953,"aaa")</f>
        <v/>
      </c>
      <c r="D14953" s="94" t="n"/>
      <c r="E14953" s="88">
        <f>INDEX(매칭테이블!C:D,MATCH(RD!G14953,매칭테이블!D:D,0),1)</f>
        <v/>
      </c>
      <c r="F14953" s="94" t="inlineStr">
        <is>
          <t>카페24</t>
        </is>
      </c>
      <c r="G14953" s="94" t="inlineStr">
        <is>
          <t>[수분 보충 세트] 어성초 77 토너 + 어성초 70 로션옵션=어성초 77 토너 250ml + 어성초 70 로션 200ml -30%</t>
        </is>
      </c>
      <c r="K14953" s="94" t="n">
        <v>37</v>
      </c>
      <c r="L14953" s="88" t="n">
        <v>201208</v>
      </c>
      <c r="M14953" s="88">
        <f>VLOOKUP($Q14953,매칭테이블!$F:$I,2,0)*K14953</f>
        <v/>
      </c>
      <c r="N14953" s="88">
        <f>M14953-M14953*VLOOKUP($Q14953,매칭테이블!$F:$I,3,0)</f>
        <v/>
      </c>
      <c r="O14953" s="88">
        <f>VLOOKUP($Q14953,매칭테이블!$F:$I,4,0)*K14953</f>
        <v/>
      </c>
      <c r="P14953" s="152">
        <f>M14953/1.1</f>
        <v/>
      </c>
      <c r="Q14953" s="88">
        <f>F14953&amp;E14953&amp;G14953&amp;L14953</f>
        <v/>
      </c>
    </row>
    <row r="14954">
      <c r="B14954" s="128" t="n">
        <v>44235</v>
      </c>
      <c r="C14954" s="88">
        <f>TEXT(B14954,"aaa")</f>
        <v/>
      </c>
      <c r="D14954" s="94" t="n"/>
      <c r="E14954" s="88">
        <f>INDEX(매칭테이블!C:D,MATCH(RD!G14954,매칭테이블!D:D,0),1)</f>
        <v/>
      </c>
      <c r="F14954" s="94" t="inlineStr">
        <is>
          <t>카페24</t>
        </is>
      </c>
      <c r="G14954" s="94" t="inlineStr">
        <is>
          <t>[어성초 진정 패키지 세트] 대용량 토너 + 앰플 + 수딩 크림 + 마스크팩 10장</t>
        </is>
      </c>
      <c r="K14954" s="94" t="n">
        <v>1</v>
      </c>
      <c r="L14954" s="88" t="n">
        <v>201208</v>
      </c>
      <c r="M14954" s="88">
        <f>VLOOKUP($Q14954,매칭테이블!$F:$I,2,0)*K14954</f>
        <v/>
      </c>
      <c r="N14954" s="88">
        <f>M14954-M14954*VLOOKUP($Q14954,매칭테이블!$F:$I,3,0)</f>
        <v/>
      </c>
      <c r="O14954" s="88">
        <f>VLOOKUP($Q14954,매칭테이블!$F:$I,4,0)*K14954</f>
        <v/>
      </c>
      <c r="P14954" s="152">
        <f>M14954/1.1</f>
        <v/>
      </c>
      <c r="Q14954" s="88">
        <f>F14954&amp;E14954&amp;G14954&amp;L14954</f>
        <v/>
      </c>
    </row>
    <row r="14955">
      <c r="B14955" s="128" t="n">
        <v>44235</v>
      </c>
      <c r="C14955" s="88">
        <f>TEXT(B14955,"aaa")</f>
        <v/>
      </c>
      <c r="D14955" s="94" t="n"/>
      <c r="E14955" s="88">
        <f>INDEX(매칭테이블!C:D,MATCH(RD!G14955,매칭테이블!D:D,0),1)</f>
        <v/>
      </c>
      <c r="F14955" s="94" t="inlineStr">
        <is>
          <t>카페24</t>
        </is>
      </c>
      <c r="G14955" s="94" t="inlineStr">
        <is>
          <t>대용량 어성초 77 수딩 토너 500ml옵션=대용량 어성초 77 토너 1개 - 27% OFF</t>
        </is>
      </c>
      <c r="K14955" s="94" t="n">
        <v>6</v>
      </c>
      <c r="L14955" s="88" t="n">
        <v>201208</v>
      </c>
      <c r="M14955" s="88">
        <f>VLOOKUP($Q14955,매칭테이블!$F:$I,2,0)*K14955</f>
        <v/>
      </c>
      <c r="N14955" s="88">
        <f>M14955-M14955*VLOOKUP($Q14955,매칭테이블!$F:$I,3,0)</f>
        <v/>
      </c>
      <c r="O14955" s="88">
        <f>VLOOKUP($Q14955,매칭테이블!$F:$I,4,0)*K14955</f>
        <v/>
      </c>
      <c r="P14955" s="152">
        <f>M14955/1.1</f>
        <v/>
      </c>
      <c r="Q14955" s="88">
        <f>F14955&amp;E14955&amp;G14955&amp;L14955</f>
        <v/>
      </c>
    </row>
    <row r="14956">
      <c r="B14956" s="128" t="n">
        <v>44235</v>
      </c>
      <c r="C14956" s="88">
        <f>TEXT(B14956,"aaa")</f>
        <v/>
      </c>
      <c r="D14956" s="94" t="n"/>
      <c r="E14956" s="88">
        <f>INDEX(매칭테이블!C:D,MATCH(RD!G14956,매칭테이블!D:D,0),1)</f>
        <v/>
      </c>
      <c r="F14956" s="94" t="inlineStr">
        <is>
          <t>카페24</t>
        </is>
      </c>
      <c r="G14956" s="94" t="inlineStr">
        <is>
          <t>대용량 어성초 77 수딩 토너 500ml화장솜(선택)=촉촉 스킨팩 화장솜</t>
        </is>
      </c>
      <c r="K14956" s="94" t="n">
        <v>6</v>
      </c>
      <c r="L14956" s="88" t="n">
        <v>201208</v>
      </c>
      <c r="M14956" s="88">
        <f>VLOOKUP($Q14956,매칭테이블!$F:$I,2,0)*K14956</f>
        <v/>
      </c>
      <c r="N14956" s="88">
        <f>M14956-M14956*VLOOKUP($Q14956,매칭테이블!$F:$I,3,0)</f>
        <v/>
      </c>
      <c r="O14956" s="88">
        <f>VLOOKUP($Q14956,매칭테이블!$F:$I,4,0)*K14956</f>
        <v/>
      </c>
      <c r="P14956" s="152">
        <f>M14956/1.1</f>
        <v/>
      </c>
      <c r="Q14956" s="88">
        <f>F14956&amp;E14956&amp;G14956&amp;L14956</f>
        <v/>
      </c>
    </row>
    <row r="14957">
      <c r="B14957" s="128" t="n">
        <v>44235</v>
      </c>
      <c r="C14957" s="88">
        <f>TEXT(B14957,"aaa")</f>
        <v/>
      </c>
      <c r="D14957" s="94" t="n"/>
      <c r="E14957" s="88">
        <f>INDEX(매칭테이블!C:D,MATCH(RD!G14957,매칭테이블!D:D,0),1)</f>
        <v/>
      </c>
      <c r="F14957" s="94" t="inlineStr">
        <is>
          <t>카페24</t>
        </is>
      </c>
      <c r="G14957" s="94" t="inlineStr">
        <is>
          <t>대용량 어성초 77 토너 500ml옵션=대용량 어성초 77 토너 1개 - 27% OFF</t>
        </is>
      </c>
      <c r="K14957" s="94" t="n">
        <v>12</v>
      </c>
      <c r="L14957" s="88" t="n">
        <v>201208</v>
      </c>
      <c r="M14957" s="88">
        <f>VLOOKUP($Q14957,매칭테이블!$F:$I,2,0)*K14957</f>
        <v/>
      </c>
      <c r="N14957" s="88">
        <f>M14957-M14957*VLOOKUP($Q14957,매칭테이블!$F:$I,3,0)</f>
        <v/>
      </c>
      <c r="O14957" s="88">
        <f>VLOOKUP($Q14957,매칭테이블!$F:$I,4,0)*K14957</f>
        <v/>
      </c>
      <c r="P14957" s="152">
        <f>M14957/1.1</f>
        <v/>
      </c>
      <c r="Q14957" s="88">
        <f>F14957&amp;E14957&amp;G14957&amp;L14957</f>
        <v/>
      </c>
    </row>
    <row r="14958">
      <c r="B14958" s="128" t="n">
        <v>44235</v>
      </c>
      <c r="C14958" s="88">
        <f>TEXT(B14958,"aaa")</f>
        <v/>
      </c>
      <c r="D14958" s="94" t="n"/>
      <c r="E14958" s="88">
        <f>INDEX(매칭테이블!C:D,MATCH(RD!G14958,매칭테이블!D:D,0),1)</f>
        <v/>
      </c>
      <c r="F14958" s="94" t="inlineStr">
        <is>
          <t>카페24</t>
        </is>
      </c>
      <c r="G14958" s="94" t="inlineStr">
        <is>
          <t>대용량 어성초 77 토너 500ml화장솜(선택)=촉촉 스킨팩 화장솜</t>
        </is>
      </c>
      <c r="K14958" s="94" t="n">
        <v>6</v>
      </c>
      <c r="L14958" s="88" t="n">
        <v>201208</v>
      </c>
      <c r="M14958" s="88">
        <f>VLOOKUP($Q14958,매칭테이블!$F:$I,2,0)*K14958</f>
        <v/>
      </c>
      <c r="N14958" s="88">
        <f>M14958-M14958*VLOOKUP($Q14958,매칭테이블!$F:$I,3,0)</f>
        <v/>
      </c>
      <c r="O14958" s="88">
        <f>VLOOKUP($Q14958,매칭테이블!$F:$I,4,0)*K14958</f>
        <v/>
      </c>
      <c r="P14958" s="152">
        <f>M14958/1.1</f>
        <v/>
      </c>
      <c r="Q14958" s="88">
        <f>F14958&amp;E14958&amp;G14958&amp;L14958</f>
        <v/>
      </c>
    </row>
    <row r="14959">
      <c r="B14959" s="128" t="n">
        <v>44235</v>
      </c>
      <c r="C14959" s="88">
        <f>TEXT(B14959,"aaa")</f>
        <v/>
      </c>
      <c r="D14959" s="94" t="n"/>
      <c r="E14959" s="88">
        <f>INDEX(매칭테이블!C:D,MATCH(RD!G14959,매칭테이블!D:D,0),1)</f>
        <v/>
      </c>
      <c r="F14959" s="94" t="inlineStr">
        <is>
          <t>카페24</t>
        </is>
      </c>
      <c r="G14959" s="94" t="inlineStr">
        <is>
          <t>어성초 70 데일리 릴리프 로션로션=어성초 70 데일리 릴리프 로션 1개 -20% off</t>
        </is>
      </c>
      <c r="K14959" s="94" t="n">
        <v>7</v>
      </c>
      <c r="L14959" s="88" t="n">
        <v>201208</v>
      </c>
      <c r="M14959" s="88">
        <f>VLOOKUP($Q14959,매칭테이블!$F:$I,2,0)*K14959</f>
        <v/>
      </c>
      <c r="N14959" s="88">
        <f>M14959-M14959*VLOOKUP($Q14959,매칭테이블!$F:$I,3,0)</f>
        <v/>
      </c>
      <c r="O14959" s="88">
        <f>VLOOKUP($Q14959,매칭테이블!$F:$I,4,0)*K14959</f>
        <v/>
      </c>
      <c r="P14959" s="152">
        <f>M14959/1.1</f>
        <v/>
      </c>
      <c r="Q14959" s="88">
        <f>F14959&amp;E14959&amp;G14959&amp;L14959</f>
        <v/>
      </c>
    </row>
    <row r="14960">
      <c r="B14960" s="128" t="n">
        <v>44235</v>
      </c>
      <c r="C14960" s="88">
        <f>TEXT(B14960,"aaa")</f>
        <v/>
      </c>
      <c r="D14960" s="94" t="n"/>
      <c r="E14960" s="88">
        <f>INDEX(매칭테이블!C:D,MATCH(RD!G14960,매칭테이블!D:D,0),1)</f>
        <v/>
      </c>
      <c r="F14960" s="94" t="inlineStr">
        <is>
          <t>카페24</t>
        </is>
      </c>
      <c r="G14960" s="94" t="inlineStr">
        <is>
          <t>어성초 70 데일리 릴리프 로션로션=어성초 70 데일리 릴리프 로션 2개 -30% off</t>
        </is>
      </c>
      <c r="K14960" s="94" t="n">
        <v>5</v>
      </c>
      <c r="L14960" s="88" t="n">
        <v>201208</v>
      </c>
      <c r="M14960" s="88">
        <f>VLOOKUP($Q14960,매칭테이블!$F:$I,2,0)*K14960</f>
        <v/>
      </c>
      <c r="N14960" s="88">
        <f>M14960-M14960*VLOOKUP($Q14960,매칭테이블!$F:$I,3,0)</f>
        <v/>
      </c>
      <c r="O14960" s="88">
        <f>VLOOKUP($Q14960,매칭테이블!$F:$I,4,0)*K14960</f>
        <v/>
      </c>
      <c r="P14960" s="152">
        <f>M14960/1.1</f>
        <v/>
      </c>
      <c r="Q14960" s="88">
        <f>F14960&amp;E14960&amp;G14960&amp;L14960</f>
        <v/>
      </c>
    </row>
    <row r="14961">
      <c r="B14961" s="128" t="n">
        <v>44235</v>
      </c>
      <c r="C14961" s="88">
        <f>TEXT(B14961,"aaa")</f>
        <v/>
      </c>
      <c r="D14961" s="94" t="n"/>
      <c r="E14961" s="88">
        <f>INDEX(매칭테이블!C:D,MATCH(RD!G14961,매칭테이블!D:D,0),1)</f>
        <v/>
      </c>
      <c r="F14961" s="94" t="inlineStr">
        <is>
          <t>카페24</t>
        </is>
      </c>
      <c r="G14961" s="94" t="inlineStr">
        <is>
          <t>어성초 70 머드 크림 마스크옵션=어성초 70 머드 크림 마스크-20% off</t>
        </is>
      </c>
      <c r="K14961" s="94" t="n">
        <v>13</v>
      </c>
      <c r="L14961" s="88" t="n">
        <v>201208</v>
      </c>
      <c r="M14961" s="88">
        <f>VLOOKUP($Q14961,매칭테이블!$F:$I,2,0)*K14961</f>
        <v/>
      </c>
      <c r="N14961" s="88">
        <f>M14961-M14961*VLOOKUP($Q14961,매칭테이블!$F:$I,3,0)</f>
        <v/>
      </c>
      <c r="O14961" s="88">
        <f>VLOOKUP($Q14961,매칭테이블!$F:$I,4,0)*K14961</f>
        <v/>
      </c>
      <c r="P14961" s="152">
        <f>M14961/1.1</f>
        <v/>
      </c>
      <c r="Q14961" s="88">
        <f>F14961&amp;E14961&amp;G14961&amp;L14961</f>
        <v/>
      </c>
    </row>
    <row r="14962">
      <c r="B14962" s="128" t="n">
        <v>44235</v>
      </c>
      <c r="C14962" s="88">
        <f>TEXT(B14962,"aaa")</f>
        <v/>
      </c>
      <c r="D14962" s="94" t="n"/>
      <c r="E14962" s="88">
        <f>INDEX(매칭테이블!C:D,MATCH(RD!G14962,매칭테이블!D:D,0),1)</f>
        <v/>
      </c>
      <c r="F14962" s="94" t="inlineStr">
        <is>
          <t>카페24</t>
        </is>
      </c>
      <c r="G14962" s="94" t="inlineStr">
        <is>
          <t>어성초 70 머드 크림 마스크옵션=어성초 70 머드 크림 마스크 2개-30% off (무료배송)</t>
        </is>
      </c>
      <c r="K14962" s="94" t="n">
        <v>8</v>
      </c>
      <c r="L14962" s="88" t="n">
        <v>201208</v>
      </c>
      <c r="M14962" s="88">
        <f>VLOOKUP($Q14962,매칭테이블!$F:$I,2,0)*K14962</f>
        <v/>
      </c>
      <c r="N14962" s="88">
        <f>M14962-M14962*VLOOKUP($Q14962,매칭테이블!$F:$I,3,0)</f>
        <v/>
      </c>
      <c r="O14962" s="88">
        <f>VLOOKUP($Q14962,매칭테이블!$F:$I,4,0)*K14962</f>
        <v/>
      </c>
      <c r="P14962" s="152">
        <f>M14962/1.1</f>
        <v/>
      </c>
      <c r="Q14962" s="88">
        <f>F14962&amp;E14962&amp;G14962&amp;L14962</f>
        <v/>
      </c>
    </row>
    <row r="14963">
      <c r="B14963" s="128" t="n">
        <v>44235</v>
      </c>
      <c r="C14963" s="88">
        <f>TEXT(B14963,"aaa")</f>
        <v/>
      </c>
      <c r="D14963" s="94" t="n"/>
      <c r="E14963" s="88">
        <f>INDEX(매칭테이블!C:D,MATCH(RD!G14963,매칭테이블!D:D,0),1)</f>
        <v/>
      </c>
      <c r="F14963" s="94" t="inlineStr">
        <is>
          <t>카페24</t>
        </is>
      </c>
      <c r="G14963" s="94" t="inlineStr">
        <is>
          <t>어성초 70 인텐스 카밍 크림크림=어성초 70 인텐스 카밍 크림 1개 (-20%)</t>
        </is>
      </c>
      <c r="K14963" s="94" t="n">
        <v>7</v>
      </c>
      <c r="L14963" s="88" t="n">
        <v>201208</v>
      </c>
      <c r="M14963" s="88">
        <f>VLOOKUP($Q14963,매칭테이블!$F:$I,2,0)*K14963</f>
        <v/>
      </c>
      <c r="N14963" s="88">
        <f>M14963-M14963*VLOOKUP($Q14963,매칭테이블!$F:$I,3,0)</f>
        <v/>
      </c>
      <c r="O14963" s="88">
        <f>VLOOKUP($Q14963,매칭테이블!$F:$I,4,0)*K14963</f>
        <v/>
      </c>
      <c r="P14963" s="152">
        <f>M14963/1.1</f>
        <v/>
      </c>
      <c r="Q14963" s="88">
        <f>F14963&amp;E14963&amp;G14963&amp;L14963</f>
        <v/>
      </c>
    </row>
    <row r="14964">
      <c r="B14964" s="128" t="n">
        <v>44235</v>
      </c>
      <c r="C14964" s="88">
        <f>TEXT(B14964,"aaa")</f>
        <v/>
      </c>
      <c r="D14964" s="94" t="n"/>
      <c r="E14964" s="88">
        <f>INDEX(매칭테이블!C:D,MATCH(RD!G14964,매칭테이블!D:D,0),1)</f>
        <v/>
      </c>
      <c r="F14964" s="94" t="inlineStr">
        <is>
          <t>카페24</t>
        </is>
      </c>
      <c r="G14964" s="94" t="inlineStr">
        <is>
          <t>어성초 70 인텐스 카밍 크림크림=어성초 토너 250ml + 카밍 크림 50ml (-30%)</t>
        </is>
      </c>
      <c r="K14964" s="94" t="n">
        <v>2</v>
      </c>
      <c r="L14964" s="88" t="n">
        <v>201208</v>
      </c>
      <c r="M14964" s="88">
        <f>VLOOKUP($Q14964,매칭테이블!$F:$I,2,0)*K14964</f>
        <v/>
      </c>
      <c r="N14964" s="88">
        <f>M14964-M14964*VLOOKUP($Q14964,매칭테이블!$F:$I,3,0)</f>
        <v/>
      </c>
      <c r="O14964" s="88">
        <f>VLOOKUP($Q14964,매칭테이블!$F:$I,4,0)*K14964</f>
        <v/>
      </c>
      <c r="P14964" s="152">
        <f>M14964/1.1</f>
        <v/>
      </c>
      <c r="Q14964" s="88">
        <f>F14964&amp;E14964&amp;G14964&amp;L14964</f>
        <v/>
      </c>
    </row>
    <row r="14965">
      <c r="B14965" s="128" t="n">
        <v>44235</v>
      </c>
      <c r="C14965" s="88">
        <f>TEXT(B14965,"aaa")</f>
        <v/>
      </c>
      <c r="D14965" s="94" t="n"/>
      <c r="E14965" s="88">
        <f>INDEX(매칭테이블!C:D,MATCH(RD!G14965,매칭테이블!D:D,0),1)</f>
        <v/>
      </c>
      <c r="F14965" s="94" t="inlineStr">
        <is>
          <t>카페24</t>
        </is>
      </c>
      <c r="G14965" s="94" t="inlineStr">
        <is>
          <t>어성초 77 진정 마스크옵션=어성초 77 진정 마스크팩 1장</t>
        </is>
      </c>
      <c r="K14965" s="94" t="n">
        <v>2</v>
      </c>
      <c r="L14965" s="88" t="n">
        <v>201208</v>
      </c>
      <c r="M14965" s="88">
        <f>VLOOKUP($Q14965,매칭테이블!$F:$I,2,0)*K14965</f>
        <v/>
      </c>
      <c r="N14965" s="88">
        <f>M14965-M14965*VLOOKUP($Q14965,매칭테이블!$F:$I,3,0)</f>
        <v/>
      </c>
      <c r="O14965" s="88">
        <f>VLOOKUP($Q14965,매칭테이블!$F:$I,4,0)*K14965</f>
        <v/>
      </c>
      <c r="P14965" s="152">
        <f>M14965/1.1</f>
        <v/>
      </c>
      <c r="Q14965" s="88">
        <f>F14965&amp;E14965&amp;G14965&amp;L14965</f>
        <v/>
      </c>
    </row>
    <row r="14966">
      <c r="B14966" s="128" t="n">
        <v>44235</v>
      </c>
      <c r="C14966" s="88">
        <f>TEXT(B14966,"aaa")</f>
        <v/>
      </c>
      <c r="D14966" s="94" t="n"/>
      <c r="E14966" s="88">
        <f>INDEX(매칭테이블!C:D,MATCH(RD!G14966,매칭테이블!D:D,0),1)</f>
        <v/>
      </c>
      <c r="F14966" s="94" t="inlineStr">
        <is>
          <t>카페24</t>
        </is>
      </c>
      <c r="G14966" s="94" t="inlineStr">
        <is>
          <t>어성초 77 진정 마스크옵션=어성초 77 진정 마스크팩 10장-50% off</t>
        </is>
      </c>
      <c r="K14966" s="94" t="n">
        <v>1</v>
      </c>
      <c r="L14966" s="88" t="n">
        <v>201208</v>
      </c>
      <c r="M14966" s="88">
        <f>VLOOKUP($Q14966,매칭테이블!$F:$I,2,0)*K14966</f>
        <v/>
      </c>
      <c r="N14966" s="88">
        <f>M14966-M14966*VLOOKUP($Q14966,매칭테이블!$F:$I,3,0)</f>
        <v/>
      </c>
      <c r="O14966" s="88">
        <f>VLOOKUP($Q14966,매칭테이블!$F:$I,4,0)*K14966</f>
        <v/>
      </c>
      <c r="P14966" s="152">
        <f>M14966/1.1</f>
        <v/>
      </c>
      <c r="Q14966" s="88">
        <f>F14966&amp;E14966&amp;G14966&amp;L14966</f>
        <v/>
      </c>
    </row>
    <row r="14967">
      <c r="B14967" s="128" t="n">
        <v>44235</v>
      </c>
      <c r="C14967" s="88">
        <f>TEXT(B14967,"aaa")</f>
        <v/>
      </c>
      <c r="D14967" s="94" t="n"/>
      <c r="E14967" s="88">
        <f>INDEX(매칭테이블!C:D,MATCH(RD!G14967,매칭테이블!D:D,0),1)</f>
        <v/>
      </c>
      <c r="F14967" s="94" t="inlineStr">
        <is>
          <t>카페24</t>
        </is>
      </c>
      <c r="G14967" s="94" t="inlineStr">
        <is>
          <t>어성초 77 진정 마스크</t>
        </is>
      </c>
      <c r="K14967" s="94" t="n">
        <v>10</v>
      </c>
      <c r="L14967" s="88" t="n">
        <v>201208</v>
      </c>
      <c r="M14967" s="88">
        <f>VLOOKUP($Q14967,매칭테이블!$F:$I,2,0)*K14967</f>
        <v/>
      </c>
      <c r="N14967" s="88">
        <f>M14967-M14967*VLOOKUP($Q14967,매칭테이블!$F:$I,3,0)</f>
        <v/>
      </c>
      <c r="O14967" s="88">
        <f>VLOOKUP($Q14967,매칭테이블!$F:$I,4,0)*K14967</f>
        <v/>
      </c>
      <c r="P14967" s="152">
        <f>M14967/1.1</f>
        <v/>
      </c>
      <c r="Q14967" s="88">
        <f>F14967&amp;E14967&amp;G14967&amp;L14967</f>
        <v/>
      </c>
    </row>
    <row r="14968">
      <c r="B14968" s="128" t="n">
        <v>44235</v>
      </c>
      <c r="C14968" s="88">
        <f>TEXT(B14968,"aaa")</f>
        <v/>
      </c>
      <c r="D14968" s="94" t="n"/>
      <c r="E14968" s="88">
        <f>INDEX(매칭테이블!C:D,MATCH(RD!G14968,매칭테이블!D:D,0),1)</f>
        <v/>
      </c>
      <c r="F14968" s="94" t="inlineStr">
        <is>
          <t>카페24</t>
        </is>
      </c>
      <c r="G14968" s="94" t="inlineStr">
        <is>
          <t>어성초 77 진정 토너옵션=어성초 77 토너 1개-20% off</t>
        </is>
      </c>
      <c r="K14968" s="94" t="n">
        <v>34</v>
      </c>
      <c r="L14968" s="88" t="n">
        <v>201208</v>
      </c>
      <c r="M14968" s="88">
        <f>VLOOKUP($Q14968,매칭테이블!$F:$I,2,0)*K14968</f>
        <v/>
      </c>
      <c r="N14968" s="88">
        <f>M14968-M14968*VLOOKUP($Q14968,매칭테이블!$F:$I,3,0)</f>
        <v/>
      </c>
      <c r="O14968" s="88">
        <f>VLOOKUP($Q14968,매칭테이블!$F:$I,4,0)*K14968</f>
        <v/>
      </c>
      <c r="P14968" s="152">
        <f>M14968/1.1</f>
        <v/>
      </c>
      <c r="Q14968" s="88">
        <f>F14968&amp;E14968&amp;G14968&amp;L14968</f>
        <v/>
      </c>
    </row>
    <row r="14969">
      <c r="B14969" s="128" t="n">
        <v>44235</v>
      </c>
      <c r="C14969" s="88">
        <f>TEXT(B14969,"aaa")</f>
        <v/>
      </c>
      <c r="D14969" s="94" t="n"/>
      <c r="E14969" s="88">
        <f>INDEX(매칭테이블!C:D,MATCH(RD!G14969,매칭테이블!D:D,0),1)</f>
        <v/>
      </c>
      <c r="F14969" s="94" t="inlineStr">
        <is>
          <t>카페24</t>
        </is>
      </c>
      <c r="G14969" s="94" t="inlineStr">
        <is>
          <t>어성초 77 진정 토너옵션=BEST어성초 77 토너 2개-30% off (무료배송)</t>
        </is>
      </c>
      <c r="K14969" s="94" t="n">
        <v>19</v>
      </c>
      <c r="L14969" s="88" t="n">
        <v>201208</v>
      </c>
      <c r="M14969" s="88">
        <f>VLOOKUP($Q14969,매칭테이블!$F:$I,2,0)*K14969</f>
        <v/>
      </c>
      <c r="N14969" s="88">
        <f>M14969-M14969*VLOOKUP($Q14969,매칭테이블!$F:$I,3,0)</f>
        <v/>
      </c>
      <c r="O14969" s="88">
        <f>VLOOKUP($Q14969,매칭테이블!$F:$I,4,0)*K14969</f>
        <v/>
      </c>
      <c r="P14969" s="152">
        <f>M14969/1.1</f>
        <v/>
      </c>
      <c r="Q14969" s="88">
        <f>F14969&amp;E14969&amp;G14969&amp;L14969</f>
        <v/>
      </c>
    </row>
    <row r="14970">
      <c r="B14970" s="128" t="n">
        <v>44235</v>
      </c>
      <c r="C14970" s="88">
        <f>TEXT(B14970,"aaa")</f>
        <v/>
      </c>
      <c r="D14970" s="94" t="n"/>
      <c r="E14970" s="88">
        <f>INDEX(매칭테이블!C:D,MATCH(RD!G14970,매칭테이블!D:D,0),1)</f>
        <v/>
      </c>
      <c r="F14970" s="94" t="inlineStr">
        <is>
          <t>카페24</t>
        </is>
      </c>
      <c r="G14970" s="94" t="inlineStr">
        <is>
          <t>어성초 77 진정 토너옵션=어성초 77토너1개 + 어성초77패드1개 -30% off (무료배송)</t>
        </is>
      </c>
      <c r="K14970" s="94" t="n">
        <v>18</v>
      </c>
      <c r="L14970" s="88" t="n">
        <v>201208</v>
      </c>
      <c r="M14970" s="88">
        <f>VLOOKUP($Q14970,매칭테이블!$F:$I,2,0)*K14970</f>
        <v/>
      </c>
      <c r="N14970" s="88">
        <f>M14970-M14970*VLOOKUP($Q14970,매칭테이블!$F:$I,3,0)</f>
        <v/>
      </c>
      <c r="O14970" s="88">
        <f>VLOOKUP($Q14970,매칭테이블!$F:$I,4,0)*K14970</f>
        <v/>
      </c>
      <c r="P14970" s="152">
        <f>M14970/1.1</f>
        <v/>
      </c>
      <c r="Q14970" s="88">
        <f>F14970&amp;E14970&amp;G14970&amp;L14970</f>
        <v/>
      </c>
    </row>
    <row r="14971">
      <c r="B14971" s="128" t="n">
        <v>44235</v>
      </c>
      <c r="C14971" s="88">
        <f>TEXT(B14971,"aaa")</f>
        <v/>
      </c>
      <c r="D14971" s="94" t="n"/>
      <c r="E14971" s="88">
        <f>INDEX(매칭테이블!C:D,MATCH(RD!G14971,매칭테이블!D:D,0),1)</f>
        <v/>
      </c>
      <c r="F14971" s="94" t="inlineStr">
        <is>
          <t>카페24</t>
        </is>
      </c>
      <c r="G14971" s="94" t="inlineStr">
        <is>
          <t>어성초 77 진정 토너화장솜(선택)=촉촉 스킨팩 화장솜</t>
        </is>
      </c>
      <c r="K14971" s="94" t="n">
        <v>19</v>
      </c>
      <c r="L14971" s="88" t="n">
        <v>201208</v>
      </c>
      <c r="M14971" s="88">
        <f>VLOOKUP($Q14971,매칭테이블!$F:$I,2,0)*K14971</f>
        <v/>
      </c>
      <c r="N14971" s="88">
        <f>M14971-M14971*VLOOKUP($Q14971,매칭테이블!$F:$I,3,0)</f>
        <v/>
      </c>
      <c r="O14971" s="88">
        <f>VLOOKUP($Q14971,매칭테이블!$F:$I,4,0)*K14971</f>
        <v/>
      </c>
      <c r="P14971" s="152">
        <f>M14971/1.1</f>
        <v/>
      </c>
      <c r="Q14971" s="88">
        <f>F14971&amp;E14971&amp;G14971&amp;L14971</f>
        <v/>
      </c>
    </row>
    <row r="14972">
      <c r="B14972" s="128" t="n">
        <v>44235</v>
      </c>
      <c r="C14972" s="88">
        <f>TEXT(B14972,"aaa")</f>
        <v/>
      </c>
      <c r="D14972" s="94" t="n"/>
      <c r="E14972" s="88">
        <f>INDEX(매칭테이블!C:D,MATCH(RD!G14972,매칭테이블!D:D,0),1)</f>
        <v/>
      </c>
      <c r="F14972" s="94" t="inlineStr">
        <is>
          <t>카페24</t>
        </is>
      </c>
      <c r="G14972" s="94" t="inlineStr">
        <is>
          <t>어성초 77 클리어 패드옵션=어성초 77 클리어 패드 1개-20% off</t>
        </is>
      </c>
      <c r="K14972" s="94" t="n">
        <v>30</v>
      </c>
      <c r="L14972" s="88" t="n">
        <v>201208</v>
      </c>
      <c r="M14972" s="88">
        <f>VLOOKUP($Q14972,매칭테이블!$F:$I,2,0)*K14972</f>
        <v/>
      </c>
      <c r="N14972" s="88">
        <f>M14972-M14972*VLOOKUP($Q14972,매칭테이블!$F:$I,3,0)</f>
        <v/>
      </c>
      <c r="O14972" s="88">
        <f>VLOOKUP($Q14972,매칭테이블!$F:$I,4,0)*K14972</f>
        <v/>
      </c>
      <c r="P14972" s="152">
        <f>M14972/1.1</f>
        <v/>
      </c>
      <c r="Q14972" s="88">
        <f>F14972&amp;E14972&amp;G14972&amp;L14972</f>
        <v/>
      </c>
    </row>
    <row r="14973">
      <c r="B14973" s="128" t="n">
        <v>44235</v>
      </c>
      <c r="C14973" s="88">
        <f>TEXT(B14973,"aaa")</f>
        <v/>
      </c>
      <c r="D14973" s="94" t="n"/>
      <c r="E14973" s="88">
        <f>INDEX(매칭테이블!C:D,MATCH(RD!G14973,매칭테이블!D:D,0),1)</f>
        <v/>
      </c>
      <c r="F14973" s="94" t="inlineStr">
        <is>
          <t>카페24</t>
        </is>
      </c>
      <c r="G14973" s="94" t="inlineStr">
        <is>
          <t>어성초 77 클리어 패드옵션=어성초 77 클리어 패드 2개-30% off (무료배송)</t>
        </is>
      </c>
      <c r="K14973" s="94" t="n">
        <v>41</v>
      </c>
      <c r="L14973" s="88" t="n">
        <v>201208</v>
      </c>
      <c r="M14973" s="88">
        <f>VLOOKUP($Q14973,매칭테이블!$F:$I,2,0)*K14973</f>
        <v/>
      </c>
      <c r="N14973" s="88">
        <f>M14973-M14973*VLOOKUP($Q14973,매칭테이블!$F:$I,3,0)</f>
        <v/>
      </c>
      <c r="O14973" s="88">
        <f>VLOOKUP($Q14973,매칭테이블!$F:$I,4,0)*K14973</f>
        <v/>
      </c>
      <c r="P14973" s="152">
        <f>M14973/1.1</f>
        <v/>
      </c>
      <c r="Q14973" s="88">
        <f>F14973&amp;E14973&amp;G14973&amp;L14973</f>
        <v/>
      </c>
    </row>
    <row r="14974">
      <c r="B14974" s="128" t="n">
        <v>44235</v>
      </c>
      <c r="C14974" s="88">
        <f>TEXT(B14974,"aaa")</f>
        <v/>
      </c>
      <c r="D14974" s="94" t="n"/>
      <c r="E14974" s="88">
        <f>INDEX(매칭테이블!C:D,MATCH(RD!G14974,매칭테이블!D:D,0),1)</f>
        <v/>
      </c>
      <c r="F14974" s="94" t="inlineStr">
        <is>
          <t>카페24</t>
        </is>
      </c>
      <c r="G14974" s="94" t="inlineStr">
        <is>
          <t>어성초 77 클리어 패드옵션=어성초 77 클리어 패드 2+1 EVENT (무료배송)</t>
        </is>
      </c>
      <c r="K14974" s="94" t="n">
        <v>21</v>
      </c>
      <c r="L14974" s="88" t="n">
        <v>201208</v>
      </c>
      <c r="M14974" s="88">
        <f>VLOOKUP($Q14974,매칭테이블!$F:$I,2,0)*K14974</f>
        <v/>
      </c>
      <c r="N14974" s="88">
        <f>M14974-M14974*VLOOKUP($Q14974,매칭테이블!$F:$I,3,0)</f>
        <v/>
      </c>
      <c r="O14974" s="88">
        <f>VLOOKUP($Q14974,매칭테이블!$F:$I,4,0)*K14974</f>
        <v/>
      </c>
      <c r="P14974" s="152">
        <f>M14974/1.1</f>
        <v/>
      </c>
      <c r="Q14974" s="88">
        <f>F14974&amp;E14974&amp;G14974&amp;L14974</f>
        <v/>
      </c>
    </row>
    <row r="14975">
      <c r="B14975" s="128" t="n">
        <v>44235</v>
      </c>
      <c r="C14975" s="88">
        <f>TEXT(B14975,"aaa")</f>
        <v/>
      </c>
      <c r="D14975" s="94" t="n"/>
      <c r="E14975" s="88">
        <f>INDEX(매칭테이블!C:D,MATCH(RD!G14975,매칭테이블!D:D,0),1)</f>
        <v/>
      </c>
      <c r="F14975" s="94" t="inlineStr">
        <is>
          <t>카페24</t>
        </is>
      </c>
      <c r="G14975" s="94" t="inlineStr">
        <is>
          <t>어성초 77 클리어 패드옵션=어성초77토너1개+어성초77패드1개-30% off (무료배송)</t>
        </is>
      </c>
      <c r="K14975" s="94" t="n">
        <v>4</v>
      </c>
      <c r="L14975" s="88" t="n">
        <v>201208</v>
      </c>
      <c r="M14975" s="88">
        <f>VLOOKUP($Q14975,매칭테이블!$F:$I,2,0)*K14975</f>
        <v/>
      </c>
      <c r="N14975" s="88">
        <f>M14975-M14975*VLOOKUP($Q14975,매칭테이블!$F:$I,3,0)</f>
        <v/>
      </c>
      <c r="O14975" s="88">
        <f>VLOOKUP($Q14975,매칭테이블!$F:$I,4,0)*K14975</f>
        <v/>
      </c>
      <c r="P14975" s="152">
        <f>M14975/1.1</f>
        <v/>
      </c>
      <c r="Q14975" s="88">
        <f>F14975&amp;E14975&amp;G14975&amp;L14975</f>
        <v/>
      </c>
    </row>
    <row r="14976">
      <c r="B14976" s="128" t="n">
        <v>44235</v>
      </c>
      <c r="C14976" s="88">
        <f>TEXT(B14976,"aaa")</f>
        <v/>
      </c>
      <c r="D14976" s="94" t="n"/>
      <c r="E14976" s="88">
        <f>INDEX(매칭테이블!C:D,MATCH(RD!G14976,매칭테이블!D:D,0),1)</f>
        <v/>
      </c>
      <c r="F14976" s="94" t="inlineStr">
        <is>
          <t>카페24</t>
        </is>
      </c>
      <c r="G14976" s="94" t="inlineStr">
        <is>
          <t>어성초 77 토너</t>
        </is>
      </c>
      <c r="K14976" s="94" t="n">
        <v>1</v>
      </c>
      <c r="L14976" s="88" t="n">
        <v>201208</v>
      </c>
      <c r="M14976" s="88">
        <f>VLOOKUP($Q14976,매칭테이블!$F:$I,2,0)*K14976</f>
        <v/>
      </c>
      <c r="N14976" s="88">
        <f>M14976-M14976*VLOOKUP($Q14976,매칭테이블!$F:$I,3,0)</f>
        <v/>
      </c>
      <c r="O14976" s="88">
        <f>VLOOKUP($Q14976,매칭테이블!$F:$I,4,0)*K14976</f>
        <v/>
      </c>
      <c r="P14976" s="152">
        <f>M14976/1.1</f>
        <v/>
      </c>
      <c r="Q14976" s="88">
        <f>F14976&amp;E14976&amp;G14976&amp;L14976</f>
        <v/>
      </c>
    </row>
    <row r="14977">
      <c r="B14977" s="128" t="n">
        <v>44235</v>
      </c>
      <c r="C14977" s="88">
        <f>TEXT(B14977,"aaa")</f>
        <v/>
      </c>
      <c r="D14977" s="94" t="n"/>
      <c r="E14977" s="88">
        <f>INDEX(매칭테이블!C:D,MATCH(RD!G14977,매칭테이블!D:D,0),1)</f>
        <v/>
      </c>
      <c r="F14977" s="94" t="inlineStr">
        <is>
          <t>카페24</t>
        </is>
      </c>
      <c r="G14977" s="94" t="inlineStr">
        <is>
          <t>어성초 77 포어 클리어 패드옵션=어성초 77 클리어 패드 2개-30% off (무료배송)</t>
        </is>
      </c>
      <c r="K14977" s="94" t="n">
        <v>1</v>
      </c>
      <c r="L14977" s="88" t="n">
        <v>201208</v>
      </c>
      <c r="M14977" s="88">
        <f>VLOOKUP($Q14977,매칭테이블!$F:$I,2,0)*K14977</f>
        <v/>
      </c>
      <c r="N14977" s="88">
        <f>M14977-M14977*VLOOKUP($Q14977,매칭테이블!$F:$I,3,0)</f>
        <v/>
      </c>
      <c r="O14977" s="88">
        <f>VLOOKUP($Q14977,매칭테이블!$F:$I,4,0)*K14977</f>
        <v/>
      </c>
      <c r="P14977" s="152">
        <f>M14977/1.1</f>
        <v/>
      </c>
      <c r="Q14977" s="88">
        <f>F14977&amp;E14977&amp;G14977&amp;L14977</f>
        <v/>
      </c>
    </row>
    <row r="14978">
      <c r="B14978" s="128" t="n">
        <v>44235</v>
      </c>
      <c r="C14978" s="88">
        <f>TEXT(B14978,"aaa")</f>
        <v/>
      </c>
      <c r="D14978" s="94" t="n"/>
      <c r="E14978" s="88">
        <f>INDEX(매칭테이블!C:D,MATCH(RD!G14978,매칭테이블!D:D,0),1)</f>
        <v/>
      </c>
      <c r="F14978" s="94" t="inlineStr">
        <is>
          <t>카페24</t>
        </is>
      </c>
      <c r="G14978" s="94" t="inlineStr">
        <is>
          <t>어성초 77% 패드옵션=어성초 77 클리어 패드 1개-20% off</t>
        </is>
      </c>
      <c r="K14978" s="94" t="n">
        <v>26</v>
      </c>
      <c r="L14978" s="88" t="n">
        <v>201208</v>
      </c>
      <c r="M14978" s="88">
        <f>VLOOKUP($Q14978,매칭테이블!$F:$I,2,0)*K14978</f>
        <v/>
      </c>
      <c r="N14978" s="88">
        <f>M14978-M14978*VLOOKUP($Q14978,매칭테이블!$F:$I,3,0)</f>
        <v/>
      </c>
      <c r="O14978" s="88">
        <f>VLOOKUP($Q14978,매칭테이블!$F:$I,4,0)*K14978</f>
        <v/>
      </c>
      <c r="P14978" s="152">
        <f>M14978/1.1</f>
        <v/>
      </c>
      <c r="Q14978" s="88">
        <f>F14978&amp;E14978&amp;G14978&amp;L14978</f>
        <v/>
      </c>
    </row>
    <row r="14979">
      <c r="B14979" s="128" t="n">
        <v>44235</v>
      </c>
      <c r="C14979" s="88">
        <f>TEXT(B14979,"aaa")</f>
        <v/>
      </c>
      <c r="D14979" s="94" t="n"/>
      <c r="E14979" s="88">
        <f>INDEX(매칭테이블!C:D,MATCH(RD!G14979,매칭테이블!D:D,0),1)</f>
        <v/>
      </c>
      <c r="F14979" s="94" t="inlineStr">
        <is>
          <t>카페24</t>
        </is>
      </c>
      <c r="G14979" s="94" t="inlineStr">
        <is>
          <t>어성초 77% 패드옵션=어성초 77 클리어 패드 2개-30% off (무료배송)</t>
        </is>
      </c>
      <c r="K14979" s="94" t="n">
        <v>24</v>
      </c>
      <c r="L14979" s="88" t="n">
        <v>201208</v>
      </c>
      <c r="M14979" s="88">
        <f>VLOOKUP($Q14979,매칭테이블!$F:$I,2,0)*K14979</f>
        <v/>
      </c>
      <c r="N14979" s="88">
        <f>M14979-M14979*VLOOKUP($Q14979,매칭테이블!$F:$I,3,0)</f>
        <v/>
      </c>
      <c r="O14979" s="88">
        <f>VLOOKUP($Q14979,매칭테이블!$F:$I,4,0)*K14979</f>
        <v/>
      </c>
      <c r="P14979" s="152">
        <f>M14979/1.1</f>
        <v/>
      </c>
      <c r="Q14979" s="88">
        <f>F14979&amp;E14979&amp;G14979&amp;L14979</f>
        <v/>
      </c>
    </row>
    <row r="14980">
      <c r="B14980" s="128" t="n">
        <v>44235</v>
      </c>
      <c r="C14980" s="88">
        <f>TEXT(B14980,"aaa")</f>
        <v/>
      </c>
      <c r="D14980" s="94" t="n"/>
      <c r="E14980" s="88">
        <f>INDEX(매칭테이블!C:D,MATCH(RD!G14980,매칭테이블!D:D,0),1)</f>
        <v/>
      </c>
      <c r="F14980" s="94" t="inlineStr">
        <is>
          <t>카페24</t>
        </is>
      </c>
      <c r="G14980" s="94" t="inlineStr">
        <is>
          <t>어성초 77% 패드옵션=어성초 77 클리어 패드 2+1 EVENT (무료배송)</t>
        </is>
      </c>
      <c r="K14980" s="94" t="n">
        <v>16</v>
      </c>
      <c r="L14980" s="88" t="n">
        <v>201208</v>
      </c>
      <c r="M14980" s="88">
        <f>VLOOKUP($Q14980,매칭테이블!$F:$I,2,0)*K14980</f>
        <v/>
      </c>
      <c r="N14980" s="88">
        <f>M14980-M14980*VLOOKUP($Q14980,매칭테이블!$F:$I,3,0)</f>
        <v/>
      </c>
      <c r="O14980" s="88">
        <f>VLOOKUP($Q14980,매칭테이블!$F:$I,4,0)*K14980</f>
        <v/>
      </c>
      <c r="P14980" s="152">
        <f>M14980/1.1</f>
        <v/>
      </c>
      <c r="Q14980" s="88">
        <f>F14980&amp;E14980&amp;G14980&amp;L14980</f>
        <v/>
      </c>
    </row>
    <row r="14981">
      <c r="B14981" s="128" t="n">
        <v>44235</v>
      </c>
      <c r="C14981" s="88">
        <f>TEXT(B14981,"aaa")</f>
        <v/>
      </c>
      <c r="D14981" s="94" t="n"/>
      <c r="E14981" s="88">
        <f>INDEX(매칭테이블!C:D,MATCH(RD!G14981,매칭테이블!D:D,0),1)</f>
        <v/>
      </c>
      <c r="F14981" s="94" t="inlineStr">
        <is>
          <t>카페24</t>
        </is>
      </c>
      <c r="G14981" s="94" t="inlineStr">
        <is>
          <t>어성초 77% 패드옵션=어성초77토너1개+어성초77패드1개-30% off (무료배송)</t>
        </is>
      </c>
      <c r="K14981" s="94" t="n">
        <v>7</v>
      </c>
      <c r="L14981" s="88" t="n">
        <v>201208</v>
      </c>
      <c r="M14981" s="88">
        <f>VLOOKUP($Q14981,매칭테이블!$F:$I,2,0)*K14981</f>
        <v/>
      </c>
      <c r="N14981" s="88">
        <f>M14981-M14981*VLOOKUP($Q14981,매칭테이블!$F:$I,3,0)</f>
        <v/>
      </c>
      <c r="O14981" s="88">
        <f>VLOOKUP($Q14981,매칭테이블!$F:$I,4,0)*K14981</f>
        <v/>
      </c>
      <c r="P14981" s="152">
        <f>M14981/1.1</f>
        <v/>
      </c>
      <c r="Q14981" s="88">
        <f>F14981&amp;E14981&amp;G14981&amp;L14981</f>
        <v/>
      </c>
    </row>
    <row r="14982">
      <c r="B14982" s="128" t="n">
        <v>44235</v>
      </c>
      <c r="C14982" s="88">
        <f>TEXT(B14982,"aaa")</f>
        <v/>
      </c>
      <c r="D14982" s="94" t="n"/>
      <c r="E14982" s="88">
        <f>INDEX(매칭테이블!C:D,MATCH(RD!G14982,매칭테이블!D:D,0),1)</f>
        <v/>
      </c>
      <c r="F14982" s="94" t="inlineStr">
        <is>
          <t>카페24</t>
        </is>
      </c>
      <c r="G14982" s="94" t="inlineStr">
        <is>
          <t>어성초 78 수딩 크림</t>
        </is>
      </c>
      <c r="K14982" s="94" t="n">
        <v>10</v>
      </c>
      <c r="L14982" s="88" t="n">
        <v>201208</v>
      </c>
      <c r="M14982" s="88">
        <f>VLOOKUP($Q14982,매칭테이블!$F:$I,2,0)*K14982</f>
        <v/>
      </c>
      <c r="N14982" s="88">
        <f>M14982-M14982*VLOOKUP($Q14982,매칭테이블!$F:$I,3,0)</f>
        <v/>
      </c>
      <c r="O14982" s="88">
        <f>VLOOKUP($Q14982,매칭테이블!$F:$I,4,0)*K14982</f>
        <v/>
      </c>
      <c r="P14982" s="152">
        <f>M14982/1.1</f>
        <v/>
      </c>
      <c r="Q14982" s="88">
        <f>F14982&amp;E14982&amp;G14982&amp;L14982</f>
        <v/>
      </c>
    </row>
    <row r="14983">
      <c r="B14983" s="128" t="n">
        <v>44235</v>
      </c>
      <c r="C14983" s="88">
        <f>TEXT(B14983,"aaa")</f>
        <v/>
      </c>
      <c r="D14983" s="94" t="n"/>
      <c r="E14983" s="88">
        <f>INDEX(매칭테이블!C:D,MATCH(RD!G14983,매칭테이블!D:D,0),1)</f>
        <v/>
      </c>
      <c r="F14983" s="94" t="inlineStr">
        <is>
          <t>카페24</t>
        </is>
      </c>
      <c r="G14983" s="94" t="inlineStr">
        <is>
          <t>어성초 78 수딩 크림</t>
        </is>
      </c>
      <c r="K14983" s="94" t="n">
        <v>7</v>
      </c>
      <c r="L14983" s="88" t="n">
        <v>201208</v>
      </c>
      <c r="M14983" s="88">
        <f>VLOOKUP($Q14983,매칭테이블!$F:$I,2,0)*K14983</f>
        <v/>
      </c>
      <c r="N14983" s="88">
        <f>M14983-M14983*VLOOKUP($Q14983,매칭테이블!$F:$I,3,0)</f>
        <v/>
      </c>
      <c r="O14983" s="88">
        <f>VLOOKUP($Q14983,매칭테이블!$F:$I,4,0)*K14983</f>
        <v/>
      </c>
      <c r="P14983" s="152">
        <f>M14983/1.1</f>
        <v/>
      </c>
      <c r="Q14983" s="88">
        <f>F14983&amp;E14983&amp;G14983&amp;L14983</f>
        <v/>
      </c>
    </row>
    <row r="14984">
      <c r="B14984" s="128" t="n">
        <v>44235</v>
      </c>
      <c r="C14984" s="88">
        <f>TEXT(B14984,"aaa")</f>
        <v/>
      </c>
      <c r="D14984" s="94" t="n"/>
      <c r="E14984" s="88">
        <f>INDEX(매칭테이블!C:D,MATCH(RD!G14984,매칭테이블!D:D,0),1)</f>
        <v/>
      </c>
      <c r="F14984" s="94" t="inlineStr">
        <is>
          <t>카페24</t>
        </is>
      </c>
      <c r="G14984" s="94" t="inlineStr">
        <is>
          <t>어성초 80 수분 진정 앰플앰플=어성초 80 앰플 1개-15%off</t>
        </is>
      </c>
      <c r="K14984" s="94" t="n">
        <v>13</v>
      </c>
      <c r="L14984" s="88" t="n">
        <v>201208</v>
      </c>
      <c r="M14984" s="88">
        <f>VLOOKUP($Q14984,매칭테이블!$F:$I,2,0)*K14984</f>
        <v/>
      </c>
      <c r="N14984" s="88">
        <f>M14984-M14984*VLOOKUP($Q14984,매칭테이블!$F:$I,3,0)</f>
        <v/>
      </c>
      <c r="O14984" s="88">
        <f>VLOOKUP($Q14984,매칭테이블!$F:$I,4,0)*K14984</f>
        <v/>
      </c>
      <c r="P14984" s="152">
        <f>M14984/1.1</f>
        <v/>
      </c>
      <c r="Q14984" s="88">
        <f>F14984&amp;E14984&amp;G14984&amp;L14984</f>
        <v/>
      </c>
    </row>
    <row r="14985">
      <c r="B14985" s="128" t="n">
        <v>44235</v>
      </c>
      <c r="C14985" s="88">
        <f>TEXT(B14985,"aaa")</f>
        <v/>
      </c>
      <c r="D14985" s="94" t="n"/>
      <c r="E14985" s="88">
        <f>INDEX(매칭테이블!C:D,MATCH(RD!G14985,매칭테이블!D:D,0),1)</f>
        <v/>
      </c>
      <c r="F14985" s="94" t="inlineStr">
        <is>
          <t>카페24</t>
        </is>
      </c>
      <c r="G14985" s="94" t="inlineStr">
        <is>
          <t>어성초 80 수분 진정 앰플앰플=어성초 80 앰플 2개-27%off (무료배송)</t>
        </is>
      </c>
      <c r="K14985" s="94" t="n">
        <v>15</v>
      </c>
      <c r="L14985" s="88" t="n">
        <v>201208</v>
      </c>
      <c r="M14985" s="88">
        <f>VLOOKUP($Q14985,매칭테이블!$F:$I,2,0)*K14985</f>
        <v/>
      </c>
      <c r="N14985" s="88">
        <f>M14985-M14985*VLOOKUP($Q14985,매칭테이블!$F:$I,3,0)</f>
        <v/>
      </c>
      <c r="O14985" s="88">
        <f>VLOOKUP($Q14985,매칭테이블!$F:$I,4,0)*K14985</f>
        <v/>
      </c>
      <c r="P14985" s="152">
        <f>M14985/1.1</f>
        <v/>
      </c>
      <c r="Q14985" s="88">
        <f>F14985&amp;E14985&amp;G14985&amp;L14985</f>
        <v/>
      </c>
    </row>
    <row r="14986">
      <c r="B14986" s="128" t="n">
        <v>44235</v>
      </c>
      <c r="C14986" s="88">
        <f>TEXT(B14986,"aaa")</f>
        <v/>
      </c>
      <c r="D14986" s="94" t="n"/>
      <c r="E14986" s="88">
        <f>INDEX(매칭테이블!C:D,MATCH(RD!G14986,매칭테이블!D:D,0),1)</f>
        <v/>
      </c>
      <c r="F14986" s="94" t="inlineStr">
        <is>
          <t>카페24</t>
        </is>
      </c>
      <c r="G14986" s="94" t="inlineStr">
        <is>
          <t>어성초 80 수분 진정 앰플</t>
        </is>
      </c>
      <c r="K14986" s="94" t="n">
        <v>4</v>
      </c>
      <c r="L14986" s="88" t="n">
        <v>201208</v>
      </c>
      <c r="M14986" s="88">
        <f>VLOOKUP($Q14986,매칭테이블!$F:$I,2,0)*K14986</f>
        <v/>
      </c>
      <c r="N14986" s="88">
        <f>M14986-M14986*VLOOKUP($Q14986,매칭테이블!$F:$I,3,0)</f>
        <v/>
      </c>
      <c r="O14986" s="88">
        <f>VLOOKUP($Q14986,매칭테이블!$F:$I,4,0)*K14986</f>
        <v/>
      </c>
      <c r="P14986" s="152">
        <f>M14986/1.1</f>
        <v/>
      </c>
      <c r="Q14986" s="88">
        <f>F14986&amp;E14986&amp;G14986&amp;L14986</f>
        <v/>
      </c>
    </row>
    <row r="14987">
      <c r="B14987" s="128" t="n">
        <v>44235</v>
      </c>
      <c r="C14987" s="88">
        <f>TEXT(B14987,"aaa")</f>
        <v/>
      </c>
      <c r="D14987" s="94" t="n"/>
      <c r="E14987" s="88">
        <f>INDEX(매칭테이블!C:D,MATCH(RD!G14987,매칭테이블!D:D,0),1)</f>
        <v/>
      </c>
      <c r="F14987" s="94" t="inlineStr">
        <is>
          <t>카페24</t>
        </is>
      </c>
      <c r="G14987" s="94" t="inlineStr">
        <is>
          <t>어성초 아크네 바디워시옵션=어성초 아크네 바디워시 1개 -30% off</t>
        </is>
      </c>
      <c r="K14987" s="94" t="n">
        <v>5</v>
      </c>
      <c r="L14987" s="88" t="n">
        <v>201208</v>
      </c>
      <c r="M14987" s="88">
        <f>VLOOKUP($Q14987,매칭테이블!$F:$I,2,0)*K14987</f>
        <v/>
      </c>
      <c r="N14987" s="88">
        <f>M14987-M14987*VLOOKUP($Q14987,매칭테이블!$F:$I,3,0)</f>
        <v/>
      </c>
      <c r="O14987" s="88">
        <f>VLOOKUP($Q14987,매칭테이블!$F:$I,4,0)*K14987</f>
        <v/>
      </c>
      <c r="P14987" s="152">
        <f>M14987/1.1</f>
        <v/>
      </c>
      <c r="Q14987" s="88">
        <f>F14987&amp;E14987&amp;G14987&amp;L14987</f>
        <v/>
      </c>
    </row>
    <row r="14988">
      <c r="B14988" s="128" t="n">
        <v>44235</v>
      </c>
      <c r="C14988" s="88">
        <f>TEXT(B14988,"aaa")</f>
        <v/>
      </c>
      <c r="D14988" s="94" t="n"/>
      <c r="E14988" s="88">
        <f>INDEX(매칭테이블!C:D,MATCH(RD!G14988,매칭테이블!D:D,0),1)</f>
        <v/>
      </c>
      <c r="F14988" s="94" t="inlineStr">
        <is>
          <t>카페24</t>
        </is>
      </c>
      <c r="G14988" s="94" t="inlineStr">
        <is>
          <t>어성초 약산성 클렌징폼클렌징폼=어성초 약산성 클렌징폼 1개 -19%off</t>
        </is>
      </c>
      <c r="K14988" s="94" t="n">
        <v>10</v>
      </c>
      <c r="L14988" s="88" t="n">
        <v>201208</v>
      </c>
      <c r="M14988" s="88">
        <f>VLOOKUP($Q14988,매칭테이블!$F:$I,2,0)*K14988</f>
        <v/>
      </c>
      <c r="N14988" s="88">
        <f>M14988-M14988*VLOOKUP($Q14988,매칭테이블!$F:$I,3,0)</f>
        <v/>
      </c>
      <c r="O14988" s="88">
        <f>VLOOKUP($Q14988,매칭테이블!$F:$I,4,0)*K14988</f>
        <v/>
      </c>
      <c r="P14988" s="152">
        <f>M14988/1.1</f>
        <v/>
      </c>
      <c r="Q14988" s="88">
        <f>F14988&amp;E14988&amp;G14988&amp;L14988</f>
        <v/>
      </c>
    </row>
    <row r="14989">
      <c r="B14989" s="128" t="n">
        <v>44235</v>
      </c>
      <c r="C14989" s="88">
        <f>TEXT(B14989,"aaa")</f>
        <v/>
      </c>
      <c r="D14989" s="94" t="n"/>
      <c r="E14989" s="88">
        <f>INDEX(매칭테이블!C:D,MATCH(RD!G14989,매칭테이블!D:D,0),1)</f>
        <v/>
      </c>
      <c r="F14989" s="94" t="inlineStr">
        <is>
          <t>카페24</t>
        </is>
      </c>
      <c r="G14989" s="94" t="inlineStr">
        <is>
          <t>어성초 약산성 클렌징폼클렌징폼=어성초 약산성 클렌징폼 2개 -25%off</t>
        </is>
      </c>
      <c r="K14989" s="94" t="n">
        <v>5</v>
      </c>
      <c r="L14989" s="88" t="n">
        <v>201208</v>
      </c>
      <c r="M14989" s="88">
        <f>VLOOKUP($Q14989,매칭테이블!$F:$I,2,0)*K14989</f>
        <v/>
      </c>
      <c r="N14989" s="88">
        <f>M14989-M14989*VLOOKUP($Q14989,매칭테이블!$F:$I,3,0)</f>
        <v/>
      </c>
      <c r="O14989" s="88">
        <f>VLOOKUP($Q14989,매칭테이블!$F:$I,4,0)*K14989</f>
        <v/>
      </c>
      <c r="P14989" s="152">
        <f>M14989/1.1</f>
        <v/>
      </c>
      <c r="Q14989" s="88">
        <f>F14989&amp;E14989&amp;G14989&amp;L14989</f>
        <v/>
      </c>
    </row>
    <row r="14990">
      <c r="B14990" s="128" t="n">
        <v>44235</v>
      </c>
      <c r="C14990" s="88">
        <f>TEXT(B14990,"aaa")</f>
        <v/>
      </c>
      <c r="D14990" s="94" t="n"/>
      <c r="E14990" s="88">
        <f>INDEX(매칭테이블!C:D,MATCH(RD!G14990,매칭테이블!D:D,0),1)</f>
        <v/>
      </c>
      <c r="F14990" s="94" t="inlineStr">
        <is>
          <t>카페24</t>
        </is>
      </c>
      <c r="G14990" s="94" t="inlineStr">
        <is>
          <t>어성초 약산성 클렌징폼클렌징폼=어성초 약산성 클렌징폼 3개 -31%off (무료배송)</t>
        </is>
      </c>
      <c r="K14990" s="94" t="n">
        <v>3</v>
      </c>
      <c r="L14990" s="88" t="n">
        <v>201208</v>
      </c>
      <c r="M14990" s="88">
        <f>VLOOKUP($Q14990,매칭테이블!$F:$I,2,0)*K14990</f>
        <v/>
      </c>
      <c r="N14990" s="88">
        <f>M14990-M14990*VLOOKUP($Q14990,매칭테이블!$F:$I,3,0)</f>
        <v/>
      </c>
      <c r="O14990" s="88">
        <f>VLOOKUP($Q14990,매칭테이블!$F:$I,4,0)*K14990</f>
        <v/>
      </c>
      <c r="P14990" s="152">
        <f>M14990/1.1</f>
        <v/>
      </c>
      <c r="Q14990" s="88">
        <f>F14990&amp;E14990&amp;G14990&amp;L14990</f>
        <v/>
      </c>
    </row>
    <row r="14991">
      <c r="B14991" s="128" t="n">
        <v>44235</v>
      </c>
      <c r="C14991" s="88">
        <f>TEXT(B14991,"aaa")</f>
        <v/>
      </c>
      <c r="D14991" s="94" t="n"/>
      <c r="E14991" s="88">
        <f>INDEX(매칭테이블!C:D,MATCH(RD!G14991,매칭테이블!D:D,0),1)</f>
        <v/>
      </c>
      <c r="F14991" s="94" t="inlineStr">
        <is>
          <t>카페24</t>
        </is>
      </c>
      <c r="G14991" s="94" t="inlineStr">
        <is>
          <t>어성초 크림마스크 나이트 솔루션옵션=어성초 크림마스크 나이트 솔루션 1장</t>
        </is>
      </c>
      <c r="K14991" s="94" t="n">
        <v>1</v>
      </c>
      <c r="L14991" s="88" t="n">
        <v>201208</v>
      </c>
      <c r="M14991" s="88">
        <f>VLOOKUP($Q14991,매칭테이블!$F:$I,2,0)*K14991</f>
        <v/>
      </c>
      <c r="N14991" s="88">
        <f>M14991-M14991*VLOOKUP($Q14991,매칭테이블!$F:$I,3,0)</f>
        <v/>
      </c>
      <c r="O14991" s="88">
        <f>VLOOKUP($Q14991,매칭테이블!$F:$I,4,0)*K14991</f>
        <v/>
      </c>
      <c r="P14991" s="152">
        <f>M14991/1.1</f>
        <v/>
      </c>
      <c r="Q14991" s="88">
        <f>F14991&amp;E14991&amp;G14991&amp;L14991</f>
        <v/>
      </c>
    </row>
    <row r="14992">
      <c r="B14992" s="128" t="n">
        <v>44235</v>
      </c>
      <c r="C14992" s="88">
        <f>TEXT(B14992,"aaa")</f>
        <v/>
      </c>
      <c r="D14992" s="94" t="n"/>
      <c r="E14992" s="88">
        <f>INDEX(매칭테이블!C:D,MATCH(RD!G14992,매칭테이블!D:D,0),1)</f>
        <v/>
      </c>
      <c r="F14992" s="94" t="inlineStr">
        <is>
          <t>카페24</t>
        </is>
      </c>
      <c r="G14992" s="94" t="inlineStr">
        <is>
          <t>어성초 크림마스크 나이트 솔루션옵션=어성초 크림마스크 나이트 솔루션 10장 (-50%)</t>
        </is>
      </c>
      <c r="K14992" s="94" t="n">
        <v>3</v>
      </c>
      <c r="L14992" s="88" t="n">
        <v>201208</v>
      </c>
      <c r="M14992" s="88">
        <f>VLOOKUP($Q14992,매칭테이블!$F:$I,2,0)*K14992</f>
        <v/>
      </c>
      <c r="N14992" s="88">
        <f>M14992-M14992*VLOOKUP($Q14992,매칭테이블!$F:$I,3,0)</f>
        <v/>
      </c>
      <c r="O14992" s="88">
        <f>VLOOKUP($Q14992,매칭테이블!$F:$I,4,0)*K14992</f>
        <v/>
      </c>
      <c r="P14992" s="152">
        <f>M14992/1.1</f>
        <v/>
      </c>
      <c r="Q14992" s="88">
        <f>F14992&amp;E14992&amp;G14992&amp;L14992</f>
        <v/>
      </c>
    </row>
    <row r="14993">
      <c r="B14993" s="128" t="n">
        <v>44235</v>
      </c>
      <c r="C14993" s="88">
        <f>TEXT(B14993,"aaa")</f>
        <v/>
      </c>
      <c r="D14993" s="94" t="n"/>
      <c r="E14993" s="88">
        <f>INDEX(매칭테이블!C:D,MATCH(RD!G14993,매칭테이블!D:D,0),1)</f>
        <v/>
      </c>
      <c r="F14993" s="94" t="inlineStr">
        <is>
          <t>카페24</t>
        </is>
      </c>
      <c r="G14993" s="94" t="inlineStr">
        <is>
          <t>자작나무 수분 마스크옵션=자작나무 수분 마스크 10장 (50% off)</t>
        </is>
      </c>
      <c r="K14993" s="94" t="n">
        <v>1</v>
      </c>
      <c r="L14993" s="88" t="n">
        <v>201208</v>
      </c>
      <c r="M14993" s="88">
        <f>VLOOKUP($Q14993,매칭테이블!$F:$I,2,0)*K14993</f>
        <v/>
      </c>
      <c r="N14993" s="88">
        <f>M14993-M14993*VLOOKUP($Q14993,매칭테이블!$F:$I,3,0)</f>
        <v/>
      </c>
      <c r="O14993" s="88">
        <f>VLOOKUP($Q14993,매칭테이블!$F:$I,4,0)*K14993</f>
        <v/>
      </c>
      <c r="P14993" s="152">
        <f>M14993/1.1</f>
        <v/>
      </c>
      <c r="Q14993" s="88">
        <f>F14993&amp;E14993&amp;G14993&amp;L14993</f>
        <v/>
      </c>
    </row>
    <row r="14994">
      <c r="B14994" s="128" t="n">
        <v>44235</v>
      </c>
      <c r="C14994" s="88">
        <f>TEXT(B14994,"aaa")</f>
        <v/>
      </c>
      <c r="D14994" s="94" t="n"/>
      <c r="E14994" s="88">
        <f>INDEX(매칭테이블!C:D,MATCH(RD!G14994,매칭테이블!D:D,0),1)</f>
        <v/>
      </c>
      <c r="F14994" s="94" t="inlineStr">
        <is>
          <t>카페24</t>
        </is>
      </c>
      <c r="G14994" s="94" t="inlineStr">
        <is>
          <t>청귤 비타 잡티 마스크옵션=청귤 비타 잡티 마스크 1장</t>
        </is>
      </c>
      <c r="K14994" s="94" t="n">
        <v>3</v>
      </c>
      <c r="L14994" s="88" t="n">
        <v>201208</v>
      </c>
      <c r="M14994" s="88">
        <f>VLOOKUP($Q14994,매칭테이블!$F:$I,2,0)*K14994</f>
        <v/>
      </c>
      <c r="N14994" s="88">
        <f>M14994-M14994*VLOOKUP($Q14994,매칭테이블!$F:$I,3,0)</f>
        <v/>
      </c>
      <c r="O14994" s="88">
        <f>VLOOKUP($Q14994,매칭테이블!$F:$I,4,0)*K14994</f>
        <v/>
      </c>
      <c r="P14994" s="152">
        <f>M14994/1.1</f>
        <v/>
      </c>
      <c r="Q14994" s="88">
        <f>F14994&amp;E14994&amp;G14994&amp;L14994</f>
        <v/>
      </c>
    </row>
    <row r="14995">
      <c r="B14995" s="128" t="n">
        <v>44235</v>
      </c>
      <c r="C14995" s="88">
        <f>TEXT(B14995,"aaa")</f>
        <v/>
      </c>
      <c r="D14995" s="94" t="n"/>
      <c r="E14995" s="88">
        <f>INDEX(매칭테이블!C:D,MATCH(RD!G14995,매칭테이블!D:D,0),1)</f>
        <v/>
      </c>
      <c r="F14995" s="94" t="inlineStr">
        <is>
          <t>카페24</t>
        </is>
      </c>
      <c r="G14995" s="94" t="inlineStr">
        <is>
          <t>청귤 비타 잡티 마스크옵션=청귤 비타 잡티 마스크 10장 (50% off)</t>
        </is>
      </c>
      <c r="K14995" s="94" t="n">
        <v>1</v>
      </c>
      <c r="L14995" s="88" t="n">
        <v>201208</v>
      </c>
      <c r="M14995" s="88">
        <f>VLOOKUP($Q14995,매칭테이블!$F:$I,2,0)*K14995</f>
        <v/>
      </c>
      <c r="N14995" s="88">
        <f>M14995-M14995*VLOOKUP($Q14995,매칭테이블!$F:$I,3,0)</f>
        <v/>
      </c>
      <c r="O14995" s="88">
        <f>VLOOKUP($Q14995,매칭테이블!$F:$I,4,0)*K14995</f>
        <v/>
      </c>
      <c r="P14995" s="152">
        <f>M14995/1.1</f>
        <v/>
      </c>
      <c r="Q14995" s="88">
        <f>F14995&amp;E14995&amp;G14995&amp;L14995</f>
        <v/>
      </c>
    </row>
    <row r="14996">
      <c r="B14996" s="128" t="n">
        <v>44235</v>
      </c>
      <c r="C14996" s="88">
        <f>TEXT(B14996,"aaa")</f>
        <v/>
      </c>
      <c r="D14996" s="94" t="n"/>
      <c r="E14996" s="88">
        <f>INDEX(매칭테이블!C:D,MATCH(RD!G14996,매칭테이블!D:D,0),1)</f>
        <v/>
      </c>
      <c r="F14996" s="94" t="inlineStr">
        <is>
          <t>카페24</t>
        </is>
      </c>
      <c r="G14996" s="94" t="inlineStr">
        <is>
          <t>촉촉 스킨팩 화장솜</t>
        </is>
      </c>
      <c r="K14996" s="94" t="n">
        <v>11</v>
      </c>
      <c r="L14996" s="88" t="n">
        <v>201208</v>
      </c>
      <c r="M14996" s="88">
        <f>VLOOKUP($Q14996,매칭테이블!$F:$I,2,0)*K14996</f>
        <v/>
      </c>
      <c r="N14996" s="88">
        <f>M14996-M14996*VLOOKUP($Q14996,매칭테이블!$F:$I,3,0)</f>
        <v/>
      </c>
      <c r="O14996" s="88">
        <f>VLOOKUP($Q14996,매칭테이블!$F:$I,4,0)*K14996</f>
        <v/>
      </c>
      <c r="P14996" s="152">
        <f>M14996/1.1</f>
        <v/>
      </c>
      <c r="Q14996" s="88">
        <f>F14996&amp;E14996&amp;G14996&amp;L14996</f>
        <v/>
      </c>
    </row>
    <row r="14997">
      <c r="B14997" s="128" t="n">
        <v>44235</v>
      </c>
      <c r="C14997" s="88">
        <f>TEXT(B14997,"aaa")</f>
        <v/>
      </c>
      <c r="D14997" s="94" t="n"/>
      <c r="E14997" s="88">
        <f>INDEX(매칭테이블!C:D,MATCH(RD!G14997,매칭테이블!D:D,0),1)</f>
        <v/>
      </c>
      <c r="F14997" s="94" t="inlineStr">
        <is>
          <t>카페24</t>
        </is>
      </c>
      <c r="G14997" s="94" t="inlineStr">
        <is>
          <t>촉촉 스킨팩 화장솜</t>
        </is>
      </c>
      <c r="K14997" s="94" t="n">
        <v>3</v>
      </c>
      <c r="L14997" s="88" t="n">
        <v>201208</v>
      </c>
      <c r="M14997" s="88">
        <f>VLOOKUP($Q14997,매칭테이블!$F:$I,2,0)*K14997</f>
        <v/>
      </c>
      <c r="N14997" s="88">
        <f>M14997-M14997*VLOOKUP($Q14997,매칭테이블!$F:$I,3,0)</f>
        <v/>
      </c>
      <c r="O14997" s="88">
        <f>VLOOKUP($Q14997,매칭테이블!$F:$I,4,0)*K14997</f>
        <v/>
      </c>
      <c r="P14997" s="152">
        <f>M14997/1.1</f>
        <v/>
      </c>
      <c r="Q14997" s="88">
        <f>F14997&amp;E14997&amp;G14997&amp;L14997</f>
        <v/>
      </c>
    </row>
    <row r="14998">
      <c r="A14998" s="94" t="inlineStr">
        <is>
          <t>도달_올리브영</t>
        </is>
      </c>
      <c r="B14998" s="94" t="inlineStr">
        <is>
          <t>2021-02-09</t>
        </is>
      </c>
      <c r="C14998" s="94" t="inlineStr">
        <is>
          <t>화</t>
        </is>
      </c>
      <c r="D14998" s="94" t="inlineStr">
        <is>
          <t>페이스북/인스타그램</t>
        </is>
      </c>
      <c r="E14998" s="94" t="inlineStr">
        <is>
          <t>토너</t>
        </is>
      </c>
      <c r="J14998" s="94" t="inlineStr">
        <is>
          <t>48534</t>
        </is>
      </c>
    </row>
    <row r="14999">
      <c r="A14999" s="94" t="inlineStr">
        <is>
          <t>전환_토너패드</t>
        </is>
      </c>
      <c r="B14999" s="94" t="inlineStr">
        <is>
          <t>2021-02-09</t>
        </is>
      </c>
      <c r="C14999" s="94" t="inlineStr">
        <is>
          <t>화</t>
        </is>
      </c>
      <c r="D14999" s="94" t="inlineStr">
        <is>
          <t>페이스북/인스타그램</t>
        </is>
      </c>
      <c r="E14999" s="94" t="inlineStr">
        <is>
          <t>토너패드</t>
        </is>
      </c>
      <c r="J14999" s="94" t="inlineStr">
        <is>
          <t>334248</t>
        </is>
      </c>
    </row>
    <row r="15000">
      <c r="A15000" s="94" t="inlineStr">
        <is>
          <t>전환</t>
        </is>
      </c>
      <c r="B15000" s="94" t="inlineStr">
        <is>
          <t>2021-02-09</t>
        </is>
      </c>
      <c r="C15000" s="94" t="inlineStr">
        <is>
          <t>화</t>
        </is>
      </c>
      <c r="D15000" s="94" t="inlineStr">
        <is>
          <t>페이스북/인스타그램</t>
        </is>
      </c>
      <c r="E15000" s="94" t="inlineStr">
        <is>
          <t>토너</t>
        </is>
      </c>
      <c r="J15000" s="94" t="inlineStr">
        <is>
          <t>619926</t>
        </is>
      </c>
    </row>
    <row r="15001">
      <c r="A15001" s="94" t="inlineStr">
        <is>
          <t>아누아_쇼핑M</t>
        </is>
      </c>
      <c r="B15001" s="94" t="inlineStr">
        <is>
          <t>2021-02-09</t>
        </is>
      </c>
      <c r="C15001" s="94" t="inlineStr">
        <is>
          <t>화</t>
        </is>
      </c>
      <c r="D15001" s="94" t="inlineStr">
        <is>
          <t>네이버 쇼핑검색</t>
        </is>
      </c>
      <c r="J15001" s="94" t="n">
        <v>0</v>
      </c>
    </row>
    <row r="15002">
      <c r="A15002" s="94" t="inlineStr">
        <is>
          <t>아누아_쇼핑PC</t>
        </is>
      </c>
      <c r="B15002" s="94" t="inlineStr">
        <is>
          <t>2021-02-09</t>
        </is>
      </c>
      <c r="C15002" s="94" t="inlineStr">
        <is>
          <t>화</t>
        </is>
      </c>
      <c r="D15002" s="94" t="inlineStr">
        <is>
          <t>네이버 쇼핑검색</t>
        </is>
      </c>
      <c r="J15002" s="94" t="n">
        <v>0</v>
      </c>
    </row>
    <row r="15003">
      <c r="A15003" s="94" t="inlineStr">
        <is>
          <t>0209_스토리DP_맘타겟</t>
        </is>
      </c>
      <c r="B15003" s="94" t="inlineStr">
        <is>
          <t>2021-02-09</t>
        </is>
      </c>
      <c r="C15003" s="94" t="inlineStr">
        <is>
          <t>화</t>
        </is>
      </c>
      <c r="D15003" s="94" t="n"/>
      <c r="E15003" s="94" t="n"/>
      <c r="J15003" s="94" t="n">
        <v>0</v>
      </c>
    </row>
    <row r="15004">
      <c r="A15004" s="94" t="inlineStr">
        <is>
          <t>도달_올리브영소재</t>
        </is>
      </c>
      <c r="B15004" s="94" t="inlineStr">
        <is>
          <t>2021-02-09</t>
        </is>
      </c>
      <c r="C15004" s="94" t="inlineStr">
        <is>
          <t>화</t>
        </is>
      </c>
      <c r="D15004" s="94" t="inlineStr">
        <is>
          <t>카카오모먼트(리타게팅)</t>
        </is>
      </c>
      <c r="E15004" s="94" t="inlineStr">
        <is>
          <t>토너</t>
        </is>
      </c>
      <c r="J15004" s="94" t="n">
        <v>91069.99999999999</v>
      </c>
    </row>
    <row r="15005">
      <c r="A15005" s="94" t="inlineStr">
        <is>
          <t>아누아_비즈보드_리타게팅</t>
        </is>
      </c>
      <c r="B15005" s="94" t="inlineStr">
        <is>
          <t>2021-02-09</t>
        </is>
      </c>
      <c r="C15005" s="94" t="inlineStr">
        <is>
          <t>화</t>
        </is>
      </c>
      <c r="D15005" s="94" t="inlineStr">
        <is>
          <t>카카오모먼트(리타게팅)</t>
        </is>
      </c>
      <c r="E15005" s="94" t="inlineStr">
        <is>
          <t>토너</t>
        </is>
      </c>
      <c r="J15005" s="94" t="n">
        <v>2970</v>
      </c>
    </row>
    <row r="15006">
      <c r="A15006" s="94" t="inlineStr">
        <is>
          <t>아누아_올영입점이벤트_플친발송_210201</t>
        </is>
      </c>
      <c r="B15006" s="94" t="inlineStr">
        <is>
          <t>2021-02-09</t>
        </is>
      </c>
      <c r="C15006" s="94" t="inlineStr">
        <is>
          <t>화</t>
        </is>
      </c>
      <c r="D15006" s="94" t="inlineStr">
        <is>
          <t>카카오모먼트(리타게팅)</t>
        </is>
      </c>
      <c r="E15006" s="94" t="inlineStr">
        <is>
          <t>토너</t>
        </is>
      </c>
      <c r="J15006" s="94" t="n">
        <v>2460</v>
      </c>
    </row>
    <row r="15007">
      <c r="A15007" s="94" t="inlineStr">
        <is>
          <t>아누아_패드_지면테스트</t>
        </is>
      </c>
      <c r="B15007" s="94" t="inlineStr">
        <is>
          <t>2021-02-09</t>
        </is>
      </c>
      <c r="C15007" s="94" t="inlineStr">
        <is>
          <t>화</t>
        </is>
      </c>
      <c r="D15007" s="94" t="inlineStr">
        <is>
          <t>카카오모먼트(리타게팅)</t>
        </is>
      </c>
      <c r="E15007" s="94" t="inlineStr">
        <is>
          <t>패드</t>
        </is>
      </c>
      <c r="J15007" s="94" t="n">
        <v>78610</v>
      </c>
    </row>
    <row r="15008">
      <c r="A15008" s="94" t="inlineStr">
        <is>
          <t>토너_여성3150_1200x600</t>
        </is>
      </c>
      <c r="B15008" s="94" t="inlineStr">
        <is>
          <t>2021-02-09</t>
        </is>
      </c>
      <c r="C15008" s="94" t="inlineStr">
        <is>
          <t>화</t>
        </is>
      </c>
      <c r="D15008" s="94" t="n"/>
      <c r="E15008" s="94" t="n"/>
      <c r="J15008" s="94" t="n">
        <v>559060</v>
      </c>
    </row>
    <row r="15009">
      <c r="B15009" s="94" t="inlineStr">
        <is>
          <t>2021-02-07</t>
        </is>
      </c>
      <c r="C15009" s="94" t="inlineStr">
        <is>
          <t>일</t>
        </is>
      </c>
      <c r="E15009" s="94" t="inlineStr">
        <is>
          <t>0</t>
        </is>
      </c>
      <c r="F15009" s="94" t="inlineStr">
        <is>
          <t>스타일쉐어</t>
        </is>
      </c>
      <c r="G15009" s="94" t="inlineStr">
        <is>
          <t>아누아 어성초 77 토너 250ml1</t>
        </is>
      </c>
      <c r="H15009" s="94" t="n">
        <v>20000</v>
      </c>
      <c r="I15009" s="94" t="inlineStr">
        <is>
          <t>0</t>
        </is>
      </c>
      <c r="J15009" s="94" t="inlineStr">
        <is>
          <t>210201</t>
        </is>
      </c>
      <c r="L15009" s="94" t="n">
        <v>0</v>
      </c>
      <c r="M15009" s="94" t="n">
        <v>0</v>
      </c>
      <c r="N15009" s="94" t="n">
        <v>0</v>
      </c>
      <c r="O15009" s="94" t="n">
        <v>0</v>
      </c>
    </row>
    <row r="15010">
      <c r="B15010" s="94" t="inlineStr">
        <is>
          <t>2021-02-07</t>
        </is>
      </c>
      <c r="C15010" s="94" t="inlineStr">
        <is>
          <t>일</t>
        </is>
      </c>
      <c r="E15010" s="94" t="inlineStr">
        <is>
          <t>0</t>
        </is>
      </c>
      <c r="F15010" s="94" t="inlineStr">
        <is>
          <t>카페24</t>
        </is>
      </c>
      <c r="G15010" s="94" t="inlineStr">
        <is>
          <t>5 제로 무기자차 선크림옵션=5제로 무기자차 선크림 1개-20% off</t>
        </is>
      </c>
      <c r="H15010" s="94" t="n">
        <v>1</v>
      </c>
      <c r="I15010" s="94" t="inlineStr">
        <is>
          <t>0</t>
        </is>
      </c>
      <c r="J15010" s="94" t="inlineStr">
        <is>
          <t>210201</t>
        </is>
      </c>
      <c r="L15010" s="94" t="n">
        <v>0</v>
      </c>
      <c r="M15010" s="94" t="n">
        <v>0</v>
      </c>
      <c r="N15010" s="94" t="n">
        <v>0</v>
      </c>
      <c r="O15010" s="94" t="n">
        <v>0</v>
      </c>
    </row>
    <row r="15011">
      <c r="B15011" s="94" t="inlineStr">
        <is>
          <t>2021-02-07</t>
        </is>
      </c>
      <c r="C15011" s="94" t="inlineStr">
        <is>
          <t>일</t>
        </is>
      </c>
      <c r="E15011" s="94" t="inlineStr">
        <is>
          <t>0</t>
        </is>
      </c>
      <c r="F15011" s="94" t="inlineStr">
        <is>
          <t>카페24</t>
        </is>
      </c>
      <c r="G15011" s="94" t="inlineStr">
        <is>
          <t>5 제로 무기자차 선크림옵션=5제로 무기자차 선크림 2개-30% off (무료배송)</t>
        </is>
      </c>
      <c r="H15011" s="94" t="n">
        <v>4</v>
      </c>
      <c r="I15011" s="94" t="inlineStr">
        <is>
          <t>0</t>
        </is>
      </c>
      <c r="J15011" s="94" t="inlineStr">
        <is>
          <t>210201</t>
        </is>
      </c>
      <c r="L15011" s="94" t="n">
        <v>0</v>
      </c>
      <c r="M15011" s="94" t="n">
        <v>0</v>
      </c>
      <c r="N15011" s="94" t="n">
        <v>0</v>
      </c>
      <c r="O15011" s="94" t="n">
        <v>0</v>
      </c>
    </row>
    <row r="15012">
      <c r="B15012" s="94" t="inlineStr">
        <is>
          <t>2021-02-07</t>
        </is>
      </c>
      <c r="C15012" s="94" t="inlineStr">
        <is>
          <t>일</t>
        </is>
      </c>
      <c r="E15012" s="94" t="inlineStr">
        <is>
          <t>0</t>
        </is>
      </c>
      <c r="F15012" s="94" t="inlineStr">
        <is>
          <t>카페24</t>
        </is>
      </c>
      <c r="G15012" s="94" t="inlineStr">
        <is>
          <t>[수분 보충 세트] 어성초 77 토너 + 어성초 70 로션옵션=어성초 77 토너 250ml + 어성초 70 로션 200ml -30%</t>
        </is>
      </c>
      <c r="H15012" s="94" t="n">
        <v>78</v>
      </c>
      <c r="I15012" s="94" t="inlineStr">
        <is>
          <t>0</t>
        </is>
      </c>
      <c r="J15012" s="94" t="inlineStr">
        <is>
          <t>210201</t>
        </is>
      </c>
      <c r="L15012" s="94" t="n">
        <v>0</v>
      </c>
      <c r="M15012" s="94" t="n">
        <v>0</v>
      </c>
      <c r="N15012" s="94" t="n">
        <v>0</v>
      </c>
      <c r="O15012" s="94" t="n">
        <v>0</v>
      </c>
    </row>
    <row r="15013">
      <c r="B15013" s="94" t="inlineStr">
        <is>
          <t>2021-02-07</t>
        </is>
      </c>
      <c r="C15013" s="94" t="inlineStr">
        <is>
          <t>일</t>
        </is>
      </c>
      <c r="E15013" s="94" t="inlineStr">
        <is>
          <t>0</t>
        </is>
      </c>
      <c r="F15013" s="94" t="inlineStr">
        <is>
          <t>카페24</t>
        </is>
      </c>
      <c r="G15013" s="94" t="inlineStr">
        <is>
          <t>[어성초 진정 패키지 세트] 대용량 토너 + 앰플 + 수딩 크림 + 마스크팩 10장2</t>
        </is>
      </c>
      <c r="H15013" s="94" t="n">
        <v>24750</v>
      </c>
      <c r="I15013" s="94" t="inlineStr">
        <is>
          <t>0</t>
        </is>
      </c>
      <c r="J15013" s="94" t="inlineStr">
        <is>
          <t>210201</t>
        </is>
      </c>
      <c r="L15013" s="94" t="n">
        <v>0</v>
      </c>
      <c r="M15013" s="94" t="n">
        <v>0</v>
      </c>
      <c r="N15013" s="94" t="n">
        <v>0</v>
      </c>
      <c r="O15013" s="94" t="n">
        <v>0</v>
      </c>
    </row>
    <row r="15014">
      <c r="B15014" s="94" t="inlineStr">
        <is>
          <t>2021-02-07</t>
        </is>
      </c>
      <c r="C15014" s="94" t="inlineStr">
        <is>
          <t>일</t>
        </is>
      </c>
      <c r="E15014" s="94" t="inlineStr">
        <is>
          <t>0</t>
        </is>
      </c>
      <c r="F15014" s="94" t="inlineStr">
        <is>
          <t>카페24</t>
        </is>
      </c>
      <c r="G15014" s="94" t="inlineStr">
        <is>
          <t>대용량 어성초 77 수딩 토너 500ml옵션=대용량 어성초 77 토너 1개 - 27% OFF</t>
        </is>
      </c>
      <c r="H15014" s="94" t="n">
        <v>21</v>
      </c>
      <c r="I15014" s="94" t="inlineStr">
        <is>
          <t>0</t>
        </is>
      </c>
      <c r="J15014" s="94" t="inlineStr">
        <is>
          <t>210201</t>
        </is>
      </c>
      <c r="L15014" s="94" t="n">
        <v>0</v>
      </c>
      <c r="M15014" s="94" t="n">
        <v>0</v>
      </c>
      <c r="N15014" s="94" t="n">
        <v>0</v>
      </c>
      <c r="O15014" s="94" t="n">
        <v>0</v>
      </c>
    </row>
    <row r="15015">
      <c r="B15015" s="94" t="inlineStr">
        <is>
          <t>2021-02-07</t>
        </is>
      </c>
      <c r="C15015" s="94" t="inlineStr">
        <is>
          <t>일</t>
        </is>
      </c>
      <c r="E15015" s="94" t="inlineStr">
        <is>
          <t>0</t>
        </is>
      </c>
      <c r="F15015" s="94" t="inlineStr">
        <is>
          <t>카페24</t>
        </is>
      </c>
      <c r="G15015" s="94" t="inlineStr">
        <is>
          <t>대용량 어성초 77 수딩 토너 500ml화장솜(선택)=촉촉 스킨팩 화장솜</t>
        </is>
      </c>
      <c r="H15015" s="94" t="n">
        <v>8</v>
      </c>
      <c r="I15015" s="94" t="inlineStr">
        <is>
          <t>0</t>
        </is>
      </c>
      <c r="J15015" s="94" t="inlineStr">
        <is>
          <t>210201</t>
        </is>
      </c>
      <c r="L15015" s="94" t="n">
        <v>0</v>
      </c>
      <c r="M15015" s="94" t="n">
        <v>0</v>
      </c>
      <c r="N15015" s="94" t="n">
        <v>0</v>
      </c>
      <c r="O15015" s="94" t="n">
        <v>0</v>
      </c>
    </row>
    <row r="15016">
      <c r="B15016" s="94" t="inlineStr">
        <is>
          <t>2021-02-07</t>
        </is>
      </c>
      <c r="C15016" s="94" t="inlineStr">
        <is>
          <t>일</t>
        </is>
      </c>
      <c r="E15016" s="94" t="inlineStr">
        <is>
          <t>0</t>
        </is>
      </c>
      <c r="F15016" s="94" t="inlineStr">
        <is>
          <t>카페24</t>
        </is>
      </c>
      <c r="G15016" s="94" t="inlineStr">
        <is>
          <t>어성초 70 데일리 릴리프 로션로션=어성초 70 데일리 릴리프 로션 1개 -20% off</t>
        </is>
      </c>
      <c r="H15016" s="94" t="n">
        <v>6</v>
      </c>
      <c r="I15016" s="94" t="inlineStr">
        <is>
          <t>0</t>
        </is>
      </c>
      <c r="J15016" s="94" t="inlineStr">
        <is>
          <t>210201</t>
        </is>
      </c>
      <c r="L15016" s="94" t="n">
        <v>0</v>
      </c>
      <c r="M15016" s="94" t="n">
        <v>0</v>
      </c>
      <c r="N15016" s="94" t="n">
        <v>0</v>
      </c>
      <c r="O15016" s="94" t="n">
        <v>0</v>
      </c>
    </row>
    <row r="15017">
      <c r="B15017" s="94" t="inlineStr">
        <is>
          <t>2021-02-07</t>
        </is>
      </c>
      <c r="C15017" s="94" t="inlineStr">
        <is>
          <t>일</t>
        </is>
      </c>
      <c r="E15017" s="94" t="inlineStr">
        <is>
          <t>0</t>
        </is>
      </c>
      <c r="F15017" s="94" t="inlineStr">
        <is>
          <t>카페24</t>
        </is>
      </c>
      <c r="G15017" s="94" t="inlineStr">
        <is>
          <t>어성초 70 데일리 릴리프 로션로션=어성초 70 데일리 릴리프 로션 2개 -30% off</t>
        </is>
      </c>
      <c r="H15017" s="94" t="n">
        <v>6</v>
      </c>
      <c r="I15017" s="94" t="inlineStr">
        <is>
          <t>0</t>
        </is>
      </c>
      <c r="J15017" s="94" t="inlineStr">
        <is>
          <t>210201</t>
        </is>
      </c>
      <c r="L15017" s="94" t="n">
        <v>0</v>
      </c>
      <c r="M15017" s="94" t="n">
        <v>0</v>
      </c>
      <c r="N15017" s="94" t="n">
        <v>0</v>
      </c>
      <c r="O15017" s="94" t="n">
        <v>0</v>
      </c>
    </row>
    <row r="15018">
      <c r="B15018" s="94" t="inlineStr">
        <is>
          <t>2021-02-07</t>
        </is>
      </c>
      <c r="C15018" s="94" t="inlineStr">
        <is>
          <t>일</t>
        </is>
      </c>
      <c r="E15018" s="94" t="inlineStr">
        <is>
          <t>0</t>
        </is>
      </c>
      <c r="F15018" s="94" t="inlineStr">
        <is>
          <t>카페24</t>
        </is>
      </c>
      <c r="G15018" s="94" t="inlineStr">
        <is>
          <t>어성초 70 데일리 릴리프 로션로션=어성초 77토너 + 어성초 70 로션 수분 보충 세트 -30% off</t>
        </is>
      </c>
      <c r="H15018" s="94" t="n">
        <v>2</v>
      </c>
      <c r="I15018" s="94" t="inlineStr">
        <is>
          <t>0</t>
        </is>
      </c>
      <c r="J15018" s="94" t="inlineStr">
        <is>
          <t>210201</t>
        </is>
      </c>
      <c r="L15018" s="94" t="n">
        <v>0</v>
      </c>
      <c r="M15018" s="94" t="n">
        <v>0</v>
      </c>
      <c r="N15018" s="94" t="n">
        <v>0</v>
      </c>
      <c r="O15018" s="94" t="n">
        <v>0</v>
      </c>
    </row>
    <row r="15019">
      <c r="B15019" s="94" t="inlineStr">
        <is>
          <t>2021-02-07</t>
        </is>
      </c>
      <c r="C15019" s="94" t="inlineStr">
        <is>
          <t>일</t>
        </is>
      </c>
      <c r="E15019" s="94" t="inlineStr">
        <is>
          <t>0</t>
        </is>
      </c>
      <c r="F15019" s="94" t="inlineStr">
        <is>
          <t>카페24</t>
        </is>
      </c>
      <c r="G15019" s="94" t="inlineStr">
        <is>
          <t>어성초 70 머드 크림 마스크옵션=어성초 70 머드 크림 마스크-20% off</t>
        </is>
      </c>
      <c r="H15019" s="94" t="n">
        <v>5</v>
      </c>
      <c r="I15019" s="94" t="inlineStr">
        <is>
          <t>0</t>
        </is>
      </c>
      <c r="J15019" s="94" t="inlineStr">
        <is>
          <t>210201</t>
        </is>
      </c>
      <c r="L15019" s="94" t="n">
        <v>0</v>
      </c>
      <c r="M15019" s="94" t="n">
        <v>0</v>
      </c>
      <c r="N15019" s="94" t="n">
        <v>0</v>
      </c>
      <c r="O15019" s="94" t="n">
        <v>0</v>
      </c>
    </row>
    <row r="15020">
      <c r="B15020" s="94" t="inlineStr">
        <is>
          <t>2021-02-07</t>
        </is>
      </c>
      <c r="C15020" s="94" t="inlineStr">
        <is>
          <t>일</t>
        </is>
      </c>
      <c r="E15020" s="94" t="inlineStr">
        <is>
          <t>0</t>
        </is>
      </c>
      <c r="F15020" s="94" t="inlineStr">
        <is>
          <t>카페24</t>
        </is>
      </c>
      <c r="G15020" s="94" t="inlineStr">
        <is>
          <t>어성초 70 머드 크림 마스크옵션=어성초 70 머드 크림 마스크 2개-30% off (무료배송)</t>
        </is>
      </c>
      <c r="H15020" s="94" t="n">
        <v>14</v>
      </c>
      <c r="I15020" s="94" t="inlineStr">
        <is>
          <t>0</t>
        </is>
      </c>
      <c r="J15020" s="94" t="inlineStr">
        <is>
          <t>210201</t>
        </is>
      </c>
      <c r="L15020" s="94" t="n">
        <v>0</v>
      </c>
      <c r="M15020" s="94" t="n">
        <v>0</v>
      </c>
      <c r="N15020" s="94" t="n">
        <v>0</v>
      </c>
      <c r="O15020" s="94" t="n">
        <v>0</v>
      </c>
    </row>
    <row r="15021">
      <c r="B15021" s="94" t="inlineStr">
        <is>
          <t>2021-02-07</t>
        </is>
      </c>
      <c r="C15021" s="94" t="inlineStr">
        <is>
          <t>일</t>
        </is>
      </c>
      <c r="E15021" s="94" t="inlineStr">
        <is>
          <t>0</t>
        </is>
      </c>
      <c r="F15021" s="94" t="inlineStr">
        <is>
          <t>카페24</t>
        </is>
      </c>
      <c r="G15021" s="94" t="inlineStr">
        <is>
          <t>어성초 70 인텐스 카밍 크림크림=어성초 70 인텐스 카밍 크림 1개 (-20%)</t>
        </is>
      </c>
      <c r="H15021" s="94" t="n">
        <v>1</v>
      </c>
      <c r="I15021" s="94" t="inlineStr">
        <is>
          <t>0</t>
        </is>
      </c>
      <c r="J15021" s="94" t="inlineStr">
        <is>
          <t>210201</t>
        </is>
      </c>
      <c r="L15021" s="94" t="n">
        <v>0</v>
      </c>
      <c r="M15021" s="94" t="n">
        <v>0</v>
      </c>
      <c r="N15021" s="94" t="n">
        <v>0</v>
      </c>
      <c r="O15021" s="94" t="n">
        <v>0</v>
      </c>
    </row>
    <row r="15022">
      <c r="B15022" s="94" t="inlineStr">
        <is>
          <t>2021-02-07</t>
        </is>
      </c>
      <c r="C15022" s="94" t="inlineStr">
        <is>
          <t>일</t>
        </is>
      </c>
      <c r="E15022" s="94" t="inlineStr">
        <is>
          <t>0</t>
        </is>
      </c>
      <c r="F15022" s="94" t="inlineStr">
        <is>
          <t>카페24</t>
        </is>
      </c>
      <c r="G15022" s="94" t="inlineStr">
        <is>
          <t>어성초 70 인텐스 카밍 크림크림=어성초 70 인텐스 카밍 크림 2개 (-30%)</t>
        </is>
      </c>
      <c r="H15022" s="94" t="n">
        <v>2</v>
      </c>
      <c r="I15022" s="94" t="inlineStr">
        <is>
          <t>0</t>
        </is>
      </c>
      <c r="J15022" s="94" t="inlineStr">
        <is>
          <t>210201</t>
        </is>
      </c>
      <c r="L15022" s="94" t="n">
        <v>0</v>
      </c>
      <c r="M15022" s="94" t="n">
        <v>0</v>
      </c>
      <c r="N15022" s="94" t="n">
        <v>0</v>
      </c>
      <c r="O15022" s="94" t="n">
        <v>0</v>
      </c>
    </row>
    <row r="15023">
      <c r="B15023" s="94" t="inlineStr">
        <is>
          <t>2021-02-07</t>
        </is>
      </c>
      <c r="C15023" s="94" t="inlineStr">
        <is>
          <t>일</t>
        </is>
      </c>
      <c r="E15023" s="94" t="inlineStr">
        <is>
          <t>0</t>
        </is>
      </c>
      <c r="F15023" s="94" t="inlineStr">
        <is>
          <t>카페24</t>
        </is>
      </c>
      <c r="G15023" s="94" t="inlineStr">
        <is>
          <t>어성초 77 진정 마스크옵션=어성초 77 진정 마스크팩 1장</t>
        </is>
      </c>
      <c r="H15023" s="94" t="n">
        <v>2</v>
      </c>
      <c r="I15023" s="94" t="inlineStr">
        <is>
          <t>0</t>
        </is>
      </c>
      <c r="J15023" s="94" t="inlineStr">
        <is>
          <t>210201</t>
        </is>
      </c>
      <c r="L15023" s="94" t="n">
        <v>0</v>
      </c>
      <c r="M15023" s="94" t="n">
        <v>0</v>
      </c>
      <c r="N15023" s="94" t="n">
        <v>0</v>
      </c>
      <c r="O15023" s="94" t="n">
        <v>0</v>
      </c>
    </row>
    <row r="15024">
      <c r="B15024" s="94" t="inlineStr">
        <is>
          <t>2021-02-07</t>
        </is>
      </c>
      <c r="C15024" s="94" t="inlineStr">
        <is>
          <t>일</t>
        </is>
      </c>
      <c r="E15024" s="94" t="inlineStr">
        <is>
          <t>0</t>
        </is>
      </c>
      <c r="F15024" s="94" t="inlineStr">
        <is>
          <t>카페24</t>
        </is>
      </c>
      <c r="G15024" s="94" t="inlineStr">
        <is>
          <t>어성초 77 진정 마스크옵션=어성초 77 진정 마스크팩 10장-50% off</t>
        </is>
      </c>
      <c r="H15024" s="94" t="n">
        <v>4</v>
      </c>
      <c r="I15024" s="94" t="inlineStr">
        <is>
          <t>0</t>
        </is>
      </c>
      <c r="J15024" s="94" t="inlineStr">
        <is>
          <t>210201</t>
        </is>
      </c>
      <c r="L15024" s="94" t="n">
        <v>0</v>
      </c>
      <c r="M15024" s="94" t="n">
        <v>0</v>
      </c>
      <c r="N15024" s="94" t="n">
        <v>0</v>
      </c>
      <c r="O15024" s="94" t="n">
        <v>0</v>
      </c>
    </row>
    <row r="15025">
      <c r="B15025" s="94" t="inlineStr">
        <is>
          <t>2021-02-07</t>
        </is>
      </c>
      <c r="C15025" s="94" t="inlineStr">
        <is>
          <t>일</t>
        </is>
      </c>
      <c r="E15025" s="94" t="inlineStr">
        <is>
          <t>0</t>
        </is>
      </c>
      <c r="F15025" s="94" t="inlineStr">
        <is>
          <t>카페24</t>
        </is>
      </c>
      <c r="G15025" s="94" t="inlineStr">
        <is>
          <t>어성초 77 진정 토너옵션=어성초 77 토너 1개-20% off</t>
        </is>
      </c>
      <c r="H15025" s="94" t="n">
        <v>21</v>
      </c>
      <c r="I15025" s="94" t="inlineStr">
        <is>
          <t>0</t>
        </is>
      </c>
      <c r="J15025" s="94" t="inlineStr">
        <is>
          <t>210201</t>
        </is>
      </c>
      <c r="L15025" s="94" t="n">
        <v>0</v>
      </c>
      <c r="M15025" s="94" t="n">
        <v>0</v>
      </c>
      <c r="N15025" s="94" t="n">
        <v>0</v>
      </c>
      <c r="O15025" s="94" t="n">
        <v>0</v>
      </c>
    </row>
    <row r="15026">
      <c r="B15026" s="94" t="inlineStr">
        <is>
          <t>2021-02-07</t>
        </is>
      </c>
      <c r="C15026" s="94" t="inlineStr">
        <is>
          <t>일</t>
        </is>
      </c>
      <c r="E15026" s="94" t="inlineStr">
        <is>
          <t>0</t>
        </is>
      </c>
      <c r="F15026" s="94" t="inlineStr">
        <is>
          <t>카페24</t>
        </is>
      </c>
      <c r="G15026" s="94" t="inlineStr">
        <is>
          <t>어성초 77 진정 토너옵션=BEST어성초 77 토너 2개-30% off (무료배송)</t>
        </is>
      </c>
      <c r="H15026" s="94" t="n">
        <v>86</v>
      </c>
      <c r="I15026" s="94" t="inlineStr">
        <is>
          <t>0</t>
        </is>
      </c>
      <c r="J15026" s="94" t="inlineStr">
        <is>
          <t>210201</t>
        </is>
      </c>
      <c r="L15026" s="94" t="n">
        <v>0</v>
      </c>
      <c r="M15026" s="94" t="n">
        <v>0</v>
      </c>
      <c r="N15026" s="94" t="n">
        <v>0</v>
      </c>
      <c r="O15026" s="94" t="n">
        <v>0</v>
      </c>
    </row>
    <row r="15027">
      <c r="B15027" s="94" t="inlineStr">
        <is>
          <t>2021-02-07</t>
        </is>
      </c>
      <c r="C15027" s="94" t="inlineStr">
        <is>
          <t>일</t>
        </is>
      </c>
      <c r="E15027" s="94" t="inlineStr">
        <is>
          <t>0</t>
        </is>
      </c>
      <c r="F15027" s="94" t="inlineStr">
        <is>
          <t>카페24</t>
        </is>
      </c>
      <c r="G15027" s="94" t="inlineStr">
        <is>
          <t>어성초 77 진정 토너옵션=어성초 77토너1개 + 어성초77패드1개 -30% off (무료배송)</t>
        </is>
      </c>
      <c r="H15027" s="94" t="n">
        <v>48</v>
      </c>
      <c r="I15027" s="94" t="inlineStr">
        <is>
          <t>0</t>
        </is>
      </c>
      <c r="J15027" s="94" t="inlineStr">
        <is>
          <t>210201</t>
        </is>
      </c>
      <c r="L15027" s="94" t="n">
        <v>0</v>
      </c>
      <c r="M15027" s="94" t="n">
        <v>0</v>
      </c>
      <c r="N15027" s="94" t="n">
        <v>0</v>
      </c>
      <c r="O15027" s="94" t="n">
        <v>0</v>
      </c>
    </row>
    <row r="15028">
      <c r="B15028" s="94" t="inlineStr">
        <is>
          <t>2021-02-07</t>
        </is>
      </c>
      <c r="C15028" s="94" t="inlineStr">
        <is>
          <t>일</t>
        </is>
      </c>
      <c r="E15028" s="94" t="inlineStr">
        <is>
          <t>0</t>
        </is>
      </c>
      <c r="F15028" s="94" t="inlineStr">
        <is>
          <t>카페24</t>
        </is>
      </c>
      <c r="G15028" s="94" t="inlineStr">
        <is>
          <t>어성초 77 진정 토너화장솜(선택)=촉촉 스킨팩 화장솜</t>
        </is>
      </c>
      <c r="H15028" s="94" t="n">
        <v>23</v>
      </c>
      <c r="I15028" s="94" t="inlineStr">
        <is>
          <t>0</t>
        </is>
      </c>
      <c r="J15028" s="94" t="inlineStr">
        <is>
          <t>210201</t>
        </is>
      </c>
      <c r="L15028" s="94" t="n">
        <v>0</v>
      </c>
      <c r="M15028" s="94" t="n">
        <v>0</v>
      </c>
      <c r="N15028" s="94" t="n">
        <v>0</v>
      </c>
      <c r="O15028" s="94" t="n">
        <v>0</v>
      </c>
    </row>
    <row r="15029">
      <c r="B15029" s="94" t="inlineStr">
        <is>
          <t>2021-02-07</t>
        </is>
      </c>
      <c r="C15029" s="94" t="inlineStr">
        <is>
          <t>일</t>
        </is>
      </c>
      <c r="E15029" s="94" t="inlineStr">
        <is>
          <t>0</t>
        </is>
      </c>
      <c r="F15029" s="94" t="inlineStr">
        <is>
          <t>카페24</t>
        </is>
      </c>
      <c r="G15029" s="94" t="inlineStr">
        <is>
          <t>어성초 77 클리어 패드옵션=어성초 77 클리어 패드 1개-20% off</t>
        </is>
      </c>
      <c r="H15029" s="94" t="n">
        <v>25</v>
      </c>
      <c r="I15029" s="94" t="inlineStr">
        <is>
          <t>0</t>
        </is>
      </c>
      <c r="J15029" s="94" t="inlineStr">
        <is>
          <t>210201</t>
        </is>
      </c>
      <c r="L15029" s="94" t="n">
        <v>0</v>
      </c>
      <c r="M15029" s="94" t="n">
        <v>0</v>
      </c>
      <c r="N15029" s="94" t="n">
        <v>0</v>
      </c>
      <c r="O15029" s="94" t="n">
        <v>0</v>
      </c>
    </row>
    <row r="15030">
      <c r="B15030" s="94" t="inlineStr">
        <is>
          <t>2021-02-07</t>
        </is>
      </c>
      <c r="C15030" s="94" t="inlineStr">
        <is>
          <t>일</t>
        </is>
      </c>
      <c r="E15030" s="94" t="inlineStr">
        <is>
          <t>0</t>
        </is>
      </c>
      <c r="F15030" s="94" t="inlineStr">
        <is>
          <t>카페24</t>
        </is>
      </c>
      <c r="G15030" s="94" t="inlineStr">
        <is>
          <t>어성초 77 클리어 패드옵션=어성초 77 클리어 패드 2개-30% off (무료배송)</t>
        </is>
      </c>
      <c r="H15030" s="94" t="n">
        <v>46</v>
      </c>
      <c r="I15030" s="94" t="inlineStr">
        <is>
          <t>0</t>
        </is>
      </c>
      <c r="J15030" s="94" t="inlineStr">
        <is>
          <t>210201</t>
        </is>
      </c>
      <c r="L15030" s="94" t="n">
        <v>0</v>
      </c>
      <c r="M15030" s="94" t="n">
        <v>0</v>
      </c>
      <c r="N15030" s="94" t="n">
        <v>0</v>
      </c>
      <c r="O15030" s="94" t="n">
        <v>0</v>
      </c>
    </row>
    <row r="15031">
      <c r="B15031" s="94" t="inlineStr">
        <is>
          <t>2021-02-07</t>
        </is>
      </c>
      <c r="C15031" s="94" t="inlineStr">
        <is>
          <t>일</t>
        </is>
      </c>
      <c r="E15031" s="94" t="inlineStr">
        <is>
          <t>0</t>
        </is>
      </c>
      <c r="F15031" s="94" t="inlineStr">
        <is>
          <t>카페24</t>
        </is>
      </c>
      <c r="G15031" s="94" t="inlineStr">
        <is>
          <t>어성초 77 클리어 패드옵션=어성초 77 클리어 패드 2+1 EVENT (무료배송)</t>
        </is>
      </c>
      <c r="H15031" s="94" t="n">
        <v>75</v>
      </c>
      <c r="I15031" s="94" t="inlineStr">
        <is>
          <t>0</t>
        </is>
      </c>
      <c r="J15031" s="94" t="inlineStr">
        <is>
          <t>210201</t>
        </is>
      </c>
      <c r="L15031" s="94" t="n">
        <v>0</v>
      </c>
      <c r="M15031" s="94" t="n">
        <v>0</v>
      </c>
      <c r="N15031" s="94" t="n">
        <v>0</v>
      </c>
      <c r="O15031" s="94" t="n">
        <v>0</v>
      </c>
    </row>
    <row r="15032">
      <c r="B15032" s="94" t="inlineStr">
        <is>
          <t>2021-02-07</t>
        </is>
      </c>
      <c r="C15032" s="94" t="inlineStr">
        <is>
          <t>일</t>
        </is>
      </c>
      <c r="E15032" s="94" t="inlineStr">
        <is>
          <t>0</t>
        </is>
      </c>
      <c r="F15032" s="94" t="inlineStr">
        <is>
          <t>카페24</t>
        </is>
      </c>
      <c r="G15032" s="94" t="inlineStr">
        <is>
          <t>어성초 77 클리어 패드옵션=어성초77토너1개+어성초77패드1개-30% off (무료배송)</t>
        </is>
      </c>
      <c r="H15032" s="94" t="n">
        <v>22</v>
      </c>
      <c r="I15032" s="94" t="inlineStr">
        <is>
          <t>0</t>
        </is>
      </c>
      <c r="J15032" s="94" t="inlineStr">
        <is>
          <t>210201</t>
        </is>
      </c>
      <c r="L15032" s="94" t="n">
        <v>0</v>
      </c>
      <c r="M15032" s="94" t="n">
        <v>0</v>
      </c>
      <c r="N15032" s="94" t="n">
        <v>0</v>
      </c>
      <c r="O15032" s="94" t="n">
        <v>0</v>
      </c>
    </row>
    <row r="15033">
      <c r="B15033" s="94" t="inlineStr">
        <is>
          <t>2021-02-07</t>
        </is>
      </c>
      <c r="C15033" s="94" t="inlineStr">
        <is>
          <t>일</t>
        </is>
      </c>
      <c r="E15033" s="94" t="inlineStr">
        <is>
          <t>0</t>
        </is>
      </c>
      <c r="F15033" s="94" t="inlineStr">
        <is>
          <t>카페24</t>
        </is>
      </c>
      <c r="G15033" s="94" t="inlineStr">
        <is>
          <t>어성초 77 토너2</t>
        </is>
      </c>
      <c r="H15033" s="94" t="n">
        <v>21500</v>
      </c>
      <c r="I15033" s="94" t="inlineStr">
        <is>
          <t>0</t>
        </is>
      </c>
      <c r="J15033" s="94" t="inlineStr">
        <is>
          <t>210201</t>
        </is>
      </c>
      <c r="L15033" s="94" t="n">
        <v>0</v>
      </c>
      <c r="M15033" s="94" t="n">
        <v>0</v>
      </c>
      <c r="N15033" s="94" t="n">
        <v>0</v>
      </c>
      <c r="O15033" s="94" t="n">
        <v>0</v>
      </c>
    </row>
    <row r="15034">
      <c r="B15034" s="94" t="inlineStr">
        <is>
          <t>2021-02-07</t>
        </is>
      </c>
      <c r="C15034" s="94" t="inlineStr">
        <is>
          <t>일</t>
        </is>
      </c>
      <c r="E15034" s="94" t="inlineStr">
        <is>
          <t>0</t>
        </is>
      </c>
      <c r="F15034" s="94" t="inlineStr">
        <is>
          <t>카페24</t>
        </is>
      </c>
      <c r="G15034" s="94" t="inlineStr">
        <is>
          <t>어성초 77% 패드옵션=어성초 77 클리어 패드 1개-20% off</t>
        </is>
      </c>
      <c r="H15034" s="94" t="n">
        <v>16</v>
      </c>
      <c r="I15034" s="94" t="inlineStr">
        <is>
          <t>0</t>
        </is>
      </c>
      <c r="J15034" s="94" t="inlineStr">
        <is>
          <t>210201</t>
        </is>
      </c>
      <c r="L15034" s="94" t="n">
        <v>0</v>
      </c>
      <c r="M15034" s="94" t="n">
        <v>0</v>
      </c>
      <c r="N15034" s="94" t="n">
        <v>0</v>
      </c>
      <c r="O15034" s="94" t="n">
        <v>0</v>
      </c>
    </row>
    <row r="15035">
      <c r="B15035" s="94" t="inlineStr">
        <is>
          <t>2021-02-07</t>
        </is>
      </c>
      <c r="C15035" s="94" t="inlineStr">
        <is>
          <t>일</t>
        </is>
      </c>
      <c r="E15035" s="94" t="inlineStr">
        <is>
          <t>0</t>
        </is>
      </c>
      <c r="F15035" s="94" t="inlineStr">
        <is>
          <t>카페24</t>
        </is>
      </c>
      <c r="G15035" s="94" t="inlineStr">
        <is>
          <t>어성초 77% 패드옵션=어성초 77 클리어 패드 2개-30% off (무료배송)</t>
        </is>
      </c>
      <c r="H15035" s="94" t="n">
        <v>50</v>
      </c>
      <c r="I15035" s="94" t="inlineStr">
        <is>
          <t>0</t>
        </is>
      </c>
      <c r="J15035" s="94" t="inlineStr">
        <is>
          <t>210201</t>
        </is>
      </c>
      <c r="L15035" s="94" t="n">
        <v>0</v>
      </c>
      <c r="M15035" s="94" t="n">
        <v>0</v>
      </c>
      <c r="N15035" s="94" t="n">
        <v>0</v>
      </c>
      <c r="O15035" s="94" t="n">
        <v>0</v>
      </c>
    </row>
    <row r="15036">
      <c r="B15036" s="94" t="inlineStr">
        <is>
          <t>2021-02-07</t>
        </is>
      </c>
      <c r="C15036" s="94" t="inlineStr">
        <is>
          <t>일</t>
        </is>
      </c>
      <c r="E15036" s="94" t="inlineStr">
        <is>
          <t>0</t>
        </is>
      </c>
      <c r="F15036" s="94" t="inlineStr">
        <is>
          <t>카페24</t>
        </is>
      </c>
      <c r="G15036" s="94" t="inlineStr">
        <is>
          <t>어성초 77% 패드옵션=어성초 77 클리어 패드 2+1 EVENT (무료배송)</t>
        </is>
      </c>
      <c r="H15036" s="94" t="n">
        <v>54</v>
      </c>
      <c r="I15036" s="94" t="inlineStr">
        <is>
          <t>0</t>
        </is>
      </c>
      <c r="J15036" s="94" t="inlineStr">
        <is>
          <t>210201</t>
        </is>
      </c>
      <c r="L15036" s="94" t="n">
        <v>0</v>
      </c>
      <c r="M15036" s="94" t="n">
        <v>0</v>
      </c>
      <c r="N15036" s="94" t="n">
        <v>0</v>
      </c>
      <c r="O15036" s="94" t="n">
        <v>0</v>
      </c>
    </row>
    <row r="15037">
      <c r="B15037" s="94" t="inlineStr">
        <is>
          <t>2021-02-07</t>
        </is>
      </c>
      <c r="C15037" s="94" t="inlineStr">
        <is>
          <t>일</t>
        </is>
      </c>
      <c r="E15037" s="94" t="inlineStr">
        <is>
          <t>0</t>
        </is>
      </c>
      <c r="F15037" s="94" t="inlineStr">
        <is>
          <t>카페24</t>
        </is>
      </c>
      <c r="G15037" s="94" t="inlineStr">
        <is>
          <t>어성초 77% 패드옵션=어성초77토너1개+어성초77패드1개-30% off (무료배송)</t>
        </is>
      </c>
      <c r="H15037" s="94" t="n">
        <v>18</v>
      </c>
      <c r="I15037" s="94" t="inlineStr">
        <is>
          <t>0</t>
        </is>
      </c>
      <c r="J15037" s="94" t="inlineStr">
        <is>
          <t>210201</t>
        </is>
      </c>
      <c r="L15037" s="94" t="n">
        <v>0</v>
      </c>
      <c r="M15037" s="94" t="n">
        <v>0</v>
      </c>
      <c r="N15037" s="94" t="n">
        <v>0</v>
      </c>
      <c r="O15037" s="94" t="n">
        <v>0</v>
      </c>
    </row>
    <row r="15038">
      <c r="B15038" s="94" t="inlineStr">
        <is>
          <t>2021-02-07</t>
        </is>
      </c>
      <c r="C15038" s="94" t="inlineStr">
        <is>
          <t>일</t>
        </is>
      </c>
      <c r="E15038" s="94" t="inlineStr">
        <is>
          <t>0</t>
        </is>
      </c>
      <c r="F15038" s="94" t="inlineStr">
        <is>
          <t>카페24</t>
        </is>
      </c>
      <c r="G15038" s="94" t="inlineStr">
        <is>
          <t>어성초 78 수딩 크림4</t>
        </is>
      </c>
      <c r="H15038" s="94" t="n">
        <v>38000</v>
      </c>
      <c r="I15038" s="94" t="inlineStr">
        <is>
          <t>0</t>
        </is>
      </c>
      <c r="J15038" s="94" t="inlineStr">
        <is>
          <t>210201</t>
        </is>
      </c>
      <c r="L15038" s="94" t="n">
        <v>0</v>
      </c>
      <c r="M15038" s="94" t="n">
        <v>0</v>
      </c>
      <c r="N15038" s="94" t="n">
        <v>0</v>
      </c>
      <c r="O15038" s="94" t="n">
        <v>0</v>
      </c>
    </row>
    <row r="15039">
      <c r="B15039" s="94" t="inlineStr">
        <is>
          <t>2021-02-07</t>
        </is>
      </c>
      <c r="C15039" s="94" t="inlineStr">
        <is>
          <t>일</t>
        </is>
      </c>
      <c r="E15039" s="94" t="inlineStr">
        <is>
          <t>0</t>
        </is>
      </c>
      <c r="F15039" s="94" t="inlineStr">
        <is>
          <t>카페24</t>
        </is>
      </c>
      <c r="G15039" s="94" t="inlineStr">
        <is>
          <t>어성초 78 수딩 크림4</t>
        </is>
      </c>
      <c r="H15039" s="94" t="n">
        <v>38000</v>
      </c>
      <c r="I15039" s="94" t="inlineStr">
        <is>
          <t>0</t>
        </is>
      </c>
      <c r="J15039" s="94" t="inlineStr">
        <is>
          <t>210201</t>
        </is>
      </c>
      <c r="L15039" s="94" t="n">
        <v>0</v>
      </c>
      <c r="M15039" s="94" t="n">
        <v>0</v>
      </c>
      <c r="N15039" s="94" t="n">
        <v>0</v>
      </c>
      <c r="O15039" s="94" t="n">
        <v>0</v>
      </c>
    </row>
    <row r="15040">
      <c r="B15040" s="94" t="inlineStr">
        <is>
          <t>2021-02-07</t>
        </is>
      </c>
      <c r="C15040" s="94" t="inlineStr">
        <is>
          <t>일</t>
        </is>
      </c>
      <c r="E15040" s="94" t="inlineStr">
        <is>
          <t>0</t>
        </is>
      </c>
      <c r="F15040" s="94" t="inlineStr">
        <is>
          <t>카페24</t>
        </is>
      </c>
      <c r="G15040" s="94" t="inlineStr">
        <is>
          <t>어성초 80 수분 진정 앰플앰플=어성초 80 앰플 1개-15%off</t>
        </is>
      </c>
      <c r="H15040" s="94" t="n">
        <v>16</v>
      </c>
      <c r="I15040" s="94" t="inlineStr">
        <is>
          <t>0</t>
        </is>
      </c>
      <c r="J15040" s="94" t="inlineStr">
        <is>
          <t>210201</t>
        </is>
      </c>
      <c r="L15040" s="94" t="n">
        <v>0</v>
      </c>
      <c r="M15040" s="94" t="n">
        <v>0</v>
      </c>
      <c r="N15040" s="94" t="n">
        <v>0</v>
      </c>
      <c r="O15040" s="94" t="n">
        <v>0</v>
      </c>
    </row>
    <row r="15041">
      <c r="B15041" s="94" t="inlineStr">
        <is>
          <t>2021-02-07</t>
        </is>
      </c>
      <c r="C15041" s="94" t="inlineStr">
        <is>
          <t>일</t>
        </is>
      </c>
      <c r="E15041" s="94" t="inlineStr">
        <is>
          <t>0</t>
        </is>
      </c>
      <c r="F15041" s="94" t="inlineStr">
        <is>
          <t>카페24</t>
        </is>
      </c>
      <c r="G15041" s="94" t="inlineStr">
        <is>
          <t>어성초 80 수분 진정 앰플앰플=어성초 80 앰플 2개-27%off (무료배송)</t>
        </is>
      </c>
      <c r="H15041" s="94" t="n">
        <v>16</v>
      </c>
      <c r="I15041" s="94" t="inlineStr">
        <is>
          <t>0</t>
        </is>
      </c>
      <c r="J15041" s="94" t="inlineStr">
        <is>
          <t>210201</t>
        </is>
      </c>
      <c r="L15041" s="94" t="n">
        <v>0</v>
      </c>
      <c r="M15041" s="94" t="n">
        <v>0</v>
      </c>
      <c r="N15041" s="94" t="n">
        <v>0</v>
      </c>
      <c r="O15041" s="94" t="n">
        <v>0</v>
      </c>
    </row>
    <row r="15042">
      <c r="B15042" s="94" t="inlineStr">
        <is>
          <t>2021-02-07</t>
        </is>
      </c>
      <c r="C15042" s="94" t="inlineStr">
        <is>
          <t>일</t>
        </is>
      </c>
      <c r="E15042" s="94" t="inlineStr">
        <is>
          <t>0</t>
        </is>
      </c>
      <c r="F15042" s="94" t="inlineStr">
        <is>
          <t>카페24</t>
        </is>
      </c>
      <c r="G15042" s="94" t="inlineStr">
        <is>
          <t>어성초 80 수분 진정 앰플6</t>
        </is>
      </c>
      <c r="H15042" s="94" t="n">
        <v>29000</v>
      </c>
      <c r="I15042" s="94" t="inlineStr">
        <is>
          <t>0</t>
        </is>
      </c>
      <c r="J15042" s="94" t="inlineStr">
        <is>
          <t>210201</t>
        </is>
      </c>
      <c r="L15042" s="94" t="n">
        <v>0</v>
      </c>
      <c r="M15042" s="94" t="n">
        <v>0</v>
      </c>
      <c r="N15042" s="94" t="n">
        <v>0</v>
      </c>
      <c r="O15042" s="94" t="n">
        <v>0</v>
      </c>
    </row>
    <row r="15043">
      <c r="B15043" s="94" t="inlineStr">
        <is>
          <t>2021-02-07</t>
        </is>
      </c>
      <c r="C15043" s="94" t="inlineStr">
        <is>
          <t>일</t>
        </is>
      </c>
      <c r="E15043" s="94" t="inlineStr">
        <is>
          <t>0</t>
        </is>
      </c>
      <c r="F15043" s="94" t="inlineStr">
        <is>
          <t>카페24</t>
        </is>
      </c>
      <c r="G15043" s="94" t="inlineStr">
        <is>
          <t>어성초 아크네 바디워시옵션=어성초 아크네 바디워시 1개 -30% off</t>
        </is>
      </c>
      <c r="H15043" s="94" t="n">
        <v>1</v>
      </c>
      <c r="I15043" s="94" t="inlineStr">
        <is>
          <t>0</t>
        </is>
      </c>
      <c r="J15043" s="94" t="inlineStr">
        <is>
          <t>210201</t>
        </is>
      </c>
      <c r="L15043" s="94" t="n">
        <v>0</v>
      </c>
      <c r="M15043" s="94" t="n">
        <v>0</v>
      </c>
      <c r="N15043" s="94" t="n">
        <v>0</v>
      </c>
      <c r="O15043" s="94" t="n">
        <v>0</v>
      </c>
    </row>
    <row r="15044">
      <c r="B15044" s="94" t="inlineStr">
        <is>
          <t>2021-02-07</t>
        </is>
      </c>
      <c r="C15044" s="94" t="inlineStr">
        <is>
          <t>일</t>
        </is>
      </c>
      <c r="E15044" s="94" t="inlineStr">
        <is>
          <t>0</t>
        </is>
      </c>
      <c r="F15044" s="94" t="inlineStr">
        <is>
          <t>카페24</t>
        </is>
      </c>
      <c r="G15044" s="94" t="inlineStr">
        <is>
          <t>어성초 아크네 바디워시옵션=어성초 아크네 바디워시 2개 -35% off (무료배송)</t>
        </is>
      </c>
      <c r="H15044" s="94" t="n">
        <v>2</v>
      </c>
      <c r="I15044" s="94" t="inlineStr">
        <is>
          <t>0</t>
        </is>
      </c>
      <c r="J15044" s="94" t="inlineStr">
        <is>
          <t>210201</t>
        </is>
      </c>
      <c r="L15044" s="94" t="n">
        <v>0</v>
      </c>
      <c r="M15044" s="94" t="n">
        <v>0</v>
      </c>
      <c r="N15044" s="94" t="n">
        <v>0</v>
      </c>
      <c r="O15044" s="94" t="n">
        <v>0</v>
      </c>
    </row>
    <row r="15045">
      <c r="B15045" s="94" t="inlineStr">
        <is>
          <t>2021-02-07</t>
        </is>
      </c>
      <c r="C15045" s="94" t="inlineStr">
        <is>
          <t>일</t>
        </is>
      </c>
      <c r="E15045" s="94" t="inlineStr">
        <is>
          <t>0</t>
        </is>
      </c>
      <c r="F15045" s="94" t="inlineStr">
        <is>
          <t>카페24</t>
        </is>
      </c>
      <c r="G15045" s="94" t="inlineStr">
        <is>
          <t>어성초 약산성 클렌징폼클렌징폼=어성초 약산성 클렌징폼 1개 -19%off</t>
        </is>
      </c>
      <c r="H15045" s="94" t="n">
        <v>10</v>
      </c>
      <c r="I15045" s="94" t="inlineStr">
        <is>
          <t>0</t>
        </is>
      </c>
      <c r="J15045" s="94" t="inlineStr">
        <is>
          <t>210201</t>
        </is>
      </c>
      <c r="L15045" s="94" t="n">
        <v>0</v>
      </c>
      <c r="M15045" s="94" t="n">
        <v>0</v>
      </c>
      <c r="N15045" s="94" t="n">
        <v>0</v>
      </c>
      <c r="O15045" s="94" t="n">
        <v>0</v>
      </c>
    </row>
    <row r="15046">
      <c r="B15046" s="94" t="inlineStr">
        <is>
          <t>2021-02-07</t>
        </is>
      </c>
      <c r="C15046" s="94" t="inlineStr">
        <is>
          <t>일</t>
        </is>
      </c>
      <c r="E15046" s="94" t="inlineStr">
        <is>
          <t>0</t>
        </is>
      </c>
      <c r="F15046" s="94" t="inlineStr">
        <is>
          <t>카페24</t>
        </is>
      </c>
      <c r="G15046" s="94" t="inlineStr">
        <is>
          <t>어성초 약산성 클렌징폼클렌징폼=어성초 약산성 클렌징폼 2개 -25%off</t>
        </is>
      </c>
      <c r="H15046" s="94" t="n">
        <v>4</v>
      </c>
      <c r="I15046" s="94" t="inlineStr">
        <is>
          <t>0</t>
        </is>
      </c>
      <c r="J15046" s="94" t="inlineStr">
        <is>
          <t>210201</t>
        </is>
      </c>
      <c r="L15046" s="94" t="n">
        <v>0</v>
      </c>
      <c r="M15046" s="94" t="n">
        <v>0</v>
      </c>
      <c r="N15046" s="94" t="n">
        <v>0</v>
      </c>
      <c r="O15046" s="94" t="n">
        <v>0</v>
      </c>
    </row>
    <row r="15047">
      <c r="B15047" s="94" t="inlineStr">
        <is>
          <t>2021-02-07</t>
        </is>
      </c>
      <c r="C15047" s="94" t="inlineStr">
        <is>
          <t>일</t>
        </is>
      </c>
      <c r="E15047" s="94" t="inlineStr">
        <is>
          <t>0</t>
        </is>
      </c>
      <c r="F15047" s="94" t="inlineStr">
        <is>
          <t>카페24</t>
        </is>
      </c>
      <c r="G15047" s="94" t="inlineStr">
        <is>
          <t>어성초 약산성 클렌징폼클렌징폼=어성초 약산성 클렌징폼 3개 -31%off (무료배송)</t>
        </is>
      </c>
      <c r="H15047" s="94" t="n">
        <v>9</v>
      </c>
      <c r="I15047" s="94" t="inlineStr">
        <is>
          <t>0</t>
        </is>
      </c>
      <c r="J15047" s="94" t="inlineStr">
        <is>
          <t>210201</t>
        </is>
      </c>
      <c r="L15047" s="94" t="n">
        <v>0</v>
      </c>
      <c r="M15047" s="94" t="n">
        <v>0</v>
      </c>
      <c r="N15047" s="94" t="n">
        <v>0</v>
      </c>
      <c r="O15047" s="94" t="n">
        <v>0</v>
      </c>
    </row>
    <row r="15048">
      <c r="B15048" s="94" t="inlineStr">
        <is>
          <t>2021-02-07</t>
        </is>
      </c>
      <c r="C15048" s="94" t="inlineStr">
        <is>
          <t>일</t>
        </is>
      </c>
      <c r="E15048" s="94" t="inlineStr">
        <is>
          <t>0</t>
        </is>
      </c>
      <c r="F15048" s="94" t="inlineStr">
        <is>
          <t>카페24</t>
        </is>
      </c>
      <c r="G15048" s="94" t="inlineStr">
        <is>
          <t>어성초 크림마스크 나이트 솔루션옵션=어성초 크림마스크 나이트 솔루션 1장</t>
        </is>
      </c>
      <c r="H15048" s="94" t="n">
        <v>1</v>
      </c>
      <c r="I15048" s="94" t="inlineStr">
        <is>
          <t>0</t>
        </is>
      </c>
      <c r="J15048" s="94" t="inlineStr">
        <is>
          <t>210201</t>
        </is>
      </c>
      <c r="L15048" s="94" t="n">
        <v>0</v>
      </c>
      <c r="M15048" s="94" t="n">
        <v>0</v>
      </c>
      <c r="N15048" s="94" t="n">
        <v>0</v>
      </c>
      <c r="O15048" s="94" t="n">
        <v>0</v>
      </c>
    </row>
    <row r="15049">
      <c r="B15049" s="94" t="inlineStr">
        <is>
          <t>2021-02-07</t>
        </is>
      </c>
      <c r="C15049" s="94" t="inlineStr">
        <is>
          <t>일</t>
        </is>
      </c>
      <c r="E15049" s="94" t="inlineStr">
        <is>
          <t>0</t>
        </is>
      </c>
      <c r="F15049" s="94" t="inlineStr">
        <is>
          <t>카페24</t>
        </is>
      </c>
      <c r="G15049" s="94" t="inlineStr">
        <is>
          <t>어성초 크림마스크 나이트 솔루션옵션=어성초 크림마스크 나이트 솔루션 10장 (-50%)</t>
        </is>
      </c>
      <c r="H15049" s="94" t="n">
        <v>4</v>
      </c>
      <c r="I15049" s="94" t="inlineStr">
        <is>
          <t>0</t>
        </is>
      </c>
      <c r="J15049" s="94" t="inlineStr">
        <is>
          <t>210201</t>
        </is>
      </c>
      <c r="L15049" s="94" t="n">
        <v>0</v>
      </c>
      <c r="M15049" s="94" t="n">
        <v>0</v>
      </c>
      <c r="N15049" s="94" t="n">
        <v>0</v>
      </c>
      <c r="O15049" s="94" t="n">
        <v>0</v>
      </c>
    </row>
    <row r="15050">
      <c r="B15050" s="94" t="inlineStr">
        <is>
          <t>2021-02-07</t>
        </is>
      </c>
      <c r="C15050" s="94" t="inlineStr">
        <is>
          <t>일</t>
        </is>
      </c>
      <c r="E15050" s="94" t="inlineStr">
        <is>
          <t>0</t>
        </is>
      </c>
      <c r="F15050" s="94" t="inlineStr">
        <is>
          <t>카페24</t>
        </is>
      </c>
      <c r="G15050" s="94" t="inlineStr">
        <is>
          <t>청귤 비타 잡티 마스크옵션=청귤 비타 잡티 마스크 10장 (50% off)</t>
        </is>
      </c>
      <c r="H15050" s="94" t="n">
        <v>1</v>
      </c>
      <c r="I15050" s="94" t="inlineStr">
        <is>
          <t>0</t>
        </is>
      </c>
      <c r="J15050" s="94" t="inlineStr">
        <is>
          <t>210201</t>
        </is>
      </c>
      <c r="L15050" s="94" t="n">
        <v>0</v>
      </c>
      <c r="M15050" s="94" t="n">
        <v>0</v>
      </c>
      <c r="N15050" s="94" t="n">
        <v>0</v>
      </c>
      <c r="O15050" s="94" t="n">
        <v>0</v>
      </c>
    </row>
    <row r="15051">
      <c r="B15051" s="94" t="inlineStr">
        <is>
          <t>2021-02-07</t>
        </is>
      </c>
      <c r="C15051" s="94" t="inlineStr">
        <is>
          <t>일</t>
        </is>
      </c>
      <c r="E15051" s="94" t="inlineStr">
        <is>
          <t>0</t>
        </is>
      </c>
      <c r="F15051" s="94" t="inlineStr">
        <is>
          <t>카페24</t>
        </is>
      </c>
      <c r="G15051" s="94" t="inlineStr">
        <is>
          <t>촉촉 스킨팩 화장솜19</t>
        </is>
      </c>
      <c r="H15051" s="94" t="n">
        <v>3000</v>
      </c>
      <c r="I15051" s="94" t="inlineStr">
        <is>
          <t>0</t>
        </is>
      </c>
      <c r="J15051" s="94" t="inlineStr">
        <is>
          <t>210201</t>
        </is>
      </c>
      <c r="L15051" s="94" t="n">
        <v>0</v>
      </c>
      <c r="M15051" s="94" t="n">
        <v>0</v>
      </c>
      <c r="N15051" s="94" t="n">
        <v>0</v>
      </c>
      <c r="O15051" s="94" t="n">
        <v>0</v>
      </c>
    </row>
    <row r="15052">
      <c r="A15052" s="94" t="inlineStr">
        <is>
          <t>올리브영 랜딩</t>
        </is>
      </c>
      <c r="B15052" s="94" t="inlineStr">
        <is>
          <t>2021-02-09</t>
        </is>
      </c>
      <c r="C15052" s="94" t="inlineStr">
        <is>
          <t>화</t>
        </is>
      </c>
      <c r="D15052" s="94" t="inlineStr">
        <is>
          <t>네이버 GFA</t>
        </is>
      </c>
      <c r="E15052" s="94" t="inlineStr">
        <is>
          <t>토너</t>
        </is>
      </c>
      <c r="J15052" s="94" t="n">
        <v>2075520.909090909</v>
      </c>
    </row>
    <row r="15053">
      <c r="A15053" s="94" t="inlineStr">
        <is>
          <t>패드_신규소구점테스트_메인</t>
        </is>
      </c>
      <c r="B15053" s="94" t="inlineStr">
        <is>
          <t>2021-02-09</t>
        </is>
      </c>
      <c r="C15053" s="94" t="inlineStr">
        <is>
          <t>화</t>
        </is>
      </c>
      <c r="D15053" s="94" t="inlineStr">
        <is>
          <t>네이버 GFA</t>
        </is>
      </c>
      <c r="E15053" s="94" t="inlineStr">
        <is>
          <t>토너패드</t>
        </is>
      </c>
      <c r="J15053" s="94" t="n">
        <v>48698.18181818182</v>
      </c>
    </row>
    <row r="15054">
      <c r="A15054" s="94" t="inlineStr">
        <is>
          <t>T_토너_테스트</t>
        </is>
      </c>
      <c r="B15054" s="94" t="inlineStr">
        <is>
          <t>2021-02-09</t>
        </is>
      </c>
      <c r="C15054" s="94" t="inlineStr">
        <is>
          <t>화</t>
        </is>
      </c>
      <c r="D15054" s="94" t="inlineStr">
        <is>
          <t>네이버 GFA</t>
        </is>
      </c>
      <c r="E15054" s="94" t="inlineStr">
        <is>
          <t>토너</t>
        </is>
      </c>
      <c r="J15054" s="94" t="n">
        <v>352459.0909090909</v>
      </c>
    </row>
    <row r="15055">
      <c r="A15055" s="94" t="inlineStr">
        <is>
          <t>패드_청소년관심사_메인</t>
        </is>
      </c>
      <c r="B15055" s="94" t="inlineStr">
        <is>
          <t>2021-02-09</t>
        </is>
      </c>
      <c r="C15055" s="94" t="inlineStr">
        <is>
          <t>화</t>
        </is>
      </c>
      <c r="D15055" s="94" t="inlineStr">
        <is>
          <t>네이버 GFA</t>
        </is>
      </c>
      <c r="E15055" s="94" t="inlineStr">
        <is>
          <t>토너패드</t>
        </is>
      </c>
      <c r="J15055" s="94" t="n">
        <v>701131.8181818181</v>
      </c>
    </row>
    <row r="15056">
      <c r="A15056" s="94" t="inlineStr">
        <is>
          <t>패드_메인</t>
        </is>
      </c>
      <c r="B15056" s="94" t="inlineStr">
        <is>
          <t>2021-02-09</t>
        </is>
      </c>
      <c r="C15056" s="94" t="inlineStr">
        <is>
          <t>화</t>
        </is>
      </c>
      <c r="D15056" s="94" t="inlineStr">
        <is>
          <t>네이버 GFA</t>
        </is>
      </c>
      <c r="E15056" s="94" t="inlineStr">
        <is>
          <t>토너패드</t>
        </is>
      </c>
      <c r="J15056" s="94" t="n">
        <v>381647.2727272727</v>
      </c>
    </row>
    <row r="15057">
      <c r="A15057" s="94" t="inlineStr">
        <is>
          <t>토너_메인_기존소재</t>
        </is>
      </c>
      <c r="B15057" s="94" t="inlineStr">
        <is>
          <t>2021-02-09</t>
        </is>
      </c>
      <c r="C15057" s="94" t="inlineStr">
        <is>
          <t>화</t>
        </is>
      </c>
      <c r="D15057" s="94" t="inlineStr">
        <is>
          <t>네이버 GFA</t>
        </is>
      </c>
      <c r="E15057" s="94" t="inlineStr">
        <is>
          <t>토너</t>
        </is>
      </c>
      <c r="J15057" s="94" t="n">
        <v>1058298.181818182</v>
      </c>
    </row>
    <row r="15058">
      <c r="B15058" s="94" t="inlineStr">
        <is>
          <t>2021-02-07</t>
        </is>
      </c>
      <c r="C15058" s="94" t="inlineStr">
        <is>
          <t>일</t>
        </is>
      </c>
      <c r="E15058" s="94" t="inlineStr">
        <is>
          <t>0</t>
        </is>
      </c>
      <c r="F15058" s="94" t="inlineStr">
        <is>
          <t>스타일쉐어</t>
        </is>
      </c>
      <c r="G15058" s="94" t="inlineStr">
        <is>
          <t>아누아 어성초 77 토너 250ml1</t>
        </is>
      </c>
      <c r="H15058" s="94" t="n">
        <v>20000</v>
      </c>
      <c r="I15058" s="94" t="inlineStr">
        <is>
          <t>0</t>
        </is>
      </c>
      <c r="J15058" s="94" t="inlineStr">
        <is>
          <t>210201</t>
        </is>
      </c>
      <c r="L15058" s="94" t="n">
        <v>0</v>
      </c>
      <c r="M15058" s="94" t="n">
        <v>0</v>
      </c>
      <c r="N15058" s="94" t="n">
        <v>0</v>
      </c>
      <c r="O15058" s="94" t="n">
        <v>0</v>
      </c>
    </row>
    <row r="15059">
      <c r="B15059" s="94" t="inlineStr">
        <is>
          <t>2021-02-07</t>
        </is>
      </c>
      <c r="C15059" s="94" t="inlineStr">
        <is>
          <t>일</t>
        </is>
      </c>
      <c r="E15059" s="94" t="inlineStr">
        <is>
          <t>0</t>
        </is>
      </c>
      <c r="F15059" s="94" t="inlineStr">
        <is>
          <t>카페24</t>
        </is>
      </c>
      <c r="G15059" s="94" t="inlineStr">
        <is>
          <t>5 제로 무기자차 선크림옵션=5제로 무기자차 선크림 1개-20% off</t>
        </is>
      </c>
      <c r="H15059" s="94" t="n">
        <v>1</v>
      </c>
      <c r="I15059" s="94" t="inlineStr">
        <is>
          <t>0</t>
        </is>
      </c>
      <c r="J15059" s="94" t="inlineStr">
        <is>
          <t>210201</t>
        </is>
      </c>
      <c r="L15059" s="94" t="n">
        <v>0</v>
      </c>
      <c r="M15059" s="94" t="n">
        <v>0</v>
      </c>
      <c r="N15059" s="94" t="n">
        <v>0</v>
      </c>
      <c r="O15059" s="94" t="n">
        <v>0</v>
      </c>
    </row>
    <row r="15060">
      <c r="B15060" s="94" t="inlineStr">
        <is>
          <t>2021-02-07</t>
        </is>
      </c>
      <c r="C15060" s="94" t="inlineStr">
        <is>
          <t>일</t>
        </is>
      </c>
      <c r="E15060" s="94" t="inlineStr">
        <is>
          <t>0</t>
        </is>
      </c>
      <c r="F15060" s="94" t="inlineStr">
        <is>
          <t>카페24</t>
        </is>
      </c>
      <c r="G15060" s="94" t="inlineStr">
        <is>
          <t>5 제로 무기자차 선크림옵션=5제로 무기자차 선크림 2개-30% off (무료배송)</t>
        </is>
      </c>
      <c r="H15060" s="94" t="n">
        <v>4</v>
      </c>
      <c r="I15060" s="94" t="inlineStr">
        <is>
          <t>0</t>
        </is>
      </c>
      <c r="J15060" s="94" t="inlineStr">
        <is>
          <t>210201</t>
        </is>
      </c>
      <c r="L15060" s="94" t="n">
        <v>0</v>
      </c>
      <c r="M15060" s="94" t="n">
        <v>0</v>
      </c>
      <c r="N15060" s="94" t="n">
        <v>0</v>
      </c>
      <c r="O15060" s="94" t="n">
        <v>0</v>
      </c>
    </row>
    <row r="15061">
      <c r="B15061" s="94" t="inlineStr">
        <is>
          <t>2021-02-07</t>
        </is>
      </c>
      <c r="C15061" s="94" t="inlineStr">
        <is>
          <t>일</t>
        </is>
      </c>
      <c r="E15061" s="94" t="inlineStr">
        <is>
          <t>0</t>
        </is>
      </c>
      <c r="F15061" s="94" t="inlineStr">
        <is>
          <t>카페24</t>
        </is>
      </c>
      <c r="G15061" s="94" t="inlineStr">
        <is>
          <t>[수분 보충 세트] 어성초 77 토너 + 어성초 70 로션옵션=어성초 77 토너 250ml + 어성초 70 로션 200ml -30%</t>
        </is>
      </c>
      <c r="H15061" s="94" t="n">
        <v>78</v>
      </c>
      <c r="I15061" s="94" t="inlineStr">
        <is>
          <t>0</t>
        </is>
      </c>
      <c r="J15061" s="94" t="inlineStr">
        <is>
          <t>210201</t>
        </is>
      </c>
      <c r="L15061" s="94" t="n">
        <v>0</v>
      </c>
      <c r="M15061" s="94" t="n">
        <v>0</v>
      </c>
      <c r="N15061" s="94" t="n">
        <v>0</v>
      </c>
      <c r="O15061" s="94" t="n">
        <v>0</v>
      </c>
    </row>
    <row r="15062">
      <c r="B15062" s="94" t="inlineStr">
        <is>
          <t>2021-02-07</t>
        </is>
      </c>
      <c r="C15062" s="94" t="inlineStr">
        <is>
          <t>일</t>
        </is>
      </c>
      <c r="E15062" s="94" t="inlineStr">
        <is>
          <t>0</t>
        </is>
      </c>
      <c r="F15062" s="94" t="inlineStr">
        <is>
          <t>카페24</t>
        </is>
      </c>
      <c r="G15062" s="94" t="inlineStr">
        <is>
          <t>[어성초 진정 패키지 세트] 대용량 토너 + 앰플 + 수딩 크림 + 마스크팩 10장2</t>
        </is>
      </c>
      <c r="H15062" s="94" t="n">
        <v>24750</v>
      </c>
      <c r="I15062" s="94" t="inlineStr">
        <is>
          <t>0</t>
        </is>
      </c>
      <c r="J15062" s="94" t="inlineStr">
        <is>
          <t>210201</t>
        </is>
      </c>
      <c r="L15062" s="94" t="n">
        <v>0</v>
      </c>
      <c r="M15062" s="94" t="n">
        <v>0</v>
      </c>
      <c r="N15062" s="94" t="n">
        <v>0</v>
      </c>
      <c r="O15062" s="94" t="n">
        <v>0</v>
      </c>
    </row>
    <row r="15063">
      <c r="B15063" s="94" t="inlineStr">
        <is>
          <t>2021-02-07</t>
        </is>
      </c>
      <c r="C15063" s="94" t="inlineStr">
        <is>
          <t>일</t>
        </is>
      </c>
      <c r="E15063" s="94" t="inlineStr">
        <is>
          <t>0</t>
        </is>
      </c>
      <c r="F15063" s="94" t="inlineStr">
        <is>
          <t>카페24</t>
        </is>
      </c>
      <c r="G15063" s="94" t="inlineStr">
        <is>
          <t>대용량 어성초 77 수딩 토너 500ml옵션=대용량 어성초 77 토너 1개 - 27% OFF</t>
        </is>
      </c>
      <c r="H15063" s="94" t="n">
        <v>21</v>
      </c>
      <c r="I15063" s="94" t="inlineStr">
        <is>
          <t>0</t>
        </is>
      </c>
      <c r="J15063" s="94" t="inlineStr">
        <is>
          <t>210201</t>
        </is>
      </c>
      <c r="L15063" s="94" t="n">
        <v>0</v>
      </c>
      <c r="M15063" s="94" t="n">
        <v>0</v>
      </c>
      <c r="N15063" s="94" t="n">
        <v>0</v>
      </c>
      <c r="O15063" s="94" t="n">
        <v>0</v>
      </c>
    </row>
    <row r="15064">
      <c r="B15064" s="94" t="inlineStr">
        <is>
          <t>2021-02-07</t>
        </is>
      </c>
      <c r="C15064" s="94" t="inlineStr">
        <is>
          <t>일</t>
        </is>
      </c>
      <c r="E15064" s="94" t="inlineStr">
        <is>
          <t>0</t>
        </is>
      </c>
      <c r="F15064" s="94" t="inlineStr">
        <is>
          <t>카페24</t>
        </is>
      </c>
      <c r="G15064" s="94" t="inlineStr">
        <is>
          <t>대용량 어성초 77 수딩 토너 500ml화장솜(선택)=촉촉 스킨팩 화장솜</t>
        </is>
      </c>
      <c r="H15064" s="94" t="n">
        <v>8</v>
      </c>
      <c r="I15064" s="94" t="inlineStr">
        <is>
          <t>0</t>
        </is>
      </c>
      <c r="J15064" s="94" t="inlineStr">
        <is>
          <t>210201</t>
        </is>
      </c>
      <c r="L15064" s="94" t="n">
        <v>0</v>
      </c>
      <c r="M15064" s="94" t="n">
        <v>0</v>
      </c>
      <c r="N15064" s="94" t="n">
        <v>0</v>
      </c>
      <c r="O15064" s="94" t="n">
        <v>0</v>
      </c>
    </row>
    <row r="15065">
      <c r="B15065" s="94" t="inlineStr">
        <is>
          <t>2021-02-07</t>
        </is>
      </c>
      <c r="C15065" s="94" t="inlineStr">
        <is>
          <t>일</t>
        </is>
      </c>
      <c r="E15065" s="94" t="inlineStr">
        <is>
          <t>0</t>
        </is>
      </c>
      <c r="F15065" s="94" t="inlineStr">
        <is>
          <t>카페24</t>
        </is>
      </c>
      <c r="G15065" s="94" t="inlineStr">
        <is>
          <t>어성초 70 데일리 릴리프 로션로션=어성초 70 데일리 릴리프 로션 1개 -20% off</t>
        </is>
      </c>
      <c r="H15065" s="94" t="n">
        <v>6</v>
      </c>
      <c r="I15065" s="94" t="inlineStr">
        <is>
          <t>0</t>
        </is>
      </c>
      <c r="J15065" s="94" t="inlineStr">
        <is>
          <t>210201</t>
        </is>
      </c>
      <c r="L15065" s="94" t="n">
        <v>0</v>
      </c>
      <c r="M15065" s="94" t="n">
        <v>0</v>
      </c>
      <c r="N15065" s="94" t="n">
        <v>0</v>
      </c>
      <c r="O15065" s="94" t="n">
        <v>0</v>
      </c>
    </row>
    <row r="15066">
      <c r="B15066" s="94" t="inlineStr">
        <is>
          <t>2021-02-07</t>
        </is>
      </c>
      <c r="C15066" s="94" t="inlineStr">
        <is>
          <t>일</t>
        </is>
      </c>
      <c r="E15066" s="94" t="inlineStr">
        <is>
          <t>0</t>
        </is>
      </c>
      <c r="F15066" s="94" t="inlineStr">
        <is>
          <t>카페24</t>
        </is>
      </c>
      <c r="G15066" s="94" t="inlineStr">
        <is>
          <t>어성초 70 데일리 릴리프 로션로션=어성초 70 데일리 릴리프 로션 2개 -30% off</t>
        </is>
      </c>
      <c r="H15066" s="94" t="n">
        <v>6</v>
      </c>
      <c r="I15066" s="94" t="inlineStr">
        <is>
          <t>0</t>
        </is>
      </c>
      <c r="J15066" s="94" t="inlineStr">
        <is>
          <t>210201</t>
        </is>
      </c>
      <c r="L15066" s="94" t="n">
        <v>0</v>
      </c>
      <c r="M15066" s="94" t="n">
        <v>0</v>
      </c>
      <c r="N15066" s="94" t="n">
        <v>0</v>
      </c>
      <c r="O15066" s="94" t="n">
        <v>0</v>
      </c>
    </row>
    <row r="15067">
      <c r="B15067" s="94" t="inlineStr">
        <is>
          <t>2021-02-07</t>
        </is>
      </c>
      <c r="C15067" s="94" t="inlineStr">
        <is>
          <t>일</t>
        </is>
      </c>
      <c r="E15067" s="94" t="inlineStr">
        <is>
          <t>0</t>
        </is>
      </c>
      <c r="F15067" s="94" t="inlineStr">
        <is>
          <t>카페24</t>
        </is>
      </c>
      <c r="G15067" s="94" t="inlineStr">
        <is>
          <t>어성초 70 데일리 릴리프 로션로션=어성초 77토너 + 어성초 70 로션 수분 보충 세트 -30% off</t>
        </is>
      </c>
      <c r="H15067" s="94" t="n">
        <v>2</v>
      </c>
      <c r="I15067" s="94" t="inlineStr">
        <is>
          <t>0</t>
        </is>
      </c>
      <c r="J15067" s="94" t="inlineStr">
        <is>
          <t>210201</t>
        </is>
      </c>
      <c r="L15067" s="94" t="n">
        <v>0</v>
      </c>
      <c r="M15067" s="94" t="n">
        <v>0</v>
      </c>
      <c r="N15067" s="94" t="n">
        <v>0</v>
      </c>
      <c r="O15067" s="94" t="n">
        <v>0</v>
      </c>
    </row>
    <row r="15068">
      <c r="B15068" s="94" t="inlineStr">
        <is>
          <t>2021-02-07</t>
        </is>
      </c>
      <c r="C15068" s="94" t="inlineStr">
        <is>
          <t>일</t>
        </is>
      </c>
      <c r="E15068" s="94" t="inlineStr">
        <is>
          <t>0</t>
        </is>
      </c>
      <c r="F15068" s="94" t="inlineStr">
        <is>
          <t>카페24</t>
        </is>
      </c>
      <c r="G15068" s="94" t="inlineStr">
        <is>
          <t>어성초 70 머드 크림 마스크옵션=어성초 70 머드 크림 마스크-20% off</t>
        </is>
      </c>
      <c r="H15068" s="94" t="n">
        <v>5</v>
      </c>
      <c r="I15068" s="94" t="inlineStr">
        <is>
          <t>0</t>
        </is>
      </c>
      <c r="J15068" s="94" t="inlineStr">
        <is>
          <t>210201</t>
        </is>
      </c>
      <c r="L15068" s="94" t="n">
        <v>0</v>
      </c>
      <c r="M15068" s="94" t="n">
        <v>0</v>
      </c>
      <c r="N15068" s="94" t="n">
        <v>0</v>
      </c>
      <c r="O15068" s="94" t="n">
        <v>0</v>
      </c>
    </row>
    <row r="15069">
      <c r="B15069" s="94" t="inlineStr">
        <is>
          <t>2021-02-07</t>
        </is>
      </c>
      <c r="C15069" s="94" t="inlineStr">
        <is>
          <t>일</t>
        </is>
      </c>
      <c r="E15069" s="94" t="inlineStr">
        <is>
          <t>0</t>
        </is>
      </c>
      <c r="F15069" s="94" t="inlineStr">
        <is>
          <t>카페24</t>
        </is>
      </c>
      <c r="G15069" s="94" t="inlineStr">
        <is>
          <t>어성초 70 머드 크림 마스크옵션=어성초 70 머드 크림 마스크 2개-30% off (무료배송)</t>
        </is>
      </c>
      <c r="H15069" s="94" t="n">
        <v>14</v>
      </c>
      <c r="I15069" s="94" t="inlineStr">
        <is>
          <t>0</t>
        </is>
      </c>
      <c r="J15069" s="94" t="inlineStr">
        <is>
          <t>210201</t>
        </is>
      </c>
      <c r="L15069" s="94" t="n">
        <v>0</v>
      </c>
      <c r="M15069" s="94" t="n">
        <v>0</v>
      </c>
      <c r="N15069" s="94" t="n">
        <v>0</v>
      </c>
      <c r="O15069" s="94" t="n">
        <v>0</v>
      </c>
    </row>
    <row r="15070">
      <c r="B15070" s="94" t="inlineStr">
        <is>
          <t>2021-02-07</t>
        </is>
      </c>
      <c r="C15070" s="94" t="inlineStr">
        <is>
          <t>일</t>
        </is>
      </c>
      <c r="E15070" s="94" t="inlineStr">
        <is>
          <t>0</t>
        </is>
      </c>
      <c r="F15070" s="94" t="inlineStr">
        <is>
          <t>카페24</t>
        </is>
      </c>
      <c r="G15070" s="94" t="inlineStr">
        <is>
          <t>어성초 70 인텐스 카밍 크림크림=어성초 70 인텐스 카밍 크림 1개 (-20%)</t>
        </is>
      </c>
      <c r="H15070" s="94" t="n">
        <v>1</v>
      </c>
      <c r="I15070" s="94" t="inlineStr">
        <is>
          <t>0</t>
        </is>
      </c>
      <c r="J15070" s="94" t="inlineStr">
        <is>
          <t>210201</t>
        </is>
      </c>
      <c r="L15070" s="94" t="n">
        <v>0</v>
      </c>
      <c r="M15070" s="94" t="n">
        <v>0</v>
      </c>
      <c r="N15070" s="94" t="n">
        <v>0</v>
      </c>
      <c r="O15070" s="94" t="n">
        <v>0</v>
      </c>
    </row>
    <row r="15071">
      <c r="B15071" s="94" t="inlineStr">
        <is>
          <t>2021-02-07</t>
        </is>
      </c>
      <c r="C15071" s="94" t="inlineStr">
        <is>
          <t>일</t>
        </is>
      </c>
      <c r="E15071" s="94" t="inlineStr">
        <is>
          <t>0</t>
        </is>
      </c>
      <c r="F15071" s="94" t="inlineStr">
        <is>
          <t>카페24</t>
        </is>
      </c>
      <c r="G15071" s="94" t="inlineStr">
        <is>
          <t>어성초 70 인텐스 카밍 크림크림=어성초 70 인텐스 카밍 크림 2개 (-30%)</t>
        </is>
      </c>
      <c r="H15071" s="94" t="n">
        <v>2</v>
      </c>
      <c r="I15071" s="94" t="inlineStr">
        <is>
          <t>0</t>
        </is>
      </c>
      <c r="J15071" s="94" t="inlineStr">
        <is>
          <t>210201</t>
        </is>
      </c>
      <c r="L15071" s="94" t="n">
        <v>0</v>
      </c>
      <c r="M15071" s="94" t="n">
        <v>0</v>
      </c>
      <c r="N15071" s="94" t="n">
        <v>0</v>
      </c>
      <c r="O15071" s="94" t="n">
        <v>0</v>
      </c>
    </row>
    <row r="15072">
      <c r="B15072" s="94" t="inlineStr">
        <is>
          <t>2021-02-07</t>
        </is>
      </c>
      <c r="C15072" s="94" t="inlineStr">
        <is>
          <t>일</t>
        </is>
      </c>
      <c r="E15072" s="94" t="inlineStr">
        <is>
          <t>0</t>
        </is>
      </c>
      <c r="F15072" s="94" t="inlineStr">
        <is>
          <t>카페24</t>
        </is>
      </c>
      <c r="G15072" s="94" t="inlineStr">
        <is>
          <t>어성초 77 진정 마스크옵션=어성초 77 진정 마스크팩 1장</t>
        </is>
      </c>
      <c r="H15072" s="94" t="n">
        <v>2</v>
      </c>
      <c r="I15072" s="94" t="inlineStr">
        <is>
          <t>0</t>
        </is>
      </c>
      <c r="J15072" s="94" t="inlineStr">
        <is>
          <t>210201</t>
        </is>
      </c>
      <c r="L15072" s="94" t="n">
        <v>0</v>
      </c>
      <c r="M15072" s="94" t="n">
        <v>0</v>
      </c>
      <c r="N15072" s="94" t="n">
        <v>0</v>
      </c>
      <c r="O15072" s="94" t="n">
        <v>0</v>
      </c>
    </row>
    <row r="15073">
      <c r="B15073" s="94" t="inlineStr">
        <is>
          <t>2021-02-07</t>
        </is>
      </c>
      <c r="C15073" s="94" t="inlineStr">
        <is>
          <t>일</t>
        </is>
      </c>
      <c r="E15073" s="94" t="inlineStr">
        <is>
          <t>0</t>
        </is>
      </c>
      <c r="F15073" s="94" t="inlineStr">
        <is>
          <t>카페24</t>
        </is>
      </c>
      <c r="G15073" s="94" t="inlineStr">
        <is>
          <t>어성초 77 진정 마스크옵션=어성초 77 진정 마스크팩 10장-50% off</t>
        </is>
      </c>
      <c r="H15073" s="94" t="n">
        <v>4</v>
      </c>
      <c r="I15073" s="94" t="inlineStr">
        <is>
          <t>0</t>
        </is>
      </c>
      <c r="J15073" s="94" t="inlineStr">
        <is>
          <t>210201</t>
        </is>
      </c>
      <c r="L15073" s="94" t="n">
        <v>0</v>
      </c>
      <c r="M15073" s="94" t="n">
        <v>0</v>
      </c>
      <c r="N15073" s="94" t="n">
        <v>0</v>
      </c>
      <c r="O15073" s="94" t="n">
        <v>0</v>
      </c>
    </row>
    <row r="15074">
      <c r="B15074" s="94" t="inlineStr">
        <is>
          <t>2021-02-07</t>
        </is>
      </c>
      <c r="C15074" s="94" t="inlineStr">
        <is>
          <t>일</t>
        </is>
      </c>
      <c r="E15074" s="94" t="inlineStr">
        <is>
          <t>0</t>
        </is>
      </c>
      <c r="F15074" s="94" t="inlineStr">
        <is>
          <t>카페24</t>
        </is>
      </c>
      <c r="G15074" s="94" t="inlineStr">
        <is>
          <t>어성초 77 진정 토너옵션=어성초 77 토너 1개-20% off</t>
        </is>
      </c>
      <c r="H15074" s="94" t="n">
        <v>21</v>
      </c>
      <c r="I15074" s="94" t="inlineStr">
        <is>
          <t>0</t>
        </is>
      </c>
      <c r="J15074" s="94" t="inlineStr">
        <is>
          <t>210201</t>
        </is>
      </c>
      <c r="L15074" s="94" t="n">
        <v>0</v>
      </c>
      <c r="M15074" s="94" t="n">
        <v>0</v>
      </c>
      <c r="N15074" s="94" t="n">
        <v>0</v>
      </c>
      <c r="O15074" s="94" t="n">
        <v>0</v>
      </c>
    </row>
    <row r="15075">
      <c r="B15075" s="94" t="inlineStr">
        <is>
          <t>2021-02-07</t>
        </is>
      </c>
      <c r="C15075" s="94" t="inlineStr">
        <is>
          <t>일</t>
        </is>
      </c>
      <c r="E15075" s="94" t="inlineStr">
        <is>
          <t>0</t>
        </is>
      </c>
      <c r="F15075" s="94" t="inlineStr">
        <is>
          <t>카페24</t>
        </is>
      </c>
      <c r="G15075" s="94" t="inlineStr">
        <is>
          <t>어성초 77 진정 토너옵션=BEST어성초 77 토너 2개-30% off (무료배송)</t>
        </is>
      </c>
      <c r="H15075" s="94" t="n">
        <v>86</v>
      </c>
      <c r="I15075" s="94" t="inlineStr">
        <is>
          <t>0</t>
        </is>
      </c>
      <c r="J15075" s="94" t="inlineStr">
        <is>
          <t>210201</t>
        </is>
      </c>
      <c r="L15075" s="94" t="n">
        <v>0</v>
      </c>
      <c r="M15075" s="94" t="n">
        <v>0</v>
      </c>
      <c r="N15075" s="94" t="n">
        <v>0</v>
      </c>
      <c r="O15075" s="94" t="n">
        <v>0</v>
      </c>
    </row>
    <row r="15076">
      <c r="B15076" s="94" t="inlineStr">
        <is>
          <t>2021-02-07</t>
        </is>
      </c>
      <c r="C15076" s="94" t="inlineStr">
        <is>
          <t>일</t>
        </is>
      </c>
      <c r="E15076" s="94" t="inlineStr">
        <is>
          <t>0</t>
        </is>
      </c>
      <c r="F15076" s="94" t="inlineStr">
        <is>
          <t>카페24</t>
        </is>
      </c>
      <c r="G15076" s="94" t="inlineStr">
        <is>
          <t>어성초 77 진정 토너옵션=어성초 77토너1개 + 어성초77패드1개 -30% off (무료배송)</t>
        </is>
      </c>
      <c r="H15076" s="94" t="n">
        <v>48</v>
      </c>
      <c r="I15076" s="94" t="inlineStr">
        <is>
          <t>0</t>
        </is>
      </c>
      <c r="J15076" s="94" t="inlineStr">
        <is>
          <t>210201</t>
        </is>
      </c>
      <c r="L15076" s="94" t="n">
        <v>0</v>
      </c>
      <c r="M15076" s="94" t="n">
        <v>0</v>
      </c>
      <c r="N15076" s="94" t="n">
        <v>0</v>
      </c>
      <c r="O15076" s="94" t="n">
        <v>0</v>
      </c>
    </row>
    <row r="15077">
      <c r="B15077" s="94" t="inlineStr">
        <is>
          <t>2021-02-07</t>
        </is>
      </c>
      <c r="C15077" s="94" t="inlineStr">
        <is>
          <t>일</t>
        </is>
      </c>
      <c r="E15077" s="94" t="inlineStr">
        <is>
          <t>0</t>
        </is>
      </c>
      <c r="F15077" s="94" t="inlineStr">
        <is>
          <t>카페24</t>
        </is>
      </c>
      <c r="G15077" s="94" t="inlineStr">
        <is>
          <t>어성초 77 진정 토너화장솜(선택)=촉촉 스킨팩 화장솜</t>
        </is>
      </c>
      <c r="H15077" s="94" t="n">
        <v>23</v>
      </c>
      <c r="I15077" s="94" t="inlineStr">
        <is>
          <t>0</t>
        </is>
      </c>
      <c r="J15077" s="94" t="inlineStr">
        <is>
          <t>210201</t>
        </is>
      </c>
      <c r="L15077" s="94" t="n">
        <v>0</v>
      </c>
      <c r="M15077" s="94" t="n">
        <v>0</v>
      </c>
      <c r="N15077" s="94" t="n">
        <v>0</v>
      </c>
      <c r="O15077" s="94" t="n">
        <v>0</v>
      </c>
    </row>
    <row r="15078">
      <c r="B15078" s="94" t="inlineStr">
        <is>
          <t>2021-02-07</t>
        </is>
      </c>
      <c r="C15078" s="94" t="inlineStr">
        <is>
          <t>일</t>
        </is>
      </c>
      <c r="E15078" s="94" t="inlineStr">
        <is>
          <t>0</t>
        </is>
      </c>
      <c r="F15078" s="94" t="inlineStr">
        <is>
          <t>카페24</t>
        </is>
      </c>
      <c r="G15078" s="94" t="inlineStr">
        <is>
          <t>어성초 77 클리어 패드옵션=어성초 77 클리어 패드 1개-20% off</t>
        </is>
      </c>
      <c r="H15078" s="94" t="n">
        <v>25</v>
      </c>
      <c r="I15078" s="94" t="inlineStr">
        <is>
          <t>0</t>
        </is>
      </c>
      <c r="J15078" s="94" t="inlineStr">
        <is>
          <t>210201</t>
        </is>
      </c>
      <c r="L15078" s="94" t="n">
        <v>0</v>
      </c>
      <c r="M15078" s="94" t="n">
        <v>0</v>
      </c>
      <c r="N15078" s="94" t="n">
        <v>0</v>
      </c>
      <c r="O15078" s="94" t="n">
        <v>0</v>
      </c>
    </row>
    <row r="15079">
      <c r="B15079" s="94" t="inlineStr">
        <is>
          <t>2021-02-07</t>
        </is>
      </c>
      <c r="C15079" s="94" t="inlineStr">
        <is>
          <t>일</t>
        </is>
      </c>
      <c r="E15079" s="94" t="inlineStr">
        <is>
          <t>0</t>
        </is>
      </c>
      <c r="F15079" s="94" t="inlineStr">
        <is>
          <t>카페24</t>
        </is>
      </c>
      <c r="G15079" s="94" t="inlineStr">
        <is>
          <t>어성초 77 클리어 패드옵션=어성초 77 클리어 패드 2개-30% off (무료배송)</t>
        </is>
      </c>
      <c r="H15079" s="94" t="n">
        <v>46</v>
      </c>
      <c r="I15079" s="94" t="inlineStr">
        <is>
          <t>0</t>
        </is>
      </c>
      <c r="J15079" s="94" t="inlineStr">
        <is>
          <t>210201</t>
        </is>
      </c>
      <c r="L15079" s="94" t="n">
        <v>0</v>
      </c>
      <c r="M15079" s="94" t="n">
        <v>0</v>
      </c>
      <c r="N15079" s="94" t="n">
        <v>0</v>
      </c>
      <c r="O15079" s="94" t="n">
        <v>0</v>
      </c>
    </row>
    <row r="15080">
      <c r="B15080" s="94" t="inlineStr">
        <is>
          <t>2021-02-07</t>
        </is>
      </c>
      <c r="C15080" s="94" t="inlineStr">
        <is>
          <t>일</t>
        </is>
      </c>
      <c r="E15080" s="94" t="inlineStr">
        <is>
          <t>0</t>
        </is>
      </c>
      <c r="F15080" s="94" t="inlineStr">
        <is>
          <t>카페24</t>
        </is>
      </c>
      <c r="G15080" s="94" t="inlineStr">
        <is>
          <t>어성초 77 클리어 패드옵션=어성초 77 클리어 패드 2+1 EVENT (무료배송)</t>
        </is>
      </c>
      <c r="H15080" s="94" t="n">
        <v>75</v>
      </c>
      <c r="I15080" s="94" t="inlineStr">
        <is>
          <t>0</t>
        </is>
      </c>
      <c r="J15080" s="94" t="inlineStr">
        <is>
          <t>210201</t>
        </is>
      </c>
      <c r="L15080" s="94" t="n">
        <v>0</v>
      </c>
      <c r="M15080" s="94" t="n">
        <v>0</v>
      </c>
      <c r="N15080" s="94" t="n">
        <v>0</v>
      </c>
      <c r="O15080" s="94" t="n">
        <v>0</v>
      </c>
    </row>
    <row r="15081">
      <c r="B15081" s="94" t="inlineStr">
        <is>
          <t>2021-02-07</t>
        </is>
      </c>
      <c r="C15081" s="94" t="inlineStr">
        <is>
          <t>일</t>
        </is>
      </c>
      <c r="E15081" s="94" t="inlineStr">
        <is>
          <t>0</t>
        </is>
      </c>
      <c r="F15081" s="94" t="inlineStr">
        <is>
          <t>카페24</t>
        </is>
      </c>
      <c r="G15081" s="94" t="inlineStr">
        <is>
          <t>어성초 77 클리어 패드옵션=어성초77토너1개+어성초77패드1개-30% off (무료배송)</t>
        </is>
      </c>
      <c r="H15081" s="94" t="n">
        <v>22</v>
      </c>
      <c r="I15081" s="94" t="inlineStr">
        <is>
          <t>0</t>
        </is>
      </c>
      <c r="J15081" s="94" t="inlineStr">
        <is>
          <t>210201</t>
        </is>
      </c>
      <c r="L15081" s="94" t="n">
        <v>0</v>
      </c>
      <c r="M15081" s="94" t="n">
        <v>0</v>
      </c>
      <c r="N15081" s="94" t="n">
        <v>0</v>
      </c>
      <c r="O15081" s="94" t="n">
        <v>0</v>
      </c>
    </row>
    <row r="15082">
      <c r="B15082" s="94" t="inlineStr">
        <is>
          <t>2021-02-07</t>
        </is>
      </c>
      <c r="C15082" s="94" t="inlineStr">
        <is>
          <t>일</t>
        </is>
      </c>
      <c r="E15082" s="94" t="inlineStr">
        <is>
          <t>0</t>
        </is>
      </c>
      <c r="F15082" s="94" t="inlineStr">
        <is>
          <t>카페24</t>
        </is>
      </c>
      <c r="G15082" s="94" t="inlineStr">
        <is>
          <t>어성초 77 토너2</t>
        </is>
      </c>
      <c r="H15082" s="94" t="n">
        <v>21500</v>
      </c>
      <c r="I15082" s="94" t="inlineStr">
        <is>
          <t>0</t>
        </is>
      </c>
      <c r="J15082" s="94" t="inlineStr">
        <is>
          <t>210201</t>
        </is>
      </c>
      <c r="L15082" s="94" t="n">
        <v>0</v>
      </c>
      <c r="M15082" s="94" t="n">
        <v>0</v>
      </c>
      <c r="N15082" s="94" t="n">
        <v>0</v>
      </c>
      <c r="O15082" s="94" t="n">
        <v>0</v>
      </c>
    </row>
    <row r="15083">
      <c r="B15083" s="94" t="inlineStr">
        <is>
          <t>2021-02-07</t>
        </is>
      </c>
      <c r="C15083" s="94" t="inlineStr">
        <is>
          <t>일</t>
        </is>
      </c>
      <c r="E15083" s="94" t="inlineStr">
        <is>
          <t>0</t>
        </is>
      </c>
      <c r="F15083" s="94" t="inlineStr">
        <is>
          <t>카페24</t>
        </is>
      </c>
      <c r="G15083" s="94" t="inlineStr">
        <is>
          <t>어성초 77% 패드옵션=어성초 77 클리어 패드 1개-20% off</t>
        </is>
      </c>
      <c r="H15083" s="94" t="n">
        <v>16</v>
      </c>
      <c r="I15083" s="94" t="inlineStr">
        <is>
          <t>0</t>
        </is>
      </c>
      <c r="J15083" s="94" t="inlineStr">
        <is>
          <t>210201</t>
        </is>
      </c>
      <c r="L15083" s="94" t="n">
        <v>0</v>
      </c>
      <c r="M15083" s="94" t="n">
        <v>0</v>
      </c>
      <c r="N15083" s="94" t="n">
        <v>0</v>
      </c>
      <c r="O15083" s="94" t="n">
        <v>0</v>
      </c>
    </row>
    <row r="15084">
      <c r="B15084" s="94" t="inlineStr">
        <is>
          <t>2021-02-07</t>
        </is>
      </c>
      <c r="C15084" s="94" t="inlineStr">
        <is>
          <t>일</t>
        </is>
      </c>
      <c r="E15084" s="94" t="inlineStr">
        <is>
          <t>0</t>
        </is>
      </c>
      <c r="F15084" s="94" t="inlineStr">
        <is>
          <t>카페24</t>
        </is>
      </c>
      <c r="G15084" s="94" t="inlineStr">
        <is>
          <t>어성초 77% 패드옵션=어성초 77 클리어 패드 2개-30% off (무료배송)</t>
        </is>
      </c>
      <c r="H15084" s="94" t="n">
        <v>50</v>
      </c>
      <c r="I15084" s="94" t="inlineStr">
        <is>
          <t>0</t>
        </is>
      </c>
      <c r="J15084" s="94" t="inlineStr">
        <is>
          <t>210201</t>
        </is>
      </c>
      <c r="L15084" s="94" t="n">
        <v>0</v>
      </c>
      <c r="M15084" s="94" t="n">
        <v>0</v>
      </c>
      <c r="N15084" s="94" t="n">
        <v>0</v>
      </c>
      <c r="O15084" s="94" t="n">
        <v>0</v>
      </c>
    </row>
    <row r="15085">
      <c r="B15085" s="94" t="inlineStr">
        <is>
          <t>2021-02-07</t>
        </is>
      </c>
      <c r="C15085" s="94" t="inlineStr">
        <is>
          <t>일</t>
        </is>
      </c>
      <c r="E15085" s="94" t="inlineStr">
        <is>
          <t>0</t>
        </is>
      </c>
      <c r="F15085" s="94" t="inlineStr">
        <is>
          <t>카페24</t>
        </is>
      </c>
      <c r="G15085" s="94" t="inlineStr">
        <is>
          <t>어성초 77% 패드옵션=어성초 77 클리어 패드 2+1 EVENT (무료배송)</t>
        </is>
      </c>
      <c r="H15085" s="94" t="n">
        <v>54</v>
      </c>
      <c r="I15085" s="94" t="inlineStr">
        <is>
          <t>0</t>
        </is>
      </c>
      <c r="J15085" s="94" t="inlineStr">
        <is>
          <t>210201</t>
        </is>
      </c>
      <c r="L15085" s="94" t="n">
        <v>0</v>
      </c>
      <c r="M15085" s="94" t="n">
        <v>0</v>
      </c>
      <c r="N15085" s="94" t="n">
        <v>0</v>
      </c>
      <c r="O15085" s="94" t="n">
        <v>0</v>
      </c>
    </row>
    <row r="15086">
      <c r="B15086" s="94" t="inlineStr">
        <is>
          <t>2021-02-07</t>
        </is>
      </c>
      <c r="C15086" s="94" t="inlineStr">
        <is>
          <t>일</t>
        </is>
      </c>
      <c r="E15086" s="94" t="inlineStr">
        <is>
          <t>0</t>
        </is>
      </c>
      <c r="F15086" s="94" t="inlineStr">
        <is>
          <t>카페24</t>
        </is>
      </c>
      <c r="G15086" s="94" t="inlineStr">
        <is>
          <t>어성초 77% 패드옵션=어성초77토너1개+어성초77패드1개-30% off (무료배송)</t>
        </is>
      </c>
      <c r="H15086" s="94" t="n">
        <v>18</v>
      </c>
      <c r="I15086" s="94" t="inlineStr">
        <is>
          <t>0</t>
        </is>
      </c>
      <c r="J15086" s="94" t="inlineStr">
        <is>
          <t>210201</t>
        </is>
      </c>
      <c r="L15086" s="94" t="n">
        <v>0</v>
      </c>
      <c r="M15086" s="94" t="n">
        <v>0</v>
      </c>
      <c r="N15086" s="94" t="n">
        <v>0</v>
      </c>
      <c r="O15086" s="94" t="n">
        <v>0</v>
      </c>
    </row>
    <row r="15087">
      <c r="B15087" s="94" t="inlineStr">
        <is>
          <t>2021-02-07</t>
        </is>
      </c>
      <c r="C15087" s="94" t="inlineStr">
        <is>
          <t>일</t>
        </is>
      </c>
      <c r="E15087" s="94" t="inlineStr">
        <is>
          <t>0</t>
        </is>
      </c>
      <c r="F15087" s="94" t="inlineStr">
        <is>
          <t>카페24</t>
        </is>
      </c>
      <c r="G15087" s="94" t="inlineStr">
        <is>
          <t>어성초 78 수딩 크림4</t>
        </is>
      </c>
      <c r="H15087" s="94" t="n">
        <v>38000</v>
      </c>
      <c r="I15087" s="94" t="inlineStr">
        <is>
          <t>0</t>
        </is>
      </c>
      <c r="J15087" s="94" t="inlineStr">
        <is>
          <t>210201</t>
        </is>
      </c>
      <c r="L15087" s="94" t="n">
        <v>0</v>
      </c>
      <c r="M15087" s="94" t="n">
        <v>0</v>
      </c>
      <c r="N15087" s="94" t="n">
        <v>0</v>
      </c>
      <c r="O15087" s="94" t="n">
        <v>0</v>
      </c>
    </row>
    <row r="15088">
      <c r="B15088" s="94" t="inlineStr">
        <is>
          <t>2021-02-07</t>
        </is>
      </c>
      <c r="C15088" s="94" t="inlineStr">
        <is>
          <t>일</t>
        </is>
      </c>
      <c r="E15088" s="94" t="inlineStr">
        <is>
          <t>0</t>
        </is>
      </c>
      <c r="F15088" s="94" t="inlineStr">
        <is>
          <t>카페24</t>
        </is>
      </c>
      <c r="G15088" s="94" t="inlineStr">
        <is>
          <t>어성초 78 수딩 크림4</t>
        </is>
      </c>
      <c r="H15088" s="94" t="n">
        <v>38000</v>
      </c>
      <c r="I15088" s="94" t="inlineStr">
        <is>
          <t>0</t>
        </is>
      </c>
      <c r="J15088" s="94" t="inlineStr">
        <is>
          <t>210201</t>
        </is>
      </c>
      <c r="L15088" s="94" t="n">
        <v>0</v>
      </c>
      <c r="M15088" s="94" t="n">
        <v>0</v>
      </c>
      <c r="N15088" s="94" t="n">
        <v>0</v>
      </c>
      <c r="O15088" s="94" t="n">
        <v>0</v>
      </c>
    </row>
    <row r="15089">
      <c r="B15089" s="94" t="inlineStr">
        <is>
          <t>2021-02-07</t>
        </is>
      </c>
      <c r="C15089" s="94" t="inlineStr">
        <is>
          <t>일</t>
        </is>
      </c>
      <c r="E15089" s="94" t="inlineStr">
        <is>
          <t>0</t>
        </is>
      </c>
      <c r="F15089" s="94" t="inlineStr">
        <is>
          <t>카페24</t>
        </is>
      </c>
      <c r="G15089" s="94" t="inlineStr">
        <is>
          <t>어성초 80 수분 진정 앰플앰플=어성초 80 앰플 1개-15%off</t>
        </is>
      </c>
      <c r="H15089" s="94" t="n">
        <v>16</v>
      </c>
      <c r="I15089" s="94" t="inlineStr">
        <is>
          <t>0</t>
        </is>
      </c>
      <c r="J15089" s="94" t="inlineStr">
        <is>
          <t>210201</t>
        </is>
      </c>
      <c r="L15089" s="94" t="n">
        <v>0</v>
      </c>
      <c r="M15089" s="94" t="n">
        <v>0</v>
      </c>
      <c r="N15089" s="94" t="n">
        <v>0</v>
      </c>
      <c r="O15089" s="94" t="n">
        <v>0</v>
      </c>
    </row>
    <row r="15090">
      <c r="B15090" s="94" t="inlineStr">
        <is>
          <t>2021-02-07</t>
        </is>
      </c>
      <c r="C15090" s="94" t="inlineStr">
        <is>
          <t>일</t>
        </is>
      </c>
      <c r="E15090" s="94" t="inlineStr">
        <is>
          <t>0</t>
        </is>
      </c>
      <c r="F15090" s="94" t="inlineStr">
        <is>
          <t>카페24</t>
        </is>
      </c>
      <c r="G15090" s="94" t="inlineStr">
        <is>
          <t>어성초 80 수분 진정 앰플앰플=어성초 80 앰플 2개-27%off (무료배송)</t>
        </is>
      </c>
      <c r="H15090" s="94" t="n">
        <v>16</v>
      </c>
      <c r="I15090" s="94" t="inlineStr">
        <is>
          <t>0</t>
        </is>
      </c>
      <c r="J15090" s="94" t="inlineStr">
        <is>
          <t>210201</t>
        </is>
      </c>
      <c r="L15090" s="94" t="n">
        <v>0</v>
      </c>
      <c r="M15090" s="94" t="n">
        <v>0</v>
      </c>
      <c r="N15090" s="94" t="n">
        <v>0</v>
      </c>
      <c r="O15090" s="94" t="n">
        <v>0</v>
      </c>
    </row>
    <row r="15091">
      <c r="B15091" s="94" t="inlineStr">
        <is>
          <t>2021-02-07</t>
        </is>
      </c>
      <c r="C15091" s="94" t="inlineStr">
        <is>
          <t>일</t>
        </is>
      </c>
      <c r="E15091" s="94" t="inlineStr">
        <is>
          <t>0</t>
        </is>
      </c>
      <c r="F15091" s="94" t="inlineStr">
        <is>
          <t>카페24</t>
        </is>
      </c>
      <c r="G15091" s="94" t="inlineStr">
        <is>
          <t>어성초 80 수분 진정 앰플6</t>
        </is>
      </c>
      <c r="H15091" s="94" t="n">
        <v>29000</v>
      </c>
      <c r="I15091" s="94" t="inlineStr">
        <is>
          <t>0</t>
        </is>
      </c>
      <c r="J15091" s="94" t="inlineStr">
        <is>
          <t>210201</t>
        </is>
      </c>
      <c r="L15091" s="94" t="n">
        <v>0</v>
      </c>
      <c r="M15091" s="94" t="n">
        <v>0</v>
      </c>
      <c r="N15091" s="94" t="n">
        <v>0</v>
      </c>
      <c r="O15091" s="94" t="n">
        <v>0</v>
      </c>
    </row>
    <row r="15092">
      <c r="B15092" s="94" t="inlineStr">
        <is>
          <t>2021-02-07</t>
        </is>
      </c>
      <c r="C15092" s="94" t="inlineStr">
        <is>
          <t>일</t>
        </is>
      </c>
      <c r="E15092" s="94" t="inlineStr">
        <is>
          <t>0</t>
        </is>
      </c>
      <c r="F15092" s="94" t="inlineStr">
        <is>
          <t>카페24</t>
        </is>
      </c>
      <c r="G15092" s="94" t="inlineStr">
        <is>
          <t>어성초 아크네 바디워시옵션=어성초 아크네 바디워시 1개 -30% off</t>
        </is>
      </c>
      <c r="H15092" s="94" t="n">
        <v>1</v>
      </c>
      <c r="I15092" s="94" t="inlineStr">
        <is>
          <t>0</t>
        </is>
      </c>
      <c r="J15092" s="94" t="inlineStr">
        <is>
          <t>210201</t>
        </is>
      </c>
      <c r="L15092" s="94" t="n">
        <v>0</v>
      </c>
      <c r="M15092" s="94" t="n">
        <v>0</v>
      </c>
      <c r="N15092" s="94" t="n">
        <v>0</v>
      </c>
      <c r="O15092" s="94" t="n">
        <v>0</v>
      </c>
    </row>
    <row r="15093">
      <c r="B15093" s="94" t="inlineStr">
        <is>
          <t>2021-02-07</t>
        </is>
      </c>
      <c r="C15093" s="94" t="inlineStr">
        <is>
          <t>일</t>
        </is>
      </c>
      <c r="E15093" s="94" t="inlineStr">
        <is>
          <t>0</t>
        </is>
      </c>
      <c r="F15093" s="94" t="inlineStr">
        <is>
          <t>카페24</t>
        </is>
      </c>
      <c r="G15093" s="94" t="inlineStr">
        <is>
          <t>어성초 아크네 바디워시옵션=어성초 아크네 바디워시 2개 -35% off (무료배송)</t>
        </is>
      </c>
      <c r="H15093" s="94" t="n">
        <v>2</v>
      </c>
      <c r="I15093" s="94" t="inlineStr">
        <is>
          <t>0</t>
        </is>
      </c>
      <c r="J15093" s="94" t="inlineStr">
        <is>
          <t>210201</t>
        </is>
      </c>
      <c r="L15093" s="94" t="n">
        <v>0</v>
      </c>
      <c r="M15093" s="94" t="n">
        <v>0</v>
      </c>
      <c r="N15093" s="94" t="n">
        <v>0</v>
      </c>
      <c r="O15093" s="94" t="n">
        <v>0</v>
      </c>
    </row>
    <row r="15094">
      <c r="B15094" s="94" t="inlineStr">
        <is>
          <t>2021-02-07</t>
        </is>
      </c>
      <c r="C15094" s="94" t="inlineStr">
        <is>
          <t>일</t>
        </is>
      </c>
      <c r="E15094" s="94" t="inlineStr">
        <is>
          <t>0</t>
        </is>
      </c>
      <c r="F15094" s="94" t="inlineStr">
        <is>
          <t>카페24</t>
        </is>
      </c>
      <c r="G15094" s="94" t="inlineStr">
        <is>
          <t>어성초 약산성 클렌징폼클렌징폼=어성초 약산성 클렌징폼 1개 -19%off</t>
        </is>
      </c>
      <c r="H15094" s="94" t="n">
        <v>10</v>
      </c>
      <c r="I15094" s="94" t="inlineStr">
        <is>
          <t>0</t>
        </is>
      </c>
      <c r="J15094" s="94" t="inlineStr">
        <is>
          <t>210201</t>
        </is>
      </c>
      <c r="L15094" s="94" t="n">
        <v>0</v>
      </c>
      <c r="M15094" s="94" t="n">
        <v>0</v>
      </c>
      <c r="N15094" s="94" t="n">
        <v>0</v>
      </c>
      <c r="O15094" s="94" t="n">
        <v>0</v>
      </c>
    </row>
    <row r="15095">
      <c r="B15095" s="94" t="inlineStr">
        <is>
          <t>2021-02-07</t>
        </is>
      </c>
      <c r="C15095" s="94" t="inlineStr">
        <is>
          <t>일</t>
        </is>
      </c>
      <c r="E15095" s="94" t="inlineStr">
        <is>
          <t>0</t>
        </is>
      </c>
      <c r="F15095" s="94" t="inlineStr">
        <is>
          <t>카페24</t>
        </is>
      </c>
      <c r="G15095" s="94" t="inlineStr">
        <is>
          <t>어성초 약산성 클렌징폼클렌징폼=어성초 약산성 클렌징폼 2개 -25%off</t>
        </is>
      </c>
      <c r="H15095" s="94" t="n">
        <v>4</v>
      </c>
      <c r="I15095" s="94" t="inlineStr">
        <is>
          <t>0</t>
        </is>
      </c>
      <c r="J15095" s="94" t="inlineStr">
        <is>
          <t>210201</t>
        </is>
      </c>
      <c r="L15095" s="94" t="n">
        <v>0</v>
      </c>
      <c r="M15095" s="94" t="n">
        <v>0</v>
      </c>
      <c r="N15095" s="94" t="n">
        <v>0</v>
      </c>
      <c r="O15095" s="94" t="n">
        <v>0</v>
      </c>
    </row>
    <row r="15096">
      <c r="B15096" s="94" t="inlineStr">
        <is>
          <t>2021-02-07</t>
        </is>
      </c>
      <c r="C15096" s="94" t="inlineStr">
        <is>
          <t>일</t>
        </is>
      </c>
      <c r="E15096" s="94" t="inlineStr">
        <is>
          <t>0</t>
        </is>
      </c>
      <c r="F15096" s="94" t="inlineStr">
        <is>
          <t>카페24</t>
        </is>
      </c>
      <c r="G15096" s="94" t="inlineStr">
        <is>
          <t>어성초 약산성 클렌징폼클렌징폼=어성초 약산성 클렌징폼 3개 -31%off (무료배송)</t>
        </is>
      </c>
      <c r="H15096" s="94" t="n">
        <v>9</v>
      </c>
      <c r="I15096" s="94" t="inlineStr">
        <is>
          <t>0</t>
        </is>
      </c>
      <c r="J15096" s="94" t="inlineStr">
        <is>
          <t>210201</t>
        </is>
      </c>
      <c r="L15096" s="94" t="n">
        <v>0</v>
      </c>
      <c r="M15096" s="94" t="n">
        <v>0</v>
      </c>
      <c r="N15096" s="94" t="n">
        <v>0</v>
      </c>
      <c r="O15096" s="94" t="n">
        <v>0</v>
      </c>
    </row>
    <row r="15097">
      <c r="B15097" s="94" t="inlineStr">
        <is>
          <t>2021-02-07</t>
        </is>
      </c>
      <c r="C15097" s="94" t="inlineStr">
        <is>
          <t>일</t>
        </is>
      </c>
      <c r="E15097" s="94" t="inlineStr">
        <is>
          <t>0</t>
        </is>
      </c>
      <c r="F15097" s="94" t="inlineStr">
        <is>
          <t>카페24</t>
        </is>
      </c>
      <c r="G15097" s="94" t="inlineStr">
        <is>
          <t>어성초 크림마스크 나이트 솔루션옵션=어성초 크림마스크 나이트 솔루션 1장</t>
        </is>
      </c>
      <c r="H15097" s="94" t="n">
        <v>1</v>
      </c>
      <c r="I15097" s="94" t="inlineStr">
        <is>
          <t>0</t>
        </is>
      </c>
      <c r="J15097" s="94" t="inlineStr">
        <is>
          <t>210201</t>
        </is>
      </c>
      <c r="L15097" s="94" t="n">
        <v>0</v>
      </c>
      <c r="M15097" s="94" t="n">
        <v>0</v>
      </c>
      <c r="N15097" s="94" t="n">
        <v>0</v>
      </c>
      <c r="O15097" s="94" t="n">
        <v>0</v>
      </c>
    </row>
    <row r="15098">
      <c r="B15098" s="94" t="inlineStr">
        <is>
          <t>2021-02-07</t>
        </is>
      </c>
      <c r="C15098" s="94" t="inlineStr">
        <is>
          <t>일</t>
        </is>
      </c>
      <c r="E15098" s="94" t="inlineStr">
        <is>
          <t>0</t>
        </is>
      </c>
      <c r="F15098" s="94" t="inlineStr">
        <is>
          <t>카페24</t>
        </is>
      </c>
      <c r="G15098" s="94" t="inlineStr">
        <is>
          <t>어성초 크림마스크 나이트 솔루션옵션=어성초 크림마스크 나이트 솔루션 10장 (-50%)</t>
        </is>
      </c>
      <c r="H15098" s="94" t="n">
        <v>4</v>
      </c>
      <c r="I15098" s="94" t="inlineStr">
        <is>
          <t>0</t>
        </is>
      </c>
      <c r="J15098" s="94" t="inlineStr">
        <is>
          <t>210201</t>
        </is>
      </c>
      <c r="L15098" s="94" t="n">
        <v>0</v>
      </c>
      <c r="M15098" s="94" t="n">
        <v>0</v>
      </c>
      <c r="N15098" s="94" t="n">
        <v>0</v>
      </c>
      <c r="O15098" s="94" t="n">
        <v>0</v>
      </c>
    </row>
    <row r="15099">
      <c r="B15099" s="94" t="inlineStr">
        <is>
          <t>2021-02-07</t>
        </is>
      </c>
      <c r="C15099" s="94" t="inlineStr">
        <is>
          <t>일</t>
        </is>
      </c>
      <c r="E15099" s="94" t="inlineStr">
        <is>
          <t>0</t>
        </is>
      </c>
      <c r="F15099" s="94" t="inlineStr">
        <is>
          <t>카페24</t>
        </is>
      </c>
      <c r="G15099" s="94" t="inlineStr">
        <is>
          <t>청귤 비타 잡티 마스크옵션=청귤 비타 잡티 마스크 10장 (50% off)</t>
        </is>
      </c>
      <c r="H15099" s="94" t="n">
        <v>1</v>
      </c>
      <c r="I15099" s="94" t="inlineStr">
        <is>
          <t>0</t>
        </is>
      </c>
      <c r="J15099" s="94" t="inlineStr">
        <is>
          <t>210201</t>
        </is>
      </c>
      <c r="L15099" s="94" t="n">
        <v>0</v>
      </c>
      <c r="M15099" s="94" t="n">
        <v>0</v>
      </c>
      <c r="N15099" s="94" t="n">
        <v>0</v>
      </c>
      <c r="O15099" s="94" t="n">
        <v>0</v>
      </c>
    </row>
    <row r="15100">
      <c r="B15100" s="94" t="inlineStr">
        <is>
          <t>2021-02-07</t>
        </is>
      </c>
      <c r="C15100" s="94" t="inlineStr">
        <is>
          <t>일</t>
        </is>
      </c>
      <c r="E15100" s="94" t="inlineStr">
        <is>
          <t>0</t>
        </is>
      </c>
      <c r="F15100" s="94" t="inlineStr">
        <is>
          <t>카페24</t>
        </is>
      </c>
      <c r="G15100" s="94" t="inlineStr">
        <is>
          <t>촉촉 스킨팩 화장솜19</t>
        </is>
      </c>
      <c r="H15100" s="94" t="n">
        <v>3000</v>
      </c>
      <c r="I15100" s="94" t="inlineStr">
        <is>
          <t>0</t>
        </is>
      </c>
      <c r="J15100" s="94" t="inlineStr">
        <is>
          <t>210201</t>
        </is>
      </c>
      <c r="L15100" s="94" t="n">
        <v>0</v>
      </c>
      <c r="M15100" s="94" t="n">
        <v>0</v>
      </c>
      <c r="N15100" s="94" t="n">
        <v>0</v>
      </c>
      <c r="O15100" s="94" t="n">
        <v>0</v>
      </c>
    </row>
    <row r="15101">
      <c r="B15101" t="inlineStr">
        <is>
          <t>2021-02-07</t>
        </is>
      </c>
      <c r="C15101" t="inlineStr">
        <is>
          <t>일</t>
        </is>
      </c>
      <c r="E15101" t="inlineStr">
        <is>
          <t>0</t>
        </is>
      </c>
      <c r="F15101" t="inlineStr">
        <is>
          <t>스타일쉐어</t>
        </is>
      </c>
      <c r="G15101" t="inlineStr">
        <is>
          <t>아누아 어성초 77 토너 250ml1</t>
        </is>
      </c>
      <c r="H15101" t="n">
        <v>20000</v>
      </c>
      <c r="I15101" t="inlineStr">
        <is>
          <t>210201</t>
        </is>
      </c>
      <c r="L15101" t="n">
        <v>0</v>
      </c>
      <c r="M15101" t="n">
        <v>0</v>
      </c>
      <c r="N15101" t="n">
        <v>0</v>
      </c>
      <c r="O15101" t="inlineStr">
        <is>
          <t>스타일쉐어0아누아 어성초 77 토너 250ml1210201</t>
        </is>
      </c>
    </row>
    <row r="15102">
      <c r="B15102" t="inlineStr">
        <is>
          <t>2021-02-07</t>
        </is>
      </c>
      <c r="C15102" t="inlineStr">
        <is>
          <t>일</t>
        </is>
      </c>
      <c r="E15102" t="inlineStr">
        <is>
          <t>0</t>
        </is>
      </c>
      <c r="F15102" t="inlineStr">
        <is>
          <t>카페24</t>
        </is>
      </c>
      <c r="G15102" t="inlineStr">
        <is>
          <t>5 제로 무기자차 선크림옵션=5제로 무기자차 선크림 1개-20% off</t>
        </is>
      </c>
      <c r="H15102" t="n">
        <v>1</v>
      </c>
      <c r="I15102" t="inlineStr">
        <is>
          <t>210201</t>
        </is>
      </c>
      <c r="L15102" t="n">
        <v>0</v>
      </c>
      <c r="M15102" t="n">
        <v>0</v>
      </c>
      <c r="N15102" t="n">
        <v>0</v>
      </c>
      <c r="O15102" t="inlineStr">
        <is>
          <t>카페2405 제로 무기자차 선크림옵션=5제로 무기자차 선크림 1개-20% off210201</t>
        </is>
      </c>
    </row>
    <row r="15103">
      <c r="B15103" t="inlineStr">
        <is>
          <t>2021-02-07</t>
        </is>
      </c>
      <c r="C15103" t="inlineStr">
        <is>
          <t>일</t>
        </is>
      </c>
      <c r="E15103" t="inlineStr">
        <is>
          <t>0</t>
        </is>
      </c>
      <c r="F15103" t="inlineStr">
        <is>
          <t>카페24</t>
        </is>
      </c>
      <c r="G15103" t="inlineStr">
        <is>
          <t>5 제로 무기자차 선크림옵션=5제로 무기자차 선크림 2개-30% off (무료배송)</t>
        </is>
      </c>
      <c r="H15103" t="n">
        <v>4</v>
      </c>
      <c r="I15103" t="inlineStr">
        <is>
          <t>210201</t>
        </is>
      </c>
      <c r="L15103" t="n">
        <v>0</v>
      </c>
      <c r="M15103" t="n">
        <v>0</v>
      </c>
      <c r="N15103" t="n">
        <v>0</v>
      </c>
      <c r="O15103" t="inlineStr">
        <is>
          <t>카페2405 제로 무기자차 선크림옵션=5제로 무기자차 선크림 2개-30% off (무료배송)210201</t>
        </is>
      </c>
    </row>
    <row r="15104">
      <c r="B15104" t="inlineStr">
        <is>
          <t>2021-02-07</t>
        </is>
      </c>
      <c r="C15104" t="inlineStr">
        <is>
          <t>일</t>
        </is>
      </c>
      <c r="E15104" t="inlineStr">
        <is>
          <t>0</t>
        </is>
      </c>
      <c r="F15104" t="inlineStr">
        <is>
          <t>카페24</t>
        </is>
      </c>
      <c r="G15104" t="inlineStr">
        <is>
          <t>[수분 보충 세트] 어성초 77 토너 + 어성초 70 로션옵션=어성초 77 토너 250ml + 어성초 70 로션 200ml -30%</t>
        </is>
      </c>
      <c r="H15104" t="n">
        <v>78</v>
      </c>
      <c r="I15104" t="inlineStr">
        <is>
          <t>210201</t>
        </is>
      </c>
      <c r="L15104" t="n">
        <v>0</v>
      </c>
      <c r="M15104" t="n">
        <v>0</v>
      </c>
      <c r="N15104" t="n">
        <v>0</v>
      </c>
      <c r="O15104" t="inlineStr">
        <is>
          <t>카페240[수분 보충 세트] 어성초 77 토너 + 어성초 70 로션옵션=어성초 77 토너 250ml + 어성초 70 로션 200ml -30%210201</t>
        </is>
      </c>
    </row>
    <row r="15105">
      <c r="B15105" t="inlineStr">
        <is>
          <t>2021-02-07</t>
        </is>
      </c>
      <c r="C15105" t="inlineStr">
        <is>
          <t>일</t>
        </is>
      </c>
      <c r="E15105" t="inlineStr">
        <is>
          <t>0</t>
        </is>
      </c>
      <c r="F15105" t="inlineStr">
        <is>
          <t>카페24</t>
        </is>
      </c>
      <c r="G15105" t="inlineStr">
        <is>
          <t>[어성초 진정 패키지 세트] 대용량 토너 + 앰플 + 수딩 크림 + 마스크팩 10장2</t>
        </is>
      </c>
      <c r="H15105" t="n">
        <v>24750</v>
      </c>
      <c r="I15105" t="inlineStr">
        <is>
          <t>210201</t>
        </is>
      </c>
      <c r="L15105" t="n">
        <v>0</v>
      </c>
      <c r="M15105" t="n">
        <v>0</v>
      </c>
      <c r="N15105" t="n">
        <v>0</v>
      </c>
      <c r="O15105" t="inlineStr">
        <is>
          <t>카페240[어성초 진정 패키지 세트] 대용량 토너 + 앰플 + 수딩 크림 + 마스크팩 10장2210201</t>
        </is>
      </c>
    </row>
    <row r="15106">
      <c r="B15106" t="inlineStr">
        <is>
          <t>2021-02-07</t>
        </is>
      </c>
      <c r="C15106" t="inlineStr">
        <is>
          <t>일</t>
        </is>
      </c>
      <c r="E15106" t="inlineStr">
        <is>
          <t>0</t>
        </is>
      </c>
      <c r="F15106" t="inlineStr">
        <is>
          <t>카페24</t>
        </is>
      </c>
      <c r="G15106" t="inlineStr">
        <is>
          <t>대용량 어성초 77 수딩 토너 500ml옵션=대용량 어성초 77 토너 1개 - 27% OFF</t>
        </is>
      </c>
      <c r="H15106" t="n">
        <v>21</v>
      </c>
      <c r="I15106" t="inlineStr">
        <is>
          <t>210201</t>
        </is>
      </c>
      <c r="L15106" t="n">
        <v>0</v>
      </c>
      <c r="M15106" t="n">
        <v>0</v>
      </c>
      <c r="N15106" t="n">
        <v>0</v>
      </c>
      <c r="O15106" t="inlineStr">
        <is>
          <t>카페240대용량 어성초 77 수딩 토너 500ml옵션=대용량 어성초 77 토너 1개 - 27% OFF210201</t>
        </is>
      </c>
    </row>
    <row r="15107">
      <c r="B15107" t="inlineStr">
        <is>
          <t>2021-02-07</t>
        </is>
      </c>
      <c r="C15107" t="inlineStr">
        <is>
          <t>일</t>
        </is>
      </c>
      <c r="E15107" t="inlineStr">
        <is>
          <t>0</t>
        </is>
      </c>
      <c r="F15107" t="inlineStr">
        <is>
          <t>카페24</t>
        </is>
      </c>
      <c r="G15107" t="inlineStr">
        <is>
          <t>대용량 어성초 77 수딩 토너 500ml화장솜(선택)=촉촉 스킨팩 화장솜</t>
        </is>
      </c>
      <c r="H15107" t="n">
        <v>8</v>
      </c>
      <c r="I15107" t="inlineStr">
        <is>
          <t>210201</t>
        </is>
      </c>
      <c r="L15107" t="n">
        <v>0</v>
      </c>
      <c r="M15107" t="n">
        <v>0</v>
      </c>
      <c r="N15107" t="n">
        <v>0</v>
      </c>
      <c r="O15107" t="inlineStr">
        <is>
          <t>카페240대용량 어성초 77 수딩 토너 500ml화장솜(선택)=촉촉 스킨팩 화장솜210201</t>
        </is>
      </c>
    </row>
    <row r="15108">
      <c r="B15108" t="inlineStr">
        <is>
          <t>2021-02-07</t>
        </is>
      </c>
      <c r="C15108" t="inlineStr">
        <is>
          <t>일</t>
        </is>
      </c>
      <c r="E15108" t="inlineStr">
        <is>
          <t>0</t>
        </is>
      </c>
      <c r="F15108" t="inlineStr">
        <is>
          <t>카페24</t>
        </is>
      </c>
      <c r="G15108" t="inlineStr">
        <is>
          <t>어성초 70 데일리 릴리프 로션로션=어성초 70 데일리 릴리프 로션 1개 -20% off</t>
        </is>
      </c>
      <c r="H15108" t="n">
        <v>6</v>
      </c>
      <c r="I15108" t="inlineStr">
        <is>
          <t>210201</t>
        </is>
      </c>
      <c r="L15108" t="n">
        <v>0</v>
      </c>
      <c r="M15108" t="n">
        <v>0</v>
      </c>
      <c r="N15108" t="n">
        <v>0</v>
      </c>
      <c r="O15108" t="inlineStr">
        <is>
          <t>카페240어성초 70 데일리 릴리프 로션로션=어성초 70 데일리 릴리프 로션 1개 -20% off210201</t>
        </is>
      </c>
    </row>
    <row r="15109">
      <c r="B15109" t="inlineStr">
        <is>
          <t>2021-02-07</t>
        </is>
      </c>
      <c r="C15109" t="inlineStr">
        <is>
          <t>일</t>
        </is>
      </c>
      <c r="E15109" t="inlineStr">
        <is>
          <t>0</t>
        </is>
      </c>
      <c r="F15109" t="inlineStr">
        <is>
          <t>카페24</t>
        </is>
      </c>
      <c r="G15109" t="inlineStr">
        <is>
          <t>어성초 70 데일리 릴리프 로션로션=어성초 70 데일리 릴리프 로션 2개 -30% off</t>
        </is>
      </c>
      <c r="H15109" t="n">
        <v>6</v>
      </c>
      <c r="I15109" t="inlineStr">
        <is>
          <t>210201</t>
        </is>
      </c>
      <c r="L15109" t="n">
        <v>0</v>
      </c>
      <c r="M15109" t="n">
        <v>0</v>
      </c>
      <c r="N15109" t="n">
        <v>0</v>
      </c>
      <c r="O15109" t="inlineStr">
        <is>
          <t>카페240어성초 70 데일리 릴리프 로션로션=어성초 70 데일리 릴리프 로션 2개 -30% off210201</t>
        </is>
      </c>
    </row>
    <row r="15110">
      <c r="B15110" t="inlineStr">
        <is>
          <t>2021-02-07</t>
        </is>
      </c>
      <c r="C15110" t="inlineStr">
        <is>
          <t>일</t>
        </is>
      </c>
      <c r="E15110" t="inlineStr">
        <is>
          <t>0</t>
        </is>
      </c>
      <c r="F15110" t="inlineStr">
        <is>
          <t>카페24</t>
        </is>
      </c>
      <c r="G15110" t="inlineStr">
        <is>
          <t>어성초 70 데일리 릴리프 로션로션=어성초 77토너 + 어성초 70 로션 수분 보충 세트 -30% off</t>
        </is>
      </c>
      <c r="H15110" t="n">
        <v>2</v>
      </c>
      <c r="I15110" t="inlineStr">
        <is>
          <t>210201</t>
        </is>
      </c>
      <c r="L15110" t="n">
        <v>0</v>
      </c>
      <c r="M15110" t="n">
        <v>0</v>
      </c>
      <c r="N15110" t="n">
        <v>0</v>
      </c>
      <c r="O15110" t="inlineStr">
        <is>
          <t>카페240어성초 70 데일리 릴리프 로션로션=어성초 77토너 + 어성초 70 로션 수분 보충 세트 -30% off210201</t>
        </is>
      </c>
    </row>
    <row r="15111">
      <c r="B15111" t="inlineStr">
        <is>
          <t>2021-02-07</t>
        </is>
      </c>
      <c r="C15111" t="inlineStr">
        <is>
          <t>일</t>
        </is>
      </c>
      <c r="E15111" t="inlineStr">
        <is>
          <t>0</t>
        </is>
      </c>
      <c r="F15111" t="inlineStr">
        <is>
          <t>카페24</t>
        </is>
      </c>
      <c r="G15111" t="inlineStr">
        <is>
          <t>어성초 70 머드 크림 마스크옵션=어성초 70 머드 크림 마스크-20% off</t>
        </is>
      </c>
      <c r="H15111" t="n">
        <v>5</v>
      </c>
      <c r="I15111" t="inlineStr">
        <is>
          <t>210201</t>
        </is>
      </c>
      <c r="L15111" t="n">
        <v>0</v>
      </c>
      <c r="M15111" t="n">
        <v>0</v>
      </c>
      <c r="N15111" t="n">
        <v>0</v>
      </c>
      <c r="O15111" t="inlineStr">
        <is>
          <t>카페240어성초 70 머드 크림 마스크옵션=어성초 70 머드 크림 마스크-20% off210201</t>
        </is>
      </c>
    </row>
    <row r="15112">
      <c r="B15112" t="inlineStr">
        <is>
          <t>2021-02-07</t>
        </is>
      </c>
      <c r="C15112" t="inlineStr">
        <is>
          <t>일</t>
        </is>
      </c>
      <c r="E15112" t="inlineStr">
        <is>
          <t>0</t>
        </is>
      </c>
      <c r="F15112" t="inlineStr">
        <is>
          <t>카페24</t>
        </is>
      </c>
      <c r="G15112" t="inlineStr">
        <is>
          <t>어성초 70 머드 크림 마스크옵션=어성초 70 머드 크림 마스크 2개-30% off (무료배송)</t>
        </is>
      </c>
      <c r="H15112" t="n">
        <v>14</v>
      </c>
      <c r="I15112" t="inlineStr">
        <is>
          <t>210201</t>
        </is>
      </c>
      <c r="L15112" t="n">
        <v>0</v>
      </c>
      <c r="M15112" t="n">
        <v>0</v>
      </c>
      <c r="N15112" t="n">
        <v>0</v>
      </c>
      <c r="O15112" t="inlineStr">
        <is>
          <t>카페240어성초 70 머드 크림 마스크옵션=어성초 70 머드 크림 마스크 2개-30% off (무료배송)210201</t>
        </is>
      </c>
    </row>
    <row r="15113">
      <c r="B15113" t="inlineStr">
        <is>
          <t>2021-02-07</t>
        </is>
      </c>
      <c r="C15113" t="inlineStr">
        <is>
          <t>일</t>
        </is>
      </c>
      <c r="E15113" t="inlineStr">
        <is>
          <t>0</t>
        </is>
      </c>
      <c r="F15113" t="inlineStr">
        <is>
          <t>카페24</t>
        </is>
      </c>
      <c r="G15113" t="inlineStr">
        <is>
          <t>어성초 70 인텐스 카밍 크림크림=어성초 70 인텐스 카밍 크림 1개 (-20%)</t>
        </is>
      </c>
      <c r="H15113" t="n">
        <v>1</v>
      </c>
      <c r="I15113" t="inlineStr">
        <is>
          <t>210201</t>
        </is>
      </c>
      <c r="L15113" t="n">
        <v>0</v>
      </c>
      <c r="M15113" t="n">
        <v>0</v>
      </c>
      <c r="N15113" t="n">
        <v>0</v>
      </c>
      <c r="O15113" t="inlineStr">
        <is>
          <t>카페240어성초 70 인텐스 카밍 크림크림=어성초 70 인텐스 카밍 크림 1개 (-20%)210201</t>
        </is>
      </c>
    </row>
    <row r="15114">
      <c r="B15114" t="inlineStr">
        <is>
          <t>2021-02-07</t>
        </is>
      </c>
      <c r="C15114" t="inlineStr">
        <is>
          <t>일</t>
        </is>
      </c>
      <c r="E15114" t="inlineStr">
        <is>
          <t>0</t>
        </is>
      </c>
      <c r="F15114" t="inlineStr">
        <is>
          <t>카페24</t>
        </is>
      </c>
      <c r="G15114" t="inlineStr">
        <is>
          <t>어성초 70 인텐스 카밍 크림크림=어성초 70 인텐스 카밍 크림 2개 (-30%)</t>
        </is>
      </c>
      <c r="H15114" t="n">
        <v>2</v>
      </c>
      <c r="I15114" t="inlineStr">
        <is>
          <t>210201</t>
        </is>
      </c>
      <c r="L15114" t="n">
        <v>0</v>
      </c>
      <c r="M15114" t="n">
        <v>0</v>
      </c>
      <c r="N15114" t="n">
        <v>0</v>
      </c>
      <c r="O15114" t="inlineStr">
        <is>
          <t>카페240어성초 70 인텐스 카밍 크림크림=어성초 70 인텐스 카밍 크림 2개 (-30%)210201</t>
        </is>
      </c>
    </row>
    <row r="15115">
      <c r="B15115" t="inlineStr">
        <is>
          <t>2021-02-07</t>
        </is>
      </c>
      <c r="C15115" t="inlineStr">
        <is>
          <t>일</t>
        </is>
      </c>
      <c r="E15115" t="inlineStr">
        <is>
          <t>0</t>
        </is>
      </c>
      <c r="F15115" t="inlineStr">
        <is>
          <t>카페24</t>
        </is>
      </c>
      <c r="G15115" t="inlineStr">
        <is>
          <t>어성초 77 진정 마스크옵션=어성초 77 진정 마스크팩 1장</t>
        </is>
      </c>
      <c r="H15115" t="n">
        <v>2</v>
      </c>
      <c r="I15115" t="inlineStr">
        <is>
          <t>210201</t>
        </is>
      </c>
      <c r="L15115" t="n">
        <v>0</v>
      </c>
      <c r="M15115" t="n">
        <v>0</v>
      </c>
      <c r="N15115" t="n">
        <v>0</v>
      </c>
      <c r="O15115" t="inlineStr">
        <is>
          <t>카페240어성초 77 진정 마스크옵션=어성초 77 진정 마스크팩 1장210201</t>
        </is>
      </c>
    </row>
    <row r="15116">
      <c r="B15116" t="inlineStr">
        <is>
          <t>2021-02-07</t>
        </is>
      </c>
      <c r="C15116" t="inlineStr">
        <is>
          <t>일</t>
        </is>
      </c>
      <c r="E15116" t="inlineStr">
        <is>
          <t>0</t>
        </is>
      </c>
      <c r="F15116" t="inlineStr">
        <is>
          <t>카페24</t>
        </is>
      </c>
      <c r="G15116" t="inlineStr">
        <is>
          <t>어성초 77 진정 마스크옵션=어성초 77 진정 마스크팩 10장-50% off</t>
        </is>
      </c>
      <c r="H15116" t="n">
        <v>4</v>
      </c>
      <c r="I15116" t="inlineStr">
        <is>
          <t>210201</t>
        </is>
      </c>
      <c r="L15116" t="n">
        <v>0</v>
      </c>
      <c r="M15116" t="n">
        <v>0</v>
      </c>
      <c r="N15116" t="n">
        <v>0</v>
      </c>
      <c r="O15116" t="inlineStr">
        <is>
          <t>카페240어성초 77 진정 마스크옵션=어성초 77 진정 마스크팩 10장-50% off210201</t>
        </is>
      </c>
    </row>
    <row r="15117">
      <c r="B15117" t="inlineStr">
        <is>
          <t>2021-02-07</t>
        </is>
      </c>
      <c r="C15117" t="inlineStr">
        <is>
          <t>일</t>
        </is>
      </c>
      <c r="E15117" t="inlineStr">
        <is>
          <t>0</t>
        </is>
      </c>
      <c r="F15117" t="inlineStr">
        <is>
          <t>카페24</t>
        </is>
      </c>
      <c r="G15117" t="inlineStr">
        <is>
          <t>어성초 77 진정 토너옵션=어성초 77 토너 1개-20% off</t>
        </is>
      </c>
      <c r="H15117" t="n">
        <v>21</v>
      </c>
      <c r="I15117" t="inlineStr">
        <is>
          <t>210201</t>
        </is>
      </c>
      <c r="L15117" t="n">
        <v>0</v>
      </c>
      <c r="M15117" t="n">
        <v>0</v>
      </c>
      <c r="N15117" t="n">
        <v>0</v>
      </c>
      <c r="O15117" t="inlineStr">
        <is>
          <t>카페240어성초 77 진정 토너옵션=어성초 77 토너 1개-20% off210201</t>
        </is>
      </c>
    </row>
    <row r="15118">
      <c r="B15118" t="inlineStr">
        <is>
          <t>2021-02-07</t>
        </is>
      </c>
      <c r="C15118" t="inlineStr">
        <is>
          <t>일</t>
        </is>
      </c>
      <c r="E15118" t="inlineStr">
        <is>
          <t>0</t>
        </is>
      </c>
      <c r="F15118" t="inlineStr">
        <is>
          <t>카페24</t>
        </is>
      </c>
      <c r="G15118" t="inlineStr">
        <is>
          <t>어성초 77 진정 토너옵션=BEST어성초 77 토너 2개-30% off (무료배송)</t>
        </is>
      </c>
      <c r="H15118" t="n">
        <v>86</v>
      </c>
      <c r="I15118" t="inlineStr">
        <is>
          <t>210201</t>
        </is>
      </c>
      <c r="L15118" t="n">
        <v>0</v>
      </c>
      <c r="M15118" t="n">
        <v>0</v>
      </c>
      <c r="N15118" t="n">
        <v>0</v>
      </c>
      <c r="O15118" t="inlineStr">
        <is>
          <t>카페240어성초 77 진정 토너옵션=BEST어성초 77 토너 2개-30% off (무료배송)210201</t>
        </is>
      </c>
    </row>
    <row r="15119">
      <c r="B15119" t="inlineStr">
        <is>
          <t>2021-02-07</t>
        </is>
      </c>
      <c r="C15119" t="inlineStr">
        <is>
          <t>일</t>
        </is>
      </c>
      <c r="E15119" t="inlineStr">
        <is>
          <t>0</t>
        </is>
      </c>
      <c r="F15119" t="inlineStr">
        <is>
          <t>카페24</t>
        </is>
      </c>
      <c r="G15119" t="inlineStr">
        <is>
          <t>어성초 77 진정 토너옵션=어성초 77토너1개 + 어성초77패드1개 -30% off (무료배송)</t>
        </is>
      </c>
      <c r="H15119" t="n">
        <v>48</v>
      </c>
      <c r="I15119" t="inlineStr">
        <is>
          <t>210201</t>
        </is>
      </c>
      <c r="L15119" t="n">
        <v>0</v>
      </c>
      <c r="M15119" t="n">
        <v>0</v>
      </c>
      <c r="N15119" t="n">
        <v>0</v>
      </c>
      <c r="O15119" t="inlineStr">
        <is>
          <t>카페240어성초 77 진정 토너옵션=어성초 77토너1개 + 어성초77패드1개 -30% off (무료배송)210201</t>
        </is>
      </c>
    </row>
    <row r="15120">
      <c r="B15120" t="inlineStr">
        <is>
          <t>2021-02-07</t>
        </is>
      </c>
      <c r="C15120" t="inlineStr">
        <is>
          <t>일</t>
        </is>
      </c>
      <c r="E15120" t="inlineStr">
        <is>
          <t>0</t>
        </is>
      </c>
      <c r="F15120" t="inlineStr">
        <is>
          <t>카페24</t>
        </is>
      </c>
      <c r="G15120" t="inlineStr">
        <is>
          <t>어성초 77 진정 토너화장솜(선택)=촉촉 스킨팩 화장솜</t>
        </is>
      </c>
      <c r="H15120" t="n">
        <v>23</v>
      </c>
      <c r="I15120" t="inlineStr">
        <is>
          <t>210201</t>
        </is>
      </c>
      <c r="L15120" t="n">
        <v>0</v>
      </c>
      <c r="M15120" t="n">
        <v>0</v>
      </c>
      <c r="N15120" t="n">
        <v>0</v>
      </c>
      <c r="O15120" t="inlineStr">
        <is>
          <t>카페240어성초 77 진정 토너화장솜(선택)=촉촉 스킨팩 화장솜210201</t>
        </is>
      </c>
    </row>
    <row r="15121">
      <c r="B15121" t="inlineStr">
        <is>
          <t>2021-02-07</t>
        </is>
      </c>
      <c r="C15121" t="inlineStr">
        <is>
          <t>일</t>
        </is>
      </c>
      <c r="E15121" t="inlineStr">
        <is>
          <t>0</t>
        </is>
      </c>
      <c r="F15121" t="inlineStr">
        <is>
          <t>카페24</t>
        </is>
      </c>
      <c r="G15121" t="inlineStr">
        <is>
          <t>어성초 77 클리어 패드옵션=어성초 77 클리어 패드 1개-20% off</t>
        </is>
      </c>
      <c r="H15121" t="n">
        <v>25</v>
      </c>
      <c r="I15121" t="inlineStr">
        <is>
          <t>210201</t>
        </is>
      </c>
      <c r="L15121" t="n">
        <v>0</v>
      </c>
      <c r="M15121" t="n">
        <v>0</v>
      </c>
      <c r="N15121" t="n">
        <v>0</v>
      </c>
      <c r="O15121" t="inlineStr">
        <is>
          <t>카페240어성초 77 클리어 패드옵션=어성초 77 클리어 패드 1개-20% off210201</t>
        </is>
      </c>
    </row>
    <row r="15122">
      <c r="B15122" t="inlineStr">
        <is>
          <t>2021-02-07</t>
        </is>
      </c>
      <c r="C15122" t="inlineStr">
        <is>
          <t>일</t>
        </is>
      </c>
      <c r="E15122" t="inlineStr">
        <is>
          <t>0</t>
        </is>
      </c>
      <c r="F15122" t="inlineStr">
        <is>
          <t>카페24</t>
        </is>
      </c>
      <c r="G15122" t="inlineStr">
        <is>
          <t>어성초 77 클리어 패드옵션=어성초 77 클리어 패드 2개-30% off (무료배송)</t>
        </is>
      </c>
      <c r="H15122" t="n">
        <v>46</v>
      </c>
      <c r="I15122" t="inlineStr">
        <is>
          <t>210201</t>
        </is>
      </c>
      <c r="L15122" t="n">
        <v>0</v>
      </c>
      <c r="M15122" t="n">
        <v>0</v>
      </c>
      <c r="N15122" t="n">
        <v>0</v>
      </c>
      <c r="O15122" t="inlineStr">
        <is>
          <t>카페240어성초 77 클리어 패드옵션=어성초 77 클리어 패드 2개-30% off (무료배송)210201</t>
        </is>
      </c>
    </row>
    <row r="15123">
      <c r="B15123" t="inlineStr">
        <is>
          <t>2021-02-07</t>
        </is>
      </c>
      <c r="C15123" t="inlineStr">
        <is>
          <t>일</t>
        </is>
      </c>
      <c r="E15123" t="inlineStr">
        <is>
          <t>0</t>
        </is>
      </c>
      <c r="F15123" t="inlineStr">
        <is>
          <t>카페24</t>
        </is>
      </c>
      <c r="G15123" t="inlineStr">
        <is>
          <t>어성초 77 클리어 패드옵션=어성초 77 클리어 패드 2+1 EVENT (무료배송)</t>
        </is>
      </c>
      <c r="H15123" t="n">
        <v>75</v>
      </c>
      <c r="I15123" t="inlineStr">
        <is>
          <t>210201</t>
        </is>
      </c>
      <c r="L15123" t="n">
        <v>0</v>
      </c>
      <c r="M15123" t="n">
        <v>0</v>
      </c>
      <c r="N15123" t="n">
        <v>0</v>
      </c>
      <c r="O15123" t="inlineStr">
        <is>
          <t>카페240어성초 77 클리어 패드옵션=어성초 77 클리어 패드 2+1 EVENT (무료배송)210201</t>
        </is>
      </c>
    </row>
    <row r="15124">
      <c r="B15124" t="inlineStr">
        <is>
          <t>2021-02-07</t>
        </is>
      </c>
      <c r="C15124" t="inlineStr">
        <is>
          <t>일</t>
        </is>
      </c>
      <c r="E15124" t="inlineStr">
        <is>
          <t>0</t>
        </is>
      </c>
      <c r="F15124" t="inlineStr">
        <is>
          <t>카페24</t>
        </is>
      </c>
      <c r="G15124" t="inlineStr">
        <is>
          <t>어성초 77 클리어 패드옵션=어성초77토너1개+어성초77패드1개-30% off (무료배송)</t>
        </is>
      </c>
      <c r="H15124" t="n">
        <v>22</v>
      </c>
      <c r="I15124" t="inlineStr">
        <is>
          <t>210201</t>
        </is>
      </c>
      <c r="L15124" t="n">
        <v>0</v>
      </c>
      <c r="M15124" t="n">
        <v>0</v>
      </c>
      <c r="N15124" t="n">
        <v>0</v>
      </c>
      <c r="O15124" t="inlineStr">
        <is>
          <t>카페240어성초 77 클리어 패드옵션=어성초77토너1개+어성초77패드1개-30% off (무료배송)210201</t>
        </is>
      </c>
    </row>
    <row r="15125">
      <c r="B15125" t="inlineStr">
        <is>
          <t>2021-02-07</t>
        </is>
      </c>
      <c r="C15125" t="inlineStr">
        <is>
          <t>일</t>
        </is>
      </c>
      <c r="E15125" t="inlineStr">
        <is>
          <t>0</t>
        </is>
      </c>
      <c r="F15125" t="inlineStr">
        <is>
          <t>카페24</t>
        </is>
      </c>
      <c r="G15125" t="inlineStr">
        <is>
          <t>어성초 77 토너2</t>
        </is>
      </c>
      <c r="H15125" t="n">
        <v>21500</v>
      </c>
      <c r="I15125" t="inlineStr">
        <is>
          <t>210201</t>
        </is>
      </c>
      <c r="L15125" t="n">
        <v>0</v>
      </c>
      <c r="M15125" t="n">
        <v>0</v>
      </c>
      <c r="N15125" t="n">
        <v>0</v>
      </c>
      <c r="O15125" t="inlineStr">
        <is>
          <t>카페240어성초 77 토너2210201</t>
        </is>
      </c>
    </row>
    <row r="15126">
      <c r="B15126" t="inlineStr">
        <is>
          <t>2021-02-07</t>
        </is>
      </c>
      <c r="C15126" t="inlineStr">
        <is>
          <t>일</t>
        </is>
      </c>
      <c r="E15126" t="inlineStr">
        <is>
          <t>0</t>
        </is>
      </c>
      <c r="F15126" t="inlineStr">
        <is>
          <t>카페24</t>
        </is>
      </c>
      <c r="G15126" t="inlineStr">
        <is>
          <t>어성초 77% 패드옵션=어성초 77 클리어 패드 1개-20% off</t>
        </is>
      </c>
      <c r="H15126" t="n">
        <v>16</v>
      </c>
      <c r="I15126" t="inlineStr">
        <is>
          <t>210201</t>
        </is>
      </c>
      <c r="L15126" t="n">
        <v>0</v>
      </c>
      <c r="M15126" t="n">
        <v>0</v>
      </c>
      <c r="N15126" t="n">
        <v>0</v>
      </c>
      <c r="O15126" t="inlineStr">
        <is>
          <t>카페240어성초 77% 패드옵션=어성초 77 클리어 패드 1개-20% off210201</t>
        </is>
      </c>
    </row>
    <row r="15127">
      <c r="B15127" t="inlineStr">
        <is>
          <t>2021-02-07</t>
        </is>
      </c>
      <c r="C15127" t="inlineStr">
        <is>
          <t>일</t>
        </is>
      </c>
      <c r="E15127" t="inlineStr">
        <is>
          <t>0</t>
        </is>
      </c>
      <c r="F15127" t="inlineStr">
        <is>
          <t>카페24</t>
        </is>
      </c>
      <c r="G15127" t="inlineStr">
        <is>
          <t>어성초 77% 패드옵션=어성초 77 클리어 패드 2개-30% off (무료배송)</t>
        </is>
      </c>
      <c r="H15127" t="n">
        <v>50</v>
      </c>
      <c r="I15127" t="inlineStr">
        <is>
          <t>210201</t>
        </is>
      </c>
      <c r="L15127" t="n">
        <v>0</v>
      </c>
      <c r="M15127" t="n">
        <v>0</v>
      </c>
      <c r="N15127" t="n">
        <v>0</v>
      </c>
      <c r="O15127" t="inlineStr">
        <is>
          <t>카페240어성초 77% 패드옵션=어성초 77 클리어 패드 2개-30% off (무료배송)210201</t>
        </is>
      </c>
    </row>
    <row r="15128">
      <c r="B15128" t="inlineStr">
        <is>
          <t>2021-02-07</t>
        </is>
      </c>
      <c r="C15128" t="inlineStr">
        <is>
          <t>일</t>
        </is>
      </c>
      <c r="E15128" t="inlineStr">
        <is>
          <t>0</t>
        </is>
      </c>
      <c r="F15128" t="inlineStr">
        <is>
          <t>카페24</t>
        </is>
      </c>
      <c r="G15128" t="inlineStr">
        <is>
          <t>어성초 77% 패드옵션=어성초 77 클리어 패드 2+1 EVENT (무료배송)</t>
        </is>
      </c>
      <c r="H15128" t="n">
        <v>54</v>
      </c>
      <c r="I15128" t="inlineStr">
        <is>
          <t>210201</t>
        </is>
      </c>
      <c r="L15128" t="n">
        <v>0</v>
      </c>
      <c r="M15128" t="n">
        <v>0</v>
      </c>
      <c r="N15128" t="n">
        <v>0</v>
      </c>
      <c r="O15128" t="inlineStr">
        <is>
          <t>카페240어성초 77% 패드옵션=어성초 77 클리어 패드 2+1 EVENT (무료배송)210201</t>
        </is>
      </c>
    </row>
    <row r="15129">
      <c r="B15129" t="inlineStr">
        <is>
          <t>2021-02-07</t>
        </is>
      </c>
      <c r="C15129" t="inlineStr">
        <is>
          <t>일</t>
        </is>
      </c>
      <c r="E15129" t="inlineStr">
        <is>
          <t>0</t>
        </is>
      </c>
      <c r="F15129" t="inlineStr">
        <is>
          <t>카페24</t>
        </is>
      </c>
      <c r="G15129" t="inlineStr">
        <is>
          <t>어성초 77% 패드옵션=어성초77토너1개+어성초77패드1개-30% off (무료배송)</t>
        </is>
      </c>
      <c r="H15129" t="n">
        <v>18</v>
      </c>
      <c r="I15129" t="inlineStr">
        <is>
          <t>210201</t>
        </is>
      </c>
      <c r="L15129" t="n">
        <v>0</v>
      </c>
      <c r="M15129" t="n">
        <v>0</v>
      </c>
      <c r="N15129" t="n">
        <v>0</v>
      </c>
      <c r="O15129" t="inlineStr">
        <is>
          <t>카페240어성초 77% 패드옵션=어성초77토너1개+어성초77패드1개-30% off (무료배송)210201</t>
        </is>
      </c>
    </row>
    <row r="15130">
      <c r="B15130" t="inlineStr">
        <is>
          <t>2021-02-07</t>
        </is>
      </c>
      <c r="C15130" t="inlineStr">
        <is>
          <t>일</t>
        </is>
      </c>
      <c r="E15130" t="inlineStr">
        <is>
          <t>0</t>
        </is>
      </c>
      <c r="F15130" t="inlineStr">
        <is>
          <t>카페24</t>
        </is>
      </c>
      <c r="G15130" t="inlineStr">
        <is>
          <t>어성초 78 수딩 크림4</t>
        </is>
      </c>
      <c r="H15130" t="n">
        <v>38000</v>
      </c>
      <c r="I15130" t="inlineStr">
        <is>
          <t>210201</t>
        </is>
      </c>
      <c r="L15130" t="n">
        <v>0</v>
      </c>
      <c r="M15130" t="n">
        <v>0</v>
      </c>
      <c r="N15130" t="n">
        <v>0</v>
      </c>
      <c r="O15130" t="inlineStr">
        <is>
          <t>카페240어성초 78 수딩 크림4210201</t>
        </is>
      </c>
    </row>
    <row r="15131">
      <c r="B15131" t="inlineStr">
        <is>
          <t>2021-02-07</t>
        </is>
      </c>
      <c r="C15131" t="inlineStr">
        <is>
          <t>일</t>
        </is>
      </c>
      <c r="E15131" t="inlineStr">
        <is>
          <t>0</t>
        </is>
      </c>
      <c r="F15131" t="inlineStr">
        <is>
          <t>카페24</t>
        </is>
      </c>
      <c r="G15131" t="inlineStr">
        <is>
          <t>어성초 78 수딩 크림4</t>
        </is>
      </c>
      <c r="H15131" t="n">
        <v>38000</v>
      </c>
      <c r="I15131" t="inlineStr">
        <is>
          <t>210201</t>
        </is>
      </c>
      <c r="L15131" t="n">
        <v>0</v>
      </c>
      <c r="M15131" t="n">
        <v>0</v>
      </c>
      <c r="N15131" t="n">
        <v>0</v>
      </c>
      <c r="O15131" t="inlineStr">
        <is>
          <t>카페240어성초 78 수딩 크림4210201</t>
        </is>
      </c>
    </row>
    <row r="15132">
      <c r="B15132" t="inlineStr">
        <is>
          <t>2021-02-07</t>
        </is>
      </c>
      <c r="C15132" t="inlineStr">
        <is>
          <t>일</t>
        </is>
      </c>
      <c r="E15132" t="inlineStr">
        <is>
          <t>0</t>
        </is>
      </c>
      <c r="F15132" t="inlineStr">
        <is>
          <t>카페24</t>
        </is>
      </c>
      <c r="G15132" t="inlineStr">
        <is>
          <t>어성초 80 수분 진정 앰플앰플=어성초 80 앰플 1개-15%off</t>
        </is>
      </c>
      <c r="H15132" t="n">
        <v>16</v>
      </c>
      <c r="I15132" t="inlineStr">
        <is>
          <t>210201</t>
        </is>
      </c>
      <c r="L15132" t="n">
        <v>0</v>
      </c>
      <c r="M15132" t="n">
        <v>0</v>
      </c>
      <c r="N15132" t="n">
        <v>0</v>
      </c>
      <c r="O15132" t="inlineStr">
        <is>
          <t>카페240어성초 80 수분 진정 앰플앰플=어성초 80 앰플 1개-15%off210201</t>
        </is>
      </c>
    </row>
    <row r="15133">
      <c r="B15133" t="inlineStr">
        <is>
          <t>2021-02-07</t>
        </is>
      </c>
      <c r="C15133" t="inlineStr">
        <is>
          <t>일</t>
        </is>
      </c>
      <c r="E15133" t="inlineStr">
        <is>
          <t>0</t>
        </is>
      </c>
      <c r="F15133" t="inlineStr">
        <is>
          <t>카페24</t>
        </is>
      </c>
      <c r="G15133" t="inlineStr">
        <is>
          <t>어성초 80 수분 진정 앰플앰플=어성초 80 앰플 2개-27%off (무료배송)</t>
        </is>
      </c>
      <c r="H15133" t="n">
        <v>16</v>
      </c>
      <c r="I15133" t="inlineStr">
        <is>
          <t>210201</t>
        </is>
      </c>
      <c r="L15133" t="n">
        <v>0</v>
      </c>
      <c r="M15133" t="n">
        <v>0</v>
      </c>
      <c r="N15133" t="n">
        <v>0</v>
      </c>
      <c r="O15133" t="inlineStr">
        <is>
          <t>카페240어성초 80 수분 진정 앰플앰플=어성초 80 앰플 2개-27%off (무료배송)210201</t>
        </is>
      </c>
    </row>
    <row r="15134">
      <c r="B15134" t="inlineStr">
        <is>
          <t>2021-02-07</t>
        </is>
      </c>
      <c r="C15134" t="inlineStr">
        <is>
          <t>일</t>
        </is>
      </c>
      <c r="E15134" t="inlineStr">
        <is>
          <t>0</t>
        </is>
      </c>
      <c r="F15134" t="inlineStr">
        <is>
          <t>카페24</t>
        </is>
      </c>
      <c r="G15134" t="inlineStr">
        <is>
          <t>어성초 80 수분 진정 앰플6</t>
        </is>
      </c>
      <c r="H15134" t="n">
        <v>29000</v>
      </c>
      <c r="I15134" t="inlineStr">
        <is>
          <t>210201</t>
        </is>
      </c>
      <c r="L15134" t="n">
        <v>0</v>
      </c>
      <c r="M15134" t="n">
        <v>0</v>
      </c>
      <c r="N15134" t="n">
        <v>0</v>
      </c>
      <c r="O15134" t="inlineStr">
        <is>
          <t>카페240어성초 80 수분 진정 앰플6210201</t>
        </is>
      </c>
    </row>
    <row r="15135">
      <c r="B15135" t="inlineStr">
        <is>
          <t>2021-02-07</t>
        </is>
      </c>
      <c r="C15135" t="inlineStr">
        <is>
          <t>일</t>
        </is>
      </c>
      <c r="E15135" t="inlineStr">
        <is>
          <t>0</t>
        </is>
      </c>
      <c r="F15135" t="inlineStr">
        <is>
          <t>카페24</t>
        </is>
      </c>
      <c r="G15135" t="inlineStr">
        <is>
          <t>어성초 아크네 바디워시옵션=어성초 아크네 바디워시 1개 -30% off</t>
        </is>
      </c>
      <c r="H15135" t="n">
        <v>1</v>
      </c>
      <c r="I15135" t="inlineStr">
        <is>
          <t>210201</t>
        </is>
      </c>
      <c r="L15135" t="n">
        <v>0</v>
      </c>
      <c r="M15135" t="n">
        <v>0</v>
      </c>
      <c r="N15135" t="n">
        <v>0</v>
      </c>
      <c r="O15135" t="inlineStr">
        <is>
          <t>카페240어성초 아크네 바디워시옵션=어성초 아크네 바디워시 1개 -30% off210201</t>
        </is>
      </c>
    </row>
    <row r="15136">
      <c r="B15136" t="inlineStr">
        <is>
          <t>2021-02-07</t>
        </is>
      </c>
      <c r="C15136" t="inlineStr">
        <is>
          <t>일</t>
        </is>
      </c>
      <c r="E15136" t="inlineStr">
        <is>
          <t>0</t>
        </is>
      </c>
      <c r="F15136" t="inlineStr">
        <is>
          <t>카페24</t>
        </is>
      </c>
      <c r="G15136" t="inlineStr">
        <is>
          <t>어성초 아크네 바디워시옵션=어성초 아크네 바디워시 2개 -35% off (무료배송)</t>
        </is>
      </c>
      <c r="H15136" t="n">
        <v>2</v>
      </c>
      <c r="I15136" t="inlineStr">
        <is>
          <t>210201</t>
        </is>
      </c>
      <c r="L15136" t="n">
        <v>0</v>
      </c>
      <c r="M15136" t="n">
        <v>0</v>
      </c>
      <c r="N15136" t="n">
        <v>0</v>
      </c>
      <c r="O15136" t="inlineStr">
        <is>
          <t>카페240어성초 아크네 바디워시옵션=어성초 아크네 바디워시 2개 -35% off (무료배송)210201</t>
        </is>
      </c>
    </row>
    <row r="15137">
      <c r="B15137" t="inlineStr">
        <is>
          <t>2021-02-07</t>
        </is>
      </c>
      <c r="C15137" t="inlineStr">
        <is>
          <t>일</t>
        </is>
      </c>
      <c r="E15137" t="inlineStr">
        <is>
          <t>0</t>
        </is>
      </c>
      <c r="F15137" t="inlineStr">
        <is>
          <t>카페24</t>
        </is>
      </c>
      <c r="G15137" t="inlineStr">
        <is>
          <t>어성초 약산성 클렌징폼클렌징폼=어성초 약산성 클렌징폼 1개 -19%off</t>
        </is>
      </c>
      <c r="H15137" t="n">
        <v>10</v>
      </c>
      <c r="I15137" t="inlineStr">
        <is>
          <t>210201</t>
        </is>
      </c>
      <c r="L15137" t="n">
        <v>0</v>
      </c>
      <c r="M15137" t="n">
        <v>0</v>
      </c>
      <c r="N15137" t="n">
        <v>0</v>
      </c>
      <c r="O15137" t="inlineStr">
        <is>
          <t>카페240어성초 약산성 클렌징폼클렌징폼=어성초 약산성 클렌징폼 1개 -19%off210201</t>
        </is>
      </c>
    </row>
    <row r="15138">
      <c r="B15138" t="inlineStr">
        <is>
          <t>2021-02-07</t>
        </is>
      </c>
      <c r="C15138" t="inlineStr">
        <is>
          <t>일</t>
        </is>
      </c>
      <c r="E15138" t="inlineStr">
        <is>
          <t>0</t>
        </is>
      </c>
      <c r="F15138" t="inlineStr">
        <is>
          <t>카페24</t>
        </is>
      </c>
      <c r="G15138" t="inlineStr">
        <is>
          <t>어성초 약산성 클렌징폼클렌징폼=어성초 약산성 클렌징폼 2개 -25%off</t>
        </is>
      </c>
      <c r="H15138" t="n">
        <v>4</v>
      </c>
      <c r="I15138" t="inlineStr">
        <is>
          <t>210201</t>
        </is>
      </c>
      <c r="L15138" t="n">
        <v>0</v>
      </c>
      <c r="M15138" t="n">
        <v>0</v>
      </c>
      <c r="N15138" t="n">
        <v>0</v>
      </c>
      <c r="O15138" t="inlineStr">
        <is>
          <t>카페240어성초 약산성 클렌징폼클렌징폼=어성초 약산성 클렌징폼 2개 -25%off210201</t>
        </is>
      </c>
    </row>
    <row r="15139">
      <c r="B15139" t="inlineStr">
        <is>
          <t>2021-02-07</t>
        </is>
      </c>
      <c r="C15139" t="inlineStr">
        <is>
          <t>일</t>
        </is>
      </c>
      <c r="E15139" t="inlineStr">
        <is>
          <t>0</t>
        </is>
      </c>
      <c r="F15139" t="inlineStr">
        <is>
          <t>카페24</t>
        </is>
      </c>
      <c r="G15139" t="inlineStr">
        <is>
          <t>어성초 약산성 클렌징폼클렌징폼=어성초 약산성 클렌징폼 3개 -31%off (무료배송)</t>
        </is>
      </c>
      <c r="H15139" t="n">
        <v>9</v>
      </c>
      <c r="I15139" t="inlineStr">
        <is>
          <t>210201</t>
        </is>
      </c>
      <c r="L15139" t="n">
        <v>0</v>
      </c>
      <c r="M15139" t="n">
        <v>0</v>
      </c>
      <c r="N15139" t="n">
        <v>0</v>
      </c>
      <c r="O15139" t="inlineStr">
        <is>
          <t>카페240어성초 약산성 클렌징폼클렌징폼=어성초 약산성 클렌징폼 3개 -31%off (무료배송)210201</t>
        </is>
      </c>
    </row>
    <row r="15140">
      <c r="B15140" t="inlineStr">
        <is>
          <t>2021-02-07</t>
        </is>
      </c>
      <c r="C15140" t="inlineStr">
        <is>
          <t>일</t>
        </is>
      </c>
      <c r="E15140" t="inlineStr">
        <is>
          <t>0</t>
        </is>
      </c>
      <c r="F15140" t="inlineStr">
        <is>
          <t>카페24</t>
        </is>
      </c>
      <c r="G15140" t="inlineStr">
        <is>
          <t>어성초 크림마스크 나이트 솔루션옵션=어성초 크림마스크 나이트 솔루션 1장</t>
        </is>
      </c>
      <c r="H15140" t="n">
        <v>1</v>
      </c>
      <c r="I15140" t="inlineStr">
        <is>
          <t>210201</t>
        </is>
      </c>
      <c r="L15140" t="n">
        <v>0</v>
      </c>
      <c r="M15140" t="n">
        <v>0</v>
      </c>
      <c r="N15140" t="n">
        <v>0</v>
      </c>
      <c r="O15140" t="inlineStr">
        <is>
          <t>카페240어성초 크림마스크 나이트 솔루션옵션=어성초 크림마스크 나이트 솔루션 1장210201</t>
        </is>
      </c>
    </row>
    <row r="15141">
      <c r="B15141" t="inlineStr">
        <is>
          <t>2021-02-07</t>
        </is>
      </c>
      <c r="C15141" t="inlineStr">
        <is>
          <t>일</t>
        </is>
      </c>
      <c r="E15141" t="inlineStr">
        <is>
          <t>0</t>
        </is>
      </c>
      <c r="F15141" t="inlineStr">
        <is>
          <t>카페24</t>
        </is>
      </c>
      <c r="G15141" t="inlineStr">
        <is>
          <t>어성초 크림마스크 나이트 솔루션옵션=어성초 크림마스크 나이트 솔루션 10장 (-50%)</t>
        </is>
      </c>
      <c r="H15141" t="n">
        <v>4</v>
      </c>
      <c r="I15141" t="inlineStr">
        <is>
          <t>210201</t>
        </is>
      </c>
      <c r="L15141" t="n">
        <v>0</v>
      </c>
      <c r="M15141" t="n">
        <v>0</v>
      </c>
      <c r="N15141" t="n">
        <v>0</v>
      </c>
      <c r="O15141" t="inlineStr">
        <is>
          <t>카페240어성초 크림마스크 나이트 솔루션옵션=어성초 크림마스크 나이트 솔루션 10장 (-50%)210201</t>
        </is>
      </c>
    </row>
    <row r="15142">
      <c r="B15142" t="inlineStr">
        <is>
          <t>2021-02-07</t>
        </is>
      </c>
      <c r="C15142" t="inlineStr">
        <is>
          <t>일</t>
        </is>
      </c>
      <c r="E15142" t="inlineStr">
        <is>
          <t>0</t>
        </is>
      </c>
      <c r="F15142" t="inlineStr">
        <is>
          <t>카페24</t>
        </is>
      </c>
      <c r="G15142" t="inlineStr">
        <is>
          <t>청귤 비타 잡티 마스크옵션=청귤 비타 잡티 마스크 10장 (50% off)</t>
        </is>
      </c>
      <c r="H15142" t="n">
        <v>1</v>
      </c>
      <c r="I15142" t="inlineStr">
        <is>
          <t>210201</t>
        </is>
      </c>
      <c r="L15142" t="n">
        <v>0</v>
      </c>
      <c r="M15142" t="n">
        <v>0</v>
      </c>
      <c r="N15142" t="n">
        <v>0</v>
      </c>
      <c r="O15142" t="inlineStr">
        <is>
          <t>카페240청귤 비타 잡티 마스크옵션=청귤 비타 잡티 마스크 10장 (50% off)210201</t>
        </is>
      </c>
    </row>
    <row r="15143">
      <c r="B15143" t="inlineStr">
        <is>
          <t>2021-02-07</t>
        </is>
      </c>
      <c r="C15143" t="inlineStr">
        <is>
          <t>일</t>
        </is>
      </c>
      <c r="E15143" t="inlineStr">
        <is>
          <t>0</t>
        </is>
      </c>
      <c r="F15143" t="inlineStr">
        <is>
          <t>카페24</t>
        </is>
      </c>
      <c r="G15143" t="inlineStr">
        <is>
          <t>촉촉 스킨팩 화장솜19</t>
        </is>
      </c>
      <c r="H15143" t="n">
        <v>3000</v>
      </c>
      <c r="I15143" t="inlineStr">
        <is>
          <t>210201</t>
        </is>
      </c>
      <c r="L15143" t="n">
        <v>0</v>
      </c>
      <c r="M15143" t="n">
        <v>0</v>
      </c>
      <c r="N15143" t="n">
        <v>0</v>
      </c>
      <c r="O15143" t="inlineStr">
        <is>
          <t>카페240촉촉 스킨팩 화장솜19210201</t>
        </is>
      </c>
    </row>
  </sheetData>
  <autoFilter ref="A1:Q3052">
    <filterColumn colId="3">
      <filters>
        <filter val="카카오광고"/>
        <filter val="카카오모먼트"/>
        <filter val="카카오모먼트(리타게팅)"/>
      </filters>
    </filterColumn>
  </autoFilter>
  <pageMargins left="0.7" right="0.7" top="0.75" bottom="0.75" header="0.3" footer="0.3"/>
  <pageSetup orientation="portrait" paperSize="9"/>
  <legacyDrawing r:id="anysvml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V529"/>
  <sheetViews>
    <sheetView workbookViewId="0">
      <selection activeCell="C45" sqref="C45"/>
    </sheetView>
  </sheetViews>
  <sheetFormatPr baseColWidth="8" defaultRowHeight="17.4"/>
  <cols>
    <col width="13.09765625" bestFit="1" customWidth="1" style="93" min="1" max="1"/>
    <col width="9.19921875" bestFit="1" customWidth="1" style="93" min="2" max="2"/>
    <col width="9" bestFit="1" customWidth="1" style="93" min="3" max="3"/>
    <col width="17.69921875" bestFit="1" customWidth="1" style="93" min="4" max="21"/>
    <col width="14.5" bestFit="1" customWidth="1" style="93" min="22" max="23"/>
    <col width="11.19921875" bestFit="1" customWidth="1" style="93" min="24" max="24"/>
    <col width="10.69921875" bestFit="1" customWidth="1" style="93" min="25" max="25"/>
    <col width="18.09765625" bestFit="1" customWidth="1" style="93" min="26" max="26"/>
    <col width="12" bestFit="1" customWidth="1" style="93" min="27" max="27"/>
    <col width="13.19921875" bestFit="1" customWidth="1" style="93" min="28" max="28"/>
    <col width="14" bestFit="1" customWidth="1" style="93" min="29" max="30"/>
    <col width="19" bestFit="1" customWidth="1" style="93" min="31" max="31"/>
    <col width="15.5" bestFit="1" customWidth="1" style="93" min="32" max="32"/>
    <col width="9.19921875" bestFit="1" customWidth="1" style="93" min="33" max="33"/>
    <col width="18.09765625" bestFit="1" customWidth="1" style="93" min="34" max="34"/>
    <col width="9.19921875" bestFit="1" customWidth="1" style="93" min="35" max="35"/>
    <col width="14" bestFit="1" customWidth="1" style="93" min="36" max="36"/>
    <col width="9.59765625" bestFit="1" customWidth="1" style="93" min="37" max="37"/>
    <col width="11.19921875" bestFit="1" customWidth="1" style="93" min="38" max="38"/>
    <col width="13.19921875" bestFit="1" customWidth="1" style="93" min="39" max="39"/>
  </cols>
  <sheetData>
    <row r="2">
      <c r="A2" s="1" t="inlineStr">
        <is>
          <t>채널</t>
        </is>
      </c>
      <c r="B2" s="94" t="inlineStr">
        <is>
          <t>카페24</t>
        </is>
      </c>
    </row>
    <row r="4">
      <c r="A4" s="1" t="inlineStr">
        <is>
          <t>합계 : 판매액</t>
        </is>
      </c>
      <c r="D4" s="1" t="inlineStr">
        <is>
          <t>상품1</t>
        </is>
      </c>
    </row>
    <row r="5">
      <c r="A5" s="1" t="inlineStr">
        <is>
          <t>연</t>
        </is>
      </c>
      <c r="B5" s="1" t="inlineStr">
        <is>
          <t>월</t>
        </is>
      </c>
      <c r="C5" s="1" t="inlineStr">
        <is>
          <t>일자</t>
        </is>
      </c>
      <c r="D5" s="94" t="inlineStr">
        <is>
          <t>토너</t>
        </is>
      </c>
      <c r="E5" s="94" t="inlineStr">
        <is>
          <t>클리어 패드</t>
        </is>
      </c>
      <c r="F5" s="94" t="inlineStr">
        <is>
          <t>토너+패드 세트</t>
        </is>
      </c>
      <c r="G5" s="94" t="inlineStr">
        <is>
          <t>앰플</t>
        </is>
      </c>
      <c r="H5" s="94" t="inlineStr">
        <is>
          <t>수분 보충 세트</t>
        </is>
      </c>
      <c r="I5" s="94" t="inlineStr">
        <is>
          <t>어성초진정패키지</t>
        </is>
      </c>
      <c r="J5" s="94" t="inlineStr">
        <is>
          <t>수딩크림</t>
        </is>
      </c>
      <c r="K5" s="94" t="inlineStr">
        <is>
          <t>클렌징폼</t>
        </is>
      </c>
      <c r="L5" s="94" t="inlineStr">
        <is>
          <t>머드크림마스크</t>
        </is>
      </c>
      <c r="M5" s="94" t="inlineStr">
        <is>
          <t>마스크팩</t>
        </is>
      </c>
      <c r="N5" s="94" t="inlineStr">
        <is>
          <t>로션</t>
        </is>
      </c>
      <c r="O5" s="94" t="inlineStr">
        <is>
          <t>선크림</t>
        </is>
      </c>
      <c r="P5" s="94" t="inlineStr">
        <is>
          <t>여름 한정 진정세트</t>
        </is>
      </c>
      <c r="Q5" s="94" t="inlineStr">
        <is>
          <t>카밍크림</t>
        </is>
      </c>
      <c r="R5" s="94" t="inlineStr">
        <is>
          <t>화장솜</t>
        </is>
      </c>
      <c r="S5" s="94" t="inlineStr">
        <is>
          <t>바디워시</t>
        </is>
      </c>
      <c r="T5" s="94" t="inlineStr">
        <is>
          <t>크림마스크</t>
        </is>
      </c>
      <c r="U5" s="94" t="inlineStr">
        <is>
          <t>토너+머드크림세트</t>
        </is>
      </c>
      <c r="V5" s="94" t="inlineStr">
        <is>
          <t>총합계</t>
        </is>
      </c>
    </row>
    <row r="6">
      <c r="A6" s="94" t="inlineStr">
        <is>
          <t>2019년</t>
        </is>
      </c>
      <c r="B6" s="94" t="inlineStr">
        <is>
          <t>9월</t>
        </is>
      </c>
      <c r="C6" s="94" t="inlineStr">
        <is>
          <t>9월26일</t>
        </is>
      </c>
      <c r="D6" s="127" t="n">
        <v>2230000</v>
      </c>
      <c r="E6" s="127" t="n"/>
      <c r="F6" s="127" t="n"/>
      <c r="G6" s="127" t="n"/>
      <c r="H6" s="127" t="n"/>
      <c r="I6" s="127" t="n"/>
      <c r="J6" s="127" t="n"/>
      <c r="K6" s="127" t="n"/>
      <c r="L6" s="127" t="n"/>
      <c r="M6" s="127" t="n"/>
      <c r="N6" s="127" t="n"/>
      <c r="O6" s="127" t="n"/>
      <c r="P6" s="127" t="n"/>
      <c r="Q6" s="127" t="n"/>
      <c r="R6" s="127" t="n"/>
      <c r="S6" s="127" t="n"/>
      <c r="T6" s="127" t="n"/>
      <c r="U6" s="127" t="n"/>
      <c r="V6" s="127" t="n">
        <v>2230000</v>
      </c>
    </row>
    <row r="7">
      <c r="C7" s="94" t="inlineStr">
        <is>
          <t>9월27일</t>
        </is>
      </c>
      <c r="D7" s="127" t="n">
        <v>1785000</v>
      </c>
      <c r="E7" s="127" t="n"/>
      <c r="F7" s="127" t="n"/>
      <c r="G7" s="127" t="n"/>
      <c r="H7" s="127" t="n"/>
      <c r="I7" s="127" t="n"/>
      <c r="J7" s="127" t="n"/>
      <c r="K7" s="127" t="n"/>
      <c r="L7" s="127" t="n"/>
      <c r="M7" s="127" t="n"/>
      <c r="N7" s="127" t="n"/>
      <c r="O7" s="127" t="n"/>
      <c r="P7" s="127" t="n"/>
      <c r="Q7" s="127" t="n"/>
      <c r="R7" s="127" t="n"/>
      <c r="S7" s="127" t="n"/>
      <c r="T7" s="127" t="n"/>
      <c r="U7" s="127" t="n"/>
      <c r="V7" s="127" t="n">
        <v>1785000</v>
      </c>
    </row>
    <row r="8">
      <c r="C8" s="94" t="inlineStr">
        <is>
          <t>9월28일</t>
        </is>
      </c>
      <c r="D8" s="127" t="n">
        <v>780000</v>
      </c>
      <c r="E8" s="127" t="n"/>
      <c r="F8" s="127" t="n"/>
      <c r="G8" s="127" t="n"/>
      <c r="H8" s="127" t="n"/>
      <c r="I8" s="127" t="n"/>
      <c r="J8" s="127" t="n"/>
      <c r="K8" s="127" t="n"/>
      <c r="L8" s="127" t="n"/>
      <c r="M8" s="127" t="n"/>
      <c r="N8" s="127" t="n"/>
      <c r="O8" s="127" t="n"/>
      <c r="P8" s="127" t="n"/>
      <c r="Q8" s="127" t="n"/>
      <c r="R8" s="127" t="n"/>
      <c r="S8" s="127" t="n"/>
      <c r="T8" s="127" t="n"/>
      <c r="U8" s="127" t="n"/>
      <c r="V8" s="127" t="n">
        <v>780000</v>
      </c>
    </row>
    <row r="9">
      <c r="C9" s="94" t="inlineStr">
        <is>
          <t>9월29일</t>
        </is>
      </c>
      <c r="D9" s="127" t="n">
        <v>1965000</v>
      </c>
      <c r="E9" s="127" t="n"/>
      <c r="F9" s="127" t="n"/>
      <c r="G9" s="127" t="n"/>
      <c r="H9" s="127" t="n"/>
      <c r="I9" s="127" t="n"/>
      <c r="J9" s="127" t="n"/>
      <c r="K9" s="127" t="n"/>
      <c r="L9" s="127" t="n"/>
      <c r="M9" s="127" t="n"/>
      <c r="N9" s="127" t="n"/>
      <c r="O9" s="127" t="n"/>
      <c r="P9" s="127" t="n"/>
      <c r="Q9" s="127" t="n"/>
      <c r="R9" s="127" t="n"/>
      <c r="S9" s="127" t="n"/>
      <c r="T9" s="127" t="n"/>
      <c r="U9" s="127" t="n"/>
      <c r="V9" s="127" t="n">
        <v>1965000</v>
      </c>
    </row>
    <row r="10">
      <c r="C10" s="94" t="inlineStr">
        <is>
          <t>9월30일</t>
        </is>
      </c>
      <c r="D10" s="127" t="n">
        <v>1565000</v>
      </c>
      <c r="E10" s="127" t="n"/>
      <c r="F10" s="127" t="n"/>
      <c r="G10" s="127" t="n"/>
      <c r="H10" s="127" t="n"/>
      <c r="I10" s="127" t="n"/>
      <c r="J10" s="127" t="n"/>
      <c r="K10" s="127" t="n"/>
      <c r="L10" s="127" t="n"/>
      <c r="M10" s="127" t="n"/>
      <c r="N10" s="127" t="n"/>
      <c r="O10" s="127" t="n"/>
      <c r="P10" s="127" t="n"/>
      <c r="Q10" s="127" t="n"/>
      <c r="R10" s="127" t="n"/>
      <c r="S10" s="127" t="n"/>
      <c r="T10" s="127" t="n"/>
      <c r="U10" s="127" t="n"/>
      <c r="V10" s="127" t="n">
        <v>1565000</v>
      </c>
    </row>
    <row r="11">
      <c r="B11" s="94" t="inlineStr">
        <is>
          <t>9월 요약</t>
        </is>
      </c>
      <c r="C11" s="94" t="n"/>
      <c r="D11" s="127" t="n">
        <v>8325000</v>
      </c>
      <c r="E11" s="127" t="n"/>
      <c r="F11" s="127" t="n"/>
      <c r="G11" s="127" t="n"/>
      <c r="H11" s="127" t="n"/>
      <c r="I11" s="127" t="n"/>
      <c r="J11" s="127" t="n"/>
      <c r="K11" s="127" t="n"/>
      <c r="L11" s="127" t="n"/>
      <c r="M11" s="127" t="n"/>
      <c r="N11" s="127" t="n"/>
      <c r="O11" s="127" t="n"/>
      <c r="P11" s="127" t="n"/>
      <c r="Q11" s="127" t="n"/>
      <c r="R11" s="127" t="n"/>
      <c r="S11" s="127" t="n"/>
      <c r="T11" s="127" t="n"/>
      <c r="U11" s="127" t="n"/>
      <c r="V11" s="127" t="n">
        <v>8325000</v>
      </c>
    </row>
    <row r="12">
      <c r="B12" s="94" t="inlineStr">
        <is>
          <t>10월</t>
        </is>
      </c>
      <c r="C12" s="94" t="inlineStr">
        <is>
          <t>10월1일</t>
        </is>
      </c>
      <c r="D12" s="127" t="n">
        <v>2745000</v>
      </c>
      <c r="E12" s="127" t="n"/>
      <c r="F12" s="127" t="n"/>
      <c r="G12" s="127" t="n"/>
      <c r="H12" s="127" t="n"/>
      <c r="I12" s="127" t="n"/>
      <c r="J12" s="127" t="n"/>
      <c r="K12" s="127" t="n"/>
      <c r="L12" s="127" t="n"/>
      <c r="M12" s="127" t="n"/>
      <c r="N12" s="127" t="n"/>
      <c r="O12" s="127" t="n"/>
      <c r="P12" s="127" t="n"/>
      <c r="Q12" s="127" t="n"/>
      <c r="R12" s="127" t="n"/>
      <c r="S12" s="127" t="n"/>
      <c r="T12" s="127" t="n"/>
      <c r="U12" s="127" t="n"/>
      <c r="V12" s="127" t="n">
        <v>2745000</v>
      </c>
    </row>
    <row r="13">
      <c r="C13" s="94" t="inlineStr">
        <is>
          <t>10월2일</t>
        </is>
      </c>
      <c r="D13" s="127" t="n">
        <v>2725000</v>
      </c>
      <c r="E13" s="127" t="n"/>
      <c r="F13" s="127" t="n"/>
      <c r="G13" s="127" t="n"/>
      <c r="H13" s="127" t="n"/>
      <c r="I13" s="127" t="n"/>
      <c r="J13" s="127" t="n"/>
      <c r="K13" s="127" t="n"/>
      <c r="L13" s="127" t="n"/>
      <c r="M13" s="127" t="n"/>
      <c r="N13" s="127" t="n"/>
      <c r="O13" s="127" t="n"/>
      <c r="P13" s="127" t="n"/>
      <c r="Q13" s="127" t="n"/>
      <c r="R13" s="127" t="n"/>
      <c r="S13" s="127" t="n"/>
      <c r="T13" s="127" t="n"/>
      <c r="U13" s="127" t="n"/>
      <c r="V13" s="127" t="n">
        <v>2725000</v>
      </c>
    </row>
    <row r="14">
      <c r="C14" s="94" t="inlineStr">
        <is>
          <t>10월3일</t>
        </is>
      </c>
      <c r="D14" s="127" t="n">
        <v>2155000</v>
      </c>
      <c r="E14" s="127" t="n"/>
      <c r="F14" s="127" t="n"/>
      <c r="G14" s="127" t="n"/>
      <c r="H14" s="127" t="n"/>
      <c r="I14" s="127" t="n"/>
      <c r="J14" s="127" t="n"/>
      <c r="K14" s="127" t="n"/>
      <c r="L14" s="127" t="n"/>
      <c r="M14" s="127" t="n"/>
      <c r="N14" s="127" t="n"/>
      <c r="O14" s="127" t="n"/>
      <c r="P14" s="127" t="n"/>
      <c r="Q14" s="127" t="n"/>
      <c r="R14" s="127" t="n"/>
      <c r="S14" s="127" t="n"/>
      <c r="T14" s="127" t="n"/>
      <c r="U14" s="127" t="n"/>
      <c r="V14" s="127" t="n">
        <v>2155000</v>
      </c>
    </row>
    <row r="15">
      <c r="C15" s="94" t="inlineStr">
        <is>
          <t>10월4일</t>
        </is>
      </c>
      <c r="D15" s="127" t="n">
        <v>2030000</v>
      </c>
      <c r="E15" s="127" t="n"/>
      <c r="F15" s="127" t="n"/>
      <c r="G15" s="127" t="n"/>
      <c r="H15" s="127" t="n"/>
      <c r="I15" s="127" t="n"/>
      <c r="J15" s="127" t="n"/>
      <c r="K15" s="127" t="n"/>
      <c r="L15" s="127" t="n"/>
      <c r="M15" s="127" t="n"/>
      <c r="N15" s="127" t="n"/>
      <c r="O15" s="127" t="n"/>
      <c r="P15" s="127" t="n"/>
      <c r="Q15" s="127" t="n"/>
      <c r="R15" s="127" t="n"/>
      <c r="S15" s="127" t="n"/>
      <c r="T15" s="127" t="n"/>
      <c r="U15" s="127" t="n"/>
      <c r="V15" s="127" t="n">
        <v>2030000</v>
      </c>
    </row>
    <row r="16">
      <c r="C16" s="94" t="inlineStr">
        <is>
          <t>10월5일</t>
        </is>
      </c>
      <c r="D16" s="127" t="n">
        <v>2020000</v>
      </c>
      <c r="E16" s="127" t="n"/>
      <c r="F16" s="127" t="n"/>
      <c r="G16" s="127" t="n"/>
      <c r="H16" s="127" t="n"/>
      <c r="I16" s="127" t="n"/>
      <c r="J16" s="127" t="n"/>
      <c r="K16" s="127" t="n"/>
      <c r="L16" s="127" t="n"/>
      <c r="M16" s="127" t="n"/>
      <c r="N16" s="127" t="n"/>
      <c r="O16" s="127" t="n"/>
      <c r="P16" s="127" t="n"/>
      <c r="Q16" s="127" t="n"/>
      <c r="R16" s="127" t="n"/>
      <c r="S16" s="127" t="n"/>
      <c r="T16" s="127" t="n"/>
      <c r="U16" s="127" t="n"/>
      <c r="V16" s="127" t="n">
        <v>2020000</v>
      </c>
    </row>
    <row r="17">
      <c r="C17" s="94" t="inlineStr">
        <is>
          <t>10월6일</t>
        </is>
      </c>
      <c r="D17" s="127" t="n">
        <v>1685000</v>
      </c>
      <c r="E17" s="127" t="n"/>
      <c r="F17" s="127" t="n"/>
      <c r="G17" s="127" t="n"/>
      <c r="H17" s="127" t="n"/>
      <c r="I17" s="127" t="n"/>
      <c r="J17" s="127" t="n"/>
      <c r="K17" s="127" t="n"/>
      <c r="L17" s="127" t="n"/>
      <c r="M17" s="127" t="n"/>
      <c r="N17" s="127" t="n"/>
      <c r="O17" s="127" t="n"/>
      <c r="P17" s="127" t="n"/>
      <c r="Q17" s="127" t="n"/>
      <c r="R17" s="127" t="n"/>
      <c r="S17" s="127" t="n"/>
      <c r="T17" s="127" t="n"/>
      <c r="U17" s="127" t="n"/>
      <c r="V17" s="127" t="n">
        <v>1685000</v>
      </c>
    </row>
    <row r="18">
      <c r="C18" s="94" t="inlineStr">
        <is>
          <t>10월7일</t>
        </is>
      </c>
      <c r="D18" s="127" t="n">
        <v>2005000</v>
      </c>
      <c r="E18" s="127" t="n"/>
      <c r="F18" s="127" t="n"/>
      <c r="G18" s="127" t="n"/>
      <c r="H18" s="127" t="n"/>
      <c r="I18" s="127" t="n"/>
      <c r="J18" s="127" t="n"/>
      <c r="K18" s="127" t="n"/>
      <c r="L18" s="127" t="n"/>
      <c r="M18" s="127" t="n"/>
      <c r="N18" s="127" t="n"/>
      <c r="O18" s="127" t="n"/>
      <c r="P18" s="127" t="n"/>
      <c r="Q18" s="127" t="n"/>
      <c r="R18" s="127" t="n"/>
      <c r="S18" s="127" t="n"/>
      <c r="T18" s="127" t="n"/>
      <c r="U18" s="127" t="n"/>
      <c r="V18" s="127" t="n">
        <v>2005000</v>
      </c>
    </row>
    <row r="19">
      <c r="C19" s="94" t="inlineStr">
        <is>
          <t>10월8일</t>
        </is>
      </c>
      <c r="D19" s="127" t="n">
        <v>1785000</v>
      </c>
      <c r="E19" s="127" t="n"/>
      <c r="F19" s="127" t="n"/>
      <c r="G19" s="127" t="n"/>
      <c r="H19" s="127" t="n"/>
      <c r="I19" s="127" t="n"/>
      <c r="J19" s="127" t="n"/>
      <c r="K19" s="127" t="n"/>
      <c r="L19" s="127" t="n"/>
      <c r="M19" s="127" t="n"/>
      <c r="N19" s="127" t="n"/>
      <c r="O19" s="127" t="n"/>
      <c r="P19" s="127" t="n"/>
      <c r="Q19" s="127" t="n"/>
      <c r="R19" s="127" t="n"/>
      <c r="S19" s="127" t="n"/>
      <c r="T19" s="127" t="n"/>
      <c r="U19" s="127" t="n"/>
      <c r="V19" s="127" t="n">
        <v>1785000</v>
      </c>
    </row>
    <row r="20">
      <c r="C20" s="94" t="inlineStr">
        <is>
          <t>10월9일</t>
        </is>
      </c>
      <c r="D20" s="127" t="n">
        <v>2230000</v>
      </c>
      <c r="E20" s="127" t="n"/>
      <c r="F20" s="127" t="n"/>
      <c r="G20" s="127" t="n"/>
      <c r="H20" s="127" t="n"/>
      <c r="I20" s="127" t="n"/>
      <c r="J20" s="127" t="n"/>
      <c r="K20" s="127" t="n"/>
      <c r="L20" s="127" t="n"/>
      <c r="M20" s="127" t="n"/>
      <c r="N20" s="127" t="n"/>
      <c r="O20" s="127" t="n"/>
      <c r="P20" s="127" t="n"/>
      <c r="Q20" s="127" t="n"/>
      <c r="R20" s="127" t="n"/>
      <c r="S20" s="127" t="n"/>
      <c r="T20" s="127" t="n"/>
      <c r="U20" s="127" t="n"/>
      <c r="V20" s="127" t="n">
        <v>2230000</v>
      </c>
    </row>
    <row r="21">
      <c r="C21" s="94" t="inlineStr">
        <is>
          <t>10월10일</t>
        </is>
      </c>
      <c r="D21" s="127" t="n">
        <v>2520000</v>
      </c>
      <c r="E21" s="127" t="n"/>
      <c r="F21" s="127" t="n"/>
      <c r="G21" s="127" t="n"/>
      <c r="H21" s="127" t="n"/>
      <c r="I21" s="127" t="n"/>
      <c r="J21" s="127" t="n"/>
      <c r="K21" s="127" t="n"/>
      <c r="L21" s="127" t="n"/>
      <c r="M21" s="127" t="n"/>
      <c r="N21" s="127" t="n"/>
      <c r="O21" s="127" t="n"/>
      <c r="P21" s="127" t="n"/>
      <c r="Q21" s="127" t="n"/>
      <c r="R21" s="127" t="n"/>
      <c r="S21" s="127" t="n"/>
      <c r="T21" s="127" t="n"/>
      <c r="U21" s="127" t="n"/>
      <c r="V21" s="127" t="n">
        <v>2520000</v>
      </c>
    </row>
    <row r="22">
      <c r="C22" s="94" t="inlineStr">
        <is>
          <t>10월11일</t>
        </is>
      </c>
      <c r="D22" s="127" t="n">
        <v>2670000</v>
      </c>
      <c r="E22" s="127" t="n"/>
      <c r="F22" s="127" t="n"/>
      <c r="G22" s="127" t="n"/>
      <c r="H22" s="127" t="n"/>
      <c r="I22" s="127" t="n"/>
      <c r="J22" s="127" t="n"/>
      <c r="K22" s="127" t="n"/>
      <c r="L22" s="127" t="n"/>
      <c r="M22" s="127" t="n"/>
      <c r="N22" s="127" t="n"/>
      <c r="O22" s="127" t="n"/>
      <c r="P22" s="127" t="n"/>
      <c r="Q22" s="127" t="n"/>
      <c r="R22" s="127" t="n"/>
      <c r="S22" s="127" t="n"/>
      <c r="T22" s="127" t="n"/>
      <c r="U22" s="127" t="n"/>
      <c r="V22" s="127" t="n">
        <v>2670000</v>
      </c>
    </row>
    <row r="23">
      <c r="C23" s="94" t="inlineStr">
        <is>
          <t>10월12일</t>
        </is>
      </c>
      <c r="D23" s="127" t="n">
        <v>2265000</v>
      </c>
      <c r="E23" s="127" t="n"/>
      <c r="F23" s="127" t="n"/>
      <c r="G23" s="127" t="n"/>
      <c r="H23" s="127" t="n"/>
      <c r="I23" s="127" t="n"/>
      <c r="J23" s="127" t="n"/>
      <c r="K23" s="127" t="n"/>
      <c r="L23" s="127" t="n"/>
      <c r="M23" s="127" t="n"/>
      <c r="N23" s="127" t="n"/>
      <c r="O23" s="127" t="n"/>
      <c r="P23" s="127" t="n"/>
      <c r="Q23" s="127" t="n"/>
      <c r="R23" s="127" t="n"/>
      <c r="S23" s="127" t="n"/>
      <c r="T23" s="127" t="n"/>
      <c r="U23" s="127" t="n"/>
      <c r="V23" s="127" t="n">
        <v>2265000</v>
      </c>
    </row>
    <row r="24">
      <c r="C24" s="94" t="inlineStr">
        <is>
          <t>10월13일</t>
        </is>
      </c>
      <c r="D24" s="127" t="n">
        <v>3340000</v>
      </c>
      <c r="E24" s="127" t="n"/>
      <c r="F24" s="127" t="n"/>
      <c r="G24" s="127" t="n"/>
      <c r="H24" s="127" t="n"/>
      <c r="I24" s="127" t="n"/>
      <c r="J24" s="127" t="n"/>
      <c r="K24" s="127" t="n"/>
      <c r="L24" s="127" t="n"/>
      <c r="M24" s="127" t="n"/>
      <c r="N24" s="127" t="n"/>
      <c r="O24" s="127" t="n"/>
      <c r="P24" s="127" t="n"/>
      <c r="Q24" s="127" t="n"/>
      <c r="R24" s="127" t="n"/>
      <c r="S24" s="127" t="n"/>
      <c r="T24" s="127" t="n"/>
      <c r="U24" s="127" t="n"/>
      <c r="V24" s="127" t="n">
        <v>3340000</v>
      </c>
    </row>
    <row r="25">
      <c r="C25" s="94" t="inlineStr">
        <is>
          <t>10월14일</t>
        </is>
      </c>
      <c r="D25" s="127" t="n">
        <v>3685000</v>
      </c>
      <c r="E25" s="127" t="n"/>
      <c r="F25" s="127" t="n"/>
      <c r="G25" s="127" t="n"/>
      <c r="H25" s="127" t="n"/>
      <c r="I25" s="127" t="n"/>
      <c r="J25" s="127" t="n"/>
      <c r="K25" s="127" t="n"/>
      <c r="L25" s="127" t="n"/>
      <c r="M25" s="127" t="n"/>
      <c r="N25" s="127" t="n"/>
      <c r="O25" s="127" t="n"/>
      <c r="P25" s="127" t="n"/>
      <c r="Q25" s="127" t="n"/>
      <c r="R25" s="127" t="n"/>
      <c r="S25" s="127" t="n"/>
      <c r="T25" s="127" t="n"/>
      <c r="U25" s="127" t="n"/>
      <c r="V25" s="127" t="n">
        <v>3685000</v>
      </c>
    </row>
    <row r="26">
      <c r="C26" s="94" t="inlineStr">
        <is>
          <t>10월15일</t>
        </is>
      </c>
      <c r="D26" s="127" t="n">
        <v>2590000</v>
      </c>
      <c r="E26" s="127" t="n"/>
      <c r="F26" s="127" t="n"/>
      <c r="G26" s="127" t="n"/>
      <c r="H26" s="127" t="n"/>
      <c r="I26" s="127" t="n"/>
      <c r="J26" s="127" t="n"/>
      <c r="K26" s="127" t="n"/>
      <c r="L26" s="127" t="n"/>
      <c r="M26" s="127" t="n"/>
      <c r="N26" s="127" t="n"/>
      <c r="O26" s="127" t="n"/>
      <c r="P26" s="127" t="n"/>
      <c r="Q26" s="127" t="n"/>
      <c r="R26" s="127" t="n"/>
      <c r="S26" s="127" t="n"/>
      <c r="T26" s="127" t="n"/>
      <c r="U26" s="127" t="n"/>
      <c r="V26" s="127" t="n">
        <v>2590000</v>
      </c>
    </row>
    <row r="27">
      <c r="C27" s="94" t="inlineStr">
        <is>
          <t>10월16일</t>
        </is>
      </c>
      <c r="D27" s="127" t="n">
        <v>3045000</v>
      </c>
      <c r="E27" s="127" t="n"/>
      <c r="F27" s="127" t="n"/>
      <c r="G27" s="127" t="n"/>
      <c r="H27" s="127" t="n"/>
      <c r="I27" s="127" t="n"/>
      <c r="J27" s="127" t="n"/>
      <c r="K27" s="127" t="n"/>
      <c r="L27" s="127" t="n"/>
      <c r="M27" s="127" t="n"/>
      <c r="N27" s="127" t="n"/>
      <c r="O27" s="127" t="n"/>
      <c r="P27" s="127" t="n"/>
      <c r="Q27" s="127" t="n"/>
      <c r="R27" s="127" t="n"/>
      <c r="S27" s="127" t="n"/>
      <c r="T27" s="127" t="n"/>
      <c r="U27" s="127" t="n"/>
      <c r="V27" s="127" t="n">
        <v>3045000</v>
      </c>
    </row>
    <row r="28">
      <c r="C28" s="94" t="inlineStr">
        <is>
          <t>10월17일</t>
        </is>
      </c>
      <c r="D28" s="127" t="n">
        <v>2845000</v>
      </c>
      <c r="E28" s="127" t="n"/>
      <c r="F28" s="127" t="n"/>
      <c r="G28" s="127" t="n"/>
      <c r="H28" s="127" t="n"/>
      <c r="I28" s="127" t="n"/>
      <c r="J28" s="127" t="n"/>
      <c r="K28" s="127" t="n"/>
      <c r="L28" s="127" t="n"/>
      <c r="M28" s="127" t="n"/>
      <c r="N28" s="127" t="n"/>
      <c r="O28" s="127" t="n"/>
      <c r="P28" s="127" t="n"/>
      <c r="Q28" s="127" t="n"/>
      <c r="R28" s="127" t="n"/>
      <c r="S28" s="127" t="n"/>
      <c r="T28" s="127" t="n"/>
      <c r="U28" s="127" t="n"/>
      <c r="V28" s="127" t="n">
        <v>2845000</v>
      </c>
    </row>
    <row r="29">
      <c r="C29" s="94" t="inlineStr">
        <is>
          <t>10월18일</t>
        </is>
      </c>
      <c r="D29" s="127" t="n">
        <v>2820000</v>
      </c>
      <c r="E29" s="127" t="n"/>
      <c r="F29" s="127" t="n"/>
      <c r="G29" s="127" t="n"/>
      <c r="H29" s="127" t="n"/>
      <c r="I29" s="127" t="n"/>
      <c r="J29" s="127" t="n"/>
      <c r="K29" s="127" t="n"/>
      <c r="L29" s="127" t="n"/>
      <c r="M29" s="127" t="n"/>
      <c r="N29" s="127" t="n"/>
      <c r="O29" s="127" t="n"/>
      <c r="P29" s="127" t="n"/>
      <c r="Q29" s="127" t="n"/>
      <c r="R29" s="127" t="n"/>
      <c r="S29" s="127" t="n"/>
      <c r="T29" s="127" t="n"/>
      <c r="U29" s="127" t="n"/>
      <c r="V29" s="127" t="n">
        <v>2820000</v>
      </c>
    </row>
    <row r="30">
      <c r="C30" s="94" t="inlineStr">
        <is>
          <t>10월19일</t>
        </is>
      </c>
      <c r="D30" s="127" t="n">
        <v>2595000</v>
      </c>
      <c r="E30" s="127" t="n"/>
      <c r="F30" s="127" t="n"/>
      <c r="G30" s="127" t="n"/>
      <c r="H30" s="127" t="n"/>
      <c r="I30" s="127" t="n"/>
      <c r="J30" s="127" t="n"/>
      <c r="K30" s="127" t="n"/>
      <c r="L30" s="127" t="n"/>
      <c r="M30" s="127" t="n"/>
      <c r="N30" s="127" t="n"/>
      <c r="O30" s="127" t="n"/>
      <c r="P30" s="127" t="n"/>
      <c r="Q30" s="127" t="n"/>
      <c r="R30" s="127" t="n"/>
      <c r="S30" s="127" t="n"/>
      <c r="T30" s="127" t="n"/>
      <c r="U30" s="127" t="n"/>
      <c r="V30" s="127" t="n">
        <v>2595000</v>
      </c>
    </row>
    <row r="31">
      <c r="C31" s="94" t="inlineStr">
        <is>
          <t>10월20일</t>
        </is>
      </c>
      <c r="D31" s="127" t="n">
        <v>2810000</v>
      </c>
      <c r="E31" s="127" t="n"/>
      <c r="F31" s="127" t="n"/>
      <c r="G31" s="127" t="n"/>
      <c r="H31" s="127" t="n"/>
      <c r="I31" s="127" t="n"/>
      <c r="J31" s="127" t="n"/>
      <c r="K31" s="127" t="n"/>
      <c r="L31" s="127" t="n"/>
      <c r="M31" s="127" t="n"/>
      <c r="N31" s="127" t="n"/>
      <c r="O31" s="127" t="n"/>
      <c r="P31" s="127" t="n"/>
      <c r="Q31" s="127" t="n"/>
      <c r="R31" s="127" t="n"/>
      <c r="S31" s="127" t="n"/>
      <c r="T31" s="127" t="n"/>
      <c r="U31" s="127" t="n"/>
      <c r="V31" s="127" t="n">
        <v>2810000</v>
      </c>
    </row>
    <row r="32">
      <c r="C32" s="94" t="inlineStr">
        <is>
          <t>10월21일</t>
        </is>
      </c>
      <c r="D32" s="127" t="n">
        <v>3530000</v>
      </c>
      <c r="E32" s="127" t="n"/>
      <c r="F32" s="127" t="n"/>
      <c r="G32" s="127" t="n"/>
      <c r="H32" s="127" t="n"/>
      <c r="I32" s="127" t="n"/>
      <c r="J32" s="127" t="n"/>
      <c r="K32" s="127" t="n"/>
      <c r="L32" s="127" t="n"/>
      <c r="M32" s="127" t="n"/>
      <c r="N32" s="127" t="n"/>
      <c r="O32" s="127" t="n"/>
      <c r="P32" s="127" t="n"/>
      <c r="Q32" s="127" t="n"/>
      <c r="R32" s="127" t="n"/>
      <c r="S32" s="127" t="n"/>
      <c r="T32" s="127" t="n"/>
      <c r="U32" s="127" t="n"/>
      <c r="V32" s="127" t="n">
        <v>3530000</v>
      </c>
    </row>
    <row r="33">
      <c r="C33" s="94" t="inlineStr">
        <is>
          <t>10월22일</t>
        </is>
      </c>
      <c r="D33" s="127" t="n">
        <v>2671000</v>
      </c>
      <c r="E33" s="127" t="n"/>
      <c r="F33" s="127" t="n"/>
      <c r="G33" s="127" t="n"/>
      <c r="H33" s="127" t="n"/>
      <c r="I33" s="127" t="n"/>
      <c r="J33" s="127" t="n"/>
      <c r="K33" s="127" t="n"/>
      <c r="L33" s="127" t="n"/>
      <c r="M33" s="127" t="n"/>
      <c r="N33" s="127" t="n"/>
      <c r="O33" s="127" t="n"/>
      <c r="P33" s="127" t="n"/>
      <c r="Q33" s="127" t="n"/>
      <c r="R33" s="127" t="n"/>
      <c r="S33" s="127" t="n"/>
      <c r="T33" s="127" t="n"/>
      <c r="U33" s="127" t="n"/>
      <c r="V33" s="127" t="n">
        <v>2671000</v>
      </c>
    </row>
    <row r="34">
      <c r="C34" s="94" t="inlineStr">
        <is>
          <t>10월23일</t>
        </is>
      </c>
      <c r="D34" s="127" t="n">
        <v>4149000</v>
      </c>
      <c r="E34" s="127" t="n"/>
      <c r="F34" s="127" t="n"/>
      <c r="G34" s="127" t="n"/>
      <c r="H34" s="127" t="n"/>
      <c r="I34" s="127" t="n"/>
      <c r="J34" s="127" t="n"/>
      <c r="K34" s="127" t="n"/>
      <c r="L34" s="127" t="n"/>
      <c r="M34" s="127" t="n"/>
      <c r="N34" s="127" t="n"/>
      <c r="O34" s="127" t="n"/>
      <c r="P34" s="127" t="n"/>
      <c r="Q34" s="127" t="n"/>
      <c r="R34" s="127" t="n"/>
      <c r="S34" s="127" t="n"/>
      <c r="T34" s="127" t="n"/>
      <c r="U34" s="127" t="n"/>
      <c r="V34" s="127" t="n">
        <v>4149000</v>
      </c>
    </row>
    <row r="35">
      <c r="C35" s="94" t="inlineStr">
        <is>
          <t>10월24일</t>
        </is>
      </c>
      <c r="D35" s="127" t="n">
        <v>2163000</v>
      </c>
      <c r="E35" s="127" t="n"/>
      <c r="F35" s="127" t="n"/>
      <c r="G35" s="127" t="n"/>
      <c r="H35" s="127" t="n"/>
      <c r="I35" s="127" t="n"/>
      <c r="J35" s="127" t="n"/>
      <c r="K35" s="127" t="n"/>
      <c r="L35" s="127" t="n"/>
      <c r="M35" s="127" t="n"/>
      <c r="N35" s="127" t="n"/>
      <c r="O35" s="127" t="n"/>
      <c r="P35" s="127" t="n"/>
      <c r="Q35" s="127" t="n"/>
      <c r="R35" s="127" t="n"/>
      <c r="S35" s="127" t="n"/>
      <c r="T35" s="127" t="n"/>
      <c r="U35" s="127" t="n"/>
      <c r="V35" s="127" t="n">
        <v>2163000</v>
      </c>
    </row>
    <row r="36">
      <c r="C36" s="94" t="inlineStr">
        <is>
          <t>10월25일</t>
        </is>
      </c>
      <c r="D36" s="127" t="n">
        <v>2322000</v>
      </c>
      <c r="E36" s="127" t="n"/>
      <c r="F36" s="127" t="n"/>
      <c r="G36" s="127" t="n"/>
      <c r="H36" s="127" t="n"/>
      <c r="I36" s="127" t="n"/>
      <c r="J36" s="127" t="n"/>
      <c r="K36" s="127" t="n"/>
      <c r="L36" s="127" t="n"/>
      <c r="M36" s="127" t="n"/>
      <c r="N36" s="127" t="n"/>
      <c r="O36" s="127" t="n"/>
      <c r="P36" s="127" t="n"/>
      <c r="Q36" s="127" t="n"/>
      <c r="R36" s="127" t="n"/>
      <c r="S36" s="127" t="n"/>
      <c r="T36" s="127" t="n"/>
      <c r="U36" s="127" t="n"/>
      <c r="V36" s="127" t="n">
        <v>2322000</v>
      </c>
    </row>
    <row r="37">
      <c r="C37" s="94" t="inlineStr">
        <is>
          <t>10월26일</t>
        </is>
      </c>
      <c r="D37" s="127" t="n">
        <v>1840000</v>
      </c>
      <c r="E37" s="127" t="n"/>
      <c r="F37" s="127" t="n"/>
      <c r="G37" s="127" t="n"/>
      <c r="H37" s="127" t="n"/>
      <c r="I37" s="127" t="n"/>
      <c r="J37" s="127" t="n"/>
      <c r="K37" s="127" t="n"/>
      <c r="L37" s="127" t="n"/>
      <c r="M37" s="127" t="n"/>
      <c r="N37" s="127" t="n"/>
      <c r="O37" s="127" t="n"/>
      <c r="P37" s="127" t="n"/>
      <c r="Q37" s="127" t="n"/>
      <c r="R37" s="127" t="n"/>
      <c r="S37" s="127" t="n"/>
      <c r="T37" s="127" t="n"/>
      <c r="U37" s="127" t="n"/>
      <c r="V37" s="127" t="n">
        <v>1840000</v>
      </c>
    </row>
    <row r="38">
      <c r="C38" s="94" t="inlineStr">
        <is>
          <t>10월27일</t>
        </is>
      </c>
      <c r="D38" s="127" t="n">
        <v>2238000</v>
      </c>
      <c r="E38" s="127" t="n"/>
      <c r="F38" s="127" t="n"/>
      <c r="G38" s="127" t="n"/>
      <c r="H38" s="127" t="n"/>
      <c r="I38" s="127" t="n"/>
      <c r="J38" s="127" t="n"/>
      <c r="K38" s="127" t="n"/>
      <c r="L38" s="127" t="n"/>
      <c r="M38" s="127" t="n"/>
      <c r="N38" s="127" t="n"/>
      <c r="O38" s="127" t="n"/>
      <c r="P38" s="127" t="n"/>
      <c r="Q38" s="127" t="n"/>
      <c r="R38" s="127" t="n"/>
      <c r="S38" s="127" t="n"/>
      <c r="T38" s="127" t="n"/>
      <c r="U38" s="127" t="n"/>
      <c r="V38" s="127" t="n">
        <v>2238000</v>
      </c>
    </row>
    <row r="39">
      <c r="C39" s="94" t="inlineStr">
        <is>
          <t>10월28일</t>
        </is>
      </c>
      <c r="D39" s="127" t="n">
        <v>2190000</v>
      </c>
      <c r="E39" s="127" t="n"/>
      <c r="F39" s="127" t="n"/>
      <c r="G39" s="127" t="n"/>
      <c r="H39" s="127" t="n"/>
      <c r="I39" s="127" t="n"/>
      <c r="J39" s="127" t="n"/>
      <c r="K39" s="127" t="n"/>
      <c r="L39" s="127" t="n"/>
      <c r="M39" s="127" t="n"/>
      <c r="N39" s="127" t="n"/>
      <c r="O39" s="127" t="n"/>
      <c r="P39" s="127" t="n"/>
      <c r="Q39" s="127" t="n"/>
      <c r="R39" s="127" t="n"/>
      <c r="S39" s="127" t="n"/>
      <c r="T39" s="127" t="n"/>
      <c r="U39" s="127" t="n"/>
      <c r="V39" s="127" t="n">
        <v>2190000</v>
      </c>
    </row>
    <row r="40">
      <c r="C40" s="94" t="inlineStr">
        <is>
          <t>10월29일</t>
        </is>
      </c>
      <c r="D40" s="127" t="n">
        <v>2119000</v>
      </c>
      <c r="E40" s="127" t="n"/>
      <c r="F40" s="127" t="n"/>
      <c r="G40" s="127" t="n"/>
      <c r="H40" s="127" t="n"/>
      <c r="I40" s="127" t="n"/>
      <c r="J40" s="127" t="n"/>
      <c r="K40" s="127" t="n"/>
      <c r="L40" s="127" t="n"/>
      <c r="M40" s="127" t="n"/>
      <c r="N40" s="127" t="n"/>
      <c r="O40" s="127" t="n"/>
      <c r="P40" s="127" t="n"/>
      <c r="Q40" s="127" t="n"/>
      <c r="R40" s="127" t="n"/>
      <c r="S40" s="127" t="n"/>
      <c r="T40" s="127" t="n"/>
      <c r="U40" s="127" t="n"/>
      <c r="V40" s="127" t="n">
        <v>2119000</v>
      </c>
    </row>
    <row r="41">
      <c r="C41" s="94" t="inlineStr">
        <is>
          <t>10월30일</t>
        </is>
      </c>
      <c r="D41" s="127" t="n">
        <v>1685000</v>
      </c>
      <c r="E41" s="127" t="n"/>
      <c r="F41" s="127" t="n"/>
      <c r="G41" s="127" t="n"/>
      <c r="H41" s="127" t="n"/>
      <c r="I41" s="127" t="n"/>
      <c r="J41" s="127" t="n"/>
      <c r="K41" s="127" t="n"/>
      <c r="L41" s="127" t="n"/>
      <c r="M41" s="127" t="n"/>
      <c r="N41" s="127" t="n"/>
      <c r="O41" s="127" t="n"/>
      <c r="P41" s="127" t="n"/>
      <c r="Q41" s="127" t="n"/>
      <c r="R41" s="127" t="n"/>
      <c r="S41" s="127" t="n"/>
      <c r="T41" s="127" t="n"/>
      <c r="U41" s="127" t="n"/>
      <c r="V41" s="127" t="n">
        <v>1685000</v>
      </c>
    </row>
    <row r="42">
      <c r="C42" s="94" t="inlineStr">
        <is>
          <t>10월31일</t>
        </is>
      </c>
      <c r="D42" s="127" t="n">
        <v>2182000</v>
      </c>
      <c r="E42" s="127" t="n"/>
      <c r="F42" s="127" t="n"/>
      <c r="G42" s="127" t="n"/>
      <c r="H42" s="127" t="n"/>
      <c r="I42" s="127" t="n"/>
      <c r="J42" s="127" t="n"/>
      <c r="K42" s="127" t="n"/>
      <c r="L42" s="127" t="n"/>
      <c r="M42" s="127" t="n"/>
      <c r="N42" s="127" t="n"/>
      <c r="O42" s="127" t="n"/>
      <c r="P42" s="127" t="n"/>
      <c r="Q42" s="127" t="n"/>
      <c r="R42" s="127" t="n"/>
      <c r="S42" s="127" t="n"/>
      <c r="T42" s="127" t="n"/>
      <c r="U42" s="127" t="n"/>
      <c r="V42" s="127" t="n">
        <v>2182000</v>
      </c>
    </row>
    <row r="43">
      <c r="B43" s="94" t="inlineStr">
        <is>
          <t>10월 요약</t>
        </is>
      </c>
      <c r="C43" s="94" t="n"/>
      <c r="D43" s="127" t="n">
        <v>77654000</v>
      </c>
      <c r="E43" s="127" t="n"/>
      <c r="F43" s="127" t="n"/>
      <c r="G43" s="127" t="n"/>
      <c r="H43" s="127" t="n"/>
      <c r="I43" s="127" t="n"/>
      <c r="J43" s="127" t="n"/>
      <c r="K43" s="127" t="n"/>
      <c r="L43" s="127" t="n"/>
      <c r="M43" s="127" t="n"/>
      <c r="N43" s="127" t="n"/>
      <c r="O43" s="127" t="n"/>
      <c r="P43" s="127" t="n"/>
      <c r="Q43" s="127" t="n"/>
      <c r="R43" s="127" t="n"/>
      <c r="S43" s="127" t="n"/>
      <c r="T43" s="127" t="n"/>
      <c r="U43" s="127" t="n"/>
      <c r="V43" s="127" t="n">
        <v>77654000</v>
      </c>
    </row>
    <row r="44">
      <c r="B44" s="94" t="inlineStr">
        <is>
          <t>11월</t>
        </is>
      </c>
      <c r="C44" s="94" t="inlineStr">
        <is>
          <t>11월1일</t>
        </is>
      </c>
      <c r="D44" s="127" t="n">
        <v>2325000</v>
      </c>
      <c r="E44" s="127" t="n"/>
      <c r="F44" s="127" t="n"/>
      <c r="G44" s="127" t="n"/>
      <c r="H44" s="127" t="n"/>
      <c r="I44" s="127" t="n"/>
      <c r="J44" s="127" t="n"/>
      <c r="K44" s="127" t="n"/>
      <c r="L44" s="127" t="n"/>
      <c r="M44" s="127" t="n"/>
      <c r="N44" s="127" t="n"/>
      <c r="O44" s="127" t="n"/>
      <c r="P44" s="127" t="n"/>
      <c r="Q44" s="127" t="n"/>
      <c r="R44" s="127" t="n"/>
      <c r="S44" s="127" t="n"/>
      <c r="T44" s="127" t="n"/>
      <c r="U44" s="127" t="n"/>
      <c r="V44" s="127" t="n">
        <v>2325000</v>
      </c>
    </row>
    <row r="45">
      <c r="C45" s="94" t="inlineStr">
        <is>
          <t>11월2일</t>
        </is>
      </c>
      <c r="D45" s="127" t="n">
        <v>1610000</v>
      </c>
      <c r="E45" s="127" t="n"/>
      <c r="F45" s="127" t="n"/>
      <c r="G45" s="127" t="n"/>
      <c r="H45" s="127" t="n"/>
      <c r="I45" s="127" t="n"/>
      <c r="J45" s="127" t="n"/>
      <c r="K45" s="127" t="n"/>
      <c r="L45" s="127" t="n"/>
      <c r="M45" s="127" t="n"/>
      <c r="N45" s="127" t="n"/>
      <c r="O45" s="127" t="n"/>
      <c r="P45" s="127" t="n"/>
      <c r="Q45" s="127" t="n"/>
      <c r="R45" s="127" t="n"/>
      <c r="S45" s="127" t="n"/>
      <c r="T45" s="127" t="n"/>
      <c r="U45" s="127" t="n"/>
      <c r="V45" s="127" t="n">
        <v>1610000</v>
      </c>
    </row>
    <row r="46">
      <c r="C46" s="94" t="inlineStr">
        <is>
          <t>11월3일</t>
        </is>
      </c>
      <c r="D46" s="127" t="n">
        <v>1863000</v>
      </c>
      <c r="E46" s="127" t="n"/>
      <c r="F46" s="127" t="n"/>
      <c r="G46" s="127" t="n"/>
      <c r="H46" s="127" t="n"/>
      <c r="I46" s="127" t="n"/>
      <c r="J46" s="127" t="n"/>
      <c r="K46" s="127" t="n"/>
      <c r="L46" s="127" t="n"/>
      <c r="M46" s="127" t="n"/>
      <c r="N46" s="127" t="n"/>
      <c r="O46" s="127" t="n"/>
      <c r="P46" s="127" t="n"/>
      <c r="Q46" s="127" t="n"/>
      <c r="R46" s="127" t="n"/>
      <c r="S46" s="127" t="n"/>
      <c r="T46" s="127" t="n"/>
      <c r="U46" s="127" t="n"/>
      <c r="V46" s="127" t="n">
        <v>1863000</v>
      </c>
    </row>
    <row r="47">
      <c r="C47" s="94" t="inlineStr">
        <is>
          <t>11월4일</t>
        </is>
      </c>
      <c r="D47" s="127" t="n">
        <v>2285000</v>
      </c>
      <c r="E47" s="127" t="n"/>
      <c r="F47" s="127" t="n"/>
      <c r="G47" s="127" t="n"/>
      <c r="H47" s="127" t="n"/>
      <c r="I47" s="127" t="n"/>
      <c r="J47" s="127" t="n"/>
      <c r="K47" s="127" t="n"/>
      <c r="L47" s="127" t="n"/>
      <c r="M47" s="127" t="n"/>
      <c r="N47" s="127" t="n"/>
      <c r="O47" s="127" t="n"/>
      <c r="P47" s="127" t="n"/>
      <c r="Q47" s="127" t="n"/>
      <c r="R47" s="127" t="n"/>
      <c r="S47" s="127" t="n"/>
      <c r="T47" s="127" t="n"/>
      <c r="U47" s="127" t="n"/>
      <c r="V47" s="127" t="n">
        <v>2285000</v>
      </c>
    </row>
    <row r="48">
      <c r="C48" s="94" t="inlineStr">
        <is>
          <t>11월5일</t>
        </is>
      </c>
      <c r="D48" s="127" t="n">
        <v>2154000</v>
      </c>
      <c r="E48" s="127" t="n"/>
      <c r="F48" s="127" t="n"/>
      <c r="G48" s="127" t="n"/>
      <c r="H48" s="127" t="n"/>
      <c r="I48" s="127" t="n"/>
      <c r="J48" s="127" t="n"/>
      <c r="K48" s="127" t="n"/>
      <c r="L48" s="127" t="n"/>
      <c r="M48" s="127" t="n"/>
      <c r="N48" s="127" t="n"/>
      <c r="O48" s="127" t="n"/>
      <c r="P48" s="127" t="n"/>
      <c r="Q48" s="127" t="n"/>
      <c r="R48" s="127" t="n"/>
      <c r="S48" s="127" t="n"/>
      <c r="T48" s="127" t="n"/>
      <c r="U48" s="127" t="n"/>
      <c r="V48" s="127" t="n">
        <v>2154000</v>
      </c>
    </row>
    <row r="49">
      <c r="C49" s="94" t="inlineStr">
        <is>
          <t>11월6일</t>
        </is>
      </c>
      <c r="D49" s="127" t="n">
        <v>2103000</v>
      </c>
      <c r="E49" s="127" t="n"/>
      <c r="F49" s="127" t="n"/>
      <c r="G49" s="127" t="n"/>
      <c r="H49" s="127" t="n"/>
      <c r="I49" s="127" t="n"/>
      <c r="J49" s="127" t="n"/>
      <c r="K49" s="127" t="n"/>
      <c r="L49" s="127" t="n"/>
      <c r="M49" s="127" t="n"/>
      <c r="N49" s="127" t="n"/>
      <c r="O49" s="127" t="n"/>
      <c r="P49" s="127" t="n"/>
      <c r="Q49" s="127" t="n"/>
      <c r="R49" s="127" t="n"/>
      <c r="S49" s="127" t="n"/>
      <c r="T49" s="127" t="n"/>
      <c r="U49" s="127" t="n"/>
      <c r="V49" s="127" t="n">
        <v>2103000</v>
      </c>
    </row>
    <row r="50">
      <c r="C50" s="94" t="inlineStr">
        <is>
          <t>11월7일</t>
        </is>
      </c>
      <c r="D50" s="127" t="n">
        <v>2114000</v>
      </c>
      <c r="E50" s="127" t="n"/>
      <c r="F50" s="127" t="n"/>
      <c r="G50" s="127" t="n"/>
      <c r="H50" s="127" t="n"/>
      <c r="I50" s="127" t="n"/>
      <c r="J50" s="127" t="n"/>
      <c r="K50" s="127" t="n"/>
      <c r="L50" s="127" t="n"/>
      <c r="M50" s="127" t="n"/>
      <c r="N50" s="127" t="n"/>
      <c r="O50" s="127" t="n"/>
      <c r="P50" s="127" t="n"/>
      <c r="Q50" s="127" t="n"/>
      <c r="R50" s="127" t="n"/>
      <c r="S50" s="127" t="n"/>
      <c r="T50" s="127" t="n"/>
      <c r="U50" s="127" t="n"/>
      <c r="V50" s="127" t="n">
        <v>2114000</v>
      </c>
    </row>
    <row r="51">
      <c r="C51" s="94" t="inlineStr">
        <is>
          <t>11월8일</t>
        </is>
      </c>
      <c r="D51" s="127" t="n">
        <v>1224000</v>
      </c>
      <c r="E51" s="127" t="n"/>
      <c r="F51" s="127" t="n"/>
      <c r="G51" s="127" t="n"/>
      <c r="H51" s="127" t="n"/>
      <c r="I51" s="127" t="n"/>
      <c r="J51" s="127" t="n"/>
      <c r="K51" s="127" t="n"/>
      <c r="L51" s="127" t="n"/>
      <c r="M51" s="127" t="n"/>
      <c r="N51" s="127" t="n"/>
      <c r="O51" s="127" t="n"/>
      <c r="P51" s="127" t="n"/>
      <c r="Q51" s="127" t="n"/>
      <c r="R51" s="127" t="n"/>
      <c r="S51" s="127" t="n"/>
      <c r="T51" s="127" t="n"/>
      <c r="U51" s="127" t="n"/>
      <c r="V51" s="127" t="n">
        <v>1224000</v>
      </c>
    </row>
    <row r="52">
      <c r="C52" s="94" t="inlineStr">
        <is>
          <t>11월9일</t>
        </is>
      </c>
      <c r="D52" s="127" t="n">
        <v>1634000</v>
      </c>
      <c r="E52" s="127" t="n"/>
      <c r="F52" s="127" t="n"/>
      <c r="G52" s="127" t="n"/>
      <c r="H52" s="127" t="n"/>
      <c r="I52" s="127" t="n"/>
      <c r="J52" s="127" t="n"/>
      <c r="K52" s="127" t="n"/>
      <c r="L52" s="127" t="n"/>
      <c r="M52" s="127" t="n"/>
      <c r="N52" s="127" t="n"/>
      <c r="O52" s="127" t="n"/>
      <c r="P52" s="127" t="n"/>
      <c r="Q52" s="127" t="n"/>
      <c r="R52" s="127" t="n"/>
      <c r="S52" s="127" t="n"/>
      <c r="T52" s="127" t="n"/>
      <c r="U52" s="127" t="n"/>
      <c r="V52" s="127" t="n">
        <v>1634000</v>
      </c>
    </row>
    <row r="53">
      <c r="C53" s="94" t="inlineStr">
        <is>
          <t>11월10일</t>
        </is>
      </c>
      <c r="D53" s="127" t="n">
        <v>2195000</v>
      </c>
      <c r="E53" s="127" t="n"/>
      <c r="F53" s="127" t="n"/>
      <c r="G53" s="127" t="n"/>
      <c r="H53" s="127" t="n"/>
      <c r="I53" s="127" t="n"/>
      <c r="J53" s="127" t="n"/>
      <c r="K53" s="127" t="n"/>
      <c r="L53" s="127" t="n"/>
      <c r="M53" s="127" t="n"/>
      <c r="N53" s="127" t="n"/>
      <c r="O53" s="127" t="n"/>
      <c r="P53" s="127" t="n"/>
      <c r="Q53" s="127" t="n"/>
      <c r="R53" s="127" t="n"/>
      <c r="S53" s="127" t="n"/>
      <c r="T53" s="127" t="n"/>
      <c r="U53" s="127" t="n"/>
      <c r="V53" s="127" t="n">
        <v>2195000</v>
      </c>
    </row>
    <row r="54">
      <c r="C54" s="94" t="inlineStr">
        <is>
          <t>11월11일</t>
        </is>
      </c>
      <c r="D54" s="127" t="n">
        <v>2204000</v>
      </c>
      <c r="E54" s="127" t="n"/>
      <c r="F54" s="127" t="n"/>
      <c r="G54" s="127" t="n"/>
      <c r="H54" s="127" t="n"/>
      <c r="I54" s="127" t="n"/>
      <c r="J54" s="127" t="n"/>
      <c r="K54" s="127" t="n"/>
      <c r="L54" s="127" t="n"/>
      <c r="M54" s="127" t="n"/>
      <c r="N54" s="127" t="n"/>
      <c r="O54" s="127" t="n"/>
      <c r="P54" s="127" t="n"/>
      <c r="Q54" s="127" t="n"/>
      <c r="R54" s="127" t="n"/>
      <c r="S54" s="127" t="n"/>
      <c r="T54" s="127" t="n"/>
      <c r="U54" s="127" t="n"/>
      <c r="V54" s="127" t="n">
        <v>2204000</v>
      </c>
    </row>
    <row r="55">
      <c r="C55" s="94" t="inlineStr">
        <is>
          <t>11월12일</t>
        </is>
      </c>
      <c r="D55" s="127" t="n">
        <v>2687000</v>
      </c>
      <c r="E55" s="127" t="n"/>
      <c r="F55" s="127" t="n"/>
      <c r="G55" s="127" t="n"/>
      <c r="H55" s="127" t="n"/>
      <c r="I55" s="127" t="n"/>
      <c r="J55" s="127" t="n"/>
      <c r="K55" s="127" t="n"/>
      <c r="L55" s="127" t="n"/>
      <c r="M55" s="127" t="n"/>
      <c r="N55" s="127" t="n"/>
      <c r="O55" s="127" t="n"/>
      <c r="P55" s="127" t="n"/>
      <c r="Q55" s="127" t="n"/>
      <c r="R55" s="127" t="n"/>
      <c r="S55" s="127" t="n"/>
      <c r="T55" s="127" t="n"/>
      <c r="U55" s="127" t="n"/>
      <c r="V55" s="127" t="n">
        <v>2687000</v>
      </c>
    </row>
    <row r="56">
      <c r="C56" s="94" t="inlineStr">
        <is>
          <t>11월13일</t>
        </is>
      </c>
      <c r="D56" s="127" t="n">
        <v>2618000</v>
      </c>
      <c r="E56" s="127" t="n"/>
      <c r="F56" s="127" t="n"/>
      <c r="G56" s="127" t="n"/>
      <c r="H56" s="127" t="n"/>
      <c r="I56" s="127" t="n"/>
      <c r="J56" s="127" t="n"/>
      <c r="K56" s="127" t="n"/>
      <c r="L56" s="127" t="n"/>
      <c r="M56" s="127" t="n"/>
      <c r="N56" s="127" t="n"/>
      <c r="O56" s="127" t="n"/>
      <c r="P56" s="127" t="n"/>
      <c r="Q56" s="127" t="n"/>
      <c r="R56" s="127" t="n"/>
      <c r="S56" s="127" t="n"/>
      <c r="T56" s="127" t="n"/>
      <c r="U56" s="127" t="n"/>
      <c r="V56" s="127" t="n">
        <v>2618000</v>
      </c>
    </row>
    <row r="57">
      <c r="C57" s="94" t="inlineStr">
        <is>
          <t>11월14일</t>
        </is>
      </c>
      <c r="D57" s="127" t="n">
        <v>1748000</v>
      </c>
      <c r="E57" s="127" t="n"/>
      <c r="F57" s="127" t="n"/>
      <c r="G57" s="127" t="n"/>
      <c r="H57" s="127" t="n"/>
      <c r="I57" s="127" t="n"/>
      <c r="J57" s="127" t="n"/>
      <c r="K57" s="127" t="n"/>
      <c r="L57" s="127" t="n"/>
      <c r="M57" s="127" t="n"/>
      <c r="N57" s="127" t="n"/>
      <c r="O57" s="127" t="n"/>
      <c r="P57" s="127" t="n"/>
      <c r="Q57" s="127" t="n"/>
      <c r="R57" s="127" t="n"/>
      <c r="S57" s="127" t="n"/>
      <c r="T57" s="127" t="n"/>
      <c r="U57" s="127" t="n"/>
      <c r="V57" s="127" t="n">
        <v>1748000</v>
      </c>
    </row>
    <row r="58">
      <c r="C58" s="94" t="inlineStr">
        <is>
          <t>11월15일</t>
        </is>
      </c>
      <c r="D58" s="127" t="n">
        <v>1761000</v>
      </c>
      <c r="E58" s="127" t="n"/>
      <c r="F58" s="127" t="n"/>
      <c r="G58" s="127" t="n"/>
      <c r="H58" s="127" t="n"/>
      <c r="I58" s="127" t="n"/>
      <c r="J58" s="127" t="n"/>
      <c r="K58" s="127" t="n"/>
      <c r="L58" s="127" t="n"/>
      <c r="M58" s="127" t="n"/>
      <c r="N58" s="127" t="n"/>
      <c r="O58" s="127" t="n"/>
      <c r="P58" s="127" t="n"/>
      <c r="Q58" s="127" t="n"/>
      <c r="R58" s="127" t="n"/>
      <c r="S58" s="127" t="n"/>
      <c r="T58" s="127" t="n"/>
      <c r="U58" s="127" t="n"/>
      <c r="V58" s="127" t="n">
        <v>1761000</v>
      </c>
    </row>
    <row r="59">
      <c r="C59" s="94" t="inlineStr">
        <is>
          <t>11월16일</t>
        </is>
      </c>
      <c r="D59" s="127" t="n">
        <v>1364000</v>
      </c>
      <c r="E59" s="127" t="n"/>
      <c r="F59" s="127" t="n"/>
      <c r="G59" s="127" t="n"/>
      <c r="H59" s="127" t="n"/>
      <c r="I59" s="127" t="n"/>
      <c r="J59" s="127" t="n"/>
      <c r="K59" s="127" t="n"/>
      <c r="L59" s="127" t="n"/>
      <c r="M59" s="127" t="n"/>
      <c r="N59" s="127" t="n"/>
      <c r="O59" s="127" t="n"/>
      <c r="P59" s="127" t="n"/>
      <c r="Q59" s="127" t="n"/>
      <c r="R59" s="127" t="n"/>
      <c r="S59" s="127" t="n"/>
      <c r="T59" s="127" t="n"/>
      <c r="U59" s="127" t="n"/>
      <c r="V59" s="127" t="n">
        <v>1364000</v>
      </c>
    </row>
    <row r="60">
      <c r="C60" s="94" t="inlineStr">
        <is>
          <t>11월17일</t>
        </is>
      </c>
      <c r="D60" s="127" t="n">
        <v>2305000</v>
      </c>
      <c r="E60" s="127" t="n"/>
      <c r="F60" s="127" t="n"/>
      <c r="G60" s="127" t="n"/>
      <c r="H60" s="127" t="n"/>
      <c r="I60" s="127" t="n"/>
      <c r="J60" s="127" t="n"/>
      <c r="K60" s="127" t="n"/>
      <c r="L60" s="127" t="n"/>
      <c r="M60" s="127" t="n"/>
      <c r="N60" s="127" t="n"/>
      <c r="O60" s="127" t="n"/>
      <c r="P60" s="127" t="n"/>
      <c r="Q60" s="127" t="n"/>
      <c r="R60" s="127" t="n"/>
      <c r="S60" s="127" t="n"/>
      <c r="T60" s="127" t="n"/>
      <c r="U60" s="127" t="n"/>
      <c r="V60" s="127" t="n">
        <v>2305000</v>
      </c>
    </row>
    <row r="61">
      <c r="C61" s="94" t="inlineStr">
        <is>
          <t>11월18일</t>
        </is>
      </c>
      <c r="D61" s="127" t="n">
        <v>1885000</v>
      </c>
      <c r="E61" s="127" t="n"/>
      <c r="F61" s="127" t="n"/>
      <c r="G61" s="127" t="n"/>
      <c r="H61" s="127" t="n"/>
      <c r="I61" s="127" t="n"/>
      <c r="J61" s="127" t="n"/>
      <c r="K61" s="127" t="n"/>
      <c r="L61" s="127" t="n"/>
      <c r="M61" s="127" t="n"/>
      <c r="N61" s="127" t="n"/>
      <c r="O61" s="127" t="n"/>
      <c r="P61" s="127" t="n"/>
      <c r="Q61" s="127" t="n"/>
      <c r="R61" s="127" t="n"/>
      <c r="S61" s="127" t="n"/>
      <c r="T61" s="127" t="n"/>
      <c r="U61" s="127" t="n"/>
      <c r="V61" s="127" t="n">
        <v>1885000</v>
      </c>
    </row>
    <row r="62">
      <c r="C62" s="94" t="inlineStr">
        <is>
          <t>11월19일</t>
        </is>
      </c>
      <c r="D62" s="127" t="n">
        <v>1545000</v>
      </c>
      <c r="E62" s="127" t="n"/>
      <c r="F62" s="127" t="n"/>
      <c r="G62" s="127" t="n"/>
      <c r="H62" s="127" t="n"/>
      <c r="I62" s="127" t="n"/>
      <c r="J62" s="127" t="n"/>
      <c r="K62" s="127" t="n"/>
      <c r="L62" s="127" t="n"/>
      <c r="M62" s="127" t="n"/>
      <c r="N62" s="127" t="n"/>
      <c r="O62" s="127" t="n"/>
      <c r="P62" s="127" t="n"/>
      <c r="Q62" s="127" t="n"/>
      <c r="R62" s="127" t="n"/>
      <c r="S62" s="127" t="n"/>
      <c r="T62" s="127" t="n"/>
      <c r="U62" s="127" t="n"/>
      <c r="V62" s="127" t="n">
        <v>1545000</v>
      </c>
    </row>
    <row r="63">
      <c r="C63" s="94" t="inlineStr">
        <is>
          <t>11월20일</t>
        </is>
      </c>
      <c r="D63" s="127" t="n">
        <v>1548000</v>
      </c>
      <c r="E63" s="127" t="n"/>
      <c r="F63" s="127" t="n"/>
      <c r="G63" s="127" t="n"/>
      <c r="H63" s="127" t="n"/>
      <c r="I63" s="127" t="n"/>
      <c r="J63" s="127" t="n"/>
      <c r="K63" s="127" t="n"/>
      <c r="L63" s="127" t="n"/>
      <c r="M63" s="127" t="n"/>
      <c r="N63" s="127" t="n"/>
      <c r="O63" s="127" t="n"/>
      <c r="P63" s="127" t="n"/>
      <c r="Q63" s="127" t="n"/>
      <c r="R63" s="127" t="n"/>
      <c r="S63" s="127" t="n"/>
      <c r="T63" s="127" t="n"/>
      <c r="U63" s="127" t="n"/>
      <c r="V63" s="127" t="n">
        <v>1548000</v>
      </c>
    </row>
    <row r="64">
      <c r="C64" s="94" t="inlineStr">
        <is>
          <t>11월21일</t>
        </is>
      </c>
      <c r="D64" s="127" t="n">
        <v>1807000</v>
      </c>
      <c r="E64" s="127" t="n"/>
      <c r="F64" s="127" t="n"/>
      <c r="G64" s="127" t="n"/>
      <c r="H64" s="127" t="n"/>
      <c r="I64" s="127" t="n"/>
      <c r="J64" s="127" t="n"/>
      <c r="K64" s="127" t="n"/>
      <c r="L64" s="127" t="n"/>
      <c r="M64" s="127" t="n"/>
      <c r="N64" s="127" t="n"/>
      <c r="O64" s="127" t="n"/>
      <c r="P64" s="127" t="n"/>
      <c r="Q64" s="127" t="n"/>
      <c r="R64" s="127" t="n"/>
      <c r="S64" s="127" t="n"/>
      <c r="T64" s="127" t="n"/>
      <c r="U64" s="127" t="n"/>
      <c r="V64" s="127" t="n">
        <v>1807000</v>
      </c>
    </row>
    <row r="65">
      <c r="C65" s="94" t="inlineStr">
        <is>
          <t>11월22일</t>
        </is>
      </c>
      <c r="D65" s="127" t="n">
        <v>1500000</v>
      </c>
      <c r="E65" s="127" t="n"/>
      <c r="F65" s="127" t="n"/>
      <c r="G65" s="127" t="n"/>
      <c r="H65" s="127" t="n"/>
      <c r="I65" s="127" t="n"/>
      <c r="J65" s="127" t="n"/>
      <c r="K65" s="127" t="n"/>
      <c r="L65" s="127" t="n"/>
      <c r="M65" s="127" t="n"/>
      <c r="N65" s="127" t="n"/>
      <c r="O65" s="127" t="n"/>
      <c r="P65" s="127" t="n"/>
      <c r="Q65" s="127" t="n"/>
      <c r="R65" s="127" t="n"/>
      <c r="S65" s="127" t="n"/>
      <c r="T65" s="127" t="n"/>
      <c r="U65" s="127" t="n"/>
      <c r="V65" s="127" t="n">
        <v>1500000</v>
      </c>
    </row>
    <row r="66">
      <c r="C66" s="94" t="inlineStr">
        <is>
          <t>11월23일</t>
        </is>
      </c>
      <c r="D66" s="127" t="n">
        <v>1612000</v>
      </c>
      <c r="E66" s="127" t="n"/>
      <c r="F66" s="127" t="n"/>
      <c r="G66" s="127" t="n"/>
      <c r="H66" s="127" t="n"/>
      <c r="I66" s="127" t="n"/>
      <c r="J66" s="127" t="n"/>
      <c r="K66" s="127" t="n"/>
      <c r="L66" s="127" t="n"/>
      <c r="M66" s="127" t="n"/>
      <c r="N66" s="127" t="n"/>
      <c r="O66" s="127" t="n"/>
      <c r="P66" s="127" t="n"/>
      <c r="Q66" s="127" t="n"/>
      <c r="R66" s="127" t="n"/>
      <c r="S66" s="127" t="n"/>
      <c r="T66" s="127" t="n"/>
      <c r="U66" s="127" t="n"/>
      <c r="V66" s="127" t="n">
        <v>1612000</v>
      </c>
    </row>
    <row r="67">
      <c r="C67" s="94" t="inlineStr">
        <is>
          <t>11월24일</t>
        </is>
      </c>
      <c r="D67" s="127" t="n">
        <v>1548000</v>
      </c>
      <c r="E67" s="127" t="n"/>
      <c r="F67" s="127" t="n"/>
      <c r="G67" s="127" t="n"/>
      <c r="H67" s="127" t="n"/>
      <c r="I67" s="127" t="n"/>
      <c r="J67" s="127" t="n"/>
      <c r="K67" s="127" t="n"/>
      <c r="L67" s="127" t="n"/>
      <c r="M67" s="127" t="n"/>
      <c r="N67" s="127" t="n"/>
      <c r="O67" s="127" t="n"/>
      <c r="P67" s="127" t="n"/>
      <c r="Q67" s="127" t="n"/>
      <c r="R67" s="127" t="n"/>
      <c r="S67" s="127" t="n"/>
      <c r="T67" s="127" t="n"/>
      <c r="U67" s="127" t="n"/>
      <c r="V67" s="127" t="n">
        <v>1548000</v>
      </c>
    </row>
    <row r="68">
      <c r="C68" s="94" t="inlineStr">
        <is>
          <t>11월25일</t>
        </is>
      </c>
      <c r="D68" s="127" t="n">
        <v>2181000</v>
      </c>
      <c r="E68" s="127" t="n"/>
      <c r="F68" s="127" t="n"/>
      <c r="G68" s="127" t="n"/>
      <c r="H68" s="127" t="n"/>
      <c r="I68" s="127" t="n"/>
      <c r="J68" s="127" t="n"/>
      <c r="K68" s="127" t="n"/>
      <c r="L68" s="127" t="n"/>
      <c r="M68" s="127" t="n"/>
      <c r="N68" s="127" t="n"/>
      <c r="O68" s="127" t="n"/>
      <c r="P68" s="127" t="n"/>
      <c r="Q68" s="127" t="n"/>
      <c r="R68" s="127" t="n"/>
      <c r="S68" s="127" t="n"/>
      <c r="T68" s="127" t="n"/>
      <c r="U68" s="127" t="n"/>
      <c r="V68" s="127" t="n">
        <v>2181000</v>
      </c>
    </row>
    <row r="69">
      <c r="C69" s="94" t="inlineStr">
        <is>
          <t>11월26일</t>
        </is>
      </c>
      <c r="D69" s="127" t="n">
        <v>1462000</v>
      </c>
      <c r="E69" s="127" t="n"/>
      <c r="F69" s="127" t="n"/>
      <c r="G69" s="127" t="n"/>
      <c r="H69" s="127" t="n"/>
      <c r="I69" s="127" t="n"/>
      <c r="J69" s="127" t="n"/>
      <c r="K69" s="127" t="n"/>
      <c r="L69" s="127" t="n"/>
      <c r="M69" s="127" t="n"/>
      <c r="N69" s="127" t="n"/>
      <c r="O69" s="127" t="n"/>
      <c r="P69" s="127" t="n"/>
      <c r="Q69" s="127" t="n"/>
      <c r="R69" s="127" t="n"/>
      <c r="S69" s="127" t="n"/>
      <c r="T69" s="127" t="n"/>
      <c r="U69" s="127" t="n"/>
      <c r="V69" s="127" t="n">
        <v>1462000</v>
      </c>
    </row>
    <row r="70">
      <c r="C70" s="94" t="inlineStr">
        <is>
          <t>11월27일</t>
        </is>
      </c>
      <c r="D70" s="127" t="n">
        <v>1231000</v>
      </c>
      <c r="E70" s="127" t="n"/>
      <c r="F70" s="127" t="n"/>
      <c r="G70" s="127" t="n"/>
      <c r="H70" s="127" t="n"/>
      <c r="I70" s="127" t="n"/>
      <c r="J70" s="127" t="n"/>
      <c r="K70" s="127" t="n"/>
      <c r="L70" s="127" t="n"/>
      <c r="M70" s="127" t="n"/>
      <c r="N70" s="127" t="n"/>
      <c r="O70" s="127" t="n"/>
      <c r="P70" s="127" t="n"/>
      <c r="Q70" s="127" t="n"/>
      <c r="R70" s="127" t="n"/>
      <c r="S70" s="127" t="n"/>
      <c r="T70" s="127" t="n"/>
      <c r="U70" s="127" t="n"/>
      <c r="V70" s="127" t="n">
        <v>1231000</v>
      </c>
    </row>
    <row r="71">
      <c r="C71" s="94" t="inlineStr">
        <is>
          <t>11월28일</t>
        </is>
      </c>
      <c r="D71" s="127" t="n">
        <v>1678000</v>
      </c>
      <c r="E71" s="127" t="n"/>
      <c r="F71" s="127" t="n"/>
      <c r="G71" s="127" t="n"/>
      <c r="H71" s="127" t="n"/>
      <c r="I71" s="127" t="n"/>
      <c r="J71" s="127" t="n"/>
      <c r="K71" s="127" t="n"/>
      <c r="L71" s="127" t="n"/>
      <c r="M71" s="127" t="n"/>
      <c r="N71" s="127" t="n"/>
      <c r="O71" s="127" t="n"/>
      <c r="P71" s="127" t="n"/>
      <c r="Q71" s="127" t="n"/>
      <c r="R71" s="127" t="n"/>
      <c r="S71" s="127" t="n"/>
      <c r="T71" s="127" t="n"/>
      <c r="U71" s="127" t="n"/>
      <c r="V71" s="127" t="n">
        <v>1678000</v>
      </c>
    </row>
    <row r="72">
      <c r="C72" s="94" t="inlineStr">
        <is>
          <t>11월29일</t>
        </is>
      </c>
      <c r="D72" s="127" t="n">
        <v>790000</v>
      </c>
      <c r="E72" s="127" t="n"/>
      <c r="F72" s="127" t="n"/>
      <c r="G72" s="127" t="n"/>
      <c r="H72" s="127" t="n"/>
      <c r="I72" s="127" t="n"/>
      <c r="J72" s="127" t="n"/>
      <c r="K72" s="127" t="n"/>
      <c r="L72" s="127" t="n"/>
      <c r="M72" s="127" t="n"/>
      <c r="N72" s="127" t="n"/>
      <c r="O72" s="127" t="n"/>
      <c r="P72" s="127" t="n"/>
      <c r="Q72" s="127" t="n"/>
      <c r="R72" s="127" t="n"/>
      <c r="S72" s="127" t="n"/>
      <c r="T72" s="127" t="n"/>
      <c r="U72" s="127" t="n"/>
      <c r="V72" s="127" t="n">
        <v>790000</v>
      </c>
    </row>
    <row r="73">
      <c r="C73" s="94" t="inlineStr">
        <is>
          <t>11월30일</t>
        </is>
      </c>
      <c r="D73" s="127" t="n">
        <v>1205000</v>
      </c>
      <c r="E73" s="127" t="n"/>
      <c r="F73" s="127" t="n"/>
      <c r="G73" s="127" t="n"/>
      <c r="H73" s="127" t="n"/>
      <c r="I73" s="127" t="n"/>
      <c r="J73" s="127" t="n"/>
      <c r="K73" s="127" t="n"/>
      <c r="L73" s="127" t="n"/>
      <c r="M73" s="127" t="n"/>
      <c r="N73" s="127" t="n"/>
      <c r="O73" s="127" t="n"/>
      <c r="P73" s="127" t="n"/>
      <c r="Q73" s="127" t="n"/>
      <c r="R73" s="127" t="n"/>
      <c r="S73" s="127" t="n"/>
      <c r="T73" s="127" t="n"/>
      <c r="U73" s="127" t="n"/>
      <c r="V73" s="127" t="n">
        <v>1205000</v>
      </c>
    </row>
    <row r="74">
      <c r="B74" s="94" t="inlineStr">
        <is>
          <t>11월 요약</t>
        </is>
      </c>
      <c r="C74" s="94" t="n"/>
      <c r="D74" s="127" t="n">
        <v>54186000</v>
      </c>
      <c r="E74" s="127" t="n"/>
      <c r="F74" s="127" t="n"/>
      <c r="G74" s="127" t="n"/>
      <c r="H74" s="127" t="n"/>
      <c r="I74" s="127" t="n"/>
      <c r="J74" s="127" t="n"/>
      <c r="K74" s="127" t="n"/>
      <c r="L74" s="127" t="n"/>
      <c r="M74" s="127" t="n"/>
      <c r="N74" s="127" t="n"/>
      <c r="O74" s="127" t="n"/>
      <c r="P74" s="127" t="n"/>
      <c r="Q74" s="127" t="n"/>
      <c r="R74" s="127" t="n"/>
      <c r="S74" s="127" t="n"/>
      <c r="T74" s="127" t="n"/>
      <c r="U74" s="127" t="n"/>
      <c r="V74" s="127" t="n">
        <v>54186000</v>
      </c>
    </row>
    <row r="75">
      <c r="B75" s="94" t="inlineStr">
        <is>
          <t>12월</t>
        </is>
      </c>
      <c r="C75" s="94" t="inlineStr">
        <is>
          <t>12월1일</t>
        </is>
      </c>
      <c r="D75" s="127" t="n">
        <v>1572000</v>
      </c>
      <c r="E75" s="127" t="n"/>
      <c r="F75" s="127" t="n"/>
      <c r="G75" s="127" t="n"/>
      <c r="H75" s="127" t="n"/>
      <c r="I75" s="127" t="n"/>
      <c r="J75" s="127" t="n"/>
      <c r="K75" s="127" t="n"/>
      <c r="L75" s="127" t="n"/>
      <c r="M75" s="127" t="n"/>
      <c r="N75" s="127" t="n"/>
      <c r="O75" s="127" t="n"/>
      <c r="P75" s="127" t="n"/>
      <c r="Q75" s="127" t="n"/>
      <c r="R75" s="127" t="n"/>
      <c r="S75" s="127" t="n"/>
      <c r="T75" s="127" t="n"/>
      <c r="U75" s="127" t="n"/>
      <c r="V75" s="127" t="n">
        <v>1572000</v>
      </c>
    </row>
    <row r="76">
      <c r="C76" s="94" t="inlineStr">
        <is>
          <t>12월2일</t>
        </is>
      </c>
      <c r="D76" s="127" t="n">
        <v>2421000</v>
      </c>
      <c r="E76" s="127" t="n"/>
      <c r="F76" s="127" t="n"/>
      <c r="G76" s="127" t="n"/>
      <c r="H76" s="127" t="n"/>
      <c r="I76" s="127" t="n"/>
      <c r="J76" s="127" t="n"/>
      <c r="K76" s="127" t="n"/>
      <c r="L76" s="127" t="n"/>
      <c r="M76" s="127" t="n"/>
      <c r="N76" s="127" t="n"/>
      <c r="O76" s="127" t="n"/>
      <c r="P76" s="127" t="n"/>
      <c r="Q76" s="127" t="n"/>
      <c r="R76" s="127" t="n"/>
      <c r="S76" s="127" t="n"/>
      <c r="T76" s="127" t="n"/>
      <c r="U76" s="127" t="n"/>
      <c r="V76" s="127" t="n">
        <v>2421000</v>
      </c>
    </row>
    <row r="77">
      <c r="C77" s="94" t="inlineStr">
        <is>
          <t>12월3일</t>
        </is>
      </c>
      <c r="D77" s="127" t="n">
        <v>2171000</v>
      </c>
      <c r="E77" s="127" t="n"/>
      <c r="F77" s="127" t="n"/>
      <c r="G77" s="127" t="n"/>
      <c r="H77" s="127" t="n"/>
      <c r="I77" s="127" t="n"/>
      <c r="J77" s="127" t="n"/>
      <c r="K77" s="127" t="n"/>
      <c r="L77" s="127" t="n"/>
      <c r="M77" s="127" t="n"/>
      <c r="N77" s="127" t="n"/>
      <c r="O77" s="127" t="n"/>
      <c r="P77" s="127" t="n"/>
      <c r="Q77" s="127" t="n"/>
      <c r="R77" s="127" t="n"/>
      <c r="S77" s="127" t="n"/>
      <c r="T77" s="127" t="n"/>
      <c r="U77" s="127" t="n"/>
      <c r="V77" s="127" t="n">
        <v>2171000</v>
      </c>
    </row>
    <row r="78">
      <c r="C78" s="94" t="inlineStr">
        <is>
          <t>12월4일</t>
        </is>
      </c>
      <c r="D78" s="127" t="n">
        <v>1565000</v>
      </c>
      <c r="E78" s="127" t="n"/>
      <c r="F78" s="127" t="n"/>
      <c r="G78" s="127" t="n"/>
      <c r="H78" s="127" t="n"/>
      <c r="I78" s="127" t="n"/>
      <c r="J78" s="127" t="n"/>
      <c r="K78" s="127" t="n"/>
      <c r="L78" s="127" t="n"/>
      <c r="M78" s="127" t="n"/>
      <c r="N78" s="127" t="n"/>
      <c r="O78" s="127" t="n"/>
      <c r="P78" s="127" t="n"/>
      <c r="Q78" s="127" t="n"/>
      <c r="R78" s="127" t="n"/>
      <c r="S78" s="127" t="n"/>
      <c r="T78" s="127" t="n"/>
      <c r="U78" s="127" t="n"/>
      <c r="V78" s="127" t="n">
        <v>1565000</v>
      </c>
    </row>
    <row r="79">
      <c r="C79" s="94" t="inlineStr">
        <is>
          <t>12월5일</t>
        </is>
      </c>
      <c r="D79" s="127" t="n">
        <v>1524000</v>
      </c>
      <c r="E79" s="127" t="n"/>
      <c r="F79" s="127" t="n"/>
      <c r="G79" s="127" t="n"/>
      <c r="H79" s="127" t="n"/>
      <c r="I79" s="127" t="n"/>
      <c r="J79" s="127" t="n"/>
      <c r="K79" s="127" t="n"/>
      <c r="L79" s="127" t="n"/>
      <c r="M79" s="127" t="n"/>
      <c r="N79" s="127" t="n"/>
      <c r="O79" s="127" t="n"/>
      <c r="P79" s="127" t="n"/>
      <c r="Q79" s="127" t="n"/>
      <c r="R79" s="127" t="n"/>
      <c r="S79" s="127" t="n"/>
      <c r="T79" s="127" t="n"/>
      <c r="U79" s="127" t="n"/>
      <c r="V79" s="127" t="n">
        <v>1524000</v>
      </c>
    </row>
    <row r="80">
      <c r="C80" s="94" t="inlineStr">
        <is>
          <t>12월6일</t>
        </is>
      </c>
      <c r="D80" s="127" t="n">
        <v>1185000</v>
      </c>
      <c r="E80" s="127" t="n"/>
      <c r="F80" s="127" t="n"/>
      <c r="G80" s="127" t="n"/>
      <c r="H80" s="127" t="n"/>
      <c r="I80" s="127" t="n"/>
      <c r="J80" s="127" t="n"/>
      <c r="K80" s="127" t="n"/>
      <c r="L80" s="127" t="n"/>
      <c r="M80" s="127" t="n"/>
      <c r="N80" s="127" t="n"/>
      <c r="O80" s="127" t="n"/>
      <c r="P80" s="127" t="n"/>
      <c r="Q80" s="127" t="n"/>
      <c r="R80" s="127" t="n"/>
      <c r="S80" s="127" t="n"/>
      <c r="T80" s="127" t="n"/>
      <c r="U80" s="127" t="n"/>
      <c r="V80" s="127" t="n">
        <v>1185000</v>
      </c>
    </row>
    <row r="81">
      <c r="C81" s="94" t="inlineStr">
        <is>
          <t>12월7일</t>
        </is>
      </c>
      <c r="D81" s="127" t="n">
        <v>978000</v>
      </c>
      <c r="E81" s="127" t="n"/>
      <c r="F81" s="127" t="n"/>
      <c r="G81" s="127" t="n"/>
      <c r="H81" s="127" t="n"/>
      <c r="I81" s="127" t="n"/>
      <c r="J81" s="127" t="n"/>
      <c r="K81" s="127" t="n"/>
      <c r="L81" s="127" t="n"/>
      <c r="M81" s="127" t="n"/>
      <c r="N81" s="127" t="n"/>
      <c r="O81" s="127" t="n"/>
      <c r="P81" s="127" t="n"/>
      <c r="Q81" s="127" t="n"/>
      <c r="R81" s="127" t="n"/>
      <c r="S81" s="127" t="n"/>
      <c r="T81" s="127" t="n"/>
      <c r="U81" s="127" t="n"/>
      <c r="V81" s="127" t="n">
        <v>978000</v>
      </c>
    </row>
    <row r="82">
      <c r="C82" s="94" t="inlineStr">
        <is>
          <t>12월8일</t>
        </is>
      </c>
      <c r="D82" s="127" t="n">
        <v>1426000</v>
      </c>
      <c r="E82" s="127" t="n"/>
      <c r="F82" s="127" t="n"/>
      <c r="G82" s="127" t="n"/>
      <c r="H82" s="127" t="n"/>
      <c r="I82" s="127" t="n"/>
      <c r="J82" s="127" t="n"/>
      <c r="K82" s="127" t="n"/>
      <c r="L82" s="127" t="n"/>
      <c r="M82" s="127" t="n"/>
      <c r="N82" s="127" t="n"/>
      <c r="O82" s="127" t="n"/>
      <c r="P82" s="127" t="n"/>
      <c r="Q82" s="127" t="n"/>
      <c r="R82" s="127" t="n"/>
      <c r="S82" s="127" t="n"/>
      <c r="T82" s="127" t="n"/>
      <c r="U82" s="127" t="n"/>
      <c r="V82" s="127" t="n">
        <v>1426000</v>
      </c>
    </row>
    <row r="83">
      <c r="C83" s="94" t="inlineStr">
        <is>
          <t>12월9일</t>
        </is>
      </c>
      <c r="D83" s="127" t="n">
        <v>1939000</v>
      </c>
      <c r="E83" s="127" t="n"/>
      <c r="F83" s="127" t="n"/>
      <c r="G83" s="127" t="n"/>
      <c r="H83" s="127" t="n"/>
      <c r="I83" s="127" t="n"/>
      <c r="J83" s="127" t="n"/>
      <c r="K83" s="127" t="n"/>
      <c r="L83" s="127" t="n"/>
      <c r="M83" s="127" t="n"/>
      <c r="N83" s="127" t="n"/>
      <c r="O83" s="127" t="n"/>
      <c r="P83" s="127" t="n"/>
      <c r="Q83" s="127" t="n"/>
      <c r="R83" s="127" t="n"/>
      <c r="S83" s="127" t="n"/>
      <c r="T83" s="127" t="n"/>
      <c r="U83" s="127" t="n"/>
      <c r="V83" s="127" t="n">
        <v>1939000</v>
      </c>
    </row>
    <row r="84">
      <c r="C84" s="94" t="inlineStr">
        <is>
          <t>12월10일</t>
        </is>
      </c>
      <c r="D84" s="127" t="n">
        <v>2115000</v>
      </c>
      <c r="E84" s="127" t="n"/>
      <c r="F84" s="127" t="n"/>
      <c r="G84" s="127" t="n"/>
      <c r="H84" s="127" t="n"/>
      <c r="I84" s="127" t="n"/>
      <c r="J84" s="127" t="n"/>
      <c r="K84" s="127" t="n"/>
      <c r="L84" s="127" t="n"/>
      <c r="M84" s="127" t="n"/>
      <c r="N84" s="127" t="n"/>
      <c r="O84" s="127" t="n"/>
      <c r="P84" s="127" t="n"/>
      <c r="Q84" s="127" t="n"/>
      <c r="R84" s="127" t="n"/>
      <c r="S84" s="127" t="n"/>
      <c r="T84" s="127" t="n"/>
      <c r="U84" s="127" t="n"/>
      <c r="V84" s="127" t="n">
        <v>2115000</v>
      </c>
    </row>
    <row r="85">
      <c r="C85" s="94" t="inlineStr">
        <is>
          <t>12월11일</t>
        </is>
      </c>
      <c r="D85" s="127" t="n">
        <v>1879000</v>
      </c>
      <c r="E85" s="127" t="n"/>
      <c r="F85" s="127" t="n"/>
      <c r="G85" s="127" t="n"/>
      <c r="H85" s="127" t="n"/>
      <c r="I85" s="127" t="n"/>
      <c r="J85" s="127" t="n"/>
      <c r="K85" s="127" t="n"/>
      <c r="L85" s="127" t="n"/>
      <c r="M85" s="127" t="n"/>
      <c r="N85" s="127" t="n"/>
      <c r="O85" s="127" t="n"/>
      <c r="P85" s="127" t="n"/>
      <c r="Q85" s="127" t="n"/>
      <c r="R85" s="127" t="n"/>
      <c r="S85" s="127" t="n"/>
      <c r="T85" s="127" t="n"/>
      <c r="U85" s="127" t="n"/>
      <c r="V85" s="127" t="n">
        <v>1879000</v>
      </c>
    </row>
    <row r="86">
      <c r="C86" s="94" t="inlineStr">
        <is>
          <t>12월12일</t>
        </is>
      </c>
      <c r="D86" s="127" t="n">
        <v>1712000</v>
      </c>
      <c r="E86" s="127" t="n"/>
      <c r="F86" s="127" t="n"/>
      <c r="G86" s="127" t="n"/>
      <c r="H86" s="127" t="n"/>
      <c r="I86" s="127" t="n"/>
      <c r="J86" s="127" t="n"/>
      <c r="K86" s="127" t="n"/>
      <c r="L86" s="127" t="n"/>
      <c r="M86" s="127" t="n"/>
      <c r="N86" s="127" t="n"/>
      <c r="O86" s="127" t="n"/>
      <c r="P86" s="127" t="n"/>
      <c r="Q86" s="127" t="n"/>
      <c r="R86" s="127" t="n"/>
      <c r="S86" s="127" t="n"/>
      <c r="T86" s="127" t="n"/>
      <c r="U86" s="127" t="n"/>
      <c r="V86" s="127" t="n">
        <v>1712000</v>
      </c>
    </row>
    <row r="87">
      <c r="C87" s="94" t="inlineStr">
        <is>
          <t>12월13일</t>
        </is>
      </c>
      <c r="D87" s="127" t="n">
        <v>2002000</v>
      </c>
      <c r="E87" s="127" t="n"/>
      <c r="F87" s="127" t="n"/>
      <c r="G87" s="127" t="n"/>
      <c r="H87" s="127" t="n"/>
      <c r="I87" s="127" t="n"/>
      <c r="J87" s="127" t="n"/>
      <c r="K87" s="127" t="n"/>
      <c r="L87" s="127" t="n"/>
      <c r="M87" s="127" t="n"/>
      <c r="N87" s="127" t="n"/>
      <c r="O87" s="127" t="n"/>
      <c r="P87" s="127" t="n"/>
      <c r="Q87" s="127" t="n"/>
      <c r="R87" s="127" t="n"/>
      <c r="S87" s="127" t="n"/>
      <c r="T87" s="127" t="n"/>
      <c r="U87" s="127" t="n"/>
      <c r="V87" s="127" t="n">
        <v>2002000</v>
      </c>
    </row>
    <row r="88">
      <c r="C88" s="94" t="inlineStr">
        <is>
          <t>12월14일</t>
        </is>
      </c>
      <c r="D88" s="127" t="n">
        <v>5195000</v>
      </c>
      <c r="E88" s="127" t="n"/>
      <c r="F88" s="127" t="n"/>
      <c r="G88" s="127" t="n"/>
      <c r="H88" s="127" t="n"/>
      <c r="I88" s="127" t="n"/>
      <c r="J88" s="127" t="n"/>
      <c r="K88" s="127" t="n"/>
      <c r="L88" s="127" t="n"/>
      <c r="M88" s="127" t="n"/>
      <c r="N88" s="127" t="n"/>
      <c r="O88" s="127" t="n"/>
      <c r="P88" s="127" t="n"/>
      <c r="Q88" s="127" t="n"/>
      <c r="R88" s="127" t="n"/>
      <c r="S88" s="127" t="n"/>
      <c r="T88" s="127" t="n"/>
      <c r="U88" s="127" t="n"/>
      <c r="V88" s="127" t="n">
        <v>5195000</v>
      </c>
    </row>
    <row r="89">
      <c r="C89" s="94" t="inlineStr">
        <is>
          <t>12월15일</t>
        </is>
      </c>
      <c r="D89" s="127" t="n">
        <v>10965000</v>
      </c>
      <c r="E89" s="127" t="n"/>
      <c r="F89" s="127" t="n"/>
      <c r="G89" s="127" t="n"/>
      <c r="H89" s="127" t="n"/>
      <c r="I89" s="127" t="n"/>
      <c r="J89" s="127" t="n"/>
      <c r="K89" s="127" t="n"/>
      <c r="L89" s="127" t="n"/>
      <c r="M89" s="127" t="n"/>
      <c r="N89" s="127" t="n"/>
      <c r="O89" s="127" t="n"/>
      <c r="P89" s="127" t="n"/>
      <c r="Q89" s="127" t="n"/>
      <c r="R89" s="127" t="n"/>
      <c r="S89" s="127" t="n"/>
      <c r="T89" s="127" t="n"/>
      <c r="U89" s="127" t="n"/>
      <c r="V89" s="127" t="n">
        <v>10965000</v>
      </c>
    </row>
    <row r="90">
      <c r="C90" s="94" t="inlineStr">
        <is>
          <t>12월16일</t>
        </is>
      </c>
      <c r="D90" s="127" t="n">
        <v>3118000</v>
      </c>
      <c r="E90" s="127" t="n"/>
      <c r="F90" s="127" t="n"/>
      <c r="G90" s="127" t="n"/>
      <c r="H90" s="127" t="n"/>
      <c r="I90" s="127" t="n"/>
      <c r="J90" s="127" t="n"/>
      <c r="K90" s="127" t="n"/>
      <c r="L90" s="127" t="n"/>
      <c r="M90" s="127" t="n"/>
      <c r="N90" s="127" t="n"/>
      <c r="O90" s="127" t="n"/>
      <c r="P90" s="127" t="n"/>
      <c r="Q90" s="127" t="n"/>
      <c r="R90" s="127" t="n"/>
      <c r="S90" s="127" t="n"/>
      <c r="T90" s="127" t="n"/>
      <c r="U90" s="127" t="n"/>
      <c r="V90" s="127" t="n">
        <v>3118000</v>
      </c>
    </row>
    <row r="91">
      <c r="C91" s="94" t="inlineStr">
        <is>
          <t>12월17일</t>
        </is>
      </c>
      <c r="D91" s="127" t="n">
        <v>2942000</v>
      </c>
      <c r="E91" s="127" t="n"/>
      <c r="F91" s="127" t="n"/>
      <c r="G91" s="127" t="n"/>
      <c r="H91" s="127" t="n"/>
      <c r="I91" s="127" t="n"/>
      <c r="J91" s="127" t="n"/>
      <c r="K91" s="127" t="n"/>
      <c r="L91" s="127" t="n"/>
      <c r="M91" s="127" t="n"/>
      <c r="N91" s="127" t="n"/>
      <c r="O91" s="127" t="n"/>
      <c r="P91" s="127" t="n"/>
      <c r="Q91" s="127" t="n"/>
      <c r="R91" s="127" t="n"/>
      <c r="S91" s="127" t="n"/>
      <c r="T91" s="127" t="n"/>
      <c r="U91" s="127" t="n"/>
      <c r="V91" s="127" t="n">
        <v>2942000</v>
      </c>
    </row>
    <row r="92">
      <c r="C92" s="94" t="inlineStr">
        <is>
          <t>12월18일</t>
        </is>
      </c>
      <c r="D92" s="127" t="n">
        <v>2652000</v>
      </c>
      <c r="E92" s="127" t="n"/>
      <c r="F92" s="127" t="n"/>
      <c r="G92" s="127" t="n"/>
      <c r="H92" s="127" t="n"/>
      <c r="I92" s="127" t="n"/>
      <c r="J92" s="127" t="n"/>
      <c r="K92" s="127" t="n"/>
      <c r="L92" s="127" t="n"/>
      <c r="M92" s="127" t="n"/>
      <c r="N92" s="127" t="n"/>
      <c r="O92" s="127" t="n"/>
      <c r="P92" s="127" t="n"/>
      <c r="Q92" s="127" t="n"/>
      <c r="R92" s="127" t="n"/>
      <c r="S92" s="127" t="n"/>
      <c r="T92" s="127" t="n"/>
      <c r="U92" s="127" t="n"/>
      <c r="V92" s="127" t="n">
        <v>2652000</v>
      </c>
    </row>
    <row r="93">
      <c r="C93" s="94" t="inlineStr">
        <is>
          <t>12월19일</t>
        </is>
      </c>
      <c r="D93" s="127" t="n">
        <v>2752000</v>
      </c>
      <c r="E93" s="127" t="n"/>
      <c r="F93" s="127" t="n"/>
      <c r="G93" s="127" t="n"/>
      <c r="H93" s="127" t="n"/>
      <c r="I93" s="127" t="n"/>
      <c r="J93" s="127" t="n"/>
      <c r="K93" s="127" t="n"/>
      <c r="L93" s="127" t="n"/>
      <c r="M93" s="127" t="n"/>
      <c r="N93" s="127" t="n"/>
      <c r="O93" s="127" t="n"/>
      <c r="P93" s="127" t="n"/>
      <c r="Q93" s="127" t="n"/>
      <c r="R93" s="127" t="n"/>
      <c r="S93" s="127" t="n"/>
      <c r="T93" s="127" t="n"/>
      <c r="U93" s="127" t="n"/>
      <c r="V93" s="127" t="n">
        <v>2752000</v>
      </c>
    </row>
    <row r="94">
      <c r="C94" s="94" t="inlineStr">
        <is>
          <t>12월20일</t>
        </is>
      </c>
      <c r="D94" s="127" t="n">
        <v>2570000</v>
      </c>
      <c r="E94" s="127" t="n"/>
      <c r="F94" s="127" t="n"/>
      <c r="G94" s="127" t="n"/>
      <c r="H94" s="127" t="n"/>
      <c r="I94" s="127" t="n"/>
      <c r="J94" s="127" t="n"/>
      <c r="K94" s="127" t="n"/>
      <c r="L94" s="127" t="n"/>
      <c r="M94" s="127" t="n"/>
      <c r="N94" s="127" t="n"/>
      <c r="O94" s="127" t="n"/>
      <c r="P94" s="127" t="n"/>
      <c r="Q94" s="127" t="n"/>
      <c r="R94" s="127" t="n"/>
      <c r="S94" s="127" t="n"/>
      <c r="T94" s="127" t="n"/>
      <c r="U94" s="127" t="n"/>
      <c r="V94" s="127" t="n">
        <v>2570000</v>
      </c>
    </row>
    <row r="95">
      <c r="C95" s="94" t="inlineStr">
        <is>
          <t>12월21일</t>
        </is>
      </c>
      <c r="D95" s="127" t="n">
        <v>2086000</v>
      </c>
      <c r="E95" s="127" t="n"/>
      <c r="F95" s="127" t="n"/>
      <c r="G95" s="127" t="n"/>
      <c r="H95" s="127" t="n"/>
      <c r="I95" s="127" t="n"/>
      <c r="J95" s="127" t="n"/>
      <c r="K95" s="127" t="n"/>
      <c r="L95" s="127" t="n"/>
      <c r="M95" s="127" t="n"/>
      <c r="N95" s="127" t="n"/>
      <c r="O95" s="127" t="n"/>
      <c r="P95" s="127" t="n"/>
      <c r="Q95" s="127" t="n"/>
      <c r="R95" s="127" t="n"/>
      <c r="S95" s="127" t="n"/>
      <c r="T95" s="127" t="n"/>
      <c r="U95" s="127" t="n"/>
      <c r="V95" s="127" t="n">
        <v>2086000</v>
      </c>
    </row>
    <row r="96">
      <c r="C96" s="94" t="inlineStr">
        <is>
          <t>12월22일</t>
        </is>
      </c>
      <c r="D96" s="127" t="n">
        <v>1612000</v>
      </c>
      <c r="E96" s="127" t="n"/>
      <c r="F96" s="127" t="n"/>
      <c r="G96" s="127" t="n"/>
      <c r="H96" s="127" t="n"/>
      <c r="I96" s="127" t="n"/>
      <c r="J96" s="127" t="n"/>
      <c r="K96" s="127" t="n"/>
      <c r="L96" s="127" t="n"/>
      <c r="M96" s="127" t="n"/>
      <c r="N96" s="127" t="n"/>
      <c r="O96" s="127" t="n"/>
      <c r="P96" s="127" t="n"/>
      <c r="Q96" s="127" t="n"/>
      <c r="R96" s="127" t="n"/>
      <c r="S96" s="127" t="n"/>
      <c r="T96" s="127" t="n"/>
      <c r="U96" s="127" t="n"/>
      <c r="V96" s="127" t="n">
        <v>1612000</v>
      </c>
    </row>
    <row r="97">
      <c r="C97" s="94" t="inlineStr">
        <is>
          <t>12월23일</t>
        </is>
      </c>
      <c r="D97" s="127" t="n">
        <v>1691000</v>
      </c>
      <c r="E97" s="127" t="n"/>
      <c r="F97" s="127" t="n"/>
      <c r="G97" s="127" t="n"/>
      <c r="H97" s="127" t="n"/>
      <c r="I97" s="127" t="n"/>
      <c r="J97" s="127" t="n"/>
      <c r="K97" s="127" t="n"/>
      <c r="L97" s="127" t="n"/>
      <c r="M97" s="127" t="n"/>
      <c r="N97" s="127" t="n"/>
      <c r="O97" s="127" t="n"/>
      <c r="P97" s="127" t="n"/>
      <c r="Q97" s="127" t="n"/>
      <c r="R97" s="127" t="n"/>
      <c r="S97" s="127" t="n"/>
      <c r="T97" s="127" t="n"/>
      <c r="U97" s="127" t="n"/>
      <c r="V97" s="127" t="n">
        <v>1691000</v>
      </c>
    </row>
    <row r="98">
      <c r="C98" s="94" t="inlineStr">
        <is>
          <t>12월24일</t>
        </is>
      </c>
      <c r="D98" s="127" t="n">
        <v>1716000</v>
      </c>
      <c r="E98" s="127" t="n"/>
      <c r="F98" s="127" t="n"/>
      <c r="G98" s="127" t="n"/>
      <c r="H98" s="127" t="n"/>
      <c r="I98" s="127" t="n"/>
      <c r="J98" s="127" t="n"/>
      <c r="K98" s="127" t="n"/>
      <c r="L98" s="127" t="n"/>
      <c r="M98" s="127" t="n"/>
      <c r="N98" s="127" t="n"/>
      <c r="O98" s="127" t="n"/>
      <c r="P98" s="127" t="n"/>
      <c r="Q98" s="127" t="n"/>
      <c r="R98" s="127" t="n"/>
      <c r="S98" s="127" t="n"/>
      <c r="T98" s="127" t="n"/>
      <c r="U98" s="127" t="n"/>
      <c r="V98" s="127" t="n">
        <v>1716000</v>
      </c>
    </row>
    <row r="99">
      <c r="C99" s="94" t="inlineStr">
        <is>
          <t>12월25일</t>
        </is>
      </c>
      <c r="D99" s="127" t="n">
        <v>2132000</v>
      </c>
      <c r="E99" s="127" t="n"/>
      <c r="F99" s="127" t="n"/>
      <c r="G99" s="127" t="n"/>
      <c r="H99" s="127" t="n"/>
      <c r="I99" s="127" t="n"/>
      <c r="J99" s="127" t="n"/>
      <c r="K99" s="127" t="n"/>
      <c r="L99" s="127" t="n"/>
      <c r="M99" s="127" t="n"/>
      <c r="N99" s="127" t="n"/>
      <c r="O99" s="127" t="n"/>
      <c r="P99" s="127" t="n"/>
      <c r="Q99" s="127" t="n"/>
      <c r="R99" s="127" t="n"/>
      <c r="S99" s="127" t="n"/>
      <c r="T99" s="127" t="n"/>
      <c r="U99" s="127" t="n"/>
      <c r="V99" s="127" t="n">
        <v>2132000</v>
      </c>
    </row>
    <row r="100">
      <c r="C100" s="94" t="inlineStr">
        <is>
          <t>12월26일</t>
        </is>
      </c>
      <c r="D100" s="127" t="n">
        <v>2587000</v>
      </c>
      <c r="E100" s="127" t="n"/>
      <c r="F100" s="127" t="n"/>
      <c r="G100" s="127" t="n"/>
      <c r="H100" s="127" t="n"/>
      <c r="I100" s="127" t="n"/>
      <c r="J100" s="127" t="n"/>
      <c r="K100" s="127" t="n"/>
      <c r="L100" s="127" t="n"/>
      <c r="M100" s="127" t="n"/>
      <c r="N100" s="127" t="n"/>
      <c r="O100" s="127" t="n"/>
      <c r="P100" s="127" t="n"/>
      <c r="Q100" s="127" t="n"/>
      <c r="R100" s="127" t="n"/>
      <c r="S100" s="127" t="n"/>
      <c r="T100" s="127" t="n"/>
      <c r="U100" s="127" t="n"/>
      <c r="V100" s="127" t="n">
        <v>2587000</v>
      </c>
    </row>
    <row r="101">
      <c r="C101" s="94" t="inlineStr">
        <is>
          <t>12월27일</t>
        </is>
      </c>
      <c r="D101" s="127" t="n">
        <v>2319000</v>
      </c>
      <c r="E101" s="127" t="n"/>
      <c r="F101" s="127" t="n"/>
      <c r="G101" s="127" t="n"/>
      <c r="H101" s="127" t="n"/>
      <c r="I101" s="127" t="n"/>
      <c r="J101" s="127" t="n"/>
      <c r="K101" s="127" t="n"/>
      <c r="L101" s="127" t="n"/>
      <c r="M101" s="127" t="n"/>
      <c r="N101" s="127" t="n"/>
      <c r="O101" s="127" t="n"/>
      <c r="P101" s="127" t="n"/>
      <c r="Q101" s="127" t="n"/>
      <c r="R101" s="127" t="n"/>
      <c r="S101" s="127" t="n"/>
      <c r="T101" s="127" t="n"/>
      <c r="U101" s="127" t="n"/>
      <c r="V101" s="127" t="n">
        <v>2319000</v>
      </c>
    </row>
    <row r="102">
      <c r="C102" s="94" t="inlineStr">
        <is>
          <t>12월28일</t>
        </is>
      </c>
      <c r="D102" s="127" t="n">
        <v>2079000</v>
      </c>
      <c r="E102" s="127" t="n"/>
      <c r="F102" s="127" t="n"/>
      <c r="G102" s="127" t="n"/>
      <c r="H102" s="127" t="n"/>
      <c r="I102" s="127" t="n"/>
      <c r="J102" s="127" t="n"/>
      <c r="K102" s="127" t="n"/>
      <c r="L102" s="127" t="n"/>
      <c r="M102" s="127" t="n"/>
      <c r="N102" s="127" t="n"/>
      <c r="O102" s="127" t="n"/>
      <c r="P102" s="127" t="n"/>
      <c r="Q102" s="127" t="n"/>
      <c r="R102" s="127" t="n"/>
      <c r="S102" s="127" t="n"/>
      <c r="T102" s="127" t="n"/>
      <c r="U102" s="127" t="n"/>
      <c r="V102" s="127" t="n">
        <v>2079000</v>
      </c>
    </row>
    <row r="103">
      <c r="C103" s="94" t="inlineStr">
        <is>
          <t>12월29일</t>
        </is>
      </c>
      <c r="D103" s="127" t="n">
        <v>1537000</v>
      </c>
      <c r="E103" s="127" t="n"/>
      <c r="F103" s="127" t="n"/>
      <c r="G103" s="127" t="n"/>
      <c r="H103" s="127" t="n"/>
      <c r="I103" s="127" t="n"/>
      <c r="J103" s="127" t="n"/>
      <c r="K103" s="127" t="n"/>
      <c r="L103" s="127" t="n"/>
      <c r="M103" s="127" t="n"/>
      <c r="N103" s="127" t="n"/>
      <c r="O103" s="127" t="n"/>
      <c r="P103" s="127" t="n"/>
      <c r="Q103" s="127" t="n"/>
      <c r="R103" s="127" t="n"/>
      <c r="S103" s="127" t="n"/>
      <c r="T103" s="127" t="n"/>
      <c r="U103" s="127" t="n"/>
      <c r="V103" s="127" t="n">
        <v>1537000</v>
      </c>
    </row>
    <row r="104">
      <c r="C104" s="94" t="inlineStr">
        <is>
          <t>12월30일</t>
        </is>
      </c>
      <c r="D104" s="127" t="n">
        <v>2175000</v>
      </c>
      <c r="E104" s="127" t="n"/>
      <c r="F104" s="127" t="n"/>
      <c r="G104" s="127" t="n"/>
      <c r="H104" s="127" t="n"/>
      <c r="I104" s="127" t="n"/>
      <c r="J104" s="127" t="n"/>
      <c r="K104" s="127" t="n"/>
      <c r="L104" s="127" t="n"/>
      <c r="M104" s="127" t="n"/>
      <c r="N104" s="127" t="n"/>
      <c r="O104" s="127" t="n"/>
      <c r="P104" s="127" t="n"/>
      <c r="Q104" s="127" t="n"/>
      <c r="R104" s="127" t="n"/>
      <c r="S104" s="127" t="n"/>
      <c r="T104" s="127" t="n"/>
      <c r="U104" s="127" t="n"/>
      <c r="V104" s="127" t="n">
        <v>2175000</v>
      </c>
    </row>
    <row r="105">
      <c r="C105" s="94" t="inlineStr">
        <is>
          <t>12월31일</t>
        </is>
      </c>
      <c r="D105" s="127" t="n">
        <v>1334000</v>
      </c>
      <c r="E105" s="127" t="n"/>
      <c r="F105" s="127" t="n"/>
      <c r="G105" s="127" t="n"/>
      <c r="H105" s="127" t="n"/>
      <c r="I105" s="127" t="n"/>
      <c r="J105" s="127" t="n"/>
      <c r="K105" s="127" t="n"/>
      <c r="L105" s="127" t="n"/>
      <c r="M105" s="127" t="n"/>
      <c r="N105" s="127" t="n"/>
      <c r="O105" s="127" t="n"/>
      <c r="P105" s="127" t="n"/>
      <c r="Q105" s="127" t="n"/>
      <c r="R105" s="127" t="n"/>
      <c r="S105" s="127" t="n"/>
      <c r="T105" s="127" t="n"/>
      <c r="U105" s="127" t="n"/>
      <c r="V105" s="127" t="n">
        <v>1334000</v>
      </c>
    </row>
    <row r="106">
      <c r="B106" s="94" t="inlineStr">
        <is>
          <t>12월 요약</t>
        </is>
      </c>
      <c r="C106" s="94" t="n"/>
      <c r="D106" s="127" t="n">
        <v>73951000</v>
      </c>
      <c r="E106" s="127" t="n"/>
      <c r="F106" s="127" t="n"/>
      <c r="G106" s="127" t="n"/>
      <c r="H106" s="127" t="n"/>
      <c r="I106" s="127" t="n"/>
      <c r="J106" s="127" t="n"/>
      <c r="K106" s="127" t="n"/>
      <c r="L106" s="127" t="n"/>
      <c r="M106" s="127" t="n"/>
      <c r="N106" s="127" t="n"/>
      <c r="O106" s="127" t="n"/>
      <c r="P106" s="127" t="n"/>
      <c r="Q106" s="127" t="n"/>
      <c r="R106" s="127" t="n"/>
      <c r="S106" s="127" t="n"/>
      <c r="T106" s="127" t="n"/>
      <c r="U106" s="127" t="n"/>
      <c r="V106" s="127" t="n">
        <v>73951000</v>
      </c>
    </row>
    <row r="107">
      <c r="A107" s="94" t="inlineStr">
        <is>
          <t>2019년 요약</t>
        </is>
      </c>
      <c r="B107" s="94" t="n"/>
      <c r="C107" s="94" t="n"/>
      <c r="D107" s="127" t="n">
        <v>214116000</v>
      </c>
      <c r="E107" s="127" t="n"/>
      <c r="F107" s="127" t="n"/>
      <c r="G107" s="127" t="n"/>
      <c r="H107" s="127" t="n"/>
      <c r="I107" s="127" t="n"/>
      <c r="J107" s="127" t="n"/>
      <c r="K107" s="127" t="n"/>
      <c r="L107" s="127" t="n"/>
      <c r="M107" s="127" t="n"/>
      <c r="N107" s="127" t="n"/>
      <c r="O107" s="127" t="n"/>
      <c r="P107" s="127" t="n"/>
      <c r="Q107" s="127" t="n"/>
      <c r="R107" s="127" t="n"/>
      <c r="S107" s="127" t="n"/>
      <c r="T107" s="127" t="n"/>
      <c r="U107" s="127" t="n"/>
      <c r="V107" s="127" t="n">
        <v>214116000</v>
      </c>
    </row>
    <row r="108">
      <c r="A108" s="94" t="inlineStr">
        <is>
          <t>2020년</t>
        </is>
      </c>
      <c r="B108" s="94" t="inlineStr">
        <is>
          <t>1월</t>
        </is>
      </c>
      <c r="C108" s="94" t="inlineStr">
        <is>
          <t>1월1일</t>
        </is>
      </c>
      <c r="D108" s="127" t="n">
        <v>2318000</v>
      </c>
      <c r="E108" s="127" t="n"/>
      <c r="F108" s="127" t="n"/>
      <c r="G108" s="127" t="n"/>
      <c r="H108" s="127" t="n"/>
      <c r="I108" s="127" t="n"/>
      <c r="J108" s="127" t="n"/>
      <c r="K108" s="127" t="n"/>
      <c r="L108" s="127" t="n"/>
      <c r="M108" s="127" t="n"/>
      <c r="N108" s="127" t="n"/>
      <c r="O108" s="127" t="n"/>
      <c r="P108" s="127" t="n"/>
      <c r="Q108" s="127" t="n"/>
      <c r="R108" s="127" t="n"/>
      <c r="S108" s="127" t="n"/>
      <c r="T108" s="127" t="n"/>
      <c r="U108" s="127" t="n"/>
      <c r="V108" s="127" t="n">
        <v>2318000</v>
      </c>
    </row>
    <row r="109">
      <c r="C109" s="94" t="inlineStr">
        <is>
          <t>1월2일</t>
        </is>
      </c>
      <c r="D109" s="127" t="n">
        <v>2663000</v>
      </c>
      <c r="E109" s="127" t="n"/>
      <c r="F109" s="127" t="n"/>
      <c r="G109" s="127" t="n"/>
      <c r="H109" s="127" t="n"/>
      <c r="I109" s="127" t="n"/>
      <c r="J109" s="127" t="n"/>
      <c r="K109" s="127" t="n"/>
      <c r="L109" s="127" t="n"/>
      <c r="M109" s="127" t="n"/>
      <c r="N109" s="127" t="n"/>
      <c r="O109" s="127" t="n"/>
      <c r="P109" s="127" t="n"/>
      <c r="Q109" s="127" t="n"/>
      <c r="R109" s="127" t="n"/>
      <c r="S109" s="127" t="n"/>
      <c r="T109" s="127" t="n"/>
      <c r="U109" s="127" t="n"/>
      <c r="V109" s="127" t="n">
        <v>2663000</v>
      </c>
    </row>
    <row r="110">
      <c r="C110" s="94" t="inlineStr">
        <is>
          <t>1월3일</t>
        </is>
      </c>
      <c r="D110" s="127" t="n">
        <v>2308000</v>
      </c>
      <c r="E110" s="127" t="n"/>
      <c r="F110" s="127" t="n"/>
      <c r="G110" s="127" t="n"/>
      <c r="H110" s="127" t="n"/>
      <c r="I110" s="127" t="n"/>
      <c r="J110" s="127" t="n"/>
      <c r="K110" s="127" t="n"/>
      <c r="L110" s="127" t="n">
        <v>20000</v>
      </c>
      <c r="M110" s="127" t="n"/>
      <c r="N110" s="127" t="n"/>
      <c r="O110" s="127" t="n"/>
      <c r="P110" s="127" t="n"/>
      <c r="Q110" s="127" t="n"/>
      <c r="R110" s="127" t="n"/>
      <c r="S110" s="127" t="n"/>
      <c r="T110" s="127" t="n"/>
      <c r="U110" s="127" t="n"/>
      <c r="V110" s="127" t="n">
        <v>2328000</v>
      </c>
    </row>
    <row r="111">
      <c r="C111" s="94" t="inlineStr">
        <is>
          <t>1월4일</t>
        </is>
      </c>
      <c r="D111" s="127" t="n">
        <v>1920000</v>
      </c>
      <c r="E111" s="127" t="n"/>
      <c r="F111" s="127" t="n"/>
      <c r="G111" s="127" t="n"/>
      <c r="H111" s="127" t="n"/>
      <c r="I111" s="127" t="n"/>
      <c r="J111" s="127" t="n"/>
      <c r="K111" s="127" t="n"/>
      <c r="L111" s="127" t="n">
        <v>20000</v>
      </c>
      <c r="M111" s="127" t="n"/>
      <c r="N111" s="127" t="n"/>
      <c r="O111" s="127" t="n"/>
      <c r="P111" s="127" t="n"/>
      <c r="Q111" s="127" t="n"/>
      <c r="R111" s="127" t="n"/>
      <c r="S111" s="127" t="n"/>
      <c r="T111" s="127" t="n"/>
      <c r="U111" s="127" t="n"/>
      <c r="V111" s="127" t="n">
        <v>1940000</v>
      </c>
    </row>
    <row r="112">
      <c r="C112" s="94" t="inlineStr">
        <is>
          <t>1월5일</t>
        </is>
      </c>
      <c r="D112" s="127" t="n">
        <v>2181000</v>
      </c>
      <c r="E112" s="127" t="n"/>
      <c r="F112" s="127" t="n"/>
      <c r="G112" s="127" t="n"/>
      <c r="H112" s="127" t="n"/>
      <c r="I112" s="127" t="n"/>
      <c r="J112" s="127" t="n"/>
      <c r="K112" s="127" t="n"/>
      <c r="L112" s="127" t="n">
        <v>20000</v>
      </c>
      <c r="M112" s="127" t="n"/>
      <c r="N112" s="127" t="n"/>
      <c r="O112" s="127" t="n"/>
      <c r="P112" s="127" t="n"/>
      <c r="Q112" s="127" t="n"/>
      <c r="R112" s="127" t="n"/>
      <c r="S112" s="127" t="n"/>
      <c r="T112" s="127" t="n"/>
      <c r="U112" s="127" t="n"/>
      <c r="V112" s="127" t="n">
        <v>2201000</v>
      </c>
    </row>
    <row r="113">
      <c r="C113" s="94" t="inlineStr">
        <is>
          <t>1월6일</t>
        </is>
      </c>
      <c r="D113" s="127" t="n">
        <v>2711000</v>
      </c>
      <c r="E113" s="127" t="n"/>
      <c r="F113" s="127" t="n"/>
      <c r="G113" s="127" t="n"/>
      <c r="H113" s="127" t="n"/>
      <c r="I113" s="127" t="n"/>
      <c r="J113" s="127" t="n"/>
      <c r="K113" s="127" t="n"/>
      <c r="L113" s="127" t="n">
        <v>40000</v>
      </c>
      <c r="M113" s="127" t="n"/>
      <c r="N113" s="127" t="n"/>
      <c r="O113" s="127" t="n"/>
      <c r="P113" s="127" t="n"/>
      <c r="Q113" s="127" t="n"/>
      <c r="R113" s="127" t="n"/>
      <c r="S113" s="127" t="n"/>
      <c r="T113" s="127" t="n"/>
      <c r="U113" s="127" t="n"/>
      <c r="V113" s="127" t="n">
        <v>2751000</v>
      </c>
    </row>
    <row r="114">
      <c r="C114" s="94" t="inlineStr">
        <is>
          <t>1월7일</t>
        </is>
      </c>
      <c r="D114" s="127" t="n">
        <v>2448000</v>
      </c>
      <c r="E114" s="127" t="n"/>
      <c r="F114" s="127" t="n"/>
      <c r="G114" s="127" t="n"/>
      <c r="H114" s="127" t="n"/>
      <c r="I114" s="127" t="n"/>
      <c r="J114" s="127" t="n"/>
      <c r="K114" s="127" t="n"/>
      <c r="L114" s="127" t="n">
        <v>120000</v>
      </c>
      <c r="M114" s="127" t="n"/>
      <c r="N114" s="127" t="n"/>
      <c r="O114" s="127" t="n"/>
      <c r="P114" s="127" t="n"/>
      <c r="Q114" s="127" t="n"/>
      <c r="R114" s="127" t="n"/>
      <c r="S114" s="127" t="n"/>
      <c r="T114" s="127" t="n"/>
      <c r="U114" s="127" t="n"/>
      <c r="V114" s="127" t="n">
        <v>2568000</v>
      </c>
    </row>
    <row r="115">
      <c r="C115" s="94" t="inlineStr">
        <is>
          <t>1월8일</t>
        </is>
      </c>
      <c r="D115" s="127" t="n">
        <v>2299000</v>
      </c>
      <c r="E115" s="127" t="n"/>
      <c r="F115" s="127" t="n"/>
      <c r="G115" s="127" t="n"/>
      <c r="H115" s="127" t="n"/>
      <c r="I115" s="127" t="n"/>
      <c r="J115" s="127" t="n"/>
      <c r="K115" s="127" t="n"/>
      <c r="L115" s="127" t="n">
        <v>40000</v>
      </c>
      <c r="M115" s="127" t="n"/>
      <c r="N115" s="127" t="n"/>
      <c r="O115" s="127" t="n"/>
      <c r="P115" s="127" t="n"/>
      <c r="Q115" s="127" t="n"/>
      <c r="R115" s="127" t="n"/>
      <c r="S115" s="127" t="n"/>
      <c r="T115" s="127" t="n"/>
      <c r="U115" s="127" t="n"/>
      <c r="V115" s="127" t="n">
        <v>2339000</v>
      </c>
    </row>
    <row r="116">
      <c r="C116" s="94" t="inlineStr">
        <is>
          <t>1월9일</t>
        </is>
      </c>
      <c r="D116" s="127" t="n">
        <v>2714000</v>
      </c>
      <c r="E116" s="127" t="n"/>
      <c r="F116" s="127" t="n"/>
      <c r="G116" s="127" t="n"/>
      <c r="H116" s="127" t="n"/>
      <c r="I116" s="127" t="n"/>
      <c r="J116" s="127" t="n"/>
      <c r="K116" s="127" t="n"/>
      <c r="L116" s="127" t="n">
        <v>60000</v>
      </c>
      <c r="M116" s="127" t="n"/>
      <c r="N116" s="127" t="n"/>
      <c r="O116" s="127" t="n"/>
      <c r="P116" s="127" t="n"/>
      <c r="Q116" s="127" t="n"/>
      <c r="R116" s="127" t="n"/>
      <c r="S116" s="127" t="n"/>
      <c r="T116" s="127" t="n"/>
      <c r="U116" s="127" t="n"/>
      <c r="V116" s="127" t="n">
        <v>2774000</v>
      </c>
    </row>
    <row r="117">
      <c r="C117" s="94" t="inlineStr">
        <is>
          <t>1월10일</t>
        </is>
      </c>
      <c r="D117" s="127" t="n">
        <v>2556000</v>
      </c>
      <c r="E117" s="127" t="n"/>
      <c r="F117" s="127" t="n"/>
      <c r="G117" s="127" t="n"/>
      <c r="H117" s="127" t="n"/>
      <c r="I117" s="127" t="n"/>
      <c r="J117" s="127" t="n"/>
      <c r="K117" s="127" t="n"/>
      <c r="L117" s="127" t="n"/>
      <c r="M117" s="127" t="n"/>
      <c r="N117" s="127" t="n"/>
      <c r="O117" s="127" t="n"/>
      <c r="P117" s="127" t="n"/>
      <c r="Q117" s="127" t="n"/>
      <c r="R117" s="127" t="n"/>
      <c r="S117" s="127" t="n"/>
      <c r="T117" s="127" t="n"/>
      <c r="U117" s="127" t="n"/>
      <c r="V117" s="127" t="n">
        <v>2556000</v>
      </c>
    </row>
    <row r="118">
      <c r="C118" s="94" t="inlineStr">
        <is>
          <t>1월11일</t>
        </is>
      </c>
      <c r="D118" s="127" t="n">
        <v>2209000</v>
      </c>
      <c r="E118" s="127" t="n"/>
      <c r="F118" s="127" t="n"/>
      <c r="G118" s="127" t="n"/>
      <c r="H118" s="127" t="n"/>
      <c r="I118" s="127" t="n"/>
      <c r="J118" s="127" t="n"/>
      <c r="K118" s="127" t="n"/>
      <c r="L118" s="127" t="n">
        <v>20000</v>
      </c>
      <c r="M118" s="127" t="n"/>
      <c r="N118" s="127" t="n"/>
      <c r="O118" s="127" t="n"/>
      <c r="P118" s="127" t="n"/>
      <c r="Q118" s="127" t="n"/>
      <c r="R118" s="127" t="n"/>
      <c r="S118" s="127" t="n"/>
      <c r="T118" s="127" t="n"/>
      <c r="U118" s="127" t="n"/>
      <c r="V118" s="127" t="n">
        <v>2229000</v>
      </c>
    </row>
    <row r="119">
      <c r="C119" s="94" t="inlineStr">
        <is>
          <t>1월12일</t>
        </is>
      </c>
      <c r="D119" s="127" t="n">
        <v>3011000</v>
      </c>
      <c r="E119" s="127" t="n"/>
      <c r="F119" s="127" t="n"/>
      <c r="G119" s="127" t="n"/>
      <c r="H119" s="127" t="n"/>
      <c r="I119" s="127" t="n"/>
      <c r="J119" s="127" t="n"/>
      <c r="K119" s="127" t="n"/>
      <c r="L119" s="127" t="n">
        <v>40000</v>
      </c>
      <c r="M119" s="127" t="n"/>
      <c r="N119" s="127" t="n"/>
      <c r="O119" s="127" t="n"/>
      <c r="P119" s="127" t="n"/>
      <c r="Q119" s="127" t="n"/>
      <c r="R119" s="127" t="n"/>
      <c r="S119" s="127" t="n"/>
      <c r="T119" s="127" t="n"/>
      <c r="U119" s="127" t="n"/>
      <c r="V119" s="127" t="n">
        <v>3051000</v>
      </c>
    </row>
    <row r="120">
      <c r="C120" s="94" t="inlineStr">
        <is>
          <t>1월13일</t>
        </is>
      </c>
      <c r="D120" s="127" t="n">
        <v>7620000</v>
      </c>
      <c r="E120" s="127" t="n"/>
      <c r="F120" s="127" t="n"/>
      <c r="G120" s="127" t="n"/>
      <c r="H120" s="127" t="n"/>
      <c r="I120" s="127" t="n"/>
      <c r="J120" s="127" t="n"/>
      <c r="K120" s="127" t="n"/>
      <c r="L120" s="127" t="n">
        <v>40000</v>
      </c>
      <c r="M120" s="127" t="n"/>
      <c r="N120" s="127" t="n"/>
      <c r="O120" s="127" t="n"/>
      <c r="P120" s="127" t="n"/>
      <c r="Q120" s="127" t="n"/>
      <c r="R120" s="127" t="n"/>
      <c r="S120" s="127" t="n"/>
      <c r="T120" s="127" t="n"/>
      <c r="U120" s="127" t="n"/>
      <c r="V120" s="127" t="n">
        <v>7660000</v>
      </c>
    </row>
    <row r="121">
      <c r="C121" s="94" t="inlineStr">
        <is>
          <t>1월14일</t>
        </is>
      </c>
      <c r="D121" s="127" t="n">
        <v>3835000</v>
      </c>
      <c r="E121" s="127" t="n"/>
      <c r="F121" s="127" t="n"/>
      <c r="G121" s="127" t="n"/>
      <c r="H121" s="127" t="n"/>
      <c r="I121" s="127" t="n"/>
      <c r="J121" s="127" t="n"/>
      <c r="K121" s="127" t="n"/>
      <c r="L121" s="127" t="n">
        <v>20000</v>
      </c>
      <c r="M121" s="127" t="n"/>
      <c r="N121" s="127" t="n"/>
      <c r="O121" s="127" t="n"/>
      <c r="P121" s="127" t="n"/>
      <c r="Q121" s="127" t="n"/>
      <c r="R121" s="127" t="n"/>
      <c r="S121" s="127" t="n"/>
      <c r="T121" s="127" t="n"/>
      <c r="U121" s="127" t="n"/>
      <c r="V121" s="127" t="n">
        <v>3855000</v>
      </c>
    </row>
    <row r="122">
      <c r="C122" s="94" t="inlineStr">
        <is>
          <t>1월15일</t>
        </is>
      </c>
      <c r="D122" s="127" t="n">
        <v>3092000</v>
      </c>
      <c r="E122" s="127" t="n"/>
      <c r="F122" s="127" t="n"/>
      <c r="G122" s="127" t="n"/>
      <c r="H122" s="127" t="n"/>
      <c r="I122" s="127" t="n"/>
      <c r="J122" s="127" t="n"/>
      <c r="K122" s="127" t="n"/>
      <c r="L122" s="127" t="n">
        <v>60000</v>
      </c>
      <c r="M122" s="127" t="n"/>
      <c r="N122" s="127" t="n"/>
      <c r="O122" s="127" t="n"/>
      <c r="P122" s="127" t="n"/>
      <c r="Q122" s="127" t="n"/>
      <c r="R122" s="127" t="n">
        <v>28000</v>
      </c>
      <c r="S122" s="127" t="n"/>
      <c r="T122" s="127" t="n"/>
      <c r="U122" s="127" t="n"/>
      <c r="V122" s="127" t="n">
        <v>3180000</v>
      </c>
    </row>
    <row r="123">
      <c r="C123" s="94" t="inlineStr">
        <is>
          <t>1월16일</t>
        </is>
      </c>
      <c r="D123" s="127" t="n">
        <v>2215000</v>
      </c>
      <c r="E123" s="127" t="n"/>
      <c r="F123" s="127" t="n"/>
      <c r="G123" s="127" t="n"/>
      <c r="H123" s="127" t="n"/>
      <c r="I123" s="127" t="n"/>
      <c r="J123" s="127" t="n"/>
      <c r="K123" s="127" t="n"/>
      <c r="L123" s="127" t="n">
        <v>20000</v>
      </c>
      <c r="M123" s="127" t="n"/>
      <c r="N123" s="127" t="n"/>
      <c r="O123" s="127" t="n"/>
      <c r="P123" s="127" t="n"/>
      <c r="Q123" s="127" t="n"/>
      <c r="R123" s="127" t="n">
        <v>8000</v>
      </c>
      <c r="S123" s="127" t="n"/>
      <c r="T123" s="127" t="n"/>
      <c r="U123" s="127" t="n"/>
      <c r="V123" s="127" t="n">
        <v>2243000</v>
      </c>
    </row>
    <row r="124">
      <c r="C124" s="94" t="inlineStr">
        <is>
          <t>1월17일</t>
        </is>
      </c>
      <c r="D124" s="127" t="n">
        <v>2541000</v>
      </c>
      <c r="E124" s="127" t="n"/>
      <c r="F124" s="127" t="n"/>
      <c r="G124" s="127" t="n"/>
      <c r="H124" s="127" t="n"/>
      <c r="I124" s="127" t="n"/>
      <c r="J124" s="127" t="n"/>
      <c r="K124" s="127" t="n"/>
      <c r="L124" s="127" t="n">
        <v>40000</v>
      </c>
      <c r="M124" s="127" t="n"/>
      <c r="N124" s="127" t="n"/>
      <c r="O124" s="127" t="n"/>
      <c r="P124" s="127" t="n"/>
      <c r="Q124" s="127" t="n"/>
      <c r="R124" s="127" t="n"/>
      <c r="S124" s="127" t="n"/>
      <c r="T124" s="127" t="n"/>
      <c r="U124" s="127" t="n"/>
      <c r="V124" s="127" t="n">
        <v>2581000</v>
      </c>
    </row>
    <row r="125">
      <c r="C125" s="94" t="inlineStr">
        <is>
          <t>1월18일</t>
        </is>
      </c>
      <c r="D125" s="127" t="n">
        <v>2300000</v>
      </c>
      <c r="E125" s="127" t="n"/>
      <c r="F125" s="127" t="n"/>
      <c r="G125" s="127" t="n"/>
      <c r="H125" s="127" t="n"/>
      <c r="I125" s="127" t="n"/>
      <c r="J125" s="127" t="n"/>
      <c r="K125" s="127" t="n"/>
      <c r="L125" s="127" t="n">
        <v>40000</v>
      </c>
      <c r="M125" s="127" t="n"/>
      <c r="N125" s="127" t="n"/>
      <c r="O125" s="127" t="n"/>
      <c r="P125" s="127" t="n"/>
      <c r="Q125" s="127" t="n"/>
      <c r="R125" s="127" t="n">
        <v>8000</v>
      </c>
      <c r="S125" s="127" t="n"/>
      <c r="T125" s="127" t="n"/>
      <c r="U125" s="127" t="n"/>
      <c r="V125" s="127" t="n">
        <v>2348000</v>
      </c>
    </row>
    <row r="126">
      <c r="C126" s="94" t="inlineStr">
        <is>
          <t>1월19일</t>
        </is>
      </c>
      <c r="D126" s="127" t="n">
        <v>2560000</v>
      </c>
      <c r="E126" s="127" t="n"/>
      <c r="F126" s="127" t="n"/>
      <c r="G126" s="127" t="n"/>
      <c r="H126" s="127" t="n"/>
      <c r="I126" s="127" t="n"/>
      <c r="J126" s="127" t="n"/>
      <c r="K126" s="127" t="n"/>
      <c r="L126" s="127" t="n">
        <v>60000</v>
      </c>
      <c r="M126" s="127" t="n"/>
      <c r="N126" s="127" t="n"/>
      <c r="O126" s="127" t="n"/>
      <c r="P126" s="127" t="n"/>
      <c r="Q126" s="127" t="n"/>
      <c r="R126" s="127" t="n">
        <v>28000</v>
      </c>
      <c r="S126" s="127" t="n"/>
      <c r="T126" s="127" t="n"/>
      <c r="U126" s="127" t="n"/>
      <c r="V126" s="127" t="n">
        <v>2648000</v>
      </c>
    </row>
    <row r="127">
      <c r="C127" s="94" t="inlineStr">
        <is>
          <t>1월20일</t>
        </is>
      </c>
      <c r="D127" s="127" t="n">
        <v>2750000</v>
      </c>
      <c r="E127" s="127" t="n"/>
      <c r="F127" s="127" t="n"/>
      <c r="G127" s="127" t="n"/>
      <c r="H127" s="127" t="n"/>
      <c r="I127" s="127" t="n"/>
      <c r="J127" s="127" t="n"/>
      <c r="K127" s="127" t="n"/>
      <c r="L127" s="127" t="n">
        <v>60000</v>
      </c>
      <c r="M127" s="127" t="n"/>
      <c r="N127" s="127" t="n"/>
      <c r="O127" s="127" t="n"/>
      <c r="P127" s="127" t="n"/>
      <c r="Q127" s="127" t="n"/>
      <c r="R127" s="127" t="n"/>
      <c r="S127" s="127" t="n"/>
      <c r="T127" s="127" t="n"/>
      <c r="U127" s="127" t="n"/>
      <c r="V127" s="127" t="n">
        <v>2810000</v>
      </c>
    </row>
    <row r="128">
      <c r="C128" s="94" t="inlineStr">
        <is>
          <t>1월21일</t>
        </is>
      </c>
      <c r="D128" s="127" t="n">
        <v>2343000</v>
      </c>
      <c r="E128" s="127" t="n"/>
      <c r="F128" s="127" t="n"/>
      <c r="G128" s="127" t="n"/>
      <c r="H128" s="127" t="n"/>
      <c r="I128" s="127" t="n"/>
      <c r="J128" s="127" t="n"/>
      <c r="K128" s="127" t="n"/>
      <c r="L128" s="127" t="n">
        <v>40000</v>
      </c>
      <c r="M128" s="127" t="n"/>
      <c r="N128" s="127" t="n"/>
      <c r="O128" s="127" t="n"/>
      <c r="P128" s="127" t="n"/>
      <c r="Q128" s="127" t="n"/>
      <c r="R128" s="127" t="n"/>
      <c r="S128" s="127" t="n"/>
      <c r="T128" s="127" t="n"/>
      <c r="U128" s="127" t="n"/>
      <c r="V128" s="127" t="n">
        <v>2383000</v>
      </c>
    </row>
    <row r="129">
      <c r="C129" s="94" t="inlineStr">
        <is>
          <t>1월22일</t>
        </is>
      </c>
      <c r="D129" s="127" t="n">
        <v>1891000</v>
      </c>
      <c r="E129" s="127" t="n"/>
      <c r="F129" s="127" t="n"/>
      <c r="G129" s="127" t="n"/>
      <c r="H129" s="127" t="n"/>
      <c r="I129" s="127" t="n"/>
      <c r="J129" s="127" t="n"/>
      <c r="K129" s="127" t="n"/>
      <c r="L129" s="127" t="n">
        <v>40000</v>
      </c>
      <c r="M129" s="127" t="n"/>
      <c r="N129" s="127" t="n"/>
      <c r="O129" s="127" t="n"/>
      <c r="P129" s="127" t="n"/>
      <c r="Q129" s="127" t="n"/>
      <c r="R129" s="127" t="n"/>
      <c r="S129" s="127" t="n"/>
      <c r="T129" s="127" t="n"/>
      <c r="U129" s="127" t="n"/>
      <c r="V129" s="127" t="n">
        <v>1931000</v>
      </c>
    </row>
    <row r="130">
      <c r="C130" s="94" t="inlineStr">
        <is>
          <t>1월23일</t>
        </is>
      </c>
      <c r="D130" s="127" t="n">
        <v>1763000</v>
      </c>
      <c r="E130" s="127" t="n"/>
      <c r="F130" s="127" t="n"/>
      <c r="G130" s="127" t="n"/>
      <c r="H130" s="127" t="n"/>
      <c r="I130" s="127" t="n"/>
      <c r="J130" s="127" t="n"/>
      <c r="K130" s="127" t="n"/>
      <c r="L130" s="127" t="n">
        <v>20000</v>
      </c>
      <c r="M130" s="127" t="n"/>
      <c r="N130" s="127" t="n"/>
      <c r="O130" s="127" t="n"/>
      <c r="P130" s="127" t="n"/>
      <c r="Q130" s="127" t="n"/>
      <c r="R130" s="127" t="n"/>
      <c r="S130" s="127" t="n"/>
      <c r="T130" s="127" t="n"/>
      <c r="U130" s="127" t="n"/>
      <c r="V130" s="127" t="n">
        <v>1783000</v>
      </c>
    </row>
    <row r="131">
      <c r="C131" s="94" t="inlineStr">
        <is>
          <t>1월24일</t>
        </is>
      </c>
      <c r="D131" s="127" t="n">
        <v>2053000</v>
      </c>
      <c r="E131" s="127" t="n"/>
      <c r="F131" s="127" t="n"/>
      <c r="G131" s="127" t="n"/>
      <c r="H131" s="127" t="n"/>
      <c r="I131" s="127" t="n"/>
      <c r="J131" s="127" t="n"/>
      <c r="K131" s="127" t="n"/>
      <c r="L131" s="127" t="n">
        <v>40000</v>
      </c>
      <c r="M131" s="127" t="n"/>
      <c r="N131" s="127" t="n"/>
      <c r="O131" s="127" t="n"/>
      <c r="P131" s="127" t="n"/>
      <c r="Q131" s="127" t="n"/>
      <c r="R131" s="127" t="n"/>
      <c r="S131" s="127" t="n"/>
      <c r="T131" s="127" t="n"/>
      <c r="U131" s="127" t="n"/>
      <c r="V131" s="127" t="n">
        <v>2093000</v>
      </c>
    </row>
    <row r="132">
      <c r="C132" s="94" t="inlineStr">
        <is>
          <t>1월25일</t>
        </is>
      </c>
      <c r="D132" s="127" t="n">
        <v>1949000</v>
      </c>
      <c r="E132" s="127" t="n"/>
      <c r="F132" s="127" t="n"/>
      <c r="G132" s="127" t="n"/>
      <c r="H132" s="127" t="n"/>
      <c r="I132" s="127" t="n"/>
      <c r="J132" s="127" t="n"/>
      <c r="K132" s="127" t="n"/>
      <c r="L132" s="127" t="n">
        <v>60000</v>
      </c>
      <c r="M132" s="127" t="n"/>
      <c r="N132" s="127" t="n"/>
      <c r="O132" s="127" t="n"/>
      <c r="P132" s="127" t="n"/>
      <c r="Q132" s="127" t="n"/>
      <c r="R132" s="127" t="n"/>
      <c r="S132" s="127" t="n"/>
      <c r="T132" s="127" t="n"/>
      <c r="U132" s="127" t="n"/>
      <c r="V132" s="127" t="n">
        <v>2009000</v>
      </c>
    </row>
    <row r="133">
      <c r="C133" s="94" t="inlineStr">
        <is>
          <t>1월26일</t>
        </is>
      </c>
      <c r="D133" s="127" t="n">
        <v>2953000</v>
      </c>
      <c r="E133" s="127" t="n"/>
      <c r="F133" s="127" t="n"/>
      <c r="G133" s="127" t="n"/>
      <c r="H133" s="127" t="n"/>
      <c r="I133" s="127" t="n"/>
      <c r="J133" s="127" t="n"/>
      <c r="K133" s="127" t="n"/>
      <c r="L133" s="127" t="n">
        <v>20000</v>
      </c>
      <c r="M133" s="127" t="n"/>
      <c r="N133" s="127" t="n"/>
      <c r="O133" s="127" t="n"/>
      <c r="P133" s="127" t="n"/>
      <c r="Q133" s="127" t="n"/>
      <c r="R133" s="127" t="n">
        <v>12000</v>
      </c>
      <c r="S133" s="127" t="n"/>
      <c r="T133" s="127" t="n"/>
      <c r="U133" s="127" t="n"/>
      <c r="V133" s="127" t="n">
        <v>2985000</v>
      </c>
    </row>
    <row r="134">
      <c r="C134" s="94" t="inlineStr">
        <is>
          <t>1월27일</t>
        </is>
      </c>
      <c r="D134" s="127" t="n">
        <v>4355000</v>
      </c>
      <c r="E134" s="127" t="n"/>
      <c r="F134" s="127" t="n"/>
      <c r="G134" s="127" t="n"/>
      <c r="H134" s="127" t="n"/>
      <c r="I134" s="127" t="n"/>
      <c r="J134" s="127" t="n"/>
      <c r="K134" s="127" t="n"/>
      <c r="L134" s="127" t="n">
        <v>80000</v>
      </c>
      <c r="M134" s="127" t="n"/>
      <c r="N134" s="127" t="n"/>
      <c r="O134" s="127" t="n"/>
      <c r="P134" s="127" t="n"/>
      <c r="Q134" s="127" t="n"/>
      <c r="R134" s="127" t="n">
        <v>4000</v>
      </c>
      <c r="S134" s="127" t="n"/>
      <c r="T134" s="127" t="n"/>
      <c r="U134" s="127" t="n"/>
      <c r="V134" s="127" t="n">
        <v>4439000</v>
      </c>
    </row>
    <row r="135">
      <c r="C135" s="94" t="inlineStr">
        <is>
          <t>1월28일</t>
        </is>
      </c>
      <c r="D135" s="127" t="n">
        <v>4514000</v>
      </c>
      <c r="E135" s="127" t="n"/>
      <c r="F135" s="127" t="n"/>
      <c r="G135" s="127" t="n"/>
      <c r="H135" s="127" t="n"/>
      <c r="I135" s="127" t="n"/>
      <c r="J135" s="127" t="n"/>
      <c r="K135" s="127" t="n"/>
      <c r="L135" s="127" t="n">
        <v>60000</v>
      </c>
      <c r="M135" s="127" t="n"/>
      <c r="N135" s="127" t="n"/>
      <c r="O135" s="127" t="n"/>
      <c r="P135" s="127" t="n"/>
      <c r="Q135" s="127" t="n"/>
      <c r="R135" s="127" t="n"/>
      <c r="S135" s="127" t="n"/>
      <c r="T135" s="127" t="n"/>
      <c r="U135" s="127" t="n"/>
      <c r="V135" s="127" t="n">
        <v>4574000</v>
      </c>
    </row>
    <row r="136">
      <c r="C136" s="94" t="inlineStr">
        <is>
          <t>1월29일</t>
        </is>
      </c>
      <c r="D136" s="127" t="n">
        <v>6471000</v>
      </c>
      <c r="E136" s="127" t="n"/>
      <c r="F136" s="127" t="n"/>
      <c r="G136" s="127" t="n"/>
      <c r="H136" s="127" t="n"/>
      <c r="I136" s="127" t="n"/>
      <c r="J136" s="127" t="n"/>
      <c r="K136" s="127" t="n"/>
      <c r="L136" s="127" t="n">
        <v>100000</v>
      </c>
      <c r="M136" s="127" t="n"/>
      <c r="N136" s="127" t="n"/>
      <c r="O136" s="127" t="n"/>
      <c r="P136" s="127" t="n"/>
      <c r="Q136" s="127" t="n"/>
      <c r="R136" s="127" t="n"/>
      <c r="S136" s="127" t="n"/>
      <c r="T136" s="127" t="n"/>
      <c r="U136" s="127" t="n"/>
      <c r="V136" s="127" t="n">
        <v>6571000</v>
      </c>
    </row>
    <row r="137">
      <c r="C137" s="94" t="inlineStr">
        <is>
          <t>1월30일</t>
        </is>
      </c>
      <c r="D137" s="127" t="n">
        <v>5975000</v>
      </c>
      <c r="E137" s="127" t="n"/>
      <c r="F137" s="127" t="n"/>
      <c r="G137" s="127" t="n"/>
      <c r="H137" s="127" t="n"/>
      <c r="I137" s="127" t="n"/>
      <c r="J137" s="127" t="n"/>
      <c r="K137" s="127" t="n"/>
      <c r="L137" s="127" t="n">
        <v>40000</v>
      </c>
      <c r="M137" s="127" t="n"/>
      <c r="N137" s="127" t="n"/>
      <c r="O137" s="127" t="n"/>
      <c r="P137" s="127" t="n"/>
      <c r="Q137" s="127" t="n"/>
      <c r="R137" s="127" t="n"/>
      <c r="S137" s="127" t="n"/>
      <c r="T137" s="127" t="n"/>
      <c r="U137" s="127" t="n"/>
      <c r="V137" s="127" t="n">
        <v>6015000</v>
      </c>
    </row>
    <row r="138">
      <c r="C138" s="94" t="inlineStr">
        <is>
          <t>1월31일</t>
        </is>
      </c>
      <c r="D138" s="127" t="n">
        <v>4156000</v>
      </c>
      <c r="E138" s="127" t="n"/>
      <c r="F138" s="127" t="n"/>
      <c r="G138" s="127" t="n"/>
      <c r="H138" s="127" t="n"/>
      <c r="I138" s="127" t="n"/>
      <c r="J138" s="127" t="n"/>
      <c r="K138" s="127" t="n"/>
      <c r="L138" s="127" t="n">
        <v>80000</v>
      </c>
      <c r="M138" s="127" t="n"/>
      <c r="N138" s="127" t="n"/>
      <c r="O138" s="127" t="n"/>
      <c r="P138" s="127" t="n"/>
      <c r="Q138" s="127" t="n"/>
      <c r="R138" s="127" t="n">
        <v>4000</v>
      </c>
      <c r="S138" s="127" t="n"/>
      <c r="T138" s="127" t="n"/>
      <c r="U138" s="127" t="n"/>
      <c r="V138" s="127" t="n">
        <v>4240000</v>
      </c>
    </row>
    <row r="139">
      <c r="B139" s="94" t="inlineStr">
        <is>
          <t>1월 요약</t>
        </is>
      </c>
      <c r="C139" s="94" t="n"/>
      <c r="D139" s="127" t="n">
        <v>94674000</v>
      </c>
      <c r="E139" s="127" t="n"/>
      <c r="F139" s="127" t="n"/>
      <c r="G139" s="127" t="n"/>
      <c r="H139" s="127" t="n"/>
      <c r="I139" s="127" t="n"/>
      <c r="J139" s="127" t="n"/>
      <c r="K139" s="127" t="n"/>
      <c r="L139" s="127" t="n">
        <v>1300000</v>
      </c>
      <c r="M139" s="127" t="n"/>
      <c r="N139" s="127" t="n"/>
      <c r="O139" s="127" t="n"/>
      <c r="P139" s="127" t="n"/>
      <c r="Q139" s="127" t="n"/>
      <c r="R139" s="127" t="n">
        <v>92000</v>
      </c>
      <c r="S139" s="127" t="n"/>
      <c r="T139" s="127" t="n"/>
      <c r="U139" s="127" t="n"/>
      <c r="V139" s="127" t="n">
        <v>96066000</v>
      </c>
    </row>
    <row r="140">
      <c r="B140" s="94" t="inlineStr">
        <is>
          <t>2월</t>
        </is>
      </c>
      <c r="C140" s="94" t="inlineStr">
        <is>
          <t>2월1일</t>
        </is>
      </c>
      <c r="D140" s="127" t="n">
        <v>4487000</v>
      </c>
      <c r="E140" s="127" t="n"/>
      <c r="F140" s="127" t="n"/>
      <c r="G140" s="127" t="n"/>
      <c r="H140" s="127" t="n"/>
      <c r="I140" s="127" t="n"/>
      <c r="J140" s="127" t="n"/>
      <c r="K140" s="127" t="n"/>
      <c r="L140" s="127" t="n">
        <v>100000</v>
      </c>
      <c r="M140" s="127" t="n"/>
      <c r="N140" s="127" t="n"/>
      <c r="O140" s="127" t="n"/>
      <c r="P140" s="127" t="n"/>
      <c r="Q140" s="127" t="n"/>
      <c r="R140" s="127" t="n"/>
      <c r="S140" s="127" t="n"/>
      <c r="T140" s="127" t="n"/>
      <c r="U140" s="127" t="n"/>
      <c r="V140" s="127" t="n">
        <v>4587000</v>
      </c>
    </row>
    <row r="141">
      <c r="C141" s="94" t="inlineStr">
        <is>
          <t>2월2일</t>
        </is>
      </c>
      <c r="D141" s="127" t="n">
        <v>4582000</v>
      </c>
      <c r="E141" s="127" t="n"/>
      <c r="F141" s="127" t="n"/>
      <c r="G141" s="127" t="n"/>
      <c r="H141" s="127" t="n"/>
      <c r="I141" s="127" t="n"/>
      <c r="J141" s="127" t="n"/>
      <c r="K141" s="127" t="n"/>
      <c r="L141" s="127" t="n">
        <v>160000</v>
      </c>
      <c r="M141" s="127" t="n"/>
      <c r="N141" s="127" t="n"/>
      <c r="O141" s="127" t="n"/>
      <c r="P141" s="127" t="n"/>
      <c r="Q141" s="127" t="n"/>
      <c r="R141" s="127" t="n">
        <v>12000</v>
      </c>
      <c r="S141" s="127" t="n"/>
      <c r="T141" s="127" t="n"/>
      <c r="U141" s="127" t="n"/>
      <c r="V141" s="127" t="n">
        <v>4754000</v>
      </c>
    </row>
    <row r="142">
      <c r="C142" s="94" t="inlineStr">
        <is>
          <t>2월3일</t>
        </is>
      </c>
      <c r="D142" s="127" t="n">
        <v>4496000</v>
      </c>
      <c r="E142" s="127" t="n"/>
      <c r="F142" s="127" t="n"/>
      <c r="G142" s="127" t="n"/>
      <c r="H142" s="127" t="n"/>
      <c r="I142" s="127" t="n"/>
      <c r="J142" s="127" t="n"/>
      <c r="K142" s="127" t="n"/>
      <c r="L142" s="127" t="n">
        <v>80000</v>
      </c>
      <c r="M142" s="127" t="n"/>
      <c r="N142" s="127" t="n"/>
      <c r="O142" s="127" t="n"/>
      <c r="P142" s="127" t="n"/>
      <c r="Q142" s="127" t="n"/>
      <c r="R142" s="127" t="n"/>
      <c r="S142" s="127" t="n"/>
      <c r="T142" s="127" t="n"/>
      <c r="U142" s="127" t="n"/>
      <c r="V142" s="127" t="n">
        <v>4576000</v>
      </c>
    </row>
    <row r="143">
      <c r="C143" s="94" t="inlineStr">
        <is>
          <t>2월4일</t>
        </is>
      </c>
      <c r="D143" s="127" t="n">
        <v>3661000</v>
      </c>
      <c r="E143" s="127" t="n"/>
      <c r="F143" s="127" t="n"/>
      <c r="G143" s="127" t="n"/>
      <c r="H143" s="127" t="n"/>
      <c r="I143" s="127" t="n"/>
      <c r="J143" s="127" t="n"/>
      <c r="K143" s="127" t="n"/>
      <c r="L143" s="127" t="n">
        <v>40000</v>
      </c>
      <c r="M143" s="127" t="n"/>
      <c r="N143" s="127" t="n"/>
      <c r="O143" s="127" t="n"/>
      <c r="P143" s="127" t="n"/>
      <c r="Q143" s="127" t="n"/>
      <c r="R143" s="127" t="n"/>
      <c r="S143" s="127" t="n"/>
      <c r="T143" s="127" t="n"/>
      <c r="U143" s="127" t="n"/>
      <c r="V143" s="127" t="n">
        <v>3701000</v>
      </c>
    </row>
    <row r="144">
      <c r="C144" s="94" t="inlineStr">
        <is>
          <t>2월5일</t>
        </is>
      </c>
      <c r="D144" s="127" t="n">
        <v>3894000</v>
      </c>
      <c r="E144" s="127" t="n"/>
      <c r="F144" s="127" t="n"/>
      <c r="G144" s="127" t="n"/>
      <c r="H144" s="127" t="n"/>
      <c r="I144" s="127" t="n"/>
      <c r="J144" s="127" t="n"/>
      <c r="K144" s="127" t="n"/>
      <c r="L144" s="127" t="n">
        <v>160000</v>
      </c>
      <c r="M144" s="127" t="n"/>
      <c r="N144" s="127" t="n"/>
      <c r="O144" s="127" t="n"/>
      <c r="P144" s="127" t="n"/>
      <c r="Q144" s="127" t="n"/>
      <c r="R144" s="127" t="n"/>
      <c r="S144" s="127" t="n"/>
      <c r="T144" s="127" t="n"/>
      <c r="U144" s="127" t="n"/>
      <c r="V144" s="127" t="n">
        <v>4054000</v>
      </c>
    </row>
    <row r="145">
      <c r="C145" s="94" t="inlineStr">
        <is>
          <t>2월6일</t>
        </is>
      </c>
      <c r="D145" s="127" t="n">
        <v>4341000</v>
      </c>
      <c r="E145" s="127" t="n"/>
      <c r="F145" s="127" t="n"/>
      <c r="G145" s="127" t="n"/>
      <c r="H145" s="127" t="n"/>
      <c r="I145" s="127" t="n"/>
      <c r="J145" s="127" t="n"/>
      <c r="K145" s="127" t="n"/>
      <c r="L145" s="127" t="n">
        <v>180000</v>
      </c>
      <c r="M145" s="127" t="n"/>
      <c r="N145" s="127" t="n"/>
      <c r="O145" s="127" t="n"/>
      <c r="P145" s="127" t="n"/>
      <c r="Q145" s="127" t="n"/>
      <c r="R145" s="127" t="n">
        <v>4000</v>
      </c>
      <c r="S145" s="127" t="n"/>
      <c r="T145" s="127" t="n"/>
      <c r="U145" s="127" t="n"/>
      <c r="V145" s="127" t="n">
        <v>4525000</v>
      </c>
    </row>
    <row r="146">
      <c r="C146" s="94" t="inlineStr">
        <is>
          <t>2월7일</t>
        </is>
      </c>
      <c r="D146" s="127" t="n">
        <v>7173000</v>
      </c>
      <c r="E146" s="127" t="n"/>
      <c r="F146" s="127" t="n"/>
      <c r="G146" s="127" t="n"/>
      <c r="H146" s="127" t="n"/>
      <c r="I146" s="127" t="n"/>
      <c r="J146" s="127" t="n"/>
      <c r="K146" s="127" t="n"/>
      <c r="L146" s="127" t="n">
        <v>120000</v>
      </c>
      <c r="M146" s="127" t="n"/>
      <c r="N146" s="127" t="n"/>
      <c r="O146" s="127" t="n"/>
      <c r="P146" s="127" t="n"/>
      <c r="Q146" s="127" t="n"/>
      <c r="R146" s="127" t="n">
        <v>4000</v>
      </c>
      <c r="S146" s="127" t="n"/>
      <c r="T146" s="127" t="n"/>
      <c r="U146" s="127" t="n"/>
      <c r="V146" s="127" t="n">
        <v>7297000</v>
      </c>
    </row>
    <row r="147">
      <c r="C147" s="94" t="inlineStr">
        <is>
          <t>2월8일</t>
        </is>
      </c>
      <c r="D147" s="127" t="n">
        <v>2950000</v>
      </c>
      <c r="E147" s="127" t="n"/>
      <c r="F147" s="127" t="n"/>
      <c r="G147" s="127" t="n"/>
      <c r="H147" s="127" t="n"/>
      <c r="I147" s="127" t="n"/>
      <c r="J147" s="127" t="n"/>
      <c r="K147" s="127" t="n"/>
      <c r="L147" s="127" t="n">
        <v>135000</v>
      </c>
      <c r="M147" s="127" t="n"/>
      <c r="N147" s="127" t="n"/>
      <c r="O147" s="127" t="n"/>
      <c r="P147" s="127" t="n"/>
      <c r="Q147" s="127" t="n"/>
      <c r="R147" s="127" t="n">
        <v>24000</v>
      </c>
      <c r="S147" s="127" t="n"/>
      <c r="T147" s="127" t="n"/>
      <c r="U147" s="127" t="n"/>
      <c r="V147" s="127" t="n">
        <v>3109000</v>
      </c>
    </row>
    <row r="148">
      <c r="C148" s="94" t="inlineStr">
        <is>
          <t>2월9일</t>
        </is>
      </c>
      <c r="D148" s="127" t="n">
        <v>3673000</v>
      </c>
      <c r="E148" s="127" t="n"/>
      <c r="F148" s="127" t="n"/>
      <c r="G148" s="127" t="n"/>
      <c r="H148" s="127" t="n"/>
      <c r="I148" s="127" t="n"/>
      <c r="J148" s="127" t="n"/>
      <c r="K148" s="127" t="n"/>
      <c r="L148" s="127" t="n">
        <v>155000</v>
      </c>
      <c r="M148" s="127" t="n"/>
      <c r="N148" s="127" t="n"/>
      <c r="O148" s="127" t="n"/>
      <c r="P148" s="127" t="n"/>
      <c r="Q148" s="127" t="n"/>
      <c r="R148" s="127" t="n"/>
      <c r="S148" s="127" t="n"/>
      <c r="T148" s="127" t="n"/>
      <c r="U148" s="127" t="n"/>
      <c r="V148" s="127" t="n">
        <v>3828000</v>
      </c>
    </row>
    <row r="149">
      <c r="C149" s="94" t="inlineStr">
        <is>
          <t>2월10일</t>
        </is>
      </c>
      <c r="D149" s="127" t="n">
        <v>9904000</v>
      </c>
      <c r="E149" s="127" t="n"/>
      <c r="F149" s="127" t="n"/>
      <c r="G149" s="127" t="n"/>
      <c r="H149" s="127" t="n"/>
      <c r="I149" s="127" t="n"/>
      <c r="J149" s="127" t="n"/>
      <c r="K149" s="127" t="n"/>
      <c r="L149" s="127" t="n">
        <v>240000</v>
      </c>
      <c r="M149" s="127" t="n"/>
      <c r="N149" s="127" t="n"/>
      <c r="O149" s="127" t="n"/>
      <c r="P149" s="127" t="n"/>
      <c r="Q149" s="127" t="n"/>
      <c r="R149" s="127" t="n"/>
      <c r="S149" s="127" t="n"/>
      <c r="T149" s="127" t="n"/>
      <c r="U149" s="127" t="n"/>
      <c r="V149" s="127" t="n">
        <v>10144000</v>
      </c>
    </row>
    <row r="150">
      <c r="C150" s="94" t="inlineStr">
        <is>
          <t>2월11일</t>
        </is>
      </c>
      <c r="D150" s="127" t="n">
        <v>8061000</v>
      </c>
      <c r="E150" s="127" t="n"/>
      <c r="F150" s="127" t="n"/>
      <c r="G150" s="127" t="n"/>
      <c r="H150" s="127" t="n"/>
      <c r="I150" s="127" t="n"/>
      <c r="J150" s="127" t="n"/>
      <c r="K150" s="127" t="n">
        <v>172000</v>
      </c>
      <c r="L150" s="127" t="n">
        <v>480000</v>
      </c>
      <c r="M150" s="127" t="n"/>
      <c r="N150" s="127" t="n"/>
      <c r="O150" s="127" t="n"/>
      <c r="P150" s="127" t="n"/>
      <c r="Q150" s="127" t="n"/>
      <c r="R150" s="127" t="n">
        <v>20000</v>
      </c>
      <c r="S150" s="127" t="n"/>
      <c r="T150" s="127" t="n"/>
      <c r="U150" s="127" t="n"/>
      <c r="V150" s="127" t="n">
        <v>8733000</v>
      </c>
    </row>
    <row r="151">
      <c r="C151" s="94" t="inlineStr">
        <is>
          <t>2월12일</t>
        </is>
      </c>
      <c r="D151" s="127" t="n">
        <v>10026000</v>
      </c>
      <c r="E151" s="127" t="n"/>
      <c r="F151" s="127" t="n"/>
      <c r="G151" s="127" t="n"/>
      <c r="H151" s="127" t="n"/>
      <c r="I151" s="127" t="n"/>
      <c r="J151" s="127" t="n"/>
      <c r="K151" s="127" t="n">
        <v>176000</v>
      </c>
      <c r="L151" s="127" t="n">
        <v>115000</v>
      </c>
      <c r="M151" s="127" t="n"/>
      <c r="N151" s="127" t="n"/>
      <c r="O151" s="127" t="n"/>
      <c r="P151" s="127" t="n"/>
      <c r="Q151" s="127" t="n"/>
      <c r="R151" s="127" t="n">
        <v>4000</v>
      </c>
      <c r="S151" s="127" t="n"/>
      <c r="T151" s="127" t="n"/>
      <c r="U151" s="127" t="n"/>
      <c r="V151" s="127" t="n">
        <v>10321000</v>
      </c>
    </row>
    <row r="152">
      <c r="C152" s="94" t="inlineStr">
        <is>
          <t>2월13일</t>
        </is>
      </c>
      <c r="D152" s="127" t="n">
        <v>4937000</v>
      </c>
      <c r="E152" s="127" t="n"/>
      <c r="F152" s="127" t="n"/>
      <c r="G152" s="127" t="n"/>
      <c r="H152" s="127" t="n"/>
      <c r="I152" s="127" t="n"/>
      <c r="J152" s="127" t="n"/>
      <c r="K152" s="127" t="n">
        <v>182000</v>
      </c>
      <c r="L152" s="127" t="n">
        <v>290000</v>
      </c>
      <c r="M152" s="127" t="n"/>
      <c r="N152" s="127" t="n"/>
      <c r="O152" s="127" t="n"/>
      <c r="P152" s="127" t="n"/>
      <c r="Q152" s="127" t="n"/>
      <c r="R152" s="127" t="n"/>
      <c r="S152" s="127" t="n"/>
      <c r="T152" s="127" t="n"/>
      <c r="U152" s="127" t="n"/>
      <c r="V152" s="127" t="n">
        <v>5409000</v>
      </c>
    </row>
    <row r="153">
      <c r="C153" s="94" t="inlineStr">
        <is>
          <t>2월14일</t>
        </is>
      </c>
      <c r="D153" s="127" t="n">
        <v>3751000</v>
      </c>
      <c r="E153" s="127" t="n"/>
      <c r="F153" s="127" t="n"/>
      <c r="G153" s="127" t="n"/>
      <c r="H153" s="127" t="n"/>
      <c r="I153" s="127" t="n"/>
      <c r="J153" s="127" t="n"/>
      <c r="K153" s="127" t="n">
        <v>172000</v>
      </c>
      <c r="L153" s="127" t="n">
        <v>220000</v>
      </c>
      <c r="M153" s="127" t="n"/>
      <c r="N153" s="127" t="n"/>
      <c r="O153" s="127" t="n"/>
      <c r="P153" s="127" t="n"/>
      <c r="Q153" s="127" t="n"/>
      <c r="R153" s="127" t="n"/>
      <c r="S153" s="127" t="n"/>
      <c r="T153" s="127" t="n"/>
      <c r="U153" s="127" t="n"/>
      <c r="V153" s="127" t="n">
        <v>4143000</v>
      </c>
    </row>
    <row r="154">
      <c r="C154" s="94" t="inlineStr">
        <is>
          <t>2월15일</t>
        </is>
      </c>
      <c r="D154" s="127" t="n">
        <v>3139000</v>
      </c>
      <c r="E154" s="127" t="n"/>
      <c r="F154" s="127" t="n"/>
      <c r="G154" s="127" t="n"/>
      <c r="H154" s="127" t="n"/>
      <c r="I154" s="127" t="n"/>
      <c r="J154" s="127" t="n"/>
      <c r="K154" s="127" t="n">
        <v>135000</v>
      </c>
      <c r="L154" s="127" t="n">
        <v>120000</v>
      </c>
      <c r="M154" s="127" t="n"/>
      <c r="N154" s="127" t="n"/>
      <c r="O154" s="127" t="n"/>
      <c r="P154" s="127" t="n"/>
      <c r="Q154" s="127" t="n"/>
      <c r="R154" s="127" t="n"/>
      <c r="S154" s="127" t="n"/>
      <c r="T154" s="127" t="n"/>
      <c r="U154" s="127" t="n"/>
      <c r="V154" s="127" t="n">
        <v>3394000</v>
      </c>
    </row>
    <row r="155">
      <c r="C155" s="94" t="inlineStr">
        <is>
          <t>2월16일</t>
        </is>
      </c>
      <c r="D155" s="127" t="n">
        <v>3090000</v>
      </c>
      <c r="E155" s="127" t="n"/>
      <c r="F155" s="127" t="n"/>
      <c r="G155" s="127" t="n"/>
      <c r="H155" s="127" t="n"/>
      <c r="I155" s="127" t="n"/>
      <c r="J155" s="127" t="n"/>
      <c r="K155" s="127" t="n">
        <v>128000</v>
      </c>
      <c r="L155" s="127" t="n">
        <v>325000</v>
      </c>
      <c r="M155" s="127" t="n"/>
      <c r="N155" s="127" t="n"/>
      <c r="O155" s="127" t="n"/>
      <c r="P155" s="127" t="n"/>
      <c r="Q155" s="127" t="n"/>
      <c r="R155" s="127" t="n"/>
      <c r="S155" s="127" t="n"/>
      <c r="T155" s="127" t="n"/>
      <c r="U155" s="127" t="n"/>
      <c r="V155" s="127" t="n">
        <v>3543000</v>
      </c>
    </row>
    <row r="156">
      <c r="C156" s="94" t="inlineStr">
        <is>
          <t>2월17일</t>
        </is>
      </c>
      <c r="D156" s="127" t="n">
        <v>3957000</v>
      </c>
      <c r="E156" s="127" t="n"/>
      <c r="F156" s="127" t="n"/>
      <c r="G156" s="127" t="n"/>
      <c r="H156" s="127" t="n"/>
      <c r="I156" s="127" t="n"/>
      <c r="J156" s="127" t="n"/>
      <c r="K156" s="127" t="n">
        <v>148000</v>
      </c>
      <c r="L156" s="127" t="n">
        <v>240000</v>
      </c>
      <c r="M156" s="127" t="n"/>
      <c r="N156" s="127" t="n"/>
      <c r="O156" s="127" t="n"/>
      <c r="P156" s="127" t="n"/>
      <c r="Q156" s="127" t="n"/>
      <c r="R156" s="127" t="n">
        <v>16000</v>
      </c>
      <c r="S156" s="127" t="n"/>
      <c r="T156" s="127" t="n"/>
      <c r="U156" s="127" t="n"/>
      <c r="V156" s="127" t="n">
        <v>4361000</v>
      </c>
    </row>
    <row r="157">
      <c r="C157" s="94" t="inlineStr">
        <is>
          <t>2월18일</t>
        </is>
      </c>
      <c r="D157" s="127" t="n">
        <v>9918000</v>
      </c>
      <c r="E157" s="127" t="n"/>
      <c r="F157" s="127" t="n"/>
      <c r="G157" s="127" t="n"/>
      <c r="H157" s="127" t="n"/>
      <c r="I157" s="127" t="n"/>
      <c r="J157" s="127" t="n"/>
      <c r="K157" s="127" t="n">
        <v>269000</v>
      </c>
      <c r="L157" s="127" t="n">
        <v>360000</v>
      </c>
      <c r="M157" s="127" t="n"/>
      <c r="N157" s="127" t="n"/>
      <c r="O157" s="127" t="n"/>
      <c r="P157" s="127" t="n"/>
      <c r="Q157" s="127" t="n"/>
      <c r="R157" s="127" t="n">
        <v>8000</v>
      </c>
      <c r="S157" s="127" t="n"/>
      <c r="T157" s="127" t="n"/>
      <c r="U157" s="127" t="n"/>
      <c r="V157" s="127" t="n">
        <v>10555000</v>
      </c>
    </row>
    <row r="158">
      <c r="C158" s="94" t="inlineStr">
        <is>
          <t>2월19일</t>
        </is>
      </c>
      <c r="D158" s="127" t="n">
        <v>15321000</v>
      </c>
      <c r="E158" s="127" t="n"/>
      <c r="F158" s="127" t="n"/>
      <c r="G158" s="127" t="n"/>
      <c r="H158" s="127" t="n"/>
      <c r="I158" s="127" t="n"/>
      <c r="J158" s="127" t="n"/>
      <c r="K158" s="127" t="n">
        <v>581000</v>
      </c>
      <c r="L158" s="127" t="n">
        <v>270000</v>
      </c>
      <c r="M158" s="127" t="n"/>
      <c r="N158" s="127" t="n"/>
      <c r="O158" s="127" t="n"/>
      <c r="P158" s="127" t="n"/>
      <c r="Q158" s="127" t="n"/>
      <c r="R158" s="127" t="n">
        <v>8000</v>
      </c>
      <c r="S158" s="127" t="n"/>
      <c r="T158" s="127" t="n"/>
      <c r="U158" s="127" t="n"/>
      <c r="V158" s="127" t="n">
        <v>16180000</v>
      </c>
    </row>
    <row r="159">
      <c r="C159" s="94" t="inlineStr">
        <is>
          <t>2월20일</t>
        </is>
      </c>
      <c r="D159" s="127" t="n">
        <v>12333000</v>
      </c>
      <c r="E159" s="127" t="n"/>
      <c r="F159" s="127" t="n"/>
      <c r="G159" s="127" t="n"/>
      <c r="H159" s="127" t="n"/>
      <c r="I159" s="127" t="n"/>
      <c r="J159" s="127" t="n"/>
      <c r="K159" s="127" t="n">
        <v>428000</v>
      </c>
      <c r="L159" s="127" t="n">
        <v>535000</v>
      </c>
      <c r="M159" s="127" t="n"/>
      <c r="N159" s="127" t="n"/>
      <c r="O159" s="127" t="n"/>
      <c r="P159" s="127" t="n"/>
      <c r="Q159" s="127" t="n"/>
      <c r="R159" s="127" t="n"/>
      <c r="S159" s="127" t="n"/>
      <c r="T159" s="127" t="n"/>
      <c r="U159" s="127" t="n"/>
      <c r="V159" s="127" t="n">
        <v>13296000</v>
      </c>
    </row>
    <row r="160">
      <c r="C160" s="94" t="inlineStr">
        <is>
          <t>2월21일</t>
        </is>
      </c>
      <c r="D160" s="127" t="n">
        <v>6345000</v>
      </c>
      <c r="E160" s="127" t="n"/>
      <c r="F160" s="127" t="n"/>
      <c r="G160" s="127" t="n"/>
      <c r="H160" s="127" t="n"/>
      <c r="I160" s="127" t="n"/>
      <c r="J160" s="127" t="n"/>
      <c r="K160" s="127" t="n">
        <v>332000</v>
      </c>
      <c r="L160" s="127" t="n">
        <v>240000</v>
      </c>
      <c r="M160" s="127" t="n"/>
      <c r="N160" s="127" t="n"/>
      <c r="O160" s="127" t="n"/>
      <c r="P160" s="127" t="n"/>
      <c r="Q160" s="127" t="n"/>
      <c r="R160" s="127" t="n"/>
      <c r="S160" s="127" t="n"/>
      <c r="T160" s="127" t="n"/>
      <c r="U160" s="127" t="n"/>
      <c r="V160" s="127" t="n">
        <v>6917000</v>
      </c>
    </row>
    <row r="161">
      <c r="C161" s="94" t="inlineStr">
        <is>
          <t>2월22일</t>
        </is>
      </c>
      <c r="D161" s="127" t="n">
        <v>5933000</v>
      </c>
      <c r="E161" s="127" t="n"/>
      <c r="F161" s="127" t="n"/>
      <c r="G161" s="127" t="n"/>
      <c r="H161" s="127" t="n"/>
      <c r="I161" s="127" t="n"/>
      <c r="J161" s="127" t="n"/>
      <c r="K161" s="127" t="n">
        <v>319000</v>
      </c>
      <c r="L161" s="127" t="n">
        <v>175000</v>
      </c>
      <c r="M161" s="127" t="n"/>
      <c r="N161" s="127" t="n"/>
      <c r="O161" s="127" t="n"/>
      <c r="P161" s="127" t="n"/>
      <c r="Q161" s="127" t="n"/>
      <c r="R161" s="127" t="n"/>
      <c r="S161" s="127" t="n"/>
      <c r="T161" s="127" t="n"/>
      <c r="U161" s="127" t="n"/>
      <c r="V161" s="127" t="n">
        <v>6427000</v>
      </c>
    </row>
    <row r="162">
      <c r="C162" s="94" t="inlineStr">
        <is>
          <t>2월23일</t>
        </is>
      </c>
      <c r="D162" s="127" t="n">
        <v>10637000</v>
      </c>
      <c r="E162" s="127" t="n"/>
      <c r="F162" s="127" t="n"/>
      <c r="G162" s="127" t="n"/>
      <c r="H162" s="127" t="n"/>
      <c r="I162" s="127" t="n"/>
      <c r="J162" s="127" t="n"/>
      <c r="K162" s="127" t="n">
        <v>360000</v>
      </c>
      <c r="L162" s="127" t="n">
        <v>330000</v>
      </c>
      <c r="M162" s="127" t="n"/>
      <c r="N162" s="127" t="n"/>
      <c r="O162" s="127" t="n"/>
      <c r="P162" s="127" t="n"/>
      <c r="Q162" s="127" t="n"/>
      <c r="R162" s="127" t="n"/>
      <c r="S162" s="127" t="n"/>
      <c r="T162" s="127" t="n"/>
      <c r="U162" s="127" t="n"/>
      <c r="V162" s="127" t="n">
        <v>11327000</v>
      </c>
    </row>
    <row r="163">
      <c r="C163" s="94" t="inlineStr">
        <is>
          <t>2월24일</t>
        </is>
      </c>
      <c r="D163" s="127" t="n">
        <v>9462000</v>
      </c>
      <c r="E163" s="127" t="n"/>
      <c r="F163" s="127" t="n"/>
      <c r="G163" s="127" t="n"/>
      <c r="H163" s="127" t="n"/>
      <c r="I163" s="127" t="n"/>
      <c r="J163" s="127" t="n"/>
      <c r="K163" s="127" t="n">
        <v>508000</v>
      </c>
      <c r="L163" s="127" t="n">
        <v>470000</v>
      </c>
      <c r="M163" s="127" t="n"/>
      <c r="N163" s="127" t="n"/>
      <c r="O163" s="127" t="n"/>
      <c r="P163" s="127" t="n"/>
      <c r="Q163" s="127" t="n"/>
      <c r="R163" s="127" t="n"/>
      <c r="S163" s="127" t="n"/>
      <c r="T163" s="127" t="n"/>
      <c r="U163" s="127" t="n"/>
      <c r="V163" s="127" t="n">
        <v>10440000</v>
      </c>
    </row>
    <row r="164">
      <c r="C164" s="94" t="inlineStr">
        <is>
          <t>2월25일</t>
        </is>
      </c>
      <c r="D164" s="127" t="n">
        <v>16035000</v>
      </c>
      <c r="E164" s="127" t="n"/>
      <c r="F164" s="127" t="n"/>
      <c r="G164" s="127" t="n"/>
      <c r="H164" s="127" t="n"/>
      <c r="I164" s="127" t="n"/>
      <c r="J164" s="127" t="n"/>
      <c r="K164" s="127" t="n">
        <v>615000</v>
      </c>
      <c r="L164" s="127" t="n">
        <v>335000</v>
      </c>
      <c r="M164" s="127" t="n"/>
      <c r="N164" s="127" t="n"/>
      <c r="O164" s="127" t="n"/>
      <c r="P164" s="127" t="n"/>
      <c r="Q164" s="127" t="n"/>
      <c r="R164" s="127" t="n"/>
      <c r="S164" s="127" t="n"/>
      <c r="T164" s="127" t="n"/>
      <c r="U164" s="127" t="n"/>
      <c r="V164" s="127" t="n">
        <v>16985000</v>
      </c>
    </row>
    <row r="165">
      <c r="C165" s="94" t="inlineStr">
        <is>
          <t>2월26일</t>
        </is>
      </c>
      <c r="D165" s="127" t="n">
        <v>11093000</v>
      </c>
      <c r="E165" s="127" t="n"/>
      <c r="F165" s="127" t="n"/>
      <c r="G165" s="127" t="n"/>
      <c r="H165" s="127" t="n"/>
      <c r="I165" s="127" t="n"/>
      <c r="J165" s="127" t="n"/>
      <c r="K165" s="127" t="n">
        <v>522000</v>
      </c>
      <c r="L165" s="127" t="n">
        <v>700000</v>
      </c>
      <c r="M165" s="127" t="n"/>
      <c r="N165" s="127" t="n"/>
      <c r="O165" s="127" t="n"/>
      <c r="P165" s="127" t="n"/>
      <c r="Q165" s="127" t="n"/>
      <c r="R165" s="127" t="n"/>
      <c r="S165" s="127" t="n"/>
      <c r="T165" s="127" t="n"/>
      <c r="U165" s="127" t="n"/>
      <c r="V165" s="127" t="n">
        <v>12315000</v>
      </c>
    </row>
    <row r="166">
      <c r="C166" s="94" t="inlineStr">
        <is>
          <t>2월27일</t>
        </is>
      </c>
      <c r="D166" s="127" t="n">
        <v>8984000</v>
      </c>
      <c r="E166" s="127" t="n"/>
      <c r="F166" s="127" t="n"/>
      <c r="G166" s="127" t="n"/>
      <c r="H166" s="127" t="n"/>
      <c r="I166" s="127" t="n"/>
      <c r="J166" s="127" t="n"/>
      <c r="K166" s="127" t="n">
        <v>341000</v>
      </c>
      <c r="L166" s="127" t="n">
        <v>380000</v>
      </c>
      <c r="M166" s="127" t="n"/>
      <c r="N166" s="127" t="n"/>
      <c r="O166" s="127" t="n"/>
      <c r="P166" s="127" t="n"/>
      <c r="Q166" s="127" t="n"/>
      <c r="R166" s="127" t="n"/>
      <c r="S166" s="127" t="n"/>
      <c r="T166" s="127" t="n"/>
      <c r="U166" s="127" t="n"/>
      <c r="V166" s="127" t="n">
        <v>9705000</v>
      </c>
    </row>
    <row r="167">
      <c r="C167" s="94" t="inlineStr">
        <is>
          <t>2월28일</t>
        </is>
      </c>
      <c r="D167" s="127" t="n">
        <v>7147000</v>
      </c>
      <c r="E167" s="127" t="n"/>
      <c r="F167" s="127" t="n"/>
      <c r="G167" s="127" t="n"/>
      <c r="H167" s="127" t="n"/>
      <c r="I167" s="127" t="n"/>
      <c r="J167" s="127" t="n"/>
      <c r="K167" s="127" t="n">
        <v>367000</v>
      </c>
      <c r="L167" s="127" t="n">
        <v>360000</v>
      </c>
      <c r="M167" s="127" t="n"/>
      <c r="N167" s="127" t="n"/>
      <c r="O167" s="127" t="n"/>
      <c r="P167" s="127" t="n"/>
      <c r="Q167" s="127" t="n"/>
      <c r="R167" s="127" t="n"/>
      <c r="S167" s="127" t="n"/>
      <c r="T167" s="127" t="n"/>
      <c r="U167" s="127" t="n"/>
      <c r="V167" s="127" t="n">
        <v>7874000</v>
      </c>
    </row>
    <row r="168">
      <c r="C168" s="94" t="inlineStr">
        <is>
          <t>2월29일</t>
        </is>
      </c>
      <c r="D168" s="127" t="n">
        <v>5570000</v>
      </c>
      <c r="E168" s="127" t="n"/>
      <c r="F168" s="127" t="n"/>
      <c r="G168" s="127" t="n"/>
      <c r="H168" s="127" t="n"/>
      <c r="I168" s="127" t="n"/>
      <c r="J168" s="127" t="n"/>
      <c r="K168" s="127" t="n">
        <v>426000</v>
      </c>
      <c r="L168" s="127" t="n">
        <v>325000</v>
      </c>
      <c r="M168" s="127" t="n"/>
      <c r="N168" s="127" t="n"/>
      <c r="O168" s="127" t="n"/>
      <c r="P168" s="127" t="n"/>
      <c r="Q168" s="127" t="n"/>
      <c r="R168" s="127" t="n"/>
      <c r="S168" s="127" t="n"/>
      <c r="T168" s="127" t="n"/>
      <c r="U168" s="127" t="n"/>
      <c r="V168" s="127" t="n">
        <v>6321000</v>
      </c>
    </row>
    <row r="169">
      <c r="B169" s="94" t="inlineStr">
        <is>
          <t>2월 요약</t>
        </is>
      </c>
      <c r="C169" s="94" t="n"/>
      <c r="D169" s="127" t="n">
        <v>204900000</v>
      </c>
      <c r="E169" s="127" t="n"/>
      <c r="F169" s="127" t="n"/>
      <c r="G169" s="127" t="n"/>
      <c r="H169" s="127" t="n"/>
      <c r="I169" s="127" t="n"/>
      <c r="J169" s="127" t="n"/>
      <c r="K169" s="127" t="n">
        <v>6181000</v>
      </c>
      <c r="L169" s="127" t="n">
        <v>7640000</v>
      </c>
      <c r="M169" s="127" t="n"/>
      <c r="N169" s="127" t="n"/>
      <c r="O169" s="127" t="n"/>
      <c r="P169" s="127" t="n"/>
      <c r="Q169" s="127" t="n"/>
      <c r="R169" s="127" t="n">
        <v>100000</v>
      </c>
      <c r="S169" s="127" t="n"/>
      <c r="T169" s="127" t="n"/>
      <c r="U169" s="127" t="n"/>
      <c r="V169" s="127" t="n">
        <v>218821000</v>
      </c>
    </row>
    <row r="170">
      <c r="B170" s="94" t="inlineStr">
        <is>
          <t>3월</t>
        </is>
      </c>
      <c r="C170" s="94" t="inlineStr">
        <is>
          <t>3월1일</t>
        </is>
      </c>
      <c r="D170" s="127" t="n">
        <v>7017000</v>
      </c>
      <c r="E170" s="127" t="n"/>
      <c r="F170" s="127" t="n"/>
      <c r="G170" s="127" t="n"/>
      <c r="H170" s="127" t="n"/>
      <c r="I170" s="127" t="n"/>
      <c r="J170" s="127" t="n"/>
      <c r="K170" s="127" t="n">
        <v>478000</v>
      </c>
      <c r="L170" s="127" t="n">
        <v>155000</v>
      </c>
      <c r="M170" s="127" t="n"/>
      <c r="N170" s="127" t="n"/>
      <c r="O170" s="127" t="n"/>
      <c r="P170" s="127" t="n"/>
      <c r="Q170" s="127" t="n"/>
      <c r="R170" s="127" t="n"/>
      <c r="S170" s="127" t="n"/>
      <c r="T170" s="127" t="n"/>
      <c r="U170" s="127" t="n"/>
      <c r="V170" s="127" t="n">
        <v>7650000</v>
      </c>
    </row>
    <row r="171">
      <c r="C171" s="94" t="inlineStr">
        <is>
          <t>3월2일</t>
        </is>
      </c>
      <c r="D171" s="127" t="n">
        <v>6566000</v>
      </c>
      <c r="E171" s="127" t="n"/>
      <c r="F171" s="127" t="n"/>
      <c r="G171" s="127" t="n"/>
      <c r="H171" s="127" t="n"/>
      <c r="I171" s="127" t="n"/>
      <c r="J171" s="127" t="n"/>
      <c r="K171" s="127" t="n">
        <v>330000</v>
      </c>
      <c r="L171" s="127" t="n">
        <v>300000</v>
      </c>
      <c r="M171" s="127" t="n"/>
      <c r="N171" s="127" t="n"/>
      <c r="O171" s="127" t="n"/>
      <c r="P171" s="127" t="n"/>
      <c r="Q171" s="127" t="n"/>
      <c r="R171" s="127" t="n"/>
      <c r="S171" s="127" t="n"/>
      <c r="T171" s="127" t="n"/>
      <c r="U171" s="127" t="n"/>
      <c r="V171" s="127" t="n">
        <v>7196000</v>
      </c>
    </row>
    <row r="172">
      <c r="C172" s="94" t="inlineStr">
        <is>
          <t>3월3일</t>
        </is>
      </c>
      <c r="D172" s="127" t="n">
        <v>8103000</v>
      </c>
      <c r="E172" s="127" t="n"/>
      <c r="F172" s="127" t="n"/>
      <c r="G172" s="127" t="n"/>
      <c r="H172" s="127" t="n"/>
      <c r="I172" s="127" t="n"/>
      <c r="J172" s="127" t="n"/>
      <c r="K172" s="127" t="n">
        <v>508000</v>
      </c>
      <c r="L172" s="127" t="n">
        <v>410000</v>
      </c>
      <c r="M172" s="127" t="n"/>
      <c r="N172" s="127" t="n"/>
      <c r="O172" s="127" t="n"/>
      <c r="P172" s="127" t="n"/>
      <c r="Q172" s="127" t="n"/>
      <c r="R172" s="127" t="n"/>
      <c r="S172" s="127" t="n"/>
      <c r="T172" s="127" t="n"/>
      <c r="U172" s="127" t="n"/>
      <c r="V172" s="127" t="n">
        <v>9021000</v>
      </c>
    </row>
    <row r="173">
      <c r="C173" s="94" t="inlineStr">
        <is>
          <t>3월4일</t>
        </is>
      </c>
      <c r="D173" s="127" t="n">
        <v>11457000</v>
      </c>
      <c r="E173" s="127" t="n"/>
      <c r="F173" s="127" t="n"/>
      <c r="G173" s="127" t="n"/>
      <c r="H173" s="127" t="n"/>
      <c r="I173" s="127" t="n"/>
      <c r="J173" s="127" t="n"/>
      <c r="K173" s="127" t="n">
        <v>657000</v>
      </c>
      <c r="L173" s="127" t="n">
        <v>330000</v>
      </c>
      <c r="M173" s="127" t="n"/>
      <c r="N173" s="127" t="n"/>
      <c r="O173" s="127" t="n"/>
      <c r="P173" s="127" t="n"/>
      <c r="Q173" s="127" t="n"/>
      <c r="R173" s="127" t="n"/>
      <c r="S173" s="127" t="n"/>
      <c r="T173" s="127" t="n"/>
      <c r="U173" s="127" t="n"/>
      <c r="V173" s="127" t="n">
        <v>12444000</v>
      </c>
    </row>
    <row r="174">
      <c r="C174" s="94" t="inlineStr">
        <is>
          <t>3월5일</t>
        </is>
      </c>
      <c r="D174" s="127" t="n">
        <v>12975000</v>
      </c>
      <c r="E174" s="127" t="n"/>
      <c r="F174" s="127" t="n"/>
      <c r="G174" s="127" t="n"/>
      <c r="H174" s="127" t="n"/>
      <c r="I174" s="127" t="n"/>
      <c r="J174" s="127" t="n"/>
      <c r="K174" s="127" t="n">
        <v>258000</v>
      </c>
      <c r="L174" s="127" t="n">
        <v>405000</v>
      </c>
      <c r="M174" s="127" t="n"/>
      <c r="N174" s="127" t="n"/>
      <c r="O174" s="127" t="n"/>
      <c r="P174" s="127" t="n"/>
      <c r="Q174" s="127" t="n"/>
      <c r="R174" s="127" t="n"/>
      <c r="S174" s="127" t="n"/>
      <c r="T174" s="127" t="n"/>
      <c r="U174" s="127" t="n"/>
      <c r="V174" s="127" t="n">
        <v>13638000</v>
      </c>
    </row>
    <row r="175">
      <c r="C175" s="94" t="inlineStr">
        <is>
          <t>3월6일</t>
        </is>
      </c>
      <c r="D175" s="127" t="n">
        <v>7138000</v>
      </c>
      <c r="E175" s="127" t="n"/>
      <c r="F175" s="127" t="n"/>
      <c r="G175" s="127" t="n"/>
      <c r="H175" s="127" t="n"/>
      <c r="I175" s="127" t="n"/>
      <c r="J175" s="127" t="n"/>
      <c r="K175" s="127" t="n">
        <v>254000</v>
      </c>
      <c r="L175" s="127" t="n">
        <v>365000</v>
      </c>
      <c r="M175" s="127" t="n"/>
      <c r="N175" s="127" t="n"/>
      <c r="O175" s="127" t="n"/>
      <c r="P175" s="127" t="n"/>
      <c r="Q175" s="127" t="n"/>
      <c r="R175" s="127" t="n"/>
      <c r="S175" s="127" t="n"/>
      <c r="T175" s="127" t="n"/>
      <c r="U175" s="127" t="n"/>
      <c r="V175" s="127" t="n">
        <v>7757000</v>
      </c>
    </row>
    <row r="176">
      <c r="C176" s="94" t="inlineStr">
        <is>
          <t>3월7일</t>
        </is>
      </c>
      <c r="D176" s="127" t="n">
        <v>7557000</v>
      </c>
      <c r="E176" s="127" t="n"/>
      <c r="F176" s="127" t="n"/>
      <c r="G176" s="127" t="n"/>
      <c r="H176" s="127" t="n"/>
      <c r="I176" s="127" t="n"/>
      <c r="J176" s="127" t="n"/>
      <c r="K176" s="127" t="n">
        <v>217000</v>
      </c>
      <c r="L176" s="127" t="n">
        <v>290000</v>
      </c>
      <c r="M176" s="127" t="n"/>
      <c r="N176" s="127" t="n"/>
      <c r="O176" s="127" t="n"/>
      <c r="P176" s="127" t="n"/>
      <c r="Q176" s="127" t="n"/>
      <c r="R176" s="127" t="n"/>
      <c r="S176" s="127" t="n"/>
      <c r="T176" s="127" t="n"/>
      <c r="U176" s="127" t="n"/>
      <c r="V176" s="127" t="n">
        <v>8064000</v>
      </c>
    </row>
    <row r="177">
      <c r="C177" s="94" t="inlineStr">
        <is>
          <t>3월8일</t>
        </is>
      </c>
      <c r="D177" s="127" t="n">
        <v>8375000</v>
      </c>
      <c r="E177" s="127" t="n"/>
      <c r="F177" s="127" t="n"/>
      <c r="G177" s="127" t="n"/>
      <c r="H177" s="127" t="n"/>
      <c r="I177" s="127" t="n"/>
      <c r="J177" s="127" t="n"/>
      <c r="K177" s="127" t="n">
        <v>328000</v>
      </c>
      <c r="L177" s="127" t="n">
        <v>295000</v>
      </c>
      <c r="M177" s="127" t="n"/>
      <c r="N177" s="127" t="n"/>
      <c r="O177" s="127" t="n"/>
      <c r="P177" s="127" t="n"/>
      <c r="Q177" s="127" t="n"/>
      <c r="R177" s="127" t="n"/>
      <c r="S177" s="127" t="n"/>
      <c r="T177" s="127" t="n"/>
      <c r="U177" s="127" t="n"/>
      <c r="V177" s="127" t="n">
        <v>8998000</v>
      </c>
    </row>
    <row r="178">
      <c r="C178" s="94" t="inlineStr">
        <is>
          <t>3월9일</t>
        </is>
      </c>
      <c r="D178" s="127" t="n">
        <v>9306000</v>
      </c>
      <c r="E178" s="127" t="n"/>
      <c r="F178" s="127" t="n"/>
      <c r="G178" s="127" t="n"/>
      <c r="H178" s="127" t="n"/>
      <c r="I178" s="127" t="n"/>
      <c r="J178" s="127" t="n"/>
      <c r="K178" s="127" t="n">
        <v>326000</v>
      </c>
      <c r="L178" s="127" t="n">
        <v>365000</v>
      </c>
      <c r="M178" s="127" t="n"/>
      <c r="N178" s="127" t="n"/>
      <c r="O178" s="127" t="n"/>
      <c r="P178" s="127" t="n"/>
      <c r="Q178" s="127" t="n"/>
      <c r="R178" s="127" t="n"/>
      <c r="S178" s="127" t="n"/>
      <c r="T178" s="127" t="n"/>
      <c r="U178" s="127" t="n"/>
      <c r="V178" s="127" t="n">
        <v>9997000</v>
      </c>
    </row>
    <row r="179">
      <c r="C179" s="94" t="inlineStr">
        <is>
          <t>3월10일</t>
        </is>
      </c>
      <c r="D179" s="127" t="n">
        <v>7727000</v>
      </c>
      <c r="E179" s="127" t="n"/>
      <c r="F179" s="127" t="n"/>
      <c r="G179" s="127" t="n"/>
      <c r="H179" s="127" t="n"/>
      <c r="I179" s="127" t="n"/>
      <c r="J179" s="127" t="n"/>
      <c r="K179" s="127" t="n">
        <v>278000</v>
      </c>
      <c r="L179" s="127" t="n">
        <v>330000</v>
      </c>
      <c r="M179" s="127" t="n">
        <v>128000</v>
      </c>
      <c r="N179" s="127" t="n"/>
      <c r="O179" s="127" t="n"/>
      <c r="P179" s="127" t="n"/>
      <c r="Q179" s="127" t="n"/>
      <c r="R179" s="127" t="n"/>
      <c r="S179" s="127" t="n"/>
      <c r="T179" s="127" t="n"/>
      <c r="U179" s="127" t="n"/>
      <c r="V179" s="127" t="n">
        <v>8463000</v>
      </c>
    </row>
    <row r="180">
      <c r="C180" s="94" t="inlineStr">
        <is>
          <t>3월11일</t>
        </is>
      </c>
      <c r="D180" s="127" t="n">
        <v>18544000</v>
      </c>
      <c r="E180" s="127" t="n"/>
      <c r="F180" s="127" t="n"/>
      <c r="G180" s="127" t="n"/>
      <c r="H180" s="127" t="n"/>
      <c r="I180" s="127" t="n"/>
      <c r="J180" s="127" t="n"/>
      <c r="K180" s="127" t="n">
        <v>117000</v>
      </c>
      <c r="L180" s="127" t="n">
        <v>210000</v>
      </c>
      <c r="M180" s="127" t="n">
        <v>236000</v>
      </c>
      <c r="N180" s="127" t="n"/>
      <c r="O180" s="127" t="n"/>
      <c r="P180" s="127" t="n"/>
      <c r="Q180" s="127" t="n"/>
      <c r="R180" s="127" t="n"/>
      <c r="S180" s="127" t="n"/>
      <c r="T180" s="127" t="n"/>
      <c r="U180" s="127" t="n"/>
      <c r="V180" s="127" t="n">
        <v>19107000</v>
      </c>
    </row>
    <row r="181">
      <c r="C181" s="94" t="inlineStr">
        <is>
          <t>3월12일</t>
        </is>
      </c>
      <c r="D181" s="127" t="n">
        <v>6787000</v>
      </c>
      <c r="E181" s="127" t="n"/>
      <c r="F181" s="127" t="n"/>
      <c r="G181" s="127" t="n"/>
      <c r="H181" s="127" t="n"/>
      <c r="I181" s="127" t="n"/>
      <c r="J181" s="127" t="n"/>
      <c r="K181" s="127" t="n">
        <v>195000</v>
      </c>
      <c r="L181" s="127" t="n">
        <v>275000</v>
      </c>
      <c r="M181" s="127" t="n">
        <v>168000</v>
      </c>
      <c r="N181" s="127" t="n"/>
      <c r="O181" s="127" t="n"/>
      <c r="P181" s="127" t="n"/>
      <c r="Q181" s="127" t="n"/>
      <c r="R181" s="127" t="n"/>
      <c r="S181" s="127" t="n"/>
      <c r="T181" s="127" t="n"/>
      <c r="U181" s="127" t="n"/>
      <c r="V181" s="127" t="n">
        <v>7425000</v>
      </c>
    </row>
    <row r="182">
      <c r="C182" s="94" t="inlineStr">
        <is>
          <t>3월13일</t>
        </is>
      </c>
      <c r="D182" s="127" t="n">
        <v>3905000</v>
      </c>
      <c r="E182" s="127" t="n"/>
      <c r="F182" s="127" t="n"/>
      <c r="G182" s="127" t="n"/>
      <c r="H182" s="127" t="n"/>
      <c r="I182" s="127" t="n"/>
      <c r="J182" s="127" t="n"/>
      <c r="K182" s="127" t="n">
        <v>65000</v>
      </c>
      <c r="L182" s="127" t="n">
        <v>235000</v>
      </c>
      <c r="M182" s="127" t="n">
        <v>124000</v>
      </c>
      <c r="N182" s="127" t="n"/>
      <c r="O182" s="127" t="n"/>
      <c r="P182" s="127" t="n"/>
      <c r="Q182" s="127" t="n"/>
      <c r="R182" s="127" t="n"/>
      <c r="S182" s="127" t="n"/>
      <c r="T182" s="127" t="n"/>
      <c r="U182" s="127" t="n"/>
      <c r="V182" s="127" t="n">
        <v>4329000</v>
      </c>
    </row>
    <row r="183">
      <c r="C183" s="94" t="inlineStr">
        <is>
          <t>3월14일</t>
        </is>
      </c>
      <c r="D183" s="127" t="n">
        <v>4149000</v>
      </c>
      <c r="E183" s="127" t="n"/>
      <c r="F183" s="127" t="n"/>
      <c r="G183" s="127" t="n"/>
      <c r="H183" s="127" t="n"/>
      <c r="I183" s="127" t="n"/>
      <c r="J183" s="127" t="n"/>
      <c r="K183" s="127" t="n">
        <v>191000</v>
      </c>
      <c r="L183" s="127" t="n">
        <v>160000</v>
      </c>
      <c r="M183" s="127" t="n">
        <v>144000</v>
      </c>
      <c r="N183" s="127" t="n"/>
      <c r="O183" s="127" t="n"/>
      <c r="P183" s="127" t="n"/>
      <c r="Q183" s="127" t="n"/>
      <c r="R183" s="127" t="n"/>
      <c r="S183" s="127" t="n"/>
      <c r="T183" s="127" t="n"/>
      <c r="U183" s="127" t="n"/>
      <c r="V183" s="127" t="n">
        <v>4644000</v>
      </c>
    </row>
    <row r="184">
      <c r="C184" s="94" t="inlineStr">
        <is>
          <t>3월15일</t>
        </is>
      </c>
      <c r="D184" s="127" t="n">
        <v>5119000</v>
      </c>
      <c r="E184" s="127" t="n"/>
      <c r="F184" s="127" t="n"/>
      <c r="G184" s="127" t="n"/>
      <c r="H184" s="127" t="n"/>
      <c r="I184" s="127" t="n"/>
      <c r="J184" s="127" t="n"/>
      <c r="K184" s="127" t="n">
        <v>156000</v>
      </c>
      <c r="L184" s="127" t="n">
        <v>180000</v>
      </c>
      <c r="M184" s="127" t="n">
        <v>88000</v>
      </c>
      <c r="N184" s="127" t="n"/>
      <c r="O184" s="127" t="n"/>
      <c r="P184" s="127" t="n"/>
      <c r="Q184" s="127" t="n"/>
      <c r="R184" s="127" t="n"/>
      <c r="S184" s="127" t="n"/>
      <c r="T184" s="127" t="n"/>
      <c r="U184" s="127" t="n"/>
      <c r="V184" s="127" t="n">
        <v>5543000</v>
      </c>
    </row>
    <row r="185">
      <c r="C185" s="94" t="inlineStr">
        <is>
          <t>3월16일</t>
        </is>
      </c>
      <c r="D185" s="127" t="n">
        <v>5163000</v>
      </c>
      <c r="E185" s="127" t="n"/>
      <c r="F185" s="127" t="n"/>
      <c r="G185" s="127" t="n"/>
      <c r="H185" s="127" t="n"/>
      <c r="I185" s="127" t="n"/>
      <c r="J185" s="127" t="n"/>
      <c r="K185" s="127" t="n">
        <v>154000</v>
      </c>
      <c r="L185" s="127" t="n">
        <v>155000</v>
      </c>
      <c r="M185" s="127" t="n">
        <v>92000</v>
      </c>
      <c r="N185" s="127" t="n"/>
      <c r="O185" s="127" t="n"/>
      <c r="P185" s="127" t="n"/>
      <c r="Q185" s="127" t="n"/>
      <c r="R185" s="127" t="n"/>
      <c r="S185" s="127" t="n"/>
      <c r="T185" s="127" t="n"/>
      <c r="U185" s="127" t="n"/>
      <c r="V185" s="127" t="n">
        <v>5564000</v>
      </c>
    </row>
    <row r="186">
      <c r="C186" s="94" t="inlineStr">
        <is>
          <t>3월17일</t>
        </is>
      </c>
      <c r="D186" s="127" t="n">
        <v>4951000</v>
      </c>
      <c r="E186" s="127" t="n"/>
      <c r="F186" s="127" t="n"/>
      <c r="G186" s="127" t="n"/>
      <c r="H186" s="127" t="n"/>
      <c r="I186" s="127" t="n"/>
      <c r="J186" s="127" t="n"/>
      <c r="K186" s="127" t="n">
        <v>200000</v>
      </c>
      <c r="L186" s="127" t="n">
        <v>155000</v>
      </c>
      <c r="M186" s="127" t="n">
        <v>324000</v>
      </c>
      <c r="N186" s="127" t="n"/>
      <c r="O186" s="127" t="n"/>
      <c r="P186" s="127" t="n"/>
      <c r="Q186" s="127" t="n"/>
      <c r="R186" s="127" t="n"/>
      <c r="S186" s="127" t="n"/>
      <c r="T186" s="127" t="n"/>
      <c r="U186" s="127" t="n"/>
      <c r="V186" s="127" t="n">
        <v>5630000</v>
      </c>
    </row>
    <row r="187">
      <c r="C187" s="94" t="inlineStr">
        <is>
          <t>3월18일</t>
        </is>
      </c>
      <c r="D187" s="127" t="n">
        <v>5229000</v>
      </c>
      <c r="E187" s="127" t="n"/>
      <c r="F187" s="127" t="n"/>
      <c r="G187" s="127" t="n"/>
      <c r="H187" s="127" t="n"/>
      <c r="I187" s="127" t="n"/>
      <c r="J187" s="127" t="n"/>
      <c r="K187" s="127" t="n">
        <v>265000</v>
      </c>
      <c r="L187" s="127" t="n">
        <v>1530000</v>
      </c>
      <c r="M187" s="127" t="n">
        <v>232000</v>
      </c>
      <c r="N187" s="127" t="n"/>
      <c r="O187" s="127" t="n"/>
      <c r="P187" s="127" t="n"/>
      <c r="Q187" s="127" t="n"/>
      <c r="R187" s="127" t="n"/>
      <c r="S187" s="127" t="n"/>
      <c r="T187" s="127" t="n"/>
      <c r="U187" s="127" t="n"/>
      <c r="V187" s="127" t="n">
        <v>7256000</v>
      </c>
    </row>
    <row r="188">
      <c r="C188" s="94" t="inlineStr">
        <is>
          <t>3월19일</t>
        </is>
      </c>
      <c r="D188" s="127" t="n">
        <v>6271000</v>
      </c>
      <c r="E188" s="127" t="n"/>
      <c r="F188" s="127" t="n"/>
      <c r="G188" s="127" t="n"/>
      <c r="H188" s="127" t="n"/>
      <c r="I188" s="127" t="n"/>
      <c r="J188" s="127" t="n"/>
      <c r="K188" s="127" t="n">
        <v>354000</v>
      </c>
      <c r="L188" s="127" t="n">
        <v>1860000</v>
      </c>
      <c r="M188" s="127" t="n">
        <v>156000</v>
      </c>
      <c r="N188" s="127" t="n"/>
      <c r="O188" s="127" t="n"/>
      <c r="P188" s="127" t="n"/>
      <c r="Q188" s="127" t="n"/>
      <c r="R188" s="127" t="n"/>
      <c r="S188" s="127" t="n"/>
      <c r="T188" s="127" t="n"/>
      <c r="U188" s="127" t="n"/>
      <c r="V188" s="127" t="n">
        <v>8641000</v>
      </c>
    </row>
    <row r="189">
      <c r="C189" s="94" t="inlineStr">
        <is>
          <t>3월20일</t>
        </is>
      </c>
      <c r="D189" s="127" t="n">
        <v>5045000</v>
      </c>
      <c r="E189" s="127" t="n"/>
      <c r="F189" s="127" t="n"/>
      <c r="G189" s="127" t="n"/>
      <c r="H189" s="127" t="n"/>
      <c r="I189" s="127" t="n"/>
      <c r="J189" s="127" t="n"/>
      <c r="K189" s="127" t="n">
        <v>245000</v>
      </c>
      <c r="L189" s="127" t="n">
        <v>1430000</v>
      </c>
      <c r="M189" s="127" t="n">
        <v>212000</v>
      </c>
      <c r="N189" s="127" t="n"/>
      <c r="O189" s="127" t="n"/>
      <c r="P189" s="127" t="n"/>
      <c r="Q189" s="127" t="n"/>
      <c r="R189" s="127" t="n"/>
      <c r="S189" s="127" t="n"/>
      <c r="T189" s="127" t="n"/>
      <c r="U189" s="127" t="n">
        <v>105000</v>
      </c>
      <c r="V189" s="127" t="n">
        <v>7037000</v>
      </c>
    </row>
    <row r="190">
      <c r="C190" s="94" t="inlineStr">
        <is>
          <t>3월21일</t>
        </is>
      </c>
      <c r="D190" s="127" t="n">
        <v>3977000</v>
      </c>
      <c r="E190" s="127" t="n"/>
      <c r="F190" s="127" t="n"/>
      <c r="G190" s="127" t="n"/>
      <c r="H190" s="127" t="n"/>
      <c r="I190" s="127" t="n"/>
      <c r="J190" s="127" t="n"/>
      <c r="K190" s="127" t="n">
        <v>260000</v>
      </c>
      <c r="L190" s="127" t="n">
        <v>1135000</v>
      </c>
      <c r="M190" s="127" t="n">
        <v>244000</v>
      </c>
      <c r="N190" s="127" t="n"/>
      <c r="O190" s="127" t="n"/>
      <c r="P190" s="127" t="n"/>
      <c r="Q190" s="127" t="n"/>
      <c r="R190" s="127" t="n"/>
      <c r="S190" s="127" t="n"/>
      <c r="T190" s="127" t="n"/>
      <c r="U190" s="127" t="n">
        <v>70000</v>
      </c>
      <c r="V190" s="127" t="n">
        <v>5686000</v>
      </c>
    </row>
    <row r="191">
      <c r="C191" s="94" t="inlineStr">
        <is>
          <t>3월22일</t>
        </is>
      </c>
      <c r="D191" s="127" t="n">
        <v>4202000</v>
      </c>
      <c r="E191" s="127" t="n"/>
      <c r="F191" s="127" t="n"/>
      <c r="G191" s="127" t="n"/>
      <c r="H191" s="127" t="n"/>
      <c r="I191" s="127" t="n"/>
      <c r="J191" s="127" t="n"/>
      <c r="K191" s="127" t="n">
        <v>230000</v>
      </c>
      <c r="L191" s="127" t="n">
        <v>880000</v>
      </c>
      <c r="M191" s="127" t="n">
        <v>148000</v>
      </c>
      <c r="N191" s="127" t="n"/>
      <c r="O191" s="127" t="n"/>
      <c r="P191" s="127" t="n"/>
      <c r="Q191" s="127" t="n"/>
      <c r="R191" s="127" t="n"/>
      <c r="S191" s="127" t="n"/>
      <c r="T191" s="127" t="n"/>
      <c r="U191" s="127" t="n">
        <v>35000</v>
      </c>
      <c r="V191" s="127" t="n">
        <v>5495000</v>
      </c>
    </row>
    <row r="192">
      <c r="C192" s="94" t="inlineStr">
        <is>
          <t>3월23일</t>
        </is>
      </c>
      <c r="D192" s="127" t="n">
        <v>7992000</v>
      </c>
      <c r="E192" s="127" t="n"/>
      <c r="F192" s="127" t="n"/>
      <c r="G192" s="127" t="n"/>
      <c r="H192" s="127" t="n"/>
      <c r="I192" s="127" t="n"/>
      <c r="J192" s="127" t="n"/>
      <c r="K192" s="127" t="n">
        <v>334000</v>
      </c>
      <c r="L192" s="127" t="n">
        <v>1165000</v>
      </c>
      <c r="M192" s="127" t="n">
        <v>3216000</v>
      </c>
      <c r="N192" s="127" t="n"/>
      <c r="O192" s="127" t="n"/>
      <c r="P192" s="127" t="n"/>
      <c r="Q192" s="127" t="n"/>
      <c r="R192" s="127" t="n"/>
      <c r="S192" s="127" t="n"/>
      <c r="T192" s="127" t="n"/>
      <c r="U192" s="127" t="n">
        <v>70000</v>
      </c>
      <c r="V192" s="127" t="n">
        <v>12777000</v>
      </c>
    </row>
    <row r="193">
      <c r="C193" s="94" t="inlineStr">
        <is>
          <t>3월24일</t>
        </is>
      </c>
      <c r="D193" s="127" t="n">
        <v>12486000</v>
      </c>
      <c r="E193" s="127" t="n"/>
      <c r="F193" s="127" t="n"/>
      <c r="G193" s="127" t="n"/>
      <c r="H193" s="127" t="n"/>
      <c r="I193" s="127" t="n"/>
      <c r="J193" s="127" t="n"/>
      <c r="K193" s="127" t="n">
        <v>234000</v>
      </c>
      <c r="L193" s="127" t="n">
        <v>400000</v>
      </c>
      <c r="M193" s="127" t="n">
        <v>196000</v>
      </c>
      <c r="N193" s="127" t="n"/>
      <c r="O193" s="127" t="n"/>
      <c r="P193" s="127" t="n"/>
      <c r="Q193" s="127" t="n"/>
      <c r="R193" s="127" t="n"/>
      <c r="S193" s="127" t="n"/>
      <c r="T193" s="127" t="n"/>
      <c r="U193" s="127" t="n"/>
      <c r="V193" s="127" t="n">
        <v>13316000</v>
      </c>
    </row>
    <row r="194">
      <c r="C194" s="94" t="inlineStr">
        <is>
          <t>3월25일</t>
        </is>
      </c>
      <c r="D194" s="127" t="n">
        <v>11550000</v>
      </c>
      <c r="E194" s="127" t="n"/>
      <c r="F194" s="127" t="n"/>
      <c r="G194" s="127" t="n"/>
      <c r="H194" s="127" t="n"/>
      <c r="I194" s="127" t="n"/>
      <c r="J194" s="127" t="n"/>
      <c r="K194" s="127" t="n">
        <v>369000</v>
      </c>
      <c r="L194" s="127" t="n">
        <v>585000</v>
      </c>
      <c r="M194" s="127" t="n">
        <v>368000</v>
      </c>
      <c r="N194" s="127" t="n"/>
      <c r="O194" s="127" t="n"/>
      <c r="P194" s="127" t="n"/>
      <c r="Q194" s="127" t="n"/>
      <c r="R194" s="127" t="n"/>
      <c r="S194" s="127" t="n"/>
      <c r="T194" s="127" t="n"/>
      <c r="U194" s="127" t="n"/>
      <c r="V194" s="127" t="n">
        <v>12872000</v>
      </c>
    </row>
    <row r="195">
      <c r="C195" s="94" t="inlineStr">
        <is>
          <t>3월26일</t>
        </is>
      </c>
      <c r="D195" s="127" t="n">
        <v>9215000</v>
      </c>
      <c r="E195" s="127" t="n"/>
      <c r="F195" s="127" t="n"/>
      <c r="G195" s="127" t="n"/>
      <c r="H195" s="127" t="n"/>
      <c r="I195" s="127" t="n"/>
      <c r="J195" s="127" t="n"/>
      <c r="K195" s="127" t="n">
        <v>349000</v>
      </c>
      <c r="L195" s="127" t="n">
        <v>665000</v>
      </c>
      <c r="M195" s="127" t="n">
        <v>288000</v>
      </c>
      <c r="N195" s="127" t="n"/>
      <c r="O195" s="127" t="n"/>
      <c r="P195" s="127" t="n"/>
      <c r="Q195" s="127" t="n"/>
      <c r="R195" s="127" t="n"/>
      <c r="S195" s="127" t="n"/>
      <c r="T195" s="127" t="n"/>
      <c r="U195" s="127" t="n"/>
      <c r="V195" s="127" t="n">
        <v>10517000</v>
      </c>
    </row>
    <row r="196">
      <c r="C196" s="94" t="inlineStr">
        <is>
          <t>3월27일</t>
        </is>
      </c>
      <c r="D196" s="127" t="n">
        <v>5286000</v>
      </c>
      <c r="E196" s="127" t="n"/>
      <c r="F196" s="127" t="n"/>
      <c r="G196" s="127" t="n"/>
      <c r="H196" s="127" t="n"/>
      <c r="I196" s="127" t="n"/>
      <c r="J196" s="127" t="n"/>
      <c r="K196" s="127" t="n">
        <v>182000</v>
      </c>
      <c r="L196" s="127" t="n">
        <v>345000</v>
      </c>
      <c r="M196" s="127" t="n">
        <v>188000</v>
      </c>
      <c r="N196" s="127" t="n"/>
      <c r="O196" s="127" t="n"/>
      <c r="P196" s="127" t="n"/>
      <c r="Q196" s="127" t="n"/>
      <c r="R196" s="127" t="n"/>
      <c r="S196" s="127" t="n"/>
      <c r="T196" s="127" t="n"/>
      <c r="U196" s="127" t="n"/>
      <c r="V196" s="127" t="n">
        <v>6001000</v>
      </c>
    </row>
    <row r="197">
      <c r="C197" s="94" t="inlineStr">
        <is>
          <t>3월28일</t>
        </is>
      </c>
      <c r="D197" s="127" t="n">
        <v>4253000</v>
      </c>
      <c r="E197" s="127" t="n"/>
      <c r="F197" s="127" t="n"/>
      <c r="G197" s="127" t="n"/>
      <c r="H197" s="127" t="n"/>
      <c r="I197" s="127" t="n"/>
      <c r="J197" s="127" t="n"/>
      <c r="K197" s="127" t="n">
        <v>193000</v>
      </c>
      <c r="L197" s="127" t="n">
        <v>220000</v>
      </c>
      <c r="M197" s="127" t="n">
        <v>252000</v>
      </c>
      <c r="N197" s="127" t="n"/>
      <c r="O197" s="127" t="n"/>
      <c r="P197" s="127" t="n"/>
      <c r="Q197" s="127" t="n"/>
      <c r="R197" s="127" t="n"/>
      <c r="S197" s="127" t="n"/>
      <c r="T197" s="127" t="n"/>
      <c r="U197" s="127" t="n"/>
      <c r="V197" s="127" t="n">
        <v>4918000</v>
      </c>
    </row>
    <row r="198">
      <c r="C198" s="94" t="inlineStr">
        <is>
          <t>3월29일</t>
        </is>
      </c>
      <c r="D198" s="127" t="n">
        <v>6670000</v>
      </c>
      <c r="E198" s="127" t="n"/>
      <c r="F198" s="127" t="n"/>
      <c r="G198" s="127" t="n"/>
      <c r="H198" s="127" t="n"/>
      <c r="I198" s="127" t="n"/>
      <c r="J198" s="127" t="n"/>
      <c r="K198" s="127" t="n">
        <v>234000</v>
      </c>
      <c r="L198" s="127" t="n">
        <v>450000</v>
      </c>
      <c r="M198" s="127" t="n">
        <v>276000</v>
      </c>
      <c r="N198" s="127" t="n"/>
      <c r="O198" s="127" t="n"/>
      <c r="P198" s="127" t="n"/>
      <c r="Q198" s="127" t="n"/>
      <c r="R198" s="127" t="n"/>
      <c r="S198" s="127" t="n"/>
      <c r="T198" s="127" t="n"/>
      <c r="U198" s="127" t="n">
        <v>35000</v>
      </c>
      <c r="V198" s="127" t="n">
        <v>7665000</v>
      </c>
    </row>
    <row r="199">
      <c r="C199" s="94" t="inlineStr">
        <is>
          <t>3월30일</t>
        </is>
      </c>
      <c r="D199" s="127" t="n">
        <v>7773000</v>
      </c>
      <c r="E199" s="127" t="n"/>
      <c r="F199" s="127" t="n"/>
      <c r="G199" s="127" t="n"/>
      <c r="H199" s="127" t="n"/>
      <c r="I199" s="127" t="n"/>
      <c r="J199" s="127" t="n"/>
      <c r="K199" s="127" t="n">
        <v>286000</v>
      </c>
      <c r="L199" s="127" t="n">
        <v>445000</v>
      </c>
      <c r="M199" s="127" t="n">
        <v>268000</v>
      </c>
      <c r="N199" s="127" t="n"/>
      <c r="O199" s="127" t="n"/>
      <c r="P199" s="127" t="n"/>
      <c r="Q199" s="127" t="n"/>
      <c r="R199" s="127" t="n"/>
      <c r="S199" s="127" t="n"/>
      <c r="T199" s="127" t="n"/>
      <c r="U199" s="127" t="n"/>
      <c r="V199" s="127" t="n">
        <v>8772000</v>
      </c>
    </row>
    <row r="200">
      <c r="C200" s="94" t="inlineStr">
        <is>
          <t>3월31일</t>
        </is>
      </c>
      <c r="D200" s="127" t="n">
        <v>7619000</v>
      </c>
      <c r="E200" s="127" t="n"/>
      <c r="F200" s="127" t="n"/>
      <c r="G200" s="127" t="n"/>
      <c r="H200" s="127" t="n"/>
      <c r="I200" s="127" t="n"/>
      <c r="J200" s="127" t="n"/>
      <c r="K200" s="127" t="n">
        <v>417000</v>
      </c>
      <c r="L200" s="127" t="n">
        <v>465000</v>
      </c>
      <c r="M200" s="127" t="n">
        <v>480000</v>
      </c>
      <c r="N200" s="127" t="n"/>
      <c r="O200" s="127" t="n"/>
      <c r="P200" s="127" t="n"/>
      <c r="Q200" s="127" t="n"/>
      <c r="R200" s="127" t="n"/>
      <c r="S200" s="127" t="n"/>
      <c r="T200" s="127" t="n"/>
      <c r="U200" s="127" t="n">
        <v>70000</v>
      </c>
      <c r="V200" s="127" t="n">
        <v>9051000</v>
      </c>
    </row>
    <row r="201">
      <c r="B201" s="94" t="inlineStr">
        <is>
          <t>3월 요약</t>
        </is>
      </c>
      <c r="C201" s="94" t="n"/>
      <c r="D201" s="127" t="n">
        <v>232407000</v>
      </c>
      <c r="E201" s="127" t="n"/>
      <c r="F201" s="127" t="n"/>
      <c r="G201" s="127" t="n"/>
      <c r="H201" s="127" t="n"/>
      <c r="I201" s="127" t="n"/>
      <c r="J201" s="127" t="n"/>
      <c r="K201" s="127" t="n">
        <v>8664000</v>
      </c>
      <c r="L201" s="127" t="n">
        <v>16190000</v>
      </c>
      <c r="M201" s="127" t="n">
        <v>7828000</v>
      </c>
      <c r="N201" s="127" t="n"/>
      <c r="O201" s="127" t="n"/>
      <c r="P201" s="127" t="n"/>
      <c r="Q201" s="127" t="n"/>
      <c r="R201" s="127" t="n"/>
      <c r="S201" s="127" t="n"/>
      <c r="T201" s="127" t="n"/>
      <c r="U201" s="127" t="n">
        <v>385000</v>
      </c>
      <c r="V201" s="127" t="n">
        <v>265474000</v>
      </c>
    </row>
    <row r="202">
      <c r="B202" s="94" t="inlineStr">
        <is>
          <t>4월</t>
        </is>
      </c>
      <c r="C202" s="94" t="inlineStr">
        <is>
          <t>4월1일</t>
        </is>
      </c>
      <c r="D202" s="127" t="n">
        <v>10692000</v>
      </c>
      <c r="E202" s="127" t="n"/>
      <c r="F202" s="127" t="n"/>
      <c r="G202" s="127" t="n"/>
      <c r="H202" s="127" t="n"/>
      <c r="I202" s="127" t="n"/>
      <c r="J202" s="127" t="n">
        <v>266000</v>
      </c>
      <c r="K202" s="127" t="n">
        <v>391000</v>
      </c>
      <c r="L202" s="127" t="n">
        <v>585000</v>
      </c>
      <c r="M202" s="127" t="n">
        <v>352000</v>
      </c>
      <c r="N202" s="127" t="n"/>
      <c r="O202" s="127" t="n"/>
      <c r="P202" s="127" t="n"/>
      <c r="Q202" s="127" t="n"/>
      <c r="R202" s="127" t="n"/>
      <c r="S202" s="127" t="n"/>
      <c r="T202" s="127" t="n"/>
      <c r="U202" s="127" t="n">
        <v>105000</v>
      </c>
      <c r="V202" s="127" t="n">
        <v>12391000</v>
      </c>
    </row>
    <row r="203">
      <c r="C203" s="94" t="inlineStr">
        <is>
          <t>4월2일</t>
        </is>
      </c>
      <c r="D203" s="127" t="n">
        <v>12728000</v>
      </c>
      <c r="E203" s="127" t="n"/>
      <c r="F203" s="127" t="n"/>
      <c r="G203" s="127" t="n">
        <v>140000</v>
      </c>
      <c r="H203" s="127" t="n"/>
      <c r="I203" s="127" t="n"/>
      <c r="J203" s="127" t="n">
        <v>494000</v>
      </c>
      <c r="K203" s="127" t="n">
        <v>477000</v>
      </c>
      <c r="L203" s="127" t="n">
        <v>540000</v>
      </c>
      <c r="M203" s="127" t="n">
        <v>156000</v>
      </c>
      <c r="N203" s="127" t="n"/>
      <c r="O203" s="127" t="n"/>
      <c r="P203" s="127" t="n"/>
      <c r="Q203" s="127" t="n"/>
      <c r="R203" s="127" t="n"/>
      <c r="S203" s="127" t="n"/>
      <c r="T203" s="127" t="n"/>
      <c r="U203" s="127" t="n">
        <v>140000</v>
      </c>
      <c r="V203" s="127" t="n">
        <v>14675000</v>
      </c>
    </row>
    <row r="204">
      <c r="C204" s="94" t="inlineStr">
        <is>
          <t>4월3일</t>
        </is>
      </c>
      <c r="D204" s="127" t="n">
        <v>6637000</v>
      </c>
      <c r="E204" s="127" t="n"/>
      <c r="F204" s="127" t="n"/>
      <c r="G204" s="127" t="n">
        <v>252000</v>
      </c>
      <c r="H204" s="127" t="n"/>
      <c r="I204" s="127" t="n"/>
      <c r="J204" s="127" t="n">
        <v>456000</v>
      </c>
      <c r="K204" s="127" t="n">
        <v>161000</v>
      </c>
      <c r="L204" s="127" t="n">
        <v>425000</v>
      </c>
      <c r="M204" s="127" t="n">
        <v>160000</v>
      </c>
      <c r="N204" s="127" t="n"/>
      <c r="O204" s="127" t="n"/>
      <c r="P204" s="127" t="n"/>
      <c r="Q204" s="127" t="n"/>
      <c r="R204" s="127" t="n"/>
      <c r="S204" s="127" t="n"/>
      <c r="T204" s="127" t="n"/>
      <c r="U204" s="127" t="n">
        <v>70000</v>
      </c>
      <c r="V204" s="127" t="n">
        <v>8161000</v>
      </c>
    </row>
    <row r="205">
      <c r="C205" s="94" t="inlineStr">
        <is>
          <t>4월4일</t>
        </is>
      </c>
      <c r="D205" s="127" t="n">
        <v>6917000</v>
      </c>
      <c r="E205" s="127" t="n"/>
      <c r="F205" s="127" t="n"/>
      <c r="G205" s="127" t="n">
        <v>280000</v>
      </c>
      <c r="H205" s="127" t="n"/>
      <c r="I205" s="127" t="n"/>
      <c r="J205" s="127" t="n">
        <v>380000</v>
      </c>
      <c r="K205" s="127" t="n"/>
      <c r="L205" s="127" t="n">
        <v>200000</v>
      </c>
      <c r="M205" s="127" t="n">
        <v>184000</v>
      </c>
      <c r="N205" s="127" t="n"/>
      <c r="O205" s="127" t="n"/>
      <c r="P205" s="127" t="n"/>
      <c r="Q205" s="127" t="n"/>
      <c r="R205" s="127" t="n"/>
      <c r="S205" s="127" t="n"/>
      <c r="T205" s="127" t="n"/>
      <c r="U205" s="127" t="n"/>
      <c r="V205" s="127" t="n">
        <v>7961000</v>
      </c>
    </row>
    <row r="206">
      <c r="C206" s="94" t="inlineStr">
        <is>
          <t>4월5일</t>
        </is>
      </c>
      <c r="D206" s="127" t="n">
        <v>7632000</v>
      </c>
      <c r="E206" s="127" t="n"/>
      <c r="F206" s="127" t="n"/>
      <c r="G206" s="127" t="n">
        <v>532000</v>
      </c>
      <c r="H206" s="127" t="n"/>
      <c r="I206" s="127" t="n"/>
      <c r="J206" s="127" t="n">
        <v>342000</v>
      </c>
      <c r="K206" s="127" t="n"/>
      <c r="L206" s="127" t="n">
        <v>585000</v>
      </c>
      <c r="M206" s="127" t="n">
        <v>116000</v>
      </c>
      <c r="N206" s="127" t="n"/>
      <c r="O206" s="127" t="n"/>
      <c r="P206" s="127" t="n"/>
      <c r="Q206" s="127" t="n"/>
      <c r="R206" s="127" t="n"/>
      <c r="S206" s="127" t="n"/>
      <c r="T206" s="127" t="n"/>
      <c r="U206" s="127" t="n"/>
      <c r="V206" s="127" t="n">
        <v>9207000</v>
      </c>
    </row>
    <row r="207">
      <c r="C207" s="94" t="inlineStr">
        <is>
          <t>4월6일</t>
        </is>
      </c>
      <c r="D207" s="127" t="n">
        <v>8252000</v>
      </c>
      <c r="E207" s="127" t="n"/>
      <c r="F207" s="127" t="n"/>
      <c r="G207" s="127" t="n">
        <v>476000</v>
      </c>
      <c r="H207" s="127" t="n"/>
      <c r="I207" s="127" t="n"/>
      <c r="J207" s="127" t="n">
        <v>722000</v>
      </c>
      <c r="K207" s="127" t="n"/>
      <c r="L207" s="127" t="n">
        <v>705000</v>
      </c>
      <c r="M207" s="127" t="n">
        <v>116000</v>
      </c>
      <c r="N207" s="127" t="n"/>
      <c r="O207" s="127" t="n"/>
      <c r="P207" s="127" t="n"/>
      <c r="Q207" s="127" t="n"/>
      <c r="R207" s="127" t="n"/>
      <c r="S207" s="127" t="n"/>
      <c r="T207" s="127" t="n"/>
      <c r="U207" s="127" t="n">
        <v>105000</v>
      </c>
      <c r="V207" s="127" t="n">
        <v>10376000</v>
      </c>
    </row>
    <row r="208">
      <c r="C208" s="94" t="inlineStr">
        <is>
          <t>4월7일</t>
        </is>
      </c>
      <c r="D208" s="127" t="n">
        <v>7246000</v>
      </c>
      <c r="E208" s="127" t="n"/>
      <c r="F208" s="127" t="n"/>
      <c r="G208" s="127" t="n">
        <v>308000</v>
      </c>
      <c r="H208" s="127" t="n"/>
      <c r="I208" s="127" t="n"/>
      <c r="J208" s="127" t="n">
        <v>532000</v>
      </c>
      <c r="K208" s="127" t="n"/>
      <c r="L208" s="127" t="n">
        <v>655000</v>
      </c>
      <c r="M208" s="127" t="n">
        <v>92000</v>
      </c>
      <c r="N208" s="127" t="n"/>
      <c r="O208" s="127" t="n"/>
      <c r="P208" s="127" t="n"/>
      <c r="Q208" s="127" t="n"/>
      <c r="R208" s="127" t="n"/>
      <c r="S208" s="127" t="n"/>
      <c r="T208" s="127" t="n"/>
      <c r="U208" s="127" t="n">
        <v>70000</v>
      </c>
      <c r="V208" s="127" t="n">
        <v>8903000</v>
      </c>
    </row>
    <row r="209">
      <c r="C209" s="94" t="inlineStr">
        <is>
          <t>4월8일</t>
        </is>
      </c>
      <c r="D209" s="127" t="n">
        <v>6256000</v>
      </c>
      <c r="E209" s="127" t="n"/>
      <c r="F209" s="127" t="n"/>
      <c r="G209" s="127" t="n">
        <v>336000</v>
      </c>
      <c r="H209" s="127" t="n"/>
      <c r="I209" s="127" t="n"/>
      <c r="J209" s="127" t="n">
        <v>418000</v>
      </c>
      <c r="K209" s="127" t="n"/>
      <c r="L209" s="127" t="n">
        <v>350000</v>
      </c>
      <c r="M209" s="127" t="n">
        <v>72000</v>
      </c>
      <c r="N209" s="127" t="n"/>
      <c r="O209" s="127" t="n"/>
      <c r="P209" s="127" t="n"/>
      <c r="Q209" s="127" t="n"/>
      <c r="R209" s="127" t="n"/>
      <c r="S209" s="127" t="n"/>
      <c r="T209" s="127" t="n"/>
      <c r="U209" s="127" t="n"/>
      <c r="V209" s="127" t="n">
        <v>7432000</v>
      </c>
    </row>
    <row r="210">
      <c r="C210" s="94" t="inlineStr">
        <is>
          <t>4월9일</t>
        </is>
      </c>
      <c r="D210" s="127" t="n">
        <v>5865000</v>
      </c>
      <c r="E210" s="127" t="n"/>
      <c r="F210" s="127" t="n"/>
      <c r="G210" s="127" t="n">
        <v>308000</v>
      </c>
      <c r="H210" s="127" t="n"/>
      <c r="I210" s="127" t="n"/>
      <c r="J210" s="127" t="n">
        <v>266000</v>
      </c>
      <c r="K210" s="127" t="n"/>
      <c r="L210" s="127" t="n">
        <v>510000</v>
      </c>
      <c r="M210" s="127" t="n">
        <v>140000</v>
      </c>
      <c r="N210" s="127" t="n"/>
      <c r="O210" s="127" t="n"/>
      <c r="P210" s="127" t="n"/>
      <c r="Q210" s="127" t="n"/>
      <c r="R210" s="127" t="n"/>
      <c r="S210" s="127" t="n"/>
      <c r="T210" s="127" t="n"/>
      <c r="U210" s="127" t="n"/>
      <c r="V210" s="127" t="n">
        <v>7089000</v>
      </c>
    </row>
    <row r="211">
      <c r="C211" s="94" t="inlineStr">
        <is>
          <t>4월10일</t>
        </is>
      </c>
      <c r="D211" s="127" t="n">
        <v>5980000</v>
      </c>
      <c r="E211" s="127" t="n"/>
      <c r="F211" s="127" t="n"/>
      <c r="G211" s="127" t="n">
        <v>308000</v>
      </c>
      <c r="H211" s="127" t="n"/>
      <c r="I211" s="127" t="n"/>
      <c r="J211" s="127" t="n">
        <v>304000</v>
      </c>
      <c r="K211" s="127" t="n"/>
      <c r="L211" s="127" t="n">
        <v>360000</v>
      </c>
      <c r="M211" s="127" t="n">
        <v>68000</v>
      </c>
      <c r="N211" s="127" t="n"/>
      <c r="O211" s="127" t="n"/>
      <c r="P211" s="127" t="n"/>
      <c r="Q211" s="127" t="n"/>
      <c r="R211" s="127" t="n"/>
      <c r="S211" s="127" t="n"/>
      <c r="T211" s="127" t="n"/>
      <c r="U211" s="127" t="n"/>
      <c r="V211" s="127" t="n">
        <v>7020000</v>
      </c>
    </row>
    <row r="212">
      <c r="C212" s="94" t="inlineStr">
        <is>
          <t>4월11일</t>
        </is>
      </c>
      <c r="D212" s="127" t="n">
        <v>4693000</v>
      </c>
      <c r="E212" s="127" t="n"/>
      <c r="F212" s="127" t="n"/>
      <c r="G212" s="127" t="n">
        <v>280000</v>
      </c>
      <c r="H212" s="127" t="n"/>
      <c r="I212" s="127" t="n"/>
      <c r="J212" s="127" t="n">
        <v>114000</v>
      </c>
      <c r="K212" s="127" t="n"/>
      <c r="L212" s="127" t="n">
        <v>325000</v>
      </c>
      <c r="M212" s="127" t="n">
        <v>140000</v>
      </c>
      <c r="N212" s="127" t="n"/>
      <c r="O212" s="127" t="n"/>
      <c r="P212" s="127" t="n"/>
      <c r="Q212" s="127" t="n"/>
      <c r="R212" s="127" t="n"/>
      <c r="S212" s="127" t="n"/>
      <c r="T212" s="127" t="n"/>
      <c r="U212" s="127" t="n"/>
      <c r="V212" s="127" t="n">
        <v>5552000</v>
      </c>
    </row>
    <row r="213">
      <c r="C213" s="94" t="inlineStr">
        <is>
          <t>4월12일</t>
        </is>
      </c>
      <c r="D213" s="127" t="n">
        <v>6240000</v>
      </c>
      <c r="E213" s="127" t="n"/>
      <c r="F213" s="127" t="n"/>
      <c r="G213" s="127" t="n">
        <v>532000</v>
      </c>
      <c r="H213" s="127" t="n"/>
      <c r="I213" s="127" t="n"/>
      <c r="J213" s="127" t="n">
        <v>228000</v>
      </c>
      <c r="K213" s="127" t="n"/>
      <c r="L213" s="127" t="n">
        <v>645000</v>
      </c>
      <c r="M213" s="127" t="n">
        <v>52000</v>
      </c>
      <c r="N213" s="127" t="n"/>
      <c r="O213" s="127" t="n"/>
      <c r="P213" s="127" t="n"/>
      <c r="Q213" s="127" t="n"/>
      <c r="R213" s="127" t="n"/>
      <c r="S213" s="127" t="n"/>
      <c r="T213" s="127" t="n"/>
      <c r="U213" s="127" t="n">
        <v>35000</v>
      </c>
      <c r="V213" s="127" t="n">
        <v>7732000</v>
      </c>
    </row>
    <row r="214">
      <c r="C214" s="94" t="inlineStr">
        <is>
          <t>4월13일</t>
        </is>
      </c>
      <c r="D214" s="127" t="n">
        <v>16789000</v>
      </c>
      <c r="E214" s="127" t="n"/>
      <c r="F214" s="127" t="n"/>
      <c r="G214" s="127" t="n">
        <v>1094000</v>
      </c>
      <c r="H214" s="127" t="n"/>
      <c r="I214" s="127" t="n"/>
      <c r="J214" s="127" t="n">
        <v>1801200</v>
      </c>
      <c r="K214" s="127" t="n"/>
      <c r="L214" s="127" t="n">
        <v>525000</v>
      </c>
      <c r="M214" s="127" t="n">
        <v>276000</v>
      </c>
      <c r="N214" s="127" t="n"/>
      <c r="O214" s="127" t="n"/>
      <c r="P214" s="127" t="n"/>
      <c r="Q214" s="127" t="n"/>
      <c r="R214" s="127" t="n"/>
      <c r="S214" s="127" t="n"/>
      <c r="T214" s="127" t="n"/>
      <c r="U214" s="127" t="n">
        <v>35000</v>
      </c>
      <c r="V214" s="127" t="n">
        <v>20520200</v>
      </c>
    </row>
    <row r="215">
      <c r="C215" s="94" t="inlineStr">
        <is>
          <t>4월14일</t>
        </is>
      </c>
      <c r="D215" s="127" t="n">
        <v>6491000</v>
      </c>
      <c r="E215" s="127" t="n"/>
      <c r="F215" s="127" t="n"/>
      <c r="G215" s="127" t="n">
        <v>1731000</v>
      </c>
      <c r="H215" s="127" t="n"/>
      <c r="I215" s="127" t="n"/>
      <c r="J215" s="127" t="n">
        <v>1649200</v>
      </c>
      <c r="K215" s="127" t="n"/>
      <c r="L215" s="127" t="n">
        <v>555000</v>
      </c>
      <c r="M215" s="127" t="n">
        <v>236000</v>
      </c>
      <c r="N215" s="127" t="n"/>
      <c r="O215" s="127" t="n"/>
      <c r="P215" s="127" t="n"/>
      <c r="Q215" s="127" t="n"/>
      <c r="R215" s="127" t="n"/>
      <c r="S215" s="127" t="n"/>
      <c r="T215" s="127" t="n"/>
      <c r="U215" s="127" t="n">
        <v>35000</v>
      </c>
      <c r="V215" s="127" t="n">
        <v>10697200</v>
      </c>
    </row>
    <row r="216">
      <c r="C216" s="94" t="inlineStr">
        <is>
          <t>4월15일</t>
        </is>
      </c>
      <c r="D216" s="127" t="n">
        <v>5287000</v>
      </c>
      <c r="E216" s="127" t="n"/>
      <c r="F216" s="127" t="n"/>
      <c r="G216" s="127" t="n">
        <v>606000</v>
      </c>
      <c r="H216" s="127" t="n"/>
      <c r="I216" s="127" t="n"/>
      <c r="J216" s="127" t="n">
        <v>444600</v>
      </c>
      <c r="K216" s="127" t="n">
        <v>13000</v>
      </c>
      <c r="L216" s="127" t="n">
        <v>405000</v>
      </c>
      <c r="M216" s="127" t="n">
        <v>148000</v>
      </c>
      <c r="N216" s="127" t="n"/>
      <c r="O216" s="127" t="n"/>
      <c r="P216" s="127" t="n"/>
      <c r="Q216" s="127" t="n"/>
      <c r="R216" s="127" t="n"/>
      <c r="S216" s="127" t="n"/>
      <c r="T216" s="127" t="n"/>
      <c r="U216" s="127" t="n">
        <v>35000</v>
      </c>
      <c r="V216" s="127" t="n">
        <v>6938600</v>
      </c>
    </row>
    <row r="217">
      <c r="C217" s="94" t="inlineStr">
        <is>
          <t>4월16일</t>
        </is>
      </c>
      <c r="D217" s="127" t="n">
        <v>4366000</v>
      </c>
      <c r="E217" s="127" t="n"/>
      <c r="F217" s="127" t="n"/>
      <c r="G217" s="127" t="n">
        <v>420000</v>
      </c>
      <c r="H217" s="127" t="n"/>
      <c r="I217" s="127" t="n"/>
      <c r="J217" s="127" t="n">
        <v>254600</v>
      </c>
      <c r="K217" s="127" t="n"/>
      <c r="L217" s="127" t="n">
        <v>345000</v>
      </c>
      <c r="M217" s="127" t="n">
        <v>136000</v>
      </c>
      <c r="N217" s="127" t="n"/>
      <c r="O217" s="127" t="n"/>
      <c r="P217" s="127" t="n"/>
      <c r="Q217" s="127" t="n"/>
      <c r="R217" s="127" t="n"/>
      <c r="S217" s="127" t="n"/>
      <c r="T217" s="127" t="n"/>
      <c r="U217" s="127" t="n">
        <v>35000</v>
      </c>
      <c r="V217" s="127" t="n">
        <v>5556600</v>
      </c>
    </row>
    <row r="218">
      <c r="C218" s="94" t="inlineStr">
        <is>
          <t>4월17일</t>
        </is>
      </c>
      <c r="D218" s="127" t="n">
        <v>4394000</v>
      </c>
      <c r="E218" s="127" t="n"/>
      <c r="F218" s="127" t="n"/>
      <c r="G218" s="127" t="n">
        <v>532000</v>
      </c>
      <c r="H218" s="127" t="n"/>
      <c r="I218" s="127" t="n"/>
      <c r="J218" s="127" t="n">
        <v>304000</v>
      </c>
      <c r="K218" s="127" t="n"/>
      <c r="L218" s="127" t="n">
        <v>290000</v>
      </c>
      <c r="M218" s="127" t="n">
        <v>208000</v>
      </c>
      <c r="N218" s="127" t="n"/>
      <c r="O218" s="127" t="n"/>
      <c r="P218" s="127" t="n"/>
      <c r="Q218" s="127" t="n"/>
      <c r="R218" s="127" t="n"/>
      <c r="S218" s="127" t="n"/>
      <c r="T218" s="127" t="n"/>
      <c r="U218" s="127" t="n">
        <v>105000</v>
      </c>
      <c r="V218" s="127" t="n">
        <v>5833000</v>
      </c>
    </row>
    <row r="219">
      <c r="C219" s="94" t="inlineStr">
        <is>
          <t>4월18일</t>
        </is>
      </c>
      <c r="D219" s="127" t="n">
        <v>3308000</v>
      </c>
      <c r="E219" s="127" t="n"/>
      <c r="F219" s="127" t="n"/>
      <c r="G219" s="127" t="n">
        <v>112000</v>
      </c>
      <c r="H219" s="127" t="n"/>
      <c r="I219" s="127" t="n"/>
      <c r="J219" s="127" t="n">
        <v>228000</v>
      </c>
      <c r="K219" s="127" t="n"/>
      <c r="L219" s="127" t="n">
        <v>240000</v>
      </c>
      <c r="M219" s="127" t="n">
        <v>20000</v>
      </c>
      <c r="N219" s="127" t="n"/>
      <c r="O219" s="127" t="n"/>
      <c r="P219" s="127" t="n"/>
      <c r="Q219" s="127" t="n"/>
      <c r="R219" s="127" t="n"/>
      <c r="S219" s="127" t="n"/>
      <c r="T219" s="127" t="n"/>
      <c r="U219" s="127" t="n">
        <v>35000</v>
      </c>
      <c r="V219" s="127" t="n">
        <v>3943000</v>
      </c>
    </row>
    <row r="220">
      <c r="C220" s="94" t="inlineStr">
        <is>
          <t>4월19일</t>
        </is>
      </c>
      <c r="D220" s="127" t="n">
        <v>12001000</v>
      </c>
      <c r="E220" s="127" t="n"/>
      <c r="F220" s="127" t="n"/>
      <c r="G220" s="127" t="n">
        <v>504000</v>
      </c>
      <c r="H220" s="127" t="n"/>
      <c r="I220" s="127" t="n"/>
      <c r="J220" s="127" t="n">
        <v>228000</v>
      </c>
      <c r="K220" s="127" t="n"/>
      <c r="L220" s="127" t="n">
        <v>320000</v>
      </c>
      <c r="M220" s="127" t="n">
        <v>120000</v>
      </c>
      <c r="N220" s="127" t="n"/>
      <c r="O220" s="127" t="n"/>
      <c r="P220" s="127" t="n"/>
      <c r="Q220" s="127" t="n"/>
      <c r="R220" s="127" t="n"/>
      <c r="S220" s="127" t="n"/>
      <c r="T220" s="127" t="n"/>
      <c r="U220" s="127" t="n">
        <v>70000</v>
      </c>
      <c r="V220" s="127" t="n">
        <v>13243000</v>
      </c>
    </row>
    <row r="221">
      <c r="C221" s="94" t="inlineStr">
        <is>
          <t>4월20일</t>
        </is>
      </c>
      <c r="D221" s="127" t="n">
        <v>5200000</v>
      </c>
      <c r="E221" s="127" t="n"/>
      <c r="F221" s="127" t="n"/>
      <c r="G221" s="127" t="n">
        <v>476000</v>
      </c>
      <c r="H221" s="127" t="n"/>
      <c r="I221" s="127" t="n"/>
      <c r="J221" s="127" t="n">
        <v>456000</v>
      </c>
      <c r="K221" s="127" t="n"/>
      <c r="L221" s="127" t="n">
        <v>230000</v>
      </c>
      <c r="M221" s="127" t="n">
        <v>128000</v>
      </c>
      <c r="N221" s="127" t="n"/>
      <c r="O221" s="127" t="n"/>
      <c r="P221" s="127" t="n"/>
      <c r="Q221" s="127" t="n"/>
      <c r="R221" s="127" t="n"/>
      <c r="S221" s="127" t="n"/>
      <c r="T221" s="127" t="n"/>
      <c r="U221" s="127" t="n">
        <v>35000</v>
      </c>
      <c r="V221" s="127" t="n">
        <v>6525000</v>
      </c>
    </row>
    <row r="222">
      <c r="C222" s="94" t="inlineStr">
        <is>
          <t>4월21일</t>
        </is>
      </c>
      <c r="D222" s="127" t="n">
        <v>4569000</v>
      </c>
      <c r="E222" s="127" t="n"/>
      <c r="F222" s="127" t="n"/>
      <c r="G222" s="127" t="n">
        <v>476000</v>
      </c>
      <c r="H222" s="127" t="n"/>
      <c r="I222" s="127" t="n"/>
      <c r="J222" s="127" t="n">
        <v>266000</v>
      </c>
      <c r="K222" s="127" t="n">
        <v>13000</v>
      </c>
      <c r="L222" s="127" t="n">
        <v>340000</v>
      </c>
      <c r="M222" s="127" t="n">
        <v>164000</v>
      </c>
      <c r="N222" s="127" t="n"/>
      <c r="O222" s="127" t="n"/>
      <c r="P222" s="127" t="n"/>
      <c r="Q222" s="127" t="n"/>
      <c r="R222" s="127" t="n"/>
      <c r="S222" s="127" t="n"/>
      <c r="T222" s="127" t="n"/>
      <c r="U222" s="127" t="n">
        <v>70000</v>
      </c>
      <c r="V222" s="127" t="n">
        <v>5898000</v>
      </c>
    </row>
    <row r="223">
      <c r="C223" s="94" t="inlineStr">
        <is>
          <t>4월22일</t>
        </is>
      </c>
      <c r="D223" s="127" t="n">
        <v>3598000</v>
      </c>
      <c r="E223" s="127" t="n"/>
      <c r="F223" s="127" t="n"/>
      <c r="G223" s="127" t="n">
        <v>448000</v>
      </c>
      <c r="H223" s="127" t="n"/>
      <c r="I223" s="127" t="n">
        <v>297000</v>
      </c>
      <c r="J223" s="127" t="n">
        <v>266000</v>
      </c>
      <c r="K223" s="127" t="n"/>
      <c r="L223" s="127" t="n">
        <v>155000</v>
      </c>
      <c r="M223" s="127" t="n">
        <v>36000</v>
      </c>
      <c r="N223" s="127" t="n"/>
      <c r="O223" s="127" t="n"/>
      <c r="P223" s="127" t="n"/>
      <c r="Q223" s="127" t="n"/>
      <c r="R223" s="127" t="n"/>
      <c r="S223" s="127" t="n"/>
      <c r="T223" s="127" t="n"/>
      <c r="U223" s="127" t="n">
        <v>105000</v>
      </c>
      <c r="V223" s="127" t="n">
        <v>4905000</v>
      </c>
    </row>
    <row r="224">
      <c r="C224" s="94" t="inlineStr">
        <is>
          <t>4월23일</t>
        </is>
      </c>
      <c r="D224" s="127" t="n">
        <v>3659000</v>
      </c>
      <c r="E224" s="127" t="n"/>
      <c r="F224" s="127" t="n"/>
      <c r="G224" s="127" t="n">
        <v>308000</v>
      </c>
      <c r="H224" s="127" t="n"/>
      <c r="I224" s="127" t="n">
        <v>891000</v>
      </c>
      <c r="J224" s="127" t="n">
        <v>152000</v>
      </c>
      <c r="K224" s="127" t="n"/>
      <c r="L224" s="127" t="n">
        <v>60000</v>
      </c>
      <c r="M224" s="127" t="n">
        <v>20000</v>
      </c>
      <c r="N224" s="127" t="n"/>
      <c r="O224" s="127" t="n"/>
      <c r="P224" s="127" t="n"/>
      <c r="Q224" s="127" t="n"/>
      <c r="R224" s="127" t="n"/>
      <c r="S224" s="127" t="n"/>
      <c r="T224" s="127" t="n"/>
      <c r="U224" s="127" t="n">
        <v>35000</v>
      </c>
      <c r="V224" s="127" t="n">
        <v>5125000</v>
      </c>
    </row>
    <row r="225">
      <c r="C225" s="94" t="inlineStr">
        <is>
          <t>4월24일</t>
        </is>
      </c>
      <c r="D225" s="127" t="n">
        <v>3679000</v>
      </c>
      <c r="E225" s="127" t="n"/>
      <c r="F225" s="127" t="n"/>
      <c r="G225" s="127" t="n">
        <v>140000</v>
      </c>
      <c r="H225" s="127" t="n"/>
      <c r="I225" s="127" t="n">
        <v>594000</v>
      </c>
      <c r="J225" s="127" t="n">
        <v>114000</v>
      </c>
      <c r="K225" s="127" t="n">
        <v>76000</v>
      </c>
      <c r="L225" s="127" t="n">
        <v>55000</v>
      </c>
      <c r="M225" s="127" t="n">
        <v>212000</v>
      </c>
      <c r="N225" s="127" t="n"/>
      <c r="O225" s="127" t="n"/>
      <c r="P225" s="127" t="n"/>
      <c r="Q225" s="127" t="n"/>
      <c r="R225" s="127" t="n"/>
      <c r="S225" s="127" t="n"/>
      <c r="T225" s="127" t="n"/>
      <c r="U225" s="127" t="n">
        <v>35000</v>
      </c>
      <c r="V225" s="127" t="n">
        <v>4905000</v>
      </c>
    </row>
    <row r="226">
      <c r="C226" s="94" t="inlineStr">
        <is>
          <t>4월25일</t>
        </is>
      </c>
      <c r="D226" s="127" t="n">
        <v>3271000</v>
      </c>
      <c r="E226" s="127" t="n"/>
      <c r="F226" s="127" t="n"/>
      <c r="G226" s="127" t="n">
        <v>336000</v>
      </c>
      <c r="H226" s="127" t="n"/>
      <c r="I226" s="127" t="n">
        <v>396000</v>
      </c>
      <c r="J226" s="127" t="n">
        <v>304000</v>
      </c>
      <c r="K226" s="127" t="n">
        <v>151000</v>
      </c>
      <c r="L226" s="127" t="n">
        <v>110000</v>
      </c>
      <c r="M226" s="127" t="n">
        <v>28000</v>
      </c>
      <c r="N226" s="127" t="n"/>
      <c r="O226" s="127" t="n"/>
      <c r="P226" s="127" t="n"/>
      <c r="Q226" s="127" t="n"/>
      <c r="R226" s="127" t="n"/>
      <c r="S226" s="127" t="n"/>
      <c r="T226" s="127" t="n"/>
      <c r="U226" s="127" t="n"/>
      <c r="V226" s="127" t="n">
        <v>4596000</v>
      </c>
    </row>
    <row r="227">
      <c r="C227" s="94" t="inlineStr">
        <is>
          <t>4월26일</t>
        </is>
      </c>
      <c r="D227" s="127" t="n">
        <v>14590000</v>
      </c>
      <c r="E227" s="127" t="n"/>
      <c r="F227" s="127" t="n"/>
      <c r="G227" s="127" t="n">
        <v>448000</v>
      </c>
      <c r="H227" s="127" t="n"/>
      <c r="I227" s="127" t="n">
        <v>297000</v>
      </c>
      <c r="J227" s="127" t="n">
        <v>228000</v>
      </c>
      <c r="K227" s="127" t="n">
        <v>220000</v>
      </c>
      <c r="L227" s="127" t="n">
        <v>40000</v>
      </c>
      <c r="M227" s="127" t="n">
        <v>40000</v>
      </c>
      <c r="N227" s="127" t="n"/>
      <c r="O227" s="127" t="n"/>
      <c r="P227" s="127" t="n"/>
      <c r="Q227" s="127" t="n"/>
      <c r="R227" s="127" t="n"/>
      <c r="S227" s="127" t="n"/>
      <c r="T227" s="127" t="n"/>
      <c r="U227" s="127" t="n"/>
      <c r="V227" s="127" t="n">
        <v>15863000</v>
      </c>
    </row>
    <row r="228">
      <c r="C228" s="94" t="inlineStr">
        <is>
          <t>4월27일</t>
        </is>
      </c>
      <c r="D228" s="127" t="n">
        <v>4690000</v>
      </c>
      <c r="E228" s="127" t="n"/>
      <c r="F228" s="127" t="n"/>
      <c r="G228" s="127" t="n">
        <v>476000</v>
      </c>
      <c r="H228" s="127" t="n"/>
      <c r="I228" s="127" t="n">
        <v>495000</v>
      </c>
      <c r="J228" s="127" t="n">
        <v>152000</v>
      </c>
      <c r="K228" s="127" t="n">
        <v>224000</v>
      </c>
      <c r="L228" s="127" t="n">
        <v>155000</v>
      </c>
      <c r="M228" s="127" t="n">
        <v>80000</v>
      </c>
      <c r="N228" s="127" t="n"/>
      <c r="O228" s="127" t="n"/>
      <c r="P228" s="127" t="n"/>
      <c r="Q228" s="127" t="n"/>
      <c r="R228" s="127" t="n"/>
      <c r="S228" s="127" t="n"/>
      <c r="T228" s="127" t="n"/>
      <c r="U228" s="127" t="n"/>
      <c r="V228" s="127" t="n">
        <v>6272000</v>
      </c>
    </row>
    <row r="229">
      <c r="C229" s="94" t="inlineStr">
        <is>
          <t>4월28일</t>
        </is>
      </c>
      <c r="D229" s="127" t="n">
        <v>6832000</v>
      </c>
      <c r="E229" s="127" t="n"/>
      <c r="F229" s="127" t="n"/>
      <c r="G229" s="127" t="n">
        <v>308000</v>
      </c>
      <c r="H229" s="127" t="n"/>
      <c r="I229" s="127" t="n">
        <v>396000</v>
      </c>
      <c r="J229" s="127" t="n">
        <v>114000</v>
      </c>
      <c r="K229" s="127" t="n">
        <v>98000</v>
      </c>
      <c r="L229" s="127" t="n">
        <v>20000</v>
      </c>
      <c r="M229" s="127" t="n">
        <v>140000</v>
      </c>
      <c r="N229" s="127" t="n"/>
      <c r="O229" s="127" t="n"/>
      <c r="P229" s="127" t="n"/>
      <c r="Q229" s="127" t="n"/>
      <c r="R229" s="127" t="n"/>
      <c r="S229" s="127" t="n"/>
      <c r="T229" s="127" t="n"/>
      <c r="U229" s="127" t="n"/>
      <c r="V229" s="127" t="n">
        <v>7908000</v>
      </c>
    </row>
    <row r="230">
      <c r="C230" s="94" t="inlineStr">
        <is>
          <t>4월29일</t>
        </is>
      </c>
      <c r="D230" s="127" t="n">
        <v>3435000</v>
      </c>
      <c r="E230" s="127" t="n"/>
      <c r="F230" s="127" t="n"/>
      <c r="G230" s="127" t="n">
        <v>308000</v>
      </c>
      <c r="H230" s="127" t="n"/>
      <c r="I230" s="127" t="n">
        <v>693000</v>
      </c>
      <c r="J230" s="127" t="n">
        <v>76000</v>
      </c>
      <c r="K230" s="127" t="n">
        <v>239000</v>
      </c>
      <c r="L230" s="127" t="n">
        <v>40000</v>
      </c>
      <c r="M230" s="127" t="n">
        <v>84000</v>
      </c>
      <c r="N230" s="127" t="n"/>
      <c r="O230" s="127" t="n"/>
      <c r="P230" s="127" t="n"/>
      <c r="Q230" s="127" t="n"/>
      <c r="R230" s="127" t="n"/>
      <c r="S230" s="127" t="n"/>
      <c r="T230" s="127" t="n"/>
      <c r="U230" s="127" t="n"/>
      <c r="V230" s="127" t="n">
        <v>4875000</v>
      </c>
    </row>
    <row r="231">
      <c r="C231" s="94" t="inlineStr">
        <is>
          <t>4월30일</t>
        </is>
      </c>
      <c r="D231" s="127" t="n">
        <v>2911000</v>
      </c>
      <c r="E231" s="127" t="n"/>
      <c r="F231" s="127" t="n"/>
      <c r="G231" s="127" t="n">
        <v>308000</v>
      </c>
      <c r="H231" s="127" t="n"/>
      <c r="I231" s="127" t="n">
        <v>891000</v>
      </c>
      <c r="J231" s="127" t="n">
        <v>114000</v>
      </c>
      <c r="K231" s="127" t="n">
        <v>89000</v>
      </c>
      <c r="L231" s="127" t="n">
        <v>180000</v>
      </c>
      <c r="M231" s="127" t="n">
        <v>20000</v>
      </c>
      <c r="N231" s="127" t="n"/>
      <c r="O231" s="127" t="n"/>
      <c r="P231" s="127" t="n"/>
      <c r="Q231" s="127" t="n"/>
      <c r="R231" s="127" t="n"/>
      <c r="S231" s="127" t="n"/>
      <c r="T231" s="127" t="n"/>
      <c r="U231" s="127" t="n"/>
      <c r="V231" s="127" t="n">
        <v>4513000</v>
      </c>
    </row>
    <row r="232">
      <c r="B232" s="94" t="inlineStr">
        <is>
          <t>4월 요약</t>
        </is>
      </c>
      <c r="C232" s="94" t="n"/>
      <c r="D232" s="127" t="n">
        <v>198208000</v>
      </c>
      <c r="E232" s="127" t="n"/>
      <c r="F232" s="127" t="n"/>
      <c r="G232" s="127" t="n">
        <v>12783000</v>
      </c>
      <c r="H232" s="127" t="n"/>
      <c r="I232" s="127" t="n">
        <v>4950000</v>
      </c>
      <c r="J232" s="127" t="n">
        <v>11673600</v>
      </c>
      <c r="K232" s="127" t="n">
        <v>2152000</v>
      </c>
      <c r="L232" s="127" t="n">
        <v>9950000</v>
      </c>
      <c r="M232" s="127" t="n">
        <v>3744000</v>
      </c>
      <c r="N232" s="127" t="n"/>
      <c r="O232" s="127" t="n"/>
      <c r="P232" s="127" t="n"/>
      <c r="Q232" s="127" t="n"/>
      <c r="R232" s="127" t="n"/>
      <c r="S232" s="127" t="n"/>
      <c r="T232" s="127" t="n"/>
      <c r="U232" s="127" t="n">
        <v>1155000</v>
      </c>
      <c r="V232" s="127" t="n">
        <v>244615600</v>
      </c>
    </row>
    <row r="233">
      <c r="B233" s="94" t="inlineStr">
        <is>
          <t>5월</t>
        </is>
      </c>
      <c r="C233" s="94" t="inlineStr">
        <is>
          <t>5월1일</t>
        </is>
      </c>
      <c r="D233" s="127" t="n">
        <v>5066000</v>
      </c>
      <c r="E233" s="127" t="n"/>
      <c r="F233" s="127" t="n"/>
      <c r="G233" s="127" t="n">
        <v>336000</v>
      </c>
      <c r="H233" s="127" t="n"/>
      <c r="I233" s="127" t="n">
        <v>396000</v>
      </c>
      <c r="J233" s="127" t="n">
        <v>114000</v>
      </c>
      <c r="K233" s="127" t="n">
        <v>150000</v>
      </c>
      <c r="L233" s="127" t="n">
        <v>115000</v>
      </c>
      <c r="M233" s="127" t="n">
        <v>128000</v>
      </c>
      <c r="N233" s="127" t="n"/>
      <c r="O233" s="127" t="n"/>
      <c r="P233" s="127" t="n"/>
      <c r="Q233" s="127" t="n"/>
      <c r="R233" s="127" t="n"/>
      <c r="S233" s="127" t="n"/>
      <c r="T233" s="127" t="n"/>
      <c r="U233" s="127" t="n"/>
      <c r="V233" s="127" t="n">
        <v>6305000</v>
      </c>
    </row>
    <row r="234">
      <c r="C234" s="94" t="inlineStr">
        <is>
          <t>5월2일</t>
        </is>
      </c>
      <c r="D234" s="127" t="n">
        <v>3702000</v>
      </c>
      <c r="E234" s="127" t="n"/>
      <c r="F234" s="127" t="n"/>
      <c r="G234" s="127" t="n">
        <v>252000</v>
      </c>
      <c r="H234" s="127" t="n"/>
      <c r="I234" s="127" t="n">
        <v>693000</v>
      </c>
      <c r="J234" s="127" t="n">
        <v>76000</v>
      </c>
      <c r="K234" s="127" t="n">
        <v>83000</v>
      </c>
      <c r="L234" s="127" t="n">
        <v>60000</v>
      </c>
      <c r="M234" s="127" t="n">
        <v>120000</v>
      </c>
      <c r="N234" s="127" t="n"/>
      <c r="O234" s="127" t="n"/>
      <c r="P234" s="127" t="n"/>
      <c r="Q234" s="127" t="n"/>
      <c r="R234" s="127" t="n"/>
      <c r="S234" s="127" t="n"/>
      <c r="T234" s="127" t="n"/>
      <c r="U234" s="127" t="n"/>
      <c r="V234" s="127" t="n">
        <v>4986000</v>
      </c>
    </row>
    <row r="235">
      <c r="C235" s="94" t="inlineStr">
        <is>
          <t>5월3일</t>
        </is>
      </c>
      <c r="D235" s="127" t="n">
        <v>3593000</v>
      </c>
      <c r="E235" s="127" t="n"/>
      <c r="F235" s="127" t="n"/>
      <c r="G235" s="127" t="n">
        <v>280000</v>
      </c>
      <c r="H235" s="127" t="n"/>
      <c r="I235" s="127" t="n">
        <v>693000</v>
      </c>
      <c r="J235" s="127" t="n">
        <v>228000</v>
      </c>
      <c r="K235" s="127" t="n">
        <v>211000</v>
      </c>
      <c r="L235" s="127" t="n">
        <v>160000</v>
      </c>
      <c r="M235" s="127" t="n">
        <v>104000</v>
      </c>
      <c r="N235" s="127" t="n"/>
      <c r="O235" s="127" t="n"/>
      <c r="P235" s="127" t="n"/>
      <c r="Q235" s="127" t="n"/>
      <c r="R235" s="127" t="n"/>
      <c r="S235" s="127" t="n"/>
      <c r="T235" s="127" t="n"/>
      <c r="U235" s="127" t="n"/>
      <c r="V235" s="127" t="n">
        <v>5269000</v>
      </c>
    </row>
    <row r="236">
      <c r="C236" s="94" t="inlineStr">
        <is>
          <t>5월4일</t>
        </is>
      </c>
      <c r="D236" s="127" t="n">
        <v>4630000</v>
      </c>
      <c r="E236" s="127" t="n"/>
      <c r="F236" s="127" t="n"/>
      <c r="G236" s="127" t="n">
        <v>420000</v>
      </c>
      <c r="H236" s="127" t="n"/>
      <c r="I236" s="127" t="n">
        <v>594000</v>
      </c>
      <c r="J236" s="127" t="n">
        <v>152000</v>
      </c>
      <c r="K236" s="127" t="n">
        <v>109000</v>
      </c>
      <c r="L236" s="127" t="n">
        <v>40000</v>
      </c>
      <c r="M236" s="127" t="n">
        <v>212000</v>
      </c>
      <c r="N236" s="127" t="n"/>
      <c r="O236" s="127" t="n"/>
      <c r="P236" s="127" t="n"/>
      <c r="Q236" s="127" t="n"/>
      <c r="R236" s="127" t="n"/>
      <c r="S236" s="127" t="n"/>
      <c r="T236" s="127" t="n"/>
      <c r="U236" s="127" t="n"/>
      <c r="V236" s="127" t="n">
        <v>6157000</v>
      </c>
    </row>
    <row r="237">
      <c r="C237" s="94" t="inlineStr">
        <is>
          <t>5월5일</t>
        </is>
      </c>
      <c r="D237" s="127" t="n">
        <v>5269000</v>
      </c>
      <c r="E237" s="127" t="n"/>
      <c r="F237" s="127" t="n"/>
      <c r="G237" s="127" t="n">
        <v>448000</v>
      </c>
      <c r="H237" s="127" t="n"/>
      <c r="I237" s="127" t="n">
        <v>495000</v>
      </c>
      <c r="J237" s="127" t="n">
        <v>380000</v>
      </c>
      <c r="K237" s="127" t="n">
        <v>181000</v>
      </c>
      <c r="L237" s="127" t="n">
        <v>95000</v>
      </c>
      <c r="M237" s="127" t="n">
        <v>112000</v>
      </c>
      <c r="N237" s="127" t="n"/>
      <c r="O237" s="127" t="n"/>
      <c r="P237" s="127" t="n"/>
      <c r="Q237" s="127" t="n"/>
      <c r="R237" s="127" t="n"/>
      <c r="S237" s="127" t="n"/>
      <c r="T237" s="127" t="n"/>
      <c r="U237" s="127" t="n"/>
      <c r="V237" s="127" t="n">
        <v>6980000</v>
      </c>
    </row>
    <row r="238">
      <c r="C238" s="94" t="inlineStr">
        <is>
          <t>5월6일</t>
        </is>
      </c>
      <c r="D238" s="127" t="n">
        <v>5135000</v>
      </c>
      <c r="E238" s="127" t="n"/>
      <c r="F238" s="127" t="n"/>
      <c r="G238" s="127" t="n">
        <v>336000</v>
      </c>
      <c r="H238" s="127" t="n"/>
      <c r="I238" s="127" t="n">
        <v>1188000</v>
      </c>
      <c r="J238" s="127" t="n">
        <v>304000</v>
      </c>
      <c r="K238" s="127" t="n">
        <v>309000</v>
      </c>
      <c r="L238" s="127" t="n">
        <v>80000</v>
      </c>
      <c r="M238" s="127" t="n">
        <v>176000</v>
      </c>
      <c r="N238" s="127" t="n"/>
      <c r="O238" s="127" t="n"/>
      <c r="P238" s="127" t="n"/>
      <c r="Q238" s="127" t="n"/>
      <c r="R238" s="127" t="n"/>
      <c r="S238" s="127" t="n"/>
      <c r="T238" s="127" t="n"/>
      <c r="U238" s="127" t="n"/>
      <c r="V238" s="127" t="n">
        <v>7528000</v>
      </c>
    </row>
    <row r="239">
      <c r="C239" s="94" t="inlineStr">
        <is>
          <t>5월7일</t>
        </is>
      </c>
      <c r="D239" s="127" t="n">
        <v>4743000</v>
      </c>
      <c r="E239" s="127" t="n"/>
      <c r="F239" s="127" t="n"/>
      <c r="G239" s="127" t="n">
        <v>364000</v>
      </c>
      <c r="H239" s="127" t="n"/>
      <c r="I239" s="127" t="n">
        <v>1089000</v>
      </c>
      <c r="J239" s="127" t="n">
        <v>228000</v>
      </c>
      <c r="K239" s="127" t="n">
        <v>191000</v>
      </c>
      <c r="L239" s="127" t="n">
        <v>95000</v>
      </c>
      <c r="M239" s="127" t="n">
        <v>28000</v>
      </c>
      <c r="N239" s="127" t="n"/>
      <c r="O239" s="127" t="n"/>
      <c r="P239" s="127" t="n"/>
      <c r="Q239" s="127" t="n"/>
      <c r="R239" s="127" t="n"/>
      <c r="S239" s="127" t="n"/>
      <c r="T239" s="127" t="n"/>
      <c r="U239" s="127" t="n"/>
      <c r="V239" s="127" t="n">
        <v>6738000</v>
      </c>
    </row>
    <row r="240">
      <c r="C240" s="94" t="inlineStr">
        <is>
          <t>5월8일</t>
        </is>
      </c>
      <c r="D240" s="127" t="n">
        <v>6975000</v>
      </c>
      <c r="E240" s="127" t="n"/>
      <c r="F240" s="127" t="n"/>
      <c r="G240" s="127" t="n">
        <v>280000</v>
      </c>
      <c r="H240" s="127" t="n"/>
      <c r="I240" s="127" t="n">
        <v>594000</v>
      </c>
      <c r="J240" s="127" t="n">
        <v>76000</v>
      </c>
      <c r="K240" s="127" t="n">
        <v>148000</v>
      </c>
      <c r="L240" s="127" t="n">
        <v>20000</v>
      </c>
      <c r="M240" s="127" t="n">
        <v>132000</v>
      </c>
      <c r="N240" s="127" t="n"/>
      <c r="O240" s="127" t="n"/>
      <c r="P240" s="127" t="n"/>
      <c r="Q240" s="127" t="n"/>
      <c r="R240" s="127" t="n"/>
      <c r="S240" s="127" t="n"/>
      <c r="T240" s="127" t="n"/>
      <c r="U240" s="127" t="n"/>
      <c r="V240" s="127" t="n">
        <v>8225000</v>
      </c>
    </row>
    <row r="241">
      <c r="C241" s="94" t="inlineStr">
        <is>
          <t>5월9일</t>
        </is>
      </c>
      <c r="D241" s="127" t="n">
        <v>4383000</v>
      </c>
      <c r="E241" s="127" t="n"/>
      <c r="F241" s="127" t="n"/>
      <c r="G241" s="127" t="n">
        <v>448000</v>
      </c>
      <c r="H241" s="127" t="n"/>
      <c r="I241" s="127" t="n">
        <v>198000</v>
      </c>
      <c r="J241" s="127" t="n">
        <v>228000</v>
      </c>
      <c r="K241" s="127" t="n">
        <v>124000</v>
      </c>
      <c r="L241" s="127" t="n">
        <v>110000</v>
      </c>
      <c r="M241" s="127" t="n">
        <v>72000</v>
      </c>
      <c r="N241" s="127" t="n"/>
      <c r="O241" s="127" t="n"/>
      <c r="P241" s="127" t="n"/>
      <c r="Q241" s="127" t="n"/>
      <c r="R241" s="127" t="n"/>
      <c r="S241" s="127" t="n"/>
      <c r="T241" s="127" t="n"/>
      <c r="U241" s="127" t="n"/>
      <c r="V241" s="127" t="n">
        <v>5563000</v>
      </c>
    </row>
    <row r="242">
      <c r="C242" s="94" t="inlineStr">
        <is>
          <t>5월10일</t>
        </is>
      </c>
      <c r="D242" s="127" t="n">
        <v>5430000</v>
      </c>
      <c r="E242" s="127" t="n"/>
      <c r="F242" s="127" t="n"/>
      <c r="G242" s="127" t="n">
        <v>336000</v>
      </c>
      <c r="H242" s="127" t="n"/>
      <c r="I242" s="127" t="n">
        <v>396000</v>
      </c>
      <c r="J242" s="127" t="n">
        <v>190000</v>
      </c>
      <c r="K242" s="127" t="n">
        <v>115000</v>
      </c>
      <c r="L242" s="127" t="n">
        <v>40000</v>
      </c>
      <c r="M242" s="127" t="n">
        <v>20000</v>
      </c>
      <c r="N242" s="127" t="n"/>
      <c r="O242" s="127" t="n"/>
      <c r="P242" s="127" t="n"/>
      <c r="Q242" s="127" t="n"/>
      <c r="R242" s="127" t="n"/>
      <c r="S242" s="127" t="n"/>
      <c r="T242" s="127" t="n"/>
      <c r="U242" s="127" t="n"/>
      <c r="V242" s="127" t="n">
        <v>6527000</v>
      </c>
    </row>
    <row r="243">
      <c r="C243" s="94" t="inlineStr">
        <is>
          <t>5월11일</t>
        </is>
      </c>
      <c r="D243" s="127" t="n">
        <v>12418000</v>
      </c>
      <c r="E243" s="127" t="n"/>
      <c r="F243" s="127" t="n"/>
      <c r="G243" s="127" t="n">
        <v>532000</v>
      </c>
      <c r="H243" s="127" t="n"/>
      <c r="I243" s="127" t="n">
        <v>1089000</v>
      </c>
      <c r="J243" s="127" t="n">
        <v>266000</v>
      </c>
      <c r="K243" s="127" t="n">
        <v>155000</v>
      </c>
      <c r="L243" s="127" t="n">
        <v>40000</v>
      </c>
      <c r="M243" s="127" t="n">
        <v>104000</v>
      </c>
      <c r="N243" s="127" t="n"/>
      <c r="O243" s="127" t="n"/>
      <c r="P243" s="127" t="n"/>
      <c r="Q243" s="127" t="n"/>
      <c r="R243" s="127" t="n"/>
      <c r="S243" s="127" t="n"/>
      <c r="T243" s="127" t="n"/>
      <c r="U243" s="127" t="n"/>
      <c r="V243" s="127" t="n">
        <v>14604000</v>
      </c>
    </row>
    <row r="244">
      <c r="C244" s="94" t="inlineStr">
        <is>
          <t>5월12일</t>
        </is>
      </c>
      <c r="D244" s="127" t="n">
        <v>4903000</v>
      </c>
      <c r="E244" s="127" t="n"/>
      <c r="F244" s="127" t="n"/>
      <c r="G244" s="127" t="n">
        <v>448000</v>
      </c>
      <c r="H244" s="127" t="n"/>
      <c r="I244" s="127" t="n">
        <v>693000</v>
      </c>
      <c r="J244" s="127" t="n">
        <v>190000</v>
      </c>
      <c r="K244" s="127" t="n">
        <v>228000</v>
      </c>
      <c r="L244" s="127" t="n">
        <v>60000</v>
      </c>
      <c r="M244" s="127" t="n">
        <v>104000</v>
      </c>
      <c r="N244" s="127" t="n"/>
      <c r="O244" s="127" t="n"/>
      <c r="P244" s="127" t="n"/>
      <c r="Q244" s="127" t="n"/>
      <c r="R244" s="127" t="n"/>
      <c r="S244" s="127" t="n"/>
      <c r="T244" s="127" t="n"/>
      <c r="U244" s="127" t="n"/>
      <c r="V244" s="127" t="n">
        <v>6626000</v>
      </c>
    </row>
    <row r="245">
      <c r="C245" s="94" t="inlineStr">
        <is>
          <t>5월13일</t>
        </is>
      </c>
      <c r="D245" s="127" t="n">
        <v>5604000</v>
      </c>
      <c r="E245" s="127" t="n"/>
      <c r="F245" s="127" t="n"/>
      <c r="G245" s="127" t="n">
        <v>504000</v>
      </c>
      <c r="H245" s="127" t="n"/>
      <c r="I245" s="127" t="n">
        <v>594000</v>
      </c>
      <c r="J245" s="127" t="n">
        <v>304000</v>
      </c>
      <c r="K245" s="127" t="n">
        <v>224000</v>
      </c>
      <c r="L245" s="127" t="n">
        <v>100000</v>
      </c>
      <c r="M245" s="127" t="n">
        <v>84000</v>
      </c>
      <c r="N245" s="127" t="n"/>
      <c r="O245" s="127" t="n"/>
      <c r="P245" s="127" t="n"/>
      <c r="Q245" s="127" t="n"/>
      <c r="R245" s="127" t="n"/>
      <c r="S245" s="127" t="n"/>
      <c r="T245" s="127" t="n"/>
      <c r="U245" s="127" t="n"/>
      <c r="V245" s="127" t="n">
        <v>7414000</v>
      </c>
    </row>
    <row r="246">
      <c r="C246" s="94" t="inlineStr">
        <is>
          <t>5월14일</t>
        </is>
      </c>
      <c r="D246" s="127" t="n">
        <v>5195000</v>
      </c>
      <c r="E246" s="127" t="n"/>
      <c r="F246" s="127" t="n"/>
      <c r="G246" s="127" t="n">
        <v>504000</v>
      </c>
      <c r="H246" s="127" t="n"/>
      <c r="I246" s="127" t="n">
        <v>792000</v>
      </c>
      <c r="J246" s="127" t="n">
        <v>152000</v>
      </c>
      <c r="K246" s="127" t="n">
        <v>150000</v>
      </c>
      <c r="L246" s="127" t="n">
        <v>95000</v>
      </c>
      <c r="M246" s="127" t="n">
        <v>108000</v>
      </c>
      <c r="N246" s="127" t="n"/>
      <c r="O246" s="127" t="n"/>
      <c r="P246" s="127" t="n"/>
      <c r="Q246" s="127" t="n"/>
      <c r="R246" s="127" t="n"/>
      <c r="S246" s="127" t="n"/>
      <c r="T246" s="127" t="n"/>
      <c r="U246" s="127" t="n"/>
      <c r="V246" s="127" t="n">
        <v>6996000</v>
      </c>
    </row>
    <row r="247">
      <c r="C247" s="94" t="inlineStr">
        <is>
          <t>5월15일</t>
        </is>
      </c>
      <c r="D247" s="127" t="n">
        <v>4270000</v>
      </c>
      <c r="E247" s="127" t="n"/>
      <c r="F247" s="127" t="n"/>
      <c r="G247" s="127" t="n">
        <v>308000</v>
      </c>
      <c r="H247" s="127" t="n"/>
      <c r="I247" s="127" t="n">
        <v>693000</v>
      </c>
      <c r="J247" s="127" t="n">
        <v>190000</v>
      </c>
      <c r="K247" s="127" t="n">
        <v>194000</v>
      </c>
      <c r="L247" s="127" t="n">
        <v>60000</v>
      </c>
      <c r="M247" s="127" t="n">
        <v>60000</v>
      </c>
      <c r="N247" s="127" t="n"/>
      <c r="O247" s="127" t="n"/>
      <c r="P247" s="127" t="n"/>
      <c r="Q247" s="127" t="n"/>
      <c r="R247" s="127" t="n"/>
      <c r="S247" s="127" t="n"/>
      <c r="T247" s="127" t="n"/>
      <c r="U247" s="127" t="n"/>
      <c r="V247" s="127" t="n">
        <v>5775000</v>
      </c>
    </row>
    <row r="248">
      <c r="C248" s="94" t="inlineStr">
        <is>
          <t>5월16일</t>
        </is>
      </c>
      <c r="D248" s="127" t="n">
        <v>3573000</v>
      </c>
      <c r="E248" s="127" t="n"/>
      <c r="F248" s="127" t="n"/>
      <c r="G248" s="127" t="n">
        <v>476000</v>
      </c>
      <c r="H248" s="127" t="n"/>
      <c r="I248" s="127" t="n">
        <v>693000</v>
      </c>
      <c r="J248" s="127" t="n">
        <v>38000</v>
      </c>
      <c r="K248" s="127" t="n">
        <v>150000</v>
      </c>
      <c r="L248" s="127" t="n">
        <v>95000</v>
      </c>
      <c r="M248" s="127" t="n">
        <v>116000</v>
      </c>
      <c r="N248" s="127" t="n"/>
      <c r="O248" s="127" t="n"/>
      <c r="P248" s="127" t="n"/>
      <c r="Q248" s="127" t="n"/>
      <c r="R248" s="127" t="n"/>
      <c r="S248" s="127" t="n"/>
      <c r="T248" s="127" t="n"/>
      <c r="U248" s="127" t="n"/>
      <c r="V248" s="127" t="n">
        <v>5141000</v>
      </c>
    </row>
    <row r="249">
      <c r="C249" s="94" t="inlineStr">
        <is>
          <t>5월17일</t>
        </is>
      </c>
      <c r="D249" s="127" t="n">
        <v>4129000</v>
      </c>
      <c r="E249" s="127" t="n"/>
      <c r="F249" s="127" t="n"/>
      <c r="G249" s="127" t="n">
        <v>420000</v>
      </c>
      <c r="H249" s="127" t="n"/>
      <c r="I249" s="127" t="n">
        <v>396000</v>
      </c>
      <c r="J249" s="127" t="n">
        <v>342000</v>
      </c>
      <c r="K249" s="127" t="n">
        <v>222000</v>
      </c>
      <c r="L249" s="127" t="n">
        <v>60000</v>
      </c>
      <c r="M249" s="127" t="n">
        <v>172000</v>
      </c>
      <c r="N249" s="127" t="n"/>
      <c r="O249" s="127" t="n"/>
      <c r="P249" s="127" t="n"/>
      <c r="Q249" s="127" t="n"/>
      <c r="R249" s="127" t="n"/>
      <c r="S249" s="127" t="n"/>
      <c r="T249" s="127" t="n"/>
      <c r="U249" s="127" t="n"/>
      <c r="V249" s="127" t="n">
        <v>5741000</v>
      </c>
    </row>
    <row r="250">
      <c r="C250" s="94" t="inlineStr">
        <is>
          <t>5월18일</t>
        </is>
      </c>
      <c r="D250" s="127" t="n">
        <v>14368000</v>
      </c>
      <c r="E250" s="127" t="n"/>
      <c r="F250" s="127" t="n"/>
      <c r="G250" s="127" t="n">
        <v>560000</v>
      </c>
      <c r="H250" s="127" t="n"/>
      <c r="I250" s="127" t="n">
        <v>594000</v>
      </c>
      <c r="J250" s="127" t="n">
        <v>152000</v>
      </c>
      <c r="K250" s="127" t="n">
        <v>241000</v>
      </c>
      <c r="L250" s="127" t="n">
        <v>40000</v>
      </c>
      <c r="M250" s="127" t="n">
        <v>140000</v>
      </c>
      <c r="N250" s="127" t="n"/>
      <c r="O250" s="127" t="n">
        <v>100000</v>
      </c>
      <c r="P250" s="127" t="n"/>
      <c r="Q250" s="127" t="n"/>
      <c r="R250" s="127" t="n"/>
      <c r="S250" s="127" t="n"/>
      <c r="T250" s="127" t="n"/>
      <c r="U250" s="127" t="n"/>
      <c r="V250" s="127" t="n">
        <v>16195000</v>
      </c>
    </row>
    <row r="251">
      <c r="C251" s="94" t="inlineStr">
        <is>
          <t>5월19일</t>
        </is>
      </c>
      <c r="D251" s="127" t="n">
        <v>5070000</v>
      </c>
      <c r="E251" s="127" t="n"/>
      <c r="F251" s="127" t="n"/>
      <c r="G251" s="127" t="n">
        <v>364000</v>
      </c>
      <c r="H251" s="127" t="n"/>
      <c r="I251" s="127" t="n">
        <v>990000</v>
      </c>
      <c r="J251" s="127" t="n">
        <v>152000</v>
      </c>
      <c r="K251" s="127" t="n">
        <v>135000</v>
      </c>
      <c r="L251" s="127" t="n">
        <v>80000</v>
      </c>
      <c r="M251" s="127" t="n">
        <v>28000</v>
      </c>
      <c r="N251" s="127" t="n"/>
      <c r="O251" s="127" t="n">
        <v>60000</v>
      </c>
      <c r="P251" s="127" t="n"/>
      <c r="Q251" s="127" t="n"/>
      <c r="R251" s="127" t="n"/>
      <c r="S251" s="127" t="n"/>
      <c r="T251" s="127" t="n"/>
      <c r="U251" s="127" t="n"/>
      <c r="V251" s="127" t="n">
        <v>6879000</v>
      </c>
    </row>
    <row r="252">
      <c r="C252" s="94" t="inlineStr">
        <is>
          <t>5월20일</t>
        </is>
      </c>
      <c r="D252" s="127" t="n">
        <v>8961000</v>
      </c>
      <c r="E252" s="127" t="n"/>
      <c r="F252" s="127" t="n"/>
      <c r="G252" s="127" t="n">
        <v>420000</v>
      </c>
      <c r="H252" s="127" t="n"/>
      <c r="I252" s="127" t="n">
        <v>693000</v>
      </c>
      <c r="J252" s="127" t="n">
        <v>190000</v>
      </c>
      <c r="K252" s="127" t="n">
        <v>115000</v>
      </c>
      <c r="L252" s="127" t="n">
        <v>60000</v>
      </c>
      <c r="M252" s="127" t="n">
        <v>104000</v>
      </c>
      <c r="N252" s="127" t="n"/>
      <c r="O252" s="127" t="n">
        <v>80000</v>
      </c>
      <c r="P252" s="127" t="n"/>
      <c r="Q252" s="127" t="n"/>
      <c r="R252" s="127" t="n"/>
      <c r="S252" s="127" t="n"/>
      <c r="T252" s="127" t="n"/>
      <c r="U252" s="127" t="n"/>
      <c r="V252" s="127" t="n">
        <v>10623000</v>
      </c>
    </row>
    <row r="253">
      <c r="C253" s="94" t="inlineStr">
        <is>
          <t>5월21일</t>
        </is>
      </c>
      <c r="D253" s="127" t="n">
        <v>3818000</v>
      </c>
      <c r="E253" s="127" t="n"/>
      <c r="F253" s="127" t="n"/>
      <c r="G253" s="127" t="n">
        <v>476000</v>
      </c>
      <c r="H253" s="127" t="n"/>
      <c r="I253" s="127" t="n">
        <v>990000</v>
      </c>
      <c r="J253" s="127" t="n">
        <v>304000</v>
      </c>
      <c r="K253" s="127" t="n">
        <v>222000</v>
      </c>
      <c r="L253" s="127" t="n">
        <v>60000</v>
      </c>
      <c r="M253" s="127" t="n">
        <v>44000</v>
      </c>
      <c r="N253" s="127" t="n"/>
      <c r="O253" s="127" t="n">
        <v>20000</v>
      </c>
      <c r="P253" s="127" t="n"/>
      <c r="Q253" s="127" t="n"/>
      <c r="R253" s="127" t="n"/>
      <c r="S253" s="127" t="n"/>
      <c r="T253" s="127" t="n"/>
      <c r="U253" s="127" t="n"/>
      <c r="V253" s="127" t="n">
        <v>5934000</v>
      </c>
    </row>
    <row r="254">
      <c r="C254" s="94" t="inlineStr">
        <is>
          <t>5월22일</t>
        </is>
      </c>
      <c r="D254" s="127" t="n">
        <v>3207000</v>
      </c>
      <c r="E254" s="127" t="n"/>
      <c r="F254" s="127" t="n"/>
      <c r="G254" s="127" t="n">
        <v>84000</v>
      </c>
      <c r="H254" s="127" t="n"/>
      <c r="I254" s="127" t="n">
        <v>396000</v>
      </c>
      <c r="J254" s="127" t="n">
        <v>114000</v>
      </c>
      <c r="K254" s="127" t="n">
        <v>76000</v>
      </c>
      <c r="L254" s="127" t="n">
        <v>55000</v>
      </c>
      <c r="M254" s="127" t="n"/>
      <c r="N254" s="127" t="n"/>
      <c r="O254" s="127" t="n"/>
      <c r="P254" s="127" t="n"/>
      <c r="Q254" s="127" t="n"/>
      <c r="R254" s="127" t="n"/>
      <c r="S254" s="127" t="n"/>
      <c r="T254" s="127" t="n"/>
      <c r="U254" s="127" t="n"/>
      <c r="V254" s="127" t="n">
        <v>3932000</v>
      </c>
    </row>
    <row r="255">
      <c r="C255" s="94" t="inlineStr">
        <is>
          <t>5월23일</t>
        </is>
      </c>
      <c r="D255" s="127" t="n">
        <v>2975000</v>
      </c>
      <c r="E255" s="127" t="n"/>
      <c r="F255" s="127" t="n"/>
      <c r="G255" s="127" t="n">
        <v>224000</v>
      </c>
      <c r="H255" s="127" t="n"/>
      <c r="I255" s="127" t="n">
        <v>297000</v>
      </c>
      <c r="J255" s="127" t="n">
        <v>76000</v>
      </c>
      <c r="K255" s="127" t="n">
        <v>100000</v>
      </c>
      <c r="L255" s="127" t="n">
        <v>40000</v>
      </c>
      <c r="M255" s="127" t="n">
        <v>48000</v>
      </c>
      <c r="N255" s="127" t="n"/>
      <c r="O255" s="127" t="n"/>
      <c r="P255" s="127" t="n"/>
      <c r="Q255" s="127" t="n"/>
      <c r="R255" s="127" t="n"/>
      <c r="S255" s="127" t="n"/>
      <c r="T255" s="127" t="n"/>
      <c r="U255" s="127" t="n"/>
      <c r="V255" s="127" t="n">
        <v>3760000</v>
      </c>
    </row>
    <row r="256">
      <c r="C256" s="94" t="inlineStr">
        <is>
          <t>5월24일</t>
        </is>
      </c>
      <c r="D256" s="127" t="n">
        <v>3766000</v>
      </c>
      <c r="E256" s="127" t="n"/>
      <c r="F256" s="127" t="n"/>
      <c r="G256" s="127" t="n">
        <v>364000</v>
      </c>
      <c r="H256" s="127" t="n"/>
      <c r="I256" s="127" t="n">
        <v>693000</v>
      </c>
      <c r="J256" s="127" t="n">
        <v>266000</v>
      </c>
      <c r="K256" s="127" t="n">
        <v>246000</v>
      </c>
      <c r="L256" s="127" t="n">
        <v>100000</v>
      </c>
      <c r="M256" s="127" t="n">
        <v>48000</v>
      </c>
      <c r="N256" s="127" t="n"/>
      <c r="O256" s="127" t="n"/>
      <c r="P256" s="127" t="n"/>
      <c r="Q256" s="127" t="n"/>
      <c r="R256" s="127" t="n"/>
      <c r="S256" s="127" t="n"/>
      <c r="T256" s="127" t="n"/>
      <c r="U256" s="127" t="n"/>
      <c r="V256" s="127" t="n">
        <v>5483000</v>
      </c>
    </row>
    <row r="257">
      <c r="C257" s="94" t="inlineStr">
        <is>
          <t>5월25일</t>
        </is>
      </c>
      <c r="D257" s="127" t="n">
        <v>6463000</v>
      </c>
      <c r="E257" s="127" t="n"/>
      <c r="F257" s="127" t="n"/>
      <c r="G257" s="127" t="n">
        <v>560000</v>
      </c>
      <c r="H257" s="127" t="n"/>
      <c r="I257" s="127" t="n">
        <v>594000</v>
      </c>
      <c r="J257" s="127" t="n">
        <v>304000</v>
      </c>
      <c r="K257" s="127" t="n">
        <v>435000</v>
      </c>
      <c r="L257" s="127" t="n">
        <v>130000</v>
      </c>
      <c r="M257" s="127" t="n">
        <v>176000</v>
      </c>
      <c r="N257" s="127" t="n"/>
      <c r="O257" s="127" t="n">
        <v>1160000</v>
      </c>
      <c r="P257" s="127" t="n"/>
      <c r="Q257" s="127" t="n"/>
      <c r="R257" s="127" t="n"/>
      <c r="S257" s="127" t="n"/>
      <c r="T257" s="127" t="n"/>
      <c r="U257" s="127" t="n"/>
      <c r="V257" s="127" t="n">
        <v>9822000</v>
      </c>
    </row>
    <row r="258">
      <c r="C258" s="94" t="inlineStr">
        <is>
          <t>5월26일</t>
        </is>
      </c>
      <c r="D258" s="127" t="n">
        <v>6012000</v>
      </c>
      <c r="E258" s="127" t="n"/>
      <c r="F258" s="127" t="n"/>
      <c r="G258" s="127" t="n">
        <v>560000</v>
      </c>
      <c r="H258" s="127" t="n"/>
      <c r="I258" s="127" t="n">
        <v>792000</v>
      </c>
      <c r="J258" s="127" t="n">
        <v>190000</v>
      </c>
      <c r="K258" s="127" t="n">
        <v>296000</v>
      </c>
      <c r="L258" s="127" t="n">
        <v>115000</v>
      </c>
      <c r="M258" s="127" t="n">
        <v>68000</v>
      </c>
      <c r="N258" s="127" t="n"/>
      <c r="O258" s="127" t="n">
        <v>260000</v>
      </c>
      <c r="P258" s="127" t="n"/>
      <c r="Q258" s="127" t="n"/>
      <c r="R258" s="127" t="n"/>
      <c r="S258" s="127" t="n"/>
      <c r="T258" s="127" t="n"/>
      <c r="U258" s="127" t="n"/>
      <c r="V258" s="127" t="n">
        <v>8293000</v>
      </c>
    </row>
    <row r="259">
      <c r="C259" s="94" t="inlineStr">
        <is>
          <t>5월27일</t>
        </is>
      </c>
      <c r="D259" s="127" t="n">
        <v>3208000</v>
      </c>
      <c r="E259" s="127" t="n"/>
      <c r="F259" s="127" t="n"/>
      <c r="G259" s="127" t="n">
        <v>364000</v>
      </c>
      <c r="H259" s="127" t="n"/>
      <c r="I259" s="127" t="n">
        <v>495000</v>
      </c>
      <c r="J259" s="127" t="n">
        <v>190000</v>
      </c>
      <c r="K259" s="127" t="n">
        <v>113000</v>
      </c>
      <c r="L259" s="127" t="n">
        <v>35000</v>
      </c>
      <c r="M259" s="127" t="n">
        <v>88000</v>
      </c>
      <c r="N259" s="127" t="n"/>
      <c r="O259" s="127" t="n">
        <v>240000</v>
      </c>
      <c r="P259" s="127" t="n"/>
      <c r="Q259" s="127" t="n"/>
      <c r="R259" s="127" t="n"/>
      <c r="S259" s="127" t="n"/>
      <c r="T259" s="127" t="n"/>
      <c r="U259" s="127" t="n"/>
      <c r="V259" s="127" t="n">
        <v>4733000</v>
      </c>
    </row>
    <row r="260">
      <c r="C260" s="94" t="inlineStr">
        <is>
          <t>5월28일</t>
        </is>
      </c>
      <c r="D260" s="127" t="n">
        <v>3936000</v>
      </c>
      <c r="E260" s="127" t="n"/>
      <c r="F260" s="127" t="n"/>
      <c r="G260" s="127" t="n">
        <v>392000</v>
      </c>
      <c r="H260" s="127" t="n"/>
      <c r="I260" s="127" t="n">
        <v>495000</v>
      </c>
      <c r="J260" s="127" t="n">
        <v>152000</v>
      </c>
      <c r="K260" s="127" t="n">
        <v>24000</v>
      </c>
      <c r="L260" s="127" t="n">
        <v>130000</v>
      </c>
      <c r="M260" s="127" t="n">
        <v>52000</v>
      </c>
      <c r="N260" s="127" t="n"/>
      <c r="O260" s="127" t="n">
        <v>200000</v>
      </c>
      <c r="P260" s="127" t="n"/>
      <c r="Q260" s="127" t="n"/>
      <c r="R260" s="127" t="n"/>
      <c r="S260" s="127" t="n"/>
      <c r="T260" s="127" t="n"/>
      <c r="U260" s="127" t="n"/>
      <c r="V260" s="127" t="n">
        <v>5381000</v>
      </c>
    </row>
    <row r="261">
      <c r="C261" s="94" t="inlineStr">
        <is>
          <t>5월29일</t>
        </is>
      </c>
      <c r="D261" s="127" t="n">
        <v>4286000</v>
      </c>
      <c r="E261" s="127" t="n"/>
      <c r="F261" s="127" t="n"/>
      <c r="G261" s="127" t="n">
        <v>336000</v>
      </c>
      <c r="H261" s="127" t="n"/>
      <c r="I261" s="127" t="n">
        <v>594000</v>
      </c>
      <c r="J261" s="127" t="n">
        <v>190000</v>
      </c>
      <c r="K261" s="127" t="n">
        <v>144000</v>
      </c>
      <c r="L261" s="127" t="n">
        <v>80000</v>
      </c>
      <c r="M261" s="127" t="n">
        <v>52000</v>
      </c>
      <c r="N261" s="127" t="n"/>
      <c r="O261" s="127" t="n">
        <v>160000</v>
      </c>
      <c r="P261" s="127" t="n"/>
      <c r="Q261" s="127" t="n"/>
      <c r="R261" s="127" t="n"/>
      <c r="S261" s="127" t="n"/>
      <c r="T261" s="127" t="n"/>
      <c r="U261" s="127" t="n"/>
      <c r="V261" s="127" t="n">
        <v>5842000</v>
      </c>
    </row>
    <row r="262">
      <c r="C262" s="94" t="inlineStr">
        <is>
          <t>5월30일</t>
        </is>
      </c>
      <c r="D262" s="127" t="n">
        <v>2628000</v>
      </c>
      <c r="E262" s="127" t="n"/>
      <c r="F262" s="127" t="n"/>
      <c r="G262" s="127" t="n">
        <v>336000</v>
      </c>
      <c r="H262" s="127" t="n"/>
      <c r="I262" s="127" t="n">
        <v>693000</v>
      </c>
      <c r="J262" s="127" t="n">
        <v>114000</v>
      </c>
      <c r="K262" s="127" t="n">
        <v>135000</v>
      </c>
      <c r="L262" s="127" t="n">
        <v>40000</v>
      </c>
      <c r="M262" s="127" t="n">
        <v>20000</v>
      </c>
      <c r="N262" s="127" t="n"/>
      <c r="O262" s="127" t="n">
        <v>140000</v>
      </c>
      <c r="P262" s="127" t="n"/>
      <c r="Q262" s="127" t="n"/>
      <c r="R262" s="127" t="n"/>
      <c r="S262" s="127" t="n"/>
      <c r="T262" s="127" t="n"/>
      <c r="U262" s="127" t="n"/>
      <c r="V262" s="127" t="n">
        <v>4106000</v>
      </c>
    </row>
    <row r="263">
      <c r="C263" s="94" t="inlineStr">
        <is>
          <t>5월31일</t>
        </is>
      </c>
      <c r="D263" s="127" t="n">
        <v>17559000</v>
      </c>
      <c r="E263" s="127" t="n"/>
      <c r="F263" s="127" t="n"/>
      <c r="G263" s="127" t="n">
        <v>364000</v>
      </c>
      <c r="H263" s="127" t="n"/>
      <c r="I263" s="127" t="n">
        <v>198000</v>
      </c>
      <c r="J263" s="127" t="n">
        <v>228000</v>
      </c>
      <c r="K263" s="127" t="n">
        <v>151000</v>
      </c>
      <c r="L263" s="127" t="n">
        <v>40000</v>
      </c>
      <c r="M263" s="127" t="n">
        <v>236000</v>
      </c>
      <c r="N263" s="127" t="n"/>
      <c r="O263" s="127" t="n">
        <v>280000</v>
      </c>
      <c r="P263" s="127" t="n"/>
      <c r="Q263" s="127" t="n"/>
      <c r="R263" s="127" t="n"/>
      <c r="S263" s="127" t="n"/>
      <c r="T263" s="127" t="n"/>
      <c r="U263" s="127" t="n"/>
      <c r="V263" s="127" t="n">
        <v>19056000</v>
      </c>
    </row>
    <row r="264">
      <c r="B264" s="94" t="inlineStr">
        <is>
          <t>5월 요약</t>
        </is>
      </c>
      <c r="C264" s="94" t="n"/>
      <c r="D264" s="127" t="n">
        <v>175275000</v>
      </c>
      <c r="E264" s="127" t="n"/>
      <c r="F264" s="127" t="n"/>
      <c r="G264" s="127" t="n">
        <v>12096000</v>
      </c>
      <c r="H264" s="127" t="n"/>
      <c r="I264" s="127" t="n">
        <v>19800000</v>
      </c>
      <c r="J264" s="127" t="n">
        <v>6080000</v>
      </c>
      <c r="K264" s="127" t="n">
        <v>5377000</v>
      </c>
      <c r="L264" s="127" t="n">
        <v>2330000</v>
      </c>
      <c r="M264" s="127" t="n">
        <v>2956000</v>
      </c>
      <c r="N264" s="127" t="n"/>
      <c r="O264" s="127" t="n">
        <v>2700000</v>
      </c>
      <c r="P264" s="127" t="n"/>
      <c r="Q264" s="127" t="n"/>
      <c r="R264" s="127" t="n"/>
      <c r="S264" s="127" t="n"/>
      <c r="T264" s="127" t="n"/>
      <c r="U264" s="127" t="n"/>
      <c r="V264" s="127" t="n">
        <v>226614000</v>
      </c>
    </row>
    <row r="265">
      <c r="B265" s="94" t="inlineStr">
        <is>
          <t>6월</t>
        </is>
      </c>
      <c r="C265" s="94" t="inlineStr">
        <is>
          <t>6월1일</t>
        </is>
      </c>
      <c r="D265" s="127" t="n">
        <v>5294000</v>
      </c>
      <c r="E265" s="127" t="n"/>
      <c r="F265" s="127" t="n"/>
      <c r="G265" s="127" t="n">
        <v>616000</v>
      </c>
      <c r="H265" s="127" t="n"/>
      <c r="I265" s="127" t="n">
        <v>594000</v>
      </c>
      <c r="J265" s="127" t="n">
        <v>228000</v>
      </c>
      <c r="K265" s="127" t="n">
        <v>166000</v>
      </c>
      <c r="L265" s="127" t="n">
        <v>80000</v>
      </c>
      <c r="M265" s="127" t="n">
        <v>32000</v>
      </c>
      <c r="N265" s="127" t="n"/>
      <c r="O265" s="127" t="n">
        <v>280000</v>
      </c>
      <c r="P265" s="127" t="n"/>
      <c r="Q265" s="127" t="n"/>
      <c r="R265" s="127" t="n"/>
      <c r="S265" s="127" t="n"/>
      <c r="T265" s="127" t="n"/>
      <c r="U265" s="127" t="n"/>
      <c r="V265" s="127" t="n">
        <v>7290000</v>
      </c>
    </row>
    <row r="266">
      <c r="C266" s="94" t="inlineStr">
        <is>
          <t>6월2일</t>
        </is>
      </c>
      <c r="D266" s="127" t="n">
        <v>4554000</v>
      </c>
      <c r="E266" s="127" t="n"/>
      <c r="F266" s="127" t="n"/>
      <c r="G266" s="127" t="n">
        <v>224000</v>
      </c>
      <c r="H266" s="127" t="n"/>
      <c r="I266" s="127" t="n">
        <v>1188000</v>
      </c>
      <c r="J266" s="127" t="n">
        <v>190000</v>
      </c>
      <c r="K266" s="127" t="n">
        <v>240000</v>
      </c>
      <c r="L266" s="127" t="n">
        <v>20000</v>
      </c>
      <c r="M266" s="127" t="n">
        <v>96000</v>
      </c>
      <c r="N266" s="127" t="n"/>
      <c r="O266" s="127" t="n">
        <v>220000</v>
      </c>
      <c r="P266" s="127" t="n"/>
      <c r="Q266" s="127" t="n"/>
      <c r="R266" s="127" t="n"/>
      <c r="S266" s="127" t="n"/>
      <c r="T266" s="127" t="n"/>
      <c r="U266" s="127" t="n"/>
      <c r="V266" s="127" t="n">
        <v>6732000</v>
      </c>
    </row>
    <row r="267">
      <c r="C267" s="94" t="inlineStr">
        <is>
          <t>6월3일</t>
        </is>
      </c>
      <c r="D267" s="127" t="n">
        <v>11082000</v>
      </c>
      <c r="E267" s="127" t="n"/>
      <c r="F267" s="127" t="n"/>
      <c r="G267" s="127" t="n">
        <v>532000</v>
      </c>
      <c r="H267" s="127" t="n"/>
      <c r="I267" s="127" t="n">
        <v>396000</v>
      </c>
      <c r="J267" s="127" t="n">
        <v>190000</v>
      </c>
      <c r="K267" s="127" t="n">
        <v>108000</v>
      </c>
      <c r="L267" s="127" t="n">
        <v>90000</v>
      </c>
      <c r="M267" s="127" t="n">
        <v>204000</v>
      </c>
      <c r="N267" s="127" t="n"/>
      <c r="O267" s="127" t="n">
        <v>260000</v>
      </c>
      <c r="P267" s="127" t="n"/>
      <c r="Q267" s="127" t="n"/>
      <c r="R267" s="127" t="n"/>
      <c r="S267" s="127" t="n"/>
      <c r="T267" s="127" t="n"/>
      <c r="U267" s="127" t="n"/>
      <c r="V267" s="127" t="n">
        <v>12862000</v>
      </c>
    </row>
    <row r="268">
      <c r="C268" s="94" t="inlineStr">
        <is>
          <t>6월4일</t>
        </is>
      </c>
      <c r="D268" s="127" t="n">
        <v>4243000</v>
      </c>
      <c r="E268" s="127" t="n"/>
      <c r="F268" s="127" t="n"/>
      <c r="G268" s="127" t="n">
        <v>364000</v>
      </c>
      <c r="H268" s="127" t="n"/>
      <c r="I268" s="127" t="n">
        <v>297000</v>
      </c>
      <c r="J268" s="127" t="n">
        <v>114000</v>
      </c>
      <c r="K268" s="127" t="n">
        <v>96000</v>
      </c>
      <c r="L268" s="127" t="n">
        <v>115000</v>
      </c>
      <c r="M268" s="127" t="n">
        <v>56000</v>
      </c>
      <c r="N268" s="127" t="n"/>
      <c r="O268" s="127" t="n">
        <v>280000</v>
      </c>
      <c r="P268" s="127" t="n"/>
      <c r="Q268" s="127" t="n"/>
      <c r="R268" s="127" t="n"/>
      <c r="S268" s="127" t="n"/>
      <c r="T268" s="127" t="n"/>
      <c r="U268" s="127" t="n"/>
      <c r="V268" s="127" t="n">
        <v>5565000</v>
      </c>
    </row>
    <row r="269">
      <c r="C269" s="94" t="inlineStr">
        <is>
          <t>6월5일</t>
        </is>
      </c>
      <c r="D269" s="127" t="n">
        <v>3074000</v>
      </c>
      <c r="E269" s="127" t="n"/>
      <c r="F269" s="127" t="n"/>
      <c r="G269" s="127" t="n">
        <v>252000</v>
      </c>
      <c r="H269" s="127" t="n"/>
      <c r="I269" s="127" t="n">
        <v>297000</v>
      </c>
      <c r="J269" s="127" t="n">
        <v>38000</v>
      </c>
      <c r="K269" s="127" t="n">
        <v>49000</v>
      </c>
      <c r="L269" s="127" t="n">
        <v>35000</v>
      </c>
      <c r="M269" s="127" t="n">
        <v>40000</v>
      </c>
      <c r="N269" s="127" t="n"/>
      <c r="O269" s="127" t="n">
        <v>80000</v>
      </c>
      <c r="P269" s="127" t="n"/>
      <c r="Q269" s="127" t="n"/>
      <c r="R269" s="127" t="n"/>
      <c r="S269" s="127" t="n"/>
      <c r="T269" s="127" t="n"/>
      <c r="U269" s="127" t="n"/>
      <c r="V269" s="127" t="n">
        <v>3865000</v>
      </c>
    </row>
    <row r="270">
      <c r="C270" s="94" t="inlineStr">
        <is>
          <t>6월6일</t>
        </is>
      </c>
      <c r="D270" s="127" t="n">
        <v>3240000</v>
      </c>
      <c r="E270" s="127" t="n"/>
      <c r="F270" s="127" t="n"/>
      <c r="G270" s="127" t="n">
        <v>308000</v>
      </c>
      <c r="H270" s="127" t="n"/>
      <c r="I270" s="127" t="n">
        <v>396000</v>
      </c>
      <c r="J270" s="127" t="n">
        <v>190000</v>
      </c>
      <c r="K270" s="127" t="n">
        <v>217000</v>
      </c>
      <c r="L270" s="127" t="n">
        <v>35000</v>
      </c>
      <c r="M270" s="127" t="n">
        <v>68000</v>
      </c>
      <c r="N270" s="127" t="n"/>
      <c r="O270" s="127" t="n">
        <v>220000</v>
      </c>
      <c r="P270" s="127" t="n"/>
      <c r="Q270" s="127" t="n"/>
      <c r="R270" s="127" t="n"/>
      <c r="S270" s="127" t="n"/>
      <c r="T270" s="127" t="n"/>
      <c r="U270" s="127" t="n"/>
      <c r="V270" s="127" t="n">
        <v>4674000</v>
      </c>
    </row>
    <row r="271">
      <c r="C271" s="94" t="inlineStr">
        <is>
          <t>6월7일</t>
        </is>
      </c>
      <c r="D271" s="127" t="n">
        <v>4570000</v>
      </c>
      <c r="E271" s="127" t="n"/>
      <c r="F271" s="127" t="n"/>
      <c r="G271" s="127" t="n">
        <v>364000</v>
      </c>
      <c r="H271" s="127" t="n"/>
      <c r="I271" s="127" t="n">
        <v>297000</v>
      </c>
      <c r="J271" s="127" t="n">
        <v>228000</v>
      </c>
      <c r="K271" s="127" t="n">
        <v>220000</v>
      </c>
      <c r="L271" s="127" t="n">
        <v>115000</v>
      </c>
      <c r="M271" s="127" t="n">
        <v>44000</v>
      </c>
      <c r="N271" s="127" t="n"/>
      <c r="O271" s="127" t="n">
        <v>200000</v>
      </c>
      <c r="P271" s="127" t="n"/>
      <c r="Q271" s="127" t="n"/>
      <c r="R271" s="127" t="n"/>
      <c r="S271" s="127" t="n"/>
      <c r="T271" s="127" t="n"/>
      <c r="U271" s="127" t="n"/>
      <c r="V271" s="127" t="n">
        <v>6038000</v>
      </c>
    </row>
    <row r="272">
      <c r="C272" s="94" t="inlineStr">
        <is>
          <t>6월8일</t>
        </is>
      </c>
      <c r="D272" s="127" t="n">
        <v>6354000</v>
      </c>
      <c r="E272" s="127" t="n"/>
      <c r="F272" s="127" t="n"/>
      <c r="G272" s="127" t="n">
        <v>616000</v>
      </c>
      <c r="H272" s="127" t="n"/>
      <c r="I272" s="127" t="n">
        <v>594000</v>
      </c>
      <c r="J272" s="127" t="n">
        <v>494000</v>
      </c>
      <c r="K272" s="127" t="n">
        <v>147000</v>
      </c>
      <c r="L272" s="127" t="n">
        <v>120000</v>
      </c>
      <c r="M272" s="127" t="n">
        <v>52000</v>
      </c>
      <c r="N272" s="127" t="n"/>
      <c r="O272" s="127" t="n">
        <v>180000</v>
      </c>
      <c r="P272" s="127" t="n"/>
      <c r="Q272" s="127" t="n"/>
      <c r="R272" s="127" t="n"/>
      <c r="S272" s="127" t="n"/>
      <c r="T272" s="127" t="n"/>
      <c r="U272" s="127" t="n"/>
      <c r="V272" s="127" t="n">
        <v>8557000</v>
      </c>
    </row>
    <row r="273">
      <c r="C273" s="94" t="inlineStr">
        <is>
          <t>6월9일</t>
        </is>
      </c>
      <c r="D273" s="127" t="n">
        <v>4820000</v>
      </c>
      <c r="E273" s="127" t="n"/>
      <c r="F273" s="127" t="n"/>
      <c r="G273" s="127" t="n">
        <v>280000</v>
      </c>
      <c r="H273" s="127" t="n"/>
      <c r="I273" s="127" t="n">
        <v>594000</v>
      </c>
      <c r="J273" s="127" t="n">
        <v>342000</v>
      </c>
      <c r="K273" s="127" t="n">
        <v>154000</v>
      </c>
      <c r="L273" s="127" t="n">
        <v>20000</v>
      </c>
      <c r="M273" s="127" t="n">
        <v>76000</v>
      </c>
      <c r="N273" s="127" t="n"/>
      <c r="O273" s="127" t="n">
        <v>260000</v>
      </c>
      <c r="P273" s="127" t="n"/>
      <c r="Q273" s="127" t="n"/>
      <c r="R273" s="127" t="n"/>
      <c r="S273" s="127" t="n"/>
      <c r="T273" s="127" t="n"/>
      <c r="U273" s="127" t="n"/>
      <c r="V273" s="127" t="n">
        <v>6546000</v>
      </c>
    </row>
    <row r="274">
      <c r="C274" s="94" t="inlineStr">
        <is>
          <t>6월10일</t>
        </is>
      </c>
      <c r="D274" s="127" t="n">
        <v>18300000</v>
      </c>
      <c r="E274" s="127" t="n"/>
      <c r="F274" s="127" t="n"/>
      <c r="G274" s="127" t="n">
        <v>336000</v>
      </c>
      <c r="H274" s="127" t="n"/>
      <c r="I274" s="127" t="n">
        <v>495000</v>
      </c>
      <c r="J274" s="127" t="n">
        <v>228000</v>
      </c>
      <c r="K274" s="127" t="n">
        <v>170000</v>
      </c>
      <c r="L274" s="127" t="n">
        <v>90000</v>
      </c>
      <c r="M274" s="127" t="n">
        <v>52000</v>
      </c>
      <c r="N274" s="127" t="n"/>
      <c r="O274" s="127" t="n">
        <v>240000</v>
      </c>
      <c r="P274" s="127" t="n"/>
      <c r="Q274" s="127" t="n"/>
      <c r="R274" s="127" t="n"/>
      <c r="S274" s="127" t="n"/>
      <c r="T274" s="127" t="n"/>
      <c r="U274" s="127" t="n"/>
      <c r="V274" s="127" t="n">
        <v>19911000</v>
      </c>
    </row>
    <row r="275">
      <c r="C275" s="94" t="inlineStr">
        <is>
          <t>6월11일</t>
        </is>
      </c>
      <c r="D275" s="127" t="n">
        <v>4281000</v>
      </c>
      <c r="E275" s="127" t="n"/>
      <c r="F275" s="127" t="n"/>
      <c r="G275" s="127" t="n">
        <v>504000</v>
      </c>
      <c r="H275" s="127" t="n"/>
      <c r="I275" s="127" t="n">
        <v>594000</v>
      </c>
      <c r="J275" s="127" t="n">
        <v>266000</v>
      </c>
      <c r="K275" s="127" t="n">
        <v>178000</v>
      </c>
      <c r="L275" s="127" t="n">
        <v>55000</v>
      </c>
      <c r="M275" s="127" t="n">
        <v>292000</v>
      </c>
      <c r="N275" s="127" t="n"/>
      <c r="O275" s="127" t="n">
        <v>300000</v>
      </c>
      <c r="P275" s="127" t="n"/>
      <c r="Q275" s="127" t="n"/>
      <c r="R275" s="127" t="n"/>
      <c r="S275" s="127" t="n"/>
      <c r="T275" s="127" t="n"/>
      <c r="U275" s="127" t="n"/>
      <c r="V275" s="127" t="n">
        <v>6470000</v>
      </c>
    </row>
    <row r="276">
      <c r="C276" s="94" t="inlineStr">
        <is>
          <t>6월12일</t>
        </is>
      </c>
      <c r="D276" s="127" t="n">
        <v>3550000</v>
      </c>
      <c r="E276" s="127" t="n"/>
      <c r="F276" s="127" t="n"/>
      <c r="G276" s="127" t="n">
        <v>364000</v>
      </c>
      <c r="H276" s="127" t="n"/>
      <c r="I276" s="127" t="n">
        <v>396000</v>
      </c>
      <c r="J276" s="127" t="n">
        <v>152000</v>
      </c>
      <c r="K276" s="127" t="n">
        <v>206000</v>
      </c>
      <c r="L276" s="127" t="n">
        <v>410000</v>
      </c>
      <c r="M276" s="127" t="n">
        <v>1604000</v>
      </c>
      <c r="N276" s="127" t="n"/>
      <c r="O276" s="127" t="n">
        <v>560000</v>
      </c>
      <c r="P276" s="127" t="n"/>
      <c r="Q276" s="127" t="n"/>
      <c r="R276" s="127" t="n"/>
      <c r="S276" s="127" t="n"/>
      <c r="T276" s="127" t="n"/>
      <c r="U276" s="127" t="n"/>
      <c r="V276" s="127" t="n">
        <v>7242000</v>
      </c>
    </row>
    <row r="277">
      <c r="C277" s="94" t="inlineStr">
        <is>
          <t>6월13일</t>
        </is>
      </c>
      <c r="D277" s="127" t="n">
        <v>2943000</v>
      </c>
      <c r="E277" s="127" t="n"/>
      <c r="F277" s="127" t="n"/>
      <c r="G277" s="127" t="n">
        <v>280000</v>
      </c>
      <c r="H277" s="127" t="n"/>
      <c r="I277" s="127" t="n">
        <v>396000</v>
      </c>
      <c r="J277" s="127" t="n">
        <v>228000</v>
      </c>
      <c r="K277" s="127" t="n">
        <v>132000</v>
      </c>
      <c r="L277" s="127" t="n">
        <v>55000</v>
      </c>
      <c r="M277" s="127" t="n"/>
      <c r="N277" s="127" t="n"/>
      <c r="O277" s="127" t="n">
        <v>260000</v>
      </c>
      <c r="P277" s="127" t="n"/>
      <c r="Q277" s="127" t="n"/>
      <c r="R277" s="127" t="n"/>
      <c r="S277" s="127" t="n"/>
      <c r="T277" s="127" t="n"/>
      <c r="U277" s="127" t="n"/>
      <c r="V277" s="127" t="n">
        <v>4294000</v>
      </c>
    </row>
    <row r="278">
      <c r="C278" s="94" t="inlineStr">
        <is>
          <t>6월14일</t>
        </is>
      </c>
      <c r="D278" s="127" t="n">
        <v>3977000</v>
      </c>
      <c r="E278" s="127" t="n"/>
      <c r="F278" s="127" t="n"/>
      <c r="G278" s="127" t="n">
        <v>336000</v>
      </c>
      <c r="H278" s="127" t="n"/>
      <c r="I278" s="127" t="n">
        <v>792000</v>
      </c>
      <c r="J278" s="127" t="n">
        <v>38000</v>
      </c>
      <c r="K278" s="127" t="n">
        <v>119000</v>
      </c>
      <c r="L278" s="127" t="n">
        <v>80000</v>
      </c>
      <c r="M278" s="127" t="n">
        <v>88000</v>
      </c>
      <c r="N278" s="127" t="n"/>
      <c r="O278" s="127" t="n">
        <v>140000</v>
      </c>
      <c r="P278" s="127" t="n"/>
      <c r="Q278" s="127" t="n"/>
      <c r="R278" s="127" t="n"/>
      <c r="S278" s="127" t="n"/>
      <c r="T278" s="127" t="n"/>
      <c r="U278" s="127" t="n"/>
      <c r="V278" s="127" t="n">
        <v>5570000</v>
      </c>
    </row>
    <row r="279">
      <c r="C279" s="94" t="inlineStr">
        <is>
          <t>6월15일</t>
        </is>
      </c>
      <c r="D279" s="127" t="n">
        <v>4898000</v>
      </c>
      <c r="E279" s="127" t="n"/>
      <c r="F279" s="127" t="n"/>
      <c r="G279" s="127" t="n">
        <v>476000</v>
      </c>
      <c r="H279" s="127" t="n"/>
      <c r="I279" s="127" t="n">
        <v>396000</v>
      </c>
      <c r="J279" s="127" t="n">
        <v>190000</v>
      </c>
      <c r="K279" s="127" t="n">
        <v>193000</v>
      </c>
      <c r="L279" s="127" t="n">
        <v>110000</v>
      </c>
      <c r="M279" s="127" t="n">
        <v>168000</v>
      </c>
      <c r="N279" s="127" t="n"/>
      <c r="O279" s="127" t="n">
        <v>220000</v>
      </c>
      <c r="P279" s="127" t="n"/>
      <c r="Q279" s="127" t="n"/>
      <c r="R279" s="127" t="n"/>
      <c r="S279" s="127" t="n"/>
      <c r="T279" s="127" t="n"/>
      <c r="U279" s="127" t="n"/>
      <c r="V279" s="127" t="n">
        <v>6651000</v>
      </c>
    </row>
    <row r="280">
      <c r="C280" s="94" t="inlineStr">
        <is>
          <t>6월16일</t>
        </is>
      </c>
      <c r="D280" s="127" t="n">
        <v>4522000</v>
      </c>
      <c r="E280" s="127" t="n"/>
      <c r="F280" s="127" t="n"/>
      <c r="G280" s="127" t="n">
        <v>420000</v>
      </c>
      <c r="H280" s="127" t="n"/>
      <c r="I280" s="127" t="n">
        <v>396000</v>
      </c>
      <c r="J280" s="127" t="n">
        <v>114000</v>
      </c>
      <c r="K280" s="127" t="n">
        <v>114000</v>
      </c>
      <c r="L280" s="127" t="n">
        <v>75000</v>
      </c>
      <c r="M280" s="127" t="n">
        <v>48000</v>
      </c>
      <c r="N280" s="127" t="n"/>
      <c r="O280" s="127" t="n">
        <v>160000</v>
      </c>
      <c r="P280" s="127" t="n"/>
      <c r="Q280" s="127" t="n"/>
      <c r="R280" s="127" t="n"/>
      <c r="S280" s="127" t="n"/>
      <c r="T280" s="127" t="n"/>
      <c r="U280" s="127" t="n"/>
      <c r="V280" s="127" t="n">
        <v>5849000</v>
      </c>
    </row>
    <row r="281">
      <c r="C281" s="94" t="inlineStr">
        <is>
          <t>6월17일</t>
        </is>
      </c>
      <c r="D281" s="127" t="n">
        <v>3898000</v>
      </c>
      <c r="E281" s="127" t="n"/>
      <c r="F281" s="127" t="n"/>
      <c r="G281" s="127" t="n">
        <v>420000</v>
      </c>
      <c r="H281" s="127" t="n"/>
      <c r="I281" s="127" t="n">
        <v>693000</v>
      </c>
      <c r="J281" s="127" t="n">
        <v>114000</v>
      </c>
      <c r="K281" s="127" t="n">
        <v>108000</v>
      </c>
      <c r="L281" s="127" t="n">
        <v>140000</v>
      </c>
      <c r="M281" s="127" t="n">
        <v>48000</v>
      </c>
      <c r="N281" s="127" t="n"/>
      <c r="O281" s="127" t="n">
        <v>380000</v>
      </c>
      <c r="P281" s="127" t="n">
        <v>80000</v>
      </c>
      <c r="Q281" s="127" t="n"/>
      <c r="R281" s="127" t="n"/>
      <c r="S281" s="127" t="n"/>
      <c r="T281" s="127" t="n"/>
      <c r="U281" s="127" t="n"/>
      <c r="V281" s="127" t="n">
        <v>5881000</v>
      </c>
    </row>
    <row r="282">
      <c r="C282" s="94" t="inlineStr">
        <is>
          <t>6월18일</t>
        </is>
      </c>
      <c r="D282" s="127" t="n">
        <v>5013000</v>
      </c>
      <c r="E282" s="127" t="n"/>
      <c r="F282" s="127" t="n"/>
      <c r="G282" s="127" t="n">
        <v>308000</v>
      </c>
      <c r="H282" s="127" t="n"/>
      <c r="I282" s="127" t="n">
        <v>1584000</v>
      </c>
      <c r="J282" s="127" t="n">
        <v>114000</v>
      </c>
      <c r="K282" s="127" t="n">
        <v>253000</v>
      </c>
      <c r="L282" s="127" t="n">
        <v>115000</v>
      </c>
      <c r="M282" s="127" t="n">
        <v>140000</v>
      </c>
      <c r="N282" s="127" t="n"/>
      <c r="O282" s="127" t="n">
        <v>270000</v>
      </c>
      <c r="P282" s="127" t="n">
        <v>1545000</v>
      </c>
      <c r="Q282" s="127" t="n"/>
      <c r="R282" s="127" t="n"/>
      <c r="S282" s="127" t="n"/>
      <c r="T282" s="127" t="n"/>
      <c r="U282" s="127" t="n"/>
      <c r="V282" s="127" t="n">
        <v>9342000</v>
      </c>
    </row>
    <row r="283">
      <c r="C283" s="94" t="inlineStr">
        <is>
          <t>6월19일</t>
        </is>
      </c>
      <c r="D283" s="127" t="n">
        <v>8423000</v>
      </c>
      <c r="E283" s="127" t="n"/>
      <c r="F283" s="127" t="n"/>
      <c r="G283" s="127" t="n">
        <v>448000</v>
      </c>
      <c r="H283" s="127" t="n"/>
      <c r="I283" s="127" t="n">
        <v>1485000</v>
      </c>
      <c r="J283" s="127" t="n">
        <v>152000</v>
      </c>
      <c r="K283" s="127" t="n">
        <v>112000</v>
      </c>
      <c r="L283" s="127" t="n">
        <v>115000</v>
      </c>
      <c r="M283" s="127" t="n">
        <v>40000</v>
      </c>
      <c r="N283" s="127" t="n"/>
      <c r="O283" s="127" t="n">
        <v>40000</v>
      </c>
      <c r="P283" s="127" t="n">
        <v>800000</v>
      </c>
      <c r="Q283" s="127" t="n"/>
      <c r="R283" s="127" t="n"/>
      <c r="S283" s="127" t="n"/>
      <c r="T283" s="127" t="n"/>
      <c r="U283" s="127" t="n"/>
      <c r="V283" s="127" t="n">
        <v>11615000</v>
      </c>
    </row>
    <row r="284">
      <c r="C284" s="94" t="inlineStr">
        <is>
          <t>6월20일</t>
        </is>
      </c>
      <c r="D284" s="127" t="n">
        <v>3931000</v>
      </c>
      <c r="E284" s="127" t="n"/>
      <c r="F284" s="127" t="n"/>
      <c r="G284" s="127" t="n">
        <v>252000</v>
      </c>
      <c r="H284" s="127" t="n"/>
      <c r="I284" s="127" t="n">
        <v>891000</v>
      </c>
      <c r="J284" s="127" t="n">
        <v>114000</v>
      </c>
      <c r="K284" s="127" t="n">
        <v>241000</v>
      </c>
      <c r="L284" s="127" t="n">
        <v>55000</v>
      </c>
      <c r="M284" s="127" t="n">
        <v>72000</v>
      </c>
      <c r="N284" s="127" t="n"/>
      <c r="O284" s="127" t="n">
        <v>20000</v>
      </c>
      <c r="P284" s="127" t="n">
        <v>250000</v>
      </c>
      <c r="Q284" s="127" t="n"/>
      <c r="R284" s="127" t="n"/>
      <c r="S284" s="127" t="n"/>
      <c r="T284" s="127" t="n"/>
      <c r="U284" s="127" t="n"/>
      <c r="V284" s="127" t="n">
        <v>5826000</v>
      </c>
    </row>
    <row r="285">
      <c r="C285" s="94" t="inlineStr">
        <is>
          <t>6월21일</t>
        </is>
      </c>
      <c r="D285" s="127" t="n">
        <v>4513000</v>
      </c>
      <c r="E285" s="127" t="n"/>
      <c r="F285" s="127" t="n"/>
      <c r="G285" s="127" t="n">
        <v>476000</v>
      </c>
      <c r="H285" s="127" t="n"/>
      <c r="I285" s="127" t="n">
        <v>693000</v>
      </c>
      <c r="J285" s="127" t="n">
        <v>304000</v>
      </c>
      <c r="K285" s="127" t="n">
        <v>163000</v>
      </c>
      <c r="L285" s="127" t="n">
        <v>40000</v>
      </c>
      <c r="M285" s="127" t="n">
        <v>88000</v>
      </c>
      <c r="N285" s="127" t="n"/>
      <c r="O285" s="127" t="n">
        <v>80000</v>
      </c>
      <c r="P285" s="127" t="n">
        <v>90000</v>
      </c>
      <c r="Q285" s="127" t="n"/>
      <c r="R285" s="127" t="n"/>
      <c r="S285" s="127" t="n"/>
      <c r="T285" s="127" t="n"/>
      <c r="U285" s="127" t="n"/>
      <c r="V285" s="127" t="n">
        <v>6447000</v>
      </c>
    </row>
    <row r="286">
      <c r="C286" s="94" t="inlineStr">
        <is>
          <t>6월22일</t>
        </is>
      </c>
      <c r="D286" s="127" t="n">
        <v>4715000</v>
      </c>
      <c r="E286" s="127" t="n"/>
      <c r="F286" s="127" t="n"/>
      <c r="G286" s="127" t="n">
        <v>560000</v>
      </c>
      <c r="H286" s="127" t="n"/>
      <c r="I286" s="127" t="n">
        <v>594000</v>
      </c>
      <c r="J286" s="127" t="n">
        <v>114000</v>
      </c>
      <c r="K286" s="127" t="n">
        <v>181000</v>
      </c>
      <c r="L286" s="127" t="n">
        <v>40000</v>
      </c>
      <c r="M286" s="127" t="n">
        <v>36000</v>
      </c>
      <c r="N286" s="127" t="n"/>
      <c r="O286" s="127" t="n">
        <v>110000</v>
      </c>
      <c r="P286" s="127" t="n">
        <v>470000</v>
      </c>
      <c r="Q286" s="127" t="n"/>
      <c r="R286" s="127" t="n"/>
      <c r="S286" s="127" t="n"/>
      <c r="T286" s="127" t="n"/>
      <c r="U286" s="127" t="n"/>
      <c r="V286" s="127" t="n">
        <v>6820000</v>
      </c>
    </row>
    <row r="287">
      <c r="C287" s="94" t="inlineStr">
        <is>
          <t>6월23일</t>
        </is>
      </c>
      <c r="D287" s="127" t="n">
        <v>4712000</v>
      </c>
      <c r="E287" s="127" t="n"/>
      <c r="F287" s="127" t="n"/>
      <c r="G287" s="127" t="n">
        <v>392000</v>
      </c>
      <c r="H287" s="127" t="n"/>
      <c r="I287" s="127" t="n">
        <v>693000</v>
      </c>
      <c r="J287" s="127" t="n">
        <v>304000</v>
      </c>
      <c r="K287" s="127" t="n">
        <v>154000</v>
      </c>
      <c r="L287" s="127" t="n">
        <v>75000</v>
      </c>
      <c r="M287" s="127" t="n">
        <v>104000</v>
      </c>
      <c r="N287" s="127" t="n"/>
      <c r="O287" s="127" t="n">
        <v>170000</v>
      </c>
      <c r="P287" s="127" t="n">
        <v>740000</v>
      </c>
      <c r="Q287" s="127" t="n"/>
      <c r="R287" s="127" t="n"/>
      <c r="S287" s="127" t="n"/>
      <c r="T287" s="127" t="n"/>
      <c r="U287" s="127" t="n"/>
      <c r="V287" s="127" t="n">
        <v>7344000</v>
      </c>
    </row>
    <row r="288">
      <c r="C288" s="94" t="inlineStr">
        <is>
          <t>6월24일</t>
        </is>
      </c>
      <c r="D288" s="127" t="n">
        <v>4420000</v>
      </c>
      <c r="E288" s="127" t="n"/>
      <c r="F288" s="127" t="n"/>
      <c r="G288" s="127" t="n">
        <v>504000</v>
      </c>
      <c r="H288" s="127" t="n"/>
      <c r="I288" s="127" t="n">
        <v>594000</v>
      </c>
      <c r="J288" s="127" t="n">
        <v>152000</v>
      </c>
      <c r="K288" s="127" t="n">
        <v>134000</v>
      </c>
      <c r="L288" s="127" t="n">
        <v>20000</v>
      </c>
      <c r="M288" s="127" t="n">
        <v>32000</v>
      </c>
      <c r="N288" s="127" t="n"/>
      <c r="O288" s="127" t="n">
        <v>40000</v>
      </c>
      <c r="P288" s="127" t="n">
        <v>195000</v>
      </c>
      <c r="Q288" s="127" t="n"/>
      <c r="R288" s="127" t="n"/>
      <c r="S288" s="127" t="n"/>
      <c r="T288" s="127" t="n"/>
      <c r="U288" s="127" t="n"/>
      <c r="V288" s="127" t="n">
        <v>6091000</v>
      </c>
    </row>
    <row r="289">
      <c r="C289" s="94" t="inlineStr">
        <is>
          <t>6월25일</t>
        </is>
      </c>
      <c r="D289" s="127" t="n">
        <v>11591000</v>
      </c>
      <c r="E289" s="127" t="n"/>
      <c r="F289" s="127" t="n"/>
      <c r="G289" s="127" t="n">
        <v>280000</v>
      </c>
      <c r="H289" s="127" t="n"/>
      <c r="I289" s="127" t="n">
        <v>1188000</v>
      </c>
      <c r="J289" s="127" t="n">
        <v>114000</v>
      </c>
      <c r="K289" s="127" t="n">
        <v>240000</v>
      </c>
      <c r="L289" s="127" t="n">
        <v>135000</v>
      </c>
      <c r="M289" s="127" t="n">
        <v>24000</v>
      </c>
      <c r="N289" s="127" t="n"/>
      <c r="O289" s="127" t="n">
        <v>135000</v>
      </c>
      <c r="P289" s="127" t="n">
        <v>250000</v>
      </c>
      <c r="Q289" s="127" t="n"/>
      <c r="R289" s="127" t="n"/>
      <c r="S289" s="127" t="n"/>
      <c r="T289" s="127" t="n"/>
      <c r="U289" s="127" t="n"/>
      <c r="V289" s="127" t="n">
        <v>13957000</v>
      </c>
    </row>
    <row r="290">
      <c r="C290" s="94" t="inlineStr">
        <is>
          <t>6월26일</t>
        </is>
      </c>
      <c r="D290" s="127" t="n">
        <v>4028000</v>
      </c>
      <c r="E290" s="127" t="n"/>
      <c r="F290" s="127" t="n"/>
      <c r="G290" s="127" t="n">
        <v>504000</v>
      </c>
      <c r="H290" s="127" t="n"/>
      <c r="I290" s="127" t="n">
        <v>396000</v>
      </c>
      <c r="J290" s="127" t="n">
        <v>152000</v>
      </c>
      <c r="K290" s="127" t="n">
        <v>161000</v>
      </c>
      <c r="L290" s="127" t="n">
        <v>40000</v>
      </c>
      <c r="M290" s="127" t="n">
        <v>12000</v>
      </c>
      <c r="N290" s="127" t="n"/>
      <c r="O290" s="127" t="n">
        <v>75000</v>
      </c>
      <c r="P290" s="127" t="n">
        <v>660000</v>
      </c>
      <c r="Q290" s="127" t="n"/>
      <c r="R290" s="127" t="n"/>
      <c r="S290" s="127" t="n"/>
      <c r="T290" s="127" t="n"/>
      <c r="U290" s="127" t="n"/>
      <c r="V290" s="127" t="n">
        <v>6028000</v>
      </c>
    </row>
    <row r="291">
      <c r="C291" s="94" t="inlineStr">
        <is>
          <t>6월27일</t>
        </is>
      </c>
      <c r="D291" s="127" t="n">
        <v>3593000</v>
      </c>
      <c r="E291" s="127" t="n"/>
      <c r="F291" s="127" t="n"/>
      <c r="G291" s="127" t="n">
        <v>336000</v>
      </c>
      <c r="H291" s="127" t="n"/>
      <c r="I291" s="127" t="n">
        <v>594000</v>
      </c>
      <c r="J291" s="127" t="n">
        <v>152000</v>
      </c>
      <c r="K291" s="127" t="n">
        <v>139000</v>
      </c>
      <c r="L291" s="127" t="n">
        <v>60000</v>
      </c>
      <c r="M291" s="127" t="n">
        <v>44000</v>
      </c>
      <c r="N291" s="127" t="n"/>
      <c r="O291" s="127" t="n">
        <v>80000</v>
      </c>
      <c r="P291" s="127" t="n">
        <v>320000</v>
      </c>
      <c r="Q291" s="127" t="n"/>
      <c r="R291" s="127" t="n"/>
      <c r="S291" s="127" t="n"/>
      <c r="T291" s="127" t="n"/>
      <c r="U291" s="127" t="n"/>
      <c r="V291" s="127" t="n">
        <v>5318000</v>
      </c>
    </row>
    <row r="292">
      <c r="C292" s="94" t="inlineStr">
        <is>
          <t>6월28일</t>
        </is>
      </c>
      <c r="D292" s="127" t="n">
        <v>4474000</v>
      </c>
      <c r="E292" s="127" t="n"/>
      <c r="F292" s="127" t="n"/>
      <c r="G292" s="127" t="n">
        <v>252000</v>
      </c>
      <c r="H292" s="127" t="n"/>
      <c r="I292" s="127" t="n">
        <v>792000</v>
      </c>
      <c r="J292" s="127" t="n">
        <v>342000</v>
      </c>
      <c r="K292" s="127" t="n">
        <v>131000</v>
      </c>
      <c r="L292" s="127" t="n">
        <v>75000</v>
      </c>
      <c r="M292" s="127" t="n">
        <v>92000</v>
      </c>
      <c r="N292" s="127" t="n"/>
      <c r="O292" s="127" t="n">
        <v>135000</v>
      </c>
      <c r="P292" s="127" t="n">
        <v>125000</v>
      </c>
      <c r="Q292" s="127" t="n"/>
      <c r="R292" s="127" t="n"/>
      <c r="S292" s="127" t="n"/>
      <c r="T292" s="127" t="n"/>
      <c r="U292" s="127" t="n"/>
      <c r="V292" s="127" t="n">
        <v>6418000</v>
      </c>
    </row>
    <row r="293">
      <c r="C293" s="94" t="inlineStr">
        <is>
          <t>6월29일</t>
        </is>
      </c>
      <c r="D293" s="127" t="n">
        <v>5689000</v>
      </c>
      <c r="E293" s="127" t="n"/>
      <c r="F293" s="127" t="n"/>
      <c r="G293" s="127" t="n">
        <v>308000</v>
      </c>
      <c r="H293" s="127" t="n"/>
      <c r="I293" s="127" t="n">
        <v>792000</v>
      </c>
      <c r="J293" s="127" t="n">
        <v>266000</v>
      </c>
      <c r="K293" s="127" t="n">
        <v>121000</v>
      </c>
      <c r="L293" s="127" t="n">
        <v>40000</v>
      </c>
      <c r="M293" s="127" t="n">
        <v>40000</v>
      </c>
      <c r="N293" s="127" t="n"/>
      <c r="O293" s="127" t="n">
        <v>95000</v>
      </c>
      <c r="P293" s="127" t="n">
        <v>230000</v>
      </c>
      <c r="Q293" s="127" t="n"/>
      <c r="R293" s="127" t="n"/>
      <c r="S293" s="127" t="n"/>
      <c r="T293" s="127" t="n"/>
      <c r="U293" s="127" t="n"/>
      <c r="V293" s="127" t="n">
        <v>7581000</v>
      </c>
    </row>
    <row r="294">
      <c r="C294" s="94" t="inlineStr">
        <is>
          <t>6월30일</t>
        </is>
      </c>
      <c r="D294" s="127" t="n">
        <v>5036000</v>
      </c>
      <c r="E294" s="127" t="n"/>
      <c r="F294" s="127" t="n"/>
      <c r="G294" s="127" t="n">
        <v>364000</v>
      </c>
      <c r="H294" s="127" t="n"/>
      <c r="I294" s="127" t="n">
        <v>495000</v>
      </c>
      <c r="J294" s="127" t="n">
        <v>152000</v>
      </c>
      <c r="K294" s="127" t="n">
        <v>215000</v>
      </c>
      <c r="L294" s="127" t="n">
        <v>60000</v>
      </c>
      <c r="M294" s="127" t="n">
        <v>208000</v>
      </c>
      <c r="N294" s="127" t="n"/>
      <c r="O294" s="127" t="n">
        <v>175000</v>
      </c>
      <c r="P294" s="127" t="n">
        <v>355000</v>
      </c>
      <c r="Q294" s="127" t="n"/>
      <c r="R294" s="127" t="n"/>
      <c r="S294" s="127" t="n"/>
      <c r="T294" s="127" t="n"/>
      <c r="U294" s="127" t="n"/>
      <c r="V294" s="127" t="n">
        <v>7060000</v>
      </c>
    </row>
    <row r="295">
      <c r="B295" s="94" t="inlineStr">
        <is>
          <t>6월 요약</t>
        </is>
      </c>
      <c r="C295" s="94" t="n"/>
      <c r="D295" s="127" t="n">
        <v>163738000</v>
      </c>
      <c r="E295" s="127" t="n"/>
      <c r="F295" s="127" t="n"/>
      <c r="G295" s="127" t="n">
        <v>11676000</v>
      </c>
      <c r="H295" s="127" t="n"/>
      <c r="I295" s="127" t="n">
        <v>19602000</v>
      </c>
      <c r="J295" s="127" t="n">
        <v>5776000</v>
      </c>
      <c r="K295" s="127" t="n">
        <v>4862000</v>
      </c>
      <c r="L295" s="127" t="n">
        <v>2515000</v>
      </c>
      <c r="M295" s="127" t="n">
        <v>3900000</v>
      </c>
      <c r="N295" s="127" t="n"/>
      <c r="O295" s="127" t="n">
        <v>5665000</v>
      </c>
      <c r="P295" s="127" t="n">
        <v>6110000</v>
      </c>
      <c r="Q295" s="127" t="n"/>
      <c r="R295" s="127" t="n"/>
      <c r="S295" s="127" t="n"/>
      <c r="T295" s="127" t="n"/>
      <c r="U295" s="127" t="n"/>
      <c r="V295" s="127" t="n">
        <v>223844000</v>
      </c>
    </row>
    <row r="296">
      <c r="B296" s="94" t="inlineStr">
        <is>
          <t>7월</t>
        </is>
      </c>
      <c r="C296" s="94" t="inlineStr">
        <is>
          <t>7월1일</t>
        </is>
      </c>
      <c r="D296" s="127" t="n">
        <v>6452000</v>
      </c>
      <c r="E296" s="127" t="n"/>
      <c r="F296" s="127" t="n"/>
      <c r="G296" s="127" t="n">
        <v>644000</v>
      </c>
      <c r="H296" s="127" t="n"/>
      <c r="I296" s="127" t="n">
        <v>495000</v>
      </c>
      <c r="J296" s="127" t="n">
        <v>304000</v>
      </c>
      <c r="K296" s="127" t="n">
        <v>237000</v>
      </c>
      <c r="L296" s="127" t="n">
        <v>40000</v>
      </c>
      <c r="M296" s="127" t="n">
        <v>64000</v>
      </c>
      <c r="N296" s="127" t="n"/>
      <c r="O296" s="127" t="n">
        <v>355000</v>
      </c>
      <c r="P296" s="127" t="n">
        <v>555000</v>
      </c>
      <c r="Q296" s="127" t="n"/>
      <c r="R296" s="127" t="n"/>
      <c r="S296" s="127" t="n"/>
      <c r="T296" s="127" t="n"/>
      <c r="U296" s="127" t="n"/>
      <c r="V296" s="127" t="n">
        <v>9146000</v>
      </c>
    </row>
    <row r="297">
      <c r="C297" s="94" t="inlineStr">
        <is>
          <t>7월2일</t>
        </is>
      </c>
      <c r="D297" s="127" t="n">
        <v>4944000</v>
      </c>
      <c r="E297" s="127" t="n"/>
      <c r="F297" s="127" t="n"/>
      <c r="G297" s="127" t="n">
        <v>588000</v>
      </c>
      <c r="H297" s="127" t="n"/>
      <c r="I297" s="127" t="n"/>
      <c r="J297" s="127" t="n">
        <v>76000</v>
      </c>
      <c r="K297" s="127" t="n">
        <v>221000</v>
      </c>
      <c r="L297" s="127" t="n">
        <v>115000</v>
      </c>
      <c r="M297" s="127" t="n">
        <v>68000</v>
      </c>
      <c r="N297" s="127" t="n"/>
      <c r="O297" s="127" t="n">
        <v>280000</v>
      </c>
      <c r="P297" s="127" t="n">
        <v>320000</v>
      </c>
      <c r="Q297" s="127" t="n"/>
      <c r="R297" s="127" t="n"/>
      <c r="S297" s="127" t="n"/>
      <c r="T297" s="127" t="n"/>
      <c r="U297" s="127" t="n"/>
      <c r="V297" s="127" t="n">
        <v>6612000</v>
      </c>
    </row>
    <row r="298">
      <c r="C298" s="94" t="inlineStr">
        <is>
          <t>7월3일</t>
        </is>
      </c>
      <c r="D298" s="127" t="n">
        <v>4366000</v>
      </c>
      <c r="E298" s="127" t="n"/>
      <c r="F298" s="127" t="n"/>
      <c r="G298" s="127" t="n">
        <v>280000</v>
      </c>
      <c r="H298" s="127" t="n"/>
      <c r="I298" s="127" t="n">
        <v>594000</v>
      </c>
      <c r="J298" s="127" t="n">
        <v>114000</v>
      </c>
      <c r="K298" s="127" t="n">
        <v>159000</v>
      </c>
      <c r="L298" s="127" t="n">
        <v>80000</v>
      </c>
      <c r="M298" s="127" t="n">
        <v>12000</v>
      </c>
      <c r="N298" s="127" t="n"/>
      <c r="O298" s="127" t="n">
        <v>110000</v>
      </c>
      <c r="P298" s="127" t="n">
        <v>160000</v>
      </c>
      <c r="Q298" s="127" t="n"/>
      <c r="R298" s="127" t="n"/>
      <c r="S298" s="127" t="n"/>
      <c r="T298" s="127" t="n"/>
      <c r="U298" s="127" t="n"/>
      <c r="V298" s="127" t="n">
        <v>5875000</v>
      </c>
    </row>
    <row r="299">
      <c r="C299" s="94" t="inlineStr">
        <is>
          <t>7월4일</t>
        </is>
      </c>
      <c r="D299" s="127" t="n">
        <v>3044000</v>
      </c>
      <c r="E299" s="127" t="n"/>
      <c r="F299" s="127" t="n"/>
      <c r="G299" s="127" t="n">
        <v>280000</v>
      </c>
      <c r="H299" s="127" t="n"/>
      <c r="I299" s="127" t="n">
        <v>297000</v>
      </c>
      <c r="J299" s="127" t="n">
        <v>76000</v>
      </c>
      <c r="K299" s="127" t="n">
        <v>47000</v>
      </c>
      <c r="L299" s="127" t="n">
        <v>75000</v>
      </c>
      <c r="M299" s="127" t="n">
        <v>88000</v>
      </c>
      <c r="N299" s="127" t="n"/>
      <c r="O299" s="127" t="n">
        <v>75000</v>
      </c>
      <c r="P299" s="127" t="n">
        <v>45000</v>
      </c>
      <c r="Q299" s="127" t="n"/>
      <c r="R299" s="127" t="n"/>
      <c r="S299" s="127" t="n"/>
      <c r="T299" s="127" t="n"/>
      <c r="U299" s="127" t="n"/>
      <c r="V299" s="127" t="n">
        <v>4027000</v>
      </c>
    </row>
    <row r="300">
      <c r="C300" s="94" t="inlineStr">
        <is>
          <t>7월5일</t>
        </is>
      </c>
      <c r="D300" s="127" t="n">
        <v>4912000</v>
      </c>
      <c r="E300" s="127" t="n"/>
      <c r="F300" s="127" t="n"/>
      <c r="G300" s="127" t="n">
        <v>280000</v>
      </c>
      <c r="H300" s="127" t="n"/>
      <c r="I300" s="127" t="n">
        <v>297000</v>
      </c>
      <c r="J300" s="127" t="n">
        <v>76000</v>
      </c>
      <c r="K300" s="127" t="n">
        <v>188000</v>
      </c>
      <c r="L300" s="127" t="n">
        <v>110000</v>
      </c>
      <c r="M300" s="127" t="n">
        <v>96000</v>
      </c>
      <c r="N300" s="127" t="n"/>
      <c r="O300" s="127" t="n">
        <v>150000</v>
      </c>
      <c r="P300" s="127" t="n">
        <v>260000</v>
      </c>
      <c r="Q300" s="127" t="n"/>
      <c r="R300" s="127" t="n"/>
      <c r="S300" s="127" t="n"/>
      <c r="T300" s="127" t="n"/>
      <c r="U300" s="127" t="n"/>
      <c r="V300" s="127" t="n">
        <v>6369000</v>
      </c>
    </row>
    <row r="301">
      <c r="C301" s="94" t="inlineStr">
        <is>
          <t>7월6일</t>
        </is>
      </c>
      <c r="D301" s="127" t="n">
        <v>14037000</v>
      </c>
      <c r="E301" s="127" t="n"/>
      <c r="F301" s="127" t="n"/>
      <c r="G301" s="127" t="n">
        <v>476000</v>
      </c>
      <c r="H301" s="127" t="n"/>
      <c r="I301" s="127" t="n">
        <v>990000</v>
      </c>
      <c r="J301" s="127" t="n">
        <v>190000</v>
      </c>
      <c r="K301" s="127" t="n">
        <v>520000</v>
      </c>
      <c r="L301" s="127" t="n">
        <v>95000</v>
      </c>
      <c r="M301" s="127" t="n">
        <v>1200000</v>
      </c>
      <c r="N301" s="127" t="n"/>
      <c r="O301" s="127" t="n">
        <v>155000</v>
      </c>
      <c r="P301" s="127" t="n">
        <v>640000</v>
      </c>
      <c r="Q301" s="127" t="n"/>
      <c r="R301" s="127" t="n"/>
      <c r="S301" s="127" t="n"/>
      <c r="T301" s="127" t="n"/>
      <c r="U301" s="127" t="n"/>
      <c r="V301" s="127" t="n">
        <v>18303000</v>
      </c>
    </row>
    <row r="302">
      <c r="C302" s="94" t="inlineStr">
        <is>
          <t>7월7일</t>
        </is>
      </c>
      <c r="D302" s="127" t="n">
        <v>4921000</v>
      </c>
      <c r="E302" s="127" t="n"/>
      <c r="F302" s="127" t="n"/>
      <c r="G302" s="127" t="n">
        <v>448000</v>
      </c>
      <c r="H302" s="127" t="n"/>
      <c r="I302" s="127" t="n">
        <v>495000</v>
      </c>
      <c r="J302" s="127" t="n">
        <v>304000</v>
      </c>
      <c r="K302" s="127" t="n">
        <v>115000</v>
      </c>
      <c r="L302" s="127" t="n">
        <v>40000</v>
      </c>
      <c r="M302" s="127" t="n">
        <v>168000</v>
      </c>
      <c r="N302" s="127" t="n"/>
      <c r="O302" s="127" t="n">
        <v>195000</v>
      </c>
      <c r="P302" s="127" t="n">
        <v>465000</v>
      </c>
      <c r="Q302" s="127" t="n"/>
      <c r="R302" s="127" t="n"/>
      <c r="S302" s="127" t="n"/>
      <c r="T302" s="127" t="n"/>
      <c r="U302" s="127" t="n"/>
      <c r="V302" s="127" t="n">
        <v>7151000</v>
      </c>
    </row>
    <row r="303">
      <c r="C303" s="94" t="inlineStr">
        <is>
          <t>7월8일</t>
        </is>
      </c>
      <c r="D303" s="127" t="n">
        <v>8167000</v>
      </c>
      <c r="E303" s="127" t="n"/>
      <c r="F303" s="127" t="n"/>
      <c r="G303" s="127" t="n">
        <v>196000</v>
      </c>
      <c r="H303" s="127" t="n"/>
      <c r="I303" s="127" t="n">
        <v>297000</v>
      </c>
      <c r="J303" s="127" t="n">
        <v>228000</v>
      </c>
      <c r="K303" s="127" t="n">
        <v>154000</v>
      </c>
      <c r="L303" s="127" t="n">
        <v>55000</v>
      </c>
      <c r="M303" s="127" t="n">
        <v>68000</v>
      </c>
      <c r="N303" s="127" t="n"/>
      <c r="O303" s="127" t="n">
        <v>215000</v>
      </c>
      <c r="P303" s="127" t="n">
        <v>70000</v>
      </c>
      <c r="Q303" s="127" t="n"/>
      <c r="R303" s="127" t="n"/>
      <c r="S303" s="127" t="n"/>
      <c r="T303" s="127" t="n"/>
      <c r="U303" s="127" t="n"/>
      <c r="V303" s="127" t="n">
        <v>9450000</v>
      </c>
    </row>
    <row r="304">
      <c r="C304" s="94" t="inlineStr">
        <is>
          <t>7월9일</t>
        </is>
      </c>
      <c r="D304" s="127" t="n">
        <v>4833000</v>
      </c>
      <c r="E304" s="127" t="n"/>
      <c r="F304" s="127" t="n"/>
      <c r="G304" s="127" t="n">
        <v>448000</v>
      </c>
      <c r="H304" s="127" t="n"/>
      <c r="I304" s="127" t="n">
        <v>495000</v>
      </c>
      <c r="J304" s="127" t="n">
        <v>342000</v>
      </c>
      <c r="K304" s="127" t="n">
        <v>242000</v>
      </c>
      <c r="L304" s="127" t="n">
        <v>40000</v>
      </c>
      <c r="M304" s="127" t="n">
        <v>20000</v>
      </c>
      <c r="N304" s="127" t="n"/>
      <c r="O304" s="127" t="n">
        <v>280000</v>
      </c>
      <c r="P304" s="127" t="n">
        <v>480000</v>
      </c>
      <c r="Q304" s="127" t="n"/>
      <c r="R304" s="127" t="n"/>
      <c r="S304" s="127" t="n"/>
      <c r="T304" s="127" t="n"/>
      <c r="U304" s="127" t="n"/>
      <c r="V304" s="127" t="n">
        <v>7180000</v>
      </c>
    </row>
    <row r="305">
      <c r="C305" s="94" t="inlineStr">
        <is>
          <t>7월10일</t>
        </is>
      </c>
      <c r="D305" s="127" t="n">
        <v>4757000</v>
      </c>
      <c r="E305" s="127" t="n"/>
      <c r="F305" s="127" t="n"/>
      <c r="G305" s="127" t="n">
        <v>476000</v>
      </c>
      <c r="H305" s="127" t="n"/>
      <c r="I305" s="127" t="n">
        <v>792000</v>
      </c>
      <c r="J305" s="127" t="n">
        <v>114000</v>
      </c>
      <c r="K305" s="127" t="n">
        <v>224000</v>
      </c>
      <c r="L305" s="127" t="n">
        <v>115000</v>
      </c>
      <c r="M305" s="127" t="n"/>
      <c r="N305" s="127" t="n"/>
      <c r="O305" s="127" t="n">
        <v>185000</v>
      </c>
      <c r="P305" s="127" t="n">
        <v>115000</v>
      </c>
      <c r="Q305" s="127" t="n"/>
      <c r="R305" s="127" t="n"/>
      <c r="S305" s="127" t="n"/>
      <c r="T305" s="127" t="n"/>
      <c r="U305" s="127" t="n"/>
      <c r="V305" s="127" t="n">
        <v>6778000</v>
      </c>
    </row>
    <row r="306">
      <c r="C306" s="94" t="inlineStr">
        <is>
          <t>7월11일</t>
        </is>
      </c>
      <c r="D306" s="127" t="n">
        <v>3518000</v>
      </c>
      <c r="E306" s="127" t="n"/>
      <c r="F306" s="127" t="n"/>
      <c r="G306" s="127" t="n">
        <v>308000</v>
      </c>
      <c r="H306" s="127" t="n"/>
      <c r="I306" s="127" t="n">
        <v>396000</v>
      </c>
      <c r="J306" s="127" t="n">
        <v>304000</v>
      </c>
      <c r="K306" s="127" t="n">
        <v>160000</v>
      </c>
      <c r="L306" s="127" t="n">
        <v>20000</v>
      </c>
      <c r="M306" s="127" t="n"/>
      <c r="N306" s="127" t="n"/>
      <c r="O306" s="127" t="n">
        <v>185000</v>
      </c>
      <c r="P306" s="127" t="n">
        <v>330000</v>
      </c>
      <c r="Q306" s="127" t="n"/>
      <c r="R306" s="127" t="n"/>
      <c r="S306" s="127" t="n"/>
      <c r="T306" s="127" t="n"/>
      <c r="U306" s="127" t="n"/>
      <c r="V306" s="127" t="n">
        <v>5221000</v>
      </c>
    </row>
    <row r="307">
      <c r="C307" s="94" t="inlineStr">
        <is>
          <t>7월12일</t>
        </is>
      </c>
      <c r="D307" s="127" t="n">
        <v>6114000</v>
      </c>
      <c r="E307" s="127" t="n"/>
      <c r="F307" s="127" t="n"/>
      <c r="G307" s="127" t="n">
        <v>504000</v>
      </c>
      <c r="H307" s="127" t="n"/>
      <c r="I307" s="127" t="n">
        <v>891000</v>
      </c>
      <c r="J307" s="127" t="n">
        <v>152000</v>
      </c>
      <c r="K307" s="127" t="n">
        <v>280000</v>
      </c>
      <c r="L307" s="127" t="n">
        <v>55000</v>
      </c>
      <c r="M307" s="127" t="n"/>
      <c r="N307" s="127" t="n"/>
      <c r="O307" s="127" t="n">
        <v>220000</v>
      </c>
      <c r="P307" s="127" t="n">
        <v>250000</v>
      </c>
      <c r="Q307" s="127" t="n"/>
      <c r="R307" s="127" t="n"/>
      <c r="S307" s="127" t="n"/>
      <c r="T307" s="127" t="n"/>
      <c r="U307" s="127" t="n"/>
      <c r="V307" s="127" t="n">
        <v>8466000</v>
      </c>
    </row>
    <row r="308">
      <c r="C308" s="94" t="inlineStr">
        <is>
          <t>7월13일</t>
        </is>
      </c>
      <c r="D308" s="127" t="n">
        <v>7994000</v>
      </c>
      <c r="E308" s="127" t="n"/>
      <c r="F308" s="127" t="n"/>
      <c r="G308" s="127" t="n">
        <v>868000</v>
      </c>
      <c r="H308" s="127" t="n"/>
      <c r="I308" s="127" t="n">
        <v>297000</v>
      </c>
      <c r="J308" s="127" t="n">
        <v>342000</v>
      </c>
      <c r="K308" s="127" t="n">
        <v>220000</v>
      </c>
      <c r="L308" s="127" t="n">
        <v>20000</v>
      </c>
      <c r="M308" s="127" t="n"/>
      <c r="N308" s="127" t="n"/>
      <c r="O308" s="127" t="n">
        <v>210000</v>
      </c>
      <c r="P308" s="127" t="n">
        <v>405000</v>
      </c>
      <c r="Q308" s="127" t="n"/>
      <c r="R308" s="127" t="n"/>
      <c r="S308" s="127" t="n"/>
      <c r="T308" s="127" t="n"/>
      <c r="U308" s="127" t="n"/>
      <c r="V308" s="127" t="n">
        <v>10356000</v>
      </c>
    </row>
    <row r="309">
      <c r="C309" s="94" t="inlineStr">
        <is>
          <t>7월14일</t>
        </is>
      </c>
      <c r="D309" s="127" t="n">
        <v>7038000</v>
      </c>
      <c r="E309" s="127" t="n"/>
      <c r="F309" s="127" t="n"/>
      <c r="G309" s="127" t="n">
        <v>896000</v>
      </c>
      <c r="H309" s="127" t="n"/>
      <c r="I309" s="127" t="n">
        <v>99000</v>
      </c>
      <c r="J309" s="127" t="n">
        <v>494000</v>
      </c>
      <c r="K309" s="127" t="n">
        <v>186000</v>
      </c>
      <c r="L309" s="127" t="n">
        <v>165000</v>
      </c>
      <c r="M309" s="127" t="n"/>
      <c r="N309" s="127" t="n"/>
      <c r="O309" s="127" t="n">
        <v>320000</v>
      </c>
      <c r="P309" s="127" t="n">
        <v>455000</v>
      </c>
      <c r="Q309" s="127" t="n"/>
      <c r="R309" s="127" t="n"/>
      <c r="S309" s="127" t="n"/>
      <c r="T309" s="127" t="n"/>
      <c r="U309" s="127" t="n"/>
      <c r="V309" s="127" t="n">
        <v>9653000</v>
      </c>
    </row>
    <row r="310">
      <c r="C310" s="94" t="inlineStr">
        <is>
          <t>7월15일</t>
        </is>
      </c>
      <c r="D310" s="127" t="n">
        <v>6858000</v>
      </c>
      <c r="E310" s="127" t="n"/>
      <c r="F310" s="127" t="n"/>
      <c r="G310" s="127" t="n">
        <v>448000</v>
      </c>
      <c r="H310" s="127" t="n"/>
      <c r="I310" s="127" t="n"/>
      <c r="J310" s="127" t="n">
        <v>418000</v>
      </c>
      <c r="K310" s="127" t="n">
        <v>277000</v>
      </c>
      <c r="L310" s="127" t="n">
        <v>95000</v>
      </c>
      <c r="M310" s="127" t="n"/>
      <c r="N310" s="127" t="n"/>
      <c r="O310" s="127" t="n">
        <v>95000</v>
      </c>
      <c r="P310" s="127" t="n">
        <v>410000</v>
      </c>
      <c r="Q310" s="127" t="n"/>
      <c r="R310" s="127" t="n"/>
      <c r="S310" s="127" t="n"/>
      <c r="T310" s="127" t="n"/>
      <c r="U310" s="127" t="n"/>
      <c r="V310" s="127" t="n">
        <v>8601000</v>
      </c>
    </row>
    <row r="311">
      <c r="C311" s="94" t="inlineStr">
        <is>
          <t>7월16일</t>
        </is>
      </c>
      <c r="D311" s="127" t="n">
        <v>7257000</v>
      </c>
      <c r="E311" s="127" t="n"/>
      <c r="F311" s="127" t="n"/>
      <c r="G311" s="127" t="n">
        <v>6160000</v>
      </c>
      <c r="H311" s="127" t="n"/>
      <c r="I311" s="127" t="n"/>
      <c r="J311" s="127" t="n">
        <v>76000</v>
      </c>
      <c r="K311" s="127" t="n">
        <v>139000</v>
      </c>
      <c r="L311" s="127" t="n">
        <v>60000</v>
      </c>
      <c r="M311" s="127" t="n"/>
      <c r="N311" s="127" t="n"/>
      <c r="O311" s="127" t="n">
        <v>210000</v>
      </c>
      <c r="P311" s="127" t="n">
        <v>115000</v>
      </c>
      <c r="Q311" s="127" t="n"/>
      <c r="R311" s="127" t="n"/>
      <c r="S311" s="127" t="n"/>
      <c r="T311" s="127" t="n"/>
      <c r="U311" s="127" t="n"/>
      <c r="V311" s="127" t="n">
        <v>14017000</v>
      </c>
    </row>
    <row r="312">
      <c r="C312" s="94" t="inlineStr">
        <is>
          <t>7월17일</t>
        </is>
      </c>
      <c r="D312" s="127" t="n">
        <v>4131000</v>
      </c>
      <c r="E312" s="127" t="n"/>
      <c r="F312" s="127" t="n"/>
      <c r="G312" s="127" t="n">
        <v>392000</v>
      </c>
      <c r="H312" s="127" t="n"/>
      <c r="I312" s="127" t="n"/>
      <c r="J312" s="127" t="n">
        <v>190000</v>
      </c>
      <c r="K312" s="127" t="n">
        <v>168000</v>
      </c>
      <c r="L312" s="127" t="n">
        <v>35000</v>
      </c>
      <c r="M312" s="127" t="n"/>
      <c r="N312" s="127" t="n"/>
      <c r="O312" s="127" t="n">
        <v>95000</v>
      </c>
      <c r="P312" s="127" t="n">
        <v>90000</v>
      </c>
      <c r="Q312" s="127" t="n"/>
      <c r="R312" s="127" t="n"/>
      <c r="S312" s="127" t="n"/>
      <c r="T312" s="127" t="n"/>
      <c r="U312" s="127" t="n"/>
      <c r="V312" s="127" t="n">
        <v>5101000</v>
      </c>
    </row>
    <row r="313">
      <c r="C313" s="94" t="inlineStr">
        <is>
          <t>7월18일</t>
        </is>
      </c>
      <c r="D313" s="127" t="n">
        <v>3689000</v>
      </c>
      <c r="E313" s="127" t="n"/>
      <c r="F313" s="127" t="n"/>
      <c r="G313" s="127" t="n">
        <v>280000</v>
      </c>
      <c r="H313" s="127" t="n"/>
      <c r="I313" s="127" t="n"/>
      <c r="J313" s="127" t="n">
        <v>190000</v>
      </c>
      <c r="K313" s="127" t="n">
        <v>129000</v>
      </c>
      <c r="L313" s="127" t="n">
        <v>40000</v>
      </c>
      <c r="M313" s="127" t="n"/>
      <c r="N313" s="127" t="n"/>
      <c r="O313" s="127" t="n">
        <v>115000</v>
      </c>
      <c r="P313" s="127" t="n">
        <v>275000</v>
      </c>
      <c r="Q313" s="127" t="n"/>
      <c r="R313" s="127" t="n"/>
      <c r="S313" s="127" t="n"/>
      <c r="T313" s="127" t="n"/>
      <c r="U313" s="127" t="n"/>
      <c r="V313" s="127" t="n">
        <v>4718000</v>
      </c>
    </row>
    <row r="314">
      <c r="C314" s="94" t="inlineStr">
        <is>
          <t>7월19일</t>
        </is>
      </c>
      <c r="D314" s="127" t="n">
        <v>4542000</v>
      </c>
      <c r="E314" s="127" t="n"/>
      <c r="F314" s="127" t="n"/>
      <c r="G314" s="127" t="n">
        <v>504000</v>
      </c>
      <c r="H314" s="127" t="n"/>
      <c r="I314" s="127" t="n"/>
      <c r="J314" s="127" t="n">
        <v>190000</v>
      </c>
      <c r="K314" s="127" t="n">
        <v>95000</v>
      </c>
      <c r="L314" s="127" t="n">
        <v>60000</v>
      </c>
      <c r="M314" s="127" t="n"/>
      <c r="N314" s="127" t="n"/>
      <c r="O314" s="127" t="n">
        <v>40000</v>
      </c>
      <c r="P314" s="127" t="n">
        <v>160000</v>
      </c>
      <c r="Q314" s="127" t="n"/>
      <c r="R314" s="127" t="n"/>
      <c r="S314" s="127" t="n"/>
      <c r="T314" s="127" t="n"/>
      <c r="U314" s="127" t="n"/>
      <c r="V314" s="127" t="n">
        <v>5591000</v>
      </c>
    </row>
    <row r="315">
      <c r="C315" s="94" t="inlineStr">
        <is>
          <t>7월20일</t>
        </is>
      </c>
      <c r="D315" s="127" t="n">
        <v>5607000</v>
      </c>
      <c r="E315" s="127" t="n"/>
      <c r="F315" s="127" t="n"/>
      <c r="G315" s="127" t="n">
        <v>644000</v>
      </c>
      <c r="H315" s="127" t="n"/>
      <c r="I315" s="127" t="n"/>
      <c r="J315" s="127" t="n">
        <v>418000</v>
      </c>
      <c r="K315" s="127" t="n">
        <v>317000</v>
      </c>
      <c r="L315" s="127" t="n">
        <v>95000</v>
      </c>
      <c r="M315" s="127" t="n"/>
      <c r="N315" s="127" t="n"/>
      <c r="O315" s="127" t="n">
        <v>165000</v>
      </c>
      <c r="P315" s="127" t="n">
        <v>660000</v>
      </c>
      <c r="Q315" s="127" t="n"/>
      <c r="R315" s="127" t="n"/>
      <c r="S315" s="127" t="n"/>
      <c r="T315" s="127" t="n"/>
      <c r="U315" s="127" t="n"/>
      <c r="V315" s="127" t="n">
        <v>7906000</v>
      </c>
    </row>
    <row r="316">
      <c r="C316" s="94" t="inlineStr">
        <is>
          <t>7월21일</t>
        </is>
      </c>
      <c r="D316" s="127" t="n">
        <v>3995000</v>
      </c>
      <c r="E316" s="127" t="n"/>
      <c r="F316" s="127" t="n"/>
      <c r="G316" s="127" t="n">
        <v>532000</v>
      </c>
      <c r="H316" s="127" t="n"/>
      <c r="I316" s="127" t="n"/>
      <c r="J316" s="127" t="n">
        <v>266000</v>
      </c>
      <c r="K316" s="127" t="n">
        <v>294000</v>
      </c>
      <c r="L316" s="127" t="n">
        <v>95000</v>
      </c>
      <c r="M316" s="127" t="n"/>
      <c r="N316" s="127" t="n"/>
      <c r="O316" s="127" t="n">
        <v>460000</v>
      </c>
      <c r="P316" s="127" t="n">
        <v>215000</v>
      </c>
      <c r="Q316" s="127" t="n"/>
      <c r="R316" s="127" t="n"/>
      <c r="S316" s="127" t="n"/>
      <c r="T316" s="127" t="n"/>
      <c r="U316" s="127" t="n"/>
      <c r="V316" s="127" t="n">
        <v>5857000</v>
      </c>
    </row>
    <row r="317">
      <c r="C317" s="94" t="inlineStr">
        <is>
          <t>7월22일</t>
        </is>
      </c>
      <c r="D317" s="127" t="n">
        <v>5539000</v>
      </c>
      <c r="E317" s="127" t="n"/>
      <c r="F317" s="127" t="n"/>
      <c r="G317" s="127" t="n">
        <v>476000</v>
      </c>
      <c r="H317" s="127" t="n"/>
      <c r="I317" s="127" t="n"/>
      <c r="J317" s="127" t="n">
        <v>304000</v>
      </c>
      <c r="K317" s="127" t="n">
        <v>76000</v>
      </c>
      <c r="L317" s="127" t="n">
        <v>95000</v>
      </c>
      <c r="M317" s="127" t="n"/>
      <c r="N317" s="127" t="n"/>
      <c r="O317" s="127" t="n">
        <v>355000</v>
      </c>
      <c r="P317" s="127" t="n">
        <v>560000</v>
      </c>
      <c r="Q317" s="127" t="n"/>
      <c r="R317" s="127" t="n"/>
      <c r="S317" s="127" t="n"/>
      <c r="T317" s="127" t="n"/>
      <c r="U317" s="127" t="n"/>
      <c r="V317" s="127" t="n">
        <v>7405000</v>
      </c>
    </row>
    <row r="318">
      <c r="C318" s="94" t="inlineStr">
        <is>
          <t>7월23일</t>
        </is>
      </c>
      <c r="D318" s="127" t="n">
        <v>4776000</v>
      </c>
      <c r="E318" s="127" t="n"/>
      <c r="F318" s="127" t="n"/>
      <c r="G318" s="127" t="n">
        <v>504000</v>
      </c>
      <c r="H318" s="127" t="n"/>
      <c r="I318" s="127" t="n"/>
      <c r="J318" s="127" t="n">
        <v>304000</v>
      </c>
      <c r="K318" s="127" t="n"/>
      <c r="L318" s="127" t="n">
        <v>60000</v>
      </c>
      <c r="M318" s="127" t="n"/>
      <c r="N318" s="127" t="n"/>
      <c r="O318" s="127" t="n">
        <v>130000</v>
      </c>
      <c r="P318" s="127" t="n">
        <v>340000</v>
      </c>
      <c r="Q318" s="127" t="n"/>
      <c r="R318" s="127" t="n"/>
      <c r="S318" s="127" t="n"/>
      <c r="T318" s="127" t="n"/>
      <c r="U318" s="127" t="n"/>
      <c r="V318" s="127" t="n">
        <v>6114000</v>
      </c>
    </row>
    <row r="319">
      <c r="C319" s="94" t="inlineStr">
        <is>
          <t>7월24일</t>
        </is>
      </c>
      <c r="D319" s="127" t="n">
        <v>3833000</v>
      </c>
      <c r="E319" s="127" t="n"/>
      <c r="F319" s="127" t="n"/>
      <c r="G319" s="127" t="n">
        <v>420000</v>
      </c>
      <c r="H319" s="127" t="n"/>
      <c r="I319" s="127" t="n"/>
      <c r="J319" s="127" t="n">
        <v>228000</v>
      </c>
      <c r="K319" s="127" t="n"/>
      <c r="L319" s="127" t="n">
        <v>40000</v>
      </c>
      <c r="M319" s="127" t="n"/>
      <c r="N319" s="127" t="n"/>
      <c r="O319" s="127" t="n">
        <v>75000</v>
      </c>
      <c r="P319" s="127" t="n">
        <v>295000</v>
      </c>
      <c r="Q319" s="127" t="n"/>
      <c r="R319" s="127" t="n"/>
      <c r="S319" s="127" t="n"/>
      <c r="T319" s="127" t="n"/>
      <c r="U319" s="127" t="n"/>
      <c r="V319" s="127" t="n">
        <v>4891000</v>
      </c>
    </row>
    <row r="320">
      <c r="C320" s="94" t="inlineStr">
        <is>
          <t>7월25일</t>
        </is>
      </c>
      <c r="D320" s="127" t="n">
        <v>4064000</v>
      </c>
      <c r="E320" s="127" t="n"/>
      <c r="F320" s="127" t="n"/>
      <c r="G320" s="127" t="n">
        <v>196000</v>
      </c>
      <c r="H320" s="127" t="n"/>
      <c r="I320" s="127" t="n"/>
      <c r="J320" s="127" t="n">
        <v>266000</v>
      </c>
      <c r="K320" s="127" t="n"/>
      <c r="L320" s="127" t="n">
        <v>40000</v>
      </c>
      <c r="M320" s="127" t="n"/>
      <c r="N320" s="127" t="n"/>
      <c r="O320" s="127" t="n">
        <v>115000</v>
      </c>
      <c r="P320" s="127" t="n">
        <v>135000</v>
      </c>
      <c r="Q320" s="127" t="n"/>
      <c r="R320" s="127" t="n"/>
      <c r="S320" s="127" t="n"/>
      <c r="T320" s="127" t="n"/>
      <c r="U320" s="127" t="n"/>
      <c r="V320" s="127" t="n">
        <v>4816000</v>
      </c>
    </row>
    <row r="321">
      <c r="C321" s="94" t="inlineStr">
        <is>
          <t>7월26일</t>
        </is>
      </c>
      <c r="D321" s="127" t="n">
        <v>5030000</v>
      </c>
      <c r="E321" s="127" t="n"/>
      <c r="F321" s="127" t="n"/>
      <c r="G321" s="127" t="n">
        <v>504000</v>
      </c>
      <c r="H321" s="127" t="n"/>
      <c r="I321" s="127" t="n"/>
      <c r="J321" s="127" t="n">
        <v>228000</v>
      </c>
      <c r="K321" s="127" t="n"/>
      <c r="L321" s="127" t="n">
        <v>75000</v>
      </c>
      <c r="M321" s="127" t="n"/>
      <c r="N321" s="127" t="n"/>
      <c r="O321" s="127" t="n">
        <v>125000</v>
      </c>
      <c r="P321" s="127" t="n">
        <v>170000</v>
      </c>
      <c r="Q321" s="127" t="n"/>
      <c r="R321" s="127" t="n"/>
      <c r="S321" s="127" t="n"/>
      <c r="T321" s="127" t="n"/>
      <c r="U321" s="127" t="n"/>
      <c r="V321" s="127" t="n">
        <v>6132000</v>
      </c>
    </row>
    <row r="322">
      <c r="C322" s="94" t="inlineStr">
        <is>
          <t>7월27일</t>
        </is>
      </c>
      <c r="D322" s="127" t="n">
        <v>6873000</v>
      </c>
      <c r="E322" s="127" t="n"/>
      <c r="F322" s="127" t="n"/>
      <c r="G322" s="127" t="n">
        <v>644000</v>
      </c>
      <c r="H322" s="127" t="n"/>
      <c r="I322" s="127" t="n"/>
      <c r="J322" s="127" t="n">
        <v>304000</v>
      </c>
      <c r="K322" s="127" t="n"/>
      <c r="L322" s="127" t="n">
        <v>165000</v>
      </c>
      <c r="M322" s="127" t="n"/>
      <c r="N322" s="127" t="n"/>
      <c r="O322" s="127" t="n">
        <v>70000</v>
      </c>
      <c r="P322" s="127" t="n">
        <v>80000</v>
      </c>
      <c r="Q322" s="127" t="n"/>
      <c r="R322" s="127" t="n"/>
      <c r="S322" s="127" t="n"/>
      <c r="T322" s="127" t="n"/>
      <c r="U322" s="127" t="n"/>
      <c r="V322" s="127" t="n">
        <v>8136000</v>
      </c>
    </row>
    <row r="323">
      <c r="C323" s="94" t="inlineStr">
        <is>
          <t>7월28일</t>
        </is>
      </c>
      <c r="D323" s="127" t="n">
        <v>6347000</v>
      </c>
      <c r="E323" s="127" t="n"/>
      <c r="F323" s="127" t="n"/>
      <c r="G323" s="127" t="n">
        <v>588000</v>
      </c>
      <c r="H323" s="127" t="n"/>
      <c r="I323" s="127" t="n">
        <v>693000</v>
      </c>
      <c r="J323" s="127" t="n">
        <v>266000</v>
      </c>
      <c r="K323" s="127" t="n"/>
      <c r="L323" s="127" t="n">
        <v>80000</v>
      </c>
      <c r="M323" s="127" t="n">
        <v>204000</v>
      </c>
      <c r="N323" s="127" t="n"/>
      <c r="O323" s="127" t="n">
        <v>170000</v>
      </c>
      <c r="P323" s="127" t="n">
        <v>445000</v>
      </c>
      <c r="Q323" s="127" t="n"/>
      <c r="R323" s="127" t="n"/>
      <c r="S323" s="127" t="n"/>
      <c r="T323" s="127" t="n"/>
      <c r="U323" s="127" t="n"/>
      <c r="V323" s="127" t="n">
        <v>8793000</v>
      </c>
    </row>
    <row r="324">
      <c r="C324" s="94" t="inlineStr">
        <is>
          <t>7월29일</t>
        </is>
      </c>
      <c r="D324" s="127" t="n">
        <v>6554000</v>
      </c>
      <c r="E324" s="127" t="n"/>
      <c r="F324" s="127" t="n"/>
      <c r="G324" s="127" t="n">
        <v>476000</v>
      </c>
      <c r="H324" s="127" t="n"/>
      <c r="I324" s="127" t="n">
        <v>396000</v>
      </c>
      <c r="J324" s="127" t="n">
        <v>342000</v>
      </c>
      <c r="K324" s="127" t="n"/>
      <c r="L324" s="127" t="n">
        <v>75000</v>
      </c>
      <c r="M324" s="127" t="n">
        <v>228000</v>
      </c>
      <c r="N324" s="127" t="n"/>
      <c r="O324" s="127" t="n">
        <v>170000</v>
      </c>
      <c r="P324" s="127" t="n">
        <v>300000</v>
      </c>
      <c r="Q324" s="127" t="n"/>
      <c r="R324" s="127" t="n"/>
      <c r="S324" s="127" t="n"/>
      <c r="T324" s="127" t="n"/>
      <c r="U324" s="127" t="n"/>
      <c r="V324" s="127" t="n">
        <v>8541000</v>
      </c>
    </row>
    <row r="325">
      <c r="C325" s="94" t="inlineStr">
        <is>
          <t>7월30일</t>
        </is>
      </c>
      <c r="D325" s="127" t="n">
        <v>6979000</v>
      </c>
      <c r="E325" s="127" t="n"/>
      <c r="F325" s="127" t="n"/>
      <c r="G325" s="127" t="n">
        <v>560000</v>
      </c>
      <c r="H325" s="127" t="n"/>
      <c r="I325" s="127" t="n">
        <v>297000</v>
      </c>
      <c r="J325" s="127" t="n">
        <v>380000</v>
      </c>
      <c r="K325" s="127" t="n"/>
      <c r="L325" s="127" t="n">
        <v>75000</v>
      </c>
      <c r="M325" s="127" t="n">
        <v>24000</v>
      </c>
      <c r="N325" s="127" t="n"/>
      <c r="O325" s="127" t="n">
        <v>125000</v>
      </c>
      <c r="P325" s="127" t="n">
        <v>390000</v>
      </c>
      <c r="Q325" s="127" t="n"/>
      <c r="R325" s="127" t="n"/>
      <c r="S325" s="127" t="n"/>
      <c r="T325" s="127" t="n"/>
      <c r="U325" s="127" t="n"/>
      <c r="V325" s="127" t="n">
        <v>8830000</v>
      </c>
    </row>
    <row r="326">
      <c r="C326" s="94" t="inlineStr">
        <is>
          <t>7월31일</t>
        </is>
      </c>
      <c r="D326" s="127" t="n">
        <v>6044000</v>
      </c>
      <c r="E326" s="127" t="n"/>
      <c r="F326" s="127" t="n"/>
      <c r="G326" s="127" t="n">
        <v>252000</v>
      </c>
      <c r="H326" s="127" t="n"/>
      <c r="I326" s="127" t="n">
        <v>198000</v>
      </c>
      <c r="J326" s="127" t="n">
        <v>152000</v>
      </c>
      <c r="K326" s="127" t="n"/>
      <c r="L326" s="127" t="n">
        <v>40000</v>
      </c>
      <c r="M326" s="127" t="n">
        <v>220000</v>
      </c>
      <c r="N326" s="127" t="n"/>
      <c r="O326" s="127" t="n">
        <v>95000</v>
      </c>
      <c r="P326" s="127" t="n">
        <v>180000</v>
      </c>
      <c r="Q326" s="127" t="n"/>
      <c r="R326" s="127" t="n"/>
      <c r="S326" s="127" t="n"/>
      <c r="T326" s="127" t="n"/>
      <c r="U326" s="127" t="n"/>
      <c r="V326" s="127" t="n">
        <v>7181000</v>
      </c>
    </row>
    <row r="327">
      <c r="B327" s="94" t="inlineStr">
        <is>
          <t>7월 요약</t>
        </is>
      </c>
      <c r="C327" s="94" t="n"/>
      <c r="D327" s="127" t="n">
        <v>177215000</v>
      </c>
      <c r="E327" s="127" t="n"/>
      <c r="F327" s="127" t="n"/>
      <c r="G327" s="127" t="n">
        <v>20272000</v>
      </c>
      <c r="H327" s="127" t="n"/>
      <c r="I327" s="127" t="n">
        <v>8019000</v>
      </c>
      <c r="J327" s="127" t="n">
        <v>7638000</v>
      </c>
      <c r="K327" s="127" t="n">
        <v>4448000</v>
      </c>
      <c r="L327" s="127" t="n">
        <v>2250000</v>
      </c>
      <c r="M327" s="127" t="n">
        <v>2460000</v>
      </c>
      <c r="N327" s="127" t="n"/>
      <c r="O327" s="127" t="n">
        <v>5545000</v>
      </c>
      <c r="P327" s="127" t="n">
        <v>9370000</v>
      </c>
      <c r="Q327" s="127" t="n"/>
      <c r="R327" s="127" t="n"/>
      <c r="S327" s="127" t="n"/>
      <c r="T327" s="127" t="n"/>
      <c r="U327" s="127" t="n"/>
      <c r="V327" s="127" t="n">
        <v>237217000</v>
      </c>
    </row>
    <row r="328">
      <c r="B328" s="94" t="inlineStr">
        <is>
          <t>8월</t>
        </is>
      </c>
      <c r="C328" s="94" t="inlineStr">
        <is>
          <t>8월1일</t>
        </is>
      </c>
      <c r="D328" s="127" t="n">
        <v>6823000</v>
      </c>
      <c r="E328" s="127" t="n"/>
      <c r="F328" s="127" t="n"/>
      <c r="G328" s="127" t="n">
        <v>560000</v>
      </c>
      <c r="H328" s="127" t="n"/>
      <c r="I328" s="127" t="n">
        <v>396000</v>
      </c>
      <c r="J328" s="127" t="n">
        <v>152000</v>
      </c>
      <c r="K328" s="127" t="n"/>
      <c r="L328" s="127" t="n">
        <v>135000</v>
      </c>
      <c r="M328" s="127" t="n">
        <v>84000</v>
      </c>
      <c r="N328" s="127" t="n"/>
      <c r="O328" s="127" t="n">
        <v>140000</v>
      </c>
      <c r="P328" s="127" t="n">
        <v>285000</v>
      </c>
      <c r="Q328" s="127" t="n"/>
      <c r="R328" s="127" t="n"/>
      <c r="S328" s="127" t="n"/>
      <c r="T328" s="127" t="n"/>
      <c r="U328" s="127" t="n"/>
      <c r="V328" s="127" t="n">
        <v>8575000</v>
      </c>
    </row>
    <row r="329">
      <c r="C329" s="94" t="inlineStr">
        <is>
          <t>8월2일</t>
        </is>
      </c>
      <c r="D329" s="127" t="n">
        <v>6682000</v>
      </c>
      <c r="E329" s="127" t="n"/>
      <c r="F329" s="127" t="n"/>
      <c r="G329" s="127" t="n">
        <v>420000</v>
      </c>
      <c r="H329" s="127" t="n"/>
      <c r="I329" s="127" t="n">
        <v>297000</v>
      </c>
      <c r="J329" s="127" t="n">
        <v>266000</v>
      </c>
      <c r="K329" s="127" t="n"/>
      <c r="L329" s="127" t="n">
        <v>60000</v>
      </c>
      <c r="M329" s="127" t="n">
        <v>152000</v>
      </c>
      <c r="N329" s="127" t="n"/>
      <c r="O329" s="127" t="n">
        <v>95000</v>
      </c>
      <c r="P329" s="127" t="n">
        <v>500000</v>
      </c>
      <c r="Q329" s="127" t="n"/>
      <c r="R329" s="127" t="n"/>
      <c r="S329" s="127" t="n"/>
      <c r="T329" s="127" t="n"/>
      <c r="U329" s="127" t="n"/>
      <c r="V329" s="127" t="n">
        <v>8472000</v>
      </c>
    </row>
    <row r="330">
      <c r="C330" s="94" t="inlineStr">
        <is>
          <t>8월3일</t>
        </is>
      </c>
      <c r="D330" s="127" t="n">
        <v>8632000</v>
      </c>
      <c r="E330" s="127" t="n"/>
      <c r="F330" s="127" t="n"/>
      <c r="G330" s="127" t="n">
        <v>1036000</v>
      </c>
      <c r="H330" s="127" t="n"/>
      <c r="I330" s="127" t="n">
        <v>792000</v>
      </c>
      <c r="J330" s="127" t="n">
        <v>380000</v>
      </c>
      <c r="K330" s="127" t="n"/>
      <c r="L330" s="127" t="n">
        <v>75000</v>
      </c>
      <c r="M330" s="127" t="n">
        <v>156000</v>
      </c>
      <c r="N330" s="127" t="n"/>
      <c r="O330" s="127" t="n">
        <v>150000</v>
      </c>
      <c r="P330" s="127" t="n">
        <v>355000</v>
      </c>
      <c r="Q330" s="127" t="n"/>
      <c r="R330" s="127" t="n"/>
      <c r="S330" s="127" t="n"/>
      <c r="T330" s="127" t="n"/>
      <c r="U330" s="127" t="n"/>
      <c r="V330" s="127" t="n">
        <v>11576000</v>
      </c>
    </row>
    <row r="331">
      <c r="C331" s="94" t="inlineStr">
        <is>
          <t>8월4일</t>
        </is>
      </c>
      <c r="D331" s="127" t="n">
        <v>6733000</v>
      </c>
      <c r="E331" s="127" t="n"/>
      <c r="F331" s="127" t="n"/>
      <c r="G331" s="127" t="n">
        <v>840000</v>
      </c>
      <c r="H331" s="127" t="n"/>
      <c r="I331" s="127" t="n">
        <v>495000</v>
      </c>
      <c r="J331" s="127" t="n">
        <v>266000</v>
      </c>
      <c r="K331" s="127" t="n"/>
      <c r="L331" s="127" t="n">
        <v>60000</v>
      </c>
      <c r="M331" s="127" t="n">
        <v>132000</v>
      </c>
      <c r="N331" s="127" t="n"/>
      <c r="O331" s="127" t="n">
        <v>55000</v>
      </c>
      <c r="P331" s="127" t="n">
        <v>330000</v>
      </c>
      <c r="Q331" s="127" t="n"/>
      <c r="R331" s="127" t="n"/>
      <c r="S331" s="127" t="n"/>
      <c r="T331" s="127" t="n"/>
      <c r="U331" s="127" t="n"/>
      <c r="V331" s="127" t="n">
        <v>8911000</v>
      </c>
    </row>
    <row r="332">
      <c r="C332" s="94" t="inlineStr">
        <is>
          <t>8월5일</t>
        </is>
      </c>
      <c r="D332" s="127" t="n">
        <v>5830000</v>
      </c>
      <c r="E332" s="127" t="n"/>
      <c r="F332" s="127" t="n"/>
      <c r="G332" s="127" t="n">
        <v>644000</v>
      </c>
      <c r="H332" s="127" t="n"/>
      <c r="I332" s="127" t="n">
        <v>198000</v>
      </c>
      <c r="J332" s="127" t="n">
        <v>152000</v>
      </c>
      <c r="K332" s="127" t="n"/>
      <c r="L332" s="127" t="n">
        <v>40000</v>
      </c>
      <c r="M332" s="127" t="n">
        <v>140000</v>
      </c>
      <c r="N332" s="127" t="n"/>
      <c r="O332" s="127" t="n">
        <v>190000</v>
      </c>
      <c r="P332" s="127" t="n">
        <v>240000</v>
      </c>
      <c r="Q332" s="127" t="n"/>
      <c r="R332" s="127" t="n"/>
      <c r="S332" s="127" t="n"/>
      <c r="T332" s="127" t="n"/>
      <c r="U332" s="127" t="n"/>
      <c r="V332" s="127" t="n">
        <v>7434000</v>
      </c>
    </row>
    <row r="333">
      <c r="C333" s="94" t="inlineStr">
        <is>
          <t>8월6일</t>
        </is>
      </c>
      <c r="D333" s="127" t="n">
        <v>5034000</v>
      </c>
      <c r="E333" s="127" t="n"/>
      <c r="F333" s="127" t="n"/>
      <c r="G333" s="127" t="n">
        <v>224000</v>
      </c>
      <c r="H333" s="127" t="n"/>
      <c r="I333" s="127" t="n">
        <v>396000</v>
      </c>
      <c r="J333" s="127" t="n">
        <v>152000</v>
      </c>
      <c r="K333" s="127" t="n"/>
      <c r="L333" s="127" t="n">
        <v>75000</v>
      </c>
      <c r="M333" s="127" t="n">
        <v>120000</v>
      </c>
      <c r="N333" s="127" t="n"/>
      <c r="O333" s="127" t="n">
        <v>60000</v>
      </c>
      <c r="P333" s="127" t="n">
        <v>410000</v>
      </c>
      <c r="Q333" s="127" t="n"/>
      <c r="R333" s="127" t="n"/>
      <c r="S333" s="127" t="n"/>
      <c r="T333" s="127" t="n"/>
      <c r="U333" s="127" t="n"/>
      <c r="V333" s="127" t="n">
        <v>6471000</v>
      </c>
    </row>
    <row r="334">
      <c r="C334" s="94" t="inlineStr">
        <is>
          <t>8월7일</t>
        </is>
      </c>
      <c r="D334" s="127" t="n">
        <v>4526000</v>
      </c>
      <c r="E334" s="127" t="n"/>
      <c r="F334" s="127" t="n"/>
      <c r="G334" s="127" t="n">
        <v>196000</v>
      </c>
      <c r="H334" s="127" t="n"/>
      <c r="I334" s="127" t="n">
        <v>297000</v>
      </c>
      <c r="J334" s="127" t="n">
        <v>190000</v>
      </c>
      <c r="K334" s="127" t="n"/>
      <c r="L334" s="127" t="n">
        <v>55000</v>
      </c>
      <c r="M334" s="127" t="n">
        <v>44000</v>
      </c>
      <c r="N334" s="127" t="n"/>
      <c r="O334" s="127" t="n">
        <v>55000</v>
      </c>
      <c r="P334" s="127" t="n">
        <v>160000</v>
      </c>
      <c r="Q334" s="127" t="n"/>
      <c r="R334" s="127" t="n"/>
      <c r="S334" s="127" t="n"/>
      <c r="T334" s="127" t="n"/>
      <c r="U334" s="127" t="n"/>
      <c r="V334" s="127" t="n">
        <v>5523000</v>
      </c>
    </row>
    <row r="335">
      <c r="C335" s="94" t="inlineStr">
        <is>
          <t>8월8일</t>
        </is>
      </c>
      <c r="D335" s="127" t="n">
        <v>4184000</v>
      </c>
      <c r="E335" s="127" t="n"/>
      <c r="F335" s="127" t="n"/>
      <c r="G335" s="127" t="n"/>
      <c r="H335" s="127" t="n"/>
      <c r="I335" s="127" t="n"/>
      <c r="J335" s="127" t="n"/>
      <c r="K335" s="127" t="n"/>
      <c r="L335" s="127" t="n">
        <v>40000</v>
      </c>
      <c r="M335" s="127" t="n">
        <v>52000</v>
      </c>
      <c r="N335" s="127" t="n"/>
      <c r="O335" s="127" t="n">
        <v>60000</v>
      </c>
      <c r="P335" s="127" t="n">
        <v>215000</v>
      </c>
      <c r="Q335" s="127" t="n"/>
      <c r="R335" s="127" t="n"/>
      <c r="S335" s="127" t="n"/>
      <c r="T335" s="127" t="n"/>
      <c r="U335" s="127" t="n"/>
      <c r="V335" s="127" t="n">
        <v>4551000</v>
      </c>
    </row>
    <row r="336">
      <c r="C336" s="94" t="inlineStr">
        <is>
          <t>8월9일</t>
        </is>
      </c>
      <c r="D336" s="127" t="n">
        <v>5315000</v>
      </c>
      <c r="E336" s="127" t="n"/>
      <c r="F336" s="127" t="n"/>
      <c r="G336" s="127" t="n"/>
      <c r="H336" s="127" t="n"/>
      <c r="I336" s="127" t="n"/>
      <c r="J336" s="127" t="n">
        <v>228000</v>
      </c>
      <c r="K336" s="127" t="n"/>
      <c r="L336" s="127" t="n">
        <v>55000</v>
      </c>
      <c r="M336" s="127" t="n">
        <v>120000</v>
      </c>
      <c r="N336" s="127" t="n"/>
      <c r="O336" s="127" t="n">
        <v>40000</v>
      </c>
      <c r="P336" s="127" t="n">
        <v>160000</v>
      </c>
      <c r="Q336" s="127" t="n"/>
      <c r="R336" s="127" t="n"/>
      <c r="S336" s="127" t="n"/>
      <c r="T336" s="127" t="n"/>
      <c r="U336" s="127" t="n"/>
      <c r="V336" s="127" t="n">
        <v>5918000</v>
      </c>
    </row>
    <row r="337">
      <c r="C337" s="94" t="inlineStr">
        <is>
          <t>8월10일</t>
        </is>
      </c>
      <c r="D337" s="127" t="n">
        <v>8844000</v>
      </c>
      <c r="E337" s="127" t="n"/>
      <c r="F337" s="127" t="n"/>
      <c r="G337" s="127" t="n">
        <v>476000</v>
      </c>
      <c r="H337" s="127" t="n"/>
      <c r="I337" s="127" t="n">
        <v>99000</v>
      </c>
      <c r="J337" s="127" t="n">
        <v>380000</v>
      </c>
      <c r="K337" s="127" t="n"/>
      <c r="L337" s="127" t="n">
        <v>155000</v>
      </c>
      <c r="M337" s="127" t="n">
        <v>88000</v>
      </c>
      <c r="N337" s="127" t="n"/>
      <c r="O337" s="127" t="n">
        <v>95000</v>
      </c>
      <c r="P337" s="127" t="n">
        <v>170000</v>
      </c>
      <c r="Q337" s="127" t="n"/>
      <c r="R337" s="127" t="n"/>
      <c r="S337" s="127" t="n"/>
      <c r="T337" s="127" t="n"/>
      <c r="U337" s="127" t="n"/>
      <c r="V337" s="127" t="n">
        <v>10307000</v>
      </c>
    </row>
    <row r="338">
      <c r="C338" s="94" t="inlineStr">
        <is>
          <t>8월11일</t>
        </is>
      </c>
      <c r="D338" s="127" t="n">
        <v>7171000</v>
      </c>
      <c r="E338" s="127" t="n"/>
      <c r="F338" s="127" t="n"/>
      <c r="G338" s="127" t="n">
        <v>644000</v>
      </c>
      <c r="H338" s="127" t="n"/>
      <c r="I338" s="127" t="n">
        <v>396000</v>
      </c>
      <c r="J338" s="127" t="n">
        <v>304000</v>
      </c>
      <c r="K338" s="127" t="n"/>
      <c r="L338" s="127" t="n">
        <v>40000</v>
      </c>
      <c r="M338" s="127" t="n">
        <v>120000</v>
      </c>
      <c r="N338" s="127" t="n"/>
      <c r="O338" s="127" t="n"/>
      <c r="P338" s="127" t="n">
        <v>170000</v>
      </c>
      <c r="Q338" s="127" t="n"/>
      <c r="R338" s="127" t="n"/>
      <c r="S338" s="127" t="n"/>
      <c r="T338" s="127" t="n"/>
      <c r="U338" s="127" t="n"/>
      <c r="V338" s="127" t="n">
        <v>8845000</v>
      </c>
    </row>
    <row r="339">
      <c r="C339" s="94" t="inlineStr">
        <is>
          <t>8월12일</t>
        </is>
      </c>
      <c r="D339" s="127" t="n">
        <v>6028000</v>
      </c>
      <c r="E339" s="127" t="n"/>
      <c r="F339" s="127" t="n"/>
      <c r="G339" s="127" t="n">
        <v>560000</v>
      </c>
      <c r="H339" s="127" t="n"/>
      <c r="I339" s="127" t="n">
        <v>396000</v>
      </c>
      <c r="J339" s="127" t="n">
        <v>456000</v>
      </c>
      <c r="K339" s="127" t="n"/>
      <c r="L339" s="127" t="n">
        <v>60000</v>
      </c>
      <c r="M339" s="127" t="n">
        <v>168000</v>
      </c>
      <c r="N339" s="127" t="n"/>
      <c r="O339" s="127" t="n">
        <v>280000</v>
      </c>
      <c r="P339" s="127" t="n">
        <v>320000</v>
      </c>
      <c r="Q339" s="127" t="n"/>
      <c r="R339" s="127" t="n"/>
      <c r="S339" s="127" t="n"/>
      <c r="T339" s="127" t="n"/>
      <c r="U339" s="127" t="n"/>
      <c r="V339" s="127" t="n">
        <v>8268000</v>
      </c>
    </row>
    <row r="340">
      <c r="C340" s="94" t="inlineStr">
        <is>
          <t>8월13일</t>
        </is>
      </c>
      <c r="D340" s="127" t="n">
        <v>4474000</v>
      </c>
      <c r="E340" s="127" t="n"/>
      <c r="F340" s="127" t="n"/>
      <c r="G340" s="127" t="n">
        <v>476000</v>
      </c>
      <c r="H340" s="127" t="n"/>
      <c r="I340" s="127" t="n"/>
      <c r="J340" s="127" t="n">
        <v>266000</v>
      </c>
      <c r="K340" s="127" t="n"/>
      <c r="L340" s="127" t="n">
        <v>40000</v>
      </c>
      <c r="M340" s="127" t="n">
        <v>188000</v>
      </c>
      <c r="N340" s="127" t="n"/>
      <c r="O340" s="127" t="n">
        <v>20000</v>
      </c>
      <c r="P340" s="127" t="n">
        <v>240000</v>
      </c>
      <c r="Q340" s="127" t="n"/>
      <c r="R340" s="127" t="n"/>
      <c r="S340" s="127" t="n"/>
      <c r="T340" s="127" t="n"/>
      <c r="U340" s="127" t="n"/>
      <c r="V340" s="127" t="n">
        <v>5704000</v>
      </c>
    </row>
    <row r="341">
      <c r="C341" s="94" t="inlineStr">
        <is>
          <t>8월14일</t>
        </is>
      </c>
      <c r="D341" s="127" t="n">
        <v>5927000</v>
      </c>
      <c r="E341" s="127" t="n"/>
      <c r="F341" s="127" t="n"/>
      <c r="G341" s="127" t="n">
        <v>696000</v>
      </c>
      <c r="H341" s="127" t="n"/>
      <c r="I341" s="127" t="n">
        <v>99000</v>
      </c>
      <c r="J341" s="127" t="n">
        <v>342000</v>
      </c>
      <c r="K341" s="127" t="n">
        <v>491000</v>
      </c>
      <c r="L341" s="127" t="n">
        <v>40000</v>
      </c>
      <c r="M341" s="127" t="n">
        <v>216000</v>
      </c>
      <c r="N341" s="127" t="n"/>
      <c r="O341" s="127" t="n">
        <v>60000</v>
      </c>
      <c r="P341" s="127" t="n">
        <v>160000</v>
      </c>
      <c r="Q341" s="127" t="n"/>
      <c r="R341" s="127" t="n"/>
      <c r="S341" s="127" t="n"/>
      <c r="T341" s="127" t="n"/>
      <c r="U341" s="127" t="n"/>
      <c r="V341" s="127" t="n">
        <v>8031000</v>
      </c>
    </row>
    <row r="342">
      <c r="C342" s="94" t="inlineStr">
        <is>
          <t>8월15일</t>
        </is>
      </c>
      <c r="D342" s="127" t="n">
        <v>3269000</v>
      </c>
      <c r="E342" s="127" t="n"/>
      <c r="F342" s="127" t="n"/>
      <c r="G342" s="127" t="n">
        <v>348000</v>
      </c>
      <c r="H342" s="127" t="n"/>
      <c r="I342" s="127" t="n">
        <v>198000</v>
      </c>
      <c r="J342" s="127" t="n">
        <v>152000</v>
      </c>
      <c r="K342" s="127" t="n">
        <v>124000</v>
      </c>
      <c r="L342" s="127" t="n">
        <v>20000</v>
      </c>
      <c r="M342" s="127" t="n">
        <v>16000</v>
      </c>
      <c r="N342" s="127" t="n"/>
      <c r="O342" s="127" t="n">
        <v>35000</v>
      </c>
      <c r="P342" s="127" t="n">
        <v>170000</v>
      </c>
      <c r="Q342" s="127" t="n"/>
      <c r="R342" s="127" t="n"/>
      <c r="S342" s="127" t="n"/>
      <c r="T342" s="127" t="n"/>
      <c r="U342" s="127" t="n"/>
      <c r="V342" s="127" t="n">
        <v>4332000</v>
      </c>
    </row>
    <row r="343">
      <c r="C343" s="94" t="inlineStr">
        <is>
          <t>8월16일</t>
        </is>
      </c>
      <c r="D343" s="127" t="n">
        <v>4071000</v>
      </c>
      <c r="E343" s="127" t="n"/>
      <c r="F343" s="127" t="n"/>
      <c r="G343" s="127" t="n">
        <v>368000</v>
      </c>
      <c r="H343" s="127" t="n"/>
      <c r="I343" s="127" t="n">
        <v>396000</v>
      </c>
      <c r="J343" s="127" t="n">
        <v>76000</v>
      </c>
      <c r="K343" s="127" t="n">
        <v>198000</v>
      </c>
      <c r="L343" s="127" t="n">
        <v>110000</v>
      </c>
      <c r="M343" s="127" t="n">
        <v>184000</v>
      </c>
      <c r="N343" s="127" t="n"/>
      <c r="O343" s="127" t="n">
        <v>55000</v>
      </c>
      <c r="P343" s="127" t="n">
        <v>125000</v>
      </c>
      <c r="Q343" s="127" t="n"/>
      <c r="R343" s="127" t="n"/>
      <c r="S343" s="127" t="n"/>
      <c r="T343" s="127" t="n"/>
      <c r="U343" s="127" t="n"/>
      <c r="V343" s="127" t="n">
        <v>5583000</v>
      </c>
    </row>
    <row r="344">
      <c r="C344" s="94" t="inlineStr">
        <is>
          <t>8월17일</t>
        </is>
      </c>
      <c r="D344" s="127" t="n">
        <v>5867000</v>
      </c>
      <c r="E344" s="127" t="n"/>
      <c r="F344" s="127" t="n"/>
      <c r="G344" s="127" t="n">
        <v>656000</v>
      </c>
      <c r="H344" s="127" t="n"/>
      <c r="I344" s="127" t="n">
        <v>198000</v>
      </c>
      <c r="J344" s="127" t="n">
        <v>266000</v>
      </c>
      <c r="K344" s="127" t="n">
        <v>319000</v>
      </c>
      <c r="L344" s="127" t="n">
        <v>120000</v>
      </c>
      <c r="M344" s="127" t="n">
        <v>84000</v>
      </c>
      <c r="N344" s="127" t="n"/>
      <c r="O344" s="127" t="n">
        <v>155000</v>
      </c>
      <c r="P344" s="127" t="n">
        <v>340000</v>
      </c>
      <c r="Q344" s="127" t="n"/>
      <c r="R344" s="127" t="n"/>
      <c r="S344" s="127" t="n"/>
      <c r="T344" s="127" t="n"/>
      <c r="U344" s="127" t="n"/>
      <c r="V344" s="127" t="n">
        <v>8005000</v>
      </c>
    </row>
    <row r="345">
      <c r="C345" s="94" t="inlineStr">
        <is>
          <t>8월18일</t>
        </is>
      </c>
      <c r="D345" s="127" t="n">
        <v>6643000</v>
      </c>
      <c r="E345" s="127" t="n"/>
      <c r="F345" s="127" t="n"/>
      <c r="G345" s="127" t="n">
        <v>488000</v>
      </c>
      <c r="H345" s="127" t="n"/>
      <c r="I345" s="127" t="n">
        <v>198000</v>
      </c>
      <c r="J345" s="127" t="n">
        <v>380000</v>
      </c>
      <c r="K345" s="127" t="n">
        <v>393000</v>
      </c>
      <c r="L345" s="127" t="n">
        <v>110000</v>
      </c>
      <c r="M345" s="127" t="n">
        <v>88000</v>
      </c>
      <c r="N345" s="127" t="n"/>
      <c r="O345" s="127" t="n">
        <v>75000</v>
      </c>
      <c r="P345" s="127" t="n">
        <v>570000</v>
      </c>
      <c r="Q345" s="127" t="n"/>
      <c r="R345" s="127" t="n"/>
      <c r="S345" s="127" t="n"/>
      <c r="T345" s="127" t="n"/>
      <c r="U345" s="127" t="n"/>
      <c r="V345" s="127" t="n">
        <v>8945000</v>
      </c>
    </row>
    <row r="346">
      <c r="C346" s="94" t="inlineStr">
        <is>
          <t>8월19일</t>
        </is>
      </c>
      <c r="D346" s="127" t="n">
        <v>6000000</v>
      </c>
      <c r="E346" s="127" t="n"/>
      <c r="F346" s="127" t="n"/>
      <c r="G346" s="127" t="n">
        <v>508000</v>
      </c>
      <c r="H346" s="127" t="n"/>
      <c r="I346" s="127" t="n">
        <v>396000</v>
      </c>
      <c r="J346" s="127" t="n">
        <v>228000</v>
      </c>
      <c r="K346" s="127" t="n">
        <v>135000</v>
      </c>
      <c r="L346" s="127" t="n">
        <v>20000</v>
      </c>
      <c r="M346" s="127" t="n">
        <v>44000</v>
      </c>
      <c r="N346" s="127" t="n"/>
      <c r="O346" s="127" t="n">
        <v>145000</v>
      </c>
      <c r="P346" s="127" t="n">
        <v>115000</v>
      </c>
      <c r="Q346" s="127" t="n"/>
      <c r="R346" s="127" t="n"/>
      <c r="S346" s="127" t="n"/>
      <c r="T346" s="127" t="n"/>
      <c r="U346" s="127" t="n"/>
      <c r="V346" s="127" t="n">
        <v>7591000</v>
      </c>
    </row>
    <row r="347">
      <c r="C347" s="94" t="inlineStr">
        <is>
          <t>8월20일</t>
        </is>
      </c>
      <c r="D347" s="127" t="n">
        <v>5733000</v>
      </c>
      <c r="E347" s="127" t="n"/>
      <c r="F347" s="127" t="n"/>
      <c r="G347" s="127" t="n">
        <v>584000</v>
      </c>
      <c r="H347" s="127" t="n"/>
      <c r="I347" s="127" t="n">
        <v>396000</v>
      </c>
      <c r="J347" s="127" t="n">
        <v>304000</v>
      </c>
      <c r="K347" s="127" t="n">
        <v>141000</v>
      </c>
      <c r="L347" s="127" t="n">
        <v>120000</v>
      </c>
      <c r="M347" s="127" t="n">
        <v>104000</v>
      </c>
      <c r="N347" s="127" t="n"/>
      <c r="O347" s="127" t="n">
        <v>40000</v>
      </c>
      <c r="P347" s="127" t="n">
        <v>170000</v>
      </c>
      <c r="Q347" s="127" t="n"/>
      <c r="R347" s="127" t="n"/>
      <c r="S347" s="127" t="n"/>
      <c r="T347" s="127" t="n"/>
      <c r="U347" s="127" t="n"/>
      <c r="V347" s="127" t="n">
        <v>7592000</v>
      </c>
    </row>
    <row r="348">
      <c r="C348" s="94" t="inlineStr">
        <is>
          <t>8월21일</t>
        </is>
      </c>
      <c r="D348" s="127" t="n">
        <v>4252000</v>
      </c>
      <c r="E348" s="127" t="n"/>
      <c r="F348" s="127" t="n"/>
      <c r="G348" s="127" t="n">
        <v>668000</v>
      </c>
      <c r="H348" s="127" t="n"/>
      <c r="I348" s="127" t="n">
        <v>396000</v>
      </c>
      <c r="J348" s="127" t="n">
        <v>152000</v>
      </c>
      <c r="K348" s="127" t="n">
        <v>122000</v>
      </c>
      <c r="L348" s="127" t="n">
        <v>60000</v>
      </c>
      <c r="M348" s="127" t="n">
        <v>60000</v>
      </c>
      <c r="N348" s="127" t="n"/>
      <c r="O348" s="127" t="n">
        <v>40000</v>
      </c>
      <c r="P348" s="127" t="n">
        <v>285000</v>
      </c>
      <c r="Q348" s="127" t="n"/>
      <c r="R348" s="127" t="n"/>
      <c r="S348" s="127" t="n"/>
      <c r="T348" s="127" t="n"/>
      <c r="U348" s="127" t="n"/>
      <c r="V348" s="127" t="n">
        <v>6035000</v>
      </c>
    </row>
    <row r="349">
      <c r="C349" s="94" t="inlineStr">
        <is>
          <t>8월22일</t>
        </is>
      </c>
      <c r="D349" s="127" t="n">
        <v>2999000</v>
      </c>
      <c r="E349" s="127" t="n"/>
      <c r="F349" s="127" t="n"/>
      <c r="G349" s="127" t="n">
        <v>508000</v>
      </c>
      <c r="H349" s="127" t="n"/>
      <c r="I349" s="127" t="n"/>
      <c r="J349" s="127" t="n">
        <v>76000</v>
      </c>
      <c r="K349" s="127" t="n">
        <v>100000</v>
      </c>
      <c r="L349" s="127" t="n">
        <v>40000</v>
      </c>
      <c r="M349" s="127" t="n">
        <v>100000</v>
      </c>
      <c r="N349" s="127" t="n"/>
      <c r="O349" s="127" t="n">
        <v>20000</v>
      </c>
      <c r="P349" s="127" t="n">
        <v>125000</v>
      </c>
      <c r="Q349" s="127" t="n"/>
      <c r="R349" s="127" t="n"/>
      <c r="S349" s="127" t="n"/>
      <c r="T349" s="127" t="n"/>
      <c r="U349" s="127" t="n"/>
      <c r="V349" s="127" t="n">
        <v>3968000</v>
      </c>
    </row>
    <row r="350">
      <c r="C350" s="94" t="inlineStr">
        <is>
          <t>8월23일</t>
        </is>
      </c>
      <c r="D350" s="127" t="n">
        <v>5352000</v>
      </c>
      <c r="E350" s="127" t="n"/>
      <c r="F350" s="127" t="n"/>
      <c r="G350" s="127" t="n">
        <v>488000</v>
      </c>
      <c r="H350" s="127" t="n"/>
      <c r="I350" s="127" t="n">
        <v>594000</v>
      </c>
      <c r="J350" s="127" t="n">
        <v>228000</v>
      </c>
      <c r="K350" s="127" t="n">
        <v>198000</v>
      </c>
      <c r="L350" s="127" t="n">
        <v>20000</v>
      </c>
      <c r="M350" s="127" t="n">
        <v>72000</v>
      </c>
      <c r="N350" s="127" t="n"/>
      <c r="O350" s="127" t="n">
        <v>60000</v>
      </c>
      <c r="P350" s="127" t="n">
        <v>115000</v>
      </c>
      <c r="Q350" s="127" t="n"/>
      <c r="R350" s="127" t="n"/>
      <c r="S350" s="127" t="n"/>
      <c r="T350" s="127" t="n"/>
      <c r="U350" s="127" t="n"/>
      <c r="V350" s="127" t="n">
        <v>7127000</v>
      </c>
    </row>
    <row r="351">
      <c r="C351" s="94" t="inlineStr">
        <is>
          <t>8월24일</t>
        </is>
      </c>
      <c r="D351" s="127" t="n">
        <v>8526000</v>
      </c>
      <c r="E351" s="127" t="n"/>
      <c r="F351" s="127" t="n"/>
      <c r="G351" s="127" t="n">
        <v>800000</v>
      </c>
      <c r="H351" s="127" t="n"/>
      <c r="I351" s="127" t="n">
        <v>396000</v>
      </c>
      <c r="J351" s="127" t="n">
        <v>228000</v>
      </c>
      <c r="K351" s="127" t="n">
        <v>241000</v>
      </c>
      <c r="L351" s="127" t="n">
        <v>35000</v>
      </c>
      <c r="M351" s="127" t="n">
        <v>204000</v>
      </c>
      <c r="N351" s="127" t="n"/>
      <c r="O351" s="127" t="n">
        <v>115000</v>
      </c>
      <c r="P351" s="127" t="n">
        <v>395000</v>
      </c>
      <c r="Q351" s="127" t="n"/>
      <c r="R351" s="127" t="n"/>
      <c r="S351" s="127" t="n"/>
      <c r="T351" s="127" t="n"/>
      <c r="U351" s="127" t="n"/>
      <c r="V351" s="127" t="n">
        <v>10940000</v>
      </c>
    </row>
    <row r="352">
      <c r="C352" s="94" t="inlineStr">
        <is>
          <t>8월25일</t>
        </is>
      </c>
      <c r="D352" s="127" t="n">
        <v>7970000</v>
      </c>
      <c r="E352" s="127" t="n"/>
      <c r="F352" s="127" t="n"/>
      <c r="G352" s="127" t="n">
        <v>728000</v>
      </c>
      <c r="H352" s="127" t="n"/>
      <c r="I352" s="127" t="n">
        <v>198000</v>
      </c>
      <c r="J352" s="127" t="n">
        <v>304000</v>
      </c>
      <c r="K352" s="127" t="n">
        <v>128000</v>
      </c>
      <c r="L352" s="127" t="n">
        <v>100000</v>
      </c>
      <c r="M352" s="127" t="n">
        <v>156000</v>
      </c>
      <c r="N352" s="127" t="n"/>
      <c r="O352" s="127" t="n">
        <v>95000</v>
      </c>
      <c r="P352" s="127" t="n">
        <v>220000</v>
      </c>
      <c r="Q352" s="127" t="n"/>
      <c r="R352" s="127" t="n"/>
      <c r="S352" s="127" t="n"/>
      <c r="T352" s="127" t="n"/>
      <c r="U352" s="127" t="n"/>
      <c r="V352" s="127" t="n">
        <v>9899000</v>
      </c>
    </row>
    <row r="353">
      <c r="C353" s="94" t="inlineStr">
        <is>
          <t>8월26일</t>
        </is>
      </c>
      <c r="D353" s="127" t="n">
        <v>7198000</v>
      </c>
      <c r="E353" s="127" t="n"/>
      <c r="F353" s="127" t="n"/>
      <c r="G353" s="127" t="n">
        <v>844000</v>
      </c>
      <c r="H353" s="127" t="n"/>
      <c r="I353" s="127" t="n">
        <v>396000</v>
      </c>
      <c r="J353" s="127" t="n">
        <v>266000</v>
      </c>
      <c r="K353" s="127" t="n">
        <v>154000</v>
      </c>
      <c r="L353" s="127" t="n">
        <v>20000</v>
      </c>
      <c r="M353" s="127" t="n">
        <v>132000</v>
      </c>
      <c r="N353" s="127" t="n"/>
      <c r="O353" s="127" t="n"/>
      <c r="P353" s="127" t="n">
        <v>185000</v>
      </c>
      <c r="Q353" s="127" t="n"/>
      <c r="R353" s="127" t="n"/>
      <c r="S353" s="127" t="n"/>
      <c r="T353" s="127" t="n"/>
      <c r="U353" s="127" t="n"/>
      <c r="V353" s="127" t="n">
        <v>9195000</v>
      </c>
    </row>
    <row r="354">
      <c r="C354" s="94" t="inlineStr">
        <is>
          <t>8월27일</t>
        </is>
      </c>
      <c r="D354" s="127" t="n">
        <v>7369000</v>
      </c>
      <c r="E354" s="127" t="n"/>
      <c r="F354" s="127" t="n"/>
      <c r="G354" s="127" t="n">
        <v>724000</v>
      </c>
      <c r="H354" s="127" t="n"/>
      <c r="I354" s="127" t="n"/>
      <c r="J354" s="127" t="n">
        <v>342000</v>
      </c>
      <c r="K354" s="127" t="n">
        <v>137000</v>
      </c>
      <c r="L354" s="127" t="n"/>
      <c r="M354" s="127" t="n">
        <v>216000</v>
      </c>
      <c r="N354" s="127" t="n"/>
      <c r="O354" s="127" t="n">
        <v>55000</v>
      </c>
      <c r="P354" s="127" t="n">
        <v>205000</v>
      </c>
      <c r="Q354" s="127" t="n"/>
      <c r="R354" s="127" t="n"/>
      <c r="S354" s="127" t="n"/>
      <c r="T354" s="127" t="n"/>
      <c r="U354" s="127" t="n"/>
      <c r="V354" s="127" t="n">
        <v>9048000</v>
      </c>
    </row>
    <row r="355">
      <c r="C355" s="94" t="inlineStr">
        <is>
          <t>8월28일</t>
        </is>
      </c>
      <c r="D355" s="127" t="n">
        <v>5860000</v>
      </c>
      <c r="E355" s="127" t="n"/>
      <c r="F355" s="127" t="n"/>
      <c r="G355" s="127" t="n">
        <v>564000</v>
      </c>
      <c r="H355" s="127" t="n"/>
      <c r="I355" s="127" t="n">
        <v>297000</v>
      </c>
      <c r="J355" s="127" t="n">
        <v>114000</v>
      </c>
      <c r="K355" s="127" t="n">
        <v>281000</v>
      </c>
      <c r="L355" s="127" t="n">
        <v>60000</v>
      </c>
      <c r="M355" s="127" t="n">
        <v>152000</v>
      </c>
      <c r="N355" s="127" t="n"/>
      <c r="O355" s="127" t="n">
        <v>80000</v>
      </c>
      <c r="P355" s="127" t="n">
        <v>250000</v>
      </c>
      <c r="Q355" s="127" t="n"/>
      <c r="R355" s="127" t="n"/>
      <c r="S355" s="127" t="n"/>
      <c r="T355" s="127" t="n"/>
      <c r="U355" s="127" t="n"/>
      <c r="V355" s="127" t="n">
        <v>7658000</v>
      </c>
    </row>
    <row r="356">
      <c r="C356" s="94" t="inlineStr">
        <is>
          <t>8월29일</t>
        </is>
      </c>
      <c r="D356" s="127" t="n">
        <v>4121000</v>
      </c>
      <c r="E356" s="127" t="n"/>
      <c r="F356" s="127" t="n"/>
      <c r="G356" s="127" t="n">
        <v>376000</v>
      </c>
      <c r="H356" s="127" t="n"/>
      <c r="I356" s="127" t="n">
        <v>396000</v>
      </c>
      <c r="J356" s="127" t="n">
        <v>152000</v>
      </c>
      <c r="K356" s="127" t="n">
        <v>119000</v>
      </c>
      <c r="L356" s="127" t="n">
        <v>95000</v>
      </c>
      <c r="M356" s="127" t="n">
        <v>64000</v>
      </c>
      <c r="N356" s="127" t="n"/>
      <c r="O356" s="127" t="n">
        <v>55000</v>
      </c>
      <c r="P356" s="127" t="n">
        <v>90000</v>
      </c>
      <c r="Q356" s="127" t="n"/>
      <c r="R356" s="127" t="n"/>
      <c r="S356" s="127" t="n"/>
      <c r="T356" s="127" t="n"/>
      <c r="U356" s="127" t="n"/>
      <c r="V356" s="127" t="n">
        <v>5468000</v>
      </c>
    </row>
    <row r="357">
      <c r="C357" s="94" t="inlineStr">
        <is>
          <t>8월30일</t>
        </is>
      </c>
      <c r="D357" s="127" t="n">
        <v>5183000</v>
      </c>
      <c r="E357" s="127" t="n"/>
      <c r="F357" s="127" t="n"/>
      <c r="G357" s="127" t="n">
        <v>532000</v>
      </c>
      <c r="H357" s="127" t="n"/>
      <c r="I357" s="127" t="n">
        <v>198000</v>
      </c>
      <c r="J357" s="127" t="n">
        <v>152000</v>
      </c>
      <c r="K357" s="127" t="n">
        <v>161000</v>
      </c>
      <c r="L357" s="127" t="n">
        <v>60000</v>
      </c>
      <c r="M357" s="127" t="n">
        <v>32000</v>
      </c>
      <c r="N357" s="127" t="n"/>
      <c r="O357" s="127" t="n">
        <v>60000</v>
      </c>
      <c r="P357" s="127" t="n">
        <v>170000</v>
      </c>
      <c r="Q357" s="127" t="n"/>
      <c r="R357" s="127" t="n"/>
      <c r="S357" s="127" t="n"/>
      <c r="T357" s="127" t="n"/>
      <c r="U357" s="127" t="n"/>
      <c r="V357" s="127" t="n">
        <v>6548000</v>
      </c>
    </row>
    <row r="358">
      <c r="C358" s="94" t="inlineStr">
        <is>
          <t>8월31일</t>
        </is>
      </c>
      <c r="D358" s="127" t="n">
        <v>6725000</v>
      </c>
      <c r="E358" s="127" t="n"/>
      <c r="F358" s="127" t="n"/>
      <c r="G358" s="127" t="n">
        <v>880000</v>
      </c>
      <c r="H358" s="127" t="n"/>
      <c r="I358" s="127" t="n">
        <v>198000</v>
      </c>
      <c r="J358" s="127" t="n">
        <v>342000</v>
      </c>
      <c r="K358" s="127" t="n">
        <v>217000</v>
      </c>
      <c r="L358" s="127" t="n">
        <v>135000</v>
      </c>
      <c r="M358" s="127" t="n">
        <v>100000</v>
      </c>
      <c r="N358" s="127" t="n"/>
      <c r="O358" s="127" t="n">
        <v>80000</v>
      </c>
      <c r="P358" s="127" t="n">
        <v>115000</v>
      </c>
      <c r="Q358" s="127" t="n"/>
      <c r="R358" s="127" t="n"/>
      <c r="S358" s="127" t="n"/>
      <c r="T358" s="127" t="n"/>
      <c r="U358" s="127" t="n"/>
      <c r="V358" s="127" t="n">
        <v>8792000</v>
      </c>
    </row>
    <row r="359">
      <c r="B359" s="94" t="inlineStr">
        <is>
          <t>8월 요약</t>
        </is>
      </c>
      <c r="C359" s="94" t="n"/>
      <c r="D359" s="127" t="n">
        <v>183341000</v>
      </c>
      <c r="E359" s="127" t="n"/>
      <c r="F359" s="127" t="n"/>
      <c r="G359" s="127" t="n">
        <v>16836000</v>
      </c>
      <c r="H359" s="127" t="n"/>
      <c r="I359" s="127" t="n">
        <v>8712000</v>
      </c>
      <c r="J359" s="127" t="n">
        <v>7296000</v>
      </c>
      <c r="K359" s="127" t="n">
        <v>3659000</v>
      </c>
      <c r="L359" s="127" t="n">
        <v>2055000</v>
      </c>
      <c r="M359" s="127" t="n">
        <v>3588000</v>
      </c>
      <c r="N359" s="127" t="n"/>
      <c r="O359" s="127" t="n">
        <v>2465000</v>
      </c>
      <c r="P359" s="127" t="n">
        <v>7360000</v>
      </c>
      <c r="Q359" s="127" t="n"/>
      <c r="R359" s="127" t="n"/>
      <c r="S359" s="127" t="n"/>
      <c r="T359" s="127" t="n"/>
      <c r="U359" s="127" t="n"/>
      <c r="V359" s="127" t="n">
        <v>235312000</v>
      </c>
    </row>
    <row r="360">
      <c r="B360" s="94" t="inlineStr">
        <is>
          <t>9월</t>
        </is>
      </c>
      <c r="C360" s="94" t="inlineStr">
        <is>
          <t>9월1일</t>
        </is>
      </c>
      <c r="D360" s="127" t="n">
        <v>8444000</v>
      </c>
      <c r="E360" s="127" t="n"/>
      <c r="F360" s="127" t="n"/>
      <c r="G360" s="127" t="n">
        <v>1128000</v>
      </c>
      <c r="H360" s="127" t="n"/>
      <c r="I360" s="127" t="n">
        <v>594000</v>
      </c>
      <c r="J360" s="127" t="n">
        <v>494000</v>
      </c>
      <c r="K360" s="127" t="n">
        <v>180000</v>
      </c>
      <c r="L360" s="127" t="n">
        <v>40000</v>
      </c>
      <c r="M360" s="127" t="n">
        <v>188000</v>
      </c>
      <c r="N360" s="127" t="n"/>
      <c r="O360" s="127" t="n">
        <v>850000</v>
      </c>
      <c r="P360" s="127" t="n">
        <v>435000</v>
      </c>
      <c r="Q360" s="127" t="n"/>
      <c r="R360" s="127" t="n"/>
      <c r="S360" s="127" t="n"/>
      <c r="T360" s="127" t="n"/>
      <c r="U360" s="127" t="n"/>
      <c r="V360" s="127" t="n">
        <v>12353000</v>
      </c>
    </row>
    <row r="361">
      <c r="C361" s="94" t="inlineStr">
        <is>
          <t>9월2일</t>
        </is>
      </c>
      <c r="D361" s="127" t="n">
        <v>6586000</v>
      </c>
      <c r="E361" s="127" t="n"/>
      <c r="F361" s="127" t="n"/>
      <c r="G361" s="127" t="n">
        <v>760000</v>
      </c>
      <c r="H361" s="127" t="n"/>
      <c r="I361" s="127" t="n">
        <v>297000</v>
      </c>
      <c r="J361" s="127" t="n">
        <v>228000</v>
      </c>
      <c r="K361" s="127" t="n">
        <v>176000</v>
      </c>
      <c r="L361" s="127" t="n">
        <v>100000</v>
      </c>
      <c r="M361" s="127" t="n">
        <v>120000</v>
      </c>
      <c r="N361" s="127" t="n"/>
      <c r="O361" s="127" t="n">
        <v>110000</v>
      </c>
      <c r="P361" s="127" t="n">
        <v>400000</v>
      </c>
      <c r="Q361" s="127" t="n"/>
      <c r="R361" s="127" t="n"/>
      <c r="S361" s="127" t="n"/>
      <c r="T361" s="127" t="n"/>
      <c r="U361" s="127" t="n"/>
      <c r="V361" s="127" t="n">
        <v>8777000</v>
      </c>
    </row>
    <row r="362">
      <c r="C362" s="94" t="inlineStr">
        <is>
          <t>9월3일</t>
        </is>
      </c>
      <c r="D362" s="127" t="n">
        <v>5787000</v>
      </c>
      <c r="E362" s="127" t="n"/>
      <c r="F362" s="127" t="n"/>
      <c r="G362" s="127" t="n">
        <v>712000</v>
      </c>
      <c r="H362" s="127" t="n"/>
      <c r="I362" s="127" t="n">
        <v>99000</v>
      </c>
      <c r="J362" s="127" t="n">
        <v>266000</v>
      </c>
      <c r="K362" s="127" t="n">
        <v>128000</v>
      </c>
      <c r="L362" s="127" t="n">
        <v>20000</v>
      </c>
      <c r="M362" s="127" t="n">
        <v>12000</v>
      </c>
      <c r="N362" s="127" t="n"/>
      <c r="O362" s="127" t="n">
        <v>20000</v>
      </c>
      <c r="P362" s="127" t="n">
        <v>215000</v>
      </c>
      <c r="Q362" s="127" t="n"/>
      <c r="R362" s="127" t="n"/>
      <c r="S362" s="127" t="n"/>
      <c r="T362" s="127" t="n"/>
      <c r="U362" s="127" t="n"/>
      <c r="V362" s="127" t="n">
        <v>7259000</v>
      </c>
    </row>
    <row r="363">
      <c r="C363" s="94" t="inlineStr">
        <is>
          <t>9월4일</t>
        </is>
      </c>
      <c r="D363" s="127" t="n">
        <v>4750000</v>
      </c>
      <c r="E363" s="127" t="n"/>
      <c r="F363" s="127" t="n"/>
      <c r="G363" s="127" t="n">
        <v>896000</v>
      </c>
      <c r="H363" s="127" t="n"/>
      <c r="I363" s="127" t="n"/>
      <c r="J363" s="127" t="n">
        <v>228000</v>
      </c>
      <c r="K363" s="127" t="n">
        <v>359000</v>
      </c>
      <c r="L363" s="127" t="n">
        <v>20000</v>
      </c>
      <c r="M363" s="127" t="n">
        <v>152000</v>
      </c>
      <c r="N363" s="127" t="n"/>
      <c r="O363" s="127" t="n">
        <v>115000</v>
      </c>
      <c r="P363" s="127" t="n">
        <v>160000</v>
      </c>
      <c r="Q363" s="127" t="n"/>
      <c r="R363" s="127" t="n"/>
      <c r="S363" s="127" t="n"/>
      <c r="T363" s="127" t="n"/>
      <c r="U363" s="127" t="n"/>
      <c r="V363" s="127" t="n">
        <v>6680000</v>
      </c>
    </row>
    <row r="364">
      <c r="C364" s="94" t="inlineStr">
        <is>
          <t>9월5일</t>
        </is>
      </c>
      <c r="D364" s="127" t="n">
        <v>4467000</v>
      </c>
      <c r="E364" s="127" t="n"/>
      <c r="F364" s="127" t="n"/>
      <c r="G364" s="127" t="n">
        <v>536000</v>
      </c>
      <c r="H364" s="127" t="n"/>
      <c r="I364" s="127" t="n">
        <v>99000</v>
      </c>
      <c r="J364" s="127" t="n">
        <v>304000</v>
      </c>
      <c r="K364" s="127" t="n">
        <v>39000</v>
      </c>
      <c r="L364" s="127" t="n">
        <v>35000</v>
      </c>
      <c r="M364" s="127" t="n">
        <v>28000</v>
      </c>
      <c r="N364" s="127" t="n"/>
      <c r="O364" s="127" t="n">
        <v>75000</v>
      </c>
      <c r="P364" s="127" t="n">
        <v>125000</v>
      </c>
      <c r="Q364" s="127" t="n"/>
      <c r="R364" s="127" t="n"/>
      <c r="S364" s="127" t="n"/>
      <c r="T364" s="127" t="n"/>
      <c r="U364" s="127" t="n"/>
      <c r="V364" s="127" t="n">
        <v>5708000</v>
      </c>
    </row>
    <row r="365">
      <c r="C365" s="94" t="inlineStr">
        <is>
          <t>9월6일</t>
        </is>
      </c>
      <c r="D365" s="127" t="n">
        <v>5402000</v>
      </c>
      <c r="E365" s="127" t="n"/>
      <c r="F365" s="127" t="n"/>
      <c r="G365" s="127" t="n">
        <v>876000</v>
      </c>
      <c r="H365" s="127" t="n"/>
      <c r="I365" s="127" t="n">
        <v>396000</v>
      </c>
      <c r="J365" s="127" t="n">
        <v>266000</v>
      </c>
      <c r="K365" s="127" t="n">
        <v>206000</v>
      </c>
      <c r="L365" s="127" t="n">
        <v>100000</v>
      </c>
      <c r="M365" s="127" t="n">
        <v>92000</v>
      </c>
      <c r="N365" s="127" t="n"/>
      <c r="O365" s="127" t="n">
        <v>150000</v>
      </c>
      <c r="P365" s="127" t="n">
        <v>195000</v>
      </c>
      <c r="Q365" s="127" t="n"/>
      <c r="R365" s="127" t="n"/>
      <c r="S365" s="127" t="n"/>
      <c r="T365" s="127" t="n"/>
      <c r="U365" s="127" t="n"/>
      <c r="V365" s="127" t="n">
        <v>7683000</v>
      </c>
    </row>
    <row r="366">
      <c r="C366" s="94" t="inlineStr">
        <is>
          <t>9월7일</t>
        </is>
      </c>
      <c r="D366" s="127" t="n">
        <v>6514000</v>
      </c>
      <c r="E366" s="127" t="n"/>
      <c r="F366" s="127" t="n"/>
      <c r="G366" s="127" t="n">
        <v>920000</v>
      </c>
      <c r="H366" s="127" t="n"/>
      <c r="I366" s="127" t="n">
        <v>693000</v>
      </c>
      <c r="J366" s="127" t="n">
        <v>342000</v>
      </c>
      <c r="K366" s="127" t="n">
        <v>135000</v>
      </c>
      <c r="L366" s="127" t="n">
        <v>115000</v>
      </c>
      <c r="M366" s="127" t="n">
        <v>152000</v>
      </c>
      <c r="N366" s="127" t="n"/>
      <c r="O366" s="127" t="n">
        <v>55000</v>
      </c>
      <c r="P366" s="127" t="n">
        <v>115000</v>
      </c>
      <c r="Q366" s="127" t="n"/>
      <c r="R366" s="127" t="n"/>
      <c r="S366" s="127" t="n"/>
      <c r="T366" s="127" t="n"/>
      <c r="U366" s="127" t="n"/>
      <c r="V366" s="127" t="n">
        <v>9041000</v>
      </c>
    </row>
    <row r="367">
      <c r="C367" s="94" t="inlineStr">
        <is>
          <t>9월8일</t>
        </is>
      </c>
      <c r="D367" s="127" t="n">
        <v>5771000</v>
      </c>
      <c r="E367" s="127" t="n"/>
      <c r="F367" s="127" t="n"/>
      <c r="G367" s="127" t="n">
        <v>1208000</v>
      </c>
      <c r="H367" s="127" t="n"/>
      <c r="I367" s="127" t="n">
        <v>297000</v>
      </c>
      <c r="J367" s="127" t="n">
        <v>266000</v>
      </c>
      <c r="K367" s="127" t="n">
        <v>122000</v>
      </c>
      <c r="L367" s="127" t="n">
        <v>95000</v>
      </c>
      <c r="M367" s="127" t="n">
        <v>96000</v>
      </c>
      <c r="N367" s="127" t="n"/>
      <c r="O367" s="127" t="n">
        <v>130000</v>
      </c>
      <c r="P367" s="127" t="n">
        <v>70000</v>
      </c>
      <c r="Q367" s="127" t="n"/>
      <c r="R367" s="127" t="n"/>
      <c r="S367" s="127" t="n"/>
      <c r="T367" s="127" t="n"/>
      <c r="U367" s="127" t="n"/>
      <c r="V367" s="127" t="n">
        <v>8055000</v>
      </c>
    </row>
    <row r="368">
      <c r="C368" s="94" t="inlineStr">
        <is>
          <t>9월9일</t>
        </is>
      </c>
      <c r="D368" s="127" t="n">
        <v>7151000</v>
      </c>
      <c r="E368" s="127" t="n"/>
      <c r="F368" s="127" t="n"/>
      <c r="G368" s="127" t="n">
        <v>1284000</v>
      </c>
      <c r="H368" s="127" t="n"/>
      <c r="I368" s="127" t="n">
        <v>495000</v>
      </c>
      <c r="J368" s="127" t="n">
        <v>646000</v>
      </c>
      <c r="K368" s="127" t="n">
        <v>228000</v>
      </c>
      <c r="L368" s="127" t="n">
        <v>120000</v>
      </c>
      <c r="M368" s="127" t="n">
        <v>56000</v>
      </c>
      <c r="N368" s="127" t="n"/>
      <c r="O368" s="127" t="n">
        <v>165000</v>
      </c>
      <c r="P368" s="127" t="n">
        <v>125000</v>
      </c>
      <c r="Q368" s="127" t="n"/>
      <c r="R368" s="127" t="n"/>
      <c r="S368" s="127" t="n"/>
      <c r="T368" s="127" t="n"/>
      <c r="U368" s="127" t="n"/>
      <c r="V368" s="127" t="n">
        <v>10270000</v>
      </c>
    </row>
    <row r="369">
      <c r="C369" s="94" t="inlineStr">
        <is>
          <t>9월10일</t>
        </is>
      </c>
      <c r="D369" s="127" t="n">
        <v>5870000</v>
      </c>
      <c r="E369" s="127" t="n"/>
      <c r="F369" s="127" t="n"/>
      <c r="G369" s="127" t="n">
        <v>872000</v>
      </c>
      <c r="H369" s="127" t="n"/>
      <c r="I369" s="127" t="n">
        <v>396000</v>
      </c>
      <c r="J369" s="127" t="n">
        <v>114000</v>
      </c>
      <c r="K369" s="127" t="n">
        <v>196000</v>
      </c>
      <c r="L369" s="127" t="n">
        <v>95000</v>
      </c>
      <c r="M369" s="127" t="n">
        <v>56000</v>
      </c>
      <c r="N369" s="127" t="n"/>
      <c r="O369" s="127" t="n">
        <v>55000</v>
      </c>
      <c r="P369" s="127" t="n">
        <v>295000</v>
      </c>
      <c r="Q369" s="127" t="n"/>
      <c r="R369" s="127" t="n"/>
      <c r="S369" s="127" t="n"/>
      <c r="T369" s="127" t="n"/>
      <c r="U369" s="127" t="n"/>
      <c r="V369" s="127" t="n">
        <v>7949000</v>
      </c>
    </row>
    <row r="370">
      <c r="C370" s="94" t="inlineStr">
        <is>
          <t>9월11일</t>
        </is>
      </c>
      <c r="D370" s="127" t="n">
        <v>4612000</v>
      </c>
      <c r="E370" s="127" t="n"/>
      <c r="F370" s="127" t="n"/>
      <c r="G370" s="127" t="n">
        <v>592000</v>
      </c>
      <c r="H370" s="127" t="n"/>
      <c r="I370" s="127" t="n"/>
      <c r="J370" s="127" t="n">
        <v>266000</v>
      </c>
      <c r="K370" s="127" t="n">
        <v>63000</v>
      </c>
      <c r="L370" s="127" t="n">
        <v>60000</v>
      </c>
      <c r="M370" s="127" t="n">
        <v>76000</v>
      </c>
      <c r="N370" s="127" t="n"/>
      <c r="O370" s="127" t="n">
        <v>55000</v>
      </c>
      <c r="P370" s="127" t="n">
        <v>35000</v>
      </c>
      <c r="Q370" s="127" t="n"/>
      <c r="R370" s="127" t="n"/>
      <c r="S370" s="127" t="n"/>
      <c r="T370" s="127" t="n"/>
      <c r="U370" s="127" t="n"/>
      <c r="V370" s="127" t="n">
        <v>5759000</v>
      </c>
    </row>
    <row r="371">
      <c r="C371" s="94" t="inlineStr">
        <is>
          <t>9월12일</t>
        </is>
      </c>
      <c r="D371" s="127" t="n">
        <v>3619000</v>
      </c>
      <c r="E371" s="127" t="n"/>
      <c r="F371" s="127" t="n"/>
      <c r="G371" s="127" t="n">
        <v>244000</v>
      </c>
      <c r="H371" s="127" t="n"/>
      <c r="I371" s="127" t="n">
        <v>198000</v>
      </c>
      <c r="J371" s="127" t="n">
        <v>380000</v>
      </c>
      <c r="K371" s="127" t="n">
        <v>154000</v>
      </c>
      <c r="L371" s="127" t="n">
        <v>115000</v>
      </c>
      <c r="M371" s="127" t="n">
        <v>48000</v>
      </c>
      <c r="N371" s="127" t="n"/>
      <c r="O371" s="127" t="n">
        <v>20000</v>
      </c>
      <c r="P371" s="127" t="n"/>
      <c r="Q371" s="127" t="n"/>
      <c r="R371" s="127" t="n"/>
      <c r="S371" s="127" t="n"/>
      <c r="T371" s="127" t="n"/>
      <c r="U371" s="127" t="n"/>
      <c r="V371" s="127" t="n">
        <v>4778000</v>
      </c>
    </row>
    <row r="372">
      <c r="C372" s="94" t="inlineStr">
        <is>
          <t>9월13일</t>
        </is>
      </c>
      <c r="D372" s="127" t="n">
        <v>3879000</v>
      </c>
      <c r="E372" s="127" t="n"/>
      <c r="F372" s="127" t="n"/>
      <c r="G372" s="127" t="n">
        <v>376000</v>
      </c>
      <c r="H372" s="127" t="n"/>
      <c r="I372" s="127" t="n">
        <v>198000</v>
      </c>
      <c r="J372" s="127" t="n">
        <v>266000</v>
      </c>
      <c r="K372" s="127" t="n">
        <v>118000</v>
      </c>
      <c r="L372" s="127" t="n">
        <v>60000</v>
      </c>
      <c r="M372" s="127" t="n">
        <v>16000</v>
      </c>
      <c r="N372" s="127" t="n"/>
      <c r="O372" s="127" t="n">
        <v>40000</v>
      </c>
      <c r="P372" s="127" t="n">
        <v>125000</v>
      </c>
      <c r="Q372" s="127" t="n"/>
      <c r="R372" s="127" t="n"/>
      <c r="S372" s="127" t="n"/>
      <c r="T372" s="127" t="n"/>
      <c r="U372" s="127" t="n"/>
      <c r="V372" s="127" t="n">
        <v>5078000</v>
      </c>
    </row>
    <row r="373">
      <c r="C373" s="94" t="inlineStr">
        <is>
          <t>9월14일</t>
        </is>
      </c>
      <c r="D373" s="127" t="n">
        <v>6977000</v>
      </c>
      <c r="E373" s="127" t="n">
        <v>4132800</v>
      </c>
      <c r="F373" s="127" t="n">
        <v>2263100</v>
      </c>
      <c r="G373" s="127" t="n">
        <v>896000</v>
      </c>
      <c r="H373" s="127" t="n"/>
      <c r="I373" s="127" t="n">
        <v>297000</v>
      </c>
      <c r="J373" s="127" t="n">
        <v>570000</v>
      </c>
      <c r="K373" s="127" t="n">
        <v>429000</v>
      </c>
      <c r="L373" s="127" t="n">
        <v>155000</v>
      </c>
      <c r="M373" s="127" t="n">
        <v>60000</v>
      </c>
      <c r="N373" s="127" t="n"/>
      <c r="O373" s="127" t="n">
        <v>40000</v>
      </c>
      <c r="P373" s="127" t="n">
        <v>465000</v>
      </c>
      <c r="Q373" s="127" t="n"/>
      <c r="R373" s="127" t="n"/>
      <c r="S373" s="127" t="n"/>
      <c r="T373" s="127" t="n"/>
      <c r="U373" s="127" t="n"/>
      <c r="V373" s="127" t="n">
        <v>16284900</v>
      </c>
    </row>
    <row r="374">
      <c r="C374" s="94" t="inlineStr">
        <is>
          <t>9월15일</t>
        </is>
      </c>
      <c r="D374" s="127" t="n">
        <v>5562000</v>
      </c>
      <c r="E374" s="127" t="n">
        <v>967300</v>
      </c>
      <c r="F374" s="127" t="n">
        <v>1150100</v>
      </c>
      <c r="G374" s="127" t="n">
        <v>836000</v>
      </c>
      <c r="H374" s="127" t="n"/>
      <c r="I374" s="127" t="n">
        <v>594000</v>
      </c>
      <c r="J374" s="127" t="n">
        <v>342000</v>
      </c>
      <c r="K374" s="127" t="n">
        <v>178000</v>
      </c>
      <c r="L374" s="127" t="n">
        <v>145000</v>
      </c>
      <c r="M374" s="127" t="n">
        <v>164000</v>
      </c>
      <c r="N374" s="127" t="n"/>
      <c r="O374" s="127" t="n">
        <v>90000</v>
      </c>
      <c r="P374" s="127" t="n">
        <v>35000</v>
      </c>
      <c r="Q374" s="127" t="n"/>
      <c r="R374" s="127" t="n"/>
      <c r="S374" s="127" t="n"/>
      <c r="T374" s="127" t="n"/>
      <c r="U374" s="127" t="n"/>
      <c r="V374" s="127" t="n">
        <v>10063400</v>
      </c>
    </row>
    <row r="375">
      <c r="C375" s="94" t="inlineStr">
        <is>
          <t>9월16일</t>
        </is>
      </c>
      <c r="D375" s="127" t="n">
        <v>4859000</v>
      </c>
      <c r="E375" s="127" t="n">
        <v>2481600</v>
      </c>
      <c r="F375" s="127" t="n">
        <v>1817900</v>
      </c>
      <c r="G375" s="127" t="n">
        <v>668000</v>
      </c>
      <c r="H375" s="127" t="n"/>
      <c r="I375" s="127" t="n"/>
      <c r="J375" s="127" t="n">
        <v>304000</v>
      </c>
      <c r="K375" s="127" t="n">
        <v>187000</v>
      </c>
      <c r="L375" s="127" t="n">
        <v>100000</v>
      </c>
      <c r="M375" s="127" t="n">
        <v>48000</v>
      </c>
      <c r="N375" s="127" t="n"/>
      <c r="O375" s="127" t="n"/>
      <c r="P375" s="127" t="n">
        <v>310000</v>
      </c>
      <c r="Q375" s="127" t="n"/>
      <c r="R375" s="127" t="n"/>
      <c r="S375" s="127" t="n"/>
      <c r="T375" s="127" t="n"/>
      <c r="U375" s="127" t="n"/>
      <c r="V375" s="127" t="n">
        <v>10775500</v>
      </c>
    </row>
    <row r="376">
      <c r="C376" s="94" t="inlineStr">
        <is>
          <t>9월17일</t>
        </is>
      </c>
      <c r="D376" s="127" t="n">
        <v>4154000</v>
      </c>
      <c r="E376" s="127" t="n">
        <v>19900</v>
      </c>
      <c r="F376" s="127" t="n"/>
      <c r="G376" s="127" t="n">
        <v>716000</v>
      </c>
      <c r="H376" s="127" t="n"/>
      <c r="I376" s="127" t="n">
        <v>396000</v>
      </c>
      <c r="J376" s="127" t="n">
        <v>190000</v>
      </c>
      <c r="K376" s="127" t="n">
        <v>122000</v>
      </c>
      <c r="L376" s="127" t="n">
        <v>60000</v>
      </c>
      <c r="M376" s="127" t="n">
        <v>20000</v>
      </c>
      <c r="N376" s="127" t="n"/>
      <c r="O376" s="127" t="n">
        <v>20000</v>
      </c>
      <c r="P376" s="127" t="n">
        <v>215000</v>
      </c>
      <c r="Q376" s="127" t="n"/>
      <c r="R376" s="127" t="n"/>
      <c r="S376" s="127" t="n">
        <v>52000</v>
      </c>
      <c r="T376" s="127" t="n"/>
      <c r="U376" s="127" t="n"/>
      <c r="V376" s="127" t="n">
        <v>5964900</v>
      </c>
    </row>
    <row r="377">
      <c r="C377" s="94" t="inlineStr">
        <is>
          <t>9월18일</t>
        </is>
      </c>
      <c r="D377" s="127" t="n">
        <v>3995000</v>
      </c>
      <c r="E377" s="127" t="n"/>
      <c r="F377" s="127" t="n"/>
      <c r="G377" s="127" t="n">
        <v>640000</v>
      </c>
      <c r="H377" s="127" t="n"/>
      <c r="I377" s="127" t="n">
        <v>297000</v>
      </c>
      <c r="J377" s="127" t="n">
        <v>152000</v>
      </c>
      <c r="K377" s="127" t="n">
        <v>117000</v>
      </c>
      <c r="L377" s="127" t="n"/>
      <c r="M377" s="127" t="n">
        <v>96000</v>
      </c>
      <c r="N377" s="127" t="n"/>
      <c r="O377" s="127" t="n">
        <v>20000</v>
      </c>
      <c r="P377" s="127" t="n"/>
      <c r="Q377" s="127" t="n"/>
      <c r="R377" s="127" t="n"/>
      <c r="S377" s="127" t="n">
        <v>70200</v>
      </c>
      <c r="T377" s="127" t="n"/>
      <c r="U377" s="127" t="n"/>
      <c r="V377" s="127" t="n">
        <v>5387200</v>
      </c>
    </row>
    <row r="378">
      <c r="C378" s="94" t="inlineStr">
        <is>
          <t>9월19일</t>
        </is>
      </c>
      <c r="D378" s="127" t="n">
        <v>3221000</v>
      </c>
      <c r="E378" s="127" t="n"/>
      <c r="F378" s="127" t="n"/>
      <c r="G378" s="127" t="n">
        <v>280000</v>
      </c>
      <c r="H378" s="127" t="n"/>
      <c r="I378" s="127" t="n">
        <v>198000</v>
      </c>
      <c r="J378" s="127" t="n">
        <v>266000</v>
      </c>
      <c r="K378" s="127" t="n">
        <v>13000</v>
      </c>
      <c r="L378" s="127" t="n">
        <v>35000</v>
      </c>
      <c r="M378" s="127" t="n">
        <v>56000</v>
      </c>
      <c r="N378" s="127" t="n"/>
      <c r="O378" s="127" t="n">
        <v>20000</v>
      </c>
      <c r="P378" s="127" t="n"/>
      <c r="Q378" s="127" t="n"/>
      <c r="R378" s="127" t="n"/>
      <c r="S378" s="127" t="n">
        <v>70200</v>
      </c>
      <c r="T378" s="127" t="n"/>
      <c r="U378" s="127" t="n"/>
      <c r="V378" s="127" t="n">
        <v>4159200</v>
      </c>
    </row>
    <row r="379">
      <c r="C379" s="94" t="inlineStr">
        <is>
          <t>9월20일</t>
        </is>
      </c>
      <c r="D379" s="127" t="n">
        <v>3918000</v>
      </c>
      <c r="E379" s="127" t="n"/>
      <c r="F379" s="127" t="n">
        <v>37100</v>
      </c>
      <c r="G379" s="127" t="n">
        <v>524000</v>
      </c>
      <c r="H379" s="127" t="n"/>
      <c r="I379" s="127" t="n">
        <v>297000</v>
      </c>
      <c r="J379" s="127" t="n">
        <v>380000</v>
      </c>
      <c r="K379" s="127" t="n">
        <v>142000</v>
      </c>
      <c r="L379" s="127" t="n">
        <v>35000</v>
      </c>
      <c r="M379" s="127" t="n">
        <v>84000</v>
      </c>
      <c r="N379" s="127" t="n"/>
      <c r="O379" s="127" t="n">
        <v>55000</v>
      </c>
      <c r="P379" s="127" t="n"/>
      <c r="Q379" s="127" t="n"/>
      <c r="R379" s="127" t="n"/>
      <c r="S379" s="127" t="n">
        <v>18200</v>
      </c>
      <c r="T379" s="127" t="n"/>
      <c r="U379" s="127" t="n"/>
      <c r="V379" s="127" t="n">
        <v>5490300</v>
      </c>
    </row>
    <row r="380">
      <c r="C380" s="94" t="inlineStr">
        <is>
          <t>9월21일</t>
        </is>
      </c>
      <c r="D380" s="127" t="n">
        <v>5432000</v>
      </c>
      <c r="E380" s="127" t="n">
        <v>296800</v>
      </c>
      <c r="F380" s="127" t="n">
        <v>296800</v>
      </c>
      <c r="G380" s="127" t="n">
        <v>732000</v>
      </c>
      <c r="H380" s="127" t="n">
        <v>490000</v>
      </c>
      <c r="I380" s="127" t="n">
        <v>495000</v>
      </c>
      <c r="J380" s="127" t="n">
        <v>266000</v>
      </c>
      <c r="K380" s="127" t="n">
        <v>76000</v>
      </c>
      <c r="L380" s="127" t="n">
        <v>95000</v>
      </c>
      <c r="M380" s="127" t="n">
        <v>184000</v>
      </c>
      <c r="N380" s="127" t="n">
        <v>67200</v>
      </c>
      <c r="O380" s="127" t="n">
        <v>60000</v>
      </c>
      <c r="P380" s="127" t="n"/>
      <c r="Q380" s="127" t="n"/>
      <c r="R380" s="127" t="n"/>
      <c r="S380" s="127" t="n">
        <v>124800</v>
      </c>
      <c r="T380" s="127" t="n"/>
      <c r="U380" s="127" t="n"/>
      <c r="V380" s="127" t="n">
        <v>8615600</v>
      </c>
    </row>
    <row r="381">
      <c r="C381" s="94" t="inlineStr">
        <is>
          <t>9월22일</t>
        </is>
      </c>
      <c r="D381" s="127" t="n">
        <v>3318000</v>
      </c>
      <c r="E381" s="127" t="n">
        <v>638400</v>
      </c>
      <c r="F381" s="127" t="n">
        <v>445200</v>
      </c>
      <c r="G381" s="127" t="n">
        <v>444000</v>
      </c>
      <c r="H381" s="127" t="n">
        <v>805000</v>
      </c>
      <c r="I381" s="127" t="n">
        <v>198000</v>
      </c>
      <c r="J381" s="127" t="n">
        <v>38000</v>
      </c>
      <c r="K381" s="127" t="n">
        <v>148000</v>
      </c>
      <c r="L381" s="127" t="n"/>
      <c r="M381" s="127" t="n">
        <v>108000</v>
      </c>
      <c r="N381" s="127" t="n">
        <v>61600</v>
      </c>
      <c r="O381" s="127" t="n">
        <v>55000</v>
      </c>
      <c r="P381" s="127" t="n"/>
      <c r="Q381" s="127" t="n"/>
      <c r="R381" s="127" t="n"/>
      <c r="S381" s="127" t="n">
        <v>18200</v>
      </c>
      <c r="T381" s="127" t="n"/>
      <c r="U381" s="127" t="n"/>
      <c r="V381" s="127" t="n">
        <v>6277400</v>
      </c>
    </row>
    <row r="382">
      <c r="C382" s="94" t="inlineStr">
        <is>
          <t>9월23일</t>
        </is>
      </c>
      <c r="D382" s="127" t="n">
        <v>4085000</v>
      </c>
      <c r="E382" s="127" t="n">
        <v>1002400</v>
      </c>
      <c r="F382" s="127" t="n">
        <v>779100</v>
      </c>
      <c r="G382" s="127" t="n">
        <v>648000</v>
      </c>
      <c r="H382" s="127" t="n">
        <v>1015000</v>
      </c>
      <c r="I382" s="127" t="n">
        <v>693000</v>
      </c>
      <c r="J382" s="127" t="n">
        <v>228000</v>
      </c>
      <c r="K382" s="127" t="n">
        <v>168000</v>
      </c>
      <c r="L382" s="127" t="n">
        <v>80000</v>
      </c>
      <c r="M382" s="127" t="n">
        <v>88000</v>
      </c>
      <c r="N382" s="127" t="n">
        <v>179200</v>
      </c>
      <c r="O382" s="127" t="n">
        <v>40000</v>
      </c>
      <c r="P382" s="127" t="n"/>
      <c r="Q382" s="127" t="n"/>
      <c r="R382" s="127" t="n"/>
      <c r="S382" s="127" t="n">
        <v>18200</v>
      </c>
      <c r="T382" s="127" t="n"/>
      <c r="U382" s="127" t="n"/>
      <c r="V382" s="127" t="n">
        <v>9023900</v>
      </c>
    </row>
    <row r="383">
      <c r="C383" s="94" t="inlineStr">
        <is>
          <t>9월24일</t>
        </is>
      </c>
      <c r="D383" s="127" t="n">
        <v>3902000</v>
      </c>
      <c r="E383" s="127" t="n">
        <v>1248800</v>
      </c>
      <c r="F383" s="127" t="n">
        <v>742000</v>
      </c>
      <c r="G383" s="127" t="n">
        <v>836000</v>
      </c>
      <c r="H383" s="127" t="n">
        <v>1085000</v>
      </c>
      <c r="I383" s="127" t="n">
        <v>99000</v>
      </c>
      <c r="J383" s="127" t="n">
        <v>266000</v>
      </c>
      <c r="K383" s="127" t="n">
        <v>273000</v>
      </c>
      <c r="L383" s="127" t="n">
        <v>40000</v>
      </c>
      <c r="M383" s="127" t="n">
        <v>136000</v>
      </c>
      <c r="N383" s="127" t="n">
        <v>173600</v>
      </c>
      <c r="O383" s="127" t="n">
        <v>20000</v>
      </c>
      <c r="P383" s="127" t="n"/>
      <c r="Q383" s="127" t="n"/>
      <c r="R383" s="127" t="n"/>
      <c r="S383" s="127" t="n">
        <v>33800</v>
      </c>
      <c r="T383" s="127" t="n"/>
      <c r="U383" s="127" t="n"/>
      <c r="V383" s="127" t="n">
        <v>8855200</v>
      </c>
    </row>
    <row r="384">
      <c r="C384" s="94" t="inlineStr">
        <is>
          <t>9월25일</t>
        </is>
      </c>
      <c r="D384" s="127" t="n">
        <v>3113000</v>
      </c>
      <c r="E384" s="127" t="n">
        <v>1019200</v>
      </c>
      <c r="F384" s="127" t="n">
        <v>556500</v>
      </c>
      <c r="G384" s="127" t="n">
        <v>704000</v>
      </c>
      <c r="H384" s="127" t="n">
        <v>1190000</v>
      </c>
      <c r="I384" s="127" t="n">
        <v>198000</v>
      </c>
      <c r="J384" s="127" t="n">
        <v>76000</v>
      </c>
      <c r="K384" s="127" t="n">
        <v>109000</v>
      </c>
      <c r="L384" s="127" t="n">
        <v>20000</v>
      </c>
      <c r="M384" s="127" t="n">
        <v>40000</v>
      </c>
      <c r="N384" s="127" t="n">
        <v>168000</v>
      </c>
      <c r="O384" s="127" t="n">
        <v>115000</v>
      </c>
      <c r="P384" s="127" t="n"/>
      <c r="Q384" s="127" t="n"/>
      <c r="R384" s="127" t="n"/>
      <c r="S384" s="127" t="n"/>
      <c r="T384" s="127" t="n"/>
      <c r="U384" s="127" t="n"/>
      <c r="V384" s="127" t="n">
        <v>7308700</v>
      </c>
    </row>
    <row r="385">
      <c r="C385" s="94" t="inlineStr">
        <is>
          <t>9월26일</t>
        </is>
      </c>
      <c r="D385" s="127" t="n">
        <v>2070000</v>
      </c>
      <c r="E385" s="127" t="n">
        <v>840000</v>
      </c>
      <c r="F385" s="127" t="n">
        <v>667800</v>
      </c>
      <c r="G385" s="127" t="n">
        <v>612000</v>
      </c>
      <c r="H385" s="127" t="n">
        <v>805000</v>
      </c>
      <c r="I385" s="127" t="n">
        <v>297000</v>
      </c>
      <c r="J385" s="127" t="n">
        <v>152000</v>
      </c>
      <c r="K385" s="127" t="n">
        <v>115000</v>
      </c>
      <c r="L385" s="127" t="n">
        <v>95000</v>
      </c>
      <c r="M385" s="127" t="n">
        <v>44000</v>
      </c>
      <c r="N385" s="127" t="n">
        <v>201600</v>
      </c>
      <c r="O385" s="127" t="n">
        <v>40000</v>
      </c>
      <c r="P385" s="127" t="n"/>
      <c r="Q385" s="127" t="n"/>
      <c r="R385" s="127" t="n"/>
      <c r="S385" s="127" t="n">
        <v>18200</v>
      </c>
      <c r="T385" s="127" t="n"/>
      <c r="U385" s="127" t="n"/>
      <c r="V385" s="127" t="n">
        <v>5957600</v>
      </c>
    </row>
    <row r="386">
      <c r="C386" s="94" t="inlineStr">
        <is>
          <t>9월27일</t>
        </is>
      </c>
      <c r="D386" s="127" t="n">
        <v>2586000</v>
      </c>
      <c r="E386" s="127" t="n">
        <v>1321600</v>
      </c>
      <c r="F386" s="127" t="n">
        <v>927500</v>
      </c>
      <c r="G386" s="127" t="n">
        <v>620000</v>
      </c>
      <c r="H386" s="127" t="n">
        <v>1015000</v>
      </c>
      <c r="I386" s="127" t="n">
        <v>396000</v>
      </c>
      <c r="J386" s="127" t="n">
        <v>76000</v>
      </c>
      <c r="K386" s="127" t="n">
        <v>85000</v>
      </c>
      <c r="L386" s="127" t="n">
        <v>20000</v>
      </c>
      <c r="M386" s="127" t="n">
        <v>108000</v>
      </c>
      <c r="N386" s="127" t="n">
        <v>145600</v>
      </c>
      <c r="O386" s="127" t="n">
        <v>60000</v>
      </c>
      <c r="P386" s="127" t="n"/>
      <c r="Q386" s="127" t="n"/>
      <c r="R386" s="127" t="n"/>
      <c r="S386" s="127" t="n">
        <v>104000</v>
      </c>
      <c r="T386" s="127" t="n"/>
      <c r="U386" s="127" t="n"/>
      <c r="V386" s="127" t="n">
        <v>7464700</v>
      </c>
    </row>
    <row r="387">
      <c r="C387" s="94" t="inlineStr">
        <is>
          <t>9월28일</t>
        </is>
      </c>
      <c r="D387" s="127" t="n">
        <v>2899000</v>
      </c>
      <c r="E387" s="127" t="n">
        <v>1142400</v>
      </c>
      <c r="F387" s="127" t="n">
        <v>667800</v>
      </c>
      <c r="G387" s="127" t="n">
        <v>420000</v>
      </c>
      <c r="H387" s="127" t="n">
        <v>704900</v>
      </c>
      <c r="I387" s="127" t="n">
        <v>297000</v>
      </c>
      <c r="J387" s="127" t="n">
        <v>152000</v>
      </c>
      <c r="K387" s="127" t="n">
        <v>50000</v>
      </c>
      <c r="L387" s="127" t="n">
        <v>60000</v>
      </c>
      <c r="M387" s="127" t="n">
        <v>92000</v>
      </c>
      <c r="N387" s="127" t="n">
        <v>84000</v>
      </c>
      <c r="O387" s="127" t="n"/>
      <c r="P387" s="127" t="n"/>
      <c r="Q387" s="127" t="n"/>
      <c r="R387" s="127" t="n"/>
      <c r="S387" s="127" t="n">
        <v>36400</v>
      </c>
      <c r="T387" s="127" t="n"/>
      <c r="U387" s="127" t="n"/>
      <c r="V387" s="127" t="n">
        <v>6605500</v>
      </c>
    </row>
    <row r="388">
      <c r="C388" s="94" t="inlineStr">
        <is>
          <t>9월29일</t>
        </is>
      </c>
      <c r="D388" s="127" t="n">
        <v>1879000</v>
      </c>
      <c r="E388" s="127" t="n">
        <v>716800</v>
      </c>
      <c r="F388" s="127" t="n">
        <v>482300</v>
      </c>
      <c r="G388" s="127" t="n">
        <v>960000</v>
      </c>
      <c r="H388" s="127" t="n">
        <v>556500</v>
      </c>
      <c r="I388" s="127" t="n">
        <v>99000</v>
      </c>
      <c r="J388" s="127" t="n">
        <v>38000</v>
      </c>
      <c r="K388" s="127" t="n">
        <v>170000</v>
      </c>
      <c r="L388" s="127" t="n">
        <v>40000</v>
      </c>
      <c r="M388" s="127" t="n">
        <v>144000</v>
      </c>
      <c r="N388" s="127" t="n">
        <v>123200</v>
      </c>
      <c r="O388" s="127" t="n">
        <v>95000</v>
      </c>
      <c r="P388" s="127" t="n"/>
      <c r="Q388" s="127" t="n"/>
      <c r="R388" s="127" t="n"/>
      <c r="S388" s="127" t="n">
        <v>36400</v>
      </c>
      <c r="T388" s="127" t="n"/>
      <c r="U388" s="127" t="n"/>
      <c r="V388" s="127" t="n">
        <v>5340200</v>
      </c>
    </row>
    <row r="389">
      <c r="C389" s="94" t="inlineStr">
        <is>
          <t>9월30일</t>
        </is>
      </c>
      <c r="D389" s="127" t="n">
        <v>1739000</v>
      </c>
      <c r="E389" s="127" t="n">
        <v>554400</v>
      </c>
      <c r="F389" s="127" t="n">
        <v>742000</v>
      </c>
      <c r="G389" s="127" t="n">
        <v>656000</v>
      </c>
      <c r="H389" s="127" t="n">
        <v>519400</v>
      </c>
      <c r="I389" s="127" t="n">
        <v>198000</v>
      </c>
      <c r="J389" s="127" t="n"/>
      <c r="K389" s="127" t="n">
        <v>63000</v>
      </c>
      <c r="L389" s="127" t="n">
        <v>80000</v>
      </c>
      <c r="M389" s="127" t="n">
        <v>44000</v>
      </c>
      <c r="N389" s="127" t="n">
        <v>67200</v>
      </c>
      <c r="O389" s="127" t="n">
        <v>60000</v>
      </c>
      <c r="P389" s="127" t="n"/>
      <c r="Q389" s="127" t="n"/>
      <c r="R389" s="127" t="n"/>
      <c r="S389" s="127" t="n"/>
      <c r="T389" s="127" t="n"/>
      <c r="U389" s="127" t="n"/>
      <c r="V389" s="127" t="n">
        <v>4723000</v>
      </c>
    </row>
    <row r="390">
      <c r="B390" s="94" t="inlineStr">
        <is>
          <t>9월 요약</t>
        </is>
      </c>
      <c r="C390" s="94" t="n"/>
      <c r="D390" s="127" t="n">
        <v>136561000</v>
      </c>
      <c r="E390" s="127" t="n">
        <v>16382400</v>
      </c>
      <c r="F390" s="127" t="n">
        <v>11575200</v>
      </c>
      <c r="G390" s="127" t="n">
        <v>21596000</v>
      </c>
      <c r="H390" s="127" t="n">
        <v>8185800</v>
      </c>
      <c r="I390" s="127" t="n">
        <v>8811000</v>
      </c>
      <c r="J390" s="127" t="n">
        <v>7562000</v>
      </c>
      <c r="K390" s="127" t="n">
        <v>4549000</v>
      </c>
      <c r="L390" s="127" t="n">
        <v>2035000</v>
      </c>
      <c r="M390" s="127" t="n">
        <v>2608000</v>
      </c>
      <c r="N390" s="127" t="n">
        <v>1271200</v>
      </c>
      <c r="O390" s="127" t="n">
        <v>2630000</v>
      </c>
      <c r="P390" s="127" t="n">
        <v>3320000</v>
      </c>
      <c r="Q390" s="127" t="n"/>
      <c r="R390" s="127" t="n"/>
      <c r="S390" s="127" t="n">
        <v>600600</v>
      </c>
      <c r="T390" s="127" t="n"/>
      <c r="U390" s="127" t="n"/>
      <c r="V390" s="127" t="n">
        <v>227687200</v>
      </c>
    </row>
    <row r="391">
      <c r="B391" s="94" t="inlineStr">
        <is>
          <t>10월</t>
        </is>
      </c>
      <c r="C391" s="94" t="inlineStr">
        <is>
          <t>10월1일</t>
        </is>
      </c>
      <c r="D391" s="127" t="n">
        <v>2184000</v>
      </c>
      <c r="E391" s="127" t="n">
        <v>638400</v>
      </c>
      <c r="F391" s="127" t="n">
        <v>779100</v>
      </c>
      <c r="G391" s="127" t="n">
        <v>736000</v>
      </c>
      <c r="H391" s="127" t="n">
        <v>704900</v>
      </c>
      <c r="I391" s="127" t="n">
        <v>495000</v>
      </c>
      <c r="J391" s="127" t="n">
        <v>228000</v>
      </c>
      <c r="K391" s="127" t="n">
        <v>222000</v>
      </c>
      <c r="L391" s="127" t="n">
        <v>55000</v>
      </c>
      <c r="M391" s="127" t="n">
        <v>160000</v>
      </c>
      <c r="N391" s="127" t="n">
        <v>196000</v>
      </c>
      <c r="O391" s="127" t="n">
        <v>150000</v>
      </c>
      <c r="P391" s="127" t="n"/>
      <c r="Q391" s="127" t="n"/>
      <c r="R391" s="127" t="n"/>
      <c r="S391" s="127" t="n">
        <v>18200</v>
      </c>
      <c r="T391" s="127" t="n"/>
      <c r="U391" s="127" t="n"/>
      <c r="V391" s="127" t="n">
        <v>6566600</v>
      </c>
    </row>
    <row r="392">
      <c r="C392" s="94" t="inlineStr">
        <is>
          <t>10월2일</t>
        </is>
      </c>
      <c r="D392" s="127" t="n">
        <v>2793000</v>
      </c>
      <c r="E392" s="127" t="n">
        <v>985600</v>
      </c>
      <c r="F392" s="127" t="n">
        <v>630700</v>
      </c>
      <c r="G392" s="127" t="n">
        <v>612000</v>
      </c>
      <c r="H392" s="127" t="n">
        <v>779100</v>
      </c>
      <c r="I392" s="127" t="n">
        <v>297000</v>
      </c>
      <c r="J392" s="127" t="n">
        <v>228000</v>
      </c>
      <c r="K392" s="127" t="n">
        <v>85000</v>
      </c>
      <c r="L392" s="127" t="n">
        <v>60000</v>
      </c>
      <c r="M392" s="127" t="n">
        <v>60000</v>
      </c>
      <c r="N392" s="127" t="n">
        <v>156800</v>
      </c>
      <c r="O392" s="127" t="n">
        <v>60000</v>
      </c>
      <c r="P392" s="127" t="n"/>
      <c r="Q392" s="127" t="n"/>
      <c r="R392" s="127" t="n"/>
      <c r="S392" s="127" t="n">
        <v>36400</v>
      </c>
      <c r="T392" s="127" t="n"/>
      <c r="U392" s="127" t="n"/>
      <c r="V392" s="127" t="n">
        <v>6783600</v>
      </c>
    </row>
    <row r="393">
      <c r="C393" s="94" t="inlineStr">
        <is>
          <t>10월3일</t>
        </is>
      </c>
      <c r="D393" s="127" t="n">
        <v>3870000</v>
      </c>
      <c r="E393" s="127" t="n">
        <v>1282400</v>
      </c>
      <c r="F393" s="127" t="n">
        <v>816200</v>
      </c>
      <c r="G393" s="127" t="n">
        <v>1084000</v>
      </c>
      <c r="H393" s="127" t="n">
        <v>779100</v>
      </c>
      <c r="I393" s="127" t="n">
        <v>495000</v>
      </c>
      <c r="J393" s="127" t="n">
        <v>342000</v>
      </c>
      <c r="K393" s="127" t="n">
        <v>200000</v>
      </c>
      <c r="L393" s="127" t="n">
        <v>120000</v>
      </c>
      <c r="M393" s="127" t="n">
        <v>76000</v>
      </c>
      <c r="N393" s="127" t="n">
        <v>67200</v>
      </c>
      <c r="O393" s="127" t="n">
        <v>40000</v>
      </c>
      <c r="P393" s="127" t="n"/>
      <c r="Q393" s="127" t="n"/>
      <c r="R393" s="127" t="n"/>
      <c r="S393" s="127" t="n">
        <v>54600</v>
      </c>
      <c r="T393" s="127" t="n"/>
      <c r="U393" s="127" t="n"/>
      <c r="V393" s="127" t="n">
        <v>9226500</v>
      </c>
    </row>
    <row r="394">
      <c r="C394" s="94" t="inlineStr">
        <is>
          <t>10월4일</t>
        </is>
      </c>
      <c r="D394" s="127" t="n">
        <v>5035000</v>
      </c>
      <c r="E394" s="127" t="n">
        <v>2100000</v>
      </c>
      <c r="F394" s="127" t="n">
        <v>1632400</v>
      </c>
      <c r="G394" s="127" t="n">
        <v>1664000</v>
      </c>
      <c r="H394" s="127" t="n">
        <v>1632400</v>
      </c>
      <c r="I394" s="127" t="n">
        <v>396000</v>
      </c>
      <c r="J394" s="127" t="n">
        <v>532000</v>
      </c>
      <c r="K394" s="127" t="n">
        <v>264000</v>
      </c>
      <c r="L394" s="127" t="n">
        <v>75000</v>
      </c>
      <c r="M394" s="127" t="n">
        <v>108000</v>
      </c>
      <c r="N394" s="127" t="n">
        <v>218400</v>
      </c>
      <c r="O394" s="127" t="n">
        <v>115000</v>
      </c>
      <c r="P394" s="127" t="n"/>
      <c r="Q394" s="127" t="n"/>
      <c r="R394" s="127" t="n"/>
      <c r="S394" s="127" t="n">
        <v>88400</v>
      </c>
      <c r="T394" s="127" t="n"/>
      <c r="U394" s="127" t="n"/>
      <c r="V394" s="127" t="n">
        <v>13860600</v>
      </c>
    </row>
    <row r="395">
      <c r="C395" s="94" t="inlineStr">
        <is>
          <t>10월5일</t>
        </is>
      </c>
      <c r="D395" s="127" t="n">
        <v>6089000</v>
      </c>
      <c r="E395" s="127" t="n">
        <v>2430400</v>
      </c>
      <c r="F395" s="127" t="n">
        <v>1521100</v>
      </c>
      <c r="G395" s="127" t="n">
        <v>1356000</v>
      </c>
      <c r="H395" s="127" t="n">
        <v>1966300</v>
      </c>
      <c r="I395" s="127" t="n">
        <v>693000</v>
      </c>
      <c r="J395" s="127" t="n">
        <v>266000</v>
      </c>
      <c r="K395" s="127" t="n">
        <v>254000</v>
      </c>
      <c r="L395" s="127" t="n">
        <v>135000</v>
      </c>
      <c r="M395" s="127" t="n">
        <v>148000</v>
      </c>
      <c r="N395" s="127" t="n">
        <v>330400</v>
      </c>
      <c r="O395" s="127" t="n">
        <v>160000</v>
      </c>
      <c r="P395" s="127" t="n"/>
      <c r="Q395" s="127" t="n"/>
      <c r="R395" s="127" t="n"/>
      <c r="S395" s="127" t="n"/>
      <c r="T395" s="127" t="n"/>
      <c r="U395" s="127" t="n"/>
      <c r="V395" s="127" t="n">
        <v>15349200</v>
      </c>
    </row>
    <row r="396">
      <c r="C396" s="94" t="inlineStr">
        <is>
          <t>10월6일</t>
        </is>
      </c>
      <c r="D396" s="127" t="n">
        <v>6578000</v>
      </c>
      <c r="E396" s="127" t="n">
        <v>2077600</v>
      </c>
      <c r="F396" s="127" t="n">
        <v>1335600</v>
      </c>
      <c r="G396" s="127" t="n">
        <v>976000</v>
      </c>
      <c r="H396" s="127" t="n">
        <v>1966300</v>
      </c>
      <c r="I396" s="127" t="n">
        <v>297000</v>
      </c>
      <c r="J396" s="127" t="n">
        <v>190000</v>
      </c>
      <c r="K396" s="127" t="n">
        <v>224000</v>
      </c>
      <c r="L396" s="127" t="n">
        <v>200000</v>
      </c>
      <c r="M396" s="127" t="n">
        <v>100000</v>
      </c>
      <c r="N396" s="127" t="n">
        <v>196000</v>
      </c>
      <c r="O396" s="127" t="n">
        <v>80000</v>
      </c>
      <c r="P396" s="127" t="n"/>
      <c r="Q396" s="127" t="n"/>
      <c r="R396" s="127" t="n"/>
      <c r="S396" s="127" t="n">
        <v>36400</v>
      </c>
      <c r="T396" s="127" t="n"/>
      <c r="U396" s="127" t="n"/>
      <c r="V396" s="127" t="n">
        <v>14256900</v>
      </c>
    </row>
    <row r="397">
      <c r="C397" s="94" t="inlineStr">
        <is>
          <t>10월7일</t>
        </is>
      </c>
      <c r="D397" s="127" t="n">
        <v>3818000</v>
      </c>
      <c r="E397" s="127" t="n">
        <v>868000</v>
      </c>
      <c r="F397" s="127" t="n">
        <v>742000</v>
      </c>
      <c r="G397" s="127" t="n">
        <v>1004000</v>
      </c>
      <c r="H397" s="127" t="n">
        <v>2077600</v>
      </c>
      <c r="I397" s="127" t="n">
        <v>495000</v>
      </c>
      <c r="J397" s="127" t="n">
        <v>190000</v>
      </c>
      <c r="K397" s="127" t="n">
        <v>298000</v>
      </c>
      <c r="L397" s="127" t="n">
        <v>210000</v>
      </c>
      <c r="M397" s="127" t="n">
        <v>84000</v>
      </c>
      <c r="N397" s="127" t="n">
        <v>280000</v>
      </c>
      <c r="O397" s="127" t="n">
        <v>185000</v>
      </c>
      <c r="P397" s="127" t="n"/>
      <c r="Q397" s="127" t="n"/>
      <c r="R397" s="127" t="n"/>
      <c r="S397" s="127" t="n"/>
      <c r="T397" s="127" t="n"/>
      <c r="U397" s="127" t="n"/>
      <c r="V397" s="127" t="n">
        <v>10251600</v>
      </c>
    </row>
    <row r="398">
      <c r="C398" s="94" t="inlineStr">
        <is>
          <t>10월8일</t>
        </is>
      </c>
      <c r="D398" s="127" t="n">
        <v>2882000</v>
      </c>
      <c r="E398" s="127" t="n">
        <v>492800</v>
      </c>
      <c r="F398" s="127" t="n">
        <v>964600</v>
      </c>
      <c r="G398" s="127" t="n">
        <v>552000</v>
      </c>
      <c r="H398" s="127" t="n">
        <v>1187200</v>
      </c>
      <c r="I398" s="127" t="n">
        <v>495000</v>
      </c>
      <c r="J398" s="127" t="n">
        <v>304000</v>
      </c>
      <c r="K398" s="127" t="n">
        <v>124000</v>
      </c>
      <c r="L398" s="127" t="n">
        <v>130000</v>
      </c>
      <c r="M398" s="127" t="n">
        <v>64000</v>
      </c>
      <c r="N398" s="127" t="n">
        <v>89600</v>
      </c>
      <c r="O398" s="127" t="n">
        <v>35000</v>
      </c>
      <c r="P398" s="127" t="n"/>
      <c r="Q398" s="127" t="n"/>
      <c r="R398" s="127" t="n"/>
      <c r="S398" s="127" t="n"/>
      <c r="T398" s="127" t="n"/>
      <c r="U398" s="127" t="n"/>
      <c r="V398" s="127" t="n">
        <v>7320200</v>
      </c>
    </row>
    <row r="399">
      <c r="C399" s="94" t="inlineStr">
        <is>
          <t>10월9일</t>
        </is>
      </c>
      <c r="D399" s="127" t="n">
        <v>2335000</v>
      </c>
      <c r="E399" s="127" t="n">
        <v>436800</v>
      </c>
      <c r="F399" s="127" t="n">
        <v>111300</v>
      </c>
      <c r="G399" s="127" t="n">
        <v>640000</v>
      </c>
      <c r="H399" s="127" t="n">
        <v>853300</v>
      </c>
      <c r="I399" s="127" t="n">
        <v>495000</v>
      </c>
      <c r="J399" s="127" t="n">
        <v>190000</v>
      </c>
      <c r="K399" s="127" t="n">
        <v>139000</v>
      </c>
      <c r="L399" s="127" t="n">
        <v>80000</v>
      </c>
      <c r="M399" s="127" t="n">
        <v>20000</v>
      </c>
      <c r="N399" s="127" t="n">
        <v>22400</v>
      </c>
      <c r="O399" s="127" t="n">
        <v>130000</v>
      </c>
      <c r="P399" s="127" t="n"/>
      <c r="Q399" s="127" t="n"/>
      <c r="R399" s="127" t="n"/>
      <c r="S399" s="127" t="n">
        <v>18200</v>
      </c>
      <c r="T399" s="127" t="n"/>
      <c r="U399" s="127" t="n"/>
      <c r="V399" s="127" t="n">
        <v>5471000</v>
      </c>
    </row>
    <row r="400">
      <c r="C400" s="94" t="inlineStr">
        <is>
          <t>10월10일</t>
        </is>
      </c>
      <c r="D400" s="127" t="n">
        <v>2213000</v>
      </c>
      <c r="E400" s="127" t="n">
        <v>308000</v>
      </c>
      <c r="F400" s="127" t="n">
        <v>148400</v>
      </c>
      <c r="G400" s="127" t="n">
        <v>572000</v>
      </c>
      <c r="H400" s="127" t="n">
        <v>704900</v>
      </c>
      <c r="I400" s="127" t="n">
        <v>99000</v>
      </c>
      <c r="J400" s="127" t="n">
        <v>114000</v>
      </c>
      <c r="K400" s="127" t="n">
        <v>63000</v>
      </c>
      <c r="L400" s="127" t="n">
        <v>80000</v>
      </c>
      <c r="M400" s="127" t="n"/>
      <c r="N400" s="127" t="n">
        <v>112000</v>
      </c>
      <c r="O400" s="127" t="n">
        <v>110000</v>
      </c>
      <c r="P400" s="127" t="n"/>
      <c r="Q400" s="127" t="n"/>
      <c r="R400" s="127" t="n"/>
      <c r="S400" s="127" t="n"/>
      <c r="T400" s="127" t="n"/>
      <c r="U400" s="127" t="n"/>
      <c r="V400" s="127" t="n">
        <v>4524300</v>
      </c>
    </row>
    <row r="401">
      <c r="C401" s="94" t="inlineStr">
        <is>
          <t>10월11일</t>
        </is>
      </c>
      <c r="D401" s="127" t="n">
        <v>2821000</v>
      </c>
      <c r="E401" s="127" t="n">
        <v>386400</v>
      </c>
      <c r="F401" s="127" t="n">
        <v>667800</v>
      </c>
      <c r="G401" s="127" t="n">
        <v>1020000</v>
      </c>
      <c r="H401" s="127" t="n">
        <v>1298500</v>
      </c>
      <c r="I401" s="127" t="n">
        <v>99000</v>
      </c>
      <c r="J401" s="127" t="n">
        <v>114000</v>
      </c>
      <c r="K401" s="127" t="n">
        <v>148000</v>
      </c>
      <c r="L401" s="127" t="n">
        <v>95000</v>
      </c>
      <c r="M401" s="127" t="n">
        <v>48000</v>
      </c>
      <c r="N401" s="127" t="n">
        <v>106400</v>
      </c>
      <c r="O401" s="127" t="n">
        <v>20000</v>
      </c>
      <c r="P401" s="127" t="n"/>
      <c r="Q401" s="127" t="n"/>
      <c r="R401" s="127" t="n"/>
      <c r="S401" s="127" t="n">
        <v>18200</v>
      </c>
      <c r="T401" s="127" t="n"/>
      <c r="U401" s="127" t="n"/>
      <c r="V401" s="127" t="n">
        <v>6842300</v>
      </c>
    </row>
    <row r="402">
      <c r="C402" s="94" t="inlineStr">
        <is>
          <t>10월12일</t>
        </is>
      </c>
      <c r="D402" s="127" t="n">
        <v>3415000</v>
      </c>
      <c r="E402" s="127" t="n">
        <v>386400</v>
      </c>
      <c r="F402" s="127" t="n">
        <v>259700</v>
      </c>
      <c r="G402" s="127" t="n">
        <v>908000</v>
      </c>
      <c r="H402" s="127" t="n">
        <v>1261400</v>
      </c>
      <c r="I402" s="127" t="n">
        <v>396000</v>
      </c>
      <c r="J402" s="127" t="n">
        <v>228000</v>
      </c>
      <c r="K402" s="127" t="n">
        <v>182000</v>
      </c>
      <c r="L402" s="127" t="n">
        <v>140000</v>
      </c>
      <c r="M402" s="127" t="n">
        <v>120000</v>
      </c>
      <c r="N402" s="127" t="n">
        <v>263200</v>
      </c>
      <c r="O402" s="127" t="n">
        <v>100000</v>
      </c>
      <c r="P402" s="127" t="n"/>
      <c r="Q402" s="127" t="n"/>
      <c r="R402" s="127" t="n"/>
      <c r="S402" s="127" t="n">
        <v>18200</v>
      </c>
      <c r="T402" s="127" t="n"/>
      <c r="U402" s="127" t="n"/>
      <c r="V402" s="127" t="n">
        <v>7677900</v>
      </c>
    </row>
    <row r="403">
      <c r="C403" s="94" t="inlineStr">
        <is>
          <t>10월13일</t>
        </is>
      </c>
      <c r="D403" s="127" t="n">
        <v>3976000</v>
      </c>
      <c r="E403" s="127" t="n">
        <v>145600</v>
      </c>
      <c r="F403" s="127" t="n">
        <v>259700</v>
      </c>
      <c r="G403" s="127" t="n">
        <v>668000</v>
      </c>
      <c r="H403" s="127" t="n">
        <v>1409800</v>
      </c>
      <c r="I403" s="127" t="n">
        <v>198000</v>
      </c>
      <c r="J403" s="127" t="n">
        <v>152000</v>
      </c>
      <c r="K403" s="127" t="n">
        <v>128000</v>
      </c>
      <c r="L403" s="127" t="n">
        <v>270000</v>
      </c>
      <c r="M403" s="127" t="n">
        <v>152000</v>
      </c>
      <c r="N403" s="127" t="n">
        <v>67200</v>
      </c>
      <c r="O403" s="127" t="n">
        <v>80000</v>
      </c>
      <c r="P403" s="127" t="n"/>
      <c r="Q403" s="127" t="n"/>
      <c r="R403" s="127" t="n"/>
      <c r="S403" s="127" t="n">
        <v>70200</v>
      </c>
      <c r="T403" s="127" t="n"/>
      <c r="U403" s="127" t="n"/>
      <c r="V403" s="127" t="n">
        <v>7576500</v>
      </c>
    </row>
    <row r="404">
      <c r="C404" s="94" t="inlineStr">
        <is>
          <t>10월14일</t>
        </is>
      </c>
      <c r="D404" s="127" t="n">
        <v>3758000</v>
      </c>
      <c r="E404" s="127" t="n"/>
      <c r="F404" s="127" t="n">
        <v>111300</v>
      </c>
      <c r="G404" s="127" t="n">
        <v>804000</v>
      </c>
      <c r="H404" s="127" t="n">
        <v>1261400</v>
      </c>
      <c r="I404" s="127" t="n">
        <v>198000</v>
      </c>
      <c r="J404" s="127" t="n">
        <v>228000</v>
      </c>
      <c r="K404" s="127" t="n">
        <v>157000</v>
      </c>
      <c r="L404" s="127" t="n">
        <v>530000</v>
      </c>
      <c r="M404" s="127" t="n">
        <v>120000</v>
      </c>
      <c r="N404" s="127" t="n">
        <v>173600</v>
      </c>
      <c r="O404" s="127" t="n">
        <v>75000</v>
      </c>
      <c r="P404" s="127" t="n"/>
      <c r="Q404" s="127" t="n"/>
      <c r="R404" s="127" t="n"/>
      <c r="S404" s="127" t="n">
        <v>52000</v>
      </c>
      <c r="T404" s="127" t="n"/>
      <c r="U404" s="127" t="n"/>
      <c r="V404" s="127" t="n">
        <v>7468300</v>
      </c>
    </row>
    <row r="405">
      <c r="C405" s="94" t="inlineStr">
        <is>
          <t>10월15일</t>
        </is>
      </c>
      <c r="D405" s="127" t="n">
        <v>2606000</v>
      </c>
      <c r="E405" s="127" t="n"/>
      <c r="F405" s="127" t="n"/>
      <c r="G405" s="127" t="n">
        <v>644000</v>
      </c>
      <c r="H405" s="127" t="n">
        <v>1298500</v>
      </c>
      <c r="I405" s="127" t="n">
        <v>396000</v>
      </c>
      <c r="J405" s="127" t="n">
        <v>76000</v>
      </c>
      <c r="K405" s="127" t="n">
        <v>100000</v>
      </c>
      <c r="L405" s="127" t="n">
        <v>400000</v>
      </c>
      <c r="M405" s="127" t="n">
        <v>100000</v>
      </c>
      <c r="N405" s="127" t="n">
        <v>112000</v>
      </c>
      <c r="O405" s="127" t="n">
        <v>130000</v>
      </c>
      <c r="P405" s="127" t="n"/>
      <c r="Q405" s="127" t="n"/>
      <c r="R405" s="127" t="n"/>
      <c r="S405" s="127" t="n">
        <v>18200</v>
      </c>
      <c r="T405" s="127" t="n"/>
      <c r="U405" s="127" t="n"/>
      <c r="V405" s="127" t="n">
        <v>5880700</v>
      </c>
    </row>
    <row r="406">
      <c r="C406" s="94" t="inlineStr">
        <is>
          <t>10월16일</t>
        </is>
      </c>
      <c r="D406" s="127" t="n">
        <v>2543000</v>
      </c>
      <c r="E406" s="127" t="n"/>
      <c r="F406" s="127" t="n">
        <v>37100</v>
      </c>
      <c r="G406" s="127" t="n">
        <v>472000</v>
      </c>
      <c r="H406" s="127" t="n">
        <v>927500</v>
      </c>
      <c r="I406" s="127" t="n"/>
      <c r="J406" s="127" t="n">
        <v>228000</v>
      </c>
      <c r="K406" s="127" t="n">
        <v>85000</v>
      </c>
      <c r="L406" s="127" t="n">
        <v>245000</v>
      </c>
      <c r="M406" s="127" t="n">
        <v>100000</v>
      </c>
      <c r="N406" s="127" t="n">
        <v>67200</v>
      </c>
      <c r="O406" s="127" t="n"/>
      <c r="P406" s="127" t="n"/>
      <c r="Q406" s="127" t="n"/>
      <c r="R406" s="127" t="n"/>
      <c r="S406" s="127" t="n"/>
      <c r="T406" s="127" t="n"/>
      <c r="U406" s="127" t="n"/>
      <c r="V406" s="127" t="n">
        <v>4704800</v>
      </c>
    </row>
    <row r="407">
      <c r="C407" s="94" t="inlineStr">
        <is>
          <t>10월17일</t>
        </is>
      </c>
      <c r="D407" s="127" t="n">
        <v>1587000</v>
      </c>
      <c r="E407" s="127" t="n"/>
      <c r="F407" s="127" t="n">
        <v>37100</v>
      </c>
      <c r="G407" s="127" t="n">
        <v>440000</v>
      </c>
      <c r="H407" s="127" t="n">
        <v>779100</v>
      </c>
      <c r="I407" s="127" t="n"/>
      <c r="J407" s="127" t="n">
        <v>114000</v>
      </c>
      <c r="K407" s="127" t="n">
        <v>187000</v>
      </c>
      <c r="L407" s="127" t="n">
        <v>460000</v>
      </c>
      <c r="M407" s="127" t="n">
        <v>92000</v>
      </c>
      <c r="N407" s="127" t="n">
        <v>84000</v>
      </c>
      <c r="O407" s="127" t="n"/>
      <c r="P407" s="127" t="n"/>
      <c r="Q407" s="127" t="n"/>
      <c r="R407" s="127" t="n"/>
      <c r="S407" s="127" t="n">
        <v>18200</v>
      </c>
      <c r="T407" s="127" t="n"/>
      <c r="U407" s="127" t="n"/>
      <c r="V407" s="127" t="n">
        <v>3798400</v>
      </c>
    </row>
    <row r="408">
      <c r="C408" s="94" t="inlineStr">
        <is>
          <t>10월18일</t>
        </is>
      </c>
      <c r="D408" s="127" t="n">
        <v>2967000</v>
      </c>
      <c r="E408" s="127" t="n"/>
      <c r="F408" s="127" t="n">
        <v>148400</v>
      </c>
      <c r="G408" s="127" t="n">
        <v>724000</v>
      </c>
      <c r="H408" s="127" t="n">
        <v>964600</v>
      </c>
      <c r="I408" s="127" t="n">
        <v>495000</v>
      </c>
      <c r="J408" s="127" t="n">
        <v>152000</v>
      </c>
      <c r="K408" s="127" t="n">
        <v>332000</v>
      </c>
      <c r="L408" s="127" t="n">
        <v>685000</v>
      </c>
      <c r="M408" s="127" t="n">
        <v>68000</v>
      </c>
      <c r="N408" s="127" t="n">
        <v>89600</v>
      </c>
      <c r="O408" s="127" t="n">
        <v>40000</v>
      </c>
      <c r="P408" s="127" t="n"/>
      <c r="Q408" s="127" t="n"/>
      <c r="R408" s="127" t="n"/>
      <c r="S408" s="127" t="n"/>
      <c r="T408" s="127" t="n"/>
      <c r="U408" s="127" t="n"/>
      <c r="V408" s="127" t="n">
        <v>6665600</v>
      </c>
    </row>
    <row r="409">
      <c r="C409" s="94" t="inlineStr">
        <is>
          <t>10월19일</t>
        </is>
      </c>
      <c r="D409" s="127" t="n">
        <v>5330000</v>
      </c>
      <c r="E409" s="127" t="n"/>
      <c r="F409" s="127" t="n"/>
      <c r="G409" s="127" t="n">
        <v>800000</v>
      </c>
      <c r="H409" s="127" t="n">
        <v>1113000</v>
      </c>
      <c r="I409" s="127" t="n"/>
      <c r="J409" s="127" t="n">
        <v>380000</v>
      </c>
      <c r="K409" s="127" t="n">
        <v>185000</v>
      </c>
      <c r="L409" s="127" t="n">
        <v>1725000</v>
      </c>
      <c r="M409" s="127" t="n">
        <v>68000</v>
      </c>
      <c r="N409" s="127" t="n">
        <v>128800</v>
      </c>
      <c r="O409" s="127" t="n">
        <v>35000</v>
      </c>
      <c r="P409" s="127" t="n">
        <v>135000</v>
      </c>
      <c r="Q409" s="127" t="n"/>
      <c r="R409" s="127" t="n"/>
      <c r="S409" s="127" t="n">
        <v>54600</v>
      </c>
      <c r="T409" s="127" t="n"/>
      <c r="U409" s="127" t="n"/>
      <c r="V409" s="127" t="n">
        <v>9954400</v>
      </c>
    </row>
    <row r="410">
      <c r="C410" s="94" t="inlineStr">
        <is>
          <t>10월20일</t>
        </is>
      </c>
      <c r="D410" s="127" t="n">
        <v>3930000</v>
      </c>
      <c r="E410" s="127" t="n"/>
      <c r="F410" s="127" t="n"/>
      <c r="G410" s="127" t="n">
        <v>724000</v>
      </c>
      <c r="H410" s="127" t="n">
        <v>1150100</v>
      </c>
      <c r="I410" s="127" t="n">
        <v>495000</v>
      </c>
      <c r="J410" s="127" t="n">
        <v>266000</v>
      </c>
      <c r="K410" s="127" t="n">
        <v>226000</v>
      </c>
      <c r="L410" s="127" t="n">
        <v>1310000</v>
      </c>
      <c r="M410" s="127" t="n">
        <v>48000</v>
      </c>
      <c r="N410" s="127" t="n">
        <v>156800</v>
      </c>
      <c r="O410" s="127" t="n">
        <v>115000</v>
      </c>
      <c r="P410" s="127" t="n"/>
      <c r="Q410" s="127" t="n"/>
      <c r="R410" s="127" t="n"/>
      <c r="S410" s="127" t="n">
        <v>18200</v>
      </c>
      <c r="T410" s="127" t="n"/>
      <c r="U410" s="127" t="n"/>
      <c r="V410" s="127" t="n">
        <v>8439100</v>
      </c>
    </row>
    <row r="411">
      <c r="C411" s="94" t="inlineStr">
        <is>
          <t>10월21일</t>
        </is>
      </c>
      <c r="D411" s="127" t="n">
        <v>3454000</v>
      </c>
      <c r="E411" s="127" t="n"/>
      <c r="F411" s="127" t="n"/>
      <c r="G411" s="127" t="n">
        <v>356000</v>
      </c>
      <c r="H411" s="127" t="n">
        <v>259700</v>
      </c>
      <c r="I411" s="127" t="n">
        <v>297000</v>
      </c>
      <c r="J411" s="127" t="n">
        <v>190000</v>
      </c>
      <c r="K411" s="127" t="n">
        <v>159000</v>
      </c>
      <c r="L411" s="127" t="n">
        <v>1480000</v>
      </c>
      <c r="M411" s="127" t="n">
        <v>40000</v>
      </c>
      <c r="N411" s="127" t="n">
        <v>22400</v>
      </c>
      <c r="O411" s="127" t="n">
        <v>95000</v>
      </c>
      <c r="P411" s="127" t="n"/>
      <c r="Q411" s="127" t="n"/>
      <c r="R411" s="127" t="n"/>
      <c r="S411" s="127" t="n">
        <v>36400</v>
      </c>
      <c r="T411" s="127" t="n"/>
      <c r="U411" s="127" t="n"/>
      <c r="V411" s="127" t="n">
        <v>6389500</v>
      </c>
    </row>
    <row r="412">
      <c r="C412" s="94" t="inlineStr">
        <is>
          <t>10월22일</t>
        </is>
      </c>
      <c r="D412" s="127" t="n">
        <v>3057000</v>
      </c>
      <c r="E412" s="127" t="n"/>
      <c r="F412" s="127" t="n"/>
      <c r="G412" s="127" t="n">
        <v>652000</v>
      </c>
      <c r="H412" s="127" t="n"/>
      <c r="I412" s="127" t="n"/>
      <c r="J412" s="127" t="n">
        <v>38000</v>
      </c>
      <c r="K412" s="127" t="n">
        <v>198000</v>
      </c>
      <c r="L412" s="127" t="n">
        <v>680000</v>
      </c>
      <c r="M412" s="127" t="n">
        <v>76000</v>
      </c>
      <c r="N412" s="127" t="n"/>
      <c r="O412" s="127" t="n">
        <v>135000</v>
      </c>
      <c r="P412" s="127" t="n"/>
      <c r="Q412" s="127" t="n"/>
      <c r="R412" s="127" t="n"/>
      <c r="S412" s="127" t="n">
        <v>18200</v>
      </c>
      <c r="T412" s="127" t="n"/>
      <c r="U412" s="127" t="n"/>
      <c r="V412" s="127" t="n">
        <v>4854200</v>
      </c>
    </row>
    <row r="413">
      <c r="C413" s="94" t="inlineStr">
        <is>
          <t>10월23일</t>
        </is>
      </c>
      <c r="D413" s="127" t="n">
        <v>2742000</v>
      </c>
      <c r="E413" s="127" t="n">
        <v>560000</v>
      </c>
      <c r="F413" s="127" t="n">
        <v>185500</v>
      </c>
      <c r="G413" s="127" t="n">
        <v>312000</v>
      </c>
      <c r="H413" s="127" t="n"/>
      <c r="I413" s="127" t="n">
        <v>99000</v>
      </c>
      <c r="J413" s="127" t="n">
        <v>190000</v>
      </c>
      <c r="K413" s="127" t="n">
        <v>39000</v>
      </c>
      <c r="L413" s="127" t="n">
        <v>345000</v>
      </c>
      <c r="M413" s="127" t="n">
        <v>60000</v>
      </c>
      <c r="N413" s="127" t="n"/>
      <c r="O413" s="127" t="n">
        <v>75000</v>
      </c>
      <c r="P413" s="127" t="n"/>
      <c r="Q413" s="127" t="n"/>
      <c r="R413" s="127" t="n"/>
      <c r="S413" s="127" t="n"/>
      <c r="T413" s="127" t="n"/>
      <c r="U413" s="127" t="n"/>
      <c r="V413" s="127" t="n">
        <v>4607500</v>
      </c>
    </row>
    <row r="414">
      <c r="C414" s="94" t="inlineStr">
        <is>
          <t>10월24일</t>
        </is>
      </c>
      <c r="D414" s="127" t="n">
        <v>1921000</v>
      </c>
      <c r="E414" s="127" t="n">
        <v>1288000</v>
      </c>
      <c r="F414" s="127" t="n">
        <v>482300</v>
      </c>
      <c r="G414" s="127" t="n">
        <v>620000</v>
      </c>
      <c r="H414" s="127" t="n"/>
      <c r="I414" s="127" t="n">
        <v>297000</v>
      </c>
      <c r="J414" s="127" t="n">
        <v>190000</v>
      </c>
      <c r="K414" s="127" t="n">
        <v>196000</v>
      </c>
      <c r="L414" s="127" t="n">
        <v>415000</v>
      </c>
      <c r="M414" s="127" t="n">
        <v>140000</v>
      </c>
      <c r="N414" s="127" t="n"/>
      <c r="O414" s="127" t="n">
        <v>20000</v>
      </c>
      <c r="P414" s="127" t="n"/>
      <c r="Q414" s="127" t="n"/>
      <c r="R414" s="127" t="n"/>
      <c r="S414" s="127" t="n">
        <v>36400</v>
      </c>
      <c r="T414" s="127" t="n"/>
      <c r="U414" s="127" t="n"/>
      <c r="V414" s="127" t="n">
        <v>5605700</v>
      </c>
    </row>
    <row r="415">
      <c r="C415" s="94" t="inlineStr">
        <is>
          <t>10월25일</t>
        </is>
      </c>
      <c r="D415" s="127" t="n">
        <v>2761000</v>
      </c>
      <c r="E415" s="127" t="n">
        <v>1159200</v>
      </c>
      <c r="F415" s="127" t="n">
        <v>630700</v>
      </c>
      <c r="G415" s="127" t="n">
        <v>508000</v>
      </c>
      <c r="H415" s="127" t="n"/>
      <c r="I415" s="127" t="n">
        <v>495000</v>
      </c>
      <c r="J415" s="127" t="n">
        <v>418000</v>
      </c>
      <c r="K415" s="127" t="n">
        <v>303000</v>
      </c>
      <c r="L415" s="127" t="n">
        <v>195000</v>
      </c>
      <c r="M415" s="127" t="n">
        <v>80000</v>
      </c>
      <c r="N415" s="127" t="n"/>
      <c r="O415" s="127" t="n">
        <v>100000</v>
      </c>
      <c r="P415" s="127" t="n"/>
      <c r="Q415" s="127" t="n"/>
      <c r="R415" s="127" t="n"/>
      <c r="S415" s="127" t="n">
        <v>85800</v>
      </c>
      <c r="T415" s="127" t="n"/>
      <c r="U415" s="127" t="n"/>
      <c r="V415" s="127" t="n">
        <v>6735700</v>
      </c>
    </row>
    <row r="416">
      <c r="C416" s="94" t="inlineStr">
        <is>
          <t>10월26일</t>
        </is>
      </c>
      <c r="D416" s="127" t="n">
        <v>3845000</v>
      </c>
      <c r="E416" s="127" t="n">
        <v>5594400</v>
      </c>
      <c r="F416" s="127" t="n">
        <v>1966300</v>
      </c>
      <c r="G416" s="127" t="n">
        <v>1128000</v>
      </c>
      <c r="H416" s="127" t="n"/>
      <c r="I416" s="127" t="n">
        <v>396000</v>
      </c>
      <c r="J416" s="127" t="n">
        <v>304000</v>
      </c>
      <c r="K416" s="127" t="n">
        <v>451000</v>
      </c>
      <c r="L416" s="127" t="n">
        <v>470000</v>
      </c>
      <c r="M416" s="127" t="n">
        <v>300000</v>
      </c>
      <c r="N416" s="127" t="n"/>
      <c r="O416" s="127" t="n">
        <v>120000</v>
      </c>
      <c r="P416" s="127" t="n"/>
      <c r="Q416" s="127" t="n"/>
      <c r="R416" s="127" t="n"/>
      <c r="S416" s="127" t="n">
        <v>36400</v>
      </c>
      <c r="T416" s="127" t="n"/>
      <c r="U416" s="127" t="n"/>
      <c r="V416" s="127" t="n">
        <v>14611100</v>
      </c>
    </row>
    <row r="417">
      <c r="C417" s="94" t="inlineStr">
        <is>
          <t>10월27일</t>
        </is>
      </c>
      <c r="D417" s="127" t="n">
        <v>2563000</v>
      </c>
      <c r="E417" s="127" t="n">
        <v>1797600</v>
      </c>
      <c r="F417" s="127" t="n">
        <v>704900</v>
      </c>
      <c r="G417" s="127" t="n">
        <v>584000</v>
      </c>
      <c r="H417" s="127" t="n"/>
      <c r="I417" s="127" t="n">
        <v>198000</v>
      </c>
      <c r="J417" s="127" t="n">
        <v>266000</v>
      </c>
      <c r="K417" s="127" t="n">
        <v>128000</v>
      </c>
      <c r="L417" s="127" t="n">
        <v>545000</v>
      </c>
      <c r="M417" s="127" t="n">
        <v>24000</v>
      </c>
      <c r="N417" s="127" t="n"/>
      <c r="O417" s="127" t="n">
        <v>110000</v>
      </c>
      <c r="P417" s="127" t="n"/>
      <c r="Q417" s="127" t="n"/>
      <c r="R417" s="127" t="n"/>
      <c r="S417" s="127" t="n">
        <v>18200</v>
      </c>
      <c r="T417" s="127" t="n"/>
      <c r="U417" s="127" t="n"/>
      <c r="V417" s="127" t="n">
        <v>6938700</v>
      </c>
    </row>
    <row r="418">
      <c r="C418" s="94" t="inlineStr">
        <is>
          <t>10월28일</t>
        </is>
      </c>
      <c r="D418" s="127" t="n">
        <v>2122000</v>
      </c>
      <c r="E418" s="127" t="n">
        <v>1383200</v>
      </c>
      <c r="F418" s="127" t="n">
        <v>667800</v>
      </c>
      <c r="G418" s="127" t="n">
        <v>472000</v>
      </c>
      <c r="H418" s="127" t="n"/>
      <c r="I418" s="127" t="n">
        <v>297000</v>
      </c>
      <c r="J418" s="127" t="n">
        <v>76000</v>
      </c>
      <c r="K418" s="127" t="n">
        <v>104000</v>
      </c>
      <c r="L418" s="127" t="n">
        <v>270000</v>
      </c>
      <c r="M418" s="127" t="n">
        <v>140000</v>
      </c>
      <c r="N418" s="127" t="n"/>
      <c r="O418" s="127" t="n">
        <v>55000</v>
      </c>
      <c r="P418" s="127" t="n"/>
      <c r="Q418" s="127" t="n"/>
      <c r="R418" s="127" t="n"/>
      <c r="S418" s="127" t="n">
        <v>36400</v>
      </c>
      <c r="T418" s="127" t="n"/>
      <c r="U418" s="127" t="n"/>
      <c r="V418" s="127" t="n">
        <v>5623400</v>
      </c>
    </row>
    <row r="419">
      <c r="C419" s="94" t="inlineStr">
        <is>
          <t>10월29일</t>
        </is>
      </c>
      <c r="D419" s="127" t="n">
        <v>2218000</v>
      </c>
      <c r="E419" s="127" t="n">
        <v>1282400</v>
      </c>
      <c r="F419" s="127" t="n">
        <v>556500</v>
      </c>
      <c r="G419" s="127" t="n">
        <v>508000</v>
      </c>
      <c r="H419" s="127" t="n"/>
      <c r="I419" s="127" t="n">
        <v>396000</v>
      </c>
      <c r="J419" s="127" t="n"/>
      <c r="K419" s="127" t="n">
        <v>122000</v>
      </c>
      <c r="L419" s="127" t="n">
        <v>225000</v>
      </c>
      <c r="M419" s="127" t="n">
        <v>80000</v>
      </c>
      <c r="N419" s="127" t="n"/>
      <c r="O419" s="127" t="n">
        <v>70000</v>
      </c>
      <c r="P419" s="127" t="n"/>
      <c r="Q419" s="127" t="n"/>
      <c r="R419" s="127" t="n"/>
      <c r="S419" s="127" t="n">
        <v>70200</v>
      </c>
      <c r="T419" s="127" t="n"/>
      <c r="U419" s="127" t="n"/>
      <c r="V419" s="127" t="n">
        <v>5528100</v>
      </c>
    </row>
    <row r="420">
      <c r="C420" s="94" t="inlineStr">
        <is>
          <t>10월30일</t>
        </is>
      </c>
      <c r="D420" s="127" t="n">
        <v>2201000</v>
      </c>
      <c r="E420" s="127" t="n">
        <v>1164800</v>
      </c>
      <c r="F420" s="127" t="n">
        <v>667800</v>
      </c>
      <c r="G420" s="127" t="n">
        <v>448000</v>
      </c>
      <c r="H420" s="127" t="n">
        <v>1632400</v>
      </c>
      <c r="I420" s="127" t="n"/>
      <c r="J420" s="127" t="n">
        <v>304000</v>
      </c>
      <c r="K420" s="127" t="n">
        <v>102000</v>
      </c>
      <c r="L420" s="127" t="n">
        <v>155000</v>
      </c>
      <c r="M420" s="127" t="n">
        <v>36000</v>
      </c>
      <c r="N420" s="127" t="n">
        <v>196000</v>
      </c>
      <c r="O420" s="127" t="n"/>
      <c r="P420" s="127" t="n"/>
      <c r="Q420" s="127" t="n"/>
      <c r="R420" s="127" t="n"/>
      <c r="S420" s="127" t="n"/>
      <c r="T420" s="127" t="n"/>
      <c r="U420" s="127" t="n"/>
      <c r="V420" s="127" t="n">
        <v>6907000</v>
      </c>
    </row>
    <row r="421">
      <c r="C421" s="94" t="inlineStr">
        <is>
          <t>10월31일</t>
        </is>
      </c>
      <c r="D421" s="127" t="n">
        <v>1765000</v>
      </c>
      <c r="E421" s="127" t="n">
        <v>1136800</v>
      </c>
      <c r="F421" s="127" t="n">
        <v>519400</v>
      </c>
      <c r="G421" s="127" t="n">
        <v>404000</v>
      </c>
      <c r="H421" s="127" t="n">
        <v>1966300</v>
      </c>
      <c r="I421" s="127" t="n">
        <v>198000</v>
      </c>
      <c r="J421" s="127" t="n">
        <v>456000</v>
      </c>
      <c r="K421" s="127" t="n">
        <v>161000</v>
      </c>
      <c r="L421" s="127" t="n">
        <v>200000</v>
      </c>
      <c r="M421" s="127" t="n">
        <v>96000</v>
      </c>
      <c r="N421" s="127" t="n">
        <v>173600</v>
      </c>
      <c r="O421" s="127" t="n">
        <v>115000</v>
      </c>
      <c r="P421" s="127" t="n"/>
      <c r="Q421" s="127" t="n"/>
      <c r="R421" s="127" t="n"/>
      <c r="S421" s="127" t="n">
        <v>88400</v>
      </c>
      <c r="T421" s="127" t="n"/>
      <c r="U421" s="127" t="n"/>
      <c r="V421" s="127" t="n">
        <v>7279500</v>
      </c>
    </row>
    <row r="422">
      <c r="B422" s="94" t="inlineStr">
        <is>
          <t>10월 요약</t>
        </is>
      </c>
      <c r="C422" s="94" t="n"/>
      <c r="D422" s="127" t="n">
        <v>99379000</v>
      </c>
      <c r="E422" s="127" t="n">
        <v>27904800</v>
      </c>
      <c r="F422" s="127" t="n">
        <v>16583700</v>
      </c>
      <c r="G422" s="127" t="n">
        <v>22392000</v>
      </c>
      <c r="H422" s="127" t="n">
        <v>27973400</v>
      </c>
      <c r="I422" s="127" t="n">
        <v>9207000</v>
      </c>
      <c r="J422" s="127" t="n">
        <v>6954000</v>
      </c>
      <c r="K422" s="127" t="n">
        <v>5566000</v>
      </c>
      <c r="L422" s="127" t="n">
        <v>11985000</v>
      </c>
      <c r="M422" s="127" t="n">
        <v>2808000</v>
      </c>
      <c r="N422" s="127" t="n">
        <v>3309600</v>
      </c>
      <c r="O422" s="127" t="n">
        <v>2555000</v>
      </c>
      <c r="P422" s="127" t="n">
        <v>135000</v>
      </c>
      <c r="Q422" s="127" t="n"/>
      <c r="R422" s="127" t="n"/>
      <c r="S422" s="127" t="n">
        <v>946400</v>
      </c>
      <c r="T422" s="127" t="n"/>
      <c r="U422" s="127" t="n"/>
      <c r="V422" s="127" t="n">
        <v>237698900</v>
      </c>
    </row>
    <row r="423">
      <c r="B423" s="94" t="inlineStr">
        <is>
          <t>11월</t>
        </is>
      </c>
      <c r="C423" s="94" t="inlineStr">
        <is>
          <t>11월1일</t>
        </is>
      </c>
      <c r="D423" s="127" t="n">
        <v>3082000</v>
      </c>
      <c r="E423" s="127" t="n">
        <v>1243200</v>
      </c>
      <c r="F423" s="127" t="n">
        <v>408100</v>
      </c>
      <c r="G423" s="127" t="n">
        <v>980000</v>
      </c>
      <c r="H423" s="127" t="n">
        <v>1187200</v>
      </c>
      <c r="I423" s="127" t="n">
        <v>495000</v>
      </c>
      <c r="J423" s="127" t="n">
        <v>190000</v>
      </c>
      <c r="K423" s="127" t="n">
        <v>228000</v>
      </c>
      <c r="L423" s="127" t="n">
        <v>260000</v>
      </c>
      <c r="M423" s="127" t="n">
        <v>128000</v>
      </c>
      <c r="N423" s="127" t="n">
        <v>296800</v>
      </c>
      <c r="O423" s="127" t="n">
        <v>40000</v>
      </c>
      <c r="P423" s="127" t="n"/>
      <c r="Q423" s="127" t="n"/>
      <c r="R423" s="127" t="n"/>
      <c r="S423" s="127" t="n">
        <v>54600</v>
      </c>
      <c r="T423" s="127" t="n"/>
      <c r="U423" s="127" t="n"/>
      <c r="V423" s="127" t="n">
        <v>8592900</v>
      </c>
    </row>
    <row r="424">
      <c r="C424" s="94" t="inlineStr">
        <is>
          <t>11월2일</t>
        </is>
      </c>
      <c r="D424" s="127" t="n">
        <v>3862000</v>
      </c>
      <c r="E424" s="127" t="n">
        <v>1853600</v>
      </c>
      <c r="F424" s="127" t="n">
        <v>927500</v>
      </c>
      <c r="G424" s="127" t="n">
        <v>1048000</v>
      </c>
      <c r="H424" s="127" t="n">
        <v>1187200</v>
      </c>
      <c r="I424" s="127" t="n">
        <v>297000</v>
      </c>
      <c r="J424" s="127" t="n">
        <v>418000</v>
      </c>
      <c r="K424" s="127" t="n">
        <v>281000</v>
      </c>
      <c r="L424" s="127" t="n">
        <v>210000</v>
      </c>
      <c r="M424" s="127" t="n">
        <v>44000</v>
      </c>
      <c r="N424" s="127" t="n">
        <v>263200</v>
      </c>
      <c r="O424" s="127" t="n">
        <v>40000</v>
      </c>
      <c r="P424" s="127" t="n"/>
      <c r="Q424" s="127" t="n"/>
      <c r="R424" s="127" t="n"/>
      <c r="S424" s="127" t="n">
        <v>52000</v>
      </c>
      <c r="T424" s="127" t="n"/>
      <c r="U424" s="127" t="n"/>
      <c r="V424" s="127" t="n">
        <v>10483500</v>
      </c>
    </row>
    <row r="425">
      <c r="C425" s="94" t="inlineStr">
        <is>
          <t>11월3일</t>
        </is>
      </c>
      <c r="D425" s="127" t="n">
        <v>3307000</v>
      </c>
      <c r="E425" s="127" t="n">
        <v>1741600</v>
      </c>
      <c r="F425" s="127" t="n">
        <v>556500</v>
      </c>
      <c r="G425" s="127" t="n">
        <v>1132000</v>
      </c>
      <c r="H425" s="127" t="n">
        <v>964600</v>
      </c>
      <c r="I425" s="127" t="n">
        <v>297000</v>
      </c>
      <c r="J425" s="127" t="n">
        <v>114000</v>
      </c>
      <c r="K425" s="127" t="n">
        <v>163000</v>
      </c>
      <c r="L425" s="127" t="n">
        <v>35000</v>
      </c>
      <c r="M425" s="127" t="n">
        <v>44000</v>
      </c>
      <c r="N425" s="127" t="n">
        <v>268800</v>
      </c>
      <c r="O425" s="127" t="n">
        <v>115000</v>
      </c>
      <c r="P425" s="127" t="n"/>
      <c r="Q425" s="127" t="n"/>
      <c r="R425" s="127" t="n"/>
      <c r="S425" s="127" t="n">
        <v>52000</v>
      </c>
      <c r="T425" s="127" t="n"/>
      <c r="U425" s="127" t="n"/>
      <c r="V425" s="127" t="n">
        <v>8790500</v>
      </c>
    </row>
    <row r="426">
      <c r="C426" s="94" t="inlineStr">
        <is>
          <t>11월4일</t>
        </is>
      </c>
      <c r="D426" s="127" t="n">
        <v>3493000</v>
      </c>
      <c r="E426" s="127" t="n">
        <v>1831200</v>
      </c>
      <c r="F426" s="127" t="n">
        <v>704900</v>
      </c>
      <c r="G426" s="127" t="n">
        <v>840000</v>
      </c>
      <c r="H426" s="127" t="n">
        <v>816200</v>
      </c>
      <c r="I426" s="127" t="n">
        <v>99000</v>
      </c>
      <c r="J426" s="127" t="n">
        <v>456000</v>
      </c>
      <c r="K426" s="127" t="n">
        <v>304000</v>
      </c>
      <c r="L426" s="127" t="n">
        <v>155000</v>
      </c>
      <c r="M426" s="127" t="n">
        <v>88000</v>
      </c>
      <c r="N426" s="127" t="n">
        <v>218400</v>
      </c>
      <c r="O426" s="127" t="n">
        <v>40000</v>
      </c>
      <c r="P426" s="127" t="n"/>
      <c r="Q426" s="127" t="n"/>
      <c r="R426" s="127" t="n"/>
      <c r="S426" s="127" t="n">
        <v>88400</v>
      </c>
      <c r="T426" s="127" t="n"/>
      <c r="U426" s="127" t="n"/>
      <c r="V426" s="127" t="n">
        <v>9134100</v>
      </c>
    </row>
    <row r="427">
      <c r="C427" s="94" t="inlineStr">
        <is>
          <t>11월5일</t>
        </is>
      </c>
      <c r="D427" s="127" t="n">
        <v>2640000</v>
      </c>
      <c r="E427" s="127" t="n">
        <v>1411200</v>
      </c>
      <c r="F427" s="127" t="n">
        <v>964600</v>
      </c>
      <c r="G427" s="127" t="n">
        <v>1068000</v>
      </c>
      <c r="H427" s="127" t="n">
        <v>1113000</v>
      </c>
      <c r="I427" s="127" t="n"/>
      <c r="J427" s="127" t="n">
        <v>342000</v>
      </c>
      <c r="K427" s="127" t="n">
        <v>176000</v>
      </c>
      <c r="L427" s="127" t="n">
        <v>140000</v>
      </c>
      <c r="M427" s="127" t="n">
        <v>128000</v>
      </c>
      <c r="N427" s="127" t="n">
        <v>173600</v>
      </c>
      <c r="O427" s="127" t="n">
        <v>95000</v>
      </c>
      <c r="P427" s="127" t="n"/>
      <c r="Q427" s="127" t="n"/>
      <c r="R427" s="127" t="n"/>
      <c r="S427" s="127" t="n">
        <v>18200</v>
      </c>
      <c r="T427" s="127" t="n"/>
      <c r="U427" s="127" t="n"/>
      <c r="V427" s="127" t="n">
        <v>8269600</v>
      </c>
    </row>
    <row r="428">
      <c r="C428" s="94" t="inlineStr">
        <is>
          <t>11월6일</t>
        </is>
      </c>
      <c r="D428" s="127" t="n">
        <v>1759000</v>
      </c>
      <c r="E428" s="127" t="n">
        <v>1467200</v>
      </c>
      <c r="F428" s="127" t="n">
        <v>742000</v>
      </c>
      <c r="G428" s="127" t="n">
        <v>612000</v>
      </c>
      <c r="H428" s="127" t="n">
        <v>853300</v>
      </c>
      <c r="I428" s="127" t="n"/>
      <c r="J428" s="127" t="n">
        <v>228000</v>
      </c>
      <c r="K428" s="127" t="n">
        <v>135000</v>
      </c>
      <c r="L428" s="127" t="n">
        <v>40000</v>
      </c>
      <c r="M428" s="127" t="n">
        <v>64000</v>
      </c>
      <c r="N428" s="127" t="n">
        <v>190400</v>
      </c>
      <c r="O428" s="127" t="n">
        <v>70000</v>
      </c>
      <c r="P428" s="127" t="n"/>
      <c r="Q428" s="127" t="n"/>
      <c r="R428" s="127" t="n"/>
      <c r="S428" s="127" t="n">
        <v>52000</v>
      </c>
      <c r="T428" s="127" t="n"/>
      <c r="U428" s="127" t="n"/>
      <c r="V428" s="127" t="n">
        <v>6212900</v>
      </c>
    </row>
    <row r="429">
      <c r="C429" s="94" t="inlineStr">
        <is>
          <t>11월7일</t>
        </is>
      </c>
      <c r="D429" s="127" t="n">
        <v>1695000</v>
      </c>
      <c r="E429" s="127" t="n">
        <v>1164800</v>
      </c>
      <c r="F429" s="127" t="n">
        <v>333900</v>
      </c>
      <c r="G429" s="127" t="n">
        <v>556000</v>
      </c>
      <c r="H429" s="127" t="n">
        <v>593600</v>
      </c>
      <c r="I429" s="127" t="n">
        <v>297000</v>
      </c>
      <c r="J429" s="127" t="n">
        <v>152000</v>
      </c>
      <c r="K429" s="127" t="n">
        <v>52000</v>
      </c>
      <c r="L429" s="127" t="n">
        <v>20000</v>
      </c>
      <c r="M429" s="127" t="n">
        <v>108000</v>
      </c>
      <c r="N429" s="127" t="n">
        <v>112000</v>
      </c>
      <c r="O429" s="127" t="n"/>
      <c r="P429" s="127" t="n"/>
      <c r="Q429" s="127" t="n"/>
      <c r="R429" s="127" t="n"/>
      <c r="S429" s="127" t="n"/>
      <c r="T429" s="127" t="n"/>
      <c r="U429" s="127" t="n"/>
      <c r="V429" s="127" t="n">
        <v>5084300</v>
      </c>
    </row>
    <row r="430">
      <c r="C430" s="94" t="inlineStr">
        <is>
          <t>11월8일</t>
        </is>
      </c>
      <c r="D430" s="127" t="n">
        <v>2729000</v>
      </c>
      <c r="E430" s="127" t="n">
        <v>1248800</v>
      </c>
      <c r="F430" s="127" t="n">
        <v>556500</v>
      </c>
      <c r="G430" s="127" t="n">
        <v>568000</v>
      </c>
      <c r="H430" s="127" t="n">
        <v>816200</v>
      </c>
      <c r="I430" s="127" t="n">
        <v>396000</v>
      </c>
      <c r="J430" s="127" t="n">
        <v>190000</v>
      </c>
      <c r="K430" s="127" t="n">
        <v>246000</v>
      </c>
      <c r="L430" s="127" t="n">
        <v>60000</v>
      </c>
      <c r="M430" s="127" t="n">
        <v>20000</v>
      </c>
      <c r="N430" s="127" t="n">
        <v>308000</v>
      </c>
      <c r="O430" s="127" t="n">
        <v>40000</v>
      </c>
      <c r="P430" s="127" t="n"/>
      <c r="Q430" s="127" t="n"/>
      <c r="R430" s="127" t="n"/>
      <c r="S430" s="127" t="n">
        <v>104000</v>
      </c>
      <c r="T430" s="127" t="n"/>
      <c r="U430" s="127" t="n"/>
      <c r="V430" s="127" t="n">
        <v>7282500</v>
      </c>
    </row>
    <row r="431">
      <c r="C431" s="94" t="inlineStr">
        <is>
          <t>11월9일</t>
        </is>
      </c>
      <c r="D431" s="127" t="n">
        <v>2921000</v>
      </c>
      <c r="E431" s="127" t="n">
        <v>2262400</v>
      </c>
      <c r="F431" s="127" t="n">
        <v>1001700</v>
      </c>
      <c r="G431" s="127" t="n">
        <v>568000</v>
      </c>
      <c r="H431" s="127" t="n">
        <v>853300</v>
      </c>
      <c r="I431" s="127" t="n">
        <v>99000</v>
      </c>
      <c r="J431" s="127" t="n">
        <v>190000</v>
      </c>
      <c r="K431" s="127" t="n">
        <v>170000</v>
      </c>
      <c r="L431" s="127" t="n">
        <v>55000</v>
      </c>
      <c r="M431" s="127" t="n"/>
      <c r="N431" s="127" t="n">
        <v>156800</v>
      </c>
      <c r="O431" s="127" t="n">
        <v>95000</v>
      </c>
      <c r="P431" s="127" t="n"/>
      <c r="Q431" s="127" t="n"/>
      <c r="R431" s="127" t="n"/>
      <c r="S431" s="127" t="n">
        <v>36400</v>
      </c>
      <c r="T431" s="127" t="n"/>
      <c r="U431" s="127" t="n"/>
      <c r="V431" s="127" t="n">
        <v>8408600</v>
      </c>
    </row>
    <row r="432">
      <c r="C432" s="94" t="inlineStr">
        <is>
          <t>11월10일</t>
        </is>
      </c>
      <c r="D432" s="127" t="n">
        <v>2323000</v>
      </c>
      <c r="E432" s="127" t="n">
        <v>1164800</v>
      </c>
      <c r="F432" s="127" t="n">
        <v>593600</v>
      </c>
      <c r="G432" s="127" t="n">
        <v>880000</v>
      </c>
      <c r="H432" s="127" t="n">
        <v>964600</v>
      </c>
      <c r="I432" s="127" t="n">
        <v>297000</v>
      </c>
      <c r="J432" s="127" t="n">
        <v>342000</v>
      </c>
      <c r="K432" s="127" t="n">
        <v>143000</v>
      </c>
      <c r="L432" s="127" t="n">
        <v>150000</v>
      </c>
      <c r="M432" s="127" t="n">
        <v>44000</v>
      </c>
      <c r="N432" s="127" t="n">
        <v>168000</v>
      </c>
      <c r="O432" s="127" t="n"/>
      <c r="P432" s="127" t="n"/>
      <c r="Q432" s="127" t="n"/>
      <c r="R432" s="127" t="n"/>
      <c r="S432" s="127" t="n">
        <v>36400</v>
      </c>
      <c r="T432" s="127" t="n"/>
      <c r="U432" s="127" t="n"/>
      <c r="V432" s="127" t="n">
        <v>7106400</v>
      </c>
    </row>
    <row r="433">
      <c r="C433" s="94" t="inlineStr">
        <is>
          <t>11월11일</t>
        </is>
      </c>
      <c r="D433" s="127" t="n">
        <v>2325000</v>
      </c>
      <c r="E433" s="127" t="n">
        <v>1299200</v>
      </c>
      <c r="F433" s="127" t="n">
        <v>519400</v>
      </c>
      <c r="G433" s="127" t="n">
        <v>624000</v>
      </c>
      <c r="H433" s="127" t="n">
        <v>816200</v>
      </c>
      <c r="I433" s="127" t="n">
        <v>297000</v>
      </c>
      <c r="J433" s="127" t="n">
        <v>76000</v>
      </c>
      <c r="K433" s="127" t="n">
        <v>196000</v>
      </c>
      <c r="L433" s="127" t="n">
        <v>60000</v>
      </c>
      <c r="M433" s="127" t="n">
        <v>20000</v>
      </c>
      <c r="N433" s="127" t="n">
        <v>89600</v>
      </c>
      <c r="O433" s="127" t="n">
        <v>105000</v>
      </c>
      <c r="P433" s="127" t="n"/>
      <c r="Q433" s="127" t="n"/>
      <c r="R433" s="127" t="n"/>
      <c r="S433" s="127" t="n">
        <v>36400</v>
      </c>
      <c r="T433" s="127" t="n"/>
      <c r="U433" s="127" t="n"/>
      <c r="V433" s="127" t="n">
        <v>6463800</v>
      </c>
    </row>
    <row r="434">
      <c r="C434" s="94" t="inlineStr">
        <is>
          <t>11월12일</t>
        </is>
      </c>
      <c r="D434" s="127" t="n">
        <v>2041000</v>
      </c>
      <c r="E434" s="127" t="n">
        <v>1181600</v>
      </c>
      <c r="F434" s="127" t="n">
        <v>482300</v>
      </c>
      <c r="G434" s="127" t="n">
        <v>520000</v>
      </c>
      <c r="H434" s="127" t="n">
        <v>371000</v>
      </c>
      <c r="I434" s="127" t="n">
        <v>297000</v>
      </c>
      <c r="J434" s="127" t="n">
        <v>76000</v>
      </c>
      <c r="K434" s="127" t="n">
        <v>89000</v>
      </c>
      <c r="L434" s="127" t="n">
        <v>80000</v>
      </c>
      <c r="M434" s="127" t="n">
        <v>32000</v>
      </c>
      <c r="N434" s="127" t="n">
        <v>44800</v>
      </c>
      <c r="O434" s="127" t="n">
        <v>40000</v>
      </c>
      <c r="P434" s="127" t="n"/>
      <c r="Q434" s="127" t="n"/>
      <c r="R434" s="127" t="n"/>
      <c r="S434" s="127" t="n">
        <v>18200</v>
      </c>
      <c r="T434" s="127" t="n"/>
      <c r="U434" s="127" t="n"/>
      <c r="V434" s="127" t="n">
        <v>5272900</v>
      </c>
    </row>
    <row r="435">
      <c r="C435" s="94" t="inlineStr">
        <is>
          <t>11월13일</t>
        </is>
      </c>
      <c r="D435" s="127" t="n">
        <v>1817000</v>
      </c>
      <c r="E435" s="127" t="n">
        <v>896000</v>
      </c>
      <c r="F435" s="127" t="n">
        <v>667800</v>
      </c>
      <c r="G435" s="127" t="n">
        <v>500000</v>
      </c>
      <c r="H435" s="127" t="n">
        <v>371000</v>
      </c>
      <c r="I435" s="127" t="n">
        <v>198000</v>
      </c>
      <c r="J435" s="127" t="n">
        <v>114000</v>
      </c>
      <c r="K435" s="127" t="n">
        <v>141000</v>
      </c>
      <c r="L435" s="127" t="n">
        <v>75000</v>
      </c>
      <c r="M435" s="127" t="n">
        <v>40000</v>
      </c>
      <c r="N435" s="127" t="n">
        <v>106400</v>
      </c>
      <c r="O435" s="127" t="n">
        <v>80000</v>
      </c>
      <c r="P435" s="127" t="n"/>
      <c r="Q435" s="127" t="n"/>
      <c r="R435" s="127" t="n"/>
      <c r="S435" s="127" t="n"/>
      <c r="T435" s="127" t="n"/>
      <c r="U435" s="127" t="n"/>
      <c r="V435" s="127" t="n">
        <v>5006200</v>
      </c>
    </row>
    <row r="436">
      <c r="C436" s="94" t="inlineStr">
        <is>
          <t>11월14일</t>
        </is>
      </c>
      <c r="D436" s="127" t="n">
        <v>1894000</v>
      </c>
      <c r="E436" s="127" t="n">
        <v>1159200</v>
      </c>
      <c r="F436" s="127" t="n">
        <v>556500</v>
      </c>
      <c r="G436" s="127" t="n">
        <v>368000</v>
      </c>
      <c r="H436" s="127" t="n">
        <v>445200</v>
      </c>
      <c r="I436" s="127" t="n">
        <v>99000</v>
      </c>
      <c r="J436" s="127" t="n">
        <v>152000</v>
      </c>
      <c r="K436" s="127" t="n">
        <v>102000</v>
      </c>
      <c r="L436" s="127" t="n">
        <v>20000</v>
      </c>
      <c r="M436" s="127" t="n">
        <v>52000</v>
      </c>
      <c r="N436" s="127" t="n">
        <v>145600</v>
      </c>
      <c r="O436" s="127" t="n">
        <v>40000</v>
      </c>
      <c r="P436" s="127" t="n"/>
      <c r="Q436" s="127" t="n"/>
      <c r="R436" s="127" t="n"/>
      <c r="S436" s="127" t="n">
        <v>70200</v>
      </c>
      <c r="T436" s="127" t="n"/>
      <c r="U436" s="127" t="n"/>
      <c r="V436" s="127" t="n">
        <v>5103700</v>
      </c>
    </row>
    <row r="437">
      <c r="C437" s="94" t="inlineStr">
        <is>
          <t>11월15일</t>
        </is>
      </c>
      <c r="D437" s="127" t="n">
        <v>2179000</v>
      </c>
      <c r="E437" s="127" t="n">
        <v>1192800</v>
      </c>
      <c r="F437" s="127" t="n">
        <v>704900</v>
      </c>
      <c r="G437" s="127" t="n">
        <v>508000</v>
      </c>
      <c r="H437" s="127" t="n">
        <v>704900</v>
      </c>
      <c r="I437" s="127" t="n"/>
      <c r="J437" s="127" t="n">
        <v>304000</v>
      </c>
      <c r="K437" s="127" t="n">
        <v>311000</v>
      </c>
      <c r="L437" s="127" t="n">
        <v>60000</v>
      </c>
      <c r="M437" s="127" t="n">
        <v>192000</v>
      </c>
      <c r="N437" s="127" t="n">
        <v>112000</v>
      </c>
      <c r="O437" s="127" t="n">
        <v>20000</v>
      </c>
      <c r="P437" s="127" t="n"/>
      <c r="Q437" s="127" t="n"/>
      <c r="R437" s="127" t="n"/>
      <c r="S437" s="127" t="n">
        <v>67600</v>
      </c>
      <c r="T437" s="127" t="n"/>
      <c r="U437" s="127" t="n"/>
      <c r="V437" s="127" t="n">
        <v>6356200</v>
      </c>
    </row>
    <row r="438">
      <c r="C438" s="94" t="inlineStr">
        <is>
          <t>11월16일</t>
        </is>
      </c>
      <c r="D438" s="127" t="n">
        <v>3095000</v>
      </c>
      <c r="E438" s="127" t="n">
        <v>2368800</v>
      </c>
      <c r="F438" s="127" t="n">
        <v>667800</v>
      </c>
      <c r="G438" s="127" t="n">
        <v>1000000</v>
      </c>
      <c r="H438" s="127" t="n">
        <v>1224300</v>
      </c>
      <c r="I438" s="127" t="n">
        <v>198000</v>
      </c>
      <c r="J438" s="127" t="n">
        <v>380000</v>
      </c>
      <c r="K438" s="127" t="n">
        <v>303000</v>
      </c>
      <c r="L438" s="127" t="n">
        <v>20000</v>
      </c>
      <c r="M438" s="127" t="n">
        <v>204000</v>
      </c>
      <c r="N438" s="127" t="n">
        <v>308000</v>
      </c>
      <c r="O438" s="127" t="n">
        <v>75000</v>
      </c>
      <c r="P438" s="127" t="n"/>
      <c r="Q438" s="127" t="n">
        <v>630000</v>
      </c>
      <c r="R438" s="127" t="n"/>
      <c r="S438" s="127" t="n">
        <v>88400</v>
      </c>
      <c r="T438" s="127" t="n">
        <v>26000</v>
      </c>
      <c r="U438" s="127" t="n"/>
      <c r="V438" s="127" t="n">
        <v>10588300</v>
      </c>
    </row>
    <row r="439">
      <c r="C439" s="94" t="inlineStr">
        <is>
          <t>11월17일</t>
        </is>
      </c>
      <c r="D439" s="127" t="n">
        <v>3259000</v>
      </c>
      <c r="E439" s="127" t="n">
        <v>2368800</v>
      </c>
      <c r="F439" s="127" t="n">
        <v>1113000</v>
      </c>
      <c r="G439" s="127" t="n">
        <v>544000</v>
      </c>
      <c r="H439" s="127" t="n">
        <v>1038800</v>
      </c>
      <c r="I439" s="127" t="n">
        <v>297000</v>
      </c>
      <c r="J439" s="127" t="n">
        <v>304000</v>
      </c>
      <c r="K439" s="127" t="n">
        <v>211000</v>
      </c>
      <c r="L439" s="127" t="n">
        <v>55000</v>
      </c>
      <c r="M439" s="127" t="n">
        <v>124000</v>
      </c>
      <c r="N439" s="127" t="n">
        <v>128800</v>
      </c>
      <c r="O439" s="127" t="n">
        <v>55000</v>
      </c>
      <c r="P439" s="127" t="n"/>
      <c r="Q439" s="127" t="n">
        <v>189000</v>
      </c>
      <c r="R439" s="127" t="n"/>
      <c r="S439" s="127" t="n">
        <v>36400</v>
      </c>
      <c r="T439" s="127" t="n">
        <v>8000</v>
      </c>
      <c r="U439" s="127" t="n"/>
      <c r="V439" s="127" t="n">
        <v>9731800</v>
      </c>
    </row>
    <row r="440">
      <c r="C440" s="94" t="inlineStr">
        <is>
          <t>11월18일</t>
        </is>
      </c>
      <c r="D440" s="127" t="n">
        <v>4662000</v>
      </c>
      <c r="E440" s="127" t="n">
        <v>6776000</v>
      </c>
      <c r="F440" s="127" t="n">
        <v>2930900</v>
      </c>
      <c r="G440" s="127" t="n">
        <v>1184000</v>
      </c>
      <c r="H440" s="127" t="n">
        <v>964600</v>
      </c>
      <c r="I440" s="127" t="n">
        <v>693000</v>
      </c>
      <c r="J440" s="127" t="n">
        <v>190000</v>
      </c>
      <c r="K440" s="127" t="n">
        <v>323000</v>
      </c>
      <c r="L440" s="127" t="n">
        <v>200000</v>
      </c>
      <c r="M440" s="127" t="n">
        <v>248000</v>
      </c>
      <c r="N440" s="127" t="n">
        <v>308000</v>
      </c>
      <c r="O440" s="127" t="n">
        <v>80000</v>
      </c>
      <c r="P440" s="127" t="n"/>
      <c r="Q440" s="127" t="n">
        <v>56000</v>
      </c>
      <c r="R440" s="127" t="n"/>
      <c r="S440" s="127" t="n">
        <v>18200</v>
      </c>
      <c r="T440" s="127" t="n">
        <v>32000</v>
      </c>
      <c r="U440" s="127" t="n"/>
      <c r="V440" s="127" t="n">
        <v>18665700</v>
      </c>
    </row>
    <row r="441">
      <c r="C441" s="94" t="inlineStr">
        <is>
          <t>11월19일</t>
        </is>
      </c>
      <c r="D441" s="127" t="n">
        <v>4826000</v>
      </c>
      <c r="E441" s="127" t="n">
        <v>5448800</v>
      </c>
      <c r="F441" s="127" t="n">
        <v>2671200</v>
      </c>
      <c r="G441" s="127" t="n">
        <v>1148000</v>
      </c>
      <c r="H441" s="127" t="n">
        <v>1372700</v>
      </c>
      <c r="I441" s="127" t="n">
        <v>297000</v>
      </c>
      <c r="J441" s="127" t="n">
        <v>570000</v>
      </c>
      <c r="K441" s="127" t="n">
        <v>436000</v>
      </c>
      <c r="L441" s="127" t="n">
        <v>115000</v>
      </c>
      <c r="M441" s="127" t="n">
        <v>200000</v>
      </c>
      <c r="N441" s="127" t="n">
        <v>179200</v>
      </c>
      <c r="O441" s="127" t="n">
        <v>40000</v>
      </c>
      <c r="P441" s="127" t="n"/>
      <c r="Q441" s="127" t="n">
        <v>112000</v>
      </c>
      <c r="R441" s="127" t="n"/>
      <c r="S441" s="127" t="n">
        <v>18200</v>
      </c>
      <c r="T441" s="127" t="n">
        <v>2000</v>
      </c>
      <c r="U441" s="127" t="n"/>
      <c r="V441" s="127" t="n">
        <v>17436100</v>
      </c>
    </row>
    <row r="442">
      <c r="C442" s="94" t="inlineStr">
        <is>
          <t>11월20일</t>
        </is>
      </c>
      <c r="D442" s="127" t="n">
        <v>3710000</v>
      </c>
      <c r="E442" s="127" t="n">
        <v>4317600</v>
      </c>
      <c r="F442" s="127" t="n">
        <v>2448600</v>
      </c>
      <c r="G442" s="127" t="n">
        <v>1020000</v>
      </c>
      <c r="H442" s="127" t="n">
        <v>1224300</v>
      </c>
      <c r="I442" s="127" t="n">
        <v>396000</v>
      </c>
      <c r="J442" s="127" t="n">
        <v>456000</v>
      </c>
      <c r="K442" s="127" t="n">
        <v>283000</v>
      </c>
      <c r="L442" s="127" t="n">
        <v>155000</v>
      </c>
      <c r="M442" s="127" t="n">
        <v>164000</v>
      </c>
      <c r="N442" s="127" t="n">
        <v>89600</v>
      </c>
      <c r="O442" s="127" t="n">
        <v>135000</v>
      </c>
      <c r="P442" s="127" t="n"/>
      <c r="Q442" s="127" t="n">
        <v>280000</v>
      </c>
      <c r="R442" s="127" t="n"/>
      <c r="S442" s="127" t="n">
        <v>54600</v>
      </c>
      <c r="T442" s="127" t="n">
        <v>26000</v>
      </c>
      <c r="U442" s="127" t="n"/>
      <c r="V442" s="127" t="n">
        <v>14759700</v>
      </c>
    </row>
    <row r="443">
      <c r="C443" s="94" t="inlineStr">
        <is>
          <t>11월21일</t>
        </is>
      </c>
      <c r="D443" s="127" t="n">
        <v>1796000</v>
      </c>
      <c r="E443" s="127" t="n">
        <v>2772000</v>
      </c>
      <c r="F443" s="127" t="n">
        <v>1261400</v>
      </c>
      <c r="G443" s="127" t="n">
        <v>500000</v>
      </c>
      <c r="H443" s="127" t="n">
        <v>593600</v>
      </c>
      <c r="I443" s="127" t="n">
        <v>198000</v>
      </c>
      <c r="J443" s="127" t="n">
        <v>114000</v>
      </c>
      <c r="K443" s="127" t="n">
        <v>185000</v>
      </c>
      <c r="L443" s="127" t="n">
        <v>95000</v>
      </c>
      <c r="M443" s="127" t="n">
        <v>124000</v>
      </c>
      <c r="N443" s="127" t="n">
        <v>134400</v>
      </c>
      <c r="O443" s="127" t="n">
        <v>60000</v>
      </c>
      <c r="P443" s="127" t="n"/>
      <c r="Q443" s="127" t="n">
        <v>112000</v>
      </c>
      <c r="R443" s="127" t="n"/>
      <c r="S443" s="127" t="n">
        <v>70200</v>
      </c>
      <c r="T443" s="127" t="n">
        <v>12000</v>
      </c>
      <c r="U443" s="127" t="n"/>
      <c r="V443" s="127" t="n">
        <v>8027600</v>
      </c>
    </row>
    <row r="444">
      <c r="C444" s="94" t="inlineStr">
        <is>
          <t>11월22일</t>
        </is>
      </c>
      <c r="D444" s="127" t="n">
        <v>4848000</v>
      </c>
      <c r="E444" s="127" t="n">
        <v>4933600</v>
      </c>
      <c r="F444" s="127" t="n">
        <v>2151800</v>
      </c>
      <c r="G444" s="127" t="n">
        <v>1212000</v>
      </c>
      <c r="H444" s="127" t="n">
        <v>1558200</v>
      </c>
      <c r="I444" s="127" t="n">
        <v>693000</v>
      </c>
      <c r="J444" s="127" t="n">
        <v>304000</v>
      </c>
      <c r="K444" s="127" t="n">
        <v>367000</v>
      </c>
      <c r="L444" s="127" t="n">
        <v>100000</v>
      </c>
      <c r="M444" s="127" t="n">
        <v>156000</v>
      </c>
      <c r="N444" s="127" t="n">
        <v>352800</v>
      </c>
      <c r="O444" s="127" t="n">
        <v>175000</v>
      </c>
      <c r="P444" s="127" t="n"/>
      <c r="Q444" s="127" t="n">
        <v>105000</v>
      </c>
      <c r="R444" s="127" t="n"/>
      <c r="S444" s="127" t="n">
        <v>54600</v>
      </c>
      <c r="T444" s="127" t="n"/>
      <c r="U444" s="127" t="n"/>
      <c r="V444" s="127" t="n">
        <v>17011000</v>
      </c>
    </row>
    <row r="445">
      <c r="C445" s="94" t="inlineStr">
        <is>
          <t>11월23일</t>
        </is>
      </c>
      <c r="D445" s="127" t="n">
        <v>4446000</v>
      </c>
      <c r="E445" s="127" t="n">
        <v>6148800</v>
      </c>
      <c r="F445" s="127" t="n">
        <v>2782500</v>
      </c>
      <c r="G445" s="127" t="n">
        <v>972000</v>
      </c>
      <c r="H445" s="127" t="n">
        <v>1261400</v>
      </c>
      <c r="I445" s="127" t="n">
        <v>99000</v>
      </c>
      <c r="J445" s="127" t="n">
        <v>418000</v>
      </c>
      <c r="K445" s="127" t="n">
        <v>237000</v>
      </c>
      <c r="L445" s="127" t="n">
        <v>95000</v>
      </c>
      <c r="M445" s="127" t="n">
        <v>236000</v>
      </c>
      <c r="N445" s="127" t="n">
        <v>240800</v>
      </c>
      <c r="O445" s="127" t="n">
        <v>60000</v>
      </c>
      <c r="P445" s="127" t="n"/>
      <c r="Q445" s="127" t="n"/>
      <c r="R445" s="127" t="n"/>
      <c r="S445" s="127" t="n">
        <v>161200</v>
      </c>
      <c r="T445" s="127" t="n"/>
      <c r="U445" s="127" t="n"/>
      <c r="V445" s="127" t="n">
        <v>17157700</v>
      </c>
    </row>
    <row r="446">
      <c r="C446" s="94" t="inlineStr">
        <is>
          <t>11월24일</t>
        </is>
      </c>
      <c r="D446" s="127" t="n">
        <v>3799000</v>
      </c>
      <c r="E446" s="127" t="n">
        <v>4944800</v>
      </c>
      <c r="F446" s="127" t="n">
        <v>1817900</v>
      </c>
      <c r="G446" s="127" t="n">
        <v>1132000</v>
      </c>
      <c r="H446" s="127" t="n">
        <v>1187200</v>
      </c>
      <c r="I446" s="127" t="n">
        <v>594000</v>
      </c>
      <c r="J446" s="127" t="n">
        <v>304000</v>
      </c>
      <c r="K446" s="127" t="n">
        <v>385000</v>
      </c>
      <c r="L446" s="127" t="n">
        <v>20000</v>
      </c>
      <c r="M446" s="127" t="n">
        <v>240000</v>
      </c>
      <c r="N446" s="127" t="n">
        <v>156800</v>
      </c>
      <c r="O446" s="127" t="n">
        <v>200000</v>
      </c>
      <c r="P446" s="127" t="n"/>
      <c r="Q446" s="127" t="n"/>
      <c r="R446" s="127" t="n"/>
      <c r="S446" s="127" t="n">
        <v>54600</v>
      </c>
      <c r="T446" s="127" t="n"/>
      <c r="U446" s="127" t="n"/>
      <c r="V446" s="127" t="n">
        <v>14835300</v>
      </c>
    </row>
    <row r="447">
      <c r="C447" s="94" t="inlineStr">
        <is>
          <t>11월25일</t>
        </is>
      </c>
      <c r="D447" s="127" t="n">
        <v>3609000</v>
      </c>
      <c r="E447" s="127" t="n">
        <v>4345600</v>
      </c>
      <c r="F447" s="127" t="n">
        <v>2077600</v>
      </c>
      <c r="G447" s="127" t="n">
        <v>1160000</v>
      </c>
      <c r="H447" s="127" t="n">
        <v>1261400</v>
      </c>
      <c r="I447" s="127" t="n">
        <v>495000</v>
      </c>
      <c r="J447" s="127" t="n">
        <v>646000</v>
      </c>
      <c r="K447" s="127" t="n">
        <v>438000</v>
      </c>
      <c r="L447" s="127" t="n">
        <v>115000</v>
      </c>
      <c r="M447" s="127" t="n">
        <v>156000</v>
      </c>
      <c r="N447" s="127" t="n">
        <v>358400</v>
      </c>
      <c r="O447" s="127" t="n">
        <v>40000</v>
      </c>
      <c r="P447" s="127" t="n"/>
      <c r="Q447" s="127" t="n">
        <v>42000</v>
      </c>
      <c r="R447" s="127" t="n"/>
      <c r="S447" s="127" t="n">
        <v>54600</v>
      </c>
      <c r="T447" s="127" t="n"/>
      <c r="U447" s="127" t="n"/>
      <c r="V447" s="127" t="n">
        <v>14798600</v>
      </c>
    </row>
    <row r="448">
      <c r="C448" s="94" t="inlineStr">
        <is>
          <t>11월26일</t>
        </is>
      </c>
      <c r="D448" s="127" t="n">
        <v>3462000</v>
      </c>
      <c r="E448" s="127" t="n">
        <v>2660000</v>
      </c>
      <c r="F448" s="127" t="n">
        <v>1372700</v>
      </c>
      <c r="G448" s="127" t="n">
        <v>1092000</v>
      </c>
      <c r="H448" s="127" t="n">
        <v>1150100</v>
      </c>
      <c r="I448" s="127" t="n">
        <v>297000</v>
      </c>
      <c r="J448" s="127" t="n">
        <v>76000</v>
      </c>
      <c r="K448" s="127" t="n">
        <v>202000</v>
      </c>
      <c r="L448" s="127" t="n">
        <v>60000</v>
      </c>
      <c r="M448" s="127" t="n">
        <v>84000</v>
      </c>
      <c r="N448" s="127" t="n">
        <v>44800</v>
      </c>
      <c r="O448" s="127" t="n">
        <v>100000</v>
      </c>
      <c r="P448" s="127" t="n"/>
      <c r="Q448" s="127" t="n">
        <v>49000</v>
      </c>
      <c r="R448" s="127" t="n"/>
      <c r="S448" s="127" t="n">
        <v>88400</v>
      </c>
      <c r="T448" s="127" t="n">
        <v>4000</v>
      </c>
      <c r="U448" s="127" t="n"/>
      <c r="V448" s="127" t="n">
        <v>10742000</v>
      </c>
    </row>
    <row r="449">
      <c r="C449" s="94" t="inlineStr">
        <is>
          <t>11월27일</t>
        </is>
      </c>
      <c r="D449" s="127" t="n">
        <v>2642000</v>
      </c>
      <c r="E449" s="127" t="n">
        <v>2788800</v>
      </c>
      <c r="F449" s="127" t="n">
        <v>964600</v>
      </c>
      <c r="G449" s="127" t="n">
        <v>812000</v>
      </c>
      <c r="H449" s="127" t="n">
        <v>482300</v>
      </c>
      <c r="I449" s="127" t="n">
        <v>396000</v>
      </c>
      <c r="J449" s="127" t="n">
        <v>266000</v>
      </c>
      <c r="K449" s="127" t="n">
        <v>172000</v>
      </c>
      <c r="L449" s="127" t="n">
        <v>20000</v>
      </c>
      <c r="M449" s="127" t="n">
        <v>148000</v>
      </c>
      <c r="N449" s="127" t="n">
        <v>151200</v>
      </c>
      <c r="O449" s="127" t="n">
        <v>190000</v>
      </c>
      <c r="P449" s="127" t="n"/>
      <c r="Q449" s="127" t="n">
        <v>70000</v>
      </c>
      <c r="R449" s="127" t="n"/>
      <c r="S449" s="127" t="n"/>
      <c r="T449" s="127" t="n">
        <v>44000</v>
      </c>
      <c r="U449" s="127" t="n"/>
      <c r="V449" s="127" t="n">
        <v>9146900</v>
      </c>
    </row>
    <row r="450">
      <c r="C450" s="94" t="inlineStr">
        <is>
          <t>11월28일</t>
        </is>
      </c>
      <c r="D450" s="127" t="n">
        <v>1692000</v>
      </c>
      <c r="E450" s="127" t="n">
        <v>1887200</v>
      </c>
      <c r="F450" s="127" t="n">
        <v>667800</v>
      </c>
      <c r="G450" s="127" t="n">
        <v>620000</v>
      </c>
      <c r="H450" s="127" t="n">
        <v>704900</v>
      </c>
      <c r="I450" s="127" t="n">
        <v>198000</v>
      </c>
      <c r="J450" s="127" t="n">
        <v>38000</v>
      </c>
      <c r="K450" s="127" t="n">
        <v>87000</v>
      </c>
      <c r="L450" s="127" t="n">
        <v>40000</v>
      </c>
      <c r="M450" s="127" t="n">
        <v>100000</v>
      </c>
      <c r="N450" s="127" t="n">
        <v>89600</v>
      </c>
      <c r="O450" s="127" t="n">
        <v>60000</v>
      </c>
      <c r="P450" s="127" t="n"/>
      <c r="Q450" s="127" t="n">
        <v>28000</v>
      </c>
      <c r="R450" s="127" t="n"/>
      <c r="S450" s="127" t="n"/>
      <c r="T450" s="127" t="n"/>
      <c r="U450" s="127" t="n"/>
      <c r="V450" s="127" t="n">
        <v>6212500</v>
      </c>
    </row>
    <row r="451">
      <c r="C451" s="94" t="inlineStr">
        <is>
          <t>11월29일</t>
        </is>
      </c>
      <c r="D451" s="127" t="n">
        <v>3966000</v>
      </c>
      <c r="E451" s="127" t="n">
        <v>2402400</v>
      </c>
      <c r="F451" s="127" t="n">
        <v>1632400</v>
      </c>
      <c r="G451" s="127" t="n">
        <v>1164000</v>
      </c>
      <c r="H451" s="127" t="n">
        <v>1372700</v>
      </c>
      <c r="I451" s="127" t="n"/>
      <c r="J451" s="127" t="n">
        <v>494000</v>
      </c>
      <c r="K451" s="127" t="n">
        <v>302000</v>
      </c>
      <c r="L451" s="127" t="n">
        <v>40000</v>
      </c>
      <c r="M451" s="127" t="n">
        <v>104000</v>
      </c>
      <c r="N451" s="127" t="n">
        <v>240800</v>
      </c>
      <c r="O451" s="127" t="n">
        <v>150000</v>
      </c>
      <c r="P451" s="127" t="n"/>
      <c r="Q451" s="127" t="n">
        <v>84000</v>
      </c>
      <c r="R451" s="127" t="n"/>
      <c r="S451" s="127" t="n">
        <v>91000</v>
      </c>
      <c r="T451" s="127" t="n">
        <v>64000</v>
      </c>
      <c r="U451" s="127" t="n"/>
      <c r="V451" s="127" t="n">
        <v>12107300</v>
      </c>
    </row>
    <row r="452">
      <c r="C452" s="94" t="inlineStr">
        <is>
          <t>11월30일</t>
        </is>
      </c>
      <c r="D452" s="127" t="n">
        <v>5543000</v>
      </c>
      <c r="E452" s="127" t="n">
        <v>4564000</v>
      </c>
      <c r="F452" s="127" t="n">
        <v>2300200</v>
      </c>
      <c r="G452" s="127" t="n">
        <v>1472000</v>
      </c>
      <c r="H452" s="127" t="n">
        <v>1335600</v>
      </c>
      <c r="I452" s="127" t="n">
        <v>396000</v>
      </c>
      <c r="J452" s="127" t="n">
        <v>494000</v>
      </c>
      <c r="K452" s="127" t="n">
        <v>457000</v>
      </c>
      <c r="L452" s="127" t="n">
        <v>135000</v>
      </c>
      <c r="M452" s="127" t="n">
        <v>588000</v>
      </c>
      <c r="N452" s="127" t="n">
        <v>196000</v>
      </c>
      <c r="O452" s="127" t="n">
        <v>150000</v>
      </c>
      <c r="P452" s="127" t="n"/>
      <c r="Q452" s="127" t="n">
        <v>224000</v>
      </c>
      <c r="R452" s="127" t="n"/>
      <c r="S452" s="127" t="n">
        <v>106600</v>
      </c>
      <c r="T452" s="127" t="n">
        <v>12000</v>
      </c>
      <c r="U452" s="127" t="n"/>
      <c r="V452" s="127" t="n">
        <v>17973400</v>
      </c>
    </row>
    <row r="453">
      <c r="B453" s="94" t="inlineStr">
        <is>
          <t>11월 요약</t>
        </is>
      </c>
      <c r="C453" s="94" t="n"/>
      <c r="D453" s="127" t="n">
        <v>93422000</v>
      </c>
      <c r="E453" s="127" t="n">
        <v>79844800</v>
      </c>
      <c r="F453" s="127" t="n">
        <v>36580600</v>
      </c>
      <c r="G453" s="127" t="n">
        <v>25804000</v>
      </c>
      <c r="H453" s="127" t="n">
        <v>28789600</v>
      </c>
      <c r="I453" s="127" t="n">
        <v>8415000</v>
      </c>
      <c r="J453" s="127" t="n">
        <v>8398000</v>
      </c>
      <c r="K453" s="127" t="n">
        <v>7125000</v>
      </c>
      <c r="L453" s="127" t="n">
        <v>2685000</v>
      </c>
      <c r="M453" s="127" t="n">
        <v>3880000</v>
      </c>
      <c r="N453" s="127" t="n">
        <v>5633600</v>
      </c>
      <c r="O453" s="127" t="n">
        <v>2390000</v>
      </c>
      <c r="P453" s="127" t="n"/>
      <c r="Q453" s="127" t="n">
        <v>1981000</v>
      </c>
      <c r="R453" s="127" t="n"/>
      <c r="S453" s="127" t="n">
        <v>1583400</v>
      </c>
      <c r="T453" s="127" t="n">
        <v>230000</v>
      </c>
      <c r="U453" s="127" t="n"/>
      <c r="V453" s="127" t="n">
        <v>306762000</v>
      </c>
    </row>
    <row r="454">
      <c r="B454" s="94" t="inlineStr">
        <is>
          <t>12월</t>
        </is>
      </c>
      <c r="C454" s="94" t="inlineStr">
        <is>
          <t>12월1일</t>
        </is>
      </c>
      <c r="D454" s="127" t="n">
        <v>4815000</v>
      </c>
      <c r="E454" s="127" t="n">
        <v>4233600</v>
      </c>
      <c r="F454" s="127" t="n">
        <v>2151800</v>
      </c>
      <c r="G454" s="127" t="n">
        <v>1480000</v>
      </c>
      <c r="H454" s="127" t="n">
        <v>1780800</v>
      </c>
      <c r="I454" s="127" t="n">
        <v>297000</v>
      </c>
      <c r="J454" s="127" t="n">
        <v>570000</v>
      </c>
      <c r="K454" s="127" t="n">
        <v>409000</v>
      </c>
      <c r="L454" s="127" t="n">
        <v>60000</v>
      </c>
      <c r="M454" s="127" t="n">
        <v>260000</v>
      </c>
      <c r="N454" s="127" t="n">
        <v>380800</v>
      </c>
      <c r="O454" s="127" t="n">
        <v>115000</v>
      </c>
      <c r="P454" s="127" t="n"/>
      <c r="Q454" s="127" t="n">
        <v>252000</v>
      </c>
      <c r="R454" s="127" t="n"/>
      <c r="S454" s="127" t="n">
        <v>91000</v>
      </c>
      <c r="T454" s="127" t="n">
        <v>64000</v>
      </c>
      <c r="U454" s="127" t="n"/>
      <c r="V454" s="127" t="n">
        <v>16960000</v>
      </c>
    </row>
    <row r="455">
      <c r="C455" s="94" t="inlineStr">
        <is>
          <t>12월2일</t>
        </is>
      </c>
      <c r="D455" s="127" t="n">
        <v>4113000</v>
      </c>
      <c r="E455" s="127" t="n">
        <v>4334400</v>
      </c>
      <c r="F455" s="127" t="n">
        <v>1855000</v>
      </c>
      <c r="G455" s="127" t="n">
        <v>1536000</v>
      </c>
      <c r="H455" s="127" t="n">
        <v>1446900</v>
      </c>
      <c r="I455" s="127" t="n">
        <v>198000</v>
      </c>
      <c r="J455" s="127" t="n">
        <v>342000</v>
      </c>
      <c r="K455" s="127" t="n">
        <v>520000</v>
      </c>
      <c r="L455" s="127" t="n">
        <v>60000</v>
      </c>
      <c r="M455" s="127" t="n">
        <v>292000</v>
      </c>
      <c r="N455" s="127" t="n">
        <v>196000</v>
      </c>
      <c r="O455" s="127" t="n">
        <v>75000</v>
      </c>
      <c r="P455" s="127" t="n"/>
      <c r="Q455" s="127" t="n">
        <v>224000</v>
      </c>
      <c r="R455" s="127" t="n">
        <v>183000</v>
      </c>
      <c r="S455" s="127" t="n">
        <v>119600</v>
      </c>
      <c r="T455" s="127" t="n">
        <v>20000</v>
      </c>
      <c r="U455" s="127" t="n"/>
      <c r="V455" s="127" t="n">
        <v>15514900</v>
      </c>
    </row>
    <row r="456">
      <c r="C456" s="94" t="inlineStr">
        <is>
          <t>12월3일</t>
        </is>
      </c>
      <c r="D456" s="127" t="n">
        <v>2956000</v>
      </c>
      <c r="E456" s="127" t="n">
        <v>4082400</v>
      </c>
      <c r="F456" s="127" t="n">
        <v>1595300</v>
      </c>
      <c r="G456" s="127" t="n">
        <v>972000</v>
      </c>
      <c r="H456" s="127" t="n">
        <v>1038800</v>
      </c>
      <c r="I456" s="127" t="n">
        <v>594000</v>
      </c>
      <c r="J456" s="127" t="n">
        <v>228000</v>
      </c>
      <c r="K456" s="127" t="n">
        <v>200000</v>
      </c>
      <c r="L456" s="127" t="n">
        <v>130000</v>
      </c>
      <c r="M456" s="127" t="n">
        <v>224000</v>
      </c>
      <c r="N456" s="127" t="n">
        <v>134400</v>
      </c>
      <c r="O456" s="127" t="n">
        <v>40000</v>
      </c>
      <c r="P456" s="127" t="n"/>
      <c r="Q456" s="127" t="n">
        <v>182000</v>
      </c>
      <c r="R456" s="127" t="n">
        <v>147000</v>
      </c>
      <c r="S456" s="127" t="n">
        <v>104000</v>
      </c>
      <c r="T456" s="127" t="n">
        <v>100000</v>
      </c>
      <c r="U456" s="127" t="n"/>
      <c r="V456" s="127" t="n">
        <v>12727900</v>
      </c>
    </row>
    <row r="457">
      <c r="C457" s="94" t="inlineStr">
        <is>
          <t>12월4일</t>
        </is>
      </c>
      <c r="D457" s="127" t="n">
        <v>2313000</v>
      </c>
      <c r="E457" s="127" t="n">
        <v>3376800</v>
      </c>
      <c r="F457" s="127" t="n">
        <v>1224300</v>
      </c>
      <c r="G457" s="127" t="n">
        <v>984000</v>
      </c>
      <c r="H457" s="127" t="n">
        <v>704900</v>
      </c>
      <c r="I457" s="127" t="n">
        <v>198000</v>
      </c>
      <c r="J457" s="127" t="n">
        <v>190000</v>
      </c>
      <c r="K457" s="127" t="n">
        <v>288000</v>
      </c>
      <c r="L457" s="127" t="n"/>
      <c r="M457" s="127" t="n">
        <v>84000</v>
      </c>
      <c r="N457" s="127" t="n">
        <v>151200</v>
      </c>
      <c r="O457" s="127" t="n">
        <v>115000</v>
      </c>
      <c r="P457" s="127" t="n"/>
      <c r="Q457" s="127" t="n">
        <v>112000</v>
      </c>
      <c r="R457" s="127" t="n">
        <v>126000</v>
      </c>
      <c r="S457" s="127" t="n">
        <v>54600</v>
      </c>
      <c r="T457" s="127" t="n">
        <v>40000</v>
      </c>
      <c r="U457" s="127" t="n"/>
      <c r="V457" s="127" t="n">
        <v>9961800</v>
      </c>
    </row>
    <row r="458">
      <c r="C458" s="94" t="inlineStr">
        <is>
          <t>12월5일</t>
        </is>
      </c>
      <c r="D458" s="127" t="n">
        <v>1690000</v>
      </c>
      <c r="E458" s="127" t="n">
        <v>2441600</v>
      </c>
      <c r="F458" s="127" t="n">
        <v>890400</v>
      </c>
      <c r="G458" s="127" t="n">
        <v>612000</v>
      </c>
      <c r="H458" s="127" t="n">
        <v>593600</v>
      </c>
      <c r="I458" s="127" t="n">
        <v>198000</v>
      </c>
      <c r="J458" s="127" t="n">
        <v>190000</v>
      </c>
      <c r="K458" s="127" t="n">
        <v>187000</v>
      </c>
      <c r="L458" s="127" t="n">
        <v>130000</v>
      </c>
      <c r="M458" s="127" t="n">
        <v>88000</v>
      </c>
      <c r="N458" s="127" t="n">
        <v>173600</v>
      </c>
      <c r="O458" s="127" t="n">
        <v>75000</v>
      </c>
      <c r="P458" s="127" t="n"/>
      <c r="Q458" s="127" t="n">
        <v>182000</v>
      </c>
      <c r="R458" s="127" t="n">
        <v>111000</v>
      </c>
      <c r="S458" s="127" t="n"/>
      <c r="T458" s="127" t="n">
        <v>24000</v>
      </c>
      <c r="U458" s="127" t="n"/>
      <c r="V458" s="127" t="n">
        <v>7586200</v>
      </c>
    </row>
    <row r="459">
      <c r="C459" s="94" t="inlineStr">
        <is>
          <t>12월6일</t>
        </is>
      </c>
      <c r="D459" s="127" t="n">
        <v>3069000</v>
      </c>
      <c r="E459" s="127" t="n">
        <v>2889600</v>
      </c>
      <c r="F459" s="127" t="n">
        <v>1372700</v>
      </c>
      <c r="G459" s="127" t="n">
        <v>844000</v>
      </c>
      <c r="H459" s="127" t="n">
        <v>1001700</v>
      </c>
      <c r="I459" s="127" t="n">
        <v>495000</v>
      </c>
      <c r="J459" s="127" t="n">
        <v>456000</v>
      </c>
      <c r="K459" s="127" t="n">
        <v>239000</v>
      </c>
      <c r="L459" s="127" t="n">
        <v>170000</v>
      </c>
      <c r="M459" s="127" t="n">
        <v>148000</v>
      </c>
      <c r="N459" s="127" t="n">
        <v>134400</v>
      </c>
      <c r="O459" s="127" t="n">
        <v>115000</v>
      </c>
      <c r="P459" s="127" t="n"/>
      <c r="Q459" s="127" t="n">
        <v>182000</v>
      </c>
      <c r="R459" s="127" t="n">
        <v>186000</v>
      </c>
      <c r="S459" s="127" t="n">
        <v>122200</v>
      </c>
      <c r="T459" s="127" t="n">
        <v>44000</v>
      </c>
      <c r="U459" s="127" t="n"/>
      <c r="V459" s="127" t="n">
        <v>11468600</v>
      </c>
    </row>
    <row r="460">
      <c r="C460" s="94" t="inlineStr">
        <is>
          <t>12월7일</t>
        </is>
      </c>
      <c r="D460" s="127" t="n">
        <v>6392000</v>
      </c>
      <c r="E460" s="127" t="n">
        <v>6580000</v>
      </c>
      <c r="F460" s="127" t="n">
        <v>2782500</v>
      </c>
      <c r="G460" s="127" t="n">
        <v>1968000</v>
      </c>
      <c r="H460" s="127" t="n">
        <v>1409800</v>
      </c>
      <c r="I460" s="127" t="n">
        <v>693000</v>
      </c>
      <c r="J460" s="127" t="n">
        <v>380000</v>
      </c>
      <c r="K460" s="127" t="n">
        <v>340000</v>
      </c>
      <c r="L460" s="127" t="n">
        <v>80000</v>
      </c>
      <c r="M460" s="127" t="n">
        <v>248000</v>
      </c>
      <c r="N460" s="127" t="n">
        <v>246400</v>
      </c>
      <c r="O460" s="127" t="n">
        <v>120000</v>
      </c>
      <c r="P460" s="127" t="n"/>
      <c r="Q460" s="127" t="n">
        <v>112000</v>
      </c>
      <c r="R460" s="127" t="n">
        <v>252000</v>
      </c>
      <c r="S460" s="127" t="n">
        <v>158600</v>
      </c>
      <c r="T460" s="127" t="n">
        <v>100000</v>
      </c>
      <c r="U460" s="127" t="n"/>
      <c r="V460" s="127" t="n">
        <v>21862300</v>
      </c>
    </row>
    <row r="461">
      <c r="C461" s="94" t="inlineStr">
        <is>
          <t>12월8일</t>
        </is>
      </c>
      <c r="D461" s="127" t="n">
        <v>3002000</v>
      </c>
      <c r="E461" s="127" t="n">
        <v>3152800</v>
      </c>
      <c r="F461" s="127" t="n">
        <v>1446900</v>
      </c>
      <c r="G461" s="127" t="n">
        <v>1016000</v>
      </c>
      <c r="H461" s="127" t="n">
        <v>779100</v>
      </c>
      <c r="I461" s="127" t="n">
        <v>198000</v>
      </c>
      <c r="J461" s="127" t="n">
        <v>152000</v>
      </c>
      <c r="K461" s="127" t="n">
        <v>231000</v>
      </c>
      <c r="L461" s="127" t="n">
        <v>55000</v>
      </c>
      <c r="M461" s="127" t="n">
        <v>132000</v>
      </c>
      <c r="N461" s="127" t="n">
        <v>84000</v>
      </c>
      <c r="O461" s="127" t="n">
        <v>40000</v>
      </c>
      <c r="P461" s="127" t="n"/>
      <c r="Q461" s="127" t="n">
        <v>105000</v>
      </c>
      <c r="R461" s="127" t="n">
        <v>123000</v>
      </c>
      <c r="S461" s="127" t="n">
        <v>106600</v>
      </c>
      <c r="T461" s="127" t="n">
        <v>88000</v>
      </c>
      <c r="U461" s="127" t="n"/>
      <c r="V461" s="127" t="n">
        <v>10711400</v>
      </c>
    </row>
    <row r="462">
      <c r="C462" s="94" t="inlineStr">
        <is>
          <t>12월9일</t>
        </is>
      </c>
      <c r="D462" s="127" t="n">
        <v>2400000</v>
      </c>
      <c r="E462" s="127" t="n">
        <v>2144800</v>
      </c>
      <c r="F462" s="127" t="n">
        <v>1224300</v>
      </c>
      <c r="G462" s="127" t="n">
        <v>1012000</v>
      </c>
      <c r="H462" s="127" t="n">
        <v>927500</v>
      </c>
      <c r="I462" s="127" t="n">
        <v>99000</v>
      </c>
      <c r="J462" s="127" t="n">
        <v>76000</v>
      </c>
      <c r="K462" s="127" t="n">
        <v>154000</v>
      </c>
      <c r="L462" s="127" t="n">
        <v>55000</v>
      </c>
      <c r="M462" s="127" t="n">
        <v>88000</v>
      </c>
      <c r="N462" s="127" t="n">
        <v>162400</v>
      </c>
      <c r="O462" s="127" t="n">
        <v>75000</v>
      </c>
      <c r="P462" s="127" t="n"/>
      <c r="Q462" s="127" t="n">
        <v>168000</v>
      </c>
      <c r="R462" s="127" t="n">
        <v>126000</v>
      </c>
      <c r="S462" s="127" t="n">
        <v>91000</v>
      </c>
      <c r="T462" s="127" t="n">
        <v>4000</v>
      </c>
      <c r="U462" s="127" t="n"/>
      <c r="V462" s="127" t="n">
        <v>8807000</v>
      </c>
    </row>
    <row r="463">
      <c r="C463" s="94" t="inlineStr">
        <is>
          <t>12월10일</t>
        </is>
      </c>
      <c r="D463" s="127" t="n">
        <v>3377000</v>
      </c>
      <c r="E463" s="127" t="n">
        <v>2598400</v>
      </c>
      <c r="F463" s="127" t="n">
        <v>1298500</v>
      </c>
      <c r="G463" s="127" t="n">
        <v>544000</v>
      </c>
      <c r="H463" s="127" t="n">
        <v>816200</v>
      </c>
      <c r="I463" s="127" t="n">
        <v>198000</v>
      </c>
      <c r="J463" s="127" t="n">
        <v>228000</v>
      </c>
      <c r="K463" s="127" t="n">
        <v>219000</v>
      </c>
      <c r="L463" s="127" t="n">
        <v>100000</v>
      </c>
      <c r="M463" s="127" t="n">
        <v>112000</v>
      </c>
      <c r="N463" s="127" t="n">
        <v>179200</v>
      </c>
      <c r="O463" s="127" t="n">
        <v>20000</v>
      </c>
      <c r="P463" s="127" t="n"/>
      <c r="Q463" s="127" t="n">
        <v>56000</v>
      </c>
      <c r="R463" s="127" t="n">
        <v>132000</v>
      </c>
      <c r="S463" s="127" t="n">
        <v>70200</v>
      </c>
      <c r="T463" s="127" t="n">
        <v>100000</v>
      </c>
      <c r="U463" s="127" t="n"/>
      <c r="V463" s="127" t="n">
        <v>10048500</v>
      </c>
    </row>
    <row r="464">
      <c r="C464" s="94" t="inlineStr">
        <is>
          <t>12월11일</t>
        </is>
      </c>
      <c r="D464" s="127" t="n">
        <v>2580000</v>
      </c>
      <c r="E464" s="127" t="n">
        <v>1769600</v>
      </c>
      <c r="F464" s="127" t="n">
        <v>1224300</v>
      </c>
      <c r="G464" s="127" t="n">
        <v>568000</v>
      </c>
      <c r="H464" s="127" t="n">
        <v>853300</v>
      </c>
      <c r="I464" s="127" t="n">
        <v>99000</v>
      </c>
      <c r="J464" s="127" t="n">
        <v>304000</v>
      </c>
      <c r="K464" s="127" t="n">
        <v>146000</v>
      </c>
      <c r="L464" s="127" t="n">
        <v>95000</v>
      </c>
      <c r="M464" s="127" t="n">
        <v>32000</v>
      </c>
      <c r="N464" s="127" t="n">
        <v>44800</v>
      </c>
      <c r="O464" s="127" t="n">
        <v>60000</v>
      </c>
      <c r="P464" s="127" t="n"/>
      <c r="Q464" s="127" t="n">
        <v>77000</v>
      </c>
      <c r="R464" s="127" t="n">
        <v>96000</v>
      </c>
      <c r="S464" s="127" t="n">
        <v>33800</v>
      </c>
      <c r="T464" s="127" t="n">
        <v>44000</v>
      </c>
      <c r="U464" s="127" t="n"/>
      <c r="V464" s="127" t="n">
        <v>8026800</v>
      </c>
    </row>
    <row r="465">
      <c r="C465" s="94" t="inlineStr">
        <is>
          <t>12월12일</t>
        </is>
      </c>
      <c r="D465" s="127" t="n">
        <v>2006000</v>
      </c>
      <c r="E465" s="127" t="n">
        <v>1366400</v>
      </c>
      <c r="F465" s="127" t="n">
        <v>1075900</v>
      </c>
      <c r="G465" s="127" t="n">
        <v>604000</v>
      </c>
      <c r="H465" s="127" t="n">
        <v>482300</v>
      </c>
      <c r="I465" s="127" t="n">
        <v>99000</v>
      </c>
      <c r="J465" s="127" t="n">
        <v>304000</v>
      </c>
      <c r="K465" s="127" t="n">
        <v>202000</v>
      </c>
      <c r="L465" s="127" t="n">
        <v>40000</v>
      </c>
      <c r="M465" s="127" t="n">
        <v>4000</v>
      </c>
      <c r="N465" s="127" t="n">
        <v>89600</v>
      </c>
      <c r="O465" s="127" t="n">
        <v>40000</v>
      </c>
      <c r="P465" s="127" t="n"/>
      <c r="Q465" s="127" t="n">
        <v>224000</v>
      </c>
      <c r="R465" s="127" t="n">
        <v>75000</v>
      </c>
      <c r="S465" s="127" t="n">
        <v>33800</v>
      </c>
      <c r="T465" s="127" t="n">
        <v>20000</v>
      </c>
      <c r="U465" s="127" t="n"/>
      <c r="V465" s="127" t="n">
        <v>6666000</v>
      </c>
    </row>
    <row r="466">
      <c r="C466" s="94" t="inlineStr">
        <is>
          <t>12월13일</t>
        </is>
      </c>
      <c r="D466" s="127" t="n">
        <v>2571000</v>
      </c>
      <c r="E466" s="127" t="n">
        <v>2094400</v>
      </c>
      <c r="F466" s="127" t="n">
        <v>667800</v>
      </c>
      <c r="G466" s="127" t="n">
        <v>584000</v>
      </c>
      <c r="H466" s="127" t="n">
        <v>927500</v>
      </c>
      <c r="I466" s="127" t="n">
        <v>297000</v>
      </c>
      <c r="J466" s="127" t="n">
        <v>228000</v>
      </c>
      <c r="K466" s="127" t="n">
        <v>377000</v>
      </c>
      <c r="L466" s="127" t="n">
        <v>40000</v>
      </c>
      <c r="M466" s="127" t="n">
        <v>140000</v>
      </c>
      <c r="N466" s="127" t="n">
        <v>168000</v>
      </c>
      <c r="O466" s="127" t="n">
        <v>55000</v>
      </c>
      <c r="P466" s="127" t="n"/>
      <c r="Q466" s="127" t="n">
        <v>154000</v>
      </c>
      <c r="R466" s="127" t="n">
        <v>87000</v>
      </c>
      <c r="S466" s="127" t="n">
        <v>33800</v>
      </c>
      <c r="T466" s="127" t="n">
        <v>8000</v>
      </c>
      <c r="U466" s="127" t="n"/>
      <c r="V466" s="127" t="n">
        <v>8432500</v>
      </c>
    </row>
    <row r="467">
      <c r="C467" s="94" t="inlineStr">
        <is>
          <t>12월14일</t>
        </is>
      </c>
      <c r="D467" s="127" t="n">
        <v>3361000</v>
      </c>
      <c r="E467" s="127" t="n">
        <v>1713600</v>
      </c>
      <c r="F467" s="127" t="n">
        <v>853300</v>
      </c>
      <c r="G467" s="127" t="n">
        <v>864000</v>
      </c>
      <c r="H467" s="127" t="n">
        <v>964600</v>
      </c>
      <c r="I467" s="127" t="n">
        <v>99000</v>
      </c>
      <c r="J467" s="127" t="n">
        <v>304000</v>
      </c>
      <c r="K467" s="127" t="n">
        <v>311000</v>
      </c>
      <c r="L467" s="127" t="n">
        <v>37500</v>
      </c>
      <c r="M467" s="127" t="n">
        <v>164000</v>
      </c>
      <c r="N467" s="127" t="n">
        <v>257600</v>
      </c>
      <c r="O467" s="127" t="n">
        <v>40000</v>
      </c>
      <c r="P467" s="127" t="n"/>
      <c r="Q467" s="127" t="n">
        <v>203000</v>
      </c>
      <c r="R467" s="127" t="n">
        <v>174000</v>
      </c>
      <c r="S467" s="127" t="n">
        <v>88400</v>
      </c>
      <c r="T467" s="127" t="n">
        <v>72000</v>
      </c>
      <c r="U467" s="127" t="n"/>
      <c r="V467" s="127" t="n">
        <v>9507000</v>
      </c>
    </row>
    <row r="468">
      <c r="C468" s="94" t="inlineStr">
        <is>
          <t>12월15일</t>
        </is>
      </c>
      <c r="D468" s="127" t="n">
        <v>2805000</v>
      </c>
      <c r="E468" s="127" t="n">
        <v>2066400</v>
      </c>
      <c r="F468" s="127" t="n">
        <v>1187200</v>
      </c>
      <c r="G468" s="127" t="n">
        <v>856000</v>
      </c>
      <c r="H468" s="127" t="n">
        <v>556500</v>
      </c>
      <c r="I468" s="127" t="n">
        <v>495000</v>
      </c>
      <c r="J468" s="127" t="n">
        <v>228000</v>
      </c>
      <c r="K468" s="127" t="n">
        <v>239000</v>
      </c>
      <c r="L468" s="127" t="n">
        <v>115000</v>
      </c>
      <c r="M468" s="127" t="n">
        <v>212000</v>
      </c>
      <c r="N468" s="127" t="n">
        <v>140000</v>
      </c>
      <c r="O468" s="127" t="n">
        <v>75000</v>
      </c>
      <c r="P468" s="127" t="n"/>
      <c r="Q468" s="127" t="n">
        <v>210000</v>
      </c>
      <c r="R468" s="127" t="n">
        <v>102000</v>
      </c>
      <c r="S468" s="127" t="n">
        <v>52000</v>
      </c>
      <c r="T468" s="127" t="n">
        <v>84000</v>
      </c>
      <c r="U468" s="127" t="n"/>
      <c r="V468" s="127" t="n">
        <v>9423100</v>
      </c>
    </row>
    <row r="469">
      <c r="C469" s="94" t="inlineStr">
        <is>
          <t>12월16일</t>
        </is>
      </c>
      <c r="D469" s="127" t="n">
        <v>2509000</v>
      </c>
      <c r="E469" s="127" t="n">
        <v>2542400</v>
      </c>
      <c r="F469" s="127" t="n">
        <v>1113000</v>
      </c>
      <c r="G469" s="127" t="n">
        <v>564000</v>
      </c>
      <c r="H469" s="127" t="n">
        <v>630700</v>
      </c>
      <c r="I469" s="127" t="n">
        <v>99000</v>
      </c>
      <c r="J469" s="127" t="n">
        <v>152000</v>
      </c>
      <c r="K469" s="127" t="n">
        <v>209000</v>
      </c>
      <c r="L469" s="127" t="n">
        <v>132500</v>
      </c>
      <c r="M469" s="127" t="n">
        <v>132000</v>
      </c>
      <c r="N469" s="127" t="n">
        <v>123200</v>
      </c>
      <c r="O469" s="127" t="n">
        <v>60000</v>
      </c>
      <c r="P469" s="127" t="n"/>
      <c r="Q469" s="127" t="n">
        <v>168000</v>
      </c>
      <c r="R469" s="127" t="n">
        <v>117000</v>
      </c>
      <c r="S469" s="127" t="n">
        <v>52000</v>
      </c>
      <c r="T469" s="127" t="n">
        <v>120000</v>
      </c>
      <c r="U469" s="127" t="n"/>
      <c r="V469" s="127" t="n">
        <v>8723800</v>
      </c>
    </row>
    <row r="470">
      <c r="C470" s="94" t="inlineStr">
        <is>
          <t>12월17일</t>
        </is>
      </c>
      <c r="D470" s="127" t="n">
        <v>2457000</v>
      </c>
      <c r="E470" s="127" t="n">
        <v>3248000</v>
      </c>
      <c r="F470" s="127" t="n">
        <v>1446900</v>
      </c>
      <c r="G470" s="127" t="n">
        <v>612000</v>
      </c>
      <c r="H470" s="127" t="n">
        <v>704900</v>
      </c>
      <c r="I470" s="127" t="n">
        <v>99000</v>
      </c>
      <c r="J470" s="127" t="n">
        <v>266000</v>
      </c>
      <c r="K470" s="127" t="n">
        <v>289000</v>
      </c>
      <c r="L470" s="127" t="n">
        <v>40000</v>
      </c>
      <c r="M470" s="127" t="n">
        <v>128000</v>
      </c>
      <c r="N470" s="127" t="n">
        <v>156800</v>
      </c>
      <c r="O470" s="127" t="n">
        <v>55000</v>
      </c>
      <c r="P470" s="127" t="n"/>
      <c r="Q470" s="127" t="n">
        <v>98000</v>
      </c>
      <c r="R470" s="127" t="n">
        <v>108000</v>
      </c>
      <c r="S470" s="127" t="n">
        <v>54600</v>
      </c>
      <c r="T470" s="127" t="n">
        <v>80000</v>
      </c>
      <c r="U470" s="127" t="n"/>
      <c r="V470" s="127" t="n">
        <v>9843200</v>
      </c>
    </row>
    <row r="471">
      <c r="C471" s="94" t="inlineStr">
        <is>
          <t>12월18일</t>
        </is>
      </c>
      <c r="D471" s="127" t="n">
        <v>2325000</v>
      </c>
      <c r="E471" s="127" t="n">
        <v>4659200</v>
      </c>
      <c r="F471" s="127" t="n">
        <v>2374400</v>
      </c>
      <c r="G471" s="127" t="n">
        <v>848000</v>
      </c>
      <c r="H471" s="127" t="n">
        <v>742000</v>
      </c>
      <c r="I471" s="127" t="n">
        <v>99000</v>
      </c>
      <c r="J471" s="127" t="n">
        <v>228000</v>
      </c>
      <c r="K471" s="127" t="n">
        <v>192000</v>
      </c>
      <c r="L471" s="127" t="n">
        <v>155000</v>
      </c>
      <c r="M471" s="127" t="n">
        <v>168000</v>
      </c>
      <c r="N471" s="127" t="n">
        <v>128800</v>
      </c>
      <c r="O471" s="127" t="n"/>
      <c r="P471" s="127" t="n"/>
      <c r="Q471" s="127" t="n">
        <v>84000</v>
      </c>
      <c r="R471" s="127" t="n">
        <v>78000</v>
      </c>
      <c r="S471" s="127" t="n">
        <v>54600</v>
      </c>
      <c r="T471" s="127" t="n">
        <v>20000</v>
      </c>
      <c r="U471" s="127" t="n"/>
      <c r="V471" s="127" t="n">
        <v>12156000</v>
      </c>
    </row>
    <row r="472">
      <c r="C472" s="94" t="inlineStr">
        <is>
          <t>12월19일</t>
        </is>
      </c>
      <c r="D472" s="127" t="n">
        <v>2023000</v>
      </c>
      <c r="E472" s="127" t="n">
        <v>1192800</v>
      </c>
      <c r="F472" s="127" t="n">
        <v>742000</v>
      </c>
      <c r="G472" s="127" t="n">
        <v>356000</v>
      </c>
      <c r="H472" s="127" t="n">
        <v>556500</v>
      </c>
      <c r="I472" s="127" t="n"/>
      <c r="J472" s="127" t="n">
        <v>38000</v>
      </c>
      <c r="K472" s="127" t="n">
        <v>140000</v>
      </c>
      <c r="L472" s="127" t="n">
        <v>70000</v>
      </c>
      <c r="M472" s="127" t="n">
        <v>84000</v>
      </c>
      <c r="N472" s="127" t="n">
        <v>123200</v>
      </c>
      <c r="O472" s="127" t="n">
        <v>90000</v>
      </c>
      <c r="P472" s="127" t="n"/>
      <c r="Q472" s="127" t="n">
        <v>133000</v>
      </c>
      <c r="R472" s="127" t="n">
        <v>105000</v>
      </c>
      <c r="S472" s="127" t="n"/>
      <c r="T472" s="127" t="n">
        <v>60000</v>
      </c>
      <c r="U472" s="127" t="n"/>
      <c r="V472" s="127" t="n">
        <v>5713500</v>
      </c>
    </row>
    <row r="473">
      <c r="C473" s="94" t="inlineStr">
        <is>
          <t>12월20일</t>
        </is>
      </c>
      <c r="D473" s="127" t="n">
        <v>2734000</v>
      </c>
      <c r="E473" s="127" t="n">
        <v>1960000</v>
      </c>
      <c r="F473" s="127" t="n">
        <v>1409800</v>
      </c>
      <c r="G473" s="127" t="n">
        <v>704000</v>
      </c>
      <c r="H473" s="127" t="n">
        <v>964600</v>
      </c>
      <c r="I473" s="127" t="n">
        <v>99000</v>
      </c>
      <c r="J473" s="127" t="n">
        <v>418000</v>
      </c>
      <c r="K473" s="127" t="n">
        <v>174000</v>
      </c>
      <c r="L473" s="127" t="n">
        <v>55000</v>
      </c>
      <c r="M473" s="127" t="n">
        <v>132000</v>
      </c>
      <c r="N473" s="127" t="n">
        <v>168000</v>
      </c>
      <c r="O473" s="127" t="n">
        <v>35000</v>
      </c>
      <c r="P473" s="127" t="n"/>
      <c r="Q473" s="127" t="n">
        <v>210000</v>
      </c>
      <c r="R473" s="127" t="n">
        <v>90000</v>
      </c>
      <c r="S473" s="127" t="n">
        <v>36400</v>
      </c>
      <c r="T473" s="127" t="n">
        <v>28000</v>
      </c>
      <c r="U473" s="127" t="n"/>
      <c r="V473" s="127" t="n">
        <v>9217800</v>
      </c>
    </row>
    <row r="474">
      <c r="C474" s="94" t="inlineStr">
        <is>
          <t>12월21일</t>
        </is>
      </c>
      <c r="D474" s="127" t="n">
        <v>3375000</v>
      </c>
      <c r="E474" s="127" t="n">
        <v>3942400</v>
      </c>
      <c r="F474" s="127" t="n">
        <v>1817900</v>
      </c>
      <c r="G474" s="127" t="n">
        <v>1120000</v>
      </c>
      <c r="H474" s="127" t="n">
        <v>1187200</v>
      </c>
      <c r="I474" s="127" t="n"/>
      <c r="J474" s="127" t="n">
        <v>380000</v>
      </c>
      <c r="K474" s="127" t="n">
        <v>302000</v>
      </c>
      <c r="L474" s="127" t="n">
        <v>95000</v>
      </c>
      <c r="M474" s="127" t="n">
        <v>220000</v>
      </c>
      <c r="N474" s="127" t="n">
        <v>156800</v>
      </c>
      <c r="O474" s="127" t="n">
        <v>130000</v>
      </c>
      <c r="P474" s="127" t="n"/>
      <c r="Q474" s="127" t="n">
        <v>154000</v>
      </c>
      <c r="R474" s="127" t="n">
        <v>147000</v>
      </c>
      <c r="S474" s="127" t="n">
        <v>176800</v>
      </c>
      <c r="T474" s="127" t="n">
        <v>128000</v>
      </c>
      <c r="U474" s="127" t="n"/>
      <c r="V474" s="127" t="n">
        <v>13332100</v>
      </c>
    </row>
    <row r="475">
      <c r="C475" s="94" t="inlineStr">
        <is>
          <t>12월22일</t>
        </is>
      </c>
      <c r="D475" s="127" t="n">
        <v>3687000</v>
      </c>
      <c r="E475" s="127" t="n">
        <v>8551200</v>
      </c>
      <c r="F475" s="127" t="n">
        <v>3895500</v>
      </c>
      <c r="G475" s="127" t="n">
        <v>1024000</v>
      </c>
      <c r="H475" s="127" t="n">
        <v>1224300</v>
      </c>
      <c r="I475" s="127" t="n">
        <v>99000</v>
      </c>
      <c r="J475" s="127" t="n">
        <v>304000</v>
      </c>
      <c r="K475" s="127" t="n">
        <v>568000</v>
      </c>
      <c r="L475" s="127" t="n">
        <v>60000</v>
      </c>
      <c r="M475" s="127" t="n">
        <v>72000</v>
      </c>
      <c r="N475" s="127" t="n">
        <v>436800</v>
      </c>
      <c r="O475" s="127" t="n">
        <v>40000</v>
      </c>
      <c r="P475" s="127" t="n"/>
      <c r="Q475" s="127" t="n">
        <v>133000</v>
      </c>
      <c r="R475" s="127" t="n">
        <v>171000</v>
      </c>
      <c r="S475" s="127" t="n">
        <v>72800</v>
      </c>
      <c r="T475" s="127" t="n">
        <v>60000</v>
      </c>
      <c r="U475" s="127" t="n"/>
      <c r="V475" s="127" t="n">
        <v>20398600</v>
      </c>
    </row>
    <row r="476">
      <c r="C476" s="94" t="inlineStr">
        <is>
          <t>12월23일</t>
        </is>
      </c>
      <c r="D476" s="127" t="n">
        <v>3091000</v>
      </c>
      <c r="E476" s="127" t="n">
        <v>19913600</v>
      </c>
      <c r="F476" s="127" t="n">
        <v>7160300</v>
      </c>
      <c r="G476" s="127" t="n">
        <v>932000</v>
      </c>
      <c r="H476" s="127" t="n">
        <v>1187200</v>
      </c>
      <c r="I476" s="127" t="n">
        <v>297000</v>
      </c>
      <c r="J476" s="127" t="n">
        <v>532000</v>
      </c>
      <c r="K476" s="127" t="n">
        <v>541000</v>
      </c>
      <c r="L476" s="127" t="n">
        <v>40000</v>
      </c>
      <c r="M476" s="127" t="n">
        <v>140000</v>
      </c>
      <c r="N476" s="127" t="n">
        <v>380800</v>
      </c>
      <c r="O476" s="127" t="n">
        <v>95000</v>
      </c>
      <c r="P476" s="127" t="n"/>
      <c r="Q476" s="127" t="n">
        <v>133000</v>
      </c>
      <c r="R476" s="127" t="n">
        <v>183000</v>
      </c>
      <c r="S476" s="127" t="n">
        <v>127400</v>
      </c>
      <c r="T476" s="127" t="n">
        <v>100000</v>
      </c>
      <c r="U476" s="127" t="n"/>
      <c r="V476" s="127" t="n">
        <v>34853300</v>
      </c>
    </row>
    <row r="477">
      <c r="C477" s="94" t="inlineStr">
        <is>
          <t>12월24일</t>
        </is>
      </c>
      <c r="D477" s="127" t="n">
        <v>3572000</v>
      </c>
      <c r="E477" s="127" t="n">
        <v>17147200</v>
      </c>
      <c r="F477" s="127" t="n">
        <v>7716800</v>
      </c>
      <c r="G477" s="127" t="n">
        <v>808000</v>
      </c>
      <c r="H477" s="127" t="n">
        <v>1892100</v>
      </c>
      <c r="I477" s="127" t="n">
        <v>297000</v>
      </c>
      <c r="J477" s="127" t="n">
        <v>608000</v>
      </c>
      <c r="K477" s="127" t="n">
        <v>433000</v>
      </c>
      <c r="L477" s="127" t="n">
        <v>75000</v>
      </c>
      <c r="M477" s="127" t="n">
        <v>192000</v>
      </c>
      <c r="N477" s="127" t="n">
        <v>212800</v>
      </c>
      <c r="O477" s="127" t="n">
        <v>135000</v>
      </c>
      <c r="P477" s="127" t="n"/>
      <c r="Q477" s="127" t="n">
        <v>182000</v>
      </c>
      <c r="R477" s="127" t="n">
        <v>213000</v>
      </c>
      <c r="S477" s="127" t="n">
        <v>158600</v>
      </c>
      <c r="T477" s="127" t="n">
        <v>88000</v>
      </c>
      <c r="U477" s="127" t="n"/>
      <c r="V477" s="127" t="n">
        <v>33730500</v>
      </c>
    </row>
    <row r="478">
      <c r="C478" s="94" t="inlineStr">
        <is>
          <t>12월25일</t>
        </is>
      </c>
      <c r="D478" s="127" t="n">
        <v>5536000</v>
      </c>
      <c r="E478" s="127" t="n">
        <v>15607200</v>
      </c>
      <c r="F478" s="127" t="n">
        <v>9683100</v>
      </c>
      <c r="G478" s="127" t="n">
        <v>1036000</v>
      </c>
      <c r="H478" s="127" t="n">
        <v>2374400</v>
      </c>
      <c r="I478" s="127" t="n">
        <v>396000</v>
      </c>
      <c r="J478" s="127" t="n">
        <v>608000</v>
      </c>
      <c r="K478" s="127" t="n">
        <v>647000</v>
      </c>
      <c r="L478" s="127" t="n">
        <v>150000</v>
      </c>
      <c r="M478" s="127" t="n">
        <v>252000</v>
      </c>
      <c r="N478" s="127" t="n">
        <v>431200</v>
      </c>
      <c r="O478" s="127" t="n">
        <v>100000</v>
      </c>
      <c r="P478" s="127" t="n"/>
      <c r="Q478" s="127" t="n">
        <v>84000</v>
      </c>
      <c r="R478" s="127" t="n">
        <v>387000</v>
      </c>
      <c r="S478" s="127" t="n">
        <v>195000</v>
      </c>
      <c r="T478" s="127" t="n">
        <v>160000</v>
      </c>
      <c r="U478" s="127" t="n"/>
      <c r="V478" s="127" t="n">
        <v>37646900</v>
      </c>
    </row>
    <row r="479">
      <c r="C479" s="94" t="inlineStr">
        <is>
          <t>12월26일</t>
        </is>
      </c>
      <c r="D479" s="127" t="n">
        <v>3527000</v>
      </c>
      <c r="E479" s="127" t="n">
        <v>12012000</v>
      </c>
      <c r="F479" s="127" t="n">
        <v>6195700</v>
      </c>
      <c r="G479" s="127" t="n">
        <v>988000</v>
      </c>
      <c r="H479" s="127" t="n">
        <v>1298500</v>
      </c>
      <c r="I479" s="127" t="n">
        <v>396000</v>
      </c>
      <c r="J479" s="127" t="n">
        <v>532000</v>
      </c>
      <c r="K479" s="127" t="n">
        <v>459000</v>
      </c>
      <c r="L479" s="127" t="n">
        <v>95000</v>
      </c>
      <c r="M479" s="127" t="n">
        <v>124000</v>
      </c>
      <c r="N479" s="127" t="n">
        <v>218400</v>
      </c>
      <c r="O479" s="127" t="n">
        <v>150000</v>
      </c>
      <c r="P479" s="127" t="n"/>
      <c r="Q479" s="127" t="n">
        <v>56000</v>
      </c>
      <c r="R479" s="127" t="n">
        <v>216000</v>
      </c>
      <c r="S479" s="127" t="n">
        <v>52000</v>
      </c>
      <c r="T479" s="127" t="n">
        <v>20000</v>
      </c>
      <c r="U479" s="127" t="n"/>
      <c r="V479" s="127" t="n">
        <v>26339600</v>
      </c>
    </row>
    <row r="480">
      <c r="C480" s="94" t="inlineStr">
        <is>
          <t>12월27일</t>
        </is>
      </c>
      <c r="D480" s="127" t="n">
        <v>3894000</v>
      </c>
      <c r="E480" s="127" t="n">
        <v>12784800</v>
      </c>
      <c r="F480" s="127" t="n">
        <v>6232800</v>
      </c>
      <c r="G480" s="127" t="n">
        <v>1224000</v>
      </c>
      <c r="H480" s="127" t="n">
        <v>1521100</v>
      </c>
      <c r="I480" s="127" t="n">
        <v>495000</v>
      </c>
      <c r="J480" s="127" t="n">
        <v>494000</v>
      </c>
      <c r="K480" s="127" t="n">
        <v>450000</v>
      </c>
      <c r="L480" s="127" t="n">
        <v>75000</v>
      </c>
      <c r="M480" s="127" t="n">
        <v>104000</v>
      </c>
      <c r="N480" s="127" t="n">
        <v>476000</v>
      </c>
      <c r="O480" s="127" t="n">
        <v>55000</v>
      </c>
      <c r="P480" s="127" t="n"/>
      <c r="Q480" s="127" t="n">
        <v>203000</v>
      </c>
      <c r="R480" s="127" t="n">
        <v>213000</v>
      </c>
      <c r="S480" s="127" t="n">
        <v>197600</v>
      </c>
      <c r="T480" s="127" t="n">
        <v>64000</v>
      </c>
      <c r="U480" s="127" t="n"/>
      <c r="V480" s="127" t="n">
        <v>28483300</v>
      </c>
    </row>
    <row r="481">
      <c r="C481" s="94" t="inlineStr">
        <is>
          <t>12월28일</t>
        </is>
      </c>
      <c r="D481" s="127" t="n">
        <v>5065000</v>
      </c>
      <c r="E481" s="127" t="n">
        <v>14123200</v>
      </c>
      <c r="F481" s="127" t="n">
        <v>6307000</v>
      </c>
      <c r="G481" s="127" t="n">
        <v>1436000</v>
      </c>
      <c r="H481" s="127" t="n">
        <v>2040500</v>
      </c>
      <c r="I481" s="127" t="n">
        <v>99000</v>
      </c>
      <c r="J481" s="127" t="n">
        <v>570000</v>
      </c>
      <c r="K481" s="127" t="n">
        <v>473000</v>
      </c>
      <c r="L481" s="127" t="n">
        <v>130000</v>
      </c>
      <c r="M481" s="127" t="n">
        <v>208000</v>
      </c>
      <c r="N481" s="127" t="n">
        <v>504000</v>
      </c>
      <c r="O481" s="127" t="n">
        <v>130000</v>
      </c>
      <c r="P481" s="127" t="n"/>
      <c r="Q481" s="127" t="n">
        <v>189000</v>
      </c>
      <c r="R481" s="127" t="n">
        <v>246000</v>
      </c>
      <c r="S481" s="127" t="n">
        <v>106600</v>
      </c>
      <c r="T481" s="127" t="n">
        <v>80000</v>
      </c>
      <c r="U481" s="127" t="n"/>
      <c r="V481" s="127" t="n">
        <v>31707300</v>
      </c>
    </row>
    <row r="482">
      <c r="C482" s="94" t="inlineStr">
        <is>
          <t>12월29일</t>
        </is>
      </c>
      <c r="D482" s="127" t="n">
        <v>3790000</v>
      </c>
      <c r="E482" s="127" t="n">
        <v>14784000</v>
      </c>
      <c r="F482" s="127" t="n">
        <v>6863500</v>
      </c>
      <c r="G482" s="127" t="n">
        <v>1572000</v>
      </c>
      <c r="H482" s="127" t="n">
        <v>1706600</v>
      </c>
      <c r="I482" s="127" t="n">
        <v>297000</v>
      </c>
      <c r="J482" s="127" t="n">
        <v>608000</v>
      </c>
      <c r="K482" s="127" t="n">
        <v>477000</v>
      </c>
      <c r="L482" s="127" t="n">
        <v>80000</v>
      </c>
      <c r="M482" s="127" t="n">
        <v>244000</v>
      </c>
      <c r="N482" s="127" t="n">
        <v>375200</v>
      </c>
      <c r="O482" s="127" t="n">
        <v>40000</v>
      </c>
      <c r="P482" s="127" t="n"/>
      <c r="Q482" s="127" t="n">
        <v>273000</v>
      </c>
      <c r="R482" s="127" t="n">
        <v>234000</v>
      </c>
      <c r="S482" s="127" t="n">
        <v>158600</v>
      </c>
      <c r="T482" s="127" t="n">
        <v>80000</v>
      </c>
      <c r="U482" s="127" t="n"/>
      <c r="V482" s="127" t="n">
        <v>31582900</v>
      </c>
    </row>
    <row r="483">
      <c r="C483" s="94" t="inlineStr">
        <is>
          <t>12월30일</t>
        </is>
      </c>
      <c r="D483" s="127" t="n">
        <v>2780000</v>
      </c>
      <c r="E483" s="127" t="n">
        <v>12012000</v>
      </c>
      <c r="F483" s="127" t="n">
        <v>4711700</v>
      </c>
      <c r="G483" s="127" t="n">
        <v>1088000</v>
      </c>
      <c r="H483" s="127" t="n">
        <v>1855000</v>
      </c>
      <c r="I483" s="127" t="n">
        <v>396000</v>
      </c>
      <c r="J483" s="127" t="n">
        <v>494000</v>
      </c>
      <c r="K483" s="127" t="n">
        <v>454000</v>
      </c>
      <c r="L483" s="127" t="n">
        <v>150000</v>
      </c>
      <c r="M483" s="127" t="n">
        <v>144000</v>
      </c>
      <c r="N483" s="127" t="n">
        <v>302400</v>
      </c>
      <c r="O483" s="127" t="n">
        <v>60000</v>
      </c>
      <c r="P483" s="127" t="n"/>
      <c r="Q483" s="127" t="n">
        <v>70000</v>
      </c>
      <c r="R483" s="127" t="n">
        <v>219000</v>
      </c>
      <c r="S483" s="127" t="n">
        <v>158600</v>
      </c>
      <c r="T483" s="127" t="n">
        <v>84000</v>
      </c>
      <c r="U483" s="127" t="n"/>
      <c r="V483" s="127" t="n">
        <v>24978700</v>
      </c>
    </row>
    <row r="484">
      <c r="C484" s="94" t="inlineStr">
        <is>
          <t>12월31일</t>
        </is>
      </c>
      <c r="D484" s="127" t="n">
        <v>1574000</v>
      </c>
      <c r="E484" s="127" t="n">
        <v>7660800</v>
      </c>
      <c r="F484" s="127" t="n">
        <v>2930900</v>
      </c>
      <c r="G484" s="127" t="n">
        <v>660000</v>
      </c>
      <c r="H484" s="127" t="n">
        <v>853300</v>
      </c>
      <c r="I484" s="127" t="n">
        <v>198000</v>
      </c>
      <c r="J484" s="127" t="n">
        <v>152000</v>
      </c>
      <c r="K484" s="127" t="n">
        <v>261000</v>
      </c>
      <c r="L484" s="127" t="n">
        <v>60000</v>
      </c>
      <c r="M484" s="127" t="n">
        <v>20000</v>
      </c>
      <c r="N484" s="127" t="n">
        <v>196000</v>
      </c>
      <c r="O484" s="127" t="n">
        <v>55000</v>
      </c>
      <c r="P484" s="127" t="n"/>
      <c r="Q484" s="127" t="n">
        <v>28000</v>
      </c>
      <c r="R484" s="127" t="n">
        <v>105000</v>
      </c>
      <c r="S484" s="127" t="n">
        <v>85800</v>
      </c>
      <c r="T484" s="127" t="n">
        <v>20000</v>
      </c>
      <c r="U484" s="127" t="n"/>
      <c r="V484" s="127" t="n">
        <v>14859800</v>
      </c>
    </row>
    <row r="485">
      <c r="B485" s="94" t="inlineStr">
        <is>
          <t>12월 요약</t>
        </is>
      </c>
      <c r="C485" s="94" t="n"/>
      <c r="D485" s="127" t="n">
        <v>99389000</v>
      </c>
      <c r="E485" s="127" t="n">
        <v>196985600</v>
      </c>
      <c r="F485" s="127" t="n">
        <v>91451500</v>
      </c>
      <c r="G485" s="127" t="n">
        <v>29416000</v>
      </c>
      <c r="H485" s="127" t="n">
        <v>35022400</v>
      </c>
      <c r="I485" s="127" t="n">
        <v>7623000</v>
      </c>
      <c r="J485" s="127" t="n">
        <v>10564000</v>
      </c>
      <c r="K485" s="127" t="n">
        <v>10131000</v>
      </c>
      <c r="L485" s="127" t="n">
        <v>2630000</v>
      </c>
      <c r="M485" s="127" t="n">
        <v>4592000</v>
      </c>
      <c r="N485" s="127" t="n">
        <v>6932800</v>
      </c>
      <c r="O485" s="127" t="n">
        <v>2290000</v>
      </c>
      <c r="P485" s="127" t="n"/>
      <c r="Q485" s="127" t="n">
        <v>4641000</v>
      </c>
      <c r="R485" s="127" t="n">
        <v>4752000</v>
      </c>
      <c r="S485" s="127" t="n">
        <v>2847000</v>
      </c>
      <c r="T485" s="127" t="n">
        <v>2004000</v>
      </c>
      <c r="U485" s="127" t="n"/>
      <c r="V485" s="127" t="n">
        <v>511271300</v>
      </c>
    </row>
    <row r="486">
      <c r="A486" s="94" t="inlineStr">
        <is>
          <t>2020년 요약</t>
        </is>
      </c>
      <c r="B486" s="94" t="n"/>
      <c r="C486" s="94" t="n"/>
      <c r="D486" s="127" t="n">
        <v>1858509000</v>
      </c>
      <c r="E486" s="127" t="n">
        <v>321117600</v>
      </c>
      <c r="F486" s="127" t="n">
        <v>156191000</v>
      </c>
      <c r="G486" s="127" t="n">
        <v>172871000</v>
      </c>
      <c r="H486" s="127" t="n">
        <v>99971200</v>
      </c>
      <c r="I486" s="127" t="n">
        <v>95139000</v>
      </c>
      <c r="J486" s="127" t="n">
        <v>71941600</v>
      </c>
      <c r="K486" s="127" t="n">
        <v>62714000</v>
      </c>
      <c r="L486" s="127" t="n">
        <v>63565000</v>
      </c>
      <c r="M486" s="127" t="n">
        <v>38364000</v>
      </c>
      <c r="N486" s="127" t="n">
        <v>17147200</v>
      </c>
      <c r="O486" s="127" t="n">
        <v>26240000</v>
      </c>
      <c r="P486" s="127" t="n">
        <v>26295000</v>
      </c>
      <c r="Q486" s="127" t="n">
        <v>6622000</v>
      </c>
      <c r="R486" s="127" t="n">
        <v>4944000</v>
      </c>
      <c r="S486" s="127" t="n">
        <v>5977400</v>
      </c>
      <c r="T486" s="127" t="n">
        <v>2234000</v>
      </c>
      <c r="U486" s="127" t="n">
        <v>1540000</v>
      </c>
      <c r="V486" s="127" t="n">
        <v>3031383000</v>
      </c>
    </row>
    <row r="487">
      <c r="A487" s="94" t="inlineStr">
        <is>
          <t>2021년</t>
        </is>
      </c>
      <c r="B487" s="94" t="inlineStr">
        <is>
          <t>1월</t>
        </is>
      </c>
      <c r="C487" s="94" t="inlineStr">
        <is>
          <t>1월1일</t>
        </is>
      </c>
      <c r="D487" s="127" t="n">
        <v>2422000</v>
      </c>
      <c r="E487" s="127" t="n">
        <v>13759200</v>
      </c>
      <c r="F487" s="127" t="n">
        <v>5305300</v>
      </c>
      <c r="G487" s="127" t="n">
        <v>1152000</v>
      </c>
      <c r="H487" s="127" t="n">
        <v>1372700</v>
      </c>
      <c r="I487" s="127" t="n">
        <v>99000</v>
      </c>
      <c r="J487" s="127" t="n">
        <v>266000</v>
      </c>
      <c r="K487" s="127" t="n">
        <v>414000</v>
      </c>
      <c r="L487" s="127" t="n">
        <v>110000</v>
      </c>
      <c r="M487" s="127" t="n">
        <v>148000</v>
      </c>
      <c r="N487" s="127" t="n">
        <v>414400</v>
      </c>
      <c r="O487" s="127" t="n"/>
      <c r="P487" s="127" t="n"/>
      <c r="Q487" s="127" t="n">
        <v>140000</v>
      </c>
      <c r="R487" s="127" t="n">
        <v>132000</v>
      </c>
      <c r="S487" s="127" t="n">
        <v>174200</v>
      </c>
      <c r="T487" s="127" t="n">
        <v>92000</v>
      </c>
      <c r="U487" s="127" t="n"/>
      <c r="V487" s="127" t="n">
        <v>26000800</v>
      </c>
    </row>
    <row r="488">
      <c r="C488" s="94" t="inlineStr">
        <is>
          <t>1월2일</t>
        </is>
      </c>
      <c r="D488" s="127" t="n">
        <v>2694000</v>
      </c>
      <c r="E488" s="127" t="n">
        <v>11144000</v>
      </c>
      <c r="F488" s="127" t="n">
        <v>4897200</v>
      </c>
      <c r="G488" s="127" t="n">
        <v>1004000</v>
      </c>
      <c r="H488" s="127" t="n">
        <v>1113000</v>
      </c>
      <c r="I488" s="127" t="n">
        <v>198000</v>
      </c>
      <c r="J488" s="127" t="n">
        <v>494000</v>
      </c>
      <c r="K488" s="127" t="n">
        <v>498000</v>
      </c>
      <c r="L488" s="127" t="n">
        <v>60000</v>
      </c>
      <c r="M488" s="127" t="n">
        <v>108000</v>
      </c>
      <c r="N488" s="127" t="n">
        <v>431200</v>
      </c>
      <c r="O488" s="127" t="n">
        <v>140000</v>
      </c>
      <c r="P488" s="127" t="n"/>
      <c r="Q488" s="127" t="n">
        <v>210000</v>
      </c>
      <c r="R488" s="127" t="n">
        <v>153000</v>
      </c>
      <c r="S488" s="127" t="n">
        <v>54600</v>
      </c>
      <c r="T488" s="127" t="n">
        <v>60000</v>
      </c>
      <c r="U488" s="127" t="n"/>
      <c r="V488" s="127" t="n">
        <v>23259000</v>
      </c>
    </row>
    <row r="489">
      <c r="C489" s="94" t="inlineStr">
        <is>
          <t>1월3일</t>
        </is>
      </c>
      <c r="D489" s="127" t="n">
        <v>3295000</v>
      </c>
      <c r="E489" s="127" t="n">
        <v>15108800</v>
      </c>
      <c r="F489" s="127" t="n">
        <v>5231100</v>
      </c>
      <c r="G489" s="127" t="n">
        <v>1072000</v>
      </c>
      <c r="H489" s="127" t="n">
        <v>1855000</v>
      </c>
      <c r="I489" s="127" t="n"/>
      <c r="J489" s="127" t="n">
        <v>494000</v>
      </c>
      <c r="K489" s="127" t="n">
        <v>507000</v>
      </c>
      <c r="L489" s="127" t="n">
        <v>95000</v>
      </c>
      <c r="M489" s="127" t="n">
        <v>108000</v>
      </c>
      <c r="N489" s="127" t="n">
        <v>509600</v>
      </c>
      <c r="O489" s="127" t="n">
        <v>165000</v>
      </c>
      <c r="P489" s="127" t="n"/>
      <c r="Q489" s="127" t="n">
        <v>252000</v>
      </c>
      <c r="R489" s="127" t="n">
        <v>174000</v>
      </c>
      <c r="S489" s="127" t="n">
        <v>192400</v>
      </c>
      <c r="T489" s="127" t="n">
        <v>20000</v>
      </c>
      <c r="U489" s="127" t="n"/>
      <c r="V489" s="127" t="n">
        <v>29078900</v>
      </c>
    </row>
    <row r="490">
      <c r="C490" s="94" t="inlineStr">
        <is>
          <t>1월4일</t>
        </is>
      </c>
      <c r="D490" s="127" t="n">
        <v>4143000</v>
      </c>
      <c r="E490" s="127" t="n">
        <v>11082400</v>
      </c>
      <c r="F490" s="127" t="n">
        <v>4192300</v>
      </c>
      <c r="G490" s="127" t="n">
        <v>1752000</v>
      </c>
      <c r="H490" s="127" t="n">
        <v>1706600</v>
      </c>
      <c r="I490" s="127" t="n">
        <v>396000</v>
      </c>
      <c r="J490" s="127" t="n">
        <v>418000</v>
      </c>
      <c r="K490" s="127" t="n">
        <v>532000</v>
      </c>
      <c r="L490" s="127" t="n">
        <v>95000</v>
      </c>
      <c r="M490" s="127" t="n">
        <v>164000</v>
      </c>
      <c r="N490" s="127" t="n">
        <v>448000</v>
      </c>
      <c r="O490" s="127" t="n">
        <v>130000</v>
      </c>
      <c r="P490" s="127" t="n"/>
      <c r="Q490" s="127" t="n">
        <v>245000</v>
      </c>
      <c r="R490" s="127" t="n">
        <v>168000</v>
      </c>
      <c r="S490" s="127" t="n">
        <v>158600</v>
      </c>
      <c r="T490" s="127" t="n">
        <v>72000</v>
      </c>
      <c r="U490" s="127" t="n"/>
      <c r="V490" s="127" t="n">
        <v>25702900</v>
      </c>
    </row>
    <row r="491">
      <c r="C491" s="94" t="inlineStr">
        <is>
          <t>1월5일</t>
        </is>
      </c>
      <c r="D491" s="127" t="n">
        <v>4161000</v>
      </c>
      <c r="E491" s="127" t="n">
        <v>4956000</v>
      </c>
      <c r="F491" s="127" t="n">
        <v>3487400</v>
      </c>
      <c r="G491" s="127" t="n">
        <v>908000</v>
      </c>
      <c r="H491" s="127" t="n">
        <v>1446900</v>
      </c>
      <c r="I491" s="127" t="n">
        <v>396000</v>
      </c>
      <c r="J491" s="127" t="n">
        <v>456000</v>
      </c>
      <c r="K491" s="127" t="n">
        <v>482000</v>
      </c>
      <c r="L491" s="127" t="n">
        <v>150000</v>
      </c>
      <c r="M491" s="127" t="n">
        <v>124000</v>
      </c>
      <c r="N491" s="127" t="n">
        <v>358400</v>
      </c>
      <c r="O491" s="127" t="n">
        <v>110000</v>
      </c>
      <c r="P491" s="127" t="n"/>
      <c r="Q491" s="127" t="n">
        <v>266000</v>
      </c>
      <c r="R491" s="127" t="n">
        <v>93000</v>
      </c>
      <c r="S491" s="127" t="n">
        <v>156000</v>
      </c>
      <c r="T491" s="127" t="n">
        <v>124000</v>
      </c>
      <c r="U491" s="127" t="n"/>
      <c r="V491" s="127" t="n">
        <v>17674700</v>
      </c>
    </row>
    <row r="492">
      <c r="C492" s="94" t="inlineStr">
        <is>
          <t>1월6일</t>
        </is>
      </c>
      <c r="D492" s="127" t="n">
        <v>4976000</v>
      </c>
      <c r="E492" s="127" t="n">
        <v>5499200</v>
      </c>
      <c r="F492" s="127" t="n">
        <v>3301900</v>
      </c>
      <c r="G492" s="127" t="n">
        <v>640000</v>
      </c>
      <c r="H492" s="127" t="n">
        <v>1817900</v>
      </c>
      <c r="I492" s="127" t="n">
        <v>198000</v>
      </c>
      <c r="J492" s="127" t="n">
        <v>684000</v>
      </c>
      <c r="K492" s="127" t="n">
        <v>336000</v>
      </c>
      <c r="L492" s="127" t="n">
        <v>40000</v>
      </c>
      <c r="M492" s="127" t="n">
        <v>252000</v>
      </c>
      <c r="N492" s="127" t="n">
        <v>268800</v>
      </c>
      <c r="O492" s="127" t="n">
        <v>60000</v>
      </c>
      <c r="P492" s="127" t="n"/>
      <c r="Q492" s="127" t="n">
        <v>217000</v>
      </c>
      <c r="R492" s="127" t="n">
        <v>84000</v>
      </c>
      <c r="S492" s="127" t="n">
        <v>72800</v>
      </c>
      <c r="T492" s="127" t="n"/>
      <c r="U492" s="127" t="n"/>
      <c r="V492" s="127" t="n">
        <v>18447600</v>
      </c>
    </row>
    <row r="493">
      <c r="C493" s="94" t="inlineStr">
        <is>
          <t>1월7일</t>
        </is>
      </c>
      <c r="D493" s="127" t="n">
        <v>4487000</v>
      </c>
      <c r="E493" s="127" t="n">
        <v>6160000</v>
      </c>
      <c r="F493" s="127" t="n">
        <v>3598700</v>
      </c>
      <c r="G493" s="127" t="n">
        <v>868000</v>
      </c>
      <c r="H493" s="127" t="n">
        <v>1632400</v>
      </c>
      <c r="I493" s="127" t="n">
        <v>594000</v>
      </c>
      <c r="J493" s="127" t="n">
        <v>456000</v>
      </c>
      <c r="K493" s="127" t="n">
        <v>416000</v>
      </c>
      <c r="L493" s="127" t="n">
        <v>130000</v>
      </c>
      <c r="M493" s="127" t="n">
        <v>184000</v>
      </c>
      <c r="N493" s="127" t="n">
        <v>341600</v>
      </c>
      <c r="O493" s="127" t="n">
        <v>95000</v>
      </c>
      <c r="P493" s="127" t="n"/>
      <c r="Q493" s="127" t="n">
        <v>224000</v>
      </c>
      <c r="R493" s="127" t="n">
        <v>96000</v>
      </c>
      <c r="S493" s="127" t="n">
        <v>122200</v>
      </c>
      <c r="T493" s="127" t="n">
        <v>40000</v>
      </c>
      <c r="U493" s="127" t="n"/>
      <c r="V493" s="127" t="n">
        <v>19444900</v>
      </c>
    </row>
    <row r="494">
      <c r="C494" s="94" t="inlineStr">
        <is>
          <t>1월8일</t>
        </is>
      </c>
      <c r="D494" s="127" t="n">
        <v>3414000</v>
      </c>
      <c r="E494" s="127" t="n">
        <v>7072800</v>
      </c>
      <c r="F494" s="127" t="n">
        <v>3450300</v>
      </c>
      <c r="G494" s="127" t="n">
        <v>628000</v>
      </c>
      <c r="H494" s="127" t="n">
        <v>1298500</v>
      </c>
      <c r="I494" s="127" t="n">
        <v>495000</v>
      </c>
      <c r="J494" s="127" t="n">
        <v>380000</v>
      </c>
      <c r="K494" s="127" t="n">
        <v>487000</v>
      </c>
      <c r="L494" s="127" t="n">
        <v>40000</v>
      </c>
      <c r="M494" s="127" t="n">
        <v>196000</v>
      </c>
      <c r="N494" s="127" t="n">
        <v>330400</v>
      </c>
      <c r="O494" s="127" t="n">
        <v>60000</v>
      </c>
      <c r="P494" s="127" t="n"/>
      <c r="Q494" s="127" t="n">
        <v>98000</v>
      </c>
      <c r="R494" s="127" t="n">
        <v>78000</v>
      </c>
      <c r="S494" s="127" t="n">
        <v>161200</v>
      </c>
      <c r="T494" s="127" t="n">
        <v>20000</v>
      </c>
      <c r="U494" s="127" t="n"/>
      <c r="V494" s="127" t="n">
        <v>18209200</v>
      </c>
    </row>
    <row r="495">
      <c r="C495" s="94" t="inlineStr">
        <is>
          <t>1월9일</t>
        </is>
      </c>
      <c r="D495" s="127" t="n">
        <v>4226000</v>
      </c>
      <c r="E495" s="127" t="n">
        <v>6931400</v>
      </c>
      <c r="F495" s="127" t="n">
        <v>2485700</v>
      </c>
      <c r="G495" s="127" t="n">
        <v>904000</v>
      </c>
      <c r="H495" s="127" t="n">
        <v>1446900</v>
      </c>
      <c r="I495" s="127" t="n">
        <v>198000</v>
      </c>
      <c r="J495" s="127" t="n">
        <v>304000</v>
      </c>
      <c r="K495" s="127" t="n">
        <v>385000</v>
      </c>
      <c r="L495" s="127" t="n">
        <v>135000</v>
      </c>
      <c r="M495" s="127" t="n">
        <v>156000</v>
      </c>
      <c r="N495" s="127" t="n">
        <v>240800</v>
      </c>
      <c r="O495" s="127" t="n">
        <v>170000</v>
      </c>
      <c r="P495" s="127" t="n"/>
      <c r="Q495" s="127" t="n">
        <v>175000</v>
      </c>
      <c r="R495" s="127" t="n">
        <v>93000</v>
      </c>
      <c r="S495" s="127" t="n">
        <v>101400</v>
      </c>
      <c r="T495" s="127" t="n">
        <v>84000</v>
      </c>
      <c r="U495" s="127" t="n"/>
      <c r="V495" s="127" t="n">
        <v>18036200</v>
      </c>
    </row>
    <row r="496">
      <c r="C496" s="94" t="inlineStr">
        <is>
          <t>1월10일</t>
        </is>
      </c>
      <c r="D496" s="127" t="n">
        <v>4885000</v>
      </c>
      <c r="E496" s="127" t="n">
        <v>9881200</v>
      </c>
      <c r="F496" s="127" t="n">
        <v>3710000</v>
      </c>
      <c r="G496" s="127" t="n">
        <v>1296000</v>
      </c>
      <c r="H496" s="127" t="n">
        <v>1669500</v>
      </c>
      <c r="I496" s="127" t="n">
        <v>198000</v>
      </c>
      <c r="J496" s="127" t="n">
        <v>570000</v>
      </c>
      <c r="K496" s="127" t="n">
        <v>624000</v>
      </c>
      <c r="L496" s="127" t="n">
        <v>60000</v>
      </c>
      <c r="M496" s="127" t="n">
        <v>220000</v>
      </c>
      <c r="N496" s="127" t="n">
        <v>504000</v>
      </c>
      <c r="O496" s="127" t="n">
        <v>20000</v>
      </c>
      <c r="P496" s="127" t="n"/>
      <c r="Q496" s="127" t="n">
        <v>273000</v>
      </c>
      <c r="R496" s="127" t="n">
        <v>75000</v>
      </c>
      <c r="S496" s="127" t="n">
        <v>124800</v>
      </c>
      <c r="T496" s="127" t="n">
        <v>124000</v>
      </c>
      <c r="U496" s="127" t="n"/>
      <c r="V496" s="127" t="n">
        <v>24234500</v>
      </c>
    </row>
    <row r="497">
      <c r="C497" s="94" t="inlineStr">
        <is>
          <t>1월11일</t>
        </is>
      </c>
      <c r="D497" s="127" t="n">
        <v>4521000</v>
      </c>
      <c r="E497" s="127" t="n">
        <v>15156400</v>
      </c>
      <c r="F497" s="127" t="n">
        <v>4934300</v>
      </c>
      <c r="G497" s="127" t="n">
        <v>1016000</v>
      </c>
      <c r="H497" s="127" t="n">
        <v>2745400</v>
      </c>
      <c r="I497" s="127" t="n">
        <v>297000</v>
      </c>
      <c r="J497" s="127" t="n">
        <v>836000</v>
      </c>
      <c r="K497" s="127" t="n">
        <v>690000</v>
      </c>
      <c r="L497" s="127" t="n">
        <v>80000</v>
      </c>
      <c r="M497" s="127" t="n">
        <v>240000</v>
      </c>
      <c r="N497" s="127" t="n">
        <v>526400</v>
      </c>
      <c r="O497" s="127" t="n">
        <v>180000</v>
      </c>
      <c r="P497" s="127" t="n"/>
      <c r="Q497" s="127" t="n">
        <v>210000</v>
      </c>
      <c r="R497" s="127" t="n">
        <v>75000</v>
      </c>
      <c r="S497" s="127" t="n">
        <v>192400</v>
      </c>
      <c r="T497" s="127" t="n">
        <v>4000</v>
      </c>
      <c r="U497" s="127" t="n"/>
      <c r="V497" s="127" t="n">
        <v>31703900</v>
      </c>
    </row>
    <row r="498">
      <c r="C498" s="94" t="inlineStr">
        <is>
          <t>1월12일</t>
        </is>
      </c>
      <c r="D498" s="127" t="n">
        <v>6346000</v>
      </c>
      <c r="E498" s="127" t="n">
        <v>13064800</v>
      </c>
      <c r="F498" s="127" t="n">
        <v>4563300</v>
      </c>
      <c r="G498" s="127" t="n">
        <v>1364000</v>
      </c>
      <c r="H498" s="127" t="n">
        <v>2522800</v>
      </c>
      <c r="I498" s="127" t="n">
        <v>297000</v>
      </c>
      <c r="J498" s="127" t="n">
        <v>608000</v>
      </c>
      <c r="K498" s="127" t="n">
        <v>639000</v>
      </c>
      <c r="L498" s="127" t="n">
        <v>75000</v>
      </c>
      <c r="M498" s="127" t="n">
        <v>136000</v>
      </c>
      <c r="N498" s="127" t="n">
        <v>520800</v>
      </c>
      <c r="O498" s="127" t="n">
        <v>95000</v>
      </c>
      <c r="P498" s="127" t="n"/>
      <c r="Q498" s="127" t="n">
        <v>105000</v>
      </c>
      <c r="R498" s="127" t="n">
        <v>150000</v>
      </c>
      <c r="S498" s="127" t="n">
        <v>265200</v>
      </c>
      <c r="T498" s="127" t="n">
        <v>64000</v>
      </c>
      <c r="U498" s="127" t="n"/>
      <c r="V498" s="127" t="n">
        <v>30815900</v>
      </c>
    </row>
    <row r="499">
      <c r="C499" s="94" t="inlineStr">
        <is>
          <t>1월13일</t>
        </is>
      </c>
      <c r="D499" s="127" t="n">
        <v>5229000</v>
      </c>
      <c r="E499" s="127" t="n">
        <v>13119400</v>
      </c>
      <c r="F499" s="127" t="n">
        <v>3487400</v>
      </c>
      <c r="G499" s="127" t="n">
        <v>1236000</v>
      </c>
      <c r="H499" s="127" t="n">
        <v>2226000</v>
      </c>
      <c r="I499" s="127" t="n">
        <v>297000</v>
      </c>
      <c r="J499" s="127" t="n">
        <v>608000</v>
      </c>
      <c r="K499" s="127" t="n">
        <v>594000</v>
      </c>
      <c r="L499" s="127" t="n">
        <v>120000</v>
      </c>
      <c r="M499" s="127" t="n">
        <v>320000</v>
      </c>
      <c r="N499" s="127" t="n">
        <v>487200</v>
      </c>
      <c r="O499" s="127" t="n">
        <v>60000</v>
      </c>
      <c r="P499" s="127" t="n"/>
      <c r="Q499" s="127" t="n">
        <v>147000</v>
      </c>
      <c r="R499" s="127" t="n">
        <v>330000</v>
      </c>
      <c r="S499" s="127" t="n">
        <v>208000</v>
      </c>
      <c r="T499" s="127" t="n">
        <v>44000</v>
      </c>
      <c r="U499" s="127" t="n"/>
      <c r="V499" s="127" t="n">
        <v>28513000</v>
      </c>
    </row>
    <row r="500">
      <c r="C500" s="94" t="inlineStr">
        <is>
          <t>1월14일</t>
        </is>
      </c>
      <c r="D500" s="127" t="n">
        <v>4941000</v>
      </c>
      <c r="E500" s="127" t="n">
        <v>11835600</v>
      </c>
      <c r="F500" s="127" t="n">
        <v>3227700</v>
      </c>
      <c r="G500" s="127" t="n">
        <v>1284000</v>
      </c>
      <c r="H500" s="127" t="n">
        <v>2819600</v>
      </c>
      <c r="I500" s="127" t="n">
        <v>198000</v>
      </c>
      <c r="J500" s="127" t="n">
        <v>646000</v>
      </c>
      <c r="K500" s="127" t="n">
        <v>688000</v>
      </c>
      <c r="L500" s="127" t="n">
        <v>80000</v>
      </c>
      <c r="M500" s="127" t="n">
        <v>148000</v>
      </c>
      <c r="N500" s="127" t="n">
        <v>464800</v>
      </c>
      <c r="O500" s="127" t="n">
        <v>40000</v>
      </c>
      <c r="P500" s="127" t="n"/>
      <c r="Q500" s="127" t="n">
        <v>126000</v>
      </c>
      <c r="R500" s="127" t="n">
        <v>246000</v>
      </c>
      <c r="S500" s="127" t="n">
        <v>36400</v>
      </c>
      <c r="T500" s="127" t="n">
        <v>40000</v>
      </c>
      <c r="U500" s="127" t="n"/>
      <c r="V500" s="127" t="n">
        <v>26821100</v>
      </c>
    </row>
    <row r="501">
      <c r="C501" s="94" t="inlineStr">
        <is>
          <t>1월15일</t>
        </is>
      </c>
      <c r="D501" s="127" t="n">
        <v>5022000</v>
      </c>
      <c r="E501" s="127" t="n">
        <v>7477400</v>
      </c>
      <c r="F501" s="127" t="n">
        <v>3153500</v>
      </c>
      <c r="G501" s="127" t="n">
        <v>1276000</v>
      </c>
      <c r="H501" s="127" t="n">
        <v>2003400</v>
      </c>
      <c r="I501" s="127" t="n">
        <v>297000</v>
      </c>
      <c r="J501" s="127" t="n">
        <v>608000</v>
      </c>
      <c r="K501" s="127" t="n">
        <v>527000</v>
      </c>
      <c r="L501" s="127" t="n">
        <v>95000</v>
      </c>
      <c r="M501" s="127" t="n">
        <v>156000</v>
      </c>
      <c r="N501" s="127" t="n">
        <v>565600</v>
      </c>
      <c r="O501" s="127" t="n">
        <v>90000</v>
      </c>
      <c r="P501" s="127" t="n"/>
      <c r="Q501" s="127" t="n">
        <v>189000</v>
      </c>
      <c r="R501" s="127" t="n">
        <v>240000</v>
      </c>
      <c r="S501" s="127" t="n">
        <v>104000</v>
      </c>
      <c r="T501" s="127" t="n">
        <v>84000</v>
      </c>
      <c r="U501" s="127" t="n"/>
      <c r="V501" s="127" t="n">
        <v>21887900</v>
      </c>
    </row>
    <row r="502">
      <c r="C502" s="94" t="inlineStr">
        <is>
          <t>1월16일</t>
        </is>
      </c>
      <c r="D502" s="127" t="n">
        <v>3186000</v>
      </c>
      <c r="E502" s="127" t="n">
        <v>7072800</v>
      </c>
      <c r="F502" s="127" t="n">
        <v>1261400</v>
      </c>
      <c r="G502" s="127" t="n">
        <v>684000</v>
      </c>
      <c r="H502" s="127" t="n">
        <v>1409800</v>
      </c>
      <c r="I502" s="127" t="n">
        <v>297000</v>
      </c>
      <c r="J502" s="127" t="n">
        <v>494000</v>
      </c>
      <c r="K502" s="127" t="n">
        <v>346000</v>
      </c>
      <c r="L502" s="127" t="n">
        <v>75000</v>
      </c>
      <c r="M502" s="127" t="n">
        <v>208000</v>
      </c>
      <c r="N502" s="127" t="n">
        <v>246400</v>
      </c>
      <c r="O502" s="127" t="n">
        <v>90000</v>
      </c>
      <c r="P502" s="127" t="n"/>
      <c r="Q502" s="127" t="n">
        <v>56000</v>
      </c>
      <c r="R502" s="127" t="n">
        <v>129000</v>
      </c>
      <c r="S502" s="127" t="n">
        <v>88400</v>
      </c>
      <c r="T502" s="127" t="n"/>
      <c r="U502" s="127" t="n"/>
      <c r="V502" s="127" t="n">
        <v>15643800</v>
      </c>
    </row>
    <row r="503">
      <c r="C503" s="94" t="inlineStr">
        <is>
          <t>1월17일</t>
        </is>
      </c>
      <c r="D503" s="127" t="n">
        <v>4609000</v>
      </c>
      <c r="E503" s="127" t="n">
        <v>7758800</v>
      </c>
      <c r="F503" s="127" t="n">
        <v>2226000</v>
      </c>
      <c r="G503" s="127" t="n">
        <v>1380000</v>
      </c>
      <c r="H503" s="127" t="n">
        <v>1706600</v>
      </c>
      <c r="I503" s="127" t="n">
        <v>396000</v>
      </c>
      <c r="J503" s="127" t="n">
        <v>494000</v>
      </c>
      <c r="K503" s="127" t="n">
        <v>468000</v>
      </c>
      <c r="L503" s="127" t="n">
        <v>120000</v>
      </c>
      <c r="M503" s="127" t="n">
        <v>228000</v>
      </c>
      <c r="N503" s="127" t="n">
        <v>380800</v>
      </c>
      <c r="O503" s="127" t="n">
        <v>75000</v>
      </c>
      <c r="P503" s="127" t="n"/>
      <c r="Q503" s="127" t="n">
        <v>140000</v>
      </c>
      <c r="R503" s="127" t="n">
        <v>201000</v>
      </c>
      <c r="S503" s="127" t="n">
        <v>104000</v>
      </c>
      <c r="T503" s="127" t="n">
        <v>8000</v>
      </c>
      <c r="U503" s="127" t="n"/>
      <c r="V503" s="127" t="n">
        <v>20295200</v>
      </c>
    </row>
    <row r="504">
      <c r="C504" s="94" t="inlineStr">
        <is>
          <t>1월18일</t>
        </is>
      </c>
      <c r="D504" s="127" t="n">
        <v>6170000</v>
      </c>
      <c r="E504" s="127" t="n">
        <v>5511800</v>
      </c>
      <c r="F504" s="127" t="n">
        <v>2485700</v>
      </c>
      <c r="G504" s="127" t="n">
        <v>1032000</v>
      </c>
      <c r="H504" s="127" t="n">
        <v>2188900</v>
      </c>
      <c r="I504" s="127" t="n">
        <v>594000</v>
      </c>
      <c r="J504" s="127" t="n">
        <v>570000</v>
      </c>
      <c r="K504" s="127" t="n">
        <v>564000</v>
      </c>
      <c r="L504" s="127" t="n">
        <v>40000</v>
      </c>
      <c r="M504" s="127" t="n">
        <v>376000</v>
      </c>
      <c r="N504" s="127" t="n">
        <v>369600</v>
      </c>
      <c r="O504" s="127" t="n">
        <v>95000</v>
      </c>
      <c r="P504" s="127" t="n"/>
      <c r="Q504" s="127" t="n">
        <v>112000</v>
      </c>
      <c r="R504" s="127" t="n">
        <v>228000</v>
      </c>
      <c r="S504" s="127" t="n">
        <v>88400</v>
      </c>
      <c r="T504" s="127" t="n">
        <v>60000</v>
      </c>
      <c r="U504" s="127" t="n"/>
      <c r="V504" s="127" t="n">
        <v>20485400</v>
      </c>
    </row>
    <row r="505">
      <c r="C505" s="94" t="inlineStr">
        <is>
          <t>1월19일</t>
        </is>
      </c>
      <c r="D505" s="127" t="n">
        <v>4473000</v>
      </c>
      <c r="E505" s="127" t="n">
        <v>5100200</v>
      </c>
      <c r="F505" s="127" t="n">
        <v>1113000</v>
      </c>
      <c r="G505" s="127" t="n">
        <v>756000</v>
      </c>
      <c r="H505" s="127" t="n">
        <v>1595300</v>
      </c>
      <c r="I505" s="127" t="n">
        <v>297000</v>
      </c>
      <c r="J505" s="127" t="n">
        <v>418000</v>
      </c>
      <c r="K505" s="127" t="n">
        <v>479000</v>
      </c>
      <c r="L505" s="127" t="n">
        <v>135000</v>
      </c>
      <c r="M505" s="127" t="n">
        <v>72000</v>
      </c>
      <c r="N505" s="127" t="n">
        <v>274400</v>
      </c>
      <c r="O505" s="127" t="n">
        <v>115000</v>
      </c>
      <c r="P505" s="127" t="n"/>
      <c r="Q505" s="127" t="n">
        <v>238000</v>
      </c>
      <c r="R505" s="127" t="n">
        <v>123000</v>
      </c>
      <c r="S505" s="127" t="n">
        <v>122200</v>
      </c>
      <c r="T505" s="127" t="n">
        <v>40000</v>
      </c>
      <c r="U505" s="127" t="n"/>
      <c r="V505" s="127" t="n">
        <v>15351100</v>
      </c>
    </row>
    <row r="506">
      <c r="C506" s="94" t="inlineStr">
        <is>
          <t>1월20일</t>
        </is>
      </c>
      <c r="D506" s="127" t="n">
        <v>6779000</v>
      </c>
      <c r="E506" s="127" t="n">
        <v>5117000</v>
      </c>
      <c r="F506" s="127" t="n">
        <v>1595300</v>
      </c>
      <c r="G506" s="127" t="n">
        <v>5584000</v>
      </c>
      <c r="H506" s="127" t="n">
        <v>2448600</v>
      </c>
      <c r="I506" s="127" t="n">
        <v>198000</v>
      </c>
      <c r="J506" s="127" t="n">
        <v>874000</v>
      </c>
      <c r="K506" s="127" t="n">
        <v>647000</v>
      </c>
      <c r="L506" s="127" t="n">
        <v>100000</v>
      </c>
      <c r="M506" s="127" t="n">
        <v>524000</v>
      </c>
      <c r="N506" s="127" t="n">
        <v>369600</v>
      </c>
      <c r="O506" s="127" t="n">
        <v>110000</v>
      </c>
      <c r="P506" s="127" t="n"/>
      <c r="Q506" s="127" t="n">
        <v>364000</v>
      </c>
      <c r="R506" s="127" t="n">
        <v>285000</v>
      </c>
      <c r="S506" s="127" t="n">
        <v>109200</v>
      </c>
      <c r="T506" s="127" t="n">
        <v>52000</v>
      </c>
      <c r="U506" s="127" t="n"/>
      <c r="V506" s="127" t="n">
        <v>25156700</v>
      </c>
    </row>
    <row r="507">
      <c r="C507" s="94" t="inlineStr">
        <is>
          <t>1월21일</t>
        </is>
      </c>
      <c r="D507" s="127" t="n">
        <v>4490000</v>
      </c>
      <c r="E507" s="127" t="n">
        <v>4848200</v>
      </c>
      <c r="F507" s="127" t="n">
        <v>1558200</v>
      </c>
      <c r="G507" s="127" t="n">
        <v>1676000</v>
      </c>
      <c r="H507" s="127" t="n">
        <v>2040500</v>
      </c>
      <c r="I507" s="127" t="n">
        <v>594000</v>
      </c>
      <c r="J507" s="127" t="n">
        <v>342000</v>
      </c>
      <c r="K507" s="127" t="n">
        <v>490000</v>
      </c>
      <c r="L507" s="127" t="n">
        <v>55000</v>
      </c>
      <c r="M507" s="127" t="n">
        <v>204000</v>
      </c>
      <c r="N507" s="127" t="n">
        <v>313600</v>
      </c>
      <c r="O507" s="127" t="n">
        <v>140000</v>
      </c>
      <c r="P507" s="127" t="n"/>
      <c r="Q507" s="127" t="n">
        <v>266000</v>
      </c>
      <c r="R507" s="127" t="n">
        <v>222000</v>
      </c>
      <c r="S507" s="127" t="n">
        <v>54600</v>
      </c>
      <c r="T507" s="127" t="n">
        <v>68000</v>
      </c>
      <c r="U507" s="127" t="n"/>
      <c r="V507" s="127" t="n">
        <v>17362100</v>
      </c>
    </row>
    <row r="508">
      <c r="C508" s="94" t="inlineStr">
        <is>
          <t>1월22일</t>
        </is>
      </c>
      <c r="D508" s="127" t="n">
        <v>3551000</v>
      </c>
      <c r="E508" s="127" t="n">
        <v>4492600</v>
      </c>
      <c r="F508" s="127" t="n">
        <v>1261400</v>
      </c>
      <c r="G508" s="127" t="n">
        <v>1668000</v>
      </c>
      <c r="H508" s="127" t="n">
        <v>1446900</v>
      </c>
      <c r="I508" s="127" t="n">
        <v>198000</v>
      </c>
      <c r="J508" s="127" t="n">
        <v>266000</v>
      </c>
      <c r="K508" s="127" t="n">
        <v>435000</v>
      </c>
      <c r="L508" s="127" t="n">
        <v>80000</v>
      </c>
      <c r="M508" s="127" t="n">
        <v>352000</v>
      </c>
      <c r="N508" s="127" t="n">
        <v>263200</v>
      </c>
      <c r="O508" s="127" t="n">
        <v>55000</v>
      </c>
      <c r="P508" s="127" t="n"/>
      <c r="Q508" s="127" t="n">
        <v>168000</v>
      </c>
      <c r="R508" s="127" t="n">
        <v>153000</v>
      </c>
      <c r="S508" s="127" t="n">
        <v>72800</v>
      </c>
      <c r="T508" s="127" t="n">
        <v>80000</v>
      </c>
      <c r="U508" s="127" t="n"/>
      <c r="V508" s="127" t="n">
        <v>14542900</v>
      </c>
    </row>
    <row r="509">
      <c r="C509" s="94" t="inlineStr">
        <is>
          <t>1월23일</t>
        </is>
      </c>
      <c r="D509" s="127" t="n">
        <v>3006000</v>
      </c>
      <c r="E509" s="127" t="n">
        <v>4977000</v>
      </c>
      <c r="F509" s="127" t="n">
        <v>1075900</v>
      </c>
      <c r="G509" s="127" t="n">
        <v>920000</v>
      </c>
      <c r="H509" s="127" t="n">
        <v>853300</v>
      </c>
      <c r="I509" s="127" t="n">
        <v>495000</v>
      </c>
      <c r="J509" s="127" t="n">
        <v>494000</v>
      </c>
      <c r="K509" s="127" t="n">
        <v>246000</v>
      </c>
      <c r="L509" s="127" t="n">
        <v>72500</v>
      </c>
      <c r="M509" s="127" t="n">
        <v>136000</v>
      </c>
      <c r="N509" s="127" t="n">
        <v>252000</v>
      </c>
      <c r="O509" s="127" t="n"/>
      <c r="P509" s="127" t="n"/>
      <c r="Q509" s="127" t="n">
        <v>56000</v>
      </c>
      <c r="R509" s="127" t="n">
        <v>78000</v>
      </c>
      <c r="S509" s="127" t="n">
        <v>101400</v>
      </c>
      <c r="T509" s="127" t="n">
        <v>60000</v>
      </c>
      <c r="U509" s="127" t="n"/>
      <c r="V509" s="127" t="n">
        <v>12823100</v>
      </c>
    </row>
    <row r="510">
      <c r="C510" s="94" t="inlineStr">
        <is>
          <t>1월24일</t>
        </is>
      </c>
      <c r="D510" s="127" t="n">
        <v>4734000</v>
      </c>
      <c r="E510" s="127" t="n">
        <v>6673800</v>
      </c>
      <c r="F510" s="127" t="n">
        <v>1335600</v>
      </c>
      <c r="G510" s="127" t="n">
        <v>4548000</v>
      </c>
      <c r="H510" s="127" t="n">
        <v>2300200</v>
      </c>
      <c r="I510" s="127" t="n">
        <v>99000</v>
      </c>
      <c r="J510" s="127" t="n">
        <v>456000</v>
      </c>
      <c r="K510" s="127" t="n">
        <v>511000</v>
      </c>
      <c r="L510" s="127" t="n">
        <v>80000</v>
      </c>
      <c r="M510" s="127" t="n">
        <v>368000</v>
      </c>
      <c r="N510" s="127" t="n">
        <v>498400</v>
      </c>
      <c r="O510" s="127" t="n">
        <v>60000</v>
      </c>
      <c r="P510" s="127" t="n"/>
      <c r="Q510" s="127" t="n">
        <v>196000</v>
      </c>
      <c r="R510" s="127" t="n">
        <v>168000</v>
      </c>
      <c r="S510" s="127" t="n">
        <v>192400</v>
      </c>
      <c r="T510" s="127" t="n">
        <v>24000</v>
      </c>
      <c r="U510" s="127" t="n"/>
      <c r="V510" s="127" t="n">
        <v>22244400</v>
      </c>
    </row>
    <row r="511">
      <c r="C511" s="94" t="inlineStr">
        <is>
          <t>1월25일</t>
        </is>
      </c>
      <c r="D511" s="127" t="n">
        <v>5619000</v>
      </c>
      <c r="E511" s="127" t="n">
        <v>7796600</v>
      </c>
      <c r="F511" s="127" t="n">
        <v>2300200</v>
      </c>
      <c r="G511" s="127" t="n">
        <v>1924000</v>
      </c>
      <c r="H511" s="127" t="n">
        <v>1817900</v>
      </c>
      <c r="I511" s="127" t="n">
        <v>594000</v>
      </c>
      <c r="J511" s="127" t="n">
        <v>570000</v>
      </c>
      <c r="K511" s="127" t="n">
        <v>637000</v>
      </c>
      <c r="L511" s="127" t="n">
        <v>55000</v>
      </c>
      <c r="M511" s="127" t="n">
        <v>344000</v>
      </c>
      <c r="N511" s="127" t="n">
        <v>408800</v>
      </c>
      <c r="O511" s="127" t="n">
        <v>60000</v>
      </c>
      <c r="P511" s="127" t="n"/>
      <c r="Q511" s="127" t="n">
        <v>294000</v>
      </c>
      <c r="R511" s="127" t="n">
        <v>219000</v>
      </c>
      <c r="S511" s="127" t="n">
        <v>18200</v>
      </c>
      <c r="T511" s="127" t="n">
        <v>20000</v>
      </c>
      <c r="U511" s="127" t="n"/>
      <c r="V511" s="127" t="n">
        <v>22677700</v>
      </c>
    </row>
    <row r="512">
      <c r="C512" s="94" t="inlineStr">
        <is>
          <t>1월26일</t>
        </is>
      </c>
      <c r="D512" s="127" t="n">
        <v>5155000</v>
      </c>
      <c r="E512" s="127" t="n">
        <v>9398200</v>
      </c>
      <c r="F512" s="127" t="n">
        <v>2411500</v>
      </c>
      <c r="G512" s="127" t="n">
        <v>1256000</v>
      </c>
      <c r="H512" s="127" t="n">
        <v>1521100</v>
      </c>
      <c r="I512" s="127" t="n">
        <v>396000</v>
      </c>
      <c r="J512" s="127" t="n">
        <v>608000</v>
      </c>
      <c r="K512" s="127" t="n">
        <v>588000</v>
      </c>
      <c r="L512" s="127" t="n">
        <v>90000</v>
      </c>
      <c r="M512" s="127" t="n">
        <v>436000</v>
      </c>
      <c r="N512" s="127" t="n">
        <v>498400</v>
      </c>
      <c r="O512" s="127" t="n">
        <v>170000</v>
      </c>
      <c r="P512" s="127" t="n"/>
      <c r="Q512" s="127" t="n">
        <v>308000</v>
      </c>
      <c r="R512" s="127" t="n">
        <v>234000</v>
      </c>
      <c r="S512" s="127" t="n">
        <v>228800</v>
      </c>
      <c r="T512" s="127" t="n">
        <v>40000</v>
      </c>
      <c r="U512" s="127" t="n"/>
      <c r="V512" s="127" t="n">
        <v>23339000</v>
      </c>
    </row>
    <row r="513">
      <c r="C513" s="94" t="inlineStr">
        <is>
          <t>1월27일</t>
        </is>
      </c>
      <c r="D513" s="127" t="n">
        <v>6532000</v>
      </c>
      <c r="E513" s="127" t="n">
        <v>8675800</v>
      </c>
      <c r="F513" s="127" t="n">
        <v>2485700</v>
      </c>
      <c r="G513" s="127" t="n">
        <v>1524000</v>
      </c>
      <c r="H513" s="127" t="n">
        <v>2411500</v>
      </c>
      <c r="I513" s="127" t="n">
        <v>297000</v>
      </c>
      <c r="J513" s="127" t="n">
        <v>570000</v>
      </c>
      <c r="K513" s="127" t="n">
        <v>367000</v>
      </c>
      <c r="L513" s="127" t="n">
        <v>70000</v>
      </c>
      <c r="M513" s="127" t="n">
        <v>276000</v>
      </c>
      <c r="N513" s="127" t="n">
        <v>291200</v>
      </c>
      <c r="O513" s="127" t="n">
        <v>205000</v>
      </c>
      <c r="P513" s="127" t="n"/>
      <c r="Q513" s="127" t="n">
        <v>224000</v>
      </c>
      <c r="R513" s="127" t="n">
        <v>261000</v>
      </c>
      <c r="S513" s="127" t="n">
        <v>137800</v>
      </c>
      <c r="T513" s="127" t="n">
        <v>4000</v>
      </c>
      <c r="U513" s="127" t="n"/>
      <c r="V513" s="127" t="n">
        <v>24332000</v>
      </c>
    </row>
    <row r="514">
      <c r="C514" s="94" t="inlineStr">
        <is>
          <t>1월28일</t>
        </is>
      </c>
      <c r="D514" s="127" t="n">
        <v>7420000</v>
      </c>
      <c r="E514" s="127" t="n">
        <v>8582000</v>
      </c>
      <c r="F514" s="127" t="n">
        <v>2745400</v>
      </c>
      <c r="G514" s="127" t="n">
        <v>1316000</v>
      </c>
      <c r="H514" s="127" t="n">
        <v>2300200</v>
      </c>
      <c r="I514" s="127" t="n">
        <v>495000</v>
      </c>
      <c r="J514" s="127" t="n">
        <v>722000</v>
      </c>
      <c r="K514" s="127" t="n">
        <v>707000</v>
      </c>
      <c r="L514" s="127" t="n">
        <v>60000</v>
      </c>
      <c r="M514" s="127" t="n">
        <v>268000</v>
      </c>
      <c r="N514" s="127" t="n">
        <v>302400</v>
      </c>
      <c r="O514" s="127" t="n">
        <v>115000</v>
      </c>
      <c r="P514" s="127" t="n"/>
      <c r="Q514" s="127" t="n">
        <v>294000</v>
      </c>
      <c r="R514" s="127" t="n">
        <v>369000</v>
      </c>
      <c r="S514" s="127" t="n">
        <v>124800</v>
      </c>
      <c r="T514" s="127" t="n">
        <v>20000</v>
      </c>
      <c r="U514" s="127" t="n"/>
      <c r="V514" s="127" t="n">
        <v>25840800</v>
      </c>
    </row>
    <row r="515">
      <c r="C515" s="94" t="inlineStr">
        <is>
          <t>1월29일</t>
        </is>
      </c>
      <c r="D515" s="127" t="n">
        <v>7576000</v>
      </c>
      <c r="E515" s="127" t="n">
        <v>6046600</v>
      </c>
      <c r="F515" s="127" t="n">
        <v>2263100</v>
      </c>
      <c r="G515" s="127" t="n">
        <v>1348000</v>
      </c>
      <c r="H515" s="127" t="n">
        <v>2226000</v>
      </c>
      <c r="I515" s="127" t="n">
        <v>495000</v>
      </c>
      <c r="J515" s="127" t="n">
        <v>760000</v>
      </c>
      <c r="K515" s="127" t="n">
        <v>624000</v>
      </c>
      <c r="L515" s="127" t="n">
        <v>152500</v>
      </c>
      <c r="M515" s="127" t="n">
        <v>392000</v>
      </c>
      <c r="N515" s="127" t="n">
        <v>341600</v>
      </c>
      <c r="O515" s="127" t="n">
        <v>60000</v>
      </c>
      <c r="P515" s="127" t="n"/>
      <c r="Q515" s="127" t="n">
        <v>406000</v>
      </c>
      <c r="R515" s="127" t="n">
        <v>342000</v>
      </c>
      <c r="S515" s="127" t="n">
        <v>72800</v>
      </c>
      <c r="T515" s="127" t="n">
        <v>60000</v>
      </c>
      <c r="U515" s="127" t="n"/>
      <c r="V515" s="127" t="n">
        <v>23165600</v>
      </c>
    </row>
    <row r="516">
      <c r="C516" s="94" t="inlineStr">
        <is>
          <t>1월30일</t>
        </is>
      </c>
      <c r="D516" s="127" t="n">
        <v>8381000</v>
      </c>
      <c r="E516" s="127" t="n">
        <v>7758800</v>
      </c>
      <c r="F516" s="127" t="n">
        <v>2597000</v>
      </c>
      <c r="G516" s="127" t="n">
        <v>1496000</v>
      </c>
      <c r="H516" s="127" t="n">
        <v>2930900</v>
      </c>
      <c r="I516" s="127" t="n">
        <v>396000</v>
      </c>
      <c r="J516" s="127" t="n">
        <v>1140000</v>
      </c>
      <c r="K516" s="127" t="n">
        <v>685000</v>
      </c>
      <c r="L516" s="127" t="n">
        <v>60000</v>
      </c>
      <c r="M516" s="127" t="n">
        <v>152000</v>
      </c>
      <c r="N516" s="127" t="n">
        <v>498400</v>
      </c>
      <c r="O516" s="127" t="n">
        <v>75000</v>
      </c>
      <c r="P516" s="127" t="n"/>
      <c r="Q516" s="127" t="n">
        <v>252000</v>
      </c>
      <c r="R516" s="127" t="n">
        <v>372000</v>
      </c>
      <c r="S516" s="127" t="n">
        <v>122200</v>
      </c>
      <c r="T516" s="127" t="n"/>
      <c r="U516" s="127" t="n"/>
      <c r="V516" s="127" t="n">
        <v>26916300</v>
      </c>
    </row>
    <row r="517">
      <c r="C517" s="94" t="inlineStr">
        <is>
          <t>1월31일</t>
        </is>
      </c>
      <c r="D517" s="127" t="n">
        <v>6741000</v>
      </c>
      <c r="E517" s="127" t="n">
        <v>7481600</v>
      </c>
      <c r="F517" s="127" t="n">
        <v>2003400</v>
      </c>
      <c r="G517" s="127" t="n">
        <v>1296000</v>
      </c>
      <c r="H517" s="127" t="n">
        <v>3116400</v>
      </c>
      <c r="I517" s="127" t="n">
        <v>594000</v>
      </c>
      <c r="J517" s="127" t="n">
        <v>570000</v>
      </c>
      <c r="K517" s="127" t="n">
        <v>495000</v>
      </c>
      <c r="L517" s="127" t="n">
        <v>1832500</v>
      </c>
      <c r="M517" s="127" t="n">
        <v>204000</v>
      </c>
      <c r="N517" s="127" t="n">
        <v>308000</v>
      </c>
      <c r="O517" s="127" t="n">
        <v>120000</v>
      </c>
      <c r="P517" s="127" t="n"/>
      <c r="Q517" s="127" t="n">
        <v>84000</v>
      </c>
      <c r="R517" s="127" t="n">
        <v>234000</v>
      </c>
      <c r="S517" s="127" t="n">
        <v>36400</v>
      </c>
      <c r="T517" s="127" t="n">
        <v>56000</v>
      </c>
      <c r="U517" s="127" t="n"/>
      <c r="V517" s="127" t="n">
        <v>25172300</v>
      </c>
    </row>
    <row r="518">
      <c r="B518" s="94" t="inlineStr">
        <is>
          <t>1월 요약</t>
        </is>
      </c>
      <c r="C518" s="94" t="n"/>
      <c r="D518" s="127" t="n">
        <v>153184000</v>
      </c>
      <c r="E518" s="127" t="n">
        <v>259540400</v>
      </c>
      <c r="F518" s="127" t="n">
        <v>89744900</v>
      </c>
      <c r="G518" s="127" t="n">
        <v>44808000</v>
      </c>
      <c r="H518" s="127" t="n">
        <v>59990700</v>
      </c>
      <c r="I518" s="127" t="n">
        <v>10593000</v>
      </c>
      <c r="J518" s="127" t="n">
        <v>17176000</v>
      </c>
      <c r="K518" s="127" t="n">
        <v>16108000</v>
      </c>
      <c r="L518" s="127" t="n">
        <v>4442500</v>
      </c>
      <c r="M518" s="127" t="n">
        <v>7200000</v>
      </c>
      <c r="N518" s="127" t="n">
        <v>12028800</v>
      </c>
      <c r="O518" s="127" t="n">
        <v>2960000</v>
      </c>
      <c r="P518" s="127" t="n"/>
      <c r="Q518" s="127" t="n">
        <v>6335000</v>
      </c>
      <c r="R518" s="127" t="n">
        <v>5805000</v>
      </c>
      <c r="S518" s="127" t="n">
        <v>3798600</v>
      </c>
      <c r="T518" s="127" t="n">
        <v>1464000</v>
      </c>
      <c r="U518" s="127" t="n"/>
      <c r="V518" s="127" t="n">
        <v>695178900</v>
      </c>
    </row>
    <row r="519">
      <c r="B519" s="94" t="inlineStr">
        <is>
          <t>2월</t>
        </is>
      </c>
      <c r="C519" s="94" t="inlineStr">
        <is>
          <t>2월1일</t>
        </is>
      </c>
      <c r="D519" s="127" t="n">
        <v>9156000</v>
      </c>
      <c r="E519" s="127" t="n">
        <v>11659200</v>
      </c>
      <c r="F519" s="127" t="n">
        <v>3190600</v>
      </c>
      <c r="G519" s="127" t="n">
        <v>1984000</v>
      </c>
      <c r="H519" s="127" t="n">
        <v>3932600</v>
      </c>
      <c r="I519" s="127" t="n">
        <v>495000</v>
      </c>
      <c r="J519" s="127" t="n">
        <v>836000</v>
      </c>
      <c r="K519" s="127" t="n">
        <v>844000</v>
      </c>
      <c r="L519" s="127" t="n">
        <v>2817500</v>
      </c>
      <c r="M519" s="127" t="n">
        <v>564000</v>
      </c>
      <c r="N519" s="127" t="n">
        <v>638400</v>
      </c>
      <c r="O519" s="127" t="n">
        <v>230000</v>
      </c>
      <c r="P519" s="127" t="n"/>
      <c r="Q519" s="127" t="n">
        <v>455000</v>
      </c>
      <c r="R519" s="127" t="n">
        <v>408000</v>
      </c>
      <c r="S519" s="127" t="n">
        <v>210600</v>
      </c>
      <c r="T519" s="127" t="n">
        <v>88000</v>
      </c>
      <c r="U519" s="127" t="n"/>
      <c r="V519" s="127" t="n">
        <v>37508900</v>
      </c>
    </row>
    <row r="520">
      <c r="C520" s="94" t="inlineStr">
        <is>
          <t>2월2일</t>
        </is>
      </c>
      <c r="D520" s="127" t="n">
        <v>6326000</v>
      </c>
      <c r="E520" s="127" t="n">
        <v>8044400</v>
      </c>
      <c r="F520" s="127" t="n">
        <v>2337300</v>
      </c>
      <c r="G520" s="127" t="n">
        <v>1164000</v>
      </c>
      <c r="H520" s="127" t="n">
        <v>2337300</v>
      </c>
      <c r="I520" s="127" t="n">
        <v>99000</v>
      </c>
      <c r="J520" s="127" t="n">
        <v>760000</v>
      </c>
      <c r="K520" s="127" t="n">
        <v>682000</v>
      </c>
      <c r="L520" s="127" t="n">
        <v>1095000</v>
      </c>
      <c r="M520" s="127" t="n">
        <v>296000</v>
      </c>
      <c r="N520" s="127" t="n">
        <v>324800</v>
      </c>
      <c r="O520" s="127" t="n">
        <v>100000</v>
      </c>
      <c r="P520" s="127" t="n"/>
      <c r="Q520" s="127" t="n">
        <v>322000</v>
      </c>
      <c r="R520" s="127" t="n">
        <v>279000</v>
      </c>
      <c r="S520" s="127" t="n">
        <v>106600</v>
      </c>
      <c r="T520" s="127" t="n">
        <v>24000</v>
      </c>
      <c r="U520" s="127" t="n"/>
      <c r="V520" s="127" t="n">
        <v>24297400</v>
      </c>
    </row>
    <row r="521">
      <c r="C521" s="94" t="inlineStr">
        <is>
          <t>2월3일</t>
        </is>
      </c>
      <c r="D521" s="127" t="n">
        <v>5371000</v>
      </c>
      <c r="E521" s="127" t="n">
        <v>6979000</v>
      </c>
      <c r="F521" s="127" t="n">
        <v>1966300</v>
      </c>
      <c r="G521" s="127" t="n">
        <v>1100000</v>
      </c>
      <c r="H521" s="127" t="n">
        <v>2411500</v>
      </c>
      <c r="I521" s="127" t="n">
        <v>99000</v>
      </c>
      <c r="J521" s="127" t="n">
        <v>456000</v>
      </c>
      <c r="K521" s="127" t="n">
        <v>536000</v>
      </c>
      <c r="L521" s="127" t="n">
        <v>600000</v>
      </c>
      <c r="M521" s="127" t="n">
        <v>224000</v>
      </c>
      <c r="N521" s="127" t="n">
        <v>358400</v>
      </c>
      <c r="O521" s="127" t="n">
        <v>75000</v>
      </c>
      <c r="P521" s="127" t="n"/>
      <c r="Q521" s="127" t="n">
        <v>182000</v>
      </c>
      <c r="R521" s="127" t="n">
        <v>216000</v>
      </c>
      <c r="S521" s="127" t="n">
        <v>36400</v>
      </c>
      <c r="T521" s="127" t="n">
        <v>24000</v>
      </c>
      <c r="U521" s="127" t="n"/>
      <c r="V521" s="127" t="n">
        <v>20634600</v>
      </c>
    </row>
    <row r="522">
      <c r="C522" s="94" t="inlineStr">
        <is>
          <t>2월4일</t>
        </is>
      </c>
      <c r="D522" s="127" t="n">
        <v>4367000</v>
      </c>
      <c r="E522" s="127" t="n">
        <v>9073400</v>
      </c>
      <c r="F522" s="127" t="n">
        <v>2077600</v>
      </c>
      <c r="G522" s="127" t="n">
        <v>860000</v>
      </c>
      <c r="H522" s="127" t="n">
        <v>2040500</v>
      </c>
      <c r="I522" s="127" t="n">
        <v>99000</v>
      </c>
      <c r="J522" s="127" t="n">
        <v>342000</v>
      </c>
      <c r="K522" s="127" t="n">
        <v>495000</v>
      </c>
      <c r="L522" s="127" t="n">
        <v>737500</v>
      </c>
      <c r="M522" s="127" t="n">
        <v>164000</v>
      </c>
      <c r="N522" s="127" t="n">
        <v>431200</v>
      </c>
      <c r="O522" s="127" t="n">
        <v>60000</v>
      </c>
      <c r="P522" s="127" t="n"/>
      <c r="Q522" s="127" t="n">
        <v>196000</v>
      </c>
      <c r="R522" s="127" t="n">
        <v>159000</v>
      </c>
      <c r="S522" s="127" t="n">
        <v>70200</v>
      </c>
      <c r="T522" s="127" t="n">
        <v>52000</v>
      </c>
      <c r="U522" s="127" t="n"/>
      <c r="V522" s="127" t="n">
        <v>21224400</v>
      </c>
    </row>
    <row r="523">
      <c r="C523" s="94" t="inlineStr">
        <is>
          <t>2월5일</t>
        </is>
      </c>
      <c r="D523" s="127" t="n">
        <v>2592000</v>
      </c>
      <c r="E523" s="127" t="n">
        <v>5955600</v>
      </c>
      <c r="F523" s="127" t="n">
        <v>1743700</v>
      </c>
      <c r="G523" s="127" t="n">
        <v>892000</v>
      </c>
      <c r="H523" s="127" t="n">
        <v>1521100</v>
      </c>
      <c r="I523" s="127" t="n"/>
      <c r="J523" s="127" t="n">
        <v>532000</v>
      </c>
      <c r="K523" s="127" t="n">
        <v>389000</v>
      </c>
      <c r="L523" s="127" t="n">
        <v>590000</v>
      </c>
      <c r="M523" s="127" t="n">
        <v>232000</v>
      </c>
      <c r="N523" s="127" t="n">
        <v>386400</v>
      </c>
      <c r="O523" s="127" t="n">
        <v>120000</v>
      </c>
      <c r="P523" s="127" t="n"/>
      <c r="Q523" s="127" t="n">
        <v>196000</v>
      </c>
      <c r="R523" s="127" t="n">
        <v>90000</v>
      </c>
      <c r="S523" s="127" t="n">
        <v>54600</v>
      </c>
      <c r="T523" s="127" t="n">
        <v>96000</v>
      </c>
      <c r="U523" s="127" t="n"/>
      <c r="V523" s="127" t="n">
        <v>15390400</v>
      </c>
    </row>
    <row r="524">
      <c r="C524" s="94" t="inlineStr">
        <is>
          <t>2월6일</t>
        </is>
      </c>
      <c r="D524" s="127" t="n">
        <v>2022000</v>
      </c>
      <c r="E524" s="127" t="n">
        <v>5093200</v>
      </c>
      <c r="F524" s="127" t="n">
        <v>1261400</v>
      </c>
      <c r="G524" s="127" t="n">
        <v>764000</v>
      </c>
      <c r="H524" s="127" t="n">
        <v>1261400</v>
      </c>
      <c r="I524" s="127" t="n"/>
      <c r="J524" s="127" t="n">
        <v>114000</v>
      </c>
      <c r="K524" s="127" t="n">
        <v>296000</v>
      </c>
      <c r="L524" s="127" t="n">
        <v>335000</v>
      </c>
      <c r="M524" s="127" t="n">
        <v>140000</v>
      </c>
      <c r="N524" s="127" t="n">
        <v>196000</v>
      </c>
      <c r="O524" s="127" t="n">
        <v>55000</v>
      </c>
      <c r="P524" s="127" t="n"/>
      <c r="Q524" s="127" t="n">
        <v>84000</v>
      </c>
      <c r="R524" s="127" t="n">
        <v>81000</v>
      </c>
      <c r="S524" s="127" t="n">
        <v>91000</v>
      </c>
      <c r="T524" s="127" t="n">
        <v>20000</v>
      </c>
      <c r="U524" s="127" t="n"/>
      <c r="V524" s="127" t="n">
        <v>11814000</v>
      </c>
    </row>
    <row r="525">
      <c r="C525" s="94" t="inlineStr">
        <is>
          <t>2월7일</t>
        </is>
      </c>
      <c r="D525" s="127" t="n">
        <v>3072000</v>
      </c>
      <c r="E525" s="127" t="n">
        <v>5147800</v>
      </c>
      <c r="F525" s="127" t="n">
        <v>1632400</v>
      </c>
      <c r="G525" s="127" t="n">
        <v>1000000</v>
      </c>
      <c r="H525" s="127" t="n">
        <v>1521100</v>
      </c>
      <c r="I525" s="127" t="n">
        <v>198000</v>
      </c>
      <c r="J525" s="127" t="n">
        <v>380000</v>
      </c>
      <c r="K525" s="127" t="n">
        <v>277000</v>
      </c>
      <c r="L525" s="127" t="n">
        <v>345000</v>
      </c>
      <c r="M525" s="127" t="n">
        <v>108000</v>
      </c>
      <c r="N525" s="127" t="n">
        <v>252000</v>
      </c>
      <c r="O525" s="127" t="n">
        <v>90000</v>
      </c>
      <c r="P525" s="127" t="n"/>
      <c r="Q525" s="127" t="n">
        <v>77000</v>
      </c>
      <c r="R525" s="127" t="n">
        <v>135000</v>
      </c>
      <c r="S525" s="127" t="n">
        <v>52000</v>
      </c>
      <c r="T525" s="127" t="n">
        <v>84000</v>
      </c>
      <c r="U525" s="127" t="n"/>
      <c r="V525" s="127" t="n">
        <v>14371300</v>
      </c>
    </row>
    <row r="526">
      <c r="C526" s="94" t="inlineStr">
        <is>
          <t>2월8일</t>
        </is>
      </c>
      <c r="D526" s="127" t="n">
        <v>2385000</v>
      </c>
      <c r="E526" s="127" t="n">
        <v>5861800</v>
      </c>
      <c r="F526" s="127" t="n">
        <v>1075900</v>
      </c>
      <c r="G526" s="127" t="n">
        <v>1196000</v>
      </c>
      <c r="H526" s="127" t="n">
        <v>1372700</v>
      </c>
      <c r="I526" s="127" t="n">
        <v>99000</v>
      </c>
      <c r="J526" s="127" t="n">
        <v>646000</v>
      </c>
      <c r="K526" s="127" t="n">
        <v>349000</v>
      </c>
      <c r="L526" s="127" t="n">
        <v>540000</v>
      </c>
      <c r="M526" s="127" t="n">
        <v>120000</v>
      </c>
      <c r="N526" s="127" t="n">
        <v>352800</v>
      </c>
      <c r="O526" s="127" t="n">
        <v>150000</v>
      </c>
      <c r="P526" s="127" t="n"/>
      <c r="Q526" s="127" t="n">
        <v>280000</v>
      </c>
      <c r="R526" s="127" t="n">
        <v>99000</v>
      </c>
      <c r="S526" s="127" t="n">
        <v>91000</v>
      </c>
      <c r="T526" s="127" t="n">
        <v>64000</v>
      </c>
      <c r="U526" s="127" t="n"/>
      <c r="V526" s="127" t="n">
        <v>14682200</v>
      </c>
    </row>
    <row r="527">
      <c r="B527" s="94" t="inlineStr">
        <is>
          <t>2월 요약</t>
        </is>
      </c>
      <c r="C527" s="94" t="n"/>
      <c r="D527" s="127" t="n">
        <v>35291000</v>
      </c>
      <c r="E527" s="127" t="n">
        <v>57814400</v>
      </c>
      <c r="F527" s="127" t="n">
        <v>15285200</v>
      </c>
      <c r="G527" s="127" t="n">
        <v>8960000</v>
      </c>
      <c r="H527" s="127" t="n">
        <v>16398200</v>
      </c>
      <c r="I527" s="127" t="n">
        <v>1089000</v>
      </c>
      <c r="J527" s="127" t="n">
        <v>4066000</v>
      </c>
      <c r="K527" s="127" t="n">
        <v>3868000</v>
      </c>
      <c r="L527" s="127" t="n">
        <v>7060000</v>
      </c>
      <c r="M527" s="127" t="n">
        <v>1848000</v>
      </c>
      <c r="N527" s="127" t="n">
        <v>2940000</v>
      </c>
      <c r="O527" s="127" t="n">
        <v>880000</v>
      </c>
      <c r="P527" s="127" t="n"/>
      <c r="Q527" s="127" t="n">
        <v>1792000</v>
      </c>
      <c r="R527" s="127" t="n">
        <v>1467000</v>
      </c>
      <c r="S527" s="127" t="n">
        <v>712400</v>
      </c>
      <c r="T527" s="127" t="n">
        <v>452000</v>
      </c>
      <c r="U527" s="127" t="n"/>
      <c r="V527" s="127" t="n">
        <v>159923200</v>
      </c>
    </row>
    <row r="528">
      <c r="A528" s="94" t="inlineStr">
        <is>
          <t>2021년 요약</t>
        </is>
      </c>
      <c r="B528" s="94" t="n"/>
      <c r="C528" s="94" t="n"/>
      <c r="D528" s="127" t="n">
        <v>188475000</v>
      </c>
      <c r="E528" s="127" t="n">
        <v>317354800</v>
      </c>
      <c r="F528" s="127" t="n">
        <v>105030100</v>
      </c>
      <c r="G528" s="127" t="n">
        <v>53768000</v>
      </c>
      <c r="H528" s="127" t="n">
        <v>76388900</v>
      </c>
      <c r="I528" s="127" t="n">
        <v>11682000</v>
      </c>
      <c r="J528" s="127" t="n">
        <v>21242000</v>
      </c>
      <c r="K528" s="127" t="n">
        <v>19976000</v>
      </c>
      <c r="L528" s="127" t="n">
        <v>11502500</v>
      </c>
      <c r="M528" s="127" t="n">
        <v>9048000</v>
      </c>
      <c r="N528" s="127" t="n">
        <v>14968800</v>
      </c>
      <c r="O528" s="127" t="n">
        <v>3840000</v>
      </c>
      <c r="P528" s="127" t="n"/>
      <c r="Q528" s="127" t="n">
        <v>8127000</v>
      </c>
      <c r="R528" s="127" t="n">
        <v>7272000</v>
      </c>
      <c r="S528" s="127" t="n">
        <v>4511000</v>
      </c>
      <c r="T528" s="127" t="n">
        <v>1916000</v>
      </c>
      <c r="U528" s="127" t="n"/>
      <c r="V528" s="127" t="n">
        <v>855102100</v>
      </c>
    </row>
    <row r="529">
      <c r="A529" s="94" t="inlineStr">
        <is>
          <t>총합계</t>
        </is>
      </c>
      <c r="D529" s="127" t="n">
        <v>2261100000</v>
      </c>
      <c r="E529" s="127" t="n">
        <v>638472400</v>
      </c>
      <c r="F529" s="127" t="n">
        <v>261221100</v>
      </c>
      <c r="G529" s="127" t="n">
        <v>226639000</v>
      </c>
      <c r="H529" s="127" t="n">
        <v>176360100</v>
      </c>
      <c r="I529" s="127" t="n">
        <v>106821000</v>
      </c>
      <c r="J529" s="127" t="n">
        <v>93183600</v>
      </c>
      <c r="K529" s="127" t="n">
        <v>82690000</v>
      </c>
      <c r="L529" s="127" t="n">
        <v>75067500</v>
      </c>
      <c r="M529" s="127" t="n">
        <v>47412000</v>
      </c>
      <c r="N529" s="127" t="n">
        <v>32116000</v>
      </c>
      <c r="O529" s="127" t="n">
        <v>30080000</v>
      </c>
      <c r="P529" s="127" t="n">
        <v>26295000</v>
      </c>
      <c r="Q529" s="127" t="n">
        <v>14749000</v>
      </c>
      <c r="R529" s="127" t="n">
        <v>12216000</v>
      </c>
      <c r="S529" s="127" t="n">
        <v>10488400</v>
      </c>
      <c r="T529" s="127" t="n">
        <v>4150000</v>
      </c>
      <c r="U529" s="127" t="n">
        <v>1540000</v>
      </c>
      <c r="V529" s="127" t="n">
        <v>4100601100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4:H1048576"/>
  <sheetViews>
    <sheetView workbookViewId="0">
      <selection activeCell="E3" sqref="E1:E1048576"/>
    </sheetView>
  </sheetViews>
  <sheetFormatPr baseColWidth="8" defaultRowHeight="17.4"/>
  <cols>
    <col width="11.09765625" bestFit="1" customWidth="1" style="93" min="2" max="2"/>
    <col width="13" bestFit="1" customWidth="1" style="93" min="3" max="3"/>
    <col width="9" bestFit="1" customWidth="1" style="93" min="4" max="4"/>
    <col width="24.8984375" bestFit="1" customWidth="1" style="94" min="5" max="5"/>
    <col width="26.59765625" customWidth="1" style="94" min="6" max="6"/>
    <col width="24.3984375" bestFit="1" customWidth="1" style="93" min="7" max="7"/>
    <col width="23.296875" bestFit="1" customWidth="1" style="93" min="8" max="8"/>
  </cols>
  <sheetData>
    <row r="4">
      <c r="G4" s="1" t="inlineStr">
        <is>
          <t>일자</t>
        </is>
      </c>
      <c r="H4" s="94" t="inlineStr">
        <is>
          <t>(모두)</t>
        </is>
      </c>
    </row>
    <row r="5">
      <c r="G5" s="94" t="n"/>
      <c r="H5" s="94" t="n"/>
    </row>
    <row r="6">
      <c r="G6" s="1" t="inlineStr">
        <is>
          <t>미디어</t>
        </is>
      </c>
      <c r="H6" s="94" t="inlineStr">
        <is>
          <t>합계 : 광고비(VAT미포함)</t>
        </is>
      </c>
    </row>
    <row r="7">
      <c r="G7" s="94" t="inlineStr">
        <is>
          <t xml:space="preserve">　</t>
        </is>
      </c>
      <c r="H7" s="127" t="n"/>
    </row>
    <row r="8">
      <c r="G8" s="94" t="inlineStr">
        <is>
          <t>SMS</t>
        </is>
      </c>
      <c r="H8" s="127" t="n">
        <v>78210</v>
      </c>
    </row>
    <row r="9">
      <c r="D9" s="129" t="n"/>
      <c r="E9" s="129" t="n"/>
      <c r="F9" s="129" t="n"/>
      <c r="G9" s="94" t="inlineStr">
        <is>
          <t>기획사이다</t>
        </is>
      </c>
      <c r="H9" s="127" t="n">
        <v>59146818.09090909</v>
      </c>
    </row>
    <row r="10">
      <c r="B10" s="1" t="inlineStr">
        <is>
          <t>미디어</t>
        </is>
      </c>
      <c r="C10" s="94" t="inlineStr">
        <is>
          <t>(다중 항목)</t>
        </is>
      </c>
      <c r="D10" s="129" t="n"/>
      <c r="E10" s="129" t="n"/>
      <c r="F10" s="129" t="n"/>
      <c r="G10" s="94" t="inlineStr">
        <is>
          <t>네이버 GFA</t>
        </is>
      </c>
      <c r="H10" s="127" t="n">
        <v>326674482.6694217</v>
      </c>
    </row>
    <row r="11">
      <c r="B11" s="94" t="n"/>
      <c r="C11" s="94" t="n"/>
      <c r="D11" s="129" t="n"/>
      <c r="E11" s="129" t="n"/>
      <c r="F11" s="129" t="n"/>
      <c r="G11" s="94" t="inlineStr">
        <is>
          <t>네이버 무상캐시</t>
        </is>
      </c>
      <c r="H11" s="127" t="n">
        <v>-6660</v>
      </c>
    </row>
    <row r="12">
      <c r="B12" s="1" t="inlineStr">
        <is>
          <t>연</t>
        </is>
      </c>
      <c r="C12" s="1" t="inlineStr">
        <is>
          <t>월</t>
        </is>
      </c>
      <c r="D12" s="1" t="inlineStr">
        <is>
          <t>일자</t>
        </is>
      </c>
      <c r="E12" s="94" t="inlineStr">
        <is>
          <t>합계 : 광고비(VAT미포함)</t>
        </is>
      </c>
      <c r="G12" s="94" t="inlineStr">
        <is>
          <t>네이버 브랜드검색</t>
        </is>
      </c>
      <c r="H12" s="127" t="n">
        <v>21040000</v>
      </c>
    </row>
    <row r="13">
      <c r="B13" s="94" t="inlineStr">
        <is>
          <t>2019년</t>
        </is>
      </c>
      <c r="C13" s="94" t="inlineStr">
        <is>
          <t>10월</t>
        </is>
      </c>
      <c r="D13" s="94" t="inlineStr">
        <is>
          <t>10월10일</t>
        </is>
      </c>
      <c r="E13" s="127" t="n">
        <v>2500000</v>
      </c>
      <c r="F13" s="127" t="n"/>
      <c r="G13" s="94" t="inlineStr">
        <is>
          <t>네이버 쇼핑검색</t>
        </is>
      </c>
      <c r="H13" s="127" t="n">
        <v>14676128</v>
      </c>
    </row>
    <row r="14">
      <c r="B14" s="94" t="inlineStr">
        <is>
          <t>2019년</t>
        </is>
      </c>
      <c r="C14" s="94" t="inlineStr">
        <is>
          <t>11월</t>
        </is>
      </c>
      <c r="D14" s="94" t="inlineStr">
        <is>
          <t>11월5일</t>
        </is>
      </c>
      <c r="E14" s="127" t="n">
        <v>6000000</v>
      </c>
      <c r="F14" s="127" t="n"/>
      <c r="G14" s="94" t="inlineStr">
        <is>
          <t>네이버 쇼핑박스</t>
        </is>
      </c>
      <c r="H14" s="127" t="n">
        <v>4545454.48</v>
      </c>
    </row>
    <row r="15">
      <c r="B15" s="94" t="inlineStr">
        <is>
          <t>2019년</t>
        </is>
      </c>
      <c r="C15" s="94" t="inlineStr">
        <is>
          <t>11월</t>
        </is>
      </c>
      <c r="D15" s="94" t="inlineStr">
        <is>
          <t>11월7일</t>
        </is>
      </c>
      <c r="E15" s="127" t="n">
        <v>4500000</v>
      </c>
      <c r="F15" s="127" t="n"/>
      <c r="G15" s="94" t="inlineStr">
        <is>
          <t>네이버(어성초토너)</t>
        </is>
      </c>
      <c r="H15" s="127" t="n">
        <v>1000000</v>
      </c>
    </row>
    <row r="16">
      <c r="B16" s="94" t="inlineStr">
        <is>
          <t>2020년</t>
        </is>
      </c>
      <c r="C16" s="94" t="inlineStr">
        <is>
          <t>3월</t>
        </is>
      </c>
      <c r="D16" s="94" t="inlineStr">
        <is>
          <t>3월10일</t>
        </is>
      </c>
      <c r="E16" s="127" t="n">
        <v>818181.8181818181</v>
      </c>
      <c r="F16" s="127" t="n"/>
      <c r="G16" s="94" t="inlineStr">
        <is>
          <t>문자대표</t>
        </is>
      </c>
      <c r="H16" s="127" t="n">
        <v>39500</v>
      </c>
    </row>
    <row r="17">
      <c r="B17" s="94" t="inlineStr">
        <is>
          <t>2020년</t>
        </is>
      </c>
      <c r="C17" s="94" t="inlineStr">
        <is>
          <t>6월</t>
        </is>
      </c>
      <c r="D17" s="94" t="inlineStr">
        <is>
          <t>6월6일</t>
        </is>
      </c>
      <c r="E17" s="127" t="n">
        <v>1200000</v>
      </c>
      <c r="F17" s="127" t="n"/>
      <c r="G17" s="94" t="inlineStr">
        <is>
          <t>속닥</t>
        </is>
      </c>
      <c r="H17" s="127" t="n">
        <v>1500000</v>
      </c>
    </row>
    <row r="18">
      <c r="B18" s="94" t="inlineStr">
        <is>
          <t>2020년</t>
        </is>
      </c>
      <c r="C18" s="94" t="inlineStr">
        <is>
          <t>6월</t>
        </is>
      </c>
      <c r="D18" s="94" t="inlineStr">
        <is>
          <t>6월11일</t>
        </is>
      </c>
      <c r="E18" s="127" t="n">
        <v>3319</v>
      </c>
      <c r="F18" s="127" t="n"/>
      <c r="G18" s="94" t="inlineStr">
        <is>
          <t>유튜브 디스커버리</t>
        </is>
      </c>
      <c r="H18" s="127" t="n">
        <v>105709338.5363636</v>
      </c>
    </row>
    <row r="19">
      <c r="B19" s="94" t="inlineStr">
        <is>
          <t>2020년</t>
        </is>
      </c>
      <c r="C19" s="94" t="inlineStr">
        <is>
          <t>6월</t>
        </is>
      </c>
      <c r="D19" s="94" t="inlineStr">
        <is>
          <t>6월12일</t>
        </is>
      </c>
      <c r="E19" s="127" t="n">
        <v>91286</v>
      </c>
      <c r="F19" s="127" t="n"/>
      <c r="G19" s="94" t="inlineStr">
        <is>
          <t>유튜브 디스커버리(이미지)</t>
        </is>
      </c>
      <c r="H19" s="127" t="n">
        <v>3472880</v>
      </c>
    </row>
    <row r="20">
      <c r="B20" s="94" t="inlineStr">
        <is>
          <t>2020년</t>
        </is>
      </c>
      <c r="C20" s="94" t="inlineStr">
        <is>
          <t>6월</t>
        </is>
      </c>
      <c r="D20" s="94" t="inlineStr">
        <is>
          <t>6월13일</t>
        </is>
      </c>
      <c r="E20" s="127" t="n">
        <v>107479</v>
      </c>
      <c r="F20" s="127" t="n"/>
      <c r="G20" s="94" t="inlineStr">
        <is>
          <t>유튜브(단미_반기획)</t>
        </is>
      </c>
      <c r="H20" s="127" t="n">
        <v>4500000</v>
      </c>
    </row>
    <row r="21">
      <c r="B21" s="94" t="inlineStr">
        <is>
          <t>2020년</t>
        </is>
      </c>
      <c r="C21" s="94" t="inlineStr">
        <is>
          <t>6월</t>
        </is>
      </c>
      <c r="D21" s="94" t="inlineStr">
        <is>
          <t>6월14일</t>
        </is>
      </c>
      <c r="E21" s="127" t="n">
        <v>99648</v>
      </c>
      <c r="F21" s="127" t="n"/>
      <c r="G21" s="94" t="inlineStr">
        <is>
          <t>유튜브(지안씨_일반)</t>
        </is>
      </c>
      <c r="H21" s="127" t="n">
        <v>2500000</v>
      </c>
    </row>
    <row r="22">
      <c r="A22" s="94" t="n"/>
      <c r="B22" s="94" t="inlineStr">
        <is>
          <t>2020년</t>
        </is>
      </c>
      <c r="C22" s="94" t="inlineStr">
        <is>
          <t>6월</t>
        </is>
      </c>
      <c r="D22" s="94" t="inlineStr">
        <is>
          <t>6월15일</t>
        </is>
      </c>
      <c r="E22" s="127" t="n">
        <v>131205</v>
      </c>
      <c r="F22" s="127" t="n"/>
      <c r="G22" s="94" t="inlineStr">
        <is>
          <t>유튜브(챙잇_브랜디드)</t>
        </is>
      </c>
      <c r="H22" s="127" t="n">
        <v>6000000</v>
      </c>
    </row>
    <row r="23">
      <c r="B23" s="94" t="inlineStr">
        <is>
          <t>2020년</t>
        </is>
      </c>
      <c r="C23" s="94" t="inlineStr">
        <is>
          <t>6월</t>
        </is>
      </c>
      <c r="D23" s="94" t="inlineStr">
        <is>
          <t>6월16일</t>
        </is>
      </c>
      <c r="E23" s="127" t="n">
        <v>135938</v>
      </c>
      <c r="F23" s="127" t="n"/>
      <c r="G23" s="94" t="inlineStr">
        <is>
          <t>유튜브(최모나)</t>
        </is>
      </c>
      <c r="H23" s="127" t="n">
        <v>818181.8181818181</v>
      </c>
    </row>
    <row r="24">
      <c r="B24" s="94" t="inlineStr">
        <is>
          <t>2020년</t>
        </is>
      </c>
      <c r="C24" s="94" t="inlineStr">
        <is>
          <t>6월</t>
        </is>
      </c>
      <c r="D24" s="94" t="inlineStr">
        <is>
          <t>6월17일</t>
        </is>
      </c>
      <c r="E24" s="127" t="n">
        <v>321292</v>
      </c>
      <c r="G24" s="94" t="inlineStr">
        <is>
          <t>유튜브_귄펭</t>
        </is>
      </c>
      <c r="H24" s="127" t="n">
        <v>1200000</v>
      </c>
    </row>
    <row r="25">
      <c r="B25" s="94" t="inlineStr">
        <is>
          <t>2020년</t>
        </is>
      </c>
      <c r="C25" s="94" t="inlineStr">
        <is>
          <t>6월</t>
        </is>
      </c>
      <c r="D25" s="94" t="inlineStr">
        <is>
          <t>6월18일</t>
        </is>
      </c>
      <c r="E25" s="127" t="n">
        <v>141139</v>
      </c>
      <c r="G25" s="94" t="inlineStr">
        <is>
          <t>유튜브_꿀랄라</t>
        </is>
      </c>
      <c r="H25" s="127" t="n">
        <v>500000</v>
      </c>
    </row>
    <row r="26">
      <c r="B26" s="94" t="inlineStr">
        <is>
          <t>2020년</t>
        </is>
      </c>
      <c r="C26" s="94" t="inlineStr">
        <is>
          <t>6월</t>
        </is>
      </c>
      <c r="D26" s="94" t="inlineStr">
        <is>
          <t>6월19일</t>
        </is>
      </c>
      <c r="E26" s="127" t="n">
        <v>148486</v>
      </c>
      <c r="G26" s="94" t="inlineStr">
        <is>
          <t>유튜브_나답게</t>
        </is>
      </c>
      <c r="H26" s="127" t="n">
        <v>700000</v>
      </c>
    </row>
    <row r="27">
      <c r="B27" s="94" t="inlineStr">
        <is>
          <t>2020년</t>
        </is>
      </c>
      <c r="C27" s="94" t="inlineStr">
        <is>
          <t>6월</t>
        </is>
      </c>
      <c r="D27" s="94" t="inlineStr">
        <is>
          <t>6월20일</t>
        </is>
      </c>
      <c r="E27" s="127" t="n">
        <v>1346521</v>
      </c>
      <c r="G27" s="94" t="inlineStr">
        <is>
          <t>유튜브_단이</t>
        </is>
      </c>
      <c r="H27" s="127" t="n">
        <v>1200000</v>
      </c>
    </row>
    <row r="28">
      <c r="B28" s="94" t="inlineStr">
        <is>
          <t>2020년</t>
        </is>
      </c>
      <c r="C28" s="94" t="inlineStr">
        <is>
          <t>6월</t>
        </is>
      </c>
      <c r="D28" s="94" t="inlineStr">
        <is>
          <t>6월21일</t>
        </is>
      </c>
      <c r="E28" s="127" t="n">
        <v>1143074</v>
      </c>
      <c r="G28" s="94" t="inlineStr">
        <is>
          <t>유튜브_비타천서영</t>
        </is>
      </c>
      <c r="H28" s="127" t="n">
        <v>230000</v>
      </c>
    </row>
    <row r="29">
      <c r="B29" s="94" t="inlineStr">
        <is>
          <t>2020년</t>
        </is>
      </c>
      <c r="C29" s="94" t="inlineStr">
        <is>
          <t>6월</t>
        </is>
      </c>
      <c r="D29" s="94" t="inlineStr">
        <is>
          <t>6월22일</t>
        </is>
      </c>
      <c r="E29" s="127" t="n">
        <v>127425</v>
      </c>
      <c r="G29" s="94" t="inlineStr">
        <is>
          <t>유튜브_심톨</t>
        </is>
      </c>
      <c r="H29" s="127" t="n">
        <v>1000000</v>
      </c>
    </row>
    <row r="30">
      <c r="B30" s="94" t="inlineStr">
        <is>
          <t>2020년</t>
        </is>
      </c>
      <c r="C30" s="94" t="inlineStr">
        <is>
          <t>6월</t>
        </is>
      </c>
      <c r="D30" s="94" t="inlineStr">
        <is>
          <t>6월23일</t>
        </is>
      </c>
      <c r="E30" s="127" t="n">
        <v>347051</v>
      </c>
      <c r="G30" s="94" t="inlineStr">
        <is>
          <t>유튜브_윤이든</t>
        </is>
      </c>
      <c r="H30" s="127" t="n">
        <v>1200000</v>
      </c>
    </row>
    <row r="31">
      <c r="B31" s="94" t="inlineStr">
        <is>
          <t>2020년</t>
        </is>
      </c>
      <c r="C31" s="94" t="inlineStr">
        <is>
          <t>6월</t>
        </is>
      </c>
      <c r="D31" s="94" t="inlineStr">
        <is>
          <t>6월24일</t>
        </is>
      </c>
      <c r="E31" s="127" t="n">
        <v>850307</v>
      </c>
      <c r="G31" s="94" t="inlineStr">
        <is>
          <t>유튜브_챙잇뷰티</t>
        </is>
      </c>
      <c r="H31" s="127" t="n">
        <v>10400000</v>
      </c>
    </row>
    <row r="32">
      <c r="B32" s="94" t="inlineStr">
        <is>
          <t>2020년</t>
        </is>
      </c>
      <c r="C32" s="94" t="inlineStr">
        <is>
          <t>6월</t>
        </is>
      </c>
      <c r="D32" s="94" t="inlineStr">
        <is>
          <t>6월25일</t>
        </is>
      </c>
      <c r="E32" s="127" t="n">
        <v>838477</v>
      </c>
      <c r="G32" s="94" t="inlineStr">
        <is>
          <t>유튜브_츄츄</t>
        </is>
      </c>
      <c r="H32" s="127" t="n">
        <v>700000</v>
      </c>
    </row>
    <row r="33">
      <c r="B33" s="94" t="inlineStr">
        <is>
          <t>2020년</t>
        </is>
      </c>
      <c r="C33" s="94" t="inlineStr">
        <is>
          <t>6월</t>
        </is>
      </c>
      <c r="D33" s="94" t="inlineStr">
        <is>
          <t>6월26일</t>
        </is>
      </c>
      <c r="E33" s="127" t="n">
        <v>830207</v>
      </c>
      <c r="G33" s="94" t="inlineStr">
        <is>
          <t>유튜브_카멜</t>
        </is>
      </c>
      <c r="H33" s="127" t="n">
        <v>200000</v>
      </c>
    </row>
    <row r="34">
      <c r="B34" s="94" t="inlineStr">
        <is>
          <t>2020년</t>
        </is>
      </c>
      <c r="C34" s="94" t="inlineStr">
        <is>
          <t>6월</t>
        </is>
      </c>
      <c r="D34" s="94" t="inlineStr">
        <is>
          <t>6월27일</t>
        </is>
      </c>
      <c r="E34" s="127" t="n">
        <v>835662</v>
      </c>
      <c r="G34" s="94" t="inlineStr">
        <is>
          <t>유튜브_킴키미</t>
        </is>
      </c>
      <c r="H34" s="127" t="n">
        <v>615363.6363636364</v>
      </c>
    </row>
    <row r="35">
      <c r="B35" s="94" t="inlineStr">
        <is>
          <t>2020년</t>
        </is>
      </c>
      <c r="C35" s="94" t="inlineStr">
        <is>
          <t>6월</t>
        </is>
      </c>
      <c r="D35" s="94" t="inlineStr">
        <is>
          <t>6월28일</t>
        </is>
      </c>
      <c r="E35" s="127" t="n">
        <v>927598</v>
      </c>
      <c r="G35" s="94" t="inlineStr">
        <is>
          <t>인스타VC(전환)</t>
        </is>
      </c>
      <c r="H35" s="127" t="n">
        <v>6226717</v>
      </c>
    </row>
    <row r="36">
      <c r="B36" s="94" t="inlineStr">
        <is>
          <t>2020년</t>
        </is>
      </c>
      <c r="C36" s="94" t="inlineStr">
        <is>
          <t>6월</t>
        </is>
      </c>
      <c r="D36" s="94" t="inlineStr">
        <is>
          <t>6월29일</t>
        </is>
      </c>
      <c r="E36" s="127" t="n">
        <v>933664</v>
      </c>
      <c r="G36" s="94" t="inlineStr">
        <is>
          <t>인스타그램(랄라블라)</t>
        </is>
      </c>
      <c r="H36" s="127" t="n">
        <v>5440571</v>
      </c>
    </row>
    <row r="37">
      <c r="B37" s="94" t="inlineStr">
        <is>
          <t>2020년</t>
        </is>
      </c>
      <c r="C37" s="94" t="inlineStr">
        <is>
          <t>6월</t>
        </is>
      </c>
      <c r="D37" s="94" t="inlineStr">
        <is>
          <t>6월30일</t>
        </is>
      </c>
      <c r="E37" s="127" t="n">
        <v>601963</v>
      </c>
      <c r="G37" s="94" t="inlineStr">
        <is>
          <t>인스타그램(리타게팅 전환)</t>
        </is>
      </c>
      <c r="H37" s="127" t="n">
        <v>9743751</v>
      </c>
    </row>
    <row r="38">
      <c r="B38" s="94" t="inlineStr">
        <is>
          <t>2020년</t>
        </is>
      </c>
      <c r="C38" s="94" t="inlineStr">
        <is>
          <t>7월</t>
        </is>
      </c>
      <c r="D38" s="94" t="inlineStr">
        <is>
          <t>7월1일</t>
        </is>
      </c>
      <c r="E38" s="127" t="n">
        <v>832793</v>
      </c>
      <c r="G38" s="94" t="inlineStr">
        <is>
          <t>인스타그램(블로그)</t>
        </is>
      </c>
      <c r="H38" s="127" t="n">
        <v>8186166</v>
      </c>
    </row>
    <row r="39">
      <c r="B39" s="94" t="inlineStr">
        <is>
          <t>2020년</t>
        </is>
      </c>
      <c r="C39" s="94" t="inlineStr">
        <is>
          <t>7월</t>
        </is>
      </c>
      <c r="D39" s="94" t="inlineStr">
        <is>
          <t>7월2일</t>
        </is>
      </c>
      <c r="E39" s="127" t="n">
        <v>331866</v>
      </c>
      <c r="G39" s="94" t="inlineStr">
        <is>
          <t>인스타그램(소재 테스트)</t>
        </is>
      </c>
      <c r="H39" s="127" t="n">
        <v>42995</v>
      </c>
    </row>
    <row r="40">
      <c r="B40" s="94" t="inlineStr">
        <is>
          <t>2020년</t>
        </is>
      </c>
      <c r="C40" s="94" t="inlineStr">
        <is>
          <t>7월</t>
        </is>
      </c>
      <c r="D40" s="94" t="inlineStr">
        <is>
          <t>7월3일</t>
        </is>
      </c>
      <c r="E40" s="127" t="n">
        <v>311624</v>
      </c>
      <c r="G40" s="94" t="inlineStr">
        <is>
          <t>인스타그램(소재테스트)</t>
        </is>
      </c>
      <c r="H40" s="127" t="n">
        <v>284999</v>
      </c>
    </row>
    <row r="41">
      <c r="B41" s="94" t="inlineStr">
        <is>
          <t>2020년</t>
        </is>
      </c>
      <c r="C41" s="94" t="inlineStr">
        <is>
          <t>7월</t>
        </is>
      </c>
      <c r="D41" s="94" t="inlineStr">
        <is>
          <t>7월8일</t>
        </is>
      </c>
      <c r="E41" s="127" t="n">
        <v>700000</v>
      </c>
      <c r="G41" s="94" t="inlineStr">
        <is>
          <t>인스타그램(일본1324)</t>
        </is>
      </c>
      <c r="H41" s="127" t="n">
        <v>3357510</v>
      </c>
    </row>
    <row r="42">
      <c r="B42" s="94" t="inlineStr">
        <is>
          <t>2020년</t>
        </is>
      </c>
      <c r="C42" s="94" t="inlineStr">
        <is>
          <t>7월</t>
        </is>
      </c>
      <c r="D42" s="94" t="inlineStr">
        <is>
          <t>7월9일</t>
        </is>
      </c>
      <c r="E42" s="127" t="n">
        <v>63532</v>
      </c>
      <c r="G42" s="94" t="inlineStr">
        <is>
          <t>인스타그램(일본2540)</t>
        </is>
      </c>
      <c r="H42" s="127" t="n">
        <v>149304</v>
      </c>
    </row>
    <row r="43">
      <c r="B43" s="94" t="inlineStr">
        <is>
          <t>2020년</t>
        </is>
      </c>
      <c r="C43" s="94" t="inlineStr">
        <is>
          <t>7월</t>
        </is>
      </c>
      <c r="D43" s="94" t="inlineStr">
        <is>
          <t>7월10일</t>
        </is>
      </c>
      <c r="E43" s="127" t="n">
        <v>11064579.63636364</v>
      </c>
      <c r="G43" s="94" t="inlineStr">
        <is>
          <t>인스타그램(전환)</t>
        </is>
      </c>
      <c r="H43" s="127" t="n">
        <v>152026940</v>
      </c>
    </row>
    <row r="44">
      <c r="B44" s="94" t="inlineStr">
        <is>
          <t>2020년</t>
        </is>
      </c>
      <c r="C44" s="94" t="inlineStr">
        <is>
          <t>7월</t>
        </is>
      </c>
      <c r="D44" s="94" t="inlineStr">
        <is>
          <t>7월11일</t>
        </is>
      </c>
      <c r="E44" s="127" t="n">
        <v>749548</v>
      </c>
      <c r="G44" s="94" t="inlineStr">
        <is>
          <t>일본 인스타그램(1324참여)</t>
        </is>
      </c>
      <c r="H44" s="127" t="n">
        <v>37817</v>
      </c>
    </row>
    <row r="45">
      <c r="B45" s="94" t="inlineStr">
        <is>
          <t>2020년</t>
        </is>
      </c>
      <c r="C45" s="94" t="inlineStr">
        <is>
          <t>7월</t>
        </is>
      </c>
      <c r="D45" s="94" t="inlineStr">
        <is>
          <t>7월12일</t>
        </is>
      </c>
      <c r="E45" s="127" t="n">
        <v>1249961</v>
      </c>
      <c r="G45" s="94" t="inlineStr">
        <is>
          <t>일본 인스타그램(2540참여)</t>
        </is>
      </c>
      <c r="H45" s="127" t="n">
        <v>39564</v>
      </c>
    </row>
    <row r="46">
      <c r="B46" s="94" t="inlineStr">
        <is>
          <t>2020년</t>
        </is>
      </c>
      <c r="C46" s="94" t="inlineStr">
        <is>
          <t>7월</t>
        </is>
      </c>
      <c r="D46" s="94" t="inlineStr">
        <is>
          <t>7월13일</t>
        </is>
      </c>
      <c r="E46" s="127" t="n">
        <v>156856</v>
      </c>
      <c r="G46" s="94" t="inlineStr">
        <is>
          <t>자사몰 스킨 교체</t>
        </is>
      </c>
      <c r="H46" s="127" t="n">
        <v>227272.7272727273</v>
      </c>
    </row>
    <row r="47">
      <c r="B47" s="94" t="inlineStr">
        <is>
          <t>2020년</t>
        </is>
      </c>
      <c r="C47" s="94" t="inlineStr">
        <is>
          <t>7월</t>
        </is>
      </c>
      <c r="D47" s="94" t="inlineStr">
        <is>
          <t>7월14일</t>
        </is>
      </c>
      <c r="E47" s="127" t="n">
        <v>54759</v>
      </c>
      <c r="G47" s="94" t="inlineStr">
        <is>
          <t>제품 촬영</t>
        </is>
      </c>
      <c r="H47" s="127" t="n">
        <v>2550000</v>
      </c>
    </row>
    <row r="48">
      <c r="B48" s="94" t="inlineStr">
        <is>
          <t>2020년</t>
        </is>
      </c>
      <c r="C48" s="94" t="inlineStr">
        <is>
          <t>7월</t>
        </is>
      </c>
      <c r="D48" s="94" t="inlineStr">
        <is>
          <t>7월15일</t>
        </is>
      </c>
      <c r="E48" s="127" t="n">
        <v>156693</v>
      </c>
      <c r="G48" s="94" t="inlineStr">
        <is>
          <t>카카오광고</t>
        </is>
      </c>
      <c r="H48" s="127" t="n">
        <v>18780335.34653465</v>
      </c>
    </row>
    <row r="49">
      <c r="B49" s="94" t="inlineStr">
        <is>
          <t>2020년</t>
        </is>
      </c>
      <c r="C49" s="94" t="inlineStr">
        <is>
          <t>7월</t>
        </is>
      </c>
      <c r="D49" s="94" t="inlineStr">
        <is>
          <t>7월16일</t>
        </is>
      </c>
      <c r="E49" s="127" t="n">
        <v>53197</v>
      </c>
      <c r="G49" s="94" t="inlineStr">
        <is>
          <t>카카오톡 메시지</t>
        </is>
      </c>
      <c r="H49" s="127" t="n">
        <v>2559197.545454545</v>
      </c>
    </row>
    <row r="50">
      <c r="B50" s="94" t="inlineStr">
        <is>
          <t>2020년</t>
        </is>
      </c>
      <c r="C50" s="94" t="inlineStr">
        <is>
          <t>7월</t>
        </is>
      </c>
      <c r="D50" s="94" t="inlineStr">
        <is>
          <t>7월17일</t>
        </is>
      </c>
      <c r="E50" s="127" t="n">
        <v>50309</v>
      </c>
      <c r="G50" s="94" t="inlineStr">
        <is>
          <t>커뮤니티(쭉빵카페)</t>
        </is>
      </c>
      <c r="H50" s="127" t="n">
        <v>1500000</v>
      </c>
    </row>
    <row r="51">
      <c r="B51" s="94" t="inlineStr">
        <is>
          <t>2020년</t>
        </is>
      </c>
      <c r="C51" s="94" t="inlineStr">
        <is>
          <t>7월</t>
        </is>
      </c>
      <c r="D51" s="94" t="inlineStr">
        <is>
          <t>7월18일</t>
        </is>
      </c>
      <c r="E51" s="127" t="n">
        <v>50327</v>
      </c>
      <c r="G51" s="94" t="inlineStr">
        <is>
          <t>트위터(일본)</t>
        </is>
      </c>
      <c r="H51" s="127" t="n">
        <v>204335</v>
      </c>
    </row>
    <row r="52">
      <c r="B52" s="94" t="inlineStr">
        <is>
          <t>2020년</t>
        </is>
      </c>
      <c r="C52" s="94" t="inlineStr">
        <is>
          <t>7월</t>
        </is>
      </c>
      <c r="D52" s="94" t="inlineStr">
        <is>
          <t>7월19일</t>
        </is>
      </c>
      <c r="E52" s="127" t="n">
        <v>50178</v>
      </c>
      <c r="G52" s="94" t="inlineStr">
        <is>
          <t>페북/인스타(전환)</t>
        </is>
      </c>
      <c r="H52" s="127" t="n">
        <v>11834426</v>
      </c>
    </row>
    <row r="53">
      <c r="B53" s="94" t="inlineStr">
        <is>
          <t>2020년</t>
        </is>
      </c>
      <c r="C53" s="94" t="inlineStr">
        <is>
          <t>7월</t>
        </is>
      </c>
      <c r="D53" s="94" t="inlineStr">
        <is>
          <t>7월20일</t>
        </is>
      </c>
      <c r="E53" s="127" t="n">
        <v>22729</v>
      </c>
      <c r="G53" s="94" t="inlineStr">
        <is>
          <t>페이스북(전환)</t>
        </is>
      </c>
      <c r="H53" s="127" t="n">
        <v>1584526</v>
      </c>
    </row>
    <row r="54">
      <c r="B54" s="94" t="inlineStr">
        <is>
          <t>2020년</t>
        </is>
      </c>
      <c r="C54" s="94" t="inlineStr">
        <is>
          <t>7월</t>
        </is>
      </c>
      <c r="D54" s="94" t="inlineStr">
        <is>
          <t>7월22일</t>
        </is>
      </c>
      <c r="E54" s="127" t="n">
        <v>214315</v>
      </c>
      <c r="G54" s="94" t="inlineStr">
        <is>
          <t>페이스북/인스타그램</t>
        </is>
      </c>
      <c r="H54" s="127" t="n">
        <v>285940698.6</v>
      </c>
    </row>
    <row r="55">
      <c r="B55" s="94" t="inlineStr">
        <is>
          <t>2020년</t>
        </is>
      </c>
      <c r="C55" s="94" t="inlineStr">
        <is>
          <t>7월</t>
        </is>
      </c>
      <c r="D55" s="94" t="inlineStr">
        <is>
          <t>7월23일</t>
        </is>
      </c>
      <c r="E55" s="127" t="n">
        <v>73621</v>
      </c>
      <c r="G55" s="94" t="inlineStr">
        <is>
          <t>홈페이지 스킨 구매</t>
        </is>
      </c>
      <c r="H55" s="127" t="n">
        <v>227272.7272727273</v>
      </c>
    </row>
    <row r="56">
      <c r="B56" s="94" t="inlineStr">
        <is>
          <t>2020년</t>
        </is>
      </c>
      <c r="C56" s="94" t="inlineStr">
        <is>
          <t>7월</t>
        </is>
      </c>
      <c r="D56" s="94" t="inlineStr">
        <is>
          <t>7월27일</t>
        </is>
      </c>
      <c r="E56" s="127" t="n">
        <v>200687</v>
      </c>
      <c r="G56" s="94" t="inlineStr">
        <is>
          <t>(비어 있음)</t>
        </is>
      </c>
      <c r="H56" s="127" t="n"/>
    </row>
    <row r="57">
      <c r="B57" s="94" t="inlineStr">
        <is>
          <t>2020년</t>
        </is>
      </c>
      <c r="C57" s="94" t="inlineStr">
        <is>
          <t>7월</t>
        </is>
      </c>
      <c r="D57" s="94" t="inlineStr">
        <is>
          <t>7월28일</t>
        </is>
      </c>
      <c r="E57" s="127" t="n">
        <v>29720</v>
      </c>
      <c r="G57" s="94" t="inlineStr">
        <is>
          <t>총합계</t>
        </is>
      </c>
      <c r="H57" s="127" t="n">
        <v>1080584095.177775</v>
      </c>
    </row>
    <row r="58">
      <c r="B58" s="94" t="inlineStr">
        <is>
          <t>2020년</t>
        </is>
      </c>
      <c r="C58" s="94" t="inlineStr">
        <is>
          <t>7월</t>
        </is>
      </c>
      <c r="D58" s="94" t="inlineStr">
        <is>
          <t>7월29일</t>
        </is>
      </c>
      <c r="E58" s="127" t="n">
        <v>171893</v>
      </c>
    </row>
    <row r="59">
      <c r="B59" s="94" t="inlineStr">
        <is>
          <t>2020년</t>
        </is>
      </c>
      <c r="C59" s="94" t="inlineStr">
        <is>
          <t>7월</t>
        </is>
      </c>
      <c r="D59" s="94" t="inlineStr">
        <is>
          <t>7월30일</t>
        </is>
      </c>
      <c r="E59" s="127" t="n">
        <v>261</v>
      </c>
    </row>
    <row r="60">
      <c r="B60" s="94" t="inlineStr">
        <is>
          <t>2020년</t>
        </is>
      </c>
      <c r="C60" s="94" t="inlineStr">
        <is>
          <t>7월</t>
        </is>
      </c>
      <c r="D60" s="94" t="inlineStr">
        <is>
          <t>7월31일</t>
        </is>
      </c>
      <c r="E60" s="127" t="n">
        <v>3118</v>
      </c>
    </row>
    <row r="61">
      <c r="B61" s="94" t="inlineStr">
        <is>
          <t>2020년</t>
        </is>
      </c>
      <c r="C61" s="94" t="inlineStr">
        <is>
          <t>8월</t>
        </is>
      </c>
      <c r="D61" s="94" t="inlineStr">
        <is>
          <t>8월1일</t>
        </is>
      </c>
      <c r="E61" s="127" t="n">
        <v>109778</v>
      </c>
    </row>
    <row r="62">
      <c r="B62" s="94" t="inlineStr">
        <is>
          <t>2020년</t>
        </is>
      </c>
      <c r="C62" s="94" t="inlineStr">
        <is>
          <t>8월</t>
        </is>
      </c>
      <c r="D62" s="94" t="inlineStr">
        <is>
          <t>8월2일</t>
        </is>
      </c>
      <c r="E62" s="127" t="n">
        <v>101121</v>
      </c>
    </row>
    <row r="63">
      <c r="B63" s="94" t="inlineStr">
        <is>
          <t>2020년</t>
        </is>
      </c>
      <c r="C63" s="94" t="inlineStr">
        <is>
          <t>8월</t>
        </is>
      </c>
      <c r="D63" s="94" t="inlineStr">
        <is>
          <t>8월3일</t>
        </is>
      </c>
      <c r="E63" s="127" t="n">
        <v>246567</v>
      </c>
    </row>
    <row r="64">
      <c r="B64" s="94" t="inlineStr">
        <is>
          <t>2020년</t>
        </is>
      </c>
      <c r="C64" s="94" t="inlineStr">
        <is>
          <t>8월</t>
        </is>
      </c>
      <c r="D64" s="94" t="inlineStr">
        <is>
          <t>8월4일</t>
        </is>
      </c>
      <c r="E64" s="127" t="n">
        <v>257827</v>
      </c>
    </row>
    <row r="65">
      <c r="B65" s="94" t="inlineStr">
        <is>
          <t>2020년</t>
        </is>
      </c>
      <c r="C65" s="94" t="inlineStr">
        <is>
          <t>8월</t>
        </is>
      </c>
      <c r="D65" s="94" t="inlineStr">
        <is>
          <t>8월10일</t>
        </is>
      </c>
      <c r="E65" s="127" t="n">
        <v>327394</v>
      </c>
    </row>
    <row r="66">
      <c r="B66" s="94" t="inlineStr">
        <is>
          <t>2020년</t>
        </is>
      </c>
      <c r="C66" s="94" t="inlineStr">
        <is>
          <t>8월</t>
        </is>
      </c>
      <c r="D66" s="94" t="inlineStr">
        <is>
          <t>8월11일</t>
        </is>
      </c>
      <c r="E66" s="127" t="n">
        <v>130650</v>
      </c>
    </row>
    <row r="67">
      <c r="B67" s="94" t="inlineStr">
        <is>
          <t>2020년</t>
        </is>
      </c>
      <c r="C67" s="94" t="inlineStr">
        <is>
          <t>8월</t>
        </is>
      </c>
      <c r="D67" s="94" t="inlineStr">
        <is>
          <t>8월12일</t>
        </is>
      </c>
      <c r="E67" s="127" t="n">
        <v>282379</v>
      </c>
    </row>
    <row r="68">
      <c r="B68" s="94" t="inlineStr">
        <is>
          <t>2020년</t>
        </is>
      </c>
      <c r="C68" s="94" t="inlineStr">
        <is>
          <t>8월</t>
        </is>
      </c>
      <c r="D68" s="94" t="inlineStr">
        <is>
          <t>8월13일</t>
        </is>
      </c>
      <c r="E68" s="127" t="n">
        <v>203662</v>
      </c>
    </row>
    <row r="69">
      <c r="B69" s="94" t="inlineStr">
        <is>
          <t>2020년</t>
        </is>
      </c>
      <c r="C69" s="94" t="inlineStr">
        <is>
          <t>8월</t>
        </is>
      </c>
      <c r="D69" s="94" t="inlineStr">
        <is>
          <t>8월14일</t>
        </is>
      </c>
      <c r="E69" s="127" t="n">
        <v>44919</v>
      </c>
    </row>
    <row r="70">
      <c r="B70" s="94" t="inlineStr">
        <is>
          <t>2020년</t>
        </is>
      </c>
      <c r="C70" s="94" t="inlineStr">
        <is>
          <t>8월</t>
        </is>
      </c>
      <c r="D70" s="94" t="inlineStr">
        <is>
          <t>8월24일</t>
        </is>
      </c>
      <c r="E70" s="127" t="n">
        <v>1403740</v>
      </c>
    </row>
    <row r="71">
      <c r="B71" s="94" t="inlineStr">
        <is>
          <t>2020년</t>
        </is>
      </c>
      <c r="C71" s="94" t="inlineStr">
        <is>
          <t>8월</t>
        </is>
      </c>
      <c r="D71" s="94" t="inlineStr">
        <is>
          <t>8월25일</t>
        </is>
      </c>
      <c r="E71" s="127" t="n">
        <v>819856</v>
      </c>
    </row>
    <row r="72">
      <c r="B72" s="94" t="inlineStr">
        <is>
          <t>2020년</t>
        </is>
      </c>
      <c r="C72" s="94" t="inlineStr">
        <is>
          <t>8월</t>
        </is>
      </c>
      <c r="D72" s="94" t="inlineStr">
        <is>
          <t>8월26일</t>
        </is>
      </c>
      <c r="E72" s="127" t="n">
        <v>421760</v>
      </c>
    </row>
    <row r="73">
      <c r="B73" s="94" t="inlineStr">
        <is>
          <t>2020년</t>
        </is>
      </c>
      <c r="C73" s="94" t="inlineStr">
        <is>
          <t>8월</t>
        </is>
      </c>
      <c r="D73" s="94" t="inlineStr">
        <is>
          <t>8월27일</t>
        </is>
      </c>
      <c r="E73" s="127" t="n">
        <v>311384</v>
      </c>
    </row>
    <row r="74">
      <c r="B74" s="94" t="inlineStr">
        <is>
          <t>2020년</t>
        </is>
      </c>
      <c r="C74" s="94" t="inlineStr">
        <is>
          <t>8월</t>
        </is>
      </c>
      <c r="D74" s="94" t="inlineStr">
        <is>
          <t>8월28일</t>
        </is>
      </c>
      <c r="E74" s="127" t="n">
        <v>488180</v>
      </c>
    </row>
    <row r="75">
      <c r="B75" s="94" t="inlineStr">
        <is>
          <t>2020년</t>
        </is>
      </c>
      <c r="C75" s="94" t="inlineStr">
        <is>
          <t>8월</t>
        </is>
      </c>
      <c r="D75" s="94" t="inlineStr">
        <is>
          <t>8월29일</t>
        </is>
      </c>
      <c r="E75" s="127" t="n">
        <v>397980</v>
      </c>
    </row>
    <row r="76">
      <c r="B76" s="94" t="inlineStr">
        <is>
          <t>2020년</t>
        </is>
      </c>
      <c r="C76" s="94" t="inlineStr">
        <is>
          <t>8월</t>
        </is>
      </c>
      <c r="D76" s="94" t="inlineStr">
        <is>
          <t>8월30일</t>
        </is>
      </c>
      <c r="E76" s="127" t="n">
        <v>292192</v>
      </c>
    </row>
    <row r="77">
      <c r="B77" s="94" t="inlineStr">
        <is>
          <t>2020년</t>
        </is>
      </c>
      <c r="C77" s="94" t="inlineStr">
        <is>
          <t>8월</t>
        </is>
      </c>
      <c r="D77" s="94" t="inlineStr">
        <is>
          <t>8월31일</t>
        </is>
      </c>
      <c r="E77" s="127" t="n">
        <v>152176</v>
      </c>
    </row>
    <row r="78">
      <c r="B78" s="94" t="inlineStr">
        <is>
          <t>2020년</t>
        </is>
      </c>
      <c r="C78" s="94" t="inlineStr">
        <is>
          <t>9월</t>
        </is>
      </c>
      <c r="D78" s="94" t="inlineStr">
        <is>
          <t>9월1일</t>
        </is>
      </c>
      <c r="E78" s="127" t="n">
        <v>741485</v>
      </c>
    </row>
    <row r="79">
      <c r="B79" s="94" t="inlineStr">
        <is>
          <t>2020년</t>
        </is>
      </c>
      <c r="C79" s="94" t="inlineStr">
        <is>
          <t>9월</t>
        </is>
      </c>
      <c r="D79" s="94" t="inlineStr">
        <is>
          <t>9월15일</t>
        </is>
      </c>
      <c r="E79" s="127" t="n">
        <v>31727</v>
      </c>
    </row>
    <row r="80">
      <c r="B80" s="94" t="inlineStr">
        <is>
          <t>2020년</t>
        </is>
      </c>
      <c r="C80" s="94" t="inlineStr">
        <is>
          <t>9월</t>
        </is>
      </c>
      <c r="D80" s="94" t="inlineStr">
        <is>
          <t>9월16일</t>
        </is>
      </c>
      <c r="E80" s="127" t="n">
        <v>738585</v>
      </c>
    </row>
    <row r="81">
      <c r="B81" s="94" t="inlineStr">
        <is>
          <t>2020년</t>
        </is>
      </c>
      <c r="C81" s="94" t="inlineStr">
        <is>
          <t>9월</t>
        </is>
      </c>
      <c r="D81" s="94" t="inlineStr">
        <is>
          <t>9월20일</t>
        </is>
      </c>
      <c r="E81" s="127" t="n">
        <v>716242</v>
      </c>
    </row>
    <row r="82">
      <c r="B82" s="94" t="inlineStr">
        <is>
          <t>2020년</t>
        </is>
      </c>
      <c r="C82" s="94" t="inlineStr">
        <is>
          <t>9월</t>
        </is>
      </c>
      <c r="D82" s="94" t="inlineStr">
        <is>
          <t>9월21일</t>
        </is>
      </c>
      <c r="E82" s="127" t="n">
        <v>365864</v>
      </c>
    </row>
    <row r="83">
      <c r="B83" s="94" t="inlineStr">
        <is>
          <t>2020년</t>
        </is>
      </c>
      <c r="C83" s="94" t="inlineStr">
        <is>
          <t>9월</t>
        </is>
      </c>
      <c r="D83" s="94" t="inlineStr">
        <is>
          <t>9월22일</t>
        </is>
      </c>
      <c r="E83" s="127" t="n">
        <v>13853</v>
      </c>
    </row>
    <row r="84">
      <c r="B84" s="94" t="inlineStr">
        <is>
          <t>2020년</t>
        </is>
      </c>
      <c r="C84" s="94" t="inlineStr">
        <is>
          <t>9월</t>
        </is>
      </c>
      <c r="D84" s="94" t="inlineStr">
        <is>
          <t>9월23일</t>
        </is>
      </c>
      <c r="E84" s="127" t="n">
        <v>733412</v>
      </c>
    </row>
    <row r="85">
      <c r="B85" s="94" t="inlineStr">
        <is>
          <t>2020년</t>
        </is>
      </c>
      <c r="C85" s="94" t="inlineStr">
        <is>
          <t>9월</t>
        </is>
      </c>
      <c r="D85" s="94" t="inlineStr">
        <is>
          <t>9월24일</t>
        </is>
      </c>
      <c r="E85" s="127" t="n">
        <v>312293</v>
      </c>
    </row>
    <row r="86">
      <c r="B86" s="94" t="inlineStr">
        <is>
          <t>2020년</t>
        </is>
      </c>
      <c r="C86" s="94" t="inlineStr">
        <is>
          <t>9월</t>
        </is>
      </c>
      <c r="D86" s="94" t="inlineStr">
        <is>
          <t>9월27일</t>
        </is>
      </c>
      <c r="E86" s="127" t="n">
        <v>627057</v>
      </c>
    </row>
    <row r="87">
      <c r="B87" s="94" t="inlineStr">
        <is>
          <t>2020년</t>
        </is>
      </c>
      <c r="C87" s="94" t="inlineStr">
        <is>
          <t>10월</t>
        </is>
      </c>
      <c r="D87" s="94" t="inlineStr">
        <is>
          <t>10월3일</t>
        </is>
      </c>
      <c r="E87" s="127" t="n">
        <v>842650</v>
      </c>
    </row>
    <row r="88">
      <c r="B88" s="94" t="inlineStr">
        <is>
          <t>2020년</t>
        </is>
      </c>
      <c r="C88" s="94" t="inlineStr">
        <is>
          <t>10월</t>
        </is>
      </c>
      <c r="D88" s="94" t="inlineStr">
        <is>
          <t>10월4일</t>
        </is>
      </c>
      <c r="E88" s="127" t="n">
        <v>945485</v>
      </c>
    </row>
    <row r="89">
      <c r="B89" s="94" t="inlineStr">
        <is>
          <t>2020년</t>
        </is>
      </c>
      <c r="C89" s="94" t="inlineStr">
        <is>
          <t>10월</t>
        </is>
      </c>
      <c r="D89" s="94" t="inlineStr">
        <is>
          <t>10월6일</t>
        </is>
      </c>
      <c r="E89" s="127" t="n">
        <v>1829630</v>
      </c>
    </row>
    <row r="90">
      <c r="B90" s="94" t="inlineStr">
        <is>
          <t>2020년</t>
        </is>
      </c>
      <c r="C90" s="94" t="inlineStr">
        <is>
          <t>10월</t>
        </is>
      </c>
      <c r="D90" s="94" t="inlineStr">
        <is>
          <t>10월20일</t>
        </is>
      </c>
      <c r="E90" s="127" t="n">
        <v>0</v>
      </c>
    </row>
    <row r="91">
      <c r="B91" s="94" t="inlineStr">
        <is>
          <t>2020년</t>
        </is>
      </c>
      <c r="C91" s="94" t="inlineStr">
        <is>
          <t>10월</t>
        </is>
      </c>
      <c r="D91" s="94" t="inlineStr">
        <is>
          <t>10월21일</t>
        </is>
      </c>
      <c r="E91" s="127" t="n">
        <v>0</v>
      </c>
    </row>
    <row r="92">
      <c r="B92" s="94" t="inlineStr">
        <is>
          <t>2020년</t>
        </is>
      </c>
      <c r="C92" s="94" t="inlineStr">
        <is>
          <t>10월</t>
        </is>
      </c>
      <c r="D92" s="94" t="inlineStr">
        <is>
          <t>10월22일</t>
        </is>
      </c>
      <c r="E92" s="127" t="n">
        <v>0</v>
      </c>
    </row>
    <row r="93">
      <c r="B93" s="94" t="inlineStr">
        <is>
          <t>2020년</t>
        </is>
      </c>
      <c r="C93" s="94" t="inlineStr">
        <is>
          <t>10월</t>
        </is>
      </c>
      <c r="D93" s="94" t="inlineStr">
        <is>
          <t>10월23일</t>
        </is>
      </c>
      <c r="E93" s="127" t="n">
        <v>0</v>
      </c>
    </row>
    <row r="94">
      <c r="B94" s="94" t="inlineStr">
        <is>
          <t>2020년</t>
        </is>
      </c>
      <c r="C94" s="94" t="inlineStr">
        <is>
          <t>10월</t>
        </is>
      </c>
      <c r="D94" s="94" t="inlineStr">
        <is>
          <t>10월24일</t>
        </is>
      </c>
      <c r="E94" s="127" t="n">
        <v>0</v>
      </c>
    </row>
    <row r="95">
      <c r="B95" s="94" t="inlineStr">
        <is>
          <t>2020년</t>
        </is>
      </c>
      <c r="C95" s="94" t="inlineStr">
        <is>
          <t>10월</t>
        </is>
      </c>
      <c r="D95" s="94" t="inlineStr">
        <is>
          <t>10월25일</t>
        </is>
      </c>
      <c r="E95" s="127" t="n">
        <v>0</v>
      </c>
    </row>
    <row r="96">
      <c r="B96" s="94" t="inlineStr">
        <is>
          <t>2020년</t>
        </is>
      </c>
      <c r="C96" s="94" t="inlineStr">
        <is>
          <t>10월</t>
        </is>
      </c>
      <c r="D96" s="94" t="inlineStr">
        <is>
          <t>10월26일</t>
        </is>
      </c>
      <c r="E96" s="127" t="n">
        <v>0</v>
      </c>
    </row>
    <row r="97">
      <c r="B97" s="94" t="inlineStr">
        <is>
          <t>2020년</t>
        </is>
      </c>
      <c r="C97" s="94" t="inlineStr">
        <is>
          <t>10월</t>
        </is>
      </c>
      <c r="D97" s="94" t="inlineStr">
        <is>
          <t>10월27일</t>
        </is>
      </c>
      <c r="E97" s="127" t="n">
        <v>0</v>
      </c>
    </row>
    <row r="98">
      <c r="B98" s="94" t="inlineStr">
        <is>
          <t>2020년</t>
        </is>
      </c>
      <c r="C98" s="94" t="inlineStr">
        <is>
          <t>10월</t>
        </is>
      </c>
      <c r="D98" s="94" t="inlineStr">
        <is>
          <t>10월28일</t>
        </is>
      </c>
      <c r="E98" s="127" t="n">
        <v>0</v>
      </c>
    </row>
    <row r="99">
      <c r="B99" s="94" t="inlineStr">
        <is>
          <t>2020년</t>
        </is>
      </c>
      <c r="C99" s="94" t="inlineStr">
        <is>
          <t>10월</t>
        </is>
      </c>
      <c r="D99" s="94" t="inlineStr">
        <is>
          <t>10월29일</t>
        </is>
      </c>
      <c r="E99" s="127" t="n">
        <v>569931</v>
      </c>
    </row>
    <row r="100">
      <c r="B100" s="94" t="inlineStr">
        <is>
          <t>2020년</t>
        </is>
      </c>
      <c r="C100" s="94" t="inlineStr">
        <is>
          <t>10월</t>
        </is>
      </c>
      <c r="D100" s="94" t="inlineStr">
        <is>
          <t>10월30일</t>
        </is>
      </c>
      <c r="E100" s="127" t="n">
        <v>192487</v>
      </c>
    </row>
    <row r="101">
      <c r="B101" s="94" t="inlineStr">
        <is>
          <t>2020년</t>
        </is>
      </c>
      <c r="C101" s="94" t="inlineStr">
        <is>
          <t>10월</t>
        </is>
      </c>
      <c r="D101" s="94" t="inlineStr">
        <is>
          <t>10월31일</t>
        </is>
      </c>
      <c r="E101" s="127" t="n">
        <v>0</v>
      </c>
    </row>
    <row r="102">
      <c r="B102" s="94" t="inlineStr">
        <is>
          <t>2020년</t>
        </is>
      </c>
      <c r="C102" s="94" t="inlineStr">
        <is>
          <t>11월</t>
        </is>
      </c>
      <c r="D102" s="94" t="inlineStr">
        <is>
          <t>11월1일</t>
        </is>
      </c>
      <c r="E102" s="127" t="n">
        <v>0</v>
      </c>
    </row>
    <row r="103">
      <c r="B103" s="94" t="inlineStr">
        <is>
          <t>2020년</t>
        </is>
      </c>
      <c r="C103" s="94" t="inlineStr">
        <is>
          <t>11월</t>
        </is>
      </c>
      <c r="D103" s="94" t="inlineStr">
        <is>
          <t>11월2일</t>
        </is>
      </c>
      <c r="E103" s="127" t="n">
        <v>107265</v>
      </c>
    </row>
    <row r="104">
      <c r="B104" s="94" t="inlineStr">
        <is>
          <t>2020년</t>
        </is>
      </c>
      <c r="C104" s="94" t="inlineStr">
        <is>
          <t>11월</t>
        </is>
      </c>
      <c r="D104" s="94" t="inlineStr">
        <is>
          <t>11월3일</t>
        </is>
      </c>
      <c r="E104" s="127" t="n">
        <v>156857</v>
      </c>
    </row>
    <row r="105">
      <c r="B105" s="94" t="inlineStr">
        <is>
          <t>2020년</t>
        </is>
      </c>
      <c r="C105" s="94" t="inlineStr">
        <is>
          <t>11월</t>
        </is>
      </c>
      <c r="D105" s="94" t="inlineStr">
        <is>
          <t>11월4일</t>
        </is>
      </c>
      <c r="E105" s="127" t="n">
        <v>1689870</v>
      </c>
    </row>
    <row r="106">
      <c r="B106" s="94" t="inlineStr">
        <is>
          <t>2020년</t>
        </is>
      </c>
      <c r="C106" s="94" t="inlineStr">
        <is>
          <t>11월</t>
        </is>
      </c>
      <c r="D106" s="94" t="inlineStr">
        <is>
          <t>11월5일</t>
        </is>
      </c>
      <c r="E106" s="127" t="n">
        <v>1230960</v>
      </c>
    </row>
    <row r="107">
      <c r="B107" s="94" t="inlineStr">
        <is>
          <t>2020년</t>
        </is>
      </c>
      <c r="C107" s="94" t="inlineStr">
        <is>
          <t>11월</t>
        </is>
      </c>
      <c r="D107" s="94" t="inlineStr">
        <is>
          <t>11월6일</t>
        </is>
      </c>
      <c r="E107" s="127" t="n"/>
    </row>
    <row r="108">
      <c r="B108" s="94" t="inlineStr">
        <is>
          <t>2020년</t>
        </is>
      </c>
      <c r="C108" s="94" t="inlineStr">
        <is>
          <t>11월</t>
        </is>
      </c>
      <c r="D108" s="94" t="inlineStr">
        <is>
          <t>11월7일</t>
        </is>
      </c>
      <c r="E108" s="127" t="n"/>
    </row>
    <row r="109">
      <c r="B109" s="94" t="inlineStr">
        <is>
          <t>2020년</t>
        </is>
      </c>
      <c r="C109" s="94" t="inlineStr">
        <is>
          <t>11월</t>
        </is>
      </c>
      <c r="D109" s="94" t="inlineStr">
        <is>
          <t>11월8일</t>
        </is>
      </c>
      <c r="E109" s="127" t="n"/>
    </row>
    <row r="110">
      <c r="B110" s="94" t="inlineStr">
        <is>
          <t>2020년</t>
        </is>
      </c>
      <c r="C110" s="94" t="inlineStr">
        <is>
          <t>11월</t>
        </is>
      </c>
      <c r="D110" s="94" t="inlineStr">
        <is>
          <t>11월9일</t>
        </is>
      </c>
      <c r="E110" s="127" t="n">
        <v>712963</v>
      </c>
    </row>
    <row r="111">
      <c r="B111" s="94" t="inlineStr">
        <is>
          <t>2020년</t>
        </is>
      </c>
      <c r="C111" s="94" t="inlineStr">
        <is>
          <t>11월</t>
        </is>
      </c>
      <c r="D111" s="94" t="inlineStr">
        <is>
          <t>11월10일</t>
        </is>
      </c>
      <c r="E111" s="127" t="n">
        <v>744022</v>
      </c>
    </row>
    <row r="112">
      <c r="B112" s="94" t="inlineStr">
        <is>
          <t>2020년</t>
        </is>
      </c>
      <c r="C112" s="94" t="inlineStr">
        <is>
          <t>11월</t>
        </is>
      </c>
      <c r="D112" s="94" t="inlineStr">
        <is>
          <t>11월11일</t>
        </is>
      </c>
      <c r="E112" s="127" t="n">
        <v>612180</v>
      </c>
    </row>
    <row r="113">
      <c r="B113" s="94" t="inlineStr">
        <is>
          <t>2020년</t>
        </is>
      </c>
      <c r="C113" s="94" t="inlineStr">
        <is>
          <t>11월</t>
        </is>
      </c>
      <c r="D113" s="94" t="inlineStr">
        <is>
          <t>11월12일</t>
        </is>
      </c>
      <c r="E113" s="127" t="n">
        <v>638052</v>
      </c>
    </row>
    <row r="114">
      <c r="B114" s="94" t="inlineStr">
        <is>
          <t>2020년</t>
        </is>
      </c>
      <c r="C114" s="94" t="inlineStr">
        <is>
          <t>11월</t>
        </is>
      </c>
      <c r="D114" s="94" t="inlineStr">
        <is>
          <t>11월13일</t>
        </is>
      </c>
      <c r="E114" s="127" t="n">
        <v>7661.500000000001</v>
      </c>
    </row>
    <row r="115">
      <c r="B115" s="94" t="inlineStr">
        <is>
          <t>2020년</t>
        </is>
      </c>
      <c r="C115" s="94" t="inlineStr">
        <is>
          <t>11월</t>
        </is>
      </c>
      <c r="D115" s="94" t="inlineStr">
        <is>
          <t>11월14일</t>
        </is>
      </c>
      <c r="E115" s="127" t="n">
        <v>0</v>
      </c>
    </row>
    <row r="116">
      <c r="B116" s="94" t="inlineStr">
        <is>
          <t>2020년</t>
        </is>
      </c>
      <c r="C116" s="94" t="inlineStr">
        <is>
          <t>11월</t>
        </is>
      </c>
      <c r="D116" s="94" t="inlineStr">
        <is>
          <t>11월15일</t>
        </is>
      </c>
      <c r="E116" s="127" t="n">
        <v>1418685.4</v>
      </c>
    </row>
    <row r="117">
      <c r="B117" s="94" t="inlineStr">
        <is>
          <t>2020년</t>
        </is>
      </c>
      <c r="C117" s="94" t="inlineStr">
        <is>
          <t>11월</t>
        </is>
      </c>
      <c r="D117" s="94" t="inlineStr">
        <is>
          <t>11월16일</t>
        </is>
      </c>
      <c r="E117" s="127" t="n">
        <v>638052</v>
      </c>
    </row>
    <row r="118">
      <c r="B118" s="94" t="inlineStr">
        <is>
          <t>2020년</t>
        </is>
      </c>
      <c r="C118" s="94" t="inlineStr">
        <is>
          <t>11월</t>
        </is>
      </c>
      <c r="D118" s="94" t="inlineStr">
        <is>
          <t>11월17일</t>
        </is>
      </c>
      <c r="E118" s="127" t="n">
        <v>402456</v>
      </c>
    </row>
    <row r="119">
      <c r="B119" s="94" t="inlineStr">
        <is>
          <t>2020년</t>
        </is>
      </c>
      <c r="C119" s="94" t="inlineStr">
        <is>
          <t>11월</t>
        </is>
      </c>
      <c r="D119" s="94" t="inlineStr">
        <is>
          <t>11월18일</t>
        </is>
      </c>
      <c r="E119" s="127" t="n">
        <v>1227326</v>
      </c>
    </row>
    <row r="120">
      <c r="B120" s="94" t="inlineStr">
        <is>
          <t>2020년</t>
        </is>
      </c>
      <c r="C120" s="94" t="inlineStr">
        <is>
          <t>11월</t>
        </is>
      </c>
      <c r="D120" s="94" t="inlineStr">
        <is>
          <t>11월19일</t>
        </is>
      </c>
      <c r="E120" s="127" t="n">
        <v>943814</v>
      </c>
    </row>
    <row r="121">
      <c r="B121" s="94" t="inlineStr">
        <is>
          <t>2020년</t>
        </is>
      </c>
      <c r="C121" s="94" t="inlineStr">
        <is>
          <t>11월</t>
        </is>
      </c>
      <c r="D121" s="94" t="inlineStr">
        <is>
          <t>11월20일</t>
        </is>
      </c>
      <c r="E121" s="127" t="n">
        <v>856621</v>
      </c>
    </row>
    <row r="122">
      <c r="B122" s="94" t="inlineStr">
        <is>
          <t>2020년</t>
        </is>
      </c>
      <c r="C122" s="94" t="inlineStr">
        <is>
          <t>11월</t>
        </is>
      </c>
      <c r="D122" s="94" t="inlineStr">
        <is>
          <t>11월21일</t>
        </is>
      </c>
      <c r="E122" s="127" t="n">
        <v>47433</v>
      </c>
    </row>
    <row r="123">
      <c r="B123" s="94" t="inlineStr">
        <is>
          <t>2020년</t>
        </is>
      </c>
      <c r="C123" s="94" t="inlineStr">
        <is>
          <t>11월</t>
        </is>
      </c>
      <c r="D123" s="94" t="inlineStr">
        <is>
          <t>11월22일</t>
        </is>
      </c>
      <c r="E123" s="127" t="n">
        <v>1268865</v>
      </c>
    </row>
    <row r="124">
      <c r="B124" s="94" t="inlineStr">
        <is>
          <t>2020년</t>
        </is>
      </c>
      <c r="C124" s="94" t="inlineStr">
        <is>
          <t>11월</t>
        </is>
      </c>
      <c r="D124" s="94" t="inlineStr">
        <is>
          <t>11월23일</t>
        </is>
      </c>
      <c r="E124" s="127" t="n">
        <v>1209324</v>
      </c>
    </row>
    <row r="125">
      <c r="B125" s="94" t="inlineStr">
        <is>
          <t>2020년</t>
        </is>
      </c>
      <c r="C125" s="94" t="inlineStr">
        <is>
          <t>11월</t>
        </is>
      </c>
      <c r="D125" s="94" t="inlineStr">
        <is>
          <t>11월24일</t>
        </is>
      </c>
      <c r="E125" s="127" t="n">
        <v>1736247</v>
      </c>
    </row>
    <row r="126">
      <c r="B126" s="94" t="inlineStr">
        <is>
          <t>2020년</t>
        </is>
      </c>
      <c r="C126" s="94" t="inlineStr">
        <is>
          <t>11월</t>
        </is>
      </c>
      <c r="D126" s="94" t="inlineStr">
        <is>
          <t>11월25일</t>
        </is>
      </c>
      <c r="E126" s="127" t="n">
        <v>759646</v>
      </c>
    </row>
    <row r="127">
      <c r="B127" s="94" t="inlineStr">
        <is>
          <t>2020년</t>
        </is>
      </c>
      <c r="C127" s="94" t="inlineStr">
        <is>
          <t>11월</t>
        </is>
      </c>
      <c r="D127" s="94" t="inlineStr">
        <is>
          <t>11월26일</t>
        </is>
      </c>
      <c r="E127" s="127" t="n">
        <v>763963</v>
      </c>
    </row>
    <row r="128">
      <c r="B128" s="94" t="inlineStr">
        <is>
          <t>2020년</t>
        </is>
      </c>
      <c r="C128" s="94" t="inlineStr">
        <is>
          <t>11월</t>
        </is>
      </c>
      <c r="D128" s="94" t="inlineStr">
        <is>
          <t>11월27일</t>
        </is>
      </c>
      <c r="E128" s="127" t="n">
        <v>399039</v>
      </c>
    </row>
    <row r="129">
      <c r="B129" s="94" t="inlineStr">
        <is>
          <t>2020년</t>
        </is>
      </c>
      <c r="C129" s="94" t="inlineStr">
        <is>
          <t>11월</t>
        </is>
      </c>
      <c r="D129" s="94" t="inlineStr">
        <is>
          <t>11월28일</t>
        </is>
      </c>
      <c r="E129" s="127" t="n">
        <v>8726</v>
      </c>
    </row>
    <row r="130">
      <c r="B130" s="94" t="inlineStr">
        <is>
          <t>2020년</t>
        </is>
      </c>
      <c r="C130" s="94" t="inlineStr">
        <is>
          <t>11월</t>
        </is>
      </c>
      <c r="D130" s="94" t="inlineStr">
        <is>
          <t>11월29일</t>
        </is>
      </c>
      <c r="E130" s="127" t="n">
        <v>1581294</v>
      </c>
    </row>
    <row r="131">
      <c r="B131" s="94" t="inlineStr">
        <is>
          <t>2020년</t>
        </is>
      </c>
      <c r="C131" s="94" t="inlineStr">
        <is>
          <t>11월</t>
        </is>
      </c>
      <c r="D131" s="94" t="inlineStr">
        <is>
          <t>11월30일</t>
        </is>
      </c>
      <c r="E131" s="127" t="n">
        <v>1094393</v>
      </c>
    </row>
    <row r="132">
      <c r="B132" s="94" t="inlineStr">
        <is>
          <t>2020년</t>
        </is>
      </c>
      <c r="C132" s="94" t="inlineStr">
        <is>
          <t>12월</t>
        </is>
      </c>
      <c r="D132" s="94" t="inlineStr">
        <is>
          <t>12월1일</t>
        </is>
      </c>
      <c r="E132" s="127" t="n">
        <v>1029733</v>
      </c>
    </row>
    <row r="133">
      <c r="B133" s="94" t="inlineStr">
        <is>
          <t>2020년</t>
        </is>
      </c>
      <c r="C133" s="94" t="inlineStr">
        <is>
          <t>12월</t>
        </is>
      </c>
      <c r="D133" s="94" t="inlineStr">
        <is>
          <t>12월2일</t>
        </is>
      </c>
      <c r="E133" s="127" t="n">
        <v>934582</v>
      </c>
    </row>
    <row r="134">
      <c r="B134" s="94" t="inlineStr">
        <is>
          <t>2020년</t>
        </is>
      </c>
      <c r="C134" s="94" t="inlineStr">
        <is>
          <t>12월</t>
        </is>
      </c>
      <c r="D134" s="94" t="inlineStr">
        <is>
          <t>12월3일</t>
        </is>
      </c>
      <c r="E134" s="127" t="n">
        <v>889380</v>
      </c>
    </row>
    <row r="135">
      <c r="B135" s="94" t="inlineStr">
        <is>
          <t>2020년</t>
        </is>
      </c>
      <c r="C135" s="94" t="inlineStr">
        <is>
          <t>12월</t>
        </is>
      </c>
      <c r="D135" s="94" t="inlineStr">
        <is>
          <t>12월4일</t>
        </is>
      </c>
      <c r="E135" s="127" t="n">
        <v>405589</v>
      </c>
    </row>
    <row r="136">
      <c r="B136" s="94" t="inlineStr">
        <is>
          <t>2020년</t>
        </is>
      </c>
      <c r="C136" s="94" t="inlineStr">
        <is>
          <t>12월</t>
        </is>
      </c>
      <c r="D136" s="94" t="inlineStr">
        <is>
          <t>12월5일</t>
        </is>
      </c>
      <c r="E136" s="127" t="n">
        <v>50220</v>
      </c>
    </row>
    <row r="137">
      <c r="B137" s="94" t="inlineStr">
        <is>
          <t>2020년</t>
        </is>
      </c>
      <c r="C137" s="94" t="inlineStr">
        <is>
          <t>12월</t>
        </is>
      </c>
      <c r="D137" s="94" t="inlineStr">
        <is>
          <t>12월6일</t>
        </is>
      </c>
      <c r="E137" s="127" t="n">
        <v>915343</v>
      </c>
    </row>
    <row r="138">
      <c r="B138" s="94" t="inlineStr">
        <is>
          <t>2020년</t>
        </is>
      </c>
      <c r="C138" s="94" t="inlineStr">
        <is>
          <t>12월</t>
        </is>
      </c>
      <c r="D138" s="94" t="inlineStr">
        <is>
          <t>12월7일</t>
        </is>
      </c>
      <c r="E138" s="127" t="n">
        <v>789084</v>
      </c>
    </row>
    <row r="139">
      <c r="B139" s="94" t="inlineStr">
        <is>
          <t>2020년</t>
        </is>
      </c>
      <c r="C139" s="94" t="inlineStr">
        <is>
          <t>12월</t>
        </is>
      </c>
      <c r="D139" s="94" t="inlineStr">
        <is>
          <t>12월8일</t>
        </is>
      </c>
      <c r="E139" s="127" t="n">
        <v>770309</v>
      </c>
    </row>
    <row r="140">
      <c r="B140" s="94" t="inlineStr">
        <is>
          <t>2020년</t>
        </is>
      </c>
      <c r="C140" s="94" t="inlineStr">
        <is>
          <t>12월</t>
        </is>
      </c>
      <c r="D140" s="94" t="inlineStr">
        <is>
          <t>12월9일</t>
        </is>
      </c>
      <c r="E140" s="127" t="n">
        <v>787971</v>
      </c>
    </row>
    <row r="141">
      <c r="B141" s="94" t="inlineStr">
        <is>
          <t>2020년</t>
        </is>
      </c>
      <c r="C141" s="94" t="inlineStr">
        <is>
          <t>12월</t>
        </is>
      </c>
      <c r="D141" s="94" t="inlineStr">
        <is>
          <t>12월10일</t>
        </is>
      </c>
      <c r="E141" s="127" t="n">
        <v>617778</v>
      </c>
    </row>
    <row r="142">
      <c r="B142" s="94" t="inlineStr">
        <is>
          <t>2020년</t>
        </is>
      </c>
      <c r="C142" s="94" t="inlineStr">
        <is>
          <t>12월</t>
        </is>
      </c>
      <c r="D142" s="94" t="inlineStr">
        <is>
          <t>12월11일</t>
        </is>
      </c>
      <c r="E142" s="127" t="n">
        <v>182561</v>
      </c>
    </row>
    <row r="143">
      <c r="B143" s="94" t="inlineStr">
        <is>
          <t>2020년</t>
        </is>
      </c>
      <c r="C143" s="94" t="inlineStr">
        <is>
          <t>12월</t>
        </is>
      </c>
      <c r="D143" s="94" t="inlineStr">
        <is>
          <t>12월13일</t>
        </is>
      </c>
      <c r="E143" s="127" t="n">
        <v>1095387</v>
      </c>
    </row>
    <row r="144">
      <c r="B144" s="94" t="inlineStr">
        <is>
          <t>2020년</t>
        </is>
      </c>
      <c r="C144" s="94" t="inlineStr">
        <is>
          <t>12월</t>
        </is>
      </c>
      <c r="D144" s="94" t="inlineStr">
        <is>
          <t>12월14일</t>
        </is>
      </c>
      <c r="E144" s="127" t="n">
        <v>600833</v>
      </c>
    </row>
    <row r="145">
      <c r="B145" s="94" t="inlineStr">
        <is>
          <t>2020년</t>
        </is>
      </c>
      <c r="C145" s="94" t="inlineStr">
        <is>
          <t>12월</t>
        </is>
      </c>
      <c r="D145" s="94" t="inlineStr">
        <is>
          <t>12월15일</t>
        </is>
      </c>
      <c r="E145" s="127" t="n">
        <v>511588</v>
      </c>
    </row>
    <row r="146">
      <c r="B146" s="94" t="inlineStr">
        <is>
          <t>2020년</t>
        </is>
      </c>
      <c r="C146" s="94" t="inlineStr">
        <is>
          <t>12월</t>
        </is>
      </c>
      <c r="D146" s="94" t="inlineStr">
        <is>
          <t>12월16일</t>
        </is>
      </c>
      <c r="E146" s="127" t="n">
        <v>473220</v>
      </c>
    </row>
    <row r="147">
      <c r="B147" s="94" t="inlineStr">
        <is>
          <t>2020년</t>
        </is>
      </c>
      <c r="C147" s="94" t="inlineStr">
        <is>
          <t>12월</t>
        </is>
      </c>
      <c r="D147" s="94" t="inlineStr">
        <is>
          <t>12월17일</t>
        </is>
      </c>
      <c r="E147" s="127" t="n">
        <v>393785</v>
      </c>
    </row>
    <row r="148">
      <c r="B148" s="94" t="inlineStr">
        <is>
          <t>2020년</t>
        </is>
      </c>
      <c r="C148" s="94" t="inlineStr">
        <is>
          <t>12월</t>
        </is>
      </c>
      <c r="D148" s="94" t="inlineStr">
        <is>
          <t>12월18일</t>
        </is>
      </c>
      <c r="E148" s="127" t="n">
        <v>209727</v>
      </c>
    </row>
    <row r="149">
      <c r="B149" s="94" t="inlineStr">
        <is>
          <t>2020년</t>
        </is>
      </c>
      <c r="C149" s="94" t="inlineStr">
        <is>
          <t>12월</t>
        </is>
      </c>
      <c r="D149" s="94" t="inlineStr">
        <is>
          <t>12월20일</t>
        </is>
      </c>
      <c r="E149" s="127" t="n">
        <v>780287</v>
      </c>
    </row>
    <row r="150">
      <c r="B150" s="94" t="inlineStr">
        <is>
          <t>2020년</t>
        </is>
      </c>
      <c r="C150" s="94" t="inlineStr">
        <is>
          <t>12월</t>
        </is>
      </c>
      <c r="D150" s="94" t="inlineStr">
        <is>
          <t>12월21일</t>
        </is>
      </c>
      <c r="E150" s="127" t="n">
        <v>628829</v>
      </c>
    </row>
    <row r="151">
      <c r="B151" s="94" t="inlineStr">
        <is>
          <t>2020년</t>
        </is>
      </c>
      <c r="C151" s="94" t="inlineStr">
        <is>
          <t>12월</t>
        </is>
      </c>
      <c r="D151" s="94" t="inlineStr">
        <is>
          <t>12월22일</t>
        </is>
      </c>
      <c r="E151" s="127" t="n">
        <v>615711</v>
      </c>
    </row>
    <row r="152">
      <c r="B152" s="94" t="inlineStr">
        <is>
          <t>2020년</t>
        </is>
      </c>
      <c r="C152" s="94" t="inlineStr">
        <is>
          <t>12월</t>
        </is>
      </c>
      <c r="D152" s="94" t="inlineStr">
        <is>
          <t>12월23일</t>
        </is>
      </c>
      <c r="E152" s="127" t="n">
        <v>551491</v>
      </c>
    </row>
    <row r="153">
      <c r="B153" s="94" t="inlineStr">
        <is>
          <t>2020년</t>
        </is>
      </c>
      <c r="C153" s="94" t="inlineStr">
        <is>
          <t>12월</t>
        </is>
      </c>
      <c r="D153" s="94" t="inlineStr">
        <is>
          <t>12월24일</t>
        </is>
      </c>
      <c r="E153" s="127" t="n">
        <v>534676</v>
      </c>
    </row>
    <row r="154">
      <c r="B154" s="94" t="inlineStr">
        <is>
          <t>2020년</t>
        </is>
      </c>
      <c r="C154" s="94" t="inlineStr">
        <is>
          <t>12월</t>
        </is>
      </c>
      <c r="D154" s="94" t="inlineStr">
        <is>
          <t>12월25일</t>
        </is>
      </c>
      <c r="E154" s="127" t="n">
        <v>182373</v>
      </c>
    </row>
    <row r="155">
      <c r="B155" s="94" t="inlineStr">
        <is>
          <t>2020년</t>
        </is>
      </c>
      <c r="C155" s="94" t="inlineStr">
        <is>
          <t>12월</t>
        </is>
      </c>
      <c r="D155" s="94" t="inlineStr">
        <is>
          <t>12월26일</t>
        </is>
      </c>
      <c r="E155" s="127" t="n">
        <v>0</v>
      </c>
    </row>
    <row r="156">
      <c r="B156" s="94" t="inlineStr">
        <is>
          <t>2020년</t>
        </is>
      </c>
      <c r="C156" s="94" t="inlineStr">
        <is>
          <t>12월</t>
        </is>
      </c>
      <c r="D156" s="94" t="inlineStr">
        <is>
          <t>12월27일</t>
        </is>
      </c>
      <c r="E156" s="127" t="n">
        <v>1076361</v>
      </c>
    </row>
    <row r="157">
      <c r="B157" s="94" t="inlineStr">
        <is>
          <t>2020년</t>
        </is>
      </c>
      <c r="C157" s="94" t="inlineStr">
        <is>
          <t>12월</t>
        </is>
      </c>
      <c r="D157" s="94" t="inlineStr">
        <is>
          <t>12월28일</t>
        </is>
      </c>
      <c r="E157" s="127" t="n">
        <v>1068230</v>
      </c>
    </row>
    <row r="158">
      <c r="B158" s="94" t="inlineStr">
        <is>
          <t>2020년</t>
        </is>
      </c>
      <c r="C158" s="94" t="inlineStr">
        <is>
          <t>12월</t>
        </is>
      </c>
      <c r="D158" s="94" t="inlineStr">
        <is>
          <t>12월29일</t>
        </is>
      </c>
      <c r="E158" s="127" t="n">
        <v>583328</v>
      </c>
    </row>
    <row r="159">
      <c r="B159" s="94" t="inlineStr">
        <is>
          <t>2020년</t>
        </is>
      </c>
      <c r="C159" s="94" t="inlineStr">
        <is>
          <t>12월</t>
        </is>
      </c>
      <c r="D159" s="94" t="inlineStr">
        <is>
          <t>12월30일</t>
        </is>
      </c>
      <c r="E159" s="127" t="n">
        <v>669567</v>
      </c>
    </row>
    <row r="160">
      <c r="B160" s="94" t="inlineStr">
        <is>
          <t>2020년</t>
        </is>
      </c>
      <c r="C160" s="94" t="inlineStr">
        <is>
          <t>12월</t>
        </is>
      </c>
      <c r="D160" s="94" t="inlineStr">
        <is>
          <t>12월31일</t>
        </is>
      </c>
      <c r="E160" s="127" t="n">
        <v>791458</v>
      </c>
    </row>
    <row r="161">
      <c r="B161" s="94" t="inlineStr">
        <is>
          <t>2021년</t>
        </is>
      </c>
      <c r="C161" s="94" t="inlineStr">
        <is>
          <t>1월</t>
        </is>
      </c>
      <c r="D161" s="94" t="inlineStr">
        <is>
          <t>1월1일</t>
        </is>
      </c>
      <c r="E161" s="127" t="n">
        <v>365079</v>
      </c>
    </row>
    <row r="162">
      <c r="B162" s="94" t="inlineStr">
        <is>
          <t>2021년</t>
        </is>
      </c>
      <c r="C162" s="94" t="inlineStr">
        <is>
          <t>1월</t>
        </is>
      </c>
      <c r="D162" s="94" t="inlineStr">
        <is>
          <t>1월2일</t>
        </is>
      </c>
      <c r="E162" s="127" t="n">
        <v>37</v>
      </c>
    </row>
    <row r="163">
      <c r="B163" s="94" t="inlineStr">
        <is>
          <t>2021년</t>
        </is>
      </c>
      <c r="C163" s="94" t="inlineStr">
        <is>
          <t>1월</t>
        </is>
      </c>
      <c r="D163" s="94" t="inlineStr">
        <is>
          <t>1월4일</t>
        </is>
      </c>
      <c r="E163" s="127" t="n">
        <v>1047642</v>
      </c>
    </row>
    <row r="164">
      <c r="B164" s="94" t="inlineStr">
        <is>
          <t>2021년</t>
        </is>
      </c>
      <c r="C164" s="94" t="inlineStr">
        <is>
          <t>1월</t>
        </is>
      </c>
      <c r="D164" s="94" t="inlineStr">
        <is>
          <t>1월5일</t>
        </is>
      </c>
      <c r="E164" s="127" t="n">
        <v>686414</v>
      </c>
    </row>
    <row r="165">
      <c r="B165" s="94" t="inlineStr">
        <is>
          <t>2021년</t>
        </is>
      </c>
      <c r="C165" s="94" t="inlineStr">
        <is>
          <t>1월</t>
        </is>
      </c>
      <c r="D165" s="94" t="inlineStr">
        <is>
          <t>1월6일</t>
        </is>
      </c>
      <c r="E165" s="127" t="n">
        <v>117985</v>
      </c>
    </row>
    <row r="166">
      <c r="B166" s="94" t="inlineStr">
        <is>
          <t>2021년</t>
        </is>
      </c>
      <c r="C166" s="94" t="inlineStr">
        <is>
          <t>1월</t>
        </is>
      </c>
      <c r="D166" s="94" t="inlineStr">
        <is>
          <t>1월7일</t>
        </is>
      </c>
      <c r="E166" s="127" t="n">
        <v>117239</v>
      </c>
    </row>
    <row r="167">
      <c r="B167" s="94" t="inlineStr">
        <is>
          <t>2021년</t>
        </is>
      </c>
      <c r="C167" s="94" t="inlineStr">
        <is>
          <t>1월</t>
        </is>
      </c>
      <c r="D167" s="94" t="inlineStr">
        <is>
          <t>1월12일</t>
        </is>
      </c>
      <c r="E167" s="127" t="n">
        <v>14</v>
      </c>
    </row>
    <row r="168">
      <c r="B168" s="94" t="inlineStr">
        <is>
          <t>2021년</t>
        </is>
      </c>
      <c r="C168" s="94" t="inlineStr">
        <is>
          <t>1월</t>
        </is>
      </c>
      <c r="D168" s="94" t="inlineStr">
        <is>
          <t>1월15일</t>
        </is>
      </c>
      <c r="E168" s="127" t="n">
        <v>97137</v>
      </c>
    </row>
    <row r="169">
      <c r="B169" s="94" t="inlineStr">
        <is>
          <t>2021년</t>
        </is>
      </c>
      <c r="C169" s="94" t="inlineStr">
        <is>
          <t>1월</t>
        </is>
      </c>
      <c r="D169" s="94" t="inlineStr">
        <is>
          <t>1월16일</t>
        </is>
      </c>
      <c r="E169" s="127" t="n">
        <v>824</v>
      </c>
    </row>
    <row r="170">
      <c r="B170" s="94" t="inlineStr">
        <is>
          <t>2021년</t>
        </is>
      </c>
      <c r="C170" s="94" t="inlineStr">
        <is>
          <t>1월</t>
        </is>
      </c>
      <c r="D170" s="94" t="inlineStr">
        <is>
          <t>1월17일</t>
        </is>
      </c>
      <c r="E170" s="127" t="n">
        <v>418632</v>
      </c>
    </row>
    <row r="171">
      <c r="B171" s="94" t="inlineStr">
        <is>
          <t>2021년</t>
        </is>
      </c>
      <c r="C171" s="94" t="inlineStr">
        <is>
          <t>1월</t>
        </is>
      </c>
      <c r="D171" s="94" t="inlineStr">
        <is>
          <t>1월18일</t>
        </is>
      </c>
      <c r="E171" s="127" t="n">
        <v>516825</v>
      </c>
    </row>
    <row r="172">
      <c r="B172" s="94" t="inlineStr">
        <is>
          <t>2021년</t>
        </is>
      </c>
      <c r="C172" s="94" t="inlineStr">
        <is>
          <t>1월</t>
        </is>
      </c>
      <c r="D172" s="94" t="inlineStr">
        <is>
          <t>1월19일</t>
        </is>
      </c>
      <c r="E172" s="127" t="n">
        <v>643088</v>
      </c>
    </row>
    <row r="173">
      <c r="B173" s="94" t="inlineStr">
        <is>
          <t>2021년</t>
        </is>
      </c>
      <c r="C173" s="94" t="inlineStr">
        <is>
          <t>1월</t>
        </is>
      </c>
      <c r="D173" s="94" t="inlineStr">
        <is>
          <t>1월20일</t>
        </is>
      </c>
      <c r="E173" s="127" t="n">
        <v>192729</v>
      </c>
    </row>
    <row r="174">
      <c r="B174" s="94" t="inlineStr">
        <is>
          <t>2021년</t>
        </is>
      </c>
      <c r="C174" s="94" t="inlineStr">
        <is>
          <t>1월</t>
        </is>
      </c>
      <c r="D174" s="94" t="inlineStr">
        <is>
          <t>1월21일</t>
        </is>
      </c>
      <c r="E174" s="127" t="n">
        <v>84652</v>
      </c>
    </row>
    <row r="175">
      <c r="B175" s="94" t="inlineStr">
        <is>
          <t>2021년</t>
        </is>
      </c>
      <c r="C175" s="94" t="inlineStr">
        <is>
          <t>1월</t>
        </is>
      </c>
      <c r="D175" s="94" t="inlineStr">
        <is>
          <t>1월22일</t>
        </is>
      </c>
      <c r="E175" s="127" t="n">
        <v>231514</v>
      </c>
    </row>
    <row r="176">
      <c r="B176" s="94" t="inlineStr">
        <is>
          <t>2021년</t>
        </is>
      </c>
      <c r="C176" s="94" t="inlineStr">
        <is>
          <t>1월</t>
        </is>
      </c>
      <c r="D176" s="94" t="inlineStr">
        <is>
          <t>1월23일</t>
        </is>
      </c>
      <c r="E176" s="127" t="n">
        <v>121277</v>
      </c>
    </row>
    <row r="177">
      <c r="B177" s="94" t="inlineStr">
        <is>
          <t>2021년</t>
        </is>
      </c>
      <c r="C177" s="94" t="inlineStr">
        <is>
          <t>1월</t>
        </is>
      </c>
      <c r="D177" s="94" t="inlineStr">
        <is>
          <t>1월24일</t>
        </is>
      </c>
      <c r="E177" s="127" t="n">
        <v>227406</v>
      </c>
    </row>
    <row r="178">
      <c r="B178" s="94" t="inlineStr">
        <is>
          <t>2021년</t>
        </is>
      </c>
      <c r="C178" s="94" t="inlineStr">
        <is>
          <t>1월</t>
        </is>
      </c>
      <c r="D178" s="94" t="inlineStr">
        <is>
          <t>1월25일</t>
        </is>
      </c>
      <c r="E178" s="127" t="n">
        <v>700620</v>
      </c>
    </row>
    <row r="179">
      <c r="B179" s="94" t="inlineStr">
        <is>
          <t>2021년</t>
        </is>
      </c>
      <c r="C179" s="94" t="inlineStr">
        <is>
          <t>1월</t>
        </is>
      </c>
      <c r="D179" s="94" t="inlineStr">
        <is>
          <t>1월26일</t>
        </is>
      </c>
      <c r="E179" s="127" t="n">
        <v>2306077</v>
      </c>
    </row>
    <row r="180">
      <c r="B180" s="94" t="inlineStr">
        <is>
          <t>2021년</t>
        </is>
      </c>
      <c r="C180" s="94" t="inlineStr">
        <is>
          <t>1월</t>
        </is>
      </c>
      <c r="D180" s="94" t="inlineStr">
        <is>
          <t>1월27일</t>
        </is>
      </c>
      <c r="E180" s="127" t="n">
        <v>4211509</v>
      </c>
    </row>
    <row r="181">
      <c r="B181" s="94" t="inlineStr">
        <is>
          <t>2021년</t>
        </is>
      </c>
      <c r="C181" s="94" t="inlineStr">
        <is>
          <t>1월</t>
        </is>
      </c>
      <c r="D181" s="94" t="inlineStr">
        <is>
          <t>1월28일</t>
        </is>
      </c>
      <c r="E181" s="127" t="n">
        <v>5270982</v>
      </c>
    </row>
    <row r="182">
      <c r="B182" s="94" t="inlineStr">
        <is>
          <t>2021년</t>
        </is>
      </c>
      <c r="C182" s="94" t="inlineStr">
        <is>
          <t>1월</t>
        </is>
      </c>
      <c r="D182" s="94" t="inlineStr">
        <is>
          <t>1월29일</t>
        </is>
      </c>
      <c r="E182" s="127" t="n">
        <v>4331647</v>
      </c>
    </row>
    <row r="183">
      <c r="B183" s="94" t="inlineStr">
        <is>
          <t>2021년</t>
        </is>
      </c>
      <c r="C183" s="94" t="inlineStr">
        <is>
          <t>1월</t>
        </is>
      </c>
      <c r="D183" s="94" t="inlineStr">
        <is>
          <t>1월30일</t>
        </is>
      </c>
      <c r="E183" s="127" t="n">
        <v>6496901</v>
      </c>
    </row>
    <row r="184">
      <c r="B184" s="94" t="inlineStr">
        <is>
          <t>2021년</t>
        </is>
      </c>
      <c r="C184" s="94" t="inlineStr">
        <is>
          <t>1월</t>
        </is>
      </c>
      <c r="D184" s="94" t="inlineStr">
        <is>
          <t>1월31일</t>
        </is>
      </c>
      <c r="E184" s="127" t="n">
        <v>3416989</v>
      </c>
    </row>
    <row r="185">
      <c r="B185" s="94" t="inlineStr">
        <is>
          <t>2021년</t>
        </is>
      </c>
      <c r="C185" s="94" t="inlineStr">
        <is>
          <t>2월</t>
        </is>
      </c>
      <c r="D185" s="94" t="inlineStr">
        <is>
          <t>2월1일</t>
        </is>
      </c>
      <c r="E185" s="127" t="n">
        <v>1933623.636363636</v>
      </c>
    </row>
    <row r="186">
      <c r="B186" s="94" t="inlineStr">
        <is>
          <t>2021년</t>
        </is>
      </c>
      <c r="C186" s="94" t="inlineStr">
        <is>
          <t>2월</t>
        </is>
      </c>
      <c r="D186" s="94" t="inlineStr">
        <is>
          <t>2월2일</t>
        </is>
      </c>
      <c r="E186" s="127" t="n">
        <v>1707931</v>
      </c>
    </row>
    <row r="187">
      <c r="B187" s="94" t="inlineStr">
        <is>
          <t>2021년</t>
        </is>
      </c>
      <c r="C187" s="94" t="inlineStr">
        <is>
          <t>2월</t>
        </is>
      </c>
      <c r="D187" s="94" t="inlineStr">
        <is>
          <t>2월3일</t>
        </is>
      </c>
      <c r="E187" s="127" t="n">
        <v>1760139</v>
      </c>
    </row>
    <row r="188">
      <c r="B188" s="94" t="inlineStr">
        <is>
          <t>2021년</t>
        </is>
      </c>
      <c r="C188" s="94" t="inlineStr">
        <is>
          <t>2월</t>
        </is>
      </c>
      <c r="D188" s="94" t="inlineStr">
        <is>
          <t>2월4일</t>
        </is>
      </c>
      <c r="E188" s="127" t="n">
        <v>1999781</v>
      </c>
    </row>
    <row r="189">
      <c r="B189" s="94" t="inlineStr">
        <is>
          <t>2021년</t>
        </is>
      </c>
      <c r="C189" s="94" t="inlineStr">
        <is>
          <t>2월</t>
        </is>
      </c>
      <c r="D189" s="94" t="inlineStr">
        <is>
          <t>2월5일</t>
        </is>
      </c>
      <c r="E189" s="127" t="n">
        <v>1315339</v>
      </c>
    </row>
    <row r="190">
      <c r="B190" s="94" t="inlineStr">
        <is>
          <t>2021년</t>
        </is>
      </c>
      <c r="C190" s="94" t="inlineStr">
        <is>
          <t>2월</t>
        </is>
      </c>
      <c r="D190" s="94" t="inlineStr">
        <is>
          <t>2월6일</t>
        </is>
      </c>
      <c r="E190" s="127" t="n">
        <v>1174866</v>
      </c>
    </row>
    <row r="191">
      <c r="B191" s="94" t="inlineStr">
        <is>
          <t>2021년</t>
        </is>
      </c>
      <c r="C191" s="94" t="inlineStr">
        <is>
          <t>2월</t>
        </is>
      </c>
      <c r="D191" s="94" t="inlineStr">
        <is>
          <t>2월7일</t>
        </is>
      </c>
      <c r="E191" s="127" t="n">
        <v>2895133</v>
      </c>
    </row>
    <row r="192">
      <c r="B192" s="94" t="inlineStr">
        <is>
          <t>2021년</t>
        </is>
      </c>
      <c r="C192" s="94" t="inlineStr">
        <is>
          <t>2월</t>
        </is>
      </c>
      <c r="D192" s="94" t="inlineStr">
        <is>
          <t>2월8일</t>
        </is>
      </c>
      <c r="E192" s="127" t="n">
        <v>1935861</v>
      </c>
    </row>
    <row r="193">
      <c r="B193" s="94" t="inlineStr">
        <is>
          <t>총합계</t>
        </is>
      </c>
      <c r="E193" s="127" t="n">
        <v>140945763.9909091</v>
      </c>
    </row>
    <row r="1048576">
      <c r="H1048576" s="127" t="n"/>
    </row>
  </sheetData>
  <autoFilter ref="B12:G44"/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1:S101"/>
  <sheetViews>
    <sheetView showGridLines="0" topLeftCell="A64" zoomScale="70" zoomScaleNormal="70" workbookViewId="0">
      <selection activeCell="D62" sqref="D62:F72"/>
    </sheetView>
  </sheetViews>
  <sheetFormatPr baseColWidth="8" defaultColWidth="9" defaultRowHeight="17.4"/>
  <cols>
    <col width="9" customWidth="1" style="94" min="1" max="1"/>
    <col width="13.59765625" bestFit="1" customWidth="1" style="94" min="2" max="2"/>
    <col width="14.796875" bestFit="1" customWidth="1" style="94" min="3" max="4"/>
    <col width="15.3984375" bestFit="1" customWidth="1" style="94" min="5" max="5"/>
    <col width="14.796875" bestFit="1" customWidth="1" style="94" min="6" max="6"/>
    <col width="13.5" bestFit="1" customWidth="1" style="94" min="7" max="10"/>
    <col width="17.3984375" bestFit="1" customWidth="1" style="94" min="11" max="11"/>
    <col width="13.5" bestFit="1" customWidth="1" style="94" min="12" max="14"/>
    <col width="15.19921875" bestFit="1" customWidth="1" style="94" min="15" max="15"/>
    <col width="12.19921875" bestFit="1" customWidth="1" style="94" min="16" max="18"/>
    <col width="16.5" bestFit="1" customWidth="1" style="94" min="19" max="19"/>
    <col width="14.69921875" bestFit="1" customWidth="1" style="94" min="20" max="20"/>
    <col width="13.5" bestFit="1" customWidth="1" style="94" min="21" max="21"/>
    <col width="11.3984375" bestFit="1" customWidth="1" style="94" min="22" max="22"/>
    <col width="16.5" bestFit="1" customWidth="1" style="94" min="23" max="23"/>
    <col width="9" customWidth="1" style="94" min="24" max="24"/>
    <col width="9" customWidth="1" style="94" min="25" max="16384"/>
  </cols>
  <sheetData>
    <row r="1">
      <c r="B1" s="1" t="inlineStr">
        <is>
          <t>월</t>
        </is>
      </c>
      <c r="C1" s="94" t="inlineStr">
        <is>
          <t>(다중 항목)</t>
        </is>
      </c>
    </row>
    <row r="2">
      <c r="B2" s="1" t="inlineStr">
        <is>
          <t>채널</t>
        </is>
      </c>
      <c r="C2" s="94" t="inlineStr">
        <is>
          <t>카페24</t>
        </is>
      </c>
    </row>
    <row r="4">
      <c r="B4" s="1" t="inlineStr">
        <is>
          <t>합계 : 판매액</t>
        </is>
      </c>
      <c r="C4" s="1" t="inlineStr">
        <is>
          <t>열 레이블</t>
        </is>
      </c>
    </row>
    <row r="5">
      <c r="B5" s="1" t="inlineStr">
        <is>
          <t>행 레이블</t>
        </is>
      </c>
      <c r="C5" s="94" t="inlineStr">
        <is>
          <t>클리어 패드</t>
        </is>
      </c>
      <c r="D5" s="94" t="inlineStr">
        <is>
          <t>토너</t>
        </is>
      </c>
      <c r="E5" s="94" t="inlineStr">
        <is>
          <t>토너+패드 세트</t>
        </is>
      </c>
      <c r="F5" s="94" t="inlineStr">
        <is>
          <t>수분 보충 세트</t>
        </is>
      </c>
      <c r="G5" s="94" t="inlineStr">
        <is>
          <t>앰플</t>
        </is>
      </c>
      <c r="H5" s="94" t="inlineStr">
        <is>
          <t>수딩크림</t>
        </is>
      </c>
      <c r="I5" s="94" t="inlineStr">
        <is>
          <t>클렌징폼</t>
        </is>
      </c>
      <c r="J5" s="94" t="inlineStr">
        <is>
          <t>로션</t>
        </is>
      </c>
      <c r="K5" s="94" t="inlineStr">
        <is>
          <t>어성초진정패키지</t>
        </is>
      </c>
      <c r="L5" s="94" t="inlineStr">
        <is>
          <t>마스크팩</t>
        </is>
      </c>
      <c r="M5" s="94" t="inlineStr">
        <is>
          <t>카밍크림</t>
        </is>
      </c>
      <c r="N5" s="94" t="inlineStr">
        <is>
          <t>화장솜</t>
        </is>
      </c>
      <c r="O5" s="94" t="inlineStr">
        <is>
          <t>머드크림마스크</t>
        </is>
      </c>
      <c r="P5" s="94" t="inlineStr">
        <is>
          <t>바디워시</t>
        </is>
      </c>
      <c r="Q5" s="94" t="inlineStr">
        <is>
          <t>선크림</t>
        </is>
      </c>
      <c r="R5" s="94" t="inlineStr">
        <is>
          <t>크림마스크</t>
        </is>
      </c>
      <c r="S5" s="94" t="inlineStr">
        <is>
          <t>총합계</t>
        </is>
      </c>
    </row>
    <row r="6">
      <c r="B6" s="98" t="inlineStr">
        <is>
          <t>2020년</t>
        </is>
      </c>
      <c r="C6" s="127" t="n">
        <v>196985600</v>
      </c>
      <c r="D6" s="127" t="n">
        <v>194063000</v>
      </c>
      <c r="E6" s="127" t="n">
        <v>91451500</v>
      </c>
      <c r="F6" s="127" t="n">
        <v>35022400</v>
      </c>
      <c r="G6" s="127" t="n">
        <v>29416000</v>
      </c>
      <c r="H6" s="127" t="n">
        <v>10564000</v>
      </c>
      <c r="I6" s="127" t="n">
        <v>10131000</v>
      </c>
      <c r="J6" s="127" t="n">
        <v>6932800</v>
      </c>
      <c r="K6" s="127" t="n">
        <v>7623000</v>
      </c>
      <c r="L6" s="127" t="n">
        <v>4592000</v>
      </c>
      <c r="M6" s="127" t="n">
        <v>4641000</v>
      </c>
      <c r="N6" s="127" t="n">
        <v>4844000</v>
      </c>
      <c r="O6" s="127" t="n">
        <v>3930000</v>
      </c>
      <c r="P6" s="127" t="n">
        <v>2847000</v>
      </c>
      <c r="Q6" s="127" t="n">
        <v>2290000</v>
      </c>
      <c r="R6" s="127" t="n">
        <v>2004000</v>
      </c>
      <c r="S6" s="127" t="n">
        <v>607337300</v>
      </c>
    </row>
    <row r="7">
      <c r="B7" s="85" t="inlineStr">
        <is>
          <t>1월1일</t>
        </is>
      </c>
      <c r="C7" s="127" t="n"/>
      <c r="D7" s="127" t="n">
        <v>2318000</v>
      </c>
      <c r="E7" s="127" t="n"/>
      <c r="F7" s="127" t="n"/>
      <c r="G7" s="127" t="n"/>
      <c r="H7" s="127" t="n"/>
      <c r="I7" s="127" t="n"/>
      <c r="J7" s="127" t="n"/>
      <c r="K7" s="127" t="n"/>
      <c r="L7" s="127" t="n"/>
      <c r="M7" s="127" t="n"/>
      <c r="N7" s="127" t="n"/>
      <c r="O7" s="127" t="n"/>
      <c r="P7" s="127" t="n"/>
      <c r="Q7" s="127" t="n"/>
      <c r="R7" s="127" t="n"/>
      <c r="S7" s="127" t="n">
        <v>2318000</v>
      </c>
    </row>
    <row r="8">
      <c r="B8" s="85" t="inlineStr">
        <is>
          <t>1월2일</t>
        </is>
      </c>
      <c r="C8" s="127" t="n"/>
      <c r="D8" s="127" t="n">
        <v>2663000</v>
      </c>
      <c r="E8" s="127" t="n"/>
      <c r="F8" s="127" t="n"/>
      <c r="G8" s="127" t="n"/>
      <c r="H8" s="127" t="n"/>
      <c r="I8" s="127" t="n"/>
      <c r="J8" s="127" t="n"/>
      <c r="K8" s="127" t="n"/>
      <c r="L8" s="127" t="n"/>
      <c r="M8" s="127" t="n"/>
      <c r="N8" s="127" t="n"/>
      <c r="O8" s="127" t="n"/>
      <c r="P8" s="127" t="n"/>
      <c r="Q8" s="127" t="n"/>
      <c r="R8" s="127" t="n"/>
      <c r="S8" s="127" t="n">
        <v>2663000</v>
      </c>
    </row>
    <row r="9">
      <c r="B9" s="85" t="inlineStr">
        <is>
          <t>1월3일</t>
        </is>
      </c>
      <c r="C9" s="127" t="n"/>
      <c r="D9" s="127" t="n">
        <v>2308000</v>
      </c>
      <c r="E9" s="127" t="n"/>
      <c r="F9" s="127" t="n"/>
      <c r="G9" s="127" t="n"/>
      <c r="H9" s="127" t="n"/>
      <c r="I9" s="127" t="n"/>
      <c r="J9" s="127" t="n"/>
      <c r="K9" s="127" t="n"/>
      <c r="L9" s="127" t="n"/>
      <c r="M9" s="127" t="n"/>
      <c r="N9" s="127" t="n"/>
      <c r="O9" s="127" t="n">
        <v>20000</v>
      </c>
      <c r="P9" s="127" t="n"/>
      <c r="Q9" s="127" t="n"/>
      <c r="R9" s="127" t="n"/>
      <c r="S9" s="127" t="n">
        <v>2328000</v>
      </c>
    </row>
    <row r="10">
      <c r="B10" s="85" t="inlineStr">
        <is>
          <t>1월4일</t>
        </is>
      </c>
      <c r="C10" s="127" t="n"/>
      <c r="D10" s="127" t="n">
        <v>1920000</v>
      </c>
      <c r="E10" s="127" t="n"/>
      <c r="F10" s="127" t="n"/>
      <c r="G10" s="127" t="n"/>
      <c r="H10" s="127" t="n"/>
      <c r="I10" s="127" t="n"/>
      <c r="J10" s="127" t="n"/>
      <c r="K10" s="127" t="n"/>
      <c r="L10" s="127" t="n"/>
      <c r="M10" s="127" t="n"/>
      <c r="N10" s="127" t="n"/>
      <c r="O10" s="127" t="n">
        <v>20000</v>
      </c>
      <c r="P10" s="127" t="n"/>
      <c r="Q10" s="127" t="n"/>
      <c r="R10" s="127" t="n"/>
      <c r="S10" s="127" t="n">
        <v>1940000</v>
      </c>
    </row>
    <row r="11">
      <c r="B11" s="85" t="inlineStr">
        <is>
          <t>1월5일</t>
        </is>
      </c>
      <c r="C11" s="127" t="n"/>
      <c r="D11" s="127" t="n">
        <v>2181000</v>
      </c>
      <c r="E11" s="127" t="n"/>
      <c r="F11" s="127" t="n"/>
      <c r="G11" s="127" t="n"/>
      <c r="H11" s="127" t="n"/>
      <c r="I11" s="127" t="n"/>
      <c r="J11" s="127" t="n"/>
      <c r="K11" s="127" t="n"/>
      <c r="L11" s="127" t="n"/>
      <c r="M11" s="127" t="n"/>
      <c r="N11" s="127" t="n"/>
      <c r="O11" s="127" t="n">
        <v>20000</v>
      </c>
      <c r="P11" s="127" t="n"/>
      <c r="Q11" s="127" t="n"/>
      <c r="R11" s="127" t="n"/>
      <c r="S11" s="127" t="n">
        <v>2201000</v>
      </c>
    </row>
    <row r="12">
      <c r="B12" s="85" t="inlineStr">
        <is>
          <t>1월6일</t>
        </is>
      </c>
      <c r="C12" s="127" t="n"/>
      <c r="D12" s="127" t="n">
        <v>2711000</v>
      </c>
      <c r="E12" s="127" t="n"/>
      <c r="F12" s="127" t="n"/>
      <c r="G12" s="127" t="n"/>
      <c r="H12" s="127" t="n"/>
      <c r="I12" s="127" t="n"/>
      <c r="J12" s="127" t="n"/>
      <c r="K12" s="127" t="n"/>
      <c r="L12" s="127" t="n"/>
      <c r="M12" s="127" t="n"/>
      <c r="N12" s="127" t="n"/>
      <c r="O12" s="127" t="n">
        <v>40000</v>
      </c>
      <c r="P12" s="127" t="n"/>
      <c r="Q12" s="127" t="n"/>
      <c r="R12" s="127" t="n"/>
      <c r="S12" s="127" t="n">
        <v>2751000</v>
      </c>
    </row>
    <row r="13">
      <c r="B13" s="85" t="inlineStr">
        <is>
          <t>1월7일</t>
        </is>
      </c>
      <c r="C13" s="127" t="n"/>
      <c r="D13" s="127" t="n">
        <v>2448000</v>
      </c>
      <c r="E13" s="127" t="n"/>
      <c r="F13" s="127" t="n"/>
      <c r="G13" s="127" t="n"/>
      <c r="H13" s="127" t="n"/>
      <c r="I13" s="127" t="n"/>
      <c r="J13" s="127" t="n"/>
      <c r="K13" s="127" t="n"/>
      <c r="L13" s="127" t="n"/>
      <c r="M13" s="127" t="n"/>
      <c r="N13" s="127" t="n"/>
      <c r="O13" s="127" t="n">
        <v>120000</v>
      </c>
      <c r="P13" s="127" t="n"/>
      <c r="Q13" s="127" t="n"/>
      <c r="R13" s="127" t="n"/>
      <c r="S13" s="127" t="n">
        <v>2568000</v>
      </c>
    </row>
    <row r="14">
      <c r="B14" s="85" t="inlineStr">
        <is>
          <t>1월8일</t>
        </is>
      </c>
      <c r="C14" s="127" t="n"/>
      <c r="D14" s="127" t="n">
        <v>2299000</v>
      </c>
      <c r="E14" s="127" t="n"/>
      <c r="F14" s="127" t="n"/>
      <c r="G14" s="127" t="n"/>
      <c r="H14" s="127" t="n"/>
      <c r="I14" s="127" t="n"/>
      <c r="J14" s="127" t="n"/>
      <c r="K14" s="127" t="n"/>
      <c r="L14" s="127" t="n"/>
      <c r="M14" s="127" t="n"/>
      <c r="N14" s="127" t="n"/>
      <c r="O14" s="127" t="n">
        <v>40000</v>
      </c>
      <c r="P14" s="127" t="n"/>
      <c r="Q14" s="127" t="n"/>
      <c r="R14" s="127" t="n"/>
      <c r="S14" s="127" t="n">
        <v>2339000</v>
      </c>
    </row>
    <row r="15">
      <c r="B15" s="85" t="inlineStr">
        <is>
          <t>1월9일</t>
        </is>
      </c>
      <c r="C15" s="127" t="n"/>
      <c r="D15" s="127" t="n">
        <v>2714000</v>
      </c>
      <c r="E15" s="127" t="n"/>
      <c r="F15" s="127" t="n"/>
      <c r="G15" s="127" t="n"/>
      <c r="H15" s="127" t="n"/>
      <c r="I15" s="127" t="n"/>
      <c r="J15" s="127" t="n"/>
      <c r="K15" s="127" t="n"/>
      <c r="L15" s="127" t="n"/>
      <c r="M15" s="127" t="n"/>
      <c r="N15" s="127" t="n"/>
      <c r="O15" s="127" t="n">
        <v>60000</v>
      </c>
      <c r="P15" s="127" t="n"/>
      <c r="Q15" s="127" t="n"/>
      <c r="R15" s="127" t="n"/>
      <c r="S15" s="127" t="n">
        <v>2774000</v>
      </c>
    </row>
    <row r="16">
      <c r="B16" s="85" t="inlineStr">
        <is>
          <t>1월10일</t>
        </is>
      </c>
      <c r="C16" s="127" t="n"/>
      <c r="D16" s="127" t="n">
        <v>2556000</v>
      </c>
      <c r="E16" s="127" t="n"/>
      <c r="F16" s="127" t="n"/>
      <c r="G16" s="127" t="n"/>
      <c r="H16" s="127" t="n"/>
      <c r="I16" s="127" t="n"/>
      <c r="J16" s="127" t="n"/>
      <c r="K16" s="127" t="n"/>
      <c r="L16" s="127" t="n"/>
      <c r="M16" s="127" t="n"/>
      <c r="N16" s="127" t="n"/>
      <c r="O16" s="127" t="n"/>
      <c r="P16" s="127" t="n"/>
      <c r="Q16" s="127" t="n"/>
      <c r="R16" s="127" t="n"/>
      <c r="S16" s="127" t="n">
        <v>2556000</v>
      </c>
    </row>
    <row r="17">
      <c r="B17" s="85" t="inlineStr">
        <is>
          <t>1월11일</t>
        </is>
      </c>
      <c r="C17" s="127" t="n"/>
      <c r="D17" s="127" t="n">
        <v>2209000</v>
      </c>
      <c r="E17" s="127" t="n"/>
      <c r="F17" s="127" t="n"/>
      <c r="G17" s="127" t="n"/>
      <c r="H17" s="127" t="n"/>
      <c r="I17" s="127" t="n"/>
      <c r="J17" s="127" t="n"/>
      <c r="K17" s="127" t="n"/>
      <c r="L17" s="127" t="n"/>
      <c r="M17" s="127" t="n"/>
      <c r="N17" s="127" t="n"/>
      <c r="O17" s="127" t="n">
        <v>20000</v>
      </c>
      <c r="P17" s="127" t="n"/>
      <c r="Q17" s="127" t="n"/>
      <c r="R17" s="127" t="n"/>
      <c r="S17" s="127" t="n">
        <v>2229000</v>
      </c>
    </row>
    <row r="18">
      <c r="B18" s="85" t="inlineStr">
        <is>
          <t>1월12일</t>
        </is>
      </c>
      <c r="C18" s="127" t="n"/>
      <c r="D18" s="127" t="n">
        <v>3011000</v>
      </c>
      <c r="E18" s="127" t="n"/>
      <c r="F18" s="127" t="n"/>
      <c r="G18" s="127" t="n"/>
      <c r="H18" s="127" t="n"/>
      <c r="I18" s="127" t="n"/>
      <c r="J18" s="127" t="n"/>
      <c r="K18" s="127" t="n"/>
      <c r="L18" s="127" t="n"/>
      <c r="M18" s="127" t="n"/>
      <c r="N18" s="127" t="n"/>
      <c r="O18" s="127" t="n">
        <v>40000</v>
      </c>
      <c r="P18" s="127" t="n"/>
      <c r="Q18" s="127" t="n"/>
      <c r="R18" s="127" t="n"/>
      <c r="S18" s="127" t="n">
        <v>3051000</v>
      </c>
    </row>
    <row r="19">
      <c r="B19" s="85" t="inlineStr">
        <is>
          <t>1월13일</t>
        </is>
      </c>
      <c r="C19" s="127" t="n"/>
      <c r="D19" s="127" t="n">
        <v>7620000</v>
      </c>
      <c r="E19" s="127" t="n"/>
      <c r="F19" s="127" t="n"/>
      <c r="G19" s="127" t="n"/>
      <c r="H19" s="127" t="n"/>
      <c r="I19" s="127" t="n"/>
      <c r="J19" s="127" t="n"/>
      <c r="K19" s="127" t="n"/>
      <c r="L19" s="127" t="n"/>
      <c r="M19" s="127" t="n"/>
      <c r="N19" s="127" t="n"/>
      <c r="O19" s="127" t="n">
        <v>40000</v>
      </c>
      <c r="P19" s="127" t="n"/>
      <c r="Q19" s="127" t="n"/>
      <c r="R19" s="127" t="n"/>
      <c r="S19" s="127" t="n">
        <v>7660000</v>
      </c>
    </row>
    <row r="20">
      <c r="B20" s="85" t="inlineStr">
        <is>
          <t>1월14일</t>
        </is>
      </c>
      <c r="C20" s="127" t="n"/>
      <c r="D20" s="127" t="n">
        <v>3835000</v>
      </c>
      <c r="E20" s="127" t="n"/>
      <c r="F20" s="127" t="n"/>
      <c r="G20" s="127" t="n"/>
      <c r="H20" s="127" t="n"/>
      <c r="I20" s="127" t="n"/>
      <c r="J20" s="127" t="n"/>
      <c r="K20" s="127" t="n"/>
      <c r="L20" s="127" t="n"/>
      <c r="M20" s="127" t="n"/>
      <c r="N20" s="127" t="n"/>
      <c r="O20" s="127" t="n">
        <v>20000</v>
      </c>
      <c r="P20" s="127" t="n"/>
      <c r="Q20" s="127" t="n"/>
      <c r="R20" s="127" t="n"/>
      <c r="S20" s="127" t="n">
        <v>3855000</v>
      </c>
    </row>
    <row r="21">
      <c r="B21" s="85" t="inlineStr">
        <is>
          <t>1월15일</t>
        </is>
      </c>
      <c r="C21" s="127" t="n"/>
      <c r="D21" s="127" t="n">
        <v>3092000</v>
      </c>
      <c r="E21" s="127" t="n"/>
      <c r="F21" s="127" t="n"/>
      <c r="G21" s="127" t="n"/>
      <c r="H21" s="127" t="n"/>
      <c r="I21" s="127" t="n"/>
      <c r="J21" s="127" t="n"/>
      <c r="K21" s="127" t="n"/>
      <c r="L21" s="127" t="n"/>
      <c r="M21" s="127" t="n"/>
      <c r="N21" s="127" t="n">
        <v>28000</v>
      </c>
      <c r="O21" s="127" t="n">
        <v>60000</v>
      </c>
      <c r="P21" s="127" t="n"/>
      <c r="Q21" s="127" t="n"/>
      <c r="R21" s="127" t="n"/>
      <c r="S21" s="127" t="n">
        <v>3180000</v>
      </c>
    </row>
    <row r="22">
      <c r="B22" s="85" t="inlineStr">
        <is>
          <t>1월16일</t>
        </is>
      </c>
      <c r="C22" s="127" t="n"/>
      <c r="D22" s="127" t="n">
        <v>2215000</v>
      </c>
      <c r="E22" s="127" t="n"/>
      <c r="F22" s="127" t="n"/>
      <c r="G22" s="127" t="n"/>
      <c r="H22" s="127" t="n"/>
      <c r="I22" s="127" t="n"/>
      <c r="J22" s="127" t="n"/>
      <c r="K22" s="127" t="n"/>
      <c r="L22" s="127" t="n"/>
      <c r="M22" s="127" t="n"/>
      <c r="N22" s="127" t="n">
        <v>8000</v>
      </c>
      <c r="O22" s="127" t="n">
        <v>20000</v>
      </c>
      <c r="P22" s="127" t="n"/>
      <c r="Q22" s="127" t="n"/>
      <c r="R22" s="127" t="n"/>
      <c r="S22" s="127" t="n">
        <v>2243000</v>
      </c>
    </row>
    <row r="23">
      <c r="B23" s="85" t="inlineStr">
        <is>
          <t>1월17일</t>
        </is>
      </c>
      <c r="C23" s="127" t="n"/>
      <c r="D23" s="127" t="n">
        <v>2541000</v>
      </c>
      <c r="E23" s="127" t="n"/>
      <c r="F23" s="127" t="n"/>
      <c r="G23" s="127" t="n"/>
      <c r="H23" s="127" t="n"/>
      <c r="I23" s="127" t="n"/>
      <c r="J23" s="127" t="n"/>
      <c r="K23" s="127" t="n"/>
      <c r="L23" s="127" t="n"/>
      <c r="M23" s="127" t="n"/>
      <c r="N23" s="127" t="n"/>
      <c r="O23" s="127" t="n">
        <v>40000</v>
      </c>
      <c r="P23" s="127" t="n"/>
      <c r="Q23" s="127" t="n"/>
      <c r="R23" s="127" t="n"/>
      <c r="S23" s="127" t="n">
        <v>2581000</v>
      </c>
    </row>
    <row r="24">
      <c r="B24" s="85" t="inlineStr">
        <is>
          <t>1월18일</t>
        </is>
      </c>
      <c r="C24" s="127" t="n"/>
      <c r="D24" s="127" t="n">
        <v>2300000</v>
      </c>
      <c r="E24" s="127" t="n"/>
      <c r="F24" s="127" t="n"/>
      <c r="G24" s="127" t="n"/>
      <c r="H24" s="127" t="n"/>
      <c r="I24" s="127" t="n"/>
      <c r="J24" s="127" t="n"/>
      <c r="K24" s="127" t="n"/>
      <c r="L24" s="127" t="n"/>
      <c r="M24" s="127" t="n"/>
      <c r="N24" s="127" t="n">
        <v>8000</v>
      </c>
      <c r="O24" s="127" t="n">
        <v>40000</v>
      </c>
      <c r="P24" s="127" t="n"/>
      <c r="Q24" s="127" t="n"/>
      <c r="R24" s="127" t="n"/>
      <c r="S24" s="127" t="n">
        <v>2348000</v>
      </c>
    </row>
    <row r="25">
      <c r="B25" s="85" t="inlineStr">
        <is>
          <t>1월19일</t>
        </is>
      </c>
      <c r="C25" s="127" t="n"/>
      <c r="D25" s="127" t="n">
        <v>2560000</v>
      </c>
      <c r="E25" s="127" t="n"/>
      <c r="F25" s="127" t="n"/>
      <c r="G25" s="127" t="n"/>
      <c r="H25" s="127" t="n"/>
      <c r="I25" s="127" t="n"/>
      <c r="J25" s="127" t="n"/>
      <c r="K25" s="127" t="n"/>
      <c r="L25" s="127" t="n"/>
      <c r="M25" s="127" t="n"/>
      <c r="N25" s="127" t="n">
        <v>28000</v>
      </c>
      <c r="O25" s="127" t="n">
        <v>60000</v>
      </c>
      <c r="P25" s="127" t="n"/>
      <c r="Q25" s="127" t="n"/>
      <c r="R25" s="127" t="n"/>
      <c r="S25" s="127" t="n">
        <v>2648000</v>
      </c>
    </row>
    <row r="26">
      <c r="B26" s="85" t="inlineStr">
        <is>
          <t>1월20일</t>
        </is>
      </c>
      <c r="C26" s="127" t="n"/>
      <c r="D26" s="127" t="n">
        <v>2750000</v>
      </c>
      <c r="E26" s="127" t="n"/>
      <c r="F26" s="127" t="n"/>
      <c r="G26" s="127" t="n"/>
      <c r="H26" s="127" t="n"/>
      <c r="I26" s="127" t="n"/>
      <c r="J26" s="127" t="n"/>
      <c r="K26" s="127" t="n"/>
      <c r="L26" s="127" t="n"/>
      <c r="M26" s="127" t="n"/>
      <c r="N26" s="127" t="n"/>
      <c r="O26" s="127" t="n">
        <v>60000</v>
      </c>
      <c r="P26" s="127" t="n"/>
      <c r="Q26" s="127" t="n"/>
      <c r="R26" s="127" t="n"/>
      <c r="S26" s="127" t="n">
        <v>2810000</v>
      </c>
    </row>
    <row r="27">
      <c r="B27" s="85" t="inlineStr">
        <is>
          <t>1월21일</t>
        </is>
      </c>
      <c r="C27" s="127" t="n"/>
      <c r="D27" s="127" t="n">
        <v>2343000</v>
      </c>
      <c r="E27" s="127" t="n"/>
      <c r="F27" s="127" t="n"/>
      <c r="G27" s="127" t="n"/>
      <c r="H27" s="127" t="n"/>
      <c r="I27" s="127" t="n"/>
      <c r="J27" s="127" t="n"/>
      <c r="K27" s="127" t="n"/>
      <c r="L27" s="127" t="n"/>
      <c r="M27" s="127" t="n"/>
      <c r="N27" s="127" t="n"/>
      <c r="O27" s="127" t="n">
        <v>40000</v>
      </c>
      <c r="P27" s="127" t="n"/>
      <c r="Q27" s="127" t="n"/>
      <c r="R27" s="127" t="n"/>
      <c r="S27" s="127" t="n">
        <v>2383000</v>
      </c>
    </row>
    <row r="28">
      <c r="B28" s="85" t="inlineStr">
        <is>
          <t>1월22일</t>
        </is>
      </c>
      <c r="C28" s="127" t="n"/>
      <c r="D28" s="127" t="n">
        <v>1891000</v>
      </c>
      <c r="E28" s="127" t="n"/>
      <c r="F28" s="127" t="n"/>
      <c r="G28" s="127" t="n"/>
      <c r="H28" s="127" t="n"/>
      <c r="I28" s="127" t="n"/>
      <c r="J28" s="127" t="n"/>
      <c r="K28" s="127" t="n"/>
      <c r="L28" s="127" t="n"/>
      <c r="M28" s="127" t="n"/>
      <c r="N28" s="127" t="n"/>
      <c r="O28" s="127" t="n">
        <v>40000</v>
      </c>
      <c r="P28" s="127" t="n"/>
      <c r="Q28" s="127" t="n"/>
      <c r="R28" s="127" t="n"/>
      <c r="S28" s="127" t="n">
        <v>1931000</v>
      </c>
    </row>
    <row r="29">
      <c r="B29" s="85" t="inlineStr">
        <is>
          <t>1월23일</t>
        </is>
      </c>
      <c r="C29" s="127" t="n"/>
      <c r="D29" s="127" t="n">
        <v>1763000</v>
      </c>
      <c r="E29" s="127" t="n"/>
      <c r="F29" s="127" t="n"/>
      <c r="G29" s="127" t="n"/>
      <c r="H29" s="127" t="n"/>
      <c r="I29" s="127" t="n"/>
      <c r="J29" s="127" t="n"/>
      <c r="K29" s="127" t="n"/>
      <c r="L29" s="127" t="n"/>
      <c r="M29" s="127" t="n"/>
      <c r="N29" s="127" t="n"/>
      <c r="O29" s="127" t="n">
        <v>20000</v>
      </c>
      <c r="P29" s="127" t="n"/>
      <c r="Q29" s="127" t="n"/>
      <c r="R29" s="127" t="n"/>
      <c r="S29" s="127" t="n">
        <v>1783000</v>
      </c>
    </row>
    <row r="30">
      <c r="B30" s="85" t="inlineStr">
        <is>
          <t>1월24일</t>
        </is>
      </c>
      <c r="C30" s="127" t="n"/>
      <c r="D30" s="127" t="n">
        <v>2053000</v>
      </c>
      <c r="E30" s="127" t="n"/>
      <c r="F30" s="127" t="n"/>
      <c r="G30" s="127" t="n"/>
      <c r="H30" s="127" t="n"/>
      <c r="I30" s="127" t="n"/>
      <c r="J30" s="127" t="n"/>
      <c r="K30" s="127" t="n"/>
      <c r="L30" s="127" t="n"/>
      <c r="M30" s="127" t="n"/>
      <c r="N30" s="127" t="n"/>
      <c r="O30" s="127" t="n">
        <v>40000</v>
      </c>
      <c r="P30" s="127" t="n"/>
      <c r="Q30" s="127" t="n"/>
      <c r="R30" s="127" t="n"/>
      <c r="S30" s="127" t="n">
        <v>2093000</v>
      </c>
    </row>
    <row r="31">
      <c r="B31" s="85" t="inlineStr">
        <is>
          <t>1월25일</t>
        </is>
      </c>
      <c r="C31" s="127" t="n"/>
      <c r="D31" s="127" t="n">
        <v>1949000</v>
      </c>
      <c r="E31" s="127" t="n"/>
      <c r="F31" s="127" t="n"/>
      <c r="G31" s="127" t="n"/>
      <c r="H31" s="127" t="n"/>
      <c r="I31" s="127" t="n"/>
      <c r="J31" s="127" t="n"/>
      <c r="K31" s="127" t="n"/>
      <c r="L31" s="127" t="n"/>
      <c r="M31" s="127" t="n"/>
      <c r="N31" s="127" t="n"/>
      <c r="O31" s="127" t="n">
        <v>60000</v>
      </c>
      <c r="P31" s="127" t="n"/>
      <c r="Q31" s="127" t="n"/>
      <c r="R31" s="127" t="n"/>
      <c r="S31" s="127" t="n">
        <v>2009000</v>
      </c>
    </row>
    <row r="32">
      <c r="B32" s="85" t="inlineStr">
        <is>
          <t>1월26일</t>
        </is>
      </c>
      <c r="C32" s="127" t="n"/>
      <c r="D32" s="127" t="n">
        <v>2953000</v>
      </c>
      <c r="E32" s="127" t="n"/>
      <c r="F32" s="127" t="n"/>
      <c r="G32" s="127" t="n"/>
      <c r="H32" s="127" t="n"/>
      <c r="I32" s="127" t="n"/>
      <c r="J32" s="127" t="n"/>
      <c r="K32" s="127" t="n"/>
      <c r="L32" s="127" t="n"/>
      <c r="M32" s="127" t="n"/>
      <c r="N32" s="127" t="n">
        <v>12000</v>
      </c>
      <c r="O32" s="127" t="n">
        <v>20000</v>
      </c>
      <c r="P32" s="127" t="n"/>
      <c r="Q32" s="127" t="n"/>
      <c r="R32" s="127" t="n"/>
      <c r="S32" s="127" t="n">
        <v>2985000</v>
      </c>
    </row>
    <row r="33">
      <c r="B33" s="85" t="inlineStr">
        <is>
          <t>1월27일</t>
        </is>
      </c>
      <c r="C33" s="127" t="n"/>
      <c r="D33" s="127" t="n">
        <v>4355000</v>
      </c>
      <c r="E33" s="127" t="n"/>
      <c r="F33" s="127" t="n"/>
      <c r="G33" s="127" t="n"/>
      <c r="H33" s="127" t="n"/>
      <c r="I33" s="127" t="n"/>
      <c r="J33" s="127" t="n"/>
      <c r="K33" s="127" t="n"/>
      <c r="L33" s="127" t="n"/>
      <c r="M33" s="127" t="n"/>
      <c r="N33" s="127" t="n">
        <v>4000</v>
      </c>
      <c r="O33" s="127" t="n">
        <v>80000</v>
      </c>
      <c r="P33" s="127" t="n"/>
      <c r="Q33" s="127" t="n"/>
      <c r="R33" s="127" t="n"/>
      <c r="S33" s="127" t="n">
        <v>4439000</v>
      </c>
    </row>
    <row r="34">
      <c r="B34" s="85" t="inlineStr">
        <is>
          <t>1월28일</t>
        </is>
      </c>
      <c r="C34" s="127" t="n"/>
      <c r="D34" s="127" t="n">
        <v>4514000</v>
      </c>
      <c r="E34" s="127" t="n"/>
      <c r="F34" s="127" t="n"/>
      <c r="G34" s="127" t="n"/>
      <c r="H34" s="127" t="n"/>
      <c r="I34" s="127" t="n"/>
      <c r="J34" s="127" t="n"/>
      <c r="K34" s="127" t="n"/>
      <c r="L34" s="127" t="n"/>
      <c r="M34" s="127" t="n"/>
      <c r="N34" s="127" t="n"/>
      <c r="O34" s="127" t="n">
        <v>60000</v>
      </c>
      <c r="P34" s="127" t="n"/>
      <c r="Q34" s="127" t="n"/>
      <c r="R34" s="127" t="n"/>
      <c r="S34" s="127" t="n">
        <v>4574000</v>
      </c>
    </row>
    <row r="35">
      <c r="B35" s="85" t="inlineStr">
        <is>
          <t>1월29일</t>
        </is>
      </c>
      <c r="C35" s="127" t="n"/>
      <c r="D35" s="127" t="n">
        <v>6471000</v>
      </c>
      <c r="E35" s="127" t="n"/>
      <c r="F35" s="127" t="n"/>
      <c r="G35" s="127" t="n"/>
      <c r="H35" s="127" t="n"/>
      <c r="I35" s="127" t="n"/>
      <c r="J35" s="127" t="n"/>
      <c r="K35" s="127" t="n"/>
      <c r="L35" s="127" t="n"/>
      <c r="M35" s="127" t="n"/>
      <c r="N35" s="127" t="n"/>
      <c r="O35" s="127" t="n">
        <v>100000</v>
      </c>
      <c r="P35" s="127" t="n"/>
      <c r="Q35" s="127" t="n"/>
      <c r="R35" s="127" t="n"/>
      <c r="S35" s="127" t="n">
        <v>6571000</v>
      </c>
    </row>
    <row r="36">
      <c r="B36" s="85" t="inlineStr">
        <is>
          <t>1월30일</t>
        </is>
      </c>
      <c r="C36" s="127" t="n"/>
      <c r="D36" s="127" t="n">
        <v>5975000</v>
      </c>
      <c r="E36" s="127" t="n"/>
      <c r="F36" s="127" t="n"/>
      <c r="G36" s="127" t="n"/>
      <c r="H36" s="127" t="n"/>
      <c r="I36" s="127" t="n"/>
      <c r="J36" s="127" t="n"/>
      <c r="K36" s="127" t="n"/>
      <c r="L36" s="127" t="n"/>
      <c r="M36" s="127" t="n"/>
      <c r="N36" s="127" t="n"/>
      <c r="O36" s="127" t="n">
        <v>40000</v>
      </c>
      <c r="P36" s="127" t="n"/>
      <c r="Q36" s="127" t="n"/>
      <c r="R36" s="127" t="n"/>
      <c r="S36" s="127" t="n">
        <v>6015000</v>
      </c>
    </row>
    <row r="37">
      <c r="B37" s="85" t="inlineStr">
        <is>
          <t>1월31일</t>
        </is>
      </c>
      <c r="C37" s="127" t="n"/>
      <c r="D37" s="127" t="n">
        <v>4156000</v>
      </c>
      <c r="E37" s="127" t="n"/>
      <c r="F37" s="127" t="n"/>
      <c r="G37" s="127" t="n"/>
      <c r="H37" s="127" t="n"/>
      <c r="I37" s="127" t="n"/>
      <c r="J37" s="127" t="n"/>
      <c r="K37" s="127" t="n"/>
      <c r="L37" s="127" t="n"/>
      <c r="M37" s="127" t="n"/>
      <c r="N37" s="127" t="n">
        <v>4000</v>
      </c>
      <c r="O37" s="127" t="n">
        <v>80000</v>
      </c>
      <c r="P37" s="127" t="n"/>
      <c r="Q37" s="127" t="n"/>
      <c r="R37" s="127" t="n"/>
      <c r="S37" s="127" t="n">
        <v>4240000</v>
      </c>
    </row>
    <row r="38">
      <c r="B38" s="85" t="inlineStr">
        <is>
          <t>12월1일</t>
        </is>
      </c>
      <c r="C38" s="127" t="n">
        <v>4233600</v>
      </c>
      <c r="D38" s="127" t="n">
        <v>4815000</v>
      </c>
      <c r="E38" s="127" t="n">
        <v>2151800</v>
      </c>
      <c r="F38" s="127" t="n">
        <v>1780800</v>
      </c>
      <c r="G38" s="127" t="n">
        <v>1480000</v>
      </c>
      <c r="H38" s="127" t="n">
        <v>570000</v>
      </c>
      <c r="I38" s="127" t="n">
        <v>409000</v>
      </c>
      <c r="J38" s="127" t="n">
        <v>380800</v>
      </c>
      <c r="K38" s="127" t="n">
        <v>297000</v>
      </c>
      <c r="L38" s="127" t="n">
        <v>260000</v>
      </c>
      <c r="M38" s="127" t="n">
        <v>252000</v>
      </c>
      <c r="N38" s="127" t="n"/>
      <c r="O38" s="127" t="n">
        <v>60000</v>
      </c>
      <c r="P38" s="127" t="n">
        <v>91000</v>
      </c>
      <c r="Q38" s="127" t="n">
        <v>115000</v>
      </c>
      <c r="R38" s="127" t="n">
        <v>64000</v>
      </c>
      <c r="S38" s="127" t="n">
        <v>16960000</v>
      </c>
    </row>
    <row r="39">
      <c r="B39" s="85" t="inlineStr">
        <is>
          <t>12월2일</t>
        </is>
      </c>
      <c r="C39" s="127" t="n">
        <v>4334400</v>
      </c>
      <c r="D39" s="127" t="n">
        <v>4113000</v>
      </c>
      <c r="E39" s="127" t="n">
        <v>1855000</v>
      </c>
      <c r="F39" s="127" t="n">
        <v>1446900</v>
      </c>
      <c r="G39" s="127" t="n">
        <v>1536000</v>
      </c>
      <c r="H39" s="127" t="n">
        <v>342000</v>
      </c>
      <c r="I39" s="127" t="n">
        <v>520000</v>
      </c>
      <c r="J39" s="127" t="n">
        <v>196000</v>
      </c>
      <c r="K39" s="127" t="n">
        <v>198000</v>
      </c>
      <c r="L39" s="127" t="n">
        <v>292000</v>
      </c>
      <c r="M39" s="127" t="n">
        <v>224000</v>
      </c>
      <c r="N39" s="127" t="n">
        <v>183000</v>
      </c>
      <c r="O39" s="127" t="n">
        <v>60000</v>
      </c>
      <c r="P39" s="127" t="n">
        <v>119600</v>
      </c>
      <c r="Q39" s="127" t="n">
        <v>75000</v>
      </c>
      <c r="R39" s="127" t="n">
        <v>20000</v>
      </c>
      <c r="S39" s="127" t="n">
        <v>15514900</v>
      </c>
    </row>
    <row r="40">
      <c r="B40" s="85" t="inlineStr">
        <is>
          <t>12월3일</t>
        </is>
      </c>
      <c r="C40" s="127" t="n">
        <v>4082400</v>
      </c>
      <c r="D40" s="127" t="n">
        <v>2956000</v>
      </c>
      <c r="E40" s="127" t="n">
        <v>1595300</v>
      </c>
      <c r="F40" s="127" t="n">
        <v>1038800</v>
      </c>
      <c r="G40" s="127" t="n">
        <v>972000</v>
      </c>
      <c r="H40" s="127" t="n">
        <v>228000</v>
      </c>
      <c r="I40" s="127" t="n">
        <v>200000</v>
      </c>
      <c r="J40" s="127" t="n">
        <v>134400</v>
      </c>
      <c r="K40" s="127" t="n">
        <v>594000</v>
      </c>
      <c r="L40" s="127" t="n">
        <v>224000</v>
      </c>
      <c r="M40" s="127" t="n">
        <v>182000</v>
      </c>
      <c r="N40" s="127" t="n">
        <v>147000</v>
      </c>
      <c r="O40" s="127" t="n">
        <v>130000</v>
      </c>
      <c r="P40" s="127" t="n">
        <v>104000</v>
      </c>
      <c r="Q40" s="127" t="n">
        <v>40000</v>
      </c>
      <c r="R40" s="127" t="n">
        <v>100000</v>
      </c>
      <c r="S40" s="127" t="n">
        <v>12727900</v>
      </c>
    </row>
    <row r="41">
      <c r="B41" s="85" t="inlineStr">
        <is>
          <t>12월4일</t>
        </is>
      </c>
      <c r="C41" s="127" t="n">
        <v>3376800</v>
      </c>
      <c r="D41" s="127" t="n">
        <v>2313000</v>
      </c>
      <c r="E41" s="127" t="n">
        <v>1224300</v>
      </c>
      <c r="F41" s="127" t="n">
        <v>704900</v>
      </c>
      <c r="G41" s="127" t="n">
        <v>984000</v>
      </c>
      <c r="H41" s="127" t="n">
        <v>190000</v>
      </c>
      <c r="I41" s="127" t="n">
        <v>288000</v>
      </c>
      <c r="J41" s="127" t="n">
        <v>151200</v>
      </c>
      <c r="K41" s="127" t="n">
        <v>198000</v>
      </c>
      <c r="L41" s="127" t="n">
        <v>84000</v>
      </c>
      <c r="M41" s="127" t="n">
        <v>112000</v>
      </c>
      <c r="N41" s="127" t="n">
        <v>126000</v>
      </c>
      <c r="O41" s="127" t="n"/>
      <c r="P41" s="127" t="n">
        <v>54600</v>
      </c>
      <c r="Q41" s="127" t="n">
        <v>115000</v>
      </c>
      <c r="R41" s="127" t="n">
        <v>40000</v>
      </c>
      <c r="S41" s="127" t="n">
        <v>9961800</v>
      </c>
    </row>
    <row r="42">
      <c r="B42" s="85" t="inlineStr">
        <is>
          <t>12월5일</t>
        </is>
      </c>
      <c r="C42" s="127" t="n">
        <v>2441600</v>
      </c>
      <c r="D42" s="127" t="n">
        <v>1690000</v>
      </c>
      <c r="E42" s="127" t="n">
        <v>890400</v>
      </c>
      <c r="F42" s="127" t="n">
        <v>593600</v>
      </c>
      <c r="G42" s="127" t="n">
        <v>612000</v>
      </c>
      <c r="H42" s="127" t="n">
        <v>190000</v>
      </c>
      <c r="I42" s="127" t="n">
        <v>187000</v>
      </c>
      <c r="J42" s="127" t="n">
        <v>173600</v>
      </c>
      <c r="K42" s="127" t="n">
        <v>198000</v>
      </c>
      <c r="L42" s="127" t="n">
        <v>88000</v>
      </c>
      <c r="M42" s="127" t="n">
        <v>182000</v>
      </c>
      <c r="N42" s="127" t="n">
        <v>111000</v>
      </c>
      <c r="O42" s="127" t="n">
        <v>130000</v>
      </c>
      <c r="P42" s="127" t="n"/>
      <c r="Q42" s="127" t="n">
        <v>75000</v>
      </c>
      <c r="R42" s="127" t="n">
        <v>24000</v>
      </c>
      <c r="S42" s="127" t="n">
        <v>7586200</v>
      </c>
    </row>
    <row r="43">
      <c r="B43" s="85" t="inlineStr">
        <is>
          <t>12월6일</t>
        </is>
      </c>
      <c r="C43" s="127" t="n">
        <v>2889600</v>
      </c>
      <c r="D43" s="127" t="n">
        <v>3069000</v>
      </c>
      <c r="E43" s="127" t="n">
        <v>1372700</v>
      </c>
      <c r="F43" s="127" t="n">
        <v>1001700</v>
      </c>
      <c r="G43" s="127" t="n">
        <v>844000</v>
      </c>
      <c r="H43" s="127" t="n">
        <v>456000</v>
      </c>
      <c r="I43" s="127" t="n">
        <v>239000</v>
      </c>
      <c r="J43" s="127" t="n">
        <v>134400</v>
      </c>
      <c r="K43" s="127" t="n">
        <v>495000</v>
      </c>
      <c r="L43" s="127" t="n">
        <v>148000</v>
      </c>
      <c r="M43" s="127" t="n">
        <v>182000</v>
      </c>
      <c r="N43" s="127" t="n">
        <v>186000</v>
      </c>
      <c r="O43" s="127" t="n">
        <v>170000</v>
      </c>
      <c r="P43" s="127" t="n">
        <v>122200</v>
      </c>
      <c r="Q43" s="127" t="n">
        <v>115000</v>
      </c>
      <c r="R43" s="127" t="n">
        <v>44000</v>
      </c>
      <c r="S43" s="127" t="n">
        <v>11468600</v>
      </c>
    </row>
    <row r="44">
      <c r="B44" s="85" t="inlineStr">
        <is>
          <t>12월7일</t>
        </is>
      </c>
      <c r="C44" s="127" t="n">
        <v>6580000</v>
      </c>
      <c r="D44" s="127" t="n">
        <v>6392000</v>
      </c>
      <c r="E44" s="127" t="n">
        <v>2782500</v>
      </c>
      <c r="F44" s="127" t="n">
        <v>1409800</v>
      </c>
      <c r="G44" s="127" t="n">
        <v>1968000</v>
      </c>
      <c r="H44" s="127" t="n">
        <v>380000</v>
      </c>
      <c r="I44" s="127" t="n">
        <v>340000</v>
      </c>
      <c r="J44" s="127" t="n">
        <v>246400</v>
      </c>
      <c r="K44" s="127" t="n">
        <v>693000</v>
      </c>
      <c r="L44" s="127" t="n">
        <v>248000</v>
      </c>
      <c r="M44" s="127" t="n">
        <v>112000</v>
      </c>
      <c r="N44" s="127" t="n">
        <v>252000</v>
      </c>
      <c r="O44" s="127" t="n">
        <v>80000</v>
      </c>
      <c r="P44" s="127" t="n">
        <v>158600</v>
      </c>
      <c r="Q44" s="127" t="n">
        <v>120000</v>
      </c>
      <c r="R44" s="127" t="n">
        <v>100000</v>
      </c>
      <c r="S44" s="127" t="n">
        <v>21862300</v>
      </c>
    </row>
    <row r="45">
      <c r="B45" s="85" t="inlineStr">
        <is>
          <t>12월8일</t>
        </is>
      </c>
      <c r="C45" s="127" t="n">
        <v>3152800</v>
      </c>
      <c r="D45" s="127" t="n">
        <v>3002000</v>
      </c>
      <c r="E45" s="127" t="n">
        <v>1446900</v>
      </c>
      <c r="F45" s="127" t="n">
        <v>779100</v>
      </c>
      <c r="G45" s="127" t="n">
        <v>1016000</v>
      </c>
      <c r="H45" s="127" t="n">
        <v>152000</v>
      </c>
      <c r="I45" s="127" t="n">
        <v>231000</v>
      </c>
      <c r="J45" s="127" t="n">
        <v>84000</v>
      </c>
      <c r="K45" s="127" t="n">
        <v>198000</v>
      </c>
      <c r="L45" s="127" t="n">
        <v>132000</v>
      </c>
      <c r="M45" s="127" t="n">
        <v>105000</v>
      </c>
      <c r="N45" s="127" t="n">
        <v>123000</v>
      </c>
      <c r="O45" s="127" t="n">
        <v>55000</v>
      </c>
      <c r="P45" s="127" t="n">
        <v>106600</v>
      </c>
      <c r="Q45" s="127" t="n">
        <v>40000</v>
      </c>
      <c r="R45" s="127" t="n">
        <v>88000</v>
      </c>
      <c r="S45" s="127" t="n">
        <v>10711400</v>
      </c>
    </row>
    <row r="46">
      <c r="B46" s="85" t="inlineStr">
        <is>
          <t>12월9일</t>
        </is>
      </c>
      <c r="C46" s="127" t="n">
        <v>2144800</v>
      </c>
      <c r="D46" s="127" t="n">
        <v>2400000</v>
      </c>
      <c r="E46" s="127" t="n">
        <v>1224300</v>
      </c>
      <c r="F46" s="127" t="n">
        <v>927500</v>
      </c>
      <c r="G46" s="127" t="n">
        <v>1012000</v>
      </c>
      <c r="H46" s="127" t="n">
        <v>76000</v>
      </c>
      <c r="I46" s="127" t="n">
        <v>154000</v>
      </c>
      <c r="J46" s="127" t="n">
        <v>162400</v>
      </c>
      <c r="K46" s="127" t="n">
        <v>99000</v>
      </c>
      <c r="L46" s="127" t="n">
        <v>88000</v>
      </c>
      <c r="M46" s="127" t="n">
        <v>168000</v>
      </c>
      <c r="N46" s="127" t="n">
        <v>126000</v>
      </c>
      <c r="O46" s="127" t="n">
        <v>55000</v>
      </c>
      <c r="P46" s="127" t="n">
        <v>91000</v>
      </c>
      <c r="Q46" s="127" t="n">
        <v>75000</v>
      </c>
      <c r="R46" s="127" t="n">
        <v>4000</v>
      </c>
      <c r="S46" s="127" t="n">
        <v>8807000</v>
      </c>
    </row>
    <row r="47">
      <c r="B47" s="85" t="inlineStr">
        <is>
          <t>12월10일</t>
        </is>
      </c>
      <c r="C47" s="127" t="n">
        <v>2598400</v>
      </c>
      <c r="D47" s="127" t="n">
        <v>3377000</v>
      </c>
      <c r="E47" s="127" t="n">
        <v>1298500</v>
      </c>
      <c r="F47" s="127" t="n">
        <v>816200</v>
      </c>
      <c r="G47" s="127" t="n">
        <v>544000</v>
      </c>
      <c r="H47" s="127" t="n">
        <v>228000</v>
      </c>
      <c r="I47" s="127" t="n">
        <v>219000</v>
      </c>
      <c r="J47" s="127" t="n">
        <v>179200</v>
      </c>
      <c r="K47" s="127" t="n">
        <v>198000</v>
      </c>
      <c r="L47" s="127" t="n">
        <v>112000</v>
      </c>
      <c r="M47" s="127" t="n">
        <v>56000</v>
      </c>
      <c r="N47" s="127" t="n">
        <v>132000</v>
      </c>
      <c r="O47" s="127" t="n">
        <v>100000</v>
      </c>
      <c r="P47" s="127" t="n">
        <v>70200</v>
      </c>
      <c r="Q47" s="127" t="n">
        <v>20000</v>
      </c>
      <c r="R47" s="127" t="n">
        <v>100000</v>
      </c>
      <c r="S47" s="127" t="n">
        <v>10048500</v>
      </c>
    </row>
    <row r="48">
      <c r="B48" s="85" t="inlineStr">
        <is>
          <t>12월11일</t>
        </is>
      </c>
      <c r="C48" s="127" t="n">
        <v>1769600</v>
      </c>
      <c r="D48" s="127" t="n">
        <v>2580000</v>
      </c>
      <c r="E48" s="127" t="n">
        <v>1224300</v>
      </c>
      <c r="F48" s="127" t="n">
        <v>853300</v>
      </c>
      <c r="G48" s="127" t="n">
        <v>568000</v>
      </c>
      <c r="H48" s="127" t="n">
        <v>304000</v>
      </c>
      <c r="I48" s="127" t="n">
        <v>146000</v>
      </c>
      <c r="J48" s="127" t="n">
        <v>44800</v>
      </c>
      <c r="K48" s="127" t="n">
        <v>99000</v>
      </c>
      <c r="L48" s="127" t="n">
        <v>32000</v>
      </c>
      <c r="M48" s="127" t="n">
        <v>77000</v>
      </c>
      <c r="N48" s="127" t="n">
        <v>96000</v>
      </c>
      <c r="O48" s="127" t="n">
        <v>95000</v>
      </c>
      <c r="P48" s="127" t="n">
        <v>33800</v>
      </c>
      <c r="Q48" s="127" t="n">
        <v>60000</v>
      </c>
      <c r="R48" s="127" t="n">
        <v>44000</v>
      </c>
      <c r="S48" s="127" t="n">
        <v>8026800</v>
      </c>
    </row>
    <row r="49">
      <c r="B49" s="85" t="inlineStr">
        <is>
          <t>12월12일</t>
        </is>
      </c>
      <c r="C49" s="127" t="n">
        <v>1366400</v>
      </c>
      <c r="D49" s="127" t="n">
        <v>2006000</v>
      </c>
      <c r="E49" s="127" t="n">
        <v>1075900</v>
      </c>
      <c r="F49" s="127" t="n">
        <v>482300</v>
      </c>
      <c r="G49" s="127" t="n">
        <v>604000</v>
      </c>
      <c r="H49" s="127" t="n">
        <v>304000</v>
      </c>
      <c r="I49" s="127" t="n">
        <v>202000</v>
      </c>
      <c r="J49" s="127" t="n">
        <v>89600</v>
      </c>
      <c r="K49" s="127" t="n">
        <v>99000</v>
      </c>
      <c r="L49" s="127" t="n">
        <v>4000</v>
      </c>
      <c r="M49" s="127" t="n">
        <v>224000</v>
      </c>
      <c r="N49" s="127" t="n">
        <v>75000</v>
      </c>
      <c r="O49" s="127" t="n">
        <v>40000</v>
      </c>
      <c r="P49" s="127" t="n">
        <v>33800</v>
      </c>
      <c r="Q49" s="127" t="n">
        <v>40000</v>
      </c>
      <c r="R49" s="127" t="n">
        <v>20000</v>
      </c>
      <c r="S49" s="127" t="n">
        <v>6666000</v>
      </c>
    </row>
    <row r="50">
      <c r="B50" s="85" t="inlineStr">
        <is>
          <t>12월13일</t>
        </is>
      </c>
      <c r="C50" s="127" t="n">
        <v>2094400</v>
      </c>
      <c r="D50" s="127" t="n">
        <v>2571000</v>
      </c>
      <c r="E50" s="127" t="n">
        <v>667800</v>
      </c>
      <c r="F50" s="127" t="n">
        <v>927500</v>
      </c>
      <c r="G50" s="127" t="n">
        <v>584000</v>
      </c>
      <c r="H50" s="127" t="n">
        <v>228000</v>
      </c>
      <c r="I50" s="127" t="n">
        <v>377000</v>
      </c>
      <c r="J50" s="127" t="n">
        <v>168000</v>
      </c>
      <c r="K50" s="127" t="n">
        <v>297000</v>
      </c>
      <c r="L50" s="127" t="n">
        <v>140000</v>
      </c>
      <c r="M50" s="127" t="n">
        <v>154000</v>
      </c>
      <c r="N50" s="127" t="n">
        <v>87000</v>
      </c>
      <c r="O50" s="127" t="n">
        <v>40000</v>
      </c>
      <c r="P50" s="127" t="n">
        <v>33800</v>
      </c>
      <c r="Q50" s="127" t="n">
        <v>55000</v>
      </c>
      <c r="R50" s="127" t="n">
        <v>8000</v>
      </c>
      <c r="S50" s="127" t="n">
        <v>8432500</v>
      </c>
    </row>
    <row r="51">
      <c r="B51" s="85" t="inlineStr">
        <is>
          <t>12월14일</t>
        </is>
      </c>
      <c r="C51" s="127" t="n">
        <v>1713600</v>
      </c>
      <c r="D51" s="127" t="n">
        <v>3361000</v>
      </c>
      <c r="E51" s="127" t="n">
        <v>853300</v>
      </c>
      <c r="F51" s="127" t="n">
        <v>964600</v>
      </c>
      <c r="G51" s="127" t="n">
        <v>864000</v>
      </c>
      <c r="H51" s="127" t="n">
        <v>304000</v>
      </c>
      <c r="I51" s="127" t="n">
        <v>311000</v>
      </c>
      <c r="J51" s="127" t="n">
        <v>257600</v>
      </c>
      <c r="K51" s="127" t="n">
        <v>99000</v>
      </c>
      <c r="L51" s="127" t="n">
        <v>164000</v>
      </c>
      <c r="M51" s="127" t="n">
        <v>203000</v>
      </c>
      <c r="N51" s="127" t="n">
        <v>174000</v>
      </c>
      <c r="O51" s="127" t="n">
        <v>37500</v>
      </c>
      <c r="P51" s="127" t="n">
        <v>88400</v>
      </c>
      <c r="Q51" s="127" t="n">
        <v>40000</v>
      </c>
      <c r="R51" s="127" t="n">
        <v>72000</v>
      </c>
      <c r="S51" s="127" t="n">
        <v>9507000</v>
      </c>
    </row>
    <row r="52">
      <c r="B52" s="85" t="inlineStr">
        <is>
          <t>12월15일</t>
        </is>
      </c>
      <c r="C52" s="127" t="n">
        <v>2066400</v>
      </c>
      <c r="D52" s="127" t="n">
        <v>2805000</v>
      </c>
      <c r="E52" s="127" t="n">
        <v>1187200</v>
      </c>
      <c r="F52" s="127" t="n">
        <v>556500</v>
      </c>
      <c r="G52" s="127" t="n">
        <v>856000</v>
      </c>
      <c r="H52" s="127" t="n">
        <v>228000</v>
      </c>
      <c r="I52" s="127" t="n">
        <v>239000</v>
      </c>
      <c r="J52" s="127" t="n">
        <v>140000</v>
      </c>
      <c r="K52" s="127" t="n">
        <v>495000</v>
      </c>
      <c r="L52" s="127" t="n">
        <v>212000</v>
      </c>
      <c r="M52" s="127" t="n">
        <v>210000</v>
      </c>
      <c r="N52" s="127" t="n">
        <v>102000</v>
      </c>
      <c r="O52" s="127" t="n">
        <v>115000</v>
      </c>
      <c r="P52" s="127" t="n">
        <v>52000</v>
      </c>
      <c r="Q52" s="127" t="n">
        <v>75000</v>
      </c>
      <c r="R52" s="127" t="n">
        <v>84000</v>
      </c>
      <c r="S52" s="127" t="n">
        <v>9423100</v>
      </c>
    </row>
    <row r="53">
      <c r="B53" s="85" t="inlineStr">
        <is>
          <t>12월16일</t>
        </is>
      </c>
      <c r="C53" s="127" t="n">
        <v>2542400</v>
      </c>
      <c r="D53" s="127" t="n">
        <v>2509000</v>
      </c>
      <c r="E53" s="127" t="n">
        <v>1113000</v>
      </c>
      <c r="F53" s="127" t="n">
        <v>630700</v>
      </c>
      <c r="G53" s="127" t="n">
        <v>564000</v>
      </c>
      <c r="H53" s="127" t="n">
        <v>152000</v>
      </c>
      <c r="I53" s="127" t="n">
        <v>209000</v>
      </c>
      <c r="J53" s="127" t="n">
        <v>123200</v>
      </c>
      <c r="K53" s="127" t="n">
        <v>99000</v>
      </c>
      <c r="L53" s="127" t="n">
        <v>132000</v>
      </c>
      <c r="M53" s="127" t="n">
        <v>168000</v>
      </c>
      <c r="N53" s="127" t="n">
        <v>117000</v>
      </c>
      <c r="O53" s="127" t="n">
        <v>132500</v>
      </c>
      <c r="P53" s="127" t="n">
        <v>52000</v>
      </c>
      <c r="Q53" s="127" t="n">
        <v>60000</v>
      </c>
      <c r="R53" s="127" t="n">
        <v>120000</v>
      </c>
      <c r="S53" s="127" t="n">
        <v>8723800</v>
      </c>
    </row>
    <row r="54">
      <c r="B54" s="85" t="inlineStr">
        <is>
          <t>12월17일</t>
        </is>
      </c>
      <c r="C54" s="127" t="n">
        <v>3248000</v>
      </c>
      <c r="D54" s="127" t="n">
        <v>2457000</v>
      </c>
      <c r="E54" s="127" t="n">
        <v>1446900</v>
      </c>
      <c r="F54" s="127" t="n">
        <v>704900</v>
      </c>
      <c r="G54" s="127" t="n">
        <v>612000</v>
      </c>
      <c r="H54" s="127" t="n">
        <v>266000</v>
      </c>
      <c r="I54" s="127" t="n">
        <v>289000</v>
      </c>
      <c r="J54" s="127" t="n">
        <v>156800</v>
      </c>
      <c r="K54" s="127" t="n">
        <v>99000</v>
      </c>
      <c r="L54" s="127" t="n">
        <v>128000</v>
      </c>
      <c r="M54" s="127" t="n">
        <v>98000</v>
      </c>
      <c r="N54" s="127" t="n">
        <v>108000</v>
      </c>
      <c r="O54" s="127" t="n">
        <v>40000</v>
      </c>
      <c r="P54" s="127" t="n">
        <v>54600</v>
      </c>
      <c r="Q54" s="127" t="n">
        <v>55000</v>
      </c>
      <c r="R54" s="127" t="n">
        <v>80000</v>
      </c>
      <c r="S54" s="127" t="n">
        <v>9843200</v>
      </c>
    </row>
    <row r="55">
      <c r="B55" s="85" t="inlineStr">
        <is>
          <t>12월18일</t>
        </is>
      </c>
      <c r="C55" s="127" t="n">
        <v>4659200</v>
      </c>
      <c r="D55" s="127" t="n">
        <v>2325000</v>
      </c>
      <c r="E55" s="127" t="n">
        <v>2374400</v>
      </c>
      <c r="F55" s="127" t="n">
        <v>742000</v>
      </c>
      <c r="G55" s="127" t="n">
        <v>848000</v>
      </c>
      <c r="H55" s="127" t="n">
        <v>228000</v>
      </c>
      <c r="I55" s="127" t="n">
        <v>192000</v>
      </c>
      <c r="J55" s="127" t="n">
        <v>128800</v>
      </c>
      <c r="K55" s="127" t="n">
        <v>99000</v>
      </c>
      <c r="L55" s="127" t="n">
        <v>168000</v>
      </c>
      <c r="M55" s="127" t="n">
        <v>84000</v>
      </c>
      <c r="N55" s="127" t="n">
        <v>78000</v>
      </c>
      <c r="O55" s="127" t="n">
        <v>155000</v>
      </c>
      <c r="P55" s="127" t="n">
        <v>54600</v>
      </c>
      <c r="Q55" s="127" t="n"/>
      <c r="R55" s="127" t="n">
        <v>20000</v>
      </c>
      <c r="S55" s="127" t="n">
        <v>12156000</v>
      </c>
    </row>
    <row r="56">
      <c r="B56" s="85" t="inlineStr">
        <is>
          <t>12월19일</t>
        </is>
      </c>
      <c r="C56" s="127" t="n">
        <v>1192800</v>
      </c>
      <c r="D56" s="127" t="n">
        <v>2023000</v>
      </c>
      <c r="E56" s="127" t="n">
        <v>742000</v>
      </c>
      <c r="F56" s="127" t="n">
        <v>556500</v>
      </c>
      <c r="G56" s="127" t="n">
        <v>356000</v>
      </c>
      <c r="H56" s="127" t="n">
        <v>38000</v>
      </c>
      <c r="I56" s="127" t="n">
        <v>140000</v>
      </c>
      <c r="J56" s="127" t="n">
        <v>123200</v>
      </c>
      <c r="K56" s="127" t="n"/>
      <c r="L56" s="127" t="n">
        <v>84000</v>
      </c>
      <c r="M56" s="127" t="n">
        <v>133000</v>
      </c>
      <c r="N56" s="127" t="n">
        <v>105000</v>
      </c>
      <c r="O56" s="127" t="n">
        <v>70000</v>
      </c>
      <c r="P56" s="127" t="n"/>
      <c r="Q56" s="127" t="n">
        <v>90000</v>
      </c>
      <c r="R56" s="127" t="n">
        <v>60000</v>
      </c>
      <c r="S56" s="127" t="n">
        <v>5713500</v>
      </c>
    </row>
    <row r="57">
      <c r="B57" s="85" t="inlineStr">
        <is>
          <t>12월20일</t>
        </is>
      </c>
      <c r="C57" s="127" t="n">
        <v>1960000</v>
      </c>
      <c r="D57" s="127" t="n">
        <v>2734000</v>
      </c>
      <c r="E57" s="127" t="n">
        <v>1409800</v>
      </c>
      <c r="F57" s="127" t="n">
        <v>964600</v>
      </c>
      <c r="G57" s="127" t="n">
        <v>704000</v>
      </c>
      <c r="H57" s="127" t="n">
        <v>418000</v>
      </c>
      <c r="I57" s="127" t="n">
        <v>174000</v>
      </c>
      <c r="J57" s="127" t="n">
        <v>168000</v>
      </c>
      <c r="K57" s="127" t="n">
        <v>99000</v>
      </c>
      <c r="L57" s="127" t="n">
        <v>132000</v>
      </c>
      <c r="M57" s="127" t="n">
        <v>210000</v>
      </c>
      <c r="N57" s="127" t="n">
        <v>90000</v>
      </c>
      <c r="O57" s="127" t="n">
        <v>55000</v>
      </c>
      <c r="P57" s="127" t="n">
        <v>36400</v>
      </c>
      <c r="Q57" s="127" t="n">
        <v>35000</v>
      </c>
      <c r="R57" s="127" t="n">
        <v>28000</v>
      </c>
      <c r="S57" s="127" t="n">
        <v>9217800</v>
      </c>
    </row>
    <row r="58">
      <c r="B58" s="85" t="inlineStr">
        <is>
          <t>12월21일</t>
        </is>
      </c>
      <c r="C58" s="127" t="n">
        <v>3942400</v>
      </c>
      <c r="D58" s="127" t="n">
        <v>3375000</v>
      </c>
      <c r="E58" s="127" t="n">
        <v>1817900</v>
      </c>
      <c r="F58" s="127" t="n">
        <v>1187200</v>
      </c>
      <c r="G58" s="127" t="n">
        <v>1120000</v>
      </c>
      <c r="H58" s="127" t="n">
        <v>380000</v>
      </c>
      <c r="I58" s="127" t="n">
        <v>302000</v>
      </c>
      <c r="J58" s="127" t="n">
        <v>156800</v>
      </c>
      <c r="K58" s="127" t="n"/>
      <c r="L58" s="127" t="n">
        <v>220000</v>
      </c>
      <c r="M58" s="127" t="n">
        <v>154000</v>
      </c>
      <c r="N58" s="127" t="n">
        <v>147000</v>
      </c>
      <c r="O58" s="127" t="n">
        <v>95000</v>
      </c>
      <c r="P58" s="127" t="n">
        <v>176800</v>
      </c>
      <c r="Q58" s="127" t="n">
        <v>130000</v>
      </c>
      <c r="R58" s="127" t="n">
        <v>128000</v>
      </c>
      <c r="S58" s="127" t="n">
        <v>13332100</v>
      </c>
    </row>
    <row r="59">
      <c r="B59" s="85" t="inlineStr">
        <is>
          <t>12월22일</t>
        </is>
      </c>
      <c r="C59" s="127" t="n">
        <v>8551200</v>
      </c>
      <c r="D59" s="127" t="n">
        <v>3687000</v>
      </c>
      <c r="E59" s="127" t="n">
        <v>3895500</v>
      </c>
      <c r="F59" s="127" t="n">
        <v>1224300</v>
      </c>
      <c r="G59" s="127" t="n">
        <v>1024000</v>
      </c>
      <c r="H59" s="127" t="n">
        <v>304000</v>
      </c>
      <c r="I59" s="127" t="n">
        <v>568000</v>
      </c>
      <c r="J59" s="127" t="n">
        <v>436800</v>
      </c>
      <c r="K59" s="127" t="n">
        <v>99000</v>
      </c>
      <c r="L59" s="127" t="n">
        <v>72000</v>
      </c>
      <c r="M59" s="127" t="n">
        <v>133000</v>
      </c>
      <c r="N59" s="127" t="n">
        <v>171000</v>
      </c>
      <c r="O59" s="127" t="n">
        <v>60000</v>
      </c>
      <c r="P59" s="127" t="n">
        <v>72800</v>
      </c>
      <c r="Q59" s="127" t="n">
        <v>40000</v>
      </c>
      <c r="R59" s="127" t="n">
        <v>60000</v>
      </c>
      <c r="S59" s="127" t="n">
        <v>20398600</v>
      </c>
    </row>
    <row r="60">
      <c r="B60" s="85" t="inlineStr">
        <is>
          <t>12월23일</t>
        </is>
      </c>
      <c r="C60" s="127" t="n">
        <v>19913600</v>
      </c>
      <c r="D60" s="127" t="n">
        <v>3091000</v>
      </c>
      <c r="E60" s="127" t="n">
        <v>7160300</v>
      </c>
      <c r="F60" s="127" t="n">
        <v>1187200</v>
      </c>
      <c r="G60" s="127" t="n">
        <v>932000</v>
      </c>
      <c r="H60" s="127" t="n">
        <v>532000</v>
      </c>
      <c r="I60" s="127" t="n">
        <v>541000</v>
      </c>
      <c r="J60" s="127" t="n">
        <v>380800</v>
      </c>
      <c r="K60" s="127" t="n">
        <v>297000</v>
      </c>
      <c r="L60" s="127" t="n">
        <v>140000</v>
      </c>
      <c r="M60" s="127" t="n">
        <v>133000</v>
      </c>
      <c r="N60" s="127" t="n">
        <v>183000</v>
      </c>
      <c r="O60" s="127" t="n">
        <v>40000</v>
      </c>
      <c r="P60" s="127" t="n">
        <v>127400</v>
      </c>
      <c r="Q60" s="127" t="n">
        <v>95000</v>
      </c>
      <c r="R60" s="127" t="n">
        <v>100000</v>
      </c>
      <c r="S60" s="127" t="n">
        <v>34853300</v>
      </c>
    </row>
    <row r="61">
      <c r="B61" s="85" t="inlineStr">
        <is>
          <t>12월24일</t>
        </is>
      </c>
      <c r="C61" s="127" t="n">
        <v>17147200</v>
      </c>
      <c r="D61" s="127" t="n">
        <v>3572000</v>
      </c>
      <c r="E61" s="127" t="n">
        <v>7716800</v>
      </c>
      <c r="F61" s="127" t="n">
        <v>1892100</v>
      </c>
      <c r="G61" s="127" t="n">
        <v>808000</v>
      </c>
      <c r="H61" s="127" t="n">
        <v>608000</v>
      </c>
      <c r="I61" s="127" t="n">
        <v>433000</v>
      </c>
      <c r="J61" s="127" t="n">
        <v>212800</v>
      </c>
      <c r="K61" s="127" t="n">
        <v>297000</v>
      </c>
      <c r="L61" s="127" t="n">
        <v>192000</v>
      </c>
      <c r="M61" s="127" t="n">
        <v>182000</v>
      </c>
      <c r="N61" s="127" t="n">
        <v>213000</v>
      </c>
      <c r="O61" s="127" t="n">
        <v>75000</v>
      </c>
      <c r="P61" s="127" t="n">
        <v>158600</v>
      </c>
      <c r="Q61" s="127" t="n">
        <v>135000</v>
      </c>
      <c r="R61" s="127" t="n">
        <v>88000</v>
      </c>
      <c r="S61" s="127" t="n">
        <v>33730500</v>
      </c>
    </row>
    <row r="62">
      <c r="B62" s="85" t="inlineStr">
        <is>
          <t>12월25일</t>
        </is>
      </c>
      <c r="C62" s="127" t="n">
        <v>15607200</v>
      </c>
      <c r="D62" s="127" t="n">
        <v>5536000</v>
      </c>
      <c r="E62" s="127" t="n">
        <v>9683100</v>
      </c>
      <c r="F62" s="127" t="n">
        <v>2374400</v>
      </c>
      <c r="G62" s="127" t="n">
        <v>1036000</v>
      </c>
      <c r="H62" s="127" t="n">
        <v>608000</v>
      </c>
      <c r="I62" s="127" t="n">
        <v>647000</v>
      </c>
      <c r="J62" s="127" t="n">
        <v>431200</v>
      </c>
      <c r="K62" s="127" t="n">
        <v>396000</v>
      </c>
      <c r="L62" s="127" t="n">
        <v>252000</v>
      </c>
      <c r="M62" s="127" t="n">
        <v>84000</v>
      </c>
      <c r="N62" s="127" t="n">
        <v>387000</v>
      </c>
      <c r="O62" s="127" t="n">
        <v>150000</v>
      </c>
      <c r="P62" s="127" t="n">
        <v>195000</v>
      </c>
      <c r="Q62" s="127" t="n">
        <v>100000</v>
      </c>
      <c r="R62" s="127" t="n">
        <v>160000</v>
      </c>
      <c r="S62" s="127" t="n">
        <v>37646900</v>
      </c>
    </row>
    <row r="63">
      <c r="B63" s="85" t="inlineStr">
        <is>
          <t>12월26일</t>
        </is>
      </c>
      <c r="C63" s="127" t="n">
        <v>12012000</v>
      </c>
      <c r="D63" s="127" t="n">
        <v>3527000</v>
      </c>
      <c r="E63" s="127" t="n">
        <v>6195700</v>
      </c>
      <c r="F63" s="127" t="n">
        <v>1298500</v>
      </c>
      <c r="G63" s="127" t="n">
        <v>988000</v>
      </c>
      <c r="H63" s="127" t="n">
        <v>532000</v>
      </c>
      <c r="I63" s="127" t="n">
        <v>459000</v>
      </c>
      <c r="J63" s="127" t="n">
        <v>218400</v>
      </c>
      <c r="K63" s="127" t="n">
        <v>396000</v>
      </c>
      <c r="L63" s="127" t="n">
        <v>124000</v>
      </c>
      <c r="M63" s="127" t="n">
        <v>56000</v>
      </c>
      <c r="N63" s="127" t="n">
        <v>216000</v>
      </c>
      <c r="O63" s="127" t="n">
        <v>95000</v>
      </c>
      <c r="P63" s="127" t="n">
        <v>52000</v>
      </c>
      <c r="Q63" s="127" t="n">
        <v>150000</v>
      </c>
      <c r="R63" s="127" t="n">
        <v>20000</v>
      </c>
      <c r="S63" s="127" t="n">
        <v>26339600</v>
      </c>
    </row>
    <row r="64">
      <c r="B64" s="85" t="inlineStr">
        <is>
          <t>12월27일</t>
        </is>
      </c>
      <c r="C64" s="127" t="n">
        <v>12784800</v>
      </c>
      <c r="D64" s="127" t="n">
        <v>3894000</v>
      </c>
      <c r="E64" s="127" t="n">
        <v>6232800</v>
      </c>
      <c r="F64" s="127" t="n">
        <v>1521100</v>
      </c>
      <c r="G64" s="127" t="n">
        <v>1224000</v>
      </c>
      <c r="H64" s="127" t="n">
        <v>494000</v>
      </c>
      <c r="I64" s="127" t="n">
        <v>450000</v>
      </c>
      <c r="J64" s="127" t="n">
        <v>476000</v>
      </c>
      <c r="K64" s="127" t="n">
        <v>495000</v>
      </c>
      <c r="L64" s="127" t="n">
        <v>104000</v>
      </c>
      <c r="M64" s="127" t="n">
        <v>203000</v>
      </c>
      <c r="N64" s="127" t="n">
        <v>213000</v>
      </c>
      <c r="O64" s="127" t="n">
        <v>75000</v>
      </c>
      <c r="P64" s="127" t="n">
        <v>197600</v>
      </c>
      <c r="Q64" s="127" t="n">
        <v>55000</v>
      </c>
      <c r="R64" s="127" t="n">
        <v>64000</v>
      </c>
      <c r="S64" s="127" t="n">
        <v>28483300</v>
      </c>
    </row>
    <row r="65">
      <c r="B65" s="85" t="inlineStr">
        <is>
          <t>12월28일</t>
        </is>
      </c>
      <c r="C65" s="127" t="n">
        <v>14123200</v>
      </c>
      <c r="D65" s="127" t="n">
        <v>5065000</v>
      </c>
      <c r="E65" s="127" t="n">
        <v>6307000</v>
      </c>
      <c r="F65" s="127" t="n">
        <v>2040500</v>
      </c>
      <c r="G65" s="127" t="n">
        <v>1436000</v>
      </c>
      <c r="H65" s="127" t="n">
        <v>570000</v>
      </c>
      <c r="I65" s="127" t="n">
        <v>473000</v>
      </c>
      <c r="J65" s="127" t="n">
        <v>504000</v>
      </c>
      <c r="K65" s="127" t="n">
        <v>99000</v>
      </c>
      <c r="L65" s="127" t="n">
        <v>208000</v>
      </c>
      <c r="M65" s="127" t="n">
        <v>189000</v>
      </c>
      <c r="N65" s="127" t="n">
        <v>246000</v>
      </c>
      <c r="O65" s="127" t="n">
        <v>130000</v>
      </c>
      <c r="P65" s="127" t="n">
        <v>106600</v>
      </c>
      <c r="Q65" s="127" t="n">
        <v>130000</v>
      </c>
      <c r="R65" s="127" t="n">
        <v>80000</v>
      </c>
      <c r="S65" s="127" t="n">
        <v>31707300</v>
      </c>
    </row>
    <row r="66">
      <c r="B66" s="85" t="inlineStr">
        <is>
          <t>12월29일</t>
        </is>
      </c>
      <c r="C66" s="127" t="n">
        <v>14784000</v>
      </c>
      <c r="D66" s="127" t="n">
        <v>3790000</v>
      </c>
      <c r="E66" s="127" t="n">
        <v>6863500</v>
      </c>
      <c r="F66" s="127" t="n">
        <v>1706600</v>
      </c>
      <c r="G66" s="127" t="n">
        <v>1572000</v>
      </c>
      <c r="H66" s="127" t="n">
        <v>608000</v>
      </c>
      <c r="I66" s="127" t="n">
        <v>477000</v>
      </c>
      <c r="J66" s="127" t="n">
        <v>375200</v>
      </c>
      <c r="K66" s="127" t="n">
        <v>297000</v>
      </c>
      <c r="L66" s="127" t="n">
        <v>244000</v>
      </c>
      <c r="M66" s="127" t="n">
        <v>273000</v>
      </c>
      <c r="N66" s="127" t="n">
        <v>234000</v>
      </c>
      <c r="O66" s="127" t="n">
        <v>80000</v>
      </c>
      <c r="P66" s="127" t="n">
        <v>158600</v>
      </c>
      <c r="Q66" s="127" t="n">
        <v>40000</v>
      </c>
      <c r="R66" s="127" t="n">
        <v>80000</v>
      </c>
      <c r="S66" s="127" t="n">
        <v>31582900</v>
      </c>
    </row>
    <row r="67">
      <c r="B67" s="85" t="inlineStr">
        <is>
          <t>12월30일</t>
        </is>
      </c>
      <c r="C67" s="127" t="n">
        <v>12012000</v>
      </c>
      <c r="D67" s="127" t="n">
        <v>2780000</v>
      </c>
      <c r="E67" s="127" t="n">
        <v>4711700</v>
      </c>
      <c r="F67" s="127" t="n">
        <v>1855000</v>
      </c>
      <c r="G67" s="127" t="n">
        <v>1088000</v>
      </c>
      <c r="H67" s="127" t="n">
        <v>494000</v>
      </c>
      <c r="I67" s="127" t="n">
        <v>454000</v>
      </c>
      <c r="J67" s="127" t="n">
        <v>302400</v>
      </c>
      <c r="K67" s="127" t="n">
        <v>396000</v>
      </c>
      <c r="L67" s="127" t="n">
        <v>144000</v>
      </c>
      <c r="M67" s="127" t="n">
        <v>70000</v>
      </c>
      <c r="N67" s="127" t="n">
        <v>219000</v>
      </c>
      <c r="O67" s="127" t="n">
        <v>150000</v>
      </c>
      <c r="P67" s="127" t="n">
        <v>158600</v>
      </c>
      <c r="Q67" s="127" t="n">
        <v>60000</v>
      </c>
      <c r="R67" s="127" t="n">
        <v>84000</v>
      </c>
      <c r="S67" s="127" t="n">
        <v>24978700</v>
      </c>
    </row>
    <row r="68">
      <c r="B68" s="85" t="inlineStr">
        <is>
          <t>12월31일</t>
        </is>
      </c>
      <c r="C68" s="127" t="n">
        <v>7660800</v>
      </c>
      <c r="D68" s="127" t="n">
        <v>1574000</v>
      </c>
      <c r="E68" s="127" t="n">
        <v>2930900</v>
      </c>
      <c r="F68" s="127" t="n">
        <v>853300</v>
      </c>
      <c r="G68" s="127" t="n">
        <v>660000</v>
      </c>
      <c r="H68" s="127" t="n">
        <v>152000</v>
      </c>
      <c r="I68" s="127" t="n">
        <v>261000</v>
      </c>
      <c r="J68" s="127" t="n">
        <v>196000</v>
      </c>
      <c r="K68" s="127" t="n">
        <v>198000</v>
      </c>
      <c r="L68" s="127" t="n">
        <v>20000</v>
      </c>
      <c r="M68" s="127" t="n">
        <v>28000</v>
      </c>
      <c r="N68" s="127" t="n">
        <v>105000</v>
      </c>
      <c r="O68" s="127" t="n">
        <v>60000</v>
      </c>
      <c r="P68" s="127" t="n">
        <v>85800</v>
      </c>
      <c r="Q68" s="127" t="n">
        <v>55000</v>
      </c>
      <c r="R68" s="127" t="n">
        <v>20000</v>
      </c>
      <c r="S68" s="127" t="n">
        <v>14859800</v>
      </c>
    </row>
    <row r="69">
      <c r="B69" s="98" t="inlineStr">
        <is>
          <t>2021년</t>
        </is>
      </c>
      <c r="C69" s="127" t="n">
        <v>259540400</v>
      </c>
      <c r="D69" s="127" t="n">
        <v>153184000</v>
      </c>
      <c r="E69" s="127" t="n">
        <v>89744900</v>
      </c>
      <c r="F69" s="127" t="n">
        <v>59990700</v>
      </c>
      <c r="G69" s="127" t="n">
        <v>44808000</v>
      </c>
      <c r="H69" s="127" t="n">
        <v>17176000</v>
      </c>
      <c r="I69" s="127" t="n">
        <v>16108000</v>
      </c>
      <c r="J69" s="127" t="n">
        <v>12028800</v>
      </c>
      <c r="K69" s="127" t="n">
        <v>10593000</v>
      </c>
      <c r="L69" s="127" t="n">
        <v>7200000</v>
      </c>
      <c r="M69" s="127" t="n">
        <v>6335000</v>
      </c>
      <c r="N69" s="127" t="n">
        <v>5805000</v>
      </c>
      <c r="O69" s="127" t="n">
        <v>4442500</v>
      </c>
      <c r="P69" s="127" t="n">
        <v>3798600</v>
      </c>
      <c r="Q69" s="127" t="n">
        <v>2960000</v>
      </c>
      <c r="R69" s="127" t="n">
        <v>1464000</v>
      </c>
      <c r="S69" s="127" t="n">
        <v>695178900</v>
      </c>
    </row>
    <row r="70">
      <c r="B70" s="85" t="inlineStr">
        <is>
          <t>1월1일</t>
        </is>
      </c>
      <c r="C70" s="127" t="n">
        <v>13759200</v>
      </c>
      <c r="D70" s="127" t="n">
        <v>2422000</v>
      </c>
      <c r="E70" s="127" t="n">
        <v>5305300</v>
      </c>
      <c r="F70" s="127" t="n">
        <v>1372700</v>
      </c>
      <c r="G70" s="127" t="n">
        <v>1152000</v>
      </c>
      <c r="H70" s="127" t="n">
        <v>266000</v>
      </c>
      <c r="I70" s="127" t="n">
        <v>414000</v>
      </c>
      <c r="J70" s="127" t="n">
        <v>414400</v>
      </c>
      <c r="K70" s="127" t="n">
        <v>99000</v>
      </c>
      <c r="L70" s="127" t="n">
        <v>148000</v>
      </c>
      <c r="M70" s="127" t="n">
        <v>140000</v>
      </c>
      <c r="N70" s="127" t="n">
        <v>132000</v>
      </c>
      <c r="O70" s="127" t="n">
        <v>110000</v>
      </c>
      <c r="P70" s="127" t="n">
        <v>174200</v>
      </c>
      <c r="Q70" s="127" t="n"/>
      <c r="R70" s="127" t="n">
        <v>92000</v>
      </c>
      <c r="S70" s="127" t="n">
        <v>26000800</v>
      </c>
    </row>
    <row r="71">
      <c r="B71" s="85" t="inlineStr">
        <is>
          <t>1월2일</t>
        </is>
      </c>
      <c r="C71" s="127" t="n">
        <v>11144000</v>
      </c>
      <c r="D71" s="127" t="n">
        <v>2694000</v>
      </c>
      <c r="E71" s="127" t="n">
        <v>4897200</v>
      </c>
      <c r="F71" s="127" t="n">
        <v>1113000</v>
      </c>
      <c r="G71" s="127" t="n">
        <v>1004000</v>
      </c>
      <c r="H71" s="127" t="n">
        <v>494000</v>
      </c>
      <c r="I71" s="127" t="n">
        <v>498000</v>
      </c>
      <c r="J71" s="127" t="n">
        <v>431200</v>
      </c>
      <c r="K71" s="127" t="n">
        <v>198000</v>
      </c>
      <c r="L71" s="127" t="n">
        <v>108000</v>
      </c>
      <c r="M71" s="127" t="n">
        <v>210000</v>
      </c>
      <c r="N71" s="127" t="n">
        <v>153000</v>
      </c>
      <c r="O71" s="127" t="n">
        <v>60000</v>
      </c>
      <c r="P71" s="127" t="n">
        <v>54600</v>
      </c>
      <c r="Q71" s="127" t="n">
        <v>140000</v>
      </c>
      <c r="R71" s="127" t="n">
        <v>60000</v>
      </c>
      <c r="S71" s="127" t="n">
        <v>23259000</v>
      </c>
    </row>
    <row r="72">
      <c r="B72" s="85" t="inlineStr">
        <is>
          <t>1월3일</t>
        </is>
      </c>
      <c r="C72" s="127" t="n">
        <v>15108800</v>
      </c>
      <c r="D72" s="127" t="n">
        <v>3295000</v>
      </c>
      <c r="E72" s="127" t="n">
        <v>5231100</v>
      </c>
      <c r="F72" s="127" t="n">
        <v>1855000</v>
      </c>
      <c r="G72" s="127" t="n">
        <v>1072000</v>
      </c>
      <c r="H72" s="127" t="n">
        <v>494000</v>
      </c>
      <c r="I72" s="127" t="n">
        <v>507000</v>
      </c>
      <c r="J72" s="127" t="n">
        <v>509600</v>
      </c>
      <c r="K72" s="127" t="n"/>
      <c r="L72" s="127" t="n">
        <v>108000</v>
      </c>
      <c r="M72" s="127" t="n">
        <v>252000</v>
      </c>
      <c r="N72" s="127" t="n">
        <v>174000</v>
      </c>
      <c r="O72" s="127" t="n">
        <v>95000</v>
      </c>
      <c r="P72" s="127" t="n">
        <v>192400</v>
      </c>
      <c r="Q72" s="127" t="n">
        <v>165000</v>
      </c>
      <c r="R72" s="127" t="n">
        <v>20000</v>
      </c>
      <c r="S72" s="127" t="n">
        <v>29078900</v>
      </c>
    </row>
    <row r="73">
      <c r="B73" s="85" t="inlineStr">
        <is>
          <t>1월4일</t>
        </is>
      </c>
      <c r="C73" s="127" t="n">
        <v>11082400</v>
      </c>
      <c r="D73" s="127" t="n">
        <v>4143000</v>
      </c>
      <c r="E73" s="127" t="n">
        <v>4192300</v>
      </c>
      <c r="F73" s="127" t="n">
        <v>1706600</v>
      </c>
      <c r="G73" s="127" t="n">
        <v>1752000</v>
      </c>
      <c r="H73" s="127" t="n">
        <v>418000</v>
      </c>
      <c r="I73" s="127" t="n">
        <v>532000</v>
      </c>
      <c r="J73" s="127" t="n">
        <v>448000</v>
      </c>
      <c r="K73" s="127" t="n">
        <v>396000</v>
      </c>
      <c r="L73" s="127" t="n">
        <v>164000</v>
      </c>
      <c r="M73" s="127" t="n">
        <v>245000</v>
      </c>
      <c r="N73" s="127" t="n">
        <v>168000</v>
      </c>
      <c r="O73" s="127" t="n">
        <v>95000</v>
      </c>
      <c r="P73" s="127" t="n">
        <v>158600</v>
      </c>
      <c r="Q73" s="127" t="n">
        <v>130000</v>
      </c>
      <c r="R73" s="127" t="n">
        <v>72000</v>
      </c>
      <c r="S73" s="127" t="n">
        <v>25702900</v>
      </c>
    </row>
    <row r="74">
      <c r="B74" s="85" t="inlineStr">
        <is>
          <t>1월5일</t>
        </is>
      </c>
      <c r="C74" s="127" t="n">
        <v>4956000</v>
      </c>
      <c r="D74" s="127" t="n">
        <v>4161000</v>
      </c>
      <c r="E74" s="127" t="n">
        <v>3487400</v>
      </c>
      <c r="F74" s="127" t="n">
        <v>1446900</v>
      </c>
      <c r="G74" s="127" t="n">
        <v>908000</v>
      </c>
      <c r="H74" s="127" t="n">
        <v>456000</v>
      </c>
      <c r="I74" s="127" t="n">
        <v>482000</v>
      </c>
      <c r="J74" s="127" t="n">
        <v>358400</v>
      </c>
      <c r="K74" s="127" t="n">
        <v>396000</v>
      </c>
      <c r="L74" s="127" t="n">
        <v>124000</v>
      </c>
      <c r="M74" s="127" t="n">
        <v>266000</v>
      </c>
      <c r="N74" s="127" t="n">
        <v>93000</v>
      </c>
      <c r="O74" s="127" t="n">
        <v>150000</v>
      </c>
      <c r="P74" s="127" t="n">
        <v>156000</v>
      </c>
      <c r="Q74" s="127" t="n">
        <v>110000</v>
      </c>
      <c r="R74" s="127" t="n">
        <v>124000</v>
      </c>
      <c r="S74" s="127" t="n">
        <v>17674700</v>
      </c>
    </row>
    <row r="75">
      <c r="B75" s="85" t="inlineStr">
        <is>
          <t>1월6일</t>
        </is>
      </c>
      <c r="C75" s="127" t="n">
        <v>5499200</v>
      </c>
      <c r="D75" s="127" t="n">
        <v>4976000</v>
      </c>
      <c r="E75" s="127" t="n">
        <v>3301900</v>
      </c>
      <c r="F75" s="127" t="n">
        <v>1817900</v>
      </c>
      <c r="G75" s="127" t="n">
        <v>640000</v>
      </c>
      <c r="H75" s="127" t="n">
        <v>684000</v>
      </c>
      <c r="I75" s="127" t="n">
        <v>336000</v>
      </c>
      <c r="J75" s="127" t="n">
        <v>268800</v>
      </c>
      <c r="K75" s="127" t="n">
        <v>198000</v>
      </c>
      <c r="L75" s="127" t="n">
        <v>252000</v>
      </c>
      <c r="M75" s="127" t="n">
        <v>217000</v>
      </c>
      <c r="N75" s="127" t="n">
        <v>84000</v>
      </c>
      <c r="O75" s="127" t="n">
        <v>40000</v>
      </c>
      <c r="P75" s="127" t="n">
        <v>72800</v>
      </c>
      <c r="Q75" s="127" t="n">
        <v>60000</v>
      </c>
      <c r="R75" s="127" t="n"/>
      <c r="S75" s="127" t="n">
        <v>18447600</v>
      </c>
    </row>
    <row r="76">
      <c r="B76" s="85" t="inlineStr">
        <is>
          <t>1월7일</t>
        </is>
      </c>
      <c r="C76" s="127" t="n">
        <v>6160000</v>
      </c>
      <c r="D76" s="127" t="n">
        <v>4487000</v>
      </c>
      <c r="E76" s="127" t="n">
        <v>3598700</v>
      </c>
      <c r="F76" s="127" t="n">
        <v>1632400</v>
      </c>
      <c r="G76" s="127" t="n">
        <v>868000</v>
      </c>
      <c r="H76" s="127" t="n">
        <v>456000</v>
      </c>
      <c r="I76" s="127" t="n">
        <v>416000</v>
      </c>
      <c r="J76" s="127" t="n">
        <v>341600</v>
      </c>
      <c r="K76" s="127" t="n">
        <v>594000</v>
      </c>
      <c r="L76" s="127" t="n">
        <v>184000</v>
      </c>
      <c r="M76" s="127" t="n">
        <v>224000</v>
      </c>
      <c r="N76" s="127" t="n">
        <v>96000</v>
      </c>
      <c r="O76" s="127" t="n">
        <v>130000</v>
      </c>
      <c r="P76" s="127" t="n">
        <v>122200</v>
      </c>
      <c r="Q76" s="127" t="n">
        <v>95000</v>
      </c>
      <c r="R76" s="127" t="n">
        <v>40000</v>
      </c>
      <c r="S76" s="127" t="n">
        <v>19444900</v>
      </c>
    </row>
    <row r="77">
      <c r="B77" s="85" t="inlineStr">
        <is>
          <t>1월8일</t>
        </is>
      </c>
      <c r="C77" s="127" t="n">
        <v>7072800</v>
      </c>
      <c r="D77" s="127" t="n">
        <v>3414000</v>
      </c>
      <c r="E77" s="127" t="n">
        <v>3450300</v>
      </c>
      <c r="F77" s="127" t="n">
        <v>1298500</v>
      </c>
      <c r="G77" s="127" t="n">
        <v>628000</v>
      </c>
      <c r="H77" s="127" t="n">
        <v>380000</v>
      </c>
      <c r="I77" s="127" t="n">
        <v>487000</v>
      </c>
      <c r="J77" s="127" t="n">
        <v>330400</v>
      </c>
      <c r="K77" s="127" t="n">
        <v>495000</v>
      </c>
      <c r="L77" s="127" t="n">
        <v>196000</v>
      </c>
      <c r="M77" s="127" t="n">
        <v>98000</v>
      </c>
      <c r="N77" s="127" t="n">
        <v>78000</v>
      </c>
      <c r="O77" s="127" t="n">
        <v>40000</v>
      </c>
      <c r="P77" s="127" t="n">
        <v>161200</v>
      </c>
      <c r="Q77" s="127" t="n">
        <v>60000</v>
      </c>
      <c r="R77" s="127" t="n">
        <v>20000</v>
      </c>
      <c r="S77" s="127" t="n">
        <v>18209200</v>
      </c>
    </row>
    <row r="78">
      <c r="B78" s="85" t="inlineStr">
        <is>
          <t>1월9일</t>
        </is>
      </c>
      <c r="C78" s="127" t="n">
        <v>6931400</v>
      </c>
      <c r="D78" s="127" t="n">
        <v>4226000</v>
      </c>
      <c r="E78" s="127" t="n">
        <v>2485700</v>
      </c>
      <c r="F78" s="127" t="n">
        <v>1446900</v>
      </c>
      <c r="G78" s="127" t="n">
        <v>904000</v>
      </c>
      <c r="H78" s="127" t="n">
        <v>304000</v>
      </c>
      <c r="I78" s="127" t="n">
        <v>385000</v>
      </c>
      <c r="J78" s="127" t="n">
        <v>240800</v>
      </c>
      <c r="K78" s="127" t="n">
        <v>198000</v>
      </c>
      <c r="L78" s="127" t="n">
        <v>156000</v>
      </c>
      <c r="M78" s="127" t="n">
        <v>175000</v>
      </c>
      <c r="N78" s="127" t="n">
        <v>93000</v>
      </c>
      <c r="O78" s="127" t="n">
        <v>135000</v>
      </c>
      <c r="P78" s="127" t="n">
        <v>101400</v>
      </c>
      <c r="Q78" s="127" t="n">
        <v>170000</v>
      </c>
      <c r="R78" s="127" t="n">
        <v>84000</v>
      </c>
      <c r="S78" s="127" t="n">
        <v>18036200</v>
      </c>
    </row>
    <row r="79">
      <c r="B79" s="85" t="inlineStr">
        <is>
          <t>1월10일</t>
        </is>
      </c>
      <c r="C79" s="127" t="n">
        <v>9881200</v>
      </c>
      <c r="D79" s="127" t="n">
        <v>4885000</v>
      </c>
      <c r="E79" s="127" t="n">
        <v>3710000</v>
      </c>
      <c r="F79" s="127" t="n">
        <v>1669500</v>
      </c>
      <c r="G79" s="127" t="n">
        <v>1296000</v>
      </c>
      <c r="H79" s="127" t="n">
        <v>570000</v>
      </c>
      <c r="I79" s="127" t="n">
        <v>624000</v>
      </c>
      <c r="J79" s="127" t="n">
        <v>504000</v>
      </c>
      <c r="K79" s="127" t="n">
        <v>198000</v>
      </c>
      <c r="L79" s="127" t="n">
        <v>220000</v>
      </c>
      <c r="M79" s="127" t="n">
        <v>273000</v>
      </c>
      <c r="N79" s="127" t="n">
        <v>75000</v>
      </c>
      <c r="O79" s="127" t="n">
        <v>60000</v>
      </c>
      <c r="P79" s="127" t="n">
        <v>124800</v>
      </c>
      <c r="Q79" s="127" t="n">
        <v>20000</v>
      </c>
      <c r="R79" s="127" t="n">
        <v>124000</v>
      </c>
      <c r="S79" s="127" t="n">
        <v>24234500</v>
      </c>
    </row>
    <row r="80">
      <c r="B80" s="85" t="inlineStr">
        <is>
          <t>1월11일</t>
        </is>
      </c>
      <c r="C80" s="127" t="n">
        <v>15156400</v>
      </c>
      <c r="D80" s="127" t="n">
        <v>4521000</v>
      </c>
      <c r="E80" s="127" t="n">
        <v>4934300</v>
      </c>
      <c r="F80" s="127" t="n">
        <v>2745400</v>
      </c>
      <c r="G80" s="127" t="n">
        <v>1016000</v>
      </c>
      <c r="H80" s="127" t="n">
        <v>836000</v>
      </c>
      <c r="I80" s="127" t="n">
        <v>690000</v>
      </c>
      <c r="J80" s="127" t="n">
        <v>526400</v>
      </c>
      <c r="K80" s="127" t="n">
        <v>297000</v>
      </c>
      <c r="L80" s="127" t="n">
        <v>240000</v>
      </c>
      <c r="M80" s="127" t="n">
        <v>210000</v>
      </c>
      <c r="N80" s="127" t="n">
        <v>75000</v>
      </c>
      <c r="O80" s="127" t="n">
        <v>80000</v>
      </c>
      <c r="P80" s="127" t="n">
        <v>192400</v>
      </c>
      <c r="Q80" s="127" t="n">
        <v>180000</v>
      </c>
      <c r="R80" s="127" t="n">
        <v>4000</v>
      </c>
      <c r="S80" s="127" t="n">
        <v>31703900</v>
      </c>
    </row>
    <row r="81">
      <c r="B81" s="85" t="inlineStr">
        <is>
          <t>1월12일</t>
        </is>
      </c>
      <c r="C81" s="127" t="n">
        <v>13064800</v>
      </c>
      <c r="D81" s="127" t="n">
        <v>6346000</v>
      </c>
      <c r="E81" s="127" t="n">
        <v>4563300</v>
      </c>
      <c r="F81" s="127" t="n">
        <v>2522800</v>
      </c>
      <c r="G81" s="127" t="n">
        <v>1364000</v>
      </c>
      <c r="H81" s="127" t="n">
        <v>608000</v>
      </c>
      <c r="I81" s="127" t="n">
        <v>639000</v>
      </c>
      <c r="J81" s="127" t="n">
        <v>520800</v>
      </c>
      <c r="K81" s="127" t="n">
        <v>297000</v>
      </c>
      <c r="L81" s="127" t="n">
        <v>136000</v>
      </c>
      <c r="M81" s="127" t="n">
        <v>105000</v>
      </c>
      <c r="N81" s="127" t="n">
        <v>150000</v>
      </c>
      <c r="O81" s="127" t="n">
        <v>75000</v>
      </c>
      <c r="P81" s="127" t="n">
        <v>265200</v>
      </c>
      <c r="Q81" s="127" t="n">
        <v>95000</v>
      </c>
      <c r="R81" s="127" t="n">
        <v>64000</v>
      </c>
      <c r="S81" s="127" t="n">
        <v>30815900</v>
      </c>
    </row>
    <row r="82">
      <c r="B82" s="85" t="inlineStr">
        <is>
          <t>1월13일</t>
        </is>
      </c>
      <c r="C82" s="127" t="n">
        <v>13119400</v>
      </c>
      <c r="D82" s="127" t="n">
        <v>5229000</v>
      </c>
      <c r="E82" s="127" t="n">
        <v>3487400</v>
      </c>
      <c r="F82" s="127" t="n">
        <v>2226000</v>
      </c>
      <c r="G82" s="127" t="n">
        <v>1236000</v>
      </c>
      <c r="H82" s="127" t="n">
        <v>608000</v>
      </c>
      <c r="I82" s="127" t="n">
        <v>594000</v>
      </c>
      <c r="J82" s="127" t="n">
        <v>487200</v>
      </c>
      <c r="K82" s="127" t="n">
        <v>297000</v>
      </c>
      <c r="L82" s="127" t="n">
        <v>320000</v>
      </c>
      <c r="M82" s="127" t="n">
        <v>147000</v>
      </c>
      <c r="N82" s="127" t="n">
        <v>330000</v>
      </c>
      <c r="O82" s="127" t="n">
        <v>120000</v>
      </c>
      <c r="P82" s="127" t="n">
        <v>208000</v>
      </c>
      <c r="Q82" s="127" t="n">
        <v>60000</v>
      </c>
      <c r="R82" s="127" t="n">
        <v>44000</v>
      </c>
      <c r="S82" s="127" t="n">
        <v>28513000</v>
      </c>
    </row>
    <row r="83">
      <c r="B83" s="85" t="inlineStr">
        <is>
          <t>1월14일</t>
        </is>
      </c>
      <c r="C83" s="127" t="n">
        <v>11835600</v>
      </c>
      <c r="D83" s="127" t="n">
        <v>4941000</v>
      </c>
      <c r="E83" s="127" t="n">
        <v>3227700</v>
      </c>
      <c r="F83" s="127" t="n">
        <v>2819600</v>
      </c>
      <c r="G83" s="127" t="n">
        <v>1284000</v>
      </c>
      <c r="H83" s="127" t="n">
        <v>646000</v>
      </c>
      <c r="I83" s="127" t="n">
        <v>688000</v>
      </c>
      <c r="J83" s="127" t="n">
        <v>464800</v>
      </c>
      <c r="K83" s="127" t="n">
        <v>198000</v>
      </c>
      <c r="L83" s="127" t="n">
        <v>148000</v>
      </c>
      <c r="M83" s="127" t="n">
        <v>126000</v>
      </c>
      <c r="N83" s="127" t="n">
        <v>246000</v>
      </c>
      <c r="O83" s="127" t="n">
        <v>80000</v>
      </c>
      <c r="P83" s="127" t="n">
        <v>36400</v>
      </c>
      <c r="Q83" s="127" t="n">
        <v>40000</v>
      </c>
      <c r="R83" s="127" t="n">
        <v>40000</v>
      </c>
      <c r="S83" s="127" t="n">
        <v>26821100</v>
      </c>
    </row>
    <row r="84">
      <c r="B84" s="85" t="inlineStr">
        <is>
          <t>1월15일</t>
        </is>
      </c>
      <c r="C84" s="127" t="n">
        <v>7477400</v>
      </c>
      <c r="D84" s="127" t="n">
        <v>5022000</v>
      </c>
      <c r="E84" s="127" t="n">
        <v>3153500</v>
      </c>
      <c r="F84" s="127" t="n">
        <v>2003400</v>
      </c>
      <c r="G84" s="127" t="n">
        <v>1276000</v>
      </c>
      <c r="H84" s="127" t="n">
        <v>608000</v>
      </c>
      <c r="I84" s="127" t="n">
        <v>527000</v>
      </c>
      <c r="J84" s="127" t="n">
        <v>565600</v>
      </c>
      <c r="K84" s="127" t="n">
        <v>297000</v>
      </c>
      <c r="L84" s="127" t="n">
        <v>156000</v>
      </c>
      <c r="M84" s="127" t="n">
        <v>189000</v>
      </c>
      <c r="N84" s="127" t="n">
        <v>240000</v>
      </c>
      <c r="O84" s="127" t="n">
        <v>95000</v>
      </c>
      <c r="P84" s="127" t="n">
        <v>104000</v>
      </c>
      <c r="Q84" s="127" t="n">
        <v>90000</v>
      </c>
      <c r="R84" s="127" t="n">
        <v>84000</v>
      </c>
      <c r="S84" s="127" t="n">
        <v>21887900</v>
      </c>
    </row>
    <row r="85">
      <c r="B85" s="85" t="inlineStr">
        <is>
          <t>1월16일</t>
        </is>
      </c>
      <c r="C85" s="127" t="n">
        <v>7072800</v>
      </c>
      <c r="D85" s="127" t="n">
        <v>3186000</v>
      </c>
      <c r="E85" s="127" t="n">
        <v>1261400</v>
      </c>
      <c r="F85" s="127" t="n">
        <v>1409800</v>
      </c>
      <c r="G85" s="127" t="n">
        <v>684000</v>
      </c>
      <c r="H85" s="127" t="n">
        <v>494000</v>
      </c>
      <c r="I85" s="127" t="n">
        <v>346000</v>
      </c>
      <c r="J85" s="127" t="n">
        <v>246400</v>
      </c>
      <c r="K85" s="127" t="n">
        <v>297000</v>
      </c>
      <c r="L85" s="127" t="n">
        <v>208000</v>
      </c>
      <c r="M85" s="127" t="n">
        <v>56000</v>
      </c>
      <c r="N85" s="127" t="n">
        <v>129000</v>
      </c>
      <c r="O85" s="127" t="n">
        <v>75000</v>
      </c>
      <c r="P85" s="127" t="n">
        <v>88400</v>
      </c>
      <c r="Q85" s="127" t="n">
        <v>90000</v>
      </c>
      <c r="R85" s="127" t="n"/>
      <c r="S85" s="127" t="n">
        <v>15643800</v>
      </c>
    </row>
    <row r="86">
      <c r="B86" s="85" t="inlineStr">
        <is>
          <t>1월17일</t>
        </is>
      </c>
      <c r="C86" s="127" t="n">
        <v>7758800</v>
      </c>
      <c r="D86" s="127" t="n">
        <v>4609000</v>
      </c>
      <c r="E86" s="127" t="n">
        <v>2226000</v>
      </c>
      <c r="F86" s="127" t="n">
        <v>1706600</v>
      </c>
      <c r="G86" s="127" t="n">
        <v>1380000</v>
      </c>
      <c r="H86" s="127" t="n">
        <v>494000</v>
      </c>
      <c r="I86" s="127" t="n">
        <v>468000</v>
      </c>
      <c r="J86" s="127" t="n">
        <v>380800</v>
      </c>
      <c r="K86" s="127" t="n">
        <v>396000</v>
      </c>
      <c r="L86" s="127" t="n">
        <v>228000</v>
      </c>
      <c r="M86" s="127" t="n">
        <v>140000</v>
      </c>
      <c r="N86" s="127" t="n">
        <v>201000</v>
      </c>
      <c r="O86" s="127" t="n">
        <v>120000</v>
      </c>
      <c r="P86" s="127" t="n">
        <v>104000</v>
      </c>
      <c r="Q86" s="127" t="n">
        <v>75000</v>
      </c>
      <c r="R86" s="127" t="n">
        <v>8000</v>
      </c>
      <c r="S86" s="127" t="n">
        <v>20295200</v>
      </c>
    </row>
    <row r="87">
      <c r="B87" s="85" t="inlineStr">
        <is>
          <t>1월18일</t>
        </is>
      </c>
      <c r="C87" s="127" t="n">
        <v>5511800</v>
      </c>
      <c r="D87" s="127" t="n">
        <v>6170000</v>
      </c>
      <c r="E87" s="127" t="n">
        <v>2485700</v>
      </c>
      <c r="F87" s="127" t="n">
        <v>2188900</v>
      </c>
      <c r="G87" s="127" t="n">
        <v>1032000</v>
      </c>
      <c r="H87" s="127" t="n">
        <v>570000</v>
      </c>
      <c r="I87" s="127" t="n">
        <v>564000</v>
      </c>
      <c r="J87" s="127" t="n">
        <v>369600</v>
      </c>
      <c r="K87" s="127" t="n">
        <v>594000</v>
      </c>
      <c r="L87" s="127" t="n">
        <v>376000</v>
      </c>
      <c r="M87" s="127" t="n">
        <v>112000</v>
      </c>
      <c r="N87" s="127" t="n">
        <v>228000</v>
      </c>
      <c r="O87" s="127" t="n">
        <v>40000</v>
      </c>
      <c r="P87" s="127" t="n">
        <v>88400</v>
      </c>
      <c r="Q87" s="127" t="n">
        <v>95000</v>
      </c>
      <c r="R87" s="127" t="n">
        <v>60000</v>
      </c>
      <c r="S87" s="127" t="n">
        <v>20485400</v>
      </c>
    </row>
    <row r="88">
      <c r="B88" s="85" t="inlineStr">
        <is>
          <t>1월19일</t>
        </is>
      </c>
      <c r="C88" s="127" t="n">
        <v>5100200</v>
      </c>
      <c r="D88" s="127" t="n">
        <v>4473000</v>
      </c>
      <c r="E88" s="127" t="n">
        <v>1113000</v>
      </c>
      <c r="F88" s="127" t="n">
        <v>1595300</v>
      </c>
      <c r="G88" s="127" t="n">
        <v>756000</v>
      </c>
      <c r="H88" s="127" t="n">
        <v>418000</v>
      </c>
      <c r="I88" s="127" t="n">
        <v>479000</v>
      </c>
      <c r="J88" s="127" t="n">
        <v>274400</v>
      </c>
      <c r="K88" s="127" t="n">
        <v>297000</v>
      </c>
      <c r="L88" s="127" t="n">
        <v>72000</v>
      </c>
      <c r="M88" s="127" t="n">
        <v>238000</v>
      </c>
      <c r="N88" s="127" t="n">
        <v>123000</v>
      </c>
      <c r="O88" s="127" t="n">
        <v>135000</v>
      </c>
      <c r="P88" s="127" t="n">
        <v>122200</v>
      </c>
      <c r="Q88" s="127" t="n">
        <v>115000</v>
      </c>
      <c r="R88" s="127" t="n">
        <v>40000</v>
      </c>
      <c r="S88" s="127" t="n">
        <v>15351100</v>
      </c>
    </row>
    <row r="89">
      <c r="B89" s="85" t="inlineStr">
        <is>
          <t>1월20일</t>
        </is>
      </c>
      <c r="C89" s="127" t="n">
        <v>5117000</v>
      </c>
      <c r="D89" s="127" t="n">
        <v>6779000</v>
      </c>
      <c r="E89" s="127" t="n">
        <v>1595300</v>
      </c>
      <c r="F89" s="127" t="n">
        <v>2448600</v>
      </c>
      <c r="G89" s="127" t="n">
        <v>5584000</v>
      </c>
      <c r="H89" s="127" t="n">
        <v>874000</v>
      </c>
      <c r="I89" s="127" t="n">
        <v>647000</v>
      </c>
      <c r="J89" s="127" t="n">
        <v>369600</v>
      </c>
      <c r="K89" s="127" t="n">
        <v>198000</v>
      </c>
      <c r="L89" s="127" t="n">
        <v>524000</v>
      </c>
      <c r="M89" s="127" t="n">
        <v>364000</v>
      </c>
      <c r="N89" s="127" t="n">
        <v>285000</v>
      </c>
      <c r="O89" s="127" t="n">
        <v>100000</v>
      </c>
      <c r="P89" s="127" t="n">
        <v>109200</v>
      </c>
      <c r="Q89" s="127" t="n">
        <v>110000</v>
      </c>
      <c r="R89" s="127" t="n">
        <v>52000</v>
      </c>
      <c r="S89" s="127" t="n">
        <v>25156700</v>
      </c>
    </row>
    <row r="90">
      <c r="B90" s="85" t="inlineStr">
        <is>
          <t>1월21일</t>
        </is>
      </c>
      <c r="C90" s="127" t="n">
        <v>4848200</v>
      </c>
      <c r="D90" s="127" t="n">
        <v>4490000</v>
      </c>
      <c r="E90" s="127" t="n">
        <v>1558200</v>
      </c>
      <c r="F90" s="127" t="n">
        <v>2040500</v>
      </c>
      <c r="G90" s="127" t="n">
        <v>1676000</v>
      </c>
      <c r="H90" s="127" t="n">
        <v>342000</v>
      </c>
      <c r="I90" s="127" t="n">
        <v>490000</v>
      </c>
      <c r="J90" s="127" t="n">
        <v>313600</v>
      </c>
      <c r="K90" s="127" t="n">
        <v>594000</v>
      </c>
      <c r="L90" s="127" t="n">
        <v>204000</v>
      </c>
      <c r="M90" s="127" t="n">
        <v>266000</v>
      </c>
      <c r="N90" s="127" t="n">
        <v>222000</v>
      </c>
      <c r="O90" s="127" t="n">
        <v>55000</v>
      </c>
      <c r="P90" s="127" t="n">
        <v>54600</v>
      </c>
      <c r="Q90" s="127" t="n">
        <v>140000</v>
      </c>
      <c r="R90" s="127" t="n">
        <v>68000</v>
      </c>
      <c r="S90" s="127" t="n">
        <v>17362100</v>
      </c>
    </row>
    <row r="91">
      <c r="B91" s="85" t="inlineStr">
        <is>
          <t>1월22일</t>
        </is>
      </c>
      <c r="C91" s="127" t="n">
        <v>4492600</v>
      </c>
      <c r="D91" s="127" t="n">
        <v>3551000</v>
      </c>
      <c r="E91" s="127" t="n">
        <v>1261400</v>
      </c>
      <c r="F91" s="127" t="n">
        <v>1446900</v>
      </c>
      <c r="G91" s="127" t="n">
        <v>1668000</v>
      </c>
      <c r="H91" s="127" t="n">
        <v>266000</v>
      </c>
      <c r="I91" s="127" t="n">
        <v>435000</v>
      </c>
      <c r="J91" s="127" t="n">
        <v>263200</v>
      </c>
      <c r="K91" s="127" t="n">
        <v>198000</v>
      </c>
      <c r="L91" s="127" t="n">
        <v>352000</v>
      </c>
      <c r="M91" s="127" t="n">
        <v>168000</v>
      </c>
      <c r="N91" s="127" t="n">
        <v>153000</v>
      </c>
      <c r="O91" s="127" t="n">
        <v>80000</v>
      </c>
      <c r="P91" s="127" t="n">
        <v>72800</v>
      </c>
      <c r="Q91" s="127" t="n">
        <v>55000</v>
      </c>
      <c r="R91" s="127" t="n">
        <v>80000</v>
      </c>
      <c r="S91" s="127" t="n">
        <v>14542900</v>
      </c>
    </row>
    <row r="92">
      <c r="B92" s="85" t="inlineStr">
        <is>
          <t>1월23일</t>
        </is>
      </c>
      <c r="C92" s="127" t="n">
        <v>4977000</v>
      </c>
      <c r="D92" s="127" t="n">
        <v>3006000</v>
      </c>
      <c r="E92" s="127" t="n">
        <v>1075900</v>
      </c>
      <c r="F92" s="127" t="n">
        <v>853300</v>
      </c>
      <c r="G92" s="127" t="n">
        <v>920000</v>
      </c>
      <c r="H92" s="127" t="n">
        <v>494000</v>
      </c>
      <c r="I92" s="127" t="n">
        <v>246000</v>
      </c>
      <c r="J92" s="127" t="n">
        <v>252000</v>
      </c>
      <c r="K92" s="127" t="n">
        <v>495000</v>
      </c>
      <c r="L92" s="127" t="n">
        <v>136000</v>
      </c>
      <c r="M92" s="127" t="n">
        <v>56000</v>
      </c>
      <c r="N92" s="127" t="n">
        <v>78000</v>
      </c>
      <c r="O92" s="127" t="n">
        <v>72500</v>
      </c>
      <c r="P92" s="127" t="n">
        <v>101400</v>
      </c>
      <c r="Q92" s="127" t="n"/>
      <c r="R92" s="127" t="n">
        <v>60000</v>
      </c>
      <c r="S92" s="127" t="n">
        <v>12823100</v>
      </c>
    </row>
    <row r="93">
      <c r="B93" s="85" t="inlineStr">
        <is>
          <t>1월24일</t>
        </is>
      </c>
      <c r="C93" s="127" t="n">
        <v>6673800</v>
      </c>
      <c r="D93" s="127" t="n">
        <v>4734000</v>
      </c>
      <c r="E93" s="127" t="n">
        <v>1335600</v>
      </c>
      <c r="F93" s="127" t="n">
        <v>2300200</v>
      </c>
      <c r="G93" s="127" t="n">
        <v>4548000</v>
      </c>
      <c r="H93" s="127" t="n">
        <v>456000</v>
      </c>
      <c r="I93" s="127" t="n">
        <v>511000</v>
      </c>
      <c r="J93" s="127" t="n">
        <v>498400</v>
      </c>
      <c r="K93" s="127" t="n">
        <v>99000</v>
      </c>
      <c r="L93" s="127" t="n">
        <v>368000</v>
      </c>
      <c r="M93" s="127" t="n">
        <v>196000</v>
      </c>
      <c r="N93" s="127" t="n">
        <v>168000</v>
      </c>
      <c r="O93" s="127" t="n">
        <v>80000</v>
      </c>
      <c r="P93" s="127" t="n">
        <v>192400</v>
      </c>
      <c r="Q93" s="127" t="n">
        <v>60000</v>
      </c>
      <c r="R93" s="127" t="n">
        <v>24000</v>
      </c>
      <c r="S93" s="127" t="n">
        <v>22244400</v>
      </c>
    </row>
    <row r="94">
      <c r="B94" s="85" t="inlineStr">
        <is>
          <t>1월25일</t>
        </is>
      </c>
      <c r="C94" s="127" t="n">
        <v>7796600</v>
      </c>
      <c r="D94" s="127" t="n">
        <v>5619000</v>
      </c>
      <c r="E94" s="127" t="n">
        <v>2300200</v>
      </c>
      <c r="F94" s="127" t="n">
        <v>1817900</v>
      </c>
      <c r="G94" s="127" t="n">
        <v>1924000</v>
      </c>
      <c r="H94" s="127" t="n">
        <v>570000</v>
      </c>
      <c r="I94" s="127" t="n">
        <v>637000</v>
      </c>
      <c r="J94" s="127" t="n">
        <v>408800</v>
      </c>
      <c r="K94" s="127" t="n">
        <v>594000</v>
      </c>
      <c r="L94" s="127" t="n">
        <v>344000</v>
      </c>
      <c r="M94" s="127" t="n">
        <v>294000</v>
      </c>
      <c r="N94" s="127" t="n">
        <v>219000</v>
      </c>
      <c r="O94" s="127" t="n">
        <v>55000</v>
      </c>
      <c r="P94" s="127" t="n">
        <v>18200</v>
      </c>
      <c r="Q94" s="127" t="n">
        <v>60000</v>
      </c>
      <c r="R94" s="127" t="n">
        <v>20000</v>
      </c>
      <c r="S94" s="127" t="n">
        <v>22677700</v>
      </c>
    </row>
    <row r="95">
      <c r="B95" s="85" t="inlineStr">
        <is>
          <t>1월26일</t>
        </is>
      </c>
      <c r="C95" s="127" t="n">
        <v>9398200</v>
      </c>
      <c r="D95" s="127" t="n">
        <v>5155000</v>
      </c>
      <c r="E95" s="127" t="n">
        <v>2411500</v>
      </c>
      <c r="F95" s="127" t="n">
        <v>1521100</v>
      </c>
      <c r="G95" s="127" t="n">
        <v>1256000</v>
      </c>
      <c r="H95" s="127" t="n">
        <v>608000</v>
      </c>
      <c r="I95" s="127" t="n">
        <v>588000</v>
      </c>
      <c r="J95" s="127" t="n">
        <v>498400</v>
      </c>
      <c r="K95" s="127" t="n">
        <v>396000</v>
      </c>
      <c r="L95" s="127" t="n">
        <v>436000</v>
      </c>
      <c r="M95" s="127" t="n">
        <v>308000</v>
      </c>
      <c r="N95" s="127" t="n">
        <v>234000</v>
      </c>
      <c r="O95" s="127" t="n">
        <v>90000</v>
      </c>
      <c r="P95" s="127" t="n">
        <v>228800</v>
      </c>
      <c r="Q95" s="127" t="n">
        <v>170000</v>
      </c>
      <c r="R95" s="127" t="n">
        <v>40000</v>
      </c>
      <c r="S95" s="127" t="n">
        <v>23339000</v>
      </c>
    </row>
    <row r="96">
      <c r="B96" s="85" t="inlineStr">
        <is>
          <t>1월27일</t>
        </is>
      </c>
      <c r="C96" s="127" t="n">
        <v>8675800</v>
      </c>
      <c r="D96" s="127" t="n">
        <v>6532000</v>
      </c>
      <c r="E96" s="127" t="n">
        <v>2485700</v>
      </c>
      <c r="F96" s="127" t="n">
        <v>2411500</v>
      </c>
      <c r="G96" s="127" t="n">
        <v>1524000</v>
      </c>
      <c r="H96" s="127" t="n">
        <v>570000</v>
      </c>
      <c r="I96" s="127" t="n">
        <v>367000</v>
      </c>
      <c r="J96" s="127" t="n">
        <v>291200</v>
      </c>
      <c r="K96" s="127" t="n">
        <v>297000</v>
      </c>
      <c r="L96" s="127" t="n">
        <v>276000</v>
      </c>
      <c r="M96" s="127" t="n">
        <v>224000</v>
      </c>
      <c r="N96" s="127" t="n">
        <v>261000</v>
      </c>
      <c r="O96" s="127" t="n">
        <v>70000</v>
      </c>
      <c r="P96" s="127" t="n">
        <v>137800</v>
      </c>
      <c r="Q96" s="127" t="n">
        <v>205000</v>
      </c>
      <c r="R96" s="127" t="n">
        <v>4000</v>
      </c>
      <c r="S96" s="127" t="n">
        <v>24332000</v>
      </c>
    </row>
    <row r="97">
      <c r="B97" s="85" t="inlineStr">
        <is>
          <t>1월28일</t>
        </is>
      </c>
      <c r="C97" s="127" t="n">
        <v>8582000</v>
      </c>
      <c r="D97" s="127" t="n">
        <v>7420000</v>
      </c>
      <c r="E97" s="127" t="n">
        <v>2745400</v>
      </c>
      <c r="F97" s="127" t="n">
        <v>2300200</v>
      </c>
      <c r="G97" s="127" t="n">
        <v>1316000</v>
      </c>
      <c r="H97" s="127" t="n">
        <v>722000</v>
      </c>
      <c r="I97" s="127" t="n">
        <v>707000</v>
      </c>
      <c r="J97" s="127" t="n">
        <v>302400</v>
      </c>
      <c r="K97" s="127" t="n">
        <v>495000</v>
      </c>
      <c r="L97" s="127" t="n">
        <v>268000</v>
      </c>
      <c r="M97" s="127" t="n">
        <v>294000</v>
      </c>
      <c r="N97" s="127" t="n">
        <v>369000</v>
      </c>
      <c r="O97" s="127" t="n">
        <v>60000</v>
      </c>
      <c r="P97" s="127" t="n">
        <v>124800</v>
      </c>
      <c r="Q97" s="127" t="n">
        <v>115000</v>
      </c>
      <c r="R97" s="127" t="n">
        <v>20000</v>
      </c>
      <c r="S97" s="127" t="n">
        <v>25840800</v>
      </c>
    </row>
    <row r="98">
      <c r="B98" s="85" t="inlineStr">
        <is>
          <t>1월29일</t>
        </is>
      </c>
      <c r="C98" s="127" t="n">
        <v>6046600</v>
      </c>
      <c r="D98" s="127" t="n">
        <v>7576000</v>
      </c>
      <c r="E98" s="127" t="n">
        <v>2263100</v>
      </c>
      <c r="F98" s="127" t="n">
        <v>2226000</v>
      </c>
      <c r="G98" s="127" t="n">
        <v>1348000</v>
      </c>
      <c r="H98" s="127" t="n">
        <v>760000</v>
      </c>
      <c r="I98" s="127" t="n">
        <v>624000</v>
      </c>
      <c r="J98" s="127" t="n">
        <v>341600</v>
      </c>
      <c r="K98" s="127" t="n">
        <v>495000</v>
      </c>
      <c r="L98" s="127" t="n">
        <v>392000</v>
      </c>
      <c r="M98" s="127" t="n">
        <v>406000</v>
      </c>
      <c r="N98" s="127" t="n">
        <v>342000</v>
      </c>
      <c r="O98" s="127" t="n">
        <v>152500</v>
      </c>
      <c r="P98" s="127" t="n">
        <v>72800</v>
      </c>
      <c r="Q98" s="127" t="n">
        <v>60000</v>
      </c>
      <c r="R98" s="127" t="n">
        <v>60000</v>
      </c>
      <c r="S98" s="127" t="n">
        <v>23165600</v>
      </c>
    </row>
    <row r="99">
      <c r="B99" s="85" t="inlineStr">
        <is>
          <t>1월30일</t>
        </is>
      </c>
      <c r="C99" s="127" t="n">
        <v>7758800</v>
      </c>
      <c r="D99" s="127" t="n">
        <v>8381000</v>
      </c>
      <c r="E99" s="127" t="n">
        <v>2597000</v>
      </c>
      <c r="F99" s="127" t="n">
        <v>2930900</v>
      </c>
      <c r="G99" s="127" t="n">
        <v>1496000</v>
      </c>
      <c r="H99" s="127" t="n">
        <v>1140000</v>
      </c>
      <c r="I99" s="127" t="n">
        <v>685000</v>
      </c>
      <c r="J99" s="127" t="n">
        <v>498400</v>
      </c>
      <c r="K99" s="127" t="n">
        <v>396000</v>
      </c>
      <c r="L99" s="127" t="n">
        <v>152000</v>
      </c>
      <c r="M99" s="127" t="n">
        <v>252000</v>
      </c>
      <c r="N99" s="127" t="n">
        <v>372000</v>
      </c>
      <c r="O99" s="127" t="n">
        <v>60000</v>
      </c>
      <c r="P99" s="127" t="n">
        <v>122200</v>
      </c>
      <c r="Q99" s="127" t="n">
        <v>75000</v>
      </c>
      <c r="R99" s="127" t="n"/>
      <c r="S99" s="127" t="n">
        <v>26916300</v>
      </c>
    </row>
    <row r="100">
      <c r="B100" s="85" t="inlineStr">
        <is>
          <t>1월31일</t>
        </is>
      </c>
      <c r="C100" s="127" t="n">
        <v>7481600</v>
      </c>
      <c r="D100" s="127" t="n">
        <v>6741000</v>
      </c>
      <c r="E100" s="127" t="n">
        <v>2003400</v>
      </c>
      <c r="F100" s="127" t="n">
        <v>3116400</v>
      </c>
      <c r="G100" s="127" t="n">
        <v>1296000</v>
      </c>
      <c r="H100" s="127" t="n">
        <v>570000</v>
      </c>
      <c r="I100" s="127" t="n">
        <v>495000</v>
      </c>
      <c r="J100" s="127" t="n">
        <v>308000</v>
      </c>
      <c r="K100" s="127" t="n">
        <v>594000</v>
      </c>
      <c r="L100" s="127" t="n">
        <v>204000</v>
      </c>
      <c r="M100" s="127" t="n">
        <v>84000</v>
      </c>
      <c r="N100" s="127" t="n">
        <v>234000</v>
      </c>
      <c r="O100" s="127" t="n">
        <v>1832500</v>
      </c>
      <c r="P100" s="127" t="n">
        <v>36400</v>
      </c>
      <c r="Q100" s="127" t="n">
        <v>120000</v>
      </c>
      <c r="R100" s="127" t="n">
        <v>56000</v>
      </c>
      <c r="S100" s="127" t="n">
        <v>25172300</v>
      </c>
    </row>
    <row r="101">
      <c r="B101" s="98" t="inlineStr">
        <is>
          <t>총합계</t>
        </is>
      </c>
      <c r="C101" s="127" t="n">
        <v>456526000</v>
      </c>
      <c r="D101" s="127" t="n">
        <v>347247000</v>
      </c>
      <c r="E101" s="127" t="n">
        <v>181196400</v>
      </c>
      <c r="F101" s="127" t="n">
        <v>95013100</v>
      </c>
      <c r="G101" s="127" t="n">
        <v>74224000</v>
      </c>
      <c r="H101" s="127" t="n">
        <v>27740000</v>
      </c>
      <c r="I101" s="127" t="n">
        <v>26239000</v>
      </c>
      <c r="J101" s="127" t="n">
        <v>18961600</v>
      </c>
      <c r="K101" s="127" t="n">
        <v>18216000</v>
      </c>
      <c r="L101" s="127" t="n">
        <v>11792000</v>
      </c>
      <c r="M101" s="127" t="n">
        <v>10976000</v>
      </c>
      <c r="N101" s="127" t="n">
        <v>10649000</v>
      </c>
      <c r="O101" s="127" t="n">
        <v>8372500</v>
      </c>
      <c r="P101" s="127" t="n">
        <v>6645600</v>
      </c>
      <c r="Q101" s="127" t="n">
        <v>5250000</v>
      </c>
      <c r="R101" s="127" t="n">
        <v>3468000</v>
      </c>
      <c r="S101" s="127" t="n">
        <v>1302516200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tf</dc:creator>
  <dcterms:created xsi:type="dcterms:W3CDTF">2019-08-29T01:30:10Z</dcterms:created>
  <dcterms:modified xsi:type="dcterms:W3CDTF">2021-02-10T05:53:12Z</dcterms:modified>
  <cp:lastModifiedBy>조재훈</cp:lastModifiedBy>
</cp:coreProperties>
</file>